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topikuning/Downloads/"/>
    </mc:Choice>
  </mc:AlternateContent>
  <xr:revisionPtr revIDLastSave="0" documentId="13_ncr:1_{CFE8D355-58C6-7243-8BD3-5AC1205BBD14}" xr6:coauthVersionLast="47" xr6:coauthVersionMax="47" xr10:uidLastSave="{00000000-0000-0000-0000-000000000000}"/>
  <bookViews>
    <workbookView xWindow="0" yWindow="660" windowWidth="22780" windowHeight="14540" tabRatio="732" activeTab="6" xr2:uid="{00000000-000D-0000-FFFF-FFFF00000000}"/>
  </bookViews>
  <sheets>
    <sheet name="Analisa 3" sheetId="1" state="hidden" r:id="rId1"/>
    <sheet name="Sheet1" sheetId="2" state="hidden" r:id="rId2"/>
    <sheet name="Resume" sheetId="3" r:id="rId3"/>
    <sheet name="Sub Resume" sheetId="4" r:id="rId4"/>
    <sheet name="1 Vol Tangga Pndrtn 15-15" sheetId="5" state="hidden" r:id="rId5"/>
    <sheet name="1 Vol Tmbtn Prhu 15-15" sheetId="6" state="hidden" r:id="rId6"/>
    <sheet name="RAB" sheetId="7" r:id="rId7"/>
    <sheet name="12. Vol Levelling" sheetId="23" r:id="rId8"/>
    <sheet name="Resume Analisa" sheetId="41" r:id="rId9"/>
    <sheet name="Vol Dock Kapal" sheetId="45" r:id="rId10"/>
    <sheet name="10. Vol Saluran+Jln" sheetId="21" r:id="rId11"/>
    <sheet name="4. Vol DPT" sheetId="8" r:id="rId12"/>
    <sheet name="13. LANTAI DOCKING" sheetId="44" r:id="rId13"/>
    <sheet name="5. Vol Pndrtn Ikan (4x5)" sheetId="9" r:id="rId14"/>
    <sheet name="6. Vol Gd Beku" sheetId="10" state="hidden" r:id="rId15"/>
    <sheet name="6. Vol Pabrik ES" sheetId="11" r:id="rId16"/>
    <sheet name="8. Vol Area Parkir" sheetId="12" state="hidden" r:id="rId17"/>
    <sheet name="7. Vol Kios 3x4" sheetId="13" r:id="rId18"/>
    <sheet name="9. Vol Cool Box G" sheetId="14" state="hidden" r:id="rId19"/>
    <sheet name="11. Vol Bengkel G" sheetId="15" state="hidden" r:id="rId20"/>
    <sheet name="10. Vol Kantor 6x6" sheetId="16" state="hidden" r:id="rId21"/>
    <sheet name="8. Vol Tangki" sheetId="17" r:id="rId22"/>
    <sheet name="9. Vol Penerangn" sheetId="18" r:id="rId23"/>
    <sheet name="13. Vol TPS" sheetId="19" state="hidden" r:id="rId24"/>
    <sheet name="14. Vol Genset" sheetId="20" state="hidden" r:id="rId25"/>
    <sheet name="11. Vol Landscape" sheetId="22" r:id="rId26"/>
    <sheet name="13. Vol Toilet G" sheetId="24" state="hidden" r:id="rId27"/>
    <sheet name="19. Vol Senkul R" sheetId="25" state="hidden" r:id="rId28"/>
    <sheet name="20. Vol PERBAIKAN G" sheetId="26" state="hidden" r:id="rId29"/>
    <sheet name="21. Vol Pemasaran G" sheetId="27" state="hidden" r:id="rId30"/>
    <sheet name="27. Vol Balai G" sheetId="28" state="hidden" r:id="rId31"/>
    <sheet name="22. Vol Dock Kapal G" sheetId="29" state="hidden" r:id="rId32"/>
    <sheet name="18. Vol Dock Kapal" sheetId="30" state="hidden" r:id="rId33"/>
    <sheet name="13. Vol IPAL" sheetId="31" state="hidden" r:id="rId34"/>
    <sheet name="III. Vol Tangga Pndrtn" sheetId="32" state="hidden" r:id="rId35"/>
    <sheet name="XV. Vol GAPURA" sheetId="33" state="hidden" r:id="rId36"/>
    <sheet name="XVI.Vol Docking" sheetId="34" state="hidden" r:id="rId37"/>
    <sheet name="XXI. Vol Gazebo" sheetId="35" state="hidden" r:id="rId38"/>
    <sheet name="XXII. Vol Musholla " sheetId="36" state="hidden" r:id="rId39"/>
    <sheet name="XXVI. Vol Pagar" sheetId="37" state="hidden" r:id="rId40"/>
    <sheet name="Vol Gerbang (REDESIGN)" sheetId="38" state="hidden" r:id="rId41"/>
    <sheet name="Vol Senkul 20x10" sheetId="39" state="hidden" r:id="rId42"/>
    <sheet name="XIV. Vol Pos Jaga Re " sheetId="40" state="hidden" r:id="rId43"/>
    <sheet name="ANALISA" sheetId="42" r:id="rId44"/>
    <sheet name="Bahan &amp; Upah" sheetId="43" r:id="rId45"/>
  </sheets>
  <definedNames>
    <definedName name="_" localSheetId="20" hidden="1">"_x005F_x0015_‹_x005F_x0013_t_x005F_x0015__x005F_x0001_wUôB@NEQìJ„O	FÀT;"</definedName>
    <definedName name="_" localSheetId="19" hidden="1">"_x005F_x0015_‹_x005F_x0013_t_x005F_x0015__x005F_x0001_wUôB@NEQìJ„O	FÀT;"</definedName>
    <definedName name="_" localSheetId="32" hidden="1">"_x005F_x0015_‹_x005F_x0013_t_x005F_x0015__x005F_x0001_wUôB@NEQìJ„O	FÀT;"</definedName>
    <definedName name="_" localSheetId="27" hidden="1">"_x005F_x0015_‹_x005F_x0013_t_x005F_x0015__x005F_x0001_wUôB@NEQìJ„O	FÀT;"</definedName>
    <definedName name="_" localSheetId="28" hidden="1">"_x005F_x0015_‹_x005F_x0013_t_x005F_x0015__x005F_x0001_wUôB@NEQìJ„O	FÀT;"</definedName>
    <definedName name="_" localSheetId="31" hidden="1">"_x005F_x0015_‹_x005F_x0013_t_x005F_x0015__x005F_x0001_wUôB@NEQìJ„O	FÀT;"</definedName>
    <definedName name="_" localSheetId="30" hidden="1">"_x005F_x0015_‹_x005F_x0013_t_x005F_x0015__x005F_x0001_wUôB@NEQìJ„O	FÀT;"</definedName>
    <definedName name="_" localSheetId="13" hidden="1">"_x005F_x0015_‹_x005F_x0013_t_x005F_x0015__x005F_x0001_wUôB@NEQìJ„O	FÀT;"</definedName>
    <definedName name="_" localSheetId="17" hidden="1">"_x005F_x0015_‹_x005F_x0013_t_x005F_x0015__x005F_x0001_wUôB@NEQìJ„O	FÀT;"</definedName>
    <definedName name="_" localSheetId="18" hidden="1">"_x005F_x0015_‹_x005F_x0013_t_x005F_x0015__x005F_x0001_wUôB@NEQìJ„O	FÀT;"</definedName>
    <definedName name="_________________________________DIV3" localSheetId="20" hidden="1">#REF!</definedName>
    <definedName name="_________________________________DIV3" localSheetId="19" hidden="1">#REF!</definedName>
    <definedName name="_________________________________DIV3" localSheetId="32" hidden="1">#REF!</definedName>
    <definedName name="_________________________________DIV3" localSheetId="27" hidden="1">#REF!</definedName>
    <definedName name="_________________________________DIV3" localSheetId="28" hidden="1">#REF!</definedName>
    <definedName name="_________________________________DIV3" localSheetId="31" hidden="1">#REF!</definedName>
    <definedName name="_________________________________DIV3" localSheetId="30" hidden="1">#REF!</definedName>
    <definedName name="_________________________________DIV3" localSheetId="17" hidden="1">#REF!</definedName>
    <definedName name="_________________________________DIV3" localSheetId="18" hidden="1">#REF!</definedName>
    <definedName name="_________________________________DIV3" hidden="1">#REF!</definedName>
    <definedName name="_________________________________DIV4" localSheetId="27" hidden="1">#REF!</definedName>
    <definedName name="_________________________________DIV4" hidden="1">#REF!</definedName>
    <definedName name="_________________________________DIV5" localSheetId="27" hidden="1">#REF!</definedName>
    <definedName name="_________________________________DIV5" hidden="1">#REF!</definedName>
    <definedName name="________________________________DIV3" hidden="1">#REF!</definedName>
    <definedName name="________________________________DIV4" hidden="1">#REF!</definedName>
    <definedName name="________________________________DIV5" hidden="1">#REF!</definedName>
    <definedName name="_______________________________DIV3" hidden="1">#REF!</definedName>
    <definedName name="_______________________________DIV4" hidden="1">#REF!</definedName>
    <definedName name="_______________________________DIV5" hidden="1">#REF!</definedName>
    <definedName name="______________________________DIV3" hidden="1">#REF!</definedName>
    <definedName name="______________________________DIV4" hidden="1">#REF!</definedName>
    <definedName name="______________________________DIV5" hidden="1">#REF!</definedName>
    <definedName name="_____________________________DIV3" hidden="1">#REF!</definedName>
    <definedName name="_____________________________DIV4" hidden="1">#REF!</definedName>
    <definedName name="_____________________________DIV5" hidden="1">#REF!</definedName>
    <definedName name="____________________________DIV3" hidden="1">#REF!</definedName>
    <definedName name="____________________________DIV4" hidden="1">#REF!</definedName>
    <definedName name="____________________________DIV5" hidden="1">#REF!</definedName>
    <definedName name="___________________________DIV3" hidden="1">#REF!</definedName>
    <definedName name="___________________________DIV4" hidden="1">#REF!</definedName>
    <definedName name="___________________________DIV5" hidden="1">#REF!</definedName>
    <definedName name="__________________________DIV3" hidden="1">#REF!</definedName>
    <definedName name="__________________________DIV4" hidden="1">#REF!</definedName>
    <definedName name="__________________________DIV5" hidden="1">#REF!</definedName>
    <definedName name="_________________________amd1" localSheetId="20" hidden="1">{#N/A,#N/A,FALSE,"Chi tiÆt"}</definedName>
    <definedName name="_________________________amd1" localSheetId="19" hidden="1">{#N/A,#N/A,FALSE,"Chi tiÆt"}</definedName>
    <definedName name="_________________________amd1" localSheetId="26" hidden="1">{#N/A,#N/A,FALSE,"Chi tiÆt"}</definedName>
    <definedName name="_________________________amd1" localSheetId="24" hidden="1">{#N/A,#N/A,FALSE,"Chi tiÆt"}</definedName>
    <definedName name="_________________________amd1" localSheetId="32" hidden="1">{#N/A,#N/A,FALSE,"Chi tiÆt"}</definedName>
    <definedName name="_________________________amd1" localSheetId="27" hidden="1">{#N/A,#N/A,FALSE,"Chi tiÆt"}</definedName>
    <definedName name="_________________________amd1" localSheetId="28" hidden="1">{#N/A,#N/A,FALSE,"Chi tiÆt"}</definedName>
    <definedName name="_________________________amd1" localSheetId="29" hidden="1">{#N/A,#N/A,FALSE,"Chi tiÆt"}</definedName>
    <definedName name="_________________________amd1" localSheetId="31" hidden="1">{#N/A,#N/A,FALSE,"Chi tiÆt"}</definedName>
    <definedName name="_________________________amd1" localSheetId="30" hidden="1">{#N/A,#N/A,FALSE,"Chi tiÆt"}</definedName>
    <definedName name="_________________________amd1" localSheetId="17" hidden="1">{#N/A,#N/A,FALSE,"Chi tiÆt"}</definedName>
    <definedName name="_________________________amd1" localSheetId="18" hidden="1">{#N/A,#N/A,FALSE,"Chi tiÆt"}</definedName>
    <definedName name="_________________________amd1" hidden="1">{#N/A,#N/A,FALSE,"Chi tiÆt"}</definedName>
    <definedName name="_________________________DIV3" localSheetId="32" hidden="1">#REF!</definedName>
    <definedName name="_________________________DIV3" localSheetId="27" hidden="1">#REF!</definedName>
    <definedName name="_________________________DIV3" localSheetId="18" hidden="1">#REF!</definedName>
    <definedName name="_________________________DIV3" hidden="1">#REF!</definedName>
    <definedName name="_________________________DIV4" localSheetId="27" hidden="1">#REF!</definedName>
    <definedName name="_________________________DIV4" localSheetId="18" hidden="1">#REF!</definedName>
    <definedName name="_________________________DIV4" hidden="1">#REF!</definedName>
    <definedName name="_________________________DIV5" localSheetId="27" hidden="1">#REF!</definedName>
    <definedName name="_________________________DIV5" localSheetId="18" hidden="1">#REF!</definedName>
    <definedName name="_________________________DIV5" hidden="1">#REF!</definedName>
    <definedName name="________________________amd1" localSheetId="20" hidden="1">{#N/A,#N/A,FALSE,"Chi tiÆt"}</definedName>
    <definedName name="________________________amd1" localSheetId="19" hidden="1">{#N/A,#N/A,FALSE,"Chi tiÆt"}</definedName>
    <definedName name="________________________amd1" localSheetId="26" hidden="1">{#N/A,#N/A,FALSE,"Chi tiÆt"}</definedName>
    <definedName name="________________________amd1" localSheetId="24" hidden="1">{#N/A,#N/A,FALSE,"Chi tiÆt"}</definedName>
    <definedName name="________________________amd1" localSheetId="32" hidden="1">{#N/A,#N/A,FALSE,"Chi tiÆt"}</definedName>
    <definedName name="________________________amd1" localSheetId="27" hidden="1">{#N/A,#N/A,FALSE,"Chi tiÆt"}</definedName>
    <definedName name="________________________amd1" localSheetId="28" hidden="1">{#N/A,#N/A,FALSE,"Chi tiÆt"}</definedName>
    <definedName name="________________________amd1" localSheetId="29" hidden="1">{#N/A,#N/A,FALSE,"Chi tiÆt"}</definedName>
    <definedName name="________________________amd1" localSheetId="31" hidden="1">{#N/A,#N/A,FALSE,"Chi tiÆt"}</definedName>
    <definedName name="________________________amd1" localSheetId="30" hidden="1">{#N/A,#N/A,FALSE,"Chi tiÆt"}</definedName>
    <definedName name="________________________amd1" localSheetId="17" hidden="1">{#N/A,#N/A,FALSE,"Chi tiÆt"}</definedName>
    <definedName name="________________________amd1" localSheetId="18" hidden="1">{#N/A,#N/A,FALSE,"Chi tiÆt"}</definedName>
    <definedName name="________________________amd1" hidden="1">{#N/A,#N/A,FALSE,"Chi tiÆt"}</definedName>
    <definedName name="________________________DIV3" localSheetId="32" hidden="1">#REF!</definedName>
    <definedName name="________________________DIV3" localSheetId="27" hidden="1">#REF!</definedName>
    <definedName name="________________________DIV3" localSheetId="18" hidden="1">#REF!</definedName>
    <definedName name="________________________DIV3" hidden="1">#REF!</definedName>
    <definedName name="________________________DIV4" localSheetId="27" hidden="1">#REF!</definedName>
    <definedName name="________________________DIV4" localSheetId="18" hidden="1">#REF!</definedName>
    <definedName name="________________________DIV4" hidden="1">#REF!</definedName>
    <definedName name="________________________DIV5" localSheetId="27" hidden="1">#REF!</definedName>
    <definedName name="________________________DIV5" localSheetId="18" hidden="1">#REF!</definedName>
    <definedName name="________________________DIV5" hidden="1">#REF!</definedName>
    <definedName name="_______________________DIV3" hidden="1">#REF!</definedName>
    <definedName name="_______________________DIV4" hidden="1">#REF!</definedName>
    <definedName name="_______________________DIV5" hidden="1">#REF!</definedName>
    <definedName name="_______________________REV3" localSheetId="20" hidden="1">{#N/A,#N/A,FALSE,"REK-S-TPL";#N/A,#N/A,FALSE,"REK-TPML";#N/A,#N/A,FALSE,"RAB-TEMPEL"}</definedName>
    <definedName name="_______________________REV3" localSheetId="19" hidden="1">{#N/A,#N/A,FALSE,"REK-S-TPL";#N/A,#N/A,FALSE,"REK-TPML";#N/A,#N/A,FALSE,"RAB-TEMPEL"}</definedName>
    <definedName name="_______________________REV3" localSheetId="26" hidden="1">{#N/A,#N/A,FALSE,"REK-S-TPL";#N/A,#N/A,FALSE,"REK-TPML";#N/A,#N/A,FALSE,"RAB-TEMPEL"}</definedName>
    <definedName name="_______________________REV3" localSheetId="24" hidden="1">{#N/A,#N/A,FALSE,"REK-S-TPL";#N/A,#N/A,FALSE,"REK-TPML";#N/A,#N/A,FALSE,"RAB-TEMPEL"}</definedName>
    <definedName name="_______________________REV3" localSheetId="32" hidden="1">{#N/A,#N/A,FALSE,"REK-S-TPL";#N/A,#N/A,FALSE,"REK-TPML";#N/A,#N/A,FALSE,"RAB-TEMPEL"}</definedName>
    <definedName name="_______________________REV3" localSheetId="27" hidden="1">{#N/A,#N/A,FALSE,"REK-S-TPL";#N/A,#N/A,FALSE,"REK-TPML";#N/A,#N/A,FALSE,"RAB-TEMPEL"}</definedName>
    <definedName name="_______________________REV3" localSheetId="28" hidden="1">{#N/A,#N/A,FALSE,"REK-S-TPL";#N/A,#N/A,FALSE,"REK-TPML";#N/A,#N/A,FALSE,"RAB-TEMPEL"}</definedName>
    <definedName name="_______________________REV3" localSheetId="29" hidden="1">{#N/A,#N/A,FALSE,"REK-S-TPL";#N/A,#N/A,FALSE,"REK-TPML";#N/A,#N/A,FALSE,"RAB-TEMPEL"}</definedName>
    <definedName name="_______________________REV3" localSheetId="31" hidden="1">{#N/A,#N/A,FALSE,"REK-S-TPL";#N/A,#N/A,FALSE,"REK-TPML";#N/A,#N/A,FALSE,"RAB-TEMPEL"}</definedName>
    <definedName name="_______________________REV3" localSheetId="30" hidden="1">{#N/A,#N/A,FALSE,"REK-S-TPL";#N/A,#N/A,FALSE,"REK-TPML";#N/A,#N/A,FALSE,"RAB-TEMPEL"}</definedName>
    <definedName name="_______________________REV3" localSheetId="17" hidden="1">{#N/A,#N/A,FALSE,"REK-S-TPL";#N/A,#N/A,FALSE,"REK-TPML";#N/A,#N/A,FALSE,"RAB-TEMPEL"}</definedName>
    <definedName name="_______________________REV3" localSheetId="18" hidden="1">{#N/A,#N/A,FALSE,"REK-S-TPL";#N/A,#N/A,FALSE,"REK-TPML";#N/A,#N/A,FALSE,"RAB-TEMPEL"}</definedName>
    <definedName name="_______________________REV3" hidden="1">{#N/A,#N/A,FALSE,"REK-S-TPL";#N/A,#N/A,FALSE,"REK-TPML";#N/A,#N/A,FALSE,"RAB-TEMPEL"}</definedName>
    <definedName name="______________________amd1" localSheetId="20" hidden="1">{#N/A,#N/A,FALSE,"Chi tiÆt"}</definedName>
    <definedName name="______________________amd1" localSheetId="19" hidden="1">{#N/A,#N/A,FALSE,"Chi tiÆt"}</definedName>
    <definedName name="______________________amd1" localSheetId="26" hidden="1">{#N/A,#N/A,FALSE,"Chi tiÆt"}</definedName>
    <definedName name="______________________amd1" localSheetId="24" hidden="1">{#N/A,#N/A,FALSE,"Chi tiÆt"}</definedName>
    <definedName name="______________________amd1" localSheetId="32" hidden="1">{#N/A,#N/A,FALSE,"Chi tiÆt"}</definedName>
    <definedName name="______________________amd1" localSheetId="27" hidden="1">{#N/A,#N/A,FALSE,"Chi tiÆt"}</definedName>
    <definedName name="______________________amd1" localSheetId="28" hidden="1">{#N/A,#N/A,FALSE,"Chi tiÆt"}</definedName>
    <definedName name="______________________amd1" localSheetId="29" hidden="1">{#N/A,#N/A,FALSE,"Chi tiÆt"}</definedName>
    <definedName name="______________________amd1" localSheetId="31" hidden="1">{#N/A,#N/A,FALSE,"Chi tiÆt"}</definedName>
    <definedName name="______________________amd1" localSheetId="30" hidden="1">{#N/A,#N/A,FALSE,"Chi tiÆt"}</definedName>
    <definedName name="______________________amd1" localSheetId="17" hidden="1">{#N/A,#N/A,FALSE,"Chi tiÆt"}</definedName>
    <definedName name="______________________amd1" localSheetId="18" hidden="1">{#N/A,#N/A,FALSE,"Chi tiÆt"}</definedName>
    <definedName name="______________________amd1" hidden="1">{#N/A,#N/A,FALSE,"Chi tiÆt"}</definedName>
    <definedName name="______________________DIV3" localSheetId="32" hidden="1">#REF!</definedName>
    <definedName name="______________________DIV3" localSheetId="27" hidden="1">#REF!</definedName>
    <definedName name="______________________DIV3" localSheetId="18" hidden="1">#REF!</definedName>
    <definedName name="______________________DIV3" hidden="1">#REF!</definedName>
    <definedName name="______________________DIV4" localSheetId="27" hidden="1">#REF!</definedName>
    <definedName name="______________________DIV4" localSheetId="18" hidden="1">#REF!</definedName>
    <definedName name="______________________DIV4" hidden="1">#REF!</definedName>
    <definedName name="______________________DIV5" localSheetId="27" hidden="1">#REF!</definedName>
    <definedName name="______________________DIV5" localSheetId="18" hidden="1">#REF!</definedName>
    <definedName name="______________________DIV5" hidden="1">#REF!</definedName>
    <definedName name="______________________REV3" localSheetId="20" hidden="1">{#N/A,#N/A,FALSE,"REK-S-TPL";#N/A,#N/A,FALSE,"REK-TPML";#N/A,#N/A,FALSE,"RAB-TEMPEL"}</definedName>
    <definedName name="______________________REV3" localSheetId="19" hidden="1">{#N/A,#N/A,FALSE,"REK-S-TPL";#N/A,#N/A,FALSE,"REK-TPML";#N/A,#N/A,FALSE,"RAB-TEMPEL"}</definedName>
    <definedName name="______________________REV3" localSheetId="26" hidden="1">{#N/A,#N/A,FALSE,"REK-S-TPL";#N/A,#N/A,FALSE,"REK-TPML";#N/A,#N/A,FALSE,"RAB-TEMPEL"}</definedName>
    <definedName name="______________________REV3" localSheetId="24" hidden="1">{#N/A,#N/A,FALSE,"REK-S-TPL";#N/A,#N/A,FALSE,"REK-TPML";#N/A,#N/A,FALSE,"RAB-TEMPEL"}</definedName>
    <definedName name="______________________REV3" localSheetId="32" hidden="1">{#N/A,#N/A,FALSE,"REK-S-TPL";#N/A,#N/A,FALSE,"REK-TPML";#N/A,#N/A,FALSE,"RAB-TEMPEL"}</definedName>
    <definedName name="______________________REV3" localSheetId="27" hidden="1">{#N/A,#N/A,FALSE,"REK-S-TPL";#N/A,#N/A,FALSE,"REK-TPML";#N/A,#N/A,FALSE,"RAB-TEMPEL"}</definedName>
    <definedName name="______________________REV3" localSheetId="28" hidden="1">{#N/A,#N/A,FALSE,"REK-S-TPL";#N/A,#N/A,FALSE,"REK-TPML";#N/A,#N/A,FALSE,"RAB-TEMPEL"}</definedName>
    <definedName name="______________________REV3" localSheetId="29" hidden="1">{#N/A,#N/A,FALSE,"REK-S-TPL";#N/A,#N/A,FALSE,"REK-TPML";#N/A,#N/A,FALSE,"RAB-TEMPEL"}</definedName>
    <definedName name="______________________REV3" localSheetId="31" hidden="1">{#N/A,#N/A,FALSE,"REK-S-TPL";#N/A,#N/A,FALSE,"REK-TPML";#N/A,#N/A,FALSE,"RAB-TEMPEL"}</definedName>
    <definedName name="______________________REV3" localSheetId="30" hidden="1">{#N/A,#N/A,FALSE,"REK-S-TPL";#N/A,#N/A,FALSE,"REK-TPML";#N/A,#N/A,FALSE,"RAB-TEMPEL"}</definedName>
    <definedName name="______________________REV3" localSheetId="17" hidden="1">{#N/A,#N/A,FALSE,"REK-S-TPL";#N/A,#N/A,FALSE,"REK-TPML";#N/A,#N/A,FALSE,"RAB-TEMPEL"}</definedName>
    <definedName name="______________________REV3" localSheetId="18" hidden="1">{#N/A,#N/A,FALSE,"REK-S-TPL";#N/A,#N/A,FALSE,"REK-TPML";#N/A,#N/A,FALSE,"RAB-TEMPEL"}</definedName>
    <definedName name="______________________REV3" hidden="1">{#N/A,#N/A,FALSE,"REK-S-TPL";#N/A,#N/A,FALSE,"REK-TPML";#N/A,#N/A,FALSE,"RAB-TEMPEL"}</definedName>
    <definedName name="_____________________amd1" localSheetId="20" hidden="1">{#N/A,#N/A,FALSE,"Chi tiÆt"}</definedName>
    <definedName name="_____________________amd1" localSheetId="19" hidden="1">{#N/A,#N/A,FALSE,"Chi tiÆt"}</definedName>
    <definedName name="_____________________amd1" localSheetId="26" hidden="1">{#N/A,#N/A,FALSE,"Chi tiÆt"}</definedName>
    <definedName name="_____________________amd1" localSheetId="24" hidden="1">{#N/A,#N/A,FALSE,"Chi tiÆt"}</definedName>
    <definedName name="_____________________amd1" localSheetId="32" hidden="1">{#N/A,#N/A,FALSE,"Chi tiÆt"}</definedName>
    <definedName name="_____________________amd1" localSheetId="27" hidden="1">{#N/A,#N/A,FALSE,"Chi tiÆt"}</definedName>
    <definedName name="_____________________amd1" localSheetId="28" hidden="1">{#N/A,#N/A,FALSE,"Chi tiÆt"}</definedName>
    <definedName name="_____________________amd1" localSheetId="29" hidden="1">{#N/A,#N/A,FALSE,"Chi tiÆt"}</definedName>
    <definedName name="_____________________amd1" localSheetId="31" hidden="1">{#N/A,#N/A,FALSE,"Chi tiÆt"}</definedName>
    <definedName name="_____________________amd1" localSheetId="30" hidden="1">{#N/A,#N/A,FALSE,"Chi tiÆt"}</definedName>
    <definedName name="_____________________amd1" localSheetId="17" hidden="1">{#N/A,#N/A,FALSE,"Chi tiÆt"}</definedName>
    <definedName name="_____________________amd1" localSheetId="18" hidden="1">{#N/A,#N/A,FALSE,"Chi tiÆt"}</definedName>
    <definedName name="_____________________amd1" hidden="1">{#N/A,#N/A,FALSE,"Chi tiÆt"}</definedName>
    <definedName name="_____________________DIV3" localSheetId="32" hidden="1">#REF!</definedName>
    <definedName name="_____________________DIV3" localSheetId="27" hidden="1">#REF!</definedName>
    <definedName name="_____________________DIV3" localSheetId="18" hidden="1">#REF!</definedName>
    <definedName name="_____________________DIV3" hidden="1">#REF!</definedName>
    <definedName name="_____________________DIV4" localSheetId="27" hidden="1">#REF!</definedName>
    <definedName name="_____________________DIV4" localSheetId="18" hidden="1">#REF!</definedName>
    <definedName name="_____________________DIV4" hidden="1">#REF!</definedName>
    <definedName name="_____________________DIV5" localSheetId="27" hidden="1">#REF!</definedName>
    <definedName name="_____________________DIV5" localSheetId="18" hidden="1">#REF!</definedName>
    <definedName name="_____________________DIV5" hidden="1">#REF!</definedName>
    <definedName name="_____________________REV3" localSheetId="20" hidden="1">{#N/A,#N/A,FALSE,"REK-S-TPL";#N/A,#N/A,FALSE,"REK-TPML";#N/A,#N/A,FALSE,"RAB-TEMPEL"}</definedName>
    <definedName name="_____________________REV3" localSheetId="19" hidden="1">{#N/A,#N/A,FALSE,"REK-S-TPL";#N/A,#N/A,FALSE,"REK-TPML";#N/A,#N/A,FALSE,"RAB-TEMPEL"}</definedName>
    <definedName name="_____________________REV3" localSheetId="26" hidden="1">{#N/A,#N/A,FALSE,"REK-S-TPL";#N/A,#N/A,FALSE,"REK-TPML";#N/A,#N/A,FALSE,"RAB-TEMPEL"}</definedName>
    <definedName name="_____________________REV3" localSheetId="24" hidden="1">{#N/A,#N/A,FALSE,"REK-S-TPL";#N/A,#N/A,FALSE,"REK-TPML";#N/A,#N/A,FALSE,"RAB-TEMPEL"}</definedName>
    <definedName name="_____________________REV3" localSheetId="32" hidden="1">{#N/A,#N/A,FALSE,"REK-S-TPL";#N/A,#N/A,FALSE,"REK-TPML";#N/A,#N/A,FALSE,"RAB-TEMPEL"}</definedName>
    <definedName name="_____________________REV3" localSheetId="27" hidden="1">{#N/A,#N/A,FALSE,"REK-S-TPL";#N/A,#N/A,FALSE,"REK-TPML";#N/A,#N/A,FALSE,"RAB-TEMPEL"}</definedName>
    <definedName name="_____________________REV3" localSheetId="28" hidden="1">{#N/A,#N/A,FALSE,"REK-S-TPL";#N/A,#N/A,FALSE,"REK-TPML";#N/A,#N/A,FALSE,"RAB-TEMPEL"}</definedName>
    <definedName name="_____________________REV3" localSheetId="29" hidden="1">{#N/A,#N/A,FALSE,"REK-S-TPL";#N/A,#N/A,FALSE,"REK-TPML";#N/A,#N/A,FALSE,"RAB-TEMPEL"}</definedName>
    <definedName name="_____________________REV3" localSheetId="31" hidden="1">{#N/A,#N/A,FALSE,"REK-S-TPL";#N/A,#N/A,FALSE,"REK-TPML";#N/A,#N/A,FALSE,"RAB-TEMPEL"}</definedName>
    <definedName name="_____________________REV3" localSheetId="30" hidden="1">{#N/A,#N/A,FALSE,"REK-S-TPL";#N/A,#N/A,FALSE,"REK-TPML";#N/A,#N/A,FALSE,"RAB-TEMPEL"}</definedName>
    <definedName name="_____________________REV3" localSheetId="17" hidden="1">{#N/A,#N/A,FALSE,"REK-S-TPL";#N/A,#N/A,FALSE,"REK-TPML";#N/A,#N/A,FALSE,"RAB-TEMPEL"}</definedName>
    <definedName name="_____________________REV3" localSheetId="18" hidden="1">{#N/A,#N/A,FALSE,"REK-S-TPL";#N/A,#N/A,FALSE,"REK-TPML";#N/A,#N/A,FALSE,"RAB-TEMPEL"}</definedName>
    <definedName name="_____________________REV3" hidden="1">{#N/A,#N/A,FALSE,"REK-S-TPL";#N/A,#N/A,FALSE,"REK-TPML";#N/A,#N/A,FALSE,"RAB-TEMPEL"}</definedName>
    <definedName name="____________________amd1" localSheetId="20" hidden="1">{#N/A,#N/A,FALSE,"Chi tiÆt"}</definedName>
    <definedName name="____________________amd1" localSheetId="19" hidden="1">{#N/A,#N/A,FALSE,"Chi tiÆt"}</definedName>
    <definedName name="____________________amd1" localSheetId="26" hidden="1">{#N/A,#N/A,FALSE,"Chi tiÆt"}</definedName>
    <definedName name="____________________amd1" localSheetId="24" hidden="1">{#N/A,#N/A,FALSE,"Chi tiÆt"}</definedName>
    <definedName name="____________________amd1" localSheetId="32" hidden="1">{#N/A,#N/A,FALSE,"Chi tiÆt"}</definedName>
    <definedName name="____________________amd1" localSheetId="27" hidden="1">{#N/A,#N/A,FALSE,"Chi tiÆt"}</definedName>
    <definedName name="____________________amd1" localSheetId="28" hidden="1">{#N/A,#N/A,FALSE,"Chi tiÆt"}</definedName>
    <definedName name="____________________amd1" localSheetId="29" hidden="1">{#N/A,#N/A,FALSE,"Chi tiÆt"}</definedName>
    <definedName name="____________________amd1" localSheetId="31" hidden="1">{#N/A,#N/A,FALSE,"Chi tiÆt"}</definedName>
    <definedName name="____________________amd1" localSheetId="30" hidden="1">{#N/A,#N/A,FALSE,"Chi tiÆt"}</definedName>
    <definedName name="____________________amd1" localSheetId="17" hidden="1">{#N/A,#N/A,FALSE,"Chi tiÆt"}</definedName>
    <definedName name="____________________amd1" localSheetId="18" hidden="1">{#N/A,#N/A,FALSE,"Chi tiÆt"}</definedName>
    <definedName name="____________________amd1" hidden="1">{#N/A,#N/A,FALSE,"Chi tiÆt"}</definedName>
    <definedName name="____________________DIV3" localSheetId="32" hidden="1">#REF!</definedName>
    <definedName name="____________________DIV3" localSheetId="27" hidden="1">#REF!</definedName>
    <definedName name="____________________DIV3" localSheetId="18" hidden="1">#REF!</definedName>
    <definedName name="____________________DIV3" hidden="1">#REF!</definedName>
    <definedName name="____________________DIV4" localSheetId="27" hidden="1">#REF!</definedName>
    <definedName name="____________________DIV4" localSheetId="18" hidden="1">#REF!</definedName>
    <definedName name="____________________DIV4" hidden="1">#REF!</definedName>
    <definedName name="____________________DIV5" localSheetId="27" hidden="1">#REF!</definedName>
    <definedName name="____________________DIV5" localSheetId="18" hidden="1">#REF!</definedName>
    <definedName name="____________________DIV5" hidden="1">#REF!</definedName>
    <definedName name="____________________REV3" localSheetId="20" hidden="1">{#N/A,#N/A,FALSE,"REK-S-TPL";#N/A,#N/A,FALSE,"REK-TPML";#N/A,#N/A,FALSE,"RAB-TEMPEL"}</definedName>
    <definedName name="____________________REV3" localSheetId="19" hidden="1">{#N/A,#N/A,FALSE,"REK-S-TPL";#N/A,#N/A,FALSE,"REK-TPML";#N/A,#N/A,FALSE,"RAB-TEMPEL"}</definedName>
    <definedName name="____________________REV3" localSheetId="26" hidden="1">{#N/A,#N/A,FALSE,"REK-S-TPL";#N/A,#N/A,FALSE,"REK-TPML";#N/A,#N/A,FALSE,"RAB-TEMPEL"}</definedName>
    <definedName name="____________________REV3" localSheetId="24" hidden="1">{#N/A,#N/A,FALSE,"REK-S-TPL";#N/A,#N/A,FALSE,"REK-TPML";#N/A,#N/A,FALSE,"RAB-TEMPEL"}</definedName>
    <definedName name="____________________REV3" localSheetId="32" hidden="1">{#N/A,#N/A,FALSE,"REK-S-TPL";#N/A,#N/A,FALSE,"REK-TPML";#N/A,#N/A,FALSE,"RAB-TEMPEL"}</definedName>
    <definedName name="____________________REV3" localSheetId="27" hidden="1">{#N/A,#N/A,FALSE,"REK-S-TPL";#N/A,#N/A,FALSE,"REK-TPML";#N/A,#N/A,FALSE,"RAB-TEMPEL"}</definedName>
    <definedName name="____________________REV3" localSheetId="28" hidden="1">{#N/A,#N/A,FALSE,"REK-S-TPL";#N/A,#N/A,FALSE,"REK-TPML";#N/A,#N/A,FALSE,"RAB-TEMPEL"}</definedName>
    <definedName name="____________________REV3" localSheetId="29" hidden="1">{#N/A,#N/A,FALSE,"REK-S-TPL";#N/A,#N/A,FALSE,"REK-TPML";#N/A,#N/A,FALSE,"RAB-TEMPEL"}</definedName>
    <definedName name="____________________REV3" localSheetId="31" hidden="1">{#N/A,#N/A,FALSE,"REK-S-TPL";#N/A,#N/A,FALSE,"REK-TPML";#N/A,#N/A,FALSE,"RAB-TEMPEL"}</definedName>
    <definedName name="____________________REV3" localSheetId="30" hidden="1">{#N/A,#N/A,FALSE,"REK-S-TPL";#N/A,#N/A,FALSE,"REK-TPML";#N/A,#N/A,FALSE,"RAB-TEMPEL"}</definedName>
    <definedName name="____________________REV3" localSheetId="17" hidden="1">{#N/A,#N/A,FALSE,"REK-S-TPL";#N/A,#N/A,FALSE,"REK-TPML";#N/A,#N/A,FALSE,"RAB-TEMPEL"}</definedName>
    <definedName name="____________________REV3" localSheetId="18" hidden="1">{#N/A,#N/A,FALSE,"REK-S-TPL";#N/A,#N/A,FALSE,"REK-TPML";#N/A,#N/A,FALSE,"RAB-TEMPEL"}</definedName>
    <definedName name="____________________REV3" hidden="1">{#N/A,#N/A,FALSE,"REK-S-TPL";#N/A,#N/A,FALSE,"REK-TPML";#N/A,#N/A,FALSE,"RAB-TEMPEL"}</definedName>
    <definedName name="___________________amd1" localSheetId="20" hidden="1">{#N/A,#N/A,FALSE,"Chi tiÆt"}</definedName>
    <definedName name="___________________amd1" localSheetId="19" hidden="1">{#N/A,#N/A,FALSE,"Chi tiÆt"}</definedName>
    <definedName name="___________________amd1" localSheetId="26" hidden="1">{#N/A,#N/A,FALSE,"Chi tiÆt"}</definedName>
    <definedName name="___________________amd1" localSheetId="24" hidden="1">{#N/A,#N/A,FALSE,"Chi tiÆt"}</definedName>
    <definedName name="___________________amd1" localSheetId="32" hidden="1">{#N/A,#N/A,FALSE,"Chi tiÆt"}</definedName>
    <definedName name="___________________amd1" localSheetId="27" hidden="1">{#N/A,#N/A,FALSE,"Chi tiÆt"}</definedName>
    <definedName name="___________________amd1" localSheetId="28" hidden="1">{#N/A,#N/A,FALSE,"Chi tiÆt"}</definedName>
    <definedName name="___________________amd1" localSheetId="29" hidden="1">{#N/A,#N/A,FALSE,"Chi tiÆt"}</definedName>
    <definedName name="___________________amd1" localSheetId="31" hidden="1">{#N/A,#N/A,FALSE,"Chi tiÆt"}</definedName>
    <definedName name="___________________amd1" localSheetId="30" hidden="1">{#N/A,#N/A,FALSE,"Chi tiÆt"}</definedName>
    <definedName name="___________________amd1" localSheetId="17" hidden="1">{#N/A,#N/A,FALSE,"Chi tiÆt"}</definedName>
    <definedName name="___________________amd1" localSheetId="18" hidden="1">{#N/A,#N/A,FALSE,"Chi tiÆt"}</definedName>
    <definedName name="___________________amd1" hidden="1">{#N/A,#N/A,FALSE,"Chi tiÆt"}</definedName>
    <definedName name="__________________amd1" localSheetId="20" hidden="1">{#N/A,#N/A,FALSE,"Chi tiÆt"}</definedName>
    <definedName name="__________________amd1" localSheetId="19" hidden="1">{#N/A,#N/A,FALSE,"Chi tiÆt"}</definedName>
    <definedName name="__________________amd1" localSheetId="26" hidden="1">{#N/A,#N/A,FALSE,"Chi tiÆt"}</definedName>
    <definedName name="__________________amd1" localSheetId="24" hidden="1">{#N/A,#N/A,FALSE,"Chi tiÆt"}</definedName>
    <definedName name="__________________amd1" localSheetId="32" hidden="1">{#N/A,#N/A,FALSE,"Chi tiÆt"}</definedName>
    <definedName name="__________________amd1" localSheetId="27" hidden="1">{#N/A,#N/A,FALSE,"Chi tiÆt"}</definedName>
    <definedName name="__________________amd1" localSheetId="28" hidden="1">{#N/A,#N/A,FALSE,"Chi tiÆt"}</definedName>
    <definedName name="__________________amd1" localSheetId="29" hidden="1">{#N/A,#N/A,FALSE,"Chi tiÆt"}</definedName>
    <definedName name="__________________amd1" localSheetId="31" hidden="1">{#N/A,#N/A,FALSE,"Chi tiÆt"}</definedName>
    <definedName name="__________________amd1" localSheetId="30" hidden="1">{#N/A,#N/A,FALSE,"Chi tiÆt"}</definedName>
    <definedName name="__________________amd1" localSheetId="17" hidden="1">{#N/A,#N/A,FALSE,"Chi tiÆt"}</definedName>
    <definedName name="__________________amd1" localSheetId="18" hidden="1">{#N/A,#N/A,FALSE,"Chi tiÆt"}</definedName>
    <definedName name="__________________amd1" hidden="1">{#N/A,#N/A,FALSE,"Chi tiÆt"}</definedName>
    <definedName name="__________________REV3" localSheetId="20" hidden="1">{#N/A,#N/A,FALSE,"REK-S-TPL";#N/A,#N/A,FALSE,"REK-TPML";#N/A,#N/A,FALSE,"RAB-TEMPEL"}</definedName>
    <definedName name="__________________REV3" localSheetId="19" hidden="1">{#N/A,#N/A,FALSE,"REK-S-TPL";#N/A,#N/A,FALSE,"REK-TPML";#N/A,#N/A,FALSE,"RAB-TEMPEL"}</definedName>
    <definedName name="__________________REV3" localSheetId="26" hidden="1">{#N/A,#N/A,FALSE,"REK-S-TPL";#N/A,#N/A,FALSE,"REK-TPML";#N/A,#N/A,FALSE,"RAB-TEMPEL"}</definedName>
    <definedName name="__________________REV3" localSheetId="24" hidden="1">{#N/A,#N/A,FALSE,"REK-S-TPL";#N/A,#N/A,FALSE,"REK-TPML";#N/A,#N/A,FALSE,"RAB-TEMPEL"}</definedName>
    <definedName name="__________________REV3" localSheetId="32" hidden="1">{#N/A,#N/A,FALSE,"REK-S-TPL";#N/A,#N/A,FALSE,"REK-TPML";#N/A,#N/A,FALSE,"RAB-TEMPEL"}</definedName>
    <definedName name="__________________REV3" localSheetId="27" hidden="1">{#N/A,#N/A,FALSE,"REK-S-TPL";#N/A,#N/A,FALSE,"REK-TPML";#N/A,#N/A,FALSE,"RAB-TEMPEL"}</definedName>
    <definedName name="__________________REV3" localSheetId="28" hidden="1">{#N/A,#N/A,FALSE,"REK-S-TPL";#N/A,#N/A,FALSE,"REK-TPML";#N/A,#N/A,FALSE,"RAB-TEMPEL"}</definedName>
    <definedName name="__________________REV3" localSheetId="29" hidden="1">{#N/A,#N/A,FALSE,"REK-S-TPL";#N/A,#N/A,FALSE,"REK-TPML";#N/A,#N/A,FALSE,"RAB-TEMPEL"}</definedName>
    <definedName name="__________________REV3" localSheetId="31" hidden="1">{#N/A,#N/A,FALSE,"REK-S-TPL";#N/A,#N/A,FALSE,"REK-TPML";#N/A,#N/A,FALSE,"RAB-TEMPEL"}</definedName>
    <definedName name="__________________REV3" localSheetId="30" hidden="1">{#N/A,#N/A,FALSE,"REK-S-TPL";#N/A,#N/A,FALSE,"REK-TPML";#N/A,#N/A,FALSE,"RAB-TEMPEL"}</definedName>
    <definedName name="__________________REV3" localSheetId="17" hidden="1">{#N/A,#N/A,FALSE,"REK-S-TPL";#N/A,#N/A,FALSE,"REK-TPML";#N/A,#N/A,FALSE,"RAB-TEMPEL"}</definedName>
    <definedName name="__________________REV3" localSheetId="18" hidden="1">{#N/A,#N/A,FALSE,"REK-S-TPL";#N/A,#N/A,FALSE,"REK-TPML";#N/A,#N/A,FALSE,"RAB-TEMPEL"}</definedName>
    <definedName name="__________________REV3" hidden="1">{#N/A,#N/A,FALSE,"REK-S-TPL";#N/A,#N/A,FALSE,"REK-TPML";#N/A,#N/A,FALSE,"RAB-TEMPEL"}</definedName>
    <definedName name="_________________amd1" localSheetId="20" hidden="1">{#N/A,#N/A,FALSE,"Chi tiÆt"}</definedName>
    <definedName name="_________________amd1" localSheetId="19" hidden="1">{#N/A,#N/A,FALSE,"Chi tiÆt"}</definedName>
    <definedName name="_________________amd1" localSheetId="26" hidden="1">{#N/A,#N/A,FALSE,"Chi tiÆt"}</definedName>
    <definedName name="_________________amd1" localSheetId="24" hidden="1">{#N/A,#N/A,FALSE,"Chi tiÆt"}</definedName>
    <definedName name="_________________amd1" localSheetId="32" hidden="1">{#N/A,#N/A,FALSE,"Chi tiÆt"}</definedName>
    <definedName name="_________________amd1" localSheetId="27" hidden="1">{#N/A,#N/A,FALSE,"Chi tiÆt"}</definedName>
    <definedName name="_________________amd1" localSheetId="28" hidden="1">{#N/A,#N/A,FALSE,"Chi tiÆt"}</definedName>
    <definedName name="_________________amd1" localSheetId="29" hidden="1">{#N/A,#N/A,FALSE,"Chi tiÆt"}</definedName>
    <definedName name="_________________amd1" localSheetId="31" hidden="1">{#N/A,#N/A,FALSE,"Chi tiÆt"}</definedName>
    <definedName name="_________________amd1" localSheetId="30" hidden="1">{#N/A,#N/A,FALSE,"Chi tiÆt"}</definedName>
    <definedName name="_________________amd1" localSheetId="17" hidden="1">{#N/A,#N/A,FALSE,"Chi tiÆt"}</definedName>
    <definedName name="_________________amd1" localSheetId="18" hidden="1">{#N/A,#N/A,FALSE,"Chi tiÆt"}</definedName>
    <definedName name="_________________amd1" hidden="1">{#N/A,#N/A,FALSE,"Chi tiÆt"}</definedName>
    <definedName name="_________________REV3" localSheetId="20" hidden="1">{#N/A,#N/A,FALSE,"REK-S-TPL";#N/A,#N/A,FALSE,"REK-TPML";#N/A,#N/A,FALSE,"RAB-TEMPEL"}</definedName>
    <definedName name="_________________REV3" localSheetId="19" hidden="1">{#N/A,#N/A,FALSE,"REK-S-TPL";#N/A,#N/A,FALSE,"REK-TPML";#N/A,#N/A,FALSE,"RAB-TEMPEL"}</definedName>
    <definedName name="_________________REV3" localSheetId="26" hidden="1">{#N/A,#N/A,FALSE,"REK-S-TPL";#N/A,#N/A,FALSE,"REK-TPML";#N/A,#N/A,FALSE,"RAB-TEMPEL"}</definedName>
    <definedName name="_________________REV3" localSheetId="24" hidden="1">{#N/A,#N/A,FALSE,"REK-S-TPL";#N/A,#N/A,FALSE,"REK-TPML";#N/A,#N/A,FALSE,"RAB-TEMPEL"}</definedName>
    <definedName name="_________________REV3" localSheetId="32" hidden="1">{#N/A,#N/A,FALSE,"REK-S-TPL";#N/A,#N/A,FALSE,"REK-TPML";#N/A,#N/A,FALSE,"RAB-TEMPEL"}</definedName>
    <definedName name="_________________REV3" localSheetId="27" hidden="1">{#N/A,#N/A,FALSE,"REK-S-TPL";#N/A,#N/A,FALSE,"REK-TPML";#N/A,#N/A,FALSE,"RAB-TEMPEL"}</definedName>
    <definedName name="_________________REV3" localSheetId="28" hidden="1">{#N/A,#N/A,FALSE,"REK-S-TPL";#N/A,#N/A,FALSE,"REK-TPML";#N/A,#N/A,FALSE,"RAB-TEMPEL"}</definedName>
    <definedName name="_________________REV3" localSheetId="29" hidden="1">{#N/A,#N/A,FALSE,"REK-S-TPL";#N/A,#N/A,FALSE,"REK-TPML";#N/A,#N/A,FALSE,"RAB-TEMPEL"}</definedName>
    <definedName name="_________________REV3" localSheetId="31" hidden="1">{#N/A,#N/A,FALSE,"REK-S-TPL";#N/A,#N/A,FALSE,"REK-TPML";#N/A,#N/A,FALSE,"RAB-TEMPEL"}</definedName>
    <definedName name="_________________REV3" localSheetId="30" hidden="1">{#N/A,#N/A,FALSE,"REK-S-TPL";#N/A,#N/A,FALSE,"REK-TPML";#N/A,#N/A,FALSE,"RAB-TEMPEL"}</definedName>
    <definedName name="_________________REV3" localSheetId="17" hidden="1">{#N/A,#N/A,FALSE,"REK-S-TPL";#N/A,#N/A,FALSE,"REK-TPML";#N/A,#N/A,FALSE,"RAB-TEMPEL"}</definedName>
    <definedName name="_________________REV3" localSheetId="18" hidden="1">{#N/A,#N/A,FALSE,"REK-S-TPL";#N/A,#N/A,FALSE,"REK-TPML";#N/A,#N/A,FALSE,"RAB-TEMPEL"}</definedName>
    <definedName name="_________________REV3" hidden="1">{#N/A,#N/A,FALSE,"REK-S-TPL";#N/A,#N/A,FALSE,"REK-TPML";#N/A,#N/A,FALSE,"RAB-TEMPEL"}</definedName>
    <definedName name="________________amd1" localSheetId="20" hidden="1">{#N/A,#N/A,FALSE,"Chi tiÆt"}</definedName>
    <definedName name="________________amd1" localSheetId="19" hidden="1">{#N/A,#N/A,FALSE,"Chi tiÆt"}</definedName>
    <definedName name="________________amd1" localSheetId="26" hidden="1">{#N/A,#N/A,FALSE,"Chi tiÆt"}</definedName>
    <definedName name="________________amd1" localSheetId="24" hidden="1">{#N/A,#N/A,FALSE,"Chi tiÆt"}</definedName>
    <definedName name="________________amd1" localSheetId="32" hidden="1">{#N/A,#N/A,FALSE,"Chi tiÆt"}</definedName>
    <definedName name="________________amd1" localSheetId="27" hidden="1">{#N/A,#N/A,FALSE,"Chi tiÆt"}</definedName>
    <definedName name="________________amd1" localSheetId="28" hidden="1">{#N/A,#N/A,FALSE,"Chi tiÆt"}</definedName>
    <definedName name="________________amd1" localSheetId="29" hidden="1">{#N/A,#N/A,FALSE,"Chi tiÆt"}</definedName>
    <definedName name="________________amd1" localSheetId="31" hidden="1">{#N/A,#N/A,FALSE,"Chi tiÆt"}</definedName>
    <definedName name="________________amd1" localSheetId="30" hidden="1">{#N/A,#N/A,FALSE,"Chi tiÆt"}</definedName>
    <definedName name="________________amd1" localSheetId="17" hidden="1">{#N/A,#N/A,FALSE,"Chi tiÆt"}</definedName>
    <definedName name="________________amd1" localSheetId="18" hidden="1">{#N/A,#N/A,FALSE,"Chi tiÆt"}</definedName>
    <definedName name="________________amd1" hidden="1">{#N/A,#N/A,FALSE,"Chi tiÆt"}</definedName>
    <definedName name="________________REV3" localSheetId="20" hidden="1">{#N/A,#N/A,FALSE,"REK-S-TPL";#N/A,#N/A,FALSE,"REK-TPML";#N/A,#N/A,FALSE,"RAB-TEMPEL"}</definedName>
    <definedName name="________________REV3" localSheetId="19" hidden="1">{#N/A,#N/A,FALSE,"REK-S-TPL";#N/A,#N/A,FALSE,"REK-TPML";#N/A,#N/A,FALSE,"RAB-TEMPEL"}</definedName>
    <definedName name="________________REV3" localSheetId="26" hidden="1">{#N/A,#N/A,FALSE,"REK-S-TPL";#N/A,#N/A,FALSE,"REK-TPML";#N/A,#N/A,FALSE,"RAB-TEMPEL"}</definedName>
    <definedName name="________________REV3" localSheetId="24" hidden="1">{#N/A,#N/A,FALSE,"REK-S-TPL";#N/A,#N/A,FALSE,"REK-TPML";#N/A,#N/A,FALSE,"RAB-TEMPEL"}</definedName>
    <definedName name="________________REV3" localSheetId="32" hidden="1">{#N/A,#N/A,FALSE,"REK-S-TPL";#N/A,#N/A,FALSE,"REK-TPML";#N/A,#N/A,FALSE,"RAB-TEMPEL"}</definedName>
    <definedName name="________________REV3" localSheetId="27" hidden="1">{#N/A,#N/A,FALSE,"REK-S-TPL";#N/A,#N/A,FALSE,"REK-TPML";#N/A,#N/A,FALSE,"RAB-TEMPEL"}</definedName>
    <definedName name="________________REV3" localSheetId="28" hidden="1">{#N/A,#N/A,FALSE,"REK-S-TPL";#N/A,#N/A,FALSE,"REK-TPML";#N/A,#N/A,FALSE,"RAB-TEMPEL"}</definedName>
    <definedName name="________________REV3" localSheetId="29" hidden="1">{#N/A,#N/A,FALSE,"REK-S-TPL";#N/A,#N/A,FALSE,"REK-TPML";#N/A,#N/A,FALSE,"RAB-TEMPEL"}</definedName>
    <definedName name="________________REV3" localSheetId="31" hidden="1">{#N/A,#N/A,FALSE,"REK-S-TPL";#N/A,#N/A,FALSE,"REK-TPML";#N/A,#N/A,FALSE,"RAB-TEMPEL"}</definedName>
    <definedName name="________________REV3" localSheetId="30" hidden="1">{#N/A,#N/A,FALSE,"REK-S-TPL";#N/A,#N/A,FALSE,"REK-TPML";#N/A,#N/A,FALSE,"RAB-TEMPEL"}</definedName>
    <definedName name="________________REV3" localSheetId="17" hidden="1">{#N/A,#N/A,FALSE,"REK-S-TPL";#N/A,#N/A,FALSE,"REK-TPML";#N/A,#N/A,FALSE,"RAB-TEMPEL"}</definedName>
    <definedName name="________________REV3" localSheetId="18" hidden="1">{#N/A,#N/A,FALSE,"REK-S-TPL";#N/A,#N/A,FALSE,"REK-TPML";#N/A,#N/A,FALSE,"RAB-TEMPEL"}</definedName>
    <definedName name="________________REV3" hidden="1">{#N/A,#N/A,FALSE,"REK-S-TPL";#N/A,#N/A,FALSE,"REK-TPML";#N/A,#N/A,FALSE,"RAB-TEMPEL"}</definedName>
    <definedName name="_______________amd1" localSheetId="20" hidden="1">{#N/A,#N/A,FALSE,"Chi tiÆt"}</definedName>
    <definedName name="_______________amd1" localSheetId="19" hidden="1">{#N/A,#N/A,FALSE,"Chi tiÆt"}</definedName>
    <definedName name="_______________amd1" localSheetId="26" hidden="1">{#N/A,#N/A,FALSE,"Chi tiÆt"}</definedName>
    <definedName name="_______________amd1" localSheetId="24" hidden="1">{#N/A,#N/A,FALSE,"Chi tiÆt"}</definedName>
    <definedName name="_______________amd1" localSheetId="32" hidden="1">{#N/A,#N/A,FALSE,"Chi tiÆt"}</definedName>
    <definedName name="_______________amd1" localSheetId="27" hidden="1">{#N/A,#N/A,FALSE,"Chi tiÆt"}</definedName>
    <definedName name="_______________amd1" localSheetId="28" hidden="1">{#N/A,#N/A,FALSE,"Chi tiÆt"}</definedName>
    <definedName name="_______________amd1" localSheetId="29" hidden="1">{#N/A,#N/A,FALSE,"Chi tiÆt"}</definedName>
    <definedName name="_______________amd1" localSheetId="31" hidden="1">{#N/A,#N/A,FALSE,"Chi tiÆt"}</definedName>
    <definedName name="_______________amd1" localSheetId="30" hidden="1">{#N/A,#N/A,FALSE,"Chi tiÆt"}</definedName>
    <definedName name="_______________amd1" localSheetId="17" hidden="1">{#N/A,#N/A,FALSE,"Chi tiÆt"}</definedName>
    <definedName name="_______________amd1" localSheetId="18" hidden="1">{#N/A,#N/A,FALSE,"Chi tiÆt"}</definedName>
    <definedName name="_______________amd1" hidden="1">{#N/A,#N/A,FALSE,"Chi tiÆt"}</definedName>
    <definedName name="_______________REV3" localSheetId="20" hidden="1">{#N/A,#N/A,FALSE,"REK-S-TPL";#N/A,#N/A,FALSE,"REK-TPML";#N/A,#N/A,FALSE,"RAB-TEMPEL"}</definedName>
    <definedName name="_______________REV3" localSheetId="19" hidden="1">{#N/A,#N/A,FALSE,"REK-S-TPL";#N/A,#N/A,FALSE,"REK-TPML";#N/A,#N/A,FALSE,"RAB-TEMPEL"}</definedName>
    <definedName name="_______________REV3" localSheetId="26" hidden="1">{#N/A,#N/A,FALSE,"REK-S-TPL";#N/A,#N/A,FALSE,"REK-TPML";#N/A,#N/A,FALSE,"RAB-TEMPEL"}</definedName>
    <definedName name="_______________REV3" localSheetId="24" hidden="1">{#N/A,#N/A,FALSE,"REK-S-TPL";#N/A,#N/A,FALSE,"REK-TPML";#N/A,#N/A,FALSE,"RAB-TEMPEL"}</definedName>
    <definedName name="_______________REV3" localSheetId="32" hidden="1">{#N/A,#N/A,FALSE,"REK-S-TPL";#N/A,#N/A,FALSE,"REK-TPML";#N/A,#N/A,FALSE,"RAB-TEMPEL"}</definedName>
    <definedName name="_______________REV3" localSheetId="27" hidden="1">{#N/A,#N/A,FALSE,"REK-S-TPL";#N/A,#N/A,FALSE,"REK-TPML";#N/A,#N/A,FALSE,"RAB-TEMPEL"}</definedName>
    <definedName name="_______________REV3" localSheetId="28" hidden="1">{#N/A,#N/A,FALSE,"REK-S-TPL";#N/A,#N/A,FALSE,"REK-TPML";#N/A,#N/A,FALSE,"RAB-TEMPEL"}</definedName>
    <definedName name="_______________REV3" localSheetId="29" hidden="1">{#N/A,#N/A,FALSE,"REK-S-TPL";#N/A,#N/A,FALSE,"REK-TPML";#N/A,#N/A,FALSE,"RAB-TEMPEL"}</definedName>
    <definedName name="_______________REV3" localSheetId="31" hidden="1">{#N/A,#N/A,FALSE,"REK-S-TPL";#N/A,#N/A,FALSE,"REK-TPML";#N/A,#N/A,FALSE,"RAB-TEMPEL"}</definedName>
    <definedName name="_______________REV3" localSheetId="30" hidden="1">{#N/A,#N/A,FALSE,"REK-S-TPL";#N/A,#N/A,FALSE,"REK-TPML";#N/A,#N/A,FALSE,"RAB-TEMPEL"}</definedName>
    <definedName name="_______________REV3" localSheetId="17" hidden="1">{#N/A,#N/A,FALSE,"REK-S-TPL";#N/A,#N/A,FALSE,"REK-TPML";#N/A,#N/A,FALSE,"RAB-TEMPEL"}</definedName>
    <definedName name="_______________REV3" localSheetId="18" hidden="1">{#N/A,#N/A,FALSE,"REK-S-TPL";#N/A,#N/A,FALSE,"REK-TPML";#N/A,#N/A,FALSE,"RAB-TEMPEL"}</definedName>
    <definedName name="_______________REV3" hidden="1">{#N/A,#N/A,FALSE,"REK-S-TPL";#N/A,#N/A,FALSE,"REK-TPML";#N/A,#N/A,FALSE,"RAB-TEMPEL"}</definedName>
    <definedName name="______________amd1" localSheetId="20" hidden="1">{#N/A,#N/A,FALSE,"Chi tiÆt"}</definedName>
    <definedName name="______________amd1" localSheetId="19" hidden="1">{#N/A,#N/A,FALSE,"Chi tiÆt"}</definedName>
    <definedName name="______________amd1" localSheetId="26" hidden="1">{#N/A,#N/A,FALSE,"Chi tiÆt"}</definedName>
    <definedName name="______________amd1" localSheetId="24" hidden="1">{#N/A,#N/A,FALSE,"Chi tiÆt"}</definedName>
    <definedName name="______________amd1" localSheetId="32" hidden="1">{#N/A,#N/A,FALSE,"Chi tiÆt"}</definedName>
    <definedName name="______________amd1" localSheetId="27" hidden="1">{#N/A,#N/A,FALSE,"Chi tiÆt"}</definedName>
    <definedName name="______________amd1" localSheetId="28" hidden="1">{#N/A,#N/A,FALSE,"Chi tiÆt"}</definedName>
    <definedName name="______________amd1" localSheetId="29" hidden="1">{#N/A,#N/A,FALSE,"Chi tiÆt"}</definedName>
    <definedName name="______________amd1" localSheetId="31" hidden="1">{#N/A,#N/A,FALSE,"Chi tiÆt"}</definedName>
    <definedName name="______________amd1" localSheetId="30" hidden="1">{#N/A,#N/A,FALSE,"Chi tiÆt"}</definedName>
    <definedName name="______________amd1" localSheetId="17" hidden="1">{#N/A,#N/A,FALSE,"Chi tiÆt"}</definedName>
    <definedName name="______________amd1" localSheetId="18" hidden="1">{#N/A,#N/A,FALSE,"Chi tiÆt"}</definedName>
    <definedName name="______________amd1" hidden="1">{#N/A,#N/A,FALSE,"Chi tiÆt"}</definedName>
    <definedName name="______________gk2" localSheetId="32" hidden="1">#REF!</definedName>
    <definedName name="______________gk2" hidden="1">#REF!</definedName>
    <definedName name="______________REV3" localSheetId="20" hidden="1">{#N/A,#N/A,FALSE,"REK-S-TPL";#N/A,#N/A,FALSE,"REK-TPML";#N/A,#N/A,FALSE,"RAB-TEMPEL"}</definedName>
    <definedName name="______________REV3" localSheetId="19" hidden="1">{#N/A,#N/A,FALSE,"REK-S-TPL";#N/A,#N/A,FALSE,"REK-TPML";#N/A,#N/A,FALSE,"RAB-TEMPEL"}</definedName>
    <definedName name="______________REV3" localSheetId="26" hidden="1">{#N/A,#N/A,FALSE,"REK-S-TPL";#N/A,#N/A,FALSE,"REK-TPML";#N/A,#N/A,FALSE,"RAB-TEMPEL"}</definedName>
    <definedName name="______________REV3" localSheetId="24" hidden="1">{#N/A,#N/A,FALSE,"REK-S-TPL";#N/A,#N/A,FALSE,"REK-TPML";#N/A,#N/A,FALSE,"RAB-TEMPEL"}</definedName>
    <definedName name="______________REV3" localSheetId="32" hidden="1">{#N/A,#N/A,FALSE,"REK-S-TPL";#N/A,#N/A,FALSE,"REK-TPML";#N/A,#N/A,FALSE,"RAB-TEMPEL"}</definedName>
    <definedName name="______________REV3" localSheetId="27" hidden="1">{#N/A,#N/A,FALSE,"REK-S-TPL";#N/A,#N/A,FALSE,"REK-TPML";#N/A,#N/A,FALSE,"RAB-TEMPEL"}</definedName>
    <definedName name="______________REV3" localSheetId="28" hidden="1">{#N/A,#N/A,FALSE,"REK-S-TPL";#N/A,#N/A,FALSE,"REK-TPML";#N/A,#N/A,FALSE,"RAB-TEMPEL"}</definedName>
    <definedName name="______________REV3" localSheetId="29" hidden="1">{#N/A,#N/A,FALSE,"REK-S-TPL";#N/A,#N/A,FALSE,"REK-TPML";#N/A,#N/A,FALSE,"RAB-TEMPEL"}</definedName>
    <definedName name="______________REV3" localSheetId="31" hidden="1">{#N/A,#N/A,FALSE,"REK-S-TPL";#N/A,#N/A,FALSE,"REK-TPML";#N/A,#N/A,FALSE,"RAB-TEMPEL"}</definedName>
    <definedName name="______________REV3" localSheetId="30" hidden="1">{#N/A,#N/A,FALSE,"REK-S-TPL";#N/A,#N/A,FALSE,"REK-TPML";#N/A,#N/A,FALSE,"RAB-TEMPEL"}</definedName>
    <definedName name="______________REV3" localSheetId="17" hidden="1">{#N/A,#N/A,FALSE,"REK-S-TPL";#N/A,#N/A,FALSE,"REK-TPML";#N/A,#N/A,FALSE,"RAB-TEMPEL"}</definedName>
    <definedName name="______________REV3" localSheetId="18" hidden="1">{#N/A,#N/A,FALSE,"REK-S-TPL";#N/A,#N/A,FALSE,"REK-TPML";#N/A,#N/A,FALSE,"RAB-TEMPEL"}</definedName>
    <definedName name="______________REV3" hidden="1">{#N/A,#N/A,FALSE,"REK-S-TPL";#N/A,#N/A,FALSE,"REK-TPML";#N/A,#N/A,FALSE,"RAB-TEMPEL"}</definedName>
    <definedName name="_____________amd1" localSheetId="20" hidden="1">{#N/A,#N/A,FALSE,"Chi tiÆt"}</definedName>
    <definedName name="_____________amd1" localSheetId="19" hidden="1">{#N/A,#N/A,FALSE,"Chi tiÆt"}</definedName>
    <definedName name="_____________amd1" localSheetId="26" hidden="1">{#N/A,#N/A,FALSE,"Chi tiÆt"}</definedName>
    <definedName name="_____________amd1" localSheetId="24" hidden="1">{#N/A,#N/A,FALSE,"Chi tiÆt"}</definedName>
    <definedName name="_____________amd1" localSheetId="32" hidden="1">{#N/A,#N/A,FALSE,"Chi tiÆt"}</definedName>
    <definedName name="_____________amd1" localSheetId="27" hidden="1">{#N/A,#N/A,FALSE,"Chi tiÆt"}</definedName>
    <definedName name="_____________amd1" localSheetId="28" hidden="1">{#N/A,#N/A,FALSE,"Chi tiÆt"}</definedName>
    <definedName name="_____________amd1" localSheetId="29" hidden="1">{#N/A,#N/A,FALSE,"Chi tiÆt"}</definedName>
    <definedName name="_____________amd1" localSheetId="31" hidden="1">{#N/A,#N/A,FALSE,"Chi tiÆt"}</definedName>
    <definedName name="_____________amd1" localSheetId="30" hidden="1">{#N/A,#N/A,FALSE,"Chi tiÆt"}</definedName>
    <definedName name="_____________amd1" localSheetId="17" hidden="1">{#N/A,#N/A,FALSE,"Chi tiÆt"}</definedName>
    <definedName name="_____________amd1" localSheetId="18" hidden="1">{#N/A,#N/A,FALSE,"Chi tiÆt"}</definedName>
    <definedName name="_____________amd1" hidden="1">{#N/A,#N/A,FALSE,"Chi tiÆt"}</definedName>
    <definedName name="_____________gk2" localSheetId="32" hidden="1">#REF!</definedName>
    <definedName name="_____________gk2" hidden="1">#REF!</definedName>
    <definedName name="_____________REV3" localSheetId="20" hidden="1">{#N/A,#N/A,FALSE,"REK-S-TPL";#N/A,#N/A,FALSE,"REK-TPML";#N/A,#N/A,FALSE,"RAB-TEMPEL"}</definedName>
    <definedName name="_____________REV3" localSheetId="19" hidden="1">{#N/A,#N/A,FALSE,"REK-S-TPL";#N/A,#N/A,FALSE,"REK-TPML";#N/A,#N/A,FALSE,"RAB-TEMPEL"}</definedName>
    <definedName name="_____________REV3" localSheetId="26" hidden="1">{#N/A,#N/A,FALSE,"REK-S-TPL";#N/A,#N/A,FALSE,"REK-TPML";#N/A,#N/A,FALSE,"RAB-TEMPEL"}</definedName>
    <definedName name="_____________REV3" localSheetId="24" hidden="1">{#N/A,#N/A,FALSE,"REK-S-TPL";#N/A,#N/A,FALSE,"REK-TPML";#N/A,#N/A,FALSE,"RAB-TEMPEL"}</definedName>
    <definedName name="_____________REV3" localSheetId="32" hidden="1">{#N/A,#N/A,FALSE,"REK-S-TPL";#N/A,#N/A,FALSE,"REK-TPML";#N/A,#N/A,FALSE,"RAB-TEMPEL"}</definedName>
    <definedName name="_____________REV3" localSheetId="27" hidden="1">{#N/A,#N/A,FALSE,"REK-S-TPL";#N/A,#N/A,FALSE,"REK-TPML";#N/A,#N/A,FALSE,"RAB-TEMPEL"}</definedName>
    <definedName name="_____________REV3" localSheetId="28" hidden="1">{#N/A,#N/A,FALSE,"REK-S-TPL";#N/A,#N/A,FALSE,"REK-TPML";#N/A,#N/A,FALSE,"RAB-TEMPEL"}</definedName>
    <definedName name="_____________REV3" localSheetId="29" hidden="1">{#N/A,#N/A,FALSE,"REK-S-TPL";#N/A,#N/A,FALSE,"REK-TPML";#N/A,#N/A,FALSE,"RAB-TEMPEL"}</definedName>
    <definedName name="_____________REV3" localSheetId="31" hidden="1">{#N/A,#N/A,FALSE,"REK-S-TPL";#N/A,#N/A,FALSE,"REK-TPML";#N/A,#N/A,FALSE,"RAB-TEMPEL"}</definedName>
    <definedName name="_____________REV3" localSheetId="30" hidden="1">{#N/A,#N/A,FALSE,"REK-S-TPL";#N/A,#N/A,FALSE,"REK-TPML";#N/A,#N/A,FALSE,"RAB-TEMPEL"}</definedName>
    <definedName name="_____________REV3" localSheetId="17" hidden="1">{#N/A,#N/A,FALSE,"REK-S-TPL";#N/A,#N/A,FALSE,"REK-TPML";#N/A,#N/A,FALSE,"RAB-TEMPEL"}</definedName>
    <definedName name="_____________REV3" localSheetId="18" hidden="1">{#N/A,#N/A,FALSE,"REK-S-TPL";#N/A,#N/A,FALSE,"REK-TPML";#N/A,#N/A,FALSE,"RAB-TEMPEL"}</definedName>
    <definedName name="_____________REV3" hidden="1">{#N/A,#N/A,FALSE,"REK-S-TPL";#N/A,#N/A,FALSE,"REK-TPML";#N/A,#N/A,FALSE,"RAB-TEMPEL"}</definedName>
    <definedName name="____________amd1" localSheetId="20" hidden="1">{#N/A,#N/A,FALSE,"Chi tiÆt"}</definedName>
    <definedName name="____________amd1" localSheetId="19" hidden="1">{#N/A,#N/A,FALSE,"Chi tiÆt"}</definedName>
    <definedName name="____________amd1" localSheetId="26" hidden="1">{#N/A,#N/A,FALSE,"Chi tiÆt"}</definedName>
    <definedName name="____________amd1" localSheetId="24" hidden="1">{#N/A,#N/A,FALSE,"Chi tiÆt"}</definedName>
    <definedName name="____________amd1" localSheetId="32" hidden="1">{#N/A,#N/A,FALSE,"Chi tiÆt"}</definedName>
    <definedName name="____________amd1" localSheetId="27" hidden="1">{#N/A,#N/A,FALSE,"Chi tiÆt"}</definedName>
    <definedName name="____________amd1" localSheetId="28" hidden="1">{#N/A,#N/A,FALSE,"Chi tiÆt"}</definedName>
    <definedName name="____________amd1" localSheetId="29" hidden="1">{#N/A,#N/A,FALSE,"Chi tiÆt"}</definedName>
    <definedName name="____________amd1" localSheetId="31" hidden="1">{#N/A,#N/A,FALSE,"Chi tiÆt"}</definedName>
    <definedName name="____________amd1" localSheetId="30" hidden="1">{#N/A,#N/A,FALSE,"Chi tiÆt"}</definedName>
    <definedName name="____________amd1" localSheetId="17" hidden="1">{#N/A,#N/A,FALSE,"Chi tiÆt"}</definedName>
    <definedName name="____________amd1" localSheetId="18" hidden="1">{#N/A,#N/A,FALSE,"Chi tiÆt"}</definedName>
    <definedName name="____________amd1" hidden="1">{#N/A,#N/A,FALSE,"Chi tiÆt"}</definedName>
    <definedName name="____________gk2" localSheetId="32" hidden="1">#REF!</definedName>
    <definedName name="____________gk2" hidden="1">#REF!</definedName>
    <definedName name="____________REV3" localSheetId="20" hidden="1">{#N/A,#N/A,FALSE,"REK-S-TPL";#N/A,#N/A,FALSE,"REK-TPML";#N/A,#N/A,FALSE,"RAB-TEMPEL"}</definedName>
    <definedName name="____________REV3" localSheetId="19" hidden="1">{#N/A,#N/A,FALSE,"REK-S-TPL";#N/A,#N/A,FALSE,"REK-TPML";#N/A,#N/A,FALSE,"RAB-TEMPEL"}</definedName>
    <definedName name="____________REV3" localSheetId="26" hidden="1">{#N/A,#N/A,FALSE,"REK-S-TPL";#N/A,#N/A,FALSE,"REK-TPML";#N/A,#N/A,FALSE,"RAB-TEMPEL"}</definedName>
    <definedName name="____________REV3" localSheetId="24" hidden="1">{#N/A,#N/A,FALSE,"REK-S-TPL";#N/A,#N/A,FALSE,"REK-TPML";#N/A,#N/A,FALSE,"RAB-TEMPEL"}</definedName>
    <definedName name="____________REV3" localSheetId="32" hidden="1">{#N/A,#N/A,FALSE,"REK-S-TPL";#N/A,#N/A,FALSE,"REK-TPML";#N/A,#N/A,FALSE,"RAB-TEMPEL"}</definedName>
    <definedName name="____________REV3" localSheetId="27" hidden="1">{#N/A,#N/A,FALSE,"REK-S-TPL";#N/A,#N/A,FALSE,"REK-TPML";#N/A,#N/A,FALSE,"RAB-TEMPEL"}</definedName>
    <definedName name="____________REV3" localSheetId="28" hidden="1">{#N/A,#N/A,FALSE,"REK-S-TPL";#N/A,#N/A,FALSE,"REK-TPML";#N/A,#N/A,FALSE,"RAB-TEMPEL"}</definedName>
    <definedName name="____________REV3" localSheetId="29" hidden="1">{#N/A,#N/A,FALSE,"REK-S-TPL";#N/A,#N/A,FALSE,"REK-TPML";#N/A,#N/A,FALSE,"RAB-TEMPEL"}</definedName>
    <definedName name="____________REV3" localSheetId="31" hidden="1">{#N/A,#N/A,FALSE,"REK-S-TPL";#N/A,#N/A,FALSE,"REK-TPML";#N/A,#N/A,FALSE,"RAB-TEMPEL"}</definedName>
    <definedName name="____________REV3" localSheetId="30" hidden="1">{#N/A,#N/A,FALSE,"REK-S-TPL";#N/A,#N/A,FALSE,"REK-TPML";#N/A,#N/A,FALSE,"RAB-TEMPEL"}</definedName>
    <definedName name="____________REV3" localSheetId="17" hidden="1">{#N/A,#N/A,FALSE,"REK-S-TPL";#N/A,#N/A,FALSE,"REK-TPML";#N/A,#N/A,FALSE,"RAB-TEMPEL"}</definedName>
    <definedName name="____________REV3" localSheetId="18" hidden="1">{#N/A,#N/A,FALSE,"REK-S-TPL";#N/A,#N/A,FALSE,"REK-TPML";#N/A,#N/A,FALSE,"RAB-TEMPEL"}</definedName>
    <definedName name="____________REV3" hidden="1">{#N/A,#N/A,FALSE,"REK-S-TPL";#N/A,#N/A,FALSE,"REK-TPML";#N/A,#N/A,FALSE,"RAB-TEMPEL"}</definedName>
    <definedName name="____________SLA2009" localSheetId="20" hidden="1">{#N/A,#N/A,FALSE,"M.32"}</definedName>
    <definedName name="____________SLA2009" localSheetId="19" hidden="1">{#N/A,#N/A,FALSE,"M.32"}</definedName>
    <definedName name="____________SLA2009" localSheetId="26" hidden="1">{#N/A,#N/A,FALSE,"M.32"}</definedName>
    <definedName name="____________SLA2009" localSheetId="24" hidden="1">{#N/A,#N/A,FALSE,"M.32"}</definedName>
    <definedName name="____________SLA2009" localSheetId="32" hidden="1">{#N/A,#N/A,FALSE,"M.32"}</definedName>
    <definedName name="____________SLA2009" localSheetId="27" hidden="1">{#N/A,#N/A,FALSE,"M.32"}</definedName>
    <definedName name="____________SLA2009" localSheetId="28" hidden="1">{#N/A,#N/A,FALSE,"M.32"}</definedName>
    <definedName name="____________SLA2009" localSheetId="29" hidden="1">{#N/A,#N/A,FALSE,"M.32"}</definedName>
    <definedName name="____________SLA2009" localSheetId="31" hidden="1">{#N/A,#N/A,FALSE,"M.32"}</definedName>
    <definedName name="____________SLA2009" localSheetId="30" hidden="1">{#N/A,#N/A,FALSE,"M.32"}</definedName>
    <definedName name="____________SLA2009" localSheetId="17" hidden="1">{#N/A,#N/A,FALSE,"M.32"}</definedName>
    <definedName name="____________SLA2009" localSheetId="18" hidden="1">{#N/A,#N/A,FALSE,"M.32"}</definedName>
    <definedName name="____________SLA2009" hidden="1">{#N/A,#N/A,FALSE,"M.32"}</definedName>
    <definedName name="____________TH1" localSheetId="20" hidden="1">{#N/A,#N/A,FALSE,"M.34"}</definedName>
    <definedName name="____________TH1" localSheetId="19" hidden="1">{#N/A,#N/A,FALSE,"M.34"}</definedName>
    <definedName name="____________TH1" localSheetId="26" hidden="1">{#N/A,#N/A,FALSE,"M.34"}</definedName>
    <definedName name="____________TH1" localSheetId="24" hidden="1">{#N/A,#N/A,FALSE,"M.34"}</definedName>
    <definedName name="____________TH1" localSheetId="32" hidden="1">{#N/A,#N/A,FALSE,"M.34"}</definedName>
    <definedName name="____________TH1" localSheetId="27" hidden="1">{#N/A,#N/A,FALSE,"M.34"}</definedName>
    <definedName name="____________TH1" localSheetId="28" hidden="1">{#N/A,#N/A,FALSE,"M.34"}</definedName>
    <definedName name="____________TH1" localSheetId="29" hidden="1">{#N/A,#N/A,FALSE,"M.34"}</definedName>
    <definedName name="____________TH1" localSheetId="31" hidden="1">{#N/A,#N/A,FALSE,"M.34"}</definedName>
    <definedName name="____________TH1" localSheetId="30" hidden="1">{#N/A,#N/A,FALSE,"M.34"}</definedName>
    <definedName name="____________TH1" localSheetId="17" hidden="1">{#N/A,#N/A,FALSE,"M.34"}</definedName>
    <definedName name="____________TH1" localSheetId="18" hidden="1">{#N/A,#N/A,FALSE,"M.34"}</definedName>
    <definedName name="____________TH1" hidden="1">{#N/A,#N/A,FALSE,"M.34"}</definedName>
    <definedName name="____________th2" localSheetId="20" hidden="1">{#N/A,#N/A,FALSE,"M.42"}</definedName>
    <definedName name="____________th2" localSheetId="19" hidden="1">{#N/A,#N/A,FALSE,"M.42"}</definedName>
    <definedName name="____________th2" localSheetId="26" hidden="1">{#N/A,#N/A,FALSE,"M.42"}</definedName>
    <definedName name="____________th2" localSheetId="24" hidden="1">{#N/A,#N/A,FALSE,"M.42"}</definedName>
    <definedName name="____________th2" localSheetId="32" hidden="1">{#N/A,#N/A,FALSE,"M.42"}</definedName>
    <definedName name="____________th2" localSheetId="27" hidden="1">{#N/A,#N/A,FALSE,"M.42"}</definedName>
    <definedName name="____________th2" localSheetId="28" hidden="1">{#N/A,#N/A,FALSE,"M.42"}</definedName>
    <definedName name="____________th2" localSheetId="29" hidden="1">{#N/A,#N/A,FALSE,"M.42"}</definedName>
    <definedName name="____________th2" localSheetId="31" hidden="1">{#N/A,#N/A,FALSE,"M.42"}</definedName>
    <definedName name="____________th2" localSheetId="30" hidden="1">{#N/A,#N/A,FALSE,"M.42"}</definedName>
    <definedName name="____________th2" localSheetId="17" hidden="1">{#N/A,#N/A,FALSE,"M.42"}</definedName>
    <definedName name="____________th2" localSheetId="18" hidden="1">{#N/A,#N/A,FALSE,"M.42"}</definedName>
    <definedName name="____________th2" hidden="1">{#N/A,#N/A,FALSE,"M.42"}</definedName>
    <definedName name="___________amd1" localSheetId="20" hidden="1">{#N/A,#N/A,FALSE,"Chi tiÆt"}</definedName>
    <definedName name="___________amd1" localSheetId="19" hidden="1">{#N/A,#N/A,FALSE,"Chi tiÆt"}</definedName>
    <definedName name="___________amd1" localSheetId="26" hidden="1">{#N/A,#N/A,FALSE,"Chi tiÆt"}</definedName>
    <definedName name="___________amd1" localSheetId="24" hidden="1">{#N/A,#N/A,FALSE,"Chi tiÆt"}</definedName>
    <definedName name="___________amd1" localSheetId="32" hidden="1">{#N/A,#N/A,FALSE,"Chi tiÆt"}</definedName>
    <definedName name="___________amd1" localSheetId="27" hidden="1">{#N/A,#N/A,FALSE,"Chi tiÆt"}</definedName>
    <definedName name="___________amd1" localSheetId="28" hidden="1">{#N/A,#N/A,FALSE,"Chi tiÆt"}</definedName>
    <definedName name="___________amd1" localSheetId="29" hidden="1">{#N/A,#N/A,FALSE,"Chi tiÆt"}</definedName>
    <definedName name="___________amd1" localSheetId="31" hidden="1">{#N/A,#N/A,FALSE,"Chi tiÆt"}</definedName>
    <definedName name="___________amd1" localSheetId="30" hidden="1">{#N/A,#N/A,FALSE,"Chi tiÆt"}</definedName>
    <definedName name="___________amd1" localSheetId="17" hidden="1">{#N/A,#N/A,FALSE,"Chi tiÆt"}</definedName>
    <definedName name="___________amd1" localSheetId="18" hidden="1">{#N/A,#N/A,FALSE,"Chi tiÆt"}</definedName>
    <definedName name="___________amd1" hidden="1">{#N/A,#N/A,FALSE,"Chi tiÆt"}</definedName>
    <definedName name="___________amdd" localSheetId="20" hidden="1">{#N/A,#N/A,FALSE,"Chi tiÆt"}</definedName>
    <definedName name="___________amdd" localSheetId="19" hidden="1">{#N/A,#N/A,FALSE,"Chi tiÆt"}</definedName>
    <definedName name="___________amdd" localSheetId="26" hidden="1">{#N/A,#N/A,FALSE,"Chi tiÆt"}</definedName>
    <definedName name="___________amdd" localSheetId="24" hidden="1">{#N/A,#N/A,FALSE,"Chi tiÆt"}</definedName>
    <definedName name="___________amdd" localSheetId="32" hidden="1">{#N/A,#N/A,FALSE,"Chi tiÆt"}</definedName>
    <definedName name="___________amdd" localSheetId="27" hidden="1">{#N/A,#N/A,FALSE,"Chi tiÆt"}</definedName>
    <definedName name="___________amdd" localSheetId="28" hidden="1">{#N/A,#N/A,FALSE,"Chi tiÆt"}</definedName>
    <definedName name="___________amdd" localSheetId="29" hidden="1">{#N/A,#N/A,FALSE,"Chi tiÆt"}</definedName>
    <definedName name="___________amdd" localSheetId="31" hidden="1">{#N/A,#N/A,FALSE,"Chi tiÆt"}</definedName>
    <definedName name="___________amdd" localSheetId="30" hidden="1">{#N/A,#N/A,FALSE,"Chi tiÆt"}</definedName>
    <definedName name="___________amdd" localSheetId="17" hidden="1">{#N/A,#N/A,FALSE,"Chi tiÆt"}</definedName>
    <definedName name="___________amdd" localSheetId="18" hidden="1">{#N/A,#N/A,FALSE,"Chi tiÆt"}</definedName>
    <definedName name="___________amdd" hidden="1">{#N/A,#N/A,FALSE,"Chi tiÆt"}</definedName>
    <definedName name="___________gk2" localSheetId="32" hidden="1">#REF!</definedName>
    <definedName name="___________gk2" hidden="1">#REF!</definedName>
    <definedName name="___________REV3" localSheetId="20" hidden="1">{#N/A,#N/A,FALSE,"REK-S-TPL";#N/A,#N/A,FALSE,"REK-TPML";#N/A,#N/A,FALSE,"RAB-TEMPEL"}</definedName>
    <definedName name="___________REV3" localSheetId="19" hidden="1">{#N/A,#N/A,FALSE,"REK-S-TPL";#N/A,#N/A,FALSE,"REK-TPML";#N/A,#N/A,FALSE,"RAB-TEMPEL"}</definedName>
    <definedName name="___________REV3" localSheetId="26" hidden="1">{#N/A,#N/A,FALSE,"REK-S-TPL";#N/A,#N/A,FALSE,"REK-TPML";#N/A,#N/A,FALSE,"RAB-TEMPEL"}</definedName>
    <definedName name="___________REV3" localSheetId="24" hidden="1">{#N/A,#N/A,FALSE,"REK-S-TPL";#N/A,#N/A,FALSE,"REK-TPML";#N/A,#N/A,FALSE,"RAB-TEMPEL"}</definedName>
    <definedName name="___________REV3" localSheetId="32" hidden="1">{#N/A,#N/A,FALSE,"REK-S-TPL";#N/A,#N/A,FALSE,"REK-TPML";#N/A,#N/A,FALSE,"RAB-TEMPEL"}</definedName>
    <definedName name="___________REV3" localSheetId="27" hidden="1">{#N/A,#N/A,FALSE,"REK-S-TPL";#N/A,#N/A,FALSE,"REK-TPML";#N/A,#N/A,FALSE,"RAB-TEMPEL"}</definedName>
    <definedName name="___________REV3" localSheetId="28" hidden="1">{#N/A,#N/A,FALSE,"REK-S-TPL";#N/A,#N/A,FALSE,"REK-TPML";#N/A,#N/A,FALSE,"RAB-TEMPEL"}</definedName>
    <definedName name="___________REV3" localSheetId="29" hidden="1">{#N/A,#N/A,FALSE,"REK-S-TPL";#N/A,#N/A,FALSE,"REK-TPML";#N/A,#N/A,FALSE,"RAB-TEMPEL"}</definedName>
    <definedName name="___________REV3" localSheetId="31" hidden="1">{#N/A,#N/A,FALSE,"REK-S-TPL";#N/A,#N/A,FALSE,"REK-TPML";#N/A,#N/A,FALSE,"RAB-TEMPEL"}</definedName>
    <definedName name="___________REV3" localSheetId="30" hidden="1">{#N/A,#N/A,FALSE,"REK-S-TPL";#N/A,#N/A,FALSE,"REK-TPML";#N/A,#N/A,FALSE,"RAB-TEMPEL"}</definedName>
    <definedName name="___________REV3" localSheetId="17" hidden="1">{#N/A,#N/A,FALSE,"REK-S-TPL";#N/A,#N/A,FALSE,"REK-TPML";#N/A,#N/A,FALSE,"RAB-TEMPEL"}</definedName>
    <definedName name="___________REV3" localSheetId="18" hidden="1">{#N/A,#N/A,FALSE,"REK-S-TPL";#N/A,#N/A,FALSE,"REK-TPML";#N/A,#N/A,FALSE,"RAB-TEMPEL"}</definedName>
    <definedName name="___________REV3" hidden="1">{#N/A,#N/A,FALSE,"REK-S-TPL";#N/A,#N/A,FALSE,"REK-TPML";#N/A,#N/A,FALSE,"RAB-TEMPEL"}</definedName>
    <definedName name="___________SLA2009" localSheetId="20" hidden="1">{#N/A,#N/A,FALSE,"M.32"}</definedName>
    <definedName name="___________SLA2009" localSheetId="19" hidden="1">{#N/A,#N/A,FALSE,"M.32"}</definedName>
    <definedName name="___________SLA2009" localSheetId="26" hidden="1">{#N/A,#N/A,FALSE,"M.32"}</definedName>
    <definedName name="___________SLA2009" localSheetId="24" hidden="1">{#N/A,#N/A,FALSE,"M.32"}</definedName>
    <definedName name="___________SLA2009" localSheetId="32" hidden="1">{#N/A,#N/A,FALSE,"M.32"}</definedName>
    <definedName name="___________SLA2009" localSheetId="27" hidden="1">{#N/A,#N/A,FALSE,"M.32"}</definedName>
    <definedName name="___________SLA2009" localSheetId="28" hidden="1">{#N/A,#N/A,FALSE,"M.32"}</definedName>
    <definedName name="___________SLA2009" localSheetId="29" hidden="1">{#N/A,#N/A,FALSE,"M.32"}</definedName>
    <definedName name="___________SLA2009" localSheetId="31" hidden="1">{#N/A,#N/A,FALSE,"M.32"}</definedName>
    <definedName name="___________SLA2009" localSheetId="30" hidden="1">{#N/A,#N/A,FALSE,"M.32"}</definedName>
    <definedName name="___________SLA2009" localSheetId="17" hidden="1">{#N/A,#N/A,FALSE,"M.32"}</definedName>
    <definedName name="___________SLA2009" localSheetId="18" hidden="1">{#N/A,#N/A,FALSE,"M.32"}</definedName>
    <definedName name="___________SLA2009" hidden="1">{#N/A,#N/A,FALSE,"M.32"}</definedName>
    <definedName name="___________TH1" localSheetId="20" hidden="1">{#N/A,#N/A,FALSE,"M.34"}</definedName>
    <definedName name="___________TH1" localSheetId="19" hidden="1">{#N/A,#N/A,FALSE,"M.34"}</definedName>
    <definedName name="___________TH1" localSheetId="26" hidden="1">{#N/A,#N/A,FALSE,"M.34"}</definedName>
    <definedName name="___________TH1" localSheetId="24" hidden="1">{#N/A,#N/A,FALSE,"M.34"}</definedName>
    <definedName name="___________TH1" localSheetId="32" hidden="1">{#N/A,#N/A,FALSE,"M.34"}</definedName>
    <definedName name="___________TH1" localSheetId="27" hidden="1">{#N/A,#N/A,FALSE,"M.34"}</definedName>
    <definedName name="___________TH1" localSheetId="28" hidden="1">{#N/A,#N/A,FALSE,"M.34"}</definedName>
    <definedName name="___________TH1" localSheetId="29" hidden="1">{#N/A,#N/A,FALSE,"M.34"}</definedName>
    <definedName name="___________TH1" localSheetId="31" hidden="1">{#N/A,#N/A,FALSE,"M.34"}</definedName>
    <definedName name="___________TH1" localSheetId="30" hidden="1">{#N/A,#N/A,FALSE,"M.34"}</definedName>
    <definedName name="___________TH1" localSheetId="17" hidden="1">{#N/A,#N/A,FALSE,"M.34"}</definedName>
    <definedName name="___________TH1" localSheetId="18" hidden="1">{#N/A,#N/A,FALSE,"M.34"}</definedName>
    <definedName name="___________TH1" hidden="1">{#N/A,#N/A,FALSE,"M.34"}</definedName>
    <definedName name="___________th2" localSheetId="20" hidden="1">{#N/A,#N/A,FALSE,"M.42"}</definedName>
    <definedName name="___________th2" localSheetId="19" hidden="1">{#N/A,#N/A,FALSE,"M.42"}</definedName>
    <definedName name="___________th2" localSheetId="26" hidden="1">{#N/A,#N/A,FALSE,"M.42"}</definedName>
    <definedName name="___________th2" localSheetId="24" hidden="1">{#N/A,#N/A,FALSE,"M.42"}</definedName>
    <definedName name="___________th2" localSheetId="32" hidden="1">{#N/A,#N/A,FALSE,"M.42"}</definedName>
    <definedName name="___________th2" localSheetId="27" hidden="1">{#N/A,#N/A,FALSE,"M.42"}</definedName>
    <definedName name="___________th2" localSheetId="28" hidden="1">{#N/A,#N/A,FALSE,"M.42"}</definedName>
    <definedName name="___________th2" localSheetId="29" hidden="1">{#N/A,#N/A,FALSE,"M.42"}</definedName>
    <definedName name="___________th2" localSheetId="31" hidden="1">{#N/A,#N/A,FALSE,"M.42"}</definedName>
    <definedName name="___________th2" localSheetId="30" hidden="1">{#N/A,#N/A,FALSE,"M.42"}</definedName>
    <definedName name="___________th2" localSheetId="17" hidden="1">{#N/A,#N/A,FALSE,"M.42"}</definedName>
    <definedName name="___________th2" localSheetId="18" hidden="1">{#N/A,#N/A,FALSE,"M.42"}</definedName>
    <definedName name="___________th2" hidden="1">{#N/A,#N/A,FALSE,"M.42"}</definedName>
    <definedName name="__________amd1" localSheetId="20" hidden="1">{#N/A,#N/A,FALSE,"Chi tiÆt"}</definedName>
    <definedName name="__________amd1" localSheetId="19" hidden="1">{#N/A,#N/A,FALSE,"Chi tiÆt"}</definedName>
    <definedName name="__________amd1" localSheetId="26" hidden="1">{#N/A,#N/A,FALSE,"Chi tiÆt"}</definedName>
    <definedName name="__________amd1" localSheetId="24" hidden="1">{#N/A,#N/A,FALSE,"Chi tiÆt"}</definedName>
    <definedName name="__________amd1" localSheetId="32" hidden="1">{#N/A,#N/A,FALSE,"Chi tiÆt"}</definedName>
    <definedName name="__________amd1" localSheetId="27" hidden="1">{#N/A,#N/A,FALSE,"Chi tiÆt"}</definedName>
    <definedName name="__________amd1" localSheetId="28" hidden="1">{#N/A,#N/A,FALSE,"Chi tiÆt"}</definedName>
    <definedName name="__________amd1" localSheetId="29" hidden="1">{#N/A,#N/A,FALSE,"Chi tiÆt"}</definedName>
    <definedName name="__________amd1" localSheetId="31" hidden="1">{#N/A,#N/A,FALSE,"Chi tiÆt"}</definedName>
    <definedName name="__________amd1" localSheetId="30" hidden="1">{#N/A,#N/A,FALSE,"Chi tiÆt"}</definedName>
    <definedName name="__________amd1" localSheetId="17" hidden="1">{#N/A,#N/A,FALSE,"Chi tiÆt"}</definedName>
    <definedName name="__________amd1" localSheetId="18" hidden="1">{#N/A,#N/A,FALSE,"Chi tiÆt"}</definedName>
    <definedName name="__________amd1" hidden="1">{#N/A,#N/A,FALSE,"Chi tiÆt"}</definedName>
    <definedName name="__________gk2" localSheetId="32" hidden="1">#REF!</definedName>
    <definedName name="__________gk2" hidden="1">#REF!</definedName>
    <definedName name="__________REV3" localSheetId="20" hidden="1">{#N/A,#N/A,FALSE,"REK-S-TPL";#N/A,#N/A,FALSE,"REK-TPML";#N/A,#N/A,FALSE,"RAB-TEMPEL"}</definedName>
    <definedName name="__________REV3" localSheetId="19" hidden="1">{#N/A,#N/A,FALSE,"REK-S-TPL";#N/A,#N/A,FALSE,"REK-TPML";#N/A,#N/A,FALSE,"RAB-TEMPEL"}</definedName>
    <definedName name="__________REV3" localSheetId="26" hidden="1">{#N/A,#N/A,FALSE,"REK-S-TPL";#N/A,#N/A,FALSE,"REK-TPML";#N/A,#N/A,FALSE,"RAB-TEMPEL"}</definedName>
    <definedName name="__________REV3" localSheetId="24" hidden="1">{#N/A,#N/A,FALSE,"REK-S-TPL";#N/A,#N/A,FALSE,"REK-TPML";#N/A,#N/A,FALSE,"RAB-TEMPEL"}</definedName>
    <definedName name="__________REV3" localSheetId="32" hidden="1">{#N/A,#N/A,FALSE,"REK-S-TPL";#N/A,#N/A,FALSE,"REK-TPML";#N/A,#N/A,FALSE,"RAB-TEMPEL"}</definedName>
    <definedName name="__________REV3" localSheetId="27" hidden="1">{#N/A,#N/A,FALSE,"REK-S-TPL";#N/A,#N/A,FALSE,"REK-TPML";#N/A,#N/A,FALSE,"RAB-TEMPEL"}</definedName>
    <definedName name="__________REV3" localSheetId="28" hidden="1">{#N/A,#N/A,FALSE,"REK-S-TPL";#N/A,#N/A,FALSE,"REK-TPML";#N/A,#N/A,FALSE,"RAB-TEMPEL"}</definedName>
    <definedName name="__________REV3" localSheetId="29" hidden="1">{#N/A,#N/A,FALSE,"REK-S-TPL";#N/A,#N/A,FALSE,"REK-TPML";#N/A,#N/A,FALSE,"RAB-TEMPEL"}</definedName>
    <definedName name="__________REV3" localSheetId="31" hidden="1">{#N/A,#N/A,FALSE,"REK-S-TPL";#N/A,#N/A,FALSE,"REK-TPML";#N/A,#N/A,FALSE,"RAB-TEMPEL"}</definedName>
    <definedName name="__________REV3" localSheetId="30" hidden="1">{#N/A,#N/A,FALSE,"REK-S-TPL";#N/A,#N/A,FALSE,"REK-TPML";#N/A,#N/A,FALSE,"RAB-TEMPEL"}</definedName>
    <definedName name="__________REV3" localSheetId="17" hidden="1">{#N/A,#N/A,FALSE,"REK-S-TPL";#N/A,#N/A,FALSE,"REK-TPML";#N/A,#N/A,FALSE,"RAB-TEMPEL"}</definedName>
    <definedName name="__________REV3" localSheetId="18" hidden="1">{#N/A,#N/A,FALSE,"REK-S-TPL";#N/A,#N/A,FALSE,"REK-TPML";#N/A,#N/A,FALSE,"RAB-TEMPEL"}</definedName>
    <definedName name="__________REV3" hidden="1">{#N/A,#N/A,FALSE,"REK-S-TPL";#N/A,#N/A,FALSE,"REK-TPML";#N/A,#N/A,FALSE,"RAB-TEMPEL"}</definedName>
    <definedName name="__________SLA2009" localSheetId="20" hidden="1">{#N/A,#N/A,FALSE,"M.32"}</definedName>
    <definedName name="__________SLA2009" localSheetId="19" hidden="1">{#N/A,#N/A,FALSE,"M.32"}</definedName>
    <definedName name="__________SLA2009" localSheetId="26" hidden="1">{#N/A,#N/A,FALSE,"M.32"}</definedName>
    <definedName name="__________SLA2009" localSheetId="24" hidden="1">{#N/A,#N/A,FALSE,"M.32"}</definedName>
    <definedName name="__________SLA2009" localSheetId="32" hidden="1">{#N/A,#N/A,FALSE,"M.32"}</definedName>
    <definedName name="__________SLA2009" localSheetId="27" hidden="1">{#N/A,#N/A,FALSE,"M.32"}</definedName>
    <definedName name="__________SLA2009" localSheetId="28" hidden="1">{#N/A,#N/A,FALSE,"M.32"}</definedName>
    <definedName name="__________SLA2009" localSheetId="29" hidden="1">{#N/A,#N/A,FALSE,"M.32"}</definedName>
    <definedName name="__________SLA2009" localSheetId="31" hidden="1">{#N/A,#N/A,FALSE,"M.32"}</definedName>
    <definedName name="__________SLA2009" localSheetId="30" hidden="1">{#N/A,#N/A,FALSE,"M.32"}</definedName>
    <definedName name="__________SLA2009" localSheetId="17" hidden="1">{#N/A,#N/A,FALSE,"M.32"}</definedName>
    <definedName name="__________SLA2009" localSheetId="18" hidden="1">{#N/A,#N/A,FALSE,"M.32"}</definedName>
    <definedName name="__________SLA2009" hidden="1">{#N/A,#N/A,FALSE,"M.32"}</definedName>
    <definedName name="__________TH1" localSheetId="20" hidden="1">{#N/A,#N/A,FALSE,"M.34"}</definedName>
    <definedName name="__________TH1" localSheetId="19" hidden="1">{#N/A,#N/A,FALSE,"M.34"}</definedName>
    <definedName name="__________TH1" localSheetId="26" hidden="1">{#N/A,#N/A,FALSE,"M.34"}</definedName>
    <definedName name="__________TH1" localSheetId="24" hidden="1">{#N/A,#N/A,FALSE,"M.34"}</definedName>
    <definedName name="__________TH1" localSheetId="32" hidden="1">{#N/A,#N/A,FALSE,"M.34"}</definedName>
    <definedName name="__________TH1" localSheetId="27" hidden="1">{#N/A,#N/A,FALSE,"M.34"}</definedName>
    <definedName name="__________TH1" localSheetId="28" hidden="1">{#N/A,#N/A,FALSE,"M.34"}</definedName>
    <definedName name="__________TH1" localSheetId="29" hidden="1">{#N/A,#N/A,FALSE,"M.34"}</definedName>
    <definedName name="__________TH1" localSheetId="31" hidden="1">{#N/A,#N/A,FALSE,"M.34"}</definedName>
    <definedName name="__________TH1" localSheetId="30" hidden="1">{#N/A,#N/A,FALSE,"M.34"}</definedName>
    <definedName name="__________TH1" localSheetId="17" hidden="1">{#N/A,#N/A,FALSE,"M.34"}</definedName>
    <definedName name="__________TH1" localSheetId="18" hidden="1">{#N/A,#N/A,FALSE,"M.34"}</definedName>
    <definedName name="__________TH1" hidden="1">{#N/A,#N/A,FALSE,"M.34"}</definedName>
    <definedName name="__________th2" localSheetId="20" hidden="1">{#N/A,#N/A,FALSE,"M.42"}</definedName>
    <definedName name="__________th2" localSheetId="19" hidden="1">{#N/A,#N/A,FALSE,"M.42"}</definedName>
    <definedName name="__________th2" localSheetId="26" hidden="1">{#N/A,#N/A,FALSE,"M.42"}</definedName>
    <definedName name="__________th2" localSheetId="24" hidden="1">{#N/A,#N/A,FALSE,"M.42"}</definedName>
    <definedName name="__________th2" localSheetId="32" hidden="1">{#N/A,#N/A,FALSE,"M.42"}</definedName>
    <definedName name="__________th2" localSheetId="27" hidden="1">{#N/A,#N/A,FALSE,"M.42"}</definedName>
    <definedName name="__________th2" localSheetId="28" hidden="1">{#N/A,#N/A,FALSE,"M.42"}</definedName>
    <definedName name="__________th2" localSheetId="29" hidden="1">{#N/A,#N/A,FALSE,"M.42"}</definedName>
    <definedName name="__________th2" localSheetId="31" hidden="1">{#N/A,#N/A,FALSE,"M.42"}</definedName>
    <definedName name="__________th2" localSheetId="30" hidden="1">{#N/A,#N/A,FALSE,"M.42"}</definedName>
    <definedName name="__________th2" localSheetId="17" hidden="1">{#N/A,#N/A,FALSE,"M.42"}</definedName>
    <definedName name="__________th2" localSheetId="18" hidden="1">{#N/A,#N/A,FALSE,"M.42"}</definedName>
    <definedName name="__________th2" hidden="1">{#N/A,#N/A,FALSE,"M.42"}</definedName>
    <definedName name="_________amd1" localSheetId="20" hidden="1">{#N/A,#N/A,FALSE,"Chi tiÆt"}</definedName>
    <definedName name="_________amd1" localSheetId="19" hidden="1">{#N/A,#N/A,FALSE,"Chi tiÆt"}</definedName>
    <definedName name="_________amd1" localSheetId="26" hidden="1">{#N/A,#N/A,FALSE,"Chi tiÆt"}</definedName>
    <definedName name="_________amd1" localSheetId="24" hidden="1">{#N/A,#N/A,FALSE,"Chi tiÆt"}</definedName>
    <definedName name="_________amd1" localSheetId="32" hidden="1">{#N/A,#N/A,FALSE,"Chi tiÆt"}</definedName>
    <definedName name="_________amd1" localSheetId="27" hidden="1">{#N/A,#N/A,FALSE,"Chi tiÆt"}</definedName>
    <definedName name="_________amd1" localSheetId="28" hidden="1">{#N/A,#N/A,FALSE,"Chi tiÆt"}</definedName>
    <definedName name="_________amd1" localSheetId="29" hidden="1">{#N/A,#N/A,FALSE,"Chi tiÆt"}</definedName>
    <definedName name="_________amd1" localSheetId="31" hidden="1">{#N/A,#N/A,FALSE,"Chi tiÆt"}</definedName>
    <definedName name="_________amd1" localSheetId="30" hidden="1">{#N/A,#N/A,FALSE,"Chi tiÆt"}</definedName>
    <definedName name="_________amd1" localSheetId="17" hidden="1">{#N/A,#N/A,FALSE,"Chi tiÆt"}</definedName>
    <definedName name="_________amd1" localSheetId="18" hidden="1">{#N/A,#N/A,FALSE,"Chi tiÆt"}</definedName>
    <definedName name="_________amd1" hidden="1">{#N/A,#N/A,FALSE,"Chi tiÆt"}</definedName>
    <definedName name="_________gk2" localSheetId="32" hidden="1">#REF!</definedName>
    <definedName name="_________gk2" hidden="1">#REF!</definedName>
    <definedName name="_________nyy416" localSheetId="32" hidden="1">#REF!</definedName>
    <definedName name="_________nyy416" hidden="1">#REF!</definedName>
    <definedName name="_________pab2" localSheetId="32" hidden="1">#REF!</definedName>
    <definedName name="_________pab2" hidden="1">#REF!</definedName>
    <definedName name="_________pv100" hidden="1">#REF!</definedName>
    <definedName name="_________SLA2009" localSheetId="20" hidden="1">{#N/A,#N/A,FALSE,"M.32"}</definedName>
    <definedName name="_________SLA2009" localSheetId="19" hidden="1">{#N/A,#N/A,FALSE,"M.32"}</definedName>
    <definedName name="_________SLA2009" localSheetId="26" hidden="1">{#N/A,#N/A,FALSE,"M.32"}</definedName>
    <definedName name="_________SLA2009" localSheetId="24" hidden="1">{#N/A,#N/A,FALSE,"M.32"}</definedName>
    <definedName name="_________SLA2009" localSheetId="32" hidden="1">{#N/A,#N/A,FALSE,"M.32"}</definedName>
    <definedName name="_________SLA2009" localSheetId="27" hidden="1">{#N/A,#N/A,FALSE,"M.32"}</definedName>
    <definedName name="_________SLA2009" localSheetId="28" hidden="1">{#N/A,#N/A,FALSE,"M.32"}</definedName>
    <definedName name="_________SLA2009" localSheetId="29" hidden="1">{#N/A,#N/A,FALSE,"M.32"}</definedName>
    <definedName name="_________SLA2009" localSheetId="31" hidden="1">{#N/A,#N/A,FALSE,"M.32"}</definedName>
    <definedName name="_________SLA2009" localSheetId="30" hidden="1">{#N/A,#N/A,FALSE,"M.32"}</definedName>
    <definedName name="_________SLA2009" localSheetId="17" hidden="1">{#N/A,#N/A,FALSE,"M.32"}</definedName>
    <definedName name="_________SLA2009" localSheetId="18" hidden="1">{#N/A,#N/A,FALSE,"M.32"}</definedName>
    <definedName name="_________SLA2009" hidden="1">{#N/A,#N/A,FALSE,"M.32"}</definedName>
    <definedName name="_________TH1" localSheetId="20" hidden="1">{#N/A,#N/A,FALSE,"M.34"}</definedName>
    <definedName name="_________TH1" localSheetId="19" hidden="1">{#N/A,#N/A,FALSE,"M.34"}</definedName>
    <definedName name="_________TH1" localSheetId="26" hidden="1">{#N/A,#N/A,FALSE,"M.34"}</definedName>
    <definedName name="_________TH1" localSheetId="24" hidden="1">{#N/A,#N/A,FALSE,"M.34"}</definedName>
    <definedName name="_________TH1" localSheetId="32" hidden="1">{#N/A,#N/A,FALSE,"M.34"}</definedName>
    <definedName name="_________TH1" localSheetId="27" hidden="1">{#N/A,#N/A,FALSE,"M.34"}</definedName>
    <definedName name="_________TH1" localSheetId="28" hidden="1">{#N/A,#N/A,FALSE,"M.34"}</definedName>
    <definedName name="_________TH1" localSheetId="29" hidden="1">{#N/A,#N/A,FALSE,"M.34"}</definedName>
    <definedName name="_________TH1" localSheetId="31" hidden="1">{#N/A,#N/A,FALSE,"M.34"}</definedName>
    <definedName name="_________TH1" localSheetId="30" hidden="1">{#N/A,#N/A,FALSE,"M.34"}</definedName>
    <definedName name="_________TH1" localSheetId="17" hidden="1">{#N/A,#N/A,FALSE,"M.34"}</definedName>
    <definedName name="_________TH1" localSheetId="18" hidden="1">{#N/A,#N/A,FALSE,"M.34"}</definedName>
    <definedName name="_________TH1" hidden="1">{#N/A,#N/A,FALSE,"M.34"}</definedName>
    <definedName name="_________th2" localSheetId="20" hidden="1">{#N/A,#N/A,FALSE,"M.42"}</definedName>
    <definedName name="_________th2" localSheetId="19" hidden="1">{#N/A,#N/A,FALSE,"M.42"}</definedName>
    <definedName name="_________th2" localSheetId="26" hidden="1">{#N/A,#N/A,FALSE,"M.42"}</definedName>
    <definedName name="_________th2" localSheetId="24" hidden="1">{#N/A,#N/A,FALSE,"M.42"}</definedName>
    <definedName name="_________th2" localSheetId="32" hidden="1">{#N/A,#N/A,FALSE,"M.42"}</definedName>
    <definedName name="_________th2" localSheetId="27" hidden="1">{#N/A,#N/A,FALSE,"M.42"}</definedName>
    <definedName name="_________th2" localSheetId="28" hidden="1">{#N/A,#N/A,FALSE,"M.42"}</definedName>
    <definedName name="_________th2" localSheetId="29" hidden="1">{#N/A,#N/A,FALSE,"M.42"}</definedName>
    <definedName name="_________th2" localSheetId="31" hidden="1">{#N/A,#N/A,FALSE,"M.42"}</definedName>
    <definedName name="_________th2" localSheetId="30" hidden="1">{#N/A,#N/A,FALSE,"M.42"}</definedName>
    <definedName name="_________th2" localSheetId="17" hidden="1">{#N/A,#N/A,FALSE,"M.42"}</definedName>
    <definedName name="_________th2" localSheetId="18" hidden="1">{#N/A,#N/A,FALSE,"M.42"}</definedName>
    <definedName name="_________th2" hidden="1">{#N/A,#N/A,FALSE,"M.42"}</definedName>
    <definedName name="________amd1" localSheetId="20" hidden="1">{#N/A,#N/A,FALSE,"Chi tiÆt"}</definedName>
    <definedName name="________amd1" localSheetId="19" hidden="1">{#N/A,#N/A,FALSE,"Chi tiÆt"}</definedName>
    <definedName name="________amd1" localSheetId="26" hidden="1">{#N/A,#N/A,FALSE,"Chi tiÆt"}</definedName>
    <definedName name="________amd1" localSheetId="24" hidden="1">{#N/A,#N/A,FALSE,"Chi tiÆt"}</definedName>
    <definedName name="________amd1" localSheetId="32" hidden="1">{#N/A,#N/A,FALSE,"Chi tiÆt"}</definedName>
    <definedName name="________amd1" localSheetId="27" hidden="1">{#N/A,#N/A,FALSE,"Chi tiÆt"}</definedName>
    <definedName name="________amd1" localSheetId="28" hidden="1">{#N/A,#N/A,FALSE,"Chi tiÆt"}</definedName>
    <definedName name="________amd1" localSheetId="29" hidden="1">{#N/A,#N/A,FALSE,"Chi tiÆt"}</definedName>
    <definedName name="________amd1" localSheetId="31" hidden="1">{#N/A,#N/A,FALSE,"Chi tiÆt"}</definedName>
    <definedName name="________amd1" localSheetId="30" hidden="1">{#N/A,#N/A,FALSE,"Chi tiÆt"}</definedName>
    <definedName name="________amd1" localSheetId="17" hidden="1">{#N/A,#N/A,FALSE,"Chi tiÆt"}</definedName>
    <definedName name="________amd1" localSheetId="18" hidden="1">{#N/A,#N/A,FALSE,"Chi tiÆt"}</definedName>
    <definedName name="________amd1" hidden="1">{#N/A,#N/A,FALSE,"Chi tiÆt"}</definedName>
    <definedName name="________CU600" localSheetId="20" hidden="1">{#N/A,#N/A,TRUE,"toc";#N/A,#N/A,TRUE,"general";#N/A,#N/A,TRUE,"compressive";#N/A,#N/A,TRUE,"lateral";#N/A,#N/A,TRUE,"shallow"}</definedName>
    <definedName name="________CU600" localSheetId="19" hidden="1">{#N/A,#N/A,TRUE,"toc";#N/A,#N/A,TRUE,"general";#N/A,#N/A,TRUE,"compressive";#N/A,#N/A,TRUE,"lateral";#N/A,#N/A,TRUE,"shallow"}</definedName>
    <definedName name="________CU600" localSheetId="26" hidden="1">{#N/A,#N/A,TRUE,"toc";#N/A,#N/A,TRUE,"general";#N/A,#N/A,TRUE,"compressive";#N/A,#N/A,TRUE,"lateral";#N/A,#N/A,TRUE,"shallow"}</definedName>
    <definedName name="________CU600" localSheetId="24" hidden="1">{#N/A,#N/A,TRUE,"toc";#N/A,#N/A,TRUE,"general";#N/A,#N/A,TRUE,"compressive";#N/A,#N/A,TRUE,"lateral";#N/A,#N/A,TRUE,"shallow"}</definedName>
    <definedName name="________CU600" localSheetId="32" hidden="1">{#N/A,#N/A,TRUE,"toc";#N/A,#N/A,TRUE,"general";#N/A,#N/A,TRUE,"compressive";#N/A,#N/A,TRUE,"lateral";#N/A,#N/A,TRUE,"shallow"}</definedName>
    <definedName name="________CU600" localSheetId="27" hidden="1">{#N/A,#N/A,TRUE,"toc";#N/A,#N/A,TRUE,"general";#N/A,#N/A,TRUE,"compressive";#N/A,#N/A,TRUE,"lateral";#N/A,#N/A,TRUE,"shallow"}</definedName>
    <definedName name="________CU600" localSheetId="28" hidden="1">{#N/A,#N/A,TRUE,"toc";#N/A,#N/A,TRUE,"general";#N/A,#N/A,TRUE,"compressive";#N/A,#N/A,TRUE,"lateral";#N/A,#N/A,TRUE,"shallow"}</definedName>
    <definedName name="________CU600" localSheetId="29" hidden="1">{#N/A,#N/A,TRUE,"toc";#N/A,#N/A,TRUE,"general";#N/A,#N/A,TRUE,"compressive";#N/A,#N/A,TRUE,"lateral";#N/A,#N/A,TRUE,"shallow"}</definedName>
    <definedName name="________CU600" localSheetId="31" hidden="1">{#N/A,#N/A,TRUE,"toc";#N/A,#N/A,TRUE,"general";#N/A,#N/A,TRUE,"compressive";#N/A,#N/A,TRUE,"lateral";#N/A,#N/A,TRUE,"shallow"}</definedName>
    <definedName name="________CU600" localSheetId="30" hidden="1">{#N/A,#N/A,TRUE,"toc";#N/A,#N/A,TRUE,"general";#N/A,#N/A,TRUE,"compressive";#N/A,#N/A,TRUE,"lateral";#N/A,#N/A,TRUE,"shallow"}</definedName>
    <definedName name="________CU600" localSheetId="17" hidden="1">{#N/A,#N/A,TRUE,"toc";#N/A,#N/A,TRUE,"general";#N/A,#N/A,TRUE,"compressive";#N/A,#N/A,TRUE,"lateral";#N/A,#N/A,TRUE,"shallow"}</definedName>
    <definedName name="________CU600" localSheetId="18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gk2" localSheetId="32" hidden="1">#REF!</definedName>
    <definedName name="________gk2" hidden="1">#REF!</definedName>
    <definedName name="________Q2" localSheetId="20" hidden="1">{"'Overflow Tank '!$A$1:$Q$58"}</definedName>
    <definedName name="________Q2" localSheetId="19" hidden="1">{"'Overflow Tank '!$A$1:$Q$58"}</definedName>
    <definedName name="________Q2" localSheetId="26" hidden="1">{"'Overflow Tank '!$A$1:$Q$58"}</definedName>
    <definedName name="________Q2" localSheetId="24" hidden="1">{"'Overflow Tank '!$A$1:$Q$58"}</definedName>
    <definedName name="________Q2" localSheetId="32" hidden="1">{"'Overflow Tank '!$A$1:$Q$58"}</definedName>
    <definedName name="________Q2" localSheetId="27" hidden="1">{"'Overflow Tank '!$A$1:$Q$58"}</definedName>
    <definedName name="________Q2" localSheetId="28" hidden="1">{"'Overflow Tank '!$A$1:$Q$58"}</definedName>
    <definedName name="________Q2" localSheetId="29" hidden="1">{"'Overflow Tank '!$A$1:$Q$58"}</definedName>
    <definedName name="________Q2" localSheetId="31" hidden="1">{"'Overflow Tank '!$A$1:$Q$58"}</definedName>
    <definedName name="________Q2" localSheetId="30" hidden="1">{"'Overflow Tank '!$A$1:$Q$58"}</definedName>
    <definedName name="________Q2" localSheetId="17" hidden="1">{"'Overflow Tank '!$A$1:$Q$58"}</definedName>
    <definedName name="________Q2" localSheetId="18" hidden="1">{"'Overflow Tank '!$A$1:$Q$58"}</definedName>
    <definedName name="________Q2" hidden="1">{"'Overflow Tank '!$A$1:$Q$58"}</definedName>
    <definedName name="________REV3" localSheetId="20" hidden="1">{#N/A,#N/A,FALSE,"REK-S-TPL";#N/A,#N/A,FALSE,"REK-TPML";#N/A,#N/A,FALSE,"RAB-TEMPEL"}</definedName>
    <definedName name="________REV3" localSheetId="19" hidden="1">{#N/A,#N/A,FALSE,"REK-S-TPL";#N/A,#N/A,FALSE,"REK-TPML";#N/A,#N/A,FALSE,"RAB-TEMPEL"}</definedName>
    <definedName name="________REV3" localSheetId="26" hidden="1">{#N/A,#N/A,FALSE,"REK-S-TPL";#N/A,#N/A,FALSE,"REK-TPML";#N/A,#N/A,FALSE,"RAB-TEMPEL"}</definedName>
    <definedName name="________REV3" localSheetId="24" hidden="1">{#N/A,#N/A,FALSE,"REK-S-TPL";#N/A,#N/A,FALSE,"REK-TPML";#N/A,#N/A,FALSE,"RAB-TEMPEL"}</definedName>
    <definedName name="________REV3" localSheetId="32" hidden="1">{#N/A,#N/A,FALSE,"REK-S-TPL";#N/A,#N/A,FALSE,"REK-TPML";#N/A,#N/A,FALSE,"RAB-TEMPEL"}</definedName>
    <definedName name="________REV3" localSheetId="27" hidden="1">{#N/A,#N/A,FALSE,"REK-S-TPL";#N/A,#N/A,FALSE,"REK-TPML";#N/A,#N/A,FALSE,"RAB-TEMPEL"}</definedName>
    <definedName name="________REV3" localSheetId="28" hidden="1">{#N/A,#N/A,FALSE,"REK-S-TPL";#N/A,#N/A,FALSE,"REK-TPML";#N/A,#N/A,FALSE,"RAB-TEMPEL"}</definedName>
    <definedName name="________REV3" localSheetId="29" hidden="1">{#N/A,#N/A,FALSE,"REK-S-TPL";#N/A,#N/A,FALSE,"REK-TPML";#N/A,#N/A,FALSE,"RAB-TEMPEL"}</definedName>
    <definedName name="________REV3" localSheetId="31" hidden="1">{#N/A,#N/A,FALSE,"REK-S-TPL";#N/A,#N/A,FALSE,"REK-TPML";#N/A,#N/A,FALSE,"RAB-TEMPEL"}</definedName>
    <definedName name="________REV3" localSheetId="30" hidden="1">{#N/A,#N/A,FALSE,"REK-S-TPL";#N/A,#N/A,FALSE,"REK-TPML";#N/A,#N/A,FALSE,"RAB-TEMPEL"}</definedName>
    <definedName name="________REV3" localSheetId="17" hidden="1">{#N/A,#N/A,FALSE,"REK-S-TPL";#N/A,#N/A,FALSE,"REK-TPML";#N/A,#N/A,FALSE,"RAB-TEMPEL"}</definedName>
    <definedName name="________REV3" localSheetId="18" hidden="1">{#N/A,#N/A,FALSE,"REK-S-TPL";#N/A,#N/A,FALSE,"REK-TPML";#N/A,#N/A,FALSE,"RAB-TEMPEL"}</definedName>
    <definedName name="________REV3" hidden="1">{#N/A,#N/A,FALSE,"REK-S-TPL";#N/A,#N/A,FALSE,"REK-TPML";#N/A,#N/A,FALSE,"RAB-TEMPEL"}</definedName>
    <definedName name="________SLA2009" localSheetId="20" hidden="1">{#N/A,#N/A,FALSE,"M.32"}</definedName>
    <definedName name="________SLA2009" localSheetId="19" hidden="1">{#N/A,#N/A,FALSE,"M.32"}</definedName>
    <definedName name="________SLA2009" localSheetId="26" hidden="1">{#N/A,#N/A,FALSE,"M.32"}</definedName>
    <definedName name="________SLA2009" localSheetId="24" hidden="1">{#N/A,#N/A,FALSE,"M.32"}</definedName>
    <definedName name="________SLA2009" localSheetId="32" hidden="1">{#N/A,#N/A,FALSE,"M.32"}</definedName>
    <definedName name="________SLA2009" localSheetId="27" hidden="1">{#N/A,#N/A,FALSE,"M.32"}</definedName>
    <definedName name="________SLA2009" localSheetId="28" hidden="1">{#N/A,#N/A,FALSE,"M.32"}</definedName>
    <definedName name="________SLA2009" localSheetId="29" hidden="1">{#N/A,#N/A,FALSE,"M.32"}</definedName>
    <definedName name="________SLA2009" localSheetId="31" hidden="1">{#N/A,#N/A,FALSE,"M.32"}</definedName>
    <definedName name="________SLA2009" localSheetId="30" hidden="1">{#N/A,#N/A,FALSE,"M.32"}</definedName>
    <definedName name="________SLA2009" localSheetId="17" hidden="1">{#N/A,#N/A,FALSE,"M.32"}</definedName>
    <definedName name="________SLA2009" localSheetId="18" hidden="1">{#N/A,#N/A,FALSE,"M.32"}</definedName>
    <definedName name="________SLA2009" hidden="1">{#N/A,#N/A,FALSE,"M.32"}</definedName>
    <definedName name="________TH1" localSheetId="20" hidden="1">{#N/A,#N/A,FALSE,"M.34"}</definedName>
    <definedName name="________TH1" localSheetId="19" hidden="1">{#N/A,#N/A,FALSE,"M.34"}</definedName>
    <definedName name="________TH1" localSheetId="26" hidden="1">{#N/A,#N/A,FALSE,"M.34"}</definedName>
    <definedName name="________TH1" localSheetId="24" hidden="1">{#N/A,#N/A,FALSE,"M.34"}</definedName>
    <definedName name="________TH1" localSheetId="32" hidden="1">{#N/A,#N/A,FALSE,"M.34"}</definedName>
    <definedName name="________TH1" localSheetId="27" hidden="1">{#N/A,#N/A,FALSE,"M.34"}</definedName>
    <definedName name="________TH1" localSheetId="28" hidden="1">{#N/A,#N/A,FALSE,"M.34"}</definedName>
    <definedName name="________TH1" localSheetId="29" hidden="1">{#N/A,#N/A,FALSE,"M.34"}</definedName>
    <definedName name="________TH1" localSheetId="31" hidden="1">{#N/A,#N/A,FALSE,"M.34"}</definedName>
    <definedName name="________TH1" localSheetId="30" hidden="1">{#N/A,#N/A,FALSE,"M.34"}</definedName>
    <definedName name="________TH1" localSheetId="17" hidden="1">{#N/A,#N/A,FALSE,"M.34"}</definedName>
    <definedName name="________TH1" localSheetId="18" hidden="1">{#N/A,#N/A,FALSE,"M.34"}</definedName>
    <definedName name="________TH1" hidden="1">{#N/A,#N/A,FALSE,"M.34"}</definedName>
    <definedName name="________th2" localSheetId="20" hidden="1">{#N/A,#N/A,FALSE,"M.42"}</definedName>
    <definedName name="________th2" localSheetId="19" hidden="1">{#N/A,#N/A,FALSE,"M.42"}</definedName>
    <definedName name="________th2" localSheetId="26" hidden="1">{#N/A,#N/A,FALSE,"M.42"}</definedName>
    <definedName name="________th2" localSheetId="24" hidden="1">{#N/A,#N/A,FALSE,"M.42"}</definedName>
    <definedName name="________th2" localSheetId="32" hidden="1">{#N/A,#N/A,FALSE,"M.42"}</definedName>
    <definedName name="________th2" localSheetId="27" hidden="1">{#N/A,#N/A,FALSE,"M.42"}</definedName>
    <definedName name="________th2" localSheetId="28" hidden="1">{#N/A,#N/A,FALSE,"M.42"}</definedName>
    <definedName name="________th2" localSheetId="29" hidden="1">{#N/A,#N/A,FALSE,"M.42"}</definedName>
    <definedName name="________th2" localSheetId="31" hidden="1">{#N/A,#N/A,FALSE,"M.42"}</definedName>
    <definedName name="________th2" localSheetId="30" hidden="1">{#N/A,#N/A,FALSE,"M.42"}</definedName>
    <definedName name="________th2" localSheetId="17" hidden="1">{#N/A,#N/A,FALSE,"M.42"}</definedName>
    <definedName name="________th2" localSheetId="18" hidden="1">{#N/A,#N/A,FALSE,"M.42"}</definedName>
    <definedName name="________th2" hidden="1">{#N/A,#N/A,FALSE,"M.42"}</definedName>
    <definedName name="________xlfn.BAHTTEXT" hidden="1">#NAME?</definedName>
    <definedName name="_______amd1" localSheetId="20" hidden="1">{#N/A,#N/A,FALSE,"Chi tiÆt"}</definedName>
    <definedName name="_______amd1" localSheetId="19" hidden="1">{#N/A,#N/A,FALSE,"Chi tiÆt"}</definedName>
    <definedName name="_______amd1" localSheetId="26" hidden="1">{#N/A,#N/A,FALSE,"Chi tiÆt"}</definedName>
    <definedName name="_______amd1" localSheetId="24" hidden="1">{#N/A,#N/A,FALSE,"Chi tiÆt"}</definedName>
    <definedName name="_______amd1" localSheetId="32" hidden="1">{#N/A,#N/A,FALSE,"Chi tiÆt"}</definedName>
    <definedName name="_______amd1" localSheetId="27" hidden="1">{#N/A,#N/A,FALSE,"Chi tiÆt"}</definedName>
    <definedName name="_______amd1" localSheetId="28" hidden="1">{#N/A,#N/A,FALSE,"Chi tiÆt"}</definedName>
    <definedName name="_______amd1" localSheetId="29" hidden="1">{#N/A,#N/A,FALSE,"Chi tiÆt"}</definedName>
    <definedName name="_______amd1" localSheetId="31" hidden="1">{#N/A,#N/A,FALSE,"Chi tiÆt"}</definedName>
    <definedName name="_______amd1" localSheetId="30" hidden="1">{#N/A,#N/A,FALSE,"Chi tiÆt"}</definedName>
    <definedName name="_______amd1" localSheetId="17" hidden="1">{#N/A,#N/A,FALSE,"Chi tiÆt"}</definedName>
    <definedName name="_______amd1" localSheetId="18" hidden="1">{#N/A,#N/A,FALSE,"Chi tiÆt"}</definedName>
    <definedName name="_______amd1" hidden="1">{#N/A,#N/A,FALSE,"Chi tiÆt"}</definedName>
    <definedName name="_______gk2" localSheetId="32" hidden="1">#REF!</definedName>
    <definedName name="_______gk2" hidden="1">#REF!</definedName>
    <definedName name="_______REV3" localSheetId="20" hidden="1">{#N/A,#N/A,FALSE,"REK-S-TPL";#N/A,#N/A,FALSE,"REK-TPML";#N/A,#N/A,FALSE,"RAB-TEMPEL"}</definedName>
    <definedName name="_______REV3" localSheetId="19" hidden="1">{#N/A,#N/A,FALSE,"REK-S-TPL";#N/A,#N/A,FALSE,"REK-TPML";#N/A,#N/A,FALSE,"RAB-TEMPEL"}</definedName>
    <definedName name="_______REV3" localSheetId="26" hidden="1">{#N/A,#N/A,FALSE,"REK-S-TPL";#N/A,#N/A,FALSE,"REK-TPML";#N/A,#N/A,FALSE,"RAB-TEMPEL"}</definedName>
    <definedName name="_______REV3" localSheetId="24" hidden="1">{#N/A,#N/A,FALSE,"REK-S-TPL";#N/A,#N/A,FALSE,"REK-TPML";#N/A,#N/A,FALSE,"RAB-TEMPEL"}</definedName>
    <definedName name="_______REV3" localSheetId="32" hidden="1">{#N/A,#N/A,FALSE,"REK-S-TPL";#N/A,#N/A,FALSE,"REK-TPML";#N/A,#N/A,FALSE,"RAB-TEMPEL"}</definedName>
    <definedName name="_______REV3" localSheetId="27" hidden="1">{#N/A,#N/A,FALSE,"REK-S-TPL";#N/A,#N/A,FALSE,"REK-TPML";#N/A,#N/A,FALSE,"RAB-TEMPEL"}</definedName>
    <definedName name="_______REV3" localSheetId="28" hidden="1">{#N/A,#N/A,FALSE,"REK-S-TPL";#N/A,#N/A,FALSE,"REK-TPML";#N/A,#N/A,FALSE,"RAB-TEMPEL"}</definedName>
    <definedName name="_______REV3" localSheetId="29" hidden="1">{#N/A,#N/A,FALSE,"REK-S-TPL";#N/A,#N/A,FALSE,"REK-TPML";#N/A,#N/A,FALSE,"RAB-TEMPEL"}</definedName>
    <definedName name="_______REV3" localSheetId="31" hidden="1">{#N/A,#N/A,FALSE,"REK-S-TPL";#N/A,#N/A,FALSE,"REK-TPML";#N/A,#N/A,FALSE,"RAB-TEMPEL"}</definedName>
    <definedName name="_______REV3" localSheetId="30" hidden="1">{#N/A,#N/A,FALSE,"REK-S-TPL";#N/A,#N/A,FALSE,"REK-TPML";#N/A,#N/A,FALSE,"RAB-TEMPEL"}</definedName>
    <definedName name="_______REV3" localSheetId="17" hidden="1">{#N/A,#N/A,FALSE,"REK-S-TPL";#N/A,#N/A,FALSE,"REK-TPML";#N/A,#N/A,FALSE,"RAB-TEMPEL"}</definedName>
    <definedName name="_______REV3" localSheetId="18" hidden="1">{#N/A,#N/A,FALSE,"REK-S-TPL";#N/A,#N/A,FALSE,"REK-TPML";#N/A,#N/A,FALSE,"RAB-TEMPEL"}</definedName>
    <definedName name="_______REV3" hidden="1">{#N/A,#N/A,FALSE,"REK-S-TPL";#N/A,#N/A,FALSE,"REK-TPML";#N/A,#N/A,FALSE,"RAB-TEMPEL"}</definedName>
    <definedName name="_______SLA2009" localSheetId="20" hidden="1">{#N/A,#N/A,FALSE,"M.32"}</definedName>
    <definedName name="_______SLA2009" localSheetId="19" hidden="1">{#N/A,#N/A,FALSE,"M.32"}</definedName>
    <definedName name="_______SLA2009" localSheetId="26" hidden="1">{#N/A,#N/A,FALSE,"M.32"}</definedName>
    <definedName name="_______SLA2009" localSheetId="24" hidden="1">{#N/A,#N/A,FALSE,"M.32"}</definedName>
    <definedName name="_______SLA2009" localSheetId="32" hidden="1">{#N/A,#N/A,FALSE,"M.32"}</definedName>
    <definedName name="_______SLA2009" localSheetId="27" hidden="1">{#N/A,#N/A,FALSE,"M.32"}</definedName>
    <definedName name="_______SLA2009" localSheetId="28" hidden="1">{#N/A,#N/A,FALSE,"M.32"}</definedName>
    <definedName name="_______SLA2009" localSheetId="29" hidden="1">{#N/A,#N/A,FALSE,"M.32"}</definedName>
    <definedName name="_______SLA2009" localSheetId="31" hidden="1">{#N/A,#N/A,FALSE,"M.32"}</definedName>
    <definedName name="_______SLA2009" localSheetId="30" hidden="1">{#N/A,#N/A,FALSE,"M.32"}</definedName>
    <definedName name="_______SLA2009" localSheetId="17" hidden="1">{#N/A,#N/A,FALSE,"M.32"}</definedName>
    <definedName name="_______SLA2009" localSheetId="18" hidden="1">{#N/A,#N/A,FALSE,"M.32"}</definedName>
    <definedName name="_______SLA2009" hidden="1">{#N/A,#N/A,FALSE,"M.32"}</definedName>
    <definedName name="_______TH1" localSheetId="20" hidden="1">{#N/A,#N/A,FALSE,"M.34"}</definedName>
    <definedName name="_______TH1" localSheetId="19" hidden="1">{#N/A,#N/A,FALSE,"M.34"}</definedName>
    <definedName name="_______TH1" localSheetId="26" hidden="1">{#N/A,#N/A,FALSE,"M.34"}</definedName>
    <definedName name="_______TH1" localSheetId="24" hidden="1">{#N/A,#N/A,FALSE,"M.34"}</definedName>
    <definedName name="_______TH1" localSheetId="32" hidden="1">{#N/A,#N/A,FALSE,"M.34"}</definedName>
    <definedName name="_______TH1" localSheetId="27" hidden="1">{#N/A,#N/A,FALSE,"M.34"}</definedName>
    <definedName name="_______TH1" localSheetId="28" hidden="1">{#N/A,#N/A,FALSE,"M.34"}</definedName>
    <definedName name="_______TH1" localSheetId="29" hidden="1">{#N/A,#N/A,FALSE,"M.34"}</definedName>
    <definedName name="_______TH1" localSheetId="31" hidden="1">{#N/A,#N/A,FALSE,"M.34"}</definedName>
    <definedName name="_______TH1" localSheetId="30" hidden="1">{#N/A,#N/A,FALSE,"M.34"}</definedName>
    <definedName name="_______TH1" localSheetId="17" hidden="1">{#N/A,#N/A,FALSE,"M.34"}</definedName>
    <definedName name="_______TH1" localSheetId="18" hidden="1">{#N/A,#N/A,FALSE,"M.34"}</definedName>
    <definedName name="_______TH1" hidden="1">{#N/A,#N/A,FALSE,"M.34"}</definedName>
    <definedName name="_______th2" localSheetId="20" hidden="1">{#N/A,#N/A,FALSE,"M.42"}</definedName>
    <definedName name="_______th2" localSheetId="19" hidden="1">{#N/A,#N/A,FALSE,"M.42"}</definedName>
    <definedName name="_______th2" localSheetId="26" hidden="1">{#N/A,#N/A,FALSE,"M.42"}</definedName>
    <definedName name="_______th2" localSheetId="24" hidden="1">{#N/A,#N/A,FALSE,"M.42"}</definedName>
    <definedName name="_______th2" localSheetId="32" hidden="1">{#N/A,#N/A,FALSE,"M.42"}</definedName>
    <definedName name="_______th2" localSheetId="27" hidden="1">{#N/A,#N/A,FALSE,"M.42"}</definedName>
    <definedName name="_______th2" localSheetId="28" hidden="1">{#N/A,#N/A,FALSE,"M.42"}</definedName>
    <definedName name="_______th2" localSheetId="29" hidden="1">{#N/A,#N/A,FALSE,"M.42"}</definedName>
    <definedName name="_______th2" localSheetId="31" hidden="1">{#N/A,#N/A,FALSE,"M.42"}</definedName>
    <definedName name="_______th2" localSheetId="30" hidden="1">{#N/A,#N/A,FALSE,"M.42"}</definedName>
    <definedName name="_______th2" localSheetId="17" hidden="1">{#N/A,#N/A,FALSE,"M.42"}</definedName>
    <definedName name="_______th2" localSheetId="18" hidden="1">{#N/A,#N/A,FALSE,"M.42"}</definedName>
    <definedName name="_______th2" hidden="1">{#N/A,#N/A,FALSE,"M.42"}</definedName>
    <definedName name="_______xlfn.BAHTTEXT" hidden="1">#NAME?</definedName>
    <definedName name="______a129" localSheetId="20" hidden="1">{"Offgrid",#N/A,FALSE,"OFFGRID";"Region",#N/A,FALSE,"REGION";"Offgrid -2",#N/A,FALSE,"OFFGRID";"WTP",#N/A,FALSE,"WTP";"WTP -2",#N/A,FALSE,"WTP";"Project",#N/A,FALSE,"PROJECT";"Summary -2",#N/A,FALSE,"SUMMARY"}</definedName>
    <definedName name="______a129" localSheetId="19" hidden="1">{"Offgrid",#N/A,FALSE,"OFFGRID";"Region",#N/A,FALSE,"REGION";"Offgrid -2",#N/A,FALSE,"OFFGRID";"WTP",#N/A,FALSE,"WTP";"WTP -2",#N/A,FALSE,"WTP";"Project",#N/A,FALSE,"PROJECT";"Summary -2",#N/A,FALSE,"SUMMARY"}</definedName>
    <definedName name="______a129" localSheetId="26" hidden="1">{"Offgrid",#N/A,FALSE,"OFFGRID";"Region",#N/A,FALSE,"REGION";"Offgrid -2",#N/A,FALSE,"OFFGRID";"WTP",#N/A,FALSE,"WTP";"WTP -2",#N/A,FALSE,"WTP";"Project",#N/A,FALSE,"PROJECT";"Summary -2",#N/A,FALSE,"SUMMARY"}</definedName>
    <definedName name="______a129" localSheetId="24" hidden="1">{"Offgrid",#N/A,FALSE,"OFFGRID";"Region",#N/A,FALSE,"REGION";"Offgrid -2",#N/A,FALSE,"OFFGRID";"WTP",#N/A,FALSE,"WTP";"WTP -2",#N/A,FALSE,"WTP";"Project",#N/A,FALSE,"PROJECT";"Summary -2",#N/A,FALSE,"SUMMARY"}</definedName>
    <definedName name="______a129" localSheetId="32" hidden="1">{"Offgrid",#N/A,FALSE,"OFFGRID";"Region",#N/A,FALSE,"REGION";"Offgrid -2",#N/A,FALSE,"OFFGRID";"WTP",#N/A,FALSE,"WTP";"WTP -2",#N/A,FALSE,"WTP";"Project",#N/A,FALSE,"PROJECT";"Summary -2",#N/A,FALSE,"SUMMARY"}</definedName>
    <definedName name="______a129" localSheetId="27" hidden="1">{"Offgrid",#N/A,FALSE,"OFFGRID";"Region",#N/A,FALSE,"REGION";"Offgrid -2",#N/A,FALSE,"OFFGRID";"WTP",#N/A,FALSE,"WTP";"WTP -2",#N/A,FALSE,"WTP";"Project",#N/A,FALSE,"PROJECT";"Summary -2",#N/A,FALSE,"SUMMARY"}</definedName>
    <definedName name="______a129" localSheetId="28" hidden="1">{"Offgrid",#N/A,FALSE,"OFFGRID";"Region",#N/A,FALSE,"REGION";"Offgrid -2",#N/A,FALSE,"OFFGRID";"WTP",#N/A,FALSE,"WTP";"WTP -2",#N/A,FALSE,"WTP";"Project",#N/A,FALSE,"PROJECT";"Summary -2",#N/A,FALSE,"SUMMARY"}</definedName>
    <definedName name="______a129" localSheetId="29" hidden="1">{"Offgrid",#N/A,FALSE,"OFFGRID";"Region",#N/A,FALSE,"REGION";"Offgrid -2",#N/A,FALSE,"OFFGRID";"WTP",#N/A,FALSE,"WTP";"WTP -2",#N/A,FALSE,"WTP";"Project",#N/A,FALSE,"PROJECT";"Summary -2",#N/A,FALSE,"SUMMARY"}</definedName>
    <definedName name="______a129" localSheetId="31" hidden="1">{"Offgrid",#N/A,FALSE,"OFFGRID";"Region",#N/A,FALSE,"REGION";"Offgrid -2",#N/A,FALSE,"OFFGRID";"WTP",#N/A,FALSE,"WTP";"WTP -2",#N/A,FALSE,"WTP";"Project",#N/A,FALSE,"PROJECT";"Summary -2",#N/A,FALSE,"SUMMARY"}</definedName>
    <definedName name="______a129" localSheetId="30" hidden="1">{"Offgrid",#N/A,FALSE,"OFFGRID";"Region",#N/A,FALSE,"REGION";"Offgrid -2",#N/A,FALSE,"OFFGRID";"WTP",#N/A,FALSE,"WTP";"WTP -2",#N/A,FALSE,"WTP";"Project",#N/A,FALSE,"PROJECT";"Summary -2",#N/A,FALSE,"SUMMARY"}</definedName>
    <definedName name="______a129" localSheetId="17" hidden="1">{"Offgrid",#N/A,FALSE,"OFFGRID";"Region",#N/A,FALSE,"REGION";"Offgrid -2",#N/A,FALSE,"OFFGRID";"WTP",#N/A,FALSE,"WTP";"WTP -2",#N/A,FALSE,"WTP";"Project",#N/A,FALSE,"PROJECT";"Summary -2",#N/A,FALSE,"SUMMARY"}</definedName>
    <definedName name="______a129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30" localSheetId="20" hidden="1">{"Offgrid",#N/A,FALSE,"OFFGRID";"Region",#N/A,FALSE,"REGION";"Offgrid -2",#N/A,FALSE,"OFFGRID";"WTP",#N/A,FALSE,"WTP";"WTP -2",#N/A,FALSE,"WTP";"Project",#N/A,FALSE,"PROJECT";"Summary -2",#N/A,FALSE,"SUMMARY"}</definedName>
    <definedName name="______a130" localSheetId="19" hidden="1">{"Offgrid",#N/A,FALSE,"OFFGRID";"Region",#N/A,FALSE,"REGION";"Offgrid -2",#N/A,FALSE,"OFFGRID";"WTP",#N/A,FALSE,"WTP";"WTP -2",#N/A,FALSE,"WTP";"Project",#N/A,FALSE,"PROJECT";"Summary -2",#N/A,FALSE,"SUMMARY"}</definedName>
    <definedName name="______a130" localSheetId="26" hidden="1">{"Offgrid",#N/A,FALSE,"OFFGRID";"Region",#N/A,FALSE,"REGION";"Offgrid -2",#N/A,FALSE,"OFFGRID";"WTP",#N/A,FALSE,"WTP";"WTP -2",#N/A,FALSE,"WTP";"Project",#N/A,FALSE,"PROJECT";"Summary -2",#N/A,FALSE,"SUMMARY"}</definedName>
    <definedName name="______a130" localSheetId="24" hidden="1">{"Offgrid",#N/A,FALSE,"OFFGRID";"Region",#N/A,FALSE,"REGION";"Offgrid -2",#N/A,FALSE,"OFFGRID";"WTP",#N/A,FALSE,"WTP";"WTP -2",#N/A,FALSE,"WTP";"Project",#N/A,FALSE,"PROJECT";"Summary -2",#N/A,FALSE,"SUMMARY"}</definedName>
    <definedName name="______a130" localSheetId="32" hidden="1">{"Offgrid",#N/A,FALSE,"OFFGRID";"Region",#N/A,FALSE,"REGION";"Offgrid -2",#N/A,FALSE,"OFFGRID";"WTP",#N/A,FALSE,"WTP";"WTP -2",#N/A,FALSE,"WTP";"Project",#N/A,FALSE,"PROJECT";"Summary -2",#N/A,FALSE,"SUMMARY"}</definedName>
    <definedName name="______a130" localSheetId="27" hidden="1">{"Offgrid",#N/A,FALSE,"OFFGRID";"Region",#N/A,FALSE,"REGION";"Offgrid -2",#N/A,FALSE,"OFFGRID";"WTP",#N/A,FALSE,"WTP";"WTP -2",#N/A,FALSE,"WTP";"Project",#N/A,FALSE,"PROJECT";"Summary -2",#N/A,FALSE,"SUMMARY"}</definedName>
    <definedName name="______a130" localSheetId="28" hidden="1">{"Offgrid",#N/A,FALSE,"OFFGRID";"Region",#N/A,FALSE,"REGION";"Offgrid -2",#N/A,FALSE,"OFFGRID";"WTP",#N/A,FALSE,"WTP";"WTP -2",#N/A,FALSE,"WTP";"Project",#N/A,FALSE,"PROJECT";"Summary -2",#N/A,FALSE,"SUMMARY"}</definedName>
    <definedName name="______a130" localSheetId="29" hidden="1">{"Offgrid",#N/A,FALSE,"OFFGRID";"Region",#N/A,FALSE,"REGION";"Offgrid -2",#N/A,FALSE,"OFFGRID";"WTP",#N/A,FALSE,"WTP";"WTP -2",#N/A,FALSE,"WTP";"Project",#N/A,FALSE,"PROJECT";"Summary -2",#N/A,FALSE,"SUMMARY"}</definedName>
    <definedName name="______a130" localSheetId="31" hidden="1">{"Offgrid",#N/A,FALSE,"OFFGRID";"Region",#N/A,FALSE,"REGION";"Offgrid -2",#N/A,FALSE,"OFFGRID";"WTP",#N/A,FALSE,"WTP";"WTP -2",#N/A,FALSE,"WTP";"Project",#N/A,FALSE,"PROJECT";"Summary -2",#N/A,FALSE,"SUMMARY"}</definedName>
    <definedName name="______a130" localSheetId="30" hidden="1">{"Offgrid",#N/A,FALSE,"OFFGRID";"Region",#N/A,FALSE,"REGION";"Offgrid -2",#N/A,FALSE,"OFFGRID";"WTP",#N/A,FALSE,"WTP";"WTP -2",#N/A,FALSE,"WTP";"Project",#N/A,FALSE,"PROJECT";"Summary -2",#N/A,FALSE,"SUMMARY"}</definedName>
    <definedName name="______a130" localSheetId="17" hidden="1">{"Offgrid",#N/A,FALSE,"OFFGRID";"Region",#N/A,FALSE,"REGION";"Offgrid -2",#N/A,FALSE,"OFFGRID";"WTP",#N/A,FALSE,"WTP";"WTP -2",#N/A,FALSE,"WTP";"Project",#N/A,FALSE,"PROJECT";"Summary -2",#N/A,FALSE,"SUMMARY"}</definedName>
    <definedName name="______a130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amd1" localSheetId="20" hidden="1">{#N/A,#N/A,FALSE,"Chi tiÆt"}</definedName>
    <definedName name="______amd1" localSheetId="19" hidden="1">{#N/A,#N/A,FALSE,"Chi tiÆt"}</definedName>
    <definedName name="______amd1" localSheetId="26" hidden="1">{#N/A,#N/A,FALSE,"Chi tiÆt"}</definedName>
    <definedName name="______amd1" localSheetId="24" hidden="1">{#N/A,#N/A,FALSE,"Chi tiÆt"}</definedName>
    <definedName name="______amd1" localSheetId="32" hidden="1">{#N/A,#N/A,FALSE,"Chi tiÆt"}</definedName>
    <definedName name="______amd1" localSheetId="27" hidden="1">{#N/A,#N/A,FALSE,"Chi tiÆt"}</definedName>
    <definedName name="______amd1" localSheetId="28" hidden="1">{#N/A,#N/A,FALSE,"Chi tiÆt"}</definedName>
    <definedName name="______amd1" localSheetId="29" hidden="1">{#N/A,#N/A,FALSE,"Chi tiÆt"}</definedName>
    <definedName name="______amd1" localSheetId="31" hidden="1">{#N/A,#N/A,FALSE,"Chi tiÆt"}</definedName>
    <definedName name="______amd1" localSheetId="30" hidden="1">{#N/A,#N/A,FALSE,"Chi tiÆt"}</definedName>
    <definedName name="______amd1" localSheetId="17" hidden="1">{#N/A,#N/A,FALSE,"Chi tiÆt"}</definedName>
    <definedName name="______amd1" localSheetId="18" hidden="1">{#N/A,#N/A,FALSE,"Chi tiÆt"}</definedName>
    <definedName name="______amd1" hidden="1">{#N/A,#N/A,FALSE,"Chi tiÆt"}</definedName>
    <definedName name="______CU600" localSheetId="20" hidden="1">{#N/A,#N/A,TRUE,"toc";#N/A,#N/A,TRUE,"general";#N/A,#N/A,TRUE,"compressive";#N/A,#N/A,TRUE,"lateral";#N/A,#N/A,TRUE,"shallow"}</definedName>
    <definedName name="______CU600" localSheetId="19" hidden="1">{#N/A,#N/A,TRUE,"toc";#N/A,#N/A,TRUE,"general";#N/A,#N/A,TRUE,"compressive";#N/A,#N/A,TRUE,"lateral";#N/A,#N/A,TRUE,"shallow"}</definedName>
    <definedName name="______CU600" localSheetId="26" hidden="1">{#N/A,#N/A,TRUE,"toc";#N/A,#N/A,TRUE,"general";#N/A,#N/A,TRUE,"compressive";#N/A,#N/A,TRUE,"lateral";#N/A,#N/A,TRUE,"shallow"}</definedName>
    <definedName name="______CU600" localSheetId="24" hidden="1">{#N/A,#N/A,TRUE,"toc";#N/A,#N/A,TRUE,"general";#N/A,#N/A,TRUE,"compressive";#N/A,#N/A,TRUE,"lateral";#N/A,#N/A,TRUE,"shallow"}</definedName>
    <definedName name="______CU600" localSheetId="32" hidden="1">{#N/A,#N/A,TRUE,"toc";#N/A,#N/A,TRUE,"general";#N/A,#N/A,TRUE,"compressive";#N/A,#N/A,TRUE,"lateral";#N/A,#N/A,TRUE,"shallow"}</definedName>
    <definedName name="______CU600" localSheetId="27" hidden="1">{#N/A,#N/A,TRUE,"toc";#N/A,#N/A,TRUE,"general";#N/A,#N/A,TRUE,"compressive";#N/A,#N/A,TRUE,"lateral";#N/A,#N/A,TRUE,"shallow"}</definedName>
    <definedName name="______CU600" localSheetId="28" hidden="1">{#N/A,#N/A,TRUE,"toc";#N/A,#N/A,TRUE,"general";#N/A,#N/A,TRUE,"compressive";#N/A,#N/A,TRUE,"lateral";#N/A,#N/A,TRUE,"shallow"}</definedName>
    <definedName name="______CU600" localSheetId="29" hidden="1">{#N/A,#N/A,TRUE,"toc";#N/A,#N/A,TRUE,"general";#N/A,#N/A,TRUE,"compressive";#N/A,#N/A,TRUE,"lateral";#N/A,#N/A,TRUE,"shallow"}</definedName>
    <definedName name="______CU600" localSheetId="31" hidden="1">{#N/A,#N/A,TRUE,"toc";#N/A,#N/A,TRUE,"general";#N/A,#N/A,TRUE,"compressive";#N/A,#N/A,TRUE,"lateral";#N/A,#N/A,TRUE,"shallow"}</definedName>
    <definedName name="______CU600" localSheetId="30" hidden="1">{#N/A,#N/A,TRUE,"toc";#N/A,#N/A,TRUE,"general";#N/A,#N/A,TRUE,"compressive";#N/A,#N/A,TRUE,"lateral";#N/A,#N/A,TRUE,"shallow"}</definedName>
    <definedName name="______CU600" localSheetId="17" hidden="1">{#N/A,#N/A,TRUE,"toc";#N/A,#N/A,TRUE,"general";#N/A,#N/A,TRUE,"compressive";#N/A,#N/A,TRUE,"lateral";#N/A,#N/A,TRUE,"shallow"}</definedName>
    <definedName name="______CU600" localSheetId="18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gk2" localSheetId="32" hidden="1">#REF!</definedName>
    <definedName name="______gk2" hidden="1">#REF!</definedName>
    <definedName name="______jkw1" localSheetId="20" hidden="1">{"'Rekap 1'!$A$1:$E$18"}</definedName>
    <definedName name="______jkw1" localSheetId="19" hidden="1">{"'Rekap 1'!$A$1:$E$18"}</definedName>
    <definedName name="______jkw1" localSheetId="26" hidden="1">{"'Rekap 1'!$A$1:$E$18"}</definedName>
    <definedName name="______jkw1" localSheetId="24" hidden="1">{"'Rekap 1'!$A$1:$E$18"}</definedName>
    <definedName name="______jkw1" localSheetId="32" hidden="1">{"'Rekap 1'!$A$1:$E$18"}</definedName>
    <definedName name="______jkw1" localSheetId="27" hidden="1">{"'Rekap 1'!$A$1:$E$18"}</definedName>
    <definedName name="______jkw1" localSheetId="28" hidden="1">{"'Rekap 1'!$A$1:$E$18"}</definedName>
    <definedName name="______jkw1" localSheetId="29" hidden="1">{"'Rekap 1'!$A$1:$E$18"}</definedName>
    <definedName name="______jkw1" localSheetId="31" hidden="1">{"'Rekap 1'!$A$1:$E$18"}</definedName>
    <definedName name="______jkw1" localSheetId="30" hidden="1">{"'Rekap 1'!$A$1:$E$18"}</definedName>
    <definedName name="______jkw1" localSheetId="17" hidden="1">{"'Rekap 1'!$A$1:$E$18"}</definedName>
    <definedName name="______jkw1" localSheetId="18" hidden="1">{"'Rekap 1'!$A$1:$E$18"}</definedName>
    <definedName name="______jkw1" hidden="1">{"'Rekap 1'!$A$1:$E$18"}</definedName>
    <definedName name="______Q2" localSheetId="20" hidden="1">{"'Overflow Tank '!$A$1:$Q$58"}</definedName>
    <definedName name="______Q2" localSheetId="19" hidden="1">{"'Overflow Tank '!$A$1:$Q$58"}</definedName>
    <definedName name="______Q2" localSheetId="26" hidden="1">{"'Overflow Tank '!$A$1:$Q$58"}</definedName>
    <definedName name="______Q2" localSheetId="24" hidden="1">{"'Overflow Tank '!$A$1:$Q$58"}</definedName>
    <definedName name="______Q2" localSheetId="32" hidden="1">{"'Overflow Tank '!$A$1:$Q$58"}</definedName>
    <definedName name="______Q2" localSheetId="27" hidden="1">{"'Overflow Tank '!$A$1:$Q$58"}</definedName>
    <definedName name="______Q2" localSheetId="28" hidden="1">{"'Overflow Tank '!$A$1:$Q$58"}</definedName>
    <definedName name="______Q2" localSheetId="29" hidden="1">{"'Overflow Tank '!$A$1:$Q$58"}</definedName>
    <definedName name="______Q2" localSheetId="31" hidden="1">{"'Overflow Tank '!$A$1:$Q$58"}</definedName>
    <definedName name="______Q2" localSheetId="30" hidden="1">{"'Overflow Tank '!$A$1:$Q$58"}</definedName>
    <definedName name="______Q2" localSheetId="17" hidden="1">{"'Overflow Tank '!$A$1:$Q$58"}</definedName>
    <definedName name="______Q2" localSheetId="18" hidden="1">{"'Overflow Tank '!$A$1:$Q$58"}</definedName>
    <definedName name="______Q2" hidden="1">{"'Overflow Tank '!$A$1:$Q$58"}</definedName>
    <definedName name="______REV3" localSheetId="20" hidden="1">{#N/A,#N/A,FALSE,"REK-S-TPL";#N/A,#N/A,FALSE,"REK-TPML";#N/A,#N/A,FALSE,"RAB-TEMPEL"}</definedName>
    <definedName name="______REV3" localSheetId="19" hidden="1">{#N/A,#N/A,FALSE,"REK-S-TPL";#N/A,#N/A,FALSE,"REK-TPML";#N/A,#N/A,FALSE,"RAB-TEMPEL"}</definedName>
    <definedName name="______REV3" localSheetId="26" hidden="1">{#N/A,#N/A,FALSE,"REK-S-TPL";#N/A,#N/A,FALSE,"REK-TPML";#N/A,#N/A,FALSE,"RAB-TEMPEL"}</definedName>
    <definedName name="______REV3" localSheetId="24" hidden="1">{#N/A,#N/A,FALSE,"REK-S-TPL";#N/A,#N/A,FALSE,"REK-TPML";#N/A,#N/A,FALSE,"RAB-TEMPEL"}</definedName>
    <definedName name="______REV3" localSheetId="32" hidden="1">{#N/A,#N/A,FALSE,"REK-S-TPL";#N/A,#N/A,FALSE,"REK-TPML";#N/A,#N/A,FALSE,"RAB-TEMPEL"}</definedName>
    <definedName name="______REV3" localSheetId="27" hidden="1">{#N/A,#N/A,FALSE,"REK-S-TPL";#N/A,#N/A,FALSE,"REK-TPML";#N/A,#N/A,FALSE,"RAB-TEMPEL"}</definedName>
    <definedName name="______REV3" localSheetId="28" hidden="1">{#N/A,#N/A,FALSE,"REK-S-TPL";#N/A,#N/A,FALSE,"REK-TPML";#N/A,#N/A,FALSE,"RAB-TEMPEL"}</definedName>
    <definedName name="______REV3" localSheetId="29" hidden="1">{#N/A,#N/A,FALSE,"REK-S-TPL";#N/A,#N/A,FALSE,"REK-TPML";#N/A,#N/A,FALSE,"RAB-TEMPEL"}</definedName>
    <definedName name="______REV3" localSheetId="31" hidden="1">{#N/A,#N/A,FALSE,"REK-S-TPL";#N/A,#N/A,FALSE,"REK-TPML";#N/A,#N/A,FALSE,"RAB-TEMPEL"}</definedName>
    <definedName name="______REV3" localSheetId="30" hidden="1">{#N/A,#N/A,FALSE,"REK-S-TPL";#N/A,#N/A,FALSE,"REK-TPML";#N/A,#N/A,FALSE,"RAB-TEMPEL"}</definedName>
    <definedName name="______REV3" localSheetId="17" hidden="1">{#N/A,#N/A,FALSE,"REK-S-TPL";#N/A,#N/A,FALSE,"REK-TPML";#N/A,#N/A,FALSE,"RAB-TEMPEL"}</definedName>
    <definedName name="______REV3" localSheetId="18" hidden="1">{#N/A,#N/A,FALSE,"REK-S-TPL";#N/A,#N/A,FALSE,"REK-TPML";#N/A,#N/A,FALSE,"RAB-TEMPEL"}</definedName>
    <definedName name="______REV3" hidden="1">{#N/A,#N/A,FALSE,"REK-S-TPL";#N/A,#N/A,FALSE,"REK-TPML";#N/A,#N/A,FALSE,"RAB-TEMPEL"}</definedName>
    <definedName name="______SLA2009" localSheetId="20" hidden="1">{#N/A,#N/A,FALSE,"M.32"}</definedName>
    <definedName name="______SLA2009" localSheetId="19" hidden="1">{#N/A,#N/A,FALSE,"M.32"}</definedName>
    <definedName name="______SLA2009" localSheetId="26" hidden="1">{#N/A,#N/A,FALSE,"M.32"}</definedName>
    <definedName name="______SLA2009" localSheetId="24" hidden="1">{#N/A,#N/A,FALSE,"M.32"}</definedName>
    <definedName name="______SLA2009" localSheetId="32" hidden="1">{#N/A,#N/A,FALSE,"M.32"}</definedName>
    <definedName name="______SLA2009" localSheetId="27" hidden="1">{#N/A,#N/A,FALSE,"M.32"}</definedName>
    <definedName name="______SLA2009" localSheetId="28" hidden="1">{#N/A,#N/A,FALSE,"M.32"}</definedName>
    <definedName name="______SLA2009" localSheetId="29" hidden="1">{#N/A,#N/A,FALSE,"M.32"}</definedName>
    <definedName name="______SLA2009" localSheetId="31" hidden="1">{#N/A,#N/A,FALSE,"M.32"}</definedName>
    <definedName name="______SLA2009" localSheetId="30" hidden="1">{#N/A,#N/A,FALSE,"M.32"}</definedName>
    <definedName name="______SLA2009" localSheetId="17" hidden="1">{#N/A,#N/A,FALSE,"M.32"}</definedName>
    <definedName name="______SLA2009" localSheetId="18" hidden="1">{#N/A,#N/A,FALSE,"M.32"}</definedName>
    <definedName name="______SLA2009" hidden="1">{#N/A,#N/A,FALSE,"M.32"}</definedName>
    <definedName name="______t1" localSheetId="20" hidden="1">{"Offgrid",#N/A,FALSE,"OFFGRID";"Region",#N/A,FALSE,"REGION";"Offgrid -2",#N/A,FALSE,"OFFGRID";"WTP",#N/A,FALSE,"WTP";"WTP -2",#N/A,FALSE,"WTP";"Project",#N/A,FALSE,"PROJECT";"Summary -2",#N/A,FALSE,"SUMMARY"}</definedName>
    <definedName name="______t1" localSheetId="19" hidden="1">{"Offgrid",#N/A,FALSE,"OFFGRID";"Region",#N/A,FALSE,"REGION";"Offgrid -2",#N/A,FALSE,"OFFGRID";"WTP",#N/A,FALSE,"WTP";"WTP -2",#N/A,FALSE,"WTP";"Project",#N/A,FALSE,"PROJECT";"Summary -2",#N/A,FALSE,"SUMMARY"}</definedName>
    <definedName name="______t1" localSheetId="26" hidden="1">{"Offgrid",#N/A,FALSE,"OFFGRID";"Region",#N/A,FALSE,"REGION";"Offgrid -2",#N/A,FALSE,"OFFGRID";"WTP",#N/A,FALSE,"WTP";"WTP -2",#N/A,FALSE,"WTP";"Project",#N/A,FALSE,"PROJECT";"Summary -2",#N/A,FALSE,"SUMMARY"}</definedName>
    <definedName name="______t1" localSheetId="24" hidden="1">{"Offgrid",#N/A,FALSE,"OFFGRID";"Region",#N/A,FALSE,"REGION";"Offgrid -2",#N/A,FALSE,"OFFGRID";"WTP",#N/A,FALSE,"WTP";"WTP -2",#N/A,FALSE,"WTP";"Project",#N/A,FALSE,"PROJECT";"Summary -2",#N/A,FALSE,"SUMMARY"}</definedName>
    <definedName name="______t1" localSheetId="32" hidden="1">{"Offgrid",#N/A,FALSE,"OFFGRID";"Region",#N/A,FALSE,"REGION";"Offgrid -2",#N/A,FALSE,"OFFGRID";"WTP",#N/A,FALSE,"WTP";"WTP -2",#N/A,FALSE,"WTP";"Project",#N/A,FALSE,"PROJECT";"Summary -2",#N/A,FALSE,"SUMMARY"}</definedName>
    <definedName name="______t1" localSheetId="27" hidden="1">{"Offgrid",#N/A,FALSE,"OFFGRID";"Region",#N/A,FALSE,"REGION";"Offgrid -2",#N/A,FALSE,"OFFGRID";"WTP",#N/A,FALSE,"WTP";"WTP -2",#N/A,FALSE,"WTP";"Project",#N/A,FALSE,"PROJECT";"Summary -2",#N/A,FALSE,"SUMMARY"}</definedName>
    <definedName name="______t1" localSheetId="28" hidden="1">{"Offgrid",#N/A,FALSE,"OFFGRID";"Region",#N/A,FALSE,"REGION";"Offgrid -2",#N/A,FALSE,"OFFGRID";"WTP",#N/A,FALSE,"WTP";"WTP -2",#N/A,FALSE,"WTP";"Project",#N/A,FALSE,"PROJECT";"Summary -2",#N/A,FALSE,"SUMMARY"}</definedName>
    <definedName name="______t1" localSheetId="29" hidden="1">{"Offgrid",#N/A,FALSE,"OFFGRID";"Region",#N/A,FALSE,"REGION";"Offgrid -2",#N/A,FALSE,"OFFGRID";"WTP",#N/A,FALSE,"WTP";"WTP -2",#N/A,FALSE,"WTP";"Project",#N/A,FALSE,"PROJECT";"Summary -2",#N/A,FALSE,"SUMMARY"}</definedName>
    <definedName name="______t1" localSheetId="31" hidden="1">{"Offgrid",#N/A,FALSE,"OFFGRID";"Region",#N/A,FALSE,"REGION";"Offgrid -2",#N/A,FALSE,"OFFGRID";"WTP",#N/A,FALSE,"WTP";"WTP -2",#N/A,FALSE,"WTP";"Project",#N/A,FALSE,"PROJECT";"Summary -2",#N/A,FALSE,"SUMMARY"}</definedName>
    <definedName name="______t1" localSheetId="30" hidden="1">{"Offgrid",#N/A,FALSE,"OFFGRID";"Region",#N/A,FALSE,"REGION";"Offgrid -2",#N/A,FALSE,"OFFGRID";"WTP",#N/A,FALSE,"WTP";"WTP -2",#N/A,FALSE,"WTP";"Project",#N/A,FALSE,"PROJECT";"Summary -2",#N/A,FALSE,"SUMMARY"}</definedName>
    <definedName name="______t1" localSheetId="17" hidden="1">{"Offgrid",#N/A,FALSE,"OFFGRID";"Region",#N/A,FALSE,"REGION";"Offgrid -2",#N/A,FALSE,"OFFGRID";"WTP",#N/A,FALSE,"WTP";"WTP -2",#N/A,FALSE,"WTP";"Project",#N/A,FALSE,"PROJECT";"Summary -2",#N/A,FALSE,"SUMMARY"}</definedName>
    <definedName name="______t1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t1" hidden="1">{"Offgrid",#N/A,FALSE,"OFFGRID";"Region",#N/A,FALSE,"REGION";"Offgrid -2",#N/A,FALSE,"OFFGRID";"WTP",#N/A,FALSE,"WTP";"WTP -2",#N/A,FALSE,"WTP";"Project",#N/A,FALSE,"PROJECT";"Summary -2",#N/A,FALSE,"SUMMARY"}</definedName>
    <definedName name="______t2" localSheetId="20" hidden="1">{"Offgrid",#N/A,FALSE,"OFFGRID";"Region",#N/A,FALSE,"REGION";"Offgrid -2",#N/A,FALSE,"OFFGRID";"WTP",#N/A,FALSE,"WTP";"WTP -2",#N/A,FALSE,"WTP";"Project",#N/A,FALSE,"PROJECT";"Summary -2",#N/A,FALSE,"SUMMARY"}</definedName>
    <definedName name="______t2" localSheetId="19" hidden="1">{"Offgrid",#N/A,FALSE,"OFFGRID";"Region",#N/A,FALSE,"REGION";"Offgrid -2",#N/A,FALSE,"OFFGRID";"WTP",#N/A,FALSE,"WTP";"WTP -2",#N/A,FALSE,"WTP";"Project",#N/A,FALSE,"PROJECT";"Summary -2",#N/A,FALSE,"SUMMARY"}</definedName>
    <definedName name="______t2" localSheetId="26" hidden="1">{"Offgrid",#N/A,FALSE,"OFFGRID";"Region",#N/A,FALSE,"REGION";"Offgrid -2",#N/A,FALSE,"OFFGRID";"WTP",#N/A,FALSE,"WTP";"WTP -2",#N/A,FALSE,"WTP";"Project",#N/A,FALSE,"PROJECT";"Summary -2",#N/A,FALSE,"SUMMARY"}</definedName>
    <definedName name="______t2" localSheetId="24" hidden="1">{"Offgrid",#N/A,FALSE,"OFFGRID";"Region",#N/A,FALSE,"REGION";"Offgrid -2",#N/A,FALSE,"OFFGRID";"WTP",#N/A,FALSE,"WTP";"WTP -2",#N/A,FALSE,"WTP";"Project",#N/A,FALSE,"PROJECT";"Summary -2",#N/A,FALSE,"SUMMARY"}</definedName>
    <definedName name="______t2" localSheetId="32" hidden="1">{"Offgrid",#N/A,FALSE,"OFFGRID";"Region",#N/A,FALSE,"REGION";"Offgrid -2",#N/A,FALSE,"OFFGRID";"WTP",#N/A,FALSE,"WTP";"WTP -2",#N/A,FALSE,"WTP";"Project",#N/A,FALSE,"PROJECT";"Summary -2",#N/A,FALSE,"SUMMARY"}</definedName>
    <definedName name="______t2" localSheetId="27" hidden="1">{"Offgrid",#N/A,FALSE,"OFFGRID";"Region",#N/A,FALSE,"REGION";"Offgrid -2",#N/A,FALSE,"OFFGRID";"WTP",#N/A,FALSE,"WTP";"WTP -2",#N/A,FALSE,"WTP";"Project",#N/A,FALSE,"PROJECT";"Summary -2",#N/A,FALSE,"SUMMARY"}</definedName>
    <definedName name="______t2" localSheetId="28" hidden="1">{"Offgrid",#N/A,FALSE,"OFFGRID";"Region",#N/A,FALSE,"REGION";"Offgrid -2",#N/A,FALSE,"OFFGRID";"WTP",#N/A,FALSE,"WTP";"WTP -2",#N/A,FALSE,"WTP";"Project",#N/A,FALSE,"PROJECT";"Summary -2",#N/A,FALSE,"SUMMARY"}</definedName>
    <definedName name="______t2" localSheetId="29" hidden="1">{"Offgrid",#N/A,FALSE,"OFFGRID";"Region",#N/A,FALSE,"REGION";"Offgrid -2",#N/A,FALSE,"OFFGRID";"WTP",#N/A,FALSE,"WTP";"WTP -2",#N/A,FALSE,"WTP";"Project",#N/A,FALSE,"PROJECT";"Summary -2",#N/A,FALSE,"SUMMARY"}</definedName>
    <definedName name="______t2" localSheetId="31" hidden="1">{"Offgrid",#N/A,FALSE,"OFFGRID";"Region",#N/A,FALSE,"REGION";"Offgrid -2",#N/A,FALSE,"OFFGRID";"WTP",#N/A,FALSE,"WTP";"WTP -2",#N/A,FALSE,"WTP";"Project",#N/A,FALSE,"PROJECT";"Summary -2",#N/A,FALSE,"SUMMARY"}</definedName>
    <definedName name="______t2" localSheetId="30" hidden="1">{"Offgrid",#N/A,FALSE,"OFFGRID";"Region",#N/A,FALSE,"REGION";"Offgrid -2",#N/A,FALSE,"OFFGRID";"WTP",#N/A,FALSE,"WTP";"WTP -2",#N/A,FALSE,"WTP";"Project",#N/A,FALSE,"PROJECT";"Summary -2",#N/A,FALSE,"SUMMARY"}</definedName>
    <definedName name="______t2" localSheetId="17" hidden="1">{"Offgrid",#N/A,FALSE,"OFFGRID";"Region",#N/A,FALSE,"REGION";"Offgrid -2",#N/A,FALSE,"OFFGRID";"WTP",#N/A,FALSE,"WTP";"WTP -2",#N/A,FALSE,"WTP";"Project",#N/A,FALSE,"PROJECT";"Summary -2",#N/A,FALSE,"SUMMARY"}</definedName>
    <definedName name="______t2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t2" hidden="1">{"Offgrid",#N/A,FALSE,"OFFGRID";"Region",#N/A,FALSE,"REGION";"Offgrid -2",#N/A,FALSE,"OFFGRID";"WTP",#N/A,FALSE,"WTP";"WTP -2",#N/A,FALSE,"WTP";"Project",#N/A,FALSE,"PROJECT";"Summary -2",#N/A,FALSE,"SUMMARY"}</definedName>
    <definedName name="______t3" localSheetId="20" hidden="1">{"Offgrid",#N/A,FALSE,"OFFGRID";"Region",#N/A,FALSE,"REGION";"Offgrid -2",#N/A,FALSE,"OFFGRID";"WTP",#N/A,FALSE,"WTP";"WTP -2",#N/A,FALSE,"WTP";"Project",#N/A,FALSE,"PROJECT";"Summary -2",#N/A,FALSE,"SUMMARY"}</definedName>
    <definedName name="______t3" localSheetId="19" hidden="1">{"Offgrid",#N/A,FALSE,"OFFGRID";"Region",#N/A,FALSE,"REGION";"Offgrid -2",#N/A,FALSE,"OFFGRID";"WTP",#N/A,FALSE,"WTP";"WTP -2",#N/A,FALSE,"WTP";"Project",#N/A,FALSE,"PROJECT";"Summary -2",#N/A,FALSE,"SUMMARY"}</definedName>
    <definedName name="______t3" localSheetId="26" hidden="1">{"Offgrid",#N/A,FALSE,"OFFGRID";"Region",#N/A,FALSE,"REGION";"Offgrid -2",#N/A,FALSE,"OFFGRID";"WTP",#N/A,FALSE,"WTP";"WTP -2",#N/A,FALSE,"WTP";"Project",#N/A,FALSE,"PROJECT";"Summary -2",#N/A,FALSE,"SUMMARY"}</definedName>
    <definedName name="______t3" localSheetId="24" hidden="1">{"Offgrid",#N/A,FALSE,"OFFGRID";"Region",#N/A,FALSE,"REGION";"Offgrid -2",#N/A,FALSE,"OFFGRID";"WTP",#N/A,FALSE,"WTP";"WTP -2",#N/A,FALSE,"WTP";"Project",#N/A,FALSE,"PROJECT";"Summary -2",#N/A,FALSE,"SUMMARY"}</definedName>
    <definedName name="______t3" localSheetId="32" hidden="1">{"Offgrid",#N/A,FALSE,"OFFGRID";"Region",#N/A,FALSE,"REGION";"Offgrid -2",#N/A,FALSE,"OFFGRID";"WTP",#N/A,FALSE,"WTP";"WTP -2",#N/A,FALSE,"WTP";"Project",#N/A,FALSE,"PROJECT";"Summary -2",#N/A,FALSE,"SUMMARY"}</definedName>
    <definedName name="______t3" localSheetId="27" hidden="1">{"Offgrid",#N/A,FALSE,"OFFGRID";"Region",#N/A,FALSE,"REGION";"Offgrid -2",#N/A,FALSE,"OFFGRID";"WTP",#N/A,FALSE,"WTP";"WTP -2",#N/A,FALSE,"WTP";"Project",#N/A,FALSE,"PROJECT";"Summary -2",#N/A,FALSE,"SUMMARY"}</definedName>
    <definedName name="______t3" localSheetId="28" hidden="1">{"Offgrid",#N/A,FALSE,"OFFGRID";"Region",#N/A,FALSE,"REGION";"Offgrid -2",#N/A,FALSE,"OFFGRID";"WTP",#N/A,FALSE,"WTP";"WTP -2",#N/A,FALSE,"WTP";"Project",#N/A,FALSE,"PROJECT";"Summary -2",#N/A,FALSE,"SUMMARY"}</definedName>
    <definedName name="______t3" localSheetId="29" hidden="1">{"Offgrid",#N/A,FALSE,"OFFGRID";"Region",#N/A,FALSE,"REGION";"Offgrid -2",#N/A,FALSE,"OFFGRID";"WTP",#N/A,FALSE,"WTP";"WTP -2",#N/A,FALSE,"WTP";"Project",#N/A,FALSE,"PROJECT";"Summary -2",#N/A,FALSE,"SUMMARY"}</definedName>
    <definedName name="______t3" localSheetId="31" hidden="1">{"Offgrid",#N/A,FALSE,"OFFGRID";"Region",#N/A,FALSE,"REGION";"Offgrid -2",#N/A,FALSE,"OFFGRID";"WTP",#N/A,FALSE,"WTP";"WTP -2",#N/A,FALSE,"WTP";"Project",#N/A,FALSE,"PROJECT";"Summary -2",#N/A,FALSE,"SUMMARY"}</definedName>
    <definedName name="______t3" localSheetId="30" hidden="1">{"Offgrid",#N/A,FALSE,"OFFGRID";"Region",#N/A,FALSE,"REGION";"Offgrid -2",#N/A,FALSE,"OFFGRID";"WTP",#N/A,FALSE,"WTP";"WTP -2",#N/A,FALSE,"WTP";"Project",#N/A,FALSE,"PROJECT";"Summary -2",#N/A,FALSE,"SUMMARY"}</definedName>
    <definedName name="______t3" localSheetId="17" hidden="1">{"Offgrid",#N/A,FALSE,"OFFGRID";"Region",#N/A,FALSE,"REGION";"Offgrid -2",#N/A,FALSE,"OFFGRID";"WTP",#N/A,FALSE,"WTP";"WTP -2",#N/A,FALSE,"WTP";"Project",#N/A,FALSE,"PROJECT";"Summary -2",#N/A,FALSE,"SUMMARY"}</definedName>
    <definedName name="______t3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_t3" hidden="1">{"Offgrid",#N/A,FALSE,"OFFGRID";"Region",#N/A,FALSE,"REGION";"Offgrid -2",#N/A,FALSE,"OFFGRID";"WTP",#N/A,FALSE,"WTP";"WTP -2",#N/A,FALSE,"WTP";"Project",#N/A,FALSE,"PROJECT";"Summary -2",#N/A,FALSE,"SUMMARY"}</definedName>
    <definedName name="______TH1" localSheetId="20" hidden="1">{#N/A,#N/A,FALSE,"M.34"}</definedName>
    <definedName name="______TH1" localSheetId="19" hidden="1">{#N/A,#N/A,FALSE,"M.34"}</definedName>
    <definedName name="______TH1" localSheetId="26" hidden="1">{#N/A,#N/A,FALSE,"M.34"}</definedName>
    <definedName name="______TH1" localSheetId="24" hidden="1">{#N/A,#N/A,FALSE,"M.34"}</definedName>
    <definedName name="______TH1" localSheetId="32" hidden="1">{#N/A,#N/A,FALSE,"M.34"}</definedName>
    <definedName name="______TH1" localSheetId="27" hidden="1">{#N/A,#N/A,FALSE,"M.34"}</definedName>
    <definedName name="______TH1" localSheetId="28" hidden="1">{#N/A,#N/A,FALSE,"M.34"}</definedName>
    <definedName name="______TH1" localSheetId="29" hidden="1">{#N/A,#N/A,FALSE,"M.34"}</definedName>
    <definedName name="______TH1" localSheetId="31" hidden="1">{#N/A,#N/A,FALSE,"M.34"}</definedName>
    <definedName name="______TH1" localSheetId="30" hidden="1">{#N/A,#N/A,FALSE,"M.34"}</definedName>
    <definedName name="______TH1" localSheetId="17" hidden="1">{#N/A,#N/A,FALSE,"M.34"}</definedName>
    <definedName name="______TH1" localSheetId="18" hidden="1">{#N/A,#N/A,FALSE,"M.34"}</definedName>
    <definedName name="______TH1" hidden="1">{#N/A,#N/A,FALSE,"M.34"}</definedName>
    <definedName name="______th2" localSheetId="20" hidden="1">{#N/A,#N/A,FALSE,"M.42"}</definedName>
    <definedName name="______th2" localSheetId="19" hidden="1">{#N/A,#N/A,FALSE,"M.42"}</definedName>
    <definedName name="______th2" localSheetId="26" hidden="1">{#N/A,#N/A,FALSE,"M.42"}</definedName>
    <definedName name="______th2" localSheetId="24" hidden="1">{#N/A,#N/A,FALSE,"M.42"}</definedName>
    <definedName name="______th2" localSheetId="32" hidden="1">{#N/A,#N/A,FALSE,"M.42"}</definedName>
    <definedName name="______th2" localSheetId="27" hidden="1">{#N/A,#N/A,FALSE,"M.42"}</definedName>
    <definedName name="______th2" localSheetId="28" hidden="1">{#N/A,#N/A,FALSE,"M.42"}</definedName>
    <definedName name="______th2" localSheetId="29" hidden="1">{#N/A,#N/A,FALSE,"M.42"}</definedName>
    <definedName name="______th2" localSheetId="31" hidden="1">{#N/A,#N/A,FALSE,"M.42"}</definedName>
    <definedName name="______th2" localSheetId="30" hidden="1">{#N/A,#N/A,FALSE,"M.42"}</definedName>
    <definedName name="______th2" localSheetId="17" hidden="1">{#N/A,#N/A,FALSE,"M.42"}</definedName>
    <definedName name="______th2" localSheetId="18" hidden="1">{#N/A,#N/A,FALSE,"M.42"}</definedName>
    <definedName name="______th2" hidden="1">{#N/A,#N/A,FALSE,"M.42"}</definedName>
    <definedName name="______xlfn.BAHTTEXT" hidden="1">#NAME?</definedName>
    <definedName name="______YA1" localSheetId="20" hidden="1">{"'1996'!$A$1:$J$272"}</definedName>
    <definedName name="______YA1" localSheetId="19" hidden="1">{"'1996'!$A$1:$J$272"}</definedName>
    <definedName name="______YA1" localSheetId="26" hidden="1">{"'1996'!$A$1:$J$272"}</definedName>
    <definedName name="______YA1" localSheetId="24" hidden="1">{"'1996'!$A$1:$J$272"}</definedName>
    <definedName name="______YA1" localSheetId="32" hidden="1">{"'1996'!$A$1:$J$272"}</definedName>
    <definedName name="______YA1" localSheetId="27" hidden="1">{"'1996'!$A$1:$J$272"}</definedName>
    <definedName name="______YA1" localSheetId="28" hidden="1">{"'1996'!$A$1:$J$272"}</definedName>
    <definedName name="______YA1" localSheetId="29" hidden="1">{"'1996'!$A$1:$J$272"}</definedName>
    <definedName name="______YA1" localSheetId="31" hidden="1">{"'1996'!$A$1:$J$272"}</definedName>
    <definedName name="______YA1" localSheetId="30" hidden="1">{"'1996'!$A$1:$J$272"}</definedName>
    <definedName name="______YA1" localSheetId="17" hidden="1">{"'1996'!$A$1:$J$272"}</definedName>
    <definedName name="______YA1" localSheetId="18" hidden="1">{"'1996'!$A$1:$J$272"}</definedName>
    <definedName name="______YA1" hidden="1">{"'1996'!$A$1:$J$272"}</definedName>
    <definedName name="______ya2" localSheetId="20" hidden="1">{"'1996'!$A$1:$J$272"}</definedName>
    <definedName name="______ya2" localSheetId="19" hidden="1">{"'1996'!$A$1:$J$272"}</definedName>
    <definedName name="______ya2" localSheetId="26" hidden="1">{"'1996'!$A$1:$J$272"}</definedName>
    <definedName name="______ya2" localSheetId="24" hidden="1">{"'1996'!$A$1:$J$272"}</definedName>
    <definedName name="______ya2" localSheetId="32" hidden="1">{"'1996'!$A$1:$J$272"}</definedName>
    <definedName name="______ya2" localSheetId="27" hidden="1">{"'1996'!$A$1:$J$272"}</definedName>
    <definedName name="______ya2" localSheetId="28" hidden="1">{"'1996'!$A$1:$J$272"}</definedName>
    <definedName name="______ya2" localSheetId="29" hidden="1">{"'1996'!$A$1:$J$272"}</definedName>
    <definedName name="______ya2" localSheetId="31" hidden="1">{"'1996'!$A$1:$J$272"}</definedName>
    <definedName name="______ya2" localSheetId="30" hidden="1">{"'1996'!$A$1:$J$272"}</definedName>
    <definedName name="______ya2" localSheetId="17" hidden="1">{"'1996'!$A$1:$J$272"}</definedName>
    <definedName name="______ya2" localSheetId="18" hidden="1">{"'1996'!$A$1:$J$272"}</definedName>
    <definedName name="______ya2" hidden="1">{"'1996'!$A$1:$J$272"}</definedName>
    <definedName name="_____amd1" localSheetId="20" hidden="1">{#N/A,#N/A,FALSE,"Chi tiÆt"}</definedName>
    <definedName name="_____amd1" localSheetId="19" hidden="1">{#N/A,#N/A,FALSE,"Chi tiÆt"}</definedName>
    <definedName name="_____amd1" localSheetId="26" hidden="1">{#N/A,#N/A,FALSE,"Chi tiÆt"}</definedName>
    <definedName name="_____amd1" localSheetId="24" hidden="1">{#N/A,#N/A,FALSE,"Chi tiÆt"}</definedName>
    <definedName name="_____amd1" localSheetId="32" hidden="1">{#N/A,#N/A,FALSE,"Chi tiÆt"}</definedName>
    <definedName name="_____amd1" localSheetId="27" hidden="1">{#N/A,#N/A,FALSE,"Chi tiÆt"}</definedName>
    <definedName name="_____amd1" localSheetId="28" hidden="1">{#N/A,#N/A,FALSE,"Chi tiÆt"}</definedName>
    <definedName name="_____amd1" localSheetId="29" hidden="1">{#N/A,#N/A,FALSE,"Chi tiÆt"}</definedName>
    <definedName name="_____amd1" localSheetId="31" hidden="1">{#N/A,#N/A,FALSE,"Chi tiÆt"}</definedName>
    <definedName name="_____amd1" localSheetId="30" hidden="1">{#N/A,#N/A,FALSE,"Chi tiÆt"}</definedName>
    <definedName name="_____amd1" localSheetId="17" hidden="1">{#N/A,#N/A,FALSE,"Chi tiÆt"}</definedName>
    <definedName name="_____amd1" localSheetId="18" hidden="1">{#N/A,#N/A,FALSE,"Chi tiÆt"}</definedName>
    <definedName name="_____amd1" hidden="1">{#N/A,#N/A,FALSE,"Chi tiÆt"}</definedName>
    <definedName name="_____gk2" localSheetId="32" hidden="1">#REF!</definedName>
    <definedName name="_____gk2" localSheetId="41" hidden="1">#REF!</definedName>
    <definedName name="_____gk2" localSheetId="42" hidden="1">#REF!</definedName>
    <definedName name="_____gk2" hidden="1">#REF!</definedName>
    <definedName name="_____jkw1" localSheetId="20" hidden="1">{"'Rekap 1'!$A$1:$E$18"}</definedName>
    <definedName name="_____jkw1" localSheetId="19" hidden="1">{"'Rekap 1'!$A$1:$E$18"}</definedName>
    <definedName name="_____jkw1" localSheetId="26" hidden="1">{"'Rekap 1'!$A$1:$E$18"}</definedName>
    <definedName name="_____jkw1" localSheetId="24" hidden="1">{"'Rekap 1'!$A$1:$E$18"}</definedName>
    <definedName name="_____jkw1" localSheetId="32" hidden="1">{"'Rekap 1'!$A$1:$E$18"}</definedName>
    <definedName name="_____jkw1" localSheetId="27" hidden="1">{"'Rekap 1'!$A$1:$E$18"}</definedName>
    <definedName name="_____jkw1" localSheetId="28" hidden="1">{"'Rekap 1'!$A$1:$E$18"}</definedName>
    <definedName name="_____jkw1" localSheetId="29" hidden="1">{"'Rekap 1'!$A$1:$E$18"}</definedName>
    <definedName name="_____jkw1" localSheetId="31" hidden="1">{"'Rekap 1'!$A$1:$E$18"}</definedName>
    <definedName name="_____jkw1" localSheetId="30" hidden="1">{"'Rekap 1'!$A$1:$E$18"}</definedName>
    <definedName name="_____jkw1" localSheetId="17" hidden="1">{"'Rekap 1'!$A$1:$E$18"}</definedName>
    <definedName name="_____jkw1" localSheetId="18" hidden="1">{"'Rekap 1'!$A$1:$E$18"}</definedName>
    <definedName name="_____jkw1" hidden="1">{"'Rekap 1'!$A$1:$E$18"}</definedName>
    <definedName name="_____key1" hidden="1">#REF!</definedName>
    <definedName name="_____key2" hidden="1">#REF!</definedName>
    <definedName name="_____MCC3" localSheetId="20" hidden="1">{#N/A,#N/A,FALSE,"CCTV"}</definedName>
    <definedName name="_____MCC3" localSheetId="19" hidden="1">{#N/A,#N/A,FALSE,"CCTV"}</definedName>
    <definedName name="_____MCC3" localSheetId="26" hidden="1">{#N/A,#N/A,FALSE,"CCTV"}</definedName>
    <definedName name="_____MCC3" localSheetId="24" hidden="1">{#N/A,#N/A,FALSE,"CCTV"}</definedName>
    <definedName name="_____MCC3" localSheetId="32" hidden="1">{#N/A,#N/A,FALSE,"CCTV"}</definedName>
    <definedName name="_____MCC3" localSheetId="27" hidden="1">{#N/A,#N/A,FALSE,"CCTV"}</definedName>
    <definedName name="_____MCC3" localSheetId="28" hidden="1">{#N/A,#N/A,FALSE,"CCTV"}</definedName>
    <definedName name="_____MCC3" localSheetId="29" hidden="1">{#N/A,#N/A,FALSE,"CCTV"}</definedName>
    <definedName name="_____MCC3" localSheetId="31" hidden="1">{#N/A,#N/A,FALSE,"CCTV"}</definedName>
    <definedName name="_____MCC3" localSheetId="30" hidden="1">{#N/A,#N/A,FALSE,"CCTV"}</definedName>
    <definedName name="_____MCC3" localSheetId="17" hidden="1">{#N/A,#N/A,FALSE,"CCTV"}</definedName>
    <definedName name="_____MCC3" localSheetId="18" hidden="1">{#N/A,#N/A,FALSE,"CCTV"}</definedName>
    <definedName name="_____MCC3" hidden="1">{#N/A,#N/A,FALSE,"CCTV"}</definedName>
    <definedName name="_____PP1" localSheetId="20" hidden="1">{#N/A,#N/A,FALSE,"CCTV"}</definedName>
    <definedName name="_____PP1" localSheetId="19" hidden="1">{#N/A,#N/A,FALSE,"CCTV"}</definedName>
    <definedName name="_____PP1" localSheetId="26" hidden="1">{#N/A,#N/A,FALSE,"CCTV"}</definedName>
    <definedName name="_____PP1" localSheetId="24" hidden="1">{#N/A,#N/A,FALSE,"CCTV"}</definedName>
    <definedName name="_____PP1" localSheetId="32" hidden="1">{#N/A,#N/A,FALSE,"CCTV"}</definedName>
    <definedName name="_____PP1" localSheetId="27" hidden="1">{#N/A,#N/A,FALSE,"CCTV"}</definedName>
    <definedName name="_____PP1" localSheetId="28" hidden="1">{#N/A,#N/A,FALSE,"CCTV"}</definedName>
    <definedName name="_____PP1" localSheetId="29" hidden="1">{#N/A,#N/A,FALSE,"CCTV"}</definedName>
    <definedName name="_____PP1" localSheetId="31" hidden="1">{#N/A,#N/A,FALSE,"CCTV"}</definedName>
    <definedName name="_____PP1" localSheetId="30" hidden="1">{#N/A,#N/A,FALSE,"CCTV"}</definedName>
    <definedName name="_____PP1" localSheetId="17" hidden="1">{#N/A,#N/A,FALSE,"CCTV"}</definedName>
    <definedName name="_____PP1" localSheetId="18" hidden="1">{#N/A,#N/A,FALSE,"CCTV"}</definedName>
    <definedName name="_____PP1" hidden="1">{#N/A,#N/A,FALSE,"CCTV"}</definedName>
    <definedName name="_____SLA2009" localSheetId="20" hidden="1">{#N/A,#N/A,FALSE,"M.32"}</definedName>
    <definedName name="_____SLA2009" localSheetId="19" hidden="1">{#N/A,#N/A,FALSE,"M.32"}</definedName>
    <definedName name="_____SLA2009" localSheetId="26" hidden="1">{#N/A,#N/A,FALSE,"M.32"}</definedName>
    <definedName name="_____SLA2009" localSheetId="24" hidden="1">{#N/A,#N/A,FALSE,"M.32"}</definedName>
    <definedName name="_____SLA2009" localSheetId="32" hidden="1">{#N/A,#N/A,FALSE,"M.32"}</definedName>
    <definedName name="_____SLA2009" localSheetId="27" hidden="1">{#N/A,#N/A,FALSE,"M.32"}</definedName>
    <definedName name="_____SLA2009" localSheetId="28" hidden="1">{#N/A,#N/A,FALSE,"M.32"}</definedName>
    <definedName name="_____SLA2009" localSheetId="29" hidden="1">{#N/A,#N/A,FALSE,"M.32"}</definedName>
    <definedName name="_____SLA2009" localSheetId="31" hidden="1">{#N/A,#N/A,FALSE,"M.32"}</definedName>
    <definedName name="_____SLA2009" localSheetId="30" hidden="1">{#N/A,#N/A,FALSE,"M.32"}</definedName>
    <definedName name="_____SLA2009" localSheetId="17" hidden="1">{#N/A,#N/A,FALSE,"M.32"}</definedName>
    <definedName name="_____SLA2009" localSheetId="18" hidden="1">{#N/A,#N/A,FALSE,"M.32"}</definedName>
    <definedName name="_____SLA2009" hidden="1">{#N/A,#N/A,FALSE,"M.32"}</definedName>
    <definedName name="_____t1" localSheetId="20" hidden="1">{"Offgrid",#N/A,FALSE,"OFFGRID";"Region",#N/A,FALSE,"REGION";"Offgrid -2",#N/A,FALSE,"OFFGRID";"WTP",#N/A,FALSE,"WTP";"WTP -2",#N/A,FALSE,"WTP";"Project",#N/A,FALSE,"PROJECT";"Summary -2",#N/A,FALSE,"SUMMARY"}</definedName>
    <definedName name="_____t1" localSheetId="19" hidden="1">{"Offgrid",#N/A,FALSE,"OFFGRID";"Region",#N/A,FALSE,"REGION";"Offgrid -2",#N/A,FALSE,"OFFGRID";"WTP",#N/A,FALSE,"WTP";"WTP -2",#N/A,FALSE,"WTP";"Project",#N/A,FALSE,"PROJECT";"Summary -2",#N/A,FALSE,"SUMMARY"}</definedName>
    <definedName name="_____t1" localSheetId="26" hidden="1">{"Offgrid",#N/A,FALSE,"OFFGRID";"Region",#N/A,FALSE,"REGION";"Offgrid -2",#N/A,FALSE,"OFFGRID";"WTP",#N/A,FALSE,"WTP";"WTP -2",#N/A,FALSE,"WTP";"Project",#N/A,FALSE,"PROJECT";"Summary -2",#N/A,FALSE,"SUMMARY"}</definedName>
    <definedName name="_____t1" localSheetId="24" hidden="1">{"Offgrid",#N/A,FALSE,"OFFGRID";"Region",#N/A,FALSE,"REGION";"Offgrid -2",#N/A,FALSE,"OFFGRID";"WTP",#N/A,FALSE,"WTP";"WTP -2",#N/A,FALSE,"WTP";"Project",#N/A,FALSE,"PROJECT";"Summary -2",#N/A,FALSE,"SUMMARY"}</definedName>
    <definedName name="_____t1" localSheetId="32" hidden="1">{"Offgrid",#N/A,FALSE,"OFFGRID";"Region",#N/A,FALSE,"REGION";"Offgrid -2",#N/A,FALSE,"OFFGRID";"WTP",#N/A,FALSE,"WTP";"WTP -2",#N/A,FALSE,"WTP";"Project",#N/A,FALSE,"PROJECT";"Summary -2",#N/A,FALSE,"SUMMARY"}</definedName>
    <definedName name="_____t1" localSheetId="27" hidden="1">{"Offgrid",#N/A,FALSE,"OFFGRID";"Region",#N/A,FALSE,"REGION";"Offgrid -2",#N/A,FALSE,"OFFGRID";"WTP",#N/A,FALSE,"WTP";"WTP -2",#N/A,FALSE,"WTP";"Project",#N/A,FALSE,"PROJECT";"Summary -2",#N/A,FALSE,"SUMMARY"}</definedName>
    <definedName name="_____t1" localSheetId="28" hidden="1">{"Offgrid",#N/A,FALSE,"OFFGRID";"Region",#N/A,FALSE,"REGION";"Offgrid -2",#N/A,FALSE,"OFFGRID";"WTP",#N/A,FALSE,"WTP";"WTP -2",#N/A,FALSE,"WTP";"Project",#N/A,FALSE,"PROJECT";"Summary -2",#N/A,FALSE,"SUMMARY"}</definedName>
    <definedName name="_____t1" localSheetId="29" hidden="1">{"Offgrid",#N/A,FALSE,"OFFGRID";"Region",#N/A,FALSE,"REGION";"Offgrid -2",#N/A,FALSE,"OFFGRID";"WTP",#N/A,FALSE,"WTP";"WTP -2",#N/A,FALSE,"WTP";"Project",#N/A,FALSE,"PROJECT";"Summary -2",#N/A,FALSE,"SUMMARY"}</definedName>
    <definedName name="_____t1" localSheetId="31" hidden="1">{"Offgrid",#N/A,FALSE,"OFFGRID";"Region",#N/A,FALSE,"REGION";"Offgrid -2",#N/A,FALSE,"OFFGRID";"WTP",#N/A,FALSE,"WTP";"WTP -2",#N/A,FALSE,"WTP";"Project",#N/A,FALSE,"PROJECT";"Summary -2",#N/A,FALSE,"SUMMARY"}</definedName>
    <definedName name="_____t1" localSheetId="30" hidden="1">{"Offgrid",#N/A,FALSE,"OFFGRID";"Region",#N/A,FALSE,"REGION";"Offgrid -2",#N/A,FALSE,"OFFGRID";"WTP",#N/A,FALSE,"WTP";"WTP -2",#N/A,FALSE,"WTP";"Project",#N/A,FALSE,"PROJECT";"Summary -2",#N/A,FALSE,"SUMMARY"}</definedName>
    <definedName name="_____t1" localSheetId="17" hidden="1">{"Offgrid",#N/A,FALSE,"OFFGRID";"Region",#N/A,FALSE,"REGION";"Offgrid -2",#N/A,FALSE,"OFFGRID";"WTP",#N/A,FALSE,"WTP";"WTP -2",#N/A,FALSE,"WTP";"Project",#N/A,FALSE,"PROJECT";"Summary -2",#N/A,FALSE,"SUMMARY"}</definedName>
    <definedName name="_____t1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t1" hidden="1">{"Offgrid",#N/A,FALSE,"OFFGRID";"Region",#N/A,FALSE,"REGION";"Offgrid -2",#N/A,FALSE,"OFFGRID";"WTP",#N/A,FALSE,"WTP";"WTP -2",#N/A,FALSE,"WTP";"Project",#N/A,FALSE,"PROJECT";"Summary -2",#N/A,FALSE,"SUMMARY"}</definedName>
    <definedName name="_____t2" localSheetId="20" hidden="1">{"Offgrid",#N/A,FALSE,"OFFGRID";"Region",#N/A,FALSE,"REGION";"Offgrid -2",#N/A,FALSE,"OFFGRID";"WTP",#N/A,FALSE,"WTP";"WTP -2",#N/A,FALSE,"WTP";"Project",#N/A,FALSE,"PROJECT";"Summary -2",#N/A,FALSE,"SUMMARY"}</definedName>
    <definedName name="_____t2" localSheetId="19" hidden="1">{"Offgrid",#N/A,FALSE,"OFFGRID";"Region",#N/A,FALSE,"REGION";"Offgrid -2",#N/A,FALSE,"OFFGRID";"WTP",#N/A,FALSE,"WTP";"WTP -2",#N/A,FALSE,"WTP";"Project",#N/A,FALSE,"PROJECT";"Summary -2",#N/A,FALSE,"SUMMARY"}</definedName>
    <definedName name="_____t2" localSheetId="26" hidden="1">{"Offgrid",#N/A,FALSE,"OFFGRID";"Region",#N/A,FALSE,"REGION";"Offgrid -2",#N/A,FALSE,"OFFGRID";"WTP",#N/A,FALSE,"WTP";"WTP -2",#N/A,FALSE,"WTP";"Project",#N/A,FALSE,"PROJECT";"Summary -2",#N/A,FALSE,"SUMMARY"}</definedName>
    <definedName name="_____t2" localSheetId="24" hidden="1">{"Offgrid",#N/A,FALSE,"OFFGRID";"Region",#N/A,FALSE,"REGION";"Offgrid -2",#N/A,FALSE,"OFFGRID";"WTP",#N/A,FALSE,"WTP";"WTP -2",#N/A,FALSE,"WTP";"Project",#N/A,FALSE,"PROJECT";"Summary -2",#N/A,FALSE,"SUMMARY"}</definedName>
    <definedName name="_____t2" localSheetId="32" hidden="1">{"Offgrid",#N/A,FALSE,"OFFGRID";"Region",#N/A,FALSE,"REGION";"Offgrid -2",#N/A,FALSE,"OFFGRID";"WTP",#N/A,FALSE,"WTP";"WTP -2",#N/A,FALSE,"WTP";"Project",#N/A,FALSE,"PROJECT";"Summary -2",#N/A,FALSE,"SUMMARY"}</definedName>
    <definedName name="_____t2" localSheetId="27" hidden="1">{"Offgrid",#N/A,FALSE,"OFFGRID";"Region",#N/A,FALSE,"REGION";"Offgrid -2",#N/A,FALSE,"OFFGRID";"WTP",#N/A,FALSE,"WTP";"WTP -2",#N/A,FALSE,"WTP";"Project",#N/A,FALSE,"PROJECT";"Summary -2",#N/A,FALSE,"SUMMARY"}</definedName>
    <definedName name="_____t2" localSheetId="28" hidden="1">{"Offgrid",#N/A,FALSE,"OFFGRID";"Region",#N/A,FALSE,"REGION";"Offgrid -2",#N/A,FALSE,"OFFGRID";"WTP",#N/A,FALSE,"WTP";"WTP -2",#N/A,FALSE,"WTP";"Project",#N/A,FALSE,"PROJECT";"Summary -2",#N/A,FALSE,"SUMMARY"}</definedName>
    <definedName name="_____t2" localSheetId="29" hidden="1">{"Offgrid",#N/A,FALSE,"OFFGRID";"Region",#N/A,FALSE,"REGION";"Offgrid -2",#N/A,FALSE,"OFFGRID";"WTP",#N/A,FALSE,"WTP";"WTP -2",#N/A,FALSE,"WTP";"Project",#N/A,FALSE,"PROJECT";"Summary -2",#N/A,FALSE,"SUMMARY"}</definedName>
    <definedName name="_____t2" localSheetId="31" hidden="1">{"Offgrid",#N/A,FALSE,"OFFGRID";"Region",#N/A,FALSE,"REGION";"Offgrid -2",#N/A,FALSE,"OFFGRID";"WTP",#N/A,FALSE,"WTP";"WTP -2",#N/A,FALSE,"WTP";"Project",#N/A,FALSE,"PROJECT";"Summary -2",#N/A,FALSE,"SUMMARY"}</definedName>
    <definedName name="_____t2" localSheetId="30" hidden="1">{"Offgrid",#N/A,FALSE,"OFFGRID";"Region",#N/A,FALSE,"REGION";"Offgrid -2",#N/A,FALSE,"OFFGRID";"WTP",#N/A,FALSE,"WTP";"WTP -2",#N/A,FALSE,"WTP";"Project",#N/A,FALSE,"PROJECT";"Summary -2",#N/A,FALSE,"SUMMARY"}</definedName>
    <definedName name="_____t2" localSheetId="17" hidden="1">{"Offgrid",#N/A,FALSE,"OFFGRID";"Region",#N/A,FALSE,"REGION";"Offgrid -2",#N/A,FALSE,"OFFGRID";"WTP",#N/A,FALSE,"WTP";"WTP -2",#N/A,FALSE,"WTP";"Project",#N/A,FALSE,"PROJECT";"Summary -2",#N/A,FALSE,"SUMMARY"}</definedName>
    <definedName name="_____t2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t2" hidden="1">{"Offgrid",#N/A,FALSE,"OFFGRID";"Region",#N/A,FALSE,"REGION";"Offgrid -2",#N/A,FALSE,"OFFGRID";"WTP",#N/A,FALSE,"WTP";"WTP -2",#N/A,FALSE,"WTP";"Project",#N/A,FALSE,"PROJECT";"Summary -2",#N/A,FALSE,"SUMMARY"}</definedName>
    <definedName name="_____t3" localSheetId="20" hidden="1">{"Offgrid",#N/A,FALSE,"OFFGRID";"Region",#N/A,FALSE,"REGION";"Offgrid -2",#N/A,FALSE,"OFFGRID";"WTP",#N/A,FALSE,"WTP";"WTP -2",#N/A,FALSE,"WTP";"Project",#N/A,FALSE,"PROJECT";"Summary -2",#N/A,FALSE,"SUMMARY"}</definedName>
    <definedName name="_____t3" localSheetId="19" hidden="1">{"Offgrid",#N/A,FALSE,"OFFGRID";"Region",#N/A,FALSE,"REGION";"Offgrid -2",#N/A,FALSE,"OFFGRID";"WTP",#N/A,FALSE,"WTP";"WTP -2",#N/A,FALSE,"WTP";"Project",#N/A,FALSE,"PROJECT";"Summary -2",#N/A,FALSE,"SUMMARY"}</definedName>
    <definedName name="_____t3" localSheetId="26" hidden="1">{"Offgrid",#N/A,FALSE,"OFFGRID";"Region",#N/A,FALSE,"REGION";"Offgrid -2",#N/A,FALSE,"OFFGRID";"WTP",#N/A,FALSE,"WTP";"WTP -2",#N/A,FALSE,"WTP";"Project",#N/A,FALSE,"PROJECT";"Summary -2",#N/A,FALSE,"SUMMARY"}</definedName>
    <definedName name="_____t3" localSheetId="24" hidden="1">{"Offgrid",#N/A,FALSE,"OFFGRID";"Region",#N/A,FALSE,"REGION";"Offgrid -2",#N/A,FALSE,"OFFGRID";"WTP",#N/A,FALSE,"WTP";"WTP -2",#N/A,FALSE,"WTP";"Project",#N/A,FALSE,"PROJECT";"Summary -2",#N/A,FALSE,"SUMMARY"}</definedName>
    <definedName name="_____t3" localSheetId="32" hidden="1">{"Offgrid",#N/A,FALSE,"OFFGRID";"Region",#N/A,FALSE,"REGION";"Offgrid -2",#N/A,FALSE,"OFFGRID";"WTP",#N/A,FALSE,"WTP";"WTP -2",#N/A,FALSE,"WTP";"Project",#N/A,FALSE,"PROJECT";"Summary -2",#N/A,FALSE,"SUMMARY"}</definedName>
    <definedName name="_____t3" localSheetId="27" hidden="1">{"Offgrid",#N/A,FALSE,"OFFGRID";"Region",#N/A,FALSE,"REGION";"Offgrid -2",#N/A,FALSE,"OFFGRID";"WTP",#N/A,FALSE,"WTP";"WTP -2",#N/A,FALSE,"WTP";"Project",#N/A,FALSE,"PROJECT";"Summary -2",#N/A,FALSE,"SUMMARY"}</definedName>
    <definedName name="_____t3" localSheetId="28" hidden="1">{"Offgrid",#N/A,FALSE,"OFFGRID";"Region",#N/A,FALSE,"REGION";"Offgrid -2",#N/A,FALSE,"OFFGRID";"WTP",#N/A,FALSE,"WTP";"WTP -2",#N/A,FALSE,"WTP";"Project",#N/A,FALSE,"PROJECT";"Summary -2",#N/A,FALSE,"SUMMARY"}</definedName>
    <definedName name="_____t3" localSheetId="29" hidden="1">{"Offgrid",#N/A,FALSE,"OFFGRID";"Region",#N/A,FALSE,"REGION";"Offgrid -2",#N/A,FALSE,"OFFGRID";"WTP",#N/A,FALSE,"WTP";"WTP -2",#N/A,FALSE,"WTP";"Project",#N/A,FALSE,"PROJECT";"Summary -2",#N/A,FALSE,"SUMMARY"}</definedName>
    <definedName name="_____t3" localSheetId="31" hidden="1">{"Offgrid",#N/A,FALSE,"OFFGRID";"Region",#N/A,FALSE,"REGION";"Offgrid -2",#N/A,FALSE,"OFFGRID";"WTP",#N/A,FALSE,"WTP";"WTP -2",#N/A,FALSE,"WTP";"Project",#N/A,FALSE,"PROJECT";"Summary -2",#N/A,FALSE,"SUMMARY"}</definedName>
    <definedName name="_____t3" localSheetId="30" hidden="1">{"Offgrid",#N/A,FALSE,"OFFGRID";"Region",#N/A,FALSE,"REGION";"Offgrid -2",#N/A,FALSE,"OFFGRID";"WTP",#N/A,FALSE,"WTP";"WTP -2",#N/A,FALSE,"WTP";"Project",#N/A,FALSE,"PROJECT";"Summary -2",#N/A,FALSE,"SUMMARY"}</definedName>
    <definedName name="_____t3" localSheetId="17" hidden="1">{"Offgrid",#N/A,FALSE,"OFFGRID";"Region",#N/A,FALSE,"REGION";"Offgrid -2",#N/A,FALSE,"OFFGRID";"WTP",#N/A,FALSE,"WTP";"WTP -2",#N/A,FALSE,"WTP";"Project",#N/A,FALSE,"PROJECT";"Summary -2",#N/A,FALSE,"SUMMARY"}</definedName>
    <definedName name="_____t3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_t3" hidden="1">{"Offgrid",#N/A,FALSE,"OFFGRID";"Region",#N/A,FALSE,"REGION";"Offgrid -2",#N/A,FALSE,"OFFGRID";"WTP",#N/A,FALSE,"WTP";"WTP -2",#N/A,FALSE,"WTP";"Project",#N/A,FALSE,"PROJECT";"Summary -2",#N/A,FALSE,"SUMMARY"}</definedName>
    <definedName name="_____TH1" localSheetId="20" hidden="1">{#N/A,#N/A,FALSE,"M.34"}</definedName>
    <definedName name="_____TH1" localSheetId="19" hidden="1">{#N/A,#N/A,FALSE,"M.34"}</definedName>
    <definedName name="_____TH1" localSheetId="26" hidden="1">{#N/A,#N/A,FALSE,"M.34"}</definedName>
    <definedName name="_____TH1" localSheetId="24" hidden="1">{#N/A,#N/A,FALSE,"M.34"}</definedName>
    <definedName name="_____TH1" localSheetId="32" hidden="1">{#N/A,#N/A,FALSE,"M.34"}</definedName>
    <definedName name="_____TH1" localSheetId="27" hidden="1">{#N/A,#N/A,FALSE,"M.34"}</definedName>
    <definedName name="_____TH1" localSheetId="28" hidden="1">{#N/A,#N/A,FALSE,"M.34"}</definedName>
    <definedName name="_____TH1" localSheetId="29" hidden="1">{#N/A,#N/A,FALSE,"M.34"}</definedName>
    <definedName name="_____TH1" localSheetId="31" hidden="1">{#N/A,#N/A,FALSE,"M.34"}</definedName>
    <definedName name="_____TH1" localSheetId="30" hidden="1">{#N/A,#N/A,FALSE,"M.34"}</definedName>
    <definedName name="_____TH1" localSheetId="17" hidden="1">{#N/A,#N/A,FALSE,"M.34"}</definedName>
    <definedName name="_____TH1" localSheetId="18" hidden="1">{#N/A,#N/A,FALSE,"M.34"}</definedName>
    <definedName name="_____TH1" hidden="1">{#N/A,#N/A,FALSE,"M.34"}</definedName>
    <definedName name="_____th2" localSheetId="20" hidden="1">{#N/A,#N/A,FALSE,"M.42"}</definedName>
    <definedName name="_____th2" localSheetId="19" hidden="1">{#N/A,#N/A,FALSE,"M.42"}</definedName>
    <definedName name="_____th2" localSheetId="26" hidden="1">{#N/A,#N/A,FALSE,"M.42"}</definedName>
    <definedName name="_____th2" localSheetId="24" hidden="1">{#N/A,#N/A,FALSE,"M.42"}</definedName>
    <definedName name="_____th2" localSheetId="32" hidden="1">{#N/A,#N/A,FALSE,"M.42"}</definedName>
    <definedName name="_____th2" localSheetId="27" hidden="1">{#N/A,#N/A,FALSE,"M.42"}</definedName>
    <definedName name="_____th2" localSheetId="28" hidden="1">{#N/A,#N/A,FALSE,"M.42"}</definedName>
    <definedName name="_____th2" localSheetId="29" hidden="1">{#N/A,#N/A,FALSE,"M.42"}</definedName>
    <definedName name="_____th2" localSheetId="31" hidden="1">{#N/A,#N/A,FALSE,"M.42"}</definedName>
    <definedName name="_____th2" localSheetId="30" hidden="1">{#N/A,#N/A,FALSE,"M.42"}</definedName>
    <definedName name="_____th2" localSheetId="17" hidden="1">{#N/A,#N/A,FALSE,"M.42"}</definedName>
    <definedName name="_____th2" localSheetId="18" hidden="1">{#N/A,#N/A,FALSE,"M.42"}</definedName>
    <definedName name="_____th2" hidden="1">{#N/A,#N/A,FALSE,"M.42"}</definedName>
    <definedName name="_____xlfn.BAHTTEXT" hidden="1">#NAME?</definedName>
    <definedName name="_____YA1" localSheetId="20" hidden="1">{"'1996'!$A$1:$J$272"}</definedName>
    <definedName name="_____YA1" localSheetId="19" hidden="1">{"'1996'!$A$1:$J$272"}</definedName>
    <definedName name="_____YA1" localSheetId="26" hidden="1">{"'1996'!$A$1:$J$272"}</definedName>
    <definedName name="_____YA1" localSheetId="24" hidden="1">{"'1996'!$A$1:$J$272"}</definedName>
    <definedName name="_____YA1" localSheetId="32" hidden="1">{"'1996'!$A$1:$J$272"}</definedName>
    <definedName name="_____YA1" localSheetId="27" hidden="1">{"'1996'!$A$1:$J$272"}</definedName>
    <definedName name="_____YA1" localSheetId="28" hidden="1">{"'1996'!$A$1:$J$272"}</definedName>
    <definedName name="_____YA1" localSheetId="29" hidden="1">{"'1996'!$A$1:$J$272"}</definedName>
    <definedName name="_____YA1" localSheetId="31" hidden="1">{"'1996'!$A$1:$J$272"}</definedName>
    <definedName name="_____YA1" localSheetId="30" hidden="1">{"'1996'!$A$1:$J$272"}</definedName>
    <definedName name="_____YA1" localSheetId="17" hidden="1">{"'1996'!$A$1:$J$272"}</definedName>
    <definedName name="_____YA1" localSheetId="18" hidden="1">{"'1996'!$A$1:$J$272"}</definedName>
    <definedName name="_____YA1" hidden="1">{"'1996'!$A$1:$J$272"}</definedName>
    <definedName name="_____ya2" localSheetId="20" hidden="1">{"'1996'!$A$1:$J$272"}</definedName>
    <definedName name="_____ya2" localSheetId="19" hidden="1">{"'1996'!$A$1:$J$272"}</definedName>
    <definedName name="_____ya2" localSheetId="26" hidden="1">{"'1996'!$A$1:$J$272"}</definedName>
    <definedName name="_____ya2" localSheetId="24" hidden="1">{"'1996'!$A$1:$J$272"}</definedName>
    <definedName name="_____ya2" localSheetId="32" hidden="1">{"'1996'!$A$1:$J$272"}</definedName>
    <definedName name="_____ya2" localSheetId="27" hidden="1">{"'1996'!$A$1:$J$272"}</definedName>
    <definedName name="_____ya2" localSheetId="28" hidden="1">{"'1996'!$A$1:$J$272"}</definedName>
    <definedName name="_____ya2" localSheetId="29" hidden="1">{"'1996'!$A$1:$J$272"}</definedName>
    <definedName name="_____ya2" localSheetId="31" hidden="1">{"'1996'!$A$1:$J$272"}</definedName>
    <definedName name="_____ya2" localSheetId="30" hidden="1">{"'1996'!$A$1:$J$272"}</definedName>
    <definedName name="_____ya2" localSheetId="17" hidden="1">{"'1996'!$A$1:$J$272"}</definedName>
    <definedName name="_____ya2" localSheetId="18" hidden="1">{"'1996'!$A$1:$J$272"}</definedName>
    <definedName name="_____ya2" hidden="1">{"'1996'!$A$1:$J$272"}</definedName>
    <definedName name="____a129" localSheetId="20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19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26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24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32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27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28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29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31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30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17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20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19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26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24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32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27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28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29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31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30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17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md1" localSheetId="20" hidden="1">{#N/A,#N/A,FALSE,"Chi tiÆt"}</definedName>
    <definedName name="____amd1" localSheetId="19" hidden="1">{#N/A,#N/A,FALSE,"Chi tiÆt"}</definedName>
    <definedName name="____amd1" localSheetId="26" hidden="1">{#N/A,#N/A,FALSE,"Chi tiÆt"}</definedName>
    <definedName name="____amd1" localSheetId="24" hidden="1">{#N/A,#N/A,FALSE,"Chi tiÆt"}</definedName>
    <definedName name="____amd1" localSheetId="32" hidden="1">{#N/A,#N/A,FALSE,"Chi tiÆt"}</definedName>
    <definedName name="____amd1" localSheetId="27" hidden="1">{#N/A,#N/A,FALSE,"Chi tiÆt"}</definedName>
    <definedName name="____amd1" localSheetId="28" hidden="1">{#N/A,#N/A,FALSE,"Chi tiÆt"}</definedName>
    <definedName name="____amd1" localSheetId="29" hidden="1">{#N/A,#N/A,FALSE,"Chi tiÆt"}</definedName>
    <definedName name="____amd1" localSheetId="31" hidden="1">{#N/A,#N/A,FALSE,"Chi tiÆt"}</definedName>
    <definedName name="____amd1" localSheetId="30" hidden="1">{#N/A,#N/A,FALSE,"Chi tiÆt"}</definedName>
    <definedName name="____amd1" localSheetId="17" hidden="1">{#N/A,#N/A,FALSE,"Chi tiÆt"}</definedName>
    <definedName name="____amd1" localSheetId="18" hidden="1">{#N/A,#N/A,FALSE,"Chi tiÆt"}</definedName>
    <definedName name="____amd1" hidden="1">{#N/A,#N/A,FALSE,"Chi tiÆt"}</definedName>
    <definedName name="____App7" localSheetId="20" hidden="1">{"'Sheet1'!$A$1"}</definedName>
    <definedName name="____App7" localSheetId="19" hidden="1">{"'Sheet1'!$A$1"}</definedName>
    <definedName name="____App7" localSheetId="26" hidden="1">{"'Sheet1'!$A$1"}</definedName>
    <definedName name="____App7" localSheetId="24" hidden="1">{"'Sheet1'!$A$1"}</definedName>
    <definedName name="____App7" localSheetId="32" hidden="1">{"'Sheet1'!$A$1"}</definedName>
    <definedName name="____App7" localSheetId="27" hidden="1">{"'Sheet1'!$A$1"}</definedName>
    <definedName name="____App7" localSheetId="28" hidden="1">{"'Sheet1'!$A$1"}</definedName>
    <definedName name="____App7" localSheetId="29" hidden="1">{"'Sheet1'!$A$1"}</definedName>
    <definedName name="____App7" localSheetId="31" hidden="1">{"'Sheet1'!$A$1"}</definedName>
    <definedName name="____App7" localSheetId="30" hidden="1">{"'Sheet1'!$A$1"}</definedName>
    <definedName name="____App7" localSheetId="17" hidden="1">{"'Sheet1'!$A$1"}</definedName>
    <definedName name="____App7" localSheetId="18" hidden="1">{"'Sheet1'!$A$1"}</definedName>
    <definedName name="____App7" hidden="1">{"'Sheet1'!$A$1"}</definedName>
    <definedName name="____cad1" hidden="1">#REF!</definedName>
    <definedName name="____cad2" hidden="1">#REF!</definedName>
    <definedName name="____cad3" hidden="1">#REF!</definedName>
    <definedName name="____CU600" localSheetId="20" hidden="1">{#N/A,#N/A,TRUE,"toc";#N/A,#N/A,TRUE,"general";#N/A,#N/A,TRUE,"compressive";#N/A,#N/A,TRUE,"lateral";#N/A,#N/A,TRUE,"shallow"}</definedName>
    <definedName name="____CU600" localSheetId="19" hidden="1">{#N/A,#N/A,TRUE,"toc";#N/A,#N/A,TRUE,"general";#N/A,#N/A,TRUE,"compressive";#N/A,#N/A,TRUE,"lateral";#N/A,#N/A,TRUE,"shallow"}</definedName>
    <definedName name="____CU600" localSheetId="26" hidden="1">{#N/A,#N/A,TRUE,"toc";#N/A,#N/A,TRUE,"general";#N/A,#N/A,TRUE,"compressive";#N/A,#N/A,TRUE,"lateral";#N/A,#N/A,TRUE,"shallow"}</definedName>
    <definedName name="____CU600" localSheetId="24" hidden="1">{#N/A,#N/A,TRUE,"toc";#N/A,#N/A,TRUE,"general";#N/A,#N/A,TRUE,"compressive";#N/A,#N/A,TRUE,"lateral";#N/A,#N/A,TRUE,"shallow"}</definedName>
    <definedName name="____CU600" localSheetId="32" hidden="1">{#N/A,#N/A,TRUE,"toc";#N/A,#N/A,TRUE,"general";#N/A,#N/A,TRUE,"compressive";#N/A,#N/A,TRUE,"lateral";#N/A,#N/A,TRUE,"shallow"}</definedName>
    <definedName name="____CU600" localSheetId="27" hidden="1">{#N/A,#N/A,TRUE,"toc";#N/A,#N/A,TRUE,"general";#N/A,#N/A,TRUE,"compressive";#N/A,#N/A,TRUE,"lateral";#N/A,#N/A,TRUE,"shallow"}</definedName>
    <definedName name="____CU600" localSheetId="28" hidden="1">{#N/A,#N/A,TRUE,"toc";#N/A,#N/A,TRUE,"general";#N/A,#N/A,TRUE,"compressive";#N/A,#N/A,TRUE,"lateral";#N/A,#N/A,TRUE,"shallow"}</definedName>
    <definedName name="____CU600" localSheetId="29" hidden="1">{#N/A,#N/A,TRUE,"toc";#N/A,#N/A,TRUE,"general";#N/A,#N/A,TRUE,"compressive";#N/A,#N/A,TRUE,"lateral";#N/A,#N/A,TRUE,"shallow"}</definedName>
    <definedName name="____CU600" localSheetId="31" hidden="1">{#N/A,#N/A,TRUE,"toc";#N/A,#N/A,TRUE,"general";#N/A,#N/A,TRUE,"compressive";#N/A,#N/A,TRUE,"lateral";#N/A,#N/A,TRUE,"shallow"}</definedName>
    <definedName name="____CU600" localSheetId="30" hidden="1">{#N/A,#N/A,TRUE,"toc";#N/A,#N/A,TRUE,"general";#N/A,#N/A,TRUE,"compressive";#N/A,#N/A,TRUE,"lateral";#N/A,#N/A,TRUE,"shallow"}</definedName>
    <definedName name="____CU600" localSheetId="17" hidden="1">{#N/A,#N/A,TRUE,"toc";#N/A,#N/A,TRUE,"general";#N/A,#N/A,TRUE,"compressive";#N/A,#N/A,TRUE,"lateral";#N/A,#N/A,TRUE,"shallow"}</definedName>
    <definedName name="____CU600" localSheetId="18" hidden="1">{#N/A,#N/A,TRUE,"toc";#N/A,#N/A,TRUE,"general";#N/A,#N/A,TRUE,"compressive";#N/A,#N/A,TRUE,"lateral";#N/A,#N/A,TRUE,"shallow"}</definedName>
    <definedName name="____CU600" hidden="1">{#N/A,#N/A,TRUE,"toc";#N/A,#N/A,TRUE,"general";#N/A,#N/A,TRUE,"compressive";#N/A,#N/A,TRUE,"lateral";#N/A,#N/A,TRUE,"shallow"}</definedName>
    <definedName name="____gk2" localSheetId="32" hidden="1">#REF!</definedName>
    <definedName name="____gk2" localSheetId="42" hidden="1">#REF!</definedName>
    <definedName name="____gk2" hidden="1">#REF!</definedName>
    <definedName name="____Job01" localSheetId="32" hidden="1">#REF!</definedName>
    <definedName name="____Job01" hidden="1">#REF!</definedName>
    <definedName name="____key1" hidden="1">#REF!</definedName>
    <definedName name="____key2" hidden="1">#REF!</definedName>
    <definedName name="____M6" localSheetId="20" hidden="1">{#N/A,#N/A,FALSE,"Chi tiÆt"}</definedName>
    <definedName name="____M6" localSheetId="19" hidden="1">{#N/A,#N/A,FALSE,"Chi tiÆt"}</definedName>
    <definedName name="____M6" localSheetId="26" hidden="1">{#N/A,#N/A,FALSE,"Chi tiÆt"}</definedName>
    <definedName name="____M6" localSheetId="24" hidden="1">{#N/A,#N/A,FALSE,"Chi tiÆt"}</definedName>
    <definedName name="____M6" localSheetId="32" hidden="1">{#N/A,#N/A,FALSE,"Chi tiÆt"}</definedName>
    <definedName name="____M6" localSheetId="27" hidden="1">{#N/A,#N/A,FALSE,"Chi tiÆt"}</definedName>
    <definedName name="____M6" localSheetId="28" hidden="1">{#N/A,#N/A,FALSE,"Chi tiÆt"}</definedName>
    <definedName name="____M6" localSheetId="29" hidden="1">{#N/A,#N/A,FALSE,"Chi tiÆt"}</definedName>
    <definedName name="____M6" localSheetId="31" hidden="1">{#N/A,#N/A,FALSE,"Chi tiÆt"}</definedName>
    <definedName name="____M6" localSheetId="30" hidden="1">{#N/A,#N/A,FALSE,"Chi tiÆt"}</definedName>
    <definedName name="____M6" localSheetId="17" hidden="1">{#N/A,#N/A,FALSE,"Chi tiÆt"}</definedName>
    <definedName name="____M6" localSheetId="18" hidden="1">{#N/A,#N/A,FALSE,"Chi tiÆt"}</definedName>
    <definedName name="____M6" hidden="1">{#N/A,#N/A,FALSE,"Chi tiÆt"}</definedName>
    <definedName name="____MCC3" localSheetId="20" hidden="1">{#N/A,#N/A,FALSE,"CCTV"}</definedName>
    <definedName name="____MCC3" localSheetId="19" hidden="1">{#N/A,#N/A,FALSE,"CCTV"}</definedName>
    <definedName name="____MCC3" localSheetId="26" hidden="1">{#N/A,#N/A,FALSE,"CCTV"}</definedName>
    <definedName name="____MCC3" localSheetId="24" hidden="1">{#N/A,#N/A,FALSE,"CCTV"}</definedName>
    <definedName name="____MCC3" localSheetId="32" hidden="1">{#N/A,#N/A,FALSE,"CCTV"}</definedName>
    <definedName name="____MCC3" localSheetId="27" hidden="1">{#N/A,#N/A,FALSE,"CCTV"}</definedName>
    <definedName name="____MCC3" localSheetId="28" hidden="1">{#N/A,#N/A,FALSE,"CCTV"}</definedName>
    <definedName name="____MCC3" localSheetId="29" hidden="1">{#N/A,#N/A,FALSE,"CCTV"}</definedName>
    <definedName name="____MCC3" localSheetId="31" hidden="1">{#N/A,#N/A,FALSE,"CCTV"}</definedName>
    <definedName name="____MCC3" localSheetId="30" hidden="1">{#N/A,#N/A,FALSE,"CCTV"}</definedName>
    <definedName name="____MCC3" localSheetId="17" hidden="1">{#N/A,#N/A,FALSE,"CCTV"}</definedName>
    <definedName name="____MCC3" localSheetId="18" hidden="1">{#N/A,#N/A,FALSE,"CCTV"}</definedName>
    <definedName name="____MCC3" hidden="1">{#N/A,#N/A,FALSE,"CCTV"}</definedName>
    <definedName name="____Q2" localSheetId="20" hidden="1">{"'Overflow Tank '!$A$1:$Q$58"}</definedName>
    <definedName name="____Q2" localSheetId="19" hidden="1">{"'Overflow Tank '!$A$1:$Q$58"}</definedName>
    <definedName name="____Q2" localSheetId="26" hidden="1">{"'Overflow Tank '!$A$1:$Q$58"}</definedName>
    <definedName name="____Q2" localSheetId="24" hidden="1">{"'Overflow Tank '!$A$1:$Q$58"}</definedName>
    <definedName name="____Q2" localSheetId="32" hidden="1">{"'Overflow Tank '!$A$1:$Q$58"}</definedName>
    <definedName name="____Q2" localSheetId="27" hidden="1">{"'Overflow Tank '!$A$1:$Q$58"}</definedName>
    <definedName name="____Q2" localSheetId="28" hidden="1">{"'Overflow Tank '!$A$1:$Q$58"}</definedName>
    <definedName name="____Q2" localSheetId="29" hidden="1">{"'Overflow Tank '!$A$1:$Q$58"}</definedName>
    <definedName name="____Q2" localSheetId="31" hidden="1">{"'Overflow Tank '!$A$1:$Q$58"}</definedName>
    <definedName name="____Q2" localSheetId="30" hidden="1">{"'Overflow Tank '!$A$1:$Q$58"}</definedName>
    <definedName name="____Q2" localSheetId="17" hidden="1">{"'Overflow Tank '!$A$1:$Q$58"}</definedName>
    <definedName name="____Q2" localSheetId="18" hidden="1">{"'Overflow Tank '!$A$1:$Q$58"}</definedName>
    <definedName name="____Q2" hidden="1">{"'Overflow Tank '!$A$1:$Q$58"}</definedName>
    <definedName name="____REV3" localSheetId="20" hidden="1">{#N/A,#N/A,FALSE,"REK-S-TPL";#N/A,#N/A,FALSE,"REK-TPML";#N/A,#N/A,FALSE,"RAB-TEMPEL"}</definedName>
    <definedName name="____REV3" localSheetId="19" hidden="1">{#N/A,#N/A,FALSE,"REK-S-TPL";#N/A,#N/A,FALSE,"REK-TPML";#N/A,#N/A,FALSE,"RAB-TEMPEL"}</definedName>
    <definedName name="____REV3" localSheetId="26" hidden="1">{#N/A,#N/A,FALSE,"REK-S-TPL";#N/A,#N/A,FALSE,"REK-TPML";#N/A,#N/A,FALSE,"RAB-TEMPEL"}</definedName>
    <definedName name="____REV3" localSheetId="24" hidden="1">{#N/A,#N/A,FALSE,"REK-S-TPL";#N/A,#N/A,FALSE,"REK-TPML";#N/A,#N/A,FALSE,"RAB-TEMPEL"}</definedName>
    <definedName name="____REV3" localSheetId="32" hidden="1">{#N/A,#N/A,FALSE,"REK-S-TPL";#N/A,#N/A,FALSE,"REK-TPML";#N/A,#N/A,FALSE,"RAB-TEMPEL"}</definedName>
    <definedName name="____REV3" localSheetId="27" hidden="1">{#N/A,#N/A,FALSE,"REK-S-TPL";#N/A,#N/A,FALSE,"REK-TPML";#N/A,#N/A,FALSE,"RAB-TEMPEL"}</definedName>
    <definedName name="____REV3" localSheetId="28" hidden="1">{#N/A,#N/A,FALSE,"REK-S-TPL";#N/A,#N/A,FALSE,"REK-TPML";#N/A,#N/A,FALSE,"RAB-TEMPEL"}</definedName>
    <definedName name="____REV3" localSheetId="29" hidden="1">{#N/A,#N/A,FALSE,"REK-S-TPL";#N/A,#N/A,FALSE,"REK-TPML";#N/A,#N/A,FALSE,"RAB-TEMPEL"}</definedName>
    <definedName name="____REV3" localSheetId="31" hidden="1">{#N/A,#N/A,FALSE,"REK-S-TPL";#N/A,#N/A,FALSE,"REK-TPML";#N/A,#N/A,FALSE,"RAB-TEMPEL"}</definedName>
    <definedName name="____REV3" localSheetId="30" hidden="1">{#N/A,#N/A,FALSE,"REK-S-TPL";#N/A,#N/A,FALSE,"REK-TPML";#N/A,#N/A,FALSE,"RAB-TEMPEL"}</definedName>
    <definedName name="____REV3" localSheetId="17" hidden="1">{#N/A,#N/A,FALSE,"REK-S-TPL";#N/A,#N/A,FALSE,"REK-TPML";#N/A,#N/A,FALSE,"RAB-TEMPEL"}</definedName>
    <definedName name="____REV3" localSheetId="18" hidden="1">{#N/A,#N/A,FALSE,"REK-S-TPL";#N/A,#N/A,FALSE,"REK-TPML";#N/A,#N/A,FALSE,"RAB-TEMPEL"}</definedName>
    <definedName name="____REV3" hidden="1">{#N/A,#N/A,FALSE,"REK-S-TPL";#N/A,#N/A,FALSE,"REK-TPML";#N/A,#N/A,FALSE,"RAB-TEMPEL"}</definedName>
    <definedName name="____SLA2009" localSheetId="20" hidden="1">{#N/A,#N/A,FALSE,"M.32"}</definedName>
    <definedName name="____SLA2009" localSheetId="19" hidden="1">{#N/A,#N/A,FALSE,"M.32"}</definedName>
    <definedName name="____SLA2009" localSheetId="26" hidden="1">{#N/A,#N/A,FALSE,"M.32"}</definedName>
    <definedName name="____SLA2009" localSheetId="24" hidden="1">{#N/A,#N/A,FALSE,"M.32"}</definedName>
    <definedName name="____SLA2009" localSheetId="32" hidden="1">{#N/A,#N/A,FALSE,"M.32"}</definedName>
    <definedName name="____SLA2009" localSheetId="27" hidden="1">{#N/A,#N/A,FALSE,"M.32"}</definedName>
    <definedName name="____SLA2009" localSheetId="28" hidden="1">{#N/A,#N/A,FALSE,"M.32"}</definedName>
    <definedName name="____SLA2009" localSheetId="29" hidden="1">{#N/A,#N/A,FALSE,"M.32"}</definedName>
    <definedName name="____SLA2009" localSheetId="31" hidden="1">{#N/A,#N/A,FALSE,"M.32"}</definedName>
    <definedName name="____SLA2009" localSheetId="30" hidden="1">{#N/A,#N/A,FALSE,"M.32"}</definedName>
    <definedName name="____SLA2009" localSheetId="17" hidden="1">{#N/A,#N/A,FALSE,"M.32"}</definedName>
    <definedName name="____SLA2009" localSheetId="18" hidden="1">{#N/A,#N/A,FALSE,"M.32"}</definedName>
    <definedName name="____SLA2009" hidden="1">{#N/A,#N/A,FALSE,"M.32"}</definedName>
    <definedName name="____t1" localSheetId="20" hidden="1">{"Offgrid",#N/A,FALSE,"OFFGRID";"Region",#N/A,FALSE,"REGION";"Offgrid -2",#N/A,FALSE,"OFFGRID";"WTP",#N/A,FALSE,"WTP";"WTP -2",#N/A,FALSE,"WTP";"Project",#N/A,FALSE,"PROJECT";"Summary -2",#N/A,FALSE,"SUMMARY"}</definedName>
    <definedName name="____t1" localSheetId="19" hidden="1">{"Offgrid",#N/A,FALSE,"OFFGRID";"Region",#N/A,FALSE,"REGION";"Offgrid -2",#N/A,FALSE,"OFFGRID";"WTP",#N/A,FALSE,"WTP";"WTP -2",#N/A,FALSE,"WTP";"Project",#N/A,FALSE,"PROJECT";"Summary -2",#N/A,FALSE,"SUMMARY"}</definedName>
    <definedName name="____t1" localSheetId="26" hidden="1">{"Offgrid",#N/A,FALSE,"OFFGRID";"Region",#N/A,FALSE,"REGION";"Offgrid -2",#N/A,FALSE,"OFFGRID";"WTP",#N/A,FALSE,"WTP";"WTP -2",#N/A,FALSE,"WTP";"Project",#N/A,FALSE,"PROJECT";"Summary -2",#N/A,FALSE,"SUMMARY"}</definedName>
    <definedName name="____t1" localSheetId="24" hidden="1">{"Offgrid",#N/A,FALSE,"OFFGRID";"Region",#N/A,FALSE,"REGION";"Offgrid -2",#N/A,FALSE,"OFFGRID";"WTP",#N/A,FALSE,"WTP";"WTP -2",#N/A,FALSE,"WTP";"Project",#N/A,FALSE,"PROJECT";"Summary -2",#N/A,FALSE,"SUMMARY"}</definedName>
    <definedName name="____t1" localSheetId="32" hidden="1">{"Offgrid",#N/A,FALSE,"OFFGRID";"Region",#N/A,FALSE,"REGION";"Offgrid -2",#N/A,FALSE,"OFFGRID";"WTP",#N/A,FALSE,"WTP";"WTP -2",#N/A,FALSE,"WTP";"Project",#N/A,FALSE,"PROJECT";"Summary -2",#N/A,FALSE,"SUMMARY"}</definedName>
    <definedName name="____t1" localSheetId="27" hidden="1">{"Offgrid",#N/A,FALSE,"OFFGRID";"Region",#N/A,FALSE,"REGION";"Offgrid -2",#N/A,FALSE,"OFFGRID";"WTP",#N/A,FALSE,"WTP";"WTP -2",#N/A,FALSE,"WTP";"Project",#N/A,FALSE,"PROJECT";"Summary -2",#N/A,FALSE,"SUMMARY"}</definedName>
    <definedName name="____t1" localSheetId="28" hidden="1">{"Offgrid",#N/A,FALSE,"OFFGRID";"Region",#N/A,FALSE,"REGION";"Offgrid -2",#N/A,FALSE,"OFFGRID";"WTP",#N/A,FALSE,"WTP";"WTP -2",#N/A,FALSE,"WTP";"Project",#N/A,FALSE,"PROJECT";"Summary -2",#N/A,FALSE,"SUMMARY"}</definedName>
    <definedName name="____t1" localSheetId="29" hidden="1">{"Offgrid",#N/A,FALSE,"OFFGRID";"Region",#N/A,FALSE,"REGION";"Offgrid -2",#N/A,FALSE,"OFFGRID";"WTP",#N/A,FALSE,"WTP";"WTP -2",#N/A,FALSE,"WTP";"Project",#N/A,FALSE,"PROJECT";"Summary -2",#N/A,FALSE,"SUMMARY"}</definedName>
    <definedName name="____t1" localSheetId="31" hidden="1">{"Offgrid",#N/A,FALSE,"OFFGRID";"Region",#N/A,FALSE,"REGION";"Offgrid -2",#N/A,FALSE,"OFFGRID";"WTP",#N/A,FALSE,"WTP";"WTP -2",#N/A,FALSE,"WTP";"Project",#N/A,FALSE,"PROJECT";"Summary -2",#N/A,FALSE,"SUMMARY"}</definedName>
    <definedName name="____t1" localSheetId="30" hidden="1">{"Offgrid",#N/A,FALSE,"OFFGRID";"Region",#N/A,FALSE,"REGION";"Offgrid -2",#N/A,FALSE,"OFFGRID";"WTP",#N/A,FALSE,"WTP";"WTP -2",#N/A,FALSE,"WTP";"Project",#N/A,FALSE,"PROJECT";"Summary -2",#N/A,FALSE,"SUMMARY"}</definedName>
    <definedName name="____t1" localSheetId="17" hidden="1">{"Offgrid",#N/A,FALSE,"OFFGRID";"Region",#N/A,FALSE,"REGION";"Offgrid -2",#N/A,FALSE,"OFFGRID";"WTP",#N/A,FALSE,"WTP";"WTP -2",#N/A,FALSE,"WTP";"Project",#N/A,FALSE,"PROJECT";"Summary -2",#N/A,FALSE,"SUMMARY"}</definedName>
    <definedName name="____t1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t1" hidden="1">{"Offgrid",#N/A,FALSE,"OFFGRID";"Region",#N/A,FALSE,"REGION";"Offgrid -2",#N/A,FALSE,"OFFGRID";"WTP",#N/A,FALSE,"WTP";"WTP -2",#N/A,FALSE,"WTP";"Project",#N/A,FALSE,"PROJECT";"Summary -2",#N/A,FALSE,"SUMMARY"}</definedName>
    <definedName name="____t2" localSheetId="20" hidden="1">{"Offgrid",#N/A,FALSE,"OFFGRID";"Region",#N/A,FALSE,"REGION";"Offgrid -2",#N/A,FALSE,"OFFGRID";"WTP",#N/A,FALSE,"WTP";"WTP -2",#N/A,FALSE,"WTP";"Project",#N/A,FALSE,"PROJECT";"Summary -2",#N/A,FALSE,"SUMMARY"}</definedName>
    <definedName name="____t2" localSheetId="19" hidden="1">{"Offgrid",#N/A,FALSE,"OFFGRID";"Region",#N/A,FALSE,"REGION";"Offgrid -2",#N/A,FALSE,"OFFGRID";"WTP",#N/A,FALSE,"WTP";"WTP -2",#N/A,FALSE,"WTP";"Project",#N/A,FALSE,"PROJECT";"Summary -2",#N/A,FALSE,"SUMMARY"}</definedName>
    <definedName name="____t2" localSheetId="26" hidden="1">{"Offgrid",#N/A,FALSE,"OFFGRID";"Region",#N/A,FALSE,"REGION";"Offgrid -2",#N/A,FALSE,"OFFGRID";"WTP",#N/A,FALSE,"WTP";"WTP -2",#N/A,FALSE,"WTP";"Project",#N/A,FALSE,"PROJECT";"Summary -2",#N/A,FALSE,"SUMMARY"}</definedName>
    <definedName name="____t2" localSheetId="24" hidden="1">{"Offgrid",#N/A,FALSE,"OFFGRID";"Region",#N/A,FALSE,"REGION";"Offgrid -2",#N/A,FALSE,"OFFGRID";"WTP",#N/A,FALSE,"WTP";"WTP -2",#N/A,FALSE,"WTP";"Project",#N/A,FALSE,"PROJECT";"Summary -2",#N/A,FALSE,"SUMMARY"}</definedName>
    <definedName name="____t2" localSheetId="32" hidden="1">{"Offgrid",#N/A,FALSE,"OFFGRID";"Region",#N/A,FALSE,"REGION";"Offgrid -2",#N/A,FALSE,"OFFGRID";"WTP",#N/A,FALSE,"WTP";"WTP -2",#N/A,FALSE,"WTP";"Project",#N/A,FALSE,"PROJECT";"Summary -2",#N/A,FALSE,"SUMMARY"}</definedName>
    <definedName name="____t2" localSheetId="27" hidden="1">{"Offgrid",#N/A,FALSE,"OFFGRID";"Region",#N/A,FALSE,"REGION";"Offgrid -2",#N/A,FALSE,"OFFGRID";"WTP",#N/A,FALSE,"WTP";"WTP -2",#N/A,FALSE,"WTP";"Project",#N/A,FALSE,"PROJECT";"Summary -2",#N/A,FALSE,"SUMMARY"}</definedName>
    <definedName name="____t2" localSheetId="28" hidden="1">{"Offgrid",#N/A,FALSE,"OFFGRID";"Region",#N/A,FALSE,"REGION";"Offgrid -2",#N/A,FALSE,"OFFGRID";"WTP",#N/A,FALSE,"WTP";"WTP -2",#N/A,FALSE,"WTP";"Project",#N/A,FALSE,"PROJECT";"Summary -2",#N/A,FALSE,"SUMMARY"}</definedName>
    <definedName name="____t2" localSheetId="29" hidden="1">{"Offgrid",#N/A,FALSE,"OFFGRID";"Region",#N/A,FALSE,"REGION";"Offgrid -2",#N/A,FALSE,"OFFGRID";"WTP",#N/A,FALSE,"WTP";"WTP -2",#N/A,FALSE,"WTP";"Project",#N/A,FALSE,"PROJECT";"Summary -2",#N/A,FALSE,"SUMMARY"}</definedName>
    <definedName name="____t2" localSheetId="31" hidden="1">{"Offgrid",#N/A,FALSE,"OFFGRID";"Region",#N/A,FALSE,"REGION";"Offgrid -2",#N/A,FALSE,"OFFGRID";"WTP",#N/A,FALSE,"WTP";"WTP -2",#N/A,FALSE,"WTP";"Project",#N/A,FALSE,"PROJECT";"Summary -2",#N/A,FALSE,"SUMMARY"}</definedName>
    <definedName name="____t2" localSheetId="30" hidden="1">{"Offgrid",#N/A,FALSE,"OFFGRID";"Region",#N/A,FALSE,"REGION";"Offgrid -2",#N/A,FALSE,"OFFGRID";"WTP",#N/A,FALSE,"WTP";"WTP -2",#N/A,FALSE,"WTP";"Project",#N/A,FALSE,"PROJECT";"Summary -2",#N/A,FALSE,"SUMMARY"}</definedName>
    <definedName name="____t2" localSheetId="17" hidden="1">{"Offgrid",#N/A,FALSE,"OFFGRID";"Region",#N/A,FALSE,"REGION";"Offgrid -2",#N/A,FALSE,"OFFGRID";"WTP",#N/A,FALSE,"WTP";"WTP -2",#N/A,FALSE,"WTP";"Project",#N/A,FALSE,"PROJECT";"Summary -2",#N/A,FALSE,"SUMMARY"}</definedName>
    <definedName name="____t2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t2" hidden="1">{"Offgrid",#N/A,FALSE,"OFFGRID";"Region",#N/A,FALSE,"REGION";"Offgrid -2",#N/A,FALSE,"OFFGRID";"WTP",#N/A,FALSE,"WTP";"WTP -2",#N/A,FALSE,"WTP";"Project",#N/A,FALSE,"PROJECT";"Summary -2",#N/A,FALSE,"SUMMARY"}</definedName>
    <definedName name="____t3" localSheetId="20" hidden="1">{"Offgrid",#N/A,FALSE,"OFFGRID";"Region",#N/A,FALSE,"REGION";"Offgrid -2",#N/A,FALSE,"OFFGRID";"WTP",#N/A,FALSE,"WTP";"WTP -2",#N/A,FALSE,"WTP";"Project",#N/A,FALSE,"PROJECT";"Summary -2",#N/A,FALSE,"SUMMARY"}</definedName>
    <definedName name="____t3" localSheetId="19" hidden="1">{"Offgrid",#N/A,FALSE,"OFFGRID";"Region",#N/A,FALSE,"REGION";"Offgrid -2",#N/A,FALSE,"OFFGRID";"WTP",#N/A,FALSE,"WTP";"WTP -2",#N/A,FALSE,"WTP";"Project",#N/A,FALSE,"PROJECT";"Summary -2",#N/A,FALSE,"SUMMARY"}</definedName>
    <definedName name="____t3" localSheetId="26" hidden="1">{"Offgrid",#N/A,FALSE,"OFFGRID";"Region",#N/A,FALSE,"REGION";"Offgrid -2",#N/A,FALSE,"OFFGRID";"WTP",#N/A,FALSE,"WTP";"WTP -2",#N/A,FALSE,"WTP";"Project",#N/A,FALSE,"PROJECT";"Summary -2",#N/A,FALSE,"SUMMARY"}</definedName>
    <definedName name="____t3" localSheetId="24" hidden="1">{"Offgrid",#N/A,FALSE,"OFFGRID";"Region",#N/A,FALSE,"REGION";"Offgrid -2",#N/A,FALSE,"OFFGRID";"WTP",#N/A,FALSE,"WTP";"WTP -2",#N/A,FALSE,"WTP";"Project",#N/A,FALSE,"PROJECT";"Summary -2",#N/A,FALSE,"SUMMARY"}</definedName>
    <definedName name="____t3" localSheetId="32" hidden="1">{"Offgrid",#N/A,FALSE,"OFFGRID";"Region",#N/A,FALSE,"REGION";"Offgrid -2",#N/A,FALSE,"OFFGRID";"WTP",#N/A,FALSE,"WTP";"WTP -2",#N/A,FALSE,"WTP";"Project",#N/A,FALSE,"PROJECT";"Summary -2",#N/A,FALSE,"SUMMARY"}</definedName>
    <definedName name="____t3" localSheetId="27" hidden="1">{"Offgrid",#N/A,FALSE,"OFFGRID";"Region",#N/A,FALSE,"REGION";"Offgrid -2",#N/A,FALSE,"OFFGRID";"WTP",#N/A,FALSE,"WTP";"WTP -2",#N/A,FALSE,"WTP";"Project",#N/A,FALSE,"PROJECT";"Summary -2",#N/A,FALSE,"SUMMARY"}</definedName>
    <definedName name="____t3" localSheetId="28" hidden="1">{"Offgrid",#N/A,FALSE,"OFFGRID";"Region",#N/A,FALSE,"REGION";"Offgrid -2",#N/A,FALSE,"OFFGRID";"WTP",#N/A,FALSE,"WTP";"WTP -2",#N/A,FALSE,"WTP";"Project",#N/A,FALSE,"PROJECT";"Summary -2",#N/A,FALSE,"SUMMARY"}</definedName>
    <definedName name="____t3" localSheetId="29" hidden="1">{"Offgrid",#N/A,FALSE,"OFFGRID";"Region",#N/A,FALSE,"REGION";"Offgrid -2",#N/A,FALSE,"OFFGRID";"WTP",#N/A,FALSE,"WTP";"WTP -2",#N/A,FALSE,"WTP";"Project",#N/A,FALSE,"PROJECT";"Summary -2",#N/A,FALSE,"SUMMARY"}</definedName>
    <definedName name="____t3" localSheetId="31" hidden="1">{"Offgrid",#N/A,FALSE,"OFFGRID";"Region",#N/A,FALSE,"REGION";"Offgrid -2",#N/A,FALSE,"OFFGRID";"WTP",#N/A,FALSE,"WTP";"WTP -2",#N/A,FALSE,"WTP";"Project",#N/A,FALSE,"PROJECT";"Summary -2",#N/A,FALSE,"SUMMARY"}</definedName>
    <definedName name="____t3" localSheetId="30" hidden="1">{"Offgrid",#N/A,FALSE,"OFFGRID";"Region",#N/A,FALSE,"REGION";"Offgrid -2",#N/A,FALSE,"OFFGRID";"WTP",#N/A,FALSE,"WTP";"WTP -2",#N/A,FALSE,"WTP";"Project",#N/A,FALSE,"PROJECT";"Summary -2",#N/A,FALSE,"SUMMARY"}</definedName>
    <definedName name="____t3" localSheetId="17" hidden="1">{"Offgrid",#N/A,FALSE,"OFFGRID";"Region",#N/A,FALSE,"REGION";"Offgrid -2",#N/A,FALSE,"OFFGRID";"WTP",#N/A,FALSE,"WTP";"WTP -2",#N/A,FALSE,"WTP";"Project",#N/A,FALSE,"PROJECT";"Summary -2",#N/A,FALSE,"SUMMARY"}</definedName>
    <definedName name="____t3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_t3" hidden="1">{"Offgrid",#N/A,FALSE,"OFFGRID";"Region",#N/A,FALSE,"REGION";"Offgrid -2",#N/A,FALSE,"OFFGRID";"WTP",#N/A,FALSE,"WTP";"WTP -2",#N/A,FALSE,"WTP";"Project",#N/A,FALSE,"PROJECT";"Summary -2",#N/A,FALSE,"SUMMARY"}</definedName>
    <definedName name="____TH1" localSheetId="20" hidden="1">{#N/A,#N/A,FALSE,"M.34"}</definedName>
    <definedName name="____TH1" localSheetId="19" hidden="1">{#N/A,#N/A,FALSE,"M.34"}</definedName>
    <definedName name="____TH1" localSheetId="26" hidden="1">{#N/A,#N/A,FALSE,"M.34"}</definedName>
    <definedName name="____TH1" localSheetId="24" hidden="1">{#N/A,#N/A,FALSE,"M.34"}</definedName>
    <definedName name="____TH1" localSheetId="32" hidden="1">{#N/A,#N/A,FALSE,"M.34"}</definedName>
    <definedName name="____TH1" localSheetId="27" hidden="1">{#N/A,#N/A,FALSE,"M.34"}</definedName>
    <definedName name="____TH1" localSheetId="28" hidden="1">{#N/A,#N/A,FALSE,"M.34"}</definedName>
    <definedName name="____TH1" localSheetId="29" hidden="1">{#N/A,#N/A,FALSE,"M.34"}</definedName>
    <definedName name="____TH1" localSheetId="31" hidden="1">{#N/A,#N/A,FALSE,"M.34"}</definedName>
    <definedName name="____TH1" localSheetId="30" hidden="1">{#N/A,#N/A,FALSE,"M.34"}</definedName>
    <definedName name="____TH1" localSheetId="17" hidden="1">{#N/A,#N/A,FALSE,"M.34"}</definedName>
    <definedName name="____TH1" localSheetId="18" hidden="1">{#N/A,#N/A,FALSE,"M.34"}</definedName>
    <definedName name="____TH1" hidden="1">{#N/A,#N/A,FALSE,"M.34"}</definedName>
    <definedName name="____th2" localSheetId="20" hidden="1">{#N/A,#N/A,FALSE,"M.42"}</definedName>
    <definedName name="____th2" localSheetId="19" hidden="1">{#N/A,#N/A,FALSE,"M.42"}</definedName>
    <definedName name="____th2" localSheetId="26" hidden="1">{#N/A,#N/A,FALSE,"M.42"}</definedName>
    <definedName name="____th2" localSheetId="24" hidden="1">{#N/A,#N/A,FALSE,"M.42"}</definedName>
    <definedName name="____th2" localSheetId="32" hidden="1">{#N/A,#N/A,FALSE,"M.42"}</definedName>
    <definedName name="____th2" localSheetId="27" hidden="1">{#N/A,#N/A,FALSE,"M.42"}</definedName>
    <definedName name="____th2" localSheetId="28" hidden="1">{#N/A,#N/A,FALSE,"M.42"}</definedName>
    <definedName name="____th2" localSheetId="29" hidden="1">{#N/A,#N/A,FALSE,"M.42"}</definedName>
    <definedName name="____th2" localSheetId="31" hidden="1">{#N/A,#N/A,FALSE,"M.42"}</definedName>
    <definedName name="____th2" localSheetId="30" hidden="1">{#N/A,#N/A,FALSE,"M.42"}</definedName>
    <definedName name="____th2" localSheetId="17" hidden="1">{#N/A,#N/A,FALSE,"M.42"}</definedName>
    <definedName name="____th2" localSheetId="18" hidden="1">{#N/A,#N/A,FALSE,"M.42"}</definedName>
    <definedName name="____th2" hidden="1">{#N/A,#N/A,FALSE,"M.42"}</definedName>
    <definedName name="____xlfn.BAHTTEXT" hidden="1">#NAME?</definedName>
    <definedName name="___1___________123Graph_ACHART_1" localSheetId="32" hidden="1">#REF!</definedName>
    <definedName name="___1___________123Graph_ACHART_1" localSheetId="27" hidden="1">#REF!</definedName>
    <definedName name="___1___________123Graph_ACHART_1" localSheetId="18" hidden="1">#REF!</definedName>
    <definedName name="___1___________123Graph_ACHART_1" hidden="1">#REF!</definedName>
    <definedName name="___2___________123Graph_XCHART_1" localSheetId="27" hidden="1">#REF!</definedName>
    <definedName name="___2___________123Graph_XCHART_1" localSheetId="18" hidden="1">#REF!</definedName>
    <definedName name="___2___________123Graph_XCHART_1" hidden="1">#REF!</definedName>
    <definedName name="___3________123Graph_ACHART_1" localSheetId="27" hidden="1">#REF!</definedName>
    <definedName name="___3________123Graph_ACHART_1" localSheetId="18" hidden="1">#REF!</definedName>
    <definedName name="___3________123Graph_ACHART_1" hidden="1">#REF!</definedName>
    <definedName name="___4________123Graph_XCHART_1" hidden="1">#REF!</definedName>
    <definedName name="___5______123Graph_ACHART_1" hidden="1">#REF!</definedName>
    <definedName name="___6______123Graph_XCHART_1" hidden="1">#REF!</definedName>
    <definedName name="___7____123Graph_ACHART_1" hidden="1">#REF!</definedName>
    <definedName name="___8____123Graph_XCHART_1" hidden="1">#REF!</definedName>
    <definedName name="___a11" localSheetId="20" hidden="1">{"'장비'!$A$3:$M$12"}</definedName>
    <definedName name="___a11" localSheetId="19" hidden="1">{"'장비'!$A$3:$M$12"}</definedName>
    <definedName name="___a11" localSheetId="26" hidden="1">{"'장비'!$A$3:$M$12"}</definedName>
    <definedName name="___a11" localSheetId="24" hidden="1">{"'장비'!$A$3:$M$12"}</definedName>
    <definedName name="___a11" localSheetId="32" hidden="1">{"'장비'!$A$3:$M$12"}</definedName>
    <definedName name="___a11" localSheetId="27" hidden="1">{"'장비'!$A$3:$M$12"}</definedName>
    <definedName name="___a11" localSheetId="28" hidden="1">{"'장비'!$A$3:$M$12"}</definedName>
    <definedName name="___a11" localSheetId="29" hidden="1">{"'장비'!$A$3:$M$12"}</definedName>
    <definedName name="___a11" localSheetId="31" hidden="1">{"'장비'!$A$3:$M$12"}</definedName>
    <definedName name="___a11" localSheetId="30" hidden="1">{"'장비'!$A$3:$M$12"}</definedName>
    <definedName name="___a11" localSheetId="17" hidden="1">{"'장비'!$A$3:$M$12"}</definedName>
    <definedName name="___a11" localSheetId="18" hidden="1">{"'장비'!$A$3:$M$12"}</definedName>
    <definedName name="___a11" hidden="1">{"'장비'!$A$3:$M$12"}</definedName>
    <definedName name="___a129" localSheetId="20" hidden="1">{"Offgrid",#N/A,FALSE,"OFFGRID";"Region",#N/A,FALSE,"REGION";"Offgrid -2",#N/A,FALSE,"OFFGRID";"WTP",#N/A,FALSE,"WTP";"WTP -2",#N/A,FALSE,"WTP";"Project",#N/A,FALSE,"PROJECT";"Summary -2",#N/A,FALSE,"SUMMARY"}</definedName>
    <definedName name="___a129" localSheetId="19" hidden="1">{"Offgrid",#N/A,FALSE,"OFFGRID";"Region",#N/A,FALSE,"REGION";"Offgrid -2",#N/A,FALSE,"OFFGRID";"WTP",#N/A,FALSE,"WTP";"WTP -2",#N/A,FALSE,"WTP";"Project",#N/A,FALSE,"PROJECT";"Summary -2",#N/A,FALSE,"SUMMARY"}</definedName>
    <definedName name="___a129" localSheetId="26" hidden="1">{"Offgrid",#N/A,FALSE,"OFFGRID";"Region",#N/A,FALSE,"REGION";"Offgrid -2",#N/A,FALSE,"OFFGRID";"WTP",#N/A,FALSE,"WTP";"WTP -2",#N/A,FALSE,"WTP";"Project",#N/A,FALSE,"PROJECT";"Summary -2",#N/A,FALSE,"SUMMARY"}</definedName>
    <definedName name="___a129" localSheetId="24" hidden="1">{"Offgrid",#N/A,FALSE,"OFFGRID";"Region",#N/A,FALSE,"REGION";"Offgrid -2",#N/A,FALSE,"OFFGRID";"WTP",#N/A,FALSE,"WTP";"WTP -2",#N/A,FALSE,"WTP";"Project",#N/A,FALSE,"PROJECT";"Summary -2",#N/A,FALSE,"SUMMARY"}</definedName>
    <definedName name="___a129" localSheetId="32" hidden="1">{"Offgrid",#N/A,FALSE,"OFFGRID";"Region",#N/A,FALSE,"REGION";"Offgrid -2",#N/A,FALSE,"OFFGRID";"WTP",#N/A,FALSE,"WTP";"WTP -2",#N/A,FALSE,"WTP";"Project",#N/A,FALSE,"PROJECT";"Summary -2",#N/A,FALSE,"SUMMARY"}</definedName>
    <definedName name="___a129" localSheetId="27" hidden="1">{"Offgrid",#N/A,FALSE,"OFFGRID";"Region",#N/A,FALSE,"REGION";"Offgrid -2",#N/A,FALSE,"OFFGRID";"WTP",#N/A,FALSE,"WTP";"WTP -2",#N/A,FALSE,"WTP";"Project",#N/A,FALSE,"PROJECT";"Summary -2",#N/A,FALSE,"SUMMARY"}</definedName>
    <definedName name="___a129" localSheetId="28" hidden="1">{"Offgrid",#N/A,FALSE,"OFFGRID";"Region",#N/A,FALSE,"REGION";"Offgrid -2",#N/A,FALSE,"OFFGRID";"WTP",#N/A,FALSE,"WTP";"WTP -2",#N/A,FALSE,"WTP";"Project",#N/A,FALSE,"PROJECT";"Summary -2",#N/A,FALSE,"SUMMARY"}</definedName>
    <definedName name="___a129" localSheetId="29" hidden="1">{"Offgrid",#N/A,FALSE,"OFFGRID";"Region",#N/A,FALSE,"REGION";"Offgrid -2",#N/A,FALSE,"OFFGRID";"WTP",#N/A,FALSE,"WTP";"WTP -2",#N/A,FALSE,"WTP";"Project",#N/A,FALSE,"PROJECT";"Summary -2",#N/A,FALSE,"SUMMARY"}</definedName>
    <definedName name="___a129" localSheetId="31" hidden="1">{"Offgrid",#N/A,FALSE,"OFFGRID";"Region",#N/A,FALSE,"REGION";"Offgrid -2",#N/A,FALSE,"OFFGRID";"WTP",#N/A,FALSE,"WTP";"WTP -2",#N/A,FALSE,"WTP";"Project",#N/A,FALSE,"PROJECT";"Summary -2",#N/A,FALSE,"SUMMARY"}</definedName>
    <definedName name="___a129" localSheetId="30" hidden="1">{"Offgrid",#N/A,FALSE,"OFFGRID";"Region",#N/A,FALSE,"REGION";"Offgrid -2",#N/A,FALSE,"OFFGRID";"WTP",#N/A,FALSE,"WTP";"WTP -2",#N/A,FALSE,"WTP";"Project",#N/A,FALSE,"PROJECT";"Summary -2",#N/A,FALSE,"SUMMARY"}</definedName>
    <definedName name="___a129" localSheetId="17" hidden="1">{"Offgrid",#N/A,FALSE,"OFFGRID";"Region",#N/A,FALSE,"REGION";"Offgrid -2",#N/A,FALSE,"OFFGRID";"WTP",#N/A,FALSE,"WTP";"WTP -2",#N/A,FALSE,"WTP";"Project",#N/A,FALSE,"PROJECT";"Summary -2",#N/A,FALSE,"SUMMARY"}</definedName>
    <definedName name="___a129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30" localSheetId="20" hidden="1">{"Offgrid",#N/A,FALSE,"OFFGRID";"Region",#N/A,FALSE,"REGION";"Offgrid -2",#N/A,FALSE,"OFFGRID";"WTP",#N/A,FALSE,"WTP";"WTP -2",#N/A,FALSE,"WTP";"Project",#N/A,FALSE,"PROJECT";"Summary -2",#N/A,FALSE,"SUMMARY"}</definedName>
    <definedName name="___a130" localSheetId="19" hidden="1">{"Offgrid",#N/A,FALSE,"OFFGRID";"Region",#N/A,FALSE,"REGION";"Offgrid -2",#N/A,FALSE,"OFFGRID";"WTP",#N/A,FALSE,"WTP";"WTP -2",#N/A,FALSE,"WTP";"Project",#N/A,FALSE,"PROJECT";"Summary -2",#N/A,FALSE,"SUMMARY"}</definedName>
    <definedName name="___a130" localSheetId="26" hidden="1">{"Offgrid",#N/A,FALSE,"OFFGRID";"Region",#N/A,FALSE,"REGION";"Offgrid -2",#N/A,FALSE,"OFFGRID";"WTP",#N/A,FALSE,"WTP";"WTP -2",#N/A,FALSE,"WTP";"Project",#N/A,FALSE,"PROJECT";"Summary -2",#N/A,FALSE,"SUMMARY"}</definedName>
    <definedName name="___a130" localSheetId="24" hidden="1">{"Offgrid",#N/A,FALSE,"OFFGRID";"Region",#N/A,FALSE,"REGION";"Offgrid -2",#N/A,FALSE,"OFFGRID";"WTP",#N/A,FALSE,"WTP";"WTP -2",#N/A,FALSE,"WTP";"Project",#N/A,FALSE,"PROJECT";"Summary -2",#N/A,FALSE,"SUMMARY"}</definedName>
    <definedName name="___a130" localSheetId="32" hidden="1">{"Offgrid",#N/A,FALSE,"OFFGRID";"Region",#N/A,FALSE,"REGION";"Offgrid -2",#N/A,FALSE,"OFFGRID";"WTP",#N/A,FALSE,"WTP";"WTP -2",#N/A,FALSE,"WTP";"Project",#N/A,FALSE,"PROJECT";"Summary -2",#N/A,FALSE,"SUMMARY"}</definedName>
    <definedName name="___a130" localSheetId="27" hidden="1">{"Offgrid",#N/A,FALSE,"OFFGRID";"Region",#N/A,FALSE,"REGION";"Offgrid -2",#N/A,FALSE,"OFFGRID";"WTP",#N/A,FALSE,"WTP";"WTP -2",#N/A,FALSE,"WTP";"Project",#N/A,FALSE,"PROJECT";"Summary -2",#N/A,FALSE,"SUMMARY"}</definedName>
    <definedName name="___a130" localSheetId="28" hidden="1">{"Offgrid",#N/A,FALSE,"OFFGRID";"Region",#N/A,FALSE,"REGION";"Offgrid -2",#N/A,FALSE,"OFFGRID";"WTP",#N/A,FALSE,"WTP";"WTP -2",#N/A,FALSE,"WTP";"Project",#N/A,FALSE,"PROJECT";"Summary -2",#N/A,FALSE,"SUMMARY"}</definedName>
    <definedName name="___a130" localSheetId="29" hidden="1">{"Offgrid",#N/A,FALSE,"OFFGRID";"Region",#N/A,FALSE,"REGION";"Offgrid -2",#N/A,FALSE,"OFFGRID";"WTP",#N/A,FALSE,"WTP";"WTP -2",#N/A,FALSE,"WTP";"Project",#N/A,FALSE,"PROJECT";"Summary -2",#N/A,FALSE,"SUMMARY"}</definedName>
    <definedName name="___a130" localSheetId="31" hidden="1">{"Offgrid",#N/A,FALSE,"OFFGRID";"Region",#N/A,FALSE,"REGION";"Offgrid -2",#N/A,FALSE,"OFFGRID";"WTP",#N/A,FALSE,"WTP";"WTP -2",#N/A,FALSE,"WTP";"Project",#N/A,FALSE,"PROJECT";"Summary -2",#N/A,FALSE,"SUMMARY"}</definedName>
    <definedName name="___a130" localSheetId="30" hidden="1">{"Offgrid",#N/A,FALSE,"OFFGRID";"Region",#N/A,FALSE,"REGION";"Offgrid -2",#N/A,FALSE,"OFFGRID";"WTP",#N/A,FALSE,"WTP";"WTP -2",#N/A,FALSE,"WTP";"Project",#N/A,FALSE,"PROJECT";"Summary -2",#N/A,FALSE,"SUMMARY"}</definedName>
    <definedName name="___a130" localSheetId="17" hidden="1">{"Offgrid",#N/A,FALSE,"OFFGRID";"Region",#N/A,FALSE,"REGION";"Offgrid -2",#N/A,FALSE,"OFFGRID";"WTP",#N/A,FALSE,"WTP";"WTP -2",#N/A,FALSE,"WTP";"Project",#N/A,FALSE,"PROJECT";"Summary -2",#N/A,FALSE,"SUMMARY"}</definedName>
    <definedName name="___a130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amd1" localSheetId="20" hidden="1">{#N/A,#N/A,FALSE,"Chi tiÆt"}</definedName>
    <definedName name="___amd1" localSheetId="19" hidden="1">{#N/A,#N/A,FALSE,"Chi tiÆt"}</definedName>
    <definedName name="___amd1" localSheetId="26" hidden="1">{#N/A,#N/A,FALSE,"Chi tiÆt"}</definedName>
    <definedName name="___amd1" localSheetId="24" hidden="1">{#N/A,#N/A,FALSE,"Chi tiÆt"}</definedName>
    <definedName name="___amd1" localSheetId="32" hidden="1">{#N/A,#N/A,FALSE,"Chi tiÆt"}</definedName>
    <definedName name="___amd1" localSheetId="27" hidden="1">{#N/A,#N/A,FALSE,"Chi tiÆt"}</definedName>
    <definedName name="___amd1" localSheetId="28" hidden="1">{#N/A,#N/A,FALSE,"Chi tiÆt"}</definedName>
    <definedName name="___amd1" localSheetId="29" hidden="1">{#N/A,#N/A,FALSE,"Chi tiÆt"}</definedName>
    <definedName name="___amd1" localSheetId="31" hidden="1">{#N/A,#N/A,FALSE,"Chi tiÆt"}</definedName>
    <definedName name="___amd1" localSheetId="30" hidden="1">{#N/A,#N/A,FALSE,"Chi tiÆt"}</definedName>
    <definedName name="___amd1" localSheetId="17" hidden="1">{#N/A,#N/A,FALSE,"Chi tiÆt"}</definedName>
    <definedName name="___amd1" localSheetId="18" hidden="1">{#N/A,#N/A,FALSE,"Chi tiÆt"}</definedName>
    <definedName name="___amd1" hidden="1">{#N/A,#N/A,FALSE,"Chi tiÆt"}</definedName>
    <definedName name="___App7" localSheetId="20" hidden="1">{"'Sheet1'!$A$1"}</definedName>
    <definedName name="___App7" localSheetId="19" hidden="1">{"'Sheet1'!$A$1"}</definedName>
    <definedName name="___App7" localSheetId="26" hidden="1">{"'Sheet1'!$A$1"}</definedName>
    <definedName name="___App7" localSheetId="24" hidden="1">{"'Sheet1'!$A$1"}</definedName>
    <definedName name="___App7" localSheetId="32" hidden="1">{"'Sheet1'!$A$1"}</definedName>
    <definedName name="___App7" localSheetId="27" hidden="1">{"'Sheet1'!$A$1"}</definedName>
    <definedName name="___App7" localSheetId="28" hidden="1">{"'Sheet1'!$A$1"}</definedName>
    <definedName name="___App7" localSheetId="29" hidden="1">{"'Sheet1'!$A$1"}</definedName>
    <definedName name="___App7" localSheetId="31" hidden="1">{"'Sheet1'!$A$1"}</definedName>
    <definedName name="___App7" localSheetId="30" hidden="1">{"'Sheet1'!$A$1"}</definedName>
    <definedName name="___App7" localSheetId="17" hidden="1">{"'Sheet1'!$A$1"}</definedName>
    <definedName name="___App7" localSheetId="18" hidden="1">{"'Sheet1'!$A$1"}</definedName>
    <definedName name="___App7" hidden="1">{"'Sheet1'!$A$1"}</definedName>
    <definedName name="___cad1" hidden="1">#REF!</definedName>
    <definedName name="___cad2" hidden="1">#REF!</definedName>
    <definedName name="___cad3" hidden="1">#REF!</definedName>
    <definedName name="___ERR1" localSheetId="20" hidden="1">{#N/A,#N/A,FALSE,"M.42"}</definedName>
    <definedName name="___ERR1" localSheetId="19" hidden="1">{#N/A,#N/A,FALSE,"M.42"}</definedName>
    <definedName name="___ERR1" localSheetId="26" hidden="1">{#N/A,#N/A,FALSE,"M.42"}</definedName>
    <definedName name="___ERR1" localSheetId="24" hidden="1">{#N/A,#N/A,FALSE,"M.42"}</definedName>
    <definedName name="___ERR1" localSheetId="32" hidden="1">{#N/A,#N/A,FALSE,"M.42"}</definedName>
    <definedName name="___ERR1" localSheetId="27" hidden="1">{#N/A,#N/A,FALSE,"M.42"}</definedName>
    <definedName name="___ERR1" localSheetId="28" hidden="1">{#N/A,#N/A,FALSE,"M.42"}</definedName>
    <definedName name="___ERR1" localSheetId="29" hidden="1">{#N/A,#N/A,FALSE,"M.42"}</definedName>
    <definedName name="___ERR1" localSheetId="31" hidden="1">{#N/A,#N/A,FALSE,"M.42"}</definedName>
    <definedName name="___ERR1" localSheetId="30" hidden="1">{#N/A,#N/A,FALSE,"M.42"}</definedName>
    <definedName name="___ERR1" localSheetId="17" hidden="1">{#N/A,#N/A,FALSE,"M.42"}</definedName>
    <definedName name="___ERR1" localSheetId="18" hidden="1">{#N/A,#N/A,FALSE,"M.42"}</definedName>
    <definedName name="___ERR1" hidden="1">{#N/A,#N/A,FALSE,"M.42"}</definedName>
    <definedName name="___gk2" localSheetId="32" hidden="1">#REF!</definedName>
    <definedName name="___gk2" localSheetId="42" hidden="1">#REF!</definedName>
    <definedName name="___gk2" hidden="1">#REF!</definedName>
    <definedName name="___H3" localSheetId="20" hidden="1">{"'장비'!$A$3:$M$12"}</definedName>
    <definedName name="___H3" localSheetId="19" hidden="1">{"'장비'!$A$3:$M$12"}</definedName>
    <definedName name="___H3" localSheetId="26" hidden="1">{"'장비'!$A$3:$M$12"}</definedName>
    <definedName name="___H3" localSheetId="24" hidden="1">{"'장비'!$A$3:$M$12"}</definedName>
    <definedName name="___H3" localSheetId="32" hidden="1">{"'장비'!$A$3:$M$12"}</definedName>
    <definedName name="___H3" localSheetId="27" hidden="1">{"'장비'!$A$3:$M$12"}</definedName>
    <definedName name="___H3" localSheetId="28" hidden="1">{"'장비'!$A$3:$M$12"}</definedName>
    <definedName name="___H3" localSheetId="29" hidden="1">{"'장비'!$A$3:$M$12"}</definedName>
    <definedName name="___H3" localSheetId="31" hidden="1">{"'장비'!$A$3:$M$12"}</definedName>
    <definedName name="___H3" localSheetId="30" hidden="1">{"'장비'!$A$3:$M$12"}</definedName>
    <definedName name="___H3" localSheetId="17" hidden="1">{"'장비'!$A$3:$M$12"}</definedName>
    <definedName name="___H3" localSheetId="18" hidden="1">{"'장비'!$A$3:$M$12"}</definedName>
    <definedName name="___H3" hidden="1">{"'장비'!$A$3:$M$12"}</definedName>
    <definedName name="___jkw1" localSheetId="20" hidden="1">{"'Rekap 1'!$A$1:$E$18"}</definedName>
    <definedName name="___jkw1" localSheetId="19" hidden="1">{"'Rekap 1'!$A$1:$E$18"}</definedName>
    <definedName name="___jkw1" localSheetId="26" hidden="1">{"'Rekap 1'!$A$1:$E$18"}</definedName>
    <definedName name="___jkw1" localSheetId="24" hidden="1">{"'Rekap 1'!$A$1:$E$18"}</definedName>
    <definedName name="___jkw1" localSheetId="32" hidden="1">{"'Rekap 1'!$A$1:$E$18"}</definedName>
    <definedName name="___jkw1" localSheetId="27" hidden="1">{"'Rekap 1'!$A$1:$E$18"}</definedName>
    <definedName name="___jkw1" localSheetId="28" hidden="1">{"'Rekap 1'!$A$1:$E$18"}</definedName>
    <definedName name="___jkw1" localSheetId="29" hidden="1">{"'Rekap 1'!$A$1:$E$18"}</definedName>
    <definedName name="___jkw1" localSheetId="31" hidden="1">{"'Rekap 1'!$A$1:$E$18"}</definedName>
    <definedName name="___jkw1" localSheetId="30" hidden="1">{"'Rekap 1'!$A$1:$E$18"}</definedName>
    <definedName name="___jkw1" localSheetId="17" hidden="1">{"'Rekap 1'!$A$1:$E$18"}</definedName>
    <definedName name="___jkw1" localSheetId="18" hidden="1">{"'Rekap 1'!$A$1:$E$18"}</definedName>
    <definedName name="___jkw1" hidden="1">{"'Rekap 1'!$A$1:$E$18"}</definedName>
    <definedName name="___Job01" hidden="1">#REF!</definedName>
    <definedName name="___KEY001" hidden="1">#REF!</definedName>
    <definedName name="___KEY002" hidden="1">#REF!</definedName>
    <definedName name="___KEY01" hidden="1">#REF!</definedName>
    <definedName name="___KEY02" hidden="1">#REF!</definedName>
    <definedName name="___key1" localSheetId="42" hidden="1">#REF!</definedName>
    <definedName name="___key1" hidden="1">#REF!</definedName>
    <definedName name="___PP1" localSheetId="20" hidden="1">{#N/A,#N/A,FALSE,"CCTV"}</definedName>
    <definedName name="___PP1" localSheetId="19" hidden="1">{#N/A,#N/A,FALSE,"CCTV"}</definedName>
    <definedName name="___PP1" localSheetId="26" hidden="1">{#N/A,#N/A,FALSE,"CCTV"}</definedName>
    <definedName name="___PP1" localSheetId="24" hidden="1">{#N/A,#N/A,FALSE,"CCTV"}</definedName>
    <definedName name="___PP1" localSheetId="32" hidden="1">{#N/A,#N/A,FALSE,"CCTV"}</definedName>
    <definedName name="___PP1" localSheetId="27" hidden="1">{#N/A,#N/A,FALSE,"CCTV"}</definedName>
    <definedName name="___PP1" localSheetId="28" hidden="1">{#N/A,#N/A,FALSE,"CCTV"}</definedName>
    <definedName name="___PP1" localSheetId="29" hidden="1">{#N/A,#N/A,FALSE,"CCTV"}</definedName>
    <definedName name="___PP1" localSheetId="31" hidden="1">{#N/A,#N/A,FALSE,"CCTV"}</definedName>
    <definedName name="___PP1" localSheetId="30" hidden="1">{#N/A,#N/A,FALSE,"CCTV"}</definedName>
    <definedName name="___PP1" localSheetId="17" hidden="1">{#N/A,#N/A,FALSE,"CCTV"}</definedName>
    <definedName name="___PP1" localSheetId="18" hidden="1">{#N/A,#N/A,FALSE,"CCTV"}</definedName>
    <definedName name="___PP1" hidden="1">{#N/A,#N/A,FALSE,"CCTV"}</definedName>
    <definedName name="___REV3" localSheetId="20" hidden="1">{#N/A,#N/A,FALSE,"REK-S-TPL";#N/A,#N/A,FALSE,"REK-TPML";#N/A,#N/A,FALSE,"RAB-TEMPEL"}</definedName>
    <definedName name="___REV3" localSheetId="19" hidden="1">{#N/A,#N/A,FALSE,"REK-S-TPL";#N/A,#N/A,FALSE,"REK-TPML";#N/A,#N/A,FALSE,"RAB-TEMPEL"}</definedName>
    <definedName name="___REV3" localSheetId="26" hidden="1">{#N/A,#N/A,FALSE,"REK-S-TPL";#N/A,#N/A,FALSE,"REK-TPML";#N/A,#N/A,FALSE,"RAB-TEMPEL"}</definedName>
    <definedName name="___REV3" localSheetId="24" hidden="1">{#N/A,#N/A,FALSE,"REK-S-TPL";#N/A,#N/A,FALSE,"REK-TPML";#N/A,#N/A,FALSE,"RAB-TEMPEL"}</definedName>
    <definedName name="___REV3" localSheetId="32" hidden="1">{#N/A,#N/A,FALSE,"REK-S-TPL";#N/A,#N/A,FALSE,"REK-TPML";#N/A,#N/A,FALSE,"RAB-TEMPEL"}</definedName>
    <definedName name="___REV3" localSheetId="27" hidden="1">{#N/A,#N/A,FALSE,"REK-S-TPL";#N/A,#N/A,FALSE,"REK-TPML";#N/A,#N/A,FALSE,"RAB-TEMPEL"}</definedName>
    <definedName name="___REV3" localSheetId="28" hidden="1">{#N/A,#N/A,FALSE,"REK-S-TPL";#N/A,#N/A,FALSE,"REK-TPML";#N/A,#N/A,FALSE,"RAB-TEMPEL"}</definedName>
    <definedName name="___REV3" localSheetId="29" hidden="1">{#N/A,#N/A,FALSE,"REK-S-TPL";#N/A,#N/A,FALSE,"REK-TPML";#N/A,#N/A,FALSE,"RAB-TEMPEL"}</definedName>
    <definedName name="___REV3" localSheetId="31" hidden="1">{#N/A,#N/A,FALSE,"REK-S-TPL";#N/A,#N/A,FALSE,"REK-TPML";#N/A,#N/A,FALSE,"RAB-TEMPEL"}</definedName>
    <definedName name="___REV3" localSheetId="30" hidden="1">{#N/A,#N/A,FALSE,"REK-S-TPL";#N/A,#N/A,FALSE,"REK-TPML";#N/A,#N/A,FALSE,"RAB-TEMPEL"}</definedName>
    <definedName name="___REV3" localSheetId="17" hidden="1">{#N/A,#N/A,FALSE,"REK-S-TPL";#N/A,#N/A,FALSE,"REK-TPML";#N/A,#N/A,FALSE,"RAB-TEMPEL"}</definedName>
    <definedName name="___REV3" localSheetId="18" hidden="1">{#N/A,#N/A,FALSE,"REK-S-TPL";#N/A,#N/A,FALSE,"REK-TPML";#N/A,#N/A,FALSE,"RAB-TEMPEL"}</definedName>
    <definedName name="___REV3" hidden="1">{#N/A,#N/A,FALSE,"REK-S-TPL";#N/A,#N/A,FALSE,"REK-TPML";#N/A,#N/A,FALSE,"RAB-TEMPEL"}</definedName>
    <definedName name="___sh3" localSheetId="20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___sh3" localSheetId="19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___sh3" localSheetId="26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___sh3" localSheetId="24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___sh3" localSheetId="32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___sh3" localSheetId="27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___sh3" localSheetId="28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___sh3" localSheetId="29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___sh3" localSheetId="31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___sh3" localSheetId="30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___sh3" localSheetId="17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___sh3" localSheetId="18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___sh3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___SLA2009" localSheetId="20" hidden="1">{#N/A,#N/A,FALSE,"M.32"}</definedName>
    <definedName name="___SLA2009" localSheetId="19" hidden="1">{#N/A,#N/A,FALSE,"M.32"}</definedName>
    <definedName name="___SLA2009" localSheetId="26" hidden="1">{#N/A,#N/A,FALSE,"M.32"}</definedName>
    <definedName name="___SLA2009" localSheetId="24" hidden="1">{#N/A,#N/A,FALSE,"M.32"}</definedName>
    <definedName name="___SLA2009" localSheetId="32" hidden="1">{#N/A,#N/A,FALSE,"M.32"}</definedName>
    <definedName name="___SLA2009" localSheetId="27" hidden="1">{#N/A,#N/A,FALSE,"M.32"}</definedName>
    <definedName name="___SLA2009" localSheetId="28" hidden="1">{#N/A,#N/A,FALSE,"M.32"}</definedName>
    <definedName name="___SLA2009" localSheetId="29" hidden="1">{#N/A,#N/A,FALSE,"M.32"}</definedName>
    <definedName name="___SLA2009" localSheetId="31" hidden="1">{#N/A,#N/A,FALSE,"M.32"}</definedName>
    <definedName name="___SLA2009" localSheetId="30" hidden="1">{#N/A,#N/A,FALSE,"M.32"}</definedName>
    <definedName name="___SLA2009" localSheetId="17" hidden="1">{#N/A,#N/A,FALSE,"M.32"}</definedName>
    <definedName name="___SLA2009" localSheetId="18" hidden="1">{#N/A,#N/A,FALSE,"M.32"}</definedName>
    <definedName name="___SLA2009" hidden="1">{#N/A,#N/A,FALSE,"M.32"}</definedName>
    <definedName name="___t1" localSheetId="20" hidden="1">{"Offgrid",#N/A,FALSE,"OFFGRID";"Region",#N/A,FALSE,"REGION";"Offgrid -2",#N/A,FALSE,"OFFGRID";"WTP",#N/A,FALSE,"WTP";"WTP -2",#N/A,FALSE,"WTP";"Project",#N/A,FALSE,"PROJECT";"Summary -2",#N/A,FALSE,"SUMMARY"}</definedName>
    <definedName name="___t1" localSheetId="19" hidden="1">{"Offgrid",#N/A,FALSE,"OFFGRID";"Region",#N/A,FALSE,"REGION";"Offgrid -2",#N/A,FALSE,"OFFGRID";"WTP",#N/A,FALSE,"WTP";"WTP -2",#N/A,FALSE,"WTP";"Project",#N/A,FALSE,"PROJECT";"Summary -2",#N/A,FALSE,"SUMMARY"}</definedName>
    <definedName name="___t1" localSheetId="26" hidden="1">{"Offgrid",#N/A,FALSE,"OFFGRID";"Region",#N/A,FALSE,"REGION";"Offgrid -2",#N/A,FALSE,"OFFGRID";"WTP",#N/A,FALSE,"WTP";"WTP -2",#N/A,FALSE,"WTP";"Project",#N/A,FALSE,"PROJECT";"Summary -2",#N/A,FALSE,"SUMMARY"}</definedName>
    <definedName name="___t1" localSheetId="24" hidden="1">{"Offgrid",#N/A,FALSE,"OFFGRID";"Region",#N/A,FALSE,"REGION";"Offgrid -2",#N/A,FALSE,"OFFGRID";"WTP",#N/A,FALSE,"WTP";"WTP -2",#N/A,FALSE,"WTP";"Project",#N/A,FALSE,"PROJECT";"Summary -2",#N/A,FALSE,"SUMMARY"}</definedName>
    <definedName name="___t1" localSheetId="32" hidden="1">{"Offgrid",#N/A,FALSE,"OFFGRID";"Region",#N/A,FALSE,"REGION";"Offgrid -2",#N/A,FALSE,"OFFGRID";"WTP",#N/A,FALSE,"WTP";"WTP -2",#N/A,FALSE,"WTP";"Project",#N/A,FALSE,"PROJECT";"Summary -2",#N/A,FALSE,"SUMMARY"}</definedName>
    <definedName name="___t1" localSheetId="27" hidden="1">{"Offgrid",#N/A,FALSE,"OFFGRID";"Region",#N/A,FALSE,"REGION";"Offgrid -2",#N/A,FALSE,"OFFGRID";"WTP",#N/A,FALSE,"WTP";"WTP -2",#N/A,FALSE,"WTP";"Project",#N/A,FALSE,"PROJECT";"Summary -2",#N/A,FALSE,"SUMMARY"}</definedName>
    <definedName name="___t1" localSheetId="28" hidden="1">{"Offgrid",#N/A,FALSE,"OFFGRID";"Region",#N/A,FALSE,"REGION";"Offgrid -2",#N/A,FALSE,"OFFGRID";"WTP",#N/A,FALSE,"WTP";"WTP -2",#N/A,FALSE,"WTP";"Project",#N/A,FALSE,"PROJECT";"Summary -2",#N/A,FALSE,"SUMMARY"}</definedName>
    <definedName name="___t1" localSheetId="29" hidden="1">{"Offgrid",#N/A,FALSE,"OFFGRID";"Region",#N/A,FALSE,"REGION";"Offgrid -2",#N/A,FALSE,"OFFGRID";"WTP",#N/A,FALSE,"WTP";"WTP -2",#N/A,FALSE,"WTP";"Project",#N/A,FALSE,"PROJECT";"Summary -2",#N/A,FALSE,"SUMMARY"}</definedName>
    <definedName name="___t1" localSheetId="31" hidden="1">{"Offgrid",#N/A,FALSE,"OFFGRID";"Region",#N/A,FALSE,"REGION";"Offgrid -2",#N/A,FALSE,"OFFGRID";"WTP",#N/A,FALSE,"WTP";"WTP -2",#N/A,FALSE,"WTP";"Project",#N/A,FALSE,"PROJECT";"Summary -2",#N/A,FALSE,"SUMMARY"}</definedName>
    <definedName name="___t1" localSheetId="30" hidden="1">{"Offgrid",#N/A,FALSE,"OFFGRID";"Region",#N/A,FALSE,"REGION";"Offgrid -2",#N/A,FALSE,"OFFGRID";"WTP",#N/A,FALSE,"WTP";"WTP -2",#N/A,FALSE,"WTP";"Project",#N/A,FALSE,"PROJECT";"Summary -2",#N/A,FALSE,"SUMMARY"}</definedName>
    <definedName name="___t1" localSheetId="17" hidden="1">{"Offgrid",#N/A,FALSE,"OFFGRID";"Region",#N/A,FALSE,"REGION";"Offgrid -2",#N/A,FALSE,"OFFGRID";"WTP",#N/A,FALSE,"WTP";"WTP -2",#N/A,FALSE,"WTP";"Project",#N/A,FALSE,"PROJECT";"Summary -2",#N/A,FALSE,"SUMMARY"}</definedName>
    <definedName name="___t1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t1" hidden="1">{"Offgrid",#N/A,FALSE,"OFFGRID";"Region",#N/A,FALSE,"REGION";"Offgrid -2",#N/A,FALSE,"OFFGRID";"WTP",#N/A,FALSE,"WTP";"WTP -2",#N/A,FALSE,"WTP";"Project",#N/A,FALSE,"PROJECT";"Summary -2",#N/A,FALSE,"SUMMARY"}</definedName>
    <definedName name="___t2" localSheetId="20" hidden="1">{"Offgrid",#N/A,FALSE,"OFFGRID";"Region",#N/A,FALSE,"REGION";"Offgrid -2",#N/A,FALSE,"OFFGRID";"WTP",#N/A,FALSE,"WTP";"WTP -2",#N/A,FALSE,"WTP";"Project",#N/A,FALSE,"PROJECT";"Summary -2",#N/A,FALSE,"SUMMARY"}</definedName>
    <definedName name="___t2" localSheetId="19" hidden="1">{"Offgrid",#N/A,FALSE,"OFFGRID";"Region",#N/A,FALSE,"REGION";"Offgrid -2",#N/A,FALSE,"OFFGRID";"WTP",#N/A,FALSE,"WTP";"WTP -2",#N/A,FALSE,"WTP";"Project",#N/A,FALSE,"PROJECT";"Summary -2",#N/A,FALSE,"SUMMARY"}</definedName>
    <definedName name="___t2" localSheetId="26" hidden="1">{"Offgrid",#N/A,FALSE,"OFFGRID";"Region",#N/A,FALSE,"REGION";"Offgrid -2",#N/A,FALSE,"OFFGRID";"WTP",#N/A,FALSE,"WTP";"WTP -2",#N/A,FALSE,"WTP";"Project",#N/A,FALSE,"PROJECT";"Summary -2",#N/A,FALSE,"SUMMARY"}</definedName>
    <definedName name="___t2" localSheetId="24" hidden="1">{"Offgrid",#N/A,FALSE,"OFFGRID";"Region",#N/A,FALSE,"REGION";"Offgrid -2",#N/A,FALSE,"OFFGRID";"WTP",#N/A,FALSE,"WTP";"WTP -2",#N/A,FALSE,"WTP";"Project",#N/A,FALSE,"PROJECT";"Summary -2",#N/A,FALSE,"SUMMARY"}</definedName>
    <definedName name="___t2" localSheetId="32" hidden="1">{"Offgrid",#N/A,FALSE,"OFFGRID";"Region",#N/A,FALSE,"REGION";"Offgrid -2",#N/A,FALSE,"OFFGRID";"WTP",#N/A,FALSE,"WTP";"WTP -2",#N/A,FALSE,"WTP";"Project",#N/A,FALSE,"PROJECT";"Summary -2",#N/A,FALSE,"SUMMARY"}</definedName>
    <definedName name="___t2" localSheetId="27" hidden="1">{"Offgrid",#N/A,FALSE,"OFFGRID";"Region",#N/A,FALSE,"REGION";"Offgrid -2",#N/A,FALSE,"OFFGRID";"WTP",#N/A,FALSE,"WTP";"WTP -2",#N/A,FALSE,"WTP";"Project",#N/A,FALSE,"PROJECT";"Summary -2",#N/A,FALSE,"SUMMARY"}</definedName>
    <definedName name="___t2" localSheetId="28" hidden="1">{"Offgrid",#N/A,FALSE,"OFFGRID";"Region",#N/A,FALSE,"REGION";"Offgrid -2",#N/A,FALSE,"OFFGRID";"WTP",#N/A,FALSE,"WTP";"WTP -2",#N/A,FALSE,"WTP";"Project",#N/A,FALSE,"PROJECT";"Summary -2",#N/A,FALSE,"SUMMARY"}</definedName>
    <definedName name="___t2" localSheetId="29" hidden="1">{"Offgrid",#N/A,FALSE,"OFFGRID";"Region",#N/A,FALSE,"REGION";"Offgrid -2",#N/A,FALSE,"OFFGRID";"WTP",#N/A,FALSE,"WTP";"WTP -2",#N/A,FALSE,"WTP";"Project",#N/A,FALSE,"PROJECT";"Summary -2",#N/A,FALSE,"SUMMARY"}</definedName>
    <definedName name="___t2" localSheetId="31" hidden="1">{"Offgrid",#N/A,FALSE,"OFFGRID";"Region",#N/A,FALSE,"REGION";"Offgrid -2",#N/A,FALSE,"OFFGRID";"WTP",#N/A,FALSE,"WTP";"WTP -2",#N/A,FALSE,"WTP";"Project",#N/A,FALSE,"PROJECT";"Summary -2",#N/A,FALSE,"SUMMARY"}</definedName>
    <definedName name="___t2" localSheetId="30" hidden="1">{"Offgrid",#N/A,FALSE,"OFFGRID";"Region",#N/A,FALSE,"REGION";"Offgrid -2",#N/A,FALSE,"OFFGRID";"WTP",#N/A,FALSE,"WTP";"WTP -2",#N/A,FALSE,"WTP";"Project",#N/A,FALSE,"PROJECT";"Summary -2",#N/A,FALSE,"SUMMARY"}</definedName>
    <definedName name="___t2" localSheetId="17" hidden="1">{"Offgrid",#N/A,FALSE,"OFFGRID";"Region",#N/A,FALSE,"REGION";"Offgrid -2",#N/A,FALSE,"OFFGRID";"WTP",#N/A,FALSE,"WTP";"WTP -2",#N/A,FALSE,"WTP";"Project",#N/A,FALSE,"PROJECT";"Summary -2",#N/A,FALSE,"SUMMARY"}</definedName>
    <definedName name="___t2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t2" hidden="1">{"Offgrid",#N/A,FALSE,"OFFGRID";"Region",#N/A,FALSE,"REGION";"Offgrid -2",#N/A,FALSE,"OFFGRID";"WTP",#N/A,FALSE,"WTP";"WTP -2",#N/A,FALSE,"WTP";"Project",#N/A,FALSE,"PROJECT";"Summary -2",#N/A,FALSE,"SUMMARY"}</definedName>
    <definedName name="___t3" localSheetId="20" hidden="1">{"Offgrid",#N/A,FALSE,"OFFGRID";"Region",#N/A,FALSE,"REGION";"Offgrid -2",#N/A,FALSE,"OFFGRID";"WTP",#N/A,FALSE,"WTP";"WTP -2",#N/A,FALSE,"WTP";"Project",#N/A,FALSE,"PROJECT";"Summary -2",#N/A,FALSE,"SUMMARY"}</definedName>
    <definedName name="___t3" localSheetId="19" hidden="1">{"Offgrid",#N/A,FALSE,"OFFGRID";"Region",#N/A,FALSE,"REGION";"Offgrid -2",#N/A,FALSE,"OFFGRID";"WTP",#N/A,FALSE,"WTP";"WTP -2",#N/A,FALSE,"WTP";"Project",#N/A,FALSE,"PROJECT";"Summary -2",#N/A,FALSE,"SUMMARY"}</definedName>
    <definedName name="___t3" localSheetId="26" hidden="1">{"Offgrid",#N/A,FALSE,"OFFGRID";"Region",#N/A,FALSE,"REGION";"Offgrid -2",#N/A,FALSE,"OFFGRID";"WTP",#N/A,FALSE,"WTP";"WTP -2",#N/A,FALSE,"WTP";"Project",#N/A,FALSE,"PROJECT";"Summary -2",#N/A,FALSE,"SUMMARY"}</definedName>
    <definedName name="___t3" localSheetId="24" hidden="1">{"Offgrid",#N/A,FALSE,"OFFGRID";"Region",#N/A,FALSE,"REGION";"Offgrid -2",#N/A,FALSE,"OFFGRID";"WTP",#N/A,FALSE,"WTP";"WTP -2",#N/A,FALSE,"WTP";"Project",#N/A,FALSE,"PROJECT";"Summary -2",#N/A,FALSE,"SUMMARY"}</definedName>
    <definedName name="___t3" localSheetId="32" hidden="1">{"Offgrid",#N/A,FALSE,"OFFGRID";"Region",#N/A,FALSE,"REGION";"Offgrid -2",#N/A,FALSE,"OFFGRID";"WTP",#N/A,FALSE,"WTP";"WTP -2",#N/A,FALSE,"WTP";"Project",#N/A,FALSE,"PROJECT";"Summary -2",#N/A,FALSE,"SUMMARY"}</definedName>
    <definedName name="___t3" localSheetId="27" hidden="1">{"Offgrid",#N/A,FALSE,"OFFGRID";"Region",#N/A,FALSE,"REGION";"Offgrid -2",#N/A,FALSE,"OFFGRID";"WTP",#N/A,FALSE,"WTP";"WTP -2",#N/A,FALSE,"WTP";"Project",#N/A,FALSE,"PROJECT";"Summary -2",#N/A,FALSE,"SUMMARY"}</definedName>
    <definedName name="___t3" localSheetId="28" hidden="1">{"Offgrid",#N/A,FALSE,"OFFGRID";"Region",#N/A,FALSE,"REGION";"Offgrid -2",#N/A,FALSE,"OFFGRID";"WTP",#N/A,FALSE,"WTP";"WTP -2",#N/A,FALSE,"WTP";"Project",#N/A,FALSE,"PROJECT";"Summary -2",#N/A,FALSE,"SUMMARY"}</definedName>
    <definedName name="___t3" localSheetId="29" hidden="1">{"Offgrid",#N/A,FALSE,"OFFGRID";"Region",#N/A,FALSE,"REGION";"Offgrid -2",#N/A,FALSE,"OFFGRID";"WTP",#N/A,FALSE,"WTP";"WTP -2",#N/A,FALSE,"WTP";"Project",#N/A,FALSE,"PROJECT";"Summary -2",#N/A,FALSE,"SUMMARY"}</definedName>
    <definedName name="___t3" localSheetId="31" hidden="1">{"Offgrid",#N/A,FALSE,"OFFGRID";"Region",#N/A,FALSE,"REGION";"Offgrid -2",#N/A,FALSE,"OFFGRID";"WTP",#N/A,FALSE,"WTP";"WTP -2",#N/A,FALSE,"WTP";"Project",#N/A,FALSE,"PROJECT";"Summary -2",#N/A,FALSE,"SUMMARY"}</definedName>
    <definedName name="___t3" localSheetId="30" hidden="1">{"Offgrid",#N/A,FALSE,"OFFGRID";"Region",#N/A,FALSE,"REGION";"Offgrid -2",#N/A,FALSE,"OFFGRID";"WTP",#N/A,FALSE,"WTP";"WTP -2",#N/A,FALSE,"WTP";"Project",#N/A,FALSE,"PROJECT";"Summary -2",#N/A,FALSE,"SUMMARY"}</definedName>
    <definedName name="___t3" localSheetId="17" hidden="1">{"Offgrid",#N/A,FALSE,"OFFGRID";"Region",#N/A,FALSE,"REGION";"Offgrid -2",#N/A,FALSE,"OFFGRID";"WTP",#N/A,FALSE,"WTP";"WTP -2",#N/A,FALSE,"WTP";"Project",#N/A,FALSE,"PROJECT";"Summary -2",#N/A,FALSE,"SUMMARY"}</definedName>
    <definedName name="___t3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_t3" hidden="1">{"Offgrid",#N/A,FALSE,"OFFGRID";"Region",#N/A,FALSE,"REGION";"Offgrid -2",#N/A,FALSE,"OFFGRID";"WTP",#N/A,FALSE,"WTP";"WTP -2",#N/A,FALSE,"WTP";"Project",#N/A,FALSE,"PROJECT";"Summary -2",#N/A,FALSE,"SUMMARY"}</definedName>
    <definedName name="___TH1" localSheetId="20" hidden="1">{#N/A,#N/A,FALSE,"M.34"}</definedName>
    <definedName name="___TH1" localSheetId="19" hidden="1">{#N/A,#N/A,FALSE,"M.34"}</definedName>
    <definedName name="___TH1" localSheetId="26" hidden="1">{#N/A,#N/A,FALSE,"M.34"}</definedName>
    <definedName name="___TH1" localSheetId="24" hidden="1">{#N/A,#N/A,FALSE,"M.34"}</definedName>
    <definedName name="___TH1" localSheetId="32" hidden="1">{#N/A,#N/A,FALSE,"M.34"}</definedName>
    <definedName name="___TH1" localSheetId="27" hidden="1">{#N/A,#N/A,FALSE,"M.34"}</definedName>
    <definedName name="___TH1" localSheetId="28" hidden="1">{#N/A,#N/A,FALSE,"M.34"}</definedName>
    <definedName name="___TH1" localSheetId="29" hidden="1">{#N/A,#N/A,FALSE,"M.34"}</definedName>
    <definedName name="___TH1" localSheetId="31" hidden="1">{#N/A,#N/A,FALSE,"M.34"}</definedName>
    <definedName name="___TH1" localSheetId="30" hidden="1">{#N/A,#N/A,FALSE,"M.34"}</definedName>
    <definedName name="___TH1" localSheetId="17" hidden="1">{#N/A,#N/A,FALSE,"M.34"}</definedName>
    <definedName name="___TH1" localSheetId="18" hidden="1">{#N/A,#N/A,FALSE,"M.34"}</definedName>
    <definedName name="___TH1" hidden="1">{#N/A,#N/A,FALSE,"M.34"}</definedName>
    <definedName name="___th2" localSheetId="20" hidden="1">{#N/A,#N/A,FALSE,"M.42"}</definedName>
    <definedName name="___th2" localSheetId="19" hidden="1">{#N/A,#N/A,FALSE,"M.42"}</definedName>
    <definedName name="___th2" localSheetId="26" hidden="1">{#N/A,#N/A,FALSE,"M.42"}</definedName>
    <definedName name="___th2" localSheetId="24" hidden="1">{#N/A,#N/A,FALSE,"M.42"}</definedName>
    <definedName name="___th2" localSheetId="32" hidden="1">{#N/A,#N/A,FALSE,"M.42"}</definedName>
    <definedName name="___th2" localSheetId="27" hidden="1">{#N/A,#N/A,FALSE,"M.42"}</definedName>
    <definedName name="___th2" localSheetId="28" hidden="1">{#N/A,#N/A,FALSE,"M.42"}</definedName>
    <definedName name="___th2" localSheetId="29" hidden="1">{#N/A,#N/A,FALSE,"M.42"}</definedName>
    <definedName name="___th2" localSheetId="31" hidden="1">{#N/A,#N/A,FALSE,"M.42"}</definedName>
    <definedName name="___th2" localSheetId="30" hidden="1">{#N/A,#N/A,FALSE,"M.42"}</definedName>
    <definedName name="___th2" localSheetId="17" hidden="1">{#N/A,#N/A,FALSE,"M.42"}</definedName>
    <definedName name="___th2" localSheetId="18" hidden="1">{#N/A,#N/A,FALSE,"M.42"}</definedName>
    <definedName name="___th2" hidden="1">{#N/A,#N/A,FALSE,"M.42"}</definedName>
    <definedName name="___xlfn.BAHTTEXT" hidden="1">#NAME?</definedName>
    <definedName name="___YA1" localSheetId="20" hidden="1">{"'1996'!$A$1:$J$272"}</definedName>
    <definedName name="___YA1" localSheetId="19" hidden="1">{"'1996'!$A$1:$J$272"}</definedName>
    <definedName name="___YA1" localSheetId="26" hidden="1">{"'1996'!$A$1:$J$272"}</definedName>
    <definedName name="___YA1" localSheetId="24" hidden="1">{"'1996'!$A$1:$J$272"}</definedName>
    <definedName name="___YA1" localSheetId="32" hidden="1">{"'1996'!$A$1:$J$272"}</definedName>
    <definedName name="___YA1" localSheetId="27" hidden="1">{"'1996'!$A$1:$J$272"}</definedName>
    <definedName name="___YA1" localSheetId="28" hidden="1">{"'1996'!$A$1:$J$272"}</definedName>
    <definedName name="___YA1" localSheetId="29" hidden="1">{"'1996'!$A$1:$J$272"}</definedName>
    <definedName name="___YA1" localSheetId="31" hidden="1">{"'1996'!$A$1:$J$272"}</definedName>
    <definedName name="___YA1" localSheetId="30" hidden="1">{"'1996'!$A$1:$J$272"}</definedName>
    <definedName name="___YA1" localSheetId="17" hidden="1">{"'1996'!$A$1:$J$272"}</definedName>
    <definedName name="___YA1" localSheetId="18" hidden="1">{"'1996'!$A$1:$J$272"}</definedName>
    <definedName name="___YA1" hidden="1">{"'1996'!$A$1:$J$272"}</definedName>
    <definedName name="___ya2" localSheetId="20" hidden="1">{"'1996'!$A$1:$J$272"}</definedName>
    <definedName name="___ya2" localSheetId="19" hidden="1">{"'1996'!$A$1:$J$272"}</definedName>
    <definedName name="___ya2" localSheetId="26" hidden="1">{"'1996'!$A$1:$J$272"}</definedName>
    <definedName name="___ya2" localSheetId="24" hidden="1">{"'1996'!$A$1:$J$272"}</definedName>
    <definedName name="___ya2" localSheetId="32" hidden="1">{"'1996'!$A$1:$J$272"}</definedName>
    <definedName name="___ya2" localSheetId="27" hidden="1">{"'1996'!$A$1:$J$272"}</definedName>
    <definedName name="___ya2" localSheetId="28" hidden="1">{"'1996'!$A$1:$J$272"}</definedName>
    <definedName name="___ya2" localSheetId="29" hidden="1">{"'1996'!$A$1:$J$272"}</definedName>
    <definedName name="___ya2" localSheetId="31" hidden="1">{"'1996'!$A$1:$J$272"}</definedName>
    <definedName name="___ya2" localSheetId="30" hidden="1">{"'1996'!$A$1:$J$272"}</definedName>
    <definedName name="___ya2" localSheetId="17" hidden="1">{"'1996'!$A$1:$J$272"}</definedName>
    <definedName name="___ya2" localSheetId="18" hidden="1">{"'1996'!$A$1:$J$272"}</definedName>
    <definedName name="___ya2" hidden="1">{"'1996'!$A$1:$J$272"}</definedName>
    <definedName name="__1________________________________________________________________123Graph_AChart_2A" hidden="1">#REF!</definedName>
    <definedName name="__1___________123Graph_ACHART_1" hidden="1">#REF!</definedName>
    <definedName name="__1__123Graph_ACHART_1" hidden="1">#REF!</definedName>
    <definedName name="__1__123Graph_ACHART_2" hidden="1">#REF!</definedName>
    <definedName name="__10______________________________________________________________123Graph_AChart_3A" hidden="1">#REF!</definedName>
    <definedName name="__10__123Graph_ACHART_2" hidden="1">#REF!</definedName>
    <definedName name="__100________________________________________123Graph_XChart_3A" hidden="1">#REF!</definedName>
    <definedName name="__101_______________________________________123Graph_AChart_2A" hidden="1">#REF!</definedName>
    <definedName name="__102_______________________________________123Graph_AChart_3A" hidden="1">#REF!</definedName>
    <definedName name="__103_______________________________________123Graph_XChart_2A" hidden="1">#REF!</definedName>
    <definedName name="__104_______________________________________123Graph_XChart_3A" hidden="1">#REF!</definedName>
    <definedName name="__105______________________________________123Graph_AChart_2A" hidden="1">#REF!</definedName>
    <definedName name="__106______________________________________123Graph_AChart_3A" hidden="1">#REF!</definedName>
    <definedName name="__107______________________________________123Graph_XChart_2A" hidden="1">#REF!</definedName>
    <definedName name="__108______________________________________123Graph_XChart_3A" hidden="1">#REF!</definedName>
    <definedName name="__109_____________________________________123Graph_AChart_2A" hidden="1">#REF!</definedName>
    <definedName name="__11______________________________________________________________123Graph_XChart_2A" hidden="1">#REF!</definedName>
    <definedName name="__11__123Graph_ACHART_20" hidden="1">#REF!</definedName>
    <definedName name="__110_____________________________________123Graph_AChart_3A" hidden="1">#REF!</definedName>
    <definedName name="__111_____________________________________123Graph_XChart_2A" hidden="1">#REF!</definedName>
    <definedName name="__112_____________________________________123Graph_XChart_3A" hidden="1">#REF!</definedName>
    <definedName name="__113____________________________________123Graph_AChart_2A" hidden="1">#REF!</definedName>
    <definedName name="__114____________________________________123Graph_AChart_3A" hidden="1">#REF!</definedName>
    <definedName name="__115____________________________________123Graph_XChart_2A" hidden="1">#REF!</definedName>
    <definedName name="__116____________________________________123Graph_XChart_3A" hidden="1">#REF!</definedName>
    <definedName name="__117___________________________________123Graph_AChart_2A" hidden="1">#REF!</definedName>
    <definedName name="__118___________________________________123Graph_AChart_3A" hidden="1">#REF!</definedName>
    <definedName name="__119___________________________________123Graph_XChart_2A" hidden="1">#REF!</definedName>
    <definedName name="__12______________________________________________________________123Graph_XChart_3A" hidden="1">#REF!</definedName>
    <definedName name="__12__123Graph_ACHART_21" hidden="1">#REF!</definedName>
    <definedName name="__120___________________________________123Graph_XChart_3A" hidden="1">#REF!</definedName>
    <definedName name="__121__________________________________123Graph_AChart_2A" hidden="1">#REF!</definedName>
    <definedName name="__122__________________________________123Graph_AChart_3A" hidden="1">#REF!</definedName>
    <definedName name="__123__________________________________123Graph_XChart_2A" hidden="1">#REF!</definedName>
    <definedName name="__12343" hidden="1">#REF!</definedName>
    <definedName name="__123546rr" hidden="1">#REF!</definedName>
    <definedName name="__123Graph_A" localSheetId="13" hidden="1">#REF!</definedName>
    <definedName name="__123Graph_A" localSheetId="41" hidden="1">#REF!</definedName>
    <definedName name="__123Graph_A" localSheetId="42" hidden="1">#REF!</definedName>
    <definedName name="__123Graph_A" hidden="1">#REF!</definedName>
    <definedName name="__123Graph_AADT" hidden="1">#REF!</definedName>
    <definedName name="__123Graph_AESA" hidden="1">#REF!</definedName>
    <definedName name="__123Graph_AG31" localSheetId="42" hidden="1">#REF!</definedName>
    <definedName name="__123Graph_AG31" hidden="1">#REF!</definedName>
    <definedName name="__123Graph_AG32" localSheetId="42" hidden="1">#REF!</definedName>
    <definedName name="__123Graph_AG32" hidden="1">#REF!</definedName>
    <definedName name="__123Graph_AG33" hidden="1">#REF!</definedName>
    <definedName name="__123Graph_AG34" hidden="1">#REF!</definedName>
    <definedName name="__123Graph_AGR1" hidden="1">#REF!</definedName>
    <definedName name="__123Graph_AIRR_EQ" hidden="1">#REF!</definedName>
    <definedName name="__123Graph_AMAIN" hidden="1">#REF!</definedName>
    <definedName name="__123Graph_B" localSheetId="42" hidden="1">#REF!</definedName>
    <definedName name="__123Graph_B" hidden="1">#REF!</definedName>
    <definedName name="__123Graph_BADT" hidden="1">#REF!</definedName>
    <definedName name="__123Graph_BESA" hidden="1">#REF!</definedName>
    <definedName name="__123Graph_BG31" hidden="1">#REF!</definedName>
    <definedName name="__123Graph_BG32" hidden="1">#REF!</definedName>
    <definedName name="__123Graph_BG33" hidden="1">#REF!</definedName>
    <definedName name="__123Graph_BG34" hidden="1">#REF!</definedName>
    <definedName name="__123Graph_BGR1" hidden="1">#REF!</definedName>
    <definedName name="__123Graph_BMAIN" hidden="1">#REF!</definedName>
    <definedName name="__123Graph_C" localSheetId="42" hidden="1">#REF!</definedName>
    <definedName name="__123Graph_C" hidden="1">#REF!</definedName>
    <definedName name="__123Graph_ca" hidden="1">#REF!</definedName>
    <definedName name="__123Graph_CADT" hidden="1">#REF!</definedName>
    <definedName name="__123Graph_CESA" hidden="1">#REF!</definedName>
    <definedName name="__123Graph_CGR1" hidden="1">#REF!</definedName>
    <definedName name="__123Graph_D" hidden="1">#REF!</definedName>
    <definedName name="__123Graph_E" localSheetId="42" hidden="1">#REF!</definedName>
    <definedName name="__123Graph_E" hidden="1">#REF!</definedName>
    <definedName name="__123Graph_F" localSheetId="42" hidden="1">#REF!</definedName>
    <definedName name="__123Graph_F" hidden="1">#REF!</definedName>
    <definedName name="__123Graph_LBL_A" hidden="1">#REF!</definedName>
    <definedName name="__123Graph_LBL_AGR1" hidden="1">#REF!</definedName>
    <definedName name="__123Graph_LBL_AGR4" hidden="1">#REF!</definedName>
    <definedName name="__123Graph_LBL_B" hidden="1">#REF!</definedName>
    <definedName name="__123Graph_LBL_Ba" hidden="1">#REF!</definedName>
    <definedName name="__123Graph_LBL_BGR1" hidden="1">#REF!</definedName>
    <definedName name="__123Graph_LBL_C" hidden="1">#REF!</definedName>
    <definedName name="__123Graph_LBL_CGR1" hidden="1">#REF!</definedName>
    <definedName name="__123Graph_X" localSheetId="42" hidden="1">#REF!</definedName>
    <definedName name="__123Graph_X" hidden="1">#REF!</definedName>
    <definedName name="__123Graph_XADT" hidden="1">#REF!</definedName>
    <definedName name="__123Graph_XESA" hidden="1">#REF!</definedName>
    <definedName name="__123Graph_XG31" hidden="1">#REF!</definedName>
    <definedName name="__123Graph_XG32" hidden="1">#REF!</definedName>
    <definedName name="__123Graph_XG33" hidden="1">#REF!</definedName>
    <definedName name="__123Graph_XG34" hidden="1">#REF!</definedName>
    <definedName name="__123Graph_XGR1" hidden="1">#REF!</definedName>
    <definedName name="__123Graph_XIRR_EQ" hidden="1">#REF!</definedName>
    <definedName name="__123Graph_XMAIN" hidden="1">#REF!</definedName>
    <definedName name="__123Graphd" hidden="1">#REF!</definedName>
    <definedName name="__124__________________________________123Graph_XChart_3A" hidden="1">#REF!</definedName>
    <definedName name="__125_________________________________123Graph_AChart_2A" hidden="1">#REF!</definedName>
    <definedName name="__126_________________________________123Graph_AChart_3A" hidden="1">#REF!</definedName>
    <definedName name="__127_________________________________123Graph_XChart_2A" hidden="1">#REF!</definedName>
    <definedName name="__128_________________________________123Graph_XChart_3A" hidden="1">#REF!</definedName>
    <definedName name="__129________________________________123Graph_AChart_2A" hidden="1">#REF!</definedName>
    <definedName name="__13_____________________________________________________________123Graph_AChart_2A" hidden="1">#REF!</definedName>
    <definedName name="__13__123Graph_ACHART_22" hidden="1">#REF!</definedName>
    <definedName name="__130________________________________123Graph_AChart_3A" hidden="1">#REF!</definedName>
    <definedName name="__131________________________________123Graph_XChart_2A" hidden="1">#REF!</definedName>
    <definedName name="__132________________________________123Graph_XChart_3A" hidden="1">#REF!</definedName>
    <definedName name="__133_______________________________123Graph_AChart_2A" hidden="1">#REF!</definedName>
    <definedName name="__134_______________________________123Graph_AChart_3A" hidden="1">#REF!</definedName>
    <definedName name="__135_______________________________123Graph_XChart_2A" hidden="1">#REF!</definedName>
    <definedName name="__136_______________________________123Graph_XChart_3A" hidden="1">#REF!</definedName>
    <definedName name="__137______________________________123Graph_AChart_2A" hidden="1">#REF!</definedName>
    <definedName name="__138______________________________123Graph_AChart_3A" hidden="1">#REF!</definedName>
    <definedName name="__139______________________________123Graph_XChart_2A" hidden="1">#REF!</definedName>
    <definedName name="__14_____________________________________________________________123Graph_AChart_3A" hidden="1">#REF!</definedName>
    <definedName name="__14__123Graph_ACHART_23" hidden="1">#REF!</definedName>
    <definedName name="__140______________________________123Graph_XChart_3A" hidden="1">#REF!</definedName>
    <definedName name="__141_____________________________123Graph_AChart_2A" hidden="1">#REF!</definedName>
    <definedName name="__142_____________________________123Graph_AChart_3A" hidden="1">#REF!</definedName>
    <definedName name="__143_____________________________123Graph_XChart_2A" hidden="1">#REF!</definedName>
    <definedName name="__144_____________________________123Graph_XChart_3A" hidden="1">#REF!</definedName>
    <definedName name="__145____________________________123Graph_AChart_2A" hidden="1">#REF!</definedName>
    <definedName name="__146____________________________123Graph_AChart_3A" hidden="1">#REF!</definedName>
    <definedName name="__147____________________________123Graph_XChart_2A" hidden="1">#REF!</definedName>
    <definedName name="__148____________________________123Graph_XChart_3A" hidden="1">#REF!</definedName>
    <definedName name="__149___________________________123Graph_AChart_2A" hidden="1">#REF!</definedName>
    <definedName name="__15_____________________________________________________________123Graph_XChart_2A" hidden="1">#REF!</definedName>
    <definedName name="__15__123Graph_ACHART_24" hidden="1">#REF!</definedName>
    <definedName name="__150___________________________123Graph_AChart_3A" hidden="1">#REF!</definedName>
    <definedName name="__151___________________________123Graph_XChart_2A" hidden="1">#REF!</definedName>
    <definedName name="__152___________________________123Graph_XChart_3A" hidden="1">#REF!</definedName>
    <definedName name="__153__________________________123Graph_AChart_2A" hidden="1">#REF!</definedName>
    <definedName name="__154__________________________123Graph_AChart_3A" hidden="1">#REF!</definedName>
    <definedName name="__155__________________________123Graph_XChart_2A" hidden="1">#REF!</definedName>
    <definedName name="__156__________________________123Graph_XChart_3A" hidden="1">#REF!</definedName>
    <definedName name="__157_________________________123Graph_AChart_2A" hidden="1">#REF!</definedName>
    <definedName name="__158_________________________123Graph_AChart_3A" hidden="1">#REF!</definedName>
    <definedName name="__159_________________________123Graph_XChart_2A" hidden="1">#REF!</definedName>
    <definedName name="__16_____________________________________________________________123Graph_XChart_3A" hidden="1">#REF!</definedName>
    <definedName name="__16__123Graph_ACHART_25" hidden="1">#REF!</definedName>
    <definedName name="__160_________________________123Graph_XChart_3A" hidden="1">#REF!</definedName>
    <definedName name="__161________________________123Graph_AChart_2A" hidden="1">#REF!</definedName>
    <definedName name="__162________________________123Graph_AChart_3A" hidden="1">#REF!</definedName>
    <definedName name="__163________________________123Graph_XChart_2A" hidden="1">#REF!</definedName>
    <definedName name="__164________________________123Graph_XChart_3A" hidden="1">#REF!</definedName>
    <definedName name="__165_______________________123Graph_AChart_2A" hidden="1">#REF!</definedName>
    <definedName name="__166_______________________123Graph_AChart_3A" hidden="1">#REF!</definedName>
    <definedName name="__167_______________________123Graph_XChart_2A" hidden="1">#REF!</definedName>
    <definedName name="__168_______________________123Graph_XChart_3A" hidden="1">#REF!</definedName>
    <definedName name="__169______________________123Graph_AChart_2A" hidden="1">#REF!</definedName>
    <definedName name="__17____________________________________________________________123Graph_AChart_2A" hidden="1">#REF!</definedName>
    <definedName name="__17__123Graph_ACHART_26" hidden="1">#REF!</definedName>
    <definedName name="__170______________________123Graph_AChart_3A" hidden="1">#REF!</definedName>
    <definedName name="__171______________________123Graph_XChart_2A" hidden="1">#REF!</definedName>
    <definedName name="__172______________________123Graph_XChart_3A" hidden="1">#REF!</definedName>
    <definedName name="__173_____________________123Graph_AChart_2A" hidden="1">#REF!</definedName>
    <definedName name="__174_____________________123Graph_AChart_3A" hidden="1">#REF!</definedName>
    <definedName name="__175_____________________123Graph_XChart_2A" hidden="1">#REF!</definedName>
    <definedName name="__176_____________________123Graph_XChart_3A" hidden="1">#REF!</definedName>
    <definedName name="__177____________________123Graph_AChart_2A" hidden="1">#REF!</definedName>
    <definedName name="__178____________________123Graph_AChart_3A" hidden="1">#REF!</definedName>
    <definedName name="__179____________________123Graph_XChart_2A" hidden="1">#REF!</definedName>
    <definedName name="__18____________________________________________________________123Graph_AChart_3A" hidden="1">#REF!</definedName>
    <definedName name="__18__123Graph_ACHART_27" hidden="1">#REF!</definedName>
    <definedName name="__180____________________123Graph_XChart_3A" hidden="1">#REF!</definedName>
    <definedName name="__181___________________123Graph_AChart_2A" hidden="1">#REF!</definedName>
    <definedName name="__182___________________123Graph_AChart_3A" hidden="1">#REF!</definedName>
    <definedName name="__183___________________123Graph_XChart_2A" hidden="1">#REF!</definedName>
    <definedName name="__184___________________123Graph_XChart_3A" hidden="1">#REF!</definedName>
    <definedName name="__185__________________123Graph_AChart_2A" hidden="1">#REF!</definedName>
    <definedName name="__186__________________123Graph_AChart_3A" hidden="1">#REF!</definedName>
    <definedName name="__187__________________123Graph_XChart_2A" hidden="1">#REF!</definedName>
    <definedName name="__188__________________123Graph_XChart_3A" hidden="1">#REF!</definedName>
    <definedName name="__189_________________123Graph_AChart_2A" hidden="1">#REF!</definedName>
    <definedName name="__19____________________________________________________________123Graph_XChart_2A" hidden="1">#REF!</definedName>
    <definedName name="__19__123Graph_ACHART_28" hidden="1">#REF!</definedName>
    <definedName name="__190_________________123Graph_AChart_3A" hidden="1">#REF!</definedName>
    <definedName name="__191_________________123Graph_XChart_2A" hidden="1">#REF!</definedName>
    <definedName name="__192_________________123Graph_XChart_3A" hidden="1">#REF!</definedName>
    <definedName name="__193________________123Graph_AChart_2A" hidden="1">#REF!</definedName>
    <definedName name="__194________________123Graph_AChart_3A" hidden="1">#REF!</definedName>
    <definedName name="__195________________123Graph_XChart_2A" hidden="1">#REF!</definedName>
    <definedName name="__196________________123Graph_XChart_3A" hidden="1">#REF!</definedName>
    <definedName name="__197_______________123Graph_AChart_2A" hidden="1">#REF!</definedName>
    <definedName name="__198_______________123Graph_AChart_3A" hidden="1">#REF!</definedName>
    <definedName name="__199_______________123Graph_XChart_2A" hidden="1">#REF!</definedName>
    <definedName name="__2________________________________________________________________123Graph_AChart_3A" hidden="1">#REF!</definedName>
    <definedName name="__2___________123Graph_XCHART_1" hidden="1">#REF!</definedName>
    <definedName name="__2__123Graph_ACHART_10" hidden="1">#REF!</definedName>
    <definedName name="__2__123Graph_ACHART_2" hidden="1">#REF!</definedName>
    <definedName name="__2__123Graph_AChart_2A" hidden="1">#REF!</definedName>
    <definedName name="__20____________________________________________________________123Graph_XChart_3A" hidden="1">#REF!</definedName>
    <definedName name="__20__123Graph_ACHART_29" hidden="1">#REF!</definedName>
    <definedName name="__200_______________123Graph_XChart_3A" hidden="1">#REF!</definedName>
    <definedName name="__201______________123Graph_AChart_2A" hidden="1">#REF!</definedName>
    <definedName name="__202______________123Graph_AChart_3A" hidden="1">#REF!</definedName>
    <definedName name="__203______________123Graph_XChart_2A" hidden="1">#REF!</definedName>
    <definedName name="__204______________123Graph_XChart_3A" hidden="1">#REF!</definedName>
    <definedName name="__205_____________123Graph_AChart_2A" hidden="1">#REF!</definedName>
    <definedName name="__206_____________123Graph_AChart_3A" hidden="1">#REF!</definedName>
    <definedName name="__207_____________123Graph_XChart_2A" hidden="1">#REF!</definedName>
    <definedName name="__208_____________123Graph_XChart_3A" hidden="1">#REF!</definedName>
    <definedName name="__209____________123Graph_AChart_2A" hidden="1">#REF!</definedName>
    <definedName name="__21___________________________________________________________123Graph_AChart_2A" hidden="1">#REF!</definedName>
    <definedName name="__21__123Graph_ACHART_3" hidden="1">#REF!</definedName>
    <definedName name="__210____________123Graph_AChart_3A" hidden="1">#REF!</definedName>
    <definedName name="__211____________123Graph_XChart_2A" hidden="1">#REF!</definedName>
    <definedName name="__212____________123Graph_XChart_3A" hidden="1">#REF!</definedName>
    <definedName name="__213___________123Graph_AChart_2A" hidden="1">#REF!</definedName>
    <definedName name="__214___________123Graph_AChart_3A" hidden="1">#REF!</definedName>
    <definedName name="__215___________123Graph_XChart_2A" hidden="1">#REF!</definedName>
    <definedName name="__216___________123Graph_XChart_3A" hidden="1">#REF!</definedName>
    <definedName name="__217__________123Graph_AChart_2A" hidden="1">#REF!</definedName>
    <definedName name="__218__________123Graph_AChart_3A" hidden="1">#REF!</definedName>
    <definedName name="__219__________123Graph_XChart_2A" hidden="1">#REF!</definedName>
    <definedName name="__22___________________________________________________________123Graph_AChart_3A" hidden="1">#REF!</definedName>
    <definedName name="__22__123Graph_ACHART_30" hidden="1">#REF!</definedName>
    <definedName name="__220__________123Graph_XChart_3A" hidden="1">#REF!</definedName>
    <definedName name="__221_________123Graph_AChart_2A" hidden="1">#REF!</definedName>
    <definedName name="__222_________123Graph_AChart_3A" hidden="1">#REF!</definedName>
    <definedName name="__223_________123Graph_XChart_2A" hidden="1">#REF!</definedName>
    <definedName name="__224_________123Graph_XChart_3A" hidden="1">#REF!</definedName>
    <definedName name="__225________123Graph_AChart_2A" hidden="1">#REF!</definedName>
    <definedName name="__226________123Graph_AChart_3A" hidden="1">#REF!</definedName>
    <definedName name="__227________123Graph_XChart_2A" hidden="1">#REF!</definedName>
    <definedName name="__228________123Graph_XChart_3A" hidden="1">#REF!</definedName>
    <definedName name="__229_______123Graph_AChart_2A" hidden="1">#REF!</definedName>
    <definedName name="__23___________________________________________________________123Graph_XChart_2A" hidden="1">#REF!</definedName>
    <definedName name="__23__123Graph_ACHART_31" hidden="1">#REF!</definedName>
    <definedName name="__230_______123Graph_AChart_3A" hidden="1">#REF!</definedName>
    <definedName name="__231_______123Graph_XChart_2A" hidden="1">#REF!</definedName>
    <definedName name="__232_______123Graph_XChart_3A" hidden="1">#REF!</definedName>
    <definedName name="__233______123Graph_AChart_2A" hidden="1">#REF!</definedName>
    <definedName name="__234______123Graph_AChart_3A" hidden="1">#REF!</definedName>
    <definedName name="__235______123Graph_XChart_2A" hidden="1">#REF!</definedName>
    <definedName name="__236______123Graph_XChart_3A" hidden="1">#REF!</definedName>
    <definedName name="__237_____123Graph_AChart_2A" hidden="1">#REF!</definedName>
    <definedName name="__238_____123Graph_AChart_3A" hidden="1">#REF!</definedName>
    <definedName name="__239_____123Graph_XChart_2A" hidden="1">#REF!</definedName>
    <definedName name="__24___________________________________________________________123Graph_XChart_3A" hidden="1">#REF!</definedName>
    <definedName name="__24__123Graph_ACHART_32" hidden="1">#REF!</definedName>
    <definedName name="__240_____123Graph_XChart_3A" hidden="1">#REF!</definedName>
    <definedName name="__241____123Graph_AChart_2A" hidden="1">#REF!</definedName>
    <definedName name="__242____123Graph_AChart_3A" hidden="1">#REF!</definedName>
    <definedName name="__243____123Graph_XChart_2A" hidden="1">#REF!</definedName>
    <definedName name="__244____123Graph_XChart_3A" hidden="1">#REF!</definedName>
    <definedName name="__245___123Graph_AChart_2A" hidden="1">#REF!</definedName>
    <definedName name="__246___123Graph_AChart_3A" hidden="1">#REF!</definedName>
    <definedName name="__247___123Graph_XChart_2A" hidden="1">#REF!</definedName>
    <definedName name="__248___123Graph_XChart_3A" hidden="1">#REF!</definedName>
    <definedName name="__25__________________________________________________________123Graph_AChart_2A" hidden="1">#REF!</definedName>
    <definedName name="__25__123Graph_ACHART_33" hidden="1">#REF!</definedName>
    <definedName name="__26__________________________________________________________123Graph_AChart_3A" hidden="1">#REF!</definedName>
    <definedName name="__26__123Graph_ACHART_34" hidden="1">#REF!</definedName>
    <definedName name="__27__________________________________________________________123Graph_XChart_2A" hidden="1">#REF!</definedName>
    <definedName name="__27__123Graph_ACHART_35" hidden="1">#REF!</definedName>
    <definedName name="__28__________________________________________________________123Graph_XChart_3A" hidden="1">#REF!</definedName>
    <definedName name="__28__123Graph_ACHART_36" hidden="1">#REF!</definedName>
    <definedName name="__29_________________________________________________________123Graph_AChart_2A" hidden="1">#REF!</definedName>
    <definedName name="__29__123Graph_ACHART_37" hidden="1">#REF!</definedName>
    <definedName name="__3________________________________________________________________123Graph_XChart_2A" hidden="1">#REF!</definedName>
    <definedName name="__3________123Graph_ACHART_1" hidden="1">#REF!</definedName>
    <definedName name="__3__123Graph_ACHART_11" hidden="1">#REF!</definedName>
    <definedName name="__3__123Graph_ACHART_3" hidden="1">#REF!</definedName>
    <definedName name="__30_________________________________________________________123Graph_AChart_3A" hidden="1">#REF!</definedName>
    <definedName name="__30__123Graph_ACHART_38" hidden="1">#REF!</definedName>
    <definedName name="__31_________________________________________________________123Graph_XChart_2A" hidden="1">#REF!</definedName>
    <definedName name="__31__123Graph_ACHART_39" hidden="1">#REF!</definedName>
    <definedName name="__32_________________________________________________________123Graph_XChart_3A" hidden="1">#REF!</definedName>
    <definedName name="__32__123Graph_ACHART_4" hidden="1">#REF!</definedName>
    <definedName name="__33________________________________________________________123Graph_AChart_2A" hidden="1">#REF!</definedName>
    <definedName name="__33__123Graph_ACHART_40" hidden="1">#REF!</definedName>
    <definedName name="__34________________________________________________________123Graph_AChart_3A" hidden="1">#REF!</definedName>
    <definedName name="__34__123Graph_ACHART_41" hidden="1">#REF!</definedName>
    <definedName name="__35________________________________________________________123Graph_XChart_2A" hidden="1">#REF!</definedName>
    <definedName name="__35__123Graph_ACHART_42" hidden="1">#REF!</definedName>
    <definedName name="__36________________________________________________________123Graph_XChart_3A" hidden="1">#REF!</definedName>
    <definedName name="__36__123Graph_ACHART_43" hidden="1">#REF!</definedName>
    <definedName name="__37_______________________________________________________123Graph_AChart_2A" hidden="1">#REF!</definedName>
    <definedName name="__37__123Graph_ACHART_44" hidden="1">#REF!</definedName>
    <definedName name="__38_______________________________________________________123Graph_AChart_3A" hidden="1">#REF!</definedName>
    <definedName name="__38__123Graph_ACHART_45" hidden="1">#REF!</definedName>
    <definedName name="__39_______________________________________________________123Graph_XChart_2A" hidden="1">#REF!</definedName>
    <definedName name="__39__123Graph_ACHART_46" hidden="1">#REF!</definedName>
    <definedName name="__4________________________________________________________________123Graph_XChart_3A" hidden="1">#REF!</definedName>
    <definedName name="__4________123Graph_XCHART_1" hidden="1">#REF!</definedName>
    <definedName name="__4__123Graph_ACHART_12" hidden="1">#REF!</definedName>
    <definedName name="__4__123Graph_AChart_3A" hidden="1">#REF!</definedName>
    <definedName name="__40_______________________________________________________123Graph_XChart_3A" hidden="1">#REF!</definedName>
    <definedName name="__40__123Graph_ACHART_47" hidden="1">#REF!</definedName>
    <definedName name="__41______________________________________________________123Graph_AChart_2A" hidden="1">#REF!</definedName>
    <definedName name="__41__123Graph_ACHART_48" hidden="1">#REF!</definedName>
    <definedName name="__42______________________________________________________123Graph_AChart_3A" hidden="1">#REF!</definedName>
    <definedName name="__42__123Graph_ACHART_5" hidden="1">#REF!</definedName>
    <definedName name="__43______________________________________________________123Graph_XChart_2A" hidden="1">#REF!</definedName>
    <definedName name="__44______________________________________________________123Graph_XChart_3A" hidden="1">#REF!</definedName>
    <definedName name="__45_____________________________________________________123Graph_AChart_2A" hidden="1">#REF!</definedName>
    <definedName name="__46_____________________________________________________123Graph_AChart_3A" hidden="1">#REF!</definedName>
    <definedName name="__47_____________________________________________________123Graph_XChart_2A" hidden="1">#REF!</definedName>
    <definedName name="__48_____________________________________________________123Graph_XChart_3A" hidden="1">#REF!</definedName>
    <definedName name="__49____________________________________________________123Graph_AChart_2A" hidden="1">#REF!</definedName>
    <definedName name="__5_______________________________________________________________123Graph_AChart_2A" hidden="1">#REF!</definedName>
    <definedName name="__5______123Graph_ACHART_1" hidden="1">#REF!</definedName>
    <definedName name="__5__123Graph_ACHART_13" hidden="1">#REF!</definedName>
    <definedName name="__50____________________________________________________123Graph_AChart_3A" hidden="1">#REF!</definedName>
    <definedName name="__51____________________________________________________123Graph_XChart_2A" hidden="1">#REF!</definedName>
    <definedName name="__52____________________________________________________123Graph_XChart_3A" hidden="1">#REF!</definedName>
    <definedName name="__53___________________________________________________123Graph_AChart_2A" hidden="1">#REF!</definedName>
    <definedName name="__54___________________________________________________123Graph_AChart_3A" hidden="1">#REF!</definedName>
    <definedName name="__55___________________________________________________123Graph_XChart_2A" hidden="1">#REF!</definedName>
    <definedName name="__56___________________________________________________123Graph_XChart_3A" hidden="1">#REF!</definedName>
    <definedName name="__57__________________________________________________123Graph_AChart_2A" hidden="1">#REF!</definedName>
    <definedName name="__58__________________________________________________123Graph_AChart_3A" hidden="1">#REF!</definedName>
    <definedName name="__59__________________________________________________123Graph_XChart_2A" hidden="1">#REF!</definedName>
    <definedName name="__6_______________________________________________________________123Graph_AChart_3A" hidden="1">#REF!</definedName>
    <definedName name="__6______123Graph_XCHART_1" hidden="1">#REF!</definedName>
    <definedName name="__6__123Graph_ACHART_14" hidden="1">#REF!</definedName>
    <definedName name="__6__123Graph_XChart_2A" hidden="1">#REF!</definedName>
    <definedName name="__60__________________________________________________123Graph_XChart_3A" hidden="1">#REF!</definedName>
    <definedName name="__61_________________________________________________123Graph_AChart_2A" hidden="1">#REF!</definedName>
    <definedName name="__62_________________________________________________123Graph_AChart_3A" hidden="1">#REF!</definedName>
    <definedName name="__63_________________________________________________123Graph_XChart_2A" hidden="1">#REF!</definedName>
    <definedName name="__64_________________________________________________123Graph_XChart_3A" hidden="1">#REF!</definedName>
    <definedName name="__65________________________________________________123Graph_AChart_2A" hidden="1">#REF!</definedName>
    <definedName name="__66________________________________________________123Graph_AChart_3A" hidden="1">#REF!</definedName>
    <definedName name="__67________________________________________________123Graph_XChart_2A" hidden="1">#REF!</definedName>
    <definedName name="__68________________________________________________123Graph_XChart_3A" hidden="1">#REF!</definedName>
    <definedName name="__69_______________________________________________123Graph_AChart_2A" hidden="1">#REF!</definedName>
    <definedName name="__7_______________________________________________________________123Graph_XChart_2A" hidden="1">#REF!</definedName>
    <definedName name="__7____123Graph_ACHART_1" hidden="1">#REF!</definedName>
    <definedName name="__7__123Graph_ACHART_15" hidden="1">#REF!</definedName>
    <definedName name="__70_______________________________________________123Graph_AChart_3A" hidden="1">#REF!</definedName>
    <definedName name="__71_______________________________________________123Graph_XChart_2A" hidden="1">#REF!</definedName>
    <definedName name="__72_______________________________________________123Graph_XChart_3A" hidden="1">#REF!</definedName>
    <definedName name="__73______________________________________________123Graph_AChart_2A" hidden="1">#REF!</definedName>
    <definedName name="__74______________________________________________123Graph_AChart_3A" hidden="1">#REF!</definedName>
    <definedName name="__75______________________________________________123Graph_XChart_2A" hidden="1">#REF!</definedName>
    <definedName name="__76______________________________________________123Graph_XChart_3A" hidden="1">#REF!</definedName>
    <definedName name="__77_____________________________________________123Graph_AChart_2A" hidden="1">#REF!</definedName>
    <definedName name="__78_____________________________________________123Graph_AChart_3A" hidden="1">#REF!</definedName>
    <definedName name="__79_____________________________________________123Graph_XChart_2A" hidden="1">#REF!</definedName>
    <definedName name="__8_______________________________________________________________123Graph_XChart_3A" hidden="1">#REF!</definedName>
    <definedName name="__8____123Graph_XCHART_1" hidden="1">#REF!</definedName>
    <definedName name="__8__123Graph_ACHART_16" hidden="1">#REF!</definedName>
    <definedName name="__8__123Graph_XChart_3A" hidden="1">#REF!</definedName>
    <definedName name="__80_____________________________________________123Graph_XChart_3A" hidden="1">#REF!</definedName>
    <definedName name="__81____________________________________________123Graph_AChart_2A" hidden="1">#REF!</definedName>
    <definedName name="__82____________________________________________123Graph_AChart_3A" hidden="1">#REF!</definedName>
    <definedName name="__83____________________________________________123Graph_XChart_2A" hidden="1">#REF!</definedName>
    <definedName name="__84____________________________________________123Graph_XChart_3A" hidden="1">#REF!</definedName>
    <definedName name="__85___________________________________________123Graph_AChart_2A" hidden="1">#REF!</definedName>
    <definedName name="__86___________________________________________123Graph_AChart_3A" hidden="1">#REF!</definedName>
    <definedName name="__87___________________________________________123Graph_XChart_2A" hidden="1">#REF!</definedName>
    <definedName name="__88___________________________________________123Graph_XChart_3A" hidden="1">#REF!</definedName>
    <definedName name="__89__________________________________________123Graph_AChart_2A" hidden="1">#REF!</definedName>
    <definedName name="__9______________________________________________________________123Graph_AChart_2A" hidden="1">#REF!</definedName>
    <definedName name="__9__123Graph_ACHART_17" hidden="1">#REF!</definedName>
    <definedName name="__90__________________________________________123Graph_AChart_3A" hidden="1">#REF!</definedName>
    <definedName name="__91__________________________________________123Graph_XChart_2A" hidden="1">#REF!</definedName>
    <definedName name="__92__________________________________________123Graph_XChart_3A" hidden="1">#REF!</definedName>
    <definedName name="__93_________________________________________123Graph_AChart_2A" hidden="1">#REF!</definedName>
    <definedName name="__94_________________________________________123Graph_AChart_3A" hidden="1">#REF!</definedName>
    <definedName name="__95_________________________________________123Graph_XChart_2A" hidden="1">#REF!</definedName>
    <definedName name="__96_________________________________________123Graph_XChart_3A" hidden="1">#REF!</definedName>
    <definedName name="__97________________________________________123Graph_AChart_2A" hidden="1">#REF!</definedName>
    <definedName name="__98________________________________________123Graph_AChart_3A" hidden="1">#REF!</definedName>
    <definedName name="__99________________________________________123Graph_XChart_2A" hidden="1">#REF!</definedName>
    <definedName name="__a1" localSheetId="20" hidden="1">{"'Sheet1'!$L$16"}</definedName>
    <definedName name="__a1" localSheetId="19" hidden="1">{"'Sheet1'!$L$16"}</definedName>
    <definedName name="__a1" localSheetId="26" hidden="1">{"'Sheet1'!$L$16"}</definedName>
    <definedName name="__a1" localSheetId="24" hidden="1">{"'Sheet1'!$L$16"}</definedName>
    <definedName name="__a1" localSheetId="32" hidden="1">{"'Sheet1'!$L$16"}</definedName>
    <definedName name="__a1" localSheetId="27" hidden="1">{"'Sheet1'!$L$16"}</definedName>
    <definedName name="__a1" localSheetId="28" hidden="1">{"'Sheet1'!$L$16"}</definedName>
    <definedName name="__a1" localSheetId="29" hidden="1">{"'Sheet1'!$L$16"}</definedName>
    <definedName name="__a1" localSheetId="31" hidden="1">{"'Sheet1'!$L$16"}</definedName>
    <definedName name="__a1" localSheetId="30" hidden="1">{"'Sheet1'!$L$16"}</definedName>
    <definedName name="__a1" localSheetId="17" hidden="1">{"'Sheet1'!$L$16"}</definedName>
    <definedName name="__a1" localSheetId="18" hidden="1">{"'Sheet1'!$L$16"}</definedName>
    <definedName name="__a1" hidden="1">{"'Sheet1'!$L$16"}</definedName>
    <definedName name="__a129" localSheetId="20" hidden="1">{"Offgrid",#N/A,FALSE,"OFFGRID";"Region",#N/A,FALSE,"REGION";"Offgrid -2",#N/A,FALSE,"OFFGRID";"WTP",#N/A,FALSE,"WTP";"WTP -2",#N/A,FALSE,"WTP";"Project",#N/A,FALSE,"PROJECT";"Summary -2",#N/A,FALSE,"SUMMARY"}</definedName>
    <definedName name="__a129" localSheetId="19" hidden="1">{"Offgrid",#N/A,FALSE,"OFFGRID";"Region",#N/A,FALSE,"REGION";"Offgrid -2",#N/A,FALSE,"OFFGRID";"WTP",#N/A,FALSE,"WTP";"WTP -2",#N/A,FALSE,"WTP";"Project",#N/A,FALSE,"PROJECT";"Summary -2",#N/A,FALSE,"SUMMARY"}</definedName>
    <definedName name="__a129" localSheetId="26" hidden="1">{"Offgrid",#N/A,FALSE,"OFFGRID";"Region",#N/A,FALSE,"REGION";"Offgrid -2",#N/A,FALSE,"OFFGRID";"WTP",#N/A,FALSE,"WTP";"WTP -2",#N/A,FALSE,"WTP";"Project",#N/A,FALSE,"PROJECT";"Summary -2",#N/A,FALSE,"SUMMARY"}</definedName>
    <definedName name="__a129" localSheetId="24" hidden="1">{"Offgrid",#N/A,FALSE,"OFFGRID";"Region",#N/A,FALSE,"REGION";"Offgrid -2",#N/A,FALSE,"OFFGRID";"WTP",#N/A,FALSE,"WTP";"WTP -2",#N/A,FALSE,"WTP";"Project",#N/A,FALSE,"PROJECT";"Summary -2",#N/A,FALSE,"SUMMARY"}</definedName>
    <definedName name="__a129" localSheetId="32" hidden="1">{"Offgrid",#N/A,FALSE,"OFFGRID";"Region",#N/A,FALSE,"REGION";"Offgrid -2",#N/A,FALSE,"OFFGRID";"WTP",#N/A,FALSE,"WTP";"WTP -2",#N/A,FALSE,"WTP";"Project",#N/A,FALSE,"PROJECT";"Summary -2",#N/A,FALSE,"SUMMARY"}</definedName>
    <definedName name="__a129" localSheetId="27" hidden="1">{"Offgrid",#N/A,FALSE,"OFFGRID";"Region",#N/A,FALSE,"REGION";"Offgrid -2",#N/A,FALSE,"OFFGRID";"WTP",#N/A,FALSE,"WTP";"WTP -2",#N/A,FALSE,"WTP";"Project",#N/A,FALSE,"PROJECT";"Summary -2",#N/A,FALSE,"SUMMARY"}</definedName>
    <definedName name="__a129" localSheetId="28" hidden="1">{"Offgrid",#N/A,FALSE,"OFFGRID";"Region",#N/A,FALSE,"REGION";"Offgrid -2",#N/A,FALSE,"OFFGRID";"WTP",#N/A,FALSE,"WTP";"WTP -2",#N/A,FALSE,"WTP";"Project",#N/A,FALSE,"PROJECT";"Summary -2",#N/A,FALSE,"SUMMARY"}</definedName>
    <definedName name="__a129" localSheetId="29" hidden="1">{"Offgrid",#N/A,FALSE,"OFFGRID";"Region",#N/A,FALSE,"REGION";"Offgrid -2",#N/A,FALSE,"OFFGRID";"WTP",#N/A,FALSE,"WTP";"WTP -2",#N/A,FALSE,"WTP";"Project",#N/A,FALSE,"PROJECT";"Summary -2",#N/A,FALSE,"SUMMARY"}</definedName>
    <definedName name="__a129" localSheetId="31" hidden="1">{"Offgrid",#N/A,FALSE,"OFFGRID";"Region",#N/A,FALSE,"REGION";"Offgrid -2",#N/A,FALSE,"OFFGRID";"WTP",#N/A,FALSE,"WTP";"WTP -2",#N/A,FALSE,"WTP";"Project",#N/A,FALSE,"PROJECT";"Summary -2",#N/A,FALSE,"SUMMARY"}</definedName>
    <definedName name="__a129" localSheetId="30" hidden="1">{"Offgrid",#N/A,FALSE,"OFFGRID";"Region",#N/A,FALSE,"REGION";"Offgrid -2",#N/A,FALSE,"OFFGRID";"WTP",#N/A,FALSE,"WTP";"WTP -2",#N/A,FALSE,"WTP";"Project",#N/A,FALSE,"PROJECT";"Summary -2",#N/A,FALSE,"SUMMARY"}</definedName>
    <definedName name="__a129" localSheetId="17" hidden="1">{"Offgrid",#N/A,FALSE,"OFFGRID";"Region",#N/A,FALSE,"REGION";"Offgrid -2",#N/A,FALSE,"OFFGRID";"WTP",#N/A,FALSE,"WTP";"WTP -2",#N/A,FALSE,"WTP";"Project",#N/A,FALSE,"PROJECT";"Summary -2",#N/A,FALSE,"SUMMARY"}</definedName>
    <definedName name="__a129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localSheetId="20" hidden="1">{"Offgrid",#N/A,FALSE,"OFFGRID";"Region",#N/A,FALSE,"REGION";"Offgrid -2",#N/A,FALSE,"OFFGRID";"WTP",#N/A,FALSE,"WTP";"WTP -2",#N/A,FALSE,"WTP";"Project",#N/A,FALSE,"PROJECT";"Summary -2",#N/A,FALSE,"SUMMARY"}</definedName>
    <definedName name="__a130" localSheetId="19" hidden="1">{"Offgrid",#N/A,FALSE,"OFFGRID";"Region",#N/A,FALSE,"REGION";"Offgrid -2",#N/A,FALSE,"OFFGRID";"WTP",#N/A,FALSE,"WTP";"WTP -2",#N/A,FALSE,"WTP";"Project",#N/A,FALSE,"PROJECT";"Summary -2",#N/A,FALSE,"SUMMARY"}</definedName>
    <definedName name="__a130" localSheetId="26" hidden="1">{"Offgrid",#N/A,FALSE,"OFFGRID";"Region",#N/A,FALSE,"REGION";"Offgrid -2",#N/A,FALSE,"OFFGRID";"WTP",#N/A,FALSE,"WTP";"WTP -2",#N/A,FALSE,"WTP";"Project",#N/A,FALSE,"PROJECT";"Summary -2",#N/A,FALSE,"SUMMARY"}</definedName>
    <definedName name="__a130" localSheetId="24" hidden="1">{"Offgrid",#N/A,FALSE,"OFFGRID";"Region",#N/A,FALSE,"REGION";"Offgrid -2",#N/A,FALSE,"OFFGRID";"WTP",#N/A,FALSE,"WTP";"WTP -2",#N/A,FALSE,"WTP";"Project",#N/A,FALSE,"PROJECT";"Summary -2",#N/A,FALSE,"SUMMARY"}</definedName>
    <definedName name="__a130" localSheetId="32" hidden="1">{"Offgrid",#N/A,FALSE,"OFFGRID";"Region",#N/A,FALSE,"REGION";"Offgrid -2",#N/A,FALSE,"OFFGRID";"WTP",#N/A,FALSE,"WTP";"WTP -2",#N/A,FALSE,"WTP";"Project",#N/A,FALSE,"PROJECT";"Summary -2",#N/A,FALSE,"SUMMARY"}</definedName>
    <definedName name="__a130" localSheetId="27" hidden="1">{"Offgrid",#N/A,FALSE,"OFFGRID";"Region",#N/A,FALSE,"REGION";"Offgrid -2",#N/A,FALSE,"OFFGRID";"WTP",#N/A,FALSE,"WTP";"WTP -2",#N/A,FALSE,"WTP";"Project",#N/A,FALSE,"PROJECT";"Summary -2",#N/A,FALSE,"SUMMARY"}</definedName>
    <definedName name="__a130" localSheetId="28" hidden="1">{"Offgrid",#N/A,FALSE,"OFFGRID";"Region",#N/A,FALSE,"REGION";"Offgrid -2",#N/A,FALSE,"OFFGRID";"WTP",#N/A,FALSE,"WTP";"WTP -2",#N/A,FALSE,"WTP";"Project",#N/A,FALSE,"PROJECT";"Summary -2",#N/A,FALSE,"SUMMARY"}</definedName>
    <definedName name="__a130" localSheetId="29" hidden="1">{"Offgrid",#N/A,FALSE,"OFFGRID";"Region",#N/A,FALSE,"REGION";"Offgrid -2",#N/A,FALSE,"OFFGRID";"WTP",#N/A,FALSE,"WTP";"WTP -2",#N/A,FALSE,"WTP";"Project",#N/A,FALSE,"PROJECT";"Summary -2",#N/A,FALSE,"SUMMARY"}</definedName>
    <definedName name="__a130" localSheetId="31" hidden="1">{"Offgrid",#N/A,FALSE,"OFFGRID";"Region",#N/A,FALSE,"REGION";"Offgrid -2",#N/A,FALSE,"OFFGRID";"WTP",#N/A,FALSE,"WTP";"WTP -2",#N/A,FALSE,"WTP";"Project",#N/A,FALSE,"PROJECT";"Summary -2",#N/A,FALSE,"SUMMARY"}</definedName>
    <definedName name="__a130" localSheetId="30" hidden="1">{"Offgrid",#N/A,FALSE,"OFFGRID";"Region",#N/A,FALSE,"REGION";"Offgrid -2",#N/A,FALSE,"OFFGRID";"WTP",#N/A,FALSE,"WTP";"WTP -2",#N/A,FALSE,"WTP";"Project",#N/A,FALSE,"PROJECT";"Summary -2",#N/A,FALSE,"SUMMARY"}</definedName>
    <definedName name="__a130" localSheetId="17" hidden="1">{"Offgrid",#N/A,FALSE,"OFFGRID";"Region",#N/A,FALSE,"REGION";"Offgrid -2",#N/A,FALSE,"OFFGRID";"WTP",#N/A,FALSE,"WTP";"WTP -2",#N/A,FALSE,"WTP";"Project",#N/A,FALSE,"PROJECT";"Summary -2",#N/A,FALSE,"SUMMARY"}</definedName>
    <definedName name="__a130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md1" localSheetId="20" hidden="1">{#N/A,#N/A,FALSE,"Chi tiÆt"}</definedName>
    <definedName name="__amd1" localSheetId="19" hidden="1">{#N/A,#N/A,FALSE,"Chi tiÆt"}</definedName>
    <definedName name="__amd1" localSheetId="26" hidden="1">{#N/A,#N/A,FALSE,"Chi tiÆt"}</definedName>
    <definedName name="__amd1" localSheetId="24" hidden="1">{#N/A,#N/A,FALSE,"Chi tiÆt"}</definedName>
    <definedName name="__amd1" localSheetId="32" hidden="1">{#N/A,#N/A,FALSE,"Chi tiÆt"}</definedName>
    <definedName name="__amd1" localSheetId="27" hidden="1">{#N/A,#N/A,FALSE,"Chi tiÆt"}</definedName>
    <definedName name="__amd1" localSheetId="28" hidden="1">{#N/A,#N/A,FALSE,"Chi tiÆt"}</definedName>
    <definedName name="__amd1" localSheetId="29" hidden="1">{#N/A,#N/A,FALSE,"Chi tiÆt"}</definedName>
    <definedName name="__amd1" localSheetId="31" hidden="1">{#N/A,#N/A,FALSE,"Chi tiÆt"}</definedName>
    <definedName name="__amd1" localSheetId="30" hidden="1">{#N/A,#N/A,FALSE,"Chi tiÆt"}</definedName>
    <definedName name="__amd1" localSheetId="17" hidden="1">{#N/A,#N/A,FALSE,"Chi tiÆt"}</definedName>
    <definedName name="__amd1" localSheetId="18" hidden="1">{#N/A,#N/A,FALSE,"Chi tiÆt"}</definedName>
    <definedName name="__amd1" hidden="1">{#N/A,#N/A,FALSE,"Chi tiÆt"}</definedName>
    <definedName name="__App7" localSheetId="20" hidden="1">{"'Sheet1'!$A$1"}</definedName>
    <definedName name="__App7" localSheetId="19" hidden="1">{"'Sheet1'!$A$1"}</definedName>
    <definedName name="__App7" localSheetId="26" hidden="1">{"'Sheet1'!$A$1"}</definedName>
    <definedName name="__App7" localSheetId="24" hidden="1">{"'Sheet1'!$A$1"}</definedName>
    <definedName name="__App7" localSheetId="32" hidden="1">{"'Sheet1'!$A$1"}</definedName>
    <definedName name="__App7" localSheetId="27" hidden="1">{"'Sheet1'!$A$1"}</definedName>
    <definedName name="__App7" localSheetId="28" hidden="1">{"'Sheet1'!$A$1"}</definedName>
    <definedName name="__App7" localSheetId="29" hidden="1">{"'Sheet1'!$A$1"}</definedName>
    <definedName name="__App7" localSheetId="31" hidden="1">{"'Sheet1'!$A$1"}</definedName>
    <definedName name="__App7" localSheetId="30" hidden="1">{"'Sheet1'!$A$1"}</definedName>
    <definedName name="__App7" localSheetId="17" hidden="1">{"'Sheet1'!$A$1"}</definedName>
    <definedName name="__App7" localSheetId="18" hidden="1">{"'Sheet1'!$A$1"}</definedName>
    <definedName name="__App7" hidden="1">{"'Sheet1'!$A$1"}</definedName>
    <definedName name="__ars1" localSheetId="20" hidden="1">{#N/A,#N/A,FALSE,"REK";#N/A,#N/A,FALSE,"Bq-ARS"}</definedName>
    <definedName name="__ars1" localSheetId="19" hidden="1">{#N/A,#N/A,FALSE,"REK";#N/A,#N/A,FALSE,"Bq-ARS"}</definedName>
    <definedName name="__ars1" localSheetId="26" hidden="1">{#N/A,#N/A,FALSE,"REK";#N/A,#N/A,FALSE,"Bq-ARS"}</definedName>
    <definedName name="__ars1" localSheetId="24" hidden="1">{#N/A,#N/A,FALSE,"REK";#N/A,#N/A,FALSE,"Bq-ARS"}</definedName>
    <definedName name="__ars1" localSheetId="32" hidden="1">{#N/A,#N/A,FALSE,"REK";#N/A,#N/A,FALSE,"Bq-ARS"}</definedName>
    <definedName name="__ars1" localSheetId="27" hidden="1">{#N/A,#N/A,FALSE,"REK";#N/A,#N/A,FALSE,"Bq-ARS"}</definedName>
    <definedName name="__ars1" localSheetId="28" hidden="1">{#N/A,#N/A,FALSE,"REK";#N/A,#N/A,FALSE,"Bq-ARS"}</definedName>
    <definedName name="__ars1" localSheetId="29" hidden="1">{#N/A,#N/A,FALSE,"REK";#N/A,#N/A,FALSE,"Bq-ARS"}</definedName>
    <definedName name="__ars1" localSheetId="31" hidden="1">{#N/A,#N/A,FALSE,"REK";#N/A,#N/A,FALSE,"Bq-ARS"}</definedName>
    <definedName name="__ars1" localSheetId="30" hidden="1">{#N/A,#N/A,FALSE,"REK";#N/A,#N/A,FALSE,"Bq-ARS"}</definedName>
    <definedName name="__ars1" localSheetId="17" hidden="1">{#N/A,#N/A,FALSE,"REK";#N/A,#N/A,FALSE,"Bq-ARS"}</definedName>
    <definedName name="__ars1" localSheetId="18" hidden="1">{#N/A,#N/A,FALSE,"REK";#N/A,#N/A,FALSE,"Bq-ARS"}</definedName>
    <definedName name="__ars1" hidden="1">{#N/A,#N/A,FALSE,"REK";#N/A,#N/A,FALSE,"Bq-ARS"}</definedName>
    <definedName name="__cad1" localSheetId="32" hidden="1">#REF!</definedName>
    <definedName name="__cad1" hidden="1">#REF!</definedName>
    <definedName name="__cad2" localSheetId="32" hidden="1">#REF!</definedName>
    <definedName name="__cad2" hidden="1">#REF!</definedName>
    <definedName name="__cad3" localSheetId="32" hidden="1">#REF!</definedName>
    <definedName name="__cad3" hidden="1">#REF!</definedName>
    <definedName name="__CU600" localSheetId="20" hidden="1">{#N/A,#N/A,TRUE,"toc";#N/A,#N/A,TRUE,"general";#N/A,#N/A,TRUE,"compressive";#N/A,#N/A,TRUE,"lateral";#N/A,#N/A,TRUE,"shallow"}</definedName>
    <definedName name="__CU600" localSheetId="19" hidden="1">{#N/A,#N/A,TRUE,"toc";#N/A,#N/A,TRUE,"general";#N/A,#N/A,TRUE,"compressive";#N/A,#N/A,TRUE,"lateral";#N/A,#N/A,TRUE,"shallow"}</definedName>
    <definedName name="__CU600" localSheetId="26" hidden="1">{#N/A,#N/A,TRUE,"toc";#N/A,#N/A,TRUE,"general";#N/A,#N/A,TRUE,"compressive";#N/A,#N/A,TRUE,"lateral";#N/A,#N/A,TRUE,"shallow"}</definedName>
    <definedName name="__CU600" localSheetId="24" hidden="1">{#N/A,#N/A,TRUE,"toc";#N/A,#N/A,TRUE,"general";#N/A,#N/A,TRUE,"compressive";#N/A,#N/A,TRUE,"lateral";#N/A,#N/A,TRUE,"shallow"}</definedName>
    <definedName name="__CU600" localSheetId="32" hidden="1">{#N/A,#N/A,TRUE,"toc";#N/A,#N/A,TRUE,"general";#N/A,#N/A,TRUE,"compressive";#N/A,#N/A,TRUE,"lateral";#N/A,#N/A,TRUE,"shallow"}</definedName>
    <definedName name="__CU600" localSheetId="27" hidden="1">{#N/A,#N/A,TRUE,"toc";#N/A,#N/A,TRUE,"general";#N/A,#N/A,TRUE,"compressive";#N/A,#N/A,TRUE,"lateral";#N/A,#N/A,TRUE,"shallow"}</definedName>
    <definedName name="__CU600" localSheetId="28" hidden="1">{#N/A,#N/A,TRUE,"toc";#N/A,#N/A,TRUE,"general";#N/A,#N/A,TRUE,"compressive";#N/A,#N/A,TRUE,"lateral";#N/A,#N/A,TRUE,"shallow"}</definedName>
    <definedName name="__CU600" localSheetId="29" hidden="1">{#N/A,#N/A,TRUE,"toc";#N/A,#N/A,TRUE,"general";#N/A,#N/A,TRUE,"compressive";#N/A,#N/A,TRUE,"lateral";#N/A,#N/A,TRUE,"shallow"}</definedName>
    <definedName name="__CU600" localSheetId="31" hidden="1">{#N/A,#N/A,TRUE,"toc";#N/A,#N/A,TRUE,"general";#N/A,#N/A,TRUE,"compressive";#N/A,#N/A,TRUE,"lateral";#N/A,#N/A,TRUE,"shallow"}</definedName>
    <definedName name="__CU600" localSheetId="30" hidden="1">{#N/A,#N/A,TRUE,"toc";#N/A,#N/A,TRUE,"general";#N/A,#N/A,TRUE,"compressive";#N/A,#N/A,TRUE,"lateral";#N/A,#N/A,TRUE,"shallow"}</definedName>
    <definedName name="__CU600" localSheetId="17" hidden="1">{#N/A,#N/A,TRUE,"toc";#N/A,#N/A,TRUE,"general";#N/A,#N/A,TRUE,"compressive";#N/A,#N/A,TRUE,"lateral";#N/A,#N/A,TRUE,"shallow"}</definedName>
    <definedName name="__CU600" localSheetId="18" hidden="1">{#N/A,#N/A,TRUE,"toc";#N/A,#N/A,TRUE,"general";#N/A,#N/A,TRUE,"compressive";#N/A,#N/A,TRUE,"lateral";#N/A,#N/A,TRUE,"shallow"}</definedName>
    <definedName name="__CU600" hidden="1">{#N/A,#N/A,TRUE,"toc";#N/A,#N/A,TRUE,"general";#N/A,#N/A,TRUE,"compressive";#N/A,#N/A,TRUE,"lateral";#N/A,#N/A,TRUE,"shallow"}</definedName>
    <definedName name="__ERR1" localSheetId="20" hidden="1">{#N/A,#N/A,FALSE,"M.42"}</definedName>
    <definedName name="__ERR1" localSheetId="19" hidden="1">{#N/A,#N/A,FALSE,"M.42"}</definedName>
    <definedName name="__ERR1" localSheetId="26" hidden="1">{#N/A,#N/A,FALSE,"M.42"}</definedName>
    <definedName name="__ERR1" localSheetId="24" hidden="1">{#N/A,#N/A,FALSE,"M.42"}</definedName>
    <definedName name="__ERR1" localSheetId="32" hidden="1">{#N/A,#N/A,FALSE,"M.42"}</definedName>
    <definedName name="__ERR1" localSheetId="27" hidden="1">{#N/A,#N/A,FALSE,"M.42"}</definedName>
    <definedName name="__ERR1" localSheetId="28" hidden="1">{#N/A,#N/A,FALSE,"M.42"}</definedName>
    <definedName name="__ERR1" localSheetId="29" hidden="1">{#N/A,#N/A,FALSE,"M.42"}</definedName>
    <definedName name="__ERR1" localSheetId="31" hidden="1">{#N/A,#N/A,FALSE,"M.42"}</definedName>
    <definedName name="__ERR1" localSheetId="30" hidden="1">{#N/A,#N/A,FALSE,"M.42"}</definedName>
    <definedName name="__ERR1" localSheetId="17" hidden="1">{#N/A,#N/A,FALSE,"M.42"}</definedName>
    <definedName name="__ERR1" localSheetId="18" hidden="1">{#N/A,#N/A,FALSE,"M.42"}</definedName>
    <definedName name="__ERR1" hidden="1">{#N/A,#N/A,FALSE,"M.42"}</definedName>
    <definedName name="__gk2" localSheetId="32" hidden="1">#REF!</definedName>
    <definedName name="__gk2" localSheetId="42" hidden="1">#REF!</definedName>
    <definedName name="__gk2" hidden="1">#REF!</definedName>
    <definedName name="__Goi8" localSheetId="20" hidden="1">{"'Sheet1'!$L$16"}</definedName>
    <definedName name="__Goi8" localSheetId="19" hidden="1">{"'Sheet1'!$L$16"}</definedName>
    <definedName name="__Goi8" localSheetId="26" hidden="1">{"'Sheet1'!$L$16"}</definedName>
    <definedName name="__Goi8" localSheetId="24" hidden="1">{"'Sheet1'!$L$16"}</definedName>
    <definedName name="__Goi8" localSheetId="32" hidden="1">{"'Sheet1'!$L$16"}</definedName>
    <definedName name="__Goi8" localSheetId="27" hidden="1">{"'Sheet1'!$L$16"}</definedName>
    <definedName name="__Goi8" localSheetId="28" hidden="1">{"'Sheet1'!$L$16"}</definedName>
    <definedName name="__Goi8" localSheetId="29" hidden="1">{"'Sheet1'!$L$16"}</definedName>
    <definedName name="__Goi8" localSheetId="31" hidden="1">{"'Sheet1'!$L$16"}</definedName>
    <definedName name="__Goi8" localSheetId="30" hidden="1">{"'Sheet1'!$L$16"}</definedName>
    <definedName name="__Goi8" localSheetId="17" hidden="1">{"'Sheet1'!$L$16"}</definedName>
    <definedName name="__Goi8" localSheetId="18" hidden="1">{"'Sheet1'!$L$16"}</definedName>
    <definedName name="__Goi8" hidden="1">{"'Sheet1'!$L$16"}</definedName>
    <definedName name="__h1" localSheetId="20" hidden="1">{"'Sheet1'!$L$16"}</definedName>
    <definedName name="__h1" localSheetId="19" hidden="1">{"'Sheet1'!$L$16"}</definedName>
    <definedName name="__h1" localSheetId="26" hidden="1">{"'Sheet1'!$L$16"}</definedName>
    <definedName name="__h1" localSheetId="24" hidden="1">{"'Sheet1'!$L$16"}</definedName>
    <definedName name="__h1" localSheetId="32" hidden="1">{"'Sheet1'!$L$16"}</definedName>
    <definedName name="__h1" localSheetId="27" hidden="1">{"'Sheet1'!$L$16"}</definedName>
    <definedName name="__h1" localSheetId="28" hidden="1">{"'Sheet1'!$L$16"}</definedName>
    <definedName name="__h1" localSheetId="29" hidden="1">{"'Sheet1'!$L$16"}</definedName>
    <definedName name="__h1" localSheetId="31" hidden="1">{"'Sheet1'!$L$16"}</definedName>
    <definedName name="__h1" localSheetId="30" hidden="1">{"'Sheet1'!$L$16"}</definedName>
    <definedName name="__h1" localSheetId="17" hidden="1">{"'Sheet1'!$L$16"}</definedName>
    <definedName name="__h1" localSheetId="18" hidden="1">{"'Sheet1'!$L$16"}</definedName>
    <definedName name="__h1" hidden="1">{"'Sheet1'!$L$16"}</definedName>
    <definedName name="__hu1" localSheetId="20" hidden="1">{"'Sheet1'!$L$16"}</definedName>
    <definedName name="__hu1" localSheetId="19" hidden="1">{"'Sheet1'!$L$16"}</definedName>
    <definedName name="__hu1" localSheetId="26" hidden="1">{"'Sheet1'!$L$16"}</definedName>
    <definedName name="__hu1" localSheetId="24" hidden="1">{"'Sheet1'!$L$16"}</definedName>
    <definedName name="__hu1" localSheetId="32" hidden="1">{"'Sheet1'!$L$16"}</definedName>
    <definedName name="__hu1" localSheetId="27" hidden="1">{"'Sheet1'!$L$16"}</definedName>
    <definedName name="__hu1" localSheetId="28" hidden="1">{"'Sheet1'!$L$16"}</definedName>
    <definedName name="__hu1" localSheetId="29" hidden="1">{"'Sheet1'!$L$16"}</definedName>
    <definedName name="__hu1" localSheetId="31" hidden="1">{"'Sheet1'!$L$16"}</definedName>
    <definedName name="__hu1" localSheetId="30" hidden="1">{"'Sheet1'!$L$16"}</definedName>
    <definedName name="__hu1" localSheetId="17" hidden="1">{"'Sheet1'!$L$16"}</definedName>
    <definedName name="__hu1" localSheetId="18" hidden="1">{"'Sheet1'!$L$16"}</definedName>
    <definedName name="__hu1" hidden="1">{"'Sheet1'!$L$16"}</definedName>
    <definedName name="__hu2" localSheetId="20" hidden="1">{"'Sheet1'!$L$16"}</definedName>
    <definedName name="__hu2" localSheetId="19" hidden="1">{"'Sheet1'!$L$16"}</definedName>
    <definedName name="__hu2" localSheetId="26" hidden="1">{"'Sheet1'!$L$16"}</definedName>
    <definedName name="__hu2" localSheetId="24" hidden="1">{"'Sheet1'!$L$16"}</definedName>
    <definedName name="__hu2" localSheetId="32" hidden="1">{"'Sheet1'!$L$16"}</definedName>
    <definedName name="__hu2" localSheetId="27" hidden="1">{"'Sheet1'!$L$16"}</definedName>
    <definedName name="__hu2" localSheetId="28" hidden="1">{"'Sheet1'!$L$16"}</definedName>
    <definedName name="__hu2" localSheetId="29" hidden="1">{"'Sheet1'!$L$16"}</definedName>
    <definedName name="__hu2" localSheetId="31" hidden="1">{"'Sheet1'!$L$16"}</definedName>
    <definedName name="__hu2" localSheetId="30" hidden="1">{"'Sheet1'!$L$16"}</definedName>
    <definedName name="__hu2" localSheetId="17" hidden="1">{"'Sheet1'!$L$16"}</definedName>
    <definedName name="__hu2" localSheetId="18" hidden="1">{"'Sheet1'!$L$16"}</definedName>
    <definedName name="__hu2" hidden="1">{"'Sheet1'!$L$16"}</definedName>
    <definedName name="__hu5" localSheetId="20" hidden="1">{"'Sheet1'!$L$16"}</definedName>
    <definedName name="__hu5" localSheetId="19" hidden="1">{"'Sheet1'!$L$16"}</definedName>
    <definedName name="__hu5" localSheetId="26" hidden="1">{"'Sheet1'!$L$16"}</definedName>
    <definedName name="__hu5" localSheetId="24" hidden="1">{"'Sheet1'!$L$16"}</definedName>
    <definedName name="__hu5" localSheetId="32" hidden="1">{"'Sheet1'!$L$16"}</definedName>
    <definedName name="__hu5" localSheetId="27" hidden="1">{"'Sheet1'!$L$16"}</definedName>
    <definedName name="__hu5" localSheetId="28" hidden="1">{"'Sheet1'!$L$16"}</definedName>
    <definedName name="__hu5" localSheetId="29" hidden="1">{"'Sheet1'!$L$16"}</definedName>
    <definedName name="__hu5" localSheetId="31" hidden="1">{"'Sheet1'!$L$16"}</definedName>
    <definedName name="__hu5" localSheetId="30" hidden="1">{"'Sheet1'!$L$16"}</definedName>
    <definedName name="__hu5" localSheetId="17" hidden="1">{"'Sheet1'!$L$16"}</definedName>
    <definedName name="__hu5" localSheetId="18" hidden="1">{"'Sheet1'!$L$16"}</definedName>
    <definedName name="__hu5" hidden="1">{"'Sheet1'!$L$16"}</definedName>
    <definedName name="__hu6" localSheetId="20" hidden="1">{"'Sheet1'!$L$16"}</definedName>
    <definedName name="__hu6" localSheetId="19" hidden="1">{"'Sheet1'!$L$16"}</definedName>
    <definedName name="__hu6" localSheetId="26" hidden="1">{"'Sheet1'!$L$16"}</definedName>
    <definedName name="__hu6" localSheetId="24" hidden="1">{"'Sheet1'!$L$16"}</definedName>
    <definedName name="__hu6" localSheetId="32" hidden="1">{"'Sheet1'!$L$16"}</definedName>
    <definedName name="__hu6" localSheetId="27" hidden="1">{"'Sheet1'!$L$16"}</definedName>
    <definedName name="__hu6" localSheetId="28" hidden="1">{"'Sheet1'!$L$16"}</definedName>
    <definedName name="__hu6" localSheetId="29" hidden="1">{"'Sheet1'!$L$16"}</definedName>
    <definedName name="__hu6" localSheetId="31" hidden="1">{"'Sheet1'!$L$16"}</definedName>
    <definedName name="__hu6" localSheetId="30" hidden="1">{"'Sheet1'!$L$16"}</definedName>
    <definedName name="__hu6" localSheetId="17" hidden="1">{"'Sheet1'!$L$16"}</definedName>
    <definedName name="__hu6" localSheetId="18" hidden="1">{"'Sheet1'!$L$16"}</definedName>
    <definedName name="__hu6" hidden="1">{"'Sheet1'!$L$16"}</definedName>
    <definedName name="__IntlFixup" hidden="1">TRUE()</definedName>
    <definedName name="__Job01" localSheetId="32" hidden="1">#REF!</definedName>
    <definedName name="__Job01" localSheetId="27" hidden="1">#REF!</definedName>
    <definedName name="__Job01" localSheetId="18" hidden="1">#REF!</definedName>
    <definedName name="__Job01" hidden="1">#REF!</definedName>
    <definedName name="__KEY001" hidden="1">#REF!</definedName>
    <definedName name="__KEY002" hidden="1">#REF!</definedName>
    <definedName name="__KEY01" hidden="1">#REF!</definedName>
    <definedName name="__KEY02" hidden="1">#REF!</definedName>
    <definedName name="__key1" localSheetId="41" hidden="1">#REF!</definedName>
    <definedName name="__key1" localSheetId="42" hidden="1">#REF!</definedName>
    <definedName name="__key1" hidden="1">#REF!</definedName>
    <definedName name="__Lan1" localSheetId="20" hidden="1">{"'Sheet1'!$L$16"}</definedName>
    <definedName name="__Lan1" localSheetId="19" hidden="1">{"'Sheet1'!$L$16"}</definedName>
    <definedName name="__Lan1" localSheetId="26" hidden="1">{"'Sheet1'!$L$16"}</definedName>
    <definedName name="__Lan1" localSheetId="24" hidden="1">{"'Sheet1'!$L$16"}</definedName>
    <definedName name="__Lan1" localSheetId="32" hidden="1">{"'Sheet1'!$L$16"}</definedName>
    <definedName name="__Lan1" localSheetId="27" hidden="1">{"'Sheet1'!$L$16"}</definedName>
    <definedName name="__Lan1" localSheetId="28" hidden="1">{"'Sheet1'!$L$16"}</definedName>
    <definedName name="__Lan1" localSheetId="29" hidden="1">{"'Sheet1'!$L$16"}</definedName>
    <definedName name="__Lan1" localSheetId="31" hidden="1">{"'Sheet1'!$L$16"}</definedName>
    <definedName name="__Lan1" localSheetId="30" hidden="1">{"'Sheet1'!$L$16"}</definedName>
    <definedName name="__Lan1" localSheetId="17" hidden="1">{"'Sheet1'!$L$16"}</definedName>
    <definedName name="__Lan1" localSheetId="18" hidden="1">{"'Sheet1'!$L$16"}</definedName>
    <definedName name="__Lan1" hidden="1">{"'Sheet1'!$L$16"}</definedName>
    <definedName name="__LAN3" localSheetId="20" hidden="1">{"'Sheet1'!$L$16"}</definedName>
    <definedName name="__LAN3" localSheetId="19" hidden="1">{"'Sheet1'!$L$16"}</definedName>
    <definedName name="__LAN3" localSheetId="26" hidden="1">{"'Sheet1'!$L$16"}</definedName>
    <definedName name="__LAN3" localSheetId="24" hidden="1">{"'Sheet1'!$L$16"}</definedName>
    <definedName name="__LAN3" localSheetId="32" hidden="1">{"'Sheet1'!$L$16"}</definedName>
    <definedName name="__LAN3" localSheetId="27" hidden="1">{"'Sheet1'!$L$16"}</definedName>
    <definedName name="__LAN3" localSheetId="28" hidden="1">{"'Sheet1'!$L$16"}</definedName>
    <definedName name="__LAN3" localSheetId="29" hidden="1">{"'Sheet1'!$L$16"}</definedName>
    <definedName name="__LAN3" localSheetId="31" hidden="1">{"'Sheet1'!$L$16"}</definedName>
    <definedName name="__LAN3" localSheetId="30" hidden="1">{"'Sheet1'!$L$16"}</definedName>
    <definedName name="__LAN3" localSheetId="17" hidden="1">{"'Sheet1'!$L$16"}</definedName>
    <definedName name="__LAN3" localSheetId="18" hidden="1">{"'Sheet1'!$L$16"}</definedName>
    <definedName name="__LAN3" hidden="1">{"'Sheet1'!$L$16"}</definedName>
    <definedName name="__M6" localSheetId="20" hidden="1">{#N/A,#N/A,FALSE,"Chi tiÆt"}</definedName>
    <definedName name="__M6" localSheetId="19" hidden="1">{#N/A,#N/A,FALSE,"Chi tiÆt"}</definedName>
    <definedName name="__M6" localSheetId="26" hidden="1">{#N/A,#N/A,FALSE,"Chi tiÆt"}</definedName>
    <definedName name="__M6" localSheetId="24" hidden="1">{#N/A,#N/A,FALSE,"Chi tiÆt"}</definedName>
    <definedName name="__M6" localSheetId="32" hidden="1">{#N/A,#N/A,FALSE,"Chi tiÆt"}</definedName>
    <definedName name="__M6" localSheetId="27" hidden="1">{#N/A,#N/A,FALSE,"Chi tiÆt"}</definedName>
    <definedName name="__M6" localSheetId="28" hidden="1">{#N/A,#N/A,FALSE,"Chi tiÆt"}</definedName>
    <definedName name="__M6" localSheetId="29" hidden="1">{#N/A,#N/A,FALSE,"Chi tiÆt"}</definedName>
    <definedName name="__M6" localSheetId="31" hidden="1">{#N/A,#N/A,FALSE,"Chi tiÆt"}</definedName>
    <definedName name="__M6" localSheetId="30" hidden="1">{#N/A,#N/A,FALSE,"Chi tiÆt"}</definedName>
    <definedName name="__M6" localSheetId="17" hidden="1">{#N/A,#N/A,FALSE,"Chi tiÆt"}</definedName>
    <definedName name="__M6" localSheetId="18" hidden="1">{#N/A,#N/A,FALSE,"Chi tiÆt"}</definedName>
    <definedName name="__M6" hidden="1">{#N/A,#N/A,FALSE,"Chi tiÆt"}</definedName>
    <definedName name="__Q2" localSheetId="20" hidden="1">{"'Overflow Tank '!$A$1:$Q$58"}</definedName>
    <definedName name="__Q2" localSheetId="19" hidden="1">{"'Overflow Tank '!$A$1:$Q$58"}</definedName>
    <definedName name="__Q2" localSheetId="26" hidden="1">{"'Overflow Tank '!$A$1:$Q$58"}</definedName>
    <definedName name="__Q2" localSheetId="24" hidden="1">{"'Overflow Tank '!$A$1:$Q$58"}</definedName>
    <definedName name="__Q2" localSheetId="32" hidden="1">{"'Overflow Tank '!$A$1:$Q$58"}</definedName>
    <definedName name="__Q2" localSheetId="27" hidden="1">{"'Overflow Tank '!$A$1:$Q$58"}</definedName>
    <definedName name="__Q2" localSheetId="28" hidden="1">{"'Overflow Tank '!$A$1:$Q$58"}</definedName>
    <definedName name="__Q2" localSheetId="29" hidden="1">{"'Overflow Tank '!$A$1:$Q$58"}</definedName>
    <definedName name="__Q2" localSheetId="31" hidden="1">{"'Overflow Tank '!$A$1:$Q$58"}</definedName>
    <definedName name="__Q2" localSheetId="30" hidden="1">{"'Overflow Tank '!$A$1:$Q$58"}</definedName>
    <definedName name="__Q2" localSheetId="17" hidden="1">{"'Overflow Tank '!$A$1:$Q$58"}</definedName>
    <definedName name="__Q2" localSheetId="18" hidden="1">{"'Overflow Tank '!$A$1:$Q$58"}</definedName>
    <definedName name="__Q2" hidden="1">{"'Overflow Tank '!$A$1:$Q$58"}</definedName>
    <definedName name="__REV3" localSheetId="20" hidden="1">{#N/A,#N/A,FALSE,"REK-S-TPL";#N/A,#N/A,FALSE,"REK-TPML";#N/A,#N/A,FALSE,"RAB-TEMPEL"}</definedName>
    <definedName name="__REV3" localSheetId="19" hidden="1">{#N/A,#N/A,FALSE,"REK-S-TPL";#N/A,#N/A,FALSE,"REK-TPML";#N/A,#N/A,FALSE,"RAB-TEMPEL"}</definedName>
    <definedName name="__REV3" localSheetId="26" hidden="1">{#N/A,#N/A,FALSE,"REK-S-TPL";#N/A,#N/A,FALSE,"REK-TPML";#N/A,#N/A,FALSE,"RAB-TEMPEL"}</definedName>
    <definedName name="__REV3" localSheetId="24" hidden="1">{#N/A,#N/A,FALSE,"REK-S-TPL";#N/A,#N/A,FALSE,"REK-TPML";#N/A,#N/A,FALSE,"RAB-TEMPEL"}</definedName>
    <definedName name="__REV3" localSheetId="32" hidden="1">{#N/A,#N/A,FALSE,"REK-S-TPL";#N/A,#N/A,FALSE,"REK-TPML";#N/A,#N/A,FALSE,"RAB-TEMPEL"}</definedName>
    <definedName name="__REV3" localSheetId="27" hidden="1">{#N/A,#N/A,FALSE,"REK-S-TPL";#N/A,#N/A,FALSE,"REK-TPML";#N/A,#N/A,FALSE,"RAB-TEMPEL"}</definedName>
    <definedName name="__REV3" localSheetId="28" hidden="1">{#N/A,#N/A,FALSE,"REK-S-TPL";#N/A,#N/A,FALSE,"REK-TPML";#N/A,#N/A,FALSE,"RAB-TEMPEL"}</definedName>
    <definedName name="__REV3" localSheetId="29" hidden="1">{#N/A,#N/A,FALSE,"REK-S-TPL";#N/A,#N/A,FALSE,"REK-TPML";#N/A,#N/A,FALSE,"RAB-TEMPEL"}</definedName>
    <definedName name="__REV3" localSheetId="31" hidden="1">{#N/A,#N/A,FALSE,"REK-S-TPL";#N/A,#N/A,FALSE,"REK-TPML";#N/A,#N/A,FALSE,"RAB-TEMPEL"}</definedName>
    <definedName name="__REV3" localSheetId="30" hidden="1">{#N/A,#N/A,FALSE,"REK-S-TPL";#N/A,#N/A,FALSE,"REK-TPML";#N/A,#N/A,FALSE,"RAB-TEMPEL"}</definedName>
    <definedName name="__REV3" localSheetId="17" hidden="1">{#N/A,#N/A,FALSE,"REK-S-TPL";#N/A,#N/A,FALSE,"REK-TPML";#N/A,#N/A,FALSE,"RAB-TEMPEL"}</definedName>
    <definedName name="__REV3" localSheetId="18" hidden="1">{#N/A,#N/A,FALSE,"REK-S-TPL";#N/A,#N/A,FALSE,"REK-TPML";#N/A,#N/A,FALSE,"RAB-TEMPEL"}</definedName>
    <definedName name="__REV3" hidden="1">{#N/A,#N/A,FALSE,"REK-S-TPL";#N/A,#N/A,FALSE,"REK-TPML";#N/A,#N/A,FALSE,"RAB-TEMPEL"}</definedName>
    <definedName name="__SLA2009" localSheetId="20" hidden="1">{#N/A,#N/A,FALSE,"M.32"}</definedName>
    <definedName name="__SLA2009" localSheetId="19" hidden="1">{#N/A,#N/A,FALSE,"M.32"}</definedName>
    <definedName name="__SLA2009" localSheetId="26" hidden="1">{#N/A,#N/A,FALSE,"M.32"}</definedName>
    <definedName name="__SLA2009" localSheetId="24" hidden="1">{#N/A,#N/A,FALSE,"M.32"}</definedName>
    <definedName name="__SLA2009" localSheetId="32" hidden="1">{#N/A,#N/A,FALSE,"M.32"}</definedName>
    <definedName name="__SLA2009" localSheetId="27" hidden="1">{#N/A,#N/A,FALSE,"M.32"}</definedName>
    <definedName name="__SLA2009" localSheetId="28" hidden="1">{#N/A,#N/A,FALSE,"M.32"}</definedName>
    <definedName name="__SLA2009" localSheetId="29" hidden="1">{#N/A,#N/A,FALSE,"M.32"}</definedName>
    <definedName name="__SLA2009" localSheetId="31" hidden="1">{#N/A,#N/A,FALSE,"M.32"}</definedName>
    <definedName name="__SLA2009" localSheetId="30" hidden="1">{#N/A,#N/A,FALSE,"M.32"}</definedName>
    <definedName name="__SLA2009" localSheetId="17" hidden="1">{#N/A,#N/A,FALSE,"M.32"}</definedName>
    <definedName name="__SLA2009" localSheetId="18" hidden="1">{#N/A,#N/A,FALSE,"M.32"}</definedName>
    <definedName name="__SLA2009" hidden="1">{#N/A,#N/A,FALSE,"M.32"}</definedName>
    <definedName name="__t1" localSheetId="20" hidden="1">{"Offgrid",#N/A,FALSE,"OFFGRID";"Region",#N/A,FALSE,"REGION";"Offgrid -2",#N/A,FALSE,"OFFGRID";"WTP",#N/A,FALSE,"WTP";"WTP -2",#N/A,FALSE,"WTP";"Project",#N/A,FALSE,"PROJECT";"Summary -2",#N/A,FALSE,"SUMMARY"}</definedName>
    <definedName name="__t1" localSheetId="19" hidden="1">{"Offgrid",#N/A,FALSE,"OFFGRID";"Region",#N/A,FALSE,"REGION";"Offgrid -2",#N/A,FALSE,"OFFGRID";"WTP",#N/A,FALSE,"WTP";"WTP -2",#N/A,FALSE,"WTP";"Project",#N/A,FALSE,"PROJECT";"Summary -2",#N/A,FALSE,"SUMMARY"}</definedName>
    <definedName name="__t1" localSheetId="26" hidden="1">{"Offgrid",#N/A,FALSE,"OFFGRID";"Region",#N/A,FALSE,"REGION";"Offgrid -2",#N/A,FALSE,"OFFGRID";"WTP",#N/A,FALSE,"WTP";"WTP -2",#N/A,FALSE,"WTP";"Project",#N/A,FALSE,"PROJECT";"Summary -2",#N/A,FALSE,"SUMMARY"}</definedName>
    <definedName name="__t1" localSheetId="24" hidden="1">{"Offgrid",#N/A,FALSE,"OFFGRID";"Region",#N/A,FALSE,"REGION";"Offgrid -2",#N/A,FALSE,"OFFGRID";"WTP",#N/A,FALSE,"WTP";"WTP -2",#N/A,FALSE,"WTP";"Project",#N/A,FALSE,"PROJECT";"Summary -2",#N/A,FALSE,"SUMMARY"}</definedName>
    <definedName name="__t1" localSheetId="32" hidden="1">{"Offgrid",#N/A,FALSE,"OFFGRID";"Region",#N/A,FALSE,"REGION";"Offgrid -2",#N/A,FALSE,"OFFGRID";"WTP",#N/A,FALSE,"WTP";"WTP -2",#N/A,FALSE,"WTP";"Project",#N/A,FALSE,"PROJECT";"Summary -2",#N/A,FALSE,"SUMMARY"}</definedName>
    <definedName name="__t1" localSheetId="27" hidden="1">{"Offgrid",#N/A,FALSE,"OFFGRID";"Region",#N/A,FALSE,"REGION";"Offgrid -2",#N/A,FALSE,"OFFGRID";"WTP",#N/A,FALSE,"WTP";"WTP -2",#N/A,FALSE,"WTP";"Project",#N/A,FALSE,"PROJECT";"Summary -2",#N/A,FALSE,"SUMMARY"}</definedName>
    <definedName name="__t1" localSheetId="28" hidden="1">{"Offgrid",#N/A,FALSE,"OFFGRID";"Region",#N/A,FALSE,"REGION";"Offgrid -2",#N/A,FALSE,"OFFGRID";"WTP",#N/A,FALSE,"WTP";"WTP -2",#N/A,FALSE,"WTP";"Project",#N/A,FALSE,"PROJECT";"Summary -2",#N/A,FALSE,"SUMMARY"}</definedName>
    <definedName name="__t1" localSheetId="29" hidden="1">{"Offgrid",#N/A,FALSE,"OFFGRID";"Region",#N/A,FALSE,"REGION";"Offgrid -2",#N/A,FALSE,"OFFGRID";"WTP",#N/A,FALSE,"WTP";"WTP -2",#N/A,FALSE,"WTP";"Project",#N/A,FALSE,"PROJECT";"Summary -2",#N/A,FALSE,"SUMMARY"}</definedName>
    <definedName name="__t1" localSheetId="31" hidden="1">{"Offgrid",#N/A,FALSE,"OFFGRID";"Region",#N/A,FALSE,"REGION";"Offgrid -2",#N/A,FALSE,"OFFGRID";"WTP",#N/A,FALSE,"WTP";"WTP -2",#N/A,FALSE,"WTP";"Project",#N/A,FALSE,"PROJECT";"Summary -2",#N/A,FALSE,"SUMMARY"}</definedName>
    <definedName name="__t1" localSheetId="30" hidden="1">{"Offgrid",#N/A,FALSE,"OFFGRID";"Region",#N/A,FALSE,"REGION";"Offgrid -2",#N/A,FALSE,"OFFGRID";"WTP",#N/A,FALSE,"WTP";"WTP -2",#N/A,FALSE,"WTP";"Project",#N/A,FALSE,"PROJECT";"Summary -2",#N/A,FALSE,"SUMMARY"}</definedName>
    <definedName name="__t1" localSheetId="17" hidden="1">{"Offgrid",#N/A,FALSE,"OFFGRID";"Region",#N/A,FALSE,"REGION";"Offgrid -2",#N/A,FALSE,"OFFGRID";"WTP",#N/A,FALSE,"WTP";"WTP -2",#N/A,FALSE,"WTP";"Project",#N/A,FALSE,"PROJECT";"Summary -2",#N/A,FALSE,"SUMMARY"}</definedName>
    <definedName name="__t1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t1" hidden="1">{"Offgrid",#N/A,FALSE,"OFFGRID";"Region",#N/A,FALSE,"REGION";"Offgrid -2",#N/A,FALSE,"OFFGRID";"WTP",#N/A,FALSE,"WTP";"WTP -2",#N/A,FALSE,"WTP";"Project",#N/A,FALSE,"PROJECT";"Summary -2",#N/A,FALSE,"SUMMARY"}</definedName>
    <definedName name="__t2" localSheetId="20" hidden="1">{"Offgrid",#N/A,FALSE,"OFFGRID";"Region",#N/A,FALSE,"REGION";"Offgrid -2",#N/A,FALSE,"OFFGRID";"WTP",#N/A,FALSE,"WTP";"WTP -2",#N/A,FALSE,"WTP";"Project",#N/A,FALSE,"PROJECT";"Summary -2",#N/A,FALSE,"SUMMARY"}</definedName>
    <definedName name="__t2" localSheetId="19" hidden="1">{"Offgrid",#N/A,FALSE,"OFFGRID";"Region",#N/A,FALSE,"REGION";"Offgrid -2",#N/A,FALSE,"OFFGRID";"WTP",#N/A,FALSE,"WTP";"WTP -2",#N/A,FALSE,"WTP";"Project",#N/A,FALSE,"PROJECT";"Summary -2",#N/A,FALSE,"SUMMARY"}</definedName>
    <definedName name="__t2" localSheetId="26" hidden="1">{"Offgrid",#N/A,FALSE,"OFFGRID";"Region",#N/A,FALSE,"REGION";"Offgrid -2",#N/A,FALSE,"OFFGRID";"WTP",#N/A,FALSE,"WTP";"WTP -2",#N/A,FALSE,"WTP";"Project",#N/A,FALSE,"PROJECT";"Summary -2",#N/A,FALSE,"SUMMARY"}</definedName>
    <definedName name="__t2" localSheetId="24" hidden="1">{"Offgrid",#N/A,FALSE,"OFFGRID";"Region",#N/A,FALSE,"REGION";"Offgrid -2",#N/A,FALSE,"OFFGRID";"WTP",#N/A,FALSE,"WTP";"WTP -2",#N/A,FALSE,"WTP";"Project",#N/A,FALSE,"PROJECT";"Summary -2",#N/A,FALSE,"SUMMARY"}</definedName>
    <definedName name="__t2" localSheetId="32" hidden="1">{"Offgrid",#N/A,FALSE,"OFFGRID";"Region",#N/A,FALSE,"REGION";"Offgrid -2",#N/A,FALSE,"OFFGRID";"WTP",#N/A,FALSE,"WTP";"WTP -2",#N/A,FALSE,"WTP";"Project",#N/A,FALSE,"PROJECT";"Summary -2",#N/A,FALSE,"SUMMARY"}</definedName>
    <definedName name="__t2" localSheetId="27" hidden="1">{"Offgrid",#N/A,FALSE,"OFFGRID";"Region",#N/A,FALSE,"REGION";"Offgrid -2",#N/A,FALSE,"OFFGRID";"WTP",#N/A,FALSE,"WTP";"WTP -2",#N/A,FALSE,"WTP";"Project",#N/A,FALSE,"PROJECT";"Summary -2",#N/A,FALSE,"SUMMARY"}</definedName>
    <definedName name="__t2" localSheetId="28" hidden="1">{"Offgrid",#N/A,FALSE,"OFFGRID";"Region",#N/A,FALSE,"REGION";"Offgrid -2",#N/A,FALSE,"OFFGRID";"WTP",#N/A,FALSE,"WTP";"WTP -2",#N/A,FALSE,"WTP";"Project",#N/A,FALSE,"PROJECT";"Summary -2",#N/A,FALSE,"SUMMARY"}</definedName>
    <definedName name="__t2" localSheetId="29" hidden="1">{"Offgrid",#N/A,FALSE,"OFFGRID";"Region",#N/A,FALSE,"REGION";"Offgrid -2",#N/A,FALSE,"OFFGRID";"WTP",#N/A,FALSE,"WTP";"WTP -2",#N/A,FALSE,"WTP";"Project",#N/A,FALSE,"PROJECT";"Summary -2",#N/A,FALSE,"SUMMARY"}</definedName>
    <definedName name="__t2" localSheetId="31" hidden="1">{"Offgrid",#N/A,FALSE,"OFFGRID";"Region",#N/A,FALSE,"REGION";"Offgrid -2",#N/A,FALSE,"OFFGRID";"WTP",#N/A,FALSE,"WTP";"WTP -2",#N/A,FALSE,"WTP";"Project",#N/A,FALSE,"PROJECT";"Summary -2",#N/A,FALSE,"SUMMARY"}</definedName>
    <definedName name="__t2" localSheetId="30" hidden="1">{"Offgrid",#N/A,FALSE,"OFFGRID";"Region",#N/A,FALSE,"REGION";"Offgrid -2",#N/A,FALSE,"OFFGRID";"WTP",#N/A,FALSE,"WTP";"WTP -2",#N/A,FALSE,"WTP";"Project",#N/A,FALSE,"PROJECT";"Summary -2",#N/A,FALSE,"SUMMARY"}</definedName>
    <definedName name="__t2" localSheetId="17" hidden="1">{"Offgrid",#N/A,FALSE,"OFFGRID";"Region",#N/A,FALSE,"REGION";"Offgrid -2",#N/A,FALSE,"OFFGRID";"WTP",#N/A,FALSE,"WTP";"WTP -2",#N/A,FALSE,"WTP";"Project",#N/A,FALSE,"PROJECT";"Summary -2",#N/A,FALSE,"SUMMARY"}</definedName>
    <definedName name="__t2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t2" hidden="1">{"Offgrid",#N/A,FALSE,"OFFGRID";"Region",#N/A,FALSE,"REGION";"Offgrid -2",#N/A,FALSE,"OFFGRID";"WTP",#N/A,FALSE,"WTP";"WTP -2",#N/A,FALSE,"WTP";"Project",#N/A,FALSE,"PROJECT";"Summary -2",#N/A,FALSE,"SUMMARY"}</definedName>
    <definedName name="__t3" localSheetId="20" hidden="1">{"Offgrid",#N/A,FALSE,"OFFGRID";"Region",#N/A,FALSE,"REGION";"Offgrid -2",#N/A,FALSE,"OFFGRID";"WTP",#N/A,FALSE,"WTP";"WTP -2",#N/A,FALSE,"WTP";"Project",#N/A,FALSE,"PROJECT";"Summary -2",#N/A,FALSE,"SUMMARY"}</definedName>
    <definedName name="__t3" localSheetId="19" hidden="1">{"Offgrid",#N/A,FALSE,"OFFGRID";"Region",#N/A,FALSE,"REGION";"Offgrid -2",#N/A,FALSE,"OFFGRID";"WTP",#N/A,FALSE,"WTP";"WTP -2",#N/A,FALSE,"WTP";"Project",#N/A,FALSE,"PROJECT";"Summary -2",#N/A,FALSE,"SUMMARY"}</definedName>
    <definedName name="__t3" localSheetId="26" hidden="1">{"Offgrid",#N/A,FALSE,"OFFGRID";"Region",#N/A,FALSE,"REGION";"Offgrid -2",#N/A,FALSE,"OFFGRID";"WTP",#N/A,FALSE,"WTP";"WTP -2",#N/A,FALSE,"WTP";"Project",#N/A,FALSE,"PROJECT";"Summary -2",#N/A,FALSE,"SUMMARY"}</definedName>
    <definedName name="__t3" localSheetId="24" hidden="1">{"Offgrid",#N/A,FALSE,"OFFGRID";"Region",#N/A,FALSE,"REGION";"Offgrid -2",#N/A,FALSE,"OFFGRID";"WTP",#N/A,FALSE,"WTP";"WTP -2",#N/A,FALSE,"WTP";"Project",#N/A,FALSE,"PROJECT";"Summary -2",#N/A,FALSE,"SUMMARY"}</definedName>
    <definedName name="__t3" localSheetId="32" hidden="1">{"Offgrid",#N/A,FALSE,"OFFGRID";"Region",#N/A,FALSE,"REGION";"Offgrid -2",#N/A,FALSE,"OFFGRID";"WTP",#N/A,FALSE,"WTP";"WTP -2",#N/A,FALSE,"WTP";"Project",#N/A,FALSE,"PROJECT";"Summary -2",#N/A,FALSE,"SUMMARY"}</definedName>
    <definedName name="__t3" localSheetId="27" hidden="1">{"Offgrid",#N/A,FALSE,"OFFGRID";"Region",#N/A,FALSE,"REGION";"Offgrid -2",#N/A,FALSE,"OFFGRID";"WTP",#N/A,FALSE,"WTP";"WTP -2",#N/A,FALSE,"WTP";"Project",#N/A,FALSE,"PROJECT";"Summary -2",#N/A,FALSE,"SUMMARY"}</definedName>
    <definedName name="__t3" localSheetId="28" hidden="1">{"Offgrid",#N/A,FALSE,"OFFGRID";"Region",#N/A,FALSE,"REGION";"Offgrid -2",#N/A,FALSE,"OFFGRID";"WTP",#N/A,FALSE,"WTP";"WTP -2",#N/A,FALSE,"WTP";"Project",#N/A,FALSE,"PROJECT";"Summary -2",#N/A,FALSE,"SUMMARY"}</definedName>
    <definedName name="__t3" localSheetId="29" hidden="1">{"Offgrid",#N/A,FALSE,"OFFGRID";"Region",#N/A,FALSE,"REGION";"Offgrid -2",#N/A,FALSE,"OFFGRID";"WTP",#N/A,FALSE,"WTP";"WTP -2",#N/A,FALSE,"WTP";"Project",#N/A,FALSE,"PROJECT";"Summary -2",#N/A,FALSE,"SUMMARY"}</definedName>
    <definedName name="__t3" localSheetId="31" hidden="1">{"Offgrid",#N/A,FALSE,"OFFGRID";"Region",#N/A,FALSE,"REGION";"Offgrid -2",#N/A,FALSE,"OFFGRID";"WTP",#N/A,FALSE,"WTP";"WTP -2",#N/A,FALSE,"WTP";"Project",#N/A,FALSE,"PROJECT";"Summary -2",#N/A,FALSE,"SUMMARY"}</definedName>
    <definedName name="__t3" localSheetId="30" hidden="1">{"Offgrid",#N/A,FALSE,"OFFGRID";"Region",#N/A,FALSE,"REGION";"Offgrid -2",#N/A,FALSE,"OFFGRID";"WTP",#N/A,FALSE,"WTP";"WTP -2",#N/A,FALSE,"WTP";"Project",#N/A,FALSE,"PROJECT";"Summary -2",#N/A,FALSE,"SUMMARY"}</definedName>
    <definedName name="__t3" localSheetId="17" hidden="1">{"Offgrid",#N/A,FALSE,"OFFGRID";"Region",#N/A,FALSE,"REGION";"Offgrid -2",#N/A,FALSE,"OFFGRID";"WTP",#N/A,FALSE,"WTP";"WTP -2",#N/A,FALSE,"WTP";"Project",#N/A,FALSE,"PROJECT";"Summary -2",#N/A,FALSE,"SUMMARY"}</definedName>
    <definedName name="__t3" localSheetId="18" hidden="1">{"Offgrid",#N/A,FALSE,"OFFGRID";"Region",#N/A,FALSE,"REGION";"Offgrid -2",#N/A,FALSE,"OFFGRID";"WTP",#N/A,FALSE,"WTP";"WTP -2",#N/A,FALSE,"WTP";"Project",#N/A,FALSE,"PROJECT";"Summary -2",#N/A,FALSE,"SUMMARY"}</definedName>
    <definedName name="__t3" hidden="1">{"Offgrid",#N/A,FALSE,"OFFGRID";"Region",#N/A,FALSE,"REGION";"Offgrid -2",#N/A,FALSE,"OFFGRID";"WTP",#N/A,FALSE,"WTP";"WTP -2",#N/A,FALSE,"WTP";"Project",#N/A,FALSE,"PROJECT";"Summary -2",#N/A,FALSE,"SUMMARY"}</definedName>
    <definedName name="__TH1" localSheetId="20" hidden="1">{#N/A,#N/A,FALSE,"M.34"}</definedName>
    <definedName name="__TH1" localSheetId="19" hidden="1">{#N/A,#N/A,FALSE,"M.34"}</definedName>
    <definedName name="__TH1" localSheetId="26" hidden="1">{#N/A,#N/A,FALSE,"M.34"}</definedName>
    <definedName name="__TH1" localSheetId="24" hidden="1">{#N/A,#N/A,FALSE,"M.34"}</definedName>
    <definedName name="__TH1" localSheetId="32" hidden="1">{#N/A,#N/A,FALSE,"M.34"}</definedName>
    <definedName name="__TH1" localSheetId="27" hidden="1">{#N/A,#N/A,FALSE,"M.34"}</definedName>
    <definedName name="__TH1" localSheetId="28" hidden="1">{#N/A,#N/A,FALSE,"M.34"}</definedName>
    <definedName name="__TH1" localSheetId="29" hidden="1">{#N/A,#N/A,FALSE,"M.34"}</definedName>
    <definedName name="__TH1" localSheetId="31" hidden="1">{#N/A,#N/A,FALSE,"M.34"}</definedName>
    <definedName name="__TH1" localSheetId="30" hidden="1">{#N/A,#N/A,FALSE,"M.34"}</definedName>
    <definedName name="__TH1" localSheetId="17" hidden="1">{#N/A,#N/A,FALSE,"M.34"}</definedName>
    <definedName name="__TH1" localSheetId="18" hidden="1">{#N/A,#N/A,FALSE,"M.34"}</definedName>
    <definedName name="__TH1" hidden="1">{#N/A,#N/A,FALSE,"M.34"}</definedName>
    <definedName name="__th2" localSheetId="20" hidden="1">{#N/A,#N/A,FALSE,"M.42"}</definedName>
    <definedName name="__th2" localSheetId="19" hidden="1">{#N/A,#N/A,FALSE,"M.42"}</definedName>
    <definedName name="__th2" localSheetId="26" hidden="1">{#N/A,#N/A,FALSE,"M.42"}</definedName>
    <definedName name="__th2" localSheetId="24" hidden="1">{#N/A,#N/A,FALSE,"M.42"}</definedName>
    <definedName name="__th2" localSheetId="32" hidden="1">{#N/A,#N/A,FALSE,"M.42"}</definedName>
    <definedName name="__th2" localSheetId="27" hidden="1">{#N/A,#N/A,FALSE,"M.42"}</definedName>
    <definedName name="__th2" localSheetId="28" hidden="1">{#N/A,#N/A,FALSE,"M.42"}</definedName>
    <definedName name="__th2" localSheetId="29" hidden="1">{#N/A,#N/A,FALSE,"M.42"}</definedName>
    <definedName name="__th2" localSheetId="31" hidden="1">{#N/A,#N/A,FALSE,"M.42"}</definedName>
    <definedName name="__th2" localSheetId="30" hidden="1">{#N/A,#N/A,FALSE,"M.42"}</definedName>
    <definedName name="__th2" localSheetId="17" hidden="1">{#N/A,#N/A,FALSE,"M.42"}</definedName>
    <definedName name="__th2" localSheetId="18" hidden="1">{#N/A,#N/A,FALSE,"M.42"}</definedName>
    <definedName name="__th2" hidden="1">{#N/A,#N/A,FALSE,"M.42"}</definedName>
    <definedName name="__tt3" localSheetId="20" hidden="1">{"'Sheet1'!$L$16"}</definedName>
    <definedName name="__tt3" localSheetId="19" hidden="1">{"'Sheet1'!$L$16"}</definedName>
    <definedName name="__tt3" localSheetId="26" hidden="1">{"'Sheet1'!$L$16"}</definedName>
    <definedName name="__tt3" localSheetId="24" hidden="1">{"'Sheet1'!$L$16"}</definedName>
    <definedName name="__tt3" localSheetId="32" hidden="1">{"'Sheet1'!$L$16"}</definedName>
    <definedName name="__tt3" localSheetId="27" hidden="1">{"'Sheet1'!$L$16"}</definedName>
    <definedName name="__tt3" localSheetId="28" hidden="1">{"'Sheet1'!$L$16"}</definedName>
    <definedName name="__tt3" localSheetId="29" hidden="1">{"'Sheet1'!$L$16"}</definedName>
    <definedName name="__tt3" localSheetId="31" hidden="1">{"'Sheet1'!$L$16"}</definedName>
    <definedName name="__tt3" localSheetId="30" hidden="1">{"'Sheet1'!$L$16"}</definedName>
    <definedName name="__tt3" localSheetId="17" hidden="1">{"'Sheet1'!$L$16"}</definedName>
    <definedName name="__tt3" localSheetId="18" hidden="1">{"'Sheet1'!$L$16"}</definedName>
    <definedName name="__tt3" hidden="1">{"'Sheet1'!$L$16"}</definedName>
    <definedName name="__xlfn.BAHTTEXT" hidden="1">#NAME?</definedName>
    <definedName name="__YA1" localSheetId="20" hidden="1">{"'1996'!$A$1:$J$272"}</definedName>
    <definedName name="__YA1" localSheetId="19" hidden="1">{"'1996'!$A$1:$J$272"}</definedName>
    <definedName name="__YA1" localSheetId="26" hidden="1">{"'1996'!$A$1:$J$272"}</definedName>
    <definedName name="__YA1" localSheetId="24" hidden="1">{"'1996'!$A$1:$J$272"}</definedName>
    <definedName name="__YA1" localSheetId="32" hidden="1">{"'1996'!$A$1:$J$272"}</definedName>
    <definedName name="__YA1" localSheetId="27" hidden="1">{"'1996'!$A$1:$J$272"}</definedName>
    <definedName name="__YA1" localSheetId="28" hidden="1">{"'1996'!$A$1:$J$272"}</definedName>
    <definedName name="__YA1" localSheetId="29" hidden="1">{"'1996'!$A$1:$J$272"}</definedName>
    <definedName name="__YA1" localSheetId="31" hidden="1">{"'1996'!$A$1:$J$272"}</definedName>
    <definedName name="__YA1" localSheetId="30" hidden="1">{"'1996'!$A$1:$J$272"}</definedName>
    <definedName name="__YA1" localSheetId="17" hidden="1">{"'1996'!$A$1:$J$272"}</definedName>
    <definedName name="__YA1" localSheetId="18" hidden="1">{"'1996'!$A$1:$J$272"}</definedName>
    <definedName name="__YA1" hidden="1">{"'1996'!$A$1:$J$272"}</definedName>
    <definedName name="_001" localSheetId="2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" localSheetId="1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" localSheetId="2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" localSheetId="2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" localSheetId="3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" localSheetId="2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" localSheetId="2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" localSheetId="2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" localSheetId="3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" localSheetId="3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" localSheetId="1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2" localSheetId="2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2" localSheetId="1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2" localSheetId="2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2" localSheetId="2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2" localSheetId="3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2" localSheetId="2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2" localSheetId="2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2" localSheetId="2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2" localSheetId="3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2" localSheetId="3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2" localSheetId="1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2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1________________________________________________________________123Graph_AChart_2A" localSheetId="32" hidden="1">#REF!</definedName>
    <definedName name="_1________________________________________________________________123Graph_AChart_2A" hidden="1">#REF!</definedName>
    <definedName name="_1___________123Graph_ACHART_1" localSheetId="32" hidden="1">#REF!</definedName>
    <definedName name="_1___________123Graph_ACHART_1" hidden="1">#REF!</definedName>
    <definedName name="_1_______123Graph_ACHART_1" localSheetId="32" hidden="1">#REF!</definedName>
    <definedName name="_1_______123Graph_ACHART_1" hidden="1">#REF!</definedName>
    <definedName name="_1__123Graph_A_KOMP2.WK1_KOMP" hidden="1">#REF!</definedName>
    <definedName name="_1__123Graph_ACHART_1" hidden="1">#REF!</definedName>
    <definedName name="_1__123Graph_AChart_10A" hidden="1">#REF!</definedName>
    <definedName name="_1__123Graph_ACHART_2" localSheetId="41" hidden="1">#REF!</definedName>
    <definedName name="_1__123Graph_ACHART_2" localSheetId="42" hidden="1">#REF!</definedName>
    <definedName name="_1__123Graph_ACHART_2" hidden="1">#REF!</definedName>
    <definedName name="_1__123Graph_AChart_2A" hidden="1">#REF!</definedName>
    <definedName name="_10______________________________________________________________123Graph_AChart_3A" localSheetId="20" hidden="1">#REF!</definedName>
    <definedName name="_10______________________________________________________________123Graph_AChart_3A" localSheetId="19" hidden="1">#REF!</definedName>
    <definedName name="_10______________________________________________________________123Graph_AChart_3A" localSheetId="32" hidden="1">#REF!</definedName>
    <definedName name="_10______________________________________________________________123Graph_AChart_3A" localSheetId="27" hidden="1">#REF!</definedName>
    <definedName name="_10______________________________________________________________123Graph_AChart_3A" localSheetId="28" hidden="1">#REF!</definedName>
    <definedName name="_10______________________________________________________________123Graph_AChart_3A" localSheetId="31" hidden="1">#REF!</definedName>
    <definedName name="_10______________________________________________________________123Graph_AChart_3A" localSheetId="30" hidden="1">#REF!</definedName>
    <definedName name="_10______________________________________________________________123Graph_AChart_3A" localSheetId="17" hidden="1">#REF!</definedName>
    <definedName name="_10______________________________________________________________123Graph_AChart_3A" localSheetId="18" hidden="1">#REF!</definedName>
    <definedName name="_10______________________________________________________________123Graph_AChart_3A" hidden="1">#REF!</definedName>
    <definedName name="_10__123Graph_ACHART_1" localSheetId="27" hidden="1">#REF!</definedName>
    <definedName name="_10__123Graph_ACHART_1" hidden="1">#REF!</definedName>
    <definedName name="_10__123Graph_ACHART_13" hidden="1">#REF!</definedName>
    <definedName name="_10__123Graph_AChart_19A" hidden="1">#REF!</definedName>
    <definedName name="_10__123Graph_ACHART_2" hidden="1">#REF!</definedName>
    <definedName name="_10__123Graph_AChart_2A" hidden="1">#REF!</definedName>
    <definedName name="_10__123Graph_AChart_3A" hidden="1">#REF!</definedName>
    <definedName name="_10__123Graph_CCHART_5L" localSheetId="41" hidden="1">#REF!</definedName>
    <definedName name="_10__123Graph_CCHART_5L" localSheetId="42" hidden="1">#REF!</definedName>
    <definedName name="_10__123Graph_CCHART_5L" hidden="1">#REF!</definedName>
    <definedName name="_10__123Graph_CG_KUM" hidden="1">#REF!</definedName>
    <definedName name="_100________________________________________123Graph_XChart_3A" hidden="1">#REF!</definedName>
    <definedName name="_100__123Graph_BCHART_10" hidden="1">#REF!</definedName>
    <definedName name="_100__123Graph_BCHART_8" hidden="1">#REF!</definedName>
    <definedName name="_101_______________________________________123Graph_AChart_2A" hidden="1">#REF!</definedName>
    <definedName name="_101__123Graph_BCHART_9" hidden="1">#REF!</definedName>
    <definedName name="_102_______________________________________123Graph_AChart_3A" hidden="1">#REF!</definedName>
    <definedName name="_102__123Graph_BCHART_11" hidden="1">#REF!</definedName>
    <definedName name="_103_______________________________________123Graph_XChart_2A" hidden="1">#REF!</definedName>
    <definedName name="_104_______________________________________123Graph_XChart_3A" hidden="1">#REF!</definedName>
    <definedName name="_104__123Graph_BCHART_12" hidden="1">#REF!</definedName>
    <definedName name="_105______________________________________123Graph_AChart_2A" hidden="1">#REF!</definedName>
    <definedName name="_106______________________________________123Graph_AChart_3A" hidden="1">#REF!</definedName>
    <definedName name="_106__123Graph_BCHART_13" hidden="1">#REF!</definedName>
    <definedName name="_107______________________________________123Graph_XChart_2A" hidden="1">#REF!</definedName>
    <definedName name="_108______________________________________123Graph_XChart_3A" hidden="1">#REF!</definedName>
    <definedName name="_108__123Graph_BCHART_14" hidden="1">#REF!</definedName>
    <definedName name="_109_____________________________________123Graph_AChart_2A" hidden="1">#REF!</definedName>
    <definedName name="_11______________________________________________________________123Graph_XChart_2A" hidden="1">#REF!</definedName>
    <definedName name="_11__123Graph_ACHART_1" hidden="1">#REF!</definedName>
    <definedName name="_11__123Graph_ACHART_20" hidden="1">#REF!</definedName>
    <definedName name="_11__123Graph_AChart_20A" hidden="1">#REF!</definedName>
    <definedName name="_11__123Graph_AChart_2A" hidden="1">#REF!</definedName>
    <definedName name="_11__123Graph_DCHART_3J" hidden="1">#REF!</definedName>
    <definedName name="_11__123Graph_XG_FLOW" hidden="1">#REF!</definedName>
    <definedName name="_110_____________________________________123Graph_AChart_3A" hidden="1">#REF!</definedName>
    <definedName name="_110__123Graph_BCHART_15" hidden="1">#REF!</definedName>
    <definedName name="_111_____________________________________123Graph_XChart_2A" hidden="1">#REF!</definedName>
    <definedName name="_112_____________________________________123Graph_XChart_3A" hidden="1">#REF!</definedName>
    <definedName name="_112__123Graph_BCHART_16" hidden="1">#REF!</definedName>
    <definedName name="_113____________________________________123Graph_AChart_2A" hidden="1">#REF!</definedName>
    <definedName name="_114____________________________________123Graph_AChart_3A" hidden="1">#REF!</definedName>
    <definedName name="_114__123Graph_BCHART_17" hidden="1">#REF!</definedName>
    <definedName name="_115____________________________________123Graph_XChart_2A" hidden="1">#REF!</definedName>
    <definedName name="_116____________________________________123Graph_XChart_3A" hidden="1">#REF!</definedName>
    <definedName name="_116__123Graph_BCHART_2" hidden="1">#REF!</definedName>
    <definedName name="_117___________________________________123Graph_AChart_2A" hidden="1">#REF!</definedName>
    <definedName name="_118___________________________________123Graph_AChart_3A" hidden="1">#REF!</definedName>
    <definedName name="_118__123Graph_BCHART_20" hidden="1">#REF!</definedName>
    <definedName name="_119___________________________________123Graph_XChart_2A" hidden="1">#REF!</definedName>
    <definedName name="_12______________________________________________________________123Graph_XChart_3A" hidden="1">#REF!</definedName>
    <definedName name="_12__123Graph_ACHART_14" hidden="1">#REF!</definedName>
    <definedName name="_12__123Graph_ACHART_21" hidden="1">#REF!</definedName>
    <definedName name="_12__123Graph_AChart_21A" hidden="1">#REF!</definedName>
    <definedName name="_12__123Graph_DCHART_4K" hidden="1">#REF!</definedName>
    <definedName name="_12__123Graph_XCHART_1" hidden="1">#REF!</definedName>
    <definedName name="_12__123Graph_XG_FLOW" hidden="1">#REF!</definedName>
    <definedName name="_120___________________________________123Graph_XChart_3A" hidden="1">#REF!</definedName>
    <definedName name="_120__123Graph_BCHART_21" hidden="1">#REF!</definedName>
    <definedName name="_121__________________________________123Graph_AChart_2A" hidden="1">#REF!</definedName>
    <definedName name="_122__________________________________123Graph_AChart_3A" hidden="1">#REF!</definedName>
    <definedName name="_122__123Graph_BCHART_22" hidden="1">#REF!</definedName>
    <definedName name="_123__________________________________123Graph_XChart_2A" hidden="1">#REF!</definedName>
    <definedName name="_123Graph_A2" hidden="1">#REF!</definedName>
    <definedName name="_123Graph_B2" hidden="1">#REF!</definedName>
    <definedName name="_123Graph_F" hidden="1">#REF!</definedName>
    <definedName name="_123Graph_X2" localSheetId="32" hidden="1">#REF!</definedName>
    <definedName name="_123Graph_X2" localSheetId="27" hidden="1">#REF!</definedName>
    <definedName name="_123Graph_X2" localSheetId="18" hidden="1">#REF!</definedName>
    <definedName name="_123Graph_X2" hidden="1">#REF!</definedName>
    <definedName name="_123sss" localSheetId="27" hidden="1">#REF!</definedName>
    <definedName name="_123sss" localSheetId="18" hidden="1">#REF!</definedName>
    <definedName name="_123sss" hidden="1">#REF!</definedName>
    <definedName name="_124__________________________________123Graph_XChart_3A" localSheetId="27" hidden="1">#REF!</definedName>
    <definedName name="_124__________________________________123Graph_XChart_3A" localSheetId="18" hidden="1">#REF!</definedName>
    <definedName name="_124__________________________________123Graph_XChart_3A" hidden="1">#REF!</definedName>
    <definedName name="_124__123Graph_BCHART_23" hidden="1">#REF!</definedName>
    <definedName name="_125_________________________________123Graph_AChart_2A" hidden="1">#REF!</definedName>
    <definedName name="_126_________________________________123Graph_AChart_3A" hidden="1">#REF!</definedName>
    <definedName name="_126__123Graph_BCHART_24" hidden="1">#REF!</definedName>
    <definedName name="_127_________________________________123Graph_XChart_2A" hidden="1">#REF!</definedName>
    <definedName name="_128_________________________________123Graph_XChart_3A" hidden="1">#REF!</definedName>
    <definedName name="_128__123Graph_BCHART_25" hidden="1">#REF!</definedName>
    <definedName name="_129________________________________123Graph_AChart_2A" hidden="1">#REF!</definedName>
    <definedName name="_13_____________________________________________________________123Graph_AChart_2A" hidden="1">#REF!</definedName>
    <definedName name="_13__123Graph_ACHART_22" hidden="1">#REF!</definedName>
    <definedName name="_13__123Graph_AChart_2A" hidden="1">#REF!</definedName>
    <definedName name="_13__123Graph_DCHART_5L" hidden="1">#REF!</definedName>
    <definedName name="_13__123Graph_XChart_2A" hidden="1">#REF!</definedName>
    <definedName name="_13__123Graph_XG_KUM" hidden="1">#REF!</definedName>
    <definedName name="_130________________________________123Graph_AChart_3A" hidden="1">#REF!</definedName>
    <definedName name="_130__123Graph_BCHART_26" hidden="1">#REF!</definedName>
    <definedName name="_131________________________________123Graph_XChart_2A" hidden="1">#REF!</definedName>
    <definedName name="_132________________________________123Graph_XChart_3A" hidden="1">#REF!</definedName>
    <definedName name="_132__123Graph_BCHART_27" hidden="1">#REF!</definedName>
    <definedName name="_133_______________________________123Graph_AChart_2A" hidden="1">#REF!</definedName>
    <definedName name="_134_______________________________123Graph_AChart_3A" hidden="1">#REF!</definedName>
    <definedName name="_134__123Graph_BCHART_28" hidden="1">#REF!</definedName>
    <definedName name="_135_______________________________123Graph_XChart_2A" hidden="1">#REF!</definedName>
    <definedName name="_136_______________________________123Graph_XChart_3A" hidden="1">#REF!</definedName>
    <definedName name="_136__123Graph_BCHART_29" hidden="1">#REF!</definedName>
    <definedName name="_137______________________________123Graph_AChart_2A" hidden="1">#REF!</definedName>
    <definedName name="_138______________________________123Graph_AChart_3A" hidden="1">#REF!</definedName>
    <definedName name="_138__123Graph_BCHART_3" hidden="1">#REF!</definedName>
    <definedName name="_139______________________________123Graph_XChart_2A" hidden="1">#REF!</definedName>
    <definedName name="_14_____________________________________________________________123Graph_AChart_3A" hidden="1">#REF!</definedName>
    <definedName name="_14__123Graph_ACHART_15" hidden="1">#REF!</definedName>
    <definedName name="_14__123Graph_ACHART_23" hidden="1">#REF!</definedName>
    <definedName name="_14__123Graph_AChart_3A" hidden="1">#REF!</definedName>
    <definedName name="_14__123Graph_ECHART_3J" hidden="1">#REF!</definedName>
    <definedName name="_14__123Graph_XCHART_1" hidden="1">#REF!</definedName>
    <definedName name="_14__123Graph_XChart_2A" hidden="1">#REF!</definedName>
    <definedName name="_14__123Graph_XG_KUM" hidden="1">#REF!</definedName>
    <definedName name="_140______________________________123Graph_XChart_3A" hidden="1">#REF!</definedName>
    <definedName name="_140__123Graph_BCHART_30" hidden="1">#REF!</definedName>
    <definedName name="_141_____________________________123Graph_AChart_2A" hidden="1">#REF!</definedName>
    <definedName name="_142_____________________________123Graph_AChart_3A" hidden="1">#REF!</definedName>
    <definedName name="_142__123Graph_BCHART_31" hidden="1">#REF!</definedName>
    <definedName name="_143_____________________________123Graph_XChart_2A" hidden="1">#REF!</definedName>
    <definedName name="_144_____________________________123Graph_XChart_3A" hidden="1">#REF!</definedName>
    <definedName name="_144__123Graph_BCHART_32" hidden="1">#REF!</definedName>
    <definedName name="_145____________________________123Graph_AChart_2A" hidden="1">#REF!</definedName>
    <definedName name="_146____________________________123Graph_AChart_3A" hidden="1">#REF!</definedName>
    <definedName name="_146__123Graph_BCHART_33" hidden="1">#REF!</definedName>
    <definedName name="_147____________________________123Graph_XChart_2A" hidden="1">#REF!</definedName>
    <definedName name="_148____________________________123Graph_XChart_3A" hidden="1">#REF!</definedName>
    <definedName name="_148__123Graph_BCHART_34" hidden="1">#REF!</definedName>
    <definedName name="_149___________________________123Graph_AChart_2A" hidden="1">#REF!</definedName>
    <definedName name="_15_____________________________________________________________123Graph_XChart_2A" hidden="1">#REF!</definedName>
    <definedName name="_15__123Graph_ACHART_24" hidden="1">#REF!</definedName>
    <definedName name="_15__123Graph_AChart_4A" hidden="1">#REF!</definedName>
    <definedName name="_15__123Graph_ECHART_5L" hidden="1">#REF!</definedName>
    <definedName name="_150___________________________123Graph_AChart_3A" hidden="1">#REF!</definedName>
    <definedName name="_150__123Graph_BCHART_35" hidden="1">#REF!</definedName>
    <definedName name="_151___________________________123Graph_XChart_2A" hidden="1">#REF!</definedName>
    <definedName name="_152___________________________123Graph_XChart_3A" hidden="1">#REF!</definedName>
    <definedName name="_152__123Graph_BCHART_36" hidden="1">#REF!</definedName>
    <definedName name="_153__________________________123Graph_AChart_2A" hidden="1">#REF!</definedName>
    <definedName name="_154__________________________123Graph_AChart_3A" hidden="1">#REF!</definedName>
    <definedName name="_154__123Graph_BCHART_37" hidden="1">#REF!</definedName>
    <definedName name="_155__________________________123Graph_XChart_2A" hidden="1">#REF!</definedName>
    <definedName name="_156__________________________123Graph_XChart_3A" hidden="1">#REF!</definedName>
    <definedName name="_156__123Graph_BCHART_38" hidden="1">#REF!</definedName>
    <definedName name="_157_________________________123Graph_AChart_2A" hidden="1">#REF!</definedName>
    <definedName name="_158_________________________123Graph_AChart_3A" hidden="1">#REF!</definedName>
    <definedName name="_158__123Graph_BCHART_39" hidden="1">#REF!</definedName>
    <definedName name="_159_________________________123Graph_XChart_2A" hidden="1">#REF!</definedName>
    <definedName name="_16_____________________________________________________________123Graph_XChart_3A" hidden="1">#REF!</definedName>
    <definedName name="_16__123Graph_ACHART_16" hidden="1">#REF!</definedName>
    <definedName name="_16__123Graph_ACHART_25" hidden="1">#REF!</definedName>
    <definedName name="_16__123Graph_AChart_5A" hidden="1">#REF!</definedName>
    <definedName name="_16__123Graph_FCHART_3J" localSheetId="42" hidden="1">#REF!</definedName>
    <definedName name="_16__123Graph_FCHART_3J" hidden="1">#REF!</definedName>
    <definedName name="_160_________________________123Graph_XChart_3A" hidden="1">#REF!</definedName>
    <definedName name="_160__123Graph_BCHART_4" hidden="1">#REF!</definedName>
    <definedName name="_161________________________123Graph_AChart_2A" hidden="1">#REF!</definedName>
    <definedName name="_162________________________123Graph_AChart_3A" hidden="1">#REF!</definedName>
    <definedName name="_162__123Graph_BCHART_40" hidden="1">#REF!</definedName>
    <definedName name="_163________________________123Graph_XChart_2A" hidden="1">#REF!</definedName>
    <definedName name="_164________________________123Graph_XChart_3A" hidden="1">#REF!</definedName>
    <definedName name="_164__123Graph_BCHART_41" hidden="1">#REF!</definedName>
    <definedName name="_165_______________________123Graph_AChart_2A" hidden="1">#REF!</definedName>
    <definedName name="_166_______________________123Graph_AChart_3A" hidden="1">#REF!</definedName>
    <definedName name="_166__123Graph_BCHART_42" hidden="1">#REF!</definedName>
    <definedName name="_167_______________________123Graph_XChart_2A" hidden="1">#REF!</definedName>
    <definedName name="_168_______________________123Graph_XChart_3A" hidden="1">#REF!</definedName>
    <definedName name="_168__123Graph_BCHART_43" hidden="1">#REF!</definedName>
    <definedName name="_169______________________123Graph_AChart_2A" hidden="1">#REF!</definedName>
    <definedName name="_17____________________________________________________________123Graph_AChart_2A" hidden="1">#REF!</definedName>
    <definedName name="_17__123Graph_ACHART_26" hidden="1">#REF!</definedName>
    <definedName name="_17__123Graph_AChart_3A" hidden="1">#REF!</definedName>
    <definedName name="_17__123Graph_AChart_6A" hidden="1">#REF!</definedName>
    <definedName name="_17__123Graph_FCHART_5L" hidden="1">#REF!</definedName>
    <definedName name="_17__123Graph_XChart_3A" hidden="1">#REF!</definedName>
    <definedName name="_170______________________123Graph_AChart_3A" hidden="1">#REF!</definedName>
    <definedName name="_170__123Graph_BCHART_44" hidden="1">#REF!</definedName>
    <definedName name="_171______________________123Graph_XChart_2A" hidden="1">#REF!</definedName>
    <definedName name="_172______________________123Graph_XChart_3A" hidden="1">#REF!</definedName>
    <definedName name="_172__123Graph_BCHART_45" hidden="1">#REF!</definedName>
    <definedName name="_173_____________________123Graph_AChart_2A" hidden="1">#REF!</definedName>
    <definedName name="_174_____________________123Graph_AChart_3A" hidden="1">#REF!</definedName>
    <definedName name="_174__123Graph_BCHART_46" hidden="1">#REF!</definedName>
    <definedName name="_175_____________________123Graph_XChart_2A" hidden="1">#REF!</definedName>
    <definedName name="_176_____________________123Graph_XChart_3A" hidden="1">#REF!</definedName>
    <definedName name="_176__123Graph_BCHART_47" hidden="1">#REF!</definedName>
    <definedName name="_177____________________123Graph_AChart_2A" hidden="1">#REF!</definedName>
    <definedName name="_178____________________123Graph_AChart_3A" hidden="1">#REF!</definedName>
    <definedName name="_178__123Graph_BCHART_48" hidden="1">#REF!</definedName>
    <definedName name="_179____________________123Graph_XChart_2A" hidden="1">#REF!</definedName>
    <definedName name="_18____________________________________________________________123Graph_AChart_3A" hidden="1">#REF!</definedName>
    <definedName name="_18__123Graph_ACHART_17" hidden="1">#REF!</definedName>
    <definedName name="_18__123Graph_ACHART_27" hidden="1">#REF!</definedName>
    <definedName name="_18__123Graph_AChart_3A" hidden="1">#REF!</definedName>
    <definedName name="_18__123Graph_AChart_7A" hidden="1">#REF!</definedName>
    <definedName name="_18__123Graph_ECHART_4" hidden="1">#REF!</definedName>
    <definedName name="_18__123Graph_XChart_3A" hidden="1">#REF!</definedName>
    <definedName name="_180____________________123Graph_XChart_3A" hidden="1">#REF!</definedName>
    <definedName name="_180__123Graph_BCHART_5" hidden="1">#REF!</definedName>
    <definedName name="_181___________________123Graph_AChart_2A" hidden="1">#REF!</definedName>
    <definedName name="_182___________________123Graph_AChart_3A" hidden="1">#REF!</definedName>
    <definedName name="_182__123Graph_BCHART_6" hidden="1">#REF!</definedName>
    <definedName name="_183___________________123Graph_XChart_2A" hidden="1">#REF!</definedName>
    <definedName name="_184___________________123Graph_XChart_3A" hidden="1">#REF!</definedName>
    <definedName name="_184__123Graph_BCHART_68" hidden="1">#REF!</definedName>
    <definedName name="_185__________________123Graph_AChart_2A" hidden="1">#REF!</definedName>
    <definedName name="_186__________________123Graph_AChart_3A" hidden="1">#REF!</definedName>
    <definedName name="_186__123Graph_BCHART_7" hidden="1">#REF!</definedName>
    <definedName name="_187__________________123Graph_XChart_2A" hidden="1">#REF!</definedName>
    <definedName name="_188__________________123Graph_XChart_3A" hidden="1">#REF!</definedName>
    <definedName name="_188__123Graph_BCHART_77" hidden="1">#REF!</definedName>
    <definedName name="_189_________________123Graph_AChart_2A" hidden="1">#REF!</definedName>
    <definedName name="_19____________________________________________________________123Graph_XChart_2A" hidden="1">#REF!</definedName>
    <definedName name="_19__123Graph_ACHART_28" hidden="1">#REF!</definedName>
    <definedName name="_19__123Graph_AChart_8A" hidden="1">#REF!</definedName>
    <definedName name="_19__123Graph_ECHART_5" hidden="1">#REF!</definedName>
    <definedName name="_190_________________123Graph_AChart_3A" hidden="1">#REF!</definedName>
    <definedName name="_190__123Graph_BCHART_8" hidden="1">#REF!</definedName>
    <definedName name="_191_________________123Graph_XChart_2A" hidden="1">#REF!</definedName>
    <definedName name="_192_________________123Graph_XChart_3A" hidden="1">#REF!</definedName>
    <definedName name="_192__123Graph_BCHART_9" hidden="1">#REF!</definedName>
    <definedName name="_193________________123Graph_AChart_2A" hidden="1">#REF!</definedName>
    <definedName name="_194________________123Graph_AChart_3A" hidden="1">#REF!</definedName>
    <definedName name="_195________________123Graph_XChart_2A" hidden="1">#REF!</definedName>
    <definedName name="_196________________123Graph_XChart_3A" hidden="1">#REF!</definedName>
    <definedName name="_197_______________123Graph_AChart_2A" hidden="1">#REF!</definedName>
    <definedName name="_198_______________123Graph_AChart_3A" hidden="1">#REF!</definedName>
    <definedName name="_199_______________123Graph_XChart_2A" hidden="1">#REF!</definedName>
    <definedName name="_2________________________________________________________________123Graph_AChart_3A" hidden="1">#REF!</definedName>
    <definedName name="_2___________123Graph_XCHART_1" hidden="1">#REF!</definedName>
    <definedName name="_2______123Graph_ACHART_1" hidden="1">#REF!</definedName>
    <definedName name="_2__123Graph_ACHART_1" localSheetId="42" hidden="1">#REF!</definedName>
    <definedName name="_2__123Graph_ACHART_1" hidden="1">#REF!</definedName>
    <definedName name="_2__123Graph_ACHART_10" hidden="1">#REF!</definedName>
    <definedName name="_2__123Graph_AChart_11A" hidden="1">#REF!</definedName>
    <definedName name="_2__123Graph_AChart_1B" hidden="1">#REF!</definedName>
    <definedName name="_2__123Graph_ACHART_2" hidden="1">#REF!</definedName>
    <definedName name="_2__123Graph_AChart_2A" hidden="1">#REF!</definedName>
    <definedName name="_2__123Graph_AChart_3A" hidden="1">#REF!</definedName>
    <definedName name="_2__123Graph_ACHART_3J" localSheetId="42" hidden="1">#REF!</definedName>
    <definedName name="_2__123Graph_ACHART_3J" hidden="1">#REF!</definedName>
    <definedName name="_2__123Graph_AG_FLOW" hidden="1">#REF!</definedName>
    <definedName name="_2__123Graph_B_KOMP2.WK1_KOMP" hidden="1">#REF!</definedName>
    <definedName name="_2__123Graph_BCHART_2" hidden="1">#REF!</definedName>
    <definedName name="_20____________________________________________________________123Graph_XChart_3A" localSheetId="32" hidden="1">#REF!</definedName>
    <definedName name="_20____________________________________________________________123Graph_XChart_3A" localSheetId="27" hidden="1">#REF!</definedName>
    <definedName name="_20____________________________________________________________123Graph_XChart_3A" localSheetId="18" hidden="1">#REF!</definedName>
    <definedName name="_20____________________________________________________________123Graph_XChart_3A" hidden="1">#REF!</definedName>
    <definedName name="_20__123Graph_ACHART_2" localSheetId="27" hidden="1">#REF!</definedName>
    <definedName name="_20__123Graph_ACHART_2" localSheetId="18" hidden="1">#REF!</definedName>
    <definedName name="_20__123Graph_ACHART_2" hidden="1">#REF!</definedName>
    <definedName name="_20__123Graph_ACHART_29" localSheetId="27" hidden="1">#REF!</definedName>
    <definedName name="_20__123Graph_ACHART_29" localSheetId="18" hidden="1">#REF!</definedName>
    <definedName name="_20__123Graph_ACHART_29" hidden="1">#REF!</definedName>
    <definedName name="_20__123Graph_AChart_3A" hidden="1">#REF!</definedName>
    <definedName name="_20__123Graph_AChart_9A" hidden="1">#REF!</definedName>
    <definedName name="_200_______________123Graph_XChart_3A" hidden="1">#REF!</definedName>
    <definedName name="_201______________123Graph_AChart_2A" hidden="1">#REF!</definedName>
    <definedName name="_202______________123Graph_AChart_3A" hidden="1">#REF!</definedName>
    <definedName name="_203______________123Graph_XChart_2A" hidden="1">#REF!</definedName>
    <definedName name="_204______________123Graph_XChart_3A" hidden="1">#REF!</definedName>
    <definedName name="_205_____________123Graph_AChart_2A" hidden="1">#REF!</definedName>
    <definedName name="_206_____________123Graph_AChart_3A" hidden="1">#REF!</definedName>
    <definedName name="_207_____________123Graph_XChart_2A" hidden="1">#REF!</definedName>
    <definedName name="_208_____________123Graph_XChart_3A" hidden="1">#REF!</definedName>
    <definedName name="_209____________123Graph_AChart_2A" hidden="1">#REF!</definedName>
    <definedName name="_21___________________________________________________________123Graph_AChart_2A" hidden="1">#REF!</definedName>
    <definedName name="_21__123Graph_ACHART_3" hidden="1">#REF!</definedName>
    <definedName name="_21__123Graph_XChart_10A" hidden="1">#REF!</definedName>
    <definedName name="_210____________123Graph_AChart_3A" hidden="1">#REF!</definedName>
    <definedName name="_211____________123Graph_XChart_2A" hidden="1">#REF!</definedName>
    <definedName name="_212____________123Graph_XChart_3A" hidden="1">#REF!</definedName>
    <definedName name="_213___________123Graph_AChart_2A" hidden="1">#REF!</definedName>
    <definedName name="_214___________123Graph_AChart_3A" hidden="1">#REF!</definedName>
    <definedName name="_215___________123Graph_XChart_2A" hidden="1">#REF!</definedName>
    <definedName name="_216___________123Graph_XChart_3A" hidden="1">#REF!</definedName>
    <definedName name="_217__________123Graph_AChart_2A" hidden="1">#REF!</definedName>
    <definedName name="_218__________123Graph_AChart_3A" hidden="1">#REF!</definedName>
    <definedName name="_219__________123Graph_XChart_2A" hidden="1">#REF!</definedName>
    <definedName name="_22___________________________________________________________123Graph_AChart_3A" hidden="1">#REF!</definedName>
    <definedName name="_22__123Graph_ACHART_20" hidden="1">#REF!</definedName>
    <definedName name="_22__123Graph_ACHART_30" hidden="1">#REF!</definedName>
    <definedName name="_22__123Graph_XChart_11A" hidden="1">#REF!</definedName>
    <definedName name="_220__________123Graph_XChart_3A" hidden="1">#REF!</definedName>
    <definedName name="_221__________123Graph_AChart_2A" hidden="1">#REF!</definedName>
    <definedName name="_221_________123Graph_AChart_2A" hidden="1">#REF!</definedName>
    <definedName name="_222_________123Graph_AChart_3A" hidden="1">#REF!</definedName>
    <definedName name="_223_________123Graph_XChart_2A" hidden="1">#REF!</definedName>
    <definedName name="_224_________123Graph_XChart_3A" hidden="1">#REF!</definedName>
    <definedName name="_225________123Graph_AChart_2A" hidden="1">#REF!</definedName>
    <definedName name="_226__________123Graph_AChart_3A" hidden="1">#REF!</definedName>
    <definedName name="_226________123Graph_AChart_3A" hidden="1">#REF!</definedName>
    <definedName name="_227________123Graph_XChart_2A" hidden="1">#REF!</definedName>
    <definedName name="_228________123Graph_XChart_3A" hidden="1">#REF!</definedName>
    <definedName name="_229_______123Graph_AChart_2A" hidden="1">#REF!</definedName>
    <definedName name="_23___________________________________________________________123Graph_XChart_2A" hidden="1">#REF!</definedName>
    <definedName name="_23__123Graph_ACHART_31" hidden="1">#REF!</definedName>
    <definedName name="_23__123Graph_XChart_12A" hidden="1">#REF!</definedName>
    <definedName name="_23__123Graph_XChart_2A" hidden="1">#REF!</definedName>
    <definedName name="_230_______123Graph_AChart_3A" hidden="1">#REF!</definedName>
    <definedName name="_231__________123Graph_XChart_2A" hidden="1">#REF!</definedName>
    <definedName name="_231_______123Graph_XChart_2A" hidden="1">#REF!</definedName>
    <definedName name="_232_______123Graph_XChart_3A" hidden="1">#REF!</definedName>
    <definedName name="_233______123Graph_AChart_2A" hidden="1">#REF!</definedName>
    <definedName name="_234______123Graph_AChart_3A" hidden="1">#REF!</definedName>
    <definedName name="_235______123Graph_XChart_2A" hidden="1">#REF!</definedName>
    <definedName name="_236__________123Graph_XChart_3A" hidden="1">#REF!</definedName>
    <definedName name="_236______123Graph_XChart_3A" hidden="1">#REF!</definedName>
    <definedName name="_237_____123Graph_AChart_2A" hidden="1">#REF!</definedName>
    <definedName name="_238_____123Graph_AChart_3A" hidden="1">#REF!</definedName>
    <definedName name="_239_____123Graph_XChart_2A" hidden="1">#REF!</definedName>
    <definedName name="_24___________________________________________________________123Graph_XChart_3A" hidden="1">#REF!</definedName>
    <definedName name="_24__123Graph_ACHART_21" hidden="1">#REF!</definedName>
    <definedName name="_24__123Graph_ACHART_32" hidden="1">#REF!</definedName>
    <definedName name="_24__123Graph_XChart_13A" hidden="1">#REF!</definedName>
    <definedName name="_240_____123Graph_XChart_3A" hidden="1">#REF!</definedName>
    <definedName name="_241_________123Graph_AChart_2A" hidden="1">#REF!</definedName>
    <definedName name="_241____123Graph_AChart_2A" hidden="1">#REF!</definedName>
    <definedName name="_242____123Graph_AChart_3A" hidden="1">#REF!</definedName>
    <definedName name="_243____123Graph_XChart_2A" hidden="1">#REF!</definedName>
    <definedName name="_244____123Graph_XChart_3A" hidden="1">#REF!</definedName>
    <definedName name="_245___123Graph_AChart_2A" hidden="1">#REF!</definedName>
    <definedName name="_246_________123Graph_AChart_3A" hidden="1">#REF!</definedName>
    <definedName name="_246___123Graph_AChart_3A" hidden="1">#REF!</definedName>
    <definedName name="_247___123Graph_XChart_2A" hidden="1">#REF!</definedName>
    <definedName name="_248___123Graph_XChart_3A" hidden="1">#REF!</definedName>
    <definedName name="_249__123Graph_ACHART_1" hidden="1">#REF!</definedName>
    <definedName name="_249__123Graph_AChart_2A" hidden="1">#REF!</definedName>
    <definedName name="_25__________________________________________________________123Graph_AChart_2A" hidden="1">#REF!</definedName>
    <definedName name="_25__123Graph_ACHART_33" hidden="1">#REF!</definedName>
    <definedName name="_25__123Graph_XChart_14A" hidden="1">#REF!</definedName>
    <definedName name="_250__123Graph_ACHART_10" hidden="1">#REF!</definedName>
    <definedName name="_250__123Graph_AChart_3A" hidden="1">#REF!</definedName>
    <definedName name="_251_________123Graph_XChart_2A" hidden="1">#REF!</definedName>
    <definedName name="_251__123Graph_ACHART_11" hidden="1">#REF!</definedName>
    <definedName name="_251__123Graph_XChart_2A" hidden="1">#REF!</definedName>
    <definedName name="_252__123Graph_ACHART_12" hidden="1">#REF!</definedName>
    <definedName name="_252__123Graph_XChart_3A" hidden="1">#REF!</definedName>
    <definedName name="_253__123Graph_ACHART_13" hidden="1">#REF!</definedName>
    <definedName name="_254__123Graph_ACHART_14" hidden="1">#REF!</definedName>
    <definedName name="_255__123Graph_ACHART_15" hidden="1">#REF!</definedName>
    <definedName name="_256_________123Graph_XChart_3A" hidden="1">#REF!</definedName>
    <definedName name="_256__123Graph_ACHART_16" hidden="1">#REF!</definedName>
    <definedName name="_257__123Graph_ACHART_17" hidden="1">#REF!</definedName>
    <definedName name="_258__123Graph_AChart_1B" hidden="1">#REF!</definedName>
    <definedName name="_259__123Graph_ACHART_2" hidden="1">#REF!</definedName>
    <definedName name="_26__________________________________________________________123Graph_AChart_3A" hidden="1">#REF!</definedName>
    <definedName name="_26__123Graph_ACHART_22" hidden="1">#REF!</definedName>
    <definedName name="_26__123Graph_ACHART_34" hidden="1">#REF!</definedName>
    <definedName name="_26__123Graph_XChart_15A" hidden="1">#REF!</definedName>
    <definedName name="_260__123Graph_ACHART_20" hidden="1">#REF!</definedName>
    <definedName name="_261________123Graph_AChart_2A" hidden="1">#REF!</definedName>
    <definedName name="_261__123Graph_ACHART_21" hidden="1">#REF!</definedName>
    <definedName name="_262__123Graph_ACHART_22" hidden="1">#REF!</definedName>
    <definedName name="_263__123Graph_ACHART_23" hidden="1">#REF!</definedName>
    <definedName name="_264__123Graph_ACHART_24" hidden="1">#REF!</definedName>
    <definedName name="_265__123Graph_ACHART_25" hidden="1">#REF!</definedName>
    <definedName name="_266________123Graph_AChart_3A" hidden="1">#REF!</definedName>
    <definedName name="_266__123Graph_ACHART_26" hidden="1">#REF!</definedName>
    <definedName name="_267__123Graph_ACHART_27" hidden="1">#REF!</definedName>
    <definedName name="_268__123Graph_ACHART_28" hidden="1">#REF!</definedName>
    <definedName name="_269__123Graph_ACHART_29" hidden="1">#REF!</definedName>
    <definedName name="_27__________________________________________________________123Graph_XChart_2A" hidden="1">#REF!</definedName>
    <definedName name="_27__123Graph_ACHART_35" hidden="1">#REF!</definedName>
    <definedName name="_27__123Graph_XChart_16A" hidden="1">#REF!</definedName>
    <definedName name="_27__123Graph_XChart_2A" hidden="1">#REF!</definedName>
    <definedName name="_270__123Graph_AChart_2A" hidden="1">#REF!</definedName>
    <definedName name="_271________123Graph_XChart_2A" hidden="1">#REF!</definedName>
    <definedName name="_271__123Graph_ACHART_3" hidden="1">#REF!</definedName>
    <definedName name="_272__123Graph_ACHART_30" hidden="1">#REF!</definedName>
    <definedName name="_273__123Graph_ACHART_31" hidden="1">#REF!</definedName>
    <definedName name="_274__123Graph_ACHART_32" hidden="1">#REF!</definedName>
    <definedName name="_275__123Graph_ACHART_33" hidden="1">#REF!</definedName>
    <definedName name="_276________123Graph_XChart_3A" hidden="1">#REF!</definedName>
    <definedName name="_276__123Graph_ACHART_34" hidden="1">#REF!</definedName>
    <definedName name="_277__123Graph_ACHART_35" hidden="1">#REF!</definedName>
    <definedName name="_278__123Graph_ACHART_36" hidden="1">#REF!</definedName>
    <definedName name="_279__123Graph_ACHART_37" hidden="1">#REF!</definedName>
    <definedName name="_28__________________________________________________________123Graph_XChart_3A" hidden="1">#REF!</definedName>
    <definedName name="_28__123Graph_ACHART_23" hidden="1">#REF!</definedName>
    <definedName name="_28__123Graph_ACHART_36" hidden="1">#REF!</definedName>
    <definedName name="_28__123Graph_XChart_17A" hidden="1">#REF!</definedName>
    <definedName name="_280__123Graph_ACHART_38" hidden="1">#REF!</definedName>
    <definedName name="_281_______123Graph_AChart_2A" hidden="1">#REF!</definedName>
    <definedName name="_281__123Graph_ACHART_39" hidden="1">#REF!</definedName>
    <definedName name="_282__123Graph_AChart_3A" hidden="1">#REF!</definedName>
    <definedName name="_283__123Graph_ACHART_4" hidden="1">#REF!</definedName>
    <definedName name="_284__123Graph_ACHART_40" hidden="1">#REF!</definedName>
    <definedName name="_285__123Graph_ACHART_41" hidden="1">#REF!</definedName>
    <definedName name="_286_______123Graph_AChart_3A" hidden="1">#REF!</definedName>
    <definedName name="_286__123Graph_ACHART_42" hidden="1">#REF!</definedName>
    <definedName name="_287__123Graph_ACHART_43" hidden="1">#REF!</definedName>
    <definedName name="_288__123Graph_ACHART_44" hidden="1">#REF!</definedName>
    <definedName name="_289__123Graph_ACHART_45" hidden="1">#REF!</definedName>
    <definedName name="_29_________________________________________________________123Graph_AChart_2A" hidden="1">#REF!</definedName>
    <definedName name="_29__123Graph_ACHART_37" hidden="1">#REF!</definedName>
    <definedName name="_29__123Graph_XChart_18A" hidden="1">#REF!</definedName>
    <definedName name="_29__123Graph_XChart_3A" hidden="1">#REF!</definedName>
    <definedName name="_290__123Graph_ACHART_46" hidden="1">#REF!</definedName>
    <definedName name="_291_______123Graph_XChart_2A" hidden="1">#REF!</definedName>
    <definedName name="_291__123Graph_ACHART_47" hidden="1">#REF!</definedName>
    <definedName name="_292__123Graph_ACHART_48" hidden="1">#REF!</definedName>
    <definedName name="_293__123Graph_ACHART_5" hidden="1">#REF!</definedName>
    <definedName name="_294__123Graph_ACHART_6" hidden="1">#REF!</definedName>
    <definedName name="_295__123Graph_ACHART_68" hidden="1">#REF!</definedName>
    <definedName name="_296_______123Graph_XChart_3A" hidden="1">#REF!</definedName>
    <definedName name="_296__123Graph_ACHART_7" hidden="1">#REF!</definedName>
    <definedName name="_297__123Graph_ACHART_77" hidden="1">#REF!</definedName>
    <definedName name="_298__123Graph_ACHART_8" hidden="1">#REF!</definedName>
    <definedName name="_299__123Graph_ACHART_9" hidden="1">#REF!</definedName>
    <definedName name="_3________________________________________________________________123Graph_XChart_2A" hidden="1">#REF!</definedName>
    <definedName name="_3________123Graph_ACHART_1" hidden="1">#REF!</definedName>
    <definedName name="_3_____123Graph_ACHART_1" hidden="1">#REF!</definedName>
    <definedName name="_3__123Graph_ACHART_1" hidden="1">#REF!</definedName>
    <definedName name="_3__123Graph_ACHART_11" hidden="1">#REF!</definedName>
    <definedName name="_3__123Graph_AChart_12A" hidden="1">#REF!</definedName>
    <definedName name="_3__123Graph_AChart_2A" hidden="1">#REF!</definedName>
    <definedName name="_3__123Graph_ACHART_3" hidden="1">#REF!</definedName>
    <definedName name="_3__123Graph_ACHART_4K" hidden="1">#REF!</definedName>
    <definedName name="_3__123Graph_AG_KUM" hidden="1">#REF!</definedName>
    <definedName name="_3__123Graph_BCHART_1" hidden="1">#REF!</definedName>
    <definedName name="_3__123Graph_C_KOMP2.WK1_KOMP" hidden="1">#REF!</definedName>
    <definedName name="_3__123Graph_XCHART_1" hidden="1">#REF!</definedName>
    <definedName name="_3__123Graph_XChart_2A" hidden="1">#REF!</definedName>
    <definedName name="_30_________________________________________________________123Graph_AChart_3A" hidden="1">#REF!</definedName>
    <definedName name="_30__123Graph_ACHART_24" hidden="1">#REF!</definedName>
    <definedName name="_30__123Graph_ACHART_38" hidden="1">#REF!</definedName>
    <definedName name="_30__123Graph_XChart_19A" hidden="1">#REF!</definedName>
    <definedName name="_30__123Graph_XChart_2A" hidden="1">#REF!</definedName>
    <definedName name="_300__123Graph_BCHART_1" hidden="1">#REF!</definedName>
    <definedName name="_301______123Graph_AChart_2A" hidden="1">#REF!</definedName>
    <definedName name="_301__123Graph_BCHART_10" hidden="1">#REF!</definedName>
    <definedName name="_302__123Graph_BCHART_11" hidden="1">#REF!</definedName>
    <definedName name="_303__123Graph_BCHART_12" hidden="1">#REF!</definedName>
    <definedName name="_304__123Graph_BCHART_13" hidden="1">#REF!</definedName>
    <definedName name="_305__123Graph_BCHART_14" hidden="1">#REF!</definedName>
    <definedName name="_306______123Graph_AChart_3A" hidden="1">#REF!</definedName>
    <definedName name="_306__123Graph_BCHART_15" hidden="1">#REF!</definedName>
    <definedName name="_307__123Graph_BCHART_16" hidden="1">#REF!</definedName>
    <definedName name="_308__123Graph_BCHART_17" hidden="1">#REF!</definedName>
    <definedName name="_309__123Graph_BCHART_2" hidden="1">#REF!</definedName>
    <definedName name="_31_________________________________________________________123Graph_XChart_2A" hidden="1">#REF!</definedName>
    <definedName name="_31__123Graph_ACHART_39" hidden="1">#REF!</definedName>
    <definedName name="_31__123Graph_XChart_20A" hidden="1">#REF!</definedName>
    <definedName name="_310__123Graph_BCHART_20" hidden="1">#REF!</definedName>
    <definedName name="_311______123Graph_XChart_2A" hidden="1">#REF!</definedName>
    <definedName name="_311__123Graph_BCHART_21" hidden="1">#REF!</definedName>
    <definedName name="_312__123Graph_BCHART_22" hidden="1">#REF!</definedName>
    <definedName name="_313__123Graph_BCHART_23" hidden="1">#REF!</definedName>
    <definedName name="_314__123Graph_BCHART_24" hidden="1">#REF!</definedName>
    <definedName name="_315__123Graph_BCHART_25" hidden="1">#REF!</definedName>
    <definedName name="_316______123Graph_XChart_3A" hidden="1">#REF!</definedName>
    <definedName name="_316__123Graph_BCHART_26" hidden="1">#REF!</definedName>
    <definedName name="_317__123Graph_BCHART_27" hidden="1">#REF!</definedName>
    <definedName name="_318__123Graph_BCHART_28" hidden="1">#REF!</definedName>
    <definedName name="_319__123Graph_BCHART_29" hidden="1">#REF!</definedName>
    <definedName name="_32_________________________________________________________123Graph_XChart_3A" hidden="1">#REF!</definedName>
    <definedName name="_32__123Graph_ACHART_25" hidden="1">#REF!</definedName>
    <definedName name="_32__123Graph_ACHART_4" hidden="1">#REF!</definedName>
    <definedName name="_32__123Graph_XChart_21A" hidden="1">#REF!</definedName>
    <definedName name="_320__123Graph_BCHART_3" hidden="1">#REF!</definedName>
    <definedName name="_321_____123Graph_AChart_2A" hidden="1">#REF!</definedName>
    <definedName name="_321__123Graph_BCHART_30" hidden="1">#REF!</definedName>
    <definedName name="_322__123Graph_BCHART_31" hidden="1">#REF!</definedName>
    <definedName name="_323__123Graph_BCHART_32" hidden="1">#REF!</definedName>
    <definedName name="_324__123Graph_BCHART_33" hidden="1">#REF!</definedName>
    <definedName name="_325__123Graph_BCHART_34" hidden="1">#REF!</definedName>
    <definedName name="_326_____123Graph_AChart_3A" hidden="1">#REF!</definedName>
    <definedName name="_326__123Graph_BCHART_35" hidden="1">#REF!</definedName>
    <definedName name="_327__123Graph_BCHART_36" hidden="1">#REF!</definedName>
    <definedName name="_328__123Graph_BCHART_37" hidden="1">#REF!</definedName>
    <definedName name="_329__123Graph_BCHART_38" hidden="1">#REF!</definedName>
    <definedName name="_33________________________________________________________123Graph_AChart_2A" hidden="1">#REF!</definedName>
    <definedName name="_33__123Graph_ACHART_40" hidden="1">#REF!</definedName>
    <definedName name="_33__123Graph_XChart_2A" hidden="1">#REF!</definedName>
    <definedName name="_330__123Graph_BCHART_39" hidden="1">#REF!</definedName>
    <definedName name="_331_____123Graph_XChart_2A" hidden="1">#REF!</definedName>
    <definedName name="_331__123Graph_BCHART_4" hidden="1">#REF!</definedName>
    <definedName name="_332__123Graph_BCHART_40" hidden="1">#REF!</definedName>
    <definedName name="_333__123Graph_BCHART_41" hidden="1">#REF!</definedName>
    <definedName name="_334__123Graph_BCHART_42" hidden="1">#REF!</definedName>
    <definedName name="_335__123Graph_BCHART_43" hidden="1">#REF!</definedName>
    <definedName name="_336_____123Graph_XChart_3A" hidden="1">#REF!</definedName>
    <definedName name="_336__123Graph_BCHART_44" hidden="1">#REF!</definedName>
    <definedName name="_337__123Graph_BCHART_45" hidden="1">#REF!</definedName>
    <definedName name="_338__123Graph_BCHART_46" hidden="1">#REF!</definedName>
    <definedName name="_339__123Graph_BCHART_47" hidden="1">#REF!</definedName>
    <definedName name="_34________________________________________________________123Graph_AChart_3A" hidden="1">#REF!</definedName>
    <definedName name="_34__123Graph_ACHART_26" hidden="1">#REF!</definedName>
    <definedName name="_34__123Graph_ACHART_41" hidden="1">#REF!</definedName>
    <definedName name="_34__123Graph_XChart_3A" hidden="1">#REF!</definedName>
    <definedName name="_340__123Graph_BCHART_48" hidden="1">#REF!</definedName>
    <definedName name="_341____123Graph_AChart_2A" hidden="1">#REF!</definedName>
    <definedName name="_341__123Graph_BCHART_5" hidden="1">#REF!</definedName>
    <definedName name="_342__123Graph_BCHART_6" hidden="1">#REF!</definedName>
    <definedName name="_343__123Graph_BCHART_68" hidden="1">#REF!</definedName>
    <definedName name="_344__123Graph_BCHART_7" hidden="1">#REF!</definedName>
    <definedName name="_345__123Graph_BCHART_77" hidden="1">#REF!</definedName>
    <definedName name="_346____123Graph_AChart_3A" hidden="1">#REF!</definedName>
    <definedName name="_346__123Graph_BCHART_8" hidden="1">#REF!</definedName>
    <definedName name="_347__123Graph_BCHART_9" hidden="1">#REF!</definedName>
    <definedName name="_348__123Graph_XChart_2A" hidden="1">#REF!</definedName>
    <definedName name="_349__123Graph_XChart_3A" hidden="1">#REF!</definedName>
    <definedName name="_35________________________________________________________123Graph_XChart_2A" hidden="1">#REF!</definedName>
    <definedName name="_35__123Graph_ACHART_42" hidden="1">#REF!</definedName>
    <definedName name="_35__123Graph_XChart_4A" hidden="1">#REF!</definedName>
    <definedName name="_351____123Graph_XChart_2A" hidden="1">#REF!</definedName>
    <definedName name="_356____123Graph_XChart_3A" hidden="1">#REF!</definedName>
    <definedName name="_36________________________________________________________123Graph_XChart_3A" hidden="1">#REF!</definedName>
    <definedName name="_36__123Graph_ACHART_27" hidden="1">#REF!</definedName>
    <definedName name="_36__123Graph_ACHART_43" hidden="1">#REF!</definedName>
    <definedName name="_36__123Graph_XChart_3A" hidden="1">#REF!</definedName>
    <definedName name="_36__123Graph_XChart_5A" hidden="1">#REF!</definedName>
    <definedName name="_361___123Graph_AChart_2A" hidden="1">#REF!</definedName>
    <definedName name="_366___123Graph_AChart_3A" hidden="1">#REF!</definedName>
    <definedName name="_37_______________________________________________________123Graph_AChart_2A" hidden="1">#REF!</definedName>
    <definedName name="_37__123Graph_ACHART_44" hidden="1">#REF!</definedName>
    <definedName name="_37__123Graph_XChart_6A" hidden="1">#REF!</definedName>
    <definedName name="_371___123Graph_XChart_2A" hidden="1">#REF!</definedName>
    <definedName name="_376___123Graph_XChart_3A" hidden="1">#REF!</definedName>
    <definedName name="_38_______________________________________________________123Graph_AChart_3A" hidden="1">#REF!</definedName>
    <definedName name="_38__123Graph_ACHART_28" hidden="1">#REF!</definedName>
    <definedName name="_38__123Graph_ACHART_45" hidden="1">#REF!</definedName>
    <definedName name="_38__123Graph_XChart_7A" hidden="1">#REF!</definedName>
    <definedName name="_381__123Graph_ACHART_1" hidden="1">#REF!</definedName>
    <definedName name="_382__123Graph_ACHART_10" hidden="1">#REF!</definedName>
    <definedName name="_383__123Graph_ACHART_11" hidden="1">#REF!</definedName>
    <definedName name="_384__123Graph_ACHART_12" hidden="1">#REF!</definedName>
    <definedName name="_385__123Graph_ACHART_13" hidden="1">#REF!</definedName>
    <definedName name="_386__123Graph_ACHART_14" hidden="1">#REF!</definedName>
    <definedName name="_387__123Graph_ACHART_15" hidden="1">#REF!</definedName>
    <definedName name="_388__123Graph_ACHART_16" hidden="1">#REF!</definedName>
    <definedName name="_389__123Graph_ACHART_17" hidden="1">#REF!</definedName>
    <definedName name="_39_______________________________________________________123Graph_XChart_2A" hidden="1">#REF!</definedName>
    <definedName name="_39__123Graph_ACHART_46" hidden="1">#REF!</definedName>
    <definedName name="_39__123Graph_XChart_8A" hidden="1">#REF!</definedName>
    <definedName name="_390__123Graph_ACHART_2" hidden="1">#REF!</definedName>
    <definedName name="_391__123Graph_ACHART_20" hidden="1">#REF!</definedName>
    <definedName name="_392__123Graph_ACHART_21" hidden="1">#REF!</definedName>
    <definedName name="_393__123Graph_ACHART_22" hidden="1">#REF!</definedName>
    <definedName name="_394__123Graph_ACHART_23" hidden="1">#REF!</definedName>
    <definedName name="_395__123Graph_ACHART_24" hidden="1">#REF!</definedName>
    <definedName name="_396__123Graph_ACHART_25" hidden="1">#REF!</definedName>
    <definedName name="_397__123Graph_ACHART_26" hidden="1">#REF!</definedName>
    <definedName name="_398__123Graph_ACHART_27" hidden="1">#REF!</definedName>
    <definedName name="_399__123Graph_ACHART_28" hidden="1">#REF!</definedName>
    <definedName name="_3a1_" localSheetId="20" hidden="1">{"'Sheet1'!$L$16"}</definedName>
    <definedName name="_3a1_" localSheetId="19" hidden="1">{"'Sheet1'!$L$16"}</definedName>
    <definedName name="_3a1_" localSheetId="26" hidden="1">{"'Sheet1'!$L$16"}</definedName>
    <definedName name="_3a1_" localSheetId="24" hidden="1">{"'Sheet1'!$L$16"}</definedName>
    <definedName name="_3a1_" localSheetId="32" hidden="1">{"'Sheet1'!$L$16"}</definedName>
    <definedName name="_3a1_" localSheetId="27" hidden="1">{"'Sheet1'!$L$16"}</definedName>
    <definedName name="_3a1_" localSheetId="28" hidden="1">{"'Sheet1'!$L$16"}</definedName>
    <definedName name="_3a1_" localSheetId="29" hidden="1">{"'Sheet1'!$L$16"}</definedName>
    <definedName name="_3a1_" localSheetId="31" hidden="1">{"'Sheet1'!$L$16"}</definedName>
    <definedName name="_3a1_" localSheetId="30" hidden="1">{"'Sheet1'!$L$16"}</definedName>
    <definedName name="_3a1_" localSheetId="17" hidden="1">{"'Sheet1'!$L$16"}</definedName>
    <definedName name="_3a1_" localSheetId="18" hidden="1">{"'Sheet1'!$L$16"}</definedName>
    <definedName name="_3a1_" hidden="1">{"'Sheet1'!$L$16"}</definedName>
    <definedName name="_4________________________________________________________________123Graph_XChart_3A" hidden="1">#REF!</definedName>
    <definedName name="_4________123Graph_XCHART_1" hidden="1">#REF!</definedName>
    <definedName name="_4_____123Graph_ACHART_1" localSheetId="42" hidden="1">#REF!</definedName>
    <definedName name="_4_____123Graph_ACHART_1" hidden="1">#REF!</definedName>
    <definedName name="_4____123Graph_ACHART_1" hidden="1">#REF!</definedName>
    <definedName name="_4__123Graph_ACHART_1" hidden="1">#REF!</definedName>
    <definedName name="_4__123Graph_ACHART_10" hidden="1">#REF!</definedName>
    <definedName name="_4__123Graph_ACHART_12" hidden="1">#REF!</definedName>
    <definedName name="_4__123Graph_AChart_13A" hidden="1">#REF!</definedName>
    <definedName name="_4__123Graph_AChart_1B" hidden="1">#REF!</definedName>
    <definedName name="_4__123Graph_ACHART_2" hidden="1">#REF!</definedName>
    <definedName name="_4__123Graph_AChart_3A" hidden="1">#REF!</definedName>
    <definedName name="_4__123Graph_ACHART_5L" hidden="1">#REF!</definedName>
    <definedName name="_4__123Graph_AG_KUM" hidden="1">#REF!</definedName>
    <definedName name="_4__123Graph_BCHART_2" hidden="1">#REF!</definedName>
    <definedName name="_4__123Graph_X_KOMP2.WK1_KOMP" hidden="1">#REF!</definedName>
    <definedName name="_4__123Graph_XCHART_1" hidden="1">#REF!</definedName>
    <definedName name="_4__123Graph_XChart_3A" hidden="1">#REF!</definedName>
    <definedName name="_40_______________________________________________________123Graph_XChart_3A" hidden="1">#REF!</definedName>
    <definedName name="_40__123Graph_ACHART_29" hidden="1">#REF!</definedName>
    <definedName name="_40__123Graph_ACHART_47" hidden="1">#REF!</definedName>
    <definedName name="_40__123Graph_XChart_3A" hidden="1">#REF!</definedName>
    <definedName name="_40__123Graph_XChart_9A" hidden="1">#REF!</definedName>
    <definedName name="_400__123Graph_ACHART_29" hidden="1">#REF!</definedName>
    <definedName name="_41______________________________________________________123Graph_AChart_2A" hidden="1">#REF!</definedName>
    <definedName name="_41__123Graph_ACHART_48" hidden="1">#REF!</definedName>
    <definedName name="_410__123Graph_AChart_2A" hidden="1">#REF!</definedName>
    <definedName name="_411__123Graph_ACHART_3" hidden="1">#REF!</definedName>
    <definedName name="_412__123Graph_ACHART_30" hidden="1">#REF!</definedName>
    <definedName name="_413__123Graph_ACHART_31" hidden="1">#REF!</definedName>
    <definedName name="_414__123Graph_ACHART_32" hidden="1">#REF!</definedName>
    <definedName name="_415__123Graph_ACHART_33" hidden="1">#REF!</definedName>
    <definedName name="_416__123Graph_ACHART_34" hidden="1">#REF!</definedName>
    <definedName name="_417__123Graph_ACHART_35" hidden="1">#REF!</definedName>
    <definedName name="_418__123Graph_ACHART_36" hidden="1">#REF!</definedName>
    <definedName name="_419__123Graph_ACHART_37" hidden="1">#REF!</definedName>
    <definedName name="_42______________________________________________________123Graph_AChart_3A" hidden="1">#REF!</definedName>
    <definedName name="_42__123Graph_ACHART_3" hidden="1">#REF!</definedName>
    <definedName name="_42__123Graph_ACHART_5" hidden="1">#REF!</definedName>
    <definedName name="_420__123Graph_ACHART_38" hidden="1">#REF!</definedName>
    <definedName name="_421__123Graph_ACHART_39" hidden="1">#REF!</definedName>
    <definedName name="_43______________________________________________________123Graph_XChart_2A" hidden="1">#REF!</definedName>
    <definedName name="_43__123Graph_ACHART_6" hidden="1">#REF!</definedName>
    <definedName name="_432__123Graph_ACHART_4" hidden="1">#REF!</definedName>
    <definedName name="_433__123Graph_ACHART_40" hidden="1">#REF!</definedName>
    <definedName name="_434__123Graph_ACHART_41" hidden="1">#REF!</definedName>
    <definedName name="_435__123Graph_ACHART_42" hidden="1">#REF!</definedName>
    <definedName name="_436__123Graph_ACHART_43" hidden="1">#REF!</definedName>
    <definedName name="_437__123Graph_ACHART_44" hidden="1">#REF!</definedName>
    <definedName name="_438__123Graph_ACHART_45" hidden="1">#REF!</definedName>
    <definedName name="_439__123Graph_ACHART_46" hidden="1">#REF!</definedName>
    <definedName name="_44______________________________________________________123Graph_XChart_3A" hidden="1">#REF!</definedName>
    <definedName name="_44__123Graph_ACHART_30" hidden="1">#REF!</definedName>
    <definedName name="_44__123Graph_ACHART_6" hidden="1">#REF!</definedName>
    <definedName name="_44__123Graph_ACHART_68" hidden="1">#REF!</definedName>
    <definedName name="_44_123Graph_ACHART_6" hidden="1">#REF!</definedName>
    <definedName name="_440__123Graph_ACHART_47" hidden="1">#REF!</definedName>
    <definedName name="_441__123Graph_ACHART_48" hidden="1">#REF!</definedName>
    <definedName name="_442__123Graph_ACHART_5" hidden="1">#REF!</definedName>
    <definedName name="_443__123Graph_ACHART_6" hidden="1">#REF!</definedName>
    <definedName name="_444__123Graph_ACHART_68" hidden="1">#REF!</definedName>
    <definedName name="_445__123Graph_ACHART_7" hidden="1">#REF!</definedName>
    <definedName name="_446__123Graph_ACHART_77" hidden="1">#REF!</definedName>
    <definedName name="_447__123Graph_ACHART_8" hidden="1">#REF!</definedName>
    <definedName name="_448__123Graph_ACHART_9" hidden="1">#REF!</definedName>
    <definedName name="_449__123Graph_BCHART_1" hidden="1">#REF!</definedName>
    <definedName name="_45_____________________________________________________123Graph_AChart_2A" hidden="1">#REF!</definedName>
    <definedName name="_45__123Graph_ACHART_68" hidden="1">#REF!</definedName>
    <definedName name="_45__123Graph_ACHART_7" hidden="1">#REF!</definedName>
    <definedName name="_450__123Graph_BCHART_10" hidden="1">#REF!</definedName>
    <definedName name="_451__123Graph_BCHART_11" hidden="1">#REF!</definedName>
    <definedName name="_452__123Graph_BCHART_12" hidden="1">#REF!</definedName>
    <definedName name="_453__123Graph_BCHART_13" hidden="1">#REF!</definedName>
    <definedName name="_454__123Graph_BCHART_14" hidden="1">#REF!</definedName>
    <definedName name="_455__123Graph_BCHART_15" hidden="1">#REF!</definedName>
    <definedName name="_456__123Graph_BCHART_16" hidden="1">#REF!</definedName>
    <definedName name="_457__123Graph_BCHART_17" hidden="1">#REF!</definedName>
    <definedName name="_458__123Graph_BCHART_2" hidden="1">#REF!</definedName>
    <definedName name="_459__123Graph_BCHART_20" hidden="1">#REF!</definedName>
    <definedName name="_46_____________________________________________________123Graph_AChart_3A" hidden="1">#REF!</definedName>
    <definedName name="_46__123Graph_ACHART_31" hidden="1">#REF!</definedName>
    <definedName name="_46__123Graph_ACHART_77" hidden="1">#REF!</definedName>
    <definedName name="_460__123Graph_BCHART_21" hidden="1">#REF!</definedName>
    <definedName name="_461__123Graph_BCHART_22" hidden="1">#REF!</definedName>
    <definedName name="_462__123Graph_BCHART_23" hidden="1">#REF!</definedName>
    <definedName name="_463__123Graph_BCHART_24" hidden="1">#REF!</definedName>
    <definedName name="_464__123Graph_BCHART_25" hidden="1">#REF!</definedName>
    <definedName name="_465__123Graph_BCHART_26" hidden="1">#REF!</definedName>
    <definedName name="_466__123Graph_BCHART_27" hidden="1">#REF!</definedName>
    <definedName name="_467__123Graph_BCHART_28" hidden="1">#REF!</definedName>
    <definedName name="_468__123Graph_BCHART_29" hidden="1">#REF!</definedName>
    <definedName name="_469__123Graph_BCHART_3" hidden="1">#REF!</definedName>
    <definedName name="_47_____________________________________________________123Graph_XChart_2A" hidden="1">#REF!</definedName>
    <definedName name="_47__123Graph_ACHART_7" hidden="1">#REF!</definedName>
    <definedName name="_47__123Graph_ACHART_8" hidden="1">#REF!</definedName>
    <definedName name="_470__123Graph_BCHART_30" hidden="1">#REF!</definedName>
    <definedName name="_471__123Graph_BCHART_31" hidden="1">#REF!</definedName>
    <definedName name="_472__123Graph_BCHART_32" hidden="1">#REF!</definedName>
    <definedName name="_473__123Graph_BCHART_33" hidden="1">#REF!</definedName>
    <definedName name="_474__123Graph_BCHART_34" hidden="1">#REF!</definedName>
    <definedName name="_475__123Graph_BCHART_35" hidden="1">#REF!</definedName>
    <definedName name="_476__123Graph_BCHART_36" hidden="1">#REF!</definedName>
    <definedName name="_477__123Graph_BCHART_37" hidden="1">#REF!</definedName>
    <definedName name="_478__123Graph_BCHART_38" hidden="1">#REF!</definedName>
    <definedName name="_479__123Graph_BCHART_39" hidden="1">#REF!</definedName>
    <definedName name="_48_____________________________________________________123Graph_XChart_3A" hidden="1">#REF!</definedName>
    <definedName name="_48__123Graph_ACHART_32" hidden="1">#REF!</definedName>
    <definedName name="_48__123Graph_ACHART_77" hidden="1">#REF!</definedName>
    <definedName name="_48__123Graph_ACHART_9" hidden="1">#REF!</definedName>
    <definedName name="_480__123Graph_BCHART_4" hidden="1">#REF!</definedName>
    <definedName name="_481__123Graph_BCHART_40" hidden="1">#REF!</definedName>
    <definedName name="_482__123Graph_BCHART_41" hidden="1">#REF!</definedName>
    <definedName name="_483__123Graph_BCHART_42" hidden="1">#REF!</definedName>
    <definedName name="_484__123Graph_BCHART_43" hidden="1">#REF!</definedName>
    <definedName name="_485__123Graph_BCHART_44" hidden="1">#REF!</definedName>
    <definedName name="_486__123Graph_BCHART_45" hidden="1">#REF!</definedName>
    <definedName name="_487__123Graph_BCHART_46" hidden="1">#REF!</definedName>
    <definedName name="_488__123Graph_BCHART_47" hidden="1">#REF!</definedName>
    <definedName name="_489__123Graph_BCHART_48" hidden="1">#REF!</definedName>
    <definedName name="_49____________________________________________________123Graph_AChart_2A" hidden="1">#REF!</definedName>
    <definedName name="_49__123Graph_ACHART_8" hidden="1">#REF!</definedName>
    <definedName name="_49__123Graph_BCHART_1" hidden="1">#REF!</definedName>
    <definedName name="_490__123Graph_BCHART_5" hidden="1">#REF!</definedName>
    <definedName name="_491__123Graph_BCHART_6" hidden="1">#REF!</definedName>
    <definedName name="_492__123Graph_BCHART_68" hidden="1">#REF!</definedName>
    <definedName name="_493__123Graph_BCHART_7" hidden="1">#REF!</definedName>
    <definedName name="_494__123Graph_BCHART_77" hidden="1">#REF!</definedName>
    <definedName name="_495__123Graph_BCHART_8" hidden="1">#REF!</definedName>
    <definedName name="_496__123Graph_BCHART_9" hidden="1">#REF!</definedName>
    <definedName name="_5_______________________________________________________________123Graph_AChart_2A" hidden="1">#REF!</definedName>
    <definedName name="_5______123Graph_ACHART_1" hidden="1">#REF!</definedName>
    <definedName name="_5___123Graph_ACHART_1" hidden="1">#REF!</definedName>
    <definedName name="_5__123Graph_ACHART_13" hidden="1">#REF!</definedName>
    <definedName name="_5__123Graph_AChart_14A" hidden="1">#REF!</definedName>
    <definedName name="_5__123Graph_AChart_1B" hidden="1">#REF!</definedName>
    <definedName name="_5__123Graph_AChart_2A" hidden="1">#REF!</definedName>
    <definedName name="_5__123Graph_AChart_3A" hidden="1">#REF!</definedName>
    <definedName name="_5__123Graph_BCHART_2" hidden="1">#REF!</definedName>
    <definedName name="_5__123Graph_BCHART_3J" localSheetId="42" hidden="1">#REF!</definedName>
    <definedName name="_5__123Graph_BCHART_3J" hidden="1">#REF!</definedName>
    <definedName name="_5__123Graph_BG_FLOW" hidden="1">#REF!</definedName>
    <definedName name="_5__123Graph_XCHART_2" hidden="1">#REF!</definedName>
    <definedName name="_50____________________________________________________123Graph_AChart_3A" hidden="1">#REF!</definedName>
    <definedName name="_50__123Graph_ACHART_33" hidden="1">#REF!</definedName>
    <definedName name="_50__123Graph_ACHART_9" hidden="1">#REF!</definedName>
    <definedName name="_50__123Graph_BCHART_10" hidden="1">#REF!</definedName>
    <definedName name="_51____________________________________________________123Graph_XChart_2A" hidden="1">#REF!</definedName>
    <definedName name="_51__123Graph_BCHART_1" hidden="1">#REF!</definedName>
    <definedName name="_51__123Graph_BCHART_11" hidden="1">#REF!</definedName>
    <definedName name="_52____________________________________________________123Graph_XChart_3A" hidden="1">#REF!</definedName>
    <definedName name="_52__123Graph_ACHART_34" hidden="1">#REF!</definedName>
    <definedName name="_52__123Graph_BCHART_10" hidden="1">#REF!</definedName>
    <definedName name="_52__123Graph_BCHART_12" hidden="1">#REF!</definedName>
    <definedName name="_53___________________________________________________123Graph_AChart_2A" hidden="1">#REF!</definedName>
    <definedName name="_53__123Graph_BCHART_11" hidden="1">#REF!</definedName>
    <definedName name="_53__123Graph_BCHART_13" hidden="1">#REF!</definedName>
    <definedName name="_54___________________________________________________123Graph_AChart_3A" hidden="1">#REF!</definedName>
    <definedName name="_54__123Graph_ACHART_35" hidden="1">#REF!</definedName>
    <definedName name="_54__123Graph_BCHART_12" hidden="1">#REF!</definedName>
    <definedName name="_54__123Graph_BCHART_14" hidden="1">#REF!</definedName>
    <definedName name="_55___________________________________________________123Graph_XChart_2A" hidden="1">#REF!</definedName>
    <definedName name="_55__123Graph_BCHART_13" hidden="1">#REF!</definedName>
    <definedName name="_55__123Graph_BCHART_15" hidden="1">#REF!</definedName>
    <definedName name="_56___________________________________________________123Graph_XChart_3A" hidden="1">#REF!</definedName>
    <definedName name="_56__123Graph_ACHART_36" hidden="1">#REF!</definedName>
    <definedName name="_56__123Graph_BCHART_14" hidden="1">#REF!</definedName>
    <definedName name="_56__123Graph_BCHART_16" hidden="1">#REF!</definedName>
    <definedName name="_57__________________________________________________123Graph_AChart_2A" hidden="1">#REF!</definedName>
    <definedName name="_57__123Graph_BCHART_15" hidden="1">#REF!</definedName>
    <definedName name="_57__123Graph_BCHART_17" hidden="1">#REF!</definedName>
    <definedName name="_58__________________________________________________123Graph_AChart_3A" hidden="1">#REF!</definedName>
    <definedName name="_58__123Graph_ACHART_37" hidden="1">#REF!</definedName>
    <definedName name="_58__123Graph_BCHART_16" hidden="1">#REF!</definedName>
    <definedName name="_58__123Graph_BCHART_2" hidden="1">#REF!</definedName>
    <definedName name="_59__________________________________________________123Graph_XChart_2A" hidden="1">#REF!</definedName>
    <definedName name="_59__123Graph_BCHART_17" hidden="1">#REF!</definedName>
    <definedName name="_59__123Graph_BCHART_20" hidden="1">#REF!</definedName>
    <definedName name="_6_______________________________________________________________123Graph_AChart_3A" hidden="1">#REF!</definedName>
    <definedName name="_6______123Graph_XCHART_1" hidden="1">#REF!</definedName>
    <definedName name="_6__123Graph_ACHART_1" hidden="1">#REF!</definedName>
    <definedName name="_6__123Graph_ACHART_11" hidden="1">#REF!</definedName>
    <definedName name="_6__123Graph_ACHART_14" hidden="1">#REF!</definedName>
    <definedName name="_6__123Graph_AChart_15A" hidden="1">#REF!</definedName>
    <definedName name="_6__123Graph_AChart_2A" hidden="1">#REF!</definedName>
    <definedName name="_6__123Graph_BCHART_4K" hidden="1">#REF!</definedName>
    <definedName name="_6__123Graph_BG_FLOW" hidden="1">#REF!</definedName>
    <definedName name="_6__123Graph_CCHART_2" hidden="1">#REF!</definedName>
    <definedName name="_6__123Graph_XChart_2A" hidden="1">#REF!</definedName>
    <definedName name="_60__________________________________________________123Graph_XChart_3A" hidden="1">#REF!</definedName>
    <definedName name="_60__123Graph_ACHART_38" hidden="1">#REF!</definedName>
    <definedName name="_60__123Graph_BCHART_2" hidden="1">#REF!</definedName>
    <definedName name="_60__123Graph_BCHART_21" hidden="1">#REF!</definedName>
    <definedName name="_61_________________________________________________123Graph_AChart_2A" hidden="1">#REF!</definedName>
    <definedName name="_61__123Graph_BCHART_20" hidden="1">#REF!</definedName>
    <definedName name="_61__123Graph_BCHART_22" hidden="1">#REF!</definedName>
    <definedName name="_62_________________________________________________123Graph_AChart_3A" hidden="1">#REF!</definedName>
    <definedName name="_62__123Graph_ACHART_39" hidden="1">#REF!</definedName>
    <definedName name="_62__123Graph_BCHART_21" hidden="1">#REF!</definedName>
    <definedName name="_62__123Graph_BCHART_23" hidden="1">#REF!</definedName>
    <definedName name="_63_________________________________________________123Graph_XChart_2A" hidden="1">#REF!</definedName>
    <definedName name="_63__123Graph_BCHART_22" hidden="1">#REF!</definedName>
    <definedName name="_63__123Graph_BCHART_24" hidden="1">#REF!</definedName>
    <definedName name="_64_________________________________________________123Graph_XChart_3A" hidden="1">#REF!</definedName>
    <definedName name="_64__123Graph_ACHART_4" hidden="1">#REF!</definedName>
    <definedName name="_64__123Graph_BCHART_23" hidden="1">#REF!</definedName>
    <definedName name="_64__123Graph_BCHART_25" hidden="1">#REF!</definedName>
    <definedName name="_65________________________________________________123Graph_AChart_2A" hidden="1">#REF!</definedName>
    <definedName name="_65__123Graph_BCHART_24" hidden="1">#REF!</definedName>
    <definedName name="_65__123Graph_BCHART_26" hidden="1">#REF!</definedName>
    <definedName name="_66________________________________________________123Graph_AChart_3A" hidden="1">#REF!</definedName>
    <definedName name="_66__123Graph_ACHART_40" hidden="1">#REF!</definedName>
    <definedName name="_66__123Graph_BCHART_25" hidden="1">#REF!</definedName>
    <definedName name="_66__123Graph_BCHART_27" hidden="1">#REF!</definedName>
    <definedName name="_67________________________________________________123Graph_XChart_2A" hidden="1">#REF!</definedName>
    <definedName name="_67__123Graph_BCHART_26" hidden="1">#REF!</definedName>
    <definedName name="_67__123Graph_BCHART_28" hidden="1">#REF!</definedName>
    <definedName name="_68________________________________________________123Graph_XChart_3A" hidden="1">#REF!</definedName>
    <definedName name="_68__123Graph_ACHART_41" hidden="1">#REF!</definedName>
    <definedName name="_68__123Graph_BCHART_27" hidden="1">#REF!</definedName>
    <definedName name="_68__123Graph_BCHART_29" hidden="1">#REF!</definedName>
    <definedName name="_69_______________________________________________123Graph_AChart_2A" hidden="1">#REF!</definedName>
    <definedName name="_69__123Graph_BCHART_28" hidden="1">#REF!</definedName>
    <definedName name="_69__123Graph_BCHART_3" hidden="1">#REF!</definedName>
    <definedName name="_7_______________________________________________________________123Graph_XChart_2A" hidden="1">#REF!</definedName>
    <definedName name="_7____123Graph_ACHART_1" localSheetId="42" hidden="1">#REF!</definedName>
    <definedName name="_7____123Graph_ACHART_1" hidden="1">#REF!</definedName>
    <definedName name="_7__123Graph_ACHART_1" hidden="1">#REF!</definedName>
    <definedName name="_7__123Graph_ACHART_15" hidden="1">#REF!</definedName>
    <definedName name="_7__123Graph_AChart_16A" hidden="1">#REF!</definedName>
    <definedName name="_7__123Graph_BCHART_5L" hidden="1">#REF!</definedName>
    <definedName name="_7__123Graph_BG_KUM" hidden="1">#REF!</definedName>
    <definedName name="_7__123Graph_DCHART_2" hidden="1">#REF!</definedName>
    <definedName name="_7__123Graph_XChart_2A" hidden="1">#REF!</definedName>
    <definedName name="_70_______________________________________________123Graph_AChart_3A" hidden="1">#REF!</definedName>
    <definedName name="_70__123Graph_ACHART_42" hidden="1">#REF!</definedName>
    <definedName name="_70__123Graph_BCHART_29" hidden="1">#REF!</definedName>
    <definedName name="_70__123Graph_BCHART_30" hidden="1">#REF!</definedName>
    <definedName name="_71_______________________________________________123Graph_XChart_2A" hidden="1">#REF!</definedName>
    <definedName name="_71__123Graph_BCHART_3" hidden="1">#REF!</definedName>
    <definedName name="_71__123Graph_BCHART_31" hidden="1">#REF!</definedName>
    <definedName name="_72_______________________________________________123Graph_XChart_3A" hidden="1">#REF!</definedName>
    <definedName name="_72__123Graph_ACHART_43" hidden="1">#REF!</definedName>
    <definedName name="_72__123Graph_BCHART_30" hidden="1">#REF!</definedName>
    <definedName name="_72__123Graph_BCHART_32" hidden="1">#REF!</definedName>
    <definedName name="_73______________________________________________123Graph_AChart_2A" hidden="1">#REF!</definedName>
    <definedName name="_73__123Graph_BCHART_31" hidden="1">#REF!</definedName>
    <definedName name="_73__123Graph_BCHART_33" hidden="1">#REF!</definedName>
    <definedName name="_74______________________________________________123Graph_AChart_3A" hidden="1">#REF!</definedName>
    <definedName name="_74__123Graph_ACHART_44" hidden="1">#REF!</definedName>
    <definedName name="_74__123Graph_BCHART_32" hidden="1">#REF!</definedName>
    <definedName name="_74__123Graph_BCHART_34" hidden="1">#REF!</definedName>
    <definedName name="_75______________________________________________123Graph_XChart_2A" hidden="1">#REF!</definedName>
    <definedName name="_75__123Graph_BCHART_33" hidden="1">#REF!</definedName>
    <definedName name="_75__123Graph_BCHART_35" hidden="1">#REF!</definedName>
    <definedName name="_76______________________________________________123Graph_XChart_3A" hidden="1">#REF!</definedName>
    <definedName name="_76__123Graph_ACHART_45" hidden="1">#REF!</definedName>
    <definedName name="_76__123Graph_BCHART_34" hidden="1">#REF!</definedName>
    <definedName name="_76__123Graph_BCHART_36" hidden="1">#REF!</definedName>
    <definedName name="_77_____________________________________________123Graph_AChart_2A" hidden="1">#REF!</definedName>
    <definedName name="_77__123Graph_BCHART_35" hidden="1">#REF!</definedName>
    <definedName name="_77__123Graph_BCHART_37" hidden="1">#REF!</definedName>
    <definedName name="_78_____________________________________________123Graph_AChart_3A" hidden="1">#REF!</definedName>
    <definedName name="_78__123Graph_ACHART_46" hidden="1">#REF!</definedName>
    <definedName name="_78__123Graph_BCHART_36" hidden="1">#REF!</definedName>
    <definedName name="_78__123Graph_BCHART_38" hidden="1">#REF!</definedName>
    <definedName name="_79_____________________________________________123Graph_XChart_2A" hidden="1">#REF!</definedName>
    <definedName name="_79__123Graph_BCHART_37" hidden="1">#REF!</definedName>
    <definedName name="_79__123Graph_BCHART_39" hidden="1">#REF!</definedName>
    <definedName name="_8_______________________________________________________________123Graph_XChart_3A" hidden="1">#REF!</definedName>
    <definedName name="_8____123Graph_XCHART_1" hidden="1">#REF!</definedName>
    <definedName name="_8__123Graph_ACHART_12" hidden="1">#REF!</definedName>
    <definedName name="_8__123Graph_ACHART_16" hidden="1">#REF!</definedName>
    <definedName name="_8__123Graph_AChart_17A" hidden="1">#REF!</definedName>
    <definedName name="_8__123Graph_BG_KUM" hidden="1">#REF!</definedName>
    <definedName name="_8__123Graph_CCHART_3J" localSheetId="42" hidden="1">#REF!</definedName>
    <definedName name="_8__123Graph_CCHART_3J" hidden="1">#REF!</definedName>
    <definedName name="_8__123Graph_ECHART_2" hidden="1">#REF!</definedName>
    <definedName name="_8__123Graph_XChart_3A" hidden="1">#REF!</definedName>
    <definedName name="_80_____________________________________________123Graph_XChart_3A" hidden="1">#REF!</definedName>
    <definedName name="_80__123Graph_ACHART_47" hidden="1">#REF!</definedName>
    <definedName name="_80__123Graph_BCHART_38" hidden="1">#REF!</definedName>
    <definedName name="_80__123Graph_BCHART_4" hidden="1">#REF!</definedName>
    <definedName name="_81____________________________________________123Graph_AChart_2A" hidden="1">#REF!</definedName>
    <definedName name="_81__123Graph_BCHART_39" hidden="1">#REF!</definedName>
    <definedName name="_81__123Graph_BCHART_40" hidden="1">#REF!</definedName>
    <definedName name="_82____________________________________________123Graph_AChart_3A" hidden="1">#REF!</definedName>
    <definedName name="_82__123Graph_ACHART_48" hidden="1">#REF!</definedName>
    <definedName name="_82__123Graph_BCHART_4" hidden="1">#REF!</definedName>
    <definedName name="_82__123Graph_BCHART_41" hidden="1">#REF!</definedName>
    <definedName name="_83____________________________________________123Graph_XChart_2A" hidden="1">#REF!</definedName>
    <definedName name="_83__123Graph_BCHART_40" hidden="1">#REF!</definedName>
    <definedName name="_83__123Graph_BCHART_42" hidden="1">#REF!</definedName>
    <definedName name="_84____________________________________________123Graph_XChart_3A" hidden="1">#REF!</definedName>
    <definedName name="_84__123Graph_ACHART_5" hidden="1">#REF!</definedName>
    <definedName name="_84__123Graph_BCHART_41" hidden="1">#REF!</definedName>
    <definedName name="_84__123Graph_BCHART_43" hidden="1">#REF!</definedName>
    <definedName name="_85___________________________________________123Graph_AChart_2A" hidden="1">#REF!</definedName>
    <definedName name="_85__123Graph_BCHART_42" hidden="1">#REF!</definedName>
    <definedName name="_85__123Graph_BCHART_44" hidden="1">#REF!</definedName>
    <definedName name="_86___________________________________________123Graph_AChart_3A" hidden="1">#REF!</definedName>
    <definedName name="_86__123Graph_ACHART_6" hidden="1">#REF!</definedName>
    <definedName name="_86__123Graph_BCHART_43" hidden="1">#REF!</definedName>
    <definedName name="_86__123Graph_BCHART_45" hidden="1">#REF!</definedName>
    <definedName name="_86__123Graph_CCHART_1" hidden="1">#REF!</definedName>
    <definedName name="_87___________________________________________123Graph_XChart_2A" hidden="1">#REF!</definedName>
    <definedName name="_87__123Graph_BCHART_44" hidden="1">#REF!</definedName>
    <definedName name="_87__123Graph_BCHART_46" hidden="1">#REF!</definedName>
    <definedName name="_87__123Graph_CCHART_4" hidden="1">#REF!</definedName>
    <definedName name="_88___________________________________________123Graph_XChart_3A" hidden="1">#REF!</definedName>
    <definedName name="_88__123Graph_ACHART_68" hidden="1">#REF!</definedName>
    <definedName name="_88__123Graph_BCHART_45" hidden="1">#REF!</definedName>
    <definedName name="_88__123Graph_BCHART_47" hidden="1">#REF!</definedName>
    <definedName name="_88__123Graph_CCHART_5" hidden="1">#REF!</definedName>
    <definedName name="_89__________________________________________123Graph_AChart_2A" hidden="1">#REF!</definedName>
    <definedName name="_89__123Graph_BCHART_46" hidden="1">#REF!</definedName>
    <definedName name="_89__123Graph_BCHART_48" hidden="1">#REF!</definedName>
    <definedName name="_89__123Graph_DCHART_1" hidden="1">#REF!</definedName>
    <definedName name="_9______________________________________________________________123Graph_AChart_2A" hidden="1">#REF!</definedName>
    <definedName name="_9__123Graph_ACHART_17" hidden="1">#REF!</definedName>
    <definedName name="_9__123Graph_AChart_18A" hidden="1">#REF!</definedName>
    <definedName name="_9__123Graph_ACHART_2" hidden="1">#REF!</definedName>
    <definedName name="_9__123Graph_AChart_2A" hidden="1">#REF!</definedName>
    <definedName name="_9__123Graph_AChart_3A" hidden="1">#REF!</definedName>
    <definedName name="_9__123Graph_CCHART_4K" hidden="1">#REF!</definedName>
    <definedName name="_9__123Graph_CG_KUM" hidden="1">#REF!</definedName>
    <definedName name="_9__123Graph_XChart_3A" hidden="1">#REF!</definedName>
    <definedName name="_90__________________________________________123Graph_AChart_3A" hidden="1">#REF!</definedName>
    <definedName name="_90__123Graph_ACHART_7" hidden="1">#REF!</definedName>
    <definedName name="_90__123Graph_BCHART_47" hidden="1">#REF!</definedName>
    <definedName name="_90__123Graph_BCHART_5" hidden="1">#REF!</definedName>
    <definedName name="_90__123Graph_DCHART_4" hidden="1">#REF!</definedName>
    <definedName name="_91__________________________________________123Graph_XChart_2A" hidden="1">#REF!</definedName>
    <definedName name="_91__123Graph_BCHART_48" hidden="1">#REF!</definedName>
    <definedName name="_91__123Graph_BCHART_6" hidden="1">#REF!</definedName>
    <definedName name="_91__123Graph_DCHART_5" hidden="1">#REF!</definedName>
    <definedName name="_92__________________________________________123Graph_XChart_3A" hidden="1">#REF!</definedName>
    <definedName name="_92__123Graph_ACHART_77" hidden="1">#REF!</definedName>
    <definedName name="_92__123Graph_BCHART_5" hidden="1">#REF!</definedName>
    <definedName name="_92__123Graph_BCHART_68" hidden="1">#REF!</definedName>
    <definedName name="_92__123Graph_ECHART_1" hidden="1">#REF!</definedName>
    <definedName name="_93_________________________________________123Graph_AChart_2A" hidden="1">#REF!</definedName>
    <definedName name="_93__123Graph_BCHART_7" hidden="1">#REF!</definedName>
    <definedName name="_93__123Graph_ECHART_4" hidden="1">#REF!</definedName>
    <definedName name="_94_________________________________________123Graph_AChart_3A" hidden="1">#REF!</definedName>
    <definedName name="_94__123Graph_ACHART_8" hidden="1">#REF!</definedName>
    <definedName name="_94__123Graph_BCHART_6" hidden="1">#REF!</definedName>
    <definedName name="_94__123Graph_BCHART_77" hidden="1">#REF!</definedName>
    <definedName name="_94__123Graph_BCHART_8" hidden="1">#REF!</definedName>
    <definedName name="_94__123Graph_ECHART_5" hidden="1">#REF!</definedName>
    <definedName name="_95_________________________________________123Graph_XChart_2A" hidden="1">#REF!</definedName>
    <definedName name="_95__123Graph_BCHART_68" hidden="1">#REF!</definedName>
    <definedName name="_95__123Graph_BCHART_8" hidden="1">#REF!</definedName>
    <definedName name="_95__123Graph_FCHART_1" hidden="1">#REF!</definedName>
    <definedName name="_96_________________________________________123Graph_XChart_3A" hidden="1">#REF!</definedName>
    <definedName name="_96__123Graph_ACHART_9" hidden="1">#REF!</definedName>
    <definedName name="_96__123Graph_BCHART_9" hidden="1">#REF!</definedName>
    <definedName name="_96__123Graph_FCHART_4" hidden="1">#REF!</definedName>
    <definedName name="_97________________________________________123Graph_AChart_2A" hidden="1">#REF!</definedName>
    <definedName name="_97__123Graph_BCHART_7" hidden="1">#REF!</definedName>
    <definedName name="_97__123Graph_FCHART_5" hidden="1">#REF!</definedName>
    <definedName name="_98________________________________________123Graph_AChart_3A" hidden="1">#REF!</definedName>
    <definedName name="_98__123Graph_BCHART_1" hidden="1">#REF!</definedName>
    <definedName name="_98__123Graph_BCHART_77" hidden="1">#REF!</definedName>
    <definedName name="_99________________________________________123Graph_XChart_2A" hidden="1">#REF!</definedName>
    <definedName name="_a129" localSheetId="20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19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26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24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32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27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28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29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31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30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17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18" hidden="1">{"Offgrid",#N/A,FALSE,"OFFGRID";"Region",#N/A,FALSE,"REGION";"Offgrid -2",#N/A,FALSE,"OFFGRID";"WTP",#N/A,FALSE,"WTP";"WTP -2",#N/A,FALSE,"WTP";"Project",#N/A,FALSE,"PROJECT";"Summary -2",#N/A,FALSE,"SUMMARY"}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20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19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26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24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32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27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28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29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31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30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17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18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lan_23" localSheetId="32" hidden="1">#REF!</definedName>
    <definedName name="_alan_23" hidden="1">#REF!</definedName>
    <definedName name="_amd1" localSheetId="20" hidden="1">{#N/A,#N/A,FALSE,"Chi tiÆt"}</definedName>
    <definedName name="_amd1" localSheetId="19" hidden="1">{#N/A,#N/A,FALSE,"Chi tiÆt"}</definedName>
    <definedName name="_amd1" localSheetId="26" hidden="1">{#N/A,#N/A,FALSE,"Chi tiÆt"}</definedName>
    <definedName name="_amd1" localSheetId="24" hidden="1">{#N/A,#N/A,FALSE,"Chi tiÆt"}</definedName>
    <definedName name="_amd1" localSheetId="32" hidden="1">{#N/A,#N/A,FALSE,"Chi tiÆt"}</definedName>
    <definedName name="_amd1" localSheetId="27" hidden="1">{#N/A,#N/A,FALSE,"Chi tiÆt"}</definedName>
    <definedName name="_amd1" localSheetId="28" hidden="1">{#N/A,#N/A,FALSE,"Chi tiÆt"}</definedName>
    <definedName name="_amd1" localSheetId="29" hidden="1">{#N/A,#N/A,FALSE,"Chi tiÆt"}</definedName>
    <definedName name="_amd1" localSheetId="31" hidden="1">{#N/A,#N/A,FALSE,"Chi tiÆt"}</definedName>
    <definedName name="_amd1" localSheetId="30" hidden="1">{#N/A,#N/A,FALSE,"Chi tiÆt"}</definedName>
    <definedName name="_amd1" localSheetId="17" hidden="1">{#N/A,#N/A,FALSE,"Chi tiÆt"}</definedName>
    <definedName name="_amd1" localSheetId="18" hidden="1">{#N/A,#N/A,FALSE,"Chi tiÆt"}</definedName>
    <definedName name="_amd1" hidden="1">{#N/A,#N/A,FALSE,"Chi tiÆt"}</definedName>
    <definedName name="_amd2" localSheetId="20" hidden="1">{#N/A,#N/A,FALSE,"Chi tiÆt"}</definedName>
    <definedName name="_amd2" localSheetId="19" hidden="1">{#N/A,#N/A,FALSE,"Chi tiÆt"}</definedName>
    <definedName name="_amd2" localSheetId="26" hidden="1">{#N/A,#N/A,FALSE,"Chi tiÆt"}</definedName>
    <definedName name="_amd2" localSheetId="24" hidden="1">{#N/A,#N/A,FALSE,"Chi tiÆt"}</definedName>
    <definedName name="_amd2" localSheetId="32" hidden="1">{#N/A,#N/A,FALSE,"Chi tiÆt"}</definedName>
    <definedName name="_amd2" localSheetId="27" hidden="1">{#N/A,#N/A,FALSE,"Chi tiÆt"}</definedName>
    <definedName name="_amd2" localSheetId="28" hidden="1">{#N/A,#N/A,FALSE,"Chi tiÆt"}</definedName>
    <definedName name="_amd2" localSheetId="29" hidden="1">{#N/A,#N/A,FALSE,"Chi tiÆt"}</definedName>
    <definedName name="_amd2" localSheetId="31" hidden="1">{#N/A,#N/A,FALSE,"Chi tiÆt"}</definedName>
    <definedName name="_amd2" localSheetId="30" hidden="1">{#N/A,#N/A,FALSE,"Chi tiÆt"}</definedName>
    <definedName name="_amd2" localSheetId="17" hidden="1">{#N/A,#N/A,FALSE,"Chi tiÆt"}</definedName>
    <definedName name="_amd2" localSheetId="18" hidden="1">{#N/A,#N/A,FALSE,"Chi tiÆt"}</definedName>
    <definedName name="_amd2" hidden="1">{#N/A,#N/A,FALSE,"Chi tiÆt"}</definedName>
    <definedName name="_App7" localSheetId="20" hidden="1">{"'Sheet1'!$A$1"}</definedName>
    <definedName name="_App7" localSheetId="19" hidden="1">{"'Sheet1'!$A$1"}</definedName>
    <definedName name="_App7" localSheetId="26" hidden="1">{"'Sheet1'!$A$1"}</definedName>
    <definedName name="_App7" localSheetId="24" hidden="1">{"'Sheet1'!$A$1"}</definedName>
    <definedName name="_App7" localSheetId="32" hidden="1">{"'Sheet1'!$A$1"}</definedName>
    <definedName name="_App7" localSheetId="27" hidden="1">{"'Sheet1'!$A$1"}</definedName>
    <definedName name="_App7" localSheetId="28" hidden="1">{"'Sheet1'!$A$1"}</definedName>
    <definedName name="_App7" localSheetId="29" hidden="1">{"'Sheet1'!$A$1"}</definedName>
    <definedName name="_App7" localSheetId="31" hidden="1">{"'Sheet1'!$A$1"}</definedName>
    <definedName name="_App7" localSheetId="30" hidden="1">{"'Sheet1'!$A$1"}</definedName>
    <definedName name="_App7" localSheetId="17" hidden="1">{"'Sheet1'!$A$1"}</definedName>
    <definedName name="_App7" localSheetId="18" hidden="1">{"'Sheet1'!$A$1"}</definedName>
    <definedName name="_App7" hidden="1">{"'Sheet1'!$A$1"}</definedName>
    <definedName name="_AREA" hidden="1">#REF!</definedName>
    <definedName name="_ars1" localSheetId="20" hidden="1">{#N/A,#N/A,FALSE,"REK";#N/A,#N/A,FALSE,"Bq-ARS"}</definedName>
    <definedName name="_ars1" localSheetId="19" hidden="1">{#N/A,#N/A,FALSE,"REK";#N/A,#N/A,FALSE,"Bq-ARS"}</definedName>
    <definedName name="_ars1" localSheetId="26" hidden="1">{#N/A,#N/A,FALSE,"REK";#N/A,#N/A,FALSE,"Bq-ARS"}</definedName>
    <definedName name="_ars1" localSheetId="24" hidden="1">{#N/A,#N/A,FALSE,"REK";#N/A,#N/A,FALSE,"Bq-ARS"}</definedName>
    <definedName name="_ars1" localSheetId="32" hidden="1">{#N/A,#N/A,FALSE,"REK";#N/A,#N/A,FALSE,"Bq-ARS"}</definedName>
    <definedName name="_ars1" localSheetId="27" hidden="1">{#N/A,#N/A,FALSE,"REK";#N/A,#N/A,FALSE,"Bq-ARS"}</definedName>
    <definedName name="_ars1" localSheetId="28" hidden="1">{#N/A,#N/A,FALSE,"REK";#N/A,#N/A,FALSE,"Bq-ARS"}</definedName>
    <definedName name="_ars1" localSheetId="29" hidden="1">{#N/A,#N/A,FALSE,"REK";#N/A,#N/A,FALSE,"Bq-ARS"}</definedName>
    <definedName name="_ars1" localSheetId="31" hidden="1">{#N/A,#N/A,FALSE,"REK";#N/A,#N/A,FALSE,"Bq-ARS"}</definedName>
    <definedName name="_ars1" localSheetId="30" hidden="1">{#N/A,#N/A,FALSE,"REK";#N/A,#N/A,FALSE,"Bq-ARS"}</definedName>
    <definedName name="_ars1" localSheetId="17" hidden="1">{#N/A,#N/A,FALSE,"REK";#N/A,#N/A,FALSE,"Bq-ARS"}</definedName>
    <definedName name="_ars1" localSheetId="18" hidden="1">{#N/A,#N/A,FALSE,"REK";#N/A,#N/A,FALSE,"Bq-ARS"}</definedName>
    <definedName name="_ars1" hidden="1">{#N/A,#N/A,FALSE,"REK";#N/A,#N/A,FALSE,"Bq-ARS"}</definedName>
    <definedName name="_cad1" localSheetId="32" hidden="1">#REF!</definedName>
    <definedName name="_cad1" hidden="1">#REF!</definedName>
    <definedName name="_cad2" localSheetId="32" hidden="1">#REF!</definedName>
    <definedName name="_cad2" hidden="1">#REF!</definedName>
    <definedName name="_cad3" localSheetId="32" hidden="1">#REF!</definedName>
    <definedName name="_cad3" hidden="1">#REF!</definedName>
    <definedName name="_check" hidden="1">#REF!</definedName>
    <definedName name="_core" hidden="1">#REF!</definedName>
    <definedName name="_Dist_Bin" localSheetId="42" hidden="1">#REF!</definedName>
    <definedName name="_Dist_Values" localSheetId="27" hidden="1">#REF!</definedName>
    <definedName name="_Dist_Values" localSheetId="13" hidden="1">#REF!</definedName>
    <definedName name="_Dist_Values" localSheetId="15" hidden="1">#REF!</definedName>
    <definedName name="_Dist_Values" localSheetId="42" hidden="1">#REF!</definedName>
    <definedName name="_Dist_Values" hidden="1">#REF!</definedName>
    <definedName name="_e" hidden="1">#REF!</definedName>
    <definedName name="_ERR1" localSheetId="20" hidden="1">{#N/A,#N/A,FALSE,"M.42"}</definedName>
    <definedName name="_ERR1" localSheetId="19" hidden="1">{#N/A,#N/A,FALSE,"M.42"}</definedName>
    <definedName name="_ERR1" localSheetId="26" hidden="1">{#N/A,#N/A,FALSE,"M.42"}</definedName>
    <definedName name="_ERR1" localSheetId="24" hidden="1">{#N/A,#N/A,FALSE,"M.42"}</definedName>
    <definedName name="_ERR1" localSheetId="32" hidden="1">{#N/A,#N/A,FALSE,"M.42"}</definedName>
    <definedName name="_ERR1" localSheetId="27" hidden="1">{#N/A,#N/A,FALSE,"M.42"}</definedName>
    <definedName name="_ERR1" localSheetId="28" hidden="1">{#N/A,#N/A,FALSE,"M.42"}</definedName>
    <definedName name="_ERR1" localSheetId="29" hidden="1">{#N/A,#N/A,FALSE,"M.42"}</definedName>
    <definedName name="_ERR1" localSheetId="31" hidden="1">{#N/A,#N/A,FALSE,"M.42"}</definedName>
    <definedName name="_ERR1" localSheetId="30" hidden="1">{#N/A,#N/A,FALSE,"M.42"}</definedName>
    <definedName name="_ERR1" localSheetId="17" hidden="1">{#N/A,#N/A,FALSE,"M.42"}</definedName>
    <definedName name="_ERR1" localSheetId="18" hidden="1">{#N/A,#N/A,FALSE,"M.42"}</definedName>
    <definedName name="_ERR1" hidden="1">{#N/A,#N/A,FALSE,"M.42"}</definedName>
    <definedName name="_f" localSheetId="32" hidden="1">#REF!</definedName>
    <definedName name="_f" localSheetId="27" hidden="1">#REF!</definedName>
    <definedName name="_f" localSheetId="18" hidden="1">#REF!</definedName>
    <definedName name="_f" hidden="1">#REF!</definedName>
    <definedName name="_fh131205" localSheetId="20" hidden="1">{#N/A,#N/A,FALSE,"REK";#N/A,#N/A,FALSE,"rab"}</definedName>
    <definedName name="_fh131205" localSheetId="19" hidden="1">{#N/A,#N/A,FALSE,"REK";#N/A,#N/A,FALSE,"rab"}</definedName>
    <definedName name="_fh131205" localSheetId="26" hidden="1">{#N/A,#N/A,FALSE,"REK";#N/A,#N/A,FALSE,"rab"}</definedName>
    <definedName name="_fh131205" localSheetId="24" hidden="1">{#N/A,#N/A,FALSE,"REK";#N/A,#N/A,FALSE,"rab"}</definedName>
    <definedName name="_fh131205" localSheetId="32" hidden="1">{#N/A,#N/A,FALSE,"REK";#N/A,#N/A,FALSE,"rab"}</definedName>
    <definedName name="_fh131205" localSheetId="27" hidden="1">{#N/A,#N/A,FALSE,"REK";#N/A,#N/A,FALSE,"rab"}</definedName>
    <definedName name="_fh131205" localSheetId="28" hidden="1">{#N/A,#N/A,FALSE,"REK";#N/A,#N/A,FALSE,"rab"}</definedName>
    <definedName name="_fh131205" localSheetId="29" hidden="1">{#N/A,#N/A,FALSE,"REK";#N/A,#N/A,FALSE,"rab"}</definedName>
    <definedName name="_fh131205" localSheetId="31" hidden="1">{#N/A,#N/A,FALSE,"REK";#N/A,#N/A,FALSE,"rab"}</definedName>
    <definedName name="_fh131205" localSheetId="30" hidden="1">{#N/A,#N/A,FALSE,"REK";#N/A,#N/A,FALSE,"rab"}</definedName>
    <definedName name="_fh131205" localSheetId="17" hidden="1">{#N/A,#N/A,FALSE,"REK";#N/A,#N/A,FALSE,"rab"}</definedName>
    <definedName name="_fh131205" localSheetId="18" hidden="1">{#N/A,#N/A,FALSE,"REK";#N/A,#N/A,FALSE,"rab"}</definedName>
    <definedName name="_fh131205" hidden="1">{#N/A,#N/A,FALSE,"REK";#N/A,#N/A,FALSE,"rab"}</definedName>
    <definedName name="_Fil" localSheetId="32" hidden="1">#REF!</definedName>
    <definedName name="_Fil" localSheetId="27" hidden="1">#REF!</definedName>
    <definedName name="_Fil" localSheetId="18" hidden="1">#REF!</definedName>
    <definedName name="_Fil" hidden="1">#REF!</definedName>
    <definedName name="_file" localSheetId="27" hidden="1">#REF!</definedName>
    <definedName name="_file" localSheetId="18" hidden="1">#REF!</definedName>
    <definedName name="_file" hidden="1">#REF!</definedName>
    <definedName name="_Fill" localSheetId="27" hidden="1">#REF!</definedName>
    <definedName name="_Fill" localSheetId="15" hidden="1">#REF!</definedName>
    <definedName name="_Fill" localSheetId="42" hidden="1">#REF!</definedName>
    <definedName name="_Fill" hidden="1">#REF!</definedName>
    <definedName name="_FILL2" hidden="1">#REF!</definedName>
    <definedName name="_xlnm._FilterDatabase" localSheetId="6" hidden="1">RAB!$A$12:$O$1353</definedName>
    <definedName name="_flot" localSheetId="32" hidden="1">#REF!</definedName>
    <definedName name="_flot" hidden="1">#REF!</definedName>
    <definedName name="_g" localSheetId="32" hidden="1">#REF!</definedName>
    <definedName name="_g" hidden="1">#REF!</definedName>
    <definedName name="_gk2" localSheetId="42" hidden="1">#REF!</definedName>
    <definedName name="_gk2" hidden="1">#REF!</definedName>
    <definedName name="_Goi8" localSheetId="20" hidden="1">{"'Sheet1'!$L$16"}</definedName>
    <definedName name="_Goi8" localSheetId="19" hidden="1">{"'Sheet1'!$L$16"}</definedName>
    <definedName name="_Goi8" localSheetId="26" hidden="1">{"'Sheet1'!$L$16"}</definedName>
    <definedName name="_Goi8" localSheetId="24" hidden="1">{"'Sheet1'!$L$16"}</definedName>
    <definedName name="_Goi8" localSheetId="32" hidden="1">{"'Sheet1'!$L$16"}</definedName>
    <definedName name="_Goi8" localSheetId="27" hidden="1">{"'Sheet1'!$L$16"}</definedName>
    <definedName name="_Goi8" localSheetId="28" hidden="1">{"'Sheet1'!$L$16"}</definedName>
    <definedName name="_Goi8" localSheetId="29" hidden="1">{"'Sheet1'!$L$16"}</definedName>
    <definedName name="_Goi8" localSheetId="31" hidden="1">{"'Sheet1'!$L$16"}</definedName>
    <definedName name="_Goi8" localSheetId="30" hidden="1">{"'Sheet1'!$L$16"}</definedName>
    <definedName name="_Goi8" localSheetId="17" hidden="1">{"'Sheet1'!$L$16"}</definedName>
    <definedName name="_Goi8" localSheetId="18" hidden="1">{"'Sheet1'!$L$16"}</definedName>
    <definedName name="_Goi8" hidden="1">{"'Sheet1'!$L$16"}</definedName>
    <definedName name="_h" hidden="1">#REF!</definedName>
    <definedName name="_help" hidden="1">#REF!</definedName>
    <definedName name="_help1" hidden="1">#REF!</definedName>
    <definedName name="_jkw1" localSheetId="20" hidden="1">{"'Rekap 1'!$A$1:$E$18"}</definedName>
    <definedName name="_jkw1" localSheetId="19" hidden="1">{"'Rekap 1'!$A$1:$E$18"}</definedName>
    <definedName name="_jkw1" localSheetId="26" hidden="1">{"'Rekap 1'!$A$1:$E$18"}</definedName>
    <definedName name="_jkw1" localSheetId="24" hidden="1">{"'Rekap 1'!$A$1:$E$18"}</definedName>
    <definedName name="_jkw1" localSheetId="32" hidden="1">{"'Rekap 1'!$A$1:$E$18"}</definedName>
    <definedName name="_jkw1" localSheetId="27" hidden="1">{"'Rekap 1'!$A$1:$E$18"}</definedName>
    <definedName name="_jkw1" localSheetId="28" hidden="1">{"'Rekap 1'!$A$1:$E$18"}</definedName>
    <definedName name="_jkw1" localSheetId="29" hidden="1">{"'Rekap 1'!$A$1:$E$18"}</definedName>
    <definedName name="_jkw1" localSheetId="31" hidden="1">{"'Rekap 1'!$A$1:$E$18"}</definedName>
    <definedName name="_jkw1" localSheetId="30" hidden="1">{"'Rekap 1'!$A$1:$E$18"}</definedName>
    <definedName name="_jkw1" localSheetId="17" hidden="1">{"'Rekap 1'!$A$1:$E$18"}</definedName>
    <definedName name="_jkw1" localSheetId="18" hidden="1">{"'Rekap 1'!$A$1:$E$18"}</definedName>
    <definedName name="_jkw1" hidden="1">{"'Rekap 1'!$A$1:$E$18"}</definedName>
    <definedName name="_JMP" hidden="1">#REF!</definedName>
    <definedName name="_Job01" hidden="1">#REF!</definedName>
    <definedName name="_key" hidden="1">#REF!</definedName>
    <definedName name="_KEY001" hidden="1">#REF!</definedName>
    <definedName name="_KEY002" hidden="1">#REF!</definedName>
    <definedName name="_KEY01" hidden="1">#REF!</definedName>
    <definedName name="_KEY02" hidden="1">#REF!</definedName>
    <definedName name="_Key1" localSheetId="15" hidden="1">#REF!</definedName>
    <definedName name="_Key1" localSheetId="42" hidden="1">#REF!</definedName>
    <definedName name="_Key1" hidden="1">#REF!</definedName>
    <definedName name="_Key2" localSheetId="15" hidden="1">#REF!</definedName>
    <definedName name="_Key2" hidden="1">#REF!</definedName>
    <definedName name="_KEY3" hidden="1">#REF!</definedName>
    <definedName name="_klm" hidden="1">#REF!</definedName>
    <definedName name="_M6" localSheetId="20" hidden="1">{#N/A,#N/A,FALSE,"Chi tiÆt"}</definedName>
    <definedName name="_M6" localSheetId="19" hidden="1">{#N/A,#N/A,FALSE,"Chi tiÆt"}</definedName>
    <definedName name="_M6" localSheetId="26" hidden="1">{#N/A,#N/A,FALSE,"Chi tiÆt"}</definedName>
    <definedName name="_M6" localSheetId="24" hidden="1">{#N/A,#N/A,FALSE,"Chi tiÆt"}</definedName>
    <definedName name="_M6" localSheetId="32" hidden="1">{#N/A,#N/A,FALSE,"Chi tiÆt"}</definedName>
    <definedName name="_M6" localSheetId="27" hidden="1">{#N/A,#N/A,FALSE,"Chi tiÆt"}</definedName>
    <definedName name="_M6" localSheetId="28" hidden="1">{#N/A,#N/A,FALSE,"Chi tiÆt"}</definedName>
    <definedName name="_M6" localSheetId="29" hidden="1">{#N/A,#N/A,FALSE,"Chi tiÆt"}</definedName>
    <definedName name="_M6" localSheetId="31" hidden="1">{#N/A,#N/A,FALSE,"Chi tiÆt"}</definedName>
    <definedName name="_M6" localSheetId="30" hidden="1">{#N/A,#N/A,FALSE,"Chi tiÆt"}</definedName>
    <definedName name="_M6" localSheetId="17" hidden="1">{#N/A,#N/A,FALSE,"Chi tiÆt"}</definedName>
    <definedName name="_M6" localSheetId="18" hidden="1">{#N/A,#N/A,FALSE,"Chi tiÆt"}</definedName>
    <definedName name="_M6" hidden="1">{#N/A,#N/A,FALSE,"Chi tiÆt"}</definedName>
    <definedName name="_MatInverse_In" localSheetId="32" hidden="1">#REF!</definedName>
    <definedName name="_MatInverse_In" localSheetId="27" hidden="1">#REF!</definedName>
    <definedName name="_MatInverse_In" localSheetId="18" hidden="1">#REF!</definedName>
    <definedName name="_MatInverse_In" hidden="1">#REF!</definedName>
    <definedName name="_MatInverse_Out" localSheetId="27" hidden="1">#REF!</definedName>
    <definedName name="_MatInverse_Out" localSheetId="18" hidden="1">#REF!</definedName>
    <definedName name="_MatInverse_Out" hidden="1">#REF!</definedName>
    <definedName name="_MatMult_A" localSheetId="27" hidden="1">#REF!</definedName>
    <definedName name="_MatMult_A" localSheetId="18" hidden="1">#REF!</definedName>
    <definedName name="_MatMult_A" hidden="1">#REF!</definedName>
    <definedName name="_MatMult_AxB" hidden="1">#REF!</definedName>
    <definedName name="_MatMult_B" hidden="1">#REF!</definedName>
    <definedName name="_MCC3" localSheetId="20" hidden="1">{#N/A,#N/A,FALSE,"CCTV"}</definedName>
    <definedName name="_MCC3" localSheetId="19" hidden="1">{#N/A,#N/A,FALSE,"CCTV"}</definedName>
    <definedName name="_MCC3" localSheetId="26" hidden="1">{#N/A,#N/A,FALSE,"CCTV"}</definedName>
    <definedName name="_MCC3" localSheetId="24" hidden="1">{#N/A,#N/A,FALSE,"CCTV"}</definedName>
    <definedName name="_MCC3" localSheetId="32" hidden="1">{#N/A,#N/A,FALSE,"CCTV"}</definedName>
    <definedName name="_MCC3" localSheetId="27" hidden="1">{#N/A,#N/A,FALSE,"CCTV"}</definedName>
    <definedName name="_MCC3" localSheetId="28" hidden="1">{#N/A,#N/A,FALSE,"CCTV"}</definedName>
    <definedName name="_MCC3" localSheetId="29" hidden="1">{#N/A,#N/A,FALSE,"CCTV"}</definedName>
    <definedName name="_MCC3" localSheetId="31" hidden="1">{#N/A,#N/A,FALSE,"CCTV"}</definedName>
    <definedName name="_MCC3" localSheetId="30" hidden="1">{#N/A,#N/A,FALSE,"CCTV"}</definedName>
    <definedName name="_MCC3" localSheetId="17" hidden="1">{#N/A,#N/A,FALSE,"CCTV"}</definedName>
    <definedName name="_MCC3" localSheetId="18" hidden="1">{#N/A,#N/A,FALSE,"CCTV"}</definedName>
    <definedName name="_MCC3" hidden="1">{#N/A,#N/A,FALSE,"CCTV"}</definedName>
    <definedName name="_NP2" localSheetId="32" hidden="1">#REF!</definedName>
    <definedName name="_NP2" hidden="1">#REF!</definedName>
    <definedName name="_np3" localSheetId="32" hidden="1">#REF!</definedName>
    <definedName name="_np3" hidden="1">#REF!</definedName>
    <definedName name="_ok" localSheetId="32" hidden="1">#REF!</definedName>
    <definedName name="_ok" hidden="1">#REF!</definedName>
    <definedName name="_Order1" hidden="1">255</definedName>
    <definedName name="_Order2" hidden="1">255</definedName>
    <definedName name="_ort" localSheetId="32" hidden="1">#REF!</definedName>
    <definedName name="_ort" localSheetId="27" hidden="1">#REF!</definedName>
    <definedName name="_ort" localSheetId="18" hidden="1">#REF!</definedName>
    <definedName name="_ort" hidden="1">#REF!</definedName>
    <definedName name="_ort1" localSheetId="27" hidden="1">#REF!</definedName>
    <definedName name="_ort1" localSheetId="18" hidden="1">#REF!</definedName>
    <definedName name="_ort1" hidden="1">#REF!</definedName>
    <definedName name="_Parse_In" hidden="1">#REF!</definedName>
    <definedName name="_Parse_Out" hidden="1">#REF!</definedName>
    <definedName name="_PP1" localSheetId="20" hidden="1">{#N/A,#N/A,FALSE,"CCTV"}</definedName>
    <definedName name="_PP1" localSheetId="19" hidden="1">{#N/A,#N/A,FALSE,"CCTV"}</definedName>
    <definedName name="_PP1" localSheetId="26" hidden="1">{#N/A,#N/A,FALSE,"CCTV"}</definedName>
    <definedName name="_PP1" localSheetId="24" hidden="1">{#N/A,#N/A,FALSE,"CCTV"}</definedName>
    <definedName name="_PP1" localSheetId="32" hidden="1">{#N/A,#N/A,FALSE,"CCTV"}</definedName>
    <definedName name="_PP1" localSheetId="27" hidden="1">{#N/A,#N/A,FALSE,"CCTV"}</definedName>
    <definedName name="_PP1" localSheetId="28" hidden="1">{#N/A,#N/A,FALSE,"CCTV"}</definedName>
    <definedName name="_PP1" localSheetId="29" hidden="1">{#N/A,#N/A,FALSE,"CCTV"}</definedName>
    <definedName name="_PP1" localSheetId="31" hidden="1">{#N/A,#N/A,FALSE,"CCTV"}</definedName>
    <definedName name="_PP1" localSheetId="30" hidden="1">{#N/A,#N/A,FALSE,"CCTV"}</definedName>
    <definedName name="_PP1" localSheetId="17" hidden="1">{#N/A,#N/A,FALSE,"CCTV"}</definedName>
    <definedName name="_PP1" localSheetId="18" hidden="1">{#N/A,#N/A,FALSE,"CCTV"}</definedName>
    <definedName name="_PP1" hidden="1">{#N/A,#N/A,FALSE,"CCTV"}</definedName>
    <definedName name="_Q2" localSheetId="20" hidden="1">{"'Overflow Tank '!$A$1:$Q$58"}</definedName>
    <definedName name="_Q2" localSheetId="19" hidden="1">{"'Overflow Tank '!$A$1:$Q$58"}</definedName>
    <definedName name="_Q2" localSheetId="26" hidden="1">{"'Overflow Tank '!$A$1:$Q$58"}</definedName>
    <definedName name="_Q2" localSheetId="24" hidden="1">{"'Overflow Tank '!$A$1:$Q$58"}</definedName>
    <definedName name="_Q2" localSheetId="32" hidden="1">{"'Overflow Tank '!$A$1:$Q$58"}</definedName>
    <definedName name="_Q2" localSheetId="27" hidden="1">{"'Overflow Tank '!$A$1:$Q$58"}</definedName>
    <definedName name="_Q2" localSheetId="28" hidden="1">{"'Overflow Tank '!$A$1:$Q$58"}</definedName>
    <definedName name="_Q2" localSheetId="29" hidden="1">{"'Overflow Tank '!$A$1:$Q$58"}</definedName>
    <definedName name="_Q2" localSheetId="31" hidden="1">{"'Overflow Tank '!$A$1:$Q$58"}</definedName>
    <definedName name="_Q2" localSheetId="30" hidden="1">{"'Overflow Tank '!$A$1:$Q$58"}</definedName>
    <definedName name="_Q2" localSheetId="17" hidden="1">{"'Overflow Tank '!$A$1:$Q$58"}</definedName>
    <definedName name="_Q2" localSheetId="18" hidden="1">{"'Overflow Tank '!$A$1:$Q$58"}</definedName>
    <definedName name="_Q2" hidden="1">{"'Overflow Tank '!$A$1:$Q$58"}</definedName>
    <definedName name="_Regression_Out" hidden="1">#REF!</definedName>
    <definedName name="_Regression_X" hidden="1">#REF!</definedName>
    <definedName name="_Regression_Y" hidden="1">#REF!</definedName>
    <definedName name="_REV3" localSheetId="20" hidden="1">{#N/A,#N/A,FALSE,"REK-S-TPL";#N/A,#N/A,FALSE,"REK-TPML";#N/A,#N/A,FALSE,"RAB-TEMPEL"}</definedName>
    <definedName name="_REV3" localSheetId="19" hidden="1">{#N/A,#N/A,FALSE,"REK-S-TPL";#N/A,#N/A,FALSE,"REK-TPML";#N/A,#N/A,FALSE,"RAB-TEMPEL"}</definedName>
    <definedName name="_REV3" localSheetId="26" hidden="1">{#N/A,#N/A,FALSE,"REK-S-TPL";#N/A,#N/A,FALSE,"REK-TPML";#N/A,#N/A,FALSE,"RAB-TEMPEL"}</definedName>
    <definedName name="_REV3" localSheetId="24" hidden="1">{#N/A,#N/A,FALSE,"REK-S-TPL";#N/A,#N/A,FALSE,"REK-TPML";#N/A,#N/A,FALSE,"RAB-TEMPEL"}</definedName>
    <definedName name="_REV3" localSheetId="32" hidden="1">{#N/A,#N/A,FALSE,"REK-S-TPL";#N/A,#N/A,FALSE,"REK-TPML";#N/A,#N/A,FALSE,"RAB-TEMPEL"}</definedName>
    <definedName name="_REV3" localSheetId="27" hidden="1">{#N/A,#N/A,FALSE,"REK-S-TPL";#N/A,#N/A,FALSE,"REK-TPML";#N/A,#N/A,FALSE,"RAB-TEMPEL"}</definedName>
    <definedName name="_REV3" localSheetId="28" hidden="1">{#N/A,#N/A,FALSE,"REK-S-TPL";#N/A,#N/A,FALSE,"REK-TPML";#N/A,#N/A,FALSE,"RAB-TEMPEL"}</definedName>
    <definedName name="_REV3" localSheetId="29" hidden="1">{#N/A,#N/A,FALSE,"REK-S-TPL";#N/A,#N/A,FALSE,"REK-TPML";#N/A,#N/A,FALSE,"RAB-TEMPEL"}</definedName>
    <definedName name="_REV3" localSheetId="31" hidden="1">{#N/A,#N/A,FALSE,"REK-S-TPL";#N/A,#N/A,FALSE,"REK-TPML";#N/A,#N/A,FALSE,"RAB-TEMPEL"}</definedName>
    <definedName name="_REV3" localSheetId="30" hidden="1">{#N/A,#N/A,FALSE,"REK-S-TPL";#N/A,#N/A,FALSE,"REK-TPML";#N/A,#N/A,FALSE,"RAB-TEMPEL"}</definedName>
    <definedName name="_REV3" localSheetId="17" hidden="1">{#N/A,#N/A,FALSE,"REK-S-TPL";#N/A,#N/A,FALSE,"REK-TPML";#N/A,#N/A,FALSE,"RAB-TEMPEL"}</definedName>
    <definedName name="_REV3" localSheetId="18" hidden="1">{#N/A,#N/A,FALSE,"REK-S-TPL";#N/A,#N/A,FALSE,"REK-TPML";#N/A,#N/A,FALSE,"RAB-TEMPEL"}</definedName>
    <definedName name="_REV3" hidden="1">{#N/A,#N/A,FALSE,"REK-S-TPL";#N/A,#N/A,FALSE,"REK-TPML";#N/A,#N/A,FALSE,"RAB-TEMPEL"}</definedName>
    <definedName name="_SLA2009" localSheetId="20" hidden="1">{#N/A,#N/A,FALSE,"M.32"}</definedName>
    <definedName name="_SLA2009" localSheetId="19" hidden="1">{#N/A,#N/A,FALSE,"M.32"}</definedName>
    <definedName name="_SLA2009" localSheetId="26" hidden="1">{#N/A,#N/A,FALSE,"M.32"}</definedName>
    <definedName name="_SLA2009" localSheetId="24" hidden="1">{#N/A,#N/A,FALSE,"M.32"}</definedName>
    <definedName name="_SLA2009" localSheetId="32" hidden="1">{#N/A,#N/A,FALSE,"M.32"}</definedName>
    <definedName name="_SLA2009" localSheetId="27" hidden="1">{#N/A,#N/A,FALSE,"M.32"}</definedName>
    <definedName name="_SLA2009" localSheetId="28" hidden="1">{#N/A,#N/A,FALSE,"M.32"}</definedName>
    <definedName name="_SLA2009" localSheetId="29" hidden="1">{#N/A,#N/A,FALSE,"M.32"}</definedName>
    <definedName name="_SLA2009" localSheetId="31" hidden="1">{#N/A,#N/A,FALSE,"M.32"}</definedName>
    <definedName name="_SLA2009" localSheetId="30" hidden="1">{#N/A,#N/A,FALSE,"M.32"}</definedName>
    <definedName name="_SLA2009" localSheetId="17" hidden="1">{#N/A,#N/A,FALSE,"M.32"}</definedName>
    <definedName name="_SLA2009" localSheetId="18" hidden="1">{#N/A,#N/A,FALSE,"M.32"}</definedName>
    <definedName name="_SLA2009" hidden="1">{#N/A,#N/A,FALSE,"M.32"}</definedName>
    <definedName name="_Sort" localSheetId="32" hidden="1">#REF!</definedName>
    <definedName name="_Sort" localSheetId="15" hidden="1">#REF!</definedName>
    <definedName name="_Sort" localSheetId="42" hidden="1">#REF!</definedName>
    <definedName name="_Sort" hidden="1">#REF!</definedName>
    <definedName name="_SORT1" hidden="1">#REF!</definedName>
    <definedName name="_still" hidden="1">#REF!</definedName>
    <definedName name="_STR2" localSheetId="20" hidden="1">{#N/A,#N/A,FALSE,"REK-S-TPL";#N/A,#N/A,FALSE,"REK-TPML";#N/A,#N/A,FALSE,"RAB-TEMPEL"}</definedName>
    <definedName name="_STR2" localSheetId="19" hidden="1">{#N/A,#N/A,FALSE,"REK-S-TPL";#N/A,#N/A,FALSE,"REK-TPML";#N/A,#N/A,FALSE,"RAB-TEMPEL"}</definedName>
    <definedName name="_STR2" localSheetId="26" hidden="1">{#N/A,#N/A,FALSE,"REK-S-TPL";#N/A,#N/A,FALSE,"REK-TPML";#N/A,#N/A,FALSE,"RAB-TEMPEL"}</definedName>
    <definedName name="_STR2" localSheetId="24" hidden="1">{#N/A,#N/A,FALSE,"REK-S-TPL";#N/A,#N/A,FALSE,"REK-TPML";#N/A,#N/A,FALSE,"RAB-TEMPEL"}</definedName>
    <definedName name="_STR2" localSheetId="32" hidden="1">{#N/A,#N/A,FALSE,"REK-S-TPL";#N/A,#N/A,FALSE,"REK-TPML";#N/A,#N/A,FALSE,"RAB-TEMPEL"}</definedName>
    <definedName name="_STR2" localSheetId="27" hidden="1">{#N/A,#N/A,FALSE,"REK-S-TPL";#N/A,#N/A,FALSE,"REK-TPML";#N/A,#N/A,FALSE,"RAB-TEMPEL"}</definedName>
    <definedName name="_STR2" localSheetId="28" hidden="1">{#N/A,#N/A,FALSE,"REK-S-TPL";#N/A,#N/A,FALSE,"REK-TPML";#N/A,#N/A,FALSE,"RAB-TEMPEL"}</definedName>
    <definedName name="_STR2" localSheetId="29" hidden="1">{#N/A,#N/A,FALSE,"REK-S-TPL";#N/A,#N/A,FALSE,"REK-TPML";#N/A,#N/A,FALSE,"RAB-TEMPEL"}</definedName>
    <definedName name="_STR2" localSheetId="31" hidden="1">{#N/A,#N/A,FALSE,"REK-S-TPL";#N/A,#N/A,FALSE,"REK-TPML";#N/A,#N/A,FALSE,"RAB-TEMPEL"}</definedName>
    <definedName name="_STR2" localSheetId="30" hidden="1">{#N/A,#N/A,FALSE,"REK-S-TPL";#N/A,#N/A,FALSE,"REK-TPML";#N/A,#N/A,FALSE,"RAB-TEMPEL"}</definedName>
    <definedName name="_STR2" localSheetId="17" hidden="1">{#N/A,#N/A,FALSE,"REK-S-TPL";#N/A,#N/A,FALSE,"REK-TPML";#N/A,#N/A,FALSE,"RAB-TEMPEL"}</definedName>
    <definedName name="_STR2" localSheetId="18" hidden="1">{#N/A,#N/A,FALSE,"REK-S-TPL";#N/A,#N/A,FALSE,"REK-TPML";#N/A,#N/A,FALSE,"RAB-TEMPEL"}</definedName>
    <definedName name="_STR2" hidden="1">{#N/A,#N/A,FALSE,"REK-S-TPL";#N/A,#N/A,FALSE,"REK-TPML";#N/A,#N/A,FALSE,"RAB-TEMPEL"}</definedName>
    <definedName name="_t1" localSheetId="20" hidden="1">{"Offgrid",#N/A,FALSE,"OFFGRID";"Region",#N/A,FALSE,"REGION";"Offgrid -2",#N/A,FALSE,"OFFGRID";"WTP",#N/A,FALSE,"WTP";"WTP -2",#N/A,FALSE,"WTP";"Project",#N/A,FALSE,"PROJECT";"Summary -2",#N/A,FALSE,"SUMMARY"}</definedName>
    <definedName name="_t1" localSheetId="19" hidden="1">{"Offgrid",#N/A,FALSE,"OFFGRID";"Region",#N/A,FALSE,"REGION";"Offgrid -2",#N/A,FALSE,"OFFGRID";"WTP",#N/A,FALSE,"WTP";"WTP -2",#N/A,FALSE,"WTP";"Project",#N/A,FALSE,"PROJECT";"Summary -2",#N/A,FALSE,"SUMMARY"}</definedName>
    <definedName name="_t1" localSheetId="26" hidden="1">{"Offgrid",#N/A,FALSE,"OFFGRID";"Region",#N/A,FALSE,"REGION";"Offgrid -2",#N/A,FALSE,"OFFGRID";"WTP",#N/A,FALSE,"WTP";"WTP -2",#N/A,FALSE,"WTP";"Project",#N/A,FALSE,"PROJECT";"Summary -2",#N/A,FALSE,"SUMMARY"}</definedName>
    <definedName name="_t1" localSheetId="24" hidden="1">{"Offgrid",#N/A,FALSE,"OFFGRID";"Region",#N/A,FALSE,"REGION";"Offgrid -2",#N/A,FALSE,"OFFGRID";"WTP",#N/A,FALSE,"WTP";"WTP -2",#N/A,FALSE,"WTP";"Project",#N/A,FALSE,"PROJECT";"Summary -2",#N/A,FALSE,"SUMMARY"}</definedName>
    <definedName name="_t1" localSheetId="32" hidden="1">{"Offgrid",#N/A,FALSE,"OFFGRID";"Region",#N/A,FALSE,"REGION";"Offgrid -2",#N/A,FALSE,"OFFGRID";"WTP",#N/A,FALSE,"WTP";"WTP -2",#N/A,FALSE,"WTP";"Project",#N/A,FALSE,"PROJECT";"Summary -2",#N/A,FALSE,"SUMMARY"}</definedName>
    <definedName name="_t1" localSheetId="27" hidden="1">{"Offgrid",#N/A,FALSE,"OFFGRID";"Region",#N/A,FALSE,"REGION";"Offgrid -2",#N/A,FALSE,"OFFGRID";"WTP",#N/A,FALSE,"WTP";"WTP -2",#N/A,FALSE,"WTP";"Project",#N/A,FALSE,"PROJECT";"Summary -2",#N/A,FALSE,"SUMMARY"}</definedName>
    <definedName name="_t1" localSheetId="28" hidden="1">{"Offgrid",#N/A,FALSE,"OFFGRID";"Region",#N/A,FALSE,"REGION";"Offgrid -2",#N/A,FALSE,"OFFGRID";"WTP",#N/A,FALSE,"WTP";"WTP -2",#N/A,FALSE,"WTP";"Project",#N/A,FALSE,"PROJECT";"Summary -2",#N/A,FALSE,"SUMMARY"}</definedName>
    <definedName name="_t1" localSheetId="29" hidden="1">{"Offgrid",#N/A,FALSE,"OFFGRID";"Region",#N/A,FALSE,"REGION";"Offgrid -2",#N/A,FALSE,"OFFGRID";"WTP",#N/A,FALSE,"WTP";"WTP -2",#N/A,FALSE,"WTP";"Project",#N/A,FALSE,"PROJECT";"Summary -2",#N/A,FALSE,"SUMMARY"}</definedName>
    <definedName name="_t1" localSheetId="31" hidden="1">{"Offgrid",#N/A,FALSE,"OFFGRID";"Region",#N/A,FALSE,"REGION";"Offgrid -2",#N/A,FALSE,"OFFGRID";"WTP",#N/A,FALSE,"WTP";"WTP -2",#N/A,FALSE,"WTP";"Project",#N/A,FALSE,"PROJECT";"Summary -2",#N/A,FALSE,"SUMMARY"}</definedName>
    <definedName name="_t1" localSheetId="30" hidden="1">{"Offgrid",#N/A,FALSE,"OFFGRID";"Region",#N/A,FALSE,"REGION";"Offgrid -2",#N/A,FALSE,"OFFGRID";"WTP",#N/A,FALSE,"WTP";"WTP -2",#N/A,FALSE,"WTP";"Project",#N/A,FALSE,"PROJECT";"Summary -2",#N/A,FALSE,"SUMMARY"}</definedName>
    <definedName name="_t1" localSheetId="17" hidden="1">{"Offgrid",#N/A,FALSE,"OFFGRID";"Region",#N/A,FALSE,"REGION";"Offgrid -2",#N/A,FALSE,"OFFGRID";"WTP",#N/A,FALSE,"WTP";"WTP -2",#N/A,FALSE,"WTP";"Project",#N/A,FALSE,"PROJECT";"Summary -2",#N/A,FALSE,"SUMMARY"}</definedName>
    <definedName name="_t1" localSheetId="18" hidden="1">{"Offgrid",#N/A,FALSE,"OFFGRID";"Region",#N/A,FALSE,"REGION";"Offgrid -2",#N/A,FALSE,"OFFGRID";"WTP",#N/A,FALSE,"WTP";"WTP -2",#N/A,FALSE,"WTP";"Project",#N/A,FALSE,"PROJECT";"Summary -2",#N/A,FALSE,"SUMMARY"}</definedName>
    <definedName name="_t1" hidden="1">{"Offgrid",#N/A,FALSE,"OFFGRID";"Region",#N/A,FALSE,"REGION";"Offgrid -2",#N/A,FALSE,"OFFGRID";"WTP",#N/A,FALSE,"WTP";"WTP -2",#N/A,FALSE,"WTP";"Project",#N/A,FALSE,"PROJECT";"Summary -2",#N/A,FALSE,"SUMMARY"}</definedName>
    <definedName name="_t2" localSheetId="20" hidden="1">{"Offgrid",#N/A,FALSE,"OFFGRID";"Region",#N/A,FALSE,"REGION";"Offgrid -2",#N/A,FALSE,"OFFGRID";"WTP",#N/A,FALSE,"WTP";"WTP -2",#N/A,FALSE,"WTP";"Project",#N/A,FALSE,"PROJECT";"Summary -2",#N/A,FALSE,"SUMMARY"}</definedName>
    <definedName name="_t2" localSheetId="19" hidden="1">{"Offgrid",#N/A,FALSE,"OFFGRID";"Region",#N/A,FALSE,"REGION";"Offgrid -2",#N/A,FALSE,"OFFGRID";"WTP",#N/A,FALSE,"WTP";"WTP -2",#N/A,FALSE,"WTP";"Project",#N/A,FALSE,"PROJECT";"Summary -2",#N/A,FALSE,"SUMMARY"}</definedName>
    <definedName name="_t2" localSheetId="26" hidden="1">{"Offgrid",#N/A,FALSE,"OFFGRID";"Region",#N/A,FALSE,"REGION";"Offgrid -2",#N/A,FALSE,"OFFGRID";"WTP",#N/A,FALSE,"WTP";"WTP -2",#N/A,FALSE,"WTP";"Project",#N/A,FALSE,"PROJECT";"Summary -2",#N/A,FALSE,"SUMMARY"}</definedName>
    <definedName name="_t2" localSheetId="24" hidden="1">{"Offgrid",#N/A,FALSE,"OFFGRID";"Region",#N/A,FALSE,"REGION";"Offgrid -2",#N/A,FALSE,"OFFGRID";"WTP",#N/A,FALSE,"WTP";"WTP -2",#N/A,FALSE,"WTP";"Project",#N/A,FALSE,"PROJECT";"Summary -2",#N/A,FALSE,"SUMMARY"}</definedName>
    <definedName name="_t2" localSheetId="32" hidden="1">{"Offgrid",#N/A,FALSE,"OFFGRID";"Region",#N/A,FALSE,"REGION";"Offgrid -2",#N/A,FALSE,"OFFGRID";"WTP",#N/A,FALSE,"WTP";"WTP -2",#N/A,FALSE,"WTP";"Project",#N/A,FALSE,"PROJECT";"Summary -2",#N/A,FALSE,"SUMMARY"}</definedName>
    <definedName name="_t2" localSheetId="27" hidden="1">{"Offgrid",#N/A,FALSE,"OFFGRID";"Region",#N/A,FALSE,"REGION";"Offgrid -2",#N/A,FALSE,"OFFGRID";"WTP",#N/A,FALSE,"WTP";"WTP -2",#N/A,FALSE,"WTP";"Project",#N/A,FALSE,"PROJECT";"Summary -2",#N/A,FALSE,"SUMMARY"}</definedName>
    <definedName name="_t2" localSheetId="28" hidden="1">{"Offgrid",#N/A,FALSE,"OFFGRID";"Region",#N/A,FALSE,"REGION";"Offgrid -2",#N/A,FALSE,"OFFGRID";"WTP",#N/A,FALSE,"WTP";"WTP -2",#N/A,FALSE,"WTP";"Project",#N/A,FALSE,"PROJECT";"Summary -2",#N/A,FALSE,"SUMMARY"}</definedName>
    <definedName name="_t2" localSheetId="29" hidden="1">{"Offgrid",#N/A,FALSE,"OFFGRID";"Region",#N/A,FALSE,"REGION";"Offgrid -2",#N/A,FALSE,"OFFGRID";"WTP",#N/A,FALSE,"WTP";"WTP -2",#N/A,FALSE,"WTP";"Project",#N/A,FALSE,"PROJECT";"Summary -2",#N/A,FALSE,"SUMMARY"}</definedName>
    <definedName name="_t2" localSheetId="31" hidden="1">{"Offgrid",#N/A,FALSE,"OFFGRID";"Region",#N/A,FALSE,"REGION";"Offgrid -2",#N/A,FALSE,"OFFGRID";"WTP",#N/A,FALSE,"WTP";"WTP -2",#N/A,FALSE,"WTP";"Project",#N/A,FALSE,"PROJECT";"Summary -2",#N/A,FALSE,"SUMMARY"}</definedName>
    <definedName name="_t2" localSheetId="30" hidden="1">{"Offgrid",#N/A,FALSE,"OFFGRID";"Region",#N/A,FALSE,"REGION";"Offgrid -2",#N/A,FALSE,"OFFGRID";"WTP",#N/A,FALSE,"WTP";"WTP -2",#N/A,FALSE,"WTP";"Project",#N/A,FALSE,"PROJECT";"Summary -2",#N/A,FALSE,"SUMMARY"}</definedName>
    <definedName name="_t2" localSheetId="17" hidden="1">{"Offgrid",#N/A,FALSE,"OFFGRID";"Region",#N/A,FALSE,"REGION";"Offgrid -2",#N/A,FALSE,"OFFGRID";"WTP",#N/A,FALSE,"WTP";"WTP -2",#N/A,FALSE,"WTP";"Project",#N/A,FALSE,"PROJECT";"Summary -2",#N/A,FALSE,"SUMMARY"}</definedName>
    <definedName name="_t2" localSheetId="18" hidden="1">{"Offgrid",#N/A,FALSE,"OFFGRID";"Region",#N/A,FALSE,"REGION";"Offgrid -2",#N/A,FALSE,"OFFGRID";"WTP",#N/A,FALSE,"WTP";"WTP -2",#N/A,FALSE,"WTP";"Project",#N/A,FALSE,"PROJECT";"Summary -2",#N/A,FALSE,"SUMMARY"}</definedName>
    <definedName name="_t2" hidden="1">{"Offgrid",#N/A,FALSE,"OFFGRID";"Region",#N/A,FALSE,"REGION";"Offgrid -2",#N/A,FALSE,"OFFGRID";"WTP",#N/A,FALSE,"WTP";"WTP -2",#N/A,FALSE,"WTP";"Project",#N/A,FALSE,"PROJECT";"Summary -2",#N/A,FALSE,"SUMMARY"}</definedName>
    <definedName name="_t3" localSheetId="20" hidden="1">{"Offgrid",#N/A,FALSE,"OFFGRID";"Region",#N/A,FALSE,"REGION";"Offgrid -2",#N/A,FALSE,"OFFGRID";"WTP",#N/A,FALSE,"WTP";"WTP -2",#N/A,FALSE,"WTP";"Project",#N/A,FALSE,"PROJECT";"Summary -2",#N/A,FALSE,"SUMMARY"}</definedName>
    <definedName name="_t3" localSheetId="19" hidden="1">{"Offgrid",#N/A,FALSE,"OFFGRID";"Region",#N/A,FALSE,"REGION";"Offgrid -2",#N/A,FALSE,"OFFGRID";"WTP",#N/A,FALSE,"WTP";"WTP -2",#N/A,FALSE,"WTP";"Project",#N/A,FALSE,"PROJECT";"Summary -2",#N/A,FALSE,"SUMMARY"}</definedName>
    <definedName name="_t3" localSheetId="26" hidden="1">{"Offgrid",#N/A,FALSE,"OFFGRID";"Region",#N/A,FALSE,"REGION";"Offgrid -2",#N/A,FALSE,"OFFGRID";"WTP",#N/A,FALSE,"WTP";"WTP -2",#N/A,FALSE,"WTP";"Project",#N/A,FALSE,"PROJECT";"Summary -2",#N/A,FALSE,"SUMMARY"}</definedName>
    <definedName name="_t3" localSheetId="24" hidden="1">{"Offgrid",#N/A,FALSE,"OFFGRID";"Region",#N/A,FALSE,"REGION";"Offgrid -2",#N/A,FALSE,"OFFGRID";"WTP",#N/A,FALSE,"WTP";"WTP -2",#N/A,FALSE,"WTP";"Project",#N/A,FALSE,"PROJECT";"Summary -2",#N/A,FALSE,"SUMMARY"}</definedName>
    <definedName name="_t3" localSheetId="32" hidden="1">{"Offgrid",#N/A,FALSE,"OFFGRID";"Region",#N/A,FALSE,"REGION";"Offgrid -2",#N/A,FALSE,"OFFGRID";"WTP",#N/A,FALSE,"WTP";"WTP -2",#N/A,FALSE,"WTP";"Project",#N/A,FALSE,"PROJECT";"Summary -2",#N/A,FALSE,"SUMMARY"}</definedName>
    <definedName name="_t3" localSheetId="27" hidden="1">{"Offgrid",#N/A,FALSE,"OFFGRID";"Region",#N/A,FALSE,"REGION";"Offgrid -2",#N/A,FALSE,"OFFGRID";"WTP",#N/A,FALSE,"WTP";"WTP -2",#N/A,FALSE,"WTP";"Project",#N/A,FALSE,"PROJECT";"Summary -2",#N/A,FALSE,"SUMMARY"}</definedName>
    <definedName name="_t3" localSheetId="28" hidden="1">{"Offgrid",#N/A,FALSE,"OFFGRID";"Region",#N/A,FALSE,"REGION";"Offgrid -2",#N/A,FALSE,"OFFGRID";"WTP",#N/A,FALSE,"WTP";"WTP -2",#N/A,FALSE,"WTP";"Project",#N/A,FALSE,"PROJECT";"Summary -2",#N/A,FALSE,"SUMMARY"}</definedName>
    <definedName name="_t3" localSheetId="29" hidden="1">{"Offgrid",#N/A,FALSE,"OFFGRID";"Region",#N/A,FALSE,"REGION";"Offgrid -2",#N/A,FALSE,"OFFGRID";"WTP",#N/A,FALSE,"WTP";"WTP -2",#N/A,FALSE,"WTP";"Project",#N/A,FALSE,"PROJECT";"Summary -2",#N/A,FALSE,"SUMMARY"}</definedName>
    <definedName name="_t3" localSheetId="31" hidden="1">{"Offgrid",#N/A,FALSE,"OFFGRID";"Region",#N/A,FALSE,"REGION";"Offgrid -2",#N/A,FALSE,"OFFGRID";"WTP",#N/A,FALSE,"WTP";"WTP -2",#N/A,FALSE,"WTP";"Project",#N/A,FALSE,"PROJECT";"Summary -2",#N/A,FALSE,"SUMMARY"}</definedName>
    <definedName name="_t3" localSheetId="30" hidden="1">{"Offgrid",#N/A,FALSE,"OFFGRID";"Region",#N/A,FALSE,"REGION";"Offgrid -2",#N/A,FALSE,"OFFGRID";"WTP",#N/A,FALSE,"WTP";"WTP -2",#N/A,FALSE,"WTP";"Project",#N/A,FALSE,"PROJECT";"Summary -2",#N/A,FALSE,"SUMMARY"}</definedName>
    <definedName name="_t3" localSheetId="17" hidden="1">{"Offgrid",#N/A,FALSE,"OFFGRID";"Region",#N/A,FALSE,"REGION";"Offgrid -2",#N/A,FALSE,"OFFGRID";"WTP",#N/A,FALSE,"WTP";"WTP -2",#N/A,FALSE,"WTP";"Project",#N/A,FALSE,"PROJECT";"Summary -2",#N/A,FALSE,"SUMMARY"}</definedName>
    <definedName name="_t3" localSheetId="18" hidden="1">{"Offgrid",#N/A,FALSE,"OFFGRID";"Region",#N/A,FALSE,"REGION";"Offgrid -2",#N/A,FALSE,"OFFGRID";"WTP",#N/A,FALSE,"WTP";"WTP -2",#N/A,FALSE,"WTP";"Project",#N/A,FALSE,"PROJECT";"Summary -2",#N/A,FALSE,"SUMMARY"}</definedName>
    <definedName name="_t3" hidden="1">{"Offgrid",#N/A,FALSE,"OFFGRID";"Region",#N/A,FALSE,"REGION";"Offgrid -2",#N/A,FALSE,"OFFGRID";"WTP",#N/A,FALSE,"WTP";"WTP -2",#N/A,FALSE,"WTP";"Project",#N/A,FALSE,"PROJECT";"Summary -2",#N/A,FALSE,"SUMMARY"}</definedName>
    <definedName name="_Table1_In1" localSheetId="42" hidden="1">#REF!</definedName>
    <definedName name="_Table1_Out" localSheetId="42" hidden="1">#REF!</definedName>
    <definedName name="_Table2_In1" localSheetId="42" hidden="1">#REF!</definedName>
    <definedName name="_Table2_In2" localSheetId="32" hidden="1">#REF!</definedName>
    <definedName name="_Table2_In2" localSheetId="27" hidden="1">#REF!</definedName>
    <definedName name="_Table2_In2" localSheetId="18" hidden="1">#REF!</definedName>
    <definedName name="_Table2_In2" hidden="1">#REF!</definedName>
    <definedName name="_Table2_In3" localSheetId="27" hidden="1">#REF!</definedName>
    <definedName name="_Table2_In3" localSheetId="18" hidden="1">#REF!</definedName>
    <definedName name="_Table2_In3" hidden="1">#REF!</definedName>
    <definedName name="_Table2_In4" localSheetId="27" hidden="1">#REF!</definedName>
    <definedName name="_Table2_In4" localSheetId="18" hidden="1">#REF!</definedName>
    <definedName name="_Table2_In4" hidden="1">#REF!</definedName>
    <definedName name="_Table2_Out" localSheetId="42" hidden="1">#REF!</definedName>
    <definedName name="_TH1" localSheetId="20" hidden="1">{#N/A,#N/A,FALSE,"M.34"}</definedName>
    <definedName name="_TH1" localSheetId="19" hidden="1">{#N/A,#N/A,FALSE,"M.34"}</definedName>
    <definedName name="_TH1" localSheetId="26" hidden="1">{#N/A,#N/A,FALSE,"M.34"}</definedName>
    <definedName name="_TH1" localSheetId="24" hidden="1">{#N/A,#N/A,FALSE,"M.34"}</definedName>
    <definedName name="_TH1" localSheetId="32" hidden="1">{#N/A,#N/A,FALSE,"M.34"}</definedName>
    <definedName name="_TH1" localSheetId="27" hidden="1">{#N/A,#N/A,FALSE,"M.34"}</definedName>
    <definedName name="_TH1" localSheetId="28" hidden="1">{#N/A,#N/A,FALSE,"M.34"}</definedName>
    <definedName name="_TH1" localSheetId="29" hidden="1">{#N/A,#N/A,FALSE,"M.34"}</definedName>
    <definedName name="_TH1" localSheetId="31" hidden="1">{#N/A,#N/A,FALSE,"M.34"}</definedName>
    <definedName name="_TH1" localSheetId="30" hidden="1">{#N/A,#N/A,FALSE,"M.34"}</definedName>
    <definedName name="_TH1" localSheetId="17" hidden="1">{#N/A,#N/A,FALSE,"M.34"}</definedName>
    <definedName name="_TH1" localSheetId="18" hidden="1">{#N/A,#N/A,FALSE,"M.34"}</definedName>
    <definedName name="_TH1" hidden="1">{#N/A,#N/A,FALSE,"M.34"}</definedName>
    <definedName name="_th2" localSheetId="20" hidden="1">{#N/A,#N/A,FALSE,"M.42"}</definedName>
    <definedName name="_th2" localSheetId="19" hidden="1">{#N/A,#N/A,FALSE,"M.42"}</definedName>
    <definedName name="_th2" localSheetId="26" hidden="1">{#N/A,#N/A,FALSE,"M.42"}</definedName>
    <definedName name="_th2" localSheetId="24" hidden="1">{#N/A,#N/A,FALSE,"M.42"}</definedName>
    <definedName name="_th2" localSheetId="32" hidden="1">{#N/A,#N/A,FALSE,"M.42"}</definedName>
    <definedName name="_th2" localSheetId="27" hidden="1">{#N/A,#N/A,FALSE,"M.42"}</definedName>
    <definedName name="_th2" localSheetId="28" hidden="1">{#N/A,#N/A,FALSE,"M.42"}</definedName>
    <definedName name="_th2" localSheetId="29" hidden="1">{#N/A,#N/A,FALSE,"M.42"}</definedName>
    <definedName name="_th2" localSheetId="31" hidden="1">{#N/A,#N/A,FALSE,"M.42"}</definedName>
    <definedName name="_th2" localSheetId="30" hidden="1">{#N/A,#N/A,FALSE,"M.42"}</definedName>
    <definedName name="_th2" localSheetId="17" hidden="1">{#N/A,#N/A,FALSE,"M.42"}</definedName>
    <definedName name="_th2" localSheetId="18" hidden="1">{#N/A,#N/A,FALSE,"M.42"}</definedName>
    <definedName name="_th2" hidden="1">{#N/A,#N/A,FALSE,"M.42"}</definedName>
    <definedName name="_tha1" localSheetId="20" hidden="1">{"'Sheet1'!$L$16"}</definedName>
    <definedName name="_tha1" localSheetId="19" hidden="1">{"'Sheet1'!$L$16"}</definedName>
    <definedName name="_tha1" localSheetId="26" hidden="1">{"'Sheet1'!$L$16"}</definedName>
    <definedName name="_tha1" localSheetId="24" hidden="1">{"'Sheet1'!$L$16"}</definedName>
    <definedName name="_tha1" localSheetId="32" hidden="1">{"'Sheet1'!$L$16"}</definedName>
    <definedName name="_tha1" localSheetId="27" hidden="1">{"'Sheet1'!$L$16"}</definedName>
    <definedName name="_tha1" localSheetId="28" hidden="1">{"'Sheet1'!$L$16"}</definedName>
    <definedName name="_tha1" localSheetId="29" hidden="1">{"'Sheet1'!$L$16"}</definedName>
    <definedName name="_tha1" localSheetId="31" hidden="1">{"'Sheet1'!$L$16"}</definedName>
    <definedName name="_tha1" localSheetId="30" hidden="1">{"'Sheet1'!$L$16"}</definedName>
    <definedName name="_tha1" localSheetId="17" hidden="1">{"'Sheet1'!$L$16"}</definedName>
    <definedName name="_tha1" localSheetId="18" hidden="1">{"'Sheet1'!$L$16"}</definedName>
    <definedName name="_tha1" hidden="1">{"'Sheet1'!$L$16"}</definedName>
    <definedName name="_YA1" localSheetId="20" hidden="1">{"'1996'!$A$1:$J$272"}</definedName>
    <definedName name="_YA1" localSheetId="19" hidden="1">{"'1996'!$A$1:$J$272"}</definedName>
    <definedName name="_YA1" localSheetId="26" hidden="1">{"'1996'!$A$1:$J$272"}</definedName>
    <definedName name="_YA1" localSheetId="24" hidden="1">{"'1996'!$A$1:$J$272"}</definedName>
    <definedName name="_YA1" localSheetId="32" hidden="1">{"'1996'!$A$1:$J$272"}</definedName>
    <definedName name="_YA1" localSheetId="27" hidden="1">{"'1996'!$A$1:$J$272"}</definedName>
    <definedName name="_YA1" localSheetId="28" hidden="1">{"'1996'!$A$1:$J$272"}</definedName>
    <definedName name="_YA1" localSheetId="29" hidden="1">{"'1996'!$A$1:$J$272"}</definedName>
    <definedName name="_YA1" localSheetId="31" hidden="1">{"'1996'!$A$1:$J$272"}</definedName>
    <definedName name="_YA1" localSheetId="30" hidden="1">{"'1996'!$A$1:$J$272"}</definedName>
    <definedName name="_YA1" localSheetId="17" hidden="1">{"'1996'!$A$1:$J$272"}</definedName>
    <definedName name="_YA1" localSheetId="18" hidden="1">{"'1996'!$A$1:$J$272"}</definedName>
    <definedName name="_YA1" hidden="1">{"'1996'!$A$1:$J$272"}</definedName>
    <definedName name="_ya2" localSheetId="20" hidden="1">{"'1996'!$A$1:$J$272"}</definedName>
    <definedName name="_ya2" localSheetId="19" hidden="1">{"'1996'!$A$1:$J$272"}</definedName>
    <definedName name="_ya2" localSheetId="26" hidden="1">{"'1996'!$A$1:$J$272"}</definedName>
    <definedName name="_ya2" localSheetId="24" hidden="1">{"'1996'!$A$1:$J$272"}</definedName>
    <definedName name="_ya2" localSheetId="32" hidden="1">{"'1996'!$A$1:$J$272"}</definedName>
    <definedName name="_ya2" localSheetId="27" hidden="1">{"'1996'!$A$1:$J$272"}</definedName>
    <definedName name="_ya2" localSheetId="28" hidden="1">{"'1996'!$A$1:$J$272"}</definedName>
    <definedName name="_ya2" localSheetId="29" hidden="1">{"'1996'!$A$1:$J$272"}</definedName>
    <definedName name="_ya2" localSheetId="31" hidden="1">{"'1996'!$A$1:$J$272"}</definedName>
    <definedName name="_ya2" localSheetId="30" hidden="1">{"'1996'!$A$1:$J$272"}</definedName>
    <definedName name="_ya2" localSheetId="17" hidden="1">{"'1996'!$A$1:$J$272"}</definedName>
    <definedName name="_ya2" localSheetId="18" hidden="1">{"'1996'!$A$1:$J$272"}</definedName>
    <definedName name="_ya2" hidden="1">{"'1996'!$A$1:$J$272"}</definedName>
    <definedName name="´cAE°eE¹" hidden="1">#REF!</definedName>
    <definedName name="￠￥cAE¡ÆeEⓒo" hidden="1">#REF!</definedName>
    <definedName name="aaaa" localSheetId="20" hidden="1">{#N/A,#N/A,FALSE,"CCTV"}</definedName>
    <definedName name="aaaa" localSheetId="19" hidden="1">{#N/A,#N/A,FALSE,"CCTV"}</definedName>
    <definedName name="aaaa" localSheetId="32" hidden="1">{#N/A,#N/A,FALSE,"CCTV"}</definedName>
    <definedName name="aaaa" localSheetId="27" hidden="1">{#N/A,#N/A,FALSE,"CCTV"}</definedName>
    <definedName name="aaaa" localSheetId="28" hidden="1">{#N/A,#N/A,FALSE,"CCTV"}</definedName>
    <definedName name="aaaa" localSheetId="31" hidden="1">{#N/A,#N/A,FALSE,"CCTV"}</definedName>
    <definedName name="aaaa" localSheetId="30" hidden="1">{#N/A,#N/A,FALSE,"CCTV"}</definedName>
    <definedName name="aaaa" localSheetId="13" hidden="1">{#N/A,#N/A,FALSE,"CCTV"}</definedName>
    <definedName name="aaaa" localSheetId="17" hidden="1">{#N/A,#N/A,FALSE,"CCTV"}</definedName>
    <definedName name="aaaa" localSheetId="18" hidden="1">{#N/A,#N/A,FALSE,"CCTV"}</definedName>
    <definedName name="aaaaaaa" localSheetId="20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aaaaaaa" localSheetId="19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aaaaaaa" localSheetId="26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aaaaaaa" localSheetId="24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aaaaaaa" localSheetId="32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aaaaaaa" localSheetId="27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aaaaaaa" localSheetId="28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aaaaaaa" localSheetId="29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aaaaaaa" localSheetId="31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aaaaaaa" localSheetId="30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aaaaaaa" localSheetId="17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aaaaaaa" localSheetId="18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aaaaaaa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aaaaaaaaaaaaaaaa" localSheetId="20" hidden="1">{#N/A,#N/A,FALSE,"Chi tiÆt"}</definedName>
    <definedName name="aaaaaaaaaaaaaaaa" localSheetId="19" hidden="1">{#N/A,#N/A,FALSE,"Chi tiÆt"}</definedName>
    <definedName name="aaaaaaaaaaaaaaaa" localSheetId="26" hidden="1">{#N/A,#N/A,FALSE,"Chi tiÆt"}</definedName>
    <definedName name="aaaaaaaaaaaaaaaa" localSheetId="24" hidden="1">{#N/A,#N/A,FALSE,"Chi tiÆt"}</definedName>
    <definedName name="aaaaaaaaaaaaaaaa" localSheetId="32" hidden="1">{#N/A,#N/A,FALSE,"Chi tiÆt"}</definedName>
    <definedName name="aaaaaaaaaaaaaaaa" localSheetId="27" hidden="1">{#N/A,#N/A,FALSE,"Chi tiÆt"}</definedName>
    <definedName name="aaaaaaaaaaaaaaaa" localSheetId="28" hidden="1">{#N/A,#N/A,FALSE,"Chi tiÆt"}</definedName>
    <definedName name="aaaaaaaaaaaaaaaa" localSheetId="29" hidden="1">{#N/A,#N/A,FALSE,"Chi tiÆt"}</definedName>
    <definedName name="aaaaaaaaaaaaaaaa" localSheetId="31" hidden="1">{#N/A,#N/A,FALSE,"Chi tiÆt"}</definedName>
    <definedName name="aaaaaaaaaaaaaaaa" localSheetId="30" hidden="1">{#N/A,#N/A,FALSE,"Chi tiÆt"}</definedName>
    <definedName name="aaaaaaaaaaaaaaaa" localSheetId="17" hidden="1">{#N/A,#N/A,FALSE,"Chi tiÆt"}</definedName>
    <definedName name="aaaaaaaaaaaaaaaa" localSheetId="18" hidden="1">{#N/A,#N/A,FALSE,"Chi tiÆt"}</definedName>
    <definedName name="aaaaaaaaaaaaaaaa" hidden="1">{#N/A,#N/A,FALSE,"Chi tiÆt"}</definedName>
    <definedName name="aadadadaddada" localSheetId="32" hidden="1">#REF!</definedName>
    <definedName name="aadadadaddada" localSheetId="27" hidden="1">#REF!</definedName>
    <definedName name="aadadadaddada" localSheetId="18" hidden="1">#REF!</definedName>
    <definedName name="aadadadaddada" hidden="1">#REF!</definedName>
    <definedName name="aCAFE" hidden="1">#REF!</definedName>
    <definedName name="AccessDatabase" hidden="1">"C:\My Documents\Konstruksi\MM-Unpad\Ged-C\RABGedung-C.mdb"</definedName>
    <definedName name="acdb" localSheetId="32" hidden="1">#REF!</definedName>
    <definedName name="acdb" localSheetId="27" hidden="1">#REF!</definedName>
    <definedName name="acdb" hidden="1">#REF!</definedName>
    <definedName name="ACDS" localSheetId="32" hidden="1">#REF!</definedName>
    <definedName name="ACDS" hidden="1">#REF!</definedName>
    <definedName name="ACwvu.CapersView." hidden="1">#REF!</definedName>
    <definedName name="ACwvu.Japan_Capers_Ed_Pub." hidden="1">#REF!</definedName>
    <definedName name="ACwvu.KJP_CC." hidden="1">#REF!</definedName>
    <definedName name="Ada" hidden="1">#REF!</definedName>
    <definedName name="adaf" localSheetId="20" hidden="1">{#N/A,#N/A,FALSE,"REK-S-TPL";#N/A,#N/A,FALSE,"REK-TPML";#N/A,#N/A,FALSE,"RAB-TEMPEL"}</definedName>
    <definedName name="adaf" localSheetId="19" hidden="1">{#N/A,#N/A,FALSE,"REK-S-TPL";#N/A,#N/A,FALSE,"REK-TPML";#N/A,#N/A,FALSE,"RAB-TEMPEL"}</definedName>
    <definedName name="adaf" localSheetId="26" hidden="1">{#N/A,#N/A,FALSE,"REK-S-TPL";#N/A,#N/A,FALSE,"REK-TPML";#N/A,#N/A,FALSE,"RAB-TEMPEL"}</definedName>
    <definedName name="adaf" localSheetId="24" hidden="1">{#N/A,#N/A,FALSE,"REK-S-TPL";#N/A,#N/A,FALSE,"REK-TPML";#N/A,#N/A,FALSE,"RAB-TEMPEL"}</definedName>
    <definedName name="adaf" localSheetId="32" hidden="1">{#N/A,#N/A,FALSE,"REK-S-TPL";#N/A,#N/A,FALSE,"REK-TPML";#N/A,#N/A,FALSE,"RAB-TEMPEL"}</definedName>
    <definedName name="adaf" localSheetId="27" hidden="1">{#N/A,#N/A,FALSE,"REK-S-TPL";#N/A,#N/A,FALSE,"REK-TPML";#N/A,#N/A,FALSE,"RAB-TEMPEL"}</definedName>
    <definedName name="adaf" localSheetId="28" hidden="1">{#N/A,#N/A,FALSE,"REK-S-TPL";#N/A,#N/A,FALSE,"REK-TPML";#N/A,#N/A,FALSE,"RAB-TEMPEL"}</definedName>
    <definedName name="adaf" localSheetId="29" hidden="1">{#N/A,#N/A,FALSE,"REK-S-TPL";#N/A,#N/A,FALSE,"REK-TPML";#N/A,#N/A,FALSE,"RAB-TEMPEL"}</definedName>
    <definedName name="adaf" localSheetId="31" hidden="1">{#N/A,#N/A,FALSE,"REK-S-TPL";#N/A,#N/A,FALSE,"REK-TPML";#N/A,#N/A,FALSE,"RAB-TEMPEL"}</definedName>
    <definedName name="adaf" localSheetId="30" hidden="1">{#N/A,#N/A,FALSE,"REK-S-TPL";#N/A,#N/A,FALSE,"REK-TPML";#N/A,#N/A,FALSE,"RAB-TEMPEL"}</definedName>
    <definedName name="adaf" localSheetId="17" hidden="1">{#N/A,#N/A,FALSE,"REK-S-TPL";#N/A,#N/A,FALSE,"REK-TPML";#N/A,#N/A,FALSE,"RAB-TEMPEL"}</definedName>
    <definedName name="adaf" localSheetId="18" hidden="1">{#N/A,#N/A,FALSE,"REK-S-TPL";#N/A,#N/A,FALSE,"REK-TPML";#N/A,#N/A,FALSE,"RAB-TEMPEL"}</definedName>
    <definedName name="adaf" hidden="1">{#N/A,#N/A,FALSE,"REK-S-TPL";#N/A,#N/A,FALSE,"REK-TPML";#N/A,#N/A,FALSE,"RAB-TEMPEL"}</definedName>
    <definedName name="ADASDF" localSheetId="20" hidden="1">{#N/A,#N/A,TRUE,"toc";#N/A,#N/A,TRUE,"general";#N/A,#N/A,TRUE,"compressive";#N/A,#N/A,TRUE,"lateral";#N/A,#N/A,TRUE,"shallow"}</definedName>
    <definedName name="ADASDF" localSheetId="19" hidden="1">{#N/A,#N/A,TRUE,"toc";#N/A,#N/A,TRUE,"general";#N/A,#N/A,TRUE,"compressive";#N/A,#N/A,TRUE,"lateral";#N/A,#N/A,TRUE,"shallow"}</definedName>
    <definedName name="ADASDF" localSheetId="26" hidden="1">{#N/A,#N/A,TRUE,"toc";#N/A,#N/A,TRUE,"general";#N/A,#N/A,TRUE,"compressive";#N/A,#N/A,TRUE,"lateral";#N/A,#N/A,TRUE,"shallow"}</definedName>
    <definedName name="ADASDF" localSheetId="24" hidden="1">{#N/A,#N/A,TRUE,"toc";#N/A,#N/A,TRUE,"general";#N/A,#N/A,TRUE,"compressive";#N/A,#N/A,TRUE,"lateral";#N/A,#N/A,TRUE,"shallow"}</definedName>
    <definedName name="ADASDF" localSheetId="32" hidden="1">{#N/A,#N/A,TRUE,"toc";#N/A,#N/A,TRUE,"general";#N/A,#N/A,TRUE,"compressive";#N/A,#N/A,TRUE,"lateral";#N/A,#N/A,TRUE,"shallow"}</definedName>
    <definedName name="ADASDF" localSheetId="27" hidden="1">{#N/A,#N/A,TRUE,"toc";#N/A,#N/A,TRUE,"general";#N/A,#N/A,TRUE,"compressive";#N/A,#N/A,TRUE,"lateral";#N/A,#N/A,TRUE,"shallow"}</definedName>
    <definedName name="ADASDF" localSheetId="28" hidden="1">{#N/A,#N/A,TRUE,"toc";#N/A,#N/A,TRUE,"general";#N/A,#N/A,TRUE,"compressive";#N/A,#N/A,TRUE,"lateral";#N/A,#N/A,TRUE,"shallow"}</definedName>
    <definedName name="ADASDF" localSheetId="29" hidden="1">{#N/A,#N/A,TRUE,"toc";#N/A,#N/A,TRUE,"general";#N/A,#N/A,TRUE,"compressive";#N/A,#N/A,TRUE,"lateral";#N/A,#N/A,TRUE,"shallow"}</definedName>
    <definedName name="ADASDF" localSheetId="31" hidden="1">{#N/A,#N/A,TRUE,"toc";#N/A,#N/A,TRUE,"general";#N/A,#N/A,TRUE,"compressive";#N/A,#N/A,TRUE,"lateral";#N/A,#N/A,TRUE,"shallow"}</definedName>
    <definedName name="ADASDF" localSheetId="30" hidden="1">{#N/A,#N/A,TRUE,"toc";#N/A,#N/A,TRUE,"general";#N/A,#N/A,TRUE,"compressive";#N/A,#N/A,TRUE,"lateral";#N/A,#N/A,TRUE,"shallow"}</definedName>
    <definedName name="ADASDF" localSheetId="17" hidden="1">{#N/A,#N/A,TRUE,"toc";#N/A,#N/A,TRUE,"general";#N/A,#N/A,TRUE,"compressive";#N/A,#N/A,TRUE,"lateral";#N/A,#N/A,TRUE,"shallow"}</definedName>
    <definedName name="ADASDF" localSheetId="18" hidden="1">{#N/A,#N/A,TRUE,"toc";#N/A,#N/A,TRUE,"general";#N/A,#N/A,TRUE,"compressive";#N/A,#N/A,TRUE,"lateral";#N/A,#N/A,TRUE,"shallow"}</definedName>
    <definedName name="ADASDF" hidden="1">{#N/A,#N/A,TRUE,"toc";#N/A,#N/A,TRUE,"general";#N/A,#N/A,TRUE,"compressive";#N/A,#N/A,TRUE,"lateral";#N/A,#N/A,TRUE,"shallow"}</definedName>
    <definedName name="ADASDF1" localSheetId="20" hidden="1">{#N/A,#N/A,TRUE,"toc";#N/A,#N/A,TRUE,"general";#N/A,#N/A,TRUE,"compressive";#N/A,#N/A,TRUE,"lateral";#N/A,#N/A,TRUE,"shallow"}</definedName>
    <definedName name="ADASDF1" localSheetId="19" hidden="1">{#N/A,#N/A,TRUE,"toc";#N/A,#N/A,TRUE,"general";#N/A,#N/A,TRUE,"compressive";#N/A,#N/A,TRUE,"lateral";#N/A,#N/A,TRUE,"shallow"}</definedName>
    <definedName name="ADASDF1" localSheetId="26" hidden="1">{#N/A,#N/A,TRUE,"toc";#N/A,#N/A,TRUE,"general";#N/A,#N/A,TRUE,"compressive";#N/A,#N/A,TRUE,"lateral";#N/A,#N/A,TRUE,"shallow"}</definedName>
    <definedName name="ADASDF1" localSheetId="24" hidden="1">{#N/A,#N/A,TRUE,"toc";#N/A,#N/A,TRUE,"general";#N/A,#N/A,TRUE,"compressive";#N/A,#N/A,TRUE,"lateral";#N/A,#N/A,TRUE,"shallow"}</definedName>
    <definedName name="ADASDF1" localSheetId="32" hidden="1">{#N/A,#N/A,TRUE,"toc";#N/A,#N/A,TRUE,"general";#N/A,#N/A,TRUE,"compressive";#N/A,#N/A,TRUE,"lateral";#N/A,#N/A,TRUE,"shallow"}</definedName>
    <definedName name="ADASDF1" localSheetId="27" hidden="1">{#N/A,#N/A,TRUE,"toc";#N/A,#N/A,TRUE,"general";#N/A,#N/A,TRUE,"compressive";#N/A,#N/A,TRUE,"lateral";#N/A,#N/A,TRUE,"shallow"}</definedName>
    <definedName name="ADASDF1" localSheetId="28" hidden="1">{#N/A,#N/A,TRUE,"toc";#N/A,#N/A,TRUE,"general";#N/A,#N/A,TRUE,"compressive";#N/A,#N/A,TRUE,"lateral";#N/A,#N/A,TRUE,"shallow"}</definedName>
    <definedName name="ADASDF1" localSheetId="29" hidden="1">{#N/A,#N/A,TRUE,"toc";#N/A,#N/A,TRUE,"general";#N/A,#N/A,TRUE,"compressive";#N/A,#N/A,TRUE,"lateral";#N/A,#N/A,TRUE,"shallow"}</definedName>
    <definedName name="ADASDF1" localSheetId="31" hidden="1">{#N/A,#N/A,TRUE,"toc";#N/A,#N/A,TRUE,"general";#N/A,#N/A,TRUE,"compressive";#N/A,#N/A,TRUE,"lateral";#N/A,#N/A,TRUE,"shallow"}</definedName>
    <definedName name="ADASDF1" localSheetId="30" hidden="1">{#N/A,#N/A,TRUE,"toc";#N/A,#N/A,TRUE,"general";#N/A,#N/A,TRUE,"compressive";#N/A,#N/A,TRUE,"lateral";#N/A,#N/A,TRUE,"shallow"}</definedName>
    <definedName name="ADASDF1" localSheetId="17" hidden="1">{#N/A,#N/A,TRUE,"toc";#N/A,#N/A,TRUE,"general";#N/A,#N/A,TRUE,"compressive";#N/A,#N/A,TRUE,"lateral";#N/A,#N/A,TRUE,"shallow"}</definedName>
    <definedName name="ADASDF1" localSheetId="18" hidden="1">{#N/A,#N/A,TRUE,"toc";#N/A,#N/A,TRUE,"general";#N/A,#N/A,TRUE,"compressive";#N/A,#N/A,TRUE,"lateral";#N/A,#N/A,TRUE,"shallow"}</definedName>
    <definedName name="ADASDF1" hidden="1">{#N/A,#N/A,TRUE,"toc";#N/A,#N/A,TRUE,"general";#N/A,#N/A,TRUE,"compressive";#N/A,#N/A,TRUE,"lateral";#N/A,#N/A,TRUE,"shallow"}</definedName>
    <definedName name="adfg" localSheetId="20" hidden="1">#REF!</definedName>
    <definedName name="adfg" localSheetId="19" hidden="1">#REF!</definedName>
    <definedName name="adfg" localSheetId="32" hidden="1">#REF!</definedName>
    <definedName name="adfg" localSheetId="27" hidden="1">#REF!</definedName>
    <definedName name="adfg" localSheetId="28" hidden="1">#REF!</definedName>
    <definedName name="adfg" localSheetId="31" hidden="1">#REF!</definedName>
    <definedName name="adfg" localSheetId="30" hidden="1">#REF!</definedName>
    <definedName name="adfg" localSheetId="17" hidden="1">#REF!</definedName>
    <definedName name="adfg" localSheetId="18" hidden="1">#REF!</definedName>
    <definedName name="adfg" hidden="1">#REF!</definedName>
    <definedName name="ADFV" localSheetId="20" hidden="1">{#N/A,#N/A,FALSE,"전력간선"}</definedName>
    <definedName name="ADFV" localSheetId="19" hidden="1">{#N/A,#N/A,FALSE,"전력간선"}</definedName>
    <definedName name="ADFV" localSheetId="26" hidden="1">{#N/A,#N/A,FALSE,"전력간선"}</definedName>
    <definedName name="ADFV" localSheetId="24" hidden="1">{#N/A,#N/A,FALSE,"전력간선"}</definedName>
    <definedName name="ADFV" localSheetId="32" hidden="1">{#N/A,#N/A,FALSE,"전력간선"}</definedName>
    <definedName name="ADFV" localSheetId="27" hidden="1">{#N/A,#N/A,FALSE,"전력간선"}</definedName>
    <definedName name="ADFV" localSheetId="28" hidden="1">{#N/A,#N/A,FALSE,"전력간선"}</definedName>
    <definedName name="ADFV" localSheetId="29" hidden="1">{#N/A,#N/A,FALSE,"전력간선"}</definedName>
    <definedName name="ADFV" localSheetId="31" hidden="1">{#N/A,#N/A,FALSE,"전력간선"}</definedName>
    <definedName name="ADFV" localSheetId="30" hidden="1">{#N/A,#N/A,FALSE,"전력간선"}</definedName>
    <definedName name="ADFV" localSheetId="17" hidden="1">{#N/A,#N/A,FALSE,"전력간선"}</definedName>
    <definedName name="ADFV" localSheetId="18" hidden="1">{#N/A,#N/A,FALSE,"전력간선"}</definedName>
    <definedName name="ADFV" hidden="1">{#N/A,#N/A,FALSE,"전력간선"}</definedName>
    <definedName name="adh" localSheetId="20" hidden="1">{"'Sheet1'!$A$1"}</definedName>
    <definedName name="adh" localSheetId="19" hidden="1">{"'Sheet1'!$A$1"}</definedName>
    <definedName name="adh" localSheetId="26" hidden="1">{"'Sheet1'!$A$1"}</definedName>
    <definedName name="adh" localSheetId="24" hidden="1">{"'Sheet1'!$A$1"}</definedName>
    <definedName name="adh" localSheetId="32" hidden="1">{"'Sheet1'!$A$1"}</definedName>
    <definedName name="adh" localSheetId="27" hidden="1">{"'Sheet1'!$A$1"}</definedName>
    <definedName name="adh" localSheetId="28" hidden="1">{"'Sheet1'!$A$1"}</definedName>
    <definedName name="adh" localSheetId="29" hidden="1">{"'Sheet1'!$A$1"}</definedName>
    <definedName name="adh" localSheetId="31" hidden="1">{"'Sheet1'!$A$1"}</definedName>
    <definedName name="adh" localSheetId="30" hidden="1">{"'Sheet1'!$A$1"}</definedName>
    <definedName name="adh" localSheetId="17" hidden="1">{"'Sheet1'!$A$1"}</definedName>
    <definedName name="adh" localSheetId="18" hidden="1">{"'Sheet1'!$A$1"}</definedName>
    <definedName name="adh" hidden="1">{"'Sheet1'!$A$1"}</definedName>
    <definedName name="adhi" localSheetId="2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hi" localSheetId="1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hi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hi" localSheetId="2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hi" localSheetId="2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hi" localSheetId="3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hi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hi" localSheetId="2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hi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hi" localSheetId="3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hi" localSheetId="3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hi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hi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hi" localSheetId="1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hi" localSheetId="2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hi" localSheetId="4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hi" localSheetId="4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hi" localSheetId="4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hi" localSheetId="3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hi" localSheetId="3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h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s" localSheetId="20" hidden="1">{#N/A,#N/A,FALSE,"REK-S-TPL";#N/A,#N/A,FALSE,"REK-TPML";#N/A,#N/A,FALSE,"RAB-TEMPEL"}</definedName>
    <definedName name="ads" localSheetId="19" hidden="1">{#N/A,#N/A,FALSE,"REK-S-TPL";#N/A,#N/A,FALSE,"REK-TPML";#N/A,#N/A,FALSE,"RAB-TEMPEL"}</definedName>
    <definedName name="ads" localSheetId="26" hidden="1">{#N/A,#N/A,FALSE,"REK-S-TPL";#N/A,#N/A,FALSE,"REK-TPML";#N/A,#N/A,FALSE,"RAB-TEMPEL"}</definedName>
    <definedName name="ads" localSheetId="23" hidden="1">{#N/A,#N/A,FALSE,"REK-S-TPL";#N/A,#N/A,FALSE,"REK-TPML";#N/A,#N/A,FALSE,"RAB-TEMPEL"}</definedName>
    <definedName name="ads" localSheetId="24" hidden="1">{#N/A,#N/A,FALSE,"REK-S-TPL";#N/A,#N/A,FALSE,"REK-TPML";#N/A,#N/A,FALSE,"RAB-TEMPEL"}</definedName>
    <definedName name="ads" localSheetId="32" hidden="1">{#N/A,#N/A,FALSE,"REK-S-TPL";#N/A,#N/A,FALSE,"REK-TPML";#N/A,#N/A,FALSE,"RAB-TEMPEL"}</definedName>
    <definedName name="ads" localSheetId="27" hidden="1">{#N/A,#N/A,FALSE,"REK-S-TPL";#N/A,#N/A,FALSE,"REK-TPML";#N/A,#N/A,FALSE,"RAB-TEMPEL"}</definedName>
    <definedName name="ads" localSheetId="28" hidden="1">{#N/A,#N/A,FALSE,"REK-S-TPL";#N/A,#N/A,FALSE,"REK-TPML";#N/A,#N/A,FALSE,"RAB-TEMPEL"}</definedName>
    <definedName name="ads" localSheetId="29" hidden="1">{#N/A,#N/A,FALSE,"REK-S-TPL";#N/A,#N/A,FALSE,"REK-TPML";#N/A,#N/A,FALSE,"RAB-TEMPEL"}</definedName>
    <definedName name="ads" localSheetId="31" hidden="1">{#N/A,#N/A,FALSE,"REK-S-TPL";#N/A,#N/A,FALSE,"REK-TPML";#N/A,#N/A,FALSE,"RAB-TEMPEL"}</definedName>
    <definedName name="ads" localSheetId="30" hidden="1">{#N/A,#N/A,FALSE,"REK-S-TPL";#N/A,#N/A,FALSE,"REK-TPML";#N/A,#N/A,FALSE,"RAB-TEMPEL"}</definedName>
    <definedName name="ads" localSheetId="13" hidden="1">{#N/A,#N/A,FALSE,"REK-S-TPL";#N/A,#N/A,FALSE,"REK-TPML";#N/A,#N/A,FALSE,"RAB-TEMPEL"}</definedName>
    <definedName name="ads" localSheetId="17" hidden="1">{#N/A,#N/A,FALSE,"REK-S-TPL";#N/A,#N/A,FALSE,"REK-TPML";#N/A,#N/A,FALSE,"RAB-TEMPEL"}</definedName>
    <definedName name="ads" localSheetId="18" hidden="1">{#N/A,#N/A,FALSE,"REK-S-TPL";#N/A,#N/A,FALSE,"REK-TPML";#N/A,#N/A,FALSE,"RAB-TEMPEL"}</definedName>
    <definedName name="ads" localSheetId="22" hidden="1">{#N/A,#N/A,FALSE,"REK-S-TPL";#N/A,#N/A,FALSE,"REK-TPML";#N/A,#N/A,FALSE,"RAB-TEMPEL"}</definedName>
    <definedName name="ads" localSheetId="40" hidden="1">{#N/A,#N/A,FALSE,"REK-S-TPL";#N/A,#N/A,FALSE,"REK-TPML";#N/A,#N/A,FALSE,"RAB-TEMPEL"}</definedName>
    <definedName name="ads" localSheetId="41" hidden="1">{#N/A,#N/A,FALSE,"REK-S-TPL";#N/A,#N/A,FALSE,"REK-TPML";#N/A,#N/A,FALSE,"RAB-TEMPEL"}</definedName>
    <definedName name="ads" localSheetId="42" hidden="1">{#N/A,#N/A,FALSE,"REK-S-TPL";#N/A,#N/A,FALSE,"REK-TPML";#N/A,#N/A,FALSE,"RAB-TEMPEL"}</definedName>
    <definedName name="ads" localSheetId="35" hidden="1">{#N/A,#N/A,FALSE,"REK-S-TPL";#N/A,#N/A,FALSE,"REK-TPML";#N/A,#N/A,FALSE,"RAB-TEMPEL"}</definedName>
    <definedName name="ads" localSheetId="38" hidden="1">{#N/A,#N/A,FALSE,"REK-S-TPL";#N/A,#N/A,FALSE,"REK-TPML";#N/A,#N/A,FALSE,"RAB-TEMPEL"}</definedName>
    <definedName name="ads" hidden="1">{#N/A,#N/A,FALSE,"REK-S-TPL";#N/A,#N/A,FALSE,"REK-TPML";#N/A,#N/A,FALSE,"RAB-TEMPEL"}</definedName>
    <definedName name="AERC" localSheetId="32" hidden="1">#REF!</definedName>
    <definedName name="AERC" localSheetId="41" hidden="1">#REF!</definedName>
    <definedName name="AERC" localSheetId="42" hidden="1">#REF!</definedName>
    <definedName name="AERC" hidden="1">#REF!</definedName>
    <definedName name="AEW" localSheetId="20" hidden="1">{#N/A,#N/A,FALSE,"REK";#N/A,#N/A,FALSE,"rab"}</definedName>
    <definedName name="AEW" localSheetId="19" hidden="1">{#N/A,#N/A,FALSE,"REK";#N/A,#N/A,FALSE,"rab"}</definedName>
    <definedName name="AEW" localSheetId="26" hidden="1">{#N/A,#N/A,FALSE,"REK";#N/A,#N/A,FALSE,"rab"}</definedName>
    <definedName name="AEW" localSheetId="23" hidden="1">{#N/A,#N/A,FALSE,"REK";#N/A,#N/A,FALSE,"rab"}</definedName>
    <definedName name="AEW" localSheetId="24" hidden="1">{#N/A,#N/A,FALSE,"REK";#N/A,#N/A,FALSE,"rab"}</definedName>
    <definedName name="AEW" localSheetId="32" hidden="1">{#N/A,#N/A,FALSE,"REK";#N/A,#N/A,FALSE,"rab"}</definedName>
    <definedName name="AEW" localSheetId="27" hidden="1">{#N/A,#N/A,FALSE,"REK";#N/A,#N/A,FALSE,"rab"}</definedName>
    <definedName name="AEW" localSheetId="28" hidden="1">{#N/A,#N/A,FALSE,"REK";#N/A,#N/A,FALSE,"rab"}</definedName>
    <definedName name="AEW" localSheetId="29" hidden="1">{#N/A,#N/A,FALSE,"REK";#N/A,#N/A,FALSE,"rab"}</definedName>
    <definedName name="AEW" localSheetId="31" hidden="1">{#N/A,#N/A,FALSE,"REK";#N/A,#N/A,FALSE,"rab"}</definedName>
    <definedName name="AEW" localSheetId="30" hidden="1">{#N/A,#N/A,FALSE,"REK";#N/A,#N/A,FALSE,"rab"}</definedName>
    <definedName name="AEW" localSheetId="13" hidden="1">{#N/A,#N/A,FALSE,"REK";#N/A,#N/A,FALSE,"rab"}</definedName>
    <definedName name="AEW" localSheetId="17" hidden="1">{#N/A,#N/A,FALSE,"REK";#N/A,#N/A,FALSE,"rab"}</definedName>
    <definedName name="AEW" localSheetId="18" hidden="1">{#N/A,#N/A,FALSE,"REK";#N/A,#N/A,FALSE,"rab"}</definedName>
    <definedName name="AEW" localSheetId="22" hidden="1">{#N/A,#N/A,FALSE,"REK";#N/A,#N/A,FALSE,"rab"}</definedName>
    <definedName name="AEW" localSheetId="40" hidden="1">{#N/A,#N/A,FALSE,"REK";#N/A,#N/A,FALSE,"rab"}</definedName>
    <definedName name="AEW" localSheetId="41" hidden="1">{#N/A,#N/A,FALSE,"REK";#N/A,#N/A,FALSE,"rab"}</definedName>
    <definedName name="AEW" localSheetId="42" hidden="1">{#N/A,#N/A,FALSE,"REK";#N/A,#N/A,FALSE,"rab"}</definedName>
    <definedName name="AEW" localSheetId="35" hidden="1">{#N/A,#N/A,FALSE,"REK";#N/A,#N/A,FALSE,"rab"}</definedName>
    <definedName name="AEW" localSheetId="38" hidden="1">{#N/A,#N/A,FALSE,"REK";#N/A,#N/A,FALSE,"rab"}</definedName>
    <definedName name="AEW" hidden="1">{#N/A,#N/A,FALSE,"REK";#N/A,#N/A,FALSE,"rab"}</definedName>
    <definedName name="afa" localSheetId="20" hidden="1">{"'Sheet1'!$A$1"}</definedName>
    <definedName name="afa" localSheetId="19" hidden="1">{"'Sheet1'!$A$1"}</definedName>
    <definedName name="afa" localSheetId="26" hidden="1">{"'Sheet1'!$A$1"}</definedName>
    <definedName name="afa" localSheetId="24" hidden="1">{"'Sheet1'!$A$1"}</definedName>
    <definedName name="afa" localSheetId="32" hidden="1">{"'Sheet1'!$A$1"}</definedName>
    <definedName name="afa" localSheetId="27" hidden="1">{"'Sheet1'!$A$1"}</definedName>
    <definedName name="afa" localSheetId="28" hidden="1">{"'Sheet1'!$A$1"}</definedName>
    <definedName name="afa" localSheetId="29" hidden="1">{"'Sheet1'!$A$1"}</definedName>
    <definedName name="afa" localSheetId="31" hidden="1">{"'Sheet1'!$A$1"}</definedName>
    <definedName name="afa" localSheetId="30" hidden="1">{"'Sheet1'!$A$1"}</definedName>
    <definedName name="afa" localSheetId="17" hidden="1">{"'Sheet1'!$A$1"}</definedName>
    <definedName name="afa" localSheetId="18" hidden="1">{"'Sheet1'!$A$1"}</definedName>
    <definedName name="afa" hidden="1">{"'Sheet1'!$A$1"}</definedName>
    <definedName name="afdasgh" localSheetId="20" hidden="1">{#N/A,#N/A,FALSE,"CCTV"}</definedName>
    <definedName name="afdasgh" localSheetId="19" hidden="1">{#N/A,#N/A,FALSE,"CCTV"}</definedName>
    <definedName name="afdasgh" localSheetId="26" hidden="1">{#N/A,#N/A,FALSE,"CCTV"}</definedName>
    <definedName name="afdasgh" localSheetId="24" hidden="1">{#N/A,#N/A,FALSE,"CCTV"}</definedName>
    <definedName name="afdasgh" localSheetId="32" hidden="1">{#N/A,#N/A,FALSE,"CCTV"}</definedName>
    <definedName name="afdasgh" localSheetId="27" hidden="1">{#N/A,#N/A,FALSE,"CCTV"}</definedName>
    <definedName name="afdasgh" localSheetId="28" hidden="1">{#N/A,#N/A,FALSE,"CCTV"}</definedName>
    <definedName name="afdasgh" localSheetId="29" hidden="1">{#N/A,#N/A,FALSE,"CCTV"}</definedName>
    <definedName name="afdasgh" localSheetId="31" hidden="1">{#N/A,#N/A,FALSE,"CCTV"}</definedName>
    <definedName name="afdasgh" localSheetId="30" hidden="1">{#N/A,#N/A,FALSE,"CCTV"}</definedName>
    <definedName name="afdasgh" localSheetId="17" hidden="1">{#N/A,#N/A,FALSE,"CCTV"}</definedName>
    <definedName name="afdasgh" localSheetId="18" hidden="1">{#N/A,#N/A,FALSE,"CCTV"}</definedName>
    <definedName name="afdasgh" hidden="1">{#N/A,#N/A,FALSE,"CCTV"}</definedName>
    <definedName name="afdsfdg" localSheetId="20" hidden="1">{#N/A,#N/A,FALSE,"CCTV"}</definedName>
    <definedName name="afdsfdg" localSheetId="19" hidden="1">{#N/A,#N/A,FALSE,"CCTV"}</definedName>
    <definedName name="afdsfdg" localSheetId="26" hidden="1">{#N/A,#N/A,FALSE,"CCTV"}</definedName>
    <definedName name="afdsfdg" localSheetId="24" hidden="1">{#N/A,#N/A,FALSE,"CCTV"}</definedName>
    <definedName name="afdsfdg" localSheetId="32" hidden="1">{#N/A,#N/A,FALSE,"CCTV"}</definedName>
    <definedName name="afdsfdg" localSheetId="27" hidden="1">{#N/A,#N/A,FALSE,"CCTV"}</definedName>
    <definedName name="afdsfdg" localSheetId="28" hidden="1">{#N/A,#N/A,FALSE,"CCTV"}</definedName>
    <definedName name="afdsfdg" localSheetId="29" hidden="1">{#N/A,#N/A,FALSE,"CCTV"}</definedName>
    <definedName name="afdsfdg" localSheetId="31" hidden="1">{#N/A,#N/A,FALSE,"CCTV"}</definedName>
    <definedName name="afdsfdg" localSheetId="30" hidden="1">{#N/A,#N/A,FALSE,"CCTV"}</definedName>
    <definedName name="afdsfdg" localSheetId="17" hidden="1">{#N/A,#N/A,FALSE,"CCTV"}</definedName>
    <definedName name="afdsfdg" localSheetId="18" hidden="1">{#N/A,#N/A,FALSE,"CCTV"}</definedName>
    <definedName name="afdsfdg" hidden="1">{#N/A,#N/A,FALSE,"CCTV"}</definedName>
    <definedName name="afffgff" localSheetId="20" hidden="1">{#N/A,#N/A,FALSE,"CCTV"}</definedName>
    <definedName name="afffgff" localSheetId="19" hidden="1">{#N/A,#N/A,FALSE,"CCTV"}</definedName>
    <definedName name="afffgff" localSheetId="26" hidden="1">{#N/A,#N/A,FALSE,"CCTV"}</definedName>
    <definedName name="afffgff" localSheetId="24" hidden="1">{#N/A,#N/A,FALSE,"CCTV"}</definedName>
    <definedName name="afffgff" localSheetId="32" hidden="1">{#N/A,#N/A,FALSE,"CCTV"}</definedName>
    <definedName name="afffgff" localSheetId="27" hidden="1">{#N/A,#N/A,FALSE,"CCTV"}</definedName>
    <definedName name="afffgff" localSheetId="28" hidden="1">{#N/A,#N/A,FALSE,"CCTV"}</definedName>
    <definedName name="afffgff" localSheetId="29" hidden="1">{#N/A,#N/A,FALSE,"CCTV"}</definedName>
    <definedName name="afffgff" localSheetId="31" hidden="1">{#N/A,#N/A,FALSE,"CCTV"}</definedName>
    <definedName name="afffgff" localSheetId="30" hidden="1">{#N/A,#N/A,FALSE,"CCTV"}</definedName>
    <definedName name="afffgff" localSheetId="17" hidden="1">{#N/A,#N/A,FALSE,"CCTV"}</definedName>
    <definedName name="afffgff" localSheetId="18" hidden="1">{#N/A,#N/A,FALSE,"CCTV"}</definedName>
    <definedName name="afffgff" hidden="1">{#N/A,#N/A,FALSE,"CCTV"}</definedName>
    <definedName name="AGREGAT_A" localSheetId="32" hidden="1">#REF!</definedName>
    <definedName name="AGREGAT_A" hidden="1">#REF!</definedName>
    <definedName name="AGREGATM" localSheetId="32" hidden="1">#REF!</definedName>
    <definedName name="AGREGATM" hidden="1">#REF!</definedName>
    <definedName name="AGREGATP" localSheetId="32" hidden="1">#REF!</definedName>
    <definedName name="AGREGATP" hidden="1">#REF!</definedName>
    <definedName name="agrt.a" hidden="1">#REF!</definedName>
    <definedName name="AH" localSheetId="20" hidden="1">{#N/A,#N/A,FALSE,"CCTV"}</definedName>
    <definedName name="AH" localSheetId="19" hidden="1">{#N/A,#N/A,FALSE,"CCTV"}</definedName>
    <definedName name="AH" localSheetId="32" hidden="1">{#N/A,#N/A,FALSE,"CCTV"}</definedName>
    <definedName name="AH" localSheetId="27" hidden="1">{#N/A,#N/A,FALSE,"CCTV"}</definedName>
    <definedName name="AH" localSheetId="28" hidden="1">{#N/A,#N/A,FALSE,"CCTV"}</definedName>
    <definedName name="AH" localSheetId="31" hidden="1">{#N/A,#N/A,FALSE,"CCTV"}</definedName>
    <definedName name="AH" localSheetId="30" hidden="1">{#N/A,#N/A,FALSE,"CCTV"}</definedName>
    <definedName name="AH" localSheetId="13" hidden="1">{#N/A,#N/A,FALSE,"CCTV"}</definedName>
    <definedName name="AH" localSheetId="17" hidden="1">{#N/A,#N/A,FALSE,"CCTV"}</definedName>
    <definedName name="AH" localSheetId="18" hidden="1">{#N/A,#N/A,FALSE,"CCTV"}</definedName>
    <definedName name="ahad" localSheetId="20" hidden="1">{#N/A,#N/A,FALSE,"Chi tiÆt"}</definedName>
    <definedName name="ahad" localSheetId="19" hidden="1">{#N/A,#N/A,FALSE,"Chi tiÆt"}</definedName>
    <definedName name="ahad" localSheetId="26" hidden="1">{#N/A,#N/A,FALSE,"Chi tiÆt"}</definedName>
    <definedName name="ahad" localSheetId="24" hidden="1">{#N/A,#N/A,FALSE,"Chi tiÆt"}</definedName>
    <definedName name="ahad" localSheetId="32" hidden="1">{#N/A,#N/A,FALSE,"Chi tiÆt"}</definedName>
    <definedName name="ahad" localSheetId="27" hidden="1">{#N/A,#N/A,FALSE,"Chi tiÆt"}</definedName>
    <definedName name="ahad" localSheetId="28" hidden="1">{#N/A,#N/A,FALSE,"Chi tiÆt"}</definedName>
    <definedName name="ahad" localSheetId="29" hidden="1">{#N/A,#N/A,FALSE,"Chi tiÆt"}</definedName>
    <definedName name="ahad" localSheetId="31" hidden="1">{#N/A,#N/A,FALSE,"Chi tiÆt"}</definedName>
    <definedName name="ahad" localSheetId="30" hidden="1">{#N/A,#N/A,FALSE,"Chi tiÆt"}</definedName>
    <definedName name="ahad" localSheetId="17" hidden="1">{#N/A,#N/A,FALSE,"Chi tiÆt"}</definedName>
    <definedName name="ahad" localSheetId="18" hidden="1">{#N/A,#N/A,FALSE,"Chi tiÆt"}</definedName>
    <definedName name="ahad" hidden="1">{#N/A,#N/A,FALSE,"Chi tiÆt"}</definedName>
    <definedName name="ajunk" localSheetId="32" hidden="1">#REF!</definedName>
    <definedName name="ajunk" localSheetId="41" hidden="1">#REF!</definedName>
    <definedName name="ajunk" localSheetId="42" hidden="1">#REF!</definedName>
    <definedName name="ajunk" hidden="1">#REF!</definedName>
    <definedName name="aka" hidden="1">#REF!</definedName>
    <definedName name="ala" localSheetId="20" hidden="1">{"'Sheet1'!$A$1"}</definedName>
    <definedName name="ala" localSheetId="19" hidden="1">{"'Sheet1'!$A$1"}</definedName>
    <definedName name="ala" localSheetId="26" hidden="1">{"'Sheet1'!$A$1"}</definedName>
    <definedName name="ala" localSheetId="24" hidden="1">{"'Sheet1'!$A$1"}</definedName>
    <definedName name="ala" localSheetId="32" hidden="1">{"'Sheet1'!$A$1"}</definedName>
    <definedName name="ala" localSheetId="27" hidden="1">{"'Sheet1'!$A$1"}</definedName>
    <definedName name="ala" localSheetId="28" hidden="1">{"'Sheet1'!$A$1"}</definedName>
    <definedName name="ala" localSheetId="29" hidden="1">{"'Sheet1'!$A$1"}</definedName>
    <definedName name="ala" localSheetId="31" hidden="1">{"'Sheet1'!$A$1"}</definedName>
    <definedName name="ala" localSheetId="30" hidden="1">{"'Sheet1'!$A$1"}</definedName>
    <definedName name="ala" localSheetId="17" hidden="1">{"'Sheet1'!$A$1"}</definedName>
    <definedName name="ala" localSheetId="18" hidden="1">{"'Sheet1'!$A$1"}</definedName>
    <definedName name="ala" hidden="1">{"'Sheet1'!$A$1"}</definedName>
    <definedName name="alan" hidden="1">#REF!</definedName>
    <definedName name="ALAT_GTO" localSheetId="20" hidden="1">{"'Sheet1'!$A$1"}</definedName>
    <definedName name="ALAT_GTO" localSheetId="19" hidden="1">{"'Sheet1'!$A$1"}</definedName>
    <definedName name="ALAT_GTO" localSheetId="26" hidden="1">{"'Sheet1'!$A$1"}</definedName>
    <definedName name="ALAT_GTO" localSheetId="24" hidden="1">{"'Sheet1'!$A$1"}</definedName>
    <definedName name="ALAT_GTO" localSheetId="32" hidden="1">{"'Sheet1'!$A$1"}</definedName>
    <definedName name="ALAT_GTO" localSheetId="27" hidden="1">{"'Sheet1'!$A$1"}</definedName>
    <definedName name="ALAT_GTO" localSheetId="28" hidden="1">{"'Sheet1'!$A$1"}</definedName>
    <definedName name="ALAT_GTO" localSheetId="29" hidden="1">{"'Sheet1'!$A$1"}</definedName>
    <definedName name="ALAT_GTO" localSheetId="31" hidden="1">{"'Sheet1'!$A$1"}</definedName>
    <definedName name="ALAT_GTO" localSheetId="30" hidden="1">{"'Sheet1'!$A$1"}</definedName>
    <definedName name="ALAT_GTO" localSheetId="17" hidden="1">{"'Sheet1'!$A$1"}</definedName>
    <definedName name="ALAT_GTO" localSheetId="18" hidden="1">{"'Sheet1'!$A$1"}</definedName>
    <definedName name="ALAT_GTO" hidden="1">{"'Sheet1'!$A$1"}</definedName>
    <definedName name="ali" localSheetId="20" hidden="1">{"'Sheet1'!$A$1"}</definedName>
    <definedName name="ali" localSheetId="19" hidden="1">{"'Sheet1'!$A$1"}</definedName>
    <definedName name="ali" localSheetId="26" hidden="1">{"'Sheet1'!$A$1"}</definedName>
    <definedName name="ali" localSheetId="24" hidden="1">{"'Sheet1'!$A$1"}</definedName>
    <definedName name="ali" localSheetId="32" hidden="1">{"'Sheet1'!$A$1"}</definedName>
    <definedName name="ali" localSheetId="27" hidden="1">{"'Sheet1'!$A$1"}</definedName>
    <definedName name="ali" localSheetId="28" hidden="1">{"'Sheet1'!$A$1"}</definedName>
    <definedName name="ali" localSheetId="29" hidden="1">{"'Sheet1'!$A$1"}</definedName>
    <definedName name="ali" localSheetId="31" hidden="1">{"'Sheet1'!$A$1"}</definedName>
    <definedName name="ali" localSheetId="30" hidden="1">{"'Sheet1'!$A$1"}</definedName>
    <definedName name="ali" localSheetId="17" hidden="1">{"'Sheet1'!$A$1"}</definedName>
    <definedName name="ali" localSheetId="18" hidden="1">{"'Sheet1'!$A$1"}</definedName>
    <definedName name="ali" hidden="1">{"'Sheet1'!$A$1"}</definedName>
    <definedName name="ALOKASI" hidden="1">#REF!</definedName>
    <definedName name="amd" localSheetId="20" hidden="1">{#N/A,#N/A,FALSE,"Chi tiÆt"}</definedName>
    <definedName name="amd" localSheetId="19" hidden="1">{#N/A,#N/A,FALSE,"Chi tiÆt"}</definedName>
    <definedName name="amd" localSheetId="26" hidden="1">{#N/A,#N/A,FALSE,"Chi tiÆt"}</definedName>
    <definedName name="amd" localSheetId="24" hidden="1">{#N/A,#N/A,FALSE,"Chi tiÆt"}</definedName>
    <definedName name="amd" localSheetId="32" hidden="1">{#N/A,#N/A,FALSE,"Chi tiÆt"}</definedName>
    <definedName name="amd" localSheetId="27" hidden="1">{#N/A,#N/A,FALSE,"Chi tiÆt"}</definedName>
    <definedName name="amd" localSheetId="28" hidden="1">{#N/A,#N/A,FALSE,"Chi tiÆt"}</definedName>
    <definedName name="amd" localSheetId="29" hidden="1">{#N/A,#N/A,FALSE,"Chi tiÆt"}</definedName>
    <definedName name="amd" localSheetId="31" hidden="1">{#N/A,#N/A,FALSE,"Chi tiÆt"}</definedName>
    <definedName name="amd" localSheetId="30" hidden="1">{#N/A,#N/A,FALSE,"Chi tiÆt"}</definedName>
    <definedName name="amd" localSheetId="17" hidden="1">{#N/A,#N/A,FALSE,"Chi tiÆt"}</definedName>
    <definedName name="amd" localSheetId="18" hidden="1">{#N/A,#N/A,FALSE,"Chi tiÆt"}</definedName>
    <definedName name="amd" hidden="1">{#N/A,#N/A,FALSE,"Chi tiÆt"}</definedName>
    <definedName name="amdd" localSheetId="20" hidden="1">{#N/A,#N/A,FALSE,"Chi tiÆt"}</definedName>
    <definedName name="amdd" localSheetId="19" hidden="1">{#N/A,#N/A,FALSE,"Chi tiÆt"}</definedName>
    <definedName name="amdd" localSheetId="26" hidden="1">{#N/A,#N/A,FALSE,"Chi tiÆt"}</definedName>
    <definedName name="amdd" localSheetId="24" hidden="1">{#N/A,#N/A,FALSE,"Chi tiÆt"}</definedName>
    <definedName name="amdd" localSheetId="32" hidden="1">{#N/A,#N/A,FALSE,"Chi tiÆt"}</definedName>
    <definedName name="amdd" localSheetId="27" hidden="1">{#N/A,#N/A,FALSE,"Chi tiÆt"}</definedName>
    <definedName name="amdd" localSheetId="28" hidden="1">{#N/A,#N/A,FALSE,"Chi tiÆt"}</definedName>
    <definedName name="amdd" localSheetId="29" hidden="1">{#N/A,#N/A,FALSE,"Chi tiÆt"}</definedName>
    <definedName name="amdd" localSheetId="31" hidden="1">{#N/A,#N/A,FALSE,"Chi tiÆt"}</definedName>
    <definedName name="amdd" localSheetId="30" hidden="1">{#N/A,#N/A,FALSE,"Chi tiÆt"}</definedName>
    <definedName name="amdd" localSheetId="17" hidden="1">{#N/A,#N/A,FALSE,"Chi tiÆt"}</definedName>
    <definedName name="amdd" localSheetId="18" hidden="1">{#N/A,#N/A,FALSE,"Chi tiÆt"}</definedName>
    <definedName name="amdd" hidden="1">{#N/A,#N/A,FALSE,"Chi tiÆt"}</definedName>
    <definedName name="amde" localSheetId="20" hidden="1">{#N/A,#N/A,FALSE,"Chi tiÆt"}</definedName>
    <definedName name="amde" localSheetId="19" hidden="1">{#N/A,#N/A,FALSE,"Chi tiÆt"}</definedName>
    <definedName name="amde" localSheetId="26" hidden="1">{#N/A,#N/A,FALSE,"Chi tiÆt"}</definedName>
    <definedName name="amde" localSheetId="24" hidden="1">{#N/A,#N/A,FALSE,"Chi tiÆt"}</definedName>
    <definedName name="amde" localSheetId="32" hidden="1">{#N/A,#N/A,FALSE,"Chi tiÆt"}</definedName>
    <definedName name="amde" localSheetId="27" hidden="1">{#N/A,#N/A,FALSE,"Chi tiÆt"}</definedName>
    <definedName name="amde" localSheetId="28" hidden="1">{#N/A,#N/A,FALSE,"Chi tiÆt"}</definedName>
    <definedName name="amde" localSheetId="29" hidden="1">{#N/A,#N/A,FALSE,"Chi tiÆt"}</definedName>
    <definedName name="amde" localSheetId="31" hidden="1">{#N/A,#N/A,FALSE,"Chi tiÆt"}</definedName>
    <definedName name="amde" localSheetId="30" hidden="1">{#N/A,#N/A,FALSE,"Chi tiÆt"}</definedName>
    <definedName name="amde" localSheetId="17" hidden="1">{#N/A,#N/A,FALSE,"Chi tiÆt"}</definedName>
    <definedName name="amde" localSheetId="18" hidden="1">{#N/A,#N/A,FALSE,"Chi tiÆt"}</definedName>
    <definedName name="amde" hidden="1">{#N/A,#N/A,FALSE,"Chi tiÆt"}</definedName>
    <definedName name="ANALIS" localSheetId="32" hidden="1">#REF!</definedName>
    <definedName name="ANALIS" hidden="1">#REF!</definedName>
    <definedName name="analis4" localSheetId="32" hidden="1">#REF!</definedName>
    <definedName name="analis4" hidden="1">#REF!</definedName>
    <definedName name="and" localSheetId="20" hidden="1">{#N/A,#N/A,FALSE,"REK";#N/A,#N/A,FALSE,"Bq-ARS"}</definedName>
    <definedName name="and" localSheetId="19" hidden="1">{#N/A,#N/A,FALSE,"REK";#N/A,#N/A,FALSE,"Bq-ARS"}</definedName>
    <definedName name="and" localSheetId="26" hidden="1">{#N/A,#N/A,FALSE,"REK";#N/A,#N/A,FALSE,"Bq-ARS"}</definedName>
    <definedName name="and" localSheetId="23" hidden="1">{#N/A,#N/A,FALSE,"REK";#N/A,#N/A,FALSE,"Bq-ARS"}</definedName>
    <definedName name="and" localSheetId="24" hidden="1">{#N/A,#N/A,FALSE,"REK";#N/A,#N/A,FALSE,"Bq-ARS"}</definedName>
    <definedName name="and" localSheetId="32" hidden="1">{#N/A,#N/A,FALSE,"REK";#N/A,#N/A,FALSE,"Bq-ARS"}</definedName>
    <definedName name="and" localSheetId="27" hidden="1">{#N/A,#N/A,FALSE,"REK";#N/A,#N/A,FALSE,"Bq-ARS"}</definedName>
    <definedName name="and" localSheetId="28" hidden="1">{#N/A,#N/A,FALSE,"REK";#N/A,#N/A,FALSE,"Bq-ARS"}</definedName>
    <definedName name="and" localSheetId="29" hidden="1">{#N/A,#N/A,FALSE,"REK";#N/A,#N/A,FALSE,"Bq-ARS"}</definedName>
    <definedName name="and" localSheetId="31" hidden="1">{#N/A,#N/A,FALSE,"REK";#N/A,#N/A,FALSE,"Bq-ARS"}</definedName>
    <definedName name="and" localSheetId="30" hidden="1">{#N/A,#N/A,FALSE,"REK";#N/A,#N/A,FALSE,"Bq-ARS"}</definedName>
    <definedName name="and" localSheetId="13" hidden="1">{#N/A,#N/A,FALSE,"REK";#N/A,#N/A,FALSE,"Bq-ARS"}</definedName>
    <definedName name="and" localSheetId="17" hidden="1">{#N/A,#N/A,FALSE,"REK";#N/A,#N/A,FALSE,"Bq-ARS"}</definedName>
    <definedName name="and" localSheetId="18" hidden="1">{#N/A,#N/A,FALSE,"REK";#N/A,#N/A,FALSE,"Bq-ARS"}</definedName>
    <definedName name="and" localSheetId="22" hidden="1">{#N/A,#N/A,FALSE,"REK";#N/A,#N/A,FALSE,"Bq-ARS"}</definedName>
    <definedName name="and" localSheetId="40" hidden="1">{#N/A,#N/A,FALSE,"REK";#N/A,#N/A,FALSE,"Bq-ARS"}</definedName>
    <definedName name="and" localSheetId="41" hidden="1">{#N/A,#N/A,FALSE,"REK";#N/A,#N/A,FALSE,"Bq-ARS"}</definedName>
    <definedName name="and" localSheetId="42" hidden="1">{#N/A,#N/A,FALSE,"REK";#N/A,#N/A,FALSE,"Bq-ARS"}</definedName>
    <definedName name="and" localSheetId="35" hidden="1">{#N/A,#N/A,FALSE,"REK";#N/A,#N/A,FALSE,"Bq-ARS"}</definedName>
    <definedName name="and" localSheetId="38" hidden="1">{#N/A,#N/A,FALSE,"REK";#N/A,#N/A,FALSE,"Bq-ARS"}</definedName>
    <definedName name="and" hidden="1">{#N/A,#N/A,FALSE,"REK";#N/A,#N/A,FALSE,"Bq-ARS"}</definedName>
    <definedName name="ANDI1" localSheetId="27" hidden="1">#REF!</definedName>
    <definedName name="ANDI1" localSheetId="13" hidden="1">#REF!</definedName>
    <definedName name="ANDI1" localSheetId="41" hidden="1">#REF!</definedName>
    <definedName name="ANDI1" localSheetId="42" hidden="1">#REF!</definedName>
    <definedName name="ANDI1" hidden="1">#REF!</definedName>
    <definedName name="ANDY" localSheetId="27" hidden="1">#REF!</definedName>
    <definedName name="ANDY" localSheetId="42" hidden="1">#REF!</definedName>
    <definedName name="ANDY" hidden="1">#REF!</definedName>
    <definedName name="ANDY2" localSheetId="27" hidden="1">#REF!</definedName>
    <definedName name="ANDY2" localSheetId="42" hidden="1">#REF!</definedName>
    <definedName name="ANDY2" hidden="1">#REF!</definedName>
    <definedName name="ANGKE" localSheetId="20" hidden="1">{"Offgrid",#N/A,FALSE,"OFFGRID";"Region",#N/A,FALSE,"REGION";"Offgrid -2",#N/A,FALSE,"OFFGRID";"WTP",#N/A,FALSE,"WTP";"WTP -2",#N/A,FALSE,"WTP";"Project",#N/A,FALSE,"PROJECT";"Summary -2",#N/A,FALSE,"SUMMARY"}</definedName>
    <definedName name="ANGKE" localSheetId="19" hidden="1">{"Offgrid",#N/A,FALSE,"OFFGRID";"Region",#N/A,FALSE,"REGION";"Offgrid -2",#N/A,FALSE,"OFFGRID";"WTP",#N/A,FALSE,"WTP";"WTP -2",#N/A,FALSE,"WTP";"Project",#N/A,FALSE,"PROJECT";"Summary -2",#N/A,FALSE,"SUMMARY"}</definedName>
    <definedName name="ANGKE" localSheetId="26" hidden="1">{"Offgrid",#N/A,FALSE,"OFFGRID";"Region",#N/A,FALSE,"REGION";"Offgrid -2",#N/A,FALSE,"OFFGRID";"WTP",#N/A,FALSE,"WTP";"WTP -2",#N/A,FALSE,"WTP";"Project",#N/A,FALSE,"PROJECT";"Summary -2",#N/A,FALSE,"SUMMARY"}</definedName>
    <definedName name="ANGKE" localSheetId="24" hidden="1">{"Offgrid",#N/A,FALSE,"OFFGRID";"Region",#N/A,FALSE,"REGION";"Offgrid -2",#N/A,FALSE,"OFFGRID";"WTP",#N/A,FALSE,"WTP";"WTP -2",#N/A,FALSE,"WTP";"Project",#N/A,FALSE,"PROJECT";"Summary -2",#N/A,FALSE,"SUMMARY"}</definedName>
    <definedName name="ANGKE" localSheetId="32" hidden="1">{"Offgrid",#N/A,FALSE,"OFFGRID";"Region",#N/A,FALSE,"REGION";"Offgrid -2",#N/A,FALSE,"OFFGRID";"WTP",#N/A,FALSE,"WTP";"WTP -2",#N/A,FALSE,"WTP";"Project",#N/A,FALSE,"PROJECT";"Summary -2",#N/A,FALSE,"SUMMARY"}</definedName>
    <definedName name="ANGKE" localSheetId="27" hidden="1">{"Offgrid",#N/A,FALSE,"OFFGRID";"Region",#N/A,FALSE,"REGION";"Offgrid -2",#N/A,FALSE,"OFFGRID";"WTP",#N/A,FALSE,"WTP";"WTP -2",#N/A,FALSE,"WTP";"Project",#N/A,FALSE,"PROJECT";"Summary -2",#N/A,FALSE,"SUMMARY"}</definedName>
    <definedName name="ANGKE" localSheetId="28" hidden="1">{"Offgrid",#N/A,FALSE,"OFFGRID";"Region",#N/A,FALSE,"REGION";"Offgrid -2",#N/A,FALSE,"OFFGRID";"WTP",#N/A,FALSE,"WTP";"WTP -2",#N/A,FALSE,"WTP";"Project",#N/A,FALSE,"PROJECT";"Summary -2",#N/A,FALSE,"SUMMARY"}</definedName>
    <definedName name="ANGKE" localSheetId="29" hidden="1">{"Offgrid",#N/A,FALSE,"OFFGRID";"Region",#N/A,FALSE,"REGION";"Offgrid -2",#N/A,FALSE,"OFFGRID";"WTP",#N/A,FALSE,"WTP";"WTP -2",#N/A,FALSE,"WTP";"Project",#N/A,FALSE,"PROJECT";"Summary -2",#N/A,FALSE,"SUMMARY"}</definedName>
    <definedName name="ANGKE" localSheetId="31" hidden="1">{"Offgrid",#N/A,FALSE,"OFFGRID";"Region",#N/A,FALSE,"REGION";"Offgrid -2",#N/A,FALSE,"OFFGRID";"WTP",#N/A,FALSE,"WTP";"WTP -2",#N/A,FALSE,"WTP";"Project",#N/A,FALSE,"PROJECT";"Summary -2",#N/A,FALSE,"SUMMARY"}</definedName>
    <definedName name="ANGKE" localSheetId="30" hidden="1">{"Offgrid",#N/A,FALSE,"OFFGRID";"Region",#N/A,FALSE,"REGION";"Offgrid -2",#N/A,FALSE,"OFFGRID";"WTP",#N/A,FALSE,"WTP";"WTP -2",#N/A,FALSE,"WTP";"Project",#N/A,FALSE,"PROJECT";"Summary -2",#N/A,FALSE,"SUMMARY"}</definedName>
    <definedName name="ANGKE" localSheetId="17" hidden="1">{"Offgrid",#N/A,FALSE,"OFFGRID";"Region",#N/A,FALSE,"REGION";"Offgrid -2",#N/A,FALSE,"OFFGRID";"WTP",#N/A,FALSE,"WTP";"WTP -2",#N/A,FALSE,"WTP";"Project",#N/A,FALSE,"PROJECT";"Summary -2",#N/A,FALSE,"SUMMARY"}</definedName>
    <definedName name="ANGKE" localSheetId="18" hidden="1">{"Offgrid",#N/A,FALSE,"OFFGRID";"Region",#N/A,FALSE,"REGION";"Offgrid -2",#N/A,FALSE,"OFFGRID";"WTP",#N/A,FALSE,"WTP";"WTP -2",#N/A,FALSE,"WTP";"Project",#N/A,FALSE,"PROJECT";"Summary -2",#N/A,FALSE,"SUMMARY"}</definedName>
    <definedName name="ANGKE" hidden="1">{"Offgrid",#N/A,FALSE,"OFFGRID";"Region",#N/A,FALSE,"REGION";"Offgrid -2",#N/A,FALSE,"OFFGRID";"WTP",#N/A,FALSE,"WTP";"WTP -2",#N/A,FALSE,"WTP";"Project",#N/A,FALSE,"PROJECT";"Summary -2",#N/A,FALSE,"SUMMARY"}</definedName>
    <definedName name="ANLIS_SATUAN" localSheetId="32" hidden="1">#REF!</definedName>
    <definedName name="ANLIS_SATUAN" hidden="1">#REF!</definedName>
    <definedName name="ANS_Alrm" localSheetId="20" hidden="1">{#N/A,#N/A,FALSE,"Chi tiÆt"}</definedName>
    <definedName name="ANS_Alrm" localSheetId="19" hidden="1">{#N/A,#N/A,FALSE,"Chi tiÆt"}</definedName>
    <definedName name="ANS_Alrm" localSheetId="26" hidden="1">{#N/A,#N/A,FALSE,"Chi tiÆt"}</definedName>
    <definedName name="ANS_Alrm" localSheetId="24" hidden="1">{#N/A,#N/A,FALSE,"Chi tiÆt"}</definedName>
    <definedName name="ANS_Alrm" localSheetId="32" hidden="1">{#N/A,#N/A,FALSE,"Chi tiÆt"}</definedName>
    <definedName name="ANS_Alrm" localSheetId="27" hidden="1">{#N/A,#N/A,FALSE,"Chi tiÆt"}</definedName>
    <definedName name="ANS_Alrm" localSheetId="28" hidden="1">{#N/A,#N/A,FALSE,"Chi tiÆt"}</definedName>
    <definedName name="ANS_Alrm" localSheetId="29" hidden="1">{#N/A,#N/A,FALSE,"Chi tiÆt"}</definedName>
    <definedName name="ANS_Alrm" localSheetId="31" hidden="1">{#N/A,#N/A,FALSE,"Chi tiÆt"}</definedName>
    <definedName name="ANS_Alrm" localSheetId="30" hidden="1">{#N/A,#N/A,FALSE,"Chi tiÆt"}</definedName>
    <definedName name="ANS_Alrm" localSheetId="17" hidden="1">{#N/A,#N/A,FALSE,"Chi tiÆt"}</definedName>
    <definedName name="ANS_Alrm" localSheetId="18" hidden="1">{#N/A,#N/A,FALSE,"Chi tiÆt"}</definedName>
    <definedName name="ANS_Alrm" hidden="1">{#N/A,#N/A,FALSE,"Chi tiÆt"}</definedName>
    <definedName name="anscount" hidden="1">1</definedName>
    <definedName name="AQWS" localSheetId="2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" localSheetId="1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" localSheetId="2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" localSheetId="2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" localSheetId="3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" localSheetId="2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" localSheetId="2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" localSheetId="2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" localSheetId="3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" localSheetId="3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" localSheetId="1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RD" localSheetId="20" hidden="1">#REF!</definedName>
    <definedName name="ARD" localSheetId="19" hidden="1">#REF!</definedName>
    <definedName name="ARD" localSheetId="32" hidden="1">#REF!</definedName>
    <definedName name="ARD" localSheetId="27" hidden="1">#REF!</definedName>
    <definedName name="ARD" localSheetId="28" hidden="1">#REF!</definedName>
    <definedName name="ARD" localSheetId="31" hidden="1">#REF!</definedName>
    <definedName name="ARD" localSheetId="30" hidden="1">#REF!</definedName>
    <definedName name="ARD" localSheetId="17" hidden="1">#REF!</definedName>
    <definedName name="ARD" localSheetId="18" hidden="1">#REF!</definedName>
    <definedName name="ARD" hidden="1">#REF!</definedName>
    <definedName name="ARP" localSheetId="20" hidden="1">{#N/A,#N/A,FALSE,"Chi tiÆt"}</definedName>
    <definedName name="ARP" localSheetId="19" hidden="1">{#N/A,#N/A,FALSE,"Chi tiÆt"}</definedName>
    <definedName name="ARP" localSheetId="26" hidden="1">{#N/A,#N/A,FALSE,"Chi tiÆt"}</definedName>
    <definedName name="ARP" localSheetId="24" hidden="1">{#N/A,#N/A,FALSE,"Chi tiÆt"}</definedName>
    <definedName name="ARP" localSheetId="32" hidden="1">{#N/A,#N/A,FALSE,"Chi tiÆt"}</definedName>
    <definedName name="ARP" localSheetId="27" hidden="1">{#N/A,#N/A,FALSE,"Chi tiÆt"}</definedName>
    <definedName name="ARP" localSheetId="28" hidden="1">{#N/A,#N/A,FALSE,"Chi tiÆt"}</definedName>
    <definedName name="ARP" localSheetId="29" hidden="1">{#N/A,#N/A,FALSE,"Chi tiÆt"}</definedName>
    <definedName name="ARP" localSheetId="31" hidden="1">{#N/A,#N/A,FALSE,"Chi tiÆt"}</definedName>
    <definedName name="ARP" localSheetId="30" hidden="1">{#N/A,#N/A,FALSE,"Chi tiÆt"}</definedName>
    <definedName name="ARP" localSheetId="17" hidden="1">{#N/A,#N/A,FALSE,"Chi tiÆt"}</definedName>
    <definedName name="ARP" localSheetId="18" hidden="1">{#N/A,#N/A,FALSE,"Chi tiÆt"}</definedName>
    <definedName name="ARP" hidden="1">{#N/A,#N/A,FALSE,"Chi tiÆt"}</definedName>
    <definedName name="ARPASEVAN" localSheetId="20" hidden="1">{#N/A,#N/A,FALSE,"CCTV"}</definedName>
    <definedName name="ARPASEVAN" localSheetId="19" hidden="1">{#N/A,#N/A,FALSE,"CCTV"}</definedName>
    <definedName name="ARPASEVAN" localSheetId="26" hidden="1">{#N/A,#N/A,FALSE,"CCTV"}</definedName>
    <definedName name="ARPASEVAN" localSheetId="24" hidden="1">{#N/A,#N/A,FALSE,"CCTV"}</definedName>
    <definedName name="ARPASEVAN" localSheetId="32" hidden="1">{#N/A,#N/A,FALSE,"CCTV"}</definedName>
    <definedName name="ARPASEVAN" localSheetId="27" hidden="1">{#N/A,#N/A,FALSE,"CCTV"}</definedName>
    <definedName name="ARPASEVAN" localSheetId="28" hidden="1">{#N/A,#N/A,FALSE,"CCTV"}</definedName>
    <definedName name="ARPASEVAN" localSheetId="29" hidden="1">{#N/A,#N/A,FALSE,"CCTV"}</definedName>
    <definedName name="ARPASEVAN" localSheetId="31" hidden="1">{#N/A,#N/A,FALSE,"CCTV"}</definedName>
    <definedName name="ARPASEVAN" localSheetId="30" hidden="1">{#N/A,#N/A,FALSE,"CCTV"}</definedName>
    <definedName name="ARPASEVAN" localSheetId="17" hidden="1">{#N/A,#N/A,FALSE,"CCTV"}</definedName>
    <definedName name="ARPASEVAN" localSheetId="18" hidden="1">{#N/A,#N/A,FALSE,"CCTV"}</definedName>
    <definedName name="ARPASEVAN" hidden="1">{#N/A,#N/A,FALSE,"CCTV"}</definedName>
    <definedName name="AS2DocOpenMode" hidden="1">"AS2DocumentEdit"</definedName>
    <definedName name="AS2ReportLS" hidden="1">1</definedName>
    <definedName name="AS2SyncStepLS" hidden="1">0</definedName>
    <definedName name="AS2VersionLS" hidden="1">300</definedName>
    <definedName name="asal" localSheetId="20" hidden="1">{#N/A,#N/A,FALSE,"M.31"}</definedName>
    <definedName name="asal" localSheetId="19" hidden="1">{#N/A,#N/A,FALSE,"M.31"}</definedName>
    <definedName name="asal" localSheetId="26" hidden="1">{#N/A,#N/A,FALSE,"M.31"}</definedName>
    <definedName name="asal" localSheetId="24" hidden="1">{#N/A,#N/A,FALSE,"M.31"}</definedName>
    <definedName name="asal" localSheetId="32" hidden="1">{#N/A,#N/A,FALSE,"M.31"}</definedName>
    <definedName name="asal" localSheetId="27" hidden="1">{#N/A,#N/A,FALSE,"M.31"}</definedName>
    <definedName name="asal" localSheetId="28" hidden="1">{#N/A,#N/A,FALSE,"M.31"}</definedName>
    <definedName name="asal" localSheetId="29" hidden="1">{#N/A,#N/A,FALSE,"M.31"}</definedName>
    <definedName name="asal" localSheetId="31" hidden="1">{#N/A,#N/A,FALSE,"M.31"}</definedName>
    <definedName name="asal" localSheetId="30" hidden="1">{#N/A,#N/A,FALSE,"M.31"}</definedName>
    <definedName name="asal" localSheetId="17" hidden="1">{#N/A,#N/A,FALSE,"M.31"}</definedName>
    <definedName name="asal" localSheetId="18" hidden="1">{#N/A,#N/A,FALSE,"M.31"}</definedName>
    <definedName name="asal" hidden="1">{#N/A,#N/A,FALSE,"M.31"}</definedName>
    <definedName name="asam" localSheetId="20" hidden="1">{#N/A,#N/A,FALSE,"REK";#N/A,#N/A,FALSE,"Bq-ARS"}</definedName>
    <definedName name="asam" localSheetId="19" hidden="1">{#N/A,#N/A,FALSE,"REK";#N/A,#N/A,FALSE,"Bq-ARS"}</definedName>
    <definedName name="asam" localSheetId="26" hidden="1">{#N/A,#N/A,FALSE,"REK";#N/A,#N/A,FALSE,"Bq-ARS"}</definedName>
    <definedName name="asam" localSheetId="24" hidden="1">{#N/A,#N/A,FALSE,"REK";#N/A,#N/A,FALSE,"Bq-ARS"}</definedName>
    <definedName name="asam" localSheetId="32" hidden="1">{#N/A,#N/A,FALSE,"REK";#N/A,#N/A,FALSE,"Bq-ARS"}</definedName>
    <definedName name="asam" localSheetId="27" hidden="1">{#N/A,#N/A,FALSE,"REK";#N/A,#N/A,FALSE,"Bq-ARS"}</definedName>
    <definedName name="asam" localSheetId="28" hidden="1">{#N/A,#N/A,FALSE,"REK";#N/A,#N/A,FALSE,"Bq-ARS"}</definedName>
    <definedName name="asam" localSheetId="29" hidden="1">{#N/A,#N/A,FALSE,"REK";#N/A,#N/A,FALSE,"Bq-ARS"}</definedName>
    <definedName name="asam" localSheetId="31" hidden="1">{#N/A,#N/A,FALSE,"REK";#N/A,#N/A,FALSE,"Bq-ARS"}</definedName>
    <definedName name="asam" localSheetId="30" hidden="1">{#N/A,#N/A,FALSE,"REK";#N/A,#N/A,FALSE,"Bq-ARS"}</definedName>
    <definedName name="asam" localSheetId="17" hidden="1">{#N/A,#N/A,FALSE,"REK";#N/A,#N/A,FALSE,"Bq-ARS"}</definedName>
    <definedName name="asam" localSheetId="18" hidden="1">{#N/A,#N/A,FALSE,"REK";#N/A,#N/A,FALSE,"Bq-ARS"}</definedName>
    <definedName name="asam" hidden="1">{#N/A,#N/A,FALSE,"REK";#N/A,#N/A,FALSE,"Bq-ARS"}</definedName>
    <definedName name="asas" localSheetId="20" hidden="1">#REF!</definedName>
    <definedName name="asas" localSheetId="27" hidden="1">#REF!</definedName>
    <definedName name="asas" localSheetId="28" hidden="1">#REF!</definedName>
    <definedName name="asas" localSheetId="17" hidden="1">#REF!</definedName>
    <definedName name="asas" localSheetId="18" hidden="1">#REF!</definedName>
    <definedName name="asas" localSheetId="42" hidden="1">#REF!</definedName>
    <definedName name="asas" hidden="1">#REF!</definedName>
    <definedName name="asasa" localSheetId="27" hidden="1">#REF!</definedName>
    <definedName name="asasa" localSheetId="18" hidden="1">#REF!</definedName>
    <definedName name="asasa" hidden="1">#REF!</definedName>
    <definedName name="ASCAXSEF" hidden="1">#REF!</definedName>
    <definedName name="ascSCAvdVF" hidden="1">#REF!</definedName>
    <definedName name="ascSCc" hidden="1">#REF!</definedName>
    <definedName name="asd" hidden="1">#REF!</definedName>
    <definedName name="asda" localSheetId="20" hidden="1">{"'Rekap 1'!$A$1:$E$18"}</definedName>
    <definedName name="asda" localSheetId="19" hidden="1">{"'Rekap 1'!$A$1:$E$18"}</definedName>
    <definedName name="asda" localSheetId="26" hidden="1">{"'Rekap 1'!$A$1:$E$18"}</definedName>
    <definedName name="asda" localSheetId="24" hidden="1">{"'Rekap 1'!$A$1:$E$18"}</definedName>
    <definedName name="asda" localSheetId="32" hidden="1">{"'Rekap 1'!$A$1:$E$18"}</definedName>
    <definedName name="asda" localSheetId="27" hidden="1">{"'Rekap 1'!$A$1:$E$18"}</definedName>
    <definedName name="asda" localSheetId="28" hidden="1">{"'Rekap 1'!$A$1:$E$18"}</definedName>
    <definedName name="asda" localSheetId="29" hidden="1">{"'Rekap 1'!$A$1:$E$18"}</definedName>
    <definedName name="asda" localSheetId="31" hidden="1">{"'Rekap 1'!$A$1:$E$18"}</definedName>
    <definedName name="asda" localSheetId="30" hidden="1">{"'Rekap 1'!$A$1:$E$18"}</definedName>
    <definedName name="asda" localSheetId="17" hidden="1">{"'Rekap 1'!$A$1:$E$18"}</definedName>
    <definedName name="asda" localSheetId="18" hidden="1">{"'Rekap 1'!$A$1:$E$18"}</definedName>
    <definedName name="asda" hidden="1">{"'Rekap 1'!$A$1:$E$18"}</definedName>
    <definedName name="asdad" localSheetId="20" hidden="1">{"'1996'!$A$1:$J$272"}</definedName>
    <definedName name="asdad" localSheetId="19" hidden="1">{"'1996'!$A$1:$J$272"}</definedName>
    <definedName name="asdad" localSheetId="26" hidden="1">{"'1996'!$A$1:$J$272"}</definedName>
    <definedName name="asdad" localSheetId="24" hidden="1">{"'1996'!$A$1:$J$272"}</definedName>
    <definedName name="asdad" localSheetId="32" hidden="1">{"'1996'!$A$1:$J$272"}</definedName>
    <definedName name="asdad" localSheetId="27" hidden="1">{"'1996'!$A$1:$J$272"}</definedName>
    <definedName name="asdad" localSheetId="28" hidden="1">{"'1996'!$A$1:$J$272"}</definedName>
    <definedName name="asdad" localSheetId="29" hidden="1">{"'1996'!$A$1:$J$272"}</definedName>
    <definedName name="asdad" localSheetId="31" hidden="1">{"'1996'!$A$1:$J$272"}</definedName>
    <definedName name="asdad" localSheetId="30" hidden="1">{"'1996'!$A$1:$J$272"}</definedName>
    <definedName name="asdad" localSheetId="17" hidden="1">{"'1996'!$A$1:$J$272"}</definedName>
    <definedName name="asdad" localSheetId="18" hidden="1">{"'1996'!$A$1:$J$272"}</definedName>
    <definedName name="asdad" hidden="1">{"'1996'!$A$1:$J$272"}</definedName>
    <definedName name="asdas" hidden="1">#REF!</definedName>
    <definedName name="asdf" localSheetId="20" hidden="1">{"'Sheet1'!$A$1"}</definedName>
    <definedName name="asdf" localSheetId="19" hidden="1">{"'Sheet1'!$A$1"}</definedName>
    <definedName name="asdf" localSheetId="32" hidden="1">{"'Sheet1'!$A$1"}</definedName>
    <definedName name="asdf" localSheetId="27" hidden="1">{"'Sheet1'!$A$1"}</definedName>
    <definedName name="asdf" localSheetId="28" hidden="1">{"'Sheet1'!$A$1"}</definedName>
    <definedName name="asdf" localSheetId="31" hidden="1">{"'Sheet1'!$A$1"}</definedName>
    <definedName name="asdf" localSheetId="30" hidden="1">{"'Sheet1'!$A$1"}</definedName>
    <definedName name="asdf" localSheetId="13" hidden="1">{"'Sheet1'!$A$1"}</definedName>
    <definedName name="asdf" localSheetId="17" hidden="1">{"'Sheet1'!$A$1"}</definedName>
    <definedName name="asdf" localSheetId="18" hidden="1">{"'Sheet1'!$A$1"}</definedName>
    <definedName name="asdfasf" localSheetId="2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fasf" localSheetId="1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fasf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fasf" localSheetId="2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fasf" localSheetId="3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fasf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fasf" localSheetId="2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fasf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fasf" localSheetId="3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fasf" localSheetId="3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fasf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fasf" localSheetId="1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fas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" localSheetId="2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" localSheetId="1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" localSheetId="2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" localSheetId="3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" localSheetId="2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" localSheetId="3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" localSheetId="3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" localSheetId="1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N" localSheetId="32" hidden="1">#REF!</definedName>
    <definedName name="ASDN" localSheetId="27" hidden="1">#REF!</definedName>
    <definedName name="ASDN" localSheetId="18" hidden="1">#REF!</definedName>
    <definedName name="ASDN" hidden="1">#REF!</definedName>
    <definedName name="ASDWES" localSheetId="27" hidden="1">#REF!</definedName>
    <definedName name="ASDWES" localSheetId="18" hidden="1">#REF!</definedName>
    <definedName name="ASDWES" hidden="1">#REF!</definedName>
    <definedName name="asdwv" localSheetId="20" hidden="1">{"'Sheet1'!$A$1"}</definedName>
    <definedName name="asdwv" localSheetId="19" hidden="1">{"'Sheet1'!$A$1"}</definedName>
    <definedName name="asdwv" localSheetId="26" hidden="1">{"'Sheet1'!$A$1"}</definedName>
    <definedName name="asdwv" localSheetId="24" hidden="1">{"'Sheet1'!$A$1"}</definedName>
    <definedName name="asdwv" localSheetId="32" hidden="1">{"'Sheet1'!$A$1"}</definedName>
    <definedName name="asdwv" localSheetId="27" hidden="1">{"'Sheet1'!$A$1"}</definedName>
    <definedName name="asdwv" localSheetId="28" hidden="1">{"'Sheet1'!$A$1"}</definedName>
    <definedName name="asdwv" localSheetId="29" hidden="1">{"'Sheet1'!$A$1"}</definedName>
    <definedName name="asdwv" localSheetId="31" hidden="1">{"'Sheet1'!$A$1"}</definedName>
    <definedName name="asdwv" localSheetId="30" hidden="1">{"'Sheet1'!$A$1"}</definedName>
    <definedName name="asdwv" localSheetId="17" hidden="1">{"'Sheet1'!$A$1"}</definedName>
    <definedName name="asdwv" localSheetId="18" hidden="1">{"'Sheet1'!$A$1"}</definedName>
    <definedName name="asdwv" hidden="1">{"'Sheet1'!$A$1"}</definedName>
    <definedName name="ase" hidden="1">#REF!</definedName>
    <definedName name="asep" hidden="1">#REF!</definedName>
    <definedName name="ASERC" localSheetId="42" hidden="1">#REF!</definedName>
    <definedName name="ASERC" hidden="1">#REF!</definedName>
    <definedName name="asrul" hidden="1">#REF!</definedName>
    <definedName name="ass" localSheetId="20" hidden="1">{#N/A,#N/A,FALSE,"REK";#N/A,#N/A,FALSE,"rab"}</definedName>
    <definedName name="ass" localSheetId="19" hidden="1">{#N/A,#N/A,FALSE,"REK";#N/A,#N/A,FALSE,"rab"}</definedName>
    <definedName name="ass" localSheetId="26" hidden="1">{#N/A,#N/A,FALSE,"REK";#N/A,#N/A,FALSE,"rab"}</definedName>
    <definedName name="ass" localSheetId="24" hidden="1">{#N/A,#N/A,FALSE,"REK";#N/A,#N/A,FALSE,"rab"}</definedName>
    <definedName name="ass" localSheetId="32" hidden="1">{#N/A,#N/A,FALSE,"REK";#N/A,#N/A,FALSE,"rab"}</definedName>
    <definedName name="ass" localSheetId="27" hidden="1">{#N/A,#N/A,FALSE,"REK";#N/A,#N/A,FALSE,"rab"}</definedName>
    <definedName name="ass" localSheetId="28" hidden="1">{#N/A,#N/A,FALSE,"REK";#N/A,#N/A,FALSE,"rab"}</definedName>
    <definedName name="ass" localSheetId="29" hidden="1">{#N/A,#N/A,FALSE,"REK";#N/A,#N/A,FALSE,"rab"}</definedName>
    <definedName name="ass" localSheetId="31" hidden="1">{#N/A,#N/A,FALSE,"REK";#N/A,#N/A,FALSE,"rab"}</definedName>
    <definedName name="ass" localSheetId="30" hidden="1">{#N/A,#N/A,FALSE,"REK";#N/A,#N/A,FALSE,"rab"}</definedName>
    <definedName name="ass" localSheetId="17" hidden="1">{#N/A,#N/A,FALSE,"REK";#N/A,#N/A,FALSE,"rab"}</definedName>
    <definedName name="ass" localSheetId="18" hidden="1">{#N/A,#N/A,FALSE,"REK";#N/A,#N/A,FALSE,"rab"}</definedName>
    <definedName name="ass" hidden="1">{#N/A,#N/A,FALSE,"REK";#N/A,#N/A,FALSE,"rab"}</definedName>
    <definedName name="ASSS" localSheetId="20" hidden="1">{"Offgrid",#N/A,FALSE,"OFFGRID";"Region",#N/A,FALSE,"REGION";"Offgrid -2",#N/A,FALSE,"OFFGRID";"WTP",#N/A,FALSE,"WTP";"WTP -2",#N/A,FALSE,"WTP";"Project",#N/A,FALSE,"PROJECT";"Summary -2",#N/A,FALSE,"SUMMARY"}</definedName>
    <definedName name="ASSS" localSheetId="19" hidden="1">{"Offgrid",#N/A,FALSE,"OFFGRID";"Region",#N/A,FALSE,"REGION";"Offgrid -2",#N/A,FALSE,"OFFGRID";"WTP",#N/A,FALSE,"WTP";"WTP -2",#N/A,FALSE,"WTP";"Project",#N/A,FALSE,"PROJECT";"Summary -2",#N/A,FALSE,"SUMMARY"}</definedName>
    <definedName name="ASSS" localSheetId="26" hidden="1">{"Offgrid",#N/A,FALSE,"OFFGRID";"Region",#N/A,FALSE,"REGION";"Offgrid -2",#N/A,FALSE,"OFFGRID";"WTP",#N/A,FALSE,"WTP";"WTP -2",#N/A,FALSE,"WTP";"Project",#N/A,FALSE,"PROJECT";"Summary -2",#N/A,FALSE,"SUMMARY"}</definedName>
    <definedName name="ASSS" localSheetId="24" hidden="1">{"Offgrid",#N/A,FALSE,"OFFGRID";"Region",#N/A,FALSE,"REGION";"Offgrid -2",#N/A,FALSE,"OFFGRID";"WTP",#N/A,FALSE,"WTP";"WTP -2",#N/A,FALSE,"WTP";"Project",#N/A,FALSE,"PROJECT";"Summary -2",#N/A,FALSE,"SUMMARY"}</definedName>
    <definedName name="ASSS" localSheetId="32" hidden="1">{"Offgrid",#N/A,FALSE,"OFFGRID";"Region",#N/A,FALSE,"REGION";"Offgrid -2",#N/A,FALSE,"OFFGRID";"WTP",#N/A,FALSE,"WTP";"WTP -2",#N/A,FALSE,"WTP";"Project",#N/A,FALSE,"PROJECT";"Summary -2",#N/A,FALSE,"SUMMARY"}</definedName>
    <definedName name="ASSS" localSheetId="27" hidden="1">{"Offgrid",#N/A,FALSE,"OFFGRID";"Region",#N/A,FALSE,"REGION";"Offgrid -2",#N/A,FALSE,"OFFGRID";"WTP",#N/A,FALSE,"WTP";"WTP -2",#N/A,FALSE,"WTP";"Project",#N/A,FALSE,"PROJECT";"Summary -2",#N/A,FALSE,"SUMMARY"}</definedName>
    <definedName name="ASSS" localSheetId="28" hidden="1">{"Offgrid",#N/A,FALSE,"OFFGRID";"Region",#N/A,FALSE,"REGION";"Offgrid -2",#N/A,FALSE,"OFFGRID";"WTP",#N/A,FALSE,"WTP";"WTP -2",#N/A,FALSE,"WTP";"Project",#N/A,FALSE,"PROJECT";"Summary -2",#N/A,FALSE,"SUMMARY"}</definedName>
    <definedName name="ASSS" localSheetId="29" hidden="1">{"Offgrid",#N/A,FALSE,"OFFGRID";"Region",#N/A,FALSE,"REGION";"Offgrid -2",#N/A,FALSE,"OFFGRID";"WTP",#N/A,FALSE,"WTP";"WTP -2",#N/A,FALSE,"WTP";"Project",#N/A,FALSE,"PROJECT";"Summary -2",#N/A,FALSE,"SUMMARY"}</definedName>
    <definedName name="ASSS" localSheetId="31" hidden="1">{"Offgrid",#N/A,FALSE,"OFFGRID";"Region",#N/A,FALSE,"REGION";"Offgrid -2",#N/A,FALSE,"OFFGRID";"WTP",#N/A,FALSE,"WTP";"WTP -2",#N/A,FALSE,"WTP";"Project",#N/A,FALSE,"PROJECT";"Summary -2",#N/A,FALSE,"SUMMARY"}</definedName>
    <definedName name="ASSS" localSheetId="30" hidden="1">{"Offgrid",#N/A,FALSE,"OFFGRID";"Region",#N/A,FALSE,"REGION";"Offgrid -2",#N/A,FALSE,"OFFGRID";"WTP",#N/A,FALSE,"WTP";"WTP -2",#N/A,FALSE,"WTP";"Project",#N/A,FALSE,"PROJECT";"Summary -2",#N/A,FALSE,"SUMMARY"}</definedName>
    <definedName name="ASSS" localSheetId="17" hidden="1">{"Offgrid",#N/A,FALSE,"OFFGRID";"Region",#N/A,FALSE,"REGION";"Offgrid -2",#N/A,FALSE,"OFFGRID";"WTP",#N/A,FALSE,"WTP";"WTP -2",#N/A,FALSE,"WTP";"Project",#N/A,FALSE,"PROJECT";"Summary -2",#N/A,FALSE,"SUMMARY"}</definedName>
    <definedName name="ASSS" localSheetId="18" hidden="1">{"Offgrid",#N/A,FALSE,"OFFGRID";"Region",#N/A,FALSE,"REGION";"Offgrid -2",#N/A,FALSE,"OFFGRID";"WTP",#N/A,FALSE,"WTP";"WTP -2",#N/A,FALSE,"WTP";"Project",#N/A,FALSE,"PROJECT";"Summary -2",#N/A,FALSE,"SUMMARY"}</definedName>
    <definedName name="ASSS" hidden="1">{"Offgrid",#N/A,FALSE,"OFFGRID";"Region",#N/A,FALSE,"REGION";"Offgrid -2",#N/A,FALSE,"OFFGRID";"WTP",#N/A,FALSE,"WTP";"WTP -2",#N/A,FALSE,"WTP";"Project",#N/A,FALSE,"PROJECT";"Summary -2",#N/A,FALSE,"SUMMARY"}</definedName>
    <definedName name="ASSSSSSSSSSSSSSSSSSSSSSSSSSSS" localSheetId="20" hidden="1">{"msc sw feat summary",#N/A,FALSE,"MSC SW Features v. 1.1."}</definedName>
    <definedName name="ASSSSSSSSSSSSSSSSSSSSSSSSSSSS" localSheetId="19" hidden="1">{"msc sw feat summary",#N/A,FALSE,"MSC SW Features v. 1.1."}</definedName>
    <definedName name="ASSSSSSSSSSSSSSSSSSSSSSSSSSSS" localSheetId="26" hidden="1">{"msc sw feat summary",#N/A,FALSE,"MSC SW Features v. 1.1."}</definedName>
    <definedName name="ASSSSSSSSSSSSSSSSSSSSSSSSSSSS" localSheetId="24" hidden="1">{"msc sw feat summary",#N/A,FALSE,"MSC SW Features v. 1.1."}</definedName>
    <definedName name="ASSSSSSSSSSSSSSSSSSSSSSSSSSSS" localSheetId="32" hidden="1">{"msc sw feat summary",#N/A,FALSE,"MSC SW Features v. 1.1."}</definedName>
    <definedName name="ASSSSSSSSSSSSSSSSSSSSSSSSSSSS" localSheetId="27" hidden="1">{"msc sw feat summary",#N/A,FALSE,"MSC SW Features v. 1.1."}</definedName>
    <definedName name="ASSSSSSSSSSSSSSSSSSSSSSSSSSSS" localSheetId="28" hidden="1">{"msc sw feat summary",#N/A,FALSE,"MSC SW Features v. 1.1."}</definedName>
    <definedName name="ASSSSSSSSSSSSSSSSSSSSSSSSSSSS" localSheetId="29" hidden="1">{"msc sw feat summary",#N/A,FALSE,"MSC SW Features v. 1.1."}</definedName>
    <definedName name="ASSSSSSSSSSSSSSSSSSSSSSSSSSSS" localSheetId="31" hidden="1">{"msc sw feat summary",#N/A,FALSE,"MSC SW Features v. 1.1."}</definedName>
    <definedName name="ASSSSSSSSSSSSSSSSSSSSSSSSSSSS" localSheetId="30" hidden="1">{"msc sw feat summary",#N/A,FALSE,"MSC SW Features v. 1.1."}</definedName>
    <definedName name="ASSSSSSSSSSSSSSSSSSSSSSSSSSSS" localSheetId="17" hidden="1">{"msc sw feat summary",#N/A,FALSE,"MSC SW Features v. 1.1."}</definedName>
    <definedName name="ASSSSSSSSSSSSSSSSSSSSSSSSSSSS" localSheetId="18" hidden="1">{"msc sw feat summary",#N/A,FALSE,"MSC SW Features v. 1.1."}</definedName>
    <definedName name="ASSSSSSSSSSSSSSSSSSSSSSSSSSSS" hidden="1">{"msc sw feat summary",#N/A,FALSE,"MSC SW Features v. 1.1."}</definedName>
    <definedName name="asu" localSheetId="2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u" localSheetId="1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u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u" localSheetId="2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u" localSheetId="2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u" localSheetId="3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u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u" localSheetId="2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u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u" localSheetId="3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u" localSheetId="3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u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u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u" localSheetId="1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u" localSheetId="2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u" localSheetId="4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u" localSheetId="4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u" localSheetId="4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u" localSheetId="3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u" localSheetId="3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wer" localSheetId="27" hidden="1">#REF!</definedName>
    <definedName name="aswer" localSheetId="41" hidden="1">#REF!</definedName>
    <definedName name="aswer" localSheetId="42" hidden="1">#REF!</definedName>
    <definedName name="aswer" hidden="1">#REF!</definedName>
    <definedName name="ASWQAD" localSheetId="27" hidden="1">#REF!</definedName>
    <definedName name="ASWQAD" hidden="1">#REF!</definedName>
    <definedName name="ato" localSheetId="20" hidden="1">{#N/A,#N/A,FALSE,"REK-S-TPL";#N/A,#N/A,FALSE,"REK-TPML";#N/A,#N/A,FALSE,"RAB-TEMPEL"}</definedName>
    <definedName name="ato" localSheetId="19" hidden="1">{#N/A,#N/A,FALSE,"REK-S-TPL";#N/A,#N/A,FALSE,"REK-TPML";#N/A,#N/A,FALSE,"RAB-TEMPEL"}</definedName>
    <definedName name="ato" localSheetId="26" hidden="1">{#N/A,#N/A,FALSE,"REK-S-TPL";#N/A,#N/A,FALSE,"REK-TPML";#N/A,#N/A,FALSE,"RAB-TEMPEL"}</definedName>
    <definedName name="ato" localSheetId="24" hidden="1">{#N/A,#N/A,FALSE,"REK-S-TPL";#N/A,#N/A,FALSE,"REK-TPML";#N/A,#N/A,FALSE,"RAB-TEMPEL"}</definedName>
    <definedName name="ato" localSheetId="32" hidden="1">{#N/A,#N/A,FALSE,"REK-S-TPL";#N/A,#N/A,FALSE,"REK-TPML";#N/A,#N/A,FALSE,"RAB-TEMPEL"}</definedName>
    <definedName name="ato" localSheetId="27" hidden="1">{#N/A,#N/A,FALSE,"REK-S-TPL";#N/A,#N/A,FALSE,"REK-TPML";#N/A,#N/A,FALSE,"RAB-TEMPEL"}</definedName>
    <definedName name="ato" localSheetId="28" hidden="1">{#N/A,#N/A,FALSE,"REK-S-TPL";#N/A,#N/A,FALSE,"REK-TPML";#N/A,#N/A,FALSE,"RAB-TEMPEL"}</definedName>
    <definedName name="ato" localSheetId="29" hidden="1">{#N/A,#N/A,FALSE,"REK-S-TPL";#N/A,#N/A,FALSE,"REK-TPML";#N/A,#N/A,FALSE,"RAB-TEMPEL"}</definedName>
    <definedName name="ato" localSheetId="31" hidden="1">{#N/A,#N/A,FALSE,"REK-S-TPL";#N/A,#N/A,FALSE,"REK-TPML";#N/A,#N/A,FALSE,"RAB-TEMPEL"}</definedName>
    <definedName name="ato" localSheetId="30" hidden="1">{#N/A,#N/A,FALSE,"REK-S-TPL";#N/A,#N/A,FALSE,"REK-TPML";#N/A,#N/A,FALSE,"RAB-TEMPEL"}</definedName>
    <definedName name="ato" localSheetId="17" hidden="1">{#N/A,#N/A,FALSE,"REK-S-TPL";#N/A,#N/A,FALSE,"REK-TPML";#N/A,#N/A,FALSE,"RAB-TEMPEL"}</definedName>
    <definedName name="ato" localSheetId="18" hidden="1">{#N/A,#N/A,FALSE,"REK-S-TPL";#N/A,#N/A,FALSE,"REK-TPML";#N/A,#N/A,FALSE,"RAB-TEMPEL"}</definedName>
    <definedName name="ato" hidden="1">{#N/A,#N/A,FALSE,"REK-S-TPL";#N/A,#N/A,FALSE,"REK-TPML";#N/A,#N/A,FALSE,"RAB-TEMPEL"}</definedName>
    <definedName name="ATPASBATU" localSheetId="20" hidden="1">{"'Sheet1'!$A$1"}</definedName>
    <definedName name="ATPASBATU" localSheetId="19" hidden="1">{"'Sheet1'!$A$1"}</definedName>
    <definedName name="ATPASBATU" localSheetId="26" hidden="1">{"'Sheet1'!$A$1"}</definedName>
    <definedName name="ATPASBATU" localSheetId="24" hidden="1">{"'Sheet1'!$A$1"}</definedName>
    <definedName name="ATPASBATU" localSheetId="32" hidden="1">{"'Sheet1'!$A$1"}</definedName>
    <definedName name="ATPASBATU" localSheetId="27" hidden="1">{"'Sheet1'!$A$1"}</definedName>
    <definedName name="ATPASBATU" localSheetId="28" hidden="1">{"'Sheet1'!$A$1"}</definedName>
    <definedName name="ATPASBATU" localSheetId="29" hidden="1">{"'Sheet1'!$A$1"}</definedName>
    <definedName name="ATPASBATU" localSheetId="31" hidden="1">{"'Sheet1'!$A$1"}</definedName>
    <definedName name="ATPASBATU" localSheetId="30" hidden="1">{"'Sheet1'!$A$1"}</definedName>
    <definedName name="ATPASBATU" localSheetId="17" hidden="1">{"'Sheet1'!$A$1"}</definedName>
    <definedName name="ATPASBATU" localSheetId="18" hidden="1">{"'Sheet1'!$A$1"}</definedName>
    <definedName name="ATPASBATU" hidden="1">{"'Sheet1'!$A$1"}</definedName>
    <definedName name="atpasbatu2" localSheetId="20" hidden="1">{"'Sheet1'!$A$1"}</definedName>
    <definedName name="atpasbatu2" localSheetId="19" hidden="1">{"'Sheet1'!$A$1"}</definedName>
    <definedName name="atpasbatu2" localSheetId="26" hidden="1">{"'Sheet1'!$A$1"}</definedName>
    <definedName name="atpasbatu2" localSheetId="24" hidden="1">{"'Sheet1'!$A$1"}</definedName>
    <definedName name="atpasbatu2" localSheetId="32" hidden="1">{"'Sheet1'!$A$1"}</definedName>
    <definedName name="atpasbatu2" localSheetId="27" hidden="1">{"'Sheet1'!$A$1"}</definedName>
    <definedName name="atpasbatu2" localSheetId="28" hidden="1">{"'Sheet1'!$A$1"}</definedName>
    <definedName name="atpasbatu2" localSheetId="29" hidden="1">{"'Sheet1'!$A$1"}</definedName>
    <definedName name="atpasbatu2" localSheetId="31" hidden="1">{"'Sheet1'!$A$1"}</definedName>
    <definedName name="atpasbatu2" localSheetId="30" hidden="1">{"'Sheet1'!$A$1"}</definedName>
    <definedName name="atpasbatu2" localSheetId="17" hidden="1">{"'Sheet1'!$A$1"}</definedName>
    <definedName name="atpasbatu2" localSheetId="18" hidden="1">{"'Sheet1'!$A$1"}</definedName>
    <definedName name="atpasbatu2" hidden="1">{"'Sheet1'!$A$1"}</definedName>
    <definedName name="awdfgdf" hidden="1">#REF!</definedName>
    <definedName name="AWERER" localSheetId="42" hidden="1">#REF!</definedName>
    <definedName name="AWERER" hidden="1">#REF!</definedName>
    <definedName name="awert" localSheetId="20" hidden="1">{#N/A,#N/A,FALSE,"REK";#N/A,#N/A,FALSE,"rab"}</definedName>
    <definedName name="awert" localSheetId="19" hidden="1">{#N/A,#N/A,FALSE,"REK";#N/A,#N/A,FALSE,"rab"}</definedName>
    <definedName name="awert" localSheetId="26" hidden="1">{#N/A,#N/A,FALSE,"REK";#N/A,#N/A,FALSE,"rab"}</definedName>
    <definedName name="awert" localSheetId="24" hidden="1">{#N/A,#N/A,FALSE,"REK";#N/A,#N/A,FALSE,"rab"}</definedName>
    <definedName name="awert" localSheetId="32" hidden="1">{#N/A,#N/A,FALSE,"REK";#N/A,#N/A,FALSE,"rab"}</definedName>
    <definedName name="awert" localSheetId="27" hidden="1">{#N/A,#N/A,FALSE,"REK";#N/A,#N/A,FALSE,"rab"}</definedName>
    <definedName name="awert" localSheetId="28" hidden="1">{#N/A,#N/A,FALSE,"REK";#N/A,#N/A,FALSE,"rab"}</definedName>
    <definedName name="awert" localSheetId="29" hidden="1">{#N/A,#N/A,FALSE,"REK";#N/A,#N/A,FALSE,"rab"}</definedName>
    <definedName name="awert" localSheetId="31" hidden="1">{#N/A,#N/A,FALSE,"REK";#N/A,#N/A,FALSE,"rab"}</definedName>
    <definedName name="awert" localSheetId="30" hidden="1">{#N/A,#N/A,FALSE,"REK";#N/A,#N/A,FALSE,"rab"}</definedName>
    <definedName name="awert" localSheetId="17" hidden="1">{#N/A,#N/A,FALSE,"REK";#N/A,#N/A,FALSE,"rab"}</definedName>
    <definedName name="awert" localSheetId="18" hidden="1">{#N/A,#N/A,FALSE,"REK";#N/A,#N/A,FALSE,"rab"}</definedName>
    <definedName name="awert" hidden="1">{#N/A,#N/A,FALSE,"REK";#N/A,#N/A,FALSE,"rab"}</definedName>
    <definedName name="AWERYGT" localSheetId="20" hidden="1">{#N/A,#N/A,FALSE,"REK";#N/A,#N/A,FALSE,"rab"}</definedName>
    <definedName name="AWERYGT" localSheetId="19" hidden="1">{#N/A,#N/A,FALSE,"REK";#N/A,#N/A,FALSE,"rab"}</definedName>
    <definedName name="AWERYGT" localSheetId="26" hidden="1">{#N/A,#N/A,FALSE,"REK";#N/A,#N/A,FALSE,"rab"}</definedName>
    <definedName name="AWERYGT" localSheetId="24" hidden="1">{#N/A,#N/A,FALSE,"REK";#N/A,#N/A,FALSE,"rab"}</definedName>
    <definedName name="AWERYGT" localSheetId="32" hidden="1">{#N/A,#N/A,FALSE,"REK";#N/A,#N/A,FALSE,"rab"}</definedName>
    <definedName name="AWERYGT" localSheetId="27" hidden="1">{#N/A,#N/A,FALSE,"REK";#N/A,#N/A,FALSE,"rab"}</definedName>
    <definedName name="AWERYGT" localSheetId="28" hidden="1">{#N/A,#N/A,FALSE,"REK";#N/A,#N/A,FALSE,"rab"}</definedName>
    <definedName name="AWERYGT" localSheetId="29" hidden="1">{#N/A,#N/A,FALSE,"REK";#N/A,#N/A,FALSE,"rab"}</definedName>
    <definedName name="AWERYGT" localSheetId="31" hidden="1">{#N/A,#N/A,FALSE,"REK";#N/A,#N/A,FALSE,"rab"}</definedName>
    <definedName name="AWERYGT" localSheetId="30" hidden="1">{#N/A,#N/A,FALSE,"REK";#N/A,#N/A,FALSE,"rab"}</definedName>
    <definedName name="AWERYGT" localSheetId="17" hidden="1">{#N/A,#N/A,FALSE,"REK";#N/A,#N/A,FALSE,"rab"}</definedName>
    <definedName name="AWERYGT" localSheetId="18" hidden="1">{#N/A,#N/A,FALSE,"REK";#N/A,#N/A,FALSE,"rab"}</definedName>
    <definedName name="AWERYGT" hidden="1">{#N/A,#N/A,FALSE,"REK";#N/A,#N/A,FALSE,"rab"}</definedName>
    <definedName name="awet" localSheetId="20" hidden="1">{#N/A,#N/A,FALSE,"REK-S-TPL";#N/A,#N/A,FALSE,"REK-TPML";#N/A,#N/A,FALSE,"RAB-TEMPEL"}</definedName>
    <definedName name="awet" localSheetId="19" hidden="1">{#N/A,#N/A,FALSE,"REK-S-TPL";#N/A,#N/A,FALSE,"REK-TPML";#N/A,#N/A,FALSE,"RAB-TEMPEL"}</definedName>
    <definedName name="awet" localSheetId="26" hidden="1">{#N/A,#N/A,FALSE,"REK-S-TPL";#N/A,#N/A,FALSE,"REK-TPML";#N/A,#N/A,FALSE,"RAB-TEMPEL"}</definedName>
    <definedName name="awet" localSheetId="24" hidden="1">{#N/A,#N/A,FALSE,"REK-S-TPL";#N/A,#N/A,FALSE,"REK-TPML";#N/A,#N/A,FALSE,"RAB-TEMPEL"}</definedName>
    <definedName name="awet" localSheetId="32" hidden="1">{#N/A,#N/A,FALSE,"REK-S-TPL";#N/A,#N/A,FALSE,"REK-TPML";#N/A,#N/A,FALSE,"RAB-TEMPEL"}</definedName>
    <definedName name="awet" localSheetId="27" hidden="1">{#N/A,#N/A,FALSE,"REK-S-TPL";#N/A,#N/A,FALSE,"REK-TPML";#N/A,#N/A,FALSE,"RAB-TEMPEL"}</definedName>
    <definedName name="awet" localSheetId="28" hidden="1">{#N/A,#N/A,FALSE,"REK-S-TPL";#N/A,#N/A,FALSE,"REK-TPML";#N/A,#N/A,FALSE,"RAB-TEMPEL"}</definedName>
    <definedName name="awet" localSheetId="29" hidden="1">{#N/A,#N/A,FALSE,"REK-S-TPL";#N/A,#N/A,FALSE,"REK-TPML";#N/A,#N/A,FALSE,"RAB-TEMPEL"}</definedName>
    <definedName name="awet" localSheetId="31" hidden="1">{#N/A,#N/A,FALSE,"REK-S-TPL";#N/A,#N/A,FALSE,"REK-TPML";#N/A,#N/A,FALSE,"RAB-TEMPEL"}</definedName>
    <definedName name="awet" localSheetId="30" hidden="1">{#N/A,#N/A,FALSE,"REK-S-TPL";#N/A,#N/A,FALSE,"REK-TPML";#N/A,#N/A,FALSE,"RAB-TEMPEL"}</definedName>
    <definedName name="awet" localSheetId="17" hidden="1">{#N/A,#N/A,FALSE,"REK-S-TPL";#N/A,#N/A,FALSE,"REK-TPML";#N/A,#N/A,FALSE,"RAB-TEMPEL"}</definedName>
    <definedName name="awet" localSheetId="18" hidden="1">{#N/A,#N/A,FALSE,"REK-S-TPL";#N/A,#N/A,FALSE,"REK-TPML";#N/A,#N/A,FALSE,"RAB-TEMPEL"}</definedName>
    <definedName name="awet" hidden="1">{#N/A,#N/A,FALSE,"REK-S-TPL";#N/A,#N/A,FALSE,"REK-TPML";#N/A,#N/A,FALSE,"RAB-TEMPEL"}</definedName>
    <definedName name="ax" localSheetId="20" hidden="1">{#N/A,#N/A,FALSE,"REK";#N/A,#N/A,FALSE,"Bq-ARS"}</definedName>
    <definedName name="ax" localSheetId="19" hidden="1">{#N/A,#N/A,FALSE,"REK";#N/A,#N/A,FALSE,"Bq-ARS"}</definedName>
    <definedName name="ax" localSheetId="26" hidden="1">{#N/A,#N/A,FALSE,"REK";#N/A,#N/A,FALSE,"Bq-ARS"}</definedName>
    <definedName name="ax" localSheetId="23" hidden="1">{#N/A,#N/A,FALSE,"REK";#N/A,#N/A,FALSE,"Bq-ARS"}</definedName>
    <definedName name="ax" localSheetId="24" hidden="1">{#N/A,#N/A,FALSE,"REK";#N/A,#N/A,FALSE,"Bq-ARS"}</definedName>
    <definedName name="ax" localSheetId="32" hidden="1">{#N/A,#N/A,FALSE,"REK";#N/A,#N/A,FALSE,"Bq-ARS"}</definedName>
    <definedName name="ax" localSheetId="27" hidden="1">{#N/A,#N/A,FALSE,"REK";#N/A,#N/A,FALSE,"Bq-ARS"}</definedName>
    <definedName name="ax" localSheetId="28" hidden="1">{#N/A,#N/A,FALSE,"REK";#N/A,#N/A,FALSE,"Bq-ARS"}</definedName>
    <definedName name="ax" localSheetId="29" hidden="1">{#N/A,#N/A,FALSE,"REK";#N/A,#N/A,FALSE,"Bq-ARS"}</definedName>
    <definedName name="ax" localSheetId="31" hidden="1">{#N/A,#N/A,FALSE,"REK";#N/A,#N/A,FALSE,"Bq-ARS"}</definedName>
    <definedName name="ax" localSheetId="30" hidden="1">{#N/A,#N/A,FALSE,"REK";#N/A,#N/A,FALSE,"Bq-ARS"}</definedName>
    <definedName name="ax" localSheetId="13" hidden="1">{#N/A,#N/A,FALSE,"REK";#N/A,#N/A,FALSE,"Bq-ARS"}</definedName>
    <definedName name="ax" localSheetId="17" hidden="1">{#N/A,#N/A,FALSE,"REK";#N/A,#N/A,FALSE,"Bq-ARS"}</definedName>
    <definedName name="ax" localSheetId="18" hidden="1">{#N/A,#N/A,FALSE,"REK";#N/A,#N/A,FALSE,"Bq-ARS"}</definedName>
    <definedName name="ax" localSheetId="22" hidden="1">{#N/A,#N/A,FALSE,"REK";#N/A,#N/A,FALSE,"Bq-ARS"}</definedName>
    <definedName name="ax" localSheetId="40" hidden="1">{#N/A,#N/A,FALSE,"REK";#N/A,#N/A,FALSE,"Bq-ARS"}</definedName>
    <definedName name="ax" localSheetId="41" hidden="1">{#N/A,#N/A,FALSE,"REK";#N/A,#N/A,FALSE,"Bq-ARS"}</definedName>
    <definedName name="ax" localSheetId="42" hidden="1">{#N/A,#N/A,FALSE,"REK";#N/A,#N/A,FALSE,"Bq-ARS"}</definedName>
    <definedName name="ax" localSheetId="35" hidden="1">{#N/A,#N/A,FALSE,"REK";#N/A,#N/A,FALSE,"Bq-ARS"}</definedName>
    <definedName name="ax" localSheetId="38" hidden="1">{#N/A,#N/A,FALSE,"REK";#N/A,#N/A,FALSE,"Bq-ARS"}</definedName>
    <definedName name="ax" hidden="1">{#N/A,#N/A,FALSE,"REK";#N/A,#N/A,FALSE,"Bq-ARS"}</definedName>
    <definedName name="axax" localSheetId="20" hidden="1">{#N/A,#N/A,FALSE,"CCTV"}</definedName>
    <definedName name="axax" localSheetId="19" hidden="1">{#N/A,#N/A,FALSE,"CCTV"}</definedName>
    <definedName name="axax" localSheetId="26" hidden="1">{#N/A,#N/A,FALSE,"CCTV"}</definedName>
    <definedName name="axax" localSheetId="24" hidden="1">{#N/A,#N/A,FALSE,"CCTV"}</definedName>
    <definedName name="axax" localSheetId="32" hidden="1">{#N/A,#N/A,FALSE,"CCTV"}</definedName>
    <definedName name="axax" localSheetId="27" hidden="1">{#N/A,#N/A,FALSE,"CCTV"}</definedName>
    <definedName name="axax" localSheetId="28" hidden="1">{#N/A,#N/A,FALSE,"CCTV"}</definedName>
    <definedName name="axax" localSheetId="29" hidden="1">{#N/A,#N/A,FALSE,"CCTV"}</definedName>
    <definedName name="axax" localSheetId="31" hidden="1">{#N/A,#N/A,FALSE,"CCTV"}</definedName>
    <definedName name="axax" localSheetId="30" hidden="1">{#N/A,#N/A,FALSE,"CCTV"}</definedName>
    <definedName name="axax" localSheetId="17" hidden="1">{#N/A,#N/A,FALSE,"CCTV"}</definedName>
    <definedName name="axax" localSheetId="18" hidden="1">{#N/A,#N/A,FALSE,"CCTV"}</definedName>
    <definedName name="axax" hidden="1">{#N/A,#N/A,FALSE,"CCTV"}</definedName>
    <definedName name="az" localSheetId="20" hidden="1">{#N/A,#N/A,FALSE,"CCTV"}</definedName>
    <definedName name="az" localSheetId="19" hidden="1">{#N/A,#N/A,FALSE,"CCTV"}</definedName>
    <definedName name="az" localSheetId="26" hidden="1">{#N/A,#N/A,FALSE,"CCTV"}</definedName>
    <definedName name="az" localSheetId="24" hidden="1">{#N/A,#N/A,FALSE,"CCTV"}</definedName>
    <definedName name="az" localSheetId="32" hidden="1">{#N/A,#N/A,FALSE,"CCTV"}</definedName>
    <definedName name="az" localSheetId="27" hidden="1">{#N/A,#N/A,FALSE,"CCTV"}</definedName>
    <definedName name="az" localSheetId="28" hidden="1">{#N/A,#N/A,FALSE,"CCTV"}</definedName>
    <definedName name="az" localSheetId="29" hidden="1">{#N/A,#N/A,FALSE,"CCTV"}</definedName>
    <definedName name="az" localSheetId="31" hidden="1">{#N/A,#N/A,FALSE,"CCTV"}</definedName>
    <definedName name="az" localSheetId="30" hidden="1">{#N/A,#N/A,FALSE,"CCTV"}</definedName>
    <definedName name="az" localSheetId="17" hidden="1">{#N/A,#N/A,FALSE,"CCTV"}</definedName>
    <definedName name="az" localSheetId="18" hidden="1">{#N/A,#N/A,FALSE,"CCTV"}</definedName>
    <definedName name="az" hidden="1">{#N/A,#N/A,FALSE,"CCTV"}</definedName>
    <definedName name="Baru" localSheetId="32" hidden="1">#REF!</definedName>
    <definedName name="Baru" hidden="1">#REF!</definedName>
    <definedName name="bb" localSheetId="2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b" localSheetId="1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b" localSheetId="3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b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b" localSheetId="2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b" localSheetId="3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b" localSheetId="3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b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b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b" localSheetId="1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BB" localSheetId="20" hidden="1">{#N/A,#N/A,FALSE,"REK";#N/A,#N/A,FALSE,"Bq-ARS"}</definedName>
    <definedName name="BBB" localSheetId="19" hidden="1">{#N/A,#N/A,FALSE,"REK";#N/A,#N/A,FALSE,"Bq-ARS"}</definedName>
    <definedName name="BBB" localSheetId="32" hidden="1">{#N/A,#N/A,FALSE,"REK";#N/A,#N/A,FALSE,"Bq-ARS"}</definedName>
    <definedName name="BBB" localSheetId="27" hidden="1">{#N/A,#N/A,FALSE,"REK";#N/A,#N/A,FALSE,"Bq-ARS"}</definedName>
    <definedName name="BBB" localSheetId="28" hidden="1">{#N/A,#N/A,FALSE,"REK";#N/A,#N/A,FALSE,"Bq-ARS"}</definedName>
    <definedName name="BBB" localSheetId="31" hidden="1">{#N/A,#N/A,FALSE,"REK";#N/A,#N/A,FALSE,"Bq-ARS"}</definedName>
    <definedName name="BBB" localSheetId="30" hidden="1">{#N/A,#N/A,FALSE,"REK";#N/A,#N/A,FALSE,"Bq-ARS"}</definedName>
    <definedName name="BBB" localSheetId="13" hidden="1">{#N/A,#N/A,FALSE,"REK";#N/A,#N/A,FALSE,"Bq-ARS"}</definedName>
    <definedName name="BBB" localSheetId="17" hidden="1">{#N/A,#N/A,FALSE,"REK";#N/A,#N/A,FALSE,"Bq-ARS"}</definedName>
    <definedName name="BBB" localSheetId="18" hidden="1">{#N/A,#N/A,FALSE,"REK";#N/A,#N/A,FALSE,"Bq-ARS"}</definedName>
    <definedName name="bbbbbbbbbbbbb" localSheetId="27" hidden="1">#REF!</definedName>
    <definedName name="bbbbbbbbbbbbb" hidden="1">#REF!</definedName>
    <definedName name="bcfgs" localSheetId="20" hidden="1">{"'Sheet1'!$A$1"}</definedName>
    <definedName name="bcfgs" localSheetId="19" hidden="1">{"'Sheet1'!$A$1"}</definedName>
    <definedName name="bcfgs" localSheetId="26" hidden="1">{"'Sheet1'!$A$1"}</definedName>
    <definedName name="bcfgs" localSheetId="24" hidden="1">{"'Sheet1'!$A$1"}</definedName>
    <definedName name="bcfgs" localSheetId="32" hidden="1">{"'Sheet1'!$A$1"}</definedName>
    <definedName name="bcfgs" localSheetId="27" hidden="1">{"'Sheet1'!$A$1"}</definedName>
    <definedName name="bcfgs" localSheetId="28" hidden="1">{"'Sheet1'!$A$1"}</definedName>
    <definedName name="bcfgs" localSheetId="29" hidden="1">{"'Sheet1'!$A$1"}</definedName>
    <definedName name="bcfgs" localSheetId="31" hidden="1">{"'Sheet1'!$A$1"}</definedName>
    <definedName name="bcfgs" localSheetId="30" hidden="1">{"'Sheet1'!$A$1"}</definedName>
    <definedName name="bcfgs" localSheetId="17" hidden="1">{"'Sheet1'!$A$1"}</definedName>
    <definedName name="bcfgs" localSheetId="18" hidden="1">{"'Sheet1'!$A$1"}</definedName>
    <definedName name="bcfgs" hidden="1">{"'Sheet1'!$A$1"}</definedName>
    <definedName name="bdgsh" hidden="1">#REF!</definedName>
    <definedName name="bdh" localSheetId="20" hidden="1">{"'Sheet1'!$A$1"}</definedName>
    <definedName name="bdh" localSheetId="19" hidden="1">{"'Sheet1'!$A$1"}</definedName>
    <definedName name="bdh" localSheetId="26" hidden="1">{"'Sheet1'!$A$1"}</definedName>
    <definedName name="bdh" localSheetId="24" hidden="1">{"'Sheet1'!$A$1"}</definedName>
    <definedName name="bdh" localSheetId="32" hidden="1">{"'Sheet1'!$A$1"}</definedName>
    <definedName name="bdh" localSheetId="27" hidden="1">{"'Sheet1'!$A$1"}</definedName>
    <definedName name="bdh" localSheetId="28" hidden="1">{"'Sheet1'!$A$1"}</definedName>
    <definedName name="bdh" localSheetId="29" hidden="1">{"'Sheet1'!$A$1"}</definedName>
    <definedName name="bdh" localSheetId="31" hidden="1">{"'Sheet1'!$A$1"}</definedName>
    <definedName name="bdh" localSheetId="30" hidden="1">{"'Sheet1'!$A$1"}</definedName>
    <definedName name="bdh" localSheetId="17" hidden="1">{"'Sheet1'!$A$1"}</definedName>
    <definedName name="bdh" localSheetId="18" hidden="1">{"'Sheet1'!$A$1"}</definedName>
    <definedName name="bdh" hidden="1">{"'Sheet1'!$A$1"}</definedName>
    <definedName name="BEBASN" localSheetId="20" hidden="1">{"'1996'!$A$1:$J$272"}</definedName>
    <definedName name="BEBASN" localSheetId="19" hidden="1">{"'1996'!$A$1:$J$272"}</definedName>
    <definedName name="BEBASN" localSheetId="26" hidden="1">{"'1996'!$A$1:$J$272"}</definedName>
    <definedName name="BEBASN" localSheetId="24" hidden="1">{"'1996'!$A$1:$J$272"}</definedName>
    <definedName name="BEBASN" localSheetId="32" hidden="1">{"'1996'!$A$1:$J$272"}</definedName>
    <definedName name="BEBASN" localSheetId="27" hidden="1">{"'1996'!$A$1:$J$272"}</definedName>
    <definedName name="BEBASN" localSheetId="28" hidden="1">{"'1996'!$A$1:$J$272"}</definedName>
    <definedName name="BEBASN" localSheetId="29" hidden="1">{"'1996'!$A$1:$J$272"}</definedName>
    <definedName name="BEBASN" localSheetId="31" hidden="1">{"'1996'!$A$1:$J$272"}</definedName>
    <definedName name="BEBASN" localSheetId="30" hidden="1">{"'1996'!$A$1:$J$272"}</definedName>
    <definedName name="BEBASN" localSheetId="17" hidden="1">{"'1996'!$A$1:$J$272"}</definedName>
    <definedName name="BEBASN" localSheetId="18" hidden="1">{"'1996'!$A$1:$J$272"}</definedName>
    <definedName name="BEBASN" hidden="1">{"'1996'!$A$1:$J$272"}</definedName>
    <definedName name="bebe" localSheetId="20" hidden="1">{"'Sheet1'!$A$1"}</definedName>
    <definedName name="bebe" localSheetId="19" hidden="1">{"'Sheet1'!$A$1"}</definedName>
    <definedName name="bebe" localSheetId="26" hidden="1">{"'Sheet1'!$A$1"}</definedName>
    <definedName name="bebe" localSheetId="24" hidden="1">{"'Sheet1'!$A$1"}</definedName>
    <definedName name="bebe" localSheetId="32" hidden="1">{"'Sheet1'!$A$1"}</definedName>
    <definedName name="bebe" localSheetId="27" hidden="1">{"'Sheet1'!$A$1"}</definedName>
    <definedName name="bebe" localSheetId="28" hidden="1">{"'Sheet1'!$A$1"}</definedName>
    <definedName name="bebe" localSheetId="29" hidden="1">{"'Sheet1'!$A$1"}</definedName>
    <definedName name="bebe" localSheetId="31" hidden="1">{"'Sheet1'!$A$1"}</definedName>
    <definedName name="bebe" localSheetId="30" hidden="1">{"'Sheet1'!$A$1"}</definedName>
    <definedName name="bebe" localSheetId="17" hidden="1">{"'Sheet1'!$A$1"}</definedName>
    <definedName name="bebe" localSheetId="18" hidden="1">{"'Sheet1'!$A$1"}</definedName>
    <definedName name="bebe" hidden="1">{"'Sheet1'!$A$1"}</definedName>
    <definedName name="benco" localSheetId="20" hidden="1">{#N/A,#N/A,FALSE,"REK-S-TPL";#N/A,#N/A,FALSE,"REK-TPML";#N/A,#N/A,FALSE,"RAB-TEMPEL"}</definedName>
    <definedName name="benco" localSheetId="19" hidden="1">{#N/A,#N/A,FALSE,"REK-S-TPL";#N/A,#N/A,FALSE,"REK-TPML";#N/A,#N/A,FALSE,"RAB-TEMPEL"}</definedName>
    <definedName name="benco" localSheetId="26" hidden="1">{#N/A,#N/A,FALSE,"REK-S-TPL";#N/A,#N/A,FALSE,"REK-TPML";#N/A,#N/A,FALSE,"RAB-TEMPEL"}</definedName>
    <definedName name="benco" localSheetId="24" hidden="1">{#N/A,#N/A,FALSE,"REK-S-TPL";#N/A,#N/A,FALSE,"REK-TPML";#N/A,#N/A,FALSE,"RAB-TEMPEL"}</definedName>
    <definedName name="benco" localSheetId="32" hidden="1">{#N/A,#N/A,FALSE,"REK-S-TPL";#N/A,#N/A,FALSE,"REK-TPML";#N/A,#N/A,FALSE,"RAB-TEMPEL"}</definedName>
    <definedName name="benco" localSheetId="27" hidden="1">{#N/A,#N/A,FALSE,"REK-S-TPL";#N/A,#N/A,FALSE,"REK-TPML";#N/A,#N/A,FALSE,"RAB-TEMPEL"}</definedName>
    <definedName name="benco" localSheetId="28" hidden="1">{#N/A,#N/A,FALSE,"REK-S-TPL";#N/A,#N/A,FALSE,"REK-TPML";#N/A,#N/A,FALSE,"RAB-TEMPEL"}</definedName>
    <definedName name="benco" localSheetId="29" hidden="1">{#N/A,#N/A,FALSE,"REK-S-TPL";#N/A,#N/A,FALSE,"REK-TPML";#N/A,#N/A,FALSE,"RAB-TEMPEL"}</definedName>
    <definedName name="benco" localSheetId="31" hidden="1">{#N/A,#N/A,FALSE,"REK-S-TPL";#N/A,#N/A,FALSE,"REK-TPML";#N/A,#N/A,FALSE,"RAB-TEMPEL"}</definedName>
    <definedName name="benco" localSheetId="30" hidden="1">{#N/A,#N/A,FALSE,"REK-S-TPL";#N/A,#N/A,FALSE,"REK-TPML";#N/A,#N/A,FALSE,"RAB-TEMPEL"}</definedName>
    <definedName name="benco" localSheetId="17" hidden="1">{#N/A,#N/A,FALSE,"REK-S-TPL";#N/A,#N/A,FALSE,"REK-TPML";#N/A,#N/A,FALSE,"RAB-TEMPEL"}</definedName>
    <definedName name="benco" localSheetId="18" hidden="1">{#N/A,#N/A,FALSE,"REK-S-TPL";#N/A,#N/A,FALSE,"REK-TPML";#N/A,#N/A,FALSE,"RAB-TEMPEL"}</definedName>
    <definedName name="benco" hidden="1">{#N/A,#N/A,FALSE,"REK-S-TPL";#N/A,#N/A,FALSE,"REK-TPML";#N/A,#N/A,FALSE,"RAB-TEMPEL"}</definedName>
    <definedName name="bento" localSheetId="20" hidden="1">{#N/A,#N/A,FALSE,"REK";#N/A,#N/A,FALSE,"rab"}</definedName>
    <definedName name="bento" localSheetId="19" hidden="1">{#N/A,#N/A,FALSE,"REK";#N/A,#N/A,FALSE,"rab"}</definedName>
    <definedName name="bento" localSheetId="26" hidden="1">{#N/A,#N/A,FALSE,"REK";#N/A,#N/A,FALSE,"rab"}</definedName>
    <definedName name="bento" localSheetId="24" hidden="1">{#N/A,#N/A,FALSE,"REK";#N/A,#N/A,FALSE,"rab"}</definedName>
    <definedName name="bento" localSheetId="32" hidden="1">{#N/A,#N/A,FALSE,"REK";#N/A,#N/A,FALSE,"rab"}</definedName>
    <definedName name="bento" localSheetId="27" hidden="1">{#N/A,#N/A,FALSE,"REK";#N/A,#N/A,FALSE,"rab"}</definedName>
    <definedName name="bento" localSheetId="28" hidden="1">{#N/A,#N/A,FALSE,"REK";#N/A,#N/A,FALSE,"rab"}</definedName>
    <definedName name="bento" localSheetId="29" hidden="1">{#N/A,#N/A,FALSE,"REK";#N/A,#N/A,FALSE,"rab"}</definedName>
    <definedName name="bento" localSheetId="31" hidden="1">{#N/A,#N/A,FALSE,"REK";#N/A,#N/A,FALSE,"rab"}</definedName>
    <definedName name="bento" localSheetId="30" hidden="1">{#N/A,#N/A,FALSE,"REK";#N/A,#N/A,FALSE,"rab"}</definedName>
    <definedName name="bento" localSheetId="17" hidden="1">{#N/A,#N/A,FALSE,"REK";#N/A,#N/A,FALSE,"rab"}</definedName>
    <definedName name="bento" localSheetId="18" hidden="1">{#N/A,#N/A,FALSE,"REK";#N/A,#N/A,FALSE,"rab"}</definedName>
    <definedName name="bento" hidden="1">{#N/A,#N/A,FALSE,"REK";#N/A,#N/A,FALSE,"rab"}</definedName>
    <definedName name="bfbfdhfdhdfgh" localSheetId="20" hidden="1">{#N/A,#N/A,FALSE,"CCTV"}</definedName>
    <definedName name="bfbfdhfdhdfgh" localSheetId="19" hidden="1">{#N/A,#N/A,FALSE,"CCTV"}</definedName>
    <definedName name="bfbfdhfdhdfgh" localSheetId="26" hidden="1">{#N/A,#N/A,FALSE,"CCTV"}</definedName>
    <definedName name="bfbfdhfdhdfgh" localSheetId="24" hidden="1">{#N/A,#N/A,FALSE,"CCTV"}</definedName>
    <definedName name="bfbfdhfdhdfgh" localSheetId="32" hidden="1">{#N/A,#N/A,FALSE,"CCTV"}</definedName>
    <definedName name="bfbfdhfdhdfgh" localSheetId="27" hidden="1">{#N/A,#N/A,FALSE,"CCTV"}</definedName>
    <definedName name="bfbfdhfdhdfgh" localSheetId="28" hidden="1">{#N/A,#N/A,FALSE,"CCTV"}</definedName>
    <definedName name="bfbfdhfdhdfgh" localSheetId="29" hidden="1">{#N/A,#N/A,FALSE,"CCTV"}</definedName>
    <definedName name="bfbfdhfdhdfgh" localSheetId="31" hidden="1">{#N/A,#N/A,FALSE,"CCTV"}</definedName>
    <definedName name="bfbfdhfdhdfgh" localSheetId="30" hidden="1">{#N/A,#N/A,FALSE,"CCTV"}</definedName>
    <definedName name="bfbfdhfdhdfgh" localSheetId="17" hidden="1">{#N/A,#N/A,FALSE,"CCTV"}</definedName>
    <definedName name="bfbfdhfdhdfgh" localSheetId="18" hidden="1">{#N/A,#N/A,FALSE,"CCTV"}</definedName>
    <definedName name="bfbfdhfdhdfgh" hidden="1">{#N/A,#N/A,FALSE,"CCTV"}</definedName>
    <definedName name="BFDFB" localSheetId="2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FDFB" localSheetId="1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FDFB" localSheetId="2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FDFB" localSheetId="2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FDFB" localSheetId="3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FDFB" localSheetId="2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FDFB" localSheetId="2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FDFB" localSheetId="2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FDFB" localSheetId="3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FDFB" localSheetId="3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FDFB" localSheetId="1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FDFB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FDFB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FGDH" localSheetId="20" hidden="1">{"'Sheet1'!$A$1"}</definedName>
    <definedName name="BFGDH" localSheetId="19" hidden="1">{"'Sheet1'!$A$1"}</definedName>
    <definedName name="BFGDH" localSheetId="26" hidden="1">{"'Sheet1'!$A$1"}</definedName>
    <definedName name="BFGDH" localSheetId="24" hidden="1">{"'Sheet1'!$A$1"}</definedName>
    <definedName name="BFGDH" localSheetId="32" hidden="1">{"'Sheet1'!$A$1"}</definedName>
    <definedName name="BFGDH" localSheetId="27" hidden="1">{"'Sheet1'!$A$1"}</definedName>
    <definedName name="BFGDH" localSheetId="28" hidden="1">{"'Sheet1'!$A$1"}</definedName>
    <definedName name="BFGDH" localSheetId="29" hidden="1">{"'Sheet1'!$A$1"}</definedName>
    <definedName name="BFGDH" localSheetId="31" hidden="1">{"'Sheet1'!$A$1"}</definedName>
    <definedName name="BFGDH" localSheetId="30" hidden="1">{"'Sheet1'!$A$1"}</definedName>
    <definedName name="BFGDH" localSheetId="17" hidden="1">{"'Sheet1'!$A$1"}</definedName>
    <definedName name="BFGDH" localSheetId="18" hidden="1">{"'Sheet1'!$A$1"}</definedName>
    <definedName name="BFGDH" hidden="1">{"'Sheet1'!$A$1"}</definedName>
    <definedName name="bg" localSheetId="20" hidden="1">{#N/A,#N/A,FALSE,"CCTV"}</definedName>
    <definedName name="bg" localSheetId="19" hidden="1">{#N/A,#N/A,FALSE,"CCTV"}</definedName>
    <definedName name="bg" localSheetId="26" hidden="1">{#N/A,#N/A,FALSE,"CCTV"}</definedName>
    <definedName name="bg" localSheetId="24" hidden="1">{#N/A,#N/A,FALSE,"CCTV"}</definedName>
    <definedName name="bg" localSheetId="32" hidden="1">{#N/A,#N/A,FALSE,"CCTV"}</definedName>
    <definedName name="bg" localSheetId="27" hidden="1">{#N/A,#N/A,FALSE,"CCTV"}</definedName>
    <definedName name="bg" localSheetId="28" hidden="1">{#N/A,#N/A,FALSE,"CCTV"}</definedName>
    <definedName name="bg" localSheetId="29" hidden="1">{#N/A,#N/A,FALSE,"CCTV"}</definedName>
    <definedName name="bg" localSheetId="31" hidden="1">{#N/A,#N/A,FALSE,"CCTV"}</definedName>
    <definedName name="bg" localSheetId="30" hidden="1">{#N/A,#N/A,FALSE,"CCTV"}</definedName>
    <definedName name="bg" localSheetId="17" hidden="1">{#N/A,#N/A,FALSE,"CCTV"}</definedName>
    <definedName name="bg" localSheetId="18" hidden="1">{#N/A,#N/A,FALSE,"CCTV"}</definedName>
    <definedName name="bg" hidden="1">{#N/A,#N/A,FALSE,"CCTV"}</definedName>
    <definedName name="BG_Del" hidden="1">15</definedName>
    <definedName name="BG_Ins" hidden="1">4</definedName>
    <definedName name="BG_Mod" hidden="1">6</definedName>
    <definedName name="BGF" localSheetId="20" hidden="1">{"'Sheet1'!$A$1"}</definedName>
    <definedName name="BGF" localSheetId="19" hidden="1">{"'Sheet1'!$A$1"}</definedName>
    <definedName name="BGF" localSheetId="26" hidden="1">{"'Sheet1'!$A$1"}</definedName>
    <definedName name="BGF" localSheetId="24" hidden="1">{"'Sheet1'!$A$1"}</definedName>
    <definedName name="BGF" localSheetId="32" hidden="1">{"'Sheet1'!$A$1"}</definedName>
    <definedName name="BGF" localSheetId="27" hidden="1">{"'Sheet1'!$A$1"}</definedName>
    <definedName name="BGF" localSheetId="28" hidden="1">{"'Sheet1'!$A$1"}</definedName>
    <definedName name="BGF" localSheetId="29" hidden="1">{"'Sheet1'!$A$1"}</definedName>
    <definedName name="BGF" localSheetId="31" hidden="1">{"'Sheet1'!$A$1"}</definedName>
    <definedName name="BGF" localSheetId="30" hidden="1">{"'Sheet1'!$A$1"}</definedName>
    <definedName name="BGF" localSheetId="17" hidden="1">{"'Sheet1'!$A$1"}</definedName>
    <definedName name="BGF" localSheetId="18" hidden="1">{"'Sheet1'!$A$1"}</definedName>
    <definedName name="BGF" hidden="1">{"'Sheet1'!$A$1"}</definedName>
    <definedName name="bhdjhjf" hidden="1">#REF!</definedName>
    <definedName name="BHFKD" localSheetId="20" hidden="1">{"'Sheet1'!$A$1"}</definedName>
    <definedName name="BHFKD" localSheetId="19" hidden="1">{"'Sheet1'!$A$1"}</definedName>
    <definedName name="BHFKD" localSheetId="26" hidden="1">{"'Sheet1'!$A$1"}</definedName>
    <definedName name="BHFKD" localSheetId="24" hidden="1">{"'Sheet1'!$A$1"}</definedName>
    <definedName name="BHFKD" localSheetId="32" hidden="1">{"'Sheet1'!$A$1"}</definedName>
    <definedName name="BHFKD" localSheetId="27" hidden="1">{"'Sheet1'!$A$1"}</definedName>
    <definedName name="BHFKD" localSheetId="28" hidden="1">{"'Sheet1'!$A$1"}</definedName>
    <definedName name="BHFKD" localSheetId="29" hidden="1">{"'Sheet1'!$A$1"}</definedName>
    <definedName name="BHFKD" localSheetId="31" hidden="1">{"'Sheet1'!$A$1"}</definedName>
    <definedName name="BHFKD" localSheetId="30" hidden="1">{"'Sheet1'!$A$1"}</definedName>
    <definedName name="BHFKD" localSheetId="17" hidden="1">{"'Sheet1'!$A$1"}</definedName>
    <definedName name="BHFKD" localSheetId="18" hidden="1">{"'Sheet1'!$A$1"}</definedName>
    <definedName name="BHFKD" hidden="1">{"'Sheet1'!$A$1"}</definedName>
    <definedName name="Biak" localSheetId="20" hidden="1">{#N/A,#N/A,FALSE,"M.31"}</definedName>
    <definedName name="Biak" localSheetId="19" hidden="1">{#N/A,#N/A,FALSE,"M.31"}</definedName>
    <definedName name="Biak" localSheetId="26" hidden="1">{#N/A,#N/A,FALSE,"M.31"}</definedName>
    <definedName name="Biak" localSheetId="24" hidden="1">{#N/A,#N/A,FALSE,"M.31"}</definedName>
    <definedName name="Biak" localSheetId="32" hidden="1">{#N/A,#N/A,FALSE,"M.31"}</definedName>
    <definedName name="Biak" localSheetId="27" hidden="1">{#N/A,#N/A,FALSE,"M.31"}</definedName>
    <definedName name="Biak" localSheetId="28" hidden="1">{#N/A,#N/A,FALSE,"M.31"}</definedName>
    <definedName name="Biak" localSheetId="29" hidden="1">{#N/A,#N/A,FALSE,"M.31"}</definedName>
    <definedName name="Biak" localSheetId="31" hidden="1">{#N/A,#N/A,FALSE,"M.31"}</definedName>
    <definedName name="Biak" localSheetId="30" hidden="1">{#N/A,#N/A,FALSE,"M.31"}</definedName>
    <definedName name="Biak" localSheetId="17" hidden="1">{#N/A,#N/A,FALSE,"M.31"}</definedName>
    <definedName name="Biak" localSheetId="18" hidden="1">{#N/A,#N/A,FALSE,"M.31"}</definedName>
    <definedName name="Biak" hidden="1">{#N/A,#N/A,FALSE,"M.31"}</definedName>
    <definedName name="BIGC" localSheetId="20" hidden="1">{#N/A,#N/A,TRUE,"Str.";#N/A,#N/A,TRUE,"Steel &amp; Roof";#N/A,#N/A,TRUE,"Arc.";#N/A,#N/A,TRUE,"Preliminary";#N/A,#N/A,TRUE,"Sum_Prelim"}</definedName>
    <definedName name="BIGC" localSheetId="19" hidden="1">{#N/A,#N/A,TRUE,"Str.";#N/A,#N/A,TRUE,"Steel &amp; Roof";#N/A,#N/A,TRUE,"Arc.";#N/A,#N/A,TRUE,"Preliminary";#N/A,#N/A,TRUE,"Sum_Prelim"}</definedName>
    <definedName name="BIGC" localSheetId="26" hidden="1">{#N/A,#N/A,TRUE,"Str.";#N/A,#N/A,TRUE,"Steel &amp; Roof";#N/A,#N/A,TRUE,"Arc.";#N/A,#N/A,TRUE,"Preliminary";#N/A,#N/A,TRUE,"Sum_Prelim"}</definedName>
    <definedName name="BIGC" localSheetId="24" hidden="1">{#N/A,#N/A,TRUE,"Str.";#N/A,#N/A,TRUE,"Steel &amp; Roof";#N/A,#N/A,TRUE,"Arc.";#N/A,#N/A,TRUE,"Preliminary";#N/A,#N/A,TRUE,"Sum_Prelim"}</definedName>
    <definedName name="BIGC" localSheetId="32" hidden="1">{#N/A,#N/A,TRUE,"Str.";#N/A,#N/A,TRUE,"Steel &amp; Roof";#N/A,#N/A,TRUE,"Arc.";#N/A,#N/A,TRUE,"Preliminary";#N/A,#N/A,TRUE,"Sum_Prelim"}</definedName>
    <definedName name="BIGC" localSheetId="27" hidden="1">{#N/A,#N/A,TRUE,"Str.";#N/A,#N/A,TRUE,"Steel &amp; Roof";#N/A,#N/A,TRUE,"Arc.";#N/A,#N/A,TRUE,"Preliminary";#N/A,#N/A,TRUE,"Sum_Prelim"}</definedName>
    <definedName name="BIGC" localSheetId="28" hidden="1">{#N/A,#N/A,TRUE,"Str.";#N/A,#N/A,TRUE,"Steel &amp; Roof";#N/A,#N/A,TRUE,"Arc.";#N/A,#N/A,TRUE,"Preliminary";#N/A,#N/A,TRUE,"Sum_Prelim"}</definedName>
    <definedName name="BIGC" localSheetId="29" hidden="1">{#N/A,#N/A,TRUE,"Str.";#N/A,#N/A,TRUE,"Steel &amp; Roof";#N/A,#N/A,TRUE,"Arc.";#N/A,#N/A,TRUE,"Preliminary";#N/A,#N/A,TRUE,"Sum_Prelim"}</definedName>
    <definedName name="BIGC" localSheetId="31" hidden="1">{#N/A,#N/A,TRUE,"Str.";#N/A,#N/A,TRUE,"Steel &amp; Roof";#N/A,#N/A,TRUE,"Arc.";#N/A,#N/A,TRUE,"Preliminary";#N/A,#N/A,TRUE,"Sum_Prelim"}</definedName>
    <definedName name="BIGC" localSheetId="30" hidden="1">{#N/A,#N/A,TRUE,"Str.";#N/A,#N/A,TRUE,"Steel &amp; Roof";#N/A,#N/A,TRUE,"Arc.";#N/A,#N/A,TRUE,"Preliminary";#N/A,#N/A,TRUE,"Sum_Prelim"}</definedName>
    <definedName name="BIGC" localSheetId="17" hidden="1">{#N/A,#N/A,TRUE,"Str.";#N/A,#N/A,TRUE,"Steel &amp; Roof";#N/A,#N/A,TRUE,"Arc.";#N/A,#N/A,TRUE,"Preliminary";#N/A,#N/A,TRUE,"Sum_Prelim"}</definedName>
    <definedName name="BIGC" localSheetId="18" hidden="1">{#N/A,#N/A,TRUE,"Str.";#N/A,#N/A,TRUE,"Steel &amp; Roof";#N/A,#N/A,TRUE,"Arc.";#N/A,#N/A,TRUE,"Preliminary";#N/A,#N/A,TRUE,"Sum_Prelim"}</definedName>
    <definedName name="BIGC" hidden="1">{#N/A,#N/A,TRUE,"Str.";#N/A,#N/A,TRUE,"Steel &amp; Roof";#N/A,#N/A,TRUE,"Arc.";#N/A,#N/A,TRUE,"Preliminary";#N/A,#N/A,TRUE,"Sum_Prelim"}</definedName>
    <definedName name="bima3" localSheetId="20" hidden="1">{#N/A,#N/A,FALSE,"M.02"}</definedName>
    <definedName name="bima3" localSheetId="19" hidden="1">{#N/A,#N/A,FALSE,"M.02"}</definedName>
    <definedName name="bima3" localSheetId="26" hidden="1">{#N/A,#N/A,FALSE,"M.02"}</definedName>
    <definedName name="bima3" localSheetId="24" hidden="1">{#N/A,#N/A,FALSE,"M.02"}</definedName>
    <definedName name="bima3" localSheetId="32" hidden="1">{#N/A,#N/A,FALSE,"M.02"}</definedName>
    <definedName name="bima3" localSheetId="27" hidden="1">{#N/A,#N/A,FALSE,"M.02"}</definedName>
    <definedName name="bima3" localSheetId="28" hidden="1">{#N/A,#N/A,FALSE,"M.02"}</definedName>
    <definedName name="bima3" localSheetId="29" hidden="1">{#N/A,#N/A,FALSE,"M.02"}</definedName>
    <definedName name="bima3" localSheetId="31" hidden="1">{#N/A,#N/A,FALSE,"M.02"}</definedName>
    <definedName name="bima3" localSheetId="30" hidden="1">{#N/A,#N/A,FALSE,"M.02"}</definedName>
    <definedName name="bima3" localSheetId="17" hidden="1">{#N/A,#N/A,FALSE,"M.02"}</definedName>
    <definedName name="bima3" localSheetId="18" hidden="1">{#N/A,#N/A,FALSE,"M.02"}</definedName>
    <definedName name="bima3" hidden="1">{#N/A,#N/A,FALSE,"M.02"}</definedName>
    <definedName name="binjai.xls" localSheetId="42" hidden="1">#REF!</definedName>
    <definedName name="BJ.Kasar" localSheetId="20" hidden="1">#REF!</definedName>
    <definedName name="BJ.Kasar" localSheetId="19" hidden="1">#REF!</definedName>
    <definedName name="BJ.Kasar" localSheetId="32" hidden="1">#REF!</definedName>
    <definedName name="BJ.Kasar" localSheetId="27" hidden="1">#REF!</definedName>
    <definedName name="BJ.Kasar" localSheetId="28" hidden="1">#REF!</definedName>
    <definedName name="BJ.Kasar" localSheetId="31" hidden="1">#REF!</definedName>
    <definedName name="BJ.Kasar" localSheetId="30" hidden="1">#REF!</definedName>
    <definedName name="BJ.Kasar" localSheetId="17" hidden="1">#REF!</definedName>
    <definedName name="BJ.Kasar" localSheetId="18" hidden="1">#REF!</definedName>
    <definedName name="BJ.Kasar" hidden="1">#REF!</definedName>
    <definedName name="bjm" localSheetId="20" hidden="1">{#N/A,#N/A,FALSE,"M.02"}</definedName>
    <definedName name="bjm" localSheetId="19" hidden="1">{#N/A,#N/A,FALSE,"M.02"}</definedName>
    <definedName name="bjm" localSheetId="26" hidden="1">{#N/A,#N/A,FALSE,"M.02"}</definedName>
    <definedName name="bjm" localSheetId="24" hidden="1">{#N/A,#N/A,FALSE,"M.02"}</definedName>
    <definedName name="bjm" localSheetId="32" hidden="1">{#N/A,#N/A,FALSE,"M.02"}</definedName>
    <definedName name="bjm" localSheetId="27" hidden="1">{#N/A,#N/A,FALSE,"M.02"}</definedName>
    <definedName name="bjm" localSheetId="28" hidden="1">{#N/A,#N/A,FALSE,"M.02"}</definedName>
    <definedName name="bjm" localSheetId="29" hidden="1">{#N/A,#N/A,FALSE,"M.02"}</definedName>
    <definedName name="bjm" localSheetId="31" hidden="1">{#N/A,#N/A,FALSE,"M.02"}</definedName>
    <definedName name="bjm" localSheetId="30" hidden="1">{#N/A,#N/A,FALSE,"M.02"}</definedName>
    <definedName name="bjm" localSheetId="17" hidden="1">{#N/A,#N/A,FALSE,"M.02"}</definedName>
    <definedName name="bjm" localSheetId="18" hidden="1">{#N/A,#N/A,FALSE,"M.02"}</definedName>
    <definedName name="bjm" hidden="1">{#N/A,#N/A,FALSE,"M.02"}</definedName>
    <definedName name="bk" localSheetId="20" hidden="1">{#N/A,#N/A,FALSE,"REK";#N/A,#N/A,FALSE,"rab"}</definedName>
    <definedName name="bk" localSheetId="19" hidden="1">{#N/A,#N/A,FALSE,"REK";#N/A,#N/A,FALSE,"rab"}</definedName>
    <definedName name="bk" localSheetId="26" hidden="1">{#N/A,#N/A,FALSE,"REK";#N/A,#N/A,FALSE,"rab"}</definedName>
    <definedName name="bk" localSheetId="23" hidden="1">{#N/A,#N/A,FALSE,"REK";#N/A,#N/A,FALSE,"rab"}</definedName>
    <definedName name="bk" localSheetId="24" hidden="1">{#N/A,#N/A,FALSE,"REK";#N/A,#N/A,FALSE,"rab"}</definedName>
    <definedName name="bk" localSheetId="32" hidden="1">{#N/A,#N/A,FALSE,"REK";#N/A,#N/A,FALSE,"rab"}</definedName>
    <definedName name="bk" localSheetId="27" hidden="1">{#N/A,#N/A,FALSE,"REK";#N/A,#N/A,FALSE,"rab"}</definedName>
    <definedName name="bk" localSheetId="28" hidden="1">{#N/A,#N/A,FALSE,"REK";#N/A,#N/A,FALSE,"rab"}</definedName>
    <definedName name="bk" localSheetId="29" hidden="1">{#N/A,#N/A,FALSE,"REK";#N/A,#N/A,FALSE,"rab"}</definedName>
    <definedName name="bk" localSheetId="31" hidden="1">{#N/A,#N/A,FALSE,"REK";#N/A,#N/A,FALSE,"rab"}</definedName>
    <definedName name="bk" localSheetId="30" hidden="1">{#N/A,#N/A,FALSE,"REK";#N/A,#N/A,FALSE,"rab"}</definedName>
    <definedName name="bk" localSheetId="13" hidden="1">{#N/A,#N/A,FALSE,"REK";#N/A,#N/A,FALSE,"rab"}</definedName>
    <definedName name="bk" localSheetId="17" hidden="1">{#N/A,#N/A,FALSE,"REK";#N/A,#N/A,FALSE,"rab"}</definedName>
    <definedName name="bk" localSheetId="18" hidden="1">{#N/A,#N/A,FALSE,"REK";#N/A,#N/A,FALSE,"rab"}</definedName>
    <definedName name="bk" localSheetId="22" hidden="1">{#N/A,#N/A,FALSE,"REK";#N/A,#N/A,FALSE,"rab"}</definedName>
    <definedName name="bk" localSheetId="40" hidden="1">{#N/A,#N/A,FALSE,"REK";#N/A,#N/A,FALSE,"rab"}</definedName>
    <definedName name="bk" localSheetId="41" hidden="1">{#N/A,#N/A,FALSE,"REK";#N/A,#N/A,FALSE,"rab"}</definedName>
    <definedName name="bk" localSheetId="42" hidden="1">{#N/A,#N/A,FALSE,"REK";#N/A,#N/A,FALSE,"rab"}</definedName>
    <definedName name="bk" localSheetId="35" hidden="1">{#N/A,#N/A,FALSE,"REK";#N/A,#N/A,FALSE,"rab"}</definedName>
    <definedName name="bk" localSheetId="38" hidden="1">{#N/A,#N/A,FALSE,"REK";#N/A,#N/A,FALSE,"rab"}</definedName>
    <definedName name="bk" hidden="1">{#N/A,#N/A,FALSE,"REK";#N/A,#N/A,FALSE,"rab"}</definedName>
    <definedName name="bkpm" localSheetId="20" hidden="1">{#N/A,#N/A,FALSE,"REK";#N/A,#N/A,FALSE,"rab"}</definedName>
    <definedName name="bkpm" localSheetId="19" hidden="1">{#N/A,#N/A,FALSE,"REK";#N/A,#N/A,FALSE,"rab"}</definedName>
    <definedName name="bkpm" localSheetId="26" hidden="1">{#N/A,#N/A,FALSE,"REK";#N/A,#N/A,FALSE,"rab"}</definedName>
    <definedName name="bkpm" localSheetId="23" hidden="1">{#N/A,#N/A,FALSE,"REK";#N/A,#N/A,FALSE,"rab"}</definedName>
    <definedName name="bkpm" localSheetId="24" hidden="1">{#N/A,#N/A,FALSE,"REK";#N/A,#N/A,FALSE,"rab"}</definedName>
    <definedName name="bkpm" localSheetId="32" hidden="1">{#N/A,#N/A,FALSE,"REK";#N/A,#N/A,FALSE,"rab"}</definedName>
    <definedName name="bkpm" localSheetId="27" hidden="1">{#N/A,#N/A,FALSE,"REK";#N/A,#N/A,FALSE,"rab"}</definedName>
    <definedName name="bkpm" localSheetId="28" hidden="1">{#N/A,#N/A,FALSE,"REK";#N/A,#N/A,FALSE,"rab"}</definedName>
    <definedName name="bkpm" localSheetId="29" hidden="1">{#N/A,#N/A,FALSE,"REK";#N/A,#N/A,FALSE,"rab"}</definedName>
    <definedName name="bkpm" localSheetId="31" hidden="1">{#N/A,#N/A,FALSE,"REK";#N/A,#N/A,FALSE,"rab"}</definedName>
    <definedName name="bkpm" localSheetId="30" hidden="1">{#N/A,#N/A,FALSE,"REK";#N/A,#N/A,FALSE,"rab"}</definedName>
    <definedName name="bkpm" localSheetId="13" hidden="1">{#N/A,#N/A,FALSE,"REK";#N/A,#N/A,FALSE,"rab"}</definedName>
    <definedName name="bkpm" localSheetId="17" hidden="1">{#N/A,#N/A,FALSE,"REK";#N/A,#N/A,FALSE,"rab"}</definedName>
    <definedName name="bkpm" localSheetId="18" hidden="1">{#N/A,#N/A,FALSE,"REK";#N/A,#N/A,FALSE,"rab"}</definedName>
    <definedName name="bkpm" localSheetId="22" hidden="1">{#N/A,#N/A,FALSE,"REK";#N/A,#N/A,FALSE,"rab"}</definedName>
    <definedName name="bkpm" localSheetId="40" hidden="1">{#N/A,#N/A,FALSE,"REK";#N/A,#N/A,FALSE,"rab"}</definedName>
    <definedName name="bkpm" localSheetId="41" hidden="1">{#N/A,#N/A,FALSE,"REK";#N/A,#N/A,FALSE,"rab"}</definedName>
    <definedName name="bkpm" localSheetId="42" hidden="1">{#N/A,#N/A,FALSE,"REK";#N/A,#N/A,FALSE,"rab"}</definedName>
    <definedName name="bkpm" localSheetId="35" hidden="1">{#N/A,#N/A,FALSE,"REK";#N/A,#N/A,FALSE,"rab"}</definedName>
    <definedName name="bkpm" localSheetId="38" hidden="1">{#N/A,#N/A,FALSE,"REK";#N/A,#N/A,FALSE,"rab"}</definedName>
    <definedName name="bkpm" hidden="1">{#N/A,#N/A,FALSE,"REK";#N/A,#N/A,FALSE,"rab"}</definedName>
    <definedName name="bkpm1" localSheetId="20" hidden="1">{#N/A,#N/A,FALSE,"REK-S-TPL";#N/A,#N/A,FALSE,"REK-TPML";#N/A,#N/A,FALSE,"RAB-TEMPEL"}</definedName>
    <definedName name="bkpm1" localSheetId="19" hidden="1">{#N/A,#N/A,FALSE,"REK-S-TPL";#N/A,#N/A,FALSE,"REK-TPML";#N/A,#N/A,FALSE,"RAB-TEMPEL"}</definedName>
    <definedName name="bkpm1" localSheetId="26" hidden="1">{#N/A,#N/A,FALSE,"REK-S-TPL";#N/A,#N/A,FALSE,"REK-TPML";#N/A,#N/A,FALSE,"RAB-TEMPEL"}</definedName>
    <definedName name="bkpm1" localSheetId="23" hidden="1">{#N/A,#N/A,FALSE,"REK-S-TPL";#N/A,#N/A,FALSE,"REK-TPML";#N/A,#N/A,FALSE,"RAB-TEMPEL"}</definedName>
    <definedName name="bkpm1" localSheetId="24" hidden="1">{#N/A,#N/A,FALSE,"REK-S-TPL";#N/A,#N/A,FALSE,"REK-TPML";#N/A,#N/A,FALSE,"RAB-TEMPEL"}</definedName>
    <definedName name="bkpm1" localSheetId="32" hidden="1">{#N/A,#N/A,FALSE,"REK-S-TPL";#N/A,#N/A,FALSE,"REK-TPML";#N/A,#N/A,FALSE,"RAB-TEMPEL"}</definedName>
    <definedName name="bkpm1" localSheetId="27" hidden="1">{#N/A,#N/A,FALSE,"REK-S-TPL";#N/A,#N/A,FALSE,"REK-TPML";#N/A,#N/A,FALSE,"RAB-TEMPEL"}</definedName>
    <definedName name="bkpm1" localSheetId="28" hidden="1">{#N/A,#N/A,FALSE,"REK-S-TPL";#N/A,#N/A,FALSE,"REK-TPML";#N/A,#N/A,FALSE,"RAB-TEMPEL"}</definedName>
    <definedName name="bkpm1" localSheetId="29" hidden="1">{#N/A,#N/A,FALSE,"REK-S-TPL";#N/A,#N/A,FALSE,"REK-TPML";#N/A,#N/A,FALSE,"RAB-TEMPEL"}</definedName>
    <definedName name="bkpm1" localSheetId="31" hidden="1">{#N/A,#N/A,FALSE,"REK-S-TPL";#N/A,#N/A,FALSE,"REK-TPML";#N/A,#N/A,FALSE,"RAB-TEMPEL"}</definedName>
    <definedName name="bkpm1" localSheetId="30" hidden="1">{#N/A,#N/A,FALSE,"REK-S-TPL";#N/A,#N/A,FALSE,"REK-TPML";#N/A,#N/A,FALSE,"RAB-TEMPEL"}</definedName>
    <definedName name="bkpm1" localSheetId="13" hidden="1">{#N/A,#N/A,FALSE,"REK-S-TPL";#N/A,#N/A,FALSE,"REK-TPML";#N/A,#N/A,FALSE,"RAB-TEMPEL"}</definedName>
    <definedName name="bkpm1" localSheetId="17" hidden="1">{#N/A,#N/A,FALSE,"REK-S-TPL";#N/A,#N/A,FALSE,"REK-TPML";#N/A,#N/A,FALSE,"RAB-TEMPEL"}</definedName>
    <definedName name="bkpm1" localSheetId="18" hidden="1">{#N/A,#N/A,FALSE,"REK-S-TPL";#N/A,#N/A,FALSE,"REK-TPML";#N/A,#N/A,FALSE,"RAB-TEMPEL"}</definedName>
    <definedName name="bkpm1" localSheetId="22" hidden="1">{#N/A,#N/A,FALSE,"REK-S-TPL";#N/A,#N/A,FALSE,"REK-TPML";#N/A,#N/A,FALSE,"RAB-TEMPEL"}</definedName>
    <definedName name="bkpm1" localSheetId="40" hidden="1">{#N/A,#N/A,FALSE,"REK-S-TPL";#N/A,#N/A,FALSE,"REK-TPML";#N/A,#N/A,FALSE,"RAB-TEMPEL"}</definedName>
    <definedName name="bkpm1" localSheetId="41" hidden="1">{#N/A,#N/A,FALSE,"REK-S-TPL";#N/A,#N/A,FALSE,"REK-TPML";#N/A,#N/A,FALSE,"RAB-TEMPEL"}</definedName>
    <definedName name="bkpm1" localSheetId="42" hidden="1">{#N/A,#N/A,FALSE,"REK-S-TPL";#N/A,#N/A,FALSE,"REK-TPML";#N/A,#N/A,FALSE,"RAB-TEMPEL"}</definedName>
    <definedName name="bkpm1" localSheetId="35" hidden="1">{#N/A,#N/A,FALSE,"REK-S-TPL";#N/A,#N/A,FALSE,"REK-TPML";#N/A,#N/A,FALSE,"RAB-TEMPEL"}</definedName>
    <definedName name="bkpm1" localSheetId="38" hidden="1">{#N/A,#N/A,FALSE,"REK-S-TPL";#N/A,#N/A,FALSE,"REK-TPML";#N/A,#N/A,FALSE,"RAB-TEMPEL"}</definedName>
    <definedName name="bkpm1" hidden="1">{#N/A,#N/A,FALSE,"REK-S-TPL";#N/A,#N/A,FALSE,"REK-TPML";#N/A,#N/A,FALSE,"RAB-TEMPEL"}</definedName>
    <definedName name="BM" localSheetId="20" hidden="1">{#N/A,#N/A,FALSE,"CCTV"}</definedName>
    <definedName name="BM" localSheetId="19" hidden="1">{#N/A,#N/A,FALSE,"CCTV"}</definedName>
    <definedName name="BM" localSheetId="26" hidden="1">{#N/A,#N/A,FALSE,"CCTV"}</definedName>
    <definedName name="BM" localSheetId="24" hidden="1">{#N/A,#N/A,FALSE,"CCTV"}</definedName>
    <definedName name="BM" localSheetId="32" hidden="1">{#N/A,#N/A,FALSE,"CCTV"}</definedName>
    <definedName name="BM" localSheetId="27" hidden="1">{#N/A,#N/A,FALSE,"CCTV"}</definedName>
    <definedName name="BM" localSheetId="28" hidden="1">{#N/A,#N/A,FALSE,"CCTV"}</definedName>
    <definedName name="BM" localSheetId="29" hidden="1">{#N/A,#N/A,FALSE,"CCTV"}</definedName>
    <definedName name="BM" localSheetId="31" hidden="1">{#N/A,#N/A,FALSE,"CCTV"}</definedName>
    <definedName name="BM" localSheetId="30" hidden="1">{#N/A,#N/A,FALSE,"CCTV"}</definedName>
    <definedName name="BM" localSheetId="17" hidden="1">{#N/A,#N/A,FALSE,"CCTV"}</definedName>
    <definedName name="BM" localSheetId="18" hidden="1">{#N/A,#N/A,FALSE,"CCTV"}</definedName>
    <definedName name="BM" hidden="1">{#N/A,#N/A,FALSE,"CCTV"}</definedName>
    <definedName name="bn" localSheetId="20" hidden="1">#REF!</definedName>
    <definedName name="bn" localSheetId="19" hidden="1">#REF!</definedName>
    <definedName name="bn" localSheetId="32" hidden="1">#REF!</definedName>
    <definedName name="bn" localSheetId="27" hidden="1">#REF!</definedName>
    <definedName name="bn" localSheetId="28" hidden="1">#REF!</definedName>
    <definedName name="bn" localSheetId="31" hidden="1">#REF!</definedName>
    <definedName name="bn" localSheetId="30" hidden="1">#REF!</definedName>
    <definedName name="bn" localSheetId="17" hidden="1">#REF!</definedName>
    <definedName name="bn" localSheetId="18" hidden="1">#REF!</definedName>
    <definedName name="bn" hidden="1">#REF!</definedName>
    <definedName name="BOOK1" localSheetId="32" hidden="1">#REF!</definedName>
    <definedName name="BOOK1" localSheetId="27" hidden="1">#REF!</definedName>
    <definedName name="BOOK1" localSheetId="18" hidden="1">#REF!</definedName>
    <definedName name="BOOK1" hidden="1">#REF!</definedName>
    <definedName name="Boqa" localSheetId="27" hidden="1">#REF!</definedName>
    <definedName name="Boqa" localSheetId="13" hidden="1">#REF!</definedName>
    <definedName name="Boqa" localSheetId="41" hidden="1">#REF!</definedName>
    <definedName name="Boqa" localSheetId="42" hidden="1">#REF!</definedName>
    <definedName name="Boqa" hidden="1">#REF!</definedName>
    <definedName name="bridge" hidden="1">#REF!</definedName>
    <definedName name="BRIDGE1" hidden="1">#REF!</definedName>
    <definedName name="btl" localSheetId="42" hidden="1">#REF!</definedName>
    <definedName name="btl" hidden="1">#REF!</definedName>
    <definedName name="BU" localSheetId="20" hidden="1">{#N/A,#N/A,FALSE,"CCTV"}</definedName>
    <definedName name="BU" localSheetId="19" hidden="1">{#N/A,#N/A,FALSE,"CCTV"}</definedName>
    <definedName name="BU" localSheetId="32" hidden="1">{#N/A,#N/A,FALSE,"CCTV"}</definedName>
    <definedName name="BU" localSheetId="27" hidden="1">{#N/A,#N/A,FALSE,"CCTV"}</definedName>
    <definedName name="BU" localSheetId="28" hidden="1">{#N/A,#N/A,FALSE,"CCTV"}</definedName>
    <definedName name="BU" localSheetId="31" hidden="1">{#N/A,#N/A,FALSE,"CCTV"}</definedName>
    <definedName name="BU" localSheetId="30" hidden="1">{#N/A,#N/A,FALSE,"CCTV"}</definedName>
    <definedName name="BU" localSheetId="13" hidden="1">{#N/A,#N/A,FALSE,"CCTV"}</definedName>
    <definedName name="BU" localSheetId="17" hidden="1">{#N/A,#N/A,FALSE,"CCTV"}</definedName>
    <definedName name="BU" localSheetId="18" hidden="1">{#N/A,#N/A,FALSE,"CCTV"}</definedName>
    <definedName name="by" localSheetId="20" hidden="1">{#N/A,#N/A,FALSE,"CCTV"}</definedName>
    <definedName name="by" localSheetId="19" hidden="1">{#N/A,#N/A,FALSE,"CCTV"}</definedName>
    <definedName name="by" localSheetId="26" hidden="1">{#N/A,#N/A,FALSE,"CCTV"}</definedName>
    <definedName name="by" localSheetId="24" hidden="1">{#N/A,#N/A,FALSE,"CCTV"}</definedName>
    <definedName name="by" localSheetId="32" hidden="1">{#N/A,#N/A,FALSE,"CCTV"}</definedName>
    <definedName name="by" localSheetId="27" hidden="1">{#N/A,#N/A,FALSE,"CCTV"}</definedName>
    <definedName name="by" localSheetId="28" hidden="1">{#N/A,#N/A,FALSE,"CCTV"}</definedName>
    <definedName name="by" localSheetId="29" hidden="1">{#N/A,#N/A,FALSE,"CCTV"}</definedName>
    <definedName name="by" localSheetId="31" hidden="1">{#N/A,#N/A,FALSE,"CCTV"}</definedName>
    <definedName name="by" localSheetId="30" hidden="1">{#N/A,#N/A,FALSE,"CCTV"}</definedName>
    <definedName name="by" localSheetId="17" hidden="1">{#N/A,#N/A,FALSE,"CCTV"}</definedName>
    <definedName name="by" localSheetId="18" hidden="1">{#N/A,#N/A,FALSE,"CCTV"}</definedName>
    <definedName name="by" hidden="1">{#N/A,#N/A,FALSE,"CCTV"}</definedName>
    <definedName name="BZ" localSheetId="20" hidden="1">{#N/A,#N/A,FALSE,"CCTV"}</definedName>
    <definedName name="BZ" localSheetId="19" hidden="1">{#N/A,#N/A,FALSE,"CCTV"}</definedName>
    <definedName name="BZ" localSheetId="26" hidden="1">{#N/A,#N/A,FALSE,"CCTV"}</definedName>
    <definedName name="BZ" localSheetId="24" hidden="1">{#N/A,#N/A,FALSE,"CCTV"}</definedName>
    <definedName name="BZ" localSheetId="32" hidden="1">{#N/A,#N/A,FALSE,"CCTV"}</definedName>
    <definedName name="BZ" localSheetId="27" hidden="1">{#N/A,#N/A,FALSE,"CCTV"}</definedName>
    <definedName name="BZ" localSheetId="28" hidden="1">{#N/A,#N/A,FALSE,"CCTV"}</definedName>
    <definedName name="BZ" localSheetId="29" hidden="1">{#N/A,#N/A,FALSE,"CCTV"}</definedName>
    <definedName name="BZ" localSheetId="31" hidden="1">{#N/A,#N/A,FALSE,"CCTV"}</definedName>
    <definedName name="BZ" localSheetId="30" hidden="1">{#N/A,#N/A,FALSE,"CCTV"}</definedName>
    <definedName name="BZ" localSheetId="17" hidden="1">{#N/A,#N/A,FALSE,"CCTV"}</definedName>
    <definedName name="BZ" localSheetId="18" hidden="1">{#N/A,#N/A,FALSE,"CCTV"}</definedName>
    <definedName name="BZ" hidden="1">{#N/A,#N/A,FALSE,"CCTV"}</definedName>
    <definedName name="Cab_APJ_3" localSheetId="20" hidden="1">{#N/A,#N/A,FALSE,"M.41"}</definedName>
    <definedName name="Cab_APJ_3" localSheetId="19" hidden="1">{#N/A,#N/A,FALSE,"M.41"}</definedName>
    <definedName name="Cab_APJ_3" localSheetId="26" hidden="1">{#N/A,#N/A,FALSE,"M.41"}</definedName>
    <definedName name="Cab_APJ_3" localSheetId="24" hidden="1">{#N/A,#N/A,FALSE,"M.41"}</definedName>
    <definedName name="Cab_APJ_3" localSheetId="32" hidden="1">{#N/A,#N/A,FALSE,"M.41"}</definedName>
    <definedName name="Cab_APJ_3" localSheetId="27" hidden="1">{#N/A,#N/A,FALSE,"M.41"}</definedName>
    <definedName name="Cab_APJ_3" localSheetId="28" hidden="1">{#N/A,#N/A,FALSE,"M.41"}</definedName>
    <definedName name="Cab_APJ_3" localSheetId="29" hidden="1">{#N/A,#N/A,FALSE,"M.41"}</definedName>
    <definedName name="Cab_APJ_3" localSheetId="31" hidden="1">{#N/A,#N/A,FALSE,"M.41"}</definedName>
    <definedName name="Cab_APJ_3" localSheetId="30" hidden="1">{#N/A,#N/A,FALSE,"M.41"}</definedName>
    <definedName name="Cab_APJ_3" localSheetId="17" hidden="1">{#N/A,#N/A,FALSE,"M.41"}</definedName>
    <definedName name="Cab_APJ_3" localSheetId="18" hidden="1">{#N/A,#N/A,FALSE,"M.41"}</definedName>
    <definedName name="Cab_APJ_3" hidden="1">{#N/A,#N/A,FALSE,"M.41"}</definedName>
    <definedName name="Cab_APJ4" localSheetId="20" hidden="1">{#N/A,#N/A,FALSE,"M.41"}</definedName>
    <definedName name="Cab_APJ4" localSheetId="19" hidden="1">{#N/A,#N/A,FALSE,"M.41"}</definedName>
    <definedName name="Cab_APJ4" localSheetId="26" hidden="1">{#N/A,#N/A,FALSE,"M.41"}</definedName>
    <definedName name="Cab_APJ4" localSheetId="24" hidden="1">{#N/A,#N/A,FALSE,"M.41"}</definedName>
    <definedName name="Cab_APJ4" localSheetId="32" hidden="1">{#N/A,#N/A,FALSE,"M.41"}</definedName>
    <definedName name="Cab_APJ4" localSheetId="27" hidden="1">{#N/A,#N/A,FALSE,"M.41"}</definedName>
    <definedName name="Cab_APJ4" localSheetId="28" hidden="1">{#N/A,#N/A,FALSE,"M.41"}</definedName>
    <definedName name="Cab_APJ4" localSheetId="29" hidden="1">{#N/A,#N/A,FALSE,"M.41"}</definedName>
    <definedName name="Cab_APJ4" localSheetId="31" hidden="1">{#N/A,#N/A,FALSE,"M.41"}</definedName>
    <definedName name="Cab_APJ4" localSheetId="30" hidden="1">{#N/A,#N/A,FALSE,"M.41"}</definedName>
    <definedName name="Cab_APJ4" localSheetId="17" hidden="1">{#N/A,#N/A,FALSE,"M.41"}</definedName>
    <definedName name="Cab_APJ4" localSheetId="18" hidden="1">{#N/A,#N/A,FALSE,"M.41"}</definedName>
    <definedName name="Cab_APJ4" hidden="1">{#N/A,#N/A,FALSE,"M.41"}</definedName>
    <definedName name="CAB_BRB1" localSheetId="20" hidden="1">{#N/A,#N/A,FALSE,"M.41"}</definedName>
    <definedName name="CAB_BRB1" localSheetId="19" hidden="1">{#N/A,#N/A,FALSE,"M.41"}</definedName>
    <definedName name="CAB_BRB1" localSheetId="26" hidden="1">{#N/A,#N/A,FALSE,"M.41"}</definedName>
    <definedName name="CAB_BRB1" localSheetId="24" hidden="1">{#N/A,#N/A,FALSE,"M.41"}</definedName>
    <definedName name="CAB_BRB1" localSheetId="32" hidden="1">{#N/A,#N/A,FALSE,"M.41"}</definedName>
    <definedName name="CAB_BRB1" localSheetId="27" hidden="1">{#N/A,#N/A,FALSE,"M.41"}</definedName>
    <definedName name="CAB_BRB1" localSheetId="28" hidden="1">{#N/A,#N/A,FALSE,"M.41"}</definedName>
    <definedName name="CAB_BRB1" localSheetId="29" hidden="1">{#N/A,#N/A,FALSE,"M.41"}</definedName>
    <definedName name="CAB_BRB1" localSheetId="31" hidden="1">{#N/A,#N/A,FALSE,"M.41"}</definedName>
    <definedName name="CAB_BRB1" localSheetId="30" hidden="1">{#N/A,#N/A,FALSE,"M.41"}</definedName>
    <definedName name="CAB_BRB1" localSheetId="17" hidden="1">{#N/A,#N/A,FALSE,"M.41"}</definedName>
    <definedName name="CAB_BRB1" localSheetId="18" hidden="1">{#N/A,#N/A,FALSE,"M.41"}</definedName>
    <definedName name="CAB_BRB1" hidden="1">{#N/A,#N/A,FALSE,"M.41"}</definedName>
    <definedName name="cACScCScSC" localSheetId="20" hidden="1">#REF!</definedName>
    <definedName name="cACScCScSC" localSheetId="19" hidden="1">#REF!</definedName>
    <definedName name="cACScCScSC" localSheetId="32" hidden="1">#REF!</definedName>
    <definedName name="cACScCScSC" localSheetId="27" hidden="1">#REF!</definedName>
    <definedName name="cACScCScSC" localSheetId="28" hidden="1">#REF!</definedName>
    <definedName name="cACScCScSC" localSheetId="31" hidden="1">#REF!</definedName>
    <definedName name="cACScCScSC" localSheetId="30" hidden="1">#REF!</definedName>
    <definedName name="cACScCScSC" localSheetId="17" hidden="1">#REF!</definedName>
    <definedName name="cACScCScSC" localSheetId="18" hidden="1">#REF!</definedName>
    <definedName name="cACScCScSC" hidden="1">#REF!</definedName>
    <definedName name="Calibration" localSheetId="20" hidden="1">{#N/A,#N/A,FALSE,"CCTV"}</definedName>
    <definedName name="Calibration" localSheetId="19" hidden="1">{#N/A,#N/A,FALSE,"CCTV"}</definedName>
    <definedName name="Calibration" localSheetId="26" hidden="1">{#N/A,#N/A,FALSE,"CCTV"}</definedName>
    <definedName name="Calibration" localSheetId="24" hidden="1">{#N/A,#N/A,FALSE,"CCTV"}</definedName>
    <definedName name="Calibration" localSheetId="32" hidden="1">{#N/A,#N/A,FALSE,"CCTV"}</definedName>
    <definedName name="Calibration" localSheetId="27" hidden="1">{#N/A,#N/A,FALSE,"CCTV"}</definedName>
    <definedName name="Calibration" localSheetId="28" hidden="1">{#N/A,#N/A,FALSE,"CCTV"}</definedName>
    <definedName name="Calibration" localSheetId="29" hidden="1">{#N/A,#N/A,FALSE,"CCTV"}</definedName>
    <definedName name="Calibration" localSheetId="31" hidden="1">{#N/A,#N/A,FALSE,"CCTV"}</definedName>
    <definedName name="Calibration" localSheetId="30" hidden="1">{#N/A,#N/A,FALSE,"CCTV"}</definedName>
    <definedName name="Calibration" localSheetId="17" hidden="1">{#N/A,#N/A,FALSE,"CCTV"}</definedName>
    <definedName name="Calibration" localSheetId="18" hidden="1">{#N/A,#N/A,FALSE,"CCTV"}</definedName>
    <definedName name="Calibration" hidden="1">{#N/A,#N/A,FALSE,"CCTV"}</definedName>
    <definedName name="cancel" localSheetId="20" hidden="1">{#N/A,#N/A,FALSE,"M.01"}</definedName>
    <definedName name="cancel" localSheetId="19" hidden="1">{#N/A,#N/A,FALSE,"M.01"}</definedName>
    <definedName name="cancel" localSheetId="26" hidden="1">{#N/A,#N/A,FALSE,"M.01"}</definedName>
    <definedName name="cancel" localSheetId="24" hidden="1">{#N/A,#N/A,FALSE,"M.01"}</definedName>
    <definedName name="cancel" localSheetId="32" hidden="1">{#N/A,#N/A,FALSE,"M.01"}</definedName>
    <definedName name="cancel" localSheetId="27" hidden="1">{#N/A,#N/A,FALSE,"M.01"}</definedName>
    <definedName name="cancel" localSheetId="28" hidden="1">{#N/A,#N/A,FALSE,"M.01"}</definedName>
    <definedName name="cancel" localSheetId="29" hidden="1">{#N/A,#N/A,FALSE,"M.01"}</definedName>
    <definedName name="cancel" localSheetId="31" hidden="1">{#N/A,#N/A,FALSE,"M.01"}</definedName>
    <definedName name="cancel" localSheetId="30" hidden="1">{#N/A,#N/A,FALSE,"M.01"}</definedName>
    <definedName name="cancel" localSheetId="17" hidden="1">{#N/A,#N/A,FALSE,"M.01"}</definedName>
    <definedName name="cancel" localSheetId="18" hidden="1">{#N/A,#N/A,FALSE,"M.01"}</definedName>
    <definedName name="cancel" hidden="1">{#N/A,#N/A,FALSE,"M.01"}</definedName>
    <definedName name="CARL" localSheetId="20" hidden="1">{#N/A,#N/A,FALSE,"CCTV"}</definedName>
    <definedName name="CARL" localSheetId="19" hidden="1">{#N/A,#N/A,FALSE,"CCTV"}</definedName>
    <definedName name="CARL" localSheetId="26" hidden="1">{#N/A,#N/A,FALSE,"CCTV"}</definedName>
    <definedName name="CARL" localSheetId="24" hidden="1">{#N/A,#N/A,FALSE,"CCTV"}</definedName>
    <definedName name="CARL" localSheetId="32" hidden="1">{#N/A,#N/A,FALSE,"CCTV"}</definedName>
    <definedName name="CARL" localSheetId="27" hidden="1">{#N/A,#N/A,FALSE,"CCTV"}</definedName>
    <definedName name="CARL" localSheetId="28" hidden="1">{#N/A,#N/A,FALSE,"CCTV"}</definedName>
    <definedName name="CARL" localSheetId="29" hidden="1">{#N/A,#N/A,FALSE,"CCTV"}</definedName>
    <definedName name="CARL" localSheetId="31" hidden="1">{#N/A,#N/A,FALSE,"CCTV"}</definedName>
    <definedName name="CARL" localSheetId="30" hidden="1">{#N/A,#N/A,FALSE,"CCTV"}</definedName>
    <definedName name="CARL" localSheetId="17" hidden="1">{#N/A,#N/A,FALSE,"CCTV"}</definedName>
    <definedName name="CARL" localSheetId="18" hidden="1">{#N/A,#N/A,FALSE,"CCTV"}</definedName>
    <definedName name="CARL" hidden="1">{#N/A,#N/A,FALSE,"CCTV"}</definedName>
    <definedName name="CARL1" localSheetId="20" hidden="1">{#N/A,#N/A,FALSE,"CCTV"}</definedName>
    <definedName name="CARL1" localSheetId="19" hidden="1">{#N/A,#N/A,FALSE,"CCTV"}</definedName>
    <definedName name="CARL1" localSheetId="26" hidden="1">{#N/A,#N/A,FALSE,"CCTV"}</definedName>
    <definedName name="CARL1" localSheetId="24" hidden="1">{#N/A,#N/A,FALSE,"CCTV"}</definedName>
    <definedName name="CARL1" localSheetId="32" hidden="1">{#N/A,#N/A,FALSE,"CCTV"}</definedName>
    <definedName name="CARL1" localSheetId="27" hidden="1">{#N/A,#N/A,FALSE,"CCTV"}</definedName>
    <definedName name="CARL1" localSheetId="28" hidden="1">{#N/A,#N/A,FALSE,"CCTV"}</definedName>
    <definedName name="CARL1" localSheetId="29" hidden="1">{#N/A,#N/A,FALSE,"CCTV"}</definedName>
    <definedName name="CARL1" localSheetId="31" hidden="1">{#N/A,#N/A,FALSE,"CCTV"}</definedName>
    <definedName name="CARL1" localSheetId="30" hidden="1">{#N/A,#N/A,FALSE,"CCTV"}</definedName>
    <definedName name="CARL1" localSheetId="17" hidden="1">{#N/A,#N/A,FALSE,"CCTV"}</definedName>
    <definedName name="CARL1" localSheetId="18" hidden="1">{#N/A,#N/A,FALSE,"CCTV"}</definedName>
    <definedName name="CARL1" hidden="1">{#N/A,#N/A,FALSE,"CCTV"}</definedName>
    <definedName name="CARL2" localSheetId="20" hidden="1">{#N/A,#N/A,FALSE,"CCTV"}</definedName>
    <definedName name="CARL2" localSheetId="19" hidden="1">{#N/A,#N/A,FALSE,"CCTV"}</definedName>
    <definedName name="CARL2" localSheetId="26" hidden="1">{#N/A,#N/A,FALSE,"CCTV"}</definedName>
    <definedName name="CARL2" localSheetId="24" hidden="1">{#N/A,#N/A,FALSE,"CCTV"}</definedName>
    <definedName name="CARL2" localSheetId="32" hidden="1">{#N/A,#N/A,FALSE,"CCTV"}</definedName>
    <definedName name="CARL2" localSheetId="27" hidden="1">{#N/A,#N/A,FALSE,"CCTV"}</definedName>
    <definedName name="CARL2" localSheetId="28" hidden="1">{#N/A,#N/A,FALSE,"CCTV"}</definedName>
    <definedName name="CARL2" localSheetId="29" hidden="1">{#N/A,#N/A,FALSE,"CCTV"}</definedName>
    <definedName name="CARL2" localSheetId="31" hidden="1">{#N/A,#N/A,FALSE,"CCTV"}</definedName>
    <definedName name="CARL2" localSheetId="30" hidden="1">{#N/A,#N/A,FALSE,"CCTV"}</definedName>
    <definedName name="CARL2" localSheetId="17" hidden="1">{#N/A,#N/A,FALSE,"CCTV"}</definedName>
    <definedName name="CARL2" localSheetId="18" hidden="1">{#N/A,#N/A,FALSE,"CCTV"}</definedName>
    <definedName name="CARL2" hidden="1">{#N/A,#N/A,FALSE,"CCTV"}</definedName>
    <definedName name="CASH" localSheetId="20" hidden="1">{#N/A,#N/A,FALSE,"SUM_Prop";#N/A,#N/A,FALSE,"PROCESS-eng";#N/A,#N/A,FALSE,"PROCESS-com";#N/A,#N/A,FALSE,"INST-eng";#N/A,#N/A,FALSE,"INST-com"}</definedName>
    <definedName name="CASH" localSheetId="19" hidden="1">{#N/A,#N/A,FALSE,"SUM_Prop";#N/A,#N/A,FALSE,"PROCESS-eng";#N/A,#N/A,FALSE,"PROCESS-com";#N/A,#N/A,FALSE,"INST-eng";#N/A,#N/A,FALSE,"INST-com"}</definedName>
    <definedName name="CASH" localSheetId="26" hidden="1">{#N/A,#N/A,FALSE,"SUM_Prop";#N/A,#N/A,FALSE,"PROCESS-eng";#N/A,#N/A,FALSE,"PROCESS-com";#N/A,#N/A,FALSE,"INST-eng";#N/A,#N/A,FALSE,"INST-com"}</definedName>
    <definedName name="CASH" localSheetId="24" hidden="1">{#N/A,#N/A,FALSE,"SUM_Prop";#N/A,#N/A,FALSE,"PROCESS-eng";#N/A,#N/A,FALSE,"PROCESS-com";#N/A,#N/A,FALSE,"INST-eng";#N/A,#N/A,FALSE,"INST-com"}</definedName>
    <definedName name="CASH" localSheetId="32" hidden="1">{#N/A,#N/A,FALSE,"SUM_Prop";#N/A,#N/A,FALSE,"PROCESS-eng";#N/A,#N/A,FALSE,"PROCESS-com";#N/A,#N/A,FALSE,"INST-eng";#N/A,#N/A,FALSE,"INST-com"}</definedName>
    <definedName name="CASH" localSheetId="27" hidden="1">{#N/A,#N/A,FALSE,"SUM_Prop";#N/A,#N/A,FALSE,"PROCESS-eng";#N/A,#N/A,FALSE,"PROCESS-com";#N/A,#N/A,FALSE,"INST-eng";#N/A,#N/A,FALSE,"INST-com"}</definedName>
    <definedName name="CASH" localSheetId="28" hidden="1">{#N/A,#N/A,FALSE,"SUM_Prop";#N/A,#N/A,FALSE,"PROCESS-eng";#N/A,#N/A,FALSE,"PROCESS-com";#N/A,#N/A,FALSE,"INST-eng";#N/A,#N/A,FALSE,"INST-com"}</definedName>
    <definedName name="CASH" localSheetId="29" hidden="1">{#N/A,#N/A,FALSE,"SUM_Prop";#N/A,#N/A,FALSE,"PROCESS-eng";#N/A,#N/A,FALSE,"PROCESS-com";#N/A,#N/A,FALSE,"INST-eng";#N/A,#N/A,FALSE,"INST-com"}</definedName>
    <definedName name="CASH" localSheetId="31" hidden="1">{#N/A,#N/A,FALSE,"SUM_Prop";#N/A,#N/A,FALSE,"PROCESS-eng";#N/A,#N/A,FALSE,"PROCESS-com";#N/A,#N/A,FALSE,"INST-eng";#N/A,#N/A,FALSE,"INST-com"}</definedName>
    <definedName name="CASH" localSheetId="30" hidden="1">{#N/A,#N/A,FALSE,"SUM_Prop";#N/A,#N/A,FALSE,"PROCESS-eng";#N/A,#N/A,FALSE,"PROCESS-com";#N/A,#N/A,FALSE,"INST-eng";#N/A,#N/A,FALSE,"INST-com"}</definedName>
    <definedName name="CASH" localSheetId="17" hidden="1">{#N/A,#N/A,FALSE,"SUM_Prop";#N/A,#N/A,FALSE,"PROCESS-eng";#N/A,#N/A,FALSE,"PROCESS-com";#N/A,#N/A,FALSE,"INST-eng";#N/A,#N/A,FALSE,"INST-com"}</definedName>
    <definedName name="CASH" localSheetId="18" hidden="1">{#N/A,#N/A,FALSE,"SUM_Prop";#N/A,#N/A,FALSE,"PROCESS-eng";#N/A,#N/A,FALSE,"PROCESS-com";#N/A,#N/A,FALSE,"INST-eng";#N/A,#N/A,FALSE,"INST-com"}</definedName>
    <definedName name="CASH" hidden="1">{#N/A,#N/A,FALSE,"SUM_Prop";#N/A,#N/A,FALSE,"PROCESS-eng";#N/A,#N/A,FALSE,"PROCESS-com";#N/A,#N/A,FALSE,"INST-eng";#N/A,#N/A,FALSE,"INST-com"}</definedName>
    <definedName name="CBJM" localSheetId="20" hidden="1">{#N/A,#N/A,FALSE,"M.01";#N/A,#N/A,FALSE,"M.01"}</definedName>
    <definedName name="CBJM" localSheetId="19" hidden="1">{#N/A,#N/A,FALSE,"M.01";#N/A,#N/A,FALSE,"M.01"}</definedName>
    <definedName name="CBJM" localSheetId="26" hidden="1">{#N/A,#N/A,FALSE,"M.01";#N/A,#N/A,FALSE,"M.01"}</definedName>
    <definedName name="CBJM" localSheetId="24" hidden="1">{#N/A,#N/A,FALSE,"M.01";#N/A,#N/A,FALSE,"M.01"}</definedName>
    <definedName name="CBJM" localSheetId="32" hidden="1">{#N/A,#N/A,FALSE,"M.01";#N/A,#N/A,FALSE,"M.01"}</definedName>
    <definedName name="CBJM" localSheetId="27" hidden="1">{#N/A,#N/A,FALSE,"M.01";#N/A,#N/A,FALSE,"M.01"}</definedName>
    <definedName name="CBJM" localSheetId="28" hidden="1">{#N/A,#N/A,FALSE,"M.01";#N/A,#N/A,FALSE,"M.01"}</definedName>
    <definedName name="CBJM" localSheetId="29" hidden="1">{#N/A,#N/A,FALSE,"M.01";#N/A,#N/A,FALSE,"M.01"}</definedName>
    <definedName name="CBJM" localSheetId="31" hidden="1">{#N/A,#N/A,FALSE,"M.01";#N/A,#N/A,FALSE,"M.01"}</definedName>
    <definedName name="CBJM" localSheetId="30" hidden="1">{#N/A,#N/A,FALSE,"M.01";#N/A,#N/A,FALSE,"M.01"}</definedName>
    <definedName name="CBJM" localSheetId="17" hidden="1">{#N/A,#N/A,FALSE,"M.01";#N/A,#N/A,FALSE,"M.01"}</definedName>
    <definedName name="CBJM" localSheetId="18" hidden="1">{#N/A,#N/A,FALSE,"M.01";#N/A,#N/A,FALSE,"M.01"}</definedName>
    <definedName name="CBJM" hidden="1">{#N/A,#N/A,FALSE,"M.01";#N/A,#N/A,FALSE,"M.01"}</definedName>
    <definedName name="CBRB" localSheetId="20" hidden="1">{#N/A,#N/A,FALSE,"M.02"}</definedName>
    <definedName name="CBRB" localSheetId="19" hidden="1">{#N/A,#N/A,FALSE,"M.02"}</definedName>
    <definedName name="CBRB" localSheetId="26" hidden="1">{#N/A,#N/A,FALSE,"M.02"}</definedName>
    <definedName name="CBRB" localSheetId="24" hidden="1">{#N/A,#N/A,FALSE,"M.02"}</definedName>
    <definedName name="CBRB" localSheetId="32" hidden="1">{#N/A,#N/A,FALSE,"M.02"}</definedName>
    <definedName name="CBRB" localSheetId="27" hidden="1">{#N/A,#N/A,FALSE,"M.02"}</definedName>
    <definedName name="CBRB" localSheetId="28" hidden="1">{#N/A,#N/A,FALSE,"M.02"}</definedName>
    <definedName name="CBRB" localSheetId="29" hidden="1">{#N/A,#N/A,FALSE,"M.02"}</definedName>
    <definedName name="CBRB" localSheetId="31" hidden="1">{#N/A,#N/A,FALSE,"M.02"}</definedName>
    <definedName name="CBRB" localSheetId="30" hidden="1">{#N/A,#N/A,FALSE,"M.02"}</definedName>
    <definedName name="CBRB" localSheetId="17" hidden="1">{#N/A,#N/A,FALSE,"M.02"}</definedName>
    <definedName name="CBRB" localSheetId="18" hidden="1">{#N/A,#N/A,FALSE,"M.02"}</definedName>
    <definedName name="CBRB" hidden="1">{#N/A,#N/A,FALSE,"M.02"}</definedName>
    <definedName name="CCC" localSheetId="2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CC" localSheetId="1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CC" localSheetId="2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CC" localSheetId="2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CC" localSheetId="3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CC" localSheetId="2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CC" localSheetId="2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CC" localSheetId="2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CC" localSheetId="3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CC" localSheetId="3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CC" localSheetId="1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CC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CC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CCC" localSheetId="32" hidden="1">#REF!</definedName>
    <definedName name="CCCC" localSheetId="27" hidden="1">#REF!</definedName>
    <definedName name="CCCC" localSheetId="18" hidden="1">#REF!</definedName>
    <definedName name="CCCC" hidden="1">#REF!</definedName>
    <definedName name="CCCCCC" localSheetId="27" hidden="1">#REF!</definedName>
    <definedName name="CCCCCC" localSheetId="18" hidden="1">#REF!</definedName>
    <definedName name="CCCCCC" hidden="1">#REF!</definedName>
    <definedName name="CCCCCCC" localSheetId="20" hidden="1">{"'Sheet1'!$A$1"}</definedName>
    <definedName name="CCCCCCC" localSheetId="19" hidden="1">{"'Sheet1'!$A$1"}</definedName>
    <definedName name="CCCCCCC" localSheetId="26" hidden="1">{"'Sheet1'!$A$1"}</definedName>
    <definedName name="CCCCCCC" localSheetId="24" hidden="1">{"'Sheet1'!$A$1"}</definedName>
    <definedName name="CCCCCCC" localSheetId="32" hidden="1">{"'Sheet1'!$A$1"}</definedName>
    <definedName name="CCCCCCC" localSheetId="27" hidden="1">{"'Sheet1'!$A$1"}</definedName>
    <definedName name="CCCCCCC" localSheetId="28" hidden="1">{"'Sheet1'!$A$1"}</definedName>
    <definedName name="CCCCCCC" localSheetId="29" hidden="1">{"'Sheet1'!$A$1"}</definedName>
    <definedName name="CCCCCCC" localSheetId="31" hidden="1">{"'Sheet1'!$A$1"}</definedName>
    <definedName name="CCCCCCC" localSheetId="30" hidden="1">{"'Sheet1'!$A$1"}</definedName>
    <definedName name="CCCCCCC" localSheetId="17" hidden="1">{"'Sheet1'!$A$1"}</definedName>
    <definedName name="CCCCCCC" localSheetId="18" hidden="1">{"'Sheet1'!$A$1"}</definedName>
    <definedName name="CCCCCCC" hidden="1">{"'Sheet1'!$A$1"}</definedName>
    <definedName name="cccccccccc" localSheetId="20" hidden="1">{"'Sheet1'!$A$1"}</definedName>
    <definedName name="cccccccccc" localSheetId="19" hidden="1">{"'Sheet1'!$A$1"}</definedName>
    <definedName name="cccccccccc" localSheetId="26" hidden="1">{"'Sheet1'!$A$1"}</definedName>
    <definedName name="cccccccccc" localSheetId="24" hidden="1">{"'Sheet1'!$A$1"}</definedName>
    <definedName name="cccccccccc" localSheetId="32" hidden="1">{"'Sheet1'!$A$1"}</definedName>
    <definedName name="cccccccccc" localSheetId="27" hidden="1">{"'Sheet1'!$A$1"}</definedName>
    <definedName name="cccccccccc" localSheetId="28" hidden="1">{"'Sheet1'!$A$1"}</definedName>
    <definedName name="cccccccccc" localSheetId="29" hidden="1">{"'Sheet1'!$A$1"}</definedName>
    <definedName name="cccccccccc" localSheetId="31" hidden="1">{"'Sheet1'!$A$1"}</definedName>
    <definedName name="cccccccccc" localSheetId="30" hidden="1">{"'Sheet1'!$A$1"}</definedName>
    <definedName name="cccccccccc" localSheetId="17" hidden="1">{"'Sheet1'!$A$1"}</definedName>
    <definedName name="cccccccccc" localSheetId="18" hidden="1">{"'Sheet1'!$A$1"}</definedName>
    <definedName name="cccccccccc" hidden="1">{"'Sheet1'!$A$1"}</definedName>
    <definedName name="CDE" localSheetId="42" hidden="1">#REF!</definedName>
    <definedName name="CDE" hidden="1">#REF!</definedName>
    <definedName name="CDFSSA" localSheetId="20" hidden="1">{"'Sheet1'!$A$1"}</definedName>
    <definedName name="CDFSSA" localSheetId="19" hidden="1">{"'Sheet1'!$A$1"}</definedName>
    <definedName name="CDFSSA" localSheetId="26" hidden="1">{"'Sheet1'!$A$1"}</definedName>
    <definedName name="CDFSSA" localSheetId="24" hidden="1">{"'Sheet1'!$A$1"}</definedName>
    <definedName name="CDFSSA" localSheetId="32" hidden="1">{"'Sheet1'!$A$1"}</definedName>
    <definedName name="CDFSSA" localSheetId="27" hidden="1">{"'Sheet1'!$A$1"}</definedName>
    <definedName name="CDFSSA" localSheetId="28" hidden="1">{"'Sheet1'!$A$1"}</definedName>
    <definedName name="CDFSSA" localSheetId="29" hidden="1">{"'Sheet1'!$A$1"}</definedName>
    <definedName name="CDFSSA" localSheetId="31" hidden="1">{"'Sheet1'!$A$1"}</definedName>
    <definedName name="CDFSSA" localSheetId="30" hidden="1">{"'Sheet1'!$A$1"}</definedName>
    <definedName name="CDFSSA" localSheetId="17" hidden="1">{"'Sheet1'!$A$1"}</definedName>
    <definedName name="CDFSSA" localSheetId="18" hidden="1">{"'Sheet1'!$A$1"}</definedName>
    <definedName name="CDFSSA" hidden="1">{"'Sheet1'!$A$1"}</definedName>
    <definedName name="CGHJ" hidden="1">#REF!</definedName>
    <definedName name="chemical" localSheetId="20" hidden="1">{#N/A,#N/A,FALSE,"CCTV"}</definedName>
    <definedName name="chemical" localSheetId="19" hidden="1">{#N/A,#N/A,FALSE,"CCTV"}</definedName>
    <definedName name="chemical" localSheetId="26" hidden="1">{#N/A,#N/A,FALSE,"CCTV"}</definedName>
    <definedName name="chemical" localSheetId="24" hidden="1">{#N/A,#N/A,FALSE,"CCTV"}</definedName>
    <definedName name="chemical" localSheetId="32" hidden="1">{#N/A,#N/A,FALSE,"CCTV"}</definedName>
    <definedName name="chemical" localSheetId="27" hidden="1">{#N/A,#N/A,FALSE,"CCTV"}</definedName>
    <definedName name="chemical" localSheetId="28" hidden="1">{#N/A,#N/A,FALSE,"CCTV"}</definedName>
    <definedName name="chemical" localSheetId="29" hidden="1">{#N/A,#N/A,FALSE,"CCTV"}</definedName>
    <definedName name="chemical" localSheetId="31" hidden="1">{#N/A,#N/A,FALSE,"CCTV"}</definedName>
    <definedName name="chemical" localSheetId="30" hidden="1">{#N/A,#N/A,FALSE,"CCTV"}</definedName>
    <definedName name="chemical" localSheetId="17" hidden="1">{#N/A,#N/A,FALSE,"CCTV"}</definedName>
    <definedName name="chemical" localSheetId="18" hidden="1">{#N/A,#N/A,FALSE,"CCTV"}</definedName>
    <definedName name="chemical" hidden="1">{#N/A,#N/A,FALSE,"CCTV"}</definedName>
    <definedName name="chung" localSheetId="20" hidden="1">{"'Sheet1'!$L$16"}</definedName>
    <definedName name="chung" localSheetId="19" hidden="1">{"'Sheet1'!$L$16"}</definedName>
    <definedName name="chung" localSheetId="26" hidden="1">{"'Sheet1'!$L$16"}</definedName>
    <definedName name="chung" localSheetId="24" hidden="1">{"'Sheet1'!$L$16"}</definedName>
    <definedName name="chung" localSheetId="32" hidden="1">{"'Sheet1'!$L$16"}</definedName>
    <definedName name="chung" localSheetId="27" hidden="1">{"'Sheet1'!$L$16"}</definedName>
    <definedName name="chung" localSheetId="28" hidden="1">{"'Sheet1'!$L$16"}</definedName>
    <definedName name="chung" localSheetId="29" hidden="1">{"'Sheet1'!$L$16"}</definedName>
    <definedName name="chung" localSheetId="31" hidden="1">{"'Sheet1'!$L$16"}</definedName>
    <definedName name="chung" localSheetId="30" hidden="1">{"'Sheet1'!$L$16"}</definedName>
    <definedName name="chung" localSheetId="17" hidden="1">{"'Sheet1'!$L$16"}</definedName>
    <definedName name="chung" localSheetId="18" hidden="1">{"'Sheet1'!$L$16"}</definedName>
    <definedName name="chung" hidden="1">{"'Sheet1'!$L$16"}</definedName>
    <definedName name="chungchi" localSheetId="20" hidden="1">{"'Sheet1'!$L$16"}</definedName>
    <definedName name="chungchi" localSheetId="19" hidden="1">{"'Sheet1'!$L$16"}</definedName>
    <definedName name="chungchi" localSheetId="26" hidden="1">{"'Sheet1'!$L$16"}</definedName>
    <definedName name="chungchi" localSheetId="24" hidden="1">{"'Sheet1'!$L$16"}</definedName>
    <definedName name="chungchi" localSheetId="32" hidden="1">{"'Sheet1'!$L$16"}</definedName>
    <definedName name="chungchi" localSheetId="27" hidden="1">{"'Sheet1'!$L$16"}</definedName>
    <definedName name="chungchi" localSheetId="28" hidden="1">{"'Sheet1'!$L$16"}</definedName>
    <definedName name="chungchi" localSheetId="29" hidden="1">{"'Sheet1'!$L$16"}</definedName>
    <definedName name="chungchi" localSheetId="31" hidden="1">{"'Sheet1'!$L$16"}</definedName>
    <definedName name="chungchi" localSheetId="30" hidden="1">{"'Sheet1'!$L$16"}</definedName>
    <definedName name="chungchi" localSheetId="17" hidden="1">{"'Sheet1'!$L$16"}</definedName>
    <definedName name="chungchi" localSheetId="18" hidden="1">{"'Sheet1'!$L$16"}</definedName>
    <definedName name="chungchi" hidden="1">{"'Sheet1'!$L$16"}</definedName>
    <definedName name="CILACAP" localSheetId="20" hidden="1">{#N/A,#N/A,FALSE,"CCTV"}</definedName>
    <definedName name="CILACAP" localSheetId="19" hidden="1">{#N/A,#N/A,FALSE,"CCTV"}</definedName>
    <definedName name="CILACAP" localSheetId="26" hidden="1">{#N/A,#N/A,FALSE,"CCTV"}</definedName>
    <definedName name="CILACAP" localSheetId="24" hidden="1">{#N/A,#N/A,FALSE,"CCTV"}</definedName>
    <definedName name="CILACAP" localSheetId="32" hidden="1">{#N/A,#N/A,FALSE,"CCTV"}</definedName>
    <definedName name="CILACAP" localSheetId="27" hidden="1">{#N/A,#N/A,FALSE,"CCTV"}</definedName>
    <definedName name="CILACAP" localSheetId="28" hidden="1">{#N/A,#N/A,FALSE,"CCTV"}</definedName>
    <definedName name="CILACAP" localSheetId="29" hidden="1">{#N/A,#N/A,FALSE,"CCTV"}</definedName>
    <definedName name="CILACAP" localSheetId="31" hidden="1">{#N/A,#N/A,FALSE,"CCTV"}</definedName>
    <definedName name="CILACAP" localSheetId="30" hidden="1">{#N/A,#N/A,FALSE,"CCTV"}</definedName>
    <definedName name="CILACAP" localSheetId="17" hidden="1">{#N/A,#N/A,FALSE,"CCTV"}</definedName>
    <definedName name="CILACAP" localSheetId="18" hidden="1">{#N/A,#N/A,FALSE,"CCTV"}</definedName>
    <definedName name="CILACAP" hidden="1">{#N/A,#N/A,FALSE,"CCTV"}</definedName>
    <definedName name="CKTB" localSheetId="20" hidden="1">{#N/A,#N/A,FALSE,"M.31"}</definedName>
    <definedName name="CKTB" localSheetId="19" hidden="1">{#N/A,#N/A,FALSE,"M.31"}</definedName>
    <definedName name="CKTB" localSheetId="26" hidden="1">{#N/A,#N/A,FALSE,"M.31"}</definedName>
    <definedName name="CKTB" localSheetId="24" hidden="1">{#N/A,#N/A,FALSE,"M.31"}</definedName>
    <definedName name="CKTB" localSheetId="32" hidden="1">{#N/A,#N/A,FALSE,"M.31"}</definedName>
    <definedName name="CKTB" localSheetId="27" hidden="1">{#N/A,#N/A,FALSE,"M.31"}</definedName>
    <definedName name="CKTB" localSheetId="28" hidden="1">{#N/A,#N/A,FALSE,"M.31"}</definedName>
    <definedName name="CKTB" localSheetId="29" hidden="1">{#N/A,#N/A,FALSE,"M.31"}</definedName>
    <definedName name="CKTB" localSheetId="31" hidden="1">{#N/A,#N/A,FALSE,"M.31"}</definedName>
    <definedName name="CKTB" localSheetId="30" hidden="1">{#N/A,#N/A,FALSE,"M.31"}</definedName>
    <definedName name="CKTB" localSheetId="17" hidden="1">{#N/A,#N/A,FALSE,"M.31"}</definedName>
    <definedName name="CKTB" localSheetId="18" hidden="1">{#N/A,#N/A,FALSE,"M.31"}</definedName>
    <definedName name="CKTB" hidden="1">{#N/A,#N/A,FALSE,"M.31"}</definedName>
    <definedName name="coba" localSheetId="32" hidden="1">#REF!</definedName>
    <definedName name="coba" hidden="1">#REF!</definedName>
    <definedName name="Code" localSheetId="32" hidden="1">#REF!</definedName>
    <definedName name="Code" localSheetId="42" hidden="1">#REF!</definedName>
    <definedName name="Code" hidden="1">#REF!</definedName>
    <definedName name="Comparison" localSheetId="20" hidden="1">{#N/A,#N/A,FALSE,"전력간선"}</definedName>
    <definedName name="Comparison" localSheetId="19" hidden="1">{#N/A,#N/A,FALSE,"전력간선"}</definedName>
    <definedName name="Comparison" localSheetId="26" hidden="1">{#N/A,#N/A,FALSE,"전력간선"}</definedName>
    <definedName name="Comparison" localSheetId="24" hidden="1">{#N/A,#N/A,FALSE,"전력간선"}</definedName>
    <definedName name="Comparison" localSheetId="32" hidden="1">{#N/A,#N/A,FALSE,"전력간선"}</definedName>
    <definedName name="Comparison" localSheetId="27" hidden="1">{#N/A,#N/A,FALSE,"전력간선"}</definedName>
    <definedName name="Comparison" localSheetId="28" hidden="1">{#N/A,#N/A,FALSE,"전력간선"}</definedName>
    <definedName name="Comparison" localSheetId="29" hidden="1">{#N/A,#N/A,FALSE,"전력간선"}</definedName>
    <definedName name="Comparison" localSheetId="31" hidden="1">{#N/A,#N/A,FALSE,"전력간선"}</definedName>
    <definedName name="Comparison" localSheetId="30" hidden="1">{#N/A,#N/A,FALSE,"전력간선"}</definedName>
    <definedName name="Comparison" localSheetId="17" hidden="1">{#N/A,#N/A,FALSE,"전력간선"}</definedName>
    <definedName name="Comparison" localSheetId="18" hidden="1">{#N/A,#N/A,FALSE,"전력간선"}</definedName>
    <definedName name="Comparison" hidden="1">{#N/A,#N/A,FALSE,"전력간선"}</definedName>
    <definedName name="CONS" localSheetId="20" hidden="1">{#N/A,#N/A,FALSE,"CCTV"}</definedName>
    <definedName name="CONS" localSheetId="19" hidden="1">{#N/A,#N/A,FALSE,"CCTV"}</definedName>
    <definedName name="CONS" localSheetId="26" hidden="1">{#N/A,#N/A,FALSE,"CCTV"}</definedName>
    <definedName name="CONS" localSheetId="24" hidden="1">{#N/A,#N/A,FALSE,"CCTV"}</definedName>
    <definedName name="CONS" localSheetId="32" hidden="1">{#N/A,#N/A,FALSE,"CCTV"}</definedName>
    <definedName name="CONS" localSheetId="27" hidden="1">{#N/A,#N/A,FALSE,"CCTV"}</definedName>
    <definedName name="CONS" localSheetId="28" hidden="1">{#N/A,#N/A,FALSE,"CCTV"}</definedName>
    <definedName name="CONS" localSheetId="29" hidden="1">{#N/A,#N/A,FALSE,"CCTV"}</definedName>
    <definedName name="CONS" localSheetId="31" hidden="1">{#N/A,#N/A,FALSE,"CCTV"}</definedName>
    <definedName name="CONS" localSheetId="30" hidden="1">{#N/A,#N/A,FALSE,"CCTV"}</definedName>
    <definedName name="CONS" localSheetId="17" hidden="1">{#N/A,#N/A,FALSE,"CCTV"}</definedName>
    <definedName name="CONS" localSheetId="18" hidden="1">{#N/A,#N/A,FALSE,"CCTV"}</definedName>
    <definedName name="CONS" hidden="1">{#N/A,#N/A,FALSE,"CCTV"}</definedName>
    <definedName name="CONSOMABLE" localSheetId="20" hidden="1">{#N/A,#N/A,FALSE,"CCTV"}</definedName>
    <definedName name="CONSOMABLE" localSheetId="19" hidden="1">{#N/A,#N/A,FALSE,"CCTV"}</definedName>
    <definedName name="CONSOMABLE" localSheetId="26" hidden="1">{#N/A,#N/A,FALSE,"CCTV"}</definedName>
    <definedName name="CONSOMABLE" localSheetId="24" hidden="1">{#N/A,#N/A,FALSE,"CCTV"}</definedName>
    <definedName name="CONSOMABLE" localSheetId="32" hidden="1">{#N/A,#N/A,FALSE,"CCTV"}</definedName>
    <definedName name="CONSOMABLE" localSheetId="27" hidden="1">{#N/A,#N/A,FALSE,"CCTV"}</definedName>
    <definedName name="CONSOMABLE" localSheetId="28" hidden="1">{#N/A,#N/A,FALSE,"CCTV"}</definedName>
    <definedName name="CONSOMABLE" localSheetId="29" hidden="1">{#N/A,#N/A,FALSE,"CCTV"}</definedName>
    <definedName name="CONSOMABLE" localSheetId="31" hidden="1">{#N/A,#N/A,FALSE,"CCTV"}</definedName>
    <definedName name="CONSOMABLE" localSheetId="30" hidden="1">{#N/A,#N/A,FALSE,"CCTV"}</definedName>
    <definedName name="CONSOMABLE" localSheetId="17" hidden="1">{#N/A,#N/A,FALSE,"CCTV"}</definedName>
    <definedName name="CONSOMABLE" localSheetId="18" hidden="1">{#N/A,#N/A,FALSE,"CCTV"}</definedName>
    <definedName name="CONSOMABLE" hidden="1">{#N/A,#N/A,FALSE,"CCTV"}</definedName>
    <definedName name="CONSUMABLE" localSheetId="20" hidden="1">{#N/A,#N/A,FALSE,"CCTV"}</definedName>
    <definedName name="CONSUMABLE" localSheetId="19" hidden="1">{#N/A,#N/A,FALSE,"CCTV"}</definedName>
    <definedName name="CONSUMABLE" localSheetId="26" hidden="1">{#N/A,#N/A,FALSE,"CCTV"}</definedName>
    <definedName name="CONSUMABLE" localSheetId="24" hidden="1">{#N/A,#N/A,FALSE,"CCTV"}</definedName>
    <definedName name="CONSUMABLE" localSheetId="32" hidden="1">{#N/A,#N/A,FALSE,"CCTV"}</definedName>
    <definedName name="CONSUMABLE" localSheetId="27" hidden="1">{#N/A,#N/A,FALSE,"CCTV"}</definedName>
    <definedName name="CONSUMABLE" localSheetId="28" hidden="1">{#N/A,#N/A,FALSE,"CCTV"}</definedName>
    <definedName name="CONSUMABLE" localSheetId="29" hidden="1">{#N/A,#N/A,FALSE,"CCTV"}</definedName>
    <definedName name="CONSUMABLE" localSheetId="31" hidden="1">{#N/A,#N/A,FALSE,"CCTV"}</definedName>
    <definedName name="CONSUMABLE" localSheetId="30" hidden="1">{#N/A,#N/A,FALSE,"CCTV"}</definedName>
    <definedName name="CONSUMABLE" localSheetId="17" hidden="1">{#N/A,#N/A,FALSE,"CCTV"}</definedName>
    <definedName name="CONSUMABLE" localSheetId="18" hidden="1">{#N/A,#N/A,FALSE,"CCTV"}</definedName>
    <definedName name="CONSUMABLE" hidden="1">{#N/A,#N/A,FALSE,"CCTV"}</definedName>
    <definedName name="Copyright" hidden="1">"© 1995 Worley Limited"</definedName>
    <definedName name="cover" localSheetId="32" hidden="1">#REF!</definedName>
    <definedName name="cover" localSheetId="15" hidden="1">#REF!</definedName>
    <definedName name="cover" hidden="1">#REF!</definedName>
    <definedName name="cover2" localSheetId="15" hidden="1">#REF!</definedName>
    <definedName name="cover2" hidden="1">#REF!</definedName>
    <definedName name="CQ" localSheetId="20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CQ" localSheetId="19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CQ" localSheetId="26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CQ" localSheetId="24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CQ" localSheetId="32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CQ" localSheetId="27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CQ" localSheetId="28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CQ" localSheetId="29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CQ" localSheetId="31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CQ" localSheetId="30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CQ" localSheetId="17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CQ" localSheetId="18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CQ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CR" localSheetId="20" hidden="1">{#N/A,#N/A,FALSE,"CCTV"}</definedName>
    <definedName name="CR" localSheetId="19" hidden="1">{#N/A,#N/A,FALSE,"CCTV"}</definedName>
    <definedName name="CR" localSheetId="26" hidden="1">{#N/A,#N/A,FALSE,"CCTV"}</definedName>
    <definedName name="CR" localSheetId="24" hidden="1">{#N/A,#N/A,FALSE,"CCTV"}</definedName>
    <definedName name="CR" localSheetId="32" hidden="1">{#N/A,#N/A,FALSE,"CCTV"}</definedName>
    <definedName name="CR" localSheetId="27" hidden="1">{#N/A,#N/A,FALSE,"CCTV"}</definedName>
    <definedName name="CR" localSheetId="28" hidden="1">{#N/A,#N/A,FALSE,"CCTV"}</definedName>
    <definedName name="CR" localSheetId="29" hidden="1">{#N/A,#N/A,FALSE,"CCTV"}</definedName>
    <definedName name="CR" localSheetId="31" hidden="1">{#N/A,#N/A,FALSE,"CCTV"}</definedName>
    <definedName name="CR" localSheetId="30" hidden="1">{#N/A,#N/A,FALSE,"CCTV"}</definedName>
    <definedName name="CR" localSheetId="17" hidden="1">{#N/A,#N/A,FALSE,"CCTV"}</definedName>
    <definedName name="CR" localSheetId="18" hidden="1">{#N/A,#N/A,FALSE,"CCTV"}</definedName>
    <definedName name="CR" hidden="1">{#N/A,#N/A,FALSE,"CCTV"}</definedName>
    <definedName name="ct1_2" localSheetId="20" hidden="1">{"'Sheet1'!$L$16"}</definedName>
    <definedName name="ct1_2" localSheetId="19" hidden="1">{"'Sheet1'!$L$16"}</definedName>
    <definedName name="ct1_2" localSheetId="26" hidden="1">{"'Sheet1'!$L$16"}</definedName>
    <definedName name="ct1_2" localSheetId="24" hidden="1">{"'Sheet1'!$L$16"}</definedName>
    <definedName name="ct1_2" localSheetId="32" hidden="1">{"'Sheet1'!$L$16"}</definedName>
    <definedName name="ct1_2" localSheetId="27" hidden="1">{"'Sheet1'!$L$16"}</definedName>
    <definedName name="ct1_2" localSheetId="28" hidden="1">{"'Sheet1'!$L$16"}</definedName>
    <definedName name="ct1_2" localSheetId="29" hidden="1">{"'Sheet1'!$L$16"}</definedName>
    <definedName name="ct1_2" localSheetId="31" hidden="1">{"'Sheet1'!$L$16"}</definedName>
    <definedName name="ct1_2" localSheetId="30" hidden="1">{"'Sheet1'!$L$16"}</definedName>
    <definedName name="ct1_2" localSheetId="17" hidden="1">{"'Sheet1'!$L$16"}</definedName>
    <definedName name="ct1_2" localSheetId="18" hidden="1">{"'Sheet1'!$L$16"}</definedName>
    <definedName name="ct1_2" hidden="1">{"'Sheet1'!$L$16"}</definedName>
    <definedName name="CTCT1" localSheetId="20" hidden="1">{"'Sheet1'!$L$16"}</definedName>
    <definedName name="CTCT1" localSheetId="19" hidden="1">{"'Sheet1'!$L$16"}</definedName>
    <definedName name="CTCT1" localSheetId="26" hidden="1">{"'Sheet1'!$L$16"}</definedName>
    <definedName name="CTCT1" localSheetId="24" hidden="1">{"'Sheet1'!$L$16"}</definedName>
    <definedName name="CTCT1" localSheetId="32" hidden="1">{"'Sheet1'!$L$16"}</definedName>
    <definedName name="CTCT1" localSheetId="27" hidden="1">{"'Sheet1'!$L$16"}</definedName>
    <definedName name="CTCT1" localSheetId="28" hidden="1">{"'Sheet1'!$L$16"}</definedName>
    <definedName name="CTCT1" localSheetId="29" hidden="1">{"'Sheet1'!$L$16"}</definedName>
    <definedName name="CTCT1" localSheetId="31" hidden="1">{"'Sheet1'!$L$16"}</definedName>
    <definedName name="CTCT1" localSheetId="30" hidden="1">{"'Sheet1'!$L$16"}</definedName>
    <definedName name="CTCT1" localSheetId="17" hidden="1">{"'Sheet1'!$L$16"}</definedName>
    <definedName name="CTCT1" localSheetId="18" hidden="1">{"'Sheet1'!$L$16"}</definedName>
    <definedName name="CTCT1" hidden="1">{"'Sheet1'!$L$16"}</definedName>
    <definedName name="cum" localSheetId="20" hidden="1">{"'Sheet1'!$A$1"}</definedName>
    <definedName name="cum" localSheetId="19" hidden="1">{"'Sheet1'!$A$1"}</definedName>
    <definedName name="cum" localSheetId="26" hidden="1">{"'Sheet1'!$A$1"}</definedName>
    <definedName name="cum" localSheetId="24" hidden="1">{"'Sheet1'!$A$1"}</definedName>
    <definedName name="cum" localSheetId="32" hidden="1">{"'Sheet1'!$A$1"}</definedName>
    <definedName name="cum" localSheetId="27" hidden="1">{"'Sheet1'!$A$1"}</definedName>
    <definedName name="cum" localSheetId="28" hidden="1">{"'Sheet1'!$A$1"}</definedName>
    <definedName name="cum" localSheetId="29" hidden="1">{"'Sheet1'!$A$1"}</definedName>
    <definedName name="cum" localSheetId="31" hidden="1">{"'Sheet1'!$A$1"}</definedName>
    <definedName name="cum" localSheetId="30" hidden="1">{"'Sheet1'!$A$1"}</definedName>
    <definedName name="cum" localSheetId="17" hidden="1">{"'Sheet1'!$A$1"}</definedName>
    <definedName name="cum" localSheetId="18" hidden="1">{"'Sheet1'!$A$1"}</definedName>
    <definedName name="cum" hidden="1">{"'Sheet1'!$A$1"}</definedName>
    <definedName name="cuma" localSheetId="20" hidden="1">{"'Sheet1'!$A$1"}</definedName>
    <definedName name="cuma" localSheetId="19" hidden="1">{"'Sheet1'!$A$1"}</definedName>
    <definedName name="cuma" localSheetId="26" hidden="1">{"'Sheet1'!$A$1"}</definedName>
    <definedName name="cuma" localSheetId="24" hidden="1">{"'Sheet1'!$A$1"}</definedName>
    <definedName name="cuma" localSheetId="32" hidden="1">{"'Sheet1'!$A$1"}</definedName>
    <definedName name="cuma" localSheetId="27" hidden="1">{"'Sheet1'!$A$1"}</definedName>
    <definedName name="cuma" localSheetId="28" hidden="1">{"'Sheet1'!$A$1"}</definedName>
    <definedName name="cuma" localSheetId="29" hidden="1">{"'Sheet1'!$A$1"}</definedName>
    <definedName name="cuma" localSheetId="31" hidden="1">{"'Sheet1'!$A$1"}</definedName>
    <definedName name="cuma" localSheetId="30" hidden="1">{"'Sheet1'!$A$1"}</definedName>
    <definedName name="cuma" localSheetId="17" hidden="1">{"'Sheet1'!$A$1"}</definedName>
    <definedName name="cuma" localSheetId="18" hidden="1">{"'Sheet1'!$A$1"}</definedName>
    <definedName name="cuma" hidden="1">{"'Sheet1'!$A$1"}</definedName>
    <definedName name="Curve" hidden="1">#REF!</definedName>
    <definedName name="curve1" localSheetId="20" hidden="1">{"'Sheet1'!$A$1"}</definedName>
    <definedName name="curve1" localSheetId="19" hidden="1">{"'Sheet1'!$A$1"}</definedName>
    <definedName name="curve1" localSheetId="26" hidden="1">{"'Sheet1'!$A$1"}</definedName>
    <definedName name="curve1" localSheetId="24" hidden="1">{"'Sheet1'!$A$1"}</definedName>
    <definedName name="curve1" localSheetId="32" hidden="1">{"'Sheet1'!$A$1"}</definedName>
    <definedName name="curve1" localSheetId="27" hidden="1">{"'Sheet1'!$A$1"}</definedName>
    <definedName name="curve1" localSheetId="28" hidden="1">{"'Sheet1'!$A$1"}</definedName>
    <definedName name="curve1" localSheetId="29" hidden="1">{"'Sheet1'!$A$1"}</definedName>
    <definedName name="curve1" localSheetId="31" hidden="1">{"'Sheet1'!$A$1"}</definedName>
    <definedName name="curve1" localSheetId="30" hidden="1">{"'Sheet1'!$A$1"}</definedName>
    <definedName name="curve1" localSheetId="17" hidden="1">{"'Sheet1'!$A$1"}</definedName>
    <definedName name="curve1" localSheetId="18" hidden="1">{"'Sheet1'!$A$1"}</definedName>
    <definedName name="curve1" hidden="1">{"'Sheet1'!$A$1"}</definedName>
    <definedName name="Cwvu.CapersView." localSheetId="20" hidden="1">#REF!</definedName>
    <definedName name="Cwvu.CapersView." localSheetId="19" hidden="1">#REF!</definedName>
    <definedName name="Cwvu.CapersView." localSheetId="32" hidden="1">#REF!</definedName>
    <definedName name="Cwvu.CapersView." localSheetId="27" hidden="1">#REF!</definedName>
    <definedName name="Cwvu.CapersView." localSheetId="28" hidden="1">#REF!</definedName>
    <definedName name="Cwvu.CapersView." localSheetId="31" hidden="1">#REF!</definedName>
    <definedName name="Cwvu.CapersView." localSheetId="30" hidden="1">#REF!</definedName>
    <definedName name="Cwvu.CapersView." localSheetId="17" hidden="1">#REF!</definedName>
    <definedName name="Cwvu.CapersView." localSheetId="18" hidden="1">#REF!</definedName>
    <definedName name="Cwvu.CapersView." hidden="1">#REF!</definedName>
    <definedName name="Cwvu.Japan_Capers_Ed_Pub." localSheetId="27" hidden="1">#REF!</definedName>
    <definedName name="Cwvu.Japan_Capers_Ed_Pub." localSheetId="18" hidden="1">#REF!</definedName>
    <definedName name="Cwvu.Japan_Capers_Ed_Pub." hidden="1">#REF!</definedName>
    <definedName name="Cwvu.KJP_CC." localSheetId="20" hidden="1">#REF!,#REF!,#REF!,#REF!,#REF!,#REF!,#REF!,#REF!,#REF!,#REF!,#REF!,#REF!,#REF!,#REF!,#REF!,#REF!,#REF!,#REF!,#REF!,#REF!</definedName>
    <definedName name="Cwvu.KJP_CC." localSheetId="19" hidden="1">#REF!,#REF!,#REF!,#REF!,#REF!,#REF!,#REF!,#REF!,#REF!,#REF!,#REF!,#REF!,#REF!,#REF!,#REF!,#REF!,#REF!,#REF!,#REF!,#REF!</definedName>
    <definedName name="Cwvu.KJP_CC." localSheetId="32" hidden="1">#REF!,#REF!,#REF!,#REF!,#REF!,#REF!,#REF!,#REF!,#REF!,#REF!,#REF!,#REF!,#REF!,#REF!,#REF!,#REF!,#REF!,#REF!,#REF!,#REF!</definedName>
    <definedName name="Cwvu.KJP_CC." localSheetId="27" hidden="1">#REF!,#REF!,#REF!,#REF!,#REF!,#REF!,#REF!,#REF!,#REF!,#REF!,#REF!,#REF!,#REF!,#REF!,#REF!,#REF!,#REF!,#REF!,#REF!,#REF!</definedName>
    <definedName name="Cwvu.KJP_CC." localSheetId="28" hidden="1">#REF!,#REF!,#REF!,#REF!,#REF!,#REF!,#REF!,#REF!,#REF!,#REF!,#REF!,#REF!,#REF!,#REF!,#REF!,#REF!,#REF!,#REF!,#REF!,#REF!</definedName>
    <definedName name="Cwvu.KJP_CC." localSheetId="31" hidden="1">#REF!,#REF!,#REF!,#REF!,#REF!,#REF!,#REF!,#REF!,#REF!,#REF!,#REF!,#REF!,#REF!,#REF!,#REF!,#REF!,#REF!,#REF!,#REF!,#REF!</definedName>
    <definedName name="Cwvu.KJP_CC." localSheetId="30" hidden="1">#REF!,#REF!,#REF!,#REF!,#REF!,#REF!,#REF!,#REF!,#REF!,#REF!,#REF!,#REF!,#REF!,#REF!,#REF!,#REF!,#REF!,#REF!,#REF!,#REF!</definedName>
    <definedName name="Cwvu.KJP_CC." localSheetId="17" hidden="1">#REF!,#REF!,#REF!,#REF!,#REF!,#REF!,#REF!,#REF!,#REF!,#REF!,#REF!,#REF!,#REF!,#REF!,#REF!,#REF!,#REF!,#REF!,#REF!,#REF!</definedName>
    <definedName name="Cwvu.KJP_CC." localSheetId="18" hidden="1">#REF!,#REF!,#REF!,#REF!,#REF!,#REF!,#REF!,#REF!,#REF!,#REF!,#REF!,#REF!,#REF!,#REF!,#REF!,#REF!,#REF!,#REF!,#REF!,#REF!</definedName>
    <definedName name="Cwvu.KJP_CC." hidden="1">#REF!,#REF!,#REF!,#REF!,#REF!,#REF!,#REF!,#REF!,#REF!,#REF!,#REF!,#REF!,#REF!,#REF!,#REF!,#REF!,#REF!,#REF!,#REF!,#REF!</definedName>
    <definedName name="da" localSheetId="32" hidden="1">#REF!</definedName>
    <definedName name="da" localSheetId="27" hidden="1">#REF!</definedName>
    <definedName name="da" hidden="1">#REF!</definedName>
    <definedName name="dada" localSheetId="32" hidden="1">#REF!</definedName>
    <definedName name="dada" hidden="1">#REF!</definedName>
    <definedName name="daddsds" hidden="1">#REF!</definedName>
    <definedName name="DADFDD" hidden="1">#REF!</definedName>
    <definedName name="dafafafafe" localSheetId="20" hidden="1">{"Offgrid",#N/A,FALSE,"OFFGRID";"Region",#N/A,FALSE,"REGION";"Offgrid -2",#N/A,FALSE,"OFFGRID";"WTP",#N/A,FALSE,"WTP";"WTP -2",#N/A,FALSE,"WTP";"Project",#N/A,FALSE,"PROJECT";"Summary -2",#N/A,FALSE,"SUMMARY"}</definedName>
    <definedName name="dafafafafe" localSheetId="19" hidden="1">{"Offgrid",#N/A,FALSE,"OFFGRID";"Region",#N/A,FALSE,"REGION";"Offgrid -2",#N/A,FALSE,"OFFGRID";"WTP",#N/A,FALSE,"WTP";"WTP -2",#N/A,FALSE,"WTP";"Project",#N/A,FALSE,"PROJECT";"Summary -2",#N/A,FALSE,"SUMMARY"}</definedName>
    <definedName name="dafafafafe" localSheetId="26" hidden="1">{"Offgrid",#N/A,FALSE,"OFFGRID";"Region",#N/A,FALSE,"REGION";"Offgrid -2",#N/A,FALSE,"OFFGRID";"WTP",#N/A,FALSE,"WTP";"WTP -2",#N/A,FALSE,"WTP";"Project",#N/A,FALSE,"PROJECT";"Summary -2",#N/A,FALSE,"SUMMARY"}</definedName>
    <definedName name="dafafafafe" localSheetId="24" hidden="1">{"Offgrid",#N/A,FALSE,"OFFGRID";"Region",#N/A,FALSE,"REGION";"Offgrid -2",#N/A,FALSE,"OFFGRID";"WTP",#N/A,FALSE,"WTP";"WTP -2",#N/A,FALSE,"WTP";"Project",#N/A,FALSE,"PROJECT";"Summary -2",#N/A,FALSE,"SUMMARY"}</definedName>
    <definedName name="dafafafafe" localSheetId="32" hidden="1">{"Offgrid",#N/A,FALSE,"OFFGRID";"Region",#N/A,FALSE,"REGION";"Offgrid -2",#N/A,FALSE,"OFFGRID";"WTP",#N/A,FALSE,"WTP";"WTP -2",#N/A,FALSE,"WTP";"Project",#N/A,FALSE,"PROJECT";"Summary -2",#N/A,FALSE,"SUMMARY"}</definedName>
    <definedName name="dafafafafe" localSheetId="27" hidden="1">{"Offgrid",#N/A,FALSE,"OFFGRID";"Region",#N/A,FALSE,"REGION";"Offgrid -2",#N/A,FALSE,"OFFGRID";"WTP",#N/A,FALSE,"WTP";"WTP -2",#N/A,FALSE,"WTP";"Project",#N/A,FALSE,"PROJECT";"Summary -2",#N/A,FALSE,"SUMMARY"}</definedName>
    <definedName name="dafafafafe" localSheetId="28" hidden="1">{"Offgrid",#N/A,FALSE,"OFFGRID";"Region",#N/A,FALSE,"REGION";"Offgrid -2",#N/A,FALSE,"OFFGRID";"WTP",#N/A,FALSE,"WTP";"WTP -2",#N/A,FALSE,"WTP";"Project",#N/A,FALSE,"PROJECT";"Summary -2",#N/A,FALSE,"SUMMARY"}</definedName>
    <definedName name="dafafafafe" localSheetId="29" hidden="1">{"Offgrid",#N/A,FALSE,"OFFGRID";"Region",#N/A,FALSE,"REGION";"Offgrid -2",#N/A,FALSE,"OFFGRID";"WTP",#N/A,FALSE,"WTP";"WTP -2",#N/A,FALSE,"WTP";"Project",#N/A,FALSE,"PROJECT";"Summary -2",#N/A,FALSE,"SUMMARY"}</definedName>
    <definedName name="dafafafafe" localSheetId="31" hidden="1">{"Offgrid",#N/A,FALSE,"OFFGRID";"Region",#N/A,FALSE,"REGION";"Offgrid -2",#N/A,FALSE,"OFFGRID";"WTP",#N/A,FALSE,"WTP";"WTP -2",#N/A,FALSE,"WTP";"Project",#N/A,FALSE,"PROJECT";"Summary -2",#N/A,FALSE,"SUMMARY"}</definedName>
    <definedName name="dafafafafe" localSheetId="30" hidden="1">{"Offgrid",#N/A,FALSE,"OFFGRID";"Region",#N/A,FALSE,"REGION";"Offgrid -2",#N/A,FALSE,"OFFGRID";"WTP",#N/A,FALSE,"WTP";"WTP -2",#N/A,FALSE,"WTP";"Project",#N/A,FALSE,"PROJECT";"Summary -2",#N/A,FALSE,"SUMMARY"}</definedName>
    <definedName name="dafafafafe" localSheetId="17" hidden="1">{"Offgrid",#N/A,FALSE,"OFFGRID";"Region",#N/A,FALSE,"REGION";"Offgrid -2",#N/A,FALSE,"OFFGRID";"WTP",#N/A,FALSE,"WTP";"WTP -2",#N/A,FALSE,"WTP";"Project",#N/A,FALSE,"PROJECT";"Summary -2",#N/A,FALSE,"SUMMARY"}</definedName>
    <definedName name="dafafafafe" localSheetId="18" hidden="1">{"Offgrid",#N/A,FALSE,"OFFGRID";"Region",#N/A,FALSE,"REGION";"Offgrid -2",#N/A,FALSE,"OFFGRID";"WTP",#N/A,FALSE,"WTP";"WTP -2",#N/A,FALSE,"WTP";"Project",#N/A,FALSE,"PROJECT";"Summary -2",#N/A,FALSE,"SUMMARY"}</definedName>
    <definedName name="dafafafafe" hidden="1">{"Offgrid",#N/A,FALSE,"OFFGRID";"Region",#N/A,FALSE,"REGION";"Offgrid -2",#N/A,FALSE,"OFFGRID";"WTP",#N/A,FALSE,"WTP";"WTP -2",#N/A,FALSE,"WTP";"Project",#N/A,FALSE,"PROJECT";"Summary -2",#N/A,FALSE,"SUMMARY"}</definedName>
    <definedName name="dasdas" localSheetId="2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sdas" localSheetId="1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sdas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sdas" localSheetId="2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sdas" localSheetId="2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sdas" localSheetId="3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sdas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sdas" localSheetId="2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sdas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sdas" localSheetId="3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sdas" localSheetId="3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sdas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sdas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sdas" localSheetId="1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sdas" localSheetId="2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sdas" localSheetId="4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sdas" localSheetId="4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sdas" localSheetId="4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sdas" localSheetId="3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sdas" localSheetId="3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sda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SDD" localSheetId="32" hidden="1">#REF!</definedName>
    <definedName name="DASDD" localSheetId="27" hidden="1">#REF!</definedName>
    <definedName name="DASDD" localSheetId="18" hidden="1">#REF!</definedName>
    <definedName name="DASDD" hidden="1">#REF!</definedName>
    <definedName name="Data.Dump" localSheetId="27" hidden="1">OFFSET(#REF!,1,0)</definedName>
    <definedName name="Data.Dump" localSheetId="18" hidden="1">OFFSET(#REF!,1,0)</definedName>
    <definedName name="Data.Dump" hidden="1">OFFSET(#REF!,1,0)</definedName>
    <definedName name="data1" localSheetId="27" hidden="1">#REF!</definedName>
    <definedName name="data1" localSheetId="18" hidden="1">#REF!</definedName>
    <definedName name="data1" localSheetId="41" hidden="1">#REF!</definedName>
    <definedName name="data1" localSheetId="42" hidden="1">#REF!</definedName>
    <definedName name="data1" hidden="1">#REF!</definedName>
    <definedName name="data2" localSheetId="27" hidden="1">#REF!</definedName>
    <definedName name="data2" localSheetId="42" hidden="1">#REF!</definedName>
    <definedName name="data2" hidden="1">#REF!</definedName>
    <definedName name="data3" localSheetId="27" hidden="1">#REF!</definedName>
    <definedName name="data3" localSheetId="42" hidden="1">#REF!</definedName>
    <definedName name="data3" hidden="1">#REF!</definedName>
    <definedName name="Data4" hidden="1">#REF!</definedName>
    <definedName name="Data5" hidden="1">#REF!</definedName>
    <definedName name="dddd" localSheetId="42" hidden="1">#REF!</definedName>
    <definedName name="dddd" hidden="1">#REF!</definedName>
    <definedName name="dddfsfsfds" hidden="1">#REF!</definedName>
    <definedName name="DDFD" localSheetId="20" hidden="1">{#N/A,#N/A,FALSE,"CCTV"}</definedName>
    <definedName name="DDFD" localSheetId="19" hidden="1">{#N/A,#N/A,FALSE,"CCTV"}</definedName>
    <definedName name="DDFD" localSheetId="26" hidden="1">{#N/A,#N/A,FALSE,"CCTV"}</definedName>
    <definedName name="DDFD" localSheetId="24" hidden="1">{#N/A,#N/A,FALSE,"CCTV"}</definedName>
    <definedName name="DDFD" localSheetId="32" hidden="1">{#N/A,#N/A,FALSE,"CCTV"}</definedName>
    <definedName name="DDFD" localSheetId="27" hidden="1">{#N/A,#N/A,FALSE,"CCTV"}</definedName>
    <definedName name="DDFD" localSheetId="28" hidden="1">{#N/A,#N/A,FALSE,"CCTV"}</definedName>
    <definedName name="DDFD" localSheetId="29" hidden="1">{#N/A,#N/A,FALSE,"CCTV"}</definedName>
    <definedName name="DDFD" localSheetId="31" hidden="1">{#N/A,#N/A,FALSE,"CCTV"}</definedName>
    <definedName name="DDFD" localSheetId="30" hidden="1">{#N/A,#N/A,FALSE,"CCTV"}</definedName>
    <definedName name="DDFD" localSheetId="17" hidden="1">{#N/A,#N/A,FALSE,"CCTV"}</definedName>
    <definedName name="DDFD" localSheetId="18" hidden="1">{#N/A,#N/A,FALSE,"CCTV"}</definedName>
    <definedName name="DDFD" hidden="1">{#N/A,#N/A,FALSE,"CCTV"}</definedName>
    <definedName name="ddfgargasdrhb" localSheetId="32" hidden="1">#REF!</definedName>
    <definedName name="ddfgargasdrhb" localSheetId="27" hidden="1">#REF!</definedName>
    <definedName name="ddfgargasdrhb" localSheetId="18" hidden="1">#REF!</definedName>
    <definedName name="ddfgargasdrhb" hidden="1">#REF!</definedName>
    <definedName name="dds" localSheetId="27" hidden="1">#REF!</definedName>
    <definedName name="dds" localSheetId="18" hidden="1">#REF!</definedName>
    <definedName name="dds" hidden="1">#REF!</definedName>
    <definedName name="de" localSheetId="20" hidden="1">{#N/A,#N/A,FALSE,"CCTV"}</definedName>
    <definedName name="de" localSheetId="19" hidden="1">{#N/A,#N/A,FALSE,"CCTV"}</definedName>
    <definedName name="de" localSheetId="26" hidden="1">{#N/A,#N/A,FALSE,"CCTV"}</definedName>
    <definedName name="de" localSheetId="24" hidden="1">{#N/A,#N/A,FALSE,"CCTV"}</definedName>
    <definedName name="de" localSheetId="32" hidden="1">{#N/A,#N/A,FALSE,"CCTV"}</definedName>
    <definedName name="de" localSheetId="27" hidden="1">{#N/A,#N/A,FALSE,"CCTV"}</definedName>
    <definedName name="de" localSheetId="28" hidden="1">{#N/A,#N/A,FALSE,"CCTV"}</definedName>
    <definedName name="de" localSheetId="29" hidden="1">{#N/A,#N/A,FALSE,"CCTV"}</definedName>
    <definedName name="de" localSheetId="31" hidden="1">{#N/A,#N/A,FALSE,"CCTV"}</definedName>
    <definedName name="de" localSheetId="30" hidden="1">{#N/A,#N/A,FALSE,"CCTV"}</definedName>
    <definedName name="de" localSheetId="17" hidden="1">{#N/A,#N/A,FALSE,"CCTV"}</definedName>
    <definedName name="de" localSheetId="18" hidden="1">{#N/A,#N/A,FALSE,"CCTV"}</definedName>
    <definedName name="de" hidden="1">{#N/A,#N/A,FALSE,"CCTV"}</definedName>
    <definedName name="dea" localSheetId="20" hidden="1">{"'Sheet1'!$A$1"}</definedName>
    <definedName name="dea" localSheetId="19" hidden="1">{"'Sheet1'!$A$1"}</definedName>
    <definedName name="dea" localSheetId="26" hidden="1">{"'Sheet1'!$A$1"}</definedName>
    <definedName name="dea" localSheetId="24" hidden="1">{"'Sheet1'!$A$1"}</definedName>
    <definedName name="dea" localSheetId="32" hidden="1">{"'Sheet1'!$A$1"}</definedName>
    <definedName name="dea" localSheetId="27" hidden="1">{"'Sheet1'!$A$1"}</definedName>
    <definedName name="dea" localSheetId="28" hidden="1">{"'Sheet1'!$A$1"}</definedName>
    <definedName name="dea" localSheetId="29" hidden="1">{"'Sheet1'!$A$1"}</definedName>
    <definedName name="dea" localSheetId="31" hidden="1">{"'Sheet1'!$A$1"}</definedName>
    <definedName name="dea" localSheetId="30" hidden="1">{"'Sheet1'!$A$1"}</definedName>
    <definedName name="dea" localSheetId="17" hidden="1">{"'Sheet1'!$A$1"}</definedName>
    <definedName name="dea" localSheetId="18" hidden="1">{"'Sheet1'!$A$1"}</definedName>
    <definedName name="dea" hidden="1">{"'Sheet1'!$A$1"}</definedName>
    <definedName name="DEAR" hidden="1">#REF!</definedName>
    <definedName name="dedy" localSheetId="20" hidden="1">{#N/A,#N/A,FALSE,"CCTV"}</definedName>
    <definedName name="dedy" localSheetId="19" hidden="1">{#N/A,#N/A,FALSE,"CCTV"}</definedName>
    <definedName name="dedy" localSheetId="26" hidden="1">{#N/A,#N/A,FALSE,"CCTV"}</definedName>
    <definedName name="dedy" localSheetId="24" hidden="1">{#N/A,#N/A,FALSE,"CCTV"}</definedName>
    <definedName name="dedy" localSheetId="32" hidden="1">{#N/A,#N/A,FALSE,"CCTV"}</definedName>
    <definedName name="dedy" localSheetId="27" hidden="1">{#N/A,#N/A,FALSE,"CCTV"}</definedName>
    <definedName name="dedy" localSheetId="28" hidden="1">{#N/A,#N/A,FALSE,"CCTV"}</definedName>
    <definedName name="dedy" localSheetId="29" hidden="1">{#N/A,#N/A,FALSE,"CCTV"}</definedName>
    <definedName name="dedy" localSheetId="31" hidden="1">{#N/A,#N/A,FALSE,"CCTV"}</definedName>
    <definedName name="dedy" localSheetId="30" hidden="1">{#N/A,#N/A,FALSE,"CCTV"}</definedName>
    <definedName name="dedy" localSheetId="17" hidden="1">{#N/A,#N/A,FALSE,"CCTV"}</definedName>
    <definedName name="dedy" localSheetId="18" hidden="1">{#N/A,#N/A,FALSE,"CCTV"}</definedName>
    <definedName name="dedy" hidden="1">{#N/A,#N/A,FALSE,"CCTV"}</definedName>
    <definedName name="deer" localSheetId="32" hidden="1">#REF!</definedName>
    <definedName name="deer" localSheetId="27" hidden="1">#REF!</definedName>
    <definedName name="deer" localSheetId="18" hidden="1">#REF!</definedName>
    <definedName name="deer" hidden="1">#REF!</definedName>
    <definedName name="def" localSheetId="20" hidden="1">{"'1996'!$A$1:$J$272"}</definedName>
    <definedName name="def" localSheetId="19" hidden="1">{"'1996'!$A$1:$J$272"}</definedName>
    <definedName name="def" localSheetId="26" hidden="1">{"'1996'!$A$1:$J$272"}</definedName>
    <definedName name="def" localSheetId="24" hidden="1">{"'1996'!$A$1:$J$272"}</definedName>
    <definedName name="def" localSheetId="32" hidden="1">{"'1996'!$A$1:$J$272"}</definedName>
    <definedName name="def" localSheetId="27" hidden="1">{"'1996'!$A$1:$J$272"}</definedName>
    <definedName name="def" localSheetId="28" hidden="1">{"'1996'!$A$1:$J$272"}</definedName>
    <definedName name="def" localSheetId="29" hidden="1">{"'1996'!$A$1:$J$272"}</definedName>
    <definedName name="def" localSheetId="31" hidden="1">{"'1996'!$A$1:$J$272"}</definedName>
    <definedName name="def" localSheetId="30" hidden="1">{"'1996'!$A$1:$J$272"}</definedName>
    <definedName name="def" localSheetId="17" hidden="1">{"'1996'!$A$1:$J$272"}</definedName>
    <definedName name="def" localSheetId="18" hidden="1">{"'1996'!$A$1:$J$272"}</definedName>
    <definedName name="def" hidden="1">{"'1996'!$A$1:$J$272"}</definedName>
    <definedName name="DEFWEF" hidden="1">#REF!</definedName>
    <definedName name="deg" localSheetId="20" hidden="1">{"'Sheet1'!$A$1"}</definedName>
    <definedName name="deg" localSheetId="19" hidden="1">{"'Sheet1'!$A$1"}</definedName>
    <definedName name="deg" localSheetId="26" hidden="1">{"'Sheet1'!$A$1"}</definedName>
    <definedName name="deg" localSheetId="24" hidden="1">{"'Sheet1'!$A$1"}</definedName>
    <definedName name="deg" localSheetId="32" hidden="1">{"'Sheet1'!$A$1"}</definedName>
    <definedName name="deg" localSheetId="27" hidden="1">{"'Sheet1'!$A$1"}</definedName>
    <definedName name="deg" localSheetId="28" hidden="1">{"'Sheet1'!$A$1"}</definedName>
    <definedName name="deg" localSheetId="29" hidden="1">{"'Sheet1'!$A$1"}</definedName>
    <definedName name="deg" localSheetId="31" hidden="1">{"'Sheet1'!$A$1"}</definedName>
    <definedName name="deg" localSheetId="30" hidden="1">{"'Sheet1'!$A$1"}</definedName>
    <definedName name="deg" localSheetId="17" hidden="1">{"'Sheet1'!$A$1"}</definedName>
    <definedName name="deg" localSheetId="18" hidden="1">{"'Sheet1'!$A$1"}</definedName>
    <definedName name="deg" hidden="1">{"'Sheet1'!$A$1"}</definedName>
    <definedName name="DER" localSheetId="20" hidden="1">{"'Sheet1'!$A$1"}</definedName>
    <definedName name="DER" localSheetId="19" hidden="1">{"'Sheet1'!$A$1"}</definedName>
    <definedName name="DER" localSheetId="26" hidden="1">{"'Sheet1'!$A$1"}</definedName>
    <definedName name="DER" localSheetId="24" hidden="1">{"'Sheet1'!$A$1"}</definedName>
    <definedName name="DER" localSheetId="32" hidden="1">{"'Sheet1'!$A$1"}</definedName>
    <definedName name="DER" localSheetId="27" hidden="1">{"'Sheet1'!$A$1"}</definedName>
    <definedName name="DER" localSheetId="28" hidden="1">{"'Sheet1'!$A$1"}</definedName>
    <definedName name="DER" localSheetId="29" hidden="1">{"'Sheet1'!$A$1"}</definedName>
    <definedName name="DER" localSheetId="31" hidden="1">{"'Sheet1'!$A$1"}</definedName>
    <definedName name="DER" localSheetId="30" hidden="1">{"'Sheet1'!$A$1"}</definedName>
    <definedName name="DER" localSheetId="17" hidden="1">{"'Sheet1'!$A$1"}</definedName>
    <definedName name="DER" localSheetId="18" hidden="1">{"'Sheet1'!$A$1"}</definedName>
    <definedName name="DER" hidden="1">{"'Sheet1'!$A$1"}</definedName>
    <definedName name="DERM" localSheetId="42" hidden="1">#REF!</definedName>
    <definedName name="DERM" hidden="1">#REF!</definedName>
    <definedName name="deryt" localSheetId="20" hidden="1">{"'Sheet1'!$A$1"}</definedName>
    <definedName name="deryt" localSheetId="19" hidden="1">{"'Sheet1'!$A$1"}</definedName>
    <definedName name="deryt" localSheetId="26" hidden="1">{"'Sheet1'!$A$1"}</definedName>
    <definedName name="deryt" localSheetId="24" hidden="1">{"'Sheet1'!$A$1"}</definedName>
    <definedName name="deryt" localSheetId="32" hidden="1">{"'Sheet1'!$A$1"}</definedName>
    <definedName name="deryt" localSheetId="27" hidden="1">{"'Sheet1'!$A$1"}</definedName>
    <definedName name="deryt" localSheetId="28" hidden="1">{"'Sheet1'!$A$1"}</definedName>
    <definedName name="deryt" localSheetId="29" hidden="1">{"'Sheet1'!$A$1"}</definedName>
    <definedName name="deryt" localSheetId="31" hidden="1">{"'Sheet1'!$A$1"}</definedName>
    <definedName name="deryt" localSheetId="30" hidden="1">{"'Sheet1'!$A$1"}</definedName>
    <definedName name="deryt" localSheetId="17" hidden="1">{"'Sheet1'!$A$1"}</definedName>
    <definedName name="deryt" localSheetId="18" hidden="1">{"'Sheet1'!$A$1"}</definedName>
    <definedName name="deryt" hidden="1">{"'Sheet1'!$A$1"}</definedName>
    <definedName name="DETAIL" localSheetId="20" hidden="1">{#N/A,#N/A,FALSE,"SUM_Prop";#N/A,#N/A,FALSE,"PROCESS-eng";#N/A,#N/A,FALSE,"PROCESS-com";#N/A,#N/A,FALSE,"INST-eng";#N/A,#N/A,FALSE,"INST-com"}</definedName>
    <definedName name="DETAIL" localSheetId="19" hidden="1">{#N/A,#N/A,FALSE,"SUM_Prop";#N/A,#N/A,FALSE,"PROCESS-eng";#N/A,#N/A,FALSE,"PROCESS-com";#N/A,#N/A,FALSE,"INST-eng";#N/A,#N/A,FALSE,"INST-com"}</definedName>
    <definedName name="DETAIL" localSheetId="26" hidden="1">{#N/A,#N/A,FALSE,"SUM_Prop";#N/A,#N/A,FALSE,"PROCESS-eng";#N/A,#N/A,FALSE,"PROCESS-com";#N/A,#N/A,FALSE,"INST-eng";#N/A,#N/A,FALSE,"INST-com"}</definedName>
    <definedName name="DETAIL" localSheetId="24" hidden="1">{#N/A,#N/A,FALSE,"SUM_Prop";#N/A,#N/A,FALSE,"PROCESS-eng";#N/A,#N/A,FALSE,"PROCESS-com";#N/A,#N/A,FALSE,"INST-eng";#N/A,#N/A,FALSE,"INST-com"}</definedName>
    <definedName name="DETAIL" localSheetId="32" hidden="1">{#N/A,#N/A,FALSE,"SUM_Prop";#N/A,#N/A,FALSE,"PROCESS-eng";#N/A,#N/A,FALSE,"PROCESS-com";#N/A,#N/A,FALSE,"INST-eng";#N/A,#N/A,FALSE,"INST-com"}</definedName>
    <definedName name="DETAIL" localSheetId="27" hidden="1">{#N/A,#N/A,FALSE,"SUM_Prop";#N/A,#N/A,FALSE,"PROCESS-eng";#N/A,#N/A,FALSE,"PROCESS-com";#N/A,#N/A,FALSE,"INST-eng";#N/A,#N/A,FALSE,"INST-com"}</definedName>
    <definedName name="DETAIL" localSheetId="28" hidden="1">{#N/A,#N/A,FALSE,"SUM_Prop";#N/A,#N/A,FALSE,"PROCESS-eng";#N/A,#N/A,FALSE,"PROCESS-com";#N/A,#N/A,FALSE,"INST-eng";#N/A,#N/A,FALSE,"INST-com"}</definedName>
    <definedName name="DETAIL" localSheetId="29" hidden="1">{#N/A,#N/A,FALSE,"SUM_Prop";#N/A,#N/A,FALSE,"PROCESS-eng";#N/A,#N/A,FALSE,"PROCESS-com";#N/A,#N/A,FALSE,"INST-eng";#N/A,#N/A,FALSE,"INST-com"}</definedName>
    <definedName name="DETAIL" localSheetId="31" hidden="1">{#N/A,#N/A,FALSE,"SUM_Prop";#N/A,#N/A,FALSE,"PROCESS-eng";#N/A,#N/A,FALSE,"PROCESS-com";#N/A,#N/A,FALSE,"INST-eng";#N/A,#N/A,FALSE,"INST-com"}</definedName>
    <definedName name="DETAIL" localSheetId="30" hidden="1">{#N/A,#N/A,FALSE,"SUM_Prop";#N/A,#N/A,FALSE,"PROCESS-eng";#N/A,#N/A,FALSE,"PROCESS-com";#N/A,#N/A,FALSE,"INST-eng";#N/A,#N/A,FALSE,"INST-com"}</definedName>
    <definedName name="DETAIL" localSheetId="17" hidden="1">{#N/A,#N/A,FALSE,"SUM_Prop";#N/A,#N/A,FALSE,"PROCESS-eng";#N/A,#N/A,FALSE,"PROCESS-com";#N/A,#N/A,FALSE,"INST-eng";#N/A,#N/A,FALSE,"INST-com"}</definedName>
    <definedName name="DETAIL" localSheetId="18" hidden="1">{#N/A,#N/A,FALSE,"SUM_Prop";#N/A,#N/A,FALSE,"PROCESS-eng";#N/A,#N/A,FALSE,"PROCESS-com";#N/A,#N/A,FALSE,"INST-eng";#N/A,#N/A,FALSE,"INST-com"}</definedName>
    <definedName name="DETAIL" hidden="1">{#N/A,#N/A,FALSE,"SUM_Prop";#N/A,#N/A,FALSE,"PROCESS-eng";#N/A,#N/A,FALSE,"PROCESS-com";#N/A,#N/A,FALSE,"INST-eng";#N/A,#N/A,FALSE,"INST-com"}</definedName>
    <definedName name="df" localSheetId="20" hidden="1">{#N/A,#N/A,FALSE,"CCTV"}</definedName>
    <definedName name="df" localSheetId="19" hidden="1">{#N/A,#N/A,FALSE,"CCTV"}</definedName>
    <definedName name="df" localSheetId="26" hidden="1">{#N/A,#N/A,FALSE,"CCTV"}</definedName>
    <definedName name="df" localSheetId="24" hidden="1">{#N/A,#N/A,FALSE,"CCTV"}</definedName>
    <definedName name="df" localSheetId="32" hidden="1">{#N/A,#N/A,FALSE,"CCTV"}</definedName>
    <definedName name="df" localSheetId="27" hidden="1">{#N/A,#N/A,FALSE,"CCTV"}</definedName>
    <definedName name="df" localSheetId="28" hidden="1">{#N/A,#N/A,FALSE,"CCTV"}</definedName>
    <definedName name="df" localSheetId="29" hidden="1">{#N/A,#N/A,FALSE,"CCTV"}</definedName>
    <definedName name="df" localSheetId="31" hidden="1">{#N/A,#N/A,FALSE,"CCTV"}</definedName>
    <definedName name="df" localSheetId="30" hidden="1">{#N/A,#N/A,FALSE,"CCTV"}</definedName>
    <definedName name="df" localSheetId="17" hidden="1">{#N/A,#N/A,FALSE,"CCTV"}</definedName>
    <definedName name="df" localSheetId="18" hidden="1">{#N/A,#N/A,FALSE,"CCTV"}</definedName>
    <definedName name="df" hidden="1">{#N/A,#N/A,FALSE,"CCTV"}</definedName>
    <definedName name="dfafa" localSheetId="32" hidden="1">#REF!</definedName>
    <definedName name="dfafa" localSheetId="27" hidden="1">#REF!</definedName>
    <definedName name="dfafa" localSheetId="18" hidden="1">#REF!</definedName>
    <definedName name="dfafa" hidden="1">#REF!</definedName>
    <definedName name="dfafadfadf" localSheetId="27" hidden="1">#REF!</definedName>
    <definedName name="dfafadfadf" localSheetId="18" hidden="1">#REF!</definedName>
    <definedName name="dfafadfadf" hidden="1">#REF!</definedName>
    <definedName name="dfd" localSheetId="27" hidden="1">#REF!</definedName>
    <definedName name="dfd" localSheetId="18" hidden="1">#REF!</definedName>
    <definedName name="dfd" hidden="1">#REF!</definedName>
    <definedName name="dfdfdf" hidden="1">#REF!</definedName>
    <definedName name="dff" localSheetId="20" hidden="1">{"'Sheet1'!$A$1"}</definedName>
    <definedName name="dff" localSheetId="19" hidden="1">{"'Sheet1'!$A$1"}</definedName>
    <definedName name="dff" localSheetId="26" hidden="1">{"'Sheet1'!$A$1"}</definedName>
    <definedName name="dff" localSheetId="24" hidden="1">{"'Sheet1'!$A$1"}</definedName>
    <definedName name="dff" localSheetId="32" hidden="1">{"'Sheet1'!$A$1"}</definedName>
    <definedName name="dff" localSheetId="27" hidden="1">{"'Sheet1'!$A$1"}</definedName>
    <definedName name="dff" localSheetId="28" hidden="1">{"'Sheet1'!$A$1"}</definedName>
    <definedName name="dff" localSheetId="29" hidden="1">{"'Sheet1'!$A$1"}</definedName>
    <definedName name="dff" localSheetId="31" hidden="1">{"'Sheet1'!$A$1"}</definedName>
    <definedName name="dff" localSheetId="30" hidden="1">{"'Sheet1'!$A$1"}</definedName>
    <definedName name="dff" localSheetId="17" hidden="1">{"'Sheet1'!$A$1"}</definedName>
    <definedName name="dff" localSheetId="18" hidden="1">{"'Sheet1'!$A$1"}</definedName>
    <definedName name="dff" hidden="1">{"'Sheet1'!$A$1"}</definedName>
    <definedName name="dfff" localSheetId="20" hidden="1">{"'Sheet1'!$A$1"}</definedName>
    <definedName name="dfff" localSheetId="19" hidden="1">{"'Sheet1'!$A$1"}</definedName>
    <definedName name="dfff" localSheetId="26" hidden="1">{"'Sheet1'!$A$1"}</definedName>
    <definedName name="dfff" localSheetId="24" hidden="1">{"'Sheet1'!$A$1"}</definedName>
    <definedName name="dfff" localSheetId="32" hidden="1">{"'Sheet1'!$A$1"}</definedName>
    <definedName name="dfff" localSheetId="27" hidden="1">{"'Sheet1'!$A$1"}</definedName>
    <definedName name="dfff" localSheetId="28" hidden="1">{"'Sheet1'!$A$1"}</definedName>
    <definedName name="dfff" localSheetId="29" hidden="1">{"'Sheet1'!$A$1"}</definedName>
    <definedName name="dfff" localSheetId="31" hidden="1">{"'Sheet1'!$A$1"}</definedName>
    <definedName name="dfff" localSheetId="30" hidden="1">{"'Sheet1'!$A$1"}</definedName>
    <definedName name="dfff" localSheetId="17" hidden="1">{"'Sheet1'!$A$1"}</definedName>
    <definedName name="dfff" localSheetId="18" hidden="1">{"'Sheet1'!$A$1"}</definedName>
    <definedName name="dfff" hidden="1">{"'Sheet1'!$A$1"}</definedName>
    <definedName name="dffhh" localSheetId="20" hidden="1">{"'Sheet1'!$A$1"}</definedName>
    <definedName name="dffhh" localSheetId="19" hidden="1">{"'Sheet1'!$A$1"}</definedName>
    <definedName name="dffhh" localSheetId="26" hidden="1">{"'Sheet1'!$A$1"}</definedName>
    <definedName name="dffhh" localSheetId="24" hidden="1">{"'Sheet1'!$A$1"}</definedName>
    <definedName name="dffhh" localSheetId="32" hidden="1">{"'Sheet1'!$A$1"}</definedName>
    <definedName name="dffhh" localSheetId="27" hidden="1">{"'Sheet1'!$A$1"}</definedName>
    <definedName name="dffhh" localSheetId="28" hidden="1">{"'Sheet1'!$A$1"}</definedName>
    <definedName name="dffhh" localSheetId="29" hidden="1">{"'Sheet1'!$A$1"}</definedName>
    <definedName name="dffhh" localSheetId="31" hidden="1">{"'Sheet1'!$A$1"}</definedName>
    <definedName name="dffhh" localSheetId="30" hidden="1">{"'Sheet1'!$A$1"}</definedName>
    <definedName name="dffhh" localSheetId="17" hidden="1">{"'Sheet1'!$A$1"}</definedName>
    <definedName name="dffhh" localSheetId="18" hidden="1">{"'Sheet1'!$A$1"}</definedName>
    <definedName name="dffhh" hidden="1">{"'Sheet1'!$A$1"}</definedName>
    <definedName name="DFG" localSheetId="20" hidden="1">{#N/A,#N/A,FALSE,"전력간선"}</definedName>
    <definedName name="DFG" localSheetId="19" hidden="1">{#N/A,#N/A,FALSE,"전력간선"}</definedName>
    <definedName name="DFG" localSheetId="32" hidden="1">{#N/A,#N/A,FALSE,"전력간선"}</definedName>
    <definedName name="DFG" localSheetId="27" hidden="1">{#N/A,#N/A,FALSE,"전력간선"}</definedName>
    <definedName name="DFG" localSheetId="28" hidden="1">{#N/A,#N/A,FALSE,"전력간선"}</definedName>
    <definedName name="DFG" localSheetId="31" hidden="1">{#N/A,#N/A,FALSE,"전력간선"}</definedName>
    <definedName name="DFG" localSheetId="30" hidden="1">{#N/A,#N/A,FALSE,"전력간선"}</definedName>
    <definedName name="DFG" localSheetId="13" hidden="1">{#N/A,#N/A,FALSE,"전력간선"}</definedName>
    <definedName name="DFG" localSheetId="17" hidden="1">{#N/A,#N/A,FALSE,"전력간선"}</definedName>
    <definedName name="DFG" localSheetId="18" hidden="1">{#N/A,#N/A,FALSE,"전력간선"}</definedName>
    <definedName name="DFGASD" localSheetId="32" hidden="1">#REF!</definedName>
    <definedName name="DFGASD" localSheetId="27" hidden="1">#REF!</definedName>
    <definedName name="DFGASD" localSheetId="18" hidden="1">#REF!</definedName>
    <definedName name="DFGASD" hidden="1">#REF!</definedName>
    <definedName name="dfgdfg" localSheetId="20" hidden="1">{#N/A,#N/A,FALSE,"CCTV"}</definedName>
    <definedName name="dfgdfg" localSheetId="19" hidden="1">{#N/A,#N/A,FALSE,"CCTV"}</definedName>
    <definedName name="dfgdfg" localSheetId="26" hidden="1">{#N/A,#N/A,FALSE,"CCTV"}</definedName>
    <definedName name="dfgdfg" localSheetId="24" hidden="1">{#N/A,#N/A,FALSE,"CCTV"}</definedName>
    <definedName name="dfgdfg" localSheetId="32" hidden="1">{#N/A,#N/A,FALSE,"CCTV"}</definedName>
    <definedName name="dfgdfg" localSheetId="27" hidden="1">{#N/A,#N/A,FALSE,"CCTV"}</definedName>
    <definedName name="dfgdfg" localSheetId="28" hidden="1">{#N/A,#N/A,FALSE,"CCTV"}</definedName>
    <definedName name="dfgdfg" localSheetId="29" hidden="1">{#N/A,#N/A,FALSE,"CCTV"}</definedName>
    <definedName name="dfgdfg" localSheetId="31" hidden="1">{#N/A,#N/A,FALSE,"CCTV"}</definedName>
    <definedName name="dfgdfg" localSheetId="30" hidden="1">{#N/A,#N/A,FALSE,"CCTV"}</definedName>
    <definedName name="dfgdfg" localSheetId="17" hidden="1">{#N/A,#N/A,FALSE,"CCTV"}</definedName>
    <definedName name="dfgdfg" localSheetId="18" hidden="1">{#N/A,#N/A,FALSE,"CCTV"}</definedName>
    <definedName name="dfgdfg" hidden="1">{#N/A,#N/A,FALSE,"CCTV"}</definedName>
    <definedName name="DFGDSFGDSFG" localSheetId="20" hidden="1">#REF!</definedName>
    <definedName name="DFGDSFGDSFG" localSheetId="27" hidden="1">#REF!</definedName>
    <definedName name="DFGDSFGDSFG" localSheetId="28" hidden="1">#REF!</definedName>
    <definedName name="DFGDSFGDSFG" localSheetId="17" hidden="1">#REF!</definedName>
    <definedName name="DFGDSFGDSFG" localSheetId="18" hidden="1">#REF!</definedName>
    <definedName name="DFGDSFGDSFG" hidden="1">#REF!</definedName>
    <definedName name="dfghh" localSheetId="20" hidden="1">{"'Sheet1'!$A$1"}</definedName>
    <definedName name="dfghh" localSheetId="19" hidden="1">{"'Sheet1'!$A$1"}</definedName>
    <definedName name="dfghh" localSheetId="26" hidden="1">{"'Sheet1'!$A$1"}</definedName>
    <definedName name="dfghh" localSheetId="24" hidden="1">{"'Sheet1'!$A$1"}</definedName>
    <definedName name="dfghh" localSheetId="32" hidden="1">{"'Sheet1'!$A$1"}</definedName>
    <definedName name="dfghh" localSheetId="27" hidden="1">{"'Sheet1'!$A$1"}</definedName>
    <definedName name="dfghh" localSheetId="28" hidden="1">{"'Sheet1'!$A$1"}</definedName>
    <definedName name="dfghh" localSheetId="29" hidden="1">{"'Sheet1'!$A$1"}</definedName>
    <definedName name="dfghh" localSheetId="31" hidden="1">{"'Sheet1'!$A$1"}</definedName>
    <definedName name="dfghh" localSheetId="30" hidden="1">{"'Sheet1'!$A$1"}</definedName>
    <definedName name="dfghh" localSheetId="17" hidden="1">{"'Sheet1'!$A$1"}</definedName>
    <definedName name="dfghh" localSheetId="18" hidden="1">{"'Sheet1'!$A$1"}</definedName>
    <definedName name="dfghh" hidden="1">{"'Sheet1'!$A$1"}</definedName>
    <definedName name="DFGHJK" hidden="1">#REF!</definedName>
    <definedName name="dfgrg" localSheetId="20" hidden="1">{"'Sheet1'!$A$1"}</definedName>
    <definedName name="dfgrg" localSheetId="19" hidden="1">{"'Sheet1'!$A$1"}</definedName>
    <definedName name="dfgrg" localSheetId="26" hidden="1">{"'Sheet1'!$A$1"}</definedName>
    <definedName name="dfgrg" localSheetId="24" hidden="1">{"'Sheet1'!$A$1"}</definedName>
    <definedName name="dfgrg" localSheetId="32" hidden="1">{"'Sheet1'!$A$1"}</definedName>
    <definedName name="dfgrg" localSheetId="27" hidden="1">{"'Sheet1'!$A$1"}</definedName>
    <definedName name="dfgrg" localSheetId="28" hidden="1">{"'Sheet1'!$A$1"}</definedName>
    <definedName name="dfgrg" localSheetId="29" hidden="1">{"'Sheet1'!$A$1"}</definedName>
    <definedName name="dfgrg" localSheetId="31" hidden="1">{"'Sheet1'!$A$1"}</definedName>
    <definedName name="dfgrg" localSheetId="30" hidden="1">{"'Sheet1'!$A$1"}</definedName>
    <definedName name="dfgrg" localSheetId="17" hidden="1">{"'Sheet1'!$A$1"}</definedName>
    <definedName name="dfgrg" localSheetId="18" hidden="1">{"'Sheet1'!$A$1"}</definedName>
    <definedName name="dfgrg" hidden="1">{"'Sheet1'!$A$1"}</definedName>
    <definedName name="dfhh" localSheetId="20" hidden="1">{"'Sheet1'!$A$1"}</definedName>
    <definedName name="dfhh" localSheetId="19" hidden="1">{"'Sheet1'!$A$1"}</definedName>
    <definedName name="dfhh" localSheetId="26" hidden="1">{"'Sheet1'!$A$1"}</definedName>
    <definedName name="dfhh" localSheetId="24" hidden="1">{"'Sheet1'!$A$1"}</definedName>
    <definedName name="dfhh" localSheetId="32" hidden="1">{"'Sheet1'!$A$1"}</definedName>
    <definedName name="dfhh" localSheetId="27" hidden="1">{"'Sheet1'!$A$1"}</definedName>
    <definedName name="dfhh" localSheetId="28" hidden="1">{"'Sheet1'!$A$1"}</definedName>
    <definedName name="dfhh" localSheetId="29" hidden="1">{"'Sheet1'!$A$1"}</definedName>
    <definedName name="dfhh" localSheetId="31" hidden="1">{"'Sheet1'!$A$1"}</definedName>
    <definedName name="dfhh" localSheetId="30" hidden="1">{"'Sheet1'!$A$1"}</definedName>
    <definedName name="dfhh" localSheetId="17" hidden="1">{"'Sheet1'!$A$1"}</definedName>
    <definedName name="dfhh" localSheetId="18" hidden="1">{"'Sheet1'!$A$1"}</definedName>
    <definedName name="dfhh" hidden="1">{"'Sheet1'!$A$1"}</definedName>
    <definedName name="dfr" hidden="1">#REF!</definedName>
    <definedName name="dfssfdhn" localSheetId="20" hidden="1">{#N/A,#N/A,FALSE,"M.42"}</definedName>
    <definedName name="dfssfdhn" localSheetId="19" hidden="1">{#N/A,#N/A,FALSE,"M.42"}</definedName>
    <definedName name="dfssfdhn" localSheetId="26" hidden="1">{#N/A,#N/A,FALSE,"M.42"}</definedName>
    <definedName name="dfssfdhn" localSheetId="24" hidden="1">{#N/A,#N/A,FALSE,"M.42"}</definedName>
    <definedName name="dfssfdhn" localSheetId="32" hidden="1">{#N/A,#N/A,FALSE,"M.42"}</definedName>
    <definedName name="dfssfdhn" localSheetId="27" hidden="1">{#N/A,#N/A,FALSE,"M.42"}</definedName>
    <definedName name="dfssfdhn" localSheetId="28" hidden="1">{#N/A,#N/A,FALSE,"M.42"}</definedName>
    <definedName name="dfssfdhn" localSheetId="29" hidden="1">{#N/A,#N/A,FALSE,"M.42"}</definedName>
    <definedName name="dfssfdhn" localSheetId="31" hidden="1">{#N/A,#N/A,FALSE,"M.42"}</definedName>
    <definedName name="dfssfdhn" localSheetId="30" hidden="1">{#N/A,#N/A,FALSE,"M.42"}</definedName>
    <definedName name="dfssfdhn" localSheetId="17" hidden="1">{#N/A,#N/A,FALSE,"M.42"}</definedName>
    <definedName name="dfssfdhn" localSheetId="18" hidden="1">{#N/A,#N/A,FALSE,"M.42"}</definedName>
    <definedName name="dfssfdhn" hidden="1">{#N/A,#N/A,FALSE,"M.42"}</definedName>
    <definedName name="DFT" localSheetId="32" hidden="1">#REF!</definedName>
    <definedName name="DFT" localSheetId="27" hidden="1">#REF!</definedName>
    <definedName name="DFT" localSheetId="18" hidden="1">#REF!</definedName>
    <definedName name="DFT" hidden="1">#REF!</definedName>
    <definedName name="dfwef" localSheetId="27" hidden="1">#REF!</definedName>
    <definedName name="dfwef" hidden="1">#REF!</definedName>
    <definedName name="dfyhj" localSheetId="20" hidden="1">{"'Sheet1'!$A$1"}</definedName>
    <definedName name="dfyhj" localSheetId="19" hidden="1">{"'Sheet1'!$A$1"}</definedName>
    <definedName name="dfyhj" localSheetId="26" hidden="1">{"'Sheet1'!$A$1"}</definedName>
    <definedName name="dfyhj" localSheetId="24" hidden="1">{"'Sheet1'!$A$1"}</definedName>
    <definedName name="dfyhj" localSheetId="32" hidden="1">{"'Sheet1'!$A$1"}</definedName>
    <definedName name="dfyhj" localSheetId="27" hidden="1">{"'Sheet1'!$A$1"}</definedName>
    <definedName name="dfyhj" localSheetId="28" hidden="1">{"'Sheet1'!$A$1"}</definedName>
    <definedName name="dfyhj" localSheetId="29" hidden="1">{"'Sheet1'!$A$1"}</definedName>
    <definedName name="dfyhj" localSheetId="31" hidden="1">{"'Sheet1'!$A$1"}</definedName>
    <definedName name="dfyhj" localSheetId="30" hidden="1">{"'Sheet1'!$A$1"}</definedName>
    <definedName name="dfyhj" localSheetId="17" hidden="1">{"'Sheet1'!$A$1"}</definedName>
    <definedName name="dfyhj" localSheetId="18" hidden="1">{"'Sheet1'!$A$1"}</definedName>
    <definedName name="dfyhj" hidden="1">{"'Sheet1'!$A$1"}</definedName>
    <definedName name="DG" localSheetId="20" hidden="1">{#N/A,#N/A,FALSE,"CCTV"}</definedName>
    <definedName name="DG" localSheetId="19" hidden="1">{#N/A,#N/A,FALSE,"CCTV"}</definedName>
    <definedName name="DG" localSheetId="26" hidden="1">{#N/A,#N/A,FALSE,"CCTV"}</definedName>
    <definedName name="DG" localSheetId="24" hidden="1">{#N/A,#N/A,FALSE,"CCTV"}</definedName>
    <definedName name="DG" localSheetId="32" hidden="1">{#N/A,#N/A,FALSE,"CCTV"}</definedName>
    <definedName name="DG" localSheetId="27" hidden="1">{#N/A,#N/A,FALSE,"CCTV"}</definedName>
    <definedName name="DG" localSheetId="28" hidden="1">{#N/A,#N/A,FALSE,"CCTV"}</definedName>
    <definedName name="DG" localSheetId="29" hidden="1">{#N/A,#N/A,FALSE,"CCTV"}</definedName>
    <definedName name="DG" localSheetId="31" hidden="1">{#N/A,#N/A,FALSE,"CCTV"}</definedName>
    <definedName name="DG" localSheetId="30" hidden="1">{#N/A,#N/A,FALSE,"CCTV"}</definedName>
    <definedName name="DG" localSheetId="17" hidden="1">{#N/A,#N/A,FALSE,"CCTV"}</definedName>
    <definedName name="DG" localSheetId="18" hidden="1">{#N/A,#N/A,FALSE,"CCTV"}</definedName>
    <definedName name="DG" hidden="1">{#N/A,#N/A,FALSE,"CCTV"}</definedName>
    <definedName name="DGD" localSheetId="2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" localSheetId="1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" localSheetId="2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" localSheetId="2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" localSheetId="3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" localSheetId="2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" localSheetId="2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" localSheetId="2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" localSheetId="3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" localSheetId="3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" localSheetId="1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e4g" localSheetId="20" hidden="1">{"'Sheet1'!$A$1"}</definedName>
    <definedName name="dge4g" localSheetId="19" hidden="1">{"'Sheet1'!$A$1"}</definedName>
    <definedName name="dge4g" localSheetId="26" hidden="1">{"'Sheet1'!$A$1"}</definedName>
    <definedName name="dge4g" localSheetId="24" hidden="1">{"'Sheet1'!$A$1"}</definedName>
    <definedName name="dge4g" localSheetId="32" hidden="1">{"'Sheet1'!$A$1"}</definedName>
    <definedName name="dge4g" localSheetId="27" hidden="1">{"'Sheet1'!$A$1"}</definedName>
    <definedName name="dge4g" localSheetId="28" hidden="1">{"'Sheet1'!$A$1"}</definedName>
    <definedName name="dge4g" localSheetId="29" hidden="1">{"'Sheet1'!$A$1"}</definedName>
    <definedName name="dge4g" localSheetId="31" hidden="1">{"'Sheet1'!$A$1"}</definedName>
    <definedName name="dge4g" localSheetId="30" hidden="1">{"'Sheet1'!$A$1"}</definedName>
    <definedName name="dge4g" localSheetId="17" hidden="1">{"'Sheet1'!$A$1"}</definedName>
    <definedName name="dge4g" localSheetId="18" hidden="1">{"'Sheet1'!$A$1"}</definedName>
    <definedName name="dge4g" hidden="1">{"'Sheet1'!$A$1"}</definedName>
    <definedName name="dgfdfdf" hidden="1">#REF!</definedName>
    <definedName name="DGFDSFG" localSheetId="2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DSFG" localSheetId="1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DSFG" localSheetId="2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DSFG" localSheetId="2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DSFG" localSheetId="3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DSFG" localSheetId="2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DSFG" localSheetId="2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DSFG" localSheetId="2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DSFG" localSheetId="3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DSFG" localSheetId="3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DSFG" localSheetId="1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DSFG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DS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gjgj" localSheetId="20" hidden="1">{#N/A,#N/A,FALSE,"CCTV"}</definedName>
    <definedName name="dgfgjgj" localSheetId="19" hidden="1">{#N/A,#N/A,FALSE,"CCTV"}</definedName>
    <definedName name="dgfgjgj" localSheetId="26" hidden="1">{#N/A,#N/A,FALSE,"CCTV"}</definedName>
    <definedName name="dgfgjgj" localSheetId="24" hidden="1">{#N/A,#N/A,FALSE,"CCTV"}</definedName>
    <definedName name="dgfgjgj" localSheetId="32" hidden="1">{#N/A,#N/A,FALSE,"CCTV"}</definedName>
    <definedName name="dgfgjgj" localSheetId="27" hidden="1">{#N/A,#N/A,FALSE,"CCTV"}</definedName>
    <definedName name="dgfgjgj" localSheetId="28" hidden="1">{#N/A,#N/A,FALSE,"CCTV"}</definedName>
    <definedName name="dgfgjgj" localSheetId="29" hidden="1">{#N/A,#N/A,FALSE,"CCTV"}</definedName>
    <definedName name="dgfgjgj" localSheetId="31" hidden="1">{#N/A,#N/A,FALSE,"CCTV"}</definedName>
    <definedName name="dgfgjgj" localSheetId="30" hidden="1">{#N/A,#N/A,FALSE,"CCTV"}</definedName>
    <definedName name="dgfgjgj" localSheetId="17" hidden="1">{#N/A,#N/A,FALSE,"CCTV"}</definedName>
    <definedName name="dgfgjgj" localSheetId="18" hidden="1">{#N/A,#N/A,FALSE,"CCTV"}</definedName>
    <definedName name="dgfgjgj" hidden="1">{#N/A,#N/A,FALSE,"CCTV"}</definedName>
    <definedName name="DGTFRES" localSheetId="20" hidden="1">#REF!</definedName>
    <definedName name="DGTFRES" localSheetId="19" hidden="1">#REF!</definedName>
    <definedName name="DGTFRES" localSheetId="32" hidden="1">#REF!</definedName>
    <definedName name="DGTFRES" localSheetId="27" hidden="1">#REF!</definedName>
    <definedName name="DGTFRES" localSheetId="28" hidden="1">#REF!</definedName>
    <definedName name="DGTFRES" localSheetId="31" hidden="1">#REF!</definedName>
    <definedName name="DGTFRES" localSheetId="30" hidden="1">#REF!</definedName>
    <definedName name="DGTFRES" localSheetId="17" hidden="1">#REF!</definedName>
    <definedName name="DGTFRES" localSheetId="18" hidden="1">#REF!</definedName>
    <definedName name="DGTFRES" hidden="1">#REF!</definedName>
    <definedName name="dgx" localSheetId="20" hidden="1">{#N/A,#N/A,FALSE,"M.41"}</definedName>
    <definedName name="dgx" localSheetId="19" hidden="1">{#N/A,#N/A,FALSE,"M.41"}</definedName>
    <definedName name="dgx" localSheetId="26" hidden="1">{#N/A,#N/A,FALSE,"M.41"}</definedName>
    <definedName name="dgx" localSheetId="24" hidden="1">{#N/A,#N/A,FALSE,"M.41"}</definedName>
    <definedName name="dgx" localSheetId="32" hidden="1">{#N/A,#N/A,FALSE,"M.41"}</definedName>
    <definedName name="dgx" localSheetId="27" hidden="1">{#N/A,#N/A,FALSE,"M.41"}</definedName>
    <definedName name="dgx" localSheetId="28" hidden="1">{#N/A,#N/A,FALSE,"M.41"}</definedName>
    <definedName name="dgx" localSheetId="29" hidden="1">{#N/A,#N/A,FALSE,"M.41"}</definedName>
    <definedName name="dgx" localSheetId="31" hidden="1">{#N/A,#N/A,FALSE,"M.41"}</definedName>
    <definedName name="dgx" localSheetId="30" hidden="1">{#N/A,#N/A,FALSE,"M.41"}</definedName>
    <definedName name="dgx" localSheetId="17" hidden="1">{#N/A,#N/A,FALSE,"M.41"}</definedName>
    <definedName name="dgx" localSheetId="18" hidden="1">{#N/A,#N/A,FALSE,"M.41"}</definedName>
    <definedName name="dgx" hidden="1">{#N/A,#N/A,FALSE,"M.41"}</definedName>
    <definedName name="dhdh" localSheetId="20" hidden="1">{"'Sheet1'!$A$1"}</definedName>
    <definedName name="dhdh" localSheetId="19" hidden="1">{"'Sheet1'!$A$1"}</definedName>
    <definedName name="dhdh" localSheetId="26" hidden="1">{"'Sheet1'!$A$1"}</definedName>
    <definedName name="dhdh" localSheetId="24" hidden="1">{"'Sheet1'!$A$1"}</definedName>
    <definedName name="dhdh" localSheetId="32" hidden="1">{"'Sheet1'!$A$1"}</definedName>
    <definedName name="dhdh" localSheetId="27" hidden="1">{"'Sheet1'!$A$1"}</definedName>
    <definedName name="dhdh" localSheetId="28" hidden="1">{"'Sheet1'!$A$1"}</definedName>
    <definedName name="dhdh" localSheetId="29" hidden="1">{"'Sheet1'!$A$1"}</definedName>
    <definedName name="dhdh" localSheetId="31" hidden="1">{"'Sheet1'!$A$1"}</definedName>
    <definedName name="dhdh" localSheetId="30" hidden="1">{"'Sheet1'!$A$1"}</definedName>
    <definedName name="dhdh" localSheetId="17" hidden="1">{"'Sheet1'!$A$1"}</definedName>
    <definedName name="dhdh" localSheetId="18" hidden="1">{"'Sheet1'!$A$1"}</definedName>
    <definedName name="dhdh" hidden="1">{"'Sheet1'!$A$1"}</definedName>
    <definedName name="dhj" localSheetId="20" hidden="1">{"'Sheet1'!$A$1"}</definedName>
    <definedName name="dhj" localSheetId="19" hidden="1">{"'Sheet1'!$A$1"}</definedName>
    <definedName name="dhj" localSheetId="26" hidden="1">{"'Sheet1'!$A$1"}</definedName>
    <definedName name="dhj" localSheetId="24" hidden="1">{"'Sheet1'!$A$1"}</definedName>
    <definedName name="dhj" localSheetId="32" hidden="1">{"'Sheet1'!$A$1"}</definedName>
    <definedName name="dhj" localSheetId="27" hidden="1">{"'Sheet1'!$A$1"}</definedName>
    <definedName name="dhj" localSheetId="28" hidden="1">{"'Sheet1'!$A$1"}</definedName>
    <definedName name="dhj" localSheetId="29" hidden="1">{"'Sheet1'!$A$1"}</definedName>
    <definedName name="dhj" localSheetId="31" hidden="1">{"'Sheet1'!$A$1"}</definedName>
    <definedName name="dhj" localSheetId="30" hidden="1">{"'Sheet1'!$A$1"}</definedName>
    <definedName name="dhj" localSheetId="17" hidden="1">{"'Sheet1'!$A$1"}</definedName>
    <definedName name="dhj" localSheetId="18" hidden="1">{"'Sheet1'!$A$1"}</definedName>
    <definedName name="dhj" hidden="1">{"'Sheet1'!$A$1"}</definedName>
    <definedName name="dhjrt" localSheetId="20" hidden="1">{"'Sheet1'!$A$1"}</definedName>
    <definedName name="dhjrt" localSheetId="19" hidden="1">{"'Sheet1'!$A$1"}</definedName>
    <definedName name="dhjrt" localSheetId="26" hidden="1">{"'Sheet1'!$A$1"}</definedName>
    <definedName name="dhjrt" localSheetId="24" hidden="1">{"'Sheet1'!$A$1"}</definedName>
    <definedName name="dhjrt" localSheetId="32" hidden="1">{"'Sheet1'!$A$1"}</definedName>
    <definedName name="dhjrt" localSheetId="27" hidden="1">{"'Sheet1'!$A$1"}</definedName>
    <definedName name="dhjrt" localSheetId="28" hidden="1">{"'Sheet1'!$A$1"}</definedName>
    <definedName name="dhjrt" localSheetId="29" hidden="1">{"'Sheet1'!$A$1"}</definedName>
    <definedName name="dhjrt" localSheetId="31" hidden="1">{"'Sheet1'!$A$1"}</definedName>
    <definedName name="dhjrt" localSheetId="30" hidden="1">{"'Sheet1'!$A$1"}</definedName>
    <definedName name="dhjrt" localSheetId="17" hidden="1">{"'Sheet1'!$A$1"}</definedName>
    <definedName name="dhjrt" localSheetId="18" hidden="1">{"'Sheet1'!$A$1"}</definedName>
    <definedName name="dhjrt" hidden="1">{"'Sheet1'!$A$1"}</definedName>
    <definedName name="Discount" localSheetId="42" hidden="1">#REF!</definedName>
    <definedName name="Discount" hidden="1">#REF!</definedName>
    <definedName name="display_area_2" localSheetId="42" hidden="1">#REF!</definedName>
    <definedName name="display_area_2" hidden="1">#REF!</definedName>
    <definedName name="DIV3A" hidden="1">#REF!</definedName>
    <definedName name="dn" localSheetId="20" hidden="1">{#N/A,#N/A,FALSE,"혼합골재"}</definedName>
    <definedName name="dn" localSheetId="19" hidden="1">{#N/A,#N/A,FALSE,"혼합골재"}</definedName>
    <definedName name="dn" localSheetId="26" hidden="1">{#N/A,#N/A,FALSE,"혼합골재"}</definedName>
    <definedName name="dn" localSheetId="24" hidden="1">{#N/A,#N/A,FALSE,"혼합골재"}</definedName>
    <definedName name="dn" localSheetId="32" hidden="1">{#N/A,#N/A,FALSE,"혼합골재"}</definedName>
    <definedName name="dn" localSheetId="27" hidden="1">{#N/A,#N/A,FALSE,"혼합골재"}</definedName>
    <definedName name="dn" localSheetId="28" hidden="1">{#N/A,#N/A,FALSE,"혼합골재"}</definedName>
    <definedName name="dn" localSheetId="29" hidden="1">{#N/A,#N/A,FALSE,"혼합골재"}</definedName>
    <definedName name="dn" localSheetId="31" hidden="1">{#N/A,#N/A,FALSE,"혼합골재"}</definedName>
    <definedName name="dn" localSheetId="30" hidden="1">{#N/A,#N/A,FALSE,"혼합골재"}</definedName>
    <definedName name="dn" localSheetId="17" hidden="1">{#N/A,#N/A,FALSE,"혼합골재"}</definedName>
    <definedName name="dn" localSheetId="18" hidden="1">{#N/A,#N/A,FALSE,"혼합골재"}</definedName>
    <definedName name="dn" hidden="1">{#N/A,#N/A,FALSE,"혼합골재"}</definedName>
    <definedName name="dng" localSheetId="20" hidden="1">{"'Sheet1'!$A$1"}</definedName>
    <definedName name="dng" localSheetId="19" hidden="1">{"'Sheet1'!$A$1"}</definedName>
    <definedName name="dng" localSheetId="26" hidden="1">{"'Sheet1'!$A$1"}</definedName>
    <definedName name="dng" localSheetId="24" hidden="1">{"'Sheet1'!$A$1"}</definedName>
    <definedName name="dng" localSheetId="32" hidden="1">{"'Sheet1'!$A$1"}</definedName>
    <definedName name="dng" localSheetId="27" hidden="1">{"'Sheet1'!$A$1"}</definedName>
    <definedName name="dng" localSheetId="28" hidden="1">{"'Sheet1'!$A$1"}</definedName>
    <definedName name="dng" localSheetId="29" hidden="1">{"'Sheet1'!$A$1"}</definedName>
    <definedName name="dng" localSheetId="31" hidden="1">{"'Sheet1'!$A$1"}</definedName>
    <definedName name="dng" localSheetId="30" hidden="1">{"'Sheet1'!$A$1"}</definedName>
    <definedName name="dng" localSheetId="17" hidden="1">{"'Sheet1'!$A$1"}</definedName>
    <definedName name="dng" localSheetId="18" hidden="1">{"'Sheet1'!$A$1"}</definedName>
    <definedName name="dng" hidden="1">{"'Sheet1'!$A$1"}</definedName>
    <definedName name="dody" localSheetId="20" hidden="1">{"'Rekap 1'!$A$1:$E$18"}</definedName>
    <definedName name="dody" localSheetId="19" hidden="1">{"'Rekap 1'!$A$1:$E$18"}</definedName>
    <definedName name="dody" localSheetId="26" hidden="1">{"'Rekap 1'!$A$1:$E$18"}</definedName>
    <definedName name="dody" localSheetId="24" hidden="1">{"'Rekap 1'!$A$1:$E$18"}</definedName>
    <definedName name="dody" localSheetId="32" hidden="1">{"'Rekap 1'!$A$1:$E$18"}</definedName>
    <definedName name="dody" localSheetId="27" hidden="1">{"'Rekap 1'!$A$1:$E$18"}</definedName>
    <definedName name="dody" localSheetId="28" hidden="1">{"'Rekap 1'!$A$1:$E$18"}</definedName>
    <definedName name="dody" localSheetId="29" hidden="1">{"'Rekap 1'!$A$1:$E$18"}</definedName>
    <definedName name="dody" localSheetId="31" hidden="1">{"'Rekap 1'!$A$1:$E$18"}</definedName>
    <definedName name="dody" localSheetId="30" hidden="1">{"'Rekap 1'!$A$1:$E$18"}</definedName>
    <definedName name="dody" localSheetId="17" hidden="1">{"'Rekap 1'!$A$1:$E$18"}</definedName>
    <definedName name="dody" localSheetId="18" hidden="1">{"'Rekap 1'!$A$1:$E$18"}</definedName>
    <definedName name="dody" hidden="1">{"'Rekap 1'!$A$1:$E$18"}</definedName>
    <definedName name="dq" localSheetId="20" hidden="1">{#N/A,#N/A,FALSE,"CCTV"}</definedName>
    <definedName name="dq" localSheetId="19" hidden="1">{#N/A,#N/A,FALSE,"CCTV"}</definedName>
    <definedName name="dq" localSheetId="26" hidden="1">{#N/A,#N/A,FALSE,"CCTV"}</definedName>
    <definedName name="dq" localSheetId="24" hidden="1">{#N/A,#N/A,FALSE,"CCTV"}</definedName>
    <definedName name="dq" localSheetId="32" hidden="1">{#N/A,#N/A,FALSE,"CCTV"}</definedName>
    <definedName name="dq" localSheetId="27" hidden="1">{#N/A,#N/A,FALSE,"CCTV"}</definedName>
    <definedName name="dq" localSheetId="28" hidden="1">{#N/A,#N/A,FALSE,"CCTV"}</definedName>
    <definedName name="dq" localSheetId="29" hidden="1">{#N/A,#N/A,FALSE,"CCTV"}</definedName>
    <definedName name="dq" localSheetId="31" hidden="1">{#N/A,#N/A,FALSE,"CCTV"}</definedName>
    <definedName name="dq" localSheetId="30" hidden="1">{#N/A,#N/A,FALSE,"CCTV"}</definedName>
    <definedName name="dq" localSheetId="17" hidden="1">{#N/A,#N/A,FALSE,"CCTV"}</definedName>
    <definedName name="dq" localSheetId="18" hidden="1">{#N/A,#N/A,FALSE,"CCTV"}</definedName>
    <definedName name="dq" hidden="1">{#N/A,#N/A,FALSE,"CCTV"}</definedName>
    <definedName name="dr" localSheetId="20" hidden="1">{#N/A,#N/A,FALSE,"CCTV"}</definedName>
    <definedName name="dr" localSheetId="19" hidden="1">{#N/A,#N/A,FALSE,"CCTV"}</definedName>
    <definedName name="dr" localSheetId="32" hidden="1">{#N/A,#N/A,FALSE,"CCTV"}</definedName>
    <definedName name="dr" localSheetId="27" hidden="1">{#N/A,#N/A,FALSE,"CCTV"}</definedName>
    <definedName name="dr" localSheetId="28" hidden="1">{#N/A,#N/A,FALSE,"CCTV"}</definedName>
    <definedName name="dr" localSheetId="31" hidden="1">{#N/A,#N/A,FALSE,"CCTV"}</definedName>
    <definedName name="dr" localSheetId="30" hidden="1">{#N/A,#N/A,FALSE,"CCTV"}</definedName>
    <definedName name="dr" localSheetId="13" hidden="1">{#N/A,#N/A,FALSE,"CCTV"}</definedName>
    <definedName name="dr" localSheetId="17" hidden="1">{#N/A,#N/A,FALSE,"CCTV"}</definedName>
    <definedName name="dr" localSheetId="18" hidden="1">{#N/A,#N/A,FALSE,"CCTV"}</definedName>
    <definedName name="DRESF" localSheetId="20" hidden="1">{"'Sheet1'!$A$1"}</definedName>
    <definedName name="DRESF" localSheetId="19" hidden="1">{"'Sheet1'!$A$1"}</definedName>
    <definedName name="DRESF" localSheetId="26" hidden="1">{"'Sheet1'!$A$1"}</definedName>
    <definedName name="DRESF" localSheetId="24" hidden="1">{"'Sheet1'!$A$1"}</definedName>
    <definedName name="DRESF" localSheetId="32" hidden="1">{"'Sheet1'!$A$1"}</definedName>
    <definedName name="DRESF" localSheetId="27" hidden="1">{"'Sheet1'!$A$1"}</definedName>
    <definedName name="DRESF" localSheetId="28" hidden="1">{"'Sheet1'!$A$1"}</definedName>
    <definedName name="DRESF" localSheetId="29" hidden="1">{"'Sheet1'!$A$1"}</definedName>
    <definedName name="DRESF" localSheetId="31" hidden="1">{"'Sheet1'!$A$1"}</definedName>
    <definedName name="DRESF" localSheetId="30" hidden="1">{"'Sheet1'!$A$1"}</definedName>
    <definedName name="DRESF" localSheetId="17" hidden="1">{"'Sheet1'!$A$1"}</definedName>
    <definedName name="DRESF" localSheetId="18" hidden="1">{"'Sheet1'!$A$1"}</definedName>
    <definedName name="DRESF" hidden="1">{"'Sheet1'!$A$1"}</definedName>
    <definedName name="drh" localSheetId="20" hidden="1">{#N/A,#N/A,FALSE,"REK-S-TPL";#N/A,#N/A,FALSE,"REK-TPML";#N/A,#N/A,FALSE,"RAB-TEMPEL"}</definedName>
    <definedName name="drh" localSheetId="19" hidden="1">{#N/A,#N/A,FALSE,"REK-S-TPL";#N/A,#N/A,FALSE,"REK-TPML";#N/A,#N/A,FALSE,"RAB-TEMPEL"}</definedName>
    <definedName name="drh" localSheetId="26" hidden="1">{#N/A,#N/A,FALSE,"REK-S-TPL";#N/A,#N/A,FALSE,"REK-TPML";#N/A,#N/A,FALSE,"RAB-TEMPEL"}</definedName>
    <definedName name="drh" localSheetId="24" hidden="1">{#N/A,#N/A,FALSE,"REK-S-TPL";#N/A,#N/A,FALSE,"REK-TPML";#N/A,#N/A,FALSE,"RAB-TEMPEL"}</definedName>
    <definedName name="drh" localSheetId="32" hidden="1">{#N/A,#N/A,FALSE,"REK-S-TPL";#N/A,#N/A,FALSE,"REK-TPML";#N/A,#N/A,FALSE,"RAB-TEMPEL"}</definedName>
    <definedName name="drh" localSheetId="27" hidden="1">{#N/A,#N/A,FALSE,"REK-S-TPL";#N/A,#N/A,FALSE,"REK-TPML";#N/A,#N/A,FALSE,"RAB-TEMPEL"}</definedName>
    <definedName name="drh" localSheetId="28" hidden="1">{#N/A,#N/A,FALSE,"REK-S-TPL";#N/A,#N/A,FALSE,"REK-TPML";#N/A,#N/A,FALSE,"RAB-TEMPEL"}</definedName>
    <definedName name="drh" localSheetId="29" hidden="1">{#N/A,#N/A,FALSE,"REK-S-TPL";#N/A,#N/A,FALSE,"REK-TPML";#N/A,#N/A,FALSE,"RAB-TEMPEL"}</definedName>
    <definedName name="drh" localSheetId="31" hidden="1">{#N/A,#N/A,FALSE,"REK-S-TPL";#N/A,#N/A,FALSE,"REK-TPML";#N/A,#N/A,FALSE,"RAB-TEMPEL"}</definedName>
    <definedName name="drh" localSheetId="30" hidden="1">{#N/A,#N/A,FALSE,"REK-S-TPL";#N/A,#N/A,FALSE,"REK-TPML";#N/A,#N/A,FALSE,"RAB-TEMPEL"}</definedName>
    <definedName name="drh" localSheetId="17" hidden="1">{#N/A,#N/A,FALSE,"REK-S-TPL";#N/A,#N/A,FALSE,"REK-TPML";#N/A,#N/A,FALSE,"RAB-TEMPEL"}</definedName>
    <definedName name="drh" localSheetId="18" hidden="1">{#N/A,#N/A,FALSE,"REK-S-TPL";#N/A,#N/A,FALSE,"REK-TPML";#N/A,#N/A,FALSE,"RAB-TEMPEL"}</definedName>
    <definedName name="drh" hidden="1">{#N/A,#N/A,FALSE,"REK-S-TPL";#N/A,#N/A,FALSE,"REK-TPML";#N/A,#N/A,FALSE,"RAB-TEMPEL"}</definedName>
    <definedName name="DRY" localSheetId="20" hidden="1">{"'Sheet1'!$A$1"}</definedName>
    <definedName name="DRY" localSheetId="19" hidden="1">{"'Sheet1'!$A$1"}</definedName>
    <definedName name="DRY" localSheetId="26" hidden="1">{"'Sheet1'!$A$1"}</definedName>
    <definedName name="DRY" localSheetId="24" hidden="1">{"'Sheet1'!$A$1"}</definedName>
    <definedName name="DRY" localSheetId="32" hidden="1">{"'Sheet1'!$A$1"}</definedName>
    <definedName name="DRY" localSheetId="27" hidden="1">{"'Sheet1'!$A$1"}</definedName>
    <definedName name="DRY" localSheetId="28" hidden="1">{"'Sheet1'!$A$1"}</definedName>
    <definedName name="DRY" localSheetId="29" hidden="1">{"'Sheet1'!$A$1"}</definedName>
    <definedName name="DRY" localSheetId="31" hidden="1">{"'Sheet1'!$A$1"}</definedName>
    <definedName name="DRY" localSheetId="30" hidden="1">{"'Sheet1'!$A$1"}</definedName>
    <definedName name="DRY" localSheetId="17" hidden="1">{"'Sheet1'!$A$1"}</definedName>
    <definedName name="DRY" localSheetId="18" hidden="1">{"'Sheet1'!$A$1"}</definedName>
    <definedName name="DRY" hidden="1">{"'Sheet1'!$A$1"}</definedName>
    <definedName name="dsas" hidden="1">#REF!</definedName>
    <definedName name="DSAW" hidden="1">#REF!</definedName>
    <definedName name="DSER" hidden="1">#REF!</definedName>
    <definedName name="dsf" localSheetId="20" hidden="1">{"'Sheet1'!$A$1"}</definedName>
    <definedName name="dsf" localSheetId="19" hidden="1">{"'Sheet1'!$A$1"}</definedName>
    <definedName name="dsf" localSheetId="26" hidden="1">{"'Sheet1'!$A$1"}</definedName>
    <definedName name="dsf" localSheetId="24" hidden="1">{"'Sheet1'!$A$1"}</definedName>
    <definedName name="dsf" localSheetId="32" hidden="1">{"'Sheet1'!$A$1"}</definedName>
    <definedName name="dsf" localSheetId="27" hidden="1">{"'Sheet1'!$A$1"}</definedName>
    <definedName name="dsf" localSheetId="28" hidden="1">{"'Sheet1'!$A$1"}</definedName>
    <definedName name="dsf" localSheetId="29" hidden="1">{"'Sheet1'!$A$1"}</definedName>
    <definedName name="dsf" localSheetId="31" hidden="1">{"'Sheet1'!$A$1"}</definedName>
    <definedName name="dsf" localSheetId="30" hidden="1">{"'Sheet1'!$A$1"}</definedName>
    <definedName name="dsf" localSheetId="17" hidden="1">{"'Sheet1'!$A$1"}</definedName>
    <definedName name="dsf" localSheetId="18" hidden="1">{"'Sheet1'!$A$1"}</definedName>
    <definedName name="dsf" hidden="1">{"'Sheet1'!$A$1"}</definedName>
    <definedName name="DSGA" localSheetId="2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" localSheetId="1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" localSheetId="2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" localSheetId="3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" localSheetId="2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" localSheetId="3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" localSheetId="3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" localSheetId="1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reaf" localSheetId="20" hidden="1">{"'Sheet1'!$A$1"}</definedName>
    <definedName name="dsreaf" localSheetId="19" hidden="1">{"'Sheet1'!$A$1"}</definedName>
    <definedName name="dsreaf" localSheetId="26" hidden="1">{"'Sheet1'!$A$1"}</definedName>
    <definedName name="dsreaf" localSheetId="24" hidden="1">{"'Sheet1'!$A$1"}</definedName>
    <definedName name="dsreaf" localSheetId="32" hidden="1">{"'Sheet1'!$A$1"}</definedName>
    <definedName name="dsreaf" localSheetId="27" hidden="1">{"'Sheet1'!$A$1"}</definedName>
    <definedName name="dsreaf" localSheetId="28" hidden="1">{"'Sheet1'!$A$1"}</definedName>
    <definedName name="dsreaf" localSheetId="29" hidden="1">{"'Sheet1'!$A$1"}</definedName>
    <definedName name="dsreaf" localSheetId="31" hidden="1">{"'Sheet1'!$A$1"}</definedName>
    <definedName name="dsreaf" localSheetId="30" hidden="1">{"'Sheet1'!$A$1"}</definedName>
    <definedName name="dsreaf" localSheetId="17" hidden="1">{"'Sheet1'!$A$1"}</definedName>
    <definedName name="dsreaf" localSheetId="18" hidden="1">{"'Sheet1'!$A$1"}</definedName>
    <definedName name="dsreaf" hidden="1">{"'Sheet1'!$A$1"}</definedName>
    <definedName name="dsryhh" localSheetId="20" hidden="1">{"'Sheet1'!$A$1"}</definedName>
    <definedName name="dsryhh" localSheetId="19" hidden="1">{"'Sheet1'!$A$1"}</definedName>
    <definedName name="dsryhh" localSheetId="26" hidden="1">{"'Sheet1'!$A$1"}</definedName>
    <definedName name="dsryhh" localSheetId="24" hidden="1">{"'Sheet1'!$A$1"}</definedName>
    <definedName name="dsryhh" localSheetId="32" hidden="1">{"'Sheet1'!$A$1"}</definedName>
    <definedName name="dsryhh" localSheetId="27" hidden="1">{"'Sheet1'!$A$1"}</definedName>
    <definedName name="dsryhh" localSheetId="28" hidden="1">{"'Sheet1'!$A$1"}</definedName>
    <definedName name="dsryhh" localSheetId="29" hidden="1">{"'Sheet1'!$A$1"}</definedName>
    <definedName name="dsryhh" localSheetId="31" hidden="1">{"'Sheet1'!$A$1"}</definedName>
    <definedName name="dsryhh" localSheetId="30" hidden="1">{"'Sheet1'!$A$1"}</definedName>
    <definedName name="dsryhh" localSheetId="17" hidden="1">{"'Sheet1'!$A$1"}</definedName>
    <definedName name="dsryhh" localSheetId="18" hidden="1">{"'Sheet1'!$A$1"}</definedName>
    <definedName name="dsryhh" hidden="1">{"'Sheet1'!$A$1"}</definedName>
    <definedName name="dstesrg" hidden="1">#REF!</definedName>
    <definedName name="dthhh" localSheetId="20" hidden="1">{"'Sheet1'!$A$1"}</definedName>
    <definedName name="dthhh" localSheetId="19" hidden="1">{"'Sheet1'!$A$1"}</definedName>
    <definedName name="dthhh" localSheetId="26" hidden="1">{"'Sheet1'!$A$1"}</definedName>
    <definedName name="dthhh" localSheetId="24" hidden="1">{"'Sheet1'!$A$1"}</definedName>
    <definedName name="dthhh" localSheetId="32" hidden="1">{"'Sheet1'!$A$1"}</definedName>
    <definedName name="dthhh" localSheetId="27" hidden="1">{"'Sheet1'!$A$1"}</definedName>
    <definedName name="dthhh" localSheetId="28" hidden="1">{"'Sheet1'!$A$1"}</definedName>
    <definedName name="dthhh" localSheetId="29" hidden="1">{"'Sheet1'!$A$1"}</definedName>
    <definedName name="dthhh" localSheetId="31" hidden="1">{"'Sheet1'!$A$1"}</definedName>
    <definedName name="dthhh" localSheetId="30" hidden="1">{"'Sheet1'!$A$1"}</definedName>
    <definedName name="dthhh" localSheetId="17" hidden="1">{"'Sheet1'!$A$1"}</definedName>
    <definedName name="dthhh" localSheetId="18" hidden="1">{"'Sheet1'!$A$1"}</definedName>
    <definedName name="dthhh" hidden="1">{"'Sheet1'!$A$1"}</definedName>
    <definedName name="dthrtj" localSheetId="20" hidden="1">{"'Sheet1'!$A$1"}</definedName>
    <definedName name="dthrtj" localSheetId="19" hidden="1">{"'Sheet1'!$A$1"}</definedName>
    <definedName name="dthrtj" localSheetId="26" hidden="1">{"'Sheet1'!$A$1"}</definedName>
    <definedName name="dthrtj" localSheetId="24" hidden="1">{"'Sheet1'!$A$1"}</definedName>
    <definedName name="dthrtj" localSheetId="32" hidden="1">{"'Sheet1'!$A$1"}</definedName>
    <definedName name="dthrtj" localSheetId="27" hidden="1">{"'Sheet1'!$A$1"}</definedName>
    <definedName name="dthrtj" localSheetId="28" hidden="1">{"'Sheet1'!$A$1"}</definedName>
    <definedName name="dthrtj" localSheetId="29" hidden="1">{"'Sheet1'!$A$1"}</definedName>
    <definedName name="dthrtj" localSheetId="31" hidden="1">{"'Sheet1'!$A$1"}</definedName>
    <definedName name="dthrtj" localSheetId="30" hidden="1">{"'Sheet1'!$A$1"}</definedName>
    <definedName name="dthrtj" localSheetId="17" hidden="1">{"'Sheet1'!$A$1"}</definedName>
    <definedName name="dthrtj" localSheetId="18" hidden="1">{"'Sheet1'!$A$1"}</definedName>
    <definedName name="dthrtj" hidden="1">{"'Sheet1'!$A$1"}</definedName>
    <definedName name="DTU" hidden="1">#REF!</definedName>
    <definedName name="DULUAN" localSheetId="42" hidden="1">#REF!</definedName>
    <definedName name="DULUAN" hidden="1">#REF!</definedName>
    <definedName name="dvdgv" localSheetId="20" hidden="1">{"'Sheet1'!$A$1"}</definedName>
    <definedName name="dvdgv" localSheetId="19" hidden="1">{"'Sheet1'!$A$1"}</definedName>
    <definedName name="dvdgv" localSheetId="26" hidden="1">{"'Sheet1'!$A$1"}</definedName>
    <definedName name="dvdgv" localSheetId="24" hidden="1">{"'Sheet1'!$A$1"}</definedName>
    <definedName name="dvdgv" localSheetId="32" hidden="1">{"'Sheet1'!$A$1"}</definedName>
    <definedName name="dvdgv" localSheetId="27" hidden="1">{"'Sheet1'!$A$1"}</definedName>
    <definedName name="dvdgv" localSheetId="28" hidden="1">{"'Sheet1'!$A$1"}</definedName>
    <definedName name="dvdgv" localSheetId="29" hidden="1">{"'Sheet1'!$A$1"}</definedName>
    <definedName name="dvdgv" localSheetId="31" hidden="1">{"'Sheet1'!$A$1"}</definedName>
    <definedName name="dvdgv" localSheetId="30" hidden="1">{"'Sheet1'!$A$1"}</definedName>
    <definedName name="dvdgv" localSheetId="17" hidden="1">{"'Sheet1'!$A$1"}</definedName>
    <definedName name="dvdgv" localSheetId="18" hidden="1">{"'Sheet1'!$A$1"}</definedName>
    <definedName name="dvdgv" hidden="1">{"'Sheet1'!$A$1"}</definedName>
    <definedName name="dvve" localSheetId="20" hidden="1">{"'Sheet1'!$A$1"}</definedName>
    <definedName name="dvve" localSheetId="19" hidden="1">{"'Sheet1'!$A$1"}</definedName>
    <definedName name="dvve" localSheetId="26" hidden="1">{"'Sheet1'!$A$1"}</definedName>
    <definedName name="dvve" localSheetId="24" hidden="1">{"'Sheet1'!$A$1"}</definedName>
    <definedName name="dvve" localSheetId="32" hidden="1">{"'Sheet1'!$A$1"}</definedName>
    <definedName name="dvve" localSheetId="27" hidden="1">{"'Sheet1'!$A$1"}</definedName>
    <definedName name="dvve" localSheetId="28" hidden="1">{"'Sheet1'!$A$1"}</definedName>
    <definedName name="dvve" localSheetId="29" hidden="1">{"'Sheet1'!$A$1"}</definedName>
    <definedName name="dvve" localSheetId="31" hidden="1">{"'Sheet1'!$A$1"}</definedName>
    <definedName name="dvve" localSheetId="30" hidden="1">{"'Sheet1'!$A$1"}</definedName>
    <definedName name="dvve" localSheetId="17" hidden="1">{"'Sheet1'!$A$1"}</definedName>
    <definedName name="dvve" localSheetId="18" hidden="1">{"'Sheet1'!$A$1"}</definedName>
    <definedName name="dvve" hidden="1">{"'Sheet1'!$A$1"}</definedName>
    <definedName name="dw" localSheetId="20" hidden="1">{#N/A,#N/A,FALSE,"CCTV"}</definedName>
    <definedName name="dw" localSheetId="19" hidden="1">{#N/A,#N/A,FALSE,"CCTV"}</definedName>
    <definedName name="dw" localSheetId="26" hidden="1">{#N/A,#N/A,FALSE,"CCTV"}</definedName>
    <definedName name="dw" localSheetId="24" hidden="1">{#N/A,#N/A,FALSE,"CCTV"}</definedName>
    <definedName name="dw" localSheetId="32" hidden="1">{#N/A,#N/A,FALSE,"CCTV"}</definedName>
    <definedName name="dw" localSheetId="27" hidden="1">{#N/A,#N/A,FALSE,"CCTV"}</definedName>
    <definedName name="dw" localSheetId="28" hidden="1">{#N/A,#N/A,FALSE,"CCTV"}</definedName>
    <definedName name="dw" localSheetId="29" hidden="1">{#N/A,#N/A,FALSE,"CCTV"}</definedName>
    <definedName name="dw" localSheetId="31" hidden="1">{#N/A,#N/A,FALSE,"CCTV"}</definedName>
    <definedName name="dw" localSheetId="30" hidden="1">{#N/A,#N/A,FALSE,"CCTV"}</definedName>
    <definedName name="dw" localSheetId="17" hidden="1">{#N/A,#N/A,FALSE,"CCTV"}</definedName>
    <definedName name="dw" localSheetId="18" hidden="1">{#N/A,#N/A,FALSE,"CCTV"}</definedName>
    <definedName name="dw" hidden="1">{#N/A,#N/A,FALSE,"CCTV"}</definedName>
    <definedName name="dy" localSheetId="20" hidden="1">{#N/A,#N/A,FALSE,"CCTV"}</definedName>
    <definedName name="dy" localSheetId="19" hidden="1">{#N/A,#N/A,FALSE,"CCTV"}</definedName>
    <definedName name="dy" localSheetId="26" hidden="1">{#N/A,#N/A,FALSE,"CCTV"}</definedName>
    <definedName name="dy" localSheetId="24" hidden="1">{#N/A,#N/A,FALSE,"CCTV"}</definedName>
    <definedName name="dy" localSheetId="32" hidden="1">{#N/A,#N/A,FALSE,"CCTV"}</definedName>
    <definedName name="dy" localSheetId="27" hidden="1">{#N/A,#N/A,FALSE,"CCTV"}</definedName>
    <definedName name="dy" localSheetId="28" hidden="1">{#N/A,#N/A,FALSE,"CCTV"}</definedName>
    <definedName name="dy" localSheetId="29" hidden="1">{#N/A,#N/A,FALSE,"CCTV"}</definedName>
    <definedName name="dy" localSheetId="31" hidden="1">{#N/A,#N/A,FALSE,"CCTV"}</definedName>
    <definedName name="dy" localSheetId="30" hidden="1">{#N/A,#N/A,FALSE,"CCTV"}</definedName>
    <definedName name="dy" localSheetId="17" hidden="1">{#N/A,#N/A,FALSE,"CCTV"}</definedName>
    <definedName name="dy" localSheetId="18" hidden="1">{#N/A,#N/A,FALSE,"CCTV"}</definedName>
    <definedName name="dy" hidden="1">{#N/A,#N/A,FALSE,"CCTV"}</definedName>
    <definedName name="dyah" localSheetId="20" hidden="1">{#N/A,#N/A,FALSE,"M.31"}</definedName>
    <definedName name="dyah" localSheetId="19" hidden="1">{#N/A,#N/A,FALSE,"M.31"}</definedName>
    <definedName name="dyah" localSheetId="26" hidden="1">{#N/A,#N/A,FALSE,"M.31"}</definedName>
    <definedName name="dyah" localSheetId="24" hidden="1">{#N/A,#N/A,FALSE,"M.31"}</definedName>
    <definedName name="dyah" localSheetId="32" hidden="1">{#N/A,#N/A,FALSE,"M.31"}</definedName>
    <definedName name="dyah" localSheetId="27" hidden="1">{#N/A,#N/A,FALSE,"M.31"}</definedName>
    <definedName name="dyah" localSheetId="28" hidden="1">{#N/A,#N/A,FALSE,"M.31"}</definedName>
    <definedName name="dyah" localSheetId="29" hidden="1">{#N/A,#N/A,FALSE,"M.31"}</definedName>
    <definedName name="dyah" localSheetId="31" hidden="1">{#N/A,#N/A,FALSE,"M.31"}</definedName>
    <definedName name="dyah" localSheetId="30" hidden="1">{#N/A,#N/A,FALSE,"M.31"}</definedName>
    <definedName name="dyah" localSheetId="17" hidden="1">{#N/A,#N/A,FALSE,"M.31"}</definedName>
    <definedName name="dyah" localSheetId="18" hidden="1">{#N/A,#N/A,FALSE,"M.31"}</definedName>
    <definedName name="dyah" hidden="1">{#N/A,#N/A,FALSE,"M.31"}</definedName>
    <definedName name="e35u" localSheetId="20" hidden="1">{#N/A,#N/A,FALSE,"REK-S-TPL";#N/A,#N/A,FALSE,"REK-TPML";#N/A,#N/A,FALSE,"RAB-TEMPEL"}</definedName>
    <definedName name="e35u" localSheetId="19" hidden="1">{#N/A,#N/A,FALSE,"REK-S-TPL";#N/A,#N/A,FALSE,"REK-TPML";#N/A,#N/A,FALSE,"RAB-TEMPEL"}</definedName>
    <definedName name="e35u" localSheetId="26" hidden="1">{#N/A,#N/A,FALSE,"REK-S-TPL";#N/A,#N/A,FALSE,"REK-TPML";#N/A,#N/A,FALSE,"RAB-TEMPEL"}</definedName>
    <definedName name="e35u" localSheetId="24" hidden="1">{#N/A,#N/A,FALSE,"REK-S-TPL";#N/A,#N/A,FALSE,"REK-TPML";#N/A,#N/A,FALSE,"RAB-TEMPEL"}</definedName>
    <definedName name="e35u" localSheetId="32" hidden="1">{#N/A,#N/A,FALSE,"REK-S-TPL";#N/A,#N/A,FALSE,"REK-TPML";#N/A,#N/A,FALSE,"RAB-TEMPEL"}</definedName>
    <definedName name="e35u" localSheetId="27" hidden="1">{#N/A,#N/A,FALSE,"REK-S-TPL";#N/A,#N/A,FALSE,"REK-TPML";#N/A,#N/A,FALSE,"RAB-TEMPEL"}</definedName>
    <definedName name="e35u" localSheetId="28" hidden="1">{#N/A,#N/A,FALSE,"REK-S-TPL";#N/A,#N/A,FALSE,"REK-TPML";#N/A,#N/A,FALSE,"RAB-TEMPEL"}</definedName>
    <definedName name="e35u" localSheetId="29" hidden="1">{#N/A,#N/A,FALSE,"REK-S-TPL";#N/A,#N/A,FALSE,"REK-TPML";#N/A,#N/A,FALSE,"RAB-TEMPEL"}</definedName>
    <definedName name="e35u" localSheetId="31" hidden="1">{#N/A,#N/A,FALSE,"REK-S-TPL";#N/A,#N/A,FALSE,"REK-TPML";#N/A,#N/A,FALSE,"RAB-TEMPEL"}</definedName>
    <definedName name="e35u" localSheetId="30" hidden="1">{#N/A,#N/A,FALSE,"REK-S-TPL";#N/A,#N/A,FALSE,"REK-TPML";#N/A,#N/A,FALSE,"RAB-TEMPEL"}</definedName>
    <definedName name="e35u" localSheetId="17" hidden="1">{#N/A,#N/A,FALSE,"REK-S-TPL";#N/A,#N/A,FALSE,"REK-TPML";#N/A,#N/A,FALSE,"RAB-TEMPEL"}</definedName>
    <definedName name="e35u" localSheetId="18" hidden="1">{#N/A,#N/A,FALSE,"REK-S-TPL";#N/A,#N/A,FALSE,"REK-TPML";#N/A,#N/A,FALSE,"RAB-TEMPEL"}</definedName>
    <definedName name="e35u" hidden="1">{#N/A,#N/A,FALSE,"REK-S-TPL";#N/A,#N/A,FALSE,"REK-TPML";#N/A,#N/A,FALSE,"RAB-TEMPEL"}</definedName>
    <definedName name="earthw" localSheetId="20" hidden="1">{"'Overflow Tank '!$A$1:$Q$58"}</definedName>
    <definedName name="earthw" localSheetId="19" hidden="1">{"'Overflow Tank '!$A$1:$Q$58"}</definedName>
    <definedName name="earthw" localSheetId="26" hidden="1">{"'Overflow Tank '!$A$1:$Q$58"}</definedName>
    <definedName name="earthw" localSheetId="24" hidden="1">{"'Overflow Tank '!$A$1:$Q$58"}</definedName>
    <definedName name="earthw" localSheetId="32" hidden="1">{"'Overflow Tank '!$A$1:$Q$58"}</definedName>
    <definedName name="earthw" localSheetId="27" hidden="1">{"'Overflow Tank '!$A$1:$Q$58"}</definedName>
    <definedName name="earthw" localSheetId="28" hidden="1">{"'Overflow Tank '!$A$1:$Q$58"}</definedName>
    <definedName name="earthw" localSheetId="29" hidden="1">{"'Overflow Tank '!$A$1:$Q$58"}</definedName>
    <definedName name="earthw" localSheetId="31" hidden="1">{"'Overflow Tank '!$A$1:$Q$58"}</definedName>
    <definedName name="earthw" localSheetId="30" hidden="1">{"'Overflow Tank '!$A$1:$Q$58"}</definedName>
    <definedName name="earthw" localSheetId="17" hidden="1">{"'Overflow Tank '!$A$1:$Q$58"}</definedName>
    <definedName name="earthw" localSheetId="18" hidden="1">{"'Overflow Tank '!$A$1:$Q$58"}</definedName>
    <definedName name="earthw" hidden="1">{"'Overflow Tank '!$A$1:$Q$58"}</definedName>
    <definedName name="EC" localSheetId="20" hidden="1">{#N/A,#N/A,FALSE,"CCTV"}</definedName>
    <definedName name="EC" localSheetId="19" hidden="1">{#N/A,#N/A,FALSE,"CCTV"}</definedName>
    <definedName name="EC" localSheetId="26" hidden="1">{#N/A,#N/A,FALSE,"CCTV"}</definedName>
    <definedName name="EC" localSheetId="24" hidden="1">{#N/A,#N/A,FALSE,"CCTV"}</definedName>
    <definedName name="EC" localSheetId="32" hidden="1">{#N/A,#N/A,FALSE,"CCTV"}</definedName>
    <definedName name="EC" localSheetId="27" hidden="1">{#N/A,#N/A,FALSE,"CCTV"}</definedName>
    <definedName name="EC" localSheetId="28" hidden="1">{#N/A,#N/A,FALSE,"CCTV"}</definedName>
    <definedName name="EC" localSheetId="29" hidden="1">{#N/A,#N/A,FALSE,"CCTV"}</definedName>
    <definedName name="EC" localSheetId="31" hidden="1">{#N/A,#N/A,FALSE,"CCTV"}</definedName>
    <definedName name="EC" localSheetId="30" hidden="1">{#N/A,#N/A,FALSE,"CCTV"}</definedName>
    <definedName name="EC" localSheetId="17" hidden="1">{#N/A,#N/A,FALSE,"CCTV"}</definedName>
    <definedName name="EC" localSheetId="18" hidden="1">{#N/A,#N/A,FALSE,"CCTV"}</definedName>
    <definedName name="EC" hidden="1">{#N/A,#N/A,FALSE,"CCTV"}</definedName>
    <definedName name="ED" localSheetId="20" hidden="1">{#N/A,#N/A,FALSE,"CCTV"}</definedName>
    <definedName name="ED" localSheetId="19" hidden="1">{#N/A,#N/A,FALSE,"CCTV"}</definedName>
    <definedName name="ED" localSheetId="26" hidden="1">{#N/A,#N/A,FALSE,"CCTV"}</definedName>
    <definedName name="ED" localSheetId="24" hidden="1">{#N/A,#N/A,FALSE,"CCTV"}</definedName>
    <definedName name="ED" localSheetId="32" hidden="1">{#N/A,#N/A,FALSE,"CCTV"}</definedName>
    <definedName name="ED" localSheetId="27" hidden="1">{#N/A,#N/A,FALSE,"CCTV"}</definedName>
    <definedName name="ED" localSheetId="28" hidden="1">{#N/A,#N/A,FALSE,"CCTV"}</definedName>
    <definedName name="ED" localSheetId="29" hidden="1">{#N/A,#N/A,FALSE,"CCTV"}</definedName>
    <definedName name="ED" localSheetId="31" hidden="1">{#N/A,#N/A,FALSE,"CCTV"}</definedName>
    <definedName name="ED" localSheetId="30" hidden="1">{#N/A,#N/A,FALSE,"CCTV"}</definedName>
    <definedName name="ED" localSheetId="17" hidden="1">{#N/A,#N/A,FALSE,"CCTV"}</definedName>
    <definedName name="ED" localSheetId="18" hidden="1">{#N/A,#N/A,FALSE,"CCTV"}</definedName>
    <definedName name="ED" hidden="1">{#N/A,#N/A,FALSE,"CCTV"}</definedName>
    <definedName name="EDF" localSheetId="20" hidden="1">{"'Sheet1'!$A$1"}</definedName>
    <definedName name="EDF" localSheetId="19" hidden="1">{"'Sheet1'!$A$1"}</definedName>
    <definedName name="EDF" localSheetId="26" hidden="1">{"'Sheet1'!$A$1"}</definedName>
    <definedName name="EDF" localSheetId="24" hidden="1">{"'Sheet1'!$A$1"}</definedName>
    <definedName name="EDF" localSheetId="32" hidden="1">{"'Sheet1'!$A$1"}</definedName>
    <definedName name="EDF" localSheetId="27" hidden="1">{"'Sheet1'!$A$1"}</definedName>
    <definedName name="EDF" localSheetId="28" hidden="1">{"'Sheet1'!$A$1"}</definedName>
    <definedName name="EDF" localSheetId="29" hidden="1">{"'Sheet1'!$A$1"}</definedName>
    <definedName name="EDF" localSheetId="31" hidden="1">{"'Sheet1'!$A$1"}</definedName>
    <definedName name="EDF" localSheetId="30" hidden="1">{"'Sheet1'!$A$1"}</definedName>
    <definedName name="EDF" localSheetId="17" hidden="1">{"'Sheet1'!$A$1"}</definedName>
    <definedName name="EDF" localSheetId="18" hidden="1">{"'Sheet1'!$A$1"}</definedName>
    <definedName name="EDF" hidden="1">{"'Sheet1'!$A$1"}</definedName>
    <definedName name="EDSW" localSheetId="20" hidden="1">{"'Sheet1'!$A$1"}</definedName>
    <definedName name="EDSW" localSheetId="19" hidden="1">{"'Sheet1'!$A$1"}</definedName>
    <definedName name="EDSW" localSheetId="26" hidden="1">{"'Sheet1'!$A$1"}</definedName>
    <definedName name="EDSW" localSheetId="24" hidden="1">{"'Sheet1'!$A$1"}</definedName>
    <definedName name="EDSW" localSheetId="32" hidden="1">{"'Sheet1'!$A$1"}</definedName>
    <definedName name="EDSW" localSheetId="27" hidden="1">{"'Sheet1'!$A$1"}</definedName>
    <definedName name="EDSW" localSheetId="28" hidden="1">{"'Sheet1'!$A$1"}</definedName>
    <definedName name="EDSW" localSheetId="29" hidden="1">{"'Sheet1'!$A$1"}</definedName>
    <definedName name="EDSW" localSheetId="31" hidden="1">{"'Sheet1'!$A$1"}</definedName>
    <definedName name="EDSW" localSheetId="30" hidden="1">{"'Sheet1'!$A$1"}</definedName>
    <definedName name="EDSW" localSheetId="17" hidden="1">{"'Sheet1'!$A$1"}</definedName>
    <definedName name="EDSW" localSheetId="18" hidden="1">{"'Sheet1'!$A$1"}</definedName>
    <definedName name="EDSW" hidden="1">{"'Sheet1'!$A$1"}</definedName>
    <definedName name="ee" localSheetId="20" hidden="1">{#N/A,#N/A,FALSE,"단가표지"}</definedName>
    <definedName name="ee" localSheetId="19" hidden="1">{#N/A,#N/A,FALSE,"단가표지"}</definedName>
    <definedName name="ee" localSheetId="32" hidden="1">{#N/A,#N/A,FALSE,"단가표지"}</definedName>
    <definedName name="ee" localSheetId="27" hidden="1">{#N/A,#N/A,FALSE,"단가표지"}</definedName>
    <definedName name="ee" localSheetId="28" hidden="1">{#N/A,#N/A,FALSE,"단가표지"}</definedName>
    <definedName name="ee" localSheetId="31" hidden="1">{#N/A,#N/A,FALSE,"단가표지"}</definedName>
    <definedName name="ee" localSheetId="30" hidden="1">{#N/A,#N/A,FALSE,"단가표지"}</definedName>
    <definedName name="ee" localSheetId="13" hidden="1">{#N/A,#N/A,FALSE,"단가표지"}</definedName>
    <definedName name="ee" localSheetId="17" hidden="1">{#N/A,#N/A,FALSE,"단가표지"}</definedName>
    <definedName name="ee" localSheetId="18" hidden="1">{#N/A,#N/A,FALSE,"단가표지"}</definedName>
    <definedName name="eee" localSheetId="20" hidden="1">{"'Sheet1'!$A$1"}</definedName>
    <definedName name="eee" localSheetId="19" hidden="1">{"'Sheet1'!$A$1"}</definedName>
    <definedName name="eee" localSheetId="32" hidden="1">{"'Sheet1'!$A$1"}</definedName>
    <definedName name="eee" localSheetId="27" hidden="1">{"'Sheet1'!$A$1"}</definedName>
    <definedName name="eee" localSheetId="28" hidden="1">{"'Sheet1'!$A$1"}</definedName>
    <definedName name="eee" localSheetId="31" hidden="1">{"'Sheet1'!$A$1"}</definedName>
    <definedName name="eee" localSheetId="30" hidden="1">{"'Sheet1'!$A$1"}</definedName>
    <definedName name="eee" localSheetId="13" hidden="1">{"'Sheet1'!$A$1"}</definedName>
    <definedName name="eee" localSheetId="17" hidden="1">{"'Sheet1'!$A$1"}</definedName>
    <definedName name="eee" localSheetId="18" hidden="1">{"'Sheet1'!$A$1"}</definedName>
    <definedName name="eeeee" localSheetId="42" hidden="1">#REF!</definedName>
    <definedName name="eeeee" hidden="1">#REF!</definedName>
    <definedName name="eeeeee" hidden="1">#REF!</definedName>
    <definedName name="eeeeeee" hidden="1">#REF!</definedName>
    <definedName name="EEEEEEEEEEEEEEEEEEEEEE" localSheetId="42" hidden="1">#REF!</definedName>
    <definedName name="EEEEEEEEEEEEEEEEEEEEEE" hidden="1">#REF!</definedName>
    <definedName name="eeer" hidden="1">#REF!</definedName>
    <definedName name="eesrsr" localSheetId="20" hidden="1">{"'Sheet1'!$A$1"}</definedName>
    <definedName name="eesrsr" localSheetId="19" hidden="1">{"'Sheet1'!$A$1"}</definedName>
    <definedName name="eesrsr" localSheetId="26" hidden="1">{"'Sheet1'!$A$1"}</definedName>
    <definedName name="eesrsr" localSheetId="24" hidden="1">{"'Sheet1'!$A$1"}</definedName>
    <definedName name="eesrsr" localSheetId="32" hidden="1">{"'Sheet1'!$A$1"}</definedName>
    <definedName name="eesrsr" localSheetId="27" hidden="1">{"'Sheet1'!$A$1"}</definedName>
    <definedName name="eesrsr" localSheetId="28" hidden="1">{"'Sheet1'!$A$1"}</definedName>
    <definedName name="eesrsr" localSheetId="29" hidden="1">{"'Sheet1'!$A$1"}</definedName>
    <definedName name="eesrsr" localSheetId="31" hidden="1">{"'Sheet1'!$A$1"}</definedName>
    <definedName name="eesrsr" localSheetId="30" hidden="1">{"'Sheet1'!$A$1"}</definedName>
    <definedName name="eesrsr" localSheetId="17" hidden="1">{"'Sheet1'!$A$1"}</definedName>
    <definedName name="eesrsr" localSheetId="18" hidden="1">{"'Sheet1'!$A$1"}</definedName>
    <definedName name="eesrsr" hidden="1">{"'Sheet1'!$A$1"}</definedName>
    <definedName name="EF" localSheetId="20" hidden="1">{#N/A,#N/A,FALSE,"Chi tiÆt"}</definedName>
    <definedName name="EF" localSheetId="19" hidden="1">{#N/A,#N/A,FALSE,"Chi tiÆt"}</definedName>
    <definedName name="EF" localSheetId="26" hidden="1">{#N/A,#N/A,FALSE,"Chi tiÆt"}</definedName>
    <definedName name="EF" localSheetId="23" hidden="1">{#N/A,#N/A,FALSE,"Chi tiÆt"}</definedName>
    <definedName name="EF" localSheetId="24" hidden="1">{#N/A,#N/A,FALSE,"Chi tiÆt"}</definedName>
    <definedName name="EF" localSheetId="32" hidden="1">{#N/A,#N/A,FALSE,"Chi tiÆt"}</definedName>
    <definedName name="EF" localSheetId="27" hidden="1">{#N/A,#N/A,FALSE,"Chi tiÆt"}</definedName>
    <definedName name="EF" localSheetId="28" hidden="1">{#N/A,#N/A,FALSE,"Chi tiÆt"}</definedName>
    <definedName name="EF" localSheetId="29" hidden="1">{#N/A,#N/A,FALSE,"Chi tiÆt"}</definedName>
    <definedName name="EF" localSheetId="31" hidden="1">{#N/A,#N/A,FALSE,"Chi tiÆt"}</definedName>
    <definedName name="EF" localSheetId="30" hidden="1">{#N/A,#N/A,FALSE,"Chi tiÆt"}</definedName>
    <definedName name="EF" localSheetId="13" hidden="1">{#N/A,#N/A,FALSE,"Chi tiÆt"}</definedName>
    <definedName name="EF" localSheetId="17" hidden="1">{#N/A,#N/A,FALSE,"Chi tiÆt"}</definedName>
    <definedName name="EF" localSheetId="18" hidden="1">{#N/A,#N/A,FALSE,"Chi tiÆt"}</definedName>
    <definedName name="EF" localSheetId="22" hidden="1">{#N/A,#N/A,FALSE,"Chi tiÆt"}</definedName>
    <definedName name="EF" localSheetId="40" hidden="1">{#N/A,#N/A,FALSE,"Chi tiÆt"}</definedName>
    <definedName name="EF" localSheetId="41" hidden="1">{#N/A,#N/A,FALSE,"Chi tiÆt"}</definedName>
    <definedName name="EF" localSheetId="42" hidden="1">{#N/A,#N/A,FALSE,"Chi tiÆt"}</definedName>
    <definedName name="EF" localSheetId="35" hidden="1">{#N/A,#N/A,FALSE,"Chi tiÆt"}</definedName>
    <definedName name="EF" localSheetId="38" hidden="1">{#N/A,#N/A,FALSE,"Chi tiÆt"}</definedName>
    <definedName name="EF" hidden="1">{#N/A,#N/A,FALSE,"Chi tiÆt"}</definedName>
    <definedName name="efg" localSheetId="20" hidden="1">{"'Sheet1'!$A$1"}</definedName>
    <definedName name="efg" localSheetId="19" hidden="1">{"'Sheet1'!$A$1"}</definedName>
    <definedName name="efg" localSheetId="26" hidden="1">{"'Sheet1'!$A$1"}</definedName>
    <definedName name="efg" localSheetId="24" hidden="1">{"'Sheet1'!$A$1"}</definedName>
    <definedName name="efg" localSheetId="32" hidden="1">{"'Sheet1'!$A$1"}</definedName>
    <definedName name="efg" localSheetId="27" hidden="1">{"'Sheet1'!$A$1"}</definedName>
    <definedName name="efg" localSheetId="28" hidden="1">{"'Sheet1'!$A$1"}</definedName>
    <definedName name="efg" localSheetId="29" hidden="1">{"'Sheet1'!$A$1"}</definedName>
    <definedName name="efg" localSheetId="31" hidden="1">{"'Sheet1'!$A$1"}</definedName>
    <definedName name="efg" localSheetId="30" hidden="1">{"'Sheet1'!$A$1"}</definedName>
    <definedName name="efg" localSheetId="17" hidden="1">{"'Sheet1'!$A$1"}</definedName>
    <definedName name="efg" localSheetId="18" hidden="1">{"'Sheet1'!$A$1"}</definedName>
    <definedName name="efg" hidden="1">{"'Sheet1'!$A$1"}</definedName>
    <definedName name="egqg" hidden="1">#REF!</definedName>
    <definedName name="EGYW" localSheetId="2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GYW" localSheetId="1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GYW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GYW" localSheetId="2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GYW" localSheetId="3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GYW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GYW" localSheetId="2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GYW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GYW" localSheetId="3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GYW" localSheetId="3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GYW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GYW" localSheetId="1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GY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jjj" localSheetId="20" hidden="1">{"'Sheet1'!$A$1"}</definedName>
    <definedName name="ejjj" localSheetId="19" hidden="1">{"'Sheet1'!$A$1"}</definedName>
    <definedName name="ejjj" localSheetId="26" hidden="1">{"'Sheet1'!$A$1"}</definedName>
    <definedName name="ejjj" localSheetId="24" hidden="1">{"'Sheet1'!$A$1"}</definedName>
    <definedName name="ejjj" localSheetId="32" hidden="1">{"'Sheet1'!$A$1"}</definedName>
    <definedName name="ejjj" localSheetId="27" hidden="1">{"'Sheet1'!$A$1"}</definedName>
    <definedName name="ejjj" localSheetId="28" hidden="1">{"'Sheet1'!$A$1"}</definedName>
    <definedName name="ejjj" localSheetId="29" hidden="1">{"'Sheet1'!$A$1"}</definedName>
    <definedName name="ejjj" localSheetId="31" hidden="1">{"'Sheet1'!$A$1"}</definedName>
    <definedName name="ejjj" localSheetId="30" hidden="1">{"'Sheet1'!$A$1"}</definedName>
    <definedName name="ejjj" localSheetId="17" hidden="1">{"'Sheet1'!$A$1"}</definedName>
    <definedName name="ejjj" localSheetId="18" hidden="1">{"'Sheet1'!$A$1"}</definedName>
    <definedName name="ejjj" hidden="1">{"'Sheet1'!$A$1"}</definedName>
    <definedName name="Electr.Test" localSheetId="20" hidden="1">{"'장비'!$A$3:$M$12"}</definedName>
    <definedName name="Electr.Test" localSheetId="19" hidden="1">{"'장비'!$A$3:$M$12"}</definedName>
    <definedName name="Electr.Test" localSheetId="26" hidden="1">{"'장비'!$A$3:$M$12"}</definedName>
    <definedName name="Electr.Test" localSheetId="24" hidden="1">{"'장비'!$A$3:$M$12"}</definedName>
    <definedName name="Electr.Test" localSheetId="32" hidden="1">{"'장비'!$A$3:$M$12"}</definedName>
    <definedName name="Electr.Test" localSheetId="27" hidden="1">{"'장비'!$A$3:$M$12"}</definedName>
    <definedName name="Electr.Test" localSheetId="28" hidden="1">{"'장비'!$A$3:$M$12"}</definedName>
    <definedName name="Electr.Test" localSheetId="29" hidden="1">{"'장비'!$A$3:$M$12"}</definedName>
    <definedName name="Electr.Test" localSheetId="31" hidden="1">{"'장비'!$A$3:$M$12"}</definedName>
    <definedName name="Electr.Test" localSheetId="30" hidden="1">{"'장비'!$A$3:$M$12"}</definedName>
    <definedName name="Electr.Test" localSheetId="17" hidden="1">{"'장비'!$A$3:$M$12"}</definedName>
    <definedName name="Electr.Test" localSheetId="18" hidden="1">{"'장비'!$A$3:$M$12"}</definedName>
    <definedName name="Electr.Test" hidden="1">{"'장비'!$A$3:$M$12"}</definedName>
    <definedName name="ella" hidden="1">#REF!</definedName>
    <definedName name="ELLEN1" localSheetId="20" hidden="1">{#N/A,#N/A,FALSE,"CCTV"}</definedName>
    <definedName name="ELLEN1" localSheetId="19" hidden="1">{#N/A,#N/A,FALSE,"CCTV"}</definedName>
    <definedName name="ELLEN1" localSheetId="26" hidden="1">{#N/A,#N/A,FALSE,"CCTV"}</definedName>
    <definedName name="ELLEN1" localSheetId="24" hidden="1">{#N/A,#N/A,FALSE,"CCTV"}</definedName>
    <definedName name="ELLEN1" localSheetId="32" hidden="1">{#N/A,#N/A,FALSE,"CCTV"}</definedName>
    <definedName name="ELLEN1" localSheetId="27" hidden="1">{#N/A,#N/A,FALSE,"CCTV"}</definedName>
    <definedName name="ELLEN1" localSheetId="28" hidden="1">{#N/A,#N/A,FALSE,"CCTV"}</definedName>
    <definedName name="ELLEN1" localSheetId="29" hidden="1">{#N/A,#N/A,FALSE,"CCTV"}</definedName>
    <definedName name="ELLEN1" localSheetId="31" hidden="1">{#N/A,#N/A,FALSE,"CCTV"}</definedName>
    <definedName name="ELLEN1" localSheetId="30" hidden="1">{#N/A,#N/A,FALSE,"CCTV"}</definedName>
    <definedName name="ELLEN1" localSheetId="17" hidden="1">{#N/A,#N/A,FALSE,"CCTV"}</definedName>
    <definedName name="ELLEN1" localSheetId="18" hidden="1">{#N/A,#N/A,FALSE,"CCTV"}</definedName>
    <definedName name="ELLEN1" hidden="1">{#N/A,#N/A,FALSE,"CCTV"}</definedName>
    <definedName name="ELLEN10" localSheetId="20" hidden="1">{#N/A,#N/A,FALSE,"CCTV"}</definedName>
    <definedName name="ELLEN10" localSheetId="19" hidden="1">{#N/A,#N/A,FALSE,"CCTV"}</definedName>
    <definedName name="ELLEN10" localSheetId="26" hidden="1">{#N/A,#N/A,FALSE,"CCTV"}</definedName>
    <definedName name="ELLEN10" localSheetId="24" hidden="1">{#N/A,#N/A,FALSE,"CCTV"}</definedName>
    <definedName name="ELLEN10" localSheetId="32" hidden="1">{#N/A,#N/A,FALSE,"CCTV"}</definedName>
    <definedName name="ELLEN10" localSheetId="27" hidden="1">{#N/A,#N/A,FALSE,"CCTV"}</definedName>
    <definedName name="ELLEN10" localSheetId="28" hidden="1">{#N/A,#N/A,FALSE,"CCTV"}</definedName>
    <definedName name="ELLEN10" localSheetId="29" hidden="1">{#N/A,#N/A,FALSE,"CCTV"}</definedName>
    <definedName name="ELLEN10" localSheetId="31" hidden="1">{#N/A,#N/A,FALSE,"CCTV"}</definedName>
    <definedName name="ELLEN10" localSheetId="30" hidden="1">{#N/A,#N/A,FALSE,"CCTV"}</definedName>
    <definedName name="ELLEN10" localSheetId="17" hidden="1">{#N/A,#N/A,FALSE,"CCTV"}</definedName>
    <definedName name="ELLEN10" localSheetId="18" hidden="1">{#N/A,#N/A,FALSE,"CCTV"}</definedName>
    <definedName name="ELLEN10" hidden="1">{#N/A,#N/A,FALSE,"CCTV"}</definedName>
    <definedName name="ELLEN11" localSheetId="20" hidden="1">{#N/A,#N/A,FALSE,"CCTV"}</definedName>
    <definedName name="ELLEN11" localSheetId="19" hidden="1">{#N/A,#N/A,FALSE,"CCTV"}</definedName>
    <definedName name="ELLEN11" localSheetId="26" hidden="1">{#N/A,#N/A,FALSE,"CCTV"}</definedName>
    <definedName name="ELLEN11" localSheetId="24" hidden="1">{#N/A,#N/A,FALSE,"CCTV"}</definedName>
    <definedName name="ELLEN11" localSheetId="32" hidden="1">{#N/A,#N/A,FALSE,"CCTV"}</definedName>
    <definedName name="ELLEN11" localSheetId="27" hidden="1">{#N/A,#N/A,FALSE,"CCTV"}</definedName>
    <definedName name="ELLEN11" localSheetId="28" hidden="1">{#N/A,#N/A,FALSE,"CCTV"}</definedName>
    <definedName name="ELLEN11" localSheetId="29" hidden="1">{#N/A,#N/A,FALSE,"CCTV"}</definedName>
    <definedName name="ELLEN11" localSheetId="31" hidden="1">{#N/A,#N/A,FALSE,"CCTV"}</definedName>
    <definedName name="ELLEN11" localSheetId="30" hidden="1">{#N/A,#N/A,FALSE,"CCTV"}</definedName>
    <definedName name="ELLEN11" localSheetId="17" hidden="1">{#N/A,#N/A,FALSE,"CCTV"}</definedName>
    <definedName name="ELLEN11" localSheetId="18" hidden="1">{#N/A,#N/A,FALSE,"CCTV"}</definedName>
    <definedName name="ELLEN11" hidden="1">{#N/A,#N/A,FALSE,"CCTV"}</definedName>
    <definedName name="ELLEN12" localSheetId="20" hidden="1">{#N/A,#N/A,FALSE,"CCTV"}</definedName>
    <definedName name="ELLEN12" localSheetId="19" hidden="1">{#N/A,#N/A,FALSE,"CCTV"}</definedName>
    <definedName name="ELLEN12" localSheetId="26" hidden="1">{#N/A,#N/A,FALSE,"CCTV"}</definedName>
    <definedName name="ELLEN12" localSheetId="24" hidden="1">{#N/A,#N/A,FALSE,"CCTV"}</definedName>
    <definedName name="ELLEN12" localSheetId="32" hidden="1">{#N/A,#N/A,FALSE,"CCTV"}</definedName>
    <definedName name="ELLEN12" localSheetId="27" hidden="1">{#N/A,#N/A,FALSE,"CCTV"}</definedName>
    <definedName name="ELLEN12" localSheetId="28" hidden="1">{#N/A,#N/A,FALSE,"CCTV"}</definedName>
    <definedName name="ELLEN12" localSheetId="29" hidden="1">{#N/A,#N/A,FALSE,"CCTV"}</definedName>
    <definedName name="ELLEN12" localSheetId="31" hidden="1">{#N/A,#N/A,FALSE,"CCTV"}</definedName>
    <definedName name="ELLEN12" localSheetId="30" hidden="1">{#N/A,#N/A,FALSE,"CCTV"}</definedName>
    <definedName name="ELLEN12" localSheetId="17" hidden="1">{#N/A,#N/A,FALSE,"CCTV"}</definedName>
    <definedName name="ELLEN12" localSheetId="18" hidden="1">{#N/A,#N/A,FALSE,"CCTV"}</definedName>
    <definedName name="ELLEN12" hidden="1">{#N/A,#N/A,FALSE,"CCTV"}</definedName>
    <definedName name="ELLEN13" localSheetId="20" hidden="1">{#N/A,#N/A,FALSE,"CCTV"}</definedName>
    <definedName name="ELLEN13" localSheetId="19" hidden="1">{#N/A,#N/A,FALSE,"CCTV"}</definedName>
    <definedName name="ELLEN13" localSheetId="26" hidden="1">{#N/A,#N/A,FALSE,"CCTV"}</definedName>
    <definedName name="ELLEN13" localSheetId="24" hidden="1">{#N/A,#N/A,FALSE,"CCTV"}</definedName>
    <definedName name="ELLEN13" localSheetId="32" hidden="1">{#N/A,#N/A,FALSE,"CCTV"}</definedName>
    <definedName name="ELLEN13" localSheetId="27" hidden="1">{#N/A,#N/A,FALSE,"CCTV"}</definedName>
    <definedName name="ELLEN13" localSheetId="28" hidden="1">{#N/A,#N/A,FALSE,"CCTV"}</definedName>
    <definedName name="ELLEN13" localSheetId="29" hidden="1">{#N/A,#N/A,FALSE,"CCTV"}</definedName>
    <definedName name="ELLEN13" localSheetId="31" hidden="1">{#N/A,#N/A,FALSE,"CCTV"}</definedName>
    <definedName name="ELLEN13" localSheetId="30" hidden="1">{#N/A,#N/A,FALSE,"CCTV"}</definedName>
    <definedName name="ELLEN13" localSheetId="17" hidden="1">{#N/A,#N/A,FALSE,"CCTV"}</definedName>
    <definedName name="ELLEN13" localSheetId="18" hidden="1">{#N/A,#N/A,FALSE,"CCTV"}</definedName>
    <definedName name="ELLEN13" hidden="1">{#N/A,#N/A,FALSE,"CCTV"}</definedName>
    <definedName name="ELLEN14" localSheetId="20" hidden="1">{#N/A,#N/A,FALSE,"CCTV"}</definedName>
    <definedName name="ELLEN14" localSheetId="19" hidden="1">{#N/A,#N/A,FALSE,"CCTV"}</definedName>
    <definedName name="ELLEN14" localSheetId="26" hidden="1">{#N/A,#N/A,FALSE,"CCTV"}</definedName>
    <definedName name="ELLEN14" localSheetId="24" hidden="1">{#N/A,#N/A,FALSE,"CCTV"}</definedName>
    <definedName name="ELLEN14" localSheetId="32" hidden="1">{#N/A,#N/A,FALSE,"CCTV"}</definedName>
    <definedName name="ELLEN14" localSheetId="27" hidden="1">{#N/A,#N/A,FALSE,"CCTV"}</definedName>
    <definedName name="ELLEN14" localSheetId="28" hidden="1">{#N/A,#N/A,FALSE,"CCTV"}</definedName>
    <definedName name="ELLEN14" localSheetId="29" hidden="1">{#N/A,#N/A,FALSE,"CCTV"}</definedName>
    <definedName name="ELLEN14" localSheetId="31" hidden="1">{#N/A,#N/A,FALSE,"CCTV"}</definedName>
    <definedName name="ELLEN14" localSheetId="30" hidden="1">{#N/A,#N/A,FALSE,"CCTV"}</definedName>
    <definedName name="ELLEN14" localSheetId="17" hidden="1">{#N/A,#N/A,FALSE,"CCTV"}</definedName>
    <definedName name="ELLEN14" localSheetId="18" hidden="1">{#N/A,#N/A,FALSE,"CCTV"}</definedName>
    <definedName name="ELLEN14" hidden="1">{#N/A,#N/A,FALSE,"CCTV"}</definedName>
    <definedName name="ELLEN15" localSheetId="20" hidden="1">{#N/A,#N/A,FALSE,"CCTV"}</definedName>
    <definedName name="ELLEN15" localSheetId="19" hidden="1">{#N/A,#N/A,FALSE,"CCTV"}</definedName>
    <definedName name="ELLEN15" localSheetId="26" hidden="1">{#N/A,#N/A,FALSE,"CCTV"}</definedName>
    <definedName name="ELLEN15" localSheetId="24" hidden="1">{#N/A,#N/A,FALSE,"CCTV"}</definedName>
    <definedName name="ELLEN15" localSheetId="32" hidden="1">{#N/A,#N/A,FALSE,"CCTV"}</definedName>
    <definedName name="ELLEN15" localSheetId="27" hidden="1">{#N/A,#N/A,FALSE,"CCTV"}</definedName>
    <definedName name="ELLEN15" localSheetId="28" hidden="1">{#N/A,#N/A,FALSE,"CCTV"}</definedName>
    <definedName name="ELLEN15" localSheetId="29" hidden="1">{#N/A,#N/A,FALSE,"CCTV"}</definedName>
    <definedName name="ELLEN15" localSheetId="31" hidden="1">{#N/A,#N/A,FALSE,"CCTV"}</definedName>
    <definedName name="ELLEN15" localSheetId="30" hidden="1">{#N/A,#N/A,FALSE,"CCTV"}</definedName>
    <definedName name="ELLEN15" localSheetId="17" hidden="1">{#N/A,#N/A,FALSE,"CCTV"}</definedName>
    <definedName name="ELLEN15" localSheetId="18" hidden="1">{#N/A,#N/A,FALSE,"CCTV"}</definedName>
    <definedName name="ELLEN15" hidden="1">{#N/A,#N/A,FALSE,"CCTV"}</definedName>
    <definedName name="ELLEN16" localSheetId="20" hidden="1">{#N/A,#N/A,FALSE,"CCTV"}</definedName>
    <definedName name="ELLEN16" localSheetId="19" hidden="1">{#N/A,#N/A,FALSE,"CCTV"}</definedName>
    <definedName name="ELLEN16" localSheetId="26" hidden="1">{#N/A,#N/A,FALSE,"CCTV"}</definedName>
    <definedName name="ELLEN16" localSheetId="24" hidden="1">{#N/A,#N/A,FALSE,"CCTV"}</definedName>
    <definedName name="ELLEN16" localSheetId="32" hidden="1">{#N/A,#N/A,FALSE,"CCTV"}</definedName>
    <definedName name="ELLEN16" localSheetId="27" hidden="1">{#N/A,#N/A,FALSE,"CCTV"}</definedName>
    <definedName name="ELLEN16" localSheetId="28" hidden="1">{#N/A,#N/A,FALSE,"CCTV"}</definedName>
    <definedName name="ELLEN16" localSheetId="29" hidden="1">{#N/A,#N/A,FALSE,"CCTV"}</definedName>
    <definedName name="ELLEN16" localSheetId="31" hidden="1">{#N/A,#N/A,FALSE,"CCTV"}</definedName>
    <definedName name="ELLEN16" localSheetId="30" hidden="1">{#N/A,#N/A,FALSE,"CCTV"}</definedName>
    <definedName name="ELLEN16" localSheetId="17" hidden="1">{#N/A,#N/A,FALSE,"CCTV"}</definedName>
    <definedName name="ELLEN16" localSheetId="18" hidden="1">{#N/A,#N/A,FALSE,"CCTV"}</definedName>
    <definedName name="ELLEN16" hidden="1">{#N/A,#N/A,FALSE,"CCTV"}</definedName>
    <definedName name="ELLEN17" localSheetId="20" hidden="1">{#N/A,#N/A,FALSE,"CCTV"}</definedName>
    <definedName name="ELLEN17" localSheetId="19" hidden="1">{#N/A,#N/A,FALSE,"CCTV"}</definedName>
    <definedName name="ELLEN17" localSheetId="26" hidden="1">{#N/A,#N/A,FALSE,"CCTV"}</definedName>
    <definedName name="ELLEN17" localSheetId="24" hidden="1">{#N/A,#N/A,FALSE,"CCTV"}</definedName>
    <definedName name="ELLEN17" localSheetId="32" hidden="1">{#N/A,#N/A,FALSE,"CCTV"}</definedName>
    <definedName name="ELLEN17" localSheetId="27" hidden="1">{#N/A,#N/A,FALSE,"CCTV"}</definedName>
    <definedName name="ELLEN17" localSheetId="28" hidden="1">{#N/A,#N/A,FALSE,"CCTV"}</definedName>
    <definedName name="ELLEN17" localSheetId="29" hidden="1">{#N/A,#N/A,FALSE,"CCTV"}</definedName>
    <definedName name="ELLEN17" localSheetId="31" hidden="1">{#N/A,#N/A,FALSE,"CCTV"}</definedName>
    <definedName name="ELLEN17" localSheetId="30" hidden="1">{#N/A,#N/A,FALSE,"CCTV"}</definedName>
    <definedName name="ELLEN17" localSheetId="17" hidden="1">{#N/A,#N/A,FALSE,"CCTV"}</definedName>
    <definedName name="ELLEN17" localSheetId="18" hidden="1">{#N/A,#N/A,FALSE,"CCTV"}</definedName>
    <definedName name="ELLEN17" hidden="1">{#N/A,#N/A,FALSE,"CCTV"}</definedName>
    <definedName name="ELLEN18" localSheetId="20" hidden="1">{#N/A,#N/A,FALSE,"CCTV"}</definedName>
    <definedName name="ELLEN18" localSheetId="19" hidden="1">{#N/A,#N/A,FALSE,"CCTV"}</definedName>
    <definedName name="ELLEN18" localSheetId="26" hidden="1">{#N/A,#N/A,FALSE,"CCTV"}</definedName>
    <definedName name="ELLEN18" localSheetId="24" hidden="1">{#N/A,#N/A,FALSE,"CCTV"}</definedName>
    <definedName name="ELLEN18" localSheetId="32" hidden="1">{#N/A,#N/A,FALSE,"CCTV"}</definedName>
    <definedName name="ELLEN18" localSheetId="27" hidden="1">{#N/A,#N/A,FALSE,"CCTV"}</definedName>
    <definedName name="ELLEN18" localSheetId="28" hidden="1">{#N/A,#N/A,FALSE,"CCTV"}</definedName>
    <definedName name="ELLEN18" localSheetId="29" hidden="1">{#N/A,#N/A,FALSE,"CCTV"}</definedName>
    <definedName name="ELLEN18" localSheetId="31" hidden="1">{#N/A,#N/A,FALSE,"CCTV"}</definedName>
    <definedName name="ELLEN18" localSheetId="30" hidden="1">{#N/A,#N/A,FALSE,"CCTV"}</definedName>
    <definedName name="ELLEN18" localSheetId="17" hidden="1">{#N/A,#N/A,FALSE,"CCTV"}</definedName>
    <definedName name="ELLEN18" localSheetId="18" hidden="1">{#N/A,#N/A,FALSE,"CCTV"}</definedName>
    <definedName name="ELLEN18" hidden="1">{#N/A,#N/A,FALSE,"CCTV"}</definedName>
    <definedName name="ELLEN19" localSheetId="20" hidden="1">{#N/A,#N/A,FALSE,"CCTV"}</definedName>
    <definedName name="ELLEN19" localSheetId="19" hidden="1">{#N/A,#N/A,FALSE,"CCTV"}</definedName>
    <definedName name="ELLEN19" localSheetId="26" hidden="1">{#N/A,#N/A,FALSE,"CCTV"}</definedName>
    <definedName name="ELLEN19" localSheetId="24" hidden="1">{#N/A,#N/A,FALSE,"CCTV"}</definedName>
    <definedName name="ELLEN19" localSheetId="32" hidden="1">{#N/A,#N/A,FALSE,"CCTV"}</definedName>
    <definedName name="ELLEN19" localSheetId="27" hidden="1">{#N/A,#N/A,FALSE,"CCTV"}</definedName>
    <definedName name="ELLEN19" localSheetId="28" hidden="1">{#N/A,#N/A,FALSE,"CCTV"}</definedName>
    <definedName name="ELLEN19" localSheetId="29" hidden="1">{#N/A,#N/A,FALSE,"CCTV"}</definedName>
    <definedName name="ELLEN19" localSheetId="31" hidden="1">{#N/A,#N/A,FALSE,"CCTV"}</definedName>
    <definedName name="ELLEN19" localSheetId="30" hidden="1">{#N/A,#N/A,FALSE,"CCTV"}</definedName>
    <definedName name="ELLEN19" localSheetId="17" hidden="1">{#N/A,#N/A,FALSE,"CCTV"}</definedName>
    <definedName name="ELLEN19" localSheetId="18" hidden="1">{#N/A,#N/A,FALSE,"CCTV"}</definedName>
    <definedName name="ELLEN19" hidden="1">{#N/A,#N/A,FALSE,"CCTV"}</definedName>
    <definedName name="ELLEN2" localSheetId="20" hidden="1">{#N/A,#N/A,FALSE,"CCTV"}</definedName>
    <definedName name="ELLEN2" localSheetId="19" hidden="1">{#N/A,#N/A,FALSE,"CCTV"}</definedName>
    <definedName name="ELLEN2" localSheetId="26" hidden="1">{#N/A,#N/A,FALSE,"CCTV"}</definedName>
    <definedName name="ELLEN2" localSheetId="24" hidden="1">{#N/A,#N/A,FALSE,"CCTV"}</definedName>
    <definedName name="ELLEN2" localSheetId="32" hidden="1">{#N/A,#N/A,FALSE,"CCTV"}</definedName>
    <definedName name="ELLEN2" localSheetId="27" hidden="1">{#N/A,#N/A,FALSE,"CCTV"}</definedName>
    <definedName name="ELLEN2" localSheetId="28" hidden="1">{#N/A,#N/A,FALSE,"CCTV"}</definedName>
    <definedName name="ELLEN2" localSheetId="29" hidden="1">{#N/A,#N/A,FALSE,"CCTV"}</definedName>
    <definedName name="ELLEN2" localSheetId="31" hidden="1">{#N/A,#N/A,FALSE,"CCTV"}</definedName>
    <definedName name="ELLEN2" localSheetId="30" hidden="1">{#N/A,#N/A,FALSE,"CCTV"}</definedName>
    <definedName name="ELLEN2" localSheetId="17" hidden="1">{#N/A,#N/A,FALSE,"CCTV"}</definedName>
    <definedName name="ELLEN2" localSheetId="18" hidden="1">{#N/A,#N/A,FALSE,"CCTV"}</definedName>
    <definedName name="ELLEN2" hidden="1">{#N/A,#N/A,FALSE,"CCTV"}</definedName>
    <definedName name="ELLEN3" localSheetId="20" hidden="1">{#N/A,#N/A,FALSE,"CCTV"}</definedName>
    <definedName name="ELLEN3" localSheetId="19" hidden="1">{#N/A,#N/A,FALSE,"CCTV"}</definedName>
    <definedName name="ELLEN3" localSheetId="26" hidden="1">{#N/A,#N/A,FALSE,"CCTV"}</definedName>
    <definedName name="ELLEN3" localSheetId="24" hidden="1">{#N/A,#N/A,FALSE,"CCTV"}</definedName>
    <definedName name="ELLEN3" localSheetId="32" hidden="1">{#N/A,#N/A,FALSE,"CCTV"}</definedName>
    <definedName name="ELLEN3" localSheetId="27" hidden="1">{#N/A,#N/A,FALSE,"CCTV"}</definedName>
    <definedName name="ELLEN3" localSheetId="28" hidden="1">{#N/A,#N/A,FALSE,"CCTV"}</definedName>
    <definedName name="ELLEN3" localSheetId="29" hidden="1">{#N/A,#N/A,FALSE,"CCTV"}</definedName>
    <definedName name="ELLEN3" localSheetId="31" hidden="1">{#N/A,#N/A,FALSE,"CCTV"}</definedName>
    <definedName name="ELLEN3" localSheetId="30" hidden="1">{#N/A,#N/A,FALSE,"CCTV"}</definedName>
    <definedName name="ELLEN3" localSheetId="17" hidden="1">{#N/A,#N/A,FALSE,"CCTV"}</definedName>
    <definedName name="ELLEN3" localSheetId="18" hidden="1">{#N/A,#N/A,FALSE,"CCTV"}</definedName>
    <definedName name="ELLEN3" hidden="1">{#N/A,#N/A,FALSE,"CCTV"}</definedName>
    <definedName name="ELLEN4" localSheetId="20" hidden="1">{#N/A,#N/A,FALSE,"CCTV"}</definedName>
    <definedName name="ELLEN4" localSheetId="19" hidden="1">{#N/A,#N/A,FALSE,"CCTV"}</definedName>
    <definedName name="ELLEN4" localSheetId="26" hidden="1">{#N/A,#N/A,FALSE,"CCTV"}</definedName>
    <definedName name="ELLEN4" localSheetId="24" hidden="1">{#N/A,#N/A,FALSE,"CCTV"}</definedName>
    <definedName name="ELLEN4" localSheetId="32" hidden="1">{#N/A,#N/A,FALSE,"CCTV"}</definedName>
    <definedName name="ELLEN4" localSheetId="27" hidden="1">{#N/A,#N/A,FALSE,"CCTV"}</definedName>
    <definedName name="ELLEN4" localSheetId="28" hidden="1">{#N/A,#N/A,FALSE,"CCTV"}</definedName>
    <definedName name="ELLEN4" localSheetId="29" hidden="1">{#N/A,#N/A,FALSE,"CCTV"}</definedName>
    <definedName name="ELLEN4" localSheetId="31" hidden="1">{#N/A,#N/A,FALSE,"CCTV"}</definedName>
    <definedName name="ELLEN4" localSheetId="30" hidden="1">{#N/A,#N/A,FALSE,"CCTV"}</definedName>
    <definedName name="ELLEN4" localSheetId="17" hidden="1">{#N/A,#N/A,FALSE,"CCTV"}</definedName>
    <definedName name="ELLEN4" localSheetId="18" hidden="1">{#N/A,#N/A,FALSE,"CCTV"}</definedName>
    <definedName name="ELLEN4" hidden="1">{#N/A,#N/A,FALSE,"CCTV"}</definedName>
    <definedName name="ELLEN5" localSheetId="20" hidden="1">{#N/A,#N/A,FALSE,"CCTV"}</definedName>
    <definedName name="ELLEN5" localSheetId="19" hidden="1">{#N/A,#N/A,FALSE,"CCTV"}</definedName>
    <definedName name="ELLEN5" localSheetId="26" hidden="1">{#N/A,#N/A,FALSE,"CCTV"}</definedName>
    <definedName name="ELLEN5" localSheetId="24" hidden="1">{#N/A,#N/A,FALSE,"CCTV"}</definedName>
    <definedName name="ELLEN5" localSheetId="32" hidden="1">{#N/A,#N/A,FALSE,"CCTV"}</definedName>
    <definedName name="ELLEN5" localSheetId="27" hidden="1">{#N/A,#N/A,FALSE,"CCTV"}</definedName>
    <definedName name="ELLEN5" localSheetId="28" hidden="1">{#N/A,#N/A,FALSE,"CCTV"}</definedName>
    <definedName name="ELLEN5" localSheetId="29" hidden="1">{#N/A,#N/A,FALSE,"CCTV"}</definedName>
    <definedName name="ELLEN5" localSheetId="31" hidden="1">{#N/A,#N/A,FALSE,"CCTV"}</definedName>
    <definedName name="ELLEN5" localSheetId="30" hidden="1">{#N/A,#N/A,FALSE,"CCTV"}</definedName>
    <definedName name="ELLEN5" localSheetId="17" hidden="1">{#N/A,#N/A,FALSE,"CCTV"}</definedName>
    <definedName name="ELLEN5" localSheetId="18" hidden="1">{#N/A,#N/A,FALSE,"CCTV"}</definedName>
    <definedName name="ELLEN5" hidden="1">{#N/A,#N/A,FALSE,"CCTV"}</definedName>
    <definedName name="ELLEN6" localSheetId="20" hidden="1">{#N/A,#N/A,FALSE,"CCTV"}</definedName>
    <definedName name="ELLEN6" localSheetId="19" hidden="1">{#N/A,#N/A,FALSE,"CCTV"}</definedName>
    <definedName name="ELLEN6" localSheetId="26" hidden="1">{#N/A,#N/A,FALSE,"CCTV"}</definedName>
    <definedName name="ELLEN6" localSheetId="24" hidden="1">{#N/A,#N/A,FALSE,"CCTV"}</definedName>
    <definedName name="ELLEN6" localSheetId="32" hidden="1">{#N/A,#N/A,FALSE,"CCTV"}</definedName>
    <definedName name="ELLEN6" localSheetId="27" hidden="1">{#N/A,#N/A,FALSE,"CCTV"}</definedName>
    <definedName name="ELLEN6" localSheetId="28" hidden="1">{#N/A,#N/A,FALSE,"CCTV"}</definedName>
    <definedName name="ELLEN6" localSheetId="29" hidden="1">{#N/A,#N/A,FALSE,"CCTV"}</definedName>
    <definedName name="ELLEN6" localSheetId="31" hidden="1">{#N/A,#N/A,FALSE,"CCTV"}</definedName>
    <definedName name="ELLEN6" localSheetId="30" hidden="1">{#N/A,#N/A,FALSE,"CCTV"}</definedName>
    <definedName name="ELLEN6" localSheetId="17" hidden="1">{#N/A,#N/A,FALSE,"CCTV"}</definedName>
    <definedName name="ELLEN6" localSheetId="18" hidden="1">{#N/A,#N/A,FALSE,"CCTV"}</definedName>
    <definedName name="ELLEN6" hidden="1">{#N/A,#N/A,FALSE,"CCTV"}</definedName>
    <definedName name="ELLEN7" localSheetId="20" hidden="1">{#N/A,#N/A,FALSE,"CCTV"}</definedName>
    <definedName name="ELLEN7" localSheetId="19" hidden="1">{#N/A,#N/A,FALSE,"CCTV"}</definedName>
    <definedName name="ELLEN7" localSheetId="26" hidden="1">{#N/A,#N/A,FALSE,"CCTV"}</definedName>
    <definedName name="ELLEN7" localSheetId="24" hidden="1">{#N/A,#N/A,FALSE,"CCTV"}</definedName>
    <definedName name="ELLEN7" localSheetId="32" hidden="1">{#N/A,#N/A,FALSE,"CCTV"}</definedName>
    <definedName name="ELLEN7" localSheetId="27" hidden="1">{#N/A,#N/A,FALSE,"CCTV"}</definedName>
    <definedName name="ELLEN7" localSheetId="28" hidden="1">{#N/A,#N/A,FALSE,"CCTV"}</definedName>
    <definedName name="ELLEN7" localSheetId="29" hidden="1">{#N/A,#N/A,FALSE,"CCTV"}</definedName>
    <definedName name="ELLEN7" localSheetId="31" hidden="1">{#N/A,#N/A,FALSE,"CCTV"}</definedName>
    <definedName name="ELLEN7" localSheetId="30" hidden="1">{#N/A,#N/A,FALSE,"CCTV"}</definedName>
    <definedName name="ELLEN7" localSheetId="17" hidden="1">{#N/A,#N/A,FALSE,"CCTV"}</definedName>
    <definedName name="ELLEN7" localSheetId="18" hidden="1">{#N/A,#N/A,FALSE,"CCTV"}</definedName>
    <definedName name="ELLEN7" hidden="1">{#N/A,#N/A,FALSE,"CCTV"}</definedName>
    <definedName name="ELLEN8" localSheetId="20" hidden="1">{#N/A,#N/A,FALSE,"CCTV"}</definedName>
    <definedName name="ELLEN8" localSheetId="19" hidden="1">{#N/A,#N/A,FALSE,"CCTV"}</definedName>
    <definedName name="ELLEN8" localSheetId="26" hidden="1">{#N/A,#N/A,FALSE,"CCTV"}</definedName>
    <definedName name="ELLEN8" localSheetId="24" hidden="1">{#N/A,#N/A,FALSE,"CCTV"}</definedName>
    <definedName name="ELLEN8" localSheetId="32" hidden="1">{#N/A,#N/A,FALSE,"CCTV"}</definedName>
    <definedName name="ELLEN8" localSheetId="27" hidden="1">{#N/A,#N/A,FALSE,"CCTV"}</definedName>
    <definedName name="ELLEN8" localSheetId="28" hidden="1">{#N/A,#N/A,FALSE,"CCTV"}</definedName>
    <definedName name="ELLEN8" localSheetId="29" hidden="1">{#N/A,#N/A,FALSE,"CCTV"}</definedName>
    <definedName name="ELLEN8" localSheetId="31" hidden="1">{#N/A,#N/A,FALSE,"CCTV"}</definedName>
    <definedName name="ELLEN8" localSheetId="30" hidden="1">{#N/A,#N/A,FALSE,"CCTV"}</definedName>
    <definedName name="ELLEN8" localSheetId="17" hidden="1">{#N/A,#N/A,FALSE,"CCTV"}</definedName>
    <definedName name="ELLEN8" localSheetId="18" hidden="1">{#N/A,#N/A,FALSE,"CCTV"}</definedName>
    <definedName name="ELLEN8" hidden="1">{#N/A,#N/A,FALSE,"CCTV"}</definedName>
    <definedName name="ELLEN9" localSheetId="20" hidden="1">{#N/A,#N/A,FALSE,"CCTV"}</definedName>
    <definedName name="ELLEN9" localSheetId="19" hidden="1">{#N/A,#N/A,FALSE,"CCTV"}</definedName>
    <definedName name="ELLEN9" localSheetId="26" hidden="1">{#N/A,#N/A,FALSE,"CCTV"}</definedName>
    <definedName name="ELLEN9" localSheetId="24" hidden="1">{#N/A,#N/A,FALSE,"CCTV"}</definedName>
    <definedName name="ELLEN9" localSheetId="32" hidden="1">{#N/A,#N/A,FALSE,"CCTV"}</definedName>
    <definedName name="ELLEN9" localSheetId="27" hidden="1">{#N/A,#N/A,FALSE,"CCTV"}</definedName>
    <definedName name="ELLEN9" localSheetId="28" hidden="1">{#N/A,#N/A,FALSE,"CCTV"}</definedName>
    <definedName name="ELLEN9" localSheetId="29" hidden="1">{#N/A,#N/A,FALSE,"CCTV"}</definedName>
    <definedName name="ELLEN9" localSheetId="31" hidden="1">{#N/A,#N/A,FALSE,"CCTV"}</definedName>
    <definedName name="ELLEN9" localSheetId="30" hidden="1">{#N/A,#N/A,FALSE,"CCTV"}</definedName>
    <definedName name="ELLEN9" localSheetId="17" hidden="1">{#N/A,#N/A,FALSE,"CCTV"}</definedName>
    <definedName name="ELLEN9" localSheetId="18" hidden="1">{#N/A,#N/A,FALSE,"CCTV"}</definedName>
    <definedName name="ELLEN9" hidden="1">{#N/A,#N/A,FALSE,"CCTV"}</definedName>
    <definedName name="ENGHRSREV" localSheetId="32" hidden="1">#REF!</definedName>
    <definedName name="ENGHRSREV" hidden="1">#REF!</definedName>
    <definedName name="ENOS" localSheetId="20" hidden="1">{"'A'!$A$1:$W$63"}</definedName>
    <definedName name="ENOS" localSheetId="19" hidden="1">{"'A'!$A$1:$W$63"}</definedName>
    <definedName name="ENOS" localSheetId="26" hidden="1">{"'A'!$A$1:$W$63"}</definedName>
    <definedName name="ENOS" localSheetId="24" hidden="1">{"'A'!$A$1:$W$63"}</definedName>
    <definedName name="ENOS" localSheetId="32" hidden="1">{"'A'!$A$1:$W$63"}</definedName>
    <definedName name="ENOS" localSheetId="27" hidden="1">{"'A'!$A$1:$W$63"}</definedName>
    <definedName name="ENOS" localSheetId="28" hidden="1">{"'A'!$A$1:$W$63"}</definedName>
    <definedName name="ENOS" localSheetId="29" hidden="1">{"'A'!$A$1:$W$63"}</definedName>
    <definedName name="ENOS" localSheetId="31" hidden="1">{"'A'!$A$1:$W$63"}</definedName>
    <definedName name="ENOS" localSheetId="30" hidden="1">{"'A'!$A$1:$W$63"}</definedName>
    <definedName name="ENOS" localSheetId="17" hidden="1">{"'A'!$A$1:$W$63"}</definedName>
    <definedName name="ENOS" localSheetId="18" hidden="1">{"'A'!$A$1:$W$63"}</definedName>
    <definedName name="ENOS" hidden="1">{"'A'!$A$1:$W$63"}</definedName>
    <definedName name="EPCM1" localSheetId="20" hidden="1">{#N/A,#N/A,FALSE,"SUM_Prop";#N/A,#N/A,FALSE,"PROCESS-eng";#N/A,#N/A,FALSE,"PROCESS-com";#N/A,#N/A,FALSE,"INST-eng";#N/A,#N/A,FALSE,"INST-com"}</definedName>
    <definedName name="EPCM1" localSheetId="19" hidden="1">{#N/A,#N/A,FALSE,"SUM_Prop";#N/A,#N/A,FALSE,"PROCESS-eng";#N/A,#N/A,FALSE,"PROCESS-com";#N/A,#N/A,FALSE,"INST-eng";#N/A,#N/A,FALSE,"INST-com"}</definedName>
    <definedName name="EPCM1" localSheetId="26" hidden="1">{#N/A,#N/A,FALSE,"SUM_Prop";#N/A,#N/A,FALSE,"PROCESS-eng";#N/A,#N/A,FALSE,"PROCESS-com";#N/A,#N/A,FALSE,"INST-eng";#N/A,#N/A,FALSE,"INST-com"}</definedName>
    <definedName name="EPCM1" localSheetId="24" hidden="1">{#N/A,#N/A,FALSE,"SUM_Prop";#N/A,#N/A,FALSE,"PROCESS-eng";#N/A,#N/A,FALSE,"PROCESS-com";#N/A,#N/A,FALSE,"INST-eng";#N/A,#N/A,FALSE,"INST-com"}</definedName>
    <definedName name="EPCM1" localSheetId="32" hidden="1">{#N/A,#N/A,FALSE,"SUM_Prop";#N/A,#N/A,FALSE,"PROCESS-eng";#N/A,#N/A,FALSE,"PROCESS-com";#N/A,#N/A,FALSE,"INST-eng";#N/A,#N/A,FALSE,"INST-com"}</definedName>
    <definedName name="EPCM1" localSheetId="27" hidden="1">{#N/A,#N/A,FALSE,"SUM_Prop";#N/A,#N/A,FALSE,"PROCESS-eng";#N/A,#N/A,FALSE,"PROCESS-com";#N/A,#N/A,FALSE,"INST-eng";#N/A,#N/A,FALSE,"INST-com"}</definedName>
    <definedName name="EPCM1" localSheetId="28" hidden="1">{#N/A,#N/A,FALSE,"SUM_Prop";#N/A,#N/A,FALSE,"PROCESS-eng";#N/A,#N/A,FALSE,"PROCESS-com";#N/A,#N/A,FALSE,"INST-eng";#N/A,#N/A,FALSE,"INST-com"}</definedName>
    <definedName name="EPCM1" localSheetId="29" hidden="1">{#N/A,#N/A,FALSE,"SUM_Prop";#N/A,#N/A,FALSE,"PROCESS-eng";#N/A,#N/A,FALSE,"PROCESS-com";#N/A,#N/A,FALSE,"INST-eng";#N/A,#N/A,FALSE,"INST-com"}</definedName>
    <definedName name="EPCM1" localSheetId="31" hidden="1">{#N/A,#N/A,FALSE,"SUM_Prop";#N/A,#N/A,FALSE,"PROCESS-eng";#N/A,#N/A,FALSE,"PROCESS-com";#N/A,#N/A,FALSE,"INST-eng";#N/A,#N/A,FALSE,"INST-com"}</definedName>
    <definedName name="EPCM1" localSheetId="30" hidden="1">{#N/A,#N/A,FALSE,"SUM_Prop";#N/A,#N/A,FALSE,"PROCESS-eng";#N/A,#N/A,FALSE,"PROCESS-com";#N/A,#N/A,FALSE,"INST-eng";#N/A,#N/A,FALSE,"INST-com"}</definedName>
    <definedName name="EPCM1" localSheetId="17" hidden="1">{#N/A,#N/A,FALSE,"SUM_Prop";#N/A,#N/A,FALSE,"PROCESS-eng";#N/A,#N/A,FALSE,"PROCESS-com";#N/A,#N/A,FALSE,"INST-eng";#N/A,#N/A,FALSE,"INST-com"}</definedName>
    <definedName name="EPCM1" localSheetId="18" hidden="1">{#N/A,#N/A,FALSE,"SUM_Prop";#N/A,#N/A,FALSE,"PROCESS-eng";#N/A,#N/A,FALSE,"PROCESS-com";#N/A,#N/A,FALSE,"INST-eng";#N/A,#N/A,FALSE,"INST-com"}</definedName>
    <definedName name="EPCM1" hidden="1">{#N/A,#N/A,FALSE,"SUM_Prop";#N/A,#N/A,FALSE,"PROCESS-eng";#N/A,#N/A,FALSE,"PROCESS-com";#N/A,#N/A,FALSE,"INST-eng";#N/A,#N/A,FALSE,"INST-com"}</definedName>
    <definedName name="epcm2" localSheetId="20" hidden="1">{#N/A,#N/A,FALSE,"SUM_Prop";#N/A,#N/A,FALSE,"PROCESS-eng";#N/A,#N/A,FALSE,"PROCESS-com";#N/A,#N/A,FALSE,"INST-eng";#N/A,#N/A,FALSE,"INST-com"}</definedName>
    <definedName name="epcm2" localSheetId="19" hidden="1">{#N/A,#N/A,FALSE,"SUM_Prop";#N/A,#N/A,FALSE,"PROCESS-eng";#N/A,#N/A,FALSE,"PROCESS-com";#N/A,#N/A,FALSE,"INST-eng";#N/A,#N/A,FALSE,"INST-com"}</definedName>
    <definedName name="epcm2" localSheetId="26" hidden="1">{#N/A,#N/A,FALSE,"SUM_Prop";#N/A,#N/A,FALSE,"PROCESS-eng";#N/A,#N/A,FALSE,"PROCESS-com";#N/A,#N/A,FALSE,"INST-eng";#N/A,#N/A,FALSE,"INST-com"}</definedName>
    <definedName name="epcm2" localSheetId="24" hidden="1">{#N/A,#N/A,FALSE,"SUM_Prop";#N/A,#N/A,FALSE,"PROCESS-eng";#N/A,#N/A,FALSE,"PROCESS-com";#N/A,#N/A,FALSE,"INST-eng";#N/A,#N/A,FALSE,"INST-com"}</definedName>
    <definedName name="epcm2" localSheetId="32" hidden="1">{#N/A,#N/A,FALSE,"SUM_Prop";#N/A,#N/A,FALSE,"PROCESS-eng";#N/A,#N/A,FALSE,"PROCESS-com";#N/A,#N/A,FALSE,"INST-eng";#N/A,#N/A,FALSE,"INST-com"}</definedName>
    <definedName name="epcm2" localSheetId="27" hidden="1">{#N/A,#N/A,FALSE,"SUM_Prop";#N/A,#N/A,FALSE,"PROCESS-eng";#N/A,#N/A,FALSE,"PROCESS-com";#N/A,#N/A,FALSE,"INST-eng";#N/A,#N/A,FALSE,"INST-com"}</definedName>
    <definedName name="epcm2" localSheetId="28" hidden="1">{#N/A,#N/A,FALSE,"SUM_Prop";#N/A,#N/A,FALSE,"PROCESS-eng";#N/A,#N/A,FALSE,"PROCESS-com";#N/A,#N/A,FALSE,"INST-eng";#N/A,#N/A,FALSE,"INST-com"}</definedName>
    <definedName name="epcm2" localSheetId="29" hidden="1">{#N/A,#N/A,FALSE,"SUM_Prop";#N/A,#N/A,FALSE,"PROCESS-eng";#N/A,#N/A,FALSE,"PROCESS-com";#N/A,#N/A,FALSE,"INST-eng";#N/A,#N/A,FALSE,"INST-com"}</definedName>
    <definedName name="epcm2" localSheetId="31" hidden="1">{#N/A,#N/A,FALSE,"SUM_Prop";#N/A,#N/A,FALSE,"PROCESS-eng";#N/A,#N/A,FALSE,"PROCESS-com";#N/A,#N/A,FALSE,"INST-eng";#N/A,#N/A,FALSE,"INST-com"}</definedName>
    <definedName name="epcm2" localSheetId="30" hidden="1">{#N/A,#N/A,FALSE,"SUM_Prop";#N/A,#N/A,FALSE,"PROCESS-eng";#N/A,#N/A,FALSE,"PROCESS-com";#N/A,#N/A,FALSE,"INST-eng";#N/A,#N/A,FALSE,"INST-com"}</definedName>
    <definedName name="epcm2" localSheetId="17" hidden="1">{#N/A,#N/A,FALSE,"SUM_Prop";#N/A,#N/A,FALSE,"PROCESS-eng";#N/A,#N/A,FALSE,"PROCESS-com";#N/A,#N/A,FALSE,"INST-eng";#N/A,#N/A,FALSE,"INST-com"}</definedName>
    <definedName name="epcm2" localSheetId="18" hidden="1">{#N/A,#N/A,FALSE,"SUM_Prop";#N/A,#N/A,FALSE,"PROCESS-eng";#N/A,#N/A,FALSE,"PROCESS-com";#N/A,#N/A,FALSE,"INST-eng";#N/A,#N/A,FALSE,"INST-com"}</definedName>
    <definedName name="epcm2" hidden="1">{#N/A,#N/A,FALSE,"SUM_Prop";#N/A,#N/A,FALSE,"PROCESS-eng";#N/A,#N/A,FALSE,"PROCESS-com";#N/A,#N/A,FALSE,"INST-eng";#N/A,#N/A,FALSE,"INST-com"}</definedName>
    <definedName name="eqw" localSheetId="20" hidden="1">{#N/A,#N/A,FALSE,"REK";#N/A,#N/A,FALSE,"rab"}</definedName>
    <definedName name="eqw" localSheetId="19" hidden="1">{#N/A,#N/A,FALSE,"REK";#N/A,#N/A,FALSE,"rab"}</definedName>
    <definedName name="eqw" localSheetId="26" hidden="1">{#N/A,#N/A,FALSE,"REK";#N/A,#N/A,FALSE,"rab"}</definedName>
    <definedName name="eqw" localSheetId="24" hidden="1">{#N/A,#N/A,FALSE,"REK";#N/A,#N/A,FALSE,"rab"}</definedName>
    <definedName name="eqw" localSheetId="32" hidden="1">{#N/A,#N/A,FALSE,"REK";#N/A,#N/A,FALSE,"rab"}</definedName>
    <definedName name="eqw" localSheetId="27" hidden="1">{#N/A,#N/A,FALSE,"REK";#N/A,#N/A,FALSE,"rab"}</definedName>
    <definedName name="eqw" localSheetId="28" hidden="1">{#N/A,#N/A,FALSE,"REK";#N/A,#N/A,FALSE,"rab"}</definedName>
    <definedName name="eqw" localSheetId="29" hidden="1">{#N/A,#N/A,FALSE,"REK";#N/A,#N/A,FALSE,"rab"}</definedName>
    <definedName name="eqw" localSheetId="31" hidden="1">{#N/A,#N/A,FALSE,"REK";#N/A,#N/A,FALSE,"rab"}</definedName>
    <definedName name="eqw" localSheetId="30" hidden="1">{#N/A,#N/A,FALSE,"REK";#N/A,#N/A,FALSE,"rab"}</definedName>
    <definedName name="eqw" localSheetId="17" hidden="1">{#N/A,#N/A,FALSE,"REK";#N/A,#N/A,FALSE,"rab"}</definedName>
    <definedName name="eqw" localSheetId="18" hidden="1">{#N/A,#N/A,FALSE,"REK";#N/A,#N/A,FALSE,"rab"}</definedName>
    <definedName name="eqw" hidden="1">{#N/A,#N/A,FALSE,"REK";#N/A,#N/A,FALSE,"rab"}</definedName>
    <definedName name="eqwgtqwegt" localSheetId="20" hidden="1">{#N/A,#N/A,FALSE,"REK";#N/A,#N/A,FALSE,"Bq-ARS"}</definedName>
    <definedName name="eqwgtqwegt" localSheetId="19" hidden="1">{#N/A,#N/A,FALSE,"REK";#N/A,#N/A,FALSE,"Bq-ARS"}</definedName>
    <definedName name="eqwgtqwegt" localSheetId="26" hidden="1">{#N/A,#N/A,FALSE,"REK";#N/A,#N/A,FALSE,"Bq-ARS"}</definedName>
    <definedName name="eqwgtqwegt" localSheetId="24" hidden="1">{#N/A,#N/A,FALSE,"REK";#N/A,#N/A,FALSE,"Bq-ARS"}</definedName>
    <definedName name="eqwgtqwegt" localSheetId="32" hidden="1">{#N/A,#N/A,FALSE,"REK";#N/A,#N/A,FALSE,"Bq-ARS"}</definedName>
    <definedName name="eqwgtqwegt" localSheetId="27" hidden="1">{#N/A,#N/A,FALSE,"REK";#N/A,#N/A,FALSE,"Bq-ARS"}</definedName>
    <definedName name="eqwgtqwegt" localSheetId="28" hidden="1">{#N/A,#N/A,FALSE,"REK";#N/A,#N/A,FALSE,"Bq-ARS"}</definedName>
    <definedName name="eqwgtqwegt" localSheetId="29" hidden="1">{#N/A,#N/A,FALSE,"REK";#N/A,#N/A,FALSE,"Bq-ARS"}</definedName>
    <definedName name="eqwgtqwegt" localSheetId="31" hidden="1">{#N/A,#N/A,FALSE,"REK";#N/A,#N/A,FALSE,"Bq-ARS"}</definedName>
    <definedName name="eqwgtqwegt" localSheetId="30" hidden="1">{#N/A,#N/A,FALSE,"REK";#N/A,#N/A,FALSE,"Bq-ARS"}</definedName>
    <definedName name="eqwgtqwegt" localSheetId="17" hidden="1">{#N/A,#N/A,FALSE,"REK";#N/A,#N/A,FALSE,"Bq-ARS"}</definedName>
    <definedName name="eqwgtqwegt" localSheetId="18" hidden="1">{#N/A,#N/A,FALSE,"REK";#N/A,#N/A,FALSE,"Bq-ARS"}</definedName>
    <definedName name="eqwgtqwegt" hidden="1">{#N/A,#N/A,FALSE,"REK";#N/A,#N/A,FALSE,"Bq-ARS"}</definedName>
    <definedName name="ER" localSheetId="20" hidden="1">{#N/A,#N/A,FALSE,"CCTV"}</definedName>
    <definedName name="ER" localSheetId="19" hidden="1">{#N/A,#N/A,FALSE,"CCTV"}</definedName>
    <definedName name="ER" localSheetId="32" hidden="1">{#N/A,#N/A,FALSE,"CCTV"}</definedName>
    <definedName name="ER" localSheetId="27" hidden="1">{#N/A,#N/A,FALSE,"CCTV"}</definedName>
    <definedName name="ER" localSheetId="28" hidden="1">{#N/A,#N/A,FALSE,"CCTV"}</definedName>
    <definedName name="ER" localSheetId="31" hidden="1">{#N/A,#N/A,FALSE,"CCTV"}</definedName>
    <definedName name="ER" localSheetId="30" hidden="1">{#N/A,#N/A,FALSE,"CCTV"}</definedName>
    <definedName name="ER" localSheetId="13" hidden="1">{#N/A,#N/A,FALSE,"CCTV"}</definedName>
    <definedName name="ER" localSheetId="17" hidden="1">{#N/A,#N/A,FALSE,"CCTV"}</definedName>
    <definedName name="ER" localSheetId="18" hidden="1">{#N/A,#N/A,FALSE,"CCTV"}</definedName>
    <definedName name="ere" localSheetId="27" hidden="1">#REF!</definedName>
    <definedName name="ere" hidden="1">#REF!</definedName>
    <definedName name="erfff" localSheetId="27" hidden="1">#REF!</definedName>
    <definedName name="erfff" hidden="1">#REF!</definedName>
    <definedName name="erhe" localSheetId="20" hidden="1">{"'Sheet1'!$A$1"}</definedName>
    <definedName name="erhe" localSheetId="19" hidden="1">{"'Sheet1'!$A$1"}</definedName>
    <definedName name="erhe" localSheetId="26" hidden="1">{"'Sheet1'!$A$1"}</definedName>
    <definedName name="erhe" localSheetId="24" hidden="1">{"'Sheet1'!$A$1"}</definedName>
    <definedName name="erhe" localSheetId="32" hidden="1">{"'Sheet1'!$A$1"}</definedName>
    <definedName name="erhe" localSheetId="27" hidden="1">{"'Sheet1'!$A$1"}</definedName>
    <definedName name="erhe" localSheetId="28" hidden="1">{"'Sheet1'!$A$1"}</definedName>
    <definedName name="erhe" localSheetId="29" hidden="1">{"'Sheet1'!$A$1"}</definedName>
    <definedName name="erhe" localSheetId="31" hidden="1">{"'Sheet1'!$A$1"}</definedName>
    <definedName name="erhe" localSheetId="30" hidden="1">{"'Sheet1'!$A$1"}</definedName>
    <definedName name="erhe" localSheetId="17" hidden="1">{"'Sheet1'!$A$1"}</definedName>
    <definedName name="erhe" localSheetId="18" hidden="1">{"'Sheet1'!$A$1"}</definedName>
    <definedName name="erhe" hidden="1">{"'Sheet1'!$A$1"}</definedName>
    <definedName name="ERHTWR" localSheetId="41" hidden="1">#REF!</definedName>
    <definedName name="ERHTWR" localSheetId="42" hidden="1">#REF!</definedName>
    <definedName name="ERHTWR" hidden="1">#REF!</definedName>
    <definedName name="ert" hidden="1">#REF!</definedName>
    <definedName name="eru" localSheetId="20" hidden="1">{"'Sheet1'!$A$1"}</definedName>
    <definedName name="eru" localSheetId="19" hidden="1">{"'Sheet1'!$A$1"}</definedName>
    <definedName name="eru" localSheetId="26" hidden="1">{"'Sheet1'!$A$1"}</definedName>
    <definedName name="eru" localSheetId="24" hidden="1">{"'Sheet1'!$A$1"}</definedName>
    <definedName name="eru" localSheetId="32" hidden="1">{"'Sheet1'!$A$1"}</definedName>
    <definedName name="eru" localSheetId="27" hidden="1">{"'Sheet1'!$A$1"}</definedName>
    <definedName name="eru" localSheetId="28" hidden="1">{"'Sheet1'!$A$1"}</definedName>
    <definedName name="eru" localSheetId="29" hidden="1">{"'Sheet1'!$A$1"}</definedName>
    <definedName name="eru" localSheetId="31" hidden="1">{"'Sheet1'!$A$1"}</definedName>
    <definedName name="eru" localSheetId="30" hidden="1">{"'Sheet1'!$A$1"}</definedName>
    <definedName name="eru" localSheetId="17" hidden="1">{"'Sheet1'!$A$1"}</definedName>
    <definedName name="eru" localSheetId="18" hidden="1">{"'Sheet1'!$A$1"}</definedName>
    <definedName name="eru" hidden="1">{"'Sheet1'!$A$1"}</definedName>
    <definedName name="erw" hidden="1">#REF!</definedName>
    <definedName name="erwin" localSheetId="20" hidden="1">{"'1996'!$A$1:$J$272"}</definedName>
    <definedName name="erwin" localSheetId="19" hidden="1">{"'1996'!$A$1:$J$272"}</definedName>
    <definedName name="erwin" localSheetId="26" hidden="1">{"'1996'!$A$1:$J$272"}</definedName>
    <definedName name="erwin" localSheetId="24" hidden="1">{"'1996'!$A$1:$J$272"}</definedName>
    <definedName name="erwin" localSheetId="32" hidden="1">{"'1996'!$A$1:$J$272"}</definedName>
    <definedName name="erwin" localSheetId="27" hidden="1">{"'1996'!$A$1:$J$272"}</definedName>
    <definedName name="erwin" localSheetId="28" hidden="1">{"'1996'!$A$1:$J$272"}</definedName>
    <definedName name="erwin" localSheetId="29" hidden="1">{"'1996'!$A$1:$J$272"}</definedName>
    <definedName name="erwin" localSheetId="31" hidden="1">{"'1996'!$A$1:$J$272"}</definedName>
    <definedName name="erwin" localSheetId="30" hidden="1">{"'1996'!$A$1:$J$272"}</definedName>
    <definedName name="erwin" localSheetId="17" hidden="1">{"'1996'!$A$1:$J$272"}</definedName>
    <definedName name="erwin" localSheetId="18" hidden="1">{"'1996'!$A$1:$J$272"}</definedName>
    <definedName name="erwin" hidden="1">{"'1996'!$A$1:$J$272"}</definedName>
    <definedName name="eryrt" localSheetId="20" hidden="1">{"'Sheet1'!$A$1"}</definedName>
    <definedName name="eryrt" localSheetId="19" hidden="1">{"'Sheet1'!$A$1"}</definedName>
    <definedName name="eryrt" localSheetId="26" hidden="1">{"'Sheet1'!$A$1"}</definedName>
    <definedName name="eryrt" localSheetId="24" hidden="1">{"'Sheet1'!$A$1"}</definedName>
    <definedName name="eryrt" localSheetId="32" hidden="1">{"'Sheet1'!$A$1"}</definedName>
    <definedName name="eryrt" localSheetId="27" hidden="1">{"'Sheet1'!$A$1"}</definedName>
    <definedName name="eryrt" localSheetId="28" hidden="1">{"'Sheet1'!$A$1"}</definedName>
    <definedName name="eryrt" localSheetId="29" hidden="1">{"'Sheet1'!$A$1"}</definedName>
    <definedName name="eryrt" localSheetId="31" hidden="1">{"'Sheet1'!$A$1"}</definedName>
    <definedName name="eryrt" localSheetId="30" hidden="1">{"'Sheet1'!$A$1"}</definedName>
    <definedName name="eryrt" localSheetId="17" hidden="1">{"'Sheet1'!$A$1"}</definedName>
    <definedName name="eryrt" localSheetId="18" hidden="1">{"'Sheet1'!$A$1"}</definedName>
    <definedName name="eryrt" hidden="1">{"'Sheet1'!$A$1"}</definedName>
    <definedName name="ES" localSheetId="20" hidden="1">{"'1996'!$A$1:$J$272"}</definedName>
    <definedName name="ES" localSheetId="19" hidden="1">{"'1996'!$A$1:$J$272"}</definedName>
    <definedName name="ES" localSheetId="26" hidden="1">{"'1996'!$A$1:$J$272"}</definedName>
    <definedName name="ES" localSheetId="24" hidden="1">{"'1996'!$A$1:$J$272"}</definedName>
    <definedName name="ES" localSheetId="32" hidden="1">{"'1996'!$A$1:$J$272"}</definedName>
    <definedName name="ES" localSheetId="27" hidden="1">{"'1996'!$A$1:$J$272"}</definedName>
    <definedName name="ES" localSheetId="28" hidden="1">{"'1996'!$A$1:$J$272"}</definedName>
    <definedName name="ES" localSheetId="29" hidden="1">{"'1996'!$A$1:$J$272"}</definedName>
    <definedName name="ES" localSheetId="31" hidden="1">{"'1996'!$A$1:$J$272"}</definedName>
    <definedName name="ES" localSheetId="30" hidden="1">{"'1996'!$A$1:$J$272"}</definedName>
    <definedName name="ES" localSheetId="17" hidden="1">{"'1996'!$A$1:$J$272"}</definedName>
    <definedName name="ES" localSheetId="18" hidden="1">{"'1996'!$A$1:$J$272"}</definedName>
    <definedName name="ES" hidden="1">{"'1996'!$A$1:$J$272"}</definedName>
    <definedName name="ESD" localSheetId="20" hidden="1">{"'Sheet1'!$A$1"}</definedName>
    <definedName name="ESD" localSheetId="19" hidden="1">{"'Sheet1'!$A$1"}</definedName>
    <definedName name="ESD" localSheetId="26" hidden="1">{"'Sheet1'!$A$1"}</definedName>
    <definedName name="ESD" localSheetId="24" hidden="1">{"'Sheet1'!$A$1"}</definedName>
    <definedName name="ESD" localSheetId="32" hidden="1">{"'Sheet1'!$A$1"}</definedName>
    <definedName name="ESD" localSheetId="27" hidden="1">{"'Sheet1'!$A$1"}</definedName>
    <definedName name="ESD" localSheetId="28" hidden="1">{"'Sheet1'!$A$1"}</definedName>
    <definedName name="ESD" localSheetId="29" hidden="1">{"'Sheet1'!$A$1"}</definedName>
    <definedName name="ESD" localSheetId="31" hidden="1">{"'Sheet1'!$A$1"}</definedName>
    <definedName name="ESD" localSheetId="30" hidden="1">{"'Sheet1'!$A$1"}</definedName>
    <definedName name="ESD" localSheetId="17" hidden="1">{"'Sheet1'!$A$1"}</definedName>
    <definedName name="ESD" localSheetId="18" hidden="1">{"'Sheet1'!$A$1"}</definedName>
    <definedName name="ESD" hidden="1">{"'Sheet1'!$A$1"}</definedName>
    <definedName name="ESDER" localSheetId="20" hidden="1">{"'Sheet1'!$A$1"}</definedName>
    <definedName name="ESDER" localSheetId="19" hidden="1">{"'Sheet1'!$A$1"}</definedName>
    <definedName name="ESDER" localSheetId="26" hidden="1">{"'Sheet1'!$A$1"}</definedName>
    <definedName name="ESDER" localSheetId="24" hidden="1">{"'Sheet1'!$A$1"}</definedName>
    <definedName name="ESDER" localSheetId="32" hidden="1">{"'Sheet1'!$A$1"}</definedName>
    <definedName name="ESDER" localSheetId="27" hidden="1">{"'Sheet1'!$A$1"}</definedName>
    <definedName name="ESDER" localSheetId="28" hidden="1">{"'Sheet1'!$A$1"}</definedName>
    <definedName name="ESDER" localSheetId="29" hidden="1">{"'Sheet1'!$A$1"}</definedName>
    <definedName name="ESDER" localSheetId="31" hidden="1">{"'Sheet1'!$A$1"}</definedName>
    <definedName name="ESDER" localSheetId="30" hidden="1">{"'Sheet1'!$A$1"}</definedName>
    <definedName name="ESDER" localSheetId="17" hidden="1">{"'Sheet1'!$A$1"}</definedName>
    <definedName name="ESDER" localSheetId="18" hidden="1">{"'Sheet1'!$A$1"}</definedName>
    <definedName name="ESDER" hidden="1">{"'Sheet1'!$A$1"}</definedName>
    <definedName name="ESRA" localSheetId="20" hidden="1">{"'Sheet1'!$A$1"}</definedName>
    <definedName name="ESRA" localSheetId="19" hidden="1">{"'Sheet1'!$A$1"}</definedName>
    <definedName name="ESRA" localSheetId="26" hidden="1">{"'Sheet1'!$A$1"}</definedName>
    <definedName name="ESRA" localSheetId="24" hidden="1">{"'Sheet1'!$A$1"}</definedName>
    <definedName name="ESRA" localSheetId="32" hidden="1">{"'Sheet1'!$A$1"}</definedName>
    <definedName name="ESRA" localSheetId="27" hidden="1">{"'Sheet1'!$A$1"}</definedName>
    <definedName name="ESRA" localSheetId="28" hidden="1">{"'Sheet1'!$A$1"}</definedName>
    <definedName name="ESRA" localSheetId="29" hidden="1">{"'Sheet1'!$A$1"}</definedName>
    <definedName name="ESRA" localSheetId="31" hidden="1">{"'Sheet1'!$A$1"}</definedName>
    <definedName name="ESRA" localSheetId="30" hidden="1">{"'Sheet1'!$A$1"}</definedName>
    <definedName name="ESRA" localSheetId="17" hidden="1">{"'Sheet1'!$A$1"}</definedName>
    <definedName name="ESRA" localSheetId="18" hidden="1">{"'Sheet1'!$A$1"}</definedName>
    <definedName name="ESRA" hidden="1">{"'Sheet1'!$A$1"}</definedName>
    <definedName name="ESTIMASIKINERJA2004" localSheetId="20" hidden="1">{#N/A,#N/A,FALSE,"M.31"}</definedName>
    <definedName name="ESTIMASIKINERJA2004" localSheetId="19" hidden="1">{#N/A,#N/A,FALSE,"M.31"}</definedName>
    <definedName name="ESTIMASIKINERJA2004" localSheetId="26" hidden="1">{#N/A,#N/A,FALSE,"M.31"}</definedName>
    <definedName name="ESTIMASIKINERJA2004" localSheetId="24" hidden="1">{#N/A,#N/A,FALSE,"M.31"}</definedName>
    <definedName name="ESTIMASIKINERJA2004" localSheetId="32" hidden="1">{#N/A,#N/A,FALSE,"M.31"}</definedName>
    <definedName name="ESTIMASIKINERJA2004" localSheetId="27" hidden="1">{#N/A,#N/A,FALSE,"M.31"}</definedName>
    <definedName name="ESTIMASIKINERJA2004" localSheetId="28" hidden="1">{#N/A,#N/A,FALSE,"M.31"}</definedName>
    <definedName name="ESTIMASIKINERJA2004" localSheetId="29" hidden="1">{#N/A,#N/A,FALSE,"M.31"}</definedName>
    <definedName name="ESTIMASIKINERJA2004" localSheetId="31" hidden="1">{#N/A,#N/A,FALSE,"M.31"}</definedName>
    <definedName name="ESTIMASIKINERJA2004" localSheetId="30" hidden="1">{#N/A,#N/A,FALSE,"M.31"}</definedName>
    <definedName name="ESTIMASIKINERJA2004" localSheetId="17" hidden="1">{#N/A,#N/A,FALSE,"M.31"}</definedName>
    <definedName name="ESTIMASIKINERJA2004" localSheetId="18" hidden="1">{#N/A,#N/A,FALSE,"M.31"}</definedName>
    <definedName name="ESTIMASIKINERJA2004" hidden="1">{#N/A,#N/A,FALSE,"M.31"}</definedName>
    <definedName name="eswtrhj" localSheetId="20" hidden="1">{#N/A,#N/A,FALSE,"REK-S-TPL";#N/A,#N/A,FALSE,"REK-TPML";#N/A,#N/A,FALSE,"RAB-TEMPEL"}</definedName>
    <definedName name="eswtrhj" localSheetId="19" hidden="1">{#N/A,#N/A,FALSE,"REK-S-TPL";#N/A,#N/A,FALSE,"REK-TPML";#N/A,#N/A,FALSE,"RAB-TEMPEL"}</definedName>
    <definedName name="eswtrhj" localSheetId="26" hidden="1">{#N/A,#N/A,FALSE,"REK-S-TPL";#N/A,#N/A,FALSE,"REK-TPML";#N/A,#N/A,FALSE,"RAB-TEMPEL"}</definedName>
    <definedName name="eswtrhj" localSheetId="24" hidden="1">{#N/A,#N/A,FALSE,"REK-S-TPL";#N/A,#N/A,FALSE,"REK-TPML";#N/A,#N/A,FALSE,"RAB-TEMPEL"}</definedName>
    <definedName name="eswtrhj" localSheetId="32" hidden="1">{#N/A,#N/A,FALSE,"REK-S-TPL";#N/A,#N/A,FALSE,"REK-TPML";#N/A,#N/A,FALSE,"RAB-TEMPEL"}</definedName>
    <definedName name="eswtrhj" localSheetId="27" hidden="1">{#N/A,#N/A,FALSE,"REK-S-TPL";#N/A,#N/A,FALSE,"REK-TPML";#N/A,#N/A,FALSE,"RAB-TEMPEL"}</definedName>
    <definedName name="eswtrhj" localSheetId="28" hidden="1">{#N/A,#N/A,FALSE,"REK-S-TPL";#N/A,#N/A,FALSE,"REK-TPML";#N/A,#N/A,FALSE,"RAB-TEMPEL"}</definedName>
    <definedName name="eswtrhj" localSheetId="29" hidden="1">{#N/A,#N/A,FALSE,"REK-S-TPL";#N/A,#N/A,FALSE,"REK-TPML";#N/A,#N/A,FALSE,"RAB-TEMPEL"}</definedName>
    <definedName name="eswtrhj" localSheetId="31" hidden="1">{#N/A,#N/A,FALSE,"REK-S-TPL";#N/A,#N/A,FALSE,"REK-TPML";#N/A,#N/A,FALSE,"RAB-TEMPEL"}</definedName>
    <definedName name="eswtrhj" localSheetId="30" hidden="1">{#N/A,#N/A,FALSE,"REK-S-TPL";#N/A,#N/A,FALSE,"REK-TPML";#N/A,#N/A,FALSE,"RAB-TEMPEL"}</definedName>
    <definedName name="eswtrhj" localSheetId="17" hidden="1">{#N/A,#N/A,FALSE,"REK-S-TPL";#N/A,#N/A,FALSE,"REK-TPML";#N/A,#N/A,FALSE,"RAB-TEMPEL"}</definedName>
    <definedName name="eswtrhj" localSheetId="18" hidden="1">{#N/A,#N/A,FALSE,"REK-S-TPL";#N/A,#N/A,FALSE,"REK-TPML";#N/A,#N/A,FALSE,"RAB-TEMPEL"}</definedName>
    <definedName name="eswtrhj" hidden="1">{#N/A,#N/A,FALSE,"REK-S-TPL";#N/A,#N/A,FALSE,"REK-TPML";#N/A,#N/A,FALSE,"RAB-TEMPEL"}</definedName>
    <definedName name="ET" localSheetId="20" hidden="1">{#N/A,#N/A,FALSE,"CCTV"}</definedName>
    <definedName name="ET" localSheetId="19" hidden="1">{#N/A,#N/A,FALSE,"CCTV"}</definedName>
    <definedName name="ET" localSheetId="26" hidden="1">{#N/A,#N/A,FALSE,"CCTV"}</definedName>
    <definedName name="ET" localSheetId="24" hidden="1">{#N/A,#N/A,FALSE,"CCTV"}</definedName>
    <definedName name="ET" localSheetId="32" hidden="1">{#N/A,#N/A,FALSE,"CCTV"}</definedName>
    <definedName name="ET" localSheetId="27" hidden="1">{#N/A,#N/A,FALSE,"CCTV"}</definedName>
    <definedName name="ET" localSheetId="28" hidden="1">{#N/A,#N/A,FALSE,"CCTV"}</definedName>
    <definedName name="ET" localSheetId="29" hidden="1">{#N/A,#N/A,FALSE,"CCTV"}</definedName>
    <definedName name="ET" localSheetId="31" hidden="1">{#N/A,#N/A,FALSE,"CCTV"}</definedName>
    <definedName name="ET" localSheetId="30" hidden="1">{#N/A,#N/A,FALSE,"CCTV"}</definedName>
    <definedName name="ET" localSheetId="17" hidden="1">{#N/A,#N/A,FALSE,"CCTV"}</definedName>
    <definedName name="ET" localSheetId="18" hidden="1">{#N/A,#N/A,FALSE,"CCTV"}</definedName>
    <definedName name="ET" hidden="1">{#N/A,#N/A,FALSE,"CCTV"}</definedName>
    <definedName name="EVA" localSheetId="20" hidden="1">{#N/A,#N/A,FALSE,"REK-S-TPL";#N/A,#N/A,FALSE,"REK-TPML";#N/A,#N/A,FALSE,"RAB-TEMPEL"}</definedName>
    <definedName name="EVA" localSheetId="19" hidden="1">{#N/A,#N/A,FALSE,"REK-S-TPL";#N/A,#N/A,FALSE,"REK-TPML";#N/A,#N/A,FALSE,"RAB-TEMPEL"}</definedName>
    <definedName name="EVA" localSheetId="26" hidden="1">{#N/A,#N/A,FALSE,"REK-S-TPL";#N/A,#N/A,FALSE,"REK-TPML";#N/A,#N/A,FALSE,"RAB-TEMPEL"}</definedName>
    <definedName name="EVA" localSheetId="24" hidden="1">{#N/A,#N/A,FALSE,"REK-S-TPL";#N/A,#N/A,FALSE,"REK-TPML";#N/A,#N/A,FALSE,"RAB-TEMPEL"}</definedName>
    <definedName name="EVA" localSheetId="32" hidden="1">{#N/A,#N/A,FALSE,"REK-S-TPL";#N/A,#N/A,FALSE,"REK-TPML";#N/A,#N/A,FALSE,"RAB-TEMPEL"}</definedName>
    <definedName name="EVA" localSheetId="27" hidden="1">{#N/A,#N/A,FALSE,"REK-S-TPL";#N/A,#N/A,FALSE,"REK-TPML";#N/A,#N/A,FALSE,"RAB-TEMPEL"}</definedName>
    <definedName name="EVA" localSheetId="28" hidden="1">{#N/A,#N/A,FALSE,"REK-S-TPL";#N/A,#N/A,FALSE,"REK-TPML";#N/A,#N/A,FALSE,"RAB-TEMPEL"}</definedName>
    <definedName name="EVA" localSheetId="29" hidden="1">{#N/A,#N/A,FALSE,"REK-S-TPL";#N/A,#N/A,FALSE,"REK-TPML";#N/A,#N/A,FALSE,"RAB-TEMPEL"}</definedName>
    <definedName name="EVA" localSheetId="31" hidden="1">{#N/A,#N/A,FALSE,"REK-S-TPL";#N/A,#N/A,FALSE,"REK-TPML";#N/A,#N/A,FALSE,"RAB-TEMPEL"}</definedName>
    <definedName name="EVA" localSheetId="30" hidden="1">{#N/A,#N/A,FALSE,"REK-S-TPL";#N/A,#N/A,FALSE,"REK-TPML";#N/A,#N/A,FALSE,"RAB-TEMPEL"}</definedName>
    <definedName name="EVA" localSheetId="17" hidden="1">{#N/A,#N/A,FALSE,"REK-S-TPL";#N/A,#N/A,FALSE,"REK-TPML";#N/A,#N/A,FALSE,"RAB-TEMPEL"}</definedName>
    <definedName name="EVA" localSheetId="18" hidden="1">{#N/A,#N/A,FALSE,"REK-S-TPL";#N/A,#N/A,FALSE,"REK-TPML";#N/A,#N/A,FALSE,"RAB-TEMPEL"}</definedName>
    <definedName name="EVA" hidden="1">{#N/A,#N/A,FALSE,"REK-S-TPL";#N/A,#N/A,FALSE,"REK-TPML";#N/A,#N/A,FALSE,"RAB-TEMPEL"}</definedName>
    <definedName name="ew" localSheetId="20" hidden="1">{#N/A,#N/A,FALSE,"CCTV"}</definedName>
    <definedName name="ew" localSheetId="19" hidden="1">{#N/A,#N/A,FALSE,"CCTV"}</definedName>
    <definedName name="ew" localSheetId="26" hidden="1">{#N/A,#N/A,FALSE,"CCTV"}</definedName>
    <definedName name="ew" localSheetId="24" hidden="1">{#N/A,#N/A,FALSE,"CCTV"}</definedName>
    <definedName name="ew" localSheetId="32" hidden="1">{#N/A,#N/A,FALSE,"CCTV"}</definedName>
    <definedName name="ew" localSheetId="27" hidden="1">{#N/A,#N/A,FALSE,"CCTV"}</definedName>
    <definedName name="ew" localSheetId="28" hidden="1">{#N/A,#N/A,FALSE,"CCTV"}</definedName>
    <definedName name="ew" localSheetId="29" hidden="1">{#N/A,#N/A,FALSE,"CCTV"}</definedName>
    <definedName name="ew" localSheetId="31" hidden="1">{#N/A,#N/A,FALSE,"CCTV"}</definedName>
    <definedName name="ew" localSheetId="30" hidden="1">{#N/A,#N/A,FALSE,"CCTV"}</definedName>
    <definedName name="ew" localSheetId="17" hidden="1">{#N/A,#N/A,FALSE,"CCTV"}</definedName>
    <definedName name="ew" localSheetId="18" hidden="1">{#N/A,#N/A,FALSE,"CCTV"}</definedName>
    <definedName name="ew" hidden="1">{#N/A,#N/A,FALSE,"CCTV"}</definedName>
    <definedName name="ewg" localSheetId="20" hidden="1">{"'Sheet1'!$A$1"}</definedName>
    <definedName name="ewg" localSheetId="19" hidden="1">{"'Sheet1'!$A$1"}</definedName>
    <definedName name="ewg" localSheetId="26" hidden="1">{"'Sheet1'!$A$1"}</definedName>
    <definedName name="ewg" localSheetId="24" hidden="1">{"'Sheet1'!$A$1"}</definedName>
    <definedName name="ewg" localSheetId="32" hidden="1">{"'Sheet1'!$A$1"}</definedName>
    <definedName name="ewg" localSheetId="27" hidden="1">{"'Sheet1'!$A$1"}</definedName>
    <definedName name="ewg" localSheetId="28" hidden="1">{"'Sheet1'!$A$1"}</definedName>
    <definedName name="ewg" localSheetId="29" hidden="1">{"'Sheet1'!$A$1"}</definedName>
    <definedName name="ewg" localSheetId="31" hidden="1">{"'Sheet1'!$A$1"}</definedName>
    <definedName name="ewg" localSheetId="30" hidden="1">{"'Sheet1'!$A$1"}</definedName>
    <definedName name="ewg" localSheetId="17" hidden="1">{"'Sheet1'!$A$1"}</definedName>
    <definedName name="ewg" localSheetId="18" hidden="1">{"'Sheet1'!$A$1"}</definedName>
    <definedName name="ewg" hidden="1">{"'Sheet1'!$A$1"}</definedName>
    <definedName name="EWQEQ" localSheetId="2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QEQ" localSheetId="1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QEQ" localSheetId="2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QEQ" localSheetId="2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QEQ" localSheetId="3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QEQ" localSheetId="2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QEQ" localSheetId="2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QEQ" localSheetId="2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QEQ" localSheetId="3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QEQ" localSheetId="3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QEQ" localSheetId="1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QEQ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QEQ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qfqewfqwe" localSheetId="20" hidden="1">{0,0,0,0}</definedName>
    <definedName name="ewqfqewfqwe" localSheetId="19" hidden="1">{0,0,0,0}</definedName>
    <definedName name="ewqfqewfqwe" localSheetId="26" hidden="1">{0,0,0,0}</definedName>
    <definedName name="ewqfqewfqwe" localSheetId="24" hidden="1">{0,0,0,0}</definedName>
    <definedName name="ewqfqewfqwe" localSheetId="32" hidden="1">{0,0,0,0}</definedName>
    <definedName name="ewqfqewfqwe" localSheetId="27" hidden="1">{0,0,0,0}</definedName>
    <definedName name="ewqfqewfqwe" localSheetId="28" hidden="1">{0,0,0,0}</definedName>
    <definedName name="ewqfqewfqwe" localSheetId="29" hidden="1">{0,0,0,0}</definedName>
    <definedName name="ewqfqewfqwe" localSheetId="31" hidden="1">{0,0,0,0}</definedName>
    <definedName name="ewqfqewfqwe" localSheetId="30" hidden="1">{0,0,0,0}</definedName>
    <definedName name="ewqfqewfqwe" localSheetId="17" hidden="1">{0,0,0,0}</definedName>
    <definedName name="ewqfqewfqwe" localSheetId="18" hidden="1">{0,0,0,0}</definedName>
    <definedName name="ewqfqewfqwe" hidden="1">{0,0,0,0}</definedName>
    <definedName name="EWRWE" localSheetId="20" hidden="1">{"'장비'!$A$3:$M$12"}</definedName>
    <definedName name="EWRWE" localSheetId="19" hidden="1">{"'장비'!$A$3:$M$12"}</definedName>
    <definedName name="EWRWE" localSheetId="26" hidden="1">{"'장비'!$A$3:$M$12"}</definedName>
    <definedName name="EWRWE" localSheetId="24" hidden="1">{"'장비'!$A$3:$M$12"}</definedName>
    <definedName name="EWRWE" localSheetId="32" hidden="1">{"'장비'!$A$3:$M$12"}</definedName>
    <definedName name="EWRWE" localSheetId="27" hidden="1">{"'장비'!$A$3:$M$12"}</definedName>
    <definedName name="EWRWE" localSheetId="28" hidden="1">{"'장비'!$A$3:$M$12"}</definedName>
    <definedName name="EWRWE" localSheetId="29" hidden="1">{"'장비'!$A$3:$M$12"}</definedName>
    <definedName name="EWRWE" localSheetId="31" hidden="1">{"'장비'!$A$3:$M$12"}</definedName>
    <definedName name="EWRWE" localSheetId="30" hidden="1">{"'장비'!$A$3:$M$12"}</definedName>
    <definedName name="EWRWE" localSheetId="17" hidden="1">{"'장비'!$A$3:$M$12"}</definedName>
    <definedName name="EWRWE" localSheetId="18" hidden="1">{"'장비'!$A$3:$M$12"}</definedName>
    <definedName name="EWRWE" hidden="1">{"'장비'!$A$3:$M$12"}</definedName>
    <definedName name="ewrweq" localSheetId="20" hidden="1">{"'장비'!$A$3:$M$12"}</definedName>
    <definedName name="ewrweq" localSheetId="19" hidden="1">{"'장비'!$A$3:$M$12"}</definedName>
    <definedName name="ewrweq" localSheetId="26" hidden="1">{"'장비'!$A$3:$M$12"}</definedName>
    <definedName name="ewrweq" localSheetId="24" hidden="1">{"'장비'!$A$3:$M$12"}</definedName>
    <definedName name="ewrweq" localSheetId="32" hidden="1">{"'장비'!$A$3:$M$12"}</definedName>
    <definedName name="ewrweq" localSheetId="27" hidden="1">{"'장비'!$A$3:$M$12"}</definedName>
    <definedName name="ewrweq" localSheetId="28" hidden="1">{"'장비'!$A$3:$M$12"}</definedName>
    <definedName name="ewrweq" localSheetId="29" hidden="1">{"'장비'!$A$3:$M$12"}</definedName>
    <definedName name="ewrweq" localSheetId="31" hidden="1">{"'장비'!$A$3:$M$12"}</definedName>
    <definedName name="ewrweq" localSheetId="30" hidden="1">{"'장비'!$A$3:$M$12"}</definedName>
    <definedName name="ewrweq" localSheetId="17" hidden="1">{"'장비'!$A$3:$M$12"}</definedName>
    <definedName name="ewrweq" localSheetId="18" hidden="1">{"'장비'!$A$3:$M$12"}</definedName>
    <definedName name="ewrweq" hidden="1">{"'장비'!$A$3:$M$12"}</definedName>
    <definedName name="EX" localSheetId="20" hidden="1">{#N/A,#N/A,FALSE,"CCTV"}</definedName>
    <definedName name="EX" localSheetId="19" hidden="1">{#N/A,#N/A,FALSE,"CCTV"}</definedName>
    <definedName name="EX" localSheetId="26" hidden="1">{#N/A,#N/A,FALSE,"CCTV"}</definedName>
    <definedName name="EX" localSheetId="24" hidden="1">{#N/A,#N/A,FALSE,"CCTV"}</definedName>
    <definedName name="EX" localSheetId="32" hidden="1">{#N/A,#N/A,FALSE,"CCTV"}</definedName>
    <definedName name="EX" localSheetId="27" hidden="1">{#N/A,#N/A,FALSE,"CCTV"}</definedName>
    <definedName name="EX" localSheetId="28" hidden="1">{#N/A,#N/A,FALSE,"CCTV"}</definedName>
    <definedName name="EX" localSheetId="29" hidden="1">{#N/A,#N/A,FALSE,"CCTV"}</definedName>
    <definedName name="EX" localSheetId="31" hidden="1">{#N/A,#N/A,FALSE,"CCTV"}</definedName>
    <definedName name="EX" localSheetId="30" hidden="1">{#N/A,#N/A,FALSE,"CCTV"}</definedName>
    <definedName name="EX" localSheetId="17" hidden="1">{#N/A,#N/A,FALSE,"CCTV"}</definedName>
    <definedName name="EX" localSheetId="18" hidden="1">{#N/A,#N/A,FALSE,"CCTV"}</definedName>
    <definedName name="EX" hidden="1">{#N/A,#N/A,FALSE,"CCTV"}</definedName>
    <definedName name="EXT" localSheetId="32" hidden="1">#REF!</definedName>
    <definedName name="EXT" hidden="1">#REF!</definedName>
    <definedName name="eyteyt" localSheetId="20" hidden="1">{#N/A,#N/A,FALSE,"CCTV"}</definedName>
    <definedName name="eyteyt" localSheetId="19" hidden="1">{#N/A,#N/A,FALSE,"CCTV"}</definedName>
    <definedName name="eyteyt" localSheetId="26" hidden="1">{#N/A,#N/A,FALSE,"CCTV"}</definedName>
    <definedName name="eyteyt" localSheetId="24" hidden="1">{#N/A,#N/A,FALSE,"CCTV"}</definedName>
    <definedName name="eyteyt" localSheetId="32" hidden="1">{#N/A,#N/A,FALSE,"CCTV"}</definedName>
    <definedName name="eyteyt" localSheetId="27" hidden="1">{#N/A,#N/A,FALSE,"CCTV"}</definedName>
    <definedName name="eyteyt" localSheetId="28" hidden="1">{#N/A,#N/A,FALSE,"CCTV"}</definedName>
    <definedName name="eyteyt" localSheetId="29" hidden="1">{#N/A,#N/A,FALSE,"CCTV"}</definedName>
    <definedName name="eyteyt" localSheetId="31" hidden="1">{#N/A,#N/A,FALSE,"CCTV"}</definedName>
    <definedName name="eyteyt" localSheetId="30" hidden="1">{#N/A,#N/A,FALSE,"CCTV"}</definedName>
    <definedName name="eyteyt" localSheetId="17" hidden="1">{#N/A,#N/A,FALSE,"CCTV"}</definedName>
    <definedName name="eyteyt" localSheetId="18" hidden="1">{#N/A,#N/A,FALSE,"CCTV"}</definedName>
    <definedName name="eyteyt" hidden="1">{#N/A,#N/A,FALSE,"CCTV"}</definedName>
    <definedName name="F" localSheetId="20" hidden="1">{#N/A,#N/A,FALSE,"M.41"}</definedName>
    <definedName name="F" localSheetId="19" hidden="1">{#N/A,#N/A,FALSE,"M.41"}</definedName>
    <definedName name="F" localSheetId="32" hidden="1">{#N/A,#N/A,FALSE,"M.41"}</definedName>
    <definedName name="F" localSheetId="27" hidden="1">{#N/A,#N/A,FALSE,"M.41"}</definedName>
    <definedName name="F" localSheetId="28" hidden="1">{#N/A,#N/A,FALSE,"M.41"}</definedName>
    <definedName name="F" localSheetId="31" hidden="1">{#N/A,#N/A,FALSE,"M.41"}</definedName>
    <definedName name="F" localSheetId="30" hidden="1">{#N/A,#N/A,FALSE,"M.41"}</definedName>
    <definedName name="F" localSheetId="13" hidden="1">{#N/A,#N/A,FALSE,"M.41"}</definedName>
    <definedName name="F" localSheetId="17" hidden="1">{#N/A,#N/A,FALSE,"M.41"}</definedName>
    <definedName name="F" localSheetId="18" hidden="1">{#N/A,#N/A,FALSE,"M.41"}</definedName>
    <definedName name="FADA" localSheetId="32" hidden="1">#REF!</definedName>
    <definedName name="FADA" hidden="1">#REF!</definedName>
    <definedName name="fall" localSheetId="32" hidden="1">#REF!</definedName>
    <definedName name="fall" localSheetId="42" hidden="1">#REF!</definedName>
    <definedName name="fall" hidden="1">#REF!</definedName>
    <definedName name="fatiya" localSheetId="20" hidden="1">{#N/A,#N/A,FALSE,"REK";#N/A,#N/A,FALSE,"rab"}</definedName>
    <definedName name="fatiya" localSheetId="19" hidden="1">{#N/A,#N/A,FALSE,"REK";#N/A,#N/A,FALSE,"rab"}</definedName>
    <definedName name="fatiya" localSheetId="26" hidden="1">{#N/A,#N/A,FALSE,"REK";#N/A,#N/A,FALSE,"rab"}</definedName>
    <definedName name="fatiya" localSheetId="23" hidden="1">{#N/A,#N/A,FALSE,"REK";#N/A,#N/A,FALSE,"rab"}</definedName>
    <definedName name="fatiya" localSheetId="24" hidden="1">{#N/A,#N/A,FALSE,"REK";#N/A,#N/A,FALSE,"rab"}</definedName>
    <definedName name="fatiya" localSheetId="32" hidden="1">{#N/A,#N/A,FALSE,"REK";#N/A,#N/A,FALSE,"rab"}</definedName>
    <definedName name="fatiya" localSheetId="27" hidden="1">{#N/A,#N/A,FALSE,"REK";#N/A,#N/A,FALSE,"rab"}</definedName>
    <definedName name="fatiya" localSheetId="28" hidden="1">{#N/A,#N/A,FALSE,"REK";#N/A,#N/A,FALSE,"rab"}</definedName>
    <definedName name="fatiya" localSheetId="29" hidden="1">{#N/A,#N/A,FALSE,"REK";#N/A,#N/A,FALSE,"rab"}</definedName>
    <definedName name="fatiya" localSheetId="31" hidden="1">{#N/A,#N/A,FALSE,"REK";#N/A,#N/A,FALSE,"rab"}</definedName>
    <definedName name="fatiya" localSheetId="30" hidden="1">{#N/A,#N/A,FALSE,"REK";#N/A,#N/A,FALSE,"rab"}</definedName>
    <definedName name="fatiya" localSheetId="13" hidden="1">{#N/A,#N/A,FALSE,"REK";#N/A,#N/A,FALSE,"rab"}</definedName>
    <definedName name="fatiya" localSheetId="17" hidden="1">{#N/A,#N/A,FALSE,"REK";#N/A,#N/A,FALSE,"rab"}</definedName>
    <definedName name="fatiya" localSheetId="18" hidden="1">{#N/A,#N/A,FALSE,"REK";#N/A,#N/A,FALSE,"rab"}</definedName>
    <definedName name="fatiya" localSheetId="22" hidden="1">{#N/A,#N/A,FALSE,"REK";#N/A,#N/A,FALSE,"rab"}</definedName>
    <definedName name="fatiya" localSheetId="40" hidden="1">{#N/A,#N/A,FALSE,"REK";#N/A,#N/A,FALSE,"rab"}</definedName>
    <definedName name="fatiya" localSheetId="41" hidden="1">{#N/A,#N/A,FALSE,"REK";#N/A,#N/A,FALSE,"rab"}</definedName>
    <definedName name="fatiya" localSheetId="42" hidden="1">{#N/A,#N/A,FALSE,"REK";#N/A,#N/A,FALSE,"rab"}</definedName>
    <definedName name="fatiya" localSheetId="35" hidden="1">{#N/A,#N/A,FALSE,"REK";#N/A,#N/A,FALSE,"rab"}</definedName>
    <definedName name="fatiya" localSheetId="38" hidden="1">{#N/A,#N/A,FALSE,"REK";#N/A,#N/A,FALSE,"rab"}</definedName>
    <definedName name="fatiya" hidden="1">{#N/A,#N/A,FALSE,"REK";#N/A,#N/A,FALSE,"rab"}</definedName>
    <definedName name="FAWEFAWEE" localSheetId="32" hidden="1">#REF!</definedName>
    <definedName name="FAWEFAWEE" localSheetId="27" hidden="1">#REF!</definedName>
    <definedName name="FAWEFAWEE" localSheetId="18" hidden="1">#REF!</definedName>
    <definedName name="FAWEFAWEE" hidden="1">#REF!</definedName>
    <definedName name="fb" localSheetId="27" hidden="1">#REF!</definedName>
    <definedName name="fb" hidden="1">#REF!</definedName>
    <definedName name="FCode" localSheetId="41" hidden="1">#REF!</definedName>
    <definedName name="FCode" localSheetId="42" hidden="1">#REF!</definedName>
    <definedName name="FCode" hidden="1">#REF!</definedName>
    <definedName name="fddfhdfhdgh" localSheetId="20" hidden="1">{#N/A,#N/A,FALSE,"CCTV"}</definedName>
    <definedName name="fddfhdfhdgh" localSheetId="19" hidden="1">{#N/A,#N/A,FALSE,"CCTV"}</definedName>
    <definedName name="fddfhdfhdgh" localSheetId="26" hidden="1">{#N/A,#N/A,FALSE,"CCTV"}</definedName>
    <definedName name="fddfhdfhdgh" localSheetId="24" hidden="1">{#N/A,#N/A,FALSE,"CCTV"}</definedName>
    <definedName name="fddfhdfhdgh" localSheetId="32" hidden="1">{#N/A,#N/A,FALSE,"CCTV"}</definedName>
    <definedName name="fddfhdfhdgh" localSheetId="27" hidden="1">{#N/A,#N/A,FALSE,"CCTV"}</definedName>
    <definedName name="fddfhdfhdgh" localSheetId="28" hidden="1">{#N/A,#N/A,FALSE,"CCTV"}</definedName>
    <definedName name="fddfhdfhdgh" localSheetId="29" hidden="1">{#N/A,#N/A,FALSE,"CCTV"}</definedName>
    <definedName name="fddfhdfhdgh" localSheetId="31" hidden="1">{#N/A,#N/A,FALSE,"CCTV"}</definedName>
    <definedName name="fddfhdfhdgh" localSheetId="30" hidden="1">{#N/A,#N/A,FALSE,"CCTV"}</definedName>
    <definedName name="fddfhdfhdgh" localSheetId="17" hidden="1">{#N/A,#N/A,FALSE,"CCTV"}</definedName>
    <definedName name="fddfhdfhdgh" localSheetId="18" hidden="1">{#N/A,#N/A,FALSE,"CCTV"}</definedName>
    <definedName name="fddfhdfhdgh" hidden="1">{#N/A,#N/A,FALSE,"CCTV"}</definedName>
    <definedName name="FDDS" localSheetId="2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DS" localSheetId="1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DS" localSheetId="2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DS" localSheetId="2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DS" localSheetId="3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DS" localSheetId="2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DS" localSheetId="2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DS" localSheetId="2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DS" localSheetId="3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DS" localSheetId="3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DS" localSheetId="1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DS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D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f" localSheetId="20" hidden="1">{#N/A,#N/A,FALSE,"CCTV"}</definedName>
    <definedName name="fdf" localSheetId="19" hidden="1">{#N/A,#N/A,FALSE,"CCTV"}</definedName>
    <definedName name="fdf" localSheetId="26" hidden="1">{#N/A,#N/A,FALSE,"CCTV"}</definedName>
    <definedName name="fdf" localSheetId="24" hidden="1">{#N/A,#N/A,FALSE,"CCTV"}</definedName>
    <definedName name="fdf" localSheetId="32" hidden="1">{#N/A,#N/A,FALSE,"CCTV"}</definedName>
    <definedName name="fdf" localSheetId="27" hidden="1">{#N/A,#N/A,FALSE,"CCTV"}</definedName>
    <definedName name="fdf" localSheetId="28" hidden="1">{#N/A,#N/A,FALSE,"CCTV"}</definedName>
    <definedName name="fdf" localSheetId="29" hidden="1">{#N/A,#N/A,FALSE,"CCTV"}</definedName>
    <definedName name="fdf" localSheetId="31" hidden="1">{#N/A,#N/A,FALSE,"CCTV"}</definedName>
    <definedName name="fdf" localSheetId="30" hidden="1">{#N/A,#N/A,FALSE,"CCTV"}</definedName>
    <definedName name="fdf" localSheetId="17" hidden="1">{#N/A,#N/A,FALSE,"CCTV"}</definedName>
    <definedName name="fdf" localSheetId="18" hidden="1">{#N/A,#N/A,FALSE,"CCTV"}</definedName>
    <definedName name="fdf" hidden="1">{#N/A,#N/A,FALSE,"CCTV"}</definedName>
    <definedName name="FDFDF" localSheetId="20" hidden="1">{#N/A,#N/A,FALSE,"CCTV"}</definedName>
    <definedName name="FDFDF" localSheetId="19" hidden="1">{#N/A,#N/A,FALSE,"CCTV"}</definedName>
    <definedName name="FDFDF" localSheetId="26" hidden="1">{#N/A,#N/A,FALSE,"CCTV"}</definedName>
    <definedName name="FDFDF" localSheetId="24" hidden="1">{#N/A,#N/A,FALSE,"CCTV"}</definedName>
    <definedName name="FDFDF" localSheetId="32" hidden="1">{#N/A,#N/A,FALSE,"CCTV"}</definedName>
    <definedName name="FDFDF" localSheetId="27" hidden="1">{#N/A,#N/A,FALSE,"CCTV"}</definedName>
    <definedName name="FDFDF" localSheetId="28" hidden="1">{#N/A,#N/A,FALSE,"CCTV"}</definedName>
    <definedName name="FDFDF" localSheetId="29" hidden="1">{#N/A,#N/A,FALSE,"CCTV"}</definedName>
    <definedName name="FDFDF" localSheetId="31" hidden="1">{#N/A,#N/A,FALSE,"CCTV"}</definedName>
    <definedName name="FDFDF" localSheetId="30" hidden="1">{#N/A,#N/A,FALSE,"CCTV"}</definedName>
    <definedName name="FDFDF" localSheetId="17" hidden="1">{#N/A,#N/A,FALSE,"CCTV"}</definedName>
    <definedName name="FDFDF" localSheetId="18" hidden="1">{#N/A,#N/A,FALSE,"CCTV"}</definedName>
    <definedName name="FDFDF" hidden="1">{#N/A,#N/A,FALSE,"CCTV"}</definedName>
    <definedName name="fdgh" localSheetId="32" hidden="1">#REF!</definedName>
    <definedName name="fdgh" localSheetId="27" hidden="1">#REF!</definedName>
    <definedName name="fdgh" localSheetId="18" hidden="1">#REF!</definedName>
    <definedName name="fdgh" hidden="1">#REF!</definedName>
    <definedName name="fdgs" localSheetId="20" hidden="1">{"'Sheet1'!$A$1"}</definedName>
    <definedName name="fdgs" localSheetId="19" hidden="1">{"'Sheet1'!$A$1"}</definedName>
    <definedName name="fdgs" localSheetId="26" hidden="1">{"'Sheet1'!$A$1"}</definedName>
    <definedName name="fdgs" localSheetId="24" hidden="1">{"'Sheet1'!$A$1"}</definedName>
    <definedName name="fdgs" localSheetId="32" hidden="1">{"'Sheet1'!$A$1"}</definedName>
    <definedName name="fdgs" localSheetId="27" hidden="1">{"'Sheet1'!$A$1"}</definedName>
    <definedName name="fdgs" localSheetId="28" hidden="1">{"'Sheet1'!$A$1"}</definedName>
    <definedName name="fdgs" localSheetId="29" hidden="1">{"'Sheet1'!$A$1"}</definedName>
    <definedName name="fdgs" localSheetId="31" hidden="1">{"'Sheet1'!$A$1"}</definedName>
    <definedName name="fdgs" localSheetId="30" hidden="1">{"'Sheet1'!$A$1"}</definedName>
    <definedName name="fdgs" localSheetId="17" hidden="1">{"'Sheet1'!$A$1"}</definedName>
    <definedName name="fdgs" localSheetId="18" hidden="1">{"'Sheet1'!$A$1"}</definedName>
    <definedName name="fdgs" hidden="1">{"'Sheet1'!$A$1"}</definedName>
    <definedName name="FDGSR" localSheetId="20" hidden="1">{"'Sheet1'!$A$1"}</definedName>
    <definedName name="FDGSR" localSheetId="19" hidden="1">{"'Sheet1'!$A$1"}</definedName>
    <definedName name="FDGSR" localSheetId="26" hidden="1">{"'Sheet1'!$A$1"}</definedName>
    <definedName name="FDGSR" localSheetId="24" hidden="1">{"'Sheet1'!$A$1"}</definedName>
    <definedName name="FDGSR" localSheetId="32" hidden="1">{"'Sheet1'!$A$1"}</definedName>
    <definedName name="FDGSR" localSheetId="27" hidden="1">{"'Sheet1'!$A$1"}</definedName>
    <definedName name="FDGSR" localSheetId="28" hidden="1">{"'Sheet1'!$A$1"}</definedName>
    <definedName name="FDGSR" localSheetId="29" hidden="1">{"'Sheet1'!$A$1"}</definedName>
    <definedName name="FDGSR" localSheetId="31" hidden="1">{"'Sheet1'!$A$1"}</definedName>
    <definedName name="FDGSR" localSheetId="30" hidden="1">{"'Sheet1'!$A$1"}</definedName>
    <definedName name="FDGSR" localSheetId="17" hidden="1">{"'Sheet1'!$A$1"}</definedName>
    <definedName name="FDGSR" localSheetId="18" hidden="1">{"'Sheet1'!$A$1"}</definedName>
    <definedName name="FDGSR" hidden="1">{"'Sheet1'!$A$1"}</definedName>
    <definedName name="fdgst" localSheetId="20" hidden="1">{"'Sheet1'!$A$1"}</definedName>
    <definedName name="fdgst" localSheetId="19" hidden="1">{"'Sheet1'!$A$1"}</definedName>
    <definedName name="fdgst" localSheetId="26" hidden="1">{"'Sheet1'!$A$1"}</definedName>
    <definedName name="fdgst" localSheetId="24" hidden="1">{"'Sheet1'!$A$1"}</definedName>
    <definedName name="fdgst" localSheetId="32" hidden="1">{"'Sheet1'!$A$1"}</definedName>
    <definedName name="fdgst" localSheetId="27" hidden="1">{"'Sheet1'!$A$1"}</definedName>
    <definedName name="fdgst" localSheetId="28" hidden="1">{"'Sheet1'!$A$1"}</definedName>
    <definedName name="fdgst" localSheetId="29" hidden="1">{"'Sheet1'!$A$1"}</definedName>
    <definedName name="fdgst" localSheetId="31" hidden="1">{"'Sheet1'!$A$1"}</definedName>
    <definedName name="fdgst" localSheetId="30" hidden="1">{"'Sheet1'!$A$1"}</definedName>
    <definedName name="fdgst" localSheetId="17" hidden="1">{"'Sheet1'!$A$1"}</definedName>
    <definedName name="fdgst" localSheetId="18" hidden="1">{"'Sheet1'!$A$1"}</definedName>
    <definedName name="fdgst" hidden="1">{"'Sheet1'!$A$1"}</definedName>
    <definedName name="FDRAY" localSheetId="20" hidden="1">{"'Sheet1'!$A$1"}</definedName>
    <definedName name="FDRAY" localSheetId="19" hidden="1">{"'Sheet1'!$A$1"}</definedName>
    <definedName name="FDRAY" localSheetId="26" hidden="1">{"'Sheet1'!$A$1"}</definedName>
    <definedName name="FDRAY" localSheetId="24" hidden="1">{"'Sheet1'!$A$1"}</definedName>
    <definedName name="FDRAY" localSheetId="32" hidden="1">{"'Sheet1'!$A$1"}</definedName>
    <definedName name="FDRAY" localSheetId="27" hidden="1">{"'Sheet1'!$A$1"}</definedName>
    <definedName name="FDRAY" localSheetId="28" hidden="1">{"'Sheet1'!$A$1"}</definedName>
    <definedName name="FDRAY" localSheetId="29" hidden="1">{"'Sheet1'!$A$1"}</definedName>
    <definedName name="FDRAY" localSheetId="31" hidden="1">{"'Sheet1'!$A$1"}</definedName>
    <definedName name="FDRAY" localSheetId="30" hidden="1">{"'Sheet1'!$A$1"}</definedName>
    <definedName name="FDRAY" localSheetId="17" hidden="1">{"'Sheet1'!$A$1"}</definedName>
    <definedName name="FDRAY" localSheetId="18" hidden="1">{"'Sheet1'!$A$1"}</definedName>
    <definedName name="FDRAY" hidden="1">{"'Sheet1'!$A$1"}</definedName>
    <definedName name="fdrs" localSheetId="20" hidden="1">{"'Sheet1'!$A$1"}</definedName>
    <definedName name="fdrs" localSheetId="19" hidden="1">{"'Sheet1'!$A$1"}</definedName>
    <definedName name="fdrs" localSheetId="26" hidden="1">{"'Sheet1'!$A$1"}</definedName>
    <definedName name="fdrs" localSheetId="24" hidden="1">{"'Sheet1'!$A$1"}</definedName>
    <definedName name="fdrs" localSheetId="32" hidden="1">{"'Sheet1'!$A$1"}</definedName>
    <definedName name="fdrs" localSheetId="27" hidden="1">{"'Sheet1'!$A$1"}</definedName>
    <definedName name="fdrs" localSheetId="28" hidden="1">{"'Sheet1'!$A$1"}</definedName>
    <definedName name="fdrs" localSheetId="29" hidden="1">{"'Sheet1'!$A$1"}</definedName>
    <definedName name="fdrs" localSheetId="31" hidden="1">{"'Sheet1'!$A$1"}</definedName>
    <definedName name="fdrs" localSheetId="30" hidden="1">{"'Sheet1'!$A$1"}</definedName>
    <definedName name="fdrs" localSheetId="17" hidden="1">{"'Sheet1'!$A$1"}</definedName>
    <definedName name="fdrs" localSheetId="18" hidden="1">{"'Sheet1'!$A$1"}</definedName>
    <definedName name="fdrs" hidden="1">{"'Sheet1'!$A$1"}</definedName>
    <definedName name="FDRST" localSheetId="20" hidden="1">{"'Sheet1'!$A$1"}</definedName>
    <definedName name="FDRST" localSheetId="19" hidden="1">{"'Sheet1'!$A$1"}</definedName>
    <definedName name="FDRST" localSheetId="26" hidden="1">{"'Sheet1'!$A$1"}</definedName>
    <definedName name="FDRST" localSheetId="24" hidden="1">{"'Sheet1'!$A$1"}</definedName>
    <definedName name="FDRST" localSheetId="32" hidden="1">{"'Sheet1'!$A$1"}</definedName>
    <definedName name="FDRST" localSheetId="27" hidden="1">{"'Sheet1'!$A$1"}</definedName>
    <definedName name="FDRST" localSheetId="28" hidden="1">{"'Sheet1'!$A$1"}</definedName>
    <definedName name="FDRST" localSheetId="29" hidden="1">{"'Sheet1'!$A$1"}</definedName>
    <definedName name="FDRST" localSheetId="31" hidden="1">{"'Sheet1'!$A$1"}</definedName>
    <definedName name="FDRST" localSheetId="30" hidden="1">{"'Sheet1'!$A$1"}</definedName>
    <definedName name="FDRST" localSheetId="17" hidden="1">{"'Sheet1'!$A$1"}</definedName>
    <definedName name="FDRST" localSheetId="18" hidden="1">{"'Sheet1'!$A$1"}</definedName>
    <definedName name="FDRST" hidden="1">{"'Sheet1'!$A$1"}</definedName>
    <definedName name="FDRY" localSheetId="20" hidden="1">{"'Sheet1'!$A$1"}</definedName>
    <definedName name="FDRY" localSheetId="19" hidden="1">{"'Sheet1'!$A$1"}</definedName>
    <definedName name="FDRY" localSheetId="26" hidden="1">{"'Sheet1'!$A$1"}</definedName>
    <definedName name="FDRY" localSheetId="24" hidden="1">{"'Sheet1'!$A$1"}</definedName>
    <definedName name="FDRY" localSheetId="32" hidden="1">{"'Sheet1'!$A$1"}</definedName>
    <definedName name="FDRY" localSheetId="27" hidden="1">{"'Sheet1'!$A$1"}</definedName>
    <definedName name="FDRY" localSheetId="28" hidden="1">{"'Sheet1'!$A$1"}</definedName>
    <definedName name="FDRY" localSheetId="29" hidden="1">{"'Sheet1'!$A$1"}</definedName>
    <definedName name="FDRY" localSheetId="31" hidden="1">{"'Sheet1'!$A$1"}</definedName>
    <definedName name="FDRY" localSheetId="30" hidden="1">{"'Sheet1'!$A$1"}</definedName>
    <definedName name="FDRY" localSheetId="17" hidden="1">{"'Sheet1'!$A$1"}</definedName>
    <definedName name="FDRY" localSheetId="18" hidden="1">{"'Sheet1'!$A$1"}</definedName>
    <definedName name="FDRY" hidden="1">{"'Sheet1'!$A$1"}</definedName>
    <definedName name="FDS" localSheetId="20" hidden="1">{#N/A,#N/A,FALSE,"REK";#N/A,#N/A,FALSE,"rab"}</definedName>
    <definedName name="FDS" localSheetId="19" hidden="1">{#N/A,#N/A,FALSE,"REK";#N/A,#N/A,FALSE,"rab"}</definedName>
    <definedName name="FDS" localSheetId="26" hidden="1">{#N/A,#N/A,FALSE,"REK";#N/A,#N/A,FALSE,"rab"}</definedName>
    <definedName name="FDS" localSheetId="23" hidden="1">{#N/A,#N/A,FALSE,"REK";#N/A,#N/A,FALSE,"rab"}</definedName>
    <definedName name="FDS" localSheetId="24" hidden="1">{#N/A,#N/A,FALSE,"REK";#N/A,#N/A,FALSE,"rab"}</definedName>
    <definedName name="FDS" localSheetId="32" hidden="1">{#N/A,#N/A,FALSE,"REK";#N/A,#N/A,FALSE,"rab"}</definedName>
    <definedName name="FDS" localSheetId="27" hidden="1">{#N/A,#N/A,FALSE,"REK";#N/A,#N/A,FALSE,"rab"}</definedName>
    <definedName name="FDS" localSheetId="28" hidden="1">{#N/A,#N/A,FALSE,"REK";#N/A,#N/A,FALSE,"rab"}</definedName>
    <definedName name="FDS" localSheetId="29" hidden="1">{#N/A,#N/A,FALSE,"REK";#N/A,#N/A,FALSE,"rab"}</definedName>
    <definedName name="FDS" localSheetId="31" hidden="1">{#N/A,#N/A,FALSE,"REK";#N/A,#N/A,FALSE,"rab"}</definedName>
    <definedName name="FDS" localSheetId="30" hidden="1">{#N/A,#N/A,FALSE,"REK";#N/A,#N/A,FALSE,"rab"}</definedName>
    <definedName name="FDS" localSheetId="13" hidden="1">{#N/A,#N/A,FALSE,"REK";#N/A,#N/A,FALSE,"rab"}</definedName>
    <definedName name="FDS" localSheetId="17" hidden="1">{#N/A,#N/A,FALSE,"REK";#N/A,#N/A,FALSE,"rab"}</definedName>
    <definedName name="FDS" localSheetId="18" hidden="1">{#N/A,#N/A,FALSE,"REK";#N/A,#N/A,FALSE,"rab"}</definedName>
    <definedName name="FDS" localSheetId="22" hidden="1">{#N/A,#N/A,FALSE,"REK";#N/A,#N/A,FALSE,"rab"}</definedName>
    <definedName name="FDS" localSheetId="40" hidden="1">{#N/A,#N/A,FALSE,"REK";#N/A,#N/A,FALSE,"rab"}</definedName>
    <definedName name="FDS" localSheetId="41" hidden="1">{#N/A,#N/A,FALSE,"REK";#N/A,#N/A,FALSE,"rab"}</definedName>
    <definedName name="FDS" localSheetId="42" hidden="1">{#N/A,#N/A,FALSE,"REK";#N/A,#N/A,FALSE,"rab"}</definedName>
    <definedName name="FDS" localSheetId="35" hidden="1">{#N/A,#N/A,FALSE,"REK";#N/A,#N/A,FALSE,"rab"}</definedName>
    <definedName name="FDS" localSheetId="38" hidden="1">{#N/A,#N/A,FALSE,"REK";#N/A,#N/A,FALSE,"rab"}</definedName>
    <definedName name="FDS" hidden="1">{#N/A,#N/A,FALSE,"REK";#N/A,#N/A,FALSE,"rab"}</definedName>
    <definedName name="FDSA" localSheetId="20" hidden="1">{#N/A,#N/A,FALSE,"CCTV"}</definedName>
    <definedName name="FDSA" localSheetId="19" hidden="1">{#N/A,#N/A,FALSE,"CCTV"}</definedName>
    <definedName name="FDSA" localSheetId="26" hidden="1">{#N/A,#N/A,FALSE,"CCTV"}</definedName>
    <definedName name="FDSA" localSheetId="24" hidden="1">{#N/A,#N/A,FALSE,"CCTV"}</definedName>
    <definedName name="FDSA" localSheetId="32" hidden="1">{#N/A,#N/A,FALSE,"CCTV"}</definedName>
    <definedName name="FDSA" localSheetId="27" hidden="1">{#N/A,#N/A,FALSE,"CCTV"}</definedName>
    <definedName name="FDSA" localSheetId="28" hidden="1">{#N/A,#N/A,FALSE,"CCTV"}</definedName>
    <definedName name="FDSA" localSheetId="29" hidden="1">{#N/A,#N/A,FALSE,"CCTV"}</definedName>
    <definedName name="FDSA" localSheetId="31" hidden="1">{#N/A,#N/A,FALSE,"CCTV"}</definedName>
    <definedName name="FDSA" localSheetId="30" hidden="1">{#N/A,#N/A,FALSE,"CCTV"}</definedName>
    <definedName name="FDSA" localSheetId="17" hidden="1">{#N/A,#N/A,FALSE,"CCTV"}</definedName>
    <definedName name="FDSA" localSheetId="18" hidden="1">{#N/A,#N/A,FALSE,"CCTV"}</definedName>
    <definedName name="FDSA" hidden="1">{#N/A,#N/A,FALSE,"CCTV"}</definedName>
    <definedName name="fdtsrg" localSheetId="20" hidden="1">{"'Sheet1'!$A$1"}</definedName>
    <definedName name="fdtsrg" localSheetId="19" hidden="1">{"'Sheet1'!$A$1"}</definedName>
    <definedName name="fdtsrg" localSheetId="26" hidden="1">{"'Sheet1'!$A$1"}</definedName>
    <definedName name="fdtsrg" localSheetId="24" hidden="1">{"'Sheet1'!$A$1"}</definedName>
    <definedName name="fdtsrg" localSheetId="32" hidden="1">{"'Sheet1'!$A$1"}</definedName>
    <definedName name="fdtsrg" localSheetId="27" hidden="1">{"'Sheet1'!$A$1"}</definedName>
    <definedName name="fdtsrg" localSheetId="28" hidden="1">{"'Sheet1'!$A$1"}</definedName>
    <definedName name="fdtsrg" localSheetId="29" hidden="1">{"'Sheet1'!$A$1"}</definedName>
    <definedName name="fdtsrg" localSheetId="31" hidden="1">{"'Sheet1'!$A$1"}</definedName>
    <definedName name="fdtsrg" localSheetId="30" hidden="1">{"'Sheet1'!$A$1"}</definedName>
    <definedName name="fdtsrg" localSheetId="17" hidden="1">{"'Sheet1'!$A$1"}</definedName>
    <definedName name="fdtsrg" localSheetId="18" hidden="1">{"'Sheet1'!$A$1"}</definedName>
    <definedName name="fdtsrg" hidden="1">{"'Sheet1'!$A$1"}</definedName>
    <definedName name="FERS" localSheetId="20" hidden="1">{"'Sheet1'!$A$1"}</definedName>
    <definedName name="FERS" localSheetId="19" hidden="1">{"'Sheet1'!$A$1"}</definedName>
    <definedName name="FERS" localSheetId="26" hidden="1">{"'Sheet1'!$A$1"}</definedName>
    <definedName name="FERS" localSheetId="24" hidden="1">{"'Sheet1'!$A$1"}</definedName>
    <definedName name="FERS" localSheetId="32" hidden="1">{"'Sheet1'!$A$1"}</definedName>
    <definedName name="FERS" localSheetId="27" hidden="1">{"'Sheet1'!$A$1"}</definedName>
    <definedName name="FERS" localSheetId="28" hidden="1">{"'Sheet1'!$A$1"}</definedName>
    <definedName name="FERS" localSheetId="29" hidden="1">{"'Sheet1'!$A$1"}</definedName>
    <definedName name="FERS" localSheetId="31" hidden="1">{"'Sheet1'!$A$1"}</definedName>
    <definedName name="FERS" localSheetId="30" hidden="1">{"'Sheet1'!$A$1"}</definedName>
    <definedName name="FERS" localSheetId="17" hidden="1">{"'Sheet1'!$A$1"}</definedName>
    <definedName name="FERS" localSheetId="18" hidden="1">{"'Sheet1'!$A$1"}</definedName>
    <definedName name="FERS" hidden="1">{"'Sheet1'!$A$1"}</definedName>
    <definedName name="ffads" hidden="1">#REF!</definedName>
    <definedName name="FFF" localSheetId="20" hidden="1">{#N/A,#N/A,FALSE,"CCTV"}</definedName>
    <definedName name="FFF" localSheetId="19" hidden="1">{#N/A,#N/A,FALSE,"CCTV"}</definedName>
    <definedName name="FFF" localSheetId="26" hidden="1">{#N/A,#N/A,FALSE,"CCTV"}</definedName>
    <definedName name="FFF" localSheetId="24" hidden="1">{#N/A,#N/A,FALSE,"CCTV"}</definedName>
    <definedName name="FFF" localSheetId="32" hidden="1">{#N/A,#N/A,FALSE,"CCTV"}</definedName>
    <definedName name="FFF" localSheetId="27" hidden="1">{#N/A,#N/A,FALSE,"CCTV"}</definedName>
    <definedName name="FFF" localSheetId="28" hidden="1">{#N/A,#N/A,FALSE,"CCTV"}</definedName>
    <definedName name="FFF" localSheetId="29" hidden="1">{#N/A,#N/A,FALSE,"CCTV"}</definedName>
    <definedName name="FFF" localSheetId="31" hidden="1">{#N/A,#N/A,FALSE,"CCTV"}</definedName>
    <definedName name="FFF" localSheetId="30" hidden="1">{#N/A,#N/A,FALSE,"CCTV"}</definedName>
    <definedName name="FFF" localSheetId="17" hidden="1">{#N/A,#N/A,FALSE,"CCTV"}</definedName>
    <definedName name="FFF" localSheetId="18" hidden="1">{#N/A,#N/A,FALSE,"CCTV"}</definedName>
    <definedName name="FFF" hidden="1">{#N/A,#N/A,FALSE,"CCTV"}</definedName>
    <definedName name="ffffff" localSheetId="20" hidden="1">{#N/A,#N/A,FALSE,"CCTV"}</definedName>
    <definedName name="ffffff" localSheetId="19" hidden="1">{#N/A,#N/A,FALSE,"CCTV"}</definedName>
    <definedName name="ffffff" localSheetId="26" hidden="1">{#N/A,#N/A,FALSE,"CCTV"}</definedName>
    <definedName name="ffffff" localSheetId="24" hidden="1">{#N/A,#N/A,FALSE,"CCTV"}</definedName>
    <definedName name="ffffff" localSheetId="32" hidden="1">{#N/A,#N/A,FALSE,"CCTV"}</definedName>
    <definedName name="ffffff" localSheetId="27" hidden="1">{#N/A,#N/A,FALSE,"CCTV"}</definedName>
    <definedName name="ffffff" localSheetId="28" hidden="1">{#N/A,#N/A,FALSE,"CCTV"}</definedName>
    <definedName name="ffffff" localSheetId="29" hidden="1">{#N/A,#N/A,FALSE,"CCTV"}</definedName>
    <definedName name="ffffff" localSheetId="31" hidden="1">{#N/A,#N/A,FALSE,"CCTV"}</definedName>
    <definedName name="ffffff" localSheetId="30" hidden="1">{#N/A,#N/A,FALSE,"CCTV"}</definedName>
    <definedName name="ffffff" localSheetId="17" hidden="1">{#N/A,#N/A,FALSE,"CCTV"}</definedName>
    <definedName name="ffffff" localSheetId="18" hidden="1">{#N/A,#N/A,FALSE,"CCTV"}</definedName>
    <definedName name="ffffff" hidden="1">{#N/A,#N/A,FALSE,"CCTV"}</definedName>
    <definedName name="FFFFFFFFFFFFFFFFFFFFFFFFF" localSheetId="27" hidden="1">#REF!</definedName>
    <definedName name="FFFFFFFFFFFFFFFFFFFFFFFFF" localSheetId="41" hidden="1">#REF!</definedName>
    <definedName name="FFFFFFFFFFFFFFFFFFFFFFFFF" localSheetId="42" hidden="1">#REF!</definedName>
    <definedName name="FFFFFFFFFFFFFFFFFFFFFFFFF" hidden="1">#REF!</definedName>
    <definedName name="FGF" localSheetId="20" hidden="1">{#N/A,#N/A,FALSE,"CCTV"}</definedName>
    <definedName name="FGF" localSheetId="19" hidden="1">{#N/A,#N/A,FALSE,"CCTV"}</definedName>
    <definedName name="FGF" localSheetId="26" hidden="1">{#N/A,#N/A,FALSE,"CCTV"}</definedName>
    <definedName name="FGF" localSheetId="24" hidden="1">{#N/A,#N/A,FALSE,"CCTV"}</definedName>
    <definedName name="FGF" localSheetId="32" hidden="1">{#N/A,#N/A,FALSE,"CCTV"}</definedName>
    <definedName name="FGF" localSheetId="27" hidden="1">{#N/A,#N/A,FALSE,"CCTV"}</definedName>
    <definedName name="FGF" localSheetId="28" hidden="1">{#N/A,#N/A,FALSE,"CCTV"}</definedName>
    <definedName name="FGF" localSheetId="29" hidden="1">{#N/A,#N/A,FALSE,"CCTV"}</definedName>
    <definedName name="FGF" localSheetId="31" hidden="1">{#N/A,#N/A,FALSE,"CCTV"}</definedName>
    <definedName name="FGF" localSheetId="30" hidden="1">{#N/A,#N/A,FALSE,"CCTV"}</definedName>
    <definedName name="FGF" localSheetId="17" hidden="1">{#N/A,#N/A,FALSE,"CCTV"}</definedName>
    <definedName name="FGF" localSheetId="18" hidden="1">{#N/A,#N/A,FALSE,"CCTV"}</definedName>
    <definedName name="FGF" hidden="1">{#N/A,#N/A,FALSE,"CCTV"}</definedName>
    <definedName name="fgff" localSheetId="20" hidden="1">{#N/A,#N/A,TRUE,"SUM";#N/A,#N/A,TRUE,"EE";#N/A,#N/A,TRUE,"AC";#N/A,#N/A,TRUE,"SN"}</definedName>
    <definedName name="fgff" localSheetId="19" hidden="1">{#N/A,#N/A,TRUE,"SUM";#N/A,#N/A,TRUE,"EE";#N/A,#N/A,TRUE,"AC";#N/A,#N/A,TRUE,"SN"}</definedName>
    <definedName name="fgff" localSheetId="26" hidden="1">{#N/A,#N/A,TRUE,"SUM";#N/A,#N/A,TRUE,"EE";#N/A,#N/A,TRUE,"AC";#N/A,#N/A,TRUE,"SN"}</definedName>
    <definedName name="fgff" localSheetId="24" hidden="1">{#N/A,#N/A,TRUE,"SUM";#N/A,#N/A,TRUE,"EE";#N/A,#N/A,TRUE,"AC";#N/A,#N/A,TRUE,"SN"}</definedName>
    <definedName name="fgff" localSheetId="32" hidden="1">{#N/A,#N/A,TRUE,"SUM";#N/A,#N/A,TRUE,"EE";#N/A,#N/A,TRUE,"AC";#N/A,#N/A,TRUE,"SN"}</definedName>
    <definedName name="fgff" localSheetId="27" hidden="1">{#N/A,#N/A,TRUE,"SUM";#N/A,#N/A,TRUE,"EE";#N/A,#N/A,TRUE,"AC";#N/A,#N/A,TRUE,"SN"}</definedName>
    <definedName name="fgff" localSheetId="28" hidden="1">{#N/A,#N/A,TRUE,"SUM";#N/A,#N/A,TRUE,"EE";#N/A,#N/A,TRUE,"AC";#N/A,#N/A,TRUE,"SN"}</definedName>
    <definedName name="fgff" localSheetId="29" hidden="1">{#N/A,#N/A,TRUE,"SUM";#N/A,#N/A,TRUE,"EE";#N/A,#N/A,TRUE,"AC";#N/A,#N/A,TRUE,"SN"}</definedName>
    <definedName name="fgff" localSheetId="31" hidden="1">{#N/A,#N/A,TRUE,"SUM";#N/A,#N/A,TRUE,"EE";#N/A,#N/A,TRUE,"AC";#N/A,#N/A,TRUE,"SN"}</definedName>
    <definedName name="fgff" localSheetId="30" hidden="1">{#N/A,#N/A,TRUE,"SUM";#N/A,#N/A,TRUE,"EE";#N/A,#N/A,TRUE,"AC";#N/A,#N/A,TRUE,"SN"}</definedName>
    <definedName name="fgff" localSheetId="17" hidden="1">{#N/A,#N/A,TRUE,"SUM";#N/A,#N/A,TRUE,"EE";#N/A,#N/A,TRUE,"AC";#N/A,#N/A,TRUE,"SN"}</definedName>
    <definedName name="fgff" localSheetId="18" hidden="1">{#N/A,#N/A,TRUE,"SUM";#N/A,#N/A,TRUE,"EE";#N/A,#N/A,TRUE,"AC";#N/A,#N/A,TRUE,"SN"}</definedName>
    <definedName name="fgff" hidden="1">{#N/A,#N/A,TRUE,"SUM";#N/A,#N/A,TRUE,"EE";#N/A,#N/A,TRUE,"AC";#N/A,#N/A,TRUE,"SN"}</definedName>
    <definedName name="fgfgfgrf" localSheetId="32" hidden="1">#REF!</definedName>
    <definedName name="fgfgfgrf" localSheetId="27" hidden="1">#REF!</definedName>
    <definedName name="fgfgfgrf" localSheetId="18" hidden="1">#REF!</definedName>
    <definedName name="fgfgfgrf" hidden="1">#REF!</definedName>
    <definedName name="fgfhgj" localSheetId="27" hidden="1">#REF!</definedName>
    <definedName name="fgfhgj" localSheetId="18" hidden="1">#REF!</definedName>
    <definedName name="fgfhgj" hidden="1">#REF!</definedName>
    <definedName name="FGHDSFGHSFD" localSheetId="27" hidden="1">#REF!</definedName>
    <definedName name="FGHDSFGHSFD" localSheetId="41" hidden="1">#REF!</definedName>
    <definedName name="FGHDSFGHSFD" localSheetId="42" hidden="1">#REF!</definedName>
    <definedName name="FGHDSFGHSFD" hidden="1">#REF!</definedName>
    <definedName name="FGHFDGH" hidden="1">#REF!</definedName>
    <definedName name="FGHFHGJFG" hidden="1">#REF!</definedName>
    <definedName name="fghhh" localSheetId="20" hidden="1">{"'Sheet1'!$A$1"}</definedName>
    <definedName name="fghhh" localSheetId="19" hidden="1">{"'Sheet1'!$A$1"}</definedName>
    <definedName name="fghhh" localSheetId="26" hidden="1">{"'Sheet1'!$A$1"}</definedName>
    <definedName name="fghhh" localSheetId="24" hidden="1">{"'Sheet1'!$A$1"}</definedName>
    <definedName name="fghhh" localSheetId="32" hidden="1">{"'Sheet1'!$A$1"}</definedName>
    <definedName name="fghhh" localSheetId="27" hidden="1">{"'Sheet1'!$A$1"}</definedName>
    <definedName name="fghhh" localSheetId="28" hidden="1">{"'Sheet1'!$A$1"}</definedName>
    <definedName name="fghhh" localSheetId="29" hidden="1">{"'Sheet1'!$A$1"}</definedName>
    <definedName name="fghhh" localSheetId="31" hidden="1">{"'Sheet1'!$A$1"}</definedName>
    <definedName name="fghhh" localSheetId="30" hidden="1">{"'Sheet1'!$A$1"}</definedName>
    <definedName name="fghhh" localSheetId="17" hidden="1">{"'Sheet1'!$A$1"}</definedName>
    <definedName name="fghhh" localSheetId="18" hidden="1">{"'Sheet1'!$A$1"}</definedName>
    <definedName name="fghhh" hidden="1">{"'Sheet1'!$A$1"}</definedName>
    <definedName name="fgjf" localSheetId="20" hidden="1">{"'Sheet1'!$A$1"}</definedName>
    <definedName name="fgjf" localSheetId="19" hidden="1">{"'Sheet1'!$A$1"}</definedName>
    <definedName name="fgjf" localSheetId="26" hidden="1">{"'Sheet1'!$A$1"}</definedName>
    <definedName name="fgjf" localSheetId="24" hidden="1">{"'Sheet1'!$A$1"}</definedName>
    <definedName name="fgjf" localSheetId="32" hidden="1">{"'Sheet1'!$A$1"}</definedName>
    <definedName name="fgjf" localSheetId="27" hidden="1">{"'Sheet1'!$A$1"}</definedName>
    <definedName name="fgjf" localSheetId="28" hidden="1">{"'Sheet1'!$A$1"}</definedName>
    <definedName name="fgjf" localSheetId="29" hidden="1">{"'Sheet1'!$A$1"}</definedName>
    <definedName name="fgjf" localSheetId="31" hidden="1">{"'Sheet1'!$A$1"}</definedName>
    <definedName name="fgjf" localSheetId="30" hidden="1">{"'Sheet1'!$A$1"}</definedName>
    <definedName name="fgjf" localSheetId="17" hidden="1">{"'Sheet1'!$A$1"}</definedName>
    <definedName name="fgjf" localSheetId="18" hidden="1">{"'Sheet1'!$A$1"}</definedName>
    <definedName name="fgjf" hidden="1">{"'Sheet1'!$A$1"}</definedName>
    <definedName name="fgjfj" localSheetId="20" hidden="1">{"'Sheet1'!$A$1"}</definedName>
    <definedName name="fgjfj" localSheetId="19" hidden="1">{"'Sheet1'!$A$1"}</definedName>
    <definedName name="fgjfj" localSheetId="26" hidden="1">{"'Sheet1'!$A$1"}</definedName>
    <definedName name="fgjfj" localSheetId="24" hidden="1">{"'Sheet1'!$A$1"}</definedName>
    <definedName name="fgjfj" localSheetId="32" hidden="1">{"'Sheet1'!$A$1"}</definedName>
    <definedName name="fgjfj" localSheetId="27" hidden="1">{"'Sheet1'!$A$1"}</definedName>
    <definedName name="fgjfj" localSheetId="28" hidden="1">{"'Sheet1'!$A$1"}</definedName>
    <definedName name="fgjfj" localSheetId="29" hidden="1">{"'Sheet1'!$A$1"}</definedName>
    <definedName name="fgjfj" localSheetId="31" hidden="1">{"'Sheet1'!$A$1"}</definedName>
    <definedName name="fgjfj" localSheetId="30" hidden="1">{"'Sheet1'!$A$1"}</definedName>
    <definedName name="fgjfj" localSheetId="17" hidden="1">{"'Sheet1'!$A$1"}</definedName>
    <definedName name="fgjfj" localSheetId="18" hidden="1">{"'Sheet1'!$A$1"}</definedName>
    <definedName name="fgjfj" hidden="1">{"'Sheet1'!$A$1"}</definedName>
    <definedName name="FGRD" localSheetId="20" hidden="1">{"'Sheet1'!$A$1"}</definedName>
    <definedName name="FGRD" localSheetId="19" hidden="1">{"'Sheet1'!$A$1"}</definedName>
    <definedName name="FGRD" localSheetId="26" hidden="1">{"'Sheet1'!$A$1"}</definedName>
    <definedName name="FGRD" localSheetId="24" hidden="1">{"'Sheet1'!$A$1"}</definedName>
    <definedName name="FGRD" localSheetId="32" hidden="1">{"'Sheet1'!$A$1"}</definedName>
    <definedName name="FGRD" localSheetId="27" hidden="1">{"'Sheet1'!$A$1"}</definedName>
    <definedName name="FGRD" localSheetId="28" hidden="1">{"'Sheet1'!$A$1"}</definedName>
    <definedName name="FGRD" localSheetId="29" hidden="1">{"'Sheet1'!$A$1"}</definedName>
    <definedName name="FGRD" localSheetId="31" hidden="1">{"'Sheet1'!$A$1"}</definedName>
    <definedName name="FGRD" localSheetId="30" hidden="1">{"'Sheet1'!$A$1"}</definedName>
    <definedName name="FGRD" localSheetId="17" hidden="1">{"'Sheet1'!$A$1"}</definedName>
    <definedName name="FGRD" localSheetId="18" hidden="1">{"'Sheet1'!$A$1"}</definedName>
    <definedName name="FGRD" hidden="1">{"'Sheet1'!$A$1"}</definedName>
    <definedName name="FGSR" localSheetId="20" hidden="1">{"'Sheet1'!$A$1"}</definedName>
    <definedName name="FGSR" localSheetId="19" hidden="1">{"'Sheet1'!$A$1"}</definedName>
    <definedName name="FGSR" localSheetId="26" hidden="1">{"'Sheet1'!$A$1"}</definedName>
    <definedName name="FGSR" localSheetId="24" hidden="1">{"'Sheet1'!$A$1"}</definedName>
    <definedName name="FGSR" localSheetId="32" hidden="1">{"'Sheet1'!$A$1"}</definedName>
    <definedName name="FGSR" localSheetId="27" hidden="1">{"'Sheet1'!$A$1"}</definedName>
    <definedName name="FGSR" localSheetId="28" hidden="1">{"'Sheet1'!$A$1"}</definedName>
    <definedName name="FGSR" localSheetId="29" hidden="1">{"'Sheet1'!$A$1"}</definedName>
    <definedName name="FGSR" localSheetId="31" hidden="1">{"'Sheet1'!$A$1"}</definedName>
    <definedName name="FGSR" localSheetId="30" hidden="1">{"'Sheet1'!$A$1"}</definedName>
    <definedName name="FGSR" localSheetId="17" hidden="1">{"'Sheet1'!$A$1"}</definedName>
    <definedName name="FGSR" localSheetId="18" hidden="1">{"'Sheet1'!$A$1"}</definedName>
    <definedName name="FGSR" hidden="1">{"'Sheet1'!$A$1"}</definedName>
    <definedName name="fgyh" hidden="1">#REF!</definedName>
    <definedName name="FH" localSheetId="20" hidden="1">{#N/A,#N/A,FALSE,"CCTV"}</definedName>
    <definedName name="FH" localSheetId="19" hidden="1">{#N/A,#N/A,FALSE,"CCTV"}</definedName>
    <definedName name="FH" localSheetId="26" hidden="1">{#N/A,#N/A,FALSE,"CCTV"}</definedName>
    <definedName name="FH" localSheetId="24" hidden="1">{#N/A,#N/A,FALSE,"CCTV"}</definedName>
    <definedName name="FH" localSheetId="32" hidden="1">{#N/A,#N/A,FALSE,"CCTV"}</definedName>
    <definedName name="FH" localSheetId="27" hidden="1">{#N/A,#N/A,FALSE,"CCTV"}</definedName>
    <definedName name="FH" localSheetId="28" hidden="1">{#N/A,#N/A,FALSE,"CCTV"}</definedName>
    <definedName name="FH" localSheetId="29" hidden="1">{#N/A,#N/A,FALSE,"CCTV"}</definedName>
    <definedName name="FH" localSheetId="31" hidden="1">{#N/A,#N/A,FALSE,"CCTV"}</definedName>
    <definedName name="FH" localSheetId="30" hidden="1">{#N/A,#N/A,FALSE,"CCTV"}</definedName>
    <definedName name="FH" localSheetId="17" hidden="1">{#N/A,#N/A,FALSE,"CCTV"}</definedName>
    <definedName name="FH" localSheetId="18" hidden="1">{#N/A,#N/A,FALSE,"CCTV"}</definedName>
    <definedName name="FH" hidden="1">{#N/A,#N/A,FALSE,"CCTV"}</definedName>
    <definedName name="fhg" localSheetId="20" hidden="1">{#N/A,#N/A,FALSE,"REK";#N/A,#N/A,FALSE,"Bq-ARS"}</definedName>
    <definedName name="fhg" localSheetId="19" hidden="1">{#N/A,#N/A,FALSE,"REK";#N/A,#N/A,FALSE,"Bq-ARS"}</definedName>
    <definedName name="fhg" localSheetId="26" hidden="1">{#N/A,#N/A,FALSE,"REK";#N/A,#N/A,FALSE,"Bq-ARS"}</definedName>
    <definedName name="fhg" localSheetId="24" hidden="1">{#N/A,#N/A,FALSE,"REK";#N/A,#N/A,FALSE,"Bq-ARS"}</definedName>
    <definedName name="fhg" localSheetId="32" hidden="1">{#N/A,#N/A,FALSE,"REK";#N/A,#N/A,FALSE,"Bq-ARS"}</definedName>
    <definedName name="fhg" localSheetId="27" hidden="1">{#N/A,#N/A,FALSE,"REK";#N/A,#N/A,FALSE,"Bq-ARS"}</definedName>
    <definedName name="fhg" localSheetId="28" hidden="1">{#N/A,#N/A,FALSE,"REK";#N/A,#N/A,FALSE,"Bq-ARS"}</definedName>
    <definedName name="fhg" localSheetId="29" hidden="1">{#N/A,#N/A,FALSE,"REK";#N/A,#N/A,FALSE,"Bq-ARS"}</definedName>
    <definedName name="fhg" localSheetId="31" hidden="1">{#N/A,#N/A,FALSE,"REK";#N/A,#N/A,FALSE,"Bq-ARS"}</definedName>
    <definedName name="fhg" localSheetId="30" hidden="1">{#N/A,#N/A,FALSE,"REK";#N/A,#N/A,FALSE,"Bq-ARS"}</definedName>
    <definedName name="fhg" localSheetId="17" hidden="1">{#N/A,#N/A,FALSE,"REK";#N/A,#N/A,FALSE,"Bq-ARS"}</definedName>
    <definedName name="fhg" localSheetId="18" hidden="1">{#N/A,#N/A,FALSE,"REK";#N/A,#N/A,FALSE,"Bq-ARS"}</definedName>
    <definedName name="fhg" hidden="1">{#N/A,#N/A,FALSE,"REK";#N/A,#N/A,FALSE,"Bq-ARS"}</definedName>
    <definedName name="fhgjfghfghgf" localSheetId="20" hidden="1">{#N/A,#N/A,FALSE,"CCTV"}</definedName>
    <definedName name="fhgjfghfghgf" localSheetId="19" hidden="1">{#N/A,#N/A,FALSE,"CCTV"}</definedName>
    <definedName name="fhgjfghfghgf" localSheetId="26" hidden="1">{#N/A,#N/A,FALSE,"CCTV"}</definedName>
    <definedName name="fhgjfghfghgf" localSheetId="24" hidden="1">{#N/A,#N/A,FALSE,"CCTV"}</definedName>
    <definedName name="fhgjfghfghgf" localSheetId="32" hidden="1">{#N/A,#N/A,FALSE,"CCTV"}</definedName>
    <definedName name="fhgjfghfghgf" localSheetId="27" hidden="1">{#N/A,#N/A,FALSE,"CCTV"}</definedName>
    <definedName name="fhgjfghfghgf" localSheetId="28" hidden="1">{#N/A,#N/A,FALSE,"CCTV"}</definedName>
    <definedName name="fhgjfghfghgf" localSheetId="29" hidden="1">{#N/A,#N/A,FALSE,"CCTV"}</definedName>
    <definedName name="fhgjfghfghgf" localSheetId="31" hidden="1">{#N/A,#N/A,FALSE,"CCTV"}</definedName>
    <definedName name="fhgjfghfghgf" localSheetId="30" hidden="1">{#N/A,#N/A,FALSE,"CCTV"}</definedName>
    <definedName name="fhgjfghfghgf" localSheetId="17" hidden="1">{#N/A,#N/A,FALSE,"CCTV"}</definedName>
    <definedName name="fhgjfghfghgf" localSheetId="18" hidden="1">{#N/A,#N/A,FALSE,"CCTV"}</definedName>
    <definedName name="fhgjfghfghgf" hidden="1">{#N/A,#N/A,FALSE,"CCTV"}</definedName>
    <definedName name="fhhh" localSheetId="20" hidden="1">{"'Sheet1'!$A$1"}</definedName>
    <definedName name="fhhh" localSheetId="19" hidden="1">{"'Sheet1'!$A$1"}</definedName>
    <definedName name="fhhh" localSheetId="26" hidden="1">{"'Sheet1'!$A$1"}</definedName>
    <definedName name="fhhh" localSheetId="24" hidden="1">{"'Sheet1'!$A$1"}</definedName>
    <definedName name="fhhh" localSheetId="32" hidden="1">{"'Sheet1'!$A$1"}</definedName>
    <definedName name="fhhh" localSheetId="27" hidden="1">{"'Sheet1'!$A$1"}</definedName>
    <definedName name="fhhh" localSheetId="28" hidden="1">{"'Sheet1'!$A$1"}</definedName>
    <definedName name="fhhh" localSheetId="29" hidden="1">{"'Sheet1'!$A$1"}</definedName>
    <definedName name="fhhh" localSheetId="31" hidden="1">{"'Sheet1'!$A$1"}</definedName>
    <definedName name="fhhh" localSheetId="30" hidden="1">{"'Sheet1'!$A$1"}</definedName>
    <definedName name="fhhh" localSheetId="17" hidden="1">{"'Sheet1'!$A$1"}</definedName>
    <definedName name="fhhh" localSheetId="18" hidden="1">{"'Sheet1'!$A$1"}</definedName>
    <definedName name="fhhh" hidden="1">{"'Sheet1'!$A$1"}</definedName>
    <definedName name="FIL" hidden="1">#REF!</definedName>
    <definedName name="fill" hidden="1">#REF!</definedName>
    <definedName name="fill2" hidden="1">#REF!</definedName>
    <definedName name="fill9" hidden="1">#REF!</definedName>
    <definedName name="FILLL" localSheetId="42" hidden="1">#REF!</definedName>
    <definedName name="FILLL" hidden="1">#REF!</definedName>
    <definedName name="FITTING2" hidden="1">#REF!</definedName>
    <definedName name="fj" localSheetId="20" hidden="1">{#N/A,#N/A,FALSE,"CCTV"}</definedName>
    <definedName name="fj" localSheetId="19" hidden="1">{#N/A,#N/A,FALSE,"CCTV"}</definedName>
    <definedName name="fj" localSheetId="26" hidden="1">{#N/A,#N/A,FALSE,"CCTV"}</definedName>
    <definedName name="fj" localSheetId="24" hidden="1">{#N/A,#N/A,FALSE,"CCTV"}</definedName>
    <definedName name="fj" localSheetId="32" hidden="1">{#N/A,#N/A,FALSE,"CCTV"}</definedName>
    <definedName name="fj" localSheetId="27" hidden="1">{#N/A,#N/A,FALSE,"CCTV"}</definedName>
    <definedName name="fj" localSheetId="28" hidden="1">{#N/A,#N/A,FALSE,"CCTV"}</definedName>
    <definedName name="fj" localSheetId="29" hidden="1">{#N/A,#N/A,FALSE,"CCTV"}</definedName>
    <definedName name="fj" localSheetId="31" hidden="1">{#N/A,#N/A,FALSE,"CCTV"}</definedName>
    <definedName name="fj" localSheetId="30" hidden="1">{#N/A,#N/A,FALSE,"CCTV"}</definedName>
    <definedName name="fj" localSheetId="17" hidden="1">{#N/A,#N/A,FALSE,"CCTV"}</definedName>
    <definedName name="fj" localSheetId="18" hidden="1">{#N/A,#N/A,FALSE,"CCTV"}</definedName>
    <definedName name="fj" hidden="1">{#N/A,#N/A,FALSE,"CCTV"}</definedName>
    <definedName name="fjkk" localSheetId="20" hidden="1">{"'Sheet1'!$A$1"}</definedName>
    <definedName name="fjkk" localSheetId="19" hidden="1">{"'Sheet1'!$A$1"}</definedName>
    <definedName name="fjkk" localSheetId="26" hidden="1">{"'Sheet1'!$A$1"}</definedName>
    <definedName name="fjkk" localSheetId="24" hidden="1">{"'Sheet1'!$A$1"}</definedName>
    <definedName name="fjkk" localSheetId="32" hidden="1">{"'Sheet1'!$A$1"}</definedName>
    <definedName name="fjkk" localSheetId="27" hidden="1">{"'Sheet1'!$A$1"}</definedName>
    <definedName name="fjkk" localSheetId="28" hidden="1">{"'Sheet1'!$A$1"}</definedName>
    <definedName name="fjkk" localSheetId="29" hidden="1">{"'Sheet1'!$A$1"}</definedName>
    <definedName name="fjkk" localSheetId="31" hidden="1">{"'Sheet1'!$A$1"}</definedName>
    <definedName name="fjkk" localSheetId="30" hidden="1">{"'Sheet1'!$A$1"}</definedName>
    <definedName name="fjkk" localSheetId="17" hidden="1">{"'Sheet1'!$A$1"}</definedName>
    <definedName name="fjkk" localSheetId="18" hidden="1">{"'Sheet1'!$A$1"}</definedName>
    <definedName name="fjkk" hidden="1">{"'Sheet1'!$A$1"}</definedName>
    <definedName name="fjr" localSheetId="20" hidden="1">{"'Sheet1'!$A$1"}</definedName>
    <definedName name="fjr" localSheetId="19" hidden="1">{"'Sheet1'!$A$1"}</definedName>
    <definedName name="fjr" localSheetId="26" hidden="1">{"'Sheet1'!$A$1"}</definedName>
    <definedName name="fjr" localSheetId="24" hidden="1">{"'Sheet1'!$A$1"}</definedName>
    <definedName name="fjr" localSheetId="32" hidden="1">{"'Sheet1'!$A$1"}</definedName>
    <definedName name="fjr" localSheetId="27" hidden="1">{"'Sheet1'!$A$1"}</definedName>
    <definedName name="fjr" localSheetId="28" hidden="1">{"'Sheet1'!$A$1"}</definedName>
    <definedName name="fjr" localSheetId="29" hidden="1">{"'Sheet1'!$A$1"}</definedName>
    <definedName name="fjr" localSheetId="31" hidden="1">{"'Sheet1'!$A$1"}</definedName>
    <definedName name="fjr" localSheetId="30" hidden="1">{"'Sheet1'!$A$1"}</definedName>
    <definedName name="fjr" localSheetId="17" hidden="1">{"'Sheet1'!$A$1"}</definedName>
    <definedName name="fjr" localSheetId="18" hidden="1">{"'Sheet1'!$A$1"}</definedName>
    <definedName name="fjr" hidden="1">{"'Sheet1'!$A$1"}</definedName>
    <definedName name="fjt" localSheetId="20" hidden="1">{"'Sheet1'!$A$1"}</definedName>
    <definedName name="fjt" localSheetId="19" hidden="1">{"'Sheet1'!$A$1"}</definedName>
    <definedName name="fjt" localSheetId="26" hidden="1">{"'Sheet1'!$A$1"}</definedName>
    <definedName name="fjt" localSheetId="24" hidden="1">{"'Sheet1'!$A$1"}</definedName>
    <definedName name="fjt" localSheetId="32" hidden="1">{"'Sheet1'!$A$1"}</definedName>
    <definedName name="fjt" localSheetId="27" hidden="1">{"'Sheet1'!$A$1"}</definedName>
    <definedName name="fjt" localSheetId="28" hidden="1">{"'Sheet1'!$A$1"}</definedName>
    <definedName name="fjt" localSheetId="29" hidden="1">{"'Sheet1'!$A$1"}</definedName>
    <definedName name="fjt" localSheetId="31" hidden="1">{"'Sheet1'!$A$1"}</definedName>
    <definedName name="fjt" localSheetId="30" hidden="1">{"'Sheet1'!$A$1"}</definedName>
    <definedName name="fjt" localSheetId="17" hidden="1">{"'Sheet1'!$A$1"}</definedName>
    <definedName name="fjt" localSheetId="18" hidden="1">{"'Sheet1'!$A$1"}</definedName>
    <definedName name="fjt" hidden="1">{"'Sheet1'!$A$1"}</definedName>
    <definedName name="FK" localSheetId="20" hidden="1">{#N/A,#N/A,FALSE,"CCTV"}</definedName>
    <definedName name="FK" localSheetId="19" hidden="1">{#N/A,#N/A,FALSE,"CCTV"}</definedName>
    <definedName name="FK" localSheetId="26" hidden="1">{#N/A,#N/A,FALSE,"CCTV"}</definedName>
    <definedName name="FK" localSheetId="24" hidden="1">{#N/A,#N/A,FALSE,"CCTV"}</definedName>
    <definedName name="FK" localSheetId="32" hidden="1">{#N/A,#N/A,FALSE,"CCTV"}</definedName>
    <definedName name="FK" localSheetId="27" hidden="1">{#N/A,#N/A,FALSE,"CCTV"}</definedName>
    <definedName name="FK" localSheetId="28" hidden="1">{#N/A,#N/A,FALSE,"CCTV"}</definedName>
    <definedName name="FK" localSheetId="29" hidden="1">{#N/A,#N/A,FALSE,"CCTV"}</definedName>
    <definedName name="FK" localSheetId="31" hidden="1">{#N/A,#N/A,FALSE,"CCTV"}</definedName>
    <definedName name="FK" localSheetId="30" hidden="1">{#N/A,#N/A,FALSE,"CCTV"}</definedName>
    <definedName name="FK" localSheetId="17" hidden="1">{#N/A,#N/A,FALSE,"CCTV"}</definedName>
    <definedName name="FK" localSheetId="18" hidden="1">{#N/A,#N/A,FALSE,"CCTV"}</definedName>
    <definedName name="FK" hidden="1">{#N/A,#N/A,FALSE,"CCTV"}</definedName>
    <definedName name="fkieifi" localSheetId="42" hidden="1">#REF!</definedName>
    <definedName name="FLEXI" localSheetId="20" hidden="1">{"'1996'!$A$1:$J$272"}</definedName>
    <definedName name="FLEXI" localSheetId="19" hidden="1">{"'1996'!$A$1:$J$272"}</definedName>
    <definedName name="FLEXI" localSheetId="26" hidden="1">{"'1996'!$A$1:$J$272"}</definedName>
    <definedName name="FLEXI" localSheetId="24" hidden="1">{"'1996'!$A$1:$J$272"}</definedName>
    <definedName name="FLEXI" localSheetId="32" hidden="1">{"'1996'!$A$1:$J$272"}</definedName>
    <definedName name="FLEXI" localSheetId="27" hidden="1">{"'1996'!$A$1:$J$272"}</definedName>
    <definedName name="FLEXI" localSheetId="28" hidden="1">{"'1996'!$A$1:$J$272"}</definedName>
    <definedName name="FLEXI" localSheetId="29" hidden="1">{"'1996'!$A$1:$J$272"}</definedName>
    <definedName name="FLEXI" localSheetId="31" hidden="1">{"'1996'!$A$1:$J$272"}</definedName>
    <definedName name="FLEXI" localSheetId="30" hidden="1">{"'1996'!$A$1:$J$272"}</definedName>
    <definedName name="FLEXI" localSheetId="17" hidden="1">{"'1996'!$A$1:$J$272"}</definedName>
    <definedName name="FLEXI" localSheetId="18" hidden="1">{"'1996'!$A$1:$J$272"}</definedName>
    <definedName name="FLEXI" hidden="1">{"'1996'!$A$1:$J$272"}</definedName>
    <definedName name="FORMAT" localSheetId="20" hidden="1">{#N/A,#N/A,FALSE,"CCTV"}</definedName>
    <definedName name="FORMAT" localSheetId="19" hidden="1">{#N/A,#N/A,FALSE,"CCTV"}</definedName>
    <definedName name="FORMAT" localSheetId="26" hidden="1">{#N/A,#N/A,FALSE,"CCTV"}</definedName>
    <definedName name="FORMAT" localSheetId="24" hidden="1">{#N/A,#N/A,FALSE,"CCTV"}</definedName>
    <definedName name="FORMAT" localSheetId="32" hidden="1">{#N/A,#N/A,FALSE,"CCTV"}</definedName>
    <definedName name="FORMAT" localSheetId="27" hidden="1">{#N/A,#N/A,FALSE,"CCTV"}</definedName>
    <definedName name="FORMAT" localSheetId="28" hidden="1">{#N/A,#N/A,FALSE,"CCTV"}</definedName>
    <definedName name="FORMAT" localSheetId="29" hidden="1">{#N/A,#N/A,FALSE,"CCTV"}</definedName>
    <definedName name="FORMAT" localSheetId="31" hidden="1">{#N/A,#N/A,FALSE,"CCTV"}</definedName>
    <definedName name="FORMAT" localSheetId="30" hidden="1">{#N/A,#N/A,FALSE,"CCTV"}</definedName>
    <definedName name="FORMAT" localSheetId="17" hidden="1">{#N/A,#N/A,FALSE,"CCTV"}</definedName>
    <definedName name="FORMAT" localSheetId="18" hidden="1">{#N/A,#N/A,FALSE,"CCTV"}</definedName>
    <definedName name="FORMAT" hidden="1">{#N/A,#N/A,FALSE,"CCTV"}</definedName>
    <definedName name="FP" localSheetId="20" hidden="1">{#N/A,#N/A,FALSE,"CCTV"}</definedName>
    <definedName name="FP" localSheetId="19" hidden="1">{#N/A,#N/A,FALSE,"CCTV"}</definedName>
    <definedName name="FP" localSheetId="32" hidden="1">{#N/A,#N/A,FALSE,"CCTV"}</definedName>
    <definedName name="FP" localSheetId="27" hidden="1">{#N/A,#N/A,FALSE,"CCTV"}</definedName>
    <definedName name="FP" localSheetId="28" hidden="1">{#N/A,#N/A,FALSE,"CCTV"}</definedName>
    <definedName name="FP" localSheetId="31" hidden="1">{#N/A,#N/A,FALSE,"CCTV"}</definedName>
    <definedName name="FP" localSheetId="30" hidden="1">{#N/A,#N/A,FALSE,"CCTV"}</definedName>
    <definedName name="FP" localSheetId="13" hidden="1">{#N/A,#N/A,FALSE,"CCTV"}</definedName>
    <definedName name="FP" localSheetId="17" hidden="1">{#N/A,#N/A,FALSE,"CCTV"}</definedName>
    <definedName name="FP" localSheetId="18" hidden="1">{#N/A,#N/A,FALSE,"CCTV"}</definedName>
    <definedName name="FRD" localSheetId="20" hidden="1">{"'Sheet1'!$A$1"}</definedName>
    <definedName name="FRD" localSheetId="19" hidden="1">{"'Sheet1'!$A$1"}</definedName>
    <definedName name="FRD" localSheetId="26" hidden="1">{"'Sheet1'!$A$1"}</definedName>
    <definedName name="FRD" localSheetId="24" hidden="1">{"'Sheet1'!$A$1"}</definedName>
    <definedName name="FRD" localSheetId="32" hidden="1">{"'Sheet1'!$A$1"}</definedName>
    <definedName name="FRD" localSheetId="27" hidden="1">{"'Sheet1'!$A$1"}</definedName>
    <definedName name="FRD" localSheetId="28" hidden="1">{"'Sheet1'!$A$1"}</definedName>
    <definedName name="FRD" localSheetId="29" hidden="1">{"'Sheet1'!$A$1"}</definedName>
    <definedName name="FRD" localSheetId="31" hidden="1">{"'Sheet1'!$A$1"}</definedName>
    <definedName name="FRD" localSheetId="30" hidden="1">{"'Sheet1'!$A$1"}</definedName>
    <definedName name="FRD" localSheetId="17" hidden="1">{"'Sheet1'!$A$1"}</definedName>
    <definedName name="FRD" localSheetId="18" hidden="1">{"'Sheet1'!$A$1"}</definedName>
    <definedName name="FRD" hidden="1">{"'Sheet1'!$A$1"}</definedName>
    <definedName name="FRDES" localSheetId="20" hidden="1">{"'Sheet1'!$A$1"}</definedName>
    <definedName name="FRDES" localSheetId="19" hidden="1">{"'Sheet1'!$A$1"}</definedName>
    <definedName name="FRDES" localSheetId="26" hidden="1">{"'Sheet1'!$A$1"}</definedName>
    <definedName name="FRDES" localSheetId="24" hidden="1">{"'Sheet1'!$A$1"}</definedName>
    <definedName name="FRDES" localSheetId="32" hidden="1">{"'Sheet1'!$A$1"}</definedName>
    <definedName name="FRDES" localSheetId="27" hidden="1">{"'Sheet1'!$A$1"}</definedName>
    <definedName name="FRDES" localSheetId="28" hidden="1">{"'Sheet1'!$A$1"}</definedName>
    <definedName name="FRDES" localSheetId="29" hidden="1">{"'Sheet1'!$A$1"}</definedName>
    <definedName name="FRDES" localSheetId="31" hidden="1">{"'Sheet1'!$A$1"}</definedName>
    <definedName name="FRDES" localSheetId="30" hidden="1">{"'Sheet1'!$A$1"}</definedName>
    <definedName name="FRDES" localSheetId="17" hidden="1">{"'Sheet1'!$A$1"}</definedName>
    <definedName name="FRDES" localSheetId="18" hidden="1">{"'Sheet1'!$A$1"}</definedName>
    <definedName name="FRDES" hidden="1">{"'Sheet1'!$A$1"}</definedName>
    <definedName name="FRDESW" hidden="1">#REF!</definedName>
    <definedName name="FRDESWDFREEDS" hidden="1">#REF!</definedName>
    <definedName name="FRED" localSheetId="20" hidden="1">{"'Sheet1'!$A$1"}</definedName>
    <definedName name="FRED" localSheetId="19" hidden="1">{"'Sheet1'!$A$1"}</definedName>
    <definedName name="FRED" localSheetId="26" hidden="1">{"'Sheet1'!$A$1"}</definedName>
    <definedName name="FRED" localSheetId="24" hidden="1">{"'Sheet1'!$A$1"}</definedName>
    <definedName name="FRED" localSheetId="32" hidden="1">{"'Sheet1'!$A$1"}</definedName>
    <definedName name="FRED" localSheetId="27" hidden="1">{"'Sheet1'!$A$1"}</definedName>
    <definedName name="FRED" localSheetId="28" hidden="1">{"'Sheet1'!$A$1"}</definedName>
    <definedName name="FRED" localSheetId="29" hidden="1">{"'Sheet1'!$A$1"}</definedName>
    <definedName name="FRED" localSheetId="31" hidden="1">{"'Sheet1'!$A$1"}</definedName>
    <definedName name="FRED" localSheetId="30" hidden="1">{"'Sheet1'!$A$1"}</definedName>
    <definedName name="FRED" localSheetId="17" hidden="1">{"'Sheet1'!$A$1"}</definedName>
    <definedName name="FRED" localSheetId="18" hidden="1">{"'Sheet1'!$A$1"}</definedName>
    <definedName name="FRED" hidden="1">{"'Sheet1'!$A$1"}</definedName>
    <definedName name="FSDF" localSheetId="2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" localSheetId="1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" localSheetId="2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" localSheetId="2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" localSheetId="3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" localSheetId="2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" localSheetId="2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" localSheetId="2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" localSheetId="3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" localSheetId="3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" localSheetId="1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dsf" localSheetId="20" hidden="1">{"'Sheet1'!$L$16"}</definedName>
    <definedName name="fsdfdsf" localSheetId="19" hidden="1">{"'Sheet1'!$L$16"}</definedName>
    <definedName name="fsdfdsf" localSheetId="26" hidden="1">{"'Sheet1'!$L$16"}</definedName>
    <definedName name="fsdfdsf" localSheetId="24" hidden="1">{"'Sheet1'!$L$16"}</definedName>
    <definedName name="fsdfdsf" localSheetId="32" hidden="1">{"'Sheet1'!$L$16"}</definedName>
    <definedName name="fsdfdsf" localSheetId="27" hidden="1">{"'Sheet1'!$L$16"}</definedName>
    <definedName name="fsdfdsf" localSheetId="28" hidden="1">{"'Sheet1'!$L$16"}</definedName>
    <definedName name="fsdfdsf" localSheetId="29" hidden="1">{"'Sheet1'!$L$16"}</definedName>
    <definedName name="fsdfdsf" localSheetId="31" hidden="1">{"'Sheet1'!$L$16"}</definedName>
    <definedName name="fsdfdsf" localSheetId="30" hidden="1">{"'Sheet1'!$L$16"}</definedName>
    <definedName name="fsdfdsf" localSheetId="17" hidden="1">{"'Sheet1'!$L$16"}</definedName>
    <definedName name="fsdfdsf" localSheetId="18" hidden="1">{"'Sheet1'!$L$16"}</definedName>
    <definedName name="fsdfdsf" hidden="1">{"'Sheet1'!$L$16"}</definedName>
    <definedName name="FSDFFF" localSheetId="2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FF" localSheetId="1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FF" localSheetId="2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FF" localSheetId="2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FF" localSheetId="3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FF" localSheetId="2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FF" localSheetId="2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FF" localSheetId="2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FF" localSheetId="3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FF" localSheetId="3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FF" localSheetId="1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FF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GDR" localSheetId="20" hidden="1">{"'Sheet1'!$A$1"}</definedName>
    <definedName name="FSGDR" localSheetId="19" hidden="1">{"'Sheet1'!$A$1"}</definedName>
    <definedName name="FSGDR" localSheetId="26" hidden="1">{"'Sheet1'!$A$1"}</definedName>
    <definedName name="FSGDR" localSheetId="24" hidden="1">{"'Sheet1'!$A$1"}</definedName>
    <definedName name="FSGDR" localSheetId="32" hidden="1">{"'Sheet1'!$A$1"}</definedName>
    <definedName name="FSGDR" localSheetId="27" hidden="1">{"'Sheet1'!$A$1"}</definedName>
    <definedName name="FSGDR" localSheetId="28" hidden="1">{"'Sheet1'!$A$1"}</definedName>
    <definedName name="FSGDR" localSheetId="29" hidden="1">{"'Sheet1'!$A$1"}</definedName>
    <definedName name="FSGDR" localSheetId="31" hidden="1">{"'Sheet1'!$A$1"}</definedName>
    <definedName name="FSGDR" localSheetId="30" hidden="1">{"'Sheet1'!$A$1"}</definedName>
    <definedName name="FSGDR" localSheetId="17" hidden="1">{"'Sheet1'!$A$1"}</definedName>
    <definedName name="FSGDR" localSheetId="18" hidden="1">{"'Sheet1'!$A$1"}</definedName>
    <definedName name="FSGDR" hidden="1">{"'Sheet1'!$A$1"}</definedName>
    <definedName name="FSRA" localSheetId="20" hidden="1">{"'Sheet1'!$A$1"}</definedName>
    <definedName name="FSRA" localSheetId="19" hidden="1">{"'Sheet1'!$A$1"}</definedName>
    <definedName name="FSRA" localSheetId="26" hidden="1">{"'Sheet1'!$A$1"}</definedName>
    <definedName name="FSRA" localSheetId="24" hidden="1">{"'Sheet1'!$A$1"}</definedName>
    <definedName name="FSRA" localSheetId="32" hidden="1">{"'Sheet1'!$A$1"}</definedName>
    <definedName name="FSRA" localSheetId="27" hidden="1">{"'Sheet1'!$A$1"}</definedName>
    <definedName name="FSRA" localSheetId="28" hidden="1">{"'Sheet1'!$A$1"}</definedName>
    <definedName name="FSRA" localSheetId="29" hidden="1">{"'Sheet1'!$A$1"}</definedName>
    <definedName name="FSRA" localSheetId="31" hidden="1">{"'Sheet1'!$A$1"}</definedName>
    <definedName name="FSRA" localSheetId="30" hidden="1">{"'Sheet1'!$A$1"}</definedName>
    <definedName name="FSRA" localSheetId="17" hidden="1">{"'Sheet1'!$A$1"}</definedName>
    <definedName name="FSRA" localSheetId="18" hidden="1">{"'Sheet1'!$A$1"}</definedName>
    <definedName name="FSRA" hidden="1">{"'Sheet1'!$A$1"}</definedName>
    <definedName name="FSRAD" localSheetId="20" hidden="1">{"'Sheet1'!$A$1"}</definedName>
    <definedName name="FSRAD" localSheetId="19" hidden="1">{"'Sheet1'!$A$1"}</definedName>
    <definedName name="FSRAD" localSheetId="26" hidden="1">{"'Sheet1'!$A$1"}</definedName>
    <definedName name="FSRAD" localSheetId="24" hidden="1">{"'Sheet1'!$A$1"}</definedName>
    <definedName name="FSRAD" localSheetId="32" hidden="1">{"'Sheet1'!$A$1"}</definedName>
    <definedName name="FSRAD" localSheetId="27" hidden="1">{"'Sheet1'!$A$1"}</definedName>
    <definedName name="FSRAD" localSheetId="28" hidden="1">{"'Sheet1'!$A$1"}</definedName>
    <definedName name="FSRAD" localSheetId="29" hidden="1">{"'Sheet1'!$A$1"}</definedName>
    <definedName name="FSRAD" localSheetId="31" hidden="1">{"'Sheet1'!$A$1"}</definedName>
    <definedName name="FSRAD" localSheetId="30" hidden="1">{"'Sheet1'!$A$1"}</definedName>
    <definedName name="FSRAD" localSheetId="17" hidden="1">{"'Sheet1'!$A$1"}</definedName>
    <definedName name="FSRAD" localSheetId="18" hidden="1">{"'Sheet1'!$A$1"}</definedName>
    <definedName name="FSRAD" hidden="1">{"'Sheet1'!$A$1"}</definedName>
    <definedName name="FSRAG" localSheetId="20" hidden="1">{"'Sheet1'!$A$1"}</definedName>
    <definedName name="FSRAG" localSheetId="19" hidden="1">{"'Sheet1'!$A$1"}</definedName>
    <definedName name="FSRAG" localSheetId="26" hidden="1">{"'Sheet1'!$A$1"}</definedName>
    <definedName name="FSRAG" localSheetId="24" hidden="1">{"'Sheet1'!$A$1"}</definedName>
    <definedName name="FSRAG" localSheetId="32" hidden="1">{"'Sheet1'!$A$1"}</definedName>
    <definedName name="FSRAG" localSheetId="27" hidden="1">{"'Sheet1'!$A$1"}</definedName>
    <definedName name="FSRAG" localSheetId="28" hidden="1">{"'Sheet1'!$A$1"}</definedName>
    <definedName name="FSRAG" localSheetId="29" hidden="1">{"'Sheet1'!$A$1"}</definedName>
    <definedName name="FSRAG" localSheetId="31" hidden="1">{"'Sheet1'!$A$1"}</definedName>
    <definedName name="FSRAG" localSheetId="30" hidden="1">{"'Sheet1'!$A$1"}</definedName>
    <definedName name="FSRAG" localSheetId="17" hidden="1">{"'Sheet1'!$A$1"}</definedName>
    <definedName name="FSRAG" localSheetId="18" hidden="1">{"'Sheet1'!$A$1"}</definedName>
    <definedName name="FSRAG" hidden="1">{"'Sheet1'!$A$1"}</definedName>
    <definedName name="FSRAT" localSheetId="20" hidden="1">{"'Sheet1'!$A$1"}</definedName>
    <definedName name="FSRAT" localSheetId="19" hidden="1">{"'Sheet1'!$A$1"}</definedName>
    <definedName name="FSRAT" localSheetId="26" hidden="1">{"'Sheet1'!$A$1"}</definedName>
    <definedName name="FSRAT" localSheetId="24" hidden="1">{"'Sheet1'!$A$1"}</definedName>
    <definedName name="FSRAT" localSheetId="32" hidden="1">{"'Sheet1'!$A$1"}</definedName>
    <definedName name="FSRAT" localSheetId="27" hidden="1">{"'Sheet1'!$A$1"}</definedName>
    <definedName name="FSRAT" localSheetId="28" hidden="1">{"'Sheet1'!$A$1"}</definedName>
    <definedName name="FSRAT" localSheetId="29" hidden="1">{"'Sheet1'!$A$1"}</definedName>
    <definedName name="FSRAT" localSheetId="31" hidden="1">{"'Sheet1'!$A$1"}</definedName>
    <definedName name="FSRAT" localSheetId="30" hidden="1">{"'Sheet1'!$A$1"}</definedName>
    <definedName name="FSRAT" localSheetId="17" hidden="1">{"'Sheet1'!$A$1"}</definedName>
    <definedName name="FSRAT" localSheetId="18" hidden="1">{"'Sheet1'!$A$1"}</definedName>
    <definedName name="FSRAT" hidden="1">{"'Sheet1'!$A$1"}</definedName>
    <definedName name="FSRW" localSheetId="20" hidden="1">{"'Sheet1'!$A$1"}</definedName>
    <definedName name="FSRW" localSheetId="19" hidden="1">{"'Sheet1'!$A$1"}</definedName>
    <definedName name="FSRW" localSheetId="26" hidden="1">{"'Sheet1'!$A$1"}</definedName>
    <definedName name="FSRW" localSheetId="24" hidden="1">{"'Sheet1'!$A$1"}</definedName>
    <definedName name="FSRW" localSheetId="32" hidden="1">{"'Sheet1'!$A$1"}</definedName>
    <definedName name="FSRW" localSheetId="27" hidden="1">{"'Sheet1'!$A$1"}</definedName>
    <definedName name="FSRW" localSheetId="28" hidden="1">{"'Sheet1'!$A$1"}</definedName>
    <definedName name="FSRW" localSheetId="29" hidden="1">{"'Sheet1'!$A$1"}</definedName>
    <definedName name="FSRW" localSheetId="31" hidden="1">{"'Sheet1'!$A$1"}</definedName>
    <definedName name="FSRW" localSheetId="30" hidden="1">{"'Sheet1'!$A$1"}</definedName>
    <definedName name="FSRW" localSheetId="17" hidden="1">{"'Sheet1'!$A$1"}</definedName>
    <definedName name="FSRW" localSheetId="18" hidden="1">{"'Sheet1'!$A$1"}</definedName>
    <definedName name="FSRW" hidden="1">{"'Sheet1'!$A$1"}</definedName>
    <definedName name="fswhw" localSheetId="20" hidden="1">{"'Sheet1'!$A$1"}</definedName>
    <definedName name="fswhw" localSheetId="19" hidden="1">{"'Sheet1'!$A$1"}</definedName>
    <definedName name="fswhw" localSheetId="26" hidden="1">{"'Sheet1'!$A$1"}</definedName>
    <definedName name="fswhw" localSheetId="24" hidden="1">{"'Sheet1'!$A$1"}</definedName>
    <definedName name="fswhw" localSheetId="32" hidden="1">{"'Sheet1'!$A$1"}</definedName>
    <definedName name="fswhw" localSheetId="27" hidden="1">{"'Sheet1'!$A$1"}</definedName>
    <definedName name="fswhw" localSheetId="28" hidden="1">{"'Sheet1'!$A$1"}</definedName>
    <definedName name="fswhw" localSheetId="29" hidden="1">{"'Sheet1'!$A$1"}</definedName>
    <definedName name="fswhw" localSheetId="31" hidden="1">{"'Sheet1'!$A$1"}</definedName>
    <definedName name="fswhw" localSheetId="30" hidden="1">{"'Sheet1'!$A$1"}</definedName>
    <definedName name="fswhw" localSheetId="17" hidden="1">{"'Sheet1'!$A$1"}</definedName>
    <definedName name="fswhw" localSheetId="18" hidden="1">{"'Sheet1'!$A$1"}</definedName>
    <definedName name="fswhw" hidden="1">{"'Sheet1'!$A$1"}</definedName>
    <definedName name="ftgj" localSheetId="20" hidden="1">{"'Sheet1'!$A$1"}</definedName>
    <definedName name="ftgj" localSheetId="19" hidden="1">{"'Sheet1'!$A$1"}</definedName>
    <definedName name="ftgj" localSheetId="26" hidden="1">{"'Sheet1'!$A$1"}</definedName>
    <definedName name="ftgj" localSheetId="24" hidden="1">{"'Sheet1'!$A$1"}</definedName>
    <definedName name="ftgj" localSheetId="32" hidden="1">{"'Sheet1'!$A$1"}</definedName>
    <definedName name="ftgj" localSheetId="27" hidden="1">{"'Sheet1'!$A$1"}</definedName>
    <definedName name="ftgj" localSheetId="28" hidden="1">{"'Sheet1'!$A$1"}</definedName>
    <definedName name="ftgj" localSheetId="29" hidden="1">{"'Sheet1'!$A$1"}</definedName>
    <definedName name="ftgj" localSheetId="31" hidden="1">{"'Sheet1'!$A$1"}</definedName>
    <definedName name="ftgj" localSheetId="30" hidden="1">{"'Sheet1'!$A$1"}</definedName>
    <definedName name="ftgj" localSheetId="17" hidden="1">{"'Sheet1'!$A$1"}</definedName>
    <definedName name="ftgj" localSheetId="18" hidden="1">{"'Sheet1'!$A$1"}</definedName>
    <definedName name="ftgj" hidden="1">{"'Sheet1'!$A$1"}</definedName>
    <definedName name="ftiyio" localSheetId="20" hidden="1">{"'Sheet1'!$A$1"}</definedName>
    <definedName name="ftiyio" localSheetId="19" hidden="1">{"'Sheet1'!$A$1"}</definedName>
    <definedName name="ftiyio" localSheetId="26" hidden="1">{"'Sheet1'!$A$1"}</definedName>
    <definedName name="ftiyio" localSheetId="24" hidden="1">{"'Sheet1'!$A$1"}</definedName>
    <definedName name="ftiyio" localSheetId="32" hidden="1">{"'Sheet1'!$A$1"}</definedName>
    <definedName name="ftiyio" localSheetId="27" hidden="1">{"'Sheet1'!$A$1"}</definedName>
    <definedName name="ftiyio" localSheetId="28" hidden="1">{"'Sheet1'!$A$1"}</definedName>
    <definedName name="ftiyio" localSheetId="29" hidden="1">{"'Sheet1'!$A$1"}</definedName>
    <definedName name="ftiyio" localSheetId="31" hidden="1">{"'Sheet1'!$A$1"}</definedName>
    <definedName name="ftiyio" localSheetId="30" hidden="1">{"'Sheet1'!$A$1"}</definedName>
    <definedName name="ftiyio" localSheetId="17" hidden="1">{"'Sheet1'!$A$1"}</definedName>
    <definedName name="ftiyio" localSheetId="18" hidden="1">{"'Sheet1'!$A$1"}</definedName>
    <definedName name="ftiyio" hidden="1">{"'Sheet1'!$A$1"}</definedName>
    <definedName name="FTRDG" localSheetId="20" hidden="1">{"'Sheet1'!$A$1"}</definedName>
    <definedName name="FTRDG" localSheetId="19" hidden="1">{"'Sheet1'!$A$1"}</definedName>
    <definedName name="FTRDG" localSheetId="26" hidden="1">{"'Sheet1'!$A$1"}</definedName>
    <definedName name="FTRDG" localSheetId="24" hidden="1">{"'Sheet1'!$A$1"}</definedName>
    <definedName name="FTRDG" localSheetId="32" hidden="1">{"'Sheet1'!$A$1"}</definedName>
    <definedName name="FTRDG" localSheetId="27" hidden="1">{"'Sheet1'!$A$1"}</definedName>
    <definedName name="FTRDG" localSheetId="28" hidden="1">{"'Sheet1'!$A$1"}</definedName>
    <definedName name="FTRDG" localSheetId="29" hidden="1">{"'Sheet1'!$A$1"}</definedName>
    <definedName name="FTRDG" localSheetId="31" hidden="1">{"'Sheet1'!$A$1"}</definedName>
    <definedName name="FTRDG" localSheetId="30" hidden="1">{"'Sheet1'!$A$1"}</definedName>
    <definedName name="FTRDG" localSheetId="17" hidden="1">{"'Sheet1'!$A$1"}</definedName>
    <definedName name="FTRDG" localSheetId="18" hidden="1">{"'Sheet1'!$A$1"}</definedName>
    <definedName name="FTRDG" hidden="1">{"'Sheet1'!$A$1"}</definedName>
    <definedName name="fyv" hidden="1">#REF!</definedName>
    <definedName name="FZSDG" hidden="1">#REF!</definedName>
    <definedName name="g" localSheetId="41" hidden="1">#REF!</definedName>
    <definedName name="g" localSheetId="42" hidden="1">#REF!</definedName>
    <definedName name="g" hidden="1">#REF!</definedName>
    <definedName name="GAKWEITUAE" hidden="1">#REF!</definedName>
    <definedName name="gbnhujmi" hidden="1">#REF!</definedName>
    <definedName name="GDET" localSheetId="20" hidden="1">{"'Sheet1'!$A$1"}</definedName>
    <definedName name="GDET" localSheetId="19" hidden="1">{"'Sheet1'!$A$1"}</definedName>
    <definedName name="GDET" localSheetId="26" hidden="1">{"'Sheet1'!$A$1"}</definedName>
    <definedName name="GDET" localSheetId="24" hidden="1">{"'Sheet1'!$A$1"}</definedName>
    <definedName name="GDET" localSheetId="32" hidden="1">{"'Sheet1'!$A$1"}</definedName>
    <definedName name="GDET" localSheetId="27" hidden="1">{"'Sheet1'!$A$1"}</definedName>
    <definedName name="GDET" localSheetId="28" hidden="1">{"'Sheet1'!$A$1"}</definedName>
    <definedName name="GDET" localSheetId="29" hidden="1">{"'Sheet1'!$A$1"}</definedName>
    <definedName name="GDET" localSheetId="31" hidden="1">{"'Sheet1'!$A$1"}</definedName>
    <definedName name="GDET" localSheetId="30" hidden="1">{"'Sheet1'!$A$1"}</definedName>
    <definedName name="GDET" localSheetId="17" hidden="1">{"'Sheet1'!$A$1"}</definedName>
    <definedName name="GDET" localSheetId="18" hidden="1">{"'Sheet1'!$A$1"}</definedName>
    <definedName name="GDET" hidden="1">{"'Sheet1'!$A$1"}</definedName>
    <definedName name="GDF" localSheetId="20" hidden="1">{"'Sheet1'!$A$1"}</definedName>
    <definedName name="GDF" localSheetId="19" hidden="1">{"'Sheet1'!$A$1"}</definedName>
    <definedName name="GDF" localSheetId="26" hidden="1">{"'Sheet1'!$A$1"}</definedName>
    <definedName name="GDF" localSheetId="24" hidden="1">{"'Sheet1'!$A$1"}</definedName>
    <definedName name="GDF" localSheetId="32" hidden="1">{"'Sheet1'!$A$1"}</definedName>
    <definedName name="GDF" localSheetId="27" hidden="1">{"'Sheet1'!$A$1"}</definedName>
    <definedName name="GDF" localSheetId="28" hidden="1">{"'Sheet1'!$A$1"}</definedName>
    <definedName name="GDF" localSheetId="29" hidden="1">{"'Sheet1'!$A$1"}</definedName>
    <definedName name="GDF" localSheetId="31" hidden="1">{"'Sheet1'!$A$1"}</definedName>
    <definedName name="GDF" localSheetId="30" hidden="1">{"'Sheet1'!$A$1"}</definedName>
    <definedName name="GDF" localSheetId="17" hidden="1">{"'Sheet1'!$A$1"}</definedName>
    <definedName name="GDF" localSheetId="18" hidden="1">{"'Sheet1'!$A$1"}</definedName>
    <definedName name="GDF" hidden="1">{"'Sheet1'!$A$1"}</definedName>
    <definedName name="GDFG" localSheetId="2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" localSheetId="1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" localSheetId="2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" localSheetId="2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" localSheetId="3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" localSheetId="2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" localSheetId="2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" localSheetId="2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" localSheetId="3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" localSheetId="3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" localSheetId="1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rj" localSheetId="20" hidden="1">{"'Sheet1'!$A$1"}</definedName>
    <definedName name="gdfrj" localSheetId="19" hidden="1">{"'Sheet1'!$A$1"}</definedName>
    <definedName name="gdfrj" localSheetId="26" hidden="1">{"'Sheet1'!$A$1"}</definedName>
    <definedName name="gdfrj" localSheetId="24" hidden="1">{"'Sheet1'!$A$1"}</definedName>
    <definedName name="gdfrj" localSheetId="32" hidden="1">{"'Sheet1'!$A$1"}</definedName>
    <definedName name="gdfrj" localSheetId="27" hidden="1">{"'Sheet1'!$A$1"}</definedName>
    <definedName name="gdfrj" localSheetId="28" hidden="1">{"'Sheet1'!$A$1"}</definedName>
    <definedName name="gdfrj" localSheetId="29" hidden="1">{"'Sheet1'!$A$1"}</definedName>
    <definedName name="gdfrj" localSheetId="31" hidden="1">{"'Sheet1'!$A$1"}</definedName>
    <definedName name="gdfrj" localSheetId="30" hidden="1">{"'Sheet1'!$A$1"}</definedName>
    <definedName name="gdfrj" localSheetId="17" hidden="1">{"'Sheet1'!$A$1"}</definedName>
    <definedName name="gdfrj" localSheetId="18" hidden="1">{"'Sheet1'!$A$1"}</definedName>
    <definedName name="gdfrj" hidden="1">{"'Sheet1'!$A$1"}</definedName>
    <definedName name="GDFSR" localSheetId="20" hidden="1">{"'Sheet1'!$A$1"}</definedName>
    <definedName name="GDFSR" localSheetId="19" hidden="1">{"'Sheet1'!$A$1"}</definedName>
    <definedName name="GDFSR" localSheetId="26" hidden="1">{"'Sheet1'!$A$1"}</definedName>
    <definedName name="GDFSR" localSheetId="24" hidden="1">{"'Sheet1'!$A$1"}</definedName>
    <definedName name="GDFSR" localSheetId="32" hidden="1">{"'Sheet1'!$A$1"}</definedName>
    <definedName name="GDFSR" localSheetId="27" hidden="1">{"'Sheet1'!$A$1"}</definedName>
    <definedName name="GDFSR" localSheetId="28" hidden="1">{"'Sheet1'!$A$1"}</definedName>
    <definedName name="GDFSR" localSheetId="29" hidden="1">{"'Sheet1'!$A$1"}</definedName>
    <definedName name="GDFSR" localSheetId="31" hidden="1">{"'Sheet1'!$A$1"}</definedName>
    <definedName name="GDFSR" localSheetId="30" hidden="1">{"'Sheet1'!$A$1"}</definedName>
    <definedName name="GDFSR" localSheetId="17" hidden="1">{"'Sheet1'!$A$1"}</definedName>
    <definedName name="GDFSR" localSheetId="18" hidden="1">{"'Sheet1'!$A$1"}</definedName>
    <definedName name="GDFSR" hidden="1">{"'Sheet1'!$A$1"}</definedName>
    <definedName name="gdfst" hidden="1">#REF!</definedName>
    <definedName name="GDG" localSheetId="2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localSheetId="1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localSheetId="2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localSheetId="2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localSheetId="3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localSheetId="2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localSheetId="2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localSheetId="2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localSheetId="3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localSheetId="3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localSheetId="1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hsg" localSheetId="20" hidden="1">{"'Sheet1'!$A$1"}</definedName>
    <definedName name="gdhsg" localSheetId="19" hidden="1">{"'Sheet1'!$A$1"}</definedName>
    <definedName name="gdhsg" localSheetId="26" hidden="1">{"'Sheet1'!$A$1"}</definedName>
    <definedName name="gdhsg" localSheetId="24" hidden="1">{"'Sheet1'!$A$1"}</definedName>
    <definedName name="gdhsg" localSheetId="32" hidden="1">{"'Sheet1'!$A$1"}</definedName>
    <definedName name="gdhsg" localSheetId="27" hidden="1">{"'Sheet1'!$A$1"}</definedName>
    <definedName name="gdhsg" localSheetId="28" hidden="1">{"'Sheet1'!$A$1"}</definedName>
    <definedName name="gdhsg" localSheetId="29" hidden="1">{"'Sheet1'!$A$1"}</definedName>
    <definedName name="gdhsg" localSheetId="31" hidden="1">{"'Sheet1'!$A$1"}</definedName>
    <definedName name="gdhsg" localSheetId="30" hidden="1">{"'Sheet1'!$A$1"}</definedName>
    <definedName name="gdhsg" localSheetId="17" hidden="1">{"'Sheet1'!$A$1"}</definedName>
    <definedName name="gdhsg" localSheetId="18" hidden="1">{"'Sheet1'!$A$1"}</definedName>
    <definedName name="gdhsg" hidden="1">{"'Sheet1'!$A$1"}</definedName>
    <definedName name="gdnh" localSheetId="20" hidden="1">{#N/A,#N/A,FALSE,"REK";#N/A,#N/A,FALSE,"rab"}</definedName>
    <definedName name="gdnh" localSheetId="19" hidden="1">{#N/A,#N/A,FALSE,"REK";#N/A,#N/A,FALSE,"rab"}</definedName>
    <definedName name="gdnh" localSheetId="26" hidden="1">{#N/A,#N/A,FALSE,"REK";#N/A,#N/A,FALSE,"rab"}</definedName>
    <definedName name="gdnh" localSheetId="24" hidden="1">{#N/A,#N/A,FALSE,"REK";#N/A,#N/A,FALSE,"rab"}</definedName>
    <definedName name="gdnh" localSheetId="32" hidden="1">{#N/A,#N/A,FALSE,"REK";#N/A,#N/A,FALSE,"rab"}</definedName>
    <definedName name="gdnh" localSheetId="27" hidden="1">{#N/A,#N/A,FALSE,"REK";#N/A,#N/A,FALSE,"rab"}</definedName>
    <definedName name="gdnh" localSheetId="28" hidden="1">{#N/A,#N/A,FALSE,"REK";#N/A,#N/A,FALSE,"rab"}</definedName>
    <definedName name="gdnh" localSheetId="29" hidden="1">{#N/A,#N/A,FALSE,"REK";#N/A,#N/A,FALSE,"rab"}</definedName>
    <definedName name="gdnh" localSheetId="31" hidden="1">{#N/A,#N/A,FALSE,"REK";#N/A,#N/A,FALSE,"rab"}</definedName>
    <definedName name="gdnh" localSheetId="30" hidden="1">{#N/A,#N/A,FALSE,"REK";#N/A,#N/A,FALSE,"rab"}</definedName>
    <definedName name="gdnh" localSheetId="17" hidden="1">{#N/A,#N/A,FALSE,"REK";#N/A,#N/A,FALSE,"rab"}</definedName>
    <definedName name="gdnh" localSheetId="18" hidden="1">{#N/A,#N/A,FALSE,"REK";#N/A,#N/A,FALSE,"rab"}</definedName>
    <definedName name="gdnh" hidden="1">{#N/A,#N/A,FALSE,"REK";#N/A,#N/A,FALSE,"rab"}</definedName>
    <definedName name="GDR" localSheetId="20" hidden="1">{"'Sheet1'!$A$1"}</definedName>
    <definedName name="GDR" localSheetId="19" hidden="1">{"'Sheet1'!$A$1"}</definedName>
    <definedName name="GDR" localSheetId="26" hidden="1">{"'Sheet1'!$A$1"}</definedName>
    <definedName name="GDR" localSheetId="24" hidden="1">{"'Sheet1'!$A$1"}</definedName>
    <definedName name="GDR" localSheetId="32" hidden="1">{"'Sheet1'!$A$1"}</definedName>
    <definedName name="GDR" localSheetId="27" hidden="1">{"'Sheet1'!$A$1"}</definedName>
    <definedName name="GDR" localSheetId="28" hidden="1">{"'Sheet1'!$A$1"}</definedName>
    <definedName name="GDR" localSheetId="29" hidden="1">{"'Sheet1'!$A$1"}</definedName>
    <definedName name="GDR" localSheetId="31" hidden="1">{"'Sheet1'!$A$1"}</definedName>
    <definedName name="GDR" localSheetId="30" hidden="1">{"'Sheet1'!$A$1"}</definedName>
    <definedName name="GDR" localSheetId="17" hidden="1">{"'Sheet1'!$A$1"}</definedName>
    <definedName name="GDR" localSheetId="18" hidden="1">{"'Sheet1'!$A$1"}</definedName>
    <definedName name="GDR" hidden="1">{"'Sheet1'!$A$1"}</definedName>
    <definedName name="gdrft" localSheetId="20" hidden="1">{"'Sheet1'!$A$1"}</definedName>
    <definedName name="gdrft" localSheetId="19" hidden="1">{"'Sheet1'!$A$1"}</definedName>
    <definedName name="gdrft" localSheetId="26" hidden="1">{"'Sheet1'!$A$1"}</definedName>
    <definedName name="gdrft" localSheetId="24" hidden="1">{"'Sheet1'!$A$1"}</definedName>
    <definedName name="gdrft" localSheetId="32" hidden="1">{"'Sheet1'!$A$1"}</definedName>
    <definedName name="gdrft" localSheetId="27" hidden="1">{"'Sheet1'!$A$1"}</definedName>
    <definedName name="gdrft" localSheetId="28" hidden="1">{"'Sheet1'!$A$1"}</definedName>
    <definedName name="gdrft" localSheetId="29" hidden="1">{"'Sheet1'!$A$1"}</definedName>
    <definedName name="gdrft" localSheetId="31" hidden="1">{"'Sheet1'!$A$1"}</definedName>
    <definedName name="gdrft" localSheetId="30" hidden="1">{"'Sheet1'!$A$1"}</definedName>
    <definedName name="gdrft" localSheetId="17" hidden="1">{"'Sheet1'!$A$1"}</definedName>
    <definedName name="gdrft" localSheetId="18" hidden="1">{"'Sheet1'!$A$1"}</definedName>
    <definedName name="gdrft" hidden="1">{"'Sheet1'!$A$1"}</definedName>
    <definedName name="gdt" localSheetId="20" hidden="1">{"'Sheet1'!$A$1"}</definedName>
    <definedName name="gdt" localSheetId="19" hidden="1">{"'Sheet1'!$A$1"}</definedName>
    <definedName name="gdt" localSheetId="26" hidden="1">{"'Sheet1'!$A$1"}</definedName>
    <definedName name="gdt" localSheetId="24" hidden="1">{"'Sheet1'!$A$1"}</definedName>
    <definedName name="gdt" localSheetId="32" hidden="1">{"'Sheet1'!$A$1"}</definedName>
    <definedName name="gdt" localSheetId="27" hidden="1">{"'Sheet1'!$A$1"}</definedName>
    <definedName name="gdt" localSheetId="28" hidden="1">{"'Sheet1'!$A$1"}</definedName>
    <definedName name="gdt" localSheetId="29" hidden="1">{"'Sheet1'!$A$1"}</definedName>
    <definedName name="gdt" localSheetId="31" hidden="1">{"'Sheet1'!$A$1"}</definedName>
    <definedName name="gdt" localSheetId="30" hidden="1">{"'Sheet1'!$A$1"}</definedName>
    <definedName name="gdt" localSheetId="17" hidden="1">{"'Sheet1'!$A$1"}</definedName>
    <definedName name="gdt" localSheetId="18" hidden="1">{"'Sheet1'!$A$1"}</definedName>
    <definedName name="gdt" hidden="1">{"'Sheet1'!$A$1"}</definedName>
    <definedName name="GDTAS" localSheetId="20" hidden="1">{"'Sheet1'!$A$1"}</definedName>
    <definedName name="GDTAS" localSheetId="19" hidden="1">{"'Sheet1'!$A$1"}</definedName>
    <definedName name="GDTAS" localSheetId="26" hidden="1">{"'Sheet1'!$A$1"}</definedName>
    <definedName name="GDTAS" localSheetId="24" hidden="1">{"'Sheet1'!$A$1"}</definedName>
    <definedName name="GDTAS" localSheetId="32" hidden="1">{"'Sheet1'!$A$1"}</definedName>
    <definedName name="GDTAS" localSheetId="27" hidden="1">{"'Sheet1'!$A$1"}</definedName>
    <definedName name="GDTAS" localSheetId="28" hidden="1">{"'Sheet1'!$A$1"}</definedName>
    <definedName name="GDTAS" localSheetId="29" hidden="1">{"'Sheet1'!$A$1"}</definedName>
    <definedName name="GDTAS" localSheetId="31" hidden="1">{"'Sheet1'!$A$1"}</definedName>
    <definedName name="GDTAS" localSheetId="30" hidden="1">{"'Sheet1'!$A$1"}</definedName>
    <definedName name="GDTAS" localSheetId="17" hidden="1">{"'Sheet1'!$A$1"}</definedName>
    <definedName name="GDTAS" localSheetId="18" hidden="1">{"'Sheet1'!$A$1"}</definedName>
    <definedName name="GDTAS" hidden="1">{"'Sheet1'!$A$1"}</definedName>
    <definedName name="GDTE" localSheetId="20" hidden="1">{"'Sheet1'!$A$1"}</definedName>
    <definedName name="GDTE" localSheetId="19" hidden="1">{"'Sheet1'!$A$1"}</definedName>
    <definedName name="GDTE" localSheetId="26" hidden="1">{"'Sheet1'!$A$1"}</definedName>
    <definedName name="GDTE" localSheetId="24" hidden="1">{"'Sheet1'!$A$1"}</definedName>
    <definedName name="GDTE" localSheetId="32" hidden="1">{"'Sheet1'!$A$1"}</definedName>
    <definedName name="GDTE" localSheetId="27" hidden="1">{"'Sheet1'!$A$1"}</definedName>
    <definedName name="GDTE" localSheetId="28" hidden="1">{"'Sheet1'!$A$1"}</definedName>
    <definedName name="GDTE" localSheetId="29" hidden="1">{"'Sheet1'!$A$1"}</definedName>
    <definedName name="GDTE" localSheetId="31" hidden="1">{"'Sheet1'!$A$1"}</definedName>
    <definedName name="GDTE" localSheetId="30" hidden="1">{"'Sheet1'!$A$1"}</definedName>
    <definedName name="GDTE" localSheetId="17" hidden="1">{"'Sheet1'!$A$1"}</definedName>
    <definedName name="GDTE" localSheetId="18" hidden="1">{"'Sheet1'!$A$1"}</definedName>
    <definedName name="GDTE" hidden="1">{"'Sheet1'!$A$1"}</definedName>
    <definedName name="GDTEY" localSheetId="20" hidden="1">{"'Sheet1'!$A$1"}</definedName>
    <definedName name="GDTEY" localSheetId="19" hidden="1">{"'Sheet1'!$A$1"}</definedName>
    <definedName name="GDTEY" localSheetId="26" hidden="1">{"'Sheet1'!$A$1"}</definedName>
    <definedName name="GDTEY" localSheetId="24" hidden="1">{"'Sheet1'!$A$1"}</definedName>
    <definedName name="GDTEY" localSheetId="32" hidden="1">{"'Sheet1'!$A$1"}</definedName>
    <definedName name="GDTEY" localSheetId="27" hidden="1">{"'Sheet1'!$A$1"}</definedName>
    <definedName name="GDTEY" localSheetId="28" hidden="1">{"'Sheet1'!$A$1"}</definedName>
    <definedName name="GDTEY" localSheetId="29" hidden="1">{"'Sheet1'!$A$1"}</definedName>
    <definedName name="GDTEY" localSheetId="31" hidden="1">{"'Sheet1'!$A$1"}</definedName>
    <definedName name="GDTEY" localSheetId="30" hidden="1">{"'Sheet1'!$A$1"}</definedName>
    <definedName name="GDTEY" localSheetId="17" hidden="1">{"'Sheet1'!$A$1"}</definedName>
    <definedName name="GDTEY" localSheetId="18" hidden="1">{"'Sheet1'!$A$1"}</definedName>
    <definedName name="GDTEY" hidden="1">{"'Sheet1'!$A$1"}</definedName>
    <definedName name="gdtf" localSheetId="20" hidden="1">{"'Sheet1'!$A$1"}</definedName>
    <definedName name="gdtf" localSheetId="19" hidden="1">{"'Sheet1'!$A$1"}</definedName>
    <definedName name="gdtf" localSheetId="26" hidden="1">{"'Sheet1'!$A$1"}</definedName>
    <definedName name="gdtf" localSheetId="24" hidden="1">{"'Sheet1'!$A$1"}</definedName>
    <definedName name="gdtf" localSheetId="32" hidden="1">{"'Sheet1'!$A$1"}</definedName>
    <definedName name="gdtf" localSheetId="27" hidden="1">{"'Sheet1'!$A$1"}</definedName>
    <definedName name="gdtf" localSheetId="28" hidden="1">{"'Sheet1'!$A$1"}</definedName>
    <definedName name="gdtf" localSheetId="29" hidden="1">{"'Sheet1'!$A$1"}</definedName>
    <definedName name="gdtf" localSheetId="31" hidden="1">{"'Sheet1'!$A$1"}</definedName>
    <definedName name="gdtf" localSheetId="30" hidden="1">{"'Sheet1'!$A$1"}</definedName>
    <definedName name="gdtf" localSheetId="17" hidden="1">{"'Sheet1'!$A$1"}</definedName>
    <definedName name="gdtf" localSheetId="18" hidden="1">{"'Sheet1'!$A$1"}</definedName>
    <definedName name="gdtf" hidden="1">{"'Sheet1'!$A$1"}</definedName>
    <definedName name="GDTR" localSheetId="20" hidden="1">{"'Sheet1'!$A$1"}</definedName>
    <definedName name="GDTR" localSheetId="19" hidden="1">{"'Sheet1'!$A$1"}</definedName>
    <definedName name="GDTR" localSheetId="26" hidden="1">{"'Sheet1'!$A$1"}</definedName>
    <definedName name="GDTR" localSheetId="24" hidden="1">{"'Sheet1'!$A$1"}</definedName>
    <definedName name="GDTR" localSheetId="32" hidden="1">{"'Sheet1'!$A$1"}</definedName>
    <definedName name="GDTR" localSheetId="27" hidden="1">{"'Sheet1'!$A$1"}</definedName>
    <definedName name="GDTR" localSheetId="28" hidden="1">{"'Sheet1'!$A$1"}</definedName>
    <definedName name="GDTR" localSheetId="29" hidden="1">{"'Sheet1'!$A$1"}</definedName>
    <definedName name="GDTR" localSheetId="31" hidden="1">{"'Sheet1'!$A$1"}</definedName>
    <definedName name="GDTR" localSheetId="30" hidden="1">{"'Sheet1'!$A$1"}</definedName>
    <definedName name="GDTR" localSheetId="17" hidden="1">{"'Sheet1'!$A$1"}</definedName>
    <definedName name="GDTR" localSheetId="18" hidden="1">{"'Sheet1'!$A$1"}</definedName>
    <definedName name="GDTR" hidden="1">{"'Sheet1'!$A$1"}</definedName>
    <definedName name="GDTS" localSheetId="20" hidden="1">{"'Sheet1'!$A$1"}</definedName>
    <definedName name="GDTS" localSheetId="19" hidden="1">{"'Sheet1'!$A$1"}</definedName>
    <definedName name="GDTS" localSheetId="26" hidden="1">{"'Sheet1'!$A$1"}</definedName>
    <definedName name="GDTS" localSheetId="24" hidden="1">{"'Sheet1'!$A$1"}</definedName>
    <definedName name="GDTS" localSheetId="32" hidden="1">{"'Sheet1'!$A$1"}</definedName>
    <definedName name="GDTS" localSheetId="27" hidden="1">{"'Sheet1'!$A$1"}</definedName>
    <definedName name="GDTS" localSheetId="28" hidden="1">{"'Sheet1'!$A$1"}</definedName>
    <definedName name="GDTS" localSheetId="29" hidden="1">{"'Sheet1'!$A$1"}</definedName>
    <definedName name="GDTS" localSheetId="31" hidden="1">{"'Sheet1'!$A$1"}</definedName>
    <definedName name="GDTS" localSheetId="30" hidden="1">{"'Sheet1'!$A$1"}</definedName>
    <definedName name="GDTS" localSheetId="17" hidden="1">{"'Sheet1'!$A$1"}</definedName>
    <definedName name="GDTS" localSheetId="18" hidden="1">{"'Sheet1'!$A$1"}</definedName>
    <definedName name="GDTS" hidden="1">{"'Sheet1'!$A$1"}</definedName>
    <definedName name="GDTSF" localSheetId="20" hidden="1">{"'Sheet1'!$A$1"}</definedName>
    <definedName name="GDTSF" localSheetId="19" hidden="1">{"'Sheet1'!$A$1"}</definedName>
    <definedName name="GDTSF" localSheetId="26" hidden="1">{"'Sheet1'!$A$1"}</definedName>
    <definedName name="GDTSF" localSheetId="24" hidden="1">{"'Sheet1'!$A$1"}</definedName>
    <definedName name="GDTSF" localSheetId="32" hidden="1">{"'Sheet1'!$A$1"}</definedName>
    <definedName name="GDTSF" localSheetId="27" hidden="1">{"'Sheet1'!$A$1"}</definedName>
    <definedName name="GDTSF" localSheetId="28" hidden="1">{"'Sheet1'!$A$1"}</definedName>
    <definedName name="GDTSF" localSheetId="29" hidden="1">{"'Sheet1'!$A$1"}</definedName>
    <definedName name="GDTSF" localSheetId="31" hidden="1">{"'Sheet1'!$A$1"}</definedName>
    <definedName name="GDTSF" localSheetId="30" hidden="1">{"'Sheet1'!$A$1"}</definedName>
    <definedName name="GDTSF" localSheetId="17" hidden="1">{"'Sheet1'!$A$1"}</definedName>
    <definedName name="GDTSF" localSheetId="18" hidden="1">{"'Sheet1'!$A$1"}</definedName>
    <definedName name="GDTSF" hidden="1">{"'Sheet1'!$A$1"}</definedName>
    <definedName name="gdtsg" localSheetId="20" hidden="1">{"'Sheet1'!$A$1"}</definedName>
    <definedName name="gdtsg" localSheetId="19" hidden="1">{"'Sheet1'!$A$1"}</definedName>
    <definedName name="gdtsg" localSheetId="26" hidden="1">{"'Sheet1'!$A$1"}</definedName>
    <definedName name="gdtsg" localSheetId="24" hidden="1">{"'Sheet1'!$A$1"}</definedName>
    <definedName name="gdtsg" localSheetId="32" hidden="1">{"'Sheet1'!$A$1"}</definedName>
    <definedName name="gdtsg" localSheetId="27" hidden="1">{"'Sheet1'!$A$1"}</definedName>
    <definedName name="gdtsg" localSheetId="28" hidden="1">{"'Sheet1'!$A$1"}</definedName>
    <definedName name="gdtsg" localSheetId="29" hidden="1">{"'Sheet1'!$A$1"}</definedName>
    <definedName name="gdtsg" localSheetId="31" hidden="1">{"'Sheet1'!$A$1"}</definedName>
    <definedName name="gdtsg" localSheetId="30" hidden="1">{"'Sheet1'!$A$1"}</definedName>
    <definedName name="gdtsg" localSheetId="17" hidden="1">{"'Sheet1'!$A$1"}</definedName>
    <definedName name="gdtsg" localSheetId="18" hidden="1">{"'Sheet1'!$A$1"}</definedName>
    <definedName name="gdtsg" hidden="1">{"'Sheet1'!$A$1"}</definedName>
    <definedName name="GDTWH" localSheetId="20" hidden="1">{"'Sheet1'!$A$1"}</definedName>
    <definedName name="GDTWH" localSheetId="19" hidden="1">{"'Sheet1'!$A$1"}</definedName>
    <definedName name="GDTWH" localSheetId="26" hidden="1">{"'Sheet1'!$A$1"}</definedName>
    <definedName name="GDTWH" localSheetId="24" hidden="1">{"'Sheet1'!$A$1"}</definedName>
    <definedName name="GDTWH" localSheetId="32" hidden="1">{"'Sheet1'!$A$1"}</definedName>
    <definedName name="GDTWH" localSheetId="27" hidden="1">{"'Sheet1'!$A$1"}</definedName>
    <definedName name="GDTWH" localSheetId="28" hidden="1">{"'Sheet1'!$A$1"}</definedName>
    <definedName name="GDTWH" localSheetId="29" hidden="1">{"'Sheet1'!$A$1"}</definedName>
    <definedName name="GDTWH" localSheetId="31" hidden="1">{"'Sheet1'!$A$1"}</definedName>
    <definedName name="GDTWH" localSheetId="30" hidden="1">{"'Sheet1'!$A$1"}</definedName>
    <definedName name="GDTWH" localSheetId="17" hidden="1">{"'Sheet1'!$A$1"}</definedName>
    <definedName name="GDTWH" localSheetId="18" hidden="1">{"'Sheet1'!$A$1"}</definedName>
    <definedName name="GDTWH" hidden="1">{"'Sheet1'!$A$1"}</definedName>
    <definedName name="GDTWY" localSheetId="20" hidden="1">{"'Sheet1'!$A$1"}</definedName>
    <definedName name="GDTWY" localSheetId="19" hidden="1">{"'Sheet1'!$A$1"}</definedName>
    <definedName name="GDTWY" localSheetId="26" hidden="1">{"'Sheet1'!$A$1"}</definedName>
    <definedName name="GDTWY" localSheetId="24" hidden="1">{"'Sheet1'!$A$1"}</definedName>
    <definedName name="GDTWY" localSheetId="32" hidden="1">{"'Sheet1'!$A$1"}</definedName>
    <definedName name="GDTWY" localSheetId="27" hidden="1">{"'Sheet1'!$A$1"}</definedName>
    <definedName name="GDTWY" localSheetId="28" hidden="1">{"'Sheet1'!$A$1"}</definedName>
    <definedName name="GDTWY" localSheetId="29" hidden="1">{"'Sheet1'!$A$1"}</definedName>
    <definedName name="GDTWY" localSheetId="31" hidden="1">{"'Sheet1'!$A$1"}</definedName>
    <definedName name="GDTWY" localSheetId="30" hidden="1">{"'Sheet1'!$A$1"}</definedName>
    <definedName name="GDTWY" localSheetId="17" hidden="1">{"'Sheet1'!$A$1"}</definedName>
    <definedName name="GDTWY" localSheetId="18" hidden="1">{"'Sheet1'!$A$1"}</definedName>
    <definedName name="GDTWY" hidden="1">{"'Sheet1'!$A$1"}</definedName>
    <definedName name="gdysc" localSheetId="20" hidden="1">{"'Sheet1'!$A$1"}</definedName>
    <definedName name="gdysc" localSheetId="19" hidden="1">{"'Sheet1'!$A$1"}</definedName>
    <definedName name="gdysc" localSheetId="26" hidden="1">{"'Sheet1'!$A$1"}</definedName>
    <definedName name="gdysc" localSheetId="24" hidden="1">{"'Sheet1'!$A$1"}</definedName>
    <definedName name="gdysc" localSheetId="32" hidden="1">{"'Sheet1'!$A$1"}</definedName>
    <definedName name="gdysc" localSheetId="27" hidden="1">{"'Sheet1'!$A$1"}</definedName>
    <definedName name="gdysc" localSheetId="28" hidden="1">{"'Sheet1'!$A$1"}</definedName>
    <definedName name="gdysc" localSheetId="29" hidden="1">{"'Sheet1'!$A$1"}</definedName>
    <definedName name="gdysc" localSheetId="31" hidden="1">{"'Sheet1'!$A$1"}</definedName>
    <definedName name="gdysc" localSheetId="30" hidden="1">{"'Sheet1'!$A$1"}</definedName>
    <definedName name="gdysc" localSheetId="17" hidden="1">{"'Sheet1'!$A$1"}</definedName>
    <definedName name="gdysc" localSheetId="18" hidden="1">{"'Sheet1'!$A$1"}</definedName>
    <definedName name="gdysc" hidden="1">{"'Sheet1'!$A$1"}</definedName>
    <definedName name="gdyst" localSheetId="20" hidden="1">{"'Sheet1'!$A$1"}</definedName>
    <definedName name="gdyst" localSheetId="19" hidden="1">{"'Sheet1'!$A$1"}</definedName>
    <definedName name="gdyst" localSheetId="26" hidden="1">{"'Sheet1'!$A$1"}</definedName>
    <definedName name="gdyst" localSheetId="24" hidden="1">{"'Sheet1'!$A$1"}</definedName>
    <definedName name="gdyst" localSheetId="32" hidden="1">{"'Sheet1'!$A$1"}</definedName>
    <definedName name="gdyst" localSheetId="27" hidden="1">{"'Sheet1'!$A$1"}</definedName>
    <definedName name="gdyst" localSheetId="28" hidden="1">{"'Sheet1'!$A$1"}</definedName>
    <definedName name="gdyst" localSheetId="29" hidden="1">{"'Sheet1'!$A$1"}</definedName>
    <definedName name="gdyst" localSheetId="31" hidden="1">{"'Sheet1'!$A$1"}</definedName>
    <definedName name="gdyst" localSheetId="30" hidden="1">{"'Sheet1'!$A$1"}</definedName>
    <definedName name="gdyst" localSheetId="17" hidden="1">{"'Sheet1'!$A$1"}</definedName>
    <definedName name="gdyst" localSheetId="18" hidden="1">{"'Sheet1'!$A$1"}</definedName>
    <definedName name="gdyst" hidden="1">{"'Sheet1'!$A$1"}</definedName>
    <definedName name="GDYTS" localSheetId="20" hidden="1">{"'Sheet1'!$A$1"}</definedName>
    <definedName name="GDYTS" localSheetId="19" hidden="1">{"'Sheet1'!$A$1"}</definedName>
    <definedName name="GDYTS" localSheetId="26" hidden="1">{"'Sheet1'!$A$1"}</definedName>
    <definedName name="GDYTS" localSheetId="24" hidden="1">{"'Sheet1'!$A$1"}</definedName>
    <definedName name="GDYTS" localSheetId="32" hidden="1">{"'Sheet1'!$A$1"}</definedName>
    <definedName name="GDYTS" localSheetId="27" hidden="1">{"'Sheet1'!$A$1"}</definedName>
    <definedName name="GDYTS" localSheetId="28" hidden="1">{"'Sheet1'!$A$1"}</definedName>
    <definedName name="GDYTS" localSheetId="29" hidden="1">{"'Sheet1'!$A$1"}</definedName>
    <definedName name="GDYTS" localSheetId="31" hidden="1">{"'Sheet1'!$A$1"}</definedName>
    <definedName name="GDYTS" localSheetId="30" hidden="1">{"'Sheet1'!$A$1"}</definedName>
    <definedName name="GDYTS" localSheetId="17" hidden="1">{"'Sheet1'!$A$1"}</definedName>
    <definedName name="GDYTS" localSheetId="18" hidden="1">{"'Sheet1'!$A$1"}</definedName>
    <definedName name="GDYTS" hidden="1">{"'Sheet1'!$A$1"}</definedName>
    <definedName name="gedung" localSheetId="42" hidden="1">#REF!</definedName>
    <definedName name="gedung" hidden="1">#REF!</definedName>
    <definedName name="gethh" localSheetId="20" hidden="1">{"'Sheet1'!$A$1"}</definedName>
    <definedName name="gethh" localSheetId="19" hidden="1">{"'Sheet1'!$A$1"}</definedName>
    <definedName name="gethh" localSheetId="26" hidden="1">{"'Sheet1'!$A$1"}</definedName>
    <definedName name="gethh" localSheetId="24" hidden="1">{"'Sheet1'!$A$1"}</definedName>
    <definedName name="gethh" localSheetId="32" hidden="1">{"'Sheet1'!$A$1"}</definedName>
    <definedName name="gethh" localSheetId="27" hidden="1">{"'Sheet1'!$A$1"}</definedName>
    <definedName name="gethh" localSheetId="28" hidden="1">{"'Sheet1'!$A$1"}</definedName>
    <definedName name="gethh" localSheetId="29" hidden="1">{"'Sheet1'!$A$1"}</definedName>
    <definedName name="gethh" localSheetId="31" hidden="1">{"'Sheet1'!$A$1"}</definedName>
    <definedName name="gethh" localSheetId="30" hidden="1">{"'Sheet1'!$A$1"}</definedName>
    <definedName name="gethh" localSheetId="17" hidden="1">{"'Sheet1'!$A$1"}</definedName>
    <definedName name="gethh" localSheetId="18" hidden="1">{"'Sheet1'!$A$1"}</definedName>
    <definedName name="gethh" hidden="1">{"'Sheet1'!$A$1"}</definedName>
    <definedName name="GETSR" localSheetId="20" hidden="1">{"'Sheet1'!$A$1"}</definedName>
    <definedName name="GETSR" localSheetId="19" hidden="1">{"'Sheet1'!$A$1"}</definedName>
    <definedName name="GETSR" localSheetId="26" hidden="1">{"'Sheet1'!$A$1"}</definedName>
    <definedName name="GETSR" localSheetId="24" hidden="1">{"'Sheet1'!$A$1"}</definedName>
    <definedName name="GETSR" localSheetId="32" hidden="1">{"'Sheet1'!$A$1"}</definedName>
    <definedName name="GETSR" localSheetId="27" hidden="1">{"'Sheet1'!$A$1"}</definedName>
    <definedName name="GETSR" localSheetId="28" hidden="1">{"'Sheet1'!$A$1"}</definedName>
    <definedName name="GETSR" localSheetId="29" hidden="1">{"'Sheet1'!$A$1"}</definedName>
    <definedName name="GETSR" localSheetId="31" hidden="1">{"'Sheet1'!$A$1"}</definedName>
    <definedName name="GETSR" localSheetId="30" hidden="1">{"'Sheet1'!$A$1"}</definedName>
    <definedName name="GETSR" localSheetId="17" hidden="1">{"'Sheet1'!$A$1"}</definedName>
    <definedName name="GETSR" localSheetId="18" hidden="1">{"'Sheet1'!$A$1"}</definedName>
    <definedName name="GETSR" hidden="1">{"'Sheet1'!$A$1"}</definedName>
    <definedName name="GETW" localSheetId="20" hidden="1">{"'Sheet1'!$A$1"}</definedName>
    <definedName name="GETW" localSheetId="19" hidden="1">{"'Sheet1'!$A$1"}</definedName>
    <definedName name="GETW" localSheetId="26" hidden="1">{"'Sheet1'!$A$1"}</definedName>
    <definedName name="GETW" localSheetId="24" hidden="1">{"'Sheet1'!$A$1"}</definedName>
    <definedName name="GETW" localSheetId="32" hidden="1">{"'Sheet1'!$A$1"}</definedName>
    <definedName name="GETW" localSheetId="27" hidden="1">{"'Sheet1'!$A$1"}</definedName>
    <definedName name="GETW" localSheetId="28" hidden="1">{"'Sheet1'!$A$1"}</definedName>
    <definedName name="GETW" localSheetId="29" hidden="1">{"'Sheet1'!$A$1"}</definedName>
    <definedName name="GETW" localSheetId="31" hidden="1">{"'Sheet1'!$A$1"}</definedName>
    <definedName name="GETW" localSheetId="30" hidden="1">{"'Sheet1'!$A$1"}</definedName>
    <definedName name="GETW" localSheetId="17" hidden="1">{"'Sheet1'!$A$1"}</definedName>
    <definedName name="GETW" localSheetId="18" hidden="1">{"'Sheet1'!$A$1"}</definedName>
    <definedName name="GETW" hidden="1">{"'Sheet1'!$A$1"}</definedName>
    <definedName name="gf" localSheetId="42" hidden="1">#REF!</definedName>
    <definedName name="gfbhyr" localSheetId="20" hidden="1">{"'Sheet1'!$A$1"}</definedName>
    <definedName name="gfbhyr" localSheetId="19" hidden="1">{"'Sheet1'!$A$1"}</definedName>
    <definedName name="gfbhyr" localSheetId="26" hidden="1">{"'Sheet1'!$A$1"}</definedName>
    <definedName name="gfbhyr" localSheetId="24" hidden="1">{"'Sheet1'!$A$1"}</definedName>
    <definedName name="gfbhyr" localSheetId="32" hidden="1">{"'Sheet1'!$A$1"}</definedName>
    <definedName name="gfbhyr" localSheetId="27" hidden="1">{"'Sheet1'!$A$1"}</definedName>
    <definedName name="gfbhyr" localSheetId="28" hidden="1">{"'Sheet1'!$A$1"}</definedName>
    <definedName name="gfbhyr" localSheetId="29" hidden="1">{"'Sheet1'!$A$1"}</definedName>
    <definedName name="gfbhyr" localSheetId="31" hidden="1">{"'Sheet1'!$A$1"}</definedName>
    <definedName name="gfbhyr" localSheetId="30" hidden="1">{"'Sheet1'!$A$1"}</definedName>
    <definedName name="gfbhyr" localSheetId="17" hidden="1">{"'Sheet1'!$A$1"}</definedName>
    <definedName name="gfbhyr" localSheetId="18" hidden="1">{"'Sheet1'!$A$1"}</definedName>
    <definedName name="gfbhyr" hidden="1">{"'Sheet1'!$A$1"}</definedName>
    <definedName name="gfdfds" hidden="1">#REF!</definedName>
    <definedName name="GFDGDF" localSheetId="2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GDF" localSheetId="1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GDF" localSheetId="2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GDF" localSheetId="2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GDF" localSheetId="3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GDF" localSheetId="2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GDF" localSheetId="2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GDF" localSheetId="2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GDF" localSheetId="3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GDF" localSheetId="3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GDF" localSheetId="1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GDF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G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S" localSheetId="20" hidden="1">{#N/A,#N/A,FALSE,"CCTV"}</definedName>
    <definedName name="GFDS" localSheetId="19" hidden="1">{#N/A,#N/A,FALSE,"CCTV"}</definedName>
    <definedName name="GFDS" localSheetId="26" hidden="1">{#N/A,#N/A,FALSE,"CCTV"}</definedName>
    <definedName name="GFDS" localSheetId="24" hidden="1">{#N/A,#N/A,FALSE,"CCTV"}</definedName>
    <definedName name="GFDS" localSheetId="32" hidden="1">{#N/A,#N/A,FALSE,"CCTV"}</definedName>
    <definedName name="GFDS" localSheetId="27" hidden="1">{#N/A,#N/A,FALSE,"CCTV"}</definedName>
    <definedName name="GFDS" localSheetId="28" hidden="1">{#N/A,#N/A,FALSE,"CCTV"}</definedName>
    <definedName name="GFDS" localSheetId="29" hidden="1">{#N/A,#N/A,FALSE,"CCTV"}</definedName>
    <definedName name="GFDS" localSheetId="31" hidden="1">{#N/A,#N/A,FALSE,"CCTV"}</definedName>
    <definedName name="GFDS" localSheetId="30" hidden="1">{#N/A,#N/A,FALSE,"CCTV"}</definedName>
    <definedName name="GFDS" localSheetId="17" hidden="1">{#N/A,#N/A,FALSE,"CCTV"}</definedName>
    <definedName name="GFDS" localSheetId="18" hidden="1">{#N/A,#N/A,FALSE,"CCTV"}</definedName>
    <definedName name="GFDS" hidden="1">{#N/A,#N/A,FALSE,"CCTV"}</definedName>
    <definedName name="GFF" localSheetId="32" hidden="1">#REF!</definedName>
    <definedName name="GFF" localSheetId="27" hidden="1">#REF!</definedName>
    <definedName name="GFF" localSheetId="18" hidden="1">#REF!</definedName>
    <definedName name="GFF" hidden="1">#REF!</definedName>
    <definedName name="GFG" localSheetId="2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" localSheetId="1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" localSheetId="2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" localSheetId="2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" localSheetId="3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" localSheetId="2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" localSheetId="2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" localSheetId="2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" localSheetId="3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" localSheetId="3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" localSheetId="1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H" localSheetId="32" hidden="1">#REF!</definedName>
    <definedName name="GFH" localSheetId="27" hidden="1">#REF!</definedName>
    <definedName name="GFH" localSheetId="18" hidden="1">#REF!</definedName>
    <definedName name="GFH" hidden="1">#REF!</definedName>
    <definedName name="GFHDG" localSheetId="20" hidden="1">{"'Sheet1'!$A$1"}</definedName>
    <definedName name="GFHDG" localSheetId="19" hidden="1">{"'Sheet1'!$A$1"}</definedName>
    <definedName name="GFHDG" localSheetId="26" hidden="1">{"'Sheet1'!$A$1"}</definedName>
    <definedName name="GFHDG" localSheetId="24" hidden="1">{"'Sheet1'!$A$1"}</definedName>
    <definedName name="GFHDG" localSheetId="32" hidden="1">{"'Sheet1'!$A$1"}</definedName>
    <definedName name="GFHDG" localSheetId="27" hidden="1">{"'Sheet1'!$A$1"}</definedName>
    <definedName name="GFHDG" localSheetId="28" hidden="1">{"'Sheet1'!$A$1"}</definedName>
    <definedName name="GFHDG" localSheetId="29" hidden="1">{"'Sheet1'!$A$1"}</definedName>
    <definedName name="GFHDG" localSheetId="31" hidden="1">{"'Sheet1'!$A$1"}</definedName>
    <definedName name="GFHDG" localSheetId="30" hidden="1">{"'Sheet1'!$A$1"}</definedName>
    <definedName name="GFHDG" localSheetId="17" hidden="1">{"'Sheet1'!$A$1"}</definedName>
    <definedName name="GFHDG" localSheetId="18" hidden="1">{"'Sheet1'!$A$1"}</definedName>
    <definedName name="GFHDG" hidden="1">{"'Sheet1'!$A$1"}</definedName>
    <definedName name="GFHDJ" localSheetId="20" hidden="1">{"'Sheet1'!$A$1"}</definedName>
    <definedName name="GFHDJ" localSheetId="19" hidden="1">{"'Sheet1'!$A$1"}</definedName>
    <definedName name="GFHDJ" localSheetId="26" hidden="1">{"'Sheet1'!$A$1"}</definedName>
    <definedName name="GFHDJ" localSheetId="24" hidden="1">{"'Sheet1'!$A$1"}</definedName>
    <definedName name="GFHDJ" localSheetId="32" hidden="1">{"'Sheet1'!$A$1"}</definedName>
    <definedName name="GFHDJ" localSheetId="27" hidden="1">{"'Sheet1'!$A$1"}</definedName>
    <definedName name="GFHDJ" localSheetId="28" hidden="1">{"'Sheet1'!$A$1"}</definedName>
    <definedName name="GFHDJ" localSheetId="29" hidden="1">{"'Sheet1'!$A$1"}</definedName>
    <definedName name="GFHDJ" localSheetId="31" hidden="1">{"'Sheet1'!$A$1"}</definedName>
    <definedName name="GFHDJ" localSheetId="30" hidden="1">{"'Sheet1'!$A$1"}</definedName>
    <definedName name="GFHDJ" localSheetId="17" hidden="1">{"'Sheet1'!$A$1"}</definedName>
    <definedName name="GFHDJ" localSheetId="18" hidden="1">{"'Sheet1'!$A$1"}</definedName>
    <definedName name="GFHDJ" hidden="1">{"'Sheet1'!$A$1"}</definedName>
    <definedName name="gfhh" localSheetId="20" hidden="1">{"'Sheet1'!$A$1"}</definedName>
    <definedName name="gfhh" localSheetId="19" hidden="1">{"'Sheet1'!$A$1"}</definedName>
    <definedName name="gfhh" localSheetId="26" hidden="1">{"'Sheet1'!$A$1"}</definedName>
    <definedName name="gfhh" localSheetId="24" hidden="1">{"'Sheet1'!$A$1"}</definedName>
    <definedName name="gfhh" localSheetId="32" hidden="1">{"'Sheet1'!$A$1"}</definedName>
    <definedName name="gfhh" localSheetId="27" hidden="1">{"'Sheet1'!$A$1"}</definedName>
    <definedName name="gfhh" localSheetId="28" hidden="1">{"'Sheet1'!$A$1"}</definedName>
    <definedName name="gfhh" localSheetId="29" hidden="1">{"'Sheet1'!$A$1"}</definedName>
    <definedName name="gfhh" localSheetId="31" hidden="1">{"'Sheet1'!$A$1"}</definedName>
    <definedName name="gfhh" localSheetId="30" hidden="1">{"'Sheet1'!$A$1"}</definedName>
    <definedName name="gfhh" localSheetId="17" hidden="1">{"'Sheet1'!$A$1"}</definedName>
    <definedName name="gfhh" localSheetId="18" hidden="1">{"'Sheet1'!$A$1"}</definedName>
    <definedName name="gfhh" hidden="1">{"'Sheet1'!$A$1"}</definedName>
    <definedName name="gfj" localSheetId="20" hidden="1">{"'Sheet1'!$A$1"}</definedName>
    <definedName name="gfj" localSheetId="19" hidden="1">{"'Sheet1'!$A$1"}</definedName>
    <definedName name="gfj" localSheetId="26" hidden="1">{"'Sheet1'!$A$1"}</definedName>
    <definedName name="gfj" localSheetId="24" hidden="1">{"'Sheet1'!$A$1"}</definedName>
    <definedName name="gfj" localSheetId="32" hidden="1">{"'Sheet1'!$A$1"}</definedName>
    <definedName name="gfj" localSheetId="27" hidden="1">{"'Sheet1'!$A$1"}</definedName>
    <definedName name="gfj" localSheetId="28" hidden="1">{"'Sheet1'!$A$1"}</definedName>
    <definedName name="gfj" localSheetId="29" hidden="1">{"'Sheet1'!$A$1"}</definedName>
    <definedName name="gfj" localSheetId="31" hidden="1">{"'Sheet1'!$A$1"}</definedName>
    <definedName name="gfj" localSheetId="30" hidden="1">{"'Sheet1'!$A$1"}</definedName>
    <definedName name="gfj" localSheetId="17" hidden="1">{"'Sheet1'!$A$1"}</definedName>
    <definedName name="gfj" localSheetId="18" hidden="1">{"'Sheet1'!$A$1"}</definedName>
    <definedName name="gfj" hidden="1">{"'Sheet1'!$A$1"}</definedName>
    <definedName name="gfjgfh" localSheetId="20" hidden="1">{#N/A,#N/A,FALSE,"CCTV"}</definedName>
    <definedName name="gfjgfh" localSheetId="19" hidden="1">{#N/A,#N/A,FALSE,"CCTV"}</definedName>
    <definedName name="gfjgfh" localSheetId="26" hidden="1">{#N/A,#N/A,FALSE,"CCTV"}</definedName>
    <definedName name="gfjgfh" localSheetId="24" hidden="1">{#N/A,#N/A,FALSE,"CCTV"}</definedName>
    <definedName name="gfjgfh" localSheetId="32" hidden="1">{#N/A,#N/A,FALSE,"CCTV"}</definedName>
    <definedName name="gfjgfh" localSheetId="27" hidden="1">{#N/A,#N/A,FALSE,"CCTV"}</definedName>
    <definedName name="gfjgfh" localSheetId="28" hidden="1">{#N/A,#N/A,FALSE,"CCTV"}</definedName>
    <definedName name="gfjgfh" localSheetId="29" hidden="1">{#N/A,#N/A,FALSE,"CCTV"}</definedName>
    <definedName name="gfjgfh" localSheetId="31" hidden="1">{#N/A,#N/A,FALSE,"CCTV"}</definedName>
    <definedName name="gfjgfh" localSheetId="30" hidden="1">{#N/A,#N/A,FALSE,"CCTV"}</definedName>
    <definedName name="gfjgfh" localSheetId="17" hidden="1">{#N/A,#N/A,FALSE,"CCTV"}</definedName>
    <definedName name="gfjgfh" localSheetId="18" hidden="1">{#N/A,#N/A,FALSE,"CCTV"}</definedName>
    <definedName name="gfjgfh" hidden="1">{#N/A,#N/A,FALSE,"CCTV"}</definedName>
    <definedName name="gfjgfhfg" localSheetId="20" hidden="1">{#N/A,#N/A,FALSE,"CCTV"}</definedName>
    <definedName name="gfjgfhfg" localSheetId="19" hidden="1">{#N/A,#N/A,FALSE,"CCTV"}</definedName>
    <definedName name="gfjgfhfg" localSheetId="26" hidden="1">{#N/A,#N/A,FALSE,"CCTV"}</definedName>
    <definedName name="gfjgfhfg" localSheetId="24" hidden="1">{#N/A,#N/A,FALSE,"CCTV"}</definedName>
    <definedName name="gfjgfhfg" localSheetId="32" hidden="1">{#N/A,#N/A,FALSE,"CCTV"}</definedName>
    <definedName name="gfjgfhfg" localSheetId="27" hidden="1">{#N/A,#N/A,FALSE,"CCTV"}</definedName>
    <definedName name="gfjgfhfg" localSheetId="28" hidden="1">{#N/A,#N/A,FALSE,"CCTV"}</definedName>
    <definedName name="gfjgfhfg" localSheetId="29" hidden="1">{#N/A,#N/A,FALSE,"CCTV"}</definedName>
    <definedName name="gfjgfhfg" localSheetId="31" hidden="1">{#N/A,#N/A,FALSE,"CCTV"}</definedName>
    <definedName name="gfjgfhfg" localSheetId="30" hidden="1">{#N/A,#N/A,FALSE,"CCTV"}</definedName>
    <definedName name="gfjgfhfg" localSheetId="17" hidden="1">{#N/A,#N/A,FALSE,"CCTV"}</definedName>
    <definedName name="gfjgfhfg" localSheetId="18" hidden="1">{#N/A,#N/A,FALSE,"CCTV"}</definedName>
    <definedName name="gfjgfhfg" hidden="1">{#N/A,#N/A,FALSE,"CCTV"}</definedName>
    <definedName name="gfjr" localSheetId="20" hidden="1">{"'Sheet1'!$A$1"}</definedName>
    <definedName name="gfjr" localSheetId="19" hidden="1">{"'Sheet1'!$A$1"}</definedName>
    <definedName name="gfjr" localSheetId="26" hidden="1">{"'Sheet1'!$A$1"}</definedName>
    <definedName name="gfjr" localSheetId="24" hidden="1">{"'Sheet1'!$A$1"}</definedName>
    <definedName name="gfjr" localSheetId="32" hidden="1">{"'Sheet1'!$A$1"}</definedName>
    <definedName name="gfjr" localSheetId="27" hidden="1">{"'Sheet1'!$A$1"}</definedName>
    <definedName name="gfjr" localSheetId="28" hidden="1">{"'Sheet1'!$A$1"}</definedName>
    <definedName name="gfjr" localSheetId="29" hidden="1">{"'Sheet1'!$A$1"}</definedName>
    <definedName name="gfjr" localSheetId="31" hidden="1">{"'Sheet1'!$A$1"}</definedName>
    <definedName name="gfjr" localSheetId="30" hidden="1">{"'Sheet1'!$A$1"}</definedName>
    <definedName name="gfjr" localSheetId="17" hidden="1">{"'Sheet1'!$A$1"}</definedName>
    <definedName name="gfjr" localSheetId="18" hidden="1">{"'Sheet1'!$A$1"}</definedName>
    <definedName name="gfjr" hidden="1">{"'Sheet1'!$A$1"}</definedName>
    <definedName name="GFRD" localSheetId="20" hidden="1">{"'Sheet1'!$A$1"}</definedName>
    <definedName name="GFRD" localSheetId="19" hidden="1">{"'Sheet1'!$A$1"}</definedName>
    <definedName name="GFRD" localSheetId="26" hidden="1">{"'Sheet1'!$A$1"}</definedName>
    <definedName name="GFRD" localSheetId="24" hidden="1">{"'Sheet1'!$A$1"}</definedName>
    <definedName name="GFRD" localSheetId="32" hidden="1">{"'Sheet1'!$A$1"}</definedName>
    <definedName name="GFRD" localSheetId="27" hidden="1">{"'Sheet1'!$A$1"}</definedName>
    <definedName name="GFRD" localSheetId="28" hidden="1">{"'Sheet1'!$A$1"}</definedName>
    <definedName name="GFRD" localSheetId="29" hidden="1">{"'Sheet1'!$A$1"}</definedName>
    <definedName name="GFRD" localSheetId="31" hidden="1">{"'Sheet1'!$A$1"}</definedName>
    <definedName name="GFRD" localSheetId="30" hidden="1">{"'Sheet1'!$A$1"}</definedName>
    <definedName name="GFRD" localSheetId="17" hidden="1">{"'Sheet1'!$A$1"}</definedName>
    <definedName name="GFRD" localSheetId="18" hidden="1">{"'Sheet1'!$A$1"}</definedName>
    <definedName name="GFRD" hidden="1">{"'Sheet1'!$A$1"}</definedName>
    <definedName name="GFSSH" localSheetId="20" hidden="1">{"'Sheet1'!$A$1"}</definedName>
    <definedName name="GFSSH" localSheetId="19" hidden="1">{"'Sheet1'!$A$1"}</definedName>
    <definedName name="GFSSH" localSheetId="26" hidden="1">{"'Sheet1'!$A$1"}</definedName>
    <definedName name="GFSSH" localSheetId="24" hidden="1">{"'Sheet1'!$A$1"}</definedName>
    <definedName name="GFSSH" localSheetId="32" hidden="1">{"'Sheet1'!$A$1"}</definedName>
    <definedName name="GFSSH" localSheetId="27" hidden="1">{"'Sheet1'!$A$1"}</definedName>
    <definedName name="GFSSH" localSheetId="28" hidden="1">{"'Sheet1'!$A$1"}</definedName>
    <definedName name="GFSSH" localSheetId="29" hidden="1">{"'Sheet1'!$A$1"}</definedName>
    <definedName name="GFSSH" localSheetId="31" hidden="1">{"'Sheet1'!$A$1"}</definedName>
    <definedName name="GFSSH" localSheetId="30" hidden="1">{"'Sheet1'!$A$1"}</definedName>
    <definedName name="GFSSH" localSheetId="17" hidden="1">{"'Sheet1'!$A$1"}</definedName>
    <definedName name="GFSSH" localSheetId="18" hidden="1">{"'Sheet1'!$A$1"}</definedName>
    <definedName name="GFSSH" hidden="1">{"'Sheet1'!$A$1"}</definedName>
    <definedName name="GFTF" localSheetId="20" hidden="1">{"'Sheet1'!$A$1"}</definedName>
    <definedName name="GFTF" localSheetId="19" hidden="1">{"'Sheet1'!$A$1"}</definedName>
    <definedName name="GFTF" localSheetId="26" hidden="1">{"'Sheet1'!$A$1"}</definedName>
    <definedName name="GFTF" localSheetId="24" hidden="1">{"'Sheet1'!$A$1"}</definedName>
    <definedName name="GFTF" localSheetId="32" hidden="1">{"'Sheet1'!$A$1"}</definedName>
    <definedName name="GFTF" localSheetId="27" hidden="1">{"'Sheet1'!$A$1"}</definedName>
    <definedName name="GFTF" localSheetId="28" hidden="1">{"'Sheet1'!$A$1"}</definedName>
    <definedName name="GFTF" localSheetId="29" hidden="1">{"'Sheet1'!$A$1"}</definedName>
    <definedName name="GFTF" localSheetId="31" hidden="1">{"'Sheet1'!$A$1"}</definedName>
    <definedName name="GFTF" localSheetId="30" hidden="1">{"'Sheet1'!$A$1"}</definedName>
    <definedName name="GFTF" localSheetId="17" hidden="1">{"'Sheet1'!$A$1"}</definedName>
    <definedName name="GFTF" localSheetId="18" hidden="1">{"'Sheet1'!$A$1"}</definedName>
    <definedName name="GFTF" hidden="1">{"'Sheet1'!$A$1"}</definedName>
    <definedName name="gfthhh" localSheetId="20" hidden="1">{"'Sheet1'!$A$1"}</definedName>
    <definedName name="gfthhh" localSheetId="19" hidden="1">{"'Sheet1'!$A$1"}</definedName>
    <definedName name="gfthhh" localSheetId="26" hidden="1">{"'Sheet1'!$A$1"}</definedName>
    <definedName name="gfthhh" localSheetId="24" hidden="1">{"'Sheet1'!$A$1"}</definedName>
    <definedName name="gfthhh" localSheetId="32" hidden="1">{"'Sheet1'!$A$1"}</definedName>
    <definedName name="gfthhh" localSheetId="27" hidden="1">{"'Sheet1'!$A$1"}</definedName>
    <definedName name="gfthhh" localSheetId="28" hidden="1">{"'Sheet1'!$A$1"}</definedName>
    <definedName name="gfthhh" localSheetId="29" hidden="1">{"'Sheet1'!$A$1"}</definedName>
    <definedName name="gfthhh" localSheetId="31" hidden="1">{"'Sheet1'!$A$1"}</definedName>
    <definedName name="gfthhh" localSheetId="30" hidden="1">{"'Sheet1'!$A$1"}</definedName>
    <definedName name="gfthhh" localSheetId="17" hidden="1">{"'Sheet1'!$A$1"}</definedName>
    <definedName name="gfthhh" localSheetId="18" hidden="1">{"'Sheet1'!$A$1"}</definedName>
    <definedName name="gfthhh" hidden="1">{"'Sheet1'!$A$1"}</definedName>
    <definedName name="gftr" localSheetId="20" hidden="1">{"'Sheet1'!$A$1"}</definedName>
    <definedName name="gftr" localSheetId="19" hidden="1">{"'Sheet1'!$A$1"}</definedName>
    <definedName name="gftr" localSheetId="26" hidden="1">{"'Sheet1'!$A$1"}</definedName>
    <definedName name="gftr" localSheetId="24" hidden="1">{"'Sheet1'!$A$1"}</definedName>
    <definedName name="gftr" localSheetId="32" hidden="1">{"'Sheet1'!$A$1"}</definedName>
    <definedName name="gftr" localSheetId="27" hidden="1">{"'Sheet1'!$A$1"}</definedName>
    <definedName name="gftr" localSheetId="28" hidden="1">{"'Sheet1'!$A$1"}</definedName>
    <definedName name="gftr" localSheetId="29" hidden="1">{"'Sheet1'!$A$1"}</definedName>
    <definedName name="gftr" localSheetId="31" hidden="1">{"'Sheet1'!$A$1"}</definedName>
    <definedName name="gftr" localSheetId="30" hidden="1">{"'Sheet1'!$A$1"}</definedName>
    <definedName name="gftr" localSheetId="17" hidden="1">{"'Sheet1'!$A$1"}</definedName>
    <definedName name="gftr" localSheetId="18" hidden="1">{"'Sheet1'!$A$1"}</definedName>
    <definedName name="gftr" hidden="1">{"'Sheet1'!$A$1"}</definedName>
    <definedName name="gftyytryrtyu" hidden="1">#REF!</definedName>
    <definedName name="ggg" localSheetId="20" hidden="1">{"'Sheet1'!$A$1"}</definedName>
    <definedName name="ggg" localSheetId="19" hidden="1">{"'Sheet1'!$A$1"}</definedName>
    <definedName name="ggg" localSheetId="32" hidden="1">{"'Sheet1'!$A$1"}</definedName>
    <definedName name="ggg" localSheetId="27" hidden="1">{"'Sheet1'!$A$1"}</definedName>
    <definedName name="ggg" localSheetId="28" hidden="1">{"'Sheet1'!$A$1"}</definedName>
    <definedName name="ggg" localSheetId="31" hidden="1">{"'Sheet1'!$A$1"}</definedName>
    <definedName name="ggg" localSheetId="30" hidden="1">{"'Sheet1'!$A$1"}</definedName>
    <definedName name="ggg" localSheetId="13" hidden="1">{"'Sheet1'!$A$1"}</definedName>
    <definedName name="ggg" localSheetId="17" hidden="1">{"'Sheet1'!$A$1"}</definedName>
    <definedName name="ggg" localSheetId="18" hidden="1">{"'Sheet1'!$A$1"}</definedName>
    <definedName name="GGGG" hidden="1">#REF!</definedName>
    <definedName name="GGSFR" localSheetId="20" hidden="1">{"'Sheet1'!$A$1"}</definedName>
    <definedName name="GGSFR" localSheetId="19" hidden="1">{"'Sheet1'!$A$1"}</definedName>
    <definedName name="GGSFR" localSheetId="26" hidden="1">{"'Sheet1'!$A$1"}</definedName>
    <definedName name="GGSFR" localSheetId="24" hidden="1">{"'Sheet1'!$A$1"}</definedName>
    <definedName name="GGSFR" localSheetId="32" hidden="1">{"'Sheet1'!$A$1"}</definedName>
    <definedName name="GGSFR" localSheetId="27" hidden="1">{"'Sheet1'!$A$1"}</definedName>
    <definedName name="GGSFR" localSheetId="28" hidden="1">{"'Sheet1'!$A$1"}</definedName>
    <definedName name="GGSFR" localSheetId="29" hidden="1">{"'Sheet1'!$A$1"}</definedName>
    <definedName name="GGSFR" localSheetId="31" hidden="1">{"'Sheet1'!$A$1"}</definedName>
    <definedName name="GGSFR" localSheetId="30" hidden="1">{"'Sheet1'!$A$1"}</definedName>
    <definedName name="GGSFR" localSheetId="17" hidden="1">{"'Sheet1'!$A$1"}</definedName>
    <definedName name="GGSFR" localSheetId="18" hidden="1">{"'Sheet1'!$A$1"}</definedName>
    <definedName name="GGSFR" hidden="1">{"'Sheet1'!$A$1"}</definedName>
    <definedName name="ghf" hidden="1">#REF!</definedName>
    <definedName name="ghghghg" localSheetId="20" hidden="1">#REF!</definedName>
    <definedName name="ghghghg" localSheetId="19" hidden="1">#REF!</definedName>
    <definedName name="ghghghg" localSheetId="32" hidden="1">#REF!</definedName>
    <definedName name="ghghghg" localSheetId="27" hidden="1">#REF!</definedName>
    <definedName name="ghghghg" localSheetId="28" hidden="1">#REF!</definedName>
    <definedName name="ghghghg" localSheetId="31" hidden="1">#REF!</definedName>
    <definedName name="ghghghg" localSheetId="30" hidden="1">#REF!</definedName>
    <definedName name="ghghghg" localSheetId="17" hidden="1">#REF!</definedName>
    <definedName name="ghghghg" localSheetId="18" hidden="1">#REF!</definedName>
    <definedName name="ghghghg" hidden="1">#REF!</definedName>
    <definedName name="ghjj" localSheetId="20" hidden="1">{"'Sheet1'!$A$1"}</definedName>
    <definedName name="ghjj" localSheetId="19" hidden="1">{"'Sheet1'!$A$1"}</definedName>
    <definedName name="ghjj" localSheetId="26" hidden="1">{"'Sheet1'!$A$1"}</definedName>
    <definedName name="ghjj" localSheetId="24" hidden="1">{"'Sheet1'!$A$1"}</definedName>
    <definedName name="ghjj" localSheetId="32" hidden="1">{"'Sheet1'!$A$1"}</definedName>
    <definedName name="ghjj" localSheetId="27" hidden="1">{"'Sheet1'!$A$1"}</definedName>
    <definedName name="ghjj" localSheetId="28" hidden="1">{"'Sheet1'!$A$1"}</definedName>
    <definedName name="ghjj" localSheetId="29" hidden="1">{"'Sheet1'!$A$1"}</definedName>
    <definedName name="ghjj" localSheetId="31" hidden="1">{"'Sheet1'!$A$1"}</definedName>
    <definedName name="ghjj" localSheetId="30" hidden="1">{"'Sheet1'!$A$1"}</definedName>
    <definedName name="ghjj" localSheetId="17" hidden="1">{"'Sheet1'!$A$1"}</definedName>
    <definedName name="ghjj" localSheetId="18" hidden="1">{"'Sheet1'!$A$1"}</definedName>
    <definedName name="ghjj" hidden="1">{"'Sheet1'!$A$1"}</definedName>
    <definedName name="ghkm" localSheetId="20" hidden="1">{"'Sheet1'!$A$1"}</definedName>
    <definedName name="ghkm" localSheetId="19" hidden="1">{"'Sheet1'!$A$1"}</definedName>
    <definedName name="ghkm" localSheetId="26" hidden="1">{"'Sheet1'!$A$1"}</definedName>
    <definedName name="ghkm" localSheetId="24" hidden="1">{"'Sheet1'!$A$1"}</definedName>
    <definedName name="ghkm" localSheetId="32" hidden="1">{"'Sheet1'!$A$1"}</definedName>
    <definedName name="ghkm" localSheetId="27" hidden="1">{"'Sheet1'!$A$1"}</definedName>
    <definedName name="ghkm" localSheetId="28" hidden="1">{"'Sheet1'!$A$1"}</definedName>
    <definedName name="ghkm" localSheetId="29" hidden="1">{"'Sheet1'!$A$1"}</definedName>
    <definedName name="ghkm" localSheetId="31" hidden="1">{"'Sheet1'!$A$1"}</definedName>
    <definedName name="ghkm" localSheetId="30" hidden="1">{"'Sheet1'!$A$1"}</definedName>
    <definedName name="ghkm" localSheetId="17" hidden="1">{"'Sheet1'!$A$1"}</definedName>
    <definedName name="ghkm" localSheetId="18" hidden="1">{"'Sheet1'!$A$1"}</definedName>
    <definedName name="ghkm" hidden="1">{"'Sheet1'!$A$1"}</definedName>
    <definedName name="GI" localSheetId="20" hidden="1">{"Offgrid",#N/A,FALSE,"OFFGRID";"Region",#N/A,FALSE,"REGION";"Offgrid -2",#N/A,FALSE,"OFFGRID";"WTP",#N/A,FALSE,"WTP";"WTP -2",#N/A,FALSE,"WTP";"Project",#N/A,FALSE,"PROJECT";"Summary -2",#N/A,FALSE,"SUMMARY"}</definedName>
    <definedName name="GI" localSheetId="19" hidden="1">{"Offgrid",#N/A,FALSE,"OFFGRID";"Region",#N/A,FALSE,"REGION";"Offgrid -2",#N/A,FALSE,"OFFGRID";"WTP",#N/A,FALSE,"WTP";"WTP -2",#N/A,FALSE,"WTP";"Project",#N/A,FALSE,"PROJECT";"Summary -2",#N/A,FALSE,"SUMMARY"}</definedName>
    <definedName name="GI" localSheetId="26" hidden="1">{"Offgrid",#N/A,FALSE,"OFFGRID";"Region",#N/A,FALSE,"REGION";"Offgrid -2",#N/A,FALSE,"OFFGRID";"WTP",#N/A,FALSE,"WTP";"WTP -2",#N/A,FALSE,"WTP";"Project",#N/A,FALSE,"PROJECT";"Summary -2",#N/A,FALSE,"SUMMARY"}</definedName>
    <definedName name="GI" localSheetId="24" hidden="1">{"Offgrid",#N/A,FALSE,"OFFGRID";"Region",#N/A,FALSE,"REGION";"Offgrid -2",#N/A,FALSE,"OFFGRID";"WTP",#N/A,FALSE,"WTP";"WTP -2",#N/A,FALSE,"WTP";"Project",#N/A,FALSE,"PROJECT";"Summary -2",#N/A,FALSE,"SUMMARY"}</definedName>
    <definedName name="GI" localSheetId="32" hidden="1">{"Offgrid",#N/A,FALSE,"OFFGRID";"Region",#N/A,FALSE,"REGION";"Offgrid -2",#N/A,FALSE,"OFFGRID";"WTP",#N/A,FALSE,"WTP";"WTP -2",#N/A,FALSE,"WTP";"Project",#N/A,FALSE,"PROJECT";"Summary -2",#N/A,FALSE,"SUMMARY"}</definedName>
    <definedName name="GI" localSheetId="27" hidden="1">{"Offgrid",#N/A,FALSE,"OFFGRID";"Region",#N/A,FALSE,"REGION";"Offgrid -2",#N/A,FALSE,"OFFGRID";"WTP",#N/A,FALSE,"WTP";"WTP -2",#N/A,FALSE,"WTP";"Project",#N/A,FALSE,"PROJECT";"Summary -2",#N/A,FALSE,"SUMMARY"}</definedName>
    <definedName name="GI" localSheetId="28" hidden="1">{"Offgrid",#N/A,FALSE,"OFFGRID";"Region",#N/A,FALSE,"REGION";"Offgrid -2",#N/A,FALSE,"OFFGRID";"WTP",#N/A,FALSE,"WTP";"WTP -2",#N/A,FALSE,"WTP";"Project",#N/A,FALSE,"PROJECT";"Summary -2",#N/A,FALSE,"SUMMARY"}</definedName>
    <definedName name="GI" localSheetId="29" hidden="1">{"Offgrid",#N/A,FALSE,"OFFGRID";"Region",#N/A,FALSE,"REGION";"Offgrid -2",#N/A,FALSE,"OFFGRID";"WTP",#N/A,FALSE,"WTP";"WTP -2",#N/A,FALSE,"WTP";"Project",#N/A,FALSE,"PROJECT";"Summary -2",#N/A,FALSE,"SUMMARY"}</definedName>
    <definedName name="GI" localSheetId="31" hidden="1">{"Offgrid",#N/A,FALSE,"OFFGRID";"Region",#N/A,FALSE,"REGION";"Offgrid -2",#N/A,FALSE,"OFFGRID";"WTP",#N/A,FALSE,"WTP";"WTP -2",#N/A,FALSE,"WTP";"Project",#N/A,FALSE,"PROJECT";"Summary -2",#N/A,FALSE,"SUMMARY"}</definedName>
    <definedName name="GI" localSheetId="30" hidden="1">{"Offgrid",#N/A,FALSE,"OFFGRID";"Region",#N/A,FALSE,"REGION";"Offgrid -2",#N/A,FALSE,"OFFGRID";"WTP",#N/A,FALSE,"WTP";"WTP -2",#N/A,FALSE,"WTP";"Project",#N/A,FALSE,"PROJECT";"Summary -2",#N/A,FALSE,"SUMMARY"}</definedName>
    <definedName name="GI" localSheetId="17" hidden="1">{"Offgrid",#N/A,FALSE,"OFFGRID";"Region",#N/A,FALSE,"REGION";"Offgrid -2",#N/A,FALSE,"OFFGRID";"WTP",#N/A,FALSE,"WTP";"WTP -2",#N/A,FALSE,"WTP";"Project",#N/A,FALSE,"PROJECT";"Summary -2",#N/A,FALSE,"SUMMARY"}</definedName>
    <definedName name="GI" localSheetId="18" hidden="1">{"Offgrid",#N/A,FALSE,"OFFGRID";"Region",#N/A,FALSE,"REGION";"Offgrid -2",#N/A,FALSE,"OFFGRID";"WTP",#N/A,FALSE,"WTP";"WTP -2",#N/A,FALSE,"WTP";"Project",#N/A,FALSE,"PROJECT";"Summary -2",#N/A,FALSE,"SUMMARY"}</definedName>
    <definedName name="GI" hidden="1">{"Offgrid",#N/A,FALSE,"OFFGRID";"Region",#N/A,FALSE,"REGION";"Offgrid -2",#N/A,FALSE,"OFFGRID";"WTP",#N/A,FALSE,"WTP";"WTP -2",#N/A,FALSE,"WTP";"Project",#N/A,FALSE,"PROJECT";"Summary -2",#N/A,FALSE,"SUMMARY"}</definedName>
    <definedName name="gj" localSheetId="20" hidden="1">{"'Sheet1'!$A$1"}</definedName>
    <definedName name="gj" localSheetId="19" hidden="1">{"'Sheet1'!$A$1"}</definedName>
    <definedName name="gj" localSheetId="26" hidden="1">{"'Sheet1'!$A$1"}</definedName>
    <definedName name="gj" localSheetId="24" hidden="1">{"'Sheet1'!$A$1"}</definedName>
    <definedName name="gj" localSheetId="32" hidden="1">{"'Sheet1'!$A$1"}</definedName>
    <definedName name="gj" localSheetId="27" hidden="1">{"'Sheet1'!$A$1"}</definedName>
    <definedName name="gj" localSheetId="28" hidden="1">{"'Sheet1'!$A$1"}</definedName>
    <definedName name="gj" localSheetId="29" hidden="1">{"'Sheet1'!$A$1"}</definedName>
    <definedName name="gj" localSheetId="31" hidden="1">{"'Sheet1'!$A$1"}</definedName>
    <definedName name="gj" localSheetId="30" hidden="1">{"'Sheet1'!$A$1"}</definedName>
    <definedName name="gj" localSheetId="17" hidden="1">{"'Sheet1'!$A$1"}</definedName>
    <definedName name="gj" localSheetId="18" hidden="1">{"'Sheet1'!$A$1"}</definedName>
    <definedName name="gj" hidden="1">{"'Sheet1'!$A$1"}</definedName>
    <definedName name="gjggg" localSheetId="20" hidden="1">{"'Sheet1'!$A$1"}</definedName>
    <definedName name="gjggg" localSheetId="19" hidden="1">{"'Sheet1'!$A$1"}</definedName>
    <definedName name="gjggg" localSheetId="26" hidden="1">{"'Sheet1'!$A$1"}</definedName>
    <definedName name="gjggg" localSheetId="24" hidden="1">{"'Sheet1'!$A$1"}</definedName>
    <definedName name="gjggg" localSheetId="32" hidden="1">{"'Sheet1'!$A$1"}</definedName>
    <definedName name="gjggg" localSheetId="27" hidden="1">{"'Sheet1'!$A$1"}</definedName>
    <definedName name="gjggg" localSheetId="28" hidden="1">{"'Sheet1'!$A$1"}</definedName>
    <definedName name="gjggg" localSheetId="29" hidden="1">{"'Sheet1'!$A$1"}</definedName>
    <definedName name="gjggg" localSheetId="31" hidden="1">{"'Sheet1'!$A$1"}</definedName>
    <definedName name="gjggg" localSheetId="30" hidden="1">{"'Sheet1'!$A$1"}</definedName>
    <definedName name="gjggg" localSheetId="17" hidden="1">{"'Sheet1'!$A$1"}</definedName>
    <definedName name="gjggg" localSheetId="18" hidden="1">{"'Sheet1'!$A$1"}</definedName>
    <definedName name="gjggg" hidden="1">{"'Sheet1'!$A$1"}</definedName>
    <definedName name="gjgj" localSheetId="20" hidden="1">{"'Sheet1'!$A$1"}</definedName>
    <definedName name="gjgj" localSheetId="19" hidden="1">{"'Sheet1'!$A$1"}</definedName>
    <definedName name="gjgj" localSheetId="26" hidden="1">{"'Sheet1'!$A$1"}</definedName>
    <definedName name="gjgj" localSheetId="24" hidden="1">{"'Sheet1'!$A$1"}</definedName>
    <definedName name="gjgj" localSheetId="32" hidden="1">{"'Sheet1'!$A$1"}</definedName>
    <definedName name="gjgj" localSheetId="27" hidden="1">{"'Sheet1'!$A$1"}</definedName>
    <definedName name="gjgj" localSheetId="28" hidden="1">{"'Sheet1'!$A$1"}</definedName>
    <definedName name="gjgj" localSheetId="29" hidden="1">{"'Sheet1'!$A$1"}</definedName>
    <definedName name="gjgj" localSheetId="31" hidden="1">{"'Sheet1'!$A$1"}</definedName>
    <definedName name="gjgj" localSheetId="30" hidden="1">{"'Sheet1'!$A$1"}</definedName>
    <definedName name="gjgj" localSheetId="17" hidden="1">{"'Sheet1'!$A$1"}</definedName>
    <definedName name="gjgj" localSheetId="18" hidden="1">{"'Sheet1'!$A$1"}</definedName>
    <definedName name="gjgj" hidden="1">{"'Sheet1'!$A$1"}</definedName>
    <definedName name="gjhf" hidden="1">#REF!</definedName>
    <definedName name="gjhjk" hidden="1">#REF!</definedName>
    <definedName name="gm" localSheetId="20" hidden="1">{#N/A,#N/A,FALSE,"CCTV"}</definedName>
    <definedName name="gm" localSheetId="19" hidden="1">{#N/A,#N/A,FALSE,"CCTV"}</definedName>
    <definedName name="gm" localSheetId="26" hidden="1">{#N/A,#N/A,FALSE,"CCTV"}</definedName>
    <definedName name="gm" localSheetId="24" hidden="1">{#N/A,#N/A,FALSE,"CCTV"}</definedName>
    <definedName name="gm" localSheetId="32" hidden="1">{#N/A,#N/A,FALSE,"CCTV"}</definedName>
    <definedName name="gm" localSheetId="27" hidden="1">{#N/A,#N/A,FALSE,"CCTV"}</definedName>
    <definedName name="gm" localSheetId="28" hidden="1">{#N/A,#N/A,FALSE,"CCTV"}</definedName>
    <definedName name="gm" localSheetId="29" hidden="1">{#N/A,#N/A,FALSE,"CCTV"}</definedName>
    <definedName name="gm" localSheetId="31" hidden="1">{#N/A,#N/A,FALSE,"CCTV"}</definedName>
    <definedName name="gm" localSheetId="30" hidden="1">{#N/A,#N/A,FALSE,"CCTV"}</definedName>
    <definedName name="gm" localSheetId="17" hidden="1">{#N/A,#N/A,FALSE,"CCTV"}</definedName>
    <definedName name="gm" localSheetId="18" hidden="1">{#N/A,#N/A,FALSE,"CCTV"}</definedName>
    <definedName name="gm" hidden="1">{#N/A,#N/A,FALSE,"CCTV"}</definedName>
    <definedName name="gogon" localSheetId="32" hidden="1">#REF!</definedName>
    <definedName name="gogon" localSheetId="41" hidden="1">#REF!</definedName>
    <definedName name="gogon" localSheetId="42" hidden="1">#REF!</definedName>
    <definedName name="gogon" hidden="1">#REF!</definedName>
    <definedName name="GOOD" localSheetId="2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OOD" localSheetId="1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OOD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OOD" localSheetId="2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OOD" localSheetId="2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OOD" localSheetId="3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OOD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OOD" localSheetId="2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OOD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OOD" localSheetId="3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OOD" localSheetId="3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OOD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OOD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OOD" localSheetId="1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OOD" localSheetId="2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OOD" localSheetId="4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OOD" localSheetId="4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OOD" localSheetId="4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OOD" localSheetId="3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OOD" localSheetId="3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OO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R" localSheetId="20" hidden="1">{#N/A,#N/A,FALSE,"CCTV"}</definedName>
    <definedName name="GR" localSheetId="19" hidden="1">{#N/A,#N/A,FALSE,"CCTV"}</definedName>
    <definedName name="GR" localSheetId="26" hidden="1">{#N/A,#N/A,FALSE,"CCTV"}</definedName>
    <definedName name="GR" localSheetId="24" hidden="1">{#N/A,#N/A,FALSE,"CCTV"}</definedName>
    <definedName name="GR" localSheetId="32" hidden="1">{#N/A,#N/A,FALSE,"CCTV"}</definedName>
    <definedName name="GR" localSheetId="27" hidden="1">{#N/A,#N/A,FALSE,"CCTV"}</definedName>
    <definedName name="GR" localSheetId="28" hidden="1">{#N/A,#N/A,FALSE,"CCTV"}</definedName>
    <definedName name="GR" localSheetId="29" hidden="1">{#N/A,#N/A,FALSE,"CCTV"}</definedName>
    <definedName name="GR" localSheetId="31" hidden="1">{#N/A,#N/A,FALSE,"CCTV"}</definedName>
    <definedName name="GR" localSheetId="30" hidden="1">{#N/A,#N/A,FALSE,"CCTV"}</definedName>
    <definedName name="GR" localSheetId="17" hidden="1">{#N/A,#N/A,FALSE,"CCTV"}</definedName>
    <definedName name="GR" localSheetId="18" hidden="1">{#N/A,#N/A,FALSE,"CCTV"}</definedName>
    <definedName name="GR" hidden="1">{#N/A,#N/A,FALSE,"CCTV"}</definedName>
    <definedName name="Graf" localSheetId="32" hidden="1">#REF!</definedName>
    <definedName name="Graf" localSheetId="27" hidden="1">#REF!</definedName>
    <definedName name="Graf" hidden="1">#REF!</definedName>
    <definedName name="grew" localSheetId="32" hidden="1">#REF!</definedName>
    <definedName name="grew" hidden="1">#REF!</definedName>
    <definedName name="grg" localSheetId="20" hidden="1">{"'Sheet1'!$A$1"}</definedName>
    <definedName name="grg" localSheetId="19" hidden="1">{"'Sheet1'!$A$1"}</definedName>
    <definedName name="grg" localSheetId="26" hidden="1">{"'Sheet1'!$A$1"}</definedName>
    <definedName name="grg" localSheetId="24" hidden="1">{"'Sheet1'!$A$1"}</definedName>
    <definedName name="grg" localSheetId="32" hidden="1">{"'Sheet1'!$A$1"}</definedName>
    <definedName name="grg" localSheetId="27" hidden="1">{"'Sheet1'!$A$1"}</definedName>
    <definedName name="grg" localSheetId="28" hidden="1">{"'Sheet1'!$A$1"}</definedName>
    <definedName name="grg" localSheetId="29" hidden="1">{"'Sheet1'!$A$1"}</definedName>
    <definedName name="grg" localSheetId="31" hidden="1">{"'Sheet1'!$A$1"}</definedName>
    <definedName name="grg" localSheetId="30" hidden="1">{"'Sheet1'!$A$1"}</definedName>
    <definedName name="grg" localSheetId="17" hidden="1">{"'Sheet1'!$A$1"}</definedName>
    <definedName name="grg" localSheetId="18" hidden="1">{"'Sheet1'!$A$1"}</definedName>
    <definedName name="grg" hidden="1">{"'Sheet1'!$A$1"}</definedName>
    <definedName name="GS" localSheetId="20" hidden="1">{#N/A,#N/A,FALSE,"CCTV"}</definedName>
    <definedName name="GS" localSheetId="19" hidden="1">{#N/A,#N/A,FALSE,"CCTV"}</definedName>
    <definedName name="GS" localSheetId="32" hidden="1">{#N/A,#N/A,FALSE,"CCTV"}</definedName>
    <definedName name="GS" localSheetId="27" hidden="1">{#N/A,#N/A,FALSE,"CCTV"}</definedName>
    <definedName name="GS" localSheetId="28" hidden="1">{#N/A,#N/A,FALSE,"CCTV"}</definedName>
    <definedName name="GS" localSheetId="31" hidden="1">{#N/A,#N/A,FALSE,"CCTV"}</definedName>
    <definedName name="GS" localSheetId="30" hidden="1">{#N/A,#N/A,FALSE,"CCTV"}</definedName>
    <definedName name="GS" localSheetId="13" hidden="1">{#N/A,#N/A,FALSE,"CCTV"}</definedName>
    <definedName name="GS" localSheetId="17" hidden="1">{#N/A,#N/A,FALSE,"CCTV"}</definedName>
    <definedName name="GS" localSheetId="18" hidden="1">{#N/A,#N/A,FALSE,"CCTV"}</definedName>
    <definedName name="gsdgs" localSheetId="32" hidden="1">#REF!</definedName>
    <definedName name="gsdgs" hidden="1">#REF!</definedName>
    <definedName name="GSFA" localSheetId="20" hidden="1">{"'Sheet1'!$A$1"}</definedName>
    <definedName name="GSFA" localSheetId="19" hidden="1">{"'Sheet1'!$A$1"}</definedName>
    <definedName name="GSFA" localSheetId="26" hidden="1">{"'Sheet1'!$A$1"}</definedName>
    <definedName name="GSFA" localSheetId="24" hidden="1">{"'Sheet1'!$A$1"}</definedName>
    <definedName name="GSFA" localSheetId="32" hidden="1">{"'Sheet1'!$A$1"}</definedName>
    <definedName name="GSFA" localSheetId="27" hidden="1">{"'Sheet1'!$A$1"}</definedName>
    <definedName name="GSFA" localSheetId="28" hidden="1">{"'Sheet1'!$A$1"}</definedName>
    <definedName name="GSFA" localSheetId="29" hidden="1">{"'Sheet1'!$A$1"}</definedName>
    <definedName name="GSFA" localSheetId="31" hidden="1">{"'Sheet1'!$A$1"}</definedName>
    <definedName name="GSFA" localSheetId="30" hidden="1">{"'Sheet1'!$A$1"}</definedName>
    <definedName name="GSFA" localSheetId="17" hidden="1">{"'Sheet1'!$A$1"}</definedName>
    <definedName name="GSFA" localSheetId="18" hidden="1">{"'Sheet1'!$A$1"}</definedName>
    <definedName name="GSFA" hidden="1">{"'Sheet1'!$A$1"}</definedName>
    <definedName name="gsfdj" localSheetId="20" hidden="1">{"'Sheet1'!$A$1"}</definedName>
    <definedName name="gsfdj" localSheetId="19" hidden="1">{"'Sheet1'!$A$1"}</definedName>
    <definedName name="gsfdj" localSheetId="26" hidden="1">{"'Sheet1'!$A$1"}</definedName>
    <definedName name="gsfdj" localSheetId="24" hidden="1">{"'Sheet1'!$A$1"}</definedName>
    <definedName name="gsfdj" localSheetId="32" hidden="1">{"'Sheet1'!$A$1"}</definedName>
    <definedName name="gsfdj" localSheetId="27" hidden="1">{"'Sheet1'!$A$1"}</definedName>
    <definedName name="gsfdj" localSheetId="28" hidden="1">{"'Sheet1'!$A$1"}</definedName>
    <definedName name="gsfdj" localSheetId="29" hidden="1">{"'Sheet1'!$A$1"}</definedName>
    <definedName name="gsfdj" localSheetId="31" hidden="1">{"'Sheet1'!$A$1"}</definedName>
    <definedName name="gsfdj" localSheetId="30" hidden="1">{"'Sheet1'!$A$1"}</definedName>
    <definedName name="gsfdj" localSheetId="17" hidden="1">{"'Sheet1'!$A$1"}</definedName>
    <definedName name="gsfdj" localSheetId="18" hidden="1">{"'Sheet1'!$A$1"}</definedName>
    <definedName name="gsfdj" hidden="1">{"'Sheet1'!$A$1"}</definedName>
    <definedName name="gstdj" localSheetId="20" hidden="1">{"'Sheet1'!$A$1"}</definedName>
    <definedName name="gstdj" localSheetId="19" hidden="1">{"'Sheet1'!$A$1"}</definedName>
    <definedName name="gstdj" localSheetId="26" hidden="1">{"'Sheet1'!$A$1"}</definedName>
    <definedName name="gstdj" localSheetId="24" hidden="1">{"'Sheet1'!$A$1"}</definedName>
    <definedName name="gstdj" localSheetId="32" hidden="1">{"'Sheet1'!$A$1"}</definedName>
    <definedName name="gstdj" localSheetId="27" hidden="1">{"'Sheet1'!$A$1"}</definedName>
    <definedName name="gstdj" localSheetId="28" hidden="1">{"'Sheet1'!$A$1"}</definedName>
    <definedName name="gstdj" localSheetId="29" hidden="1">{"'Sheet1'!$A$1"}</definedName>
    <definedName name="gstdj" localSheetId="31" hidden="1">{"'Sheet1'!$A$1"}</definedName>
    <definedName name="gstdj" localSheetId="30" hidden="1">{"'Sheet1'!$A$1"}</definedName>
    <definedName name="gstdj" localSheetId="17" hidden="1">{"'Sheet1'!$A$1"}</definedName>
    <definedName name="gstdj" localSheetId="18" hidden="1">{"'Sheet1'!$A$1"}</definedName>
    <definedName name="gstdj" hidden="1">{"'Sheet1'!$A$1"}</definedName>
    <definedName name="gsy" localSheetId="20" hidden="1">{"'Sheet1'!$A$1"}</definedName>
    <definedName name="gsy" localSheetId="19" hidden="1">{"'Sheet1'!$A$1"}</definedName>
    <definedName name="gsy" localSheetId="26" hidden="1">{"'Sheet1'!$A$1"}</definedName>
    <definedName name="gsy" localSheetId="24" hidden="1">{"'Sheet1'!$A$1"}</definedName>
    <definedName name="gsy" localSheetId="32" hidden="1">{"'Sheet1'!$A$1"}</definedName>
    <definedName name="gsy" localSheetId="27" hidden="1">{"'Sheet1'!$A$1"}</definedName>
    <definedName name="gsy" localSheetId="28" hidden="1">{"'Sheet1'!$A$1"}</definedName>
    <definedName name="gsy" localSheetId="29" hidden="1">{"'Sheet1'!$A$1"}</definedName>
    <definedName name="gsy" localSheetId="31" hidden="1">{"'Sheet1'!$A$1"}</definedName>
    <definedName name="gsy" localSheetId="30" hidden="1">{"'Sheet1'!$A$1"}</definedName>
    <definedName name="gsy" localSheetId="17" hidden="1">{"'Sheet1'!$A$1"}</definedName>
    <definedName name="gsy" localSheetId="18" hidden="1">{"'Sheet1'!$A$1"}</definedName>
    <definedName name="gsy" hidden="1">{"'Sheet1'!$A$1"}</definedName>
    <definedName name="GTFRDES" hidden="1">#REF!</definedName>
    <definedName name="GTRD" localSheetId="20" hidden="1">{"'Sheet1'!$A$1"}</definedName>
    <definedName name="GTRD" localSheetId="19" hidden="1">{"'Sheet1'!$A$1"}</definedName>
    <definedName name="GTRD" localSheetId="26" hidden="1">{"'Sheet1'!$A$1"}</definedName>
    <definedName name="GTRD" localSheetId="24" hidden="1">{"'Sheet1'!$A$1"}</definedName>
    <definedName name="GTRD" localSheetId="32" hidden="1">{"'Sheet1'!$A$1"}</definedName>
    <definedName name="GTRD" localSheetId="27" hidden="1">{"'Sheet1'!$A$1"}</definedName>
    <definedName name="GTRD" localSheetId="28" hidden="1">{"'Sheet1'!$A$1"}</definedName>
    <definedName name="GTRD" localSheetId="29" hidden="1">{"'Sheet1'!$A$1"}</definedName>
    <definedName name="GTRD" localSheetId="31" hidden="1">{"'Sheet1'!$A$1"}</definedName>
    <definedName name="GTRD" localSheetId="30" hidden="1">{"'Sheet1'!$A$1"}</definedName>
    <definedName name="GTRD" localSheetId="17" hidden="1">{"'Sheet1'!$A$1"}</definedName>
    <definedName name="GTRD" localSheetId="18" hidden="1">{"'Sheet1'!$A$1"}</definedName>
    <definedName name="GTRD" hidden="1">{"'Sheet1'!$A$1"}</definedName>
    <definedName name="gts" localSheetId="20" hidden="1">{"'Sheet1'!$A$1"}</definedName>
    <definedName name="gts" localSheetId="19" hidden="1">{"'Sheet1'!$A$1"}</definedName>
    <definedName name="gts" localSheetId="26" hidden="1">{"'Sheet1'!$A$1"}</definedName>
    <definedName name="gts" localSheetId="24" hidden="1">{"'Sheet1'!$A$1"}</definedName>
    <definedName name="gts" localSheetId="32" hidden="1">{"'Sheet1'!$A$1"}</definedName>
    <definedName name="gts" localSheetId="27" hidden="1">{"'Sheet1'!$A$1"}</definedName>
    <definedName name="gts" localSheetId="28" hidden="1">{"'Sheet1'!$A$1"}</definedName>
    <definedName name="gts" localSheetId="29" hidden="1">{"'Sheet1'!$A$1"}</definedName>
    <definedName name="gts" localSheetId="31" hidden="1">{"'Sheet1'!$A$1"}</definedName>
    <definedName name="gts" localSheetId="30" hidden="1">{"'Sheet1'!$A$1"}</definedName>
    <definedName name="gts" localSheetId="17" hidden="1">{"'Sheet1'!$A$1"}</definedName>
    <definedName name="gts" localSheetId="18" hidden="1">{"'Sheet1'!$A$1"}</definedName>
    <definedName name="gts" hidden="1">{"'Sheet1'!$A$1"}</definedName>
    <definedName name="gtt" localSheetId="20" hidden="1">{#N/A,#N/A,FALSE,"REK";#N/A,#N/A,FALSE,"rab"}</definedName>
    <definedName name="gtt" localSheetId="19" hidden="1">{#N/A,#N/A,FALSE,"REK";#N/A,#N/A,FALSE,"rab"}</definedName>
    <definedName name="gtt" localSheetId="26" hidden="1">{#N/A,#N/A,FALSE,"REK";#N/A,#N/A,FALSE,"rab"}</definedName>
    <definedName name="gtt" localSheetId="24" hidden="1">{#N/A,#N/A,FALSE,"REK";#N/A,#N/A,FALSE,"rab"}</definedName>
    <definedName name="gtt" localSheetId="32" hidden="1">{#N/A,#N/A,FALSE,"REK";#N/A,#N/A,FALSE,"rab"}</definedName>
    <definedName name="gtt" localSheetId="27" hidden="1">{#N/A,#N/A,FALSE,"REK";#N/A,#N/A,FALSE,"rab"}</definedName>
    <definedName name="gtt" localSheetId="28" hidden="1">{#N/A,#N/A,FALSE,"REK";#N/A,#N/A,FALSE,"rab"}</definedName>
    <definedName name="gtt" localSheetId="29" hidden="1">{#N/A,#N/A,FALSE,"REK";#N/A,#N/A,FALSE,"rab"}</definedName>
    <definedName name="gtt" localSheetId="31" hidden="1">{#N/A,#N/A,FALSE,"REK";#N/A,#N/A,FALSE,"rab"}</definedName>
    <definedName name="gtt" localSheetId="30" hidden="1">{#N/A,#N/A,FALSE,"REK";#N/A,#N/A,FALSE,"rab"}</definedName>
    <definedName name="gtt" localSheetId="17" hidden="1">{#N/A,#N/A,FALSE,"REK";#N/A,#N/A,FALSE,"rab"}</definedName>
    <definedName name="gtt" localSheetId="18" hidden="1">{#N/A,#N/A,FALSE,"REK";#N/A,#N/A,FALSE,"rab"}</definedName>
    <definedName name="gtt" hidden="1">{#N/A,#N/A,FALSE,"REK";#N/A,#N/A,FALSE,"rab"}</definedName>
    <definedName name="GV" localSheetId="20" hidden="1">{#N/A,#N/A,FALSE,"CCTV"}</definedName>
    <definedName name="GV" localSheetId="19" hidden="1">{#N/A,#N/A,FALSE,"CCTV"}</definedName>
    <definedName name="GV" localSheetId="32" hidden="1">{#N/A,#N/A,FALSE,"CCTV"}</definedName>
    <definedName name="GV" localSheetId="27" hidden="1">{#N/A,#N/A,FALSE,"CCTV"}</definedName>
    <definedName name="GV" localSheetId="28" hidden="1">{#N/A,#N/A,FALSE,"CCTV"}</definedName>
    <definedName name="GV" localSheetId="31" hidden="1">{#N/A,#N/A,FALSE,"CCTV"}</definedName>
    <definedName name="GV" localSheetId="30" hidden="1">{#N/A,#N/A,FALSE,"CCTV"}</definedName>
    <definedName name="GV" localSheetId="13" hidden="1">{#N/A,#N/A,FALSE,"CCTV"}</definedName>
    <definedName name="GV" localSheetId="17" hidden="1">{#N/A,#N/A,FALSE,"CCTV"}</definedName>
    <definedName name="GV" localSheetId="18" hidden="1">{#N/A,#N/A,FALSE,"CCTV"}</definedName>
    <definedName name="GW" localSheetId="20" hidden="1">{#N/A,#N/A,FALSE,"CCTV"}</definedName>
    <definedName name="GW" localSheetId="19" hidden="1">{#N/A,#N/A,FALSE,"CCTV"}</definedName>
    <definedName name="GW" localSheetId="26" hidden="1">{#N/A,#N/A,FALSE,"CCTV"}</definedName>
    <definedName name="GW" localSheetId="24" hidden="1">{#N/A,#N/A,FALSE,"CCTV"}</definedName>
    <definedName name="GW" localSheetId="32" hidden="1">{#N/A,#N/A,FALSE,"CCTV"}</definedName>
    <definedName name="GW" localSheetId="27" hidden="1">{#N/A,#N/A,FALSE,"CCTV"}</definedName>
    <definedName name="GW" localSheetId="28" hidden="1">{#N/A,#N/A,FALSE,"CCTV"}</definedName>
    <definedName name="GW" localSheetId="29" hidden="1">{#N/A,#N/A,FALSE,"CCTV"}</definedName>
    <definedName name="GW" localSheetId="31" hidden="1">{#N/A,#N/A,FALSE,"CCTV"}</definedName>
    <definedName name="GW" localSheetId="30" hidden="1">{#N/A,#N/A,FALSE,"CCTV"}</definedName>
    <definedName name="GW" localSheetId="17" hidden="1">{#N/A,#N/A,FALSE,"CCTV"}</definedName>
    <definedName name="GW" localSheetId="18" hidden="1">{#N/A,#N/A,FALSE,"CCTV"}</definedName>
    <definedName name="GW" hidden="1">{#N/A,#N/A,FALSE,"CCTV"}</definedName>
    <definedName name="gwwr" localSheetId="20" hidden="1">{"'Sheet1'!$A$1"}</definedName>
    <definedName name="gwwr" localSheetId="19" hidden="1">{"'Sheet1'!$A$1"}</definedName>
    <definedName name="gwwr" localSheetId="26" hidden="1">{"'Sheet1'!$A$1"}</definedName>
    <definedName name="gwwr" localSheetId="24" hidden="1">{"'Sheet1'!$A$1"}</definedName>
    <definedName name="gwwr" localSheetId="32" hidden="1">{"'Sheet1'!$A$1"}</definedName>
    <definedName name="gwwr" localSheetId="27" hidden="1">{"'Sheet1'!$A$1"}</definedName>
    <definedName name="gwwr" localSheetId="28" hidden="1">{"'Sheet1'!$A$1"}</definedName>
    <definedName name="gwwr" localSheetId="29" hidden="1">{"'Sheet1'!$A$1"}</definedName>
    <definedName name="gwwr" localSheetId="31" hidden="1">{"'Sheet1'!$A$1"}</definedName>
    <definedName name="gwwr" localSheetId="30" hidden="1">{"'Sheet1'!$A$1"}</definedName>
    <definedName name="gwwr" localSheetId="17" hidden="1">{"'Sheet1'!$A$1"}</definedName>
    <definedName name="gwwr" localSheetId="18" hidden="1">{"'Sheet1'!$A$1"}</definedName>
    <definedName name="gwwr" hidden="1">{"'Sheet1'!$A$1"}</definedName>
    <definedName name="GX" localSheetId="20" hidden="1">{#N/A,#N/A,FALSE,"CCTV"}</definedName>
    <definedName name="GX" localSheetId="19" hidden="1">{#N/A,#N/A,FALSE,"CCTV"}</definedName>
    <definedName name="GX" localSheetId="26" hidden="1">{#N/A,#N/A,FALSE,"CCTV"}</definedName>
    <definedName name="GX" localSheetId="24" hidden="1">{#N/A,#N/A,FALSE,"CCTV"}</definedName>
    <definedName name="GX" localSheetId="32" hidden="1">{#N/A,#N/A,FALSE,"CCTV"}</definedName>
    <definedName name="GX" localSheetId="27" hidden="1">{#N/A,#N/A,FALSE,"CCTV"}</definedName>
    <definedName name="GX" localSheetId="28" hidden="1">{#N/A,#N/A,FALSE,"CCTV"}</definedName>
    <definedName name="GX" localSheetId="29" hidden="1">{#N/A,#N/A,FALSE,"CCTV"}</definedName>
    <definedName name="GX" localSheetId="31" hidden="1">{#N/A,#N/A,FALSE,"CCTV"}</definedName>
    <definedName name="GX" localSheetId="30" hidden="1">{#N/A,#N/A,FALSE,"CCTV"}</definedName>
    <definedName name="GX" localSheetId="17" hidden="1">{#N/A,#N/A,FALSE,"CCTV"}</definedName>
    <definedName name="GX" localSheetId="18" hidden="1">{#N/A,#N/A,FALSE,"CCTV"}</definedName>
    <definedName name="GX" hidden="1">{#N/A,#N/A,FALSE,"CCTV"}</definedName>
    <definedName name="GY" localSheetId="20" hidden="1">{#N/A,#N/A,FALSE,"CCTV"}</definedName>
    <definedName name="GY" localSheetId="19" hidden="1">{#N/A,#N/A,FALSE,"CCTV"}</definedName>
    <definedName name="GY" localSheetId="26" hidden="1">{#N/A,#N/A,FALSE,"CCTV"}</definedName>
    <definedName name="GY" localSheetId="24" hidden="1">{#N/A,#N/A,FALSE,"CCTV"}</definedName>
    <definedName name="GY" localSheetId="32" hidden="1">{#N/A,#N/A,FALSE,"CCTV"}</definedName>
    <definedName name="GY" localSheetId="27" hidden="1">{#N/A,#N/A,FALSE,"CCTV"}</definedName>
    <definedName name="GY" localSheetId="28" hidden="1">{#N/A,#N/A,FALSE,"CCTV"}</definedName>
    <definedName name="GY" localSheetId="29" hidden="1">{#N/A,#N/A,FALSE,"CCTV"}</definedName>
    <definedName name="GY" localSheetId="31" hidden="1">{#N/A,#N/A,FALSE,"CCTV"}</definedName>
    <definedName name="GY" localSheetId="30" hidden="1">{#N/A,#N/A,FALSE,"CCTV"}</definedName>
    <definedName name="GY" localSheetId="17" hidden="1">{#N/A,#N/A,FALSE,"CCTV"}</definedName>
    <definedName name="GY" localSheetId="18" hidden="1">{#N/A,#N/A,FALSE,"CCTV"}</definedName>
    <definedName name="GY" hidden="1">{#N/A,#N/A,FALSE,"CCTV"}</definedName>
    <definedName name="gyyuu" localSheetId="20" hidden="1">{"'Sheet1'!$A$1"}</definedName>
    <definedName name="gyyuu" localSheetId="19" hidden="1">{"'Sheet1'!$A$1"}</definedName>
    <definedName name="gyyuu" localSheetId="26" hidden="1">{"'Sheet1'!$A$1"}</definedName>
    <definedName name="gyyuu" localSheetId="24" hidden="1">{"'Sheet1'!$A$1"}</definedName>
    <definedName name="gyyuu" localSheetId="32" hidden="1">{"'Sheet1'!$A$1"}</definedName>
    <definedName name="gyyuu" localSheetId="27" hidden="1">{"'Sheet1'!$A$1"}</definedName>
    <definedName name="gyyuu" localSheetId="28" hidden="1">{"'Sheet1'!$A$1"}</definedName>
    <definedName name="gyyuu" localSheetId="29" hidden="1">{"'Sheet1'!$A$1"}</definedName>
    <definedName name="gyyuu" localSheetId="31" hidden="1">{"'Sheet1'!$A$1"}</definedName>
    <definedName name="gyyuu" localSheetId="30" hidden="1">{"'Sheet1'!$A$1"}</definedName>
    <definedName name="gyyuu" localSheetId="17" hidden="1">{"'Sheet1'!$A$1"}</definedName>
    <definedName name="gyyuu" localSheetId="18" hidden="1">{"'Sheet1'!$A$1"}</definedName>
    <definedName name="gyyuu" hidden="1">{"'Sheet1'!$A$1"}</definedName>
    <definedName name="GZ" localSheetId="20" hidden="1">{#N/A,#N/A,FALSE,"CCTV"}</definedName>
    <definedName name="GZ" localSheetId="19" hidden="1">{#N/A,#N/A,FALSE,"CCTV"}</definedName>
    <definedName name="GZ" localSheetId="26" hidden="1">{#N/A,#N/A,FALSE,"CCTV"}</definedName>
    <definedName name="GZ" localSheetId="24" hidden="1">{#N/A,#N/A,FALSE,"CCTV"}</definedName>
    <definedName name="GZ" localSheetId="32" hidden="1">{#N/A,#N/A,FALSE,"CCTV"}</definedName>
    <definedName name="GZ" localSheetId="27" hidden="1">{#N/A,#N/A,FALSE,"CCTV"}</definedName>
    <definedName name="GZ" localSheetId="28" hidden="1">{#N/A,#N/A,FALSE,"CCTV"}</definedName>
    <definedName name="GZ" localSheetId="29" hidden="1">{#N/A,#N/A,FALSE,"CCTV"}</definedName>
    <definedName name="GZ" localSheetId="31" hidden="1">{#N/A,#N/A,FALSE,"CCTV"}</definedName>
    <definedName name="GZ" localSheetId="30" hidden="1">{#N/A,#N/A,FALSE,"CCTV"}</definedName>
    <definedName name="GZ" localSheetId="17" hidden="1">{#N/A,#N/A,FALSE,"CCTV"}</definedName>
    <definedName name="GZ" localSheetId="18" hidden="1">{#N/A,#N/A,FALSE,"CCTV"}</definedName>
    <definedName name="GZ" hidden="1">{#N/A,#N/A,FALSE,"CCTV"}</definedName>
    <definedName name="h" localSheetId="20" hidden="1">{"'Sheet1'!$L$16"}</definedName>
    <definedName name="h" localSheetId="19" hidden="1">{"'Sheet1'!$L$16"}</definedName>
    <definedName name="h" localSheetId="32" hidden="1">{"'Sheet1'!$L$16"}</definedName>
    <definedName name="h" localSheetId="27" hidden="1">{"'Sheet1'!$L$16"}</definedName>
    <definedName name="h" localSheetId="28" hidden="1">{"'Sheet1'!$L$16"}</definedName>
    <definedName name="h" localSheetId="31" hidden="1">{"'Sheet1'!$L$16"}</definedName>
    <definedName name="h" localSheetId="30" hidden="1">{"'Sheet1'!$L$16"}</definedName>
    <definedName name="h" localSheetId="13" hidden="1">{"'Sheet1'!$L$16"}</definedName>
    <definedName name="h" localSheetId="17" hidden="1">{"'Sheet1'!$L$16"}</definedName>
    <definedName name="h" localSheetId="18" hidden="1">{"'Sheet1'!$L$16"}</definedName>
    <definedName name="H.SAT" localSheetId="41" hidden="1">#REF!</definedName>
    <definedName name="H.SAT" localSheetId="42" hidden="1">#REF!</definedName>
    <definedName name="H.SAT" hidden="1">#REF!</definedName>
    <definedName name="H1PP" localSheetId="42" hidden="1">#REF!</definedName>
    <definedName name="H1PP" hidden="1">#REF!</definedName>
    <definedName name="H1PP2" localSheetId="42" hidden="1">#REF!</definedName>
    <definedName name="H1PP2" hidden="1">#REF!</definedName>
    <definedName name="Hadi" hidden="1">#REF!</definedName>
    <definedName name="hai" localSheetId="20" hidden="1">{"'Sheet1'!$L$16"}</definedName>
    <definedName name="hai" localSheetId="19" hidden="1">{"'Sheet1'!$L$16"}</definedName>
    <definedName name="hai" localSheetId="26" hidden="1">{"'Sheet1'!$L$16"}</definedName>
    <definedName name="hai" localSheetId="24" hidden="1">{"'Sheet1'!$L$16"}</definedName>
    <definedName name="hai" localSheetId="32" hidden="1">{"'Sheet1'!$L$16"}</definedName>
    <definedName name="hai" localSheetId="27" hidden="1">{"'Sheet1'!$L$16"}</definedName>
    <definedName name="hai" localSheetId="28" hidden="1">{"'Sheet1'!$L$16"}</definedName>
    <definedName name="hai" localSheetId="29" hidden="1">{"'Sheet1'!$L$16"}</definedName>
    <definedName name="hai" localSheetId="31" hidden="1">{"'Sheet1'!$L$16"}</definedName>
    <definedName name="hai" localSheetId="30" hidden="1">{"'Sheet1'!$L$16"}</definedName>
    <definedName name="hai" localSheetId="17" hidden="1">{"'Sheet1'!$L$16"}</definedName>
    <definedName name="hai" localSheetId="18" hidden="1">{"'Sheet1'!$L$16"}</definedName>
    <definedName name="hai" hidden="1">{"'Sheet1'!$L$16"}</definedName>
    <definedName name="HALO" localSheetId="27" hidden="1">#REF!</definedName>
    <definedName name="HALO" hidden="1">#REF!</definedName>
    <definedName name="han" hidden="1">#REF!</definedName>
    <definedName name="haRSATOK" hidden="1">#REF!</definedName>
    <definedName name="hbj" localSheetId="20" hidden="1">{#N/A,#N/A,FALSE,"CCTV"}</definedName>
    <definedName name="hbj" localSheetId="19" hidden="1">{#N/A,#N/A,FALSE,"CCTV"}</definedName>
    <definedName name="hbj" localSheetId="26" hidden="1">{#N/A,#N/A,FALSE,"CCTV"}</definedName>
    <definedName name="hbj" localSheetId="24" hidden="1">{#N/A,#N/A,FALSE,"CCTV"}</definedName>
    <definedName name="hbj" localSheetId="32" hidden="1">{#N/A,#N/A,FALSE,"CCTV"}</definedName>
    <definedName name="hbj" localSheetId="27" hidden="1">{#N/A,#N/A,FALSE,"CCTV"}</definedName>
    <definedName name="hbj" localSheetId="28" hidden="1">{#N/A,#N/A,FALSE,"CCTV"}</definedName>
    <definedName name="hbj" localSheetId="29" hidden="1">{#N/A,#N/A,FALSE,"CCTV"}</definedName>
    <definedName name="hbj" localSheetId="31" hidden="1">{#N/A,#N/A,FALSE,"CCTV"}</definedName>
    <definedName name="hbj" localSheetId="30" hidden="1">{#N/A,#N/A,FALSE,"CCTV"}</definedName>
    <definedName name="hbj" localSheetId="17" hidden="1">{#N/A,#N/A,FALSE,"CCTV"}</definedName>
    <definedName name="hbj" localSheetId="18" hidden="1">{#N/A,#N/A,FALSE,"CCTV"}</definedName>
    <definedName name="hbj" hidden="1">{#N/A,#N/A,FALSE,"CCTV"}</definedName>
    <definedName name="hdhdh" localSheetId="32" hidden="1">#REF!</definedName>
    <definedName name="hdhdh" hidden="1">#REF!</definedName>
    <definedName name="HDJSW" localSheetId="20" hidden="1">{"'Sheet1'!$A$1"}</definedName>
    <definedName name="HDJSW" localSheetId="19" hidden="1">{"'Sheet1'!$A$1"}</definedName>
    <definedName name="HDJSW" localSheetId="26" hidden="1">{"'Sheet1'!$A$1"}</definedName>
    <definedName name="HDJSW" localSheetId="24" hidden="1">{"'Sheet1'!$A$1"}</definedName>
    <definedName name="HDJSW" localSheetId="32" hidden="1">{"'Sheet1'!$A$1"}</definedName>
    <definedName name="HDJSW" localSheetId="27" hidden="1">{"'Sheet1'!$A$1"}</definedName>
    <definedName name="HDJSW" localSheetId="28" hidden="1">{"'Sheet1'!$A$1"}</definedName>
    <definedName name="HDJSW" localSheetId="29" hidden="1">{"'Sheet1'!$A$1"}</definedName>
    <definedName name="HDJSW" localSheetId="31" hidden="1">{"'Sheet1'!$A$1"}</definedName>
    <definedName name="HDJSW" localSheetId="30" hidden="1">{"'Sheet1'!$A$1"}</definedName>
    <definedName name="HDJSW" localSheetId="17" hidden="1">{"'Sheet1'!$A$1"}</definedName>
    <definedName name="HDJSW" localSheetId="18" hidden="1">{"'Sheet1'!$A$1"}</definedName>
    <definedName name="HDJSW" hidden="1">{"'Sheet1'!$A$1"}</definedName>
    <definedName name="hdud" localSheetId="20" hidden="1">{"'Sheet1'!$A$1"}</definedName>
    <definedName name="hdud" localSheetId="19" hidden="1">{"'Sheet1'!$A$1"}</definedName>
    <definedName name="hdud" localSheetId="26" hidden="1">{"'Sheet1'!$A$1"}</definedName>
    <definedName name="hdud" localSheetId="24" hidden="1">{"'Sheet1'!$A$1"}</definedName>
    <definedName name="hdud" localSheetId="32" hidden="1">{"'Sheet1'!$A$1"}</definedName>
    <definedName name="hdud" localSheetId="27" hidden="1">{"'Sheet1'!$A$1"}</definedName>
    <definedName name="hdud" localSheetId="28" hidden="1">{"'Sheet1'!$A$1"}</definedName>
    <definedName name="hdud" localSheetId="29" hidden="1">{"'Sheet1'!$A$1"}</definedName>
    <definedName name="hdud" localSheetId="31" hidden="1">{"'Sheet1'!$A$1"}</definedName>
    <definedName name="hdud" localSheetId="30" hidden="1">{"'Sheet1'!$A$1"}</definedName>
    <definedName name="hdud" localSheetId="17" hidden="1">{"'Sheet1'!$A$1"}</definedName>
    <definedName name="hdud" localSheetId="18" hidden="1">{"'Sheet1'!$A$1"}</definedName>
    <definedName name="hdud" hidden="1">{"'Sheet1'!$A$1"}</definedName>
    <definedName name="HFC" localSheetId="20" hidden="1">{"'Rekap 1'!$A$1:$E$18"}</definedName>
    <definedName name="HFC" localSheetId="19" hidden="1">{"'Rekap 1'!$A$1:$E$18"}</definedName>
    <definedName name="HFC" localSheetId="26" hidden="1">{"'Rekap 1'!$A$1:$E$18"}</definedName>
    <definedName name="HFC" localSheetId="24" hidden="1">{"'Rekap 1'!$A$1:$E$18"}</definedName>
    <definedName name="HFC" localSheetId="32" hidden="1">{"'Rekap 1'!$A$1:$E$18"}</definedName>
    <definedName name="HFC" localSheetId="27" hidden="1">{"'Rekap 1'!$A$1:$E$18"}</definedName>
    <definedName name="HFC" localSheetId="28" hidden="1">{"'Rekap 1'!$A$1:$E$18"}</definedName>
    <definedName name="HFC" localSheetId="29" hidden="1">{"'Rekap 1'!$A$1:$E$18"}</definedName>
    <definedName name="HFC" localSheetId="31" hidden="1">{"'Rekap 1'!$A$1:$E$18"}</definedName>
    <definedName name="HFC" localSheetId="30" hidden="1">{"'Rekap 1'!$A$1:$E$18"}</definedName>
    <definedName name="HFC" localSheetId="17" hidden="1">{"'Rekap 1'!$A$1:$E$18"}</definedName>
    <definedName name="HFC" localSheetId="18" hidden="1">{"'Rekap 1'!$A$1:$E$18"}</definedName>
    <definedName name="HFC" hidden="1">{"'Rekap 1'!$A$1:$E$18"}</definedName>
    <definedName name="hfd" hidden="1">#REF!</definedName>
    <definedName name="hfdgfdg" localSheetId="20" hidden="1">{#N/A,#N/A,FALSE,"CCTV"}</definedName>
    <definedName name="hfdgfdg" localSheetId="19" hidden="1">{#N/A,#N/A,FALSE,"CCTV"}</definedName>
    <definedName name="hfdgfdg" localSheetId="26" hidden="1">{#N/A,#N/A,FALSE,"CCTV"}</definedName>
    <definedName name="hfdgfdg" localSheetId="24" hidden="1">{#N/A,#N/A,FALSE,"CCTV"}</definedName>
    <definedName name="hfdgfdg" localSheetId="32" hidden="1">{#N/A,#N/A,FALSE,"CCTV"}</definedName>
    <definedName name="hfdgfdg" localSheetId="27" hidden="1">{#N/A,#N/A,FALSE,"CCTV"}</definedName>
    <definedName name="hfdgfdg" localSheetId="28" hidden="1">{#N/A,#N/A,FALSE,"CCTV"}</definedName>
    <definedName name="hfdgfdg" localSheetId="29" hidden="1">{#N/A,#N/A,FALSE,"CCTV"}</definedName>
    <definedName name="hfdgfdg" localSheetId="31" hidden="1">{#N/A,#N/A,FALSE,"CCTV"}</definedName>
    <definedName name="hfdgfdg" localSheetId="30" hidden="1">{#N/A,#N/A,FALSE,"CCTV"}</definedName>
    <definedName name="hfdgfdg" localSheetId="17" hidden="1">{#N/A,#N/A,FALSE,"CCTV"}</definedName>
    <definedName name="hfdgfdg" localSheetId="18" hidden="1">{#N/A,#N/A,FALSE,"CCTV"}</definedName>
    <definedName name="hfdgfdg" hidden="1">{#N/A,#N/A,FALSE,"CCTV"}</definedName>
    <definedName name="HFG" localSheetId="20" hidden="1">{"'Sheet1'!$A$1"}</definedName>
    <definedName name="HFG" localSheetId="19" hidden="1">{"'Sheet1'!$A$1"}</definedName>
    <definedName name="HFG" localSheetId="26" hidden="1">{"'Sheet1'!$A$1"}</definedName>
    <definedName name="HFG" localSheetId="24" hidden="1">{"'Sheet1'!$A$1"}</definedName>
    <definedName name="HFG" localSheetId="32" hidden="1">{"'Sheet1'!$A$1"}</definedName>
    <definedName name="HFG" localSheetId="27" hidden="1">{"'Sheet1'!$A$1"}</definedName>
    <definedName name="HFG" localSheetId="28" hidden="1">{"'Sheet1'!$A$1"}</definedName>
    <definedName name="HFG" localSheetId="29" hidden="1">{"'Sheet1'!$A$1"}</definedName>
    <definedName name="HFG" localSheetId="31" hidden="1">{"'Sheet1'!$A$1"}</definedName>
    <definedName name="HFG" localSheetId="30" hidden="1">{"'Sheet1'!$A$1"}</definedName>
    <definedName name="HFG" localSheetId="17" hidden="1">{"'Sheet1'!$A$1"}</definedName>
    <definedName name="HFG" localSheetId="18" hidden="1">{"'Sheet1'!$A$1"}</definedName>
    <definedName name="HFG" hidden="1">{"'Sheet1'!$A$1"}</definedName>
    <definedName name="HFGDJ" localSheetId="20" hidden="1">{"'Sheet1'!$A$1"}</definedName>
    <definedName name="HFGDJ" localSheetId="19" hidden="1">{"'Sheet1'!$A$1"}</definedName>
    <definedName name="HFGDJ" localSheetId="26" hidden="1">{"'Sheet1'!$A$1"}</definedName>
    <definedName name="HFGDJ" localSheetId="24" hidden="1">{"'Sheet1'!$A$1"}</definedName>
    <definedName name="HFGDJ" localSheetId="32" hidden="1">{"'Sheet1'!$A$1"}</definedName>
    <definedName name="HFGDJ" localSheetId="27" hidden="1">{"'Sheet1'!$A$1"}</definedName>
    <definedName name="HFGDJ" localSheetId="28" hidden="1">{"'Sheet1'!$A$1"}</definedName>
    <definedName name="HFGDJ" localSheetId="29" hidden="1">{"'Sheet1'!$A$1"}</definedName>
    <definedName name="HFGDJ" localSheetId="31" hidden="1">{"'Sheet1'!$A$1"}</definedName>
    <definedName name="HFGDJ" localSheetId="30" hidden="1">{"'Sheet1'!$A$1"}</definedName>
    <definedName name="HFGDJ" localSheetId="17" hidden="1">{"'Sheet1'!$A$1"}</definedName>
    <definedName name="HFGDJ" localSheetId="18" hidden="1">{"'Sheet1'!$A$1"}</definedName>
    <definedName name="HFGDJ" hidden="1">{"'Sheet1'!$A$1"}</definedName>
    <definedName name="hfjhhjj" localSheetId="20" hidden="1">{#N/A,#N/A,FALSE,"CCTV"}</definedName>
    <definedName name="hfjhhjj" localSheetId="19" hidden="1">{#N/A,#N/A,FALSE,"CCTV"}</definedName>
    <definedName name="hfjhhjj" localSheetId="26" hidden="1">{#N/A,#N/A,FALSE,"CCTV"}</definedName>
    <definedName name="hfjhhjj" localSheetId="24" hidden="1">{#N/A,#N/A,FALSE,"CCTV"}</definedName>
    <definedName name="hfjhhjj" localSheetId="32" hidden="1">{#N/A,#N/A,FALSE,"CCTV"}</definedName>
    <definedName name="hfjhhjj" localSheetId="27" hidden="1">{#N/A,#N/A,FALSE,"CCTV"}</definedName>
    <definedName name="hfjhhjj" localSheetId="28" hidden="1">{#N/A,#N/A,FALSE,"CCTV"}</definedName>
    <definedName name="hfjhhjj" localSheetId="29" hidden="1">{#N/A,#N/A,FALSE,"CCTV"}</definedName>
    <definedName name="hfjhhjj" localSheetId="31" hidden="1">{#N/A,#N/A,FALSE,"CCTV"}</definedName>
    <definedName name="hfjhhjj" localSheetId="30" hidden="1">{#N/A,#N/A,FALSE,"CCTV"}</definedName>
    <definedName name="hfjhhjj" localSheetId="17" hidden="1">{#N/A,#N/A,FALSE,"CCTV"}</definedName>
    <definedName name="hfjhhjj" localSheetId="18" hidden="1">{#N/A,#N/A,FALSE,"CCTV"}</definedName>
    <definedName name="hfjhhjj" hidden="1">{#N/A,#N/A,FALSE,"CCTV"}</definedName>
    <definedName name="hfy" localSheetId="32" hidden="1">#REF!</definedName>
    <definedName name="hfy" localSheetId="27" hidden="1">#REF!</definedName>
    <definedName name="hfy" localSheetId="18" hidden="1">#REF!</definedName>
    <definedName name="hfy" hidden="1">#REF!</definedName>
    <definedName name="hfyd" localSheetId="20" hidden="1">{"'Sheet1'!$A$1"}</definedName>
    <definedName name="hfyd" localSheetId="19" hidden="1">{"'Sheet1'!$A$1"}</definedName>
    <definedName name="hfyd" localSheetId="26" hidden="1">{"'Sheet1'!$A$1"}</definedName>
    <definedName name="hfyd" localSheetId="24" hidden="1">{"'Sheet1'!$A$1"}</definedName>
    <definedName name="hfyd" localSheetId="32" hidden="1">{"'Sheet1'!$A$1"}</definedName>
    <definedName name="hfyd" localSheetId="27" hidden="1">{"'Sheet1'!$A$1"}</definedName>
    <definedName name="hfyd" localSheetId="28" hidden="1">{"'Sheet1'!$A$1"}</definedName>
    <definedName name="hfyd" localSheetId="29" hidden="1">{"'Sheet1'!$A$1"}</definedName>
    <definedName name="hfyd" localSheetId="31" hidden="1">{"'Sheet1'!$A$1"}</definedName>
    <definedName name="hfyd" localSheetId="30" hidden="1">{"'Sheet1'!$A$1"}</definedName>
    <definedName name="hfyd" localSheetId="17" hidden="1">{"'Sheet1'!$A$1"}</definedName>
    <definedName name="hfyd" localSheetId="18" hidden="1">{"'Sheet1'!$A$1"}</definedName>
    <definedName name="hfyd" hidden="1">{"'Sheet1'!$A$1"}</definedName>
    <definedName name="HG" localSheetId="20" hidden="1">{#N/A,#N/A,FALSE,"CCTV"}</definedName>
    <definedName name="HG" localSheetId="19" hidden="1">{#N/A,#N/A,FALSE,"CCTV"}</definedName>
    <definedName name="HG" localSheetId="26" hidden="1">{#N/A,#N/A,FALSE,"CCTV"}</definedName>
    <definedName name="HG" localSheetId="24" hidden="1">{#N/A,#N/A,FALSE,"CCTV"}</definedName>
    <definedName name="HG" localSheetId="32" hidden="1">{#N/A,#N/A,FALSE,"CCTV"}</definedName>
    <definedName name="HG" localSheetId="27" hidden="1">{#N/A,#N/A,FALSE,"CCTV"}</definedName>
    <definedName name="HG" localSheetId="28" hidden="1">{#N/A,#N/A,FALSE,"CCTV"}</definedName>
    <definedName name="HG" localSheetId="29" hidden="1">{#N/A,#N/A,FALSE,"CCTV"}</definedName>
    <definedName name="HG" localSheetId="31" hidden="1">{#N/A,#N/A,FALSE,"CCTV"}</definedName>
    <definedName name="HG" localSheetId="30" hidden="1">{#N/A,#N/A,FALSE,"CCTV"}</definedName>
    <definedName name="HG" localSheetId="17" hidden="1">{#N/A,#N/A,FALSE,"CCTV"}</definedName>
    <definedName name="HG" localSheetId="18" hidden="1">{#N/A,#N/A,FALSE,"CCTV"}</definedName>
    <definedName name="HG" hidden="1">{#N/A,#N/A,FALSE,"CCTV"}</definedName>
    <definedName name="hgblkdhlh" localSheetId="32" hidden="1">#REF!</definedName>
    <definedName name="hgblkdhlh" localSheetId="27" hidden="1">#REF!</definedName>
    <definedName name="hgblkdhlh" localSheetId="18" hidden="1">#REF!</definedName>
    <definedName name="hgblkdhlh" hidden="1">#REF!</definedName>
    <definedName name="hgdagduwayeahe" localSheetId="27" hidden="1">#REF!</definedName>
    <definedName name="hgdagduwayeahe" localSheetId="18" hidden="1">#REF!</definedName>
    <definedName name="hgdagduwayeahe" hidden="1">#REF!</definedName>
    <definedName name="hgjfgh" localSheetId="20" hidden="1">{#N/A,#N/A,FALSE,"CCTV"}</definedName>
    <definedName name="hgjfgh" localSheetId="19" hidden="1">{#N/A,#N/A,FALSE,"CCTV"}</definedName>
    <definedName name="hgjfgh" localSheetId="26" hidden="1">{#N/A,#N/A,FALSE,"CCTV"}</definedName>
    <definedName name="hgjfgh" localSheetId="24" hidden="1">{#N/A,#N/A,FALSE,"CCTV"}</definedName>
    <definedName name="hgjfgh" localSheetId="32" hidden="1">{#N/A,#N/A,FALSE,"CCTV"}</definedName>
    <definedName name="hgjfgh" localSheetId="27" hidden="1">{#N/A,#N/A,FALSE,"CCTV"}</definedName>
    <definedName name="hgjfgh" localSheetId="28" hidden="1">{#N/A,#N/A,FALSE,"CCTV"}</definedName>
    <definedName name="hgjfgh" localSheetId="29" hidden="1">{#N/A,#N/A,FALSE,"CCTV"}</definedName>
    <definedName name="hgjfgh" localSheetId="31" hidden="1">{#N/A,#N/A,FALSE,"CCTV"}</definedName>
    <definedName name="hgjfgh" localSheetId="30" hidden="1">{#N/A,#N/A,FALSE,"CCTV"}</definedName>
    <definedName name="hgjfgh" localSheetId="17" hidden="1">{#N/A,#N/A,FALSE,"CCTV"}</definedName>
    <definedName name="hgjfgh" localSheetId="18" hidden="1">{#N/A,#N/A,FALSE,"CCTV"}</definedName>
    <definedName name="hgjfgh" hidden="1">{#N/A,#N/A,FALSE,"CCTV"}</definedName>
    <definedName name="hgjgfhgh" localSheetId="20" hidden="1">{#N/A,#N/A,FALSE,"CCTV"}</definedName>
    <definedName name="hgjgfhgh" localSheetId="19" hidden="1">{#N/A,#N/A,FALSE,"CCTV"}</definedName>
    <definedName name="hgjgfhgh" localSheetId="26" hidden="1">{#N/A,#N/A,FALSE,"CCTV"}</definedName>
    <definedName name="hgjgfhgh" localSheetId="24" hidden="1">{#N/A,#N/A,FALSE,"CCTV"}</definedName>
    <definedName name="hgjgfhgh" localSheetId="32" hidden="1">{#N/A,#N/A,FALSE,"CCTV"}</definedName>
    <definedName name="hgjgfhgh" localSheetId="27" hidden="1">{#N/A,#N/A,FALSE,"CCTV"}</definedName>
    <definedName name="hgjgfhgh" localSheetId="28" hidden="1">{#N/A,#N/A,FALSE,"CCTV"}</definedName>
    <definedName name="hgjgfhgh" localSheetId="29" hidden="1">{#N/A,#N/A,FALSE,"CCTV"}</definedName>
    <definedName name="hgjgfhgh" localSheetId="31" hidden="1">{#N/A,#N/A,FALSE,"CCTV"}</definedName>
    <definedName name="hgjgfhgh" localSheetId="30" hidden="1">{#N/A,#N/A,FALSE,"CCTV"}</definedName>
    <definedName name="hgjgfhgh" localSheetId="17" hidden="1">{#N/A,#N/A,FALSE,"CCTV"}</definedName>
    <definedName name="hgjgfhgh" localSheetId="18" hidden="1">{#N/A,#N/A,FALSE,"CCTV"}</definedName>
    <definedName name="hgjgfhgh" hidden="1">{#N/A,#N/A,FALSE,"CCTV"}</definedName>
    <definedName name="hgjj" localSheetId="20" hidden="1">{"'Sheet1'!$A$1"}</definedName>
    <definedName name="hgjj" localSheetId="19" hidden="1">{"'Sheet1'!$A$1"}</definedName>
    <definedName name="hgjj" localSheetId="26" hidden="1">{"'Sheet1'!$A$1"}</definedName>
    <definedName name="hgjj" localSheetId="24" hidden="1">{"'Sheet1'!$A$1"}</definedName>
    <definedName name="hgjj" localSheetId="32" hidden="1">{"'Sheet1'!$A$1"}</definedName>
    <definedName name="hgjj" localSheetId="27" hidden="1">{"'Sheet1'!$A$1"}</definedName>
    <definedName name="hgjj" localSheetId="28" hidden="1">{"'Sheet1'!$A$1"}</definedName>
    <definedName name="hgjj" localSheetId="29" hidden="1">{"'Sheet1'!$A$1"}</definedName>
    <definedName name="hgjj" localSheetId="31" hidden="1">{"'Sheet1'!$A$1"}</definedName>
    <definedName name="hgjj" localSheetId="30" hidden="1">{"'Sheet1'!$A$1"}</definedName>
    <definedName name="hgjj" localSheetId="17" hidden="1">{"'Sheet1'!$A$1"}</definedName>
    <definedName name="hgjj" localSheetId="18" hidden="1">{"'Sheet1'!$A$1"}</definedName>
    <definedName name="hgjj" hidden="1">{"'Sheet1'!$A$1"}</definedName>
    <definedName name="HH" localSheetId="20" hidden="1">{"'Sheet1'!$A$1"}</definedName>
    <definedName name="HH" localSheetId="19" hidden="1">{"'Sheet1'!$A$1"}</definedName>
    <definedName name="HH" localSheetId="26" hidden="1">{"'Sheet1'!$A$1"}</definedName>
    <definedName name="HH" localSheetId="24" hidden="1">{"'Sheet1'!$A$1"}</definedName>
    <definedName name="HH" localSheetId="32" hidden="1">{"'Sheet1'!$A$1"}</definedName>
    <definedName name="HH" localSheetId="27" hidden="1">{"'Sheet1'!$A$1"}</definedName>
    <definedName name="HH" localSheetId="28" hidden="1">{"'Sheet1'!$A$1"}</definedName>
    <definedName name="HH" localSheetId="29" hidden="1">{"'Sheet1'!$A$1"}</definedName>
    <definedName name="HH" localSheetId="31" hidden="1">{"'Sheet1'!$A$1"}</definedName>
    <definedName name="HH" localSheetId="30" hidden="1">{"'Sheet1'!$A$1"}</definedName>
    <definedName name="HH" localSheetId="17" hidden="1">{"'Sheet1'!$A$1"}</definedName>
    <definedName name="HH" localSheetId="18" hidden="1">{"'Sheet1'!$A$1"}</definedName>
    <definedName name="HH" hidden="1">{"'Sheet1'!$A$1"}</definedName>
    <definedName name="hhh" localSheetId="20" hidden="1">{#N/A,#N/A,FALSE,"Chi tiÆt"}</definedName>
    <definedName name="hhh" localSheetId="19" hidden="1">{#N/A,#N/A,FALSE,"Chi tiÆt"}</definedName>
    <definedName name="hhh" localSheetId="26" hidden="1">{#N/A,#N/A,FALSE,"Chi tiÆt"}</definedName>
    <definedName name="hhh" localSheetId="24" hidden="1">{#N/A,#N/A,FALSE,"Chi tiÆt"}</definedName>
    <definedName name="hhh" localSheetId="32" hidden="1">{#N/A,#N/A,FALSE,"Chi tiÆt"}</definedName>
    <definedName name="hhh" localSheetId="27" hidden="1">{#N/A,#N/A,FALSE,"Chi tiÆt"}</definedName>
    <definedName name="hhh" localSheetId="28" hidden="1">{#N/A,#N/A,FALSE,"Chi tiÆt"}</definedName>
    <definedName name="hhh" localSheetId="29" hidden="1">{#N/A,#N/A,FALSE,"Chi tiÆt"}</definedName>
    <definedName name="hhh" localSheetId="31" hidden="1">{#N/A,#N/A,FALSE,"Chi tiÆt"}</definedName>
    <definedName name="hhh" localSheetId="30" hidden="1">{#N/A,#N/A,FALSE,"Chi tiÆt"}</definedName>
    <definedName name="hhh" localSheetId="17" hidden="1">{#N/A,#N/A,FALSE,"Chi tiÆt"}</definedName>
    <definedName name="hhh" localSheetId="18" hidden="1">{#N/A,#N/A,FALSE,"Chi tiÆt"}</definedName>
    <definedName name="hhh" hidden="1">{#N/A,#N/A,FALSE,"Chi tiÆt"}</definedName>
    <definedName name="HiddenRows" localSheetId="32" hidden="1">#REF!</definedName>
    <definedName name="HiddenRows" localSheetId="27" hidden="1">#REF!</definedName>
    <definedName name="HiddenRows" localSheetId="42" hidden="1">#REF!</definedName>
    <definedName name="HiddenRows" hidden="1">#REF!</definedName>
    <definedName name="HJ" localSheetId="20" hidden="1">{#N/A,#N/A,FALSE,"CCTV"}</definedName>
    <definedName name="HJ" localSheetId="19" hidden="1">{#N/A,#N/A,FALSE,"CCTV"}</definedName>
    <definedName name="HJ" localSheetId="26" hidden="1">{#N/A,#N/A,FALSE,"CCTV"}</definedName>
    <definedName name="HJ" localSheetId="24" hidden="1">{#N/A,#N/A,FALSE,"CCTV"}</definedName>
    <definedName name="HJ" localSheetId="32" hidden="1">{#N/A,#N/A,FALSE,"CCTV"}</definedName>
    <definedName name="HJ" localSheetId="27" hidden="1">{#N/A,#N/A,FALSE,"CCTV"}</definedName>
    <definedName name="HJ" localSheetId="28" hidden="1">{#N/A,#N/A,FALSE,"CCTV"}</definedName>
    <definedName name="HJ" localSheetId="29" hidden="1">{#N/A,#N/A,FALSE,"CCTV"}</definedName>
    <definedName name="HJ" localSheetId="31" hidden="1">{#N/A,#N/A,FALSE,"CCTV"}</definedName>
    <definedName name="HJ" localSheetId="30" hidden="1">{#N/A,#N/A,FALSE,"CCTV"}</definedName>
    <definedName name="HJ" localSheetId="17" hidden="1">{#N/A,#N/A,FALSE,"CCTV"}</definedName>
    <definedName name="HJ" localSheetId="18" hidden="1">{#N/A,#N/A,FALSE,"CCTV"}</definedName>
    <definedName name="HJ" hidden="1">{#N/A,#N/A,FALSE,"CCTV"}</definedName>
    <definedName name="hjhjhjhjhjhjh" localSheetId="32" hidden="1">#REF!</definedName>
    <definedName name="hjhjhjhjhjhjh" localSheetId="27" hidden="1">#REF!</definedName>
    <definedName name="hjhjhjhjhjhjh" localSheetId="18" hidden="1">#REF!</definedName>
    <definedName name="hjhjhjhjhjhjh" hidden="1">#REF!</definedName>
    <definedName name="HJKL" localSheetId="27" hidden="1">#REF!</definedName>
    <definedName name="HJKL" localSheetId="18" hidden="1">#REF!</definedName>
    <definedName name="HJKL" hidden="1">#REF!</definedName>
    <definedName name="hjy" localSheetId="20" hidden="1">{"'Sheet1'!$A$1"}</definedName>
    <definedName name="hjy" localSheetId="19" hidden="1">{"'Sheet1'!$A$1"}</definedName>
    <definedName name="hjy" localSheetId="26" hidden="1">{"'Sheet1'!$A$1"}</definedName>
    <definedName name="hjy" localSheetId="24" hidden="1">{"'Sheet1'!$A$1"}</definedName>
    <definedName name="hjy" localSheetId="32" hidden="1">{"'Sheet1'!$A$1"}</definedName>
    <definedName name="hjy" localSheetId="27" hidden="1">{"'Sheet1'!$A$1"}</definedName>
    <definedName name="hjy" localSheetId="28" hidden="1">{"'Sheet1'!$A$1"}</definedName>
    <definedName name="hjy" localSheetId="29" hidden="1">{"'Sheet1'!$A$1"}</definedName>
    <definedName name="hjy" localSheetId="31" hidden="1">{"'Sheet1'!$A$1"}</definedName>
    <definedName name="hjy" localSheetId="30" hidden="1">{"'Sheet1'!$A$1"}</definedName>
    <definedName name="hjy" localSheetId="17" hidden="1">{"'Sheet1'!$A$1"}</definedName>
    <definedName name="hjy" localSheetId="18" hidden="1">{"'Sheet1'!$A$1"}</definedName>
    <definedName name="hjy" hidden="1">{"'Sheet1'!$A$1"}</definedName>
    <definedName name="hktrv" hidden="1">#REF!</definedName>
    <definedName name="hmm" localSheetId="20" hidden="1">{#N/A,#N/A,TRUE,"toc";#N/A,#N/A,TRUE,"general";#N/A,#N/A,TRUE,"compressive";#N/A,#N/A,TRUE,"lateral";#N/A,#N/A,TRUE,"shallow"}</definedName>
    <definedName name="hmm" localSheetId="19" hidden="1">{#N/A,#N/A,TRUE,"toc";#N/A,#N/A,TRUE,"general";#N/A,#N/A,TRUE,"compressive";#N/A,#N/A,TRUE,"lateral";#N/A,#N/A,TRUE,"shallow"}</definedName>
    <definedName name="hmm" localSheetId="26" hidden="1">{#N/A,#N/A,TRUE,"toc";#N/A,#N/A,TRUE,"general";#N/A,#N/A,TRUE,"compressive";#N/A,#N/A,TRUE,"lateral";#N/A,#N/A,TRUE,"shallow"}</definedName>
    <definedName name="hmm" localSheetId="24" hidden="1">{#N/A,#N/A,TRUE,"toc";#N/A,#N/A,TRUE,"general";#N/A,#N/A,TRUE,"compressive";#N/A,#N/A,TRUE,"lateral";#N/A,#N/A,TRUE,"shallow"}</definedName>
    <definedName name="hmm" localSheetId="32" hidden="1">{#N/A,#N/A,TRUE,"toc";#N/A,#N/A,TRUE,"general";#N/A,#N/A,TRUE,"compressive";#N/A,#N/A,TRUE,"lateral";#N/A,#N/A,TRUE,"shallow"}</definedName>
    <definedName name="hmm" localSheetId="27" hidden="1">{#N/A,#N/A,TRUE,"toc";#N/A,#N/A,TRUE,"general";#N/A,#N/A,TRUE,"compressive";#N/A,#N/A,TRUE,"lateral";#N/A,#N/A,TRUE,"shallow"}</definedName>
    <definedName name="hmm" localSheetId="28" hidden="1">{#N/A,#N/A,TRUE,"toc";#N/A,#N/A,TRUE,"general";#N/A,#N/A,TRUE,"compressive";#N/A,#N/A,TRUE,"lateral";#N/A,#N/A,TRUE,"shallow"}</definedName>
    <definedName name="hmm" localSheetId="29" hidden="1">{#N/A,#N/A,TRUE,"toc";#N/A,#N/A,TRUE,"general";#N/A,#N/A,TRUE,"compressive";#N/A,#N/A,TRUE,"lateral";#N/A,#N/A,TRUE,"shallow"}</definedName>
    <definedName name="hmm" localSheetId="31" hidden="1">{#N/A,#N/A,TRUE,"toc";#N/A,#N/A,TRUE,"general";#N/A,#N/A,TRUE,"compressive";#N/A,#N/A,TRUE,"lateral";#N/A,#N/A,TRUE,"shallow"}</definedName>
    <definedName name="hmm" localSheetId="30" hidden="1">{#N/A,#N/A,TRUE,"toc";#N/A,#N/A,TRUE,"general";#N/A,#N/A,TRUE,"compressive";#N/A,#N/A,TRUE,"lateral";#N/A,#N/A,TRUE,"shallow"}</definedName>
    <definedName name="hmm" localSheetId="17" hidden="1">{#N/A,#N/A,TRUE,"toc";#N/A,#N/A,TRUE,"general";#N/A,#N/A,TRUE,"compressive";#N/A,#N/A,TRUE,"lateral";#N/A,#N/A,TRUE,"shallow"}</definedName>
    <definedName name="hmm" localSheetId="18" hidden="1">{#N/A,#N/A,TRUE,"toc";#N/A,#N/A,TRUE,"general";#N/A,#N/A,TRUE,"compressive";#N/A,#N/A,TRUE,"lateral";#N/A,#N/A,TRUE,"shallow"}</definedName>
    <definedName name="hmm" hidden="1">{#N/A,#N/A,TRUE,"toc";#N/A,#N/A,TRUE,"general";#N/A,#N/A,TRUE,"compressive";#N/A,#N/A,TRUE,"lateral";#N/A,#N/A,TRUE,"shallow"}</definedName>
    <definedName name="HQ" localSheetId="20" hidden="1">{#N/A,#N/A,FALSE,"CCTV"}</definedName>
    <definedName name="HQ" localSheetId="19" hidden="1">{#N/A,#N/A,FALSE,"CCTV"}</definedName>
    <definedName name="HQ" localSheetId="26" hidden="1">{#N/A,#N/A,FALSE,"CCTV"}</definedName>
    <definedName name="HQ" localSheetId="24" hidden="1">{#N/A,#N/A,FALSE,"CCTV"}</definedName>
    <definedName name="HQ" localSheetId="32" hidden="1">{#N/A,#N/A,FALSE,"CCTV"}</definedName>
    <definedName name="HQ" localSheetId="27" hidden="1">{#N/A,#N/A,FALSE,"CCTV"}</definedName>
    <definedName name="HQ" localSheetId="28" hidden="1">{#N/A,#N/A,FALSE,"CCTV"}</definedName>
    <definedName name="HQ" localSheetId="29" hidden="1">{#N/A,#N/A,FALSE,"CCTV"}</definedName>
    <definedName name="HQ" localSheetId="31" hidden="1">{#N/A,#N/A,FALSE,"CCTV"}</definedName>
    <definedName name="HQ" localSheetId="30" hidden="1">{#N/A,#N/A,FALSE,"CCTV"}</definedName>
    <definedName name="HQ" localSheetId="17" hidden="1">{#N/A,#N/A,FALSE,"CCTV"}</definedName>
    <definedName name="HQ" localSheetId="18" hidden="1">{#N/A,#N/A,FALSE,"CCTV"}</definedName>
    <definedName name="HQ" hidden="1">{#N/A,#N/A,FALSE,"CCTV"}</definedName>
    <definedName name="hshjahjshj" localSheetId="32" hidden="1">#REF!</definedName>
    <definedName name="hshjahjshj" hidden="1">#REF!</definedName>
    <definedName name="HTG" localSheetId="20" hidden="1">{#N/A,#N/A,FALSE,"REK";#N/A,#N/A,FALSE,"rab"}</definedName>
    <definedName name="HTG" localSheetId="19" hidden="1">{#N/A,#N/A,FALSE,"REK";#N/A,#N/A,FALSE,"rab"}</definedName>
    <definedName name="HTG" localSheetId="26" hidden="1">{#N/A,#N/A,FALSE,"REK";#N/A,#N/A,FALSE,"rab"}</definedName>
    <definedName name="HTG" localSheetId="23" hidden="1">{#N/A,#N/A,FALSE,"REK";#N/A,#N/A,FALSE,"rab"}</definedName>
    <definedName name="HTG" localSheetId="24" hidden="1">{#N/A,#N/A,FALSE,"REK";#N/A,#N/A,FALSE,"rab"}</definedName>
    <definedName name="HTG" localSheetId="32" hidden="1">{#N/A,#N/A,FALSE,"REK";#N/A,#N/A,FALSE,"rab"}</definedName>
    <definedName name="HTG" localSheetId="27" hidden="1">{#N/A,#N/A,FALSE,"REK";#N/A,#N/A,FALSE,"rab"}</definedName>
    <definedName name="HTG" localSheetId="28" hidden="1">{#N/A,#N/A,FALSE,"REK";#N/A,#N/A,FALSE,"rab"}</definedName>
    <definedName name="HTG" localSheetId="29" hidden="1">{#N/A,#N/A,FALSE,"REK";#N/A,#N/A,FALSE,"rab"}</definedName>
    <definedName name="HTG" localSheetId="31" hidden="1">{#N/A,#N/A,FALSE,"REK";#N/A,#N/A,FALSE,"rab"}</definedName>
    <definedName name="HTG" localSheetId="30" hidden="1">{#N/A,#N/A,FALSE,"REK";#N/A,#N/A,FALSE,"rab"}</definedName>
    <definedName name="HTG" localSheetId="13" hidden="1">{#N/A,#N/A,FALSE,"REK";#N/A,#N/A,FALSE,"rab"}</definedName>
    <definedName name="HTG" localSheetId="17" hidden="1">{#N/A,#N/A,FALSE,"REK";#N/A,#N/A,FALSE,"rab"}</definedName>
    <definedName name="HTG" localSheetId="18" hidden="1">{#N/A,#N/A,FALSE,"REK";#N/A,#N/A,FALSE,"rab"}</definedName>
    <definedName name="HTG" localSheetId="22" hidden="1">{#N/A,#N/A,FALSE,"REK";#N/A,#N/A,FALSE,"rab"}</definedName>
    <definedName name="HTG" localSheetId="40" hidden="1">{#N/A,#N/A,FALSE,"REK";#N/A,#N/A,FALSE,"rab"}</definedName>
    <definedName name="HTG" localSheetId="41" hidden="1">{#N/A,#N/A,FALSE,"REK";#N/A,#N/A,FALSE,"rab"}</definedName>
    <definedName name="HTG" localSheetId="42" hidden="1">{#N/A,#N/A,FALSE,"REK";#N/A,#N/A,FALSE,"rab"}</definedName>
    <definedName name="HTG" localSheetId="35" hidden="1">{#N/A,#N/A,FALSE,"REK";#N/A,#N/A,FALSE,"rab"}</definedName>
    <definedName name="HTG" localSheetId="38" hidden="1">{#N/A,#N/A,FALSE,"REK";#N/A,#N/A,FALSE,"rab"}</definedName>
    <definedName name="HTG" hidden="1">{#N/A,#N/A,FALSE,"REK";#N/A,#N/A,FALSE,"rab"}</definedName>
    <definedName name="hthjhj" localSheetId="20" hidden="1">{"'Sheet1'!$A$1"}</definedName>
    <definedName name="hthjhj" localSheetId="19" hidden="1">{"'Sheet1'!$A$1"}</definedName>
    <definedName name="hthjhj" localSheetId="26" hidden="1">{"'Sheet1'!$A$1"}</definedName>
    <definedName name="hthjhj" localSheetId="24" hidden="1">{"'Sheet1'!$A$1"}</definedName>
    <definedName name="hthjhj" localSheetId="32" hidden="1">{"'Sheet1'!$A$1"}</definedName>
    <definedName name="hthjhj" localSheetId="27" hidden="1">{"'Sheet1'!$A$1"}</definedName>
    <definedName name="hthjhj" localSheetId="28" hidden="1">{"'Sheet1'!$A$1"}</definedName>
    <definedName name="hthjhj" localSheetId="29" hidden="1">{"'Sheet1'!$A$1"}</definedName>
    <definedName name="hthjhj" localSheetId="31" hidden="1">{"'Sheet1'!$A$1"}</definedName>
    <definedName name="hthjhj" localSheetId="30" hidden="1">{"'Sheet1'!$A$1"}</definedName>
    <definedName name="hthjhj" localSheetId="17" hidden="1">{"'Sheet1'!$A$1"}</definedName>
    <definedName name="hthjhj" localSheetId="18" hidden="1">{"'Sheet1'!$A$1"}</definedName>
    <definedName name="hthjhj" hidden="1">{"'Sheet1'!$A$1"}</definedName>
    <definedName name="HTML" localSheetId="20" hidden="1">{"'장비'!$A$3:$M$12"}</definedName>
    <definedName name="HTML" localSheetId="19" hidden="1">{"'장비'!$A$3:$M$12"}</definedName>
    <definedName name="HTML" localSheetId="26" hidden="1">{"'장비'!$A$3:$M$12"}</definedName>
    <definedName name="HTML" localSheetId="24" hidden="1">{"'장비'!$A$3:$M$12"}</definedName>
    <definedName name="HTML" localSheetId="32" hidden="1">{"'장비'!$A$3:$M$12"}</definedName>
    <definedName name="HTML" localSheetId="27" hidden="1">{"'장비'!$A$3:$M$12"}</definedName>
    <definedName name="HTML" localSheetId="28" hidden="1">{"'장비'!$A$3:$M$12"}</definedName>
    <definedName name="HTML" localSheetId="29" hidden="1">{"'장비'!$A$3:$M$12"}</definedName>
    <definedName name="HTML" localSheetId="31" hidden="1">{"'장비'!$A$3:$M$12"}</definedName>
    <definedName name="HTML" localSheetId="30" hidden="1">{"'장비'!$A$3:$M$12"}</definedName>
    <definedName name="HTML" localSheetId="17" hidden="1">{"'장비'!$A$3:$M$12"}</definedName>
    <definedName name="HTML" localSheetId="18" hidden="1">{"'장비'!$A$3:$M$12"}</definedName>
    <definedName name="HTML" hidden="1">{"'장비'!$A$3:$M$12"}</definedName>
    <definedName name="HTML_CodePage" hidden="1">1252</definedName>
    <definedName name="HTML_Control" localSheetId="20" hidden="1">{"'Sheet1'!$A$1"}</definedName>
    <definedName name="HTML_Control" localSheetId="19" hidden="1">{"'Sheet1'!$A$1"}</definedName>
    <definedName name="HTML_Control" localSheetId="26" hidden="1">{"'Sheet1'!$A$1"}</definedName>
    <definedName name="HTML_Control" localSheetId="24" hidden="1">{"'Sheet1'!$A$1"}</definedName>
    <definedName name="HTML_Control" localSheetId="32" hidden="1">{"'Sheet1'!$A$1"}</definedName>
    <definedName name="HTML_Control" localSheetId="27" hidden="1">{"'Sheet1'!$A$1"}</definedName>
    <definedName name="HTML_Control" localSheetId="28" hidden="1">{"'Sheet1'!$A$1"}</definedName>
    <definedName name="HTML_Control" localSheetId="29" hidden="1">{"'Sheet1'!$A$1"}</definedName>
    <definedName name="HTML_Control" localSheetId="31" hidden="1">{"'Sheet1'!$A$1"}</definedName>
    <definedName name="HTML_Control" localSheetId="30" hidden="1">{"'Sheet1'!$A$1"}</definedName>
    <definedName name="HTML_Control" localSheetId="17" hidden="1">{"'Sheet1'!$A$1"}</definedName>
    <definedName name="HTML_Control" localSheetId="18" hidden="1">{"'Sheet1'!$A$1"}</definedName>
    <definedName name="HTML_Control" hidden="1">{"'Sheet1'!$A$1"}</definedName>
    <definedName name="HTML_Description" hidden="1">""</definedName>
    <definedName name="HTML_Email" hidden="1">""</definedName>
    <definedName name="HTML_Header" hidden="1">"Sheet1"</definedName>
    <definedName name="HTML_LastUpdate" hidden="1">"4/12/01"</definedName>
    <definedName name="HTML_LineAfter" hidden="1">FALSE()</definedName>
    <definedName name="HTML_LineBefore" hidden="1">FALSE()</definedName>
    <definedName name="HTML_Name" hidden="1">"TJ 2000"</definedName>
    <definedName name="HTML_OBDlg2" hidden="1">TRUE()</definedName>
    <definedName name="HTML_OBDlg4" hidden="1">TRUE()</definedName>
    <definedName name="HTML_OS" hidden="1">0</definedName>
    <definedName name="HTML_PathFile" hidden="1">"C:\WINDOWS\Favorites\MyHTML.htm"</definedName>
    <definedName name="HTML_Title" hidden="1">"Book1"</definedName>
    <definedName name="html1" localSheetId="20" hidden="1">{"'Sheet1'!$A$1"}</definedName>
    <definedName name="html1" localSheetId="19" hidden="1">{"'Sheet1'!$A$1"}</definedName>
    <definedName name="html1" localSheetId="26" hidden="1">{"'Sheet1'!$A$1"}</definedName>
    <definedName name="html1" localSheetId="24" hidden="1">{"'Sheet1'!$A$1"}</definedName>
    <definedName name="html1" localSheetId="32" hidden="1">{"'Sheet1'!$A$1"}</definedName>
    <definedName name="html1" localSheetId="27" hidden="1">{"'Sheet1'!$A$1"}</definedName>
    <definedName name="html1" localSheetId="28" hidden="1">{"'Sheet1'!$A$1"}</definedName>
    <definedName name="html1" localSheetId="29" hidden="1">{"'Sheet1'!$A$1"}</definedName>
    <definedName name="html1" localSheetId="31" hidden="1">{"'Sheet1'!$A$1"}</definedName>
    <definedName name="html1" localSheetId="30" hidden="1">{"'Sheet1'!$A$1"}</definedName>
    <definedName name="html1" localSheetId="17" hidden="1">{"'Sheet1'!$A$1"}</definedName>
    <definedName name="html1" localSheetId="18" hidden="1">{"'Sheet1'!$A$1"}</definedName>
    <definedName name="html1" hidden="1">{"'Sheet1'!$A$1"}</definedName>
    <definedName name="HU" localSheetId="20" hidden="1">{#N/A,#N/A,FALSE,"CCTV"}</definedName>
    <definedName name="HU" localSheetId="19" hidden="1">{#N/A,#N/A,FALSE,"CCTV"}</definedName>
    <definedName name="HU" localSheetId="26" hidden="1">{#N/A,#N/A,FALSE,"CCTV"}</definedName>
    <definedName name="HU" localSheetId="24" hidden="1">{#N/A,#N/A,FALSE,"CCTV"}</definedName>
    <definedName name="HU" localSheetId="32" hidden="1">{#N/A,#N/A,FALSE,"CCTV"}</definedName>
    <definedName name="HU" localSheetId="27" hidden="1">{#N/A,#N/A,FALSE,"CCTV"}</definedName>
    <definedName name="HU" localSheetId="28" hidden="1">{#N/A,#N/A,FALSE,"CCTV"}</definedName>
    <definedName name="HU" localSheetId="29" hidden="1">{#N/A,#N/A,FALSE,"CCTV"}</definedName>
    <definedName name="HU" localSheetId="31" hidden="1">{#N/A,#N/A,FALSE,"CCTV"}</definedName>
    <definedName name="HU" localSheetId="30" hidden="1">{#N/A,#N/A,FALSE,"CCTV"}</definedName>
    <definedName name="HU" localSheetId="17" hidden="1">{#N/A,#N/A,FALSE,"CCTV"}</definedName>
    <definedName name="HU" localSheetId="18" hidden="1">{#N/A,#N/A,FALSE,"CCTV"}</definedName>
    <definedName name="HU" hidden="1">{#N/A,#N/A,FALSE,"CCTV"}</definedName>
    <definedName name="Huawei" localSheetId="20" hidden="1">{"msc sw feat summary",#N/A,FALSE,"MSC SW Features v. 1.1."}</definedName>
    <definedName name="Huawei" localSheetId="19" hidden="1">{"msc sw feat summary",#N/A,FALSE,"MSC SW Features v. 1.1."}</definedName>
    <definedName name="Huawei" localSheetId="26" hidden="1">{"msc sw feat summary",#N/A,FALSE,"MSC SW Features v. 1.1."}</definedName>
    <definedName name="Huawei" localSheetId="24" hidden="1">{"msc sw feat summary",#N/A,FALSE,"MSC SW Features v. 1.1."}</definedName>
    <definedName name="Huawei" localSheetId="32" hidden="1">{"msc sw feat summary",#N/A,FALSE,"MSC SW Features v. 1.1."}</definedName>
    <definedName name="Huawei" localSheetId="27" hidden="1">{"msc sw feat summary",#N/A,FALSE,"MSC SW Features v. 1.1."}</definedName>
    <definedName name="Huawei" localSheetId="28" hidden="1">{"msc sw feat summary",#N/A,FALSE,"MSC SW Features v. 1.1."}</definedName>
    <definedName name="Huawei" localSheetId="29" hidden="1">{"msc sw feat summary",#N/A,FALSE,"MSC SW Features v. 1.1."}</definedName>
    <definedName name="Huawei" localSheetId="31" hidden="1">{"msc sw feat summary",#N/A,FALSE,"MSC SW Features v. 1.1."}</definedName>
    <definedName name="Huawei" localSheetId="30" hidden="1">{"msc sw feat summary",#N/A,FALSE,"MSC SW Features v. 1.1."}</definedName>
    <definedName name="Huawei" localSheetId="17" hidden="1">{"msc sw feat summary",#N/A,FALSE,"MSC SW Features v. 1.1."}</definedName>
    <definedName name="Huawei" localSheetId="18" hidden="1">{"msc sw feat summary",#N/A,FALSE,"MSC SW Features v. 1.1."}</definedName>
    <definedName name="Huawei" hidden="1">{"msc sw feat summary",#N/A,FALSE,"MSC SW Features v. 1.1."}</definedName>
    <definedName name="huj" localSheetId="20" hidden="1">{#N/A,#N/A,FALSE,"CCTV"}</definedName>
    <definedName name="huj" localSheetId="19" hidden="1">{#N/A,#N/A,FALSE,"CCTV"}</definedName>
    <definedName name="huj" localSheetId="26" hidden="1">{#N/A,#N/A,FALSE,"CCTV"}</definedName>
    <definedName name="huj" localSheetId="24" hidden="1">{#N/A,#N/A,FALSE,"CCTV"}</definedName>
    <definedName name="huj" localSheetId="32" hidden="1">{#N/A,#N/A,FALSE,"CCTV"}</definedName>
    <definedName name="huj" localSheetId="27" hidden="1">{#N/A,#N/A,FALSE,"CCTV"}</definedName>
    <definedName name="huj" localSheetId="28" hidden="1">{#N/A,#N/A,FALSE,"CCTV"}</definedName>
    <definedName name="huj" localSheetId="29" hidden="1">{#N/A,#N/A,FALSE,"CCTV"}</definedName>
    <definedName name="huj" localSheetId="31" hidden="1">{#N/A,#N/A,FALSE,"CCTV"}</definedName>
    <definedName name="huj" localSheetId="30" hidden="1">{#N/A,#N/A,FALSE,"CCTV"}</definedName>
    <definedName name="huj" localSheetId="17" hidden="1">{#N/A,#N/A,FALSE,"CCTV"}</definedName>
    <definedName name="huj" localSheetId="18" hidden="1">{#N/A,#N/A,FALSE,"CCTV"}</definedName>
    <definedName name="huj" hidden="1">{#N/A,#N/A,FALSE,"CCTV"}</definedName>
    <definedName name="huy" localSheetId="20" hidden="1">{"'Sheet1'!$L$16"}</definedName>
    <definedName name="huy" localSheetId="19" hidden="1">{"'Sheet1'!$L$16"}</definedName>
    <definedName name="huy" localSheetId="26" hidden="1">{"'Sheet1'!$L$16"}</definedName>
    <definedName name="huy" localSheetId="24" hidden="1">{"'Sheet1'!$L$16"}</definedName>
    <definedName name="huy" localSheetId="32" hidden="1">{"'Sheet1'!$L$16"}</definedName>
    <definedName name="huy" localSheetId="27" hidden="1">{"'Sheet1'!$L$16"}</definedName>
    <definedName name="huy" localSheetId="28" hidden="1">{"'Sheet1'!$L$16"}</definedName>
    <definedName name="huy" localSheetId="29" hidden="1">{"'Sheet1'!$L$16"}</definedName>
    <definedName name="huy" localSheetId="31" hidden="1">{"'Sheet1'!$L$16"}</definedName>
    <definedName name="huy" localSheetId="30" hidden="1">{"'Sheet1'!$L$16"}</definedName>
    <definedName name="huy" localSheetId="17" hidden="1">{"'Sheet1'!$L$16"}</definedName>
    <definedName name="huy" localSheetId="18" hidden="1">{"'Sheet1'!$L$16"}</definedName>
    <definedName name="huy" hidden="1">{"'Sheet1'!$L$16"}</definedName>
    <definedName name="HV" localSheetId="20" hidden="1">{#N/A,#N/A,FALSE,"CCTV"}</definedName>
    <definedName name="HV" localSheetId="19" hidden="1">{#N/A,#N/A,FALSE,"CCTV"}</definedName>
    <definedName name="HV" localSheetId="26" hidden="1">{#N/A,#N/A,FALSE,"CCTV"}</definedName>
    <definedName name="HV" localSheetId="24" hidden="1">{#N/A,#N/A,FALSE,"CCTV"}</definedName>
    <definedName name="HV" localSheetId="32" hidden="1">{#N/A,#N/A,FALSE,"CCTV"}</definedName>
    <definedName name="HV" localSheetId="27" hidden="1">{#N/A,#N/A,FALSE,"CCTV"}</definedName>
    <definedName name="HV" localSheetId="28" hidden="1">{#N/A,#N/A,FALSE,"CCTV"}</definedName>
    <definedName name="HV" localSheetId="29" hidden="1">{#N/A,#N/A,FALSE,"CCTV"}</definedName>
    <definedName name="HV" localSheetId="31" hidden="1">{#N/A,#N/A,FALSE,"CCTV"}</definedName>
    <definedName name="HV" localSheetId="30" hidden="1">{#N/A,#N/A,FALSE,"CCTV"}</definedName>
    <definedName name="HV" localSheetId="17" hidden="1">{#N/A,#N/A,FALSE,"CCTV"}</definedName>
    <definedName name="HV" localSheetId="18" hidden="1">{#N/A,#N/A,FALSE,"CCTV"}</definedName>
    <definedName name="HV" hidden="1">{#N/A,#N/A,FALSE,"CCTV"}</definedName>
    <definedName name="hw" localSheetId="20" hidden="1">{#N/A,#N/A,FALSE,"REK-S-TPL";#N/A,#N/A,FALSE,"REK-TPML";#N/A,#N/A,FALSE,"RAB-TEMPEL"}</definedName>
    <definedName name="hw" localSheetId="19" hidden="1">{#N/A,#N/A,FALSE,"REK-S-TPL";#N/A,#N/A,FALSE,"REK-TPML";#N/A,#N/A,FALSE,"RAB-TEMPEL"}</definedName>
    <definedName name="hw" localSheetId="32" hidden="1">{#N/A,#N/A,FALSE,"REK-S-TPL";#N/A,#N/A,FALSE,"REK-TPML";#N/A,#N/A,FALSE,"RAB-TEMPEL"}</definedName>
    <definedName name="hw" localSheetId="27" hidden="1">{#N/A,#N/A,FALSE,"REK-S-TPL";#N/A,#N/A,FALSE,"REK-TPML";#N/A,#N/A,FALSE,"RAB-TEMPEL"}</definedName>
    <definedName name="hw" localSheetId="28" hidden="1">{#N/A,#N/A,FALSE,"REK-S-TPL";#N/A,#N/A,FALSE,"REK-TPML";#N/A,#N/A,FALSE,"RAB-TEMPEL"}</definedName>
    <definedName name="hw" localSheetId="31" hidden="1">{#N/A,#N/A,FALSE,"REK-S-TPL";#N/A,#N/A,FALSE,"REK-TPML";#N/A,#N/A,FALSE,"RAB-TEMPEL"}</definedName>
    <definedName name="hw" localSheetId="30" hidden="1">{#N/A,#N/A,FALSE,"REK-S-TPL";#N/A,#N/A,FALSE,"REK-TPML";#N/A,#N/A,FALSE,"RAB-TEMPEL"}</definedName>
    <definedName name="hw" localSheetId="13" hidden="1">{#N/A,#N/A,FALSE,"REK-S-TPL";#N/A,#N/A,FALSE,"REK-TPML";#N/A,#N/A,FALSE,"RAB-TEMPEL"}</definedName>
    <definedName name="hw" localSheetId="17" hidden="1">{#N/A,#N/A,FALSE,"REK-S-TPL";#N/A,#N/A,FALSE,"REK-TPML";#N/A,#N/A,FALSE,"RAB-TEMPEL"}</definedName>
    <definedName name="hw" localSheetId="18" hidden="1">{#N/A,#N/A,FALSE,"REK-S-TPL";#N/A,#N/A,FALSE,"REK-TPML";#N/A,#N/A,FALSE,"RAB-TEMPEL"}</definedName>
    <definedName name="HY" localSheetId="20" hidden="1">{#N/A,#N/A,FALSE,"CCTV"}</definedName>
    <definedName name="HY" localSheetId="19" hidden="1">{#N/A,#N/A,FALSE,"CCTV"}</definedName>
    <definedName name="HY" localSheetId="26" hidden="1">{#N/A,#N/A,FALSE,"CCTV"}</definedName>
    <definedName name="HY" localSheetId="24" hidden="1">{#N/A,#N/A,FALSE,"CCTV"}</definedName>
    <definedName name="HY" localSheetId="32" hidden="1">{#N/A,#N/A,FALSE,"CCTV"}</definedName>
    <definedName name="HY" localSheetId="27" hidden="1">{#N/A,#N/A,FALSE,"CCTV"}</definedName>
    <definedName name="HY" localSheetId="28" hidden="1">{#N/A,#N/A,FALSE,"CCTV"}</definedName>
    <definedName name="HY" localSheetId="29" hidden="1">{#N/A,#N/A,FALSE,"CCTV"}</definedName>
    <definedName name="HY" localSheetId="31" hidden="1">{#N/A,#N/A,FALSE,"CCTV"}</definedName>
    <definedName name="HY" localSheetId="30" hidden="1">{#N/A,#N/A,FALSE,"CCTV"}</definedName>
    <definedName name="HY" localSheetId="17" hidden="1">{#N/A,#N/A,FALSE,"CCTV"}</definedName>
    <definedName name="HY" localSheetId="18" hidden="1">{#N/A,#N/A,FALSE,"CCTV"}</definedName>
    <definedName name="HY" hidden="1">{#N/A,#N/A,FALSE,"CCTV"}</definedName>
    <definedName name="HYFDG" localSheetId="20" hidden="1">{"'Sheet1'!$A$1"}</definedName>
    <definedName name="HYFDG" localSheetId="19" hidden="1">{"'Sheet1'!$A$1"}</definedName>
    <definedName name="HYFDG" localSheetId="26" hidden="1">{"'Sheet1'!$A$1"}</definedName>
    <definedName name="HYFDG" localSheetId="24" hidden="1">{"'Sheet1'!$A$1"}</definedName>
    <definedName name="HYFDG" localSheetId="32" hidden="1">{"'Sheet1'!$A$1"}</definedName>
    <definedName name="HYFDG" localSheetId="27" hidden="1">{"'Sheet1'!$A$1"}</definedName>
    <definedName name="HYFDG" localSheetId="28" hidden="1">{"'Sheet1'!$A$1"}</definedName>
    <definedName name="HYFDG" localSheetId="29" hidden="1">{"'Sheet1'!$A$1"}</definedName>
    <definedName name="HYFDG" localSheetId="31" hidden="1">{"'Sheet1'!$A$1"}</definedName>
    <definedName name="HYFDG" localSheetId="30" hidden="1">{"'Sheet1'!$A$1"}</definedName>
    <definedName name="HYFDG" localSheetId="17" hidden="1">{"'Sheet1'!$A$1"}</definedName>
    <definedName name="HYFDG" localSheetId="18" hidden="1">{"'Sheet1'!$A$1"}</definedName>
    <definedName name="HYFDG" hidden="1">{"'Sheet1'!$A$1"}</definedName>
    <definedName name="hyhkj" localSheetId="20" hidden="1">{"'Sheet1'!$A$1"}</definedName>
    <definedName name="hyhkj" localSheetId="19" hidden="1">{"'Sheet1'!$A$1"}</definedName>
    <definedName name="hyhkj" localSheetId="26" hidden="1">{"'Sheet1'!$A$1"}</definedName>
    <definedName name="hyhkj" localSheetId="24" hidden="1">{"'Sheet1'!$A$1"}</definedName>
    <definedName name="hyhkj" localSheetId="32" hidden="1">{"'Sheet1'!$A$1"}</definedName>
    <definedName name="hyhkj" localSheetId="27" hidden="1">{"'Sheet1'!$A$1"}</definedName>
    <definedName name="hyhkj" localSheetId="28" hidden="1">{"'Sheet1'!$A$1"}</definedName>
    <definedName name="hyhkj" localSheetId="29" hidden="1">{"'Sheet1'!$A$1"}</definedName>
    <definedName name="hyhkj" localSheetId="31" hidden="1">{"'Sheet1'!$A$1"}</definedName>
    <definedName name="hyhkj" localSheetId="30" hidden="1">{"'Sheet1'!$A$1"}</definedName>
    <definedName name="hyhkj" localSheetId="17" hidden="1">{"'Sheet1'!$A$1"}</definedName>
    <definedName name="hyhkj" localSheetId="18" hidden="1">{"'Sheet1'!$A$1"}</definedName>
    <definedName name="hyhkj" hidden="1">{"'Sheet1'!$A$1"}</definedName>
    <definedName name="hyj" localSheetId="20" hidden="1">{#N/A,#N/A,FALSE,"CCTV"}</definedName>
    <definedName name="hyj" localSheetId="19" hidden="1">{#N/A,#N/A,FALSE,"CCTV"}</definedName>
    <definedName name="hyj" localSheetId="26" hidden="1">{#N/A,#N/A,FALSE,"CCTV"}</definedName>
    <definedName name="hyj" localSheetId="24" hidden="1">{#N/A,#N/A,FALSE,"CCTV"}</definedName>
    <definedName name="hyj" localSheetId="32" hidden="1">{#N/A,#N/A,FALSE,"CCTV"}</definedName>
    <definedName name="hyj" localSheetId="27" hidden="1">{#N/A,#N/A,FALSE,"CCTV"}</definedName>
    <definedName name="hyj" localSheetId="28" hidden="1">{#N/A,#N/A,FALSE,"CCTV"}</definedName>
    <definedName name="hyj" localSheetId="29" hidden="1">{#N/A,#N/A,FALSE,"CCTV"}</definedName>
    <definedName name="hyj" localSheetId="31" hidden="1">{#N/A,#N/A,FALSE,"CCTV"}</definedName>
    <definedName name="hyj" localSheetId="30" hidden="1">{#N/A,#N/A,FALSE,"CCTV"}</definedName>
    <definedName name="hyj" localSheetId="17" hidden="1">{#N/A,#N/A,FALSE,"CCTV"}</definedName>
    <definedName name="hyj" localSheetId="18" hidden="1">{#N/A,#N/A,FALSE,"CCTV"}</definedName>
    <definedName name="hyj" hidden="1">{#N/A,#N/A,FALSE,"CCTV"}</definedName>
    <definedName name="HYSG" localSheetId="20" hidden="1">{"'Sheet1'!$A$1"}</definedName>
    <definedName name="HYSG" localSheetId="19" hidden="1">{"'Sheet1'!$A$1"}</definedName>
    <definedName name="HYSG" localSheetId="26" hidden="1">{"'Sheet1'!$A$1"}</definedName>
    <definedName name="HYSG" localSheetId="24" hidden="1">{"'Sheet1'!$A$1"}</definedName>
    <definedName name="HYSG" localSheetId="32" hidden="1">{"'Sheet1'!$A$1"}</definedName>
    <definedName name="HYSG" localSheetId="27" hidden="1">{"'Sheet1'!$A$1"}</definedName>
    <definedName name="HYSG" localSheetId="28" hidden="1">{"'Sheet1'!$A$1"}</definedName>
    <definedName name="HYSG" localSheetId="29" hidden="1">{"'Sheet1'!$A$1"}</definedName>
    <definedName name="HYSG" localSheetId="31" hidden="1">{"'Sheet1'!$A$1"}</definedName>
    <definedName name="HYSG" localSheetId="30" hidden="1">{"'Sheet1'!$A$1"}</definedName>
    <definedName name="HYSG" localSheetId="17" hidden="1">{"'Sheet1'!$A$1"}</definedName>
    <definedName name="HYSG" localSheetId="18" hidden="1">{"'Sheet1'!$A$1"}</definedName>
    <definedName name="HYSG" hidden="1">{"'Sheet1'!$A$1"}</definedName>
    <definedName name="hyu4t" localSheetId="20" hidden="1">{"'Sheet1'!$A$1"}</definedName>
    <definedName name="hyu4t" localSheetId="19" hidden="1">{"'Sheet1'!$A$1"}</definedName>
    <definedName name="hyu4t" localSheetId="26" hidden="1">{"'Sheet1'!$A$1"}</definedName>
    <definedName name="hyu4t" localSheetId="24" hidden="1">{"'Sheet1'!$A$1"}</definedName>
    <definedName name="hyu4t" localSheetId="32" hidden="1">{"'Sheet1'!$A$1"}</definedName>
    <definedName name="hyu4t" localSheetId="27" hidden="1">{"'Sheet1'!$A$1"}</definedName>
    <definedName name="hyu4t" localSheetId="28" hidden="1">{"'Sheet1'!$A$1"}</definedName>
    <definedName name="hyu4t" localSheetId="29" hidden="1">{"'Sheet1'!$A$1"}</definedName>
    <definedName name="hyu4t" localSheetId="31" hidden="1">{"'Sheet1'!$A$1"}</definedName>
    <definedName name="hyu4t" localSheetId="30" hidden="1">{"'Sheet1'!$A$1"}</definedName>
    <definedName name="hyu4t" localSheetId="17" hidden="1">{"'Sheet1'!$A$1"}</definedName>
    <definedName name="hyu4t" localSheetId="18" hidden="1">{"'Sheet1'!$A$1"}</definedName>
    <definedName name="hyu4t" hidden="1">{"'Sheet1'!$A$1"}</definedName>
    <definedName name="hyut" localSheetId="20" hidden="1">{"'Sheet1'!$A$1"}</definedName>
    <definedName name="hyut" localSheetId="19" hidden="1">{"'Sheet1'!$A$1"}</definedName>
    <definedName name="hyut" localSheetId="26" hidden="1">{"'Sheet1'!$A$1"}</definedName>
    <definedName name="hyut" localSheetId="24" hidden="1">{"'Sheet1'!$A$1"}</definedName>
    <definedName name="hyut" localSheetId="32" hidden="1">{"'Sheet1'!$A$1"}</definedName>
    <definedName name="hyut" localSheetId="27" hidden="1">{"'Sheet1'!$A$1"}</definedName>
    <definedName name="hyut" localSheetId="28" hidden="1">{"'Sheet1'!$A$1"}</definedName>
    <definedName name="hyut" localSheetId="29" hidden="1">{"'Sheet1'!$A$1"}</definedName>
    <definedName name="hyut" localSheetId="31" hidden="1">{"'Sheet1'!$A$1"}</definedName>
    <definedName name="hyut" localSheetId="30" hidden="1">{"'Sheet1'!$A$1"}</definedName>
    <definedName name="hyut" localSheetId="17" hidden="1">{"'Sheet1'!$A$1"}</definedName>
    <definedName name="hyut" localSheetId="18" hidden="1">{"'Sheet1'!$A$1"}</definedName>
    <definedName name="hyut" hidden="1">{"'Sheet1'!$A$1"}</definedName>
    <definedName name="iii" localSheetId="20" hidden="1">{"'Sheet1'!$A$1"}</definedName>
    <definedName name="iii" localSheetId="19" hidden="1">{"'Sheet1'!$A$1"}</definedName>
    <definedName name="iii" localSheetId="32" hidden="1">{"'Sheet1'!$A$1"}</definedName>
    <definedName name="iii" localSheetId="27" hidden="1">{"'Sheet1'!$A$1"}</definedName>
    <definedName name="iii" localSheetId="28" hidden="1">{"'Sheet1'!$A$1"}</definedName>
    <definedName name="iii" localSheetId="31" hidden="1">{"'Sheet1'!$A$1"}</definedName>
    <definedName name="iii" localSheetId="30" hidden="1">{"'Sheet1'!$A$1"}</definedName>
    <definedName name="iii" localSheetId="13" hidden="1">{"'Sheet1'!$A$1"}</definedName>
    <definedName name="iii" localSheetId="17" hidden="1">{"'Sheet1'!$A$1"}</definedName>
    <definedName name="iii" localSheetId="18" hidden="1">{"'Sheet1'!$A$1"}</definedName>
    <definedName name="iiouolkll" localSheetId="20" hidden="1">{#N/A,#N/A,FALSE,"CCTV"}</definedName>
    <definedName name="iiouolkll" localSheetId="19" hidden="1">{#N/A,#N/A,FALSE,"CCTV"}</definedName>
    <definedName name="iiouolkll" localSheetId="26" hidden="1">{#N/A,#N/A,FALSE,"CCTV"}</definedName>
    <definedName name="iiouolkll" localSheetId="24" hidden="1">{#N/A,#N/A,FALSE,"CCTV"}</definedName>
    <definedName name="iiouolkll" localSheetId="32" hidden="1">{#N/A,#N/A,FALSE,"CCTV"}</definedName>
    <definedName name="iiouolkll" localSheetId="27" hidden="1">{#N/A,#N/A,FALSE,"CCTV"}</definedName>
    <definedName name="iiouolkll" localSheetId="28" hidden="1">{#N/A,#N/A,FALSE,"CCTV"}</definedName>
    <definedName name="iiouolkll" localSheetId="29" hidden="1">{#N/A,#N/A,FALSE,"CCTV"}</definedName>
    <definedName name="iiouolkll" localSheetId="31" hidden="1">{#N/A,#N/A,FALSE,"CCTV"}</definedName>
    <definedName name="iiouolkll" localSheetId="30" hidden="1">{#N/A,#N/A,FALSE,"CCTV"}</definedName>
    <definedName name="iiouolkll" localSheetId="17" hidden="1">{#N/A,#N/A,FALSE,"CCTV"}</definedName>
    <definedName name="iiouolkll" localSheetId="18" hidden="1">{#N/A,#N/A,FALSE,"CCTV"}</definedName>
    <definedName name="iiouolkll" hidden="1">{#N/A,#N/A,FALSE,"CCTV"}</definedName>
    <definedName name="indi" localSheetId="20" hidden="1">{#N/A,#N/A,FALSE,"M.02"}</definedName>
    <definedName name="indi" localSheetId="19" hidden="1">{#N/A,#N/A,FALSE,"M.02"}</definedName>
    <definedName name="indi" localSheetId="26" hidden="1">{#N/A,#N/A,FALSE,"M.02"}</definedName>
    <definedName name="indi" localSheetId="24" hidden="1">{#N/A,#N/A,FALSE,"M.02"}</definedName>
    <definedName name="indi" localSheetId="32" hidden="1">{#N/A,#N/A,FALSE,"M.02"}</definedName>
    <definedName name="indi" localSheetId="27" hidden="1">{#N/A,#N/A,FALSE,"M.02"}</definedName>
    <definedName name="indi" localSheetId="28" hidden="1">{#N/A,#N/A,FALSE,"M.02"}</definedName>
    <definedName name="indi" localSheetId="29" hidden="1">{#N/A,#N/A,FALSE,"M.02"}</definedName>
    <definedName name="indi" localSheetId="31" hidden="1">{#N/A,#N/A,FALSE,"M.02"}</definedName>
    <definedName name="indi" localSheetId="30" hidden="1">{#N/A,#N/A,FALSE,"M.02"}</definedName>
    <definedName name="indi" localSheetId="17" hidden="1">{#N/A,#N/A,FALSE,"M.02"}</definedName>
    <definedName name="indi" localSheetId="18" hidden="1">{#N/A,#N/A,FALSE,"M.02"}</definedName>
    <definedName name="indi" hidden="1">{#N/A,#N/A,FALSE,"M.02"}</definedName>
    <definedName name="Inform" localSheetId="20" hidden="1">{#N/A,#N/A,FALSE,"CCTV"}</definedName>
    <definedName name="Inform" localSheetId="19" hidden="1">{#N/A,#N/A,FALSE,"CCTV"}</definedName>
    <definedName name="Inform" localSheetId="26" hidden="1">{#N/A,#N/A,FALSE,"CCTV"}</definedName>
    <definedName name="Inform" localSheetId="24" hidden="1">{#N/A,#N/A,FALSE,"CCTV"}</definedName>
    <definedName name="Inform" localSheetId="32" hidden="1">{#N/A,#N/A,FALSE,"CCTV"}</definedName>
    <definedName name="Inform" localSheetId="27" hidden="1">{#N/A,#N/A,FALSE,"CCTV"}</definedName>
    <definedName name="Inform" localSheetId="28" hidden="1">{#N/A,#N/A,FALSE,"CCTV"}</definedName>
    <definedName name="Inform" localSheetId="29" hidden="1">{#N/A,#N/A,FALSE,"CCTV"}</definedName>
    <definedName name="Inform" localSheetId="31" hidden="1">{#N/A,#N/A,FALSE,"CCTV"}</definedName>
    <definedName name="Inform" localSheetId="30" hidden="1">{#N/A,#N/A,FALSE,"CCTV"}</definedName>
    <definedName name="Inform" localSheetId="17" hidden="1">{#N/A,#N/A,FALSE,"CCTV"}</definedName>
    <definedName name="Inform" localSheetId="18" hidden="1">{#N/A,#N/A,FALSE,"CCTV"}</definedName>
    <definedName name="Inform" hidden="1">{#N/A,#N/A,FALSE,"CCTV"}</definedName>
    <definedName name="INS" localSheetId="20" hidden="1">{#N/A,#N/A,FALSE,"SUM_Prop";#N/A,#N/A,FALSE,"PROCESS-eng";#N/A,#N/A,FALSE,"PROCESS-com";#N/A,#N/A,FALSE,"INST-eng";#N/A,#N/A,FALSE,"INST-com"}</definedName>
    <definedName name="INS" localSheetId="19" hidden="1">{#N/A,#N/A,FALSE,"SUM_Prop";#N/A,#N/A,FALSE,"PROCESS-eng";#N/A,#N/A,FALSE,"PROCESS-com";#N/A,#N/A,FALSE,"INST-eng";#N/A,#N/A,FALSE,"INST-com"}</definedName>
    <definedName name="INS" localSheetId="32" hidden="1">{#N/A,#N/A,FALSE,"SUM_Prop";#N/A,#N/A,FALSE,"PROCESS-eng";#N/A,#N/A,FALSE,"PROCESS-com";#N/A,#N/A,FALSE,"INST-eng";#N/A,#N/A,FALSE,"INST-com"}</definedName>
    <definedName name="INS" localSheetId="27" hidden="1">{#N/A,#N/A,FALSE,"SUM_Prop";#N/A,#N/A,FALSE,"PROCESS-eng";#N/A,#N/A,FALSE,"PROCESS-com";#N/A,#N/A,FALSE,"INST-eng";#N/A,#N/A,FALSE,"INST-com"}</definedName>
    <definedName name="INS" localSheetId="28" hidden="1">{#N/A,#N/A,FALSE,"SUM_Prop";#N/A,#N/A,FALSE,"PROCESS-eng";#N/A,#N/A,FALSE,"PROCESS-com";#N/A,#N/A,FALSE,"INST-eng";#N/A,#N/A,FALSE,"INST-com"}</definedName>
    <definedName name="INS" localSheetId="31" hidden="1">{#N/A,#N/A,FALSE,"SUM_Prop";#N/A,#N/A,FALSE,"PROCESS-eng";#N/A,#N/A,FALSE,"PROCESS-com";#N/A,#N/A,FALSE,"INST-eng";#N/A,#N/A,FALSE,"INST-com"}</definedName>
    <definedName name="INS" localSheetId="30" hidden="1">{#N/A,#N/A,FALSE,"SUM_Prop";#N/A,#N/A,FALSE,"PROCESS-eng";#N/A,#N/A,FALSE,"PROCESS-com";#N/A,#N/A,FALSE,"INST-eng";#N/A,#N/A,FALSE,"INST-com"}</definedName>
    <definedName name="INS" localSheetId="13" hidden="1">{#N/A,#N/A,FALSE,"SUM_Prop";#N/A,#N/A,FALSE,"PROCESS-eng";#N/A,#N/A,FALSE,"PROCESS-com";#N/A,#N/A,FALSE,"INST-eng";#N/A,#N/A,FALSE,"INST-com"}</definedName>
    <definedName name="INS" localSheetId="17" hidden="1">{#N/A,#N/A,FALSE,"SUM_Prop";#N/A,#N/A,FALSE,"PROCESS-eng";#N/A,#N/A,FALSE,"PROCESS-com";#N/A,#N/A,FALSE,"INST-eng";#N/A,#N/A,FALSE,"INST-com"}</definedName>
    <definedName name="INS" localSheetId="18" hidden="1">{#N/A,#N/A,FALSE,"SUM_Prop";#N/A,#N/A,FALSE,"PROCESS-eng";#N/A,#N/A,FALSE,"PROCESS-com";#N/A,#N/A,FALSE,"INST-eng";#N/A,#N/A,FALSE,"INST-com"}</definedName>
    <definedName name="iones" localSheetId="32" hidden="1">#REF!</definedName>
    <definedName name="iones" hidden="1">#REF!</definedName>
    <definedName name="ipp" localSheetId="32" hidden="1">#REF!</definedName>
    <definedName name="ipp" hidden="1">#REF!</definedName>
    <definedName name="irwan" localSheetId="32" hidden="1">#REF!</definedName>
    <definedName name="irwan" hidden="1">#REF!</definedName>
    <definedName name="issi" localSheetId="20" hidden="1">{"'Sheet1'!$A$1"}</definedName>
    <definedName name="issi" localSheetId="19" hidden="1">{"'Sheet1'!$A$1"}</definedName>
    <definedName name="issi" localSheetId="26" hidden="1">{"'Sheet1'!$A$1"}</definedName>
    <definedName name="issi" localSheetId="24" hidden="1">{"'Sheet1'!$A$1"}</definedName>
    <definedName name="issi" localSheetId="32" hidden="1">{"'Sheet1'!$A$1"}</definedName>
    <definedName name="issi" localSheetId="27" hidden="1">{"'Sheet1'!$A$1"}</definedName>
    <definedName name="issi" localSheetId="28" hidden="1">{"'Sheet1'!$A$1"}</definedName>
    <definedName name="issi" localSheetId="29" hidden="1">{"'Sheet1'!$A$1"}</definedName>
    <definedName name="issi" localSheetId="31" hidden="1">{"'Sheet1'!$A$1"}</definedName>
    <definedName name="issi" localSheetId="30" hidden="1">{"'Sheet1'!$A$1"}</definedName>
    <definedName name="issi" localSheetId="17" hidden="1">{"'Sheet1'!$A$1"}</definedName>
    <definedName name="issi" localSheetId="18" hidden="1">{"'Sheet1'!$A$1"}</definedName>
    <definedName name="issi" hidden="1">{"'Sheet1'!$A$1"}</definedName>
    <definedName name="isssi" localSheetId="20" hidden="1">{"'Sheet1'!$A$1"}</definedName>
    <definedName name="isssi" localSheetId="19" hidden="1">{"'Sheet1'!$A$1"}</definedName>
    <definedName name="isssi" localSheetId="26" hidden="1">{"'Sheet1'!$A$1"}</definedName>
    <definedName name="isssi" localSheetId="24" hidden="1">{"'Sheet1'!$A$1"}</definedName>
    <definedName name="isssi" localSheetId="32" hidden="1">{"'Sheet1'!$A$1"}</definedName>
    <definedName name="isssi" localSheetId="27" hidden="1">{"'Sheet1'!$A$1"}</definedName>
    <definedName name="isssi" localSheetId="28" hidden="1">{"'Sheet1'!$A$1"}</definedName>
    <definedName name="isssi" localSheetId="29" hidden="1">{"'Sheet1'!$A$1"}</definedName>
    <definedName name="isssi" localSheetId="31" hidden="1">{"'Sheet1'!$A$1"}</definedName>
    <definedName name="isssi" localSheetId="30" hidden="1">{"'Sheet1'!$A$1"}</definedName>
    <definedName name="isssi" localSheetId="17" hidden="1">{"'Sheet1'!$A$1"}</definedName>
    <definedName name="isssi" localSheetId="18" hidden="1">{"'Sheet1'!$A$1"}</definedName>
    <definedName name="isssi" hidden="1">{"'Sheet1'!$A$1"}</definedName>
    <definedName name="j5jj" localSheetId="20" hidden="1">{"'Sheet1'!$A$1"}</definedName>
    <definedName name="j5jj" localSheetId="19" hidden="1">{"'Sheet1'!$A$1"}</definedName>
    <definedName name="j5jj" localSheetId="26" hidden="1">{"'Sheet1'!$A$1"}</definedName>
    <definedName name="j5jj" localSheetId="24" hidden="1">{"'Sheet1'!$A$1"}</definedName>
    <definedName name="j5jj" localSheetId="32" hidden="1">{"'Sheet1'!$A$1"}</definedName>
    <definedName name="j5jj" localSheetId="27" hidden="1">{"'Sheet1'!$A$1"}</definedName>
    <definedName name="j5jj" localSheetId="28" hidden="1">{"'Sheet1'!$A$1"}</definedName>
    <definedName name="j5jj" localSheetId="29" hidden="1">{"'Sheet1'!$A$1"}</definedName>
    <definedName name="j5jj" localSheetId="31" hidden="1">{"'Sheet1'!$A$1"}</definedName>
    <definedName name="j5jj" localSheetId="30" hidden="1">{"'Sheet1'!$A$1"}</definedName>
    <definedName name="j5jj" localSheetId="17" hidden="1">{"'Sheet1'!$A$1"}</definedName>
    <definedName name="j5jj" localSheetId="18" hidden="1">{"'Sheet1'!$A$1"}</definedName>
    <definedName name="j5jj" hidden="1">{"'Sheet1'!$A$1"}</definedName>
    <definedName name="jadi" hidden="1">#REF!</definedName>
    <definedName name="jangan" localSheetId="42" hidden="1">#REF!</definedName>
    <definedName name="jawa" localSheetId="20" hidden="1">{#N/A,#N/A,FALSE,"M.41"}</definedName>
    <definedName name="jawa" localSheetId="19" hidden="1">{#N/A,#N/A,FALSE,"M.41"}</definedName>
    <definedName name="jawa" localSheetId="26" hidden="1">{#N/A,#N/A,FALSE,"M.41"}</definedName>
    <definedName name="jawa" localSheetId="24" hidden="1">{#N/A,#N/A,FALSE,"M.41"}</definedName>
    <definedName name="jawa" localSheetId="32" hidden="1">{#N/A,#N/A,FALSE,"M.41"}</definedName>
    <definedName name="jawa" localSheetId="27" hidden="1">{#N/A,#N/A,FALSE,"M.41"}</definedName>
    <definedName name="jawa" localSheetId="28" hidden="1">{#N/A,#N/A,FALSE,"M.41"}</definedName>
    <definedName name="jawa" localSheetId="29" hidden="1">{#N/A,#N/A,FALSE,"M.41"}</definedName>
    <definedName name="jawa" localSheetId="31" hidden="1">{#N/A,#N/A,FALSE,"M.41"}</definedName>
    <definedName name="jawa" localSheetId="30" hidden="1">{#N/A,#N/A,FALSE,"M.41"}</definedName>
    <definedName name="jawa" localSheetId="17" hidden="1">{#N/A,#N/A,FALSE,"M.41"}</definedName>
    <definedName name="jawa" localSheetId="18" hidden="1">{#N/A,#N/A,FALSE,"M.41"}</definedName>
    <definedName name="jawa" hidden="1">{#N/A,#N/A,FALSE,"M.41"}</definedName>
    <definedName name="jawabali" localSheetId="20" hidden="1">{#N/A,#N/A,FALSE,"M.31"}</definedName>
    <definedName name="jawabali" localSheetId="19" hidden="1">{#N/A,#N/A,FALSE,"M.31"}</definedName>
    <definedName name="jawabali" localSheetId="26" hidden="1">{#N/A,#N/A,FALSE,"M.31"}</definedName>
    <definedName name="jawabali" localSheetId="24" hidden="1">{#N/A,#N/A,FALSE,"M.31"}</definedName>
    <definedName name="jawabali" localSheetId="32" hidden="1">{#N/A,#N/A,FALSE,"M.31"}</definedName>
    <definedName name="jawabali" localSheetId="27" hidden="1">{#N/A,#N/A,FALSE,"M.31"}</definedName>
    <definedName name="jawabali" localSheetId="28" hidden="1">{#N/A,#N/A,FALSE,"M.31"}</definedName>
    <definedName name="jawabali" localSheetId="29" hidden="1">{#N/A,#N/A,FALSE,"M.31"}</definedName>
    <definedName name="jawabali" localSheetId="31" hidden="1">{#N/A,#N/A,FALSE,"M.31"}</definedName>
    <definedName name="jawabali" localSheetId="30" hidden="1">{#N/A,#N/A,FALSE,"M.31"}</definedName>
    <definedName name="jawabali" localSheetId="17" hidden="1">{#N/A,#N/A,FALSE,"M.31"}</definedName>
    <definedName name="jawabali" localSheetId="18" hidden="1">{#N/A,#N/A,FALSE,"M.31"}</definedName>
    <definedName name="jawabali" hidden="1">{#N/A,#N/A,FALSE,"M.31"}</definedName>
    <definedName name="jb" localSheetId="20" hidden="1">{#N/A,#N/A,FALSE,"CCTV"}</definedName>
    <definedName name="jb" localSheetId="19" hidden="1">{#N/A,#N/A,FALSE,"CCTV"}</definedName>
    <definedName name="jb" localSheetId="26" hidden="1">{#N/A,#N/A,FALSE,"CCTV"}</definedName>
    <definedName name="jb" localSheetId="24" hidden="1">{#N/A,#N/A,FALSE,"CCTV"}</definedName>
    <definedName name="jb" localSheetId="32" hidden="1">{#N/A,#N/A,FALSE,"CCTV"}</definedName>
    <definedName name="jb" localSheetId="27" hidden="1">{#N/A,#N/A,FALSE,"CCTV"}</definedName>
    <definedName name="jb" localSheetId="28" hidden="1">{#N/A,#N/A,FALSE,"CCTV"}</definedName>
    <definedName name="jb" localSheetId="29" hidden="1">{#N/A,#N/A,FALSE,"CCTV"}</definedName>
    <definedName name="jb" localSheetId="31" hidden="1">{#N/A,#N/A,FALSE,"CCTV"}</definedName>
    <definedName name="jb" localSheetId="30" hidden="1">{#N/A,#N/A,FALSE,"CCTV"}</definedName>
    <definedName name="jb" localSheetId="17" hidden="1">{#N/A,#N/A,FALSE,"CCTV"}</definedName>
    <definedName name="jb" localSheetId="18" hidden="1">{#N/A,#N/A,FALSE,"CCTV"}</definedName>
    <definedName name="jb" hidden="1">{#N/A,#N/A,FALSE,"CCTV"}</definedName>
    <definedName name="JE" localSheetId="20" hidden="1">{#N/A,#N/A,FALSE,"CCTV"}</definedName>
    <definedName name="JE" localSheetId="19" hidden="1">{#N/A,#N/A,FALSE,"CCTV"}</definedName>
    <definedName name="JE" localSheetId="26" hidden="1">{#N/A,#N/A,FALSE,"CCTV"}</definedName>
    <definedName name="JE" localSheetId="24" hidden="1">{#N/A,#N/A,FALSE,"CCTV"}</definedName>
    <definedName name="JE" localSheetId="32" hidden="1">{#N/A,#N/A,FALSE,"CCTV"}</definedName>
    <definedName name="JE" localSheetId="27" hidden="1">{#N/A,#N/A,FALSE,"CCTV"}</definedName>
    <definedName name="JE" localSheetId="28" hidden="1">{#N/A,#N/A,FALSE,"CCTV"}</definedName>
    <definedName name="JE" localSheetId="29" hidden="1">{#N/A,#N/A,FALSE,"CCTV"}</definedName>
    <definedName name="JE" localSheetId="31" hidden="1">{#N/A,#N/A,FALSE,"CCTV"}</definedName>
    <definedName name="JE" localSheetId="30" hidden="1">{#N/A,#N/A,FALSE,"CCTV"}</definedName>
    <definedName name="JE" localSheetId="17" hidden="1">{#N/A,#N/A,FALSE,"CCTV"}</definedName>
    <definedName name="JE" localSheetId="18" hidden="1">{#N/A,#N/A,FALSE,"CCTV"}</definedName>
    <definedName name="JE" hidden="1">{#N/A,#N/A,FALSE,"CCTV"}</definedName>
    <definedName name="jesus" localSheetId="32" hidden="1">#REF!</definedName>
    <definedName name="jesus" hidden="1">#REF!</definedName>
    <definedName name="jf" localSheetId="20" hidden="1">{#N/A,#N/A,FALSE,"CCTV"}</definedName>
    <definedName name="jf" localSheetId="19" hidden="1">{#N/A,#N/A,FALSE,"CCTV"}</definedName>
    <definedName name="jf" localSheetId="26" hidden="1">{#N/A,#N/A,FALSE,"CCTV"}</definedName>
    <definedName name="jf" localSheetId="24" hidden="1">{#N/A,#N/A,FALSE,"CCTV"}</definedName>
    <definedName name="jf" localSheetId="32" hidden="1">{#N/A,#N/A,FALSE,"CCTV"}</definedName>
    <definedName name="jf" localSheetId="27" hidden="1">{#N/A,#N/A,FALSE,"CCTV"}</definedName>
    <definedName name="jf" localSheetId="28" hidden="1">{#N/A,#N/A,FALSE,"CCTV"}</definedName>
    <definedName name="jf" localSheetId="29" hidden="1">{#N/A,#N/A,FALSE,"CCTV"}</definedName>
    <definedName name="jf" localSheetId="31" hidden="1">{#N/A,#N/A,FALSE,"CCTV"}</definedName>
    <definedName name="jf" localSheetId="30" hidden="1">{#N/A,#N/A,FALSE,"CCTV"}</definedName>
    <definedName name="jf" localSheetId="17" hidden="1">{#N/A,#N/A,FALSE,"CCTV"}</definedName>
    <definedName name="jf" localSheetId="18" hidden="1">{#N/A,#N/A,FALSE,"CCTV"}</definedName>
    <definedName name="jf" hidden="1">{#N/A,#N/A,FALSE,"CCTV"}</definedName>
    <definedName name="jfj" localSheetId="20" hidden="1">{"'Sheet1'!$A$1"}</definedName>
    <definedName name="jfj" localSheetId="19" hidden="1">{"'Sheet1'!$A$1"}</definedName>
    <definedName name="jfj" localSheetId="26" hidden="1">{"'Sheet1'!$A$1"}</definedName>
    <definedName name="jfj" localSheetId="24" hidden="1">{"'Sheet1'!$A$1"}</definedName>
    <definedName name="jfj" localSheetId="32" hidden="1">{"'Sheet1'!$A$1"}</definedName>
    <definedName name="jfj" localSheetId="27" hidden="1">{"'Sheet1'!$A$1"}</definedName>
    <definedName name="jfj" localSheetId="28" hidden="1">{"'Sheet1'!$A$1"}</definedName>
    <definedName name="jfj" localSheetId="29" hidden="1">{"'Sheet1'!$A$1"}</definedName>
    <definedName name="jfj" localSheetId="31" hidden="1">{"'Sheet1'!$A$1"}</definedName>
    <definedName name="jfj" localSheetId="30" hidden="1">{"'Sheet1'!$A$1"}</definedName>
    <definedName name="jfj" localSheetId="17" hidden="1">{"'Sheet1'!$A$1"}</definedName>
    <definedName name="jfj" localSheetId="18" hidden="1">{"'Sheet1'!$A$1"}</definedName>
    <definedName name="jfj" hidden="1">{"'Sheet1'!$A$1"}</definedName>
    <definedName name="jfugf" localSheetId="20" hidden="1">{"'Sheet1'!$A$1"}</definedName>
    <definedName name="jfugf" localSheetId="19" hidden="1">{"'Sheet1'!$A$1"}</definedName>
    <definedName name="jfugf" localSheetId="26" hidden="1">{"'Sheet1'!$A$1"}</definedName>
    <definedName name="jfugf" localSheetId="24" hidden="1">{"'Sheet1'!$A$1"}</definedName>
    <definedName name="jfugf" localSheetId="32" hidden="1">{"'Sheet1'!$A$1"}</definedName>
    <definedName name="jfugf" localSheetId="27" hidden="1">{"'Sheet1'!$A$1"}</definedName>
    <definedName name="jfugf" localSheetId="28" hidden="1">{"'Sheet1'!$A$1"}</definedName>
    <definedName name="jfugf" localSheetId="29" hidden="1">{"'Sheet1'!$A$1"}</definedName>
    <definedName name="jfugf" localSheetId="31" hidden="1">{"'Sheet1'!$A$1"}</definedName>
    <definedName name="jfugf" localSheetId="30" hidden="1">{"'Sheet1'!$A$1"}</definedName>
    <definedName name="jfugf" localSheetId="17" hidden="1">{"'Sheet1'!$A$1"}</definedName>
    <definedName name="jfugf" localSheetId="18" hidden="1">{"'Sheet1'!$A$1"}</definedName>
    <definedName name="jfugf" hidden="1">{"'Sheet1'!$A$1"}</definedName>
    <definedName name="jhhhh" localSheetId="20" hidden="1">{#N/A,#N/A,FALSE,"CCTV"}</definedName>
    <definedName name="jhhhh" localSheetId="19" hidden="1">{#N/A,#N/A,FALSE,"CCTV"}</definedName>
    <definedName name="jhhhh" localSheetId="26" hidden="1">{#N/A,#N/A,FALSE,"CCTV"}</definedName>
    <definedName name="jhhhh" localSheetId="24" hidden="1">{#N/A,#N/A,FALSE,"CCTV"}</definedName>
    <definedName name="jhhhh" localSheetId="32" hidden="1">{#N/A,#N/A,FALSE,"CCTV"}</definedName>
    <definedName name="jhhhh" localSheetId="27" hidden="1">{#N/A,#N/A,FALSE,"CCTV"}</definedName>
    <definedName name="jhhhh" localSheetId="28" hidden="1">{#N/A,#N/A,FALSE,"CCTV"}</definedName>
    <definedName name="jhhhh" localSheetId="29" hidden="1">{#N/A,#N/A,FALSE,"CCTV"}</definedName>
    <definedName name="jhhhh" localSheetId="31" hidden="1">{#N/A,#N/A,FALSE,"CCTV"}</definedName>
    <definedName name="jhhhh" localSheetId="30" hidden="1">{#N/A,#N/A,FALSE,"CCTV"}</definedName>
    <definedName name="jhhhh" localSheetId="17" hidden="1">{#N/A,#N/A,FALSE,"CCTV"}</definedName>
    <definedName name="jhhhh" localSheetId="18" hidden="1">{#N/A,#N/A,FALSE,"CCTV"}</definedName>
    <definedName name="jhhhh" hidden="1">{#N/A,#N/A,FALSE,"CCTV"}</definedName>
    <definedName name="jhtfthf" localSheetId="32" hidden="1">#REF!</definedName>
    <definedName name="jhtfthf" localSheetId="27" hidden="1">#REF!</definedName>
    <definedName name="jhtfthf" localSheetId="18" hidden="1">#REF!</definedName>
    <definedName name="jhtfthf" hidden="1">#REF!</definedName>
    <definedName name="JHUGTFRD" localSheetId="27" hidden="1">#REF!</definedName>
    <definedName name="JHUGTFRD" localSheetId="18" hidden="1">#REF!</definedName>
    <definedName name="JHUGTFRD" hidden="1">#REF!</definedName>
    <definedName name="JI" localSheetId="20" hidden="1">{#N/A,#N/A,FALSE,"CCTV"}</definedName>
    <definedName name="JI" localSheetId="19" hidden="1">{#N/A,#N/A,FALSE,"CCTV"}</definedName>
    <definedName name="JI" localSheetId="26" hidden="1">{#N/A,#N/A,FALSE,"CCTV"}</definedName>
    <definedName name="JI" localSheetId="24" hidden="1">{#N/A,#N/A,FALSE,"CCTV"}</definedName>
    <definedName name="JI" localSheetId="32" hidden="1">{#N/A,#N/A,FALSE,"CCTV"}</definedName>
    <definedName name="JI" localSheetId="27" hidden="1">{#N/A,#N/A,FALSE,"CCTV"}</definedName>
    <definedName name="JI" localSheetId="28" hidden="1">{#N/A,#N/A,FALSE,"CCTV"}</definedName>
    <definedName name="JI" localSheetId="29" hidden="1">{#N/A,#N/A,FALSE,"CCTV"}</definedName>
    <definedName name="JI" localSheetId="31" hidden="1">{#N/A,#N/A,FALSE,"CCTV"}</definedName>
    <definedName name="JI" localSheetId="30" hidden="1">{#N/A,#N/A,FALSE,"CCTV"}</definedName>
    <definedName name="JI" localSheetId="17" hidden="1">{#N/A,#N/A,FALSE,"CCTV"}</definedName>
    <definedName name="JI" localSheetId="18" hidden="1">{#N/A,#N/A,FALSE,"CCTV"}</definedName>
    <definedName name="JI" hidden="1">{#N/A,#N/A,FALSE,"CCTV"}</definedName>
    <definedName name="JITU" localSheetId="20" hidden="1">{#N/A,#N/A,FALSE,"REK";#N/A,#N/A,FALSE,"Bq-ARS"}</definedName>
    <definedName name="JITU" localSheetId="19" hidden="1">{#N/A,#N/A,FALSE,"REK";#N/A,#N/A,FALSE,"Bq-ARS"}</definedName>
    <definedName name="JITU" localSheetId="26" hidden="1">{#N/A,#N/A,FALSE,"REK";#N/A,#N/A,FALSE,"Bq-ARS"}</definedName>
    <definedName name="JITU" localSheetId="24" hidden="1">{#N/A,#N/A,FALSE,"REK";#N/A,#N/A,FALSE,"Bq-ARS"}</definedName>
    <definedName name="JITU" localSheetId="32" hidden="1">{#N/A,#N/A,FALSE,"REK";#N/A,#N/A,FALSE,"Bq-ARS"}</definedName>
    <definedName name="JITU" localSheetId="27" hidden="1">{#N/A,#N/A,FALSE,"REK";#N/A,#N/A,FALSE,"Bq-ARS"}</definedName>
    <definedName name="JITU" localSheetId="28" hidden="1">{#N/A,#N/A,FALSE,"REK";#N/A,#N/A,FALSE,"Bq-ARS"}</definedName>
    <definedName name="JITU" localSheetId="29" hidden="1">{#N/A,#N/A,FALSE,"REK";#N/A,#N/A,FALSE,"Bq-ARS"}</definedName>
    <definedName name="JITU" localSheetId="31" hidden="1">{#N/A,#N/A,FALSE,"REK";#N/A,#N/A,FALSE,"Bq-ARS"}</definedName>
    <definedName name="JITU" localSheetId="30" hidden="1">{#N/A,#N/A,FALSE,"REK";#N/A,#N/A,FALSE,"Bq-ARS"}</definedName>
    <definedName name="JITU" localSheetId="17" hidden="1">{#N/A,#N/A,FALSE,"REK";#N/A,#N/A,FALSE,"Bq-ARS"}</definedName>
    <definedName name="JITU" localSheetId="18" hidden="1">{#N/A,#N/A,FALSE,"REK";#N/A,#N/A,FALSE,"Bq-ARS"}</definedName>
    <definedName name="JITU" hidden="1">{#N/A,#N/A,FALSE,"REK";#N/A,#N/A,FALSE,"Bq-ARS"}</definedName>
    <definedName name="JJFUR" localSheetId="20" hidden="1">{"'Sheet1'!$A$1"}</definedName>
    <definedName name="JJFUR" localSheetId="19" hidden="1">{"'Sheet1'!$A$1"}</definedName>
    <definedName name="JJFUR" localSheetId="26" hidden="1">{"'Sheet1'!$A$1"}</definedName>
    <definedName name="JJFUR" localSheetId="24" hidden="1">{"'Sheet1'!$A$1"}</definedName>
    <definedName name="JJFUR" localSheetId="32" hidden="1">{"'Sheet1'!$A$1"}</definedName>
    <definedName name="JJFUR" localSheetId="27" hidden="1">{"'Sheet1'!$A$1"}</definedName>
    <definedName name="JJFUR" localSheetId="28" hidden="1">{"'Sheet1'!$A$1"}</definedName>
    <definedName name="JJFUR" localSheetId="29" hidden="1">{"'Sheet1'!$A$1"}</definedName>
    <definedName name="JJFUR" localSheetId="31" hidden="1">{"'Sheet1'!$A$1"}</definedName>
    <definedName name="JJFUR" localSheetId="30" hidden="1">{"'Sheet1'!$A$1"}</definedName>
    <definedName name="JJFUR" localSheetId="17" hidden="1">{"'Sheet1'!$A$1"}</definedName>
    <definedName name="JJFUR" localSheetId="18" hidden="1">{"'Sheet1'!$A$1"}</definedName>
    <definedName name="JJFUR" hidden="1">{"'Sheet1'!$A$1"}</definedName>
    <definedName name="jjjj" localSheetId="20" hidden="1">{#N/A,#N/A,FALSE,"Chi tiÆt"}</definedName>
    <definedName name="jjjj" localSheetId="19" hidden="1">{#N/A,#N/A,FALSE,"Chi tiÆt"}</definedName>
    <definedName name="jjjj" localSheetId="26" hidden="1">{#N/A,#N/A,FALSE,"Chi tiÆt"}</definedName>
    <definedName name="jjjj" localSheetId="24" hidden="1">{#N/A,#N/A,FALSE,"Chi tiÆt"}</definedName>
    <definedName name="jjjj" localSheetId="32" hidden="1">{#N/A,#N/A,FALSE,"Chi tiÆt"}</definedName>
    <definedName name="jjjj" localSheetId="27" hidden="1">{#N/A,#N/A,FALSE,"Chi tiÆt"}</definedName>
    <definedName name="jjjj" localSheetId="28" hidden="1">{#N/A,#N/A,FALSE,"Chi tiÆt"}</definedName>
    <definedName name="jjjj" localSheetId="29" hidden="1">{#N/A,#N/A,FALSE,"Chi tiÆt"}</definedName>
    <definedName name="jjjj" localSheetId="31" hidden="1">{#N/A,#N/A,FALSE,"Chi tiÆt"}</definedName>
    <definedName name="jjjj" localSheetId="30" hidden="1">{#N/A,#N/A,FALSE,"Chi tiÆt"}</definedName>
    <definedName name="jjjj" localSheetId="17" hidden="1">{#N/A,#N/A,FALSE,"Chi tiÆt"}</definedName>
    <definedName name="jjjj" localSheetId="18" hidden="1">{#N/A,#N/A,FALSE,"Chi tiÆt"}</definedName>
    <definedName name="jjjj" hidden="1">{#N/A,#N/A,FALSE,"Chi tiÆt"}</definedName>
    <definedName name="JKGJKGKJLGJK" localSheetId="20" hidden="1">#REF!</definedName>
    <definedName name="JKGJKGKJLGJK" localSheetId="19" hidden="1">#REF!</definedName>
    <definedName name="JKGJKGKJLGJK" localSheetId="32" hidden="1">#REF!</definedName>
    <definedName name="JKGJKGKJLGJK" localSheetId="27" hidden="1">#REF!</definedName>
    <definedName name="JKGJKGKJLGJK" localSheetId="28" hidden="1">#REF!</definedName>
    <definedName name="JKGJKGKJLGJK" localSheetId="31" hidden="1">#REF!</definedName>
    <definedName name="JKGJKGKJLGJK" localSheetId="30" hidden="1">#REF!</definedName>
    <definedName name="JKGJKGKJLGJK" localSheetId="17" hidden="1">#REF!</definedName>
    <definedName name="JKGJKGKJLGJK" localSheetId="18" hidden="1">#REF!</definedName>
    <definedName name="JKGJKGKJLGJK" hidden="1">#REF!</definedName>
    <definedName name="jkw" localSheetId="20" hidden="1">{"'1996'!$A$1:$J$272"}</definedName>
    <definedName name="jkw" localSheetId="19" hidden="1">{"'1996'!$A$1:$J$272"}</definedName>
    <definedName name="jkw" localSheetId="26" hidden="1">{"'1996'!$A$1:$J$272"}</definedName>
    <definedName name="jkw" localSheetId="24" hidden="1">{"'1996'!$A$1:$J$272"}</definedName>
    <definedName name="jkw" localSheetId="32" hidden="1">{"'1996'!$A$1:$J$272"}</definedName>
    <definedName name="jkw" localSheetId="27" hidden="1">{"'1996'!$A$1:$J$272"}</definedName>
    <definedName name="jkw" localSheetId="28" hidden="1">{"'1996'!$A$1:$J$272"}</definedName>
    <definedName name="jkw" localSheetId="29" hidden="1">{"'1996'!$A$1:$J$272"}</definedName>
    <definedName name="jkw" localSheetId="31" hidden="1">{"'1996'!$A$1:$J$272"}</definedName>
    <definedName name="jkw" localSheetId="30" hidden="1">{"'1996'!$A$1:$J$272"}</definedName>
    <definedName name="jkw" localSheetId="17" hidden="1">{"'1996'!$A$1:$J$272"}</definedName>
    <definedName name="jkw" localSheetId="18" hidden="1">{"'1996'!$A$1:$J$272"}</definedName>
    <definedName name="jkw" hidden="1">{"'1996'!$A$1:$J$272"}</definedName>
    <definedName name="JL" localSheetId="20" hidden="1">{#N/A,#N/A,FALSE,"CCTV"}</definedName>
    <definedName name="JL" localSheetId="19" hidden="1">{#N/A,#N/A,FALSE,"CCTV"}</definedName>
    <definedName name="JL" localSheetId="26" hidden="1">{#N/A,#N/A,FALSE,"CCTV"}</definedName>
    <definedName name="JL" localSheetId="24" hidden="1">{#N/A,#N/A,FALSE,"CCTV"}</definedName>
    <definedName name="JL" localSheetId="32" hidden="1">{#N/A,#N/A,FALSE,"CCTV"}</definedName>
    <definedName name="JL" localSheetId="27" hidden="1">{#N/A,#N/A,FALSE,"CCTV"}</definedName>
    <definedName name="JL" localSheetId="28" hidden="1">{#N/A,#N/A,FALSE,"CCTV"}</definedName>
    <definedName name="JL" localSheetId="29" hidden="1">{#N/A,#N/A,FALSE,"CCTV"}</definedName>
    <definedName name="JL" localSheetId="31" hidden="1">{#N/A,#N/A,FALSE,"CCTV"}</definedName>
    <definedName name="JL" localSheetId="30" hidden="1">{#N/A,#N/A,FALSE,"CCTV"}</definedName>
    <definedName name="JL" localSheetId="17" hidden="1">{#N/A,#N/A,FALSE,"CCTV"}</definedName>
    <definedName name="JL" localSheetId="18" hidden="1">{#N/A,#N/A,FALSE,"CCTV"}</definedName>
    <definedName name="JL" hidden="1">{#N/A,#N/A,FALSE,"CCTV"}</definedName>
    <definedName name="JM" localSheetId="20" hidden="1">{#N/A,#N/A,FALSE,"CCTV"}</definedName>
    <definedName name="JM" localSheetId="19" hidden="1">{#N/A,#N/A,FALSE,"CCTV"}</definedName>
    <definedName name="JM" localSheetId="26" hidden="1">{#N/A,#N/A,FALSE,"CCTV"}</definedName>
    <definedName name="JM" localSheetId="24" hidden="1">{#N/A,#N/A,FALSE,"CCTV"}</definedName>
    <definedName name="JM" localSheetId="32" hidden="1">{#N/A,#N/A,FALSE,"CCTV"}</definedName>
    <definedName name="JM" localSheetId="27" hidden="1">{#N/A,#N/A,FALSE,"CCTV"}</definedName>
    <definedName name="JM" localSheetId="28" hidden="1">{#N/A,#N/A,FALSE,"CCTV"}</definedName>
    <definedName name="JM" localSheetId="29" hidden="1">{#N/A,#N/A,FALSE,"CCTV"}</definedName>
    <definedName name="JM" localSheetId="31" hidden="1">{#N/A,#N/A,FALSE,"CCTV"}</definedName>
    <definedName name="JM" localSheetId="30" hidden="1">{#N/A,#N/A,FALSE,"CCTV"}</definedName>
    <definedName name="JM" localSheetId="17" hidden="1">{#N/A,#N/A,FALSE,"CCTV"}</definedName>
    <definedName name="JM" localSheetId="18" hidden="1">{#N/A,#N/A,FALSE,"CCTV"}</definedName>
    <definedName name="JM" hidden="1">{#N/A,#N/A,FALSE,"CCTV"}</definedName>
    <definedName name="JN" localSheetId="20" hidden="1">{#N/A,#N/A,FALSE,"CCTV"}</definedName>
    <definedName name="JN" localSheetId="19" hidden="1">{#N/A,#N/A,FALSE,"CCTV"}</definedName>
    <definedName name="JN" localSheetId="26" hidden="1">{#N/A,#N/A,FALSE,"CCTV"}</definedName>
    <definedName name="JN" localSheetId="24" hidden="1">{#N/A,#N/A,FALSE,"CCTV"}</definedName>
    <definedName name="JN" localSheetId="32" hidden="1">{#N/A,#N/A,FALSE,"CCTV"}</definedName>
    <definedName name="JN" localSheetId="27" hidden="1">{#N/A,#N/A,FALSE,"CCTV"}</definedName>
    <definedName name="JN" localSheetId="28" hidden="1">{#N/A,#N/A,FALSE,"CCTV"}</definedName>
    <definedName name="JN" localSheetId="29" hidden="1">{#N/A,#N/A,FALSE,"CCTV"}</definedName>
    <definedName name="JN" localSheetId="31" hidden="1">{#N/A,#N/A,FALSE,"CCTV"}</definedName>
    <definedName name="JN" localSheetId="30" hidden="1">{#N/A,#N/A,FALSE,"CCTV"}</definedName>
    <definedName name="JN" localSheetId="17" hidden="1">{#N/A,#N/A,FALSE,"CCTV"}</definedName>
    <definedName name="JN" localSheetId="18" hidden="1">{#N/A,#N/A,FALSE,"CCTV"}</definedName>
    <definedName name="JN" hidden="1">{#N/A,#N/A,FALSE,"CCTV"}</definedName>
    <definedName name="jo" localSheetId="20" hidden="1">{#N/A,#N/A,FALSE,"CCTV"}</definedName>
    <definedName name="jo" localSheetId="19" hidden="1">{#N/A,#N/A,FALSE,"CCTV"}</definedName>
    <definedName name="jo" localSheetId="26" hidden="1">{#N/A,#N/A,FALSE,"CCTV"}</definedName>
    <definedName name="jo" localSheetId="24" hidden="1">{#N/A,#N/A,FALSE,"CCTV"}</definedName>
    <definedName name="jo" localSheetId="32" hidden="1">{#N/A,#N/A,FALSE,"CCTV"}</definedName>
    <definedName name="jo" localSheetId="27" hidden="1">{#N/A,#N/A,FALSE,"CCTV"}</definedName>
    <definedName name="jo" localSheetId="28" hidden="1">{#N/A,#N/A,FALSE,"CCTV"}</definedName>
    <definedName name="jo" localSheetId="29" hidden="1">{#N/A,#N/A,FALSE,"CCTV"}</definedName>
    <definedName name="jo" localSheetId="31" hidden="1">{#N/A,#N/A,FALSE,"CCTV"}</definedName>
    <definedName name="jo" localSheetId="30" hidden="1">{#N/A,#N/A,FALSE,"CCTV"}</definedName>
    <definedName name="jo" localSheetId="17" hidden="1">{#N/A,#N/A,FALSE,"CCTV"}</definedName>
    <definedName name="jo" localSheetId="18" hidden="1">{#N/A,#N/A,FALSE,"CCTV"}</definedName>
    <definedName name="jo" hidden="1">{#N/A,#N/A,FALSE,"CCTV"}</definedName>
    <definedName name="jojjo" localSheetId="32" hidden="1">#REF!</definedName>
    <definedName name="jojjo" localSheetId="27" hidden="1">#REF!</definedName>
    <definedName name="jojjo" localSheetId="18" hidden="1">#REF!</definedName>
    <definedName name="jojjo" hidden="1">#REF!</definedName>
    <definedName name="JP" localSheetId="20" hidden="1">{#N/A,#N/A,FALSE,"CCTV"}</definedName>
    <definedName name="JP" localSheetId="19" hidden="1">{#N/A,#N/A,FALSE,"CCTV"}</definedName>
    <definedName name="JP" localSheetId="32" hidden="1">{#N/A,#N/A,FALSE,"CCTV"}</definedName>
    <definedName name="JP" localSheetId="27" hidden="1">{#N/A,#N/A,FALSE,"CCTV"}</definedName>
    <definedName name="JP" localSheetId="28" hidden="1">{#N/A,#N/A,FALSE,"CCTV"}</definedName>
    <definedName name="JP" localSheetId="31" hidden="1">{#N/A,#N/A,FALSE,"CCTV"}</definedName>
    <definedName name="JP" localSheetId="30" hidden="1">{#N/A,#N/A,FALSE,"CCTV"}</definedName>
    <definedName name="JP" localSheetId="13" hidden="1">{#N/A,#N/A,FALSE,"CCTV"}</definedName>
    <definedName name="JP" localSheetId="17" hidden="1">{#N/A,#N/A,FALSE,"CCTV"}</definedName>
    <definedName name="JP" localSheetId="18" hidden="1">{#N/A,#N/A,FALSE,"CCTV"}</definedName>
    <definedName name="JR" localSheetId="20" hidden="1">{#N/A,#N/A,FALSE,"CCTV"}</definedName>
    <definedName name="JR" localSheetId="19" hidden="1">{#N/A,#N/A,FALSE,"CCTV"}</definedName>
    <definedName name="JR" localSheetId="26" hidden="1">{#N/A,#N/A,FALSE,"CCTV"}</definedName>
    <definedName name="JR" localSheetId="24" hidden="1">{#N/A,#N/A,FALSE,"CCTV"}</definedName>
    <definedName name="JR" localSheetId="32" hidden="1">{#N/A,#N/A,FALSE,"CCTV"}</definedName>
    <definedName name="JR" localSheetId="27" hidden="1">{#N/A,#N/A,FALSE,"CCTV"}</definedName>
    <definedName name="JR" localSheetId="28" hidden="1">{#N/A,#N/A,FALSE,"CCTV"}</definedName>
    <definedName name="JR" localSheetId="29" hidden="1">{#N/A,#N/A,FALSE,"CCTV"}</definedName>
    <definedName name="JR" localSheetId="31" hidden="1">{#N/A,#N/A,FALSE,"CCTV"}</definedName>
    <definedName name="JR" localSheetId="30" hidden="1">{#N/A,#N/A,FALSE,"CCTV"}</definedName>
    <definedName name="JR" localSheetId="17" hidden="1">{#N/A,#N/A,FALSE,"CCTV"}</definedName>
    <definedName name="JR" localSheetId="18" hidden="1">{#N/A,#N/A,FALSE,"CCTV"}</definedName>
    <definedName name="JR" hidden="1">{#N/A,#N/A,FALSE,"CCTV"}</definedName>
    <definedName name="jry" localSheetId="20" hidden="1">{"'Sheet1'!$A$1"}</definedName>
    <definedName name="jry" localSheetId="19" hidden="1">{"'Sheet1'!$A$1"}</definedName>
    <definedName name="jry" localSheetId="26" hidden="1">{"'Sheet1'!$A$1"}</definedName>
    <definedName name="jry" localSheetId="24" hidden="1">{"'Sheet1'!$A$1"}</definedName>
    <definedName name="jry" localSheetId="32" hidden="1">{"'Sheet1'!$A$1"}</definedName>
    <definedName name="jry" localSheetId="27" hidden="1">{"'Sheet1'!$A$1"}</definedName>
    <definedName name="jry" localSheetId="28" hidden="1">{"'Sheet1'!$A$1"}</definedName>
    <definedName name="jry" localSheetId="29" hidden="1">{"'Sheet1'!$A$1"}</definedName>
    <definedName name="jry" localSheetId="31" hidden="1">{"'Sheet1'!$A$1"}</definedName>
    <definedName name="jry" localSheetId="30" hidden="1">{"'Sheet1'!$A$1"}</definedName>
    <definedName name="jry" localSheetId="17" hidden="1">{"'Sheet1'!$A$1"}</definedName>
    <definedName name="jry" localSheetId="18" hidden="1">{"'Sheet1'!$A$1"}</definedName>
    <definedName name="jry" hidden="1">{"'Sheet1'!$A$1"}</definedName>
    <definedName name="jsdsjjjjgjgjgj" hidden="1">#REF!</definedName>
    <definedName name="JT" localSheetId="20" hidden="1">{#N/A,#N/A,FALSE,"CCTV"}</definedName>
    <definedName name="JT" localSheetId="19" hidden="1">{#N/A,#N/A,FALSE,"CCTV"}</definedName>
    <definedName name="JT" localSheetId="26" hidden="1">{#N/A,#N/A,FALSE,"CCTV"}</definedName>
    <definedName name="JT" localSheetId="24" hidden="1">{#N/A,#N/A,FALSE,"CCTV"}</definedName>
    <definedName name="JT" localSheetId="32" hidden="1">{#N/A,#N/A,FALSE,"CCTV"}</definedName>
    <definedName name="JT" localSheetId="27" hidden="1">{#N/A,#N/A,FALSE,"CCTV"}</definedName>
    <definedName name="JT" localSheetId="28" hidden="1">{#N/A,#N/A,FALSE,"CCTV"}</definedName>
    <definedName name="JT" localSheetId="29" hidden="1">{#N/A,#N/A,FALSE,"CCTV"}</definedName>
    <definedName name="JT" localSheetId="31" hidden="1">{#N/A,#N/A,FALSE,"CCTV"}</definedName>
    <definedName name="JT" localSheetId="30" hidden="1">{#N/A,#N/A,FALSE,"CCTV"}</definedName>
    <definedName name="JT" localSheetId="17" hidden="1">{#N/A,#N/A,FALSE,"CCTV"}</definedName>
    <definedName name="JT" localSheetId="18" hidden="1">{#N/A,#N/A,FALSE,"CCTV"}</definedName>
    <definedName name="JT" hidden="1">{#N/A,#N/A,FALSE,"CCTV"}</definedName>
    <definedName name="JV" localSheetId="20" hidden="1">{#N/A,#N/A,FALSE,"CCTV"}</definedName>
    <definedName name="JV" localSheetId="19" hidden="1">{#N/A,#N/A,FALSE,"CCTV"}</definedName>
    <definedName name="JV" localSheetId="26" hidden="1">{#N/A,#N/A,FALSE,"CCTV"}</definedName>
    <definedName name="JV" localSheetId="24" hidden="1">{#N/A,#N/A,FALSE,"CCTV"}</definedName>
    <definedName name="JV" localSheetId="32" hidden="1">{#N/A,#N/A,FALSE,"CCTV"}</definedName>
    <definedName name="JV" localSheetId="27" hidden="1">{#N/A,#N/A,FALSE,"CCTV"}</definedName>
    <definedName name="JV" localSheetId="28" hidden="1">{#N/A,#N/A,FALSE,"CCTV"}</definedName>
    <definedName name="JV" localSheetId="29" hidden="1">{#N/A,#N/A,FALSE,"CCTV"}</definedName>
    <definedName name="JV" localSheetId="31" hidden="1">{#N/A,#N/A,FALSE,"CCTV"}</definedName>
    <definedName name="JV" localSheetId="30" hidden="1">{#N/A,#N/A,FALSE,"CCTV"}</definedName>
    <definedName name="JV" localSheetId="17" hidden="1">{#N/A,#N/A,FALSE,"CCTV"}</definedName>
    <definedName name="JV" localSheetId="18" hidden="1">{#N/A,#N/A,FALSE,"CCTV"}</definedName>
    <definedName name="JV" hidden="1">{#N/A,#N/A,FALSE,"CCTV"}</definedName>
    <definedName name="JY" localSheetId="20" hidden="1">{#N/A,#N/A,FALSE,"CCTV"}</definedName>
    <definedName name="JY" localSheetId="19" hidden="1">{#N/A,#N/A,FALSE,"CCTV"}</definedName>
    <definedName name="JY" localSheetId="26" hidden="1">{#N/A,#N/A,FALSE,"CCTV"}</definedName>
    <definedName name="JY" localSheetId="24" hidden="1">{#N/A,#N/A,FALSE,"CCTV"}</definedName>
    <definedName name="JY" localSheetId="32" hidden="1">{#N/A,#N/A,FALSE,"CCTV"}</definedName>
    <definedName name="JY" localSheetId="27" hidden="1">{#N/A,#N/A,FALSE,"CCTV"}</definedName>
    <definedName name="JY" localSheetId="28" hidden="1">{#N/A,#N/A,FALSE,"CCTV"}</definedName>
    <definedName name="JY" localSheetId="29" hidden="1">{#N/A,#N/A,FALSE,"CCTV"}</definedName>
    <definedName name="JY" localSheetId="31" hidden="1">{#N/A,#N/A,FALSE,"CCTV"}</definedName>
    <definedName name="JY" localSheetId="30" hidden="1">{#N/A,#N/A,FALSE,"CCTV"}</definedName>
    <definedName name="JY" localSheetId="17" hidden="1">{#N/A,#N/A,FALSE,"CCTV"}</definedName>
    <definedName name="JY" localSheetId="18" hidden="1">{#N/A,#N/A,FALSE,"CCTV"}</definedName>
    <definedName name="JY" hidden="1">{#N/A,#N/A,FALSE,"CCTV"}</definedName>
    <definedName name="jyj" localSheetId="20" hidden="1">{"'Sheet1'!$A$1"}</definedName>
    <definedName name="jyj" localSheetId="19" hidden="1">{"'Sheet1'!$A$1"}</definedName>
    <definedName name="jyj" localSheetId="26" hidden="1">{"'Sheet1'!$A$1"}</definedName>
    <definedName name="jyj" localSheetId="24" hidden="1">{"'Sheet1'!$A$1"}</definedName>
    <definedName name="jyj" localSheetId="32" hidden="1">{"'Sheet1'!$A$1"}</definedName>
    <definedName name="jyj" localSheetId="27" hidden="1">{"'Sheet1'!$A$1"}</definedName>
    <definedName name="jyj" localSheetId="28" hidden="1">{"'Sheet1'!$A$1"}</definedName>
    <definedName name="jyj" localSheetId="29" hidden="1">{"'Sheet1'!$A$1"}</definedName>
    <definedName name="jyj" localSheetId="31" hidden="1">{"'Sheet1'!$A$1"}</definedName>
    <definedName name="jyj" localSheetId="30" hidden="1">{"'Sheet1'!$A$1"}</definedName>
    <definedName name="jyj" localSheetId="17" hidden="1">{"'Sheet1'!$A$1"}</definedName>
    <definedName name="jyj" localSheetId="18" hidden="1">{"'Sheet1'!$A$1"}</definedName>
    <definedName name="jyj" hidden="1">{"'Sheet1'!$A$1"}</definedName>
    <definedName name="k" localSheetId="41" hidden="1">#REF!</definedName>
    <definedName name="k" localSheetId="42" hidden="1">#REF!</definedName>
    <definedName name="k" hidden="1">#REF!</definedName>
    <definedName name="kabel_notes" localSheetId="20" hidden="1">{#N/A,#N/A,FALSE,"Chi tiÆt"}</definedName>
    <definedName name="kabel_notes" localSheetId="19" hidden="1">{#N/A,#N/A,FALSE,"Chi tiÆt"}</definedName>
    <definedName name="kabel_notes" localSheetId="26" hidden="1">{#N/A,#N/A,FALSE,"Chi tiÆt"}</definedName>
    <definedName name="kabel_notes" localSheetId="24" hidden="1">{#N/A,#N/A,FALSE,"Chi tiÆt"}</definedName>
    <definedName name="kabel_notes" localSheetId="32" hidden="1">{#N/A,#N/A,FALSE,"Chi tiÆt"}</definedName>
    <definedName name="kabel_notes" localSheetId="27" hidden="1">{#N/A,#N/A,FALSE,"Chi tiÆt"}</definedName>
    <definedName name="kabel_notes" localSheetId="28" hidden="1">{#N/A,#N/A,FALSE,"Chi tiÆt"}</definedName>
    <definedName name="kabel_notes" localSheetId="29" hidden="1">{#N/A,#N/A,FALSE,"Chi tiÆt"}</definedName>
    <definedName name="kabel_notes" localSheetId="31" hidden="1">{#N/A,#N/A,FALSE,"Chi tiÆt"}</definedName>
    <definedName name="kabel_notes" localSheetId="30" hidden="1">{#N/A,#N/A,FALSE,"Chi tiÆt"}</definedName>
    <definedName name="kabel_notes" localSheetId="17" hidden="1">{#N/A,#N/A,FALSE,"Chi tiÆt"}</definedName>
    <definedName name="kabel_notes" localSheetId="18" hidden="1">{#N/A,#N/A,FALSE,"Chi tiÆt"}</definedName>
    <definedName name="kabel_notes" hidden="1">{#N/A,#N/A,FALSE,"Chi tiÆt"}</definedName>
    <definedName name="kal.arsi" localSheetId="32" hidden="1">#REF!</definedName>
    <definedName name="kal.arsi" hidden="1">#REF!</definedName>
    <definedName name="kal.arsitek" localSheetId="32" hidden="1">#REF!</definedName>
    <definedName name="kal.arsitek" hidden="1">#REF!</definedName>
    <definedName name="karyo" localSheetId="20" hidden="1">{#N/A,#N/A,FALSE,"REK";#N/A,#N/A,FALSE,"Bq-ARS"}</definedName>
    <definedName name="karyo" localSheetId="19" hidden="1">{#N/A,#N/A,FALSE,"REK";#N/A,#N/A,FALSE,"Bq-ARS"}</definedName>
    <definedName name="karyo" localSheetId="26" hidden="1">{#N/A,#N/A,FALSE,"REK";#N/A,#N/A,FALSE,"Bq-ARS"}</definedName>
    <definedName name="karyo" localSheetId="24" hidden="1">{#N/A,#N/A,FALSE,"REK";#N/A,#N/A,FALSE,"Bq-ARS"}</definedName>
    <definedName name="karyo" localSheetId="32" hidden="1">{#N/A,#N/A,FALSE,"REK";#N/A,#N/A,FALSE,"Bq-ARS"}</definedName>
    <definedName name="karyo" localSheetId="27" hidden="1">{#N/A,#N/A,FALSE,"REK";#N/A,#N/A,FALSE,"Bq-ARS"}</definedName>
    <definedName name="karyo" localSheetId="28" hidden="1">{#N/A,#N/A,FALSE,"REK";#N/A,#N/A,FALSE,"Bq-ARS"}</definedName>
    <definedName name="karyo" localSheetId="29" hidden="1">{#N/A,#N/A,FALSE,"REK";#N/A,#N/A,FALSE,"Bq-ARS"}</definedName>
    <definedName name="karyo" localSheetId="31" hidden="1">{#N/A,#N/A,FALSE,"REK";#N/A,#N/A,FALSE,"Bq-ARS"}</definedName>
    <definedName name="karyo" localSheetId="30" hidden="1">{#N/A,#N/A,FALSE,"REK";#N/A,#N/A,FALSE,"Bq-ARS"}</definedName>
    <definedName name="karyo" localSheetId="17" hidden="1">{#N/A,#N/A,FALSE,"REK";#N/A,#N/A,FALSE,"Bq-ARS"}</definedName>
    <definedName name="karyo" localSheetId="18" hidden="1">{#N/A,#N/A,FALSE,"REK";#N/A,#N/A,FALSE,"Bq-ARS"}</definedName>
    <definedName name="karyo" hidden="1">{#N/A,#N/A,FALSE,"REK";#N/A,#N/A,FALSE,"Bq-ARS"}</definedName>
    <definedName name="kawan" localSheetId="32" hidden="1">#REF!</definedName>
    <definedName name="kawan" localSheetId="27" hidden="1">#REF!</definedName>
    <definedName name="kawan" hidden="1">#REF!</definedName>
    <definedName name="kelon" localSheetId="20" hidden="1">{#N/A,#N/A,FALSE,"REK";#N/A,#N/A,FALSE,"rab"}</definedName>
    <definedName name="kelon" localSheetId="19" hidden="1">{#N/A,#N/A,FALSE,"REK";#N/A,#N/A,FALSE,"rab"}</definedName>
    <definedName name="kelon" localSheetId="26" hidden="1">{#N/A,#N/A,FALSE,"REK";#N/A,#N/A,FALSE,"rab"}</definedName>
    <definedName name="kelon" localSheetId="24" hidden="1">{#N/A,#N/A,FALSE,"REK";#N/A,#N/A,FALSE,"rab"}</definedName>
    <definedName name="kelon" localSheetId="32" hidden="1">{#N/A,#N/A,FALSE,"REK";#N/A,#N/A,FALSE,"rab"}</definedName>
    <definedName name="kelon" localSheetId="27" hidden="1">{#N/A,#N/A,FALSE,"REK";#N/A,#N/A,FALSE,"rab"}</definedName>
    <definedName name="kelon" localSheetId="28" hidden="1">{#N/A,#N/A,FALSE,"REK";#N/A,#N/A,FALSE,"rab"}</definedName>
    <definedName name="kelon" localSheetId="29" hidden="1">{#N/A,#N/A,FALSE,"REK";#N/A,#N/A,FALSE,"rab"}</definedName>
    <definedName name="kelon" localSheetId="31" hidden="1">{#N/A,#N/A,FALSE,"REK";#N/A,#N/A,FALSE,"rab"}</definedName>
    <definedName name="kelon" localSheetId="30" hidden="1">{#N/A,#N/A,FALSE,"REK";#N/A,#N/A,FALSE,"rab"}</definedName>
    <definedName name="kelon" localSheetId="17" hidden="1">{#N/A,#N/A,FALSE,"REK";#N/A,#N/A,FALSE,"rab"}</definedName>
    <definedName name="kelon" localSheetId="18" hidden="1">{#N/A,#N/A,FALSE,"REK";#N/A,#N/A,FALSE,"rab"}</definedName>
    <definedName name="kelon" hidden="1">{#N/A,#N/A,FALSE,"REK";#N/A,#N/A,FALSE,"rab"}</definedName>
    <definedName name="ken" localSheetId="20" hidden="1">{#N/A,#N/A,FALSE,"REK-S-TPL";#N/A,#N/A,FALSE,"REK-TPML";#N/A,#N/A,FALSE,"RAB-TEMPEL"}</definedName>
    <definedName name="ken" localSheetId="19" hidden="1">{#N/A,#N/A,FALSE,"REK-S-TPL";#N/A,#N/A,FALSE,"REK-TPML";#N/A,#N/A,FALSE,"RAB-TEMPEL"}</definedName>
    <definedName name="ken" localSheetId="26" hidden="1">{#N/A,#N/A,FALSE,"REK-S-TPL";#N/A,#N/A,FALSE,"REK-TPML";#N/A,#N/A,FALSE,"RAB-TEMPEL"}</definedName>
    <definedName name="ken" localSheetId="24" hidden="1">{#N/A,#N/A,FALSE,"REK-S-TPL";#N/A,#N/A,FALSE,"REK-TPML";#N/A,#N/A,FALSE,"RAB-TEMPEL"}</definedName>
    <definedName name="ken" localSheetId="32" hidden="1">{#N/A,#N/A,FALSE,"REK-S-TPL";#N/A,#N/A,FALSE,"REK-TPML";#N/A,#N/A,FALSE,"RAB-TEMPEL"}</definedName>
    <definedName name="ken" localSheetId="27" hidden="1">{#N/A,#N/A,FALSE,"REK-S-TPL";#N/A,#N/A,FALSE,"REK-TPML";#N/A,#N/A,FALSE,"RAB-TEMPEL"}</definedName>
    <definedName name="ken" localSheetId="28" hidden="1">{#N/A,#N/A,FALSE,"REK-S-TPL";#N/A,#N/A,FALSE,"REK-TPML";#N/A,#N/A,FALSE,"RAB-TEMPEL"}</definedName>
    <definedName name="ken" localSheetId="29" hidden="1">{#N/A,#N/A,FALSE,"REK-S-TPL";#N/A,#N/A,FALSE,"REK-TPML";#N/A,#N/A,FALSE,"RAB-TEMPEL"}</definedName>
    <definedName name="ken" localSheetId="31" hidden="1">{#N/A,#N/A,FALSE,"REK-S-TPL";#N/A,#N/A,FALSE,"REK-TPML";#N/A,#N/A,FALSE,"RAB-TEMPEL"}</definedName>
    <definedName name="ken" localSheetId="30" hidden="1">{#N/A,#N/A,FALSE,"REK-S-TPL";#N/A,#N/A,FALSE,"REK-TPML";#N/A,#N/A,FALSE,"RAB-TEMPEL"}</definedName>
    <definedName name="ken" localSheetId="17" hidden="1">{#N/A,#N/A,FALSE,"REK-S-TPL";#N/A,#N/A,FALSE,"REK-TPML";#N/A,#N/A,FALSE,"RAB-TEMPEL"}</definedName>
    <definedName name="ken" localSheetId="18" hidden="1">{#N/A,#N/A,FALSE,"REK-S-TPL";#N/A,#N/A,FALSE,"REK-TPML";#N/A,#N/A,FALSE,"RAB-TEMPEL"}</definedName>
    <definedName name="ken" hidden="1">{#N/A,#N/A,FALSE,"REK-S-TPL";#N/A,#N/A,FALSE,"REK-TPML";#N/A,#N/A,FALSE,"RAB-TEMPEL"}</definedName>
    <definedName name="kentut" localSheetId="20" hidden="1">{#N/A,#N/A,FALSE,"REK";#N/A,#N/A,FALSE,"rab"}</definedName>
    <definedName name="kentut" localSheetId="19" hidden="1">{#N/A,#N/A,FALSE,"REK";#N/A,#N/A,FALSE,"rab"}</definedName>
    <definedName name="kentut" localSheetId="26" hidden="1">{#N/A,#N/A,FALSE,"REK";#N/A,#N/A,FALSE,"rab"}</definedName>
    <definedName name="kentut" localSheetId="24" hidden="1">{#N/A,#N/A,FALSE,"REK";#N/A,#N/A,FALSE,"rab"}</definedName>
    <definedName name="kentut" localSheetId="32" hidden="1">{#N/A,#N/A,FALSE,"REK";#N/A,#N/A,FALSE,"rab"}</definedName>
    <definedName name="kentut" localSheetId="27" hidden="1">{#N/A,#N/A,FALSE,"REK";#N/A,#N/A,FALSE,"rab"}</definedName>
    <definedName name="kentut" localSheetId="28" hidden="1">{#N/A,#N/A,FALSE,"REK";#N/A,#N/A,FALSE,"rab"}</definedName>
    <definedName name="kentut" localSheetId="29" hidden="1">{#N/A,#N/A,FALSE,"REK";#N/A,#N/A,FALSE,"rab"}</definedName>
    <definedName name="kentut" localSheetId="31" hidden="1">{#N/A,#N/A,FALSE,"REK";#N/A,#N/A,FALSE,"rab"}</definedName>
    <definedName name="kentut" localSheetId="30" hidden="1">{#N/A,#N/A,FALSE,"REK";#N/A,#N/A,FALSE,"rab"}</definedName>
    <definedName name="kentut" localSheetId="17" hidden="1">{#N/A,#N/A,FALSE,"REK";#N/A,#N/A,FALSE,"rab"}</definedName>
    <definedName name="kentut" localSheetId="18" hidden="1">{#N/A,#N/A,FALSE,"REK";#N/A,#N/A,FALSE,"rab"}</definedName>
    <definedName name="kentut" hidden="1">{#N/A,#N/A,FALSE,"REK";#N/A,#N/A,FALSE,"rab"}</definedName>
    <definedName name="KESUGIHAN" localSheetId="20" hidden="1">{"Offgrid",#N/A,FALSE,"OFFGRID";"Region",#N/A,FALSE,"REGION";"Offgrid -2",#N/A,FALSE,"OFFGRID";"WTP",#N/A,FALSE,"WTP";"WTP -2",#N/A,FALSE,"WTP";"Project",#N/A,FALSE,"PROJECT";"Summary -2",#N/A,FALSE,"SUMMARY"}</definedName>
    <definedName name="KESUGIHAN" localSheetId="19" hidden="1">{"Offgrid",#N/A,FALSE,"OFFGRID";"Region",#N/A,FALSE,"REGION";"Offgrid -2",#N/A,FALSE,"OFFGRID";"WTP",#N/A,FALSE,"WTP";"WTP -2",#N/A,FALSE,"WTP";"Project",#N/A,FALSE,"PROJECT";"Summary -2",#N/A,FALSE,"SUMMARY"}</definedName>
    <definedName name="KESUGIHAN" localSheetId="26" hidden="1">{"Offgrid",#N/A,FALSE,"OFFGRID";"Region",#N/A,FALSE,"REGION";"Offgrid -2",#N/A,FALSE,"OFFGRID";"WTP",#N/A,FALSE,"WTP";"WTP -2",#N/A,FALSE,"WTP";"Project",#N/A,FALSE,"PROJECT";"Summary -2",#N/A,FALSE,"SUMMARY"}</definedName>
    <definedName name="KESUGIHAN" localSheetId="24" hidden="1">{"Offgrid",#N/A,FALSE,"OFFGRID";"Region",#N/A,FALSE,"REGION";"Offgrid -2",#N/A,FALSE,"OFFGRID";"WTP",#N/A,FALSE,"WTP";"WTP -2",#N/A,FALSE,"WTP";"Project",#N/A,FALSE,"PROJECT";"Summary -2",#N/A,FALSE,"SUMMARY"}</definedName>
    <definedName name="KESUGIHAN" localSheetId="32" hidden="1">{"Offgrid",#N/A,FALSE,"OFFGRID";"Region",#N/A,FALSE,"REGION";"Offgrid -2",#N/A,FALSE,"OFFGRID";"WTP",#N/A,FALSE,"WTP";"WTP -2",#N/A,FALSE,"WTP";"Project",#N/A,FALSE,"PROJECT";"Summary -2",#N/A,FALSE,"SUMMARY"}</definedName>
    <definedName name="KESUGIHAN" localSheetId="27" hidden="1">{"Offgrid",#N/A,FALSE,"OFFGRID";"Region",#N/A,FALSE,"REGION";"Offgrid -2",#N/A,FALSE,"OFFGRID";"WTP",#N/A,FALSE,"WTP";"WTP -2",#N/A,FALSE,"WTP";"Project",#N/A,FALSE,"PROJECT";"Summary -2",#N/A,FALSE,"SUMMARY"}</definedName>
    <definedName name="KESUGIHAN" localSheetId="28" hidden="1">{"Offgrid",#N/A,FALSE,"OFFGRID";"Region",#N/A,FALSE,"REGION";"Offgrid -2",#N/A,FALSE,"OFFGRID";"WTP",#N/A,FALSE,"WTP";"WTP -2",#N/A,FALSE,"WTP";"Project",#N/A,FALSE,"PROJECT";"Summary -2",#N/A,FALSE,"SUMMARY"}</definedName>
    <definedName name="KESUGIHAN" localSheetId="29" hidden="1">{"Offgrid",#N/A,FALSE,"OFFGRID";"Region",#N/A,FALSE,"REGION";"Offgrid -2",#N/A,FALSE,"OFFGRID";"WTP",#N/A,FALSE,"WTP";"WTP -2",#N/A,FALSE,"WTP";"Project",#N/A,FALSE,"PROJECT";"Summary -2",#N/A,FALSE,"SUMMARY"}</definedName>
    <definedName name="KESUGIHAN" localSheetId="31" hidden="1">{"Offgrid",#N/A,FALSE,"OFFGRID";"Region",#N/A,FALSE,"REGION";"Offgrid -2",#N/A,FALSE,"OFFGRID";"WTP",#N/A,FALSE,"WTP";"WTP -2",#N/A,FALSE,"WTP";"Project",#N/A,FALSE,"PROJECT";"Summary -2",#N/A,FALSE,"SUMMARY"}</definedName>
    <definedName name="KESUGIHAN" localSheetId="30" hidden="1">{"Offgrid",#N/A,FALSE,"OFFGRID";"Region",#N/A,FALSE,"REGION";"Offgrid -2",#N/A,FALSE,"OFFGRID";"WTP",#N/A,FALSE,"WTP";"WTP -2",#N/A,FALSE,"WTP";"Project",#N/A,FALSE,"PROJECT";"Summary -2",#N/A,FALSE,"SUMMARY"}</definedName>
    <definedName name="KESUGIHAN" localSheetId="17" hidden="1">{"Offgrid",#N/A,FALSE,"OFFGRID";"Region",#N/A,FALSE,"REGION";"Offgrid -2",#N/A,FALSE,"OFFGRID";"WTP",#N/A,FALSE,"WTP";"WTP -2",#N/A,FALSE,"WTP";"Project",#N/A,FALSE,"PROJECT";"Summary -2",#N/A,FALSE,"SUMMARY"}</definedName>
    <definedName name="KESUGIHAN" localSheetId="18" hidden="1">{"Offgrid",#N/A,FALSE,"OFFGRID";"Region",#N/A,FALSE,"REGION";"Offgrid -2",#N/A,FALSE,"OFFGRID";"WTP",#N/A,FALSE,"WTP";"WTP -2",#N/A,FALSE,"WTP";"Project",#N/A,FALSE,"PROJECT";"Summary -2",#N/A,FALSE,"SUMMARY"}</definedName>
    <definedName name="KESUGIHAN" hidden="1">{"Offgrid",#N/A,FALSE,"OFFGRID";"Region",#N/A,FALSE,"REGION";"Offgrid -2",#N/A,FALSE,"OFFGRID";"WTP",#N/A,FALSE,"WTP";"WTP -2",#N/A,FALSE,"WTP";"Project",#N/A,FALSE,"PROJECT";"Summary -2",#N/A,FALSE,"SUMMARY"}</definedName>
    <definedName name="KEY" localSheetId="32" hidden="1">#REF!</definedName>
    <definedName name="KEY" hidden="1">#REF!</definedName>
    <definedName name="key_007" localSheetId="32" hidden="1">#REF!</definedName>
    <definedName name="key_007" hidden="1">#REF!</definedName>
    <definedName name="kghlgh" localSheetId="20" hidden="1">{#N/A,#N/A,FALSE,"CCTV"}</definedName>
    <definedName name="kghlgh" localSheetId="19" hidden="1">{#N/A,#N/A,FALSE,"CCTV"}</definedName>
    <definedName name="kghlgh" localSheetId="26" hidden="1">{#N/A,#N/A,FALSE,"CCTV"}</definedName>
    <definedName name="kghlgh" localSheetId="24" hidden="1">{#N/A,#N/A,FALSE,"CCTV"}</definedName>
    <definedName name="kghlgh" localSheetId="32" hidden="1">{#N/A,#N/A,FALSE,"CCTV"}</definedName>
    <definedName name="kghlgh" localSheetId="27" hidden="1">{#N/A,#N/A,FALSE,"CCTV"}</definedName>
    <definedName name="kghlgh" localSheetId="28" hidden="1">{#N/A,#N/A,FALSE,"CCTV"}</definedName>
    <definedName name="kghlgh" localSheetId="29" hidden="1">{#N/A,#N/A,FALSE,"CCTV"}</definedName>
    <definedName name="kghlgh" localSheetId="31" hidden="1">{#N/A,#N/A,FALSE,"CCTV"}</definedName>
    <definedName name="kghlgh" localSheetId="30" hidden="1">{#N/A,#N/A,FALSE,"CCTV"}</definedName>
    <definedName name="kghlgh" localSheetId="17" hidden="1">{#N/A,#N/A,FALSE,"CCTV"}</definedName>
    <definedName name="kghlgh" localSheetId="18" hidden="1">{#N/A,#N/A,FALSE,"CCTV"}</definedName>
    <definedName name="kghlgh" hidden="1">{#N/A,#N/A,FALSE,"CCTV"}</definedName>
    <definedName name="khdkshd" localSheetId="32" hidden="1">#REF!</definedName>
    <definedName name="khdkshd" localSheetId="27" hidden="1">#REF!</definedName>
    <definedName name="khdkshd" hidden="1">#REF!</definedName>
    <definedName name="kiki" localSheetId="20" hidden="1">{"'Rekap 1'!$A$1:$E$18"}</definedName>
    <definedName name="kiki" localSheetId="19" hidden="1">{"'Rekap 1'!$A$1:$E$18"}</definedName>
    <definedName name="kiki" localSheetId="26" hidden="1">{"'Rekap 1'!$A$1:$E$18"}</definedName>
    <definedName name="kiki" localSheetId="24" hidden="1">{"'Rekap 1'!$A$1:$E$18"}</definedName>
    <definedName name="kiki" localSheetId="32" hidden="1">{"'Rekap 1'!$A$1:$E$18"}</definedName>
    <definedName name="kiki" localSheetId="27" hidden="1">{"'Rekap 1'!$A$1:$E$18"}</definedName>
    <definedName name="kiki" localSheetId="28" hidden="1">{"'Rekap 1'!$A$1:$E$18"}</definedName>
    <definedName name="kiki" localSheetId="29" hidden="1">{"'Rekap 1'!$A$1:$E$18"}</definedName>
    <definedName name="kiki" localSheetId="31" hidden="1">{"'Rekap 1'!$A$1:$E$18"}</definedName>
    <definedName name="kiki" localSheetId="30" hidden="1">{"'Rekap 1'!$A$1:$E$18"}</definedName>
    <definedName name="kiki" localSheetId="17" hidden="1">{"'Rekap 1'!$A$1:$E$18"}</definedName>
    <definedName name="kiki" localSheetId="18" hidden="1">{"'Rekap 1'!$A$1:$E$18"}</definedName>
    <definedName name="kiki" hidden="1">{"'Rekap 1'!$A$1:$E$18"}</definedName>
    <definedName name="kinerja" localSheetId="20" hidden="1">{#N/A,#N/A,FALSE,"M.32"}</definedName>
    <definedName name="kinerja" localSheetId="19" hidden="1">{#N/A,#N/A,FALSE,"M.32"}</definedName>
    <definedName name="kinerja" localSheetId="26" hidden="1">{#N/A,#N/A,FALSE,"M.32"}</definedName>
    <definedName name="kinerja" localSheetId="24" hidden="1">{#N/A,#N/A,FALSE,"M.32"}</definedName>
    <definedName name="kinerja" localSheetId="32" hidden="1">{#N/A,#N/A,FALSE,"M.32"}</definedName>
    <definedName name="kinerja" localSheetId="27" hidden="1">{#N/A,#N/A,FALSE,"M.32"}</definedName>
    <definedName name="kinerja" localSheetId="28" hidden="1">{#N/A,#N/A,FALSE,"M.32"}</definedName>
    <definedName name="kinerja" localSheetId="29" hidden="1">{#N/A,#N/A,FALSE,"M.32"}</definedName>
    <definedName name="kinerja" localSheetId="31" hidden="1">{#N/A,#N/A,FALSE,"M.32"}</definedName>
    <definedName name="kinerja" localSheetId="30" hidden="1">{#N/A,#N/A,FALSE,"M.32"}</definedName>
    <definedName name="kinerja" localSheetId="17" hidden="1">{#N/A,#N/A,FALSE,"M.32"}</definedName>
    <definedName name="kinerja" localSheetId="18" hidden="1">{#N/A,#N/A,FALSE,"M.32"}</definedName>
    <definedName name="kinerja" hidden="1">{#N/A,#N/A,FALSE,"M.32"}</definedName>
    <definedName name="kinerja_1" localSheetId="20" hidden="1">{#N/A,#N/A,FALSE,"M.42"}</definedName>
    <definedName name="kinerja_1" localSheetId="19" hidden="1">{#N/A,#N/A,FALSE,"M.42"}</definedName>
    <definedName name="kinerja_1" localSheetId="26" hidden="1">{#N/A,#N/A,FALSE,"M.42"}</definedName>
    <definedName name="kinerja_1" localSheetId="24" hidden="1">{#N/A,#N/A,FALSE,"M.42"}</definedName>
    <definedName name="kinerja_1" localSheetId="32" hidden="1">{#N/A,#N/A,FALSE,"M.42"}</definedName>
    <definedName name="kinerja_1" localSheetId="27" hidden="1">{#N/A,#N/A,FALSE,"M.42"}</definedName>
    <definedName name="kinerja_1" localSheetId="28" hidden="1">{#N/A,#N/A,FALSE,"M.42"}</definedName>
    <definedName name="kinerja_1" localSheetId="29" hidden="1">{#N/A,#N/A,FALSE,"M.42"}</definedName>
    <definedName name="kinerja_1" localSheetId="31" hidden="1">{#N/A,#N/A,FALSE,"M.42"}</definedName>
    <definedName name="kinerja_1" localSheetId="30" hidden="1">{#N/A,#N/A,FALSE,"M.42"}</definedName>
    <definedName name="kinerja_1" localSheetId="17" hidden="1">{#N/A,#N/A,FALSE,"M.42"}</definedName>
    <definedName name="kinerja_1" localSheetId="18" hidden="1">{#N/A,#N/A,FALSE,"M.42"}</definedName>
    <definedName name="kinerja_1" hidden="1">{#N/A,#N/A,FALSE,"M.42"}</definedName>
    <definedName name="KINERJA2004ESTIMASI" localSheetId="20" hidden="1">{#N/A,#N/A,FALSE,"M.02"}</definedName>
    <definedName name="KINERJA2004ESTIMASI" localSheetId="19" hidden="1">{#N/A,#N/A,FALSE,"M.02"}</definedName>
    <definedName name="KINERJA2004ESTIMASI" localSheetId="26" hidden="1">{#N/A,#N/A,FALSE,"M.02"}</definedName>
    <definedName name="KINERJA2004ESTIMASI" localSheetId="24" hidden="1">{#N/A,#N/A,FALSE,"M.02"}</definedName>
    <definedName name="KINERJA2004ESTIMASI" localSheetId="32" hidden="1">{#N/A,#N/A,FALSE,"M.02"}</definedName>
    <definedName name="KINERJA2004ESTIMASI" localSheetId="27" hidden="1">{#N/A,#N/A,FALSE,"M.02"}</definedName>
    <definedName name="KINERJA2004ESTIMASI" localSheetId="28" hidden="1">{#N/A,#N/A,FALSE,"M.02"}</definedName>
    <definedName name="KINERJA2004ESTIMASI" localSheetId="29" hidden="1">{#N/A,#N/A,FALSE,"M.02"}</definedName>
    <definedName name="KINERJA2004ESTIMASI" localSheetId="31" hidden="1">{#N/A,#N/A,FALSE,"M.02"}</definedName>
    <definedName name="KINERJA2004ESTIMASI" localSheetId="30" hidden="1">{#N/A,#N/A,FALSE,"M.02"}</definedName>
    <definedName name="KINERJA2004ESTIMASI" localSheetId="17" hidden="1">{#N/A,#N/A,FALSE,"M.02"}</definedName>
    <definedName name="KINERJA2004ESTIMASI" localSheetId="18" hidden="1">{#N/A,#N/A,FALSE,"M.02"}</definedName>
    <definedName name="KINERJA2004ESTIMASI" hidden="1">{#N/A,#N/A,FALSE,"M.02"}</definedName>
    <definedName name="kiulil" localSheetId="20" hidden="1">{#N/A,#N/A,FALSE,"CCTV"}</definedName>
    <definedName name="kiulil" localSheetId="19" hidden="1">{#N/A,#N/A,FALSE,"CCTV"}</definedName>
    <definedName name="kiulil" localSheetId="26" hidden="1">{#N/A,#N/A,FALSE,"CCTV"}</definedName>
    <definedName name="kiulil" localSheetId="24" hidden="1">{#N/A,#N/A,FALSE,"CCTV"}</definedName>
    <definedName name="kiulil" localSheetId="32" hidden="1">{#N/A,#N/A,FALSE,"CCTV"}</definedName>
    <definedName name="kiulil" localSheetId="27" hidden="1">{#N/A,#N/A,FALSE,"CCTV"}</definedName>
    <definedName name="kiulil" localSheetId="28" hidden="1">{#N/A,#N/A,FALSE,"CCTV"}</definedName>
    <definedName name="kiulil" localSheetId="29" hidden="1">{#N/A,#N/A,FALSE,"CCTV"}</definedName>
    <definedName name="kiulil" localSheetId="31" hidden="1">{#N/A,#N/A,FALSE,"CCTV"}</definedName>
    <definedName name="kiulil" localSheetId="30" hidden="1">{#N/A,#N/A,FALSE,"CCTV"}</definedName>
    <definedName name="kiulil" localSheetId="17" hidden="1">{#N/A,#N/A,FALSE,"CCTV"}</definedName>
    <definedName name="kiulil" localSheetId="18" hidden="1">{#N/A,#N/A,FALSE,"CCTV"}</definedName>
    <definedName name="kiulil" hidden="1">{#N/A,#N/A,FALSE,"CCTV"}</definedName>
    <definedName name="kj" localSheetId="32" hidden="1">#REF!</definedName>
    <definedName name="kj" localSheetId="27" hidden="1">#REF!</definedName>
    <definedName name="kj" localSheetId="18" hidden="1">#REF!</definedName>
    <definedName name="kj" hidden="1">#REF!</definedName>
    <definedName name="kjaksak" localSheetId="27" hidden="1">#REF!</definedName>
    <definedName name="kjaksak" localSheetId="18" hidden="1">#REF!</definedName>
    <definedName name="kjaksak" hidden="1">#REF!</definedName>
    <definedName name="KJH" localSheetId="20" hidden="1">{#N/A,#N/A,FALSE,"REK-S-TPL";#N/A,#N/A,FALSE,"REK-TPML";#N/A,#N/A,FALSE,"RAB-TEMPEL"}</definedName>
    <definedName name="KJH" localSheetId="19" hidden="1">{#N/A,#N/A,FALSE,"REK-S-TPL";#N/A,#N/A,FALSE,"REK-TPML";#N/A,#N/A,FALSE,"RAB-TEMPEL"}</definedName>
    <definedName name="KJH" localSheetId="26" hidden="1">{#N/A,#N/A,FALSE,"REK-S-TPL";#N/A,#N/A,FALSE,"REK-TPML";#N/A,#N/A,FALSE,"RAB-TEMPEL"}</definedName>
    <definedName name="KJH" localSheetId="23" hidden="1">{#N/A,#N/A,FALSE,"REK-S-TPL";#N/A,#N/A,FALSE,"REK-TPML";#N/A,#N/A,FALSE,"RAB-TEMPEL"}</definedName>
    <definedName name="KJH" localSheetId="24" hidden="1">{#N/A,#N/A,FALSE,"REK-S-TPL";#N/A,#N/A,FALSE,"REK-TPML";#N/A,#N/A,FALSE,"RAB-TEMPEL"}</definedName>
    <definedName name="KJH" localSheetId="32" hidden="1">{#N/A,#N/A,FALSE,"REK-S-TPL";#N/A,#N/A,FALSE,"REK-TPML";#N/A,#N/A,FALSE,"RAB-TEMPEL"}</definedName>
    <definedName name="KJH" localSheetId="27" hidden="1">{#N/A,#N/A,FALSE,"REK-S-TPL";#N/A,#N/A,FALSE,"REK-TPML";#N/A,#N/A,FALSE,"RAB-TEMPEL"}</definedName>
    <definedName name="KJH" localSheetId="28" hidden="1">{#N/A,#N/A,FALSE,"REK-S-TPL";#N/A,#N/A,FALSE,"REK-TPML";#N/A,#N/A,FALSE,"RAB-TEMPEL"}</definedName>
    <definedName name="KJH" localSheetId="29" hidden="1">{#N/A,#N/A,FALSE,"REK-S-TPL";#N/A,#N/A,FALSE,"REK-TPML";#N/A,#N/A,FALSE,"RAB-TEMPEL"}</definedName>
    <definedName name="KJH" localSheetId="31" hidden="1">{#N/A,#N/A,FALSE,"REK-S-TPL";#N/A,#N/A,FALSE,"REK-TPML";#N/A,#N/A,FALSE,"RAB-TEMPEL"}</definedName>
    <definedName name="KJH" localSheetId="30" hidden="1">{#N/A,#N/A,FALSE,"REK-S-TPL";#N/A,#N/A,FALSE,"REK-TPML";#N/A,#N/A,FALSE,"RAB-TEMPEL"}</definedName>
    <definedName name="KJH" localSheetId="13" hidden="1">{#N/A,#N/A,FALSE,"REK-S-TPL";#N/A,#N/A,FALSE,"REK-TPML";#N/A,#N/A,FALSE,"RAB-TEMPEL"}</definedName>
    <definedName name="KJH" localSheetId="17" hidden="1">{#N/A,#N/A,FALSE,"REK-S-TPL";#N/A,#N/A,FALSE,"REK-TPML";#N/A,#N/A,FALSE,"RAB-TEMPEL"}</definedName>
    <definedName name="KJH" localSheetId="18" hidden="1">{#N/A,#N/A,FALSE,"REK-S-TPL";#N/A,#N/A,FALSE,"REK-TPML";#N/A,#N/A,FALSE,"RAB-TEMPEL"}</definedName>
    <definedName name="KJH" localSheetId="22" hidden="1">{#N/A,#N/A,FALSE,"REK-S-TPL";#N/A,#N/A,FALSE,"REK-TPML";#N/A,#N/A,FALSE,"RAB-TEMPEL"}</definedName>
    <definedName name="KJH" localSheetId="40" hidden="1">{#N/A,#N/A,FALSE,"REK-S-TPL";#N/A,#N/A,FALSE,"REK-TPML";#N/A,#N/A,FALSE,"RAB-TEMPEL"}</definedName>
    <definedName name="KJH" localSheetId="41" hidden="1">{#N/A,#N/A,FALSE,"REK-S-TPL";#N/A,#N/A,FALSE,"REK-TPML";#N/A,#N/A,FALSE,"RAB-TEMPEL"}</definedName>
    <definedName name="KJH" localSheetId="42" hidden="1">{#N/A,#N/A,FALSE,"REK-S-TPL";#N/A,#N/A,FALSE,"REK-TPML";#N/A,#N/A,FALSE,"RAB-TEMPEL"}</definedName>
    <definedName name="KJH" localSheetId="35" hidden="1">{#N/A,#N/A,FALSE,"REK-S-TPL";#N/A,#N/A,FALSE,"REK-TPML";#N/A,#N/A,FALSE,"RAB-TEMPEL"}</definedName>
    <definedName name="KJH" localSheetId="38" hidden="1">{#N/A,#N/A,FALSE,"REK-S-TPL";#N/A,#N/A,FALSE,"REK-TPML";#N/A,#N/A,FALSE,"RAB-TEMPEL"}</definedName>
    <definedName name="KJH" hidden="1">{#N/A,#N/A,FALSE,"REK-S-TPL";#N/A,#N/A,FALSE,"REK-TPML";#N/A,#N/A,FALSE,"RAB-TEMPEL"}</definedName>
    <definedName name="kjhlh" localSheetId="20" hidden="1">{#N/A,#N/A,FALSE,"CCTV"}</definedName>
    <definedName name="kjhlh" localSheetId="19" hidden="1">{#N/A,#N/A,FALSE,"CCTV"}</definedName>
    <definedName name="kjhlh" localSheetId="26" hidden="1">{#N/A,#N/A,FALSE,"CCTV"}</definedName>
    <definedName name="kjhlh" localSheetId="24" hidden="1">{#N/A,#N/A,FALSE,"CCTV"}</definedName>
    <definedName name="kjhlh" localSheetId="32" hidden="1">{#N/A,#N/A,FALSE,"CCTV"}</definedName>
    <definedName name="kjhlh" localSheetId="27" hidden="1">{#N/A,#N/A,FALSE,"CCTV"}</definedName>
    <definedName name="kjhlh" localSheetId="28" hidden="1">{#N/A,#N/A,FALSE,"CCTV"}</definedName>
    <definedName name="kjhlh" localSheetId="29" hidden="1">{#N/A,#N/A,FALSE,"CCTV"}</definedName>
    <definedName name="kjhlh" localSheetId="31" hidden="1">{#N/A,#N/A,FALSE,"CCTV"}</definedName>
    <definedName name="kjhlh" localSheetId="30" hidden="1">{#N/A,#N/A,FALSE,"CCTV"}</definedName>
    <definedName name="kjhlh" localSheetId="17" hidden="1">{#N/A,#N/A,FALSE,"CCTV"}</definedName>
    <definedName name="kjhlh" localSheetId="18" hidden="1">{#N/A,#N/A,FALSE,"CCTV"}</definedName>
    <definedName name="kjhlh" hidden="1">{#N/A,#N/A,FALSE,"CCTV"}</definedName>
    <definedName name="kjhljhk" localSheetId="20" hidden="1">{#N/A,#N/A,FALSE,"CCTV"}</definedName>
    <definedName name="kjhljhk" localSheetId="19" hidden="1">{#N/A,#N/A,FALSE,"CCTV"}</definedName>
    <definedName name="kjhljhk" localSheetId="26" hidden="1">{#N/A,#N/A,FALSE,"CCTV"}</definedName>
    <definedName name="kjhljhk" localSheetId="24" hidden="1">{#N/A,#N/A,FALSE,"CCTV"}</definedName>
    <definedName name="kjhljhk" localSheetId="32" hidden="1">{#N/A,#N/A,FALSE,"CCTV"}</definedName>
    <definedName name="kjhljhk" localSheetId="27" hidden="1">{#N/A,#N/A,FALSE,"CCTV"}</definedName>
    <definedName name="kjhljhk" localSheetId="28" hidden="1">{#N/A,#N/A,FALSE,"CCTV"}</definedName>
    <definedName name="kjhljhk" localSheetId="29" hidden="1">{#N/A,#N/A,FALSE,"CCTV"}</definedName>
    <definedName name="kjhljhk" localSheetId="31" hidden="1">{#N/A,#N/A,FALSE,"CCTV"}</definedName>
    <definedName name="kjhljhk" localSheetId="30" hidden="1">{#N/A,#N/A,FALSE,"CCTV"}</definedName>
    <definedName name="kjhljhk" localSheetId="17" hidden="1">{#N/A,#N/A,FALSE,"CCTV"}</definedName>
    <definedName name="kjhljhk" localSheetId="18" hidden="1">{#N/A,#N/A,FALSE,"CCTV"}</definedName>
    <definedName name="kjhljhk" hidden="1">{#N/A,#N/A,FALSE,"CCTV"}</definedName>
    <definedName name="kjjghh" localSheetId="20" hidden="1">#REF!</definedName>
    <definedName name="kjjghh" localSheetId="19" hidden="1">#REF!</definedName>
    <definedName name="kjjghh" localSheetId="32" hidden="1">#REF!</definedName>
    <definedName name="kjjghh" localSheetId="27" hidden="1">#REF!</definedName>
    <definedName name="kjjghh" localSheetId="28" hidden="1">#REF!</definedName>
    <definedName name="kjjghh" localSheetId="31" hidden="1">#REF!</definedName>
    <definedName name="kjjghh" localSheetId="30" hidden="1">#REF!</definedName>
    <definedName name="kjjghh" localSheetId="17" hidden="1">#REF!</definedName>
    <definedName name="kjjghh" localSheetId="18" hidden="1">#REF!</definedName>
    <definedName name="kjjghh" hidden="1">#REF!</definedName>
    <definedName name="KJUUYHG" hidden="1">#REF!</definedName>
    <definedName name="kkk" localSheetId="20" hidden="1">{#N/A,#N/A,FALSE,"M.32"}</definedName>
    <definedName name="kkk" localSheetId="19" hidden="1">{#N/A,#N/A,FALSE,"M.32"}</definedName>
    <definedName name="kkk" localSheetId="26" hidden="1">{#N/A,#N/A,FALSE,"M.32"}</definedName>
    <definedName name="kkk" localSheetId="24" hidden="1">{#N/A,#N/A,FALSE,"M.32"}</definedName>
    <definedName name="kkk" localSheetId="32" hidden="1">{#N/A,#N/A,FALSE,"M.32"}</definedName>
    <definedName name="kkk" localSheetId="27" hidden="1">{#N/A,#N/A,FALSE,"M.32"}</definedName>
    <definedName name="kkk" localSheetId="28" hidden="1">{#N/A,#N/A,FALSE,"M.32"}</definedName>
    <definedName name="kkk" localSheetId="29" hidden="1">{#N/A,#N/A,FALSE,"M.32"}</definedName>
    <definedName name="kkk" localSheetId="31" hidden="1">{#N/A,#N/A,FALSE,"M.32"}</definedName>
    <definedName name="kkk" localSheetId="30" hidden="1">{#N/A,#N/A,FALSE,"M.32"}</definedName>
    <definedName name="kkk" localSheetId="17" hidden="1">{#N/A,#N/A,FALSE,"M.32"}</definedName>
    <definedName name="kkk" localSheetId="18" hidden="1">{#N/A,#N/A,FALSE,"M.32"}</definedName>
    <definedName name="kkk" hidden="1">{#N/A,#N/A,FALSE,"M.32"}</definedName>
    <definedName name="kkkjk" localSheetId="32" hidden="1">#REF!</definedName>
    <definedName name="kkkjk" localSheetId="27" hidden="1">#REF!</definedName>
    <definedName name="kkkjk" localSheetId="18" hidden="1">#REF!</definedName>
    <definedName name="kkkjk" hidden="1">#REF!</definedName>
    <definedName name="kkkk" localSheetId="27" hidden="1">#REF!</definedName>
    <definedName name="kkkk" localSheetId="18" hidden="1">#REF!</definedName>
    <definedName name="kkkk" hidden="1">#REF!</definedName>
    <definedName name="kkkkk" localSheetId="20" hidden="1">{#N/A,#N/A,FALSE,"M.33"}</definedName>
    <definedName name="kkkkk" localSheetId="19" hidden="1">{#N/A,#N/A,FALSE,"M.33"}</definedName>
    <definedName name="kkkkk" localSheetId="26" hidden="1">{#N/A,#N/A,FALSE,"M.33"}</definedName>
    <definedName name="kkkkk" localSheetId="24" hidden="1">{#N/A,#N/A,FALSE,"M.33"}</definedName>
    <definedName name="kkkkk" localSheetId="32" hidden="1">{#N/A,#N/A,FALSE,"M.33"}</definedName>
    <definedName name="kkkkk" localSheetId="27" hidden="1">{#N/A,#N/A,FALSE,"M.33"}</definedName>
    <definedName name="kkkkk" localSheetId="28" hidden="1">{#N/A,#N/A,FALSE,"M.33"}</definedName>
    <definedName name="kkkkk" localSheetId="29" hidden="1">{#N/A,#N/A,FALSE,"M.33"}</definedName>
    <definedName name="kkkkk" localSheetId="31" hidden="1">{#N/A,#N/A,FALSE,"M.33"}</definedName>
    <definedName name="kkkkk" localSheetId="30" hidden="1">{#N/A,#N/A,FALSE,"M.33"}</definedName>
    <definedName name="kkkkk" localSheetId="17" hidden="1">{#N/A,#N/A,FALSE,"M.33"}</definedName>
    <definedName name="kkkkk" localSheetId="18" hidden="1">{#N/A,#N/A,FALSE,"M.33"}</definedName>
    <definedName name="kkkkk" hidden="1">{#N/A,#N/A,FALSE,"M.33"}</definedName>
    <definedName name="kkkkkk" localSheetId="32" hidden="1">#REF!</definedName>
    <definedName name="kkkkkk" localSheetId="27" hidden="1">#REF!</definedName>
    <definedName name="kkkkkk" localSheetId="18" hidden="1">#REF!</definedName>
    <definedName name="kkkkkk" hidden="1">#REF!</definedName>
    <definedName name="KL" localSheetId="20" hidden="1">{#N/A,#N/A,FALSE,"CCTV"}</definedName>
    <definedName name="KL" localSheetId="19" hidden="1">{#N/A,#N/A,FALSE,"CCTV"}</definedName>
    <definedName name="KL" localSheetId="32" hidden="1">{#N/A,#N/A,FALSE,"CCTV"}</definedName>
    <definedName name="KL" localSheetId="27" hidden="1">{#N/A,#N/A,FALSE,"CCTV"}</definedName>
    <definedName name="KL" localSheetId="28" hidden="1">{#N/A,#N/A,FALSE,"CCTV"}</definedName>
    <definedName name="KL" localSheetId="31" hidden="1">{#N/A,#N/A,FALSE,"CCTV"}</definedName>
    <definedName name="KL" localSheetId="30" hidden="1">{#N/A,#N/A,FALSE,"CCTV"}</definedName>
    <definedName name="KL" localSheetId="13" hidden="1">{#N/A,#N/A,FALSE,"CCTV"}</definedName>
    <definedName name="KL" localSheetId="17" hidden="1">{#N/A,#N/A,FALSE,"CCTV"}</definedName>
    <definedName name="KL" localSheetId="18" hidden="1">{#N/A,#N/A,FALSE,"CCTV"}</definedName>
    <definedName name="KLJ" localSheetId="20" hidden="1">{"'Sheet1'!$A$1"}</definedName>
    <definedName name="KLJ" localSheetId="19" hidden="1">{"'Sheet1'!$A$1"}</definedName>
    <definedName name="KLJ" localSheetId="26" hidden="1">{"'Sheet1'!$A$1"}</definedName>
    <definedName name="KLJ" localSheetId="24" hidden="1">{"'Sheet1'!$A$1"}</definedName>
    <definedName name="KLJ" localSheetId="32" hidden="1">{"'Sheet1'!$A$1"}</definedName>
    <definedName name="KLJ" localSheetId="27" hidden="1">{"'Sheet1'!$A$1"}</definedName>
    <definedName name="KLJ" localSheetId="28" hidden="1">{"'Sheet1'!$A$1"}</definedName>
    <definedName name="KLJ" localSheetId="29" hidden="1">{"'Sheet1'!$A$1"}</definedName>
    <definedName name="KLJ" localSheetId="31" hidden="1">{"'Sheet1'!$A$1"}</definedName>
    <definedName name="KLJ" localSheetId="30" hidden="1">{"'Sheet1'!$A$1"}</definedName>
    <definedName name="KLJ" localSheetId="17" hidden="1">{"'Sheet1'!$A$1"}</definedName>
    <definedName name="KLJ" localSheetId="18" hidden="1">{"'Sheet1'!$A$1"}</definedName>
    <definedName name="KLJ" hidden="1">{"'Sheet1'!$A$1"}</definedName>
    <definedName name="KM_KKSO" localSheetId="20" hidden="1">{"'Rekap 1'!$A$1:$E$18"}</definedName>
    <definedName name="KM_KKSO" localSheetId="19" hidden="1">{"'Rekap 1'!$A$1:$E$18"}</definedName>
    <definedName name="KM_KKSO" localSheetId="26" hidden="1">{"'Rekap 1'!$A$1:$E$18"}</definedName>
    <definedName name="KM_KKSO" localSheetId="24" hidden="1">{"'Rekap 1'!$A$1:$E$18"}</definedName>
    <definedName name="KM_KKSO" localSheetId="32" hidden="1">{"'Rekap 1'!$A$1:$E$18"}</definedName>
    <definedName name="KM_KKSO" localSheetId="27" hidden="1">{"'Rekap 1'!$A$1:$E$18"}</definedName>
    <definedName name="KM_KKSO" localSheetId="28" hidden="1">{"'Rekap 1'!$A$1:$E$18"}</definedName>
    <definedName name="KM_KKSO" localSheetId="29" hidden="1">{"'Rekap 1'!$A$1:$E$18"}</definedName>
    <definedName name="KM_KKSO" localSheetId="31" hidden="1">{"'Rekap 1'!$A$1:$E$18"}</definedName>
    <definedName name="KM_KKSO" localSheetId="30" hidden="1">{"'Rekap 1'!$A$1:$E$18"}</definedName>
    <definedName name="KM_KKSO" localSheetId="17" hidden="1">{"'Rekap 1'!$A$1:$E$18"}</definedName>
    <definedName name="KM_KKSO" localSheetId="18" hidden="1">{"'Rekap 1'!$A$1:$E$18"}</definedName>
    <definedName name="KM_KKSO" hidden="1">{"'Rekap 1'!$A$1:$E$18"}</definedName>
    <definedName name="koneksi" hidden="1">#REF!</definedName>
    <definedName name="koreksi" localSheetId="20" hidden="1">{#N/A,#N/A,FALSE,"REK";#N/A,#N/A,FALSE,"Bq-ARS"}</definedName>
    <definedName name="koreksi" localSheetId="19" hidden="1">{#N/A,#N/A,FALSE,"REK";#N/A,#N/A,FALSE,"Bq-ARS"}</definedName>
    <definedName name="koreksi" localSheetId="26" hidden="1">{#N/A,#N/A,FALSE,"REK";#N/A,#N/A,FALSE,"Bq-ARS"}</definedName>
    <definedName name="koreksi" localSheetId="24" hidden="1">{#N/A,#N/A,FALSE,"REK";#N/A,#N/A,FALSE,"Bq-ARS"}</definedName>
    <definedName name="koreksi" localSheetId="32" hidden="1">{#N/A,#N/A,FALSE,"REK";#N/A,#N/A,FALSE,"Bq-ARS"}</definedName>
    <definedName name="koreksi" localSheetId="27" hidden="1">{#N/A,#N/A,FALSE,"REK";#N/A,#N/A,FALSE,"Bq-ARS"}</definedName>
    <definedName name="koreksi" localSheetId="28" hidden="1">{#N/A,#N/A,FALSE,"REK";#N/A,#N/A,FALSE,"Bq-ARS"}</definedName>
    <definedName name="koreksi" localSheetId="29" hidden="1">{#N/A,#N/A,FALSE,"REK";#N/A,#N/A,FALSE,"Bq-ARS"}</definedName>
    <definedName name="koreksi" localSheetId="31" hidden="1">{#N/A,#N/A,FALSE,"REK";#N/A,#N/A,FALSE,"Bq-ARS"}</definedName>
    <definedName name="koreksi" localSheetId="30" hidden="1">{#N/A,#N/A,FALSE,"REK";#N/A,#N/A,FALSE,"Bq-ARS"}</definedName>
    <definedName name="koreksi" localSheetId="17" hidden="1">{#N/A,#N/A,FALSE,"REK";#N/A,#N/A,FALSE,"Bq-ARS"}</definedName>
    <definedName name="koreksi" localSheetId="18" hidden="1">{#N/A,#N/A,FALSE,"REK";#N/A,#N/A,FALSE,"Bq-ARS"}</definedName>
    <definedName name="koreksi" hidden="1">{#N/A,#N/A,FALSE,"REK";#N/A,#N/A,FALSE,"Bq-ARS"}</definedName>
    <definedName name="kp" localSheetId="20" hidden="1">{#N/A,#N/A,FALSE,"CCTV"}</definedName>
    <definedName name="kp" localSheetId="19" hidden="1">{#N/A,#N/A,FALSE,"CCTV"}</definedName>
    <definedName name="kp" localSheetId="26" hidden="1">{#N/A,#N/A,FALSE,"CCTV"}</definedName>
    <definedName name="kp" localSheetId="24" hidden="1">{#N/A,#N/A,FALSE,"CCTV"}</definedName>
    <definedName name="kp" localSheetId="32" hidden="1">{#N/A,#N/A,FALSE,"CCTV"}</definedName>
    <definedName name="kp" localSheetId="27" hidden="1">{#N/A,#N/A,FALSE,"CCTV"}</definedName>
    <definedName name="kp" localSheetId="28" hidden="1">{#N/A,#N/A,FALSE,"CCTV"}</definedName>
    <definedName name="kp" localSheetId="29" hidden="1">{#N/A,#N/A,FALSE,"CCTV"}</definedName>
    <definedName name="kp" localSheetId="31" hidden="1">{#N/A,#N/A,FALSE,"CCTV"}</definedName>
    <definedName name="kp" localSheetId="30" hidden="1">{#N/A,#N/A,FALSE,"CCTV"}</definedName>
    <definedName name="kp" localSheetId="17" hidden="1">{#N/A,#N/A,FALSE,"CCTV"}</definedName>
    <definedName name="kp" localSheetId="18" hidden="1">{#N/A,#N/A,FALSE,"CCTV"}</definedName>
    <definedName name="kp" hidden="1">{#N/A,#N/A,FALSE,"CCTV"}</definedName>
    <definedName name="KRWE" localSheetId="32" hidden="1">#REF!</definedName>
    <definedName name="KRWE" hidden="1">#REF!</definedName>
    <definedName name="KZ" localSheetId="20" hidden="1">{#N/A,#N/A,FALSE,"CCTV"}</definedName>
    <definedName name="KZ" localSheetId="19" hidden="1">{#N/A,#N/A,FALSE,"CCTV"}</definedName>
    <definedName name="KZ" localSheetId="26" hidden="1">{#N/A,#N/A,FALSE,"CCTV"}</definedName>
    <definedName name="KZ" localSheetId="24" hidden="1">{#N/A,#N/A,FALSE,"CCTV"}</definedName>
    <definedName name="KZ" localSheetId="32" hidden="1">{#N/A,#N/A,FALSE,"CCTV"}</definedName>
    <definedName name="KZ" localSheetId="27" hidden="1">{#N/A,#N/A,FALSE,"CCTV"}</definedName>
    <definedName name="KZ" localSheetId="28" hidden="1">{#N/A,#N/A,FALSE,"CCTV"}</definedName>
    <definedName name="KZ" localSheetId="29" hidden="1">{#N/A,#N/A,FALSE,"CCTV"}</definedName>
    <definedName name="KZ" localSheetId="31" hidden="1">{#N/A,#N/A,FALSE,"CCTV"}</definedName>
    <definedName name="KZ" localSheetId="30" hidden="1">{#N/A,#N/A,FALSE,"CCTV"}</definedName>
    <definedName name="KZ" localSheetId="17" hidden="1">{#N/A,#N/A,FALSE,"CCTV"}</definedName>
    <definedName name="KZ" localSheetId="18" hidden="1">{#N/A,#N/A,FALSE,"CCTV"}</definedName>
    <definedName name="KZ" hidden="1">{#N/A,#N/A,FALSE,"CCTV"}</definedName>
    <definedName name="lampx" localSheetId="32" hidden="1">#REF!</definedName>
    <definedName name="lampx" localSheetId="41" hidden="1">#REF!</definedName>
    <definedName name="lampx" localSheetId="42" hidden="1">#REF!</definedName>
    <definedName name="lampx" hidden="1">#REF!</definedName>
    <definedName name="LANDS" hidden="1">#REF!</definedName>
    <definedName name="Lapens" hidden="1">#REF!</definedName>
    <definedName name="Laporan.HAr" hidden="1">#REF!</definedName>
    <definedName name="Lett" hidden="1">#REF!</definedName>
    <definedName name="limcount" hidden="1">3</definedName>
    <definedName name="Lisa" localSheetId="20" hidden="1">{#N/A,#N/A,FALSE,"REK-S-TPL";#N/A,#N/A,FALSE,"REK-TPML";#N/A,#N/A,FALSE,"RAB-TEMPEL"}</definedName>
    <definedName name="Lisa" localSheetId="19" hidden="1">{#N/A,#N/A,FALSE,"REK-S-TPL";#N/A,#N/A,FALSE,"REK-TPML";#N/A,#N/A,FALSE,"RAB-TEMPEL"}</definedName>
    <definedName name="Lisa" localSheetId="26" hidden="1">{#N/A,#N/A,FALSE,"REK-S-TPL";#N/A,#N/A,FALSE,"REK-TPML";#N/A,#N/A,FALSE,"RAB-TEMPEL"}</definedName>
    <definedName name="Lisa" localSheetId="23" hidden="1">{#N/A,#N/A,FALSE,"REK-S-TPL";#N/A,#N/A,FALSE,"REK-TPML";#N/A,#N/A,FALSE,"RAB-TEMPEL"}</definedName>
    <definedName name="Lisa" localSheetId="24" hidden="1">{#N/A,#N/A,FALSE,"REK-S-TPL";#N/A,#N/A,FALSE,"REK-TPML";#N/A,#N/A,FALSE,"RAB-TEMPEL"}</definedName>
    <definedName name="Lisa" localSheetId="32" hidden="1">{#N/A,#N/A,FALSE,"REK-S-TPL";#N/A,#N/A,FALSE,"REK-TPML";#N/A,#N/A,FALSE,"RAB-TEMPEL"}</definedName>
    <definedName name="Lisa" localSheetId="27" hidden="1">{#N/A,#N/A,FALSE,"REK-S-TPL";#N/A,#N/A,FALSE,"REK-TPML";#N/A,#N/A,FALSE,"RAB-TEMPEL"}</definedName>
    <definedName name="Lisa" localSheetId="28" hidden="1">{#N/A,#N/A,FALSE,"REK-S-TPL";#N/A,#N/A,FALSE,"REK-TPML";#N/A,#N/A,FALSE,"RAB-TEMPEL"}</definedName>
    <definedName name="Lisa" localSheetId="29" hidden="1">{#N/A,#N/A,FALSE,"REK-S-TPL";#N/A,#N/A,FALSE,"REK-TPML";#N/A,#N/A,FALSE,"RAB-TEMPEL"}</definedName>
    <definedName name="Lisa" localSheetId="31" hidden="1">{#N/A,#N/A,FALSE,"REK-S-TPL";#N/A,#N/A,FALSE,"REK-TPML";#N/A,#N/A,FALSE,"RAB-TEMPEL"}</definedName>
    <definedName name="Lisa" localSheetId="30" hidden="1">{#N/A,#N/A,FALSE,"REK-S-TPL";#N/A,#N/A,FALSE,"REK-TPML";#N/A,#N/A,FALSE,"RAB-TEMPEL"}</definedName>
    <definedName name="Lisa" localSheetId="13" hidden="1">{#N/A,#N/A,FALSE,"REK-S-TPL";#N/A,#N/A,FALSE,"REK-TPML";#N/A,#N/A,FALSE,"RAB-TEMPEL"}</definedName>
    <definedName name="Lisa" localSheetId="17" hidden="1">{#N/A,#N/A,FALSE,"REK-S-TPL";#N/A,#N/A,FALSE,"REK-TPML";#N/A,#N/A,FALSE,"RAB-TEMPEL"}</definedName>
    <definedName name="Lisa" localSheetId="18" hidden="1">{#N/A,#N/A,FALSE,"REK-S-TPL";#N/A,#N/A,FALSE,"REK-TPML";#N/A,#N/A,FALSE,"RAB-TEMPEL"}</definedName>
    <definedName name="Lisa" localSheetId="22" hidden="1">{#N/A,#N/A,FALSE,"REK-S-TPL";#N/A,#N/A,FALSE,"REK-TPML";#N/A,#N/A,FALSE,"RAB-TEMPEL"}</definedName>
    <definedName name="Lisa" localSheetId="40" hidden="1">{#N/A,#N/A,FALSE,"REK-S-TPL";#N/A,#N/A,FALSE,"REK-TPML";#N/A,#N/A,FALSE,"RAB-TEMPEL"}</definedName>
    <definedName name="Lisa" localSheetId="41" hidden="1">{#N/A,#N/A,FALSE,"REK-S-TPL";#N/A,#N/A,FALSE,"REK-TPML";#N/A,#N/A,FALSE,"RAB-TEMPEL"}</definedName>
    <definedName name="Lisa" localSheetId="42" hidden="1">{#N/A,#N/A,FALSE,"REK-S-TPL";#N/A,#N/A,FALSE,"REK-TPML";#N/A,#N/A,FALSE,"RAB-TEMPEL"}</definedName>
    <definedName name="Lisa" localSheetId="35" hidden="1">{#N/A,#N/A,FALSE,"REK-S-TPL";#N/A,#N/A,FALSE,"REK-TPML";#N/A,#N/A,FALSE,"RAB-TEMPEL"}</definedName>
    <definedName name="Lisa" localSheetId="38" hidden="1">{#N/A,#N/A,FALSE,"REK-S-TPL";#N/A,#N/A,FALSE,"REK-TPML";#N/A,#N/A,FALSE,"RAB-TEMPEL"}</definedName>
    <definedName name="Lisa" hidden="1">{#N/A,#N/A,FALSE,"REK-S-TPL";#N/A,#N/A,FALSE,"REK-TPML";#N/A,#N/A,FALSE,"RAB-TEMPEL"}</definedName>
    <definedName name="lj" localSheetId="20" hidden="1">{#N/A,#N/A,FALSE,"CCTV"}</definedName>
    <definedName name="lj" localSheetId="19" hidden="1">{#N/A,#N/A,FALSE,"CCTV"}</definedName>
    <definedName name="lj" localSheetId="26" hidden="1">{#N/A,#N/A,FALSE,"CCTV"}</definedName>
    <definedName name="lj" localSheetId="24" hidden="1">{#N/A,#N/A,FALSE,"CCTV"}</definedName>
    <definedName name="lj" localSheetId="32" hidden="1">{#N/A,#N/A,FALSE,"CCTV"}</definedName>
    <definedName name="lj" localSheetId="27" hidden="1">{#N/A,#N/A,FALSE,"CCTV"}</definedName>
    <definedName name="lj" localSheetId="28" hidden="1">{#N/A,#N/A,FALSE,"CCTV"}</definedName>
    <definedName name="lj" localSheetId="29" hidden="1">{#N/A,#N/A,FALSE,"CCTV"}</definedName>
    <definedName name="lj" localSheetId="31" hidden="1">{#N/A,#N/A,FALSE,"CCTV"}</definedName>
    <definedName name="lj" localSheetId="30" hidden="1">{#N/A,#N/A,FALSE,"CCTV"}</definedName>
    <definedName name="lj" localSheetId="17" hidden="1">{#N/A,#N/A,FALSE,"CCTV"}</definedName>
    <definedName name="lj" localSheetId="18" hidden="1">{#N/A,#N/A,FALSE,"CCTV"}</definedName>
    <definedName name="lj" hidden="1">{#N/A,#N/A,FALSE,"CCTV"}</definedName>
    <definedName name="ljhklj" localSheetId="20" hidden="1">{"Offgrid",#N/A,FALSE,"OFFGRID";"Region",#N/A,FALSE,"REGION";"Offgrid -2",#N/A,FALSE,"OFFGRID";"WTP",#N/A,FALSE,"WTP";"WTP -2",#N/A,FALSE,"WTP";"Project",#N/A,FALSE,"PROJECT";"Summary -2",#N/A,FALSE,"SUMMARY"}</definedName>
    <definedName name="ljhklj" localSheetId="19" hidden="1">{"Offgrid",#N/A,FALSE,"OFFGRID";"Region",#N/A,FALSE,"REGION";"Offgrid -2",#N/A,FALSE,"OFFGRID";"WTP",#N/A,FALSE,"WTP";"WTP -2",#N/A,FALSE,"WTP";"Project",#N/A,FALSE,"PROJECT";"Summary -2",#N/A,FALSE,"SUMMARY"}</definedName>
    <definedName name="ljhklj" localSheetId="26" hidden="1">{"Offgrid",#N/A,FALSE,"OFFGRID";"Region",#N/A,FALSE,"REGION";"Offgrid -2",#N/A,FALSE,"OFFGRID";"WTP",#N/A,FALSE,"WTP";"WTP -2",#N/A,FALSE,"WTP";"Project",#N/A,FALSE,"PROJECT";"Summary -2",#N/A,FALSE,"SUMMARY"}</definedName>
    <definedName name="ljhklj" localSheetId="24" hidden="1">{"Offgrid",#N/A,FALSE,"OFFGRID";"Region",#N/A,FALSE,"REGION";"Offgrid -2",#N/A,FALSE,"OFFGRID";"WTP",#N/A,FALSE,"WTP";"WTP -2",#N/A,FALSE,"WTP";"Project",#N/A,FALSE,"PROJECT";"Summary -2",#N/A,FALSE,"SUMMARY"}</definedName>
    <definedName name="ljhklj" localSheetId="32" hidden="1">{"Offgrid",#N/A,FALSE,"OFFGRID";"Region",#N/A,FALSE,"REGION";"Offgrid -2",#N/A,FALSE,"OFFGRID";"WTP",#N/A,FALSE,"WTP";"WTP -2",#N/A,FALSE,"WTP";"Project",#N/A,FALSE,"PROJECT";"Summary -2",#N/A,FALSE,"SUMMARY"}</definedName>
    <definedName name="ljhklj" localSheetId="27" hidden="1">{"Offgrid",#N/A,FALSE,"OFFGRID";"Region",#N/A,FALSE,"REGION";"Offgrid -2",#N/A,FALSE,"OFFGRID";"WTP",#N/A,FALSE,"WTP";"WTP -2",#N/A,FALSE,"WTP";"Project",#N/A,FALSE,"PROJECT";"Summary -2",#N/A,FALSE,"SUMMARY"}</definedName>
    <definedName name="ljhklj" localSheetId="28" hidden="1">{"Offgrid",#N/A,FALSE,"OFFGRID";"Region",#N/A,FALSE,"REGION";"Offgrid -2",#N/A,FALSE,"OFFGRID";"WTP",#N/A,FALSE,"WTP";"WTP -2",#N/A,FALSE,"WTP";"Project",#N/A,FALSE,"PROJECT";"Summary -2",#N/A,FALSE,"SUMMARY"}</definedName>
    <definedName name="ljhklj" localSheetId="29" hidden="1">{"Offgrid",#N/A,FALSE,"OFFGRID";"Region",#N/A,FALSE,"REGION";"Offgrid -2",#N/A,FALSE,"OFFGRID";"WTP",#N/A,FALSE,"WTP";"WTP -2",#N/A,FALSE,"WTP";"Project",#N/A,FALSE,"PROJECT";"Summary -2",#N/A,FALSE,"SUMMARY"}</definedName>
    <definedName name="ljhklj" localSheetId="31" hidden="1">{"Offgrid",#N/A,FALSE,"OFFGRID";"Region",#N/A,FALSE,"REGION";"Offgrid -2",#N/A,FALSE,"OFFGRID";"WTP",#N/A,FALSE,"WTP";"WTP -2",#N/A,FALSE,"WTP";"Project",#N/A,FALSE,"PROJECT";"Summary -2",#N/A,FALSE,"SUMMARY"}</definedName>
    <definedName name="ljhklj" localSheetId="30" hidden="1">{"Offgrid",#N/A,FALSE,"OFFGRID";"Region",#N/A,FALSE,"REGION";"Offgrid -2",#N/A,FALSE,"OFFGRID";"WTP",#N/A,FALSE,"WTP";"WTP -2",#N/A,FALSE,"WTP";"Project",#N/A,FALSE,"PROJECT";"Summary -2",#N/A,FALSE,"SUMMARY"}</definedName>
    <definedName name="ljhklj" localSheetId="17" hidden="1">{"Offgrid",#N/A,FALSE,"OFFGRID";"Region",#N/A,FALSE,"REGION";"Offgrid -2",#N/A,FALSE,"OFFGRID";"WTP",#N/A,FALSE,"WTP";"WTP -2",#N/A,FALSE,"WTP";"Project",#N/A,FALSE,"PROJECT";"Summary -2",#N/A,FALSE,"SUMMARY"}</definedName>
    <definedName name="ljhklj" localSheetId="18" hidden="1">{"Offgrid",#N/A,FALSE,"OFFGRID";"Region",#N/A,FALSE,"REGION";"Offgrid -2",#N/A,FALSE,"OFFGRID";"WTP",#N/A,FALSE,"WTP";"WTP -2",#N/A,FALSE,"WTP";"Project",#N/A,FALSE,"PROJECT";"Summary -2",#N/A,FALSE,"SUMMARY"}</definedName>
    <definedName name="ljhklj" hidden="1">{"Offgrid",#N/A,FALSE,"OFFGRID";"Region",#N/A,FALSE,"REGION";"Offgrid -2",#N/A,FALSE,"OFFGRID";"WTP",#N/A,FALSE,"WTP";"WTP -2",#N/A,FALSE,"WTP";"Project",#N/A,FALSE,"PROJECT";"Summary -2",#N/A,FALSE,"SUMMARY"}</definedName>
    <definedName name="LJKJ" localSheetId="20" hidden="1">{#N/A,#N/A,FALSE,"REK";#N/A,#N/A,FALSE,"rab"}</definedName>
    <definedName name="LJKJ" localSheetId="19" hidden="1">{#N/A,#N/A,FALSE,"REK";#N/A,#N/A,FALSE,"rab"}</definedName>
    <definedName name="LJKJ" localSheetId="26" hidden="1">{#N/A,#N/A,FALSE,"REK";#N/A,#N/A,FALSE,"rab"}</definedName>
    <definedName name="LJKJ" localSheetId="23" hidden="1">{#N/A,#N/A,FALSE,"REK";#N/A,#N/A,FALSE,"rab"}</definedName>
    <definedName name="LJKJ" localSheetId="24" hidden="1">{#N/A,#N/A,FALSE,"REK";#N/A,#N/A,FALSE,"rab"}</definedName>
    <definedName name="LJKJ" localSheetId="32" hidden="1">{#N/A,#N/A,FALSE,"REK";#N/A,#N/A,FALSE,"rab"}</definedName>
    <definedName name="LJKJ" localSheetId="27" hidden="1">{#N/A,#N/A,FALSE,"REK";#N/A,#N/A,FALSE,"rab"}</definedName>
    <definedName name="LJKJ" localSheetId="28" hidden="1">{#N/A,#N/A,FALSE,"REK";#N/A,#N/A,FALSE,"rab"}</definedName>
    <definedName name="LJKJ" localSheetId="29" hidden="1">{#N/A,#N/A,FALSE,"REK";#N/A,#N/A,FALSE,"rab"}</definedName>
    <definedName name="LJKJ" localSheetId="31" hidden="1">{#N/A,#N/A,FALSE,"REK";#N/A,#N/A,FALSE,"rab"}</definedName>
    <definedName name="LJKJ" localSheetId="30" hidden="1">{#N/A,#N/A,FALSE,"REK";#N/A,#N/A,FALSE,"rab"}</definedName>
    <definedName name="LJKJ" localSheetId="13" hidden="1">{#N/A,#N/A,FALSE,"REK";#N/A,#N/A,FALSE,"rab"}</definedName>
    <definedName name="LJKJ" localSheetId="17" hidden="1">{#N/A,#N/A,FALSE,"REK";#N/A,#N/A,FALSE,"rab"}</definedName>
    <definedName name="LJKJ" localSheetId="18" hidden="1">{#N/A,#N/A,FALSE,"REK";#N/A,#N/A,FALSE,"rab"}</definedName>
    <definedName name="LJKJ" localSheetId="22" hidden="1">{#N/A,#N/A,FALSE,"REK";#N/A,#N/A,FALSE,"rab"}</definedName>
    <definedName name="LJKJ" localSheetId="40" hidden="1">{#N/A,#N/A,FALSE,"REK";#N/A,#N/A,FALSE,"rab"}</definedName>
    <definedName name="LJKJ" localSheetId="41" hidden="1">{#N/A,#N/A,FALSE,"REK";#N/A,#N/A,FALSE,"rab"}</definedName>
    <definedName name="LJKJ" localSheetId="42" hidden="1">{#N/A,#N/A,FALSE,"REK";#N/A,#N/A,FALSE,"rab"}</definedName>
    <definedName name="LJKJ" localSheetId="35" hidden="1">{#N/A,#N/A,FALSE,"REK";#N/A,#N/A,FALSE,"rab"}</definedName>
    <definedName name="LJKJ" localSheetId="38" hidden="1">{#N/A,#N/A,FALSE,"REK";#N/A,#N/A,FALSE,"rab"}</definedName>
    <definedName name="LJKJ" hidden="1">{#N/A,#N/A,FALSE,"REK";#N/A,#N/A,FALSE,"rab"}</definedName>
    <definedName name="lk" localSheetId="20" hidden="1">{#N/A,#N/A,FALSE,"CCTV"}</definedName>
    <definedName name="lk" localSheetId="19" hidden="1">{#N/A,#N/A,FALSE,"CCTV"}</definedName>
    <definedName name="lk" localSheetId="26" hidden="1">{#N/A,#N/A,FALSE,"CCTV"}</definedName>
    <definedName name="lk" localSheetId="24" hidden="1">{#N/A,#N/A,FALSE,"CCTV"}</definedName>
    <definedName name="lk" localSheetId="32" hidden="1">{#N/A,#N/A,FALSE,"CCTV"}</definedName>
    <definedName name="lk" localSheetId="27" hidden="1">{#N/A,#N/A,FALSE,"CCTV"}</definedName>
    <definedName name="lk" localSheetId="28" hidden="1">{#N/A,#N/A,FALSE,"CCTV"}</definedName>
    <definedName name="lk" localSheetId="29" hidden="1">{#N/A,#N/A,FALSE,"CCTV"}</definedName>
    <definedName name="lk" localSheetId="31" hidden="1">{#N/A,#N/A,FALSE,"CCTV"}</definedName>
    <definedName name="lk" localSheetId="30" hidden="1">{#N/A,#N/A,FALSE,"CCTV"}</definedName>
    <definedName name="lk" localSheetId="17" hidden="1">{#N/A,#N/A,FALSE,"CCTV"}</definedName>
    <definedName name="lk" localSheetId="18" hidden="1">{#N/A,#N/A,FALSE,"CCTV"}</definedName>
    <definedName name="lk" hidden="1">{#N/A,#N/A,FALSE,"CCTV"}</definedName>
    <definedName name="lkjgl" localSheetId="32" hidden="1">#REF!</definedName>
    <definedName name="lkjgl" localSheetId="27" hidden="1">#REF!</definedName>
    <definedName name="lkjgl" localSheetId="18" hidden="1">#REF!</definedName>
    <definedName name="lkjgl" hidden="1">#REF!</definedName>
    <definedName name="lklhlkjl" localSheetId="20" hidden="1">{#N/A,#N/A,FALSE,"CCTV"}</definedName>
    <definedName name="lklhlkjl" localSheetId="19" hidden="1">{#N/A,#N/A,FALSE,"CCTV"}</definedName>
    <definedName name="lklhlkjl" localSheetId="26" hidden="1">{#N/A,#N/A,FALSE,"CCTV"}</definedName>
    <definedName name="lklhlkjl" localSheetId="24" hidden="1">{#N/A,#N/A,FALSE,"CCTV"}</definedName>
    <definedName name="lklhlkjl" localSheetId="32" hidden="1">{#N/A,#N/A,FALSE,"CCTV"}</definedName>
    <definedName name="lklhlkjl" localSheetId="27" hidden="1">{#N/A,#N/A,FALSE,"CCTV"}</definedName>
    <definedName name="lklhlkjl" localSheetId="28" hidden="1">{#N/A,#N/A,FALSE,"CCTV"}</definedName>
    <definedName name="lklhlkjl" localSheetId="29" hidden="1">{#N/A,#N/A,FALSE,"CCTV"}</definedName>
    <definedName name="lklhlkjl" localSheetId="31" hidden="1">{#N/A,#N/A,FALSE,"CCTV"}</definedName>
    <definedName name="lklhlkjl" localSheetId="30" hidden="1">{#N/A,#N/A,FALSE,"CCTV"}</definedName>
    <definedName name="lklhlkjl" localSheetId="17" hidden="1">{#N/A,#N/A,FALSE,"CCTV"}</definedName>
    <definedName name="lklhlkjl" localSheetId="18" hidden="1">{#N/A,#N/A,FALSE,"CCTV"}</definedName>
    <definedName name="lklhlkjl" hidden="1">{#N/A,#N/A,FALSE,"CCTV"}</definedName>
    <definedName name="lklll" localSheetId="32" hidden="1">#REF!</definedName>
    <definedName name="lklll" localSheetId="27" hidden="1">#REF!</definedName>
    <definedName name="lklll" localSheetId="18" hidden="1">#REF!</definedName>
    <definedName name="lklll" hidden="1">#REF!</definedName>
    <definedName name="lktronik" localSheetId="20" hidden="1">{"'1996'!$A$1:$J$272"}</definedName>
    <definedName name="lktronik" localSheetId="19" hidden="1">{"'1996'!$A$1:$J$272"}</definedName>
    <definedName name="lktronik" localSheetId="26" hidden="1">{"'1996'!$A$1:$J$272"}</definedName>
    <definedName name="lktronik" localSheetId="24" hidden="1">{"'1996'!$A$1:$J$272"}</definedName>
    <definedName name="lktronik" localSheetId="32" hidden="1">{"'1996'!$A$1:$J$272"}</definedName>
    <definedName name="lktronik" localSheetId="27" hidden="1">{"'1996'!$A$1:$J$272"}</definedName>
    <definedName name="lktronik" localSheetId="28" hidden="1">{"'1996'!$A$1:$J$272"}</definedName>
    <definedName name="lktronik" localSheetId="29" hidden="1">{"'1996'!$A$1:$J$272"}</definedName>
    <definedName name="lktronik" localSheetId="31" hidden="1">{"'1996'!$A$1:$J$272"}</definedName>
    <definedName name="lktronik" localSheetId="30" hidden="1">{"'1996'!$A$1:$J$272"}</definedName>
    <definedName name="lktronik" localSheetId="17" hidden="1">{"'1996'!$A$1:$J$272"}</definedName>
    <definedName name="lktronik" localSheetId="18" hidden="1">{"'1996'!$A$1:$J$272"}</definedName>
    <definedName name="lktronik" hidden="1">{"'1996'!$A$1:$J$272"}</definedName>
    <definedName name="ll" localSheetId="13" hidden="1">#REF!</definedName>
    <definedName name="ll" localSheetId="41" hidden="1">#REF!</definedName>
    <definedName name="ll" localSheetId="42" hidden="1">#REF!</definedName>
    <definedName name="ll" hidden="1">#REF!</definedName>
    <definedName name="llfoeo" localSheetId="42" hidden="1">#REF!</definedName>
    <definedName name="LLLL" localSheetId="20" hidden="1">{#N/A,#N/A,FALSE,"CCTV"}</definedName>
    <definedName name="LLLL" localSheetId="19" hidden="1">{#N/A,#N/A,FALSE,"CCTV"}</definedName>
    <definedName name="LLLL" localSheetId="26" hidden="1">{#N/A,#N/A,FALSE,"CCTV"}</definedName>
    <definedName name="LLLL" localSheetId="24" hidden="1">{#N/A,#N/A,FALSE,"CCTV"}</definedName>
    <definedName name="LLLL" localSheetId="32" hidden="1">{#N/A,#N/A,FALSE,"CCTV"}</definedName>
    <definedName name="LLLL" localSheetId="27" hidden="1">{#N/A,#N/A,FALSE,"CCTV"}</definedName>
    <definedName name="LLLL" localSheetId="28" hidden="1">{#N/A,#N/A,FALSE,"CCTV"}</definedName>
    <definedName name="LLLL" localSheetId="29" hidden="1">{#N/A,#N/A,FALSE,"CCTV"}</definedName>
    <definedName name="LLLL" localSheetId="31" hidden="1">{#N/A,#N/A,FALSE,"CCTV"}</definedName>
    <definedName name="LLLL" localSheetId="30" hidden="1">{#N/A,#N/A,FALSE,"CCTV"}</definedName>
    <definedName name="LLLL" localSheetId="17" hidden="1">{#N/A,#N/A,FALSE,"CCTV"}</definedName>
    <definedName name="LLLL" localSheetId="18" hidden="1">{#N/A,#N/A,FALSE,"CCTV"}</definedName>
    <definedName name="LLLL" hidden="1">{#N/A,#N/A,FALSE,"CCTV"}</definedName>
    <definedName name="lllll" localSheetId="20" hidden="1">{#N/A,#N/A,FALSE,"M.42"}</definedName>
    <definedName name="lllll" localSheetId="19" hidden="1">{#N/A,#N/A,FALSE,"M.42"}</definedName>
    <definedName name="lllll" localSheetId="26" hidden="1">{#N/A,#N/A,FALSE,"M.42"}</definedName>
    <definedName name="lllll" localSheetId="24" hidden="1">{#N/A,#N/A,FALSE,"M.42"}</definedName>
    <definedName name="lllll" localSheetId="32" hidden="1">{#N/A,#N/A,FALSE,"M.42"}</definedName>
    <definedName name="lllll" localSheetId="27" hidden="1">{#N/A,#N/A,FALSE,"M.42"}</definedName>
    <definedName name="lllll" localSheetId="28" hidden="1">{#N/A,#N/A,FALSE,"M.42"}</definedName>
    <definedName name="lllll" localSheetId="29" hidden="1">{#N/A,#N/A,FALSE,"M.42"}</definedName>
    <definedName name="lllll" localSheetId="31" hidden="1">{#N/A,#N/A,FALSE,"M.42"}</definedName>
    <definedName name="lllll" localSheetId="30" hidden="1">{#N/A,#N/A,FALSE,"M.42"}</definedName>
    <definedName name="lllll" localSheetId="17" hidden="1">{#N/A,#N/A,FALSE,"M.42"}</definedName>
    <definedName name="lllll" localSheetId="18" hidden="1">{#N/A,#N/A,FALSE,"M.42"}</definedName>
    <definedName name="lllll" hidden="1">{#N/A,#N/A,FALSE,"M.42"}</definedName>
    <definedName name="lmpp" localSheetId="32" hidden="1">#REF!</definedName>
    <definedName name="lmpp" localSheetId="27" hidden="1">#REF!</definedName>
    <definedName name="lmpp" localSheetId="18" hidden="1">#REF!</definedName>
    <definedName name="lmpp" hidden="1">#REF!</definedName>
    <definedName name="LOCAL_MYSQL_DATE_FORMAT" localSheetId="2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9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7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7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8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9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7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8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ng" localSheetId="20" hidden="1">{"'Sheet1'!$L$16"}</definedName>
    <definedName name="long" localSheetId="19" hidden="1">{"'Sheet1'!$L$16"}</definedName>
    <definedName name="long" localSheetId="26" hidden="1">{"'Sheet1'!$L$16"}</definedName>
    <definedName name="long" localSheetId="24" hidden="1">{"'Sheet1'!$L$16"}</definedName>
    <definedName name="long" localSheetId="32" hidden="1">{"'Sheet1'!$L$16"}</definedName>
    <definedName name="long" localSheetId="27" hidden="1">{"'Sheet1'!$L$16"}</definedName>
    <definedName name="long" localSheetId="28" hidden="1">{"'Sheet1'!$L$16"}</definedName>
    <definedName name="long" localSheetId="29" hidden="1">{"'Sheet1'!$L$16"}</definedName>
    <definedName name="long" localSheetId="31" hidden="1">{"'Sheet1'!$L$16"}</definedName>
    <definedName name="long" localSheetId="30" hidden="1">{"'Sheet1'!$L$16"}</definedName>
    <definedName name="long" localSheetId="17" hidden="1">{"'Sheet1'!$L$16"}</definedName>
    <definedName name="long" localSheetId="18" hidden="1">{"'Sheet1'!$L$16"}</definedName>
    <definedName name="long" hidden="1">{"'Sheet1'!$L$16"}</definedName>
    <definedName name="M." localSheetId="20" hidden="1">{#N/A,#N/A,FALSE,"CCTV"}</definedName>
    <definedName name="M." localSheetId="19" hidden="1">{#N/A,#N/A,FALSE,"CCTV"}</definedName>
    <definedName name="M." localSheetId="26" hidden="1">{#N/A,#N/A,FALSE,"CCTV"}</definedName>
    <definedName name="M." localSheetId="24" hidden="1">{#N/A,#N/A,FALSE,"CCTV"}</definedName>
    <definedName name="M." localSheetId="32" hidden="1">{#N/A,#N/A,FALSE,"CCTV"}</definedName>
    <definedName name="M." localSheetId="27" hidden="1">{#N/A,#N/A,FALSE,"CCTV"}</definedName>
    <definedName name="M." localSheetId="28" hidden="1">{#N/A,#N/A,FALSE,"CCTV"}</definedName>
    <definedName name="M." localSheetId="29" hidden="1">{#N/A,#N/A,FALSE,"CCTV"}</definedName>
    <definedName name="M." localSheetId="31" hidden="1">{#N/A,#N/A,FALSE,"CCTV"}</definedName>
    <definedName name="M." localSheetId="30" hidden="1">{#N/A,#N/A,FALSE,"CCTV"}</definedName>
    <definedName name="M." localSheetId="17" hidden="1">{#N/A,#N/A,FALSE,"CCTV"}</definedName>
    <definedName name="M." localSheetId="18" hidden="1">{#N/A,#N/A,FALSE,"CCTV"}</definedName>
    <definedName name="M." hidden="1">{#N/A,#N/A,FALSE,"CCTV"}</definedName>
    <definedName name="made" localSheetId="32" hidden="1">#REF!</definedName>
    <definedName name="made" hidden="1">#REF!</definedName>
    <definedName name="made_b" localSheetId="32" hidden="1">#REF!</definedName>
    <definedName name="made_b" hidden="1">#REF!</definedName>
    <definedName name="mai" localSheetId="20" hidden="1">{"'Sheet1'!$L$16"}</definedName>
    <definedName name="mai" localSheetId="19" hidden="1">{"'Sheet1'!$L$16"}</definedName>
    <definedName name="mai" localSheetId="26" hidden="1">{"'Sheet1'!$L$16"}</definedName>
    <definedName name="mai" localSheetId="24" hidden="1">{"'Sheet1'!$L$16"}</definedName>
    <definedName name="mai" localSheetId="32" hidden="1">{"'Sheet1'!$L$16"}</definedName>
    <definedName name="mai" localSheetId="27" hidden="1">{"'Sheet1'!$L$16"}</definedName>
    <definedName name="mai" localSheetId="28" hidden="1">{"'Sheet1'!$L$16"}</definedName>
    <definedName name="mai" localSheetId="29" hidden="1">{"'Sheet1'!$L$16"}</definedName>
    <definedName name="mai" localSheetId="31" hidden="1">{"'Sheet1'!$L$16"}</definedName>
    <definedName name="mai" localSheetId="30" hidden="1">{"'Sheet1'!$L$16"}</definedName>
    <definedName name="mai" localSheetId="17" hidden="1">{"'Sheet1'!$L$16"}</definedName>
    <definedName name="mai" localSheetId="18" hidden="1">{"'Sheet1'!$L$16"}</definedName>
    <definedName name="mai" hidden="1">{"'Sheet1'!$L$16"}</definedName>
    <definedName name="mama" localSheetId="20" hidden="1">{"'Rekap 1'!$A$1:$E$18"}</definedName>
    <definedName name="mama" localSheetId="19" hidden="1">{"'Rekap 1'!$A$1:$E$18"}</definedName>
    <definedName name="mama" localSheetId="26" hidden="1">{"'Rekap 1'!$A$1:$E$18"}</definedName>
    <definedName name="mama" localSheetId="24" hidden="1">{"'Rekap 1'!$A$1:$E$18"}</definedName>
    <definedName name="mama" localSheetId="32" hidden="1">{"'Rekap 1'!$A$1:$E$18"}</definedName>
    <definedName name="mama" localSheetId="27" hidden="1">{"'Rekap 1'!$A$1:$E$18"}</definedName>
    <definedName name="mama" localSheetId="28" hidden="1">{"'Rekap 1'!$A$1:$E$18"}</definedName>
    <definedName name="mama" localSheetId="29" hidden="1">{"'Rekap 1'!$A$1:$E$18"}</definedName>
    <definedName name="mama" localSheetId="31" hidden="1">{"'Rekap 1'!$A$1:$E$18"}</definedName>
    <definedName name="mama" localSheetId="30" hidden="1">{"'Rekap 1'!$A$1:$E$18"}</definedName>
    <definedName name="mama" localSheetId="17" hidden="1">{"'Rekap 1'!$A$1:$E$18"}</definedName>
    <definedName name="mama" localSheetId="18" hidden="1">{"'Rekap 1'!$A$1:$E$18"}</definedName>
    <definedName name="mama" hidden="1">{"'Rekap 1'!$A$1:$E$18"}</definedName>
    <definedName name="marwan" localSheetId="20" hidden="1">{#N/A,#N/A,FALSE,"M.02"}</definedName>
    <definedName name="marwan" localSheetId="19" hidden="1">{#N/A,#N/A,FALSE,"M.02"}</definedName>
    <definedName name="marwan" localSheetId="26" hidden="1">{#N/A,#N/A,FALSE,"M.02"}</definedName>
    <definedName name="marwan" localSheetId="24" hidden="1">{#N/A,#N/A,FALSE,"M.02"}</definedName>
    <definedName name="marwan" localSheetId="32" hidden="1">{#N/A,#N/A,FALSE,"M.02"}</definedName>
    <definedName name="marwan" localSheetId="27" hidden="1">{#N/A,#N/A,FALSE,"M.02"}</definedName>
    <definedName name="marwan" localSheetId="28" hidden="1">{#N/A,#N/A,FALSE,"M.02"}</definedName>
    <definedName name="marwan" localSheetId="29" hidden="1">{#N/A,#N/A,FALSE,"M.02"}</definedName>
    <definedName name="marwan" localSheetId="31" hidden="1">{#N/A,#N/A,FALSE,"M.02"}</definedName>
    <definedName name="marwan" localSheetId="30" hidden="1">{#N/A,#N/A,FALSE,"M.02"}</definedName>
    <definedName name="marwan" localSheetId="17" hidden="1">{#N/A,#N/A,FALSE,"M.02"}</definedName>
    <definedName name="marwan" localSheetId="18" hidden="1">{#N/A,#N/A,FALSE,"M.02"}</definedName>
    <definedName name="marwan" hidden="1">{#N/A,#N/A,FALSE,"M.02"}</definedName>
    <definedName name="mau" localSheetId="20" hidden="1">{#N/A,#N/A,FALSE,"M.31"}</definedName>
    <definedName name="mau" localSheetId="19" hidden="1">{#N/A,#N/A,FALSE,"M.31"}</definedName>
    <definedName name="mau" localSheetId="26" hidden="1">{#N/A,#N/A,FALSE,"M.31"}</definedName>
    <definedName name="mau" localSheetId="24" hidden="1">{#N/A,#N/A,FALSE,"M.31"}</definedName>
    <definedName name="mau" localSheetId="32" hidden="1">{#N/A,#N/A,FALSE,"M.31"}</definedName>
    <definedName name="mau" localSheetId="27" hidden="1">{#N/A,#N/A,FALSE,"M.31"}</definedName>
    <definedName name="mau" localSheetId="28" hidden="1">{#N/A,#N/A,FALSE,"M.31"}</definedName>
    <definedName name="mau" localSheetId="29" hidden="1">{#N/A,#N/A,FALSE,"M.31"}</definedName>
    <definedName name="mau" localSheetId="31" hidden="1">{#N/A,#N/A,FALSE,"M.31"}</definedName>
    <definedName name="mau" localSheetId="30" hidden="1">{#N/A,#N/A,FALSE,"M.31"}</definedName>
    <definedName name="mau" localSheetId="17" hidden="1">{#N/A,#N/A,FALSE,"M.31"}</definedName>
    <definedName name="mau" localSheetId="18" hidden="1">{#N/A,#N/A,FALSE,"M.31"}</definedName>
    <definedName name="mau" hidden="1">{#N/A,#N/A,FALSE,"M.31"}</definedName>
    <definedName name="mbb" localSheetId="20" hidden="1">{"'Sheet1'!$L$16"}</definedName>
    <definedName name="mbb" localSheetId="19" hidden="1">{"'Sheet1'!$L$16"}</definedName>
    <definedName name="mbb" localSheetId="26" hidden="1">{"'Sheet1'!$L$16"}</definedName>
    <definedName name="mbb" localSheetId="24" hidden="1">{"'Sheet1'!$L$16"}</definedName>
    <definedName name="mbb" localSheetId="32" hidden="1">{"'Sheet1'!$L$16"}</definedName>
    <definedName name="mbb" localSheetId="27" hidden="1">{"'Sheet1'!$L$16"}</definedName>
    <definedName name="mbb" localSheetId="28" hidden="1">{"'Sheet1'!$L$16"}</definedName>
    <definedName name="mbb" localSheetId="29" hidden="1">{"'Sheet1'!$L$16"}</definedName>
    <definedName name="mbb" localSheetId="31" hidden="1">{"'Sheet1'!$L$16"}</definedName>
    <definedName name="mbb" localSheetId="30" hidden="1">{"'Sheet1'!$L$16"}</definedName>
    <definedName name="mbb" localSheetId="17" hidden="1">{"'Sheet1'!$L$16"}</definedName>
    <definedName name="mbb" localSheetId="18" hidden="1">{"'Sheet1'!$L$16"}</definedName>
    <definedName name="mbb" hidden="1">{"'Sheet1'!$L$16"}</definedName>
    <definedName name="mbo" localSheetId="20" hidden="1">{#N/A,#N/A,FALSE,"M.34"}</definedName>
    <definedName name="mbo" localSheetId="19" hidden="1">{#N/A,#N/A,FALSE,"M.34"}</definedName>
    <definedName name="mbo" localSheetId="26" hidden="1">{#N/A,#N/A,FALSE,"M.34"}</definedName>
    <definedName name="mbo" localSheetId="24" hidden="1">{#N/A,#N/A,FALSE,"M.34"}</definedName>
    <definedName name="mbo" localSheetId="32" hidden="1">{#N/A,#N/A,FALSE,"M.34"}</definedName>
    <definedName name="mbo" localSheetId="27" hidden="1">{#N/A,#N/A,FALSE,"M.34"}</definedName>
    <definedName name="mbo" localSheetId="28" hidden="1">{#N/A,#N/A,FALSE,"M.34"}</definedName>
    <definedName name="mbo" localSheetId="29" hidden="1">{#N/A,#N/A,FALSE,"M.34"}</definedName>
    <definedName name="mbo" localSheetId="31" hidden="1">{#N/A,#N/A,FALSE,"M.34"}</definedName>
    <definedName name="mbo" localSheetId="30" hidden="1">{#N/A,#N/A,FALSE,"M.34"}</definedName>
    <definedName name="mbo" localSheetId="17" hidden="1">{#N/A,#N/A,FALSE,"M.34"}</definedName>
    <definedName name="mbo" localSheetId="18" hidden="1">{#N/A,#N/A,FALSE,"M.34"}</definedName>
    <definedName name="mbo" hidden="1">{#N/A,#N/A,FALSE,"M.34"}</definedName>
    <definedName name="MCCO" localSheetId="20" hidden="1">{#N/A,#N/A,FALSE,"CCTV"}</definedName>
    <definedName name="MCCO" localSheetId="19" hidden="1">{#N/A,#N/A,FALSE,"CCTV"}</definedName>
    <definedName name="MCCO" localSheetId="26" hidden="1">{#N/A,#N/A,FALSE,"CCTV"}</definedName>
    <definedName name="MCCO" localSheetId="24" hidden="1">{#N/A,#N/A,FALSE,"CCTV"}</definedName>
    <definedName name="MCCO" localSheetId="32" hidden="1">{#N/A,#N/A,FALSE,"CCTV"}</definedName>
    <definedName name="MCCO" localSheetId="27" hidden="1">{#N/A,#N/A,FALSE,"CCTV"}</definedName>
    <definedName name="MCCO" localSheetId="28" hidden="1">{#N/A,#N/A,FALSE,"CCTV"}</definedName>
    <definedName name="MCCO" localSheetId="29" hidden="1">{#N/A,#N/A,FALSE,"CCTV"}</definedName>
    <definedName name="MCCO" localSheetId="31" hidden="1">{#N/A,#N/A,FALSE,"CCTV"}</definedName>
    <definedName name="MCCO" localSheetId="30" hidden="1">{#N/A,#N/A,FALSE,"CCTV"}</definedName>
    <definedName name="MCCO" localSheetId="17" hidden="1">{#N/A,#N/A,FALSE,"CCTV"}</definedName>
    <definedName name="MCCO" localSheetId="18" hidden="1">{#N/A,#N/A,FALSE,"CCTV"}</definedName>
    <definedName name="MCCO" hidden="1">{#N/A,#N/A,FALSE,"CCTV"}</definedName>
    <definedName name="MCCO10" localSheetId="20" hidden="1">{#N/A,#N/A,FALSE,"CCTV"}</definedName>
    <definedName name="MCCO10" localSheetId="19" hidden="1">{#N/A,#N/A,FALSE,"CCTV"}</definedName>
    <definedName name="MCCO10" localSheetId="26" hidden="1">{#N/A,#N/A,FALSE,"CCTV"}</definedName>
    <definedName name="MCCO10" localSheetId="24" hidden="1">{#N/A,#N/A,FALSE,"CCTV"}</definedName>
    <definedName name="MCCO10" localSheetId="32" hidden="1">{#N/A,#N/A,FALSE,"CCTV"}</definedName>
    <definedName name="MCCO10" localSheetId="27" hidden="1">{#N/A,#N/A,FALSE,"CCTV"}</definedName>
    <definedName name="MCCO10" localSheetId="28" hidden="1">{#N/A,#N/A,FALSE,"CCTV"}</definedName>
    <definedName name="MCCO10" localSheetId="29" hidden="1">{#N/A,#N/A,FALSE,"CCTV"}</definedName>
    <definedName name="MCCO10" localSheetId="31" hidden="1">{#N/A,#N/A,FALSE,"CCTV"}</definedName>
    <definedName name="MCCO10" localSheetId="30" hidden="1">{#N/A,#N/A,FALSE,"CCTV"}</definedName>
    <definedName name="MCCO10" localSheetId="17" hidden="1">{#N/A,#N/A,FALSE,"CCTV"}</definedName>
    <definedName name="MCCO10" localSheetId="18" hidden="1">{#N/A,#N/A,FALSE,"CCTV"}</definedName>
    <definedName name="MCCO10" hidden="1">{#N/A,#N/A,FALSE,"CCTV"}</definedName>
    <definedName name="MCCO11" localSheetId="20" hidden="1">{#N/A,#N/A,FALSE,"CCTV"}</definedName>
    <definedName name="MCCO11" localSheetId="19" hidden="1">{#N/A,#N/A,FALSE,"CCTV"}</definedName>
    <definedName name="MCCO11" localSheetId="26" hidden="1">{#N/A,#N/A,FALSE,"CCTV"}</definedName>
    <definedName name="MCCO11" localSheetId="24" hidden="1">{#N/A,#N/A,FALSE,"CCTV"}</definedName>
    <definedName name="MCCO11" localSheetId="32" hidden="1">{#N/A,#N/A,FALSE,"CCTV"}</definedName>
    <definedName name="MCCO11" localSheetId="27" hidden="1">{#N/A,#N/A,FALSE,"CCTV"}</definedName>
    <definedName name="MCCO11" localSheetId="28" hidden="1">{#N/A,#N/A,FALSE,"CCTV"}</definedName>
    <definedName name="MCCO11" localSheetId="29" hidden="1">{#N/A,#N/A,FALSE,"CCTV"}</definedName>
    <definedName name="MCCO11" localSheetId="31" hidden="1">{#N/A,#N/A,FALSE,"CCTV"}</definedName>
    <definedName name="MCCO11" localSheetId="30" hidden="1">{#N/A,#N/A,FALSE,"CCTV"}</definedName>
    <definedName name="MCCO11" localSheetId="17" hidden="1">{#N/A,#N/A,FALSE,"CCTV"}</definedName>
    <definedName name="MCCO11" localSheetId="18" hidden="1">{#N/A,#N/A,FALSE,"CCTV"}</definedName>
    <definedName name="MCCO11" hidden="1">{#N/A,#N/A,FALSE,"CCTV"}</definedName>
    <definedName name="MCCO12" localSheetId="20" hidden="1">{#N/A,#N/A,FALSE,"CCTV"}</definedName>
    <definedName name="MCCO12" localSheetId="19" hidden="1">{#N/A,#N/A,FALSE,"CCTV"}</definedName>
    <definedName name="MCCO12" localSheetId="26" hidden="1">{#N/A,#N/A,FALSE,"CCTV"}</definedName>
    <definedName name="MCCO12" localSheetId="24" hidden="1">{#N/A,#N/A,FALSE,"CCTV"}</definedName>
    <definedName name="MCCO12" localSheetId="32" hidden="1">{#N/A,#N/A,FALSE,"CCTV"}</definedName>
    <definedName name="MCCO12" localSheetId="27" hidden="1">{#N/A,#N/A,FALSE,"CCTV"}</definedName>
    <definedName name="MCCO12" localSheetId="28" hidden="1">{#N/A,#N/A,FALSE,"CCTV"}</definedName>
    <definedName name="MCCO12" localSheetId="29" hidden="1">{#N/A,#N/A,FALSE,"CCTV"}</definedName>
    <definedName name="MCCO12" localSheetId="31" hidden="1">{#N/A,#N/A,FALSE,"CCTV"}</definedName>
    <definedName name="MCCO12" localSheetId="30" hidden="1">{#N/A,#N/A,FALSE,"CCTV"}</definedName>
    <definedName name="MCCO12" localSheetId="17" hidden="1">{#N/A,#N/A,FALSE,"CCTV"}</definedName>
    <definedName name="MCCO12" localSheetId="18" hidden="1">{#N/A,#N/A,FALSE,"CCTV"}</definedName>
    <definedName name="MCCO12" hidden="1">{#N/A,#N/A,FALSE,"CCTV"}</definedName>
    <definedName name="MCCO13" localSheetId="20" hidden="1">{#N/A,#N/A,FALSE,"CCTV"}</definedName>
    <definedName name="MCCO13" localSheetId="19" hidden="1">{#N/A,#N/A,FALSE,"CCTV"}</definedName>
    <definedName name="MCCO13" localSheetId="26" hidden="1">{#N/A,#N/A,FALSE,"CCTV"}</definedName>
    <definedName name="MCCO13" localSheetId="24" hidden="1">{#N/A,#N/A,FALSE,"CCTV"}</definedName>
    <definedName name="MCCO13" localSheetId="32" hidden="1">{#N/A,#N/A,FALSE,"CCTV"}</definedName>
    <definedName name="MCCO13" localSheetId="27" hidden="1">{#N/A,#N/A,FALSE,"CCTV"}</definedName>
    <definedName name="MCCO13" localSheetId="28" hidden="1">{#N/A,#N/A,FALSE,"CCTV"}</definedName>
    <definedName name="MCCO13" localSheetId="29" hidden="1">{#N/A,#N/A,FALSE,"CCTV"}</definedName>
    <definedName name="MCCO13" localSheetId="31" hidden="1">{#N/A,#N/A,FALSE,"CCTV"}</definedName>
    <definedName name="MCCO13" localSheetId="30" hidden="1">{#N/A,#N/A,FALSE,"CCTV"}</definedName>
    <definedName name="MCCO13" localSheetId="17" hidden="1">{#N/A,#N/A,FALSE,"CCTV"}</definedName>
    <definedName name="MCCO13" localSheetId="18" hidden="1">{#N/A,#N/A,FALSE,"CCTV"}</definedName>
    <definedName name="MCCO13" hidden="1">{#N/A,#N/A,FALSE,"CCTV"}</definedName>
    <definedName name="MCCO3" localSheetId="20" hidden="1">{#N/A,#N/A,FALSE,"CCTV"}</definedName>
    <definedName name="MCCO3" localSheetId="19" hidden="1">{#N/A,#N/A,FALSE,"CCTV"}</definedName>
    <definedName name="MCCO3" localSheetId="26" hidden="1">{#N/A,#N/A,FALSE,"CCTV"}</definedName>
    <definedName name="MCCO3" localSheetId="24" hidden="1">{#N/A,#N/A,FALSE,"CCTV"}</definedName>
    <definedName name="MCCO3" localSheetId="32" hidden="1">{#N/A,#N/A,FALSE,"CCTV"}</definedName>
    <definedName name="MCCO3" localSheetId="27" hidden="1">{#N/A,#N/A,FALSE,"CCTV"}</definedName>
    <definedName name="MCCO3" localSheetId="28" hidden="1">{#N/A,#N/A,FALSE,"CCTV"}</definedName>
    <definedName name="MCCO3" localSheetId="29" hidden="1">{#N/A,#N/A,FALSE,"CCTV"}</definedName>
    <definedName name="MCCO3" localSheetId="31" hidden="1">{#N/A,#N/A,FALSE,"CCTV"}</definedName>
    <definedName name="MCCO3" localSheetId="30" hidden="1">{#N/A,#N/A,FALSE,"CCTV"}</definedName>
    <definedName name="MCCO3" localSheetId="17" hidden="1">{#N/A,#N/A,FALSE,"CCTV"}</definedName>
    <definedName name="MCCO3" localSheetId="18" hidden="1">{#N/A,#N/A,FALSE,"CCTV"}</definedName>
    <definedName name="MCCO3" hidden="1">{#N/A,#N/A,FALSE,"CCTV"}</definedName>
    <definedName name="MCCO4" localSheetId="20" hidden="1">{#N/A,#N/A,FALSE,"CCTV"}</definedName>
    <definedName name="MCCO4" localSheetId="19" hidden="1">{#N/A,#N/A,FALSE,"CCTV"}</definedName>
    <definedName name="MCCO4" localSheetId="26" hidden="1">{#N/A,#N/A,FALSE,"CCTV"}</definedName>
    <definedName name="MCCO4" localSheetId="24" hidden="1">{#N/A,#N/A,FALSE,"CCTV"}</definedName>
    <definedName name="MCCO4" localSheetId="32" hidden="1">{#N/A,#N/A,FALSE,"CCTV"}</definedName>
    <definedName name="MCCO4" localSheetId="27" hidden="1">{#N/A,#N/A,FALSE,"CCTV"}</definedName>
    <definedName name="MCCO4" localSheetId="28" hidden="1">{#N/A,#N/A,FALSE,"CCTV"}</definedName>
    <definedName name="MCCO4" localSheetId="29" hidden="1">{#N/A,#N/A,FALSE,"CCTV"}</definedName>
    <definedName name="MCCO4" localSheetId="31" hidden="1">{#N/A,#N/A,FALSE,"CCTV"}</definedName>
    <definedName name="MCCO4" localSheetId="30" hidden="1">{#N/A,#N/A,FALSE,"CCTV"}</definedName>
    <definedName name="MCCO4" localSheetId="17" hidden="1">{#N/A,#N/A,FALSE,"CCTV"}</definedName>
    <definedName name="MCCO4" localSheetId="18" hidden="1">{#N/A,#N/A,FALSE,"CCTV"}</definedName>
    <definedName name="MCCO4" hidden="1">{#N/A,#N/A,FALSE,"CCTV"}</definedName>
    <definedName name="MCCO5" localSheetId="20" hidden="1">{#N/A,#N/A,FALSE,"CCTV"}</definedName>
    <definedName name="MCCO5" localSheetId="19" hidden="1">{#N/A,#N/A,FALSE,"CCTV"}</definedName>
    <definedName name="MCCO5" localSheetId="26" hidden="1">{#N/A,#N/A,FALSE,"CCTV"}</definedName>
    <definedName name="MCCO5" localSheetId="24" hidden="1">{#N/A,#N/A,FALSE,"CCTV"}</definedName>
    <definedName name="MCCO5" localSheetId="32" hidden="1">{#N/A,#N/A,FALSE,"CCTV"}</definedName>
    <definedName name="MCCO5" localSheetId="27" hidden="1">{#N/A,#N/A,FALSE,"CCTV"}</definedName>
    <definedName name="MCCO5" localSheetId="28" hidden="1">{#N/A,#N/A,FALSE,"CCTV"}</definedName>
    <definedName name="MCCO5" localSheetId="29" hidden="1">{#N/A,#N/A,FALSE,"CCTV"}</definedName>
    <definedName name="MCCO5" localSheetId="31" hidden="1">{#N/A,#N/A,FALSE,"CCTV"}</definedName>
    <definedName name="MCCO5" localSheetId="30" hidden="1">{#N/A,#N/A,FALSE,"CCTV"}</definedName>
    <definedName name="MCCO5" localSheetId="17" hidden="1">{#N/A,#N/A,FALSE,"CCTV"}</definedName>
    <definedName name="MCCO5" localSheetId="18" hidden="1">{#N/A,#N/A,FALSE,"CCTV"}</definedName>
    <definedName name="MCCO5" hidden="1">{#N/A,#N/A,FALSE,"CCTV"}</definedName>
    <definedName name="MCCO6" localSheetId="20" hidden="1">{#N/A,#N/A,FALSE,"CCTV"}</definedName>
    <definedName name="MCCO6" localSheetId="19" hidden="1">{#N/A,#N/A,FALSE,"CCTV"}</definedName>
    <definedName name="MCCO6" localSheetId="26" hidden="1">{#N/A,#N/A,FALSE,"CCTV"}</definedName>
    <definedName name="MCCO6" localSheetId="24" hidden="1">{#N/A,#N/A,FALSE,"CCTV"}</definedName>
    <definedName name="MCCO6" localSheetId="32" hidden="1">{#N/A,#N/A,FALSE,"CCTV"}</definedName>
    <definedName name="MCCO6" localSheetId="27" hidden="1">{#N/A,#N/A,FALSE,"CCTV"}</definedName>
    <definedName name="MCCO6" localSheetId="28" hidden="1">{#N/A,#N/A,FALSE,"CCTV"}</definedName>
    <definedName name="MCCO6" localSheetId="29" hidden="1">{#N/A,#N/A,FALSE,"CCTV"}</definedName>
    <definedName name="MCCO6" localSheetId="31" hidden="1">{#N/A,#N/A,FALSE,"CCTV"}</definedName>
    <definedName name="MCCO6" localSheetId="30" hidden="1">{#N/A,#N/A,FALSE,"CCTV"}</definedName>
    <definedName name="MCCO6" localSheetId="17" hidden="1">{#N/A,#N/A,FALSE,"CCTV"}</definedName>
    <definedName name="MCCO6" localSheetId="18" hidden="1">{#N/A,#N/A,FALSE,"CCTV"}</definedName>
    <definedName name="MCCO6" hidden="1">{#N/A,#N/A,FALSE,"CCTV"}</definedName>
    <definedName name="MCCO7" localSheetId="20" hidden="1">{#N/A,#N/A,FALSE,"CCTV"}</definedName>
    <definedName name="MCCO7" localSheetId="19" hidden="1">{#N/A,#N/A,FALSE,"CCTV"}</definedName>
    <definedName name="MCCO7" localSheetId="26" hidden="1">{#N/A,#N/A,FALSE,"CCTV"}</definedName>
    <definedName name="MCCO7" localSheetId="24" hidden="1">{#N/A,#N/A,FALSE,"CCTV"}</definedName>
    <definedName name="MCCO7" localSheetId="32" hidden="1">{#N/A,#N/A,FALSE,"CCTV"}</definedName>
    <definedName name="MCCO7" localSheetId="27" hidden="1">{#N/A,#N/A,FALSE,"CCTV"}</definedName>
    <definedName name="MCCO7" localSheetId="28" hidden="1">{#N/A,#N/A,FALSE,"CCTV"}</definedName>
    <definedName name="MCCO7" localSheetId="29" hidden="1">{#N/A,#N/A,FALSE,"CCTV"}</definedName>
    <definedName name="MCCO7" localSheetId="31" hidden="1">{#N/A,#N/A,FALSE,"CCTV"}</definedName>
    <definedName name="MCCO7" localSheetId="30" hidden="1">{#N/A,#N/A,FALSE,"CCTV"}</definedName>
    <definedName name="MCCO7" localSheetId="17" hidden="1">{#N/A,#N/A,FALSE,"CCTV"}</definedName>
    <definedName name="MCCO7" localSheetId="18" hidden="1">{#N/A,#N/A,FALSE,"CCTV"}</definedName>
    <definedName name="MCCO7" hidden="1">{#N/A,#N/A,FALSE,"CCTV"}</definedName>
    <definedName name="MCCO8" localSheetId="20" hidden="1">{#N/A,#N/A,FALSE,"CCTV"}</definedName>
    <definedName name="MCCO8" localSheetId="19" hidden="1">{#N/A,#N/A,FALSE,"CCTV"}</definedName>
    <definedName name="MCCO8" localSheetId="26" hidden="1">{#N/A,#N/A,FALSE,"CCTV"}</definedName>
    <definedName name="MCCO8" localSheetId="24" hidden="1">{#N/A,#N/A,FALSE,"CCTV"}</definedName>
    <definedName name="MCCO8" localSheetId="32" hidden="1">{#N/A,#N/A,FALSE,"CCTV"}</definedName>
    <definedName name="MCCO8" localSheetId="27" hidden="1">{#N/A,#N/A,FALSE,"CCTV"}</definedName>
    <definedName name="MCCO8" localSheetId="28" hidden="1">{#N/A,#N/A,FALSE,"CCTV"}</definedName>
    <definedName name="MCCO8" localSheetId="29" hidden="1">{#N/A,#N/A,FALSE,"CCTV"}</definedName>
    <definedName name="MCCO8" localSheetId="31" hidden="1">{#N/A,#N/A,FALSE,"CCTV"}</definedName>
    <definedName name="MCCO8" localSheetId="30" hidden="1">{#N/A,#N/A,FALSE,"CCTV"}</definedName>
    <definedName name="MCCO8" localSheetId="17" hidden="1">{#N/A,#N/A,FALSE,"CCTV"}</definedName>
    <definedName name="MCCO8" localSheetId="18" hidden="1">{#N/A,#N/A,FALSE,"CCTV"}</definedName>
    <definedName name="MCCO8" hidden="1">{#N/A,#N/A,FALSE,"CCTV"}</definedName>
    <definedName name="MCCO9" localSheetId="20" hidden="1">{#N/A,#N/A,FALSE,"CCTV"}</definedName>
    <definedName name="MCCO9" localSheetId="19" hidden="1">{#N/A,#N/A,FALSE,"CCTV"}</definedName>
    <definedName name="MCCO9" localSheetId="26" hidden="1">{#N/A,#N/A,FALSE,"CCTV"}</definedName>
    <definedName name="MCCO9" localSheetId="24" hidden="1">{#N/A,#N/A,FALSE,"CCTV"}</definedName>
    <definedName name="MCCO9" localSheetId="32" hidden="1">{#N/A,#N/A,FALSE,"CCTV"}</definedName>
    <definedName name="MCCO9" localSheetId="27" hidden="1">{#N/A,#N/A,FALSE,"CCTV"}</definedName>
    <definedName name="MCCO9" localSheetId="28" hidden="1">{#N/A,#N/A,FALSE,"CCTV"}</definedName>
    <definedName name="MCCO9" localSheetId="29" hidden="1">{#N/A,#N/A,FALSE,"CCTV"}</definedName>
    <definedName name="MCCO9" localSheetId="31" hidden="1">{#N/A,#N/A,FALSE,"CCTV"}</definedName>
    <definedName name="MCCO9" localSheetId="30" hidden="1">{#N/A,#N/A,FALSE,"CCTV"}</definedName>
    <definedName name="MCCO9" localSheetId="17" hidden="1">{#N/A,#N/A,FALSE,"CCTV"}</definedName>
    <definedName name="MCCO9" localSheetId="18" hidden="1">{#N/A,#N/A,FALSE,"CCTV"}</definedName>
    <definedName name="MCCO9" hidden="1">{#N/A,#N/A,FALSE,"CCTV"}</definedName>
    <definedName name="MCCOÙ" localSheetId="20" hidden="1">{#N/A,#N/A,FALSE,"CCTV"}</definedName>
    <definedName name="MCCOÙ" localSheetId="19" hidden="1">{#N/A,#N/A,FALSE,"CCTV"}</definedName>
    <definedName name="MCCOÙ" localSheetId="26" hidden="1">{#N/A,#N/A,FALSE,"CCTV"}</definedName>
    <definedName name="MCCOÙ" localSheetId="24" hidden="1">{#N/A,#N/A,FALSE,"CCTV"}</definedName>
    <definedName name="MCCOÙ" localSheetId="32" hidden="1">{#N/A,#N/A,FALSE,"CCTV"}</definedName>
    <definedName name="MCCOÙ" localSheetId="27" hidden="1">{#N/A,#N/A,FALSE,"CCTV"}</definedName>
    <definedName name="MCCOÙ" localSheetId="28" hidden="1">{#N/A,#N/A,FALSE,"CCTV"}</definedName>
    <definedName name="MCCOÙ" localSheetId="29" hidden="1">{#N/A,#N/A,FALSE,"CCTV"}</definedName>
    <definedName name="MCCOÙ" localSheetId="31" hidden="1">{#N/A,#N/A,FALSE,"CCTV"}</definedName>
    <definedName name="MCCOÙ" localSheetId="30" hidden="1">{#N/A,#N/A,FALSE,"CCTV"}</definedName>
    <definedName name="MCCOÙ" localSheetId="17" hidden="1">{#N/A,#N/A,FALSE,"CCTV"}</definedName>
    <definedName name="MCCOÙ" localSheetId="18" hidden="1">{#N/A,#N/A,FALSE,"CCTV"}</definedName>
    <definedName name="MCCOÙ" hidden="1">{#N/A,#N/A,FALSE,"CCTV"}</definedName>
    <definedName name="mew" localSheetId="20" hidden="1">{#N/A,#N/A,FALSE,"CCTV"}</definedName>
    <definedName name="mew" localSheetId="19" hidden="1">{#N/A,#N/A,FALSE,"CCTV"}</definedName>
    <definedName name="mew" localSheetId="26" hidden="1">{#N/A,#N/A,FALSE,"CCTV"}</definedName>
    <definedName name="mew" localSheetId="24" hidden="1">{#N/A,#N/A,FALSE,"CCTV"}</definedName>
    <definedName name="mew" localSheetId="32" hidden="1">{#N/A,#N/A,FALSE,"CCTV"}</definedName>
    <definedName name="mew" localSheetId="27" hidden="1">{#N/A,#N/A,FALSE,"CCTV"}</definedName>
    <definedName name="mew" localSheetId="28" hidden="1">{#N/A,#N/A,FALSE,"CCTV"}</definedName>
    <definedName name="mew" localSheetId="29" hidden="1">{#N/A,#N/A,FALSE,"CCTV"}</definedName>
    <definedName name="mew" localSheetId="31" hidden="1">{#N/A,#N/A,FALSE,"CCTV"}</definedName>
    <definedName name="mew" localSheetId="30" hidden="1">{#N/A,#N/A,FALSE,"CCTV"}</definedName>
    <definedName name="mew" localSheetId="17" hidden="1">{#N/A,#N/A,FALSE,"CCTV"}</definedName>
    <definedName name="mew" localSheetId="18" hidden="1">{#N/A,#N/A,FALSE,"CCTV"}</definedName>
    <definedName name="mew" hidden="1">{#N/A,#N/A,FALSE,"CCTV"}</definedName>
    <definedName name="mhkh.k" localSheetId="20" hidden="1">{"'Sheet1'!$A$1"}</definedName>
    <definedName name="mhkh.k" localSheetId="19" hidden="1">{"'Sheet1'!$A$1"}</definedName>
    <definedName name="mhkh.k" localSheetId="26" hidden="1">{"'Sheet1'!$A$1"}</definedName>
    <definedName name="mhkh.k" localSheetId="24" hidden="1">{"'Sheet1'!$A$1"}</definedName>
    <definedName name="mhkh.k" localSheetId="32" hidden="1">{"'Sheet1'!$A$1"}</definedName>
    <definedName name="mhkh.k" localSheetId="27" hidden="1">{"'Sheet1'!$A$1"}</definedName>
    <definedName name="mhkh.k" localSheetId="28" hidden="1">{"'Sheet1'!$A$1"}</definedName>
    <definedName name="mhkh.k" localSheetId="29" hidden="1">{"'Sheet1'!$A$1"}</definedName>
    <definedName name="mhkh.k" localSheetId="31" hidden="1">{"'Sheet1'!$A$1"}</definedName>
    <definedName name="mhkh.k" localSheetId="30" hidden="1">{"'Sheet1'!$A$1"}</definedName>
    <definedName name="mhkh.k" localSheetId="17" hidden="1">{"'Sheet1'!$A$1"}</definedName>
    <definedName name="mhkh.k" localSheetId="18" hidden="1">{"'Sheet1'!$A$1"}</definedName>
    <definedName name="mhkh.k" hidden="1">{"'Sheet1'!$A$1"}</definedName>
    <definedName name="Mio" hidden="1">#REF!</definedName>
    <definedName name="mk" localSheetId="20" hidden="1">{#N/A,#N/A,FALSE,"CCTV"}</definedName>
    <definedName name="mk" localSheetId="19" hidden="1">{#N/A,#N/A,FALSE,"CCTV"}</definedName>
    <definedName name="mk" localSheetId="26" hidden="1">{#N/A,#N/A,FALSE,"CCTV"}</definedName>
    <definedName name="mk" localSheetId="24" hidden="1">{#N/A,#N/A,FALSE,"CCTV"}</definedName>
    <definedName name="mk" localSheetId="32" hidden="1">{#N/A,#N/A,FALSE,"CCTV"}</definedName>
    <definedName name="mk" localSheetId="27" hidden="1">{#N/A,#N/A,FALSE,"CCTV"}</definedName>
    <definedName name="mk" localSheetId="28" hidden="1">{#N/A,#N/A,FALSE,"CCTV"}</definedName>
    <definedName name="mk" localSheetId="29" hidden="1">{#N/A,#N/A,FALSE,"CCTV"}</definedName>
    <definedName name="mk" localSheetId="31" hidden="1">{#N/A,#N/A,FALSE,"CCTV"}</definedName>
    <definedName name="mk" localSheetId="30" hidden="1">{#N/A,#N/A,FALSE,"CCTV"}</definedName>
    <definedName name="mk" localSheetId="17" hidden="1">{#N/A,#N/A,FALSE,"CCTV"}</definedName>
    <definedName name="mk" localSheetId="18" hidden="1">{#N/A,#N/A,FALSE,"CCTV"}</definedName>
    <definedName name="mk" hidden="1">{#N/A,#N/A,FALSE,"CCTV"}</definedName>
    <definedName name="ml" localSheetId="20" hidden="1">{#N/A,#N/A,FALSE,"CCTV"}</definedName>
    <definedName name="ml" localSheetId="19" hidden="1">{#N/A,#N/A,FALSE,"CCTV"}</definedName>
    <definedName name="ml" localSheetId="32" hidden="1">{#N/A,#N/A,FALSE,"CCTV"}</definedName>
    <definedName name="ml" localSheetId="27" hidden="1">{#N/A,#N/A,FALSE,"CCTV"}</definedName>
    <definedName name="ml" localSheetId="28" hidden="1">{#N/A,#N/A,FALSE,"CCTV"}</definedName>
    <definedName name="ml" localSheetId="31" hidden="1">{#N/A,#N/A,FALSE,"CCTV"}</definedName>
    <definedName name="ml" localSheetId="30" hidden="1">{#N/A,#N/A,FALSE,"CCTV"}</definedName>
    <definedName name="ml" localSheetId="13" hidden="1">{#N/A,#N/A,FALSE,"CCTV"}</definedName>
    <definedName name="ml" localSheetId="17" hidden="1">{#N/A,#N/A,FALSE,"CCTV"}</definedName>
    <definedName name="ml" localSheetId="18" hidden="1">{#N/A,#N/A,FALSE,"CCTV"}</definedName>
    <definedName name="mmc" localSheetId="2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1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2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2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3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2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3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3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1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2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4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4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4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3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3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d" localSheetId="20" hidden="1">{#N/A,#N/A,FALSE,"M.32"}</definedName>
    <definedName name="mmd" localSheetId="19" hidden="1">{#N/A,#N/A,FALSE,"M.32"}</definedName>
    <definedName name="mmd" localSheetId="26" hidden="1">{#N/A,#N/A,FALSE,"M.32"}</definedName>
    <definedName name="mmd" localSheetId="24" hidden="1">{#N/A,#N/A,FALSE,"M.32"}</definedName>
    <definedName name="mmd" localSheetId="32" hidden="1">{#N/A,#N/A,FALSE,"M.32"}</definedName>
    <definedName name="mmd" localSheetId="27" hidden="1">{#N/A,#N/A,FALSE,"M.32"}</definedName>
    <definedName name="mmd" localSheetId="28" hidden="1">{#N/A,#N/A,FALSE,"M.32"}</definedName>
    <definedName name="mmd" localSheetId="29" hidden="1">{#N/A,#N/A,FALSE,"M.32"}</definedName>
    <definedName name="mmd" localSheetId="31" hidden="1">{#N/A,#N/A,FALSE,"M.32"}</definedName>
    <definedName name="mmd" localSheetId="30" hidden="1">{#N/A,#N/A,FALSE,"M.32"}</definedName>
    <definedName name="mmd" localSheetId="17" hidden="1">{#N/A,#N/A,FALSE,"M.32"}</definedName>
    <definedName name="mmd" localSheetId="18" hidden="1">{#N/A,#N/A,FALSE,"M.32"}</definedName>
    <definedName name="mmd" hidden="1">{#N/A,#N/A,FALSE,"M.32"}</definedName>
    <definedName name="mmmm" localSheetId="20" hidden="1">{"'Sheet1'!$L$16"}</definedName>
    <definedName name="mmmm" localSheetId="19" hidden="1">{"'Sheet1'!$L$16"}</definedName>
    <definedName name="mmmm" localSheetId="26" hidden="1">{"'Sheet1'!$L$16"}</definedName>
    <definedName name="mmmm" localSheetId="24" hidden="1">{"'Sheet1'!$L$16"}</definedName>
    <definedName name="mmmm" localSheetId="32" hidden="1">{"'Sheet1'!$L$16"}</definedName>
    <definedName name="mmmm" localSheetId="27" hidden="1">{"'Sheet1'!$L$16"}</definedName>
    <definedName name="mmmm" localSheetId="28" hidden="1">{"'Sheet1'!$L$16"}</definedName>
    <definedName name="mmmm" localSheetId="29" hidden="1">{"'Sheet1'!$L$16"}</definedName>
    <definedName name="mmmm" localSheetId="31" hidden="1">{"'Sheet1'!$L$16"}</definedName>
    <definedName name="mmmm" localSheetId="30" hidden="1">{"'Sheet1'!$L$16"}</definedName>
    <definedName name="mmmm" localSheetId="17" hidden="1">{"'Sheet1'!$L$16"}</definedName>
    <definedName name="mmmm" localSheetId="18" hidden="1">{"'Sheet1'!$L$16"}</definedName>
    <definedName name="mmmm" hidden="1">{"'Sheet1'!$L$16"}</definedName>
    <definedName name="mmmmm" localSheetId="20" hidden="1">{#N/A,#N/A,FALSE,"CCTV"}</definedName>
    <definedName name="mmmmm" localSheetId="19" hidden="1">{#N/A,#N/A,FALSE,"CCTV"}</definedName>
    <definedName name="mmmmm" localSheetId="26" hidden="1">{#N/A,#N/A,FALSE,"CCTV"}</definedName>
    <definedName name="mmmmm" localSheetId="24" hidden="1">{#N/A,#N/A,FALSE,"CCTV"}</definedName>
    <definedName name="mmmmm" localSheetId="32" hidden="1">{#N/A,#N/A,FALSE,"CCTV"}</definedName>
    <definedName name="mmmmm" localSheetId="27" hidden="1">{#N/A,#N/A,FALSE,"CCTV"}</definedName>
    <definedName name="mmmmm" localSheetId="28" hidden="1">{#N/A,#N/A,FALSE,"CCTV"}</definedName>
    <definedName name="mmmmm" localSheetId="29" hidden="1">{#N/A,#N/A,FALSE,"CCTV"}</definedName>
    <definedName name="mmmmm" localSheetId="31" hidden="1">{#N/A,#N/A,FALSE,"CCTV"}</definedName>
    <definedName name="mmmmm" localSheetId="30" hidden="1">{#N/A,#N/A,FALSE,"CCTV"}</definedName>
    <definedName name="mmmmm" localSheetId="17" hidden="1">{#N/A,#N/A,FALSE,"CCTV"}</definedName>
    <definedName name="mmmmm" localSheetId="18" hidden="1">{#N/A,#N/A,FALSE,"CCTV"}</definedName>
    <definedName name="mmmmm" hidden="1">{#N/A,#N/A,FALSE,"CCTV"}</definedName>
    <definedName name="MN" localSheetId="20" hidden="1">{#N/A,#N/A,FALSE,"CCTV"}</definedName>
    <definedName name="MN" localSheetId="19" hidden="1">{#N/A,#N/A,FALSE,"CCTV"}</definedName>
    <definedName name="MN" localSheetId="32" hidden="1">{#N/A,#N/A,FALSE,"CCTV"}</definedName>
    <definedName name="MN" localSheetId="27" hidden="1">{#N/A,#N/A,FALSE,"CCTV"}</definedName>
    <definedName name="MN" localSheetId="28" hidden="1">{#N/A,#N/A,FALSE,"CCTV"}</definedName>
    <definedName name="MN" localSheetId="31" hidden="1">{#N/A,#N/A,FALSE,"CCTV"}</definedName>
    <definedName name="MN" localSheetId="30" hidden="1">{#N/A,#N/A,FALSE,"CCTV"}</definedName>
    <definedName name="MN" localSheetId="13" hidden="1">{#N/A,#N/A,FALSE,"CCTV"}</definedName>
    <definedName name="MN" localSheetId="17" hidden="1">{#N/A,#N/A,FALSE,"CCTV"}</definedName>
    <definedName name="MN" localSheetId="18" hidden="1">{#N/A,#N/A,FALSE,"CCTV"}</definedName>
    <definedName name="mobilisai" localSheetId="32" hidden="1">#REF!</definedName>
    <definedName name="mobilisai" hidden="1">#REF!</definedName>
    <definedName name="moi" localSheetId="20" hidden="1">{"'Sheet1'!$L$16"}</definedName>
    <definedName name="moi" localSheetId="19" hidden="1">{"'Sheet1'!$L$16"}</definedName>
    <definedName name="moi" localSheetId="26" hidden="1">{"'Sheet1'!$L$16"}</definedName>
    <definedName name="moi" localSheetId="24" hidden="1">{"'Sheet1'!$L$16"}</definedName>
    <definedName name="moi" localSheetId="32" hidden="1">{"'Sheet1'!$L$16"}</definedName>
    <definedName name="moi" localSheetId="27" hidden="1">{"'Sheet1'!$L$16"}</definedName>
    <definedName name="moi" localSheetId="28" hidden="1">{"'Sheet1'!$L$16"}</definedName>
    <definedName name="moi" localSheetId="29" hidden="1">{"'Sheet1'!$L$16"}</definedName>
    <definedName name="moi" localSheetId="31" hidden="1">{"'Sheet1'!$L$16"}</definedName>
    <definedName name="moi" localSheetId="30" hidden="1">{"'Sheet1'!$L$16"}</definedName>
    <definedName name="moi" localSheetId="17" hidden="1">{"'Sheet1'!$L$16"}</definedName>
    <definedName name="moi" localSheetId="18" hidden="1">{"'Sheet1'!$L$16"}</definedName>
    <definedName name="moi" hidden="1">{"'Sheet1'!$L$16"}</definedName>
    <definedName name="muri" localSheetId="20" hidden="1">{#N/A,#N/A,FALSE,"REK";#N/A,#N/A,FALSE,"rab"}</definedName>
    <definedName name="muri" localSheetId="19" hidden="1">{#N/A,#N/A,FALSE,"REK";#N/A,#N/A,FALSE,"rab"}</definedName>
    <definedName name="muri" localSheetId="26" hidden="1">{#N/A,#N/A,FALSE,"REK";#N/A,#N/A,FALSE,"rab"}</definedName>
    <definedName name="muri" localSheetId="24" hidden="1">{#N/A,#N/A,FALSE,"REK";#N/A,#N/A,FALSE,"rab"}</definedName>
    <definedName name="muri" localSheetId="32" hidden="1">{#N/A,#N/A,FALSE,"REK";#N/A,#N/A,FALSE,"rab"}</definedName>
    <definedName name="muri" localSheetId="27" hidden="1">{#N/A,#N/A,FALSE,"REK";#N/A,#N/A,FALSE,"rab"}</definedName>
    <definedName name="muri" localSheetId="28" hidden="1">{#N/A,#N/A,FALSE,"REK";#N/A,#N/A,FALSE,"rab"}</definedName>
    <definedName name="muri" localSheetId="29" hidden="1">{#N/A,#N/A,FALSE,"REK";#N/A,#N/A,FALSE,"rab"}</definedName>
    <definedName name="muri" localSheetId="31" hidden="1">{#N/A,#N/A,FALSE,"REK";#N/A,#N/A,FALSE,"rab"}</definedName>
    <definedName name="muri" localSheetId="30" hidden="1">{#N/A,#N/A,FALSE,"REK";#N/A,#N/A,FALSE,"rab"}</definedName>
    <definedName name="muri" localSheetId="17" hidden="1">{#N/A,#N/A,FALSE,"REK";#N/A,#N/A,FALSE,"rab"}</definedName>
    <definedName name="muri" localSheetId="18" hidden="1">{#N/A,#N/A,FALSE,"REK";#N/A,#N/A,FALSE,"rab"}</definedName>
    <definedName name="muri" hidden="1">{#N/A,#N/A,FALSE,"REK";#N/A,#N/A,FALSE,"rab"}</definedName>
    <definedName name="MUTU" localSheetId="32" hidden="1">#REF!</definedName>
    <definedName name="MUTU" localSheetId="27" hidden="1">#REF!</definedName>
    <definedName name="MUTU" localSheetId="18" hidden="1">#REF!</definedName>
    <definedName name="MUTU" hidden="1">#REF!</definedName>
    <definedName name="N." localSheetId="20" hidden="1">{#N/A,#N/A,FALSE,"CCTV"}</definedName>
    <definedName name="N." localSheetId="19" hidden="1">{#N/A,#N/A,FALSE,"CCTV"}</definedName>
    <definedName name="N." localSheetId="26" hidden="1">{#N/A,#N/A,FALSE,"CCTV"}</definedName>
    <definedName name="N." localSheetId="24" hidden="1">{#N/A,#N/A,FALSE,"CCTV"}</definedName>
    <definedName name="N." localSheetId="32" hidden="1">{#N/A,#N/A,FALSE,"CCTV"}</definedName>
    <definedName name="N." localSheetId="27" hidden="1">{#N/A,#N/A,FALSE,"CCTV"}</definedName>
    <definedName name="N." localSheetId="28" hidden="1">{#N/A,#N/A,FALSE,"CCTV"}</definedName>
    <definedName name="N." localSheetId="29" hidden="1">{#N/A,#N/A,FALSE,"CCTV"}</definedName>
    <definedName name="N." localSheetId="31" hidden="1">{#N/A,#N/A,FALSE,"CCTV"}</definedName>
    <definedName name="N." localSheetId="30" hidden="1">{#N/A,#N/A,FALSE,"CCTV"}</definedName>
    <definedName name="N." localSheetId="17" hidden="1">{#N/A,#N/A,FALSE,"CCTV"}</definedName>
    <definedName name="N." localSheetId="18" hidden="1">{#N/A,#N/A,FALSE,"CCTV"}</definedName>
    <definedName name="N." hidden="1">{#N/A,#N/A,FALSE,"CCTV"}</definedName>
    <definedName name="nad" localSheetId="20" hidden="1">{#N/A,#N/A,FALSE,"M.41"}</definedName>
    <definedName name="nad" localSheetId="19" hidden="1">{#N/A,#N/A,FALSE,"M.41"}</definedName>
    <definedName name="nad" localSheetId="26" hidden="1">{#N/A,#N/A,FALSE,"M.41"}</definedName>
    <definedName name="nad" localSheetId="24" hidden="1">{#N/A,#N/A,FALSE,"M.41"}</definedName>
    <definedName name="nad" localSheetId="32" hidden="1">{#N/A,#N/A,FALSE,"M.41"}</definedName>
    <definedName name="nad" localSheetId="27" hidden="1">{#N/A,#N/A,FALSE,"M.41"}</definedName>
    <definedName name="nad" localSheetId="28" hidden="1">{#N/A,#N/A,FALSE,"M.41"}</definedName>
    <definedName name="nad" localSheetId="29" hidden="1">{#N/A,#N/A,FALSE,"M.41"}</definedName>
    <definedName name="nad" localSheetId="31" hidden="1">{#N/A,#N/A,FALSE,"M.41"}</definedName>
    <definedName name="nad" localSheetId="30" hidden="1">{#N/A,#N/A,FALSE,"M.41"}</definedName>
    <definedName name="nad" localSheetId="17" hidden="1">{#N/A,#N/A,FALSE,"M.41"}</definedName>
    <definedName name="nad" localSheetId="18" hidden="1">{#N/A,#N/A,FALSE,"M.41"}</definedName>
    <definedName name="nad" hidden="1">{#N/A,#N/A,FALSE,"M.41"}</definedName>
    <definedName name="Name2" localSheetId="20" hidden="1">{#N/A,#N/A,FALSE,"Profit &amp; Loss statement"}</definedName>
    <definedName name="Name2" localSheetId="19" hidden="1">{#N/A,#N/A,FALSE,"Profit &amp; Loss statement"}</definedName>
    <definedName name="Name2" localSheetId="26" hidden="1">{#N/A,#N/A,FALSE,"Profit &amp; Loss statement"}</definedName>
    <definedName name="Name2" localSheetId="24" hidden="1">{#N/A,#N/A,FALSE,"Profit &amp; Loss statement"}</definedName>
    <definedName name="Name2" localSheetId="32" hidden="1">{#N/A,#N/A,FALSE,"Profit &amp; Loss statement"}</definedName>
    <definedName name="Name2" localSheetId="27" hidden="1">{#N/A,#N/A,FALSE,"Profit &amp; Loss statement"}</definedName>
    <definedName name="Name2" localSheetId="28" hidden="1">{#N/A,#N/A,FALSE,"Profit &amp; Loss statement"}</definedName>
    <definedName name="Name2" localSheetId="29" hidden="1">{#N/A,#N/A,FALSE,"Profit &amp; Loss statement"}</definedName>
    <definedName name="Name2" localSheetId="31" hidden="1">{#N/A,#N/A,FALSE,"Profit &amp; Loss statement"}</definedName>
    <definedName name="Name2" localSheetId="30" hidden="1">{#N/A,#N/A,FALSE,"Profit &amp; Loss statement"}</definedName>
    <definedName name="Name2" localSheetId="17" hidden="1">{#N/A,#N/A,FALSE,"Profit &amp; Loss statement"}</definedName>
    <definedName name="Name2" localSheetId="18" hidden="1">{#N/A,#N/A,FALSE,"Profit &amp; Loss statement"}</definedName>
    <definedName name="Name2" hidden="1">{#N/A,#N/A,FALSE,"Profit &amp; Loss statement"}</definedName>
    <definedName name="nath" localSheetId="20" hidden="1">{#N/A,#N/A,FALSE,"REK";#N/A,#N/A,FALSE,"rab"}</definedName>
    <definedName name="nath" localSheetId="19" hidden="1">{#N/A,#N/A,FALSE,"REK";#N/A,#N/A,FALSE,"rab"}</definedName>
    <definedName name="nath" localSheetId="26" hidden="1">{#N/A,#N/A,FALSE,"REK";#N/A,#N/A,FALSE,"rab"}</definedName>
    <definedName name="nath" localSheetId="24" hidden="1">{#N/A,#N/A,FALSE,"REK";#N/A,#N/A,FALSE,"rab"}</definedName>
    <definedName name="nath" localSheetId="32" hidden="1">{#N/A,#N/A,FALSE,"REK";#N/A,#N/A,FALSE,"rab"}</definedName>
    <definedName name="nath" localSheetId="27" hidden="1">{#N/A,#N/A,FALSE,"REK";#N/A,#N/A,FALSE,"rab"}</definedName>
    <definedName name="nath" localSheetId="28" hidden="1">{#N/A,#N/A,FALSE,"REK";#N/A,#N/A,FALSE,"rab"}</definedName>
    <definedName name="nath" localSheetId="29" hidden="1">{#N/A,#N/A,FALSE,"REK";#N/A,#N/A,FALSE,"rab"}</definedName>
    <definedName name="nath" localSheetId="31" hidden="1">{#N/A,#N/A,FALSE,"REK";#N/A,#N/A,FALSE,"rab"}</definedName>
    <definedName name="nath" localSheetId="30" hidden="1">{#N/A,#N/A,FALSE,"REK";#N/A,#N/A,FALSE,"rab"}</definedName>
    <definedName name="nath" localSheetId="17" hidden="1">{#N/A,#N/A,FALSE,"REK";#N/A,#N/A,FALSE,"rab"}</definedName>
    <definedName name="nath" localSheetId="18" hidden="1">{#N/A,#N/A,FALSE,"REK";#N/A,#N/A,FALSE,"rab"}</definedName>
    <definedName name="nath" hidden="1">{#N/A,#N/A,FALSE,"REK";#N/A,#N/A,FALSE,"rab"}</definedName>
    <definedName name="Nathan" localSheetId="20" hidden="1">{#N/A,#N/A,FALSE,"REK-S-TPL";#N/A,#N/A,FALSE,"REK-TPML";#N/A,#N/A,FALSE,"RAB-TEMPEL"}</definedName>
    <definedName name="Nathan" localSheetId="19" hidden="1">{#N/A,#N/A,FALSE,"REK-S-TPL";#N/A,#N/A,FALSE,"REK-TPML";#N/A,#N/A,FALSE,"RAB-TEMPEL"}</definedName>
    <definedName name="Nathan" localSheetId="26" hidden="1">{#N/A,#N/A,FALSE,"REK-S-TPL";#N/A,#N/A,FALSE,"REK-TPML";#N/A,#N/A,FALSE,"RAB-TEMPEL"}</definedName>
    <definedName name="Nathan" localSheetId="24" hidden="1">{#N/A,#N/A,FALSE,"REK-S-TPL";#N/A,#N/A,FALSE,"REK-TPML";#N/A,#N/A,FALSE,"RAB-TEMPEL"}</definedName>
    <definedName name="Nathan" localSheetId="32" hidden="1">{#N/A,#N/A,FALSE,"REK-S-TPL";#N/A,#N/A,FALSE,"REK-TPML";#N/A,#N/A,FALSE,"RAB-TEMPEL"}</definedName>
    <definedName name="Nathan" localSheetId="27" hidden="1">{#N/A,#N/A,FALSE,"REK-S-TPL";#N/A,#N/A,FALSE,"REK-TPML";#N/A,#N/A,FALSE,"RAB-TEMPEL"}</definedName>
    <definedName name="Nathan" localSheetId="28" hidden="1">{#N/A,#N/A,FALSE,"REK-S-TPL";#N/A,#N/A,FALSE,"REK-TPML";#N/A,#N/A,FALSE,"RAB-TEMPEL"}</definedName>
    <definedName name="Nathan" localSheetId="29" hidden="1">{#N/A,#N/A,FALSE,"REK-S-TPL";#N/A,#N/A,FALSE,"REK-TPML";#N/A,#N/A,FALSE,"RAB-TEMPEL"}</definedName>
    <definedName name="Nathan" localSheetId="31" hidden="1">{#N/A,#N/A,FALSE,"REK-S-TPL";#N/A,#N/A,FALSE,"REK-TPML";#N/A,#N/A,FALSE,"RAB-TEMPEL"}</definedName>
    <definedName name="Nathan" localSheetId="30" hidden="1">{#N/A,#N/A,FALSE,"REK-S-TPL";#N/A,#N/A,FALSE,"REK-TPML";#N/A,#N/A,FALSE,"RAB-TEMPEL"}</definedName>
    <definedName name="Nathan" localSheetId="17" hidden="1">{#N/A,#N/A,FALSE,"REK-S-TPL";#N/A,#N/A,FALSE,"REK-TPML";#N/A,#N/A,FALSE,"RAB-TEMPEL"}</definedName>
    <definedName name="Nathan" localSheetId="18" hidden="1">{#N/A,#N/A,FALSE,"REK-S-TPL";#N/A,#N/A,FALSE,"REK-TPML";#N/A,#N/A,FALSE,"RAB-TEMPEL"}</definedName>
    <definedName name="Nathan" hidden="1">{#N/A,#N/A,FALSE,"REK-S-TPL";#N/A,#N/A,FALSE,"REK-TPML";#N/A,#N/A,FALSE,"RAB-TEMPEL"}</definedName>
    <definedName name="nayla" localSheetId="20" hidden="1">{#N/A,#N/A,FALSE,"REK-S-TPL";#N/A,#N/A,FALSE,"REK-TPML";#N/A,#N/A,FALSE,"RAB-TEMPEL"}</definedName>
    <definedName name="nayla" localSheetId="19" hidden="1">{#N/A,#N/A,FALSE,"REK-S-TPL";#N/A,#N/A,FALSE,"REK-TPML";#N/A,#N/A,FALSE,"RAB-TEMPEL"}</definedName>
    <definedName name="nayla" localSheetId="26" hidden="1">{#N/A,#N/A,FALSE,"REK-S-TPL";#N/A,#N/A,FALSE,"REK-TPML";#N/A,#N/A,FALSE,"RAB-TEMPEL"}</definedName>
    <definedName name="nayla" localSheetId="23" hidden="1">{#N/A,#N/A,FALSE,"REK-S-TPL";#N/A,#N/A,FALSE,"REK-TPML";#N/A,#N/A,FALSE,"RAB-TEMPEL"}</definedName>
    <definedName name="nayla" localSheetId="24" hidden="1">{#N/A,#N/A,FALSE,"REK-S-TPL";#N/A,#N/A,FALSE,"REK-TPML";#N/A,#N/A,FALSE,"RAB-TEMPEL"}</definedName>
    <definedName name="nayla" localSheetId="32" hidden="1">{#N/A,#N/A,FALSE,"REK-S-TPL";#N/A,#N/A,FALSE,"REK-TPML";#N/A,#N/A,FALSE,"RAB-TEMPEL"}</definedName>
    <definedName name="nayla" localSheetId="27" hidden="1">{#N/A,#N/A,FALSE,"REK-S-TPL";#N/A,#N/A,FALSE,"REK-TPML";#N/A,#N/A,FALSE,"RAB-TEMPEL"}</definedName>
    <definedName name="nayla" localSheetId="28" hidden="1">{#N/A,#N/A,FALSE,"REK-S-TPL";#N/A,#N/A,FALSE,"REK-TPML";#N/A,#N/A,FALSE,"RAB-TEMPEL"}</definedName>
    <definedName name="nayla" localSheetId="29" hidden="1">{#N/A,#N/A,FALSE,"REK-S-TPL";#N/A,#N/A,FALSE,"REK-TPML";#N/A,#N/A,FALSE,"RAB-TEMPEL"}</definedName>
    <definedName name="nayla" localSheetId="31" hidden="1">{#N/A,#N/A,FALSE,"REK-S-TPL";#N/A,#N/A,FALSE,"REK-TPML";#N/A,#N/A,FALSE,"RAB-TEMPEL"}</definedName>
    <definedName name="nayla" localSheetId="30" hidden="1">{#N/A,#N/A,FALSE,"REK-S-TPL";#N/A,#N/A,FALSE,"REK-TPML";#N/A,#N/A,FALSE,"RAB-TEMPEL"}</definedName>
    <definedName name="nayla" localSheetId="13" hidden="1">{#N/A,#N/A,FALSE,"REK-S-TPL";#N/A,#N/A,FALSE,"REK-TPML";#N/A,#N/A,FALSE,"RAB-TEMPEL"}</definedName>
    <definedName name="nayla" localSheetId="17" hidden="1">{#N/A,#N/A,FALSE,"REK-S-TPL";#N/A,#N/A,FALSE,"REK-TPML";#N/A,#N/A,FALSE,"RAB-TEMPEL"}</definedName>
    <definedName name="nayla" localSheetId="18" hidden="1">{#N/A,#N/A,FALSE,"REK-S-TPL";#N/A,#N/A,FALSE,"REK-TPML";#N/A,#N/A,FALSE,"RAB-TEMPEL"}</definedName>
    <definedName name="nayla" localSheetId="22" hidden="1">{#N/A,#N/A,FALSE,"REK-S-TPL";#N/A,#N/A,FALSE,"REK-TPML";#N/A,#N/A,FALSE,"RAB-TEMPEL"}</definedName>
    <definedName name="nayla" localSheetId="40" hidden="1">{#N/A,#N/A,FALSE,"REK-S-TPL";#N/A,#N/A,FALSE,"REK-TPML";#N/A,#N/A,FALSE,"RAB-TEMPEL"}</definedName>
    <definedName name="nayla" localSheetId="41" hidden="1">{#N/A,#N/A,FALSE,"REK-S-TPL";#N/A,#N/A,FALSE,"REK-TPML";#N/A,#N/A,FALSE,"RAB-TEMPEL"}</definedName>
    <definedName name="nayla" localSheetId="42" hidden="1">{#N/A,#N/A,FALSE,"REK-S-TPL";#N/A,#N/A,FALSE,"REK-TPML";#N/A,#N/A,FALSE,"RAB-TEMPEL"}</definedName>
    <definedName name="nayla" localSheetId="35" hidden="1">{#N/A,#N/A,FALSE,"REK-S-TPL";#N/A,#N/A,FALSE,"REK-TPML";#N/A,#N/A,FALSE,"RAB-TEMPEL"}</definedName>
    <definedName name="nayla" localSheetId="38" hidden="1">{#N/A,#N/A,FALSE,"REK-S-TPL";#N/A,#N/A,FALSE,"REK-TPML";#N/A,#N/A,FALSE,"RAB-TEMPEL"}</definedName>
    <definedName name="nayla" hidden="1">{#N/A,#N/A,FALSE,"REK-S-TPL";#N/A,#N/A,FALSE,"REK-TPML";#N/A,#N/A,FALSE,"RAB-TEMPEL"}</definedName>
    <definedName name="NE" localSheetId="20" hidden="1">{#N/A,#N/A,FALSE,"CCTV"}</definedName>
    <definedName name="NE" localSheetId="19" hidden="1">{#N/A,#N/A,FALSE,"CCTV"}</definedName>
    <definedName name="NE" localSheetId="26" hidden="1">{#N/A,#N/A,FALSE,"CCTV"}</definedName>
    <definedName name="NE" localSheetId="24" hidden="1">{#N/A,#N/A,FALSE,"CCTV"}</definedName>
    <definedName name="NE" localSheetId="32" hidden="1">{#N/A,#N/A,FALSE,"CCTV"}</definedName>
    <definedName name="NE" localSheetId="27" hidden="1">{#N/A,#N/A,FALSE,"CCTV"}</definedName>
    <definedName name="NE" localSheetId="28" hidden="1">{#N/A,#N/A,FALSE,"CCTV"}</definedName>
    <definedName name="NE" localSheetId="29" hidden="1">{#N/A,#N/A,FALSE,"CCTV"}</definedName>
    <definedName name="NE" localSheetId="31" hidden="1">{#N/A,#N/A,FALSE,"CCTV"}</definedName>
    <definedName name="NE" localSheetId="30" hidden="1">{#N/A,#N/A,FALSE,"CCTV"}</definedName>
    <definedName name="NE" localSheetId="17" hidden="1">{#N/A,#N/A,FALSE,"CCTV"}</definedName>
    <definedName name="NE" localSheetId="18" hidden="1">{#N/A,#N/A,FALSE,"CCTV"}</definedName>
    <definedName name="NE" hidden="1">{#N/A,#N/A,FALSE,"CCTV"}</definedName>
    <definedName name="NEWNAME" localSheetId="20" hidden="1">{#N/A,#N/A,FALSE,"CCTV"}</definedName>
    <definedName name="NEWNAME" localSheetId="19" hidden="1">{#N/A,#N/A,FALSE,"CCTV"}</definedName>
    <definedName name="NEWNAME" localSheetId="26" hidden="1">{#N/A,#N/A,FALSE,"CCTV"}</definedName>
    <definedName name="NEWNAME" localSheetId="24" hidden="1">{#N/A,#N/A,FALSE,"CCTV"}</definedName>
    <definedName name="NEWNAME" localSheetId="32" hidden="1">{#N/A,#N/A,FALSE,"CCTV"}</definedName>
    <definedName name="NEWNAME" localSheetId="27" hidden="1">{#N/A,#N/A,FALSE,"CCTV"}</definedName>
    <definedName name="NEWNAME" localSheetId="28" hidden="1">{#N/A,#N/A,FALSE,"CCTV"}</definedName>
    <definedName name="NEWNAME" localSheetId="29" hidden="1">{#N/A,#N/A,FALSE,"CCTV"}</definedName>
    <definedName name="NEWNAME" localSheetId="31" hidden="1">{#N/A,#N/A,FALSE,"CCTV"}</definedName>
    <definedName name="NEWNAME" localSheetId="30" hidden="1">{#N/A,#N/A,FALSE,"CCTV"}</definedName>
    <definedName name="NEWNAME" localSheetId="17" hidden="1">{#N/A,#N/A,FALSE,"CCTV"}</definedName>
    <definedName name="NEWNAME" localSheetId="18" hidden="1">{#N/A,#N/A,FALSE,"CCTV"}</definedName>
    <definedName name="NEWNAME" hidden="1">{#N/A,#N/A,FALSE,"CCTV"}</definedName>
    <definedName name="news" localSheetId="20" hidden="1">{#N/A,#N/A,FALSE,"CCTV"}</definedName>
    <definedName name="news" localSheetId="19" hidden="1">{#N/A,#N/A,FALSE,"CCTV"}</definedName>
    <definedName name="news" localSheetId="26" hidden="1">{#N/A,#N/A,FALSE,"CCTV"}</definedName>
    <definedName name="news" localSheetId="24" hidden="1">{#N/A,#N/A,FALSE,"CCTV"}</definedName>
    <definedName name="news" localSheetId="32" hidden="1">{#N/A,#N/A,FALSE,"CCTV"}</definedName>
    <definedName name="news" localSheetId="27" hidden="1">{#N/A,#N/A,FALSE,"CCTV"}</definedName>
    <definedName name="news" localSheetId="28" hidden="1">{#N/A,#N/A,FALSE,"CCTV"}</definedName>
    <definedName name="news" localSheetId="29" hidden="1">{#N/A,#N/A,FALSE,"CCTV"}</definedName>
    <definedName name="news" localSheetId="31" hidden="1">{#N/A,#N/A,FALSE,"CCTV"}</definedName>
    <definedName name="news" localSheetId="30" hidden="1">{#N/A,#N/A,FALSE,"CCTV"}</definedName>
    <definedName name="news" localSheetId="17" hidden="1">{#N/A,#N/A,FALSE,"CCTV"}</definedName>
    <definedName name="news" localSheetId="18" hidden="1">{#N/A,#N/A,FALSE,"CCTV"}</definedName>
    <definedName name="news" hidden="1">{#N/A,#N/A,FALSE,"CCTV"}</definedName>
    <definedName name="NG" localSheetId="20" hidden="1">{#N/A,#N/A,FALSE,"CCTV"}</definedName>
    <definedName name="NG" localSheetId="19" hidden="1">{#N/A,#N/A,FALSE,"CCTV"}</definedName>
    <definedName name="NG" localSheetId="26" hidden="1">{#N/A,#N/A,FALSE,"CCTV"}</definedName>
    <definedName name="NG" localSheetId="24" hidden="1">{#N/A,#N/A,FALSE,"CCTV"}</definedName>
    <definedName name="NG" localSheetId="32" hidden="1">{#N/A,#N/A,FALSE,"CCTV"}</definedName>
    <definedName name="NG" localSheetId="27" hidden="1">{#N/A,#N/A,FALSE,"CCTV"}</definedName>
    <definedName name="NG" localSheetId="28" hidden="1">{#N/A,#N/A,FALSE,"CCTV"}</definedName>
    <definedName name="NG" localSheetId="29" hidden="1">{#N/A,#N/A,FALSE,"CCTV"}</definedName>
    <definedName name="NG" localSheetId="31" hidden="1">{#N/A,#N/A,FALSE,"CCTV"}</definedName>
    <definedName name="NG" localSheetId="30" hidden="1">{#N/A,#N/A,FALSE,"CCTV"}</definedName>
    <definedName name="NG" localSheetId="17" hidden="1">{#N/A,#N/A,FALSE,"CCTV"}</definedName>
    <definedName name="NG" localSheetId="18" hidden="1">{#N/A,#N/A,FALSE,"CCTV"}</definedName>
    <definedName name="NG" hidden="1">{#N/A,#N/A,FALSE,"CCTV"}</definedName>
    <definedName name="nghjg" localSheetId="20" hidden="1">{"'Sheet1'!$A$1"}</definedName>
    <definedName name="nghjg" localSheetId="19" hidden="1">{"'Sheet1'!$A$1"}</definedName>
    <definedName name="nghjg" localSheetId="26" hidden="1">{"'Sheet1'!$A$1"}</definedName>
    <definedName name="nghjg" localSheetId="24" hidden="1">{"'Sheet1'!$A$1"}</definedName>
    <definedName name="nghjg" localSheetId="32" hidden="1">{"'Sheet1'!$A$1"}</definedName>
    <definedName name="nghjg" localSheetId="27" hidden="1">{"'Sheet1'!$A$1"}</definedName>
    <definedName name="nghjg" localSheetId="28" hidden="1">{"'Sheet1'!$A$1"}</definedName>
    <definedName name="nghjg" localSheetId="29" hidden="1">{"'Sheet1'!$A$1"}</definedName>
    <definedName name="nghjg" localSheetId="31" hidden="1">{"'Sheet1'!$A$1"}</definedName>
    <definedName name="nghjg" localSheetId="30" hidden="1">{"'Sheet1'!$A$1"}</definedName>
    <definedName name="nghjg" localSheetId="17" hidden="1">{"'Sheet1'!$A$1"}</definedName>
    <definedName name="nghjg" localSheetId="18" hidden="1">{"'Sheet1'!$A$1"}</definedName>
    <definedName name="nghjg" hidden="1">{"'Sheet1'!$A$1"}</definedName>
    <definedName name="NHHH" localSheetId="41" hidden="1">#REF!</definedName>
    <definedName name="NHHH" localSheetId="42" hidden="1">#REF!</definedName>
    <definedName name="NHHH" hidden="1">#REF!</definedName>
    <definedName name="nhtukjiu" localSheetId="20" hidden="1">{"'Sheet1'!$A$1"}</definedName>
    <definedName name="nhtukjiu" localSheetId="19" hidden="1">{"'Sheet1'!$A$1"}</definedName>
    <definedName name="nhtukjiu" localSheetId="26" hidden="1">{"'Sheet1'!$A$1"}</definedName>
    <definedName name="nhtukjiu" localSheetId="24" hidden="1">{"'Sheet1'!$A$1"}</definedName>
    <definedName name="nhtukjiu" localSheetId="32" hidden="1">{"'Sheet1'!$A$1"}</definedName>
    <definedName name="nhtukjiu" localSheetId="27" hidden="1">{"'Sheet1'!$A$1"}</definedName>
    <definedName name="nhtukjiu" localSheetId="28" hidden="1">{"'Sheet1'!$A$1"}</definedName>
    <definedName name="nhtukjiu" localSheetId="29" hidden="1">{"'Sheet1'!$A$1"}</definedName>
    <definedName name="nhtukjiu" localSheetId="31" hidden="1">{"'Sheet1'!$A$1"}</definedName>
    <definedName name="nhtukjiu" localSheetId="30" hidden="1">{"'Sheet1'!$A$1"}</definedName>
    <definedName name="nhtukjiu" localSheetId="17" hidden="1">{"'Sheet1'!$A$1"}</definedName>
    <definedName name="nhtukjiu" localSheetId="18" hidden="1">{"'Sheet1'!$A$1"}</definedName>
    <definedName name="nhtukjiu" hidden="1">{"'Sheet1'!$A$1"}</definedName>
    <definedName name="ni" localSheetId="20" hidden="1">{#N/A,#N/A,FALSE,"M.42"}</definedName>
    <definedName name="ni" localSheetId="19" hidden="1">{#N/A,#N/A,FALSE,"M.42"}</definedName>
    <definedName name="ni" localSheetId="26" hidden="1">{#N/A,#N/A,FALSE,"M.42"}</definedName>
    <definedName name="ni" localSheetId="24" hidden="1">{#N/A,#N/A,FALSE,"M.42"}</definedName>
    <definedName name="ni" localSheetId="32" hidden="1">{#N/A,#N/A,FALSE,"M.42"}</definedName>
    <definedName name="ni" localSheetId="27" hidden="1">{#N/A,#N/A,FALSE,"M.42"}</definedName>
    <definedName name="ni" localSheetId="28" hidden="1">{#N/A,#N/A,FALSE,"M.42"}</definedName>
    <definedName name="ni" localSheetId="29" hidden="1">{#N/A,#N/A,FALSE,"M.42"}</definedName>
    <definedName name="ni" localSheetId="31" hidden="1">{#N/A,#N/A,FALSE,"M.42"}</definedName>
    <definedName name="ni" localSheetId="30" hidden="1">{#N/A,#N/A,FALSE,"M.42"}</definedName>
    <definedName name="ni" localSheetId="17" hidden="1">{#N/A,#N/A,FALSE,"M.42"}</definedName>
    <definedName name="ni" localSheetId="18" hidden="1">{#N/A,#N/A,FALSE,"M.42"}</definedName>
    <definedName name="ni" hidden="1">{#N/A,#N/A,FALSE,"M.42"}</definedName>
    <definedName name="nila" localSheetId="32" hidden="1">#REF!</definedName>
    <definedName name="nila" localSheetId="27" hidden="1">#REF!</definedName>
    <definedName name="nila" localSheetId="18" hidden="1">#REF!</definedName>
    <definedName name="nila" hidden="1">#REF!</definedName>
    <definedName name="nj" localSheetId="20" hidden="1">{#N/A,#N/A,FALSE,"CCTV"}</definedName>
    <definedName name="nj" localSheetId="19" hidden="1">{#N/A,#N/A,FALSE,"CCTV"}</definedName>
    <definedName name="nj" localSheetId="26" hidden="1">{#N/A,#N/A,FALSE,"CCTV"}</definedName>
    <definedName name="nj" localSheetId="24" hidden="1">{#N/A,#N/A,FALSE,"CCTV"}</definedName>
    <definedName name="nj" localSheetId="32" hidden="1">{#N/A,#N/A,FALSE,"CCTV"}</definedName>
    <definedName name="nj" localSheetId="27" hidden="1">{#N/A,#N/A,FALSE,"CCTV"}</definedName>
    <definedName name="nj" localSheetId="28" hidden="1">{#N/A,#N/A,FALSE,"CCTV"}</definedName>
    <definedName name="nj" localSheetId="29" hidden="1">{#N/A,#N/A,FALSE,"CCTV"}</definedName>
    <definedName name="nj" localSheetId="31" hidden="1">{#N/A,#N/A,FALSE,"CCTV"}</definedName>
    <definedName name="nj" localSheetId="30" hidden="1">{#N/A,#N/A,FALSE,"CCTV"}</definedName>
    <definedName name="nj" localSheetId="17" hidden="1">{#N/A,#N/A,FALSE,"CCTV"}</definedName>
    <definedName name="nj" localSheetId="18" hidden="1">{#N/A,#N/A,FALSE,"CCTV"}</definedName>
    <definedName name="nj" hidden="1">{#N/A,#N/A,FALSE,"CCTV"}</definedName>
    <definedName name="nkjlbjhn" localSheetId="27" hidden="1">#REF!</definedName>
    <definedName name="nkjlbjhn" localSheetId="41" hidden="1">#REF!</definedName>
    <definedName name="nkjlbjhn" localSheetId="42" hidden="1">#REF!</definedName>
    <definedName name="nkjlbjhn" hidden="1">#REF!</definedName>
    <definedName name="nkknk" localSheetId="20" hidden="1">{#N/A,#N/A,FALSE,"CCTV"}</definedName>
    <definedName name="nkknk" localSheetId="19" hidden="1">{#N/A,#N/A,FALSE,"CCTV"}</definedName>
    <definedName name="nkknk" localSheetId="26" hidden="1">{#N/A,#N/A,FALSE,"CCTV"}</definedName>
    <definedName name="nkknk" localSheetId="24" hidden="1">{#N/A,#N/A,FALSE,"CCTV"}</definedName>
    <definedName name="nkknk" localSheetId="32" hidden="1">{#N/A,#N/A,FALSE,"CCTV"}</definedName>
    <definedName name="nkknk" localSheetId="27" hidden="1">{#N/A,#N/A,FALSE,"CCTV"}</definedName>
    <definedName name="nkknk" localSheetId="28" hidden="1">{#N/A,#N/A,FALSE,"CCTV"}</definedName>
    <definedName name="nkknk" localSheetId="29" hidden="1">{#N/A,#N/A,FALSE,"CCTV"}</definedName>
    <definedName name="nkknk" localSheetId="31" hidden="1">{#N/A,#N/A,FALSE,"CCTV"}</definedName>
    <definedName name="nkknk" localSheetId="30" hidden="1">{#N/A,#N/A,FALSE,"CCTV"}</definedName>
    <definedName name="nkknk" localSheetId="17" hidden="1">{#N/A,#N/A,FALSE,"CCTV"}</definedName>
    <definedName name="nkknk" localSheetId="18" hidden="1">{#N/A,#N/A,FALSE,"CCTV"}</definedName>
    <definedName name="nkknk" hidden="1">{#N/A,#N/A,FALSE,"CCTV"}</definedName>
    <definedName name="NL\" localSheetId="20" hidden="1">{#N/A,#N/A,FALSE,"CCTV"}</definedName>
    <definedName name="NL\" localSheetId="19" hidden="1">{#N/A,#N/A,FALSE,"CCTV"}</definedName>
    <definedName name="NL\" localSheetId="26" hidden="1">{#N/A,#N/A,FALSE,"CCTV"}</definedName>
    <definedName name="NL\" localSheetId="24" hidden="1">{#N/A,#N/A,FALSE,"CCTV"}</definedName>
    <definedName name="NL\" localSheetId="32" hidden="1">{#N/A,#N/A,FALSE,"CCTV"}</definedName>
    <definedName name="NL\" localSheetId="27" hidden="1">{#N/A,#N/A,FALSE,"CCTV"}</definedName>
    <definedName name="NL\" localSheetId="28" hidden="1">{#N/A,#N/A,FALSE,"CCTV"}</definedName>
    <definedName name="NL\" localSheetId="29" hidden="1">{#N/A,#N/A,FALSE,"CCTV"}</definedName>
    <definedName name="NL\" localSheetId="31" hidden="1">{#N/A,#N/A,FALSE,"CCTV"}</definedName>
    <definedName name="NL\" localSheetId="30" hidden="1">{#N/A,#N/A,FALSE,"CCTV"}</definedName>
    <definedName name="NL\" localSheetId="17" hidden="1">{#N/A,#N/A,FALSE,"CCTV"}</definedName>
    <definedName name="NL\" localSheetId="18" hidden="1">{#N/A,#N/A,FALSE,"CCTV"}</definedName>
    <definedName name="NL\" hidden="1">{#N/A,#N/A,FALSE,"CCTV"}</definedName>
    <definedName name="NNN" localSheetId="20" hidden="1">{#N/A,#N/A,FALSE,"REK-S-TPL";#N/A,#N/A,FALSE,"REK-TPML";#N/A,#N/A,FALSE,"RAB-TEMPEL"}</definedName>
    <definedName name="NNN" localSheetId="19" hidden="1">{#N/A,#N/A,FALSE,"REK-S-TPL";#N/A,#N/A,FALSE,"REK-TPML";#N/A,#N/A,FALSE,"RAB-TEMPEL"}</definedName>
    <definedName name="NNN" localSheetId="26" hidden="1">{#N/A,#N/A,FALSE,"REK-S-TPL";#N/A,#N/A,FALSE,"REK-TPML";#N/A,#N/A,FALSE,"RAB-TEMPEL"}</definedName>
    <definedName name="NNN" localSheetId="24" hidden="1">{#N/A,#N/A,FALSE,"REK-S-TPL";#N/A,#N/A,FALSE,"REK-TPML";#N/A,#N/A,FALSE,"RAB-TEMPEL"}</definedName>
    <definedName name="NNN" localSheetId="32" hidden="1">{#N/A,#N/A,FALSE,"REK-S-TPL";#N/A,#N/A,FALSE,"REK-TPML";#N/A,#N/A,FALSE,"RAB-TEMPEL"}</definedName>
    <definedName name="NNN" localSheetId="27" hidden="1">{#N/A,#N/A,FALSE,"REK-S-TPL";#N/A,#N/A,FALSE,"REK-TPML";#N/A,#N/A,FALSE,"RAB-TEMPEL"}</definedName>
    <definedName name="NNN" localSheetId="28" hidden="1">{#N/A,#N/A,FALSE,"REK-S-TPL";#N/A,#N/A,FALSE,"REK-TPML";#N/A,#N/A,FALSE,"RAB-TEMPEL"}</definedName>
    <definedName name="NNN" localSheetId="29" hidden="1">{#N/A,#N/A,FALSE,"REK-S-TPL";#N/A,#N/A,FALSE,"REK-TPML";#N/A,#N/A,FALSE,"RAB-TEMPEL"}</definedName>
    <definedName name="NNN" localSheetId="31" hidden="1">{#N/A,#N/A,FALSE,"REK-S-TPL";#N/A,#N/A,FALSE,"REK-TPML";#N/A,#N/A,FALSE,"RAB-TEMPEL"}</definedName>
    <definedName name="NNN" localSheetId="30" hidden="1">{#N/A,#N/A,FALSE,"REK-S-TPL";#N/A,#N/A,FALSE,"REK-TPML";#N/A,#N/A,FALSE,"RAB-TEMPEL"}</definedName>
    <definedName name="NNN" localSheetId="17" hidden="1">{#N/A,#N/A,FALSE,"REK-S-TPL";#N/A,#N/A,FALSE,"REK-TPML";#N/A,#N/A,FALSE,"RAB-TEMPEL"}</definedName>
    <definedName name="NNN" localSheetId="18" hidden="1">{#N/A,#N/A,FALSE,"REK-S-TPL";#N/A,#N/A,FALSE,"REK-TPML";#N/A,#N/A,FALSE,"RAB-TEMPEL"}</definedName>
    <definedName name="NNN" hidden="1">{#N/A,#N/A,FALSE,"REK-S-TPL";#N/A,#N/A,FALSE,"REK-TPML";#N/A,#N/A,FALSE,"RAB-TEMPEL"}</definedName>
    <definedName name="nnnm" localSheetId="20" hidden="1">{#N/A,#N/A,FALSE,"M.42"}</definedName>
    <definedName name="nnnm" localSheetId="19" hidden="1">{#N/A,#N/A,FALSE,"M.42"}</definedName>
    <definedName name="nnnm" localSheetId="26" hidden="1">{#N/A,#N/A,FALSE,"M.42"}</definedName>
    <definedName name="nnnm" localSheetId="24" hidden="1">{#N/A,#N/A,FALSE,"M.42"}</definedName>
    <definedName name="nnnm" localSheetId="32" hidden="1">{#N/A,#N/A,FALSE,"M.42"}</definedName>
    <definedName name="nnnm" localSheetId="27" hidden="1">{#N/A,#N/A,FALSE,"M.42"}</definedName>
    <definedName name="nnnm" localSheetId="28" hidden="1">{#N/A,#N/A,FALSE,"M.42"}</definedName>
    <definedName name="nnnm" localSheetId="29" hidden="1">{#N/A,#N/A,FALSE,"M.42"}</definedName>
    <definedName name="nnnm" localSheetId="31" hidden="1">{#N/A,#N/A,FALSE,"M.42"}</definedName>
    <definedName name="nnnm" localSheetId="30" hidden="1">{#N/A,#N/A,FALSE,"M.42"}</definedName>
    <definedName name="nnnm" localSheetId="17" hidden="1">{#N/A,#N/A,FALSE,"M.42"}</definedName>
    <definedName name="nnnm" localSheetId="18" hidden="1">{#N/A,#N/A,FALSE,"M.42"}</definedName>
    <definedName name="nnnm" hidden="1">{#N/A,#N/A,FALSE,"M.42"}</definedName>
    <definedName name="no" localSheetId="2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o" localSheetId="1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o" localSheetId="3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o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o" localSheetId="2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o" localSheetId="3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o" localSheetId="3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o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o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o" localSheetId="1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ominal" localSheetId="32" hidden="1">#REF!</definedName>
    <definedName name="nominal" hidden="1">#REF!</definedName>
    <definedName name="np6q" localSheetId="32" hidden="1">#REF!</definedName>
    <definedName name="np6q" hidden="1">#REF!</definedName>
    <definedName name="NY" localSheetId="20" hidden="1">{#N/A,#N/A,FALSE,"CCTV"}</definedName>
    <definedName name="NY" localSheetId="19" hidden="1">{#N/A,#N/A,FALSE,"CCTV"}</definedName>
    <definedName name="NY" localSheetId="26" hidden="1">{#N/A,#N/A,FALSE,"CCTV"}</definedName>
    <definedName name="NY" localSheetId="24" hidden="1">{#N/A,#N/A,FALSE,"CCTV"}</definedName>
    <definedName name="NY" localSheetId="32" hidden="1">{#N/A,#N/A,FALSE,"CCTV"}</definedName>
    <definedName name="NY" localSheetId="27" hidden="1">{#N/A,#N/A,FALSE,"CCTV"}</definedName>
    <definedName name="NY" localSheetId="28" hidden="1">{#N/A,#N/A,FALSE,"CCTV"}</definedName>
    <definedName name="NY" localSheetId="29" hidden="1">{#N/A,#N/A,FALSE,"CCTV"}</definedName>
    <definedName name="NY" localSheetId="31" hidden="1">{#N/A,#N/A,FALSE,"CCTV"}</definedName>
    <definedName name="NY" localSheetId="30" hidden="1">{#N/A,#N/A,FALSE,"CCTV"}</definedName>
    <definedName name="NY" localSheetId="17" hidden="1">{#N/A,#N/A,FALSE,"CCTV"}</definedName>
    <definedName name="NY" localSheetId="18" hidden="1">{#N/A,#N/A,FALSE,"CCTV"}</definedName>
    <definedName name="NY" hidden="1">{#N/A,#N/A,FALSE,"CCTV"}</definedName>
    <definedName name="O" localSheetId="2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O" localSheetId="1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O" localSheetId="3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O" localSheetId="2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O" localSheetId="2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O" localSheetId="3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O" localSheetId="3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O" localSheetId="1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O" localSheetId="1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O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oc" localSheetId="20" hidden="1">{#N/A,#N/A,FALSE,"Chi tiÆt"}</definedName>
    <definedName name="oc" localSheetId="19" hidden="1">{#N/A,#N/A,FALSE,"Chi tiÆt"}</definedName>
    <definedName name="oc" localSheetId="26" hidden="1">{#N/A,#N/A,FALSE,"Chi tiÆt"}</definedName>
    <definedName name="oc" localSheetId="24" hidden="1">{#N/A,#N/A,FALSE,"Chi tiÆt"}</definedName>
    <definedName name="oc" localSheetId="32" hidden="1">{#N/A,#N/A,FALSE,"Chi tiÆt"}</definedName>
    <definedName name="oc" localSheetId="27" hidden="1">{#N/A,#N/A,FALSE,"Chi tiÆt"}</definedName>
    <definedName name="oc" localSheetId="28" hidden="1">{#N/A,#N/A,FALSE,"Chi tiÆt"}</definedName>
    <definedName name="oc" localSheetId="29" hidden="1">{#N/A,#N/A,FALSE,"Chi tiÆt"}</definedName>
    <definedName name="oc" localSheetId="31" hidden="1">{#N/A,#N/A,FALSE,"Chi tiÆt"}</definedName>
    <definedName name="oc" localSheetId="30" hidden="1">{#N/A,#N/A,FALSE,"Chi tiÆt"}</definedName>
    <definedName name="oc" localSheetId="17" hidden="1">{#N/A,#N/A,FALSE,"Chi tiÆt"}</definedName>
    <definedName name="oc" localSheetId="18" hidden="1">{#N/A,#N/A,FALSE,"Chi tiÆt"}</definedName>
    <definedName name="oc" hidden="1">{#N/A,#N/A,FALSE,"Chi tiÆt"}</definedName>
    <definedName name="ODH" localSheetId="32" hidden="1">#REF!</definedName>
    <definedName name="ODH" hidden="1">#REF!</definedName>
    <definedName name="oililui" localSheetId="20" hidden="1">{#N/A,#N/A,FALSE,"CCTV"}</definedName>
    <definedName name="oililui" localSheetId="19" hidden="1">{#N/A,#N/A,FALSE,"CCTV"}</definedName>
    <definedName name="oililui" localSheetId="26" hidden="1">{#N/A,#N/A,FALSE,"CCTV"}</definedName>
    <definedName name="oililui" localSheetId="24" hidden="1">{#N/A,#N/A,FALSE,"CCTV"}</definedName>
    <definedName name="oililui" localSheetId="32" hidden="1">{#N/A,#N/A,FALSE,"CCTV"}</definedName>
    <definedName name="oililui" localSheetId="27" hidden="1">{#N/A,#N/A,FALSE,"CCTV"}</definedName>
    <definedName name="oililui" localSheetId="28" hidden="1">{#N/A,#N/A,FALSE,"CCTV"}</definedName>
    <definedName name="oililui" localSheetId="29" hidden="1">{#N/A,#N/A,FALSE,"CCTV"}</definedName>
    <definedName name="oililui" localSheetId="31" hidden="1">{#N/A,#N/A,FALSE,"CCTV"}</definedName>
    <definedName name="oililui" localSheetId="30" hidden="1">{#N/A,#N/A,FALSE,"CCTV"}</definedName>
    <definedName name="oililui" localSheetId="17" hidden="1">{#N/A,#N/A,FALSE,"CCTV"}</definedName>
    <definedName name="oililui" localSheetId="18" hidden="1">{#N/A,#N/A,FALSE,"CCTV"}</definedName>
    <definedName name="oililui" hidden="1">{#N/A,#N/A,FALSE,"CCTV"}</definedName>
    <definedName name="oke" localSheetId="32" hidden="1">#REF!</definedName>
    <definedName name="oke" hidden="1">#REF!</definedName>
    <definedName name="OKEEE" localSheetId="32" hidden="1">#REF!</definedName>
    <definedName name="OKEEE" hidden="1">#REF!</definedName>
    <definedName name="okta" localSheetId="20" hidden="1">{#N/A,#N/A,FALSE,"CCTV"}</definedName>
    <definedName name="okta" localSheetId="19" hidden="1">{#N/A,#N/A,FALSE,"CCTV"}</definedName>
    <definedName name="okta" localSheetId="26" hidden="1">{#N/A,#N/A,FALSE,"CCTV"}</definedName>
    <definedName name="okta" localSheetId="24" hidden="1">{#N/A,#N/A,FALSE,"CCTV"}</definedName>
    <definedName name="okta" localSheetId="32" hidden="1">{#N/A,#N/A,FALSE,"CCTV"}</definedName>
    <definedName name="okta" localSheetId="27" hidden="1">{#N/A,#N/A,FALSE,"CCTV"}</definedName>
    <definedName name="okta" localSheetId="28" hidden="1">{#N/A,#N/A,FALSE,"CCTV"}</definedName>
    <definedName name="okta" localSheetId="29" hidden="1">{#N/A,#N/A,FALSE,"CCTV"}</definedName>
    <definedName name="okta" localSheetId="31" hidden="1">{#N/A,#N/A,FALSE,"CCTV"}</definedName>
    <definedName name="okta" localSheetId="30" hidden="1">{#N/A,#N/A,FALSE,"CCTV"}</definedName>
    <definedName name="okta" localSheetId="17" hidden="1">{#N/A,#N/A,FALSE,"CCTV"}</definedName>
    <definedName name="okta" localSheetId="18" hidden="1">{#N/A,#N/A,FALSE,"CCTV"}</definedName>
    <definedName name="okta" hidden="1">{#N/A,#N/A,FALSE,"CCTV"}</definedName>
    <definedName name="OLF" localSheetId="32" hidden="1">#REF!</definedName>
    <definedName name="OLF" localSheetId="27" hidden="1">#REF!</definedName>
    <definedName name="OLF" hidden="1">#REF!</definedName>
    <definedName name="OMC" localSheetId="2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1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2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2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3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2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3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3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1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2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4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4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4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3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3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o" localSheetId="32" hidden="1">#REF!</definedName>
    <definedName name="oo" hidden="1">#REF!</definedName>
    <definedName name="oon" localSheetId="20" hidden="1">{#N/A,#N/A,FALSE,"REK";#N/A,#N/A,FALSE,"rab"}</definedName>
    <definedName name="oon" localSheetId="19" hidden="1">{#N/A,#N/A,FALSE,"REK";#N/A,#N/A,FALSE,"rab"}</definedName>
    <definedName name="oon" localSheetId="26" hidden="1">{#N/A,#N/A,FALSE,"REK";#N/A,#N/A,FALSE,"rab"}</definedName>
    <definedName name="oon" localSheetId="24" hidden="1">{#N/A,#N/A,FALSE,"REK";#N/A,#N/A,FALSE,"rab"}</definedName>
    <definedName name="oon" localSheetId="32" hidden="1">{#N/A,#N/A,FALSE,"REK";#N/A,#N/A,FALSE,"rab"}</definedName>
    <definedName name="oon" localSheetId="27" hidden="1">{#N/A,#N/A,FALSE,"REK";#N/A,#N/A,FALSE,"rab"}</definedName>
    <definedName name="oon" localSheetId="28" hidden="1">{#N/A,#N/A,FALSE,"REK";#N/A,#N/A,FALSE,"rab"}</definedName>
    <definedName name="oon" localSheetId="29" hidden="1">{#N/A,#N/A,FALSE,"REK";#N/A,#N/A,FALSE,"rab"}</definedName>
    <definedName name="oon" localSheetId="31" hidden="1">{#N/A,#N/A,FALSE,"REK";#N/A,#N/A,FALSE,"rab"}</definedName>
    <definedName name="oon" localSheetId="30" hidden="1">{#N/A,#N/A,FALSE,"REK";#N/A,#N/A,FALSE,"rab"}</definedName>
    <definedName name="oon" localSheetId="17" hidden="1">{#N/A,#N/A,FALSE,"REK";#N/A,#N/A,FALSE,"rab"}</definedName>
    <definedName name="oon" localSheetId="18" hidden="1">{#N/A,#N/A,FALSE,"REK";#N/A,#N/A,FALSE,"rab"}</definedName>
    <definedName name="oon" hidden="1">{#N/A,#N/A,FALSE,"REK";#N/A,#N/A,FALSE,"rab"}</definedName>
    <definedName name="ooo" localSheetId="20" hidden="1">{"'Sheet1'!$A$1"}</definedName>
    <definedName name="ooo" localSheetId="19" hidden="1">{"'Sheet1'!$A$1"}</definedName>
    <definedName name="ooo" localSheetId="26" hidden="1">{"'Sheet1'!$A$1"}</definedName>
    <definedName name="ooo" localSheetId="24" hidden="1">{"'Sheet1'!$A$1"}</definedName>
    <definedName name="ooo" localSheetId="32" hidden="1">{"'Sheet1'!$A$1"}</definedName>
    <definedName name="ooo" localSheetId="27" hidden="1">{"'Sheet1'!$A$1"}</definedName>
    <definedName name="ooo" localSheetId="28" hidden="1">{"'Sheet1'!$A$1"}</definedName>
    <definedName name="ooo" localSheetId="29" hidden="1">{"'Sheet1'!$A$1"}</definedName>
    <definedName name="ooo" localSheetId="31" hidden="1">{"'Sheet1'!$A$1"}</definedName>
    <definedName name="ooo" localSheetId="30" hidden="1">{"'Sheet1'!$A$1"}</definedName>
    <definedName name="ooo" localSheetId="17" hidden="1">{"'Sheet1'!$A$1"}</definedName>
    <definedName name="ooo" localSheetId="18" hidden="1">{"'Sheet1'!$A$1"}</definedName>
    <definedName name="ooo" hidden="1">{"'Sheet1'!$A$1"}</definedName>
    <definedName name="oooo" hidden="1">#REF!</definedName>
    <definedName name="oooooooooo" localSheetId="20" hidden="1">{#N/A,#N/A,FALSE,"Chi tiÆt"}</definedName>
    <definedName name="oooooooooo" localSheetId="19" hidden="1">{#N/A,#N/A,FALSE,"Chi tiÆt"}</definedName>
    <definedName name="oooooooooo" localSheetId="26" hidden="1">{#N/A,#N/A,FALSE,"Chi tiÆt"}</definedName>
    <definedName name="oooooooooo" localSheetId="24" hidden="1">{#N/A,#N/A,FALSE,"Chi tiÆt"}</definedName>
    <definedName name="oooooooooo" localSheetId="32" hidden="1">{#N/A,#N/A,FALSE,"Chi tiÆt"}</definedName>
    <definedName name="oooooooooo" localSheetId="27" hidden="1">{#N/A,#N/A,FALSE,"Chi tiÆt"}</definedName>
    <definedName name="oooooooooo" localSheetId="28" hidden="1">{#N/A,#N/A,FALSE,"Chi tiÆt"}</definedName>
    <definedName name="oooooooooo" localSheetId="29" hidden="1">{#N/A,#N/A,FALSE,"Chi tiÆt"}</definedName>
    <definedName name="oooooooooo" localSheetId="31" hidden="1">{#N/A,#N/A,FALSE,"Chi tiÆt"}</definedName>
    <definedName name="oooooooooo" localSheetId="30" hidden="1">{#N/A,#N/A,FALSE,"Chi tiÆt"}</definedName>
    <definedName name="oooooooooo" localSheetId="17" hidden="1">{#N/A,#N/A,FALSE,"Chi tiÆt"}</definedName>
    <definedName name="oooooooooo" localSheetId="18" hidden="1">{#N/A,#N/A,FALSE,"Chi tiÆt"}</definedName>
    <definedName name="oooooooooo" hidden="1">{#N/A,#N/A,FALSE,"Chi tiÆt"}</definedName>
    <definedName name="OP" localSheetId="27" hidden="1">#REF!</definedName>
    <definedName name="OP" localSheetId="13" hidden="1">#REF!</definedName>
    <definedName name="opgw" localSheetId="20" hidden="1">{#N/A,#N/A,FALSE,"M.31"}</definedName>
    <definedName name="opgw" localSheetId="19" hidden="1">{#N/A,#N/A,FALSE,"M.31"}</definedName>
    <definedName name="opgw" localSheetId="26" hidden="1">{#N/A,#N/A,FALSE,"M.31"}</definedName>
    <definedName name="opgw" localSheetId="24" hidden="1">{#N/A,#N/A,FALSE,"M.31"}</definedName>
    <definedName name="opgw" localSheetId="32" hidden="1">{#N/A,#N/A,FALSE,"M.31"}</definedName>
    <definedName name="opgw" localSheetId="27" hidden="1">{#N/A,#N/A,FALSE,"M.31"}</definedName>
    <definedName name="opgw" localSheetId="28" hidden="1">{#N/A,#N/A,FALSE,"M.31"}</definedName>
    <definedName name="opgw" localSheetId="29" hidden="1">{#N/A,#N/A,FALSE,"M.31"}</definedName>
    <definedName name="opgw" localSheetId="31" hidden="1">{#N/A,#N/A,FALSE,"M.31"}</definedName>
    <definedName name="opgw" localSheetId="30" hidden="1">{#N/A,#N/A,FALSE,"M.31"}</definedName>
    <definedName name="opgw" localSheetId="17" hidden="1">{#N/A,#N/A,FALSE,"M.31"}</definedName>
    <definedName name="opgw" localSheetId="18" hidden="1">{#N/A,#N/A,FALSE,"M.31"}</definedName>
    <definedName name="opgw" hidden="1">{#N/A,#N/A,FALSE,"M.31"}</definedName>
    <definedName name="OrderTable" localSheetId="32" hidden="1">#REF!</definedName>
    <definedName name="OrderTable" localSheetId="41" hidden="1">#REF!</definedName>
    <definedName name="OrderTable" localSheetId="42" hidden="1">#REF!</definedName>
    <definedName name="OrderTable" hidden="1">#REF!</definedName>
    <definedName name="OSBL" localSheetId="20" hidden="1">{"'장비'!$A$3:$M$12"}</definedName>
    <definedName name="OSBL" localSheetId="19" hidden="1">{"'장비'!$A$3:$M$12"}</definedName>
    <definedName name="OSBL" localSheetId="26" hidden="1">{"'장비'!$A$3:$M$12"}</definedName>
    <definedName name="OSBL" localSheetId="24" hidden="1">{"'장비'!$A$3:$M$12"}</definedName>
    <definedName name="OSBL" localSheetId="32" hidden="1">{"'장비'!$A$3:$M$12"}</definedName>
    <definedName name="OSBL" localSheetId="27" hidden="1">{"'장비'!$A$3:$M$12"}</definedName>
    <definedName name="OSBL" localSheetId="28" hidden="1">{"'장비'!$A$3:$M$12"}</definedName>
    <definedName name="OSBL" localSheetId="29" hidden="1">{"'장비'!$A$3:$M$12"}</definedName>
    <definedName name="OSBL" localSheetId="31" hidden="1">{"'장비'!$A$3:$M$12"}</definedName>
    <definedName name="OSBL" localSheetId="30" hidden="1">{"'장비'!$A$3:$M$12"}</definedName>
    <definedName name="OSBL" localSheetId="17" hidden="1">{"'장비'!$A$3:$M$12"}</definedName>
    <definedName name="OSBL" localSheetId="18" hidden="1">{"'장비'!$A$3:$M$12"}</definedName>
    <definedName name="OSBL" hidden="1">{"'장비'!$A$3:$M$12"}</definedName>
    <definedName name="OSBL1" localSheetId="20" hidden="1">{"'장비'!$A$3:$M$12"}</definedName>
    <definedName name="OSBL1" localSheetId="19" hidden="1">{"'장비'!$A$3:$M$12"}</definedName>
    <definedName name="OSBL1" localSheetId="26" hidden="1">{"'장비'!$A$3:$M$12"}</definedName>
    <definedName name="OSBL1" localSheetId="24" hidden="1">{"'장비'!$A$3:$M$12"}</definedName>
    <definedName name="OSBL1" localSheetId="32" hidden="1">{"'장비'!$A$3:$M$12"}</definedName>
    <definedName name="OSBL1" localSheetId="27" hidden="1">{"'장비'!$A$3:$M$12"}</definedName>
    <definedName name="OSBL1" localSheetId="28" hidden="1">{"'장비'!$A$3:$M$12"}</definedName>
    <definedName name="OSBL1" localSheetId="29" hidden="1">{"'장비'!$A$3:$M$12"}</definedName>
    <definedName name="OSBL1" localSheetId="31" hidden="1">{"'장비'!$A$3:$M$12"}</definedName>
    <definedName name="OSBL1" localSheetId="30" hidden="1">{"'장비'!$A$3:$M$12"}</definedName>
    <definedName name="OSBL1" localSheetId="17" hidden="1">{"'장비'!$A$3:$M$12"}</definedName>
    <definedName name="OSBL1" localSheetId="18" hidden="1">{"'장비'!$A$3:$M$12"}</definedName>
    <definedName name="OSBL1" hidden="1">{"'장비'!$A$3:$M$12"}</definedName>
    <definedName name="OTOK" localSheetId="20" hidden="1">{#N/A,#N/A,FALSE,"REK";#N/A,#N/A,FALSE,"Bq-ARS"}</definedName>
    <definedName name="OTOK" localSheetId="19" hidden="1">{#N/A,#N/A,FALSE,"REK";#N/A,#N/A,FALSE,"Bq-ARS"}</definedName>
    <definedName name="OTOK" localSheetId="26" hidden="1">{#N/A,#N/A,FALSE,"REK";#N/A,#N/A,FALSE,"Bq-ARS"}</definedName>
    <definedName name="OTOK" localSheetId="24" hidden="1">{#N/A,#N/A,FALSE,"REK";#N/A,#N/A,FALSE,"Bq-ARS"}</definedName>
    <definedName name="OTOK" localSheetId="32" hidden="1">{#N/A,#N/A,FALSE,"REK";#N/A,#N/A,FALSE,"Bq-ARS"}</definedName>
    <definedName name="OTOK" localSheetId="27" hidden="1">{#N/A,#N/A,FALSE,"REK";#N/A,#N/A,FALSE,"Bq-ARS"}</definedName>
    <definedName name="OTOK" localSheetId="28" hidden="1">{#N/A,#N/A,FALSE,"REK";#N/A,#N/A,FALSE,"Bq-ARS"}</definedName>
    <definedName name="OTOK" localSheetId="29" hidden="1">{#N/A,#N/A,FALSE,"REK";#N/A,#N/A,FALSE,"Bq-ARS"}</definedName>
    <definedName name="OTOK" localSheetId="31" hidden="1">{#N/A,#N/A,FALSE,"REK";#N/A,#N/A,FALSE,"Bq-ARS"}</definedName>
    <definedName name="OTOK" localSheetId="30" hidden="1">{#N/A,#N/A,FALSE,"REK";#N/A,#N/A,FALSE,"Bq-ARS"}</definedName>
    <definedName name="OTOK" localSheetId="17" hidden="1">{#N/A,#N/A,FALSE,"REK";#N/A,#N/A,FALSE,"Bq-ARS"}</definedName>
    <definedName name="OTOK" localSheetId="18" hidden="1">{#N/A,#N/A,FALSE,"REK";#N/A,#N/A,FALSE,"Bq-ARS"}</definedName>
    <definedName name="OTOK" hidden="1">{#N/A,#N/A,FALSE,"REK";#N/A,#N/A,FALSE,"Bq-ARS"}</definedName>
    <definedName name="Ownership" localSheetId="27" hidden="1">OFFSET(#REF!,1,0)</definedName>
    <definedName name="Ownership" localSheetId="18" hidden="1">OFFSET(#REF!,1,0)</definedName>
    <definedName name="Ownership" hidden="1">OFFSET(#REF!,1,0)</definedName>
    <definedName name="p0p0p0" localSheetId="32" hidden="1">#REF!</definedName>
    <definedName name="p0p0p0" hidden="1">#REF!</definedName>
    <definedName name="PE" localSheetId="20" hidden="1">{#N/A,#N/A,FALSE,"CCTV"}</definedName>
    <definedName name="PE" localSheetId="19" hidden="1">{#N/A,#N/A,FALSE,"CCTV"}</definedName>
    <definedName name="PE" localSheetId="32" hidden="1">{#N/A,#N/A,FALSE,"CCTV"}</definedName>
    <definedName name="PE" localSheetId="27" hidden="1">{#N/A,#N/A,FALSE,"CCTV"}</definedName>
    <definedName name="PE" localSheetId="28" hidden="1">{#N/A,#N/A,FALSE,"CCTV"}</definedName>
    <definedName name="PE" localSheetId="31" hidden="1">{#N/A,#N/A,FALSE,"CCTV"}</definedName>
    <definedName name="PE" localSheetId="30" hidden="1">{#N/A,#N/A,FALSE,"CCTV"}</definedName>
    <definedName name="PE" localSheetId="13" hidden="1">{#N/A,#N/A,FALSE,"CCTV"}</definedName>
    <definedName name="PE" localSheetId="17" hidden="1">{#N/A,#N/A,FALSE,"CCTV"}</definedName>
    <definedName name="PE" localSheetId="18" hidden="1">{#N/A,#N/A,FALSE,"CCTV"}</definedName>
    <definedName name="Pembayaran" localSheetId="32" hidden="1">#REF!</definedName>
    <definedName name="Pembayaran" hidden="1">#REF!</definedName>
    <definedName name="Pengadaan" localSheetId="32" hidden="1">#REF!</definedName>
    <definedName name="Pengadaan" hidden="1">#REF!</definedName>
    <definedName name="pengalaman" localSheetId="42" hidden="1">#REF!</definedName>
    <definedName name="pengalaman" hidden="1">#REF!</definedName>
    <definedName name="peno" localSheetId="20" hidden="1">{#N/A,#N/A,FALSE,"REK";#N/A,#N/A,FALSE,"Bq-ARS"}</definedName>
    <definedName name="peno" localSheetId="19" hidden="1">{#N/A,#N/A,FALSE,"REK";#N/A,#N/A,FALSE,"Bq-ARS"}</definedName>
    <definedName name="peno" localSheetId="26" hidden="1">{#N/A,#N/A,FALSE,"REK";#N/A,#N/A,FALSE,"Bq-ARS"}</definedName>
    <definedName name="peno" localSheetId="24" hidden="1">{#N/A,#N/A,FALSE,"REK";#N/A,#N/A,FALSE,"Bq-ARS"}</definedName>
    <definedName name="peno" localSheetId="32" hidden="1">{#N/A,#N/A,FALSE,"REK";#N/A,#N/A,FALSE,"Bq-ARS"}</definedName>
    <definedName name="peno" localSheetId="27" hidden="1">{#N/A,#N/A,FALSE,"REK";#N/A,#N/A,FALSE,"Bq-ARS"}</definedName>
    <definedName name="peno" localSheetId="28" hidden="1">{#N/A,#N/A,FALSE,"REK";#N/A,#N/A,FALSE,"Bq-ARS"}</definedName>
    <definedName name="peno" localSheetId="29" hidden="1">{#N/A,#N/A,FALSE,"REK";#N/A,#N/A,FALSE,"Bq-ARS"}</definedName>
    <definedName name="peno" localSheetId="31" hidden="1">{#N/A,#N/A,FALSE,"REK";#N/A,#N/A,FALSE,"Bq-ARS"}</definedName>
    <definedName name="peno" localSheetId="30" hidden="1">{#N/A,#N/A,FALSE,"REK";#N/A,#N/A,FALSE,"Bq-ARS"}</definedName>
    <definedName name="peno" localSheetId="17" hidden="1">{#N/A,#N/A,FALSE,"REK";#N/A,#N/A,FALSE,"Bq-ARS"}</definedName>
    <definedName name="peno" localSheetId="18" hidden="1">{#N/A,#N/A,FALSE,"REK";#N/A,#N/A,FALSE,"Bq-ARS"}</definedName>
    <definedName name="peno" hidden="1">{#N/A,#N/A,FALSE,"REK";#N/A,#N/A,FALSE,"Bq-ARS"}</definedName>
    <definedName name="pentul" localSheetId="20" hidden="1">{#N/A,#N/A,FALSE,"REK-S-TPL";#N/A,#N/A,FALSE,"REK-TPML";#N/A,#N/A,FALSE,"RAB-TEMPEL"}</definedName>
    <definedName name="pentul" localSheetId="19" hidden="1">{#N/A,#N/A,FALSE,"REK-S-TPL";#N/A,#N/A,FALSE,"REK-TPML";#N/A,#N/A,FALSE,"RAB-TEMPEL"}</definedName>
    <definedName name="pentul" localSheetId="26" hidden="1">{#N/A,#N/A,FALSE,"REK-S-TPL";#N/A,#N/A,FALSE,"REK-TPML";#N/A,#N/A,FALSE,"RAB-TEMPEL"}</definedName>
    <definedName name="pentul" localSheetId="24" hidden="1">{#N/A,#N/A,FALSE,"REK-S-TPL";#N/A,#N/A,FALSE,"REK-TPML";#N/A,#N/A,FALSE,"RAB-TEMPEL"}</definedName>
    <definedName name="pentul" localSheetId="32" hidden="1">{#N/A,#N/A,FALSE,"REK-S-TPL";#N/A,#N/A,FALSE,"REK-TPML";#N/A,#N/A,FALSE,"RAB-TEMPEL"}</definedName>
    <definedName name="pentul" localSheetId="27" hidden="1">{#N/A,#N/A,FALSE,"REK-S-TPL";#N/A,#N/A,FALSE,"REK-TPML";#N/A,#N/A,FALSE,"RAB-TEMPEL"}</definedName>
    <definedName name="pentul" localSheetId="28" hidden="1">{#N/A,#N/A,FALSE,"REK-S-TPL";#N/A,#N/A,FALSE,"REK-TPML";#N/A,#N/A,FALSE,"RAB-TEMPEL"}</definedName>
    <definedName name="pentul" localSheetId="29" hidden="1">{#N/A,#N/A,FALSE,"REK-S-TPL";#N/A,#N/A,FALSE,"REK-TPML";#N/A,#N/A,FALSE,"RAB-TEMPEL"}</definedName>
    <definedName name="pentul" localSheetId="31" hidden="1">{#N/A,#N/A,FALSE,"REK-S-TPL";#N/A,#N/A,FALSE,"REK-TPML";#N/A,#N/A,FALSE,"RAB-TEMPEL"}</definedName>
    <definedName name="pentul" localSheetId="30" hidden="1">{#N/A,#N/A,FALSE,"REK-S-TPL";#N/A,#N/A,FALSE,"REK-TPML";#N/A,#N/A,FALSE,"RAB-TEMPEL"}</definedName>
    <definedName name="pentul" localSheetId="17" hidden="1">{#N/A,#N/A,FALSE,"REK-S-TPL";#N/A,#N/A,FALSE,"REK-TPML";#N/A,#N/A,FALSE,"RAB-TEMPEL"}</definedName>
    <definedName name="pentul" localSheetId="18" hidden="1">{#N/A,#N/A,FALSE,"REK-S-TPL";#N/A,#N/A,FALSE,"REK-TPML";#N/A,#N/A,FALSE,"RAB-TEMPEL"}</definedName>
    <definedName name="pentul" hidden="1">{#N/A,#N/A,FALSE,"REK-S-TPL";#N/A,#N/A,FALSE,"REK-TPML";#N/A,#N/A,FALSE,"RAB-TEMPEL"}</definedName>
    <definedName name="peroxide" localSheetId="20" hidden="1">{#N/A,#N/A,FALSE,"CCTV"}</definedName>
    <definedName name="peroxide" localSheetId="19" hidden="1">{#N/A,#N/A,FALSE,"CCTV"}</definedName>
    <definedName name="peroxide" localSheetId="26" hidden="1">{#N/A,#N/A,FALSE,"CCTV"}</definedName>
    <definedName name="peroxide" localSheetId="24" hidden="1">{#N/A,#N/A,FALSE,"CCTV"}</definedName>
    <definedName name="peroxide" localSheetId="32" hidden="1">{#N/A,#N/A,FALSE,"CCTV"}</definedName>
    <definedName name="peroxide" localSheetId="27" hidden="1">{#N/A,#N/A,FALSE,"CCTV"}</definedName>
    <definedName name="peroxide" localSheetId="28" hidden="1">{#N/A,#N/A,FALSE,"CCTV"}</definedName>
    <definedName name="peroxide" localSheetId="29" hidden="1">{#N/A,#N/A,FALSE,"CCTV"}</definedName>
    <definedName name="peroxide" localSheetId="31" hidden="1">{#N/A,#N/A,FALSE,"CCTV"}</definedName>
    <definedName name="peroxide" localSheetId="30" hidden="1">{#N/A,#N/A,FALSE,"CCTV"}</definedName>
    <definedName name="peroxide" localSheetId="17" hidden="1">{#N/A,#N/A,FALSE,"CCTV"}</definedName>
    <definedName name="peroxide" localSheetId="18" hidden="1">{#N/A,#N/A,FALSE,"CCTV"}</definedName>
    <definedName name="peroxide" hidden="1">{#N/A,#N/A,FALSE,"CCTV"}</definedName>
    <definedName name="Philip" localSheetId="20" hidden="1">{#N/A,#N/A,FALSE,"REK-S-TPL";#N/A,#N/A,FALSE,"REK-TPML";#N/A,#N/A,FALSE,"RAB-TEMPEL"}</definedName>
    <definedName name="Philip" localSheetId="19" hidden="1">{#N/A,#N/A,FALSE,"REK-S-TPL";#N/A,#N/A,FALSE,"REK-TPML";#N/A,#N/A,FALSE,"RAB-TEMPEL"}</definedName>
    <definedName name="Philip" localSheetId="26" hidden="1">{#N/A,#N/A,FALSE,"REK-S-TPL";#N/A,#N/A,FALSE,"REK-TPML";#N/A,#N/A,FALSE,"RAB-TEMPEL"}</definedName>
    <definedName name="Philip" localSheetId="23" hidden="1">{#N/A,#N/A,FALSE,"REK-S-TPL";#N/A,#N/A,FALSE,"REK-TPML";#N/A,#N/A,FALSE,"RAB-TEMPEL"}</definedName>
    <definedName name="Philip" localSheetId="24" hidden="1">{#N/A,#N/A,FALSE,"REK-S-TPL";#N/A,#N/A,FALSE,"REK-TPML";#N/A,#N/A,FALSE,"RAB-TEMPEL"}</definedName>
    <definedName name="Philip" localSheetId="32" hidden="1">{#N/A,#N/A,FALSE,"REK-S-TPL";#N/A,#N/A,FALSE,"REK-TPML";#N/A,#N/A,FALSE,"RAB-TEMPEL"}</definedName>
    <definedName name="Philip" localSheetId="27" hidden="1">{#N/A,#N/A,FALSE,"REK-S-TPL";#N/A,#N/A,FALSE,"REK-TPML";#N/A,#N/A,FALSE,"RAB-TEMPEL"}</definedName>
    <definedName name="Philip" localSheetId="28" hidden="1">{#N/A,#N/A,FALSE,"REK-S-TPL";#N/A,#N/A,FALSE,"REK-TPML";#N/A,#N/A,FALSE,"RAB-TEMPEL"}</definedName>
    <definedName name="Philip" localSheetId="29" hidden="1">{#N/A,#N/A,FALSE,"REK-S-TPL";#N/A,#N/A,FALSE,"REK-TPML";#N/A,#N/A,FALSE,"RAB-TEMPEL"}</definedName>
    <definedName name="Philip" localSheetId="31" hidden="1">{#N/A,#N/A,FALSE,"REK-S-TPL";#N/A,#N/A,FALSE,"REK-TPML";#N/A,#N/A,FALSE,"RAB-TEMPEL"}</definedName>
    <definedName name="Philip" localSheetId="30" hidden="1">{#N/A,#N/A,FALSE,"REK-S-TPL";#N/A,#N/A,FALSE,"REK-TPML";#N/A,#N/A,FALSE,"RAB-TEMPEL"}</definedName>
    <definedName name="Philip" localSheetId="13" hidden="1">{#N/A,#N/A,FALSE,"REK-S-TPL";#N/A,#N/A,FALSE,"REK-TPML";#N/A,#N/A,FALSE,"RAB-TEMPEL"}</definedName>
    <definedName name="Philip" localSheetId="17" hidden="1">{#N/A,#N/A,FALSE,"REK-S-TPL";#N/A,#N/A,FALSE,"REK-TPML";#N/A,#N/A,FALSE,"RAB-TEMPEL"}</definedName>
    <definedName name="Philip" localSheetId="18" hidden="1">{#N/A,#N/A,FALSE,"REK-S-TPL";#N/A,#N/A,FALSE,"REK-TPML";#N/A,#N/A,FALSE,"RAB-TEMPEL"}</definedName>
    <definedName name="Philip" localSheetId="22" hidden="1">{#N/A,#N/A,FALSE,"REK-S-TPL";#N/A,#N/A,FALSE,"REK-TPML";#N/A,#N/A,FALSE,"RAB-TEMPEL"}</definedName>
    <definedName name="Philip" localSheetId="40" hidden="1">{#N/A,#N/A,FALSE,"REK-S-TPL";#N/A,#N/A,FALSE,"REK-TPML";#N/A,#N/A,FALSE,"RAB-TEMPEL"}</definedName>
    <definedName name="Philip" localSheetId="41" hidden="1">{#N/A,#N/A,FALSE,"REK-S-TPL";#N/A,#N/A,FALSE,"REK-TPML";#N/A,#N/A,FALSE,"RAB-TEMPEL"}</definedName>
    <definedName name="Philip" localSheetId="42" hidden="1">{#N/A,#N/A,FALSE,"REK-S-TPL";#N/A,#N/A,FALSE,"REK-TPML";#N/A,#N/A,FALSE,"RAB-TEMPEL"}</definedName>
    <definedName name="Philip" localSheetId="35" hidden="1">{#N/A,#N/A,FALSE,"REK-S-TPL";#N/A,#N/A,FALSE,"REK-TPML";#N/A,#N/A,FALSE,"RAB-TEMPEL"}</definedName>
    <definedName name="Philip" localSheetId="38" hidden="1">{#N/A,#N/A,FALSE,"REK-S-TPL";#N/A,#N/A,FALSE,"REK-TPML";#N/A,#N/A,FALSE,"RAB-TEMPEL"}</definedName>
    <definedName name="Philip" hidden="1">{#N/A,#N/A,FALSE,"REK-S-TPL";#N/A,#N/A,FALSE,"REK-TPML";#N/A,#N/A,FALSE,"RAB-TEMPEL"}</definedName>
    <definedName name="Pipi" localSheetId="32" hidden="1">#REF!</definedName>
    <definedName name="Pipi" hidden="1">#REF!</definedName>
    <definedName name="po" localSheetId="20" hidden="1">{#N/A,#N/A,FALSE,"CCTV"}</definedName>
    <definedName name="po" localSheetId="19" hidden="1">{#N/A,#N/A,FALSE,"CCTV"}</definedName>
    <definedName name="po" localSheetId="26" hidden="1">{#N/A,#N/A,FALSE,"CCTV"}</definedName>
    <definedName name="po" localSheetId="24" hidden="1">{#N/A,#N/A,FALSE,"CCTV"}</definedName>
    <definedName name="po" localSheetId="32" hidden="1">{#N/A,#N/A,FALSE,"CCTV"}</definedName>
    <definedName name="po" localSheetId="27" hidden="1">{#N/A,#N/A,FALSE,"CCTV"}</definedName>
    <definedName name="po" localSheetId="28" hidden="1">{#N/A,#N/A,FALSE,"CCTV"}</definedName>
    <definedName name="po" localSheetId="29" hidden="1">{#N/A,#N/A,FALSE,"CCTV"}</definedName>
    <definedName name="po" localSheetId="31" hidden="1">{#N/A,#N/A,FALSE,"CCTV"}</definedName>
    <definedName name="po" localSheetId="30" hidden="1">{#N/A,#N/A,FALSE,"CCTV"}</definedName>
    <definedName name="po" localSheetId="17" hidden="1">{#N/A,#N/A,FALSE,"CCTV"}</definedName>
    <definedName name="po" localSheetId="18" hidden="1">{#N/A,#N/A,FALSE,"CCTV"}</definedName>
    <definedName name="po" hidden="1">{#N/A,#N/A,FALSE,"CCTV"}</definedName>
    <definedName name="poil" localSheetId="20" hidden="1">{"'1996'!$A$1:$J$272"}</definedName>
    <definedName name="poil" localSheetId="19" hidden="1">{"'1996'!$A$1:$J$272"}</definedName>
    <definedName name="poil" localSheetId="26" hidden="1">{"'1996'!$A$1:$J$272"}</definedName>
    <definedName name="poil" localSheetId="24" hidden="1">{"'1996'!$A$1:$J$272"}</definedName>
    <definedName name="poil" localSheetId="32" hidden="1">{"'1996'!$A$1:$J$272"}</definedName>
    <definedName name="poil" localSheetId="27" hidden="1">{"'1996'!$A$1:$J$272"}</definedName>
    <definedName name="poil" localSheetId="28" hidden="1">{"'1996'!$A$1:$J$272"}</definedName>
    <definedName name="poil" localSheetId="29" hidden="1">{"'1996'!$A$1:$J$272"}</definedName>
    <definedName name="poil" localSheetId="31" hidden="1">{"'1996'!$A$1:$J$272"}</definedName>
    <definedName name="poil" localSheetId="30" hidden="1">{"'1996'!$A$1:$J$272"}</definedName>
    <definedName name="poil" localSheetId="17" hidden="1">{"'1996'!$A$1:$J$272"}</definedName>
    <definedName name="poil" localSheetId="18" hidden="1">{"'1996'!$A$1:$J$272"}</definedName>
    <definedName name="poil" hidden="1">{"'1996'!$A$1:$J$272"}</definedName>
    <definedName name="pomc" localSheetId="2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1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2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2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3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2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3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3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1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2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4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4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4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3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3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pp" localSheetId="32" hidden="1">#REF!</definedName>
    <definedName name="ppp" hidden="1">#REF!</definedName>
    <definedName name="pppp" localSheetId="32" hidden="1">#REF!</definedName>
    <definedName name="pppp" hidden="1">#REF!</definedName>
    <definedName name="PQ" localSheetId="20" hidden="1">{#N/A,#N/A,FALSE,"CCTV"}</definedName>
    <definedName name="PQ" localSheetId="19" hidden="1">{#N/A,#N/A,FALSE,"CCTV"}</definedName>
    <definedName name="PQ" localSheetId="26" hidden="1">{#N/A,#N/A,FALSE,"CCTV"}</definedName>
    <definedName name="PQ" localSheetId="24" hidden="1">{#N/A,#N/A,FALSE,"CCTV"}</definedName>
    <definedName name="PQ" localSheetId="32" hidden="1">{#N/A,#N/A,FALSE,"CCTV"}</definedName>
    <definedName name="PQ" localSheetId="27" hidden="1">{#N/A,#N/A,FALSE,"CCTV"}</definedName>
    <definedName name="PQ" localSheetId="28" hidden="1">{#N/A,#N/A,FALSE,"CCTV"}</definedName>
    <definedName name="PQ" localSheetId="29" hidden="1">{#N/A,#N/A,FALSE,"CCTV"}</definedName>
    <definedName name="PQ" localSheetId="31" hidden="1">{#N/A,#N/A,FALSE,"CCTV"}</definedName>
    <definedName name="PQ" localSheetId="30" hidden="1">{#N/A,#N/A,FALSE,"CCTV"}</definedName>
    <definedName name="PQ" localSheetId="17" hidden="1">{#N/A,#N/A,FALSE,"CCTV"}</definedName>
    <definedName name="PQ" localSheetId="18" hidden="1">{#N/A,#N/A,FALSE,"CCTV"}</definedName>
    <definedName name="PQ" hidden="1">{#N/A,#N/A,FALSE,"CCTV"}</definedName>
    <definedName name="PR" localSheetId="20" hidden="1">{#N/A,#N/A,FALSE,"CCTV"}</definedName>
    <definedName name="PR" localSheetId="19" hidden="1">{#N/A,#N/A,FALSE,"CCTV"}</definedName>
    <definedName name="PR" localSheetId="32" hidden="1">{#N/A,#N/A,FALSE,"CCTV"}</definedName>
    <definedName name="PR" localSheetId="27" hidden="1">{#N/A,#N/A,FALSE,"CCTV"}</definedName>
    <definedName name="PR" localSheetId="28" hidden="1">{#N/A,#N/A,FALSE,"CCTV"}</definedName>
    <definedName name="PR" localSheetId="31" hidden="1">{#N/A,#N/A,FALSE,"CCTV"}</definedName>
    <definedName name="PR" localSheetId="30" hidden="1">{#N/A,#N/A,FALSE,"CCTV"}</definedName>
    <definedName name="PR" localSheetId="13" hidden="1">{#N/A,#N/A,FALSE,"CCTV"}</definedName>
    <definedName name="PR" localSheetId="17" hidden="1">{#N/A,#N/A,FALSE,"CCTV"}</definedName>
    <definedName name="PR" localSheetId="18" hidden="1">{#N/A,#N/A,FALSE,"CCTV"}</definedName>
    <definedName name="PRAYER" localSheetId="20" hidden="1">{#N/A,#N/A,FALSE,"CCTV"}</definedName>
    <definedName name="PRAYER" localSheetId="19" hidden="1">{#N/A,#N/A,FALSE,"CCTV"}</definedName>
    <definedName name="PRAYER" localSheetId="26" hidden="1">{#N/A,#N/A,FALSE,"CCTV"}</definedName>
    <definedName name="PRAYER" localSheetId="24" hidden="1">{#N/A,#N/A,FALSE,"CCTV"}</definedName>
    <definedName name="PRAYER" localSheetId="32" hidden="1">{#N/A,#N/A,FALSE,"CCTV"}</definedName>
    <definedName name="PRAYER" localSheetId="27" hidden="1">{#N/A,#N/A,FALSE,"CCTV"}</definedName>
    <definedName name="PRAYER" localSheetId="28" hidden="1">{#N/A,#N/A,FALSE,"CCTV"}</definedName>
    <definedName name="PRAYER" localSheetId="29" hidden="1">{#N/A,#N/A,FALSE,"CCTV"}</definedName>
    <definedName name="PRAYER" localSheetId="31" hidden="1">{#N/A,#N/A,FALSE,"CCTV"}</definedName>
    <definedName name="PRAYER" localSheetId="30" hidden="1">{#N/A,#N/A,FALSE,"CCTV"}</definedName>
    <definedName name="PRAYER" localSheetId="17" hidden="1">{#N/A,#N/A,FALSE,"CCTV"}</definedName>
    <definedName name="PRAYER" localSheetId="18" hidden="1">{#N/A,#N/A,FALSE,"CCTV"}</definedName>
    <definedName name="PRAYER" hidden="1">{#N/A,#N/A,FALSE,"CCTV"}</definedName>
    <definedName name="prelim" localSheetId="27" hidden="1">#REF!</definedName>
    <definedName name="Prem" localSheetId="27" hidden="1">#REF!</definedName>
    <definedName name="Prem" localSheetId="41" hidden="1">#REF!</definedName>
    <definedName name="Prem" localSheetId="42" hidden="1">#REF!</definedName>
    <definedName name="Prem" hidden="1">#REF!</definedName>
    <definedName name="pret" localSheetId="20" hidden="1">{#N/A,#N/A,FALSE,"REK";#N/A,#N/A,FALSE,"rab"}</definedName>
    <definedName name="pret" localSheetId="19" hidden="1">{#N/A,#N/A,FALSE,"REK";#N/A,#N/A,FALSE,"rab"}</definedName>
    <definedName name="pret" localSheetId="26" hidden="1">{#N/A,#N/A,FALSE,"REK";#N/A,#N/A,FALSE,"rab"}</definedName>
    <definedName name="pret" localSheetId="24" hidden="1">{#N/A,#N/A,FALSE,"REK";#N/A,#N/A,FALSE,"rab"}</definedName>
    <definedName name="pret" localSheetId="32" hidden="1">{#N/A,#N/A,FALSE,"REK";#N/A,#N/A,FALSE,"rab"}</definedName>
    <definedName name="pret" localSheetId="27" hidden="1">{#N/A,#N/A,FALSE,"REK";#N/A,#N/A,FALSE,"rab"}</definedName>
    <definedName name="pret" localSheetId="28" hidden="1">{#N/A,#N/A,FALSE,"REK";#N/A,#N/A,FALSE,"rab"}</definedName>
    <definedName name="pret" localSheetId="29" hidden="1">{#N/A,#N/A,FALSE,"REK";#N/A,#N/A,FALSE,"rab"}</definedName>
    <definedName name="pret" localSheetId="31" hidden="1">{#N/A,#N/A,FALSE,"REK";#N/A,#N/A,FALSE,"rab"}</definedName>
    <definedName name="pret" localSheetId="30" hidden="1">{#N/A,#N/A,FALSE,"REK";#N/A,#N/A,FALSE,"rab"}</definedName>
    <definedName name="pret" localSheetId="17" hidden="1">{#N/A,#N/A,FALSE,"REK";#N/A,#N/A,FALSE,"rab"}</definedName>
    <definedName name="pret" localSheetId="18" hidden="1">{#N/A,#N/A,FALSE,"REK";#N/A,#N/A,FALSE,"rab"}</definedName>
    <definedName name="pret" hidden="1">{#N/A,#N/A,FALSE,"REK";#N/A,#N/A,FALSE,"rab"}</definedName>
    <definedName name="_xlnm.Print_Area" localSheetId="43">ANALISA!$A$1:$J$4335</definedName>
    <definedName name="_xlnm.Print_Area" localSheetId="6">RAB!$A$1329:$AA$1366</definedName>
    <definedName name="_xlnm.Print_Area" localSheetId="2">Resume!$A$1:$I$63</definedName>
    <definedName name="_xlnm.Print_Area" localSheetId="3">'Sub Resume'!$A$1:$M$53</definedName>
    <definedName name="_xlnm.Print_Titles" localSheetId="6">RAB!$1:$11</definedName>
    <definedName name="ProdForm" localSheetId="32" hidden="1">#REF!</definedName>
    <definedName name="ProdForm" localSheetId="41" hidden="1">#REF!</definedName>
    <definedName name="ProdForm" localSheetId="42" hidden="1">#REF!</definedName>
    <definedName name="ProdForm" hidden="1">#REF!</definedName>
    <definedName name="Product" localSheetId="42" hidden="1">#REF!</definedName>
    <definedName name="Product" hidden="1">#REF!</definedName>
    <definedName name="pROG" localSheetId="20" hidden="1">{"'Sheet1'!$A$1"}</definedName>
    <definedName name="pROG" localSheetId="19" hidden="1">{"'Sheet1'!$A$1"}</definedName>
    <definedName name="pROG" localSheetId="26" hidden="1">{"'Sheet1'!$A$1"}</definedName>
    <definedName name="pROG" localSheetId="24" hidden="1">{"'Sheet1'!$A$1"}</definedName>
    <definedName name="pROG" localSheetId="32" hidden="1">{"'Sheet1'!$A$1"}</definedName>
    <definedName name="pROG" localSheetId="27" hidden="1">{"'Sheet1'!$A$1"}</definedName>
    <definedName name="pROG" localSheetId="28" hidden="1">{"'Sheet1'!$A$1"}</definedName>
    <definedName name="pROG" localSheetId="29" hidden="1">{"'Sheet1'!$A$1"}</definedName>
    <definedName name="pROG" localSheetId="31" hidden="1">{"'Sheet1'!$A$1"}</definedName>
    <definedName name="pROG" localSheetId="30" hidden="1">{"'Sheet1'!$A$1"}</definedName>
    <definedName name="pROG" localSheetId="17" hidden="1">{"'Sheet1'!$A$1"}</definedName>
    <definedName name="pROG" localSheetId="18" hidden="1">{"'Sheet1'!$A$1"}</definedName>
    <definedName name="pROG" hidden="1">{"'Sheet1'!$A$1"}</definedName>
    <definedName name="ptrus" localSheetId="20" hidden="1">{"'1996'!$A$1:$J$272"}</definedName>
    <definedName name="ptrus" localSheetId="19" hidden="1">{"'1996'!$A$1:$J$272"}</definedName>
    <definedName name="ptrus" localSheetId="26" hidden="1">{"'1996'!$A$1:$J$272"}</definedName>
    <definedName name="ptrus" localSheetId="24" hidden="1">{"'1996'!$A$1:$J$272"}</definedName>
    <definedName name="ptrus" localSheetId="32" hidden="1">{"'1996'!$A$1:$J$272"}</definedName>
    <definedName name="ptrus" localSheetId="27" hidden="1">{"'1996'!$A$1:$J$272"}</definedName>
    <definedName name="ptrus" localSheetId="28" hidden="1">{"'1996'!$A$1:$J$272"}</definedName>
    <definedName name="ptrus" localSheetId="29" hidden="1">{"'1996'!$A$1:$J$272"}</definedName>
    <definedName name="ptrus" localSheetId="31" hidden="1">{"'1996'!$A$1:$J$272"}</definedName>
    <definedName name="ptrus" localSheetId="30" hidden="1">{"'1996'!$A$1:$J$272"}</definedName>
    <definedName name="ptrus" localSheetId="17" hidden="1">{"'1996'!$A$1:$J$272"}</definedName>
    <definedName name="ptrus" localSheetId="18" hidden="1">{"'1996'!$A$1:$J$272"}</definedName>
    <definedName name="ptrus" hidden="1">{"'1996'!$A$1:$J$272"}</definedName>
    <definedName name="pur" localSheetId="20" hidden="1">{#N/A,#N/A,FALSE,"M.34"}</definedName>
    <definedName name="pur" localSheetId="19" hidden="1">{#N/A,#N/A,FALSE,"M.34"}</definedName>
    <definedName name="pur" localSheetId="26" hidden="1">{#N/A,#N/A,FALSE,"M.34"}</definedName>
    <definedName name="pur" localSheetId="24" hidden="1">{#N/A,#N/A,FALSE,"M.34"}</definedName>
    <definedName name="pur" localSheetId="32" hidden="1">{#N/A,#N/A,FALSE,"M.34"}</definedName>
    <definedName name="pur" localSheetId="27" hidden="1">{#N/A,#N/A,FALSE,"M.34"}</definedName>
    <definedName name="pur" localSheetId="28" hidden="1">{#N/A,#N/A,FALSE,"M.34"}</definedName>
    <definedName name="pur" localSheetId="29" hidden="1">{#N/A,#N/A,FALSE,"M.34"}</definedName>
    <definedName name="pur" localSheetId="31" hidden="1">{#N/A,#N/A,FALSE,"M.34"}</definedName>
    <definedName name="pur" localSheetId="30" hidden="1">{#N/A,#N/A,FALSE,"M.34"}</definedName>
    <definedName name="pur" localSheetId="17" hidden="1">{#N/A,#N/A,FALSE,"M.34"}</definedName>
    <definedName name="pur" localSheetId="18" hidden="1">{#N/A,#N/A,FALSE,"M.34"}</definedName>
    <definedName name="pur" hidden="1">{#N/A,#N/A,FALSE,"M.34"}</definedName>
    <definedName name="PY" localSheetId="20" hidden="1">{#N/A,#N/A,FALSE,"CCTV"}</definedName>
    <definedName name="PY" localSheetId="19" hidden="1">{#N/A,#N/A,FALSE,"CCTV"}</definedName>
    <definedName name="PY" localSheetId="26" hidden="1">{#N/A,#N/A,FALSE,"CCTV"}</definedName>
    <definedName name="PY" localSheetId="24" hidden="1">{#N/A,#N/A,FALSE,"CCTV"}</definedName>
    <definedName name="PY" localSheetId="32" hidden="1">{#N/A,#N/A,FALSE,"CCTV"}</definedName>
    <definedName name="PY" localSheetId="27" hidden="1">{#N/A,#N/A,FALSE,"CCTV"}</definedName>
    <definedName name="PY" localSheetId="28" hidden="1">{#N/A,#N/A,FALSE,"CCTV"}</definedName>
    <definedName name="PY" localSheetId="29" hidden="1">{#N/A,#N/A,FALSE,"CCTV"}</definedName>
    <definedName name="PY" localSheetId="31" hidden="1">{#N/A,#N/A,FALSE,"CCTV"}</definedName>
    <definedName name="PY" localSheetId="30" hidden="1">{#N/A,#N/A,FALSE,"CCTV"}</definedName>
    <definedName name="PY" localSheetId="17" hidden="1">{#N/A,#N/A,FALSE,"CCTV"}</definedName>
    <definedName name="PY" localSheetId="18" hidden="1">{#N/A,#N/A,FALSE,"CCTV"}</definedName>
    <definedName name="PY" hidden="1">{#N/A,#N/A,FALSE,"CCTV"}</definedName>
    <definedName name="q" localSheetId="27" hidden="1">#REF!</definedName>
    <definedName name="qcfb" localSheetId="20" hidden="1">{"'Sheet1'!$A$1"}</definedName>
    <definedName name="qcfb" localSheetId="19" hidden="1">{"'Sheet1'!$A$1"}</definedName>
    <definedName name="qcfb" localSheetId="26" hidden="1">{"'Sheet1'!$A$1"}</definedName>
    <definedName name="qcfb" localSheetId="24" hidden="1">{"'Sheet1'!$A$1"}</definedName>
    <definedName name="qcfb" localSheetId="32" hidden="1">{"'Sheet1'!$A$1"}</definedName>
    <definedName name="qcfb" localSheetId="27" hidden="1">{"'Sheet1'!$A$1"}</definedName>
    <definedName name="qcfb" localSheetId="28" hidden="1">{"'Sheet1'!$A$1"}</definedName>
    <definedName name="qcfb" localSheetId="29" hidden="1">{"'Sheet1'!$A$1"}</definedName>
    <definedName name="qcfb" localSheetId="31" hidden="1">{"'Sheet1'!$A$1"}</definedName>
    <definedName name="qcfb" localSheetId="30" hidden="1">{"'Sheet1'!$A$1"}</definedName>
    <definedName name="qcfb" localSheetId="17" hidden="1">{"'Sheet1'!$A$1"}</definedName>
    <definedName name="qcfb" localSheetId="18" hidden="1">{"'Sheet1'!$A$1"}</definedName>
    <definedName name="qcfb" hidden="1">{"'Sheet1'!$A$1"}</definedName>
    <definedName name="QDLQWD" localSheetId="20" hidden="1">{#N/A,#N/A,FALSE,"2~8번"}</definedName>
    <definedName name="QDLQWD" localSheetId="19" hidden="1">{#N/A,#N/A,FALSE,"2~8번"}</definedName>
    <definedName name="QDLQWD" localSheetId="26" hidden="1">{#N/A,#N/A,FALSE,"2~8번"}</definedName>
    <definedName name="QDLQWD" localSheetId="24" hidden="1">{#N/A,#N/A,FALSE,"2~8번"}</definedName>
    <definedName name="QDLQWD" localSheetId="32" hidden="1">{#N/A,#N/A,FALSE,"2~8번"}</definedName>
    <definedName name="QDLQWD" localSheetId="27" hidden="1">{#N/A,#N/A,FALSE,"2~8번"}</definedName>
    <definedName name="QDLQWD" localSheetId="28" hidden="1">{#N/A,#N/A,FALSE,"2~8번"}</definedName>
    <definedName name="QDLQWD" localSheetId="29" hidden="1">{#N/A,#N/A,FALSE,"2~8번"}</definedName>
    <definedName name="QDLQWD" localSheetId="31" hidden="1">{#N/A,#N/A,FALSE,"2~8번"}</definedName>
    <definedName name="QDLQWD" localSheetId="30" hidden="1">{#N/A,#N/A,FALSE,"2~8번"}</definedName>
    <definedName name="QDLQWD" localSheetId="17" hidden="1">{#N/A,#N/A,FALSE,"2~8번"}</definedName>
    <definedName name="QDLQWD" localSheetId="18" hidden="1">{#N/A,#N/A,FALSE,"2~8번"}</definedName>
    <definedName name="QDLQWD" hidden="1">{#N/A,#N/A,FALSE,"2~8번"}</definedName>
    <definedName name="qegtegt" localSheetId="20" hidden="1">{#N/A,#N/A,FALSE,"REK-S-TPL";#N/A,#N/A,FALSE,"REK-TPML";#N/A,#N/A,FALSE,"RAB-TEMPEL"}</definedName>
    <definedName name="qegtegt" localSheetId="19" hidden="1">{#N/A,#N/A,FALSE,"REK-S-TPL";#N/A,#N/A,FALSE,"REK-TPML";#N/A,#N/A,FALSE,"RAB-TEMPEL"}</definedName>
    <definedName name="qegtegt" localSheetId="26" hidden="1">{#N/A,#N/A,FALSE,"REK-S-TPL";#N/A,#N/A,FALSE,"REK-TPML";#N/A,#N/A,FALSE,"RAB-TEMPEL"}</definedName>
    <definedName name="qegtegt" localSheetId="24" hidden="1">{#N/A,#N/A,FALSE,"REK-S-TPL";#N/A,#N/A,FALSE,"REK-TPML";#N/A,#N/A,FALSE,"RAB-TEMPEL"}</definedName>
    <definedName name="qegtegt" localSheetId="32" hidden="1">{#N/A,#N/A,FALSE,"REK-S-TPL";#N/A,#N/A,FALSE,"REK-TPML";#N/A,#N/A,FALSE,"RAB-TEMPEL"}</definedName>
    <definedName name="qegtegt" localSheetId="27" hidden="1">{#N/A,#N/A,FALSE,"REK-S-TPL";#N/A,#N/A,FALSE,"REK-TPML";#N/A,#N/A,FALSE,"RAB-TEMPEL"}</definedName>
    <definedName name="qegtegt" localSheetId="28" hidden="1">{#N/A,#N/A,FALSE,"REK-S-TPL";#N/A,#N/A,FALSE,"REK-TPML";#N/A,#N/A,FALSE,"RAB-TEMPEL"}</definedName>
    <definedName name="qegtegt" localSheetId="29" hidden="1">{#N/A,#N/A,FALSE,"REK-S-TPL";#N/A,#N/A,FALSE,"REK-TPML";#N/A,#N/A,FALSE,"RAB-TEMPEL"}</definedName>
    <definedName name="qegtegt" localSheetId="31" hidden="1">{#N/A,#N/A,FALSE,"REK-S-TPL";#N/A,#N/A,FALSE,"REK-TPML";#N/A,#N/A,FALSE,"RAB-TEMPEL"}</definedName>
    <definedName name="qegtegt" localSheetId="30" hidden="1">{#N/A,#N/A,FALSE,"REK-S-TPL";#N/A,#N/A,FALSE,"REK-TPML";#N/A,#N/A,FALSE,"RAB-TEMPEL"}</definedName>
    <definedName name="qegtegt" localSheetId="17" hidden="1">{#N/A,#N/A,FALSE,"REK-S-TPL";#N/A,#N/A,FALSE,"REK-TPML";#N/A,#N/A,FALSE,"RAB-TEMPEL"}</definedName>
    <definedName name="qegtegt" localSheetId="18" hidden="1">{#N/A,#N/A,FALSE,"REK-S-TPL";#N/A,#N/A,FALSE,"REK-TPML";#N/A,#N/A,FALSE,"RAB-TEMPEL"}</definedName>
    <definedName name="qegtegt" hidden="1">{#N/A,#N/A,FALSE,"REK-S-TPL";#N/A,#N/A,FALSE,"REK-TPML";#N/A,#N/A,FALSE,"RAB-TEMPEL"}</definedName>
    <definedName name="qegtqegt" localSheetId="20" hidden="1">{#N/A,#N/A,FALSE,"REK";#N/A,#N/A,FALSE,"rab"}</definedName>
    <definedName name="qegtqegt" localSheetId="19" hidden="1">{#N/A,#N/A,FALSE,"REK";#N/A,#N/A,FALSE,"rab"}</definedName>
    <definedName name="qegtqegt" localSheetId="26" hidden="1">{#N/A,#N/A,FALSE,"REK";#N/A,#N/A,FALSE,"rab"}</definedName>
    <definedName name="qegtqegt" localSheetId="24" hidden="1">{#N/A,#N/A,FALSE,"REK";#N/A,#N/A,FALSE,"rab"}</definedName>
    <definedName name="qegtqegt" localSheetId="32" hidden="1">{#N/A,#N/A,FALSE,"REK";#N/A,#N/A,FALSE,"rab"}</definedName>
    <definedName name="qegtqegt" localSheetId="27" hidden="1">{#N/A,#N/A,FALSE,"REK";#N/A,#N/A,FALSE,"rab"}</definedName>
    <definedName name="qegtqegt" localSheetId="28" hidden="1">{#N/A,#N/A,FALSE,"REK";#N/A,#N/A,FALSE,"rab"}</definedName>
    <definedName name="qegtqegt" localSheetId="29" hidden="1">{#N/A,#N/A,FALSE,"REK";#N/A,#N/A,FALSE,"rab"}</definedName>
    <definedName name="qegtqegt" localSheetId="31" hidden="1">{#N/A,#N/A,FALSE,"REK";#N/A,#N/A,FALSE,"rab"}</definedName>
    <definedName name="qegtqegt" localSheetId="30" hidden="1">{#N/A,#N/A,FALSE,"REK";#N/A,#N/A,FALSE,"rab"}</definedName>
    <definedName name="qegtqegt" localSheetId="17" hidden="1">{#N/A,#N/A,FALSE,"REK";#N/A,#N/A,FALSE,"rab"}</definedName>
    <definedName name="qegtqegt" localSheetId="18" hidden="1">{#N/A,#N/A,FALSE,"REK";#N/A,#N/A,FALSE,"rab"}</definedName>
    <definedName name="qegtqegt" hidden="1">{#N/A,#N/A,FALSE,"REK";#N/A,#N/A,FALSE,"rab"}</definedName>
    <definedName name="qegtqgt" localSheetId="20" hidden="1">{#N/A,#N/A,FALSE,"REK";#N/A,#N/A,FALSE,"rab"}</definedName>
    <definedName name="qegtqgt" localSheetId="19" hidden="1">{#N/A,#N/A,FALSE,"REK";#N/A,#N/A,FALSE,"rab"}</definedName>
    <definedName name="qegtqgt" localSheetId="26" hidden="1">{#N/A,#N/A,FALSE,"REK";#N/A,#N/A,FALSE,"rab"}</definedName>
    <definedName name="qegtqgt" localSheetId="24" hidden="1">{#N/A,#N/A,FALSE,"REK";#N/A,#N/A,FALSE,"rab"}</definedName>
    <definedName name="qegtqgt" localSheetId="32" hidden="1">{#N/A,#N/A,FALSE,"REK";#N/A,#N/A,FALSE,"rab"}</definedName>
    <definedName name="qegtqgt" localSheetId="27" hidden="1">{#N/A,#N/A,FALSE,"REK";#N/A,#N/A,FALSE,"rab"}</definedName>
    <definedName name="qegtqgt" localSheetId="28" hidden="1">{#N/A,#N/A,FALSE,"REK";#N/A,#N/A,FALSE,"rab"}</definedName>
    <definedName name="qegtqgt" localSheetId="29" hidden="1">{#N/A,#N/A,FALSE,"REK";#N/A,#N/A,FALSE,"rab"}</definedName>
    <definedName name="qegtqgt" localSheetId="31" hidden="1">{#N/A,#N/A,FALSE,"REK";#N/A,#N/A,FALSE,"rab"}</definedName>
    <definedName name="qegtqgt" localSheetId="30" hidden="1">{#N/A,#N/A,FALSE,"REK";#N/A,#N/A,FALSE,"rab"}</definedName>
    <definedName name="qegtqgt" localSheetId="17" hidden="1">{#N/A,#N/A,FALSE,"REK";#N/A,#N/A,FALSE,"rab"}</definedName>
    <definedName name="qegtqgt" localSheetId="18" hidden="1">{#N/A,#N/A,FALSE,"REK";#N/A,#N/A,FALSE,"rab"}</definedName>
    <definedName name="qegtqgt" hidden="1">{#N/A,#N/A,FALSE,"REK";#N/A,#N/A,FALSE,"rab"}</definedName>
    <definedName name="QEWYTGq" localSheetId="20" hidden="1">{#N/A,#N/A,FALSE,"REK";#N/A,#N/A,FALSE,"rab"}</definedName>
    <definedName name="QEWYTGq" localSheetId="19" hidden="1">{#N/A,#N/A,FALSE,"REK";#N/A,#N/A,FALSE,"rab"}</definedName>
    <definedName name="QEWYTGq" localSheetId="26" hidden="1">{#N/A,#N/A,FALSE,"REK";#N/A,#N/A,FALSE,"rab"}</definedName>
    <definedName name="QEWYTGq" localSheetId="24" hidden="1">{#N/A,#N/A,FALSE,"REK";#N/A,#N/A,FALSE,"rab"}</definedName>
    <definedName name="QEWYTGq" localSheetId="32" hidden="1">{#N/A,#N/A,FALSE,"REK";#N/A,#N/A,FALSE,"rab"}</definedName>
    <definedName name="QEWYTGq" localSheetId="27" hidden="1">{#N/A,#N/A,FALSE,"REK";#N/A,#N/A,FALSE,"rab"}</definedName>
    <definedName name="QEWYTGq" localSheetId="28" hidden="1">{#N/A,#N/A,FALSE,"REK";#N/A,#N/A,FALSE,"rab"}</definedName>
    <definedName name="QEWYTGq" localSheetId="29" hidden="1">{#N/A,#N/A,FALSE,"REK";#N/A,#N/A,FALSE,"rab"}</definedName>
    <definedName name="QEWYTGq" localSheetId="31" hidden="1">{#N/A,#N/A,FALSE,"REK";#N/A,#N/A,FALSE,"rab"}</definedName>
    <definedName name="QEWYTGq" localSheetId="30" hidden="1">{#N/A,#N/A,FALSE,"REK";#N/A,#N/A,FALSE,"rab"}</definedName>
    <definedName name="QEWYTGq" localSheetId="17" hidden="1">{#N/A,#N/A,FALSE,"REK";#N/A,#N/A,FALSE,"rab"}</definedName>
    <definedName name="QEWYTGq" localSheetId="18" hidden="1">{#N/A,#N/A,FALSE,"REK";#N/A,#N/A,FALSE,"rab"}</definedName>
    <definedName name="QEWYTGq" hidden="1">{#N/A,#N/A,FALSE,"REK";#N/A,#N/A,FALSE,"rab"}</definedName>
    <definedName name="qne" localSheetId="32" hidden="1">#REF!</definedName>
    <definedName name="qne" localSheetId="27" hidden="1">#REF!</definedName>
    <definedName name="qne" localSheetId="18" hidden="1">#REF!</definedName>
    <definedName name="qne" hidden="1">#REF!</definedName>
    <definedName name="QP" localSheetId="20" hidden="1">{#N/A,#N/A,FALSE,"CCTV"}</definedName>
    <definedName name="QP" localSheetId="19" hidden="1">{#N/A,#N/A,FALSE,"CCTV"}</definedName>
    <definedName name="QP" localSheetId="26" hidden="1">{#N/A,#N/A,FALSE,"CCTV"}</definedName>
    <definedName name="QP" localSheetId="24" hidden="1">{#N/A,#N/A,FALSE,"CCTV"}</definedName>
    <definedName name="QP" localSheetId="32" hidden="1">{#N/A,#N/A,FALSE,"CCTV"}</definedName>
    <definedName name="QP" localSheetId="27" hidden="1">{#N/A,#N/A,FALSE,"CCTV"}</definedName>
    <definedName name="QP" localSheetId="28" hidden="1">{#N/A,#N/A,FALSE,"CCTV"}</definedName>
    <definedName name="QP" localSheetId="29" hidden="1">{#N/A,#N/A,FALSE,"CCTV"}</definedName>
    <definedName name="QP" localSheetId="31" hidden="1">{#N/A,#N/A,FALSE,"CCTV"}</definedName>
    <definedName name="QP" localSheetId="30" hidden="1">{#N/A,#N/A,FALSE,"CCTV"}</definedName>
    <definedName name="QP" localSheetId="17" hidden="1">{#N/A,#N/A,FALSE,"CCTV"}</definedName>
    <definedName name="QP" localSheetId="18" hidden="1">{#N/A,#N/A,FALSE,"CCTV"}</definedName>
    <definedName name="QP" hidden="1">{#N/A,#N/A,FALSE,"CCTV"}</definedName>
    <definedName name="qqq" localSheetId="27" hidden="1">#REF!</definedName>
    <definedName name="qqqq" localSheetId="27" hidden="1">#REF!</definedName>
    <definedName name="qqqq" localSheetId="42" hidden="1">#REF!</definedName>
    <definedName name="qqqq" hidden="1">#REF!</definedName>
    <definedName name="QQQQQQQQ" localSheetId="2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QQQQQQ" localSheetId="1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QQQQQQ" localSheetId="2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QQQQQQ" localSheetId="2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QQQQQQ" localSheetId="3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QQQQQQ" localSheetId="2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QQQQQQ" localSheetId="2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QQQQQQ" localSheetId="2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QQQQQQ" localSheetId="3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QQQQQQ" localSheetId="3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QQQQQQ" localSheetId="1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QQQQQQ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QQQQQQ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RN" localSheetId="20" hidden="1">{#N/A,#N/A,FALSE,"CCTV"}</definedName>
    <definedName name="QRN" localSheetId="19" hidden="1">{#N/A,#N/A,FALSE,"CCTV"}</definedName>
    <definedName name="QRN" localSheetId="26" hidden="1">{#N/A,#N/A,FALSE,"CCTV"}</definedName>
    <definedName name="QRN" localSheetId="24" hidden="1">{#N/A,#N/A,FALSE,"CCTV"}</definedName>
    <definedName name="QRN" localSheetId="32" hidden="1">{#N/A,#N/A,FALSE,"CCTV"}</definedName>
    <definedName name="QRN" localSheetId="27" hidden="1">{#N/A,#N/A,FALSE,"CCTV"}</definedName>
    <definedName name="QRN" localSheetId="28" hidden="1">{#N/A,#N/A,FALSE,"CCTV"}</definedName>
    <definedName name="QRN" localSheetId="29" hidden="1">{#N/A,#N/A,FALSE,"CCTV"}</definedName>
    <definedName name="QRN" localSheetId="31" hidden="1">{#N/A,#N/A,FALSE,"CCTV"}</definedName>
    <definedName name="QRN" localSheetId="30" hidden="1">{#N/A,#N/A,FALSE,"CCTV"}</definedName>
    <definedName name="QRN" localSheetId="17" hidden="1">{#N/A,#N/A,FALSE,"CCTV"}</definedName>
    <definedName name="QRN" localSheetId="18" hidden="1">{#N/A,#N/A,FALSE,"CCTV"}</definedName>
    <definedName name="QRN" hidden="1">{#N/A,#N/A,FALSE,"CCTV"}</definedName>
    <definedName name="QRY.3" localSheetId="20" hidden="1">#REF!</definedName>
    <definedName name="QRY.3" localSheetId="27" hidden="1">#REF!</definedName>
    <definedName name="QRY.3" localSheetId="28" hidden="1">#REF!</definedName>
    <definedName name="QRY.3" localSheetId="17" hidden="1">#REF!</definedName>
    <definedName name="QRY.3" localSheetId="18" hidden="1">#REF!</definedName>
    <definedName name="QRY.3" hidden="1">#REF!</definedName>
    <definedName name="Qtegt" localSheetId="20" hidden="1">{#N/A,#N/A,FALSE,"REK";#N/A,#N/A,FALSE,"rab"}</definedName>
    <definedName name="Qtegt" localSheetId="19" hidden="1">{#N/A,#N/A,FALSE,"REK";#N/A,#N/A,FALSE,"rab"}</definedName>
    <definedName name="Qtegt" localSheetId="26" hidden="1">{#N/A,#N/A,FALSE,"REK";#N/A,#N/A,FALSE,"rab"}</definedName>
    <definedName name="Qtegt" localSheetId="24" hidden="1">{#N/A,#N/A,FALSE,"REK";#N/A,#N/A,FALSE,"rab"}</definedName>
    <definedName name="Qtegt" localSheetId="32" hidden="1">{#N/A,#N/A,FALSE,"REK";#N/A,#N/A,FALSE,"rab"}</definedName>
    <definedName name="Qtegt" localSheetId="27" hidden="1">{#N/A,#N/A,FALSE,"REK";#N/A,#N/A,FALSE,"rab"}</definedName>
    <definedName name="Qtegt" localSheetId="28" hidden="1">{#N/A,#N/A,FALSE,"REK";#N/A,#N/A,FALSE,"rab"}</definedName>
    <definedName name="Qtegt" localSheetId="29" hidden="1">{#N/A,#N/A,FALSE,"REK";#N/A,#N/A,FALSE,"rab"}</definedName>
    <definedName name="Qtegt" localSheetId="31" hidden="1">{#N/A,#N/A,FALSE,"REK";#N/A,#N/A,FALSE,"rab"}</definedName>
    <definedName name="Qtegt" localSheetId="30" hidden="1">{#N/A,#N/A,FALSE,"REK";#N/A,#N/A,FALSE,"rab"}</definedName>
    <definedName name="Qtegt" localSheetId="17" hidden="1">{#N/A,#N/A,FALSE,"REK";#N/A,#N/A,FALSE,"rab"}</definedName>
    <definedName name="Qtegt" localSheetId="18" hidden="1">{#N/A,#N/A,FALSE,"REK";#N/A,#N/A,FALSE,"rab"}</definedName>
    <definedName name="Qtegt" hidden="1">{#N/A,#N/A,FALSE,"REK";#N/A,#N/A,FALSE,"rab"}</definedName>
    <definedName name="qu" localSheetId="20" hidden="1">{"Offgrid",#N/A,FALSE,"OFFGRID";"Region",#N/A,FALSE,"REGION";"Offgrid -2",#N/A,FALSE,"OFFGRID";"WTP",#N/A,FALSE,"WTP";"WTP -2",#N/A,FALSE,"WTP";"Project",#N/A,FALSE,"PROJECT";"Summary -2",#N/A,FALSE,"SUMMARY"}</definedName>
    <definedName name="qu" localSheetId="19" hidden="1">{"Offgrid",#N/A,FALSE,"OFFGRID";"Region",#N/A,FALSE,"REGION";"Offgrid -2",#N/A,FALSE,"OFFGRID";"WTP",#N/A,FALSE,"WTP";"WTP -2",#N/A,FALSE,"WTP";"Project",#N/A,FALSE,"PROJECT";"Summary -2",#N/A,FALSE,"SUMMARY"}</definedName>
    <definedName name="qu" localSheetId="26" hidden="1">{"Offgrid",#N/A,FALSE,"OFFGRID";"Region",#N/A,FALSE,"REGION";"Offgrid -2",#N/A,FALSE,"OFFGRID";"WTP",#N/A,FALSE,"WTP";"WTP -2",#N/A,FALSE,"WTP";"Project",#N/A,FALSE,"PROJECT";"Summary -2",#N/A,FALSE,"SUMMARY"}</definedName>
    <definedName name="qu" localSheetId="24" hidden="1">{"Offgrid",#N/A,FALSE,"OFFGRID";"Region",#N/A,FALSE,"REGION";"Offgrid -2",#N/A,FALSE,"OFFGRID";"WTP",#N/A,FALSE,"WTP";"WTP -2",#N/A,FALSE,"WTP";"Project",#N/A,FALSE,"PROJECT";"Summary -2",#N/A,FALSE,"SUMMARY"}</definedName>
    <definedName name="qu" localSheetId="32" hidden="1">{"Offgrid",#N/A,FALSE,"OFFGRID";"Region",#N/A,FALSE,"REGION";"Offgrid -2",#N/A,FALSE,"OFFGRID";"WTP",#N/A,FALSE,"WTP";"WTP -2",#N/A,FALSE,"WTP";"Project",#N/A,FALSE,"PROJECT";"Summary -2",#N/A,FALSE,"SUMMARY"}</definedName>
    <definedName name="qu" localSheetId="27" hidden="1">{"Offgrid",#N/A,FALSE,"OFFGRID";"Region",#N/A,FALSE,"REGION";"Offgrid -2",#N/A,FALSE,"OFFGRID";"WTP",#N/A,FALSE,"WTP";"WTP -2",#N/A,FALSE,"WTP";"Project",#N/A,FALSE,"PROJECT";"Summary -2",#N/A,FALSE,"SUMMARY"}</definedName>
    <definedName name="qu" localSheetId="28" hidden="1">{"Offgrid",#N/A,FALSE,"OFFGRID";"Region",#N/A,FALSE,"REGION";"Offgrid -2",#N/A,FALSE,"OFFGRID";"WTP",#N/A,FALSE,"WTP";"WTP -2",#N/A,FALSE,"WTP";"Project",#N/A,FALSE,"PROJECT";"Summary -2",#N/A,FALSE,"SUMMARY"}</definedName>
    <definedName name="qu" localSheetId="29" hidden="1">{"Offgrid",#N/A,FALSE,"OFFGRID";"Region",#N/A,FALSE,"REGION";"Offgrid -2",#N/A,FALSE,"OFFGRID";"WTP",#N/A,FALSE,"WTP";"WTP -2",#N/A,FALSE,"WTP";"Project",#N/A,FALSE,"PROJECT";"Summary -2",#N/A,FALSE,"SUMMARY"}</definedName>
    <definedName name="qu" localSheetId="31" hidden="1">{"Offgrid",#N/A,FALSE,"OFFGRID";"Region",#N/A,FALSE,"REGION";"Offgrid -2",#N/A,FALSE,"OFFGRID";"WTP",#N/A,FALSE,"WTP";"WTP -2",#N/A,FALSE,"WTP";"Project",#N/A,FALSE,"PROJECT";"Summary -2",#N/A,FALSE,"SUMMARY"}</definedName>
    <definedName name="qu" localSheetId="30" hidden="1">{"Offgrid",#N/A,FALSE,"OFFGRID";"Region",#N/A,FALSE,"REGION";"Offgrid -2",#N/A,FALSE,"OFFGRID";"WTP",#N/A,FALSE,"WTP";"WTP -2",#N/A,FALSE,"WTP";"Project",#N/A,FALSE,"PROJECT";"Summary -2",#N/A,FALSE,"SUMMARY"}</definedName>
    <definedName name="qu" localSheetId="17" hidden="1">{"Offgrid",#N/A,FALSE,"OFFGRID";"Region",#N/A,FALSE,"REGION";"Offgrid -2",#N/A,FALSE,"OFFGRID";"WTP",#N/A,FALSE,"WTP";"WTP -2",#N/A,FALSE,"WTP";"Project",#N/A,FALSE,"PROJECT";"Summary -2",#N/A,FALSE,"SUMMARY"}</definedName>
    <definedName name="qu" localSheetId="18" hidden="1">{"Offgrid",#N/A,FALSE,"OFFGRID";"Region",#N/A,FALSE,"REGION";"Offgrid -2",#N/A,FALSE,"OFFGRID";"WTP",#N/A,FALSE,"WTP";"WTP -2",#N/A,FALSE,"WTP";"Project",#N/A,FALSE,"PROJECT";"Summary -2",#N/A,FALSE,"SUMMARY"}</definedName>
    <definedName name="qu" hidden="1">{"Offgrid",#N/A,FALSE,"OFFGRID";"Region",#N/A,FALSE,"REGION";"Offgrid -2",#N/A,FALSE,"OFFGRID";"WTP",#N/A,FALSE,"WTP";"WTP -2",#N/A,FALSE,"WTP";"Project",#N/A,FALSE,"PROJECT";"Summary -2",#N/A,FALSE,"SUMMARY"}</definedName>
    <definedName name="QW" localSheetId="32" hidden="1">#REF!</definedName>
    <definedName name="QW" localSheetId="27" hidden="1">#REF!</definedName>
    <definedName name="QW" localSheetId="18" hidden="1">#REF!</definedName>
    <definedName name="QW" hidden="1">#REF!</definedName>
    <definedName name="qwe" localSheetId="20" hidden="1">{#N/A,#N/A,FALSE,"REK-S-TPL";#N/A,#N/A,FALSE,"REK-TPML";#N/A,#N/A,FALSE,"RAB-TEMPEL"}</definedName>
    <definedName name="qwe" localSheetId="19" hidden="1">{#N/A,#N/A,FALSE,"REK-S-TPL";#N/A,#N/A,FALSE,"REK-TPML";#N/A,#N/A,FALSE,"RAB-TEMPEL"}</definedName>
    <definedName name="qwe" localSheetId="26" hidden="1">{#N/A,#N/A,FALSE,"REK-S-TPL";#N/A,#N/A,FALSE,"REK-TPML";#N/A,#N/A,FALSE,"RAB-TEMPEL"}</definedName>
    <definedName name="qwe" localSheetId="23" hidden="1">{#N/A,#N/A,FALSE,"REK-S-TPL";#N/A,#N/A,FALSE,"REK-TPML";#N/A,#N/A,FALSE,"RAB-TEMPEL"}</definedName>
    <definedName name="qwe" localSheetId="24" hidden="1">{#N/A,#N/A,FALSE,"REK-S-TPL";#N/A,#N/A,FALSE,"REK-TPML";#N/A,#N/A,FALSE,"RAB-TEMPEL"}</definedName>
    <definedName name="qwe" localSheetId="32" hidden="1">{#N/A,#N/A,FALSE,"REK-S-TPL";#N/A,#N/A,FALSE,"REK-TPML";#N/A,#N/A,FALSE,"RAB-TEMPEL"}</definedName>
    <definedName name="qwe" localSheetId="27" hidden="1">{#N/A,#N/A,FALSE,"REK-S-TPL";#N/A,#N/A,FALSE,"REK-TPML";#N/A,#N/A,FALSE,"RAB-TEMPEL"}</definedName>
    <definedName name="qwe" localSheetId="28" hidden="1">{#N/A,#N/A,FALSE,"REK-S-TPL";#N/A,#N/A,FALSE,"REK-TPML";#N/A,#N/A,FALSE,"RAB-TEMPEL"}</definedName>
    <definedName name="qwe" localSheetId="29" hidden="1">{#N/A,#N/A,FALSE,"REK-S-TPL";#N/A,#N/A,FALSE,"REK-TPML";#N/A,#N/A,FALSE,"RAB-TEMPEL"}</definedName>
    <definedName name="qwe" localSheetId="31" hidden="1">{#N/A,#N/A,FALSE,"REK-S-TPL";#N/A,#N/A,FALSE,"REK-TPML";#N/A,#N/A,FALSE,"RAB-TEMPEL"}</definedName>
    <definedName name="qwe" localSheetId="30" hidden="1">{#N/A,#N/A,FALSE,"REK-S-TPL";#N/A,#N/A,FALSE,"REK-TPML";#N/A,#N/A,FALSE,"RAB-TEMPEL"}</definedName>
    <definedName name="qwe" localSheetId="13" hidden="1">{#N/A,#N/A,FALSE,"REK-S-TPL";#N/A,#N/A,FALSE,"REK-TPML";#N/A,#N/A,FALSE,"RAB-TEMPEL"}</definedName>
    <definedName name="qwe" localSheetId="17" hidden="1">{#N/A,#N/A,FALSE,"REK-S-TPL";#N/A,#N/A,FALSE,"REK-TPML";#N/A,#N/A,FALSE,"RAB-TEMPEL"}</definedName>
    <definedName name="qwe" localSheetId="18" hidden="1">{#N/A,#N/A,FALSE,"REK-S-TPL";#N/A,#N/A,FALSE,"REK-TPML";#N/A,#N/A,FALSE,"RAB-TEMPEL"}</definedName>
    <definedName name="qwe" localSheetId="22" hidden="1">{#N/A,#N/A,FALSE,"REK-S-TPL";#N/A,#N/A,FALSE,"REK-TPML";#N/A,#N/A,FALSE,"RAB-TEMPEL"}</definedName>
    <definedName name="qwe" localSheetId="40" hidden="1">{#N/A,#N/A,FALSE,"REK-S-TPL";#N/A,#N/A,FALSE,"REK-TPML";#N/A,#N/A,FALSE,"RAB-TEMPEL"}</definedName>
    <definedName name="qwe" localSheetId="41" hidden="1">{#N/A,#N/A,FALSE,"REK-S-TPL";#N/A,#N/A,FALSE,"REK-TPML";#N/A,#N/A,FALSE,"RAB-TEMPEL"}</definedName>
    <definedName name="qwe" localSheetId="42" hidden="1">{#N/A,#N/A,FALSE,"REK-S-TPL";#N/A,#N/A,FALSE,"REK-TPML";#N/A,#N/A,FALSE,"RAB-TEMPEL"}</definedName>
    <definedName name="qwe" localSheetId="35" hidden="1">{#N/A,#N/A,FALSE,"REK-S-TPL";#N/A,#N/A,FALSE,"REK-TPML";#N/A,#N/A,FALSE,"RAB-TEMPEL"}</definedName>
    <definedName name="qwe" localSheetId="38" hidden="1">{#N/A,#N/A,FALSE,"REK-S-TPL";#N/A,#N/A,FALSE,"REK-TPML";#N/A,#N/A,FALSE,"RAB-TEMPEL"}</definedName>
    <definedName name="qwe" hidden="1">{#N/A,#N/A,FALSE,"REK-S-TPL";#N/A,#N/A,FALSE,"REK-TPML";#N/A,#N/A,FALSE,"RAB-TEMPEL"}</definedName>
    <definedName name="qwegtqwegt" localSheetId="20" hidden="1">{#N/A,#N/A,FALSE,"REK";#N/A,#N/A,FALSE,"rab"}</definedName>
    <definedName name="qwegtqwegt" localSheetId="19" hidden="1">{#N/A,#N/A,FALSE,"REK";#N/A,#N/A,FALSE,"rab"}</definedName>
    <definedName name="qwegtqwegt" localSheetId="26" hidden="1">{#N/A,#N/A,FALSE,"REK";#N/A,#N/A,FALSE,"rab"}</definedName>
    <definedName name="qwegtqwegt" localSheetId="24" hidden="1">{#N/A,#N/A,FALSE,"REK";#N/A,#N/A,FALSE,"rab"}</definedName>
    <definedName name="qwegtqwegt" localSheetId="32" hidden="1">{#N/A,#N/A,FALSE,"REK";#N/A,#N/A,FALSE,"rab"}</definedName>
    <definedName name="qwegtqwegt" localSheetId="27" hidden="1">{#N/A,#N/A,FALSE,"REK";#N/A,#N/A,FALSE,"rab"}</definedName>
    <definedName name="qwegtqwegt" localSheetId="28" hidden="1">{#N/A,#N/A,FALSE,"REK";#N/A,#N/A,FALSE,"rab"}</definedName>
    <definedName name="qwegtqwegt" localSheetId="29" hidden="1">{#N/A,#N/A,FALSE,"REK";#N/A,#N/A,FALSE,"rab"}</definedName>
    <definedName name="qwegtqwegt" localSheetId="31" hidden="1">{#N/A,#N/A,FALSE,"REK";#N/A,#N/A,FALSE,"rab"}</definedName>
    <definedName name="qwegtqwegt" localSheetId="30" hidden="1">{#N/A,#N/A,FALSE,"REK";#N/A,#N/A,FALSE,"rab"}</definedName>
    <definedName name="qwegtqwegt" localSheetId="17" hidden="1">{#N/A,#N/A,FALSE,"REK";#N/A,#N/A,FALSE,"rab"}</definedName>
    <definedName name="qwegtqwegt" localSheetId="18" hidden="1">{#N/A,#N/A,FALSE,"REK";#N/A,#N/A,FALSE,"rab"}</definedName>
    <definedName name="qwegtqwegt" hidden="1">{#N/A,#N/A,FALSE,"REK";#N/A,#N/A,FALSE,"rab"}</definedName>
    <definedName name="QWERQWE" localSheetId="2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1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2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2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3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2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3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3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1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2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4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4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4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3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3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SADR" localSheetId="32" hidden="1">#REF!</definedName>
    <definedName name="QWESADR" localSheetId="27" hidden="1">#REF!</definedName>
    <definedName name="QWESADR" localSheetId="18" hidden="1">#REF!</definedName>
    <definedName name="QWESADR" hidden="1">#REF!</definedName>
    <definedName name="QWT" localSheetId="20" hidden="1">{#N/A,#N/A,FALSE,"REK";#N/A,#N/A,FALSE,"rab"}</definedName>
    <definedName name="QWT" localSheetId="19" hidden="1">{#N/A,#N/A,FALSE,"REK";#N/A,#N/A,FALSE,"rab"}</definedName>
    <definedName name="QWT" localSheetId="26" hidden="1">{#N/A,#N/A,FALSE,"REK";#N/A,#N/A,FALSE,"rab"}</definedName>
    <definedName name="QWT" localSheetId="24" hidden="1">{#N/A,#N/A,FALSE,"REK";#N/A,#N/A,FALSE,"rab"}</definedName>
    <definedName name="QWT" localSheetId="32" hidden="1">{#N/A,#N/A,FALSE,"REK";#N/A,#N/A,FALSE,"rab"}</definedName>
    <definedName name="QWT" localSheetId="27" hidden="1">{#N/A,#N/A,FALSE,"REK";#N/A,#N/A,FALSE,"rab"}</definedName>
    <definedName name="QWT" localSheetId="28" hidden="1">{#N/A,#N/A,FALSE,"REK";#N/A,#N/A,FALSE,"rab"}</definedName>
    <definedName name="QWT" localSheetId="29" hidden="1">{#N/A,#N/A,FALSE,"REK";#N/A,#N/A,FALSE,"rab"}</definedName>
    <definedName name="QWT" localSheetId="31" hidden="1">{#N/A,#N/A,FALSE,"REK";#N/A,#N/A,FALSE,"rab"}</definedName>
    <definedName name="QWT" localSheetId="30" hidden="1">{#N/A,#N/A,FALSE,"REK";#N/A,#N/A,FALSE,"rab"}</definedName>
    <definedName name="QWT" localSheetId="17" hidden="1">{#N/A,#N/A,FALSE,"REK";#N/A,#N/A,FALSE,"rab"}</definedName>
    <definedName name="QWT" localSheetId="18" hidden="1">{#N/A,#N/A,FALSE,"REK";#N/A,#N/A,FALSE,"rab"}</definedName>
    <definedName name="QWT" hidden="1">{#N/A,#N/A,FALSE,"REK";#N/A,#N/A,FALSE,"rab"}</definedName>
    <definedName name="QWYGH" localSheetId="20" hidden="1">{#N/A,#N/A,FALSE,"REK-S-TPL";#N/A,#N/A,FALSE,"REK-TPML";#N/A,#N/A,FALSE,"RAB-TEMPEL"}</definedName>
    <definedName name="QWYGH" localSheetId="19" hidden="1">{#N/A,#N/A,FALSE,"REK-S-TPL";#N/A,#N/A,FALSE,"REK-TPML";#N/A,#N/A,FALSE,"RAB-TEMPEL"}</definedName>
    <definedName name="QWYGH" localSheetId="26" hidden="1">{#N/A,#N/A,FALSE,"REK-S-TPL";#N/A,#N/A,FALSE,"REK-TPML";#N/A,#N/A,FALSE,"RAB-TEMPEL"}</definedName>
    <definedName name="QWYGH" localSheetId="24" hidden="1">{#N/A,#N/A,FALSE,"REK-S-TPL";#N/A,#N/A,FALSE,"REK-TPML";#N/A,#N/A,FALSE,"RAB-TEMPEL"}</definedName>
    <definedName name="QWYGH" localSheetId="32" hidden="1">{#N/A,#N/A,FALSE,"REK-S-TPL";#N/A,#N/A,FALSE,"REK-TPML";#N/A,#N/A,FALSE,"RAB-TEMPEL"}</definedName>
    <definedName name="QWYGH" localSheetId="27" hidden="1">{#N/A,#N/A,FALSE,"REK-S-TPL";#N/A,#N/A,FALSE,"REK-TPML";#N/A,#N/A,FALSE,"RAB-TEMPEL"}</definedName>
    <definedName name="QWYGH" localSheetId="28" hidden="1">{#N/A,#N/A,FALSE,"REK-S-TPL";#N/A,#N/A,FALSE,"REK-TPML";#N/A,#N/A,FALSE,"RAB-TEMPEL"}</definedName>
    <definedName name="QWYGH" localSheetId="29" hidden="1">{#N/A,#N/A,FALSE,"REK-S-TPL";#N/A,#N/A,FALSE,"REK-TPML";#N/A,#N/A,FALSE,"RAB-TEMPEL"}</definedName>
    <definedName name="QWYGH" localSheetId="31" hidden="1">{#N/A,#N/A,FALSE,"REK-S-TPL";#N/A,#N/A,FALSE,"REK-TPML";#N/A,#N/A,FALSE,"RAB-TEMPEL"}</definedName>
    <definedName name="QWYGH" localSheetId="30" hidden="1">{#N/A,#N/A,FALSE,"REK-S-TPL";#N/A,#N/A,FALSE,"REK-TPML";#N/A,#N/A,FALSE,"RAB-TEMPEL"}</definedName>
    <definedName name="QWYGH" localSheetId="17" hidden="1">{#N/A,#N/A,FALSE,"REK-S-TPL";#N/A,#N/A,FALSE,"REK-TPML";#N/A,#N/A,FALSE,"RAB-TEMPEL"}</definedName>
    <definedName name="QWYGH" localSheetId="18" hidden="1">{#N/A,#N/A,FALSE,"REK-S-TPL";#N/A,#N/A,FALSE,"REK-TPML";#N/A,#N/A,FALSE,"RAB-TEMPEL"}</definedName>
    <definedName name="QWYGH" hidden="1">{#N/A,#N/A,FALSE,"REK-S-TPL";#N/A,#N/A,FALSE,"REK-TPML";#N/A,#N/A,FALSE,"RAB-TEMPEL"}</definedName>
    <definedName name="rachman" localSheetId="20" hidden="1">{"'1996'!$A$1:$J$272"}</definedName>
    <definedName name="rachman" localSheetId="19" hidden="1">{"'1996'!$A$1:$J$272"}</definedName>
    <definedName name="rachman" localSheetId="26" hidden="1">{"'1996'!$A$1:$J$272"}</definedName>
    <definedName name="rachman" localSheetId="24" hidden="1">{"'1996'!$A$1:$J$272"}</definedName>
    <definedName name="rachman" localSheetId="32" hidden="1">{"'1996'!$A$1:$J$272"}</definedName>
    <definedName name="rachman" localSheetId="27" hidden="1">{"'1996'!$A$1:$J$272"}</definedName>
    <definedName name="rachman" localSheetId="28" hidden="1">{"'1996'!$A$1:$J$272"}</definedName>
    <definedName name="rachman" localSheetId="29" hidden="1">{"'1996'!$A$1:$J$272"}</definedName>
    <definedName name="rachman" localSheetId="31" hidden="1">{"'1996'!$A$1:$J$272"}</definedName>
    <definedName name="rachman" localSheetId="30" hidden="1">{"'1996'!$A$1:$J$272"}</definedName>
    <definedName name="rachman" localSheetId="17" hidden="1">{"'1996'!$A$1:$J$272"}</definedName>
    <definedName name="rachman" localSheetId="18" hidden="1">{"'1996'!$A$1:$J$272"}</definedName>
    <definedName name="rachman" hidden="1">{"'1996'!$A$1:$J$272"}</definedName>
    <definedName name="rarewt" localSheetId="20" hidden="1">{#N/A,#N/A,FALSE,"CCTV"}</definedName>
    <definedName name="rarewt" localSheetId="19" hidden="1">{#N/A,#N/A,FALSE,"CCTV"}</definedName>
    <definedName name="rarewt" localSheetId="26" hidden="1">{#N/A,#N/A,FALSE,"CCTV"}</definedName>
    <definedName name="rarewt" localSheetId="24" hidden="1">{#N/A,#N/A,FALSE,"CCTV"}</definedName>
    <definedName name="rarewt" localSheetId="32" hidden="1">{#N/A,#N/A,FALSE,"CCTV"}</definedName>
    <definedName name="rarewt" localSheetId="27" hidden="1">{#N/A,#N/A,FALSE,"CCTV"}</definedName>
    <definedName name="rarewt" localSheetId="28" hidden="1">{#N/A,#N/A,FALSE,"CCTV"}</definedName>
    <definedName name="rarewt" localSheetId="29" hidden="1">{#N/A,#N/A,FALSE,"CCTV"}</definedName>
    <definedName name="rarewt" localSheetId="31" hidden="1">{#N/A,#N/A,FALSE,"CCTV"}</definedName>
    <definedName name="rarewt" localSheetId="30" hidden="1">{#N/A,#N/A,FALSE,"CCTV"}</definedName>
    <definedName name="rarewt" localSheetId="17" hidden="1">{#N/A,#N/A,FALSE,"CCTV"}</definedName>
    <definedName name="rarewt" localSheetId="18" hidden="1">{#N/A,#N/A,FALSE,"CCTV"}</definedName>
    <definedName name="rarewt" hidden="1">{#N/A,#N/A,FALSE,"CCTV"}</definedName>
    <definedName name="RCArea" localSheetId="32" hidden="1">#REF!</definedName>
    <definedName name="RCArea" localSheetId="41" hidden="1">#REF!</definedName>
    <definedName name="RCArea" localSheetId="42" hidden="1">#REF!</definedName>
    <definedName name="RCArea" hidden="1">#REF!</definedName>
    <definedName name="RDES" localSheetId="20" hidden="1">{"'Sheet1'!$A$1"}</definedName>
    <definedName name="RDES" localSheetId="19" hidden="1">{"'Sheet1'!$A$1"}</definedName>
    <definedName name="RDES" localSheetId="26" hidden="1">{"'Sheet1'!$A$1"}</definedName>
    <definedName name="RDES" localSheetId="24" hidden="1">{"'Sheet1'!$A$1"}</definedName>
    <definedName name="RDES" localSheetId="32" hidden="1">{"'Sheet1'!$A$1"}</definedName>
    <definedName name="RDES" localSheetId="27" hidden="1">{"'Sheet1'!$A$1"}</definedName>
    <definedName name="RDES" localSheetId="28" hidden="1">{"'Sheet1'!$A$1"}</definedName>
    <definedName name="RDES" localSheetId="29" hidden="1">{"'Sheet1'!$A$1"}</definedName>
    <definedName name="RDES" localSheetId="31" hidden="1">{"'Sheet1'!$A$1"}</definedName>
    <definedName name="RDES" localSheetId="30" hidden="1">{"'Sheet1'!$A$1"}</definedName>
    <definedName name="RDES" localSheetId="17" hidden="1">{"'Sheet1'!$A$1"}</definedName>
    <definedName name="RDES" localSheetId="18" hidden="1">{"'Sheet1'!$A$1"}</definedName>
    <definedName name="RDES" hidden="1">{"'Sheet1'!$A$1"}</definedName>
    <definedName name="RDF" localSheetId="20" hidden="1">{"'Sheet1'!$A$1"}</definedName>
    <definedName name="RDF" localSheetId="19" hidden="1">{"'Sheet1'!$A$1"}</definedName>
    <definedName name="RDF" localSheetId="26" hidden="1">{"'Sheet1'!$A$1"}</definedName>
    <definedName name="RDF" localSheetId="24" hidden="1">{"'Sheet1'!$A$1"}</definedName>
    <definedName name="RDF" localSheetId="32" hidden="1">{"'Sheet1'!$A$1"}</definedName>
    <definedName name="RDF" localSheetId="27" hidden="1">{"'Sheet1'!$A$1"}</definedName>
    <definedName name="RDF" localSheetId="28" hidden="1">{"'Sheet1'!$A$1"}</definedName>
    <definedName name="RDF" localSheetId="29" hidden="1">{"'Sheet1'!$A$1"}</definedName>
    <definedName name="RDF" localSheetId="31" hidden="1">{"'Sheet1'!$A$1"}</definedName>
    <definedName name="RDF" localSheetId="30" hidden="1">{"'Sheet1'!$A$1"}</definedName>
    <definedName name="RDF" localSheetId="17" hidden="1">{"'Sheet1'!$A$1"}</definedName>
    <definedName name="RDF" localSheetId="18" hidden="1">{"'Sheet1'!$A$1"}</definedName>
    <definedName name="RDF" hidden="1">{"'Sheet1'!$A$1"}</definedName>
    <definedName name="rdsh" localSheetId="20" hidden="1">{#N/A,#N/A,FALSE,"REK";#N/A,#N/A,FALSE,"rab"}</definedName>
    <definedName name="rdsh" localSheetId="19" hidden="1">{#N/A,#N/A,FALSE,"REK";#N/A,#N/A,FALSE,"rab"}</definedName>
    <definedName name="rdsh" localSheetId="26" hidden="1">{#N/A,#N/A,FALSE,"REK";#N/A,#N/A,FALSE,"rab"}</definedName>
    <definedName name="rdsh" localSheetId="24" hidden="1">{#N/A,#N/A,FALSE,"REK";#N/A,#N/A,FALSE,"rab"}</definedName>
    <definedName name="rdsh" localSheetId="32" hidden="1">{#N/A,#N/A,FALSE,"REK";#N/A,#N/A,FALSE,"rab"}</definedName>
    <definedName name="rdsh" localSheetId="27" hidden="1">{#N/A,#N/A,FALSE,"REK";#N/A,#N/A,FALSE,"rab"}</definedName>
    <definedName name="rdsh" localSheetId="28" hidden="1">{#N/A,#N/A,FALSE,"REK";#N/A,#N/A,FALSE,"rab"}</definedName>
    <definedName name="rdsh" localSheetId="29" hidden="1">{#N/A,#N/A,FALSE,"REK";#N/A,#N/A,FALSE,"rab"}</definedName>
    <definedName name="rdsh" localSheetId="31" hidden="1">{#N/A,#N/A,FALSE,"REK";#N/A,#N/A,FALSE,"rab"}</definedName>
    <definedName name="rdsh" localSheetId="30" hidden="1">{#N/A,#N/A,FALSE,"REK";#N/A,#N/A,FALSE,"rab"}</definedName>
    <definedName name="rdsh" localSheetId="17" hidden="1">{#N/A,#N/A,FALSE,"REK";#N/A,#N/A,FALSE,"rab"}</definedName>
    <definedName name="rdsh" localSheetId="18" hidden="1">{#N/A,#N/A,FALSE,"REK";#N/A,#N/A,FALSE,"rab"}</definedName>
    <definedName name="rdsh" hidden="1">{#N/A,#N/A,FALSE,"REK";#N/A,#N/A,FALSE,"rab"}</definedName>
    <definedName name="RE" localSheetId="20" hidden="1">#REF!</definedName>
    <definedName name="RE" localSheetId="19" hidden="1">#REF!</definedName>
    <definedName name="RE" localSheetId="32" hidden="1">#REF!</definedName>
    <definedName name="RE" localSheetId="27" hidden="1">#REF!</definedName>
    <definedName name="RE" localSheetId="28" hidden="1">#REF!</definedName>
    <definedName name="RE" localSheetId="31" hidden="1">#REF!</definedName>
    <definedName name="RE" localSheetId="30" hidden="1">#REF!</definedName>
    <definedName name="RE" localSheetId="17" hidden="1">#REF!</definedName>
    <definedName name="RE" localSheetId="18" hidden="1">#REF!</definedName>
    <definedName name="RE" hidden="1">#REF!</definedName>
    <definedName name="REATWYR" hidden="1">#REF!</definedName>
    <definedName name="recep" localSheetId="20" hidden="1">{#N/A,#N/A,FALSE,"CCTV"}</definedName>
    <definedName name="recep" localSheetId="19" hidden="1">{#N/A,#N/A,FALSE,"CCTV"}</definedName>
    <definedName name="recep" localSheetId="26" hidden="1">{#N/A,#N/A,FALSE,"CCTV"}</definedName>
    <definedName name="recep" localSheetId="24" hidden="1">{#N/A,#N/A,FALSE,"CCTV"}</definedName>
    <definedName name="recep" localSheetId="32" hidden="1">{#N/A,#N/A,FALSE,"CCTV"}</definedName>
    <definedName name="recep" localSheetId="27" hidden="1">{#N/A,#N/A,FALSE,"CCTV"}</definedName>
    <definedName name="recep" localSheetId="28" hidden="1">{#N/A,#N/A,FALSE,"CCTV"}</definedName>
    <definedName name="recep" localSheetId="29" hidden="1">{#N/A,#N/A,FALSE,"CCTV"}</definedName>
    <definedName name="recep" localSheetId="31" hidden="1">{#N/A,#N/A,FALSE,"CCTV"}</definedName>
    <definedName name="recep" localSheetId="30" hidden="1">{#N/A,#N/A,FALSE,"CCTV"}</definedName>
    <definedName name="recep" localSheetId="17" hidden="1">{#N/A,#N/A,FALSE,"CCTV"}</definedName>
    <definedName name="recep" localSheetId="18" hidden="1">{#N/A,#N/A,FALSE,"CCTV"}</definedName>
    <definedName name="recep" hidden="1">{#N/A,#N/A,FALSE,"CCTV"}</definedName>
    <definedName name="_xlnm.Recorder" localSheetId="32" hidden="1">#REF!</definedName>
    <definedName name="_xlnm.Recorder" localSheetId="27" hidden="1">#REF!</definedName>
    <definedName name="_xlnm.Recorder" localSheetId="18" hidden="1">#REF!</definedName>
    <definedName name="_xlnm.Recorder" hidden="1">#REF!</definedName>
    <definedName name="REFSR" localSheetId="20" hidden="1">{"'Sheet1'!$A$1"}</definedName>
    <definedName name="REFSR" localSheetId="19" hidden="1">{"'Sheet1'!$A$1"}</definedName>
    <definedName name="REFSR" localSheetId="26" hidden="1">{"'Sheet1'!$A$1"}</definedName>
    <definedName name="REFSR" localSheetId="24" hidden="1">{"'Sheet1'!$A$1"}</definedName>
    <definedName name="REFSR" localSheetId="32" hidden="1">{"'Sheet1'!$A$1"}</definedName>
    <definedName name="REFSR" localSheetId="27" hidden="1">{"'Sheet1'!$A$1"}</definedName>
    <definedName name="REFSR" localSheetId="28" hidden="1">{"'Sheet1'!$A$1"}</definedName>
    <definedName name="REFSR" localSheetId="29" hidden="1">{"'Sheet1'!$A$1"}</definedName>
    <definedName name="REFSR" localSheetId="31" hidden="1">{"'Sheet1'!$A$1"}</definedName>
    <definedName name="REFSR" localSheetId="30" hidden="1">{"'Sheet1'!$A$1"}</definedName>
    <definedName name="REFSR" localSheetId="17" hidden="1">{"'Sheet1'!$A$1"}</definedName>
    <definedName name="REFSR" localSheetId="18" hidden="1">{"'Sheet1'!$A$1"}</definedName>
    <definedName name="REFSR" hidden="1">{"'Sheet1'!$A$1"}</definedName>
    <definedName name="REGST" localSheetId="20" hidden="1">{"'Sheet1'!$A$1"}</definedName>
    <definedName name="REGST" localSheetId="19" hidden="1">{"'Sheet1'!$A$1"}</definedName>
    <definedName name="REGST" localSheetId="26" hidden="1">{"'Sheet1'!$A$1"}</definedName>
    <definedName name="REGST" localSheetId="24" hidden="1">{"'Sheet1'!$A$1"}</definedName>
    <definedName name="REGST" localSheetId="32" hidden="1">{"'Sheet1'!$A$1"}</definedName>
    <definedName name="REGST" localSheetId="27" hidden="1">{"'Sheet1'!$A$1"}</definedName>
    <definedName name="REGST" localSheetId="28" hidden="1">{"'Sheet1'!$A$1"}</definedName>
    <definedName name="REGST" localSheetId="29" hidden="1">{"'Sheet1'!$A$1"}</definedName>
    <definedName name="REGST" localSheetId="31" hidden="1">{"'Sheet1'!$A$1"}</definedName>
    <definedName name="REGST" localSheetId="30" hidden="1">{"'Sheet1'!$A$1"}</definedName>
    <definedName name="REGST" localSheetId="17" hidden="1">{"'Sheet1'!$A$1"}</definedName>
    <definedName name="REGST" localSheetId="18" hidden="1">{"'Sheet1'!$A$1"}</definedName>
    <definedName name="REGST" hidden="1">{"'Sheet1'!$A$1"}</definedName>
    <definedName name="rek" hidden="1">#REF!</definedName>
    <definedName name="rekaphps" hidden="1">#REF!</definedName>
    <definedName name="rekappppp" localSheetId="2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kappppp" localSheetId="1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kappppp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kappppp" localSheetId="2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kappppp" localSheetId="2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kappppp" localSheetId="3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kappppp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kappppp" localSheetId="2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kappppp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kappppp" localSheetId="3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kappppp" localSheetId="3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kappppp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kappppp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kappppp" localSheetId="1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kappppp" localSheetId="2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kappppp" localSheetId="4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kappppp" localSheetId="4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kappppp" localSheetId="4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kappppp" localSheetId="3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kappppp" localSheetId="3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kapppp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nc" localSheetId="20" hidden="1">{#N/A,#N/A,FALSE,"Chi tiÆt"}</definedName>
    <definedName name="renc" localSheetId="19" hidden="1">{#N/A,#N/A,FALSE,"Chi tiÆt"}</definedName>
    <definedName name="renc" localSheetId="26" hidden="1">{#N/A,#N/A,FALSE,"Chi tiÆt"}</definedName>
    <definedName name="renc" localSheetId="24" hidden="1">{#N/A,#N/A,FALSE,"Chi tiÆt"}</definedName>
    <definedName name="renc" localSheetId="32" hidden="1">{#N/A,#N/A,FALSE,"Chi tiÆt"}</definedName>
    <definedName name="renc" localSheetId="27" hidden="1">{#N/A,#N/A,FALSE,"Chi tiÆt"}</definedName>
    <definedName name="renc" localSheetId="28" hidden="1">{#N/A,#N/A,FALSE,"Chi tiÆt"}</definedName>
    <definedName name="renc" localSheetId="29" hidden="1">{#N/A,#N/A,FALSE,"Chi tiÆt"}</definedName>
    <definedName name="renc" localSheetId="31" hidden="1">{#N/A,#N/A,FALSE,"Chi tiÆt"}</definedName>
    <definedName name="renc" localSheetId="30" hidden="1">{#N/A,#N/A,FALSE,"Chi tiÆt"}</definedName>
    <definedName name="renc" localSheetId="17" hidden="1">{#N/A,#N/A,FALSE,"Chi tiÆt"}</definedName>
    <definedName name="renc" localSheetId="18" hidden="1">{#N/A,#N/A,FALSE,"Chi tiÆt"}</definedName>
    <definedName name="renc" hidden="1">{#N/A,#N/A,FALSE,"Chi tiÆt"}</definedName>
    <definedName name="rere" localSheetId="20" hidden="1">{"'1996'!$A$1:$J$272"}</definedName>
    <definedName name="rere" localSheetId="19" hidden="1">{"'1996'!$A$1:$J$272"}</definedName>
    <definedName name="rere" localSheetId="26" hidden="1">{"'1996'!$A$1:$J$272"}</definedName>
    <definedName name="rere" localSheetId="24" hidden="1">{"'1996'!$A$1:$J$272"}</definedName>
    <definedName name="rere" localSheetId="32" hidden="1">{"'1996'!$A$1:$J$272"}</definedName>
    <definedName name="rere" localSheetId="27" hidden="1">{"'1996'!$A$1:$J$272"}</definedName>
    <definedName name="rere" localSheetId="28" hidden="1">{"'1996'!$A$1:$J$272"}</definedName>
    <definedName name="rere" localSheetId="29" hidden="1">{"'1996'!$A$1:$J$272"}</definedName>
    <definedName name="rere" localSheetId="31" hidden="1">{"'1996'!$A$1:$J$272"}</definedName>
    <definedName name="rere" localSheetId="30" hidden="1">{"'1996'!$A$1:$J$272"}</definedName>
    <definedName name="rere" localSheetId="17" hidden="1">{"'1996'!$A$1:$J$272"}</definedName>
    <definedName name="rere" localSheetId="18" hidden="1">{"'1996'!$A$1:$J$272"}</definedName>
    <definedName name="rere" hidden="1">{"'1996'!$A$1:$J$272"}</definedName>
    <definedName name="rets" localSheetId="20" hidden="1">{"'Sheet1'!$A$1"}</definedName>
    <definedName name="rets" localSheetId="19" hidden="1">{"'Sheet1'!$A$1"}</definedName>
    <definedName name="rets" localSheetId="26" hidden="1">{"'Sheet1'!$A$1"}</definedName>
    <definedName name="rets" localSheetId="24" hidden="1">{"'Sheet1'!$A$1"}</definedName>
    <definedName name="rets" localSheetId="32" hidden="1">{"'Sheet1'!$A$1"}</definedName>
    <definedName name="rets" localSheetId="27" hidden="1">{"'Sheet1'!$A$1"}</definedName>
    <definedName name="rets" localSheetId="28" hidden="1">{"'Sheet1'!$A$1"}</definedName>
    <definedName name="rets" localSheetId="29" hidden="1">{"'Sheet1'!$A$1"}</definedName>
    <definedName name="rets" localSheetId="31" hidden="1">{"'Sheet1'!$A$1"}</definedName>
    <definedName name="rets" localSheetId="30" hidden="1">{"'Sheet1'!$A$1"}</definedName>
    <definedName name="rets" localSheetId="17" hidden="1">{"'Sheet1'!$A$1"}</definedName>
    <definedName name="rets" localSheetId="18" hidden="1">{"'Sheet1'!$A$1"}</definedName>
    <definedName name="rets" hidden="1">{"'Sheet1'!$A$1"}</definedName>
    <definedName name="RETSF" localSheetId="20" hidden="1">{"'Sheet1'!$A$1"}</definedName>
    <definedName name="RETSF" localSheetId="19" hidden="1">{"'Sheet1'!$A$1"}</definedName>
    <definedName name="RETSF" localSheetId="26" hidden="1">{"'Sheet1'!$A$1"}</definedName>
    <definedName name="RETSF" localSheetId="24" hidden="1">{"'Sheet1'!$A$1"}</definedName>
    <definedName name="RETSF" localSheetId="32" hidden="1">{"'Sheet1'!$A$1"}</definedName>
    <definedName name="RETSF" localSheetId="27" hidden="1">{"'Sheet1'!$A$1"}</definedName>
    <definedName name="RETSF" localSheetId="28" hidden="1">{"'Sheet1'!$A$1"}</definedName>
    <definedName name="RETSF" localSheetId="29" hidden="1">{"'Sheet1'!$A$1"}</definedName>
    <definedName name="RETSF" localSheetId="31" hidden="1">{"'Sheet1'!$A$1"}</definedName>
    <definedName name="RETSF" localSheetId="30" hidden="1">{"'Sheet1'!$A$1"}</definedName>
    <definedName name="RETSF" localSheetId="17" hidden="1">{"'Sheet1'!$A$1"}</definedName>
    <definedName name="RETSF" localSheetId="18" hidden="1">{"'Sheet1'!$A$1"}</definedName>
    <definedName name="RETSF" hidden="1">{"'Sheet1'!$A$1"}</definedName>
    <definedName name="REVISI01" localSheetId="20" hidden="1">{#N/A,#N/A,FALSE,"REK-S-TPL";#N/A,#N/A,FALSE,"REK-TPML";#N/A,#N/A,FALSE,"RAB-TEMPEL"}</definedName>
    <definedName name="REVISI01" localSheetId="19" hidden="1">{#N/A,#N/A,FALSE,"REK-S-TPL";#N/A,#N/A,FALSE,"REK-TPML";#N/A,#N/A,FALSE,"RAB-TEMPEL"}</definedName>
    <definedName name="REVISI01" localSheetId="26" hidden="1">{#N/A,#N/A,FALSE,"REK-S-TPL";#N/A,#N/A,FALSE,"REK-TPML";#N/A,#N/A,FALSE,"RAB-TEMPEL"}</definedName>
    <definedName name="REVISI01" localSheetId="24" hidden="1">{#N/A,#N/A,FALSE,"REK-S-TPL";#N/A,#N/A,FALSE,"REK-TPML";#N/A,#N/A,FALSE,"RAB-TEMPEL"}</definedName>
    <definedName name="REVISI01" localSheetId="32" hidden="1">{#N/A,#N/A,FALSE,"REK-S-TPL";#N/A,#N/A,FALSE,"REK-TPML";#N/A,#N/A,FALSE,"RAB-TEMPEL"}</definedName>
    <definedName name="REVISI01" localSheetId="27" hidden="1">{#N/A,#N/A,FALSE,"REK-S-TPL";#N/A,#N/A,FALSE,"REK-TPML";#N/A,#N/A,FALSE,"RAB-TEMPEL"}</definedName>
    <definedName name="REVISI01" localSheetId="28" hidden="1">{#N/A,#N/A,FALSE,"REK-S-TPL";#N/A,#N/A,FALSE,"REK-TPML";#N/A,#N/A,FALSE,"RAB-TEMPEL"}</definedName>
    <definedName name="REVISI01" localSheetId="29" hidden="1">{#N/A,#N/A,FALSE,"REK-S-TPL";#N/A,#N/A,FALSE,"REK-TPML";#N/A,#N/A,FALSE,"RAB-TEMPEL"}</definedName>
    <definedName name="REVISI01" localSheetId="31" hidden="1">{#N/A,#N/A,FALSE,"REK-S-TPL";#N/A,#N/A,FALSE,"REK-TPML";#N/A,#N/A,FALSE,"RAB-TEMPEL"}</definedName>
    <definedName name="REVISI01" localSheetId="30" hidden="1">{#N/A,#N/A,FALSE,"REK-S-TPL";#N/A,#N/A,FALSE,"REK-TPML";#N/A,#N/A,FALSE,"RAB-TEMPEL"}</definedName>
    <definedName name="REVISI01" localSheetId="17" hidden="1">{#N/A,#N/A,FALSE,"REK-S-TPL";#N/A,#N/A,FALSE,"REK-TPML";#N/A,#N/A,FALSE,"RAB-TEMPEL"}</definedName>
    <definedName name="REVISI01" localSheetId="18" hidden="1">{#N/A,#N/A,FALSE,"REK-S-TPL";#N/A,#N/A,FALSE,"REK-TPML";#N/A,#N/A,FALSE,"RAB-TEMPEL"}</definedName>
    <definedName name="REVISI01" hidden="1">{#N/A,#N/A,FALSE,"REK-S-TPL";#N/A,#N/A,FALSE,"REK-TPML";#N/A,#N/A,FALSE,"RAB-TEMPEL"}</definedName>
    <definedName name="revvv" localSheetId="20" hidden="1">{#N/A,#N/A,FALSE,"Chi tiÆt"}</definedName>
    <definedName name="revvv" localSheetId="19" hidden="1">{#N/A,#N/A,FALSE,"Chi tiÆt"}</definedName>
    <definedName name="revvv" localSheetId="26" hidden="1">{#N/A,#N/A,FALSE,"Chi tiÆt"}</definedName>
    <definedName name="revvv" localSheetId="24" hidden="1">{#N/A,#N/A,FALSE,"Chi tiÆt"}</definedName>
    <definedName name="revvv" localSheetId="32" hidden="1">{#N/A,#N/A,FALSE,"Chi tiÆt"}</definedName>
    <definedName name="revvv" localSheetId="27" hidden="1">{#N/A,#N/A,FALSE,"Chi tiÆt"}</definedName>
    <definedName name="revvv" localSheetId="28" hidden="1">{#N/A,#N/A,FALSE,"Chi tiÆt"}</definedName>
    <definedName name="revvv" localSheetId="29" hidden="1">{#N/A,#N/A,FALSE,"Chi tiÆt"}</definedName>
    <definedName name="revvv" localSheetId="31" hidden="1">{#N/A,#N/A,FALSE,"Chi tiÆt"}</definedName>
    <definedName name="revvv" localSheetId="30" hidden="1">{#N/A,#N/A,FALSE,"Chi tiÆt"}</definedName>
    <definedName name="revvv" localSheetId="17" hidden="1">{#N/A,#N/A,FALSE,"Chi tiÆt"}</definedName>
    <definedName name="revvv" localSheetId="18" hidden="1">{#N/A,#N/A,FALSE,"Chi tiÆt"}</definedName>
    <definedName name="revvv" hidden="1">{#N/A,#N/A,FALSE,"Chi tiÆt"}</definedName>
    <definedName name="RF" localSheetId="20" hidden="1">{#N/A,#N/A,FALSE,"CCTV"}</definedName>
    <definedName name="RF" localSheetId="19" hidden="1">{#N/A,#N/A,FALSE,"CCTV"}</definedName>
    <definedName name="RF" localSheetId="32" hidden="1">{#N/A,#N/A,FALSE,"CCTV"}</definedName>
    <definedName name="RF" localSheetId="27" hidden="1">{#N/A,#N/A,FALSE,"CCTV"}</definedName>
    <definedName name="RF" localSheetId="28" hidden="1">{#N/A,#N/A,FALSE,"CCTV"}</definedName>
    <definedName name="RF" localSheetId="31" hidden="1">{#N/A,#N/A,FALSE,"CCTV"}</definedName>
    <definedName name="RF" localSheetId="30" hidden="1">{#N/A,#N/A,FALSE,"CCTV"}</definedName>
    <definedName name="RF" localSheetId="13" hidden="1">{#N/A,#N/A,FALSE,"CCTV"}</definedName>
    <definedName name="RF" localSheetId="17" hidden="1">{#N/A,#N/A,FALSE,"CCTV"}</definedName>
    <definedName name="RF" localSheetId="18" hidden="1">{#N/A,#N/A,FALSE,"CCTV"}</definedName>
    <definedName name="RFSD" localSheetId="20" hidden="1">{"'Sheet1'!$A$1"}</definedName>
    <definedName name="RFSD" localSheetId="19" hidden="1">{"'Sheet1'!$A$1"}</definedName>
    <definedName name="RFSD" localSheetId="26" hidden="1">{"'Sheet1'!$A$1"}</definedName>
    <definedName name="RFSD" localSheetId="24" hidden="1">{"'Sheet1'!$A$1"}</definedName>
    <definedName name="RFSD" localSheetId="32" hidden="1">{"'Sheet1'!$A$1"}</definedName>
    <definedName name="RFSD" localSheetId="27" hidden="1">{"'Sheet1'!$A$1"}</definedName>
    <definedName name="RFSD" localSheetId="28" hidden="1">{"'Sheet1'!$A$1"}</definedName>
    <definedName name="RFSD" localSheetId="29" hidden="1">{"'Sheet1'!$A$1"}</definedName>
    <definedName name="RFSD" localSheetId="31" hidden="1">{"'Sheet1'!$A$1"}</definedName>
    <definedName name="RFSD" localSheetId="30" hidden="1">{"'Sheet1'!$A$1"}</definedName>
    <definedName name="RFSD" localSheetId="17" hidden="1">{"'Sheet1'!$A$1"}</definedName>
    <definedName name="RFSD" localSheetId="18" hidden="1">{"'Sheet1'!$A$1"}</definedName>
    <definedName name="RFSD" hidden="1">{"'Sheet1'!$A$1"}</definedName>
    <definedName name="RFT" hidden="1">#REF!</definedName>
    <definedName name="RFV" localSheetId="20" hidden="1">{#N/A,#N/A,FALSE,"CCTV"}</definedName>
    <definedName name="RFV" localSheetId="19" hidden="1">{#N/A,#N/A,FALSE,"CCTV"}</definedName>
    <definedName name="RFV" localSheetId="26" hidden="1">{#N/A,#N/A,FALSE,"CCTV"}</definedName>
    <definedName name="RFV" localSheetId="24" hidden="1">{#N/A,#N/A,FALSE,"CCTV"}</definedName>
    <definedName name="RFV" localSheetId="32" hidden="1">{#N/A,#N/A,FALSE,"CCTV"}</definedName>
    <definedName name="RFV" localSheetId="27" hidden="1">{#N/A,#N/A,FALSE,"CCTV"}</definedName>
    <definedName name="RFV" localSheetId="28" hidden="1">{#N/A,#N/A,FALSE,"CCTV"}</definedName>
    <definedName name="RFV" localSheetId="29" hidden="1">{#N/A,#N/A,FALSE,"CCTV"}</definedName>
    <definedName name="RFV" localSheetId="31" hidden="1">{#N/A,#N/A,FALSE,"CCTV"}</definedName>
    <definedName name="RFV" localSheetId="30" hidden="1">{#N/A,#N/A,FALSE,"CCTV"}</definedName>
    <definedName name="RFV" localSheetId="17" hidden="1">{#N/A,#N/A,FALSE,"CCTV"}</definedName>
    <definedName name="RFV" localSheetId="18" hidden="1">{#N/A,#N/A,FALSE,"CCTV"}</definedName>
    <definedName name="RFV" hidden="1">{#N/A,#N/A,FALSE,"CCTV"}</definedName>
    <definedName name="RGDHS" localSheetId="20" hidden="1">{"'Sheet1'!$A$1"}</definedName>
    <definedName name="RGDHS" localSheetId="19" hidden="1">{"'Sheet1'!$A$1"}</definedName>
    <definedName name="RGDHS" localSheetId="26" hidden="1">{"'Sheet1'!$A$1"}</definedName>
    <definedName name="RGDHS" localSheetId="24" hidden="1">{"'Sheet1'!$A$1"}</definedName>
    <definedName name="RGDHS" localSheetId="32" hidden="1">{"'Sheet1'!$A$1"}</definedName>
    <definedName name="RGDHS" localSheetId="27" hidden="1">{"'Sheet1'!$A$1"}</definedName>
    <definedName name="RGDHS" localSheetId="28" hidden="1">{"'Sheet1'!$A$1"}</definedName>
    <definedName name="RGDHS" localSheetId="29" hidden="1">{"'Sheet1'!$A$1"}</definedName>
    <definedName name="RGDHS" localSheetId="31" hidden="1">{"'Sheet1'!$A$1"}</definedName>
    <definedName name="RGDHS" localSheetId="30" hidden="1">{"'Sheet1'!$A$1"}</definedName>
    <definedName name="RGDHS" localSheetId="17" hidden="1">{"'Sheet1'!$A$1"}</definedName>
    <definedName name="RGDHS" localSheetId="18" hidden="1">{"'Sheet1'!$A$1"}</definedName>
    <definedName name="RGDHS" hidden="1">{"'Sheet1'!$A$1"}</definedName>
    <definedName name="RGRG" hidden="1">#REF!</definedName>
    <definedName name="rhdhd" hidden="1">#REF!</definedName>
    <definedName name="RINCI" localSheetId="2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NCI" localSheetId="1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NCI" localSheetId="3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NCI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NCI" localSheetId="2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NCI" localSheetId="3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NCI" localSheetId="3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NCI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NCI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NCI" localSheetId="1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jtrj" localSheetId="20" hidden="1">{"'Sheet1'!$A$1"}</definedName>
    <definedName name="rjtrj" localSheetId="19" hidden="1">{"'Sheet1'!$A$1"}</definedName>
    <definedName name="rjtrj" localSheetId="26" hidden="1">{"'Sheet1'!$A$1"}</definedName>
    <definedName name="rjtrj" localSheetId="24" hidden="1">{"'Sheet1'!$A$1"}</definedName>
    <definedName name="rjtrj" localSheetId="32" hidden="1">{"'Sheet1'!$A$1"}</definedName>
    <definedName name="rjtrj" localSheetId="27" hidden="1">{"'Sheet1'!$A$1"}</definedName>
    <definedName name="rjtrj" localSheetId="28" hidden="1">{"'Sheet1'!$A$1"}</definedName>
    <definedName name="rjtrj" localSheetId="29" hidden="1">{"'Sheet1'!$A$1"}</definedName>
    <definedName name="rjtrj" localSheetId="31" hidden="1">{"'Sheet1'!$A$1"}</definedName>
    <definedName name="rjtrj" localSheetId="30" hidden="1">{"'Sheet1'!$A$1"}</definedName>
    <definedName name="rjtrj" localSheetId="17" hidden="1">{"'Sheet1'!$A$1"}</definedName>
    <definedName name="rjtrj" localSheetId="18" hidden="1">{"'Sheet1'!$A$1"}</definedName>
    <definedName name="rjtrj" hidden="1">{"'Sheet1'!$A$1"}</definedName>
    <definedName name="rkd" localSheetId="20" hidden="1">{#N/A,#N/A,FALSE,"CCTV"}</definedName>
    <definedName name="rkd" localSheetId="19" hidden="1">{#N/A,#N/A,FALSE,"CCTV"}</definedName>
    <definedName name="rkd" localSheetId="26" hidden="1">{#N/A,#N/A,FALSE,"CCTV"}</definedName>
    <definedName name="rkd" localSheetId="24" hidden="1">{#N/A,#N/A,FALSE,"CCTV"}</definedName>
    <definedName name="rkd" localSheetId="32" hidden="1">{#N/A,#N/A,FALSE,"CCTV"}</definedName>
    <definedName name="rkd" localSheetId="27" hidden="1">{#N/A,#N/A,FALSE,"CCTV"}</definedName>
    <definedName name="rkd" localSheetId="28" hidden="1">{#N/A,#N/A,FALSE,"CCTV"}</definedName>
    <definedName name="rkd" localSheetId="29" hidden="1">{#N/A,#N/A,FALSE,"CCTV"}</definedName>
    <definedName name="rkd" localSheetId="31" hidden="1">{#N/A,#N/A,FALSE,"CCTV"}</definedName>
    <definedName name="rkd" localSheetId="30" hidden="1">{#N/A,#N/A,FALSE,"CCTV"}</definedName>
    <definedName name="rkd" localSheetId="17" hidden="1">{#N/A,#N/A,FALSE,"CCTV"}</definedName>
    <definedName name="rkd" localSheetId="18" hidden="1">{#N/A,#N/A,FALSE,"CCTV"}</definedName>
    <definedName name="rkd" hidden="1">{#N/A,#N/A,FALSE,"CCTV"}</definedName>
    <definedName name="RKP" localSheetId="27" hidden="1">#REF!</definedName>
    <definedName name="RKP" localSheetId="18" hidden="1">#REF!</definedName>
    <definedName name="RKP" localSheetId="41" hidden="1">#REF!</definedName>
    <definedName name="RKP" localSheetId="42" hidden="1">#REF!</definedName>
    <definedName name="RKP" hidden="1">#REF!</definedName>
    <definedName name="RMS" localSheetId="20" hidden="1">{#N/A,#N/A,FALSE,"M.42"}</definedName>
    <definedName name="RMS" localSheetId="19" hidden="1">{#N/A,#N/A,FALSE,"M.42"}</definedName>
    <definedName name="RMS" localSheetId="26" hidden="1">{#N/A,#N/A,FALSE,"M.42"}</definedName>
    <definedName name="RMS" localSheetId="24" hidden="1">{#N/A,#N/A,FALSE,"M.42"}</definedName>
    <definedName name="RMS" localSheetId="32" hidden="1">{#N/A,#N/A,FALSE,"M.42"}</definedName>
    <definedName name="RMS" localSheetId="27" hidden="1">{#N/A,#N/A,FALSE,"M.42"}</definedName>
    <definedName name="RMS" localSheetId="28" hidden="1">{#N/A,#N/A,FALSE,"M.42"}</definedName>
    <definedName name="RMS" localSheetId="29" hidden="1">{#N/A,#N/A,FALSE,"M.42"}</definedName>
    <definedName name="RMS" localSheetId="31" hidden="1">{#N/A,#N/A,FALSE,"M.42"}</definedName>
    <definedName name="RMS" localSheetId="30" hidden="1">{#N/A,#N/A,FALSE,"M.42"}</definedName>
    <definedName name="RMS" localSheetId="17" hidden="1">{#N/A,#N/A,FALSE,"M.42"}</definedName>
    <definedName name="RMS" localSheetId="18" hidden="1">{#N/A,#N/A,FALSE,"M.42"}</definedName>
    <definedName name="RMS" hidden="1">{#N/A,#N/A,FALSE,"M.42"}</definedName>
    <definedName name="RNAO" localSheetId="20" hidden="1">{"'장비'!$A$3:$M$12"}</definedName>
    <definedName name="RNAO" localSheetId="19" hidden="1">{"'장비'!$A$3:$M$12"}</definedName>
    <definedName name="RNAO" localSheetId="26" hidden="1">{"'장비'!$A$3:$M$12"}</definedName>
    <definedName name="RNAO" localSheetId="24" hidden="1">{"'장비'!$A$3:$M$12"}</definedName>
    <definedName name="RNAO" localSheetId="32" hidden="1">{"'장비'!$A$3:$M$12"}</definedName>
    <definedName name="RNAO" localSheetId="27" hidden="1">{"'장비'!$A$3:$M$12"}</definedName>
    <definedName name="RNAO" localSheetId="28" hidden="1">{"'장비'!$A$3:$M$12"}</definedName>
    <definedName name="RNAO" localSheetId="29" hidden="1">{"'장비'!$A$3:$M$12"}</definedName>
    <definedName name="RNAO" localSheetId="31" hidden="1">{"'장비'!$A$3:$M$12"}</definedName>
    <definedName name="RNAO" localSheetId="30" hidden="1">{"'장비'!$A$3:$M$12"}</definedName>
    <definedName name="RNAO" localSheetId="17" hidden="1">{"'장비'!$A$3:$M$12"}</definedName>
    <definedName name="RNAO" localSheetId="18" hidden="1">{"'장비'!$A$3:$M$12"}</definedName>
    <definedName name="RNAO" hidden="1">{"'장비'!$A$3:$M$12"}</definedName>
    <definedName name="ropa" localSheetId="20" hidden="1">{#N/A,#N/A,FALSE,"M.34"}</definedName>
    <definedName name="ropa" localSheetId="19" hidden="1">{#N/A,#N/A,FALSE,"M.34"}</definedName>
    <definedName name="ropa" localSheetId="26" hidden="1">{#N/A,#N/A,FALSE,"M.34"}</definedName>
    <definedName name="ropa" localSheetId="24" hidden="1">{#N/A,#N/A,FALSE,"M.34"}</definedName>
    <definedName name="ropa" localSheetId="32" hidden="1">{#N/A,#N/A,FALSE,"M.34"}</definedName>
    <definedName name="ropa" localSheetId="27" hidden="1">{#N/A,#N/A,FALSE,"M.34"}</definedName>
    <definedName name="ropa" localSheetId="28" hidden="1">{#N/A,#N/A,FALSE,"M.34"}</definedName>
    <definedName name="ropa" localSheetId="29" hidden="1">{#N/A,#N/A,FALSE,"M.34"}</definedName>
    <definedName name="ropa" localSheetId="31" hidden="1">{#N/A,#N/A,FALSE,"M.34"}</definedName>
    <definedName name="ropa" localSheetId="30" hidden="1">{#N/A,#N/A,FALSE,"M.34"}</definedName>
    <definedName name="ropa" localSheetId="17" hidden="1">{#N/A,#N/A,FALSE,"M.34"}</definedName>
    <definedName name="ropa" localSheetId="18" hidden="1">{#N/A,#N/A,FALSE,"M.34"}</definedName>
    <definedName name="ropa" hidden="1">{#N/A,#N/A,FALSE,"M.34"}</definedName>
    <definedName name="Royalty" localSheetId="20" hidden="1">{#N/A,#N/A,FALSE,"Sheet1"}</definedName>
    <definedName name="Royalty" localSheetId="19" hidden="1">{#N/A,#N/A,FALSE,"Sheet1"}</definedName>
    <definedName name="Royalty" localSheetId="26" hidden="1">{#N/A,#N/A,FALSE,"Sheet1"}</definedName>
    <definedName name="Royalty" localSheetId="24" hidden="1">{#N/A,#N/A,FALSE,"Sheet1"}</definedName>
    <definedName name="Royalty" localSheetId="32" hidden="1">{#N/A,#N/A,FALSE,"Sheet1"}</definedName>
    <definedName name="Royalty" localSheetId="27" hidden="1">{#N/A,#N/A,FALSE,"Sheet1"}</definedName>
    <definedName name="Royalty" localSheetId="28" hidden="1">{#N/A,#N/A,FALSE,"Sheet1"}</definedName>
    <definedName name="Royalty" localSheetId="29" hidden="1">{#N/A,#N/A,FALSE,"Sheet1"}</definedName>
    <definedName name="Royalty" localSheetId="31" hidden="1">{#N/A,#N/A,FALSE,"Sheet1"}</definedName>
    <definedName name="Royalty" localSheetId="30" hidden="1">{#N/A,#N/A,FALSE,"Sheet1"}</definedName>
    <definedName name="Royalty" localSheetId="17" hidden="1">{#N/A,#N/A,FALSE,"Sheet1"}</definedName>
    <definedName name="Royalty" localSheetId="18" hidden="1">{#N/A,#N/A,FALSE,"Sheet1"}</definedName>
    <definedName name="Royalty" hidden="1">{#N/A,#N/A,FALSE,"Sheet1"}</definedName>
    <definedName name="RR" localSheetId="20" hidden="1">{"'Sheet1'!$A$1"}</definedName>
    <definedName name="RR" localSheetId="19" hidden="1">{"'Sheet1'!$A$1"}</definedName>
    <definedName name="RR" localSheetId="26" hidden="1">{"'Sheet1'!$A$1"}</definedName>
    <definedName name="RR" localSheetId="24" hidden="1">{"'Sheet1'!$A$1"}</definedName>
    <definedName name="RR" localSheetId="32" hidden="1">{"'Sheet1'!$A$1"}</definedName>
    <definedName name="RR" localSheetId="27" hidden="1">{"'Sheet1'!$A$1"}</definedName>
    <definedName name="RR" localSheetId="28" hidden="1">{"'Sheet1'!$A$1"}</definedName>
    <definedName name="RR" localSheetId="29" hidden="1">{"'Sheet1'!$A$1"}</definedName>
    <definedName name="RR" localSheetId="31" hidden="1">{"'Sheet1'!$A$1"}</definedName>
    <definedName name="RR" localSheetId="30" hidden="1">{"'Sheet1'!$A$1"}</definedName>
    <definedName name="RR" localSheetId="17" hidden="1">{"'Sheet1'!$A$1"}</definedName>
    <definedName name="RR" localSheetId="18" hidden="1">{"'Sheet1'!$A$1"}</definedName>
    <definedName name="RR" hidden="1">{"'Sheet1'!$A$1"}</definedName>
    <definedName name="RRE" localSheetId="2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E" localSheetId="1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E" localSheetId="2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E" localSheetId="2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E" localSheetId="3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E" localSheetId="2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E" localSheetId="2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E" localSheetId="2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E" localSheetId="3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E" localSheetId="3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E" localSheetId="1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E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ERW" localSheetId="20" hidden="1">{#N/A,#N/A,FALSE,"CCTV"}</definedName>
    <definedName name="RRERW" localSheetId="19" hidden="1">{#N/A,#N/A,FALSE,"CCTV"}</definedName>
    <definedName name="RRERW" localSheetId="26" hidden="1">{#N/A,#N/A,FALSE,"CCTV"}</definedName>
    <definedName name="RRERW" localSheetId="24" hidden="1">{#N/A,#N/A,FALSE,"CCTV"}</definedName>
    <definedName name="RRERW" localSheetId="32" hidden="1">{#N/A,#N/A,FALSE,"CCTV"}</definedName>
    <definedName name="RRERW" localSheetId="27" hidden="1">{#N/A,#N/A,FALSE,"CCTV"}</definedName>
    <definedName name="RRERW" localSheetId="28" hidden="1">{#N/A,#N/A,FALSE,"CCTV"}</definedName>
    <definedName name="RRERW" localSheetId="29" hidden="1">{#N/A,#N/A,FALSE,"CCTV"}</definedName>
    <definedName name="RRERW" localSheetId="31" hidden="1">{#N/A,#N/A,FALSE,"CCTV"}</definedName>
    <definedName name="RRERW" localSheetId="30" hidden="1">{#N/A,#N/A,FALSE,"CCTV"}</definedName>
    <definedName name="RRERW" localSheetId="17" hidden="1">{#N/A,#N/A,FALSE,"CCTV"}</definedName>
    <definedName name="RRERW" localSheetId="18" hidden="1">{#N/A,#N/A,FALSE,"CCTV"}</definedName>
    <definedName name="RRERW" hidden="1">{#N/A,#N/A,FALSE,"CCTV"}</definedName>
    <definedName name="rrrrrrrr" localSheetId="20" hidden="1">#REF!</definedName>
    <definedName name="rrrrrrrr" localSheetId="19" hidden="1">#REF!</definedName>
    <definedName name="rrrrrrrr" localSheetId="32" hidden="1">#REF!</definedName>
    <definedName name="rrrrrrrr" localSheetId="27" hidden="1">#REF!</definedName>
    <definedName name="rrrrrrrr" localSheetId="28" hidden="1">#REF!</definedName>
    <definedName name="rrrrrrrr" localSheetId="31" hidden="1">#REF!</definedName>
    <definedName name="rrrrrrrr" localSheetId="30" hidden="1">#REF!</definedName>
    <definedName name="rrrrrrrr" localSheetId="17" hidden="1">#REF!</definedName>
    <definedName name="rrrrrrrr" hidden="1">#REF!</definedName>
    <definedName name="RRRRRRRRRRRRRRRRR" localSheetId="27" hidden="1">#REF!</definedName>
    <definedName name="RRRRRRRRRRRRRRRRR" localSheetId="42" hidden="1">#REF!</definedName>
    <definedName name="RRRRRRRRRRRRRRRRR" hidden="1">#REF!</definedName>
    <definedName name="rsd" localSheetId="20" hidden="1">{"'Sheet1'!$A$1"}</definedName>
    <definedName name="rsd" localSheetId="19" hidden="1">{"'Sheet1'!$A$1"}</definedName>
    <definedName name="rsd" localSheetId="26" hidden="1">{"'Sheet1'!$A$1"}</definedName>
    <definedName name="rsd" localSheetId="24" hidden="1">{"'Sheet1'!$A$1"}</definedName>
    <definedName name="rsd" localSheetId="32" hidden="1">{"'Sheet1'!$A$1"}</definedName>
    <definedName name="rsd" localSheetId="27" hidden="1">{"'Sheet1'!$A$1"}</definedName>
    <definedName name="rsd" localSheetId="28" hidden="1">{"'Sheet1'!$A$1"}</definedName>
    <definedName name="rsd" localSheetId="29" hidden="1">{"'Sheet1'!$A$1"}</definedName>
    <definedName name="rsd" localSheetId="31" hidden="1">{"'Sheet1'!$A$1"}</definedName>
    <definedName name="rsd" localSheetId="30" hidden="1">{"'Sheet1'!$A$1"}</definedName>
    <definedName name="rsd" localSheetId="17" hidden="1">{"'Sheet1'!$A$1"}</definedName>
    <definedName name="rsd" localSheetId="18" hidden="1">{"'Sheet1'!$A$1"}</definedName>
    <definedName name="rsd" hidden="1">{"'Sheet1'!$A$1"}</definedName>
    <definedName name="rsdef" localSheetId="20" hidden="1">{"'Sheet1'!$A$1"}</definedName>
    <definedName name="rsdef" localSheetId="19" hidden="1">{"'Sheet1'!$A$1"}</definedName>
    <definedName name="rsdef" localSheetId="26" hidden="1">{"'Sheet1'!$A$1"}</definedName>
    <definedName name="rsdef" localSheetId="24" hidden="1">{"'Sheet1'!$A$1"}</definedName>
    <definedName name="rsdef" localSheetId="32" hidden="1">{"'Sheet1'!$A$1"}</definedName>
    <definedName name="rsdef" localSheetId="27" hidden="1">{"'Sheet1'!$A$1"}</definedName>
    <definedName name="rsdef" localSheetId="28" hidden="1">{"'Sheet1'!$A$1"}</definedName>
    <definedName name="rsdef" localSheetId="29" hidden="1">{"'Sheet1'!$A$1"}</definedName>
    <definedName name="rsdef" localSheetId="31" hidden="1">{"'Sheet1'!$A$1"}</definedName>
    <definedName name="rsdef" localSheetId="30" hidden="1">{"'Sheet1'!$A$1"}</definedName>
    <definedName name="rsdef" localSheetId="17" hidden="1">{"'Sheet1'!$A$1"}</definedName>
    <definedName name="rsdef" localSheetId="18" hidden="1">{"'Sheet1'!$A$1"}</definedName>
    <definedName name="rsdef" hidden="1">{"'Sheet1'!$A$1"}</definedName>
    <definedName name="RSDF" localSheetId="2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SDF" localSheetId="1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SDF" localSheetId="2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SDF" localSheetId="2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SDF" localSheetId="3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SDF" localSheetId="2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SDF" localSheetId="2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SDF" localSheetId="2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SDF" localSheetId="3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SDF" localSheetId="3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SDF" localSheetId="1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SDF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S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set" localSheetId="20" hidden="1">{"'Sheet1'!$A$1"}</definedName>
    <definedName name="rset" localSheetId="19" hidden="1">{"'Sheet1'!$A$1"}</definedName>
    <definedName name="rset" localSheetId="26" hidden="1">{"'Sheet1'!$A$1"}</definedName>
    <definedName name="rset" localSheetId="24" hidden="1">{"'Sheet1'!$A$1"}</definedName>
    <definedName name="rset" localSheetId="32" hidden="1">{"'Sheet1'!$A$1"}</definedName>
    <definedName name="rset" localSheetId="27" hidden="1">{"'Sheet1'!$A$1"}</definedName>
    <definedName name="rset" localSheetId="28" hidden="1">{"'Sheet1'!$A$1"}</definedName>
    <definedName name="rset" localSheetId="29" hidden="1">{"'Sheet1'!$A$1"}</definedName>
    <definedName name="rset" localSheetId="31" hidden="1">{"'Sheet1'!$A$1"}</definedName>
    <definedName name="rset" localSheetId="30" hidden="1">{"'Sheet1'!$A$1"}</definedName>
    <definedName name="rset" localSheetId="17" hidden="1">{"'Sheet1'!$A$1"}</definedName>
    <definedName name="rset" localSheetId="18" hidden="1">{"'Sheet1'!$A$1"}</definedName>
    <definedName name="rset" hidden="1">{"'Sheet1'!$A$1"}</definedName>
    <definedName name="RSFE" localSheetId="20" hidden="1">{"'Sheet1'!$A$1"}</definedName>
    <definedName name="RSFE" localSheetId="19" hidden="1">{"'Sheet1'!$A$1"}</definedName>
    <definedName name="RSFE" localSheetId="26" hidden="1">{"'Sheet1'!$A$1"}</definedName>
    <definedName name="RSFE" localSheetId="24" hidden="1">{"'Sheet1'!$A$1"}</definedName>
    <definedName name="RSFE" localSheetId="32" hidden="1">{"'Sheet1'!$A$1"}</definedName>
    <definedName name="RSFE" localSheetId="27" hidden="1">{"'Sheet1'!$A$1"}</definedName>
    <definedName name="RSFE" localSheetId="28" hidden="1">{"'Sheet1'!$A$1"}</definedName>
    <definedName name="RSFE" localSheetId="29" hidden="1">{"'Sheet1'!$A$1"}</definedName>
    <definedName name="RSFE" localSheetId="31" hidden="1">{"'Sheet1'!$A$1"}</definedName>
    <definedName name="RSFE" localSheetId="30" hidden="1">{"'Sheet1'!$A$1"}</definedName>
    <definedName name="RSFE" localSheetId="17" hidden="1">{"'Sheet1'!$A$1"}</definedName>
    <definedName name="RSFE" localSheetId="18" hidden="1">{"'Sheet1'!$A$1"}</definedName>
    <definedName name="RSFE" hidden="1">{"'Sheet1'!$A$1"}</definedName>
    <definedName name="rsred" hidden="1">#REF!</definedName>
    <definedName name="RSV" hidden="1">#REF!</definedName>
    <definedName name="rt" localSheetId="20" hidden="1">{#N/A,#N/A,FALSE,"REK";#N/A,#N/A,FALSE,"Bq-ARS"}</definedName>
    <definedName name="rt" localSheetId="19" hidden="1">{#N/A,#N/A,FALSE,"REK";#N/A,#N/A,FALSE,"Bq-ARS"}</definedName>
    <definedName name="rt" localSheetId="32" hidden="1">{#N/A,#N/A,FALSE,"REK";#N/A,#N/A,FALSE,"Bq-ARS"}</definedName>
    <definedName name="rt" localSheetId="27" hidden="1">{#N/A,#N/A,FALSE,"REK";#N/A,#N/A,FALSE,"Bq-ARS"}</definedName>
    <definedName name="rt" localSheetId="28" hidden="1">{#N/A,#N/A,FALSE,"REK";#N/A,#N/A,FALSE,"Bq-ARS"}</definedName>
    <definedName name="rt" localSheetId="31" hidden="1">{#N/A,#N/A,FALSE,"REK";#N/A,#N/A,FALSE,"Bq-ARS"}</definedName>
    <definedName name="rt" localSheetId="30" hidden="1">{#N/A,#N/A,FALSE,"REK";#N/A,#N/A,FALSE,"Bq-ARS"}</definedName>
    <definedName name="rt" localSheetId="13" hidden="1">{#N/A,#N/A,FALSE,"REK";#N/A,#N/A,FALSE,"Bq-ARS"}</definedName>
    <definedName name="rt" localSheetId="17" hidden="1">{#N/A,#N/A,FALSE,"REK";#N/A,#N/A,FALSE,"Bq-ARS"}</definedName>
    <definedName name="rt" localSheetId="18" hidden="1">{#N/A,#N/A,FALSE,"REK";#N/A,#N/A,FALSE,"Bq-ARS"}</definedName>
    <definedName name="rtejhv" localSheetId="20" hidden="1">{#N/A,#N/A,FALSE,"REK";#N/A,#N/A,FALSE,"rab"}</definedName>
    <definedName name="rtejhv" localSheetId="19" hidden="1">{#N/A,#N/A,FALSE,"REK";#N/A,#N/A,FALSE,"rab"}</definedName>
    <definedName name="rtejhv" localSheetId="26" hidden="1">{#N/A,#N/A,FALSE,"REK";#N/A,#N/A,FALSE,"rab"}</definedName>
    <definedName name="rtejhv" localSheetId="24" hidden="1">{#N/A,#N/A,FALSE,"REK";#N/A,#N/A,FALSE,"rab"}</definedName>
    <definedName name="rtejhv" localSheetId="32" hidden="1">{#N/A,#N/A,FALSE,"REK";#N/A,#N/A,FALSE,"rab"}</definedName>
    <definedName name="rtejhv" localSheetId="27" hidden="1">{#N/A,#N/A,FALSE,"REK";#N/A,#N/A,FALSE,"rab"}</definedName>
    <definedName name="rtejhv" localSheetId="28" hidden="1">{#N/A,#N/A,FALSE,"REK";#N/A,#N/A,FALSE,"rab"}</definedName>
    <definedName name="rtejhv" localSheetId="29" hidden="1">{#N/A,#N/A,FALSE,"REK";#N/A,#N/A,FALSE,"rab"}</definedName>
    <definedName name="rtejhv" localSheetId="31" hidden="1">{#N/A,#N/A,FALSE,"REK";#N/A,#N/A,FALSE,"rab"}</definedName>
    <definedName name="rtejhv" localSheetId="30" hidden="1">{#N/A,#N/A,FALSE,"REK";#N/A,#N/A,FALSE,"rab"}</definedName>
    <definedName name="rtejhv" localSheetId="17" hidden="1">{#N/A,#N/A,FALSE,"REK";#N/A,#N/A,FALSE,"rab"}</definedName>
    <definedName name="rtejhv" localSheetId="18" hidden="1">{#N/A,#N/A,FALSE,"REK";#N/A,#N/A,FALSE,"rab"}</definedName>
    <definedName name="rtejhv" hidden="1">{#N/A,#N/A,FALSE,"REK";#N/A,#N/A,FALSE,"rab"}</definedName>
    <definedName name="rtewrft" localSheetId="20" hidden="1">#REF!</definedName>
    <definedName name="rtewrft" localSheetId="19" hidden="1">#REF!</definedName>
    <definedName name="rtewrft" localSheetId="32" hidden="1">#REF!</definedName>
    <definedName name="rtewrft" localSheetId="27" hidden="1">#REF!</definedName>
    <definedName name="rtewrft" localSheetId="28" hidden="1">#REF!</definedName>
    <definedName name="rtewrft" localSheetId="31" hidden="1">#REF!</definedName>
    <definedName name="rtewrft" localSheetId="30" hidden="1">#REF!</definedName>
    <definedName name="rtewrft" localSheetId="17" hidden="1">#REF!</definedName>
    <definedName name="rtewrft" localSheetId="18" hidden="1">#REF!</definedName>
    <definedName name="rtewrft" hidden="1">#REF!</definedName>
    <definedName name="rty" localSheetId="20" hidden="1">{#N/A,#N/A,FALSE,"CCTV"}</definedName>
    <definedName name="rty" localSheetId="19" hidden="1">{#N/A,#N/A,FALSE,"CCTV"}</definedName>
    <definedName name="rty" localSheetId="26" hidden="1">{#N/A,#N/A,FALSE,"CCTV"}</definedName>
    <definedName name="rty" localSheetId="24" hidden="1">{#N/A,#N/A,FALSE,"CCTV"}</definedName>
    <definedName name="rty" localSheetId="32" hidden="1">{#N/A,#N/A,FALSE,"CCTV"}</definedName>
    <definedName name="rty" localSheetId="27" hidden="1">{#N/A,#N/A,FALSE,"CCTV"}</definedName>
    <definedName name="rty" localSheetId="28" hidden="1">{#N/A,#N/A,FALSE,"CCTV"}</definedName>
    <definedName name="rty" localSheetId="29" hidden="1">{#N/A,#N/A,FALSE,"CCTV"}</definedName>
    <definedName name="rty" localSheetId="31" hidden="1">{#N/A,#N/A,FALSE,"CCTV"}</definedName>
    <definedName name="rty" localSheetId="30" hidden="1">{#N/A,#N/A,FALSE,"CCTV"}</definedName>
    <definedName name="rty" localSheetId="17" hidden="1">{#N/A,#N/A,FALSE,"CCTV"}</definedName>
    <definedName name="rty" localSheetId="18" hidden="1">{#N/A,#N/A,FALSE,"CCTV"}</definedName>
    <definedName name="rty" hidden="1">{#N/A,#N/A,FALSE,"CCTV"}</definedName>
    <definedName name="rtyu" localSheetId="20" hidden="1">{"'Sheet1'!$A$1"}</definedName>
    <definedName name="rtyu" localSheetId="19" hidden="1">{"'Sheet1'!$A$1"}</definedName>
    <definedName name="rtyu" localSheetId="26" hidden="1">{"'Sheet1'!$A$1"}</definedName>
    <definedName name="rtyu" localSheetId="24" hidden="1">{"'Sheet1'!$A$1"}</definedName>
    <definedName name="rtyu" localSheetId="32" hidden="1">{"'Sheet1'!$A$1"}</definedName>
    <definedName name="rtyu" localSheetId="27" hidden="1">{"'Sheet1'!$A$1"}</definedName>
    <definedName name="rtyu" localSheetId="28" hidden="1">{"'Sheet1'!$A$1"}</definedName>
    <definedName name="rtyu" localSheetId="29" hidden="1">{"'Sheet1'!$A$1"}</definedName>
    <definedName name="rtyu" localSheetId="31" hidden="1">{"'Sheet1'!$A$1"}</definedName>
    <definedName name="rtyu" localSheetId="30" hidden="1">{"'Sheet1'!$A$1"}</definedName>
    <definedName name="rtyu" localSheetId="17" hidden="1">{"'Sheet1'!$A$1"}</definedName>
    <definedName name="rtyu" localSheetId="18" hidden="1">{"'Sheet1'!$A$1"}</definedName>
    <definedName name="rtyu" hidden="1">{"'Sheet1'!$A$1"}</definedName>
    <definedName name="Rumah" hidden="1">#REF!</definedName>
    <definedName name="RWL" localSheetId="20" hidden="1">{"Offgrid",#N/A,FALSE,"OFFGRID";"Region",#N/A,FALSE,"REGION";"Offgrid -2",#N/A,FALSE,"OFFGRID";"WTP",#N/A,FALSE,"WTP";"WTP -2",#N/A,FALSE,"WTP";"Project",#N/A,FALSE,"PROJECT";"Summary -2",#N/A,FALSE,"SUMMARY"}</definedName>
    <definedName name="RWL" localSheetId="19" hidden="1">{"Offgrid",#N/A,FALSE,"OFFGRID";"Region",#N/A,FALSE,"REGION";"Offgrid -2",#N/A,FALSE,"OFFGRID";"WTP",#N/A,FALSE,"WTP";"WTP -2",#N/A,FALSE,"WTP";"Project",#N/A,FALSE,"PROJECT";"Summary -2",#N/A,FALSE,"SUMMARY"}</definedName>
    <definedName name="RWL" localSheetId="26" hidden="1">{"Offgrid",#N/A,FALSE,"OFFGRID";"Region",#N/A,FALSE,"REGION";"Offgrid -2",#N/A,FALSE,"OFFGRID";"WTP",#N/A,FALSE,"WTP";"WTP -2",#N/A,FALSE,"WTP";"Project",#N/A,FALSE,"PROJECT";"Summary -2",#N/A,FALSE,"SUMMARY"}</definedName>
    <definedName name="RWL" localSheetId="24" hidden="1">{"Offgrid",#N/A,FALSE,"OFFGRID";"Region",#N/A,FALSE,"REGION";"Offgrid -2",#N/A,FALSE,"OFFGRID";"WTP",#N/A,FALSE,"WTP";"WTP -2",#N/A,FALSE,"WTP";"Project",#N/A,FALSE,"PROJECT";"Summary -2",#N/A,FALSE,"SUMMARY"}</definedName>
    <definedName name="RWL" localSheetId="32" hidden="1">{"Offgrid",#N/A,FALSE,"OFFGRID";"Region",#N/A,FALSE,"REGION";"Offgrid -2",#N/A,FALSE,"OFFGRID";"WTP",#N/A,FALSE,"WTP";"WTP -2",#N/A,FALSE,"WTP";"Project",#N/A,FALSE,"PROJECT";"Summary -2",#N/A,FALSE,"SUMMARY"}</definedName>
    <definedName name="RWL" localSheetId="27" hidden="1">{"Offgrid",#N/A,FALSE,"OFFGRID";"Region",#N/A,FALSE,"REGION";"Offgrid -2",#N/A,FALSE,"OFFGRID";"WTP",#N/A,FALSE,"WTP";"WTP -2",#N/A,FALSE,"WTP";"Project",#N/A,FALSE,"PROJECT";"Summary -2",#N/A,FALSE,"SUMMARY"}</definedName>
    <definedName name="RWL" localSheetId="28" hidden="1">{"Offgrid",#N/A,FALSE,"OFFGRID";"Region",#N/A,FALSE,"REGION";"Offgrid -2",#N/A,FALSE,"OFFGRID";"WTP",#N/A,FALSE,"WTP";"WTP -2",#N/A,FALSE,"WTP";"Project",#N/A,FALSE,"PROJECT";"Summary -2",#N/A,FALSE,"SUMMARY"}</definedName>
    <definedName name="RWL" localSheetId="29" hidden="1">{"Offgrid",#N/A,FALSE,"OFFGRID";"Region",#N/A,FALSE,"REGION";"Offgrid -2",#N/A,FALSE,"OFFGRID";"WTP",#N/A,FALSE,"WTP";"WTP -2",#N/A,FALSE,"WTP";"Project",#N/A,FALSE,"PROJECT";"Summary -2",#N/A,FALSE,"SUMMARY"}</definedName>
    <definedName name="RWL" localSheetId="31" hidden="1">{"Offgrid",#N/A,FALSE,"OFFGRID";"Region",#N/A,FALSE,"REGION";"Offgrid -2",#N/A,FALSE,"OFFGRID";"WTP",#N/A,FALSE,"WTP";"WTP -2",#N/A,FALSE,"WTP";"Project",#N/A,FALSE,"PROJECT";"Summary -2",#N/A,FALSE,"SUMMARY"}</definedName>
    <definedName name="RWL" localSheetId="30" hidden="1">{"Offgrid",#N/A,FALSE,"OFFGRID";"Region",#N/A,FALSE,"REGION";"Offgrid -2",#N/A,FALSE,"OFFGRID";"WTP",#N/A,FALSE,"WTP";"WTP -2",#N/A,FALSE,"WTP";"Project",#N/A,FALSE,"PROJECT";"Summary -2",#N/A,FALSE,"SUMMARY"}</definedName>
    <definedName name="RWL" localSheetId="17" hidden="1">{"Offgrid",#N/A,FALSE,"OFFGRID";"Region",#N/A,FALSE,"REGION";"Offgrid -2",#N/A,FALSE,"OFFGRID";"WTP",#N/A,FALSE,"WTP";"WTP -2",#N/A,FALSE,"WTP";"Project",#N/A,FALSE,"PROJECT";"Summary -2",#N/A,FALSE,"SUMMARY"}</definedName>
    <definedName name="RWL" localSheetId="18" hidden="1">{"Offgrid",#N/A,FALSE,"OFFGRID";"Region",#N/A,FALSE,"REGION";"Offgrid -2",#N/A,FALSE,"OFFGRID";"WTP",#N/A,FALSE,"WTP";"WTP -2",#N/A,FALSE,"WTP";"Project",#N/A,FALSE,"PROJECT";"Summary -2",#N/A,FALSE,"SUMMARY"}</definedName>
    <definedName name="RWL" hidden="1">{"Offgrid",#N/A,FALSE,"OFFGRID";"Region",#N/A,FALSE,"REGION";"Offgrid -2",#N/A,FALSE,"OFFGRID";"WTP",#N/A,FALSE,"WTP";"WTP -2",#N/A,FALSE,"WTP";"Project",#N/A,FALSE,"PROJECT";"Summary -2",#N/A,FALSE,"SUMMARY"}</definedName>
    <definedName name="Rwvu.CapersView." localSheetId="32" hidden="1">#REF!</definedName>
    <definedName name="Rwvu.CapersView." hidden="1">#REF!</definedName>
    <definedName name="Rwvu.Japan_Capers_Ed_Pub." localSheetId="32" hidden="1">#REF!</definedName>
    <definedName name="Rwvu.Japan_Capers_Ed_Pub." hidden="1">#REF!</definedName>
    <definedName name="Rwvu.KJP_CC." localSheetId="32" hidden="1">#REF!</definedName>
    <definedName name="Rwvu.KJP_CC." hidden="1">#REF!</definedName>
    <definedName name="RY" localSheetId="2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Y" localSheetId="1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Y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Y" localSheetId="2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Y" localSheetId="3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Y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Y" localSheetId="2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Y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Y" localSheetId="3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Y" localSheetId="3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Y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Y" localSheetId="1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ytj" localSheetId="20" hidden="1">{#N/A,#N/A,FALSE,"REK";#N/A,#N/A,FALSE,"rab"}</definedName>
    <definedName name="rytj" localSheetId="19" hidden="1">{#N/A,#N/A,FALSE,"REK";#N/A,#N/A,FALSE,"rab"}</definedName>
    <definedName name="rytj" localSheetId="26" hidden="1">{#N/A,#N/A,FALSE,"REK";#N/A,#N/A,FALSE,"rab"}</definedName>
    <definedName name="rytj" localSheetId="24" hidden="1">{#N/A,#N/A,FALSE,"REK";#N/A,#N/A,FALSE,"rab"}</definedName>
    <definedName name="rytj" localSheetId="32" hidden="1">{#N/A,#N/A,FALSE,"REK";#N/A,#N/A,FALSE,"rab"}</definedName>
    <definedName name="rytj" localSheetId="27" hidden="1">{#N/A,#N/A,FALSE,"REK";#N/A,#N/A,FALSE,"rab"}</definedName>
    <definedName name="rytj" localSheetId="28" hidden="1">{#N/A,#N/A,FALSE,"REK";#N/A,#N/A,FALSE,"rab"}</definedName>
    <definedName name="rytj" localSheetId="29" hidden="1">{#N/A,#N/A,FALSE,"REK";#N/A,#N/A,FALSE,"rab"}</definedName>
    <definedName name="rytj" localSheetId="31" hidden="1">{#N/A,#N/A,FALSE,"REK";#N/A,#N/A,FALSE,"rab"}</definedName>
    <definedName name="rytj" localSheetId="30" hidden="1">{#N/A,#N/A,FALSE,"REK";#N/A,#N/A,FALSE,"rab"}</definedName>
    <definedName name="rytj" localSheetId="17" hidden="1">{#N/A,#N/A,FALSE,"REK";#N/A,#N/A,FALSE,"rab"}</definedName>
    <definedName name="rytj" localSheetId="18" hidden="1">{#N/A,#N/A,FALSE,"REK";#N/A,#N/A,FALSE,"rab"}</definedName>
    <definedName name="rytj" hidden="1">{#N/A,#N/A,FALSE,"REK";#N/A,#N/A,FALSE,"rab"}</definedName>
    <definedName name="ryyy" localSheetId="20" hidden="1">{"'Sheet1'!$A$1"}</definedName>
    <definedName name="ryyy" localSheetId="19" hidden="1">{"'Sheet1'!$A$1"}</definedName>
    <definedName name="ryyy" localSheetId="26" hidden="1">{"'Sheet1'!$A$1"}</definedName>
    <definedName name="ryyy" localSheetId="24" hidden="1">{"'Sheet1'!$A$1"}</definedName>
    <definedName name="ryyy" localSheetId="32" hidden="1">{"'Sheet1'!$A$1"}</definedName>
    <definedName name="ryyy" localSheetId="27" hidden="1">{"'Sheet1'!$A$1"}</definedName>
    <definedName name="ryyy" localSheetId="28" hidden="1">{"'Sheet1'!$A$1"}</definedName>
    <definedName name="ryyy" localSheetId="29" hidden="1">{"'Sheet1'!$A$1"}</definedName>
    <definedName name="ryyy" localSheetId="31" hidden="1">{"'Sheet1'!$A$1"}</definedName>
    <definedName name="ryyy" localSheetId="30" hidden="1">{"'Sheet1'!$A$1"}</definedName>
    <definedName name="ryyy" localSheetId="17" hidden="1">{"'Sheet1'!$A$1"}</definedName>
    <definedName name="ryyy" localSheetId="18" hidden="1">{"'Sheet1'!$A$1"}</definedName>
    <definedName name="ryyy" hidden="1">{"'Sheet1'!$A$1"}</definedName>
    <definedName name="S" localSheetId="42" hidden="1">#REF!</definedName>
    <definedName name="S" hidden="1">#REF!</definedName>
    <definedName name="sacad" hidden="1">#REF!</definedName>
    <definedName name="SACCDAC" hidden="1">#REF!</definedName>
    <definedName name="sadA" localSheetId="20" hidden="1">{"'Sheet1'!$A$1"}</definedName>
    <definedName name="sadA" localSheetId="19" hidden="1">{"'Sheet1'!$A$1"}</definedName>
    <definedName name="sadA" localSheetId="26" hidden="1">{"'Sheet1'!$A$1"}</definedName>
    <definedName name="sadA" localSheetId="24" hidden="1">{"'Sheet1'!$A$1"}</definedName>
    <definedName name="sadA" localSheetId="32" hidden="1">{"'Sheet1'!$A$1"}</definedName>
    <definedName name="sadA" localSheetId="27" hidden="1">{"'Sheet1'!$A$1"}</definedName>
    <definedName name="sadA" localSheetId="28" hidden="1">{"'Sheet1'!$A$1"}</definedName>
    <definedName name="sadA" localSheetId="29" hidden="1">{"'Sheet1'!$A$1"}</definedName>
    <definedName name="sadA" localSheetId="31" hidden="1">{"'Sheet1'!$A$1"}</definedName>
    <definedName name="sadA" localSheetId="30" hidden="1">{"'Sheet1'!$A$1"}</definedName>
    <definedName name="sadA" localSheetId="17" hidden="1">{"'Sheet1'!$A$1"}</definedName>
    <definedName name="sadA" localSheetId="18" hidden="1">{"'Sheet1'!$A$1"}</definedName>
    <definedName name="sadA" hidden="1">{"'Sheet1'!$A$1"}</definedName>
    <definedName name="SADAD" localSheetId="2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DAD" localSheetId="1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DAD" localSheetId="2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DAD" localSheetId="2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DAD" localSheetId="3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DAD" localSheetId="2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DAD" localSheetId="2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DAD" localSheetId="2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DAD" localSheetId="3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DAD" localSheetId="3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DAD" localSheetId="1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DAD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DA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df" localSheetId="32" hidden="1">#REF!</definedName>
    <definedName name="sadf" localSheetId="27" hidden="1">#REF!</definedName>
    <definedName name="sadf" localSheetId="18" hidden="1">#REF!</definedName>
    <definedName name="sadf" hidden="1">#REF!</definedName>
    <definedName name="SADFD" localSheetId="27" hidden="1">#REF!</definedName>
    <definedName name="SADFD" localSheetId="18" hidden="1">#REF!</definedName>
    <definedName name="SADFD" hidden="1">#REF!</definedName>
    <definedName name="safacdsv" localSheetId="20" hidden="1">{"'Sheet1'!$A$1"}</definedName>
    <definedName name="safacdsv" localSheetId="19" hidden="1">{"'Sheet1'!$A$1"}</definedName>
    <definedName name="safacdsv" localSheetId="26" hidden="1">{"'Sheet1'!$A$1"}</definedName>
    <definedName name="safacdsv" localSheetId="24" hidden="1">{"'Sheet1'!$A$1"}</definedName>
    <definedName name="safacdsv" localSheetId="32" hidden="1">{"'Sheet1'!$A$1"}</definedName>
    <definedName name="safacdsv" localSheetId="27" hidden="1">{"'Sheet1'!$A$1"}</definedName>
    <definedName name="safacdsv" localSheetId="28" hidden="1">{"'Sheet1'!$A$1"}</definedName>
    <definedName name="safacdsv" localSheetId="29" hidden="1">{"'Sheet1'!$A$1"}</definedName>
    <definedName name="safacdsv" localSheetId="31" hidden="1">{"'Sheet1'!$A$1"}</definedName>
    <definedName name="safacdsv" localSheetId="30" hidden="1">{"'Sheet1'!$A$1"}</definedName>
    <definedName name="safacdsv" localSheetId="17" hidden="1">{"'Sheet1'!$A$1"}</definedName>
    <definedName name="safacdsv" localSheetId="18" hidden="1">{"'Sheet1'!$A$1"}</definedName>
    <definedName name="safacdsv" hidden="1">{"'Sheet1'!$A$1"}</definedName>
    <definedName name="SAFD" hidden="1">#REF!</definedName>
    <definedName name="SAG" localSheetId="2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" localSheetId="1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" localSheetId="2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" localSheetId="3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" localSheetId="2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" localSheetId="3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" localSheetId="3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" localSheetId="1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LAH" localSheetId="32" hidden="1">#REF!</definedName>
    <definedName name="SALAH" hidden="1">#REF!</definedName>
    <definedName name="Salas" localSheetId="32" hidden="1">#REF!</definedName>
    <definedName name="Salas" hidden="1">#REF!</definedName>
    <definedName name="Sampul02" localSheetId="32" hidden="1">#REF!</definedName>
    <definedName name="Sampul02" hidden="1">#REF!</definedName>
    <definedName name="sap" localSheetId="20" hidden="1">{"'Sheet1'!$A$1"}</definedName>
    <definedName name="sap" localSheetId="19" hidden="1">{"'Sheet1'!$A$1"}</definedName>
    <definedName name="sap" localSheetId="26" hidden="1">{"'Sheet1'!$A$1"}</definedName>
    <definedName name="sap" localSheetId="24" hidden="1">{"'Sheet1'!$A$1"}</definedName>
    <definedName name="sap" localSheetId="32" hidden="1">{"'Sheet1'!$A$1"}</definedName>
    <definedName name="sap" localSheetId="27" hidden="1">{"'Sheet1'!$A$1"}</definedName>
    <definedName name="sap" localSheetId="28" hidden="1">{"'Sheet1'!$A$1"}</definedName>
    <definedName name="sap" localSheetId="29" hidden="1">{"'Sheet1'!$A$1"}</definedName>
    <definedName name="sap" localSheetId="31" hidden="1">{"'Sheet1'!$A$1"}</definedName>
    <definedName name="sap" localSheetId="30" hidden="1">{"'Sheet1'!$A$1"}</definedName>
    <definedName name="sap" localSheetId="17" hidden="1">{"'Sheet1'!$A$1"}</definedName>
    <definedName name="sap" localSheetId="18" hidden="1">{"'Sheet1'!$A$1"}</definedName>
    <definedName name="sap" hidden="1">{"'Sheet1'!$A$1"}</definedName>
    <definedName name="sasa" localSheetId="20" hidden="1">{#N/A,#N/A,FALSE,"CCTV"}</definedName>
    <definedName name="sasa" localSheetId="19" hidden="1">{#N/A,#N/A,FALSE,"CCTV"}</definedName>
    <definedName name="sasa" localSheetId="26" hidden="1">{#N/A,#N/A,FALSE,"CCTV"}</definedName>
    <definedName name="sasa" localSheetId="24" hidden="1">{#N/A,#N/A,FALSE,"CCTV"}</definedName>
    <definedName name="sasa" localSheetId="32" hidden="1">{#N/A,#N/A,FALSE,"CCTV"}</definedName>
    <definedName name="sasa" localSheetId="27" hidden="1">{#N/A,#N/A,FALSE,"CCTV"}</definedName>
    <definedName name="sasa" localSheetId="28" hidden="1">{#N/A,#N/A,FALSE,"CCTV"}</definedName>
    <definedName name="sasa" localSheetId="29" hidden="1">{#N/A,#N/A,FALSE,"CCTV"}</definedName>
    <definedName name="sasa" localSheetId="31" hidden="1">{#N/A,#N/A,FALSE,"CCTV"}</definedName>
    <definedName name="sasa" localSheetId="30" hidden="1">{#N/A,#N/A,FALSE,"CCTV"}</definedName>
    <definedName name="sasa" localSheetId="17" hidden="1">{#N/A,#N/A,FALSE,"CCTV"}</definedName>
    <definedName name="sasa" localSheetId="18" hidden="1">{#N/A,#N/A,FALSE,"CCTV"}</definedName>
    <definedName name="sasa" hidden="1">{#N/A,#N/A,FALSE,"CCTV"}</definedName>
    <definedName name="SASXD" localSheetId="32" hidden="1">#REF!</definedName>
    <definedName name="SASXD" localSheetId="27" hidden="1">#REF!</definedName>
    <definedName name="SASXD" localSheetId="18" hidden="1">#REF!</definedName>
    <definedName name="SASXD" hidden="1">#REF!</definedName>
    <definedName name="sblw" localSheetId="20" hidden="1">{#N/A,#N/A,FALSE,"M.02"}</definedName>
    <definedName name="sblw" localSheetId="19" hidden="1">{#N/A,#N/A,FALSE,"M.02"}</definedName>
    <definedName name="sblw" localSheetId="26" hidden="1">{#N/A,#N/A,FALSE,"M.02"}</definedName>
    <definedName name="sblw" localSheetId="24" hidden="1">{#N/A,#N/A,FALSE,"M.02"}</definedName>
    <definedName name="sblw" localSheetId="32" hidden="1">{#N/A,#N/A,FALSE,"M.02"}</definedName>
    <definedName name="sblw" localSheetId="27" hidden="1">{#N/A,#N/A,FALSE,"M.02"}</definedName>
    <definedName name="sblw" localSheetId="28" hidden="1">{#N/A,#N/A,FALSE,"M.02"}</definedName>
    <definedName name="sblw" localSheetId="29" hidden="1">{#N/A,#N/A,FALSE,"M.02"}</definedName>
    <definedName name="sblw" localSheetId="31" hidden="1">{#N/A,#N/A,FALSE,"M.02"}</definedName>
    <definedName name="sblw" localSheetId="30" hidden="1">{#N/A,#N/A,FALSE,"M.02"}</definedName>
    <definedName name="sblw" localSheetId="17" hidden="1">{#N/A,#N/A,FALSE,"M.02"}</definedName>
    <definedName name="sblw" localSheetId="18" hidden="1">{#N/A,#N/A,FALSE,"M.02"}</definedName>
    <definedName name="sblw" hidden="1">{#N/A,#N/A,FALSE,"M.02"}</definedName>
    <definedName name="sced" localSheetId="32" hidden="1">#REF!</definedName>
    <definedName name="sced" hidden="1">#REF!</definedName>
    <definedName name="Schedule" localSheetId="32" hidden="1">#REF!</definedName>
    <definedName name="Schedule" hidden="1">#REF!</definedName>
    <definedName name="schtotal" localSheetId="20" hidden="1">{"'Sheet1'!$A$1"}</definedName>
    <definedName name="schtotal" localSheetId="19" hidden="1">{"'Sheet1'!$A$1"}</definedName>
    <definedName name="schtotal" localSheetId="26" hidden="1">{"'Sheet1'!$A$1"}</definedName>
    <definedName name="schtotal" localSheetId="24" hidden="1">{"'Sheet1'!$A$1"}</definedName>
    <definedName name="schtotal" localSheetId="32" hidden="1">{"'Sheet1'!$A$1"}</definedName>
    <definedName name="schtotal" localSheetId="27" hidden="1">{"'Sheet1'!$A$1"}</definedName>
    <definedName name="schtotal" localSheetId="28" hidden="1">{"'Sheet1'!$A$1"}</definedName>
    <definedName name="schtotal" localSheetId="29" hidden="1">{"'Sheet1'!$A$1"}</definedName>
    <definedName name="schtotal" localSheetId="31" hidden="1">{"'Sheet1'!$A$1"}</definedName>
    <definedName name="schtotal" localSheetId="30" hidden="1">{"'Sheet1'!$A$1"}</definedName>
    <definedName name="schtotal" localSheetId="17" hidden="1">{"'Sheet1'!$A$1"}</definedName>
    <definedName name="schtotal" localSheetId="18" hidden="1">{"'Sheet1'!$A$1"}</definedName>
    <definedName name="schtotal" hidden="1">{"'Sheet1'!$A$1"}</definedName>
    <definedName name="schv" localSheetId="20" hidden="1">{"'Sheet1'!$A$1"}</definedName>
    <definedName name="schv" localSheetId="19" hidden="1">{"'Sheet1'!$A$1"}</definedName>
    <definedName name="schv" localSheetId="26" hidden="1">{"'Sheet1'!$A$1"}</definedName>
    <definedName name="schv" localSheetId="24" hidden="1">{"'Sheet1'!$A$1"}</definedName>
    <definedName name="schv" localSheetId="32" hidden="1">{"'Sheet1'!$A$1"}</definedName>
    <definedName name="schv" localSheetId="27" hidden="1">{"'Sheet1'!$A$1"}</definedName>
    <definedName name="schv" localSheetId="28" hidden="1">{"'Sheet1'!$A$1"}</definedName>
    <definedName name="schv" localSheetId="29" hidden="1">{"'Sheet1'!$A$1"}</definedName>
    <definedName name="schv" localSheetId="31" hidden="1">{"'Sheet1'!$A$1"}</definedName>
    <definedName name="schv" localSheetId="30" hidden="1">{"'Sheet1'!$A$1"}</definedName>
    <definedName name="schv" localSheetId="17" hidden="1">{"'Sheet1'!$A$1"}</definedName>
    <definedName name="schv" localSheetId="18" hidden="1">{"'Sheet1'!$A$1"}</definedName>
    <definedName name="schv" hidden="1">{"'Sheet1'!$A$1"}</definedName>
    <definedName name="scope" localSheetId="20" hidden="1">{#N/A,#N/A,FALSE,"Chi tiÆt"}</definedName>
    <definedName name="scope" localSheetId="19" hidden="1">{#N/A,#N/A,FALSE,"Chi tiÆt"}</definedName>
    <definedName name="scope" localSheetId="26" hidden="1">{#N/A,#N/A,FALSE,"Chi tiÆt"}</definedName>
    <definedName name="scope" localSheetId="24" hidden="1">{#N/A,#N/A,FALSE,"Chi tiÆt"}</definedName>
    <definedName name="scope" localSheetId="32" hidden="1">{#N/A,#N/A,FALSE,"Chi tiÆt"}</definedName>
    <definedName name="scope" localSheetId="27" hidden="1">{#N/A,#N/A,FALSE,"Chi tiÆt"}</definedName>
    <definedName name="scope" localSheetId="28" hidden="1">{#N/A,#N/A,FALSE,"Chi tiÆt"}</definedName>
    <definedName name="scope" localSheetId="29" hidden="1">{#N/A,#N/A,FALSE,"Chi tiÆt"}</definedName>
    <definedName name="scope" localSheetId="31" hidden="1">{#N/A,#N/A,FALSE,"Chi tiÆt"}</definedName>
    <definedName name="scope" localSheetId="30" hidden="1">{#N/A,#N/A,FALSE,"Chi tiÆt"}</definedName>
    <definedName name="scope" localSheetId="17" hidden="1">{#N/A,#N/A,FALSE,"Chi tiÆt"}</definedName>
    <definedName name="scope" localSheetId="18" hidden="1">{#N/A,#N/A,FALSE,"Chi tiÆt"}</definedName>
    <definedName name="scope" hidden="1">{#N/A,#N/A,FALSE,"Chi tiÆt"}</definedName>
    <definedName name="SCOPE1" localSheetId="20" hidden="1">{#N/A,#N/A,FALSE,"Chi tiÆt"}</definedName>
    <definedName name="SCOPE1" localSheetId="19" hidden="1">{#N/A,#N/A,FALSE,"Chi tiÆt"}</definedName>
    <definedName name="SCOPE1" localSheetId="26" hidden="1">{#N/A,#N/A,FALSE,"Chi tiÆt"}</definedName>
    <definedName name="SCOPE1" localSheetId="24" hidden="1">{#N/A,#N/A,FALSE,"Chi tiÆt"}</definedName>
    <definedName name="SCOPE1" localSheetId="32" hidden="1">{#N/A,#N/A,FALSE,"Chi tiÆt"}</definedName>
    <definedName name="SCOPE1" localSheetId="27" hidden="1">{#N/A,#N/A,FALSE,"Chi tiÆt"}</definedName>
    <definedName name="SCOPE1" localSheetId="28" hidden="1">{#N/A,#N/A,FALSE,"Chi tiÆt"}</definedName>
    <definedName name="SCOPE1" localSheetId="29" hidden="1">{#N/A,#N/A,FALSE,"Chi tiÆt"}</definedName>
    <definedName name="SCOPE1" localSheetId="31" hidden="1">{#N/A,#N/A,FALSE,"Chi tiÆt"}</definedName>
    <definedName name="SCOPE1" localSheetId="30" hidden="1">{#N/A,#N/A,FALSE,"Chi tiÆt"}</definedName>
    <definedName name="SCOPE1" localSheetId="17" hidden="1">{#N/A,#N/A,FALSE,"Chi tiÆt"}</definedName>
    <definedName name="SCOPE1" localSheetId="18" hidden="1">{#N/A,#N/A,FALSE,"Chi tiÆt"}</definedName>
    <definedName name="SCOPE1" hidden="1">{#N/A,#N/A,FALSE,"Chi tiÆt"}</definedName>
    <definedName name="sda" localSheetId="32" hidden="1">#REF!</definedName>
    <definedName name="sda" localSheetId="42" hidden="1">#REF!</definedName>
    <definedName name="sda" hidden="1">#REF!</definedName>
    <definedName name="sdaassaas" localSheetId="32" hidden="1">#REF!</definedName>
    <definedName name="sdaassaas" hidden="1">#REF!</definedName>
    <definedName name="sdad" localSheetId="20" hidden="1">{"'Sheet1'!$A$1"}</definedName>
    <definedName name="sdad" localSheetId="19" hidden="1">{"'Sheet1'!$A$1"}</definedName>
    <definedName name="sdad" localSheetId="26" hidden="1">{"'Sheet1'!$A$1"}</definedName>
    <definedName name="sdad" localSheetId="24" hidden="1">{"'Sheet1'!$A$1"}</definedName>
    <definedName name="sdad" localSheetId="32" hidden="1">{"'Sheet1'!$A$1"}</definedName>
    <definedName name="sdad" localSheetId="27" hidden="1">{"'Sheet1'!$A$1"}</definedName>
    <definedName name="sdad" localSheetId="28" hidden="1">{"'Sheet1'!$A$1"}</definedName>
    <definedName name="sdad" localSheetId="29" hidden="1">{"'Sheet1'!$A$1"}</definedName>
    <definedName name="sdad" localSheetId="31" hidden="1">{"'Sheet1'!$A$1"}</definedName>
    <definedName name="sdad" localSheetId="30" hidden="1">{"'Sheet1'!$A$1"}</definedName>
    <definedName name="sdad" localSheetId="17" hidden="1">{"'Sheet1'!$A$1"}</definedName>
    <definedName name="sdad" localSheetId="18" hidden="1">{"'Sheet1'!$A$1"}</definedName>
    <definedName name="sdad" hidden="1">{"'Sheet1'!$A$1"}</definedName>
    <definedName name="sde" localSheetId="20" hidden="1">{"'A'!$A$1:$W$63"}</definedName>
    <definedName name="sde" localSheetId="19" hidden="1">{"'A'!$A$1:$W$63"}</definedName>
    <definedName name="sde" localSheetId="26" hidden="1">{"'A'!$A$1:$W$63"}</definedName>
    <definedName name="sde" localSheetId="24" hidden="1">{"'A'!$A$1:$W$63"}</definedName>
    <definedName name="sde" localSheetId="32" hidden="1">{"'A'!$A$1:$W$63"}</definedName>
    <definedName name="sde" localSheetId="27" hidden="1">{"'A'!$A$1:$W$63"}</definedName>
    <definedName name="sde" localSheetId="28" hidden="1">{"'A'!$A$1:$W$63"}</definedName>
    <definedName name="sde" localSheetId="29" hidden="1">{"'A'!$A$1:$W$63"}</definedName>
    <definedName name="sde" localSheetId="31" hidden="1">{"'A'!$A$1:$W$63"}</definedName>
    <definedName name="sde" localSheetId="30" hidden="1">{"'A'!$A$1:$W$63"}</definedName>
    <definedName name="sde" localSheetId="17" hidden="1">{"'A'!$A$1:$W$63"}</definedName>
    <definedName name="sde" localSheetId="18" hidden="1">{"'A'!$A$1:$W$63"}</definedName>
    <definedName name="sde" hidden="1">{"'A'!$A$1:$W$63"}</definedName>
    <definedName name="sdf" localSheetId="20" hidden="1">{"'Sheet1'!$A$1"}</definedName>
    <definedName name="sdf" localSheetId="19" hidden="1">{"'Sheet1'!$A$1"}</definedName>
    <definedName name="sdf" localSheetId="26" hidden="1">{"'Sheet1'!$A$1"}</definedName>
    <definedName name="sdf" localSheetId="24" hidden="1">{"'Sheet1'!$A$1"}</definedName>
    <definedName name="sdf" localSheetId="32" hidden="1">{"'Sheet1'!$A$1"}</definedName>
    <definedName name="sdf" localSheetId="27" hidden="1">{"'Sheet1'!$A$1"}</definedName>
    <definedName name="sdf" localSheetId="28" hidden="1">{"'Sheet1'!$A$1"}</definedName>
    <definedName name="sdf" localSheetId="29" hidden="1">{"'Sheet1'!$A$1"}</definedName>
    <definedName name="sdf" localSheetId="31" hidden="1">{"'Sheet1'!$A$1"}</definedName>
    <definedName name="sdf" localSheetId="30" hidden="1">{"'Sheet1'!$A$1"}</definedName>
    <definedName name="sdf" localSheetId="17" hidden="1">{"'Sheet1'!$A$1"}</definedName>
    <definedName name="sdf" localSheetId="18" hidden="1">{"'Sheet1'!$A$1"}</definedName>
    <definedName name="sdf" hidden="1">{"'Sheet1'!$A$1"}</definedName>
    <definedName name="sdf\" localSheetId="20" hidden="1">{"'1996'!$A$1:$J$272"}</definedName>
    <definedName name="sdf\" localSheetId="19" hidden="1">{"'1996'!$A$1:$J$272"}</definedName>
    <definedName name="sdf\" localSheetId="26" hidden="1">{"'1996'!$A$1:$J$272"}</definedName>
    <definedName name="sdf\" localSheetId="24" hidden="1">{"'1996'!$A$1:$J$272"}</definedName>
    <definedName name="sdf\" localSheetId="32" hidden="1">{"'1996'!$A$1:$J$272"}</definedName>
    <definedName name="sdf\" localSheetId="27" hidden="1">{"'1996'!$A$1:$J$272"}</definedName>
    <definedName name="sdf\" localSheetId="28" hidden="1">{"'1996'!$A$1:$J$272"}</definedName>
    <definedName name="sdf\" localSheetId="29" hidden="1">{"'1996'!$A$1:$J$272"}</definedName>
    <definedName name="sdf\" localSheetId="31" hidden="1">{"'1996'!$A$1:$J$272"}</definedName>
    <definedName name="sdf\" localSheetId="30" hidden="1">{"'1996'!$A$1:$J$272"}</definedName>
    <definedName name="sdf\" localSheetId="17" hidden="1">{"'1996'!$A$1:$J$272"}</definedName>
    <definedName name="sdf\" localSheetId="18" hidden="1">{"'1996'!$A$1:$J$272"}</definedName>
    <definedName name="sdf\" hidden="1">{"'1996'!$A$1:$J$272"}</definedName>
    <definedName name="SDFG" hidden="1">#REF!</definedName>
    <definedName name="SDFGHJ" hidden="1">#REF!</definedName>
    <definedName name="SDFSADFSADF" hidden="1">#REF!</definedName>
    <definedName name="SDFSDFASFGDSFG" hidden="1">#REF!</definedName>
    <definedName name="sdfsf" localSheetId="20" hidden="1">{"'Sheet1'!$A$1"}</definedName>
    <definedName name="sdfsf" localSheetId="19" hidden="1">{"'Sheet1'!$A$1"}</definedName>
    <definedName name="sdfsf" localSheetId="26" hidden="1">{"'Sheet1'!$A$1"}</definedName>
    <definedName name="sdfsf" localSheetId="24" hidden="1">{"'Sheet1'!$A$1"}</definedName>
    <definedName name="sdfsf" localSheetId="32" hidden="1">{"'Sheet1'!$A$1"}</definedName>
    <definedName name="sdfsf" localSheetId="27" hidden="1">{"'Sheet1'!$A$1"}</definedName>
    <definedName name="sdfsf" localSheetId="28" hidden="1">{"'Sheet1'!$A$1"}</definedName>
    <definedName name="sdfsf" localSheetId="29" hidden="1">{"'Sheet1'!$A$1"}</definedName>
    <definedName name="sdfsf" localSheetId="31" hidden="1">{"'Sheet1'!$A$1"}</definedName>
    <definedName name="sdfsf" localSheetId="30" hidden="1">{"'Sheet1'!$A$1"}</definedName>
    <definedName name="sdfsf" localSheetId="17" hidden="1">{"'Sheet1'!$A$1"}</definedName>
    <definedName name="sdfsf" localSheetId="18" hidden="1">{"'Sheet1'!$A$1"}</definedName>
    <definedName name="sdfsf" hidden="1">{"'Sheet1'!$A$1"}</definedName>
    <definedName name="sdfwrg" localSheetId="20" hidden="1">{"'Sheet1'!$A$1"}</definedName>
    <definedName name="sdfwrg" localSheetId="19" hidden="1">{"'Sheet1'!$A$1"}</definedName>
    <definedName name="sdfwrg" localSheetId="26" hidden="1">{"'Sheet1'!$A$1"}</definedName>
    <definedName name="sdfwrg" localSheetId="24" hidden="1">{"'Sheet1'!$A$1"}</definedName>
    <definedName name="sdfwrg" localSheetId="32" hidden="1">{"'Sheet1'!$A$1"}</definedName>
    <definedName name="sdfwrg" localSheetId="27" hidden="1">{"'Sheet1'!$A$1"}</definedName>
    <definedName name="sdfwrg" localSheetId="28" hidden="1">{"'Sheet1'!$A$1"}</definedName>
    <definedName name="sdfwrg" localSheetId="29" hidden="1">{"'Sheet1'!$A$1"}</definedName>
    <definedName name="sdfwrg" localSheetId="31" hidden="1">{"'Sheet1'!$A$1"}</definedName>
    <definedName name="sdfwrg" localSheetId="30" hidden="1">{"'Sheet1'!$A$1"}</definedName>
    <definedName name="sdfwrg" localSheetId="17" hidden="1">{"'Sheet1'!$A$1"}</definedName>
    <definedName name="sdfwrg" localSheetId="18" hidden="1">{"'Sheet1'!$A$1"}</definedName>
    <definedName name="sdfwrg" hidden="1">{"'Sheet1'!$A$1"}</definedName>
    <definedName name="sdg" hidden="1">#REF!</definedName>
    <definedName name="SDS" localSheetId="2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" localSheetId="1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" localSheetId="2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" localSheetId="3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" localSheetId="2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" localSheetId="3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" localSheetId="3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" localSheetId="1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a" localSheetId="32" hidden="1">#REF!</definedName>
    <definedName name="sdsa" localSheetId="27" hidden="1">#REF!</definedName>
    <definedName name="sdsa" localSheetId="18" hidden="1">#REF!</definedName>
    <definedName name="sdsa" hidden="1">#REF!</definedName>
    <definedName name="sdsd" localSheetId="27" hidden="1">#REF!</definedName>
    <definedName name="sdsd" localSheetId="18" hidden="1">#REF!</definedName>
    <definedName name="sdsd" hidden="1">#REF!</definedName>
    <definedName name="sdtg" localSheetId="20" hidden="1">{"'Sheet1'!$A$1"}</definedName>
    <definedName name="sdtg" localSheetId="19" hidden="1">{"'Sheet1'!$A$1"}</definedName>
    <definedName name="sdtg" localSheetId="26" hidden="1">{"'Sheet1'!$A$1"}</definedName>
    <definedName name="sdtg" localSheetId="24" hidden="1">{"'Sheet1'!$A$1"}</definedName>
    <definedName name="sdtg" localSheetId="32" hidden="1">{"'Sheet1'!$A$1"}</definedName>
    <definedName name="sdtg" localSheetId="27" hidden="1">{"'Sheet1'!$A$1"}</definedName>
    <definedName name="sdtg" localSheetId="28" hidden="1">{"'Sheet1'!$A$1"}</definedName>
    <definedName name="sdtg" localSheetId="29" hidden="1">{"'Sheet1'!$A$1"}</definedName>
    <definedName name="sdtg" localSheetId="31" hidden="1">{"'Sheet1'!$A$1"}</definedName>
    <definedName name="sdtg" localSheetId="30" hidden="1">{"'Sheet1'!$A$1"}</definedName>
    <definedName name="sdtg" localSheetId="17" hidden="1">{"'Sheet1'!$A$1"}</definedName>
    <definedName name="sdtg" localSheetId="18" hidden="1">{"'Sheet1'!$A$1"}</definedName>
    <definedName name="sdtg" hidden="1">{"'Sheet1'!$A$1"}</definedName>
    <definedName name="sdvfv" localSheetId="20" hidden="1">{"'Sheet1'!$A$1"}</definedName>
    <definedName name="sdvfv" localSheetId="19" hidden="1">{"'Sheet1'!$A$1"}</definedName>
    <definedName name="sdvfv" localSheetId="26" hidden="1">{"'Sheet1'!$A$1"}</definedName>
    <definedName name="sdvfv" localSheetId="24" hidden="1">{"'Sheet1'!$A$1"}</definedName>
    <definedName name="sdvfv" localSheetId="32" hidden="1">{"'Sheet1'!$A$1"}</definedName>
    <definedName name="sdvfv" localSheetId="27" hidden="1">{"'Sheet1'!$A$1"}</definedName>
    <definedName name="sdvfv" localSheetId="28" hidden="1">{"'Sheet1'!$A$1"}</definedName>
    <definedName name="sdvfv" localSheetId="29" hidden="1">{"'Sheet1'!$A$1"}</definedName>
    <definedName name="sdvfv" localSheetId="31" hidden="1">{"'Sheet1'!$A$1"}</definedName>
    <definedName name="sdvfv" localSheetId="30" hidden="1">{"'Sheet1'!$A$1"}</definedName>
    <definedName name="sdvfv" localSheetId="17" hidden="1">{"'Sheet1'!$A$1"}</definedName>
    <definedName name="sdvfv" localSheetId="18" hidden="1">{"'Sheet1'!$A$1"}</definedName>
    <definedName name="sdvfv" hidden="1">{"'Sheet1'!$A$1"}</definedName>
    <definedName name="se" localSheetId="20" hidden="1">{#N/A,#N/A,FALSE,"CCTV"}</definedName>
    <definedName name="se" localSheetId="19" hidden="1">{#N/A,#N/A,FALSE,"CCTV"}</definedName>
    <definedName name="se" localSheetId="26" hidden="1">{#N/A,#N/A,FALSE,"CCTV"}</definedName>
    <definedName name="se" localSheetId="24" hidden="1">{#N/A,#N/A,FALSE,"CCTV"}</definedName>
    <definedName name="se" localSheetId="32" hidden="1">{#N/A,#N/A,FALSE,"CCTV"}</definedName>
    <definedName name="se" localSheetId="27" hidden="1">{#N/A,#N/A,FALSE,"CCTV"}</definedName>
    <definedName name="se" localSheetId="28" hidden="1">{#N/A,#N/A,FALSE,"CCTV"}</definedName>
    <definedName name="se" localSheetId="29" hidden="1">{#N/A,#N/A,FALSE,"CCTV"}</definedName>
    <definedName name="se" localSheetId="31" hidden="1">{#N/A,#N/A,FALSE,"CCTV"}</definedName>
    <definedName name="se" localSheetId="30" hidden="1">{#N/A,#N/A,FALSE,"CCTV"}</definedName>
    <definedName name="se" localSheetId="17" hidden="1">{#N/A,#N/A,FALSE,"CCTV"}</definedName>
    <definedName name="se" localSheetId="18" hidden="1">{#N/A,#N/A,FALSE,"CCTV"}</definedName>
    <definedName name="se" hidden="1">{#N/A,#N/A,FALSE,"CCTV"}</definedName>
    <definedName name="SEC.C1" localSheetId="20" hidden="1">#REF!</definedName>
    <definedName name="SEC.C1" localSheetId="19" hidden="1">#REF!</definedName>
    <definedName name="SEC.C1" localSheetId="32" hidden="1">#REF!</definedName>
    <definedName name="SEC.C1" localSheetId="27" hidden="1">#REF!</definedName>
    <definedName name="SEC.C1" localSheetId="28" hidden="1">#REF!</definedName>
    <definedName name="SEC.C1" localSheetId="31" hidden="1">#REF!</definedName>
    <definedName name="SEC.C1" localSheetId="30" hidden="1">#REF!</definedName>
    <definedName name="SEC.C1" localSheetId="17" hidden="1">#REF!</definedName>
    <definedName name="SEC.C1" hidden="1">#REF!</definedName>
    <definedName name="see" localSheetId="42" hidden="1">#REF!</definedName>
    <definedName name="see" hidden="1">#REF!</definedName>
    <definedName name="sefawe" localSheetId="42" hidden="1">#REF!</definedName>
    <definedName name="sefawe" hidden="1">#REF!</definedName>
    <definedName name="sekat" localSheetId="20" hidden="1">{"'Sheet1'!$A$1"}</definedName>
    <definedName name="sekat" localSheetId="19" hidden="1">{"'Sheet1'!$A$1"}</definedName>
    <definedName name="sekat" localSheetId="26" hidden="1">{"'Sheet1'!$A$1"}</definedName>
    <definedName name="sekat" localSheetId="24" hidden="1">{"'Sheet1'!$A$1"}</definedName>
    <definedName name="sekat" localSheetId="32" hidden="1">{"'Sheet1'!$A$1"}</definedName>
    <definedName name="sekat" localSheetId="27" hidden="1">{"'Sheet1'!$A$1"}</definedName>
    <definedName name="sekat" localSheetId="28" hidden="1">{"'Sheet1'!$A$1"}</definedName>
    <definedName name="sekat" localSheetId="29" hidden="1">{"'Sheet1'!$A$1"}</definedName>
    <definedName name="sekat" localSheetId="31" hidden="1">{"'Sheet1'!$A$1"}</definedName>
    <definedName name="sekat" localSheetId="30" hidden="1">{"'Sheet1'!$A$1"}</definedName>
    <definedName name="sekat" localSheetId="17" hidden="1">{"'Sheet1'!$A$1"}</definedName>
    <definedName name="sekat" localSheetId="18" hidden="1">{"'Sheet1'!$A$1"}</definedName>
    <definedName name="sekat" hidden="1">{"'Sheet1'!$A$1"}</definedName>
    <definedName name="sel" hidden="1">#REF!</definedName>
    <definedName name="sencount" hidden="1">1</definedName>
    <definedName name="SEW" localSheetId="20" hidden="1">{#N/A,#N/A,FALSE,"CCTV"}</definedName>
    <definedName name="SEW" localSheetId="19" hidden="1">{#N/A,#N/A,FALSE,"CCTV"}</definedName>
    <definedName name="SEW" localSheetId="26" hidden="1">{#N/A,#N/A,FALSE,"CCTV"}</definedName>
    <definedName name="SEW" localSheetId="24" hidden="1">{#N/A,#N/A,FALSE,"CCTV"}</definedName>
    <definedName name="SEW" localSheetId="32" hidden="1">{#N/A,#N/A,FALSE,"CCTV"}</definedName>
    <definedName name="SEW" localSheetId="27" hidden="1">{#N/A,#N/A,FALSE,"CCTV"}</definedName>
    <definedName name="SEW" localSheetId="28" hidden="1">{#N/A,#N/A,FALSE,"CCTV"}</definedName>
    <definedName name="SEW" localSheetId="29" hidden="1">{#N/A,#N/A,FALSE,"CCTV"}</definedName>
    <definedName name="SEW" localSheetId="31" hidden="1">{#N/A,#N/A,FALSE,"CCTV"}</definedName>
    <definedName name="SEW" localSheetId="30" hidden="1">{#N/A,#N/A,FALSE,"CCTV"}</definedName>
    <definedName name="SEW" localSheetId="17" hidden="1">{#N/A,#N/A,FALSE,"CCTV"}</definedName>
    <definedName name="SEW" localSheetId="18" hidden="1">{#N/A,#N/A,FALSE,"CCTV"}</definedName>
    <definedName name="SEW" hidden="1">{#N/A,#N/A,FALSE,"CCTV"}</definedName>
    <definedName name="SEWAD" localSheetId="20" hidden="1">{"'Sheet1'!$A$1"}</definedName>
    <definedName name="SEWAD" localSheetId="19" hidden="1">{"'Sheet1'!$A$1"}</definedName>
    <definedName name="SEWAD" localSheetId="26" hidden="1">{"'Sheet1'!$A$1"}</definedName>
    <definedName name="SEWAD" localSheetId="24" hidden="1">{"'Sheet1'!$A$1"}</definedName>
    <definedName name="SEWAD" localSheetId="32" hidden="1">{"'Sheet1'!$A$1"}</definedName>
    <definedName name="SEWAD" localSheetId="27" hidden="1">{"'Sheet1'!$A$1"}</definedName>
    <definedName name="SEWAD" localSheetId="28" hidden="1">{"'Sheet1'!$A$1"}</definedName>
    <definedName name="SEWAD" localSheetId="29" hidden="1">{"'Sheet1'!$A$1"}</definedName>
    <definedName name="SEWAD" localSheetId="31" hidden="1">{"'Sheet1'!$A$1"}</definedName>
    <definedName name="SEWAD" localSheetId="30" hidden="1">{"'Sheet1'!$A$1"}</definedName>
    <definedName name="SEWAD" localSheetId="17" hidden="1">{"'Sheet1'!$A$1"}</definedName>
    <definedName name="SEWAD" localSheetId="18" hidden="1">{"'Sheet1'!$A$1"}</definedName>
    <definedName name="SEWAD" hidden="1">{"'Sheet1'!$A$1"}</definedName>
    <definedName name="sfagsf" localSheetId="20" hidden="1">{"'Sheet1'!$A$1"}</definedName>
    <definedName name="sfagsf" localSheetId="19" hidden="1">{"'Sheet1'!$A$1"}</definedName>
    <definedName name="sfagsf" localSheetId="26" hidden="1">{"'Sheet1'!$A$1"}</definedName>
    <definedName name="sfagsf" localSheetId="24" hidden="1">{"'Sheet1'!$A$1"}</definedName>
    <definedName name="sfagsf" localSheetId="32" hidden="1">{"'Sheet1'!$A$1"}</definedName>
    <definedName name="sfagsf" localSheetId="27" hidden="1">{"'Sheet1'!$A$1"}</definedName>
    <definedName name="sfagsf" localSheetId="28" hidden="1">{"'Sheet1'!$A$1"}</definedName>
    <definedName name="sfagsf" localSheetId="29" hidden="1">{"'Sheet1'!$A$1"}</definedName>
    <definedName name="sfagsf" localSheetId="31" hidden="1">{"'Sheet1'!$A$1"}</definedName>
    <definedName name="sfagsf" localSheetId="30" hidden="1">{"'Sheet1'!$A$1"}</definedName>
    <definedName name="sfagsf" localSheetId="17" hidden="1">{"'Sheet1'!$A$1"}</definedName>
    <definedName name="sfagsf" localSheetId="18" hidden="1">{"'Sheet1'!$A$1"}</definedName>
    <definedName name="sfagsf" hidden="1">{"'Sheet1'!$A$1"}</definedName>
    <definedName name="SFDT" localSheetId="20" hidden="1">{"'Sheet1'!$A$1"}</definedName>
    <definedName name="SFDT" localSheetId="19" hidden="1">{"'Sheet1'!$A$1"}</definedName>
    <definedName name="SFDT" localSheetId="26" hidden="1">{"'Sheet1'!$A$1"}</definedName>
    <definedName name="SFDT" localSheetId="24" hidden="1">{"'Sheet1'!$A$1"}</definedName>
    <definedName name="SFDT" localSheetId="32" hidden="1">{"'Sheet1'!$A$1"}</definedName>
    <definedName name="SFDT" localSheetId="27" hidden="1">{"'Sheet1'!$A$1"}</definedName>
    <definedName name="SFDT" localSheetId="28" hidden="1">{"'Sheet1'!$A$1"}</definedName>
    <definedName name="SFDT" localSheetId="29" hidden="1">{"'Sheet1'!$A$1"}</definedName>
    <definedName name="SFDT" localSheetId="31" hidden="1">{"'Sheet1'!$A$1"}</definedName>
    <definedName name="SFDT" localSheetId="30" hidden="1">{"'Sheet1'!$A$1"}</definedName>
    <definedName name="SFDT" localSheetId="17" hidden="1">{"'Sheet1'!$A$1"}</definedName>
    <definedName name="SFDT" localSheetId="18" hidden="1">{"'Sheet1'!$A$1"}</definedName>
    <definedName name="SFDT" hidden="1">{"'Sheet1'!$A$1"}</definedName>
    <definedName name="SFRD" localSheetId="20" hidden="1">{"'Sheet1'!$A$1"}</definedName>
    <definedName name="SFRD" localSheetId="19" hidden="1">{"'Sheet1'!$A$1"}</definedName>
    <definedName name="SFRD" localSheetId="26" hidden="1">{"'Sheet1'!$A$1"}</definedName>
    <definedName name="SFRD" localSheetId="24" hidden="1">{"'Sheet1'!$A$1"}</definedName>
    <definedName name="SFRD" localSheetId="32" hidden="1">{"'Sheet1'!$A$1"}</definedName>
    <definedName name="SFRD" localSheetId="27" hidden="1">{"'Sheet1'!$A$1"}</definedName>
    <definedName name="SFRD" localSheetId="28" hidden="1">{"'Sheet1'!$A$1"}</definedName>
    <definedName name="SFRD" localSheetId="29" hidden="1">{"'Sheet1'!$A$1"}</definedName>
    <definedName name="SFRD" localSheetId="31" hidden="1">{"'Sheet1'!$A$1"}</definedName>
    <definedName name="SFRD" localSheetId="30" hidden="1">{"'Sheet1'!$A$1"}</definedName>
    <definedName name="SFRD" localSheetId="17" hidden="1">{"'Sheet1'!$A$1"}</definedName>
    <definedName name="SFRD" localSheetId="18" hidden="1">{"'Sheet1'!$A$1"}</definedName>
    <definedName name="SFRD" hidden="1">{"'Sheet1'!$A$1"}</definedName>
    <definedName name="SFRE" localSheetId="20" hidden="1">{"'Sheet1'!$A$1"}</definedName>
    <definedName name="SFRE" localSheetId="19" hidden="1">{"'Sheet1'!$A$1"}</definedName>
    <definedName name="SFRE" localSheetId="26" hidden="1">{"'Sheet1'!$A$1"}</definedName>
    <definedName name="SFRE" localSheetId="24" hidden="1">{"'Sheet1'!$A$1"}</definedName>
    <definedName name="SFRE" localSheetId="32" hidden="1">{"'Sheet1'!$A$1"}</definedName>
    <definedName name="SFRE" localSheetId="27" hidden="1">{"'Sheet1'!$A$1"}</definedName>
    <definedName name="SFRE" localSheetId="28" hidden="1">{"'Sheet1'!$A$1"}</definedName>
    <definedName name="SFRE" localSheetId="29" hidden="1">{"'Sheet1'!$A$1"}</definedName>
    <definedName name="SFRE" localSheetId="31" hidden="1">{"'Sheet1'!$A$1"}</definedName>
    <definedName name="SFRE" localSheetId="30" hidden="1">{"'Sheet1'!$A$1"}</definedName>
    <definedName name="SFRE" localSheetId="17" hidden="1">{"'Sheet1'!$A$1"}</definedName>
    <definedName name="SFRE" localSheetId="18" hidden="1">{"'Sheet1'!$A$1"}</definedName>
    <definedName name="SFRE" hidden="1">{"'Sheet1'!$A$1"}</definedName>
    <definedName name="sfsFF" localSheetId="20" hidden="1">{"Offgrid",#N/A,FALSE,"OFFGRID";"Region",#N/A,FALSE,"REGION";"Offgrid -2",#N/A,FALSE,"OFFGRID";"WTP",#N/A,FALSE,"WTP";"WTP -2",#N/A,FALSE,"WTP";"Project",#N/A,FALSE,"PROJECT";"Summary -2",#N/A,FALSE,"SUMMARY"}</definedName>
    <definedName name="sfsFF" localSheetId="19" hidden="1">{"Offgrid",#N/A,FALSE,"OFFGRID";"Region",#N/A,FALSE,"REGION";"Offgrid -2",#N/A,FALSE,"OFFGRID";"WTP",#N/A,FALSE,"WTP";"WTP -2",#N/A,FALSE,"WTP";"Project",#N/A,FALSE,"PROJECT";"Summary -2",#N/A,FALSE,"SUMMARY"}</definedName>
    <definedName name="sfsFF" localSheetId="26" hidden="1">{"Offgrid",#N/A,FALSE,"OFFGRID";"Region",#N/A,FALSE,"REGION";"Offgrid -2",#N/A,FALSE,"OFFGRID";"WTP",#N/A,FALSE,"WTP";"WTP -2",#N/A,FALSE,"WTP";"Project",#N/A,FALSE,"PROJECT";"Summary -2",#N/A,FALSE,"SUMMARY"}</definedName>
    <definedName name="sfsFF" localSheetId="24" hidden="1">{"Offgrid",#N/A,FALSE,"OFFGRID";"Region",#N/A,FALSE,"REGION";"Offgrid -2",#N/A,FALSE,"OFFGRID";"WTP",#N/A,FALSE,"WTP";"WTP -2",#N/A,FALSE,"WTP";"Project",#N/A,FALSE,"PROJECT";"Summary -2",#N/A,FALSE,"SUMMARY"}</definedName>
    <definedName name="sfsFF" localSheetId="32" hidden="1">{"Offgrid",#N/A,FALSE,"OFFGRID";"Region",#N/A,FALSE,"REGION";"Offgrid -2",#N/A,FALSE,"OFFGRID";"WTP",#N/A,FALSE,"WTP";"WTP -2",#N/A,FALSE,"WTP";"Project",#N/A,FALSE,"PROJECT";"Summary -2",#N/A,FALSE,"SUMMARY"}</definedName>
    <definedName name="sfsFF" localSheetId="27" hidden="1">{"Offgrid",#N/A,FALSE,"OFFGRID";"Region",#N/A,FALSE,"REGION";"Offgrid -2",#N/A,FALSE,"OFFGRID";"WTP",#N/A,FALSE,"WTP";"WTP -2",#N/A,FALSE,"WTP";"Project",#N/A,FALSE,"PROJECT";"Summary -2",#N/A,FALSE,"SUMMARY"}</definedName>
    <definedName name="sfsFF" localSheetId="28" hidden="1">{"Offgrid",#N/A,FALSE,"OFFGRID";"Region",#N/A,FALSE,"REGION";"Offgrid -2",#N/A,FALSE,"OFFGRID";"WTP",#N/A,FALSE,"WTP";"WTP -2",#N/A,FALSE,"WTP";"Project",#N/A,FALSE,"PROJECT";"Summary -2",#N/A,FALSE,"SUMMARY"}</definedName>
    <definedName name="sfsFF" localSheetId="29" hidden="1">{"Offgrid",#N/A,FALSE,"OFFGRID";"Region",#N/A,FALSE,"REGION";"Offgrid -2",#N/A,FALSE,"OFFGRID";"WTP",#N/A,FALSE,"WTP";"WTP -2",#N/A,FALSE,"WTP";"Project",#N/A,FALSE,"PROJECT";"Summary -2",#N/A,FALSE,"SUMMARY"}</definedName>
    <definedName name="sfsFF" localSheetId="31" hidden="1">{"Offgrid",#N/A,FALSE,"OFFGRID";"Region",#N/A,FALSE,"REGION";"Offgrid -2",#N/A,FALSE,"OFFGRID";"WTP",#N/A,FALSE,"WTP";"WTP -2",#N/A,FALSE,"WTP";"Project",#N/A,FALSE,"PROJECT";"Summary -2",#N/A,FALSE,"SUMMARY"}</definedName>
    <definedName name="sfsFF" localSheetId="30" hidden="1">{"Offgrid",#N/A,FALSE,"OFFGRID";"Region",#N/A,FALSE,"REGION";"Offgrid -2",#N/A,FALSE,"OFFGRID";"WTP",#N/A,FALSE,"WTP";"WTP -2",#N/A,FALSE,"WTP";"Project",#N/A,FALSE,"PROJECT";"Summary -2",#N/A,FALSE,"SUMMARY"}</definedName>
    <definedName name="sfsFF" localSheetId="17" hidden="1">{"Offgrid",#N/A,FALSE,"OFFGRID";"Region",#N/A,FALSE,"REGION";"Offgrid -2",#N/A,FALSE,"OFFGRID";"WTP",#N/A,FALSE,"WTP";"WTP -2",#N/A,FALSE,"WTP";"Project",#N/A,FALSE,"PROJECT";"Summary -2",#N/A,FALSE,"SUMMARY"}</definedName>
    <definedName name="sfsFF" localSheetId="18" hidden="1">{"Offgrid",#N/A,FALSE,"OFFGRID";"Region",#N/A,FALSE,"REGION";"Offgrid -2",#N/A,FALSE,"OFFGRID";"WTP",#N/A,FALSE,"WTP";"WTP -2",#N/A,FALSE,"WTP";"Project",#N/A,FALSE,"PROJECT";"Summary -2",#N/A,FALSE,"SUMMARY"}</definedName>
    <definedName name="sfsFF" hidden="1">{"Offgrid",#N/A,FALSE,"OFFGRID";"Region",#N/A,FALSE,"REGION";"Offgrid -2",#N/A,FALSE,"OFFGRID";"WTP",#N/A,FALSE,"WTP";"WTP -2",#N/A,FALSE,"WTP";"Project",#N/A,FALSE,"PROJECT";"Summary -2",#N/A,FALSE,"SUMMARY"}</definedName>
    <definedName name="SGDFGDFHDFH" localSheetId="32" hidden="1">#REF!</definedName>
    <definedName name="SGDFGDFHDFH" hidden="1">#REF!</definedName>
    <definedName name="SGFASFGA" localSheetId="32" hidden="1">#REF!</definedName>
    <definedName name="SGFASFGA" hidden="1">#REF!</definedName>
    <definedName name="sgi" localSheetId="20" hidden="1">{#N/A,#N/A,FALSE,"M.01"}</definedName>
    <definedName name="sgi" localSheetId="19" hidden="1">{#N/A,#N/A,FALSE,"M.01"}</definedName>
    <definedName name="sgi" localSheetId="26" hidden="1">{#N/A,#N/A,FALSE,"M.01"}</definedName>
    <definedName name="sgi" localSheetId="24" hidden="1">{#N/A,#N/A,FALSE,"M.01"}</definedName>
    <definedName name="sgi" localSheetId="32" hidden="1">{#N/A,#N/A,FALSE,"M.01"}</definedName>
    <definedName name="sgi" localSheetId="27" hidden="1">{#N/A,#N/A,FALSE,"M.01"}</definedName>
    <definedName name="sgi" localSheetId="28" hidden="1">{#N/A,#N/A,FALSE,"M.01"}</definedName>
    <definedName name="sgi" localSheetId="29" hidden="1">{#N/A,#N/A,FALSE,"M.01"}</definedName>
    <definedName name="sgi" localSheetId="31" hidden="1">{#N/A,#N/A,FALSE,"M.01"}</definedName>
    <definedName name="sgi" localSheetId="30" hidden="1">{#N/A,#N/A,FALSE,"M.01"}</definedName>
    <definedName name="sgi" localSheetId="17" hidden="1">{#N/A,#N/A,FALSE,"M.01"}</definedName>
    <definedName name="sgi" localSheetId="18" hidden="1">{#N/A,#N/A,FALSE,"M.01"}</definedName>
    <definedName name="sgi" hidden="1">{#N/A,#N/A,FALSE,"M.01"}</definedName>
    <definedName name="SGSEG" localSheetId="32" hidden="1">#REF!</definedName>
    <definedName name="SGSEG" localSheetId="42" hidden="1">#REF!</definedName>
    <definedName name="SGSEG" hidden="1">#REF!</definedName>
    <definedName name="SHEET03" localSheetId="20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SHEET03" localSheetId="19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SHEET03" localSheetId="26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SHEET03" localSheetId="24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SHEET03" localSheetId="32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SHEET03" localSheetId="27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SHEET03" localSheetId="28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SHEET03" localSheetId="29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SHEET03" localSheetId="31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SHEET03" localSheetId="30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SHEET03" localSheetId="17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SHEET03" localSheetId="18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SHEET03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shhet" localSheetId="32" hidden="1">#REF!</definedName>
    <definedName name="shhet" localSheetId="27" hidden="1">#REF!</definedName>
    <definedName name="shhet" hidden="1">#REF!</definedName>
    <definedName name="si" localSheetId="20" hidden="1">{#N/A,#N/A,FALSE,"CCTV"}</definedName>
    <definedName name="si" localSheetId="19" hidden="1">{#N/A,#N/A,FALSE,"CCTV"}</definedName>
    <definedName name="si" localSheetId="26" hidden="1">{#N/A,#N/A,FALSE,"CCTV"}</definedName>
    <definedName name="si" localSheetId="24" hidden="1">{#N/A,#N/A,FALSE,"CCTV"}</definedName>
    <definedName name="si" localSheetId="32" hidden="1">{#N/A,#N/A,FALSE,"CCTV"}</definedName>
    <definedName name="si" localSheetId="27" hidden="1">{#N/A,#N/A,FALSE,"CCTV"}</definedName>
    <definedName name="si" localSheetId="28" hidden="1">{#N/A,#N/A,FALSE,"CCTV"}</definedName>
    <definedName name="si" localSheetId="29" hidden="1">{#N/A,#N/A,FALSE,"CCTV"}</definedName>
    <definedName name="si" localSheetId="31" hidden="1">{#N/A,#N/A,FALSE,"CCTV"}</definedName>
    <definedName name="si" localSheetId="30" hidden="1">{#N/A,#N/A,FALSE,"CCTV"}</definedName>
    <definedName name="si" localSheetId="17" hidden="1">{#N/A,#N/A,FALSE,"CCTV"}</definedName>
    <definedName name="si" localSheetId="18" hidden="1">{#N/A,#N/A,FALSE,"CCTV"}</definedName>
    <definedName name="si" hidden="1">{#N/A,#N/A,FALSE,"CCTV"}</definedName>
    <definedName name="siska" localSheetId="20" hidden="1">{"'1996'!$A$1:$J$272"}</definedName>
    <definedName name="siska" localSheetId="19" hidden="1">{"'1996'!$A$1:$J$272"}</definedName>
    <definedName name="siska" localSheetId="26" hidden="1">{"'1996'!$A$1:$J$272"}</definedName>
    <definedName name="siska" localSheetId="24" hidden="1">{"'1996'!$A$1:$J$272"}</definedName>
    <definedName name="siska" localSheetId="32" hidden="1">{"'1996'!$A$1:$J$272"}</definedName>
    <definedName name="siska" localSheetId="27" hidden="1">{"'1996'!$A$1:$J$272"}</definedName>
    <definedName name="siska" localSheetId="28" hidden="1">{"'1996'!$A$1:$J$272"}</definedName>
    <definedName name="siska" localSheetId="29" hidden="1">{"'1996'!$A$1:$J$272"}</definedName>
    <definedName name="siska" localSheetId="31" hidden="1">{"'1996'!$A$1:$J$272"}</definedName>
    <definedName name="siska" localSheetId="30" hidden="1">{"'1996'!$A$1:$J$272"}</definedName>
    <definedName name="siska" localSheetId="17" hidden="1">{"'1996'!$A$1:$J$272"}</definedName>
    <definedName name="siska" localSheetId="18" hidden="1">{"'1996'!$A$1:$J$272"}</definedName>
    <definedName name="siska" hidden="1">{"'1996'!$A$1:$J$272"}</definedName>
    <definedName name="sjd" localSheetId="20" hidden="1">{"Offgrid",#N/A,FALSE,"OFFGRID";"Region",#N/A,FALSE,"REGION";"Offgrid -2",#N/A,FALSE,"OFFGRID";"WTP",#N/A,FALSE,"WTP";"WTP -2",#N/A,FALSE,"WTP";"Project",#N/A,FALSE,"PROJECT";"Summary -2",#N/A,FALSE,"SUMMARY"}</definedName>
    <definedName name="sjd" localSheetId="19" hidden="1">{"Offgrid",#N/A,FALSE,"OFFGRID";"Region",#N/A,FALSE,"REGION";"Offgrid -2",#N/A,FALSE,"OFFGRID";"WTP",#N/A,FALSE,"WTP";"WTP -2",#N/A,FALSE,"WTP";"Project",#N/A,FALSE,"PROJECT";"Summary -2",#N/A,FALSE,"SUMMARY"}</definedName>
    <definedName name="sjd" localSheetId="26" hidden="1">{"Offgrid",#N/A,FALSE,"OFFGRID";"Region",#N/A,FALSE,"REGION";"Offgrid -2",#N/A,FALSE,"OFFGRID";"WTP",#N/A,FALSE,"WTP";"WTP -2",#N/A,FALSE,"WTP";"Project",#N/A,FALSE,"PROJECT";"Summary -2",#N/A,FALSE,"SUMMARY"}</definedName>
    <definedName name="sjd" localSheetId="24" hidden="1">{"Offgrid",#N/A,FALSE,"OFFGRID";"Region",#N/A,FALSE,"REGION";"Offgrid -2",#N/A,FALSE,"OFFGRID";"WTP",#N/A,FALSE,"WTP";"WTP -2",#N/A,FALSE,"WTP";"Project",#N/A,FALSE,"PROJECT";"Summary -2",#N/A,FALSE,"SUMMARY"}</definedName>
    <definedName name="sjd" localSheetId="32" hidden="1">{"Offgrid",#N/A,FALSE,"OFFGRID";"Region",#N/A,FALSE,"REGION";"Offgrid -2",#N/A,FALSE,"OFFGRID";"WTP",#N/A,FALSE,"WTP";"WTP -2",#N/A,FALSE,"WTP";"Project",#N/A,FALSE,"PROJECT";"Summary -2",#N/A,FALSE,"SUMMARY"}</definedName>
    <definedName name="sjd" localSheetId="27" hidden="1">{"Offgrid",#N/A,FALSE,"OFFGRID";"Region",#N/A,FALSE,"REGION";"Offgrid -2",#N/A,FALSE,"OFFGRID";"WTP",#N/A,FALSE,"WTP";"WTP -2",#N/A,FALSE,"WTP";"Project",#N/A,FALSE,"PROJECT";"Summary -2",#N/A,FALSE,"SUMMARY"}</definedName>
    <definedName name="sjd" localSheetId="28" hidden="1">{"Offgrid",#N/A,FALSE,"OFFGRID";"Region",#N/A,FALSE,"REGION";"Offgrid -2",#N/A,FALSE,"OFFGRID";"WTP",#N/A,FALSE,"WTP";"WTP -2",#N/A,FALSE,"WTP";"Project",#N/A,FALSE,"PROJECT";"Summary -2",#N/A,FALSE,"SUMMARY"}</definedName>
    <definedName name="sjd" localSheetId="29" hidden="1">{"Offgrid",#N/A,FALSE,"OFFGRID";"Region",#N/A,FALSE,"REGION";"Offgrid -2",#N/A,FALSE,"OFFGRID";"WTP",#N/A,FALSE,"WTP";"WTP -2",#N/A,FALSE,"WTP";"Project",#N/A,FALSE,"PROJECT";"Summary -2",#N/A,FALSE,"SUMMARY"}</definedName>
    <definedName name="sjd" localSheetId="31" hidden="1">{"Offgrid",#N/A,FALSE,"OFFGRID";"Region",#N/A,FALSE,"REGION";"Offgrid -2",#N/A,FALSE,"OFFGRID";"WTP",#N/A,FALSE,"WTP";"WTP -2",#N/A,FALSE,"WTP";"Project",#N/A,FALSE,"PROJECT";"Summary -2",#N/A,FALSE,"SUMMARY"}</definedName>
    <definedName name="sjd" localSheetId="30" hidden="1">{"Offgrid",#N/A,FALSE,"OFFGRID";"Region",#N/A,FALSE,"REGION";"Offgrid -2",#N/A,FALSE,"OFFGRID";"WTP",#N/A,FALSE,"WTP";"WTP -2",#N/A,FALSE,"WTP";"Project",#N/A,FALSE,"PROJECT";"Summary -2",#N/A,FALSE,"SUMMARY"}</definedName>
    <definedName name="sjd" localSheetId="17" hidden="1">{"Offgrid",#N/A,FALSE,"OFFGRID";"Region",#N/A,FALSE,"REGION";"Offgrid -2",#N/A,FALSE,"OFFGRID";"WTP",#N/A,FALSE,"WTP";"WTP -2",#N/A,FALSE,"WTP";"Project",#N/A,FALSE,"PROJECT";"Summary -2",#N/A,FALSE,"SUMMARY"}</definedName>
    <definedName name="sjd" localSheetId="18" hidden="1">{"Offgrid",#N/A,FALSE,"OFFGRID";"Region",#N/A,FALSE,"REGION";"Offgrid -2",#N/A,FALSE,"OFFGRID";"WTP",#N/A,FALSE,"WTP";"WTP -2",#N/A,FALSE,"WTP";"Project",#N/A,FALSE,"PROJECT";"Summary -2",#N/A,FALSE,"SUMMARY"}</definedName>
    <definedName name="sjd" hidden="1">{"Offgrid",#N/A,FALSE,"OFFGRID";"Region",#N/A,FALSE,"REGION";"Offgrid -2",#N/A,FALSE,"OFFGRID";"WTP",#N/A,FALSE,"WTP";"WTP -2",#N/A,FALSE,"WTP";"Project",#N/A,FALSE,"PROJECT";"Summary -2",#N/A,FALSE,"SUMMARY"}</definedName>
    <definedName name="SKAN" localSheetId="32" hidden="1">#REF!</definedName>
    <definedName name="SKAN" localSheetId="27" hidden="1">#REF!</definedName>
    <definedName name="SKAN" hidden="1">#REF!</definedName>
    <definedName name="SKPDMALUT" localSheetId="32" hidden="1">#REF!</definedName>
    <definedName name="SKPDMALUT" hidden="1">#REF!</definedName>
    <definedName name="SNM" localSheetId="20" hidden="1">{"'장비'!$A$3:$M$12"}</definedName>
    <definedName name="SNM" localSheetId="19" hidden="1">{"'장비'!$A$3:$M$12"}</definedName>
    <definedName name="SNM" localSheetId="26" hidden="1">{"'장비'!$A$3:$M$12"}</definedName>
    <definedName name="SNM" localSheetId="24" hidden="1">{"'장비'!$A$3:$M$12"}</definedName>
    <definedName name="SNM" localSheetId="32" hidden="1">{"'장비'!$A$3:$M$12"}</definedName>
    <definedName name="SNM" localSheetId="27" hidden="1">{"'장비'!$A$3:$M$12"}</definedName>
    <definedName name="SNM" localSheetId="28" hidden="1">{"'장비'!$A$3:$M$12"}</definedName>
    <definedName name="SNM" localSheetId="29" hidden="1">{"'장비'!$A$3:$M$12"}</definedName>
    <definedName name="SNM" localSheetId="31" hidden="1">{"'장비'!$A$3:$M$12"}</definedName>
    <definedName name="SNM" localSheetId="30" hidden="1">{"'장비'!$A$3:$M$12"}</definedName>
    <definedName name="SNM" localSheetId="17" hidden="1">{"'장비'!$A$3:$M$12"}</definedName>
    <definedName name="SNM" localSheetId="18" hidden="1">{"'장비'!$A$3:$M$12"}</definedName>
    <definedName name="SNM" hidden="1">{"'장비'!$A$3:$M$12"}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localSheetId="32" hidden="1">#REF!</definedName>
    <definedName name="solver_opt" localSheetId="27" hidden="1">#REF!</definedName>
    <definedName name="solver_opt" localSheetId="18" hidden="1">#REF!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1</definedName>
    <definedName name="solver_val" hidden="1">0</definedName>
    <definedName name="sond." localSheetId="32" hidden="1">#REF!</definedName>
    <definedName name="sond." localSheetId="27" hidden="1">#REF!</definedName>
    <definedName name="sond." localSheetId="18" hidden="1">#REF!</definedName>
    <definedName name="sond." hidden="1">#REF!</definedName>
    <definedName name="sort" localSheetId="42" hidden="1">#REF!</definedName>
    <definedName name="sort" hidden="1">#REF!</definedName>
    <definedName name="SpecialPrice" localSheetId="42" hidden="1">#REF!</definedName>
    <definedName name="SpecialPrice" hidden="1">#REF!</definedName>
    <definedName name="spp" localSheetId="42" hidden="1">#REF!</definedName>
    <definedName name="spp" hidden="1">#REF!</definedName>
    <definedName name="sr" localSheetId="20" hidden="1">{#N/A,#N/A,FALSE,"CCTV"}</definedName>
    <definedName name="sr" localSheetId="19" hidden="1">{#N/A,#N/A,FALSE,"CCTV"}</definedName>
    <definedName name="sr" localSheetId="26" hidden="1">{#N/A,#N/A,FALSE,"CCTV"}</definedName>
    <definedName name="sr" localSheetId="24" hidden="1">{#N/A,#N/A,FALSE,"CCTV"}</definedName>
    <definedName name="sr" localSheetId="32" hidden="1">{#N/A,#N/A,FALSE,"CCTV"}</definedName>
    <definedName name="sr" localSheetId="27" hidden="1">{#N/A,#N/A,FALSE,"CCTV"}</definedName>
    <definedName name="sr" localSheetId="28" hidden="1">{#N/A,#N/A,FALSE,"CCTV"}</definedName>
    <definedName name="sr" localSheetId="29" hidden="1">{#N/A,#N/A,FALSE,"CCTV"}</definedName>
    <definedName name="sr" localSheetId="31" hidden="1">{#N/A,#N/A,FALSE,"CCTV"}</definedName>
    <definedName name="sr" localSheetId="30" hidden="1">{#N/A,#N/A,FALSE,"CCTV"}</definedName>
    <definedName name="sr" localSheetId="17" hidden="1">{#N/A,#N/A,FALSE,"CCTV"}</definedName>
    <definedName name="sr" localSheetId="18" hidden="1">{#N/A,#N/A,FALSE,"CCTV"}</definedName>
    <definedName name="sr" hidden="1">{#N/A,#N/A,FALSE,"CCTV"}</definedName>
    <definedName name="srdeg" localSheetId="20" hidden="1">{"'Sheet1'!$A$1"}</definedName>
    <definedName name="srdeg" localSheetId="19" hidden="1">{"'Sheet1'!$A$1"}</definedName>
    <definedName name="srdeg" localSheetId="26" hidden="1">{"'Sheet1'!$A$1"}</definedName>
    <definedName name="srdeg" localSheetId="24" hidden="1">{"'Sheet1'!$A$1"}</definedName>
    <definedName name="srdeg" localSheetId="32" hidden="1">{"'Sheet1'!$A$1"}</definedName>
    <definedName name="srdeg" localSheetId="27" hidden="1">{"'Sheet1'!$A$1"}</definedName>
    <definedName name="srdeg" localSheetId="28" hidden="1">{"'Sheet1'!$A$1"}</definedName>
    <definedName name="srdeg" localSheetId="29" hidden="1">{"'Sheet1'!$A$1"}</definedName>
    <definedName name="srdeg" localSheetId="31" hidden="1">{"'Sheet1'!$A$1"}</definedName>
    <definedName name="srdeg" localSheetId="30" hidden="1">{"'Sheet1'!$A$1"}</definedName>
    <definedName name="srdeg" localSheetId="17" hidden="1">{"'Sheet1'!$A$1"}</definedName>
    <definedName name="srdeg" localSheetId="18" hidden="1">{"'Sheet1'!$A$1"}</definedName>
    <definedName name="srdeg" hidden="1">{"'Sheet1'!$A$1"}</definedName>
    <definedName name="SRT" localSheetId="20" hidden="1">{#N/A,#N/A,FALSE,"CCTV"}</definedName>
    <definedName name="SRT" localSheetId="19" hidden="1">{#N/A,#N/A,FALSE,"CCTV"}</definedName>
    <definedName name="SRT" localSheetId="26" hidden="1">{#N/A,#N/A,FALSE,"CCTV"}</definedName>
    <definedName name="SRT" localSheetId="24" hidden="1">{#N/A,#N/A,FALSE,"CCTV"}</definedName>
    <definedName name="SRT" localSheetId="32" hidden="1">{#N/A,#N/A,FALSE,"CCTV"}</definedName>
    <definedName name="SRT" localSheetId="27" hidden="1">{#N/A,#N/A,FALSE,"CCTV"}</definedName>
    <definedName name="SRT" localSheetId="28" hidden="1">{#N/A,#N/A,FALSE,"CCTV"}</definedName>
    <definedName name="SRT" localSheetId="29" hidden="1">{#N/A,#N/A,FALSE,"CCTV"}</definedName>
    <definedName name="SRT" localSheetId="31" hidden="1">{#N/A,#N/A,FALSE,"CCTV"}</definedName>
    <definedName name="SRT" localSheetId="30" hidden="1">{#N/A,#N/A,FALSE,"CCTV"}</definedName>
    <definedName name="SRT" localSheetId="17" hidden="1">{#N/A,#N/A,FALSE,"CCTV"}</definedName>
    <definedName name="SRT" localSheetId="18" hidden="1">{#N/A,#N/A,FALSE,"CCTV"}</definedName>
    <definedName name="SRT" hidden="1">{#N/A,#N/A,FALSE,"CCTV"}</definedName>
    <definedName name="ss" localSheetId="20" hidden="1">#REF!</definedName>
    <definedName name="ss" localSheetId="27" hidden="1">#REF!</definedName>
    <definedName name="ss" localSheetId="28" hidden="1">#REF!</definedName>
    <definedName name="ss" localSheetId="17" hidden="1">#REF!</definedName>
    <definedName name="ss" localSheetId="18" hidden="1">#REF!</definedName>
    <definedName name="ss" hidden="1">#REF!</definedName>
    <definedName name="sssssssssssss" localSheetId="20" hidden="1">{#N/A,#N/A,FALSE,"M.34"}</definedName>
    <definedName name="sssssssssssss" localSheetId="19" hidden="1">{#N/A,#N/A,FALSE,"M.34"}</definedName>
    <definedName name="sssssssssssss" localSheetId="26" hidden="1">{#N/A,#N/A,FALSE,"M.34"}</definedName>
    <definedName name="sssssssssssss" localSheetId="24" hidden="1">{#N/A,#N/A,FALSE,"M.34"}</definedName>
    <definedName name="sssssssssssss" localSheetId="32" hidden="1">{#N/A,#N/A,FALSE,"M.34"}</definedName>
    <definedName name="sssssssssssss" localSheetId="27" hidden="1">{#N/A,#N/A,FALSE,"M.34"}</definedName>
    <definedName name="sssssssssssss" localSheetId="28" hidden="1">{#N/A,#N/A,FALSE,"M.34"}</definedName>
    <definedName name="sssssssssssss" localSheetId="29" hidden="1">{#N/A,#N/A,FALSE,"M.34"}</definedName>
    <definedName name="sssssssssssss" localSheetId="31" hidden="1">{#N/A,#N/A,FALSE,"M.34"}</definedName>
    <definedName name="sssssssssssss" localSheetId="30" hidden="1">{#N/A,#N/A,FALSE,"M.34"}</definedName>
    <definedName name="sssssssssssss" localSheetId="17" hidden="1">{#N/A,#N/A,FALSE,"M.34"}</definedName>
    <definedName name="sssssssssssss" localSheetId="18" hidden="1">{#N/A,#N/A,FALSE,"M.34"}</definedName>
    <definedName name="sssssssssssss" hidden="1">{#N/A,#N/A,FALSE,"M.34"}</definedName>
    <definedName name="ssssssssssssssssssssss" localSheetId="20" hidden="1">{"Rep678",#N/A,FALSE,"Jawa";"Rep678",#N/A,FALSE,"Batam";"Rep678",#N/A,FALSE,"I";"Rep678",#N/A,FALSE,"II";"Rep678",#N/A,FALSE,"III";"Rep678",#N/A,FALSE,"IV";"Rep678",#N/A,FALSE,"V";"Rep678",#N/A,FALSE,"VI";"Rep678",#N/A,FALSE,"VII";"Rep678",#N/A,FALSE,"VIII";"Rep678",#N/A,FALSE,"IX";"Rep678",#N/A,FALSE,"X";"Rep678",#N/A,FALSE,"XI"}</definedName>
    <definedName name="ssssssssssssssssssssss" localSheetId="19" hidden="1">{"Rep678",#N/A,FALSE,"Jawa";"Rep678",#N/A,FALSE,"Batam";"Rep678",#N/A,FALSE,"I";"Rep678",#N/A,FALSE,"II";"Rep678",#N/A,FALSE,"III";"Rep678",#N/A,FALSE,"IV";"Rep678",#N/A,FALSE,"V";"Rep678",#N/A,FALSE,"VI";"Rep678",#N/A,FALSE,"VII";"Rep678",#N/A,FALSE,"VIII";"Rep678",#N/A,FALSE,"IX";"Rep678",#N/A,FALSE,"X";"Rep678",#N/A,FALSE,"XI"}</definedName>
    <definedName name="ssssssssssssssssssssss" localSheetId="26" hidden="1">{"Rep678",#N/A,FALSE,"Jawa";"Rep678",#N/A,FALSE,"Batam";"Rep678",#N/A,FALSE,"I";"Rep678",#N/A,FALSE,"II";"Rep678",#N/A,FALSE,"III";"Rep678",#N/A,FALSE,"IV";"Rep678",#N/A,FALSE,"V";"Rep678",#N/A,FALSE,"VI";"Rep678",#N/A,FALSE,"VII";"Rep678",#N/A,FALSE,"VIII";"Rep678",#N/A,FALSE,"IX";"Rep678",#N/A,FALSE,"X";"Rep678",#N/A,FALSE,"XI"}</definedName>
    <definedName name="ssssssssssssssssssssss" localSheetId="24" hidden="1">{"Rep678",#N/A,FALSE,"Jawa";"Rep678",#N/A,FALSE,"Batam";"Rep678",#N/A,FALSE,"I";"Rep678",#N/A,FALSE,"II";"Rep678",#N/A,FALSE,"III";"Rep678",#N/A,FALSE,"IV";"Rep678",#N/A,FALSE,"V";"Rep678",#N/A,FALSE,"VI";"Rep678",#N/A,FALSE,"VII";"Rep678",#N/A,FALSE,"VIII";"Rep678",#N/A,FALSE,"IX";"Rep678",#N/A,FALSE,"X";"Rep678",#N/A,FALSE,"XI"}</definedName>
    <definedName name="ssssssssssssssssssssss" localSheetId="32" hidden="1">{"Rep678",#N/A,FALSE,"Jawa";"Rep678",#N/A,FALSE,"Batam";"Rep678",#N/A,FALSE,"I";"Rep678",#N/A,FALSE,"II";"Rep678",#N/A,FALSE,"III";"Rep678",#N/A,FALSE,"IV";"Rep678",#N/A,FALSE,"V";"Rep678",#N/A,FALSE,"VI";"Rep678",#N/A,FALSE,"VII";"Rep678",#N/A,FALSE,"VIII";"Rep678",#N/A,FALSE,"IX";"Rep678",#N/A,FALSE,"X";"Rep678",#N/A,FALSE,"XI"}</definedName>
    <definedName name="ssssssssssssssssssssss" localSheetId="27" hidden="1">{"Rep678",#N/A,FALSE,"Jawa";"Rep678",#N/A,FALSE,"Batam";"Rep678",#N/A,FALSE,"I";"Rep678",#N/A,FALSE,"II";"Rep678",#N/A,FALSE,"III";"Rep678",#N/A,FALSE,"IV";"Rep678",#N/A,FALSE,"V";"Rep678",#N/A,FALSE,"VI";"Rep678",#N/A,FALSE,"VII";"Rep678",#N/A,FALSE,"VIII";"Rep678",#N/A,FALSE,"IX";"Rep678",#N/A,FALSE,"X";"Rep678",#N/A,FALSE,"XI"}</definedName>
    <definedName name="ssssssssssssssssssssss" localSheetId="28" hidden="1">{"Rep678",#N/A,FALSE,"Jawa";"Rep678",#N/A,FALSE,"Batam";"Rep678",#N/A,FALSE,"I";"Rep678",#N/A,FALSE,"II";"Rep678",#N/A,FALSE,"III";"Rep678",#N/A,FALSE,"IV";"Rep678",#N/A,FALSE,"V";"Rep678",#N/A,FALSE,"VI";"Rep678",#N/A,FALSE,"VII";"Rep678",#N/A,FALSE,"VIII";"Rep678",#N/A,FALSE,"IX";"Rep678",#N/A,FALSE,"X";"Rep678",#N/A,FALSE,"XI"}</definedName>
    <definedName name="ssssssssssssssssssssss" localSheetId="29" hidden="1">{"Rep678",#N/A,FALSE,"Jawa";"Rep678",#N/A,FALSE,"Batam";"Rep678",#N/A,FALSE,"I";"Rep678",#N/A,FALSE,"II";"Rep678",#N/A,FALSE,"III";"Rep678",#N/A,FALSE,"IV";"Rep678",#N/A,FALSE,"V";"Rep678",#N/A,FALSE,"VI";"Rep678",#N/A,FALSE,"VII";"Rep678",#N/A,FALSE,"VIII";"Rep678",#N/A,FALSE,"IX";"Rep678",#N/A,FALSE,"X";"Rep678",#N/A,FALSE,"XI"}</definedName>
    <definedName name="ssssssssssssssssssssss" localSheetId="31" hidden="1">{"Rep678",#N/A,FALSE,"Jawa";"Rep678",#N/A,FALSE,"Batam";"Rep678",#N/A,FALSE,"I";"Rep678",#N/A,FALSE,"II";"Rep678",#N/A,FALSE,"III";"Rep678",#N/A,FALSE,"IV";"Rep678",#N/A,FALSE,"V";"Rep678",#N/A,FALSE,"VI";"Rep678",#N/A,FALSE,"VII";"Rep678",#N/A,FALSE,"VIII";"Rep678",#N/A,FALSE,"IX";"Rep678",#N/A,FALSE,"X";"Rep678",#N/A,FALSE,"XI"}</definedName>
    <definedName name="ssssssssssssssssssssss" localSheetId="30" hidden="1">{"Rep678",#N/A,FALSE,"Jawa";"Rep678",#N/A,FALSE,"Batam";"Rep678",#N/A,FALSE,"I";"Rep678",#N/A,FALSE,"II";"Rep678",#N/A,FALSE,"III";"Rep678",#N/A,FALSE,"IV";"Rep678",#N/A,FALSE,"V";"Rep678",#N/A,FALSE,"VI";"Rep678",#N/A,FALSE,"VII";"Rep678",#N/A,FALSE,"VIII";"Rep678",#N/A,FALSE,"IX";"Rep678",#N/A,FALSE,"X";"Rep678",#N/A,FALSE,"XI"}</definedName>
    <definedName name="ssssssssssssssssssssss" localSheetId="17" hidden="1">{"Rep678",#N/A,FALSE,"Jawa";"Rep678",#N/A,FALSE,"Batam";"Rep678",#N/A,FALSE,"I";"Rep678",#N/A,FALSE,"II";"Rep678",#N/A,FALSE,"III";"Rep678",#N/A,FALSE,"IV";"Rep678",#N/A,FALSE,"V";"Rep678",#N/A,FALSE,"VI";"Rep678",#N/A,FALSE,"VII";"Rep678",#N/A,FALSE,"VIII";"Rep678",#N/A,FALSE,"IX";"Rep678",#N/A,FALSE,"X";"Rep678",#N/A,FALSE,"XI"}</definedName>
    <definedName name="ssssssssssssssssssssss" localSheetId="18" hidden="1">{"Rep678",#N/A,FALSE,"Jawa";"Rep678",#N/A,FALSE,"Batam";"Rep678",#N/A,FALSE,"I";"Rep678",#N/A,FALSE,"II";"Rep678",#N/A,FALSE,"III";"Rep678",#N/A,FALSE,"IV";"Rep678",#N/A,FALSE,"V";"Rep678",#N/A,FALSE,"VI";"Rep678",#N/A,FALSE,"VII";"Rep678",#N/A,FALSE,"VIII";"Rep678",#N/A,FALSE,"IX";"Rep678",#N/A,FALSE,"X";"Rep678",#N/A,FALSE,"XI"}</definedName>
    <definedName name="ssssssssssssssssssssss" hidden="1">{"Rep678",#N/A,FALSE,"Jawa";"Rep678",#N/A,FALSE,"Batam";"Rep678",#N/A,FALSE,"I";"Rep678",#N/A,FALSE,"II";"Rep678",#N/A,FALSE,"III";"Rep678",#N/A,FALSE,"IV";"Rep678",#N/A,FALSE,"V";"Rep678",#N/A,FALSE,"VI";"Rep678",#N/A,FALSE,"VII";"Rep678",#N/A,FALSE,"VIII";"Rep678",#N/A,FALSE,"IX";"Rep678",#N/A,FALSE,"X";"Rep678",#N/A,FALSE,"XI"}</definedName>
    <definedName name="sswss" localSheetId="20" hidden="1">#REF!</definedName>
    <definedName name="sswss" localSheetId="19" hidden="1">#REF!</definedName>
    <definedName name="sswss" localSheetId="32" hidden="1">#REF!</definedName>
    <definedName name="sswss" localSheetId="27" hidden="1">#REF!</definedName>
    <definedName name="sswss" localSheetId="28" hidden="1">#REF!</definedName>
    <definedName name="sswss" localSheetId="31" hidden="1">#REF!</definedName>
    <definedName name="sswss" localSheetId="30" hidden="1">#REF!</definedName>
    <definedName name="sswss" localSheetId="17" hidden="1">#REF!</definedName>
    <definedName name="sswss" localSheetId="18" hidden="1">#REF!</definedName>
    <definedName name="sswss" hidden="1">#REF!</definedName>
    <definedName name="st" localSheetId="27" hidden="1">#REF!</definedName>
    <definedName name="st" hidden="1">#REF!</definedName>
    <definedName name="STERU" localSheetId="20" hidden="1">{"'Sheet1'!$A$1"}</definedName>
    <definedName name="STERU" localSheetId="19" hidden="1">{"'Sheet1'!$A$1"}</definedName>
    <definedName name="STERU" localSheetId="26" hidden="1">{"'Sheet1'!$A$1"}</definedName>
    <definedName name="STERU" localSheetId="24" hidden="1">{"'Sheet1'!$A$1"}</definedName>
    <definedName name="STERU" localSheetId="32" hidden="1">{"'Sheet1'!$A$1"}</definedName>
    <definedName name="STERU" localSheetId="27" hidden="1">{"'Sheet1'!$A$1"}</definedName>
    <definedName name="STERU" localSheetId="28" hidden="1">{"'Sheet1'!$A$1"}</definedName>
    <definedName name="STERU" localSheetId="29" hidden="1">{"'Sheet1'!$A$1"}</definedName>
    <definedName name="STERU" localSheetId="31" hidden="1">{"'Sheet1'!$A$1"}</definedName>
    <definedName name="STERU" localSheetId="30" hidden="1">{"'Sheet1'!$A$1"}</definedName>
    <definedName name="STERU" localSheetId="17" hidden="1">{"'Sheet1'!$A$1"}</definedName>
    <definedName name="STERU" localSheetId="18" hidden="1">{"'Sheet1'!$A$1"}</definedName>
    <definedName name="STERU" hidden="1">{"'Sheet1'!$A$1"}</definedName>
    <definedName name="su" localSheetId="20" hidden="1">{#N/A,#N/A,FALSE,"CCTV"}</definedName>
    <definedName name="su" localSheetId="19" hidden="1">{#N/A,#N/A,FALSE,"CCTV"}</definedName>
    <definedName name="su" localSheetId="26" hidden="1">{#N/A,#N/A,FALSE,"CCTV"}</definedName>
    <definedName name="su" localSheetId="24" hidden="1">{#N/A,#N/A,FALSE,"CCTV"}</definedName>
    <definedName name="su" localSheetId="32" hidden="1">{#N/A,#N/A,FALSE,"CCTV"}</definedName>
    <definedName name="su" localSheetId="27" hidden="1">{#N/A,#N/A,FALSE,"CCTV"}</definedName>
    <definedName name="su" localSheetId="28" hidden="1">{#N/A,#N/A,FALSE,"CCTV"}</definedName>
    <definedName name="su" localSheetId="29" hidden="1">{#N/A,#N/A,FALSE,"CCTV"}</definedName>
    <definedName name="su" localSheetId="31" hidden="1">{#N/A,#N/A,FALSE,"CCTV"}</definedName>
    <definedName name="su" localSheetId="30" hidden="1">{#N/A,#N/A,FALSE,"CCTV"}</definedName>
    <definedName name="su" localSheetId="17" hidden="1">{#N/A,#N/A,FALSE,"CCTV"}</definedName>
    <definedName name="su" localSheetId="18" hidden="1">{#N/A,#N/A,FALSE,"CCTV"}</definedName>
    <definedName name="su" hidden="1">{#N/A,#N/A,FALSE,"CCTV"}</definedName>
    <definedName name="SUBKON" localSheetId="20" hidden="1">{"'Sheet1'!$A$1"}</definedName>
    <definedName name="SUBKON" localSheetId="19" hidden="1">{"'Sheet1'!$A$1"}</definedName>
    <definedName name="SUBKON" localSheetId="32" hidden="1">{"'Sheet1'!$A$1"}</definedName>
    <definedName name="SUBKON" localSheetId="27" hidden="1">{"'Sheet1'!$A$1"}</definedName>
    <definedName name="SUBKON" localSheetId="28" hidden="1">{"'Sheet1'!$A$1"}</definedName>
    <definedName name="SUBKON" localSheetId="31" hidden="1">{"'Sheet1'!$A$1"}</definedName>
    <definedName name="SUBKON" localSheetId="30" hidden="1">{"'Sheet1'!$A$1"}</definedName>
    <definedName name="SUBKON" localSheetId="13" hidden="1">{"'Sheet1'!$A$1"}</definedName>
    <definedName name="SUBKON" localSheetId="17" hidden="1">{"'Sheet1'!$A$1"}</definedName>
    <definedName name="SUBKON" localSheetId="18" hidden="1">{"'Sheet1'!$A$1"}</definedName>
    <definedName name="Sum_Inst" localSheetId="2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_Inst" localSheetId="1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_Inst" localSheetId="2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_Inst" localSheetId="2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_Inst" localSheetId="3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_Inst" localSheetId="2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_Inst" localSheetId="2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_Inst" localSheetId="2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_Inst" localSheetId="3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_Inst" localSheetId="3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_Inst" localSheetId="1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_Inst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_Ins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MARY1" localSheetId="2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MARY1" localSheetId="1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MARY1" localSheetId="2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MARY1" localSheetId="2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MARY1" localSheetId="3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MARY1" localSheetId="2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MARY1" localSheetId="2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MARY1" localSheetId="2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MARY1" localSheetId="3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MARY1" localSheetId="3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MARY1" localSheetId="1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MARY1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MARY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pply" localSheetId="32" hidden="1">#REF!</definedName>
    <definedName name="supply" hidden="1">#REF!</definedName>
    <definedName name="surface" localSheetId="20" hidden="1">{"Offgrid",#N/A,FALSE,"OFFGRID";"Region",#N/A,FALSE,"REGION";"Offgrid -2",#N/A,FALSE,"OFFGRID";"WTP",#N/A,FALSE,"WTP";"WTP -2",#N/A,FALSE,"WTP";"Project",#N/A,FALSE,"PROJECT";"Summary -2",#N/A,FALSE,"SUMMARY"}</definedName>
    <definedName name="surface" localSheetId="19" hidden="1">{"Offgrid",#N/A,FALSE,"OFFGRID";"Region",#N/A,FALSE,"REGION";"Offgrid -2",#N/A,FALSE,"OFFGRID";"WTP",#N/A,FALSE,"WTP";"WTP -2",#N/A,FALSE,"WTP";"Project",#N/A,FALSE,"PROJECT";"Summary -2",#N/A,FALSE,"SUMMARY"}</definedName>
    <definedName name="surface" localSheetId="26" hidden="1">{"Offgrid",#N/A,FALSE,"OFFGRID";"Region",#N/A,FALSE,"REGION";"Offgrid -2",#N/A,FALSE,"OFFGRID";"WTP",#N/A,FALSE,"WTP";"WTP -2",#N/A,FALSE,"WTP";"Project",#N/A,FALSE,"PROJECT";"Summary -2",#N/A,FALSE,"SUMMARY"}</definedName>
    <definedName name="surface" localSheetId="24" hidden="1">{"Offgrid",#N/A,FALSE,"OFFGRID";"Region",#N/A,FALSE,"REGION";"Offgrid -2",#N/A,FALSE,"OFFGRID";"WTP",#N/A,FALSE,"WTP";"WTP -2",#N/A,FALSE,"WTP";"Project",#N/A,FALSE,"PROJECT";"Summary -2",#N/A,FALSE,"SUMMARY"}</definedName>
    <definedName name="surface" localSheetId="32" hidden="1">{"Offgrid",#N/A,FALSE,"OFFGRID";"Region",#N/A,FALSE,"REGION";"Offgrid -2",#N/A,FALSE,"OFFGRID";"WTP",#N/A,FALSE,"WTP";"WTP -2",#N/A,FALSE,"WTP";"Project",#N/A,FALSE,"PROJECT";"Summary -2",#N/A,FALSE,"SUMMARY"}</definedName>
    <definedName name="surface" localSheetId="27" hidden="1">{"Offgrid",#N/A,FALSE,"OFFGRID";"Region",#N/A,FALSE,"REGION";"Offgrid -2",#N/A,FALSE,"OFFGRID";"WTP",#N/A,FALSE,"WTP";"WTP -2",#N/A,FALSE,"WTP";"Project",#N/A,FALSE,"PROJECT";"Summary -2",#N/A,FALSE,"SUMMARY"}</definedName>
    <definedName name="surface" localSheetId="28" hidden="1">{"Offgrid",#N/A,FALSE,"OFFGRID";"Region",#N/A,FALSE,"REGION";"Offgrid -2",#N/A,FALSE,"OFFGRID";"WTP",#N/A,FALSE,"WTP";"WTP -2",#N/A,FALSE,"WTP";"Project",#N/A,FALSE,"PROJECT";"Summary -2",#N/A,FALSE,"SUMMARY"}</definedName>
    <definedName name="surface" localSheetId="29" hidden="1">{"Offgrid",#N/A,FALSE,"OFFGRID";"Region",#N/A,FALSE,"REGION";"Offgrid -2",#N/A,FALSE,"OFFGRID";"WTP",#N/A,FALSE,"WTP";"WTP -2",#N/A,FALSE,"WTP";"Project",#N/A,FALSE,"PROJECT";"Summary -2",#N/A,FALSE,"SUMMARY"}</definedName>
    <definedName name="surface" localSheetId="31" hidden="1">{"Offgrid",#N/A,FALSE,"OFFGRID";"Region",#N/A,FALSE,"REGION";"Offgrid -2",#N/A,FALSE,"OFFGRID";"WTP",#N/A,FALSE,"WTP";"WTP -2",#N/A,FALSE,"WTP";"Project",#N/A,FALSE,"PROJECT";"Summary -2",#N/A,FALSE,"SUMMARY"}</definedName>
    <definedName name="surface" localSheetId="30" hidden="1">{"Offgrid",#N/A,FALSE,"OFFGRID";"Region",#N/A,FALSE,"REGION";"Offgrid -2",#N/A,FALSE,"OFFGRID";"WTP",#N/A,FALSE,"WTP";"WTP -2",#N/A,FALSE,"WTP";"Project",#N/A,FALSE,"PROJECT";"Summary -2",#N/A,FALSE,"SUMMARY"}</definedName>
    <definedName name="surface" localSheetId="17" hidden="1">{"Offgrid",#N/A,FALSE,"OFFGRID";"Region",#N/A,FALSE,"REGION";"Offgrid -2",#N/A,FALSE,"OFFGRID";"WTP",#N/A,FALSE,"WTP";"WTP -2",#N/A,FALSE,"WTP";"Project",#N/A,FALSE,"PROJECT";"Summary -2",#N/A,FALSE,"SUMMARY"}</definedName>
    <definedName name="surface" localSheetId="18" hidden="1">{"Offgrid",#N/A,FALSE,"OFFGRID";"Region",#N/A,FALSE,"REGION";"Offgrid -2",#N/A,FALSE,"OFFGRID";"WTP",#N/A,FALSE,"WTP";"WTP -2",#N/A,FALSE,"WTP";"Project",#N/A,FALSE,"PROJECT";"Summary -2",#N/A,FALSE,"SUMMARY"}</definedName>
    <definedName name="surface" hidden="1">{"Offgrid",#N/A,FALSE,"OFFGRID";"Region",#N/A,FALSE,"REGION";"Offgrid -2",#N/A,FALSE,"OFFGRID";"WTP",#N/A,FALSE,"WTP";"WTP -2",#N/A,FALSE,"WTP";"Project",#N/A,FALSE,"PROJECT";"Summary -2",#N/A,FALSE,"SUMMARY"}</definedName>
    <definedName name="Swvu.CapersView." localSheetId="32" hidden="1">#REF!</definedName>
    <definedName name="Swvu.CapersView." localSheetId="27" hidden="1">#REF!</definedName>
    <definedName name="Swvu.CapersView." hidden="1">#REF!</definedName>
    <definedName name="Swvu.Japan_Capers_Ed_Pub." localSheetId="32" hidden="1">#REF!</definedName>
    <definedName name="Swvu.Japan_Capers_Ed_Pub." hidden="1">#REF!</definedName>
    <definedName name="Swvu.KJP_CC." hidden="1">#REF!</definedName>
    <definedName name="sx" localSheetId="20" hidden="1">{#N/A,#N/A,FALSE,"CCTV"}</definedName>
    <definedName name="sx" localSheetId="19" hidden="1">{#N/A,#N/A,FALSE,"CCTV"}</definedName>
    <definedName name="sx" localSheetId="26" hidden="1">{#N/A,#N/A,FALSE,"CCTV"}</definedName>
    <definedName name="sx" localSheetId="24" hidden="1">{#N/A,#N/A,FALSE,"CCTV"}</definedName>
    <definedName name="sx" localSheetId="32" hidden="1">{#N/A,#N/A,FALSE,"CCTV"}</definedName>
    <definedName name="sx" localSheetId="27" hidden="1">{#N/A,#N/A,FALSE,"CCTV"}</definedName>
    <definedName name="sx" localSheetId="28" hidden="1">{#N/A,#N/A,FALSE,"CCTV"}</definedName>
    <definedName name="sx" localSheetId="29" hidden="1">{#N/A,#N/A,FALSE,"CCTV"}</definedName>
    <definedName name="sx" localSheetId="31" hidden="1">{#N/A,#N/A,FALSE,"CCTV"}</definedName>
    <definedName name="sx" localSheetId="30" hidden="1">{#N/A,#N/A,FALSE,"CCTV"}</definedName>
    <definedName name="sx" localSheetId="17" hidden="1">{#N/A,#N/A,FALSE,"CCTV"}</definedName>
    <definedName name="sx" localSheetId="18" hidden="1">{#N/A,#N/A,FALSE,"CCTV"}</definedName>
    <definedName name="sx" hidden="1">{#N/A,#N/A,FALSE,"CCTV"}</definedName>
    <definedName name="sy" localSheetId="20" hidden="1">{#N/A,#N/A,FALSE,"CCTV"}</definedName>
    <definedName name="sy" localSheetId="19" hidden="1">{#N/A,#N/A,FALSE,"CCTV"}</definedName>
    <definedName name="sy" localSheetId="26" hidden="1">{#N/A,#N/A,FALSE,"CCTV"}</definedName>
    <definedName name="sy" localSheetId="24" hidden="1">{#N/A,#N/A,FALSE,"CCTV"}</definedName>
    <definedName name="sy" localSheetId="32" hidden="1">{#N/A,#N/A,FALSE,"CCTV"}</definedName>
    <definedName name="sy" localSheetId="27" hidden="1">{#N/A,#N/A,FALSE,"CCTV"}</definedName>
    <definedName name="sy" localSheetId="28" hidden="1">{#N/A,#N/A,FALSE,"CCTV"}</definedName>
    <definedName name="sy" localSheetId="29" hidden="1">{#N/A,#N/A,FALSE,"CCTV"}</definedName>
    <definedName name="sy" localSheetId="31" hidden="1">{#N/A,#N/A,FALSE,"CCTV"}</definedName>
    <definedName name="sy" localSheetId="30" hidden="1">{#N/A,#N/A,FALSE,"CCTV"}</definedName>
    <definedName name="sy" localSheetId="17" hidden="1">{#N/A,#N/A,FALSE,"CCTV"}</definedName>
    <definedName name="sy" localSheetId="18" hidden="1">{#N/A,#N/A,FALSE,"CCTV"}</definedName>
    <definedName name="sy" hidden="1">{#N/A,#N/A,FALSE,"CCTV"}</definedName>
    <definedName name="t6r" localSheetId="20" hidden="1">{"'Sheet1'!$A$1"}</definedName>
    <definedName name="t6r" localSheetId="19" hidden="1">{"'Sheet1'!$A$1"}</definedName>
    <definedName name="t6r" localSheetId="26" hidden="1">{"'Sheet1'!$A$1"}</definedName>
    <definedName name="t6r" localSheetId="24" hidden="1">{"'Sheet1'!$A$1"}</definedName>
    <definedName name="t6r" localSheetId="32" hidden="1">{"'Sheet1'!$A$1"}</definedName>
    <definedName name="t6r" localSheetId="27" hidden="1">{"'Sheet1'!$A$1"}</definedName>
    <definedName name="t6r" localSheetId="28" hidden="1">{"'Sheet1'!$A$1"}</definedName>
    <definedName name="t6r" localSheetId="29" hidden="1">{"'Sheet1'!$A$1"}</definedName>
    <definedName name="t6r" localSheetId="31" hidden="1">{"'Sheet1'!$A$1"}</definedName>
    <definedName name="t6r" localSheetId="30" hidden="1">{"'Sheet1'!$A$1"}</definedName>
    <definedName name="t6r" localSheetId="17" hidden="1">{"'Sheet1'!$A$1"}</definedName>
    <definedName name="t6r" localSheetId="18" hidden="1">{"'Sheet1'!$A$1"}</definedName>
    <definedName name="t6r" hidden="1">{"'Sheet1'!$A$1"}</definedName>
    <definedName name="tahap2" localSheetId="20" hidden="1">{#N/A,#N/A,FALSE,"REK";#N/A,#N/A,FALSE,"rab"}</definedName>
    <definedName name="tahap2" localSheetId="19" hidden="1">{#N/A,#N/A,FALSE,"REK";#N/A,#N/A,FALSE,"rab"}</definedName>
    <definedName name="tahap2" localSheetId="26" hidden="1">{#N/A,#N/A,FALSE,"REK";#N/A,#N/A,FALSE,"rab"}</definedName>
    <definedName name="tahap2" localSheetId="23" hidden="1">{#N/A,#N/A,FALSE,"REK";#N/A,#N/A,FALSE,"rab"}</definedName>
    <definedName name="tahap2" localSheetId="24" hidden="1">{#N/A,#N/A,FALSE,"REK";#N/A,#N/A,FALSE,"rab"}</definedName>
    <definedName name="tahap2" localSheetId="32" hidden="1">{#N/A,#N/A,FALSE,"REK";#N/A,#N/A,FALSE,"rab"}</definedName>
    <definedName name="tahap2" localSheetId="27" hidden="1">{#N/A,#N/A,FALSE,"REK";#N/A,#N/A,FALSE,"rab"}</definedName>
    <definedName name="tahap2" localSheetId="28" hidden="1">{#N/A,#N/A,FALSE,"REK";#N/A,#N/A,FALSE,"rab"}</definedName>
    <definedName name="tahap2" localSheetId="29" hidden="1">{#N/A,#N/A,FALSE,"REK";#N/A,#N/A,FALSE,"rab"}</definedName>
    <definedName name="tahap2" localSheetId="31" hidden="1">{#N/A,#N/A,FALSE,"REK";#N/A,#N/A,FALSE,"rab"}</definedName>
    <definedName name="tahap2" localSheetId="30" hidden="1">{#N/A,#N/A,FALSE,"REK";#N/A,#N/A,FALSE,"rab"}</definedName>
    <definedName name="tahap2" localSheetId="13" hidden="1">{#N/A,#N/A,FALSE,"REK";#N/A,#N/A,FALSE,"rab"}</definedName>
    <definedName name="tahap2" localSheetId="17" hidden="1">{#N/A,#N/A,FALSE,"REK";#N/A,#N/A,FALSE,"rab"}</definedName>
    <definedName name="tahap2" localSheetId="18" hidden="1">{#N/A,#N/A,FALSE,"REK";#N/A,#N/A,FALSE,"rab"}</definedName>
    <definedName name="tahap2" localSheetId="22" hidden="1">{#N/A,#N/A,FALSE,"REK";#N/A,#N/A,FALSE,"rab"}</definedName>
    <definedName name="tahap2" localSheetId="40" hidden="1">{#N/A,#N/A,FALSE,"REK";#N/A,#N/A,FALSE,"rab"}</definedName>
    <definedName name="tahap2" localSheetId="41" hidden="1">{#N/A,#N/A,FALSE,"REK";#N/A,#N/A,FALSE,"rab"}</definedName>
    <definedName name="tahap2" localSheetId="42" hidden="1">{#N/A,#N/A,FALSE,"REK";#N/A,#N/A,FALSE,"rab"}</definedName>
    <definedName name="tahap2" localSheetId="35" hidden="1">{#N/A,#N/A,FALSE,"REK";#N/A,#N/A,FALSE,"rab"}</definedName>
    <definedName name="tahap2" localSheetId="38" hidden="1">{#N/A,#N/A,FALSE,"REK";#N/A,#N/A,FALSE,"rab"}</definedName>
    <definedName name="tahap2" hidden="1">{#N/A,#N/A,FALSE,"REK";#N/A,#N/A,FALSE,"rab"}</definedName>
    <definedName name="TAHAP21" localSheetId="20" hidden="1">{#N/A,#N/A,FALSE,"REK";#N/A,#N/A,FALSE,"rab"}</definedName>
    <definedName name="TAHAP21" localSheetId="19" hidden="1">{#N/A,#N/A,FALSE,"REK";#N/A,#N/A,FALSE,"rab"}</definedName>
    <definedName name="TAHAP21" localSheetId="26" hidden="1">{#N/A,#N/A,FALSE,"REK";#N/A,#N/A,FALSE,"rab"}</definedName>
    <definedName name="TAHAP21" localSheetId="23" hidden="1">{#N/A,#N/A,FALSE,"REK";#N/A,#N/A,FALSE,"rab"}</definedName>
    <definedName name="TAHAP21" localSheetId="24" hidden="1">{#N/A,#N/A,FALSE,"REK";#N/A,#N/A,FALSE,"rab"}</definedName>
    <definedName name="TAHAP21" localSheetId="32" hidden="1">{#N/A,#N/A,FALSE,"REK";#N/A,#N/A,FALSE,"rab"}</definedName>
    <definedName name="TAHAP21" localSheetId="27" hidden="1">{#N/A,#N/A,FALSE,"REK";#N/A,#N/A,FALSE,"rab"}</definedName>
    <definedName name="TAHAP21" localSheetId="28" hidden="1">{#N/A,#N/A,FALSE,"REK";#N/A,#N/A,FALSE,"rab"}</definedName>
    <definedName name="TAHAP21" localSheetId="29" hidden="1">{#N/A,#N/A,FALSE,"REK";#N/A,#N/A,FALSE,"rab"}</definedName>
    <definedName name="TAHAP21" localSheetId="31" hidden="1">{#N/A,#N/A,FALSE,"REK";#N/A,#N/A,FALSE,"rab"}</definedName>
    <definedName name="TAHAP21" localSheetId="30" hidden="1">{#N/A,#N/A,FALSE,"REK";#N/A,#N/A,FALSE,"rab"}</definedName>
    <definedName name="TAHAP21" localSheetId="13" hidden="1">{#N/A,#N/A,FALSE,"REK";#N/A,#N/A,FALSE,"rab"}</definedName>
    <definedName name="TAHAP21" localSheetId="17" hidden="1">{#N/A,#N/A,FALSE,"REK";#N/A,#N/A,FALSE,"rab"}</definedName>
    <definedName name="TAHAP21" localSheetId="18" hidden="1">{#N/A,#N/A,FALSE,"REK";#N/A,#N/A,FALSE,"rab"}</definedName>
    <definedName name="TAHAP21" localSheetId="22" hidden="1">{#N/A,#N/A,FALSE,"REK";#N/A,#N/A,FALSE,"rab"}</definedName>
    <definedName name="TAHAP21" localSheetId="40" hidden="1">{#N/A,#N/A,FALSE,"REK";#N/A,#N/A,FALSE,"rab"}</definedName>
    <definedName name="TAHAP21" localSheetId="41" hidden="1">{#N/A,#N/A,FALSE,"REK";#N/A,#N/A,FALSE,"rab"}</definedName>
    <definedName name="TAHAP21" localSheetId="42" hidden="1">{#N/A,#N/A,FALSE,"REK";#N/A,#N/A,FALSE,"rab"}</definedName>
    <definedName name="TAHAP21" localSheetId="35" hidden="1">{#N/A,#N/A,FALSE,"REK";#N/A,#N/A,FALSE,"rab"}</definedName>
    <definedName name="TAHAP21" localSheetId="38" hidden="1">{#N/A,#N/A,FALSE,"REK";#N/A,#N/A,FALSE,"rab"}</definedName>
    <definedName name="TAHAP21" hidden="1">{#N/A,#N/A,FALSE,"REK";#N/A,#N/A,FALSE,"rab"}</definedName>
    <definedName name="tahap22" localSheetId="20" hidden="1">{#N/A,#N/A,FALSE,"REK";#N/A,#N/A,FALSE,"rab"}</definedName>
    <definedName name="tahap22" localSheetId="19" hidden="1">{#N/A,#N/A,FALSE,"REK";#N/A,#N/A,FALSE,"rab"}</definedName>
    <definedName name="tahap22" localSheetId="26" hidden="1">{#N/A,#N/A,FALSE,"REK";#N/A,#N/A,FALSE,"rab"}</definedName>
    <definedName name="tahap22" localSheetId="24" hidden="1">{#N/A,#N/A,FALSE,"REK";#N/A,#N/A,FALSE,"rab"}</definedName>
    <definedName name="tahap22" localSheetId="32" hidden="1">{#N/A,#N/A,FALSE,"REK";#N/A,#N/A,FALSE,"rab"}</definedName>
    <definedName name="tahap22" localSheetId="27" hidden="1">{#N/A,#N/A,FALSE,"REK";#N/A,#N/A,FALSE,"rab"}</definedName>
    <definedName name="tahap22" localSheetId="28" hidden="1">{#N/A,#N/A,FALSE,"REK";#N/A,#N/A,FALSE,"rab"}</definedName>
    <definedName name="tahap22" localSheetId="29" hidden="1">{#N/A,#N/A,FALSE,"REK";#N/A,#N/A,FALSE,"rab"}</definedName>
    <definedName name="tahap22" localSheetId="31" hidden="1">{#N/A,#N/A,FALSE,"REK";#N/A,#N/A,FALSE,"rab"}</definedName>
    <definedName name="tahap22" localSheetId="30" hidden="1">{#N/A,#N/A,FALSE,"REK";#N/A,#N/A,FALSE,"rab"}</definedName>
    <definedName name="tahap22" localSheetId="17" hidden="1">{#N/A,#N/A,FALSE,"REK";#N/A,#N/A,FALSE,"rab"}</definedName>
    <definedName name="tahap22" localSheetId="18" hidden="1">{#N/A,#N/A,FALSE,"REK";#N/A,#N/A,FALSE,"rab"}</definedName>
    <definedName name="tahap22" hidden="1">{#N/A,#N/A,FALSE,"REK";#N/A,#N/A,FALSE,"rab"}</definedName>
    <definedName name="TAHAP221" localSheetId="20" hidden="1">{#N/A,#N/A,FALSE,"REK";#N/A,#N/A,FALSE,"rab"}</definedName>
    <definedName name="TAHAP221" localSheetId="19" hidden="1">{#N/A,#N/A,FALSE,"REK";#N/A,#N/A,FALSE,"rab"}</definedName>
    <definedName name="TAHAP221" localSheetId="26" hidden="1">{#N/A,#N/A,FALSE,"REK";#N/A,#N/A,FALSE,"rab"}</definedName>
    <definedName name="TAHAP221" localSheetId="23" hidden="1">{#N/A,#N/A,FALSE,"REK";#N/A,#N/A,FALSE,"rab"}</definedName>
    <definedName name="TAHAP221" localSheetId="24" hidden="1">{#N/A,#N/A,FALSE,"REK";#N/A,#N/A,FALSE,"rab"}</definedName>
    <definedName name="TAHAP221" localSheetId="32" hidden="1">{#N/A,#N/A,FALSE,"REK";#N/A,#N/A,FALSE,"rab"}</definedName>
    <definedName name="TAHAP221" localSheetId="27" hidden="1">{#N/A,#N/A,FALSE,"REK";#N/A,#N/A,FALSE,"rab"}</definedName>
    <definedName name="TAHAP221" localSheetId="28" hidden="1">{#N/A,#N/A,FALSE,"REK";#N/A,#N/A,FALSE,"rab"}</definedName>
    <definedName name="TAHAP221" localSheetId="29" hidden="1">{#N/A,#N/A,FALSE,"REK";#N/A,#N/A,FALSE,"rab"}</definedName>
    <definedName name="TAHAP221" localSheetId="31" hidden="1">{#N/A,#N/A,FALSE,"REK";#N/A,#N/A,FALSE,"rab"}</definedName>
    <definedName name="TAHAP221" localSheetId="30" hidden="1">{#N/A,#N/A,FALSE,"REK";#N/A,#N/A,FALSE,"rab"}</definedName>
    <definedName name="TAHAP221" localSheetId="13" hidden="1">{#N/A,#N/A,FALSE,"REK";#N/A,#N/A,FALSE,"rab"}</definedName>
    <definedName name="TAHAP221" localSheetId="17" hidden="1">{#N/A,#N/A,FALSE,"REK";#N/A,#N/A,FALSE,"rab"}</definedName>
    <definedName name="TAHAP221" localSheetId="18" hidden="1">{#N/A,#N/A,FALSE,"REK";#N/A,#N/A,FALSE,"rab"}</definedName>
    <definedName name="TAHAP221" localSheetId="22" hidden="1">{#N/A,#N/A,FALSE,"REK";#N/A,#N/A,FALSE,"rab"}</definedName>
    <definedName name="TAHAP221" localSheetId="40" hidden="1">{#N/A,#N/A,FALSE,"REK";#N/A,#N/A,FALSE,"rab"}</definedName>
    <definedName name="TAHAP221" localSheetId="41" hidden="1">{#N/A,#N/A,FALSE,"REK";#N/A,#N/A,FALSE,"rab"}</definedName>
    <definedName name="TAHAP221" localSheetId="42" hidden="1">{#N/A,#N/A,FALSE,"REK";#N/A,#N/A,FALSE,"rab"}</definedName>
    <definedName name="TAHAP221" localSheetId="35" hidden="1">{#N/A,#N/A,FALSE,"REK";#N/A,#N/A,FALSE,"rab"}</definedName>
    <definedName name="TAHAP221" localSheetId="38" hidden="1">{#N/A,#N/A,FALSE,"REK";#N/A,#N/A,FALSE,"rab"}</definedName>
    <definedName name="TAHAP221" hidden="1">{#N/A,#N/A,FALSE,"REK";#N/A,#N/A,FALSE,"rab"}</definedName>
    <definedName name="tahap222" localSheetId="20" hidden="1">{#N/A,#N/A,FALSE,"REK";#N/A,#N/A,FALSE,"rab"}</definedName>
    <definedName name="tahap222" localSheetId="19" hidden="1">{#N/A,#N/A,FALSE,"REK";#N/A,#N/A,FALSE,"rab"}</definedName>
    <definedName name="tahap222" localSheetId="26" hidden="1">{#N/A,#N/A,FALSE,"REK";#N/A,#N/A,FALSE,"rab"}</definedName>
    <definedName name="tahap222" localSheetId="24" hidden="1">{#N/A,#N/A,FALSE,"REK";#N/A,#N/A,FALSE,"rab"}</definedName>
    <definedName name="tahap222" localSheetId="32" hidden="1">{#N/A,#N/A,FALSE,"REK";#N/A,#N/A,FALSE,"rab"}</definedName>
    <definedName name="tahap222" localSheetId="27" hidden="1">{#N/A,#N/A,FALSE,"REK";#N/A,#N/A,FALSE,"rab"}</definedName>
    <definedName name="tahap222" localSheetId="28" hidden="1">{#N/A,#N/A,FALSE,"REK";#N/A,#N/A,FALSE,"rab"}</definedName>
    <definedName name="tahap222" localSheetId="29" hidden="1">{#N/A,#N/A,FALSE,"REK";#N/A,#N/A,FALSE,"rab"}</definedName>
    <definedName name="tahap222" localSheetId="31" hidden="1">{#N/A,#N/A,FALSE,"REK";#N/A,#N/A,FALSE,"rab"}</definedName>
    <definedName name="tahap222" localSheetId="30" hidden="1">{#N/A,#N/A,FALSE,"REK";#N/A,#N/A,FALSE,"rab"}</definedName>
    <definedName name="tahap222" localSheetId="17" hidden="1">{#N/A,#N/A,FALSE,"REK";#N/A,#N/A,FALSE,"rab"}</definedName>
    <definedName name="tahap222" localSheetId="18" hidden="1">{#N/A,#N/A,FALSE,"REK";#N/A,#N/A,FALSE,"rab"}</definedName>
    <definedName name="tahap222" hidden="1">{#N/A,#N/A,FALSE,"REK";#N/A,#N/A,FALSE,"rab"}</definedName>
    <definedName name="tahap3" localSheetId="20" hidden="1">{#N/A,#N/A,FALSE,"REK";#N/A,#N/A,FALSE,"rab"}</definedName>
    <definedName name="tahap3" localSheetId="19" hidden="1">{#N/A,#N/A,FALSE,"REK";#N/A,#N/A,FALSE,"rab"}</definedName>
    <definedName name="tahap3" localSheetId="26" hidden="1">{#N/A,#N/A,FALSE,"REK";#N/A,#N/A,FALSE,"rab"}</definedName>
    <definedName name="tahap3" localSheetId="24" hidden="1">{#N/A,#N/A,FALSE,"REK";#N/A,#N/A,FALSE,"rab"}</definedName>
    <definedName name="tahap3" localSheetId="32" hidden="1">{#N/A,#N/A,FALSE,"REK";#N/A,#N/A,FALSE,"rab"}</definedName>
    <definedName name="tahap3" localSheetId="27" hidden="1">{#N/A,#N/A,FALSE,"REK";#N/A,#N/A,FALSE,"rab"}</definedName>
    <definedName name="tahap3" localSheetId="28" hidden="1">{#N/A,#N/A,FALSE,"REK";#N/A,#N/A,FALSE,"rab"}</definedName>
    <definedName name="tahap3" localSheetId="29" hidden="1">{#N/A,#N/A,FALSE,"REK";#N/A,#N/A,FALSE,"rab"}</definedName>
    <definedName name="tahap3" localSheetId="31" hidden="1">{#N/A,#N/A,FALSE,"REK";#N/A,#N/A,FALSE,"rab"}</definedName>
    <definedName name="tahap3" localSheetId="30" hidden="1">{#N/A,#N/A,FALSE,"REK";#N/A,#N/A,FALSE,"rab"}</definedName>
    <definedName name="tahap3" localSheetId="17" hidden="1">{#N/A,#N/A,FALSE,"REK";#N/A,#N/A,FALSE,"rab"}</definedName>
    <definedName name="tahap3" localSheetId="18" hidden="1">{#N/A,#N/A,FALSE,"REK";#N/A,#N/A,FALSE,"rab"}</definedName>
    <definedName name="tahap3" hidden="1">{#N/A,#N/A,FALSE,"REK";#N/A,#N/A,FALSE,"rab"}</definedName>
    <definedName name="tai" localSheetId="20" hidden="1">{"'Sheet1'!$A$1"}</definedName>
    <definedName name="tai" localSheetId="19" hidden="1">{"'Sheet1'!$A$1"}</definedName>
    <definedName name="tai" localSheetId="26" hidden="1">{"'Sheet1'!$A$1"}</definedName>
    <definedName name="tai" localSheetId="24" hidden="1">{"'Sheet1'!$A$1"}</definedName>
    <definedName name="tai" localSheetId="32" hidden="1">{"'Sheet1'!$A$1"}</definedName>
    <definedName name="tai" localSheetId="27" hidden="1">{"'Sheet1'!$A$1"}</definedName>
    <definedName name="tai" localSheetId="28" hidden="1">{"'Sheet1'!$A$1"}</definedName>
    <definedName name="tai" localSheetId="29" hidden="1">{"'Sheet1'!$A$1"}</definedName>
    <definedName name="tai" localSheetId="31" hidden="1">{"'Sheet1'!$A$1"}</definedName>
    <definedName name="tai" localSheetId="30" hidden="1">{"'Sheet1'!$A$1"}</definedName>
    <definedName name="tai" localSheetId="17" hidden="1">{"'Sheet1'!$A$1"}</definedName>
    <definedName name="tai" localSheetId="18" hidden="1">{"'Sheet1'!$A$1"}</definedName>
    <definedName name="tai" hidden="1">{"'Sheet1'!$A$1"}</definedName>
    <definedName name="TAMPILAN" localSheetId="20" hidden="1">{#N/A,#N/A,FALSE,"REK";#N/A,#N/A,FALSE,"Bq-ARS"}</definedName>
    <definedName name="TAMPILAN" localSheetId="19" hidden="1">{#N/A,#N/A,FALSE,"REK";#N/A,#N/A,FALSE,"Bq-ARS"}</definedName>
    <definedName name="TAMPILAN" localSheetId="26" hidden="1">{#N/A,#N/A,FALSE,"REK";#N/A,#N/A,FALSE,"Bq-ARS"}</definedName>
    <definedName name="TAMPILAN" localSheetId="24" hidden="1">{#N/A,#N/A,FALSE,"REK";#N/A,#N/A,FALSE,"Bq-ARS"}</definedName>
    <definedName name="TAMPILAN" localSheetId="32" hidden="1">{#N/A,#N/A,FALSE,"REK";#N/A,#N/A,FALSE,"Bq-ARS"}</definedName>
    <definedName name="TAMPILAN" localSheetId="27" hidden="1">{#N/A,#N/A,FALSE,"REK";#N/A,#N/A,FALSE,"Bq-ARS"}</definedName>
    <definedName name="TAMPILAN" localSheetId="28" hidden="1">{#N/A,#N/A,FALSE,"REK";#N/A,#N/A,FALSE,"Bq-ARS"}</definedName>
    <definedName name="TAMPILAN" localSheetId="29" hidden="1">{#N/A,#N/A,FALSE,"REK";#N/A,#N/A,FALSE,"Bq-ARS"}</definedName>
    <definedName name="TAMPILAN" localSheetId="31" hidden="1">{#N/A,#N/A,FALSE,"REK";#N/A,#N/A,FALSE,"Bq-ARS"}</definedName>
    <definedName name="TAMPILAN" localSheetId="30" hidden="1">{#N/A,#N/A,FALSE,"REK";#N/A,#N/A,FALSE,"Bq-ARS"}</definedName>
    <definedName name="TAMPILAN" localSheetId="17" hidden="1">{#N/A,#N/A,FALSE,"REK";#N/A,#N/A,FALSE,"Bq-ARS"}</definedName>
    <definedName name="TAMPILAN" localSheetId="18" hidden="1">{#N/A,#N/A,FALSE,"REK";#N/A,#N/A,FALSE,"Bq-ARS"}</definedName>
    <definedName name="TAMPILAN" hidden="1">{#N/A,#N/A,FALSE,"REK";#N/A,#N/A,FALSE,"Bq-ARS"}</definedName>
    <definedName name="tanjd" localSheetId="42" hidden="1">#REF!</definedName>
    <definedName name="tao" localSheetId="20" hidden="1">{"'Sheet1'!$L$16"}</definedName>
    <definedName name="tao" localSheetId="19" hidden="1">{"'Sheet1'!$L$16"}</definedName>
    <definedName name="tao" localSheetId="26" hidden="1">{"'Sheet1'!$L$16"}</definedName>
    <definedName name="tao" localSheetId="24" hidden="1">{"'Sheet1'!$L$16"}</definedName>
    <definedName name="tao" localSheetId="32" hidden="1">{"'Sheet1'!$L$16"}</definedName>
    <definedName name="tao" localSheetId="27" hidden="1">{"'Sheet1'!$L$16"}</definedName>
    <definedName name="tao" localSheetId="28" hidden="1">{"'Sheet1'!$L$16"}</definedName>
    <definedName name="tao" localSheetId="29" hidden="1">{"'Sheet1'!$L$16"}</definedName>
    <definedName name="tao" localSheetId="31" hidden="1">{"'Sheet1'!$L$16"}</definedName>
    <definedName name="tao" localSheetId="30" hidden="1">{"'Sheet1'!$L$16"}</definedName>
    <definedName name="tao" localSheetId="17" hidden="1">{"'Sheet1'!$L$16"}</definedName>
    <definedName name="tao" localSheetId="18" hidden="1">{"'Sheet1'!$L$16"}</definedName>
    <definedName name="tao" hidden="1">{"'Sheet1'!$L$16"}</definedName>
    <definedName name="tbhhj" localSheetId="20" hidden="1">{"'Sheet1'!$A$1"}</definedName>
    <definedName name="tbhhj" localSheetId="19" hidden="1">{"'Sheet1'!$A$1"}</definedName>
    <definedName name="tbhhj" localSheetId="26" hidden="1">{"'Sheet1'!$A$1"}</definedName>
    <definedName name="tbhhj" localSheetId="24" hidden="1">{"'Sheet1'!$A$1"}</definedName>
    <definedName name="tbhhj" localSheetId="32" hidden="1">{"'Sheet1'!$A$1"}</definedName>
    <definedName name="tbhhj" localSheetId="27" hidden="1">{"'Sheet1'!$A$1"}</definedName>
    <definedName name="tbhhj" localSheetId="28" hidden="1">{"'Sheet1'!$A$1"}</definedName>
    <definedName name="tbhhj" localSheetId="29" hidden="1">{"'Sheet1'!$A$1"}</definedName>
    <definedName name="tbhhj" localSheetId="31" hidden="1">{"'Sheet1'!$A$1"}</definedName>
    <definedName name="tbhhj" localSheetId="30" hidden="1">{"'Sheet1'!$A$1"}</definedName>
    <definedName name="tbhhj" localSheetId="17" hidden="1">{"'Sheet1'!$A$1"}</definedName>
    <definedName name="tbhhj" localSheetId="18" hidden="1">{"'Sheet1'!$A$1"}</definedName>
    <definedName name="tbhhj" hidden="1">{"'Sheet1'!$A$1"}</definedName>
    <definedName name="tbl_ProdInfo" localSheetId="41" hidden="1">#REF!</definedName>
    <definedName name="tbl_ProdInfo" localSheetId="42" hidden="1">#REF!</definedName>
    <definedName name="tbl_ProdInfo" hidden="1">#REF!</definedName>
    <definedName name="TDGSR" localSheetId="20" hidden="1">{"'Sheet1'!$A$1"}</definedName>
    <definedName name="TDGSR" localSheetId="19" hidden="1">{"'Sheet1'!$A$1"}</definedName>
    <definedName name="TDGSR" localSheetId="26" hidden="1">{"'Sheet1'!$A$1"}</definedName>
    <definedName name="TDGSR" localSheetId="24" hidden="1">{"'Sheet1'!$A$1"}</definedName>
    <definedName name="TDGSR" localSheetId="32" hidden="1">{"'Sheet1'!$A$1"}</definedName>
    <definedName name="TDGSR" localSheetId="27" hidden="1">{"'Sheet1'!$A$1"}</definedName>
    <definedName name="TDGSR" localSheetId="28" hidden="1">{"'Sheet1'!$A$1"}</definedName>
    <definedName name="TDGSR" localSheetId="29" hidden="1">{"'Sheet1'!$A$1"}</definedName>
    <definedName name="TDGSR" localSheetId="31" hidden="1">{"'Sheet1'!$A$1"}</definedName>
    <definedName name="TDGSR" localSheetId="30" hidden="1">{"'Sheet1'!$A$1"}</definedName>
    <definedName name="TDGSR" localSheetId="17" hidden="1">{"'Sheet1'!$A$1"}</definedName>
    <definedName name="TDGSR" localSheetId="18" hidden="1">{"'Sheet1'!$A$1"}</definedName>
    <definedName name="TDGSR" hidden="1">{"'Sheet1'!$A$1"}</definedName>
    <definedName name="tdr" localSheetId="20" hidden="1">{"'Sheet1'!$A$1"}</definedName>
    <definedName name="tdr" localSheetId="19" hidden="1">{"'Sheet1'!$A$1"}</definedName>
    <definedName name="tdr" localSheetId="26" hidden="1">{"'Sheet1'!$A$1"}</definedName>
    <definedName name="tdr" localSheetId="24" hidden="1">{"'Sheet1'!$A$1"}</definedName>
    <definedName name="tdr" localSheetId="32" hidden="1">{"'Sheet1'!$A$1"}</definedName>
    <definedName name="tdr" localSheetId="27" hidden="1">{"'Sheet1'!$A$1"}</definedName>
    <definedName name="tdr" localSheetId="28" hidden="1">{"'Sheet1'!$A$1"}</definedName>
    <definedName name="tdr" localSheetId="29" hidden="1">{"'Sheet1'!$A$1"}</definedName>
    <definedName name="tdr" localSheetId="31" hidden="1">{"'Sheet1'!$A$1"}</definedName>
    <definedName name="tdr" localSheetId="30" hidden="1">{"'Sheet1'!$A$1"}</definedName>
    <definedName name="tdr" localSheetId="17" hidden="1">{"'Sheet1'!$A$1"}</definedName>
    <definedName name="tdr" localSheetId="18" hidden="1">{"'Sheet1'!$A$1"}</definedName>
    <definedName name="tdr" hidden="1">{"'Sheet1'!$A$1"}</definedName>
    <definedName name="tei" localSheetId="20" hidden="1">{"'Sheet1'!$A$1"}</definedName>
    <definedName name="tei" localSheetId="19" hidden="1">{"'Sheet1'!$A$1"}</definedName>
    <definedName name="tei" localSheetId="26" hidden="1">{"'Sheet1'!$A$1"}</definedName>
    <definedName name="tei" localSheetId="24" hidden="1">{"'Sheet1'!$A$1"}</definedName>
    <definedName name="tei" localSheetId="32" hidden="1">{"'Sheet1'!$A$1"}</definedName>
    <definedName name="tei" localSheetId="27" hidden="1">{"'Sheet1'!$A$1"}</definedName>
    <definedName name="tei" localSheetId="28" hidden="1">{"'Sheet1'!$A$1"}</definedName>
    <definedName name="tei" localSheetId="29" hidden="1">{"'Sheet1'!$A$1"}</definedName>
    <definedName name="tei" localSheetId="31" hidden="1">{"'Sheet1'!$A$1"}</definedName>
    <definedName name="tei" localSheetId="30" hidden="1">{"'Sheet1'!$A$1"}</definedName>
    <definedName name="tei" localSheetId="17" hidden="1">{"'Sheet1'!$A$1"}</definedName>
    <definedName name="tei" localSheetId="18" hidden="1">{"'Sheet1'!$A$1"}</definedName>
    <definedName name="tei" hidden="1">{"'Sheet1'!$A$1"}</definedName>
    <definedName name="TEMP" localSheetId="20" hidden="1">{#N/A,#N/A,FALSE,"Profit &amp; Loss statement"}</definedName>
    <definedName name="TEMP" localSheetId="19" hidden="1">{#N/A,#N/A,FALSE,"Profit &amp; Loss statement"}</definedName>
    <definedName name="TEMP" localSheetId="26" hidden="1">{#N/A,#N/A,FALSE,"Profit &amp; Loss statement"}</definedName>
    <definedName name="TEMP" localSheetId="24" hidden="1">{#N/A,#N/A,FALSE,"Profit &amp; Loss statement"}</definedName>
    <definedName name="TEMP" localSheetId="32" hidden="1">{#N/A,#N/A,FALSE,"Profit &amp; Loss statement"}</definedName>
    <definedName name="TEMP" localSheetId="27" hidden="1">{#N/A,#N/A,FALSE,"Profit &amp; Loss statement"}</definedName>
    <definedName name="TEMP" localSheetId="28" hidden="1">{#N/A,#N/A,FALSE,"Profit &amp; Loss statement"}</definedName>
    <definedName name="TEMP" localSheetId="29" hidden="1">{#N/A,#N/A,FALSE,"Profit &amp; Loss statement"}</definedName>
    <definedName name="TEMP" localSheetId="31" hidden="1">{#N/A,#N/A,FALSE,"Profit &amp; Loss statement"}</definedName>
    <definedName name="TEMP" localSheetId="30" hidden="1">{#N/A,#N/A,FALSE,"Profit &amp; Loss statement"}</definedName>
    <definedName name="TEMP" localSheetId="17" hidden="1">{#N/A,#N/A,FALSE,"Profit &amp; Loss statement"}</definedName>
    <definedName name="TEMP" localSheetId="18" hidden="1">{#N/A,#N/A,FALSE,"Profit &amp; Loss statement"}</definedName>
    <definedName name="TEMP" hidden="1">{#N/A,#N/A,FALSE,"Profit &amp; Loss statement"}</definedName>
    <definedName name="tempe" localSheetId="20" hidden="1">{#N/A,#N/A,FALSE,"CCTV"}</definedName>
    <definedName name="tempe" localSheetId="19" hidden="1">{#N/A,#N/A,FALSE,"CCTV"}</definedName>
    <definedName name="tempe" localSheetId="26" hidden="1">{#N/A,#N/A,FALSE,"CCTV"}</definedName>
    <definedName name="tempe" localSheetId="24" hidden="1">{#N/A,#N/A,FALSE,"CCTV"}</definedName>
    <definedName name="tempe" localSheetId="32" hidden="1">{#N/A,#N/A,FALSE,"CCTV"}</definedName>
    <definedName name="tempe" localSheetId="27" hidden="1">{#N/A,#N/A,FALSE,"CCTV"}</definedName>
    <definedName name="tempe" localSheetId="28" hidden="1">{#N/A,#N/A,FALSE,"CCTV"}</definedName>
    <definedName name="tempe" localSheetId="29" hidden="1">{#N/A,#N/A,FALSE,"CCTV"}</definedName>
    <definedName name="tempe" localSheetId="31" hidden="1">{#N/A,#N/A,FALSE,"CCTV"}</definedName>
    <definedName name="tempe" localSheetId="30" hidden="1">{#N/A,#N/A,FALSE,"CCTV"}</definedName>
    <definedName name="tempe" localSheetId="17" hidden="1">{#N/A,#N/A,FALSE,"CCTV"}</definedName>
    <definedName name="tempe" localSheetId="18" hidden="1">{#N/A,#N/A,FALSE,"CCTV"}</definedName>
    <definedName name="tempe" hidden="1">{#N/A,#N/A,FALSE,"CCTV"}</definedName>
    <definedName name="tempe1" localSheetId="20" hidden="1">{#N/A,#N/A,FALSE,"CCTV"}</definedName>
    <definedName name="tempe1" localSheetId="19" hidden="1">{#N/A,#N/A,FALSE,"CCTV"}</definedName>
    <definedName name="tempe1" localSheetId="26" hidden="1">{#N/A,#N/A,FALSE,"CCTV"}</definedName>
    <definedName name="tempe1" localSheetId="24" hidden="1">{#N/A,#N/A,FALSE,"CCTV"}</definedName>
    <definedName name="tempe1" localSheetId="32" hidden="1">{#N/A,#N/A,FALSE,"CCTV"}</definedName>
    <definedName name="tempe1" localSheetId="27" hidden="1">{#N/A,#N/A,FALSE,"CCTV"}</definedName>
    <definedName name="tempe1" localSheetId="28" hidden="1">{#N/A,#N/A,FALSE,"CCTV"}</definedName>
    <definedName name="tempe1" localSheetId="29" hidden="1">{#N/A,#N/A,FALSE,"CCTV"}</definedName>
    <definedName name="tempe1" localSheetId="31" hidden="1">{#N/A,#N/A,FALSE,"CCTV"}</definedName>
    <definedName name="tempe1" localSheetId="30" hidden="1">{#N/A,#N/A,FALSE,"CCTV"}</definedName>
    <definedName name="tempe1" localSheetId="17" hidden="1">{#N/A,#N/A,FALSE,"CCTV"}</definedName>
    <definedName name="tempe1" localSheetId="18" hidden="1">{#N/A,#N/A,FALSE,"CCTV"}</definedName>
    <definedName name="tempe1" hidden="1">{#N/A,#N/A,FALSE,"CCTV"}</definedName>
    <definedName name="ter" localSheetId="42" hidden="1">#REF!</definedName>
    <definedName name="terdys" localSheetId="20" hidden="1">{"'Sheet1'!$A$1"}</definedName>
    <definedName name="terdys" localSheetId="19" hidden="1">{"'Sheet1'!$A$1"}</definedName>
    <definedName name="terdys" localSheetId="26" hidden="1">{"'Sheet1'!$A$1"}</definedName>
    <definedName name="terdys" localSheetId="24" hidden="1">{"'Sheet1'!$A$1"}</definedName>
    <definedName name="terdys" localSheetId="32" hidden="1">{"'Sheet1'!$A$1"}</definedName>
    <definedName name="terdys" localSheetId="27" hidden="1">{"'Sheet1'!$A$1"}</definedName>
    <definedName name="terdys" localSheetId="28" hidden="1">{"'Sheet1'!$A$1"}</definedName>
    <definedName name="terdys" localSheetId="29" hidden="1">{"'Sheet1'!$A$1"}</definedName>
    <definedName name="terdys" localSheetId="31" hidden="1">{"'Sheet1'!$A$1"}</definedName>
    <definedName name="terdys" localSheetId="30" hidden="1">{"'Sheet1'!$A$1"}</definedName>
    <definedName name="terdys" localSheetId="17" hidden="1">{"'Sheet1'!$A$1"}</definedName>
    <definedName name="terdys" localSheetId="18" hidden="1">{"'Sheet1'!$A$1"}</definedName>
    <definedName name="terdys" hidden="1">{"'Sheet1'!$A$1"}</definedName>
    <definedName name="test" localSheetId="41" hidden="1">#REF!</definedName>
    <definedName name="test" localSheetId="42" hidden="1">#REF!</definedName>
    <definedName name="test" hidden="1">#REF!</definedName>
    <definedName name="test1" localSheetId="20" hidden="1">{"Offgrid",#N/A,FALSE,"OFFGRID";"Region",#N/A,FALSE,"REGION";"Offgrid -2",#N/A,FALSE,"OFFGRID";"WTP",#N/A,FALSE,"WTP";"WTP -2",#N/A,FALSE,"WTP";"Project",#N/A,FALSE,"PROJECT";"Summary -2",#N/A,FALSE,"SUMMARY"}</definedName>
    <definedName name="test1" localSheetId="19" hidden="1">{"Offgrid",#N/A,FALSE,"OFFGRID";"Region",#N/A,FALSE,"REGION";"Offgrid -2",#N/A,FALSE,"OFFGRID";"WTP",#N/A,FALSE,"WTP";"WTP -2",#N/A,FALSE,"WTP";"Project",#N/A,FALSE,"PROJECT";"Summary -2",#N/A,FALSE,"SUMMARY"}</definedName>
    <definedName name="test1" localSheetId="26" hidden="1">{"Offgrid",#N/A,FALSE,"OFFGRID";"Region",#N/A,FALSE,"REGION";"Offgrid -2",#N/A,FALSE,"OFFGRID";"WTP",#N/A,FALSE,"WTP";"WTP -2",#N/A,FALSE,"WTP";"Project",#N/A,FALSE,"PROJECT";"Summary -2",#N/A,FALSE,"SUMMARY"}</definedName>
    <definedName name="test1" localSheetId="24" hidden="1">{"Offgrid",#N/A,FALSE,"OFFGRID";"Region",#N/A,FALSE,"REGION";"Offgrid -2",#N/A,FALSE,"OFFGRID";"WTP",#N/A,FALSE,"WTP";"WTP -2",#N/A,FALSE,"WTP";"Project",#N/A,FALSE,"PROJECT";"Summary -2",#N/A,FALSE,"SUMMARY"}</definedName>
    <definedName name="test1" localSheetId="32" hidden="1">{"Offgrid",#N/A,FALSE,"OFFGRID";"Region",#N/A,FALSE,"REGION";"Offgrid -2",#N/A,FALSE,"OFFGRID";"WTP",#N/A,FALSE,"WTP";"WTP -2",#N/A,FALSE,"WTP";"Project",#N/A,FALSE,"PROJECT";"Summary -2",#N/A,FALSE,"SUMMARY"}</definedName>
    <definedName name="test1" localSheetId="27" hidden="1">{"Offgrid",#N/A,FALSE,"OFFGRID";"Region",#N/A,FALSE,"REGION";"Offgrid -2",#N/A,FALSE,"OFFGRID";"WTP",#N/A,FALSE,"WTP";"WTP -2",#N/A,FALSE,"WTP";"Project",#N/A,FALSE,"PROJECT";"Summary -2",#N/A,FALSE,"SUMMARY"}</definedName>
    <definedName name="test1" localSheetId="28" hidden="1">{"Offgrid",#N/A,FALSE,"OFFGRID";"Region",#N/A,FALSE,"REGION";"Offgrid -2",#N/A,FALSE,"OFFGRID";"WTP",#N/A,FALSE,"WTP";"WTP -2",#N/A,FALSE,"WTP";"Project",#N/A,FALSE,"PROJECT";"Summary -2",#N/A,FALSE,"SUMMARY"}</definedName>
    <definedName name="test1" localSheetId="29" hidden="1">{"Offgrid",#N/A,FALSE,"OFFGRID";"Region",#N/A,FALSE,"REGION";"Offgrid -2",#N/A,FALSE,"OFFGRID";"WTP",#N/A,FALSE,"WTP";"WTP -2",#N/A,FALSE,"WTP";"Project",#N/A,FALSE,"PROJECT";"Summary -2",#N/A,FALSE,"SUMMARY"}</definedName>
    <definedName name="test1" localSheetId="31" hidden="1">{"Offgrid",#N/A,FALSE,"OFFGRID";"Region",#N/A,FALSE,"REGION";"Offgrid -2",#N/A,FALSE,"OFFGRID";"WTP",#N/A,FALSE,"WTP";"WTP -2",#N/A,FALSE,"WTP";"Project",#N/A,FALSE,"PROJECT";"Summary -2",#N/A,FALSE,"SUMMARY"}</definedName>
    <definedName name="test1" localSheetId="30" hidden="1">{"Offgrid",#N/A,FALSE,"OFFGRID";"Region",#N/A,FALSE,"REGION";"Offgrid -2",#N/A,FALSE,"OFFGRID";"WTP",#N/A,FALSE,"WTP";"WTP -2",#N/A,FALSE,"WTP";"Project",#N/A,FALSE,"PROJECT";"Summary -2",#N/A,FALSE,"SUMMARY"}</definedName>
    <definedName name="test1" localSheetId="17" hidden="1">{"Offgrid",#N/A,FALSE,"OFFGRID";"Region",#N/A,FALSE,"REGION";"Offgrid -2",#N/A,FALSE,"OFFGRID";"WTP",#N/A,FALSE,"WTP";"WTP -2",#N/A,FALSE,"WTP";"Project",#N/A,FALSE,"PROJECT";"Summary -2",#N/A,FALSE,"SUMMARY"}</definedName>
    <definedName name="test1" localSheetId="18" hidden="1">{"Offgrid",#N/A,FALSE,"OFFGRID";"Region",#N/A,FALSE,"REGION";"Offgrid -2",#N/A,FALSE,"OFFGRID";"WTP",#N/A,FALSE,"WTP";"WTP -2",#N/A,FALSE,"WTP";"Project",#N/A,FALSE,"PROJECT";"Summary -2",#N/A,FALSE,"SUMMARY"}</definedName>
    <definedName name="test1" hidden="1">{"Offgrid",#N/A,FALSE,"OFFGRID";"Region",#N/A,FALSE,"REGION";"Offgrid -2",#N/A,FALSE,"OFFGRID";"WTP",#N/A,FALSE,"WTP";"WTP -2",#N/A,FALSE,"WTP";"Project",#N/A,FALSE,"PROJECT";"Summary -2",#N/A,FALSE,"SUMMARY"}</definedName>
    <definedName name="tet" localSheetId="20" hidden="1">{#N/A,#N/A,FALSE,"CCTV"}</definedName>
    <definedName name="tet" localSheetId="19" hidden="1">{#N/A,#N/A,FALSE,"CCTV"}</definedName>
    <definedName name="tet" localSheetId="26" hidden="1">{#N/A,#N/A,FALSE,"CCTV"}</definedName>
    <definedName name="tet" localSheetId="24" hidden="1">{#N/A,#N/A,FALSE,"CCTV"}</definedName>
    <definedName name="tet" localSheetId="32" hidden="1">{#N/A,#N/A,FALSE,"CCTV"}</definedName>
    <definedName name="tet" localSheetId="27" hidden="1">{#N/A,#N/A,FALSE,"CCTV"}</definedName>
    <definedName name="tet" localSheetId="28" hidden="1">{#N/A,#N/A,FALSE,"CCTV"}</definedName>
    <definedName name="tet" localSheetId="29" hidden="1">{#N/A,#N/A,FALSE,"CCTV"}</definedName>
    <definedName name="tet" localSheetId="31" hidden="1">{#N/A,#N/A,FALSE,"CCTV"}</definedName>
    <definedName name="tet" localSheetId="30" hidden="1">{#N/A,#N/A,FALSE,"CCTV"}</definedName>
    <definedName name="tet" localSheetId="17" hidden="1">{#N/A,#N/A,FALSE,"CCTV"}</definedName>
    <definedName name="tet" localSheetId="18" hidden="1">{#N/A,#N/A,FALSE,"CCTV"}</definedName>
    <definedName name="tet" hidden="1">{#N/A,#N/A,FALSE,"CCTV"}</definedName>
    <definedName name="TEWRER" localSheetId="2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WRER" localSheetId="1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WRER" localSheetId="2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WRER" localSheetId="2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WRER" localSheetId="3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WRER" localSheetId="2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WRER" localSheetId="2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WRER" localSheetId="2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WRER" localSheetId="3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WRER" localSheetId="3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WRER" localSheetId="1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WRER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WRE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G" localSheetId="20" hidden="1">{#N/A,#N/A,FALSE,"CCTV"}</definedName>
    <definedName name="TG" localSheetId="19" hidden="1">{#N/A,#N/A,FALSE,"CCTV"}</definedName>
    <definedName name="TG" localSheetId="26" hidden="1">{#N/A,#N/A,FALSE,"CCTV"}</definedName>
    <definedName name="TG" localSheetId="24" hidden="1">{#N/A,#N/A,FALSE,"CCTV"}</definedName>
    <definedName name="TG" localSheetId="32" hidden="1">{#N/A,#N/A,FALSE,"CCTV"}</definedName>
    <definedName name="TG" localSheetId="27" hidden="1">{#N/A,#N/A,FALSE,"CCTV"}</definedName>
    <definedName name="TG" localSheetId="28" hidden="1">{#N/A,#N/A,FALSE,"CCTV"}</definedName>
    <definedName name="TG" localSheetId="29" hidden="1">{#N/A,#N/A,FALSE,"CCTV"}</definedName>
    <definedName name="TG" localSheetId="31" hidden="1">{#N/A,#N/A,FALSE,"CCTV"}</definedName>
    <definedName name="TG" localSheetId="30" hidden="1">{#N/A,#N/A,FALSE,"CCTV"}</definedName>
    <definedName name="TG" localSheetId="17" hidden="1">{#N/A,#N/A,FALSE,"CCTV"}</definedName>
    <definedName name="TG" localSheetId="18" hidden="1">{#N/A,#N/A,FALSE,"CCTV"}</definedName>
    <definedName name="TG" hidden="1">{#N/A,#N/A,FALSE,"CCTV"}</definedName>
    <definedName name="TGB" localSheetId="32" hidden="1">#REF!</definedName>
    <definedName name="TGB" hidden="1">#REF!</definedName>
    <definedName name="TGH" localSheetId="32" hidden="1">#REF!</definedName>
    <definedName name="TGH" hidden="1">#REF!</definedName>
    <definedName name="th" localSheetId="20" hidden="1">{"'Sheet1'!$A$1"}</definedName>
    <definedName name="th" localSheetId="19" hidden="1">{"'Sheet1'!$A$1"}</definedName>
    <definedName name="th" localSheetId="32" hidden="1">{"'Sheet1'!$A$1"}</definedName>
    <definedName name="th" localSheetId="27" hidden="1">{"'Sheet1'!$A$1"}</definedName>
    <definedName name="th" localSheetId="28" hidden="1">{"'Sheet1'!$A$1"}</definedName>
    <definedName name="th" localSheetId="31" hidden="1">{"'Sheet1'!$A$1"}</definedName>
    <definedName name="th" localSheetId="30" hidden="1">{"'Sheet1'!$A$1"}</definedName>
    <definedName name="th" localSheetId="13" hidden="1">{"'Sheet1'!$A$1"}</definedName>
    <definedName name="th" localSheetId="17" hidden="1">{"'Sheet1'!$A$1"}</definedName>
    <definedName name="th" localSheetId="18" hidden="1">{"'Sheet1'!$A$1"}</definedName>
    <definedName name="tha" localSheetId="20" hidden="1">{"'Sheet1'!$L$16"}</definedName>
    <definedName name="tha" localSheetId="19" hidden="1">{"'Sheet1'!$L$16"}</definedName>
    <definedName name="tha" localSheetId="26" hidden="1">{"'Sheet1'!$L$16"}</definedName>
    <definedName name="tha" localSheetId="24" hidden="1">{"'Sheet1'!$L$16"}</definedName>
    <definedName name="tha" localSheetId="32" hidden="1">{"'Sheet1'!$L$16"}</definedName>
    <definedName name="tha" localSheetId="27" hidden="1">{"'Sheet1'!$L$16"}</definedName>
    <definedName name="tha" localSheetId="28" hidden="1">{"'Sheet1'!$L$16"}</definedName>
    <definedName name="tha" localSheetId="29" hidden="1">{"'Sheet1'!$L$16"}</definedName>
    <definedName name="tha" localSheetId="31" hidden="1">{"'Sheet1'!$L$16"}</definedName>
    <definedName name="tha" localSheetId="30" hidden="1">{"'Sheet1'!$L$16"}</definedName>
    <definedName name="tha" localSheetId="17" hidden="1">{"'Sheet1'!$L$16"}</definedName>
    <definedName name="tha" localSheetId="18" hidden="1">{"'Sheet1'!$L$16"}</definedName>
    <definedName name="tha" hidden="1">{"'Sheet1'!$L$16"}</definedName>
    <definedName name="thanh" localSheetId="20" hidden="1">{"'Sheet1'!$L$16"}</definedName>
    <definedName name="thanh" localSheetId="19" hidden="1">{"'Sheet1'!$L$16"}</definedName>
    <definedName name="thanh" localSheetId="26" hidden="1">{"'Sheet1'!$L$16"}</definedName>
    <definedName name="thanh" localSheetId="24" hidden="1">{"'Sheet1'!$L$16"}</definedName>
    <definedName name="thanh" localSheetId="32" hidden="1">{"'Sheet1'!$L$16"}</definedName>
    <definedName name="thanh" localSheetId="27" hidden="1">{"'Sheet1'!$L$16"}</definedName>
    <definedName name="thanh" localSheetId="28" hidden="1">{"'Sheet1'!$L$16"}</definedName>
    <definedName name="thanh" localSheetId="29" hidden="1">{"'Sheet1'!$L$16"}</definedName>
    <definedName name="thanh" localSheetId="31" hidden="1">{"'Sheet1'!$L$16"}</definedName>
    <definedName name="thanh" localSheetId="30" hidden="1">{"'Sheet1'!$L$16"}</definedName>
    <definedName name="thanh" localSheetId="17" hidden="1">{"'Sheet1'!$L$16"}</definedName>
    <definedName name="thanh" localSheetId="18" hidden="1">{"'Sheet1'!$L$16"}</definedName>
    <definedName name="thanh" hidden="1">{"'Sheet1'!$L$16"}</definedName>
    <definedName name="THAW" localSheetId="2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" localSheetId="1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" localSheetId="2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" localSheetId="3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" localSheetId="2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" localSheetId="3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" localSheetId="3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" localSheetId="1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em" localSheetId="20" hidden="1">{"'Sheet1'!$L$16"}</definedName>
    <definedName name="them" localSheetId="19" hidden="1">{"'Sheet1'!$L$16"}</definedName>
    <definedName name="them" localSheetId="26" hidden="1">{"'Sheet1'!$L$16"}</definedName>
    <definedName name="them" localSheetId="24" hidden="1">{"'Sheet1'!$L$16"}</definedName>
    <definedName name="them" localSheetId="32" hidden="1">{"'Sheet1'!$L$16"}</definedName>
    <definedName name="them" localSheetId="27" hidden="1">{"'Sheet1'!$L$16"}</definedName>
    <definedName name="them" localSheetId="28" hidden="1">{"'Sheet1'!$L$16"}</definedName>
    <definedName name="them" localSheetId="29" hidden="1">{"'Sheet1'!$L$16"}</definedName>
    <definedName name="them" localSheetId="31" hidden="1">{"'Sheet1'!$L$16"}</definedName>
    <definedName name="them" localSheetId="30" hidden="1">{"'Sheet1'!$L$16"}</definedName>
    <definedName name="them" localSheetId="17" hidden="1">{"'Sheet1'!$L$16"}</definedName>
    <definedName name="them" localSheetId="18" hidden="1">{"'Sheet1'!$L$16"}</definedName>
    <definedName name="them" hidden="1">{"'Sheet1'!$L$16"}</definedName>
    <definedName name="thhj" localSheetId="20" hidden="1">{"'Sheet1'!$A$1"}</definedName>
    <definedName name="thhj" localSheetId="19" hidden="1">{"'Sheet1'!$A$1"}</definedName>
    <definedName name="thhj" localSheetId="26" hidden="1">{"'Sheet1'!$A$1"}</definedName>
    <definedName name="thhj" localSheetId="24" hidden="1">{"'Sheet1'!$A$1"}</definedName>
    <definedName name="thhj" localSheetId="32" hidden="1">{"'Sheet1'!$A$1"}</definedName>
    <definedName name="thhj" localSheetId="27" hidden="1">{"'Sheet1'!$A$1"}</definedName>
    <definedName name="thhj" localSheetId="28" hidden="1">{"'Sheet1'!$A$1"}</definedName>
    <definedName name="thhj" localSheetId="29" hidden="1">{"'Sheet1'!$A$1"}</definedName>
    <definedName name="thhj" localSheetId="31" hidden="1">{"'Sheet1'!$A$1"}</definedName>
    <definedName name="thhj" localSheetId="30" hidden="1">{"'Sheet1'!$A$1"}</definedName>
    <definedName name="thhj" localSheetId="17" hidden="1">{"'Sheet1'!$A$1"}</definedName>
    <definedName name="thhj" localSheetId="18" hidden="1">{"'Sheet1'!$A$1"}</definedName>
    <definedName name="thhj" hidden="1">{"'Sheet1'!$A$1"}</definedName>
    <definedName name="THHR" localSheetId="2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" localSheetId="1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" localSheetId="2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" localSheetId="3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" localSheetId="2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" localSheetId="3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" localSheetId="3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" localSheetId="1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om" localSheetId="20" hidden="1">{"Offgrid",#N/A,FALSE,"OFFGRID";"Region",#N/A,FALSE,"REGION";"Offgrid -2",#N/A,FALSE,"OFFGRID";"WTP",#N/A,FALSE,"WTP";"WTP -2",#N/A,FALSE,"WTP";"Project",#N/A,FALSE,"PROJECT";"Summary -2",#N/A,FALSE,"SUMMARY"}</definedName>
    <definedName name="thom" localSheetId="19" hidden="1">{"Offgrid",#N/A,FALSE,"OFFGRID";"Region",#N/A,FALSE,"REGION";"Offgrid -2",#N/A,FALSE,"OFFGRID";"WTP",#N/A,FALSE,"WTP";"WTP -2",#N/A,FALSE,"WTP";"Project",#N/A,FALSE,"PROJECT";"Summary -2",#N/A,FALSE,"SUMMARY"}</definedName>
    <definedName name="thom" localSheetId="26" hidden="1">{"Offgrid",#N/A,FALSE,"OFFGRID";"Region",#N/A,FALSE,"REGION";"Offgrid -2",#N/A,FALSE,"OFFGRID";"WTP",#N/A,FALSE,"WTP";"WTP -2",#N/A,FALSE,"WTP";"Project",#N/A,FALSE,"PROJECT";"Summary -2",#N/A,FALSE,"SUMMARY"}</definedName>
    <definedName name="thom" localSheetId="24" hidden="1">{"Offgrid",#N/A,FALSE,"OFFGRID";"Region",#N/A,FALSE,"REGION";"Offgrid -2",#N/A,FALSE,"OFFGRID";"WTP",#N/A,FALSE,"WTP";"WTP -2",#N/A,FALSE,"WTP";"Project",#N/A,FALSE,"PROJECT";"Summary -2",#N/A,FALSE,"SUMMARY"}</definedName>
    <definedName name="thom" localSheetId="32" hidden="1">{"Offgrid",#N/A,FALSE,"OFFGRID";"Region",#N/A,FALSE,"REGION";"Offgrid -2",#N/A,FALSE,"OFFGRID";"WTP",#N/A,FALSE,"WTP";"WTP -2",#N/A,FALSE,"WTP";"Project",#N/A,FALSE,"PROJECT";"Summary -2",#N/A,FALSE,"SUMMARY"}</definedName>
    <definedName name="thom" localSheetId="27" hidden="1">{"Offgrid",#N/A,FALSE,"OFFGRID";"Region",#N/A,FALSE,"REGION";"Offgrid -2",#N/A,FALSE,"OFFGRID";"WTP",#N/A,FALSE,"WTP";"WTP -2",#N/A,FALSE,"WTP";"Project",#N/A,FALSE,"PROJECT";"Summary -2",#N/A,FALSE,"SUMMARY"}</definedName>
    <definedName name="thom" localSheetId="28" hidden="1">{"Offgrid",#N/A,FALSE,"OFFGRID";"Region",#N/A,FALSE,"REGION";"Offgrid -2",#N/A,FALSE,"OFFGRID";"WTP",#N/A,FALSE,"WTP";"WTP -2",#N/A,FALSE,"WTP";"Project",#N/A,FALSE,"PROJECT";"Summary -2",#N/A,FALSE,"SUMMARY"}</definedName>
    <definedName name="thom" localSheetId="29" hidden="1">{"Offgrid",#N/A,FALSE,"OFFGRID";"Region",#N/A,FALSE,"REGION";"Offgrid -2",#N/A,FALSE,"OFFGRID";"WTP",#N/A,FALSE,"WTP";"WTP -2",#N/A,FALSE,"WTP";"Project",#N/A,FALSE,"PROJECT";"Summary -2",#N/A,FALSE,"SUMMARY"}</definedName>
    <definedName name="thom" localSheetId="31" hidden="1">{"Offgrid",#N/A,FALSE,"OFFGRID";"Region",#N/A,FALSE,"REGION";"Offgrid -2",#N/A,FALSE,"OFFGRID";"WTP",#N/A,FALSE,"WTP";"WTP -2",#N/A,FALSE,"WTP";"Project",#N/A,FALSE,"PROJECT";"Summary -2",#N/A,FALSE,"SUMMARY"}</definedName>
    <definedName name="thom" localSheetId="30" hidden="1">{"Offgrid",#N/A,FALSE,"OFFGRID";"Region",#N/A,FALSE,"REGION";"Offgrid -2",#N/A,FALSE,"OFFGRID";"WTP",#N/A,FALSE,"WTP";"WTP -2",#N/A,FALSE,"WTP";"Project",#N/A,FALSE,"PROJECT";"Summary -2",#N/A,FALSE,"SUMMARY"}</definedName>
    <definedName name="thom" localSheetId="17" hidden="1">{"Offgrid",#N/A,FALSE,"OFFGRID";"Region",#N/A,FALSE,"REGION";"Offgrid -2",#N/A,FALSE,"OFFGRID";"WTP",#N/A,FALSE,"WTP";"WTP -2",#N/A,FALSE,"WTP";"Project",#N/A,FALSE,"PROJECT";"Summary -2",#N/A,FALSE,"SUMMARY"}</definedName>
    <definedName name="thom" localSheetId="18" hidden="1">{"Offgrid",#N/A,FALSE,"OFFGRID";"Region",#N/A,FALSE,"REGION";"Offgrid -2",#N/A,FALSE,"OFFGRID";"WTP",#N/A,FALSE,"WTP";"WTP -2",#N/A,FALSE,"WTP";"Project",#N/A,FALSE,"PROJECT";"Summary -2",#N/A,FALSE,"SUMMARY"}</definedName>
    <definedName name="thom" hidden="1">{"Offgrid",#N/A,FALSE,"OFFGRID";"Region",#N/A,FALSE,"REGION";"Offgrid -2",#N/A,FALSE,"OFFGRID";"WTP",#N/A,FALSE,"WTP";"WTP -2",#N/A,FALSE,"WTP";"Project",#N/A,FALSE,"PROJECT";"Summary -2",#N/A,FALSE,"SUMMARY"}</definedName>
    <definedName name="thomson" localSheetId="20" hidden="1">{"Offgrid",#N/A,FALSE,"OFFGRID";"Region",#N/A,FALSE,"REGION";"Offgrid -2",#N/A,FALSE,"OFFGRID";"WTP",#N/A,FALSE,"WTP";"WTP -2",#N/A,FALSE,"WTP";"Project",#N/A,FALSE,"PROJECT";"Summary -2",#N/A,FALSE,"SUMMARY"}</definedName>
    <definedName name="thomson" localSheetId="19" hidden="1">{"Offgrid",#N/A,FALSE,"OFFGRID";"Region",#N/A,FALSE,"REGION";"Offgrid -2",#N/A,FALSE,"OFFGRID";"WTP",#N/A,FALSE,"WTP";"WTP -2",#N/A,FALSE,"WTP";"Project",#N/A,FALSE,"PROJECT";"Summary -2",#N/A,FALSE,"SUMMARY"}</definedName>
    <definedName name="thomson" localSheetId="26" hidden="1">{"Offgrid",#N/A,FALSE,"OFFGRID";"Region",#N/A,FALSE,"REGION";"Offgrid -2",#N/A,FALSE,"OFFGRID";"WTP",#N/A,FALSE,"WTP";"WTP -2",#N/A,FALSE,"WTP";"Project",#N/A,FALSE,"PROJECT";"Summary -2",#N/A,FALSE,"SUMMARY"}</definedName>
    <definedName name="thomson" localSheetId="24" hidden="1">{"Offgrid",#N/A,FALSE,"OFFGRID";"Region",#N/A,FALSE,"REGION";"Offgrid -2",#N/A,FALSE,"OFFGRID";"WTP",#N/A,FALSE,"WTP";"WTP -2",#N/A,FALSE,"WTP";"Project",#N/A,FALSE,"PROJECT";"Summary -2",#N/A,FALSE,"SUMMARY"}</definedName>
    <definedName name="thomson" localSheetId="32" hidden="1">{"Offgrid",#N/A,FALSE,"OFFGRID";"Region",#N/A,FALSE,"REGION";"Offgrid -2",#N/A,FALSE,"OFFGRID";"WTP",#N/A,FALSE,"WTP";"WTP -2",#N/A,FALSE,"WTP";"Project",#N/A,FALSE,"PROJECT";"Summary -2",#N/A,FALSE,"SUMMARY"}</definedName>
    <definedName name="thomson" localSheetId="27" hidden="1">{"Offgrid",#N/A,FALSE,"OFFGRID";"Region",#N/A,FALSE,"REGION";"Offgrid -2",#N/A,FALSE,"OFFGRID";"WTP",#N/A,FALSE,"WTP";"WTP -2",#N/A,FALSE,"WTP";"Project",#N/A,FALSE,"PROJECT";"Summary -2",#N/A,FALSE,"SUMMARY"}</definedName>
    <definedName name="thomson" localSheetId="28" hidden="1">{"Offgrid",#N/A,FALSE,"OFFGRID";"Region",#N/A,FALSE,"REGION";"Offgrid -2",#N/A,FALSE,"OFFGRID";"WTP",#N/A,FALSE,"WTP";"WTP -2",#N/A,FALSE,"WTP";"Project",#N/A,FALSE,"PROJECT";"Summary -2",#N/A,FALSE,"SUMMARY"}</definedName>
    <definedName name="thomson" localSheetId="29" hidden="1">{"Offgrid",#N/A,FALSE,"OFFGRID";"Region",#N/A,FALSE,"REGION";"Offgrid -2",#N/A,FALSE,"OFFGRID";"WTP",#N/A,FALSE,"WTP";"WTP -2",#N/A,FALSE,"WTP";"Project",#N/A,FALSE,"PROJECT";"Summary -2",#N/A,FALSE,"SUMMARY"}</definedName>
    <definedName name="thomson" localSheetId="31" hidden="1">{"Offgrid",#N/A,FALSE,"OFFGRID";"Region",#N/A,FALSE,"REGION";"Offgrid -2",#N/A,FALSE,"OFFGRID";"WTP",#N/A,FALSE,"WTP";"WTP -2",#N/A,FALSE,"WTP";"Project",#N/A,FALSE,"PROJECT";"Summary -2",#N/A,FALSE,"SUMMARY"}</definedName>
    <definedName name="thomson" localSheetId="30" hidden="1">{"Offgrid",#N/A,FALSE,"OFFGRID";"Region",#N/A,FALSE,"REGION";"Offgrid -2",#N/A,FALSE,"OFFGRID";"WTP",#N/A,FALSE,"WTP";"WTP -2",#N/A,FALSE,"WTP";"Project",#N/A,FALSE,"PROJECT";"Summary -2",#N/A,FALSE,"SUMMARY"}</definedName>
    <definedName name="thomson" localSheetId="17" hidden="1">{"Offgrid",#N/A,FALSE,"OFFGRID";"Region",#N/A,FALSE,"REGION";"Offgrid -2",#N/A,FALSE,"OFFGRID";"WTP",#N/A,FALSE,"WTP";"WTP -2",#N/A,FALSE,"WTP";"Project",#N/A,FALSE,"PROJECT";"Summary -2",#N/A,FALSE,"SUMMARY"}</definedName>
    <definedName name="thomson" localSheetId="18" hidden="1">{"Offgrid",#N/A,FALSE,"OFFGRID";"Region",#N/A,FALSE,"REGION";"Offgrid -2",#N/A,FALSE,"OFFGRID";"WTP",#N/A,FALSE,"WTP";"WTP -2",#N/A,FALSE,"WTP";"Project",#N/A,FALSE,"PROJECT";"Summary -2",#N/A,FALSE,"SUMMARY"}</definedName>
    <definedName name="thomson" hidden="1">{"Offgrid",#N/A,FALSE,"OFFGRID";"Region",#N/A,FALSE,"REGION";"Offgrid -2",#N/A,FALSE,"OFFGRID";"WTP",#N/A,FALSE,"WTP";"WTP -2",#N/A,FALSE,"WTP";"Project",#N/A,FALSE,"PROJECT";"Summary -2",#N/A,FALSE,"SUMMARY"}</definedName>
    <definedName name="thtrj" localSheetId="20" hidden="1">{"'Sheet1'!$A$1"}</definedName>
    <definedName name="thtrj" localSheetId="19" hidden="1">{"'Sheet1'!$A$1"}</definedName>
    <definedName name="thtrj" localSheetId="26" hidden="1">{"'Sheet1'!$A$1"}</definedName>
    <definedName name="thtrj" localSheetId="24" hidden="1">{"'Sheet1'!$A$1"}</definedName>
    <definedName name="thtrj" localSheetId="32" hidden="1">{"'Sheet1'!$A$1"}</definedName>
    <definedName name="thtrj" localSheetId="27" hidden="1">{"'Sheet1'!$A$1"}</definedName>
    <definedName name="thtrj" localSheetId="28" hidden="1">{"'Sheet1'!$A$1"}</definedName>
    <definedName name="thtrj" localSheetId="29" hidden="1">{"'Sheet1'!$A$1"}</definedName>
    <definedName name="thtrj" localSheetId="31" hidden="1">{"'Sheet1'!$A$1"}</definedName>
    <definedName name="thtrj" localSheetId="30" hidden="1">{"'Sheet1'!$A$1"}</definedName>
    <definedName name="thtrj" localSheetId="17" hidden="1">{"'Sheet1'!$A$1"}</definedName>
    <definedName name="thtrj" localSheetId="18" hidden="1">{"'Sheet1'!$A$1"}</definedName>
    <definedName name="thtrj" hidden="1">{"'Sheet1'!$A$1"}</definedName>
    <definedName name="tis" localSheetId="20" hidden="1">{#N/A,#N/A,TRUE,"toc";#N/A,#N/A,TRUE,"general";#N/A,#N/A,TRUE,"compressive";#N/A,#N/A,TRUE,"lateral";#N/A,#N/A,TRUE,"shallow"}</definedName>
    <definedName name="tis" localSheetId="19" hidden="1">{#N/A,#N/A,TRUE,"toc";#N/A,#N/A,TRUE,"general";#N/A,#N/A,TRUE,"compressive";#N/A,#N/A,TRUE,"lateral";#N/A,#N/A,TRUE,"shallow"}</definedName>
    <definedName name="tis" localSheetId="26" hidden="1">{#N/A,#N/A,TRUE,"toc";#N/A,#N/A,TRUE,"general";#N/A,#N/A,TRUE,"compressive";#N/A,#N/A,TRUE,"lateral";#N/A,#N/A,TRUE,"shallow"}</definedName>
    <definedName name="tis" localSheetId="24" hidden="1">{#N/A,#N/A,TRUE,"toc";#N/A,#N/A,TRUE,"general";#N/A,#N/A,TRUE,"compressive";#N/A,#N/A,TRUE,"lateral";#N/A,#N/A,TRUE,"shallow"}</definedName>
    <definedName name="tis" localSheetId="32" hidden="1">{#N/A,#N/A,TRUE,"toc";#N/A,#N/A,TRUE,"general";#N/A,#N/A,TRUE,"compressive";#N/A,#N/A,TRUE,"lateral";#N/A,#N/A,TRUE,"shallow"}</definedName>
    <definedName name="tis" localSheetId="27" hidden="1">{#N/A,#N/A,TRUE,"toc";#N/A,#N/A,TRUE,"general";#N/A,#N/A,TRUE,"compressive";#N/A,#N/A,TRUE,"lateral";#N/A,#N/A,TRUE,"shallow"}</definedName>
    <definedName name="tis" localSheetId="28" hidden="1">{#N/A,#N/A,TRUE,"toc";#N/A,#N/A,TRUE,"general";#N/A,#N/A,TRUE,"compressive";#N/A,#N/A,TRUE,"lateral";#N/A,#N/A,TRUE,"shallow"}</definedName>
    <definedName name="tis" localSheetId="29" hidden="1">{#N/A,#N/A,TRUE,"toc";#N/A,#N/A,TRUE,"general";#N/A,#N/A,TRUE,"compressive";#N/A,#N/A,TRUE,"lateral";#N/A,#N/A,TRUE,"shallow"}</definedName>
    <definedName name="tis" localSheetId="31" hidden="1">{#N/A,#N/A,TRUE,"toc";#N/A,#N/A,TRUE,"general";#N/A,#N/A,TRUE,"compressive";#N/A,#N/A,TRUE,"lateral";#N/A,#N/A,TRUE,"shallow"}</definedName>
    <definedName name="tis" localSheetId="30" hidden="1">{#N/A,#N/A,TRUE,"toc";#N/A,#N/A,TRUE,"general";#N/A,#N/A,TRUE,"compressive";#N/A,#N/A,TRUE,"lateral";#N/A,#N/A,TRUE,"shallow"}</definedName>
    <definedName name="tis" localSheetId="17" hidden="1">{#N/A,#N/A,TRUE,"toc";#N/A,#N/A,TRUE,"general";#N/A,#N/A,TRUE,"compressive";#N/A,#N/A,TRUE,"lateral";#N/A,#N/A,TRUE,"shallow"}</definedName>
    <definedName name="tis" localSheetId="18" hidden="1">{#N/A,#N/A,TRUE,"toc";#N/A,#N/A,TRUE,"general";#N/A,#N/A,TRUE,"compressive";#N/A,#N/A,TRUE,"lateral";#N/A,#N/A,TRUE,"shallow"}</definedName>
    <definedName name="tis" hidden="1">{#N/A,#N/A,TRUE,"toc";#N/A,#N/A,TRUE,"general";#N/A,#N/A,TRUE,"compressive";#N/A,#N/A,TRUE,"lateral";#N/A,#N/A,TRUE,"shallow"}</definedName>
    <definedName name="tj" localSheetId="20" hidden="1">{#N/A,#N/A,FALSE,"REK";#N/A,#N/A,FALSE,"Bq-ARS"}</definedName>
    <definedName name="tj" localSheetId="19" hidden="1">{#N/A,#N/A,FALSE,"REK";#N/A,#N/A,FALSE,"Bq-ARS"}</definedName>
    <definedName name="tj" localSheetId="26" hidden="1">{#N/A,#N/A,FALSE,"REK";#N/A,#N/A,FALSE,"Bq-ARS"}</definedName>
    <definedName name="tj" localSheetId="24" hidden="1">{#N/A,#N/A,FALSE,"REK";#N/A,#N/A,FALSE,"Bq-ARS"}</definedName>
    <definedName name="tj" localSheetId="32" hidden="1">{#N/A,#N/A,FALSE,"REK";#N/A,#N/A,FALSE,"Bq-ARS"}</definedName>
    <definedName name="tj" localSheetId="27" hidden="1">{#N/A,#N/A,FALSE,"REK";#N/A,#N/A,FALSE,"Bq-ARS"}</definedName>
    <definedName name="tj" localSheetId="28" hidden="1">{#N/A,#N/A,FALSE,"REK";#N/A,#N/A,FALSE,"Bq-ARS"}</definedName>
    <definedName name="tj" localSheetId="29" hidden="1">{#N/A,#N/A,FALSE,"REK";#N/A,#N/A,FALSE,"Bq-ARS"}</definedName>
    <definedName name="tj" localSheetId="31" hidden="1">{#N/A,#N/A,FALSE,"REK";#N/A,#N/A,FALSE,"Bq-ARS"}</definedName>
    <definedName name="tj" localSheetId="30" hidden="1">{#N/A,#N/A,FALSE,"REK";#N/A,#N/A,FALSE,"Bq-ARS"}</definedName>
    <definedName name="tj" localSheetId="17" hidden="1">{#N/A,#N/A,FALSE,"REK";#N/A,#N/A,FALSE,"Bq-ARS"}</definedName>
    <definedName name="tj" localSheetId="18" hidden="1">{#N/A,#N/A,FALSE,"REK";#N/A,#N/A,FALSE,"Bq-ARS"}</definedName>
    <definedName name="tj" hidden="1">{#N/A,#N/A,FALSE,"REK";#N/A,#N/A,FALSE,"Bq-ARS"}</definedName>
    <definedName name="tjj" localSheetId="20" hidden="1">{"'Sheet1'!$A$1"}</definedName>
    <definedName name="tjj" localSheetId="19" hidden="1">{"'Sheet1'!$A$1"}</definedName>
    <definedName name="tjj" localSheetId="26" hidden="1">{"'Sheet1'!$A$1"}</definedName>
    <definedName name="tjj" localSheetId="24" hidden="1">{"'Sheet1'!$A$1"}</definedName>
    <definedName name="tjj" localSheetId="32" hidden="1">{"'Sheet1'!$A$1"}</definedName>
    <definedName name="tjj" localSheetId="27" hidden="1">{"'Sheet1'!$A$1"}</definedName>
    <definedName name="tjj" localSheetId="28" hidden="1">{"'Sheet1'!$A$1"}</definedName>
    <definedName name="tjj" localSheetId="29" hidden="1">{"'Sheet1'!$A$1"}</definedName>
    <definedName name="tjj" localSheetId="31" hidden="1">{"'Sheet1'!$A$1"}</definedName>
    <definedName name="tjj" localSheetId="30" hidden="1">{"'Sheet1'!$A$1"}</definedName>
    <definedName name="tjj" localSheetId="17" hidden="1">{"'Sheet1'!$A$1"}</definedName>
    <definedName name="tjj" localSheetId="18" hidden="1">{"'Sheet1'!$A$1"}</definedName>
    <definedName name="tjj" hidden="1">{"'Sheet1'!$A$1"}</definedName>
    <definedName name="tjuu" localSheetId="20" hidden="1">{"'Sheet1'!$A$1"}</definedName>
    <definedName name="tjuu" localSheetId="19" hidden="1">{"'Sheet1'!$A$1"}</definedName>
    <definedName name="tjuu" localSheetId="26" hidden="1">{"'Sheet1'!$A$1"}</definedName>
    <definedName name="tjuu" localSheetId="24" hidden="1">{"'Sheet1'!$A$1"}</definedName>
    <definedName name="tjuu" localSheetId="32" hidden="1">{"'Sheet1'!$A$1"}</definedName>
    <definedName name="tjuu" localSheetId="27" hidden="1">{"'Sheet1'!$A$1"}</definedName>
    <definedName name="tjuu" localSheetId="28" hidden="1">{"'Sheet1'!$A$1"}</definedName>
    <definedName name="tjuu" localSheetId="29" hidden="1">{"'Sheet1'!$A$1"}</definedName>
    <definedName name="tjuu" localSheetId="31" hidden="1">{"'Sheet1'!$A$1"}</definedName>
    <definedName name="tjuu" localSheetId="30" hidden="1">{"'Sheet1'!$A$1"}</definedName>
    <definedName name="tjuu" localSheetId="17" hidden="1">{"'Sheet1'!$A$1"}</definedName>
    <definedName name="tjuu" localSheetId="18" hidden="1">{"'Sheet1'!$A$1"}</definedName>
    <definedName name="tjuu" hidden="1">{"'Sheet1'!$A$1"}</definedName>
    <definedName name="TNI" localSheetId="20" hidden="1">{"'1996'!$A$1:$J$272"}</definedName>
    <definedName name="TNI" localSheetId="19" hidden="1">{"'1996'!$A$1:$J$272"}</definedName>
    <definedName name="TNI" localSheetId="26" hidden="1">{"'1996'!$A$1:$J$272"}</definedName>
    <definedName name="TNI" localSheetId="24" hidden="1">{"'1996'!$A$1:$J$272"}</definedName>
    <definedName name="TNI" localSheetId="32" hidden="1">{"'1996'!$A$1:$J$272"}</definedName>
    <definedName name="TNI" localSheetId="27" hidden="1">{"'1996'!$A$1:$J$272"}</definedName>
    <definedName name="TNI" localSheetId="28" hidden="1">{"'1996'!$A$1:$J$272"}</definedName>
    <definedName name="TNI" localSheetId="29" hidden="1">{"'1996'!$A$1:$J$272"}</definedName>
    <definedName name="TNI" localSheetId="31" hidden="1">{"'1996'!$A$1:$J$272"}</definedName>
    <definedName name="TNI" localSheetId="30" hidden="1">{"'1996'!$A$1:$J$272"}</definedName>
    <definedName name="TNI" localSheetId="17" hidden="1">{"'1996'!$A$1:$J$272"}</definedName>
    <definedName name="TNI" localSheetId="18" hidden="1">{"'1996'!$A$1:$J$272"}</definedName>
    <definedName name="TNI" hidden="1">{"'1996'!$A$1:$J$272"}</definedName>
    <definedName name="Tools_2" hidden="1">#REF!</definedName>
    <definedName name="totok" localSheetId="20" hidden="1">{"'Sheet1'!$A$1"}</definedName>
    <definedName name="totok" localSheetId="19" hidden="1">{"'Sheet1'!$A$1"}</definedName>
    <definedName name="totok" localSheetId="26" hidden="1">{"'Sheet1'!$A$1"}</definedName>
    <definedName name="totok" localSheetId="24" hidden="1">{"'Sheet1'!$A$1"}</definedName>
    <definedName name="totok" localSheetId="32" hidden="1">{"'Sheet1'!$A$1"}</definedName>
    <definedName name="totok" localSheetId="27" hidden="1">{"'Sheet1'!$A$1"}</definedName>
    <definedName name="totok" localSheetId="28" hidden="1">{"'Sheet1'!$A$1"}</definedName>
    <definedName name="totok" localSheetId="29" hidden="1">{"'Sheet1'!$A$1"}</definedName>
    <definedName name="totok" localSheetId="31" hidden="1">{"'Sheet1'!$A$1"}</definedName>
    <definedName name="totok" localSheetId="30" hidden="1">{"'Sheet1'!$A$1"}</definedName>
    <definedName name="totok" localSheetId="17" hidden="1">{"'Sheet1'!$A$1"}</definedName>
    <definedName name="totok" localSheetId="18" hidden="1">{"'Sheet1'!$A$1"}</definedName>
    <definedName name="totok" hidden="1">{"'Sheet1'!$A$1"}</definedName>
    <definedName name="trhh" localSheetId="20" hidden="1">{"'Sheet1'!$A$1"}</definedName>
    <definedName name="trhh" localSheetId="19" hidden="1">{"'Sheet1'!$A$1"}</definedName>
    <definedName name="trhh" localSheetId="26" hidden="1">{"'Sheet1'!$A$1"}</definedName>
    <definedName name="trhh" localSheetId="24" hidden="1">{"'Sheet1'!$A$1"}</definedName>
    <definedName name="trhh" localSheetId="32" hidden="1">{"'Sheet1'!$A$1"}</definedName>
    <definedName name="trhh" localSheetId="27" hidden="1">{"'Sheet1'!$A$1"}</definedName>
    <definedName name="trhh" localSheetId="28" hidden="1">{"'Sheet1'!$A$1"}</definedName>
    <definedName name="trhh" localSheetId="29" hidden="1">{"'Sheet1'!$A$1"}</definedName>
    <definedName name="trhh" localSheetId="31" hidden="1">{"'Sheet1'!$A$1"}</definedName>
    <definedName name="trhh" localSheetId="30" hidden="1">{"'Sheet1'!$A$1"}</definedName>
    <definedName name="trhh" localSheetId="17" hidden="1">{"'Sheet1'!$A$1"}</definedName>
    <definedName name="trhh" localSheetId="18" hidden="1">{"'Sheet1'!$A$1"}</definedName>
    <definedName name="trhh" hidden="1">{"'Sheet1'!$A$1"}</definedName>
    <definedName name="tri" localSheetId="20" hidden="1">{"'Sheet1'!$A$1"}</definedName>
    <definedName name="tri" localSheetId="19" hidden="1">{"'Sheet1'!$A$1"}</definedName>
    <definedName name="tri" localSheetId="26" hidden="1">{"'Sheet1'!$A$1"}</definedName>
    <definedName name="tri" localSheetId="24" hidden="1">{"'Sheet1'!$A$1"}</definedName>
    <definedName name="tri" localSheetId="32" hidden="1">{"'Sheet1'!$A$1"}</definedName>
    <definedName name="tri" localSheetId="27" hidden="1">{"'Sheet1'!$A$1"}</definedName>
    <definedName name="tri" localSheetId="28" hidden="1">{"'Sheet1'!$A$1"}</definedName>
    <definedName name="tri" localSheetId="29" hidden="1">{"'Sheet1'!$A$1"}</definedName>
    <definedName name="tri" localSheetId="31" hidden="1">{"'Sheet1'!$A$1"}</definedName>
    <definedName name="tri" localSheetId="30" hidden="1">{"'Sheet1'!$A$1"}</definedName>
    <definedName name="tri" localSheetId="17" hidden="1">{"'Sheet1'!$A$1"}</definedName>
    <definedName name="tri" localSheetId="18" hidden="1">{"'Sheet1'!$A$1"}</definedName>
    <definedName name="tri" hidden="1">{"'Sheet1'!$A$1"}</definedName>
    <definedName name="tryr" localSheetId="20" hidden="1">{"'Sheet1'!$A$1"}</definedName>
    <definedName name="tryr" localSheetId="19" hidden="1">{"'Sheet1'!$A$1"}</definedName>
    <definedName name="tryr" localSheetId="26" hidden="1">{"'Sheet1'!$A$1"}</definedName>
    <definedName name="tryr" localSheetId="24" hidden="1">{"'Sheet1'!$A$1"}</definedName>
    <definedName name="tryr" localSheetId="32" hidden="1">{"'Sheet1'!$A$1"}</definedName>
    <definedName name="tryr" localSheetId="27" hidden="1">{"'Sheet1'!$A$1"}</definedName>
    <definedName name="tryr" localSheetId="28" hidden="1">{"'Sheet1'!$A$1"}</definedName>
    <definedName name="tryr" localSheetId="29" hidden="1">{"'Sheet1'!$A$1"}</definedName>
    <definedName name="tryr" localSheetId="31" hidden="1">{"'Sheet1'!$A$1"}</definedName>
    <definedName name="tryr" localSheetId="30" hidden="1">{"'Sheet1'!$A$1"}</definedName>
    <definedName name="tryr" localSheetId="17" hidden="1">{"'Sheet1'!$A$1"}</definedName>
    <definedName name="tryr" localSheetId="18" hidden="1">{"'Sheet1'!$A$1"}</definedName>
    <definedName name="tryr" hidden="1">{"'Sheet1'!$A$1"}</definedName>
    <definedName name="tsrey" localSheetId="20" hidden="1">{"'Sheet1'!$A$1"}</definedName>
    <definedName name="tsrey" localSheetId="19" hidden="1">{"'Sheet1'!$A$1"}</definedName>
    <definedName name="tsrey" localSheetId="26" hidden="1">{"'Sheet1'!$A$1"}</definedName>
    <definedName name="tsrey" localSheetId="24" hidden="1">{"'Sheet1'!$A$1"}</definedName>
    <definedName name="tsrey" localSheetId="32" hidden="1">{"'Sheet1'!$A$1"}</definedName>
    <definedName name="tsrey" localSheetId="27" hidden="1">{"'Sheet1'!$A$1"}</definedName>
    <definedName name="tsrey" localSheetId="28" hidden="1">{"'Sheet1'!$A$1"}</definedName>
    <definedName name="tsrey" localSheetId="29" hidden="1">{"'Sheet1'!$A$1"}</definedName>
    <definedName name="tsrey" localSheetId="31" hidden="1">{"'Sheet1'!$A$1"}</definedName>
    <definedName name="tsrey" localSheetId="30" hidden="1">{"'Sheet1'!$A$1"}</definedName>
    <definedName name="tsrey" localSheetId="17" hidden="1">{"'Sheet1'!$A$1"}</definedName>
    <definedName name="tsrey" localSheetId="18" hidden="1">{"'Sheet1'!$A$1"}</definedName>
    <definedName name="tsrey" hidden="1">{"'Sheet1'!$A$1"}</definedName>
    <definedName name="TSUPPOT" localSheetId="20" hidden="1">{#N/A,#N/A,FALSE,"CCTV"}</definedName>
    <definedName name="TSUPPOT" localSheetId="19" hidden="1">{#N/A,#N/A,FALSE,"CCTV"}</definedName>
    <definedName name="TSUPPOT" localSheetId="26" hidden="1">{#N/A,#N/A,FALSE,"CCTV"}</definedName>
    <definedName name="TSUPPOT" localSheetId="24" hidden="1">{#N/A,#N/A,FALSE,"CCTV"}</definedName>
    <definedName name="TSUPPOT" localSheetId="32" hidden="1">{#N/A,#N/A,FALSE,"CCTV"}</definedName>
    <definedName name="TSUPPOT" localSheetId="27" hidden="1">{#N/A,#N/A,FALSE,"CCTV"}</definedName>
    <definedName name="TSUPPOT" localSheetId="28" hidden="1">{#N/A,#N/A,FALSE,"CCTV"}</definedName>
    <definedName name="TSUPPOT" localSheetId="29" hidden="1">{#N/A,#N/A,FALSE,"CCTV"}</definedName>
    <definedName name="TSUPPOT" localSheetId="31" hidden="1">{#N/A,#N/A,FALSE,"CCTV"}</definedName>
    <definedName name="TSUPPOT" localSheetId="30" hidden="1">{#N/A,#N/A,FALSE,"CCTV"}</definedName>
    <definedName name="TSUPPOT" localSheetId="17" hidden="1">{#N/A,#N/A,FALSE,"CCTV"}</definedName>
    <definedName name="TSUPPOT" localSheetId="18" hidden="1">{#N/A,#N/A,FALSE,"CCTV"}</definedName>
    <definedName name="TSUPPOT" hidden="1">{#N/A,#N/A,FALSE,"CCTV"}</definedName>
    <definedName name="TT" localSheetId="20" hidden="1">{"'Sheet1'!$A$1"}</definedName>
    <definedName name="TT" localSheetId="19" hidden="1">{"'Sheet1'!$A$1"}</definedName>
    <definedName name="TT" localSheetId="26" hidden="1">{"'Sheet1'!$A$1"}</definedName>
    <definedName name="TT" localSheetId="24" hidden="1">{"'Sheet1'!$A$1"}</definedName>
    <definedName name="TT" localSheetId="32" hidden="1">{"'Sheet1'!$A$1"}</definedName>
    <definedName name="TT" localSheetId="27" hidden="1">{"'Sheet1'!$A$1"}</definedName>
    <definedName name="TT" localSheetId="28" hidden="1">{"'Sheet1'!$A$1"}</definedName>
    <definedName name="TT" localSheetId="29" hidden="1">{"'Sheet1'!$A$1"}</definedName>
    <definedName name="TT" localSheetId="31" hidden="1">{"'Sheet1'!$A$1"}</definedName>
    <definedName name="TT" localSheetId="30" hidden="1">{"'Sheet1'!$A$1"}</definedName>
    <definedName name="TT" localSheetId="17" hidden="1">{"'Sheet1'!$A$1"}</definedName>
    <definedName name="TT" localSheetId="18" hidden="1">{"'Sheet1'!$A$1"}</definedName>
    <definedName name="TT" hidden="1">{"'Sheet1'!$A$1"}</definedName>
    <definedName name="ttt" hidden="1">#REF!</definedName>
    <definedName name="ttttey" localSheetId="20" hidden="1">{"'Sheet1'!$A$1"}</definedName>
    <definedName name="ttttey" localSheetId="19" hidden="1">{"'Sheet1'!$A$1"}</definedName>
    <definedName name="ttttey" localSheetId="26" hidden="1">{"'Sheet1'!$A$1"}</definedName>
    <definedName name="ttttey" localSheetId="24" hidden="1">{"'Sheet1'!$A$1"}</definedName>
    <definedName name="ttttey" localSheetId="32" hidden="1">{"'Sheet1'!$A$1"}</definedName>
    <definedName name="ttttey" localSheetId="27" hidden="1">{"'Sheet1'!$A$1"}</definedName>
    <definedName name="ttttey" localSheetId="28" hidden="1">{"'Sheet1'!$A$1"}</definedName>
    <definedName name="ttttey" localSheetId="29" hidden="1">{"'Sheet1'!$A$1"}</definedName>
    <definedName name="ttttey" localSheetId="31" hidden="1">{"'Sheet1'!$A$1"}</definedName>
    <definedName name="ttttey" localSheetId="30" hidden="1">{"'Sheet1'!$A$1"}</definedName>
    <definedName name="ttttey" localSheetId="17" hidden="1">{"'Sheet1'!$A$1"}</definedName>
    <definedName name="ttttey" localSheetId="18" hidden="1">{"'Sheet1'!$A$1"}</definedName>
    <definedName name="ttttey" hidden="1">{"'Sheet1'!$A$1"}</definedName>
    <definedName name="TV" localSheetId="20" hidden="1">{#N/A,#N/A,FALSE,"CCTV"}</definedName>
    <definedName name="TV" localSheetId="19" hidden="1">{#N/A,#N/A,FALSE,"CCTV"}</definedName>
    <definedName name="TV" localSheetId="32" hidden="1">{#N/A,#N/A,FALSE,"CCTV"}</definedName>
    <definedName name="TV" localSheetId="27" hidden="1">{#N/A,#N/A,FALSE,"CCTV"}</definedName>
    <definedName name="TV" localSheetId="28" hidden="1">{#N/A,#N/A,FALSE,"CCTV"}</definedName>
    <definedName name="TV" localSheetId="31" hidden="1">{#N/A,#N/A,FALSE,"CCTV"}</definedName>
    <definedName name="TV" localSheetId="30" hidden="1">{#N/A,#N/A,FALSE,"CCTV"}</definedName>
    <definedName name="TV" localSheetId="13" hidden="1">{#N/A,#N/A,FALSE,"CCTV"}</definedName>
    <definedName name="TV" localSheetId="17" hidden="1">{#N/A,#N/A,FALSE,"CCTV"}</definedName>
    <definedName name="TV" localSheetId="18" hidden="1">{#N/A,#N/A,FALSE,"CCTV"}</definedName>
    <definedName name="tytu" localSheetId="20" hidden="1">{"'Sheet1'!$A$1"}</definedName>
    <definedName name="tytu" localSheetId="19" hidden="1">{"'Sheet1'!$A$1"}</definedName>
    <definedName name="tytu" localSheetId="26" hidden="1">{"'Sheet1'!$A$1"}</definedName>
    <definedName name="tytu" localSheetId="24" hidden="1">{"'Sheet1'!$A$1"}</definedName>
    <definedName name="tytu" localSheetId="32" hidden="1">{"'Sheet1'!$A$1"}</definedName>
    <definedName name="tytu" localSheetId="27" hidden="1">{"'Sheet1'!$A$1"}</definedName>
    <definedName name="tytu" localSheetId="28" hidden="1">{"'Sheet1'!$A$1"}</definedName>
    <definedName name="tytu" localSheetId="29" hidden="1">{"'Sheet1'!$A$1"}</definedName>
    <definedName name="tytu" localSheetId="31" hidden="1">{"'Sheet1'!$A$1"}</definedName>
    <definedName name="tytu" localSheetId="30" hidden="1">{"'Sheet1'!$A$1"}</definedName>
    <definedName name="tytu" localSheetId="17" hidden="1">{"'Sheet1'!$A$1"}</definedName>
    <definedName name="tytu" localSheetId="18" hidden="1">{"'Sheet1'!$A$1"}</definedName>
    <definedName name="tytu" hidden="1">{"'Sheet1'!$A$1"}</definedName>
    <definedName name="tyuhgt" localSheetId="20" hidden="1">{"'Sheet1'!$A$1"}</definedName>
    <definedName name="tyuhgt" localSheetId="19" hidden="1">{"'Sheet1'!$A$1"}</definedName>
    <definedName name="tyuhgt" localSheetId="26" hidden="1">{"'Sheet1'!$A$1"}</definedName>
    <definedName name="tyuhgt" localSheetId="24" hidden="1">{"'Sheet1'!$A$1"}</definedName>
    <definedName name="tyuhgt" localSheetId="32" hidden="1">{"'Sheet1'!$A$1"}</definedName>
    <definedName name="tyuhgt" localSheetId="27" hidden="1">{"'Sheet1'!$A$1"}</definedName>
    <definedName name="tyuhgt" localSheetId="28" hidden="1">{"'Sheet1'!$A$1"}</definedName>
    <definedName name="tyuhgt" localSheetId="29" hidden="1">{"'Sheet1'!$A$1"}</definedName>
    <definedName name="tyuhgt" localSheetId="31" hidden="1">{"'Sheet1'!$A$1"}</definedName>
    <definedName name="tyuhgt" localSheetId="30" hidden="1">{"'Sheet1'!$A$1"}</definedName>
    <definedName name="tyuhgt" localSheetId="17" hidden="1">{"'Sheet1'!$A$1"}</definedName>
    <definedName name="tyuhgt" localSheetId="18" hidden="1">{"'Sheet1'!$A$1"}</definedName>
    <definedName name="tyuhgt" hidden="1">{"'Sheet1'!$A$1"}</definedName>
    <definedName name="tyyy" localSheetId="20" hidden="1">{"'Sheet1'!$A$1"}</definedName>
    <definedName name="tyyy" localSheetId="19" hidden="1">{"'Sheet1'!$A$1"}</definedName>
    <definedName name="tyyy" localSheetId="26" hidden="1">{"'Sheet1'!$A$1"}</definedName>
    <definedName name="tyyy" localSheetId="24" hidden="1">{"'Sheet1'!$A$1"}</definedName>
    <definedName name="tyyy" localSheetId="32" hidden="1">{"'Sheet1'!$A$1"}</definedName>
    <definedName name="tyyy" localSheetId="27" hidden="1">{"'Sheet1'!$A$1"}</definedName>
    <definedName name="tyyy" localSheetId="28" hidden="1">{"'Sheet1'!$A$1"}</definedName>
    <definedName name="tyyy" localSheetId="29" hidden="1">{"'Sheet1'!$A$1"}</definedName>
    <definedName name="tyyy" localSheetId="31" hidden="1">{"'Sheet1'!$A$1"}</definedName>
    <definedName name="tyyy" localSheetId="30" hidden="1">{"'Sheet1'!$A$1"}</definedName>
    <definedName name="tyyy" localSheetId="17" hidden="1">{"'Sheet1'!$A$1"}</definedName>
    <definedName name="tyyy" localSheetId="18" hidden="1">{"'Sheet1'!$A$1"}</definedName>
    <definedName name="tyyy" hidden="1">{"'Sheet1'!$A$1"}</definedName>
    <definedName name="UB" localSheetId="20" hidden="1">{#N/A,#N/A,FALSE,"CCTV"}</definedName>
    <definedName name="UB" localSheetId="19" hidden="1">{#N/A,#N/A,FALSE,"CCTV"}</definedName>
    <definedName name="UB" localSheetId="26" hidden="1">{#N/A,#N/A,FALSE,"CCTV"}</definedName>
    <definedName name="UB" localSheetId="24" hidden="1">{#N/A,#N/A,FALSE,"CCTV"}</definedName>
    <definedName name="UB" localSheetId="32" hidden="1">{#N/A,#N/A,FALSE,"CCTV"}</definedName>
    <definedName name="UB" localSheetId="27" hidden="1">{#N/A,#N/A,FALSE,"CCTV"}</definedName>
    <definedName name="UB" localSheetId="28" hidden="1">{#N/A,#N/A,FALSE,"CCTV"}</definedName>
    <definedName name="UB" localSheetId="29" hidden="1">{#N/A,#N/A,FALSE,"CCTV"}</definedName>
    <definedName name="UB" localSheetId="31" hidden="1">{#N/A,#N/A,FALSE,"CCTV"}</definedName>
    <definedName name="UB" localSheetId="30" hidden="1">{#N/A,#N/A,FALSE,"CCTV"}</definedName>
    <definedName name="UB" localSheetId="17" hidden="1">{#N/A,#N/A,FALSE,"CCTV"}</definedName>
    <definedName name="UB" localSheetId="18" hidden="1">{#N/A,#N/A,FALSE,"CCTV"}</definedName>
    <definedName name="UB" hidden="1">{#N/A,#N/A,FALSE,"CCTV"}</definedName>
    <definedName name="ubh" localSheetId="20" hidden="1">{#N/A,#N/A,FALSE,"REK";#N/A,#N/A,FALSE,"rab"}</definedName>
    <definedName name="ubh" localSheetId="19" hidden="1">{#N/A,#N/A,FALSE,"REK";#N/A,#N/A,FALSE,"rab"}</definedName>
    <definedName name="ubh" localSheetId="26" hidden="1">{#N/A,#N/A,FALSE,"REK";#N/A,#N/A,FALSE,"rab"}</definedName>
    <definedName name="ubh" localSheetId="24" hidden="1">{#N/A,#N/A,FALSE,"REK";#N/A,#N/A,FALSE,"rab"}</definedName>
    <definedName name="ubh" localSheetId="32" hidden="1">{#N/A,#N/A,FALSE,"REK";#N/A,#N/A,FALSE,"rab"}</definedName>
    <definedName name="ubh" localSheetId="27" hidden="1">{#N/A,#N/A,FALSE,"REK";#N/A,#N/A,FALSE,"rab"}</definedName>
    <definedName name="ubh" localSheetId="28" hidden="1">{#N/A,#N/A,FALSE,"REK";#N/A,#N/A,FALSE,"rab"}</definedName>
    <definedName name="ubh" localSheetId="29" hidden="1">{#N/A,#N/A,FALSE,"REK";#N/A,#N/A,FALSE,"rab"}</definedName>
    <definedName name="ubh" localSheetId="31" hidden="1">{#N/A,#N/A,FALSE,"REK";#N/A,#N/A,FALSE,"rab"}</definedName>
    <definedName name="ubh" localSheetId="30" hidden="1">{#N/A,#N/A,FALSE,"REK";#N/A,#N/A,FALSE,"rab"}</definedName>
    <definedName name="ubh" localSheetId="17" hidden="1">{#N/A,#N/A,FALSE,"REK";#N/A,#N/A,FALSE,"rab"}</definedName>
    <definedName name="ubh" localSheetId="18" hidden="1">{#N/A,#N/A,FALSE,"REK";#N/A,#N/A,FALSE,"rab"}</definedName>
    <definedName name="ubh" hidden="1">{#N/A,#N/A,FALSE,"REK";#N/A,#N/A,FALSE,"rab"}</definedName>
    <definedName name="udo" localSheetId="20" hidden="1">{#N/A,#N/A,FALSE,"REK";#N/A,#N/A,FALSE,"rab"}</definedName>
    <definedName name="udo" localSheetId="19" hidden="1">{#N/A,#N/A,FALSE,"REK";#N/A,#N/A,FALSE,"rab"}</definedName>
    <definedName name="udo" localSheetId="26" hidden="1">{#N/A,#N/A,FALSE,"REK";#N/A,#N/A,FALSE,"rab"}</definedName>
    <definedName name="udo" localSheetId="24" hidden="1">{#N/A,#N/A,FALSE,"REK";#N/A,#N/A,FALSE,"rab"}</definedName>
    <definedName name="udo" localSheetId="32" hidden="1">{#N/A,#N/A,FALSE,"REK";#N/A,#N/A,FALSE,"rab"}</definedName>
    <definedName name="udo" localSheetId="27" hidden="1">{#N/A,#N/A,FALSE,"REK";#N/A,#N/A,FALSE,"rab"}</definedName>
    <definedName name="udo" localSheetId="28" hidden="1">{#N/A,#N/A,FALSE,"REK";#N/A,#N/A,FALSE,"rab"}</definedName>
    <definedName name="udo" localSheetId="29" hidden="1">{#N/A,#N/A,FALSE,"REK";#N/A,#N/A,FALSE,"rab"}</definedName>
    <definedName name="udo" localSheetId="31" hidden="1">{#N/A,#N/A,FALSE,"REK";#N/A,#N/A,FALSE,"rab"}</definedName>
    <definedName name="udo" localSheetId="30" hidden="1">{#N/A,#N/A,FALSE,"REK";#N/A,#N/A,FALSE,"rab"}</definedName>
    <definedName name="udo" localSheetId="17" hidden="1">{#N/A,#N/A,FALSE,"REK";#N/A,#N/A,FALSE,"rab"}</definedName>
    <definedName name="udo" localSheetId="18" hidden="1">{#N/A,#N/A,FALSE,"REK";#N/A,#N/A,FALSE,"rab"}</definedName>
    <definedName name="udo" hidden="1">{#N/A,#N/A,FALSE,"REK";#N/A,#N/A,FALSE,"rab"}</definedName>
    <definedName name="UI" localSheetId="20" hidden="1">#REF!</definedName>
    <definedName name="UI" localSheetId="19" hidden="1">#REF!</definedName>
    <definedName name="UI" localSheetId="32" hidden="1">#REF!</definedName>
    <definedName name="UI" localSheetId="27" hidden="1">#REF!</definedName>
    <definedName name="UI" localSheetId="28" hidden="1">#REF!</definedName>
    <definedName name="UI" localSheetId="31" hidden="1">#REF!</definedName>
    <definedName name="UI" localSheetId="30" hidden="1">#REF!</definedName>
    <definedName name="UI" localSheetId="17" hidden="1">#REF!</definedName>
    <definedName name="UI" localSheetId="18" hidden="1">#REF!</definedName>
    <definedName name="UI" hidden="1">#REF!</definedName>
    <definedName name="uio" localSheetId="20" hidden="1">{#N/A,#N/A,FALSE,"CCTV"}</definedName>
    <definedName name="uio" localSheetId="19" hidden="1">{#N/A,#N/A,FALSE,"CCTV"}</definedName>
    <definedName name="uio" localSheetId="26" hidden="1">{#N/A,#N/A,FALSE,"CCTV"}</definedName>
    <definedName name="uio" localSheetId="24" hidden="1">{#N/A,#N/A,FALSE,"CCTV"}</definedName>
    <definedName name="uio" localSheetId="32" hidden="1">{#N/A,#N/A,FALSE,"CCTV"}</definedName>
    <definedName name="uio" localSheetId="27" hidden="1">{#N/A,#N/A,FALSE,"CCTV"}</definedName>
    <definedName name="uio" localSheetId="28" hidden="1">{#N/A,#N/A,FALSE,"CCTV"}</definedName>
    <definedName name="uio" localSheetId="29" hidden="1">{#N/A,#N/A,FALSE,"CCTV"}</definedName>
    <definedName name="uio" localSheetId="31" hidden="1">{#N/A,#N/A,FALSE,"CCTV"}</definedName>
    <definedName name="uio" localSheetId="30" hidden="1">{#N/A,#N/A,FALSE,"CCTV"}</definedName>
    <definedName name="uio" localSheetId="17" hidden="1">{#N/A,#N/A,FALSE,"CCTV"}</definedName>
    <definedName name="uio" localSheetId="18" hidden="1">{#N/A,#N/A,FALSE,"CCTV"}</definedName>
    <definedName name="uio" hidden="1">{#N/A,#N/A,FALSE,"CCTV"}</definedName>
    <definedName name="UIU" localSheetId="2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IU" localSheetId="1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IU" localSheetId="2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IU" localSheetId="2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IU" localSheetId="3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IU" localSheetId="2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IU" localSheetId="2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IU" localSheetId="2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IU" localSheetId="3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IU" localSheetId="3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IU" localSheetId="1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IU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I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jghj" localSheetId="20" hidden="1">{#N/A,#N/A,FALSE,"Chi tiÆt"}</definedName>
    <definedName name="ujghj" localSheetId="19" hidden="1">{#N/A,#N/A,FALSE,"Chi tiÆt"}</definedName>
    <definedName name="ujghj" localSheetId="26" hidden="1">{#N/A,#N/A,FALSE,"Chi tiÆt"}</definedName>
    <definedName name="ujghj" localSheetId="23" hidden="1">{#N/A,#N/A,FALSE,"Chi tiÆt"}</definedName>
    <definedName name="ujghj" localSheetId="24" hidden="1">{#N/A,#N/A,FALSE,"Chi tiÆt"}</definedName>
    <definedName name="ujghj" localSheetId="32" hidden="1">{#N/A,#N/A,FALSE,"Chi tiÆt"}</definedName>
    <definedName name="ujghj" localSheetId="27" hidden="1">{#N/A,#N/A,FALSE,"Chi tiÆt"}</definedName>
    <definedName name="ujghj" localSheetId="28" hidden="1">{#N/A,#N/A,FALSE,"Chi tiÆt"}</definedName>
    <definedName name="ujghj" localSheetId="29" hidden="1">{#N/A,#N/A,FALSE,"Chi tiÆt"}</definedName>
    <definedName name="ujghj" localSheetId="31" hidden="1">{#N/A,#N/A,FALSE,"Chi tiÆt"}</definedName>
    <definedName name="ujghj" localSheetId="30" hidden="1">{#N/A,#N/A,FALSE,"Chi tiÆt"}</definedName>
    <definedName name="ujghj" localSheetId="13" hidden="1">{#N/A,#N/A,FALSE,"Chi tiÆt"}</definedName>
    <definedName name="ujghj" localSheetId="17" hidden="1">{#N/A,#N/A,FALSE,"Chi tiÆt"}</definedName>
    <definedName name="ujghj" localSheetId="18" hidden="1">{#N/A,#N/A,FALSE,"Chi tiÆt"}</definedName>
    <definedName name="ujghj" localSheetId="22" hidden="1">{#N/A,#N/A,FALSE,"Chi tiÆt"}</definedName>
    <definedName name="ujghj" localSheetId="40" hidden="1">{#N/A,#N/A,FALSE,"Chi tiÆt"}</definedName>
    <definedName name="ujghj" localSheetId="41" hidden="1">{#N/A,#N/A,FALSE,"Chi tiÆt"}</definedName>
    <definedName name="ujghj" localSheetId="42" hidden="1">{#N/A,#N/A,FALSE,"Chi tiÆt"}</definedName>
    <definedName name="ujghj" localSheetId="35" hidden="1">{#N/A,#N/A,FALSE,"Chi tiÆt"}</definedName>
    <definedName name="ujghj" localSheetId="38" hidden="1">{#N/A,#N/A,FALSE,"Chi tiÆt"}</definedName>
    <definedName name="ujghj" hidden="1">{#N/A,#N/A,FALSE,"Chi tiÆt"}</definedName>
    <definedName name="UKKY" localSheetId="2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localSheetId="1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localSheetId="2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localSheetId="2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localSheetId="3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localSheetId="2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localSheetId="2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localSheetId="2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localSheetId="3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localSheetId="3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localSheetId="1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UYK" localSheetId="2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UYK" localSheetId="1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UYK" localSheetId="2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UYK" localSheetId="2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UYK" localSheetId="3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UYK" localSheetId="2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UYK" localSheetId="2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UYK" localSheetId="2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UYK" localSheetId="3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UYK" localSheetId="3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UYK" localSheetId="1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UYK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UYK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rai" localSheetId="32" hidden="1">#REF!</definedName>
    <definedName name="Urai" hidden="1">#REF!</definedName>
    <definedName name="USLN2" localSheetId="32" hidden="1">#REF!</definedName>
    <definedName name="USLN2" hidden="1">#REF!</definedName>
    <definedName name="ut" localSheetId="32" hidden="1">#REF!</definedName>
    <definedName name="ut" hidden="1">#REF!</definedName>
    <definedName name="UU" localSheetId="20" hidden="1">{"'Sheet1'!$A$1"}</definedName>
    <definedName name="UU" localSheetId="19" hidden="1">{"'Sheet1'!$A$1"}</definedName>
    <definedName name="UU" localSheetId="26" hidden="1">{"'Sheet1'!$A$1"}</definedName>
    <definedName name="UU" localSheetId="24" hidden="1">{"'Sheet1'!$A$1"}</definedName>
    <definedName name="UU" localSheetId="32" hidden="1">{"'Sheet1'!$A$1"}</definedName>
    <definedName name="UU" localSheetId="27" hidden="1">{"'Sheet1'!$A$1"}</definedName>
    <definedName name="UU" localSheetId="28" hidden="1">{"'Sheet1'!$A$1"}</definedName>
    <definedName name="UU" localSheetId="29" hidden="1">{"'Sheet1'!$A$1"}</definedName>
    <definedName name="UU" localSheetId="31" hidden="1">{"'Sheet1'!$A$1"}</definedName>
    <definedName name="UU" localSheetId="30" hidden="1">{"'Sheet1'!$A$1"}</definedName>
    <definedName name="UU" localSheetId="17" hidden="1">{"'Sheet1'!$A$1"}</definedName>
    <definedName name="UU" localSheetId="18" hidden="1">{"'Sheet1'!$A$1"}</definedName>
    <definedName name="UU" hidden="1">{"'Sheet1'!$A$1"}</definedName>
    <definedName name="UUU" localSheetId="20" hidden="1">{#N/A,#N/A,FALSE,"CCTV"}</definedName>
    <definedName name="UUU" localSheetId="19" hidden="1">{#N/A,#N/A,FALSE,"CCTV"}</definedName>
    <definedName name="UUU" localSheetId="26" hidden="1">{#N/A,#N/A,FALSE,"CCTV"}</definedName>
    <definedName name="UUU" localSheetId="24" hidden="1">{#N/A,#N/A,FALSE,"CCTV"}</definedName>
    <definedName name="UUU" localSheetId="32" hidden="1">{#N/A,#N/A,FALSE,"CCTV"}</definedName>
    <definedName name="UUU" localSheetId="27" hidden="1">{#N/A,#N/A,FALSE,"CCTV"}</definedName>
    <definedName name="UUU" localSheetId="28" hidden="1">{#N/A,#N/A,FALSE,"CCTV"}</definedName>
    <definedName name="UUU" localSheetId="29" hidden="1">{#N/A,#N/A,FALSE,"CCTV"}</definedName>
    <definedName name="UUU" localSheetId="31" hidden="1">{#N/A,#N/A,FALSE,"CCTV"}</definedName>
    <definedName name="UUU" localSheetId="30" hidden="1">{#N/A,#N/A,FALSE,"CCTV"}</definedName>
    <definedName name="UUU" localSheetId="17" hidden="1">{#N/A,#N/A,FALSE,"CCTV"}</definedName>
    <definedName name="UUU" localSheetId="18" hidden="1">{#N/A,#N/A,FALSE,"CCTV"}</definedName>
    <definedName name="UUU" hidden="1">{#N/A,#N/A,FALSE,"CCTV"}</definedName>
    <definedName name="UYT" localSheetId="20" hidden="1">{#N/A,#N/A,FALSE,"REK-S-TPL";#N/A,#N/A,FALSE,"REK-TPML";#N/A,#N/A,FALSE,"RAB-TEMPEL"}</definedName>
    <definedName name="UYT" localSheetId="19" hidden="1">{#N/A,#N/A,FALSE,"REK-S-TPL";#N/A,#N/A,FALSE,"REK-TPML";#N/A,#N/A,FALSE,"RAB-TEMPEL"}</definedName>
    <definedName name="UYT" localSheetId="26" hidden="1">{#N/A,#N/A,FALSE,"REK-S-TPL";#N/A,#N/A,FALSE,"REK-TPML";#N/A,#N/A,FALSE,"RAB-TEMPEL"}</definedName>
    <definedName name="UYT" localSheetId="23" hidden="1">{#N/A,#N/A,FALSE,"REK-S-TPL";#N/A,#N/A,FALSE,"REK-TPML";#N/A,#N/A,FALSE,"RAB-TEMPEL"}</definedName>
    <definedName name="UYT" localSheetId="24" hidden="1">{#N/A,#N/A,FALSE,"REK-S-TPL";#N/A,#N/A,FALSE,"REK-TPML";#N/A,#N/A,FALSE,"RAB-TEMPEL"}</definedName>
    <definedName name="UYT" localSheetId="32" hidden="1">{#N/A,#N/A,FALSE,"REK-S-TPL";#N/A,#N/A,FALSE,"REK-TPML";#N/A,#N/A,FALSE,"RAB-TEMPEL"}</definedName>
    <definedName name="UYT" localSheetId="27" hidden="1">{#N/A,#N/A,FALSE,"REK-S-TPL";#N/A,#N/A,FALSE,"REK-TPML";#N/A,#N/A,FALSE,"RAB-TEMPEL"}</definedName>
    <definedName name="UYT" localSheetId="28" hidden="1">{#N/A,#N/A,FALSE,"REK-S-TPL";#N/A,#N/A,FALSE,"REK-TPML";#N/A,#N/A,FALSE,"RAB-TEMPEL"}</definedName>
    <definedName name="UYT" localSheetId="29" hidden="1">{#N/A,#N/A,FALSE,"REK-S-TPL";#N/A,#N/A,FALSE,"REK-TPML";#N/A,#N/A,FALSE,"RAB-TEMPEL"}</definedName>
    <definedName name="UYT" localSheetId="31" hidden="1">{#N/A,#N/A,FALSE,"REK-S-TPL";#N/A,#N/A,FALSE,"REK-TPML";#N/A,#N/A,FALSE,"RAB-TEMPEL"}</definedName>
    <definedName name="UYT" localSheetId="30" hidden="1">{#N/A,#N/A,FALSE,"REK-S-TPL";#N/A,#N/A,FALSE,"REK-TPML";#N/A,#N/A,FALSE,"RAB-TEMPEL"}</definedName>
    <definedName name="UYT" localSheetId="13" hidden="1">{#N/A,#N/A,FALSE,"REK-S-TPL";#N/A,#N/A,FALSE,"REK-TPML";#N/A,#N/A,FALSE,"RAB-TEMPEL"}</definedName>
    <definedName name="UYT" localSheetId="17" hidden="1">{#N/A,#N/A,FALSE,"REK-S-TPL";#N/A,#N/A,FALSE,"REK-TPML";#N/A,#N/A,FALSE,"RAB-TEMPEL"}</definedName>
    <definedName name="UYT" localSheetId="18" hidden="1">{#N/A,#N/A,FALSE,"REK-S-TPL";#N/A,#N/A,FALSE,"REK-TPML";#N/A,#N/A,FALSE,"RAB-TEMPEL"}</definedName>
    <definedName name="UYT" localSheetId="22" hidden="1">{#N/A,#N/A,FALSE,"REK-S-TPL";#N/A,#N/A,FALSE,"REK-TPML";#N/A,#N/A,FALSE,"RAB-TEMPEL"}</definedName>
    <definedName name="UYT" localSheetId="40" hidden="1">{#N/A,#N/A,FALSE,"REK-S-TPL";#N/A,#N/A,FALSE,"REK-TPML";#N/A,#N/A,FALSE,"RAB-TEMPEL"}</definedName>
    <definedName name="UYT" localSheetId="41" hidden="1">{#N/A,#N/A,FALSE,"REK-S-TPL";#N/A,#N/A,FALSE,"REK-TPML";#N/A,#N/A,FALSE,"RAB-TEMPEL"}</definedName>
    <definedName name="UYT" localSheetId="42" hidden="1">{#N/A,#N/A,FALSE,"REK-S-TPL";#N/A,#N/A,FALSE,"REK-TPML";#N/A,#N/A,FALSE,"RAB-TEMPEL"}</definedName>
    <definedName name="UYT" localSheetId="35" hidden="1">{#N/A,#N/A,FALSE,"REK-S-TPL";#N/A,#N/A,FALSE,"REK-TPML";#N/A,#N/A,FALSE,"RAB-TEMPEL"}</definedName>
    <definedName name="UYT" localSheetId="38" hidden="1">{#N/A,#N/A,FALSE,"REK-S-TPL";#N/A,#N/A,FALSE,"REK-TPML";#N/A,#N/A,FALSE,"RAB-TEMPEL"}</definedName>
    <definedName name="UYT" hidden="1">{#N/A,#N/A,FALSE,"REK-S-TPL";#N/A,#N/A,FALSE,"REK-TPML";#N/A,#N/A,FALSE,"RAB-TEMPEL"}</definedName>
    <definedName name="VATM" localSheetId="20" hidden="1">{"'Sheet1'!$L$16"}</definedName>
    <definedName name="VATM" localSheetId="19" hidden="1">{"'Sheet1'!$L$16"}</definedName>
    <definedName name="VATM" localSheetId="26" hidden="1">{"'Sheet1'!$L$16"}</definedName>
    <definedName name="VATM" localSheetId="24" hidden="1">{"'Sheet1'!$L$16"}</definedName>
    <definedName name="VATM" localSheetId="32" hidden="1">{"'Sheet1'!$L$16"}</definedName>
    <definedName name="VATM" localSheetId="27" hidden="1">{"'Sheet1'!$L$16"}</definedName>
    <definedName name="VATM" localSheetId="28" hidden="1">{"'Sheet1'!$L$16"}</definedName>
    <definedName name="VATM" localSheetId="29" hidden="1">{"'Sheet1'!$L$16"}</definedName>
    <definedName name="VATM" localSheetId="31" hidden="1">{"'Sheet1'!$L$16"}</definedName>
    <definedName name="VATM" localSheetId="30" hidden="1">{"'Sheet1'!$L$16"}</definedName>
    <definedName name="VATM" localSheetId="17" hidden="1">{"'Sheet1'!$L$16"}</definedName>
    <definedName name="VATM" localSheetId="18" hidden="1">{"'Sheet1'!$L$16"}</definedName>
    <definedName name="VATM" hidden="1">{"'Sheet1'!$L$16"}</definedName>
    <definedName name="vb" hidden="1">#REF!</definedName>
    <definedName name="VC" localSheetId="20" hidden="1">{#N/A,#N/A,FALSE,"CCTV"}</definedName>
    <definedName name="VC" localSheetId="19" hidden="1">{#N/A,#N/A,FALSE,"CCTV"}</definedName>
    <definedName name="VC" localSheetId="32" hidden="1">{#N/A,#N/A,FALSE,"CCTV"}</definedName>
    <definedName name="VC" localSheetId="27" hidden="1">{#N/A,#N/A,FALSE,"CCTV"}</definedName>
    <definedName name="VC" localSheetId="28" hidden="1">{#N/A,#N/A,FALSE,"CCTV"}</definedName>
    <definedName name="VC" localSheetId="31" hidden="1">{#N/A,#N/A,FALSE,"CCTV"}</definedName>
    <definedName name="VC" localSheetId="30" hidden="1">{#N/A,#N/A,FALSE,"CCTV"}</definedName>
    <definedName name="VC" localSheetId="13" hidden="1">{#N/A,#N/A,FALSE,"CCTV"}</definedName>
    <definedName name="VC" localSheetId="17" hidden="1">{#N/A,#N/A,FALSE,"CCTV"}</definedName>
    <definedName name="VC" localSheetId="18" hidden="1">{#N/A,#N/A,FALSE,"CCTV"}</definedName>
    <definedName name="vd" localSheetId="20" hidden="1">{#N/A,#N/A,FALSE,"CCTV"}</definedName>
    <definedName name="vd" localSheetId="19" hidden="1">{#N/A,#N/A,FALSE,"CCTV"}</definedName>
    <definedName name="vd" localSheetId="32" hidden="1">{#N/A,#N/A,FALSE,"CCTV"}</definedName>
    <definedName name="vd" localSheetId="27" hidden="1">{#N/A,#N/A,FALSE,"CCTV"}</definedName>
    <definedName name="vd" localSheetId="28" hidden="1">{#N/A,#N/A,FALSE,"CCTV"}</definedName>
    <definedName name="vd" localSheetId="31" hidden="1">{#N/A,#N/A,FALSE,"CCTV"}</definedName>
    <definedName name="vd" localSheetId="30" hidden="1">{#N/A,#N/A,FALSE,"CCTV"}</definedName>
    <definedName name="vd" localSheetId="13" hidden="1">{#N/A,#N/A,FALSE,"CCTV"}</definedName>
    <definedName name="vd" localSheetId="17" hidden="1">{#N/A,#N/A,FALSE,"CCTV"}</definedName>
    <definedName name="vd" localSheetId="18" hidden="1">{#N/A,#N/A,FALSE,"CCTV"}</definedName>
    <definedName name="vektor" localSheetId="32" hidden="1">#REF!</definedName>
    <definedName name="vektor" hidden="1">#REF!</definedName>
    <definedName name="vertex42_copyright" hidden="1">"© 2017 Vertex42 LLC"</definedName>
    <definedName name="vertex42_id" hidden="1">"construction-schedule.xlsx"</definedName>
    <definedName name="vertex42_title" hidden="1">"Construction Schedule Template"</definedName>
    <definedName name="VF" localSheetId="20" hidden="1">{#N/A,#N/A,FALSE,"CCTV"}</definedName>
    <definedName name="VF" localSheetId="19" hidden="1">{#N/A,#N/A,FALSE,"CCTV"}</definedName>
    <definedName name="VF" localSheetId="26" hidden="1">{#N/A,#N/A,FALSE,"CCTV"}</definedName>
    <definedName name="VF" localSheetId="24" hidden="1">{#N/A,#N/A,FALSE,"CCTV"}</definedName>
    <definedName name="VF" localSheetId="32" hidden="1">{#N/A,#N/A,FALSE,"CCTV"}</definedName>
    <definedName name="VF" localSheetId="27" hidden="1">{#N/A,#N/A,FALSE,"CCTV"}</definedName>
    <definedName name="VF" localSheetId="28" hidden="1">{#N/A,#N/A,FALSE,"CCTV"}</definedName>
    <definedName name="VF" localSheetId="29" hidden="1">{#N/A,#N/A,FALSE,"CCTV"}</definedName>
    <definedName name="VF" localSheetId="31" hidden="1">{#N/A,#N/A,FALSE,"CCTV"}</definedName>
    <definedName name="VF" localSheetId="30" hidden="1">{#N/A,#N/A,FALSE,"CCTV"}</definedName>
    <definedName name="VF" localSheetId="17" hidden="1">{#N/A,#N/A,FALSE,"CCTV"}</definedName>
    <definedName name="VF" localSheetId="18" hidden="1">{#N/A,#N/A,FALSE,"CCTV"}</definedName>
    <definedName name="VF" hidden="1">{#N/A,#N/A,FALSE,"CCTV"}</definedName>
    <definedName name="VG" localSheetId="20" hidden="1">{#N/A,#N/A,FALSE,"CCTV"}</definedName>
    <definedName name="VG" localSheetId="19" hidden="1">{#N/A,#N/A,FALSE,"CCTV"}</definedName>
    <definedName name="VG" localSheetId="26" hidden="1">{#N/A,#N/A,FALSE,"CCTV"}</definedName>
    <definedName name="VG" localSheetId="24" hidden="1">{#N/A,#N/A,FALSE,"CCTV"}</definedName>
    <definedName name="VG" localSheetId="32" hidden="1">{#N/A,#N/A,FALSE,"CCTV"}</definedName>
    <definedName name="VG" localSheetId="27" hidden="1">{#N/A,#N/A,FALSE,"CCTV"}</definedName>
    <definedName name="VG" localSheetId="28" hidden="1">{#N/A,#N/A,FALSE,"CCTV"}</definedName>
    <definedName name="VG" localSheetId="29" hidden="1">{#N/A,#N/A,FALSE,"CCTV"}</definedName>
    <definedName name="VG" localSheetId="31" hidden="1">{#N/A,#N/A,FALSE,"CCTV"}</definedName>
    <definedName name="VG" localSheetId="30" hidden="1">{#N/A,#N/A,FALSE,"CCTV"}</definedName>
    <definedName name="VG" localSheetId="17" hidden="1">{#N/A,#N/A,FALSE,"CCTV"}</definedName>
    <definedName name="VG" localSheetId="18" hidden="1">{#N/A,#N/A,FALSE,"CCTV"}</definedName>
    <definedName name="VG" hidden="1">{#N/A,#N/A,FALSE,"CCTV"}</definedName>
    <definedName name="vgfhh" localSheetId="20" hidden="1">{"'Sheet1'!$A$1"}</definedName>
    <definedName name="vgfhh" localSheetId="19" hidden="1">{"'Sheet1'!$A$1"}</definedName>
    <definedName name="vgfhh" localSheetId="26" hidden="1">{"'Sheet1'!$A$1"}</definedName>
    <definedName name="vgfhh" localSheetId="24" hidden="1">{"'Sheet1'!$A$1"}</definedName>
    <definedName name="vgfhh" localSheetId="32" hidden="1">{"'Sheet1'!$A$1"}</definedName>
    <definedName name="vgfhh" localSheetId="27" hidden="1">{"'Sheet1'!$A$1"}</definedName>
    <definedName name="vgfhh" localSheetId="28" hidden="1">{"'Sheet1'!$A$1"}</definedName>
    <definedName name="vgfhh" localSheetId="29" hidden="1">{"'Sheet1'!$A$1"}</definedName>
    <definedName name="vgfhh" localSheetId="31" hidden="1">{"'Sheet1'!$A$1"}</definedName>
    <definedName name="vgfhh" localSheetId="30" hidden="1">{"'Sheet1'!$A$1"}</definedName>
    <definedName name="vgfhh" localSheetId="17" hidden="1">{"'Sheet1'!$A$1"}</definedName>
    <definedName name="vgfhh" localSheetId="18" hidden="1">{"'Sheet1'!$A$1"}</definedName>
    <definedName name="vgfhh" hidden="1">{"'Sheet1'!$A$1"}</definedName>
    <definedName name="VIVI" localSheetId="20" hidden="1">{#N/A,#N/A,FALSE,"Chi tiÆt"}</definedName>
    <definedName name="VIVI" localSheetId="19" hidden="1">{#N/A,#N/A,FALSE,"Chi tiÆt"}</definedName>
    <definedName name="VIVI" localSheetId="26" hidden="1">{#N/A,#N/A,FALSE,"Chi tiÆt"}</definedName>
    <definedName name="VIVI" localSheetId="24" hidden="1">{#N/A,#N/A,FALSE,"Chi tiÆt"}</definedName>
    <definedName name="VIVI" localSheetId="32" hidden="1">{#N/A,#N/A,FALSE,"Chi tiÆt"}</definedName>
    <definedName name="VIVI" localSheetId="27" hidden="1">{#N/A,#N/A,FALSE,"Chi tiÆt"}</definedName>
    <definedName name="VIVI" localSheetId="28" hidden="1">{#N/A,#N/A,FALSE,"Chi tiÆt"}</definedName>
    <definedName name="VIVI" localSheetId="29" hidden="1">{#N/A,#N/A,FALSE,"Chi tiÆt"}</definedName>
    <definedName name="VIVI" localSheetId="31" hidden="1">{#N/A,#N/A,FALSE,"Chi tiÆt"}</definedName>
    <definedName name="VIVI" localSheetId="30" hidden="1">{#N/A,#N/A,FALSE,"Chi tiÆt"}</definedName>
    <definedName name="VIVI" localSheetId="17" hidden="1">{#N/A,#N/A,FALSE,"Chi tiÆt"}</definedName>
    <definedName name="VIVI" localSheetId="18" hidden="1">{#N/A,#N/A,FALSE,"Chi tiÆt"}</definedName>
    <definedName name="VIVI" hidden="1">{#N/A,#N/A,FALSE,"Chi tiÆt"}</definedName>
    <definedName name="VOL.LANTAI" localSheetId="32" hidden="1">#REF!</definedName>
    <definedName name="VOL.LANTAI" hidden="1">#REF!</definedName>
    <definedName name="VR" localSheetId="20" hidden="1">{#N/A,#N/A,FALSE,"CCTV"}</definedName>
    <definedName name="VR" localSheetId="19" hidden="1">{#N/A,#N/A,FALSE,"CCTV"}</definedName>
    <definedName name="VR" localSheetId="26" hidden="1">{#N/A,#N/A,FALSE,"CCTV"}</definedName>
    <definedName name="VR" localSheetId="24" hidden="1">{#N/A,#N/A,FALSE,"CCTV"}</definedName>
    <definedName name="VR" localSheetId="32" hidden="1">{#N/A,#N/A,FALSE,"CCTV"}</definedName>
    <definedName name="VR" localSheetId="27" hidden="1">{#N/A,#N/A,FALSE,"CCTV"}</definedName>
    <definedName name="VR" localSheetId="28" hidden="1">{#N/A,#N/A,FALSE,"CCTV"}</definedName>
    <definedName name="VR" localSheetId="29" hidden="1">{#N/A,#N/A,FALSE,"CCTV"}</definedName>
    <definedName name="VR" localSheetId="31" hidden="1">{#N/A,#N/A,FALSE,"CCTV"}</definedName>
    <definedName name="VR" localSheetId="30" hidden="1">{#N/A,#N/A,FALSE,"CCTV"}</definedName>
    <definedName name="VR" localSheetId="17" hidden="1">{#N/A,#N/A,FALSE,"CCTV"}</definedName>
    <definedName name="VR" localSheetId="18" hidden="1">{#N/A,#N/A,FALSE,"CCTV"}</definedName>
    <definedName name="VR" hidden="1">{#N/A,#N/A,FALSE,"CCTV"}</definedName>
    <definedName name="VT" localSheetId="20" hidden="1">{#N/A,#N/A,FALSE,"CCTV"}</definedName>
    <definedName name="VT" localSheetId="19" hidden="1">{#N/A,#N/A,FALSE,"CCTV"}</definedName>
    <definedName name="VT" localSheetId="26" hidden="1">{#N/A,#N/A,FALSE,"CCTV"}</definedName>
    <definedName name="VT" localSheetId="24" hidden="1">{#N/A,#N/A,FALSE,"CCTV"}</definedName>
    <definedName name="VT" localSheetId="32" hidden="1">{#N/A,#N/A,FALSE,"CCTV"}</definedName>
    <definedName name="VT" localSheetId="27" hidden="1">{#N/A,#N/A,FALSE,"CCTV"}</definedName>
    <definedName name="VT" localSheetId="28" hidden="1">{#N/A,#N/A,FALSE,"CCTV"}</definedName>
    <definedName name="VT" localSheetId="29" hidden="1">{#N/A,#N/A,FALSE,"CCTV"}</definedName>
    <definedName name="VT" localSheetId="31" hidden="1">{#N/A,#N/A,FALSE,"CCTV"}</definedName>
    <definedName name="VT" localSheetId="30" hidden="1">{#N/A,#N/A,FALSE,"CCTV"}</definedName>
    <definedName name="VT" localSheetId="17" hidden="1">{#N/A,#N/A,FALSE,"CCTV"}</definedName>
    <definedName name="VT" localSheetId="18" hidden="1">{#N/A,#N/A,FALSE,"CCTV"}</definedName>
    <definedName name="VT" hidden="1">{#N/A,#N/A,FALSE,"CCTV"}</definedName>
    <definedName name="VU" localSheetId="20" hidden="1">{#N/A,#N/A,FALSE,"CCTV"}</definedName>
    <definedName name="VU" localSheetId="19" hidden="1">{#N/A,#N/A,FALSE,"CCTV"}</definedName>
    <definedName name="VU" localSheetId="26" hidden="1">{#N/A,#N/A,FALSE,"CCTV"}</definedName>
    <definedName name="VU" localSheetId="24" hidden="1">{#N/A,#N/A,FALSE,"CCTV"}</definedName>
    <definedName name="VU" localSheetId="32" hidden="1">{#N/A,#N/A,FALSE,"CCTV"}</definedName>
    <definedName name="VU" localSheetId="27" hidden="1">{#N/A,#N/A,FALSE,"CCTV"}</definedName>
    <definedName name="VU" localSheetId="28" hidden="1">{#N/A,#N/A,FALSE,"CCTV"}</definedName>
    <definedName name="VU" localSheetId="29" hidden="1">{#N/A,#N/A,FALSE,"CCTV"}</definedName>
    <definedName name="VU" localSheetId="31" hidden="1">{#N/A,#N/A,FALSE,"CCTV"}</definedName>
    <definedName name="VU" localSheetId="30" hidden="1">{#N/A,#N/A,FALSE,"CCTV"}</definedName>
    <definedName name="VU" localSheetId="17" hidden="1">{#N/A,#N/A,FALSE,"CCTV"}</definedName>
    <definedName name="VU" localSheetId="18" hidden="1">{#N/A,#N/A,FALSE,"CCTV"}</definedName>
    <definedName name="VU" hidden="1">{#N/A,#N/A,FALSE,"CCTV"}</definedName>
    <definedName name="VVV" localSheetId="32" hidden="1">#REF!</definedName>
    <definedName name="VVV" localSheetId="27" hidden="1">#REF!</definedName>
    <definedName name="VVV" hidden="1">#REF!</definedName>
    <definedName name="vvvvvvv" localSheetId="32" hidden="1">#REF!</definedName>
    <definedName name="vvvvvvv" hidden="1">#REF!</definedName>
    <definedName name="VXCVXVXCV" localSheetId="2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XCVXVXCV" localSheetId="1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XCVXVXCV" localSheetId="2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XCVXVXCV" localSheetId="2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XCVXVXCV" localSheetId="3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XCVXVXCV" localSheetId="2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XCVXVXCV" localSheetId="2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XCVXVXCV" localSheetId="2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XCVXVXCV" localSheetId="3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XCVXVXCV" localSheetId="3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XCVXVXCV" localSheetId="1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XCVXVXCV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XCVXVXCV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Y" localSheetId="20" hidden="1">{#N/A,#N/A,FALSE,"CCTV"}</definedName>
    <definedName name="VY" localSheetId="19" hidden="1">{#N/A,#N/A,FALSE,"CCTV"}</definedName>
    <definedName name="VY" localSheetId="26" hidden="1">{#N/A,#N/A,FALSE,"CCTV"}</definedName>
    <definedName name="VY" localSheetId="24" hidden="1">{#N/A,#N/A,FALSE,"CCTV"}</definedName>
    <definedName name="VY" localSheetId="32" hidden="1">{#N/A,#N/A,FALSE,"CCTV"}</definedName>
    <definedName name="VY" localSheetId="27" hidden="1">{#N/A,#N/A,FALSE,"CCTV"}</definedName>
    <definedName name="VY" localSheetId="28" hidden="1">{#N/A,#N/A,FALSE,"CCTV"}</definedName>
    <definedName name="VY" localSheetId="29" hidden="1">{#N/A,#N/A,FALSE,"CCTV"}</definedName>
    <definedName name="VY" localSheetId="31" hidden="1">{#N/A,#N/A,FALSE,"CCTV"}</definedName>
    <definedName name="VY" localSheetId="30" hidden="1">{#N/A,#N/A,FALSE,"CCTV"}</definedName>
    <definedName name="VY" localSheetId="17" hidden="1">{#N/A,#N/A,FALSE,"CCTV"}</definedName>
    <definedName name="VY" localSheetId="18" hidden="1">{#N/A,#N/A,FALSE,"CCTV"}</definedName>
    <definedName name="VY" hidden="1">{#N/A,#N/A,FALSE,"CCTV"}</definedName>
    <definedName name="WARTO" localSheetId="20" hidden="1">{#N/A,#N/A,FALSE,"REK";#N/A,#N/A,FALSE,"rab"}</definedName>
    <definedName name="WARTO" localSheetId="19" hidden="1">{#N/A,#N/A,FALSE,"REK";#N/A,#N/A,FALSE,"rab"}</definedName>
    <definedName name="WARTO" localSheetId="26" hidden="1">{#N/A,#N/A,FALSE,"REK";#N/A,#N/A,FALSE,"rab"}</definedName>
    <definedName name="WARTO" localSheetId="24" hidden="1">{#N/A,#N/A,FALSE,"REK";#N/A,#N/A,FALSE,"rab"}</definedName>
    <definedName name="WARTO" localSheetId="32" hidden="1">{#N/A,#N/A,FALSE,"REK";#N/A,#N/A,FALSE,"rab"}</definedName>
    <definedName name="WARTO" localSheetId="27" hidden="1">{#N/A,#N/A,FALSE,"REK";#N/A,#N/A,FALSE,"rab"}</definedName>
    <definedName name="WARTO" localSheetId="28" hidden="1">{#N/A,#N/A,FALSE,"REK";#N/A,#N/A,FALSE,"rab"}</definedName>
    <definedName name="WARTO" localSheetId="29" hidden="1">{#N/A,#N/A,FALSE,"REK";#N/A,#N/A,FALSE,"rab"}</definedName>
    <definedName name="WARTO" localSheetId="31" hidden="1">{#N/A,#N/A,FALSE,"REK";#N/A,#N/A,FALSE,"rab"}</definedName>
    <definedName name="WARTO" localSheetId="30" hidden="1">{#N/A,#N/A,FALSE,"REK";#N/A,#N/A,FALSE,"rab"}</definedName>
    <definedName name="WARTO" localSheetId="17" hidden="1">{#N/A,#N/A,FALSE,"REK";#N/A,#N/A,FALSE,"rab"}</definedName>
    <definedName name="WARTO" localSheetId="18" hidden="1">{#N/A,#N/A,FALSE,"REK";#N/A,#N/A,FALSE,"rab"}</definedName>
    <definedName name="WARTO" hidden="1">{#N/A,#N/A,FALSE,"REK";#N/A,#N/A,FALSE,"rab"}</definedName>
    <definedName name="we" localSheetId="20" hidden="1">{#N/A,#N/A,FALSE,"REK";#N/A,#N/A,FALSE,"rab"}</definedName>
    <definedName name="we" localSheetId="19" hidden="1">{#N/A,#N/A,FALSE,"REK";#N/A,#N/A,FALSE,"rab"}</definedName>
    <definedName name="we" localSheetId="26" hidden="1">{#N/A,#N/A,FALSE,"REK";#N/A,#N/A,FALSE,"rab"}</definedName>
    <definedName name="we" localSheetId="24" hidden="1">{#N/A,#N/A,FALSE,"REK";#N/A,#N/A,FALSE,"rab"}</definedName>
    <definedName name="we" localSheetId="32" hidden="1">{#N/A,#N/A,FALSE,"REK";#N/A,#N/A,FALSE,"rab"}</definedName>
    <definedName name="we" localSheetId="27" hidden="1">{#N/A,#N/A,FALSE,"REK";#N/A,#N/A,FALSE,"rab"}</definedName>
    <definedName name="we" localSheetId="28" hidden="1">{#N/A,#N/A,FALSE,"REK";#N/A,#N/A,FALSE,"rab"}</definedName>
    <definedName name="we" localSheetId="29" hidden="1">{#N/A,#N/A,FALSE,"REK";#N/A,#N/A,FALSE,"rab"}</definedName>
    <definedName name="we" localSheetId="31" hidden="1">{#N/A,#N/A,FALSE,"REK";#N/A,#N/A,FALSE,"rab"}</definedName>
    <definedName name="we" localSheetId="30" hidden="1">{#N/A,#N/A,FALSE,"REK";#N/A,#N/A,FALSE,"rab"}</definedName>
    <definedName name="we" localSheetId="17" hidden="1">{#N/A,#N/A,FALSE,"REK";#N/A,#N/A,FALSE,"rab"}</definedName>
    <definedName name="we" localSheetId="18" hidden="1">{#N/A,#N/A,FALSE,"REK";#N/A,#N/A,FALSE,"rab"}</definedName>
    <definedName name="we" hidden="1">{#N/A,#N/A,FALSE,"REK";#N/A,#N/A,FALSE,"rab"}</definedName>
    <definedName name="wedus" localSheetId="27" hidden="1">#REF!</definedName>
    <definedName name="wedus" localSheetId="41" hidden="1">#REF!</definedName>
    <definedName name="wedus" localSheetId="42" hidden="1">#REF!</definedName>
    <definedName name="wedus" hidden="1">#REF!</definedName>
    <definedName name="WEEE" localSheetId="2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EE" localSheetId="1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EE" localSheetId="2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EE" localSheetId="2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EE" localSheetId="3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EE" localSheetId="2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EE" localSheetId="2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EE" localSheetId="2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EE" localSheetId="3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EE" localSheetId="3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EE" localSheetId="1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EE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E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fger" localSheetId="20" hidden="1">{"'Sheet1'!$A$1"}</definedName>
    <definedName name="wefger" localSheetId="19" hidden="1">{"'Sheet1'!$A$1"}</definedName>
    <definedName name="wefger" localSheetId="26" hidden="1">{"'Sheet1'!$A$1"}</definedName>
    <definedName name="wefger" localSheetId="24" hidden="1">{"'Sheet1'!$A$1"}</definedName>
    <definedName name="wefger" localSheetId="32" hidden="1">{"'Sheet1'!$A$1"}</definedName>
    <definedName name="wefger" localSheetId="27" hidden="1">{"'Sheet1'!$A$1"}</definedName>
    <definedName name="wefger" localSheetId="28" hidden="1">{"'Sheet1'!$A$1"}</definedName>
    <definedName name="wefger" localSheetId="29" hidden="1">{"'Sheet1'!$A$1"}</definedName>
    <definedName name="wefger" localSheetId="31" hidden="1">{"'Sheet1'!$A$1"}</definedName>
    <definedName name="wefger" localSheetId="30" hidden="1">{"'Sheet1'!$A$1"}</definedName>
    <definedName name="wefger" localSheetId="17" hidden="1">{"'Sheet1'!$A$1"}</definedName>
    <definedName name="wefger" localSheetId="18" hidden="1">{"'Sheet1'!$A$1"}</definedName>
    <definedName name="wefger" hidden="1">{"'Sheet1'!$A$1"}</definedName>
    <definedName name="wegtgty" localSheetId="20" hidden="1">{#N/A,#N/A,FALSE,"REK";#N/A,#N/A,FALSE,"rab"}</definedName>
    <definedName name="wegtgty" localSheetId="19" hidden="1">{#N/A,#N/A,FALSE,"REK";#N/A,#N/A,FALSE,"rab"}</definedName>
    <definedName name="wegtgty" localSheetId="26" hidden="1">{#N/A,#N/A,FALSE,"REK";#N/A,#N/A,FALSE,"rab"}</definedName>
    <definedName name="wegtgty" localSheetId="24" hidden="1">{#N/A,#N/A,FALSE,"REK";#N/A,#N/A,FALSE,"rab"}</definedName>
    <definedName name="wegtgty" localSheetId="32" hidden="1">{#N/A,#N/A,FALSE,"REK";#N/A,#N/A,FALSE,"rab"}</definedName>
    <definedName name="wegtgty" localSheetId="27" hidden="1">{#N/A,#N/A,FALSE,"REK";#N/A,#N/A,FALSE,"rab"}</definedName>
    <definedName name="wegtgty" localSheetId="28" hidden="1">{#N/A,#N/A,FALSE,"REK";#N/A,#N/A,FALSE,"rab"}</definedName>
    <definedName name="wegtgty" localSheetId="29" hidden="1">{#N/A,#N/A,FALSE,"REK";#N/A,#N/A,FALSE,"rab"}</definedName>
    <definedName name="wegtgty" localSheetId="31" hidden="1">{#N/A,#N/A,FALSE,"REK";#N/A,#N/A,FALSE,"rab"}</definedName>
    <definedName name="wegtgty" localSheetId="30" hidden="1">{#N/A,#N/A,FALSE,"REK";#N/A,#N/A,FALSE,"rab"}</definedName>
    <definedName name="wegtgty" localSheetId="17" hidden="1">{#N/A,#N/A,FALSE,"REK";#N/A,#N/A,FALSE,"rab"}</definedName>
    <definedName name="wegtgty" localSheetId="18" hidden="1">{#N/A,#N/A,FALSE,"REK";#N/A,#N/A,FALSE,"rab"}</definedName>
    <definedName name="wegtgty" hidden="1">{#N/A,#N/A,FALSE,"REK";#N/A,#N/A,FALSE,"rab"}</definedName>
    <definedName name="WEHTRVQQW" localSheetId="20" hidden="1">#REF!</definedName>
    <definedName name="WEHTRVQQW" localSheetId="27" hidden="1">#REF!</definedName>
    <definedName name="WEHTRVQQW" localSheetId="28" hidden="1">#REF!</definedName>
    <definedName name="WEHTRVQQW" localSheetId="17" hidden="1">#REF!</definedName>
    <definedName name="WEHTRVQQW" localSheetId="18" hidden="1">#REF!</definedName>
    <definedName name="WEHTRVQQW" localSheetId="42" hidden="1">#REF!</definedName>
    <definedName name="WEHTRVQQW" hidden="1">#REF!</definedName>
    <definedName name="weight" localSheetId="20" hidden="1">{#N/A,#N/A,FALSE,"CCTV"}</definedName>
    <definedName name="weight" localSheetId="19" hidden="1">{#N/A,#N/A,FALSE,"CCTV"}</definedName>
    <definedName name="weight" localSheetId="26" hidden="1">{#N/A,#N/A,FALSE,"CCTV"}</definedName>
    <definedName name="weight" localSheetId="24" hidden="1">{#N/A,#N/A,FALSE,"CCTV"}</definedName>
    <definedName name="weight" localSheetId="32" hidden="1">{#N/A,#N/A,FALSE,"CCTV"}</definedName>
    <definedName name="weight" localSheetId="27" hidden="1">{#N/A,#N/A,FALSE,"CCTV"}</definedName>
    <definedName name="weight" localSheetId="28" hidden="1">{#N/A,#N/A,FALSE,"CCTV"}</definedName>
    <definedName name="weight" localSheetId="29" hidden="1">{#N/A,#N/A,FALSE,"CCTV"}</definedName>
    <definedName name="weight" localSheetId="31" hidden="1">{#N/A,#N/A,FALSE,"CCTV"}</definedName>
    <definedName name="weight" localSheetId="30" hidden="1">{#N/A,#N/A,FALSE,"CCTV"}</definedName>
    <definedName name="weight" localSheetId="17" hidden="1">{#N/A,#N/A,FALSE,"CCTV"}</definedName>
    <definedName name="weight" localSheetId="18" hidden="1">{#N/A,#N/A,FALSE,"CCTV"}</definedName>
    <definedName name="weight" hidden="1">{#N/A,#N/A,FALSE,"CCTV"}</definedName>
    <definedName name="weqer" localSheetId="32" hidden="1">#REF!</definedName>
    <definedName name="weqer" localSheetId="27" hidden="1">#REF!</definedName>
    <definedName name="weqer" localSheetId="18" hidden="1">#REF!</definedName>
    <definedName name="weqer" hidden="1">#REF!</definedName>
    <definedName name="WEQWE" localSheetId="2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QWE" localSheetId="1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QWE" localSheetId="2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QWE" localSheetId="2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QWE" localSheetId="3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QWE" localSheetId="2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QWE" localSheetId="2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QWE" localSheetId="2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QWE" localSheetId="3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QWE" localSheetId="3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QWE" localSheetId="1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QWE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QW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RD" localSheetId="32" hidden="1">#REF!</definedName>
    <definedName name="WERD" localSheetId="27" hidden="1">#REF!</definedName>
    <definedName name="WERD" localSheetId="18" hidden="1">#REF!</definedName>
    <definedName name="WERD" hidden="1">#REF!</definedName>
    <definedName name="werg" localSheetId="20" hidden="1">{#N/A,#N/A,FALSE,"REK";#N/A,#N/A,FALSE,"rab"}</definedName>
    <definedName name="werg" localSheetId="19" hidden="1">{#N/A,#N/A,FALSE,"REK";#N/A,#N/A,FALSE,"rab"}</definedName>
    <definedName name="werg" localSheetId="26" hidden="1">{#N/A,#N/A,FALSE,"REK";#N/A,#N/A,FALSE,"rab"}</definedName>
    <definedName name="werg" localSheetId="24" hidden="1">{#N/A,#N/A,FALSE,"REK";#N/A,#N/A,FALSE,"rab"}</definedName>
    <definedName name="werg" localSheetId="32" hidden="1">{#N/A,#N/A,FALSE,"REK";#N/A,#N/A,FALSE,"rab"}</definedName>
    <definedName name="werg" localSheetId="27" hidden="1">{#N/A,#N/A,FALSE,"REK";#N/A,#N/A,FALSE,"rab"}</definedName>
    <definedName name="werg" localSheetId="28" hidden="1">{#N/A,#N/A,FALSE,"REK";#N/A,#N/A,FALSE,"rab"}</definedName>
    <definedName name="werg" localSheetId="29" hidden="1">{#N/A,#N/A,FALSE,"REK";#N/A,#N/A,FALSE,"rab"}</definedName>
    <definedName name="werg" localSheetId="31" hidden="1">{#N/A,#N/A,FALSE,"REK";#N/A,#N/A,FALSE,"rab"}</definedName>
    <definedName name="werg" localSheetId="30" hidden="1">{#N/A,#N/A,FALSE,"REK";#N/A,#N/A,FALSE,"rab"}</definedName>
    <definedName name="werg" localSheetId="17" hidden="1">{#N/A,#N/A,FALSE,"REK";#N/A,#N/A,FALSE,"rab"}</definedName>
    <definedName name="werg" localSheetId="18" hidden="1">{#N/A,#N/A,FALSE,"REK";#N/A,#N/A,FALSE,"rab"}</definedName>
    <definedName name="werg" hidden="1">{#N/A,#N/A,FALSE,"REK";#N/A,#N/A,FALSE,"rab"}</definedName>
    <definedName name="werge4t" localSheetId="32" hidden="1">#REF!</definedName>
    <definedName name="werge4t" localSheetId="27" hidden="1">#REF!</definedName>
    <definedName name="werge4t" localSheetId="18" hidden="1">#REF!</definedName>
    <definedName name="werge4t" hidden="1">#REF!</definedName>
    <definedName name="WERQ34" localSheetId="27" hidden="1">#REF!</definedName>
    <definedName name="WERQ34" localSheetId="18" hidden="1">#REF!</definedName>
    <definedName name="WERQ34" localSheetId="42" hidden="1">#REF!</definedName>
    <definedName name="WERQ34" hidden="1">#REF!</definedName>
    <definedName name="WERQWREQW" localSheetId="2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1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2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2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3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2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3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3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1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2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4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4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4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3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3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localSheetId="2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localSheetId="1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localSheetId="2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localSheetId="3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localSheetId="2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localSheetId="3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localSheetId="3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localSheetId="1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u" localSheetId="32" hidden="1">#REF!</definedName>
    <definedName name="wertu" localSheetId="27" hidden="1">#REF!</definedName>
    <definedName name="wertu" localSheetId="18" hidden="1">#REF!</definedName>
    <definedName name="wertu" hidden="1">#REF!</definedName>
    <definedName name="wet" localSheetId="20" hidden="1">{#N/A,#N/A,FALSE,"REK";#N/A,#N/A,FALSE,"Bq-ARS"}</definedName>
    <definedName name="wet" localSheetId="19" hidden="1">{#N/A,#N/A,FALSE,"REK";#N/A,#N/A,FALSE,"Bq-ARS"}</definedName>
    <definedName name="wet" localSheetId="26" hidden="1">{#N/A,#N/A,FALSE,"REK";#N/A,#N/A,FALSE,"Bq-ARS"}</definedName>
    <definedName name="wet" localSheetId="24" hidden="1">{#N/A,#N/A,FALSE,"REK";#N/A,#N/A,FALSE,"Bq-ARS"}</definedName>
    <definedName name="wet" localSheetId="32" hidden="1">{#N/A,#N/A,FALSE,"REK";#N/A,#N/A,FALSE,"Bq-ARS"}</definedName>
    <definedName name="wet" localSheetId="27" hidden="1">{#N/A,#N/A,FALSE,"REK";#N/A,#N/A,FALSE,"Bq-ARS"}</definedName>
    <definedName name="wet" localSheetId="28" hidden="1">{#N/A,#N/A,FALSE,"REK";#N/A,#N/A,FALSE,"Bq-ARS"}</definedName>
    <definedName name="wet" localSheetId="29" hidden="1">{#N/A,#N/A,FALSE,"REK";#N/A,#N/A,FALSE,"Bq-ARS"}</definedName>
    <definedName name="wet" localSheetId="31" hidden="1">{#N/A,#N/A,FALSE,"REK";#N/A,#N/A,FALSE,"Bq-ARS"}</definedName>
    <definedName name="wet" localSheetId="30" hidden="1">{#N/A,#N/A,FALSE,"REK";#N/A,#N/A,FALSE,"Bq-ARS"}</definedName>
    <definedName name="wet" localSheetId="17" hidden="1">{#N/A,#N/A,FALSE,"REK";#N/A,#N/A,FALSE,"Bq-ARS"}</definedName>
    <definedName name="wet" localSheetId="18" hidden="1">{#N/A,#N/A,FALSE,"REK";#N/A,#N/A,FALSE,"Bq-ARS"}</definedName>
    <definedName name="wet" hidden="1">{#N/A,#N/A,FALSE,"REK";#N/A,#N/A,FALSE,"Bq-ARS"}</definedName>
    <definedName name="wetwerg" localSheetId="20" hidden="1">{#N/A,#N/A,FALSE,"REK";#N/A,#N/A,FALSE,"rab"}</definedName>
    <definedName name="wetwerg" localSheetId="19" hidden="1">{#N/A,#N/A,FALSE,"REK";#N/A,#N/A,FALSE,"rab"}</definedName>
    <definedName name="wetwerg" localSheetId="26" hidden="1">{#N/A,#N/A,FALSE,"REK";#N/A,#N/A,FALSE,"rab"}</definedName>
    <definedName name="wetwerg" localSheetId="24" hidden="1">{#N/A,#N/A,FALSE,"REK";#N/A,#N/A,FALSE,"rab"}</definedName>
    <definedName name="wetwerg" localSheetId="32" hidden="1">{#N/A,#N/A,FALSE,"REK";#N/A,#N/A,FALSE,"rab"}</definedName>
    <definedName name="wetwerg" localSheetId="27" hidden="1">{#N/A,#N/A,FALSE,"REK";#N/A,#N/A,FALSE,"rab"}</definedName>
    <definedName name="wetwerg" localSheetId="28" hidden="1">{#N/A,#N/A,FALSE,"REK";#N/A,#N/A,FALSE,"rab"}</definedName>
    <definedName name="wetwerg" localSheetId="29" hidden="1">{#N/A,#N/A,FALSE,"REK";#N/A,#N/A,FALSE,"rab"}</definedName>
    <definedName name="wetwerg" localSheetId="31" hidden="1">{#N/A,#N/A,FALSE,"REK";#N/A,#N/A,FALSE,"rab"}</definedName>
    <definedName name="wetwerg" localSheetId="30" hidden="1">{#N/A,#N/A,FALSE,"REK";#N/A,#N/A,FALSE,"rab"}</definedName>
    <definedName name="wetwerg" localSheetId="17" hidden="1">{#N/A,#N/A,FALSE,"REK";#N/A,#N/A,FALSE,"rab"}</definedName>
    <definedName name="wetwerg" localSheetId="18" hidden="1">{#N/A,#N/A,FALSE,"REK";#N/A,#N/A,FALSE,"rab"}</definedName>
    <definedName name="wetwerg" hidden="1">{#N/A,#N/A,FALSE,"REK";#N/A,#N/A,FALSE,"rab"}</definedName>
    <definedName name="wewewewe" localSheetId="32" hidden="1">#REF!</definedName>
    <definedName name="wewewewe" localSheetId="27" hidden="1">#REF!</definedName>
    <definedName name="wewewewe" localSheetId="18" hidden="1">#REF!</definedName>
    <definedName name="wewewewe" hidden="1">#REF!</definedName>
    <definedName name="weygt" localSheetId="20" hidden="1">{#N/A,#N/A,FALSE,"REK";#N/A,#N/A,FALSE,"Bq-ARS"}</definedName>
    <definedName name="weygt" localSheetId="19" hidden="1">{#N/A,#N/A,FALSE,"REK";#N/A,#N/A,FALSE,"Bq-ARS"}</definedName>
    <definedName name="weygt" localSheetId="26" hidden="1">{#N/A,#N/A,FALSE,"REK";#N/A,#N/A,FALSE,"Bq-ARS"}</definedName>
    <definedName name="weygt" localSheetId="24" hidden="1">{#N/A,#N/A,FALSE,"REK";#N/A,#N/A,FALSE,"Bq-ARS"}</definedName>
    <definedName name="weygt" localSheetId="32" hidden="1">{#N/A,#N/A,FALSE,"REK";#N/A,#N/A,FALSE,"Bq-ARS"}</definedName>
    <definedName name="weygt" localSheetId="27" hidden="1">{#N/A,#N/A,FALSE,"REK";#N/A,#N/A,FALSE,"Bq-ARS"}</definedName>
    <definedName name="weygt" localSheetId="28" hidden="1">{#N/A,#N/A,FALSE,"REK";#N/A,#N/A,FALSE,"Bq-ARS"}</definedName>
    <definedName name="weygt" localSheetId="29" hidden="1">{#N/A,#N/A,FALSE,"REK";#N/A,#N/A,FALSE,"Bq-ARS"}</definedName>
    <definedName name="weygt" localSheetId="31" hidden="1">{#N/A,#N/A,FALSE,"REK";#N/A,#N/A,FALSE,"Bq-ARS"}</definedName>
    <definedName name="weygt" localSheetId="30" hidden="1">{#N/A,#N/A,FALSE,"REK";#N/A,#N/A,FALSE,"Bq-ARS"}</definedName>
    <definedName name="weygt" localSheetId="17" hidden="1">{#N/A,#N/A,FALSE,"REK";#N/A,#N/A,FALSE,"Bq-ARS"}</definedName>
    <definedName name="weygt" localSheetId="18" hidden="1">{#N/A,#N/A,FALSE,"REK";#N/A,#N/A,FALSE,"Bq-ARS"}</definedName>
    <definedName name="weygt" hidden="1">{#N/A,#N/A,FALSE,"REK";#N/A,#N/A,FALSE,"Bq-ARS"}</definedName>
    <definedName name="wga" localSheetId="32" hidden="1">#REF!</definedName>
    <definedName name="wga" localSheetId="27" hidden="1">#REF!</definedName>
    <definedName name="wga" localSheetId="18" hidden="1">#REF!</definedName>
    <definedName name="wga" hidden="1">#REF!</definedName>
    <definedName name="what" localSheetId="20" hidden="1">{#N/A,#N/A,FALSE,"Profit &amp; Loss statement"}</definedName>
    <definedName name="what" localSheetId="19" hidden="1">{#N/A,#N/A,FALSE,"Profit &amp; Loss statement"}</definedName>
    <definedName name="what" localSheetId="26" hidden="1">{#N/A,#N/A,FALSE,"Profit &amp; Loss statement"}</definedName>
    <definedName name="what" localSheetId="24" hidden="1">{#N/A,#N/A,FALSE,"Profit &amp; Loss statement"}</definedName>
    <definedName name="what" localSheetId="32" hidden="1">{#N/A,#N/A,FALSE,"Profit &amp; Loss statement"}</definedName>
    <definedName name="what" localSheetId="27" hidden="1">{#N/A,#N/A,FALSE,"Profit &amp; Loss statement"}</definedName>
    <definedName name="what" localSheetId="28" hidden="1">{#N/A,#N/A,FALSE,"Profit &amp; Loss statement"}</definedName>
    <definedName name="what" localSheetId="29" hidden="1">{#N/A,#N/A,FALSE,"Profit &amp; Loss statement"}</definedName>
    <definedName name="what" localSheetId="31" hidden="1">{#N/A,#N/A,FALSE,"Profit &amp; Loss statement"}</definedName>
    <definedName name="what" localSheetId="30" hidden="1">{#N/A,#N/A,FALSE,"Profit &amp; Loss statement"}</definedName>
    <definedName name="what" localSheetId="17" hidden="1">{#N/A,#N/A,FALSE,"Profit &amp; Loss statement"}</definedName>
    <definedName name="what" localSheetId="18" hidden="1">{#N/A,#N/A,FALSE,"Profit &amp; Loss statement"}</definedName>
    <definedName name="what" hidden="1">{#N/A,#N/A,FALSE,"Profit &amp; Loss statement"}</definedName>
    <definedName name="whats" localSheetId="20" hidden="1">{#N/A,#N/A,FALSE,"Profit &amp; Loss statement"}</definedName>
    <definedName name="whats" localSheetId="19" hidden="1">{#N/A,#N/A,FALSE,"Profit &amp; Loss statement"}</definedName>
    <definedName name="whats" localSheetId="26" hidden="1">{#N/A,#N/A,FALSE,"Profit &amp; Loss statement"}</definedName>
    <definedName name="whats" localSheetId="24" hidden="1">{#N/A,#N/A,FALSE,"Profit &amp; Loss statement"}</definedName>
    <definedName name="whats" localSheetId="32" hidden="1">{#N/A,#N/A,FALSE,"Profit &amp; Loss statement"}</definedName>
    <definedName name="whats" localSheetId="27" hidden="1">{#N/A,#N/A,FALSE,"Profit &amp; Loss statement"}</definedName>
    <definedName name="whats" localSheetId="28" hidden="1">{#N/A,#N/A,FALSE,"Profit &amp; Loss statement"}</definedName>
    <definedName name="whats" localSheetId="29" hidden="1">{#N/A,#N/A,FALSE,"Profit &amp; Loss statement"}</definedName>
    <definedName name="whats" localSheetId="31" hidden="1">{#N/A,#N/A,FALSE,"Profit &amp; Loss statement"}</definedName>
    <definedName name="whats" localSheetId="30" hidden="1">{#N/A,#N/A,FALSE,"Profit &amp; Loss statement"}</definedName>
    <definedName name="whats" localSheetId="17" hidden="1">{#N/A,#N/A,FALSE,"Profit &amp; Loss statement"}</definedName>
    <definedName name="whats" localSheetId="18" hidden="1">{#N/A,#N/A,FALSE,"Profit &amp; Loss statement"}</definedName>
    <definedName name="whats" hidden="1">{#N/A,#N/A,FALSE,"Profit &amp; Loss statement"}</definedName>
    <definedName name="WIL" localSheetId="20" hidden="1">{#N/A,#N/A,FALSE,"M.01";#N/A,#N/A,FALSE,"M.01"}</definedName>
    <definedName name="WIL" localSheetId="19" hidden="1">{#N/A,#N/A,FALSE,"M.01";#N/A,#N/A,FALSE,"M.01"}</definedName>
    <definedName name="WIL" localSheetId="32" hidden="1">{#N/A,#N/A,FALSE,"M.01";#N/A,#N/A,FALSE,"M.01"}</definedName>
    <definedName name="WIL" localSheetId="27" hidden="1">{#N/A,#N/A,FALSE,"M.01";#N/A,#N/A,FALSE,"M.01"}</definedName>
    <definedName name="WIL" localSheetId="28" hidden="1">{#N/A,#N/A,FALSE,"M.01";#N/A,#N/A,FALSE,"M.01"}</definedName>
    <definedName name="WIL" localSheetId="31" hidden="1">{#N/A,#N/A,FALSE,"M.01";#N/A,#N/A,FALSE,"M.01"}</definedName>
    <definedName name="WIL" localSheetId="30" hidden="1">{#N/A,#N/A,FALSE,"M.01";#N/A,#N/A,FALSE,"M.01"}</definedName>
    <definedName name="WIL" localSheetId="13" hidden="1">{#N/A,#N/A,FALSE,"M.01";#N/A,#N/A,FALSE,"M.01"}</definedName>
    <definedName name="WIL" localSheetId="17" hidden="1">{#N/A,#N/A,FALSE,"M.01";#N/A,#N/A,FALSE,"M.01"}</definedName>
    <definedName name="WIL" localSheetId="18" hidden="1">{#N/A,#N/A,FALSE,"M.01";#N/A,#N/A,FALSE,"M.01"}</definedName>
    <definedName name="wjs" localSheetId="20" hidden="1">{"'장비'!$A$3:$M$12"}</definedName>
    <definedName name="wjs" localSheetId="19" hidden="1">{"'장비'!$A$3:$M$12"}</definedName>
    <definedName name="wjs" localSheetId="26" hidden="1">{"'장비'!$A$3:$M$12"}</definedName>
    <definedName name="wjs" localSheetId="24" hidden="1">{"'장비'!$A$3:$M$12"}</definedName>
    <definedName name="wjs" localSheetId="32" hidden="1">{"'장비'!$A$3:$M$12"}</definedName>
    <definedName name="wjs" localSheetId="27" hidden="1">{"'장비'!$A$3:$M$12"}</definedName>
    <definedName name="wjs" localSheetId="28" hidden="1">{"'장비'!$A$3:$M$12"}</definedName>
    <definedName name="wjs" localSheetId="29" hidden="1">{"'장비'!$A$3:$M$12"}</definedName>
    <definedName name="wjs" localSheetId="31" hidden="1">{"'장비'!$A$3:$M$12"}</definedName>
    <definedName name="wjs" localSheetId="30" hidden="1">{"'장비'!$A$3:$M$12"}</definedName>
    <definedName name="wjs" localSheetId="17" hidden="1">{"'장비'!$A$3:$M$12"}</definedName>
    <definedName name="wjs" localSheetId="18" hidden="1">{"'장비'!$A$3:$M$12"}</definedName>
    <definedName name="wjs" hidden="1">{"'장비'!$A$3:$M$12"}</definedName>
    <definedName name="wm.조골재1" localSheetId="20" hidden="1">{#N/A,#N/A,FALSE,"조골재"}</definedName>
    <definedName name="wm.조골재1" localSheetId="19" hidden="1">{#N/A,#N/A,FALSE,"조골재"}</definedName>
    <definedName name="wm.조골재1" localSheetId="26" hidden="1">{#N/A,#N/A,FALSE,"조골재"}</definedName>
    <definedName name="wm.조골재1" localSheetId="24" hidden="1">{#N/A,#N/A,FALSE,"조골재"}</definedName>
    <definedName name="wm.조골재1" localSheetId="32" hidden="1">{#N/A,#N/A,FALSE,"조골재"}</definedName>
    <definedName name="wm.조골재1" localSheetId="27" hidden="1">{#N/A,#N/A,FALSE,"조골재"}</definedName>
    <definedName name="wm.조골재1" localSheetId="28" hidden="1">{#N/A,#N/A,FALSE,"조골재"}</definedName>
    <definedName name="wm.조골재1" localSheetId="29" hidden="1">{#N/A,#N/A,FALSE,"조골재"}</definedName>
    <definedName name="wm.조골재1" localSheetId="31" hidden="1">{#N/A,#N/A,FALSE,"조골재"}</definedName>
    <definedName name="wm.조골재1" localSheetId="30" hidden="1">{#N/A,#N/A,FALSE,"조골재"}</definedName>
    <definedName name="wm.조골재1" localSheetId="17" hidden="1">{#N/A,#N/A,FALSE,"조골재"}</definedName>
    <definedName name="wm.조골재1" localSheetId="18" hidden="1">{#N/A,#N/A,FALSE,"조골재"}</definedName>
    <definedName name="wm.조골재1" hidden="1">{#N/A,#N/A,FALSE,"조골재"}</definedName>
    <definedName name="workshop" localSheetId="20" hidden="1">{#N/A,#N/A,FALSE,"CCTV"}</definedName>
    <definedName name="workshop" localSheetId="19" hidden="1">{#N/A,#N/A,FALSE,"CCTV"}</definedName>
    <definedName name="workshop" localSheetId="26" hidden="1">{#N/A,#N/A,FALSE,"CCTV"}</definedName>
    <definedName name="workshop" localSheetId="24" hidden="1">{#N/A,#N/A,FALSE,"CCTV"}</definedName>
    <definedName name="workshop" localSheetId="32" hidden="1">{#N/A,#N/A,FALSE,"CCTV"}</definedName>
    <definedName name="workshop" localSheetId="27" hidden="1">{#N/A,#N/A,FALSE,"CCTV"}</definedName>
    <definedName name="workshop" localSheetId="28" hidden="1">{#N/A,#N/A,FALSE,"CCTV"}</definedName>
    <definedName name="workshop" localSheetId="29" hidden="1">{#N/A,#N/A,FALSE,"CCTV"}</definedName>
    <definedName name="workshop" localSheetId="31" hidden="1">{#N/A,#N/A,FALSE,"CCTV"}</definedName>
    <definedName name="workshop" localSheetId="30" hidden="1">{#N/A,#N/A,FALSE,"CCTV"}</definedName>
    <definedName name="workshop" localSheetId="17" hidden="1">{#N/A,#N/A,FALSE,"CCTV"}</definedName>
    <definedName name="workshop" localSheetId="18" hidden="1">{#N/A,#N/A,FALSE,"CCTV"}</definedName>
    <definedName name="workshop" hidden="1">{#N/A,#N/A,FALSE,"CCTV"}</definedName>
    <definedName name="WQET" localSheetId="20" hidden="1">{"'Sheet1'!$A$1"}</definedName>
    <definedName name="WQET" localSheetId="19" hidden="1">{"'Sheet1'!$A$1"}</definedName>
    <definedName name="WQET" localSheetId="26" hidden="1">{"'Sheet1'!$A$1"}</definedName>
    <definedName name="WQET" localSheetId="24" hidden="1">{"'Sheet1'!$A$1"}</definedName>
    <definedName name="WQET" localSheetId="32" hidden="1">{"'Sheet1'!$A$1"}</definedName>
    <definedName name="WQET" localSheetId="27" hidden="1">{"'Sheet1'!$A$1"}</definedName>
    <definedName name="WQET" localSheetId="28" hidden="1">{"'Sheet1'!$A$1"}</definedName>
    <definedName name="WQET" localSheetId="29" hidden="1">{"'Sheet1'!$A$1"}</definedName>
    <definedName name="WQET" localSheetId="31" hidden="1">{"'Sheet1'!$A$1"}</definedName>
    <definedName name="WQET" localSheetId="30" hidden="1">{"'Sheet1'!$A$1"}</definedName>
    <definedName name="WQET" localSheetId="17" hidden="1">{"'Sheet1'!$A$1"}</definedName>
    <definedName name="WQET" localSheetId="18" hidden="1">{"'Sheet1'!$A$1"}</definedName>
    <definedName name="WQET" hidden="1">{"'Sheet1'!$A$1"}</definedName>
    <definedName name="WQEYGT" localSheetId="20" hidden="1">{#N/A,#N/A,FALSE,"REK";#N/A,#N/A,FALSE,"rab"}</definedName>
    <definedName name="WQEYGT" localSheetId="19" hidden="1">{#N/A,#N/A,FALSE,"REK";#N/A,#N/A,FALSE,"rab"}</definedName>
    <definedName name="WQEYGT" localSheetId="26" hidden="1">{#N/A,#N/A,FALSE,"REK";#N/A,#N/A,FALSE,"rab"}</definedName>
    <definedName name="WQEYGT" localSheetId="24" hidden="1">{#N/A,#N/A,FALSE,"REK";#N/A,#N/A,FALSE,"rab"}</definedName>
    <definedName name="WQEYGT" localSheetId="32" hidden="1">{#N/A,#N/A,FALSE,"REK";#N/A,#N/A,FALSE,"rab"}</definedName>
    <definedName name="WQEYGT" localSheetId="27" hidden="1">{#N/A,#N/A,FALSE,"REK";#N/A,#N/A,FALSE,"rab"}</definedName>
    <definedName name="WQEYGT" localSheetId="28" hidden="1">{#N/A,#N/A,FALSE,"REK";#N/A,#N/A,FALSE,"rab"}</definedName>
    <definedName name="WQEYGT" localSheetId="29" hidden="1">{#N/A,#N/A,FALSE,"REK";#N/A,#N/A,FALSE,"rab"}</definedName>
    <definedName name="WQEYGT" localSheetId="31" hidden="1">{#N/A,#N/A,FALSE,"REK";#N/A,#N/A,FALSE,"rab"}</definedName>
    <definedName name="WQEYGT" localSheetId="30" hidden="1">{#N/A,#N/A,FALSE,"REK";#N/A,#N/A,FALSE,"rab"}</definedName>
    <definedName name="WQEYGT" localSheetId="17" hidden="1">{#N/A,#N/A,FALSE,"REK";#N/A,#N/A,FALSE,"rab"}</definedName>
    <definedName name="WQEYGT" localSheetId="18" hidden="1">{#N/A,#N/A,FALSE,"REK";#N/A,#N/A,FALSE,"rab"}</definedName>
    <definedName name="WQEYGT" hidden="1">{#N/A,#N/A,FALSE,"REK";#N/A,#N/A,FALSE,"rab"}</definedName>
    <definedName name="wqeygtQWET" localSheetId="20" hidden="1">{#N/A,#N/A,FALSE,"REK";#N/A,#N/A,FALSE,"rab"}</definedName>
    <definedName name="wqeygtQWET" localSheetId="19" hidden="1">{#N/A,#N/A,FALSE,"REK";#N/A,#N/A,FALSE,"rab"}</definedName>
    <definedName name="wqeygtQWET" localSheetId="26" hidden="1">{#N/A,#N/A,FALSE,"REK";#N/A,#N/A,FALSE,"rab"}</definedName>
    <definedName name="wqeygtQWET" localSheetId="24" hidden="1">{#N/A,#N/A,FALSE,"REK";#N/A,#N/A,FALSE,"rab"}</definedName>
    <definedName name="wqeygtQWET" localSheetId="32" hidden="1">{#N/A,#N/A,FALSE,"REK";#N/A,#N/A,FALSE,"rab"}</definedName>
    <definedName name="wqeygtQWET" localSheetId="27" hidden="1">{#N/A,#N/A,FALSE,"REK";#N/A,#N/A,FALSE,"rab"}</definedName>
    <definedName name="wqeygtQWET" localSheetId="28" hidden="1">{#N/A,#N/A,FALSE,"REK";#N/A,#N/A,FALSE,"rab"}</definedName>
    <definedName name="wqeygtQWET" localSheetId="29" hidden="1">{#N/A,#N/A,FALSE,"REK";#N/A,#N/A,FALSE,"rab"}</definedName>
    <definedName name="wqeygtQWET" localSheetId="31" hidden="1">{#N/A,#N/A,FALSE,"REK";#N/A,#N/A,FALSE,"rab"}</definedName>
    <definedName name="wqeygtQWET" localSheetId="30" hidden="1">{#N/A,#N/A,FALSE,"REK";#N/A,#N/A,FALSE,"rab"}</definedName>
    <definedName name="wqeygtQWET" localSheetId="17" hidden="1">{#N/A,#N/A,FALSE,"REK";#N/A,#N/A,FALSE,"rab"}</definedName>
    <definedName name="wqeygtQWET" localSheetId="18" hidden="1">{#N/A,#N/A,FALSE,"REK";#N/A,#N/A,FALSE,"rab"}</definedName>
    <definedName name="wqeygtQWET" hidden="1">{#N/A,#N/A,FALSE,"REK";#N/A,#N/A,FALSE,"rab"}</definedName>
    <definedName name="wqsa" localSheetId="32" hidden="1">#REF!</definedName>
    <definedName name="wqsa" localSheetId="27" hidden="1">#REF!</definedName>
    <definedName name="wqsa" localSheetId="18" hidden="1">#REF!</definedName>
    <definedName name="wqsa" hidden="1">#REF!</definedName>
    <definedName name="WQWW" localSheetId="20" hidden="1">{"'A'!$A$1:$W$63"}</definedName>
    <definedName name="WQWW" localSheetId="19" hidden="1">{"'A'!$A$1:$W$63"}</definedName>
    <definedName name="WQWW" localSheetId="26" hidden="1">{"'A'!$A$1:$W$63"}</definedName>
    <definedName name="WQWW" localSheetId="24" hidden="1">{"'A'!$A$1:$W$63"}</definedName>
    <definedName name="WQWW" localSheetId="32" hidden="1">{"'A'!$A$1:$W$63"}</definedName>
    <definedName name="WQWW" localSheetId="27" hidden="1">{"'A'!$A$1:$W$63"}</definedName>
    <definedName name="WQWW" localSheetId="28" hidden="1">{"'A'!$A$1:$W$63"}</definedName>
    <definedName name="WQWW" localSheetId="29" hidden="1">{"'A'!$A$1:$W$63"}</definedName>
    <definedName name="WQWW" localSheetId="31" hidden="1">{"'A'!$A$1:$W$63"}</definedName>
    <definedName name="WQWW" localSheetId="30" hidden="1">{"'A'!$A$1:$W$63"}</definedName>
    <definedName name="WQWW" localSheetId="17" hidden="1">{"'A'!$A$1:$W$63"}</definedName>
    <definedName name="WQWW" localSheetId="18" hidden="1">{"'A'!$A$1:$W$63"}</definedName>
    <definedName name="WQWW" hidden="1">{"'A'!$A$1:$W$63"}</definedName>
    <definedName name="WR" localSheetId="20" hidden="1">{#N/A,#N/A,FALSE,"CCTV"}</definedName>
    <definedName name="WR" localSheetId="19" hidden="1">{#N/A,#N/A,FALSE,"CCTV"}</definedName>
    <definedName name="WR" localSheetId="26" hidden="1">{#N/A,#N/A,FALSE,"CCTV"}</definedName>
    <definedName name="WR" localSheetId="24" hidden="1">{#N/A,#N/A,FALSE,"CCTV"}</definedName>
    <definedName name="WR" localSheetId="32" hidden="1">{#N/A,#N/A,FALSE,"CCTV"}</definedName>
    <definedName name="WR" localSheetId="27" hidden="1">{#N/A,#N/A,FALSE,"CCTV"}</definedName>
    <definedName name="WR" localSheetId="28" hidden="1">{#N/A,#N/A,FALSE,"CCTV"}</definedName>
    <definedName name="WR" localSheetId="29" hidden="1">{#N/A,#N/A,FALSE,"CCTV"}</definedName>
    <definedName name="WR" localSheetId="31" hidden="1">{#N/A,#N/A,FALSE,"CCTV"}</definedName>
    <definedName name="WR" localSheetId="30" hidden="1">{#N/A,#N/A,FALSE,"CCTV"}</definedName>
    <definedName name="WR" localSheetId="17" hidden="1">{#N/A,#N/A,FALSE,"CCTV"}</definedName>
    <definedName name="WR" localSheetId="18" hidden="1">{#N/A,#N/A,FALSE,"CCTV"}</definedName>
    <definedName name="WR" hidden="1">{#N/A,#N/A,FALSE,"CCTV"}</definedName>
    <definedName name="wrb" localSheetId="20" hidden="1">{#N/A,#N/A,FALSE,"CCTV"}</definedName>
    <definedName name="wrb" localSheetId="19" hidden="1">{#N/A,#N/A,FALSE,"CCTV"}</definedName>
    <definedName name="wrb" localSheetId="26" hidden="1">{#N/A,#N/A,FALSE,"CCTV"}</definedName>
    <definedName name="wrb" localSheetId="24" hidden="1">{#N/A,#N/A,FALSE,"CCTV"}</definedName>
    <definedName name="wrb" localSheetId="32" hidden="1">{#N/A,#N/A,FALSE,"CCTV"}</definedName>
    <definedName name="wrb" localSheetId="27" hidden="1">{#N/A,#N/A,FALSE,"CCTV"}</definedName>
    <definedName name="wrb" localSheetId="28" hidden="1">{#N/A,#N/A,FALSE,"CCTV"}</definedName>
    <definedName name="wrb" localSheetId="29" hidden="1">{#N/A,#N/A,FALSE,"CCTV"}</definedName>
    <definedName name="wrb" localSheetId="31" hidden="1">{#N/A,#N/A,FALSE,"CCTV"}</definedName>
    <definedName name="wrb" localSheetId="30" hidden="1">{#N/A,#N/A,FALSE,"CCTV"}</definedName>
    <definedName name="wrb" localSheetId="17" hidden="1">{#N/A,#N/A,FALSE,"CCTV"}</definedName>
    <definedName name="wrb" localSheetId="18" hidden="1">{#N/A,#N/A,FALSE,"CCTV"}</definedName>
    <definedName name="wrb" hidden="1">{#N/A,#N/A,FALSE,"CCTV"}</definedName>
    <definedName name="wrf" localSheetId="2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" localSheetId="1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" localSheetId="2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" localSheetId="3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" localSheetId="2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" localSheetId="3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" localSheetId="3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" localSheetId="1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g" localSheetId="20" hidden="1">{#N/A,#N/A,FALSE,"REK";#N/A,#N/A,FALSE,"rab"}</definedName>
    <definedName name="wrg" localSheetId="19" hidden="1">{#N/A,#N/A,FALSE,"REK";#N/A,#N/A,FALSE,"rab"}</definedName>
    <definedName name="wrg" localSheetId="26" hidden="1">{#N/A,#N/A,FALSE,"REK";#N/A,#N/A,FALSE,"rab"}</definedName>
    <definedName name="wrg" localSheetId="24" hidden="1">{#N/A,#N/A,FALSE,"REK";#N/A,#N/A,FALSE,"rab"}</definedName>
    <definedName name="wrg" localSheetId="32" hidden="1">{#N/A,#N/A,FALSE,"REK";#N/A,#N/A,FALSE,"rab"}</definedName>
    <definedName name="wrg" localSheetId="27" hidden="1">{#N/A,#N/A,FALSE,"REK";#N/A,#N/A,FALSE,"rab"}</definedName>
    <definedName name="wrg" localSheetId="28" hidden="1">{#N/A,#N/A,FALSE,"REK";#N/A,#N/A,FALSE,"rab"}</definedName>
    <definedName name="wrg" localSheetId="29" hidden="1">{#N/A,#N/A,FALSE,"REK";#N/A,#N/A,FALSE,"rab"}</definedName>
    <definedName name="wrg" localSheetId="31" hidden="1">{#N/A,#N/A,FALSE,"REK";#N/A,#N/A,FALSE,"rab"}</definedName>
    <definedName name="wrg" localSheetId="30" hidden="1">{#N/A,#N/A,FALSE,"REK";#N/A,#N/A,FALSE,"rab"}</definedName>
    <definedName name="wrg" localSheetId="17" hidden="1">{#N/A,#N/A,FALSE,"REK";#N/A,#N/A,FALSE,"rab"}</definedName>
    <definedName name="wrg" localSheetId="18" hidden="1">{#N/A,#N/A,FALSE,"REK";#N/A,#N/A,FALSE,"rab"}</definedName>
    <definedName name="wrg" hidden="1">{#N/A,#N/A,FALSE,"REK";#N/A,#N/A,FALSE,"rab"}</definedName>
    <definedName name="WRITE" localSheetId="20" hidden="1">{#N/A,#N/A,FALSE,"CCTV"}</definedName>
    <definedName name="WRITE" localSheetId="19" hidden="1">{#N/A,#N/A,FALSE,"CCTV"}</definedName>
    <definedName name="WRITE" localSheetId="26" hidden="1">{#N/A,#N/A,FALSE,"CCTV"}</definedName>
    <definedName name="WRITE" localSheetId="24" hidden="1">{#N/A,#N/A,FALSE,"CCTV"}</definedName>
    <definedName name="WRITE" localSheetId="32" hidden="1">{#N/A,#N/A,FALSE,"CCTV"}</definedName>
    <definedName name="WRITE" localSheetId="27" hidden="1">{#N/A,#N/A,FALSE,"CCTV"}</definedName>
    <definedName name="WRITE" localSheetId="28" hidden="1">{#N/A,#N/A,FALSE,"CCTV"}</definedName>
    <definedName name="WRITE" localSheetId="29" hidden="1">{#N/A,#N/A,FALSE,"CCTV"}</definedName>
    <definedName name="WRITE" localSheetId="31" hidden="1">{#N/A,#N/A,FALSE,"CCTV"}</definedName>
    <definedName name="WRITE" localSheetId="30" hidden="1">{#N/A,#N/A,FALSE,"CCTV"}</definedName>
    <definedName name="WRITE" localSheetId="17" hidden="1">{#N/A,#N/A,FALSE,"CCTV"}</definedName>
    <definedName name="WRITE" localSheetId="18" hidden="1">{#N/A,#N/A,FALSE,"CCTV"}</definedName>
    <definedName name="WRITE" hidden="1">{#N/A,#N/A,FALSE,"CCTV"}</definedName>
    <definedName name="WRN" localSheetId="20" hidden="1">{#N/A,#N/A,FALSE,"CCTV"}</definedName>
    <definedName name="WRN" localSheetId="19" hidden="1">{#N/A,#N/A,FALSE,"CCTV"}</definedName>
    <definedName name="WRN" localSheetId="26" hidden="1">{#N/A,#N/A,FALSE,"CCTV"}</definedName>
    <definedName name="WRN" localSheetId="24" hidden="1">{#N/A,#N/A,FALSE,"CCTV"}</definedName>
    <definedName name="WRN" localSheetId="32" hidden="1">{#N/A,#N/A,FALSE,"CCTV"}</definedName>
    <definedName name="WRN" localSheetId="27" hidden="1">{#N/A,#N/A,FALSE,"CCTV"}</definedName>
    <definedName name="WRN" localSheetId="28" hidden="1">{#N/A,#N/A,FALSE,"CCTV"}</definedName>
    <definedName name="WRN" localSheetId="29" hidden="1">{#N/A,#N/A,FALSE,"CCTV"}</definedName>
    <definedName name="WRN" localSheetId="31" hidden="1">{#N/A,#N/A,FALSE,"CCTV"}</definedName>
    <definedName name="WRN" localSheetId="30" hidden="1">{#N/A,#N/A,FALSE,"CCTV"}</definedName>
    <definedName name="WRN" localSheetId="17" hidden="1">{#N/A,#N/A,FALSE,"CCTV"}</definedName>
    <definedName name="WRN" localSheetId="18" hidden="1">{#N/A,#N/A,FALSE,"CCTV"}</definedName>
    <definedName name="WRN" hidden="1">{#N/A,#N/A,FALSE,"CCTV"}</definedName>
    <definedName name="wrn.2번." localSheetId="20" hidden="1">{#N/A,#N/A,FALSE,"2~8번"}</definedName>
    <definedName name="wrn.2번." localSheetId="19" hidden="1">{#N/A,#N/A,FALSE,"2~8번"}</definedName>
    <definedName name="wrn.2번." localSheetId="26" hidden="1">{#N/A,#N/A,FALSE,"2~8번"}</definedName>
    <definedName name="wrn.2번." localSheetId="24" hidden="1">{#N/A,#N/A,FALSE,"2~8번"}</definedName>
    <definedName name="wrn.2번." localSheetId="32" hidden="1">{#N/A,#N/A,FALSE,"2~8번"}</definedName>
    <definedName name="wrn.2번." localSheetId="27" hidden="1">{#N/A,#N/A,FALSE,"2~8번"}</definedName>
    <definedName name="wrn.2번." localSheetId="28" hidden="1">{#N/A,#N/A,FALSE,"2~8번"}</definedName>
    <definedName name="wrn.2번." localSheetId="29" hidden="1">{#N/A,#N/A,FALSE,"2~8번"}</definedName>
    <definedName name="wrn.2번." localSheetId="31" hidden="1">{#N/A,#N/A,FALSE,"2~8번"}</definedName>
    <definedName name="wrn.2번." localSheetId="30" hidden="1">{#N/A,#N/A,FALSE,"2~8번"}</definedName>
    <definedName name="wrn.2번." localSheetId="17" hidden="1">{#N/A,#N/A,FALSE,"2~8번"}</definedName>
    <definedName name="wrn.2번." localSheetId="18" hidden="1">{#N/A,#N/A,FALSE,"2~8번"}</definedName>
    <definedName name="wrn.2번." hidden="1">{#N/A,#N/A,FALSE,"2~8번"}</definedName>
    <definedName name="wrn.A." localSheetId="20" hidden="1">{#N/A,#N/A,TRUE,"SUM";#N/A,#N/A,TRUE,"EE";#N/A,#N/A,TRUE,"AC";#N/A,#N/A,TRUE,"SN"}</definedName>
    <definedName name="wrn.A." localSheetId="19" hidden="1">{#N/A,#N/A,TRUE,"SUM";#N/A,#N/A,TRUE,"EE";#N/A,#N/A,TRUE,"AC";#N/A,#N/A,TRUE,"SN"}</definedName>
    <definedName name="wrn.A." localSheetId="26" hidden="1">{#N/A,#N/A,TRUE,"SUM";#N/A,#N/A,TRUE,"EE";#N/A,#N/A,TRUE,"AC";#N/A,#N/A,TRUE,"SN"}</definedName>
    <definedName name="wrn.A." localSheetId="24" hidden="1">{#N/A,#N/A,TRUE,"SUM";#N/A,#N/A,TRUE,"EE";#N/A,#N/A,TRUE,"AC";#N/A,#N/A,TRUE,"SN"}</definedName>
    <definedName name="wrn.A." localSheetId="32" hidden="1">{#N/A,#N/A,TRUE,"SUM";#N/A,#N/A,TRUE,"EE";#N/A,#N/A,TRUE,"AC";#N/A,#N/A,TRUE,"SN"}</definedName>
    <definedName name="wrn.A." localSheetId="27" hidden="1">{#N/A,#N/A,TRUE,"SUM";#N/A,#N/A,TRUE,"EE";#N/A,#N/A,TRUE,"AC";#N/A,#N/A,TRUE,"SN"}</definedName>
    <definedName name="wrn.A." localSheetId="28" hidden="1">{#N/A,#N/A,TRUE,"SUM";#N/A,#N/A,TRUE,"EE";#N/A,#N/A,TRUE,"AC";#N/A,#N/A,TRUE,"SN"}</definedName>
    <definedName name="wrn.A." localSheetId="29" hidden="1">{#N/A,#N/A,TRUE,"SUM";#N/A,#N/A,TRUE,"EE";#N/A,#N/A,TRUE,"AC";#N/A,#N/A,TRUE,"SN"}</definedName>
    <definedName name="wrn.A." localSheetId="31" hidden="1">{#N/A,#N/A,TRUE,"SUM";#N/A,#N/A,TRUE,"EE";#N/A,#N/A,TRUE,"AC";#N/A,#N/A,TRUE,"SN"}</definedName>
    <definedName name="wrn.A." localSheetId="30" hidden="1">{#N/A,#N/A,TRUE,"SUM";#N/A,#N/A,TRUE,"EE";#N/A,#N/A,TRUE,"AC";#N/A,#N/A,TRUE,"SN"}</definedName>
    <definedName name="wrn.A." localSheetId="17" hidden="1">{#N/A,#N/A,TRUE,"SUM";#N/A,#N/A,TRUE,"EE";#N/A,#N/A,TRUE,"AC";#N/A,#N/A,TRUE,"SN"}</definedName>
    <definedName name="wrn.A." localSheetId="18" hidden="1">{#N/A,#N/A,TRUE,"SUM";#N/A,#N/A,TRUE,"EE";#N/A,#N/A,TRUE,"AC";#N/A,#N/A,TRUE,"SN"}</definedName>
    <definedName name="wrn.A." hidden="1">{#N/A,#N/A,TRUE,"SUM";#N/A,#N/A,TRUE,"EE";#N/A,#N/A,TRUE,"AC";#N/A,#N/A,TRUE,"SN"}</definedName>
    <definedName name="wrn.AAA." localSheetId="20" hidden="1">{#N/A,#N/A,FALSE,"REK";#N/A,#N/A,FALSE,"Bq-ARS"}</definedName>
    <definedName name="wrn.AAA." localSheetId="19" hidden="1">{#N/A,#N/A,FALSE,"REK";#N/A,#N/A,FALSE,"Bq-ARS"}</definedName>
    <definedName name="wrn.AAA." localSheetId="26" hidden="1">{#N/A,#N/A,FALSE,"REK";#N/A,#N/A,FALSE,"Bq-ARS"}</definedName>
    <definedName name="wrn.AAA." localSheetId="23" hidden="1">{#N/A,#N/A,FALSE,"REK";#N/A,#N/A,FALSE,"Bq-ARS"}</definedName>
    <definedName name="wrn.AAA." localSheetId="24" hidden="1">{#N/A,#N/A,FALSE,"REK";#N/A,#N/A,FALSE,"Bq-ARS"}</definedName>
    <definedName name="wrn.AAA." localSheetId="32" hidden="1">{#N/A,#N/A,FALSE,"REK";#N/A,#N/A,FALSE,"Bq-ARS"}</definedName>
    <definedName name="wrn.AAA." localSheetId="27" hidden="1">{#N/A,#N/A,FALSE,"REK";#N/A,#N/A,FALSE,"Bq-ARS"}</definedName>
    <definedName name="wrn.AAA." localSheetId="28" hidden="1">{#N/A,#N/A,FALSE,"REK";#N/A,#N/A,FALSE,"Bq-ARS"}</definedName>
    <definedName name="wrn.AAA." localSheetId="29" hidden="1">{#N/A,#N/A,FALSE,"REK";#N/A,#N/A,FALSE,"Bq-ARS"}</definedName>
    <definedName name="wrn.AAA." localSheetId="31" hidden="1">{#N/A,#N/A,FALSE,"REK";#N/A,#N/A,FALSE,"Bq-ARS"}</definedName>
    <definedName name="wrn.AAA." localSheetId="30" hidden="1">{#N/A,#N/A,FALSE,"REK";#N/A,#N/A,FALSE,"Bq-ARS"}</definedName>
    <definedName name="wrn.AAA." localSheetId="13" hidden="1">{#N/A,#N/A,FALSE,"REK";#N/A,#N/A,FALSE,"Bq-ARS"}</definedName>
    <definedName name="wrn.AAA." localSheetId="15" hidden="1">{#N/A,#N/A,FALSE,"REK";#N/A,#N/A,FALSE,"Bq-ARS"}</definedName>
    <definedName name="wrn.AAA." localSheetId="17" hidden="1">{#N/A,#N/A,FALSE,"REK";#N/A,#N/A,FALSE,"Bq-ARS"}</definedName>
    <definedName name="wrn.AAA." localSheetId="18" hidden="1">{#N/A,#N/A,FALSE,"REK";#N/A,#N/A,FALSE,"Bq-ARS"}</definedName>
    <definedName name="wrn.AAA." localSheetId="22" hidden="1">{#N/A,#N/A,FALSE,"REK";#N/A,#N/A,FALSE,"Bq-ARS"}</definedName>
    <definedName name="wrn.AAA." localSheetId="40" hidden="1">{#N/A,#N/A,FALSE,"REK";#N/A,#N/A,FALSE,"Bq-ARS"}</definedName>
    <definedName name="wrn.AAA." localSheetId="41" hidden="1">{#N/A,#N/A,FALSE,"REK";#N/A,#N/A,FALSE,"Bq-ARS"}</definedName>
    <definedName name="wrn.AAA." localSheetId="42" hidden="1">{#N/A,#N/A,FALSE,"REK";#N/A,#N/A,FALSE,"Bq-ARS"}</definedName>
    <definedName name="wrn.AAA." localSheetId="35" hidden="1">{#N/A,#N/A,FALSE,"REK";#N/A,#N/A,FALSE,"Bq-ARS"}</definedName>
    <definedName name="wrn.AAA." localSheetId="38" hidden="1">{#N/A,#N/A,FALSE,"REK";#N/A,#N/A,FALSE,"Bq-ARS"}</definedName>
    <definedName name="wrn.AAA." hidden="1">{#N/A,#N/A,FALSE,"REK";#N/A,#N/A,FALSE,"Bq-ARS"}</definedName>
    <definedName name="wrn.AAA.1" localSheetId="20" hidden="1">{#N/A,#N/A,FALSE,"REK";#N/A,#N/A,FALSE,"Bq-ARS"}</definedName>
    <definedName name="wrn.AAA.1" localSheetId="19" hidden="1">{#N/A,#N/A,FALSE,"REK";#N/A,#N/A,FALSE,"Bq-ARS"}</definedName>
    <definedName name="wrn.AAA.1" localSheetId="26" hidden="1">{#N/A,#N/A,FALSE,"REK";#N/A,#N/A,FALSE,"Bq-ARS"}</definedName>
    <definedName name="wrn.AAA.1" localSheetId="24" hidden="1">{#N/A,#N/A,FALSE,"REK";#N/A,#N/A,FALSE,"Bq-ARS"}</definedName>
    <definedName name="wrn.AAA.1" localSheetId="32" hidden="1">{#N/A,#N/A,FALSE,"REK";#N/A,#N/A,FALSE,"Bq-ARS"}</definedName>
    <definedName name="wrn.AAA.1" localSheetId="27" hidden="1">{#N/A,#N/A,FALSE,"REK";#N/A,#N/A,FALSE,"Bq-ARS"}</definedName>
    <definedName name="wrn.AAA.1" localSheetId="28" hidden="1">{#N/A,#N/A,FALSE,"REK";#N/A,#N/A,FALSE,"Bq-ARS"}</definedName>
    <definedName name="wrn.AAA.1" localSheetId="29" hidden="1">{#N/A,#N/A,FALSE,"REK";#N/A,#N/A,FALSE,"Bq-ARS"}</definedName>
    <definedName name="wrn.AAA.1" localSheetId="31" hidden="1">{#N/A,#N/A,FALSE,"REK";#N/A,#N/A,FALSE,"Bq-ARS"}</definedName>
    <definedName name="wrn.AAA.1" localSheetId="30" hidden="1">{#N/A,#N/A,FALSE,"REK";#N/A,#N/A,FALSE,"Bq-ARS"}</definedName>
    <definedName name="wrn.AAA.1" localSheetId="17" hidden="1">{#N/A,#N/A,FALSE,"REK";#N/A,#N/A,FALSE,"Bq-ARS"}</definedName>
    <definedName name="wrn.AAA.1" localSheetId="18" hidden="1">{#N/A,#N/A,FALSE,"REK";#N/A,#N/A,FALSE,"Bq-ARS"}</definedName>
    <definedName name="wrn.AAA.1" hidden="1">{#N/A,#N/A,FALSE,"REK";#N/A,#N/A,FALSE,"Bq-ARS"}</definedName>
    <definedName name="wrn.AAA.2" localSheetId="20" hidden="1">{#N/A,#N/A,FALSE,"REK";#N/A,#N/A,FALSE,"Bq-ARS"}</definedName>
    <definedName name="wrn.AAA.2" localSheetId="19" hidden="1">{#N/A,#N/A,FALSE,"REK";#N/A,#N/A,FALSE,"Bq-ARS"}</definedName>
    <definedName name="wrn.AAA.2" localSheetId="26" hidden="1">{#N/A,#N/A,FALSE,"REK";#N/A,#N/A,FALSE,"Bq-ARS"}</definedName>
    <definedName name="wrn.AAA.2" localSheetId="24" hidden="1">{#N/A,#N/A,FALSE,"REK";#N/A,#N/A,FALSE,"Bq-ARS"}</definedName>
    <definedName name="wrn.AAA.2" localSheetId="32" hidden="1">{#N/A,#N/A,FALSE,"REK";#N/A,#N/A,FALSE,"Bq-ARS"}</definedName>
    <definedName name="wrn.AAA.2" localSheetId="27" hidden="1">{#N/A,#N/A,FALSE,"REK";#N/A,#N/A,FALSE,"Bq-ARS"}</definedName>
    <definedName name="wrn.AAA.2" localSheetId="28" hidden="1">{#N/A,#N/A,FALSE,"REK";#N/A,#N/A,FALSE,"Bq-ARS"}</definedName>
    <definedName name="wrn.AAA.2" localSheetId="29" hidden="1">{#N/A,#N/A,FALSE,"REK";#N/A,#N/A,FALSE,"Bq-ARS"}</definedName>
    <definedName name="wrn.AAA.2" localSheetId="31" hidden="1">{#N/A,#N/A,FALSE,"REK";#N/A,#N/A,FALSE,"Bq-ARS"}</definedName>
    <definedName name="wrn.AAA.2" localSheetId="30" hidden="1">{#N/A,#N/A,FALSE,"REK";#N/A,#N/A,FALSE,"Bq-ARS"}</definedName>
    <definedName name="wrn.AAA.2" localSheetId="17" hidden="1">{#N/A,#N/A,FALSE,"REK";#N/A,#N/A,FALSE,"Bq-ARS"}</definedName>
    <definedName name="wrn.AAA.2" localSheetId="18" hidden="1">{#N/A,#N/A,FALSE,"REK";#N/A,#N/A,FALSE,"Bq-ARS"}</definedName>
    <definedName name="wrn.AAA.2" hidden="1">{#N/A,#N/A,FALSE,"REK";#N/A,#N/A,FALSE,"Bq-ARS"}</definedName>
    <definedName name="wrn.alle." localSheetId="20" hidden="1">{#N/A,#N/A,TRUE,"Vergabe-Regeln";#N/A,#N/A,TRUE,"Baugruppen";#N/A,#N/A,TRUE,"Geräte";#N/A,#N/A,TRUE,"PC-Software";#N/A,#N/A,TRUE,"Software";#N/A,#N/A,TRUE,"SW-Reg";#N/A,#N/A,TRUE,"Dokumentation"}</definedName>
    <definedName name="wrn.alle." localSheetId="19" hidden="1">{#N/A,#N/A,TRUE,"Vergabe-Regeln";#N/A,#N/A,TRUE,"Baugruppen";#N/A,#N/A,TRUE,"Geräte";#N/A,#N/A,TRUE,"PC-Software";#N/A,#N/A,TRUE,"Software";#N/A,#N/A,TRUE,"SW-Reg";#N/A,#N/A,TRUE,"Dokumentation"}</definedName>
    <definedName name="wrn.alle." localSheetId="26" hidden="1">{#N/A,#N/A,TRUE,"Vergabe-Regeln";#N/A,#N/A,TRUE,"Baugruppen";#N/A,#N/A,TRUE,"Geräte";#N/A,#N/A,TRUE,"PC-Software";#N/A,#N/A,TRUE,"Software";#N/A,#N/A,TRUE,"SW-Reg";#N/A,#N/A,TRUE,"Dokumentation"}</definedName>
    <definedName name="wrn.alle." localSheetId="24" hidden="1">{#N/A,#N/A,TRUE,"Vergabe-Regeln";#N/A,#N/A,TRUE,"Baugruppen";#N/A,#N/A,TRUE,"Geräte";#N/A,#N/A,TRUE,"PC-Software";#N/A,#N/A,TRUE,"Software";#N/A,#N/A,TRUE,"SW-Reg";#N/A,#N/A,TRUE,"Dokumentation"}</definedName>
    <definedName name="wrn.alle." localSheetId="32" hidden="1">{#N/A,#N/A,TRUE,"Vergabe-Regeln";#N/A,#N/A,TRUE,"Baugruppen";#N/A,#N/A,TRUE,"Geräte";#N/A,#N/A,TRUE,"PC-Software";#N/A,#N/A,TRUE,"Software";#N/A,#N/A,TRUE,"SW-Reg";#N/A,#N/A,TRUE,"Dokumentation"}</definedName>
    <definedName name="wrn.alle." localSheetId="27" hidden="1">{#N/A,#N/A,TRUE,"Vergabe-Regeln";#N/A,#N/A,TRUE,"Baugruppen";#N/A,#N/A,TRUE,"Geräte";#N/A,#N/A,TRUE,"PC-Software";#N/A,#N/A,TRUE,"Software";#N/A,#N/A,TRUE,"SW-Reg";#N/A,#N/A,TRUE,"Dokumentation"}</definedName>
    <definedName name="wrn.alle." localSheetId="28" hidden="1">{#N/A,#N/A,TRUE,"Vergabe-Regeln";#N/A,#N/A,TRUE,"Baugruppen";#N/A,#N/A,TRUE,"Geräte";#N/A,#N/A,TRUE,"PC-Software";#N/A,#N/A,TRUE,"Software";#N/A,#N/A,TRUE,"SW-Reg";#N/A,#N/A,TRUE,"Dokumentation"}</definedName>
    <definedName name="wrn.alle." localSheetId="29" hidden="1">{#N/A,#N/A,TRUE,"Vergabe-Regeln";#N/A,#N/A,TRUE,"Baugruppen";#N/A,#N/A,TRUE,"Geräte";#N/A,#N/A,TRUE,"PC-Software";#N/A,#N/A,TRUE,"Software";#N/A,#N/A,TRUE,"SW-Reg";#N/A,#N/A,TRUE,"Dokumentation"}</definedName>
    <definedName name="wrn.alle." localSheetId="31" hidden="1">{#N/A,#N/A,TRUE,"Vergabe-Regeln";#N/A,#N/A,TRUE,"Baugruppen";#N/A,#N/A,TRUE,"Geräte";#N/A,#N/A,TRUE,"PC-Software";#N/A,#N/A,TRUE,"Software";#N/A,#N/A,TRUE,"SW-Reg";#N/A,#N/A,TRUE,"Dokumentation"}</definedName>
    <definedName name="wrn.alle." localSheetId="30" hidden="1">{#N/A,#N/A,TRUE,"Vergabe-Regeln";#N/A,#N/A,TRUE,"Baugruppen";#N/A,#N/A,TRUE,"Geräte";#N/A,#N/A,TRUE,"PC-Software";#N/A,#N/A,TRUE,"Software";#N/A,#N/A,TRUE,"SW-Reg";#N/A,#N/A,TRUE,"Dokumentation"}</definedName>
    <definedName name="wrn.alle." localSheetId="17" hidden="1">{#N/A,#N/A,TRUE,"Vergabe-Regeln";#N/A,#N/A,TRUE,"Baugruppen";#N/A,#N/A,TRUE,"Geräte";#N/A,#N/A,TRUE,"PC-Software";#N/A,#N/A,TRUE,"Software";#N/A,#N/A,TRUE,"SW-Reg";#N/A,#N/A,TRUE,"Dokumentation"}</definedName>
    <definedName name="wrn.alle." localSheetId="18" hidden="1">{#N/A,#N/A,TRUE,"Vergabe-Regeln";#N/A,#N/A,TRUE,"Baugruppen";#N/A,#N/A,TRUE,"Geräte";#N/A,#N/A,TRUE,"PC-Software";#N/A,#N/A,TRUE,"Software";#N/A,#N/A,TRUE,"SW-Reg";#N/A,#N/A,TRUE,"Dokumentation"}</definedName>
    <definedName name="wrn.alle." hidden="1">{#N/A,#N/A,TRUE,"Vergabe-Regeln";#N/A,#N/A,TRUE,"Baugruppen";#N/A,#N/A,TRUE,"Geräte";#N/A,#N/A,TRUE,"PC-Software";#N/A,#N/A,TRUE,"Software";#N/A,#N/A,TRUE,"SW-Reg";#N/A,#N/A,TRUE,"Dokumentation"}</definedName>
    <definedName name="wrn.Alles." localSheetId="20" hidden="1">{#N/A,#N/A,FALSE,"Deckblatt";#N/A,#N/A,FALSE,"KABEL";#N/A,#N/A,FALSE,"MATERIAL";#N/A,#N/A,FALSE,"DBHK"}</definedName>
    <definedName name="wrn.Alles." localSheetId="19" hidden="1">{#N/A,#N/A,FALSE,"Deckblatt";#N/A,#N/A,FALSE,"KABEL";#N/A,#N/A,FALSE,"MATERIAL";#N/A,#N/A,FALSE,"DBHK"}</definedName>
    <definedName name="wrn.Alles." localSheetId="26" hidden="1">{#N/A,#N/A,FALSE,"Deckblatt";#N/A,#N/A,FALSE,"KABEL";#N/A,#N/A,FALSE,"MATERIAL";#N/A,#N/A,FALSE,"DBHK"}</definedName>
    <definedName name="wrn.Alles." localSheetId="24" hidden="1">{#N/A,#N/A,FALSE,"Deckblatt";#N/A,#N/A,FALSE,"KABEL";#N/A,#N/A,FALSE,"MATERIAL";#N/A,#N/A,FALSE,"DBHK"}</definedName>
    <definedName name="wrn.Alles." localSheetId="32" hidden="1">{#N/A,#N/A,FALSE,"Deckblatt";#N/A,#N/A,FALSE,"KABEL";#N/A,#N/A,FALSE,"MATERIAL";#N/A,#N/A,FALSE,"DBHK"}</definedName>
    <definedName name="wrn.Alles." localSheetId="27" hidden="1">{#N/A,#N/A,FALSE,"Deckblatt";#N/A,#N/A,FALSE,"KABEL";#N/A,#N/A,FALSE,"MATERIAL";#N/A,#N/A,FALSE,"DBHK"}</definedName>
    <definedName name="wrn.Alles." localSheetId="28" hidden="1">{#N/A,#N/A,FALSE,"Deckblatt";#N/A,#N/A,FALSE,"KABEL";#N/A,#N/A,FALSE,"MATERIAL";#N/A,#N/A,FALSE,"DBHK"}</definedName>
    <definedName name="wrn.Alles." localSheetId="29" hidden="1">{#N/A,#N/A,FALSE,"Deckblatt";#N/A,#N/A,FALSE,"KABEL";#N/A,#N/A,FALSE,"MATERIAL";#N/A,#N/A,FALSE,"DBHK"}</definedName>
    <definedName name="wrn.Alles." localSheetId="31" hidden="1">{#N/A,#N/A,FALSE,"Deckblatt";#N/A,#N/A,FALSE,"KABEL";#N/A,#N/A,FALSE,"MATERIAL";#N/A,#N/A,FALSE,"DBHK"}</definedName>
    <definedName name="wrn.Alles." localSheetId="30" hidden="1">{#N/A,#N/A,FALSE,"Deckblatt";#N/A,#N/A,FALSE,"KABEL";#N/A,#N/A,FALSE,"MATERIAL";#N/A,#N/A,FALSE,"DBHK"}</definedName>
    <definedName name="wrn.Alles." localSheetId="17" hidden="1">{#N/A,#N/A,FALSE,"Deckblatt";#N/A,#N/A,FALSE,"KABEL";#N/A,#N/A,FALSE,"MATERIAL";#N/A,#N/A,FALSE,"DBHK"}</definedName>
    <definedName name="wrn.Alles." localSheetId="18" hidden="1">{#N/A,#N/A,FALSE,"Deckblatt";#N/A,#N/A,FALSE,"KABEL";#N/A,#N/A,FALSE,"MATERIAL";#N/A,#N/A,FALSE,"DBHK"}</definedName>
    <definedName name="wrn.Alles." hidden="1">{#N/A,#N/A,FALSE,"Deckblatt";#N/A,#N/A,FALSE,"KABEL";#N/A,#N/A,FALSE,"MATERIAL";#N/A,#N/A,FALSE,"DBHK"}</definedName>
    <definedName name="wrn.apt1." localSheetId="20" hidden="1">{#N/A,#N/A,FALSE,"Summary"}</definedName>
    <definedName name="wrn.apt1." localSheetId="19" hidden="1">{#N/A,#N/A,FALSE,"Summary"}</definedName>
    <definedName name="wrn.apt1." localSheetId="26" hidden="1">{#N/A,#N/A,FALSE,"Summary"}</definedName>
    <definedName name="wrn.apt1." localSheetId="24" hidden="1">{#N/A,#N/A,FALSE,"Summary"}</definedName>
    <definedName name="wrn.apt1." localSheetId="32" hidden="1">{#N/A,#N/A,FALSE,"Summary"}</definedName>
    <definedName name="wrn.apt1." localSheetId="27" hidden="1">{#N/A,#N/A,FALSE,"Summary"}</definedName>
    <definedName name="wrn.apt1." localSheetId="28" hidden="1">{#N/A,#N/A,FALSE,"Summary"}</definedName>
    <definedName name="wrn.apt1." localSheetId="29" hidden="1">{#N/A,#N/A,FALSE,"Summary"}</definedName>
    <definedName name="wrn.apt1." localSheetId="31" hidden="1">{#N/A,#N/A,FALSE,"Summary"}</definedName>
    <definedName name="wrn.apt1." localSheetId="30" hidden="1">{#N/A,#N/A,FALSE,"Summary"}</definedName>
    <definedName name="wrn.apt1." localSheetId="17" hidden="1">{#N/A,#N/A,FALSE,"Summary"}</definedName>
    <definedName name="wrn.apt1." localSheetId="18" hidden="1">{#N/A,#N/A,FALSE,"Summary"}</definedName>
    <definedName name="wrn.apt1." hidden="1">{#N/A,#N/A,FALSE,"Summary"}</definedName>
    <definedName name="wrn.apt2" localSheetId="20" hidden="1">{#N/A,#N/A,FALSE,"Summary"}</definedName>
    <definedName name="wrn.apt2" localSheetId="19" hidden="1">{#N/A,#N/A,FALSE,"Summary"}</definedName>
    <definedName name="wrn.apt2" localSheetId="26" hidden="1">{#N/A,#N/A,FALSE,"Summary"}</definedName>
    <definedName name="wrn.apt2" localSheetId="24" hidden="1">{#N/A,#N/A,FALSE,"Summary"}</definedName>
    <definedName name="wrn.apt2" localSheetId="32" hidden="1">{#N/A,#N/A,FALSE,"Summary"}</definedName>
    <definedName name="wrn.apt2" localSheetId="27" hidden="1">{#N/A,#N/A,FALSE,"Summary"}</definedName>
    <definedName name="wrn.apt2" localSheetId="28" hidden="1">{#N/A,#N/A,FALSE,"Summary"}</definedName>
    <definedName name="wrn.apt2" localSheetId="29" hidden="1">{#N/A,#N/A,FALSE,"Summary"}</definedName>
    <definedName name="wrn.apt2" localSheetId="31" hidden="1">{#N/A,#N/A,FALSE,"Summary"}</definedName>
    <definedName name="wrn.apt2" localSheetId="30" hidden="1">{#N/A,#N/A,FALSE,"Summary"}</definedName>
    <definedName name="wrn.apt2" localSheetId="17" hidden="1">{#N/A,#N/A,FALSE,"Summary"}</definedName>
    <definedName name="wrn.apt2" localSheetId="18" hidden="1">{#N/A,#N/A,FALSE,"Summary"}</definedName>
    <definedName name="wrn.apt2" hidden="1">{#N/A,#N/A,FALSE,"Summary"}</definedName>
    <definedName name="wrn.BIAYA._.UMUM._.LAP." localSheetId="20" hidden="1">{#N/A,#N/A,FALSE,"rekap (C)";#N/A,#N/A,FALSE,"C.100";#N/A,#N/A,FALSE,"C.200";#N/A,#N/A,FALSE,"C.300";#N/A,#N/A,FALSE,"C.400";#N/A,#N/A,FALSE,"C.500";#N/A,#N/A,FALSE,"C.600";#N/A,#N/A,FALSE,"C.700";#N/A,#N/A,FALSE,"C.800";#N/A,#N/A,FALSE,"C.900"}</definedName>
    <definedName name="wrn.BIAYA._.UMUM._.LAP." localSheetId="19" hidden="1">{#N/A,#N/A,FALSE,"rekap (C)";#N/A,#N/A,FALSE,"C.100";#N/A,#N/A,FALSE,"C.200";#N/A,#N/A,FALSE,"C.300";#N/A,#N/A,FALSE,"C.400";#N/A,#N/A,FALSE,"C.500";#N/A,#N/A,FALSE,"C.600";#N/A,#N/A,FALSE,"C.700";#N/A,#N/A,FALSE,"C.800";#N/A,#N/A,FALSE,"C.900"}</definedName>
    <definedName name="wrn.BIAYA._.UMUM._.LAP." localSheetId="26" hidden="1">{#N/A,#N/A,FALSE,"rekap (C)";#N/A,#N/A,FALSE,"C.100";#N/A,#N/A,FALSE,"C.200";#N/A,#N/A,FALSE,"C.300";#N/A,#N/A,FALSE,"C.400";#N/A,#N/A,FALSE,"C.500";#N/A,#N/A,FALSE,"C.600";#N/A,#N/A,FALSE,"C.700";#N/A,#N/A,FALSE,"C.800";#N/A,#N/A,FALSE,"C.900"}</definedName>
    <definedName name="wrn.BIAYA._.UMUM._.LAP." localSheetId="23" hidden="1">{#N/A,#N/A,FALSE,"rekap (C)";#N/A,#N/A,FALSE,"C.100";#N/A,#N/A,FALSE,"C.200";#N/A,#N/A,FALSE,"C.300";#N/A,#N/A,FALSE,"C.400";#N/A,#N/A,FALSE,"C.500";#N/A,#N/A,FALSE,"C.600";#N/A,#N/A,FALSE,"C.700";#N/A,#N/A,FALSE,"C.800";#N/A,#N/A,FALSE,"C.900"}</definedName>
    <definedName name="wrn.BIAYA._.UMUM._.LAP." localSheetId="24" hidden="1">{#N/A,#N/A,FALSE,"rekap (C)";#N/A,#N/A,FALSE,"C.100";#N/A,#N/A,FALSE,"C.200";#N/A,#N/A,FALSE,"C.300";#N/A,#N/A,FALSE,"C.400";#N/A,#N/A,FALSE,"C.500";#N/A,#N/A,FALSE,"C.600";#N/A,#N/A,FALSE,"C.700";#N/A,#N/A,FALSE,"C.800";#N/A,#N/A,FALSE,"C.900"}</definedName>
    <definedName name="wrn.BIAYA._.UMUM._.LAP." localSheetId="32" hidden="1">{#N/A,#N/A,FALSE,"rekap (C)";#N/A,#N/A,FALSE,"C.100";#N/A,#N/A,FALSE,"C.200";#N/A,#N/A,FALSE,"C.300";#N/A,#N/A,FALSE,"C.400";#N/A,#N/A,FALSE,"C.500";#N/A,#N/A,FALSE,"C.600";#N/A,#N/A,FALSE,"C.700";#N/A,#N/A,FALSE,"C.800";#N/A,#N/A,FALSE,"C.900"}</definedName>
    <definedName name="wrn.BIAYA._.UMUM._.LAP." localSheetId="27" hidden="1">{#N/A,#N/A,FALSE,"rekap (C)";#N/A,#N/A,FALSE,"C.100";#N/A,#N/A,FALSE,"C.200";#N/A,#N/A,FALSE,"C.300";#N/A,#N/A,FALSE,"C.400";#N/A,#N/A,FALSE,"C.500";#N/A,#N/A,FALSE,"C.600";#N/A,#N/A,FALSE,"C.700";#N/A,#N/A,FALSE,"C.800";#N/A,#N/A,FALSE,"C.900"}</definedName>
    <definedName name="wrn.BIAYA._.UMUM._.LAP." localSheetId="28" hidden="1">{#N/A,#N/A,FALSE,"rekap (C)";#N/A,#N/A,FALSE,"C.100";#N/A,#N/A,FALSE,"C.200";#N/A,#N/A,FALSE,"C.300";#N/A,#N/A,FALSE,"C.400";#N/A,#N/A,FALSE,"C.500";#N/A,#N/A,FALSE,"C.600";#N/A,#N/A,FALSE,"C.700";#N/A,#N/A,FALSE,"C.800";#N/A,#N/A,FALSE,"C.900"}</definedName>
    <definedName name="wrn.BIAYA._.UMUM._.LAP." localSheetId="29" hidden="1">{#N/A,#N/A,FALSE,"rekap (C)";#N/A,#N/A,FALSE,"C.100";#N/A,#N/A,FALSE,"C.200";#N/A,#N/A,FALSE,"C.300";#N/A,#N/A,FALSE,"C.400";#N/A,#N/A,FALSE,"C.500";#N/A,#N/A,FALSE,"C.600";#N/A,#N/A,FALSE,"C.700";#N/A,#N/A,FALSE,"C.800";#N/A,#N/A,FALSE,"C.900"}</definedName>
    <definedName name="wrn.BIAYA._.UMUM._.LAP." localSheetId="31" hidden="1">{#N/A,#N/A,FALSE,"rekap (C)";#N/A,#N/A,FALSE,"C.100";#N/A,#N/A,FALSE,"C.200";#N/A,#N/A,FALSE,"C.300";#N/A,#N/A,FALSE,"C.400";#N/A,#N/A,FALSE,"C.500";#N/A,#N/A,FALSE,"C.600";#N/A,#N/A,FALSE,"C.700";#N/A,#N/A,FALSE,"C.800";#N/A,#N/A,FALSE,"C.900"}</definedName>
    <definedName name="wrn.BIAYA._.UMUM._.LAP." localSheetId="30" hidden="1">{#N/A,#N/A,FALSE,"rekap (C)";#N/A,#N/A,FALSE,"C.100";#N/A,#N/A,FALSE,"C.200";#N/A,#N/A,FALSE,"C.300";#N/A,#N/A,FALSE,"C.400";#N/A,#N/A,FALSE,"C.500";#N/A,#N/A,FALSE,"C.600";#N/A,#N/A,FALSE,"C.700";#N/A,#N/A,FALSE,"C.800";#N/A,#N/A,FALSE,"C.900"}</definedName>
    <definedName name="wrn.BIAYA._.UMUM._.LAP." localSheetId="13" hidden="1">{#N/A,#N/A,FALSE,"rekap (C)";#N/A,#N/A,FALSE,"C.100";#N/A,#N/A,FALSE,"C.200";#N/A,#N/A,FALSE,"C.300";#N/A,#N/A,FALSE,"C.400";#N/A,#N/A,FALSE,"C.500";#N/A,#N/A,FALSE,"C.600";#N/A,#N/A,FALSE,"C.700";#N/A,#N/A,FALSE,"C.800";#N/A,#N/A,FALSE,"C.900"}</definedName>
    <definedName name="wrn.BIAYA._.UMUM._.LAP." localSheetId="17" hidden="1">{#N/A,#N/A,FALSE,"rekap (C)";#N/A,#N/A,FALSE,"C.100";#N/A,#N/A,FALSE,"C.200";#N/A,#N/A,FALSE,"C.300";#N/A,#N/A,FALSE,"C.400";#N/A,#N/A,FALSE,"C.500";#N/A,#N/A,FALSE,"C.600";#N/A,#N/A,FALSE,"C.700";#N/A,#N/A,FALSE,"C.800";#N/A,#N/A,FALSE,"C.900"}</definedName>
    <definedName name="wrn.BIAYA._.UMUM._.LAP." localSheetId="18" hidden="1">{#N/A,#N/A,FALSE,"rekap (C)";#N/A,#N/A,FALSE,"C.100";#N/A,#N/A,FALSE,"C.200";#N/A,#N/A,FALSE,"C.300";#N/A,#N/A,FALSE,"C.400";#N/A,#N/A,FALSE,"C.500";#N/A,#N/A,FALSE,"C.600";#N/A,#N/A,FALSE,"C.700";#N/A,#N/A,FALSE,"C.800";#N/A,#N/A,FALSE,"C.900"}</definedName>
    <definedName name="wrn.BIAYA._.UMUM._.LAP." localSheetId="22" hidden="1">{#N/A,#N/A,FALSE,"rekap (C)";#N/A,#N/A,FALSE,"C.100";#N/A,#N/A,FALSE,"C.200";#N/A,#N/A,FALSE,"C.300";#N/A,#N/A,FALSE,"C.400";#N/A,#N/A,FALSE,"C.500";#N/A,#N/A,FALSE,"C.600";#N/A,#N/A,FALSE,"C.700";#N/A,#N/A,FALSE,"C.800";#N/A,#N/A,FALSE,"C.900"}</definedName>
    <definedName name="wrn.BIAYA._.UMUM._.LAP." localSheetId="40" hidden="1">{#N/A,#N/A,FALSE,"rekap (C)";#N/A,#N/A,FALSE,"C.100";#N/A,#N/A,FALSE,"C.200";#N/A,#N/A,FALSE,"C.300";#N/A,#N/A,FALSE,"C.400";#N/A,#N/A,FALSE,"C.500";#N/A,#N/A,FALSE,"C.600";#N/A,#N/A,FALSE,"C.700";#N/A,#N/A,FALSE,"C.800";#N/A,#N/A,FALSE,"C.900"}</definedName>
    <definedName name="wrn.BIAYA._.UMUM._.LAP." localSheetId="41" hidden="1">{#N/A,#N/A,FALSE,"rekap (C)";#N/A,#N/A,FALSE,"C.100";#N/A,#N/A,FALSE,"C.200";#N/A,#N/A,FALSE,"C.300";#N/A,#N/A,FALSE,"C.400";#N/A,#N/A,FALSE,"C.500";#N/A,#N/A,FALSE,"C.600";#N/A,#N/A,FALSE,"C.700";#N/A,#N/A,FALSE,"C.800";#N/A,#N/A,FALSE,"C.900"}</definedName>
    <definedName name="wrn.BIAYA._.UMUM._.LAP." localSheetId="42" hidden="1">{#N/A,#N/A,FALSE,"rekap (C)";#N/A,#N/A,FALSE,"C.100";#N/A,#N/A,FALSE,"C.200";#N/A,#N/A,FALSE,"C.300";#N/A,#N/A,FALSE,"C.400";#N/A,#N/A,FALSE,"C.500";#N/A,#N/A,FALSE,"C.600";#N/A,#N/A,FALSE,"C.700";#N/A,#N/A,FALSE,"C.800";#N/A,#N/A,FALSE,"C.900"}</definedName>
    <definedName name="wrn.BIAYA._.UMUM._.LAP." localSheetId="35" hidden="1">{#N/A,#N/A,FALSE,"rekap (C)";#N/A,#N/A,FALSE,"C.100";#N/A,#N/A,FALSE,"C.200";#N/A,#N/A,FALSE,"C.300";#N/A,#N/A,FALSE,"C.400";#N/A,#N/A,FALSE,"C.500";#N/A,#N/A,FALSE,"C.600";#N/A,#N/A,FALSE,"C.700";#N/A,#N/A,FALSE,"C.800";#N/A,#N/A,FALSE,"C.900"}</definedName>
    <definedName name="wrn.BIAYA._.UMUM._.LAP." localSheetId="38" hidden="1">{#N/A,#N/A,FALSE,"rekap (C)";#N/A,#N/A,FALSE,"C.100";#N/A,#N/A,FALSE,"C.200";#N/A,#N/A,FALSE,"C.300";#N/A,#N/A,FALSE,"C.400";#N/A,#N/A,FALSE,"C.500";#N/A,#N/A,FALSE,"C.600";#N/A,#N/A,FALSE,"C.700";#N/A,#N/A,FALSE,"C.800";#N/A,#N/A,FALSE,"C.900"}</definedName>
    <definedName name="wrn.BIAYA._.UMUM._.LAP." hidden="1">{#N/A,#N/A,FALSE,"rekap (C)";#N/A,#N/A,FALSE,"C.100";#N/A,#N/A,FALSE,"C.200";#N/A,#N/A,FALSE,"C.300";#N/A,#N/A,FALSE,"C.400";#N/A,#N/A,FALSE,"C.500";#N/A,#N/A,FALSE,"C.600";#N/A,#N/A,FALSE,"C.700";#N/A,#N/A,FALSE,"C.800";#N/A,#N/A,FALSE,"C.900"}</definedName>
    <definedName name="wrn.BILLS._.OF._.QUANTITY." localSheetId="20" hidden="1">{#N/A,#N/A,TRUE,"Str.";#N/A,#N/A,TRUE,"Steel &amp; Roof";#N/A,#N/A,TRUE,"Arc.";#N/A,#N/A,TRUE,"Preliminary";#N/A,#N/A,TRUE,"Sum_Prelim"}</definedName>
    <definedName name="wrn.BILLS._.OF._.QUANTITY." localSheetId="19" hidden="1">{#N/A,#N/A,TRUE,"Str.";#N/A,#N/A,TRUE,"Steel &amp; Roof";#N/A,#N/A,TRUE,"Arc.";#N/A,#N/A,TRUE,"Preliminary";#N/A,#N/A,TRUE,"Sum_Prelim"}</definedName>
    <definedName name="wrn.BILLS._.OF._.QUANTITY." localSheetId="26" hidden="1">{#N/A,#N/A,TRUE,"Str.";#N/A,#N/A,TRUE,"Steel &amp; Roof";#N/A,#N/A,TRUE,"Arc.";#N/A,#N/A,TRUE,"Preliminary";#N/A,#N/A,TRUE,"Sum_Prelim"}</definedName>
    <definedName name="wrn.BILLS._.OF._.QUANTITY." localSheetId="24" hidden="1">{#N/A,#N/A,TRUE,"Str.";#N/A,#N/A,TRUE,"Steel &amp; Roof";#N/A,#N/A,TRUE,"Arc.";#N/A,#N/A,TRUE,"Preliminary";#N/A,#N/A,TRUE,"Sum_Prelim"}</definedName>
    <definedName name="wrn.BILLS._.OF._.QUANTITY." localSheetId="32" hidden="1">{#N/A,#N/A,TRUE,"Str.";#N/A,#N/A,TRUE,"Steel &amp; Roof";#N/A,#N/A,TRUE,"Arc.";#N/A,#N/A,TRUE,"Preliminary";#N/A,#N/A,TRUE,"Sum_Prelim"}</definedName>
    <definedName name="wrn.BILLS._.OF._.QUANTITY." localSheetId="27" hidden="1">{#N/A,#N/A,TRUE,"Str.";#N/A,#N/A,TRUE,"Steel &amp; Roof";#N/A,#N/A,TRUE,"Arc.";#N/A,#N/A,TRUE,"Preliminary";#N/A,#N/A,TRUE,"Sum_Prelim"}</definedName>
    <definedName name="wrn.BILLS._.OF._.QUANTITY." localSheetId="28" hidden="1">{#N/A,#N/A,TRUE,"Str.";#N/A,#N/A,TRUE,"Steel &amp; Roof";#N/A,#N/A,TRUE,"Arc.";#N/A,#N/A,TRUE,"Preliminary";#N/A,#N/A,TRUE,"Sum_Prelim"}</definedName>
    <definedName name="wrn.BILLS._.OF._.QUANTITY." localSheetId="29" hidden="1">{#N/A,#N/A,TRUE,"Str.";#N/A,#N/A,TRUE,"Steel &amp; Roof";#N/A,#N/A,TRUE,"Arc.";#N/A,#N/A,TRUE,"Preliminary";#N/A,#N/A,TRUE,"Sum_Prelim"}</definedName>
    <definedName name="wrn.BILLS._.OF._.QUANTITY." localSheetId="31" hidden="1">{#N/A,#N/A,TRUE,"Str.";#N/A,#N/A,TRUE,"Steel &amp; Roof";#N/A,#N/A,TRUE,"Arc.";#N/A,#N/A,TRUE,"Preliminary";#N/A,#N/A,TRUE,"Sum_Prelim"}</definedName>
    <definedName name="wrn.BILLS._.OF._.QUANTITY." localSheetId="30" hidden="1">{#N/A,#N/A,TRUE,"Str.";#N/A,#N/A,TRUE,"Steel &amp; Roof";#N/A,#N/A,TRUE,"Arc.";#N/A,#N/A,TRUE,"Preliminary";#N/A,#N/A,TRUE,"Sum_Prelim"}</definedName>
    <definedName name="wrn.BILLS._.OF._.QUANTITY." localSheetId="17" hidden="1">{#N/A,#N/A,TRUE,"Str.";#N/A,#N/A,TRUE,"Steel &amp; Roof";#N/A,#N/A,TRUE,"Arc.";#N/A,#N/A,TRUE,"Preliminary";#N/A,#N/A,TRUE,"Sum_Prelim"}</definedName>
    <definedName name="wrn.BILLS._.OF._.QUANTITY." localSheetId="18" hidden="1">{#N/A,#N/A,TRUE,"Str.";#N/A,#N/A,TRUE,"Steel &amp; Roof";#N/A,#N/A,TRUE,"Arc.";#N/A,#N/A,TRUE,"Preliminary";#N/A,#N/A,TRUE,"Sum_Prelim"}</definedName>
    <definedName name="wrn.BILLS._.OF._.QUANTITY." hidden="1">{#N/A,#N/A,TRUE,"Str.";#N/A,#N/A,TRUE,"Steel &amp; Roof";#N/A,#N/A,TRUE,"Arc.";#N/A,#N/A,TRUE,"Preliminary";#N/A,#N/A,TRUE,"Sum_Prelim"}</definedName>
    <definedName name="wrn.BM." localSheetId="20" hidden="1">{#N/A,#N/A,FALSE,"CCTV"}</definedName>
    <definedName name="wrn.BM." localSheetId="19" hidden="1">{#N/A,#N/A,FALSE,"CCTV"}</definedName>
    <definedName name="wrn.BM." localSheetId="26" hidden="1">{#N/A,#N/A,FALSE,"CCTV"}</definedName>
    <definedName name="wrn.BM." localSheetId="24" hidden="1">{#N/A,#N/A,FALSE,"CCTV"}</definedName>
    <definedName name="wrn.BM." localSheetId="32" hidden="1">{#N/A,#N/A,FALSE,"CCTV"}</definedName>
    <definedName name="wrn.BM." localSheetId="27" hidden="1">{#N/A,#N/A,FALSE,"CCTV"}</definedName>
    <definedName name="wrn.BM." localSheetId="28" hidden="1">{#N/A,#N/A,FALSE,"CCTV"}</definedName>
    <definedName name="wrn.BM." localSheetId="29" hidden="1">{#N/A,#N/A,FALSE,"CCTV"}</definedName>
    <definedName name="wrn.BM." localSheetId="31" hidden="1">{#N/A,#N/A,FALSE,"CCTV"}</definedName>
    <definedName name="wrn.BM." localSheetId="30" hidden="1">{#N/A,#N/A,FALSE,"CCTV"}</definedName>
    <definedName name="wrn.BM." localSheetId="17" hidden="1">{#N/A,#N/A,FALSE,"CCTV"}</definedName>
    <definedName name="wrn.BM." localSheetId="18" hidden="1">{#N/A,#N/A,FALSE,"CCTV"}</definedName>
    <definedName name="wrn.BM." hidden="1">{#N/A,#N/A,FALSE,"CCTV"}</definedName>
    <definedName name="wrn.CapersPlotter." localSheetId="20" hidden="1">{#N/A,#N/A,FALSE,"DI 2 YEAR MASTER SCHEDULE"}</definedName>
    <definedName name="wrn.CapersPlotter." localSheetId="19" hidden="1">{#N/A,#N/A,FALSE,"DI 2 YEAR MASTER SCHEDULE"}</definedName>
    <definedName name="wrn.CapersPlotter." localSheetId="26" hidden="1">{#N/A,#N/A,FALSE,"DI 2 YEAR MASTER SCHEDULE"}</definedName>
    <definedName name="wrn.CapersPlotter." localSheetId="24" hidden="1">{#N/A,#N/A,FALSE,"DI 2 YEAR MASTER SCHEDULE"}</definedName>
    <definedName name="wrn.CapersPlotter." localSheetId="32" hidden="1">{#N/A,#N/A,FALSE,"DI 2 YEAR MASTER SCHEDULE"}</definedName>
    <definedName name="wrn.CapersPlotter." localSheetId="27" hidden="1">{#N/A,#N/A,FALSE,"DI 2 YEAR MASTER SCHEDULE"}</definedName>
    <definedName name="wrn.CapersPlotter." localSheetId="28" hidden="1">{#N/A,#N/A,FALSE,"DI 2 YEAR MASTER SCHEDULE"}</definedName>
    <definedName name="wrn.CapersPlotter." localSheetId="29" hidden="1">{#N/A,#N/A,FALSE,"DI 2 YEAR MASTER SCHEDULE"}</definedName>
    <definedName name="wrn.CapersPlotter." localSheetId="31" hidden="1">{#N/A,#N/A,FALSE,"DI 2 YEAR MASTER SCHEDULE"}</definedName>
    <definedName name="wrn.CapersPlotter." localSheetId="30" hidden="1">{#N/A,#N/A,FALSE,"DI 2 YEAR MASTER SCHEDULE"}</definedName>
    <definedName name="wrn.CapersPlotter." localSheetId="17" hidden="1">{#N/A,#N/A,FALSE,"DI 2 YEAR MASTER SCHEDULE"}</definedName>
    <definedName name="wrn.CapersPlotter." localSheetId="18" hidden="1">{#N/A,#N/A,FALSE,"DI 2 YEAR MASTER SCHEDULE"}</definedName>
    <definedName name="wrn.CapersPlotter." hidden="1">{#N/A,#N/A,FALSE,"DI 2 YEAR MASTER SCHEDULE"}</definedName>
    <definedName name="wrn.CBA_RO." localSheetId="20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RO." localSheetId="19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RO." localSheetId="26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RO." localSheetId="24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RO." localSheetId="32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RO." localSheetId="27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RO." localSheetId="28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RO." localSheetId="29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RO." localSheetId="31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RO." localSheetId="30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RO." localSheetId="17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RO." localSheetId="18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RO.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ST." localSheetId="20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_ST." localSheetId="19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_ST." localSheetId="26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_ST." localSheetId="24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_ST." localSheetId="32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_ST." localSheetId="27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_ST." localSheetId="28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_ST." localSheetId="29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_ST." localSheetId="31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_ST." localSheetId="30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_ST." localSheetId="17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_ST." localSheetId="18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_ST.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." localSheetId="2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." localSheetId="1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." localSheetId="2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." localSheetId="2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." localSheetId="3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." localSheetId="2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." localSheetId="2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." localSheetId="2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." localSheetId="3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." localSheetId="3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." localSheetId="1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.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.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hi._.tiÆt." localSheetId="20" hidden="1">{#N/A,#N/A,FALSE,"Chi tiÆt"}</definedName>
    <definedName name="wrn.chi._.tiÆt." localSheetId="19" hidden="1">{#N/A,#N/A,FALSE,"Chi tiÆt"}</definedName>
    <definedName name="wrn.chi._.tiÆt." localSheetId="26" hidden="1">{#N/A,#N/A,FALSE,"Chi tiÆt"}</definedName>
    <definedName name="wrn.chi._.tiÆt." localSheetId="23" hidden="1">{#N/A,#N/A,FALSE,"Chi tiÆt"}</definedName>
    <definedName name="wrn.chi._.tiÆt." localSheetId="24" hidden="1">{#N/A,#N/A,FALSE,"Chi tiÆt"}</definedName>
    <definedName name="wrn.chi._.tiÆt." localSheetId="32" hidden="1">{#N/A,#N/A,FALSE,"Chi tiÆt"}</definedName>
    <definedName name="wrn.chi._.tiÆt." localSheetId="27" hidden="1">{#N/A,#N/A,FALSE,"Chi tiÆt"}</definedName>
    <definedName name="wrn.chi._.tiÆt." localSheetId="28" hidden="1">{#N/A,#N/A,FALSE,"Chi tiÆt"}</definedName>
    <definedName name="wrn.chi._.tiÆt." localSheetId="29" hidden="1">{#N/A,#N/A,FALSE,"Chi tiÆt"}</definedName>
    <definedName name="wrn.chi._.tiÆt." localSheetId="31" hidden="1">{#N/A,#N/A,FALSE,"Chi tiÆt"}</definedName>
    <definedName name="wrn.chi._.tiÆt." localSheetId="30" hidden="1">{#N/A,#N/A,FALSE,"Chi tiÆt"}</definedName>
    <definedName name="wrn.chi._.tiÆt." localSheetId="13" hidden="1">{#N/A,#N/A,FALSE,"Chi tiÆt"}</definedName>
    <definedName name="wrn.chi._.tiÆt." localSheetId="17" hidden="1">{#N/A,#N/A,FALSE,"Chi tiÆt"}</definedName>
    <definedName name="wrn.chi._.tiÆt." localSheetId="18" hidden="1">{#N/A,#N/A,FALSE,"Chi tiÆt"}</definedName>
    <definedName name="wrn.chi._.tiÆt." localSheetId="22" hidden="1">{#N/A,#N/A,FALSE,"Chi tiÆt"}</definedName>
    <definedName name="wrn.chi._.tiÆt." localSheetId="40" hidden="1">{#N/A,#N/A,FALSE,"Chi tiÆt"}</definedName>
    <definedName name="wrn.chi._.tiÆt." localSheetId="41" hidden="1">{#N/A,#N/A,FALSE,"Chi tiÆt"}</definedName>
    <definedName name="wrn.chi._.tiÆt." localSheetId="42" hidden="1">{#N/A,#N/A,FALSE,"Chi tiÆt"}</definedName>
    <definedName name="wrn.chi._.tiÆt." localSheetId="35" hidden="1">{#N/A,#N/A,FALSE,"Chi tiÆt"}</definedName>
    <definedName name="wrn.chi._.tiÆt." localSheetId="38" hidden="1">{#N/A,#N/A,FALSE,"Chi tiÆt"}</definedName>
    <definedName name="wrn.chi._.tiÆt." hidden="1">{#N/A,#N/A,FALSE,"Chi tiÆt"}</definedName>
    <definedName name="wrn.cong." localSheetId="20" hidden="1">{#N/A,#N/A,FALSE,"Sheet1"}</definedName>
    <definedName name="wrn.cong." localSheetId="19" hidden="1">{#N/A,#N/A,FALSE,"Sheet1"}</definedName>
    <definedName name="wrn.cong." localSheetId="26" hidden="1">{#N/A,#N/A,FALSE,"Sheet1"}</definedName>
    <definedName name="wrn.cong." localSheetId="24" hidden="1">{#N/A,#N/A,FALSE,"Sheet1"}</definedName>
    <definedName name="wrn.cong." localSheetId="32" hidden="1">{#N/A,#N/A,FALSE,"Sheet1"}</definedName>
    <definedName name="wrn.cong." localSheetId="27" hidden="1">{#N/A,#N/A,FALSE,"Sheet1"}</definedName>
    <definedName name="wrn.cong." localSheetId="28" hidden="1">{#N/A,#N/A,FALSE,"Sheet1"}</definedName>
    <definedName name="wrn.cong." localSheetId="29" hidden="1">{#N/A,#N/A,FALSE,"Sheet1"}</definedName>
    <definedName name="wrn.cong." localSheetId="31" hidden="1">{#N/A,#N/A,FALSE,"Sheet1"}</definedName>
    <definedName name="wrn.cong." localSheetId="30" hidden="1">{#N/A,#N/A,FALSE,"Sheet1"}</definedName>
    <definedName name="wrn.cong." localSheetId="17" hidden="1">{#N/A,#N/A,FALSE,"Sheet1"}</definedName>
    <definedName name="wrn.cong." localSheetId="18" hidden="1">{#N/A,#N/A,FALSE,"Sheet1"}</definedName>
    <definedName name="wrn.cong." hidden="1">{#N/A,#N/A,FALSE,"Sheet1"}</definedName>
    <definedName name="wrn.Edutainment._.Priority._.List." localSheetId="20" hidden="1">{#N/A,#N/A,FALSE,"DI 2 YEAR MASTER SCHEDULE"}</definedName>
    <definedName name="wrn.Edutainment._.Priority._.List." localSheetId="19" hidden="1">{#N/A,#N/A,FALSE,"DI 2 YEAR MASTER SCHEDULE"}</definedName>
    <definedName name="wrn.Edutainment._.Priority._.List." localSheetId="26" hidden="1">{#N/A,#N/A,FALSE,"DI 2 YEAR MASTER SCHEDULE"}</definedName>
    <definedName name="wrn.Edutainment._.Priority._.List." localSheetId="24" hidden="1">{#N/A,#N/A,FALSE,"DI 2 YEAR MASTER SCHEDULE"}</definedName>
    <definedName name="wrn.Edutainment._.Priority._.List." localSheetId="32" hidden="1">{#N/A,#N/A,FALSE,"DI 2 YEAR MASTER SCHEDULE"}</definedName>
    <definedName name="wrn.Edutainment._.Priority._.List." localSheetId="27" hidden="1">{#N/A,#N/A,FALSE,"DI 2 YEAR MASTER SCHEDULE"}</definedName>
    <definedName name="wrn.Edutainment._.Priority._.List." localSheetId="28" hidden="1">{#N/A,#N/A,FALSE,"DI 2 YEAR MASTER SCHEDULE"}</definedName>
    <definedName name="wrn.Edutainment._.Priority._.List." localSheetId="29" hidden="1">{#N/A,#N/A,FALSE,"DI 2 YEAR MASTER SCHEDULE"}</definedName>
    <definedName name="wrn.Edutainment._.Priority._.List." localSheetId="31" hidden="1">{#N/A,#N/A,FALSE,"DI 2 YEAR MASTER SCHEDULE"}</definedName>
    <definedName name="wrn.Edutainment._.Priority._.List." localSheetId="30" hidden="1">{#N/A,#N/A,FALSE,"DI 2 YEAR MASTER SCHEDULE"}</definedName>
    <definedName name="wrn.Edutainment._.Priority._.List." localSheetId="17" hidden="1">{#N/A,#N/A,FALSE,"DI 2 YEAR MASTER SCHEDULE"}</definedName>
    <definedName name="wrn.Edutainment._.Priority._.List." localSheetId="18" hidden="1">{#N/A,#N/A,FALSE,"DI 2 YEAR MASTER SCHEDULE"}</definedName>
    <definedName name="wrn.Edutainment._.Priority._.List." hidden="1">{#N/A,#N/A,FALSE,"DI 2 YEAR MASTER SCHEDULE"}</definedName>
    <definedName name="wrn.ENG_SUM_EXP_DIS." localSheetId="20" hidden="1">{#N/A,#N/A,FALSE,"SUM_Prop";#N/A,#N/A,FALSE,"PROCESS-eng";#N/A,#N/A,FALSE,"PROCESS-com";#N/A,#N/A,FALSE,"INST-eng";#N/A,#N/A,FALSE,"INST-com"}</definedName>
    <definedName name="wrn.ENG_SUM_EXP_DIS." localSheetId="19" hidden="1">{#N/A,#N/A,FALSE,"SUM_Prop";#N/A,#N/A,FALSE,"PROCESS-eng";#N/A,#N/A,FALSE,"PROCESS-com";#N/A,#N/A,FALSE,"INST-eng";#N/A,#N/A,FALSE,"INST-com"}</definedName>
    <definedName name="wrn.ENG_SUM_EXP_DIS." localSheetId="26" hidden="1">{#N/A,#N/A,FALSE,"SUM_Prop";#N/A,#N/A,FALSE,"PROCESS-eng";#N/A,#N/A,FALSE,"PROCESS-com";#N/A,#N/A,FALSE,"INST-eng";#N/A,#N/A,FALSE,"INST-com"}</definedName>
    <definedName name="wrn.ENG_SUM_EXP_DIS." localSheetId="24" hidden="1">{#N/A,#N/A,FALSE,"SUM_Prop";#N/A,#N/A,FALSE,"PROCESS-eng";#N/A,#N/A,FALSE,"PROCESS-com";#N/A,#N/A,FALSE,"INST-eng";#N/A,#N/A,FALSE,"INST-com"}</definedName>
    <definedName name="wrn.ENG_SUM_EXP_DIS." localSheetId="32" hidden="1">{#N/A,#N/A,FALSE,"SUM_Prop";#N/A,#N/A,FALSE,"PROCESS-eng";#N/A,#N/A,FALSE,"PROCESS-com";#N/A,#N/A,FALSE,"INST-eng";#N/A,#N/A,FALSE,"INST-com"}</definedName>
    <definedName name="wrn.ENG_SUM_EXP_DIS." localSheetId="27" hidden="1">{#N/A,#N/A,FALSE,"SUM_Prop";#N/A,#N/A,FALSE,"PROCESS-eng";#N/A,#N/A,FALSE,"PROCESS-com";#N/A,#N/A,FALSE,"INST-eng";#N/A,#N/A,FALSE,"INST-com"}</definedName>
    <definedName name="wrn.ENG_SUM_EXP_DIS." localSheetId="28" hidden="1">{#N/A,#N/A,FALSE,"SUM_Prop";#N/A,#N/A,FALSE,"PROCESS-eng";#N/A,#N/A,FALSE,"PROCESS-com";#N/A,#N/A,FALSE,"INST-eng";#N/A,#N/A,FALSE,"INST-com"}</definedName>
    <definedName name="wrn.ENG_SUM_EXP_DIS." localSheetId="29" hidden="1">{#N/A,#N/A,FALSE,"SUM_Prop";#N/A,#N/A,FALSE,"PROCESS-eng";#N/A,#N/A,FALSE,"PROCESS-com";#N/A,#N/A,FALSE,"INST-eng";#N/A,#N/A,FALSE,"INST-com"}</definedName>
    <definedName name="wrn.ENG_SUM_EXP_DIS." localSheetId="31" hidden="1">{#N/A,#N/A,FALSE,"SUM_Prop";#N/A,#N/A,FALSE,"PROCESS-eng";#N/A,#N/A,FALSE,"PROCESS-com";#N/A,#N/A,FALSE,"INST-eng";#N/A,#N/A,FALSE,"INST-com"}</definedName>
    <definedName name="wrn.ENG_SUM_EXP_DIS." localSheetId="30" hidden="1">{#N/A,#N/A,FALSE,"SUM_Prop";#N/A,#N/A,FALSE,"PROCESS-eng";#N/A,#N/A,FALSE,"PROCESS-com";#N/A,#N/A,FALSE,"INST-eng";#N/A,#N/A,FALSE,"INST-com"}</definedName>
    <definedName name="wrn.ENG_SUM_EXP_DIS." localSheetId="17" hidden="1">{#N/A,#N/A,FALSE,"SUM_Prop";#N/A,#N/A,FALSE,"PROCESS-eng";#N/A,#N/A,FALSE,"PROCESS-com";#N/A,#N/A,FALSE,"INST-eng";#N/A,#N/A,FALSE,"INST-com"}</definedName>
    <definedName name="wrn.ENG_SUM_EXP_DIS." localSheetId="18" hidden="1">{#N/A,#N/A,FALSE,"SUM_Prop";#N/A,#N/A,FALSE,"PROCESS-eng";#N/A,#N/A,FALSE,"PROCESS-com";#N/A,#N/A,FALSE,"INST-eng";#N/A,#N/A,FALSE,"INST-com"}</definedName>
    <definedName name="wrn.ENG_SUM_EXP_DIS." hidden="1">{#N/A,#N/A,FALSE,"SUM_Prop";#N/A,#N/A,FALSE,"PROCESS-eng";#N/A,#N/A,FALSE,"PROCESS-com";#N/A,#N/A,FALSE,"INST-eng";#N/A,#N/A,FALSE,"INST-com"}</definedName>
    <definedName name="wrn.FORM." localSheetId="20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wrn.FORM." localSheetId="19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wrn.FORM." localSheetId="26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wrn.FORM." localSheetId="24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wrn.FORM." localSheetId="32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wrn.FORM." localSheetId="27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wrn.FORM." localSheetId="28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wrn.FORM." localSheetId="29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wrn.FORM." localSheetId="31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wrn.FORM." localSheetId="30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wrn.FORM." localSheetId="17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wrn.FORM." localSheetId="18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wrn.FORM.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wrn.Formulir._.RAP._.EBP." localSheetId="20" hidden="1">{#N/A,#N/A,FALSE,"Rekap RAP";#N/A,#N/A,FALSE,"Rekap Real Biaya";#N/A,#N/A,FALSE,"EBP-1";#N/A,#N/A,FALSE,"EBP-2-4-5";#N/A,#N/A,FALSE,"EBP-3"}</definedName>
    <definedName name="wrn.Formulir._.RAP._.EBP." localSheetId="19" hidden="1">{#N/A,#N/A,FALSE,"Rekap RAP";#N/A,#N/A,FALSE,"Rekap Real Biaya";#N/A,#N/A,FALSE,"EBP-1";#N/A,#N/A,FALSE,"EBP-2-4-5";#N/A,#N/A,FALSE,"EBP-3"}</definedName>
    <definedName name="wrn.Formulir._.RAP._.EBP." localSheetId="26" hidden="1">{#N/A,#N/A,FALSE,"Rekap RAP";#N/A,#N/A,FALSE,"Rekap Real Biaya";#N/A,#N/A,FALSE,"EBP-1";#N/A,#N/A,FALSE,"EBP-2-4-5";#N/A,#N/A,FALSE,"EBP-3"}</definedName>
    <definedName name="wrn.Formulir._.RAP._.EBP." localSheetId="23" hidden="1">{#N/A,#N/A,FALSE,"Rekap RAP";#N/A,#N/A,FALSE,"Rekap Real Biaya";#N/A,#N/A,FALSE,"EBP-1";#N/A,#N/A,FALSE,"EBP-2-4-5";#N/A,#N/A,FALSE,"EBP-3"}</definedName>
    <definedName name="wrn.Formulir._.RAP._.EBP." localSheetId="24" hidden="1">{#N/A,#N/A,FALSE,"Rekap RAP";#N/A,#N/A,FALSE,"Rekap Real Biaya";#N/A,#N/A,FALSE,"EBP-1";#N/A,#N/A,FALSE,"EBP-2-4-5";#N/A,#N/A,FALSE,"EBP-3"}</definedName>
    <definedName name="wrn.Formulir._.RAP._.EBP." localSheetId="32" hidden="1">{#N/A,#N/A,FALSE,"Rekap RAP";#N/A,#N/A,FALSE,"Rekap Real Biaya";#N/A,#N/A,FALSE,"EBP-1";#N/A,#N/A,FALSE,"EBP-2-4-5";#N/A,#N/A,FALSE,"EBP-3"}</definedName>
    <definedName name="wrn.Formulir._.RAP._.EBP." localSheetId="27" hidden="1">{#N/A,#N/A,FALSE,"Rekap RAP";#N/A,#N/A,FALSE,"Rekap Real Biaya";#N/A,#N/A,FALSE,"EBP-1";#N/A,#N/A,FALSE,"EBP-2-4-5";#N/A,#N/A,FALSE,"EBP-3"}</definedName>
    <definedName name="wrn.Formulir._.RAP._.EBP." localSheetId="28" hidden="1">{#N/A,#N/A,FALSE,"Rekap RAP";#N/A,#N/A,FALSE,"Rekap Real Biaya";#N/A,#N/A,FALSE,"EBP-1";#N/A,#N/A,FALSE,"EBP-2-4-5";#N/A,#N/A,FALSE,"EBP-3"}</definedName>
    <definedName name="wrn.Formulir._.RAP._.EBP." localSheetId="29" hidden="1">{#N/A,#N/A,FALSE,"Rekap RAP";#N/A,#N/A,FALSE,"Rekap Real Biaya";#N/A,#N/A,FALSE,"EBP-1";#N/A,#N/A,FALSE,"EBP-2-4-5";#N/A,#N/A,FALSE,"EBP-3"}</definedName>
    <definedName name="wrn.Formulir._.RAP._.EBP." localSheetId="31" hidden="1">{#N/A,#N/A,FALSE,"Rekap RAP";#N/A,#N/A,FALSE,"Rekap Real Biaya";#N/A,#N/A,FALSE,"EBP-1";#N/A,#N/A,FALSE,"EBP-2-4-5";#N/A,#N/A,FALSE,"EBP-3"}</definedName>
    <definedName name="wrn.Formulir._.RAP._.EBP." localSheetId="30" hidden="1">{#N/A,#N/A,FALSE,"Rekap RAP";#N/A,#N/A,FALSE,"Rekap Real Biaya";#N/A,#N/A,FALSE,"EBP-1";#N/A,#N/A,FALSE,"EBP-2-4-5";#N/A,#N/A,FALSE,"EBP-3"}</definedName>
    <definedName name="wrn.Formulir._.RAP._.EBP." localSheetId="13" hidden="1">{#N/A,#N/A,FALSE,"Rekap RAP";#N/A,#N/A,FALSE,"Rekap Real Biaya";#N/A,#N/A,FALSE,"EBP-1";#N/A,#N/A,FALSE,"EBP-2-4-5";#N/A,#N/A,FALSE,"EBP-3"}</definedName>
    <definedName name="wrn.Formulir._.RAP._.EBP." localSheetId="17" hidden="1">{#N/A,#N/A,FALSE,"Rekap RAP";#N/A,#N/A,FALSE,"Rekap Real Biaya";#N/A,#N/A,FALSE,"EBP-1";#N/A,#N/A,FALSE,"EBP-2-4-5";#N/A,#N/A,FALSE,"EBP-3"}</definedName>
    <definedName name="wrn.Formulir._.RAP._.EBP." localSheetId="18" hidden="1">{#N/A,#N/A,FALSE,"Rekap RAP";#N/A,#N/A,FALSE,"Rekap Real Biaya";#N/A,#N/A,FALSE,"EBP-1";#N/A,#N/A,FALSE,"EBP-2-4-5";#N/A,#N/A,FALSE,"EBP-3"}</definedName>
    <definedName name="wrn.Formulir._.RAP._.EBP." localSheetId="22" hidden="1">{#N/A,#N/A,FALSE,"Rekap RAP";#N/A,#N/A,FALSE,"Rekap Real Biaya";#N/A,#N/A,FALSE,"EBP-1";#N/A,#N/A,FALSE,"EBP-2-4-5";#N/A,#N/A,FALSE,"EBP-3"}</definedName>
    <definedName name="wrn.Formulir._.RAP._.EBP." localSheetId="40" hidden="1">{#N/A,#N/A,FALSE,"Rekap RAP";#N/A,#N/A,FALSE,"Rekap Real Biaya";#N/A,#N/A,FALSE,"EBP-1";#N/A,#N/A,FALSE,"EBP-2-4-5";#N/A,#N/A,FALSE,"EBP-3"}</definedName>
    <definedName name="wrn.Formulir._.RAP._.EBP." localSheetId="41" hidden="1">{#N/A,#N/A,FALSE,"Rekap RAP";#N/A,#N/A,FALSE,"Rekap Real Biaya";#N/A,#N/A,FALSE,"EBP-1";#N/A,#N/A,FALSE,"EBP-2-4-5";#N/A,#N/A,FALSE,"EBP-3"}</definedName>
    <definedName name="wrn.Formulir._.RAP._.EBP." localSheetId="42" hidden="1">{#N/A,#N/A,FALSE,"Rekap RAP";#N/A,#N/A,FALSE,"Rekap Real Biaya";#N/A,#N/A,FALSE,"EBP-1";#N/A,#N/A,FALSE,"EBP-2-4-5";#N/A,#N/A,FALSE,"EBP-3"}</definedName>
    <definedName name="wrn.Formulir._.RAP._.EBP." localSheetId="35" hidden="1">{#N/A,#N/A,FALSE,"Rekap RAP";#N/A,#N/A,FALSE,"Rekap Real Biaya";#N/A,#N/A,FALSE,"EBP-1";#N/A,#N/A,FALSE,"EBP-2-4-5";#N/A,#N/A,FALSE,"EBP-3"}</definedName>
    <definedName name="wrn.Formulir._.RAP._.EBP." localSheetId="38" hidden="1">{#N/A,#N/A,FALSE,"Rekap RAP";#N/A,#N/A,FALSE,"Rekap Real Biaya";#N/A,#N/A,FALSE,"EBP-1";#N/A,#N/A,FALSE,"EBP-2-4-5";#N/A,#N/A,FALSE,"EBP-3"}</definedName>
    <definedName name="wrn.Formulir._.RAP._.EBP." hidden="1">{#N/A,#N/A,FALSE,"Rekap RAP";#N/A,#N/A,FALSE,"Rekap Real Biaya";#N/A,#N/A,FALSE,"EBP-1";#N/A,#N/A,FALSE,"EBP-2-4-5";#N/A,#N/A,FALSE,"EBP-3"}</definedName>
    <definedName name="wrn.FOUNDATION." localSheetId="20" hidden="1">{#N/A,#N/A,TRUE,"toc";#N/A,#N/A,TRUE,"general";#N/A,#N/A,TRUE,"compressive";#N/A,#N/A,TRUE,"lateral";#N/A,#N/A,TRUE,"shallow"}</definedName>
    <definedName name="wrn.FOUNDATION." localSheetId="19" hidden="1">{#N/A,#N/A,TRUE,"toc";#N/A,#N/A,TRUE,"general";#N/A,#N/A,TRUE,"compressive";#N/A,#N/A,TRUE,"lateral";#N/A,#N/A,TRUE,"shallow"}</definedName>
    <definedName name="wrn.FOUNDATION." localSheetId="26" hidden="1">{#N/A,#N/A,TRUE,"toc";#N/A,#N/A,TRUE,"general";#N/A,#N/A,TRUE,"compressive";#N/A,#N/A,TRUE,"lateral";#N/A,#N/A,TRUE,"shallow"}</definedName>
    <definedName name="wrn.FOUNDATION." localSheetId="24" hidden="1">{#N/A,#N/A,TRUE,"toc";#N/A,#N/A,TRUE,"general";#N/A,#N/A,TRUE,"compressive";#N/A,#N/A,TRUE,"lateral";#N/A,#N/A,TRUE,"shallow"}</definedName>
    <definedName name="wrn.FOUNDATION." localSheetId="32" hidden="1">{#N/A,#N/A,TRUE,"toc";#N/A,#N/A,TRUE,"general";#N/A,#N/A,TRUE,"compressive";#N/A,#N/A,TRUE,"lateral";#N/A,#N/A,TRUE,"shallow"}</definedName>
    <definedName name="wrn.FOUNDATION." localSheetId="27" hidden="1">{#N/A,#N/A,TRUE,"toc";#N/A,#N/A,TRUE,"general";#N/A,#N/A,TRUE,"compressive";#N/A,#N/A,TRUE,"lateral";#N/A,#N/A,TRUE,"shallow"}</definedName>
    <definedName name="wrn.FOUNDATION." localSheetId="28" hidden="1">{#N/A,#N/A,TRUE,"toc";#N/A,#N/A,TRUE,"general";#N/A,#N/A,TRUE,"compressive";#N/A,#N/A,TRUE,"lateral";#N/A,#N/A,TRUE,"shallow"}</definedName>
    <definedName name="wrn.FOUNDATION." localSheetId="29" hidden="1">{#N/A,#N/A,TRUE,"toc";#N/A,#N/A,TRUE,"general";#N/A,#N/A,TRUE,"compressive";#N/A,#N/A,TRUE,"lateral";#N/A,#N/A,TRUE,"shallow"}</definedName>
    <definedName name="wrn.FOUNDATION." localSheetId="31" hidden="1">{#N/A,#N/A,TRUE,"toc";#N/A,#N/A,TRUE,"general";#N/A,#N/A,TRUE,"compressive";#N/A,#N/A,TRUE,"lateral";#N/A,#N/A,TRUE,"shallow"}</definedName>
    <definedName name="wrn.FOUNDATION." localSheetId="30" hidden="1">{#N/A,#N/A,TRUE,"toc";#N/A,#N/A,TRUE,"general";#N/A,#N/A,TRUE,"compressive";#N/A,#N/A,TRUE,"lateral";#N/A,#N/A,TRUE,"shallow"}</definedName>
    <definedName name="wrn.FOUNDATION." localSheetId="17" hidden="1">{#N/A,#N/A,TRUE,"toc";#N/A,#N/A,TRUE,"general";#N/A,#N/A,TRUE,"compressive";#N/A,#N/A,TRUE,"lateral";#N/A,#N/A,TRUE,"shallow"}</definedName>
    <definedName name="wrn.FOUNDATION." localSheetId="18" hidden="1">{#N/A,#N/A,TRUE,"toc";#N/A,#N/A,TRUE,"general";#N/A,#N/A,TRUE,"compressive";#N/A,#N/A,TRUE,"lateral";#N/A,#N/A,TRUE,"shallow"}</definedName>
    <definedName name="wrn.FOUNDATION." hidden="1">{#N/A,#N/A,TRUE,"toc";#N/A,#N/A,TRUE,"general";#N/A,#N/A,TRUE,"compressive";#N/A,#N/A,TRUE,"lateral";#N/A,#N/A,TRUE,"shallow"}</definedName>
    <definedName name="wrn.Full._.Report." localSheetId="2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3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3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3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4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4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4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3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3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gt." localSheetId="20" hidden="1">{#N/A,#N/A,FALSE,"Basic Price"}</definedName>
    <definedName name="wrn.Igt." localSheetId="19" hidden="1">{#N/A,#N/A,FALSE,"Basic Price"}</definedName>
    <definedName name="wrn.Igt." localSheetId="26" hidden="1">{#N/A,#N/A,FALSE,"Basic Price"}</definedName>
    <definedName name="wrn.Igt." localSheetId="24" hidden="1">{#N/A,#N/A,FALSE,"Basic Price"}</definedName>
    <definedName name="wrn.Igt." localSheetId="32" hidden="1">{#N/A,#N/A,FALSE,"Basic Price"}</definedName>
    <definedName name="wrn.Igt." localSheetId="27" hidden="1">{#N/A,#N/A,FALSE,"Basic Price"}</definedName>
    <definedName name="wrn.Igt." localSheetId="28" hidden="1">{#N/A,#N/A,FALSE,"Basic Price"}</definedName>
    <definedName name="wrn.Igt." localSheetId="29" hidden="1">{#N/A,#N/A,FALSE,"Basic Price"}</definedName>
    <definedName name="wrn.Igt." localSheetId="31" hidden="1">{#N/A,#N/A,FALSE,"Basic Price"}</definedName>
    <definedName name="wrn.Igt." localSheetId="30" hidden="1">{#N/A,#N/A,FALSE,"Basic Price"}</definedName>
    <definedName name="wrn.Igt." localSheetId="17" hidden="1">{#N/A,#N/A,FALSE,"Basic Price"}</definedName>
    <definedName name="wrn.Igt." localSheetId="18" hidden="1">{#N/A,#N/A,FALSE,"Basic Price"}</definedName>
    <definedName name="wrn.Igt." hidden="1">{#N/A,#N/A,FALSE,"Basic Price"}</definedName>
    <definedName name="wrn.ISO._.QW_340." localSheetId="20" hidden="1">{#N/A,#N/A,FALSE,"QW- 340-001(01)";#N/A,#N/A,FALSE,"QW- 340-001(02)";#N/A,#N/A,FALSE,"QW- 340-001(03)";#N/A,#N/A,FALSE,"QW- 340-001(04)";#N/A,#N/A,FALSE,"QW- 340-001(05)"}</definedName>
    <definedName name="wrn.ISO._.QW_340." localSheetId="19" hidden="1">{#N/A,#N/A,FALSE,"QW- 340-001(01)";#N/A,#N/A,FALSE,"QW- 340-001(02)";#N/A,#N/A,FALSE,"QW- 340-001(03)";#N/A,#N/A,FALSE,"QW- 340-001(04)";#N/A,#N/A,FALSE,"QW- 340-001(05)"}</definedName>
    <definedName name="wrn.ISO._.QW_340." localSheetId="26" hidden="1">{#N/A,#N/A,FALSE,"QW- 340-001(01)";#N/A,#N/A,FALSE,"QW- 340-001(02)";#N/A,#N/A,FALSE,"QW- 340-001(03)";#N/A,#N/A,FALSE,"QW- 340-001(04)";#N/A,#N/A,FALSE,"QW- 340-001(05)"}</definedName>
    <definedName name="wrn.ISO._.QW_340." localSheetId="23" hidden="1">{#N/A,#N/A,FALSE,"QW- 340-001(01)";#N/A,#N/A,FALSE,"QW- 340-001(02)";#N/A,#N/A,FALSE,"QW- 340-001(03)";#N/A,#N/A,FALSE,"QW- 340-001(04)";#N/A,#N/A,FALSE,"QW- 340-001(05)"}</definedName>
    <definedName name="wrn.ISO._.QW_340." localSheetId="24" hidden="1">{#N/A,#N/A,FALSE,"QW- 340-001(01)";#N/A,#N/A,FALSE,"QW- 340-001(02)";#N/A,#N/A,FALSE,"QW- 340-001(03)";#N/A,#N/A,FALSE,"QW- 340-001(04)";#N/A,#N/A,FALSE,"QW- 340-001(05)"}</definedName>
    <definedName name="wrn.ISO._.QW_340." localSheetId="32" hidden="1">{#N/A,#N/A,FALSE,"QW- 340-001(01)";#N/A,#N/A,FALSE,"QW- 340-001(02)";#N/A,#N/A,FALSE,"QW- 340-001(03)";#N/A,#N/A,FALSE,"QW- 340-001(04)";#N/A,#N/A,FALSE,"QW- 340-001(05)"}</definedName>
    <definedName name="wrn.ISO._.QW_340." localSheetId="27" hidden="1">{#N/A,#N/A,FALSE,"QW- 340-001(01)";#N/A,#N/A,FALSE,"QW- 340-001(02)";#N/A,#N/A,FALSE,"QW- 340-001(03)";#N/A,#N/A,FALSE,"QW- 340-001(04)";#N/A,#N/A,FALSE,"QW- 340-001(05)"}</definedName>
    <definedName name="wrn.ISO._.QW_340." localSheetId="28" hidden="1">{#N/A,#N/A,FALSE,"QW- 340-001(01)";#N/A,#N/A,FALSE,"QW- 340-001(02)";#N/A,#N/A,FALSE,"QW- 340-001(03)";#N/A,#N/A,FALSE,"QW- 340-001(04)";#N/A,#N/A,FALSE,"QW- 340-001(05)"}</definedName>
    <definedName name="wrn.ISO._.QW_340." localSheetId="29" hidden="1">{#N/A,#N/A,FALSE,"QW- 340-001(01)";#N/A,#N/A,FALSE,"QW- 340-001(02)";#N/A,#N/A,FALSE,"QW- 340-001(03)";#N/A,#N/A,FALSE,"QW- 340-001(04)";#N/A,#N/A,FALSE,"QW- 340-001(05)"}</definedName>
    <definedName name="wrn.ISO._.QW_340." localSheetId="31" hidden="1">{#N/A,#N/A,FALSE,"QW- 340-001(01)";#N/A,#N/A,FALSE,"QW- 340-001(02)";#N/A,#N/A,FALSE,"QW- 340-001(03)";#N/A,#N/A,FALSE,"QW- 340-001(04)";#N/A,#N/A,FALSE,"QW- 340-001(05)"}</definedName>
    <definedName name="wrn.ISO._.QW_340." localSheetId="30" hidden="1">{#N/A,#N/A,FALSE,"QW- 340-001(01)";#N/A,#N/A,FALSE,"QW- 340-001(02)";#N/A,#N/A,FALSE,"QW- 340-001(03)";#N/A,#N/A,FALSE,"QW- 340-001(04)";#N/A,#N/A,FALSE,"QW- 340-001(05)"}</definedName>
    <definedName name="wrn.ISO._.QW_340." localSheetId="13" hidden="1">{#N/A,#N/A,FALSE,"QW- 340-001(01)";#N/A,#N/A,FALSE,"QW- 340-001(02)";#N/A,#N/A,FALSE,"QW- 340-001(03)";#N/A,#N/A,FALSE,"QW- 340-001(04)";#N/A,#N/A,FALSE,"QW- 340-001(05)"}</definedName>
    <definedName name="wrn.ISO._.QW_340." localSheetId="17" hidden="1">{#N/A,#N/A,FALSE,"QW- 340-001(01)";#N/A,#N/A,FALSE,"QW- 340-001(02)";#N/A,#N/A,FALSE,"QW- 340-001(03)";#N/A,#N/A,FALSE,"QW- 340-001(04)";#N/A,#N/A,FALSE,"QW- 340-001(05)"}</definedName>
    <definedName name="wrn.ISO._.QW_340." localSheetId="18" hidden="1">{#N/A,#N/A,FALSE,"QW- 340-001(01)";#N/A,#N/A,FALSE,"QW- 340-001(02)";#N/A,#N/A,FALSE,"QW- 340-001(03)";#N/A,#N/A,FALSE,"QW- 340-001(04)";#N/A,#N/A,FALSE,"QW- 340-001(05)"}</definedName>
    <definedName name="wrn.ISO._.QW_340." localSheetId="22" hidden="1">{#N/A,#N/A,FALSE,"QW- 340-001(01)";#N/A,#N/A,FALSE,"QW- 340-001(02)";#N/A,#N/A,FALSE,"QW- 340-001(03)";#N/A,#N/A,FALSE,"QW- 340-001(04)";#N/A,#N/A,FALSE,"QW- 340-001(05)"}</definedName>
    <definedName name="wrn.ISO._.QW_340." localSheetId="40" hidden="1">{#N/A,#N/A,FALSE,"QW- 340-001(01)";#N/A,#N/A,FALSE,"QW- 340-001(02)";#N/A,#N/A,FALSE,"QW- 340-001(03)";#N/A,#N/A,FALSE,"QW- 340-001(04)";#N/A,#N/A,FALSE,"QW- 340-001(05)"}</definedName>
    <definedName name="wrn.ISO._.QW_340." localSheetId="41" hidden="1">{#N/A,#N/A,FALSE,"QW- 340-001(01)";#N/A,#N/A,FALSE,"QW- 340-001(02)";#N/A,#N/A,FALSE,"QW- 340-001(03)";#N/A,#N/A,FALSE,"QW- 340-001(04)";#N/A,#N/A,FALSE,"QW- 340-001(05)"}</definedName>
    <definedName name="wrn.ISO._.QW_340." localSheetId="42" hidden="1">{#N/A,#N/A,FALSE,"QW- 340-001(01)";#N/A,#N/A,FALSE,"QW- 340-001(02)";#N/A,#N/A,FALSE,"QW- 340-001(03)";#N/A,#N/A,FALSE,"QW- 340-001(04)";#N/A,#N/A,FALSE,"QW- 340-001(05)"}</definedName>
    <definedName name="wrn.ISO._.QW_340." localSheetId="35" hidden="1">{#N/A,#N/A,FALSE,"QW- 340-001(01)";#N/A,#N/A,FALSE,"QW- 340-001(02)";#N/A,#N/A,FALSE,"QW- 340-001(03)";#N/A,#N/A,FALSE,"QW- 340-001(04)";#N/A,#N/A,FALSE,"QW- 340-001(05)"}</definedName>
    <definedName name="wrn.ISO._.QW_340." localSheetId="38" hidden="1">{#N/A,#N/A,FALSE,"QW- 340-001(01)";#N/A,#N/A,FALSE,"QW- 340-001(02)";#N/A,#N/A,FALSE,"QW- 340-001(03)";#N/A,#N/A,FALSE,"QW- 340-001(04)";#N/A,#N/A,FALSE,"QW- 340-001(05)"}</definedName>
    <definedName name="wrn.ISO._.QW_340." hidden="1">{#N/A,#N/A,FALSE,"QW- 340-001(01)";#N/A,#N/A,FALSE,"QW- 340-001(02)";#N/A,#N/A,FALSE,"QW- 340-001(03)";#N/A,#N/A,FALSE,"QW- 340-001(04)";#N/A,#N/A,FALSE,"QW- 340-001(05)"}</definedName>
    <definedName name="wrn.Japan_Capers_Ed._.Pub." localSheetId="20" hidden="1">{"Japan_Capers_Ed_Pub",#N/A,FALSE,"DI 2 YEAR MASTER SCHEDULE"}</definedName>
    <definedName name="wrn.Japan_Capers_Ed._.Pub." localSheetId="19" hidden="1">{"Japan_Capers_Ed_Pub",#N/A,FALSE,"DI 2 YEAR MASTER SCHEDULE"}</definedName>
    <definedName name="wrn.Japan_Capers_Ed._.Pub." localSheetId="26" hidden="1">{"Japan_Capers_Ed_Pub",#N/A,FALSE,"DI 2 YEAR MASTER SCHEDULE"}</definedName>
    <definedName name="wrn.Japan_Capers_Ed._.Pub." localSheetId="24" hidden="1">{"Japan_Capers_Ed_Pub",#N/A,FALSE,"DI 2 YEAR MASTER SCHEDULE"}</definedName>
    <definedName name="wrn.Japan_Capers_Ed._.Pub." localSheetId="32" hidden="1">{"Japan_Capers_Ed_Pub",#N/A,FALSE,"DI 2 YEAR MASTER SCHEDULE"}</definedName>
    <definedName name="wrn.Japan_Capers_Ed._.Pub." localSheetId="27" hidden="1">{"Japan_Capers_Ed_Pub",#N/A,FALSE,"DI 2 YEAR MASTER SCHEDULE"}</definedName>
    <definedName name="wrn.Japan_Capers_Ed._.Pub." localSheetId="28" hidden="1">{"Japan_Capers_Ed_Pub",#N/A,FALSE,"DI 2 YEAR MASTER SCHEDULE"}</definedName>
    <definedName name="wrn.Japan_Capers_Ed._.Pub." localSheetId="29" hidden="1">{"Japan_Capers_Ed_Pub",#N/A,FALSE,"DI 2 YEAR MASTER SCHEDULE"}</definedName>
    <definedName name="wrn.Japan_Capers_Ed._.Pub." localSheetId="31" hidden="1">{"Japan_Capers_Ed_Pub",#N/A,FALSE,"DI 2 YEAR MASTER SCHEDULE"}</definedName>
    <definedName name="wrn.Japan_Capers_Ed._.Pub." localSheetId="30" hidden="1">{"Japan_Capers_Ed_Pub",#N/A,FALSE,"DI 2 YEAR MASTER SCHEDULE"}</definedName>
    <definedName name="wrn.Japan_Capers_Ed._.Pub." localSheetId="17" hidden="1">{"Japan_Capers_Ed_Pub",#N/A,FALSE,"DI 2 YEAR MASTER SCHEDULE"}</definedName>
    <definedName name="wrn.Japan_Capers_Ed._.Pub." localSheetId="18" hidden="1">{"Japan_Capers_Ed_Pub",#N/A,FALSE,"DI 2 YEAR MASTER SCHEDULE"}</definedName>
    <definedName name="wrn.Japan_Capers_Ed._.Pub." hidden="1">{"Japan_Capers_Ed_Pub",#N/A,FALSE,"DI 2 YEAR MASTER SCHEDULE"}</definedName>
    <definedName name="wrn.M.01" localSheetId="20" hidden="1">{#N/A,#N/A,FALSE,"M.01"}</definedName>
    <definedName name="wrn.M.01" localSheetId="19" hidden="1">{#N/A,#N/A,FALSE,"M.01"}</definedName>
    <definedName name="wrn.M.01" localSheetId="26" hidden="1">{#N/A,#N/A,FALSE,"M.01"}</definedName>
    <definedName name="wrn.M.01" localSheetId="24" hidden="1">{#N/A,#N/A,FALSE,"M.01"}</definedName>
    <definedName name="wrn.M.01" localSheetId="32" hidden="1">{#N/A,#N/A,FALSE,"M.01"}</definedName>
    <definedName name="wrn.M.01" localSheetId="27" hidden="1">{#N/A,#N/A,FALSE,"M.01"}</definedName>
    <definedName name="wrn.M.01" localSheetId="28" hidden="1">{#N/A,#N/A,FALSE,"M.01"}</definedName>
    <definedName name="wrn.M.01" localSheetId="29" hidden="1">{#N/A,#N/A,FALSE,"M.01"}</definedName>
    <definedName name="wrn.M.01" localSheetId="31" hidden="1">{#N/A,#N/A,FALSE,"M.01"}</definedName>
    <definedName name="wrn.M.01" localSheetId="30" hidden="1">{#N/A,#N/A,FALSE,"M.01"}</definedName>
    <definedName name="wrn.M.01" localSheetId="17" hidden="1">{#N/A,#N/A,FALSE,"M.01"}</definedName>
    <definedName name="wrn.M.01" localSheetId="18" hidden="1">{#N/A,#N/A,FALSE,"M.01"}</definedName>
    <definedName name="wrn.M.01" hidden="1">{#N/A,#N/A,FALSE,"M.01"}</definedName>
    <definedName name="wrn.M.01." localSheetId="20" hidden="1">{#N/A,#N/A,FALSE,"M.01"}</definedName>
    <definedName name="wrn.M.01." localSheetId="19" hidden="1">{#N/A,#N/A,FALSE,"M.01"}</definedName>
    <definedName name="wrn.M.01." localSheetId="26" hidden="1">{#N/A,#N/A,FALSE,"M.01"}</definedName>
    <definedName name="wrn.M.01." localSheetId="24" hidden="1">{#N/A,#N/A,FALSE,"M.01"}</definedName>
    <definedName name="wrn.M.01." localSheetId="32" hidden="1">{#N/A,#N/A,FALSE,"M.01"}</definedName>
    <definedName name="wrn.M.01." localSheetId="27" hidden="1">{#N/A,#N/A,FALSE,"M.01"}</definedName>
    <definedName name="wrn.M.01." localSheetId="28" hidden="1">{#N/A,#N/A,FALSE,"M.01"}</definedName>
    <definedName name="wrn.M.01." localSheetId="29" hidden="1">{#N/A,#N/A,FALSE,"M.01"}</definedName>
    <definedName name="wrn.M.01." localSheetId="31" hidden="1">{#N/A,#N/A,FALSE,"M.01"}</definedName>
    <definedName name="wrn.M.01." localSheetId="30" hidden="1">{#N/A,#N/A,FALSE,"M.01"}</definedName>
    <definedName name="wrn.M.01." localSheetId="17" hidden="1">{#N/A,#N/A,FALSE,"M.01"}</definedName>
    <definedName name="wrn.M.01." localSheetId="18" hidden="1">{#N/A,#N/A,FALSE,"M.01"}</definedName>
    <definedName name="wrn.M.01." hidden="1">{#N/A,#N/A,FALSE,"M.01"}</definedName>
    <definedName name="wrn.M.01D." localSheetId="20" hidden="1">{#N/A,#N/A,FALSE,"M.01";#N/A,#N/A,FALSE,"M.01"}</definedName>
    <definedName name="wrn.M.01D." localSheetId="19" hidden="1">{#N/A,#N/A,FALSE,"M.01";#N/A,#N/A,FALSE,"M.01"}</definedName>
    <definedName name="wrn.M.01D." localSheetId="26" hidden="1">{#N/A,#N/A,FALSE,"M.01";#N/A,#N/A,FALSE,"M.01"}</definedName>
    <definedName name="wrn.M.01D." localSheetId="24" hidden="1">{#N/A,#N/A,FALSE,"M.01";#N/A,#N/A,FALSE,"M.01"}</definedName>
    <definedName name="wrn.M.01D." localSheetId="32" hidden="1">{#N/A,#N/A,FALSE,"M.01";#N/A,#N/A,FALSE,"M.01"}</definedName>
    <definedName name="wrn.M.01D." localSheetId="27" hidden="1">{#N/A,#N/A,FALSE,"M.01";#N/A,#N/A,FALSE,"M.01"}</definedName>
    <definedName name="wrn.M.01D." localSheetId="28" hidden="1">{#N/A,#N/A,FALSE,"M.01";#N/A,#N/A,FALSE,"M.01"}</definedName>
    <definedName name="wrn.M.01D." localSheetId="29" hidden="1">{#N/A,#N/A,FALSE,"M.01";#N/A,#N/A,FALSE,"M.01"}</definedName>
    <definedName name="wrn.M.01D." localSheetId="31" hidden="1">{#N/A,#N/A,FALSE,"M.01";#N/A,#N/A,FALSE,"M.01"}</definedName>
    <definedName name="wrn.M.01D." localSheetId="30" hidden="1">{#N/A,#N/A,FALSE,"M.01";#N/A,#N/A,FALSE,"M.01"}</definedName>
    <definedName name="wrn.M.01D." localSheetId="17" hidden="1">{#N/A,#N/A,FALSE,"M.01";#N/A,#N/A,FALSE,"M.01"}</definedName>
    <definedName name="wrn.M.01D." localSheetId="18" hidden="1">{#N/A,#N/A,FALSE,"M.01";#N/A,#N/A,FALSE,"M.01"}</definedName>
    <definedName name="wrn.M.01D." hidden="1">{#N/A,#N/A,FALSE,"M.01";#N/A,#N/A,FALSE,"M.01"}</definedName>
    <definedName name="wrn.M.02" localSheetId="20" hidden="1">{#N/A,#N/A,FALSE,"M.01"}</definedName>
    <definedName name="wrn.M.02" localSheetId="19" hidden="1">{#N/A,#N/A,FALSE,"M.01"}</definedName>
    <definedName name="wrn.M.02" localSheetId="26" hidden="1">{#N/A,#N/A,FALSE,"M.01"}</definedName>
    <definedName name="wrn.M.02" localSheetId="24" hidden="1">{#N/A,#N/A,FALSE,"M.01"}</definedName>
    <definedName name="wrn.M.02" localSheetId="32" hidden="1">{#N/A,#N/A,FALSE,"M.01"}</definedName>
    <definedName name="wrn.M.02" localSheetId="27" hidden="1">{#N/A,#N/A,FALSE,"M.01"}</definedName>
    <definedName name="wrn.M.02" localSheetId="28" hidden="1">{#N/A,#N/A,FALSE,"M.01"}</definedName>
    <definedName name="wrn.M.02" localSheetId="29" hidden="1">{#N/A,#N/A,FALSE,"M.01"}</definedName>
    <definedName name="wrn.M.02" localSheetId="31" hidden="1">{#N/A,#N/A,FALSE,"M.01"}</definedName>
    <definedName name="wrn.M.02" localSheetId="30" hidden="1">{#N/A,#N/A,FALSE,"M.01"}</definedName>
    <definedName name="wrn.M.02" localSheetId="17" hidden="1">{#N/A,#N/A,FALSE,"M.01"}</definedName>
    <definedName name="wrn.M.02" localSheetId="18" hidden="1">{#N/A,#N/A,FALSE,"M.01"}</definedName>
    <definedName name="wrn.M.02" hidden="1">{#N/A,#N/A,FALSE,"M.01"}</definedName>
    <definedName name="wrn.M.02." localSheetId="20" hidden="1">{#N/A,#N/A,FALSE,"M.02"}</definedName>
    <definedName name="wrn.M.02." localSheetId="19" hidden="1">{#N/A,#N/A,FALSE,"M.02"}</definedName>
    <definedName name="wrn.M.02." localSheetId="26" hidden="1">{#N/A,#N/A,FALSE,"M.02"}</definedName>
    <definedName name="wrn.M.02." localSheetId="24" hidden="1">{#N/A,#N/A,FALSE,"M.02"}</definedName>
    <definedName name="wrn.M.02." localSheetId="32" hidden="1">{#N/A,#N/A,FALSE,"M.02"}</definedName>
    <definedName name="wrn.M.02." localSheetId="27" hidden="1">{#N/A,#N/A,FALSE,"M.02"}</definedName>
    <definedName name="wrn.M.02." localSheetId="28" hidden="1">{#N/A,#N/A,FALSE,"M.02"}</definedName>
    <definedName name="wrn.M.02." localSheetId="29" hidden="1">{#N/A,#N/A,FALSE,"M.02"}</definedName>
    <definedName name="wrn.M.02." localSheetId="31" hidden="1">{#N/A,#N/A,FALSE,"M.02"}</definedName>
    <definedName name="wrn.M.02." localSheetId="30" hidden="1">{#N/A,#N/A,FALSE,"M.02"}</definedName>
    <definedName name="wrn.M.02." localSheetId="17" hidden="1">{#N/A,#N/A,FALSE,"M.02"}</definedName>
    <definedName name="wrn.M.02." localSheetId="18" hidden="1">{#N/A,#N/A,FALSE,"M.02"}</definedName>
    <definedName name="wrn.M.02." hidden="1">{#N/A,#N/A,FALSE,"M.02"}</definedName>
    <definedName name="wrn.M.07." localSheetId="20" hidden="1">{#N/A,#N/A,FALSE,"M.01"}</definedName>
    <definedName name="wrn.M.07." localSheetId="19" hidden="1">{#N/A,#N/A,FALSE,"M.01"}</definedName>
    <definedName name="wrn.M.07." localSheetId="26" hidden="1">{#N/A,#N/A,FALSE,"M.01"}</definedName>
    <definedName name="wrn.M.07." localSheetId="24" hidden="1">{#N/A,#N/A,FALSE,"M.01"}</definedName>
    <definedName name="wrn.M.07." localSheetId="32" hidden="1">{#N/A,#N/A,FALSE,"M.01"}</definedName>
    <definedName name="wrn.M.07." localSheetId="27" hidden="1">{#N/A,#N/A,FALSE,"M.01"}</definedName>
    <definedName name="wrn.M.07." localSheetId="28" hidden="1">{#N/A,#N/A,FALSE,"M.01"}</definedName>
    <definedName name="wrn.M.07." localSheetId="29" hidden="1">{#N/A,#N/A,FALSE,"M.01"}</definedName>
    <definedName name="wrn.M.07." localSheetId="31" hidden="1">{#N/A,#N/A,FALSE,"M.01"}</definedName>
    <definedName name="wrn.M.07." localSheetId="30" hidden="1">{#N/A,#N/A,FALSE,"M.01"}</definedName>
    <definedName name="wrn.M.07." localSheetId="17" hidden="1">{#N/A,#N/A,FALSE,"M.01"}</definedName>
    <definedName name="wrn.M.07." localSheetId="18" hidden="1">{#N/A,#N/A,FALSE,"M.01"}</definedName>
    <definedName name="wrn.M.07." hidden="1">{#N/A,#N/A,FALSE,"M.01"}</definedName>
    <definedName name="wrn.M.31." localSheetId="20" hidden="1">{#N/A,#N/A,FALSE,"M.31"}</definedName>
    <definedName name="wrn.M.31." localSheetId="19" hidden="1">{#N/A,#N/A,FALSE,"M.31"}</definedName>
    <definedName name="wrn.M.31." localSheetId="26" hidden="1">{#N/A,#N/A,FALSE,"M.31"}</definedName>
    <definedName name="wrn.M.31." localSheetId="24" hidden="1">{#N/A,#N/A,FALSE,"M.31"}</definedName>
    <definedName name="wrn.M.31." localSheetId="32" hidden="1">{#N/A,#N/A,FALSE,"M.31"}</definedName>
    <definedName name="wrn.M.31." localSheetId="27" hidden="1">{#N/A,#N/A,FALSE,"M.31"}</definedName>
    <definedName name="wrn.M.31." localSheetId="28" hidden="1">{#N/A,#N/A,FALSE,"M.31"}</definedName>
    <definedName name="wrn.M.31." localSheetId="29" hidden="1">{#N/A,#N/A,FALSE,"M.31"}</definedName>
    <definedName name="wrn.M.31." localSheetId="31" hidden="1">{#N/A,#N/A,FALSE,"M.31"}</definedName>
    <definedName name="wrn.M.31." localSheetId="30" hidden="1">{#N/A,#N/A,FALSE,"M.31"}</definedName>
    <definedName name="wrn.M.31." localSheetId="17" hidden="1">{#N/A,#N/A,FALSE,"M.31"}</definedName>
    <definedName name="wrn.M.31." localSheetId="18" hidden="1">{#N/A,#N/A,FALSE,"M.31"}</definedName>
    <definedName name="wrn.M.31." hidden="1">{#N/A,#N/A,FALSE,"M.31"}</definedName>
    <definedName name="wrn.M.32" localSheetId="20" hidden="1">{#N/A,#N/A,FALSE,"M.31"}</definedName>
    <definedName name="wrn.M.32" localSheetId="19" hidden="1">{#N/A,#N/A,FALSE,"M.31"}</definedName>
    <definedName name="wrn.M.32" localSheetId="26" hidden="1">{#N/A,#N/A,FALSE,"M.31"}</definedName>
    <definedName name="wrn.M.32" localSheetId="24" hidden="1">{#N/A,#N/A,FALSE,"M.31"}</definedName>
    <definedName name="wrn.M.32" localSheetId="32" hidden="1">{#N/A,#N/A,FALSE,"M.31"}</definedName>
    <definedName name="wrn.M.32" localSheetId="27" hidden="1">{#N/A,#N/A,FALSE,"M.31"}</definedName>
    <definedName name="wrn.M.32" localSheetId="28" hidden="1">{#N/A,#N/A,FALSE,"M.31"}</definedName>
    <definedName name="wrn.M.32" localSheetId="29" hidden="1">{#N/A,#N/A,FALSE,"M.31"}</definedName>
    <definedName name="wrn.M.32" localSheetId="31" hidden="1">{#N/A,#N/A,FALSE,"M.31"}</definedName>
    <definedName name="wrn.M.32" localSheetId="30" hidden="1">{#N/A,#N/A,FALSE,"M.31"}</definedName>
    <definedName name="wrn.M.32" localSheetId="17" hidden="1">{#N/A,#N/A,FALSE,"M.31"}</definedName>
    <definedName name="wrn.M.32" localSheetId="18" hidden="1">{#N/A,#N/A,FALSE,"M.31"}</definedName>
    <definedName name="wrn.M.32" hidden="1">{#N/A,#N/A,FALSE,"M.31"}</definedName>
    <definedName name="wrn.M.32." localSheetId="20" hidden="1">{#N/A,#N/A,FALSE,"M.32"}</definedName>
    <definedName name="wrn.M.32." localSheetId="19" hidden="1">{#N/A,#N/A,FALSE,"M.32"}</definedName>
    <definedName name="wrn.M.32." localSheetId="26" hidden="1">{#N/A,#N/A,FALSE,"M.32"}</definedName>
    <definedName name="wrn.M.32." localSheetId="24" hidden="1">{#N/A,#N/A,FALSE,"M.32"}</definedName>
    <definedName name="wrn.M.32." localSheetId="32" hidden="1">{#N/A,#N/A,FALSE,"M.32"}</definedName>
    <definedName name="wrn.M.32." localSheetId="27" hidden="1">{#N/A,#N/A,FALSE,"M.32"}</definedName>
    <definedName name="wrn.M.32." localSheetId="28" hidden="1">{#N/A,#N/A,FALSE,"M.32"}</definedName>
    <definedName name="wrn.M.32." localSheetId="29" hidden="1">{#N/A,#N/A,FALSE,"M.32"}</definedName>
    <definedName name="wrn.M.32." localSheetId="31" hidden="1">{#N/A,#N/A,FALSE,"M.32"}</definedName>
    <definedName name="wrn.M.32." localSheetId="30" hidden="1">{#N/A,#N/A,FALSE,"M.32"}</definedName>
    <definedName name="wrn.M.32." localSheetId="17" hidden="1">{#N/A,#N/A,FALSE,"M.32"}</definedName>
    <definedName name="wrn.M.32." localSheetId="18" hidden="1">{#N/A,#N/A,FALSE,"M.32"}</definedName>
    <definedName name="wrn.M.32." hidden="1">{#N/A,#N/A,FALSE,"M.32"}</definedName>
    <definedName name="wrn.M.32.1" localSheetId="20" hidden="1">{#N/A,#N/A,FALSE,"M.32"}</definedName>
    <definedName name="wrn.M.32.1" localSheetId="19" hidden="1">{#N/A,#N/A,FALSE,"M.32"}</definedName>
    <definedName name="wrn.M.32.1" localSheetId="26" hidden="1">{#N/A,#N/A,FALSE,"M.32"}</definedName>
    <definedName name="wrn.M.32.1" localSheetId="24" hidden="1">{#N/A,#N/A,FALSE,"M.32"}</definedName>
    <definedName name="wrn.M.32.1" localSheetId="32" hidden="1">{#N/A,#N/A,FALSE,"M.32"}</definedName>
    <definedName name="wrn.M.32.1" localSheetId="27" hidden="1">{#N/A,#N/A,FALSE,"M.32"}</definedName>
    <definedName name="wrn.M.32.1" localSheetId="28" hidden="1">{#N/A,#N/A,FALSE,"M.32"}</definedName>
    <definedName name="wrn.M.32.1" localSheetId="29" hidden="1">{#N/A,#N/A,FALSE,"M.32"}</definedName>
    <definedName name="wrn.M.32.1" localSheetId="31" hidden="1">{#N/A,#N/A,FALSE,"M.32"}</definedName>
    <definedName name="wrn.M.32.1" localSheetId="30" hidden="1">{#N/A,#N/A,FALSE,"M.32"}</definedName>
    <definedName name="wrn.M.32.1" localSheetId="17" hidden="1">{#N/A,#N/A,FALSE,"M.32"}</definedName>
    <definedName name="wrn.M.32.1" localSheetId="18" hidden="1">{#N/A,#N/A,FALSE,"M.32"}</definedName>
    <definedName name="wrn.M.32.1" hidden="1">{#N/A,#N/A,FALSE,"M.32"}</definedName>
    <definedName name="wrn.M.33" localSheetId="20" hidden="1">{#N/A,#N/A,FALSE,"M.33"}</definedName>
    <definedName name="wrn.M.33" localSheetId="19" hidden="1">{#N/A,#N/A,FALSE,"M.33"}</definedName>
    <definedName name="wrn.M.33" localSheetId="26" hidden="1">{#N/A,#N/A,FALSE,"M.33"}</definedName>
    <definedName name="wrn.M.33" localSheetId="24" hidden="1">{#N/A,#N/A,FALSE,"M.33"}</definedName>
    <definedName name="wrn.M.33" localSheetId="32" hidden="1">{#N/A,#N/A,FALSE,"M.33"}</definedName>
    <definedName name="wrn.M.33" localSheetId="27" hidden="1">{#N/A,#N/A,FALSE,"M.33"}</definedName>
    <definedName name="wrn.M.33" localSheetId="28" hidden="1">{#N/A,#N/A,FALSE,"M.33"}</definedName>
    <definedName name="wrn.M.33" localSheetId="29" hidden="1">{#N/A,#N/A,FALSE,"M.33"}</definedName>
    <definedName name="wrn.M.33" localSheetId="31" hidden="1">{#N/A,#N/A,FALSE,"M.33"}</definedName>
    <definedName name="wrn.M.33" localSheetId="30" hidden="1">{#N/A,#N/A,FALSE,"M.33"}</definedName>
    <definedName name="wrn.M.33" localSheetId="17" hidden="1">{#N/A,#N/A,FALSE,"M.33"}</definedName>
    <definedName name="wrn.M.33" localSheetId="18" hidden="1">{#N/A,#N/A,FALSE,"M.33"}</definedName>
    <definedName name="wrn.M.33" hidden="1">{#N/A,#N/A,FALSE,"M.33"}</definedName>
    <definedName name="wrn.M.33." localSheetId="20" hidden="1">{#N/A,#N/A,FALSE,"M.33"}</definedName>
    <definedName name="wrn.M.33." localSheetId="19" hidden="1">{#N/A,#N/A,FALSE,"M.33"}</definedName>
    <definedName name="wrn.M.33." localSheetId="26" hidden="1">{#N/A,#N/A,FALSE,"M.33"}</definedName>
    <definedName name="wrn.M.33." localSheetId="24" hidden="1">{#N/A,#N/A,FALSE,"M.33"}</definedName>
    <definedName name="wrn.M.33." localSheetId="32" hidden="1">{#N/A,#N/A,FALSE,"M.33"}</definedName>
    <definedName name="wrn.M.33." localSheetId="27" hidden="1">{#N/A,#N/A,FALSE,"M.33"}</definedName>
    <definedName name="wrn.M.33." localSheetId="28" hidden="1">{#N/A,#N/A,FALSE,"M.33"}</definedName>
    <definedName name="wrn.M.33." localSheetId="29" hidden="1">{#N/A,#N/A,FALSE,"M.33"}</definedName>
    <definedName name="wrn.M.33." localSheetId="31" hidden="1">{#N/A,#N/A,FALSE,"M.33"}</definedName>
    <definedName name="wrn.M.33." localSheetId="30" hidden="1">{#N/A,#N/A,FALSE,"M.33"}</definedName>
    <definedName name="wrn.M.33." localSheetId="17" hidden="1">{#N/A,#N/A,FALSE,"M.33"}</definedName>
    <definedName name="wrn.M.33." localSheetId="18" hidden="1">{#N/A,#N/A,FALSE,"M.33"}</definedName>
    <definedName name="wrn.M.33." hidden="1">{#N/A,#N/A,FALSE,"M.33"}</definedName>
    <definedName name="wrn.M.333" localSheetId="20" hidden="1">{#N/A,#N/A,FALSE,"M.32"}</definedName>
    <definedName name="wrn.M.333" localSheetId="19" hidden="1">{#N/A,#N/A,FALSE,"M.32"}</definedName>
    <definedName name="wrn.M.333" localSheetId="26" hidden="1">{#N/A,#N/A,FALSE,"M.32"}</definedName>
    <definedName name="wrn.M.333" localSheetId="24" hidden="1">{#N/A,#N/A,FALSE,"M.32"}</definedName>
    <definedName name="wrn.M.333" localSheetId="32" hidden="1">{#N/A,#N/A,FALSE,"M.32"}</definedName>
    <definedName name="wrn.M.333" localSheetId="27" hidden="1">{#N/A,#N/A,FALSE,"M.32"}</definedName>
    <definedName name="wrn.M.333" localSheetId="28" hidden="1">{#N/A,#N/A,FALSE,"M.32"}</definedName>
    <definedName name="wrn.M.333" localSheetId="29" hidden="1">{#N/A,#N/A,FALSE,"M.32"}</definedName>
    <definedName name="wrn.M.333" localSheetId="31" hidden="1">{#N/A,#N/A,FALSE,"M.32"}</definedName>
    <definedName name="wrn.M.333" localSheetId="30" hidden="1">{#N/A,#N/A,FALSE,"M.32"}</definedName>
    <definedName name="wrn.M.333" localSheetId="17" hidden="1">{#N/A,#N/A,FALSE,"M.32"}</definedName>
    <definedName name="wrn.M.333" localSheetId="18" hidden="1">{#N/A,#N/A,FALSE,"M.32"}</definedName>
    <definedName name="wrn.M.333" hidden="1">{#N/A,#N/A,FALSE,"M.32"}</definedName>
    <definedName name="wrn.M.34." localSheetId="20" hidden="1">{#N/A,#N/A,FALSE,"M.34"}</definedName>
    <definedName name="wrn.M.34." localSheetId="19" hidden="1">{#N/A,#N/A,FALSE,"M.34"}</definedName>
    <definedName name="wrn.M.34." localSheetId="26" hidden="1">{#N/A,#N/A,FALSE,"M.34"}</definedName>
    <definedName name="wrn.M.34." localSheetId="24" hidden="1">{#N/A,#N/A,FALSE,"M.34"}</definedName>
    <definedName name="wrn.M.34." localSheetId="32" hidden="1">{#N/A,#N/A,FALSE,"M.34"}</definedName>
    <definedName name="wrn.M.34." localSheetId="27" hidden="1">{#N/A,#N/A,FALSE,"M.34"}</definedName>
    <definedName name="wrn.M.34." localSheetId="28" hidden="1">{#N/A,#N/A,FALSE,"M.34"}</definedName>
    <definedName name="wrn.M.34." localSheetId="29" hidden="1">{#N/A,#N/A,FALSE,"M.34"}</definedName>
    <definedName name="wrn.M.34." localSheetId="31" hidden="1">{#N/A,#N/A,FALSE,"M.34"}</definedName>
    <definedName name="wrn.M.34." localSheetId="30" hidden="1">{#N/A,#N/A,FALSE,"M.34"}</definedName>
    <definedName name="wrn.M.34." localSheetId="17" hidden="1">{#N/A,#N/A,FALSE,"M.34"}</definedName>
    <definedName name="wrn.M.34." localSheetId="18" hidden="1">{#N/A,#N/A,FALSE,"M.34"}</definedName>
    <definedName name="wrn.M.34." hidden="1">{#N/A,#N/A,FALSE,"M.34"}</definedName>
    <definedName name="wrn.M.34.1" localSheetId="20" hidden="1">{#N/A,#N/A,FALSE,"M.34"}</definedName>
    <definedName name="wrn.M.34.1" localSheetId="19" hidden="1">{#N/A,#N/A,FALSE,"M.34"}</definedName>
    <definedName name="wrn.M.34.1" localSheetId="26" hidden="1">{#N/A,#N/A,FALSE,"M.34"}</definedName>
    <definedName name="wrn.M.34.1" localSheetId="24" hidden="1">{#N/A,#N/A,FALSE,"M.34"}</definedName>
    <definedName name="wrn.M.34.1" localSheetId="32" hidden="1">{#N/A,#N/A,FALSE,"M.34"}</definedName>
    <definedName name="wrn.M.34.1" localSheetId="27" hidden="1">{#N/A,#N/A,FALSE,"M.34"}</definedName>
    <definedName name="wrn.M.34.1" localSheetId="28" hidden="1">{#N/A,#N/A,FALSE,"M.34"}</definedName>
    <definedName name="wrn.M.34.1" localSheetId="29" hidden="1">{#N/A,#N/A,FALSE,"M.34"}</definedName>
    <definedName name="wrn.M.34.1" localSheetId="31" hidden="1">{#N/A,#N/A,FALSE,"M.34"}</definedName>
    <definedName name="wrn.M.34.1" localSheetId="30" hidden="1">{#N/A,#N/A,FALSE,"M.34"}</definedName>
    <definedName name="wrn.M.34.1" localSheetId="17" hidden="1">{#N/A,#N/A,FALSE,"M.34"}</definedName>
    <definedName name="wrn.M.34.1" localSheetId="18" hidden="1">{#N/A,#N/A,FALSE,"M.34"}</definedName>
    <definedName name="wrn.M.34.1" hidden="1">{#N/A,#N/A,FALSE,"M.34"}</definedName>
    <definedName name="wrn.m.35." localSheetId="20" hidden="1">{#N/A,#N/A,FALSE,"M.34"}</definedName>
    <definedName name="wrn.m.35." localSheetId="19" hidden="1">{#N/A,#N/A,FALSE,"M.34"}</definedName>
    <definedName name="wrn.m.35." localSheetId="26" hidden="1">{#N/A,#N/A,FALSE,"M.34"}</definedName>
    <definedName name="wrn.m.35." localSheetId="24" hidden="1">{#N/A,#N/A,FALSE,"M.34"}</definedName>
    <definedName name="wrn.m.35." localSheetId="32" hidden="1">{#N/A,#N/A,FALSE,"M.34"}</definedName>
    <definedName name="wrn.m.35." localSheetId="27" hidden="1">{#N/A,#N/A,FALSE,"M.34"}</definedName>
    <definedName name="wrn.m.35." localSheetId="28" hidden="1">{#N/A,#N/A,FALSE,"M.34"}</definedName>
    <definedName name="wrn.m.35." localSheetId="29" hidden="1">{#N/A,#N/A,FALSE,"M.34"}</definedName>
    <definedName name="wrn.m.35." localSheetId="31" hidden="1">{#N/A,#N/A,FALSE,"M.34"}</definedName>
    <definedName name="wrn.m.35." localSheetId="30" hidden="1">{#N/A,#N/A,FALSE,"M.34"}</definedName>
    <definedName name="wrn.m.35." localSheetId="17" hidden="1">{#N/A,#N/A,FALSE,"M.34"}</definedName>
    <definedName name="wrn.m.35." localSheetId="18" hidden="1">{#N/A,#N/A,FALSE,"M.34"}</definedName>
    <definedName name="wrn.m.35." hidden="1">{#N/A,#N/A,FALSE,"M.34"}</definedName>
    <definedName name="wrn.M.4." localSheetId="20" hidden="1">{#N/A,#N/A,FALSE,"M.42"}</definedName>
    <definedName name="wrn.M.4." localSheetId="19" hidden="1">{#N/A,#N/A,FALSE,"M.42"}</definedName>
    <definedName name="wrn.M.4." localSheetId="26" hidden="1">{#N/A,#N/A,FALSE,"M.42"}</definedName>
    <definedName name="wrn.M.4." localSheetId="24" hidden="1">{#N/A,#N/A,FALSE,"M.42"}</definedName>
    <definedName name="wrn.M.4." localSheetId="32" hidden="1">{#N/A,#N/A,FALSE,"M.42"}</definedName>
    <definedName name="wrn.M.4." localSheetId="27" hidden="1">{#N/A,#N/A,FALSE,"M.42"}</definedName>
    <definedName name="wrn.M.4." localSheetId="28" hidden="1">{#N/A,#N/A,FALSE,"M.42"}</definedName>
    <definedName name="wrn.M.4." localSheetId="29" hidden="1">{#N/A,#N/A,FALSE,"M.42"}</definedName>
    <definedName name="wrn.M.4." localSheetId="31" hidden="1">{#N/A,#N/A,FALSE,"M.42"}</definedName>
    <definedName name="wrn.M.4." localSheetId="30" hidden="1">{#N/A,#N/A,FALSE,"M.42"}</definedName>
    <definedName name="wrn.M.4." localSheetId="17" hidden="1">{#N/A,#N/A,FALSE,"M.42"}</definedName>
    <definedName name="wrn.M.4." localSheetId="18" hidden="1">{#N/A,#N/A,FALSE,"M.42"}</definedName>
    <definedName name="wrn.M.4." hidden="1">{#N/A,#N/A,FALSE,"M.42"}</definedName>
    <definedName name="wrn.M.41." localSheetId="20" hidden="1">{#N/A,#N/A,FALSE,"M.41"}</definedName>
    <definedName name="wrn.M.41." localSheetId="19" hidden="1">{#N/A,#N/A,FALSE,"M.41"}</definedName>
    <definedName name="wrn.M.41." localSheetId="26" hidden="1">{#N/A,#N/A,FALSE,"M.41"}</definedName>
    <definedName name="wrn.M.41." localSheetId="24" hidden="1">{#N/A,#N/A,FALSE,"M.41"}</definedName>
    <definedName name="wrn.M.41." localSheetId="32" hidden="1">{#N/A,#N/A,FALSE,"M.41"}</definedName>
    <definedName name="wrn.M.41." localSheetId="27" hidden="1">{#N/A,#N/A,FALSE,"M.41"}</definedName>
    <definedName name="wrn.M.41." localSheetId="28" hidden="1">{#N/A,#N/A,FALSE,"M.41"}</definedName>
    <definedName name="wrn.M.41." localSheetId="29" hidden="1">{#N/A,#N/A,FALSE,"M.41"}</definedName>
    <definedName name="wrn.M.41." localSheetId="31" hidden="1">{#N/A,#N/A,FALSE,"M.41"}</definedName>
    <definedName name="wrn.M.41." localSheetId="30" hidden="1">{#N/A,#N/A,FALSE,"M.41"}</definedName>
    <definedName name="wrn.M.41." localSheetId="17" hidden="1">{#N/A,#N/A,FALSE,"M.41"}</definedName>
    <definedName name="wrn.M.41." localSheetId="18" hidden="1">{#N/A,#N/A,FALSE,"M.41"}</definedName>
    <definedName name="wrn.M.41." hidden="1">{#N/A,#N/A,FALSE,"M.41"}</definedName>
    <definedName name="wrn.M.42" localSheetId="20" hidden="1">{#N/A,#N/A,FALSE,"M.41"}</definedName>
    <definedName name="wrn.M.42" localSheetId="19" hidden="1">{#N/A,#N/A,FALSE,"M.41"}</definedName>
    <definedName name="wrn.M.42" localSheetId="26" hidden="1">{#N/A,#N/A,FALSE,"M.41"}</definedName>
    <definedName name="wrn.M.42" localSheetId="24" hidden="1">{#N/A,#N/A,FALSE,"M.41"}</definedName>
    <definedName name="wrn.M.42" localSheetId="32" hidden="1">{#N/A,#N/A,FALSE,"M.41"}</definedName>
    <definedName name="wrn.M.42" localSheetId="27" hidden="1">{#N/A,#N/A,FALSE,"M.41"}</definedName>
    <definedName name="wrn.M.42" localSheetId="28" hidden="1">{#N/A,#N/A,FALSE,"M.41"}</definedName>
    <definedName name="wrn.M.42" localSheetId="29" hidden="1">{#N/A,#N/A,FALSE,"M.41"}</definedName>
    <definedName name="wrn.M.42" localSheetId="31" hidden="1">{#N/A,#N/A,FALSE,"M.41"}</definedName>
    <definedName name="wrn.M.42" localSheetId="30" hidden="1">{#N/A,#N/A,FALSE,"M.41"}</definedName>
    <definedName name="wrn.M.42" localSheetId="17" hidden="1">{#N/A,#N/A,FALSE,"M.41"}</definedName>
    <definedName name="wrn.M.42" localSheetId="18" hidden="1">{#N/A,#N/A,FALSE,"M.41"}</definedName>
    <definedName name="wrn.M.42" hidden="1">{#N/A,#N/A,FALSE,"M.41"}</definedName>
    <definedName name="wrn.M.42." localSheetId="20" hidden="1">{#N/A,#N/A,FALSE,"M.42"}</definedName>
    <definedName name="wrn.M.42." localSheetId="19" hidden="1">{#N/A,#N/A,FALSE,"M.42"}</definedName>
    <definedName name="wrn.M.42." localSheetId="26" hidden="1">{#N/A,#N/A,FALSE,"M.42"}</definedName>
    <definedName name="wrn.M.42." localSheetId="24" hidden="1">{#N/A,#N/A,FALSE,"M.42"}</definedName>
    <definedName name="wrn.M.42." localSheetId="32" hidden="1">{#N/A,#N/A,FALSE,"M.42"}</definedName>
    <definedName name="wrn.M.42." localSheetId="27" hidden="1">{#N/A,#N/A,FALSE,"M.42"}</definedName>
    <definedName name="wrn.M.42." localSheetId="28" hidden="1">{#N/A,#N/A,FALSE,"M.42"}</definedName>
    <definedName name="wrn.M.42." localSheetId="29" hidden="1">{#N/A,#N/A,FALSE,"M.42"}</definedName>
    <definedName name="wrn.M.42." localSheetId="31" hidden="1">{#N/A,#N/A,FALSE,"M.42"}</definedName>
    <definedName name="wrn.M.42." localSheetId="30" hidden="1">{#N/A,#N/A,FALSE,"M.42"}</definedName>
    <definedName name="wrn.M.42." localSheetId="17" hidden="1">{#N/A,#N/A,FALSE,"M.42"}</definedName>
    <definedName name="wrn.M.42." localSheetId="18" hidden="1">{#N/A,#N/A,FALSE,"M.42"}</definedName>
    <definedName name="wrn.M.42." hidden="1">{#N/A,#N/A,FALSE,"M.42"}</definedName>
    <definedName name="wrn.M.43." localSheetId="20" hidden="1">{#N/A,#N/A,FALSE,"M.43"}</definedName>
    <definedName name="wrn.M.43." localSheetId="19" hidden="1">{#N/A,#N/A,FALSE,"M.43"}</definedName>
    <definedName name="wrn.M.43." localSheetId="26" hidden="1">{#N/A,#N/A,FALSE,"M.43"}</definedName>
    <definedName name="wrn.M.43." localSheetId="24" hidden="1">{#N/A,#N/A,FALSE,"M.43"}</definedName>
    <definedName name="wrn.M.43." localSheetId="32" hidden="1">{#N/A,#N/A,FALSE,"M.43"}</definedName>
    <definedName name="wrn.M.43." localSheetId="27" hidden="1">{#N/A,#N/A,FALSE,"M.43"}</definedName>
    <definedName name="wrn.M.43." localSheetId="28" hidden="1">{#N/A,#N/A,FALSE,"M.43"}</definedName>
    <definedName name="wrn.M.43." localSheetId="29" hidden="1">{#N/A,#N/A,FALSE,"M.43"}</definedName>
    <definedName name="wrn.M.43." localSheetId="31" hidden="1">{#N/A,#N/A,FALSE,"M.43"}</definedName>
    <definedName name="wrn.M.43." localSheetId="30" hidden="1">{#N/A,#N/A,FALSE,"M.43"}</definedName>
    <definedName name="wrn.M.43." localSheetId="17" hidden="1">{#N/A,#N/A,FALSE,"M.43"}</definedName>
    <definedName name="wrn.M.43." localSheetId="18" hidden="1">{#N/A,#N/A,FALSE,"M.43"}</definedName>
    <definedName name="wrn.M.43." hidden="1">{#N/A,#N/A,FALSE,"M.43"}</definedName>
    <definedName name="wrn.msc._.sw._.feat._.summary." localSheetId="20" hidden="1">{"msc sw feat summary",#N/A,FALSE,"MSC SW Features v. 1.1."}</definedName>
    <definedName name="wrn.msc._.sw._.feat._.summary." localSheetId="19" hidden="1">{"msc sw feat summary",#N/A,FALSE,"MSC SW Features v. 1.1."}</definedName>
    <definedName name="wrn.msc._.sw._.feat._.summary." localSheetId="26" hidden="1">{"msc sw feat summary",#N/A,FALSE,"MSC SW Features v. 1.1."}</definedName>
    <definedName name="wrn.msc._.sw._.feat._.summary." localSheetId="24" hidden="1">{"msc sw feat summary",#N/A,FALSE,"MSC SW Features v. 1.1."}</definedName>
    <definedName name="wrn.msc._.sw._.feat._.summary." localSheetId="32" hidden="1">{"msc sw feat summary",#N/A,FALSE,"MSC SW Features v. 1.1."}</definedName>
    <definedName name="wrn.msc._.sw._.feat._.summary." localSheetId="27" hidden="1">{"msc sw feat summary",#N/A,FALSE,"MSC SW Features v. 1.1."}</definedName>
    <definedName name="wrn.msc._.sw._.feat._.summary." localSheetId="28" hidden="1">{"msc sw feat summary",#N/A,FALSE,"MSC SW Features v. 1.1."}</definedName>
    <definedName name="wrn.msc._.sw._.feat._.summary." localSheetId="29" hidden="1">{"msc sw feat summary",#N/A,FALSE,"MSC SW Features v. 1.1."}</definedName>
    <definedName name="wrn.msc._.sw._.feat._.summary." localSheetId="31" hidden="1">{"msc sw feat summary",#N/A,FALSE,"MSC SW Features v. 1.1."}</definedName>
    <definedName name="wrn.msc._.sw._.feat._.summary." localSheetId="30" hidden="1">{"msc sw feat summary",#N/A,FALSE,"MSC SW Features v. 1.1."}</definedName>
    <definedName name="wrn.msc._.sw._.feat._.summary." localSheetId="17" hidden="1">{"msc sw feat summary",#N/A,FALSE,"MSC SW Features v. 1.1."}</definedName>
    <definedName name="wrn.msc._.sw._.feat._.summary." localSheetId="18" hidden="1">{"msc sw feat summary",#N/A,FALSE,"MSC SW Features v. 1.1."}</definedName>
    <definedName name="wrn.msc._.sw._.feat._.summary." hidden="1">{"msc sw feat summary",#N/A,FALSE,"MSC SW Features v. 1.1."}</definedName>
    <definedName name="wrn.n.99" localSheetId="20" hidden="1">{#N/A,#N/A,FALSE,"M.43"}</definedName>
    <definedName name="wrn.n.99" localSheetId="19" hidden="1">{#N/A,#N/A,FALSE,"M.43"}</definedName>
    <definedName name="wrn.n.99" localSheetId="26" hidden="1">{#N/A,#N/A,FALSE,"M.43"}</definedName>
    <definedName name="wrn.n.99" localSheetId="24" hidden="1">{#N/A,#N/A,FALSE,"M.43"}</definedName>
    <definedName name="wrn.n.99" localSheetId="32" hidden="1">{#N/A,#N/A,FALSE,"M.43"}</definedName>
    <definedName name="wrn.n.99" localSheetId="27" hidden="1">{#N/A,#N/A,FALSE,"M.43"}</definedName>
    <definedName name="wrn.n.99" localSheetId="28" hidden="1">{#N/A,#N/A,FALSE,"M.43"}</definedName>
    <definedName name="wrn.n.99" localSheetId="29" hidden="1">{#N/A,#N/A,FALSE,"M.43"}</definedName>
    <definedName name="wrn.n.99" localSheetId="31" hidden="1">{#N/A,#N/A,FALSE,"M.43"}</definedName>
    <definedName name="wrn.n.99" localSheetId="30" hidden="1">{#N/A,#N/A,FALSE,"M.43"}</definedName>
    <definedName name="wrn.n.99" localSheetId="17" hidden="1">{#N/A,#N/A,FALSE,"M.43"}</definedName>
    <definedName name="wrn.n.99" localSheetId="18" hidden="1">{#N/A,#N/A,FALSE,"M.43"}</definedName>
    <definedName name="wrn.n.99" hidden="1">{#N/A,#N/A,FALSE,"M.43"}</definedName>
    <definedName name="wrn.PERSIAPAN." localSheetId="20" hidden="1">{#N/A,#N/A,FALSE,"rekap";#N/A,#N/A,FALSE,"Peralatan";#N/A,#N/A,FALSE,"Tenaga Kerja";#N/A,#N/A,FALSE,"Fasilitas kontraktor";#N/A,#N/A,FALSE,"Fasilitas direksi";#N/A,#N/A,FALSE,"utilitas proyek"}</definedName>
    <definedName name="wrn.PERSIAPAN." localSheetId="19" hidden="1">{#N/A,#N/A,FALSE,"rekap";#N/A,#N/A,FALSE,"Peralatan";#N/A,#N/A,FALSE,"Tenaga Kerja";#N/A,#N/A,FALSE,"Fasilitas kontraktor";#N/A,#N/A,FALSE,"Fasilitas direksi";#N/A,#N/A,FALSE,"utilitas proyek"}</definedName>
    <definedName name="wrn.PERSIAPAN." localSheetId="26" hidden="1">{#N/A,#N/A,FALSE,"rekap";#N/A,#N/A,FALSE,"Peralatan";#N/A,#N/A,FALSE,"Tenaga Kerja";#N/A,#N/A,FALSE,"Fasilitas kontraktor";#N/A,#N/A,FALSE,"Fasilitas direksi";#N/A,#N/A,FALSE,"utilitas proyek"}</definedName>
    <definedName name="wrn.PERSIAPAN." localSheetId="23" hidden="1">{#N/A,#N/A,FALSE,"rekap";#N/A,#N/A,FALSE,"Peralatan";#N/A,#N/A,FALSE,"Tenaga Kerja";#N/A,#N/A,FALSE,"Fasilitas kontraktor";#N/A,#N/A,FALSE,"Fasilitas direksi";#N/A,#N/A,FALSE,"utilitas proyek"}</definedName>
    <definedName name="wrn.PERSIAPAN." localSheetId="24" hidden="1">{#N/A,#N/A,FALSE,"rekap";#N/A,#N/A,FALSE,"Peralatan";#N/A,#N/A,FALSE,"Tenaga Kerja";#N/A,#N/A,FALSE,"Fasilitas kontraktor";#N/A,#N/A,FALSE,"Fasilitas direksi";#N/A,#N/A,FALSE,"utilitas proyek"}</definedName>
    <definedName name="wrn.PERSIAPAN." localSheetId="32" hidden="1">{#N/A,#N/A,FALSE,"rekap";#N/A,#N/A,FALSE,"Peralatan";#N/A,#N/A,FALSE,"Tenaga Kerja";#N/A,#N/A,FALSE,"Fasilitas kontraktor";#N/A,#N/A,FALSE,"Fasilitas direksi";#N/A,#N/A,FALSE,"utilitas proyek"}</definedName>
    <definedName name="wrn.PERSIAPAN." localSheetId="27" hidden="1">{#N/A,#N/A,FALSE,"rekap";#N/A,#N/A,FALSE,"Peralatan";#N/A,#N/A,FALSE,"Tenaga Kerja";#N/A,#N/A,FALSE,"Fasilitas kontraktor";#N/A,#N/A,FALSE,"Fasilitas direksi";#N/A,#N/A,FALSE,"utilitas proyek"}</definedName>
    <definedName name="wrn.PERSIAPAN." localSheetId="28" hidden="1">{#N/A,#N/A,FALSE,"rekap";#N/A,#N/A,FALSE,"Peralatan";#N/A,#N/A,FALSE,"Tenaga Kerja";#N/A,#N/A,FALSE,"Fasilitas kontraktor";#N/A,#N/A,FALSE,"Fasilitas direksi";#N/A,#N/A,FALSE,"utilitas proyek"}</definedName>
    <definedName name="wrn.PERSIAPAN." localSheetId="29" hidden="1">{#N/A,#N/A,FALSE,"rekap";#N/A,#N/A,FALSE,"Peralatan";#N/A,#N/A,FALSE,"Tenaga Kerja";#N/A,#N/A,FALSE,"Fasilitas kontraktor";#N/A,#N/A,FALSE,"Fasilitas direksi";#N/A,#N/A,FALSE,"utilitas proyek"}</definedName>
    <definedName name="wrn.PERSIAPAN." localSheetId="31" hidden="1">{#N/A,#N/A,FALSE,"rekap";#N/A,#N/A,FALSE,"Peralatan";#N/A,#N/A,FALSE,"Tenaga Kerja";#N/A,#N/A,FALSE,"Fasilitas kontraktor";#N/A,#N/A,FALSE,"Fasilitas direksi";#N/A,#N/A,FALSE,"utilitas proyek"}</definedName>
    <definedName name="wrn.PERSIAPAN." localSheetId="30" hidden="1">{#N/A,#N/A,FALSE,"rekap";#N/A,#N/A,FALSE,"Peralatan";#N/A,#N/A,FALSE,"Tenaga Kerja";#N/A,#N/A,FALSE,"Fasilitas kontraktor";#N/A,#N/A,FALSE,"Fasilitas direksi";#N/A,#N/A,FALSE,"utilitas proyek"}</definedName>
    <definedName name="wrn.PERSIAPAN." localSheetId="13" hidden="1">{#N/A,#N/A,FALSE,"rekap";#N/A,#N/A,FALSE,"Peralatan";#N/A,#N/A,FALSE,"Tenaga Kerja";#N/A,#N/A,FALSE,"Fasilitas kontraktor";#N/A,#N/A,FALSE,"Fasilitas direksi";#N/A,#N/A,FALSE,"utilitas proyek"}</definedName>
    <definedName name="wrn.PERSIAPAN." localSheetId="17" hidden="1">{#N/A,#N/A,FALSE,"rekap";#N/A,#N/A,FALSE,"Peralatan";#N/A,#N/A,FALSE,"Tenaga Kerja";#N/A,#N/A,FALSE,"Fasilitas kontraktor";#N/A,#N/A,FALSE,"Fasilitas direksi";#N/A,#N/A,FALSE,"utilitas proyek"}</definedName>
    <definedName name="wrn.PERSIAPAN." localSheetId="18" hidden="1">{#N/A,#N/A,FALSE,"rekap";#N/A,#N/A,FALSE,"Peralatan";#N/A,#N/A,FALSE,"Tenaga Kerja";#N/A,#N/A,FALSE,"Fasilitas kontraktor";#N/A,#N/A,FALSE,"Fasilitas direksi";#N/A,#N/A,FALSE,"utilitas proyek"}</definedName>
    <definedName name="wrn.PERSIAPAN." localSheetId="22" hidden="1">{#N/A,#N/A,FALSE,"rekap";#N/A,#N/A,FALSE,"Peralatan";#N/A,#N/A,FALSE,"Tenaga Kerja";#N/A,#N/A,FALSE,"Fasilitas kontraktor";#N/A,#N/A,FALSE,"Fasilitas direksi";#N/A,#N/A,FALSE,"utilitas proyek"}</definedName>
    <definedName name="wrn.PERSIAPAN." localSheetId="40" hidden="1">{#N/A,#N/A,FALSE,"rekap";#N/A,#N/A,FALSE,"Peralatan";#N/A,#N/A,FALSE,"Tenaga Kerja";#N/A,#N/A,FALSE,"Fasilitas kontraktor";#N/A,#N/A,FALSE,"Fasilitas direksi";#N/A,#N/A,FALSE,"utilitas proyek"}</definedName>
    <definedName name="wrn.PERSIAPAN." localSheetId="41" hidden="1">{#N/A,#N/A,FALSE,"rekap";#N/A,#N/A,FALSE,"Peralatan";#N/A,#N/A,FALSE,"Tenaga Kerja";#N/A,#N/A,FALSE,"Fasilitas kontraktor";#N/A,#N/A,FALSE,"Fasilitas direksi";#N/A,#N/A,FALSE,"utilitas proyek"}</definedName>
    <definedName name="wrn.PERSIAPAN." localSheetId="42" hidden="1">{#N/A,#N/A,FALSE,"rekap";#N/A,#N/A,FALSE,"Peralatan";#N/A,#N/A,FALSE,"Tenaga Kerja";#N/A,#N/A,FALSE,"Fasilitas kontraktor";#N/A,#N/A,FALSE,"Fasilitas direksi";#N/A,#N/A,FALSE,"utilitas proyek"}</definedName>
    <definedName name="wrn.PERSIAPAN." localSheetId="35" hidden="1">{#N/A,#N/A,FALSE,"rekap";#N/A,#N/A,FALSE,"Peralatan";#N/A,#N/A,FALSE,"Tenaga Kerja";#N/A,#N/A,FALSE,"Fasilitas kontraktor";#N/A,#N/A,FALSE,"Fasilitas direksi";#N/A,#N/A,FALSE,"utilitas proyek"}</definedName>
    <definedName name="wrn.PERSIAPAN." localSheetId="38" hidden="1">{#N/A,#N/A,FALSE,"rekap";#N/A,#N/A,FALSE,"Peralatan";#N/A,#N/A,FALSE,"Tenaga Kerja";#N/A,#N/A,FALSE,"Fasilitas kontraktor";#N/A,#N/A,FALSE,"Fasilitas direksi";#N/A,#N/A,FALSE,"utilitas proyek"}</definedName>
    <definedName name="wrn.PERSIAPAN." hidden="1">{#N/A,#N/A,FALSE,"rekap";#N/A,#N/A,FALSE,"Peralatan";#N/A,#N/A,FALSE,"Tenaga Kerja";#N/A,#N/A,FALSE,"Fasilitas kontraktor";#N/A,#N/A,FALSE,"Fasilitas direksi";#N/A,#N/A,FALSE,"utilitas proyek"}</definedName>
    <definedName name="wrn.plstatement." localSheetId="20" hidden="1">{#N/A,#N/A,FALSE,"Profit &amp; Loss statement"}</definedName>
    <definedName name="wrn.plstatement." localSheetId="19" hidden="1">{#N/A,#N/A,FALSE,"Profit &amp; Loss statement"}</definedName>
    <definedName name="wrn.plstatement." localSheetId="26" hidden="1">{#N/A,#N/A,FALSE,"Profit &amp; Loss statement"}</definedName>
    <definedName name="wrn.plstatement." localSheetId="24" hidden="1">{#N/A,#N/A,FALSE,"Profit &amp; Loss statement"}</definedName>
    <definedName name="wrn.plstatement." localSheetId="32" hidden="1">{#N/A,#N/A,FALSE,"Profit &amp; Loss statement"}</definedName>
    <definedName name="wrn.plstatement." localSheetId="27" hidden="1">{#N/A,#N/A,FALSE,"Profit &amp; Loss statement"}</definedName>
    <definedName name="wrn.plstatement." localSheetId="28" hidden="1">{#N/A,#N/A,FALSE,"Profit &amp; Loss statement"}</definedName>
    <definedName name="wrn.plstatement." localSheetId="29" hidden="1">{#N/A,#N/A,FALSE,"Profit &amp; Loss statement"}</definedName>
    <definedName name="wrn.plstatement." localSheetId="31" hidden="1">{#N/A,#N/A,FALSE,"Profit &amp; Loss statement"}</definedName>
    <definedName name="wrn.plstatement." localSheetId="30" hidden="1">{#N/A,#N/A,FALSE,"Profit &amp; Loss statement"}</definedName>
    <definedName name="wrn.plstatement." localSheetId="17" hidden="1">{#N/A,#N/A,FALSE,"Profit &amp; Loss statement"}</definedName>
    <definedName name="wrn.plstatement." localSheetId="18" hidden="1">{#N/A,#N/A,FALSE,"Profit &amp; Loss statement"}</definedName>
    <definedName name="wrn.plstatement." hidden="1">{#N/A,#N/A,FALSE,"Profit &amp; Loss statement"}</definedName>
    <definedName name="wrn.PrintAll." localSheetId="20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19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26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24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32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27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28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29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31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30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17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18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 localSheetId="20" hidden="1">{#N/A,#N/A,FALSE,"Sheet1";#N/A,#N/A,FALSE,"Sheet2";#N/A,#N/A,FALSE,"Sheet3"}</definedName>
    <definedName name="wrn.PrintCurr." localSheetId="19" hidden="1">{#N/A,#N/A,FALSE,"Sheet1";#N/A,#N/A,FALSE,"Sheet2";#N/A,#N/A,FALSE,"Sheet3"}</definedName>
    <definedName name="wrn.PrintCurr." localSheetId="26" hidden="1">{#N/A,#N/A,FALSE,"Sheet1";#N/A,#N/A,FALSE,"Sheet2";#N/A,#N/A,FALSE,"Sheet3"}</definedName>
    <definedName name="wrn.PrintCurr." localSheetId="24" hidden="1">{#N/A,#N/A,FALSE,"Sheet1";#N/A,#N/A,FALSE,"Sheet2";#N/A,#N/A,FALSE,"Sheet3"}</definedName>
    <definedName name="wrn.PrintCurr." localSheetId="32" hidden="1">{#N/A,#N/A,FALSE,"Sheet1";#N/A,#N/A,FALSE,"Sheet2";#N/A,#N/A,FALSE,"Sheet3"}</definedName>
    <definedName name="wrn.PrintCurr." localSheetId="27" hidden="1">{#N/A,#N/A,FALSE,"Sheet1";#N/A,#N/A,FALSE,"Sheet2";#N/A,#N/A,FALSE,"Sheet3"}</definedName>
    <definedName name="wrn.PrintCurr." localSheetId="28" hidden="1">{#N/A,#N/A,FALSE,"Sheet1";#N/A,#N/A,FALSE,"Sheet2";#N/A,#N/A,FALSE,"Sheet3"}</definedName>
    <definedName name="wrn.PrintCurr." localSheetId="29" hidden="1">{#N/A,#N/A,FALSE,"Sheet1";#N/A,#N/A,FALSE,"Sheet2";#N/A,#N/A,FALSE,"Sheet3"}</definedName>
    <definedName name="wrn.PrintCurr." localSheetId="31" hidden="1">{#N/A,#N/A,FALSE,"Sheet1";#N/A,#N/A,FALSE,"Sheet2";#N/A,#N/A,FALSE,"Sheet3"}</definedName>
    <definedName name="wrn.PrintCurr." localSheetId="30" hidden="1">{#N/A,#N/A,FALSE,"Sheet1";#N/A,#N/A,FALSE,"Sheet2";#N/A,#N/A,FALSE,"Sheet3"}</definedName>
    <definedName name="wrn.PrintCurr." localSheetId="17" hidden="1">{#N/A,#N/A,FALSE,"Sheet1";#N/A,#N/A,FALSE,"Sheet2";#N/A,#N/A,FALSE,"Sheet3"}</definedName>
    <definedName name="wrn.PrintCurr." localSheetId="18" hidden="1">{#N/A,#N/A,FALSE,"Sheet1";#N/A,#N/A,FALSE,"Sheet2";#N/A,#N/A,FALSE,"Sheet3"}</definedName>
    <definedName name="wrn.PrintCurr." hidden="1">{#N/A,#N/A,FALSE,"Sheet1";#N/A,#N/A,FALSE,"Sheet2";#N/A,#N/A,FALSE,"Sheet3"}</definedName>
    <definedName name="wrn.PrintPrev1." localSheetId="20" hidden="1">{#N/A,#N/A,FALSE,"Sheet4";#N/A,#N/A,FALSE,"Sheet5";#N/A,#N/A,FALSE,"Sheet6"}</definedName>
    <definedName name="wrn.PrintPrev1." localSheetId="19" hidden="1">{#N/A,#N/A,FALSE,"Sheet4";#N/A,#N/A,FALSE,"Sheet5";#N/A,#N/A,FALSE,"Sheet6"}</definedName>
    <definedName name="wrn.PrintPrev1." localSheetId="26" hidden="1">{#N/A,#N/A,FALSE,"Sheet4";#N/A,#N/A,FALSE,"Sheet5";#N/A,#N/A,FALSE,"Sheet6"}</definedName>
    <definedName name="wrn.PrintPrev1." localSheetId="24" hidden="1">{#N/A,#N/A,FALSE,"Sheet4";#N/A,#N/A,FALSE,"Sheet5";#N/A,#N/A,FALSE,"Sheet6"}</definedName>
    <definedName name="wrn.PrintPrev1." localSheetId="32" hidden="1">{#N/A,#N/A,FALSE,"Sheet4";#N/A,#N/A,FALSE,"Sheet5";#N/A,#N/A,FALSE,"Sheet6"}</definedName>
    <definedName name="wrn.PrintPrev1." localSheetId="27" hidden="1">{#N/A,#N/A,FALSE,"Sheet4";#N/A,#N/A,FALSE,"Sheet5";#N/A,#N/A,FALSE,"Sheet6"}</definedName>
    <definedName name="wrn.PrintPrev1." localSheetId="28" hidden="1">{#N/A,#N/A,FALSE,"Sheet4";#N/A,#N/A,FALSE,"Sheet5";#N/A,#N/A,FALSE,"Sheet6"}</definedName>
    <definedName name="wrn.PrintPrev1." localSheetId="29" hidden="1">{#N/A,#N/A,FALSE,"Sheet4";#N/A,#N/A,FALSE,"Sheet5";#N/A,#N/A,FALSE,"Sheet6"}</definedName>
    <definedName name="wrn.PrintPrev1." localSheetId="31" hidden="1">{#N/A,#N/A,FALSE,"Sheet4";#N/A,#N/A,FALSE,"Sheet5";#N/A,#N/A,FALSE,"Sheet6"}</definedName>
    <definedName name="wrn.PrintPrev1." localSheetId="30" hidden="1">{#N/A,#N/A,FALSE,"Sheet4";#N/A,#N/A,FALSE,"Sheet5";#N/A,#N/A,FALSE,"Sheet6"}</definedName>
    <definedName name="wrn.PrintPrev1." localSheetId="17" hidden="1">{#N/A,#N/A,FALSE,"Sheet4";#N/A,#N/A,FALSE,"Sheet5";#N/A,#N/A,FALSE,"Sheet6"}</definedName>
    <definedName name="wrn.PrintPrev1." localSheetId="18" hidden="1">{#N/A,#N/A,FALSE,"Sheet4";#N/A,#N/A,FALSE,"Sheet5";#N/A,#N/A,FALSE,"Sheet6"}</definedName>
    <definedName name="wrn.PrintPrev1." hidden="1">{#N/A,#N/A,FALSE,"Sheet4";#N/A,#N/A,FALSE,"Sheet5";#N/A,#N/A,FALSE,"Sheet6"}</definedName>
    <definedName name="wrn.PrintPrev2." localSheetId="20" hidden="1">{#N/A,#N/A,FALSE,"Sheet7";#N/A,#N/A,FALSE,"Sheet8";#N/A,#N/A,FALSE,"Sheet9"}</definedName>
    <definedName name="wrn.PrintPrev2." localSheetId="19" hidden="1">{#N/A,#N/A,FALSE,"Sheet7";#N/A,#N/A,FALSE,"Sheet8";#N/A,#N/A,FALSE,"Sheet9"}</definedName>
    <definedName name="wrn.PrintPrev2." localSheetId="26" hidden="1">{#N/A,#N/A,FALSE,"Sheet7";#N/A,#N/A,FALSE,"Sheet8";#N/A,#N/A,FALSE,"Sheet9"}</definedName>
    <definedName name="wrn.PrintPrev2." localSheetId="24" hidden="1">{#N/A,#N/A,FALSE,"Sheet7";#N/A,#N/A,FALSE,"Sheet8";#N/A,#N/A,FALSE,"Sheet9"}</definedName>
    <definedName name="wrn.PrintPrev2." localSheetId="32" hidden="1">{#N/A,#N/A,FALSE,"Sheet7";#N/A,#N/A,FALSE,"Sheet8";#N/A,#N/A,FALSE,"Sheet9"}</definedName>
    <definedName name="wrn.PrintPrev2." localSheetId="27" hidden="1">{#N/A,#N/A,FALSE,"Sheet7";#N/A,#N/A,FALSE,"Sheet8";#N/A,#N/A,FALSE,"Sheet9"}</definedName>
    <definedName name="wrn.PrintPrev2." localSheetId="28" hidden="1">{#N/A,#N/A,FALSE,"Sheet7";#N/A,#N/A,FALSE,"Sheet8";#N/A,#N/A,FALSE,"Sheet9"}</definedName>
    <definedName name="wrn.PrintPrev2." localSheetId="29" hidden="1">{#N/A,#N/A,FALSE,"Sheet7";#N/A,#N/A,FALSE,"Sheet8";#N/A,#N/A,FALSE,"Sheet9"}</definedName>
    <definedName name="wrn.PrintPrev2." localSheetId="31" hidden="1">{#N/A,#N/A,FALSE,"Sheet7";#N/A,#N/A,FALSE,"Sheet8";#N/A,#N/A,FALSE,"Sheet9"}</definedName>
    <definedName name="wrn.PrintPrev2." localSheetId="30" hidden="1">{#N/A,#N/A,FALSE,"Sheet7";#N/A,#N/A,FALSE,"Sheet8";#N/A,#N/A,FALSE,"Sheet9"}</definedName>
    <definedName name="wrn.PrintPrev2." localSheetId="17" hidden="1">{#N/A,#N/A,FALSE,"Sheet7";#N/A,#N/A,FALSE,"Sheet8";#N/A,#N/A,FALSE,"Sheet9"}</definedName>
    <definedName name="wrn.PrintPrev2." localSheetId="18" hidden="1">{#N/A,#N/A,FALSE,"Sheet7";#N/A,#N/A,FALSE,"Sheet8";#N/A,#N/A,FALSE,"Sheet9"}</definedName>
    <definedName name="wrn.PrintPrev2." hidden="1">{#N/A,#N/A,FALSE,"Sheet7";#N/A,#N/A,FALSE,"Sheet8";#N/A,#N/A,FALSE,"Sheet9"}</definedName>
    <definedName name="wrn.Priority._.list." localSheetId="20" hidden="1">{#N/A,#N/A,FALSE,"DI 2 YEAR MASTER SCHEDULE"}</definedName>
    <definedName name="wrn.Priority._.list." localSheetId="19" hidden="1">{#N/A,#N/A,FALSE,"DI 2 YEAR MASTER SCHEDULE"}</definedName>
    <definedName name="wrn.Priority._.list." localSheetId="26" hidden="1">{#N/A,#N/A,FALSE,"DI 2 YEAR MASTER SCHEDULE"}</definedName>
    <definedName name="wrn.Priority._.list." localSheetId="24" hidden="1">{#N/A,#N/A,FALSE,"DI 2 YEAR MASTER SCHEDULE"}</definedName>
    <definedName name="wrn.Priority._.list." localSheetId="32" hidden="1">{#N/A,#N/A,FALSE,"DI 2 YEAR MASTER SCHEDULE"}</definedName>
    <definedName name="wrn.Priority._.list." localSheetId="27" hidden="1">{#N/A,#N/A,FALSE,"DI 2 YEAR MASTER SCHEDULE"}</definedName>
    <definedName name="wrn.Priority._.list." localSheetId="28" hidden="1">{#N/A,#N/A,FALSE,"DI 2 YEAR MASTER SCHEDULE"}</definedName>
    <definedName name="wrn.Priority._.list." localSheetId="29" hidden="1">{#N/A,#N/A,FALSE,"DI 2 YEAR MASTER SCHEDULE"}</definedName>
    <definedName name="wrn.Priority._.list." localSheetId="31" hidden="1">{#N/A,#N/A,FALSE,"DI 2 YEAR MASTER SCHEDULE"}</definedName>
    <definedName name="wrn.Priority._.list." localSheetId="30" hidden="1">{#N/A,#N/A,FALSE,"DI 2 YEAR MASTER SCHEDULE"}</definedName>
    <definedName name="wrn.Priority._.list." localSheetId="17" hidden="1">{#N/A,#N/A,FALSE,"DI 2 YEAR MASTER SCHEDULE"}</definedName>
    <definedName name="wrn.Priority._.list." localSheetId="18" hidden="1">{#N/A,#N/A,FALSE,"DI 2 YEAR MASTER SCHEDULE"}</definedName>
    <definedName name="wrn.Priority._.list." hidden="1">{#N/A,#N/A,FALSE,"DI 2 YEAR MASTER SCHEDULE"}</definedName>
    <definedName name="wrn.Prjcted._.Mnthly._.Qtys." localSheetId="20" hidden="1">{#N/A,#N/A,FALSE,"PRJCTED MNTHLY QTY's"}</definedName>
    <definedName name="wrn.Prjcted._.Mnthly._.Qtys." localSheetId="19" hidden="1">{#N/A,#N/A,FALSE,"PRJCTED MNTHLY QTY's"}</definedName>
    <definedName name="wrn.Prjcted._.Mnthly._.Qtys." localSheetId="26" hidden="1">{#N/A,#N/A,FALSE,"PRJCTED MNTHLY QTY's"}</definedName>
    <definedName name="wrn.Prjcted._.Mnthly._.Qtys." localSheetId="24" hidden="1">{#N/A,#N/A,FALSE,"PRJCTED MNTHLY QTY's"}</definedName>
    <definedName name="wrn.Prjcted._.Mnthly._.Qtys." localSheetId="32" hidden="1">{#N/A,#N/A,FALSE,"PRJCTED MNTHLY QTY's"}</definedName>
    <definedName name="wrn.Prjcted._.Mnthly._.Qtys." localSheetId="27" hidden="1">{#N/A,#N/A,FALSE,"PRJCTED MNTHLY QTY's"}</definedName>
    <definedName name="wrn.Prjcted._.Mnthly._.Qtys." localSheetId="28" hidden="1">{#N/A,#N/A,FALSE,"PRJCTED MNTHLY QTY's"}</definedName>
    <definedName name="wrn.Prjcted._.Mnthly._.Qtys." localSheetId="29" hidden="1">{#N/A,#N/A,FALSE,"PRJCTED MNTHLY QTY's"}</definedName>
    <definedName name="wrn.Prjcted._.Mnthly._.Qtys." localSheetId="31" hidden="1">{#N/A,#N/A,FALSE,"PRJCTED MNTHLY QTY's"}</definedName>
    <definedName name="wrn.Prjcted._.Mnthly._.Qtys." localSheetId="30" hidden="1">{#N/A,#N/A,FALSE,"PRJCTED MNTHLY QTY's"}</definedName>
    <definedName name="wrn.Prjcted._.Mnthly._.Qtys." localSheetId="17" hidden="1">{#N/A,#N/A,FALSE,"PRJCTED MNTHLY QTY's"}</definedName>
    <definedName name="wrn.Prjcted._.Mnthly._.Qtys." localSheetId="18" hidden="1">{#N/A,#N/A,FALSE,"PRJCTED MNTHLY QTY's"}</definedName>
    <definedName name="wrn.Prjcted._.Mnthly._.Qtys." hidden="1">{#N/A,#N/A,FALSE,"PRJCTED MNTHLY QTY's"}</definedName>
    <definedName name="wrn.Prjcted._.Qtrly._.Dollars." localSheetId="20" hidden="1">{#N/A,#N/A,FALSE,"PRJCTED QTRLY $'s"}</definedName>
    <definedName name="wrn.Prjcted._.Qtrly._.Dollars." localSheetId="19" hidden="1">{#N/A,#N/A,FALSE,"PRJCTED QTRLY $'s"}</definedName>
    <definedName name="wrn.Prjcted._.Qtrly._.Dollars." localSheetId="26" hidden="1">{#N/A,#N/A,FALSE,"PRJCTED QTRLY $'s"}</definedName>
    <definedName name="wrn.Prjcted._.Qtrly._.Dollars." localSheetId="24" hidden="1">{#N/A,#N/A,FALSE,"PRJCTED QTRLY $'s"}</definedName>
    <definedName name="wrn.Prjcted._.Qtrly._.Dollars." localSheetId="32" hidden="1">{#N/A,#N/A,FALSE,"PRJCTED QTRLY $'s"}</definedName>
    <definedName name="wrn.Prjcted._.Qtrly._.Dollars." localSheetId="27" hidden="1">{#N/A,#N/A,FALSE,"PRJCTED QTRLY $'s"}</definedName>
    <definedName name="wrn.Prjcted._.Qtrly._.Dollars." localSheetId="28" hidden="1">{#N/A,#N/A,FALSE,"PRJCTED QTRLY $'s"}</definedName>
    <definedName name="wrn.Prjcted._.Qtrly._.Dollars." localSheetId="29" hidden="1">{#N/A,#N/A,FALSE,"PRJCTED QTRLY $'s"}</definedName>
    <definedName name="wrn.Prjcted._.Qtrly._.Dollars." localSheetId="31" hidden="1">{#N/A,#N/A,FALSE,"PRJCTED QTRLY $'s"}</definedName>
    <definedName name="wrn.Prjcted._.Qtrly._.Dollars." localSheetId="30" hidden="1">{#N/A,#N/A,FALSE,"PRJCTED QTRLY $'s"}</definedName>
    <definedName name="wrn.Prjcted._.Qtrly._.Dollars." localSheetId="17" hidden="1">{#N/A,#N/A,FALSE,"PRJCTED QTRLY $'s"}</definedName>
    <definedName name="wrn.Prjcted._.Qtrly._.Dollars." localSheetId="18" hidden="1">{#N/A,#N/A,FALSE,"PRJCTED QTRLY $'s"}</definedName>
    <definedName name="wrn.Prjcted._.Qtrly._.Dollars." hidden="1">{#N/A,#N/A,FALSE,"PRJCTED QTRLY $'s"}</definedName>
    <definedName name="wrn.Prjcted._.Qtrly._.Qtys." localSheetId="20" hidden="1">{#N/A,#N/A,FALSE,"PRJCTED QTRLY QTY's"}</definedName>
    <definedName name="wrn.Prjcted._.Qtrly._.Qtys." localSheetId="19" hidden="1">{#N/A,#N/A,FALSE,"PRJCTED QTRLY QTY's"}</definedName>
    <definedName name="wrn.Prjcted._.Qtrly._.Qtys." localSheetId="26" hidden="1">{#N/A,#N/A,FALSE,"PRJCTED QTRLY QTY's"}</definedName>
    <definedName name="wrn.Prjcted._.Qtrly._.Qtys." localSheetId="24" hidden="1">{#N/A,#N/A,FALSE,"PRJCTED QTRLY QTY's"}</definedName>
    <definedName name="wrn.Prjcted._.Qtrly._.Qtys." localSheetId="32" hidden="1">{#N/A,#N/A,FALSE,"PRJCTED QTRLY QTY's"}</definedName>
    <definedName name="wrn.Prjcted._.Qtrly._.Qtys." localSheetId="27" hidden="1">{#N/A,#N/A,FALSE,"PRJCTED QTRLY QTY's"}</definedName>
    <definedName name="wrn.Prjcted._.Qtrly._.Qtys." localSheetId="28" hidden="1">{#N/A,#N/A,FALSE,"PRJCTED QTRLY QTY's"}</definedName>
    <definedName name="wrn.Prjcted._.Qtrly._.Qtys." localSheetId="29" hidden="1">{#N/A,#N/A,FALSE,"PRJCTED QTRLY QTY's"}</definedName>
    <definedName name="wrn.Prjcted._.Qtrly._.Qtys." localSheetId="31" hidden="1">{#N/A,#N/A,FALSE,"PRJCTED QTRLY QTY's"}</definedName>
    <definedName name="wrn.Prjcted._.Qtrly._.Qtys." localSheetId="30" hidden="1">{#N/A,#N/A,FALSE,"PRJCTED QTRLY QTY's"}</definedName>
    <definedName name="wrn.Prjcted._.Qtrly._.Qtys." localSheetId="17" hidden="1">{#N/A,#N/A,FALSE,"PRJCTED QTRLY QTY's"}</definedName>
    <definedName name="wrn.Prjcted._.Qtrly._.Qtys." localSheetId="18" hidden="1">{#N/A,#N/A,FALSE,"PRJCTED QTRLY QTY's"}</definedName>
    <definedName name="wrn.Prjcted._.Qtrly._.Qtys." hidden="1">{#N/A,#N/A,FALSE,"PRJCTED QTRLY QTY's"}</definedName>
    <definedName name="wrn.rep" localSheetId="20" hidden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" localSheetId="19" hidden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" localSheetId="26" hidden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" localSheetId="24" hidden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" localSheetId="32" hidden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" localSheetId="27" hidden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" localSheetId="28" hidden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" localSheetId="29" hidden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" localSheetId="31" hidden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" localSheetId="30" hidden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" localSheetId="17" hidden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" localSheetId="18" hidden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" hidden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67." localSheetId="20" hidden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67." localSheetId="19" hidden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67." localSheetId="26" hidden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67." localSheetId="24" hidden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67." localSheetId="32" hidden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67." localSheetId="27" hidden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67." localSheetId="28" hidden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67." localSheetId="29" hidden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67." localSheetId="31" hidden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67." localSheetId="30" hidden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67." localSheetId="17" hidden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67." localSheetId="18" hidden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67." hidden="1">{"w1t2",#N/A,TRUE,"Jawa";"w1t2",#N/A,TRUE,"I";"w1t2",#N/A,TRUE,"II";"w1t2",#N/A,TRUE,"III";"w1t2",#N/A,TRUE,"Batam";"w1t2",#N/A,TRUE,"IV";"w1t2",#N/A,TRUE,"V";"w1t2",#N/A,TRUE,"VI";"w1t2",#N/A,TRUE,"VII";"w1t2",#N/A,TRUE,"VIII";"w1t2",#N/A,TRUE,"IX";"w1t2",#N/A,TRUE,"X";"w1t2",#N/A,TRUE,"XI"}</definedName>
    <definedName name="wrn.REP678." localSheetId="20" hidden="1">{"Rep678",#N/A,FALSE,"Jawa";"Rep678",#N/A,FALSE,"Batam";"Rep678",#N/A,FALSE,"I";"Rep678",#N/A,FALSE,"II";"Rep678",#N/A,FALSE,"III";"Rep678",#N/A,FALSE,"IV";"Rep678",#N/A,FALSE,"V";"Rep678",#N/A,FALSE,"VI";"Rep678",#N/A,FALSE,"VII";"Rep678",#N/A,FALSE,"VIII";"Rep678",#N/A,FALSE,"IX";"Rep678",#N/A,FALSE,"X";"Rep678",#N/A,FALSE,"XI"}</definedName>
    <definedName name="wrn.REP678." localSheetId="19" hidden="1">{"Rep678",#N/A,FALSE,"Jawa";"Rep678",#N/A,FALSE,"Batam";"Rep678",#N/A,FALSE,"I";"Rep678",#N/A,FALSE,"II";"Rep678",#N/A,FALSE,"III";"Rep678",#N/A,FALSE,"IV";"Rep678",#N/A,FALSE,"V";"Rep678",#N/A,FALSE,"VI";"Rep678",#N/A,FALSE,"VII";"Rep678",#N/A,FALSE,"VIII";"Rep678",#N/A,FALSE,"IX";"Rep678",#N/A,FALSE,"X";"Rep678",#N/A,FALSE,"XI"}</definedName>
    <definedName name="wrn.REP678." localSheetId="26" hidden="1">{"Rep678",#N/A,FALSE,"Jawa";"Rep678",#N/A,FALSE,"Batam";"Rep678",#N/A,FALSE,"I";"Rep678",#N/A,FALSE,"II";"Rep678",#N/A,FALSE,"III";"Rep678",#N/A,FALSE,"IV";"Rep678",#N/A,FALSE,"V";"Rep678",#N/A,FALSE,"VI";"Rep678",#N/A,FALSE,"VII";"Rep678",#N/A,FALSE,"VIII";"Rep678",#N/A,FALSE,"IX";"Rep678",#N/A,FALSE,"X";"Rep678",#N/A,FALSE,"XI"}</definedName>
    <definedName name="wrn.REP678." localSheetId="24" hidden="1">{"Rep678",#N/A,FALSE,"Jawa";"Rep678",#N/A,FALSE,"Batam";"Rep678",#N/A,FALSE,"I";"Rep678",#N/A,FALSE,"II";"Rep678",#N/A,FALSE,"III";"Rep678",#N/A,FALSE,"IV";"Rep678",#N/A,FALSE,"V";"Rep678",#N/A,FALSE,"VI";"Rep678",#N/A,FALSE,"VII";"Rep678",#N/A,FALSE,"VIII";"Rep678",#N/A,FALSE,"IX";"Rep678",#N/A,FALSE,"X";"Rep678",#N/A,FALSE,"XI"}</definedName>
    <definedName name="wrn.REP678." localSheetId="32" hidden="1">{"Rep678",#N/A,FALSE,"Jawa";"Rep678",#N/A,FALSE,"Batam";"Rep678",#N/A,FALSE,"I";"Rep678",#N/A,FALSE,"II";"Rep678",#N/A,FALSE,"III";"Rep678",#N/A,FALSE,"IV";"Rep678",#N/A,FALSE,"V";"Rep678",#N/A,FALSE,"VI";"Rep678",#N/A,FALSE,"VII";"Rep678",#N/A,FALSE,"VIII";"Rep678",#N/A,FALSE,"IX";"Rep678",#N/A,FALSE,"X";"Rep678",#N/A,FALSE,"XI"}</definedName>
    <definedName name="wrn.REP678." localSheetId="27" hidden="1">{"Rep678",#N/A,FALSE,"Jawa";"Rep678",#N/A,FALSE,"Batam";"Rep678",#N/A,FALSE,"I";"Rep678",#N/A,FALSE,"II";"Rep678",#N/A,FALSE,"III";"Rep678",#N/A,FALSE,"IV";"Rep678",#N/A,FALSE,"V";"Rep678",#N/A,FALSE,"VI";"Rep678",#N/A,FALSE,"VII";"Rep678",#N/A,FALSE,"VIII";"Rep678",#N/A,FALSE,"IX";"Rep678",#N/A,FALSE,"X";"Rep678",#N/A,FALSE,"XI"}</definedName>
    <definedName name="wrn.REP678." localSheetId="28" hidden="1">{"Rep678",#N/A,FALSE,"Jawa";"Rep678",#N/A,FALSE,"Batam";"Rep678",#N/A,FALSE,"I";"Rep678",#N/A,FALSE,"II";"Rep678",#N/A,FALSE,"III";"Rep678",#N/A,FALSE,"IV";"Rep678",#N/A,FALSE,"V";"Rep678",#N/A,FALSE,"VI";"Rep678",#N/A,FALSE,"VII";"Rep678",#N/A,FALSE,"VIII";"Rep678",#N/A,FALSE,"IX";"Rep678",#N/A,FALSE,"X";"Rep678",#N/A,FALSE,"XI"}</definedName>
    <definedName name="wrn.REP678." localSheetId="29" hidden="1">{"Rep678",#N/A,FALSE,"Jawa";"Rep678",#N/A,FALSE,"Batam";"Rep678",#N/A,FALSE,"I";"Rep678",#N/A,FALSE,"II";"Rep678",#N/A,FALSE,"III";"Rep678",#N/A,FALSE,"IV";"Rep678",#N/A,FALSE,"V";"Rep678",#N/A,FALSE,"VI";"Rep678",#N/A,FALSE,"VII";"Rep678",#N/A,FALSE,"VIII";"Rep678",#N/A,FALSE,"IX";"Rep678",#N/A,FALSE,"X";"Rep678",#N/A,FALSE,"XI"}</definedName>
    <definedName name="wrn.REP678." localSheetId="31" hidden="1">{"Rep678",#N/A,FALSE,"Jawa";"Rep678",#N/A,FALSE,"Batam";"Rep678",#N/A,FALSE,"I";"Rep678",#N/A,FALSE,"II";"Rep678",#N/A,FALSE,"III";"Rep678",#N/A,FALSE,"IV";"Rep678",#N/A,FALSE,"V";"Rep678",#N/A,FALSE,"VI";"Rep678",#N/A,FALSE,"VII";"Rep678",#N/A,FALSE,"VIII";"Rep678",#N/A,FALSE,"IX";"Rep678",#N/A,FALSE,"X";"Rep678",#N/A,FALSE,"XI"}</definedName>
    <definedName name="wrn.REP678." localSheetId="30" hidden="1">{"Rep678",#N/A,FALSE,"Jawa";"Rep678",#N/A,FALSE,"Batam";"Rep678",#N/A,FALSE,"I";"Rep678",#N/A,FALSE,"II";"Rep678",#N/A,FALSE,"III";"Rep678",#N/A,FALSE,"IV";"Rep678",#N/A,FALSE,"V";"Rep678",#N/A,FALSE,"VI";"Rep678",#N/A,FALSE,"VII";"Rep678",#N/A,FALSE,"VIII";"Rep678",#N/A,FALSE,"IX";"Rep678",#N/A,FALSE,"X";"Rep678",#N/A,FALSE,"XI"}</definedName>
    <definedName name="wrn.REP678." localSheetId="17" hidden="1">{"Rep678",#N/A,FALSE,"Jawa";"Rep678",#N/A,FALSE,"Batam";"Rep678",#N/A,FALSE,"I";"Rep678",#N/A,FALSE,"II";"Rep678",#N/A,FALSE,"III";"Rep678",#N/A,FALSE,"IV";"Rep678",#N/A,FALSE,"V";"Rep678",#N/A,FALSE,"VI";"Rep678",#N/A,FALSE,"VII";"Rep678",#N/A,FALSE,"VIII";"Rep678",#N/A,FALSE,"IX";"Rep678",#N/A,FALSE,"X";"Rep678",#N/A,FALSE,"XI"}</definedName>
    <definedName name="wrn.REP678." localSheetId="18" hidden="1">{"Rep678",#N/A,FALSE,"Jawa";"Rep678",#N/A,FALSE,"Batam";"Rep678",#N/A,FALSE,"I";"Rep678",#N/A,FALSE,"II";"Rep678",#N/A,FALSE,"III";"Rep678",#N/A,FALSE,"IV";"Rep678",#N/A,FALSE,"V";"Rep678",#N/A,FALSE,"VI";"Rep678",#N/A,FALSE,"VII";"Rep678",#N/A,FALSE,"VIII";"Rep678",#N/A,FALSE,"IX";"Rep678",#N/A,FALSE,"X";"Rep678",#N/A,FALSE,"XI"}</definedName>
    <definedName name="wrn.REP678." hidden="1">{"Rep678",#N/A,FALSE,"Jawa";"Rep678",#N/A,FALSE,"Batam";"Rep678",#N/A,FALSE,"I";"Rep678",#N/A,FALSE,"II";"Rep678",#N/A,FALSE,"III";"Rep678",#N/A,FALSE,"IV";"Rep678",#N/A,FALSE,"V";"Rep678",#N/A,FALSE,"VI";"Rep678",#N/A,FALSE,"VII";"Rep678",#N/A,FALSE,"VIII";"Rep678",#N/A,FALSE,"IX";"Rep678",#N/A,FALSE,"X";"Rep678",#N/A,FALSE,"XI"}</definedName>
    <definedName name="wrn.REPORT." localSheetId="20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wrn.REPORT." localSheetId="19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wrn.REPORT." localSheetId="26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wrn.REPORT." localSheetId="24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wrn.REPORT." localSheetId="32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wrn.REPORT." localSheetId="27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wrn.REPORT." localSheetId="28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wrn.REPORT." localSheetId="29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wrn.REPORT." localSheetId="31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wrn.REPORT." localSheetId="30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wrn.REPORT." localSheetId="17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wrn.REPORT." localSheetId="18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wrn.REPORT.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wrn.rtpl." localSheetId="20" hidden="1">{#N/A,#N/A,FALSE,"REK-S-TPL";#N/A,#N/A,FALSE,"REK-TPML";#N/A,#N/A,FALSE,"RAB-TEMPEL"}</definedName>
    <definedName name="wrn.rtpl." localSheetId="19" hidden="1">{#N/A,#N/A,FALSE,"REK-S-TPL";#N/A,#N/A,FALSE,"REK-TPML";#N/A,#N/A,FALSE,"RAB-TEMPEL"}</definedName>
    <definedName name="wrn.rtpl." localSheetId="26" hidden="1">{#N/A,#N/A,FALSE,"REK-S-TPL";#N/A,#N/A,FALSE,"REK-TPML";#N/A,#N/A,FALSE,"RAB-TEMPEL"}</definedName>
    <definedName name="wrn.rtpl." localSheetId="23" hidden="1">{#N/A,#N/A,FALSE,"REK-S-TPL";#N/A,#N/A,FALSE,"REK-TPML";#N/A,#N/A,FALSE,"RAB-TEMPEL"}</definedName>
    <definedName name="wrn.rtpl." localSheetId="24" hidden="1">{#N/A,#N/A,FALSE,"REK-S-TPL";#N/A,#N/A,FALSE,"REK-TPML";#N/A,#N/A,FALSE,"RAB-TEMPEL"}</definedName>
    <definedName name="wrn.rtpl." localSheetId="32" hidden="1">{#N/A,#N/A,FALSE,"REK-S-TPL";#N/A,#N/A,FALSE,"REK-TPML";#N/A,#N/A,FALSE,"RAB-TEMPEL"}</definedName>
    <definedName name="wrn.rtpl." localSheetId="27" hidden="1">{#N/A,#N/A,FALSE,"REK-S-TPL";#N/A,#N/A,FALSE,"REK-TPML";#N/A,#N/A,FALSE,"RAB-TEMPEL"}</definedName>
    <definedName name="wrn.rtpl." localSheetId="28" hidden="1">{#N/A,#N/A,FALSE,"REK-S-TPL";#N/A,#N/A,FALSE,"REK-TPML";#N/A,#N/A,FALSE,"RAB-TEMPEL"}</definedName>
    <definedName name="wrn.rtpl." localSheetId="29" hidden="1">{#N/A,#N/A,FALSE,"REK-S-TPL";#N/A,#N/A,FALSE,"REK-TPML";#N/A,#N/A,FALSE,"RAB-TEMPEL"}</definedName>
    <definedName name="wrn.rtpl." localSheetId="31" hidden="1">{#N/A,#N/A,FALSE,"REK-S-TPL";#N/A,#N/A,FALSE,"REK-TPML";#N/A,#N/A,FALSE,"RAB-TEMPEL"}</definedName>
    <definedName name="wrn.rtpl." localSheetId="30" hidden="1">{#N/A,#N/A,FALSE,"REK-S-TPL";#N/A,#N/A,FALSE,"REK-TPML";#N/A,#N/A,FALSE,"RAB-TEMPEL"}</definedName>
    <definedName name="wrn.rtpl." localSheetId="13" hidden="1">{#N/A,#N/A,FALSE,"REK-S-TPL";#N/A,#N/A,FALSE,"REK-TPML";#N/A,#N/A,FALSE,"RAB-TEMPEL"}</definedName>
    <definedName name="wrn.rtpl." localSheetId="15" hidden="1">{#N/A,#N/A,FALSE,"REK-S-TPL";#N/A,#N/A,FALSE,"REK-TPML";#N/A,#N/A,FALSE,"RAB-TEMPEL"}</definedName>
    <definedName name="wrn.rtpl." localSheetId="17" hidden="1">{#N/A,#N/A,FALSE,"REK-S-TPL";#N/A,#N/A,FALSE,"REK-TPML";#N/A,#N/A,FALSE,"RAB-TEMPEL"}</definedName>
    <definedName name="wrn.rtpl." localSheetId="18" hidden="1">{#N/A,#N/A,FALSE,"REK-S-TPL";#N/A,#N/A,FALSE,"REK-TPML";#N/A,#N/A,FALSE,"RAB-TEMPEL"}</definedName>
    <definedName name="wrn.rtpl." localSheetId="22" hidden="1">{#N/A,#N/A,FALSE,"REK-S-TPL";#N/A,#N/A,FALSE,"REK-TPML";#N/A,#N/A,FALSE,"RAB-TEMPEL"}</definedName>
    <definedName name="wrn.rtpl." localSheetId="40" hidden="1">{#N/A,#N/A,FALSE,"REK-S-TPL";#N/A,#N/A,FALSE,"REK-TPML";#N/A,#N/A,FALSE,"RAB-TEMPEL"}</definedName>
    <definedName name="wrn.rtpl." localSheetId="41" hidden="1">{#N/A,#N/A,FALSE,"REK-S-TPL";#N/A,#N/A,FALSE,"REK-TPML";#N/A,#N/A,FALSE,"RAB-TEMPEL"}</definedName>
    <definedName name="wrn.rtpl." localSheetId="42" hidden="1">{#N/A,#N/A,FALSE,"REK-S-TPL";#N/A,#N/A,FALSE,"REK-TPML";#N/A,#N/A,FALSE,"RAB-TEMPEL"}</definedName>
    <definedName name="wrn.rtpl." localSheetId="35" hidden="1">{#N/A,#N/A,FALSE,"REK-S-TPL";#N/A,#N/A,FALSE,"REK-TPML";#N/A,#N/A,FALSE,"RAB-TEMPEL"}</definedName>
    <definedName name="wrn.rtpl." localSheetId="38" hidden="1">{#N/A,#N/A,FALSE,"REK-S-TPL";#N/A,#N/A,FALSE,"REK-TPML";#N/A,#N/A,FALSE,"RAB-TEMPEL"}</definedName>
    <definedName name="wrn.rtpl." hidden="1">{#N/A,#N/A,FALSE,"REK-S-TPL";#N/A,#N/A,FALSE,"REK-TPML";#N/A,#N/A,FALSE,"RAB-TEMPEL"}</definedName>
    <definedName name="wrn.rtpl.1" localSheetId="20" hidden="1">{#N/A,#N/A,FALSE,"REK-S-TPL";#N/A,#N/A,FALSE,"REK-TPML";#N/A,#N/A,FALSE,"RAB-TEMPEL"}</definedName>
    <definedName name="wrn.rtpl.1" localSheetId="19" hidden="1">{#N/A,#N/A,FALSE,"REK-S-TPL";#N/A,#N/A,FALSE,"REK-TPML";#N/A,#N/A,FALSE,"RAB-TEMPEL"}</definedName>
    <definedName name="wrn.rtpl.1" localSheetId="26" hidden="1">{#N/A,#N/A,FALSE,"REK-S-TPL";#N/A,#N/A,FALSE,"REK-TPML";#N/A,#N/A,FALSE,"RAB-TEMPEL"}</definedName>
    <definedName name="wrn.rtpl.1" localSheetId="24" hidden="1">{#N/A,#N/A,FALSE,"REK-S-TPL";#N/A,#N/A,FALSE,"REK-TPML";#N/A,#N/A,FALSE,"RAB-TEMPEL"}</definedName>
    <definedName name="wrn.rtpl.1" localSheetId="32" hidden="1">{#N/A,#N/A,FALSE,"REK-S-TPL";#N/A,#N/A,FALSE,"REK-TPML";#N/A,#N/A,FALSE,"RAB-TEMPEL"}</definedName>
    <definedName name="wrn.rtpl.1" localSheetId="27" hidden="1">{#N/A,#N/A,FALSE,"REK-S-TPL";#N/A,#N/A,FALSE,"REK-TPML";#N/A,#N/A,FALSE,"RAB-TEMPEL"}</definedName>
    <definedName name="wrn.rtpl.1" localSheetId="28" hidden="1">{#N/A,#N/A,FALSE,"REK-S-TPL";#N/A,#N/A,FALSE,"REK-TPML";#N/A,#N/A,FALSE,"RAB-TEMPEL"}</definedName>
    <definedName name="wrn.rtpl.1" localSheetId="29" hidden="1">{#N/A,#N/A,FALSE,"REK-S-TPL";#N/A,#N/A,FALSE,"REK-TPML";#N/A,#N/A,FALSE,"RAB-TEMPEL"}</definedName>
    <definedName name="wrn.rtpl.1" localSheetId="31" hidden="1">{#N/A,#N/A,FALSE,"REK-S-TPL";#N/A,#N/A,FALSE,"REK-TPML";#N/A,#N/A,FALSE,"RAB-TEMPEL"}</definedName>
    <definedName name="wrn.rtpl.1" localSheetId="30" hidden="1">{#N/A,#N/A,FALSE,"REK-S-TPL";#N/A,#N/A,FALSE,"REK-TPML";#N/A,#N/A,FALSE,"RAB-TEMPEL"}</definedName>
    <definedName name="wrn.rtpl.1" localSheetId="17" hidden="1">{#N/A,#N/A,FALSE,"REK-S-TPL";#N/A,#N/A,FALSE,"REK-TPML";#N/A,#N/A,FALSE,"RAB-TEMPEL"}</definedName>
    <definedName name="wrn.rtpl.1" localSheetId="18" hidden="1">{#N/A,#N/A,FALSE,"REK-S-TPL";#N/A,#N/A,FALSE,"REK-TPML";#N/A,#N/A,FALSE,"RAB-TEMPEL"}</definedName>
    <definedName name="wrn.rtpl.1" hidden="1">{#N/A,#N/A,FALSE,"REK-S-TPL";#N/A,#N/A,FALSE,"REK-TPML";#N/A,#N/A,FALSE,"RAB-TEMPEL"}</definedName>
    <definedName name="wrn.rtpl.2" localSheetId="20" hidden="1">{#N/A,#N/A,FALSE,"REK-S-TPL";#N/A,#N/A,FALSE,"REK-TPML";#N/A,#N/A,FALSE,"RAB-TEMPEL"}</definedName>
    <definedName name="wrn.rtpl.2" localSheetId="19" hidden="1">{#N/A,#N/A,FALSE,"REK-S-TPL";#N/A,#N/A,FALSE,"REK-TPML";#N/A,#N/A,FALSE,"RAB-TEMPEL"}</definedName>
    <definedName name="wrn.rtpl.2" localSheetId="26" hidden="1">{#N/A,#N/A,FALSE,"REK-S-TPL";#N/A,#N/A,FALSE,"REK-TPML";#N/A,#N/A,FALSE,"RAB-TEMPEL"}</definedName>
    <definedName name="wrn.rtpl.2" localSheetId="24" hidden="1">{#N/A,#N/A,FALSE,"REK-S-TPL";#N/A,#N/A,FALSE,"REK-TPML";#N/A,#N/A,FALSE,"RAB-TEMPEL"}</definedName>
    <definedName name="wrn.rtpl.2" localSheetId="32" hidden="1">{#N/A,#N/A,FALSE,"REK-S-TPL";#N/A,#N/A,FALSE,"REK-TPML";#N/A,#N/A,FALSE,"RAB-TEMPEL"}</definedName>
    <definedName name="wrn.rtpl.2" localSheetId="27" hidden="1">{#N/A,#N/A,FALSE,"REK-S-TPL";#N/A,#N/A,FALSE,"REK-TPML";#N/A,#N/A,FALSE,"RAB-TEMPEL"}</definedName>
    <definedName name="wrn.rtpl.2" localSheetId="28" hidden="1">{#N/A,#N/A,FALSE,"REK-S-TPL";#N/A,#N/A,FALSE,"REK-TPML";#N/A,#N/A,FALSE,"RAB-TEMPEL"}</definedName>
    <definedName name="wrn.rtpl.2" localSheetId="29" hidden="1">{#N/A,#N/A,FALSE,"REK-S-TPL";#N/A,#N/A,FALSE,"REK-TPML";#N/A,#N/A,FALSE,"RAB-TEMPEL"}</definedName>
    <definedName name="wrn.rtpl.2" localSheetId="31" hidden="1">{#N/A,#N/A,FALSE,"REK-S-TPL";#N/A,#N/A,FALSE,"REK-TPML";#N/A,#N/A,FALSE,"RAB-TEMPEL"}</definedName>
    <definedName name="wrn.rtpl.2" localSheetId="30" hidden="1">{#N/A,#N/A,FALSE,"REK-S-TPL";#N/A,#N/A,FALSE,"REK-TPML";#N/A,#N/A,FALSE,"RAB-TEMPEL"}</definedName>
    <definedName name="wrn.rtpl.2" localSheetId="17" hidden="1">{#N/A,#N/A,FALSE,"REK-S-TPL";#N/A,#N/A,FALSE,"REK-TPML";#N/A,#N/A,FALSE,"RAB-TEMPEL"}</definedName>
    <definedName name="wrn.rtpl.2" localSheetId="18" hidden="1">{#N/A,#N/A,FALSE,"REK-S-TPL";#N/A,#N/A,FALSE,"REK-TPML";#N/A,#N/A,FALSE,"RAB-TEMPEL"}</definedName>
    <definedName name="wrn.rtpl.2" hidden="1">{#N/A,#N/A,FALSE,"REK-S-TPL";#N/A,#N/A,FALSE,"REK-TPML";#N/A,#N/A,FALSE,"RAB-TEMPEL"}</definedName>
    <definedName name="wrn.rtpl.3" localSheetId="20" hidden="1">{#N/A,#N/A,FALSE,"REK-S-TPL";#N/A,#N/A,FALSE,"REK-TPML";#N/A,#N/A,FALSE,"RAB-TEMPEL"}</definedName>
    <definedName name="wrn.rtpl.3" localSheetId="19" hidden="1">{#N/A,#N/A,FALSE,"REK-S-TPL";#N/A,#N/A,FALSE,"REK-TPML";#N/A,#N/A,FALSE,"RAB-TEMPEL"}</definedName>
    <definedName name="wrn.rtpl.3" localSheetId="26" hidden="1">{#N/A,#N/A,FALSE,"REK-S-TPL";#N/A,#N/A,FALSE,"REK-TPML";#N/A,#N/A,FALSE,"RAB-TEMPEL"}</definedName>
    <definedName name="wrn.rtpl.3" localSheetId="24" hidden="1">{#N/A,#N/A,FALSE,"REK-S-TPL";#N/A,#N/A,FALSE,"REK-TPML";#N/A,#N/A,FALSE,"RAB-TEMPEL"}</definedName>
    <definedName name="wrn.rtpl.3" localSheetId="32" hidden="1">{#N/A,#N/A,FALSE,"REK-S-TPL";#N/A,#N/A,FALSE,"REK-TPML";#N/A,#N/A,FALSE,"RAB-TEMPEL"}</definedName>
    <definedName name="wrn.rtpl.3" localSheetId="27" hidden="1">{#N/A,#N/A,FALSE,"REK-S-TPL";#N/A,#N/A,FALSE,"REK-TPML";#N/A,#N/A,FALSE,"RAB-TEMPEL"}</definedName>
    <definedName name="wrn.rtpl.3" localSheetId="28" hidden="1">{#N/A,#N/A,FALSE,"REK-S-TPL";#N/A,#N/A,FALSE,"REK-TPML";#N/A,#N/A,FALSE,"RAB-TEMPEL"}</definedName>
    <definedName name="wrn.rtpl.3" localSheetId="29" hidden="1">{#N/A,#N/A,FALSE,"REK-S-TPL";#N/A,#N/A,FALSE,"REK-TPML";#N/A,#N/A,FALSE,"RAB-TEMPEL"}</definedName>
    <definedName name="wrn.rtpl.3" localSheetId="31" hidden="1">{#N/A,#N/A,FALSE,"REK-S-TPL";#N/A,#N/A,FALSE,"REK-TPML";#N/A,#N/A,FALSE,"RAB-TEMPEL"}</definedName>
    <definedName name="wrn.rtpl.3" localSheetId="30" hidden="1">{#N/A,#N/A,FALSE,"REK-S-TPL";#N/A,#N/A,FALSE,"REK-TPML";#N/A,#N/A,FALSE,"RAB-TEMPEL"}</definedName>
    <definedName name="wrn.rtpl.3" localSheetId="17" hidden="1">{#N/A,#N/A,FALSE,"REK-S-TPL";#N/A,#N/A,FALSE,"REK-TPML";#N/A,#N/A,FALSE,"RAB-TEMPEL"}</definedName>
    <definedName name="wrn.rtpl.3" localSheetId="18" hidden="1">{#N/A,#N/A,FALSE,"REK-S-TPL";#N/A,#N/A,FALSE,"REK-TPML";#N/A,#N/A,FALSE,"RAB-TEMPEL"}</definedName>
    <definedName name="wrn.rtpl.3" hidden="1">{#N/A,#N/A,FALSE,"REK-S-TPL";#N/A,#N/A,FALSE,"REK-TPML";#N/A,#N/A,FALSE,"RAB-TEMPEL"}</definedName>
    <definedName name="wrn.ry." localSheetId="20" hidden="1">{#N/A,#N/A,FALSE,"REK";#N/A,#N/A,FALSE,"rab"}</definedName>
    <definedName name="wrn.ry." localSheetId="19" hidden="1">{#N/A,#N/A,FALSE,"REK";#N/A,#N/A,FALSE,"rab"}</definedName>
    <definedName name="wrn.ry." localSheetId="26" hidden="1">{#N/A,#N/A,FALSE,"REK";#N/A,#N/A,FALSE,"rab"}</definedName>
    <definedName name="wrn.ry." localSheetId="23" hidden="1">{#N/A,#N/A,FALSE,"REK";#N/A,#N/A,FALSE,"rab"}</definedName>
    <definedName name="wrn.ry." localSheetId="24" hidden="1">{#N/A,#N/A,FALSE,"REK";#N/A,#N/A,FALSE,"rab"}</definedName>
    <definedName name="wrn.ry." localSheetId="32" hidden="1">{#N/A,#N/A,FALSE,"REK";#N/A,#N/A,FALSE,"rab"}</definedName>
    <definedName name="wrn.ry." localSheetId="27" hidden="1">{#N/A,#N/A,FALSE,"REK";#N/A,#N/A,FALSE,"rab"}</definedName>
    <definedName name="wrn.ry." localSheetId="28" hidden="1">{#N/A,#N/A,FALSE,"REK";#N/A,#N/A,FALSE,"rab"}</definedName>
    <definedName name="wrn.ry." localSheetId="29" hidden="1">{#N/A,#N/A,FALSE,"REK";#N/A,#N/A,FALSE,"rab"}</definedName>
    <definedName name="wrn.ry." localSheetId="31" hidden="1">{#N/A,#N/A,FALSE,"REK";#N/A,#N/A,FALSE,"rab"}</definedName>
    <definedName name="wrn.ry." localSheetId="30" hidden="1">{#N/A,#N/A,FALSE,"REK";#N/A,#N/A,FALSE,"rab"}</definedName>
    <definedName name="wrn.ry." localSheetId="13" hidden="1">{#N/A,#N/A,FALSE,"REK";#N/A,#N/A,FALSE,"rab"}</definedName>
    <definedName name="wrn.ry." localSheetId="15" hidden="1">{#N/A,#N/A,FALSE,"REK";#N/A,#N/A,FALSE,"rab"}</definedName>
    <definedName name="wrn.ry." localSheetId="17" hidden="1">{#N/A,#N/A,FALSE,"REK";#N/A,#N/A,FALSE,"rab"}</definedName>
    <definedName name="wrn.ry." localSheetId="18" hidden="1">{#N/A,#N/A,FALSE,"REK";#N/A,#N/A,FALSE,"rab"}</definedName>
    <definedName name="wrn.ry." localSheetId="22" hidden="1">{#N/A,#N/A,FALSE,"REK";#N/A,#N/A,FALSE,"rab"}</definedName>
    <definedName name="wrn.ry." localSheetId="40" hidden="1">{#N/A,#N/A,FALSE,"REK";#N/A,#N/A,FALSE,"rab"}</definedName>
    <definedName name="wrn.ry." localSheetId="41" hidden="1">{#N/A,#N/A,FALSE,"REK";#N/A,#N/A,FALSE,"rab"}</definedName>
    <definedName name="wrn.ry." localSheetId="42" hidden="1">{#N/A,#N/A,FALSE,"REK";#N/A,#N/A,FALSE,"rab"}</definedName>
    <definedName name="wrn.ry." localSheetId="35" hidden="1">{#N/A,#N/A,FALSE,"REK";#N/A,#N/A,FALSE,"rab"}</definedName>
    <definedName name="wrn.ry." localSheetId="38" hidden="1">{#N/A,#N/A,FALSE,"REK";#N/A,#N/A,FALSE,"rab"}</definedName>
    <definedName name="wrn.ry." hidden="1">{#N/A,#N/A,FALSE,"REK";#N/A,#N/A,FALSE,"rab"}</definedName>
    <definedName name="wrn.ry.1" localSheetId="20" hidden="1">{#N/A,#N/A,FALSE,"REK";#N/A,#N/A,FALSE,"rab"}</definedName>
    <definedName name="wrn.ry.1" localSheetId="19" hidden="1">{#N/A,#N/A,FALSE,"REK";#N/A,#N/A,FALSE,"rab"}</definedName>
    <definedName name="wrn.ry.1" localSheetId="26" hidden="1">{#N/A,#N/A,FALSE,"REK";#N/A,#N/A,FALSE,"rab"}</definedName>
    <definedName name="wrn.ry.1" localSheetId="24" hidden="1">{#N/A,#N/A,FALSE,"REK";#N/A,#N/A,FALSE,"rab"}</definedName>
    <definedName name="wrn.ry.1" localSheetId="32" hidden="1">{#N/A,#N/A,FALSE,"REK";#N/A,#N/A,FALSE,"rab"}</definedName>
    <definedName name="wrn.ry.1" localSheetId="27" hidden="1">{#N/A,#N/A,FALSE,"REK";#N/A,#N/A,FALSE,"rab"}</definedName>
    <definedName name="wrn.ry.1" localSheetId="28" hidden="1">{#N/A,#N/A,FALSE,"REK";#N/A,#N/A,FALSE,"rab"}</definedName>
    <definedName name="wrn.ry.1" localSheetId="29" hidden="1">{#N/A,#N/A,FALSE,"REK";#N/A,#N/A,FALSE,"rab"}</definedName>
    <definedName name="wrn.ry.1" localSheetId="31" hidden="1">{#N/A,#N/A,FALSE,"REK";#N/A,#N/A,FALSE,"rab"}</definedName>
    <definedName name="wrn.ry.1" localSheetId="30" hidden="1">{#N/A,#N/A,FALSE,"REK";#N/A,#N/A,FALSE,"rab"}</definedName>
    <definedName name="wrn.ry.1" localSheetId="17" hidden="1">{#N/A,#N/A,FALSE,"REK";#N/A,#N/A,FALSE,"rab"}</definedName>
    <definedName name="wrn.ry.1" localSheetId="18" hidden="1">{#N/A,#N/A,FALSE,"REK";#N/A,#N/A,FALSE,"rab"}</definedName>
    <definedName name="wrn.ry.1" hidden="1">{#N/A,#N/A,FALSE,"REK";#N/A,#N/A,FALSE,"rab"}</definedName>
    <definedName name="wrn.ry.3" localSheetId="20" hidden="1">{#N/A,#N/A,FALSE,"REK";#N/A,#N/A,FALSE,"rab"}</definedName>
    <definedName name="wrn.ry.3" localSheetId="19" hidden="1">{#N/A,#N/A,FALSE,"REK";#N/A,#N/A,FALSE,"rab"}</definedName>
    <definedName name="wrn.ry.3" localSheetId="26" hidden="1">{#N/A,#N/A,FALSE,"REK";#N/A,#N/A,FALSE,"rab"}</definedName>
    <definedName name="wrn.ry.3" localSheetId="24" hidden="1">{#N/A,#N/A,FALSE,"REK";#N/A,#N/A,FALSE,"rab"}</definedName>
    <definedName name="wrn.ry.3" localSheetId="32" hidden="1">{#N/A,#N/A,FALSE,"REK";#N/A,#N/A,FALSE,"rab"}</definedName>
    <definedName name="wrn.ry.3" localSheetId="27" hidden="1">{#N/A,#N/A,FALSE,"REK";#N/A,#N/A,FALSE,"rab"}</definedName>
    <definedName name="wrn.ry.3" localSheetId="28" hidden="1">{#N/A,#N/A,FALSE,"REK";#N/A,#N/A,FALSE,"rab"}</definedName>
    <definedName name="wrn.ry.3" localSheetId="29" hidden="1">{#N/A,#N/A,FALSE,"REK";#N/A,#N/A,FALSE,"rab"}</definedName>
    <definedName name="wrn.ry.3" localSheetId="31" hidden="1">{#N/A,#N/A,FALSE,"REK";#N/A,#N/A,FALSE,"rab"}</definedName>
    <definedName name="wrn.ry.3" localSheetId="30" hidden="1">{#N/A,#N/A,FALSE,"REK";#N/A,#N/A,FALSE,"rab"}</definedName>
    <definedName name="wrn.ry.3" localSheetId="17" hidden="1">{#N/A,#N/A,FALSE,"REK";#N/A,#N/A,FALSE,"rab"}</definedName>
    <definedName name="wrn.ry.3" localSheetId="18" hidden="1">{#N/A,#N/A,FALSE,"REK";#N/A,#N/A,FALSE,"rab"}</definedName>
    <definedName name="wrn.ry.3" hidden="1">{#N/A,#N/A,FALSE,"REK";#N/A,#N/A,FALSE,"rab"}</definedName>
    <definedName name="wrn.semuanya." localSheetId="20" hidden="1">{#N/A,#N/A,FALSE,"REKAP";#N/A,#N/A,FALSE,"ITEM"}</definedName>
    <definedName name="wrn.semuanya." localSheetId="19" hidden="1">{#N/A,#N/A,FALSE,"REKAP";#N/A,#N/A,FALSE,"ITEM"}</definedName>
    <definedName name="wrn.semuanya." localSheetId="26" hidden="1">{#N/A,#N/A,FALSE,"REKAP";#N/A,#N/A,FALSE,"ITEM"}</definedName>
    <definedName name="wrn.semuanya." localSheetId="24" hidden="1">{#N/A,#N/A,FALSE,"REKAP";#N/A,#N/A,FALSE,"ITEM"}</definedName>
    <definedName name="wrn.semuanya." localSheetId="32" hidden="1">{#N/A,#N/A,FALSE,"REKAP";#N/A,#N/A,FALSE,"ITEM"}</definedName>
    <definedName name="wrn.semuanya." localSheetId="27" hidden="1">{#N/A,#N/A,FALSE,"REKAP";#N/A,#N/A,FALSE,"ITEM"}</definedName>
    <definedName name="wrn.semuanya." localSheetId="28" hidden="1">{#N/A,#N/A,FALSE,"REKAP";#N/A,#N/A,FALSE,"ITEM"}</definedName>
    <definedName name="wrn.semuanya." localSheetId="29" hidden="1">{#N/A,#N/A,FALSE,"REKAP";#N/A,#N/A,FALSE,"ITEM"}</definedName>
    <definedName name="wrn.semuanya." localSheetId="31" hidden="1">{#N/A,#N/A,FALSE,"REKAP";#N/A,#N/A,FALSE,"ITEM"}</definedName>
    <definedName name="wrn.semuanya." localSheetId="30" hidden="1">{#N/A,#N/A,FALSE,"REKAP";#N/A,#N/A,FALSE,"ITEM"}</definedName>
    <definedName name="wrn.semuanya." localSheetId="17" hidden="1">{#N/A,#N/A,FALSE,"REKAP";#N/A,#N/A,FALSE,"ITEM"}</definedName>
    <definedName name="wrn.semuanya." localSheetId="18" hidden="1">{#N/A,#N/A,FALSE,"REKAP";#N/A,#N/A,FALSE,"ITEM"}</definedName>
    <definedName name="wrn.semuanya." hidden="1">{#N/A,#N/A,FALSE,"REKAP";#N/A,#N/A,FALSE,"ITEM"}</definedName>
    <definedName name="wrn.ts." localSheetId="20" hidden="1">{"tabel plat",#N/A,TRUE,"Kontrol";"pembebanan portal",#N/A,TRUE,"balok tinggi"}</definedName>
    <definedName name="wrn.ts." localSheetId="19" hidden="1">{"tabel plat",#N/A,TRUE,"Kontrol";"pembebanan portal",#N/A,TRUE,"balok tinggi"}</definedName>
    <definedName name="wrn.ts." localSheetId="26" hidden="1">{"tabel plat",#N/A,TRUE,"Kontrol";"pembebanan portal",#N/A,TRUE,"balok tinggi"}</definedName>
    <definedName name="wrn.ts." localSheetId="24" hidden="1">{"tabel plat",#N/A,TRUE,"Kontrol";"pembebanan portal",#N/A,TRUE,"balok tinggi"}</definedName>
    <definedName name="wrn.ts." localSheetId="32" hidden="1">{"tabel plat",#N/A,TRUE,"Kontrol";"pembebanan portal",#N/A,TRUE,"balok tinggi"}</definedName>
    <definedName name="wrn.ts." localSheetId="27" hidden="1">{"tabel plat",#N/A,TRUE,"Kontrol";"pembebanan portal",#N/A,TRUE,"balok tinggi"}</definedName>
    <definedName name="wrn.ts." localSheetId="28" hidden="1">{"tabel plat",#N/A,TRUE,"Kontrol";"pembebanan portal",#N/A,TRUE,"balok tinggi"}</definedName>
    <definedName name="wrn.ts." localSheetId="29" hidden="1">{"tabel plat",#N/A,TRUE,"Kontrol";"pembebanan portal",#N/A,TRUE,"balok tinggi"}</definedName>
    <definedName name="wrn.ts." localSheetId="31" hidden="1">{"tabel plat",#N/A,TRUE,"Kontrol";"pembebanan portal",#N/A,TRUE,"balok tinggi"}</definedName>
    <definedName name="wrn.ts." localSheetId="30" hidden="1">{"tabel plat",#N/A,TRUE,"Kontrol";"pembebanan portal",#N/A,TRUE,"balok tinggi"}</definedName>
    <definedName name="wrn.ts." localSheetId="17" hidden="1">{"tabel plat",#N/A,TRUE,"Kontrol";"pembebanan portal",#N/A,TRUE,"balok tinggi"}</definedName>
    <definedName name="wrn.ts." localSheetId="18" hidden="1">{"tabel plat",#N/A,TRUE,"Kontrol";"pembebanan portal",#N/A,TRUE,"balok tinggi"}</definedName>
    <definedName name="wrn.ts." hidden="1">{"tabel plat",#N/A,TRUE,"Kontrol";"pembebanan portal",#N/A,TRUE,"balok tinggi"}</definedName>
    <definedName name="wrn.건설기계사업소._.상반기보고." localSheetId="20" hidden="1">{#N/A,#N/A,FALSE,"사업총괄";#N/A,#N/A,FALSE,"장비사업";#N/A,#N/A,FALSE,"철구사업";#N/A,#N/A,FALSE,"준설사업"}</definedName>
    <definedName name="wrn.건설기계사업소._.상반기보고." localSheetId="19" hidden="1">{#N/A,#N/A,FALSE,"사업총괄";#N/A,#N/A,FALSE,"장비사업";#N/A,#N/A,FALSE,"철구사업";#N/A,#N/A,FALSE,"준설사업"}</definedName>
    <definedName name="wrn.건설기계사업소._.상반기보고." localSheetId="26" hidden="1">{#N/A,#N/A,FALSE,"사업총괄";#N/A,#N/A,FALSE,"장비사업";#N/A,#N/A,FALSE,"철구사업";#N/A,#N/A,FALSE,"준설사업"}</definedName>
    <definedName name="wrn.건설기계사업소._.상반기보고." localSheetId="24" hidden="1">{#N/A,#N/A,FALSE,"사업총괄";#N/A,#N/A,FALSE,"장비사업";#N/A,#N/A,FALSE,"철구사업";#N/A,#N/A,FALSE,"준설사업"}</definedName>
    <definedName name="wrn.건설기계사업소._.상반기보고." localSheetId="32" hidden="1">{#N/A,#N/A,FALSE,"사업총괄";#N/A,#N/A,FALSE,"장비사업";#N/A,#N/A,FALSE,"철구사업";#N/A,#N/A,FALSE,"준설사업"}</definedName>
    <definedName name="wrn.건설기계사업소._.상반기보고." localSheetId="27" hidden="1">{#N/A,#N/A,FALSE,"사업총괄";#N/A,#N/A,FALSE,"장비사업";#N/A,#N/A,FALSE,"철구사업";#N/A,#N/A,FALSE,"준설사업"}</definedName>
    <definedName name="wrn.건설기계사업소._.상반기보고." localSheetId="28" hidden="1">{#N/A,#N/A,FALSE,"사업총괄";#N/A,#N/A,FALSE,"장비사업";#N/A,#N/A,FALSE,"철구사업";#N/A,#N/A,FALSE,"준설사업"}</definedName>
    <definedName name="wrn.건설기계사업소._.상반기보고." localSheetId="29" hidden="1">{#N/A,#N/A,FALSE,"사업총괄";#N/A,#N/A,FALSE,"장비사업";#N/A,#N/A,FALSE,"철구사업";#N/A,#N/A,FALSE,"준설사업"}</definedName>
    <definedName name="wrn.건설기계사업소._.상반기보고." localSheetId="31" hidden="1">{#N/A,#N/A,FALSE,"사업총괄";#N/A,#N/A,FALSE,"장비사업";#N/A,#N/A,FALSE,"철구사업";#N/A,#N/A,FALSE,"준설사업"}</definedName>
    <definedName name="wrn.건설기계사업소._.상반기보고." localSheetId="30" hidden="1">{#N/A,#N/A,FALSE,"사업총괄";#N/A,#N/A,FALSE,"장비사업";#N/A,#N/A,FALSE,"철구사업";#N/A,#N/A,FALSE,"준설사업"}</definedName>
    <definedName name="wrn.건설기계사업소._.상반기보고." localSheetId="17" hidden="1">{#N/A,#N/A,FALSE,"사업총괄";#N/A,#N/A,FALSE,"장비사업";#N/A,#N/A,FALSE,"철구사업";#N/A,#N/A,FALSE,"준설사업"}</definedName>
    <definedName name="wrn.건설기계사업소._.상반기보고." localSheetId="18" hidden="1">{#N/A,#N/A,FALSE,"사업총괄";#N/A,#N/A,FALSE,"장비사업";#N/A,#N/A,FALSE,"철구사업";#N/A,#N/A,FALSE,"준설사업"}</definedName>
    <definedName name="wrn.건설기계사업소._.상반기보고." hidden="1">{#N/A,#N/A,FALSE,"사업총괄";#N/A,#N/A,FALSE,"장비사업";#N/A,#N/A,FALSE,"철구사업";#N/A,#N/A,FALSE,"준설사업"}</definedName>
    <definedName name="wrn.골재소요량." localSheetId="20" hidden="1">{#N/A,#N/A,FALSE,"골재소요량";#N/A,#N/A,FALSE,"골재소요량"}</definedName>
    <definedName name="wrn.골재소요량." localSheetId="19" hidden="1">{#N/A,#N/A,FALSE,"골재소요량";#N/A,#N/A,FALSE,"골재소요량"}</definedName>
    <definedName name="wrn.골재소요량." localSheetId="26" hidden="1">{#N/A,#N/A,FALSE,"골재소요량";#N/A,#N/A,FALSE,"골재소요량"}</definedName>
    <definedName name="wrn.골재소요량." localSheetId="24" hidden="1">{#N/A,#N/A,FALSE,"골재소요량";#N/A,#N/A,FALSE,"골재소요량"}</definedName>
    <definedName name="wrn.골재소요량." localSheetId="32" hidden="1">{#N/A,#N/A,FALSE,"골재소요량";#N/A,#N/A,FALSE,"골재소요량"}</definedName>
    <definedName name="wrn.골재소요량." localSheetId="27" hidden="1">{#N/A,#N/A,FALSE,"골재소요량";#N/A,#N/A,FALSE,"골재소요량"}</definedName>
    <definedName name="wrn.골재소요량." localSheetId="28" hidden="1">{#N/A,#N/A,FALSE,"골재소요량";#N/A,#N/A,FALSE,"골재소요량"}</definedName>
    <definedName name="wrn.골재소요량." localSheetId="29" hidden="1">{#N/A,#N/A,FALSE,"골재소요량";#N/A,#N/A,FALSE,"골재소요량"}</definedName>
    <definedName name="wrn.골재소요량." localSheetId="31" hidden="1">{#N/A,#N/A,FALSE,"골재소요량";#N/A,#N/A,FALSE,"골재소요량"}</definedName>
    <definedName name="wrn.골재소요량." localSheetId="30" hidden="1">{#N/A,#N/A,FALSE,"골재소요량";#N/A,#N/A,FALSE,"골재소요량"}</definedName>
    <definedName name="wrn.골재소요량." localSheetId="17" hidden="1">{#N/A,#N/A,FALSE,"골재소요량";#N/A,#N/A,FALSE,"골재소요량"}</definedName>
    <definedName name="wrn.골재소요량." localSheetId="18" hidden="1">{#N/A,#N/A,FALSE,"골재소요량";#N/A,#N/A,FALSE,"골재소요량"}</definedName>
    <definedName name="wrn.골재소요량." hidden="1">{#N/A,#N/A,FALSE,"골재소요량";#N/A,#N/A,FALSE,"골재소요량"}</definedName>
    <definedName name="wrn.교대." localSheetId="20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." localSheetId="19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." localSheetId="26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." localSheetId="24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." localSheetId="32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." localSheetId="27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." localSheetId="28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." localSheetId="29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." localSheetId="31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." localSheetId="30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." localSheetId="17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." localSheetId="18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.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육청." localSheetId="20" hidden="1">{#N/A,#N/A,FALSE,"전력간선"}</definedName>
    <definedName name="wrn.교육청." localSheetId="19" hidden="1">{#N/A,#N/A,FALSE,"전력간선"}</definedName>
    <definedName name="wrn.교육청." localSheetId="26" hidden="1">{#N/A,#N/A,FALSE,"전력간선"}</definedName>
    <definedName name="wrn.교육청." localSheetId="24" hidden="1">{#N/A,#N/A,FALSE,"전력간선"}</definedName>
    <definedName name="wrn.교육청." localSheetId="32" hidden="1">{#N/A,#N/A,FALSE,"전력간선"}</definedName>
    <definedName name="wrn.교육청." localSheetId="27" hidden="1">{#N/A,#N/A,FALSE,"전력간선"}</definedName>
    <definedName name="wrn.교육청." localSheetId="28" hidden="1">{#N/A,#N/A,FALSE,"전력간선"}</definedName>
    <definedName name="wrn.교육청." localSheetId="29" hidden="1">{#N/A,#N/A,FALSE,"전력간선"}</definedName>
    <definedName name="wrn.교육청." localSheetId="31" hidden="1">{#N/A,#N/A,FALSE,"전력간선"}</definedName>
    <definedName name="wrn.교육청." localSheetId="30" hidden="1">{#N/A,#N/A,FALSE,"전력간선"}</definedName>
    <definedName name="wrn.교육청." localSheetId="17" hidden="1">{#N/A,#N/A,FALSE,"전력간선"}</definedName>
    <definedName name="wrn.교육청." localSheetId="18" hidden="1">{#N/A,#N/A,FALSE,"전력간선"}</definedName>
    <definedName name="wrn.교육청." hidden="1">{#N/A,#N/A,FALSE,"전력간선"}</definedName>
    <definedName name="wrn.구조2." localSheetId="20" hidden="1">{#N/A,#N/A,FALSE,"구조2"}</definedName>
    <definedName name="wrn.구조2." localSheetId="19" hidden="1">{#N/A,#N/A,FALSE,"구조2"}</definedName>
    <definedName name="wrn.구조2." localSheetId="26" hidden="1">{#N/A,#N/A,FALSE,"구조2"}</definedName>
    <definedName name="wrn.구조2." localSheetId="24" hidden="1">{#N/A,#N/A,FALSE,"구조2"}</definedName>
    <definedName name="wrn.구조2." localSheetId="32" hidden="1">{#N/A,#N/A,FALSE,"구조2"}</definedName>
    <definedName name="wrn.구조2." localSheetId="27" hidden="1">{#N/A,#N/A,FALSE,"구조2"}</definedName>
    <definedName name="wrn.구조2." localSheetId="28" hidden="1">{#N/A,#N/A,FALSE,"구조2"}</definedName>
    <definedName name="wrn.구조2." localSheetId="29" hidden="1">{#N/A,#N/A,FALSE,"구조2"}</definedName>
    <definedName name="wrn.구조2." localSheetId="31" hidden="1">{#N/A,#N/A,FALSE,"구조2"}</definedName>
    <definedName name="wrn.구조2." localSheetId="30" hidden="1">{#N/A,#N/A,FALSE,"구조2"}</definedName>
    <definedName name="wrn.구조2." localSheetId="17" hidden="1">{#N/A,#N/A,FALSE,"구조2"}</definedName>
    <definedName name="wrn.구조2." localSheetId="18" hidden="1">{#N/A,#N/A,FALSE,"구조2"}</definedName>
    <definedName name="wrn.구조2." hidden="1">{#N/A,#N/A,FALSE,"구조2"}</definedName>
    <definedName name="wrn.단가표지." localSheetId="20" hidden="1">{#N/A,#N/A,FALSE,"단가표지"}</definedName>
    <definedName name="wrn.단가표지." localSheetId="19" hidden="1">{#N/A,#N/A,FALSE,"단가표지"}</definedName>
    <definedName name="wrn.단가표지." localSheetId="26" hidden="1">{#N/A,#N/A,FALSE,"단가표지"}</definedName>
    <definedName name="wrn.단가표지." localSheetId="24" hidden="1">{#N/A,#N/A,FALSE,"단가표지"}</definedName>
    <definedName name="wrn.단가표지." localSheetId="32" hidden="1">{#N/A,#N/A,FALSE,"단가표지"}</definedName>
    <definedName name="wrn.단가표지." localSheetId="27" hidden="1">{#N/A,#N/A,FALSE,"단가표지"}</definedName>
    <definedName name="wrn.단가표지." localSheetId="28" hidden="1">{#N/A,#N/A,FALSE,"단가표지"}</definedName>
    <definedName name="wrn.단가표지." localSheetId="29" hidden="1">{#N/A,#N/A,FALSE,"단가표지"}</definedName>
    <definedName name="wrn.단가표지." localSheetId="31" hidden="1">{#N/A,#N/A,FALSE,"단가표지"}</definedName>
    <definedName name="wrn.단가표지." localSheetId="30" hidden="1">{#N/A,#N/A,FALSE,"단가표지"}</definedName>
    <definedName name="wrn.단가표지." localSheetId="17" hidden="1">{#N/A,#N/A,FALSE,"단가표지"}</definedName>
    <definedName name="wrn.단가표지." localSheetId="18" hidden="1">{#N/A,#N/A,FALSE,"단가표지"}</definedName>
    <definedName name="wrn.단가표지." hidden="1">{#N/A,#N/A,FALSE,"단가표지"}</definedName>
    <definedName name="wrn.배수1." localSheetId="20" hidden="1">{#N/A,#N/A,FALSE,"배수1"}</definedName>
    <definedName name="wrn.배수1." localSheetId="19" hidden="1">{#N/A,#N/A,FALSE,"배수1"}</definedName>
    <definedName name="wrn.배수1." localSheetId="26" hidden="1">{#N/A,#N/A,FALSE,"배수1"}</definedName>
    <definedName name="wrn.배수1." localSheetId="24" hidden="1">{#N/A,#N/A,FALSE,"배수1"}</definedName>
    <definedName name="wrn.배수1." localSheetId="32" hidden="1">{#N/A,#N/A,FALSE,"배수1"}</definedName>
    <definedName name="wrn.배수1." localSheetId="27" hidden="1">{#N/A,#N/A,FALSE,"배수1"}</definedName>
    <definedName name="wrn.배수1." localSheetId="28" hidden="1">{#N/A,#N/A,FALSE,"배수1"}</definedName>
    <definedName name="wrn.배수1." localSheetId="29" hidden="1">{#N/A,#N/A,FALSE,"배수1"}</definedName>
    <definedName name="wrn.배수1." localSheetId="31" hidden="1">{#N/A,#N/A,FALSE,"배수1"}</definedName>
    <definedName name="wrn.배수1." localSheetId="30" hidden="1">{#N/A,#N/A,FALSE,"배수1"}</definedName>
    <definedName name="wrn.배수1." localSheetId="17" hidden="1">{#N/A,#N/A,FALSE,"배수1"}</definedName>
    <definedName name="wrn.배수1." localSheetId="18" hidden="1">{#N/A,#N/A,FALSE,"배수1"}</definedName>
    <definedName name="wrn.배수1." hidden="1">{#N/A,#N/A,FALSE,"배수1"}</definedName>
    <definedName name="wrn.배수2." localSheetId="20" hidden="1">{#N/A,#N/A,FALSE,"배수2"}</definedName>
    <definedName name="wrn.배수2." localSheetId="19" hidden="1">{#N/A,#N/A,FALSE,"배수2"}</definedName>
    <definedName name="wrn.배수2." localSheetId="26" hidden="1">{#N/A,#N/A,FALSE,"배수2"}</definedName>
    <definedName name="wrn.배수2." localSheetId="24" hidden="1">{#N/A,#N/A,FALSE,"배수2"}</definedName>
    <definedName name="wrn.배수2." localSheetId="32" hidden="1">{#N/A,#N/A,FALSE,"배수2"}</definedName>
    <definedName name="wrn.배수2." localSheetId="27" hidden="1">{#N/A,#N/A,FALSE,"배수2"}</definedName>
    <definedName name="wrn.배수2." localSheetId="28" hidden="1">{#N/A,#N/A,FALSE,"배수2"}</definedName>
    <definedName name="wrn.배수2." localSheetId="29" hidden="1">{#N/A,#N/A,FALSE,"배수2"}</definedName>
    <definedName name="wrn.배수2." localSheetId="31" hidden="1">{#N/A,#N/A,FALSE,"배수2"}</definedName>
    <definedName name="wrn.배수2." localSheetId="30" hidden="1">{#N/A,#N/A,FALSE,"배수2"}</definedName>
    <definedName name="wrn.배수2." localSheetId="17" hidden="1">{#N/A,#N/A,FALSE,"배수2"}</definedName>
    <definedName name="wrn.배수2." localSheetId="18" hidden="1">{#N/A,#N/A,FALSE,"배수2"}</definedName>
    <definedName name="wrn.배수2." hidden="1">{#N/A,#N/A,FALSE,"배수2"}</definedName>
    <definedName name="wrn.변경예산." localSheetId="20" hidden="1">{#VALUE!,#N/A,FALSE,0;#N/A,#N/A,FALSE,0;#N/A,#N/A,FALSE,0;#N/A,#N/A,FALSE,0}</definedName>
    <definedName name="wrn.변경예산." localSheetId="19" hidden="1">{#VALUE!,#N/A,FALSE,0;#N/A,#N/A,FALSE,0;#N/A,#N/A,FALSE,0;#N/A,#N/A,FALSE,0}</definedName>
    <definedName name="wrn.변경예산." localSheetId="26" hidden="1">{#VALUE!,#N/A,FALSE,0;#N/A,#N/A,FALSE,0;#N/A,#N/A,FALSE,0;#N/A,#N/A,FALSE,0}</definedName>
    <definedName name="wrn.변경예산." localSheetId="24" hidden="1">{#VALUE!,#N/A,FALSE,0;#N/A,#N/A,FALSE,0;#N/A,#N/A,FALSE,0;#N/A,#N/A,FALSE,0}</definedName>
    <definedName name="wrn.변경예산." localSheetId="32" hidden="1">{#VALUE!,#N/A,FALSE,0;#N/A,#N/A,FALSE,0;#N/A,#N/A,FALSE,0;#N/A,#N/A,FALSE,0}</definedName>
    <definedName name="wrn.변경예산." localSheetId="27" hidden="1">{#VALUE!,#N/A,FALSE,0;#N/A,#N/A,FALSE,0;#N/A,#N/A,FALSE,0;#N/A,#N/A,FALSE,0}</definedName>
    <definedName name="wrn.변경예산." localSheetId="28" hidden="1">{#VALUE!,#N/A,FALSE,0;#N/A,#N/A,FALSE,0;#N/A,#N/A,FALSE,0;#N/A,#N/A,FALSE,0}</definedName>
    <definedName name="wrn.변경예산." localSheetId="29" hidden="1">{#VALUE!,#N/A,FALSE,0;#N/A,#N/A,FALSE,0;#N/A,#N/A,FALSE,0;#N/A,#N/A,FALSE,0}</definedName>
    <definedName name="wrn.변경예산." localSheetId="31" hidden="1">{#VALUE!,#N/A,FALSE,0;#N/A,#N/A,FALSE,0;#N/A,#N/A,FALSE,0;#N/A,#N/A,FALSE,0}</definedName>
    <definedName name="wrn.변경예산." localSheetId="30" hidden="1">{#VALUE!,#N/A,FALSE,0;#N/A,#N/A,FALSE,0;#N/A,#N/A,FALSE,0;#N/A,#N/A,FALSE,0}</definedName>
    <definedName name="wrn.변경예산." localSheetId="17" hidden="1">{#VALUE!,#N/A,FALSE,0;#N/A,#N/A,FALSE,0;#N/A,#N/A,FALSE,0;#N/A,#N/A,FALSE,0}</definedName>
    <definedName name="wrn.변경예산." localSheetId="18" hidden="1">{#VALUE!,#N/A,FALSE,0;#N/A,#N/A,FALSE,0;#N/A,#N/A,FALSE,0;#N/A,#N/A,FALSE,0}</definedName>
    <definedName name="wrn.변경예산." hidden="1">{#VALUE!,#N/A,FALSE,0;#N/A,#N/A,FALSE,0;#N/A,#N/A,FALSE,0;#N/A,#N/A,FALSE,0}</definedName>
    <definedName name="wrn.부대1." localSheetId="20" hidden="1">{#N/A,#N/A,FALSE,"부대1"}</definedName>
    <definedName name="wrn.부대1." localSheetId="19" hidden="1">{#N/A,#N/A,FALSE,"부대1"}</definedName>
    <definedName name="wrn.부대1." localSheetId="26" hidden="1">{#N/A,#N/A,FALSE,"부대1"}</definedName>
    <definedName name="wrn.부대1." localSheetId="24" hidden="1">{#N/A,#N/A,FALSE,"부대1"}</definedName>
    <definedName name="wrn.부대1." localSheetId="32" hidden="1">{#N/A,#N/A,FALSE,"부대1"}</definedName>
    <definedName name="wrn.부대1." localSheetId="27" hidden="1">{#N/A,#N/A,FALSE,"부대1"}</definedName>
    <definedName name="wrn.부대1." localSheetId="28" hidden="1">{#N/A,#N/A,FALSE,"부대1"}</definedName>
    <definedName name="wrn.부대1." localSheetId="29" hidden="1">{#N/A,#N/A,FALSE,"부대1"}</definedName>
    <definedName name="wrn.부대1." localSheetId="31" hidden="1">{#N/A,#N/A,FALSE,"부대1"}</definedName>
    <definedName name="wrn.부대1." localSheetId="30" hidden="1">{#N/A,#N/A,FALSE,"부대1"}</definedName>
    <definedName name="wrn.부대1." localSheetId="17" hidden="1">{#N/A,#N/A,FALSE,"부대1"}</definedName>
    <definedName name="wrn.부대1." localSheetId="18" hidden="1">{#N/A,#N/A,FALSE,"부대1"}</definedName>
    <definedName name="wrn.부대1." hidden="1">{#N/A,#N/A,FALSE,"부대1"}</definedName>
    <definedName name="wrn.부대2." localSheetId="20" hidden="1">{#N/A,#N/A,FALSE,"부대2"}</definedName>
    <definedName name="wrn.부대2." localSheetId="19" hidden="1">{#N/A,#N/A,FALSE,"부대2"}</definedName>
    <definedName name="wrn.부대2." localSheetId="26" hidden="1">{#N/A,#N/A,FALSE,"부대2"}</definedName>
    <definedName name="wrn.부대2." localSheetId="24" hidden="1">{#N/A,#N/A,FALSE,"부대2"}</definedName>
    <definedName name="wrn.부대2." localSheetId="32" hidden="1">{#N/A,#N/A,FALSE,"부대2"}</definedName>
    <definedName name="wrn.부대2." localSheetId="27" hidden="1">{#N/A,#N/A,FALSE,"부대2"}</definedName>
    <definedName name="wrn.부대2." localSheetId="28" hidden="1">{#N/A,#N/A,FALSE,"부대2"}</definedName>
    <definedName name="wrn.부대2." localSheetId="29" hidden="1">{#N/A,#N/A,FALSE,"부대2"}</definedName>
    <definedName name="wrn.부대2." localSheetId="31" hidden="1">{#N/A,#N/A,FALSE,"부대2"}</definedName>
    <definedName name="wrn.부대2." localSheetId="30" hidden="1">{#N/A,#N/A,FALSE,"부대2"}</definedName>
    <definedName name="wrn.부대2." localSheetId="17" hidden="1">{#N/A,#N/A,FALSE,"부대2"}</definedName>
    <definedName name="wrn.부대2." localSheetId="18" hidden="1">{#N/A,#N/A,FALSE,"부대2"}</definedName>
    <definedName name="wrn.부대2." hidden="1">{#N/A,#N/A,FALSE,"부대2"}</definedName>
    <definedName name="wrn.부산주경기장.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localSheetId="2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localSheetId="3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localSheetId="2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localSheetId="2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localSheetId="2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localSheetId="3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localSheetId="3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localSheetId="2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19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26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24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3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27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28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29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3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3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17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18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localSheetId="20" hidden="1">{#N/A,#N/A,FALSE,"속도"}</definedName>
    <definedName name="wrn.속도." localSheetId="19" hidden="1">{#N/A,#N/A,FALSE,"속도"}</definedName>
    <definedName name="wrn.속도." localSheetId="26" hidden="1">{#N/A,#N/A,FALSE,"속도"}</definedName>
    <definedName name="wrn.속도." localSheetId="24" hidden="1">{#N/A,#N/A,FALSE,"속도"}</definedName>
    <definedName name="wrn.속도." localSheetId="32" hidden="1">{#N/A,#N/A,FALSE,"속도"}</definedName>
    <definedName name="wrn.속도." localSheetId="27" hidden="1">{#N/A,#N/A,FALSE,"속도"}</definedName>
    <definedName name="wrn.속도." localSheetId="28" hidden="1">{#N/A,#N/A,FALSE,"속도"}</definedName>
    <definedName name="wrn.속도." localSheetId="29" hidden="1">{#N/A,#N/A,FALSE,"속도"}</definedName>
    <definedName name="wrn.속도." localSheetId="31" hidden="1">{#N/A,#N/A,FALSE,"속도"}</definedName>
    <definedName name="wrn.속도." localSheetId="30" hidden="1">{#N/A,#N/A,FALSE,"속도"}</definedName>
    <definedName name="wrn.속도." localSheetId="17" hidden="1">{#N/A,#N/A,FALSE,"속도"}</definedName>
    <definedName name="wrn.속도." localSheetId="18" hidden="1">{#N/A,#N/A,FALSE,"속도"}</definedName>
    <definedName name="wrn.속도." hidden="1">{#N/A,#N/A,FALSE,"속도"}</definedName>
    <definedName name="wrn.손익보고." localSheetId="2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1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2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2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3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2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28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2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3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3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1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18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예상손익." localSheetId="20" hidden="1">{#N/A,#N/A,FALSE,"예상손익";#N/A,#N/A,FALSE,"관리분석";#N/A,#N/A,FALSE,"장비분석";#N/A,#N/A,FALSE,"준설분석";#N/A,#N/A,FALSE,"철구분석"}</definedName>
    <definedName name="wrn.예상손익." localSheetId="19" hidden="1">{#N/A,#N/A,FALSE,"예상손익";#N/A,#N/A,FALSE,"관리분석";#N/A,#N/A,FALSE,"장비분석";#N/A,#N/A,FALSE,"준설분석";#N/A,#N/A,FALSE,"철구분석"}</definedName>
    <definedName name="wrn.예상손익." localSheetId="26" hidden="1">{#N/A,#N/A,FALSE,"예상손익";#N/A,#N/A,FALSE,"관리분석";#N/A,#N/A,FALSE,"장비분석";#N/A,#N/A,FALSE,"준설분석";#N/A,#N/A,FALSE,"철구분석"}</definedName>
    <definedName name="wrn.예상손익." localSheetId="24" hidden="1">{#N/A,#N/A,FALSE,"예상손익";#N/A,#N/A,FALSE,"관리분석";#N/A,#N/A,FALSE,"장비분석";#N/A,#N/A,FALSE,"준설분석";#N/A,#N/A,FALSE,"철구분석"}</definedName>
    <definedName name="wrn.예상손익." localSheetId="32" hidden="1">{#N/A,#N/A,FALSE,"예상손익";#N/A,#N/A,FALSE,"관리분석";#N/A,#N/A,FALSE,"장비분석";#N/A,#N/A,FALSE,"준설분석";#N/A,#N/A,FALSE,"철구분석"}</definedName>
    <definedName name="wrn.예상손익." localSheetId="27" hidden="1">{#N/A,#N/A,FALSE,"예상손익";#N/A,#N/A,FALSE,"관리분석";#N/A,#N/A,FALSE,"장비분석";#N/A,#N/A,FALSE,"준설분석";#N/A,#N/A,FALSE,"철구분석"}</definedName>
    <definedName name="wrn.예상손익." localSheetId="28" hidden="1">{#N/A,#N/A,FALSE,"예상손익";#N/A,#N/A,FALSE,"관리분석";#N/A,#N/A,FALSE,"장비분석";#N/A,#N/A,FALSE,"준설분석";#N/A,#N/A,FALSE,"철구분석"}</definedName>
    <definedName name="wrn.예상손익." localSheetId="29" hidden="1">{#N/A,#N/A,FALSE,"예상손익";#N/A,#N/A,FALSE,"관리분석";#N/A,#N/A,FALSE,"장비분석";#N/A,#N/A,FALSE,"준설분석";#N/A,#N/A,FALSE,"철구분석"}</definedName>
    <definedName name="wrn.예상손익." localSheetId="31" hidden="1">{#N/A,#N/A,FALSE,"예상손익";#N/A,#N/A,FALSE,"관리분석";#N/A,#N/A,FALSE,"장비분석";#N/A,#N/A,FALSE,"준설분석";#N/A,#N/A,FALSE,"철구분석"}</definedName>
    <definedName name="wrn.예상손익." localSheetId="30" hidden="1">{#N/A,#N/A,FALSE,"예상손익";#N/A,#N/A,FALSE,"관리분석";#N/A,#N/A,FALSE,"장비분석";#N/A,#N/A,FALSE,"준설분석";#N/A,#N/A,FALSE,"철구분석"}</definedName>
    <definedName name="wrn.예상손익." localSheetId="17" hidden="1">{#N/A,#N/A,FALSE,"예상손익";#N/A,#N/A,FALSE,"관리분석";#N/A,#N/A,FALSE,"장비분석";#N/A,#N/A,FALSE,"준설분석";#N/A,#N/A,FALSE,"철구분석"}</definedName>
    <definedName name="wrn.예상손익." localSheetId="18" hidden="1">{#N/A,#N/A,FALSE,"예상손익";#N/A,#N/A,FALSE,"관리분석";#N/A,#N/A,FALSE,"장비분석";#N/A,#N/A,FALSE,"준설분석";#N/A,#N/A,FALSE,"철구분석"}</definedName>
    <definedName name="wrn.예상손익." hidden="1">{#N/A,#N/A,FALSE,"예상손익";#N/A,#N/A,FALSE,"관리분석";#N/A,#N/A,FALSE,"장비분석";#N/A,#N/A,FALSE,"준설분석";#N/A,#N/A,FALSE,"철구분석"}</definedName>
    <definedName name="wrn.운반시간." localSheetId="20" hidden="1">{#N/A,#N/A,FALSE,"운반시간"}</definedName>
    <definedName name="wrn.운반시간." localSheetId="19" hidden="1">{#N/A,#N/A,FALSE,"운반시간"}</definedName>
    <definedName name="wrn.운반시간." localSheetId="26" hidden="1">{#N/A,#N/A,FALSE,"운반시간"}</definedName>
    <definedName name="wrn.운반시간." localSheetId="24" hidden="1">{#N/A,#N/A,FALSE,"운반시간"}</definedName>
    <definedName name="wrn.운반시간." localSheetId="32" hidden="1">{#N/A,#N/A,FALSE,"운반시간"}</definedName>
    <definedName name="wrn.운반시간." localSheetId="27" hidden="1">{#N/A,#N/A,FALSE,"운반시간"}</definedName>
    <definedName name="wrn.운반시간." localSheetId="28" hidden="1">{#N/A,#N/A,FALSE,"운반시간"}</definedName>
    <definedName name="wrn.운반시간." localSheetId="29" hidden="1">{#N/A,#N/A,FALSE,"운반시간"}</definedName>
    <definedName name="wrn.운반시간." localSheetId="31" hidden="1">{#N/A,#N/A,FALSE,"운반시간"}</definedName>
    <definedName name="wrn.운반시간." localSheetId="30" hidden="1">{#N/A,#N/A,FALSE,"운반시간"}</definedName>
    <definedName name="wrn.운반시간." localSheetId="17" hidden="1">{#N/A,#N/A,FALSE,"운반시간"}</definedName>
    <definedName name="wrn.운반시간." localSheetId="18" hidden="1">{#N/A,#N/A,FALSE,"운반시간"}</definedName>
    <definedName name="wrn.운반시간." hidden="1">{#N/A,#N/A,FALSE,"운반시간"}</definedName>
    <definedName name="wrn.이정표." localSheetId="20" hidden="1">{#N/A,#N/A,FALSE,"이정표"}</definedName>
    <definedName name="wrn.이정표." localSheetId="19" hidden="1">{#N/A,#N/A,FALSE,"이정표"}</definedName>
    <definedName name="wrn.이정표." localSheetId="26" hidden="1">{#N/A,#N/A,FALSE,"이정표"}</definedName>
    <definedName name="wrn.이정표." localSheetId="24" hidden="1">{#N/A,#N/A,FALSE,"이정표"}</definedName>
    <definedName name="wrn.이정표." localSheetId="32" hidden="1">{#N/A,#N/A,FALSE,"이정표"}</definedName>
    <definedName name="wrn.이정표." localSheetId="27" hidden="1">{#N/A,#N/A,FALSE,"이정표"}</definedName>
    <definedName name="wrn.이정표." localSheetId="28" hidden="1">{#N/A,#N/A,FALSE,"이정표"}</definedName>
    <definedName name="wrn.이정표." localSheetId="29" hidden="1">{#N/A,#N/A,FALSE,"이정표"}</definedName>
    <definedName name="wrn.이정표." localSheetId="31" hidden="1">{#N/A,#N/A,FALSE,"이정표"}</definedName>
    <definedName name="wrn.이정표." localSheetId="30" hidden="1">{#N/A,#N/A,FALSE,"이정표"}</definedName>
    <definedName name="wrn.이정표." localSheetId="17" hidden="1">{#N/A,#N/A,FALSE,"이정표"}</definedName>
    <definedName name="wrn.이정표." localSheetId="18" hidden="1">{#N/A,#N/A,FALSE,"이정표"}</definedName>
    <definedName name="wrn.이정표." hidden="1">{#N/A,#N/A,FALSE,"이정표"}</definedName>
    <definedName name="wrn.조골재." localSheetId="20" hidden="1">{#N/A,#N/A,FALSE,"조골재"}</definedName>
    <definedName name="wrn.조골재." localSheetId="19" hidden="1">{#N/A,#N/A,FALSE,"조골재"}</definedName>
    <definedName name="wrn.조골재." localSheetId="26" hidden="1">{#N/A,#N/A,FALSE,"조골재"}</definedName>
    <definedName name="wrn.조골재." localSheetId="24" hidden="1">{#N/A,#N/A,FALSE,"조골재"}</definedName>
    <definedName name="wrn.조골재." localSheetId="32" hidden="1">{#N/A,#N/A,FALSE,"조골재"}</definedName>
    <definedName name="wrn.조골재." localSheetId="27" hidden="1">{#N/A,#N/A,FALSE,"조골재"}</definedName>
    <definedName name="wrn.조골재." localSheetId="28" hidden="1">{#N/A,#N/A,FALSE,"조골재"}</definedName>
    <definedName name="wrn.조골재." localSheetId="29" hidden="1">{#N/A,#N/A,FALSE,"조골재"}</definedName>
    <definedName name="wrn.조골재." localSheetId="31" hidden="1">{#N/A,#N/A,FALSE,"조골재"}</definedName>
    <definedName name="wrn.조골재." localSheetId="30" hidden="1">{#N/A,#N/A,FALSE,"조골재"}</definedName>
    <definedName name="wrn.조골재." localSheetId="17" hidden="1">{#N/A,#N/A,FALSE,"조골재"}</definedName>
    <definedName name="wrn.조골재." localSheetId="18" hidden="1">{#N/A,#N/A,FALSE,"조골재"}</definedName>
    <definedName name="wrn.조골재." hidden="1">{#N/A,#N/A,FALSE,"조골재"}</definedName>
    <definedName name="wrn.토공1." localSheetId="20" hidden="1">{#N/A,#N/A,FALSE,"구조1"}</definedName>
    <definedName name="wrn.토공1." localSheetId="19" hidden="1">{#N/A,#N/A,FALSE,"구조1"}</definedName>
    <definedName name="wrn.토공1." localSheetId="26" hidden="1">{#N/A,#N/A,FALSE,"구조1"}</definedName>
    <definedName name="wrn.토공1." localSheetId="24" hidden="1">{#N/A,#N/A,FALSE,"구조1"}</definedName>
    <definedName name="wrn.토공1." localSheetId="32" hidden="1">{#N/A,#N/A,FALSE,"구조1"}</definedName>
    <definedName name="wrn.토공1." localSheetId="27" hidden="1">{#N/A,#N/A,FALSE,"구조1"}</definedName>
    <definedName name="wrn.토공1." localSheetId="28" hidden="1">{#N/A,#N/A,FALSE,"구조1"}</definedName>
    <definedName name="wrn.토공1." localSheetId="29" hidden="1">{#N/A,#N/A,FALSE,"구조1"}</definedName>
    <definedName name="wrn.토공1." localSheetId="31" hidden="1">{#N/A,#N/A,FALSE,"구조1"}</definedName>
    <definedName name="wrn.토공1." localSheetId="30" hidden="1">{#N/A,#N/A,FALSE,"구조1"}</definedName>
    <definedName name="wrn.토공1." localSheetId="17" hidden="1">{#N/A,#N/A,FALSE,"구조1"}</definedName>
    <definedName name="wrn.토공1." localSheetId="18" hidden="1">{#N/A,#N/A,FALSE,"구조1"}</definedName>
    <definedName name="wrn.토공1." hidden="1">{#N/A,#N/A,FALSE,"구조1"}</definedName>
    <definedName name="wrn.토공2." localSheetId="20" hidden="1">{#N/A,#N/A,FALSE,"토공2"}</definedName>
    <definedName name="wrn.토공2." localSheetId="19" hidden="1">{#N/A,#N/A,FALSE,"토공2"}</definedName>
    <definedName name="wrn.토공2." localSheetId="26" hidden="1">{#N/A,#N/A,FALSE,"토공2"}</definedName>
    <definedName name="wrn.토공2." localSheetId="24" hidden="1">{#N/A,#N/A,FALSE,"토공2"}</definedName>
    <definedName name="wrn.토공2." localSheetId="32" hidden="1">{#N/A,#N/A,FALSE,"토공2"}</definedName>
    <definedName name="wrn.토공2." localSheetId="27" hidden="1">{#N/A,#N/A,FALSE,"토공2"}</definedName>
    <definedName name="wrn.토공2." localSheetId="28" hidden="1">{#N/A,#N/A,FALSE,"토공2"}</definedName>
    <definedName name="wrn.토공2." localSheetId="29" hidden="1">{#N/A,#N/A,FALSE,"토공2"}</definedName>
    <definedName name="wrn.토공2." localSheetId="31" hidden="1">{#N/A,#N/A,FALSE,"토공2"}</definedName>
    <definedName name="wrn.토공2." localSheetId="30" hidden="1">{#N/A,#N/A,FALSE,"토공2"}</definedName>
    <definedName name="wrn.토공2." localSheetId="17" hidden="1">{#N/A,#N/A,FALSE,"토공2"}</definedName>
    <definedName name="wrn.토공2." localSheetId="18" hidden="1">{#N/A,#N/A,FALSE,"토공2"}</definedName>
    <definedName name="wrn.토공2." hidden="1">{#N/A,#N/A,FALSE,"토공2"}</definedName>
    <definedName name="wrn.통신지." localSheetId="20" hidden="1">{#N/A,#N/A,FALSE,"기안지";#N/A,#N/A,FALSE,"통신지"}</definedName>
    <definedName name="wrn.통신지." localSheetId="19" hidden="1">{#N/A,#N/A,FALSE,"기안지";#N/A,#N/A,FALSE,"통신지"}</definedName>
    <definedName name="wrn.통신지." localSheetId="26" hidden="1">{#N/A,#N/A,FALSE,"기안지";#N/A,#N/A,FALSE,"통신지"}</definedName>
    <definedName name="wrn.통신지." localSheetId="24" hidden="1">{#N/A,#N/A,FALSE,"기안지";#N/A,#N/A,FALSE,"통신지"}</definedName>
    <definedName name="wrn.통신지." localSheetId="32" hidden="1">{#N/A,#N/A,FALSE,"기안지";#N/A,#N/A,FALSE,"통신지"}</definedName>
    <definedName name="wrn.통신지." localSheetId="27" hidden="1">{#N/A,#N/A,FALSE,"기안지";#N/A,#N/A,FALSE,"통신지"}</definedName>
    <definedName name="wrn.통신지." localSheetId="28" hidden="1">{#N/A,#N/A,FALSE,"기안지";#N/A,#N/A,FALSE,"통신지"}</definedName>
    <definedName name="wrn.통신지." localSheetId="29" hidden="1">{#N/A,#N/A,FALSE,"기안지";#N/A,#N/A,FALSE,"통신지"}</definedName>
    <definedName name="wrn.통신지." localSheetId="31" hidden="1">{#N/A,#N/A,FALSE,"기안지";#N/A,#N/A,FALSE,"통신지"}</definedName>
    <definedName name="wrn.통신지." localSheetId="30" hidden="1">{#N/A,#N/A,FALSE,"기안지";#N/A,#N/A,FALSE,"통신지"}</definedName>
    <definedName name="wrn.통신지." localSheetId="17" hidden="1">{#N/A,#N/A,FALSE,"기안지";#N/A,#N/A,FALSE,"통신지"}</definedName>
    <definedName name="wrn.통신지." localSheetId="18" hidden="1">{#N/A,#N/A,FALSE,"기안지";#N/A,#N/A,FALSE,"통신지"}</definedName>
    <definedName name="wrn.통신지." hidden="1">{#N/A,#N/A,FALSE,"기안지";#N/A,#N/A,FALSE,"통신지"}</definedName>
    <definedName name="wrn.포장1." localSheetId="20" hidden="1">{#N/A,#N/A,FALSE,"포장1";#N/A,#N/A,FALSE,"포장1"}</definedName>
    <definedName name="wrn.포장1." localSheetId="19" hidden="1">{#N/A,#N/A,FALSE,"포장1";#N/A,#N/A,FALSE,"포장1"}</definedName>
    <definedName name="wrn.포장1." localSheetId="26" hidden="1">{#N/A,#N/A,FALSE,"포장1";#N/A,#N/A,FALSE,"포장1"}</definedName>
    <definedName name="wrn.포장1." localSheetId="24" hidden="1">{#N/A,#N/A,FALSE,"포장1";#N/A,#N/A,FALSE,"포장1"}</definedName>
    <definedName name="wrn.포장1." localSheetId="32" hidden="1">{#N/A,#N/A,FALSE,"포장1";#N/A,#N/A,FALSE,"포장1"}</definedName>
    <definedName name="wrn.포장1." localSheetId="27" hidden="1">{#N/A,#N/A,FALSE,"포장1";#N/A,#N/A,FALSE,"포장1"}</definedName>
    <definedName name="wrn.포장1." localSheetId="28" hidden="1">{#N/A,#N/A,FALSE,"포장1";#N/A,#N/A,FALSE,"포장1"}</definedName>
    <definedName name="wrn.포장1." localSheetId="29" hidden="1">{#N/A,#N/A,FALSE,"포장1";#N/A,#N/A,FALSE,"포장1"}</definedName>
    <definedName name="wrn.포장1." localSheetId="31" hidden="1">{#N/A,#N/A,FALSE,"포장1";#N/A,#N/A,FALSE,"포장1"}</definedName>
    <definedName name="wrn.포장1." localSheetId="30" hidden="1">{#N/A,#N/A,FALSE,"포장1";#N/A,#N/A,FALSE,"포장1"}</definedName>
    <definedName name="wrn.포장1." localSheetId="17" hidden="1">{#N/A,#N/A,FALSE,"포장1";#N/A,#N/A,FALSE,"포장1"}</definedName>
    <definedName name="wrn.포장1." localSheetId="18" hidden="1">{#N/A,#N/A,FALSE,"포장1";#N/A,#N/A,FALSE,"포장1"}</definedName>
    <definedName name="wrn.포장1." hidden="1">{#N/A,#N/A,FALSE,"포장1";#N/A,#N/A,FALSE,"포장1"}</definedName>
    <definedName name="wrn.포장2." localSheetId="20" hidden="1">{#N/A,#N/A,FALSE,"포장2"}</definedName>
    <definedName name="wrn.포장2." localSheetId="19" hidden="1">{#N/A,#N/A,FALSE,"포장2"}</definedName>
    <definedName name="wrn.포장2." localSheetId="26" hidden="1">{#N/A,#N/A,FALSE,"포장2"}</definedName>
    <definedName name="wrn.포장2." localSheetId="24" hidden="1">{#N/A,#N/A,FALSE,"포장2"}</definedName>
    <definedName name="wrn.포장2." localSheetId="32" hidden="1">{#N/A,#N/A,FALSE,"포장2"}</definedName>
    <definedName name="wrn.포장2." localSheetId="27" hidden="1">{#N/A,#N/A,FALSE,"포장2"}</definedName>
    <definedName name="wrn.포장2." localSheetId="28" hidden="1">{#N/A,#N/A,FALSE,"포장2"}</definedName>
    <definedName name="wrn.포장2." localSheetId="29" hidden="1">{#N/A,#N/A,FALSE,"포장2"}</definedName>
    <definedName name="wrn.포장2." localSheetId="31" hidden="1">{#N/A,#N/A,FALSE,"포장2"}</definedName>
    <definedName name="wrn.포장2." localSheetId="30" hidden="1">{#N/A,#N/A,FALSE,"포장2"}</definedName>
    <definedName name="wrn.포장2." localSheetId="17" hidden="1">{#N/A,#N/A,FALSE,"포장2"}</definedName>
    <definedName name="wrn.포장2." localSheetId="18" hidden="1">{#N/A,#N/A,FALSE,"포장2"}</definedName>
    <definedName name="wrn.포장2." hidden="1">{#N/A,#N/A,FALSE,"포장2"}</definedName>
    <definedName name="wrn.표지목차." localSheetId="20" hidden="1">{#N/A,#N/A,FALSE,"표지목차"}</definedName>
    <definedName name="wrn.표지목차." localSheetId="19" hidden="1">{#N/A,#N/A,FALSE,"표지목차"}</definedName>
    <definedName name="wrn.표지목차." localSheetId="26" hidden="1">{#N/A,#N/A,FALSE,"표지목차"}</definedName>
    <definedName name="wrn.표지목차." localSheetId="24" hidden="1">{#N/A,#N/A,FALSE,"표지목차"}</definedName>
    <definedName name="wrn.표지목차." localSheetId="32" hidden="1">{#N/A,#N/A,FALSE,"표지목차"}</definedName>
    <definedName name="wrn.표지목차." localSheetId="27" hidden="1">{#N/A,#N/A,FALSE,"표지목차"}</definedName>
    <definedName name="wrn.표지목차." localSheetId="28" hidden="1">{#N/A,#N/A,FALSE,"표지목차"}</definedName>
    <definedName name="wrn.표지목차." localSheetId="29" hidden="1">{#N/A,#N/A,FALSE,"표지목차"}</definedName>
    <definedName name="wrn.표지목차." localSheetId="31" hidden="1">{#N/A,#N/A,FALSE,"표지목차"}</definedName>
    <definedName name="wrn.표지목차." localSheetId="30" hidden="1">{#N/A,#N/A,FALSE,"표지목차"}</definedName>
    <definedName name="wrn.표지목차." localSheetId="17" hidden="1">{#N/A,#N/A,FALSE,"표지목차"}</definedName>
    <definedName name="wrn.표지목차." localSheetId="18" hidden="1">{#N/A,#N/A,FALSE,"표지목차"}</definedName>
    <definedName name="wrn.표지목차." hidden="1">{#N/A,#N/A,FALSE,"표지목차"}</definedName>
    <definedName name="wrn.혼합골재." localSheetId="20" hidden="1">{#N/A,#N/A,FALSE,"혼합골재"}</definedName>
    <definedName name="wrn.혼합골재." localSheetId="19" hidden="1">{#N/A,#N/A,FALSE,"혼합골재"}</definedName>
    <definedName name="wrn.혼합골재." localSheetId="26" hidden="1">{#N/A,#N/A,FALSE,"혼합골재"}</definedName>
    <definedName name="wrn.혼합골재." localSheetId="24" hidden="1">{#N/A,#N/A,FALSE,"혼합골재"}</definedName>
    <definedName name="wrn.혼합골재." localSheetId="32" hidden="1">{#N/A,#N/A,FALSE,"혼합골재"}</definedName>
    <definedName name="wrn.혼합골재." localSheetId="27" hidden="1">{#N/A,#N/A,FALSE,"혼합골재"}</definedName>
    <definedName name="wrn.혼합골재." localSheetId="28" hidden="1">{#N/A,#N/A,FALSE,"혼합골재"}</definedName>
    <definedName name="wrn.혼합골재." localSheetId="29" hidden="1">{#N/A,#N/A,FALSE,"혼합골재"}</definedName>
    <definedName name="wrn.혼합골재." localSheetId="31" hidden="1">{#N/A,#N/A,FALSE,"혼합골재"}</definedName>
    <definedName name="wrn.혼합골재." localSheetId="30" hidden="1">{#N/A,#N/A,FALSE,"혼합골재"}</definedName>
    <definedName name="wrn.혼합골재." localSheetId="17" hidden="1">{#N/A,#N/A,FALSE,"혼합골재"}</definedName>
    <definedName name="wrn.혼합골재." localSheetId="18" hidden="1">{#N/A,#N/A,FALSE,"혼합골재"}</definedName>
    <definedName name="wrn.혼합골재." hidden="1">{#N/A,#N/A,FALSE,"혼합골재"}</definedName>
    <definedName name="wrnf.report" localSheetId="20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19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26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24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32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27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28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29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31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30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17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18" hidden="1">{"Offgrid",#N/A,FALSE,"OFFGRID";"Region",#N/A,FALSE,"REGION";"Offgrid -2",#N/A,FALSE,"OFFGRID";"WTP",#N/A,FALSE,"WTP";"WTP -2",#N/A,FALSE,"WTP";"Project",#N/A,FALSE,"PROJECT";"Summary -2",#N/A,FALSE,"SUMMARY"}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nxxx" localSheetId="20" hidden="1">{#N/A,#N/A,FALSE,"REK";#N/A,#N/A,FALSE,"Bq-ARS"}</definedName>
    <definedName name="wrnxxx" localSheetId="19" hidden="1">{#N/A,#N/A,FALSE,"REK";#N/A,#N/A,FALSE,"Bq-ARS"}</definedName>
    <definedName name="wrnxxx" localSheetId="26" hidden="1">{#N/A,#N/A,FALSE,"REK";#N/A,#N/A,FALSE,"Bq-ARS"}</definedName>
    <definedName name="wrnxxx" localSheetId="24" hidden="1">{#N/A,#N/A,FALSE,"REK";#N/A,#N/A,FALSE,"Bq-ARS"}</definedName>
    <definedName name="wrnxxx" localSheetId="32" hidden="1">{#N/A,#N/A,FALSE,"REK";#N/A,#N/A,FALSE,"Bq-ARS"}</definedName>
    <definedName name="wrnxxx" localSheetId="27" hidden="1">{#N/A,#N/A,FALSE,"REK";#N/A,#N/A,FALSE,"Bq-ARS"}</definedName>
    <definedName name="wrnxxx" localSheetId="28" hidden="1">{#N/A,#N/A,FALSE,"REK";#N/A,#N/A,FALSE,"Bq-ARS"}</definedName>
    <definedName name="wrnxxx" localSheetId="29" hidden="1">{#N/A,#N/A,FALSE,"REK";#N/A,#N/A,FALSE,"Bq-ARS"}</definedName>
    <definedName name="wrnxxx" localSheetId="31" hidden="1">{#N/A,#N/A,FALSE,"REK";#N/A,#N/A,FALSE,"Bq-ARS"}</definedName>
    <definedName name="wrnxxx" localSheetId="30" hidden="1">{#N/A,#N/A,FALSE,"REK";#N/A,#N/A,FALSE,"Bq-ARS"}</definedName>
    <definedName name="wrnxxx" localSheetId="17" hidden="1">{#N/A,#N/A,FALSE,"REK";#N/A,#N/A,FALSE,"Bq-ARS"}</definedName>
    <definedName name="wrnxxx" localSheetId="18" hidden="1">{#N/A,#N/A,FALSE,"REK";#N/A,#N/A,FALSE,"Bq-ARS"}</definedName>
    <definedName name="wrnxxx" hidden="1">{#N/A,#N/A,FALSE,"REK";#N/A,#N/A,FALSE,"Bq-ARS"}</definedName>
    <definedName name="wty" localSheetId="20" hidden="1">{#N/A,#N/A,FALSE,"CCTV"}</definedName>
    <definedName name="wty" localSheetId="19" hidden="1">{#N/A,#N/A,FALSE,"CCTV"}</definedName>
    <definedName name="wty" localSheetId="26" hidden="1">{#N/A,#N/A,FALSE,"CCTV"}</definedName>
    <definedName name="wty" localSheetId="24" hidden="1">{#N/A,#N/A,FALSE,"CCTV"}</definedName>
    <definedName name="wty" localSheetId="32" hidden="1">{#N/A,#N/A,FALSE,"CCTV"}</definedName>
    <definedName name="wty" localSheetId="27" hidden="1">{#N/A,#N/A,FALSE,"CCTV"}</definedName>
    <definedName name="wty" localSheetId="28" hidden="1">{#N/A,#N/A,FALSE,"CCTV"}</definedName>
    <definedName name="wty" localSheetId="29" hidden="1">{#N/A,#N/A,FALSE,"CCTV"}</definedName>
    <definedName name="wty" localSheetId="31" hidden="1">{#N/A,#N/A,FALSE,"CCTV"}</definedName>
    <definedName name="wty" localSheetId="30" hidden="1">{#N/A,#N/A,FALSE,"CCTV"}</definedName>
    <definedName name="wty" localSheetId="17" hidden="1">{#N/A,#N/A,FALSE,"CCTV"}</definedName>
    <definedName name="wty" localSheetId="18" hidden="1">{#N/A,#N/A,FALSE,"CCTV"}</definedName>
    <definedName name="wty" hidden="1">{#N/A,#N/A,FALSE,"CCTV"}</definedName>
    <definedName name="wvu.CapersView." localSheetId="20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" localSheetId="19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" localSheetId="26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" localSheetId="24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" localSheetId="32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" localSheetId="27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" localSheetId="28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" localSheetId="29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" localSheetId="31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" localSheetId="30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" localSheetId="17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" localSheetId="18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Japan_Capers_Ed_Pub." localSheetId="20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" localSheetId="19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" localSheetId="26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" localSheetId="24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" localSheetId="32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" localSheetId="27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" localSheetId="28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" localSheetId="29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" localSheetId="31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" localSheetId="30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" localSheetId="17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" localSheetId="18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KJP_CC." localSheetId="20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" localSheetId="19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" localSheetId="26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" localSheetId="24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" localSheetId="32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" localSheetId="27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" localSheetId="28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" localSheetId="29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" localSheetId="31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" localSheetId="30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" localSheetId="17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" localSheetId="18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W" localSheetId="20" hidden="1">{"'Sheet1'!$A$1"}</definedName>
    <definedName name="WW" localSheetId="19" hidden="1">{"'Sheet1'!$A$1"}</definedName>
    <definedName name="WW" localSheetId="26" hidden="1">{"'Sheet1'!$A$1"}</definedName>
    <definedName name="WW" localSheetId="24" hidden="1">{"'Sheet1'!$A$1"}</definedName>
    <definedName name="WW" localSheetId="32" hidden="1">{"'Sheet1'!$A$1"}</definedName>
    <definedName name="WW" localSheetId="27" hidden="1">{"'Sheet1'!$A$1"}</definedName>
    <definedName name="WW" localSheetId="28" hidden="1">{"'Sheet1'!$A$1"}</definedName>
    <definedName name="WW" localSheetId="29" hidden="1">{"'Sheet1'!$A$1"}</definedName>
    <definedName name="WW" localSheetId="31" hidden="1">{"'Sheet1'!$A$1"}</definedName>
    <definedName name="WW" localSheetId="30" hidden="1">{"'Sheet1'!$A$1"}</definedName>
    <definedName name="WW" localSheetId="17" hidden="1">{"'Sheet1'!$A$1"}</definedName>
    <definedName name="WW" localSheetId="18" hidden="1">{"'Sheet1'!$A$1"}</definedName>
    <definedName name="WW" hidden="1">{"'Sheet1'!$A$1"}</definedName>
    <definedName name="wwwww" localSheetId="20" hidden="1">{"'A'!$A$1:$W$63"}</definedName>
    <definedName name="wwwww" localSheetId="19" hidden="1">{"'A'!$A$1:$W$63"}</definedName>
    <definedName name="wwwww" localSheetId="26" hidden="1">{"'A'!$A$1:$W$63"}</definedName>
    <definedName name="wwwww" localSheetId="24" hidden="1">{"'A'!$A$1:$W$63"}</definedName>
    <definedName name="wwwww" localSheetId="32" hidden="1">{"'A'!$A$1:$W$63"}</definedName>
    <definedName name="wwwww" localSheetId="27" hidden="1">{"'A'!$A$1:$W$63"}</definedName>
    <definedName name="wwwww" localSheetId="28" hidden="1">{"'A'!$A$1:$W$63"}</definedName>
    <definedName name="wwwww" localSheetId="29" hidden="1">{"'A'!$A$1:$W$63"}</definedName>
    <definedName name="wwwww" localSheetId="31" hidden="1">{"'A'!$A$1:$W$63"}</definedName>
    <definedName name="wwwww" localSheetId="30" hidden="1">{"'A'!$A$1:$W$63"}</definedName>
    <definedName name="wwwww" localSheetId="17" hidden="1">{"'A'!$A$1:$W$63"}</definedName>
    <definedName name="wwwww" localSheetId="18" hidden="1">{"'A'!$A$1:$W$63"}</definedName>
    <definedName name="wwwww" hidden="1">{"'A'!$A$1:$W$63"}</definedName>
    <definedName name="WWWWWWW" localSheetId="41" hidden="1">#REF!</definedName>
    <definedName name="WWWWWWW" localSheetId="42" hidden="1">#REF!</definedName>
    <definedName name="WWWWWWW" hidden="1">#REF!</definedName>
    <definedName name="wwwwwwwwwwwwwww" hidden="1">#REF!</definedName>
    <definedName name="WZ" localSheetId="20" hidden="1">{#N/A,#N/A,FALSE,"CCTV"}</definedName>
    <definedName name="WZ" localSheetId="19" hidden="1">{#N/A,#N/A,FALSE,"CCTV"}</definedName>
    <definedName name="WZ" localSheetId="26" hidden="1">{#N/A,#N/A,FALSE,"CCTV"}</definedName>
    <definedName name="WZ" localSheetId="24" hidden="1">{#N/A,#N/A,FALSE,"CCTV"}</definedName>
    <definedName name="WZ" localSheetId="32" hidden="1">{#N/A,#N/A,FALSE,"CCTV"}</definedName>
    <definedName name="WZ" localSheetId="27" hidden="1">{#N/A,#N/A,FALSE,"CCTV"}</definedName>
    <definedName name="WZ" localSheetId="28" hidden="1">{#N/A,#N/A,FALSE,"CCTV"}</definedName>
    <definedName name="WZ" localSheetId="29" hidden="1">{#N/A,#N/A,FALSE,"CCTV"}</definedName>
    <definedName name="WZ" localSheetId="31" hidden="1">{#N/A,#N/A,FALSE,"CCTV"}</definedName>
    <definedName name="WZ" localSheetId="30" hidden="1">{#N/A,#N/A,FALSE,"CCTV"}</definedName>
    <definedName name="WZ" localSheetId="17" hidden="1">{#N/A,#N/A,FALSE,"CCTV"}</definedName>
    <definedName name="WZ" localSheetId="18" hidden="1">{#N/A,#N/A,FALSE,"CCTV"}</definedName>
    <definedName name="WZ" hidden="1">{#N/A,#N/A,FALSE,"CCTV"}</definedName>
    <definedName name="XC" localSheetId="20" hidden="1">{#N/A,#N/A,FALSE,"CCTV"}</definedName>
    <definedName name="XC" localSheetId="19" hidden="1">{#N/A,#N/A,FALSE,"CCTV"}</definedName>
    <definedName name="XC" localSheetId="26" hidden="1">{#N/A,#N/A,FALSE,"CCTV"}</definedName>
    <definedName name="XC" localSheetId="24" hidden="1">{#N/A,#N/A,FALSE,"CCTV"}</definedName>
    <definedName name="XC" localSheetId="32" hidden="1">{#N/A,#N/A,FALSE,"CCTV"}</definedName>
    <definedName name="XC" localSheetId="27" hidden="1">{#N/A,#N/A,FALSE,"CCTV"}</definedName>
    <definedName name="XC" localSheetId="28" hidden="1">{#N/A,#N/A,FALSE,"CCTV"}</definedName>
    <definedName name="XC" localSheetId="29" hidden="1">{#N/A,#N/A,FALSE,"CCTV"}</definedName>
    <definedName name="XC" localSheetId="31" hidden="1">{#N/A,#N/A,FALSE,"CCTV"}</definedName>
    <definedName name="XC" localSheetId="30" hidden="1">{#N/A,#N/A,FALSE,"CCTV"}</definedName>
    <definedName name="XC" localSheetId="17" hidden="1">{#N/A,#N/A,FALSE,"CCTV"}</definedName>
    <definedName name="XC" localSheetId="18" hidden="1">{#N/A,#N/A,FALSE,"CCTV"}</definedName>
    <definedName name="XC" hidden="1">{#N/A,#N/A,FALSE,"CCTV"}</definedName>
    <definedName name="XCZCZ" localSheetId="2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CZCZ" localSheetId="1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CZCZ" localSheetId="2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CZCZ" localSheetId="2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CZCZ" localSheetId="3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CZCZ" localSheetId="2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CZCZ" localSheetId="2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CZCZ" localSheetId="2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CZCZ" localSheetId="3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CZCZ" localSheetId="3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CZCZ" localSheetId="1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CZCZ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CZCZ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fSDFafdaf" localSheetId="20" hidden="1">{"Offgrid",#N/A,FALSE,"OFFGRID";"Region",#N/A,FALSE,"REGION";"Offgrid -2",#N/A,FALSE,"OFFGRID";"WTP",#N/A,FALSE,"WTP";"WTP -2",#N/A,FALSE,"WTP";"Project",#N/A,FALSE,"PROJECT";"Summary -2",#N/A,FALSE,"SUMMARY"}</definedName>
    <definedName name="xfSDFafdaf" localSheetId="19" hidden="1">{"Offgrid",#N/A,FALSE,"OFFGRID";"Region",#N/A,FALSE,"REGION";"Offgrid -2",#N/A,FALSE,"OFFGRID";"WTP",#N/A,FALSE,"WTP";"WTP -2",#N/A,FALSE,"WTP";"Project",#N/A,FALSE,"PROJECT";"Summary -2",#N/A,FALSE,"SUMMARY"}</definedName>
    <definedName name="xfSDFafdaf" localSheetId="26" hidden="1">{"Offgrid",#N/A,FALSE,"OFFGRID";"Region",#N/A,FALSE,"REGION";"Offgrid -2",#N/A,FALSE,"OFFGRID";"WTP",#N/A,FALSE,"WTP";"WTP -2",#N/A,FALSE,"WTP";"Project",#N/A,FALSE,"PROJECT";"Summary -2",#N/A,FALSE,"SUMMARY"}</definedName>
    <definedName name="xfSDFafdaf" localSheetId="24" hidden="1">{"Offgrid",#N/A,FALSE,"OFFGRID";"Region",#N/A,FALSE,"REGION";"Offgrid -2",#N/A,FALSE,"OFFGRID";"WTP",#N/A,FALSE,"WTP";"WTP -2",#N/A,FALSE,"WTP";"Project",#N/A,FALSE,"PROJECT";"Summary -2",#N/A,FALSE,"SUMMARY"}</definedName>
    <definedName name="xfSDFafdaf" localSheetId="32" hidden="1">{"Offgrid",#N/A,FALSE,"OFFGRID";"Region",#N/A,FALSE,"REGION";"Offgrid -2",#N/A,FALSE,"OFFGRID";"WTP",#N/A,FALSE,"WTP";"WTP -2",#N/A,FALSE,"WTP";"Project",#N/A,FALSE,"PROJECT";"Summary -2",#N/A,FALSE,"SUMMARY"}</definedName>
    <definedName name="xfSDFafdaf" localSheetId="27" hidden="1">{"Offgrid",#N/A,FALSE,"OFFGRID";"Region",#N/A,FALSE,"REGION";"Offgrid -2",#N/A,FALSE,"OFFGRID";"WTP",#N/A,FALSE,"WTP";"WTP -2",#N/A,FALSE,"WTP";"Project",#N/A,FALSE,"PROJECT";"Summary -2",#N/A,FALSE,"SUMMARY"}</definedName>
    <definedName name="xfSDFafdaf" localSheetId="28" hidden="1">{"Offgrid",#N/A,FALSE,"OFFGRID";"Region",#N/A,FALSE,"REGION";"Offgrid -2",#N/A,FALSE,"OFFGRID";"WTP",#N/A,FALSE,"WTP";"WTP -2",#N/A,FALSE,"WTP";"Project",#N/A,FALSE,"PROJECT";"Summary -2",#N/A,FALSE,"SUMMARY"}</definedName>
    <definedName name="xfSDFafdaf" localSheetId="29" hidden="1">{"Offgrid",#N/A,FALSE,"OFFGRID";"Region",#N/A,FALSE,"REGION";"Offgrid -2",#N/A,FALSE,"OFFGRID";"WTP",#N/A,FALSE,"WTP";"WTP -2",#N/A,FALSE,"WTP";"Project",#N/A,FALSE,"PROJECT";"Summary -2",#N/A,FALSE,"SUMMARY"}</definedName>
    <definedName name="xfSDFafdaf" localSheetId="31" hidden="1">{"Offgrid",#N/A,FALSE,"OFFGRID";"Region",#N/A,FALSE,"REGION";"Offgrid -2",#N/A,FALSE,"OFFGRID";"WTP",#N/A,FALSE,"WTP";"WTP -2",#N/A,FALSE,"WTP";"Project",#N/A,FALSE,"PROJECT";"Summary -2",#N/A,FALSE,"SUMMARY"}</definedName>
    <definedName name="xfSDFafdaf" localSheetId="30" hidden="1">{"Offgrid",#N/A,FALSE,"OFFGRID";"Region",#N/A,FALSE,"REGION";"Offgrid -2",#N/A,FALSE,"OFFGRID";"WTP",#N/A,FALSE,"WTP";"WTP -2",#N/A,FALSE,"WTP";"Project",#N/A,FALSE,"PROJECT";"Summary -2",#N/A,FALSE,"SUMMARY"}</definedName>
    <definedName name="xfSDFafdaf" localSheetId="17" hidden="1">{"Offgrid",#N/A,FALSE,"OFFGRID";"Region",#N/A,FALSE,"REGION";"Offgrid -2",#N/A,FALSE,"OFFGRID";"WTP",#N/A,FALSE,"WTP";"WTP -2",#N/A,FALSE,"WTP";"Project",#N/A,FALSE,"PROJECT";"Summary -2",#N/A,FALSE,"SUMMARY"}</definedName>
    <definedName name="xfSDFafdaf" localSheetId="18" hidden="1">{"Offgrid",#N/A,FALSE,"OFFGRID";"Region",#N/A,FALSE,"REGION";"Offgrid -2",#N/A,FALSE,"OFFGRID";"WTP",#N/A,FALSE,"WTP";"WTP -2",#N/A,FALSE,"WTP";"Project",#N/A,FALSE,"PROJECT";"Summary -2",#N/A,FALSE,"SUMMARY"}</definedName>
    <definedName name="xfSDFafdaf" hidden="1">{"Offgrid",#N/A,FALSE,"OFFGRID";"Region",#N/A,FALSE,"REGION";"Offgrid -2",#N/A,FALSE,"OFFGRID";"WTP",#N/A,FALSE,"WTP";"WTP -2",#N/A,FALSE,"WTP";"Project",#N/A,FALSE,"PROJECT";"Summary -2",#N/A,FALSE,"SUMMARY"}</definedName>
    <definedName name="XRefCopyRangeCount" hidden="1">1</definedName>
    <definedName name="XSXXXXXXXXXXXX" localSheetId="27" hidden="1">#REF!</definedName>
    <definedName name="XSXXXXXXXXXXXX" localSheetId="18" hidden="1">#REF!</definedName>
    <definedName name="XSXXXXXXXXXXXX" localSheetId="41" hidden="1">#REF!</definedName>
    <definedName name="XSXXXXXXXXXXXX" localSheetId="42" hidden="1">#REF!</definedName>
    <definedName name="XSXXXXXXXXXXXX" hidden="1">#REF!</definedName>
    <definedName name="xxx" localSheetId="20" hidden="1">{"'1996'!$A$1:$J$272"}</definedName>
    <definedName name="xxx" localSheetId="19" hidden="1">{"'1996'!$A$1:$J$272"}</definedName>
    <definedName name="xxx" localSheetId="32" hidden="1">{"'1996'!$A$1:$J$272"}</definedName>
    <definedName name="xxx" localSheetId="27" hidden="1">{"'1996'!$A$1:$J$272"}</definedName>
    <definedName name="xxx" localSheetId="28" hidden="1">{"'1996'!$A$1:$J$272"}</definedName>
    <definedName name="xxx" localSheetId="31" hidden="1">{"'1996'!$A$1:$J$272"}</definedName>
    <definedName name="xxx" localSheetId="30" hidden="1">{"'1996'!$A$1:$J$272"}</definedName>
    <definedName name="xxx" localSheetId="13" hidden="1">{"'1996'!$A$1:$J$272"}</definedName>
    <definedName name="xxx" localSheetId="17" hidden="1">{"'1996'!$A$1:$J$272"}</definedName>
    <definedName name="xxx" localSheetId="18" hidden="1">{"'1996'!$A$1:$J$272"}</definedName>
    <definedName name="xxxx" localSheetId="20" hidden="1">{#N/A,#N/A,FALSE,"REK-S-TPL";#N/A,#N/A,FALSE,"REK-TPML";#N/A,#N/A,FALSE,"RAB-TEMPEL"}</definedName>
    <definedName name="xxxx" localSheetId="19" hidden="1">{#N/A,#N/A,FALSE,"REK-S-TPL";#N/A,#N/A,FALSE,"REK-TPML";#N/A,#N/A,FALSE,"RAB-TEMPEL"}</definedName>
    <definedName name="xxxx" localSheetId="26" hidden="1">{#N/A,#N/A,FALSE,"REK-S-TPL";#N/A,#N/A,FALSE,"REK-TPML";#N/A,#N/A,FALSE,"RAB-TEMPEL"}</definedName>
    <definedName name="xxxx" localSheetId="24" hidden="1">{#N/A,#N/A,FALSE,"REK-S-TPL";#N/A,#N/A,FALSE,"REK-TPML";#N/A,#N/A,FALSE,"RAB-TEMPEL"}</definedName>
    <definedName name="xxxx" localSheetId="32" hidden="1">{#N/A,#N/A,FALSE,"REK-S-TPL";#N/A,#N/A,FALSE,"REK-TPML";#N/A,#N/A,FALSE,"RAB-TEMPEL"}</definedName>
    <definedName name="xxxx" localSheetId="27" hidden="1">{#N/A,#N/A,FALSE,"REK-S-TPL";#N/A,#N/A,FALSE,"REK-TPML";#N/A,#N/A,FALSE,"RAB-TEMPEL"}</definedName>
    <definedName name="xxxx" localSheetId="28" hidden="1">{#N/A,#N/A,FALSE,"REK-S-TPL";#N/A,#N/A,FALSE,"REK-TPML";#N/A,#N/A,FALSE,"RAB-TEMPEL"}</definedName>
    <definedName name="xxxx" localSheetId="29" hidden="1">{#N/A,#N/A,FALSE,"REK-S-TPL";#N/A,#N/A,FALSE,"REK-TPML";#N/A,#N/A,FALSE,"RAB-TEMPEL"}</definedName>
    <definedName name="xxxx" localSheetId="31" hidden="1">{#N/A,#N/A,FALSE,"REK-S-TPL";#N/A,#N/A,FALSE,"REK-TPML";#N/A,#N/A,FALSE,"RAB-TEMPEL"}</definedName>
    <definedName name="xxxx" localSheetId="30" hidden="1">{#N/A,#N/A,FALSE,"REK-S-TPL";#N/A,#N/A,FALSE,"REK-TPML";#N/A,#N/A,FALSE,"RAB-TEMPEL"}</definedName>
    <definedName name="xxxx" localSheetId="17" hidden="1">{#N/A,#N/A,FALSE,"REK-S-TPL";#N/A,#N/A,FALSE,"REK-TPML";#N/A,#N/A,FALSE,"RAB-TEMPEL"}</definedName>
    <definedName name="xxxx" localSheetId="18" hidden="1">{#N/A,#N/A,FALSE,"REK-S-TPL";#N/A,#N/A,FALSE,"REK-TPML";#N/A,#N/A,FALSE,"RAB-TEMPEL"}</definedName>
    <definedName name="xxxx" hidden="1">{#N/A,#N/A,FALSE,"REK-S-TPL";#N/A,#N/A,FALSE,"REK-TPML";#N/A,#N/A,FALSE,"RAB-TEMPEL"}</definedName>
    <definedName name="xxxxx" localSheetId="20" hidden="1">{#N/A,#N/A,TRUE,"Vergabe-Regeln";#N/A,#N/A,TRUE,"Baugruppen";#N/A,#N/A,TRUE,"Geräte";#N/A,#N/A,TRUE,"PC-Software";#N/A,#N/A,TRUE,"Software";#N/A,#N/A,TRUE,"SW-Reg";#N/A,#N/A,TRUE,"Dokumentation"}</definedName>
    <definedName name="xxxxx" localSheetId="19" hidden="1">{#N/A,#N/A,TRUE,"Vergabe-Regeln";#N/A,#N/A,TRUE,"Baugruppen";#N/A,#N/A,TRUE,"Geräte";#N/A,#N/A,TRUE,"PC-Software";#N/A,#N/A,TRUE,"Software";#N/A,#N/A,TRUE,"SW-Reg";#N/A,#N/A,TRUE,"Dokumentation"}</definedName>
    <definedName name="xxxxx" localSheetId="26" hidden="1">{#N/A,#N/A,TRUE,"Vergabe-Regeln";#N/A,#N/A,TRUE,"Baugruppen";#N/A,#N/A,TRUE,"Geräte";#N/A,#N/A,TRUE,"PC-Software";#N/A,#N/A,TRUE,"Software";#N/A,#N/A,TRUE,"SW-Reg";#N/A,#N/A,TRUE,"Dokumentation"}</definedName>
    <definedName name="xxxxx" localSheetId="24" hidden="1">{#N/A,#N/A,TRUE,"Vergabe-Regeln";#N/A,#N/A,TRUE,"Baugruppen";#N/A,#N/A,TRUE,"Geräte";#N/A,#N/A,TRUE,"PC-Software";#N/A,#N/A,TRUE,"Software";#N/A,#N/A,TRUE,"SW-Reg";#N/A,#N/A,TRUE,"Dokumentation"}</definedName>
    <definedName name="xxxxx" localSheetId="32" hidden="1">{#N/A,#N/A,TRUE,"Vergabe-Regeln";#N/A,#N/A,TRUE,"Baugruppen";#N/A,#N/A,TRUE,"Geräte";#N/A,#N/A,TRUE,"PC-Software";#N/A,#N/A,TRUE,"Software";#N/A,#N/A,TRUE,"SW-Reg";#N/A,#N/A,TRUE,"Dokumentation"}</definedName>
    <definedName name="xxxxx" localSheetId="27" hidden="1">{#N/A,#N/A,TRUE,"Vergabe-Regeln";#N/A,#N/A,TRUE,"Baugruppen";#N/A,#N/A,TRUE,"Geräte";#N/A,#N/A,TRUE,"PC-Software";#N/A,#N/A,TRUE,"Software";#N/A,#N/A,TRUE,"SW-Reg";#N/A,#N/A,TRUE,"Dokumentation"}</definedName>
    <definedName name="xxxxx" localSheetId="28" hidden="1">{#N/A,#N/A,TRUE,"Vergabe-Regeln";#N/A,#N/A,TRUE,"Baugruppen";#N/A,#N/A,TRUE,"Geräte";#N/A,#N/A,TRUE,"PC-Software";#N/A,#N/A,TRUE,"Software";#N/A,#N/A,TRUE,"SW-Reg";#N/A,#N/A,TRUE,"Dokumentation"}</definedName>
    <definedName name="xxxxx" localSheetId="29" hidden="1">{#N/A,#N/A,TRUE,"Vergabe-Regeln";#N/A,#N/A,TRUE,"Baugruppen";#N/A,#N/A,TRUE,"Geräte";#N/A,#N/A,TRUE,"PC-Software";#N/A,#N/A,TRUE,"Software";#N/A,#N/A,TRUE,"SW-Reg";#N/A,#N/A,TRUE,"Dokumentation"}</definedName>
    <definedName name="xxxxx" localSheetId="31" hidden="1">{#N/A,#N/A,TRUE,"Vergabe-Regeln";#N/A,#N/A,TRUE,"Baugruppen";#N/A,#N/A,TRUE,"Geräte";#N/A,#N/A,TRUE,"PC-Software";#N/A,#N/A,TRUE,"Software";#N/A,#N/A,TRUE,"SW-Reg";#N/A,#N/A,TRUE,"Dokumentation"}</definedName>
    <definedName name="xxxxx" localSheetId="30" hidden="1">{#N/A,#N/A,TRUE,"Vergabe-Regeln";#N/A,#N/A,TRUE,"Baugruppen";#N/A,#N/A,TRUE,"Geräte";#N/A,#N/A,TRUE,"PC-Software";#N/A,#N/A,TRUE,"Software";#N/A,#N/A,TRUE,"SW-Reg";#N/A,#N/A,TRUE,"Dokumentation"}</definedName>
    <definedName name="xxxxx" localSheetId="17" hidden="1">{#N/A,#N/A,TRUE,"Vergabe-Regeln";#N/A,#N/A,TRUE,"Baugruppen";#N/A,#N/A,TRUE,"Geräte";#N/A,#N/A,TRUE,"PC-Software";#N/A,#N/A,TRUE,"Software";#N/A,#N/A,TRUE,"SW-Reg";#N/A,#N/A,TRUE,"Dokumentation"}</definedName>
    <definedName name="xxxxx" localSheetId="18" hidden="1">{#N/A,#N/A,TRUE,"Vergabe-Regeln";#N/A,#N/A,TRUE,"Baugruppen";#N/A,#N/A,TRUE,"Geräte";#N/A,#N/A,TRUE,"PC-Software";#N/A,#N/A,TRUE,"Software";#N/A,#N/A,TRUE,"SW-Reg";#N/A,#N/A,TRUE,"Dokumentation"}</definedName>
    <definedName name="xxxxx" hidden="1">{#N/A,#N/A,TRUE,"Vergabe-Regeln";#N/A,#N/A,TRUE,"Baugruppen";#N/A,#N/A,TRUE,"Geräte";#N/A,#N/A,TRUE,"PC-Software";#N/A,#N/A,TRUE,"Software";#N/A,#N/A,TRUE,"SW-Reg";#N/A,#N/A,TRUE,"Dokumentation"}</definedName>
    <definedName name="XXXXXXXXXXX" localSheetId="20" hidden="1">#REF!</definedName>
    <definedName name="XXXXXXXXXXX" localSheetId="27" hidden="1">#REF!</definedName>
    <definedName name="XXXXXXXXXXX" localSheetId="28" hidden="1">#REF!</definedName>
    <definedName name="XXXXXXXXXXX" localSheetId="17" hidden="1">#REF!</definedName>
    <definedName name="XXXXXXXXXXX" localSheetId="18" hidden="1">#REF!</definedName>
    <definedName name="XXXXXXXXXXX" hidden="1">#REF!</definedName>
    <definedName name="XY" localSheetId="20" hidden="1">{"'1996'!$A$1:$J$272"}</definedName>
    <definedName name="XY" localSheetId="19" hidden="1">{"'1996'!$A$1:$J$272"}</definedName>
    <definedName name="XY" localSheetId="32" hidden="1">{"'1996'!$A$1:$J$272"}</definedName>
    <definedName name="XY" localSheetId="27" hidden="1">{"'1996'!$A$1:$J$272"}</definedName>
    <definedName name="XY" localSheetId="28" hidden="1">{"'1996'!$A$1:$J$272"}</definedName>
    <definedName name="XY" localSheetId="31" hidden="1">{"'1996'!$A$1:$J$272"}</definedName>
    <definedName name="XY" localSheetId="30" hidden="1">{"'1996'!$A$1:$J$272"}</definedName>
    <definedName name="XY" localSheetId="13" hidden="1">{"'1996'!$A$1:$J$272"}</definedName>
    <definedName name="XY" localSheetId="17" hidden="1">{"'1996'!$A$1:$J$272"}</definedName>
    <definedName name="XY" localSheetId="18" hidden="1">{"'1996'!$A$1:$J$272"}</definedName>
    <definedName name="xyz" localSheetId="20" hidden="1">{#N/A,#N/A,FALSE,"Chi tiÆt"}</definedName>
    <definedName name="xyz" localSheetId="19" hidden="1">{#N/A,#N/A,FALSE,"Chi tiÆt"}</definedName>
    <definedName name="xyz" localSheetId="26" hidden="1">{#N/A,#N/A,FALSE,"Chi tiÆt"}</definedName>
    <definedName name="xyz" localSheetId="24" hidden="1">{#N/A,#N/A,FALSE,"Chi tiÆt"}</definedName>
    <definedName name="xyz" localSheetId="32" hidden="1">{#N/A,#N/A,FALSE,"Chi tiÆt"}</definedName>
    <definedName name="xyz" localSheetId="27" hidden="1">{#N/A,#N/A,FALSE,"Chi tiÆt"}</definedName>
    <definedName name="xyz" localSheetId="28" hidden="1">{#N/A,#N/A,FALSE,"Chi tiÆt"}</definedName>
    <definedName name="xyz" localSheetId="29" hidden="1">{#N/A,#N/A,FALSE,"Chi tiÆt"}</definedName>
    <definedName name="xyz" localSheetId="31" hidden="1">{#N/A,#N/A,FALSE,"Chi tiÆt"}</definedName>
    <definedName name="xyz" localSheetId="30" hidden="1">{#N/A,#N/A,FALSE,"Chi tiÆt"}</definedName>
    <definedName name="xyz" localSheetId="17" hidden="1">{#N/A,#N/A,FALSE,"Chi tiÆt"}</definedName>
    <definedName name="xyz" localSheetId="18" hidden="1">{#N/A,#N/A,FALSE,"Chi tiÆt"}</definedName>
    <definedName name="xyz" hidden="1">{#N/A,#N/A,FALSE,"Chi tiÆt"}</definedName>
    <definedName name="ya" localSheetId="20" hidden="1">#REF!</definedName>
    <definedName name="ya" localSheetId="19" hidden="1">#REF!</definedName>
    <definedName name="ya" localSheetId="32" hidden="1">#REF!</definedName>
    <definedName name="ya" localSheetId="27" hidden="1">#REF!</definedName>
    <definedName name="ya" localSheetId="28" hidden="1">#REF!</definedName>
    <definedName name="ya" localSheetId="31" hidden="1">#REF!</definedName>
    <definedName name="ya" localSheetId="30" hidden="1">#REF!</definedName>
    <definedName name="ya" localSheetId="17" hidden="1">#REF!</definedName>
    <definedName name="ya" hidden="1">#REF!</definedName>
    <definedName name="YAYO" localSheetId="27" hidden="1">#REF!</definedName>
    <definedName name="YAYO" hidden="1">#REF!</definedName>
    <definedName name="yayuk" localSheetId="15" hidden="1">#REF!</definedName>
    <definedName name="yayuk" localSheetId="42" hidden="1">#REF!</definedName>
    <definedName name="yayuk" hidden="1">#REF!</definedName>
    <definedName name="yfhd" localSheetId="20" hidden="1">{"'Sheet1'!$A$1"}</definedName>
    <definedName name="yfhd" localSheetId="19" hidden="1">{"'Sheet1'!$A$1"}</definedName>
    <definedName name="yfhd" localSheetId="26" hidden="1">{"'Sheet1'!$A$1"}</definedName>
    <definedName name="yfhd" localSheetId="24" hidden="1">{"'Sheet1'!$A$1"}</definedName>
    <definedName name="yfhd" localSheetId="32" hidden="1">{"'Sheet1'!$A$1"}</definedName>
    <definedName name="yfhd" localSheetId="27" hidden="1">{"'Sheet1'!$A$1"}</definedName>
    <definedName name="yfhd" localSheetId="28" hidden="1">{"'Sheet1'!$A$1"}</definedName>
    <definedName name="yfhd" localSheetId="29" hidden="1">{"'Sheet1'!$A$1"}</definedName>
    <definedName name="yfhd" localSheetId="31" hidden="1">{"'Sheet1'!$A$1"}</definedName>
    <definedName name="yfhd" localSheetId="30" hidden="1">{"'Sheet1'!$A$1"}</definedName>
    <definedName name="yfhd" localSheetId="17" hidden="1">{"'Sheet1'!$A$1"}</definedName>
    <definedName name="yfhd" localSheetId="18" hidden="1">{"'Sheet1'!$A$1"}</definedName>
    <definedName name="yfhd" hidden="1">{"'Sheet1'!$A$1"}</definedName>
    <definedName name="yh" localSheetId="20" hidden="1">{#N/A,#N/A,FALSE,"CCTV"}</definedName>
    <definedName name="yh" localSheetId="19" hidden="1">{#N/A,#N/A,FALSE,"CCTV"}</definedName>
    <definedName name="yh" localSheetId="26" hidden="1">{#N/A,#N/A,FALSE,"CCTV"}</definedName>
    <definedName name="yh" localSheetId="24" hidden="1">{#N/A,#N/A,FALSE,"CCTV"}</definedName>
    <definedName name="yh" localSheetId="32" hidden="1">{#N/A,#N/A,FALSE,"CCTV"}</definedName>
    <definedName name="yh" localSheetId="27" hidden="1">{#N/A,#N/A,FALSE,"CCTV"}</definedName>
    <definedName name="yh" localSheetId="28" hidden="1">{#N/A,#N/A,FALSE,"CCTV"}</definedName>
    <definedName name="yh" localSheetId="29" hidden="1">{#N/A,#N/A,FALSE,"CCTV"}</definedName>
    <definedName name="yh" localSheetId="31" hidden="1">{#N/A,#N/A,FALSE,"CCTV"}</definedName>
    <definedName name="yh" localSheetId="30" hidden="1">{#N/A,#N/A,FALSE,"CCTV"}</definedName>
    <definedName name="yh" localSheetId="17" hidden="1">{#N/A,#N/A,FALSE,"CCTV"}</definedName>
    <definedName name="yh" localSheetId="18" hidden="1">{#N/A,#N/A,FALSE,"CCTV"}</definedName>
    <definedName name="yh" hidden="1">{#N/A,#N/A,FALSE,"CCTV"}</definedName>
    <definedName name="yj" localSheetId="20" hidden="1">{#N/A,#N/A,FALSE,"CCTV"}</definedName>
    <definedName name="yj" localSheetId="19" hidden="1">{#N/A,#N/A,FALSE,"CCTV"}</definedName>
    <definedName name="yj" localSheetId="26" hidden="1">{#N/A,#N/A,FALSE,"CCTV"}</definedName>
    <definedName name="yj" localSheetId="24" hidden="1">{#N/A,#N/A,FALSE,"CCTV"}</definedName>
    <definedName name="yj" localSheetId="32" hidden="1">{#N/A,#N/A,FALSE,"CCTV"}</definedName>
    <definedName name="yj" localSheetId="27" hidden="1">{#N/A,#N/A,FALSE,"CCTV"}</definedName>
    <definedName name="yj" localSheetId="28" hidden="1">{#N/A,#N/A,FALSE,"CCTV"}</definedName>
    <definedName name="yj" localSheetId="29" hidden="1">{#N/A,#N/A,FALSE,"CCTV"}</definedName>
    <definedName name="yj" localSheetId="31" hidden="1">{#N/A,#N/A,FALSE,"CCTV"}</definedName>
    <definedName name="yj" localSheetId="30" hidden="1">{#N/A,#N/A,FALSE,"CCTV"}</definedName>
    <definedName name="yj" localSheetId="17" hidden="1">{#N/A,#N/A,FALSE,"CCTV"}</definedName>
    <definedName name="yj" localSheetId="18" hidden="1">{#N/A,#N/A,FALSE,"CCTV"}</definedName>
    <definedName name="yj" hidden="1">{#N/A,#N/A,FALSE,"CCTV"}</definedName>
    <definedName name="yjm" localSheetId="20" hidden="1">{#N/A,#N/A,FALSE,"CCTV"}</definedName>
    <definedName name="yjm" localSheetId="19" hidden="1">{#N/A,#N/A,FALSE,"CCTV"}</definedName>
    <definedName name="yjm" localSheetId="26" hidden="1">{#N/A,#N/A,FALSE,"CCTV"}</definedName>
    <definedName name="yjm" localSheetId="24" hidden="1">{#N/A,#N/A,FALSE,"CCTV"}</definedName>
    <definedName name="yjm" localSheetId="32" hidden="1">{#N/A,#N/A,FALSE,"CCTV"}</definedName>
    <definedName name="yjm" localSheetId="27" hidden="1">{#N/A,#N/A,FALSE,"CCTV"}</definedName>
    <definedName name="yjm" localSheetId="28" hidden="1">{#N/A,#N/A,FALSE,"CCTV"}</definedName>
    <definedName name="yjm" localSheetId="29" hidden="1">{#N/A,#N/A,FALSE,"CCTV"}</definedName>
    <definedName name="yjm" localSheetId="31" hidden="1">{#N/A,#N/A,FALSE,"CCTV"}</definedName>
    <definedName name="yjm" localSheetId="30" hidden="1">{#N/A,#N/A,FALSE,"CCTV"}</definedName>
    <definedName name="yjm" localSheetId="17" hidden="1">{#N/A,#N/A,FALSE,"CCTV"}</definedName>
    <definedName name="yjm" localSheetId="18" hidden="1">{#N/A,#N/A,FALSE,"CCTV"}</definedName>
    <definedName name="yjm" hidden="1">{#N/A,#N/A,FALSE,"CCTV"}</definedName>
    <definedName name="ykk" localSheetId="20" hidden="1">{"'Sheet1'!$A$1"}</definedName>
    <definedName name="ykk" localSheetId="19" hidden="1">{"'Sheet1'!$A$1"}</definedName>
    <definedName name="ykk" localSheetId="26" hidden="1">{"'Sheet1'!$A$1"}</definedName>
    <definedName name="ykk" localSheetId="24" hidden="1">{"'Sheet1'!$A$1"}</definedName>
    <definedName name="ykk" localSheetId="32" hidden="1">{"'Sheet1'!$A$1"}</definedName>
    <definedName name="ykk" localSheetId="27" hidden="1">{"'Sheet1'!$A$1"}</definedName>
    <definedName name="ykk" localSheetId="28" hidden="1">{"'Sheet1'!$A$1"}</definedName>
    <definedName name="ykk" localSheetId="29" hidden="1">{"'Sheet1'!$A$1"}</definedName>
    <definedName name="ykk" localSheetId="31" hidden="1">{"'Sheet1'!$A$1"}</definedName>
    <definedName name="ykk" localSheetId="30" hidden="1">{"'Sheet1'!$A$1"}</definedName>
    <definedName name="ykk" localSheetId="17" hidden="1">{"'Sheet1'!$A$1"}</definedName>
    <definedName name="ykk" localSheetId="18" hidden="1">{"'Sheet1'!$A$1"}</definedName>
    <definedName name="ykk" hidden="1">{"'Sheet1'!$A$1"}</definedName>
    <definedName name="yky" localSheetId="20" hidden="1">{"'Sheet1'!$A$1"}</definedName>
    <definedName name="yky" localSheetId="19" hidden="1">{"'Sheet1'!$A$1"}</definedName>
    <definedName name="yky" localSheetId="26" hidden="1">{"'Sheet1'!$A$1"}</definedName>
    <definedName name="yky" localSheetId="24" hidden="1">{"'Sheet1'!$A$1"}</definedName>
    <definedName name="yky" localSheetId="32" hidden="1">{"'Sheet1'!$A$1"}</definedName>
    <definedName name="yky" localSheetId="27" hidden="1">{"'Sheet1'!$A$1"}</definedName>
    <definedName name="yky" localSheetId="28" hidden="1">{"'Sheet1'!$A$1"}</definedName>
    <definedName name="yky" localSheetId="29" hidden="1">{"'Sheet1'!$A$1"}</definedName>
    <definedName name="yky" localSheetId="31" hidden="1">{"'Sheet1'!$A$1"}</definedName>
    <definedName name="yky" localSheetId="30" hidden="1">{"'Sheet1'!$A$1"}</definedName>
    <definedName name="yky" localSheetId="17" hidden="1">{"'Sheet1'!$A$1"}</definedName>
    <definedName name="yky" localSheetId="18" hidden="1">{"'Sheet1'!$A$1"}</definedName>
    <definedName name="yky" hidden="1">{"'Sheet1'!$A$1"}</definedName>
    <definedName name="ylk" localSheetId="20" hidden="1">{#N/A,#N/A,FALSE,"CCTV"}</definedName>
    <definedName name="ylk" localSheetId="19" hidden="1">{#N/A,#N/A,FALSE,"CCTV"}</definedName>
    <definedName name="ylk" localSheetId="26" hidden="1">{#N/A,#N/A,FALSE,"CCTV"}</definedName>
    <definedName name="ylk" localSheetId="24" hidden="1">{#N/A,#N/A,FALSE,"CCTV"}</definedName>
    <definedName name="ylk" localSheetId="32" hidden="1">{#N/A,#N/A,FALSE,"CCTV"}</definedName>
    <definedName name="ylk" localSheetId="27" hidden="1">{#N/A,#N/A,FALSE,"CCTV"}</definedName>
    <definedName name="ylk" localSheetId="28" hidden="1">{#N/A,#N/A,FALSE,"CCTV"}</definedName>
    <definedName name="ylk" localSheetId="29" hidden="1">{#N/A,#N/A,FALSE,"CCTV"}</definedName>
    <definedName name="ylk" localSheetId="31" hidden="1">{#N/A,#N/A,FALSE,"CCTV"}</definedName>
    <definedName name="ylk" localSheetId="30" hidden="1">{#N/A,#N/A,FALSE,"CCTV"}</definedName>
    <definedName name="ylk" localSheetId="17" hidden="1">{#N/A,#N/A,FALSE,"CCTV"}</definedName>
    <definedName name="ylk" localSheetId="18" hidden="1">{#N/A,#N/A,FALSE,"CCTV"}</definedName>
    <definedName name="ylk" hidden="1">{#N/A,#N/A,FALSE,"CCTV"}</definedName>
    <definedName name="yo" localSheetId="32" hidden="1">#REF!</definedName>
    <definedName name="yo" localSheetId="27" hidden="1">#REF!</definedName>
    <definedName name="yo" localSheetId="18" hidden="1">#REF!</definedName>
    <definedName name="yo" hidden="1">#REF!</definedName>
    <definedName name="yrdtytyt" localSheetId="20" hidden="1">{#N/A,#N/A,FALSE,"CCTV"}</definedName>
    <definedName name="yrdtytyt" localSheetId="19" hidden="1">{#N/A,#N/A,FALSE,"CCTV"}</definedName>
    <definedName name="yrdtytyt" localSheetId="26" hidden="1">{#N/A,#N/A,FALSE,"CCTV"}</definedName>
    <definedName name="yrdtytyt" localSheetId="24" hidden="1">{#N/A,#N/A,FALSE,"CCTV"}</definedName>
    <definedName name="yrdtytyt" localSheetId="32" hidden="1">{#N/A,#N/A,FALSE,"CCTV"}</definedName>
    <definedName name="yrdtytyt" localSheetId="27" hidden="1">{#N/A,#N/A,FALSE,"CCTV"}</definedName>
    <definedName name="yrdtytyt" localSheetId="28" hidden="1">{#N/A,#N/A,FALSE,"CCTV"}</definedName>
    <definedName name="yrdtytyt" localSheetId="29" hidden="1">{#N/A,#N/A,FALSE,"CCTV"}</definedName>
    <definedName name="yrdtytyt" localSheetId="31" hidden="1">{#N/A,#N/A,FALSE,"CCTV"}</definedName>
    <definedName name="yrdtytyt" localSheetId="30" hidden="1">{#N/A,#N/A,FALSE,"CCTV"}</definedName>
    <definedName name="yrdtytyt" localSheetId="17" hidden="1">{#N/A,#N/A,FALSE,"CCTV"}</definedName>
    <definedName name="yrdtytyt" localSheetId="18" hidden="1">{#N/A,#N/A,FALSE,"CCTV"}</definedName>
    <definedName name="yrdtytyt" hidden="1">{#N/A,#N/A,FALSE,"CCTV"}</definedName>
    <definedName name="yt" localSheetId="20" hidden="1">{#N/A,#N/A,FALSE,"CCTV"}</definedName>
    <definedName name="yt" localSheetId="19" hidden="1">{#N/A,#N/A,FALSE,"CCTV"}</definedName>
    <definedName name="yt" localSheetId="26" hidden="1">{#N/A,#N/A,FALSE,"CCTV"}</definedName>
    <definedName name="yt" localSheetId="24" hidden="1">{#N/A,#N/A,FALSE,"CCTV"}</definedName>
    <definedName name="yt" localSheetId="32" hidden="1">{#N/A,#N/A,FALSE,"CCTV"}</definedName>
    <definedName name="yt" localSheetId="27" hidden="1">{#N/A,#N/A,FALSE,"CCTV"}</definedName>
    <definedName name="yt" localSheetId="28" hidden="1">{#N/A,#N/A,FALSE,"CCTV"}</definedName>
    <definedName name="yt" localSheetId="29" hidden="1">{#N/A,#N/A,FALSE,"CCTV"}</definedName>
    <definedName name="yt" localSheetId="31" hidden="1">{#N/A,#N/A,FALSE,"CCTV"}</definedName>
    <definedName name="yt" localSheetId="30" hidden="1">{#N/A,#N/A,FALSE,"CCTV"}</definedName>
    <definedName name="yt" localSheetId="17" hidden="1">{#N/A,#N/A,FALSE,"CCTV"}</definedName>
    <definedName name="yt" localSheetId="18" hidden="1">{#N/A,#N/A,FALSE,"CCTV"}</definedName>
    <definedName name="yt" hidden="1">{#N/A,#N/A,FALSE,"CCTV"}</definedName>
    <definedName name="yu" localSheetId="32" hidden="1">#REF!</definedName>
    <definedName name="yu" localSheetId="27" hidden="1">#REF!</definedName>
    <definedName name="yu" localSheetId="18" hidden="1">#REF!</definedName>
    <definedName name="yu" hidden="1">#REF!</definedName>
    <definedName name="yu5u" localSheetId="20" hidden="1">{"'Sheet1'!$A$1"}</definedName>
    <definedName name="yu5u" localSheetId="19" hidden="1">{"'Sheet1'!$A$1"}</definedName>
    <definedName name="yu5u" localSheetId="26" hidden="1">{"'Sheet1'!$A$1"}</definedName>
    <definedName name="yu5u" localSheetId="24" hidden="1">{"'Sheet1'!$A$1"}</definedName>
    <definedName name="yu5u" localSheetId="32" hidden="1">{"'Sheet1'!$A$1"}</definedName>
    <definedName name="yu5u" localSheetId="27" hidden="1">{"'Sheet1'!$A$1"}</definedName>
    <definedName name="yu5u" localSheetId="28" hidden="1">{"'Sheet1'!$A$1"}</definedName>
    <definedName name="yu5u" localSheetId="29" hidden="1">{"'Sheet1'!$A$1"}</definedName>
    <definedName name="yu5u" localSheetId="31" hidden="1">{"'Sheet1'!$A$1"}</definedName>
    <definedName name="yu5u" localSheetId="30" hidden="1">{"'Sheet1'!$A$1"}</definedName>
    <definedName name="yu5u" localSheetId="17" hidden="1">{"'Sheet1'!$A$1"}</definedName>
    <definedName name="yu5u" localSheetId="18" hidden="1">{"'Sheet1'!$A$1"}</definedName>
    <definedName name="yu5u" hidden="1">{"'Sheet1'!$A$1"}</definedName>
    <definedName name="YULIA" hidden="1">#REF!</definedName>
    <definedName name="YWRY4Y" localSheetId="2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WRY4Y" localSheetId="1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WRY4Y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WRY4Y" localSheetId="2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WRY4Y" localSheetId="3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WRY4Y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WRY4Y" localSheetId="2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WRY4Y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WRY4Y" localSheetId="3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WRY4Y" localSheetId="3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WRY4Y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WRY4Y" localSheetId="1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WRY4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yy" localSheetId="20" hidden="1">{"'1996'!$A$1:$J$272"}</definedName>
    <definedName name="yyy" localSheetId="19" hidden="1">{"'1996'!$A$1:$J$272"}</definedName>
    <definedName name="yyy" localSheetId="26" hidden="1">{"'1996'!$A$1:$J$272"}</definedName>
    <definedName name="yyy" localSheetId="24" hidden="1">{"'1996'!$A$1:$J$272"}</definedName>
    <definedName name="yyy" localSheetId="32" hidden="1">{"'1996'!$A$1:$J$272"}</definedName>
    <definedName name="yyy" localSheetId="27" hidden="1">{"'1996'!$A$1:$J$272"}</definedName>
    <definedName name="yyy" localSheetId="28" hidden="1">{"'1996'!$A$1:$J$272"}</definedName>
    <definedName name="yyy" localSheetId="29" hidden="1">{"'1996'!$A$1:$J$272"}</definedName>
    <definedName name="yyy" localSheetId="31" hidden="1">{"'1996'!$A$1:$J$272"}</definedName>
    <definedName name="yyy" localSheetId="30" hidden="1">{"'1996'!$A$1:$J$272"}</definedName>
    <definedName name="yyy" localSheetId="17" hidden="1">{"'1996'!$A$1:$J$272"}</definedName>
    <definedName name="yyy" localSheetId="18" hidden="1">{"'1996'!$A$1:$J$272"}</definedName>
    <definedName name="yyy" hidden="1">{"'1996'!$A$1:$J$272"}</definedName>
    <definedName name="Z_062F37CF_EA4D_4E44_8A25_30F7F8EE07FB_.wvu.PrintArea" hidden="1">#REF!</definedName>
    <definedName name="Z_062F37CF_EA4D_4E44_8A25_30F7F8EE07FB_.wvu.Rows" localSheetId="32" hidden="1">#REF!,#REF!</definedName>
    <definedName name="Z_062F37CF_EA4D_4E44_8A25_30F7F8EE07FB_.wvu.Rows" localSheetId="27" hidden="1">#REF!,#REF!</definedName>
    <definedName name="Z_062F37CF_EA4D_4E44_8A25_30F7F8EE07FB_.wvu.Rows" localSheetId="18" hidden="1">#REF!,#REF!</definedName>
    <definedName name="Z_062F37CF_EA4D_4E44_8A25_30F7F8EE07FB_.wvu.Rows" hidden="1">#REF!,#REF!</definedName>
    <definedName name="Z_1C1F5A21_75FE_11D9_AC33_00024458701B_.wvu.PrintTitles" hidden="1">#N/A</definedName>
    <definedName name="Z_37892081_E9BE_11D6_833C_00403396C58E_.wvu.PrintTitles" localSheetId="32" hidden="1">#REF!</definedName>
    <definedName name="Z_37892081_E9BE_11D6_833C_00403396C58E_.wvu.PrintTitles" localSheetId="27" hidden="1">#REF!</definedName>
    <definedName name="Z_37892081_E9BE_11D6_833C_00403396C58E_.wvu.PrintTitles" localSheetId="18" hidden="1">#REF!</definedName>
    <definedName name="Z_37892081_E9BE_11D6_833C_00403396C58E_.wvu.PrintTitles" hidden="1">#REF!</definedName>
    <definedName name="Z_3F9B5724_02A1_494E_8A05_6302C3C28A11_.wvu.PrintArea" localSheetId="27" hidden="1">#REF!</definedName>
    <definedName name="Z_3F9B5724_02A1_494E_8A05_6302C3C28A11_.wvu.PrintArea" localSheetId="18" hidden="1">#REF!</definedName>
    <definedName name="Z_3F9B5724_02A1_494E_8A05_6302C3C28A11_.wvu.PrintArea" hidden="1">#REF!</definedName>
    <definedName name="Z_423C5E37_8739_4120_93A0_C4EF6C600D63_.wvu.PrintArea" localSheetId="27" hidden="1">#REF!</definedName>
    <definedName name="Z_423C5E37_8739_4120_93A0_C4EF6C600D63_.wvu.PrintArea" localSheetId="18" hidden="1">#REF!</definedName>
    <definedName name="Z_423C5E37_8739_4120_93A0_C4EF6C600D63_.wvu.PrintArea" hidden="1">#REF!</definedName>
    <definedName name="Z_4900D912_D400_4A61_8DD9_12CD5711EDE2_.wvu.FilterData" localSheetId="42" hidden="1">#REF!</definedName>
    <definedName name="Z_4900D912_D400_4A61_8DD9_12CD5711EDE2_.wvu.FilterData" hidden="1">#REF!</definedName>
    <definedName name="Z_4A4DBCF5_6E02_43D6_8F4D_223D21633DB8_.wvu.PrintArea" localSheetId="42" hidden="1">#REF!</definedName>
    <definedName name="Z_4A4DBCF5_6E02_43D6_8F4D_223D21633DB8_.wvu.PrintArea" hidden="1">#REF!</definedName>
    <definedName name="Z_4A4DBCF5_6E02_43D6_8F4D_223D21633DB8_.wvu.Rows" localSheetId="27" hidden="1">#REF!,#REF!</definedName>
    <definedName name="Z_4A4DBCF5_6E02_43D6_8F4D_223D21633DB8_.wvu.Rows" localSheetId="13" hidden="1">#REF!,#REF!</definedName>
    <definedName name="Z_4A4DBCF5_6E02_43D6_8F4D_223D21633DB8_.wvu.Rows" localSheetId="41" hidden="1">#REF!,#REF!</definedName>
    <definedName name="Z_4A4DBCF5_6E02_43D6_8F4D_223D21633DB8_.wvu.Rows" localSheetId="42" hidden="1">#REF!,#REF!</definedName>
    <definedName name="Z_4A4DBCF5_6E02_43D6_8F4D_223D21633DB8_.wvu.Rows" hidden="1">#REF!,#REF!</definedName>
    <definedName name="Z_4D6BE9E7_3423_4C1F_8860_7316F7340BA3_.wvu.PrintTitles" localSheetId="27" hidden="1">#REF!</definedName>
    <definedName name="Z_4D6BE9E7_3423_4C1F_8860_7316F7340BA3_.wvu.PrintTitles" localSheetId="13" hidden="1">#REF!</definedName>
    <definedName name="Z_4D6BE9E7_3423_4C1F_8860_7316F7340BA3_.wvu.PrintTitles" localSheetId="41" hidden="1">#REF!</definedName>
    <definedName name="Z_4D6BE9E7_3423_4C1F_8860_7316F7340BA3_.wvu.PrintTitles" localSheetId="42" hidden="1">#REF!</definedName>
    <definedName name="Z_4D6BE9E7_3423_4C1F_8860_7316F7340BA3_.wvu.PrintTitles" hidden="1">#REF!</definedName>
    <definedName name="Z_5107985B_0AF1_481E_8B01_41E5AE471770_.wvu.FilterData" localSheetId="27" hidden="1">#REF!</definedName>
    <definedName name="Z_5107985B_0AF1_481E_8B01_41E5AE471770_.wvu.FilterData" localSheetId="42" hidden="1">#REF!</definedName>
    <definedName name="Z_5107985B_0AF1_481E_8B01_41E5AE471770_.wvu.FilterData" hidden="1">#REF!</definedName>
    <definedName name="Z_539101D7_7ADB_4CDC_9D39_9EDB2912782B_.wvu.Cols" localSheetId="27" hidden="1">#REF!</definedName>
    <definedName name="Z_539101D7_7ADB_4CDC_9D39_9EDB2912782B_.wvu.Cols" hidden="1">#REF!</definedName>
    <definedName name="Z_579C6866_27D7_4D76_AFB4_0265FFFA8617_.wvu.Rows" localSheetId="27" hidden="1">#REF!,#REF!,#REF!,#REF!,#REF!,#REF!,#REF!,#REF!,#REF!</definedName>
    <definedName name="Z_579C6866_27D7_4D76_AFB4_0265FFFA8617_.wvu.Rows" localSheetId="40" hidden="1">#REF!,#REF!,#REF!,#REF!,#REF!,#REF!,#REF!,#REF!,#REF!</definedName>
    <definedName name="Z_579C6866_27D7_4D76_AFB4_0265FFFA8617_.wvu.Rows" localSheetId="41" hidden="1">#REF!,#REF!,#REF!,#REF!,#REF!,#REF!,#REF!,#REF!,#REF!</definedName>
    <definedName name="Z_579C6866_27D7_4D76_AFB4_0265FFFA8617_.wvu.Rows" localSheetId="42" hidden="1">#REF!,#REF!,#REF!,#REF!,#REF!,#REF!,#REF!,#REF!,#REF!</definedName>
    <definedName name="Z_579C6866_27D7_4D76_AFB4_0265FFFA8617_.wvu.Rows" hidden="1">#REF!,#REF!,#REF!,#REF!,#REF!,#REF!,#REF!,#REF!,#REF!</definedName>
    <definedName name="Z_5B62013E_E55E_4021_AC26_EDA777F749EA_.wvu.PrintArea" localSheetId="27" hidden="1">#REF!</definedName>
    <definedName name="Z_5B62013E_E55E_4021_AC26_EDA777F749EA_.wvu.PrintArea" localSheetId="13" hidden="1">#REF!</definedName>
    <definedName name="Z_5B62013E_E55E_4021_AC26_EDA777F749EA_.wvu.PrintArea" localSheetId="41" hidden="1">#REF!</definedName>
    <definedName name="Z_5B62013E_E55E_4021_AC26_EDA777F749EA_.wvu.PrintArea" localSheetId="42" hidden="1">#REF!</definedName>
    <definedName name="Z_5B62013E_E55E_4021_AC26_EDA777F749EA_.wvu.PrintArea" hidden="1">#REF!</definedName>
    <definedName name="Z_5B62013E_E55E_4021_AC26_EDA777F749EA_.wvu.PrintTitles" localSheetId="27" hidden="1">#REF!</definedName>
    <definedName name="Z_5B62013E_E55E_4021_AC26_EDA777F749EA_.wvu.PrintTitles" localSheetId="42" hidden="1">#REF!</definedName>
    <definedName name="Z_5B62013E_E55E_4021_AC26_EDA777F749EA_.wvu.PrintTitles" hidden="1">#REF!</definedName>
    <definedName name="Z_5E4338DB_0000_47B7_801C_FD302927C5A0_.wvu.Rows" localSheetId="27" hidden="1">#REF!</definedName>
    <definedName name="Z_5E4338DB_0000_47B7_801C_FD302927C5A0_.wvu.Rows" localSheetId="42" hidden="1">#REF!</definedName>
    <definedName name="Z_5E4338DB_0000_47B7_801C_FD302927C5A0_.wvu.Rows" hidden="1">#REF!</definedName>
    <definedName name="Z_60C09D59_E1B8_4DE0_84A5_C4D52EC877AC_.wvu.Rows" localSheetId="27" hidden="1">#REF!,#REF!,#REF!,#REF!,#REF!,#REF!,#REF!,#REF!,#REF!</definedName>
    <definedName name="Z_60C09D59_E1B8_4DE0_84A5_C4D52EC877AC_.wvu.Rows" localSheetId="13" hidden="1">#REF!,#REF!,#REF!,#REF!,#REF!,#REF!,#REF!,#REF!,#REF!</definedName>
    <definedName name="Z_60C09D59_E1B8_4DE0_84A5_C4D52EC877AC_.wvu.Rows" localSheetId="41" hidden="1">#REF!,#REF!,#REF!,#REF!,#REF!,#REF!,#REF!,#REF!,#REF!</definedName>
    <definedName name="Z_60C09D59_E1B8_4DE0_84A5_C4D52EC877AC_.wvu.Rows" localSheetId="42" hidden="1">#REF!,#REF!,#REF!,#REF!,#REF!,#REF!,#REF!,#REF!,#REF!</definedName>
    <definedName name="Z_60C09D59_E1B8_4DE0_84A5_C4D52EC877AC_.wvu.Rows" hidden="1">#REF!,#REF!,#REF!,#REF!,#REF!,#REF!,#REF!,#REF!,#REF!</definedName>
    <definedName name="Z_72299AA9_C417_492E_8CD7_A967120B7639_.wvu.PrintArea" localSheetId="27" hidden="1">#REF!</definedName>
    <definedName name="Z_72299AA9_C417_492E_8CD7_A967120B7639_.wvu.PrintArea" localSheetId="13" hidden="1">#REF!</definedName>
    <definedName name="Z_72299AA9_C417_492E_8CD7_A967120B7639_.wvu.PrintArea" localSheetId="41" hidden="1">#REF!</definedName>
    <definedName name="Z_72299AA9_C417_492E_8CD7_A967120B7639_.wvu.PrintArea" localSheetId="42" hidden="1">#REF!</definedName>
    <definedName name="Z_72299AA9_C417_492E_8CD7_A967120B7639_.wvu.PrintArea" hidden="1">#REF!</definedName>
    <definedName name="Z_72299AA9_C417_492E_8CD7_A967120B7639_.wvu.PrintTitles" localSheetId="27" hidden="1">#REF!</definedName>
    <definedName name="Z_72299AA9_C417_492E_8CD7_A967120B7639_.wvu.PrintTitles" localSheetId="42" hidden="1">#REF!</definedName>
    <definedName name="Z_72299AA9_C417_492E_8CD7_A967120B7639_.wvu.PrintTitles" hidden="1">#REF!</definedName>
    <definedName name="Z_76A67B41_6CC8_11D7_9233_0050BFDB8885_.wvu.PrintArea" localSheetId="27" hidden="1">#REF!</definedName>
    <definedName name="Z_76A67B41_6CC8_11D7_9233_0050BFDB8885_.wvu.PrintArea" hidden="1">#REF!</definedName>
    <definedName name="Z_77EBC560_D580_11D8_AC2F_00024458701B_.wvu.PrintTitles" hidden="1">#N/A</definedName>
    <definedName name="Z_8A65AEEF_2720_423E_8097_8F96864863B5_.wvu.Rows" localSheetId="20" hidden="1">#REF!</definedName>
    <definedName name="Z_8A65AEEF_2720_423E_8097_8F96864863B5_.wvu.Rows" localSheetId="27" hidden="1">#REF!</definedName>
    <definedName name="Z_8A65AEEF_2720_423E_8097_8F96864863B5_.wvu.Rows" localSheetId="28" hidden="1">#REF!</definedName>
    <definedName name="Z_8A65AEEF_2720_423E_8097_8F96864863B5_.wvu.Rows" localSheetId="17" hidden="1">#REF!</definedName>
    <definedName name="Z_8A65AEEF_2720_423E_8097_8F96864863B5_.wvu.Rows" localSheetId="18" hidden="1">#REF!</definedName>
    <definedName name="Z_8A65AEEF_2720_423E_8097_8F96864863B5_.wvu.Rows" localSheetId="42" hidden="1">#REF!</definedName>
    <definedName name="Z_8A65AEEF_2720_423E_8097_8F96864863B5_.wvu.Rows" hidden="1">#REF!</definedName>
    <definedName name="Z_905CC869_795C_4E5E_B879_52BB42470404_.wvu.FilterData" localSheetId="27" hidden="1">#REF!</definedName>
    <definedName name="Z_905CC869_795C_4E5E_B879_52BB42470404_.wvu.FilterData" localSheetId="42" hidden="1">#REF!</definedName>
    <definedName name="Z_905CC869_795C_4E5E_B879_52BB42470404_.wvu.FilterData" hidden="1">#REF!</definedName>
    <definedName name="Z_951381D6_C6D1_4C6C_A572_59CAF1F656FA_.wvu.Rows" localSheetId="27" hidden="1">#REF!</definedName>
    <definedName name="Z_951381D6_C6D1_4C6C_A572_59CAF1F656FA_.wvu.Rows" localSheetId="42" hidden="1">#REF!</definedName>
    <definedName name="Z_951381D6_C6D1_4C6C_A572_59CAF1F656FA_.wvu.Rows" hidden="1">#REF!</definedName>
    <definedName name="Z_97226F0E_533F_4A34_AEC6_C2C886B0FF62_.wvu.PrintArea" hidden="1">#REF!</definedName>
    <definedName name="Z_9A428CE1_B4D9_11D0_A8AA_0000C071AEE7_.wvu.Cols" localSheetId="32" hidden="1">#REF!,#REF!</definedName>
    <definedName name="Z_9A428CE1_B4D9_11D0_A8AA_0000C071AEE7_.wvu.Cols" localSheetId="27" hidden="1">#REF!,#REF!</definedName>
    <definedName name="Z_9A428CE1_B4D9_11D0_A8AA_0000C071AEE7_.wvu.Cols" localSheetId="18" hidden="1">#REF!,#REF!</definedName>
    <definedName name="Z_9A428CE1_B4D9_11D0_A8AA_0000C071AEE7_.wvu.Cols" hidden="1">#REF!,#REF!</definedName>
    <definedName name="Z_9A428CE1_B4D9_11D0_A8AA_0000C071AEE7_.wvu.PrintArea" localSheetId="32" hidden="1">#REF!</definedName>
    <definedName name="Z_9A428CE1_B4D9_11D0_A8AA_0000C071AEE7_.wvu.PrintArea" localSheetId="27" hidden="1">#REF!</definedName>
    <definedName name="Z_9A428CE1_B4D9_11D0_A8AA_0000C071AEE7_.wvu.PrintArea" localSheetId="18" hidden="1">#REF!</definedName>
    <definedName name="Z_9A428CE1_B4D9_11D0_A8AA_0000C071AEE7_.wvu.PrintArea" hidden="1">#REF!</definedName>
    <definedName name="Z_9A428CE1_B4D9_11D0_A8AA_0000C071AEE7_.wvu.Rows" localSheetId="32" hidden="1">#REF!,#REF!,#REF!,#REF!,#REF!,#REF!,#REF!,#REF!</definedName>
    <definedName name="Z_9A428CE1_B4D9_11D0_A8AA_0000C071AEE7_.wvu.Rows" localSheetId="27" hidden="1">#REF!,#REF!,#REF!,#REF!,#REF!,#REF!,#REF!,#REF!</definedName>
    <definedName name="Z_9A428CE1_B4D9_11D0_A8AA_0000C071AEE7_.wvu.Rows" localSheetId="18" hidden="1">#REF!,#REF!,#REF!,#REF!,#REF!,#REF!,#REF!,#REF!</definedName>
    <definedName name="Z_9A428CE1_B4D9_11D0_A8AA_0000C071AEE7_.wvu.Rows" hidden="1">#REF!,#REF!,#REF!,#REF!,#REF!,#REF!,#REF!,#REF!</definedName>
    <definedName name="Z_9B4EB5C0_E8C0_11D6_8DB2_0050BA60FDD2_.wvu.PrintArea" localSheetId="32" hidden="1">#REF!</definedName>
    <definedName name="Z_9B4EB5C0_E8C0_11D6_8DB2_0050BA60FDD2_.wvu.PrintArea" localSheetId="27" hidden="1">#REF!</definedName>
    <definedName name="Z_9B4EB5C0_E8C0_11D6_8DB2_0050BA60FDD2_.wvu.PrintArea" localSheetId="18" hidden="1">#REF!</definedName>
    <definedName name="Z_9B4EB5C0_E8C0_11D6_8DB2_0050BA60FDD2_.wvu.PrintArea" hidden="1">#REF!</definedName>
    <definedName name="Z_AEFAA9BC_77A3_4DB7_9FE7_A7F47A5E0AF8_.wvu.Rows" localSheetId="27" hidden="1">#REF!,#REF!</definedName>
    <definedName name="Z_AEFAA9BC_77A3_4DB7_9FE7_A7F47A5E0AF8_.wvu.Rows" localSheetId="13" hidden="1">#REF!,#REF!</definedName>
    <definedName name="Z_AEFAA9BC_77A3_4DB7_9FE7_A7F47A5E0AF8_.wvu.Rows" localSheetId="41" hidden="1">#REF!,#REF!</definedName>
    <definedName name="Z_AEFAA9BC_77A3_4DB7_9FE7_A7F47A5E0AF8_.wvu.Rows" localSheetId="42" hidden="1">#REF!,#REF!</definedName>
    <definedName name="Z_AEFAA9BC_77A3_4DB7_9FE7_A7F47A5E0AF8_.wvu.Rows" hidden="1">#REF!,#REF!</definedName>
    <definedName name="Z_B056FA7B_5938_4C4A_9587_D84E4FA29EDE_.wvu.PrintArea" localSheetId="32" hidden="1">#REF!</definedName>
    <definedName name="Z_B056FA7B_5938_4C4A_9587_D84E4FA29EDE_.wvu.PrintArea" localSheetId="27" hidden="1">#REF!</definedName>
    <definedName name="Z_B056FA7B_5938_4C4A_9587_D84E4FA29EDE_.wvu.PrintArea" localSheetId="18" hidden="1">#REF!</definedName>
    <definedName name="Z_B056FA7B_5938_4C4A_9587_D84E4FA29EDE_.wvu.PrintArea" hidden="1">#REF!</definedName>
    <definedName name="Z_C5F07B99_5B9B_4D7E_8E51_7715CFFC23CA_.wvu.Rows" localSheetId="42" hidden="1">#REF!,#REF!,#REF!,#REF!,#REF!,#REF!,#REF!,#REF!,#REF!,#REF!,#REF!,#REF!,#REF!,#REF!,#REF!,#REF!</definedName>
    <definedName name="Z_C68F7E66_DBEE_4C62_8CE7_6B99B31303FC_.wvu.Rows" localSheetId="27" hidden="1">#REF!,#REF!,#REF!</definedName>
    <definedName name="Z_C68F7E66_DBEE_4C62_8CE7_6B99B31303FC_.wvu.Rows" localSheetId="13" hidden="1">#REF!,#REF!,#REF!</definedName>
    <definedName name="Z_C68F7E66_DBEE_4C62_8CE7_6B99B31303FC_.wvu.Rows" localSheetId="41" hidden="1">#REF!,#REF!,#REF!</definedName>
    <definedName name="Z_C68F7E66_DBEE_4C62_8CE7_6B99B31303FC_.wvu.Rows" localSheetId="42" hidden="1">#REF!,#REF!,#REF!</definedName>
    <definedName name="Z_C68F7E66_DBEE_4C62_8CE7_6B99B31303FC_.wvu.Rows" hidden="1">#REF!,#REF!,#REF!</definedName>
    <definedName name="Z_E59B93DB_2A69_47DC_BCEC_8687447A6518_.wvu.Rows" localSheetId="20" hidden="1">#REF!</definedName>
    <definedName name="Z_E59B93DB_2A69_47DC_BCEC_8687447A6518_.wvu.Rows" localSheetId="19" hidden="1">#REF!</definedName>
    <definedName name="Z_E59B93DB_2A69_47DC_BCEC_8687447A6518_.wvu.Rows" localSheetId="32" hidden="1">#REF!</definedName>
    <definedName name="Z_E59B93DB_2A69_47DC_BCEC_8687447A6518_.wvu.Rows" localSheetId="27" hidden="1">#REF!</definedName>
    <definedName name="Z_E59B93DB_2A69_47DC_BCEC_8687447A6518_.wvu.Rows" localSheetId="28" hidden="1">#REF!</definedName>
    <definedName name="Z_E59B93DB_2A69_47DC_BCEC_8687447A6518_.wvu.Rows" localSheetId="31" hidden="1">#REF!</definedName>
    <definedName name="Z_E59B93DB_2A69_47DC_BCEC_8687447A6518_.wvu.Rows" localSheetId="30" hidden="1">#REF!</definedName>
    <definedName name="Z_E59B93DB_2A69_47DC_BCEC_8687447A6518_.wvu.Rows" localSheetId="17" hidden="1">#REF!</definedName>
    <definedName name="Z_E59B93DB_2A69_47DC_BCEC_8687447A6518_.wvu.Rows" localSheetId="18" hidden="1">#REF!</definedName>
    <definedName name="Z_E59B93DB_2A69_47DC_BCEC_8687447A6518_.wvu.Rows" hidden="1">#REF!</definedName>
    <definedName name="Z_F77BEDA0_E8BF_11D6_833C_00403396C58E_.wvu.PrintArea" localSheetId="20" hidden="1">#REF!</definedName>
    <definedName name="Z_F77BEDA0_E8BF_11D6_833C_00403396C58E_.wvu.PrintArea" localSheetId="19" hidden="1">#REF!</definedName>
    <definedName name="Z_F77BEDA0_E8BF_11D6_833C_00403396C58E_.wvu.PrintArea" localSheetId="32" hidden="1">#REF!</definedName>
    <definedName name="Z_F77BEDA0_E8BF_11D6_833C_00403396C58E_.wvu.PrintArea" localSheetId="27" hidden="1">#REF!</definedName>
    <definedName name="Z_F77BEDA0_E8BF_11D6_833C_00403396C58E_.wvu.PrintArea" localSheetId="28" hidden="1">#REF!</definedName>
    <definedName name="Z_F77BEDA0_E8BF_11D6_833C_00403396C58E_.wvu.PrintArea" localSheetId="31" hidden="1">#REF!</definedName>
    <definedName name="Z_F77BEDA0_E8BF_11D6_833C_00403396C58E_.wvu.PrintArea" localSheetId="30" hidden="1">#REF!</definedName>
    <definedName name="Z_F77BEDA0_E8BF_11D6_833C_00403396C58E_.wvu.PrintArea" localSheetId="17" hidden="1">#REF!</definedName>
    <definedName name="Z_F77BEDA0_E8BF_11D6_833C_00403396C58E_.wvu.PrintArea" localSheetId="18" hidden="1">#REF!</definedName>
    <definedName name="Z_F77BEDA0_E8BF_11D6_833C_00403396C58E_.wvu.PrintArea" hidden="1">#REF!</definedName>
    <definedName name="Z_F9ED5321_EA7D_11D6_833C_00403396C58E_.wvu.PrintTitles" localSheetId="27" hidden="1">#REF!</definedName>
    <definedName name="Z_F9ED5321_EA7D_11D6_833C_00403396C58E_.wvu.PrintTitles" localSheetId="18" hidden="1">#REF!</definedName>
    <definedName name="Z_F9ED5321_EA7D_11D6_833C_00403396C58E_.wvu.PrintTitles" hidden="1">#REF!</definedName>
    <definedName name="za" localSheetId="27" hidden="1">#REF!</definedName>
    <definedName name="za" localSheetId="18" hidden="1">#REF!</definedName>
    <definedName name="za" hidden="1">#REF!</definedName>
    <definedName name="zed" localSheetId="13" hidden="1">#REF!</definedName>
    <definedName name="zed" localSheetId="41" hidden="1">#REF!</definedName>
    <definedName name="zed" localSheetId="42" hidden="1">#REF!</definedName>
    <definedName name="zed" hidden="1">#REF!</definedName>
    <definedName name="zed1" localSheetId="42" hidden="1">#REF!</definedName>
    <definedName name="zed1" hidden="1">#REF!</definedName>
    <definedName name="ZX" localSheetId="20" hidden="1">{#N/A,#N/A,FALSE,"CCTV"}</definedName>
    <definedName name="ZX" localSheetId="19" hidden="1">{#N/A,#N/A,FALSE,"CCTV"}</definedName>
    <definedName name="ZX" localSheetId="26" hidden="1">{#N/A,#N/A,FALSE,"CCTV"}</definedName>
    <definedName name="ZX" localSheetId="24" hidden="1">{#N/A,#N/A,FALSE,"CCTV"}</definedName>
    <definedName name="ZX" localSheetId="32" hidden="1">{#N/A,#N/A,FALSE,"CCTV"}</definedName>
    <definedName name="ZX" localSheetId="27" hidden="1">{#N/A,#N/A,FALSE,"CCTV"}</definedName>
    <definedName name="ZX" localSheetId="28" hidden="1">{#N/A,#N/A,FALSE,"CCTV"}</definedName>
    <definedName name="ZX" localSheetId="29" hidden="1">{#N/A,#N/A,FALSE,"CCTV"}</definedName>
    <definedName name="ZX" localSheetId="31" hidden="1">{#N/A,#N/A,FALSE,"CCTV"}</definedName>
    <definedName name="ZX" localSheetId="30" hidden="1">{#N/A,#N/A,FALSE,"CCTV"}</definedName>
    <definedName name="ZX" localSheetId="17" hidden="1">{#N/A,#N/A,FALSE,"CCTV"}</definedName>
    <definedName name="ZX" localSheetId="18" hidden="1">{#N/A,#N/A,FALSE,"CCTV"}</definedName>
    <definedName name="ZX" hidden="1">{#N/A,#N/A,FALSE,"CCTV"}</definedName>
    <definedName name="zxf" localSheetId="20" hidden="1">{"'Sheet1'!$A$1"}</definedName>
    <definedName name="zxf" localSheetId="19" hidden="1">{"'Sheet1'!$A$1"}</definedName>
    <definedName name="zxf" localSheetId="26" hidden="1">{"'Sheet1'!$A$1"}</definedName>
    <definedName name="zxf" localSheetId="24" hidden="1">{"'Sheet1'!$A$1"}</definedName>
    <definedName name="zxf" localSheetId="32" hidden="1">{"'Sheet1'!$A$1"}</definedName>
    <definedName name="zxf" localSheetId="27" hidden="1">{"'Sheet1'!$A$1"}</definedName>
    <definedName name="zxf" localSheetId="28" hidden="1">{"'Sheet1'!$A$1"}</definedName>
    <definedName name="zxf" localSheetId="29" hidden="1">{"'Sheet1'!$A$1"}</definedName>
    <definedName name="zxf" localSheetId="31" hidden="1">{"'Sheet1'!$A$1"}</definedName>
    <definedName name="zxf" localSheetId="30" hidden="1">{"'Sheet1'!$A$1"}</definedName>
    <definedName name="zxf" localSheetId="17" hidden="1">{"'Sheet1'!$A$1"}</definedName>
    <definedName name="zxf" localSheetId="18" hidden="1">{"'Sheet1'!$A$1"}</definedName>
    <definedName name="zxf" hidden="1">{"'Sheet1'!$A$1"}</definedName>
    <definedName name="zzz" hidden="1">#REF!</definedName>
    <definedName name="บ้าน" localSheetId="20" hidden="1">{#N/A,#N/A,TRUE,"Str.";#N/A,#N/A,TRUE,"Steel &amp; Roof";#N/A,#N/A,TRUE,"Arc.";#N/A,#N/A,TRUE,"Preliminary";#N/A,#N/A,TRUE,"Sum_Prelim"}</definedName>
    <definedName name="บ้าน" localSheetId="19" hidden="1">{#N/A,#N/A,TRUE,"Str.";#N/A,#N/A,TRUE,"Steel &amp; Roof";#N/A,#N/A,TRUE,"Arc.";#N/A,#N/A,TRUE,"Preliminary";#N/A,#N/A,TRUE,"Sum_Prelim"}</definedName>
    <definedName name="บ้าน" localSheetId="26" hidden="1">{#N/A,#N/A,TRUE,"Str.";#N/A,#N/A,TRUE,"Steel &amp; Roof";#N/A,#N/A,TRUE,"Arc.";#N/A,#N/A,TRUE,"Preliminary";#N/A,#N/A,TRUE,"Sum_Prelim"}</definedName>
    <definedName name="บ้าน" localSheetId="24" hidden="1">{#N/A,#N/A,TRUE,"Str.";#N/A,#N/A,TRUE,"Steel &amp; Roof";#N/A,#N/A,TRUE,"Arc.";#N/A,#N/A,TRUE,"Preliminary";#N/A,#N/A,TRUE,"Sum_Prelim"}</definedName>
    <definedName name="บ้าน" localSheetId="32" hidden="1">{#N/A,#N/A,TRUE,"Str.";#N/A,#N/A,TRUE,"Steel &amp; Roof";#N/A,#N/A,TRUE,"Arc.";#N/A,#N/A,TRUE,"Preliminary";#N/A,#N/A,TRUE,"Sum_Prelim"}</definedName>
    <definedName name="บ้าน" localSheetId="27" hidden="1">{#N/A,#N/A,TRUE,"Str.";#N/A,#N/A,TRUE,"Steel &amp; Roof";#N/A,#N/A,TRUE,"Arc.";#N/A,#N/A,TRUE,"Preliminary";#N/A,#N/A,TRUE,"Sum_Prelim"}</definedName>
    <definedName name="บ้าน" localSheetId="28" hidden="1">{#N/A,#N/A,TRUE,"Str.";#N/A,#N/A,TRUE,"Steel &amp; Roof";#N/A,#N/A,TRUE,"Arc.";#N/A,#N/A,TRUE,"Preliminary";#N/A,#N/A,TRUE,"Sum_Prelim"}</definedName>
    <definedName name="บ้าน" localSheetId="29" hidden="1">{#N/A,#N/A,TRUE,"Str.";#N/A,#N/A,TRUE,"Steel &amp; Roof";#N/A,#N/A,TRUE,"Arc.";#N/A,#N/A,TRUE,"Preliminary";#N/A,#N/A,TRUE,"Sum_Prelim"}</definedName>
    <definedName name="บ้าน" localSheetId="31" hidden="1">{#N/A,#N/A,TRUE,"Str.";#N/A,#N/A,TRUE,"Steel &amp; Roof";#N/A,#N/A,TRUE,"Arc.";#N/A,#N/A,TRUE,"Preliminary";#N/A,#N/A,TRUE,"Sum_Prelim"}</definedName>
    <definedName name="บ้าน" localSheetId="30" hidden="1">{#N/A,#N/A,TRUE,"Str.";#N/A,#N/A,TRUE,"Steel &amp; Roof";#N/A,#N/A,TRUE,"Arc.";#N/A,#N/A,TRUE,"Preliminary";#N/A,#N/A,TRUE,"Sum_Prelim"}</definedName>
    <definedName name="บ้าน" localSheetId="17" hidden="1">{#N/A,#N/A,TRUE,"Str.";#N/A,#N/A,TRUE,"Steel &amp; Roof";#N/A,#N/A,TRUE,"Arc.";#N/A,#N/A,TRUE,"Preliminary";#N/A,#N/A,TRUE,"Sum_Prelim"}</definedName>
    <definedName name="บ้าน" localSheetId="18" hidden="1">{#N/A,#N/A,TRUE,"Str.";#N/A,#N/A,TRUE,"Steel &amp; Roof";#N/A,#N/A,TRUE,"Arc.";#N/A,#N/A,TRUE,"Preliminary";#N/A,#N/A,TRUE,"Sum_Prelim"}</definedName>
    <definedName name="บ้าน" hidden="1">{#N/A,#N/A,TRUE,"Str.";#N/A,#N/A,TRUE,"Steel &amp; Roof";#N/A,#N/A,TRUE,"Arc.";#N/A,#N/A,TRUE,"Preliminary";#N/A,#N/A,TRUE,"Sum_Prelim"}</definedName>
    <definedName name="ㄱㅈㅎ" localSheetId="32" hidden="1">#REF!</definedName>
    <definedName name="ㄱㅈㅎ" localSheetId="27" hidden="1">#REF!</definedName>
    <definedName name="ㄱㅈㅎ" localSheetId="18" hidden="1">#REF!</definedName>
    <definedName name="ㄱㅈㅎ" hidden="1">#REF!</definedName>
    <definedName name="건기" localSheetId="20" hidden="1">{#N/A,#N/A,FALSE,"사업총괄";#N/A,#N/A,FALSE,"장비사업";#N/A,#N/A,FALSE,"철구사업";#N/A,#N/A,FALSE,"준설사업"}</definedName>
    <definedName name="건기" localSheetId="19" hidden="1">{#N/A,#N/A,FALSE,"사업총괄";#N/A,#N/A,FALSE,"장비사업";#N/A,#N/A,FALSE,"철구사업";#N/A,#N/A,FALSE,"준설사업"}</definedName>
    <definedName name="건기" localSheetId="26" hidden="1">{#N/A,#N/A,FALSE,"사업총괄";#N/A,#N/A,FALSE,"장비사업";#N/A,#N/A,FALSE,"철구사업";#N/A,#N/A,FALSE,"준설사업"}</definedName>
    <definedName name="건기" localSheetId="24" hidden="1">{#N/A,#N/A,FALSE,"사업총괄";#N/A,#N/A,FALSE,"장비사업";#N/A,#N/A,FALSE,"철구사업";#N/A,#N/A,FALSE,"준설사업"}</definedName>
    <definedName name="건기" localSheetId="32" hidden="1">{#N/A,#N/A,FALSE,"사업총괄";#N/A,#N/A,FALSE,"장비사업";#N/A,#N/A,FALSE,"철구사업";#N/A,#N/A,FALSE,"준설사업"}</definedName>
    <definedName name="건기" localSheetId="27" hidden="1">{#N/A,#N/A,FALSE,"사업총괄";#N/A,#N/A,FALSE,"장비사업";#N/A,#N/A,FALSE,"철구사업";#N/A,#N/A,FALSE,"준설사업"}</definedName>
    <definedName name="건기" localSheetId="28" hidden="1">{#N/A,#N/A,FALSE,"사업총괄";#N/A,#N/A,FALSE,"장비사업";#N/A,#N/A,FALSE,"철구사업";#N/A,#N/A,FALSE,"준설사업"}</definedName>
    <definedName name="건기" localSheetId="29" hidden="1">{#N/A,#N/A,FALSE,"사업총괄";#N/A,#N/A,FALSE,"장비사업";#N/A,#N/A,FALSE,"철구사업";#N/A,#N/A,FALSE,"준설사업"}</definedName>
    <definedName name="건기" localSheetId="31" hidden="1">{#N/A,#N/A,FALSE,"사업총괄";#N/A,#N/A,FALSE,"장비사업";#N/A,#N/A,FALSE,"철구사업";#N/A,#N/A,FALSE,"준설사업"}</definedName>
    <definedName name="건기" localSheetId="30" hidden="1">{#N/A,#N/A,FALSE,"사업총괄";#N/A,#N/A,FALSE,"장비사업";#N/A,#N/A,FALSE,"철구사업";#N/A,#N/A,FALSE,"준설사업"}</definedName>
    <definedName name="건기" localSheetId="17" hidden="1">{#N/A,#N/A,FALSE,"사업총괄";#N/A,#N/A,FALSE,"장비사업";#N/A,#N/A,FALSE,"철구사업";#N/A,#N/A,FALSE,"준설사업"}</definedName>
    <definedName name="건기" localSheetId="18" hidden="1">{#N/A,#N/A,FALSE,"사업총괄";#N/A,#N/A,FALSE,"장비사업";#N/A,#N/A,FALSE,"철구사업";#N/A,#N/A,FALSE,"준설사업"}</definedName>
    <definedName name="건기" hidden="1">{#N/A,#N/A,FALSE,"사업총괄";#N/A,#N/A,FALSE,"장비사업";#N/A,#N/A,FALSE,"철구사업";#N/A,#N/A,FALSE,"준설사업"}</definedName>
    <definedName name="건기2" localSheetId="20" hidden="1">{#N/A,#N/A,FALSE,"사업총괄";#N/A,#N/A,FALSE,"장비사업";#N/A,#N/A,FALSE,"철구사업";#N/A,#N/A,FALSE,"준설사업"}</definedName>
    <definedName name="건기2" localSheetId="19" hidden="1">{#N/A,#N/A,FALSE,"사업총괄";#N/A,#N/A,FALSE,"장비사업";#N/A,#N/A,FALSE,"철구사업";#N/A,#N/A,FALSE,"준설사업"}</definedName>
    <definedName name="건기2" localSheetId="26" hidden="1">{#N/A,#N/A,FALSE,"사업총괄";#N/A,#N/A,FALSE,"장비사업";#N/A,#N/A,FALSE,"철구사업";#N/A,#N/A,FALSE,"준설사업"}</definedName>
    <definedName name="건기2" localSheetId="24" hidden="1">{#N/A,#N/A,FALSE,"사업총괄";#N/A,#N/A,FALSE,"장비사업";#N/A,#N/A,FALSE,"철구사업";#N/A,#N/A,FALSE,"준설사업"}</definedName>
    <definedName name="건기2" localSheetId="32" hidden="1">{#N/A,#N/A,FALSE,"사업총괄";#N/A,#N/A,FALSE,"장비사업";#N/A,#N/A,FALSE,"철구사업";#N/A,#N/A,FALSE,"준설사업"}</definedName>
    <definedName name="건기2" localSheetId="27" hidden="1">{#N/A,#N/A,FALSE,"사업총괄";#N/A,#N/A,FALSE,"장비사업";#N/A,#N/A,FALSE,"철구사업";#N/A,#N/A,FALSE,"준설사업"}</definedName>
    <definedName name="건기2" localSheetId="28" hidden="1">{#N/A,#N/A,FALSE,"사업총괄";#N/A,#N/A,FALSE,"장비사업";#N/A,#N/A,FALSE,"철구사업";#N/A,#N/A,FALSE,"준설사업"}</definedName>
    <definedName name="건기2" localSheetId="29" hidden="1">{#N/A,#N/A,FALSE,"사업총괄";#N/A,#N/A,FALSE,"장비사업";#N/A,#N/A,FALSE,"철구사업";#N/A,#N/A,FALSE,"준설사업"}</definedName>
    <definedName name="건기2" localSheetId="31" hidden="1">{#N/A,#N/A,FALSE,"사업총괄";#N/A,#N/A,FALSE,"장비사업";#N/A,#N/A,FALSE,"철구사업";#N/A,#N/A,FALSE,"준설사업"}</definedName>
    <definedName name="건기2" localSheetId="30" hidden="1">{#N/A,#N/A,FALSE,"사업총괄";#N/A,#N/A,FALSE,"장비사업";#N/A,#N/A,FALSE,"철구사업";#N/A,#N/A,FALSE,"준설사업"}</definedName>
    <definedName name="건기2" localSheetId="17" hidden="1">{#N/A,#N/A,FALSE,"사업총괄";#N/A,#N/A,FALSE,"장비사업";#N/A,#N/A,FALSE,"철구사업";#N/A,#N/A,FALSE,"준설사업"}</definedName>
    <definedName name="건기2" localSheetId="18" hidden="1">{#N/A,#N/A,FALSE,"사업총괄";#N/A,#N/A,FALSE,"장비사업";#N/A,#N/A,FALSE,"철구사업";#N/A,#N/A,FALSE,"준설사업"}</definedName>
    <definedName name="건기2" hidden="1">{#N/A,#N/A,FALSE,"사업총괄";#N/A,#N/A,FALSE,"장비사업";#N/A,#N/A,FALSE,"철구사업";#N/A,#N/A,FALSE,"준설사업"}</definedName>
    <definedName name="건설기계새로움" localSheetId="20" hidden="1">{#VALUE!,#N/A,FALSE,0;#N/A,#N/A,FALSE,0;#N/A,#N/A,FALSE,0;#N/A,#N/A,FALSE,0}</definedName>
    <definedName name="건설기계새로움" localSheetId="19" hidden="1">{#VALUE!,#N/A,FALSE,0;#N/A,#N/A,FALSE,0;#N/A,#N/A,FALSE,0;#N/A,#N/A,FALSE,0}</definedName>
    <definedName name="건설기계새로움" localSheetId="26" hidden="1">{#VALUE!,#N/A,FALSE,0;#N/A,#N/A,FALSE,0;#N/A,#N/A,FALSE,0;#N/A,#N/A,FALSE,0}</definedName>
    <definedName name="건설기계새로움" localSheetId="24" hidden="1">{#VALUE!,#N/A,FALSE,0;#N/A,#N/A,FALSE,0;#N/A,#N/A,FALSE,0;#N/A,#N/A,FALSE,0}</definedName>
    <definedName name="건설기계새로움" localSheetId="32" hidden="1">{#VALUE!,#N/A,FALSE,0;#N/A,#N/A,FALSE,0;#N/A,#N/A,FALSE,0;#N/A,#N/A,FALSE,0}</definedName>
    <definedName name="건설기계새로움" localSheetId="27" hidden="1">{#VALUE!,#N/A,FALSE,0;#N/A,#N/A,FALSE,0;#N/A,#N/A,FALSE,0;#N/A,#N/A,FALSE,0}</definedName>
    <definedName name="건설기계새로움" localSheetId="28" hidden="1">{#VALUE!,#N/A,FALSE,0;#N/A,#N/A,FALSE,0;#N/A,#N/A,FALSE,0;#N/A,#N/A,FALSE,0}</definedName>
    <definedName name="건설기계새로움" localSheetId="29" hidden="1">{#VALUE!,#N/A,FALSE,0;#N/A,#N/A,FALSE,0;#N/A,#N/A,FALSE,0;#N/A,#N/A,FALSE,0}</definedName>
    <definedName name="건설기계새로움" localSheetId="31" hidden="1">{#VALUE!,#N/A,FALSE,0;#N/A,#N/A,FALSE,0;#N/A,#N/A,FALSE,0;#N/A,#N/A,FALSE,0}</definedName>
    <definedName name="건설기계새로움" localSheetId="30" hidden="1">{#VALUE!,#N/A,FALSE,0;#N/A,#N/A,FALSE,0;#N/A,#N/A,FALSE,0;#N/A,#N/A,FALSE,0}</definedName>
    <definedName name="건설기계새로움" localSheetId="17" hidden="1">{#VALUE!,#N/A,FALSE,0;#N/A,#N/A,FALSE,0;#N/A,#N/A,FALSE,0;#N/A,#N/A,FALSE,0}</definedName>
    <definedName name="건설기계새로움" localSheetId="18" hidden="1">{#VALUE!,#N/A,FALSE,0;#N/A,#N/A,FALSE,0;#N/A,#N/A,FALSE,0;#N/A,#N/A,FALSE,0}</definedName>
    <definedName name="건설기계새로움" hidden="1">{#VALUE!,#N/A,FALSE,0;#N/A,#N/A,FALSE,0;#N/A,#N/A,FALSE,0;#N/A,#N/A,FALSE,0}</definedName>
    <definedName name="건축토공" localSheetId="20" hidden="1">{#N/A,#N/A,FALSE,"기안지";#N/A,#N/A,FALSE,"통신지"}</definedName>
    <definedName name="건축토공" localSheetId="19" hidden="1">{#N/A,#N/A,FALSE,"기안지";#N/A,#N/A,FALSE,"통신지"}</definedName>
    <definedName name="건축토공" localSheetId="26" hidden="1">{#N/A,#N/A,FALSE,"기안지";#N/A,#N/A,FALSE,"통신지"}</definedName>
    <definedName name="건축토공" localSheetId="24" hidden="1">{#N/A,#N/A,FALSE,"기안지";#N/A,#N/A,FALSE,"통신지"}</definedName>
    <definedName name="건축토공" localSheetId="32" hidden="1">{#N/A,#N/A,FALSE,"기안지";#N/A,#N/A,FALSE,"통신지"}</definedName>
    <definedName name="건축토공" localSheetId="27" hidden="1">{#N/A,#N/A,FALSE,"기안지";#N/A,#N/A,FALSE,"통신지"}</definedName>
    <definedName name="건축토공" localSheetId="28" hidden="1">{#N/A,#N/A,FALSE,"기안지";#N/A,#N/A,FALSE,"통신지"}</definedName>
    <definedName name="건축토공" localSheetId="29" hidden="1">{#N/A,#N/A,FALSE,"기안지";#N/A,#N/A,FALSE,"통신지"}</definedName>
    <definedName name="건축토공" localSheetId="31" hidden="1">{#N/A,#N/A,FALSE,"기안지";#N/A,#N/A,FALSE,"통신지"}</definedName>
    <definedName name="건축토공" localSheetId="30" hidden="1">{#N/A,#N/A,FALSE,"기안지";#N/A,#N/A,FALSE,"통신지"}</definedName>
    <definedName name="건축토공" localSheetId="17" hidden="1">{#N/A,#N/A,FALSE,"기안지";#N/A,#N/A,FALSE,"통신지"}</definedName>
    <definedName name="건축토공" localSheetId="18" hidden="1">{#N/A,#N/A,FALSE,"기안지";#N/A,#N/A,FALSE,"통신지"}</definedName>
    <definedName name="건축토공" hidden="1">{#N/A,#N/A,FALSE,"기안지";#N/A,#N/A,FALSE,"통신지"}</definedName>
    <definedName name="겡오" localSheetId="20" hidden="1">{#N/A,#N/A,FALSE,"CCTV"}</definedName>
    <definedName name="겡오" localSheetId="19" hidden="1">{#N/A,#N/A,FALSE,"CCTV"}</definedName>
    <definedName name="겡오" localSheetId="26" hidden="1">{#N/A,#N/A,FALSE,"CCTV"}</definedName>
    <definedName name="겡오" localSheetId="24" hidden="1">{#N/A,#N/A,FALSE,"CCTV"}</definedName>
    <definedName name="겡오" localSheetId="32" hidden="1">{#N/A,#N/A,FALSE,"CCTV"}</definedName>
    <definedName name="겡오" localSheetId="27" hidden="1">{#N/A,#N/A,FALSE,"CCTV"}</definedName>
    <definedName name="겡오" localSheetId="28" hidden="1">{#N/A,#N/A,FALSE,"CCTV"}</definedName>
    <definedName name="겡오" localSheetId="29" hidden="1">{#N/A,#N/A,FALSE,"CCTV"}</definedName>
    <definedName name="겡오" localSheetId="31" hidden="1">{#N/A,#N/A,FALSE,"CCTV"}</definedName>
    <definedName name="겡오" localSheetId="30" hidden="1">{#N/A,#N/A,FALSE,"CCTV"}</definedName>
    <definedName name="겡오" localSheetId="17" hidden="1">{#N/A,#N/A,FALSE,"CCTV"}</definedName>
    <definedName name="겡오" localSheetId="18" hidden="1">{#N/A,#N/A,FALSE,"CCTV"}</definedName>
    <definedName name="겡오" hidden="1">{#N/A,#N/A,FALSE,"CCTV"}</definedName>
    <definedName name="견적" localSheetId="20" hidden="1">{#N/A,#N/A,FALSE,"CCTV"}</definedName>
    <definedName name="견적" localSheetId="19" hidden="1">{#N/A,#N/A,FALSE,"CCTV"}</definedName>
    <definedName name="견적" localSheetId="26" hidden="1">{#N/A,#N/A,FALSE,"CCTV"}</definedName>
    <definedName name="견적" localSheetId="24" hidden="1">{#N/A,#N/A,FALSE,"CCTV"}</definedName>
    <definedName name="견적" localSheetId="32" hidden="1">{#N/A,#N/A,FALSE,"CCTV"}</definedName>
    <definedName name="견적" localSheetId="27" hidden="1">{#N/A,#N/A,FALSE,"CCTV"}</definedName>
    <definedName name="견적" localSheetId="28" hidden="1">{#N/A,#N/A,FALSE,"CCTV"}</definedName>
    <definedName name="견적" localSheetId="29" hidden="1">{#N/A,#N/A,FALSE,"CCTV"}</definedName>
    <definedName name="견적" localSheetId="31" hidden="1">{#N/A,#N/A,FALSE,"CCTV"}</definedName>
    <definedName name="견적" localSheetId="30" hidden="1">{#N/A,#N/A,FALSE,"CCTV"}</definedName>
    <definedName name="견적" localSheetId="17" hidden="1">{#N/A,#N/A,FALSE,"CCTV"}</definedName>
    <definedName name="견적" localSheetId="18" hidden="1">{#N/A,#N/A,FALSE,"CCTV"}</definedName>
    <definedName name="견적" hidden="1">{#N/A,#N/A,FALSE,"CCTV"}</definedName>
    <definedName name="견적2" localSheetId="20" hidden="1">{#N/A,#N/A,FALSE,"CCTV"}</definedName>
    <definedName name="견적2" localSheetId="19" hidden="1">{#N/A,#N/A,FALSE,"CCTV"}</definedName>
    <definedName name="견적2" localSheetId="26" hidden="1">{#N/A,#N/A,FALSE,"CCTV"}</definedName>
    <definedName name="견적2" localSheetId="24" hidden="1">{#N/A,#N/A,FALSE,"CCTV"}</definedName>
    <definedName name="견적2" localSheetId="32" hidden="1">{#N/A,#N/A,FALSE,"CCTV"}</definedName>
    <definedName name="견적2" localSheetId="27" hidden="1">{#N/A,#N/A,FALSE,"CCTV"}</definedName>
    <definedName name="견적2" localSheetId="28" hidden="1">{#N/A,#N/A,FALSE,"CCTV"}</definedName>
    <definedName name="견적2" localSheetId="29" hidden="1">{#N/A,#N/A,FALSE,"CCTV"}</definedName>
    <definedName name="견적2" localSheetId="31" hidden="1">{#N/A,#N/A,FALSE,"CCTV"}</definedName>
    <definedName name="견적2" localSheetId="30" hidden="1">{#N/A,#N/A,FALSE,"CCTV"}</definedName>
    <definedName name="견적2" localSheetId="17" hidden="1">{#N/A,#N/A,FALSE,"CCTV"}</definedName>
    <definedName name="견적2" localSheetId="18" hidden="1">{#N/A,#N/A,FALSE,"CCTV"}</definedName>
    <definedName name="견적2" hidden="1">{#N/A,#N/A,FALSE,"CCTV"}</definedName>
    <definedName name="견적3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localSheetId="2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localSheetId="3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localSheetId="2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localSheetId="2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localSheetId="2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localSheetId="3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localSheetId="3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localSheetId="2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localSheetId="3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localSheetId="2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localSheetId="2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localSheetId="2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localSheetId="3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localSheetId="3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SHEET" localSheetId="20" hidden="1">{#N/A,#N/A,FALSE,"CCTV"}</definedName>
    <definedName name="견적SHEET" localSheetId="19" hidden="1">{#N/A,#N/A,FALSE,"CCTV"}</definedName>
    <definedName name="견적SHEET" localSheetId="26" hidden="1">{#N/A,#N/A,FALSE,"CCTV"}</definedName>
    <definedName name="견적SHEET" localSheetId="24" hidden="1">{#N/A,#N/A,FALSE,"CCTV"}</definedName>
    <definedName name="견적SHEET" localSheetId="32" hidden="1">{#N/A,#N/A,FALSE,"CCTV"}</definedName>
    <definedName name="견적SHEET" localSheetId="27" hidden="1">{#N/A,#N/A,FALSE,"CCTV"}</definedName>
    <definedName name="견적SHEET" localSheetId="28" hidden="1">{#N/A,#N/A,FALSE,"CCTV"}</definedName>
    <definedName name="견적SHEET" localSheetId="29" hidden="1">{#N/A,#N/A,FALSE,"CCTV"}</definedName>
    <definedName name="견적SHEET" localSheetId="31" hidden="1">{#N/A,#N/A,FALSE,"CCTV"}</definedName>
    <definedName name="견적SHEET" localSheetId="30" hidden="1">{#N/A,#N/A,FALSE,"CCTV"}</definedName>
    <definedName name="견적SHEET" localSheetId="17" hidden="1">{#N/A,#N/A,FALSE,"CCTV"}</definedName>
    <definedName name="견적SHEET" localSheetId="18" hidden="1">{#N/A,#N/A,FALSE,"CCTV"}</definedName>
    <definedName name="견적SHEET" hidden="1">{#N/A,#N/A,FALSE,"CCTV"}</definedName>
    <definedName name="견적서2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서2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서2" localSheetId="2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서2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서2" localSheetId="3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서2" localSheetId="2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서2" localSheetId="2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서2" localSheetId="2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서2" localSheetId="3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서2" localSheetId="3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서2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서2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서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품의서" localSheetId="20" hidden="1">{"'장비'!$A$3:$M$12"}</definedName>
    <definedName name="견적품의서" localSheetId="19" hidden="1">{"'장비'!$A$3:$M$12"}</definedName>
    <definedName name="견적품의서" localSheetId="26" hidden="1">{"'장비'!$A$3:$M$12"}</definedName>
    <definedName name="견적품의서" localSheetId="24" hidden="1">{"'장비'!$A$3:$M$12"}</definedName>
    <definedName name="견적품의서" localSheetId="32" hidden="1">{"'장비'!$A$3:$M$12"}</definedName>
    <definedName name="견적품의서" localSheetId="27" hidden="1">{"'장비'!$A$3:$M$12"}</definedName>
    <definedName name="견적품의서" localSheetId="28" hidden="1">{"'장비'!$A$3:$M$12"}</definedName>
    <definedName name="견적품의서" localSheetId="29" hidden="1">{"'장비'!$A$3:$M$12"}</definedName>
    <definedName name="견적품의서" localSheetId="31" hidden="1">{"'장비'!$A$3:$M$12"}</definedName>
    <definedName name="견적품의서" localSheetId="30" hidden="1">{"'장비'!$A$3:$M$12"}</definedName>
    <definedName name="견적품의서" localSheetId="17" hidden="1">{"'장비'!$A$3:$M$12"}</definedName>
    <definedName name="견적품의서" localSheetId="18" hidden="1">{"'장비'!$A$3:$M$12"}</definedName>
    <definedName name="견적품의서" hidden="1">{"'장비'!$A$3:$M$12"}</definedName>
    <definedName name="견적품의서1" localSheetId="20" hidden="1">{"'장비'!$A$3:$M$12"}</definedName>
    <definedName name="견적품의서1" localSheetId="19" hidden="1">{"'장비'!$A$3:$M$12"}</definedName>
    <definedName name="견적품의서1" localSheetId="26" hidden="1">{"'장비'!$A$3:$M$12"}</definedName>
    <definedName name="견적품의서1" localSheetId="24" hidden="1">{"'장비'!$A$3:$M$12"}</definedName>
    <definedName name="견적품의서1" localSheetId="32" hidden="1">{"'장비'!$A$3:$M$12"}</definedName>
    <definedName name="견적품의서1" localSheetId="27" hidden="1">{"'장비'!$A$3:$M$12"}</definedName>
    <definedName name="견적품의서1" localSheetId="28" hidden="1">{"'장비'!$A$3:$M$12"}</definedName>
    <definedName name="견적품의서1" localSheetId="29" hidden="1">{"'장비'!$A$3:$M$12"}</definedName>
    <definedName name="견적품의서1" localSheetId="31" hidden="1">{"'장비'!$A$3:$M$12"}</definedName>
    <definedName name="견적품의서1" localSheetId="30" hidden="1">{"'장비'!$A$3:$M$12"}</definedName>
    <definedName name="견적품의서1" localSheetId="17" hidden="1">{"'장비'!$A$3:$M$12"}</definedName>
    <definedName name="견적품의서1" localSheetId="18" hidden="1">{"'장비'!$A$3:$M$12"}</definedName>
    <definedName name="견적품의서1" hidden="1">{"'장비'!$A$3:$M$12"}</definedName>
    <definedName name="계장공사" localSheetId="20" hidden="1">{#N/A,#N/A,FALSE,"CCTV"}</definedName>
    <definedName name="계장공사" localSheetId="19" hidden="1">{#N/A,#N/A,FALSE,"CCTV"}</definedName>
    <definedName name="계장공사" localSheetId="26" hidden="1">{#N/A,#N/A,FALSE,"CCTV"}</definedName>
    <definedName name="계장공사" localSheetId="24" hidden="1">{#N/A,#N/A,FALSE,"CCTV"}</definedName>
    <definedName name="계장공사" localSheetId="32" hidden="1">{#N/A,#N/A,FALSE,"CCTV"}</definedName>
    <definedName name="계장공사" localSheetId="27" hidden="1">{#N/A,#N/A,FALSE,"CCTV"}</definedName>
    <definedName name="계장공사" localSheetId="28" hidden="1">{#N/A,#N/A,FALSE,"CCTV"}</definedName>
    <definedName name="계장공사" localSheetId="29" hidden="1">{#N/A,#N/A,FALSE,"CCTV"}</definedName>
    <definedName name="계장공사" localSheetId="31" hidden="1">{#N/A,#N/A,FALSE,"CCTV"}</definedName>
    <definedName name="계장공사" localSheetId="30" hidden="1">{#N/A,#N/A,FALSE,"CCTV"}</definedName>
    <definedName name="계장공사" localSheetId="17" hidden="1">{#N/A,#N/A,FALSE,"CCTV"}</definedName>
    <definedName name="계장공사" localSheetId="18" hidden="1">{#N/A,#N/A,FALSE,"CCTV"}</definedName>
    <definedName name="계장공사" hidden="1">{#N/A,#N/A,FALSE,"CCTV"}</definedName>
    <definedName name="계전2" localSheetId="32" hidden="1">#REF!</definedName>
    <definedName name="계전2" localSheetId="27" hidden="1">#REF!</definedName>
    <definedName name="계전2" localSheetId="18" hidden="1">#REF!</definedName>
    <definedName name="계전2" hidden="1">#REF!</definedName>
    <definedName name="골재" localSheetId="20" hidden="1">{#N/A,#N/A,FALSE,"골재소요량";#N/A,#N/A,FALSE,"골재소요량"}</definedName>
    <definedName name="골재" localSheetId="19" hidden="1">{#N/A,#N/A,FALSE,"골재소요량";#N/A,#N/A,FALSE,"골재소요량"}</definedName>
    <definedName name="골재" localSheetId="26" hidden="1">{#N/A,#N/A,FALSE,"골재소요량";#N/A,#N/A,FALSE,"골재소요량"}</definedName>
    <definedName name="골재" localSheetId="24" hidden="1">{#N/A,#N/A,FALSE,"골재소요량";#N/A,#N/A,FALSE,"골재소요량"}</definedName>
    <definedName name="골재" localSheetId="32" hidden="1">{#N/A,#N/A,FALSE,"골재소요량";#N/A,#N/A,FALSE,"골재소요량"}</definedName>
    <definedName name="골재" localSheetId="27" hidden="1">{#N/A,#N/A,FALSE,"골재소요량";#N/A,#N/A,FALSE,"골재소요량"}</definedName>
    <definedName name="골재" localSheetId="28" hidden="1">{#N/A,#N/A,FALSE,"골재소요량";#N/A,#N/A,FALSE,"골재소요량"}</definedName>
    <definedName name="골재" localSheetId="29" hidden="1">{#N/A,#N/A,FALSE,"골재소요량";#N/A,#N/A,FALSE,"골재소요량"}</definedName>
    <definedName name="골재" localSheetId="31" hidden="1">{#N/A,#N/A,FALSE,"골재소요량";#N/A,#N/A,FALSE,"골재소요량"}</definedName>
    <definedName name="골재" localSheetId="30" hidden="1">{#N/A,#N/A,FALSE,"골재소요량";#N/A,#N/A,FALSE,"골재소요량"}</definedName>
    <definedName name="골재" localSheetId="17" hidden="1">{#N/A,#N/A,FALSE,"골재소요량";#N/A,#N/A,FALSE,"골재소요량"}</definedName>
    <definedName name="골재" localSheetId="18" hidden="1">{#N/A,#N/A,FALSE,"골재소요량";#N/A,#N/A,FALSE,"골재소요량"}</definedName>
    <definedName name="골재" hidden="1">{#N/A,#N/A,FALSE,"골재소요량";#N/A,#N/A,FALSE,"골재소요량"}</definedName>
    <definedName name="공동구토공" localSheetId="20" hidden="1">{#N/A,#N/A,FALSE,"기안지";#N/A,#N/A,FALSE,"통신지"}</definedName>
    <definedName name="공동구토공" localSheetId="19" hidden="1">{#N/A,#N/A,FALSE,"기안지";#N/A,#N/A,FALSE,"통신지"}</definedName>
    <definedName name="공동구토공" localSheetId="26" hidden="1">{#N/A,#N/A,FALSE,"기안지";#N/A,#N/A,FALSE,"통신지"}</definedName>
    <definedName name="공동구토공" localSheetId="24" hidden="1">{#N/A,#N/A,FALSE,"기안지";#N/A,#N/A,FALSE,"통신지"}</definedName>
    <definedName name="공동구토공" localSheetId="32" hidden="1">{#N/A,#N/A,FALSE,"기안지";#N/A,#N/A,FALSE,"통신지"}</definedName>
    <definedName name="공동구토공" localSheetId="27" hidden="1">{#N/A,#N/A,FALSE,"기안지";#N/A,#N/A,FALSE,"통신지"}</definedName>
    <definedName name="공동구토공" localSheetId="28" hidden="1">{#N/A,#N/A,FALSE,"기안지";#N/A,#N/A,FALSE,"통신지"}</definedName>
    <definedName name="공동구토공" localSheetId="29" hidden="1">{#N/A,#N/A,FALSE,"기안지";#N/A,#N/A,FALSE,"통신지"}</definedName>
    <definedName name="공동구토공" localSheetId="31" hidden="1">{#N/A,#N/A,FALSE,"기안지";#N/A,#N/A,FALSE,"통신지"}</definedName>
    <definedName name="공동구토공" localSheetId="30" hidden="1">{#N/A,#N/A,FALSE,"기안지";#N/A,#N/A,FALSE,"통신지"}</definedName>
    <definedName name="공동구토공" localSheetId="17" hidden="1">{#N/A,#N/A,FALSE,"기안지";#N/A,#N/A,FALSE,"통신지"}</definedName>
    <definedName name="공동구토공" localSheetId="18" hidden="1">{#N/A,#N/A,FALSE,"기안지";#N/A,#N/A,FALSE,"통신지"}</definedName>
    <definedName name="공동구토공" hidden="1">{#N/A,#N/A,FALSE,"기안지";#N/A,#N/A,FALSE,"통신지"}</definedName>
    <definedName name="공장동" localSheetId="32" hidden="1">#REF!</definedName>
    <definedName name="공장동" localSheetId="27" hidden="1">#REF!</definedName>
    <definedName name="공장동" localSheetId="18" hidden="1">#REF!</definedName>
    <definedName name="공장동" hidden="1">#REF!</definedName>
    <definedName name="교굑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localSheetId="2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localSheetId="3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localSheetId="2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localSheetId="2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localSheetId="2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localSheetId="3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localSheetId="3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육" localSheetId="20" hidden="1">{#N/A,#N/A,FALSE,"전력간선"}</definedName>
    <definedName name="교육" localSheetId="19" hidden="1">{#N/A,#N/A,FALSE,"전력간선"}</definedName>
    <definedName name="교육" localSheetId="26" hidden="1">{#N/A,#N/A,FALSE,"전력간선"}</definedName>
    <definedName name="교육" localSheetId="24" hidden="1">{#N/A,#N/A,FALSE,"전력간선"}</definedName>
    <definedName name="교육" localSheetId="32" hidden="1">{#N/A,#N/A,FALSE,"전력간선"}</definedName>
    <definedName name="교육" localSheetId="27" hidden="1">{#N/A,#N/A,FALSE,"전력간선"}</definedName>
    <definedName name="교육" localSheetId="28" hidden="1">{#N/A,#N/A,FALSE,"전력간선"}</definedName>
    <definedName name="교육" localSheetId="29" hidden="1">{#N/A,#N/A,FALSE,"전력간선"}</definedName>
    <definedName name="교육" localSheetId="31" hidden="1">{#N/A,#N/A,FALSE,"전력간선"}</definedName>
    <definedName name="교육" localSheetId="30" hidden="1">{#N/A,#N/A,FALSE,"전력간선"}</definedName>
    <definedName name="교육" localSheetId="17" hidden="1">{#N/A,#N/A,FALSE,"전력간선"}</definedName>
    <definedName name="교육" localSheetId="18" hidden="1">{#N/A,#N/A,FALSE,"전력간선"}</definedName>
    <definedName name="교육" hidden="1">{#N/A,#N/A,FALSE,"전력간선"}</definedName>
    <definedName name="기존도로상태" localSheetId="20" hidden="1">{#N/A,#N/A,FALSE,"혼합골재"}</definedName>
    <definedName name="기존도로상태" localSheetId="19" hidden="1">{#N/A,#N/A,FALSE,"혼합골재"}</definedName>
    <definedName name="기존도로상태" localSheetId="26" hidden="1">{#N/A,#N/A,FALSE,"혼합골재"}</definedName>
    <definedName name="기존도로상태" localSheetId="24" hidden="1">{#N/A,#N/A,FALSE,"혼합골재"}</definedName>
    <definedName name="기존도로상태" localSheetId="32" hidden="1">{#N/A,#N/A,FALSE,"혼합골재"}</definedName>
    <definedName name="기존도로상태" localSheetId="27" hidden="1">{#N/A,#N/A,FALSE,"혼합골재"}</definedName>
    <definedName name="기존도로상태" localSheetId="28" hidden="1">{#N/A,#N/A,FALSE,"혼합골재"}</definedName>
    <definedName name="기존도로상태" localSheetId="29" hidden="1">{#N/A,#N/A,FALSE,"혼합골재"}</definedName>
    <definedName name="기존도로상태" localSheetId="31" hidden="1">{#N/A,#N/A,FALSE,"혼합골재"}</definedName>
    <definedName name="기존도로상태" localSheetId="30" hidden="1">{#N/A,#N/A,FALSE,"혼합골재"}</definedName>
    <definedName name="기존도로상태" localSheetId="17" hidden="1">{#N/A,#N/A,FALSE,"혼합골재"}</definedName>
    <definedName name="기존도로상태" localSheetId="18" hidden="1">{#N/A,#N/A,FALSE,"혼합골재"}</definedName>
    <definedName name="기존도로상태" hidden="1">{#N/A,#N/A,FALSE,"혼합골재"}</definedName>
    <definedName name="ㄴㄴㄴ" localSheetId="32" hidden="1">#REF!</definedName>
    <definedName name="ㄴㄴㄴ" localSheetId="27" hidden="1">#REF!</definedName>
    <definedName name="ㄴㄴㄴ" localSheetId="18" hidden="1">#REF!</definedName>
    <definedName name="ㄴㄴㄴ" hidden="1">#REF!</definedName>
    <definedName name="ㄴㄴㄴㄴ" localSheetId="27" hidden="1">#REF!</definedName>
    <definedName name="ㄴㄴㄴㄴ" localSheetId="18" hidden="1">#REF!</definedName>
    <definedName name="ㄴㄴㄴㄴ" hidden="1">#REF!</definedName>
    <definedName name="ㄴㄴㄴㄴㄴ" localSheetId="27" hidden="1">#REF!</definedName>
    <definedName name="ㄴㄴㄴㄴㄴ" localSheetId="18" hidden="1">#REF!</definedName>
    <definedName name="ㄴㄴㄴㄴㄴ" hidden="1">#REF!</definedName>
    <definedName name="ㄴㅁㅇㄹ" localSheetId="20" hidden="1">{#N/A,#N/A,FALSE,"CCTV"}</definedName>
    <definedName name="ㄴㅁㅇㄹ" localSheetId="19" hidden="1">{#N/A,#N/A,FALSE,"CCTV"}</definedName>
    <definedName name="ㄴㅁㅇㄹ" localSheetId="26" hidden="1">{#N/A,#N/A,FALSE,"CCTV"}</definedName>
    <definedName name="ㄴㅁㅇㄹ" localSheetId="24" hidden="1">{#N/A,#N/A,FALSE,"CCTV"}</definedName>
    <definedName name="ㄴㅁㅇㄹ" localSheetId="32" hidden="1">{#N/A,#N/A,FALSE,"CCTV"}</definedName>
    <definedName name="ㄴㅁㅇㄹ" localSheetId="27" hidden="1">{#N/A,#N/A,FALSE,"CCTV"}</definedName>
    <definedName name="ㄴㅁㅇㄹ" localSheetId="28" hidden="1">{#N/A,#N/A,FALSE,"CCTV"}</definedName>
    <definedName name="ㄴㅁㅇㄹ" localSheetId="29" hidden="1">{#N/A,#N/A,FALSE,"CCTV"}</definedName>
    <definedName name="ㄴㅁㅇㄹ" localSheetId="31" hidden="1">{#N/A,#N/A,FALSE,"CCTV"}</definedName>
    <definedName name="ㄴㅁㅇㄹ" localSheetId="30" hidden="1">{#N/A,#N/A,FALSE,"CCTV"}</definedName>
    <definedName name="ㄴㅁㅇㄹ" localSheetId="17" hidden="1">{#N/A,#N/A,FALSE,"CCTV"}</definedName>
    <definedName name="ㄴㅁㅇㄹ" localSheetId="18" hidden="1">{#N/A,#N/A,FALSE,"CCTV"}</definedName>
    <definedName name="ㄴㅁㅇㄹ" hidden="1">{#N/A,#N/A,FALSE,"CCTV"}</definedName>
    <definedName name="ㄴㅇㄹ" localSheetId="20" hidden="1">{#N/A,#N/A,FALSE,"CCTV"}</definedName>
    <definedName name="ㄴㅇㄹ" localSheetId="19" hidden="1">{#N/A,#N/A,FALSE,"CCTV"}</definedName>
    <definedName name="ㄴㅇㄹ" localSheetId="26" hidden="1">{#N/A,#N/A,FALSE,"CCTV"}</definedName>
    <definedName name="ㄴㅇㄹ" localSheetId="24" hidden="1">{#N/A,#N/A,FALSE,"CCTV"}</definedName>
    <definedName name="ㄴㅇㄹ" localSheetId="32" hidden="1">{#N/A,#N/A,FALSE,"CCTV"}</definedName>
    <definedName name="ㄴㅇㄹ" localSheetId="27" hidden="1">{#N/A,#N/A,FALSE,"CCTV"}</definedName>
    <definedName name="ㄴㅇㄹ" localSheetId="28" hidden="1">{#N/A,#N/A,FALSE,"CCTV"}</definedName>
    <definedName name="ㄴㅇㄹ" localSheetId="29" hidden="1">{#N/A,#N/A,FALSE,"CCTV"}</definedName>
    <definedName name="ㄴㅇㄹ" localSheetId="31" hidden="1">{#N/A,#N/A,FALSE,"CCTV"}</definedName>
    <definedName name="ㄴㅇㄹ" localSheetId="30" hidden="1">{#N/A,#N/A,FALSE,"CCTV"}</definedName>
    <definedName name="ㄴㅇㄹ" localSheetId="17" hidden="1">{#N/A,#N/A,FALSE,"CCTV"}</definedName>
    <definedName name="ㄴㅇㄹ" localSheetId="18" hidden="1">{#N/A,#N/A,FALSE,"CCTV"}</definedName>
    <definedName name="ㄴㅇㄹ" hidden="1">{#N/A,#N/A,FALSE,"CCTV"}</definedName>
    <definedName name="노원문화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2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3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2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2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2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3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3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2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3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2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2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2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3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3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ㄷ" localSheetId="32" hidden="1">#REF!</definedName>
    <definedName name="ㄷㄷ" localSheetId="27" hidden="1">#REF!</definedName>
    <definedName name="ㄷㄷ" localSheetId="18" hidden="1">#REF!</definedName>
    <definedName name="ㄷㄷ" hidden="1">#REF!</definedName>
    <definedName name="닥트설치공사" localSheetId="20" hidden="1">{#N/A,#N/A,FALSE,"전력간선"}</definedName>
    <definedName name="닥트설치공사" localSheetId="19" hidden="1">{#N/A,#N/A,FALSE,"전력간선"}</definedName>
    <definedName name="닥트설치공사" localSheetId="26" hidden="1">{#N/A,#N/A,FALSE,"전력간선"}</definedName>
    <definedName name="닥트설치공사" localSheetId="24" hidden="1">{#N/A,#N/A,FALSE,"전력간선"}</definedName>
    <definedName name="닥트설치공사" localSheetId="32" hidden="1">{#N/A,#N/A,FALSE,"전력간선"}</definedName>
    <definedName name="닥트설치공사" localSheetId="27" hidden="1">{#N/A,#N/A,FALSE,"전력간선"}</definedName>
    <definedName name="닥트설치공사" localSheetId="28" hidden="1">{#N/A,#N/A,FALSE,"전력간선"}</definedName>
    <definedName name="닥트설치공사" localSheetId="29" hidden="1">{#N/A,#N/A,FALSE,"전력간선"}</definedName>
    <definedName name="닥트설치공사" localSheetId="31" hidden="1">{#N/A,#N/A,FALSE,"전력간선"}</definedName>
    <definedName name="닥트설치공사" localSheetId="30" hidden="1">{#N/A,#N/A,FALSE,"전력간선"}</definedName>
    <definedName name="닥트설치공사" localSheetId="17" hidden="1">{#N/A,#N/A,FALSE,"전력간선"}</definedName>
    <definedName name="닥트설치공사" localSheetId="18" hidden="1">{#N/A,#N/A,FALSE,"전력간선"}</definedName>
    <definedName name="닥트설치공사" hidden="1">{#N/A,#N/A,FALSE,"전력간선"}</definedName>
    <definedName name="당초계획" localSheetId="32" hidden="1">#REF!</definedName>
    <definedName name="당초계획" localSheetId="27" hidden="1">#REF!</definedName>
    <definedName name="당초계획" localSheetId="18" hidden="1">#REF!</definedName>
    <definedName name="당초계획" hidden="1">#REF!</definedName>
    <definedName name="도면외주" localSheetId="27" hidden="1">#REF!</definedName>
    <definedName name="도면외주" localSheetId="18" hidden="1">#REF!</definedName>
    <definedName name="도면외주" hidden="1">#REF!</definedName>
    <definedName name="도면용역비" localSheetId="27" hidden="1">#REF!</definedName>
    <definedName name="도면용역비" localSheetId="18" hidden="1">#REF!</definedName>
    <definedName name="도면용역비" hidden="1">#REF!</definedName>
    <definedName name="도표" localSheetId="2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도표" localSheetId="19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도표" localSheetId="26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도표" localSheetId="24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도표" localSheetId="3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도표" localSheetId="27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도표" localSheetId="28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도표" localSheetId="29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도표" localSheetId="3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도표" localSheetId="3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도표" localSheetId="17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도표" localSheetId="18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도표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독립기초" localSheetId="20" hidden="1">{#N/A,#N/A,FALSE,"기안지";#N/A,#N/A,FALSE,"통신지"}</definedName>
    <definedName name="독립기초" localSheetId="19" hidden="1">{#N/A,#N/A,FALSE,"기안지";#N/A,#N/A,FALSE,"통신지"}</definedName>
    <definedName name="독립기초" localSheetId="26" hidden="1">{#N/A,#N/A,FALSE,"기안지";#N/A,#N/A,FALSE,"통신지"}</definedName>
    <definedName name="독립기초" localSheetId="24" hidden="1">{#N/A,#N/A,FALSE,"기안지";#N/A,#N/A,FALSE,"통신지"}</definedName>
    <definedName name="독립기초" localSheetId="32" hidden="1">{#N/A,#N/A,FALSE,"기안지";#N/A,#N/A,FALSE,"통신지"}</definedName>
    <definedName name="독립기초" localSheetId="27" hidden="1">{#N/A,#N/A,FALSE,"기안지";#N/A,#N/A,FALSE,"통신지"}</definedName>
    <definedName name="독립기초" localSheetId="28" hidden="1">{#N/A,#N/A,FALSE,"기안지";#N/A,#N/A,FALSE,"통신지"}</definedName>
    <definedName name="독립기초" localSheetId="29" hidden="1">{#N/A,#N/A,FALSE,"기안지";#N/A,#N/A,FALSE,"통신지"}</definedName>
    <definedName name="독립기초" localSheetId="31" hidden="1">{#N/A,#N/A,FALSE,"기안지";#N/A,#N/A,FALSE,"통신지"}</definedName>
    <definedName name="독립기초" localSheetId="30" hidden="1">{#N/A,#N/A,FALSE,"기안지";#N/A,#N/A,FALSE,"통신지"}</definedName>
    <definedName name="독립기초" localSheetId="17" hidden="1">{#N/A,#N/A,FALSE,"기안지";#N/A,#N/A,FALSE,"통신지"}</definedName>
    <definedName name="독립기초" localSheetId="18" hidden="1">{#N/A,#N/A,FALSE,"기안지";#N/A,#N/A,FALSE,"통신지"}</definedName>
    <definedName name="독립기초" hidden="1">{#N/A,#N/A,FALSE,"기안지";#N/A,#N/A,FALSE,"통신지"}</definedName>
    <definedName name="독립기초토공수량산출" localSheetId="20" hidden="1">{#N/A,#N/A,FALSE,"기안지";#N/A,#N/A,FALSE,"통신지"}</definedName>
    <definedName name="독립기초토공수량산출" localSheetId="19" hidden="1">{#N/A,#N/A,FALSE,"기안지";#N/A,#N/A,FALSE,"통신지"}</definedName>
    <definedName name="독립기초토공수량산출" localSheetId="26" hidden="1">{#N/A,#N/A,FALSE,"기안지";#N/A,#N/A,FALSE,"통신지"}</definedName>
    <definedName name="독립기초토공수량산출" localSheetId="24" hidden="1">{#N/A,#N/A,FALSE,"기안지";#N/A,#N/A,FALSE,"통신지"}</definedName>
    <definedName name="독립기초토공수량산출" localSheetId="32" hidden="1">{#N/A,#N/A,FALSE,"기안지";#N/A,#N/A,FALSE,"통신지"}</definedName>
    <definedName name="독립기초토공수량산출" localSheetId="27" hidden="1">{#N/A,#N/A,FALSE,"기안지";#N/A,#N/A,FALSE,"통신지"}</definedName>
    <definedName name="독립기초토공수량산출" localSheetId="28" hidden="1">{#N/A,#N/A,FALSE,"기안지";#N/A,#N/A,FALSE,"통신지"}</definedName>
    <definedName name="독립기초토공수량산출" localSheetId="29" hidden="1">{#N/A,#N/A,FALSE,"기안지";#N/A,#N/A,FALSE,"통신지"}</definedName>
    <definedName name="독립기초토공수량산출" localSheetId="31" hidden="1">{#N/A,#N/A,FALSE,"기안지";#N/A,#N/A,FALSE,"통신지"}</definedName>
    <definedName name="독립기초토공수량산출" localSheetId="30" hidden="1">{#N/A,#N/A,FALSE,"기안지";#N/A,#N/A,FALSE,"통신지"}</definedName>
    <definedName name="독립기초토공수량산출" localSheetId="17" hidden="1">{#N/A,#N/A,FALSE,"기안지";#N/A,#N/A,FALSE,"통신지"}</definedName>
    <definedName name="독립기초토공수량산출" localSheetId="18" hidden="1">{#N/A,#N/A,FALSE,"기안지";#N/A,#N/A,FALSE,"통신지"}</definedName>
    <definedName name="독립기초토공수량산출" hidden="1">{#N/A,#N/A,FALSE,"기안지";#N/A,#N/A,FALSE,"통신지"}</definedName>
    <definedName name="동은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은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은" localSheetId="2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은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은" localSheetId="3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은" localSheetId="2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은" localSheetId="2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은" localSheetId="2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은" localSheetId="3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은" localSheetId="3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은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은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" localSheetId="2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" localSheetId="3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" localSheetId="2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" localSheetId="2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" localSheetId="2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" localSheetId="3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" localSheetId="3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localSheetId="32" hidden="1">#REF!</definedName>
    <definedName name="ㄹㄹㄹ" localSheetId="27" hidden="1">#REF!</definedName>
    <definedName name="ㄹㄹㄹ" localSheetId="18" hidden="1">#REF!</definedName>
    <definedName name="ㄹㄹㄹ" hidden="1">#REF!</definedName>
    <definedName name="ㄹ호" localSheetId="27" hidden="1">#REF!</definedName>
    <definedName name="ㄹ호" localSheetId="18" hidden="1">#REF!</definedName>
    <definedName name="ㄹ호" hidden="1">#REF!</definedName>
    <definedName name="래그" localSheetId="20" hidden="1">{#N/A,#N/A,FALSE,"CCTV"}</definedName>
    <definedName name="래그" localSheetId="19" hidden="1">{#N/A,#N/A,FALSE,"CCTV"}</definedName>
    <definedName name="래그" localSheetId="26" hidden="1">{#N/A,#N/A,FALSE,"CCTV"}</definedName>
    <definedName name="래그" localSheetId="24" hidden="1">{#N/A,#N/A,FALSE,"CCTV"}</definedName>
    <definedName name="래그" localSheetId="32" hidden="1">{#N/A,#N/A,FALSE,"CCTV"}</definedName>
    <definedName name="래그" localSheetId="27" hidden="1">{#N/A,#N/A,FALSE,"CCTV"}</definedName>
    <definedName name="래그" localSheetId="28" hidden="1">{#N/A,#N/A,FALSE,"CCTV"}</definedName>
    <definedName name="래그" localSheetId="29" hidden="1">{#N/A,#N/A,FALSE,"CCTV"}</definedName>
    <definedName name="래그" localSheetId="31" hidden="1">{#N/A,#N/A,FALSE,"CCTV"}</definedName>
    <definedName name="래그" localSheetId="30" hidden="1">{#N/A,#N/A,FALSE,"CCTV"}</definedName>
    <definedName name="래그" localSheetId="17" hidden="1">{#N/A,#N/A,FALSE,"CCTV"}</definedName>
    <definedName name="래그" localSheetId="18" hidden="1">{#N/A,#N/A,FALSE,"CCTV"}</definedName>
    <definedName name="래그" hidden="1">{#N/A,#N/A,FALSE,"CCTV"}</definedName>
    <definedName name="ㅁㄴ" localSheetId="20" hidden="1">{#N/A,#N/A,FALSE,"운반시간"}</definedName>
    <definedName name="ㅁㄴ" localSheetId="19" hidden="1">{#N/A,#N/A,FALSE,"운반시간"}</definedName>
    <definedName name="ㅁㄴ" localSheetId="26" hidden="1">{#N/A,#N/A,FALSE,"운반시간"}</definedName>
    <definedName name="ㅁㄴ" localSheetId="24" hidden="1">{#N/A,#N/A,FALSE,"운반시간"}</definedName>
    <definedName name="ㅁㄴ" localSheetId="32" hidden="1">{#N/A,#N/A,FALSE,"운반시간"}</definedName>
    <definedName name="ㅁㄴ" localSheetId="27" hidden="1">{#N/A,#N/A,FALSE,"운반시간"}</definedName>
    <definedName name="ㅁㄴ" localSheetId="28" hidden="1">{#N/A,#N/A,FALSE,"운반시간"}</definedName>
    <definedName name="ㅁㄴ" localSheetId="29" hidden="1">{#N/A,#N/A,FALSE,"운반시간"}</definedName>
    <definedName name="ㅁㄴ" localSheetId="31" hidden="1">{#N/A,#N/A,FALSE,"운반시간"}</definedName>
    <definedName name="ㅁㄴ" localSheetId="30" hidden="1">{#N/A,#N/A,FALSE,"운반시간"}</definedName>
    <definedName name="ㅁㄴ" localSheetId="17" hidden="1">{#N/A,#N/A,FALSE,"운반시간"}</definedName>
    <definedName name="ㅁㄴ" localSheetId="18" hidden="1">{#N/A,#N/A,FALSE,"운반시간"}</definedName>
    <definedName name="ㅁㄴ" hidden="1">{#N/A,#N/A,FALSE,"운반시간"}</definedName>
    <definedName name="ㅁㅁ" localSheetId="32" hidden="1">#REF!</definedName>
    <definedName name="ㅁㅁ" localSheetId="27" hidden="1">#REF!</definedName>
    <definedName name="ㅁㅁ" localSheetId="18" hidden="1">#REF!</definedName>
    <definedName name="ㅁㅁ" hidden="1">#REF!</definedName>
    <definedName name="ㅁㅁㅁ" localSheetId="27" hidden="1">#REF!</definedName>
    <definedName name="ㅁㅁㅁ" localSheetId="18" hidden="1">#REF!</definedName>
    <definedName name="ㅁㅁㅁ" hidden="1">#REF!</definedName>
    <definedName name="ㅁㅁㅁㅁ" localSheetId="20" hidden="1">{#N/A,#N/A,FALSE,"혼합골재"}</definedName>
    <definedName name="ㅁㅁㅁㅁ" localSheetId="19" hidden="1">{#N/A,#N/A,FALSE,"혼합골재"}</definedName>
    <definedName name="ㅁㅁㅁㅁ" localSheetId="26" hidden="1">{#N/A,#N/A,FALSE,"혼합골재"}</definedName>
    <definedName name="ㅁㅁㅁㅁ" localSheetId="24" hidden="1">{#N/A,#N/A,FALSE,"혼합골재"}</definedName>
    <definedName name="ㅁㅁㅁㅁ" localSheetId="32" hidden="1">{#N/A,#N/A,FALSE,"혼합골재"}</definedName>
    <definedName name="ㅁㅁㅁㅁ" localSheetId="27" hidden="1">{#N/A,#N/A,FALSE,"혼합골재"}</definedName>
    <definedName name="ㅁㅁㅁㅁ" localSheetId="28" hidden="1">{#N/A,#N/A,FALSE,"혼합골재"}</definedName>
    <definedName name="ㅁㅁㅁㅁ" localSheetId="29" hidden="1">{#N/A,#N/A,FALSE,"혼합골재"}</definedName>
    <definedName name="ㅁㅁㅁㅁ" localSheetId="31" hidden="1">{#N/A,#N/A,FALSE,"혼합골재"}</definedName>
    <definedName name="ㅁㅁㅁㅁ" localSheetId="30" hidden="1">{#N/A,#N/A,FALSE,"혼합골재"}</definedName>
    <definedName name="ㅁㅁㅁㅁ" localSheetId="17" hidden="1">{#N/A,#N/A,FALSE,"혼합골재"}</definedName>
    <definedName name="ㅁㅁㅁㅁ" localSheetId="18" hidden="1">{#N/A,#N/A,FALSE,"혼합골재"}</definedName>
    <definedName name="ㅁㅁㅁㅁ" hidden="1">{#N/A,#N/A,FALSE,"혼합골재"}</definedName>
    <definedName name="ㅁㅁㅁㅁㅁㅁ" localSheetId="32" hidden="1">#REF!</definedName>
    <definedName name="ㅁㅁㅁㅁㅁㅁ" localSheetId="27" hidden="1">#REF!</definedName>
    <definedName name="ㅁㅁㅁㅁㅁㅁ" localSheetId="18" hidden="1">#REF!</definedName>
    <definedName name="ㅁㅁㅁㅁㅁㅁ" hidden="1">#REF!</definedName>
    <definedName name="뭉" localSheetId="20" hidden="1">{"'장비'!$A$3:$M$12"}</definedName>
    <definedName name="뭉" localSheetId="19" hidden="1">{"'장비'!$A$3:$M$12"}</definedName>
    <definedName name="뭉" localSheetId="26" hidden="1">{"'장비'!$A$3:$M$12"}</definedName>
    <definedName name="뭉" localSheetId="24" hidden="1">{"'장비'!$A$3:$M$12"}</definedName>
    <definedName name="뭉" localSheetId="32" hidden="1">{"'장비'!$A$3:$M$12"}</definedName>
    <definedName name="뭉" localSheetId="27" hidden="1">{"'장비'!$A$3:$M$12"}</definedName>
    <definedName name="뭉" localSheetId="28" hidden="1">{"'장비'!$A$3:$M$12"}</definedName>
    <definedName name="뭉" localSheetId="29" hidden="1">{"'장비'!$A$3:$M$12"}</definedName>
    <definedName name="뭉" localSheetId="31" hidden="1">{"'장비'!$A$3:$M$12"}</definedName>
    <definedName name="뭉" localSheetId="30" hidden="1">{"'장비'!$A$3:$M$12"}</definedName>
    <definedName name="뭉" localSheetId="17" hidden="1">{"'장비'!$A$3:$M$12"}</definedName>
    <definedName name="뭉" localSheetId="18" hidden="1">{"'장비'!$A$3:$M$12"}</definedName>
    <definedName name="뭉" hidden="1">{"'장비'!$A$3:$M$12"}</definedName>
    <definedName name="ㅂ" localSheetId="2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ㅂ" localSheetId="1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ㅂ" localSheetId="2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ㅂ" localSheetId="2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ㅂ" localSheetId="3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ㅂ" localSheetId="2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ㅂ" localSheetId="2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ㅂ" localSheetId="2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ㅂ" localSheetId="3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ㅂ" localSheetId="3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ㅂ" localSheetId="1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ㅂ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ㅂ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바보" localSheetId="20" hidden="1">{#N/A,#N/A,FALSE,"표지목차"}</definedName>
    <definedName name="바보" localSheetId="19" hidden="1">{#N/A,#N/A,FALSE,"표지목차"}</definedName>
    <definedName name="바보" localSheetId="26" hidden="1">{#N/A,#N/A,FALSE,"표지목차"}</definedName>
    <definedName name="바보" localSheetId="24" hidden="1">{#N/A,#N/A,FALSE,"표지목차"}</definedName>
    <definedName name="바보" localSheetId="32" hidden="1">{#N/A,#N/A,FALSE,"표지목차"}</definedName>
    <definedName name="바보" localSheetId="27" hidden="1">{#N/A,#N/A,FALSE,"표지목차"}</definedName>
    <definedName name="바보" localSheetId="28" hidden="1">{#N/A,#N/A,FALSE,"표지목차"}</definedName>
    <definedName name="바보" localSheetId="29" hidden="1">{#N/A,#N/A,FALSE,"표지목차"}</definedName>
    <definedName name="바보" localSheetId="31" hidden="1">{#N/A,#N/A,FALSE,"표지목차"}</definedName>
    <definedName name="바보" localSheetId="30" hidden="1">{#N/A,#N/A,FALSE,"표지목차"}</definedName>
    <definedName name="바보" localSheetId="17" hidden="1">{#N/A,#N/A,FALSE,"표지목차"}</definedName>
    <definedName name="바보" localSheetId="18" hidden="1">{#N/A,#N/A,FALSE,"표지목차"}</definedName>
    <definedName name="바보" hidden="1">{#N/A,#N/A,FALSE,"표지목차"}</definedName>
    <definedName name="바보2" localSheetId="20" hidden="1">{#N/A,#N/A,FALSE,"운반시간"}</definedName>
    <definedName name="바보2" localSheetId="19" hidden="1">{#N/A,#N/A,FALSE,"운반시간"}</definedName>
    <definedName name="바보2" localSheetId="26" hidden="1">{#N/A,#N/A,FALSE,"운반시간"}</definedName>
    <definedName name="바보2" localSheetId="24" hidden="1">{#N/A,#N/A,FALSE,"운반시간"}</definedName>
    <definedName name="바보2" localSheetId="32" hidden="1">{#N/A,#N/A,FALSE,"운반시간"}</definedName>
    <definedName name="바보2" localSheetId="27" hidden="1">{#N/A,#N/A,FALSE,"운반시간"}</definedName>
    <definedName name="바보2" localSheetId="28" hidden="1">{#N/A,#N/A,FALSE,"운반시간"}</definedName>
    <definedName name="바보2" localSheetId="29" hidden="1">{#N/A,#N/A,FALSE,"운반시간"}</definedName>
    <definedName name="바보2" localSheetId="31" hidden="1">{#N/A,#N/A,FALSE,"운반시간"}</definedName>
    <definedName name="바보2" localSheetId="30" hidden="1">{#N/A,#N/A,FALSE,"운반시간"}</definedName>
    <definedName name="바보2" localSheetId="17" hidden="1">{#N/A,#N/A,FALSE,"운반시간"}</definedName>
    <definedName name="바보2" localSheetId="18" hidden="1">{#N/A,#N/A,FALSE,"운반시간"}</definedName>
    <definedName name="바보2" hidden="1">{#N/A,#N/A,FALSE,"운반시간"}</definedName>
    <definedName name="밥보" localSheetId="20" hidden="1">{#N/A,#N/A,FALSE,"표지목차"}</definedName>
    <definedName name="밥보" localSheetId="19" hidden="1">{#N/A,#N/A,FALSE,"표지목차"}</definedName>
    <definedName name="밥보" localSheetId="26" hidden="1">{#N/A,#N/A,FALSE,"표지목차"}</definedName>
    <definedName name="밥보" localSheetId="24" hidden="1">{#N/A,#N/A,FALSE,"표지목차"}</definedName>
    <definedName name="밥보" localSheetId="32" hidden="1">{#N/A,#N/A,FALSE,"표지목차"}</definedName>
    <definedName name="밥보" localSheetId="27" hidden="1">{#N/A,#N/A,FALSE,"표지목차"}</definedName>
    <definedName name="밥보" localSheetId="28" hidden="1">{#N/A,#N/A,FALSE,"표지목차"}</definedName>
    <definedName name="밥보" localSheetId="29" hidden="1">{#N/A,#N/A,FALSE,"표지목차"}</definedName>
    <definedName name="밥보" localSheetId="31" hidden="1">{#N/A,#N/A,FALSE,"표지목차"}</definedName>
    <definedName name="밥보" localSheetId="30" hidden="1">{#N/A,#N/A,FALSE,"표지목차"}</definedName>
    <definedName name="밥보" localSheetId="17" hidden="1">{#N/A,#N/A,FALSE,"표지목차"}</definedName>
    <definedName name="밥보" localSheetId="18" hidden="1">{#N/A,#N/A,FALSE,"표지목차"}</definedName>
    <definedName name="밥보" hidden="1">{#N/A,#N/A,FALSE,"표지목차"}</definedName>
    <definedName name="보충" localSheetId="32" hidden="1">#REF!</definedName>
    <definedName name="보충" localSheetId="27" hidden="1">#REF!</definedName>
    <definedName name="보충" localSheetId="18" hidden="1">#REF!</definedName>
    <definedName name="보충" hidden="1">#REF!</definedName>
    <definedName name="부대공사" localSheetId="27" hidden="1">#REF!</definedName>
    <definedName name="부대공사" localSheetId="18" hidden="1">#REF!</definedName>
    <definedName name="부대공사" hidden="1">#REF!</definedName>
    <definedName name="분석표" localSheetId="20" hidden="1">{#N/A,#N/A,FALSE,"사업총괄";#N/A,#N/A,FALSE,"장비사업";#N/A,#N/A,FALSE,"철구사업";#N/A,#N/A,FALSE,"준설사업"}</definedName>
    <definedName name="분석표" localSheetId="19" hidden="1">{#N/A,#N/A,FALSE,"사업총괄";#N/A,#N/A,FALSE,"장비사업";#N/A,#N/A,FALSE,"철구사업";#N/A,#N/A,FALSE,"준설사업"}</definedName>
    <definedName name="분석표" localSheetId="26" hidden="1">{#N/A,#N/A,FALSE,"사업총괄";#N/A,#N/A,FALSE,"장비사업";#N/A,#N/A,FALSE,"철구사업";#N/A,#N/A,FALSE,"준설사업"}</definedName>
    <definedName name="분석표" localSheetId="24" hidden="1">{#N/A,#N/A,FALSE,"사업총괄";#N/A,#N/A,FALSE,"장비사업";#N/A,#N/A,FALSE,"철구사업";#N/A,#N/A,FALSE,"준설사업"}</definedName>
    <definedName name="분석표" localSheetId="32" hidden="1">{#N/A,#N/A,FALSE,"사업총괄";#N/A,#N/A,FALSE,"장비사업";#N/A,#N/A,FALSE,"철구사업";#N/A,#N/A,FALSE,"준설사업"}</definedName>
    <definedName name="분석표" localSheetId="27" hidden="1">{#N/A,#N/A,FALSE,"사업총괄";#N/A,#N/A,FALSE,"장비사업";#N/A,#N/A,FALSE,"철구사업";#N/A,#N/A,FALSE,"준설사업"}</definedName>
    <definedName name="분석표" localSheetId="28" hidden="1">{#N/A,#N/A,FALSE,"사업총괄";#N/A,#N/A,FALSE,"장비사업";#N/A,#N/A,FALSE,"철구사업";#N/A,#N/A,FALSE,"준설사업"}</definedName>
    <definedName name="분석표" localSheetId="29" hidden="1">{#N/A,#N/A,FALSE,"사업총괄";#N/A,#N/A,FALSE,"장비사업";#N/A,#N/A,FALSE,"철구사업";#N/A,#N/A,FALSE,"준설사업"}</definedName>
    <definedName name="분석표" localSheetId="31" hidden="1">{#N/A,#N/A,FALSE,"사업총괄";#N/A,#N/A,FALSE,"장비사업";#N/A,#N/A,FALSE,"철구사업";#N/A,#N/A,FALSE,"준설사업"}</definedName>
    <definedName name="분석표" localSheetId="30" hidden="1">{#N/A,#N/A,FALSE,"사업총괄";#N/A,#N/A,FALSE,"장비사업";#N/A,#N/A,FALSE,"철구사업";#N/A,#N/A,FALSE,"준설사업"}</definedName>
    <definedName name="분석표" localSheetId="17" hidden="1">{#N/A,#N/A,FALSE,"사업총괄";#N/A,#N/A,FALSE,"장비사업";#N/A,#N/A,FALSE,"철구사업";#N/A,#N/A,FALSE,"준설사업"}</definedName>
    <definedName name="분석표" localSheetId="18" hidden="1">{#N/A,#N/A,FALSE,"사업총괄";#N/A,#N/A,FALSE,"장비사업";#N/A,#N/A,FALSE,"철구사업";#N/A,#N/A,FALSE,"준설사업"}</definedName>
    <definedName name="분석표" hidden="1">{#N/A,#N/A,FALSE,"사업총괄";#N/A,#N/A,FALSE,"장비사업";#N/A,#N/A,FALSE,"철구사업";#N/A,#N/A,FALSE,"준설사업"}</definedName>
    <definedName name="사" localSheetId="32" hidden="1">#REF!</definedName>
    <definedName name="사" localSheetId="27" hidden="1">#REF!</definedName>
    <definedName name="사" localSheetId="18" hidden="1">#REF!</definedName>
    <definedName name="사" hidden="1">#REF!</definedName>
    <definedName name="사업부양식2" localSheetId="27" hidden="1">#REF!</definedName>
    <definedName name="사업부양식2" localSheetId="18" hidden="1">#REF!</definedName>
    <definedName name="사업부양식2" hidden="1">#REF!</definedName>
    <definedName name="사업비최종" localSheetId="2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비최종" localSheetId="1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비최종" localSheetId="2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비최종" localSheetId="2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비최종" localSheetId="3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비최종" localSheetId="2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비최종" localSheetId="28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비최종" localSheetId="2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비최종" localSheetId="3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비최종" localSheetId="3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비최종" localSheetId="1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비최종" localSheetId="18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비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새이름" localSheetId="2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19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26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24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3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27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28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29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3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3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17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18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샘풀카피" localSheetId="20" hidden="1">{#N/A,#N/A,FALSE,"CCTV"}</definedName>
    <definedName name="샘풀카피" localSheetId="19" hidden="1">{#N/A,#N/A,FALSE,"CCTV"}</definedName>
    <definedName name="샘풀카피" localSheetId="26" hidden="1">{#N/A,#N/A,FALSE,"CCTV"}</definedName>
    <definedName name="샘풀카피" localSheetId="24" hidden="1">{#N/A,#N/A,FALSE,"CCTV"}</definedName>
    <definedName name="샘풀카피" localSheetId="32" hidden="1">{#N/A,#N/A,FALSE,"CCTV"}</definedName>
    <definedName name="샘풀카피" localSheetId="27" hidden="1">{#N/A,#N/A,FALSE,"CCTV"}</definedName>
    <definedName name="샘풀카피" localSheetId="28" hidden="1">{#N/A,#N/A,FALSE,"CCTV"}</definedName>
    <definedName name="샘풀카피" localSheetId="29" hidden="1">{#N/A,#N/A,FALSE,"CCTV"}</definedName>
    <definedName name="샘풀카피" localSheetId="31" hidden="1">{#N/A,#N/A,FALSE,"CCTV"}</definedName>
    <definedName name="샘풀카피" localSheetId="30" hidden="1">{#N/A,#N/A,FALSE,"CCTV"}</definedName>
    <definedName name="샘풀카피" localSheetId="17" hidden="1">{#N/A,#N/A,FALSE,"CCTV"}</definedName>
    <definedName name="샘풀카피" localSheetId="18" hidden="1">{#N/A,#N/A,FALSE,"CCTV"}</definedName>
    <definedName name="샘풀카피" hidden="1">{#N/A,#N/A,FALSE,"CCTV"}</definedName>
    <definedName name="샘플카피2" localSheetId="20" hidden="1">{#N/A,#N/A,FALSE,"CCTV"}</definedName>
    <definedName name="샘플카피2" localSheetId="19" hidden="1">{#N/A,#N/A,FALSE,"CCTV"}</definedName>
    <definedName name="샘플카피2" localSheetId="26" hidden="1">{#N/A,#N/A,FALSE,"CCTV"}</definedName>
    <definedName name="샘플카피2" localSheetId="24" hidden="1">{#N/A,#N/A,FALSE,"CCTV"}</definedName>
    <definedName name="샘플카피2" localSheetId="32" hidden="1">{#N/A,#N/A,FALSE,"CCTV"}</definedName>
    <definedName name="샘플카피2" localSheetId="27" hidden="1">{#N/A,#N/A,FALSE,"CCTV"}</definedName>
    <definedName name="샘플카피2" localSheetId="28" hidden="1">{#N/A,#N/A,FALSE,"CCTV"}</definedName>
    <definedName name="샘플카피2" localSheetId="29" hidden="1">{#N/A,#N/A,FALSE,"CCTV"}</definedName>
    <definedName name="샘플카피2" localSheetId="31" hidden="1">{#N/A,#N/A,FALSE,"CCTV"}</definedName>
    <definedName name="샘플카피2" localSheetId="30" hidden="1">{#N/A,#N/A,FALSE,"CCTV"}</definedName>
    <definedName name="샘플카피2" localSheetId="17" hidden="1">{#N/A,#N/A,FALSE,"CCTV"}</definedName>
    <definedName name="샘플카피2" localSheetId="18" hidden="1">{#N/A,#N/A,FALSE,"CCTV"}</definedName>
    <definedName name="샘플카피2" hidden="1">{#N/A,#N/A,FALSE,"CCTV"}</definedName>
    <definedName name="샘플카피3" localSheetId="20" hidden="1">{#N/A,#N/A,FALSE,"CCTV"}</definedName>
    <definedName name="샘플카피3" localSheetId="19" hidden="1">{#N/A,#N/A,FALSE,"CCTV"}</definedName>
    <definedName name="샘플카피3" localSheetId="26" hidden="1">{#N/A,#N/A,FALSE,"CCTV"}</definedName>
    <definedName name="샘플카피3" localSheetId="24" hidden="1">{#N/A,#N/A,FALSE,"CCTV"}</definedName>
    <definedName name="샘플카피3" localSheetId="32" hidden="1">{#N/A,#N/A,FALSE,"CCTV"}</definedName>
    <definedName name="샘플카피3" localSheetId="27" hidden="1">{#N/A,#N/A,FALSE,"CCTV"}</definedName>
    <definedName name="샘플카피3" localSheetId="28" hidden="1">{#N/A,#N/A,FALSE,"CCTV"}</definedName>
    <definedName name="샘플카피3" localSheetId="29" hidden="1">{#N/A,#N/A,FALSE,"CCTV"}</definedName>
    <definedName name="샘플카피3" localSheetId="31" hidden="1">{#N/A,#N/A,FALSE,"CCTV"}</definedName>
    <definedName name="샘플카피3" localSheetId="30" hidden="1">{#N/A,#N/A,FALSE,"CCTV"}</definedName>
    <definedName name="샘플카피3" localSheetId="17" hidden="1">{#N/A,#N/A,FALSE,"CCTV"}</definedName>
    <definedName name="샘플카피3" localSheetId="18" hidden="1">{#N/A,#N/A,FALSE,"CCTV"}</definedName>
    <definedName name="샘플카피3" hidden="1">{#N/A,#N/A,FALSE,"CCTV"}</definedName>
    <definedName name="소화배관" localSheetId="20" hidden="1">{#N/A,#N/A,FALSE,"전력간선"}</definedName>
    <definedName name="소화배관" localSheetId="19" hidden="1">{#N/A,#N/A,FALSE,"전력간선"}</definedName>
    <definedName name="소화배관" localSheetId="26" hidden="1">{#N/A,#N/A,FALSE,"전력간선"}</definedName>
    <definedName name="소화배관" localSheetId="24" hidden="1">{#N/A,#N/A,FALSE,"전력간선"}</definedName>
    <definedName name="소화배관" localSheetId="32" hidden="1">{#N/A,#N/A,FALSE,"전력간선"}</definedName>
    <definedName name="소화배관" localSheetId="27" hidden="1">{#N/A,#N/A,FALSE,"전력간선"}</definedName>
    <definedName name="소화배관" localSheetId="28" hidden="1">{#N/A,#N/A,FALSE,"전력간선"}</definedName>
    <definedName name="소화배관" localSheetId="29" hidden="1">{#N/A,#N/A,FALSE,"전력간선"}</definedName>
    <definedName name="소화배관" localSheetId="31" hidden="1">{#N/A,#N/A,FALSE,"전력간선"}</definedName>
    <definedName name="소화배관" localSheetId="30" hidden="1">{#N/A,#N/A,FALSE,"전력간선"}</definedName>
    <definedName name="소화배관" localSheetId="17" hidden="1">{#N/A,#N/A,FALSE,"전력간선"}</definedName>
    <definedName name="소화배관" localSheetId="18" hidden="1">{#N/A,#N/A,FALSE,"전력간선"}</definedName>
    <definedName name="소화배관" hidden="1">{#N/A,#N/A,FALSE,"전력간선"}</definedName>
    <definedName name="손익계산서" localSheetId="32" hidden="1">#REF!</definedName>
    <definedName name="손익계산서" localSheetId="27" hidden="1">#REF!</definedName>
    <definedName name="손익계산서" localSheetId="18" hidden="1">#REF!</definedName>
    <definedName name="손익계산서" hidden="1">#REF!</definedName>
    <definedName name="수당" hidden="1">#N/A</definedName>
    <definedName name="ㅇㄹ" localSheetId="32" hidden="1">#REF!</definedName>
    <definedName name="ㅇㄹ" localSheetId="27" hidden="1">#REF!</definedName>
    <definedName name="ㅇㄹ" localSheetId="18" hidden="1">#REF!</definedName>
    <definedName name="ㅇㄹ" hidden="1">#REF!</definedName>
    <definedName name="ㅇㄹㄹ" localSheetId="27" hidden="1">#REF!</definedName>
    <definedName name="ㅇㄹㄹ" localSheetId="18" hidden="1">#REF!</definedName>
    <definedName name="ㅇㄹㄹ" hidden="1">#REF!</definedName>
    <definedName name="ㅇㄹㅇㄹ" localSheetId="27" hidden="1">#REF!</definedName>
    <definedName name="ㅇㄹㅇㄹ" localSheetId="18" hidden="1">#REF!</definedName>
    <definedName name="ㅇㄹㅇㄹ" hidden="1">#REF!</definedName>
    <definedName name="ㅇㅇ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" localSheetId="2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" localSheetId="3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" localSheetId="2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" localSheetId="2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" localSheetId="2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" localSheetId="3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" localSheetId="3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ㄹ" localSheetId="32" hidden="1">#REF!</definedName>
    <definedName name="ㅇㅇㄹ" localSheetId="27" hidden="1">#REF!</definedName>
    <definedName name="ㅇㅇㄹ" localSheetId="18" hidden="1">#REF!</definedName>
    <definedName name="ㅇㅇㄹ" hidden="1">#REF!</definedName>
    <definedName name="ㅇㅇㅇ" localSheetId="27" hidden="1">#REF!</definedName>
    <definedName name="ㅇㅇㅇ" localSheetId="18" hidden="1">#REF!</definedName>
    <definedName name="ㅇㅇㅇ" hidden="1">#REF!</definedName>
    <definedName name="아마" localSheetId="27" hidden="1">#REF!</definedName>
    <definedName name="아마" localSheetId="18" hidden="1">#REF!</definedName>
    <definedName name="아마" hidden="1">#REF!</definedName>
    <definedName name="아무나" hidden="1">#REF!</definedName>
    <definedName name="안산키즈" localSheetId="20" hidden="1">{#N/A,#N/A,FALSE,"전력간선"}</definedName>
    <definedName name="안산키즈" localSheetId="19" hidden="1">{#N/A,#N/A,FALSE,"전력간선"}</definedName>
    <definedName name="안산키즈" localSheetId="26" hidden="1">{#N/A,#N/A,FALSE,"전력간선"}</definedName>
    <definedName name="안산키즈" localSheetId="24" hidden="1">{#N/A,#N/A,FALSE,"전력간선"}</definedName>
    <definedName name="안산키즈" localSheetId="32" hidden="1">{#N/A,#N/A,FALSE,"전력간선"}</definedName>
    <definedName name="안산키즈" localSheetId="27" hidden="1">{#N/A,#N/A,FALSE,"전력간선"}</definedName>
    <definedName name="안산키즈" localSheetId="28" hidden="1">{#N/A,#N/A,FALSE,"전력간선"}</definedName>
    <definedName name="안산키즈" localSheetId="29" hidden="1">{#N/A,#N/A,FALSE,"전력간선"}</definedName>
    <definedName name="안산키즈" localSheetId="31" hidden="1">{#N/A,#N/A,FALSE,"전력간선"}</definedName>
    <definedName name="안산키즈" localSheetId="30" hidden="1">{#N/A,#N/A,FALSE,"전력간선"}</definedName>
    <definedName name="안산키즈" localSheetId="17" hidden="1">{#N/A,#N/A,FALSE,"전력간선"}</definedName>
    <definedName name="안산키즈" localSheetId="18" hidden="1">{#N/A,#N/A,FALSE,"전력간선"}</definedName>
    <definedName name="안산키즈" hidden="1">{#N/A,#N/A,FALSE,"전력간선"}</definedName>
    <definedName name="억이상" localSheetId="20" hidden="1">{#N/A,#N/A,FALSE,"2~8번"}</definedName>
    <definedName name="억이상" localSheetId="19" hidden="1">{#N/A,#N/A,FALSE,"2~8번"}</definedName>
    <definedName name="억이상" localSheetId="26" hidden="1">{#N/A,#N/A,FALSE,"2~8번"}</definedName>
    <definedName name="억이상" localSheetId="24" hidden="1">{#N/A,#N/A,FALSE,"2~8번"}</definedName>
    <definedName name="억이상" localSheetId="32" hidden="1">{#N/A,#N/A,FALSE,"2~8번"}</definedName>
    <definedName name="억이상" localSheetId="27" hidden="1">{#N/A,#N/A,FALSE,"2~8번"}</definedName>
    <definedName name="억이상" localSheetId="28" hidden="1">{#N/A,#N/A,FALSE,"2~8번"}</definedName>
    <definedName name="억이상" localSheetId="29" hidden="1">{#N/A,#N/A,FALSE,"2~8번"}</definedName>
    <definedName name="억이상" localSheetId="31" hidden="1">{#N/A,#N/A,FALSE,"2~8번"}</definedName>
    <definedName name="억이상" localSheetId="30" hidden="1">{#N/A,#N/A,FALSE,"2~8번"}</definedName>
    <definedName name="억이상" localSheetId="17" hidden="1">{#N/A,#N/A,FALSE,"2~8번"}</definedName>
    <definedName name="억이상" localSheetId="18" hidden="1">{#N/A,#N/A,FALSE,"2~8번"}</definedName>
    <definedName name="억이상" hidden="1">{#N/A,#N/A,FALSE,"2~8번"}</definedName>
    <definedName name="업체" localSheetId="32" hidden="1">#REF!</definedName>
    <definedName name="업체" localSheetId="27" hidden="1">#REF!</definedName>
    <definedName name="업체" localSheetId="18" hidden="1">#REF!</definedName>
    <definedName name="업체" hidden="1">#REF!</definedName>
    <definedName name="오수토공" localSheetId="20" hidden="1">{#N/A,#N/A,FALSE,"기안지";#N/A,#N/A,FALSE,"통신지"}</definedName>
    <definedName name="오수토공" localSheetId="19" hidden="1">{#N/A,#N/A,FALSE,"기안지";#N/A,#N/A,FALSE,"통신지"}</definedName>
    <definedName name="오수토공" localSheetId="26" hidden="1">{#N/A,#N/A,FALSE,"기안지";#N/A,#N/A,FALSE,"통신지"}</definedName>
    <definedName name="오수토공" localSheetId="24" hidden="1">{#N/A,#N/A,FALSE,"기안지";#N/A,#N/A,FALSE,"통신지"}</definedName>
    <definedName name="오수토공" localSheetId="32" hidden="1">{#N/A,#N/A,FALSE,"기안지";#N/A,#N/A,FALSE,"통신지"}</definedName>
    <definedName name="오수토공" localSheetId="27" hidden="1">{#N/A,#N/A,FALSE,"기안지";#N/A,#N/A,FALSE,"통신지"}</definedName>
    <definedName name="오수토공" localSheetId="28" hidden="1">{#N/A,#N/A,FALSE,"기안지";#N/A,#N/A,FALSE,"통신지"}</definedName>
    <definedName name="오수토공" localSheetId="29" hidden="1">{#N/A,#N/A,FALSE,"기안지";#N/A,#N/A,FALSE,"통신지"}</definedName>
    <definedName name="오수토공" localSheetId="31" hidden="1">{#N/A,#N/A,FALSE,"기안지";#N/A,#N/A,FALSE,"통신지"}</definedName>
    <definedName name="오수토공" localSheetId="30" hidden="1">{#N/A,#N/A,FALSE,"기안지";#N/A,#N/A,FALSE,"통신지"}</definedName>
    <definedName name="오수토공" localSheetId="17" hidden="1">{#N/A,#N/A,FALSE,"기안지";#N/A,#N/A,FALSE,"통신지"}</definedName>
    <definedName name="오수토공" localSheetId="18" hidden="1">{#N/A,#N/A,FALSE,"기안지";#N/A,#N/A,FALSE,"통신지"}</definedName>
    <definedName name="오수토공" hidden="1">{#N/A,#N/A,FALSE,"기안지";#N/A,#N/A,FALSE,"통신지"}</definedName>
    <definedName name="우리나라" localSheetId="20" hidden="1">{#N/A,#N/A,FALSE,"전력간선"}</definedName>
    <definedName name="우리나라" localSheetId="19" hidden="1">{#N/A,#N/A,FALSE,"전력간선"}</definedName>
    <definedName name="우리나라" localSheetId="26" hidden="1">{#N/A,#N/A,FALSE,"전력간선"}</definedName>
    <definedName name="우리나라" localSheetId="24" hidden="1">{#N/A,#N/A,FALSE,"전력간선"}</definedName>
    <definedName name="우리나라" localSheetId="32" hidden="1">{#N/A,#N/A,FALSE,"전력간선"}</definedName>
    <definedName name="우리나라" localSheetId="27" hidden="1">{#N/A,#N/A,FALSE,"전력간선"}</definedName>
    <definedName name="우리나라" localSheetId="28" hidden="1">{#N/A,#N/A,FALSE,"전력간선"}</definedName>
    <definedName name="우리나라" localSheetId="29" hidden="1">{#N/A,#N/A,FALSE,"전력간선"}</definedName>
    <definedName name="우리나라" localSheetId="31" hidden="1">{#N/A,#N/A,FALSE,"전력간선"}</definedName>
    <definedName name="우리나라" localSheetId="30" hidden="1">{#N/A,#N/A,FALSE,"전력간선"}</definedName>
    <definedName name="우리나라" localSheetId="17" hidden="1">{#N/A,#N/A,FALSE,"전력간선"}</definedName>
    <definedName name="우리나라" localSheetId="18" hidden="1">{#N/A,#N/A,FALSE,"전력간선"}</definedName>
    <definedName name="우리나라" hidden="1">{#N/A,#N/A,FALSE,"전력간선"}</definedName>
    <definedName name="의" localSheetId="20" hidden="1">{#N/A,#N/A,FALSE,"운반시간"}</definedName>
    <definedName name="의" localSheetId="19" hidden="1">{#N/A,#N/A,FALSE,"운반시간"}</definedName>
    <definedName name="의" localSheetId="26" hidden="1">{#N/A,#N/A,FALSE,"운반시간"}</definedName>
    <definedName name="의" localSheetId="24" hidden="1">{#N/A,#N/A,FALSE,"운반시간"}</definedName>
    <definedName name="의" localSheetId="32" hidden="1">{#N/A,#N/A,FALSE,"운반시간"}</definedName>
    <definedName name="의" localSheetId="27" hidden="1">{#N/A,#N/A,FALSE,"운반시간"}</definedName>
    <definedName name="의" localSheetId="28" hidden="1">{#N/A,#N/A,FALSE,"운반시간"}</definedName>
    <definedName name="의" localSheetId="29" hidden="1">{#N/A,#N/A,FALSE,"운반시간"}</definedName>
    <definedName name="의" localSheetId="31" hidden="1">{#N/A,#N/A,FALSE,"운반시간"}</definedName>
    <definedName name="의" localSheetId="30" hidden="1">{#N/A,#N/A,FALSE,"운반시간"}</definedName>
    <definedName name="의" localSheetId="17" hidden="1">{#N/A,#N/A,FALSE,"운반시간"}</definedName>
    <definedName name="의" localSheetId="18" hidden="1">{#N/A,#N/A,FALSE,"운반시간"}</definedName>
    <definedName name="의" hidden="1">{#N/A,#N/A,FALSE,"운반시간"}</definedName>
    <definedName name="이름" localSheetId="20" hidden="1">{#N/A,#N/A,FALSE,"CCTV"}</definedName>
    <definedName name="이름" localSheetId="19" hidden="1">{#N/A,#N/A,FALSE,"CCTV"}</definedName>
    <definedName name="이름" localSheetId="26" hidden="1">{#N/A,#N/A,FALSE,"CCTV"}</definedName>
    <definedName name="이름" localSheetId="24" hidden="1">{#N/A,#N/A,FALSE,"CCTV"}</definedName>
    <definedName name="이름" localSheetId="32" hidden="1">{#N/A,#N/A,FALSE,"CCTV"}</definedName>
    <definedName name="이름" localSheetId="27" hidden="1">{#N/A,#N/A,FALSE,"CCTV"}</definedName>
    <definedName name="이름" localSheetId="28" hidden="1">{#N/A,#N/A,FALSE,"CCTV"}</definedName>
    <definedName name="이름" localSheetId="29" hidden="1">{#N/A,#N/A,FALSE,"CCTV"}</definedName>
    <definedName name="이름" localSheetId="31" hidden="1">{#N/A,#N/A,FALSE,"CCTV"}</definedName>
    <definedName name="이름" localSheetId="30" hidden="1">{#N/A,#N/A,FALSE,"CCTV"}</definedName>
    <definedName name="이름" localSheetId="17" hidden="1">{#N/A,#N/A,FALSE,"CCTV"}</definedName>
    <definedName name="이름" localSheetId="18" hidden="1">{#N/A,#N/A,FALSE,"CCTV"}</definedName>
    <definedName name="이름" hidden="1">{#N/A,#N/A,FALSE,"CCTV"}</definedName>
    <definedName name="이름충돌" localSheetId="2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이름충돌" localSheetId="1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이름충돌" localSheetId="2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이름충돌" localSheetId="2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이름충돌" localSheetId="3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이름충돌" localSheetId="2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이름충돌" localSheetId="2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이름충돌" localSheetId="2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이름충돌" localSheetId="3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이름충돌" localSheetId="3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이름충돌" localSheetId="1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이름충돌" localSheetId="1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이름충돌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ㅈ" localSheetId="20" hidden="1">{#N/A,#N/A,FALSE,"전력간선"}</definedName>
    <definedName name="ㅈ" localSheetId="19" hidden="1">{#N/A,#N/A,FALSE,"전력간선"}</definedName>
    <definedName name="ㅈ" localSheetId="26" hidden="1">{#N/A,#N/A,FALSE,"전력간선"}</definedName>
    <definedName name="ㅈ" localSheetId="24" hidden="1">{#N/A,#N/A,FALSE,"전력간선"}</definedName>
    <definedName name="ㅈ" localSheetId="32" hidden="1">{#N/A,#N/A,FALSE,"전력간선"}</definedName>
    <definedName name="ㅈ" localSheetId="27" hidden="1">{#N/A,#N/A,FALSE,"전력간선"}</definedName>
    <definedName name="ㅈ" localSheetId="28" hidden="1">{#N/A,#N/A,FALSE,"전력간선"}</definedName>
    <definedName name="ㅈ" localSheetId="29" hidden="1">{#N/A,#N/A,FALSE,"전력간선"}</definedName>
    <definedName name="ㅈ" localSheetId="31" hidden="1">{#N/A,#N/A,FALSE,"전력간선"}</definedName>
    <definedName name="ㅈ" localSheetId="30" hidden="1">{#N/A,#N/A,FALSE,"전력간선"}</definedName>
    <definedName name="ㅈ" localSheetId="17" hidden="1">{#N/A,#N/A,FALSE,"전력간선"}</definedName>
    <definedName name="ㅈ" localSheetId="18" hidden="1">{#N/A,#N/A,FALSE,"전력간선"}</definedName>
    <definedName name="ㅈ" hidden="1">{#N/A,#N/A,FALSE,"전력간선"}</definedName>
    <definedName name="ㅈㅈ" localSheetId="20" hidden="1">{"'장비'!$A$3:$M$12"}</definedName>
    <definedName name="ㅈㅈ" localSheetId="19" hidden="1">{"'장비'!$A$3:$M$12"}</definedName>
    <definedName name="ㅈㅈ" localSheetId="26" hidden="1">{"'장비'!$A$3:$M$12"}</definedName>
    <definedName name="ㅈㅈ" localSheetId="24" hidden="1">{"'장비'!$A$3:$M$12"}</definedName>
    <definedName name="ㅈㅈ" localSheetId="32" hidden="1">{"'장비'!$A$3:$M$12"}</definedName>
    <definedName name="ㅈㅈ" localSheetId="27" hidden="1">{"'장비'!$A$3:$M$12"}</definedName>
    <definedName name="ㅈㅈ" localSheetId="28" hidden="1">{"'장비'!$A$3:$M$12"}</definedName>
    <definedName name="ㅈㅈ" localSheetId="29" hidden="1">{"'장비'!$A$3:$M$12"}</definedName>
    <definedName name="ㅈㅈ" localSheetId="31" hidden="1">{"'장비'!$A$3:$M$12"}</definedName>
    <definedName name="ㅈㅈ" localSheetId="30" hidden="1">{"'장비'!$A$3:$M$12"}</definedName>
    <definedName name="ㅈㅈ" localSheetId="17" hidden="1">{"'장비'!$A$3:$M$12"}</definedName>
    <definedName name="ㅈㅈ" localSheetId="18" hidden="1">{"'장비'!$A$3:$M$12"}</definedName>
    <definedName name="ㅈㅈ" hidden="1">{"'장비'!$A$3:$M$12"}</definedName>
    <definedName name="자재" localSheetId="20" hidden="1">{#N/A,#N/A,FALSE,"2~8번"}</definedName>
    <definedName name="자재" localSheetId="19" hidden="1">{#N/A,#N/A,FALSE,"2~8번"}</definedName>
    <definedName name="자재" localSheetId="26" hidden="1">{#N/A,#N/A,FALSE,"2~8번"}</definedName>
    <definedName name="자재" localSheetId="24" hidden="1">{#N/A,#N/A,FALSE,"2~8번"}</definedName>
    <definedName name="자재" localSheetId="32" hidden="1">{#N/A,#N/A,FALSE,"2~8번"}</definedName>
    <definedName name="자재" localSheetId="27" hidden="1">{#N/A,#N/A,FALSE,"2~8번"}</definedName>
    <definedName name="자재" localSheetId="28" hidden="1">{#N/A,#N/A,FALSE,"2~8번"}</definedName>
    <definedName name="자재" localSheetId="29" hidden="1">{#N/A,#N/A,FALSE,"2~8번"}</definedName>
    <definedName name="자재" localSheetId="31" hidden="1">{#N/A,#N/A,FALSE,"2~8번"}</definedName>
    <definedName name="자재" localSheetId="30" hidden="1">{#N/A,#N/A,FALSE,"2~8번"}</definedName>
    <definedName name="자재" localSheetId="17" hidden="1">{#N/A,#N/A,FALSE,"2~8번"}</definedName>
    <definedName name="자재" localSheetId="18" hidden="1">{#N/A,#N/A,FALSE,"2~8번"}</definedName>
    <definedName name="자재" hidden="1">{#N/A,#N/A,FALSE,"2~8번"}</definedName>
    <definedName name="전계장금액" localSheetId="32" hidden="1">#REF!</definedName>
    <definedName name="전계장금액" localSheetId="27" hidden="1">#REF!</definedName>
    <definedName name="전계장금액" localSheetId="18" hidden="1">#REF!</definedName>
    <definedName name="전계장금액" hidden="1">#REF!</definedName>
    <definedName name="전기공사비교" localSheetId="2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기공사비교" localSheetId="1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기공사비교" localSheetId="2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기공사비교" localSheetId="2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기공사비교" localSheetId="3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기공사비교" localSheetId="2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기공사비교" localSheetId="28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기공사비교" localSheetId="2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기공사비교" localSheetId="3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기공사비교" localSheetId="3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기공사비교" localSheetId="1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기공사비교" localSheetId="18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기공사비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제출2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localSheetId="2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localSheetId="3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localSheetId="2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localSheetId="2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localSheetId="2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localSheetId="3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localSheetId="3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견표1" localSheetId="20" hidden="1">{#N/A,#N/A,FALSE,"예상손익";#N/A,#N/A,FALSE,"관리분석";#N/A,#N/A,FALSE,"장비분석";#N/A,#N/A,FALSE,"준설분석";#N/A,#N/A,FALSE,"철구분석"}</definedName>
    <definedName name="조견표1" localSheetId="19" hidden="1">{#N/A,#N/A,FALSE,"예상손익";#N/A,#N/A,FALSE,"관리분석";#N/A,#N/A,FALSE,"장비분석";#N/A,#N/A,FALSE,"준설분석";#N/A,#N/A,FALSE,"철구분석"}</definedName>
    <definedName name="조견표1" localSheetId="26" hidden="1">{#N/A,#N/A,FALSE,"예상손익";#N/A,#N/A,FALSE,"관리분석";#N/A,#N/A,FALSE,"장비분석";#N/A,#N/A,FALSE,"준설분석";#N/A,#N/A,FALSE,"철구분석"}</definedName>
    <definedName name="조견표1" localSheetId="24" hidden="1">{#N/A,#N/A,FALSE,"예상손익";#N/A,#N/A,FALSE,"관리분석";#N/A,#N/A,FALSE,"장비분석";#N/A,#N/A,FALSE,"준설분석";#N/A,#N/A,FALSE,"철구분석"}</definedName>
    <definedName name="조견표1" localSheetId="32" hidden="1">{#N/A,#N/A,FALSE,"예상손익";#N/A,#N/A,FALSE,"관리분석";#N/A,#N/A,FALSE,"장비분석";#N/A,#N/A,FALSE,"준설분석";#N/A,#N/A,FALSE,"철구분석"}</definedName>
    <definedName name="조견표1" localSheetId="27" hidden="1">{#N/A,#N/A,FALSE,"예상손익";#N/A,#N/A,FALSE,"관리분석";#N/A,#N/A,FALSE,"장비분석";#N/A,#N/A,FALSE,"준설분석";#N/A,#N/A,FALSE,"철구분석"}</definedName>
    <definedName name="조견표1" localSheetId="28" hidden="1">{#N/A,#N/A,FALSE,"예상손익";#N/A,#N/A,FALSE,"관리분석";#N/A,#N/A,FALSE,"장비분석";#N/A,#N/A,FALSE,"준설분석";#N/A,#N/A,FALSE,"철구분석"}</definedName>
    <definedName name="조견표1" localSheetId="29" hidden="1">{#N/A,#N/A,FALSE,"예상손익";#N/A,#N/A,FALSE,"관리분석";#N/A,#N/A,FALSE,"장비분석";#N/A,#N/A,FALSE,"준설분석";#N/A,#N/A,FALSE,"철구분석"}</definedName>
    <definedName name="조견표1" localSheetId="31" hidden="1">{#N/A,#N/A,FALSE,"예상손익";#N/A,#N/A,FALSE,"관리분석";#N/A,#N/A,FALSE,"장비분석";#N/A,#N/A,FALSE,"준설분석";#N/A,#N/A,FALSE,"철구분석"}</definedName>
    <definedName name="조견표1" localSheetId="30" hidden="1">{#N/A,#N/A,FALSE,"예상손익";#N/A,#N/A,FALSE,"관리분석";#N/A,#N/A,FALSE,"장비분석";#N/A,#N/A,FALSE,"준설분석";#N/A,#N/A,FALSE,"철구분석"}</definedName>
    <definedName name="조견표1" localSheetId="17" hidden="1">{#N/A,#N/A,FALSE,"예상손익";#N/A,#N/A,FALSE,"관리분석";#N/A,#N/A,FALSE,"장비분석";#N/A,#N/A,FALSE,"준설분석";#N/A,#N/A,FALSE,"철구분석"}</definedName>
    <definedName name="조견표1" localSheetId="18" hidden="1">{#N/A,#N/A,FALSE,"예상손익";#N/A,#N/A,FALSE,"관리분석";#N/A,#N/A,FALSE,"장비분석";#N/A,#N/A,FALSE,"준설분석";#N/A,#N/A,FALSE,"철구분석"}</definedName>
    <definedName name="조견표1" hidden="1">{#N/A,#N/A,FALSE,"예상손익";#N/A,#N/A,FALSE,"관리분석";#N/A,#N/A,FALSE,"장비분석";#N/A,#N/A,FALSE,"준설분석";#N/A,#N/A,FALSE,"철구분석"}</definedName>
    <definedName name="참고자료" localSheetId="20" hidden="1">{#VALUE!,#N/A,FALSE,0;#N/A,#N/A,FALSE,0;#N/A,#N/A,FALSE,0;#N/A,#N/A,FALSE,0}</definedName>
    <definedName name="참고자료" localSheetId="19" hidden="1">{#VALUE!,#N/A,FALSE,0;#N/A,#N/A,FALSE,0;#N/A,#N/A,FALSE,0;#N/A,#N/A,FALSE,0}</definedName>
    <definedName name="참고자료" localSheetId="26" hidden="1">{#VALUE!,#N/A,FALSE,0;#N/A,#N/A,FALSE,0;#N/A,#N/A,FALSE,0;#N/A,#N/A,FALSE,0}</definedName>
    <definedName name="참고자료" localSheetId="24" hidden="1">{#VALUE!,#N/A,FALSE,0;#N/A,#N/A,FALSE,0;#N/A,#N/A,FALSE,0;#N/A,#N/A,FALSE,0}</definedName>
    <definedName name="참고자료" localSheetId="32" hidden="1">{#VALUE!,#N/A,FALSE,0;#N/A,#N/A,FALSE,0;#N/A,#N/A,FALSE,0;#N/A,#N/A,FALSE,0}</definedName>
    <definedName name="참고자료" localSheetId="27" hidden="1">{#VALUE!,#N/A,FALSE,0;#N/A,#N/A,FALSE,0;#N/A,#N/A,FALSE,0;#N/A,#N/A,FALSE,0}</definedName>
    <definedName name="참고자료" localSheetId="28" hidden="1">{#VALUE!,#N/A,FALSE,0;#N/A,#N/A,FALSE,0;#N/A,#N/A,FALSE,0;#N/A,#N/A,FALSE,0}</definedName>
    <definedName name="참고자료" localSheetId="29" hidden="1">{#VALUE!,#N/A,FALSE,0;#N/A,#N/A,FALSE,0;#N/A,#N/A,FALSE,0;#N/A,#N/A,FALSE,0}</definedName>
    <definedName name="참고자료" localSheetId="31" hidden="1">{#VALUE!,#N/A,FALSE,0;#N/A,#N/A,FALSE,0;#N/A,#N/A,FALSE,0;#N/A,#N/A,FALSE,0}</definedName>
    <definedName name="참고자료" localSheetId="30" hidden="1">{#VALUE!,#N/A,FALSE,0;#N/A,#N/A,FALSE,0;#N/A,#N/A,FALSE,0;#N/A,#N/A,FALSE,0}</definedName>
    <definedName name="참고자료" localSheetId="17" hidden="1">{#VALUE!,#N/A,FALSE,0;#N/A,#N/A,FALSE,0;#N/A,#N/A,FALSE,0;#N/A,#N/A,FALSE,0}</definedName>
    <definedName name="참고자료" localSheetId="18" hidden="1">{#VALUE!,#N/A,FALSE,0;#N/A,#N/A,FALSE,0;#N/A,#N/A,FALSE,0;#N/A,#N/A,FALSE,0}</definedName>
    <definedName name="참고자료" hidden="1">{#VALUE!,#N/A,FALSE,0;#N/A,#N/A,FALSE,0;#N/A,#N/A,FALSE,0;#N/A,#N/A,FALSE,0}</definedName>
    <definedName name="총괄제출용" localSheetId="20" hidden="1">{#N/A,#N/A,FALSE,"전력간선"}</definedName>
    <definedName name="총괄제출용" localSheetId="19" hidden="1">{#N/A,#N/A,FALSE,"전력간선"}</definedName>
    <definedName name="총괄제출용" localSheetId="26" hidden="1">{#N/A,#N/A,FALSE,"전력간선"}</definedName>
    <definedName name="총괄제출용" localSheetId="24" hidden="1">{#N/A,#N/A,FALSE,"전력간선"}</definedName>
    <definedName name="총괄제출용" localSheetId="32" hidden="1">{#N/A,#N/A,FALSE,"전력간선"}</definedName>
    <definedName name="총괄제출용" localSheetId="27" hidden="1">{#N/A,#N/A,FALSE,"전력간선"}</definedName>
    <definedName name="총괄제출용" localSheetId="28" hidden="1">{#N/A,#N/A,FALSE,"전력간선"}</definedName>
    <definedName name="총괄제출용" localSheetId="29" hidden="1">{#N/A,#N/A,FALSE,"전력간선"}</definedName>
    <definedName name="총괄제출용" localSheetId="31" hidden="1">{#N/A,#N/A,FALSE,"전력간선"}</definedName>
    <definedName name="총괄제출용" localSheetId="30" hidden="1">{#N/A,#N/A,FALSE,"전력간선"}</definedName>
    <definedName name="총괄제출용" localSheetId="17" hidden="1">{#N/A,#N/A,FALSE,"전력간선"}</definedName>
    <definedName name="총괄제출용" localSheetId="18" hidden="1">{#N/A,#N/A,FALSE,"전력간선"}</definedName>
    <definedName name="총괄제출용" hidden="1">{#N/A,#N/A,FALSE,"전력간선"}</definedName>
    <definedName name="토건" localSheetId="20" hidden="1">{"'장비'!$A$3:$M$12"}</definedName>
    <definedName name="토건" localSheetId="19" hidden="1">{"'장비'!$A$3:$M$12"}</definedName>
    <definedName name="토건" localSheetId="26" hidden="1">{"'장비'!$A$3:$M$12"}</definedName>
    <definedName name="토건" localSheetId="24" hidden="1">{"'장비'!$A$3:$M$12"}</definedName>
    <definedName name="토건" localSheetId="32" hidden="1">{"'장비'!$A$3:$M$12"}</definedName>
    <definedName name="토건" localSheetId="27" hidden="1">{"'장비'!$A$3:$M$12"}</definedName>
    <definedName name="토건" localSheetId="28" hidden="1">{"'장비'!$A$3:$M$12"}</definedName>
    <definedName name="토건" localSheetId="29" hidden="1">{"'장비'!$A$3:$M$12"}</definedName>
    <definedName name="토건" localSheetId="31" hidden="1">{"'장비'!$A$3:$M$12"}</definedName>
    <definedName name="토건" localSheetId="30" hidden="1">{"'장비'!$A$3:$M$12"}</definedName>
    <definedName name="토건" localSheetId="17" hidden="1">{"'장비'!$A$3:$M$12"}</definedName>
    <definedName name="토건" localSheetId="18" hidden="1">{"'장비'!$A$3:$M$12"}</definedName>
    <definedName name="토건" hidden="1">{"'장비'!$A$3:$M$12"}</definedName>
    <definedName name="토건공사비대비r" localSheetId="20" hidden="1">{"'장비'!$A$3:$M$12"}</definedName>
    <definedName name="토건공사비대비r" localSheetId="19" hidden="1">{"'장비'!$A$3:$M$12"}</definedName>
    <definedName name="토건공사비대비r" localSheetId="26" hidden="1">{"'장비'!$A$3:$M$12"}</definedName>
    <definedName name="토건공사비대비r" localSheetId="24" hidden="1">{"'장비'!$A$3:$M$12"}</definedName>
    <definedName name="토건공사비대비r" localSheetId="32" hidden="1">{"'장비'!$A$3:$M$12"}</definedName>
    <definedName name="토건공사비대비r" localSheetId="27" hidden="1">{"'장비'!$A$3:$M$12"}</definedName>
    <definedName name="토건공사비대비r" localSheetId="28" hidden="1">{"'장비'!$A$3:$M$12"}</definedName>
    <definedName name="토건공사비대비r" localSheetId="29" hidden="1">{"'장비'!$A$3:$M$12"}</definedName>
    <definedName name="토건공사비대비r" localSheetId="31" hidden="1">{"'장비'!$A$3:$M$12"}</definedName>
    <definedName name="토건공사비대비r" localSheetId="30" hidden="1">{"'장비'!$A$3:$M$12"}</definedName>
    <definedName name="토건공사비대비r" localSheetId="17" hidden="1">{"'장비'!$A$3:$M$12"}</definedName>
    <definedName name="토건공사비대비r" localSheetId="18" hidden="1">{"'장비'!$A$3:$M$12"}</definedName>
    <definedName name="토건공사비대비r" hidden="1">{"'장비'!$A$3:$M$12"}</definedName>
    <definedName name="토건업체" localSheetId="20" hidden="1">{"'장비'!$A$3:$M$12"}</definedName>
    <definedName name="토건업체" localSheetId="19" hidden="1">{"'장비'!$A$3:$M$12"}</definedName>
    <definedName name="토건업체" localSheetId="26" hidden="1">{"'장비'!$A$3:$M$12"}</definedName>
    <definedName name="토건업체" localSheetId="24" hidden="1">{"'장비'!$A$3:$M$12"}</definedName>
    <definedName name="토건업체" localSheetId="32" hidden="1">{"'장비'!$A$3:$M$12"}</definedName>
    <definedName name="토건업체" localSheetId="27" hidden="1">{"'장비'!$A$3:$M$12"}</definedName>
    <definedName name="토건업체" localSheetId="28" hidden="1">{"'장비'!$A$3:$M$12"}</definedName>
    <definedName name="토건업체" localSheetId="29" hidden="1">{"'장비'!$A$3:$M$12"}</definedName>
    <definedName name="토건업체" localSheetId="31" hidden="1">{"'장비'!$A$3:$M$12"}</definedName>
    <definedName name="토건업체" localSheetId="30" hidden="1">{"'장비'!$A$3:$M$12"}</definedName>
    <definedName name="토건업체" localSheetId="17" hidden="1">{"'장비'!$A$3:$M$12"}</definedName>
    <definedName name="토건업체" localSheetId="18" hidden="1">{"'장비'!$A$3:$M$12"}</definedName>
    <definedName name="토건업체" hidden="1">{"'장비'!$A$3:$M$12"}</definedName>
    <definedName name="토건집계표r" localSheetId="20" hidden="1">{"'장비'!$A$3:$M$12"}</definedName>
    <definedName name="토건집계표r" localSheetId="19" hidden="1">{"'장비'!$A$3:$M$12"}</definedName>
    <definedName name="토건집계표r" localSheetId="26" hidden="1">{"'장비'!$A$3:$M$12"}</definedName>
    <definedName name="토건집계표r" localSheetId="24" hidden="1">{"'장비'!$A$3:$M$12"}</definedName>
    <definedName name="토건집계표r" localSheetId="32" hidden="1">{"'장비'!$A$3:$M$12"}</definedName>
    <definedName name="토건집계표r" localSheetId="27" hidden="1">{"'장비'!$A$3:$M$12"}</definedName>
    <definedName name="토건집계표r" localSheetId="28" hidden="1">{"'장비'!$A$3:$M$12"}</definedName>
    <definedName name="토건집계표r" localSheetId="29" hidden="1">{"'장비'!$A$3:$M$12"}</definedName>
    <definedName name="토건집계표r" localSheetId="31" hidden="1">{"'장비'!$A$3:$M$12"}</definedName>
    <definedName name="토건집계표r" localSheetId="30" hidden="1">{"'장비'!$A$3:$M$12"}</definedName>
    <definedName name="토건집계표r" localSheetId="17" hidden="1">{"'장비'!$A$3:$M$12"}</definedName>
    <definedName name="토건집계표r" localSheetId="18" hidden="1">{"'장비'!$A$3:$M$12"}</definedName>
    <definedName name="토건집계표r" hidden="1">{"'장비'!$A$3:$M$12"}</definedName>
    <definedName name="토목설계" localSheetId="20" hidden="1">{#N/A,#N/A,FALSE,"골재소요량";#N/A,#N/A,FALSE,"골재소요량"}</definedName>
    <definedName name="토목설계" localSheetId="19" hidden="1">{#N/A,#N/A,FALSE,"골재소요량";#N/A,#N/A,FALSE,"골재소요량"}</definedName>
    <definedName name="토목설계" localSheetId="26" hidden="1">{#N/A,#N/A,FALSE,"골재소요량";#N/A,#N/A,FALSE,"골재소요량"}</definedName>
    <definedName name="토목설계" localSheetId="24" hidden="1">{#N/A,#N/A,FALSE,"골재소요량";#N/A,#N/A,FALSE,"골재소요량"}</definedName>
    <definedName name="토목설계" localSheetId="32" hidden="1">{#N/A,#N/A,FALSE,"골재소요량";#N/A,#N/A,FALSE,"골재소요량"}</definedName>
    <definedName name="토목설계" localSheetId="27" hidden="1">{#N/A,#N/A,FALSE,"골재소요량";#N/A,#N/A,FALSE,"골재소요량"}</definedName>
    <definedName name="토목설계" localSheetId="28" hidden="1">{#N/A,#N/A,FALSE,"골재소요량";#N/A,#N/A,FALSE,"골재소요량"}</definedName>
    <definedName name="토목설계" localSheetId="29" hidden="1">{#N/A,#N/A,FALSE,"골재소요량";#N/A,#N/A,FALSE,"골재소요량"}</definedName>
    <definedName name="토목설계" localSheetId="31" hidden="1">{#N/A,#N/A,FALSE,"골재소요량";#N/A,#N/A,FALSE,"골재소요량"}</definedName>
    <definedName name="토목설계" localSheetId="30" hidden="1">{#N/A,#N/A,FALSE,"골재소요량";#N/A,#N/A,FALSE,"골재소요량"}</definedName>
    <definedName name="토목설계" localSheetId="17" hidden="1">{#N/A,#N/A,FALSE,"골재소요량";#N/A,#N/A,FALSE,"골재소요량"}</definedName>
    <definedName name="토목설계" localSheetId="18" hidden="1">{#N/A,#N/A,FALSE,"골재소요량";#N/A,#N/A,FALSE,"골재소요량"}</definedName>
    <definedName name="토목설계" hidden="1">{#N/A,#N/A,FALSE,"골재소요량";#N/A,#N/A,FALSE,"골재소요량"}</definedName>
    <definedName name="투찰예정가50" localSheetId="20" hidden="1">{"'장비'!$A$3:$M$12"}</definedName>
    <definedName name="투찰예정가50" localSheetId="19" hidden="1">{"'장비'!$A$3:$M$12"}</definedName>
    <definedName name="투찰예정가50" localSheetId="26" hidden="1">{"'장비'!$A$3:$M$12"}</definedName>
    <definedName name="투찰예정가50" localSheetId="24" hidden="1">{"'장비'!$A$3:$M$12"}</definedName>
    <definedName name="투찰예정가50" localSheetId="32" hidden="1">{"'장비'!$A$3:$M$12"}</definedName>
    <definedName name="투찰예정가50" localSheetId="27" hidden="1">{"'장비'!$A$3:$M$12"}</definedName>
    <definedName name="투찰예정가50" localSheetId="28" hidden="1">{"'장비'!$A$3:$M$12"}</definedName>
    <definedName name="투찰예정가50" localSheetId="29" hidden="1">{"'장비'!$A$3:$M$12"}</definedName>
    <definedName name="투찰예정가50" localSheetId="31" hidden="1">{"'장비'!$A$3:$M$12"}</definedName>
    <definedName name="투찰예정가50" localSheetId="30" hidden="1">{"'장비'!$A$3:$M$12"}</definedName>
    <definedName name="투찰예정가50" localSheetId="17" hidden="1">{"'장비'!$A$3:$M$12"}</definedName>
    <definedName name="투찰예정가50" localSheetId="18" hidden="1">{"'장비'!$A$3:$M$12"}</definedName>
    <definedName name="투찰예정가50" hidden="1">{"'장비'!$A$3:$M$12"}</definedName>
    <definedName name="투찰예정본부장" localSheetId="20" hidden="1">{"'장비'!$A$3:$M$12"}</definedName>
    <definedName name="투찰예정본부장" localSheetId="19" hidden="1">{"'장비'!$A$3:$M$12"}</definedName>
    <definedName name="투찰예정본부장" localSheetId="26" hidden="1">{"'장비'!$A$3:$M$12"}</definedName>
    <definedName name="투찰예정본부장" localSheetId="24" hidden="1">{"'장비'!$A$3:$M$12"}</definedName>
    <definedName name="투찰예정본부장" localSheetId="32" hidden="1">{"'장비'!$A$3:$M$12"}</definedName>
    <definedName name="투찰예정본부장" localSheetId="27" hidden="1">{"'장비'!$A$3:$M$12"}</definedName>
    <definedName name="투찰예정본부장" localSheetId="28" hidden="1">{"'장비'!$A$3:$M$12"}</definedName>
    <definedName name="투찰예정본부장" localSheetId="29" hidden="1">{"'장비'!$A$3:$M$12"}</definedName>
    <definedName name="투찰예정본부장" localSheetId="31" hidden="1">{"'장비'!$A$3:$M$12"}</definedName>
    <definedName name="투찰예정본부장" localSheetId="30" hidden="1">{"'장비'!$A$3:$M$12"}</definedName>
    <definedName name="투찰예정본부장" localSheetId="17" hidden="1">{"'장비'!$A$3:$M$12"}</definedName>
    <definedName name="투찰예정본부장" localSheetId="18" hidden="1">{"'장비'!$A$3:$M$12"}</definedName>
    <definedName name="투찰예정본부장" hidden="1">{"'장비'!$A$3:$M$12"}</definedName>
    <definedName name="파일" hidden="1">#REF!</definedName>
    <definedName name="팔" hidden="1">#REF!</definedName>
    <definedName name="표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표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표" localSheetId="2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표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표" localSheetId="3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표" localSheetId="2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표" localSheetId="2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표" localSheetId="2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표" localSheetId="3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표" localSheetId="3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표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표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표지" localSheetId="32" hidden="1">#REF!</definedName>
    <definedName name="표지" localSheetId="27" hidden="1">#REF!</definedName>
    <definedName name="표지" localSheetId="18" hidden="1">#REF!</definedName>
    <definedName name="표지" hidden="1">#REF!</definedName>
    <definedName name="표지2" localSheetId="27" hidden="1">#REF!</definedName>
    <definedName name="표지2" localSheetId="18" hidden="1">#REF!</definedName>
    <definedName name="표지2" hidden="1">#REF!</definedName>
    <definedName name="하도사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2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3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2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2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2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3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3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2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3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2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2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2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3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3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한" localSheetId="32" hidden="1">#REF!</definedName>
    <definedName name="한" localSheetId="27" hidden="1">#REF!</definedName>
    <definedName name="한" localSheetId="18" hidden="1">#REF!</definedName>
    <definedName name="한" hidden="1">#REF!</definedName>
    <definedName name="ㅐㅐㅐ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ㅐㅐ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ㅐㅐ" localSheetId="2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ㅐㅐ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ㅐㅐ" localSheetId="3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ㅐㅐ" localSheetId="2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ㅐㅐ" localSheetId="2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ㅐㅐ" localSheetId="2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ㅐㅐ" localSheetId="3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ㅐㅐ" localSheetId="3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ㅐㅐ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ㅐㅐ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ㅐ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localSheetId="2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localSheetId="3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localSheetId="2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localSheetId="2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localSheetId="2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localSheetId="3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localSheetId="3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ㅓ" localSheetId="20" hidden="1">{#N/A,#N/A,FALSE,"조골재"}</definedName>
    <definedName name="ㅓㅓㅓㅓ" localSheetId="19" hidden="1">{#N/A,#N/A,FALSE,"조골재"}</definedName>
    <definedName name="ㅓㅓㅓㅓ" localSheetId="26" hidden="1">{#N/A,#N/A,FALSE,"조골재"}</definedName>
    <definedName name="ㅓㅓㅓㅓ" localSheetId="24" hidden="1">{#N/A,#N/A,FALSE,"조골재"}</definedName>
    <definedName name="ㅓㅓㅓㅓ" localSheetId="32" hidden="1">{#N/A,#N/A,FALSE,"조골재"}</definedName>
    <definedName name="ㅓㅓㅓㅓ" localSheetId="27" hidden="1">{#N/A,#N/A,FALSE,"조골재"}</definedName>
    <definedName name="ㅓㅓㅓㅓ" localSheetId="28" hidden="1">{#N/A,#N/A,FALSE,"조골재"}</definedName>
    <definedName name="ㅓㅓㅓㅓ" localSheetId="29" hidden="1">{#N/A,#N/A,FALSE,"조골재"}</definedName>
    <definedName name="ㅓㅓㅓㅓ" localSheetId="31" hidden="1">{#N/A,#N/A,FALSE,"조골재"}</definedName>
    <definedName name="ㅓㅓㅓㅓ" localSheetId="30" hidden="1">{#N/A,#N/A,FALSE,"조골재"}</definedName>
    <definedName name="ㅓㅓㅓㅓ" localSheetId="17" hidden="1">{#N/A,#N/A,FALSE,"조골재"}</definedName>
    <definedName name="ㅓㅓㅓㅓ" localSheetId="18" hidden="1">{#N/A,#N/A,FALSE,"조골재"}</definedName>
    <definedName name="ㅓㅓㅓㅓ" hidden="1">{#N/A,#N/A,FALSE,"조골재"}</definedName>
    <definedName name="ㅕ겨겨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겨겨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겨겨" localSheetId="2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겨겨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겨겨" localSheetId="3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겨겨" localSheetId="2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겨겨" localSheetId="2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겨겨" localSheetId="2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겨겨" localSheetId="3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겨겨" localSheetId="3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겨겨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겨겨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겨겨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2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3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2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2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2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3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3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localSheetId="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localSheetId="2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localSheetId="3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localSheetId="2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localSheetId="2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localSheetId="2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localSheetId="3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localSheetId="3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localSheetId="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ㅠ" localSheetId="20" hidden="1">{#N/A,#N/A,FALSE,"포장2"}</definedName>
    <definedName name="ㅠㅠ" localSheetId="19" hidden="1">{#N/A,#N/A,FALSE,"포장2"}</definedName>
    <definedName name="ㅠㅠ" localSheetId="26" hidden="1">{#N/A,#N/A,FALSE,"포장2"}</definedName>
    <definedName name="ㅠㅠ" localSheetId="24" hidden="1">{#N/A,#N/A,FALSE,"포장2"}</definedName>
    <definedName name="ㅠㅠ" localSheetId="32" hidden="1">{#N/A,#N/A,FALSE,"포장2"}</definedName>
    <definedName name="ㅠㅠ" localSheetId="27" hidden="1">{#N/A,#N/A,FALSE,"포장2"}</definedName>
    <definedName name="ㅠㅠ" localSheetId="28" hidden="1">{#N/A,#N/A,FALSE,"포장2"}</definedName>
    <definedName name="ㅠㅠ" localSheetId="29" hidden="1">{#N/A,#N/A,FALSE,"포장2"}</definedName>
    <definedName name="ㅠㅠ" localSheetId="31" hidden="1">{#N/A,#N/A,FALSE,"포장2"}</definedName>
    <definedName name="ㅠㅠ" localSheetId="30" hidden="1">{#N/A,#N/A,FALSE,"포장2"}</definedName>
    <definedName name="ㅠㅠ" localSheetId="17" hidden="1">{#N/A,#N/A,FALSE,"포장2"}</definedName>
    <definedName name="ㅠㅠ" localSheetId="18" hidden="1">{#N/A,#N/A,FALSE,"포장2"}</definedName>
    <definedName name="ㅠㅠ" hidden="1">{#N/A,#N/A,FALSE,"포장2"}</definedName>
    <definedName name="ㅠㅠㅠ" localSheetId="20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ㅠㅠㅠ" localSheetId="19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ㅠㅠㅠ" localSheetId="26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ㅠㅠㅠ" localSheetId="24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ㅠㅠㅠ" localSheetId="32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ㅠㅠㅠ" localSheetId="27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ㅠㅠㅠ" localSheetId="28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ㅠㅠㅠ" localSheetId="29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ㅠㅠㅠ" localSheetId="31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ㅠㅠㅠ" localSheetId="30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ㅠㅠㅠ" localSheetId="17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ㅠㅠㅠ" localSheetId="18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ㅠㅠㅠ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ㅣㅑㅑ" localSheetId="20" hidden="1">{#N/A,#N/A,FALSE,"단가표지"}</definedName>
    <definedName name="ㅣㅑㅑ" localSheetId="19" hidden="1">{#N/A,#N/A,FALSE,"단가표지"}</definedName>
    <definedName name="ㅣㅑㅑ" localSheetId="26" hidden="1">{#N/A,#N/A,FALSE,"단가표지"}</definedName>
    <definedName name="ㅣㅑㅑ" localSheetId="24" hidden="1">{#N/A,#N/A,FALSE,"단가표지"}</definedName>
    <definedName name="ㅣㅑㅑ" localSheetId="32" hidden="1">{#N/A,#N/A,FALSE,"단가표지"}</definedName>
    <definedName name="ㅣㅑㅑ" localSheetId="27" hidden="1">{#N/A,#N/A,FALSE,"단가표지"}</definedName>
    <definedName name="ㅣㅑㅑ" localSheetId="28" hidden="1">{#N/A,#N/A,FALSE,"단가표지"}</definedName>
    <definedName name="ㅣㅑㅑ" localSheetId="29" hidden="1">{#N/A,#N/A,FALSE,"단가표지"}</definedName>
    <definedName name="ㅣㅑㅑ" localSheetId="31" hidden="1">{#N/A,#N/A,FALSE,"단가표지"}</definedName>
    <definedName name="ㅣㅑㅑ" localSheetId="30" hidden="1">{#N/A,#N/A,FALSE,"단가표지"}</definedName>
    <definedName name="ㅣㅑㅑ" localSheetId="17" hidden="1">{#N/A,#N/A,FALSE,"단가표지"}</definedName>
    <definedName name="ㅣㅑㅑ" localSheetId="18" hidden="1">{#N/A,#N/A,FALSE,"단가표지"}</definedName>
    <definedName name="ㅣㅑㅑ" hidden="1">{#N/A,#N/A,FALSE,"단가표지"}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19" i="23" l="1"/>
  <c r="U33" i="7"/>
  <c r="Y720" i="7"/>
  <c r="B14" i="4" l="1"/>
  <c r="A5" i="4" l="1"/>
  <c r="O1346" i="7"/>
  <c r="E49" i="45" l="1"/>
  <c r="D37" i="8" l="1"/>
  <c r="W88" i="7" l="1"/>
  <c r="E244" i="45"/>
  <c r="E243" i="45"/>
  <c r="N243" i="45" s="1"/>
  <c r="N244" i="45"/>
  <c r="E86" i="45"/>
  <c r="D86" i="45"/>
  <c r="L78" i="45"/>
  <c r="L79" i="45" s="1"/>
  <c r="I78" i="45"/>
  <c r="I79" i="45" s="1"/>
  <c r="C78" i="45"/>
  <c r="C79" i="45" s="1"/>
  <c r="M72" i="45"/>
  <c r="M79" i="45" s="1"/>
  <c r="M86" i="45" s="1"/>
  <c r="F72" i="45"/>
  <c r="M71" i="45"/>
  <c r="M78" i="45" s="1"/>
  <c r="M85" i="45" s="1"/>
  <c r="L71" i="45"/>
  <c r="L72" i="45" s="1"/>
  <c r="H65" i="45"/>
  <c r="E65" i="45"/>
  <c r="C65" i="45"/>
  <c r="C72" i="45" s="1"/>
  <c r="F79" i="45" s="1"/>
  <c r="C64" i="45"/>
  <c r="N64" i="45" s="1"/>
  <c r="C56" i="45"/>
  <c r="N56" i="45" s="1"/>
  <c r="C55" i="45"/>
  <c r="N55" i="45" s="1"/>
  <c r="L58" i="45"/>
  <c r="E48" i="45"/>
  <c r="N39" i="45"/>
  <c r="N42" i="45"/>
  <c r="D26" i="45"/>
  <c r="D27" i="45" s="1"/>
  <c r="F4329" i="42"/>
  <c r="H4329" i="42"/>
  <c r="G4329" i="42"/>
  <c r="D4334" i="42"/>
  <c r="G4326" i="42"/>
  <c r="F4326" i="42"/>
  <c r="F4325" i="42"/>
  <c r="G4325" i="42" s="1"/>
  <c r="G4324" i="42"/>
  <c r="F4324" i="42"/>
  <c r="F4323" i="42"/>
  <c r="G4323" i="42" s="1"/>
  <c r="M34" i="4"/>
  <c r="M33" i="4"/>
  <c r="M14" i="4"/>
  <c r="M19" i="4" s="1"/>
  <c r="M13" i="4"/>
  <c r="P244" i="45" l="1"/>
  <c r="C71" i="45"/>
  <c r="F78" i="45" s="1"/>
  <c r="C86" i="45"/>
  <c r="N86" i="45" s="1"/>
  <c r="N79" i="45"/>
  <c r="N72" i="45"/>
  <c r="N65" i="45"/>
  <c r="N66" i="45" s="1"/>
  <c r="P66" i="45" s="1"/>
  <c r="N57" i="45"/>
  <c r="F58" i="45" s="1"/>
  <c r="N58" i="45" s="1"/>
  <c r="P58" i="45" s="1"/>
  <c r="G4332" i="42"/>
  <c r="G4327" i="42"/>
  <c r="M31" i="4"/>
  <c r="M27" i="4"/>
  <c r="M23" i="4"/>
  <c r="M30" i="4"/>
  <c r="M35" i="4" s="1"/>
  <c r="M36" i="4" s="1"/>
  <c r="M26" i="4"/>
  <c r="M22" i="4"/>
  <c r="M29" i="4"/>
  <c r="M25" i="4"/>
  <c r="M21" i="4"/>
  <c r="M28" i="4"/>
  <c r="M24" i="4"/>
  <c r="M16" i="4"/>
  <c r="M20" i="4"/>
  <c r="M17" i="4"/>
  <c r="M18" i="4"/>
  <c r="M15" i="4"/>
  <c r="N71" i="45" l="1"/>
  <c r="N73" i="45" s="1"/>
  <c r="P73" i="45" s="1"/>
  <c r="N78" i="45"/>
  <c r="N80" i="45" s="1"/>
  <c r="P80" i="45" s="1"/>
  <c r="C85" i="45"/>
  <c r="N85" i="45" s="1"/>
  <c r="N87" i="45" s="1"/>
  <c r="P87" i="45" s="1"/>
  <c r="G4333" i="42"/>
  <c r="G4334" i="42" l="1"/>
  <c r="G4335" i="42" s="1"/>
  <c r="I4329" i="42" l="1"/>
  <c r="I4332" i="42" s="1"/>
  <c r="I4325" i="42"/>
  <c r="I4326" i="42"/>
  <c r="D252" i="41"/>
  <c r="L88" i="7" s="1"/>
  <c r="I4323" i="42"/>
  <c r="I4324" i="42"/>
  <c r="Q88" i="7" l="1"/>
  <c r="Y88" i="7"/>
  <c r="I4327" i="42"/>
  <c r="I4333" i="42" s="1"/>
  <c r="E252" i="41" s="1"/>
  <c r="W1316" i="7" l="1"/>
  <c r="Y1316" i="7" s="1"/>
  <c r="W1321" i="7"/>
  <c r="Y1321" i="7" s="1"/>
  <c r="W1291" i="7"/>
  <c r="Y1291" i="7" s="1"/>
  <c r="W1295" i="7"/>
  <c r="Y1295" i="7" s="1"/>
  <c r="W1301" i="7"/>
  <c r="Y1301" i="7" s="1"/>
  <c r="Y133" i="7"/>
  <c r="Y134" i="7"/>
  <c r="Y139" i="7"/>
  <c r="Y112" i="7"/>
  <c r="Y118" i="7"/>
  <c r="Y123" i="7"/>
  <c r="Y128" i="7"/>
  <c r="Y107" i="7"/>
  <c r="N15" i="23"/>
  <c r="N13" i="23"/>
  <c r="N11" i="23"/>
  <c r="N10" i="23"/>
  <c r="C9" i="23"/>
  <c r="N9" i="23" s="1"/>
  <c r="Y1089" i="7"/>
  <c r="Y1101" i="7"/>
  <c r="Y1102" i="7"/>
  <c r="Y1103" i="7"/>
  <c r="Y1104" i="7"/>
  <c r="Y1105" i="7"/>
  <c r="Y1106" i="7"/>
  <c r="Y1107" i="7"/>
  <c r="Y1108" i="7"/>
  <c r="Y1109" i="7"/>
  <c r="Y1110" i="7"/>
  <c r="Y1111" i="7"/>
  <c r="Y1112" i="7"/>
  <c r="Y1113" i="7"/>
  <c r="Y1114" i="7"/>
  <c r="Y1115" i="7"/>
  <c r="Y1116" i="7"/>
  <c r="Y1117" i="7"/>
  <c r="Y1118" i="7"/>
  <c r="Y1119" i="7"/>
  <c r="Y1120" i="7"/>
  <c r="Y1121" i="7"/>
  <c r="Y1122" i="7"/>
  <c r="Y1123" i="7"/>
  <c r="Y1124" i="7"/>
  <c r="Y1125" i="7"/>
  <c r="Y1126" i="7"/>
  <c r="Y1127" i="7"/>
  <c r="Y1128" i="7"/>
  <c r="Y1129" i="7"/>
  <c r="Y1130" i="7"/>
  <c r="Y1131" i="7"/>
  <c r="Y1132" i="7"/>
  <c r="Y1133" i="7"/>
  <c r="Y1134" i="7"/>
  <c r="Y1135" i="7"/>
  <c r="Y1136" i="7"/>
  <c r="Y1137" i="7"/>
  <c r="Y1138" i="7"/>
  <c r="Y1139" i="7"/>
  <c r="Y1140" i="7"/>
  <c r="Y1141" i="7"/>
  <c r="Y1142" i="7"/>
  <c r="Y1143" i="7"/>
  <c r="Y1144" i="7"/>
  <c r="Y1145" i="7"/>
  <c r="Y1146" i="7"/>
  <c r="Y1147" i="7"/>
  <c r="Y1148" i="7"/>
  <c r="Y1149" i="7"/>
  <c r="Y1150" i="7"/>
  <c r="Y1151" i="7"/>
  <c r="Y1152" i="7"/>
  <c r="Y1153" i="7"/>
  <c r="Y1154" i="7"/>
  <c r="Y1155" i="7"/>
  <c r="Y1156" i="7"/>
  <c r="Y1157" i="7"/>
  <c r="Y1158" i="7"/>
  <c r="Y1159" i="7"/>
  <c r="Y1160" i="7"/>
  <c r="Y1161" i="7"/>
  <c r="Y1162" i="7"/>
  <c r="Y1163" i="7"/>
  <c r="Y1164" i="7"/>
  <c r="Y1165" i="7"/>
  <c r="Y1166" i="7"/>
  <c r="Y1167" i="7"/>
  <c r="Y1168" i="7"/>
  <c r="Y1169" i="7"/>
  <c r="Y1170" i="7"/>
  <c r="Y1171" i="7"/>
  <c r="Y1172" i="7"/>
  <c r="Y1173" i="7"/>
  <c r="Y1174" i="7"/>
  <c r="Y1175" i="7"/>
  <c r="Y1176" i="7"/>
  <c r="Y1177" i="7"/>
  <c r="Y1178" i="7"/>
  <c r="Y1179" i="7"/>
  <c r="Y1180" i="7"/>
  <c r="Y1181" i="7"/>
  <c r="Y1182" i="7"/>
  <c r="Y1183" i="7"/>
  <c r="Y1184" i="7"/>
  <c r="Y1185" i="7"/>
  <c r="Y1186" i="7"/>
  <c r="Y1187" i="7"/>
  <c r="Y1188" i="7"/>
  <c r="Y1189" i="7"/>
  <c r="Y1190" i="7"/>
  <c r="Y1191" i="7"/>
  <c r="Y1192" i="7"/>
  <c r="Y1193" i="7"/>
  <c r="Y1194" i="7"/>
  <c r="Y1195" i="7"/>
  <c r="Y1196" i="7"/>
  <c r="Y1197" i="7"/>
  <c r="Y1198" i="7"/>
  <c r="Y1199" i="7"/>
  <c r="Y1200" i="7"/>
  <c r="Y1201" i="7"/>
  <c r="Y1202" i="7"/>
  <c r="Y1203" i="7"/>
  <c r="Y1204" i="7"/>
  <c r="Y1205" i="7"/>
  <c r="Y1206" i="7"/>
  <c r="Y1207" i="7"/>
  <c r="Y1208" i="7"/>
  <c r="Y1209" i="7"/>
  <c r="Y1210" i="7"/>
  <c r="Y1211" i="7"/>
  <c r="Y1212" i="7"/>
  <c r="Y1213" i="7"/>
  <c r="Y1214" i="7"/>
  <c r="Y1215" i="7"/>
  <c r="Y1216" i="7"/>
  <c r="Y1217" i="7"/>
  <c r="Y1218" i="7"/>
  <c r="Y1219" i="7"/>
  <c r="Y1220" i="7"/>
  <c r="Y1221" i="7"/>
  <c r="Y1222" i="7"/>
  <c r="Y1223" i="7"/>
  <c r="Y1224" i="7"/>
  <c r="Y1225" i="7"/>
  <c r="Y1226" i="7"/>
  <c r="Y1227" i="7"/>
  <c r="Y1228" i="7"/>
  <c r="Y1229" i="7"/>
  <c r="Y1230" i="7"/>
  <c r="Y1231" i="7"/>
  <c r="Y1232" i="7"/>
  <c r="Y1233" i="7"/>
  <c r="Y1234" i="7"/>
  <c r="Y1235" i="7"/>
  <c r="Y1236" i="7"/>
  <c r="Y1237" i="7"/>
  <c r="Y1238" i="7"/>
  <c r="Y1239" i="7"/>
  <c r="Y1240" i="7"/>
  <c r="Y1241" i="7"/>
  <c r="Y1242" i="7"/>
  <c r="Y1243" i="7"/>
  <c r="Y1244" i="7"/>
  <c r="Y1245" i="7"/>
  <c r="Y1246" i="7"/>
  <c r="Y1247" i="7"/>
  <c r="Y1248" i="7"/>
  <c r="Y1249" i="7"/>
  <c r="Y1250" i="7"/>
  <c r="Y1251" i="7"/>
  <c r="Y1252" i="7"/>
  <c r="Y1253" i="7"/>
  <c r="Y1254" i="7"/>
  <c r="Y1255" i="7"/>
  <c r="Y1256" i="7"/>
  <c r="Y1257" i="7"/>
  <c r="Y1258" i="7"/>
  <c r="Y1259" i="7"/>
  <c r="Y1260" i="7"/>
  <c r="Y1261" i="7"/>
  <c r="Y1262" i="7"/>
  <c r="Y1263" i="7"/>
  <c r="Y1264" i="7"/>
  <c r="Y1265" i="7"/>
  <c r="Y1266" i="7"/>
  <c r="Y1267" i="7"/>
  <c r="Y1268" i="7"/>
  <c r="Y1269" i="7"/>
  <c r="Y1270" i="7"/>
  <c r="Y1271" i="7"/>
  <c r="Y1272" i="7"/>
  <c r="Y1273" i="7"/>
  <c r="Y1274" i="7"/>
  <c r="Y1275" i="7"/>
  <c r="Y1276" i="7"/>
  <c r="Y1277" i="7"/>
  <c r="Y1278" i="7"/>
  <c r="Y1279" i="7"/>
  <c r="Y1280" i="7"/>
  <c r="Y1281" i="7"/>
  <c r="Y1329" i="7"/>
  <c r="Y1338" i="7"/>
  <c r="Y1345" i="7"/>
  <c r="Y145" i="7"/>
  <c r="Y170" i="7"/>
  <c r="Y181" i="7"/>
  <c r="Y182" i="7"/>
  <c r="Y183" i="7"/>
  <c r="Y184" i="7"/>
  <c r="Y185" i="7"/>
  <c r="Y186" i="7"/>
  <c r="Y187" i="7"/>
  <c r="Y188" i="7"/>
  <c r="Y189" i="7"/>
  <c r="Y190" i="7"/>
  <c r="Y191" i="7"/>
  <c r="Y192" i="7"/>
  <c r="Y193" i="7"/>
  <c r="Y194" i="7"/>
  <c r="Y195" i="7"/>
  <c r="Y196" i="7"/>
  <c r="Y197" i="7"/>
  <c r="Y198" i="7"/>
  <c r="Y199" i="7"/>
  <c r="Y200" i="7"/>
  <c r="Y201" i="7"/>
  <c r="Y202" i="7"/>
  <c r="Y203" i="7"/>
  <c r="Y204" i="7"/>
  <c r="Y205" i="7"/>
  <c r="Y206" i="7"/>
  <c r="Y207" i="7"/>
  <c r="Y208" i="7"/>
  <c r="Y209" i="7"/>
  <c r="Y210" i="7"/>
  <c r="Y211" i="7"/>
  <c r="Y212" i="7"/>
  <c r="Y213" i="7"/>
  <c r="Y214" i="7"/>
  <c r="Y215" i="7"/>
  <c r="Y216" i="7"/>
  <c r="Y217" i="7"/>
  <c r="Y218" i="7"/>
  <c r="Y219" i="7"/>
  <c r="Y220" i="7"/>
  <c r="Y221" i="7"/>
  <c r="Y222" i="7"/>
  <c r="Y223" i="7"/>
  <c r="Y224" i="7"/>
  <c r="Y225" i="7"/>
  <c r="Y226" i="7"/>
  <c r="Y227" i="7"/>
  <c r="Y228" i="7"/>
  <c r="Y229" i="7"/>
  <c r="Y230" i="7"/>
  <c r="Y231" i="7"/>
  <c r="Y232" i="7"/>
  <c r="Y233" i="7"/>
  <c r="Y272" i="7"/>
  <c r="Y310" i="7"/>
  <c r="Y311" i="7"/>
  <c r="Y312" i="7"/>
  <c r="Y313" i="7"/>
  <c r="Y314" i="7"/>
  <c r="Y315" i="7"/>
  <c r="Y316" i="7"/>
  <c r="Y317" i="7"/>
  <c r="Y318" i="7"/>
  <c r="Y319" i="7"/>
  <c r="Y320" i="7"/>
  <c r="Y321" i="7"/>
  <c r="Y322" i="7"/>
  <c r="Y323" i="7"/>
  <c r="Y324" i="7"/>
  <c r="Y325" i="7"/>
  <c r="Y326" i="7"/>
  <c r="Y327" i="7"/>
  <c r="Y328" i="7"/>
  <c r="Y329" i="7"/>
  <c r="Y330" i="7"/>
  <c r="Y331" i="7"/>
  <c r="Y332" i="7"/>
  <c r="Y333" i="7"/>
  <c r="Y334" i="7"/>
  <c r="Y335" i="7"/>
  <c r="Y336" i="7"/>
  <c r="Y337" i="7"/>
  <c r="Y338" i="7"/>
  <c r="Y339" i="7"/>
  <c r="Y340" i="7"/>
  <c r="Y341" i="7"/>
  <c r="Y342" i="7"/>
  <c r="Y343" i="7"/>
  <c r="Y344" i="7"/>
  <c r="Y345" i="7"/>
  <c r="Y346" i="7"/>
  <c r="Y347" i="7"/>
  <c r="Y348" i="7"/>
  <c r="Y349" i="7"/>
  <c r="Y350" i="7"/>
  <c r="Y351" i="7"/>
  <c r="Y352" i="7"/>
  <c r="Y353" i="7"/>
  <c r="Y354" i="7"/>
  <c r="Y355" i="7"/>
  <c r="Y356" i="7"/>
  <c r="Y357" i="7"/>
  <c r="Y358" i="7"/>
  <c r="Y359" i="7"/>
  <c r="Y360" i="7"/>
  <c r="Y361" i="7"/>
  <c r="Y362" i="7"/>
  <c r="Y363" i="7"/>
  <c r="Y364" i="7"/>
  <c r="Y365" i="7"/>
  <c r="Y366" i="7"/>
  <c r="Y367" i="7"/>
  <c r="Y368" i="7"/>
  <c r="Y369" i="7"/>
  <c r="Y370" i="7"/>
  <c r="Y371" i="7"/>
  <c r="Y372" i="7"/>
  <c r="Y373" i="7"/>
  <c r="Y374" i="7"/>
  <c r="Y375" i="7"/>
  <c r="Y376" i="7"/>
  <c r="Y377" i="7"/>
  <c r="Y378" i="7"/>
  <c r="Y379" i="7"/>
  <c r="Y380" i="7"/>
  <c r="Y381" i="7"/>
  <c r="Y382" i="7"/>
  <c r="Y383" i="7"/>
  <c r="Y384" i="7"/>
  <c r="Y385" i="7"/>
  <c r="Y386" i="7"/>
  <c r="Y387" i="7"/>
  <c r="Y388" i="7"/>
  <c r="Y389" i="7"/>
  <c r="Y390" i="7"/>
  <c r="Y391" i="7"/>
  <c r="Y392" i="7"/>
  <c r="Y393" i="7"/>
  <c r="Y394" i="7"/>
  <c r="Y395" i="7"/>
  <c r="Y396" i="7"/>
  <c r="Y397" i="7"/>
  <c r="Y398" i="7"/>
  <c r="Y399" i="7"/>
  <c r="Y400" i="7"/>
  <c r="Y401" i="7"/>
  <c r="Y402" i="7"/>
  <c r="Y403" i="7"/>
  <c r="Y404" i="7"/>
  <c r="Y405" i="7"/>
  <c r="Y406" i="7"/>
  <c r="Y407" i="7"/>
  <c r="Y408" i="7"/>
  <c r="Y409" i="7"/>
  <c r="Y410" i="7"/>
  <c r="Y411" i="7"/>
  <c r="Y412" i="7"/>
  <c r="Y413" i="7"/>
  <c r="Y414" i="7"/>
  <c r="Y415" i="7"/>
  <c r="Y416" i="7"/>
  <c r="Y417" i="7"/>
  <c r="Y418" i="7"/>
  <c r="Y419" i="7"/>
  <c r="Y489" i="7"/>
  <c r="Y531" i="7"/>
  <c r="Y573" i="7"/>
  <c r="Y574" i="7"/>
  <c r="Y575" i="7"/>
  <c r="Y576" i="7"/>
  <c r="Y577" i="7"/>
  <c r="Y578" i="7"/>
  <c r="Y579" i="7"/>
  <c r="Y580" i="7"/>
  <c r="Y581" i="7"/>
  <c r="Y582" i="7"/>
  <c r="Y583" i="7"/>
  <c r="Y584" i="7"/>
  <c r="Y585" i="7"/>
  <c r="Y586" i="7"/>
  <c r="Y587" i="7"/>
  <c r="Y588" i="7"/>
  <c r="Y589" i="7"/>
  <c r="Y590" i="7"/>
  <c r="Y591" i="7"/>
  <c r="Y592" i="7"/>
  <c r="Y593" i="7"/>
  <c r="Y594" i="7"/>
  <c r="Y595" i="7"/>
  <c r="Y596" i="7"/>
  <c r="Y597" i="7"/>
  <c r="Y598" i="7"/>
  <c r="Y599" i="7"/>
  <c r="Y600" i="7"/>
  <c r="Y601" i="7"/>
  <c r="Y602" i="7"/>
  <c r="Y603" i="7"/>
  <c r="Y604" i="7"/>
  <c r="Y605" i="7"/>
  <c r="Y606" i="7"/>
  <c r="Y607" i="7"/>
  <c r="Y608" i="7"/>
  <c r="Y609" i="7"/>
  <c r="Y610" i="7"/>
  <c r="Y611" i="7"/>
  <c r="Y612" i="7"/>
  <c r="Y613" i="7"/>
  <c r="Y614" i="7"/>
  <c r="Y615" i="7"/>
  <c r="Y616" i="7"/>
  <c r="Y617" i="7"/>
  <c r="Y618" i="7"/>
  <c r="Y619" i="7"/>
  <c r="Y620" i="7"/>
  <c r="Y621" i="7"/>
  <c r="Y622" i="7"/>
  <c r="Y623" i="7"/>
  <c r="Y624" i="7"/>
  <c r="Y625" i="7"/>
  <c r="Y626" i="7"/>
  <c r="Y627" i="7"/>
  <c r="Y628" i="7"/>
  <c r="Y629" i="7"/>
  <c r="Y630" i="7"/>
  <c r="Y631" i="7"/>
  <c r="Y632" i="7"/>
  <c r="Y633" i="7"/>
  <c r="Y634" i="7"/>
  <c r="Y635" i="7"/>
  <c r="Y636" i="7"/>
  <c r="Y637" i="7"/>
  <c r="Y638" i="7"/>
  <c r="Y639" i="7"/>
  <c r="Y640" i="7"/>
  <c r="Y641" i="7"/>
  <c r="Y642" i="7"/>
  <c r="Y643" i="7"/>
  <c r="Y644" i="7"/>
  <c r="Y645" i="7"/>
  <c r="Y646" i="7"/>
  <c r="Y647" i="7"/>
  <c r="Y648" i="7"/>
  <c r="Y649" i="7"/>
  <c r="Y650" i="7"/>
  <c r="Y651" i="7"/>
  <c r="Y652" i="7"/>
  <c r="Y653" i="7"/>
  <c r="Y654" i="7"/>
  <c r="Y655" i="7"/>
  <c r="Y656" i="7"/>
  <c r="Y657" i="7"/>
  <c r="Y658" i="7"/>
  <c r="Y659" i="7"/>
  <c r="Y660" i="7"/>
  <c r="Y661" i="7"/>
  <c r="Y662" i="7"/>
  <c r="Y663" i="7"/>
  <c r="Y664" i="7"/>
  <c r="Y665" i="7"/>
  <c r="Y666" i="7"/>
  <c r="Y667" i="7"/>
  <c r="Y668" i="7"/>
  <c r="Y669" i="7"/>
  <c r="Y670" i="7"/>
  <c r="Y671" i="7"/>
  <c r="Y672" i="7"/>
  <c r="Y673" i="7"/>
  <c r="Y674" i="7"/>
  <c r="Y675" i="7"/>
  <c r="Y676" i="7"/>
  <c r="Y677" i="7"/>
  <c r="Y678" i="7"/>
  <c r="Y679" i="7"/>
  <c r="Y680" i="7"/>
  <c r="Y681" i="7"/>
  <c r="Y682" i="7"/>
  <c r="Y683" i="7"/>
  <c r="Y684" i="7"/>
  <c r="Y685" i="7"/>
  <c r="Y686" i="7"/>
  <c r="Y687" i="7"/>
  <c r="Y688" i="7"/>
  <c r="Y689" i="7"/>
  <c r="Y690" i="7"/>
  <c r="Y691" i="7"/>
  <c r="Y692" i="7"/>
  <c r="Y693" i="7"/>
  <c r="Y694" i="7"/>
  <c r="Y695" i="7"/>
  <c r="Y696" i="7"/>
  <c r="Y697" i="7"/>
  <c r="Y698" i="7"/>
  <c r="Y699" i="7"/>
  <c r="Y700" i="7"/>
  <c r="Y701" i="7"/>
  <c r="Y702" i="7"/>
  <c r="Y703" i="7"/>
  <c r="Y704" i="7"/>
  <c r="Y705" i="7"/>
  <c r="Y706" i="7"/>
  <c r="Y707" i="7"/>
  <c r="Y708" i="7"/>
  <c r="Y709" i="7"/>
  <c r="Y710" i="7"/>
  <c r="Y711" i="7"/>
  <c r="Y712" i="7"/>
  <c r="Y713" i="7"/>
  <c r="Y714" i="7"/>
  <c r="Y715" i="7"/>
  <c r="Y716" i="7"/>
  <c r="Y717" i="7"/>
  <c r="Y718" i="7"/>
  <c r="Y719" i="7"/>
  <c r="Y721" i="7"/>
  <c r="Y722" i="7"/>
  <c r="Y723" i="7"/>
  <c r="Y724" i="7"/>
  <c r="Y725" i="7"/>
  <c r="Y726" i="7"/>
  <c r="Y727" i="7"/>
  <c r="Y728" i="7"/>
  <c r="Y729" i="7"/>
  <c r="Y730" i="7"/>
  <c r="Y731" i="7"/>
  <c r="Y732" i="7"/>
  <c r="Y733" i="7"/>
  <c r="Y734" i="7"/>
  <c r="Y735" i="7"/>
  <c r="Y736" i="7"/>
  <c r="Y737" i="7"/>
  <c r="Y738" i="7"/>
  <c r="Y739" i="7"/>
  <c r="Y740" i="7"/>
  <c r="Y741" i="7"/>
  <c r="Y742" i="7"/>
  <c r="Y743" i="7"/>
  <c r="Y744" i="7"/>
  <c r="Y745" i="7"/>
  <c r="Y746" i="7"/>
  <c r="Y747" i="7"/>
  <c r="Y748" i="7"/>
  <c r="Y749" i="7"/>
  <c r="Y750" i="7"/>
  <c r="Y751" i="7"/>
  <c r="Y752" i="7"/>
  <c r="Y753" i="7"/>
  <c r="Y754" i="7"/>
  <c r="Y755" i="7"/>
  <c r="Y756" i="7"/>
  <c r="Y757" i="7"/>
  <c r="Y758" i="7"/>
  <c r="Y759" i="7"/>
  <c r="Y760" i="7"/>
  <c r="Y761" i="7"/>
  <c r="Y762" i="7"/>
  <c r="Y763" i="7"/>
  <c r="Y764" i="7"/>
  <c r="Y765" i="7"/>
  <c r="Y766" i="7"/>
  <c r="Y767" i="7"/>
  <c r="Y768" i="7"/>
  <c r="Y769" i="7"/>
  <c r="Y770" i="7"/>
  <c r="Y771" i="7"/>
  <c r="Y772" i="7"/>
  <c r="Y773" i="7"/>
  <c r="Y774" i="7"/>
  <c r="Y776" i="7"/>
  <c r="Y777" i="7"/>
  <c r="Y778" i="7"/>
  <c r="Y779" i="7"/>
  <c r="Y780" i="7"/>
  <c r="Y781" i="7"/>
  <c r="Y783" i="7"/>
  <c r="Y784" i="7"/>
  <c r="Y785" i="7"/>
  <c r="Y786" i="7"/>
  <c r="Y787" i="7"/>
  <c r="Y788" i="7"/>
  <c r="Y790" i="7"/>
  <c r="Y791" i="7"/>
  <c r="Y792" i="7"/>
  <c r="Y793" i="7"/>
  <c r="Y794" i="7"/>
  <c r="Y795" i="7"/>
  <c r="Y796" i="7"/>
  <c r="Y797" i="7"/>
  <c r="Y798" i="7"/>
  <c r="Y799" i="7"/>
  <c r="Y800" i="7"/>
  <c r="Y801" i="7"/>
  <c r="Y802" i="7"/>
  <c r="Y803" i="7"/>
  <c r="Y804" i="7"/>
  <c r="Y805" i="7"/>
  <c r="Y806" i="7"/>
  <c r="Y807" i="7"/>
  <c r="Y808" i="7"/>
  <c r="Y809" i="7"/>
  <c r="Y810" i="7"/>
  <c r="Y811" i="7"/>
  <c r="Y812" i="7"/>
  <c r="Y813" i="7"/>
  <c r="Y814" i="7"/>
  <c r="Y815" i="7"/>
  <c r="Y816" i="7"/>
  <c r="Y817" i="7"/>
  <c r="Y818" i="7"/>
  <c r="Y819" i="7"/>
  <c r="Y820" i="7"/>
  <c r="Y821" i="7"/>
  <c r="Y822" i="7"/>
  <c r="Y823" i="7"/>
  <c r="Y824" i="7"/>
  <c r="Y825" i="7"/>
  <c r="Y826" i="7"/>
  <c r="Y827" i="7"/>
  <c r="Y828" i="7"/>
  <c r="Y829" i="7"/>
  <c r="Y830" i="7"/>
  <c r="Y831" i="7"/>
  <c r="Y832" i="7"/>
  <c r="Y833" i="7"/>
  <c r="Y834" i="7"/>
  <c r="Y835" i="7"/>
  <c r="Y836" i="7"/>
  <c r="Y837" i="7"/>
  <c r="Y838" i="7"/>
  <c r="Y839" i="7"/>
  <c r="Y840" i="7"/>
  <c r="Y841" i="7"/>
  <c r="Y842" i="7"/>
  <c r="Y843" i="7"/>
  <c r="Y844" i="7"/>
  <c r="Y845" i="7"/>
  <c r="Y846" i="7"/>
  <c r="Y847" i="7"/>
  <c r="Y848" i="7"/>
  <c r="Y849" i="7"/>
  <c r="Y850" i="7"/>
  <c r="Y851" i="7"/>
  <c r="Y852" i="7"/>
  <c r="Y853" i="7"/>
  <c r="Y854" i="7"/>
  <c r="Y855" i="7"/>
  <c r="Y856" i="7"/>
  <c r="Y857" i="7"/>
  <c r="Y858" i="7"/>
  <c r="Y859" i="7"/>
  <c r="Y860" i="7"/>
  <c r="Y861" i="7"/>
  <c r="Y862" i="7"/>
  <c r="Y863" i="7"/>
  <c r="Y864" i="7"/>
  <c r="Y865" i="7"/>
  <c r="Y866" i="7"/>
  <c r="Y867" i="7"/>
  <c r="Y868" i="7"/>
  <c r="Y869" i="7"/>
  <c r="Y870" i="7"/>
  <c r="Y871" i="7"/>
  <c r="Y872" i="7"/>
  <c r="Y873" i="7"/>
  <c r="Y874" i="7"/>
  <c r="Y875" i="7"/>
  <c r="Y876" i="7"/>
  <c r="Y877" i="7"/>
  <c r="Y878" i="7"/>
  <c r="Y879" i="7"/>
  <c r="Y880" i="7"/>
  <c r="Y881" i="7"/>
  <c r="Y882" i="7"/>
  <c r="Y883" i="7"/>
  <c r="Y884" i="7"/>
  <c r="Y885" i="7"/>
  <c r="Y886" i="7"/>
  <c r="Y887" i="7"/>
  <c r="Y888" i="7"/>
  <c r="Y889" i="7"/>
  <c r="Y890" i="7"/>
  <c r="Y891" i="7"/>
  <c r="Y892" i="7"/>
  <c r="Y893" i="7"/>
  <c r="Y894" i="7"/>
  <c r="Y895" i="7"/>
  <c r="Y896" i="7"/>
  <c r="Y897" i="7"/>
  <c r="Y898" i="7"/>
  <c r="Y899" i="7"/>
  <c r="Y900" i="7"/>
  <c r="Y901" i="7"/>
  <c r="Y902" i="7"/>
  <c r="Y903" i="7"/>
  <c r="Y904" i="7"/>
  <c r="Y905" i="7"/>
  <c r="Y906" i="7"/>
  <c r="Y907" i="7"/>
  <c r="Y908" i="7"/>
  <c r="Y909" i="7"/>
  <c r="Y910" i="7"/>
  <c r="Y911" i="7"/>
  <c r="Y912" i="7"/>
  <c r="Y913" i="7"/>
  <c r="Y914" i="7"/>
  <c r="Y915" i="7"/>
  <c r="Y916" i="7"/>
  <c r="Y917" i="7"/>
  <c r="Y918" i="7"/>
  <c r="Y919" i="7"/>
  <c r="Y920" i="7"/>
  <c r="Y921" i="7"/>
  <c r="Y922" i="7"/>
  <c r="Y923" i="7"/>
  <c r="Y924" i="7"/>
  <c r="Y925" i="7"/>
  <c r="Y926" i="7"/>
  <c r="Y927" i="7"/>
  <c r="Y928" i="7"/>
  <c r="Y929" i="7"/>
  <c r="Y930" i="7"/>
  <c r="Y931" i="7"/>
  <c r="Y932" i="7"/>
  <c r="Y933" i="7"/>
  <c r="Y934" i="7"/>
  <c r="Y935" i="7"/>
  <c r="Y936" i="7"/>
  <c r="Y937" i="7"/>
  <c r="Y938" i="7"/>
  <c r="Y939" i="7"/>
  <c r="Y940" i="7"/>
  <c r="Y941" i="7"/>
  <c r="Y942" i="7"/>
  <c r="Y943" i="7"/>
  <c r="Y944" i="7"/>
  <c r="Y945" i="7"/>
  <c r="Y946" i="7"/>
  <c r="Y947" i="7"/>
  <c r="Y948" i="7"/>
  <c r="Y949" i="7"/>
  <c r="Y950" i="7"/>
  <c r="Y951" i="7"/>
  <c r="Y952" i="7"/>
  <c r="Y953" i="7"/>
  <c r="Y954" i="7"/>
  <c r="Y955" i="7"/>
  <c r="Y956" i="7"/>
  <c r="Y957" i="7"/>
  <c r="Y958" i="7"/>
  <c r="Y959" i="7"/>
  <c r="Y960" i="7"/>
  <c r="Y961" i="7"/>
  <c r="Y962" i="7"/>
  <c r="Y963" i="7"/>
  <c r="Y964" i="7"/>
  <c r="Y965" i="7"/>
  <c r="Y966" i="7"/>
  <c r="Y967" i="7"/>
  <c r="Y968" i="7"/>
  <c r="Y969" i="7"/>
  <c r="Y970" i="7"/>
  <c r="Y971" i="7"/>
  <c r="Y972" i="7"/>
  <c r="Y973" i="7"/>
  <c r="Y974" i="7"/>
  <c r="Y975" i="7"/>
  <c r="Y976" i="7"/>
  <c r="Y977" i="7"/>
  <c r="Y978" i="7"/>
  <c r="Y979" i="7"/>
  <c r="Y980" i="7"/>
  <c r="Y981" i="7"/>
  <c r="Y982" i="7"/>
  <c r="Y983" i="7"/>
  <c r="Y984" i="7"/>
  <c r="Y985" i="7"/>
  <c r="Y986" i="7"/>
  <c r="Y987" i="7"/>
  <c r="Y988" i="7"/>
  <c r="Y989" i="7"/>
  <c r="Y990" i="7"/>
  <c r="Y991" i="7"/>
  <c r="Y992" i="7"/>
  <c r="Y993" i="7"/>
  <c r="Y994" i="7"/>
  <c r="Y995" i="7"/>
  <c r="Y996" i="7"/>
  <c r="Y997" i="7"/>
  <c r="Y998" i="7"/>
  <c r="Y999" i="7"/>
  <c r="Y1000" i="7"/>
  <c r="Y1001" i="7"/>
  <c r="Y1002" i="7"/>
  <c r="Y1003" i="7"/>
  <c r="Y1004" i="7"/>
  <c r="Y1005" i="7"/>
  <c r="Y1006" i="7"/>
  <c r="Y1007" i="7"/>
  <c r="Y1008" i="7"/>
  <c r="Y1009" i="7"/>
  <c r="Y1010" i="7"/>
  <c r="Y1011" i="7"/>
  <c r="Y1012" i="7"/>
  <c r="Y1013" i="7"/>
  <c r="Y1014" i="7"/>
  <c r="Y1015" i="7"/>
  <c r="Y1016" i="7"/>
  <c r="Y1017" i="7"/>
  <c r="Y1018" i="7"/>
  <c r="Y1019" i="7"/>
  <c r="Y1020" i="7"/>
  <c r="Y1021" i="7"/>
  <c r="Y1040" i="7"/>
  <c r="Y1041" i="7"/>
  <c r="Y1042" i="7"/>
  <c r="Y1062" i="7"/>
  <c r="W39" i="7"/>
  <c r="Y39" i="7" s="1"/>
  <c r="W40" i="7"/>
  <c r="Y40" i="7" s="1"/>
  <c r="W41" i="7"/>
  <c r="Y41" i="7" s="1"/>
  <c r="W42" i="7"/>
  <c r="Y42" i="7" s="1"/>
  <c r="W43" i="7"/>
  <c r="Y43" i="7" s="1"/>
  <c r="W44" i="7"/>
  <c r="Y44" i="7" s="1"/>
  <c r="W45" i="7"/>
  <c r="W46" i="7"/>
  <c r="Y46" i="7" s="1"/>
  <c r="W47" i="7"/>
  <c r="Y47" i="7" s="1"/>
  <c r="W48" i="7"/>
  <c r="Y48" i="7" s="1"/>
  <c r="W49" i="7"/>
  <c r="Y49" i="7" s="1"/>
  <c r="W50" i="7"/>
  <c r="Y50" i="7" s="1"/>
  <c r="W51" i="7"/>
  <c r="Y51" i="7" s="1"/>
  <c r="W54" i="7"/>
  <c r="Y54" i="7" s="1"/>
  <c r="W55" i="7"/>
  <c r="Y55" i="7" s="1"/>
  <c r="W56" i="7"/>
  <c r="Y56" i="7" s="1"/>
  <c r="W57" i="7"/>
  <c r="Y57" i="7" s="1"/>
  <c r="W58" i="7"/>
  <c r="Y58" i="7" s="1"/>
  <c r="W59" i="7"/>
  <c r="Y59" i="7" s="1"/>
  <c r="W60" i="7"/>
  <c r="Y60" i="7" s="1"/>
  <c r="W61" i="7"/>
  <c r="Y61" i="7" s="1"/>
  <c r="W62" i="7"/>
  <c r="Y62" i="7" s="1"/>
  <c r="W63" i="7"/>
  <c r="Y63" i="7" s="1"/>
  <c r="W64" i="7"/>
  <c r="Y64" i="7" s="1"/>
  <c r="W65" i="7"/>
  <c r="Y65" i="7" s="1"/>
  <c r="W66" i="7"/>
  <c r="Y66" i="7" s="1"/>
  <c r="W67" i="7"/>
  <c r="Y67" i="7" s="1"/>
  <c r="W68" i="7"/>
  <c r="Y68" i="7" s="1"/>
  <c r="W70" i="7"/>
  <c r="Y70" i="7" s="1"/>
  <c r="W90" i="7"/>
  <c r="W91" i="7"/>
  <c r="W144" i="7"/>
  <c r="W145" i="7"/>
  <c r="W148" i="7"/>
  <c r="Y148" i="7" s="1"/>
  <c r="W156" i="7"/>
  <c r="Y156" i="7" s="1"/>
  <c r="W169" i="7"/>
  <c r="W170" i="7"/>
  <c r="W177" i="7"/>
  <c r="Y177" i="7" s="1"/>
  <c r="W178" i="7"/>
  <c r="Y178" i="7" s="1"/>
  <c r="W179" i="7"/>
  <c r="Y179" i="7" s="1"/>
  <c r="W180" i="7"/>
  <c r="W181" i="7"/>
  <c r="W182" i="7"/>
  <c r="W184" i="7"/>
  <c r="W193" i="7"/>
  <c r="W200" i="7"/>
  <c r="W205" i="7"/>
  <c r="W210" i="7"/>
  <c r="W218" i="7"/>
  <c r="W226" i="7"/>
  <c r="W231" i="7"/>
  <c r="W232" i="7"/>
  <c r="W233" i="7"/>
  <c r="W235" i="7"/>
  <c r="Y235" i="7" s="1"/>
  <c r="W245" i="7"/>
  <c r="Y245" i="7" s="1"/>
  <c r="W250" i="7"/>
  <c r="Y250" i="7" s="1"/>
  <c r="W258" i="7"/>
  <c r="Y258" i="7" s="1"/>
  <c r="W266" i="7"/>
  <c r="Y266" i="7" s="1"/>
  <c r="W271" i="7"/>
  <c r="W272" i="7"/>
  <c r="W278" i="7"/>
  <c r="Y278" i="7" s="1"/>
  <c r="W283" i="7"/>
  <c r="Y283" i="7" s="1"/>
  <c r="W288" i="7"/>
  <c r="Y288" i="7" s="1"/>
  <c r="W292" i="7"/>
  <c r="Y292" i="7" s="1"/>
  <c r="W296" i="7"/>
  <c r="Y296" i="7" s="1"/>
  <c r="W300" i="7"/>
  <c r="Y300" i="7" s="1"/>
  <c r="W309" i="7"/>
  <c r="W310" i="7"/>
  <c r="W318" i="7"/>
  <c r="W319" i="7"/>
  <c r="W320" i="7"/>
  <c r="W322" i="7"/>
  <c r="W330" i="7"/>
  <c r="W336" i="7"/>
  <c r="W341" i="7"/>
  <c r="W347" i="7"/>
  <c r="W352" i="7"/>
  <c r="W357" i="7"/>
  <c r="W362" i="7"/>
  <c r="W367" i="7"/>
  <c r="W372" i="7"/>
  <c r="W377" i="7"/>
  <c r="W378" i="7"/>
  <c r="W384" i="7"/>
  <c r="W392" i="7"/>
  <c r="W406" i="7"/>
  <c r="W407" i="7"/>
  <c r="W409" i="7"/>
  <c r="W410" i="7"/>
  <c r="W413" i="7"/>
  <c r="W414" i="7"/>
  <c r="W415" i="7"/>
  <c r="W416" i="7"/>
  <c r="W417" i="7"/>
  <c r="W418" i="7"/>
  <c r="W419" i="7"/>
  <c r="W421" i="7"/>
  <c r="Y421" i="7" s="1"/>
  <c r="W429" i="7"/>
  <c r="Y429" i="7" s="1"/>
  <c r="W435" i="7"/>
  <c r="Y435" i="7" s="1"/>
  <c r="W440" i="7"/>
  <c r="Y440" i="7" s="1"/>
  <c r="W445" i="7"/>
  <c r="Y445" i="7" s="1"/>
  <c r="W450" i="7"/>
  <c r="Y450" i="7" s="1"/>
  <c r="W455" i="7"/>
  <c r="Y455" i="7" s="1"/>
  <c r="W460" i="7"/>
  <c r="Y460" i="7" s="1"/>
  <c r="W465" i="7"/>
  <c r="Y465" i="7" s="1"/>
  <c r="W470" i="7"/>
  <c r="Y470" i="7" s="1"/>
  <c r="W471" i="7"/>
  <c r="Y471" i="7" s="1"/>
  <c r="W476" i="7"/>
  <c r="Y476" i="7" s="1"/>
  <c r="W481" i="7"/>
  <c r="Y481" i="7" s="1"/>
  <c r="W488" i="7"/>
  <c r="W489" i="7"/>
  <c r="W497" i="7"/>
  <c r="Y497" i="7" s="1"/>
  <c r="W500" i="7"/>
  <c r="Y500" i="7" s="1"/>
  <c r="W510" i="7"/>
  <c r="Y510" i="7" s="1"/>
  <c r="W516" i="7"/>
  <c r="Y516" i="7" s="1"/>
  <c r="W517" i="7"/>
  <c r="Y517" i="7" s="1"/>
  <c r="W530" i="7"/>
  <c r="W531" i="7"/>
  <c r="W541" i="7"/>
  <c r="Y541" i="7" s="1"/>
  <c r="W544" i="7"/>
  <c r="Y544" i="7" s="1"/>
  <c r="W549" i="7"/>
  <c r="Y549" i="7" s="1"/>
  <c r="W556" i="7"/>
  <c r="Y556" i="7" s="1"/>
  <c r="W568" i="7"/>
  <c r="Y568" i="7" s="1"/>
  <c r="W572" i="7"/>
  <c r="W573" i="7"/>
  <c r="W574" i="7"/>
  <c r="W576" i="7"/>
  <c r="W584" i="7"/>
  <c r="W590" i="7"/>
  <c r="W598" i="7"/>
  <c r="W603" i="7"/>
  <c r="W608" i="7"/>
  <c r="W613" i="7"/>
  <c r="W618" i="7"/>
  <c r="W623" i="7"/>
  <c r="W628" i="7"/>
  <c r="W633" i="7"/>
  <c r="W637" i="7"/>
  <c r="W646" i="7"/>
  <c r="W647" i="7"/>
  <c r="W654" i="7"/>
  <c r="W657" i="7"/>
  <c r="W671" i="7"/>
  <c r="W672" i="7"/>
  <c r="W681" i="7"/>
  <c r="W682" i="7"/>
  <c r="W683" i="7"/>
  <c r="W684" i="7"/>
  <c r="W685" i="7"/>
  <c r="W686" i="7"/>
  <c r="W688" i="7"/>
  <c r="W696" i="7"/>
  <c r="W702" i="7"/>
  <c r="W707" i="7"/>
  <c r="W712" i="7"/>
  <c r="W717" i="7"/>
  <c r="W722" i="7"/>
  <c r="W727" i="7"/>
  <c r="W732" i="7"/>
  <c r="W737" i="7"/>
  <c r="W742" i="7"/>
  <c r="W749" i="7"/>
  <c r="W755" i="7"/>
  <c r="W756" i="7"/>
  <c r="W760" i="7"/>
  <c r="W761" i="7"/>
  <c r="W768" i="7"/>
  <c r="W794" i="7"/>
  <c r="W812" i="7"/>
  <c r="W815" i="7"/>
  <c r="W820" i="7"/>
  <c r="W826" i="7"/>
  <c r="W842" i="7"/>
  <c r="W843" i="7"/>
  <c r="W844" i="7"/>
  <c r="W845" i="7"/>
  <c r="W846" i="7"/>
  <c r="W847" i="7"/>
  <c r="W849" i="7"/>
  <c r="W857" i="7"/>
  <c r="W863" i="7"/>
  <c r="W868" i="7"/>
  <c r="W873" i="7"/>
  <c r="W878" i="7"/>
  <c r="W883" i="7"/>
  <c r="W888" i="7"/>
  <c r="W893" i="7"/>
  <c r="W894" i="7"/>
  <c r="W902" i="7"/>
  <c r="W903" i="7"/>
  <c r="W908" i="7"/>
  <c r="W920" i="7"/>
  <c r="W921" i="7"/>
  <c r="W930" i="7"/>
  <c r="W933" i="7"/>
  <c r="W938" i="7"/>
  <c r="W945" i="7"/>
  <c r="W949" i="7"/>
  <c r="W951" i="7"/>
  <c r="W952" i="7"/>
  <c r="W953" i="7"/>
  <c r="W954" i="7"/>
  <c r="W955" i="7"/>
  <c r="W956" i="7"/>
  <c r="W957" i="7"/>
  <c r="W958" i="7"/>
  <c r="W959" i="7"/>
  <c r="W960" i="7"/>
  <c r="W961" i="7"/>
  <c r="W963" i="7"/>
  <c r="W973" i="7"/>
  <c r="W982" i="7"/>
  <c r="W990" i="7"/>
  <c r="W998" i="7"/>
  <c r="W1004" i="7"/>
  <c r="W1011" i="7"/>
  <c r="W1016" i="7"/>
  <c r="W1017" i="7"/>
  <c r="W1018" i="7"/>
  <c r="W1021" i="7"/>
  <c r="W1026" i="7"/>
  <c r="Y1026" i="7" s="1"/>
  <c r="W1028" i="7"/>
  <c r="Y1028" i="7" s="1"/>
  <c r="W1031" i="7"/>
  <c r="Y1031" i="7" s="1"/>
  <c r="W1034" i="7"/>
  <c r="Y1034" i="7" s="1"/>
  <c r="W1039" i="7"/>
  <c r="W1040" i="7"/>
  <c r="W1041" i="7"/>
  <c r="W1042" i="7"/>
  <c r="W1044" i="7"/>
  <c r="Y1044" i="7" s="1"/>
  <c r="W1051" i="7"/>
  <c r="Y1051" i="7" s="1"/>
  <c r="W1053" i="7"/>
  <c r="Y1053" i="7" s="1"/>
  <c r="W1061" i="7"/>
  <c r="W1062" i="7"/>
  <c r="W1069" i="7"/>
  <c r="W1079" i="7"/>
  <c r="Y1079" i="7" s="1"/>
  <c r="W1088" i="7"/>
  <c r="W1089" i="7"/>
  <c r="W1100" i="7"/>
  <c r="W1101" i="7"/>
  <c r="W1102" i="7"/>
  <c r="W1104" i="7"/>
  <c r="W1109" i="7"/>
  <c r="W1114" i="7"/>
  <c r="W1115" i="7"/>
  <c r="W1123" i="7"/>
  <c r="W1128" i="7"/>
  <c r="W1133" i="7"/>
  <c r="W1138" i="7"/>
  <c r="W1143" i="7"/>
  <c r="W1144" i="7"/>
  <c r="W1149" i="7"/>
  <c r="W1156" i="7"/>
  <c r="W1158" i="7"/>
  <c r="W1159" i="7"/>
  <c r="W1160" i="7"/>
  <c r="W1162" i="7"/>
  <c r="W1170" i="7"/>
  <c r="W1176" i="7"/>
  <c r="W1181" i="7"/>
  <c r="W1187" i="7"/>
  <c r="W1195" i="7"/>
  <c r="W1200" i="7"/>
  <c r="W1205" i="7"/>
  <c r="W1210" i="7"/>
  <c r="W1215" i="7"/>
  <c r="W1220" i="7"/>
  <c r="W1221" i="7"/>
  <c r="W1226" i="7"/>
  <c r="W1231" i="7"/>
  <c r="W1237" i="7"/>
  <c r="W1244" i="7"/>
  <c r="W1254" i="7"/>
  <c r="W1255" i="7"/>
  <c r="W1260" i="7"/>
  <c r="W1271" i="7"/>
  <c r="W1272" i="7"/>
  <c r="W1279" i="7"/>
  <c r="W1308" i="7"/>
  <c r="W1309" i="7"/>
  <c r="W1328" i="7"/>
  <c r="W1329" i="7"/>
  <c r="W1338" i="7"/>
  <c r="W1344" i="7"/>
  <c r="W1345" i="7"/>
  <c r="W1348" i="7"/>
  <c r="W15" i="7"/>
  <c r="Y15" i="7" s="1"/>
  <c r="W16" i="7"/>
  <c r="Y16" i="7" s="1"/>
  <c r="W17" i="7"/>
  <c r="Y17" i="7" s="1"/>
  <c r="W18" i="7"/>
  <c r="Y18" i="7" s="1"/>
  <c r="W21" i="7"/>
  <c r="Y21" i="7" s="1"/>
  <c r="W22" i="7"/>
  <c r="Y22" i="7" s="1"/>
  <c r="W23" i="7"/>
  <c r="Y23" i="7" s="1"/>
  <c r="W26" i="7"/>
  <c r="Y26" i="7" s="1"/>
  <c r="W27" i="7"/>
  <c r="W28" i="7"/>
  <c r="Y28" i="7" s="1"/>
  <c r="W34" i="7"/>
  <c r="Y34" i="7" s="1"/>
  <c r="W35" i="7"/>
  <c r="Y35" i="7" s="1"/>
  <c r="W36" i="7"/>
  <c r="Y36" i="7" s="1"/>
  <c r="W37" i="7"/>
  <c r="Y37" i="7" s="1"/>
  <c r="AA1308" i="7"/>
  <c r="AA1045" i="7"/>
  <c r="AA572" i="7"/>
  <c r="AA155" i="7"/>
  <c r="F39" i="8"/>
  <c r="C39" i="8"/>
  <c r="E39" i="8"/>
  <c r="D39" i="8"/>
  <c r="D36" i="8"/>
  <c r="N42" i="8"/>
  <c r="C37" i="8"/>
  <c r="C36" i="8"/>
  <c r="Y27" i="7" l="1"/>
  <c r="Y45" i="7"/>
  <c r="N18" i="23"/>
  <c r="K39" i="8"/>
  <c r="E37" i="8" l="1"/>
  <c r="C35" i="8"/>
  <c r="C41" i="8" s="1"/>
  <c r="K41" i="8" s="1"/>
  <c r="C29" i="8"/>
  <c r="J24" i="8"/>
  <c r="E24" i="8"/>
  <c r="D24" i="8"/>
  <c r="E27" i="8"/>
  <c r="D27" i="8"/>
  <c r="F19" i="8"/>
  <c r="K19" i="8" s="1"/>
  <c r="E17" i="8"/>
  <c r="K42" i="8" l="1"/>
  <c r="K35" i="8"/>
  <c r="F37" i="8"/>
  <c r="K37" i="8" s="1"/>
  <c r="N305" i="45" l="1"/>
  <c r="P305" i="45" s="1"/>
  <c r="F303" i="45"/>
  <c r="N303" i="45" s="1"/>
  <c r="P303" i="45" s="1"/>
  <c r="N302" i="45"/>
  <c r="P302" i="45" s="1"/>
  <c r="N301" i="45"/>
  <c r="P301" i="45" s="1"/>
  <c r="A301" i="45"/>
  <c r="A302" i="45" s="1"/>
  <c r="A303" i="45" s="1"/>
  <c r="A304" i="45" s="1"/>
  <c r="A305" i="45" s="1"/>
  <c r="F300" i="45"/>
  <c r="N300" i="45" s="1"/>
  <c r="P300" i="45" s="1"/>
  <c r="N297" i="45"/>
  <c r="P297" i="45" s="1"/>
  <c r="N296" i="45"/>
  <c r="P296" i="45" s="1"/>
  <c r="C294" i="45"/>
  <c r="E293" i="45"/>
  <c r="E294" i="45" s="1"/>
  <c r="C293" i="45"/>
  <c r="C292" i="45"/>
  <c r="N292" i="45" s="1"/>
  <c r="C287" i="45"/>
  <c r="C279" i="45" s="1"/>
  <c r="C284" i="45"/>
  <c r="N284" i="45" s="1"/>
  <c r="N283" i="45"/>
  <c r="D283" i="45"/>
  <c r="F279" i="45" s="1"/>
  <c r="N282" i="45"/>
  <c r="N278" i="45"/>
  <c r="D272" i="45"/>
  <c r="C274" i="45" s="1"/>
  <c r="N274" i="45" s="1"/>
  <c r="C272" i="45"/>
  <c r="N266" i="45"/>
  <c r="N265" i="45" s="1"/>
  <c r="P265" i="45" s="1"/>
  <c r="D264" i="45"/>
  <c r="E263" i="45"/>
  <c r="C263" i="45"/>
  <c r="C262" i="45"/>
  <c r="M261" i="45"/>
  <c r="M262" i="45" s="1"/>
  <c r="M263" i="45" s="1"/>
  <c r="M264" i="45" s="1"/>
  <c r="H259" i="45"/>
  <c r="N259" i="45" s="1"/>
  <c r="P259" i="45" s="1"/>
  <c r="D257" i="45"/>
  <c r="N257" i="45" s="1"/>
  <c r="E256" i="45"/>
  <c r="N256" i="45" s="1"/>
  <c r="N255" i="45"/>
  <c r="N252" i="45"/>
  <c r="M251" i="45"/>
  <c r="H251" i="45"/>
  <c r="D251" i="45"/>
  <c r="C251" i="45"/>
  <c r="H250" i="45"/>
  <c r="E250" i="45"/>
  <c r="M249" i="45"/>
  <c r="C249" i="45"/>
  <c r="N248" i="45"/>
  <c r="A242" i="45"/>
  <c r="A245" i="45" s="1"/>
  <c r="A246" i="45" s="1"/>
  <c r="A254" i="45" s="1"/>
  <c r="H240" i="45"/>
  <c r="N240" i="45" s="1"/>
  <c r="N239" i="45"/>
  <c r="H238" i="45"/>
  <c r="D236" i="45"/>
  <c r="N236" i="45" s="1"/>
  <c r="E235" i="45"/>
  <c r="N235" i="45" s="1"/>
  <c r="N234" i="45"/>
  <c r="N233" i="45"/>
  <c r="F229" i="45"/>
  <c r="E225" i="45"/>
  <c r="E229" i="45" s="1"/>
  <c r="D223" i="45"/>
  <c r="D224" i="45" s="1"/>
  <c r="C223" i="45"/>
  <c r="C224" i="45" s="1"/>
  <c r="N221" i="45"/>
  <c r="N222" i="45" s="1"/>
  <c r="P222" i="45" s="1"/>
  <c r="E218" i="45"/>
  <c r="C215" i="45"/>
  <c r="M212" i="45"/>
  <c r="M215" i="45" s="1"/>
  <c r="M218" i="45" s="1"/>
  <c r="C212" i="45"/>
  <c r="C218" i="45" s="1"/>
  <c r="N209" i="45"/>
  <c r="N210" i="45" s="1"/>
  <c r="P210" i="45" s="1"/>
  <c r="F205" i="45"/>
  <c r="M204" i="45"/>
  <c r="F204" i="45"/>
  <c r="E204" i="45"/>
  <c r="E205" i="45" s="1"/>
  <c r="D204" i="45"/>
  <c r="D218" i="45" s="1"/>
  <c r="C200" i="45"/>
  <c r="C201" i="45" s="1"/>
  <c r="I197" i="45"/>
  <c r="F197" i="45"/>
  <c r="M196" i="45"/>
  <c r="M200" i="45" s="1"/>
  <c r="L196" i="45"/>
  <c r="L212" i="45" s="1"/>
  <c r="F193" i="45"/>
  <c r="D193" i="45"/>
  <c r="C193" i="45"/>
  <c r="M191" i="45"/>
  <c r="M192" i="45" s="1"/>
  <c r="M193" i="45" s="1"/>
  <c r="F191" i="45"/>
  <c r="E186" i="45"/>
  <c r="D186" i="45"/>
  <c r="C186" i="45"/>
  <c r="I185" i="45"/>
  <c r="C185" i="45"/>
  <c r="C184" i="45"/>
  <c r="F185" i="45" s="1"/>
  <c r="M183" i="45"/>
  <c r="E178" i="45"/>
  <c r="E179" i="45" s="1"/>
  <c r="D178" i="45"/>
  <c r="D179" i="45" s="1"/>
  <c r="M171" i="45"/>
  <c r="M175" i="45" s="1"/>
  <c r="M179" i="45" s="1"/>
  <c r="B171" i="45"/>
  <c r="B175" i="45" s="1"/>
  <c r="B179" i="45" s="1"/>
  <c r="M170" i="45"/>
  <c r="M174" i="45" s="1"/>
  <c r="M178" i="45" s="1"/>
  <c r="F170" i="45"/>
  <c r="F171" i="45" s="1"/>
  <c r="B170" i="45"/>
  <c r="B174" i="45" s="1"/>
  <c r="B178" i="45" s="1"/>
  <c r="M167" i="45"/>
  <c r="H167" i="45"/>
  <c r="D167" i="45"/>
  <c r="E166" i="45"/>
  <c r="C166" i="45"/>
  <c r="C167" i="45" s="1"/>
  <c r="M165" i="45"/>
  <c r="C164" i="45"/>
  <c r="C165" i="45" s="1"/>
  <c r="E160" i="45"/>
  <c r="D160" i="45"/>
  <c r="I155" i="45"/>
  <c r="I174" i="45" s="1"/>
  <c r="I175" i="45" s="1"/>
  <c r="C155" i="45"/>
  <c r="C156" i="45" s="1"/>
  <c r="C175" i="45" s="1"/>
  <c r="M152" i="45"/>
  <c r="M156" i="45" s="1"/>
  <c r="M160" i="45" s="1"/>
  <c r="F152" i="45"/>
  <c r="C152" i="45"/>
  <c r="F156" i="45" s="1"/>
  <c r="B152" i="45"/>
  <c r="B156" i="45" s="1"/>
  <c r="B160" i="45" s="1"/>
  <c r="M151" i="45"/>
  <c r="M155" i="45" s="1"/>
  <c r="M159" i="45" s="1"/>
  <c r="C151" i="45"/>
  <c r="B151" i="45"/>
  <c r="B155" i="45" s="1"/>
  <c r="B159" i="45" s="1"/>
  <c r="M148" i="45"/>
  <c r="H148" i="45"/>
  <c r="D148" i="45"/>
  <c r="C148" i="45"/>
  <c r="H147" i="45"/>
  <c r="H164" i="45" s="1"/>
  <c r="H166" i="45" s="1"/>
  <c r="E147" i="45"/>
  <c r="M146" i="45"/>
  <c r="C146" i="45"/>
  <c r="N145" i="45"/>
  <c r="D142" i="45"/>
  <c r="C142" i="45"/>
  <c r="M140" i="45"/>
  <c r="M142" i="45" s="1"/>
  <c r="E139" i="45"/>
  <c r="J135" i="45"/>
  <c r="J140" i="45" s="1"/>
  <c r="H134" i="45"/>
  <c r="H139" i="45" s="1"/>
  <c r="E134" i="45"/>
  <c r="D134" i="45"/>
  <c r="E132" i="45"/>
  <c r="D132" i="45"/>
  <c r="C132" i="45"/>
  <c r="L131" i="45"/>
  <c r="L136" i="45" s="1"/>
  <c r="L141" i="45" s="1"/>
  <c r="I131" i="45"/>
  <c r="I136" i="45" s="1"/>
  <c r="I141" i="45" s="1"/>
  <c r="F131" i="45"/>
  <c r="C131" i="45"/>
  <c r="L130" i="45"/>
  <c r="L151" i="45" s="1"/>
  <c r="M129" i="45"/>
  <c r="E125" i="45"/>
  <c r="E126" i="45" s="1"/>
  <c r="E120" i="45"/>
  <c r="E121" i="45" s="1"/>
  <c r="D119" i="45"/>
  <c r="D124" i="45" s="1"/>
  <c r="M115" i="45"/>
  <c r="M121" i="45" s="1"/>
  <c r="M126" i="45" s="1"/>
  <c r="M114" i="45"/>
  <c r="M120" i="45" s="1"/>
  <c r="M125" i="45" s="1"/>
  <c r="D114" i="45"/>
  <c r="M113" i="45"/>
  <c r="M119" i="45" s="1"/>
  <c r="M124" i="45" s="1"/>
  <c r="E113" i="45"/>
  <c r="E114" i="45" s="1"/>
  <c r="E115" i="45" s="1"/>
  <c r="M110" i="45"/>
  <c r="B110" i="45"/>
  <c r="B115" i="45" s="1"/>
  <c r="B121" i="45" s="1"/>
  <c r="B126" i="45" s="1"/>
  <c r="M109" i="45"/>
  <c r="M108" i="45"/>
  <c r="E108" i="45"/>
  <c r="E109" i="45" s="1"/>
  <c r="E110" i="45" s="1"/>
  <c r="B108" i="45"/>
  <c r="B113" i="45" s="1"/>
  <c r="B119" i="45" s="1"/>
  <c r="B124" i="45" s="1"/>
  <c r="C105" i="45"/>
  <c r="C110" i="45" s="1"/>
  <c r="E104" i="45"/>
  <c r="E105" i="45" s="1"/>
  <c r="D104" i="45"/>
  <c r="C104" i="45"/>
  <c r="C103" i="45"/>
  <c r="C113" i="45" s="1"/>
  <c r="E95" i="45"/>
  <c r="E93" i="45"/>
  <c r="D93" i="45"/>
  <c r="C93" i="45"/>
  <c r="L92" i="45"/>
  <c r="C92" i="45"/>
  <c r="L91" i="45"/>
  <c r="E90" i="45"/>
  <c r="C90" i="45"/>
  <c r="C91" i="45" s="1"/>
  <c r="F92" i="45" s="1"/>
  <c r="N89" i="45"/>
  <c r="P89" i="45" s="1"/>
  <c r="E83" i="45"/>
  <c r="D83" i="45"/>
  <c r="L75" i="45"/>
  <c r="L76" i="45" s="1"/>
  <c r="I75" i="45"/>
  <c r="I76" i="45" s="1"/>
  <c r="C75" i="45"/>
  <c r="C76" i="45" s="1"/>
  <c r="F69" i="45"/>
  <c r="L68" i="45"/>
  <c r="L69" i="45" s="1"/>
  <c r="H62" i="45"/>
  <c r="E62" i="45"/>
  <c r="L54" i="45"/>
  <c r="E41" i="45"/>
  <c r="M35" i="45"/>
  <c r="M41" i="45" s="1"/>
  <c r="E35" i="45"/>
  <c r="E37" i="45" s="1"/>
  <c r="E38" i="45" s="1"/>
  <c r="C35" i="45"/>
  <c r="C46" i="45" s="1"/>
  <c r="C62" i="45" s="1"/>
  <c r="C52" i="45" s="1"/>
  <c r="B35" i="45"/>
  <c r="B46" i="45" s="1"/>
  <c r="B62" i="45" s="1"/>
  <c r="B69" i="45" s="1"/>
  <c r="B76" i="45" s="1"/>
  <c r="B83" i="45" s="1"/>
  <c r="M34" i="45"/>
  <c r="D34" i="45"/>
  <c r="D40" i="45" s="1"/>
  <c r="B34" i="45"/>
  <c r="B45" i="45" s="1"/>
  <c r="B61" i="45" s="1"/>
  <c r="B68" i="45" s="1"/>
  <c r="B75" i="45" s="1"/>
  <c r="B82" i="45" s="1"/>
  <c r="M30" i="45"/>
  <c r="C30" i="45"/>
  <c r="B30" i="45"/>
  <c r="M29" i="45"/>
  <c r="B29" i="45"/>
  <c r="D24" i="45"/>
  <c r="E23" i="45"/>
  <c r="E24" i="45" s="1"/>
  <c r="E26" i="45" s="1"/>
  <c r="C23" i="45"/>
  <c r="L18" i="45"/>
  <c r="G18" i="45"/>
  <c r="F18" i="45"/>
  <c r="M15" i="45"/>
  <c r="M16" i="45" s="1"/>
  <c r="M17" i="45" s="1"/>
  <c r="M18" i="45" s="1"/>
  <c r="M19" i="45" s="1"/>
  <c r="M20" i="45" s="1"/>
  <c r="N20" i="45" s="1"/>
  <c r="P20" i="45" s="1"/>
  <c r="E14" i="45"/>
  <c r="E17" i="45" s="1"/>
  <c r="E19" i="45" s="1"/>
  <c r="D14" i="45"/>
  <c r="D15" i="45" s="1"/>
  <c r="D16" i="45" s="1"/>
  <c r="C14" i="45"/>
  <c r="C19" i="45" s="1"/>
  <c r="A13" i="45"/>
  <c r="A21" i="45" s="1"/>
  <c r="A50" i="45" s="1"/>
  <c r="A59" i="45" s="1"/>
  <c r="A88" i="45" s="1"/>
  <c r="A94" i="45" s="1"/>
  <c r="A101" i="45" s="1"/>
  <c r="A128" i="45" s="1"/>
  <c r="A133" i="45" s="1"/>
  <c r="A138" i="45" s="1"/>
  <c r="A143" i="45" s="1"/>
  <c r="A162" i="45" s="1"/>
  <c r="A181" i="45" s="1"/>
  <c r="A187" i="45" s="1"/>
  <c r="A220" i="45" s="1"/>
  <c r="D11" i="45"/>
  <c r="N11" i="45" s="1"/>
  <c r="C10" i="45"/>
  <c r="N10" i="45" s="1"/>
  <c r="C288" i="45" l="1"/>
  <c r="N288" i="45" s="1"/>
  <c r="C190" i="45"/>
  <c r="N190" i="45" s="1"/>
  <c r="N23" i="45"/>
  <c r="N146" i="45"/>
  <c r="N294" i="45"/>
  <c r="N249" i="45"/>
  <c r="N251" i="45"/>
  <c r="N30" i="45"/>
  <c r="B41" i="45"/>
  <c r="C115" i="45"/>
  <c r="C121" i="45" s="1"/>
  <c r="C126" i="45" s="1"/>
  <c r="N272" i="45"/>
  <c r="N104" i="45"/>
  <c r="E27" i="45"/>
  <c r="N27" i="45" s="1"/>
  <c r="N26" i="45"/>
  <c r="N147" i="45"/>
  <c r="N165" i="45"/>
  <c r="D19" i="45"/>
  <c r="N19" i="45" s="1"/>
  <c r="P19" i="45" s="1"/>
  <c r="I156" i="45"/>
  <c r="C160" i="45"/>
  <c r="N160" i="45" s="1"/>
  <c r="N91" i="45"/>
  <c r="P91" i="45" s="1"/>
  <c r="N24" i="45"/>
  <c r="N25" i="45" s="1"/>
  <c r="P25" i="45" s="1"/>
  <c r="M46" i="45"/>
  <c r="M62" i="45" s="1"/>
  <c r="M52" i="45" s="1"/>
  <c r="N52" i="45" s="1"/>
  <c r="N12" i="45"/>
  <c r="P12" i="45" s="1"/>
  <c r="N261" i="45"/>
  <c r="P261" i="45" s="1"/>
  <c r="C29" i="45"/>
  <c r="N29" i="45" s="1"/>
  <c r="N93" i="45"/>
  <c r="P93" i="45" s="1"/>
  <c r="L135" i="45"/>
  <c r="L140" i="45" s="1"/>
  <c r="D105" i="45"/>
  <c r="N105" i="45" s="1"/>
  <c r="D205" i="45"/>
  <c r="F304" i="45"/>
  <c r="N304" i="45" s="1"/>
  <c r="P304" i="45" s="1"/>
  <c r="L155" i="45"/>
  <c r="L156" i="45" s="1"/>
  <c r="L175" i="45" s="1"/>
  <c r="L197" i="45"/>
  <c r="N167" i="45"/>
  <c r="B40" i="45"/>
  <c r="N166" i="45"/>
  <c r="N103" i="45"/>
  <c r="N14" i="45"/>
  <c r="P14" i="45" s="1"/>
  <c r="C171" i="45"/>
  <c r="F175" i="45" s="1"/>
  <c r="C15" i="45"/>
  <c r="C16" i="45" s="1"/>
  <c r="C17" i="45" s="1"/>
  <c r="N17" i="45" s="1"/>
  <c r="P17" i="45" s="1"/>
  <c r="C41" i="45"/>
  <c r="C108" i="45"/>
  <c r="N108" i="45" s="1"/>
  <c r="M141" i="45"/>
  <c r="P221" i="45"/>
  <c r="D35" i="45"/>
  <c r="N148" i="45"/>
  <c r="C174" i="45"/>
  <c r="C191" i="45"/>
  <c r="N191" i="45" s="1"/>
  <c r="N262" i="45"/>
  <c r="P262" i="45" s="1"/>
  <c r="N250" i="45"/>
  <c r="D45" i="45"/>
  <c r="D48" i="45" s="1"/>
  <c r="N263" i="45"/>
  <c r="P263" i="45" s="1"/>
  <c r="C69" i="45"/>
  <c r="C34" i="45"/>
  <c r="E45" i="45"/>
  <c r="E46" i="45" s="1"/>
  <c r="N92" i="45"/>
  <c r="P92" i="45" s="1"/>
  <c r="C114" i="45"/>
  <c r="C109" i="45"/>
  <c r="N109" i="45" s="1"/>
  <c r="D120" i="45"/>
  <c r="D125" i="45" s="1"/>
  <c r="D115" i="45"/>
  <c r="D137" i="45"/>
  <c r="C137" i="45"/>
  <c r="N139" i="45"/>
  <c r="P139" i="45" s="1"/>
  <c r="E140" i="45"/>
  <c r="C136" i="45"/>
  <c r="A260" i="45"/>
  <c r="A259" i="45"/>
  <c r="A265" i="45" s="1"/>
  <c r="A267" i="45" s="1"/>
  <c r="A271" i="45" s="1"/>
  <c r="A276" i="45" s="1"/>
  <c r="A277" i="45" s="1"/>
  <c r="A286" i="45" s="1"/>
  <c r="A290" i="45" s="1"/>
  <c r="A291" i="45" s="1"/>
  <c r="A296" i="45" s="1"/>
  <c r="A297" i="45" s="1"/>
  <c r="E247" i="45"/>
  <c r="N247" i="45" s="1"/>
  <c r="E135" i="45"/>
  <c r="N18" i="45"/>
  <c r="P18" i="45" s="1"/>
  <c r="M45" i="45"/>
  <c r="M61" i="45" s="1"/>
  <c r="M40" i="45"/>
  <c r="N129" i="45"/>
  <c r="P129" i="45" s="1"/>
  <c r="M134" i="45"/>
  <c r="M135" i="45" s="1"/>
  <c r="M130" i="45"/>
  <c r="N193" i="45"/>
  <c r="N218" i="45"/>
  <c r="N219" i="45" s="1"/>
  <c r="P219" i="45" s="1"/>
  <c r="C45" i="45"/>
  <c r="C170" i="45"/>
  <c r="N164" i="45"/>
  <c r="N151" i="45"/>
  <c r="F155" i="45"/>
  <c r="C159" i="45"/>
  <c r="N159" i="45" s="1"/>
  <c r="N90" i="45"/>
  <c r="P90" i="45" s="1"/>
  <c r="N110" i="45"/>
  <c r="L152" i="45"/>
  <c r="L170" i="45"/>
  <c r="L184" i="45" s="1"/>
  <c r="N183" i="45"/>
  <c r="N182" i="45" s="1"/>
  <c r="P182" i="45" s="1"/>
  <c r="M184" i="45"/>
  <c r="M185" i="45" s="1"/>
  <c r="M186" i="45" s="1"/>
  <c r="N186" i="45" s="1"/>
  <c r="P186" i="45" s="1"/>
  <c r="C226" i="45"/>
  <c r="N224" i="45"/>
  <c r="P224" i="45" s="1"/>
  <c r="N258" i="45"/>
  <c r="P258" i="45" s="1"/>
  <c r="C119" i="45"/>
  <c r="N113" i="45"/>
  <c r="C225" i="45"/>
  <c r="D226" i="45"/>
  <c r="D227" i="45" s="1"/>
  <c r="D230" i="45" s="1"/>
  <c r="M281" i="45"/>
  <c r="N281" i="45" s="1"/>
  <c r="N280" i="45" s="1"/>
  <c r="N279" i="45"/>
  <c r="N192" i="45"/>
  <c r="C196" i="45"/>
  <c r="M197" i="45"/>
  <c r="M201" i="45" s="1"/>
  <c r="F215" i="45"/>
  <c r="C264" i="45"/>
  <c r="N264" i="45" s="1"/>
  <c r="P264" i="45" s="1"/>
  <c r="N293" i="45"/>
  <c r="N295" i="45" s="1"/>
  <c r="P295" i="45" s="1"/>
  <c r="M205" i="45"/>
  <c r="C273" i="45"/>
  <c r="N273" i="45" s="1"/>
  <c r="N287" i="45"/>
  <c r="N289" i="45" s="1"/>
  <c r="C197" i="45"/>
  <c r="N212" i="45"/>
  <c r="N213" i="45" s="1"/>
  <c r="P213" i="45" s="1"/>
  <c r="N223" i="45"/>
  <c r="P223" i="45" s="1"/>
  <c r="N31" i="45" l="1"/>
  <c r="F32" i="45" s="1"/>
  <c r="N32" i="45" s="1"/>
  <c r="P32" i="45" s="1"/>
  <c r="N106" i="45"/>
  <c r="P106" i="45" s="1"/>
  <c r="D46" i="45"/>
  <c r="D41" i="45"/>
  <c r="N41" i="45" s="1"/>
  <c r="D37" i="45"/>
  <c r="N175" i="45"/>
  <c r="N275" i="45"/>
  <c r="P275" i="45" s="1"/>
  <c r="P27" i="45"/>
  <c r="M69" i="45"/>
  <c r="M76" i="45" s="1"/>
  <c r="M83" i="45" s="1"/>
  <c r="N168" i="45"/>
  <c r="P168" i="45" s="1"/>
  <c r="N149" i="45"/>
  <c r="P149" i="45" s="1"/>
  <c r="N62" i="45"/>
  <c r="N134" i="45"/>
  <c r="P134" i="45" s="1"/>
  <c r="N155" i="45"/>
  <c r="N35" i="45"/>
  <c r="C179" i="45"/>
  <c r="N179" i="45" s="1"/>
  <c r="N156" i="45"/>
  <c r="L174" i="45"/>
  <c r="L200" i="45" s="1"/>
  <c r="N161" i="45"/>
  <c r="P161" i="45" s="1"/>
  <c r="N15" i="45"/>
  <c r="P15" i="45" s="1"/>
  <c r="N194" i="45"/>
  <c r="P194" i="45" s="1"/>
  <c r="N253" i="45"/>
  <c r="P253" i="45" s="1"/>
  <c r="N46" i="45"/>
  <c r="N16" i="45"/>
  <c r="P16" i="45" s="1"/>
  <c r="L171" i="45"/>
  <c r="N171" i="45" s="1"/>
  <c r="N152" i="45"/>
  <c r="N153" i="45" s="1"/>
  <c r="P153" i="45" s="1"/>
  <c r="M132" i="45"/>
  <c r="N132" i="45" s="1"/>
  <c r="P132" i="45" s="1"/>
  <c r="M131" i="45"/>
  <c r="N131" i="45" s="1"/>
  <c r="P131" i="45" s="1"/>
  <c r="N130" i="45"/>
  <c r="P130" i="45" s="1"/>
  <c r="C40" i="45"/>
  <c r="N40" i="45" s="1"/>
  <c r="N34" i="45"/>
  <c r="M137" i="45"/>
  <c r="M136" i="45"/>
  <c r="E137" i="45"/>
  <c r="F136" i="45"/>
  <c r="N135" i="45"/>
  <c r="P135" i="45" s="1"/>
  <c r="C141" i="45"/>
  <c r="F174" i="45"/>
  <c r="N170" i="45"/>
  <c r="C178" i="45"/>
  <c r="N178" i="45" s="1"/>
  <c r="D121" i="45"/>
  <c r="N115" i="45"/>
  <c r="F76" i="45"/>
  <c r="C83" i="45"/>
  <c r="N225" i="45"/>
  <c r="P225" i="45" s="1"/>
  <c r="C229" i="45"/>
  <c r="N229" i="45" s="1"/>
  <c r="C61" i="45"/>
  <c r="N45" i="45"/>
  <c r="N111" i="45"/>
  <c r="P111" i="45" s="1"/>
  <c r="C227" i="45"/>
  <c r="N226" i="45"/>
  <c r="P226" i="45" s="1"/>
  <c r="M68" i="45"/>
  <c r="M75" i="45" s="1"/>
  <c r="M82" i="45" s="1"/>
  <c r="M51" i="45"/>
  <c r="F141" i="45"/>
  <c r="N140" i="45"/>
  <c r="P140" i="45" s="1"/>
  <c r="E142" i="45"/>
  <c r="C120" i="45"/>
  <c r="N114" i="45"/>
  <c r="C205" i="45"/>
  <c r="N205" i="45" s="1"/>
  <c r="F201" i="45"/>
  <c r="N197" i="45"/>
  <c r="F200" i="45"/>
  <c r="C204" i="45"/>
  <c r="N204" i="45" s="1"/>
  <c r="N196" i="45"/>
  <c r="P289" i="45"/>
  <c r="C290" i="45"/>
  <c r="N290" i="45" s="1"/>
  <c r="P290" i="45" s="1"/>
  <c r="C124" i="45"/>
  <c r="N124" i="45" s="1"/>
  <c r="N119" i="45"/>
  <c r="N184" i="45"/>
  <c r="P184" i="45" s="1"/>
  <c r="N276" i="45" l="1"/>
  <c r="P276" i="45" s="1"/>
  <c r="N48" i="45"/>
  <c r="D49" i="45"/>
  <c r="N49" i="45" s="1"/>
  <c r="N69" i="45"/>
  <c r="N37" i="45"/>
  <c r="D38" i="45"/>
  <c r="N38" i="45" s="1"/>
  <c r="N76" i="45"/>
  <c r="P42" i="45"/>
  <c r="N180" i="45"/>
  <c r="P180" i="45" s="1"/>
  <c r="L185" i="45"/>
  <c r="N185" i="45" s="1"/>
  <c r="P185" i="45" s="1"/>
  <c r="N36" i="45"/>
  <c r="P35" i="45" s="1"/>
  <c r="N174" i="45"/>
  <c r="N176" i="45" s="1"/>
  <c r="P176" i="45" s="1"/>
  <c r="N141" i="45"/>
  <c r="P141" i="45" s="1"/>
  <c r="N157" i="45"/>
  <c r="P157" i="45" s="1"/>
  <c r="N116" i="45"/>
  <c r="N117" i="45" s="1"/>
  <c r="P117" i="45" s="1"/>
  <c r="N47" i="45"/>
  <c r="P47" i="45" s="1"/>
  <c r="N269" i="45"/>
  <c r="N137" i="45"/>
  <c r="P137" i="45" s="1"/>
  <c r="N136" i="45"/>
  <c r="P136" i="45" s="1"/>
  <c r="N120" i="45"/>
  <c r="C125" i="45"/>
  <c r="N125" i="45" s="1"/>
  <c r="L215" i="45"/>
  <c r="N215" i="45" s="1"/>
  <c r="N216" i="45" s="1"/>
  <c r="P216" i="45" s="1"/>
  <c r="L201" i="45"/>
  <c r="N201" i="45" s="1"/>
  <c r="N198" i="45"/>
  <c r="P198" i="45" s="1"/>
  <c r="E237" i="45"/>
  <c r="N142" i="45"/>
  <c r="P142" i="45" s="1"/>
  <c r="N206" i="45"/>
  <c r="P206" i="45" s="1"/>
  <c r="D126" i="45"/>
  <c r="N126" i="45" s="1"/>
  <c r="N121" i="45"/>
  <c r="N200" i="45"/>
  <c r="N61" i="45"/>
  <c r="N63" i="45" s="1"/>
  <c r="P63" i="45" s="1"/>
  <c r="C68" i="45"/>
  <c r="C51" i="45"/>
  <c r="N51" i="45" s="1"/>
  <c r="N53" i="45" s="1"/>
  <c r="F54" i="45" s="1"/>
  <c r="N54" i="45" s="1"/>
  <c r="P54" i="45" s="1"/>
  <c r="N172" i="45"/>
  <c r="P172" i="45" s="1"/>
  <c r="C230" i="45"/>
  <c r="N230" i="45" s="1"/>
  <c r="N228" i="45" s="1"/>
  <c r="P228" i="45" s="1"/>
  <c r="N227" i="45"/>
  <c r="P227" i="45" s="1"/>
  <c r="D95" i="45"/>
  <c r="D97" i="45" s="1"/>
  <c r="D98" i="45" s="1"/>
  <c r="D99" i="45" s="1"/>
  <c r="D100" i="45" s="1"/>
  <c r="N83" i="45"/>
  <c r="P49" i="45" l="1"/>
  <c r="P38" i="45"/>
  <c r="N122" i="45"/>
  <c r="P122" i="45" s="1"/>
  <c r="P116" i="45"/>
  <c r="N127" i="45"/>
  <c r="P127" i="45" s="1"/>
  <c r="N202" i="45"/>
  <c r="P202" i="45" s="1"/>
  <c r="F75" i="45"/>
  <c r="N75" i="45" s="1"/>
  <c r="N77" i="45" s="1"/>
  <c r="P77" i="45" s="1"/>
  <c r="N68" i="45"/>
  <c r="N70" i="45" s="1"/>
  <c r="P70" i="45" s="1"/>
  <c r="C82" i="45"/>
  <c r="N237" i="45"/>
  <c r="E238" i="45"/>
  <c r="N238" i="45" s="1"/>
  <c r="N241" i="45" l="1"/>
  <c r="P241" i="45" s="1"/>
  <c r="N82" i="45"/>
  <c r="N84" i="45" s="1"/>
  <c r="P84" i="45" s="1"/>
  <c r="C95" i="45"/>
  <c r="N242" i="45" l="1"/>
  <c r="N268" i="45"/>
  <c r="N270" i="45" s="1"/>
  <c r="P270" i="45" s="1"/>
  <c r="C97" i="45"/>
  <c r="N95" i="45"/>
  <c r="N245" i="45"/>
  <c r="P245" i="45" s="1"/>
  <c r="P242" i="45"/>
  <c r="N96" i="45" l="1"/>
  <c r="P96" i="45" s="1"/>
  <c r="P95" i="45"/>
  <c r="N97" i="45"/>
  <c r="P97" i="45" s="1"/>
  <c r="C98" i="45"/>
  <c r="C99" i="45" l="1"/>
  <c r="N98" i="45"/>
  <c r="P98" i="45" s="1"/>
  <c r="N99" i="45" l="1"/>
  <c r="P99" i="45" s="1"/>
  <c r="C100" i="45"/>
  <c r="N100" i="45" s="1"/>
  <c r="P100" i="45" s="1"/>
  <c r="N6" i="23" l="1"/>
  <c r="U1331" i="7"/>
  <c r="U1332" i="7"/>
  <c r="U1333" i="7"/>
  <c r="U1334" i="7"/>
  <c r="U1335" i="7"/>
  <c r="U1336" i="7"/>
  <c r="U1337" i="7"/>
  <c r="U1338" i="7"/>
  <c r="U1339" i="7"/>
  <c r="U1340" i="7"/>
  <c r="U1341" i="7"/>
  <c r="U1342" i="7"/>
  <c r="U1343" i="7"/>
  <c r="U1344" i="7"/>
  <c r="U1346" i="7"/>
  <c r="U1347" i="7"/>
  <c r="U1348" i="7"/>
  <c r="U1330" i="7"/>
  <c r="U1295" i="7"/>
  <c r="U1296" i="7"/>
  <c r="U1297" i="7"/>
  <c r="U1298" i="7"/>
  <c r="U1299" i="7"/>
  <c r="U1300" i="7"/>
  <c r="U1301" i="7"/>
  <c r="U1302" i="7"/>
  <c r="U1303" i="7"/>
  <c r="U1304" i="7"/>
  <c r="U1305" i="7"/>
  <c r="U1306" i="7"/>
  <c r="U1307" i="7"/>
  <c r="U15" i="7"/>
  <c r="U16" i="7"/>
  <c r="U17" i="7"/>
  <c r="U18" i="7"/>
  <c r="U19" i="7"/>
  <c r="U20" i="7"/>
  <c r="U21" i="7"/>
  <c r="U22" i="7"/>
  <c r="U23" i="7"/>
  <c r="U24" i="7"/>
  <c r="U25" i="7"/>
  <c r="U26" i="7"/>
  <c r="U27" i="7"/>
  <c r="U28" i="7"/>
  <c r="U29" i="7"/>
  <c r="U30" i="7"/>
  <c r="U31" i="7"/>
  <c r="U32" i="7"/>
  <c r="U34" i="7"/>
  <c r="U35" i="7"/>
  <c r="U36" i="7"/>
  <c r="U37" i="7"/>
  <c r="U38" i="7"/>
  <c r="U39" i="7"/>
  <c r="U40" i="7"/>
  <c r="U41" i="7"/>
  <c r="U42" i="7"/>
  <c r="U43" i="7"/>
  <c r="U44" i="7"/>
  <c r="U45" i="7"/>
  <c r="U46" i="7"/>
  <c r="U47" i="7"/>
  <c r="U48" i="7"/>
  <c r="U49" i="7"/>
  <c r="U50" i="7"/>
  <c r="U51" i="7"/>
  <c r="U52" i="7"/>
  <c r="U53" i="7"/>
  <c r="U54" i="7"/>
  <c r="U55" i="7"/>
  <c r="U56" i="7"/>
  <c r="U57" i="7"/>
  <c r="U58" i="7"/>
  <c r="U59" i="7"/>
  <c r="U60" i="7"/>
  <c r="U61" i="7"/>
  <c r="U62" i="7"/>
  <c r="U63" i="7"/>
  <c r="U64" i="7"/>
  <c r="U65" i="7"/>
  <c r="U66" i="7"/>
  <c r="U67" i="7"/>
  <c r="U68" i="7"/>
  <c r="U69" i="7"/>
  <c r="U70" i="7"/>
  <c r="U82" i="7"/>
  <c r="U92" i="7"/>
  <c r="U93" i="7"/>
  <c r="U94" i="7"/>
  <c r="U95" i="7"/>
  <c r="U96" i="7"/>
  <c r="U97" i="7"/>
  <c r="U98" i="7"/>
  <c r="U99" i="7"/>
  <c r="U100" i="7"/>
  <c r="U101" i="7"/>
  <c r="U102" i="7"/>
  <c r="U103" i="7"/>
  <c r="U104" i="7"/>
  <c r="U105" i="7"/>
  <c r="U106" i="7"/>
  <c r="U107" i="7"/>
  <c r="U108" i="7"/>
  <c r="U109" i="7"/>
  <c r="U110" i="7"/>
  <c r="U111" i="7"/>
  <c r="U112" i="7"/>
  <c r="U113" i="7"/>
  <c r="U114" i="7"/>
  <c r="U115" i="7"/>
  <c r="U116" i="7"/>
  <c r="U117" i="7"/>
  <c r="U118" i="7"/>
  <c r="U119" i="7"/>
  <c r="U120" i="7"/>
  <c r="U121" i="7"/>
  <c r="U122" i="7"/>
  <c r="U123" i="7"/>
  <c r="U124" i="7"/>
  <c r="U125" i="7"/>
  <c r="U126" i="7"/>
  <c r="U127" i="7"/>
  <c r="U128" i="7"/>
  <c r="U129" i="7"/>
  <c r="U130" i="7"/>
  <c r="U131" i="7"/>
  <c r="U132" i="7"/>
  <c r="U133" i="7"/>
  <c r="U134" i="7"/>
  <c r="U135" i="7"/>
  <c r="U136" i="7"/>
  <c r="U137" i="7"/>
  <c r="U138" i="7"/>
  <c r="U139" i="7"/>
  <c r="U140" i="7"/>
  <c r="U141" i="7"/>
  <c r="U142" i="7"/>
  <c r="U143" i="7"/>
  <c r="U144" i="7"/>
  <c r="U145" i="7"/>
  <c r="U146" i="7"/>
  <c r="U147" i="7"/>
  <c r="U148" i="7"/>
  <c r="U149" i="7"/>
  <c r="U150" i="7"/>
  <c r="U151" i="7"/>
  <c r="U152" i="7"/>
  <c r="U153" i="7"/>
  <c r="U154" i="7"/>
  <c r="U155" i="7"/>
  <c r="U156" i="7"/>
  <c r="U157" i="7"/>
  <c r="U158" i="7"/>
  <c r="U159" i="7"/>
  <c r="U160" i="7"/>
  <c r="U161" i="7"/>
  <c r="U162" i="7"/>
  <c r="U163" i="7"/>
  <c r="U164" i="7"/>
  <c r="U165" i="7"/>
  <c r="U166" i="7"/>
  <c r="U167" i="7"/>
  <c r="U168" i="7"/>
  <c r="U169" i="7"/>
  <c r="U170" i="7"/>
  <c r="U171" i="7"/>
  <c r="U172" i="7"/>
  <c r="U173" i="7"/>
  <c r="U174" i="7"/>
  <c r="U175" i="7"/>
  <c r="U176" i="7"/>
  <c r="U177" i="7"/>
  <c r="U178" i="7"/>
  <c r="U179" i="7"/>
  <c r="U180" i="7"/>
  <c r="U181" i="7"/>
  <c r="U182" i="7"/>
  <c r="U183" i="7"/>
  <c r="U184" i="7"/>
  <c r="U185" i="7"/>
  <c r="U186" i="7"/>
  <c r="U187" i="7"/>
  <c r="U188" i="7"/>
  <c r="U189" i="7"/>
  <c r="U190" i="7"/>
  <c r="U191" i="7"/>
  <c r="U192" i="7"/>
  <c r="U193" i="7"/>
  <c r="U194" i="7"/>
  <c r="U195" i="7"/>
  <c r="U196" i="7"/>
  <c r="U197" i="7"/>
  <c r="U198" i="7"/>
  <c r="U199" i="7"/>
  <c r="U200" i="7"/>
  <c r="U201" i="7"/>
  <c r="U202" i="7"/>
  <c r="U203" i="7"/>
  <c r="U204" i="7"/>
  <c r="U205" i="7"/>
  <c r="U206" i="7"/>
  <c r="U207" i="7"/>
  <c r="U208" i="7"/>
  <c r="U209" i="7"/>
  <c r="U210" i="7"/>
  <c r="U211" i="7"/>
  <c r="U212" i="7"/>
  <c r="U213" i="7"/>
  <c r="U214" i="7"/>
  <c r="U215" i="7"/>
  <c r="U216" i="7"/>
  <c r="U217" i="7"/>
  <c r="U218" i="7"/>
  <c r="U219" i="7"/>
  <c r="U220" i="7"/>
  <c r="U221" i="7"/>
  <c r="U222" i="7"/>
  <c r="U223" i="7"/>
  <c r="U224" i="7"/>
  <c r="U225" i="7"/>
  <c r="U226" i="7"/>
  <c r="U227" i="7"/>
  <c r="U228" i="7"/>
  <c r="U229" i="7"/>
  <c r="U230" i="7"/>
  <c r="U231" i="7"/>
  <c r="U232" i="7"/>
  <c r="U233" i="7"/>
  <c r="U234" i="7"/>
  <c r="U235" i="7"/>
  <c r="U236" i="7"/>
  <c r="U237" i="7"/>
  <c r="U238" i="7"/>
  <c r="U239" i="7"/>
  <c r="U240" i="7"/>
  <c r="U241" i="7"/>
  <c r="U242" i="7"/>
  <c r="U243" i="7"/>
  <c r="U244" i="7"/>
  <c r="U245" i="7"/>
  <c r="U246" i="7"/>
  <c r="U247" i="7"/>
  <c r="U248" i="7"/>
  <c r="U249" i="7"/>
  <c r="U250" i="7"/>
  <c r="U251" i="7"/>
  <c r="U252" i="7"/>
  <c r="U253" i="7"/>
  <c r="U254" i="7"/>
  <c r="U255" i="7"/>
  <c r="U256" i="7"/>
  <c r="U257" i="7"/>
  <c r="U258" i="7"/>
  <c r="U259" i="7"/>
  <c r="U260" i="7"/>
  <c r="U261" i="7"/>
  <c r="U262" i="7"/>
  <c r="U263" i="7"/>
  <c r="U264" i="7"/>
  <c r="U265" i="7"/>
  <c r="U266" i="7"/>
  <c r="U267" i="7"/>
  <c r="U268" i="7"/>
  <c r="U269" i="7"/>
  <c r="U270" i="7"/>
  <c r="U271" i="7"/>
  <c r="U272" i="7"/>
  <c r="U273" i="7"/>
  <c r="U274" i="7"/>
  <c r="U275" i="7"/>
  <c r="U276" i="7"/>
  <c r="U277" i="7"/>
  <c r="U278" i="7"/>
  <c r="U279" i="7"/>
  <c r="U280" i="7"/>
  <c r="U281" i="7"/>
  <c r="U282" i="7"/>
  <c r="U283" i="7"/>
  <c r="U284" i="7"/>
  <c r="U285" i="7"/>
  <c r="U286" i="7"/>
  <c r="U287" i="7"/>
  <c r="U288" i="7"/>
  <c r="U289" i="7"/>
  <c r="U290" i="7"/>
  <c r="U291" i="7"/>
  <c r="U292" i="7"/>
  <c r="U293" i="7"/>
  <c r="U294" i="7"/>
  <c r="U295" i="7"/>
  <c r="U296" i="7"/>
  <c r="U297" i="7"/>
  <c r="U298" i="7"/>
  <c r="U299" i="7"/>
  <c r="U300" i="7"/>
  <c r="U301" i="7"/>
  <c r="U302" i="7"/>
  <c r="U303" i="7"/>
  <c r="U304" i="7"/>
  <c r="U305" i="7"/>
  <c r="U306" i="7"/>
  <c r="U307" i="7"/>
  <c r="U308" i="7"/>
  <c r="U309" i="7"/>
  <c r="U310" i="7"/>
  <c r="U311" i="7"/>
  <c r="U312" i="7"/>
  <c r="U313" i="7"/>
  <c r="U314" i="7"/>
  <c r="U315" i="7"/>
  <c r="U316" i="7"/>
  <c r="U317" i="7"/>
  <c r="U318" i="7"/>
  <c r="U319" i="7"/>
  <c r="U320" i="7"/>
  <c r="U321" i="7"/>
  <c r="U322" i="7"/>
  <c r="U323" i="7"/>
  <c r="U324" i="7"/>
  <c r="U325" i="7"/>
  <c r="U326" i="7"/>
  <c r="U327" i="7"/>
  <c r="U328" i="7"/>
  <c r="U329" i="7"/>
  <c r="U330" i="7"/>
  <c r="U331" i="7"/>
  <c r="U332" i="7"/>
  <c r="U333" i="7"/>
  <c r="U334" i="7"/>
  <c r="U335" i="7"/>
  <c r="U336" i="7"/>
  <c r="U337" i="7"/>
  <c r="U338" i="7"/>
  <c r="U339" i="7"/>
  <c r="U340" i="7"/>
  <c r="U341" i="7"/>
  <c r="U342" i="7"/>
  <c r="U343" i="7"/>
  <c r="U344" i="7"/>
  <c r="U345" i="7"/>
  <c r="U346" i="7"/>
  <c r="U347" i="7"/>
  <c r="U348" i="7"/>
  <c r="U349" i="7"/>
  <c r="U350" i="7"/>
  <c r="U351" i="7"/>
  <c r="U352" i="7"/>
  <c r="U353" i="7"/>
  <c r="U354" i="7"/>
  <c r="U355" i="7"/>
  <c r="U356" i="7"/>
  <c r="U357" i="7"/>
  <c r="U358" i="7"/>
  <c r="U359" i="7"/>
  <c r="U360" i="7"/>
  <c r="U361" i="7"/>
  <c r="U362" i="7"/>
  <c r="U363" i="7"/>
  <c r="U364" i="7"/>
  <c r="U365" i="7"/>
  <c r="U366" i="7"/>
  <c r="U367" i="7"/>
  <c r="U368" i="7"/>
  <c r="U369" i="7"/>
  <c r="U370" i="7"/>
  <c r="U371" i="7"/>
  <c r="U372" i="7"/>
  <c r="U373" i="7"/>
  <c r="U374" i="7"/>
  <c r="U375" i="7"/>
  <c r="U376" i="7"/>
  <c r="U377" i="7"/>
  <c r="U378" i="7"/>
  <c r="U379" i="7"/>
  <c r="U380" i="7"/>
  <c r="U381" i="7"/>
  <c r="U382" i="7"/>
  <c r="U383" i="7"/>
  <c r="U384" i="7"/>
  <c r="U385" i="7"/>
  <c r="U386" i="7"/>
  <c r="U387" i="7"/>
  <c r="U388" i="7"/>
  <c r="U389" i="7"/>
  <c r="U390" i="7"/>
  <c r="U391" i="7"/>
  <c r="U392" i="7"/>
  <c r="U393" i="7"/>
  <c r="U394" i="7"/>
  <c r="U395" i="7"/>
  <c r="U396" i="7"/>
  <c r="U397" i="7"/>
  <c r="U398" i="7"/>
  <c r="U399" i="7"/>
  <c r="U400" i="7"/>
  <c r="U401" i="7"/>
  <c r="U402" i="7"/>
  <c r="U403" i="7"/>
  <c r="U404" i="7"/>
  <c r="U405" i="7"/>
  <c r="U406" i="7"/>
  <c r="U407" i="7"/>
  <c r="U408" i="7"/>
  <c r="U409" i="7"/>
  <c r="U410" i="7"/>
  <c r="U411" i="7"/>
  <c r="U412" i="7"/>
  <c r="U413" i="7"/>
  <c r="U414" i="7"/>
  <c r="U415" i="7"/>
  <c r="U416" i="7"/>
  <c r="U417" i="7"/>
  <c r="U420" i="7"/>
  <c r="U421" i="7"/>
  <c r="U422" i="7"/>
  <c r="U423" i="7"/>
  <c r="U424" i="7"/>
  <c r="U425" i="7"/>
  <c r="U426" i="7"/>
  <c r="U427" i="7"/>
  <c r="U428" i="7"/>
  <c r="U429" i="7"/>
  <c r="U430" i="7"/>
  <c r="U431" i="7"/>
  <c r="U432" i="7"/>
  <c r="U433" i="7"/>
  <c r="U434" i="7"/>
  <c r="U435" i="7"/>
  <c r="U436" i="7"/>
  <c r="U437" i="7"/>
  <c r="U438" i="7"/>
  <c r="U439" i="7"/>
  <c r="U440" i="7"/>
  <c r="U441" i="7"/>
  <c r="U442" i="7"/>
  <c r="U443" i="7"/>
  <c r="U444" i="7"/>
  <c r="U445" i="7"/>
  <c r="U446" i="7"/>
  <c r="U447" i="7"/>
  <c r="U448" i="7"/>
  <c r="U449" i="7"/>
  <c r="U450" i="7"/>
  <c r="U451" i="7"/>
  <c r="U452" i="7"/>
  <c r="U453" i="7"/>
  <c r="U454" i="7"/>
  <c r="U455" i="7"/>
  <c r="U456" i="7"/>
  <c r="U457" i="7"/>
  <c r="U458" i="7"/>
  <c r="U459" i="7"/>
  <c r="U460" i="7"/>
  <c r="U461" i="7"/>
  <c r="U462" i="7"/>
  <c r="U463" i="7"/>
  <c r="U464" i="7"/>
  <c r="U465" i="7"/>
  <c r="U466" i="7"/>
  <c r="U467" i="7"/>
  <c r="U468" i="7"/>
  <c r="U469" i="7"/>
  <c r="U470" i="7"/>
  <c r="U471" i="7"/>
  <c r="U472" i="7"/>
  <c r="U473" i="7"/>
  <c r="U474" i="7"/>
  <c r="U475" i="7"/>
  <c r="U476" i="7"/>
  <c r="U477" i="7"/>
  <c r="U478" i="7"/>
  <c r="U479" i="7"/>
  <c r="U480" i="7"/>
  <c r="U481" i="7"/>
  <c r="U482" i="7"/>
  <c r="U483" i="7"/>
  <c r="U484" i="7"/>
  <c r="U485" i="7"/>
  <c r="U486" i="7"/>
  <c r="U487" i="7"/>
  <c r="U488" i="7"/>
  <c r="U490" i="7"/>
  <c r="U491" i="7"/>
  <c r="U492" i="7"/>
  <c r="U493" i="7"/>
  <c r="U494" i="7"/>
  <c r="U495" i="7"/>
  <c r="U496" i="7"/>
  <c r="U497" i="7"/>
  <c r="U498" i="7"/>
  <c r="U499" i="7"/>
  <c r="U500" i="7"/>
  <c r="U501" i="7"/>
  <c r="U502" i="7"/>
  <c r="U503" i="7"/>
  <c r="U504" i="7"/>
  <c r="U505" i="7"/>
  <c r="U506" i="7"/>
  <c r="U507" i="7"/>
  <c r="U508" i="7"/>
  <c r="U509" i="7"/>
  <c r="U510" i="7"/>
  <c r="U511" i="7"/>
  <c r="U512" i="7"/>
  <c r="U513" i="7"/>
  <c r="U514" i="7"/>
  <c r="U515" i="7"/>
  <c r="U516" i="7"/>
  <c r="U517" i="7"/>
  <c r="U518" i="7"/>
  <c r="U519" i="7"/>
  <c r="U520" i="7"/>
  <c r="U521" i="7"/>
  <c r="U522" i="7"/>
  <c r="U523" i="7"/>
  <c r="U524" i="7"/>
  <c r="U525" i="7"/>
  <c r="U526" i="7"/>
  <c r="U527" i="7"/>
  <c r="U528" i="7"/>
  <c r="U529" i="7"/>
  <c r="U530" i="7"/>
  <c r="U532" i="7"/>
  <c r="U533" i="7"/>
  <c r="U534" i="7"/>
  <c r="U535" i="7"/>
  <c r="U536" i="7"/>
  <c r="U537" i="7"/>
  <c r="U538" i="7"/>
  <c r="U539" i="7"/>
  <c r="U540" i="7"/>
  <c r="U541" i="7"/>
  <c r="U542" i="7"/>
  <c r="U543" i="7"/>
  <c r="U544" i="7"/>
  <c r="U545" i="7"/>
  <c r="U546" i="7"/>
  <c r="U547" i="7"/>
  <c r="U548" i="7"/>
  <c r="U549" i="7"/>
  <c r="U550" i="7"/>
  <c r="U551" i="7"/>
  <c r="U552" i="7"/>
  <c r="U553" i="7"/>
  <c r="U554" i="7"/>
  <c r="U555" i="7"/>
  <c r="U556" i="7"/>
  <c r="U557" i="7"/>
  <c r="U558" i="7"/>
  <c r="U559" i="7"/>
  <c r="U560" i="7"/>
  <c r="U561" i="7"/>
  <c r="U562" i="7"/>
  <c r="U563" i="7"/>
  <c r="U564" i="7"/>
  <c r="U565" i="7"/>
  <c r="U566" i="7"/>
  <c r="U567" i="7"/>
  <c r="U568" i="7"/>
  <c r="U572" i="7"/>
  <c r="U573" i="7"/>
  <c r="U574" i="7"/>
  <c r="U575" i="7"/>
  <c r="U576" i="7"/>
  <c r="U577" i="7"/>
  <c r="U578" i="7"/>
  <c r="U579" i="7"/>
  <c r="U580" i="7"/>
  <c r="U581" i="7"/>
  <c r="U582" i="7"/>
  <c r="U583" i="7"/>
  <c r="U584" i="7"/>
  <c r="U585" i="7"/>
  <c r="U586" i="7"/>
  <c r="U587" i="7"/>
  <c r="U588" i="7"/>
  <c r="U589" i="7"/>
  <c r="U590" i="7"/>
  <c r="U591" i="7"/>
  <c r="U592" i="7"/>
  <c r="U593" i="7"/>
  <c r="U594" i="7"/>
  <c r="U595" i="7"/>
  <c r="U596" i="7"/>
  <c r="U597" i="7"/>
  <c r="U598" i="7"/>
  <c r="U599" i="7"/>
  <c r="U600" i="7"/>
  <c r="U601" i="7"/>
  <c r="U602" i="7"/>
  <c r="U603" i="7"/>
  <c r="U604" i="7"/>
  <c r="U605" i="7"/>
  <c r="U606" i="7"/>
  <c r="U607" i="7"/>
  <c r="U608" i="7"/>
  <c r="U609" i="7"/>
  <c r="U610" i="7"/>
  <c r="U611" i="7"/>
  <c r="U612" i="7"/>
  <c r="U613" i="7"/>
  <c r="U614" i="7"/>
  <c r="U615" i="7"/>
  <c r="U616" i="7"/>
  <c r="U617" i="7"/>
  <c r="U618" i="7"/>
  <c r="U619" i="7"/>
  <c r="U620" i="7"/>
  <c r="U621" i="7"/>
  <c r="U622" i="7"/>
  <c r="U623" i="7"/>
  <c r="U624" i="7"/>
  <c r="U625" i="7"/>
  <c r="U626" i="7"/>
  <c r="U627" i="7"/>
  <c r="U628" i="7"/>
  <c r="U629" i="7"/>
  <c r="U630" i="7"/>
  <c r="U631" i="7"/>
  <c r="U632" i="7"/>
  <c r="U633" i="7"/>
  <c r="U634" i="7"/>
  <c r="U635" i="7"/>
  <c r="U636" i="7"/>
  <c r="U637" i="7"/>
  <c r="U638" i="7"/>
  <c r="U639" i="7"/>
  <c r="U640" i="7"/>
  <c r="U641" i="7"/>
  <c r="U642" i="7"/>
  <c r="U643" i="7"/>
  <c r="U644" i="7"/>
  <c r="U645" i="7"/>
  <c r="U646" i="7"/>
  <c r="U647" i="7"/>
  <c r="U648" i="7"/>
  <c r="U649" i="7"/>
  <c r="U650" i="7"/>
  <c r="U651" i="7"/>
  <c r="U652" i="7"/>
  <c r="U653" i="7"/>
  <c r="U654" i="7"/>
  <c r="U655" i="7"/>
  <c r="U656" i="7"/>
  <c r="U657" i="7"/>
  <c r="U658" i="7"/>
  <c r="U659" i="7"/>
  <c r="U660" i="7"/>
  <c r="U661" i="7"/>
  <c r="U662" i="7"/>
  <c r="U663" i="7"/>
  <c r="U664" i="7"/>
  <c r="U665" i="7"/>
  <c r="U666" i="7"/>
  <c r="U667" i="7"/>
  <c r="U668" i="7"/>
  <c r="U669" i="7"/>
  <c r="U670" i="7"/>
  <c r="U671" i="7"/>
  <c r="U672" i="7"/>
  <c r="U673" i="7"/>
  <c r="U674" i="7"/>
  <c r="U675" i="7"/>
  <c r="U676" i="7"/>
  <c r="U677" i="7"/>
  <c r="U678" i="7"/>
  <c r="U679" i="7"/>
  <c r="U680" i="7"/>
  <c r="U681" i="7"/>
  <c r="U682" i="7"/>
  <c r="U683" i="7"/>
  <c r="U684" i="7"/>
  <c r="U685" i="7"/>
  <c r="U686" i="7"/>
  <c r="U687" i="7"/>
  <c r="U688" i="7"/>
  <c r="U689" i="7"/>
  <c r="U690" i="7"/>
  <c r="U691" i="7"/>
  <c r="U692" i="7"/>
  <c r="U693" i="7"/>
  <c r="U694" i="7"/>
  <c r="U695" i="7"/>
  <c r="U696" i="7"/>
  <c r="U697" i="7"/>
  <c r="U698" i="7"/>
  <c r="U699" i="7"/>
  <c r="U700" i="7"/>
  <c r="U701" i="7"/>
  <c r="U702" i="7"/>
  <c r="U703" i="7"/>
  <c r="U704" i="7"/>
  <c r="U705" i="7"/>
  <c r="U706" i="7"/>
  <c r="U707" i="7"/>
  <c r="U708" i="7"/>
  <c r="U709" i="7"/>
  <c r="U710" i="7"/>
  <c r="U711" i="7"/>
  <c r="U712" i="7"/>
  <c r="U713" i="7"/>
  <c r="U714" i="7"/>
  <c r="U715" i="7"/>
  <c r="U716" i="7"/>
  <c r="U717" i="7"/>
  <c r="U718" i="7"/>
  <c r="U719" i="7"/>
  <c r="U720" i="7"/>
  <c r="U721" i="7"/>
  <c r="U722" i="7"/>
  <c r="U723" i="7"/>
  <c r="U724" i="7"/>
  <c r="U725" i="7"/>
  <c r="U726" i="7"/>
  <c r="U727" i="7"/>
  <c r="U728" i="7"/>
  <c r="U729" i="7"/>
  <c r="U730" i="7"/>
  <c r="U731" i="7"/>
  <c r="U732" i="7"/>
  <c r="U733" i="7"/>
  <c r="U734" i="7"/>
  <c r="U735" i="7"/>
  <c r="U736" i="7"/>
  <c r="U737" i="7"/>
  <c r="U738" i="7"/>
  <c r="U739" i="7"/>
  <c r="U740" i="7"/>
  <c r="U741" i="7"/>
  <c r="U742" i="7"/>
  <c r="U743" i="7"/>
  <c r="U744" i="7"/>
  <c r="U745" i="7"/>
  <c r="U746" i="7"/>
  <c r="U747" i="7"/>
  <c r="U748" i="7"/>
  <c r="U749" i="7"/>
  <c r="U750" i="7"/>
  <c r="U751" i="7"/>
  <c r="U752" i="7"/>
  <c r="U753" i="7"/>
  <c r="U754" i="7"/>
  <c r="U755" i="7"/>
  <c r="U756" i="7"/>
  <c r="U757" i="7"/>
  <c r="U758" i="7"/>
  <c r="U759" i="7"/>
  <c r="U760" i="7"/>
  <c r="U761" i="7"/>
  <c r="U762" i="7"/>
  <c r="U763" i="7"/>
  <c r="U764" i="7"/>
  <c r="U765" i="7"/>
  <c r="U766" i="7"/>
  <c r="U767" i="7"/>
  <c r="U768" i="7"/>
  <c r="U769" i="7"/>
  <c r="U770" i="7"/>
  <c r="U771" i="7"/>
  <c r="U772" i="7"/>
  <c r="U773" i="7"/>
  <c r="U774" i="7"/>
  <c r="U776" i="7"/>
  <c r="U777" i="7"/>
  <c r="U778" i="7"/>
  <c r="U779" i="7"/>
  <c r="U780" i="7"/>
  <c r="U781" i="7"/>
  <c r="U783" i="7"/>
  <c r="U784" i="7"/>
  <c r="U785" i="7"/>
  <c r="U786" i="7"/>
  <c r="U787" i="7"/>
  <c r="U788" i="7"/>
  <c r="U790" i="7"/>
  <c r="U791" i="7"/>
  <c r="U792" i="7"/>
  <c r="U793" i="7"/>
  <c r="U794" i="7"/>
  <c r="U795" i="7"/>
  <c r="U796" i="7"/>
  <c r="U797" i="7"/>
  <c r="U798" i="7"/>
  <c r="U799" i="7"/>
  <c r="U800" i="7"/>
  <c r="U801" i="7"/>
  <c r="U802" i="7"/>
  <c r="U803" i="7"/>
  <c r="U804" i="7"/>
  <c r="U805" i="7"/>
  <c r="U806" i="7"/>
  <c r="U807" i="7"/>
  <c r="U808" i="7"/>
  <c r="U809" i="7"/>
  <c r="U810" i="7"/>
  <c r="U811" i="7"/>
  <c r="U812" i="7"/>
  <c r="U813" i="7"/>
  <c r="U814" i="7"/>
  <c r="U815" i="7"/>
  <c r="U816" i="7"/>
  <c r="U817" i="7"/>
  <c r="U818" i="7"/>
  <c r="U819" i="7"/>
  <c r="U820" i="7"/>
  <c r="U821" i="7"/>
  <c r="U822" i="7"/>
  <c r="U823" i="7"/>
  <c r="U824" i="7"/>
  <c r="U825" i="7"/>
  <c r="U826" i="7"/>
  <c r="U827" i="7"/>
  <c r="U828" i="7"/>
  <c r="U829" i="7"/>
  <c r="U830" i="7"/>
  <c r="U831" i="7"/>
  <c r="U832" i="7"/>
  <c r="U833" i="7"/>
  <c r="U834" i="7"/>
  <c r="U835" i="7"/>
  <c r="U836" i="7"/>
  <c r="U837" i="7"/>
  <c r="U838" i="7"/>
  <c r="U839" i="7"/>
  <c r="U840" i="7"/>
  <c r="U841" i="7"/>
  <c r="U842" i="7"/>
  <c r="U843" i="7"/>
  <c r="U844" i="7"/>
  <c r="U845" i="7"/>
  <c r="U846" i="7"/>
  <c r="U847" i="7"/>
  <c r="U848" i="7"/>
  <c r="U849" i="7"/>
  <c r="U850" i="7"/>
  <c r="U851" i="7"/>
  <c r="U852" i="7"/>
  <c r="U853" i="7"/>
  <c r="U854" i="7"/>
  <c r="U855" i="7"/>
  <c r="U856" i="7"/>
  <c r="U857" i="7"/>
  <c r="U858" i="7"/>
  <c r="U859" i="7"/>
  <c r="U860" i="7"/>
  <c r="U861" i="7"/>
  <c r="U862" i="7"/>
  <c r="U863" i="7"/>
  <c r="U864" i="7"/>
  <c r="U865" i="7"/>
  <c r="U866" i="7"/>
  <c r="U867" i="7"/>
  <c r="U868" i="7"/>
  <c r="U869" i="7"/>
  <c r="U870" i="7"/>
  <c r="U871" i="7"/>
  <c r="U872" i="7"/>
  <c r="U873" i="7"/>
  <c r="U874" i="7"/>
  <c r="U875" i="7"/>
  <c r="U876" i="7"/>
  <c r="U877" i="7"/>
  <c r="U878" i="7"/>
  <c r="U879" i="7"/>
  <c r="U880" i="7"/>
  <c r="U881" i="7"/>
  <c r="U882" i="7"/>
  <c r="U883" i="7"/>
  <c r="U884" i="7"/>
  <c r="U885" i="7"/>
  <c r="U886" i="7"/>
  <c r="U887" i="7"/>
  <c r="U888" i="7"/>
  <c r="U889" i="7"/>
  <c r="U890" i="7"/>
  <c r="U891" i="7"/>
  <c r="U892" i="7"/>
  <c r="U893" i="7"/>
  <c r="U894" i="7"/>
  <c r="U895" i="7"/>
  <c r="U896" i="7"/>
  <c r="U897" i="7"/>
  <c r="U898" i="7"/>
  <c r="U899" i="7"/>
  <c r="U900" i="7"/>
  <c r="U901" i="7"/>
  <c r="U902" i="7"/>
  <c r="U903" i="7"/>
  <c r="U904" i="7"/>
  <c r="U905" i="7"/>
  <c r="U906" i="7"/>
  <c r="U907" i="7"/>
  <c r="U908" i="7"/>
  <c r="U909" i="7"/>
  <c r="U910" i="7"/>
  <c r="U911" i="7"/>
  <c r="U912" i="7"/>
  <c r="U913" i="7"/>
  <c r="U914" i="7"/>
  <c r="U915" i="7"/>
  <c r="U916" i="7"/>
  <c r="U917" i="7"/>
  <c r="U918" i="7"/>
  <c r="U919" i="7"/>
  <c r="U920" i="7"/>
  <c r="U921" i="7"/>
  <c r="U922" i="7"/>
  <c r="U923" i="7"/>
  <c r="U924" i="7"/>
  <c r="U925" i="7"/>
  <c r="U926" i="7"/>
  <c r="U927" i="7"/>
  <c r="U928" i="7"/>
  <c r="U929" i="7"/>
  <c r="U930" i="7"/>
  <c r="U931" i="7"/>
  <c r="U932" i="7"/>
  <c r="U933" i="7"/>
  <c r="U934" i="7"/>
  <c r="U935" i="7"/>
  <c r="U936" i="7"/>
  <c r="U937" i="7"/>
  <c r="U938" i="7"/>
  <c r="U939" i="7"/>
  <c r="U940" i="7"/>
  <c r="U941" i="7"/>
  <c r="U942" i="7"/>
  <c r="U943" i="7"/>
  <c r="U944" i="7"/>
  <c r="U945" i="7"/>
  <c r="U946" i="7"/>
  <c r="U947" i="7"/>
  <c r="U948" i="7"/>
  <c r="U949" i="7"/>
  <c r="U950" i="7"/>
  <c r="U951" i="7"/>
  <c r="U952" i="7"/>
  <c r="U953" i="7"/>
  <c r="U954" i="7"/>
  <c r="U955" i="7"/>
  <c r="U956" i="7"/>
  <c r="U957" i="7"/>
  <c r="U958" i="7"/>
  <c r="U959" i="7"/>
  <c r="U1022" i="7"/>
  <c r="U1023" i="7"/>
  <c r="U1024" i="7"/>
  <c r="U1025" i="7"/>
  <c r="U1026" i="7"/>
  <c r="U1027" i="7"/>
  <c r="U1028" i="7"/>
  <c r="U1029" i="7"/>
  <c r="U1030" i="7"/>
  <c r="U1031" i="7"/>
  <c r="U1032" i="7"/>
  <c r="U1033" i="7"/>
  <c r="U1034" i="7"/>
  <c r="U1035" i="7"/>
  <c r="U1036" i="7"/>
  <c r="U1037" i="7"/>
  <c r="U1038" i="7"/>
  <c r="U1039" i="7"/>
  <c r="U1043" i="7"/>
  <c r="U1044" i="7"/>
  <c r="U1045" i="7"/>
  <c r="U1046" i="7"/>
  <c r="U1047" i="7"/>
  <c r="U1048" i="7"/>
  <c r="U1049" i="7"/>
  <c r="U1050" i="7"/>
  <c r="U1051" i="7"/>
  <c r="U1052" i="7"/>
  <c r="U1053" i="7"/>
  <c r="U1054" i="7"/>
  <c r="U1055" i="7"/>
  <c r="U1056" i="7"/>
  <c r="U1057" i="7"/>
  <c r="U1058" i="7"/>
  <c r="U1059" i="7"/>
  <c r="U1060" i="7"/>
  <c r="U1061" i="7"/>
  <c r="U1063" i="7"/>
  <c r="U1064" i="7"/>
  <c r="U1065" i="7"/>
  <c r="U1066" i="7"/>
  <c r="U1067" i="7"/>
  <c r="U1068" i="7"/>
  <c r="U1069" i="7"/>
  <c r="U1073" i="7"/>
  <c r="U1074" i="7"/>
  <c r="U1075" i="7"/>
  <c r="U1076" i="7"/>
  <c r="U1077" i="7"/>
  <c r="U1078" i="7"/>
  <c r="U1079" i="7"/>
  <c r="U1080" i="7"/>
  <c r="U1081" i="7"/>
  <c r="U1082" i="7"/>
  <c r="U1083" i="7"/>
  <c r="U1084" i="7"/>
  <c r="U1085" i="7"/>
  <c r="U1086" i="7"/>
  <c r="U1087" i="7"/>
  <c r="U1088" i="7"/>
  <c r="U1090" i="7"/>
  <c r="U1091" i="7"/>
  <c r="U1092" i="7"/>
  <c r="U1093" i="7"/>
  <c r="U1094" i="7"/>
  <c r="U1095" i="7"/>
  <c r="U1096" i="7"/>
  <c r="U1097" i="7"/>
  <c r="U1098" i="7"/>
  <c r="U1099" i="7"/>
  <c r="U14" i="7"/>
  <c r="Q93" i="7"/>
  <c r="Q94" i="7"/>
  <c r="Q95" i="7"/>
  <c r="Q96" i="7"/>
  <c r="Q97" i="7"/>
  <c r="Q98" i="7"/>
  <c r="Q99" i="7"/>
  <c r="Q100" i="7"/>
  <c r="Q101" i="7"/>
  <c r="Q102" i="7"/>
  <c r="Q103" i="7"/>
  <c r="Q104" i="7"/>
  <c r="Q105" i="7"/>
  <c r="Q106" i="7"/>
  <c r="Q107" i="7"/>
  <c r="Q108" i="7"/>
  <c r="Q109" i="7"/>
  <c r="Q110" i="7"/>
  <c r="Q111" i="7"/>
  <c r="Q112" i="7"/>
  <c r="Q113" i="7"/>
  <c r="Q114" i="7"/>
  <c r="Q115" i="7"/>
  <c r="Q116" i="7"/>
  <c r="Q117" i="7"/>
  <c r="Q118" i="7"/>
  <c r="Q119" i="7"/>
  <c r="Q120" i="7"/>
  <c r="Q121" i="7"/>
  <c r="Q122" i="7"/>
  <c r="Q123" i="7"/>
  <c r="Q124" i="7"/>
  <c r="Q125" i="7"/>
  <c r="Q126" i="7"/>
  <c r="Q127" i="7"/>
  <c r="Q128" i="7"/>
  <c r="Q129" i="7"/>
  <c r="Q130" i="7"/>
  <c r="Q131" i="7"/>
  <c r="Q132" i="7"/>
  <c r="Q133" i="7"/>
  <c r="Q134" i="7"/>
  <c r="Q135" i="7"/>
  <c r="Q136" i="7"/>
  <c r="Q137" i="7"/>
  <c r="Q138" i="7"/>
  <c r="Q139" i="7"/>
  <c r="Q140" i="7"/>
  <c r="Q141" i="7"/>
  <c r="Q142" i="7"/>
  <c r="Q143" i="7"/>
  <c r="Q144" i="7"/>
  <c r="Q145" i="7"/>
  <c r="Q146" i="7"/>
  <c r="Q147" i="7"/>
  <c r="Q148" i="7"/>
  <c r="Q149" i="7"/>
  <c r="Q150" i="7"/>
  <c r="Q151" i="7"/>
  <c r="Q152" i="7"/>
  <c r="Q153" i="7"/>
  <c r="Q154" i="7"/>
  <c r="Q155" i="7"/>
  <c r="Q156" i="7"/>
  <c r="Q157" i="7"/>
  <c r="Q158" i="7"/>
  <c r="Q159" i="7"/>
  <c r="Q160" i="7"/>
  <c r="Q161" i="7"/>
  <c r="Q162" i="7"/>
  <c r="Q163" i="7"/>
  <c r="Q164" i="7"/>
  <c r="Q165" i="7"/>
  <c r="Q166" i="7"/>
  <c r="Q167" i="7"/>
  <c r="Q168" i="7"/>
  <c r="Q169" i="7"/>
  <c r="Q171" i="7"/>
  <c r="Q172" i="7"/>
  <c r="Q173" i="7"/>
  <c r="Q174" i="7"/>
  <c r="Q175" i="7"/>
  <c r="Q176" i="7"/>
  <c r="Q177" i="7"/>
  <c r="Q178" i="7"/>
  <c r="Q179" i="7"/>
  <c r="Q180" i="7"/>
  <c r="Q181" i="7"/>
  <c r="Q182" i="7"/>
  <c r="Q183" i="7"/>
  <c r="Q184" i="7"/>
  <c r="Q185" i="7"/>
  <c r="Q186" i="7"/>
  <c r="Q187" i="7"/>
  <c r="Q188" i="7"/>
  <c r="Q189" i="7"/>
  <c r="Q190" i="7"/>
  <c r="Q191" i="7"/>
  <c r="Q192" i="7"/>
  <c r="Q193" i="7"/>
  <c r="Q194" i="7"/>
  <c r="Q195" i="7"/>
  <c r="Q196" i="7"/>
  <c r="Q197" i="7"/>
  <c r="Q198" i="7"/>
  <c r="Q199" i="7"/>
  <c r="Q200" i="7"/>
  <c r="Q201" i="7"/>
  <c r="Q202" i="7"/>
  <c r="Q203" i="7"/>
  <c r="Q204" i="7"/>
  <c r="Q205" i="7"/>
  <c r="Q206" i="7"/>
  <c r="Q207" i="7"/>
  <c r="Q208" i="7"/>
  <c r="Q209" i="7"/>
  <c r="Q210" i="7"/>
  <c r="Q211" i="7"/>
  <c r="Q212" i="7"/>
  <c r="Q213" i="7"/>
  <c r="Q214" i="7"/>
  <c r="Q215" i="7"/>
  <c r="Q216" i="7"/>
  <c r="Q217" i="7"/>
  <c r="Q218" i="7"/>
  <c r="Q219" i="7"/>
  <c r="Q220" i="7"/>
  <c r="Q221" i="7"/>
  <c r="Q222" i="7"/>
  <c r="Q223" i="7"/>
  <c r="Q224" i="7"/>
  <c r="Q225" i="7"/>
  <c r="Q226" i="7"/>
  <c r="Q227" i="7"/>
  <c r="Q228" i="7"/>
  <c r="Q229" i="7"/>
  <c r="Q230" i="7"/>
  <c r="Q231" i="7"/>
  <c r="Q232" i="7"/>
  <c r="Q233" i="7"/>
  <c r="Q234" i="7"/>
  <c r="Q235" i="7"/>
  <c r="Q236" i="7"/>
  <c r="Q237" i="7"/>
  <c r="Q238" i="7"/>
  <c r="Q239" i="7"/>
  <c r="Q240" i="7"/>
  <c r="Q241" i="7"/>
  <c r="Q242" i="7"/>
  <c r="Q243" i="7"/>
  <c r="Q244" i="7"/>
  <c r="Q245" i="7"/>
  <c r="Q246" i="7"/>
  <c r="Q247" i="7"/>
  <c r="Q248" i="7"/>
  <c r="Q249" i="7"/>
  <c r="Q250" i="7"/>
  <c r="Q251" i="7"/>
  <c r="Q252" i="7"/>
  <c r="Q253" i="7"/>
  <c r="Q254" i="7"/>
  <c r="Q255" i="7"/>
  <c r="Q256" i="7"/>
  <c r="Q257" i="7"/>
  <c r="Q258" i="7"/>
  <c r="Q259" i="7"/>
  <c r="Q260" i="7"/>
  <c r="Q261" i="7"/>
  <c r="Q262" i="7"/>
  <c r="Q263" i="7"/>
  <c r="Q264" i="7"/>
  <c r="Q265" i="7"/>
  <c r="Q266" i="7"/>
  <c r="Q267" i="7"/>
  <c r="Q268" i="7"/>
  <c r="Q269" i="7"/>
  <c r="Q270" i="7"/>
  <c r="Q271" i="7"/>
  <c r="Q272" i="7"/>
  <c r="Q273" i="7"/>
  <c r="Q274" i="7"/>
  <c r="Q275" i="7"/>
  <c r="Q276" i="7"/>
  <c r="Q277" i="7"/>
  <c r="Q278" i="7"/>
  <c r="Q279" i="7"/>
  <c r="Q280" i="7"/>
  <c r="Q281" i="7"/>
  <c r="Q282" i="7"/>
  <c r="Q283" i="7"/>
  <c r="Q284" i="7"/>
  <c r="Q285" i="7"/>
  <c r="Q286" i="7"/>
  <c r="Q287" i="7"/>
  <c r="Q288" i="7"/>
  <c r="Q289" i="7"/>
  <c r="Q290" i="7"/>
  <c r="Q291" i="7"/>
  <c r="Q292" i="7"/>
  <c r="Q293" i="7"/>
  <c r="Q294" i="7"/>
  <c r="Q295" i="7"/>
  <c r="Q296" i="7"/>
  <c r="Q297" i="7"/>
  <c r="Q298" i="7"/>
  <c r="Q299" i="7"/>
  <c r="Q300" i="7"/>
  <c r="Q301" i="7"/>
  <c r="Q302" i="7"/>
  <c r="Q303" i="7"/>
  <c r="Q304" i="7"/>
  <c r="Q305" i="7"/>
  <c r="Q306" i="7"/>
  <c r="Q307" i="7"/>
  <c r="Q308" i="7"/>
  <c r="Q309" i="7"/>
  <c r="Q310" i="7"/>
  <c r="Q311" i="7"/>
  <c r="Q312" i="7"/>
  <c r="Q313" i="7"/>
  <c r="Q314" i="7"/>
  <c r="Q315" i="7"/>
  <c r="Q316" i="7"/>
  <c r="Q317" i="7"/>
  <c r="Q318" i="7"/>
  <c r="Q319" i="7"/>
  <c r="Q320" i="7"/>
  <c r="Q321" i="7"/>
  <c r="Q322" i="7"/>
  <c r="Q323" i="7"/>
  <c r="Q324" i="7"/>
  <c r="Q325" i="7"/>
  <c r="Q326" i="7"/>
  <c r="Q327" i="7"/>
  <c r="Q328" i="7"/>
  <c r="Q329" i="7"/>
  <c r="Q330" i="7"/>
  <c r="Q331" i="7"/>
  <c r="Q332" i="7"/>
  <c r="Q333" i="7"/>
  <c r="Q334" i="7"/>
  <c r="Q335" i="7"/>
  <c r="Q336" i="7"/>
  <c r="Q337" i="7"/>
  <c r="Q338" i="7"/>
  <c r="Q339" i="7"/>
  <c r="Q340" i="7"/>
  <c r="Q341" i="7"/>
  <c r="Q342" i="7"/>
  <c r="Q343" i="7"/>
  <c r="Q344" i="7"/>
  <c r="Q345" i="7"/>
  <c r="Q346" i="7"/>
  <c r="Q347" i="7"/>
  <c r="Q348" i="7"/>
  <c r="Q349" i="7"/>
  <c r="Q350" i="7"/>
  <c r="Q351" i="7"/>
  <c r="Q352" i="7"/>
  <c r="Q353" i="7"/>
  <c r="Q354" i="7"/>
  <c r="Q355" i="7"/>
  <c r="Q356" i="7"/>
  <c r="Q357" i="7"/>
  <c r="Q358" i="7"/>
  <c r="Q359" i="7"/>
  <c r="Q360" i="7"/>
  <c r="Q361" i="7"/>
  <c r="Q362" i="7"/>
  <c r="Q363" i="7"/>
  <c r="Q364" i="7"/>
  <c r="Q365" i="7"/>
  <c r="Q366" i="7"/>
  <c r="Q367" i="7"/>
  <c r="Q368" i="7"/>
  <c r="Q369" i="7"/>
  <c r="Q370" i="7"/>
  <c r="Q371" i="7"/>
  <c r="Q372" i="7"/>
  <c r="Q373" i="7"/>
  <c r="Q374" i="7"/>
  <c r="Q375" i="7"/>
  <c r="Q376" i="7"/>
  <c r="Q377" i="7"/>
  <c r="Q378" i="7"/>
  <c r="Q379" i="7"/>
  <c r="Q380" i="7"/>
  <c r="Q381" i="7"/>
  <c r="Q382" i="7"/>
  <c r="Q383" i="7"/>
  <c r="Q384" i="7"/>
  <c r="Q385" i="7"/>
  <c r="Q386" i="7"/>
  <c r="Q387" i="7"/>
  <c r="Q388" i="7"/>
  <c r="Q389" i="7"/>
  <c r="Q390" i="7"/>
  <c r="Q391" i="7"/>
  <c r="Q392" i="7"/>
  <c r="Q393" i="7"/>
  <c r="Q394" i="7"/>
  <c r="Q395" i="7"/>
  <c r="Q396" i="7"/>
  <c r="Q397" i="7"/>
  <c r="Q398" i="7"/>
  <c r="Q399" i="7"/>
  <c r="Q400" i="7"/>
  <c r="Q401" i="7"/>
  <c r="Q402" i="7"/>
  <c r="Q403" i="7"/>
  <c r="Q404" i="7"/>
  <c r="Q405" i="7"/>
  <c r="Q406" i="7"/>
  <c r="Q407" i="7"/>
  <c r="Q408" i="7"/>
  <c r="Q409" i="7"/>
  <c r="Q410" i="7"/>
  <c r="Q411" i="7"/>
  <c r="Q412" i="7"/>
  <c r="Q413" i="7"/>
  <c r="Q414" i="7"/>
  <c r="Q415" i="7"/>
  <c r="Q416" i="7"/>
  <c r="Q417" i="7"/>
  <c r="Q420" i="7"/>
  <c r="Q421" i="7"/>
  <c r="Q422" i="7"/>
  <c r="Q423" i="7"/>
  <c r="Q424" i="7"/>
  <c r="Q425" i="7"/>
  <c r="Q426" i="7"/>
  <c r="Q427" i="7"/>
  <c r="Q428" i="7"/>
  <c r="Q429" i="7"/>
  <c r="Q430" i="7"/>
  <c r="Q431" i="7"/>
  <c r="Q432" i="7"/>
  <c r="Q433" i="7"/>
  <c r="Q434" i="7"/>
  <c r="Q435" i="7"/>
  <c r="Q436" i="7"/>
  <c r="Q437" i="7"/>
  <c r="Q438" i="7"/>
  <c r="Q439" i="7"/>
  <c r="Q440" i="7"/>
  <c r="Q441" i="7"/>
  <c r="Q442" i="7"/>
  <c r="Q443" i="7"/>
  <c r="Q444" i="7"/>
  <c r="Q445" i="7"/>
  <c r="Q446" i="7"/>
  <c r="Q447" i="7"/>
  <c r="Q448" i="7"/>
  <c r="Q449" i="7"/>
  <c r="Q450" i="7"/>
  <c r="Q451" i="7"/>
  <c r="Q452" i="7"/>
  <c r="Q453" i="7"/>
  <c r="Q454" i="7"/>
  <c r="Q455" i="7"/>
  <c r="Q456" i="7"/>
  <c r="Q457" i="7"/>
  <c r="Q458" i="7"/>
  <c r="Q459" i="7"/>
  <c r="Q460" i="7"/>
  <c r="Q461" i="7"/>
  <c r="Q462" i="7"/>
  <c r="Q463" i="7"/>
  <c r="Q464" i="7"/>
  <c r="Q465" i="7"/>
  <c r="Q466" i="7"/>
  <c r="Q467" i="7"/>
  <c r="Q468" i="7"/>
  <c r="Q469" i="7"/>
  <c r="Q470" i="7"/>
  <c r="Q471" i="7"/>
  <c r="Q472" i="7"/>
  <c r="Q473" i="7"/>
  <c r="Q474" i="7"/>
  <c r="Q475" i="7"/>
  <c r="Q476" i="7"/>
  <c r="Q477" i="7"/>
  <c r="Q478" i="7"/>
  <c r="Q479" i="7"/>
  <c r="Q480" i="7"/>
  <c r="Q481" i="7"/>
  <c r="Q482" i="7"/>
  <c r="Q483" i="7"/>
  <c r="Q484" i="7"/>
  <c r="Q485" i="7"/>
  <c r="Q486" i="7"/>
  <c r="Q487" i="7"/>
  <c r="Q488" i="7"/>
  <c r="Q490" i="7"/>
  <c r="Q491" i="7"/>
  <c r="Q492" i="7"/>
  <c r="Q493" i="7"/>
  <c r="Q494" i="7"/>
  <c r="Q495" i="7"/>
  <c r="Q496" i="7"/>
  <c r="Q497" i="7"/>
  <c r="Q498" i="7"/>
  <c r="Q499" i="7"/>
  <c r="Q500" i="7"/>
  <c r="Q501" i="7"/>
  <c r="Q502" i="7"/>
  <c r="Q503" i="7"/>
  <c r="Q504" i="7"/>
  <c r="Q505" i="7"/>
  <c r="Q506" i="7"/>
  <c r="Q507" i="7"/>
  <c r="Q508" i="7"/>
  <c r="Q509" i="7"/>
  <c r="Q510" i="7"/>
  <c r="Q511" i="7"/>
  <c r="Q512" i="7"/>
  <c r="Q513" i="7"/>
  <c r="Q514" i="7"/>
  <c r="Q515" i="7"/>
  <c r="Q516" i="7"/>
  <c r="Q517" i="7"/>
  <c r="Q518" i="7"/>
  <c r="Q519" i="7"/>
  <c r="Q520" i="7"/>
  <c r="Q521" i="7"/>
  <c r="Q522" i="7"/>
  <c r="Q523" i="7"/>
  <c r="Q524" i="7"/>
  <c r="Q525" i="7"/>
  <c r="Q526" i="7"/>
  <c r="Q527" i="7"/>
  <c r="Q528" i="7"/>
  <c r="Q529" i="7"/>
  <c r="Q530" i="7"/>
  <c r="Q532" i="7"/>
  <c r="Q533" i="7"/>
  <c r="Q534" i="7"/>
  <c r="Q535" i="7"/>
  <c r="Q536" i="7"/>
  <c r="Q537" i="7"/>
  <c r="Q538" i="7"/>
  <c r="Q539" i="7"/>
  <c r="Q540" i="7"/>
  <c r="Q541" i="7"/>
  <c r="Q542" i="7"/>
  <c r="Q543" i="7"/>
  <c r="Q544" i="7"/>
  <c r="Q545" i="7"/>
  <c r="Q546" i="7"/>
  <c r="Q547" i="7"/>
  <c r="Q548" i="7"/>
  <c r="Q549" i="7"/>
  <c r="Q550" i="7"/>
  <c r="Q551" i="7"/>
  <c r="Q552" i="7"/>
  <c r="Q553" i="7"/>
  <c r="Q554" i="7"/>
  <c r="Q555" i="7"/>
  <c r="Q556" i="7"/>
  <c r="Q557" i="7"/>
  <c r="Q558" i="7"/>
  <c r="Q559" i="7"/>
  <c r="Q560" i="7"/>
  <c r="Q561" i="7"/>
  <c r="Q562" i="7"/>
  <c r="Q563" i="7"/>
  <c r="Q564" i="7"/>
  <c r="Q565" i="7"/>
  <c r="Q566" i="7"/>
  <c r="Q567" i="7"/>
  <c r="Q568" i="7"/>
  <c r="Q569" i="7"/>
  <c r="Q570" i="7"/>
  <c r="Q571" i="7"/>
  <c r="Q572" i="7"/>
  <c r="Q573" i="7"/>
  <c r="Q574" i="7"/>
  <c r="Q575" i="7"/>
  <c r="Q576" i="7"/>
  <c r="Q577" i="7"/>
  <c r="Q578" i="7"/>
  <c r="Q579" i="7"/>
  <c r="Q580" i="7"/>
  <c r="Q581" i="7"/>
  <c r="Q582" i="7"/>
  <c r="Q583" i="7"/>
  <c r="Q584" i="7"/>
  <c r="Q585" i="7"/>
  <c r="Q586" i="7"/>
  <c r="Q587" i="7"/>
  <c r="Q588" i="7"/>
  <c r="Q589" i="7"/>
  <c r="Q590" i="7"/>
  <c r="Q591" i="7"/>
  <c r="Q592" i="7"/>
  <c r="Q593" i="7"/>
  <c r="Q594" i="7"/>
  <c r="Q595" i="7"/>
  <c r="Q596" i="7"/>
  <c r="Q597" i="7"/>
  <c r="Q598" i="7"/>
  <c r="Q599" i="7"/>
  <c r="Q600" i="7"/>
  <c r="Q601" i="7"/>
  <c r="Q602" i="7"/>
  <c r="Q603" i="7"/>
  <c r="Q604" i="7"/>
  <c r="Q605" i="7"/>
  <c r="Q606" i="7"/>
  <c r="Q607" i="7"/>
  <c r="Q608" i="7"/>
  <c r="Q609" i="7"/>
  <c r="Q610" i="7"/>
  <c r="Q611" i="7"/>
  <c r="Q612" i="7"/>
  <c r="Q613" i="7"/>
  <c r="Q614" i="7"/>
  <c r="Q615" i="7"/>
  <c r="Q616" i="7"/>
  <c r="Q617" i="7"/>
  <c r="Q618" i="7"/>
  <c r="Q619" i="7"/>
  <c r="Q620" i="7"/>
  <c r="Q621" i="7"/>
  <c r="Q622" i="7"/>
  <c r="Q623" i="7"/>
  <c r="Q624" i="7"/>
  <c r="Q625" i="7"/>
  <c r="Q626" i="7"/>
  <c r="Q627" i="7"/>
  <c r="Q628" i="7"/>
  <c r="Q629" i="7"/>
  <c r="Q630" i="7"/>
  <c r="Q631" i="7"/>
  <c r="Q632" i="7"/>
  <c r="Q633" i="7"/>
  <c r="Q634" i="7"/>
  <c r="Q635" i="7"/>
  <c r="Q636" i="7"/>
  <c r="Q637" i="7"/>
  <c r="Q638" i="7"/>
  <c r="Q639" i="7"/>
  <c r="Q640" i="7"/>
  <c r="Q641" i="7"/>
  <c r="Q642" i="7"/>
  <c r="Q643" i="7"/>
  <c r="Q644" i="7"/>
  <c r="Q645" i="7"/>
  <c r="Q646" i="7"/>
  <c r="Q647" i="7"/>
  <c r="Q648" i="7"/>
  <c r="Q649" i="7"/>
  <c r="Q650" i="7"/>
  <c r="Q651" i="7"/>
  <c r="Q652" i="7"/>
  <c r="Q653" i="7"/>
  <c r="Q654" i="7"/>
  <c r="Q655" i="7"/>
  <c r="Q656" i="7"/>
  <c r="Q657" i="7"/>
  <c r="Q658" i="7"/>
  <c r="Q659" i="7"/>
  <c r="Q660" i="7"/>
  <c r="Q661" i="7"/>
  <c r="Q662" i="7"/>
  <c r="Q663" i="7"/>
  <c r="Q664" i="7"/>
  <c r="Q665" i="7"/>
  <c r="Q666" i="7"/>
  <c r="Q667" i="7"/>
  <c r="Q668" i="7"/>
  <c r="Q669" i="7"/>
  <c r="Q670" i="7"/>
  <c r="Q671" i="7"/>
  <c r="Q672" i="7"/>
  <c r="Q673" i="7"/>
  <c r="Q674" i="7"/>
  <c r="Q675" i="7"/>
  <c r="Q676" i="7"/>
  <c r="Q677" i="7"/>
  <c r="Q678" i="7"/>
  <c r="Q679" i="7"/>
  <c r="Q680" i="7"/>
  <c r="Q681" i="7"/>
  <c r="Q682" i="7"/>
  <c r="Q683" i="7"/>
  <c r="Q684" i="7"/>
  <c r="Q685" i="7"/>
  <c r="Q686" i="7"/>
  <c r="Q687" i="7"/>
  <c r="Q688" i="7"/>
  <c r="Q689" i="7"/>
  <c r="Q690" i="7"/>
  <c r="Q691" i="7"/>
  <c r="Q692" i="7"/>
  <c r="Q693" i="7"/>
  <c r="Q694" i="7"/>
  <c r="Q695" i="7"/>
  <c r="Q696" i="7"/>
  <c r="Q697" i="7"/>
  <c r="Q698" i="7"/>
  <c r="Q699" i="7"/>
  <c r="Q700" i="7"/>
  <c r="Q701" i="7"/>
  <c r="Q702" i="7"/>
  <c r="Q703" i="7"/>
  <c r="Q704" i="7"/>
  <c r="Q705" i="7"/>
  <c r="Q706" i="7"/>
  <c r="Q707" i="7"/>
  <c r="Q708" i="7"/>
  <c r="Q709" i="7"/>
  <c r="Q710" i="7"/>
  <c r="Q711" i="7"/>
  <c r="Q712" i="7"/>
  <c r="Q713" i="7"/>
  <c r="Q714" i="7"/>
  <c r="Q715" i="7"/>
  <c r="Q716" i="7"/>
  <c r="Q717" i="7"/>
  <c r="Q718" i="7"/>
  <c r="Q719" i="7"/>
  <c r="Q720" i="7"/>
  <c r="Q721" i="7"/>
  <c r="Q722" i="7"/>
  <c r="Q723" i="7"/>
  <c r="Q724" i="7"/>
  <c r="Q725" i="7"/>
  <c r="Q726" i="7"/>
  <c r="Q727" i="7"/>
  <c r="Q728" i="7"/>
  <c r="Q729" i="7"/>
  <c r="Q730" i="7"/>
  <c r="Q731" i="7"/>
  <c r="Q732" i="7"/>
  <c r="Q733" i="7"/>
  <c r="Q734" i="7"/>
  <c r="Q735" i="7"/>
  <c r="Q736" i="7"/>
  <c r="Q737" i="7"/>
  <c r="Q738" i="7"/>
  <c r="Q739" i="7"/>
  <c r="Q740" i="7"/>
  <c r="Q741" i="7"/>
  <c r="Q742" i="7"/>
  <c r="Q743" i="7"/>
  <c r="Q744" i="7"/>
  <c r="Q745" i="7"/>
  <c r="Q746" i="7"/>
  <c r="Q747" i="7"/>
  <c r="Q748" i="7"/>
  <c r="Q749" i="7"/>
  <c r="Q750" i="7"/>
  <c r="Q751" i="7"/>
  <c r="Q752" i="7"/>
  <c r="Q753" i="7"/>
  <c r="Q754" i="7"/>
  <c r="Q755" i="7"/>
  <c r="Q756" i="7"/>
  <c r="Q757" i="7"/>
  <c r="Q758" i="7"/>
  <c r="Q759" i="7"/>
  <c r="Q760" i="7"/>
  <c r="Q761" i="7"/>
  <c r="Q762" i="7"/>
  <c r="Q763" i="7"/>
  <c r="Q764" i="7"/>
  <c r="Q765" i="7"/>
  <c r="Q766" i="7"/>
  <c r="Q767" i="7"/>
  <c r="Q768" i="7"/>
  <c r="Q769" i="7"/>
  <c r="Q770" i="7"/>
  <c r="Q771" i="7"/>
  <c r="Q772" i="7"/>
  <c r="Q773" i="7"/>
  <c r="Q774" i="7"/>
  <c r="Q776" i="7"/>
  <c r="Q777" i="7"/>
  <c r="Q778" i="7"/>
  <c r="Q779" i="7"/>
  <c r="Q780" i="7"/>
  <c r="Q781" i="7"/>
  <c r="Q783" i="7"/>
  <c r="Q784" i="7"/>
  <c r="Q785" i="7"/>
  <c r="Q786" i="7"/>
  <c r="Q787" i="7"/>
  <c r="Q788" i="7"/>
  <c r="Q790" i="7"/>
  <c r="Q791" i="7"/>
  <c r="Q792" i="7"/>
  <c r="Q793" i="7"/>
  <c r="Q794" i="7"/>
  <c r="Q795" i="7"/>
  <c r="Q796" i="7"/>
  <c r="Q797" i="7"/>
  <c r="Q798" i="7"/>
  <c r="Q799" i="7"/>
  <c r="Q800" i="7"/>
  <c r="Q801" i="7"/>
  <c r="Q802" i="7"/>
  <c r="Q803" i="7"/>
  <c r="Q804" i="7"/>
  <c r="Q805" i="7"/>
  <c r="Q806" i="7"/>
  <c r="Q807" i="7"/>
  <c r="Q808" i="7"/>
  <c r="Q809" i="7"/>
  <c r="Q810" i="7"/>
  <c r="Q811" i="7"/>
  <c r="Q812" i="7"/>
  <c r="Q813" i="7"/>
  <c r="Q814" i="7"/>
  <c r="Q815" i="7"/>
  <c r="Q816" i="7"/>
  <c r="Q817" i="7"/>
  <c r="Q818" i="7"/>
  <c r="Q819" i="7"/>
  <c r="Q820" i="7"/>
  <c r="Q821" i="7"/>
  <c r="Q822" i="7"/>
  <c r="Q823" i="7"/>
  <c r="Q824" i="7"/>
  <c r="Q825" i="7"/>
  <c r="Q826" i="7"/>
  <c r="Q827" i="7"/>
  <c r="Q828" i="7"/>
  <c r="Q829" i="7"/>
  <c r="Q830" i="7"/>
  <c r="Q831" i="7"/>
  <c r="Q832" i="7"/>
  <c r="Q833" i="7"/>
  <c r="Q834" i="7"/>
  <c r="Q835" i="7"/>
  <c r="Q836" i="7"/>
  <c r="Q837" i="7"/>
  <c r="Q838" i="7"/>
  <c r="Q839" i="7"/>
  <c r="Q840" i="7"/>
  <c r="Q841" i="7"/>
  <c r="Q842" i="7"/>
  <c r="Q843" i="7"/>
  <c r="Q844" i="7"/>
  <c r="Q845" i="7"/>
  <c r="Q846" i="7"/>
  <c r="Q847" i="7"/>
  <c r="Q848" i="7"/>
  <c r="Q849" i="7"/>
  <c r="Q850" i="7"/>
  <c r="Q851" i="7"/>
  <c r="Q852" i="7"/>
  <c r="Q853" i="7"/>
  <c r="Q854" i="7"/>
  <c r="Q855" i="7"/>
  <c r="Q856" i="7"/>
  <c r="Q857" i="7"/>
  <c r="Q858" i="7"/>
  <c r="Q859" i="7"/>
  <c r="Q860" i="7"/>
  <c r="Q861" i="7"/>
  <c r="Q862" i="7"/>
  <c r="Q863" i="7"/>
  <c r="Q864" i="7"/>
  <c r="Q865" i="7"/>
  <c r="Q866" i="7"/>
  <c r="Q867" i="7"/>
  <c r="Q868" i="7"/>
  <c r="Q869" i="7"/>
  <c r="Q870" i="7"/>
  <c r="Q871" i="7"/>
  <c r="Q872" i="7"/>
  <c r="Q873" i="7"/>
  <c r="Q874" i="7"/>
  <c r="Q875" i="7"/>
  <c r="Q876" i="7"/>
  <c r="Q877" i="7"/>
  <c r="Q878" i="7"/>
  <c r="Q879" i="7"/>
  <c r="Q880" i="7"/>
  <c r="Q881" i="7"/>
  <c r="Q882" i="7"/>
  <c r="Q883" i="7"/>
  <c r="Q884" i="7"/>
  <c r="Q885" i="7"/>
  <c r="Q886" i="7"/>
  <c r="Q887" i="7"/>
  <c r="Q888" i="7"/>
  <c r="Q889" i="7"/>
  <c r="Q890" i="7"/>
  <c r="Q891" i="7"/>
  <c r="Q892" i="7"/>
  <c r="Q893" i="7"/>
  <c r="Q894" i="7"/>
  <c r="Q895" i="7"/>
  <c r="Q896" i="7"/>
  <c r="Q897" i="7"/>
  <c r="Q898" i="7"/>
  <c r="Q899" i="7"/>
  <c r="Q900" i="7"/>
  <c r="Q901" i="7"/>
  <c r="Q902" i="7"/>
  <c r="Q903" i="7"/>
  <c r="Q904" i="7"/>
  <c r="Q905" i="7"/>
  <c r="Q906" i="7"/>
  <c r="Q907" i="7"/>
  <c r="Q908" i="7"/>
  <c r="Q909" i="7"/>
  <c r="Q910" i="7"/>
  <c r="Q911" i="7"/>
  <c r="Q912" i="7"/>
  <c r="Q913" i="7"/>
  <c r="Q914" i="7"/>
  <c r="Q915" i="7"/>
  <c r="Q916" i="7"/>
  <c r="Q917" i="7"/>
  <c r="Q918" i="7"/>
  <c r="Q919" i="7"/>
  <c r="Q920" i="7"/>
  <c r="Q921" i="7"/>
  <c r="Q922" i="7"/>
  <c r="Q923" i="7"/>
  <c r="Q924" i="7"/>
  <c r="Q925" i="7"/>
  <c r="Q926" i="7"/>
  <c r="Q927" i="7"/>
  <c r="Q928" i="7"/>
  <c r="Q929" i="7"/>
  <c r="Q930" i="7"/>
  <c r="Q931" i="7"/>
  <c r="Q932" i="7"/>
  <c r="Q933" i="7"/>
  <c r="Q934" i="7"/>
  <c r="Q935" i="7"/>
  <c r="Q936" i="7"/>
  <c r="Q937" i="7"/>
  <c r="Q938" i="7"/>
  <c r="Q939" i="7"/>
  <c r="Q940" i="7"/>
  <c r="Q941" i="7"/>
  <c r="Q942" i="7"/>
  <c r="Q943" i="7"/>
  <c r="Q944" i="7"/>
  <c r="Q945" i="7"/>
  <c r="Q946" i="7"/>
  <c r="Q947" i="7"/>
  <c r="Q948" i="7"/>
  <c r="Q949" i="7"/>
  <c r="Q950" i="7"/>
  <c r="Q951" i="7"/>
  <c r="Q952" i="7"/>
  <c r="Q953" i="7"/>
  <c r="Q954" i="7"/>
  <c r="Q955" i="7"/>
  <c r="Q956" i="7"/>
  <c r="Q957" i="7"/>
  <c r="Q958" i="7"/>
  <c r="Q959" i="7"/>
  <c r="Q1022" i="7"/>
  <c r="Q1023" i="7"/>
  <c r="Q1024" i="7"/>
  <c r="Q1025" i="7"/>
  <c r="Q1026" i="7"/>
  <c r="Q1027" i="7"/>
  <c r="Q1028" i="7"/>
  <c r="Q1029" i="7"/>
  <c r="Q1030" i="7"/>
  <c r="Q1031" i="7"/>
  <c r="Q1032" i="7"/>
  <c r="Q1033" i="7"/>
  <c r="Q1034" i="7"/>
  <c r="Q1035" i="7"/>
  <c r="Q1036" i="7"/>
  <c r="Q1037" i="7"/>
  <c r="Q1038" i="7"/>
  <c r="Q1039" i="7"/>
  <c r="Q1043" i="7"/>
  <c r="Q1044" i="7"/>
  <c r="Q1045" i="7"/>
  <c r="Q1046" i="7"/>
  <c r="Q1047" i="7"/>
  <c r="Q1048" i="7"/>
  <c r="Q1049" i="7"/>
  <c r="Q1050" i="7"/>
  <c r="Q1051" i="7"/>
  <c r="Q1052" i="7"/>
  <c r="Q1053" i="7"/>
  <c r="Q1054" i="7"/>
  <c r="Q1055" i="7"/>
  <c r="Q1056" i="7"/>
  <c r="Q1057" i="7"/>
  <c r="Q1058" i="7"/>
  <c r="Q1059" i="7"/>
  <c r="Q1060" i="7"/>
  <c r="Q1061" i="7"/>
  <c r="Q1063" i="7"/>
  <c r="Q1064" i="7"/>
  <c r="Q1065" i="7"/>
  <c r="Q1066" i="7"/>
  <c r="Q1067" i="7"/>
  <c r="Q1068" i="7"/>
  <c r="Q1069" i="7"/>
  <c r="Q1073" i="7"/>
  <c r="Q1074" i="7"/>
  <c r="Q1075" i="7"/>
  <c r="Q1076" i="7"/>
  <c r="Q1077" i="7"/>
  <c r="Q1078" i="7"/>
  <c r="Q1079" i="7"/>
  <c r="Q1080" i="7"/>
  <c r="Q1081" i="7"/>
  <c r="Q1082" i="7"/>
  <c r="Q1083" i="7"/>
  <c r="Q1084" i="7"/>
  <c r="Q1085" i="7"/>
  <c r="Q1086" i="7"/>
  <c r="Q1087" i="7"/>
  <c r="Q1088" i="7"/>
  <c r="Q1090" i="7"/>
  <c r="Q1091" i="7"/>
  <c r="Q1092" i="7"/>
  <c r="Q1093" i="7"/>
  <c r="Q1094" i="7"/>
  <c r="Q1095" i="7"/>
  <c r="Q1096" i="7"/>
  <c r="Q1097" i="7"/>
  <c r="Q1098" i="7"/>
  <c r="Q1099" i="7"/>
  <c r="Q1100" i="7"/>
  <c r="Q1101" i="7"/>
  <c r="Q1102" i="7"/>
  <c r="Q1103" i="7"/>
  <c r="Q1104" i="7"/>
  <c r="Q1105" i="7"/>
  <c r="Q1106" i="7"/>
  <c r="Q1107" i="7"/>
  <c r="Q1108" i="7"/>
  <c r="Q1109" i="7"/>
  <c r="Q1110" i="7"/>
  <c r="Q1111" i="7"/>
  <c r="Q1112" i="7"/>
  <c r="Q1113" i="7"/>
  <c r="Q1114" i="7"/>
  <c r="Q1115" i="7"/>
  <c r="Q1116" i="7"/>
  <c r="Q1117" i="7"/>
  <c r="Q1118" i="7"/>
  <c r="Q1119" i="7"/>
  <c r="Q1120" i="7"/>
  <c r="Q1121" i="7"/>
  <c r="Q1122" i="7"/>
  <c r="Q1123" i="7"/>
  <c r="Q1124" i="7"/>
  <c r="Q1125" i="7"/>
  <c r="Q1126" i="7"/>
  <c r="Q1127" i="7"/>
  <c r="Q1128" i="7"/>
  <c r="Q1129" i="7"/>
  <c r="Q1130" i="7"/>
  <c r="Q1131" i="7"/>
  <c r="Q1132" i="7"/>
  <c r="Q1133" i="7"/>
  <c r="Q1134" i="7"/>
  <c r="Q1135" i="7"/>
  <c r="Q1136" i="7"/>
  <c r="Q1137" i="7"/>
  <c r="Q1138" i="7"/>
  <c r="Q1139" i="7"/>
  <c r="Q1140" i="7"/>
  <c r="Q1141" i="7"/>
  <c r="Q1142" i="7"/>
  <c r="Q1143" i="7"/>
  <c r="Q1144" i="7"/>
  <c r="Q1145" i="7"/>
  <c r="Q1146" i="7"/>
  <c r="Q1147" i="7"/>
  <c r="Q1148" i="7"/>
  <c r="Q1149" i="7"/>
  <c r="Q1150" i="7"/>
  <c r="Q1151" i="7"/>
  <c r="Q1152" i="7"/>
  <c r="Q1153" i="7"/>
  <c r="Q1154" i="7"/>
  <c r="Q1155" i="7"/>
  <c r="Q1156" i="7"/>
  <c r="Q1157" i="7"/>
  <c r="Q1158" i="7"/>
  <c r="Q1159" i="7"/>
  <c r="Q1160" i="7"/>
  <c r="Q1161" i="7"/>
  <c r="Q1162" i="7"/>
  <c r="Q1163" i="7"/>
  <c r="Q1164" i="7"/>
  <c r="Q1165" i="7"/>
  <c r="Q1166" i="7"/>
  <c r="Q1167" i="7"/>
  <c r="Q1168" i="7"/>
  <c r="Q1169" i="7"/>
  <c r="Q1170" i="7"/>
  <c r="Q1171" i="7"/>
  <c r="Q1172" i="7"/>
  <c r="Q1173" i="7"/>
  <c r="Q1174" i="7"/>
  <c r="Q1175" i="7"/>
  <c r="Q1176" i="7"/>
  <c r="Q1177" i="7"/>
  <c r="Q1178" i="7"/>
  <c r="Q1179" i="7"/>
  <c r="Q1180" i="7"/>
  <c r="Q1181" i="7"/>
  <c r="Q1182" i="7"/>
  <c r="Q1183" i="7"/>
  <c r="Q1184" i="7"/>
  <c r="Q1185" i="7"/>
  <c r="Q1186" i="7"/>
  <c r="Q1187" i="7"/>
  <c r="Q1188" i="7"/>
  <c r="Q1189" i="7"/>
  <c r="Q1190" i="7"/>
  <c r="Q1191" i="7"/>
  <c r="Q1192" i="7"/>
  <c r="Q1193" i="7"/>
  <c r="Q1194" i="7"/>
  <c r="Q1195" i="7"/>
  <c r="Q1196" i="7"/>
  <c r="Q1197" i="7"/>
  <c r="Q1198" i="7"/>
  <c r="Q1199" i="7"/>
  <c r="Q1200" i="7"/>
  <c r="Q1201" i="7"/>
  <c r="Q1202" i="7"/>
  <c r="Q1203" i="7"/>
  <c r="Q1204" i="7"/>
  <c r="Q1205" i="7"/>
  <c r="Q1206" i="7"/>
  <c r="Q1207" i="7"/>
  <c r="Q1208" i="7"/>
  <c r="Q1209" i="7"/>
  <c r="Q1210" i="7"/>
  <c r="Q1211" i="7"/>
  <c r="Q1212" i="7"/>
  <c r="Q1213" i="7"/>
  <c r="Q1214" i="7"/>
  <c r="Q1215" i="7"/>
  <c r="Q1216" i="7"/>
  <c r="Q1217" i="7"/>
  <c r="Q1218" i="7"/>
  <c r="Q1219" i="7"/>
  <c r="Q1220" i="7"/>
  <c r="Q1221" i="7"/>
  <c r="Q1222" i="7"/>
  <c r="Q1223" i="7"/>
  <c r="Q1224" i="7"/>
  <c r="Q1225" i="7"/>
  <c r="Q1226" i="7"/>
  <c r="Q1227" i="7"/>
  <c r="Q1228" i="7"/>
  <c r="Q1229" i="7"/>
  <c r="Q1230" i="7"/>
  <c r="Q1231" i="7"/>
  <c r="Q1232" i="7"/>
  <c r="Q1233" i="7"/>
  <c r="Q1234" i="7"/>
  <c r="Q1235" i="7"/>
  <c r="Q1236" i="7"/>
  <c r="Q1237" i="7"/>
  <c r="Q1238" i="7"/>
  <c r="Q1239" i="7"/>
  <c r="Q1240" i="7"/>
  <c r="Q1241" i="7"/>
  <c r="Q1242" i="7"/>
  <c r="Q1243" i="7"/>
  <c r="Q1244" i="7"/>
  <c r="Q1245" i="7"/>
  <c r="Q1246" i="7"/>
  <c r="Q1247" i="7"/>
  <c r="Q1248" i="7"/>
  <c r="Q1249" i="7"/>
  <c r="Q1250" i="7"/>
  <c r="Q1251" i="7"/>
  <c r="Q1252" i="7"/>
  <c r="Q1253" i="7"/>
  <c r="Q1254" i="7"/>
  <c r="Q1255" i="7"/>
  <c r="Q1256" i="7"/>
  <c r="Q1257" i="7"/>
  <c r="Q1258" i="7"/>
  <c r="Q1259" i="7"/>
  <c r="Q1260" i="7"/>
  <c r="Q1261" i="7"/>
  <c r="Q1262" i="7"/>
  <c r="Q1263" i="7"/>
  <c r="Q1264" i="7"/>
  <c r="Q1265" i="7"/>
  <c r="Q1266" i="7"/>
  <c r="Q1267" i="7"/>
  <c r="Q1268" i="7"/>
  <c r="Q1269" i="7"/>
  <c r="Q1270" i="7"/>
  <c r="Q1271" i="7"/>
  <c r="Q1272" i="7"/>
  <c r="Q1273" i="7"/>
  <c r="Q1274" i="7"/>
  <c r="Q1275" i="7"/>
  <c r="Q1276" i="7"/>
  <c r="Q1277" i="7"/>
  <c r="Q1278" i="7"/>
  <c r="Q1279" i="7"/>
  <c r="Q1282" i="7"/>
  <c r="Q1283" i="7"/>
  <c r="Q1284" i="7"/>
  <c r="Q1285" i="7"/>
  <c r="Q1286" i="7"/>
  <c r="Q1287" i="7"/>
  <c r="Q1288" i="7"/>
  <c r="Q1289" i="7"/>
  <c r="Q1290" i="7"/>
  <c r="Q1291" i="7"/>
  <c r="Q1292" i="7"/>
  <c r="Q1293" i="7"/>
  <c r="Q1294" i="7"/>
  <c r="Q1295" i="7"/>
  <c r="Q1296" i="7"/>
  <c r="Q1297" i="7"/>
  <c r="Q1298" i="7"/>
  <c r="Q1299" i="7"/>
  <c r="Q1300" i="7"/>
  <c r="Q1301" i="7"/>
  <c r="Q1302" i="7"/>
  <c r="Q1303" i="7"/>
  <c r="Q1304" i="7"/>
  <c r="Q1305" i="7"/>
  <c r="Q1306" i="7"/>
  <c r="Q1307" i="7"/>
  <c r="Q1308" i="7"/>
  <c r="Q1310" i="7"/>
  <c r="Q1311" i="7"/>
  <c r="Q1312" i="7"/>
  <c r="Q1313" i="7"/>
  <c r="Q1314" i="7"/>
  <c r="Q1315" i="7"/>
  <c r="Q1316" i="7"/>
  <c r="Q1317" i="7"/>
  <c r="Q1318" i="7"/>
  <c r="Q1319" i="7"/>
  <c r="Q1320" i="7"/>
  <c r="Q1321" i="7"/>
  <c r="Q1322" i="7"/>
  <c r="Q1323" i="7"/>
  <c r="Q1324" i="7"/>
  <c r="Q1325" i="7"/>
  <c r="Q1326" i="7"/>
  <c r="Q1327" i="7"/>
  <c r="Q1328" i="7"/>
  <c r="Q1330" i="7"/>
  <c r="Q1331" i="7"/>
  <c r="Q1332" i="7"/>
  <c r="Q1333" i="7"/>
  <c r="Q1334" i="7"/>
  <c r="Q1335" i="7"/>
  <c r="Q1336" i="7"/>
  <c r="Q1337" i="7"/>
  <c r="Q1338" i="7"/>
  <c r="Q1339" i="7"/>
  <c r="Q1340" i="7"/>
  <c r="Q1341" i="7"/>
  <c r="Q1342" i="7"/>
  <c r="Q1343" i="7"/>
  <c r="Q1344" i="7"/>
  <c r="Q1346" i="7"/>
  <c r="Q92" i="7"/>
  <c r="U1291" i="7"/>
  <c r="E25" i="44"/>
  <c r="C21" i="44"/>
  <c r="N21" i="44" s="1"/>
  <c r="P21" i="44" s="1"/>
  <c r="A20" i="44"/>
  <c r="C16" i="44"/>
  <c r="D11" i="44"/>
  <c r="D13" i="44" s="1"/>
  <c r="C11" i="44"/>
  <c r="C15" i="44" s="1"/>
  <c r="N15" i="44" s="1"/>
  <c r="P15" i="44" s="1"/>
  <c r="A11" i="44"/>
  <c r="N10" i="44"/>
  <c r="P10" i="44" s="1"/>
  <c r="D9" i="44"/>
  <c r="D17" i="44" s="1"/>
  <c r="C9" i="44"/>
  <c r="C17" i="44" s="1"/>
  <c r="N17" i="44" s="1"/>
  <c r="A9" i="44"/>
  <c r="N8" i="44"/>
  <c r="P8" i="44" s="1"/>
  <c r="N7" i="44"/>
  <c r="N11" i="44" l="1"/>
  <c r="N12" i="44" s="1"/>
  <c r="P12" i="44" s="1"/>
  <c r="C13" i="44"/>
  <c r="N13" i="44" s="1"/>
  <c r="P13" i="44" s="1"/>
  <c r="N18" i="44"/>
  <c r="P18" i="44" s="1"/>
  <c r="P17" i="44"/>
  <c r="C22" i="44"/>
  <c r="D16" i="44"/>
  <c r="N16" i="44" s="1"/>
  <c r="P16" i="44" s="1"/>
  <c r="N9" i="44"/>
  <c r="P9" i="44" s="1"/>
  <c r="P11" i="44" l="1"/>
  <c r="C24" i="44"/>
  <c r="N22" i="44"/>
  <c r="P22" i="44" s="1"/>
  <c r="N24" i="44" l="1"/>
  <c r="N26" i="44" s="1"/>
  <c r="C28" i="44"/>
  <c r="N28" i="44" s="1"/>
  <c r="P28" i="44" s="1"/>
  <c r="C25" i="44"/>
  <c r="N25" i="44" s="1"/>
  <c r="P26" i="44" l="1"/>
  <c r="N27" i="44"/>
  <c r="P27" i="44" s="1"/>
  <c r="U1316" i="7" l="1"/>
  <c r="U1321" i="7"/>
  <c r="U1294" i="7"/>
  <c r="U1293" i="7"/>
  <c r="U1292" i="7"/>
  <c r="Q82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67" i="7"/>
  <c r="Q68" i="7"/>
  <c r="Q69" i="7"/>
  <c r="Q70" i="7"/>
  <c r="Q14" i="7"/>
  <c r="E38" i="8" l="1"/>
  <c r="E36" i="8"/>
  <c r="K12" i="8" l="1"/>
  <c r="A363" i="43" l="1"/>
  <c r="A337" i="43"/>
  <c r="C259" i="43"/>
  <c r="C254" i="43"/>
  <c r="F2797" i="42" s="1"/>
  <c r="A225" i="43"/>
  <c r="C213" i="43"/>
  <c r="F705" i="42" s="1"/>
  <c r="C209" i="43"/>
  <c r="F704" i="42" s="1"/>
  <c r="C197" i="43"/>
  <c r="C191" i="43"/>
  <c r="F3653" i="42" s="1"/>
  <c r="C185" i="43"/>
  <c r="F3648" i="42" s="1"/>
  <c r="A180" i="43"/>
  <c r="A145" i="43"/>
  <c r="A93" i="43"/>
  <c r="A42" i="43"/>
  <c r="A12" i="43"/>
  <c r="D4317" i="42"/>
  <c r="H4312" i="42"/>
  <c r="F4312" i="42"/>
  <c r="F4309" i="42"/>
  <c r="F4308" i="42"/>
  <c r="F4307" i="42"/>
  <c r="F4306" i="42"/>
  <c r="F4296" i="42"/>
  <c r="F4295" i="42"/>
  <c r="F4294" i="42"/>
  <c r="F4292" i="42"/>
  <c r="F4291" i="42"/>
  <c r="F4289" i="42"/>
  <c r="F4288" i="42"/>
  <c r="F4285" i="42"/>
  <c r="F4284" i="42"/>
  <c r="F4283" i="42"/>
  <c r="F4282" i="42"/>
  <c r="F4272" i="42"/>
  <c r="F4271" i="42"/>
  <c r="F4270" i="42"/>
  <c r="F4268" i="42"/>
  <c r="F4267" i="42"/>
  <c r="F4265" i="42"/>
  <c r="F4264" i="42"/>
  <c r="F4261" i="42"/>
  <c r="F4260" i="42"/>
  <c r="F4259" i="42"/>
  <c r="F4258" i="42"/>
  <c r="F4248" i="42"/>
  <c r="F4247" i="42"/>
  <c r="F4246" i="42"/>
  <c r="F4244" i="42"/>
  <c r="F4243" i="42"/>
  <c r="F4241" i="42"/>
  <c r="F4240" i="42"/>
  <c r="F4237" i="42"/>
  <c r="F4236" i="42"/>
  <c r="F4235" i="42"/>
  <c r="F4234" i="42"/>
  <c r="F4224" i="42"/>
  <c r="F4223" i="42"/>
  <c r="F4222" i="42"/>
  <c r="F4220" i="42"/>
  <c r="F4219" i="42"/>
  <c r="F4217" i="42"/>
  <c r="F4216" i="42"/>
  <c r="F4213" i="42"/>
  <c r="F4212" i="42"/>
  <c r="F4211" i="42"/>
  <c r="F4210" i="42"/>
  <c r="D4205" i="42"/>
  <c r="F4200" i="42"/>
  <c r="D4200" i="42"/>
  <c r="F4199" i="42"/>
  <c r="F4196" i="42"/>
  <c r="F4195" i="42"/>
  <c r="F4194" i="42"/>
  <c r="F4193" i="42"/>
  <c r="D4188" i="42"/>
  <c r="F4183" i="42"/>
  <c r="F4180" i="42" s="1"/>
  <c r="D4175" i="42"/>
  <c r="F4170" i="42"/>
  <c r="F4167" i="42"/>
  <c r="F4166" i="42"/>
  <c r="F4165" i="42"/>
  <c r="D4165" i="42"/>
  <c r="F4164" i="42"/>
  <c r="D4159" i="42"/>
  <c r="F4154" i="42"/>
  <c r="F4151" i="42"/>
  <c r="F4150" i="42"/>
  <c r="F4149" i="42"/>
  <c r="F4148" i="42"/>
  <c r="D4143" i="42"/>
  <c r="F4138" i="42"/>
  <c r="F4135" i="42"/>
  <c r="F4134" i="42"/>
  <c r="F4133" i="42"/>
  <c r="F4132" i="42"/>
  <c r="D4127" i="42"/>
  <c r="F4123" i="42"/>
  <c r="D4123" i="42"/>
  <c r="F4120" i="42"/>
  <c r="F4119" i="42"/>
  <c r="F4118" i="42"/>
  <c r="F4117" i="42"/>
  <c r="F4112" i="42"/>
  <c r="F4109" i="42"/>
  <c r="D4109" i="42"/>
  <c r="F4108" i="42"/>
  <c r="D4108" i="42"/>
  <c r="F4107" i="42"/>
  <c r="D4107" i="42"/>
  <c r="F4106" i="42"/>
  <c r="D4106" i="42"/>
  <c r="D4100" i="42"/>
  <c r="F4095" i="42"/>
  <c r="G4092" i="42"/>
  <c r="D4087" i="42"/>
  <c r="F4082" i="42"/>
  <c r="G4079" i="42"/>
  <c r="D4074" i="42"/>
  <c r="F4069" i="42"/>
  <c r="G4066" i="42"/>
  <c r="D4061" i="42"/>
  <c r="F4056" i="42"/>
  <c r="G4053" i="42"/>
  <c r="D4048" i="42"/>
  <c r="F4043" i="42"/>
  <c r="G4040" i="42"/>
  <c r="D4035" i="42"/>
  <c r="F4033" i="42"/>
  <c r="D4028" i="42"/>
  <c r="F4027" i="42"/>
  <c r="D4023" i="42"/>
  <c r="F4020" i="42"/>
  <c r="F4019" i="42"/>
  <c r="F4018" i="42"/>
  <c r="F4015" i="42"/>
  <c r="F4014" i="42"/>
  <c r="F4013" i="42"/>
  <c r="F4012" i="42"/>
  <c r="D4007" i="42"/>
  <c r="F4002" i="42"/>
  <c r="F4001" i="42"/>
  <c r="F4000" i="42"/>
  <c r="F3999" i="42"/>
  <c r="F3996" i="42"/>
  <c r="F3995" i="42"/>
  <c r="F3994" i="42"/>
  <c r="F3993" i="42"/>
  <c r="D3988" i="42"/>
  <c r="G3985" i="42"/>
  <c r="G3984" i="42"/>
  <c r="G3983" i="42"/>
  <c r="G3982" i="42"/>
  <c r="D3979" i="42"/>
  <c r="F3978" i="42"/>
  <c r="G3977" i="42"/>
  <c r="F3974" i="42"/>
  <c r="F3973" i="42"/>
  <c r="D3968" i="42"/>
  <c r="F3963" i="42"/>
  <c r="F3962" i="42"/>
  <c r="F3959" i="42"/>
  <c r="F3958" i="42"/>
  <c r="F3957" i="42"/>
  <c r="F3956" i="42"/>
  <c r="F3939" i="42"/>
  <c r="D3939" i="42"/>
  <c r="F3938" i="42"/>
  <c r="F3935" i="42"/>
  <c r="F3934" i="42"/>
  <c r="F3933" i="42"/>
  <c r="F3932" i="42"/>
  <c r="G3922" i="42"/>
  <c r="G3921" i="42"/>
  <c r="G3920" i="42"/>
  <c r="G3918" i="42"/>
  <c r="G3917" i="42"/>
  <c r="G3915" i="42"/>
  <c r="G3914" i="42"/>
  <c r="F3911" i="42"/>
  <c r="F3910" i="42"/>
  <c r="F3909" i="42"/>
  <c r="F3908" i="42"/>
  <c r="F3898" i="42"/>
  <c r="F3897" i="42"/>
  <c r="F3895" i="42"/>
  <c r="F3892" i="42"/>
  <c r="F3891" i="42"/>
  <c r="F3890" i="42"/>
  <c r="F3889" i="42"/>
  <c r="D3884" i="42"/>
  <c r="F3879" i="42"/>
  <c r="F3878" i="42"/>
  <c r="G3877" i="42"/>
  <c r="F3874" i="42"/>
  <c r="F3873" i="42"/>
  <c r="F3872" i="42"/>
  <c r="F3871" i="42"/>
  <c r="D3866" i="42"/>
  <c r="F3861" i="42"/>
  <c r="F3858" i="42"/>
  <c r="F3857" i="42"/>
  <c r="F3856" i="42"/>
  <c r="F3855" i="42"/>
  <c r="D3850" i="42"/>
  <c r="F3845" i="42"/>
  <c r="F3842" i="42"/>
  <c r="F3841" i="42"/>
  <c r="F3840" i="42"/>
  <c r="D3840" i="42"/>
  <c r="F3839" i="42"/>
  <c r="D3834" i="42"/>
  <c r="F3828" i="42"/>
  <c r="F3825" i="42"/>
  <c r="F3824" i="42"/>
  <c r="D3824" i="42"/>
  <c r="D3819" i="42"/>
  <c r="G3814" i="42"/>
  <c r="F3813" i="42"/>
  <c r="F3810" i="42"/>
  <c r="F3809" i="42"/>
  <c r="F3808" i="42"/>
  <c r="F3807" i="42"/>
  <c r="D3802" i="42"/>
  <c r="F3797" i="42"/>
  <c r="F3794" i="42"/>
  <c r="F3793" i="42"/>
  <c r="F3792" i="42"/>
  <c r="F3791" i="42"/>
  <c r="D3786" i="42"/>
  <c r="F3781" i="42"/>
  <c r="F3778" i="42"/>
  <c r="F3777" i="42"/>
  <c r="F3776" i="42"/>
  <c r="F3775" i="42"/>
  <c r="D3770" i="42"/>
  <c r="G3767" i="42"/>
  <c r="D3761" i="42"/>
  <c r="D3760" i="42"/>
  <c r="D3759" i="42"/>
  <c r="D3754" i="42"/>
  <c r="F3751" i="42"/>
  <c r="F3746" i="42"/>
  <c r="F3745" i="42"/>
  <c r="D3740" i="42"/>
  <c r="F3737" i="42"/>
  <c r="F3732" i="42"/>
  <c r="F3731" i="42"/>
  <c r="D3726" i="42"/>
  <c r="F3721" i="42"/>
  <c r="F3720" i="42"/>
  <c r="F3719" i="42"/>
  <c r="F3716" i="42"/>
  <c r="F3715" i="42"/>
  <c r="F3714" i="42"/>
  <c r="D3709" i="42"/>
  <c r="G3706" i="42"/>
  <c r="D3705" i="42"/>
  <c r="D3704" i="42"/>
  <c r="F3703" i="42"/>
  <c r="G3698" i="42"/>
  <c r="D3693" i="42"/>
  <c r="G3690" i="42"/>
  <c r="D3689" i="42"/>
  <c r="D3688" i="42"/>
  <c r="F3687" i="42"/>
  <c r="F3682" i="42"/>
  <c r="F3681" i="42"/>
  <c r="D3676" i="42"/>
  <c r="D3673" i="42"/>
  <c r="G3672" i="42"/>
  <c r="D3671" i="42"/>
  <c r="D3670" i="42"/>
  <c r="D3667" i="42"/>
  <c r="F3666" i="42"/>
  <c r="D3666" i="42"/>
  <c r="D3665" i="42"/>
  <c r="F3662" i="42"/>
  <c r="D3662" i="42"/>
  <c r="F3661" i="42"/>
  <c r="D3661" i="42"/>
  <c r="D3656" i="42"/>
  <c r="F3652" i="42"/>
  <c r="F3651" i="42"/>
  <c r="D3651" i="42"/>
  <c r="F3650" i="42"/>
  <c r="D3650" i="42"/>
  <c r="F3649" i="42"/>
  <c r="D3649" i="42"/>
  <c r="F3645" i="42"/>
  <c r="D3645" i="42"/>
  <c r="F3644" i="42"/>
  <c r="D3644" i="42"/>
  <c r="F3643" i="42"/>
  <c r="D3643" i="42"/>
  <c r="F3642" i="42"/>
  <c r="D3642" i="42"/>
  <c r="F3639" i="42"/>
  <c r="D3639" i="42"/>
  <c r="F3638" i="42"/>
  <c r="D3638" i="42"/>
  <c r="D3633" i="42"/>
  <c r="I3631" i="42"/>
  <c r="F3630" i="42"/>
  <c r="F3627" i="42"/>
  <c r="F3626" i="42"/>
  <c r="F3625" i="42"/>
  <c r="F3624" i="42"/>
  <c r="D3619" i="42"/>
  <c r="G3616" i="42"/>
  <c r="G3613" i="42"/>
  <c r="F3610" i="42"/>
  <c r="D3605" i="42"/>
  <c r="F3600" i="42"/>
  <c r="G3597" i="42"/>
  <c r="D3592" i="42"/>
  <c r="F3587" i="42"/>
  <c r="G3584" i="42"/>
  <c r="D3579" i="42"/>
  <c r="G3574" i="42"/>
  <c r="F3573" i="42"/>
  <c r="F3570" i="42"/>
  <c r="F3569" i="42"/>
  <c r="F3568" i="42"/>
  <c r="F3567" i="42"/>
  <c r="D3562" i="42"/>
  <c r="F3557" i="42"/>
  <c r="F3554" i="42"/>
  <c r="F3553" i="42"/>
  <c r="F3552" i="42"/>
  <c r="F3551" i="42"/>
  <c r="D3546" i="42"/>
  <c r="F3541" i="42"/>
  <c r="F3538" i="42"/>
  <c r="F3537" i="42"/>
  <c r="F3536" i="42"/>
  <c r="F3535" i="42"/>
  <c r="D3530" i="42"/>
  <c r="F3525" i="42"/>
  <c r="F3522" i="42"/>
  <c r="F3521" i="42"/>
  <c r="F3520" i="42"/>
  <c r="F3519" i="42"/>
  <c r="D3514" i="42"/>
  <c r="F3509" i="42"/>
  <c r="F3506" i="42"/>
  <c r="F3505" i="42"/>
  <c r="F3504" i="42"/>
  <c r="F3503" i="42"/>
  <c r="D3498" i="42"/>
  <c r="F3493" i="42"/>
  <c r="F3490" i="42"/>
  <c r="F3489" i="42"/>
  <c r="F3488" i="42"/>
  <c r="F3487" i="42"/>
  <c r="D3482" i="42"/>
  <c r="F3477" i="42"/>
  <c r="F3474" i="42"/>
  <c r="F3473" i="42"/>
  <c r="F3472" i="42"/>
  <c r="F3471" i="42"/>
  <c r="D3466" i="42"/>
  <c r="F3461" i="42"/>
  <c r="F3458" i="42"/>
  <c r="F3457" i="42"/>
  <c r="F3456" i="42"/>
  <c r="F3455" i="42"/>
  <c r="G3447" i="42"/>
  <c r="G3444" i="42"/>
  <c r="G3443" i="42"/>
  <c r="F3442" i="42"/>
  <c r="D3442" i="42"/>
  <c r="F3441" i="42"/>
  <c r="D3441" i="42"/>
  <c r="G3439" i="42"/>
  <c r="G3438" i="42"/>
  <c r="D3430" i="42"/>
  <c r="F3425" i="42"/>
  <c r="F3422" i="42"/>
  <c r="F3421" i="42"/>
  <c r="F3420" i="42"/>
  <c r="F3419" i="42"/>
  <c r="D3414" i="42"/>
  <c r="F3411" i="42"/>
  <c r="F3408" i="42"/>
  <c r="F3405" i="42"/>
  <c r="F3404" i="42"/>
  <c r="F3403" i="42"/>
  <c r="F3402" i="42"/>
  <c r="D3397" i="42"/>
  <c r="F3394" i="42"/>
  <c r="F3391" i="42"/>
  <c r="F3386" i="42"/>
  <c r="F3385" i="42"/>
  <c r="F3384" i="42"/>
  <c r="D3379" i="42"/>
  <c r="F3374" i="42"/>
  <c r="G3371" i="42"/>
  <c r="D3366" i="42"/>
  <c r="F3361" i="42"/>
  <c r="G3358" i="42"/>
  <c r="D3353" i="42"/>
  <c r="F3348" i="42"/>
  <c r="F3345" i="42"/>
  <c r="F3344" i="42"/>
  <c r="F3343" i="42"/>
  <c r="F3342" i="42"/>
  <c r="D3337" i="42"/>
  <c r="F3332" i="42"/>
  <c r="F3329" i="42"/>
  <c r="F3328" i="42"/>
  <c r="F3327" i="42"/>
  <c r="F3326" i="42"/>
  <c r="D3321" i="42"/>
  <c r="F3316" i="42"/>
  <c r="F3313" i="42"/>
  <c r="F3312" i="42"/>
  <c r="F3311" i="42"/>
  <c r="F3310" i="42"/>
  <c r="D3305" i="42"/>
  <c r="H3300" i="42"/>
  <c r="F3300" i="42"/>
  <c r="F3297" i="42"/>
  <c r="F3296" i="42"/>
  <c r="F3295" i="42"/>
  <c r="F3294" i="42"/>
  <c r="D3289" i="42"/>
  <c r="F3284" i="42"/>
  <c r="F3281" i="42"/>
  <c r="F3280" i="42"/>
  <c r="F3279" i="42"/>
  <c r="F3278" i="42"/>
  <c r="D3273" i="42"/>
  <c r="F3268" i="42"/>
  <c r="F3267" i="42"/>
  <c r="F3264" i="42"/>
  <c r="F3263" i="42"/>
  <c r="F3262" i="42"/>
  <c r="F3261" i="42"/>
  <c r="D3256" i="42"/>
  <c r="F3251" i="42"/>
  <c r="F3250" i="42"/>
  <c r="F3247" i="42"/>
  <c r="F3246" i="42"/>
  <c r="F3245" i="42"/>
  <c r="F3244" i="42"/>
  <c r="D3244" i="42"/>
  <c r="D3239" i="42"/>
  <c r="F3234" i="42"/>
  <c r="F3233" i="42"/>
  <c r="H3232" i="42"/>
  <c r="F3232" i="42"/>
  <c r="F3229" i="42"/>
  <c r="F3228" i="42"/>
  <c r="F3227" i="42"/>
  <c r="F3226" i="42"/>
  <c r="D3221" i="42"/>
  <c r="F3216" i="42"/>
  <c r="F3215" i="42"/>
  <c r="F3212" i="42"/>
  <c r="F3211" i="42"/>
  <c r="F3210" i="42"/>
  <c r="F3209" i="42"/>
  <c r="D3204" i="42"/>
  <c r="F3199" i="42"/>
  <c r="F3198" i="42"/>
  <c r="F3195" i="42"/>
  <c r="F3194" i="42"/>
  <c r="F3193" i="42"/>
  <c r="F3192" i="42"/>
  <c r="D3187" i="42"/>
  <c r="F3182" i="42"/>
  <c r="G3181" i="42"/>
  <c r="F3178" i="42"/>
  <c r="F3177" i="42"/>
  <c r="F3176" i="42"/>
  <c r="F3175" i="42"/>
  <c r="D3170" i="42"/>
  <c r="F3165" i="42"/>
  <c r="F3164" i="42"/>
  <c r="F3163" i="42"/>
  <c r="F3160" i="42"/>
  <c r="F3159" i="42"/>
  <c r="F3158" i="42"/>
  <c r="F3157" i="42"/>
  <c r="D3152" i="42"/>
  <c r="F3147" i="42"/>
  <c r="F3146" i="42"/>
  <c r="F3143" i="42"/>
  <c r="F3142" i="42"/>
  <c r="F3141" i="42"/>
  <c r="F3140" i="42"/>
  <c r="D3135" i="42"/>
  <c r="H3130" i="42"/>
  <c r="F3130" i="42"/>
  <c r="H3129" i="42"/>
  <c r="F3129" i="42"/>
  <c r="F3126" i="42"/>
  <c r="F3125" i="42"/>
  <c r="F3124" i="42"/>
  <c r="F3123" i="42"/>
  <c r="D3118" i="42"/>
  <c r="F3113" i="42"/>
  <c r="F3112" i="42"/>
  <c r="F3109" i="42"/>
  <c r="F3108" i="42"/>
  <c r="F3107" i="42"/>
  <c r="F3106" i="42"/>
  <c r="D3101" i="42"/>
  <c r="H3095" i="42"/>
  <c r="F3095" i="42"/>
  <c r="F3092" i="42"/>
  <c r="F3091" i="42"/>
  <c r="F3090" i="42"/>
  <c r="F3089" i="42"/>
  <c r="D3084" i="42"/>
  <c r="F3079" i="42"/>
  <c r="F3076" i="42"/>
  <c r="F3075" i="42"/>
  <c r="F3074" i="42"/>
  <c r="D3069" i="42"/>
  <c r="F3064" i="42"/>
  <c r="D3064" i="42"/>
  <c r="F3063" i="42"/>
  <c r="F3060" i="42"/>
  <c r="F3059" i="42"/>
  <c r="F3058" i="42"/>
  <c r="F3057" i="42"/>
  <c r="D3052" i="42"/>
  <c r="F3047" i="42"/>
  <c r="D3047" i="42"/>
  <c r="F3046" i="42"/>
  <c r="F3043" i="42"/>
  <c r="F3042" i="42"/>
  <c r="F3041" i="42"/>
  <c r="F3040" i="42"/>
  <c r="D3035" i="42"/>
  <c r="F3030" i="42"/>
  <c r="D3030" i="42"/>
  <c r="F3029" i="42"/>
  <c r="F3026" i="42"/>
  <c r="F3025" i="42"/>
  <c r="F3024" i="42"/>
  <c r="F3023" i="42"/>
  <c r="D3018" i="42"/>
  <c r="F3013" i="42"/>
  <c r="D3013" i="42"/>
  <c r="F3012" i="42"/>
  <c r="F3009" i="42"/>
  <c r="F3008" i="42"/>
  <c r="F3007" i="42"/>
  <c r="F3006" i="42"/>
  <c r="D3000" i="42"/>
  <c r="F2995" i="42"/>
  <c r="D2995" i="42"/>
  <c r="F2994" i="42"/>
  <c r="F2991" i="42"/>
  <c r="D2991" i="42"/>
  <c r="F2990" i="42"/>
  <c r="D2990" i="42"/>
  <c r="F2989" i="42"/>
  <c r="D2989" i="42"/>
  <c r="F2988" i="42"/>
  <c r="D2988" i="42"/>
  <c r="D2983" i="42"/>
  <c r="F2980" i="42"/>
  <c r="F2979" i="42"/>
  <c r="F2976" i="42"/>
  <c r="F2975" i="42"/>
  <c r="F2974" i="42"/>
  <c r="F2973" i="42"/>
  <c r="D2968" i="42"/>
  <c r="F2965" i="42"/>
  <c r="F2962" i="42"/>
  <c r="F2961" i="42"/>
  <c r="F2960" i="42"/>
  <c r="F2959" i="42"/>
  <c r="D2954" i="42"/>
  <c r="F2949" i="42"/>
  <c r="G2948" i="42"/>
  <c r="D2942" i="42"/>
  <c r="F2939" i="42"/>
  <c r="F2938" i="42"/>
  <c r="F2935" i="42"/>
  <c r="F2934" i="42"/>
  <c r="F2933" i="42"/>
  <c r="F2932" i="42"/>
  <c r="D2927" i="42"/>
  <c r="F2924" i="42"/>
  <c r="F2923" i="42"/>
  <c r="F2920" i="42"/>
  <c r="F2919" i="42"/>
  <c r="F2918" i="42"/>
  <c r="F2917" i="42"/>
  <c r="D2912" i="42"/>
  <c r="F2909" i="42"/>
  <c r="F2908" i="42"/>
  <c r="F2905" i="42"/>
  <c r="F2904" i="42"/>
  <c r="F2903" i="42"/>
  <c r="F2902" i="42"/>
  <c r="D2897" i="42"/>
  <c r="F2894" i="42"/>
  <c r="F2891" i="42"/>
  <c r="F2890" i="42"/>
  <c r="F2889" i="42"/>
  <c r="F2888" i="42"/>
  <c r="D2883" i="42"/>
  <c r="F2880" i="42"/>
  <c r="F2877" i="42"/>
  <c r="F2876" i="42"/>
  <c r="F2875" i="42"/>
  <c r="F2874" i="42"/>
  <c r="D2869" i="42"/>
  <c r="F2866" i="42"/>
  <c r="G2863" i="42"/>
  <c r="D2858" i="42"/>
  <c r="F2853" i="42"/>
  <c r="F2850" i="42"/>
  <c r="F2849" i="42"/>
  <c r="F2848" i="42"/>
  <c r="F2847" i="42"/>
  <c r="D2842" i="42"/>
  <c r="F2839" i="42"/>
  <c r="F2836" i="42"/>
  <c r="F2835" i="42"/>
  <c r="F2834" i="42"/>
  <c r="F2833" i="42"/>
  <c r="D2828" i="42"/>
  <c r="F2825" i="42"/>
  <c r="F2822" i="42"/>
  <c r="F2821" i="42"/>
  <c r="F2820" i="42"/>
  <c r="F2819" i="42"/>
  <c r="D2814" i="42"/>
  <c r="F2811" i="42"/>
  <c r="F2808" i="42"/>
  <c r="F2807" i="42"/>
  <c r="F2806" i="42"/>
  <c r="F2805" i="42"/>
  <c r="D2800" i="42"/>
  <c r="F2794" i="42"/>
  <c r="F2793" i="42"/>
  <c r="F2792" i="42"/>
  <c r="F2791" i="42"/>
  <c r="D2786" i="42"/>
  <c r="F2783" i="42"/>
  <c r="F2782" i="42"/>
  <c r="F2781" i="42"/>
  <c r="F2780" i="42"/>
  <c r="F2777" i="42"/>
  <c r="D2772" i="42"/>
  <c r="F2769" i="42"/>
  <c r="G2766" i="42"/>
  <c r="D2761" i="42"/>
  <c r="F2758" i="42"/>
  <c r="F2757" i="42"/>
  <c r="F2756" i="42"/>
  <c r="F2755" i="42"/>
  <c r="F2752" i="42"/>
  <c r="D2747" i="42"/>
  <c r="F2744" i="42"/>
  <c r="F2741" i="42"/>
  <c r="F2740" i="42"/>
  <c r="F2739" i="42"/>
  <c r="F2738" i="42"/>
  <c r="F2730" i="42"/>
  <c r="F2729" i="42"/>
  <c r="F2726" i="42"/>
  <c r="F2725" i="42"/>
  <c r="F2724" i="42"/>
  <c r="F2723" i="42"/>
  <c r="F2715" i="42"/>
  <c r="F2714" i="42"/>
  <c r="F2711" i="42"/>
  <c r="F2710" i="42"/>
  <c r="F2709" i="42"/>
  <c r="F2708" i="42"/>
  <c r="D2703" i="42"/>
  <c r="F2700" i="42"/>
  <c r="F2697" i="42"/>
  <c r="F2696" i="42"/>
  <c r="F2695" i="42"/>
  <c r="F2694" i="42"/>
  <c r="D2689" i="42"/>
  <c r="F2686" i="42"/>
  <c r="F2683" i="42"/>
  <c r="F2682" i="42"/>
  <c r="F2681" i="42"/>
  <c r="F2680" i="42"/>
  <c r="D2675" i="42"/>
  <c r="F2672" i="42"/>
  <c r="F2669" i="42"/>
  <c r="F2668" i="42"/>
  <c r="F2667" i="42"/>
  <c r="F2666" i="42"/>
  <c r="D2661" i="42"/>
  <c r="F2658" i="42"/>
  <c r="F2655" i="42"/>
  <c r="F2654" i="42"/>
  <c r="F2653" i="42"/>
  <c r="F2652" i="42"/>
  <c r="D2647" i="42"/>
  <c r="F2644" i="42"/>
  <c r="F2641" i="42"/>
  <c r="F2640" i="42"/>
  <c r="F2639" i="42"/>
  <c r="F2638" i="42"/>
  <c r="D2633" i="42"/>
  <c r="F2630" i="42"/>
  <c r="F2629" i="42"/>
  <c r="F2628" i="42"/>
  <c r="F2627" i="42"/>
  <c r="F2626" i="42"/>
  <c r="F2625" i="42"/>
  <c r="F2622" i="42"/>
  <c r="F2621" i="42"/>
  <c r="F2620" i="42"/>
  <c r="F2619" i="42"/>
  <c r="D2614" i="42"/>
  <c r="F2611" i="42"/>
  <c r="F2610" i="42"/>
  <c r="F2609" i="42"/>
  <c r="F2608" i="42"/>
  <c r="F2607" i="42"/>
  <c r="F2606" i="42"/>
  <c r="F2605" i="42"/>
  <c r="F2604" i="42"/>
  <c r="F2603" i="42"/>
  <c r="F2600" i="42"/>
  <c r="F2599" i="42"/>
  <c r="F2598" i="42"/>
  <c r="F2597" i="42"/>
  <c r="D2592" i="42"/>
  <c r="F2589" i="42"/>
  <c r="F2588" i="42"/>
  <c r="F2587" i="42"/>
  <c r="F2586" i="42"/>
  <c r="F2585" i="42"/>
  <c r="F2584" i="42"/>
  <c r="F2583" i="42"/>
  <c r="F2582" i="42"/>
  <c r="F2581" i="42"/>
  <c r="F2578" i="42"/>
  <c r="F2577" i="42"/>
  <c r="F2576" i="42"/>
  <c r="F2575" i="42"/>
  <c r="D2570" i="42"/>
  <c r="F2567" i="42"/>
  <c r="G2564" i="42"/>
  <c r="D2559" i="42"/>
  <c r="F2556" i="42"/>
  <c r="G2553" i="42"/>
  <c r="D2548" i="42"/>
  <c r="F2545" i="42"/>
  <c r="F2544" i="42"/>
  <c r="F2543" i="42"/>
  <c r="F2542" i="42"/>
  <c r="F2541" i="42"/>
  <c r="F2540" i="42"/>
  <c r="G2537" i="42"/>
  <c r="D2532" i="42"/>
  <c r="F2529" i="42"/>
  <c r="F2528" i="42"/>
  <c r="F2527" i="42"/>
  <c r="F2526" i="42"/>
  <c r="F2525" i="42"/>
  <c r="F2524" i="42"/>
  <c r="G2521" i="42"/>
  <c r="D2516" i="42"/>
  <c r="F2513" i="42"/>
  <c r="F2512" i="42"/>
  <c r="F2511" i="42"/>
  <c r="F2510" i="42"/>
  <c r="F2509" i="42"/>
  <c r="F2508" i="42"/>
  <c r="F2507" i="42"/>
  <c r="F2506" i="42"/>
  <c r="F2505" i="42"/>
  <c r="F2504" i="42"/>
  <c r="F2501" i="42"/>
  <c r="F2500" i="42"/>
  <c r="F2499" i="42"/>
  <c r="F2498" i="42"/>
  <c r="D2493" i="42"/>
  <c r="F2490" i="42"/>
  <c r="F2489" i="42"/>
  <c r="F2488" i="42"/>
  <c r="F2487" i="42"/>
  <c r="F2486" i="42"/>
  <c r="F2485" i="42"/>
  <c r="F2484" i="42"/>
  <c r="F2483" i="42"/>
  <c r="F2482" i="42"/>
  <c r="F2481" i="42"/>
  <c r="F2478" i="42"/>
  <c r="F2477" i="42"/>
  <c r="F2476" i="42"/>
  <c r="F2475" i="42"/>
  <c r="D2470" i="42"/>
  <c r="F2467" i="42"/>
  <c r="F2466" i="42"/>
  <c r="F2465" i="42"/>
  <c r="F2464" i="42"/>
  <c r="F2463" i="42"/>
  <c r="F2462" i="42"/>
  <c r="F2461" i="42"/>
  <c r="F2460" i="42"/>
  <c r="F2459" i="42"/>
  <c r="F2458" i="42"/>
  <c r="F2455" i="42"/>
  <c r="F2454" i="42"/>
  <c r="F2453" i="42"/>
  <c r="F2452" i="42"/>
  <c r="D2447" i="42"/>
  <c r="L2442" i="42"/>
  <c r="F2442" i="42"/>
  <c r="D2442" i="42"/>
  <c r="F2441" i="42"/>
  <c r="D2441" i="42"/>
  <c r="M2439" i="42"/>
  <c r="F2438" i="42"/>
  <c r="D2433" i="42"/>
  <c r="F2428" i="42"/>
  <c r="G2425" i="42"/>
  <c r="D2420" i="42"/>
  <c r="F2415" i="42"/>
  <c r="G2412" i="42"/>
  <c r="D2407" i="42"/>
  <c r="F2402" i="42"/>
  <c r="F2399" i="42"/>
  <c r="F2398" i="42"/>
  <c r="F2397" i="42"/>
  <c r="F2396" i="42"/>
  <c r="D2391" i="42"/>
  <c r="H2388" i="42"/>
  <c r="F2388" i="42"/>
  <c r="F2385" i="42"/>
  <c r="F2384" i="42"/>
  <c r="F2383" i="42"/>
  <c r="F2382" i="42"/>
  <c r="D2377" i="42"/>
  <c r="F2374" i="42"/>
  <c r="F2371" i="42"/>
  <c r="F2370" i="42"/>
  <c r="F2369" i="42"/>
  <c r="F2368" i="42"/>
  <c r="D2363" i="42"/>
  <c r="F2360" i="42"/>
  <c r="F2357" i="42"/>
  <c r="F2356" i="42"/>
  <c r="F2355" i="42"/>
  <c r="F2354" i="42"/>
  <c r="D2349" i="42"/>
  <c r="H2346" i="42"/>
  <c r="F2346" i="42"/>
  <c r="F2343" i="42"/>
  <c r="F2342" i="42"/>
  <c r="F2341" i="42"/>
  <c r="F2340" i="42"/>
  <c r="D2335" i="42"/>
  <c r="F2332" i="42"/>
  <c r="F2329" i="42"/>
  <c r="F2328" i="42"/>
  <c r="F2327" i="42"/>
  <c r="F2326" i="42"/>
  <c r="D2321" i="42"/>
  <c r="F2318" i="42"/>
  <c r="F2315" i="42"/>
  <c r="F2314" i="42"/>
  <c r="F2313" i="42"/>
  <c r="F2312" i="42"/>
  <c r="D2307" i="42"/>
  <c r="F2304" i="42"/>
  <c r="F2301" i="42"/>
  <c r="F2300" i="42"/>
  <c r="F2299" i="42"/>
  <c r="F2298" i="42"/>
  <c r="B2297" i="42"/>
  <c r="D2293" i="42"/>
  <c r="H2290" i="42"/>
  <c r="F2290" i="42"/>
  <c r="F2289" i="42"/>
  <c r="F2286" i="42"/>
  <c r="F2285" i="42"/>
  <c r="F2284" i="42"/>
  <c r="F2283" i="42"/>
  <c r="D2278" i="42"/>
  <c r="H2275" i="42"/>
  <c r="F2275" i="42"/>
  <c r="F2274" i="42"/>
  <c r="F2271" i="42"/>
  <c r="F2270" i="42"/>
  <c r="F2269" i="42"/>
  <c r="F2268" i="42"/>
  <c r="D2263" i="42"/>
  <c r="H2260" i="42"/>
  <c r="F2260" i="42"/>
  <c r="H2259" i="42"/>
  <c r="F2259" i="42"/>
  <c r="F2256" i="42"/>
  <c r="F2255" i="42"/>
  <c r="F2254" i="42"/>
  <c r="F2253" i="42"/>
  <c r="D2248" i="42"/>
  <c r="F2245" i="42"/>
  <c r="F2244" i="42"/>
  <c r="F2241" i="42"/>
  <c r="F2240" i="42"/>
  <c r="F2239" i="42"/>
  <c r="F2238" i="42"/>
  <c r="D2233" i="42"/>
  <c r="F2230" i="42"/>
  <c r="F2229" i="42"/>
  <c r="F2228" i="42"/>
  <c r="F2225" i="42"/>
  <c r="F2224" i="42"/>
  <c r="F2223" i="42"/>
  <c r="F2222" i="42"/>
  <c r="D2217" i="42"/>
  <c r="F2214" i="42"/>
  <c r="F2211" i="42"/>
  <c r="D2211" i="42"/>
  <c r="F2210" i="42"/>
  <c r="D2210" i="42"/>
  <c r="F2209" i="42"/>
  <c r="D2209" i="42"/>
  <c r="F2208" i="42"/>
  <c r="D2208" i="42"/>
  <c r="D2203" i="42"/>
  <c r="F2200" i="42"/>
  <c r="G2199" i="42"/>
  <c r="F2196" i="42"/>
  <c r="F2195" i="42"/>
  <c r="F2194" i="42"/>
  <c r="F2193" i="42"/>
  <c r="D2188" i="42"/>
  <c r="F2185" i="42"/>
  <c r="F2184" i="42"/>
  <c r="F2183" i="42"/>
  <c r="F2180" i="42"/>
  <c r="F2179" i="42"/>
  <c r="F2178" i="42"/>
  <c r="F2177" i="42"/>
  <c r="D2172" i="42"/>
  <c r="F2169" i="42"/>
  <c r="G2166" i="42"/>
  <c r="D2161" i="42"/>
  <c r="F2158" i="42"/>
  <c r="F2157" i="42"/>
  <c r="F2156" i="42"/>
  <c r="F2153" i="42"/>
  <c r="F2152" i="42"/>
  <c r="F2151" i="42"/>
  <c r="F2150" i="42"/>
  <c r="D2145" i="42"/>
  <c r="F2142" i="42"/>
  <c r="F2141" i="42"/>
  <c r="F2138" i="42"/>
  <c r="F2137" i="42"/>
  <c r="F2136" i="42"/>
  <c r="F2135" i="42"/>
  <c r="D2130" i="42"/>
  <c r="F2127" i="42"/>
  <c r="F2126" i="42"/>
  <c r="F2125" i="42"/>
  <c r="F2122" i="42"/>
  <c r="F2121" i="42"/>
  <c r="F2120" i="42"/>
  <c r="F2119" i="42"/>
  <c r="D2114" i="42"/>
  <c r="F2111" i="42"/>
  <c r="F2110" i="42"/>
  <c r="F2109" i="42"/>
  <c r="F2106" i="42"/>
  <c r="F2105" i="42"/>
  <c r="F2104" i="42"/>
  <c r="F2103" i="42"/>
  <c r="D2098" i="42"/>
  <c r="F2093" i="42"/>
  <c r="G2092" i="42"/>
  <c r="F2089" i="42"/>
  <c r="F2088" i="42"/>
  <c r="F2087" i="42"/>
  <c r="F2086" i="42"/>
  <c r="D2081" i="42"/>
  <c r="F2076" i="42"/>
  <c r="F2075" i="42"/>
  <c r="F2072" i="42"/>
  <c r="F2071" i="42"/>
  <c r="F2070" i="42"/>
  <c r="F2069" i="42"/>
  <c r="F2065" i="42"/>
  <c r="F2064" i="42"/>
  <c r="F2061" i="42"/>
  <c r="D2061" i="42"/>
  <c r="F2060" i="42"/>
  <c r="D2060" i="42"/>
  <c r="F2059" i="42"/>
  <c r="D2059" i="42"/>
  <c r="F2058" i="42"/>
  <c r="D2058" i="42"/>
  <c r="D2052" i="42"/>
  <c r="F2047" i="42"/>
  <c r="F2046" i="42"/>
  <c r="F2043" i="42"/>
  <c r="F2042" i="42"/>
  <c r="F2041" i="42"/>
  <c r="F2040" i="42"/>
  <c r="F2036" i="42"/>
  <c r="D2036" i="42"/>
  <c r="F2035" i="42"/>
  <c r="F2032" i="42"/>
  <c r="D2032" i="42"/>
  <c r="F2031" i="42"/>
  <c r="D2031" i="42"/>
  <c r="F2030" i="42"/>
  <c r="D2030" i="42"/>
  <c r="F2029" i="42"/>
  <c r="D2029" i="42"/>
  <c r="D2023" i="42"/>
  <c r="F2020" i="42"/>
  <c r="F2019" i="42"/>
  <c r="D2019" i="42"/>
  <c r="F2016" i="42"/>
  <c r="F2015" i="42"/>
  <c r="F2014" i="42"/>
  <c r="F2013" i="42"/>
  <c r="F2008" i="42"/>
  <c r="F2005" i="42"/>
  <c r="D2005" i="42"/>
  <c r="F2004" i="42"/>
  <c r="D2004" i="42"/>
  <c r="F2003" i="42"/>
  <c r="D2003" i="42"/>
  <c r="F2002" i="42"/>
  <c r="D2002" i="42"/>
  <c r="D1996" i="42"/>
  <c r="F1991" i="42"/>
  <c r="F1990" i="42"/>
  <c r="F1987" i="42"/>
  <c r="F1986" i="42"/>
  <c r="F1985" i="42"/>
  <c r="F1984" i="42"/>
  <c r="F1980" i="42"/>
  <c r="D1980" i="42"/>
  <c r="F1979" i="42"/>
  <c r="F1976" i="42"/>
  <c r="D1976" i="42"/>
  <c r="F1975" i="42"/>
  <c r="D1975" i="42"/>
  <c r="F1974" i="42"/>
  <c r="D1974" i="42"/>
  <c r="F1973" i="42"/>
  <c r="D1973" i="42"/>
  <c r="D1967" i="42"/>
  <c r="G1964" i="42"/>
  <c r="F1961" i="42"/>
  <c r="G1960" i="42"/>
  <c r="D1955" i="42"/>
  <c r="G1952" i="42"/>
  <c r="F1949" i="42"/>
  <c r="D1944" i="42"/>
  <c r="G1941" i="42"/>
  <c r="F1938" i="42"/>
  <c r="D1933" i="42"/>
  <c r="G1930" i="42"/>
  <c r="F1927" i="42"/>
  <c r="D1922" i="42"/>
  <c r="G1919" i="42"/>
  <c r="F1916" i="42"/>
  <c r="D1911" i="42"/>
  <c r="G1908" i="42"/>
  <c r="F1905" i="42"/>
  <c r="D1900" i="42"/>
  <c r="G1897" i="42"/>
  <c r="F1894" i="42"/>
  <c r="D1889" i="42"/>
  <c r="F1886" i="42"/>
  <c r="F1885" i="42"/>
  <c r="F1884" i="42"/>
  <c r="F1881" i="42"/>
  <c r="F1880" i="42"/>
  <c r="F1879" i="42"/>
  <c r="F1878" i="42"/>
  <c r="D1873" i="42"/>
  <c r="F1870" i="42"/>
  <c r="F1869" i="42"/>
  <c r="F1868" i="42"/>
  <c r="F1865" i="42"/>
  <c r="F1864" i="42"/>
  <c r="F1863" i="42"/>
  <c r="F1862" i="42"/>
  <c r="D1857" i="42"/>
  <c r="F1854" i="42"/>
  <c r="H1853" i="42"/>
  <c r="F1853" i="42"/>
  <c r="F1852" i="42"/>
  <c r="F1849" i="42"/>
  <c r="F1848" i="42"/>
  <c r="F1847" i="42"/>
  <c r="F1846" i="42"/>
  <c r="D1841" i="42"/>
  <c r="H1838" i="42"/>
  <c r="F1838" i="42"/>
  <c r="F1837" i="42"/>
  <c r="F1836" i="42"/>
  <c r="F1833" i="42"/>
  <c r="F1832" i="42"/>
  <c r="F1831" i="42"/>
  <c r="F1830" i="42"/>
  <c r="D1825" i="42"/>
  <c r="H1822" i="42"/>
  <c r="F1822" i="42"/>
  <c r="F1821" i="42"/>
  <c r="H1820" i="42"/>
  <c r="F1820" i="42"/>
  <c r="F1819" i="42"/>
  <c r="G1819" i="42" s="1"/>
  <c r="F1816" i="42"/>
  <c r="F1815" i="42"/>
  <c r="F1814" i="42"/>
  <c r="F1813" i="42"/>
  <c r="D1808" i="42"/>
  <c r="H1805" i="42"/>
  <c r="F1805" i="42"/>
  <c r="F1804" i="42"/>
  <c r="H1803" i="42"/>
  <c r="F1803" i="42"/>
  <c r="F1802" i="42"/>
  <c r="D1802" i="42"/>
  <c r="F1799" i="42"/>
  <c r="F1798" i="42"/>
  <c r="F1797" i="42"/>
  <c r="F1796" i="42"/>
  <c r="D1791" i="42"/>
  <c r="F1788" i="42"/>
  <c r="F1787" i="42"/>
  <c r="F1786" i="42"/>
  <c r="F1785" i="42"/>
  <c r="D1785" i="42"/>
  <c r="F1782" i="42"/>
  <c r="F1781" i="42"/>
  <c r="F1780" i="42"/>
  <c r="F1779" i="42"/>
  <c r="D1774" i="42"/>
  <c r="H1771" i="42"/>
  <c r="F1771" i="42"/>
  <c r="F1770" i="42"/>
  <c r="H1769" i="42"/>
  <c r="F1769" i="42"/>
  <c r="F1768" i="42"/>
  <c r="F1765" i="42"/>
  <c r="F1764" i="42"/>
  <c r="F1763" i="42"/>
  <c r="F1762" i="42"/>
  <c r="D1757" i="42"/>
  <c r="H1754" i="42"/>
  <c r="F1754" i="42"/>
  <c r="F1753" i="42"/>
  <c r="H1752" i="42"/>
  <c r="H1869" i="42" s="1"/>
  <c r="F1752" i="42"/>
  <c r="F1751" i="42"/>
  <c r="F1748" i="42"/>
  <c r="F1747" i="42"/>
  <c r="F1746" i="42"/>
  <c r="F1745" i="42"/>
  <c r="D1740" i="42"/>
  <c r="F1737" i="42"/>
  <c r="F1736" i="42"/>
  <c r="F1735" i="42"/>
  <c r="F1734" i="42"/>
  <c r="F1731" i="42"/>
  <c r="F1730" i="42"/>
  <c r="F1729" i="42"/>
  <c r="F1728" i="42"/>
  <c r="D1723" i="42"/>
  <c r="F1720" i="42"/>
  <c r="F1719" i="42"/>
  <c r="F1718" i="42"/>
  <c r="F1717" i="42"/>
  <c r="F1714" i="42"/>
  <c r="F1713" i="42"/>
  <c r="F1712" i="42"/>
  <c r="F1711" i="42"/>
  <c r="D1706" i="42"/>
  <c r="F1703" i="42"/>
  <c r="F1700" i="42"/>
  <c r="F1699" i="42"/>
  <c r="F1698" i="42"/>
  <c r="F1697" i="42"/>
  <c r="D1692" i="42"/>
  <c r="F1689" i="42"/>
  <c r="F1686" i="42"/>
  <c r="F1685" i="42"/>
  <c r="F1684" i="42"/>
  <c r="F1683" i="42"/>
  <c r="D1678" i="42"/>
  <c r="F1673" i="42"/>
  <c r="F1672" i="42"/>
  <c r="F1669" i="42"/>
  <c r="F1668" i="42"/>
  <c r="F1667" i="42"/>
  <c r="F1666" i="42"/>
  <c r="D1661" i="42"/>
  <c r="F1658" i="42"/>
  <c r="F1655" i="42"/>
  <c r="F1654" i="42"/>
  <c r="F1653" i="42"/>
  <c r="F1652" i="42"/>
  <c r="D1647" i="42"/>
  <c r="F1642" i="42"/>
  <c r="F1641" i="42"/>
  <c r="F1638" i="42"/>
  <c r="F1637" i="42"/>
  <c r="F1636" i="42"/>
  <c r="F1635" i="42"/>
  <c r="D1630" i="42"/>
  <c r="H1627" i="42"/>
  <c r="F1627" i="42"/>
  <c r="F1626" i="42"/>
  <c r="F1625" i="42"/>
  <c r="F1622" i="42"/>
  <c r="F1621" i="42"/>
  <c r="F1620" i="42"/>
  <c r="F1619" i="42"/>
  <c r="D1614" i="42"/>
  <c r="F1611" i="42"/>
  <c r="D1611" i="42"/>
  <c r="H1610" i="42"/>
  <c r="F1610" i="42"/>
  <c r="F1607" i="42"/>
  <c r="F1606" i="42"/>
  <c r="F1605" i="42"/>
  <c r="F1604" i="42"/>
  <c r="D1599" i="42"/>
  <c r="F1596" i="42"/>
  <c r="F1595" i="42"/>
  <c r="F1592" i="42"/>
  <c r="F1591" i="42"/>
  <c r="F1590" i="42"/>
  <c r="F1589" i="42"/>
  <c r="D1584" i="42"/>
  <c r="H1581" i="42"/>
  <c r="F1581" i="42"/>
  <c r="F1580" i="42"/>
  <c r="H1579" i="42"/>
  <c r="F1579" i="42"/>
  <c r="H1578" i="42"/>
  <c r="F1578" i="42"/>
  <c r="F1577" i="42"/>
  <c r="F1576" i="42"/>
  <c r="F1573" i="42"/>
  <c r="F1572" i="42"/>
  <c r="F1571" i="42"/>
  <c r="F1570" i="42"/>
  <c r="D1565" i="42"/>
  <c r="F1562" i="42"/>
  <c r="H1561" i="42"/>
  <c r="F1561" i="42"/>
  <c r="F1560" i="42"/>
  <c r="F1557" i="42"/>
  <c r="F1556" i="42"/>
  <c r="F1555" i="42"/>
  <c r="F1554" i="42"/>
  <c r="G1552" i="42"/>
  <c r="D1549" i="42"/>
  <c r="F1546" i="42"/>
  <c r="F1545" i="42"/>
  <c r="F1544" i="42"/>
  <c r="F1541" i="42"/>
  <c r="F1540" i="42"/>
  <c r="F1539" i="42"/>
  <c r="F1538" i="42"/>
  <c r="D1533" i="42"/>
  <c r="F1530" i="42"/>
  <c r="F1529" i="42"/>
  <c r="F1526" i="42"/>
  <c r="F1525" i="42"/>
  <c r="F1524" i="42"/>
  <c r="F1523" i="42"/>
  <c r="D1518" i="42"/>
  <c r="F1515" i="42"/>
  <c r="F1514" i="42"/>
  <c r="F1511" i="42"/>
  <c r="F1510" i="42"/>
  <c r="F1509" i="42"/>
  <c r="F1508" i="42"/>
  <c r="D1503" i="42"/>
  <c r="F1498" i="42"/>
  <c r="F1495" i="42"/>
  <c r="F1494" i="42"/>
  <c r="F1493" i="42"/>
  <c r="F1492" i="42"/>
  <c r="D1487" i="42"/>
  <c r="H1482" i="42"/>
  <c r="F1482" i="42"/>
  <c r="F1479" i="42"/>
  <c r="F1478" i="42"/>
  <c r="F1477" i="42"/>
  <c r="F1476" i="42"/>
  <c r="D1471" i="42"/>
  <c r="F1466" i="42"/>
  <c r="F1465" i="42"/>
  <c r="F1462" i="42"/>
  <c r="F1461" i="42"/>
  <c r="F1460" i="42"/>
  <c r="F1459" i="42"/>
  <c r="D1454" i="42"/>
  <c r="F1449" i="42"/>
  <c r="F1448" i="42"/>
  <c r="F1445" i="42"/>
  <c r="F1444" i="42"/>
  <c r="F1443" i="42"/>
  <c r="F1442" i="42"/>
  <c r="D1436" i="42"/>
  <c r="F1433" i="42"/>
  <c r="F1432" i="42"/>
  <c r="F1431" i="42"/>
  <c r="F1428" i="42"/>
  <c r="F1427" i="42"/>
  <c r="F1426" i="42"/>
  <c r="F1425" i="42"/>
  <c r="D1420" i="42"/>
  <c r="F1417" i="42"/>
  <c r="F1416" i="42"/>
  <c r="F1415" i="42"/>
  <c r="F1412" i="42"/>
  <c r="F1411" i="42"/>
  <c r="F1410" i="42"/>
  <c r="F1409" i="42"/>
  <c r="D1404" i="42"/>
  <c r="F1399" i="42"/>
  <c r="F1398" i="42"/>
  <c r="F1395" i="42"/>
  <c r="F1394" i="42"/>
  <c r="F1393" i="42"/>
  <c r="F1392" i="42"/>
  <c r="D1387" i="42"/>
  <c r="F1382" i="42"/>
  <c r="H1381" i="42"/>
  <c r="F1381" i="42"/>
  <c r="F1380" i="42"/>
  <c r="F1377" i="42"/>
  <c r="F1376" i="42"/>
  <c r="F1375" i="42"/>
  <c r="F1374" i="42"/>
  <c r="D1369" i="42"/>
  <c r="F1364" i="42"/>
  <c r="F1363" i="42"/>
  <c r="F1360" i="42"/>
  <c r="F1359" i="42"/>
  <c r="F1358" i="42"/>
  <c r="F1357" i="42"/>
  <c r="D1352" i="42"/>
  <c r="F1347" i="42"/>
  <c r="F1346" i="42"/>
  <c r="F1343" i="42"/>
  <c r="F1342" i="42"/>
  <c r="F1341" i="42"/>
  <c r="F1340" i="42"/>
  <c r="D1335" i="42"/>
  <c r="F1330" i="42"/>
  <c r="F1327" i="42"/>
  <c r="D1327" i="42"/>
  <c r="F1326" i="42"/>
  <c r="D1326" i="42"/>
  <c r="F1325" i="42"/>
  <c r="D1325" i="42"/>
  <c r="F1324" i="42"/>
  <c r="D1324" i="42"/>
  <c r="D1319" i="42"/>
  <c r="F1314" i="42"/>
  <c r="F1311" i="42"/>
  <c r="D1311" i="42"/>
  <c r="F1310" i="42"/>
  <c r="D1310" i="42"/>
  <c r="F1309" i="42"/>
  <c r="D1309" i="42"/>
  <c r="F1308" i="42"/>
  <c r="D1308" i="42"/>
  <c r="D1303" i="42"/>
  <c r="F1298" i="42"/>
  <c r="F1297" i="42"/>
  <c r="F1294" i="42"/>
  <c r="F1293" i="42"/>
  <c r="F1292" i="42"/>
  <c r="F1291" i="42"/>
  <c r="D1286" i="42"/>
  <c r="F1281" i="42"/>
  <c r="F1278" i="42"/>
  <c r="F1277" i="42"/>
  <c r="D1272" i="42"/>
  <c r="F1269" i="42"/>
  <c r="F1264" i="42"/>
  <c r="F1263" i="42"/>
  <c r="D1258" i="42"/>
  <c r="F1253" i="42"/>
  <c r="F1250" i="42"/>
  <c r="F1249" i="42"/>
  <c r="F1248" i="42"/>
  <c r="F1247" i="42"/>
  <c r="D1242" i="42"/>
  <c r="F1237" i="42"/>
  <c r="F1234" i="42"/>
  <c r="F1233" i="42"/>
  <c r="F1232" i="42"/>
  <c r="F1231" i="42"/>
  <c r="D1226" i="42"/>
  <c r="F1223" i="42"/>
  <c r="F1220" i="42"/>
  <c r="F1219" i="42"/>
  <c r="D1219" i="42"/>
  <c r="F1218" i="42"/>
  <c r="D1218" i="42"/>
  <c r="F1217" i="42"/>
  <c r="F1214" i="42"/>
  <c r="F1213" i="42"/>
  <c r="F1212" i="42"/>
  <c r="F1211" i="42"/>
  <c r="D1206" i="42"/>
  <c r="F1203" i="42"/>
  <c r="F1200" i="42"/>
  <c r="F1199" i="42"/>
  <c r="D1199" i="42"/>
  <c r="F1198" i="42"/>
  <c r="D1198" i="42"/>
  <c r="F1197" i="42"/>
  <c r="F1194" i="42"/>
  <c r="F1193" i="42"/>
  <c r="F1192" i="42"/>
  <c r="F1191" i="42"/>
  <c r="D1186" i="42"/>
  <c r="F1183" i="42"/>
  <c r="F1182" i="42"/>
  <c r="D1182" i="42"/>
  <c r="F1181" i="42"/>
  <c r="D1181" i="42"/>
  <c r="F1180" i="42"/>
  <c r="F1177" i="42"/>
  <c r="F1176" i="42"/>
  <c r="F1175" i="42"/>
  <c r="F1174" i="42"/>
  <c r="D1169" i="42"/>
  <c r="F1166" i="42"/>
  <c r="F1163" i="42"/>
  <c r="F1160" i="42"/>
  <c r="F1159" i="42"/>
  <c r="F1158" i="42"/>
  <c r="D1153" i="42"/>
  <c r="F1150" i="42"/>
  <c r="F1149" i="42"/>
  <c r="F1146" i="42"/>
  <c r="F1145" i="42"/>
  <c r="F1142" i="42"/>
  <c r="F1141" i="42"/>
  <c r="F1140" i="42"/>
  <c r="F1139" i="42"/>
  <c r="D1134" i="42"/>
  <c r="F1131" i="42"/>
  <c r="F1130" i="42"/>
  <c r="F1127" i="42"/>
  <c r="F1126" i="42"/>
  <c r="F1125" i="42"/>
  <c r="F1124" i="42"/>
  <c r="D1123" i="42"/>
  <c r="D1119" i="42"/>
  <c r="F1116" i="42"/>
  <c r="F1115" i="42"/>
  <c r="F1112" i="42"/>
  <c r="F1111" i="42"/>
  <c r="F1110" i="42"/>
  <c r="F1109" i="42"/>
  <c r="D1108" i="42"/>
  <c r="D1104" i="42"/>
  <c r="F1101" i="42"/>
  <c r="D1101" i="42"/>
  <c r="G1098" i="42"/>
  <c r="D1093" i="42"/>
  <c r="F1090" i="42"/>
  <c r="F1089" i="42"/>
  <c r="F1086" i="42"/>
  <c r="F1085" i="42"/>
  <c r="F1084" i="42"/>
  <c r="F1083" i="42"/>
  <c r="D1078" i="42"/>
  <c r="F1075" i="42"/>
  <c r="F1074" i="42"/>
  <c r="F1071" i="42"/>
  <c r="F1070" i="42"/>
  <c r="F1067" i="42"/>
  <c r="F1066" i="42"/>
  <c r="F1065" i="42"/>
  <c r="F1064" i="42"/>
  <c r="D1059" i="42"/>
  <c r="G1056" i="42"/>
  <c r="F1053" i="42"/>
  <c r="F1052" i="42"/>
  <c r="F1051" i="42"/>
  <c r="F1050" i="42"/>
  <c r="F1047" i="42"/>
  <c r="F1046" i="42"/>
  <c r="D1041" i="42"/>
  <c r="G1038" i="42"/>
  <c r="F1035" i="42"/>
  <c r="F1034" i="42"/>
  <c r="F1031" i="42"/>
  <c r="D1026" i="42"/>
  <c r="G1023" i="42"/>
  <c r="F1020" i="42"/>
  <c r="F1019" i="42"/>
  <c r="F1018" i="42"/>
  <c r="F1017" i="42"/>
  <c r="F1014" i="42"/>
  <c r="F1013" i="42"/>
  <c r="F1012" i="42"/>
  <c r="F1011" i="42"/>
  <c r="F1010" i="42"/>
  <c r="D1005" i="42"/>
  <c r="G1002" i="42"/>
  <c r="F999" i="42"/>
  <c r="F998" i="42"/>
  <c r="F997" i="42"/>
  <c r="F996" i="42"/>
  <c r="F993" i="42"/>
  <c r="F992" i="42"/>
  <c r="F991" i="42"/>
  <c r="F990" i="42"/>
  <c r="F989" i="42"/>
  <c r="F988" i="42"/>
  <c r="D983" i="42"/>
  <c r="F978" i="42"/>
  <c r="F977" i="42"/>
  <c r="F976" i="42"/>
  <c r="F975" i="42"/>
  <c r="H974" i="42"/>
  <c r="F974" i="42"/>
  <c r="F971" i="42"/>
  <c r="F970" i="42"/>
  <c r="F969" i="42"/>
  <c r="F968" i="42"/>
  <c r="D963" i="42"/>
  <c r="H958" i="42"/>
  <c r="F958" i="42"/>
  <c r="H957" i="42"/>
  <c r="F957" i="42"/>
  <c r="H956" i="42"/>
  <c r="F956" i="42"/>
  <c r="H955" i="42"/>
  <c r="F955" i="42"/>
  <c r="F954" i="42"/>
  <c r="F951" i="42"/>
  <c r="F950" i="42"/>
  <c r="F949" i="42"/>
  <c r="F948" i="42"/>
  <c r="D942" i="42"/>
  <c r="F937" i="42"/>
  <c r="F936" i="42"/>
  <c r="F935" i="42"/>
  <c r="F934" i="42"/>
  <c r="F933" i="42"/>
  <c r="F930" i="42"/>
  <c r="F929" i="42"/>
  <c r="F928" i="42"/>
  <c r="F927" i="42"/>
  <c r="D922" i="42"/>
  <c r="F917" i="42"/>
  <c r="F916" i="42"/>
  <c r="F915" i="42"/>
  <c r="F912" i="42"/>
  <c r="F911" i="42"/>
  <c r="F910" i="42"/>
  <c r="F909" i="42"/>
  <c r="D904" i="42"/>
  <c r="F899" i="42"/>
  <c r="F898" i="42"/>
  <c r="F897" i="42"/>
  <c r="F894" i="42"/>
  <c r="F893" i="42"/>
  <c r="F892" i="42"/>
  <c r="F891" i="42"/>
  <c r="D886" i="42"/>
  <c r="G883" i="42"/>
  <c r="G880" i="42"/>
  <c r="G879" i="42"/>
  <c r="G878" i="42"/>
  <c r="F875" i="42"/>
  <c r="F874" i="42"/>
  <c r="D869" i="42"/>
  <c r="G866" i="42"/>
  <c r="F863" i="42"/>
  <c r="F862" i="42"/>
  <c r="F861" i="42"/>
  <c r="F858" i="42"/>
  <c r="F857" i="42"/>
  <c r="F856" i="42"/>
  <c r="D851" i="42"/>
  <c r="G848" i="42"/>
  <c r="F845" i="42"/>
  <c r="F844" i="42"/>
  <c r="F843" i="42"/>
  <c r="F840" i="42"/>
  <c r="F839" i="42"/>
  <c r="F838" i="42"/>
  <c r="D833" i="42"/>
  <c r="G830" i="42"/>
  <c r="F827" i="42"/>
  <c r="F826" i="42"/>
  <c r="F825" i="42"/>
  <c r="F824" i="42"/>
  <c r="F821" i="42"/>
  <c r="F820" i="42"/>
  <c r="D815" i="42"/>
  <c r="G812" i="42"/>
  <c r="F811" i="42"/>
  <c r="F810" i="42"/>
  <c r="F808" i="42"/>
  <c r="G807" i="42"/>
  <c r="G806" i="42"/>
  <c r="G805" i="42"/>
  <c r="B805" i="42"/>
  <c r="G804" i="42"/>
  <c r="B801" i="42"/>
  <c r="B797" i="42"/>
  <c r="D791" i="42"/>
  <c r="G788" i="42"/>
  <c r="F785" i="42"/>
  <c r="F784" i="42"/>
  <c r="D779" i="42"/>
  <c r="F776" i="42"/>
  <c r="D769" i="42"/>
  <c r="F766" i="42"/>
  <c r="D766" i="42"/>
  <c r="F763" i="42"/>
  <c r="F762" i="42"/>
  <c r="D757" i="42"/>
  <c r="F754" i="42"/>
  <c r="F751" i="42"/>
  <c r="F750" i="42"/>
  <c r="D745" i="42"/>
  <c r="F742" i="42"/>
  <c r="F739" i="42"/>
  <c r="F738" i="42"/>
  <c r="D733" i="42"/>
  <c r="F730" i="42"/>
  <c r="F727" i="42"/>
  <c r="F726" i="42"/>
  <c r="D721" i="42"/>
  <c r="F718" i="42"/>
  <c r="F715" i="42"/>
  <c r="F714" i="42"/>
  <c r="D708" i="42"/>
  <c r="F701" i="42"/>
  <c r="F700" i="42"/>
  <c r="E682" i="42"/>
  <c r="L670" i="42"/>
  <c r="E667" i="42"/>
  <c r="E664" i="42"/>
  <c r="E662" i="42"/>
  <c r="B653" i="42"/>
  <c r="E652" i="42"/>
  <c r="B649" i="42"/>
  <c r="B639" i="42"/>
  <c r="D633" i="42"/>
  <c r="I631" i="42"/>
  <c r="G631" i="42"/>
  <c r="F627" i="42"/>
  <c r="F626" i="42"/>
  <c r="D621" i="42"/>
  <c r="F618" i="42"/>
  <c r="F615" i="42"/>
  <c r="F614" i="42"/>
  <c r="D609" i="42"/>
  <c r="F604" i="42"/>
  <c r="D604" i="42"/>
  <c r="F603" i="42"/>
  <c r="D603" i="42"/>
  <c r="D596" i="42"/>
  <c r="I594" i="42"/>
  <c r="G594" i="42"/>
  <c r="F590" i="42"/>
  <c r="F589" i="42"/>
  <c r="F588" i="42"/>
  <c r="F587" i="42"/>
  <c r="F584" i="42"/>
  <c r="D579" i="42"/>
  <c r="I577" i="42"/>
  <c r="G577" i="42"/>
  <c r="F573" i="42"/>
  <c r="F572" i="42"/>
  <c r="F571" i="42"/>
  <c r="F570" i="42"/>
  <c r="F567" i="42"/>
  <c r="D562" i="42"/>
  <c r="I560" i="42"/>
  <c r="G560" i="42"/>
  <c r="F556" i="42"/>
  <c r="F555" i="42"/>
  <c r="F554" i="42"/>
  <c r="F553" i="42"/>
  <c r="F550" i="42"/>
  <c r="D545" i="42"/>
  <c r="F542" i="42"/>
  <c r="F539" i="42"/>
  <c r="F538" i="42"/>
  <c r="D531" i="42"/>
  <c r="F528" i="42"/>
  <c r="F525" i="42"/>
  <c r="F524" i="42"/>
  <c r="D517" i="42"/>
  <c r="F512" i="42"/>
  <c r="F511" i="42"/>
  <c r="D504" i="42"/>
  <c r="F499" i="42"/>
  <c r="F498" i="42"/>
  <c r="D491" i="42"/>
  <c r="F486" i="42"/>
  <c r="F485" i="42"/>
  <c r="D478" i="42"/>
  <c r="F473" i="42"/>
  <c r="F470" i="42"/>
  <c r="F469" i="42"/>
  <c r="D466" i="42"/>
  <c r="D458" i="42"/>
  <c r="D454" i="42"/>
  <c r="D453" i="42"/>
  <c r="D446" i="42"/>
  <c r="D444" i="42"/>
  <c r="D439" i="42"/>
  <c r="D434" i="42"/>
  <c r="D427" i="42"/>
  <c r="D426" i="42"/>
  <c r="D424" i="42"/>
  <c r="F417" i="42"/>
  <c r="F416" i="42"/>
  <c r="D411" i="42"/>
  <c r="D404" i="42"/>
  <c r="D403" i="42"/>
  <c r="D401" i="42"/>
  <c r="F394" i="42"/>
  <c r="F393" i="42"/>
  <c r="D387" i="42"/>
  <c r="D384" i="42"/>
  <c r="F380" i="42"/>
  <c r="F379" i="42"/>
  <c r="F378" i="42"/>
  <c r="D376" i="42"/>
  <c r="D374" i="42"/>
  <c r="F368" i="42"/>
  <c r="F367" i="42"/>
  <c r="F366" i="42"/>
  <c r="D364" i="42"/>
  <c r="D362" i="42"/>
  <c r="F355" i="42"/>
  <c r="F354" i="42"/>
  <c r="F353" i="42"/>
  <c r="D351" i="42"/>
  <c r="D349" i="42"/>
  <c r="F343" i="42"/>
  <c r="F342" i="42"/>
  <c r="F341" i="42"/>
  <c r="D339" i="42"/>
  <c r="D337" i="42"/>
  <c r="F331" i="42"/>
  <c r="F330" i="42"/>
  <c r="F329" i="42"/>
  <c r="D327" i="42"/>
  <c r="D325" i="42"/>
  <c r="F318" i="42"/>
  <c r="F317" i="42"/>
  <c r="F316" i="42"/>
  <c r="D314" i="42"/>
  <c r="D312" i="42"/>
  <c r="F306" i="42"/>
  <c r="F305" i="42"/>
  <c r="F304" i="42"/>
  <c r="D302" i="42"/>
  <c r="D300" i="42"/>
  <c r="F294" i="42"/>
  <c r="F293" i="42"/>
  <c r="F292" i="42"/>
  <c r="D290" i="42"/>
  <c r="D288" i="42"/>
  <c r="F282" i="42"/>
  <c r="F281" i="42"/>
  <c r="F280" i="42"/>
  <c r="D278" i="42"/>
  <c r="D276" i="42"/>
  <c r="F270" i="42"/>
  <c r="F269" i="42"/>
  <c r="F268" i="42"/>
  <c r="D266" i="42"/>
  <c r="D264" i="42"/>
  <c r="D255" i="42"/>
  <c r="D252" i="42"/>
  <c r="D250" i="42"/>
  <c r="F233" i="42"/>
  <c r="D232" i="42"/>
  <c r="D227" i="42"/>
  <c r="D223" i="42"/>
  <c r="D213" i="42"/>
  <c r="D207" i="42"/>
  <c r="D202" i="42"/>
  <c r="D194" i="42"/>
  <c r="D188" i="42"/>
  <c r="D179" i="42"/>
  <c r="D173" i="42"/>
  <c r="D169" i="42"/>
  <c r="D161" i="42"/>
  <c r="F156" i="42"/>
  <c r="F155" i="42"/>
  <c r="D148" i="42"/>
  <c r="F145" i="42"/>
  <c r="F144" i="42"/>
  <c r="F141" i="42"/>
  <c r="F140" i="42"/>
  <c r="F139" i="42"/>
  <c r="F138" i="42"/>
  <c r="D131" i="42"/>
  <c r="F128" i="42"/>
  <c r="F127" i="42"/>
  <c r="F124" i="42"/>
  <c r="F123" i="42"/>
  <c r="F122" i="42"/>
  <c r="F121" i="42"/>
  <c r="F120" i="42"/>
  <c r="F117" i="42"/>
  <c r="F116" i="42"/>
  <c r="D111" i="42"/>
  <c r="F108" i="42"/>
  <c r="F107" i="42"/>
  <c r="F104" i="42"/>
  <c r="F103" i="42"/>
  <c r="F102" i="42"/>
  <c r="D95" i="42"/>
  <c r="G92" i="42"/>
  <c r="F89" i="42"/>
  <c r="F88" i="42"/>
  <c r="F87" i="42"/>
  <c r="F86" i="42"/>
  <c r="F83" i="42"/>
  <c r="F82" i="42"/>
  <c r="F81" i="42"/>
  <c r="D76" i="42"/>
  <c r="G73" i="42"/>
  <c r="F70" i="42"/>
  <c r="F69" i="42"/>
  <c r="F68" i="42"/>
  <c r="F67" i="42"/>
  <c r="F66" i="42"/>
  <c r="F63" i="42"/>
  <c r="F62" i="42"/>
  <c r="D62" i="42"/>
  <c r="F61" i="42"/>
  <c r="D61" i="42"/>
  <c r="F60" i="42"/>
  <c r="F59" i="42"/>
  <c r="F58" i="42"/>
  <c r="F57" i="42"/>
  <c r="D52" i="42"/>
  <c r="G49" i="42"/>
  <c r="F46" i="42"/>
  <c r="F45" i="42"/>
  <c r="F44" i="42"/>
  <c r="F43" i="42"/>
  <c r="F42" i="42"/>
  <c r="F39" i="42"/>
  <c r="H38" i="42"/>
  <c r="H37" i="42" s="1"/>
  <c r="F38" i="42"/>
  <c r="F37" i="42"/>
  <c r="F36" i="42"/>
  <c r="F35" i="42"/>
  <c r="A33" i="42"/>
  <c r="D30" i="42"/>
  <c r="F27" i="42"/>
  <c r="F26" i="42"/>
  <c r="F25" i="42"/>
  <c r="H24" i="42"/>
  <c r="F24" i="42"/>
  <c r="F23" i="42"/>
  <c r="F22" i="42"/>
  <c r="F21" i="42"/>
  <c r="F20" i="42"/>
  <c r="F19" i="42"/>
  <c r="F18" i="42"/>
  <c r="H17" i="42"/>
  <c r="F17" i="42"/>
  <c r="F16" i="42"/>
  <c r="F15" i="42"/>
  <c r="F14" i="42"/>
  <c r="F11" i="42"/>
  <c r="F10" i="42"/>
  <c r="F9" i="42"/>
  <c r="F8" i="42"/>
  <c r="F7" i="42"/>
  <c r="C250" i="41"/>
  <c r="B250" i="41"/>
  <c r="C249" i="41"/>
  <c r="B249" i="41"/>
  <c r="C248" i="41"/>
  <c r="B248" i="41"/>
  <c r="C247" i="41"/>
  <c r="B247" i="41"/>
  <c r="C246" i="41"/>
  <c r="B246" i="41"/>
  <c r="C245" i="41"/>
  <c r="B245" i="41"/>
  <c r="C244" i="41"/>
  <c r="B244" i="41"/>
  <c r="C243" i="41"/>
  <c r="B243" i="41"/>
  <c r="C242" i="41"/>
  <c r="B242" i="41"/>
  <c r="C241" i="41"/>
  <c r="B241" i="41"/>
  <c r="C240" i="41"/>
  <c r="B240" i="41"/>
  <c r="C239" i="41"/>
  <c r="B239" i="41"/>
  <c r="C238" i="41"/>
  <c r="B238" i="41"/>
  <c r="C237" i="41"/>
  <c r="B237" i="41"/>
  <c r="C236" i="41"/>
  <c r="B236" i="41"/>
  <c r="C235" i="41"/>
  <c r="B235" i="41"/>
  <c r="C234" i="41"/>
  <c r="B234" i="41"/>
  <c r="C233" i="41"/>
  <c r="B233" i="41"/>
  <c r="C232" i="41"/>
  <c r="B232" i="41"/>
  <c r="C231" i="41"/>
  <c r="B231" i="41"/>
  <c r="C230" i="41"/>
  <c r="B230" i="41"/>
  <c r="C229" i="41"/>
  <c r="B229" i="41"/>
  <c r="C228" i="41"/>
  <c r="B228" i="41"/>
  <c r="C227" i="41"/>
  <c r="B227" i="41"/>
  <c r="C226" i="41"/>
  <c r="B226" i="41"/>
  <c r="C225" i="41"/>
  <c r="B225" i="41"/>
  <c r="C224" i="41"/>
  <c r="B224" i="41"/>
  <c r="C223" i="41"/>
  <c r="B223" i="41"/>
  <c r="C222" i="41"/>
  <c r="B222" i="41"/>
  <c r="C221" i="41"/>
  <c r="B221" i="41"/>
  <c r="C220" i="41"/>
  <c r="B220" i="41"/>
  <c r="C219" i="41"/>
  <c r="B219" i="41"/>
  <c r="C218" i="41"/>
  <c r="B218" i="41"/>
  <c r="C217" i="41"/>
  <c r="B217" i="41"/>
  <c r="C216" i="41"/>
  <c r="B216" i="41"/>
  <c r="C215" i="41"/>
  <c r="B215" i="41"/>
  <c r="C214" i="41"/>
  <c r="B214" i="41"/>
  <c r="C213" i="41"/>
  <c r="B213" i="41"/>
  <c r="C212" i="41"/>
  <c r="B212" i="41"/>
  <c r="C211" i="41"/>
  <c r="B211" i="41"/>
  <c r="C210" i="41"/>
  <c r="B210" i="41"/>
  <c r="C209" i="41"/>
  <c r="B209" i="41"/>
  <c r="C208" i="41"/>
  <c r="B208" i="41"/>
  <c r="C207" i="41"/>
  <c r="B207" i="41"/>
  <c r="C206" i="41"/>
  <c r="B206" i="41"/>
  <c r="C205" i="41"/>
  <c r="B205" i="41"/>
  <c r="C204" i="41"/>
  <c r="B204" i="41"/>
  <c r="C203" i="41"/>
  <c r="B203" i="41"/>
  <c r="C202" i="41"/>
  <c r="B202" i="41"/>
  <c r="C201" i="41"/>
  <c r="B201" i="41"/>
  <c r="C200" i="41"/>
  <c r="B200" i="41"/>
  <c r="C199" i="41"/>
  <c r="B199" i="41"/>
  <c r="C198" i="41"/>
  <c r="B198" i="41"/>
  <c r="C197" i="41"/>
  <c r="B197" i="41"/>
  <c r="C196" i="41"/>
  <c r="B196" i="41"/>
  <c r="C195" i="41"/>
  <c r="B195" i="41"/>
  <c r="C194" i="41"/>
  <c r="B194" i="41"/>
  <c r="C193" i="41"/>
  <c r="B193" i="41"/>
  <c r="C192" i="41"/>
  <c r="B192" i="41"/>
  <c r="C191" i="41"/>
  <c r="B191" i="41"/>
  <c r="C190" i="41"/>
  <c r="B190" i="41"/>
  <c r="C189" i="41"/>
  <c r="B189" i="41"/>
  <c r="C188" i="41"/>
  <c r="B188" i="41"/>
  <c r="C187" i="41"/>
  <c r="B187" i="41"/>
  <c r="C186" i="41"/>
  <c r="B186" i="41"/>
  <c r="C185" i="41"/>
  <c r="B185" i="41"/>
  <c r="C184" i="41"/>
  <c r="B184" i="41"/>
  <c r="C183" i="41"/>
  <c r="B183" i="41"/>
  <c r="C182" i="41"/>
  <c r="B182" i="41"/>
  <c r="C181" i="41"/>
  <c r="B181" i="41"/>
  <c r="C180" i="41"/>
  <c r="B180" i="41"/>
  <c r="C179" i="41"/>
  <c r="B179" i="41"/>
  <c r="C178" i="41"/>
  <c r="B178" i="41"/>
  <c r="C177" i="41"/>
  <c r="B177" i="41"/>
  <c r="C176" i="41"/>
  <c r="B176" i="41"/>
  <c r="C175" i="41"/>
  <c r="B175" i="41"/>
  <c r="C174" i="41"/>
  <c r="B174" i="41"/>
  <c r="C173" i="41"/>
  <c r="B173" i="41"/>
  <c r="C172" i="41"/>
  <c r="B172" i="41"/>
  <c r="C171" i="41"/>
  <c r="B171" i="41"/>
  <c r="C170" i="41"/>
  <c r="B170" i="41"/>
  <c r="C169" i="41"/>
  <c r="B169" i="41"/>
  <c r="C168" i="41"/>
  <c r="B168" i="41"/>
  <c r="C167" i="41"/>
  <c r="B167" i="41"/>
  <c r="C166" i="41"/>
  <c r="B166" i="41"/>
  <c r="C165" i="41"/>
  <c r="B165" i="41"/>
  <c r="C164" i="41"/>
  <c r="B164" i="41"/>
  <c r="C163" i="41"/>
  <c r="B163" i="41"/>
  <c r="C162" i="41"/>
  <c r="B162" i="41"/>
  <c r="C161" i="41"/>
  <c r="B161" i="41"/>
  <c r="C160" i="41"/>
  <c r="B160" i="41"/>
  <c r="C159" i="41"/>
  <c r="B159" i="41"/>
  <c r="C158" i="41"/>
  <c r="B158" i="41"/>
  <c r="C157" i="41"/>
  <c r="B157" i="41"/>
  <c r="C156" i="41"/>
  <c r="B156" i="41"/>
  <c r="C155" i="41"/>
  <c r="B155" i="41"/>
  <c r="C154" i="41"/>
  <c r="B154" i="41"/>
  <c r="C153" i="41"/>
  <c r="B153" i="41"/>
  <c r="C152" i="41"/>
  <c r="B152" i="41"/>
  <c r="C150" i="41"/>
  <c r="B150" i="41"/>
  <c r="C149" i="41"/>
  <c r="B149" i="41"/>
  <c r="C148" i="41"/>
  <c r="B148" i="41"/>
  <c r="C147" i="41"/>
  <c r="B147" i="41"/>
  <c r="C146" i="41"/>
  <c r="B146" i="41"/>
  <c r="C145" i="41"/>
  <c r="B145" i="41"/>
  <c r="C144" i="41"/>
  <c r="B144" i="41"/>
  <c r="C143" i="41"/>
  <c r="B143" i="41"/>
  <c r="C142" i="41"/>
  <c r="B142" i="41"/>
  <c r="C141" i="41"/>
  <c r="B141" i="41"/>
  <c r="C140" i="41"/>
  <c r="B140" i="41"/>
  <c r="C139" i="41"/>
  <c r="B139" i="41"/>
  <c r="C138" i="41"/>
  <c r="B138" i="41"/>
  <c r="C137" i="41"/>
  <c r="B137" i="41"/>
  <c r="C136" i="41"/>
  <c r="B136" i="41"/>
  <c r="C135" i="41"/>
  <c r="B135" i="41"/>
  <c r="C134" i="41"/>
  <c r="B134" i="41"/>
  <c r="C133" i="41"/>
  <c r="B133" i="41"/>
  <c r="C132" i="41"/>
  <c r="B132" i="41"/>
  <c r="C131" i="41"/>
  <c r="B131" i="41"/>
  <c r="C130" i="41"/>
  <c r="B130" i="41"/>
  <c r="C129" i="41"/>
  <c r="B129" i="41"/>
  <c r="C128" i="41"/>
  <c r="B128" i="41"/>
  <c r="C127" i="41"/>
  <c r="B127" i="41"/>
  <c r="C126" i="41"/>
  <c r="B126" i="41"/>
  <c r="C125" i="41"/>
  <c r="B125" i="41"/>
  <c r="C124" i="41"/>
  <c r="B124" i="41"/>
  <c r="C123" i="41"/>
  <c r="B123" i="41"/>
  <c r="C122" i="41"/>
  <c r="B122" i="41"/>
  <c r="C121" i="41"/>
  <c r="B121" i="41"/>
  <c r="C120" i="41"/>
  <c r="B120" i="41"/>
  <c r="C119" i="41"/>
  <c r="B119" i="41"/>
  <c r="C118" i="41"/>
  <c r="B118" i="41"/>
  <c r="C117" i="41"/>
  <c r="B117" i="41"/>
  <c r="C116" i="41"/>
  <c r="B116" i="41"/>
  <c r="C115" i="41"/>
  <c r="B115" i="41"/>
  <c r="C114" i="41"/>
  <c r="B114" i="41"/>
  <c r="C113" i="41"/>
  <c r="B113" i="41"/>
  <c r="C112" i="41"/>
  <c r="B112" i="41"/>
  <c r="C111" i="41"/>
  <c r="B111" i="41"/>
  <c r="C110" i="41"/>
  <c r="B110" i="41"/>
  <c r="C109" i="41"/>
  <c r="B109" i="41"/>
  <c r="C108" i="41"/>
  <c r="B108" i="41"/>
  <c r="C107" i="41"/>
  <c r="B107" i="41"/>
  <c r="C106" i="41"/>
  <c r="B106" i="41"/>
  <c r="C105" i="41"/>
  <c r="B105" i="41"/>
  <c r="C104" i="41"/>
  <c r="B104" i="41"/>
  <c r="C103" i="41"/>
  <c r="B103" i="41"/>
  <c r="C102" i="41"/>
  <c r="B102" i="41"/>
  <c r="C101" i="41"/>
  <c r="B101" i="41"/>
  <c r="C100" i="41"/>
  <c r="B100" i="41"/>
  <c r="C99" i="41"/>
  <c r="B99" i="41"/>
  <c r="C98" i="41"/>
  <c r="B98" i="41"/>
  <c r="C97" i="41"/>
  <c r="B97" i="41"/>
  <c r="C96" i="41"/>
  <c r="B96" i="41"/>
  <c r="C95" i="41"/>
  <c r="B95" i="41"/>
  <c r="C94" i="41"/>
  <c r="B94" i="41"/>
  <c r="C93" i="41"/>
  <c r="B93" i="41"/>
  <c r="C92" i="41"/>
  <c r="B92" i="41"/>
  <c r="C91" i="41"/>
  <c r="B91" i="41"/>
  <c r="C90" i="41"/>
  <c r="B90" i="41"/>
  <c r="C89" i="41"/>
  <c r="B89" i="41"/>
  <c r="C88" i="41"/>
  <c r="B88" i="41"/>
  <c r="C87" i="41"/>
  <c r="B87" i="41"/>
  <c r="C86" i="41"/>
  <c r="B86" i="41"/>
  <c r="C85" i="41"/>
  <c r="B85" i="41"/>
  <c r="C84" i="41"/>
  <c r="B84" i="41"/>
  <c r="C83" i="41"/>
  <c r="B83" i="41"/>
  <c r="C82" i="41"/>
  <c r="B82" i="41"/>
  <c r="C81" i="41"/>
  <c r="B81" i="41"/>
  <c r="C80" i="41"/>
  <c r="B80" i="41"/>
  <c r="C79" i="41"/>
  <c r="B79" i="41"/>
  <c r="C78" i="41"/>
  <c r="B78" i="41"/>
  <c r="C77" i="41"/>
  <c r="B77" i="41"/>
  <c r="C76" i="41"/>
  <c r="B76" i="41"/>
  <c r="C75" i="41"/>
  <c r="B75" i="41"/>
  <c r="C74" i="41"/>
  <c r="B74" i="41"/>
  <c r="C73" i="41"/>
  <c r="B73" i="41"/>
  <c r="C72" i="41"/>
  <c r="B72" i="41"/>
  <c r="C71" i="41"/>
  <c r="B71" i="41"/>
  <c r="C70" i="41"/>
  <c r="B70" i="41"/>
  <c r="C69" i="41"/>
  <c r="B69" i="41"/>
  <c r="C68" i="41"/>
  <c r="B68" i="41"/>
  <c r="C67" i="41"/>
  <c r="B67" i="41"/>
  <c r="C66" i="41"/>
  <c r="B66" i="41"/>
  <c r="C65" i="41"/>
  <c r="B65" i="41"/>
  <c r="C64" i="41"/>
  <c r="B64" i="41"/>
  <c r="C63" i="41"/>
  <c r="B63" i="41"/>
  <c r="C62" i="41"/>
  <c r="B62" i="41"/>
  <c r="C61" i="41"/>
  <c r="B61" i="41"/>
  <c r="C60" i="41"/>
  <c r="B60" i="41"/>
  <c r="C59" i="41"/>
  <c r="B59" i="41"/>
  <c r="C58" i="41"/>
  <c r="B58" i="41"/>
  <c r="C57" i="41"/>
  <c r="B57" i="41"/>
  <c r="C56" i="41"/>
  <c r="B56" i="41"/>
  <c r="C55" i="41"/>
  <c r="B55" i="41"/>
  <c r="C54" i="41"/>
  <c r="B54" i="41"/>
  <c r="C53" i="41"/>
  <c r="B53" i="41"/>
  <c r="C52" i="41"/>
  <c r="B52" i="41"/>
  <c r="C51" i="41"/>
  <c r="B51" i="41"/>
  <c r="C50" i="41"/>
  <c r="B50" i="41"/>
  <c r="C49" i="41"/>
  <c r="B49" i="41"/>
  <c r="C48" i="41"/>
  <c r="B48" i="41"/>
  <c r="C47" i="41"/>
  <c r="B47" i="41"/>
  <c r="C46" i="41"/>
  <c r="B46" i="41"/>
  <c r="C45" i="41"/>
  <c r="B45" i="41"/>
  <c r="C44" i="41"/>
  <c r="B44" i="41"/>
  <c r="C43" i="41"/>
  <c r="B43" i="41"/>
  <c r="C42" i="41"/>
  <c r="B42" i="41"/>
  <c r="C41" i="41"/>
  <c r="B41" i="41"/>
  <c r="C40" i="41"/>
  <c r="B40" i="41"/>
  <c r="C39" i="41"/>
  <c r="B39" i="41"/>
  <c r="C38" i="41"/>
  <c r="B38" i="41"/>
  <c r="C37" i="41"/>
  <c r="B37" i="41"/>
  <c r="C36" i="41"/>
  <c r="B36" i="41"/>
  <c r="C35" i="41"/>
  <c r="B35" i="41"/>
  <c r="C34" i="41"/>
  <c r="B34" i="41"/>
  <c r="C33" i="41"/>
  <c r="B33" i="41"/>
  <c r="C32" i="41"/>
  <c r="B32" i="41"/>
  <c r="C31" i="41"/>
  <c r="B31" i="41"/>
  <c r="C30" i="41"/>
  <c r="B30" i="41"/>
  <c r="C29" i="41"/>
  <c r="B29" i="41"/>
  <c r="C28" i="41"/>
  <c r="B28" i="41"/>
  <c r="C27" i="41"/>
  <c r="B27" i="41"/>
  <c r="C26" i="41"/>
  <c r="B26" i="41"/>
  <c r="C25" i="41"/>
  <c r="B25" i="41"/>
  <c r="C24" i="41"/>
  <c r="B24" i="41"/>
  <c r="C23" i="41"/>
  <c r="B23" i="41"/>
  <c r="C22" i="41"/>
  <c r="B22" i="41"/>
  <c r="C21" i="41"/>
  <c r="B21" i="41"/>
  <c r="C20" i="41"/>
  <c r="B20" i="41"/>
  <c r="C19" i="41"/>
  <c r="B19" i="41"/>
  <c r="C18" i="41"/>
  <c r="B18" i="41"/>
  <c r="C17" i="41"/>
  <c r="B17" i="41"/>
  <c r="C16" i="41"/>
  <c r="B16" i="41"/>
  <c r="C15" i="41"/>
  <c r="B15" i="41"/>
  <c r="C14" i="41"/>
  <c r="B14" i="41"/>
  <c r="C13" i="41"/>
  <c r="B13" i="41"/>
  <c r="C12" i="41"/>
  <c r="B12" i="41"/>
  <c r="C11" i="41"/>
  <c r="B11" i="41"/>
  <c r="C10" i="41"/>
  <c r="B10" i="41"/>
  <c r="C9" i="41"/>
  <c r="B9" i="41"/>
  <c r="C8" i="41"/>
  <c r="B8" i="41"/>
  <c r="C7" i="41"/>
  <c r="B7" i="41"/>
  <c r="A7" i="41"/>
  <c r="C6" i="41"/>
  <c r="B6" i="41"/>
  <c r="P404" i="40"/>
  <c r="E401" i="40"/>
  <c r="D401" i="40"/>
  <c r="C401" i="40"/>
  <c r="P399" i="40"/>
  <c r="P398" i="40"/>
  <c r="P397" i="40"/>
  <c r="P395" i="40"/>
  <c r="P394" i="40"/>
  <c r="P393" i="40"/>
  <c r="P392" i="40"/>
  <c r="N391" i="40"/>
  <c r="N390" i="40"/>
  <c r="N389" i="40"/>
  <c r="A389" i="40"/>
  <c r="E388" i="40"/>
  <c r="P386" i="40"/>
  <c r="P385" i="40"/>
  <c r="P384" i="40"/>
  <c r="P383" i="40"/>
  <c r="N382" i="40"/>
  <c r="P381" i="40"/>
  <c r="P380" i="40"/>
  <c r="P379" i="40"/>
  <c r="A379" i="40"/>
  <c r="P378" i="40"/>
  <c r="A370" i="40"/>
  <c r="C367" i="40"/>
  <c r="C366" i="40"/>
  <c r="N365" i="40"/>
  <c r="C362" i="40"/>
  <c r="M361" i="40"/>
  <c r="C361" i="40"/>
  <c r="N360" i="40"/>
  <c r="C357" i="40"/>
  <c r="C356" i="40"/>
  <c r="N355" i="40"/>
  <c r="C352" i="40"/>
  <c r="C351" i="40"/>
  <c r="N350" i="40"/>
  <c r="N348" i="40"/>
  <c r="H347" i="40"/>
  <c r="E347" i="40"/>
  <c r="C347" i="40"/>
  <c r="C346" i="40"/>
  <c r="N345" i="40"/>
  <c r="N343" i="40"/>
  <c r="N342" i="40"/>
  <c r="N340" i="40"/>
  <c r="N339" i="40"/>
  <c r="N338" i="40"/>
  <c r="N337" i="40"/>
  <c r="E336" i="40"/>
  <c r="D336" i="40"/>
  <c r="N335" i="40"/>
  <c r="N334" i="40"/>
  <c r="N333" i="40"/>
  <c r="N332" i="40"/>
  <c r="N331" i="40"/>
  <c r="N330" i="40"/>
  <c r="E327" i="40"/>
  <c r="D327" i="40"/>
  <c r="N325" i="40"/>
  <c r="N324" i="40"/>
  <c r="E320" i="40"/>
  <c r="N319" i="40"/>
  <c r="M313" i="40"/>
  <c r="E313" i="40"/>
  <c r="D313" i="40"/>
  <c r="N312" i="40"/>
  <c r="N310" i="40"/>
  <c r="N309" i="40"/>
  <c r="P306" i="40"/>
  <c r="A306" i="40"/>
  <c r="P305" i="40"/>
  <c r="P303" i="40"/>
  <c r="P302" i="40"/>
  <c r="E301" i="40"/>
  <c r="D301" i="40"/>
  <c r="N299" i="40"/>
  <c r="N298" i="40"/>
  <c r="C293" i="40"/>
  <c r="C292" i="40"/>
  <c r="C291" i="40"/>
  <c r="C290" i="40"/>
  <c r="C289" i="40"/>
  <c r="C288" i="40"/>
  <c r="H287" i="40"/>
  <c r="C287" i="40"/>
  <c r="C286" i="40"/>
  <c r="N284" i="40"/>
  <c r="N282" i="40"/>
  <c r="H281" i="40"/>
  <c r="E281" i="40"/>
  <c r="D281" i="40"/>
  <c r="C280" i="40"/>
  <c r="N280" i="40" s="1"/>
  <c r="D278" i="40"/>
  <c r="C278" i="40"/>
  <c r="N276" i="40"/>
  <c r="N275" i="40"/>
  <c r="N274" i="40"/>
  <c r="N271" i="40"/>
  <c r="C270" i="40"/>
  <c r="C269" i="40"/>
  <c r="C268" i="40"/>
  <c r="N268" i="40" s="1"/>
  <c r="C267" i="40"/>
  <c r="M264" i="40"/>
  <c r="N263" i="40"/>
  <c r="N262" i="40"/>
  <c r="N259" i="40"/>
  <c r="N258" i="40"/>
  <c r="N255" i="40"/>
  <c r="N254" i="40"/>
  <c r="N251" i="40"/>
  <c r="N250" i="40"/>
  <c r="N249" i="40"/>
  <c r="N246" i="40"/>
  <c r="N245" i="40"/>
  <c r="N242" i="40"/>
  <c r="N241" i="40"/>
  <c r="N238" i="40"/>
  <c r="N237" i="40"/>
  <c r="N234" i="40"/>
  <c r="C230" i="40"/>
  <c r="C229" i="40"/>
  <c r="N228" i="40"/>
  <c r="C225" i="40"/>
  <c r="M224" i="40"/>
  <c r="C224" i="40"/>
  <c r="N223" i="40"/>
  <c r="C220" i="40"/>
  <c r="C219" i="40"/>
  <c r="N218" i="40"/>
  <c r="C215" i="40"/>
  <c r="C214" i="40"/>
  <c r="N213" i="40"/>
  <c r="N211" i="40"/>
  <c r="H210" i="40"/>
  <c r="E210" i="40"/>
  <c r="C210" i="40"/>
  <c r="C209" i="40"/>
  <c r="N208" i="40"/>
  <c r="H206" i="40"/>
  <c r="E206" i="40"/>
  <c r="N205" i="40"/>
  <c r="H204" i="40"/>
  <c r="E204" i="40"/>
  <c r="D204" i="40"/>
  <c r="E203" i="40"/>
  <c r="H201" i="40"/>
  <c r="D201" i="40"/>
  <c r="N200" i="40"/>
  <c r="E197" i="40"/>
  <c r="N196" i="40"/>
  <c r="H193" i="40"/>
  <c r="E193" i="40"/>
  <c r="D193" i="40"/>
  <c r="C192" i="40"/>
  <c r="A189" i="40"/>
  <c r="N187" i="40"/>
  <c r="N186" i="40"/>
  <c r="N185" i="40"/>
  <c r="N184" i="40"/>
  <c r="N183" i="40"/>
  <c r="N182" i="40"/>
  <c r="C181" i="40"/>
  <c r="C180" i="40"/>
  <c r="C179" i="40"/>
  <c r="C178" i="40"/>
  <c r="C177" i="40"/>
  <c r="E176" i="40"/>
  <c r="C176" i="40"/>
  <c r="D173" i="40"/>
  <c r="C173" i="40"/>
  <c r="C171" i="40"/>
  <c r="F170" i="40" s="1"/>
  <c r="L170" i="40"/>
  <c r="C170" i="40"/>
  <c r="E167" i="40"/>
  <c r="D167" i="40"/>
  <c r="M166" i="40"/>
  <c r="C166" i="40"/>
  <c r="N165" i="40"/>
  <c r="D162" i="40"/>
  <c r="C162" i="40"/>
  <c r="C160" i="40"/>
  <c r="F159" i="40" s="1"/>
  <c r="L159" i="40"/>
  <c r="C159" i="40"/>
  <c r="E156" i="40"/>
  <c r="D156" i="40"/>
  <c r="M155" i="40"/>
  <c r="C155" i="40"/>
  <c r="N154" i="40"/>
  <c r="D151" i="40"/>
  <c r="C151" i="40"/>
  <c r="M149" i="40"/>
  <c r="C148" i="40"/>
  <c r="M147" i="40"/>
  <c r="C147" i="40"/>
  <c r="F146" i="40" s="1"/>
  <c r="L146" i="40"/>
  <c r="C146" i="40"/>
  <c r="E143" i="40"/>
  <c r="E151" i="40" s="1"/>
  <c r="D143" i="40"/>
  <c r="C142" i="40"/>
  <c r="D141" i="40"/>
  <c r="N140" i="40"/>
  <c r="D137" i="40"/>
  <c r="C137" i="40"/>
  <c r="C135" i="40"/>
  <c r="L134" i="40"/>
  <c r="E131" i="40"/>
  <c r="C130" i="40"/>
  <c r="N129" i="40"/>
  <c r="D125" i="40"/>
  <c r="C125" i="40"/>
  <c r="E123" i="40"/>
  <c r="D123" i="40"/>
  <c r="C122" i="40"/>
  <c r="N121" i="40"/>
  <c r="L117" i="40"/>
  <c r="I117" i="40"/>
  <c r="C117" i="40"/>
  <c r="M116" i="40"/>
  <c r="L116" i="40"/>
  <c r="C116" i="40"/>
  <c r="N115" i="40"/>
  <c r="E112" i="40"/>
  <c r="D112" i="40"/>
  <c r="L107" i="40"/>
  <c r="I107" i="40"/>
  <c r="C107" i="40"/>
  <c r="F104" i="40"/>
  <c r="B104" i="40"/>
  <c r="L103" i="40"/>
  <c r="B103" i="40"/>
  <c r="M100" i="40"/>
  <c r="H100" i="40"/>
  <c r="D100" i="40"/>
  <c r="C100" i="40"/>
  <c r="H99" i="40"/>
  <c r="E99" i="40"/>
  <c r="M98" i="40"/>
  <c r="C98" i="40"/>
  <c r="N97" i="40"/>
  <c r="D93" i="40"/>
  <c r="C93" i="40"/>
  <c r="L88" i="40"/>
  <c r="I88" i="40"/>
  <c r="C88" i="40"/>
  <c r="K85" i="40"/>
  <c r="J85" i="40"/>
  <c r="F85" i="40"/>
  <c r="L84" i="40"/>
  <c r="M81" i="40"/>
  <c r="M79" i="40"/>
  <c r="H79" i="40"/>
  <c r="D79" i="40"/>
  <c r="D74" i="40"/>
  <c r="C74" i="40"/>
  <c r="L69" i="40"/>
  <c r="I69" i="40"/>
  <c r="C69" i="40"/>
  <c r="K66" i="40"/>
  <c r="J66" i="40"/>
  <c r="F66" i="40"/>
  <c r="B66" i="40"/>
  <c r="L65" i="40"/>
  <c r="B65" i="40"/>
  <c r="M62" i="40"/>
  <c r="E62" i="40"/>
  <c r="D62" i="40"/>
  <c r="C61" i="40"/>
  <c r="M60" i="40"/>
  <c r="H60" i="40"/>
  <c r="E60" i="40"/>
  <c r="N59" i="40"/>
  <c r="E55" i="40"/>
  <c r="D55" i="40"/>
  <c r="L50" i="40"/>
  <c r="I50" i="40"/>
  <c r="C50" i="40"/>
  <c r="F47" i="40"/>
  <c r="L46" i="40"/>
  <c r="H43" i="40"/>
  <c r="E43" i="40"/>
  <c r="E38" i="40"/>
  <c r="D37" i="40"/>
  <c r="A36" i="40"/>
  <c r="E34" i="40"/>
  <c r="C34" i="40"/>
  <c r="D23" i="40"/>
  <c r="M21" i="40"/>
  <c r="E21" i="40"/>
  <c r="M20" i="40"/>
  <c r="D20" i="40"/>
  <c r="C20" i="40"/>
  <c r="S19" i="40"/>
  <c r="S18" i="40"/>
  <c r="A18" i="40"/>
  <c r="E16" i="40"/>
  <c r="D16" i="40"/>
  <c r="B16" i="40"/>
  <c r="N15" i="40"/>
  <c r="B15" i="40"/>
  <c r="D11" i="40"/>
  <c r="C10" i="40"/>
  <c r="M385" i="39"/>
  <c r="M384" i="39"/>
  <c r="M378" i="39"/>
  <c r="M377" i="39"/>
  <c r="M376" i="39"/>
  <c r="M373" i="39"/>
  <c r="M372" i="39"/>
  <c r="C366" i="39"/>
  <c r="K362" i="39"/>
  <c r="K361" i="39"/>
  <c r="I358" i="39"/>
  <c r="I357" i="39"/>
  <c r="A356" i="39"/>
  <c r="M354" i="39"/>
  <c r="M353" i="39"/>
  <c r="M349" i="39"/>
  <c r="M348" i="39"/>
  <c r="C339" i="39"/>
  <c r="D331" i="39"/>
  <c r="C331" i="39"/>
  <c r="D330" i="39"/>
  <c r="C330" i="39"/>
  <c r="D328" i="39"/>
  <c r="E321" i="39"/>
  <c r="E320" i="39"/>
  <c r="C320" i="39"/>
  <c r="C317" i="39"/>
  <c r="M316" i="39"/>
  <c r="H309" i="39"/>
  <c r="D309" i="39"/>
  <c r="C309" i="39"/>
  <c r="C308" i="39"/>
  <c r="M306" i="39"/>
  <c r="M305" i="39"/>
  <c r="M304" i="39"/>
  <c r="M303" i="39"/>
  <c r="M300" i="39"/>
  <c r="M299" i="39"/>
  <c r="M298" i="39"/>
  <c r="M297" i="39"/>
  <c r="M294" i="39"/>
  <c r="M293" i="39"/>
  <c r="M290" i="39"/>
  <c r="M289" i="39"/>
  <c r="M288" i="39"/>
  <c r="M285" i="39"/>
  <c r="M284" i="39"/>
  <c r="L283" i="39"/>
  <c r="E283" i="39"/>
  <c r="M282" i="39"/>
  <c r="E279" i="39"/>
  <c r="M278" i="39"/>
  <c r="C273" i="39"/>
  <c r="M272" i="39"/>
  <c r="M269" i="39"/>
  <c r="E268" i="39"/>
  <c r="M267" i="39"/>
  <c r="A257" i="39"/>
  <c r="M255" i="39"/>
  <c r="M254" i="39"/>
  <c r="M253" i="39"/>
  <c r="M252" i="39"/>
  <c r="B252" i="39"/>
  <c r="M251" i="39"/>
  <c r="B251" i="39"/>
  <c r="M244" i="39"/>
  <c r="C242" i="39"/>
  <c r="E241" i="39"/>
  <c r="C236" i="39"/>
  <c r="D235" i="39"/>
  <c r="C235" i="39"/>
  <c r="C231" i="39"/>
  <c r="C228" i="39"/>
  <c r="E223" i="39"/>
  <c r="D222" i="39"/>
  <c r="E221" i="39"/>
  <c r="C221" i="39"/>
  <c r="M220" i="39"/>
  <c r="M219" i="39"/>
  <c r="E216" i="39"/>
  <c r="C214" i="39"/>
  <c r="K213" i="39" s="1"/>
  <c r="C213" i="39"/>
  <c r="E210" i="39"/>
  <c r="M209" i="39"/>
  <c r="M208" i="39"/>
  <c r="E203" i="39"/>
  <c r="D203" i="39"/>
  <c r="G198" i="39"/>
  <c r="F197" i="39"/>
  <c r="C197" i="39"/>
  <c r="L194" i="39"/>
  <c r="C194" i="39"/>
  <c r="L193" i="39"/>
  <c r="K193" i="39"/>
  <c r="C193" i="39"/>
  <c r="L192" i="39"/>
  <c r="F192" i="39"/>
  <c r="C192" i="39"/>
  <c r="H188" i="39"/>
  <c r="E188" i="39"/>
  <c r="M187" i="39"/>
  <c r="E184" i="39"/>
  <c r="D184" i="39"/>
  <c r="C184" i="39"/>
  <c r="F183" i="39"/>
  <c r="C183" i="39"/>
  <c r="F182" i="39"/>
  <c r="C182" i="39"/>
  <c r="C180" i="39"/>
  <c r="M179" i="39"/>
  <c r="E173" i="39"/>
  <c r="D173" i="39"/>
  <c r="I167" i="39"/>
  <c r="F166" i="39"/>
  <c r="C166" i="39"/>
  <c r="K161" i="39"/>
  <c r="F160" i="39"/>
  <c r="J156" i="39"/>
  <c r="J154" i="39"/>
  <c r="J153" i="39"/>
  <c r="D153" i="39"/>
  <c r="J151" i="39"/>
  <c r="E151" i="39"/>
  <c r="F146" i="39"/>
  <c r="C146" i="39"/>
  <c r="L145" i="39"/>
  <c r="F145" i="39"/>
  <c r="F141" i="39"/>
  <c r="C141" i="39"/>
  <c r="F140" i="39"/>
  <c r="E139" i="39"/>
  <c r="E137" i="39"/>
  <c r="F136" i="39"/>
  <c r="C136" i="39"/>
  <c r="L135" i="39"/>
  <c r="F135" i="39"/>
  <c r="I134" i="39"/>
  <c r="E131" i="39"/>
  <c r="J123" i="39"/>
  <c r="E123" i="39"/>
  <c r="M122" i="39"/>
  <c r="E119" i="39"/>
  <c r="D116" i="39"/>
  <c r="C116" i="39"/>
  <c r="D115" i="39"/>
  <c r="C115" i="39"/>
  <c r="E111" i="39"/>
  <c r="M110" i="39"/>
  <c r="E105" i="39"/>
  <c r="D105" i="39"/>
  <c r="L96" i="39"/>
  <c r="L95" i="39"/>
  <c r="L94" i="39"/>
  <c r="I94" i="39"/>
  <c r="L93" i="39"/>
  <c r="F93" i="39"/>
  <c r="C93" i="39"/>
  <c r="L90" i="39"/>
  <c r="L89" i="39"/>
  <c r="L88" i="39"/>
  <c r="K87" i="39"/>
  <c r="L86" i="39"/>
  <c r="F86" i="39"/>
  <c r="J81" i="39"/>
  <c r="E81" i="39"/>
  <c r="C74" i="39"/>
  <c r="C73" i="39"/>
  <c r="E71" i="39"/>
  <c r="C71" i="39"/>
  <c r="C70" i="39"/>
  <c r="E65" i="39"/>
  <c r="M64" i="39"/>
  <c r="E46" i="39"/>
  <c r="L42" i="39"/>
  <c r="C42" i="39"/>
  <c r="L41" i="39"/>
  <c r="C41" i="39"/>
  <c r="L40" i="39"/>
  <c r="C40" i="39"/>
  <c r="L39" i="39"/>
  <c r="D39" i="39"/>
  <c r="C39" i="39"/>
  <c r="D34" i="39"/>
  <c r="E33" i="39"/>
  <c r="L29" i="39"/>
  <c r="C29" i="39"/>
  <c r="L28" i="39"/>
  <c r="C28" i="39"/>
  <c r="L27" i="39"/>
  <c r="C27" i="39"/>
  <c r="L26" i="39"/>
  <c r="C26" i="39"/>
  <c r="A23" i="39"/>
  <c r="D21" i="39"/>
  <c r="C21" i="39"/>
  <c r="G20" i="39"/>
  <c r="F20" i="39"/>
  <c r="C20" i="39"/>
  <c r="L19" i="39"/>
  <c r="L17" i="39"/>
  <c r="C16" i="39"/>
  <c r="A15" i="39"/>
  <c r="M13" i="39"/>
  <c r="M12" i="39"/>
  <c r="P202" i="38"/>
  <c r="A202" i="38"/>
  <c r="P201" i="38"/>
  <c r="N199" i="38"/>
  <c r="N198" i="38"/>
  <c r="P197" i="38"/>
  <c r="P196" i="38"/>
  <c r="D181" i="38"/>
  <c r="D177" i="38"/>
  <c r="C173" i="38"/>
  <c r="M171" i="38"/>
  <c r="E171" i="38"/>
  <c r="M167" i="38"/>
  <c r="E167" i="38"/>
  <c r="C167" i="38"/>
  <c r="C166" i="38"/>
  <c r="N163" i="38"/>
  <c r="N161" i="38" s="1"/>
  <c r="A152" i="38"/>
  <c r="E150" i="38"/>
  <c r="E147" i="38"/>
  <c r="E145" i="38"/>
  <c r="E143" i="38"/>
  <c r="E141" i="38"/>
  <c r="E139" i="38"/>
  <c r="C139" i="38"/>
  <c r="C138" i="38"/>
  <c r="M137" i="38"/>
  <c r="H137" i="38"/>
  <c r="E137" i="38"/>
  <c r="N136" i="38"/>
  <c r="D130" i="38"/>
  <c r="C130" i="38"/>
  <c r="E128" i="38"/>
  <c r="C128" i="38"/>
  <c r="C127" i="38"/>
  <c r="B127" i="38"/>
  <c r="B126" i="38"/>
  <c r="C123" i="38"/>
  <c r="M120" i="38"/>
  <c r="L120" i="38"/>
  <c r="E117" i="38"/>
  <c r="M116" i="38"/>
  <c r="C116" i="38"/>
  <c r="D115" i="38"/>
  <c r="D112" i="38"/>
  <c r="C112" i="38"/>
  <c r="M109" i="38"/>
  <c r="L109" i="38"/>
  <c r="E106" i="38"/>
  <c r="C106" i="38"/>
  <c r="M105" i="38"/>
  <c r="C105" i="38"/>
  <c r="N104" i="38"/>
  <c r="C100" i="38"/>
  <c r="D98" i="38"/>
  <c r="D96" i="38"/>
  <c r="C96" i="38"/>
  <c r="M95" i="38"/>
  <c r="L92" i="38"/>
  <c r="I92" i="38"/>
  <c r="C92" i="38"/>
  <c r="J90" i="38"/>
  <c r="M89" i="38"/>
  <c r="L89" i="38"/>
  <c r="H89" i="38"/>
  <c r="F89" i="38"/>
  <c r="M87" i="38"/>
  <c r="H87" i="38"/>
  <c r="F87" i="38"/>
  <c r="E86" i="38"/>
  <c r="L82" i="38"/>
  <c r="I82" i="38"/>
  <c r="C82" i="38"/>
  <c r="M81" i="38"/>
  <c r="L81" i="38"/>
  <c r="H81" i="38"/>
  <c r="E81" i="38"/>
  <c r="N80" i="38"/>
  <c r="D77" i="38"/>
  <c r="E75" i="38"/>
  <c r="D75" i="38"/>
  <c r="L70" i="38"/>
  <c r="I70" i="38"/>
  <c r="C70" i="38"/>
  <c r="F67" i="38"/>
  <c r="L66" i="38"/>
  <c r="G66" i="38"/>
  <c r="H63" i="38"/>
  <c r="E63" i="38"/>
  <c r="C62" i="38"/>
  <c r="E58" i="38"/>
  <c r="D58" i="38"/>
  <c r="D57" i="38"/>
  <c r="G54" i="38"/>
  <c r="E54" i="38"/>
  <c r="D54" i="38"/>
  <c r="C54" i="38"/>
  <c r="B54" i="38"/>
  <c r="M53" i="38"/>
  <c r="G53" i="38"/>
  <c r="D53" i="38"/>
  <c r="C53" i="38"/>
  <c r="B53" i="38"/>
  <c r="C48" i="38"/>
  <c r="B48" i="38"/>
  <c r="M47" i="38"/>
  <c r="C47" i="38"/>
  <c r="B47" i="38"/>
  <c r="M44" i="38"/>
  <c r="E44" i="38"/>
  <c r="N43" i="38"/>
  <c r="A41" i="38"/>
  <c r="H37" i="38"/>
  <c r="L36" i="38"/>
  <c r="I36" i="38"/>
  <c r="H33" i="38"/>
  <c r="E33" i="38"/>
  <c r="C33" i="38"/>
  <c r="C32" i="38"/>
  <c r="D30" i="38"/>
  <c r="C30" i="38"/>
  <c r="M29" i="38"/>
  <c r="N28" i="38"/>
  <c r="H23" i="38"/>
  <c r="L22" i="38"/>
  <c r="I22" i="38"/>
  <c r="H19" i="38"/>
  <c r="E19" i="38"/>
  <c r="C19" i="38"/>
  <c r="C18" i="38"/>
  <c r="D16" i="38"/>
  <c r="C16" i="38"/>
  <c r="M15" i="38"/>
  <c r="N14" i="38"/>
  <c r="A13" i="38"/>
  <c r="D11" i="38"/>
  <c r="C10" i="38"/>
  <c r="E61" i="37"/>
  <c r="D59" i="37"/>
  <c r="E54" i="37"/>
  <c r="L50" i="37"/>
  <c r="I50" i="37"/>
  <c r="C50" i="37"/>
  <c r="L49" i="37"/>
  <c r="L42" i="37"/>
  <c r="I42" i="37"/>
  <c r="F42" i="37"/>
  <c r="C42" i="37"/>
  <c r="L41" i="37"/>
  <c r="J41" i="37"/>
  <c r="E41" i="37"/>
  <c r="L37" i="37"/>
  <c r="I37" i="37"/>
  <c r="C37" i="37"/>
  <c r="L36" i="37"/>
  <c r="D31" i="37"/>
  <c r="F30" i="37"/>
  <c r="C28" i="37"/>
  <c r="L23" i="37"/>
  <c r="I23" i="37"/>
  <c r="F23" i="37"/>
  <c r="D20" i="37"/>
  <c r="C20" i="37"/>
  <c r="A18" i="37"/>
  <c r="N17" i="37"/>
  <c r="P16" i="37"/>
  <c r="N15" i="37"/>
  <c r="N14" i="37"/>
  <c r="N13" i="37"/>
  <c r="N12" i="37"/>
  <c r="N11" i="37"/>
  <c r="N10" i="37"/>
  <c r="N9" i="37"/>
  <c r="M534" i="36"/>
  <c r="A534" i="36"/>
  <c r="M532" i="36"/>
  <c r="M531" i="36"/>
  <c r="M530" i="36"/>
  <c r="M529" i="36"/>
  <c r="M528" i="36"/>
  <c r="M527" i="36"/>
  <c r="M526" i="36"/>
  <c r="C521" i="36"/>
  <c r="L519" i="36"/>
  <c r="J519" i="36"/>
  <c r="K515" i="36"/>
  <c r="K513" i="36"/>
  <c r="L509" i="36"/>
  <c r="K505" i="36"/>
  <c r="K503" i="36"/>
  <c r="L499" i="36"/>
  <c r="L488" i="36"/>
  <c r="M487" i="36"/>
  <c r="C478" i="36"/>
  <c r="E475" i="36"/>
  <c r="D475" i="36"/>
  <c r="D469" i="36"/>
  <c r="E464" i="36"/>
  <c r="C464" i="36"/>
  <c r="L463" i="36"/>
  <c r="C463" i="36"/>
  <c r="L460" i="36"/>
  <c r="E460" i="36"/>
  <c r="D460" i="36"/>
  <c r="M459" i="36"/>
  <c r="L454" i="36"/>
  <c r="K454" i="36"/>
  <c r="J454" i="36"/>
  <c r="E454" i="36"/>
  <c r="M453" i="36"/>
  <c r="L451" i="36"/>
  <c r="K451" i="36"/>
  <c r="J451" i="36"/>
  <c r="E451" i="36"/>
  <c r="M450" i="36"/>
  <c r="L447" i="36"/>
  <c r="K447" i="36"/>
  <c r="J447" i="36"/>
  <c r="E447" i="36"/>
  <c r="M446" i="36"/>
  <c r="E441" i="36"/>
  <c r="M440" i="36"/>
  <c r="M438" i="36"/>
  <c r="E436" i="36"/>
  <c r="M435" i="36"/>
  <c r="L432" i="36"/>
  <c r="E432" i="36"/>
  <c r="M431" i="36"/>
  <c r="J426" i="36"/>
  <c r="E426" i="36"/>
  <c r="M425" i="36"/>
  <c r="E423" i="36"/>
  <c r="L421" i="36"/>
  <c r="E416" i="36"/>
  <c r="E415" i="36"/>
  <c r="M414" i="36"/>
  <c r="J407" i="36"/>
  <c r="E407" i="36"/>
  <c r="M406" i="36"/>
  <c r="M403" i="36"/>
  <c r="M402" i="36"/>
  <c r="L398" i="36"/>
  <c r="M397" i="36"/>
  <c r="J396" i="36"/>
  <c r="M395" i="36"/>
  <c r="M393" i="36"/>
  <c r="M392" i="36"/>
  <c r="M391" i="36"/>
  <c r="J389" i="36"/>
  <c r="M388" i="36"/>
  <c r="L385" i="36"/>
  <c r="C385" i="36"/>
  <c r="M384" i="36"/>
  <c r="L383" i="36"/>
  <c r="C383" i="36"/>
  <c r="M382" i="36"/>
  <c r="M381" i="36"/>
  <c r="M380" i="36"/>
  <c r="M378" i="36"/>
  <c r="M376" i="36"/>
  <c r="M375" i="36"/>
  <c r="M374" i="36"/>
  <c r="M371" i="36"/>
  <c r="M370" i="36"/>
  <c r="M367" i="36"/>
  <c r="M366" i="36"/>
  <c r="L362" i="36"/>
  <c r="K362" i="36"/>
  <c r="E362" i="36"/>
  <c r="C361" i="36"/>
  <c r="L358" i="36"/>
  <c r="K358" i="36"/>
  <c r="E358" i="36"/>
  <c r="C357" i="36"/>
  <c r="L354" i="36"/>
  <c r="K354" i="36"/>
  <c r="E354" i="36"/>
  <c r="C353" i="36"/>
  <c r="L350" i="36"/>
  <c r="J350" i="36"/>
  <c r="E350" i="36"/>
  <c r="D349" i="36"/>
  <c r="J345" i="36"/>
  <c r="E345" i="36"/>
  <c r="M344" i="36"/>
  <c r="M343" i="36"/>
  <c r="M342" i="36"/>
  <c r="J341" i="36"/>
  <c r="E340" i="36"/>
  <c r="L339" i="36"/>
  <c r="J339" i="36"/>
  <c r="E338" i="36"/>
  <c r="J337" i="36"/>
  <c r="E337" i="36"/>
  <c r="E336" i="36"/>
  <c r="A333" i="36"/>
  <c r="M331" i="36"/>
  <c r="M330" i="36"/>
  <c r="M329" i="36"/>
  <c r="M328" i="36"/>
  <c r="M327" i="36"/>
  <c r="M326" i="36"/>
  <c r="M325" i="36"/>
  <c r="E324" i="36"/>
  <c r="M323" i="36"/>
  <c r="M322" i="36"/>
  <c r="M321" i="36"/>
  <c r="M320" i="36"/>
  <c r="M318" i="36"/>
  <c r="M317" i="36"/>
  <c r="E316" i="36"/>
  <c r="M315" i="36"/>
  <c r="C311" i="36"/>
  <c r="C310" i="36"/>
  <c r="D309" i="36"/>
  <c r="C309" i="36"/>
  <c r="K307" i="36"/>
  <c r="J307" i="36"/>
  <c r="E307" i="36"/>
  <c r="M306" i="36"/>
  <c r="M305" i="36"/>
  <c r="D301" i="36"/>
  <c r="C301" i="36"/>
  <c r="J299" i="36"/>
  <c r="E299" i="36"/>
  <c r="M298" i="36"/>
  <c r="D294" i="36"/>
  <c r="C294" i="36"/>
  <c r="C293" i="36"/>
  <c r="C290" i="36"/>
  <c r="B290" i="36"/>
  <c r="I288" i="36"/>
  <c r="C288" i="36"/>
  <c r="L284" i="36"/>
  <c r="K284" i="36"/>
  <c r="F284" i="36"/>
  <c r="B284" i="36"/>
  <c r="B283" i="36"/>
  <c r="L282" i="36"/>
  <c r="K282" i="36"/>
  <c r="I282" i="36"/>
  <c r="B281" i="36"/>
  <c r="J278" i="36"/>
  <c r="E278" i="36"/>
  <c r="M277" i="36"/>
  <c r="C272" i="36"/>
  <c r="B272" i="36"/>
  <c r="J271" i="36"/>
  <c r="C271" i="36"/>
  <c r="B271" i="36"/>
  <c r="D270" i="36"/>
  <c r="C270" i="36"/>
  <c r="B270" i="36"/>
  <c r="C266" i="36"/>
  <c r="C263" i="36"/>
  <c r="D262" i="36"/>
  <c r="E261" i="36"/>
  <c r="C261" i="36"/>
  <c r="C260" i="36"/>
  <c r="M259" i="36"/>
  <c r="D251" i="36"/>
  <c r="D249" i="36"/>
  <c r="E248" i="36"/>
  <c r="J244" i="36"/>
  <c r="D244" i="36"/>
  <c r="C244" i="36"/>
  <c r="D243" i="36"/>
  <c r="C243" i="36"/>
  <c r="D239" i="36"/>
  <c r="L237" i="36"/>
  <c r="D237" i="36"/>
  <c r="C237" i="36"/>
  <c r="L236" i="36"/>
  <c r="C236" i="36"/>
  <c r="L235" i="36"/>
  <c r="D235" i="36"/>
  <c r="C235" i="36"/>
  <c r="L234" i="36"/>
  <c r="C234" i="36"/>
  <c r="J233" i="36"/>
  <c r="E233" i="36"/>
  <c r="D233" i="36"/>
  <c r="C232" i="36"/>
  <c r="M231" i="36"/>
  <c r="M230" i="36"/>
  <c r="E226" i="36"/>
  <c r="D226" i="36"/>
  <c r="F222" i="36"/>
  <c r="I221" i="36"/>
  <c r="C221" i="36"/>
  <c r="L218" i="36"/>
  <c r="K218" i="36"/>
  <c r="C218" i="36"/>
  <c r="L217" i="36"/>
  <c r="I217" i="36"/>
  <c r="C217" i="36"/>
  <c r="L214" i="36"/>
  <c r="D214" i="36"/>
  <c r="C214" i="36"/>
  <c r="J213" i="36"/>
  <c r="E213" i="36"/>
  <c r="L212" i="36"/>
  <c r="C212" i="36"/>
  <c r="M211" i="36"/>
  <c r="E206" i="36"/>
  <c r="D206" i="36"/>
  <c r="K203" i="36"/>
  <c r="K202" i="36"/>
  <c r="I202" i="36"/>
  <c r="F202" i="36"/>
  <c r="C202" i="36"/>
  <c r="K199" i="36"/>
  <c r="G199" i="36"/>
  <c r="I198" i="36"/>
  <c r="L195" i="36"/>
  <c r="K195" i="36"/>
  <c r="G195" i="36"/>
  <c r="C195" i="36"/>
  <c r="L194" i="36"/>
  <c r="I194" i="36"/>
  <c r="C194" i="36"/>
  <c r="L191" i="36"/>
  <c r="J191" i="36"/>
  <c r="E191" i="36"/>
  <c r="C191" i="36"/>
  <c r="D190" i="36"/>
  <c r="L189" i="36"/>
  <c r="C189" i="36"/>
  <c r="M188" i="36"/>
  <c r="E183" i="36"/>
  <c r="D183" i="36"/>
  <c r="F180" i="36"/>
  <c r="I179" i="36"/>
  <c r="C179" i="36"/>
  <c r="K176" i="36"/>
  <c r="I175" i="36"/>
  <c r="L172" i="36"/>
  <c r="K172" i="36"/>
  <c r="C172" i="36"/>
  <c r="L171" i="36"/>
  <c r="I171" i="36"/>
  <c r="C171" i="36"/>
  <c r="L168" i="36"/>
  <c r="J168" i="36"/>
  <c r="E168" i="36"/>
  <c r="C168" i="36"/>
  <c r="D167" i="36"/>
  <c r="L166" i="36"/>
  <c r="M165" i="36"/>
  <c r="I161" i="36"/>
  <c r="F161" i="36"/>
  <c r="C161" i="36"/>
  <c r="L160" i="36"/>
  <c r="I160" i="36"/>
  <c r="E160" i="36"/>
  <c r="M159" i="36"/>
  <c r="I156" i="36"/>
  <c r="C156" i="36"/>
  <c r="I155" i="36"/>
  <c r="L153" i="36"/>
  <c r="J153" i="36"/>
  <c r="E153" i="36"/>
  <c r="M152" i="36"/>
  <c r="I148" i="36"/>
  <c r="F148" i="36"/>
  <c r="C148" i="36"/>
  <c r="L147" i="36"/>
  <c r="I147" i="36"/>
  <c r="G145" i="36"/>
  <c r="E145" i="36"/>
  <c r="M144" i="36"/>
  <c r="D140" i="36"/>
  <c r="C140" i="36"/>
  <c r="I135" i="36"/>
  <c r="F135" i="36"/>
  <c r="C135" i="36"/>
  <c r="L132" i="36"/>
  <c r="K132" i="36"/>
  <c r="F132" i="36"/>
  <c r="C132" i="36"/>
  <c r="L131" i="36"/>
  <c r="I131" i="36"/>
  <c r="G131" i="36"/>
  <c r="C131" i="36"/>
  <c r="J128" i="36"/>
  <c r="G128" i="36"/>
  <c r="D128" i="36"/>
  <c r="M127" i="36"/>
  <c r="G124" i="36"/>
  <c r="E124" i="36"/>
  <c r="I123" i="36"/>
  <c r="C123" i="36"/>
  <c r="L122" i="36"/>
  <c r="I122" i="36"/>
  <c r="G122" i="36"/>
  <c r="E122" i="36"/>
  <c r="M121" i="36"/>
  <c r="E115" i="36"/>
  <c r="D115" i="36"/>
  <c r="K111" i="36"/>
  <c r="K110" i="36"/>
  <c r="K109" i="36"/>
  <c r="K108" i="36"/>
  <c r="F108" i="36"/>
  <c r="K107" i="36"/>
  <c r="I107" i="36"/>
  <c r="C107" i="36"/>
  <c r="L104" i="36"/>
  <c r="C104" i="36"/>
  <c r="L103" i="36"/>
  <c r="C103" i="36"/>
  <c r="L102" i="36"/>
  <c r="C102" i="36"/>
  <c r="L101" i="36"/>
  <c r="K101" i="36"/>
  <c r="C101" i="36"/>
  <c r="L100" i="36"/>
  <c r="I100" i="36"/>
  <c r="C100" i="36"/>
  <c r="J97" i="36"/>
  <c r="E97" i="36"/>
  <c r="J94" i="36"/>
  <c r="E94" i="36"/>
  <c r="M93" i="36"/>
  <c r="E89" i="36"/>
  <c r="D89" i="36"/>
  <c r="C84" i="36"/>
  <c r="C83" i="36"/>
  <c r="F80" i="36"/>
  <c r="I79" i="36"/>
  <c r="C79" i="36"/>
  <c r="L76" i="36"/>
  <c r="K76" i="36"/>
  <c r="C76" i="36"/>
  <c r="L75" i="36"/>
  <c r="I75" i="36"/>
  <c r="C75" i="36"/>
  <c r="J72" i="36"/>
  <c r="E72" i="36"/>
  <c r="M71" i="36"/>
  <c r="E64" i="36"/>
  <c r="D63" i="36"/>
  <c r="E57" i="36"/>
  <c r="E50" i="36"/>
  <c r="D49" i="36"/>
  <c r="L45" i="36"/>
  <c r="C45" i="36"/>
  <c r="L44" i="36"/>
  <c r="C44" i="36"/>
  <c r="L43" i="36"/>
  <c r="C43" i="36"/>
  <c r="L42" i="36"/>
  <c r="C42" i="36"/>
  <c r="L41" i="36"/>
  <c r="C41" i="36"/>
  <c r="E35" i="36"/>
  <c r="D35" i="36"/>
  <c r="M34" i="36"/>
  <c r="K30" i="36"/>
  <c r="I30" i="36"/>
  <c r="F30" i="36"/>
  <c r="L28" i="36"/>
  <c r="D28" i="36"/>
  <c r="C28" i="36"/>
  <c r="L26" i="36"/>
  <c r="M25" i="36"/>
  <c r="K22" i="36"/>
  <c r="I22" i="36"/>
  <c r="F22" i="36"/>
  <c r="C21" i="36"/>
  <c r="L20" i="36"/>
  <c r="L18" i="36"/>
  <c r="M17" i="36"/>
  <c r="A16" i="36"/>
  <c r="M14" i="36"/>
  <c r="M13" i="36"/>
  <c r="N147" i="35"/>
  <c r="N146" i="35"/>
  <c r="N145" i="35"/>
  <c r="A145" i="35"/>
  <c r="N144" i="35"/>
  <c r="H140" i="35"/>
  <c r="D140" i="35"/>
  <c r="E139" i="35"/>
  <c r="C139" i="35"/>
  <c r="M138" i="35"/>
  <c r="H138" i="35"/>
  <c r="E138" i="35"/>
  <c r="D138" i="35"/>
  <c r="E135" i="35"/>
  <c r="C135" i="35"/>
  <c r="N134" i="35"/>
  <c r="M131" i="35"/>
  <c r="E131" i="35"/>
  <c r="N130" i="35"/>
  <c r="N128" i="35"/>
  <c r="D127" i="35"/>
  <c r="M126" i="35"/>
  <c r="N118" i="35"/>
  <c r="N117" i="35"/>
  <c r="C112" i="35"/>
  <c r="N111" i="35"/>
  <c r="N110" i="35"/>
  <c r="H107" i="35"/>
  <c r="E107" i="35"/>
  <c r="D107" i="35"/>
  <c r="C107" i="35"/>
  <c r="N106" i="35"/>
  <c r="E102" i="35"/>
  <c r="D102" i="35"/>
  <c r="B98" i="35"/>
  <c r="E97" i="35"/>
  <c r="B97" i="35"/>
  <c r="C96" i="35"/>
  <c r="B96" i="35"/>
  <c r="E92" i="35"/>
  <c r="C92" i="35"/>
  <c r="N91" i="35"/>
  <c r="N87" i="35"/>
  <c r="A86" i="35"/>
  <c r="M84" i="35"/>
  <c r="C84" i="35"/>
  <c r="N83" i="35"/>
  <c r="N82" i="35"/>
  <c r="C78" i="35"/>
  <c r="H76" i="35"/>
  <c r="N75" i="35"/>
  <c r="M72" i="35"/>
  <c r="D72" i="35"/>
  <c r="C72" i="35"/>
  <c r="N71" i="35"/>
  <c r="E69" i="35"/>
  <c r="D69" i="35"/>
  <c r="L64" i="35"/>
  <c r="I64" i="35"/>
  <c r="C64" i="35"/>
  <c r="F61" i="35"/>
  <c r="M60" i="35"/>
  <c r="L60" i="35"/>
  <c r="H57" i="35"/>
  <c r="D57" i="35"/>
  <c r="M56" i="35"/>
  <c r="H56" i="35"/>
  <c r="E56" i="35"/>
  <c r="M55" i="35"/>
  <c r="D51" i="35"/>
  <c r="C51" i="35"/>
  <c r="L50" i="35"/>
  <c r="I50" i="35"/>
  <c r="C50" i="35"/>
  <c r="M49" i="35"/>
  <c r="L49" i="35"/>
  <c r="E49" i="35"/>
  <c r="N48" i="35"/>
  <c r="K46" i="35"/>
  <c r="L45" i="35"/>
  <c r="I45" i="35"/>
  <c r="C45" i="35"/>
  <c r="M44" i="35"/>
  <c r="L44" i="35"/>
  <c r="E44" i="35"/>
  <c r="N43" i="35"/>
  <c r="M40" i="35"/>
  <c r="H36" i="35"/>
  <c r="E36" i="35"/>
  <c r="D36" i="35"/>
  <c r="H32" i="35"/>
  <c r="L31" i="35"/>
  <c r="I31" i="35"/>
  <c r="C31" i="35"/>
  <c r="M28" i="35"/>
  <c r="F28" i="35"/>
  <c r="C28" i="35"/>
  <c r="B28" i="35"/>
  <c r="M27" i="35"/>
  <c r="L27" i="35"/>
  <c r="H27" i="35"/>
  <c r="C27" i="35"/>
  <c r="B27" i="35"/>
  <c r="H24" i="35"/>
  <c r="F24" i="35"/>
  <c r="E24" i="35"/>
  <c r="N23" i="35"/>
  <c r="E19" i="35"/>
  <c r="K18" i="35"/>
  <c r="G18" i="35"/>
  <c r="F18" i="35"/>
  <c r="D16" i="35"/>
  <c r="C16" i="35"/>
  <c r="L15" i="35"/>
  <c r="M14" i="35"/>
  <c r="A13" i="35"/>
  <c r="N11" i="35"/>
  <c r="N10" i="35"/>
  <c r="A168" i="34"/>
  <c r="I161" i="34"/>
  <c r="G159" i="34"/>
  <c r="E159" i="34"/>
  <c r="D159" i="34"/>
  <c r="I158" i="34"/>
  <c r="E157" i="34"/>
  <c r="A154" i="34"/>
  <c r="I153" i="34"/>
  <c r="C148" i="34"/>
  <c r="D146" i="34"/>
  <c r="F142" i="34"/>
  <c r="C142" i="34"/>
  <c r="D140" i="34"/>
  <c r="C139" i="34"/>
  <c r="E138" i="34"/>
  <c r="D136" i="34"/>
  <c r="C136" i="34"/>
  <c r="I135" i="34"/>
  <c r="E132" i="34"/>
  <c r="D132" i="34"/>
  <c r="E127" i="34"/>
  <c r="D127" i="34"/>
  <c r="C127" i="34"/>
  <c r="G124" i="34"/>
  <c r="C124" i="34"/>
  <c r="H123" i="34"/>
  <c r="E123" i="34"/>
  <c r="C123" i="34"/>
  <c r="H120" i="34"/>
  <c r="G120" i="34"/>
  <c r="E120" i="34"/>
  <c r="I119" i="34"/>
  <c r="I116" i="34"/>
  <c r="D114" i="34"/>
  <c r="E111" i="34"/>
  <c r="D111" i="34"/>
  <c r="E107" i="34"/>
  <c r="C106" i="34"/>
  <c r="H105" i="34"/>
  <c r="C105" i="34"/>
  <c r="H104" i="34"/>
  <c r="E104" i="34"/>
  <c r="H103" i="34"/>
  <c r="C103" i="34"/>
  <c r="K102" i="34"/>
  <c r="H100" i="34"/>
  <c r="C100" i="34"/>
  <c r="H99" i="34"/>
  <c r="C99" i="34"/>
  <c r="C98" i="34"/>
  <c r="E97" i="34"/>
  <c r="C97" i="34"/>
  <c r="C96" i="34"/>
  <c r="I93" i="34"/>
  <c r="I92" i="34"/>
  <c r="E89" i="34"/>
  <c r="D85" i="34"/>
  <c r="C85" i="34"/>
  <c r="K84" i="34"/>
  <c r="C84" i="34"/>
  <c r="H83" i="34"/>
  <c r="E83" i="34"/>
  <c r="E78" i="34" s="1"/>
  <c r="C83" i="34"/>
  <c r="I82" i="34"/>
  <c r="D80" i="34"/>
  <c r="C80" i="34"/>
  <c r="G79" i="34"/>
  <c r="C79" i="34"/>
  <c r="H78" i="34"/>
  <c r="C78" i="34"/>
  <c r="I76" i="34"/>
  <c r="D71" i="34"/>
  <c r="C71" i="34"/>
  <c r="I70" i="34"/>
  <c r="E66" i="34"/>
  <c r="D66" i="34"/>
  <c r="K54" i="34"/>
  <c r="C54" i="34"/>
  <c r="E45" i="34"/>
  <c r="D40" i="34"/>
  <c r="D39" i="34"/>
  <c r="D38" i="34"/>
  <c r="D37" i="34"/>
  <c r="G34" i="34"/>
  <c r="C34" i="34"/>
  <c r="G33" i="34"/>
  <c r="C33" i="34"/>
  <c r="G32" i="34"/>
  <c r="C32" i="34"/>
  <c r="G31" i="34"/>
  <c r="C31" i="34"/>
  <c r="M30" i="34"/>
  <c r="G28" i="34"/>
  <c r="M27" i="34"/>
  <c r="C27" i="34"/>
  <c r="I25" i="34"/>
  <c r="I24" i="34"/>
  <c r="I23" i="34"/>
  <c r="I22" i="34"/>
  <c r="M19" i="34"/>
  <c r="E18" i="34"/>
  <c r="K17" i="34"/>
  <c r="G17" i="34"/>
  <c r="F17" i="34"/>
  <c r="M16" i="34"/>
  <c r="D15" i="34"/>
  <c r="C15" i="34"/>
  <c r="M14" i="34"/>
  <c r="M13" i="34"/>
  <c r="A12" i="34"/>
  <c r="D11" i="34"/>
  <c r="C11" i="34"/>
  <c r="P347" i="33"/>
  <c r="A347" i="33"/>
  <c r="P346" i="33"/>
  <c r="D339" i="33"/>
  <c r="C339" i="33"/>
  <c r="C338" i="33"/>
  <c r="D336" i="33"/>
  <c r="B333" i="33"/>
  <c r="H330" i="33"/>
  <c r="D330" i="33"/>
  <c r="C330" i="33"/>
  <c r="H329" i="33"/>
  <c r="C329" i="33"/>
  <c r="D327" i="33"/>
  <c r="A318" i="33"/>
  <c r="E316" i="33"/>
  <c r="E309" i="33"/>
  <c r="D307" i="33"/>
  <c r="D306" i="33"/>
  <c r="E305" i="33"/>
  <c r="D300" i="33"/>
  <c r="E299" i="33"/>
  <c r="E298" i="33"/>
  <c r="E296" i="33"/>
  <c r="E294" i="33"/>
  <c r="E292" i="33"/>
  <c r="D292" i="33"/>
  <c r="D291" i="33"/>
  <c r="M290" i="33"/>
  <c r="E290" i="33"/>
  <c r="N289" i="33"/>
  <c r="D283" i="33"/>
  <c r="C283" i="33"/>
  <c r="E281" i="33"/>
  <c r="C281" i="33"/>
  <c r="C280" i="33"/>
  <c r="D275" i="33"/>
  <c r="C275" i="33"/>
  <c r="E273" i="33"/>
  <c r="C273" i="33"/>
  <c r="C272" i="33"/>
  <c r="L267" i="33"/>
  <c r="I267" i="33"/>
  <c r="H267" i="33"/>
  <c r="C267" i="33"/>
  <c r="L266" i="33"/>
  <c r="E266" i="33"/>
  <c r="L262" i="33"/>
  <c r="C262" i="33"/>
  <c r="M261" i="33"/>
  <c r="D261" i="33"/>
  <c r="C261" i="33"/>
  <c r="N260" i="33"/>
  <c r="E257" i="33"/>
  <c r="D257" i="33"/>
  <c r="L252" i="33"/>
  <c r="I252" i="33"/>
  <c r="C252" i="33"/>
  <c r="F249" i="33"/>
  <c r="L248" i="33"/>
  <c r="H245" i="33"/>
  <c r="E245" i="33"/>
  <c r="A242" i="33"/>
  <c r="E240" i="33"/>
  <c r="D239" i="33"/>
  <c r="M236" i="33"/>
  <c r="G236" i="33"/>
  <c r="E236" i="33"/>
  <c r="C236" i="33"/>
  <c r="M235" i="33"/>
  <c r="G235" i="33"/>
  <c r="D235" i="33"/>
  <c r="C235" i="33"/>
  <c r="E232" i="33"/>
  <c r="D232" i="33"/>
  <c r="N231" i="33"/>
  <c r="P226" i="33"/>
  <c r="N225" i="33"/>
  <c r="P224" i="33"/>
  <c r="P223" i="33"/>
  <c r="P222" i="33"/>
  <c r="N219" i="33"/>
  <c r="N218" i="33"/>
  <c r="D212" i="33"/>
  <c r="C212" i="33"/>
  <c r="C211" i="33"/>
  <c r="D209" i="33"/>
  <c r="H203" i="33"/>
  <c r="D203" i="33"/>
  <c r="C203" i="33"/>
  <c r="H202" i="33"/>
  <c r="C202" i="33"/>
  <c r="D200" i="33"/>
  <c r="B197" i="33"/>
  <c r="A190" i="33"/>
  <c r="E187" i="33"/>
  <c r="E178" i="33"/>
  <c r="E177" i="33"/>
  <c r="D176" i="33"/>
  <c r="D175" i="33"/>
  <c r="E173" i="33"/>
  <c r="E164" i="33"/>
  <c r="E163" i="33"/>
  <c r="E161" i="33"/>
  <c r="E159" i="33"/>
  <c r="E157" i="33"/>
  <c r="D157" i="33"/>
  <c r="D156" i="33"/>
  <c r="M155" i="33"/>
  <c r="E155" i="33"/>
  <c r="N154" i="33"/>
  <c r="C147" i="33"/>
  <c r="B147" i="33"/>
  <c r="C146" i="33"/>
  <c r="B146" i="33"/>
  <c r="C144" i="33"/>
  <c r="C143" i="33"/>
  <c r="M139" i="33"/>
  <c r="C139" i="33"/>
  <c r="M138" i="33"/>
  <c r="C138" i="33"/>
  <c r="N134" i="33"/>
  <c r="N131" i="33"/>
  <c r="D127" i="33"/>
  <c r="C127" i="33"/>
  <c r="E125" i="33"/>
  <c r="C125" i="33"/>
  <c r="C124" i="33"/>
  <c r="B124" i="33"/>
  <c r="B123" i="33"/>
  <c r="D119" i="33"/>
  <c r="C119" i="33"/>
  <c r="E117" i="33"/>
  <c r="C117" i="33"/>
  <c r="C116" i="33"/>
  <c r="L111" i="33"/>
  <c r="I111" i="33"/>
  <c r="C111" i="33"/>
  <c r="M110" i="33"/>
  <c r="L110" i="33"/>
  <c r="H110" i="33"/>
  <c r="E109" i="33"/>
  <c r="L106" i="33"/>
  <c r="I106" i="33"/>
  <c r="C106" i="33"/>
  <c r="M105" i="33"/>
  <c r="L105" i="33"/>
  <c r="H105" i="33"/>
  <c r="E105" i="33"/>
  <c r="N104" i="33"/>
  <c r="D101" i="33"/>
  <c r="E99" i="33"/>
  <c r="D99" i="33"/>
  <c r="C99" i="33"/>
  <c r="D98" i="33"/>
  <c r="C98" i="33"/>
  <c r="C95" i="33"/>
  <c r="F94" i="33"/>
  <c r="C92" i="33"/>
  <c r="F91" i="33" s="1"/>
  <c r="L91" i="33"/>
  <c r="C91" i="33"/>
  <c r="E87" i="33"/>
  <c r="D87" i="33"/>
  <c r="C87" i="33"/>
  <c r="M86" i="33"/>
  <c r="D86" i="33"/>
  <c r="C86" i="33"/>
  <c r="M83" i="33"/>
  <c r="E83" i="33"/>
  <c r="N82" i="33"/>
  <c r="E77" i="33"/>
  <c r="D77" i="33"/>
  <c r="L71" i="33"/>
  <c r="I71" i="33"/>
  <c r="C71" i="33"/>
  <c r="F67" i="33"/>
  <c r="L66" i="33"/>
  <c r="H62" i="33"/>
  <c r="E62" i="33"/>
  <c r="E56" i="33"/>
  <c r="D55" i="33"/>
  <c r="M52" i="33"/>
  <c r="G52" i="33"/>
  <c r="C52" i="33"/>
  <c r="M51" i="33"/>
  <c r="G51" i="33"/>
  <c r="E51" i="33"/>
  <c r="C51" i="33"/>
  <c r="B51" i="33"/>
  <c r="M50" i="33"/>
  <c r="G50" i="33"/>
  <c r="C50" i="33"/>
  <c r="B50" i="33"/>
  <c r="R49" i="33"/>
  <c r="R48" i="33"/>
  <c r="E45" i="33"/>
  <c r="D45" i="33"/>
  <c r="N44" i="33"/>
  <c r="H38" i="33"/>
  <c r="L37" i="33"/>
  <c r="I37" i="33"/>
  <c r="H34" i="33"/>
  <c r="E34" i="33"/>
  <c r="C34" i="33"/>
  <c r="C33" i="33"/>
  <c r="D31" i="33"/>
  <c r="C31" i="33"/>
  <c r="N30" i="33"/>
  <c r="M30" i="33"/>
  <c r="N29" i="33"/>
  <c r="H24" i="33"/>
  <c r="L23" i="33"/>
  <c r="I23" i="33"/>
  <c r="H20" i="33"/>
  <c r="E20" i="33"/>
  <c r="C20" i="33"/>
  <c r="C19" i="33"/>
  <c r="D17" i="33"/>
  <c r="C17" i="33"/>
  <c r="N16" i="33"/>
  <c r="M16" i="33"/>
  <c r="N15" i="33"/>
  <c r="A14" i="33"/>
  <c r="A28" i="33" s="1"/>
  <c r="N12" i="33"/>
  <c r="C11" i="33"/>
  <c r="H360" i="32"/>
  <c r="H359" i="32"/>
  <c r="H358" i="32"/>
  <c r="J357" i="32"/>
  <c r="H356" i="32"/>
  <c r="H355" i="32"/>
  <c r="J354" i="32"/>
  <c r="H352" i="32"/>
  <c r="H351" i="32"/>
  <c r="H350" i="32"/>
  <c r="H349" i="32"/>
  <c r="H348" i="32"/>
  <c r="H346" i="32"/>
  <c r="H345" i="32"/>
  <c r="H344" i="32"/>
  <c r="H343" i="32"/>
  <c r="H342" i="32"/>
  <c r="H341" i="32"/>
  <c r="H340" i="32"/>
  <c r="J339" i="32"/>
  <c r="J338" i="32"/>
  <c r="H330" i="32"/>
  <c r="C329" i="32"/>
  <c r="G328" i="32"/>
  <c r="C328" i="32"/>
  <c r="H327" i="32"/>
  <c r="F324" i="32"/>
  <c r="C324" i="32"/>
  <c r="C321" i="32"/>
  <c r="F320" i="32"/>
  <c r="C320" i="32"/>
  <c r="C319" i="32"/>
  <c r="D318" i="32"/>
  <c r="F317" i="32"/>
  <c r="D317" i="32"/>
  <c r="C317" i="32"/>
  <c r="D316" i="32"/>
  <c r="C316" i="32"/>
  <c r="H313" i="32"/>
  <c r="C312" i="32"/>
  <c r="D311" i="32"/>
  <c r="C311" i="32"/>
  <c r="C309" i="32"/>
  <c r="G308" i="32"/>
  <c r="D308" i="32"/>
  <c r="C308" i="32"/>
  <c r="H307" i="32"/>
  <c r="F303" i="32"/>
  <c r="C303" i="32"/>
  <c r="F286" i="32"/>
  <c r="C286" i="32"/>
  <c r="F285" i="32"/>
  <c r="C285" i="32"/>
  <c r="J283" i="32"/>
  <c r="O276" i="32"/>
  <c r="E259" i="32" s="1"/>
  <c r="G273" i="32"/>
  <c r="E268" i="32"/>
  <c r="E267" i="32"/>
  <c r="E266" i="32"/>
  <c r="Q265" i="32"/>
  <c r="P264" i="32" s="1"/>
  <c r="E265" i="32"/>
  <c r="C265" i="32"/>
  <c r="D259" i="32"/>
  <c r="E258" i="32"/>
  <c r="D258" i="32"/>
  <c r="C258" i="32"/>
  <c r="J257" i="32"/>
  <c r="J256" i="32"/>
  <c r="E236" i="32"/>
  <c r="D236" i="32"/>
  <c r="C236" i="32"/>
  <c r="F233" i="32"/>
  <c r="E230" i="32"/>
  <c r="G229" i="32"/>
  <c r="F223" i="32"/>
  <c r="C223" i="32"/>
  <c r="G222" i="32"/>
  <c r="F222" i="32"/>
  <c r="C222" i="32"/>
  <c r="H220" i="32"/>
  <c r="D217" i="32"/>
  <c r="D216" i="32"/>
  <c r="C214" i="32"/>
  <c r="D211" i="32"/>
  <c r="H209" i="32"/>
  <c r="H208" i="32"/>
  <c r="G205" i="32"/>
  <c r="C205" i="32"/>
  <c r="H204" i="32"/>
  <c r="H203" i="32"/>
  <c r="H202" i="32"/>
  <c r="E198" i="32"/>
  <c r="E197" i="32"/>
  <c r="J196" i="32"/>
  <c r="J195" i="32"/>
  <c r="D193" i="32"/>
  <c r="D192" i="32"/>
  <c r="J191" i="32"/>
  <c r="D189" i="32"/>
  <c r="E188" i="32"/>
  <c r="D188" i="32"/>
  <c r="J187" i="32"/>
  <c r="E185" i="32"/>
  <c r="E184" i="32"/>
  <c r="J183" i="32"/>
  <c r="J182" i="32"/>
  <c r="C180" i="32"/>
  <c r="C179" i="32"/>
  <c r="C178" i="32"/>
  <c r="G177" i="32"/>
  <c r="C177" i="32"/>
  <c r="D176" i="32"/>
  <c r="J174" i="32"/>
  <c r="G170" i="32"/>
  <c r="H169" i="32"/>
  <c r="J167" i="32"/>
  <c r="D164" i="32"/>
  <c r="D163" i="32"/>
  <c r="D162" i="32"/>
  <c r="C160" i="32"/>
  <c r="C159" i="32"/>
  <c r="C158" i="32"/>
  <c r="C157" i="32"/>
  <c r="G156" i="32"/>
  <c r="C156" i="32"/>
  <c r="C155" i="32"/>
  <c r="J153" i="32"/>
  <c r="E151" i="32"/>
  <c r="E149" i="32"/>
  <c r="C147" i="32"/>
  <c r="C146" i="32"/>
  <c r="G143" i="32"/>
  <c r="H142" i="32"/>
  <c r="L140" i="32"/>
  <c r="E137" i="32"/>
  <c r="D133" i="32"/>
  <c r="C133" i="32"/>
  <c r="B133" i="32"/>
  <c r="D132" i="32"/>
  <c r="B132" i="32"/>
  <c r="C129" i="32"/>
  <c r="D127" i="32"/>
  <c r="C127" i="32"/>
  <c r="G126" i="32"/>
  <c r="F126" i="32"/>
  <c r="D126" i="32"/>
  <c r="H125" i="32"/>
  <c r="C124" i="32"/>
  <c r="D119" i="32"/>
  <c r="C119" i="32"/>
  <c r="G118" i="32"/>
  <c r="F118" i="32"/>
  <c r="D117" i="32"/>
  <c r="C113" i="32"/>
  <c r="F112" i="32"/>
  <c r="K111" i="32"/>
  <c r="D111" i="32"/>
  <c r="C111" i="32"/>
  <c r="G107" i="32"/>
  <c r="C105" i="32"/>
  <c r="F102" i="32"/>
  <c r="D102" i="32"/>
  <c r="C102" i="32"/>
  <c r="G101" i="32"/>
  <c r="F101" i="32"/>
  <c r="D101" i="32"/>
  <c r="C101" i="32"/>
  <c r="C98" i="32"/>
  <c r="H97" i="32"/>
  <c r="F94" i="32"/>
  <c r="D93" i="32"/>
  <c r="F92" i="32"/>
  <c r="D91" i="32"/>
  <c r="J90" i="32"/>
  <c r="J89" i="32"/>
  <c r="J88" i="32"/>
  <c r="E86" i="32"/>
  <c r="E85" i="32"/>
  <c r="E84" i="32"/>
  <c r="E83" i="32"/>
  <c r="E82" i="32"/>
  <c r="E81" i="32"/>
  <c r="E80" i="32"/>
  <c r="E79" i="32"/>
  <c r="E78" i="32"/>
  <c r="E77" i="32"/>
  <c r="E76" i="32"/>
  <c r="E75" i="32"/>
  <c r="G74" i="32"/>
  <c r="E74" i="32"/>
  <c r="D74" i="32"/>
  <c r="C74" i="32"/>
  <c r="E73" i="32"/>
  <c r="F70" i="32"/>
  <c r="F69" i="32"/>
  <c r="F68" i="32"/>
  <c r="F67" i="32"/>
  <c r="F66" i="32"/>
  <c r="F65" i="32"/>
  <c r="F64" i="32"/>
  <c r="F63" i="32"/>
  <c r="F62" i="32"/>
  <c r="F61" i="32"/>
  <c r="F60" i="32"/>
  <c r="F59" i="32"/>
  <c r="G58" i="32"/>
  <c r="F58" i="32"/>
  <c r="D58" i="32"/>
  <c r="F57" i="32"/>
  <c r="C57" i="32"/>
  <c r="C54" i="32"/>
  <c r="C53" i="32"/>
  <c r="C52" i="32"/>
  <c r="C51" i="32"/>
  <c r="C50" i="32"/>
  <c r="B50" i="32"/>
  <c r="C49" i="32"/>
  <c r="C48" i="32"/>
  <c r="C47" i="32"/>
  <c r="C46" i="32"/>
  <c r="B46" i="32"/>
  <c r="C45" i="32"/>
  <c r="C44" i="32"/>
  <c r="C43" i="32"/>
  <c r="B43" i="32"/>
  <c r="G42" i="32"/>
  <c r="F42" i="32"/>
  <c r="E42" i="32"/>
  <c r="C42" i="32"/>
  <c r="B42" i="32"/>
  <c r="C41" i="32"/>
  <c r="B41" i="32"/>
  <c r="H39" i="32"/>
  <c r="H38" i="32"/>
  <c r="B32" i="32"/>
  <c r="G28" i="32"/>
  <c r="B28" i="32"/>
  <c r="B25" i="32"/>
  <c r="G23" i="32"/>
  <c r="F23" i="32"/>
  <c r="D23" i="32"/>
  <c r="H22" i="32"/>
  <c r="J21" i="32"/>
  <c r="J20" i="32"/>
  <c r="G18" i="32"/>
  <c r="C18" i="32"/>
  <c r="H17" i="32"/>
  <c r="J16" i="32"/>
  <c r="J15" i="32"/>
  <c r="A15" i="32"/>
  <c r="H13" i="32"/>
  <c r="H12" i="32"/>
  <c r="H11" i="32"/>
  <c r="H10" i="32"/>
  <c r="K6" i="32"/>
  <c r="D26" i="31"/>
  <c r="P23" i="31"/>
  <c r="H20" i="31"/>
  <c r="C20" i="31"/>
  <c r="E19" i="31"/>
  <c r="C19" i="31"/>
  <c r="L16" i="31"/>
  <c r="H16" i="31"/>
  <c r="L15" i="31"/>
  <c r="D14" i="31"/>
  <c r="C14" i="31"/>
  <c r="D13" i="31"/>
  <c r="C13" i="31"/>
  <c r="N10" i="31"/>
  <c r="A10" i="31"/>
  <c r="H8" i="31"/>
  <c r="N7" i="31"/>
  <c r="N281" i="30"/>
  <c r="F279" i="30"/>
  <c r="N278" i="30"/>
  <c r="N277" i="30"/>
  <c r="A277" i="30"/>
  <c r="F276" i="30"/>
  <c r="N273" i="30"/>
  <c r="N272" i="30"/>
  <c r="C270" i="30"/>
  <c r="E269" i="30"/>
  <c r="C269" i="30"/>
  <c r="C268" i="30"/>
  <c r="C263" i="30"/>
  <c r="C255" i="30" s="1"/>
  <c r="C260" i="30"/>
  <c r="D259" i="30"/>
  <c r="C168" i="30" s="1"/>
  <c r="N258" i="30"/>
  <c r="N254" i="30"/>
  <c r="D248" i="30"/>
  <c r="C248" i="30"/>
  <c r="N242" i="30"/>
  <c r="N241" i="30" s="1"/>
  <c r="D240" i="30"/>
  <c r="E239" i="30"/>
  <c r="C239" i="30"/>
  <c r="C238" i="30"/>
  <c r="M237" i="30"/>
  <c r="H235" i="30"/>
  <c r="D233" i="30"/>
  <c r="E232" i="30"/>
  <c r="N231" i="30"/>
  <c r="N228" i="30"/>
  <c r="M227" i="30"/>
  <c r="H227" i="30"/>
  <c r="D227" i="30"/>
  <c r="C227" i="30"/>
  <c r="H226" i="30"/>
  <c r="E226" i="30"/>
  <c r="M225" i="30"/>
  <c r="C225" i="30"/>
  <c r="N224" i="30"/>
  <c r="A220" i="30"/>
  <c r="H218" i="30"/>
  <c r="N217" i="30"/>
  <c r="H216" i="30"/>
  <c r="D214" i="30"/>
  <c r="E213" i="30"/>
  <c r="N212" i="30"/>
  <c r="N211" i="30"/>
  <c r="F207" i="30"/>
  <c r="E203" i="30"/>
  <c r="D201" i="30"/>
  <c r="C201" i="30"/>
  <c r="N199" i="30"/>
  <c r="E196" i="30"/>
  <c r="C193" i="30"/>
  <c r="M190" i="30"/>
  <c r="C190" i="30"/>
  <c r="N187" i="30"/>
  <c r="F183" i="30"/>
  <c r="M182" i="30"/>
  <c r="F182" i="30"/>
  <c r="E182" i="30"/>
  <c r="D182" i="30"/>
  <c r="C178" i="30"/>
  <c r="I175" i="30"/>
  <c r="F175" i="30"/>
  <c r="M174" i="30"/>
  <c r="L174" i="30"/>
  <c r="F171" i="30"/>
  <c r="D171" i="30"/>
  <c r="C171" i="30"/>
  <c r="M169" i="30"/>
  <c r="F169" i="30"/>
  <c r="E164" i="30"/>
  <c r="D164" i="30"/>
  <c r="C164" i="30"/>
  <c r="I163" i="30"/>
  <c r="C163" i="30"/>
  <c r="C162" i="30"/>
  <c r="M161" i="30"/>
  <c r="E156" i="30"/>
  <c r="D156" i="30"/>
  <c r="M149" i="30"/>
  <c r="B149" i="30"/>
  <c r="M148" i="30"/>
  <c r="F148" i="30"/>
  <c r="B148" i="30"/>
  <c r="M145" i="30"/>
  <c r="H145" i="30"/>
  <c r="D145" i="30"/>
  <c r="E144" i="30"/>
  <c r="C144" i="30"/>
  <c r="M143" i="30"/>
  <c r="C142" i="30"/>
  <c r="E138" i="30"/>
  <c r="D138" i="30"/>
  <c r="I133" i="30"/>
  <c r="C133" i="30"/>
  <c r="M130" i="30"/>
  <c r="F130" i="30"/>
  <c r="C130" i="30"/>
  <c r="B130" i="30"/>
  <c r="M129" i="30"/>
  <c r="C129" i="30"/>
  <c r="B129" i="30"/>
  <c r="M126" i="30"/>
  <c r="H126" i="30"/>
  <c r="D126" i="30"/>
  <c r="C126" i="30"/>
  <c r="H125" i="30"/>
  <c r="E125" i="30"/>
  <c r="M124" i="30"/>
  <c r="C124" i="30"/>
  <c r="N123" i="30"/>
  <c r="D120" i="30"/>
  <c r="C120" i="30"/>
  <c r="M118" i="30"/>
  <c r="E117" i="30"/>
  <c r="J113" i="30"/>
  <c r="H112" i="30"/>
  <c r="E112" i="30"/>
  <c r="D112" i="30"/>
  <c r="E110" i="30"/>
  <c r="D110" i="30"/>
  <c r="C110" i="30"/>
  <c r="L109" i="30"/>
  <c r="I109" i="30"/>
  <c r="F109" i="30"/>
  <c r="C109" i="30"/>
  <c r="L108" i="30"/>
  <c r="M107" i="30"/>
  <c r="E103" i="30"/>
  <c r="E98" i="30"/>
  <c r="D97" i="30"/>
  <c r="M93" i="30"/>
  <c r="M92" i="30"/>
  <c r="D92" i="30"/>
  <c r="M91" i="30"/>
  <c r="E91" i="30"/>
  <c r="M88" i="30"/>
  <c r="B88" i="30"/>
  <c r="M87" i="30"/>
  <c r="M86" i="30"/>
  <c r="E86" i="30"/>
  <c r="B86" i="30"/>
  <c r="C83" i="30"/>
  <c r="E82" i="30"/>
  <c r="D82" i="30"/>
  <c r="C82" i="30"/>
  <c r="C81" i="30"/>
  <c r="E73" i="30"/>
  <c r="E71" i="30"/>
  <c r="D71" i="30"/>
  <c r="C71" i="30"/>
  <c r="L70" i="30"/>
  <c r="C70" i="30"/>
  <c r="L69" i="30"/>
  <c r="E68" i="30"/>
  <c r="C68" i="30"/>
  <c r="N67" i="30"/>
  <c r="E64" i="30"/>
  <c r="D64" i="30"/>
  <c r="L59" i="30"/>
  <c r="I59" i="30"/>
  <c r="C59" i="30"/>
  <c r="F56" i="30"/>
  <c r="L55" i="30"/>
  <c r="H52" i="30"/>
  <c r="E52" i="30"/>
  <c r="L48" i="30"/>
  <c r="E37" i="30"/>
  <c r="M33" i="30"/>
  <c r="E33" i="30"/>
  <c r="C33" i="30"/>
  <c r="B33" i="30"/>
  <c r="M32" i="30"/>
  <c r="D32" i="30"/>
  <c r="B32" i="30"/>
  <c r="M28" i="30"/>
  <c r="C28" i="30"/>
  <c r="B28" i="30"/>
  <c r="M27" i="30"/>
  <c r="B27" i="30"/>
  <c r="D24" i="30"/>
  <c r="E23" i="30"/>
  <c r="C23" i="30"/>
  <c r="L18" i="30"/>
  <c r="G18" i="30"/>
  <c r="F18" i="30"/>
  <c r="M15" i="30"/>
  <c r="E14" i="30"/>
  <c r="D14" i="30"/>
  <c r="C14" i="30"/>
  <c r="A13" i="30"/>
  <c r="D11" i="30"/>
  <c r="C10" i="30"/>
  <c r="N220" i="29"/>
  <c r="F219" i="29"/>
  <c r="F218" i="29"/>
  <c r="N217" i="29"/>
  <c r="N216" i="29"/>
  <c r="A216" i="29"/>
  <c r="N215" i="29"/>
  <c r="N212" i="29"/>
  <c r="N211" i="29"/>
  <c r="M209" i="29"/>
  <c r="E209" i="29"/>
  <c r="C209" i="29"/>
  <c r="C208" i="29"/>
  <c r="C204" i="29"/>
  <c r="D199" i="29" s="1"/>
  <c r="F195" i="29" s="1"/>
  <c r="N203" i="29"/>
  <c r="N198" i="29"/>
  <c r="C195" i="29"/>
  <c r="N194" i="29"/>
  <c r="D192" i="29"/>
  <c r="E191" i="29"/>
  <c r="C191" i="29"/>
  <c r="M190" i="29"/>
  <c r="C190" i="29"/>
  <c r="N189" i="29"/>
  <c r="D185" i="29"/>
  <c r="D183" i="29"/>
  <c r="C183" i="29"/>
  <c r="N177" i="29"/>
  <c r="N175" i="29"/>
  <c r="M174" i="29"/>
  <c r="H174" i="29"/>
  <c r="D174" i="29"/>
  <c r="C174" i="29"/>
  <c r="H173" i="29"/>
  <c r="E173" i="29"/>
  <c r="M172" i="29"/>
  <c r="C172" i="29"/>
  <c r="N171" i="29"/>
  <c r="E170" i="29"/>
  <c r="A167" i="29"/>
  <c r="D165" i="29"/>
  <c r="E164" i="29"/>
  <c r="N163" i="29"/>
  <c r="N162" i="29"/>
  <c r="F158" i="29"/>
  <c r="C158" i="29"/>
  <c r="D156" i="29"/>
  <c r="C155" i="29"/>
  <c r="E154" i="29"/>
  <c r="D152" i="29"/>
  <c r="C152" i="29"/>
  <c r="N151" i="29"/>
  <c r="E148" i="29"/>
  <c r="C145" i="29"/>
  <c r="M142" i="29"/>
  <c r="L142" i="29"/>
  <c r="C142" i="29"/>
  <c r="N139" i="29"/>
  <c r="E134" i="29"/>
  <c r="D134" i="29"/>
  <c r="C131" i="29"/>
  <c r="C130" i="29"/>
  <c r="I127" i="29"/>
  <c r="M126" i="29"/>
  <c r="L126" i="29"/>
  <c r="M123" i="29"/>
  <c r="D123" i="29"/>
  <c r="C123" i="29"/>
  <c r="N122" i="29"/>
  <c r="M121" i="29"/>
  <c r="C116" i="29"/>
  <c r="L115" i="29"/>
  <c r="I115" i="29"/>
  <c r="C115" i="29"/>
  <c r="M114" i="29"/>
  <c r="L114" i="29"/>
  <c r="C114" i="29"/>
  <c r="N113" i="29"/>
  <c r="E111" i="29"/>
  <c r="L110" i="29"/>
  <c r="I110" i="29"/>
  <c r="C110" i="29"/>
  <c r="L109" i="29"/>
  <c r="M107" i="29"/>
  <c r="E102" i="29"/>
  <c r="D102" i="29"/>
  <c r="L97" i="29"/>
  <c r="I97" i="29"/>
  <c r="C97" i="29"/>
  <c r="M94" i="29"/>
  <c r="F94" i="29"/>
  <c r="M93" i="29"/>
  <c r="L93" i="29"/>
  <c r="M90" i="29"/>
  <c r="H90" i="29"/>
  <c r="D90" i="29"/>
  <c r="H89" i="29"/>
  <c r="E89" i="29"/>
  <c r="M88" i="29"/>
  <c r="L83" i="29"/>
  <c r="I83" i="29"/>
  <c r="C83" i="29"/>
  <c r="L82" i="29"/>
  <c r="E82" i="29"/>
  <c r="E79" i="29"/>
  <c r="L78" i="29"/>
  <c r="I78" i="29"/>
  <c r="F78" i="29"/>
  <c r="C78" i="29"/>
  <c r="L77" i="29"/>
  <c r="M76" i="29"/>
  <c r="E74" i="29"/>
  <c r="E65" i="29"/>
  <c r="D65" i="29"/>
  <c r="L60" i="29"/>
  <c r="I60" i="29"/>
  <c r="C60" i="29"/>
  <c r="F57" i="29"/>
  <c r="L56" i="29"/>
  <c r="H53" i="29"/>
  <c r="E53" i="29"/>
  <c r="L49" i="29"/>
  <c r="D41" i="29"/>
  <c r="C41" i="29"/>
  <c r="E36" i="29"/>
  <c r="M33" i="29"/>
  <c r="E33" i="29"/>
  <c r="C33" i="29"/>
  <c r="B33" i="29"/>
  <c r="M32" i="29"/>
  <c r="D32" i="29"/>
  <c r="C32" i="29"/>
  <c r="B32" i="29"/>
  <c r="M28" i="29"/>
  <c r="C28" i="29"/>
  <c r="B28" i="29"/>
  <c r="M27" i="29"/>
  <c r="C27" i="29"/>
  <c r="B27" i="29"/>
  <c r="E24" i="29"/>
  <c r="D24" i="29"/>
  <c r="N23" i="29"/>
  <c r="E19" i="29"/>
  <c r="L18" i="29"/>
  <c r="G18" i="29"/>
  <c r="F18" i="29"/>
  <c r="D16" i="29"/>
  <c r="C16" i="29"/>
  <c r="M15" i="29"/>
  <c r="E14" i="29"/>
  <c r="A13" i="29"/>
  <c r="D11" i="29"/>
  <c r="C10" i="29"/>
  <c r="N273" i="28"/>
  <c r="F272" i="28"/>
  <c r="F271" i="28"/>
  <c r="N270" i="28"/>
  <c r="N269" i="28"/>
  <c r="A269" i="28"/>
  <c r="N268" i="28"/>
  <c r="E264" i="28"/>
  <c r="C264" i="28"/>
  <c r="F263" i="28"/>
  <c r="C261" i="28"/>
  <c r="C258" i="28"/>
  <c r="D253" i="28" s="1"/>
  <c r="F249" i="28" s="1"/>
  <c r="N257" i="28"/>
  <c r="N252" i="28"/>
  <c r="M251" i="28"/>
  <c r="C249" i="28"/>
  <c r="N248" i="28"/>
  <c r="N246" i="28"/>
  <c r="N245" i="28"/>
  <c r="N239" i="28"/>
  <c r="E233" i="28"/>
  <c r="D232" i="28"/>
  <c r="C232" i="28"/>
  <c r="E229" i="28"/>
  <c r="D229" i="28"/>
  <c r="C229" i="28"/>
  <c r="E228" i="28"/>
  <c r="E225" i="28"/>
  <c r="B225" i="28"/>
  <c r="E224" i="28"/>
  <c r="B224" i="28"/>
  <c r="D221" i="28"/>
  <c r="C220" i="28"/>
  <c r="H216" i="28"/>
  <c r="D216" i="28"/>
  <c r="C216" i="28"/>
  <c r="C215" i="28"/>
  <c r="N214" i="28"/>
  <c r="C210" i="28"/>
  <c r="M209" i="28"/>
  <c r="C208" i="28"/>
  <c r="M207" i="28"/>
  <c r="E207" i="28"/>
  <c r="E206" i="28"/>
  <c r="C206" i="28"/>
  <c r="A202" i="28"/>
  <c r="E200" i="28"/>
  <c r="N199" i="28"/>
  <c r="D198" i="28"/>
  <c r="N198" i="28" s="1"/>
  <c r="E197" i="28"/>
  <c r="N196" i="28"/>
  <c r="C195" i="28"/>
  <c r="E194" i="28"/>
  <c r="N187" i="28"/>
  <c r="D184" i="28"/>
  <c r="C184" i="28"/>
  <c r="N183" i="28"/>
  <c r="F176" i="28"/>
  <c r="C176" i="28"/>
  <c r="L175" i="28"/>
  <c r="F175" i="28"/>
  <c r="C175" i="28"/>
  <c r="E172" i="28"/>
  <c r="C172" i="28"/>
  <c r="C171" i="28"/>
  <c r="N170" i="28"/>
  <c r="E166" i="28"/>
  <c r="C163" i="28"/>
  <c r="M160" i="28"/>
  <c r="L160" i="28"/>
  <c r="C160" i="28"/>
  <c r="N157" i="28"/>
  <c r="E152" i="28"/>
  <c r="D152" i="28"/>
  <c r="C149" i="28"/>
  <c r="L148" i="28"/>
  <c r="C148" i="28"/>
  <c r="I145" i="28"/>
  <c r="M144" i="28"/>
  <c r="L144" i="28"/>
  <c r="M141" i="28"/>
  <c r="D141" i="28"/>
  <c r="C141" i="28"/>
  <c r="N140" i="28"/>
  <c r="M139" i="28"/>
  <c r="C138" i="28"/>
  <c r="J133" i="28"/>
  <c r="C133" i="28"/>
  <c r="J132" i="28"/>
  <c r="C132" i="28"/>
  <c r="M130" i="28"/>
  <c r="C130" i="28"/>
  <c r="N129" i="28"/>
  <c r="L125" i="28"/>
  <c r="I125" i="28"/>
  <c r="C125" i="28"/>
  <c r="M124" i="28"/>
  <c r="L124" i="28"/>
  <c r="C123" i="28"/>
  <c r="E121" i="28"/>
  <c r="D121" i="28"/>
  <c r="L120" i="28"/>
  <c r="I120" i="28"/>
  <c r="C120" i="28"/>
  <c r="M119" i="28"/>
  <c r="L119" i="28"/>
  <c r="C119" i="28"/>
  <c r="M117" i="28"/>
  <c r="C117" i="28"/>
  <c r="N116" i="28"/>
  <c r="E112" i="28"/>
  <c r="D112" i="28"/>
  <c r="L107" i="28"/>
  <c r="I107" i="28"/>
  <c r="C107" i="28"/>
  <c r="F104" i="28"/>
  <c r="M103" i="28"/>
  <c r="L103" i="28"/>
  <c r="H100" i="28"/>
  <c r="D100" i="28"/>
  <c r="M99" i="28"/>
  <c r="H99" i="28"/>
  <c r="E99" i="28"/>
  <c r="M98" i="28"/>
  <c r="L90" i="28"/>
  <c r="I90" i="28"/>
  <c r="C90" i="28"/>
  <c r="M87" i="28"/>
  <c r="L87" i="28"/>
  <c r="L80" i="28"/>
  <c r="I80" i="28"/>
  <c r="C80" i="28"/>
  <c r="L79" i="28"/>
  <c r="E79" i="28"/>
  <c r="E76" i="28"/>
  <c r="L75" i="28"/>
  <c r="I75" i="28"/>
  <c r="F75" i="28"/>
  <c r="C75" i="28"/>
  <c r="L74" i="28"/>
  <c r="M73" i="28"/>
  <c r="E71" i="28"/>
  <c r="E68" i="28"/>
  <c r="E65" i="28"/>
  <c r="D65" i="28"/>
  <c r="L60" i="28"/>
  <c r="I60" i="28"/>
  <c r="C60" i="28"/>
  <c r="F57" i="28"/>
  <c r="L56" i="28"/>
  <c r="H53" i="28"/>
  <c r="E53" i="28"/>
  <c r="L49" i="28"/>
  <c r="E42" i="28"/>
  <c r="C42" i="28"/>
  <c r="D41" i="28"/>
  <c r="C41" i="28"/>
  <c r="E37" i="28"/>
  <c r="M33" i="28"/>
  <c r="E33" i="28"/>
  <c r="C33" i="28"/>
  <c r="B33" i="28"/>
  <c r="M32" i="28"/>
  <c r="D32" i="28"/>
  <c r="C32" i="28"/>
  <c r="B32" i="28"/>
  <c r="M28" i="28"/>
  <c r="C28" i="28"/>
  <c r="B28" i="28"/>
  <c r="M27" i="28"/>
  <c r="C27" i="28"/>
  <c r="B27" i="28"/>
  <c r="D24" i="28"/>
  <c r="E23" i="28"/>
  <c r="N23" i="28" s="1"/>
  <c r="E19" i="28"/>
  <c r="L18" i="28"/>
  <c r="G18" i="28"/>
  <c r="F18" i="28"/>
  <c r="D16" i="28"/>
  <c r="C16" i="28"/>
  <c r="M15" i="28"/>
  <c r="E14" i="28"/>
  <c r="A13" i="28"/>
  <c r="D11" i="28"/>
  <c r="C10" i="28"/>
  <c r="M284" i="27"/>
  <c r="K283" i="27"/>
  <c r="M282" i="27"/>
  <c r="A282" i="27"/>
  <c r="M281" i="27"/>
  <c r="M275" i="27"/>
  <c r="L271" i="27"/>
  <c r="E271" i="27"/>
  <c r="C271" i="27"/>
  <c r="C270" i="27"/>
  <c r="M270" i="27" s="1"/>
  <c r="L267" i="27"/>
  <c r="C267" i="27"/>
  <c r="C165" i="27" s="1"/>
  <c r="D263" i="27"/>
  <c r="F259" i="27" s="1"/>
  <c r="C263" i="27"/>
  <c r="M262" i="27"/>
  <c r="M261" i="27"/>
  <c r="L261" i="27"/>
  <c r="M258" i="27"/>
  <c r="H254" i="27"/>
  <c r="D254" i="27"/>
  <c r="C254" i="27"/>
  <c r="C253" i="27"/>
  <c r="M252" i="27"/>
  <c r="E250" i="27"/>
  <c r="F249" i="27"/>
  <c r="D246" i="27"/>
  <c r="C246" i="27"/>
  <c r="D244" i="27"/>
  <c r="H243" i="27"/>
  <c r="E243" i="27"/>
  <c r="M242" i="27"/>
  <c r="M239" i="27"/>
  <c r="L238" i="27"/>
  <c r="H238" i="27"/>
  <c r="D238" i="27"/>
  <c r="C238" i="27"/>
  <c r="H237" i="27"/>
  <c r="E237" i="27"/>
  <c r="L236" i="27"/>
  <c r="C236" i="27"/>
  <c r="M235" i="27"/>
  <c r="E234" i="27"/>
  <c r="A231" i="27"/>
  <c r="D229" i="27"/>
  <c r="H228" i="27"/>
  <c r="E228" i="27"/>
  <c r="M227" i="27"/>
  <c r="M226" i="27"/>
  <c r="D219" i="27"/>
  <c r="D218" i="27"/>
  <c r="E215" i="27"/>
  <c r="H213" i="27"/>
  <c r="H210" i="27"/>
  <c r="E209" i="27"/>
  <c r="E206" i="27"/>
  <c r="D205" i="27"/>
  <c r="E202" i="27"/>
  <c r="D202" i="27"/>
  <c r="H198" i="27"/>
  <c r="E198" i="27"/>
  <c r="C198" i="27"/>
  <c r="C197" i="27"/>
  <c r="E193" i="27"/>
  <c r="C190" i="27"/>
  <c r="L187" i="27"/>
  <c r="K187" i="27"/>
  <c r="C187" i="27"/>
  <c r="M184" i="27"/>
  <c r="M185" i="27" s="1"/>
  <c r="E179" i="27"/>
  <c r="D179" i="27"/>
  <c r="C176" i="27"/>
  <c r="K175" i="27"/>
  <c r="C175" i="27"/>
  <c r="I172" i="27"/>
  <c r="L171" i="27"/>
  <c r="K171" i="27"/>
  <c r="L168" i="27"/>
  <c r="D168" i="27"/>
  <c r="C168" i="27"/>
  <c r="M167" i="27"/>
  <c r="L166" i="27"/>
  <c r="C161" i="27"/>
  <c r="K160" i="27"/>
  <c r="I160" i="27"/>
  <c r="C160" i="27"/>
  <c r="L159" i="27"/>
  <c r="K159" i="27"/>
  <c r="C159" i="27"/>
  <c r="M158" i="27"/>
  <c r="H152" i="27"/>
  <c r="L151" i="27"/>
  <c r="C151" i="27"/>
  <c r="E147" i="27"/>
  <c r="D147" i="27"/>
  <c r="G143" i="27"/>
  <c r="F142" i="27"/>
  <c r="C142" i="27"/>
  <c r="L139" i="27"/>
  <c r="K139" i="27"/>
  <c r="C139" i="27"/>
  <c r="L138" i="27"/>
  <c r="F138" i="27"/>
  <c r="C138" i="27"/>
  <c r="L135" i="27"/>
  <c r="D135" i="27"/>
  <c r="C135" i="27"/>
  <c r="H134" i="27"/>
  <c r="E134" i="27"/>
  <c r="M133" i="27"/>
  <c r="M132" i="27"/>
  <c r="F128" i="27"/>
  <c r="C128" i="27"/>
  <c r="L127" i="27"/>
  <c r="I127" i="27"/>
  <c r="F127" i="27"/>
  <c r="E127" i="27"/>
  <c r="M126" i="27"/>
  <c r="C125" i="27"/>
  <c r="H121" i="27"/>
  <c r="E121" i="27"/>
  <c r="H109" i="27"/>
  <c r="F109" i="27"/>
  <c r="C109" i="27"/>
  <c r="L106" i="27"/>
  <c r="F106" i="27"/>
  <c r="G96" i="27"/>
  <c r="F96" i="27"/>
  <c r="C96" i="27"/>
  <c r="F93" i="27"/>
  <c r="L87" i="27"/>
  <c r="D87" i="27"/>
  <c r="F77" i="27"/>
  <c r="C77" i="27"/>
  <c r="F74" i="27"/>
  <c r="L68" i="27"/>
  <c r="D68" i="27"/>
  <c r="K62" i="27"/>
  <c r="A57" i="27"/>
  <c r="H55" i="27"/>
  <c r="E55" i="27"/>
  <c r="E51" i="27"/>
  <c r="C51" i="27"/>
  <c r="D50" i="27"/>
  <c r="C50" i="27"/>
  <c r="E47" i="27"/>
  <c r="L43" i="27"/>
  <c r="E43" i="27"/>
  <c r="C43" i="27"/>
  <c r="B43" i="27"/>
  <c r="L42" i="27"/>
  <c r="D42" i="27"/>
  <c r="C42" i="27"/>
  <c r="B42" i="27"/>
  <c r="L38" i="27"/>
  <c r="C38" i="27"/>
  <c r="B38" i="27"/>
  <c r="L37" i="27"/>
  <c r="C37" i="27"/>
  <c r="B37" i="27"/>
  <c r="E34" i="27"/>
  <c r="D34" i="27"/>
  <c r="M33" i="27"/>
  <c r="E30" i="27"/>
  <c r="K29" i="27"/>
  <c r="G29" i="27"/>
  <c r="F29" i="27"/>
  <c r="Q28" i="27"/>
  <c r="L28" i="27"/>
  <c r="M28" i="27" s="1"/>
  <c r="D27" i="27"/>
  <c r="C27" i="27"/>
  <c r="L24" i="27"/>
  <c r="C20" i="27"/>
  <c r="M19" i="27"/>
  <c r="M17" i="27"/>
  <c r="A16" i="27"/>
  <c r="H14" i="27"/>
  <c r="D14" i="27"/>
  <c r="C13" i="27"/>
  <c r="N276" i="26"/>
  <c r="F275" i="26"/>
  <c r="F274" i="26"/>
  <c r="N273" i="26"/>
  <c r="N272" i="26"/>
  <c r="A272" i="26"/>
  <c r="N271" i="26"/>
  <c r="P269" i="26"/>
  <c r="P268" i="26"/>
  <c r="C264" i="26"/>
  <c r="C129" i="26" s="1"/>
  <c r="C263" i="26"/>
  <c r="C259" i="26"/>
  <c r="N258" i="26"/>
  <c r="M257" i="26"/>
  <c r="F255" i="26"/>
  <c r="N254" i="26"/>
  <c r="E244" i="26"/>
  <c r="C244" i="26"/>
  <c r="C243" i="26"/>
  <c r="D241" i="26"/>
  <c r="D237" i="26"/>
  <c r="E236" i="26"/>
  <c r="C236" i="26"/>
  <c r="C234" i="26"/>
  <c r="E231" i="26"/>
  <c r="M230" i="26"/>
  <c r="A228" i="26"/>
  <c r="D227" i="26"/>
  <c r="C227" i="26"/>
  <c r="C225" i="26"/>
  <c r="N224" i="26"/>
  <c r="B221" i="26"/>
  <c r="B220" i="26"/>
  <c r="E216" i="26"/>
  <c r="E212" i="26"/>
  <c r="D211" i="26"/>
  <c r="E208" i="26"/>
  <c r="D204" i="26"/>
  <c r="H200" i="26"/>
  <c r="H199" i="26"/>
  <c r="E199" i="26"/>
  <c r="E196" i="26"/>
  <c r="D196" i="26"/>
  <c r="C195" i="26"/>
  <c r="H191" i="26"/>
  <c r="D191" i="26"/>
  <c r="C191" i="26"/>
  <c r="C190" i="26"/>
  <c r="N189" i="26"/>
  <c r="E186" i="26"/>
  <c r="E185" i="26"/>
  <c r="D185" i="26"/>
  <c r="H184" i="26"/>
  <c r="E184" i="26"/>
  <c r="D184" i="26"/>
  <c r="C182" i="26"/>
  <c r="M181" i="26"/>
  <c r="H181" i="26"/>
  <c r="D181" i="26"/>
  <c r="E180" i="26"/>
  <c r="C180" i="26"/>
  <c r="M179" i="26"/>
  <c r="C178" i="26"/>
  <c r="A174" i="26"/>
  <c r="D172" i="26"/>
  <c r="H171" i="26"/>
  <c r="N170" i="26"/>
  <c r="E168" i="26"/>
  <c r="P159" i="26"/>
  <c r="E157" i="26"/>
  <c r="C154" i="26"/>
  <c r="L151" i="26"/>
  <c r="C151" i="26"/>
  <c r="E143" i="26"/>
  <c r="D143" i="26"/>
  <c r="C140" i="26"/>
  <c r="C139" i="26"/>
  <c r="I136" i="26"/>
  <c r="M135" i="26"/>
  <c r="L135" i="26"/>
  <c r="D132" i="26"/>
  <c r="C132" i="26"/>
  <c r="M131" i="26"/>
  <c r="M130" i="26"/>
  <c r="E123" i="26"/>
  <c r="D123" i="26"/>
  <c r="L119" i="26"/>
  <c r="I119" i="26"/>
  <c r="C119" i="26"/>
  <c r="M116" i="26"/>
  <c r="L116" i="26"/>
  <c r="F116" i="26"/>
  <c r="B116" i="26"/>
  <c r="M115" i="26"/>
  <c r="L115" i="26"/>
  <c r="B115" i="26"/>
  <c r="L107" i="26"/>
  <c r="I107" i="26"/>
  <c r="C107" i="26"/>
  <c r="L106" i="26"/>
  <c r="M104" i="26"/>
  <c r="E99" i="26"/>
  <c r="D99" i="26"/>
  <c r="L94" i="26"/>
  <c r="I94" i="26"/>
  <c r="C94" i="26"/>
  <c r="M91" i="26"/>
  <c r="F91" i="26"/>
  <c r="M90" i="26"/>
  <c r="L90" i="26"/>
  <c r="M87" i="26"/>
  <c r="H87" i="26"/>
  <c r="D87" i="26"/>
  <c r="H86" i="26"/>
  <c r="E86" i="26"/>
  <c r="M85" i="26"/>
  <c r="L80" i="26"/>
  <c r="I80" i="26"/>
  <c r="C80" i="26"/>
  <c r="M79" i="26"/>
  <c r="L79" i="26"/>
  <c r="E79" i="26"/>
  <c r="N78" i="26"/>
  <c r="E76" i="26"/>
  <c r="L75" i="26"/>
  <c r="I75" i="26"/>
  <c r="F75" i="26"/>
  <c r="C75" i="26"/>
  <c r="L74" i="26"/>
  <c r="M73" i="26"/>
  <c r="E68" i="26"/>
  <c r="E65" i="26"/>
  <c r="D65" i="26"/>
  <c r="L60" i="26"/>
  <c r="I60" i="26"/>
  <c r="C60" i="26"/>
  <c r="F57" i="26"/>
  <c r="L56" i="26"/>
  <c r="H53" i="26"/>
  <c r="E53" i="26"/>
  <c r="L49" i="26"/>
  <c r="D41" i="26"/>
  <c r="C41" i="26"/>
  <c r="E36" i="26"/>
  <c r="M33" i="26"/>
  <c r="E33" i="26"/>
  <c r="C33" i="26"/>
  <c r="B33" i="26"/>
  <c r="M32" i="26"/>
  <c r="D32" i="26"/>
  <c r="C32" i="26"/>
  <c r="B32" i="26"/>
  <c r="M28" i="26"/>
  <c r="C28" i="26"/>
  <c r="B28" i="26"/>
  <c r="M27" i="26"/>
  <c r="C27" i="26"/>
  <c r="B27" i="26"/>
  <c r="E24" i="26"/>
  <c r="D24" i="26"/>
  <c r="N23" i="26"/>
  <c r="E19" i="26"/>
  <c r="L18" i="26"/>
  <c r="G18" i="26"/>
  <c r="F18" i="26"/>
  <c r="D16" i="26"/>
  <c r="C16" i="26"/>
  <c r="M15" i="26"/>
  <c r="E14" i="26"/>
  <c r="A13" i="26"/>
  <c r="D11" i="26"/>
  <c r="C10" i="26"/>
  <c r="M452" i="25"/>
  <c r="M451" i="25"/>
  <c r="M445" i="25"/>
  <c r="M444" i="25"/>
  <c r="M443" i="25"/>
  <c r="M440" i="25"/>
  <c r="M439" i="25"/>
  <c r="C433" i="25"/>
  <c r="K429" i="25"/>
  <c r="K428" i="25"/>
  <c r="I425" i="25"/>
  <c r="M425" i="25" s="1"/>
  <c r="I424" i="25"/>
  <c r="A423" i="25"/>
  <c r="M421" i="25"/>
  <c r="M420" i="25"/>
  <c r="M416" i="25"/>
  <c r="M415" i="25"/>
  <c r="C406" i="25"/>
  <c r="D398" i="25"/>
  <c r="C398" i="25"/>
  <c r="D397" i="25"/>
  <c r="C397" i="25"/>
  <c r="C394" i="25"/>
  <c r="M393" i="25"/>
  <c r="L392" i="25"/>
  <c r="F390" i="25"/>
  <c r="M389" i="25"/>
  <c r="D387" i="25"/>
  <c r="E380" i="25"/>
  <c r="E379" i="25"/>
  <c r="C379" i="25"/>
  <c r="C376" i="25"/>
  <c r="M375" i="25"/>
  <c r="H368" i="25"/>
  <c r="D368" i="25"/>
  <c r="C368" i="25"/>
  <c r="C367" i="25"/>
  <c r="M365" i="25"/>
  <c r="M364" i="25"/>
  <c r="M363" i="25"/>
  <c r="M362" i="25"/>
  <c r="M359" i="25"/>
  <c r="M358" i="25"/>
  <c r="M357" i="25"/>
  <c r="M356" i="25"/>
  <c r="M353" i="25"/>
  <c r="M352" i="25"/>
  <c r="M349" i="25"/>
  <c r="M348" i="25"/>
  <c r="M347" i="25"/>
  <c r="M344" i="25"/>
  <c r="M343" i="25"/>
  <c r="L342" i="25"/>
  <c r="E342" i="25"/>
  <c r="M341" i="25"/>
  <c r="E338" i="25"/>
  <c r="M338" i="25" s="1"/>
  <c r="M337" i="25"/>
  <c r="C332" i="25"/>
  <c r="M331" i="25"/>
  <c r="M328" i="25"/>
  <c r="E327" i="25"/>
  <c r="M326" i="25"/>
  <c r="A316" i="25"/>
  <c r="M314" i="25"/>
  <c r="M313" i="25"/>
  <c r="M312" i="25"/>
  <c r="M311" i="25"/>
  <c r="B311" i="25"/>
  <c r="M310" i="25"/>
  <c r="B310" i="25"/>
  <c r="M303" i="25"/>
  <c r="C301" i="25"/>
  <c r="E300" i="25"/>
  <c r="F294" i="25"/>
  <c r="C294" i="25"/>
  <c r="L293" i="25"/>
  <c r="K293" i="25"/>
  <c r="F293" i="25"/>
  <c r="C293" i="25"/>
  <c r="E290" i="25"/>
  <c r="C290" i="25"/>
  <c r="L289" i="25"/>
  <c r="C289" i="25"/>
  <c r="M288" i="25"/>
  <c r="F283" i="25"/>
  <c r="C283" i="25"/>
  <c r="L282" i="25"/>
  <c r="K282" i="25"/>
  <c r="F282" i="25"/>
  <c r="C282" i="25"/>
  <c r="E279" i="25"/>
  <c r="C279" i="25"/>
  <c r="L278" i="25"/>
  <c r="C278" i="25"/>
  <c r="M277" i="25"/>
  <c r="F272" i="25"/>
  <c r="C272" i="25"/>
  <c r="L271" i="25"/>
  <c r="K271" i="25"/>
  <c r="F271" i="25"/>
  <c r="C271" i="25"/>
  <c r="E268" i="25"/>
  <c r="C268" i="25"/>
  <c r="L267" i="25"/>
  <c r="C267" i="25"/>
  <c r="M266" i="25"/>
  <c r="E262" i="25"/>
  <c r="C259" i="25"/>
  <c r="K256" i="25"/>
  <c r="C256" i="25"/>
  <c r="E248" i="25"/>
  <c r="D248" i="25"/>
  <c r="D262" i="25" s="1"/>
  <c r="C245" i="25"/>
  <c r="C244" i="25"/>
  <c r="I241" i="25"/>
  <c r="L240" i="25"/>
  <c r="K240" i="25"/>
  <c r="D237" i="25"/>
  <c r="C237" i="25"/>
  <c r="L236" i="25"/>
  <c r="L235" i="25"/>
  <c r="C234" i="25"/>
  <c r="E229" i="25"/>
  <c r="C229" i="25"/>
  <c r="C228" i="25"/>
  <c r="I225" i="25"/>
  <c r="F224" i="25"/>
  <c r="C224" i="25"/>
  <c r="L221" i="25"/>
  <c r="F221" i="25"/>
  <c r="C221" i="25"/>
  <c r="L220" i="25"/>
  <c r="F220" i="25"/>
  <c r="C220" i="25"/>
  <c r="M217" i="25"/>
  <c r="M216" i="25"/>
  <c r="E213" i="25"/>
  <c r="D213" i="25"/>
  <c r="C213" i="25"/>
  <c r="F212" i="25"/>
  <c r="C212" i="25"/>
  <c r="F211" i="25"/>
  <c r="C211" i="25"/>
  <c r="C209" i="25"/>
  <c r="M208" i="25"/>
  <c r="E202" i="25"/>
  <c r="D202" i="25"/>
  <c r="G195" i="25"/>
  <c r="F195" i="25"/>
  <c r="C195" i="25"/>
  <c r="K192" i="25"/>
  <c r="E190" i="25"/>
  <c r="D190" i="25"/>
  <c r="I189" i="25"/>
  <c r="K184" i="25"/>
  <c r="I183" i="25"/>
  <c r="H178" i="25"/>
  <c r="E178" i="25"/>
  <c r="F170" i="25"/>
  <c r="C170" i="25"/>
  <c r="L167" i="25"/>
  <c r="F167" i="25"/>
  <c r="E164" i="25"/>
  <c r="K160" i="25"/>
  <c r="H160" i="25"/>
  <c r="C160" i="25"/>
  <c r="K159" i="25"/>
  <c r="E159" i="25"/>
  <c r="E156" i="25"/>
  <c r="K155" i="25"/>
  <c r="H155" i="25"/>
  <c r="F155" i="25"/>
  <c r="C155" i="25"/>
  <c r="K154" i="25"/>
  <c r="L153" i="25"/>
  <c r="E149" i="25"/>
  <c r="E146" i="25"/>
  <c r="C146" i="25"/>
  <c r="D145" i="25"/>
  <c r="C145" i="25"/>
  <c r="E141" i="25"/>
  <c r="D141" i="25"/>
  <c r="M140" i="25"/>
  <c r="C136" i="25"/>
  <c r="E135" i="25"/>
  <c r="D135" i="25"/>
  <c r="C135" i="25"/>
  <c r="C134" i="25"/>
  <c r="L131" i="25"/>
  <c r="K131" i="25"/>
  <c r="K130" i="25"/>
  <c r="F130" i="25"/>
  <c r="L129" i="25"/>
  <c r="K129" i="25"/>
  <c r="I129" i="25"/>
  <c r="C129" i="25"/>
  <c r="L126" i="25"/>
  <c r="C126" i="25"/>
  <c r="K125" i="25"/>
  <c r="C125" i="25"/>
  <c r="B125" i="25"/>
  <c r="L124" i="25"/>
  <c r="F124" i="25"/>
  <c r="C124" i="25"/>
  <c r="B124" i="25"/>
  <c r="H120" i="25"/>
  <c r="E120" i="25"/>
  <c r="M119" i="25"/>
  <c r="E113" i="25"/>
  <c r="D113" i="25"/>
  <c r="F107" i="25"/>
  <c r="I106" i="25"/>
  <c r="C106" i="25"/>
  <c r="B102" i="25"/>
  <c r="K101" i="25"/>
  <c r="F100" i="25"/>
  <c r="B100" i="25"/>
  <c r="H95" i="25"/>
  <c r="E95" i="25"/>
  <c r="K91" i="25"/>
  <c r="E78" i="25"/>
  <c r="D74" i="25"/>
  <c r="E73" i="25"/>
  <c r="D72" i="25"/>
  <c r="E62" i="25"/>
  <c r="D52" i="25"/>
  <c r="E51" i="25"/>
  <c r="D50" i="25"/>
  <c r="E45" i="25"/>
  <c r="D45" i="25"/>
  <c r="B45" i="25"/>
  <c r="L44" i="25"/>
  <c r="C44" i="25"/>
  <c r="L43" i="25"/>
  <c r="C43" i="25"/>
  <c r="B43" i="25"/>
  <c r="B42" i="25"/>
  <c r="L41" i="25"/>
  <c r="C41" i="25"/>
  <c r="B41" i="25"/>
  <c r="L40" i="25"/>
  <c r="E40" i="25"/>
  <c r="D40" i="25"/>
  <c r="C40" i="25"/>
  <c r="L39" i="25"/>
  <c r="C39" i="25"/>
  <c r="B39" i="25"/>
  <c r="B38" i="25"/>
  <c r="C34" i="25"/>
  <c r="L33" i="25"/>
  <c r="C33" i="25"/>
  <c r="M32" i="25"/>
  <c r="M31" i="25"/>
  <c r="M29" i="25"/>
  <c r="M28" i="25"/>
  <c r="M27" i="25"/>
  <c r="E21" i="25"/>
  <c r="K20" i="25"/>
  <c r="G20" i="25"/>
  <c r="F20" i="25"/>
  <c r="D18" i="25"/>
  <c r="C18" i="25"/>
  <c r="L17" i="25"/>
  <c r="M16" i="25"/>
  <c r="A15" i="25"/>
  <c r="D13" i="25"/>
  <c r="C12" i="25"/>
  <c r="O276" i="24"/>
  <c r="O275" i="24"/>
  <c r="O274" i="24"/>
  <c r="M273" i="24"/>
  <c r="O272" i="24"/>
  <c r="D271" i="24"/>
  <c r="C271" i="24"/>
  <c r="M270" i="24"/>
  <c r="O268" i="24"/>
  <c r="E944" i="7" s="1"/>
  <c r="W944" i="7" s="1"/>
  <c r="K265" i="24"/>
  <c r="F265" i="24"/>
  <c r="C265" i="24"/>
  <c r="K264" i="24"/>
  <c r="E264" i="24"/>
  <c r="C261" i="24"/>
  <c r="K260" i="24"/>
  <c r="F260" i="24"/>
  <c r="L259" i="24"/>
  <c r="M258" i="24"/>
  <c r="J256" i="24"/>
  <c r="E932" i="7" s="1"/>
  <c r="W932" i="7" s="1"/>
  <c r="J255" i="24"/>
  <c r="O253" i="24"/>
  <c r="O252" i="24"/>
  <c r="O251" i="24"/>
  <c r="M249" i="24"/>
  <c r="M248" i="24"/>
  <c r="M245" i="24"/>
  <c r="M244" i="24"/>
  <c r="M242" i="24"/>
  <c r="E923" i="7" s="1"/>
  <c r="W923" i="7" s="1"/>
  <c r="A242" i="24"/>
  <c r="M241" i="24"/>
  <c r="E922" i="7" s="1"/>
  <c r="W922" i="7" s="1"/>
  <c r="O239" i="24"/>
  <c r="O238" i="24"/>
  <c r="M230" i="24"/>
  <c r="M229" i="24"/>
  <c r="M228" i="24"/>
  <c r="M227" i="24"/>
  <c r="M225" i="24"/>
  <c r="M224" i="24"/>
  <c r="M223" i="24"/>
  <c r="M221" i="24"/>
  <c r="E219" i="24"/>
  <c r="C219" i="24"/>
  <c r="E218" i="24"/>
  <c r="D218" i="24"/>
  <c r="L217" i="24"/>
  <c r="H217" i="24"/>
  <c r="E217" i="24"/>
  <c r="M216" i="24"/>
  <c r="M214" i="24"/>
  <c r="E913" i="7" s="1"/>
  <c r="W913" i="7" s="1"/>
  <c r="C212" i="24"/>
  <c r="D207" i="24" s="1"/>
  <c r="C211" i="24"/>
  <c r="C203" i="24" s="1"/>
  <c r="M206" i="24"/>
  <c r="L205" i="24"/>
  <c r="M202" i="24"/>
  <c r="C199" i="24"/>
  <c r="D198" i="24"/>
  <c r="C196" i="24"/>
  <c r="L194" i="24"/>
  <c r="L191" i="24"/>
  <c r="L187" i="24"/>
  <c r="K187" i="24"/>
  <c r="M186" i="24"/>
  <c r="M183" i="24"/>
  <c r="M182" i="24"/>
  <c r="A176" i="24"/>
  <c r="E173" i="24"/>
  <c r="C173" i="24"/>
  <c r="M172" i="24"/>
  <c r="M171" i="24"/>
  <c r="M170" i="24"/>
  <c r="C169" i="24"/>
  <c r="L168" i="24"/>
  <c r="M167" i="24"/>
  <c r="E165" i="24"/>
  <c r="E159" i="24"/>
  <c r="C156" i="24"/>
  <c r="K153" i="24"/>
  <c r="I153" i="24"/>
  <c r="C153" i="24"/>
  <c r="E145" i="24"/>
  <c r="D145" i="24"/>
  <c r="C142" i="24"/>
  <c r="K141" i="24"/>
  <c r="I141" i="24"/>
  <c r="C141" i="24"/>
  <c r="L137" i="24"/>
  <c r="K137" i="24"/>
  <c r="I137" i="24"/>
  <c r="D134" i="24"/>
  <c r="C134" i="24"/>
  <c r="L133" i="24"/>
  <c r="L132" i="24"/>
  <c r="E124" i="24"/>
  <c r="D124" i="24"/>
  <c r="G119" i="24"/>
  <c r="F118" i="24"/>
  <c r="C118" i="24"/>
  <c r="K113" i="24"/>
  <c r="F112" i="24"/>
  <c r="D107" i="24"/>
  <c r="H106" i="24"/>
  <c r="E106" i="24"/>
  <c r="L96" i="24"/>
  <c r="E94" i="24"/>
  <c r="E92" i="24"/>
  <c r="D92" i="24"/>
  <c r="C92" i="24"/>
  <c r="L91" i="24"/>
  <c r="G91" i="24"/>
  <c r="E90" i="24"/>
  <c r="L89" i="24"/>
  <c r="D89" i="24"/>
  <c r="L86" i="24"/>
  <c r="G86" i="24"/>
  <c r="F86" i="24"/>
  <c r="C86" i="24"/>
  <c r="F85" i="24"/>
  <c r="E85" i="24"/>
  <c r="M84" i="24"/>
  <c r="E80" i="24"/>
  <c r="D80" i="24"/>
  <c r="G69" i="24"/>
  <c r="F68" i="24"/>
  <c r="C68" i="24"/>
  <c r="K64" i="24"/>
  <c r="F63" i="24"/>
  <c r="H59" i="24"/>
  <c r="E59" i="24"/>
  <c r="K55" i="24"/>
  <c r="L47" i="24"/>
  <c r="C47" i="24"/>
  <c r="L46" i="24"/>
  <c r="C46" i="24"/>
  <c r="L45" i="24"/>
  <c r="D45" i="24"/>
  <c r="C45" i="24"/>
  <c r="E41" i="24"/>
  <c r="L37" i="24"/>
  <c r="C37" i="24"/>
  <c r="L36" i="24"/>
  <c r="E36" i="24"/>
  <c r="C36" i="24"/>
  <c r="L35" i="24"/>
  <c r="C35" i="24"/>
  <c r="L32" i="24"/>
  <c r="C32" i="24"/>
  <c r="L31" i="24"/>
  <c r="C31" i="24"/>
  <c r="L30" i="24"/>
  <c r="C30" i="24"/>
  <c r="D25" i="24"/>
  <c r="E24" i="24"/>
  <c r="K19" i="24"/>
  <c r="G19" i="24"/>
  <c r="F19" i="24"/>
  <c r="D17" i="24"/>
  <c r="C17" i="24"/>
  <c r="L16" i="24"/>
  <c r="E15" i="24"/>
  <c r="C15" i="24"/>
  <c r="A14" i="24"/>
  <c r="H12" i="24"/>
  <c r="C12" i="24"/>
  <c r="C11" i="24"/>
  <c r="A20" i="23"/>
  <c r="E17" i="23"/>
  <c r="N14" i="23"/>
  <c r="N12" i="23"/>
  <c r="N8" i="23"/>
  <c r="F8" i="22"/>
  <c r="N7" i="22"/>
  <c r="A7" i="22"/>
  <c r="F6" i="22"/>
  <c r="E529" i="21"/>
  <c r="D521" i="21"/>
  <c r="N519" i="21"/>
  <c r="D516" i="21"/>
  <c r="A516" i="21"/>
  <c r="C513" i="21"/>
  <c r="C512" i="21"/>
  <c r="B511" i="21"/>
  <c r="C510" i="21"/>
  <c r="B510" i="21"/>
  <c r="N509" i="21"/>
  <c r="B509" i="21"/>
  <c r="C508" i="21"/>
  <c r="B508" i="21"/>
  <c r="N507" i="21"/>
  <c r="C506" i="21"/>
  <c r="B506" i="21"/>
  <c r="N505" i="21"/>
  <c r="B505" i="21"/>
  <c r="C504" i="21"/>
  <c r="N503" i="21"/>
  <c r="D502" i="21"/>
  <c r="C502" i="21"/>
  <c r="B502" i="21"/>
  <c r="C501" i="21"/>
  <c r="B500" i="21"/>
  <c r="N499" i="21"/>
  <c r="B499" i="21"/>
  <c r="H498" i="21"/>
  <c r="C498" i="21"/>
  <c r="B498" i="21"/>
  <c r="C497" i="21"/>
  <c r="B497" i="21"/>
  <c r="H496" i="21"/>
  <c r="C496" i="21"/>
  <c r="B496" i="21"/>
  <c r="B495" i="21"/>
  <c r="C494" i="21"/>
  <c r="C493" i="21"/>
  <c r="B493" i="21"/>
  <c r="C492" i="21"/>
  <c r="C491" i="21"/>
  <c r="B491" i="21"/>
  <c r="B490" i="21"/>
  <c r="E486" i="21"/>
  <c r="L484" i="21"/>
  <c r="L483" i="21"/>
  <c r="F483" i="21"/>
  <c r="C483" i="21"/>
  <c r="L482" i="21"/>
  <c r="N479" i="21"/>
  <c r="D470" i="21"/>
  <c r="A470" i="21"/>
  <c r="H466" i="21"/>
  <c r="C466" i="21"/>
  <c r="B466" i="21"/>
  <c r="C464" i="21"/>
  <c r="B464" i="21"/>
  <c r="H462" i="21"/>
  <c r="C462" i="21"/>
  <c r="B462" i="21"/>
  <c r="N461" i="21"/>
  <c r="B461" i="21"/>
  <c r="C460" i="21"/>
  <c r="C459" i="21"/>
  <c r="B459" i="21"/>
  <c r="H458" i="21"/>
  <c r="C457" i="21"/>
  <c r="B457" i="21"/>
  <c r="B456" i="21"/>
  <c r="E404" i="21"/>
  <c r="D404" i="21"/>
  <c r="C397" i="21"/>
  <c r="C392" i="21"/>
  <c r="C391" i="21"/>
  <c r="C389" i="21"/>
  <c r="C388" i="21"/>
  <c r="C386" i="21"/>
  <c r="C385" i="21"/>
  <c r="C383" i="21"/>
  <c r="C382" i="21"/>
  <c r="C380" i="21"/>
  <c r="C379" i="21"/>
  <c r="C377" i="21"/>
  <c r="C376" i="21"/>
  <c r="C374" i="21"/>
  <c r="C373" i="21"/>
  <c r="C371" i="21"/>
  <c r="C370" i="21"/>
  <c r="C368" i="21"/>
  <c r="C367" i="21"/>
  <c r="C365" i="21"/>
  <c r="C359" i="21"/>
  <c r="C358" i="21"/>
  <c r="C353" i="21"/>
  <c r="C352" i="21"/>
  <c r="H350" i="21"/>
  <c r="D350" i="21"/>
  <c r="C350" i="21"/>
  <c r="C349" i="21"/>
  <c r="C343" i="21"/>
  <c r="C340" i="21"/>
  <c r="C337" i="21"/>
  <c r="C334" i="21"/>
  <c r="C331" i="21"/>
  <c r="C328" i="21"/>
  <c r="C325" i="21"/>
  <c r="C322" i="21"/>
  <c r="C319" i="21"/>
  <c r="C316" i="21"/>
  <c r="C313" i="21"/>
  <c r="C310" i="21"/>
  <c r="C307" i="21"/>
  <c r="C304" i="21"/>
  <c r="C301" i="21"/>
  <c r="C298" i="21"/>
  <c r="H297" i="21"/>
  <c r="E297" i="21"/>
  <c r="N296" i="21"/>
  <c r="C292" i="21"/>
  <c r="C291" i="21"/>
  <c r="C289" i="21"/>
  <c r="C288" i="21"/>
  <c r="C286" i="21"/>
  <c r="C285" i="21"/>
  <c r="C283" i="21"/>
  <c r="C282" i="21"/>
  <c r="C280" i="21"/>
  <c r="C279" i="21"/>
  <c r="C277" i="21"/>
  <c r="C276" i="21"/>
  <c r="C274" i="21"/>
  <c r="C273" i="21"/>
  <c r="C271" i="21"/>
  <c r="C270" i="21"/>
  <c r="C268" i="21"/>
  <c r="C267" i="21"/>
  <c r="C265" i="21"/>
  <c r="C264" i="21"/>
  <c r="C262" i="21"/>
  <c r="C261" i="21"/>
  <c r="C259" i="21"/>
  <c r="C258" i="21"/>
  <c r="C256" i="21"/>
  <c r="C255" i="21"/>
  <c r="C253" i="21"/>
  <c r="C252" i="21"/>
  <c r="C250" i="21"/>
  <c r="C249" i="21"/>
  <c r="C247" i="21"/>
  <c r="E246" i="21"/>
  <c r="D246" i="21"/>
  <c r="C246" i="21"/>
  <c r="E244" i="21"/>
  <c r="D244" i="21"/>
  <c r="C244" i="21"/>
  <c r="C243" i="21"/>
  <c r="H191" i="21"/>
  <c r="E191" i="21"/>
  <c r="D191" i="21"/>
  <c r="N190" i="21"/>
  <c r="E184" i="21"/>
  <c r="C180" i="21"/>
  <c r="F179" i="21"/>
  <c r="F176" i="21"/>
  <c r="L175" i="21"/>
  <c r="F175" i="21"/>
  <c r="M173" i="21"/>
  <c r="N172" i="21"/>
  <c r="D169" i="21"/>
  <c r="B169" i="21"/>
  <c r="D168" i="21"/>
  <c r="B168" i="21"/>
  <c r="D167" i="21"/>
  <c r="B167" i="21"/>
  <c r="D166" i="21"/>
  <c r="B166" i="21"/>
  <c r="D165" i="21"/>
  <c r="B165" i="21"/>
  <c r="D164" i="21"/>
  <c r="B164" i="21"/>
  <c r="D163" i="21"/>
  <c r="B163" i="21"/>
  <c r="D162" i="21"/>
  <c r="B162" i="21"/>
  <c r="D161" i="21"/>
  <c r="B161" i="21"/>
  <c r="D160" i="21"/>
  <c r="B160" i="21"/>
  <c r="D159" i="21"/>
  <c r="B159" i="21"/>
  <c r="D158" i="21"/>
  <c r="B158" i="21"/>
  <c r="D157" i="21"/>
  <c r="B157" i="21"/>
  <c r="D156" i="21"/>
  <c r="B156" i="21"/>
  <c r="D155" i="21"/>
  <c r="B155" i="21"/>
  <c r="D154" i="21"/>
  <c r="B154" i="21"/>
  <c r="D153" i="21"/>
  <c r="C153" i="21"/>
  <c r="B153" i="21"/>
  <c r="D147" i="21"/>
  <c r="C147" i="21"/>
  <c r="C144" i="21"/>
  <c r="F143" i="21" s="1"/>
  <c r="B142" i="21"/>
  <c r="C141" i="21"/>
  <c r="F140" i="21" s="1"/>
  <c r="B139" i="21"/>
  <c r="C138" i="21"/>
  <c r="F137" i="21" s="1"/>
  <c r="B136" i="21"/>
  <c r="C135" i="21"/>
  <c r="F134" i="21" s="1"/>
  <c r="B133" i="21"/>
  <c r="C132" i="21"/>
  <c r="F131" i="21" s="1"/>
  <c r="B130" i="21"/>
  <c r="C129" i="21"/>
  <c r="F128" i="21" s="1"/>
  <c r="B127" i="21"/>
  <c r="C126" i="21"/>
  <c r="F125" i="21" s="1"/>
  <c r="B124" i="21"/>
  <c r="C123" i="21"/>
  <c r="F122" i="21" s="1"/>
  <c r="B121" i="21"/>
  <c r="C120" i="21"/>
  <c r="F119" i="21" s="1"/>
  <c r="B118" i="21"/>
  <c r="C117" i="21"/>
  <c r="F116" i="21"/>
  <c r="B115" i="21"/>
  <c r="C114" i="21"/>
  <c r="F113" i="21" s="1"/>
  <c r="B112" i="21"/>
  <c r="C111" i="21"/>
  <c r="F110" i="21" s="1"/>
  <c r="B109" i="21"/>
  <c r="C108" i="21"/>
  <c r="F107" i="21" s="1"/>
  <c r="B106" i="21"/>
  <c r="C105" i="21"/>
  <c r="F104" i="21" s="1"/>
  <c r="B103" i="21"/>
  <c r="C102" i="21"/>
  <c r="F101" i="21" s="1"/>
  <c r="B100" i="21"/>
  <c r="C99" i="21"/>
  <c r="F98" i="21" s="1"/>
  <c r="B97" i="21"/>
  <c r="H96" i="21"/>
  <c r="C95" i="21"/>
  <c r="B94" i="21"/>
  <c r="H93" i="21"/>
  <c r="H90" i="21"/>
  <c r="H87" i="21"/>
  <c r="H84" i="21"/>
  <c r="H81" i="21"/>
  <c r="H78" i="21"/>
  <c r="C78" i="21"/>
  <c r="F77" i="21" s="1"/>
  <c r="L77" i="21"/>
  <c r="C76" i="21"/>
  <c r="C57" i="21"/>
  <c r="D55" i="21"/>
  <c r="B55" i="21"/>
  <c r="D54" i="21"/>
  <c r="B54" i="21"/>
  <c r="D53" i="21"/>
  <c r="B53" i="21"/>
  <c r="D52" i="21"/>
  <c r="B52" i="21"/>
  <c r="D51" i="21"/>
  <c r="C51" i="21"/>
  <c r="B51" i="21"/>
  <c r="N50" i="21"/>
  <c r="B50" i="21"/>
  <c r="E44" i="21"/>
  <c r="C41" i="21"/>
  <c r="D35" i="21"/>
  <c r="A34" i="21"/>
  <c r="B32" i="21"/>
  <c r="B31" i="21"/>
  <c r="B30" i="21"/>
  <c r="N27" i="21"/>
  <c r="N26" i="21"/>
  <c r="N25" i="21"/>
  <c r="N24" i="21"/>
  <c r="N23" i="21"/>
  <c r="N22" i="21"/>
  <c r="N21" i="21"/>
  <c r="N20" i="21"/>
  <c r="N19" i="21"/>
  <c r="N18" i="21"/>
  <c r="N17" i="21"/>
  <c r="N16" i="21"/>
  <c r="N15" i="21"/>
  <c r="N13" i="21"/>
  <c r="N12" i="21"/>
  <c r="H11" i="21"/>
  <c r="N10" i="21"/>
  <c r="N8" i="21"/>
  <c r="N7" i="21"/>
  <c r="M262" i="20"/>
  <c r="M261" i="20"/>
  <c r="M260" i="20"/>
  <c r="M259" i="20"/>
  <c r="M258" i="20"/>
  <c r="M257" i="20"/>
  <c r="K256" i="20"/>
  <c r="K255" i="20"/>
  <c r="M254" i="20"/>
  <c r="M253" i="20"/>
  <c r="M252" i="20"/>
  <c r="M250" i="20"/>
  <c r="M249" i="20"/>
  <c r="M248" i="20"/>
  <c r="J245" i="20"/>
  <c r="C245" i="20"/>
  <c r="C232" i="20" s="1"/>
  <c r="G242" i="20"/>
  <c r="M240" i="20"/>
  <c r="C237" i="20"/>
  <c r="D236" i="20"/>
  <c r="C137" i="20" s="1"/>
  <c r="M235" i="20"/>
  <c r="L234" i="20"/>
  <c r="K232" i="20"/>
  <c r="M231" i="20"/>
  <c r="M228" i="20"/>
  <c r="E226" i="20"/>
  <c r="C225" i="20"/>
  <c r="E224" i="20"/>
  <c r="C224" i="20"/>
  <c r="E221" i="20"/>
  <c r="M220" i="20"/>
  <c r="K217" i="20"/>
  <c r="E217" i="20"/>
  <c r="J216" i="20"/>
  <c r="M215" i="20"/>
  <c r="A212" i="20"/>
  <c r="M210" i="20"/>
  <c r="M209" i="20"/>
  <c r="D208" i="20"/>
  <c r="E207" i="20"/>
  <c r="J204" i="20"/>
  <c r="E204" i="20"/>
  <c r="M203" i="20"/>
  <c r="I195" i="20"/>
  <c r="D194" i="20"/>
  <c r="E193" i="20"/>
  <c r="E192" i="20"/>
  <c r="E189" i="20" s="1"/>
  <c r="D191" i="20"/>
  <c r="J188" i="20"/>
  <c r="H188" i="20"/>
  <c r="E188" i="20"/>
  <c r="D188" i="20"/>
  <c r="C188" i="20"/>
  <c r="M187" i="20"/>
  <c r="D182" i="20"/>
  <c r="C182" i="20"/>
  <c r="E180" i="20"/>
  <c r="E176" i="20"/>
  <c r="D176" i="20"/>
  <c r="C176" i="20"/>
  <c r="I174" i="20"/>
  <c r="C174" i="20"/>
  <c r="C172" i="20"/>
  <c r="C171" i="20"/>
  <c r="M170" i="20"/>
  <c r="K166" i="20"/>
  <c r="E166" i="20"/>
  <c r="D166" i="20"/>
  <c r="C166" i="20"/>
  <c r="C163" i="20"/>
  <c r="I160" i="20"/>
  <c r="C160" i="20"/>
  <c r="K157" i="20"/>
  <c r="J157" i="20"/>
  <c r="E157" i="20"/>
  <c r="E151" i="20"/>
  <c r="D151" i="20"/>
  <c r="C148" i="20"/>
  <c r="I147" i="20"/>
  <c r="C147" i="20"/>
  <c r="K144" i="20"/>
  <c r="F144" i="20"/>
  <c r="L143" i="20"/>
  <c r="K143" i="20"/>
  <c r="I143" i="20"/>
  <c r="K140" i="20"/>
  <c r="D140" i="20"/>
  <c r="C140" i="20"/>
  <c r="L138" i="20"/>
  <c r="K138" i="20"/>
  <c r="C133" i="20"/>
  <c r="I132" i="20"/>
  <c r="C132" i="20"/>
  <c r="I131" i="20"/>
  <c r="C131" i="20"/>
  <c r="M130" i="20"/>
  <c r="E128" i="20"/>
  <c r="D128" i="20"/>
  <c r="F127" i="20"/>
  <c r="I126" i="20"/>
  <c r="C126" i="20"/>
  <c r="C125" i="20"/>
  <c r="E119" i="20"/>
  <c r="D119" i="20"/>
  <c r="F116" i="20"/>
  <c r="I115" i="20"/>
  <c r="C115" i="20"/>
  <c r="K112" i="20"/>
  <c r="I111" i="20"/>
  <c r="J108" i="20"/>
  <c r="D108" i="20"/>
  <c r="J107" i="20"/>
  <c r="E107" i="20"/>
  <c r="D102" i="20"/>
  <c r="C102" i="20"/>
  <c r="G101" i="20"/>
  <c r="I100" i="20"/>
  <c r="E99" i="20"/>
  <c r="D99" i="20"/>
  <c r="G96" i="20"/>
  <c r="F96" i="20"/>
  <c r="C96" i="20"/>
  <c r="F95" i="20"/>
  <c r="E95" i="20"/>
  <c r="L94" i="20"/>
  <c r="D92" i="20"/>
  <c r="C92" i="20"/>
  <c r="K90" i="20"/>
  <c r="J90" i="20"/>
  <c r="I90" i="20"/>
  <c r="F90" i="20"/>
  <c r="K85" i="20"/>
  <c r="I85" i="20"/>
  <c r="F85" i="20"/>
  <c r="C85" i="20"/>
  <c r="L82" i="20"/>
  <c r="C82" i="20"/>
  <c r="K81" i="20"/>
  <c r="I81" i="20"/>
  <c r="F81" i="20"/>
  <c r="C81" i="20"/>
  <c r="E77" i="20"/>
  <c r="D76" i="20"/>
  <c r="C76" i="20"/>
  <c r="M75" i="20"/>
  <c r="E73" i="20"/>
  <c r="D73" i="20"/>
  <c r="C73" i="20"/>
  <c r="I72" i="20"/>
  <c r="C72" i="20"/>
  <c r="I71" i="20"/>
  <c r="E70" i="20"/>
  <c r="C70" i="20"/>
  <c r="M69" i="20"/>
  <c r="D66" i="20"/>
  <c r="E65" i="20"/>
  <c r="F62" i="20"/>
  <c r="I61" i="20"/>
  <c r="C61" i="20"/>
  <c r="K58" i="20"/>
  <c r="I57" i="20"/>
  <c r="J54" i="20"/>
  <c r="E54" i="20"/>
  <c r="I50" i="20"/>
  <c r="D43" i="20"/>
  <c r="E40" i="20"/>
  <c r="E36" i="20"/>
  <c r="D35" i="20"/>
  <c r="L31" i="20"/>
  <c r="C31" i="20"/>
  <c r="B31" i="20"/>
  <c r="L30" i="20"/>
  <c r="C30" i="20"/>
  <c r="B30" i="20"/>
  <c r="D27" i="20"/>
  <c r="E26" i="20"/>
  <c r="K21" i="20"/>
  <c r="G21" i="20"/>
  <c r="F21" i="20"/>
  <c r="L18" i="20"/>
  <c r="E17" i="20"/>
  <c r="C17" i="20"/>
  <c r="A16" i="20"/>
  <c r="J14" i="20"/>
  <c r="C14" i="20"/>
  <c r="D13" i="20"/>
  <c r="M158" i="19"/>
  <c r="M157" i="19"/>
  <c r="M154" i="19"/>
  <c r="L152" i="19"/>
  <c r="L151" i="19"/>
  <c r="E151" i="19"/>
  <c r="L150" i="19"/>
  <c r="M148" i="19"/>
  <c r="C147" i="19"/>
  <c r="M146" i="19"/>
  <c r="L145" i="19"/>
  <c r="K143" i="19"/>
  <c r="C142" i="19"/>
  <c r="L138" i="19"/>
  <c r="M137" i="19"/>
  <c r="A131" i="19"/>
  <c r="E129" i="19"/>
  <c r="E122" i="19"/>
  <c r="E121" i="19"/>
  <c r="M119" i="19"/>
  <c r="A117" i="19"/>
  <c r="M116" i="19"/>
  <c r="K114" i="19"/>
  <c r="I114" i="19"/>
  <c r="C114" i="19"/>
  <c r="L113" i="19"/>
  <c r="I113" i="19"/>
  <c r="C113" i="19"/>
  <c r="M112" i="19"/>
  <c r="K109" i="19"/>
  <c r="I109" i="19"/>
  <c r="C109" i="19"/>
  <c r="L108" i="19"/>
  <c r="I108" i="19"/>
  <c r="C108" i="19"/>
  <c r="M107" i="19"/>
  <c r="M106" i="19" s="1"/>
  <c r="E103" i="19"/>
  <c r="D103" i="19"/>
  <c r="F99" i="19"/>
  <c r="I98" i="19"/>
  <c r="C98" i="19"/>
  <c r="K95" i="19"/>
  <c r="C95" i="19"/>
  <c r="I94" i="19"/>
  <c r="C94" i="19"/>
  <c r="L91" i="19"/>
  <c r="J91" i="19"/>
  <c r="D91" i="19"/>
  <c r="J90" i="19"/>
  <c r="E90" i="19"/>
  <c r="E85" i="19"/>
  <c r="K84" i="19"/>
  <c r="I84" i="19"/>
  <c r="F84" i="19"/>
  <c r="C84" i="19"/>
  <c r="L83" i="19"/>
  <c r="E83" i="19"/>
  <c r="J82" i="19"/>
  <c r="E80" i="19"/>
  <c r="D80" i="19"/>
  <c r="C80" i="19"/>
  <c r="K79" i="19"/>
  <c r="I79" i="19"/>
  <c r="L78" i="19"/>
  <c r="I78" i="19"/>
  <c r="E78" i="19"/>
  <c r="M77" i="19"/>
  <c r="M76" i="19"/>
  <c r="I74" i="19"/>
  <c r="C74" i="19"/>
  <c r="L73" i="19"/>
  <c r="I73" i="19"/>
  <c r="E73" i="19"/>
  <c r="M72" i="19"/>
  <c r="M71" i="19"/>
  <c r="C70" i="19"/>
  <c r="C68" i="19"/>
  <c r="E66" i="19"/>
  <c r="D66" i="19"/>
  <c r="E65" i="19"/>
  <c r="C64" i="19"/>
  <c r="E60" i="19"/>
  <c r="D60" i="19"/>
  <c r="F51" i="19"/>
  <c r="I50" i="19"/>
  <c r="C50" i="19"/>
  <c r="K47" i="19"/>
  <c r="I46" i="19"/>
  <c r="L43" i="19"/>
  <c r="J43" i="19"/>
  <c r="E43" i="19"/>
  <c r="L42" i="19"/>
  <c r="Q40" i="19"/>
  <c r="K39" i="19"/>
  <c r="L37" i="19"/>
  <c r="C37" i="19"/>
  <c r="C32" i="19"/>
  <c r="D31" i="19"/>
  <c r="C31" i="19"/>
  <c r="L26" i="19"/>
  <c r="L25" i="19"/>
  <c r="D25" i="19"/>
  <c r="C25" i="19"/>
  <c r="D23" i="19"/>
  <c r="E22" i="19"/>
  <c r="A20" i="19"/>
  <c r="K17" i="19"/>
  <c r="G17" i="19"/>
  <c r="F17" i="19"/>
  <c r="D15" i="19"/>
  <c r="C15" i="19"/>
  <c r="L14" i="19"/>
  <c r="E13" i="19"/>
  <c r="C13" i="19"/>
  <c r="A12" i="19"/>
  <c r="D11" i="19"/>
  <c r="C11" i="19"/>
  <c r="P101" i="18"/>
  <c r="P100" i="18"/>
  <c r="N99" i="18"/>
  <c r="N96" i="18"/>
  <c r="N92" i="18"/>
  <c r="N89" i="18"/>
  <c r="B89" i="18"/>
  <c r="N88" i="18"/>
  <c r="B88" i="18"/>
  <c r="N87" i="18"/>
  <c r="B87" i="18"/>
  <c r="N86" i="18"/>
  <c r="B86" i="18"/>
  <c r="F83" i="18"/>
  <c r="F82" i="18"/>
  <c r="F81" i="18"/>
  <c r="F80" i="18"/>
  <c r="P78" i="18"/>
  <c r="A78" i="18"/>
  <c r="P77" i="18"/>
  <c r="F75" i="18"/>
  <c r="N74" i="18"/>
  <c r="F73" i="18"/>
  <c r="F72" i="18"/>
  <c r="F71" i="18"/>
  <c r="E68" i="18"/>
  <c r="D68" i="18"/>
  <c r="C68" i="18"/>
  <c r="L62" i="18"/>
  <c r="I62" i="18"/>
  <c r="F62" i="18"/>
  <c r="C62" i="18"/>
  <c r="J58" i="18"/>
  <c r="I58" i="18"/>
  <c r="F58" i="18"/>
  <c r="C58" i="18"/>
  <c r="L57" i="18"/>
  <c r="H53" i="18"/>
  <c r="E53" i="18"/>
  <c r="D53" i="18"/>
  <c r="A50" i="18"/>
  <c r="E47" i="18"/>
  <c r="D47" i="18"/>
  <c r="C47" i="18"/>
  <c r="H42" i="18"/>
  <c r="C42" i="18"/>
  <c r="L41" i="18"/>
  <c r="I41" i="18"/>
  <c r="F41" i="18"/>
  <c r="H37" i="18"/>
  <c r="D37" i="18"/>
  <c r="E32" i="18"/>
  <c r="B28" i="18"/>
  <c r="E27" i="18"/>
  <c r="B27" i="18"/>
  <c r="D26" i="18"/>
  <c r="C26" i="18"/>
  <c r="B26" i="18"/>
  <c r="B23" i="18"/>
  <c r="F22" i="18"/>
  <c r="E22" i="18"/>
  <c r="B22" i="18"/>
  <c r="B21" i="18"/>
  <c r="M18" i="18"/>
  <c r="M17" i="18"/>
  <c r="E17" i="18"/>
  <c r="D17" i="18"/>
  <c r="C17" i="18"/>
  <c r="M16" i="18"/>
  <c r="M373" i="17"/>
  <c r="D372" i="17"/>
  <c r="C372" i="17"/>
  <c r="H369" i="17"/>
  <c r="H366" i="17"/>
  <c r="E366" i="17"/>
  <c r="L365" i="17"/>
  <c r="L363" i="17"/>
  <c r="H363" i="17"/>
  <c r="B363" i="17"/>
  <c r="B362" i="17"/>
  <c r="H356" i="17"/>
  <c r="E352" i="17"/>
  <c r="H349" i="17"/>
  <c r="M349" i="17" s="1"/>
  <c r="M348" i="17"/>
  <c r="E335" i="17"/>
  <c r="E331" i="17"/>
  <c r="D331" i="17"/>
  <c r="G326" i="17"/>
  <c r="F326" i="17"/>
  <c r="C326" i="17"/>
  <c r="K323" i="17"/>
  <c r="L322" i="17"/>
  <c r="F322" i="17"/>
  <c r="L319" i="17"/>
  <c r="H319" i="17"/>
  <c r="E319" i="17"/>
  <c r="E315" i="17"/>
  <c r="G314" i="17"/>
  <c r="F314" i="17"/>
  <c r="C314" i="17"/>
  <c r="L313" i="17"/>
  <c r="F313" i="17"/>
  <c r="E313" i="17"/>
  <c r="M312" i="17"/>
  <c r="G309" i="17"/>
  <c r="F309" i="17"/>
  <c r="C309" i="17"/>
  <c r="L308" i="17"/>
  <c r="F308" i="17"/>
  <c r="E308" i="17"/>
  <c r="M307" i="17"/>
  <c r="E304" i="17"/>
  <c r="D304" i="17"/>
  <c r="G299" i="17"/>
  <c r="F299" i="17"/>
  <c r="C299" i="17"/>
  <c r="K296" i="17"/>
  <c r="L295" i="17"/>
  <c r="F295" i="17"/>
  <c r="L292" i="17"/>
  <c r="E292" i="17"/>
  <c r="E287" i="17"/>
  <c r="E283" i="17"/>
  <c r="E279" i="17"/>
  <c r="D278" i="17"/>
  <c r="E275" i="17"/>
  <c r="E271" i="17"/>
  <c r="D271" i="17"/>
  <c r="C271" i="17"/>
  <c r="B271" i="17"/>
  <c r="H270" i="17"/>
  <c r="C270" i="17"/>
  <c r="B270" i="17"/>
  <c r="G265" i="17"/>
  <c r="F265" i="17"/>
  <c r="L262" i="17"/>
  <c r="D262" i="17"/>
  <c r="C262" i="17"/>
  <c r="M261" i="17"/>
  <c r="A260" i="17"/>
  <c r="H258" i="17"/>
  <c r="C258" i="17"/>
  <c r="C257" i="17"/>
  <c r="M251" i="17"/>
  <c r="A250" i="17"/>
  <c r="E244" i="17"/>
  <c r="E242" i="17"/>
  <c r="H238" i="17"/>
  <c r="E238" i="17"/>
  <c r="H235" i="17"/>
  <c r="E235" i="17"/>
  <c r="C235" i="17"/>
  <c r="C234" i="17"/>
  <c r="H229" i="17"/>
  <c r="E229" i="17"/>
  <c r="D225" i="17"/>
  <c r="C225" i="17"/>
  <c r="M223" i="17"/>
  <c r="E221" i="17"/>
  <c r="D221" i="17"/>
  <c r="D220" i="17"/>
  <c r="D217" i="17"/>
  <c r="M214" i="17"/>
  <c r="C213" i="17"/>
  <c r="K212" i="17"/>
  <c r="M211" i="17"/>
  <c r="A210" i="17"/>
  <c r="H205" i="17"/>
  <c r="E205" i="17"/>
  <c r="M204" i="17"/>
  <c r="O202" i="17"/>
  <c r="O201" i="17"/>
  <c r="O200" i="17"/>
  <c r="O197" i="17"/>
  <c r="O194" i="17"/>
  <c r="O191" i="17"/>
  <c r="O188" i="17"/>
  <c r="O185" i="17"/>
  <c r="O182" i="17"/>
  <c r="O179" i="17"/>
  <c r="O176" i="17"/>
  <c r="E175" i="17"/>
  <c r="O173" i="17"/>
  <c r="M172" i="17"/>
  <c r="M169" i="17"/>
  <c r="M168" i="17"/>
  <c r="M165" i="17"/>
  <c r="M164" i="17"/>
  <c r="A162" i="17"/>
  <c r="M159" i="17"/>
  <c r="O158" i="17"/>
  <c r="O156" i="17"/>
  <c r="O155" i="17"/>
  <c r="B149" i="17"/>
  <c r="E147" i="17"/>
  <c r="B146" i="17"/>
  <c r="D143" i="17"/>
  <c r="C143" i="17"/>
  <c r="D141" i="17"/>
  <c r="L140" i="17"/>
  <c r="D140" i="17"/>
  <c r="C140" i="17"/>
  <c r="B140" i="17"/>
  <c r="D139" i="17"/>
  <c r="B139" i="17"/>
  <c r="H137" i="17"/>
  <c r="E137" i="17"/>
  <c r="C137" i="17"/>
  <c r="C136" i="17"/>
  <c r="M135" i="17"/>
  <c r="G130" i="17"/>
  <c r="F130" i="17"/>
  <c r="C130" i="17"/>
  <c r="G129" i="17"/>
  <c r="F129" i="17"/>
  <c r="L128" i="17"/>
  <c r="F128" i="17"/>
  <c r="L126" i="17"/>
  <c r="C125" i="17"/>
  <c r="G119" i="17"/>
  <c r="F119" i="17"/>
  <c r="C119" i="17"/>
  <c r="G118" i="17"/>
  <c r="F118" i="17"/>
  <c r="F117" i="17"/>
  <c r="C117" i="17"/>
  <c r="L116" i="17"/>
  <c r="F116" i="17"/>
  <c r="L114" i="17"/>
  <c r="H114" i="17"/>
  <c r="E114" i="17"/>
  <c r="H113" i="17"/>
  <c r="D113" i="17"/>
  <c r="L112" i="17"/>
  <c r="C112" i="17"/>
  <c r="M111" i="17"/>
  <c r="G100" i="17"/>
  <c r="F100" i="17"/>
  <c r="C100" i="17"/>
  <c r="G94" i="17"/>
  <c r="F94" i="17"/>
  <c r="F90" i="17"/>
  <c r="C90" i="17"/>
  <c r="L86" i="17"/>
  <c r="F86" i="17"/>
  <c r="B86" i="17"/>
  <c r="L79" i="17"/>
  <c r="H79" i="17"/>
  <c r="E79" i="17"/>
  <c r="C79" i="17"/>
  <c r="H78" i="17"/>
  <c r="D78" i="17"/>
  <c r="L77" i="17"/>
  <c r="C77" i="17"/>
  <c r="M76" i="17"/>
  <c r="M73" i="17"/>
  <c r="E70" i="17"/>
  <c r="K69" i="17"/>
  <c r="G69" i="17"/>
  <c r="F69" i="17"/>
  <c r="C69" i="17"/>
  <c r="K68" i="17"/>
  <c r="G68" i="17"/>
  <c r="F68" i="17"/>
  <c r="L67" i="17"/>
  <c r="F67" i="17"/>
  <c r="M66" i="17"/>
  <c r="O66" i="17" s="1"/>
  <c r="E61" i="17"/>
  <c r="D61" i="17"/>
  <c r="G56" i="17"/>
  <c r="F56" i="17"/>
  <c r="C56" i="17"/>
  <c r="L53" i="17"/>
  <c r="H53" i="17"/>
  <c r="C53" i="17"/>
  <c r="L52" i="17"/>
  <c r="G52" i="17"/>
  <c r="F52" i="17"/>
  <c r="K49" i="17"/>
  <c r="I49" i="17"/>
  <c r="F48" i="17"/>
  <c r="K45" i="17"/>
  <c r="I45" i="17"/>
  <c r="F44" i="17"/>
  <c r="E37" i="17"/>
  <c r="L33" i="17"/>
  <c r="E33" i="17"/>
  <c r="C33" i="17"/>
  <c r="B33" i="17"/>
  <c r="L32" i="17"/>
  <c r="C32" i="17"/>
  <c r="B32" i="17"/>
  <c r="E29" i="17"/>
  <c r="D28" i="17"/>
  <c r="K22" i="17"/>
  <c r="G22" i="17"/>
  <c r="F22" i="17"/>
  <c r="G21" i="17"/>
  <c r="F21" i="17"/>
  <c r="C21" i="17"/>
  <c r="L20" i="17"/>
  <c r="L17" i="17"/>
  <c r="E16" i="17"/>
  <c r="D16" i="17"/>
  <c r="C16" i="17"/>
  <c r="A15" i="17"/>
  <c r="H13" i="17"/>
  <c r="D13" i="17"/>
  <c r="C12" i="17"/>
  <c r="M487" i="16"/>
  <c r="H486" i="16"/>
  <c r="H485" i="16"/>
  <c r="M484" i="16"/>
  <c r="H483" i="16"/>
  <c r="H482" i="16"/>
  <c r="M481" i="16"/>
  <c r="M480" i="16"/>
  <c r="M479" i="16"/>
  <c r="M477" i="16"/>
  <c r="M476" i="16"/>
  <c r="M475" i="16"/>
  <c r="M472" i="16"/>
  <c r="R471" i="16"/>
  <c r="Q471" i="16"/>
  <c r="O470" i="16"/>
  <c r="D468" i="16"/>
  <c r="C468" i="16"/>
  <c r="E467" i="16"/>
  <c r="K464" i="16"/>
  <c r="F464" i="16"/>
  <c r="C464" i="16"/>
  <c r="K463" i="16"/>
  <c r="E463" i="16"/>
  <c r="C460" i="16"/>
  <c r="K459" i="16"/>
  <c r="F459" i="16"/>
  <c r="L458" i="16"/>
  <c r="M457" i="16"/>
  <c r="O455" i="16"/>
  <c r="O454" i="16"/>
  <c r="O452" i="16"/>
  <c r="O451" i="16"/>
  <c r="E810" i="7" s="1"/>
  <c r="W810" i="7" s="1"/>
  <c r="M450" i="16"/>
  <c r="M449" i="16"/>
  <c r="M448" i="16"/>
  <c r="M447" i="16"/>
  <c r="O446" i="16"/>
  <c r="O445" i="16"/>
  <c r="E443" i="16"/>
  <c r="E441" i="16"/>
  <c r="E436" i="16"/>
  <c r="D432" i="16"/>
  <c r="C432" i="16"/>
  <c r="H430" i="16"/>
  <c r="L429" i="16"/>
  <c r="H429" i="16"/>
  <c r="M427" i="16"/>
  <c r="M425" i="16"/>
  <c r="M424" i="16"/>
  <c r="M423" i="16"/>
  <c r="M422" i="16"/>
  <c r="M421" i="16"/>
  <c r="M420" i="16"/>
  <c r="O419" i="16"/>
  <c r="O418" i="16"/>
  <c r="Q417" i="16"/>
  <c r="C417" i="16"/>
  <c r="M415" i="16"/>
  <c r="C414" i="16"/>
  <c r="O413" i="16"/>
  <c r="R412" i="16"/>
  <c r="D411" i="16"/>
  <c r="C411" i="16"/>
  <c r="Q410" i="16"/>
  <c r="C409" i="16"/>
  <c r="E406" i="16"/>
  <c r="M405" i="16"/>
  <c r="L403" i="16"/>
  <c r="M399" i="16"/>
  <c r="G396" i="16"/>
  <c r="M395" i="16"/>
  <c r="C394" i="16"/>
  <c r="R390" i="16"/>
  <c r="G381" i="16"/>
  <c r="O379" i="16"/>
  <c r="H376" i="16"/>
  <c r="E376" i="16"/>
  <c r="D376" i="16"/>
  <c r="H375" i="16"/>
  <c r="E375" i="16"/>
  <c r="D375" i="16"/>
  <c r="H374" i="16"/>
  <c r="E374" i="16"/>
  <c r="D374" i="16"/>
  <c r="H373" i="16"/>
  <c r="E373" i="16"/>
  <c r="D373" i="16"/>
  <c r="H372" i="16"/>
  <c r="E372" i="16"/>
  <c r="D372" i="16"/>
  <c r="H371" i="16"/>
  <c r="E371" i="16"/>
  <c r="D371" i="16"/>
  <c r="E370" i="16"/>
  <c r="C370" i="16"/>
  <c r="E369" i="16"/>
  <c r="C369" i="16"/>
  <c r="G366" i="16"/>
  <c r="R362" i="16"/>
  <c r="Q362" i="16"/>
  <c r="D360" i="16"/>
  <c r="C360" i="16"/>
  <c r="Q358" i="16"/>
  <c r="E357" i="16"/>
  <c r="C357" i="16"/>
  <c r="C356" i="16"/>
  <c r="E355" i="16"/>
  <c r="D355" i="16"/>
  <c r="E354" i="16"/>
  <c r="D354" i="16"/>
  <c r="Q353" i="16"/>
  <c r="M352" i="16"/>
  <c r="M351" i="16"/>
  <c r="M350" i="16"/>
  <c r="M349" i="16"/>
  <c r="M348" i="16"/>
  <c r="Q347" i="16"/>
  <c r="Q346" i="16"/>
  <c r="M346" i="16"/>
  <c r="M345" i="16"/>
  <c r="M344" i="16"/>
  <c r="M343" i="16"/>
  <c r="Q342" i="16"/>
  <c r="Q341" i="16"/>
  <c r="H340" i="16"/>
  <c r="E340" i="16"/>
  <c r="Q339" i="16"/>
  <c r="L339" i="16"/>
  <c r="D339" i="16"/>
  <c r="E332" i="16"/>
  <c r="L331" i="16"/>
  <c r="D331" i="16"/>
  <c r="E323" i="16"/>
  <c r="L322" i="16"/>
  <c r="D322" i="16"/>
  <c r="O320" i="16"/>
  <c r="Q316" i="16"/>
  <c r="H316" i="16"/>
  <c r="D316" i="16"/>
  <c r="Q315" i="16"/>
  <c r="E314" i="16"/>
  <c r="L313" i="16"/>
  <c r="D313" i="16"/>
  <c r="Q312" i="16"/>
  <c r="O311" i="16"/>
  <c r="H309" i="16"/>
  <c r="D307" i="16"/>
  <c r="Q306" i="16"/>
  <c r="H306" i="16"/>
  <c r="D306" i="16"/>
  <c r="Q305" i="16"/>
  <c r="E304" i="16"/>
  <c r="L303" i="16"/>
  <c r="D303" i="16"/>
  <c r="Q302" i="16"/>
  <c r="L300" i="16"/>
  <c r="M299" i="16"/>
  <c r="Q297" i="16"/>
  <c r="H297" i="16"/>
  <c r="D297" i="16"/>
  <c r="Q296" i="16"/>
  <c r="E295" i="16"/>
  <c r="L294" i="16"/>
  <c r="D294" i="16"/>
  <c r="Q293" i="16"/>
  <c r="O291" i="16"/>
  <c r="E767" i="7" s="1"/>
  <c r="W767" i="7" s="1"/>
  <c r="H284" i="16"/>
  <c r="E284" i="16"/>
  <c r="L283" i="16"/>
  <c r="H283" i="16"/>
  <c r="D283" i="16"/>
  <c r="Q279" i="16"/>
  <c r="Q276" i="16"/>
  <c r="E274" i="16"/>
  <c r="L273" i="16"/>
  <c r="D273" i="16"/>
  <c r="Q272" i="16"/>
  <c r="O271" i="16"/>
  <c r="O270" i="16"/>
  <c r="G267" i="16"/>
  <c r="D267" i="16"/>
  <c r="O264" i="16"/>
  <c r="O262" i="16"/>
  <c r="A262" i="16"/>
  <c r="M260" i="16"/>
  <c r="M259" i="16"/>
  <c r="M258" i="16"/>
  <c r="M257" i="16"/>
  <c r="M256" i="16"/>
  <c r="M255" i="16"/>
  <c r="M253" i="16"/>
  <c r="M252" i="16"/>
  <c r="C250" i="16"/>
  <c r="C249" i="16"/>
  <c r="L242" i="16"/>
  <c r="B242" i="16"/>
  <c r="L241" i="16"/>
  <c r="B241" i="16"/>
  <c r="Q240" i="16"/>
  <c r="L240" i="16"/>
  <c r="E240" i="16"/>
  <c r="D240" i="16"/>
  <c r="B240" i="16"/>
  <c r="L236" i="16"/>
  <c r="L234" i="16"/>
  <c r="L232" i="16"/>
  <c r="K232" i="16"/>
  <c r="C232" i="16"/>
  <c r="E228" i="16"/>
  <c r="C227" i="16"/>
  <c r="L225" i="16"/>
  <c r="B225" i="16"/>
  <c r="L224" i="16"/>
  <c r="E224" i="16"/>
  <c r="B224" i="16"/>
  <c r="L223" i="16"/>
  <c r="B223" i="16"/>
  <c r="C221" i="16"/>
  <c r="D220" i="16"/>
  <c r="C220" i="16"/>
  <c r="C219" i="16"/>
  <c r="E214" i="16"/>
  <c r="E210" i="16"/>
  <c r="D209" i="16"/>
  <c r="D205" i="16"/>
  <c r="E204" i="16"/>
  <c r="B201" i="16"/>
  <c r="L200" i="16"/>
  <c r="E200" i="16"/>
  <c r="C200" i="16"/>
  <c r="B200" i="16"/>
  <c r="L197" i="16"/>
  <c r="E197" i="16"/>
  <c r="D197" i="16"/>
  <c r="M196" i="16"/>
  <c r="E190" i="16"/>
  <c r="D188" i="16"/>
  <c r="C188" i="16"/>
  <c r="B188" i="16"/>
  <c r="D187" i="16"/>
  <c r="C187" i="16"/>
  <c r="E186" i="16"/>
  <c r="D186" i="16"/>
  <c r="C186" i="16"/>
  <c r="B186" i="16"/>
  <c r="D185" i="16"/>
  <c r="C185" i="16"/>
  <c r="B185" i="16"/>
  <c r="E182" i="16"/>
  <c r="E180" i="16"/>
  <c r="E179" i="16"/>
  <c r="C175" i="16"/>
  <c r="E174" i="16"/>
  <c r="D174" i="16"/>
  <c r="C174" i="16"/>
  <c r="K170" i="16"/>
  <c r="F170" i="16"/>
  <c r="C170" i="16"/>
  <c r="L167" i="16"/>
  <c r="H167" i="16"/>
  <c r="C167" i="16"/>
  <c r="B167" i="16"/>
  <c r="L166" i="16"/>
  <c r="K166" i="16"/>
  <c r="C166" i="16"/>
  <c r="B166" i="16"/>
  <c r="G163" i="16"/>
  <c r="D163" i="16"/>
  <c r="M162" i="16"/>
  <c r="E158" i="16"/>
  <c r="D158" i="16"/>
  <c r="P154" i="16"/>
  <c r="L153" i="16"/>
  <c r="L152" i="16"/>
  <c r="H152" i="16"/>
  <c r="C152" i="16"/>
  <c r="L150" i="16"/>
  <c r="C149" i="16"/>
  <c r="L148" i="16"/>
  <c r="H148" i="16"/>
  <c r="D148" i="16"/>
  <c r="C148" i="16"/>
  <c r="H147" i="16"/>
  <c r="E147" i="16"/>
  <c r="K143" i="16"/>
  <c r="H143" i="16"/>
  <c r="C143" i="16"/>
  <c r="K142" i="16"/>
  <c r="I142" i="16"/>
  <c r="H142" i="16"/>
  <c r="C141" i="16"/>
  <c r="E137" i="16"/>
  <c r="D130" i="16"/>
  <c r="C130" i="16"/>
  <c r="C127" i="16"/>
  <c r="H126" i="16" s="1"/>
  <c r="K126" i="16"/>
  <c r="C126" i="16"/>
  <c r="M123" i="16"/>
  <c r="E120" i="16"/>
  <c r="C120" i="16"/>
  <c r="H119" i="16"/>
  <c r="K118" i="16"/>
  <c r="H118" i="16"/>
  <c r="M116" i="16"/>
  <c r="M115" i="16" s="1"/>
  <c r="M113" i="16"/>
  <c r="K112" i="16"/>
  <c r="H112" i="16"/>
  <c r="F112" i="16"/>
  <c r="C112" i="16"/>
  <c r="K111" i="16"/>
  <c r="M108" i="16"/>
  <c r="E106" i="16"/>
  <c r="D106" i="16"/>
  <c r="K102" i="16"/>
  <c r="F102" i="16"/>
  <c r="C102" i="16"/>
  <c r="P101" i="16"/>
  <c r="L100" i="16"/>
  <c r="H100" i="16"/>
  <c r="B100" i="16"/>
  <c r="L99" i="16"/>
  <c r="K99" i="16"/>
  <c r="B99" i="16"/>
  <c r="L97" i="16"/>
  <c r="H97" i="16"/>
  <c r="D97" i="16"/>
  <c r="H96" i="16"/>
  <c r="E96" i="16"/>
  <c r="L95" i="16"/>
  <c r="P90" i="16"/>
  <c r="C90" i="16"/>
  <c r="L89" i="16"/>
  <c r="J84" i="16"/>
  <c r="H84" i="16"/>
  <c r="E83" i="16"/>
  <c r="D83" i="16"/>
  <c r="E81" i="16"/>
  <c r="D81" i="16"/>
  <c r="C81" i="16"/>
  <c r="K80" i="16"/>
  <c r="I80" i="16"/>
  <c r="C80" i="16"/>
  <c r="K79" i="16"/>
  <c r="E79" i="16"/>
  <c r="L78" i="16"/>
  <c r="E74" i="16"/>
  <c r="D74" i="16"/>
  <c r="P68" i="16"/>
  <c r="K68" i="16"/>
  <c r="F68" i="16"/>
  <c r="C68" i="16"/>
  <c r="H64" i="16"/>
  <c r="K63" i="16"/>
  <c r="G59" i="16"/>
  <c r="E59" i="16"/>
  <c r="K55" i="16"/>
  <c r="D45" i="16"/>
  <c r="L43" i="16"/>
  <c r="L42" i="16"/>
  <c r="E42" i="16"/>
  <c r="D42" i="16"/>
  <c r="C42" i="16"/>
  <c r="L41" i="16"/>
  <c r="C41" i="16"/>
  <c r="L39" i="16"/>
  <c r="C39" i="16"/>
  <c r="L38" i="16"/>
  <c r="B38" i="16"/>
  <c r="L37" i="16"/>
  <c r="E37" i="16"/>
  <c r="C37" i="16"/>
  <c r="L36" i="16"/>
  <c r="D36" i="16"/>
  <c r="C36" i="16"/>
  <c r="B36" i="16"/>
  <c r="L32" i="16"/>
  <c r="C32" i="16"/>
  <c r="L31" i="16"/>
  <c r="L30" i="16"/>
  <c r="C30" i="16"/>
  <c r="L29" i="16"/>
  <c r="C29" i="16"/>
  <c r="D25" i="16"/>
  <c r="E24" i="16"/>
  <c r="O22" i="16"/>
  <c r="K19" i="16"/>
  <c r="G19" i="16"/>
  <c r="F19" i="16"/>
  <c r="L16" i="16"/>
  <c r="E15" i="16"/>
  <c r="C15" i="16"/>
  <c r="A14" i="16"/>
  <c r="D13" i="16"/>
  <c r="C13" i="16"/>
  <c r="K301" i="15"/>
  <c r="K300" i="15"/>
  <c r="L297" i="15"/>
  <c r="A297" i="15"/>
  <c r="M296" i="15"/>
  <c r="C289" i="15"/>
  <c r="C164" i="15" s="1"/>
  <c r="M288" i="15"/>
  <c r="M283" i="15"/>
  <c r="L282" i="15"/>
  <c r="C280" i="15"/>
  <c r="M279" i="15"/>
  <c r="D273" i="15"/>
  <c r="C272" i="15"/>
  <c r="M270" i="15"/>
  <c r="D269" i="15"/>
  <c r="C269" i="15"/>
  <c r="C268" i="15"/>
  <c r="M265" i="15"/>
  <c r="M264" i="15"/>
  <c r="E262" i="15"/>
  <c r="E261" i="15"/>
  <c r="C261" i="15"/>
  <c r="E260" i="15"/>
  <c r="C260" i="15"/>
  <c r="L257" i="15"/>
  <c r="E257" i="15"/>
  <c r="L255" i="15"/>
  <c r="J255" i="15"/>
  <c r="E255" i="15"/>
  <c r="D254" i="15"/>
  <c r="M251" i="15"/>
  <c r="A248" i="15"/>
  <c r="M246" i="15"/>
  <c r="M245" i="15"/>
  <c r="M244" i="15"/>
  <c r="M243" i="15"/>
  <c r="D242" i="15"/>
  <c r="J239" i="15"/>
  <c r="E239" i="15"/>
  <c r="M238" i="15"/>
  <c r="E229" i="15"/>
  <c r="D225" i="15"/>
  <c r="D224" i="15"/>
  <c r="C224" i="15"/>
  <c r="J221" i="15"/>
  <c r="E221" i="15"/>
  <c r="M220" i="15"/>
  <c r="E216" i="15"/>
  <c r="E213" i="15"/>
  <c r="D213" i="15"/>
  <c r="B213" i="15"/>
  <c r="D212" i="15"/>
  <c r="C212" i="15"/>
  <c r="B212" i="15"/>
  <c r="C208" i="15"/>
  <c r="M207" i="15"/>
  <c r="F202" i="15"/>
  <c r="C202" i="15"/>
  <c r="K201" i="15" s="1"/>
  <c r="I201" i="15"/>
  <c r="C201" i="15"/>
  <c r="E198" i="15"/>
  <c r="C198" i="15"/>
  <c r="C197" i="15"/>
  <c r="M196" i="15"/>
  <c r="E192" i="15"/>
  <c r="C189" i="15"/>
  <c r="K186" i="15"/>
  <c r="C186" i="15"/>
  <c r="E178" i="15"/>
  <c r="D178" i="15"/>
  <c r="C175" i="15"/>
  <c r="C174" i="15"/>
  <c r="I171" i="15"/>
  <c r="L170" i="15"/>
  <c r="K170" i="15"/>
  <c r="D167" i="15"/>
  <c r="C167" i="15"/>
  <c r="L166" i="15"/>
  <c r="L165" i="15"/>
  <c r="E158" i="15"/>
  <c r="D158" i="15"/>
  <c r="I152" i="15"/>
  <c r="F152" i="15"/>
  <c r="C152" i="15"/>
  <c r="L149" i="15"/>
  <c r="C149" i="15"/>
  <c r="L148" i="15"/>
  <c r="K148" i="15"/>
  <c r="C148" i="15"/>
  <c r="B148" i="15"/>
  <c r="L147" i="15"/>
  <c r="I147" i="15"/>
  <c r="C147" i="15"/>
  <c r="B147" i="15"/>
  <c r="J143" i="15"/>
  <c r="E143" i="15"/>
  <c r="M142" i="15"/>
  <c r="K138" i="15"/>
  <c r="H138" i="15"/>
  <c r="K137" i="15"/>
  <c r="I137" i="15"/>
  <c r="H137" i="15"/>
  <c r="L136" i="15"/>
  <c r="C136" i="15"/>
  <c r="E133" i="15"/>
  <c r="D133" i="15"/>
  <c r="I128" i="15"/>
  <c r="F128" i="15"/>
  <c r="C128" i="15"/>
  <c r="L125" i="15"/>
  <c r="K125" i="15"/>
  <c r="C125" i="15"/>
  <c r="B125" i="15"/>
  <c r="L124" i="15"/>
  <c r="I124" i="15"/>
  <c r="C124" i="15"/>
  <c r="B124" i="15"/>
  <c r="L121" i="15"/>
  <c r="J121" i="15"/>
  <c r="D121" i="15"/>
  <c r="C121" i="15"/>
  <c r="J120" i="15"/>
  <c r="E120" i="15"/>
  <c r="L119" i="15"/>
  <c r="C119" i="15"/>
  <c r="M118" i="15"/>
  <c r="L113" i="15"/>
  <c r="J112" i="15"/>
  <c r="E112" i="15"/>
  <c r="D110" i="15"/>
  <c r="C110" i="15"/>
  <c r="F109" i="15"/>
  <c r="L108" i="15"/>
  <c r="G108" i="15"/>
  <c r="E108" i="15"/>
  <c r="D107" i="15"/>
  <c r="I104" i="15"/>
  <c r="C104" i="15"/>
  <c r="I103" i="15"/>
  <c r="E103" i="15"/>
  <c r="L102" i="15"/>
  <c r="E99" i="15"/>
  <c r="D99" i="15"/>
  <c r="I94" i="15"/>
  <c r="F94" i="15"/>
  <c r="C94" i="15"/>
  <c r="L91" i="15"/>
  <c r="K91" i="15"/>
  <c r="B91" i="15"/>
  <c r="L90" i="15"/>
  <c r="I90" i="15"/>
  <c r="B90" i="15"/>
  <c r="J87" i="15"/>
  <c r="E87" i="15"/>
  <c r="J81" i="15"/>
  <c r="D81" i="15"/>
  <c r="C81" i="15"/>
  <c r="J76" i="15"/>
  <c r="D76" i="15"/>
  <c r="C75" i="15"/>
  <c r="M74" i="15"/>
  <c r="M73" i="15"/>
  <c r="J70" i="15"/>
  <c r="E70" i="15"/>
  <c r="D70" i="15"/>
  <c r="C70" i="15"/>
  <c r="M69" i="15"/>
  <c r="J66" i="15"/>
  <c r="E66" i="15"/>
  <c r="D66" i="15"/>
  <c r="C66" i="15"/>
  <c r="M65" i="15"/>
  <c r="J62" i="15"/>
  <c r="D62" i="15"/>
  <c r="C62" i="15"/>
  <c r="M61" i="15"/>
  <c r="J58" i="15"/>
  <c r="B58" i="15"/>
  <c r="E57" i="15"/>
  <c r="B57" i="15"/>
  <c r="E54" i="15"/>
  <c r="D54" i="15"/>
  <c r="C53" i="15"/>
  <c r="K50" i="15"/>
  <c r="L39" i="15"/>
  <c r="L38" i="15"/>
  <c r="D38" i="15"/>
  <c r="C38" i="15"/>
  <c r="L35" i="15"/>
  <c r="E35" i="15"/>
  <c r="B35" i="15"/>
  <c r="L34" i="15"/>
  <c r="D34" i="15"/>
  <c r="C34" i="15"/>
  <c r="B34" i="15"/>
  <c r="L31" i="15"/>
  <c r="L30" i="15"/>
  <c r="C30" i="15"/>
  <c r="D27" i="15"/>
  <c r="C27" i="15"/>
  <c r="E26" i="15"/>
  <c r="K21" i="15"/>
  <c r="G21" i="15"/>
  <c r="F21" i="15"/>
  <c r="D19" i="15"/>
  <c r="C19" i="15"/>
  <c r="L18" i="15"/>
  <c r="E17" i="15"/>
  <c r="C17" i="15"/>
  <c r="A16" i="15"/>
  <c r="J14" i="15"/>
  <c r="D14" i="15"/>
  <c r="C13" i="15"/>
  <c r="A280" i="14"/>
  <c r="N276" i="14"/>
  <c r="F275" i="14"/>
  <c r="F274" i="14"/>
  <c r="N273" i="14"/>
  <c r="N272" i="14"/>
  <c r="A272" i="14"/>
  <c r="N271" i="14"/>
  <c r="P269" i="14"/>
  <c r="P268" i="14"/>
  <c r="E266" i="14"/>
  <c r="C266" i="14"/>
  <c r="C265" i="14"/>
  <c r="C261" i="14"/>
  <c r="N260" i="14"/>
  <c r="E252" i="14"/>
  <c r="C252" i="14"/>
  <c r="C251" i="14"/>
  <c r="N248" i="14"/>
  <c r="D247" i="14"/>
  <c r="C247" i="14"/>
  <c r="C246" i="14"/>
  <c r="C243" i="14"/>
  <c r="N242" i="14"/>
  <c r="M241" i="14"/>
  <c r="F239" i="14"/>
  <c r="N238" i="14"/>
  <c r="N236" i="14"/>
  <c r="C234" i="14"/>
  <c r="N233" i="14"/>
  <c r="D229" i="14"/>
  <c r="D228" i="14"/>
  <c r="B224" i="14"/>
  <c r="B223" i="14"/>
  <c r="E220" i="14"/>
  <c r="D216" i="14"/>
  <c r="E215" i="14"/>
  <c r="D212" i="14"/>
  <c r="C212" i="14"/>
  <c r="B208" i="14"/>
  <c r="E207" i="14"/>
  <c r="C207" i="14"/>
  <c r="B207" i="14"/>
  <c r="E204" i="14"/>
  <c r="D204" i="14"/>
  <c r="C204" i="14"/>
  <c r="N203" i="14"/>
  <c r="D199" i="14"/>
  <c r="N198" i="14"/>
  <c r="N197" i="14"/>
  <c r="E193" i="14"/>
  <c r="H192" i="14"/>
  <c r="N191" i="14"/>
  <c r="M190" i="14"/>
  <c r="H190" i="14"/>
  <c r="D190" i="14"/>
  <c r="E189" i="14"/>
  <c r="M188" i="14"/>
  <c r="N186" i="14"/>
  <c r="A183" i="14"/>
  <c r="D181" i="14"/>
  <c r="N180" i="14"/>
  <c r="N179" i="14"/>
  <c r="C178" i="14"/>
  <c r="E177" i="14"/>
  <c r="N176" i="14"/>
  <c r="N172" i="14"/>
  <c r="C171" i="14"/>
  <c r="D170" i="14"/>
  <c r="C165" i="14"/>
  <c r="L164" i="14"/>
  <c r="F164" i="14"/>
  <c r="E161" i="14"/>
  <c r="C160" i="14"/>
  <c r="D159" i="14"/>
  <c r="L155" i="14"/>
  <c r="I155" i="14"/>
  <c r="C155" i="14"/>
  <c r="M154" i="14"/>
  <c r="L154" i="14"/>
  <c r="C154" i="14"/>
  <c r="N153" i="14"/>
  <c r="P151" i="14"/>
  <c r="E149" i="14"/>
  <c r="C146" i="14"/>
  <c r="L143" i="14"/>
  <c r="C143" i="14"/>
  <c r="E135" i="14"/>
  <c r="D135" i="14"/>
  <c r="C132" i="14"/>
  <c r="L131" i="14"/>
  <c r="C131" i="14"/>
  <c r="I128" i="14"/>
  <c r="M127" i="14"/>
  <c r="L127" i="14"/>
  <c r="D124" i="14"/>
  <c r="C124" i="14"/>
  <c r="M123" i="14"/>
  <c r="M122" i="14"/>
  <c r="C121" i="14"/>
  <c r="L114" i="14"/>
  <c r="I114" i="14"/>
  <c r="M111" i="14"/>
  <c r="L111" i="14"/>
  <c r="C111" i="14"/>
  <c r="B111" i="14"/>
  <c r="M108" i="14"/>
  <c r="H108" i="14"/>
  <c r="D108" i="14"/>
  <c r="C108" i="14"/>
  <c r="H107" i="14"/>
  <c r="E107" i="14"/>
  <c r="L103" i="14"/>
  <c r="I103" i="14"/>
  <c r="L102" i="14"/>
  <c r="J102" i="14"/>
  <c r="I102" i="14"/>
  <c r="M101" i="14"/>
  <c r="C101" i="14"/>
  <c r="E97" i="14"/>
  <c r="D97" i="14"/>
  <c r="L93" i="14"/>
  <c r="I93" i="14"/>
  <c r="C93" i="14"/>
  <c r="F90" i="14"/>
  <c r="B90" i="14"/>
  <c r="M89" i="14"/>
  <c r="L89" i="14"/>
  <c r="B89" i="14"/>
  <c r="H86" i="14"/>
  <c r="D86" i="14"/>
  <c r="M85" i="14"/>
  <c r="H85" i="14"/>
  <c r="E85" i="14"/>
  <c r="M84" i="14"/>
  <c r="L79" i="14"/>
  <c r="I79" i="14"/>
  <c r="M78" i="14"/>
  <c r="L78" i="14"/>
  <c r="J78" i="14"/>
  <c r="E78" i="14"/>
  <c r="N77" i="14"/>
  <c r="L74" i="14"/>
  <c r="I74" i="14"/>
  <c r="C74" i="14"/>
  <c r="L73" i="14"/>
  <c r="M72" i="14"/>
  <c r="E72" i="14"/>
  <c r="E64" i="14"/>
  <c r="D64" i="14"/>
  <c r="L59" i="14"/>
  <c r="I59" i="14"/>
  <c r="C59" i="14"/>
  <c r="F56" i="14"/>
  <c r="L55" i="14"/>
  <c r="H52" i="14"/>
  <c r="E52" i="14"/>
  <c r="L48" i="14"/>
  <c r="D41" i="14"/>
  <c r="C41" i="14"/>
  <c r="M33" i="14"/>
  <c r="E33" i="14"/>
  <c r="C33" i="14"/>
  <c r="B33" i="14"/>
  <c r="M32" i="14"/>
  <c r="D32" i="14"/>
  <c r="C32" i="14"/>
  <c r="B32" i="14"/>
  <c r="M28" i="14"/>
  <c r="C28" i="14"/>
  <c r="B28" i="14"/>
  <c r="M27" i="14"/>
  <c r="C27" i="14"/>
  <c r="B27" i="14"/>
  <c r="D24" i="14"/>
  <c r="E23" i="14"/>
  <c r="L18" i="14"/>
  <c r="G18" i="14"/>
  <c r="F18" i="14"/>
  <c r="D16" i="14"/>
  <c r="C16" i="14"/>
  <c r="M15" i="14"/>
  <c r="E14" i="14"/>
  <c r="C14" i="14"/>
  <c r="A13" i="14"/>
  <c r="D11" i="14"/>
  <c r="C10" i="14"/>
  <c r="K344" i="13"/>
  <c r="M343" i="13"/>
  <c r="K341" i="13"/>
  <c r="L340" i="13"/>
  <c r="M339" i="13"/>
  <c r="M338" i="13"/>
  <c r="D336" i="13"/>
  <c r="C336" i="13"/>
  <c r="E335" i="13"/>
  <c r="K330" i="13"/>
  <c r="F330" i="13"/>
  <c r="C330" i="13"/>
  <c r="K329" i="13"/>
  <c r="E329" i="13"/>
  <c r="C326" i="13"/>
  <c r="K325" i="13"/>
  <c r="F325" i="13"/>
  <c r="L324" i="13"/>
  <c r="M323" i="13"/>
  <c r="M321" i="13"/>
  <c r="M320" i="13"/>
  <c r="M318" i="13"/>
  <c r="M317" i="13"/>
  <c r="M316" i="13"/>
  <c r="M315" i="13"/>
  <c r="M314" i="13"/>
  <c r="M313" i="13"/>
  <c r="E312" i="13"/>
  <c r="M311" i="13"/>
  <c r="A311" i="13"/>
  <c r="M310" i="13"/>
  <c r="L306" i="13"/>
  <c r="C302" i="13"/>
  <c r="D301" i="13"/>
  <c r="K297" i="13" s="1"/>
  <c r="M300" i="13"/>
  <c r="L299" i="13"/>
  <c r="M296" i="13"/>
  <c r="D290" i="13"/>
  <c r="C289" i="13"/>
  <c r="L287" i="13"/>
  <c r="E287" i="13"/>
  <c r="D287" i="13"/>
  <c r="C287" i="13"/>
  <c r="J285" i="13"/>
  <c r="D285" i="13"/>
  <c r="L284" i="13"/>
  <c r="C284" i="13"/>
  <c r="M283" i="13"/>
  <c r="M278" i="13"/>
  <c r="M277" i="13"/>
  <c r="M276" i="13"/>
  <c r="B268" i="13"/>
  <c r="B267" i="13"/>
  <c r="E264" i="13"/>
  <c r="D263" i="13"/>
  <c r="E260" i="13"/>
  <c r="D260" i="13"/>
  <c r="B256" i="13"/>
  <c r="E255" i="13"/>
  <c r="B255" i="13"/>
  <c r="E252" i="13"/>
  <c r="D252" i="13"/>
  <c r="C252" i="13"/>
  <c r="C251" i="13"/>
  <c r="J246" i="13"/>
  <c r="L245" i="13"/>
  <c r="M242" i="13"/>
  <c r="M241" i="13"/>
  <c r="L239" i="13"/>
  <c r="E239" i="13"/>
  <c r="C238" i="13"/>
  <c r="L237" i="13"/>
  <c r="K237" i="13"/>
  <c r="E237" i="13"/>
  <c r="K236" i="13"/>
  <c r="D236" i="13"/>
  <c r="L235" i="13"/>
  <c r="J235" i="13"/>
  <c r="E235" i="13"/>
  <c r="D234" i="13"/>
  <c r="C231" i="13"/>
  <c r="L230" i="13"/>
  <c r="M229" i="13"/>
  <c r="A224" i="13"/>
  <c r="M222" i="13"/>
  <c r="M221" i="13"/>
  <c r="M220" i="13"/>
  <c r="D219" i="13"/>
  <c r="D218" i="13"/>
  <c r="C217" i="13"/>
  <c r="C216" i="13"/>
  <c r="E209" i="13"/>
  <c r="D207" i="13"/>
  <c r="C207" i="13"/>
  <c r="B207" i="13"/>
  <c r="D206" i="13"/>
  <c r="C206" i="13"/>
  <c r="E205" i="13"/>
  <c r="D205" i="13"/>
  <c r="C205" i="13"/>
  <c r="B205" i="13"/>
  <c r="D204" i="13"/>
  <c r="C204" i="13"/>
  <c r="B204" i="13"/>
  <c r="E199" i="13"/>
  <c r="E198" i="13"/>
  <c r="E196" i="13"/>
  <c r="C195" i="13"/>
  <c r="F189" i="13"/>
  <c r="C189" i="13"/>
  <c r="K188" i="13"/>
  <c r="F188" i="13"/>
  <c r="C188" i="13"/>
  <c r="E185" i="13"/>
  <c r="C185" i="13"/>
  <c r="C184" i="13"/>
  <c r="M183" i="13"/>
  <c r="K179" i="13"/>
  <c r="E179" i="13"/>
  <c r="I176" i="13"/>
  <c r="C176" i="13"/>
  <c r="I173" i="13"/>
  <c r="C173" i="13"/>
  <c r="K170" i="13"/>
  <c r="J170" i="13"/>
  <c r="C170" i="13"/>
  <c r="E164" i="13"/>
  <c r="D164" i="13"/>
  <c r="K160" i="13"/>
  <c r="C160" i="13"/>
  <c r="I157" i="13"/>
  <c r="F157" i="13"/>
  <c r="L156" i="13"/>
  <c r="K156" i="13"/>
  <c r="D153" i="13"/>
  <c r="C153" i="13"/>
  <c r="L151" i="13"/>
  <c r="C145" i="13"/>
  <c r="C144" i="13"/>
  <c r="L142" i="13"/>
  <c r="C142" i="13"/>
  <c r="M141" i="13"/>
  <c r="D138" i="13"/>
  <c r="C138" i="13"/>
  <c r="C137" i="13"/>
  <c r="L136" i="13"/>
  <c r="C136" i="13"/>
  <c r="M135" i="13"/>
  <c r="L129" i="13"/>
  <c r="J129" i="13"/>
  <c r="D129" i="13"/>
  <c r="E128" i="13"/>
  <c r="K124" i="13"/>
  <c r="H124" i="13"/>
  <c r="K123" i="13"/>
  <c r="I123" i="13"/>
  <c r="H123" i="13"/>
  <c r="L122" i="13"/>
  <c r="C122" i="13"/>
  <c r="E118" i="13"/>
  <c r="D118" i="13"/>
  <c r="F115" i="13"/>
  <c r="I114" i="13"/>
  <c r="C114" i="13"/>
  <c r="L111" i="13"/>
  <c r="K111" i="13"/>
  <c r="C111" i="13"/>
  <c r="B111" i="13"/>
  <c r="L110" i="13"/>
  <c r="I110" i="13"/>
  <c r="B110" i="13"/>
  <c r="L107" i="13"/>
  <c r="D107" i="13"/>
  <c r="C107" i="13"/>
  <c r="J106" i="13"/>
  <c r="E106" i="13"/>
  <c r="L105" i="13"/>
  <c r="K100" i="13"/>
  <c r="H100" i="13"/>
  <c r="C100" i="13"/>
  <c r="L99" i="13"/>
  <c r="K99" i="13"/>
  <c r="D96" i="13"/>
  <c r="C96" i="13"/>
  <c r="I94" i="13"/>
  <c r="F94" i="13"/>
  <c r="G93" i="13"/>
  <c r="E93" i="13"/>
  <c r="D93" i="13"/>
  <c r="E91" i="13"/>
  <c r="K90" i="13"/>
  <c r="H90" i="13"/>
  <c r="C90" i="13"/>
  <c r="K89" i="13"/>
  <c r="E89" i="13"/>
  <c r="L88" i="13"/>
  <c r="E83" i="13"/>
  <c r="D83" i="13"/>
  <c r="I76" i="13"/>
  <c r="F76" i="13"/>
  <c r="C76" i="13"/>
  <c r="K71" i="13"/>
  <c r="I70" i="13"/>
  <c r="J65" i="13"/>
  <c r="E65" i="13"/>
  <c r="K61" i="13"/>
  <c r="B46" i="13"/>
  <c r="B45" i="13"/>
  <c r="C42" i="13"/>
  <c r="C41" i="13"/>
  <c r="L40" i="13"/>
  <c r="C40" i="13"/>
  <c r="L39" i="13"/>
  <c r="D39" i="13"/>
  <c r="C39" i="13"/>
  <c r="C35" i="13"/>
  <c r="C34" i="13"/>
  <c r="L33" i="13"/>
  <c r="C33" i="13"/>
  <c r="L32" i="13"/>
  <c r="C32" i="13"/>
  <c r="L29" i="13"/>
  <c r="L28" i="13"/>
  <c r="D27" i="13"/>
  <c r="E26" i="13"/>
  <c r="K21" i="13"/>
  <c r="G21" i="13"/>
  <c r="F21" i="13"/>
  <c r="L18" i="13"/>
  <c r="E17" i="13"/>
  <c r="C17" i="13"/>
  <c r="A16" i="13"/>
  <c r="J14" i="13"/>
  <c r="D14" i="13"/>
  <c r="C13" i="13"/>
  <c r="R29" i="12"/>
  <c r="E26" i="12"/>
  <c r="E18" i="12"/>
  <c r="D18" i="12"/>
  <c r="C18" i="12"/>
  <c r="D17" i="12"/>
  <c r="C17" i="12"/>
  <c r="A12" i="12"/>
  <c r="N10" i="12"/>
  <c r="N9" i="12"/>
  <c r="M450" i="11"/>
  <c r="B447" i="11"/>
  <c r="E446" i="11"/>
  <c r="B445" i="11"/>
  <c r="D442" i="11"/>
  <c r="C442" i="11"/>
  <c r="C440" i="11"/>
  <c r="L439" i="11"/>
  <c r="D439" i="11"/>
  <c r="C439" i="11"/>
  <c r="B439" i="11"/>
  <c r="C438" i="11"/>
  <c r="B438" i="11"/>
  <c r="H436" i="11"/>
  <c r="E436" i="11"/>
  <c r="C436" i="11"/>
  <c r="C435" i="11"/>
  <c r="M434" i="11"/>
  <c r="G429" i="11"/>
  <c r="F429" i="11"/>
  <c r="C429" i="11"/>
  <c r="G428" i="11"/>
  <c r="F428" i="11"/>
  <c r="L427" i="11"/>
  <c r="F427" i="11"/>
  <c r="C427" i="11"/>
  <c r="F426" i="11"/>
  <c r="L424" i="11"/>
  <c r="H424" i="11"/>
  <c r="E424" i="11"/>
  <c r="C424" i="11"/>
  <c r="H423" i="11"/>
  <c r="D423" i="11"/>
  <c r="L422" i="11"/>
  <c r="C422" i="11"/>
  <c r="M421" i="11"/>
  <c r="E415" i="11"/>
  <c r="D415" i="11"/>
  <c r="G411" i="11"/>
  <c r="F411" i="11"/>
  <c r="C411" i="11"/>
  <c r="G405" i="11"/>
  <c r="F405" i="11"/>
  <c r="F401" i="11"/>
  <c r="C401" i="11"/>
  <c r="L397" i="11"/>
  <c r="F397" i="11"/>
  <c r="B397" i="11"/>
  <c r="L394" i="11"/>
  <c r="H394" i="11"/>
  <c r="E394" i="11"/>
  <c r="C394" i="11"/>
  <c r="H393" i="11"/>
  <c r="D393" i="11"/>
  <c r="L392" i="11"/>
  <c r="C392" i="11"/>
  <c r="M391" i="11"/>
  <c r="M388" i="11"/>
  <c r="E386" i="11"/>
  <c r="K385" i="11"/>
  <c r="G385" i="11"/>
  <c r="F385" i="11"/>
  <c r="C385" i="11"/>
  <c r="K384" i="11"/>
  <c r="G384" i="11"/>
  <c r="F384" i="11"/>
  <c r="L383" i="11"/>
  <c r="F383" i="11"/>
  <c r="M382" i="11"/>
  <c r="E378" i="11"/>
  <c r="D378" i="11"/>
  <c r="G368" i="11"/>
  <c r="F368" i="11"/>
  <c r="C368" i="11"/>
  <c r="H365" i="11"/>
  <c r="C365" i="11"/>
  <c r="G364" i="11"/>
  <c r="F364" i="11"/>
  <c r="K361" i="11"/>
  <c r="I361" i="11"/>
  <c r="F360" i="11"/>
  <c r="K357" i="11"/>
  <c r="I357" i="11"/>
  <c r="F356" i="11"/>
  <c r="E353" i="11"/>
  <c r="E349" i="11"/>
  <c r="D348" i="11"/>
  <c r="L345" i="11"/>
  <c r="E345" i="11"/>
  <c r="D345" i="11"/>
  <c r="C345" i="11"/>
  <c r="B345" i="11"/>
  <c r="L344" i="11"/>
  <c r="C344" i="11"/>
  <c r="B344" i="11"/>
  <c r="E341" i="11"/>
  <c r="D341" i="11"/>
  <c r="M340" i="11"/>
  <c r="E336" i="11"/>
  <c r="K335" i="11"/>
  <c r="G335" i="11"/>
  <c r="F335" i="11"/>
  <c r="C335" i="11"/>
  <c r="K334" i="11"/>
  <c r="G334" i="11"/>
  <c r="F334" i="11"/>
  <c r="L333" i="11"/>
  <c r="D332" i="11"/>
  <c r="C332" i="11"/>
  <c r="M331" i="11"/>
  <c r="L330" i="11"/>
  <c r="M329" i="11"/>
  <c r="A328" i="11"/>
  <c r="H326" i="11"/>
  <c r="M325" i="11"/>
  <c r="D318" i="11"/>
  <c r="C318" i="11"/>
  <c r="L317" i="11"/>
  <c r="C317" i="11"/>
  <c r="N316" i="11"/>
  <c r="E314" i="11"/>
  <c r="D314" i="11"/>
  <c r="L313" i="11"/>
  <c r="I313" i="11"/>
  <c r="C313" i="11"/>
  <c r="L312" i="11"/>
  <c r="M310" i="11"/>
  <c r="C310" i="11"/>
  <c r="N309" i="11"/>
  <c r="E306" i="11"/>
  <c r="D306" i="11"/>
  <c r="L305" i="11"/>
  <c r="I305" i="11"/>
  <c r="C305" i="11"/>
  <c r="L304" i="11"/>
  <c r="M302" i="11"/>
  <c r="C302" i="11"/>
  <c r="N301" i="11"/>
  <c r="E298" i="11"/>
  <c r="D298" i="11"/>
  <c r="L297" i="11"/>
  <c r="I297" i="11"/>
  <c r="F297" i="11"/>
  <c r="C297" i="11"/>
  <c r="M296" i="11"/>
  <c r="L296" i="11"/>
  <c r="N295" i="11"/>
  <c r="D293" i="11"/>
  <c r="L291" i="11"/>
  <c r="I291" i="11"/>
  <c r="C291" i="11"/>
  <c r="L290" i="11"/>
  <c r="D285" i="11"/>
  <c r="C284" i="11"/>
  <c r="N283" i="11"/>
  <c r="A282" i="11"/>
  <c r="N281" i="11"/>
  <c r="N261" i="11"/>
  <c r="N260" i="11"/>
  <c r="H257" i="11"/>
  <c r="E257" i="11"/>
  <c r="E248" i="11"/>
  <c r="D248" i="11"/>
  <c r="C248" i="11"/>
  <c r="L247" i="11"/>
  <c r="C247" i="11"/>
  <c r="L246" i="11"/>
  <c r="F246" i="11"/>
  <c r="C246" i="11"/>
  <c r="N244" i="11"/>
  <c r="N243" i="11"/>
  <c r="C238" i="11"/>
  <c r="E237" i="11"/>
  <c r="M234" i="11"/>
  <c r="F234" i="11"/>
  <c r="C234" i="11"/>
  <c r="B234" i="11"/>
  <c r="L233" i="11"/>
  <c r="B233" i="11"/>
  <c r="N229" i="11"/>
  <c r="K223" i="11"/>
  <c r="M222" i="11"/>
  <c r="L222" i="11"/>
  <c r="D220" i="11"/>
  <c r="L217" i="11"/>
  <c r="E216" i="11"/>
  <c r="E212" i="11"/>
  <c r="C212" i="11"/>
  <c r="L208" i="11"/>
  <c r="I208" i="11"/>
  <c r="C208" i="11"/>
  <c r="F205" i="11"/>
  <c r="B205" i="11"/>
  <c r="M204" i="11"/>
  <c r="L204" i="11"/>
  <c r="J204" i="11"/>
  <c r="C204" i="11"/>
  <c r="B204" i="11"/>
  <c r="M201" i="11"/>
  <c r="E201" i="11"/>
  <c r="N200" i="11"/>
  <c r="E197" i="11"/>
  <c r="L196" i="11"/>
  <c r="I196" i="11"/>
  <c r="C196" i="11"/>
  <c r="M195" i="11"/>
  <c r="L195" i="11"/>
  <c r="E191" i="11"/>
  <c r="A189" i="11"/>
  <c r="H187" i="11"/>
  <c r="D187" i="11"/>
  <c r="C186" i="11"/>
  <c r="E182" i="11"/>
  <c r="D182" i="11"/>
  <c r="C182" i="11"/>
  <c r="H180" i="11"/>
  <c r="C180" i="11"/>
  <c r="F179" i="11" s="1"/>
  <c r="L179" i="11"/>
  <c r="C179" i="11"/>
  <c r="C177" i="11"/>
  <c r="E174" i="11"/>
  <c r="D174" i="11"/>
  <c r="L173" i="11"/>
  <c r="I173" i="11"/>
  <c r="C173" i="11"/>
  <c r="L172" i="11"/>
  <c r="E168" i="11"/>
  <c r="D168" i="11"/>
  <c r="L167" i="11"/>
  <c r="I167" i="11"/>
  <c r="C167" i="11"/>
  <c r="L166" i="11"/>
  <c r="M164" i="11"/>
  <c r="M162" i="11"/>
  <c r="D162" i="11"/>
  <c r="C162" i="11"/>
  <c r="L161" i="11"/>
  <c r="I161" i="11"/>
  <c r="C161" i="11"/>
  <c r="M160" i="11"/>
  <c r="L160" i="11"/>
  <c r="E160" i="11"/>
  <c r="N159" i="11"/>
  <c r="E157" i="11"/>
  <c r="D157" i="11"/>
  <c r="L156" i="11"/>
  <c r="I156" i="11"/>
  <c r="C156" i="11"/>
  <c r="L155" i="11"/>
  <c r="D152" i="11"/>
  <c r="D150" i="11"/>
  <c r="C150" i="11"/>
  <c r="E149" i="11"/>
  <c r="A148" i="11"/>
  <c r="M147" i="11"/>
  <c r="C147" i="11"/>
  <c r="D143" i="11"/>
  <c r="C143" i="11"/>
  <c r="H140" i="11"/>
  <c r="E140" i="11"/>
  <c r="N139" i="11"/>
  <c r="H136" i="11"/>
  <c r="E136" i="11"/>
  <c r="N135" i="11"/>
  <c r="H132" i="11"/>
  <c r="H128" i="11"/>
  <c r="E128" i="11"/>
  <c r="D127" i="11"/>
  <c r="C126" i="11"/>
  <c r="E123" i="11"/>
  <c r="E119" i="11"/>
  <c r="D118" i="11"/>
  <c r="C118" i="11"/>
  <c r="D115" i="11"/>
  <c r="C115" i="11"/>
  <c r="B111" i="11"/>
  <c r="E110" i="11"/>
  <c r="B110" i="11"/>
  <c r="E107" i="11"/>
  <c r="D107" i="11"/>
  <c r="C106" i="11"/>
  <c r="D103" i="11"/>
  <c r="C103" i="11"/>
  <c r="D102" i="11"/>
  <c r="C102" i="11"/>
  <c r="E100" i="11"/>
  <c r="H96" i="11"/>
  <c r="B96" i="11"/>
  <c r="L95" i="11"/>
  <c r="B95" i="11"/>
  <c r="H92" i="11"/>
  <c r="E92" i="11"/>
  <c r="L83" i="11"/>
  <c r="I83" i="11"/>
  <c r="C83" i="11"/>
  <c r="L82" i="11"/>
  <c r="D77" i="11"/>
  <c r="L73" i="11"/>
  <c r="I73" i="11"/>
  <c r="C73" i="11"/>
  <c r="F70" i="11"/>
  <c r="L69" i="11"/>
  <c r="H66" i="11"/>
  <c r="E66" i="11"/>
  <c r="L62" i="11"/>
  <c r="E55" i="11"/>
  <c r="E51" i="11"/>
  <c r="M47" i="11"/>
  <c r="E47" i="11"/>
  <c r="C47" i="11"/>
  <c r="B47" i="11"/>
  <c r="M46" i="11"/>
  <c r="D46" i="11"/>
  <c r="C46" i="11"/>
  <c r="B46" i="11"/>
  <c r="M41" i="11"/>
  <c r="C41" i="11"/>
  <c r="M40" i="11"/>
  <c r="C40" i="11"/>
  <c r="D37" i="11"/>
  <c r="E36" i="11"/>
  <c r="M31" i="11"/>
  <c r="E31" i="11"/>
  <c r="E27" i="11"/>
  <c r="M23" i="11"/>
  <c r="E23" i="11"/>
  <c r="C23" i="11"/>
  <c r="B23" i="11"/>
  <c r="M22" i="11"/>
  <c r="D22" i="11"/>
  <c r="C22" i="11"/>
  <c r="B22" i="11"/>
  <c r="M18" i="11"/>
  <c r="C18" i="11"/>
  <c r="M17" i="11"/>
  <c r="C17" i="11"/>
  <c r="D14" i="11"/>
  <c r="E13" i="11"/>
  <c r="A11" i="11"/>
  <c r="H9" i="11"/>
  <c r="D9" i="11"/>
  <c r="C8" i="11"/>
  <c r="D166" i="10"/>
  <c r="C166" i="10"/>
  <c r="H163" i="10"/>
  <c r="E163" i="10"/>
  <c r="N162" i="10"/>
  <c r="H159" i="10"/>
  <c r="E159" i="10"/>
  <c r="N158" i="10"/>
  <c r="H155" i="10"/>
  <c r="H150" i="10"/>
  <c r="D149" i="10"/>
  <c r="C148" i="10"/>
  <c r="E144" i="10"/>
  <c r="E139" i="10"/>
  <c r="D138" i="10"/>
  <c r="C138" i="10"/>
  <c r="D134" i="10"/>
  <c r="C134" i="10"/>
  <c r="B130" i="10"/>
  <c r="B129" i="10"/>
  <c r="M128" i="10"/>
  <c r="E128" i="10"/>
  <c r="B128" i="10"/>
  <c r="M124" i="10"/>
  <c r="E124" i="10"/>
  <c r="D124" i="10"/>
  <c r="C123" i="10"/>
  <c r="N120" i="10"/>
  <c r="L118" i="10"/>
  <c r="H118" i="10"/>
  <c r="L117" i="10"/>
  <c r="H114" i="10"/>
  <c r="E114" i="10"/>
  <c r="C114" i="10"/>
  <c r="C111" i="10"/>
  <c r="D110" i="10"/>
  <c r="N108" i="10"/>
  <c r="E105" i="10"/>
  <c r="D105" i="10"/>
  <c r="L100" i="10"/>
  <c r="I100" i="10"/>
  <c r="C100" i="10"/>
  <c r="M97" i="10"/>
  <c r="F97" i="10"/>
  <c r="C97" i="10"/>
  <c r="B97" i="10"/>
  <c r="M96" i="10"/>
  <c r="L96" i="10"/>
  <c r="B96" i="10"/>
  <c r="H93" i="10"/>
  <c r="E92" i="10"/>
  <c r="C92" i="10"/>
  <c r="E88" i="10"/>
  <c r="D88" i="10"/>
  <c r="L83" i="10"/>
  <c r="I83" i="10"/>
  <c r="C83" i="10"/>
  <c r="F80" i="10"/>
  <c r="C80" i="10"/>
  <c r="L79" i="10"/>
  <c r="H76" i="10"/>
  <c r="E76" i="10"/>
  <c r="B76" i="10"/>
  <c r="C75" i="10"/>
  <c r="B75" i="10"/>
  <c r="L72" i="10"/>
  <c r="C70" i="10"/>
  <c r="C69" i="10"/>
  <c r="M68" i="10"/>
  <c r="C68" i="10"/>
  <c r="M67" i="10"/>
  <c r="C67" i="10"/>
  <c r="C64" i="10"/>
  <c r="B64" i="10"/>
  <c r="E63" i="10"/>
  <c r="C63" i="10"/>
  <c r="B63" i="10"/>
  <c r="M59" i="10"/>
  <c r="C59" i="10"/>
  <c r="M58" i="10"/>
  <c r="C58" i="10"/>
  <c r="E55" i="10"/>
  <c r="D55" i="10"/>
  <c r="N54" i="10"/>
  <c r="M49" i="10"/>
  <c r="E49" i="10"/>
  <c r="M41" i="10"/>
  <c r="C41" i="10"/>
  <c r="B41" i="10"/>
  <c r="M40" i="10"/>
  <c r="D40" i="10"/>
  <c r="C40" i="10"/>
  <c r="B40" i="10"/>
  <c r="M36" i="10"/>
  <c r="C36" i="10"/>
  <c r="M35" i="10"/>
  <c r="C35" i="10"/>
  <c r="D32" i="10"/>
  <c r="E31" i="10"/>
  <c r="A29" i="10"/>
  <c r="L27" i="10"/>
  <c r="I27" i="10"/>
  <c r="C27" i="10"/>
  <c r="L26" i="10"/>
  <c r="E26" i="10"/>
  <c r="E22" i="10"/>
  <c r="K21" i="10"/>
  <c r="G21" i="10"/>
  <c r="F21" i="10"/>
  <c r="D19" i="10"/>
  <c r="C19" i="10"/>
  <c r="L17" i="10"/>
  <c r="A16" i="10"/>
  <c r="H14" i="10"/>
  <c r="D14" i="10"/>
  <c r="C13" i="10"/>
  <c r="N280" i="9"/>
  <c r="F279" i="9"/>
  <c r="F278" i="9"/>
  <c r="N277" i="9"/>
  <c r="N276" i="9"/>
  <c r="A276" i="9"/>
  <c r="N275" i="9"/>
  <c r="M273" i="9"/>
  <c r="N272" i="9"/>
  <c r="M270" i="9"/>
  <c r="D270" i="9"/>
  <c r="B270" i="9"/>
  <c r="M269" i="9"/>
  <c r="B269" i="9"/>
  <c r="C265" i="9"/>
  <c r="C242" i="9" s="1"/>
  <c r="E256" i="9"/>
  <c r="C256" i="9"/>
  <c r="C255" i="9"/>
  <c r="H251" i="9"/>
  <c r="D251" i="9"/>
  <c r="C251" i="9"/>
  <c r="N249" i="9"/>
  <c r="C247" i="9"/>
  <c r="D246" i="9"/>
  <c r="F242" i="9" s="1"/>
  <c r="N245" i="9"/>
  <c r="M244" i="9"/>
  <c r="N241" i="9"/>
  <c r="E157" i="7" s="1"/>
  <c r="W157" i="7" s="1"/>
  <c r="Y157" i="7" s="1"/>
  <c r="N239" i="9"/>
  <c r="E237" i="9"/>
  <c r="B230" i="9"/>
  <c r="B228" i="9"/>
  <c r="H222" i="9"/>
  <c r="E222" i="9"/>
  <c r="E216" i="9"/>
  <c r="D215" i="9"/>
  <c r="E210" i="9"/>
  <c r="D210" i="9"/>
  <c r="D204" i="9"/>
  <c r="H203" i="9"/>
  <c r="H198" i="9"/>
  <c r="H192" i="9" s="1"/>
  <c r="C198" i="9"/>
  <c r="E197" i="9"/>
  <c r="C197" i="9"/>
  <c r="C194" i="9"/>
  <c r="C193" i="9"/>
  <c r="E192" i="9"/>
  <c r="D192" i="9"/>
  <c r="H191" i="9"/>
  <c r="D187" i="9"/>
  <c r="N186" i="9"/>
  <c r="N185" i="9"/>
  <c r="A185" i="9"/>
  <c r="M183" i="9"/>
  <c r="E183" i="9"/>
  <c r="M182" i="9"/>
  <c r="M181" i="9"/>
  <c r="E181" i="9"/>
  <c r="E180" i="9"/>
  <c r="M179" i="9"/>
  <c r="A174" i="9"/>
  <c r="D172" i="9"/>
  <c r="N171" i="9"/>
  <c r="N170" i="9"/>
  <c r="H169" i="9"/>
  <c r="N166" i="9"/>
  <c r="D165" i="9"/>
  <c r="C165" i="9"/>
  <c r="N164" i="9"/>
  <c r="M161" i="9"/>
  <c r="F161" i="9"/>
  <c r="E161" i="9"/>
  <c r="D161" i="9"/>
  <c r="C161" i="9"/>
  <c r="C158" i="9"/>
  <c r="M155" i="9"/>
  <c r="L155" i="9"/>
  <c r="E155" i="9"/>
  <c r="M152" i="9"/>
  <c r="H152" i="9"/>
  <c r="F152" i="9"/>
  <c r="E152" i="9"/>
  <c r="N151" i="9"/>
  <c r="E146" i="9"/>
  <c r="D146" i="9"/>
  <c r="C143" i="9"/>
  <c r="C142" i="9"/>
  <c r="J139" i="9"/>
  <c r="F139" i="9"/>
  <c r="M138" i="9"/>
  <c r="L138" i="9"/>
  <c r="D135" i="9"/>
  <c r="C135" i="9"/>
  <c r="M133" i="9"/>
  <c r="L127" i="9"/>
  <c r="I127" i="9"/>
  <c r="C127" i="9"/>
  <c r="M126" i="9"/>
  <c r="L126" i="9"/>
  <c r="C126" i="9"/>
  <c r="N125" i="9"/>
  <c r="L119" i="9"/>
  <c r="I119" i="9"/>
  <c r="M116" i="9"/>
  <c r="L116" i="9"/>
  <c r="C116" i="9"/>
  <c r="B116" i="9"/>
  <c r="M113" i="9"/>
  <c r="H113" i="9"/>
  <c r="D113" i="9"/>
  <c r="C113" i="9"/>
  <c r="H112" i="9"/>
  <c r="E112" i="9"/>
  <c r="L108" i="9"/>
  <c r="I108" i="9"/>
  <c r="L107" i="9"/>
  <c r="J107" i="9"/>
  <c r="I107" i="9"/>
  <c r="C106" i="9"/>
  <c r="E102" i="9"/>
  <c r="D102" i="9"/>
  <c r="L98" i="9"/>
  <c r="I98" i="9"/>
  <c r="C98" i="9"/>
  <c r="F95" i="9"/>
  <c r="B95" i="9"/>
  <c r="M94" i="9"/>
  <c r="L94" i="9"/>
  <c r="B94" i="9"/>
  <c r="H91" i="9"/>
  <c r="D91" i="9"/>
  <c r="M90" i="9"/>
  <c r="H90" i="9"/>
  <c r="E90" i="9"/>
  <c r="M89" i="9"/>
  <c r="D85" i="9"/>
  <c r="C85" i="9"/>
  <c r="J83" i="9"/>
  <c r="F83" i="9"/>
  <c r="H82" i="9"/>
  <c r="E82" i="9"/>
  <c r="D82" i="9"/>
  <c r="E80" i="9"/>
  <c r="L79" i="9"/>
  <c r="I79" i="9"/>
  <c r="C79" i="9"/>
  <c r="L78" i="9"/>
  <c r="E78" i="9"/>
  <c r="M77" i="9"/>
  <c r="H72" i="9"/>
  <c r="E72" i="9"/>
  <c r="E64" i="9"/>
  <c r="D64" i="9"/>
  <c r="L59" i="9"/>
  <c r="I59" i="9"/>
  <c r="C59" i="9"/>
  <c r="F56" i="9"/>
  <c r="L55" i="9"/>
  <c r="H52" i="9"/>
  <c r="E52" i="9"/>
  <c r="L48" i="9"/>
  <c r="D41" i="9"/>
  <c r="C41" i="9"/>
  <c r="E37" i="9"/>
  <c r="M33" i="9"/>
  <c r="C33" i="9"/>
  <c r="B33" i="9"/>
  <c r="M32" i="9"/>
  <c r="D32" i="9"/>
  <c r="C32" i="9"/>
  <c r="B32" i="9"/>
  <c r="M28" i="9"/>
  <c r="C28" i="9"/>
  <c r="B28" i="9"/>
  <c r="M27" i="9"/>
  <c r="C27" i="9"/>
  <c r="B27" i="9"/>
  <c r="D24" i="9"/>
  <c r="E23" i="9"/>
  <c r="G18" i="9"/>
  <c r="F18" i="9"/>
  <c r="M15" i="9"/>
  <c r="E14" i="9"/>
  <c r="C14" i="9"/>
  <c r="A13" i="9"/>
  <c r="D11" i="9"/>
  <c r="C10" i="9"/>
  <c r="J49" i="8"/>
  <c r="D49" i="8"/>
  <c r="K47" i="8"/>
  <c r="J46" i="8"/>
  <c r="D46" i="8"/>
  <c r="M45" i="8"/>
  <c r="M44" i="8"/>
  <c r="A44" i="8"/>
  <c r="N38" i="8"/>
  <c r="P36" i="8"/>
  <c r="A32" i="8"/>
  <c r="E26" i="8"/>
  <c r="D26" i="8"/>
  <c r="E22" i="8"/>
  <c r="D22" i="8"/>
  <c r="E20" i="8"/>
  <c r="D16" i="8"/>
  <c r="D17" i="8" s="1"/>
  <c r="D29" i="8" s="1"/>
  <c r="K29" i="8" s="1"/>
  <c r="M11" i="8"/>
  <c r="M10" i="8"/>
  <c r="H660" i="6"/>
  <c r="H659" i="6"/>
  <c r="H658" i="6"/>
  <c r="J657" i="6"/>
  <c r="H656" i="6"/>
  <c r="H655" i="6"/>
  <c r="J654" i="6"/>
  <c r="H652" i="6"/>
  <c r="H651" i="6"/>
  <c r="H650" i="6"/>
  <c r="H649" i="6"/>
  <c r="H648" i="6"/>
  <c r="H646" i="6"/>
  <c r="H645" i="6"/>
  <c r="H644" i="6"/>
  <c r="H643" i="6"/>
  <c r="H642" i="6"/>
  <c r="H641" i="6"/>
  <c r="H640" i="6"/>
  <c r="J639" i="6"/>
  <c r="J638" i="6"/>
  <c r="H630" i="6"/>
  <c r="C629" i="6"/>
  <c r="G628" i="6"/>
  <c r="C628" i="6"/>
  <c r="H627" i="6"/>
  <c r="F624" i="6"/>
  <c r="C624" i="6"/>
  <c r="C621" i="6"/>
  <c r="F620" i="6"/>
  <c r="C620" i="6"/>
  <c r="C619" i="6"/>
  <c r="D618" i="6"/>
  <c r="F617" i="6"/>
  <c r="D617" i="6"/>
  <c r="C617" i="6"/>
  <c r="D616" i="6"/>
  <c r="C616" i="6"/>
  <c r="H613" i="6"/>
  <c r="C612" i="6"/>
  <c r="D611" i="6"/>
  <c r="C611" i="6"/>
  <c r="C609" i="6"/>
  <c r="G608" i="6"/>
  <c r="D608" i="6"/>
  <c r="C608" i="6"/>
  <c r="H607" i="6"/>
  <c r="F603" i="6"/>
  <c r="C603" i="6"/>
  <c r="F586" i="6"/>
  <c r="C586" i="6"/>
  <c r="F585" i="6"/>
  <c r="C585" i="6"/>
  <c r="J583" i="6"/>
  <c r="O576" i="6"/>
  <c r="E559" i="6" s="1"/>
  <c r="G573" i="6"/>
  <c r="E568" i="6"/>
  <c r="E567" i="6"/>
  <c r="E566" i="6"/>
  <c r="Q565" i="6"/>
  <c r="D559" i="6" s="1"/>
  <c r="E565" i="6"/>
  <c r="C565" i="6"/>
  <c r="E558" i="6"/>
  <c r="D558" i="6"/>
  <c r="C558" i="6"/>
  <c r="J557" i="6"/>
  <c r="J556" i="6"/>
  <c r="D555" i="6"/>
  <c r="D554" i="6"/>
  <c r="E552" i="6"/>
  <c r="C552" i="6"/>
  <c r="E551" i="6"/>
  <c r="D549" i="6"/>
  <c r="C542" i="6"/>
  <c r="G541" i="6"/>
  <c r="E536" i="6"/>
  <c r="E535" i="6"/>
  <c r="J534" i="6"/>
  <c r="J533" i="6"/>
  <c r="D531" i="6"/>
  <c r="D530" i="6"/>
  <c r="J529" i="6"/>
  <c r="D527" i="6"/>
  <c r="E526" i="6"/>
  <c r="D526" i="6"/>
  <c r="J525" i="6"/>
  <c r="E523" i="6"/>
  <c r="E522" i="6"/>
  <c r="J521" i="6"/>
  <c r="J520" i="6"/>
  <c r="C518" i="6"/>
  <c r="C517" i="6"/>
  <c r="C516" i="6"/>
  <c r="C515" i="6"/>
  <c r="G514" i="6"/>
  <c r="D514" i="6"/>
  <c r="J512" i="6"/>
  <c r="G507" i="6"/>
  <c r="J505" i="6"/>
  <c r="D502" i="6"/>
  <c r="D501" i="6"/>
  <c r="D500" i="6"/>
  <c r="E498" i="6"/>
  <c r="C498" i="6"/>
  <c r="E497" i="6"/>
  <c r="C497" i="6"/>
  <c r="C496" i="6"/>
  <c r="C495" i="6"/>
  <c r="G494" i="6"/>
  <c r="C494" i="6"/>
  <c r="C493" i="6"/>
  <c r="J491" i="6"/>
  <c r="E489" i="6"/>
  <c r="E487" i="6"/>
  <c r="E485" i="6"/>
  <c r="C485" i="6"/>
  <c r="E484" i="6"/>
  <c r="C484" i="6"/>
  <c r="G481" i="6"/>
  <c r="H480" i="6"/>
  <c r="L478" i="6"/>
  <c r="J478" i="6"/>
  <c r="D471" i="6"/>
  <c r="D465" i="6"/>
  <c r="G464" i="6"/>
  <c r="D464" i="6"/>
  <c r="D463" i="6"/>
  <c r="C463" i="6"/>
  <c r="J462" i="6"/>
  <c r="J461" i="6"/>
  <c r="E459" i="6"/>
  <c r="D458" i="6"/>
  <c r="E457" i="6"/>
  <c r="D457" i="6"/>
  <c r="C457" i="6"/>
  <c r="G456" i="6"/>
  <c r="D456" i="6"/>
  <c r="E455" i="6"/>
  <c r="J454" i="6"/>
  <c r="D451" i="6"/>
  <c r="C451" i="6"/>
  <c r="E450" i="6"/>
  <c r="D450" i="6"/>
  <c r="G449" i="6"/>
  <c r="K448" i="6"/>
  <c r="C448" i="6"/>
  <c r="J447" i="6"/>
  <c r="C442" i="6"/>
  <c r="J441" i="6"/>
  <c r="G439" i="6"/>
  <c r="D439" i="6"/>
  <c r="C439" i="6"/>
  <c r="D438" i="6"/>
  <c r="C438" i="6"/>
  <c r="J437" i="6"/>
  <c r="D435" i="6"/>
  <c r="D434" i="6"/>
  <c r="C434" i="6"/>
  <c r="J433" i="6"/>
  <c r="G431" i="6"/>
  <c r="G429" i="6"/>
  <c r="E423" i="6"/>
  <c r="E422" i="6"/>
  <c r="E421" i="6"/>
  <c r="E420" i="6"/>
  <c r="E419" i="6"/>
  <c r="E418" i="6"/>
  <c r="E417" i="6"/>
  <c r="E416" i="6"/>
  <c r="E415" i="6"/>
  <c r="E414" i="6"/>
  <c r="E413" i="6"/>
  <c r="E412" i="6"/>
  <c r="E411" i="6"/>
  <c r="E410" i="6"/>
  <c r="E409" i="6"/>
  <c r="E408" i="6"/>
  <c r="E407" i="6"/>
  <c r="E406" i="6"/>
  <c r="E405" i="6"/>
  <c r="E404" i="6"/>
  <c r="E403" i="6"/>
  <c r="E402" i="6"/>
  <c r="E401" i="6"/>
  <c r="E400" i="6"/>
  <c r="E399" i="6"/>
  <c r="E398" i="6"/>
  <c r="E397" i="6"/>
  <c r="E396" i="6"/>
  <c r="E395" i="6"/>
  <c r="E394" i="6"/>
  <c r="E393" i="6"/>
  <c r="E392" i="6"/>
  <c r="E391" i="6"/>
  <c r="E390" i="6"/>
  <c r="E389" i="6"/>
  <c r="E388" i="6"/>
  <c r="E387" i="6"/>
  <c r="E386" i="6"/>
  <c r="E385" i="6"/>
  <c r="E384" i="6"/>
  <c r="E383" i="6"/>
  <c r="E382" i="6"/>
  <c r="E381" i="6"/>
  <c r="E380" i="6"/>
  <c r="E379" i="6"/>
  <c r="E378" i="6"/>
  <c r="E377" i="6"/>
  <c r="E376" i="6"/>
  <c r="E375" i="6"/>
  <c r="E374" i="6"/>
  <c r="E373" i="6"/>
  <c r="E372" i="6"/>
  <c r="E371" i="6"/>
  <c r="E370" i="6"/>
  <c r="E369" i="6"/>
  <c r="E368" i="6"/>
  <c r="E367" i="6"/>
  <c r="E366" i="6"/>
  <c r="E365" i="6"/>
  <c r="E364" i="6"/>
  <c r="E363" i="6"/>
  <c r="E362" i="6"/>
  <c r="E361" i="6"/>
  <c r="E360" i="6"/>
  <c r="E359" i="6"/>
  <c r="E358" i="6"/>
  <c r="E357" i="6"/>
  <c r="E356" i="6"/>
  <c r="E355" i="6"/>
  <c r="E354" i="6"/>
  <c r="E353" i="6"/>
  <c r="E352" i="6"/>
  <c r="E351" i="6"/>
  <c r="E350" i="6"/>
  <c r="E349" i="6"/>
  <c r="E348" i="6"/>
  <c r="E347" i="6"/>
  <c r="E346" i="6"/>
  <c r="E345" i="6"/>
  <c r="E344" i="6"/>
  <c r="E343" i="6"/>
  <c r="E342" i="6"/>
  <c r="E341" i="6"/>
  <c r="E340" i="6"/>
  <c r="E339" i="6"/>
  <c r="E338" i="6"/>
  <c r="E337" i="6"/>
  <c r="E336" i="6"/>
  <c r="E335" i="6"/>
  <c r="E334" i="6"/>
  <c r="E333" i="6"/>
  <c r="E332" i="6"/>
  <c r="E331" i="6"/>
  <c r="E330" i="6"/>
  <c r="E329" i="6"/>
  <c r="G328" i="6"/>
  <c r="E328" i="6"/>
  <c r="B328" i="6"/>
  <c r="E327" i="6"/>
  <c r="D327" i="6"/>
  <c r="C327" i="6"/>
  <c r="E326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G228" i="6"/>
  <c r="F228" i="6"/>
  <c r="F227" i="6"/>
  <c r="B227" i="6"/>
  <c r="F226" i="6"/>
  <c r="D226" i="6"/>
  <c r="C226" i="6"/>
  <c r="C223" i="6"/>
  <c r="C222" i="6"/>
  <c r="C221" i="6"/>
  <c r="C220" i="6"/>
  <c r="C219" i="6"/>
  <c r="C218" i="6"/>
  <c r="C217" i="6"/>
  <c r="C216" i="6"/>
  <c r="C215" i="6"/>
  <c r="C214" i="6"/>
  <c r="C213" i="6"/>
  <c r="C212" i="6"/>
  <c r="C211" i="6"/>
  <c r="C210" i="6"/>
  <c r="C209" i="6"/>
  <c r="C208" i="6"/>
  <c r="C207" i="6"/>
  <c r="C206" i="6"/>
  <c r="C205" i="6"/>
  <c r="C204" i="6"/>
  <c r="C203" i="6"/>
  <c r="C202" i="6"/>
  <c r="C201" i="6"/>
  <c r="C200" i="6"/>
  <c r="C199" i="6"/>
  <c r="C198" i="6"/>
  <c r="C197" i="6"/>
  <c r="C196" i="6"/>
  <c r="C195" i="6"/>
  <c r="C194" i="6"/>
  <c r="C193" i="6"/>
  <c r="C192" i="6"/>
  <c r="C191" i="6"/>
  <c r="C190" i="6"/>
  <c r="C189" i="6"/>
  <c r="C188" i="6"/>
  <c r="C187" i="6"/>
  <c r="C186" i="6"/>
  <c r="C185" i="6"/>
  <c r="C184" i="6"/>
  <c r="C183" i="6"/>
  <c r="C182" i="6"/>
  <c r="C181" i="6"/>
  <c r="C180" i="6"/>
  <c r="C179" i="6"/>
  <c r="C178" i="6"/>
  <c r="C177" i="6"/>
  <c r="C176" i="6"/>
  <c r="C175" i="6"/>
  <c r="C174" i="6"/>
  <c r="C173" i="6"/>
  <c r="C172" i="6"/>
  <c r="C171" i="6"/>
  <c r="C170" i="6"/>
  <c r="C169" i="6"/>
  <c r="C168" i="6"/>
  <c r="C167" i="6"/>
  <c r="C166" i="6"/>
  <c r="C165" i="6"/>
  <c r="C164" i="6"/>
  <c r="C163" i="6"/>
  <c r="C162" i="6"/>
  <c r="C161" i="6"/>
  <c r="C160" i="6"/>
  <c r="C159" i="6"/>
  <c r="C158" i="6"/>
  <c r="C157" i="6"/>
  <c r="C156" i="6"/>
  <c r="C155" i="6"/>
  <c r="C154" i="6"/>
  <c r="C153" i="6"/>
  <c r="C152" i="6"/>
  <c r="C151" i="6"/>
  <c r="C150" i="6"/>
  <c r="C149" i="6"/>
  <c r="C148" i="6"/>
  <c r="C147" i="6"/>
  <c r="C146" i="6"/>
  <c r="C145" i="6"/>
  <c r="C144" i="6"/>
  <c r="C143" i="6"/>
  <c r="C142" i="6"/>
  <c r="C141" i="6"/>
  <c r="C140" i="6"/>
  <c r="C139" i="6"/>
  <c r="C138" i="6"/>
  <c r="C137" i="6"/>
  <c r="C136" i="6"/>
  <c r="C135" i="6"/>
  <c r="C134" i="6"/>
  <c r="C133" i="6"/>
  <c r="C132" i="6"/>
  <c r="C131" i="6"/>
  <c r="C130" i="6"/>
  <c r="C129" i="6"/>
  <c r="G128" i="6"/>
  <c r="C128" i="6"/>
  <c r="F127" i="6"/>
  <c r="C127" i="6"/>
  <c r="B127" i="6"/>
  <c r="E126" i="6"/>
  <c r="C126" i="6"/>
  <c r="H124" i="6"/>
  <c r="H123" i="6"/>
  <c r="J122" i="6"/>
  <c r="B26" i="6"/>
  <c r="G25" i="6"/>
  <c r="F24" i="6"/>
  <c r="D24" i="6"/>
  <c r="D19" i="6"/>
  <c r="C19" i="6"/>
  <c r="J16" i="6"/>
  <c r="J15" i="6"/>
  <c r="J14" i="6"/>
  <c r="J13" i="6"/>
  <c r="A13" i="6"/>
  <c r="C11" i="6"/>
  <c r="C443" i="6" s="1"/>
  <c r="H10" i="6"/>
  <c r="K6" i="6"/>
  <c r="H367" i="5"/>
  <c r="H366" i="5"/>
  <c r="H365" i="5"/>
  <c r="J364" i="5"/>
  <c r="H363" i="5"/>
  <c r="H362" i="5"/>
  <c r="J361" i="5"/>
  <c r="H359" i="5"/>
  <c r="H358" i="5"/>
  <c r="H357" i="5"/>
  <c r="H356" i="5"/>
  <c r="H355" i="5"/>
  <c r="H353" i="5"/>
  <c r="H352" i="5"/>
  <c r="H351" i="5"/>
  <c r="H350" i="5"/>
  <c r="H349" i="5"/>
  <c r="H348" i="5"/>
  <c r="H347" i="5"/>
  <c r="J346" i="5"/>
  <c r="J345" i="5"/>
  <c r="H337" i="5"/>
  <c r="C336" i="5"/>
  <c r="G335" i="5"/>
  <c r="C335" i="5"/>
  <c r="H334" i="5"/>
  <c r="F331" i="5"/>
  <c r="C331" i="5"/>
  <c r="C328" i="5"/>
  <c r="F327" i="5"/>
  <c r="C327" i="5"/>
  <c r="C326" i="5"/>
  <c r="D325" i="5"/>
  <c r="F324" i="5"/>
  <c r="D324" i="5"/>
  <c r="C324" i="5"/>
  <c r="D323" i="5"/>
  <c r="C323" i="5"/>
  <c r="H320" i="5"/>
  <c r="C319" i="5"/>
  <c r="D318" i="5"/>
  <c r="C318" i="5"/>
  <c r="C316" i="5"/>
  <c r="G315" i="5"/>
  <c r="D315" i="5"/>
  <c r="C315" i="5"/>
  <c r="H314" i="5"/>
  <c r="F310" i="5"/>
  <c r="C310" i="5"/>
  <c r="F293" i="5"/>
  <c r="C293" i="5"/>
  <c r="F292" i="5"/>
  <c r="C292" i="5"/>
  <c r="J290" i="5"/>
  <c r="O283" i="5"/>
  <c r="E266" i="5" s="1"/>
  <c r="G280" i="5"/>
  <c r="E275" i="5"/>
  <c r="E274" i="5"/>
  <c r="E273" i="5"/>
  <c r="Q272" i="5"/>
  <c r="P271" i="5" s="1"/>
  <c r="O270" i="5" s="1"/>
  <c r="E272" i="5"/>
  <c r="C272" i="5"/>
  <c r="E265" i="5"/>
  <c r="D265" i="5"/>
  <c r="C265" i="5"/>
  <c r="J264" i="5"/>
  <c r="J263" i="5"/>
  <c r="E243" i="5"/>
  <c r="D243" i="5"/>
  <c r="C243" i="5"/>
  <c r="F240" i="5"/>
  <c r="E237" i="5"/>
  <c r="G236" i="5"/>
  <c r="F230" i="5"/>
  <c r="C230" i="5"/>
  <c r="G229" i="5"/>
  <c r="F229" i="5"/>
  <c r="C229" i="5"/>
  <c r="H227" i="5"/>
  <c r="D224" i="5"/>
  <c r="D223" i="5"/>
  <c r="C221" i="5"/>
  <c r="D218" i="5"/>
  <c r="C212" i="5"/>
  <c r="G211" i="5"/>
  <c r="D210" i="5"/>
  <c r="C210" i="5"/>
  <c r="D209" i="5"/>
  <c r="C209" i="5"/>
  <c r="E205" i="5"/>
  <c r="E204" i="5"/>
  <c r="J203" i="5"/>
  <c r="J202" i="5"/>
  <c r="D200" i="5"/>
  <c r="D199" i="5"/>
  <c r="J198" i="5"/>
  <c r="D196" i="5"/>
  <c r="E195" i="5"/>
  <c r="D195" i="5"/>
  <c r="J194" i="5"/>
  <c r="E192" i="5"/>
  <c r="E191" i="5"/>
  <c r="J190" i="5"/>
  <c r="J189" i="5"/>
  <c r="C187" i="5"/>
  <c r="C186" i="5"/>
  <c r="C185" i="5"/>
  <c r="C184" i="5"/>
  <c r="G183" i="5"/>
  <c r="D183" i="5"/>
  <c r="J181" i="5"/>
  <c r="G176" i="5"/>
  <c r="J174" i="5"/>
  <c r="D171" i="5"/>
  <c r="D170" i="5"/>
  <c r="D169" i="5"/>
  <c r="E167" i="5"/>
  <c r="C167" i="5"/>
  <c r="E166" i="5"/>
  <c r="C166" i="5"/>
  <c r="C165" i="5"/>
  <c r="C164" i="5"/>
  <c r="G163" i="5"/>
  <c r="C163" i="5"/>
  <c r="C162" i="5"/>
  <c r="J160" i="5"/>
  <c r="E158" i="5"/>
  <c r="E156" i="5"/>
  <c r="C154" i="5"/>
  <c r="C153" i="5"/>
  <c r="G150" i="5"/>
  <c r="H149" i="5"/>
  <c r="L147" i="5"/>
  <c r="E144" i="5"/>
  <c r="D139" i="5"/>
  <c r="D136" i="5"/>
  <c r="C136" i="5"/>
  <c r="B136" i="5"/>
  <c r="G135" i="5"/>
  <c r="D135" i="5"/>
  <c r="C135" i="5"/>
  <c r="B135" i="5"/>
  <c r="C132" i="5"/>
  <c r="C131" i="5"/>
  <c r="G130" i="5"/>
  <c r="D130" i="5"/>
  <c r="F129" i="5"/>
  <c r="D129" i="5"/>
  <c r="C129" i="5"/>
  <c r="H128" i="5"/>
  <c r="H127" i="5"/>
  <c r="E123" i="5"/>
  <c r="D122" i="5"/>
  <c r="C122" i="5"/>
  <c r="E121" i="5"/>
  <c r="D121" i="5"/>
  <c r="C121" i="5"/>
  <c r="F120" i="5"/>
  <c r="D120" i="5"/>
  <c r="C120" i="5"/>
  <c r="G119" i="5"/>
  <c r="F119" i="5"/>
  <c r="D119" i="5"/>
  <c r="C119" i="5"/>
  <c r="C116" i="5"/>
  <c r="G115" i="5"/>
  <c r="D115" i="5"/>
  <c r="C115" i="5"/>
  <c r="E114" i="5"/>
  <c r="D114" i="5"/>
  <c r="C114" i="5"/>
  <c r="K112" i="5"/>
  <c r="G112" i="5"/>
  <c r="C107" i="5"/>
  <c r="C106" i="5"/>
  <c r="G103" i="5"/>
  <c r="D103" i="5"/>
  <c r="C103" i="5"/>
  <c r="G102" i="5"/>
  <c r="D102" i="5"/>
  <c r="C102" i="5"/>
  <c r="D99" i="5"/>
  <c r="D98" i="5"/>
  <c r="G94" i="5"/>
  <c r="G92" i="5"/>
  <c r="J91" i="5"/>
  <c r="J90" i="5"/>
  <c r="E87" i="5"/>
  <c r="E86" i="5"/>
  <c r="E85" i="5"/>
  <c r="G84" i="5"/>
  <c r="E84" i="5"/>
  <c r="E83" i="5"/>
  <c r="E79" i="5"/>
  <c r="E78" i="5"/>
  <c r="E77" i="5"/>
  <c r="E76" i="5"/>
  <c r="G75" i="5"/>
  <c r="E75" i="5"/>
  <c r="D75" i="5"/>
  <c r="C75" i="5"/>
  <c r="E74" i="5"/>
  <c r="F71" i="5"/>
  <c r="F70" i="5"/>
  <c r="F69" i="5"/>
  <c r="G68" i="5"/>
  <c r="F68" i="5"/>
  <c r="F67" i="5"/>
  <c r="F63" i="5"/>
  <c r="F62" i="5"/>
  <c r="F61" i="5"/>
  <c r="F60" i="5"/>
  <c r="G59" i="5"/>
  <c r="F59" i="5"/>
  <c r="F58" i="5"/>
  <c r="D58" i="5"/>
  <c r="C58" i="5"/>
  <c r="C55" i="5"/>
  <c r="C54" i="5"/>
  <c r="C53" i="5"/>
  <c r="G52" i="5"/>
  <c r="C52" i="5"/>
  <c r="C51" i="5"/>
  <c r="B51" i="5"/>
  <c r="B48" i="5"/>
  <c r="C47" i="5"/>
  <c r="B47" i="5"/>
  <c r="C46" i="5"/>
  <c r="C45" i="5"/>
  <c r="B45" i="5"/>
  <c r="C44" i="5"/>
  <c r="B44" i="5"/>
  <c r="G43" i="5"/>
  <c r="F43" i="5"/>
  <c r="C43" i="5"/>
  <c r="B43" i="5"/>
  <c r="E42" i="5"/>
  <c r="C42" i="5"/>
  <c r="B42" i="5"/>
  <c r="H40" i="5"/>
  <c r="H39" i="5"/>
  <c r="G33" i="5"/>
  <c r="B33" i="5"/>
  <c r="B30" i="5"/>
  <c r="G29" i="5"/>
  <c r="E29" i="5"/>
  <c r="B27" i="5"/>
  <c r="G24" i="5"/>
  <c r="F24" i="5"/>
  <c r="D24" i="5"/>
  <c r="H23" i="5"/>
  <c r="J22" i="5"/>
  <c r="J21" i="5"/>
  <c r="C19" i="5"/>
  <c r="N17" i="5"/>
  <c r="G17" i="5" s="1"/>
  <c r="J16" i="5"/>
  <c r="J15" i="5"/>
  <c r="A15" i="5"/>
  <c r="H13" i="5"/>
  <c r="D12" i="5"/>
  <c r="C12" i="5"/>
  <c r="C11" i="5"/>
  <c r="H10" i="5"/>
  <c r="K6" i="5"/>
  <c r="B37" i="4"/>
  <c r="B35" i="3" s="1"/>
  <c r="B36" i="4"/>
  <c r="B33" i="3" s="1"/>
  <c r="B35" i="4"/>
  <c r="B34" i="4"/>
  <c r="B33" i="4"/>
  <c r="B32" i="4"/>
  <c r="B31" i="3" s="1"/>
  <c r="B31" i="4"/>
  <c r="B30" i="4"/>
  <c r="B29" i="4"/>
  <c r="B29" i="3" s="1"/>
  <c r="B28" i="4"/>
  <c r="B27" i="4"/>
  <c r="B26" i="4"/>
  <c r="B25" i="4"/>
  <c r="B27" i="3" s="1"/>
  <c r="B24" i="4"/>
  <c r="B23" i="4"/>
  <c r="B22" i="4"/>
  <c r="B21" i="4"/>
  <c r="B25" i="3" s="1"/>
  <c r="B20" i="4"/>
  <c r="B19" i="4"/>
  <c r="B18" i="4"/>
  <c r="B23" i="3" s="1"/>
  <c r="B17" i="4"/>
  <c r="B16" i="4"/>
  <c r="B15" i="4"/>
  <c r="B21" i="3"/>
  <c r="B13" i="4"/>
  <c r="B12" i="4"/>
  <c r="B19" i="3" s="1"/>
  <c r="B11" i="4"/>
  <c r="B17" i="3" s="1"/>
  <c r="A11" i="4"/>
  <c r="D7" i="4"/>
  <c r="C7" i="4"/>
  <c r="A7" i="4"/>
  <c r="D6" i="4"/>
  <c r="D5" i="4"/>
  <c r="C5" i="4"/>
  <c r="D4" i="4"/>
  <c r="C4" i="4"/>
  <c r="A4" i="4"/>
  <c r="A19" i="3"/>
  <c r="E59" i="1"/>
  <c r="E58" i="1"/>
  <c r="E57" i="1"/>
  <c r="F56" i="1"/>
  <c r="F49" i="1"/>
  <c r="F43" i="1"/>
  <c r="F37" i="1"/>
  <c r="F32" i="1"/>
  <c r="M31" i="1"/>
  <c r="F31" i="1"/>
  <c r="F30" i="1"/>
  <c r="F29" i="1"/>
  <c r="F28" i="1"/>
  <c r="F27" i="1"/>
  <c r="F26" i="1"/>
  <c r="F25" i="1"/>
  <c r="F24" i="1"/>
  <c r="F23" i="1"/>
  <c r="F22" i="1"/>
  <c r="F21" i="1"/>
  <c r="F16" i="1"/>
  <c r="F11" i="1"/>
  <c r="F6" i="1"/>
  <c r="A1347" i="7"/>
  <c r="A1340" i="7"/>
  <c r="A1331" i="7"/>
  <c r="I1320" i="7"/>
  <c r="I1319" i="7"/>
  <c r="A1311" i="7"/>
  <c r="I1300" i="7"/>
  <c r="A1283" i="7"/>
  <c r="M1272" i="7"/>
  <c r="H1272" i="7"/>
  <c r="M1271" i="7"/>
  <c r="H1271" i="7"/>
  <c r="A1257" i="7"/>
  <c r="A1162" i="7"/>
  <c r="M1156" i="7"/>
  <c r="H1156" i="7"/>
  <c r="E1155" i="7"/>
  <c r="W1155" i="7" s="1"/>
  <c r="A1146" i="7"/>
  <c r="A1104" i="7"/>
  <c r="A1091" i="7"/>
  <c r="A1079" i="7"/>
  <c r="E1067" i="7"/>
  <c r="W1067" i="7" s="1"/>
  <c r="Y1067" i="7" s="1"/>
  <c r="E1064" i="7"/>
  <c r="W1064" i="7" s="1"/>
  <c r="Y1064" i="7" s="1"/>
  <c r="A1064" i="7"/>
  <c r="E1063" i="7"/>
  <c r="W1063" i="7" s="1"/>
  <c r="Y1063" i="7" s="1"/>
  <c r="E1060" i="7"/>
  <c r="W1060" i="7" s="1"/>
  <c r="Y1060" i="7" s="1"/>
  <c r="A1044" i="7"/>
  <c r="E1043" i="7"/>
  <c r="W1043" i="7" s="1"/>
  <c r="Y1043" i="7" s="1"/>
  <c r="A1026" i="7"/>
  <c r="A963" i="7"/>
  <c r="M955" i="7"/>
  <c r="H955" i="7"/>
  <c r="M954" i="7"/>
  <c r="H954" i="7"/>
  <c r="M953" i="7"/>
  <c r="H953" i="7"/>
  <c r="M952" i="7"/>
  <c r="H952" i="7"/>
  <c r="M951" i="7"/>
  <c r="H951" i="7"/>
  <c r="E950" i="7"/>
  <c r="W950" i="7" s="1"/>
  <c r="M949" i="7"/>
  <c r="H949" i="7"/>
  <c r="E948" i="7"/>
  <c r="W948" i="7" s="1"/>
  <c r="E946" i="7"/>
  <c r="W946" i="7" s="1"/>
  <c r="I931" i="7"/>
  <c r="E931" i="7"/>
  <c r="W931" i="7" s="1"/>
  <c r="E929" i="7"/>
  <c r="W929" i="7" s="1"/>
  <c r="E927" i="7"/>
  <c r="W927" i="7" s="1"/>
  <c r="E926" i="7"/>
  <c r="W926" i="7" s="1"/>
  <c r="A923" i="7"/>
  <c r="E919" i="7"/>
  <c r="W919" i="7" s="1"/>
  <c r="E918" i="7"/>
  <c r="W918" i="7" s="1"/>
  <c r="E909" i="7"/>
  <c r="W909" i="7" s="1"/>
  <c r="E907" i="7"/>
  <c r="W907" i="7" s="1"/>
  <c r="E906" i="7"/>
  <c r="W906" i="7" s="1"/>
  <c r="M902" i="7"/>
  <c r="H902" i="7"/>
  <c r="A896" i="7"/>
  <c r="A849" i="7"/>
  <c r="E830" i="7"/>
  <c r="W830" i="7" s="1"/>
  <c r="E825" i="7"/>
  <c r="W825" i="7" s="1"/>
  <c r="E814" i="7"/>
  <c r="W814" i="7" s="1"/>
  <c r="I813" i="7"/>
  <c r="E813" i="7"/>
  <c r="W813" i="7" s="1"/>
  <c r="E811" i="7"/>
  <c r="W811" i="7" s="1"/>
  <c r="E801" i="7"/>
  <c r="W801" i="7" s="1"/>
  <c r="E800" i="7"/>
  <c r="W800" i="7" s="1"/>
  <c r="A758" i="7"/>
  <c r="A688" i="7"/>
  <c r="A674" i="7"/>
  <c r="E670" i="7"/>
  <c r="W670" i="7" s="1"/>
  <c r="E669" i="7"/>
  <c r="W669" i="7" s="1"/>
  <c r="A649" i="7"/>
  <c r="A576" i="7"/>
  <c r="M568" i="7"/>
  <c r="H568" i="7"/>
  <c r="E555" i="7"/>
  <c r="W555" i="7" s="1"/>
  <c r="Y555" i="7" s="1"/>
  <c r="I542" i="7"/>
  <c r="A533" i="7"/>
  <c r="E529" i="7"/>
  <c r="W529" i="7" s="1"/>
  <c r="Y529" i="7" s="1"/>
  <c r="E528" i="7"/>
  <c r="W528" i="7" s="1"/>
  <c r="Y528" i="7" s="1"/>
  <c r="I521" i="7"/>
  <c r="A491" i="7"/>
  <c r="A421" i="7"/>
  <c r="M413" i="7"/>
  <c r="H413" i="7"/>
  <c r="E411" i="7"/>
  <c r="W411" i="7" s="1"/>
  <c r="M410" i="7"/>
  <c r="H410" i="7"/>
  <c r="M409" i="7"/>
  <c r="H409" i="7"/>
  <c r="A409" i="7"/>
  <c r="A380" i="7"/>
  <c r="A322" i="7"/>
  <c r="A312" i="7"/>
  <c r="A274" i="7"/>
  <c r="A235" i="7"/>
  <c r="A184" i="7"/>
  <c r="A172" i="7"/>
  <c r="A147" i="7"/>
  <c r="A93" i="7"/>
  <c r="A82" i="7"/>
  <c r="M70" i="7"/>
  <c r="H70" i="7"/>
  <c r="E69" i="7"/>
  <c r="W69" i="7" s="1"/>
  <c r="Y69" i="7" s="1"/>
  <c r="M68" i="7"/>
  <c r="H68" i="7"/>
  <c r="J68" i="7"/>
  <c r="M67" i="7"/>
  <c r="H67" i="7"/>
  <c r="J67" i="7"/>
  <c r="M65" i="7"/>
  <c r="H65" i="7"/>
  <c r="J65" i="7"/>
  <c r="M64" i="7"/>
  <c r="H64" i="7"/>
  <c r="J64" i="7"/>
  <c r="M62" i="7"/>
  <c r="H62" i="7"/>
  <c r="J62" i="7"/>
  <c r="M61" i="7"/>
  <c r="H61" i="7"/>
  <c r="J61" i="7"/>
  <c r="M60" i="7"/>
  <c r="H60" i="7"/>
  <c r="J60" i="7"/>
  <c r="M59" i="7"/>
  <c r="H59" i="7"/>
  <c r="J59" i="7"/>
  <c r="M58" i="7"/>
  <c r="H58" i="7"/>
  <c r="J58" i="7"/>
  <c r="M57" i="7"/>
  <c r="H57" i="7"/>
  <c r="J57" i="7"/>
  <c r="M56" i="7"/>
  <c r="H56" i="7"/>
  <c r="J56" i="7"/>
  <c r="M54" i="7"/>
  <c r="H54" i="7"/>
  <c r="E52" i="7"/>
  <c r="W52" i="7" s="1"/>
  <c r="Y52" i="7" s="1"/>
  <c r="M51" i="7"/>
  <c r="H51" i="7"/>
  <c r="J51" i="7"/>
  <c r="M50" i="7"/>
  <c r="H50" i="7"/>
  <c r="J50" i="7"/>
  <c r="M49" i="7"/>
  <c r="H49" i="7"/>
  <c r="J49" i="7"/>
  <c r="M48" i="7"/>
  <c r="H48" i="7"/>
  <c r="I48" i="7"/>
  <c r="M47" i="7"/>
  <c r="H47" i="7"/>
  <c r="I47" i="7"/>
  <c r="M45" i="7"/>
  <c r="H45" i="7"/>
  <c r="J45" i="7"/>
  <c r="M44" i="7"/>
  <c r="H44" i="7"/>
  <c r="J44" i="7"/>
  <c r="M43" i="7"/>
  <c r="H43" i="7"/>
  <c r="J43" i="7"/>
  <c r="M42" i="7"/>
  <c r="H42" i="7"/>
  <c r="J42" i="7"/>
  <c r="M40" i="7"/>
  <c r="H40" i="7"/>
  <c r="J40" i="7"/>
  <c r="E38" i="7"/>
  <c r="W38" i="7" s="1"/>
  <c r="Y38" i="7" s="1"/>
  <c r="M35" i="7"/>
  <c r="H35" i="7"/>
  <c r="J35" i="7"/>
  <c r="E29" i="7"/>
  <c r="W29" i="7" s="1"/>
  <c r="Y29" i="7" s="1"/>
  <c r="M27" i="7"/>
  <c r="H27" i="7"/>
  <c r="I27" i="7"/>
  <c r="E24" i="7"/>
  <c r="W24" i="7" s="1"/>
  <c r="Y24" i="7" s="1"/>
  <c r="M22" i="7"/>
  <c r="H22" i="7"/>
  <c r="J22" i="7"/>
  <c r="M21" i="7"/>
  <c r="H21" i="7"/>
  <c r="J21" i="7"/>
  <c r="M18" i="7"/>
  <c r="H18" i="7"/>
  <c r="M17" i="7"/>
  <c r="H17" i="7"/>
  <c r="J17" i="7"/>
  <c r="M16" i="7"/>
  <c r="H16" i="7"/>
  <c r="M15" i="7"/>
  <c r="H15" i="7"/>
  <c r="J15" i="7"/>
  <c r="A15" i="7"/>
  <c r="E14" i="7"/>
  <c r="W14" i="7" s="1"/>
  <c r="Y14" i="7" s="1"/>
  <c r="I1097" i="7" l="1"/>
  <c r="N575" i="6"/>
  <c r="M574" i="6" s="1"/>
  <c r="K17" i="8"/>
  <c r="C24" i="8"/>
  <c r="K24" i="8" s="1"/>
  <c r="N6" i="21"/>
  <c r="D266" i="5"/>
  <c r="C250" i="9"/>
  <c r="M347" i="16"/>
  <c r="N155" i="40"/>
  <c r="C144" i="28"/>
  <c r="I21" i="34"/>
  <c r="O263" i="32"/>
  <c r="D260" i="32"/>
  <c r="C29" i="19"/>
  <c r="M342" i="16"/>
  <c r="O342" i="16" s="1"/>
  <c r="E785" i="7" s="1"/>
  <c r="W785" i="7" s="1"/>
  <c r="N14" i="21"/>
  <c r="C435" i="6"/>
  <c r="M372" i="17"/>
  <c r="N116" i="35"/>
  <c r="C119" i="35" s="1"/>
  <c r="D261" i="32"/>
  <c r="N262" i="32"/>
  <c r="E561" i="6"/>
  <c r="E575" i="6" s="1"/>
  <c r="E594" i="6" s="1"/>
  <c r="L564" i="6"/>
  <c r="E562" i="6" s="1"/>
  <c r="N269" i="5"/>
  <c r="D268" i="5"/>
  <c r="K203" i="24"/>
  <c r="C131" i="24"/>
  <c r="C132" i="24" s="1"/>
  <c r="M132" i="24" s="1"/>
  <c r="D267" i="5"/>
  <c r="E560" i="6"/>
  <c r="D284" i="15"/>
  <c r="K280" i="15" s="1"/>
  <c r="C120" i="29"/>
  <c r="C126" i="29" s="1"/>
  <c r="F255" i="30"/>
  <c r="P564" i="6"/>
  <c r="C150" i="13"/>
  <c r="N275" i="32"/>
  <c r="H14" i="7"/>
  <c r="M14" i="7"/>
  <c r="C241" i="20"/>
  <c r="N282" i="5"/>
  <c r="C249" i="30"/>
  <c r="K17" i="7"/>
  <c r="K58" i="7"/>
  <c r="K64" i="7"/>
  <c r="A364" i="43"/>
  <c r="A365" i="43" s="1"/>
  <c r="A366" i="43" s="1"/>
  <c r="A367" i="43" s="1"/>
  <c r="A368" i="43" s="1"/>
  <c r="A369" i="43" s="1"/>
  <c r="A370" i="43" s="1"/>
  <c r="A371" i="43" s="1"/>
  <c r="A372" i="43" s="1"/>
  <c r="A373" i="43" s="1"/>
  <c r="A374" i="43" s="1"/>
  <c r="A375" i="43" s="1"/>
  <c r="A376" i="43" s="1"/>
  <c r="A377" i="43" s="1"/>
  <c r="A378" i="43" s="1"/>
  <c r="A379" i="43" s="1"/>
  <c r="A380" i="43" s="1"/>
  <c r="A338" i="43"/>
  <c r="A339" i="43" s="1"/>
  <c r="A340" i="43" s="1"/>
  <c r="A341" i="43" s="1"/>
  <c r="A342" i="43" s="1"/>
  <c r="A343" i="43" s="1"/>
  <c r="A344" i="43" s="1"/>
  <c r="A345" i="43" s="1"/>
  <c r="A346" i="43" s="1"/>
  <c r="A347" i="43" s="1"/>
  <c r="A348" i="43" s="1"/>
  <c r="A349" i="43" s="1"/>
  <c r="A350" i="43" s="1"/>
  <c r="A351" i="43" s="1"/>
  <c r="A352" i="43" s="1"/>
  <c r="A353" i="43" s="1"/>
  <c r="A354" i="43" s="1"/>
  <c r="A226" i="43"/>
  <c r="A227" i="43" s="1"/>
  <c r="A228" i="43" s="1"/>
  <c r="A229" i="43" s="1"/>
  <c r="A230" i="43" s="1"/>
  <c r="A231" i="43" s="1"/>
  <c r="A232" i="43" s="1"/>
  <c r="A233" i="43" s="1"/>
  <c r="A234" i="43" s="1"/>
  <c r="A235" i="43" s="1"/>
  <c r="A236" i="43" s="1"/>
  <c r="A237" i="43" s="1"/>
  <c r="A238" i="43" s="1"/>
  <c r="A239" i="43" s="1"/>
  <c r="A240" i="43" s="1"/>
  <c r="A241" i="43" s="1"/>
  <c r="A242" i="43" s="1"/>
  <c r="A243" i="43" s="1"/>
  <c r="A244" i="43" s="1"/>
  <c r="A245" i="43" s="1"/>
  <c r="A246" i="43" s="1"/>
  <c r="A247" i="43" s="1"/>
  <c r="A248" i="43" s="1"/>
  <c r="A249" i="43" s="1"/>
  <c r="A250" i="43" s="1"/>
  <c r="A255" i="43" s="1"/>
  <c r="A260" i="43" s="1"/>
  <c r="A261" i="43" s="1"/>
  <c r="A262" i="43" s="1"/>
  <c r="A263" i="43" s="1"/>
  <c r="A264" i="43" s="1"/>
  <c r="A265" i="43" s="1"/>
  <c r="A266" i="43" s="1"/>
  <c r="A267" i="43" s="1"/>
  <c r="A268" i="43" s="1"/>
  <c r="A269" i="43" s="1"/>
  <c r="A270" i="43" s="1"/>
  <c r="A271" i="43" s="1"/>
  <c r="A272" i="43" s="1"/>
  <c r="A273" i="43" s="1"/>
  <c r="A274" i="43" s="1"/>
  <c r="A275" i="43" s="1"/>
  <c r="A276" i="43" s="1"/>
  <c r="A277" i="43" s="1"/>
  <c r="A278" i="43" s="1"/>
  <c r="A279" i="43" s="1"/>
  <c r="A280" i="43" s="1"/>
  <c r="A281" i="43" s="1"/>
  <c r="A282" i="43" s="1"/>
  <c r="A283" i="43" s="1"/>
  <c r="A284" i="43" s="1"/>
  <c r="A285" i="43" s="1"/>
  <c r="A286" i="43" s="1"/>
  <c r="A287" i="43" s="1"/>
  <c r="A288" i="43" s="1"/>
  <c r="A289" i="43" s="1"/>
  <c r="A290" i="43" s="1"/>
  <c r="A291" i="43" s="1"/>
  <c r="A292" i="43" s="1"/>
  <c r="A293" i="43" s="1"/>
  <c r="A294" i="43" s="1"/>
  <c r="A295" i="43" s="1"/>
  <c r="A296" i="43" s="1"/>
  <c r="A297" i="43" s="1"/>
  <c r="A298" i="43" s="1"/>
  <c r="A299" i="43" s="1"/>
  <c r="A300" i="43" s="1"/>
  <c r="A301" i="43" s="1"/>
  <c r="A302" i="43" s="1"/>
  <c r="A303" i="43" s="1"/>
  <c r="A304" i="43" s="1"/>
  <c r="A305" i="43" s="1"/>
  <c r="A306" i="43" s="1"/>
  <c r="A307" i="43" s="1"/>
  <c r="A308" i="43" s="1"/>
  <c r="A309" i="43" s="1"/>
  <c r="A310" i="43" s="1"/>
  <c r="A311" i="43" s="1"/>
  <c r="A312" i="43" s="1"/>
  <c r="A313" i="43" s="1"/>
  <c r="A314" i="43" s="1"/>
  <c r="A315" i="43" s="1"/>
  <c r="A316" i="43" s="1"/>
  <c r="A317" i="43" s="1"/>
  <c r="A318" i="43" s="1"/>
  <c r="A319" i="43" s="1"/>
  <c r="A320" i="43" s="1"/>
  <c r="A321" i="43" s="1"/>
  <c r="A322" i="43" s="1"/>
  <c r="A323" i="43" s="1"/>
  <c r="A324" i="43" s="1"/>
  <c r="A325" i="43" s="1"/>
  <c r="A326" i="43" s="1"/>
  <c r="A327" i="43" s="1"/>
  <c r="A328" i="43" s="1"/>
  <c r="A329" i="43" s="1"/>
  <c r="A330" i="43" s="1"/>
  <c r="A331" i="43" s="1"/>
  <c r="A332" i="43" s="1"/>
  <c r="A333" i="43" s="1"/>
  <c r="A181" i="43"/>
  <c r="A182" i="43" s="1"/>
  <c r="A183" i="43" s="1"/>
  <c r="A184" i="43" s="1"/>
  <c r="A185" i="43" s="1"/>
  <c r="A189" i="43" s="1"/>
  <c r="A190" i="43" s="1"/>
  <c r="A191" i="43" s="1"/>
  <c r="A195" i="43" s="1"/>
  <c r="A196" i="43" s="1"/>
  <c r="A197" i="43" s="1"/>
  <c r="A201" i="43" s="1"/>
  <c r="A202" i="43" s="1"/>
  <c r="A203" i="43" s="1"/>
  <c r="A204" i="43" s="1"/>
  <c r="A205" i="43" s="1"/>
  <c r="A206" i="43" s="1"/>
  <c r="A207" i="43" s="1"/>
  <c r="A208" i="43" s="1"/>
  <c r="A209" i="43" s="1"/>
  <c r="A213" i="43" s="1"/>
  <c r="A217" i="43" s="1"/>
  <c r="A218" i="43" s="1"/>
  <c r="A219" i="43" s="1"/>
  <c r="A220" i="43" s="1"/>
  <c r="A221" i="43" s="1"/>
  <c r="A146" i="43"/>
  <c r="A147" i="43" s="1"/>
  <c r="A148" i="43" s="1"/>
  <c r="A149" i="43" s="1"/>
  <c r="A150" i="43" s="1"/>
  <c r="A151" i="43" s="1"/>
  <c r="A152" i="43" s="1"/>
  <c r="A153" i="43" s="1"/>
  <c r="A154" i="43" s="1"/>
  <c r="A155" i="43" s="1"/>
  <c r="A156" i="43" s="1"/>
  <c r="A157" i="43" s="1"/>
  <c r="A158" i="43" s="1"/>
  <c r="A159" i="43" s="1"/>
  <c r="A160" i="43" s="1"/>
  <c r="A161" i="43" s="1"/>
  <c r="A162" i="43" s="1"/>
  <c r="A163" i="43" s="1"/>
  <c r="A164" i="43" s="1"/>
  <c r="A165" i="43" s="1"/>
  <c r="A166" i="43" s="1"/>
  <c r="A167" i="43" s="1"/>
  <c r="A168" i="43" s="1"/>
  <c r="A169" i="43" s="1"/>
  <c r="A170" i="43" s="1"/>
  <c r="A171" i="43" s="1"/>
  <c r="A172" i="43" s="1"/>
  <c r="A173" i="43" s="1"/>
  <c r="A174" i="43" s="1"/>
  <c r="A175" i="43" s="1"/>
  <c r="A176" i="43" s="1"/>
  <c r="A94" i="43"/>
  <c r="A95" i="43" s="1"/>
  <c r="A96" i="43" s="1"/>
  <c r="A97" i="43" s="1"/>
  <c r="A98" i="43" s="1"/>
  <c r="A99" i="43" s="1"/>
  <c r="A100" i="43" s="1"/>
  <c r="A101" i="43" s="1"/>
  <c r="A102" i="43" s="1"/>
  <c r="A103" i="43" s="1"/>
  <c r="A104" i="43" s="1"/>
  <c r="A105" i="43" s="1"/>
  <c r="A106" i="43" s="1"/>
  <c r="A107" i="43" s="1"/>
  <c r="A108" i="43" s="1"/>
  <c r="A109" i="43" s="1"/>
  <c r="A110" i="43" s="1"/>
  <c r="A111" i="43" s="1"/>
  <c r="A112" i="43" s="1"/>
  <c r="A113" i="43" s="1"/>
  <c r="A114" i="43" s="1"/>
  <c r="A115" i="43" s="1"/>
  <c r="A116" i="43" s="1"/>
  <c r="A117" i="43" s="1"/>
  <c r="A118" i="43" s="1"/>
  <c r="A119" i="43" s="1"/>
  <c r="A120" i="43" s="1"/>
  <c r="A121" i="43" s="1"/>
  <c r="A122" i="43" s="1"/>
  <c r="A123" i="43" s="1"/>
  <c r="A124" i="43" s="1"/>
  <c r="A125" i="43" s="1"/>
  <c r="A126" i="43" s="1"/>
  <c r="A127" i="43" s="1"/>
  <c r="A128" i="43" s="1"/>
  <c r="A129" i="43" s="1"/>
  <c r="A130" i="43" s="1"/>
  <c r="A131" i="43" s="1"/>
  <c r="A132" i="43" s="1"/>
  <c r="A133" i="43" s="1"/>
  <c r="A134" i="43" s="1"/>
  <c r="A135" i="43" s="1"/>
  <c r="A136" i="43" s="1"/>
  <c r="A137" i="43" s="1"/>
  <c r="A138" i="43" s="1"/>
  <c r="A139" i="43" s="1"/>
  <c r="A140" i="43" s="1"/>
  <c r="A141" i="43" s="1"/>
  <c r="A43" i="43"/>
  <c r="A44" i="43" s="1"/>
  <c r="A45" i="43" s="1"/>
  <c r="A46" i="43" s="1"/>
  <c r="A47" i="43" s="1"/>
  <c r="A48" i="43" s="1"/>
  <c r="A49" i="43" s="1"/>
  <c r="A50" i="43" s="1"/>
  <c r="A51" i="43" s="1"/>
  <c r="A52" i="43" s="1"/>
  <c r="A53" i="43" s="1"/>
  <c r="A54" i="43" s="1"/>
  <c r="A55" i="43" s="1"/>
  <c r="A56" i="43" s="1"/>
  <c r="A57" i="43" s="1"/>
  <c r="A58" i="43" s="1"/>
  <c r="A59" i="43" s="1"/>
  <c r="A60" i="43" s="1"/>
  <c r="A61" i="43" s="1"/>
  <c r="A62" i="43" s="1"/>
  <c r="A63" i="43" s="1"/>
  <c r="A64" i="43" s="1"/>
  <c r="A65" i="43" s="1"/>
  <c r="A66" i="43" s="1"/>
  <c r="A67" i="43" s="1"/>
  <c r="A68" i="43" s="1"/>
  <c r="A69" i="43" s="1"/>
  <c r="A70" i="43" s="1"/>
  <c r="A71" i="43" s="1"/>
  <c r="A72" i="43" s="1"/>
  <c r="A73" i="43" s="1"/>
  <c r="A74" i="43" s="1"/>
  <c r="A75" i="43" s="1"/>
  <c r="A76" i="43" s="1"/>
  <c r="A77" i="43" s="1"/>
  <c r="A78" i="43" s="1"/>
  <c r="A79" i="43" s="1"/>
  <c r="A80" i="43" s="1"/>
  <c r="A81" i="43" s="1"/>
  <c r="A82" i="43" s="1"/>
  <c r="A83" i="43" s="1"/>
  <c r="A84" i="43" s="1"/>
  <c r="A85" i="43" s="1"/>
  <c r="A86" i="43" s="1"/>
  <c r="A87" i="43" s="1"/>
  <c r="A88" i="43" s="1"/>
  <c r="A89" i="43" s="1"/>
  <c r="A13" i="43"/>
  <c r="A14" i="43" s="1"/>
  <c r="A15" i="43" s="1"/>
  <c r="A16" i="43" s="1"/>
  <c r="A17" i="43" s="1"/>
  <c r="A18" i="43" s="1"/>
  <c r="A19" i="43" s="1"/>
  <c r="A20" i="43" s="1"/>
  <c r="A21" i="43" s="1"/>
  <c r="A22" i="43" s="1"/>
  <c r="A23" i="43" s="1"/>
  <c r="A24" i="43" s="1"/>
  <c r="A25" i="43" s="1"/>
  <c r="A26" i="43" s="1"/>
  <c r="A27" i="43" s="1"/>
  <c r="A28" i="43" s="1"/>
  <c r="A29" i="43" s="1"/>
  <c r="A30" i="43" s="1"/>
  <c r="A31" i="43" s="1"/>
  <c r="A32" i="43" s="1"/>
  <c r="A33" i="43" s="1"/>
  <c r="A34" i="43" s="1"/>
  <c r="A35" i="43" s="1"/>
  <c r="A36" i="43" s="1"/>
  <c r="A37" i="43" s="1"/>
  <c r="A38" i="43" s="1"/>
  <c r="G4312" i="42"/>
  <c r="G4309" i="42"/>
  <c r="G4308" i="42"/>
  <c r="G4307" i="42"/>
  <c r="G4306" i="42"/>
  <c r="G4296" i="42"/>
  <c r="G4295" i="42"/>
  <c r="G4294" i="42"/>
  <c r="G4292" i="42"/>
  <c r="G4291" i="42"/>
  <c r="G4289" i="42"/>
  <c r="G4288" i="42"/>
  <c r="G4285" i="42"/>
  <c r="G4284" i="42"/>
  <c r="G4283" i="42"/>
  <c r="G4282" i="42"/>
  <c r="G4272" i="42"/>
  <c r="G4271" i="42"/>
  <c r="G4270" i="42"/>
  <c r="G4268" i="42"/>
  <c r="G4267" i="42"/>
  <c r="G4265" i="42"/>
  <c r="G4264" i="42"/>
  <c r="G4261" i="42"/>
  <c r="G4260" i="42"/>
  <c r="G4259" i="42"/>
  <c r="G4258" i="42"/>
  <c r="G4248" i="42"/>
  <c r="G4247" i="42"/>
  <c r="G4246" i="42"/>
  <c r="G4244" i="42"/>
  <c r="G4243" i="42"/>
  <c r="G4241" i="42"/>
  <c r="G4240" i="42"/>
  <c r="G4237" i="42"/>
  <c r="G4236" i="42"/>
  <c r="G4235" i="42"/>
  <c r="G4234" i="42"/>
  <c r="G4224" i="42"/>
  <c r="G4223" i="42"/>
  <c r="G4222" i="42"/>
  <c r="G4220" i="42"/>
  <c r="G4219" i="42"/>
  <c r="G4217" i="42"/>
  <c r="G4216" i="42"/>
  <c r="G4213" i="42"/>
  <c r="G4212" i="42"/>
  <c r="G4211" i="42"/>
  <c r="G4210" i="42"/>
  <c r="G4200" i="42"/>
  <c r="G4199" i="42"/>
  <c r="G4196" i="42"/>
  <c r="G4195" i="42"/>
  <c r="G4194" i="42"/>
  <c r="G4193" i="42"/>
  <c r="G4183" i="42"/>
  <c r="G4180" i="42"/>
  <c r="G4170" i="42"/>
  <c r="G4167" i="42"/>
  <c r="D4166" i="42"/>
  <c r="G4165" i="42"/>
  <c r="G4164" i="42"/>
  <c r="G4154" i="42"/>
  <c r="G4151" i="42"/>
  <c r="G4150" i="42"/>
  <c r="G4149" i="42"/>
  <c r="G4148" i="42"/>
  <c r="G4138" i="42"/>
  <c r="G4135" i="42"/>
  <c r="G4134" i="42"/>
  <c r="G4133" i="42"/>
  <c r="G4132" i="42"/>
  <c r="G4123" i="42"/>
  <c r="G4120" i="42"/>
  <c r="G4119" i="42"/>
  <c r="G4118" i="42"/>
  <c r="G4117" i="42"/>
  <c r="G4112" i="42"/>
  <c r="G4109" i="42"/>
  <c r="G4108" i="42"/>
  <c r="G4107" i="42"/>
  <c r="G4106" i="42"/>
  <c r="G4095" i="42"/>
  <c r="G4093" i="42"/>
  <c r="G4082" i="42"/>
  <c r="G4080" i="42"/>
  <c r="G4069" i="42"/>
  <c r="G4067" i="42"/>
  <c r="G4056" i="42"/>
  <c r="G4054" i="42"/>
  <c r="G4043" i="42"/>
  <c r="G4041" i="42"/>
  <c r="D4030" i="42"/>
  <c r="G4020" i="42"/>
  <c r="G4019" i="42"/>
  <c r="G4018" i="42"/>
  <c r="G4015" i="42"/>
  <c r="G4014" i="42"/>
  <c r="G4013" i="42"/>
  <c r="G4012" i="42"/>
  <c r="G4002" i="42"/>
  <c r="G4001" i="42"/>
  <c r="G4000" i="42"/>
  <c r="G3999" i="42"/>
  <c r="G3996" i="42"/>
  <c r="G3995" i="42"/>
  <c r="G3994" i="42"/>
  <c r="G3993" i="42"/>
  <c r="G3986" i="42"/>
  <c r="G3979" i="42"/>
  <c r="G3978" i="42"/>
  <c r="G3974" i="42"/>
  <c r="G3973" i="42"/>
  <c r="G3963" i="42"/>
  <c r="G3962" i="42"/>
  <c r="G3959" i="42"/>
  <c r="G3958" i="42"/>
  <c r="G3957" i="42"/>
  <c r="G3956" i="42"/>
  <c r="G3939" i="42"/>
  <c r="G3938" i="42"/>
  <c r="G3935" i="42"/>
  <c r="G3934" i="42"/>
  <c r="G3933" i="42"/>
  <c r="G3932" i="42"/>
  <c r="G3923" i="42"/>
  <c r="G3911" i="42"/>
  <c r="G3910" i="42"/>
  <c r="G3909" i="42"/>
  <c r="G3908" i="42"/>
  <c r="G3898" i="42"/>
  <c r="G3897" i="42"/>
  <c r="G3895" i="42"/>
  <c r="G3892" i="42"/>
  <c r="G3891" i="42"/>
  <c r="G3890" i="42"/>
  <c r="G3889" i="42"/>
  <c r="G3879" i="42"/>
  <c r="G3878" i="42"/>
  <c r="G3874" i="42"/>
  <c r="G3873" i="42"/>
  <c r="G3872" i="42"/>
  <c r="G3871" i="42"/>
  <c r="G3861" i="42"/>
  <c r="G3858" i="42"/>
  <c r="G3857" i="42"/>
  <c r="G3856" i="42"/>
  <c r="G3855" i="42"/>
  <c r="G3845" i="42"/>
  <c r="G3842" i="42"/>
  <c r="D3841" i="42"/>
  <c r="G3840" i="42"/>
  <c r="G3839" i="42"/>
  <c r="G3828" i="42"/>
  <c r="D3825" i="42"/>
  <c r="G3824" i="42"/>
  <c r="G3813" i="42"/>
  <c r="G3810" i="42"/>
  <c r="G3809" i="42"/>
  <c r="G3808" i="42"/>
  <c r="G3807" i="42"/>
  <c r="G3797" i="42"/>
  <c r="G3794" i="42"/>
  <c r="G3793" i="42"/>
  <c r="G3792" i="42"/>
  <c r="G3791" i="42"/>
  <c r="G3781" i="42"/>
  <c r="G3778" i="42"/>
  <c r="G3777" i="42"/>
  <c r="G3776" i="42"/>
  <c r="G3775" i="42"/>
  <c r="G3768" i="42"/>
  <c r="D3762" i="42"/>
  <c r="G3762" i="42" s="1"/>
  <c r="G3751" i="42"/>
  <c r="G3746" i="42"/>
  <c r="G3745" i="42"/>
  <c r="G3737" i="42"/>
  <c r="G3732" i="42"/>
  <c r="G3731" i="42"/>
  <c r="G3721" i="42"/>
  <c r="G3720" i="42"/>
  <c r="G3719" i="42"/>
  <c r="G3716" i="42"/>
  <c r="G3715" i="42"/>
  <c r="G3714" i="42"/>
  <c r="G3705" i="42"/>
  <c r="G3704" i="42"/>
  <c r="G3703" i="42"/>
  <c r="G3699" i="42"/>
  <c r="G3689" i="42"/>
  <c r="G3688" i="42"/>
  <c r="G3687" i="42"/>
  <c r="G3682" i="42"/>
  <c r="G3681" i="42"/>
  <c r="G3673" i="42"/>
  <c r="G3671" i="42"/>
  <c r="G3670" i="42"/>
  <c r="G3667" i="42"/>
  <c r="G3666" i="42"/>
  <c r="G3665" i="42"/>
  <c r="G3662" i="42"/>
  <c r="G3661" i="42"/>
  <c r="G3653" i="42"/>
  <c r="G3652" i="42"/>
  <c r="G3645" i="42"/>
  <c r="G3639" i="42"/>
  <c r="G3638" i="42"/>
  <c r="G3630" i="42"/>
  <c r="G3631" i="42" s="1"/>
  <c r="G3627" i="42"/>
  <c r="G3626" i="42"/>
  <c r="G3625" i="42"/>
  <c r="G3624" i="42"/>
  <c r="G3617" i="42"/>
  <c r="G3614" i="42"/>
  <c r="G3610" i="42"/>
  <c r="G3600" i="42"/>
  <c r="G3598" i="42"/>
  <c r="G3587" i="42"/>
  <c r="G3585" i="42"/>
  <c r="G3573" i="42"/>
  <c r="G3570" i="42"/>
  <c r="G3569" i="42"/>
  <c r="G3568" i="42"/>
  <c r="G3567" i="42"/>
  <c r="G3557" i="42"/>
  <c r="G3554" i="42"/>
  <c r="G3553" i="42"/>
  <c r="G3552" i="42"/>
  <c r="G3551" i="42"/>
  <c r="G3541" i="42"/>
  <c r="G3538" i="42"/>
  <c r="G3537" i="42"/>
  <c r="G3536" i="42"/>
  <c r="G3535" i="42"/>
  <c r="G3525" i="42"/>
  <c r="G3522" i="42"/>
  <c r="G3521" i="42"/>
  <c r="G3520" i="42"/>
  <c r="G3519" i="42"/>
  <c r="G3509" i="42"/>
  <c r="G3506" i="42"/>
  <c r="G3505" i="42"/>
  <c r="G3504" i="42"/>
  <c r="G3503" i="42"/>
  <c r="G3493" i="42"/>
  <c r="G3490" i="42"/>
  <c r="G3489" i="42"/>
  <c r="G3488" i="42"/>
  <c r="G3487" i="42"/>
  <c r="G3477" i="42"/>
  <c r="G3474" i="42"/>
  <c r="G3473" i="42"/>
  <c r="G3472" i="42"/>
  <c r="G3471" i="42"/>
  <c r="G3461" i="42"/>
  <c r="G3458" i="42"/>
  <c r="G3457" i="42"/>
  <c r="G3456" i="42"/>
  <c r="G3455" i="42"/>
  <c r="G3448" i="42"/>
  <c r="G3442" i="42"/>
  <c r="G3441" i="42"/>
  <c r="G3425" i="42"/>
  <c r="G3422" i="42"/>
  <c r="G3421" i="42"/>
  <c r="G3420" i="42"/>
  <c r="G3419" i="42"/>
  <c r="G3411" i="42"/>
  <c r="G3408" i="42"/>
  <c r="G3405" i="42"/>
  <c r="G3404" i="42"/>
  <c r="G3403" i="42"/>
  <c r="G3402" i="42"/>
  <c r="G3394" i="42"/>
  <c r="G3391" i="42"/>
  <c r="G3386" i="42"/>
  <c r="G3385" i="42"/>
  <c r="G3384" i="42"/>
  <c r="G3374" i="42"/>
  <c r="G3372" i="42"/>
  <c r="G3361" i="42"/>
  <c r="G3359" i="42"/>
  <c r="G3348" i="42"/>
  <c r="G3345" i="42"/>
  <c r="G3344" i="42"/>
  <c r="G3343" i="42"/>
  <c r="G3342" i="42"/>
  <c r="H3332" i="42"/>
  <c r="H3348" i="42" s="1"/>
  <c r="H3361" i="42" s="1"/>
  <c r="H3374" i="42" s="1"/>
  <c r="H3391" i="42" s="1"/>
  <c r="G3332" i="42"/>
  <c r="G3329" i="42"/>
  <c r="G3328" i="42"/>
  <c r="G3327" i="42"/>
  <c r="G3326" i="42"/>
  <c r="G3316" i="42"/>
  <c r="G3313" i="42"/>
  <c r="G3312" i="42"/>
  <c r="G3311" i="42"/>
  <c r="G3310" i="42"/>
  <c r="G3300" i="42"/>
  <c r="G3297" i="42"/>
  <c r="G3296" i="42"/>
  <c r="G3295" i="42"/>
  <c r="G3294" i="42"/>
  <c r="G3284" i="42"/>
  <c r="G3281" i="42"/>
  <c r="G3280" i="42"/>
  <c r="G3279" i="42"/>
  <c r="G3278" i="42"/>
  <c r="G3268" i="42"/>
  <c r="G3267" i="42"/>
  <c r="G3264" i="42"/>
  <c r="G3263" i="42"/>
  <c r="G3262" i="42"/>
  <c r="G3261" i="42"/>
  <c r="G3251" i="42"/>
  <c r="H3250" i="42"/>
  <c r="G3250" i="42"/>
  <c r="G3247" i="42"/>
  <c r="G3246" i="42"/>
  <c r="G3245" i="42"/>
  <c r="G3244" i="42"/>
  <c r="G3234" i="42"/>
  <c r="G3233" i="42"/>
  <c r="G3232" i="42"/>
  <c r="G3229" i="42"/>
  <c r="G3228" i="42"/>
  <c r="G3227" i="42"/>
  <c r="G3226" i="42"/>
  <c r="G3216" i="42"/>
  <c r="G3215" i="42"/>
  <c r="G3212" i="42"/>
  <c r="G3211" i="42"/>
  <c r="G3210" i="42"/>
  <c r="G3209" i="42"/>
  <c r="G3199" i="42"/>
  <c r="G3198" i="42"/>
  <c r="G3195" i="42"/>
  <c r="G3194" i="42"/>
  <c r="G3193" i="42"/>
  <c r="G3192" i="42"/>
  <c r="G3182" i="42"/>
  <c r="G3178" i="42"/>
  <c r="G3177" i="42"/>
  <c r="G3176" i="42"/>
  <c r="G3175" i="42"/>
  <c r="G3165" i="42"/>
  <c r="G3164" i="42"/>
  <c r="G3163" i="42"/>
  <c r="G3160" i="42"/>
  <c r="G3159" i="42"/>
  <c r="G3158" i="42"/>
  <c r="G3157" i="42"/>
  <c r="H3147" i="42"/>
  <c r="G3147" i="42"/>
  <c r="G3146" i="42"/>
  <c r="G3143" i="42"/>
  <c r="G3142" i="42"/>
  <c r="G3141" i="42"/>
  <c r="G3140" i="42"/>
  <c r="G3130" i="42"/>
  <c r="G3129" i="42"/>
  <c r="G3126" i="42"/>
  <c r="G3125" i="42"/>
  <c r="G3124" i="42"/>
  <c r="G3123" i="42"/>
  <c r="G3113" i="42"/>
  <c r="G3112" i="42"/>
  <c r="G3109" i="42"/>
  <c r="G3108" i="42"/>
  <c r="G3107" i="42"/>
  <c r="G3106" i="42"/>
  <c r="G3095" i="42"/>
  <c r="G3092" i="42"/>
  <c r="G3091" i="42"/>
  <c r="G3090" i="42"/>
  <c r="G3089" i="42"/>
  <c r="G3079" i="42"/>
  <c r="G3076" i="42"/>
  <c r="G3075" i="42"/>
  <c r="G3074" i="42"/>
  <c r="G3064" i="42"/>
  <c r="G3063" i="42"/>
  <c r="G3060" i="42"/>
  <c r="G3059" i="42"/>
  <c r="G3058" i="42"/>
  <c r="G3057" i="42"/>
  <c r="G3047" i="42"/>
  <c r="G3046" i="42"/>
  <c r="G3043" i="42"/>
  <c r="G3042" i="42"/>
  <c r="G3041" i="42"/>
  <c r="G3040" i="42"/>
  <c r="G3030" i="42"/>
  <c r="G3029" i="42"/>
  <c r="G3026" i="42"/>
  <c r="G3025" i="42"/>
  <c r="G3024" i="42"/>
  <c r="G3023" i="42"/>
  <c r="G3013" i="42"/>
  <c r="G3012" i="42"/>
  <c r="G3009" i="42"/>
  <c r="G3008" i="42"/>
  <c r="G3007" i="42"/>
  <c r="G3006" i="42"/>
  <c r="G2995" i="42"/>
  <c r="G2994" i="42"/>
  <c r="G2991" i="42"/>
  <c r="G2990" i="42"/>
  <c r="G2989" i="42"/>
  <c r="G2988" i="42"/>
  <c r="G2980" i="42"/>
  <c r="G2979" i="42"/>
  <c r="G2976" i="42"/>
  <c r="G2975" i="42"/>
  <c r="G2974" i="42"/>
  <c r="G2973" i="42"/>
  <c r="G2965" i="42"/>
  <c r="G2962" i="42"/>
  <c r="G2961" i="42"/>
  <c r="G2960" i="42"/>
  <c r="G2959" i="42"/>
  <c r="G2949" i="42"/>
  <c r="G2950" i="42" s="1"/>
  <c r="G2953" i="42" s="1"/>
  <c r="G2939" i="42"/>
  <c r="G2938" i="42"/>
  <c r="G2935" i="42"/>
  <c r="G2934" i="42"/>
  <c r="G2933" i="42"/>
  <c r="G2932" i="42"/>
  <c r="G2924" i="42"/>
  <c r="G2923" i="42"/>
  <c r="G2920" i="42"/>
  <c r="G2919" i="42"/>
  <c r="G2918" i="42"/>
  <c r="G2917" i="42"/>
  <c r="G2909" i="42"/>
  <c r="G2908" i="42"/>
  <c r="G2905" i="42"/>
  <c r="G2904" i="42"/>
  <c r="G2903" i="42"/>
  <c r="G2902" i="42"/>
  <c r="G2894" i="42"/>
  <c r="G2891" i="42"/>
  <c r="G2890" i="42"/>
  <c r="G2889" i="42"/>
  <c r="G2888" i="42"/>
  <c r="G2880" i="42"/>
  <c r="G2877" i="42"/>
  <c r="G2876" i="42"/>
  <c r="G2875" i="42"/>
  <c r="G2874" i="42"/>
  <c r="G2866" i="42"/>
  <c r="G2864" i="42"/>
  <c r="G2853" i="42"/>
  <c r="G2850" i="42"/>
  <c r="G2849" i="42"/>
  <c r="G2848" i="42"/>
  <c r="G2847" i="42"/>
  <c r="G2839" i="42"/>
  <c r="G2836" i="42"/>
  <c r="G2835" i="42"/>
  <c r="G2834" i="42"/>
  <c r="G2833" i="42"/>
  <c r="G2825" i="42"/>
  <c r="G2822" i="42"/>
  <c r="G2821" i="42"/>
  <c r="G2820" i="42"/>
  <c r="G2819" i="42"/>
  <c r="G2811" i="42"/>
  <c r="G2808" i="42"/>
  <c r="G2807" i="42"/>
  <c r="G2806" i="42"/>
  <c r="G2805" i="42"/>
  <c r="G2797" i="42"/>
  <c r="G2794" i="42"/>
  <c r="G2793" i="42"/>
  <c r="G2792" i="42"/>
  <c r="G2791" i="42"/>
  <c r="G2783" i="42"/>
  <c r="G2782" i="42"/>
  <c r="G2781" i="42"/>
  <c r="G2780" i="42"/>
  <c r="G2777" i="42"/>
  <c r="G2769" i="42"/>
  <c r="G2767" i="42"/>
  <c r="G2758" i="42"/>
  <c r="G2757" i="42"/>
  <c r="G2756" i="42"/>
  <c r="G2755" i="42"/>
  <c r="G2752" i="42"/>
  <c r="G2744" i="42"/>
  <c r="G2741" i="42"/>
  <c r="G2740" i="42"/>
  <c r="G2739" i="42"/>
  <c r="G2738" i="42"/>
  <c r="G2730" i="42"/>
  <c r="G2729" i="42"/>
  <c r="G2726" i="42"/>
  <c r="G2725" i="42"/>
  <c r="G2724" i="42"/>
  <c r="G2723" i="42"/>
  <c r="G2715" i="42"/>
  <c r="G2714" i="42"/>
  <c r="G2711" i="42"/>
  <c r="G2710" i="42"/>
  <c r="G2709" i="42"/>
  <c r="G2708" i="42"/>
  <c r="G2700" i="42"/>
  <c r="G2697" i="42"/>
  <c r="G2696" i="42"/>
  <c r="G2695" i="42"/>
  <c r="G2694" i="42"/>
  <c r="G2686" i="42"/>
  <c r="G2683" i="42"/>
  <c r="G2682" i="42"/>
  <c r="G2681" i="42"/>
  <c r="G2680" i="42"/>
  <c r="G2672" i="42"/>
  <c r="G2669" i="42"/>
  <c r="G2668" i="42"/>
  <c r="G2667" i="42"/>
  <c r="G2666" i="42"/>
  <c r="G2658" i="42"/>
  <c r="G2655" i="42"/>
  <c r="G2654" i="42"/>
  <c r="G2653" i="42"/>
  <c r="G2652" i="42"/>
  <c r="G2644" i="42"/>
  <c r="G2641" i="42"/>
  <c r="G2640" i="42"/>
  <c r="G2639" i="42"/>
  <c r="G2638" i="42"/>
  <c r="G2630" i="42"/>
  <c r="G2629" i="42"/>
  <c r="G2628" i="42"/>
  <c r="G2627" i="42"/>
  <c r="G2626" i="42"/>
  <c r="G2625" i="42"/>
  <c r="G2622" i="42"/>
  <c r="G2621" i="42"/>
  <c r="G2620" i="42"/>
  <c r="G2619" i="42"/>
  <c r="G2611" i="42"/>
  <c r="G2610" i="42"/>
  <c r="G2609" i="42"/>
  <c r="G2608" i="42"/>
  <c r="G2607" i="42"/>
  <c r="G2606" i="42"/>
  <c r="G2605" i="42"/>
  <c r="G2604" i="42"/>
  <c r="G2603" i="42"/>
  <c r="G2600" i="42"/>
  <c r="G2599" i="42"/>
  <c r="G2598" i="42"/>
  <c r="G2597" i="42"/>
  <c r="G2589" i="42"/>
  <c r="G2588" i="42"/>
  <c r="G2587" i="42"/>
  <c r="G2586" i="42"/>
  <c r="G2585" i="42"/>
  <c r="G2584" i="42"/>
  <c r="G2583" i="42"/>
  <c r="G2582" i="42"/>
  <c r="G2581" i="42"/>
  <c r="G2578" i="42"/>
  <c r="G2577" i="42"/>
  <c r="G2576" i="42"/>
  <c r="G2575" i="42"/>
  <c r="G2567" i="42"/>
  <c r="G2565" i="42"/>
  <c r="G2556" i="42"/>
  <c r="G2554" i="42"/>
  <c r="G2545" i="42"/>
  <c r="G2544" i="42"/>
  <c r="G2543" i="42"/>
  <c r="G2542" i="42"/>
  <c r="G2541" i="42"/>
  <c r="G2540" i="42"/>
  <c r="G2538" i="42"/>
  <c r="G2529" i="42"/>
  <c r="G2528" i="42"/>
  <c r="G2527" i="42"/>
  <c r="G2526" i="42"/>
  <c r="G2525" i="42"/>
  <c r="G2524" i="42"/>
  <c r="G2522" i="42"/>
  <c r="G2513" i="42"/>
  <c r="G2512" i="42"/>
  <c r="G2511" i="42"/>
  <c r="G2510" i="42"/>
  <c r="G2509" i="42"/>
  <c r="G2508" i="42"/>
  <c r="G2507" i="42"/>
  <c r="G2506" i="42"/>
  <c r="G2505" i="42"/>
  <c r="G2504" i="42"/>
  <c r="G2501" i="42"/>
  <c r="G2500" i="42"/>
  <c r="G2499" i="42"/>
  <c r="G2498" i="42"/>
  <c r="G2490" i="42"/>
  <c r="G2489" i="42"/>
  <c r="G2488" i="42"/>
  <c r="G2487" i="42"/>
  <c r="G2486" i="42"/>
  <c r="G2485" i="42"/>
  <c r="G2484" i="42"/>
  <c r="G2483" i="42"/>
  <c r="G2482" i="42"/>
  <c r="G2481" i="42"/>
  <c r="G2478" i="42"/>
  <c r="G2477" i="42"/>
  <c r="G2476" i="42"/>
  <c r="G2475" i="42"/>
  <c r="G2467" i="42"/>
  <c r="G2466" i="42"/>
  <c r="G2465" i="42"/>
  <c r="G2464" i="42"/>
  <c r="G2463" i="42"/>
  <c r="G2462" i="42"/>
  <c r="G2461" i="42"/>
  <c r="G2460" i="42"/>
  <c r="G2459" i="42"/>
  <c r="G2458" i="42"/>
  <c r="G2455" i="42"/>
  <c r="G2454" i="42"/>
  <c r="G2453" i="42"/>
  <c r="G2452" i="42"/>
  <c r="G2442" i="42"/>
  <c r="G2441" i="42"/>
  <c r="G2438" i="42"/>
  <c r="G2428" i="42"/>
  <c r="G2426" i="42"/>
  <c r="G2415" i="42"/>
  <c r="G2413" i="42"/>
  <c r="G2402" i="42"/>
  <c r="G2399" i="42"/>
  <c r="G2398" i="42"/>
  <c r="G2397" i="42"/>
  <c r="G2396" i="42"/>
  <c r="G2388" i="42"/>
  <c r="G2385" i="42"/>
  <c r="G2384" i="42"/>
  <c r="G2383" i="42"/>
  <c r="G2382" i="42"/>
  <c r="G2374" i="42"/>
  <c r="G2371" i="42"/>
  <c r="G2370" i="42"/>
  <c r="G2369" i="42"/>
  <c r="G2368" i="42"/>
  <c r="G2360" i="42"/>
  <c r="G2357" i="42"/>
  <c r="G2356" i="42"/>
  <c r="G2355" i="42"/>
  <c r="G2354" i="42"/>
  <c r="G2346" i="42"/>
  <c r="G2343" i="42"/>
  <c r="G2342" i="42"/>
  <c r="G2341" i="42"/>
  <c r="G2340" i="42"/>
  <c r="G2332" i="42"/>
  <c r="G2329" i="42"/>
  <c r="G2328" i="42"/>
  <c r="G2327" i="42"/>
  <c r="G2326" i="42"/>
  <c r="G2318" i="42"/>
  <c r="G2315" i="42"/>
  <c r="G2314" i="42"/>
  <c r="G2313" i="42"/>
  <c r="G2312" i="42"/>
  <c r="G2304" i="42"/>
  <c r="G2301" i="42"/>
  <c r="G2300" i="42"/>
  <c r="G2299" i="42"/>
  <c r="G2298" i="42"/>
  <c r="G2290" i="42"/>
  <c r="G2289" i="42"/>
  <c r="G2286" i="42"/>
  <c r="G2285" i="42"/>
  <c r="G2284" i="42"/>
  <c r="G2283" i="42"/>
  <c r="G2275" i="42"/>
  <c r="G2274" i="42"/>
  <c r="G2271" i="42"/>
  <c r="G2270" i="42"/>
  <c r="G2269" i="42"/>
  <c r="G2268" i="42"/>
  <c r="G2260" i="42"/>
  <c r="G2259" i="42"/>
  <c r="G2256" i="42"/>
  <c r="G2255" i="42"/>
  <c r="G2254" i="42"/>
  <c r="G2253" i="42"/>
  <c r="G2245" i="42"/>
  <c r="G2244" i="42"/>
  <c r="G2241" i="42"/>
  <c r="G2240" i="42"/>
  <c r="G2239" i="42"/>
  <c r="G2238" i="42"/>
  <c r="G2230" i="42"/>
  <c r="G2229" i="42"/>
  <c r="G2228" i="42"/>
  <c r="G2225" i="42"/>
  <c r="G2224" i="42"/>
  <c r="G2223" i="42"/>
  <c r="G2222" i="42"/>
  <c r="G2214" i="42"/>
  <c r="G2211" i="42"/>
  <c r="G2210" i="42"/>
  <c r="G2209" i="42"/>
  <c r="G2208" i="42"/>
  <c r="G2200" i="42"/>
  <c r="G2196" i="42"/>
  <c r="G2195" i="42"/>
  <c r="G2194" i="42"/>
  <c r="G2193" i="42"/>
  <c r="G2185" i="42"/>
  <c r="G2184" i="42"/>
  <c r="G2183" i="42"/>
  <c r="G2180" i="42"/>
  <c r="G2179" i="42"/>
  <c r="G2178" i="42"/>
  <c r="G2177" i="42"/>
  <c r="G2169" i="42"/>
  <c r="G2167" i="42"/>
  <c r="G2158" i="42"/>
  <c r="G2157" i="42"/>
  <c r="G2156" i="42"/>
  <c r="G2153" i="42"/>
  <c r="G2152" i="42"/>
  <c r="G2151" i="42"/>
  <c r="G2150" i="42"/>
  <c r="G2142" i="42"/>
  <c r="G2141" i="42"/>
  <c r="G2138" i="42"/>
  <c r="G2137" i="42"/>
  <c r="G2136" i="42"/>
  <c r="G2135" i="42"/>
  <c r="G2127" i="42"/>
  <c r="G2126" i="42"/>
  <c r="G2125" i="42"/>
  <c r="G2122" i="42"/>
  <c r="G2121" i="42"/>
  <c r="G2120" i="42"/>
  <c r="G2119" i="42"/>
  <c r="G2111" i="42"/>
  <c r="G2110" i="42"/>
  <c r="G2109" i="42"/>
  <c r="G2106" i="42"/>
  <c r="G2105" i="42"/>
  <c r="G2104" i="42"/>
  <c r="G2103" i="42"/>
  <c r="G2093" i="42"/>
  <c r="G2089" i="42"/>
  <c r="G2088" i="42"/>
  <c r="G2087" i="42"/>
  <c r="G2086" i="42"/>
  <c r="G2076" i="42"/>
  <c r="G2075" i="42"/>
  <c r="G2072" i="42"/>
  <c r="G2071" i="42"/>
  <c r="G2070" i="42"/>
  <c r="G2069" i="42"/>
  <c r="G2065" i="42"/>
  <c r="G2064" i="42"/>
  <c r="G2061" i="42"/>
  <c r="G2060" i="42"/>
  <c r="G2059" i="42"/>
  <c r="G2058" i="42"/>
  <c r="G2047" i="42"/>
  <c r="G2046" i="42"/>
  <c r="G2043" i="42"/>
  <c r="G2042" i="42"/>
  <c r="G2041" i="42"/>
  <c r="G2040" i="42"/>
  <c r="G2036" i="42"/>
  <c r="G2035" i="42"/>
  <c r="G2032" i="42"/>
  <c r="G2031" i="42"/>
  <c r="G2030" i="42"/>
  <c r="G2029" i="42"/>
  <c r="G2020" i="42"/>
  <c r="G2019" i="42"/>
  <c r="G2016" i="42"/>
  <c r="G2015" i="42"/>
  <c r="G2014" i="42"/>
  <c r="G2013" i="42"/>
  <c r="G2008" i="42"/>
  <c r="G2005" i="42"/>
  <c r="G2004" i="42"/>
  <c r="G2003" i="42"/>
  <c r="G2002" i="42"/>
  <c r="G1991" i="42"/>
  <c r="G1990" i="42"/>
  <c r="G1987" i="42"/>
  <c r="G1986" i="42"/>
  <c r="G1985" i="42"/>
  <c r="G1984" i="42"/>
  <c r="G1980" i="42"/>
  <c r="G1979" i="42"/>
  <c r="G1976" i="42"/>
  <c r="G1975" i="42"/>
  <c r="G1974" i="42"/>
  <c r="G1973" i="42"/>
  <c r="G1965" i="42"/>
  <c r="G1961" i="42"/>
  <c r="G1953" i="42"/>
  <c r="G1949" i="42"/>
  <c r="G1942" i="42"/>
  <c r="G1938" i="42"/>
  <c r="G1931" i="42"/>
  <c r="G1927" i="42"/>
  <c r="G1920" i="42"/>
  <c r="G1916" i="42"/>
  <c r="G1909" i="42"/>
  <c r="G1905" i="42"/>
  <c r="G1898" i="42"/>
  <c r="G1894" i="42"/>
  <c r="G1886" i="42"/>
  <c r="G1885" i="42"/>
  <c r="G1884" i="42"/>
  <c r="G1881" i="42"/>
  <c r="G1880" i="42"/>
  <c r="G1879" i="42"/>
  <c r="G1878" i="42"/>
  <c r="G1870" i="42"/>
  <c r="G1869" i="42"/>
  <c r="G1868" i="42"/>
  <c r="G1865" i="42"/>
  <c r="G1864" i="42"/>
  <c r="G1863" i="42"/>
  <c r="G1862" i="42"/>
  <c r="G1854" i="42"/>
  <c r="G1853" i="42"/>
  <c r="G1852" i="42"/>
  <c r="G1849" i="42"/>
  <c r="G1848" i="42"/>
  <c r="G1847" i="42"/>
  <c r="G1846" i="42"/>
  <c r="G1838" i="42"/>
  <c r="H1837" i="42"/>
  <c r="H1854" i="42" s="1"/>
  <c r="G1837" i="42"/>
  <c r="G1836" i="42"/>
  <c r="G1833" i="42"/>
  <c r="G1832" i="42"/>
  <c r="G1831" i="42"/>
  <c r="G1830" i="42"/>
  <c r="G1822" i="42"/>
  <c r="G1821" i="42"/>
  <c r="G1820" i="42"/>
  <c r="P390" i="40"/>
  <c r="A390" i="40"/>
  <c r="A391" i="40" s="1"/>
  <c r="A392" i="40" s="1"/>
  <c r="P389" i="40"/>
  <c r="N388" i="40"/>
  <c r="P388" i="40" s="1"/>
  <c r="N375" i="40"/>
  <c r="P375" i="40" s="1"/>
  <c r="C368" i="40"/>
  <c r="N368" i="40" s="1"/>
  <c r="N367" i="40"/>
  <c r="N366" i="40"/>
  <c r="N361" i="40"/>
  <c r="N357" i="40"/>
  <c r="N356" i="40"/>
  <c r="C353" i="40"/>
  <c r="N353" i="40" s="1"/>
  <c r="N346" i="40"/>
  <c r="E341" i="40"/>
  <c r="D341" i="40"/>
  <c r="N326" i="40"/>
  <c r="P326" i="40" s="1"/>
  <c r="M314" i="40"/>
  <c r="N313" i="40"/>
  <c r="P313" i="40" s="1"/>
  <c r="A307" i="40"/>
  <c r="A317" i="40" s="1"/>
  <c r="A322" i="40" s="1"/>
  <c r="E304" i="40"/>
  <c r="N301" i="40"/>
  <c r="P301" i="40" s="1"/>
  <c r="N300" i="40"/>
  <c r="P300" i="40" s="1"/>
  <c r="H288" i="40"/>
  <c r="H289" i="40" s="1"/>
  <c r="H290" i="40" s="1"/>
  <c r="N287" i="40"/>
  <c r="N286" i="40"/>
  <c r="N281" i="40"/>
  <c r="N278" i="40"/>
  <c r="P278" i="40" s="1"/>
  <c r="N277" i="40"/>
  <c r="P277" i="40" s="1"/>
  <c r="N270" i="40"/>
  <c r="N260" i="40"/>
  <c r="P260" i="40" s="1"/>
  <c r="N256" i="40"/>
  <c r="P256" i="40" s="1"/>
  <c r="N252" i="40"/>
  <c r="P252" i="40" s="1"/>
  <c r="N243" i="40"/>
  <c r="P243" i="40" s="1"/>
  <c r="C231" i="40"/>
  <c r="N231" i="40" s="1"/>
  <c r="N230" i="40"/>
  <c r="C226" i="40"/>
  <c r="N224" i="40"/>
  <c r="N220" i="40"/>
  <c r="N210" i="40"/>
  <c r="N209" i="40"/>
  <c r="N206" i="40"/>
  <c r="N203" i="40"/>
  <c r="N201" i="40"/>
  <c r="N197" i="40"/>
  <c r="N192" i="40"/>
  <c r="A190" i="40"/>
  <c r="A195" i="40" s="1"/>
  <c r="A233" i="40" s="1"/>
  <c r="E177" i="40"/>
  <c r="E178" i="40" s="1"/>
  <c r="E173" i="40"/>
  <c r="L171" i="40"/>
  <c r="N166" i="40"/>
  <c r="L160" i="40"/>
  <c r="N151" i="40"/>
  <c r="P151" i="40" s="1"/>
  <c r="E158" i="29"/>
  <c r="C156" i="29"/>
  <c r="N155" i="29"/>
  <c r="N152" i="29"/>
  <c r="N142" i="29"/>
  <c r="N143" i="29" s="1"/>
  <c r="P143" i="29" s="1"/>
  <c r="N123" i="29"/>
  <c r="M115" i="29"/>
  <c r="M116" i="29" s="1"/>
  <c r="P113" i="29"/>
  <c r="M109" i="29"/>
  <c r="M110" i="29" s="1"/>
  <c r="M111" i="29" s="1"/>
  <c r="H107" i="29"/>
  <c r="L98" i="29"/>
  <c r="E84" i="29"/>
  <c r="F83" i="29"/>
  <c r="I61" i="29"/>
  <c r="C61" i="29"/>
  <c r="L57" i="29"/>
  <c r="C52" i="29"/>
  <c r="M42" i="29"/>
  <c r="M53" i="29" s="1"/>
  <c r="E37" i="29"/>
  <c r="D36" i="29"/>
  <c r="B36" i="29"/>
  <c r="D33" i="29"/>
  <c r="D37" i="29" s="1"/>
  <c r="N32" i="29"/>
  <c r="N28" i="29"/>
  <c r="A21" i="29"/>
  <c r="A44" i="29" s="1"/>
  <c r="D19" i="29"/>
  <c r="C19" i="29"/>
  <c r="N15" i="29"/>
  <c r="P15" i="29" s="1"/>
  <c r="N14" i="29"/>
  <c r="P14" i="29" s="1"/>
  <c r="N11" i="29"/>
  <c r="N272" i="28"/>
  <c r="P272" i="28" s="1"/>
  <c r="C263" i="28"/>
  <c r="N263" i="28" s="1"/>
  <c r="C253" i="28"/>
  <c r="C254" i="28" s="1"/>
  <c r="N249" i="28"/>
  <c r="D233" i="28"/>
  <c r="D237" i="28" s="1"/>
  <c r="N229" i="28"/>
  <c r="B229" i="28"/>
  <c r="B233" i="28" s="1"/>
  <c r="B237" i="28" s="1"/>
  <c r="C221" i="28"/>
  <c r="N220" i="28"/>
  <c r="N206" i="28"/>
  <c r="N194" i="28"/>
  <c r="N184" i="28"/>
  <c r="P184" i="28" s="1"/>
  <c r="N171" i="28"/>
  <c r="C166" i="28"/>
  <c r="L163" i="28"/>
  <c r="C152" i="28"/>
  <c r="C145" i="28"/>
  <c r="C139" i="28"/>
  <c r="N139" i="28" s="1"/>
  <c r="N130" i="28"/>
  <c r="N131" i="28" s="1"/>
  <c r="P131" i="28" s="1"/>
  <c r="M125" i="28"/>
  <c r="M126" i="28" s="1"/>
  <c r="C124" i="28"/>
  <c r="N123" i="28"/>
  <c r="P123" i="28" s="1"/>
  <c r="F120" i="28"/>
  <c r="I108" i="28"/>
  <c r="C108" i="28"/>
  <c r="M107" i="28"/>
  <c r="M111" i="28" s="1"/>
  <c r="L104" i="28"/>
  <c r="I61" i="28"/>
  <c r="C52" i="28"/>
  <c r="D42" i="28"/>
  <c r="C36" i="28"/>
  <c r="N32" i="28"/>
  <c r="N28" i="28"/>
  <c r="E24" i="28"/>
  <c r="N24" i="28" s="1"/>
  <c r="C19" i="28"/>
  <c r="N15" i="28"/>
  <c r="P15" i="28" s="1"/>
  <c r="N14" i="28"/>
  <c r="P14" i="28" s="1"/>
  <c r="M271" i="27"/>
  <c r="M272" i="27" s="1"/>
  <c r="M267" i="27"/>
  <c r="M259" i="27"/>
  <c r="M253" i="27"/>
  <c r="C247" i="27"/>
  <c r="M247" i="27" s="1"/>
  <c r="M243" i="27"/>
  <c r="M228" i="27"/>
  <c r="H201" i="27"/>
  <c r="H202" i="27" s="1"/>
  <c r="M197" i="27"/>
  <c r="K190" i="27"/>
  <c r="O185" i="27"/>
  <c r="K172" i="27"/>
  <c r="M168" i="27"/>
  <c r="M165" i="27"/>
  <c r="L154" i="27"/>
  <c r="C152" i="27"/>
  <c r="M134" i="27"/>
  <c r="E129" i="27"/>
  <c r="L128" i="27"/>
  <c r="L129" i="27" s="1"/>
  <c r="L93" i="27"/>
  <c r="L96" i="27" s="1"/>
  <c r="L99" i="27" s="1"/>
  <c r="D51" i="27"/>
  <c r="L47" i="27"/>
  <c r="B47" i="27"/>
  <c r="B51" i="27" s="1"/>
  <c r="C46" i="27"/>
  <c r="B46" i="27"/>
  <c r="B50" i="27" s="1"/>
  <c r="B54" i="27" s="1"/>
  <c r="B84" i="27" s="1"/>
  <c r="A273" i="26"/>
  <c r="A274" i="26" s="1"/>
  <c r="A275" i="26" s="1"/>
  <c r="A276" i="26" s="1"/>
  <c r="P271" i="26"/>
  <c r="N264" i="26"/>
  <c r="C260" i="26"/>
  <c r="N260" i="26" s="1"/>
  <c r="C237" i="26"/>
  <c r="C235" i="26"/>
  <c r="N227" i="26"/>
  <c r="P227" i="26" s="1"/>
  <c r="N225" i="26"/>
  <c r="H203" i="26"/>
  <c r="N190" i="26"/>
  <c r="C181" i="26"/>
  <c r="N181" i="26" s="1"/>
  <c r="N171" i="26"/>
  <c r="E144" i="26"/>
  <c r="M139" i="26"/>
  <c r="M143" i="26" s="1"/>
  <c r="L136" i="26"/>
  <c r="N131" i="26"/>
  <c r="D124" i="26"/>
  <c r="M120" i="26"/>
  <c r="M124" i="26" s="1"/>
  <c r="I120" i="26"/>
  <c r="C120" i="26"/>
  <c r="B119" i="26"/>
  <c r="B123" i="26" s="1"/>
  <c r="D104" i="26"/>
  <c r="D108" i="26" s="1"/>
  <c r="E103" i="26"/>
  <c r="E108" i="26" s="1"/>
  <c r="I95" i="26"/>
  <c r="M94" i="26"/>
  <c r="M98" i="26" s="1"/>
  <c r="E81" i="26"/>
  <c r="P78" i="26"/>
  <c r="M74" i="26"/>
  <c r="C42" i="26"/>
  <c r="M37" i="26"/>
  <c r="C36" i="26"/>
  <c r="B36" i="26"/>
  <c r="N32" i="26"/>
  <c r="N28" i="26"/>
  <c r="N24" i="26"/>
  <c r="N25" i="26" s="1"/>
  <c r="P25" i="26" s="1"/>
  <c r="M16" i="26"/>
  <c r="M17" i="26" s="1"/>
  <c r="N15" i="26"/>
  <c r="P15" i="26" s="1"/>
  <c r="M450" i="25"/>
  <c r="M433" i="25"/>
  <c r="M429" i="25"/>
  <c r="M422" i="25"/>
  <c r="C409" i="25"/>
  <c r="M409" i="25" s="1"/>
  <c r="M394" i="25"/>
  <c r="M390" i="25"/>
  <c r="C383" i="25"/>
  <c r="A318" i="25"/>
  <c r="A324" i="25" s="1"/>
  <c r="A330" i="25" s="1"/>
  <c r="A336" i="25" s="1"/>
  <c r="E301" i="25"/>
  <c r="E302" i="25" s="1"/>
  <c r="E304" i="25" s="1"/>
  <c r="E305" i="25" s="1"/>
  <c r="M305" i="25" s="1"/>
  <c r="C296" i="25"/>
  <c r="L294" i="25"/>
  <c r="L290" i="25"/>
  <c r="M289" i="25"/>
  <c r="C285" i="25"/>
  <c r="K283" i="25"/>
  <c r="L272" i="25"/>
  <c r="C127" i="20"/>
  <c r="E120" i="20"/>
  <c r="I116" i="20"/>
  <c r="E102" i="20"/>
  <c r="F100" i="20"/>
  <c r="E100" i="20"/>
  <c r="L99" i="20"/>
  <c r="K96" i="20"/>
  <c r="M94" i="20"/>
  <c r="E1196" i="7" s="1"/>
  <c r="W1196" i="7" s="1"/>
  <c r="K86" i="20"/>
  <c r="E66" i="20"/>
  <c r="E43" i="20"/>
  <c r="E44" i="20" s="1"/>
  <c r="C36" i="20"/>
  <c r="L35" i="20"/>
  <c r="L39" i="20" s="1"/>
  <c r="L43" i="20" s="1"/>
  <c r="L47" i="20" s="1"/>
  <c r="M26" i="20"/>
  <c r="E20" i="20"/>
  <c r="E22" i="20" s="1"/>
  <c r="M13" i="20"/>
  <c r="E152" i="19"/>
  <c r="M145" i="19"/>
  <c r="M144" i="19" s="1"/>
  <c r="E1152" i="7" s="1"/>
  <c r="W1152" i="7" s="1"/>
  <c r="M122" i="19"/>
  <c r="L114" i="19"/>
  <c r="L115" i="19" s="1"/>
  <c r="M113" i="19"/>
  <c r="E1140" i="7" s="1"/>
  <c r="W1140" i="7" s="1"/>
  <c r="C110" i="19"/>
  <c r="C103" i="19"/>
  <c r="C99" i="19"/>
  <c r="I95" i="19"/>
  <c r="M78" i="19"/>
  <c r="M74" i="19"/>
  <c r="L46" i="19"/>
  <c r="C42" i="19"/>
  <c r="R40" i="19"/>
  <c r="E31" i="19"/>
  <c r="E32" i="19" s="1"/>
  <c r="M22" i="19"/>
  <c r="L15" i="19"/>
  <c r="L16" i="19" s="1"/>
  <c r="E69" i="18"/>
  <c r="L58" i="18"/>
  <c r="L59" i="18" s="1"/>
  <c r="E54" i="18"/>
  <c r="B31" i="18"/>
  <c r="B36" i="18" s="1"/>
  <c r="M23" i="18"/>
  <c r="F327" i="17"/>
  <c r="K309" i="17"/>
  <c r="F300" i="17"/>
  <c r="B275" i="17"/>
  <c r="B279" i="17" s="1"/>
  <c r="L263" i="17"/>
  <c r="L264" i="17" s="1"/>
  <c r="L265" i="17" s="1"/>
  <c r="C263" i="17"/>
  <c r="M215" i="17"/>
  <c r="M170" i="17"/>
  <c r="O170" i="17" s="1"/>
  <c r="M166" i="17"/>
  <c r="O166" i="17" s="1"/>
  <c r="E1027" i="7" s="1"/>
  <c r="W1027" i="7" s="1"/>
  <c r="Y1027" i="7" s="1"/>
  <c r="M79" i="17"/>
  <c r="N245" i="11"/>
  <c r="P245" i="11" s="1"/>
  <c r="E301" i="7" s="1"/>
  <c r="W301" i="7" s="1"/>
  <c r="Y301" i="7" s="1"/>
  <c r="D213" i="11"/>
  <c r="E213" i="11" s="1"/>
  <c r="L209" i="11"/>
  <c r="B208" i="11"/>
  <c r="B212" i="11" s="1"/>
  <c r="M205" i="11"/>
  <c r="M209" i="11" s="1"/>
  <c r="E192" i="11"/>
  <c r="L180" i="11"/>
  <c r="G129" i="6"/>
  <c r="G130" i="6" s="1"/>
  <c r="G131" i="6" s="1"/>
  <c r="G132" i="6" s="1"/>
  <c r="H125" i="6"/>
  <c r="G1816" i="42"/>
  <c r="G1815" i="42"/>
  <c r="G1814" i="42"/>
  <c r="G1813" i="42"/>
  <c r="G1805" i="42"/>
  <c r="G1804" i="42"/>
  <c r="G1803" i="42"/>
  <c r="G1802" i="42"/>
  <c r="G1799" i="42"/>
  <c r="G1798" i="42"/>
  <c r="G1797" i="42"/>
  <c r="G1796" i="42"/>
  <c r="G1788" i="42"/>
  <c r="G1787" i="42"/>
  <c r="G1786" i="42"/>
  <c r="G1785" i="42"/>
  <c r="G1782" i="42"/>
  <c r="G1781" i="42"/>
  <c r="G1780" i="42"/>
  <c r="G1779" i="42"/>
  <c r="G1771" i="42"/>
  <c r="G1770" i="42"/>
  <c r="G1769" i="42"/>
  <c r="G1768" i="42"/>
  <c r="G1765" i="42"/>
  <c r="G1764" i="42"/>
  <c r="G1763" i="42"/>
  <c r="G1762" i="42"/>
  <c r="G1754" i="42"/>
  <c r="G1753" i="42"/>
  <c r="G1752" i="42"/>
  <c r="G1751" i="42"/>
  <c r="G1748" i="42"/>
  <c r="G1747" i="42"/>
  <c r="G1746" i="42"/>
  <c r="G1745" i="42"/>
  <c r="G1737" i="42"/>
  <c r="G1736" i="42"/>
  <c r="G1735" i="42"/>
  <c r="G1734" i="42"/>
  <c r="G1731" i="42"/>
  <c r="G1730" i="42"/>
  <c r="G1729" i="42"/>
  <c r="G1728" i="42"/>
  <c r="G1720" i="42"/>
  <c r="G1719" i="42"/>
  <c r="G1718" i="42"/>
  <c r="G1717" i="42"/>
  <c r="G1714" i="42"/>
  <c r="G1713" i="42"/>
  <c r="G1712" i="42"/>
  <c r="G1711" i="42"/>
  <c r="G1703" i="42"/>
  <c r="G1700" i="42"/>
  <c r="G1699" i="42"/>
  <c r="G1698" i="42"/>
  <c r="G1697" i="42"/>
  <c r="G1689" i="42"/>
  <c r="G1686" i="42"/>
  <c r="G1685" i="42"/>
  <c r="G1684" i="42"/>
  <c r="G1683" i="42"/>
  <c r="G1673" i="42"/>
  <c r="G1672" i="42"/>
  <c r="G1669" i="42"/>
  <c r="G1668" i="42"/>
  <c r="G1667" i="42"/>
  <c r="G1666" i="42"/>
  <c r="G1658" i="42"/>
  <c r="G1655" i="42"/>
  <c r="G1654" i="42"/>
  <c r="G1653" i="42"/>
  <c r="G1652" i="42"/>
  <c r="G1642" i="42"/>
  <c r="G1641" i="42"/>
  <c r="G1638" i="42"/>
  <c r="G1637" i="42"/>
  <c r="G1636" i="42"/>
  <c r="G1635" i="42"/>
  <c r="G1627" i="42"/>
  <c r="G1626" i="42"/>
  <c r="G1625" i="42"/>
  <c r="G1622" i="42"/>
  <c r="G1621" i="42"/>
  <c r="G1620" i="42"/>
  <c r="G1619" i="42"/>
  <c r="G1611" i="42"/>
  <c r="G1610" i="42"/>
  <c r="G1607" i="42"/>
  <c r="G1606" i="42"/>
  <c r="G1605" i="42"/>
  <c r="G1604" i="42"/>
  <c r="G1596" i="42"/>
  <c r="G1595" i="42"/>
  <c r="G1592" i="42"/>
  <c r="G1591" i="42"/>
  <c r="G1590" i="42"/>
  <c r="G1589" i="42"/>
  <c r="G1581" i="42"/>
  <c r="H1580" i="42"/>
  <c r="G1580" i="42"/>
  <c r="G1579" i="42"/>
  <c r="G1578" i="42"/>
  <c r="G1577" i="42"/>
  <c r="G1576" i="42"/>
  <c r="G1573" i="42"/>
  <c r="G1572" i="42"/>
  <c r="G1571" i="42"/>
  <c r="G1570" i="42"/>
  <c r="G1562" i="42"/>
  <c r="G1561" i="42"/>
  <c r="G1560" i="42"/>
  <c r="G1557" i="42"/>
  <c r="G1556" i="42"/>
  <c r="G1555" i="42"/>
  <c r="G1554" i="42"/>
  <c r="G1546" i="42"/>
  <c r="G1545" i="42"/>
  <c r="G1544" i="42"/>
  <c r="G1541" i="42"/>
  <c r="G1540" i="42"/>
  <c r="G1539" i="42"/>
  <c r="G1538" i="42"/>
  <c r="G1530" i="42"/>
  <c r="G1529" i="42"/>
  <c r="G1526" i="42"/>
  <c r="G1525" i="42"/>
  <c r="G1524" i="42"/>
  <c r="G1523" i="42"/>
  <c r="G1515" i="42"/>
  <c r="G1514" i="42"/>
  <c r="G1511" i="42"/>
  <c r="G1510" i="42"/>
  <c r="G1509" i="42"/>
  <c r="G1508" i="42"/>
  <c r="H1498" i="42"/>
  <c r="G1498" i="42"/>
  <c r="G1495" i="42"/>
  <c r="G1494" i="42"/>
  <c r="G1493" i="42"/>
  <c r="G1492" i="42"/>
  <c r="G1482" i="42"/>
  <c r="G1479" i="42"/>
  <c r="G1478" i="42"/>
  <c r="G1477" i="42"/>
  <c r="G1476" i="42"/>
  <c r="G1466" i="42"/>
  <c r="G1465" i="42"/>
  <c r="G1462" i="42"/>
  <c r="G1461" i="42"/>
  <c r="G1460" i="42"/>
  <c r="G1459" i="42"/>
  <c r="G1449" i="42"/>
  <c r="G1448" i="42"/>
  <c r="G1445" i="42"/>
  <c r="G1444" i="42"/>
  <c r="G1443" i="42"/>
  <c r="G1442" i="42"/>
  <c r="G1433" i="42"/>
  <c r="G1432" i="42"/>
  <c r="G1431" i="42"/>
  <c r="G1428" i="42"/>
  <c r="G1427" i="42"/>
  <c r="G1426" i="42"/>
  <c r="G1425" i="42"/>
  <c r="G1417" i="42"/>
  <c r="G1416" i="42"/>
  <c r="G1415" i="42"/>
  <c r="G1412" i="42"/>
  <c r="G1411" i="42"/>
  <c r="G1410" i="42"/>
  <c r="G1409" i="42"/>
  <c r="G1399" i="42"/>
  <c r="G1398" i="42"/>
  <c r="G1395" i="42"/>
  <c r="G1394" i="42"/>
  <c r="G1393" i="42"/>
  <c r="G1392" i="42"/>
  <c r="G1382" i="42"/>
  <c r="G1381" i="42"/>
  <c r="G1380" i="42"/>
  <c r="G1377" i="42"/>
  <c r="G1376" i="42"/>
  <c r="G1375" i="42"/>
  <c r="G1374" i="42"/>
  <c r="G1364" i="42"/>
  <c r="G1363" i="42"/>
  <c r="G1360" i="42"/>
  <c r="G1359" i="42"/>
  <c r="G1358" i="42"/>
  <c r="G1357" i="42"/>
  <c r="G1347" i="42"/>
  <c r="G1346" i="42"/>
  <c r="G1343" i="42"/>
  <c r="G1342" i="42"/>
  <c r="G1341" i="42"/>
  <c r="G1340" i="42"/>
  <c r="G1330" i="42"/>
  <c r="G1327" i="42"/>
  <c r="G1326" i="42"/>
  <c r="G1325" i="42"/>
  <c r="G1324" i="42"/>
  <c r="G1314" i="42"/>
  <c r="G1311" i="42"/>
  <c r="G1310" i="42"/>
  <c r="G1309" i="42"/>
  <c r="G1308" i="42"/>
  <c r="G1298" i="42"/>
  <c r="G1297" i="42"/>
  <c r="G1294" i="42"/>
  <c r="G1293" i="42"/>
  <c r="G1292" i="42"/>
  <c r="G1291" i="42"/>
  <c r="G1281" i="42"/>
  <c r="G1278" i="42"/>
  <c r="G1277" i="42"/>
  <c r="G1269" i="42"/>
  <c r="G1264" i="42"/>
  <c r="G1263" i="42"/>
  <c r="G1253" i="42"/>
  <c r="G1250" i="42"/>
  <c r="G1249" i="42"/>
  <c r="G1248" i="42"/>
  <c r="G1247" i="42"/>
  <c r="G1237" i="42"/>
  <c r="G1234" i="42"/>
  <c r="G1233" i="42"/>
  <c r="G1232" i="42"/>
  <c r="G1231" i="42"/>
  <c r="G1223" i="42"/>
  <c r="G1220" i="42"/>
  <c r="G1219" i="42"/>
  <c r="G1218" i="42"/>
  <c r="G1217" i="42"/>
  <c r="G1214" i="42"/>
  <c r="G1213" i="42"/>
  <c r="G1212" i="42"/>
  <c r="G1211" i="42"/>
  <c r="G1203" i="42"/>
  <c r="G1200" i="42"/>
  <c r="G1199" i="42"/>
  <c r="G1198" i="42"/>
  <c r="G1197" i="42"/>
  <c r="G1194" i="42"/>
  <c r="G1193" i="42"/>
  <c r="G1192" i="42"/>
  <c r="G1191" i="42"/>
  <c r="G1183" i="42"/>
  <c r="G1182" i="42"/>
  <c r="G1181" i="42"/>
  <c r="G1180" i="42"/>
  <c r="G1177" i="42"/>
  <c r="G1176" i="42"/>
  <c r="G1175" i="42"/>
  <c r="G1174" i="42"/>
  <c r="G1166" i="42"/>
  <c r="G1163" i="42"/>
  <c r="G1160" i="42"/>
  <c r="G1159" i="42"/>
  <c r="G1158" i="42"/>
  <c r="G1150" i="42"/>
  <c r="G1149" i="42"/>
  <c r="G1146" i="42"/>
  <c r="G1145" i="42"/>
  <c r="G1142" i="42"/>
  <c r="G1141" i="42"/>
  <c r="G1140" i="42"/>
  <c r="G1139" i="42"/>
  <c r="D1131" i="42"/>
  <c r="G1130" i="42"/>
  <c r="D1127" i="42"/>
  <c r="D1126" i="42"/>
  <c r="D1125" i="42"/>
  <c r="D1124" i="42"/>
  <c r="D1116" i="42"/>
  <c r="G1115" i="42"/>
  <c r="D1112" i="42"/>
  <c r="D1111" i="42"/>
  <c r="D1110" i="42"/>
  <c r="D1109" i="42"/>
  <c r="G1101" i="42"/>
  <c r="G1099" i="42"/>
  <c r="G1090" i="42"/>
  <c r="G1089" i="42"/>
  <c r="G1086" i="42"/>
  <c r="G1085" i="42"/>
  <c r="G1084" i="42"/>
  <c r="G1083" i="42"/>
  <c r="G1075" i="42"/>
  <c r="G1074" i="42"/>
  <c r="G1071" i="42"/>
  <c r="G1070" i="42"/>
  <c r="G1067" i="42"/>
  <c r="G1066" i="42"/>
  <c r="G1065" i="42"/>
  <c r="G1064" i="42"/>
  <c r="G1057" i="42"/>
  <c r="G1053" i="42"/>
  <c r="G1052" i="42"/>
  <c r="G1051" i="42"/>
  <c r="G1050" i="42"/>
  <c r="G1047" i="42"/>
  <c r="G1046" i="42"/>
  <c r="G1039" i="42"/>
  <c r="G1035" i="42"/>
  <c r="G1034" i="42"/>
  <c r="G1031" i="42"/>
  <c r="G1024" i="42"/>
  <c r="G1020" i="42"/>
  <c r="G1019" i="42"/>
  <c r="G1018" i="42"/>
  <c r="G1017" i="42"/>
  <c r="G1014" i="42"/>
  <c r="G1013" i="42"/>
  <c r="G1012" i="42"/>
  <c r="G1011" i="42"/>
  <c r="G1010" i="42"/>
  <c r="G1003" i="42"/>
  <c r="G999" i="42"/>
  <c r="G998" i="42"/>
  <c r="G997" i="42"/>
  <c r="G996" i="42"/>
  <c r="G993" i="42"/>
  <c r="G992" i="42"/>
  <c r="G991" i="42"/>
  <c r="G990" i="42"/>
  <c r="G989" i="42"/>
  <c r="H988" i="42"/>
  <c r="H1010" i="42" s="1"/>
  <c r="G988" i="42"/>
  <c r="H978" i="42"/>
  <c r="G978" i="42"/>
  <c r="H977" i="42"/>
  <c r="G977" i="42"/>
  <c r="H976" i="42"/>
  <c r="G976" i="42"/>
  <c r="H975" i="42"/>
  <c r="H989" i="42" s="1"/>
  <c r="H1011" i="42" s="1"/>
  <c r="G975" i="42"/>
  <c r="G974" i="42"/>
  <c r="G971" i="42"/>
  <c r="G970" i="42"/>
  <c r="G969" i="42"/>
  <c r="G968" i="42"/>
  <c r="G958" i="42"/>
  <c r="G957" i="42"/>
  <c r="G956" i="42"/>
  <c r="G955" i="42"/>
  <c r="G954" i="42"/>
  <c r="G951" i="42"/>
  <c r="G950" i="42"/>
  <c r="G949" i="42"/>
  <c r="G948" i="42"/>
  <c r="G937" i="42"/>
  <c r="G936" i="42"/>
  <c r="G935" i="42"/>
  <c r="G934" i="42"/>
  <c r="G933" i="42"/>
  <c r="G930" i="42"/>
  <c r="G929" i="42"/>
  <c r="G928" i="42"/>
  <c r="G927" i="42"/>
  <c r="G917" i="42"/>
  <c r="G916" i="42"/>
  <c r="G915" i="42"/>
  <c r="G912" i="42"/>
  <c r="G911" i="42"/>
  <c r="G910" i="42"/>
  <c r="G909" i="42"/>
  <c r="G899" i="42"/>
  <c r="G898" i="42"/>
  <c r="G897" i="42"/>
  <c r="G894" i="42"/>
  <c r="G893" i="42"/>
  <c r="G892" i="42"/>
  <c r="G891" i="42"/>
  <c r="G884" i="42"/>
  <c r="G881" i="42"/>
  <c r="G875" i="42"/>
  <c r="G874" i="42"/>
  <c r="G867" i="42"/>
  <c r="G863" i="42"/>
  <c r="G862" i="42"/>
  <c r="G861" i="42"/>
  <c r="G858" i="42"/>
  <c r="G857" i="42"/>
  <c r="G856" i="42"/>
  <c r="G849" i="42"/>
  <c r="G845" i="42"/>
  <c r="G844" i="42"/>
  <c r="G843" i="42"/>
  <c r="G840" i="42"/>
  <c r="G839" i="42"/>
  <c r="G838" i="42"/>
  <c r="G831" i="42"/>
  <c r="G827" i="42"/>
  <c r="G826" i="42"/>
  <c r="G825" i="42"/>
  <c r="G824" i="42"/>
  <c r="G821" i="42"/>
  <c r="G820" i="42"/>
  <c r="G811" i="42"/>
  <c r="G810" i="42"/>
  <c r="G808" i="42"/>
  <c r="B806" i="42"/>
  <c r="B807" i="42" s="1"/>
  <c r="B808" i="42" s="1"/>
  <c r="B802" i="42"/>
  <c r="B798" i="42"/>
  <c r="G789" i="42"/>
  <c r="G785" i="42"/>
  <c r="G784" i="42"/>
  <c r="G776" i="42"/>
  <c r="G766" i="42"/>
  <c r="G763" i="42"/>
  <c r="G762" i="42"/>
  <c r="G754" i="42"/>
  <c r="G751" i="42"/>
  <c r="G750" i="42"/>
  <c r="G742" i="42"/>
  <c r="G739" i="42"/>
  <c r="G738" i="42"/>
  <c r="G730" i="42"/>
  <c r="G727" i="42"/>
  <c r="G726" i="42"/>
  <c r="G718" i="42"/>
  <c r="G715" i="42"/>
  <c r="G714" i="42"/>
  <c r="D697" i="42"/>
  <c r="G697" i="42" s="1"/>
  <c r="E684" i="42"/>
  <c r="E666" i="42"/>
  <c r="E670" i="42" s="1"/>
  <c r="E672" i="42" s="1"/>
  <c r="D704" i="42" s="1"/>
  <c r="B650" i="42"/>
  <c r="B640" i="42"/>
  <c r="B641" i="42" s="1"/>
  <c r="B642" i="42" s="1"/>
  <c r="B643" i="42" s="1"/>
  <c r="B644" i="42" s="1"/>
  <c r="B645" i="42" s="1"/>
  <c r="B646" i="42" s="1"/>
  <c r="G627" i="42"/>
  <c r="G626" i="42"/>
  <c r="G618" i="42"/>
  <c r="G615" i="42"/>
  <c r="G614" i="42"/>
  <c r="G604" i="42"/>
  <c r="G603" i="42"/>
  <c r="G590" i="42"/>
  <c r="G589" i="42"/>
  <c r="G588" i="42"/>
  <c r="G587" i="42"/>
  <c r="G584" i="42"/>
  <c r="G573" i="42"/>
  <c r="G572" i="42"/>
  <c r="G571" i="42"/>
  <c r="G570" i="42"/>
  <c r="G567" i="42"/>
  <c r="G556" i="42"/>
  <c r="G555" i="42"/>
  <c r="G554" i="42"/>
  <c r="G553" i="42"/>
  <c r="G550" i="42"/>
  <c r="G542" i="42"/>
  <c r="G539" i="42"/>
  <c r="G538" i="42"/>
  <c r="G528" i="42"/>
  <c r="G525" i="42"/>
  <c r="G524" i="42"/>
  <c r="G512" i="42"/>
  <c r="G511" i="42"/>
  <c r="G499" i="42"/>
  <c r="G498" i="42"/>
  <c r="G486" i="42"/>
  <c r="G485" i="42"/>
  <c r="D475" i="42"/>
  <c r="G475" i="42" s="1"/>
  <c r="D459" i="42"/>
  <c r="D460" i="42" s="1"/>
  <c r="D461" i="42" s="1"/>
  <c r="D474" i="42" s="1"/>
  <c r="G474" i="42" s="1"/>
  <c r="D455" i="42"/>
  <c r="D456" i="42" s="1"/>
  <c r="D473" i="42" s="1"/>
  <c r="D447" i="42"/>
  <c r="D448" i="42" s="1"/>
  <c r="D450" i="42" s="1"/>
  <c r="D428" i="42"/>
  <c r="D429" i="42" s="1"/>
  <c r="D405" i="42"/>
  <c r="D406" i="42" s="1"/>
  <c r="D377" i="42"/>
  <c r="D370" i="42"/>
  <c r="D365" i="42"/>
  <c r="D358" i="42"/>
  <c r="D352" i="42"/>
  <c r="D340" i="42"/>
  <c r="D328" i="42"/>
  <c r="D321" i="42"/>
  <c r="D315" i="42"/>
  <c r="D303" i="42"/>
  <c r="D296" i="42"/>
  <c r="D291" i="42"/>
  <c r="D279" i="42"/>
  <c r="D267" i="42"/>
  <c r="D253" i="42"/>
  <c r="G253" i="42" s="1"/>
  <c r="F247" i="42" s="1"/>
  <c r="D233" i="42"/>
  <c r="G233" i="42" s="1"/>
  <c r="D215" i="42"/>
  <c r="D218" i="42" s="1"/>
  <c r="D211" i="42"/>
  <c r="D333" i="42" s="1"/>
  <c r="D204" i="42"/>
  <c r="D205" i="42" s="1"/>
  <c r="D195" i="42"/>
  <c r="D189" i="42"/>
  <c r="D191" i="42" s="1"/>
  <c r="D239" i="42" s="1"/>
  <c r="D181" i="42"/>
  <c r="D184" i="42" s="1"/>
  <c r="D177" i="42"/>
  <c r="D170" i="42"/>
  <c r="D171" i="42" s="1"/>
  <c r="G156" i="42"/>
  <c r="G155" i="42"/>
  <c r="G145" i="42"/>
  <c r="G144" i="42"/>
  <c r="G141" i="42"/>
  <c r="G140" i="42"/>
  <c r="G139" i="42"/>
  <c r="G138" i="42"/>
  <c r="G128" i="42"/>
  <c r="G127" i="42"/>
  <c r="G124" i="42"/>
  <c r="G123" i="42"/>
  <c r="G122" i="42"/>
  <c r="G121" i="42"/>
  <c r="G120" i="42"/>
  <c r="G117" i="42"/>
  <c r="G116" i="42"/>
  <c r="G108" i="42"/>
  <c r="G107" i="42"/>
  <c r="G104" i="42"/>
  <c r="G103" i="42"/>
  <c r="G102" i="42"/>
  <c r="G93" i="42"/>
  <c r="G89" i="42"/>
  <c r="G88" i="42"/>
  <c r="G87" i="42"/>
  <c r="G86" i="42"/>
  <c r="G83" i="42"/>
  <c r="G82" i="42"/>
  <c r="G81" i="42"/>
  <c r="G74" i="42"/>
  <c r="G70" i="42"/>
  <c r="G69" i="42"/>
  <c r="G68" i="42"/>
  <c r="G67" i="42"/>
  <c r="G66" i="42"/>
  <c r="G59" i="42"/>
  <c r="G58" i="42"/>
  <c r="G57" i="42"/>
  <c r="A55" i="42"/>
  <c r="A79" i="42" s="1"/>
  <c r="A98" i="42" s="1"/>
  <c r="A114" i="42" s="1"/>
  <c r="A134" i="42" s="1"/>
  <c r="A151" i="42" s="1"/>
  <c r="A165" i="42" s="1"/>
  <c r="A391" i="42" s="1"/>
  <c r="A414" i="42" s="1"/>
  <c r="A437" i="42" s="1"/>
  <c r="A481" i="42" s="1"/>
  <c r="A494" i="42" s="1"/>
  <c r="A507" i="42" s="1"/>
  <c r="A520" i="42" s="1"/>
  <c r="A534" i="42" s="1"/>
  <c r="A548" i="42" s="1"/>
  <c r="A565" i="42" s="1"/>
  <c r="A582" i="42" s="1"/>
  <c r="A599" i="42" s="1"/>
  <c r="A612" i="42" s="1"/>
  <c r="A624" i="42" s="1"/>
  <c r="A636" i="42" s="1"/>
  <c r="A712" i="42" s="1"/>
  <c r="A724" i="42" s="1"/>
  <c r="A736" i="42" s="1"/>
  <c r="A748" i="42" s="1"/>
  <c r="A760" i="42" s="1"/>
  <c r="A772" i="42" s="1"/>
  <c r="A782" i="42" s="1"/>
  <c r="G50" i="42"/>
  <c r="G46" i="42"/>
  <c r="G45" i="42"/>
  <c r="G44" i="42"/>
  <c r="G43" i="42"/>
  <c r="G42" i="42"/>
  <c r="G39" i="42"/>
  <c r="G38" i="42"/>
  <c r="G37" i="42"/>
  <c r="G36" i="42"/>
  <c r="G35" i="42"/>
  <c r="G27" i="42"/>
  <c r="G26" i="42"/>
  <c r="H25" i="42"/>
  <c r="H26" i="42" s="1"/>
  <c r="G23" i="42"/>
  <c r="G17" i="42"/>
  <c r="G16" i="42"/>
  <c r="G15" i="42"/>
  <c r="G14" i="42"/>
  <c r="G11" i="42"/>
  <c r="G8" i="42"/>
  <c r="G7" i="42"/>
  <c r="A8" i="41"/>
  <c r="A9" i="41" s="1"/>
  <c r="A10" i="41" s="1"/>
  <c r="A11" i="41" s="1"/>
  <c r="A12" i="41" s="1"/>
  <c r="A13" i="41" s="1"/>
  <c r="A14" i="41" s="1"/>
  <c r="A15" i="41" s="1"/>
  <c r="A16" i="41" s="1"/>
  <c r="A17" i="41" s="1"/>
  <c r="A18" i="41" s="1"/>
  <c r="A19" i="41" s="1"/>
  <c r="A20" i="41" s="1"/>
  <c r="A21" i="41" s="1"/>
  <c r="A22" i="41" s="1"/>
  <c r="A23" i="41" s="1"/>
  <c r="A24" i="41" s="1"/>
  <c r="A25" i="41" s="1"/>
  <c r="A26" i="41" s="1"/>
  <c r="A27" i="41" s="1"/>
  <c r="A28" i="41" s="1"/>
  <c r="A29" i="41" s="1"/>
  <c r="A30" i="41" s="1"/>
  <c r="A31" i="41" s="1"/>
  <c r="A32" i="41" s="1"/>
  <c r="A33" i="41" s="1"/>
  <c r="A34" i="41" s="1"/>
  <c r="A35" i="41" s="1"/>
  <c r="A36" i="41" s="1"/>
  <c r="A37" i="41" s="1"/>
  <c r="A38" i="41" s="1"/>
  <c r="A39" i="41" s="1"/>
  <c r="A40" i="41" s="1"/>
  <c r="A41" i="41" s="1"/>
  <c r="A42" i="41" s="1"/>
  <c r="A43" i="41" s="1"/>
  <c r="A44" i="41" s="1"/>
  <c r="A45" i="41" s="1"/>
  <c r="A46" i="41" s="1"/>
  <c r="A47" i="41" s="1"/>
  <c r="A48" i="41" s="1"/>
  <c r="A49" i="41" s="1"/>
  <c r="A50" i="41" s="1"/>
  <c r="A51" i="41" s="1"/>
  <c r="A52" i="41" s="1"/>
  <c r="A53" i="41" s="1"/>
  <c r="A54" i="41" s="1"/>
  <c r="A55" i="41" s="1"/>
  <c r="A56" i="41" s="1"/>
  <c r="A57" i="41" s="1"/>
  <c r="A58" i="41" s="1"/>
  <c r="A59" i="41" s="1"/>
  <c r="A60" i="41" s="1"/>
  <c r="A61" i="41" s="1"/>
  <c r="A62" i="41" s="1"/>
  <c r="A63" i="41" s="1"/>
  <c r="A64" i="41" s="1"/>
  <c r="A65" i="41" s="1"/>
  <c r="A66" i="41" s="1"/>
  <c r="A67" i="41" s="1"/>
  <c r="A68" i="41" s="1"/>
  <c r="A69" i="41" s="1"/>
  <c r="A70" i="41" s="1"/>
  <c r="A71" i="41" s="1"/>
  <c r="A72" i="41" s="1"/>
  <c r="A73" i="41" s="1"/>
  <c r="A74" i="41" s="1"/>
  <c r="A75" i="41" s="1"/>
  <c r="A76" i="41" s="1"/>
  <c r="A77" i="41" s="1"/>
  <c r="A78" i="41" s="1"/>
  <c r="A79" i="41" s="1"/>
  <c r="A80" i="41" s="1"/>
  <c r="A81" i="41" s="1"/>
  <c r="A82" i="41" s="1"/>
  <c r="A83" i="41" s="1"/>
  <c r="A84" i="41" s="1"/>
  <c r="A85" i="41" s="1"/>
  <c r="A86" i="41" s="1"/>
  <c r="A87" i="41" s="1"/>
  <c r="A88" i="41" s="1"/>
  <c r="A89" i="41" s="1"/>
  <c r="A90" i="41" s="1"/>
  <c r="A91" i="41" s="1"/>
  <c r="A92" i="41" s="1"/>
  <c r="A93" i="41" s="1"/>
  <c r="A94" i="41" s="1"/>
  <c r="A95" i="41" s="1"/>
  <c r="A96" i="41" s="1"/>
  <c r="A97" i="41" s="1"/>
  <c r="A98" i="41" s="1"/>
  <c r="A99" i="41" s="1"/>
  <c r="A100" i="41" s="1"/>
  <c r="A101" i="41" s="1"/>
  <c r="A102" i="41" s="1"/>
  <c r="A103" i="41" s="1"/>
  <c r="A104" i="41" s="1"/>
  <c r="A105" i="41" s="1"/>
  <c r="A106" i="41" s="1"/>
  <c r="A107" i="41" s="1"/>
  <c r="A108" i="41" s="1"/>
  <c r="A109" i="41" s="1"/>
  <c r="A110" i="41" s="1"/>
  <c r="A111" i="41" s="1"/>
  <c r="A112" i="41" s="1"/>
  <c r="A113" i="41" s="1"/>
  <c r="A114" i="41" s="1"/>
  <c r="A115" i="41" s="1"/>
  <c r="A116" i="41" s="1"/>
  <c r="A117" i="41" s="1"/>
  <c r="A118" i="41" s="1"/>
  <c r="A119" i="41" s="1"/>
  <c r="A120" i="41" s="1"/>
  <c r="A121" i="41" s="1"/>
  <c r="A122" i="41" s="1"/>
  <c r="A123" i="41" s="1"/>
  <c r="A124" i="41" s="1"/>
  <c r="A125" i="41" s="1"/>
  <c r="A126" i="41" s="1"/>
  <c r="A127" i="41" s="1"/>
  <c r="A128" i="41" s="1"/>
  <c r="A129" i="41" s="1"/>
  <c r="A130" i="41" s="1"/>
  <c r="A131" i="41" s="1"/>
  <c r="A132" i="41" s="1"/>
  <c r="A133" i="41" s="1"/>
  <c r="A134" i="41" s="1"/>
  <c r="A135" i="41" s="1"/>
  <c r="A136" i="41" s="1"/>
  <c r="A137" i="41" s="1"/>
  <c r="A138" i="41" s="1"/>
  <c r="A139" i="41" s="1"/>
  <c r="A140" i="41" s="1"/>
  <c r="A141" i="41" s="1"/>
  <c r="A142" i="41" s="1"/>
  <c r="A143" i="41" s="1"/>
  <c r="A144" i="41" s="1"/>
  <c r="A145" i="41" s="1"/>
  <c r="A146" i="41" s="1"/>
  <c r="A147" i="41" s="1"/>
  <c r="A148" i="41" s="1"/>
  <c r="A149" i="41" s="1"/>
  <c r="A150" i="41" s="1"/>
  <c r="A151" i="41" s="1"/>
  <c r="A152" i="41" s="1"/>
  <c r="A153" i="41" s="1"/>
  <c r="A154" i="41" s="1"/>
  <c r="A155" i="41" s="1"/>
  <c r="A156" i="41" s="1"/>
  <c r="A157" i="41" s="1"/>
  <c r="A158" i="41" s="1"/>
  <c r="A159" i="41" s="1"/>
  <c r="A160" i="41" s="1"/>
  <c r="A161" i="41" s="1"/>
  <c r="A162" i="41" s="1"/>
  <c r="A163" i="41" s="1"/>
  <c r="A164" i="41" s="1"/>
  <c r="A165" i="41" s="1"/>
  <c r="A166" i="41" s="1"/>
  <c r="A167" i="41" s="1"/>
  <c r="A168" i="41" s="1"/>
  <c r="A169" i="41" s="1"/>
  <c r="A170" i="41" s="1"/>
  <c r="A171" i="41" s="1"/>
  <c r="A172" i="41" s="1"/>
  <c r="A173" i="41" s="1"/>
  <c r="A174" i="41" s="1"/>
  <c r="A175" i="41" s="1"/>
  <c r="A176" i="41" s="1"/>
  <c r="A177" i="41" s="1"/>
  <c r="A178" i="41" s="1"/>
  <c r="A179" i="41" s="1"/>
  <c r="A180" i="41" s="1"/>
  <c r="A181" i="41" s="1"/>
  <c r="A182" i="41" s="1"/>
  <c r="A183" i="41" s="1"/>
  <c r="A184" i="41" s="1"/>
  <c r="A185" i="41" s="1"/>
  <c r="A186" i="41" s="1"/>
  <c r="A187" i="41" s="1"/>
  <c r="A188" i="41" s="1"/>
  <c r="A189" i="41" s="1"/>
  <c r="A190" i="41" s="1"/>
  <c r="A191" i="41" s="1"/>
  <c r="A192" i="41" s="1"/>
  <c r="A193" i="41" s="1"/>
  <c r="A194" i="41" s="1"/>
  <c r="A195" i="41" s="1"/>
  <c r="A196" i="41" s="1"/>
  <c r="A197" i="41" s="1"/>
  <c r="A198" i="41" s="1"/>
  <c r="A199" i="41" s="1"/>
  <c r="A200" i="41" s="1"/>
  <c r="A201" i="41" s="1"/>
  <c r="A202" i="41" s="1"/>
  <c r="A203" i="41" s="1"/>
  <c r="A204" i="41" s="1"/>
  <c r="A205" i="41" s="1"/>
  <c r="A206" i="41" s="1"/>
  <c r="A207" i="41" s="1"/>
  <c r="A208" i="41" s="1"/>
  <c r="A209" i="41" s="1"/>
  <c r="A210" i="41" s="1"/>
  <c r="A211" i="41" s="1"/>
  <c r="A212" i="41" s="1"/>
  <c r="A213" i="41" s="1"/>
  <c r="A214" i="41" s="1"/>
  <c r="A215" i="41" s="1"/>
  <c r="A216" i="41" s="1"/>
  <c r="A217" i="41" s="1"/>
  <c r="A218" i="41" s="1"/>
  <c r="A219" i="41" s="1"/>
  <c r="A220" i="41" s="1"/>
  <c r="A221" i="41" s="1"/>
  <c r="A222" i="41" s="1"/>
  <c r="A223" i="41" s="1"/>
  <c r="A224" i="41" s="1"/>
  <c r="A225" i="41" s="1"/>
  <c r="A226" i="41" s="1"/>
  <c r="A227" i="41" s="1"/>
  <c r="A228" i="41" s="1"/>
  <c r="A229" i="41" s="1"/>
  <c r="A230" i="41" s="1"/>
  <c r="A231" i="41" s="1"/>
  <c r="A232" i="41" s="1"/>
  <c r="A233" i="41" s="1"/>
  <c r="A234" i="41" s="1"/>
  <c r="A235" i="41" s="1"/>
  <c r="A236" i="41" s="1"/>
  <c r="A237" i="41" s="1"/>
  <c r="A238" i="41" s="1"/>
  <c r="A239" i="41" s="1"/>
  <c r="A240" i="41" s="1"/>
  <c r="A241" i="41" s="1"/>
  <c r="A242" i="41" s="1"/>
  <c r="A243" i="41" s="1"/>
  <c r="A244" i="41" s="1"/>
  <c r="A245" i="41" s="1"/>
  <c r="A246" i="41" s="1"/>
  <c r="A247" i="41" s="1"/>
  <c r="A248" i="41" s="1"/>
  <c r="A249" i="41" s="1"/>
  <c r="A250" i="41" s="1"/>
  <c r="D402" i="40"/>
  <c r="D403" i="40" s="1"/>
  <c r="C402" i="40"/>
  <c r="N401" i="40"/>
  <c r="P401" i="40" s="1"/>
  <c r="A393" i="40"/>
  <c r="A394" i="40" s="1"/>
  <c r="A395" i="40" s="1"/>
  <c r="A396" i="40" s="1"/>
  <c r="A400" i="40" s="1"/>
  <c r="P391" i="40"/>
  <c r="P382" i="40"/>
  <c r="A380" i="40"/>
  <c r="A381" i="40" s="1"/>
  <c r="A382" i="40" s="1"/>
  <c r="A383" i="40" s="1"/>
  <c r="A384" i="40" s="1"/>
  <c r="A385" i="40" s="1"/>
  <c r="A386" i="40" s="1"/>
  <c r="N376" i="40"/>
  <c r="P376" i="40" s="1"/>
  <c r="A375" i="40"/>
  <c r="A376" i="40" s="1"/>
  <c r="C363" i="40"/>
  <c r="M362" i="40"/>
  <c r="M363" i="40" s="1"/>
  <c r="C358" i="40"/>
  <c r="N358" i="40" s="1"/>
  <c r="N352" i="40"/>
  <c r="N351" i="40"/>
  <c r="N347" i="40"/>
  <c r="N336" i="40"/>
  <c r="N327" i="40"/>
  <c r="P327" i="40" s="1"/>
  <c r="N320" i="40"/>
  <c r="P312" i="40"/>
  <c r="N311" i="40"/>
  <c r="P311" i="40" s="1"/>
  <c r="D304" i="40"/>
  <c r="P284" i="40"/>
  <c r="N269" i="40"/>
  <c r="N267" i="40"/>
  <c r="N264" i="40"/>
  <c r="N265" i="40" s="1"/>
  <c r="P265" i="40" s="1"/>
  <c r="N247" i="40"/>
  <c r="P247" i="40" s="1"/>
  <c r="N239" i="40"/>
  <c r="P239" i="40" s="1"/>
  <c r="P234" i="40"/>
  <c r="N229" i="40"/>
  <c r="M225" i="40"/>
  <c r="M226" i="40" s="1"/>
  <c r="C221" i="40"/>
  <c r="N221" i="40" s="1"/>
  <c r="N219" i="40"/>
  <c r="C216" i="40"/>
  <c r="N216" i="40" s="1"/>
  <c r="N215" i="40"/>
  <c r="N214" i="40"/>
  <c r="N204" i="40"/>
  <c r="E198" i="40"/>
  <c r="N198" i="40" s="1"/>
  <c r="N193" i="40"/>
  <c r="N176" i="40"/>
  <c r="F171" i="40"/>
  <c r="M167" i="40"/>
  <c r="M170" i="40" s="1"/>
  <c r="M171" i="40" s="1"/>
  <c r="M173" i="40" s="1"/>
  <c r="E162" i="40"/>
  <c r="F160" i="40"/>
  <c r="M156" i="40"/>
  <c r="M159" i="40" s="1"/>
  <c r="M160" i="40" s="1"/>
  <c r="M162" i="40" s="1"/>
  <c r="C148" i="29"/>
  <c r="M145" i="29"/>
  <c r="M148" i="29" s="1"/>
  <c r="F145" i="29"/>
  <c r="D135" i="29"/>
  <c r="L130" i="29"/>
  <c r="M127" i="29"/>
  <c r="M131" i="29" s="1"/>
  <c r="M135" i="29" s="1"/>
  <c r="C127" i="29"/>
  <c r="N114" i="29"/>
  <c r="P114" i="29" s="1"/>
  <c r="D107" i="29"/>
  <c r="D111" i="29" s="1"/>
  <c r="M98" i="29"/>
  <c r="M102" i="29" s="1"/>
  <c r="C98" i="29"/>
  <c r="M97" i="29"/>
  <c r="M101" i="29" s="1"/>
  <c r="N76" i="29"/>
  <c r="P76" i="29" s="1"/>
  <c r="C42" i="29"/>
  <c r="C37" i="29"/>
  <c r="N24" i="29"/>
  <c r="N25" i="29" s="1"/>
  <c r="P25" i="29" s="1"/>
  <c r="M16" i="29"/>
  <c r="M17" i="29" s="1"/>
  <c r="N10" i="29"/>
  <c r="N271" i="28"/>
  <c r="P271" i="28" s="1"/>
  <c r="P269" i="28"/>
  <c r="P268" i="28"/>
  <c r="N264" i="28"/>
  <c r="N258" i="28"/>
  <c r="N259" i="28" s="1"/>
  <c r="C236" i="28"/>
  <c r="B228" i="28"/>
  <c r="B232" i="28" s="1"/>
  <c r="N210" i="28"/>
  <c r="E209" i="28"/>
  <c r="E208" i="28"/>
  <c r="N208" i="28" s="1"/>
  <c r="C178" i="28"/>
  <c r="L176" i="28"/>
  <c r="N176" i="28" s="1"/>
  <c r="N172" i="28"/>
  <c r="N158" i="28"/>
  <c r="P158" i="28" s="1"/>
  <c r="D153" i="28"/>
  <c r="L149" i="28"/>
  <c r="M148" i="28"/>
  <c r="M152" i="28" s="1"/>
  <c r="F148" i="28"/>
  <c r="C134" i="28"/>
  <c r="C121" i="28"/>
  <c r="N117" i="28"/>
  <c r="M100" i="28"/>
  <c r="E81" i="28"/>
  <c r="M78" i="28"/>
  <c r="E69" i="28"/>
  <c r="L61" i="28"/>
  <c r="C61" i="28"/>
  <c r="L57" i="28"/>
  <c r="M41" i="28"/>
  <c r="M52" i="28" s="1"/>
  <c r="M37" i="28"/>
  <c r="C37" i="28"/>
  <c r="D36" i="28"/>
  <c r="M16" i="28"/>
  <c r="M17" i="28" s="1"/>
  <c r="N17" i="28" s="1"/>
  <c r="P17" i="28" s="1"/>
  <c r="N11" i="28"/>
  <c r="A283" i="27"/>
  <c r="A284" i="27" s="1"/>
  <c r="M263" i="27"/>
  <c r="M260" i="27"/>
  <c r="M254" i="27"/>
  <c r="A232" i="27"/>
  <c r="A233" i="27" s="1"/>
  <c r="A241" i="27" s="1"/>
  <c r="C201" i="27"/>
  <c r="M198" i="27"/>
  <c r="L190" i="27"/>
  <c r="L193" i="27" s="1"/>
  <c r="M187" i="27"/>
  <c r="M188" i="27" s="1"/>
  <c r="O188" i="27" s="1"/>
  <c r="C166" i="27"/>
  <c r="M166" i="27" s="1"/>
  <c r="L160" i="27"/>
  <c r="L161" i="27" s="1"/>
  <c r="F160" i="27"/>
  <c r="E156" i="27"/>
  <c r="G155" i="27"/>
  <c r="L152" i="27"/>
  <c r="D152" i="27"/>
  <c r="E151" i="27"/>
  <c r="C147" i="27"/>
  <c r="K143" i="27"/>
  <c r="K155" i="27" s="1"/>
  <c r="K142" i="27"/>
  <c r="F139" i="27"/>
  <c r="F154" i="27" s="1"/>
  <c r="M135" i="27"/>
  <c r="H116" i="27"/>
  <c r="L71" i="27"/>
  <c r="M38" i="27"/>
  <c r="M34" i="27"/>
  <c r="M35" i="27" s="1"/>
  <c r="A31" i="27"/>
  <c r="A63" i="27" s="1"/>
  <c r="A82" i="27" s="1"/>
  <c r="A101" i="27" s="1"/>
  <c r="A118" i="27" s="1"/>
  <c r="L29" i="27"/>
  <c r="L30" i="27" s="1"/>
  <c r="L249" i="27" s="1"/>
  <c r="L250" i="27" s="1"/>
  <c r="P276" i="26"/>
  <c r="N259" i="26"/>
  <c r="M231" i="26"/>
  <c r="M234" i="26" s="1"/>
  <c r="M235" i="26" s="1"/>
  <c r="M240" i="26" s="1"/>
  <c r="M241" i="26" s="1"/>
  <c r="N230" i="26"/>
  <c r="E220" i="26"/>
  <c r="E221" i="26" s="1"/>
  <c r="D212" i="26"/>
  <c r="D208" i="26"/>
  <c r="H204" i="26"/>
  <c r="N191" i="26"/>
  <c r="D186" i="26"/>
  <c r="D157" i="26"/>
  <c r="D144" i="26"/>
  <c r="C136" i="26"/>
  <c r="M132" i="26"/>
  <c r="N129" i="26"/>
  <c r="E124" i="26"/>
  <c r="H104" i="26"/>
  <c r="L95" i="26"/>
  <c r="M81" i="26"/>
  <c r="F80" i="26"/>
  <c r="I61" i="26"/>
  <c r="C61" i="26"/>
  <c r="M42" i="26"/>
  <c r="M53" i="26" s="1"/>
  <c r="B42" i="26"/>
  <c r="B53" i="26" s="1"/>
  <c r="B57" i="26" s="1"/>
  <c r="B61" i="26" s="1"/>
  <c r="B65" i="26" s="1"/>
  <c r="E41" i="26"/>
  <c r="E42" i="26" s="1"/>
  <c r="B41" i="26"/>
  <c r="B52" i="26" s="1"/>
  <c r="B56" i="26" s="1"/>
  <c r="B60" i="26" s="1"/>
  <c r="B64" i="26" s="1"/>
  <c r="M36" i="26"/>
  <c r="D36" i="26"/>
  <c r="D19" i="26"/>
  <c r="N14" i="26"/>
  <c r="P14" i="26" s="1"/>
  <c r="N11" i="26"/>
  <c r="N10" i="26"/>
  <c r="N12" i="26" s="1"/>
  <c r="P12" i="26" s="1"/>
  <c r="M441" i="25"/>
  <c r="K436" i="25"/>
  <c r="M436" i="25" s="1"/>
  <c r="M424" i="25"/>
  <c r="M426" i="25" s="1"/>
  <c r="D410" i="25"/>
  <c r="M410" i="25" s="1"/>
  <c r="C405" i="25"/>
  <c r="M405" i="25" s="1"/>
  <c r="M398" i="25"/>
  <c r="M402" i="25" s="1"/>
  <c r="M392" i="25"/>
  <c r="M391" i="25" s="1"/>
  <c r="M379" i="25"/>
  <c r="M350" i="25"/>
  <c r="M342" i="25"/>
  <c r="M339" i="25"/>
  <c r="M334" i="25"/>
  <c r="D296" i="25"/>
  <c r="M282" i="25"/>
  <c r="C274" i="25"/>
  <c r="C262" i="25"/>
  <c r="F259" i="25"/>
  <c r="I112" i="20"/>
  <c r="C101" i="20"/>
  <c r="K82" i="20"/>
  <c r="I82" i="20"/>
  <c r="M81" i="20"/>
  <c r="D77" i="20"/>
  <c r="C79" i="20" s="1"/>
  <c r="M79" i="20" s="1"/>
  <c r="M76" i="20"/>
  <c r="E1189" i="7" s="1"/>
  <c r="W1189" i="7" s="1"/>
  <c r="B36" i="20"/>
  <c r="B40" i="20" s="1"/>
  <c r="C22" i="20"/>
  <c r="L19" i="20"/>
  <c r="M159" i="19"/>
  <c r="M147" i="19"/>
  <c r="E1153" i="7" s="1"/>
  <c r="W1153" i="7" s="1"/>
  <c r="M142" i="19"/>
  <c r="E1150" i="7" s="1"/>
  <c r="W1150" i="7" s="1"/>
  <c r="A132" i="19"/>
  <c r="A136" i="19" s="1"/>
  <c r="A141" i="19" s="1"/>
  <c r="A149" i="19" s="1"/>
  <c r="A154" i="19" s="1"/>
  <c r="A155" i="19" s="1"/>
  <c r="A156" i="19" s="1"/>
  <c r="A118" i="19"/>
  <c r="A119" i="19" s="1"/>
  <c r="C117" i="19"/>
  <c r="M117" i="19" s="1"/>
  <c r="M118" i="19" s="1"/>
  <c r="L109" i="19"/>
  <c r="L110" i="19" s="1"/>
  <c r="K99" i="19"/>
  <c r="I99" i="19"/>
  <c r="M90" i="19"/>
  <c r="D85" i="19"/>
  <c r="M82" i="19"/>
  <c r="E1124" i="7" s="1"/>
  <c r="W1124" i="7" s="1"/>
  <c r="K74" i="19"/>
  <c r="M64" i="19"/>
  <c r="E1116" i="7" s="1"/>
  <c r="W1116" i="7" s="1"/>
  <c r="C43" i="19"/>
  <c r="N81" i="18"/>
  <c r="P74" i="18"/>
  <c r="N72" i="18"/>
  <c r="P72" i="18" s="1"/>
  <c r="E1085" i="7" s="1"/>
  <c r="W1085" i="7" s="1"/>
  <c r="Y1085" i="7" s="1"/>
  <c r="D54" i="18"/>
  <c r="E48" i="18"/>
  <c r="E33" i="18"/>
  <c r="E23" i="18"/>
  <c r="L366" i="17"/>
  <c r="L369" i="17" s="1"/>
  <c r="L326" i="17"/>
  <c r="L330" i="17" s="1"/>
  <c r="L334" i="17" s="1"/>
  <c r="L342" i="17" s="1"/>
  <c r="E310" i="17"/>
  <c r="M270" i="17"/>
  <c r="A215" i="17"/>
  <c r="A216" i="17" s="1"/>
  <c r="L148" i="17"/>
  <c r="C145" i="17"/>
  <c r="L129" i="17"/>
  <c r="L130" i="17" s="1"/>
  <c r="K100" i="17"/>
  <c r="M77" i="17"/>
  <c r="L68" i="17"/>
  <c r="L69" i="17" s="1"/>
  <c r="M208" i="11"/>
  <c r="M212" i="11" s="1"/>
  <c r="K204" i="11"/>
  <c r="F180" i="11"/>
  <c r="N177" i="11"/>
  <c r="N176" i="11" s="1"/>
  <c r="P176" i="11" s="1"/>
  <c r="F128" i="6"/>
  <c r="F129" i="6" s="1"/>
  <c r="F130" i="6" s="1"/>
  <c r="F131" i="6" s="1"/>
  <c r="F132" i="6" s="1"/>
  <c r="F133" i="6" s="1"/>
  <c r="F134" i="6" s="1"/>
  <c r="F135" i="6" s="1"/>
  <c r="F136" i="6" s="1"/>
  <c r="F137" i="6" s="1"/>
  <c r="F138" i="6" s="1"/>
  <c r="F139" i="6" s="1"/>
  <c r="F140" i="6" s="1"/>
  <c r="F141" i="6" s="1"/>
  <c r="F142" i="6" s="1"/>
  <c r="F149" i="40"/>
  <c r="C149" i="40"/>
  <c r="L147" i="40"/>
  <c r="L148" i="40" s="1"/>
  <c r="L149" i="40" s="1"/>
  <c r="F147" i="40"/>
  <c r="N146" i="40"/>
  <c r="N143" i="40"/>
  <c r="N142" i="40"/>
  <c r="N141" i="40"/>
  <c r="E137" i="40"/>
  <c r="L135" i="40"/>
  <c r="C134" i="40"/>
  <c r="N131" i="40"/>
  <c r="N130" i="40"/>
  <c r="D126" i="40"/>
  <c r="C126" i="40"/>
  <c r="N126" i="40" s="1"/>
  <c r="P126" i="40" s="1"/>
  <c r="N125" i="40"/>
  <c r="P125" i="40" s="1"/>
  <c r="N123" i="40"/>
  <c r="N122" i="40"/>
  <c r="C118" i="40"/>
  <c r="M117" i="40"/>
  <c r="M118" i="40" s="1"/>
  <c r="F117" i="40"/>
  <c r="N116" i="40"/>
  <c r="P116" i="40" s="1"/>
  <c r="P115" i="40"/>
  <c r="L108" i="40"/>
  <c r="I108" i="40"/>
  <c r="C108" i="40"/>
  <c r="B108" i="40"/>
  <c r="B112" i="40" s="1"/>
  <c r="B107" i="40"/>
  <c r="B111" i="40" s="1"/>
  <c r="M104" i="40"/>
  <c r="M108" i="40" s="1"/>
  <c r="M112" i="40" s="1"/>
  <c r="L104" i="40"/>
  <c r="C104" i="40"/>
  <c r="M103" i="40"/>
  <c r="M107" i="40" s="1"/>
  <c r="M111" i="40" s="1"/>
  <c r="C103" i="40"/>
  <c r="N100" i="40"/>
  <c r="N99" i="40"/>
  <c r="N98" i="40"/>
  <c r="L89" i="40"/>
  <c r="I89" i="40"/>
  <c r="C89" i="40"/>
  <c r="M85" i="40"/>
  <c r="M89" i="40" s="1"/>
  <c r="M93" i="40" s="1"/>
  <c r="M204" i="40" s="1"/>
  <c r="L85" i="40"/>
  <c r="M84" i="40"/>
  <c r="M88" i="40" s="1"/>
  <c r="M92" i="40" s="1"/>
  <c r="M203" i="40" s="1"/>
  <c r="H80" i="40"/>
  <c r="H81" i="40" s="1"/>
  <c r="D80" i="40"/>
  <c r="L70" i="40"/>
  <c r="I70" i="40"/>
  <c r="C70" i="40"/>
  <c r="B70" i="40"/>
  <c r="B74" i="40" s="1"/>
  <c r="B69" i="40"/>
  <c r="B73" i="40" s="1"/>
  <c r="M66" i="40"/>
  <c r="M70" i="40" s="1"/>
  <c r="M74" i="40" s="1"/>
  <c r="M201" i="40" s="1"/>
  <c r="L66" i="40"/>
  <c r="E66" i="40"/>
  <c r="M65" i="40"/>
  <c r="M69" i="40" s="1"/>
  <c r="M73" i="40" s="1"/>
  <c r="M200" i="40" s="1"/>
  <c r="E65" i="40"/>
  <c r="H61" i="40"/>
  <c r="H62" i="40" s="1"/>
  <c r="N60" i="40"/>
  <c r="L51" i="40"/>
  <c r="I51" i="40"/>
  <c r="C51" i="40"/>
  <c r="L47" i="40"/>
  <c r="A40" i="40"/>
  <c r="A57" i="40" s="1"/>
  <c r="A76" i="40" s="1"/>
  <c r="A95" i="40" s="1"/>
  <c r="A114" i="40" s="1"/>
  <c r="A119" i="40" s="1"/>
  <c r="A127" i="40" s="1"/>
  <c r="A138" i="40" s="1"/>
  <c r="A152" i="40" s="1"/>
  <c r="A163" i="40" s="1"/>
  <c r="D38" i="40"/>
  <c r="C38" i="40"/>
  <c r="M34" i="40"/>
  <c r="M38" i="40" s="1"/>
  <c r="M43" i="40" s="1"/>
  <c r="M47" i="40" s="1"/>
  <c r="M51" i="40" s="1"/>
  <c r="M55" i="40" s="1"/>
  <c r="M33" i="40"/>
  <c r="M37" i="40" s="1"/>
  <c r="M42" i="40" s="1"/>
  <c r="M46" i="40" s="1"/>
  <c r="M50" i="40" s="1"/>
  <c r="M54" i="40" s="1"/>
  <c r="C33" i="40"/>
  <c r="C23" i="40"/>
  <c r="N23" i="40" s="1"/>
  <c r="P23" i="40" s="1"/>
  <c r="D21" i="40"/>
  <c r="B21" i="40"/>
  <c r="B34" i="40" s="1"/>
  <c r="B38" i="40" s="1"/>
  <c r="B43" i="40" s="1"/>
  <c r="B47" i="40" s="1"/>
  <c r="B51" i="40" s="1"/>
  <c r="B55" i="40" s="1"/>
  <c r="N20" i="40"/>
  <c r="B20" i="40"/>
  <c r="B33" i="40" s="1"/>
  <c r="B37" i="40" s="1"/>
  <c r="B42" i="40" s="1"/>
  <c r="B46" i="40" s="1"/>
  <c r="B50" i="40" s="1"/>
  <c r="B54" i="40" s="1"/>
  <c r="T19" i="40"/>
  <c r="D18" i="40" s="1"/>
  <c r="A19" i="40"/>
  <c r="A23" i="40" s="1"/>
  <c r="A24" i="40" s="1"/>
  <c r="A30" i="40" s="1"/>
  <c r="T18" i="40"/>
  <c r="C18" i="40" s="1"/>
  <c r="N18" i="40"/>
  <c r="P18" i="40" s="1"/>
  <c r="N16" i="40"/>
  <c r="N11" i="40"/>
  <c r="N10" i="40"/>
  <c r="M383" i="39"/>
  <c r="M382" i="39"/>
  <c r="M379" i="39"/>
  <c r="M386" i="39" s="1"/>
  <c r="M374" i="39"/>
  <c r="K369" i="39"/>
  <c r="M369" i="39" s="1"/>
  <c r="K368" i="39"/>
  <c r="M368" i="39" s="1"/>
  <c r="M366" i="39"/>
  <c r="M362" i="39"/>
  <c r="M361" i="39"/>
  <c r="A360" i="39"/>
  <c r="A365" i="39" s="1"/>
  <c r="A367" i="39" s="1"/>
  <c r="A371" i="39" s="1"/>
  <c r="A375" i="39" s="1"/>
  <c r="A380" i="39" s="1"/>
  <c r="A381" i="39" s="1"/>
  <c r="A382" i="39" s="1"/>
  <c r="A383" i="39" s="1"/>
  <c r="A384" i="39" s="1"/>
  <c r="A385" i="39" s="1"/>
  <c r="A386" i="39" s="1"/>
  <c r="A387" i="39" s="1"/>
  <c r="A388" i="39" s="1"/>
  <c r="M358" i="39"/>
  <c r="M357" i="39"/>
  <c r="M355" i="39"/>
  <c r="C346" i="39"/>
  <c r="M346" i="39" s="1"/>
  <c r="D345" i="39"/>
  <c r="M345" i="39" s="1"/>
  <c r="D343" i="39"/>
  <c r="M343" i="39" s="1"/>
  <c r="C342" i="39"/>
  <c r="M342" i="39" s="1"/>
  <c r="M339" i="39"/>
  <c r="C338" i="39"/>
  <c r="M338" i="39" s="1"/>
  <c r="M331" i="39"/>
  <c r="M335" i="39" s="1"/>
  <c r="M330" i="39"/>
  <c r="C324" i="39"/>
  <c r="C321" i="39"/>
  <c r="M321" i="39" s="1"/>
  <c r="M320" i="39"/>
  <c r="M317" i="39"/>
  <c r="M309" i="39"/>
  <c r="M308" i="39"/>
  <c r="M301" i="39"/>
  <c r="M295" i="39"/>
  <c r="M291" i="39"/>
  <c r="M283" i="39"/>
  <c r="M279" i="39"/>
  <c r="M275" i="39"/>
  <c r="M268" i="39"/>
  <c r="A259" i="39"/>
  <c r="A265" i="39" s="1"/>
  <c r="A271" i="39" s="1"/>
  <c r="A277" i="39" s="1"/>
  <c r="C245" i="39"/>
  <c r="E242" i="39"/>
  <c r="E243" i="39" s="1"/>
  <c r="M241" i="39"/>
  <c r="D236" i="39"/>
  <c r="E235" i="39"/>
  <c r="E236" i="39" s="1"/>
  <c r="K232" i="39"/>
  <c r="K229" i="39"/>
  <c r="C229" i="39"/>
  <c r="E224" i="39"/>
  <c r="C224" i="39"/>
  <c r="M223" i="39"/>
  <c r="M222" i="39"/>
  <c r="M221" i="39"/>
  <c r="D216" i="39"/>
  <c r="C216" i="39"/>
  <c r="K214" i="39"/>
  <c r="M213" i="39"/>
  <c r="M210" i="39"/>
  <c r="E204" i="39"/>
  <c r="D204" i="39"/>
  <c r="C204" i="39"/>
  <c r="C203" i="39"/>
  <c r="C202" i="39"/>
  <c r="L199" i="39"/>
  <c r="L204" i="39" s="1"/>
  <c r="K199" i="39"/>
  <c r="G199" i="39"/>
  <c r="L198" i="39"/>
  <c r="L203" i="39" s="1"/>
  <c r="K198" i="39"/>
  <c r="F198" i="39"/>
  <c r="F199" i="39" s="1"/>
  <c r="C198" i="39"/>
  <c r="L197" i="39"/>
  <c r="L202" i="39" s="1"/>
  <c r="K197" i="39"/>
  <c r="K194" i="39"/>
  <c r="F193" i="39"/>
  <c r="F194" i="39" s="1"/>
  <c r="M192" i="39"/>
  <c r="H189" i="39"/>
  <c r="M189" i="39" s="1"/>
  <c r="M188" i="39"/>
  <c r="M184" i="39"/>
  <c r="K183" i="39"/>
  <c r="M182" i="39"/>
  <c r="M180" i="39"/>
  <c r="E174" i="39"/>
  <c r="E175" i="39" s="1"/>
  <c r="D174" i="39"/>
  <c r="D175" i="39" s="1"/>
  <c r="I168" i="39"/>
  <c r="I169" i="39" s="1"/>
  <c r="F167" i="39"/>
  <c r="F168" i="39" s="1"/>
  <c r="F169" i="39" s="1"/>
  <c r="C167" i="39"/>
  <c r="K162" i="39"/>
  <c r="K163" i="39" s="1"/>
  <c r="F161" i="39"/>
  <c r="F162" i="39" s="1"/>
  <c r="F163" i="39" s="1"/>
  <c r="J157" i="39"/>
  <c r="D156" i="39"/>
  <c r="D157" i="39" s="1"/>
  <c r="J155" i="39"/>
  <c r="E154" i="39"/>
  <c r="E155" i="39" s="1"/>
  <c r="L146" i="39"/>
  <c r="L147" i="39" s="1"/>
  <c r="E144" i="39"/>
  <c r="E142" i="39"/>
  <c r="K141" i="39"/>
  <c r="E140" i="39"/>
  <c r="L136" i="39"/>
  <c r="L137" i="39" s="1"/>
  <c r="K136" i="39"/>
  <c r="M135" i="39"/>
  <c r="M134" i="39"/>
  <c r="M123" i="39"/>
  <c r="D119" i="39"/>
  <c r="C119" i="39"/>
  <c r="D118" i="39"/>
  <c r="C118" i="39"/>
  <c r="M116" i="39"/>
  <c r="M115" i="39"/>
  <c r="M111" i="39"/>
  <c r="L107" i="39"/>
  <c r="L163" i="39" s="1"/>
  <c r="L106" i="39"/>
  <c r="L162" i="39" s="1"/>
  <c r="E106" i="39"/>
  <c r="E107" i="39" s="1"/>
  <c r="D106" i="39"/>
  <c r="D107" i="39" s="1"/>
  <c r="L105" i="39"/>
  <c r="L161" i="39" s="1"/>
  <c r="L104" i="39"/>
  <c r="L160" i="39" s="1"/>
  <c r="L100" i="39"/>
  <c r="I95" i="39"/>
  <c r="I96" i="39" s="1"/>
  <c r="F94" i="39"/>
  <c r="F95" i="39" s="1"/>
  <c r="F96" i="39" s="1"/>
  <c r="C94" i="39"/>
  <c r="K88" i="39"/>
  <c r="K89" i="39" s="1"/>
  <c r="K90" i="39" s="1"/>
  <c r="L87" i="39"/>
  <c r="F87" i="39"/>
  <c r="J82" i="39"/>
  <c r="J83" i="39" s="1"/>
  <c r="E82" i="39"/>
  <c r="E83" i="39" s="1"/>
  <c r="A78" i="39"/>
  <c r="A109" i="39" s="1"/>
  <c r="E72" i="39"/>
  <c r="M71" i="39"/>
  <c r="M70" i="39"/>
  <c r="E66" i="39"/>
  <c r="M65" i="39"/>
  <c r="L48" i="39"/>
  <c r="L54" i="39" s="1"/>
  <c r="C48" i="39"/>
  <c r="L47" i="39"/>
  <c r="L53" i="39" s="1"/>
  <c r="E47" i="39"/>
  <c r="E48" i="39" s="1"/>
  <c r="C47" i="39"/>
  <c r="L46" i="39"/>
  <c r="L52" i="39" s="1"/>
  <c r="C46" i="39"/>
  <c r="L45" i="39"/>
  <c r="L51" i="39" s="1"/>
  <c r="D45" i="39"/>
  <c r="C45" i="39"/>
  <c r="D40" i="39"/>
  <c r="D46" i="39" s="1"/>
  <c r="E39" i="39"/>
  <c r="E40" i="39" s="1"/>
  <c r="E41" i="39" s="1"/>
  <c r="E42" i="39" s="1"/>
  <c r="D35" i="39"/>
  <c r="E34" i="39"/>
  <c r="E35" i="39" s="1"/>
  <c r="E36" i="39" s="1"/>
  <c r="M33" i="39"/>
  <c r="M29" i="39"/>
  <c r="M28" i="39"/>
  <c r="M27" i="39"/>
  <c r="M26" i="39"/>
  <c r="L20" i="39"/>
  <c r="L21" i="39" s="1"/>
  <c r="L22" i="39" s="1"/>
  <c r="K20" i="39"/>
  <c r="L18" i="39"/>
  <c r="M18" i="39" s="1"/>
  <c r="M17" i="39"/>
  <c r="D16" i="39"/>
  <c r="D19" i="39" s="1"/>
  <c r="M19" i="39" s="1"/>
  <c r="M14" i="39"/>
  <c r="P199" i="38"/>
  <c r="P198" i="38"/>
  <c r="E187" i="38"/>
  <c r="E189" i="38" s="1"/>
  <c r="E191" i="38" s="1"/>
  <c r="D186" i="38"/>
  <c r="D188" i="38" s="1"/>
  <c r="D190" i="38" s="1"/>
  <c r="D182" i="38"/>
  <c r="D178" i="38"/>
  <c r="D183" i="38" s="1"/>
  <c r="C178" i="38"/>
  <c r="M176" i="38"/>
  <c r="E176" i="38"/>
  <c r="M172" i="38"/>
  <c r="M173" i="38" s="1"/>
  <c r="E172" i="38"/>
  <c r="C172" i="38"/>
  <c r="C171" i="38"/>
  <c r="M168" i="38"/>
  <c r="E168" i="38"/>
  <c r="N167" i="38"/>
  <c r="N166" i="38"/>
  <c r="P163" i="38"/>
  <c r="A154" i="38"/>
  <c r="A156" i="38" s="1"/>
  <c r="A163" i="38" s="1"/>
  <c r="A164" i="38" s="1"/>
  <c r="A195" i="38" s="1"/>
  <c r="A196" i="38" s="1"/>
  <c r="A197" i="38" s="1"/>
  <c r="A198" i="38" s="1"/>
  <c r="A199" i="38" s="1"/>
  <c r="C141" i="38"/>
  <c r="C140" i="38"/>
  <c r="M138" i="38"/>
  <c r="M139" i="38" s="1"/>
  <c r="M140" i="38" s="1"/>
  <c r="M141" i="38" s="1"/>
  <c r="M142" i="38" s="1"/>
  <c r="M143" i="38" s="1"/>
  <c r="M144" i="38" s="1"/>
  <c r="M145" i="38" s="1"/>
  <c r="M146" i="38" s="1"/>
  <c r="M147" i="38" s="1"/>
  <c r="M149" i="38" s="1"/>
  <c r="M150" i="38" s="1"/>
  <c r="H138" i="38"/>
  <c r="H139" i="38" s="1"/>
  <c r="H140" i="38" s="1"/>
  <c r="H141" i="38" s="1"/>
  <c r="H142" i="38" s="1"/>
  <c r="H143" i="38" s="1"/>
  <c r="H144" i="38" s="1"/>
  <c r="H145" i="38" s="1"/>
  <c r="H146" i="38" s="1"/>
  <c r="H147" i="38" s="1"/>
  <c r="H149" i="38" s="1"/>
  <c r="N137" i="38"/>
  <c r="D131" i="38"/>
  <c r="C131" i="38"/>
  <c r="M126" i="38"/>
  <c r="M123" i="38"/>
  <c r="D123" i="38"/>
  <c r="M121" i="38"/>
  <c r="L121" i="38"/>
  <c r="C120" i="38"/>
  <c r="M117" i="38"/>
  <c r="C117" i="38"/>
  <c r="N116" i="38"/>
  <c r="N115" i="38"/>
  <c r="M112" i="38"/>
  <c r="M110" i="38"/>
  <c r="L110" i="38"/>
  <c r="C110" i="38"/>
  <c r="C109" i="38"/>
  <c r="M106" i="38"/>
  <c r="N105" i="38"/>
  <c r="J99" i="38"/>
  <c r="M98" i="38"/>
  <c r="H98" i="38"/>
  <c r="F98" i="38"/>
  <c r="M96" i="38"/>
  <c r="E95" i="38"/>
  <c r="N95" i="38" s="1"/>
  <c r="L93" i="38"/>
  <c r="L100" i="38" s="1"/>
  <c r="I93" i="38"/>
  <c r="I100" i="38" s="1"/>
  <c r="C93" i="38"/>
  <c r="M92" i="38"/>
  <c r="H92" i="38"/>
  <c r="H93" i="38" s="1"/>
  <c r="M90" i="38"/>
  <c r="L90" i="38"/>
  <c r="L99" i="38" s="1"/>
  <c r="H90" i="38"/>
  <c r="H99" i="38" s="1"/>
  <c r="H100" i="38" s="1"/>
  <c r="H101" i="38" s="1"/>
  <c r="F90" i="38"/>
  <c r="F99" i="38" s="1"/>
  <c r="C89" i="38"/>
  <c r="E87" i="38"/>
  <c r="N86" i="38"/>
  <c r="E83" i="38"/>
  <c r="M82" i="38"/>
  <c r="M83" i="38" s="1"/>
  <c r="H82" i="38"/>
  <c r="H83" i="38" s="1"/>
  <c r="F82" i="38"/>
  <c r="N81" i="38"/>
  <c r="P81" i="38" s="1"/>
  <c r="P80" i="38"/>
  <c r="F78" i="38"/>
  <c r="N78" i="38" s="1"/>
  <c r="P78" i="38" s="1"/>
  <c r="L71" i="38"/>
  <c r="I71" i="38"/>
  <c r="C71" i="38"/>
  <c r="G70" i="38"/>
  <c r="G74" i="38" s="1"/>
  <c r="L67" i="38"/>
  <c r="C66" i="38"/>
  <c r="A60" i="38"/>
  <c r="A77" i="38" s="1"/>
  <c r="G58" i="38"/>
  <c r="G63" i="38" s="1"/>
  <c r="G67" i="38" s="1"/>
  <c r="G71" i="38" s="1"/>
  <c r="G75" i="38" s="1"/>
  <c r="C58" i="38"/>
  <c r="B58" i="38"/>
  <c r="B63" i="38" s="1"/>
  <c r="B67" i="38" s="1"/>
  <c r="B71" i="38" s="1"/>
  <c r="B75" i="38" s="1"/>
  <c r="B87" i="38" s="1"/>
  <c r="B90" i="38" s="1"/>
  <c r="B93" i="38" s="1"/>
  <c r="B96" i="38" s="1"/>
  <c r="M57" i="38"/>
  <c r="M62" i="38" s="1"/>
  <c r="M66" i="38" s="1"/>
  <c r="M70" i="38" s="1"/>
  <c r="M74" i="38" s="1"/>
  <c r="G57" i="38"/>
  <c r="C57" i="38"/>
  <c r="B57" i="38"/>
  <c r="B62" i="38" s="1"/>
  <c r="B66" i="38" s="1"/>
  <c r="B70" i="38" s="1"/>
  <c r="B74" i="38" s="1"/>
  <c r="B86" i="38" s="1"/>
  <c r="B89" i="38" s="1"/>
  <c r="B92" i="38" s="1"/>
  <c r="B95" i="38" s="1"/>
  <c r="M54" i="38"/>
  <c r="M58" i="38" s="1"/>
  <c r="M63" i="38" s="1"/>
  <c r="M67" i="38" s="1"/>
  <c r="M71" i="38" s="1"/>
  <c r="M75" i="38" s="1"/>
  <c r="N53" i="38"/>
  <c r="M48" i="38"/>
  <c r="N47" i="38"/>
  <c r="N44" i="38"/>
  <c r="E39" i="38"/>
  <c r="D39" i="38"/>
  <c r="C39" i="38"/>
  <c r="L37" i="38"/>
  <c r="I37" i="38"/>
  <c r="C37" i="38"/>
  <c r="C36" i="38"/>
  <c r="M30" i="38"/>
  <c r="M32" i="38" s="1"/>
  <c r="M33" i="38" s="1"/>
  <c r="M36" i="38" s="1"/>
  <c r="M37" i="38" s="1"/>
  <c r="M39" i="38" s="1"/>
  <c r="M40" i="38" s="1"/>
  <c r="N40" i="38" s="1"/>
  <c r="P40" i="38" s="1"/>
  <c r="N29" i="38"/>
  <c r="P29" i="38" s="1"/>
  <c r="P28" i="38"/>
  <c r="A27" i="38"/>
  <c r="E25" i="38"/>
  <c r="D25" i="38"/>
  <c r="C25" i="38"/>
  <c r="L23" i="38"/>
  <c r="I23" i="38"/>
  <c r="C23" i="38"/>
  <c r="C22" i="38"/>
  <c r="M16" i="38"/>
  <c r="M18" i="38" s="1"/>
  <c r="M19" i="38" s="1"/>
  <c r="M22" i="38" s="1"/>
  <c r="M23" i="38" s="1"/>
  <c r="M25" i="38" s="1"/>
  <c r="M26" i="38" s="1"/>
  <c r="N26" i="38" s="1"/>
  <c r="P26" i="38" s="1"/>
  <c r="N15" i="38"/>
  <c r="P15" i="38" s="1"/>
  <c r="P14" i="38"/>
  <c r="N11" i="38"/>
  <c r="N10" i="38"/>
  <c r="E59" i="37"/>
  <c r="E64" i="37" s="1"/>
  <c r="J43" i="37"/>
  <c r="E43" i="37"/>
  <c r="D32" i="37"/>
  <c r="D33" i="37" s="1"/>
  <c r="C31" i="37"/>
  <c r="N30" i="37"/>
  <c r="P30" i="37" s="1"/>
  <c r="N28" i="37"/>
  <c r="P28" i="37" s="1"/>
  <c r="A27" i="37"/>
  <c r="A34" i="37" s="1"/>
  <c r="A39" i="37" s="1"/>
  <c r="A44" i="37" s="1"/>
  <c r="A52" i="37" s="1"/>
  <c r="A56" i="37" s="1"/>
  <c r="A57" i="37" s="1"/>
  <c r="A63" i="37" s="1"/>
  <c r="A68" i="37" s="1"/>
  <c r="D21" i="37"/>
  <c r="C21" i="37"/>
  <c r="M19" i="37"/>
  <c r="M537" i="36"/>
  <c r="M536" i="36"/>
  <c r="A535" i="36"/>
  <c r="A536" i="36" s="1"/>
  <c r="A537" i="36" s="1"/>
  <c r="A538" i="36" s="1"/>
  <c r="A539" i="36" s="1"/>
  <c r="M533" i="36"/>
  <c r="L521" i="36"/>
  <c r="L511" i="36"/>
  <c r="L501" i="36"/>
  <c r="L490" i="36"/>
  <c r="M488" i="36"/>
  <c r="E478" i="36"/>
  <c r="E479" i="36" s="1"/>
  <c r="C469" i="36"/>
  <c r="L468" i="36"/>
  <c r="L474" i="36" s="1"/>
  <c r="C468" i="36"/>
  <c r="L464" i="36"/>
  <c r="L469" i="36" s="1"/>
  <c r="L475" i="36" s="1"/>
  <c r="L479" i="36" s="1"/>
  <c r="L483" i="36" s="1"/>
  <c r="M483" i="36" s="1"/>
  <c r="M463" i="36"/>
  <c r="M460" i="36"/>
  <c r="M454" i="36"/>
  <c r="L452" i="36"/>
  <c r="M452" i="36" s="1"/>
  <c r="M451" i="36"/>
  <c r="L448" i="36"/>
  <c r="M448" i="36" s="1"/>
  <c r="M447" i="36"/>
  <c r="M441" i="36"/>
  <c r="E437" i="36"/>
  <c r="M437" i="36" s="1"/>
  <c r="M436" i="36"/>
  <c r="L433" i="36"/>
  <c r="L434" i="36" s="1"/>
  <c r="E433" i="36"/>
  <c r="M432" i="36"/>
  <c r="E427" i="36"/>
  <c r="M427" i="36" s="1"/>
  <c r="M426" i="36"/>
  <c r="E424" i="36"/>
  <c r="L422" i="36"/>
  <c r="E420" i="36"/>
  <c r="M415" i="36"/>
  <c r="E412" i="36"/>
  <c r="C412" i="36"/>
  <c r="E411" i="36"/>
  <c r="E418" i="36" s="1"/>
  <c r="E509" i="36" s="1"/>
  <c r="M509" i="36" s="1"/>
  <c r="C411" i="36"/>
  <c r="E410" i="36"/>
  <c r="E417" i="36" s="1"/>
  <c r="E499" i="36" s="1"/>
  <c r="M499" i="36" s="1"/>
  <c r="C410" i="36"/>
  <c r="E408" i="36"/>
  <c r="M408" i="36" s="1"/>
  <c r="M407" i="36"/>
  <c r="M404" i="36"/>
  <c r="M456" i="36" s="1"/>
  <c r="L399" i="36"/>
  <c r="M399" i="36" s="1"/>
  <c r="M398" i="36"/>
  <c r="M396" i="36"/>
  <c r="D390" i="36"/>
  <c r="M389" i="36"/>
  <c r="M385" i="36"/>
  <c r="M383" i="36"/>
  <c r="M377" i="36"/>
  <c r="M372" i="36"/>
  <c r="M368" i="36"/>
  <c r="J353" i="36"/>
  <c r="J354" i="36" s="1"/>
  <c r="J357" i="36" s="1"/>
  <c r="J358" i="36" s="1"/>
  <c r="J361" i="36" s="1"/>
  <c r="J362" i="36" s="1"/>
  <c r="M350" i="36"/>
  <c r="M349" i="36"/>
  <c r="M345" i="36"/>
  <c r="E341" i="36"/>
  <c r="E339" i="36"/>
  <c r="M339" i="36" s="1"/>
  <c r="M338" i="36"/>
  <c r="M337" i="36"/>
  <c r="M336" i="36"/>
  <c r="A334" i="36"/>
  <c r="A347" i="36" s="1"/>
  <c r="A364" i="36" s="1"/>
  <c r="A379" i="36" s="1"/>
  <c r="A387" i="36" s="1"/>
  <c r="A401" i="36" s="1"/>
  <c r="A405" i="36" s="1"/>
  <c r="A429" i="36" s="1"/>
  <c r="A443" i="36" s="1"/>
  <c r="A456" i="36" s="1"/>
  <c r="A457" i="36" s="1"/>
  <c r="A485" i="36" s="1"/>
  <c r="A496" i="36" s="1"/>
  <c r="A506" i="36" s="1"/>
  <c r="A516" i="36" s="1"/>
  <c r="A522" i="36" s="1"/>
  <c r="A523" i="36" s="1"/>
  <c r="M324" i="36"/>
  <c r="E319" i="36"/>
  <c r="M319" i="36" s="1"/>
  <c r="M316" i="36"/>
  <c r="D310" i="36"/>
  <c r="M309" i="36"/>
  <c r="M307" i="36"/>
  <c r="D304" i="36"/>
  <c r="M304" i="36" s="1"/>
  <c r="E302" i="36"/>
  <c r="D302" i="36"/>
  <c r="C302" i="36"/>
  <c r="M301" i="36"/>
  <c r="M299" i="36"/>
  <c r="L290" i="36"/>
  <c r="L294" i="36" s="1"/>
  <c r="I290" i="36"/>
  <c r="B289" i="36"/>
  <c r="B294" i="36" s="1"/>
  <c r="L288" i="36"/>
  <c r="L293" i="36" s="1"/>
  <c r="B287" i="36"/>
  <c r="B293" i="36" s="1"/>
  <c r="I284" i="36"/>
  <c r="E282" i="36"/>
  <c r="M278" i="36"/>
  <c r="J272" i="36"/>
  <c r="D271" i="36"/>
  <c r="M270" i="36"/>
  <c r="D265" i="36"/>
  <c r="C264" i="36"/>
  <c r="E263" i="36"/>
  <c r="E264" i="36" s="1"/>
  <c r="E266" i="36" s="1"/>
  <c r="E267" i="36" s="1"/>
  <c r="M262" i="36"/>
  <c r="M261" i="36"/>
  <c r="M260" i="36"/>
  <c r="D254" i="36"/>
  <c r="L252" i="36"/>
  <c r="D252" i="36"/>
  <c r="C252" i="36"/>
  <c r="L251" i="36"/>
  <c r="C251" i="36"/>
  <c r="L250" i="36"/>
  <c r="D250" i="36"/>
  <c r="C250" i="36"/>
  <c r="L249" i="36"/>
  <c r="E249" i="36"/>
  <c r="E250" i="36" s="1"/>
  <c r="E251" i="36" s="1"/>
  <c r="E252" i="36" s="1"/>
  <c r="E254" i="36" s="1"/>
  <c r="E255" i="36" s="1"/>
  <c r="C249" i="36"/>
  <c r="D248" i="36"/>
  <c r="C248" i="36"/>
  <c r="D247" i="36"/>
  <c r="C247" i="36"/>
  <c r="M244" i="36"/>
  <c r="M243" i="36"/>
  <c r="D240" i="36"/>
  <c r="D255" i="36" s="1"/>
  <c r="M237" i="36"/>
  <c r="M236" i="36"/>
  <c r="M235" i="36"/>
  <c r="M234" i="36"/>
  <c r="M233" i="36"/>
  <c r="M232" i="36"/>
  <c r="C226" i="36"/>
  <c r="C225" i="36"/>
  <c r="L222" i="36"/>
  <c r="L226" i="36" s="1"/>
  <c r="L240" i="36" s="1"/>
  <c r="L255" i="36" s="1"/>
  <c r="K222" i="36"/>
  <c r="I222" i="36"/>
  <c r="C222" i="36"/>
  <c r="L221" i="36"/>
  <c r="L225" i="36" s="1"/>
  <c r="L239" i="36" s="1"/>
  <c r="L254" i="36" s="1"/>
  <c r="K221" i="36"/>
  <c r="I218" i="36"/>
  <c r="M217" i="36"/>
  <c r="M214" i="36"/>
  <c r="M213" i="36"/>
  <c r="M212" i="36"/>
  <c r="E207" i="36"/>
  <c r="D207" i="36"/>
  <c r="C207" i="36"/>
  <c r="C206" i="36"/>
  <c r="I203" i="36"/>
  <c r="F203" i="36"/>
  <c r="C203" i="36"/>
  <c r="L199" i="36"/>
  <c r="L203" i="36" s="1"/>
  <c r="L207" i="36" s="1"/>
  <c r="I199" i="36"/>
  <c r="C199" i="36"/>
  <c r="L198" i="36"/>
  <c r="L202" i="36" s="1"/>
  <c r="L206" i="36" s="1"/>
  <c r="C198" i="36"/>
  <c r="I195" i="36"/>
  <c r="M194" i="36"/>
  <c r="M191" i="36"/>
  <c r="M190" i="36"/>
  <c r="M189" i="36"/>
  <c r="E184" i="36"/>
  <c r="D184" i="36"/>
  <c r="I180" i="36"/>
  <c r="C180" i="36"/>
  <c r="L176" i="36"/>
  <c r="L180" i="36" s="1"/>
  <c r="L184" i="36" s="1"/>
  <c r="I176" i="36"/>
  <c r="C176" i="36"/>
  <c r="L175" i="36"/>
  <c r="L179" i="36" s="1"/>
  <c r="L183" i="36" s="1"/>
  <c r="C175" i="36"/>
  <c r="I172" i="36"/>
  <c r="M171" i="36"/>
  <c r="M168" i="36"/>
  <c r="M167" i="36"/>
  <c r="M166" i="36"/>
  <c r="E162" i="36"/>
  <c r="L161" i="36"/>
  <c r="L162" i="36" s="1"/>
  <c r="K161" i="36"/>
  <c r="M160" i="36"/>
  <c r="L155" i="36"/>
  <c r="L156" i="36" s="1"/>
  <c r="L157" i="36" s="1"/>
  <c r="L340" i="36" s="1"/>
  <c r="L341" i="36" s="1"/>
  <c r="E155" i="36"/>
  <c r="M153" i="36"/>
  <c r="L148" i="36"/>
  <c r="L149" i="36" s="1"/>
  <c r="G147" i="36"/>
  <c r="G149" i="36" s="1"/>
  <c r="E147" i="36"/>
  <c r="M145" i="36"/>
  <c r="E140" i="36"/>
  <c r="G139" i="36"/>
  <c r="G140" i="36" s="1"/>
  <c r="E139" i="36"/>
  <c r="L136" i="36"/>
  <c r="L140" i="36" s="1"/>
  <c r="K136" i="36"/>
  <c r="I136" i="36"/>
  <c r="F136" i="36"/>
  <c r="C136" i="36"/>
  <c r="L135" i="36"/>
  <c r="L139" i="36" s="1"/>
  <c r="K135" i="36"/>
  <c r="I132" i="36"/>
  <c r="G132" i="36"/>
  <c r="M131" i="36"/>
  <c r="M128" i="36"/>
  <c r="L123" i="36"/>
  <c r="L124" i="36" s="1"/>
  <c r="K123" i="36"/>
  <c r="M122" i="36"/>
  <c r="C118" i="36"/>
  <c r="C117" i="36"/>
  <c r="E116" i="36"/>
  <c r="E117" i="36" s="1"/>
  <c r="E118" i="36" s="1"/>
  <c r="D116" i="36"/>
  <c r="D117" i="36" s="1"/>
  <c r="D118" i="36" s="1"/>
  <c r="C116" i="36"/>
  <c r="C115" i="36"/>
  <c r="C114" i="36"/>
  <c r="L111" i="36"/>
  <c r="L118" i="36" s="1"/>
  <c r="L110" i="36"/>
  <c r="L117" i="36" s="1"/>
  <c r="L109" i="36"/>
  <c r="L116" i="36" s="1"/>
  <c r="F109" i="36"/>
  <c r="F110" i="36" s="1"/>
  <c r="F111" i="36" s="1"/>
  <c r="L108" i="36"/>
  <c r="L115" i="36" s="1"/>
  <c r="I108" i="36"/>
  <c r="I109" i="36" s="1"/>
  <c r="I110" i="36" s="1"/>
  <c r="I111" i="36" s="1"/>
  <c r="C108" i="36"/>
  <c r="L107" i="36"/>
  <c r="L114" i="36" s="1"/>
  <c r="K102" i="36"/>
  <c r="K103" i="36" s="1"/>
  <c r="K104" i="36" s="1"/>
  <c r="I101" i="36"/>
  <c r="I102" i="36" s="1"/>
  <c r="I103" i="36" s="1"/>
  <c r="I104" i="36" s="1"/>
  <c r="M100" i="36"/>
  <c r="M97" i="36"/>
  <c r="J95" i="36"/>
  <c r="J96" i="36" s="1"/>
  <c r="E95" i="36"/>
  <c r="M94" i="36"/>
  <c r="C89" i="36"/>
  <c r="C88" i="36"/>
  <c r="L84" i="36"/>
  <c r="L83" i="36"/>
  <c r="L80" i="36"/>
  <c r="L89" i="36" s="1"/>
  <c r="K80" i="36"/>
  <c r="I80" i="36"/>
  <c r="C80" i="36"/>
  <c r="L79" i="36"/>
  <c r="L88" i="36" s="1"/>
  <c r="K79" i="36"/>
  <c r="I76" i="36"/>
  <c r="M75" i="36"/>
  <c r="M72" i="36"/>
  <c r="E65" i="36"/>
  <c r="E66" i="36" s="1"/>
  <c r="E67" i="36" s="1"/>
  <c r="D64" i="36"/>
  <c r="D65" i="36" s="1"/>
  <c r="D66" i="36" s="1"/>
  <c r="D67" i="36" s="1"/>
  <c r="E58" i="36"/>
  <c r="E59" i="36" s="1"/>
  <c r="E60" i="36" s="1"/>
  <c r="D56" i="36"/>
  <c r="L53" i="36"/>
  <c r="L60" i="36" s="1"/>
  <c r="L67" i="36" s="1"/>
  <c r="C53" i="36"/>
  <c r="L52" i="36"/>
  <c r="L59" i="36" s="1"/>
  <c r="L66" i="36" s="1"/>
  <c r="C52" i="36"/>
  <c r="L51" i="36"/>
  <c r="L58" i="36" s="1"/>
  <c r="L65" i="36" s="1"/>
  <c r="E51" i="36"/>
  <c r="E52" i="36" s="1"/>
  <c r="E53" i="36" s="1"/>
  <c r="C51" i="36"/>
  <c r="L50" i="36"/>
  <c r="L57" i="36" s="1"/>
  <c r="L64" i="36" s="1"/>
  <c r="D50" i="36"/>
  <c r="D57" i="36" s="1"/>
  <c r="C50" i="36"/>
  <c r="L49" i="36"/>
  <c r="L56" i="36" s="1"/>
  <c r="L63" i="36" s="1"/>
  <c r="C49" i="36"/>
  <c r="M45" i="36"/>
  <c r="M44" i="36"/>
  <c r="M43" i="36"/>
  <c r="M42" i="36"/>
  <c r="M41" i="36"/>
  <c r="E36" i="36"/>
  <c r="E37" i="36" s="1"/>
  <c r="E38" i="36" s="1"/>
  <c r="D36" i="36"/>
  <c r="M35" i="36"/>
  <c r="L29" i="36"/>
  <c r="M28" i="36"/>
  <c r="L27" i="36"/>
  <c r="M27" i="36" s="1"/>
  <c r="M26" i="36"/>
  <c r="A24" i="36"/>
  <c r="A32" i="36" s="1"/>
  <c r="A69" i="36" s="1"/>
  <c r="A91" i="36" s="1"/>
  <c r="A120" i="36" s="1"/>
  <c r="A125" i="36" s="1"/>
  <c r="A142" i="36" s="1"/>
  <c r="A150" i="36" s="1"/>
  <c r="A158" i="36" s="1"/>
  <c r="A163" i="36" s="1"/>
  <c r="A186" i="36" s="1"/>
  <c r="A209" i="36" s="1"/>
  <c r="A228" i="36" s="1"/>
  <c r="A257" i="36" s="1"/>
  <c r="A275" i="36" s="1"/>
  <c r="A296" i="36" s="1"/>
  <c r="A303" i="36" s="1"/>
  <c r="L21" i="36"/>
  <c r="L22" i="36" s="1"/>
  <c r="L23" i="36" s="1"/>
  <c r="M23" i="36" s="1"/>
  <c r="M20" i="36"/>
  <c r="L19" i="36"/>
  <c r="M19" i="36" s="1"/>
  <c r="M18" i="36"/>
  <c r="M15" i="36"/>
  <c r="P147" i="35"/>
  <c r="P146" i="35"/>
  <c r="A146" i="35"/>
  <c r="A147" i="35" s="1"/>
  <c r="P145" i="35"/>
  <c r="P144" i="35"/>
  <c r="C140" i="35"/>
  <c r="M139" i="35"/>
  <c r="M140" i="35" s="1"/>
  <c r="M141" i="35" s="1"/>
  <c r="N141" i="35" s="1"/>
  <c r="N138" i="35"/>
  <c r="N135" i="35"/>
  <c r="N131" i="35"/>
  <c r="P128" i="35"/>
  <c r="M127" i="35"/>
  <c r="N112" i="35"/>
  <c r="N107" i="35"/>
  <c r="B102" i="35"/>
  <c r="B101" i="35"/>
  <c r="E98" i="35"/>
  <c r="C97" i="35"/>
  <c r="N96" i="35"/>
  <c r="E93" i="35"/>
  <c r="C93" i="35"/>
  <c r="N92" i="35"/>
  <c r="A89" i="35"/>
  <c r="A114" i="35" s="1"/>
  <c r="A128" i="35" s="1"/>
  <c r="A129" i="35" s="1"/>
  <c r="A133" i="35" s="1"/>
  <c r="A137" i="35" s="1"/>
  <c r="N88" i="35"/>
  <c r="P88" i="35" s="1"/>
  <c r="N84" i="35"/>
  <c r="N78" i="35"/>
  <c r="N79" i="35" s="1"/>
  <c r="P79" i="35" s="1"/>
  <c r="N76" i="35"/>
  <c r="M73" i="35"/>
  <c r="C73" i="35"/>
  <c r="N72" i="35"/>
  <c r="P72" i="35" s="1"/>
  <c r="P71" i="35"/>
  <c r="L65" i="35"/>
  <c r="I65" i="35"/>
  <c r="C65" i="35"/>
  <c r="M64" i="35"/>
  <c r="M68" i="35" s="1"/>
  <c r="M61" i="35"/>
  <c r="M65" i="35" s="1"/>
  <c r="M69" i="35" s="1"/>
  <c r="L61" i="35"/>
  <c r="M57" i="35"/>
  <c r="M51" i="35"/>
  <c r="E51" i="35"/>
  <c r="M50" i="35"/>
  <c r="F50" i="35"/>
  <c r="N49" i="35"/>
  <c r="P49" i="35" s="1"/>
  <c r="P48" i="35"/>
  <c r="M46" i="35"/>
  <c r="E46" i="35"/>
  <c r="M45" i="35"/>
  <c r="F45" i="35"/>
  <c r="N44" i="35"/>
  <c r="P44" i="35" s="1"/>
  <c r="P43" i="35"/>
  <c r="M41" i="35"/>
  <c r="C36" i="35"/>
  <c r="C35" i="35"/>
  <c r="M32" i="35"/>
  <c r="M36" i="35" s="1"/>
  <c r="L32" i="35"/>
  <c r="I32" i="35"/>
  <c r="F32" i="35"/>
  <c r="C32" i="35"/>
  <c r="B32" i="35"/>
  <c r="B36" i="35" s="1"/>
  <c r="M31" i="35"/>
  <c r="M35" i="35" s="1"/>
  <c r="F31" i="35"/>
  <c r="B31" i="35"/>
  <c r="B35" i="35" s="1"/>
  <c r="L28" i="35"/>
  <c r="H28" i="35"/>
  <c r="N27" i="35"/>
  <c r="N24" i="35"/>
  <c r="A21" i="35"/>
  <c r="A38" i="35" s="1"/>
  <c r="A42" i="35" s="1"/>
  <c r="A47" i="35" s="1"/>
  <c r="A52" i="35" s="1"/>
  <c r="A71" i="35" s="1"/>
  <c r="A72" i="35" s="1"/>
  <c r="A73" i="35" s="1"/>
  <c r="A74" i="35" s="1"/>
  <c r="A78" i="35" s="1"/>
  <c r="D19" i="35"/>
  <c r="C19" i="35"/>
  <c r="L16" i="35"/>
  <c r="L17" i="35" s="1"/>
  <c r="M15" i="35"/>
  <c r="N12" i="35"/>
  <c r="P12" i="35" s="1"/>
  <c r="A169" i="34"/>
  <c r="A170" i="34" s="1"/>
  <c r="A171" i="34" s="1"/>
  <c r="A172" i="34" s="1"/>
  <c r="I159" i="34"/>
  <c r="I157" i="34"/>
  <c r="A155" i="34"/>
  <c r="A156" i="34" s="1"/>
  <c r="A161" i="34" s="1"/>
  <c r="A162" i="34" s="1"/>
  <c r="A163" i="34" s="1"/>
  <c r="A164" i="34" s="1"/>
  <c r="I154" i="34"/>
  <c r="I155" i="34" s="1"/>
  <c r="D148" i="34"/>
  <c r="I146" i="34"/>
  <c r="I147" i="34" s="1"/>
  <c r="D143" i="34"/>
  <c r="E142" i="34"/>
  <c r="C140" i="34"/>
  <c r="I139" i="34"/>
  <c r="I138" i="34"/>
  <c r="D137" i="34"/>
  <c r="C137" i="34"/>
  <c r="I136" i="34"/>
  <c r="C132" i="34"/>
  <c r="C131" i="34"/>
  <c r="G128" i="34"/>
  <c r="E128" i="34"/>
  <c r="D128" i="34"/>
  <c r="C128" i="34"/>
  <c r="H127" i="34"/>
  <c r="H131" i="34" s="1"/>
  <c r="G127" i="34"/>
  <c r="H124" i="34"/>
  <c r="H128" i="34" s="1"/>
  <c r="H132" i="34" s="1"/>
  <c r="E124" i="34"/>
  <c r="I123" i="34"/>
  <c r="I120" i="34"/>
  <c r="C114" i="34"/>
  <c r="C113" i="34"/>
  <c r="H112" i="34"/>
  <c r="C112" i="34"/>
  <c r="H111" i="34"/>
  <c r="C111" i="34"/>
  <c r="H110" i="34"/>
  <c r="C110" i="34"/>
  <c r="H107" i="34"/>
  <c r="H114" i="34" s="1"/>
  <c r="G107" i="34"/>
  <c r="C107" i="34"/>
  <c r="H106" i="34"/>
  <c r="H113" i="34" s="1"/>
  <c r="G106" i="34"/>
  <c r="G105" i="34"/>
  <c r="G104" i="34"/>
  <c r="C104" i="34"/>
  <c r="G103" i="34"/>
  <c r="E98" i="34"/>
  <c r="E99" i="34" s="1"/>
  <c r="E100" i="34" s="1"/>
  <c r="I97" i="34"/>
  <c r="I96" i="34"/>
  <c r="E90" i="34"/>
  <c r="I90" i="34" s="1"/>
  <c r="I89" i="34"/>
  <c r="E85" i="34"/>
  <c r="H84" i="34"/>
  <c r="H85" i="34" s="1"/>
  <c r="G84" i="34"/>
  <c r="I83" i="34"/>
  <c r="E80" i="34"/>
  <c r="H79" i="34"/>
  <c r="H80" i="34" s="1"/>
  <c r="I78" i="34"/>
  <c r="D72" i="34"/>
  <c r="D73" i="34" s="1"/>
  <c r="D74" i="34" s="1"/>
  <c r="C72" i="34"/>
  <c r="I71" i="34"/>
  <c r="C55" i="34"/>
  <c r="E46" i="34"/>
  <c r="E47" i="34" s="1"/>
  <c r="G40" i="34"/>
  <c r="H47" i="34" s="1"/>
  <c r="H52" i="34" s="1"/>
  <c r="C40" i="34"/>
  <c r="G39" i="34"/>
  <c r="H46" i="34" s="1"/>
  <c r="H51" i="34" s="1"/>
  <c r="C39" i="34"/>
  <c r="G38" i="34"/>
  <c r="H45" i="34" s="1"/>
  <c r="H50" i="34" s="1"/>
  <c r="C38" i="34"/>
  <c r="G37" i="34"/>
  <c r="H44" i="34" s="1"/>
  <c r="H49" i="34" s="1"/>
  <c r="C37" i="34"/>
  <c r="I34" i="34"/>
  <c r="I33" i="34"/>
  <c r="I32" i="34"/>
  <c r="I31" i="34"/>
  <c r="N30" i="34"/>
  <c r="I28" i="34"/>
  <c r="N27" i="34"/>
  <c r="G27" i="34"/>
  <c r="I27" i="34" s="1"/>
  <c r="A20" i="34"/>
  <c r="A42" i="34" s="1"/>
  <c r="A69" i="34" s="1"/>
  <c r="A75" i="34" s="1"/>
  <c r="A81" i="34" s="1"/>
  <c r="A86" i="34" s="1"/>
  <c r="A117" i="34" s="1"/>
  <c r="A134" i="34" s="1"/>
  <c r="A146" i="34" s="1"/>
  <c r="A147" i="34" s="1"/>
  <c r="A148" i="34" s="1"/>
  <c r="A149" i="34" s="1"/>
  <c r="D18" i="34"/>
  <c r="C18" i="34"/>
  <c r="M17" i="34"/>
  <c r="M15" i="34"/>
  <c r="I11" i="34"/>
  <c r="A322" i="33"/>
  <c r="A341" i="33" s="1"/>
  <c r="A344" i="33" s="1"/>
  <c r="E310" i="33"/>
  <c r="D308" i="33"/>
  <c r="E307" i="33"/>
  <c r="E306" i="33"/>
  <c r="E308" i="33" s="1"/>
  <c r="D301" i="33"/>
  <c r="E300" i="33"/>
  <c r="E301" i="33" s="1"/>
  <c r="D294" i="33"/>
  <c r="D293" i="33"/>
  <c r="M291" i="33"/>
  <c r="M292" i="33" s="1"/>
  <c r="M293" i="33" s="1"/>
  <c r="M294" i="33" s="1"/>
  <c r="M295" i="33" s="1"/>
  <c r="M296" i="33" s="1"/>
  <c r="M297" i="33" s="1"/>
  <c r="M298" i="33" s="1"/>
  <c r="M299" i="33" s="1"/>
  <c r="M300" i="33" s="1"/>
  <c r="M301" i="33" s="1"/>
  <c r="M305" i="33" s="1"/>
  <c r="M306" i="33" s="1"/>
  <c r="M307" i="33" s="1"/>
  <c r="M308" i="33" s="1"/>
  <c r="M309" i="33" s="1"/>
  <c r="M310" i="33" s="1"/>
  <c r="M311" i="33" s="1"/>
  <c r="M312" i="33" s="1"/>
  <c r="M315" i="33" s="1"/>
  <c r="N290" i="33"/>
  <c r="D284" i="33"/>
  <c r="C284" i="33"/>
  <c r="D276" i="33"/>
  <c r="C276" i="33"/>
  <c r="H268" i="33"/>
  <c r="E268" i="33"/>
  <c r="F267" i="33"/>
  <c r="D263" i="33"/>
  <c r="C263" i="33"/>
  <c r="M262" i="33"/>
  <c r="M263" i="33" s="1"/>
  <c r="M265" i="33" s="1"/>
  <c r="F262" i="33"/>
  <c r="N261" i="33"/>
  <c r="P261" i="33" s="1"/>
  <c r="P260" i="33"/>
  <c r="A259" i="33"/>
  <c r="A264" i="33" s="1"/>
  <c r="A269" i="33" s="1"/>
  <c r="A277" i="33" s="1"/>
  <c r="L253" i="33"/>
  <c r="I253" i="33"/>
  <c r="C253" i="33"/>
  <c r="L249" i="33"/>
  <c r="M240" i="33"/>
  <c r="M245" i="33" s="1"/>
  <c r="M249" i="33" s="1"/>
  <c r="M253" i="33" s="1"/>
  <c r="M257" i="33" s="1"/>
  <c r="G240" i="33"/>
  <c r="G245" i="33" s="1"/>
  <c r="G249" i="33" s="1"/>
  <c r="G253" i="33" s="1"/>
  <c r="G257" i="33" s="1"/>
  <c r="D240" i="33"/>
  <c r="C240" i="33"/>
  <c r="M239" i="33"/>
  <c r="M244" i="33" s="1"/>
  <c r="M248" i="33" s="1"/>
  <c r="M252" i="33" s="1"/>
  <c r="M256" i="33" s="1"/>
  <c r="G239" i="33"/>
  <c r="G244" i="33" s="1"/>
  <c r="G248" i="33" s="1"/>
  <c r="G252" i="33" s="1"/>
  <c r="G256" i="33" s="1"/>
  <c r="C239" i="33"/>
  <c r="D236" i="33"/>
  <c r="N235" i="33"/>
  <c r="N232" i="33"/>
  <c r="P225" i="33"/>
  <c r="N220" i="33"/>
  <c r="P220" i="33" s="1"/>
  <c r="P219" i="33"/>
  <c r="P218" i="33"/>
  <c r="B206" i="33"/>
  <c r="A195" i="33"/>
  <c r="A215" i="33" s="1"/>
  <c r="A218" i="33" s="1"/>
  <c r="A219" i="33" s="1"/>
  <c r="A220" i="33" s="1"/>
  <c r="A221" i="33" s="1"/>
  <c r="A222" i="33" s="1"/>
  <c r="A223" i="33" s="1"/>
  <c r="A224" i="33" s="1"/>
  <c r="A225" i="33" s="1"/>
  <c r="A226" i="33" s="1"/>
  <c r="E182" i="33"/>
  <c r="E179" i="33"/>
  <c r="E175" i="33"/>
  <c r="E174" i="33"/>
  <c r="E165" i="33"/>
  <c r="D159" i="33"/>
  <c r="D158" i="33"/>
  <c r="M156" i="33"/>
  <c r="M157" i="33" s="1"/>
  <c r="M158" i="33" s="1"/>
  <c r="M159" i="33" s="1"/>
  <c r="M160" i="33" s="1"/>
  <c r="M161" i="33" s="1"/>
  <c r="M162" i="33" s="1"/>
  <c r="M163" i="33" s="1"/>
  <c r="M164" i="33" s="1"/>
  <c r="M165" i="33" s="1"/>
  <c r="M166" i="33" s="1"/>
  <c r="M168" i="33" s="1"/>
  <c r="M169" i="33" s="1"/>
  <c r="M173" i="33" s="1"/>
  <c r="M174" i="33" s="1"/>
  <c r="M175" i="33" s="1"/>
  <c r="M176" i="33" s="1"/>
  <c r="M177" i="33" s="1"/>
  <c r="M178" i="33" s="1"/>
  <c r="M179" i="33" s="1"/>
  <c r="M180" i="33" s="1"/>
  <c r="M182" i="33" s="1"/>
  <c r="M183" i="33" s="1"/>
  <c r="M186" i="33" s="1"/>
  <c r="N155" i="33"/>
  <c r="N147" i="33"/>
  <c r="N146" i="33"/>
  <c r="N144" i="33"/>
  <c r="N143" i="33"/>
  <c r="N139" i="33"/>
  <c r="N138" i="33"/>
  <c r="N135" i="33"/>
  <c r="D128" i="33"/>
  <c r="C128" i="33"/>
  <c r="D120" i="33"/>
  <c r="C120" i="33"/>
  <c r="M111" i="33"/>
  <c r="M112" i="33" s="1"/>
  <c r="M115" i="33" s="1"/>
  <c r="H111" i="33"/>
  <c r="H112" i="33" s="1"/>
  <c r="E110" i="33"/>
  <c r="N109" i="33"/>
  <c r="P109" i="33" s="1"/>
  <c r="E107" i="33"/>
  <c r="M106" i="33"/>
  <c r="M107" i="33" s="1"/>
  <c r="H106" i="33"/>
  <c r="H107" i="33" s="1"/>
  <c r="F106" i="33"/>
  <c r="N105" i="33"/>
  <c r="P105" i="33" s="1"/>
  <c r="P104" i="33"/>
  <c r="F102" i="33"/>
  <c r="N102" i="33" s="1"/>
  <c r="P102" i="33" s="1"/>
  <c r="C94" i="33"/>
  <c r="L92" i="33"/>
  <c r="L94" i="33" s="1"/>
  <c r="L95" i="33" s="1"/>
  <c r="F92" i="33"/>
  <c r="M91" i="33"/>
  <c r="M92" i="33" s="1"/>
  <c r="M98" i="33" s="1"/>
  <c r="M87" i="33"/>
  <c r="M94" i="33" s="1"/>
  <c r="M95" i="33" s="1"/>
  <c r="M99" i="33" s="1"/>
  <c r="N86" i="33"/>
  <c r="N83" i="33"/>
  <c r="E78" i="33"/>
  <c r="D78" i="33"/>
  <c r="L72" i="33"/>
  <c r="L73" i="33" s="1"/>
  <c r="I72" i="33"/>
  <c r="I73" i="33" s="1"/>
  <c r="C72" i="33"/>
  <c r="F68" i="33"/>
  <c r="L67" i="33"/>
  <c r="L68" i="33" s="1"/>
  <c r="H63" i="33"/>
  <c r="E63" i="33"/>
  <c r="M57" i="33"/>
  <c r="M63" i="33" s="1"/>
  <c r="M68" i="33" s="1"/>
  <c r="M73" i="33" s="1"/>
  <c r="M78" i="33" s="1"/>
  <c r="G57" i="33"/>
  <c r="G63" i="33" s="1"/>
  <c r="G68" i="33" s="1"/>
  <c r="G73" i="33" s="1"/>
  <c r="G78" i="33" s="1"/>
  <c r="E57" i="33"/>
  <c r="C57" i="33"/>
  <c r="M56" i="33"/>
  <c r="M62" i="33" s="1"/>
  <c r="M67" i="33" s="1"/>
  <c r="M72" i="33" s="1"/>
  <c r="M77" i="33" s="1"/>
  <c r="G56" i="33"/>
  <c r="G62" i="33" s="1"/>
  <c r="G67" i="33" s="1"/>
  <c r="G72" i="33" s="1"/>
  <c r="G77" i="33" s="1"/>
  <c r="D56" i="33"/>
  <c r="D57" i="33" s="1"/>
  <c r="C56" i="33"/>
  <c r="B56" i="33"/>
  <c r="B62" i="33" s="1"/>
  <c r="B67" i="33" s="1"/>
  <c r="B72" i="33" s="1"/>
  <c r="B77" i="33" s="1"/>
  <c r="B83" i="33" s="1"/>
  <c r="B87" i="33" s="1"/>
  <c r="M55" i="33"/>
  <c r="M61" i="33" s="1"/>
  <c r="M66" i="33" s="1"/>
  <c r="M71" i="33" s="1"/>
  <c r="M76" i="33" s="1"/>
  <c r="G55" i="33"/>
  <c r="G61" i="33" s="1"/>
  <c r="G66" i="33" s="1"/>
  <c r="G71" i="33" s="1"/>
  <c r="G76" i="33" s="1"/>
  <c r="C55" i="33"/>
  <c r="B55" i="33"/>
  <c r="B61" i="33" s="1"/>
  <c r="B66" i="33" s="1"/>
  <c r="B71" i="33" s="1"/>
  <c r="B76" i="33" s="1"/>
  <c r="B82" i="33" s="1"/>
  <c r="B86" i="33" s="1"/>
  <c r="E52" i="33"/>
  <c r="S49" i="33"/>
  <c r="T49" i="33" s="1"/>
  <c r="D48" i="33" s="1"/>
  <c r="S48" i="33"/>
  <c r="T48" i="33" s="1"/>
  <c r="C48" i="33" s="1"/>
  <c r="E46" i="33"/>
  <c r="D46" i="33"/>
  <c r="N45" i="33"/>
  <c r="A42" i="33"/>
  <c r="A59" i="33" s="1"/>
  <c r="A80" i="33" s="1"/>
  <c r="A101" i="33" s="1"/>
  <c r="A103" i="33" s="1"/>
  <c r="A108" i="33" s="1"/>
  <c r="A113" i="33" s="1"/>
  <c r="A121" i="33" s="1"/>
  <c r="A129" i="33" s="1"/>
  <c r="A136" i="33" s="1"/>
  <c r="A137" i="33" s="1"/>
  <c r="A141" i="33" s="1"/>
  <c r="A149" i="33" s="1"/>
  <c r="E40" i="33"/>
  <c r="D40" i="33"/>
  <c r="C40" i="33"/>
  <c r="L38" i="33"/>
  <c r="I38" i="33"/>
  <c r="C38" i="33"/>
  <c r="C37" i="33"/>
  <c r="N31" i="33"/>
  <c r="P31" i="33" s="1"/>
  <c r="M31" i="33"/>
  <c r="M33" i="33" s="1"/>
  <c r="M34" i="33" s="1"/>
  <c r="M37" i="33" s="1"/>
  <c r="M38" i="33" s="1"/>
  <c r="M40" i="33" s="1"/>
  <c r="M41" i="33" s="1"/>
  <c r="N41" i="33" s="1"/>
  <c r="P41" i="33" s="1"/>
  <c r="P30" i="33"/>
  <c r="P29" i="33"/>
  <c r="E183" i="30"/>
  <c r="D183" i="30"/>
  <c r="C179" i="30"/>
  <c r="M178" i="30"/>
  <c r="L175" i="30"/>
  <c r="C174" i="30"/>
  <c r="M170" i="30"/>
  <c r="C169" i="30"/>
  <c r="N169" i="30" s="1"/>
  <c r="N168" i="30"/>
  <c r="F163" i="30"/>
  <c r="M162" i="30"/>
  <c r="M163" i="30" s="1"/>
  <c r="M164" i="30" s="1"/>
  <c r="N161" i="30"/>
  <c r="N160" i="30" s="1"/>
  <c r="P160" i="30" s="1"/>
  <c r="E157" i="30"/>
  <c r="M153" i="30"/>
  <c r="M157" i="30" s="1"/>
  <c r="B153" i="30"/>
  <c r="B157" i="30" s="1"/>
  <c r="M152" i="30"/>
  <c r="M156" i="30" s="1"/>
  <c r="I152" i="30"/>
  <c r="I153" i="30" s="1"/>
  <c r="C152" i="30"/>
  <c r="B152" i="30"/>
  <c r="B156" i="30" s="1"/>
  <c r="F149" i="30"/>
  <c r="C149" i="30"/>
  <c r="C148" i="30"/>
  <c r="H142" i="30"/>
  <c r="H144" i="30" s="1"/>
  <c r="C137" i="30"/>
  <c r="M134" i="30"/>
  <c r="M138" i="30" s="1"/>
  <c r="I134" i="30"/>
  <c r="B134" i="30"/>
  <c r="B138" i="30" s="1"/>
  <c r="M133" i="30"/>
  <c r="M137" i="30" s="1"/>
  <c r="F133" i="30"/>
  <c r="L129" i="30"/>
  <c r="N126" i="30"/>
  <c r="N125" i="30"/>
  <c r="N124" i="30"/>
  <c r="M120" i="30"/>
  <c r="J118" i="30"/>
  <c r="H117" i="30"/>
  <c r="D115" i="30"/>
  <c r="L114" i="30"/>
  <c r="I114" i="30"/>
  <c r="I119" i="30" s="1"/>
  <c r="C114" i="30"/>
  <c r="L113" i="30"/>
  <c r="L118" i="30" s="1"/>
  <c r="E113" i="30"/>
  <c r="M112" i="30"/>
  <c r="M113" i="30" s="1"/>
  <c r="M108" i="30"/>
  <c r="E104" i="30"/>
  <c r="D102" i="30"/>
  <c r="M99" i="30"/>
  <c r="M104" i="30" s="1"/>
  <c r="E99" i="30"/>
  <c r="M98" i="30"/>
  <c r="M103" i="30" s="1"/>
  <c r="M97" i="30"/>
  <c r="M102" i="30" s="1"/>
  <c r="D93" i="30"/>
  <c r="D99" i="30" s="1"/>
  <c r="D104" i="30" s="1"/>
  <c r="C93" i="30"/>
  <c r="B91" i="30"/>
  <c r="B97" i="30" s="1"/>
  <c r="B102" i="30" s="1"/>
  <c r="C88" i="30"/>
  <c r="C87" i="30"/>
  <c r="C86" i="30"/>
  <c r="N86" i="30" s="1"/>
  <c r="E83" i="30"/>
  <c r="D83" i="30"/>
  <c r="N82" i="30"/>
  <c r="N71" i="30"/>
  <c r="P71" i="30" s="1"/>
  <c r="C69" i="30"/>
  <c r="P67" i="30"/>
  <c r="L60" i="30"/>
  <c r="C60" i="30"/>
  <c r="L56" i="30"/>
  <c r="M42" i="30"/>
  <c r="M52" i="30" s="1"/>
  <c r="C42" i="30"/>
  <c r="B42" i="30"/>
  <c r="B52" i="30" s="1"/>
  <c r="B56" i="30" s="1"/>
  <c r="B60" i="30" s="1"/>
  <c r="B64" i="30" s="1"/>
  <c r="M41" i="30"/>
  <c r="M51" i="30" s="1"/>
  <c r="E41" i="30"/>
  <c r="E42" i="30" s="1"/>
  <c r="D41" i="30"/>
  <c r="D42" i="30" s="1"/>
  <c r="C41" i="30"/>
  <c r="B41" i="30"/>
  <c r="B51" i="30" s="1"/>
  <c r="B55" i="30" s="1"/>
  <c r="B59" i="30" s="1"/>
  <c r="B63" i="30" s="1"/>
  <c r="M37" i="30"/>
  <c r="C37" i="30"/>
  <c r="B37" i="30"/>
  <c r="M36" i="30"/>
  <c r="D36" i="30"/>
  <c r="B36" i="30"/>
  <c r="D33" i="30"/>
  <c r="D37" i="30" s="1"/>
  <c r="C32" i="30"/>
  <c r="N28" i="30"/>
  <c r="C27" i="30"/>
  <c r="N27" i="30" s="1"/>
  <c r="A21" i="30"/>
  <c r="A44" i="30" s="1"/>
  <c r="A49" i="30" s="1"/>
  <c r="A66" i="30" s="1"/>
  <c r="A72" i="30" s="1"/>
  <c r="A79" i="30" s="1"/>
  <c r="A106" i="30" s="1"/>
  <c r="A111" i="30" s="1"/>
  <c r="A116" i="30" s="1"/>
  <c r="A121" i="30" s="1"/>
  <c r="D19" i="30"/>
  <c r="E17" i="30"/>
  <c r="E19" i="30" s="1"/>
  <c r="M16" i="30"/>
  <c r="M17" i="30" s="1"/>
  <c r="M18" i="30" s="1"/>
  <c r="M19" i="30" s="1"/>
  <c r="M20" i="30" s="1"/>
  <c r="N20" i="30" s="1"/>
  <c r="P20" i="30" s="1"/>
  <c r="D15" i="30"/>
  <c r="D16" i="30" s="1"/>
  <c r="N11" i="30"/>
  <c r="N10" i="30"/>
  <c r="P220" i="29"/>
  <c r="N219" i="29"/>
  <c r="P219" i="29" s="1"/>
  <c r="N218" i="29"/>
  <c r="P218" i="29" s="1"/>
  <c r="P216" i="29"/>
  <c r="P212" i="29"/>
  <c r="N208" i="29"/>
  <c r="N204" i="29"/>
  <c r="C199" i="29"/>
  <c r="C200" i="29" s="1"/>
  <c r="N200" i="29" s="1"/>
  <c r="M197" i="29"/>
  <c r="N197" i="29" s="1"/>
  <c r="N196" i="29" s="1"/>
  <c r="N195" i="29"/>
  <c r="C192" i="29"/>
  <c r="M191" i="29"/>
  <c r="M192" i="29" s="1"/>
  <c r="P189" i="29"/>
  <c r="C185" i="29"/>
  <c r="N185" i="29" s="1"/>
  <c r="C184" i="29"/>
  <c r="N184" i="29" s="1"/>
  <c r="P177" i="29"/>
  <c r="N174" i="29"/>
  <c r="A168" i="29"/>
  <c r="A169" i="29" s="1"/>
  <c r="A177" i="29" s="1"/>
  <c r="A178" i="29" s="1"/>
  <c r="A182" i="29" s="1"/>
  <c r="A187" i="29" s="1"/>
  <c r="A188" i="29" s="1"/>
  <c r="A193" i="29" s="1"/>
  <c r="A202" i="29" s="1"/>
  <c r="A206" i="29" s="1"/>
  <c r="A207" i="29" s="1"/>
  <c r="A211" i="29" s="1"/>
  <c r="A212" i="29" s="1"/>
  <c r="N164" i="29"/>
  <c r="N158" i="29"/>
  <c r="D153" i="29"/>
  <c r="D148" i="29"/>
  <c r="M130" i="29"/>
  <c r="M134" i="29" s="1"/>
  <c r="F115" i="29"/>
  <c r="H106" i="29"/>
  <c r="I98" i="29"/>
  <c r="L61" i="29"/>
  <c r="D42" i="29"/>
  <c r="M41" i="29"/>
  <c r="M52" i="29" s="1"/>
  <c r="E41" i="29"/>
  <c r="E42" i="29" s="1"/>
  <c r="B37" i="29"/>
  <c r="M36" i="29"/>
  <c r="C36" i="29"/>
  <c r="N33" i="29"/>
  <c r="N27" i="29"/>
  <c r="N16" i="29"/>
  <c r="P16" i="29" s="1"/>
  <c r="P273" i="28"/>
  <c r="P270" i="28"/>
  <c r="N261" i="28"/>
  <c r="P261" i="28" s="1"/>
  <c r="N254" i="28"/>
  <c r="N251" i="28"/>
  <c r="N250" i="28" s="1"/>
  <c r="P246" i="28"/>
  <c r="P245" i="28"/>
  <c r="P239" i="28"/>
  <c r="D236" i="28"/>
  <c r="C233" i="28"/>
  <c r="C224" i="28"/>
  <c r="N224" i="28" s="1"/>
  <c r="N216" i="28"/>
  <c r="N215" i="28"/>
  <c r="C209" i="28"/>
  <c r="N209" i="28" s="1"/>
  <c r="N200" i="28"/>
  <c r="N197" i="28"/>
  <c r="N195" i="28"/>
  <c r="P183" i="28"/>
  <c r="D178" i="28"/>
  <c r="D180" i="28" s="1"/>
  <c r="N175" i="28"/>
  <c r="D166" i="28"/>
  <c r="M163" i="28"/>
  <c r="M166" i="28" s="1"/>
  <c r="F163" i="28"/>
  <c r="E153" i="28"/>
  <c r="M145" i="28"/>
  <c r="M149" i="28" s="1"/>
  <c r="M153" i="28" s="1"/>
  <c r="L145" i="28"/>
  <c r="N141" i="28"/>
  <c r="N138" i="28"/>
  <c r="L133" i="28"/>
  <c r="M132" i="28"/>
  <c r="M133" i="28" s="1"/>
  <c r="M134" i="28" s="1"/>
  <c r="M120" i="28"/>
  <c r="M121" i="28" s="1"/>
  <c r="N118" i="28"/>
  <c r="P118" i="28" s="1"/>
  <c r="M104" i="28"/>
  <c r="M108" i="28" s="1"/>
  <c r="M112" i="28" s="1"/>
  <c r="M90" i="28"/>
  <c r="M93" i="28" s="1"/>
  <c r="C53" i="28"/>
  <c r="M42" i="28"/>
  <c r="M53" i="28" s="1"/>
  <c r="B42" i="28"/>
  <c r="B53" i="28" s="1"/>
  <c r="B57" i="28" s="1"/>
  <c r="B61" i="28" s="1"/>
  <c r="B65" i="28" s="1"/>
  <c r="B41" i="28"/>
  <c r="B52" i="28" s="1"/>
  <c r="B56" i="28" s="1"/>
  <c r="B60" i="28" s="1"/>
  <c r="B64" i="28" s="1"/>
  <c r="N27" i="28"/>
  <c r="N29" i="28" s="1"/>
  <c r="F30" i="28" s="1"/>
  <c r="N30" i="28" s="1"/>
  <c r="P30" i="28" s="1"/>
  <c r="A21" i="28"/>
  <c r="A44" i="28" s="1"/>
  <c r="A50" i="28" s="1"/>
  <c r="A67" i="28" s="1"/>
  <c r="A72" i="28" s="1"/>
  <c r="A77" i="28" s="1"/>
  <c r="A82" i="28" s="1"/>
  <c r="A95" i="28" s="1"/>
  <c r="A114" i="28" s="1"/>
  <c r="A122" i="28" s="1"/>
  <c r="A127" i="28" s="1"/>
  <c r="A135" i="28" s="1"/>
  <c r="A168" i="28" s="1"/>
  <c r="N16" i="28"/>
  <c r="P16" i="28" s="1"/>
  <c r="C264" i="27"/>
  <c r="M250" i="27"/>
  <c r="M246" i="27"/>
  <c r="A246" i="27"/>
  <c r="A247" i="27" s="1"/>
  <c r="A248" i="27" s="1"/>
  <c r="A251" i="27" s="1"/>
  <c r="A256" i="27" s="1"/>
  <c r="A257" i="27" s="1"/>
  <c r="A265" i="27" s="1"/>
  <c r="A269" i="27" s="1"/>
  <c r="A273" i="27" s="1"/>
  <c r="A277" i="27" s="1"/>
  <c r="H244" i="27"/>
  <c r="M238" i="27"/>
  <c r="M237" i="27"/>
  <c r="H229" i="27"/>
  <c r="E210" i="27"/>
  <c r="D206" i="27"/>
  <c r="D213" i="27" s="1"/>
  <c r="D215" i="27" s="1"/>
  <c r="D217" i="27" s="1"/>
  <c r="D193" i="27"/>
  <c r="C193" i="27"/>
  <c r="F190" i="27"/>
  <c r="E180" i="27"/>
  <c r="K176" i="27"/>
  <c r="L175" i="27"/>
  <c r="L179" i="27" s="1"/>
  <c r="C171" i="27"/>
  <c r="M159" i="27"/>
  <c r="K154" i="27"/>
  <c r="C154" i="27"/>
  <c r="H151" i="27"/>
  <c r="F143" i="27"/>
  <c r="F155" i="27" s="1"/>
  <c r="C143" i="27"/>
  <c r="L142" i="27"/>
  <c r="L146" i="27" s="1"/>
  <c r="M138" i="27"/>
  <c r="I129" i="27"/>
  <c r="E124" i="27"/>
  <c r="L112" i="27"/>
  <c r="L109" i="27"/>
  <c r="L116" i="27" s="1"/>
  <c r="L90" i="27"/>
  <c r="L74" i="27"/>
  <c r="L77" i="27" s="1"/>
  <c r="L80" i="27" s="1"/>
  <c r="C55" i="27"/>
  <c r="C54" i="27"/>
  <c r="C47" i="27"/>
  <c r="D46" i="27"/>
  <c r="M37" i="27"/>
  <c r="M39" i="27" s="1"/>
  <c r="F40" i="27" s="1"/>
  <c r="M40" i="27" s="1"/>
  <c r="M30" i="27"/>
  <c r="M29" i="27"/>
  <c r="R28" i="27"/>
  <c r="M24" i="27"/>
  <c r="M14" i="27"/>
  <c r="N275" i="26"/>
  <c r="P275" i="26" s="1"/>
  <c r="N274" i="26"/>
  <c r="P274" i="26" s="1"/>
  <c r="P273" i="26"/>
  <c r="N263" i="26"/>
  <c r="N265" i="26" s="1"/>
  <c r="N257" i="26"/>
  <c r="N256" i="26" s="1"/>
  <c r="N255" i="26"/>
  <c r="N244" i="26"/>
  <c r="E203" i="26"/>
  <c r="E200" i="26"/>
  <c r="E204" i="26" s="1"/>
  <c r="C199" i="26"/>
  <c r="C196" i="26"/>
  <c r="N196" i="26" s="1"/>
  <c r="N195" i="26"/>
  <c r="H185" i="26"/>
  <c r="N184" i="26"/>
  <c r="N182" i="26"/>
  <c r="N180" i="26"/>
  <c r="N178" i="26"/>
  <c r="A175" i="26"/>
  <c r="A176" i="26" s="1"/>
  <c r="A184" i="26" s="1"/>
  <c r="A188" i="26" s="1"/>
  <c r="A193" i="26" s="1"/>
  <c r="A242" i="26" s="1"/>
  <c r="A246" i="26" s="1"/>
  <c r="A251" i="26" s="1"/>
  <c r="A253" i="26" s="1"/>
  <c r="A262" i="26" s="1"/>
  <c r="A266" i="26" s="1"/>
  <c r="A268" i="26" s="1"/>
  <c r="A269" i="26" s="1"/>
  <c r="H172" i="26"/>
  <c r="H186" i="26" s="1"/>
  <c r="C157" i="26"/>
  <c r="M136" i="26"/>
  <c r="M140" i="26" s="1"/>
  <c r="M144" i="26" s="1"/>
  <c r="M148" i="26" s="1"/>
  <c r="N132" i="26"/>
  <c r="L120" i="26"/>
  <c r="L139" i="26" s="1"/>
  <c r="M119" i="26"/>
  <c r="M123" i="26" s="1"/>
  <c r="H103" i="26"/>
  <c r="M95" i="26"/>
  <c r="M99" i="26" s="1"/>
  <c r="L91" i="26"/>
  <c r="M80" i="26"/>
  <c r="N73" i="26"/>
  <c r="P73" i="26" s="1"/>
  <c r="L61" i="26"/>
  <c r="L57" i="26"/>
  <c r="C52" i="26"/>
  <c r="D42" i="26"/>
  <c r="E37" i="26"/>
  <c r="C37" i="26"/>
  <c r="B37" i="26"/>
  <c r="N27" i="26"/>
  <c r="M449" i="25"/>
  <c r="M446" i="25"/>
  <c r="A427" i="25"/>
  <c r="A432" i="25" s="1"/>
  <c r="A434" i="25" s="1"/>
  <c r="A438" i="25" s="1"/>
  <c r="A442" i="25" s="1"/>
  <c r="A447" i="25" s="1"/>
  <c r="A448" i="25" s="1"/>
  <c r="A449" i="25" s="1"/>
  <c r="A450" i="25" s="1"/>
  <c r="A451" i="25" s="1"/>
  <c r="A452" i="25" s="1"/>
  <c r="A453" i="25" s="1"/>
  <c r="A454" i="25" s="1"/>
  <c r="A455" i="25" s="1"/>
  <c r="C413" i="25"/>
  <c r="M413" i="25" s="1"/>
  <c r="D412" i="25"/>
  <c r="M412" i="25" s="1"/>
  <c r="M397" i="25"/>
  <c r="C380" i="25"/>
  <c r="M380" i="25" s="1"/>
  <c r="M368" i="25"/>
  <c r="M367" i="25"/>
  <c r="M354" i="25"/>
  <c r="M345" i="25"/>
  <c r="M322" i="25" s="1"/>
  <c r="M327" i="25"/>
  <c r="C304" i="25"/>
  <c r="M300" i="25"/>
  <c r="K294" i="25"/>
  <c r="M293" i="25"/>
  <c r="L283" i="25"/>
  <c r="D274" i="25"/>
  <c r="K272" i="25"/>
  <c r="M267" i="25"/>
  <c r="M131" i="20"/>
  <c r="E1217" i="7" s="1"/>
  <c r="W1217" i="7" s="1"/>
  <c r="I127" i="20"/>
  <c r="D120" i="20"/>
  <c r="F101" i="20"/>
  <c r="E97" i="20"/>
  <c r="L95" i="20"/>
  <c r="L100" i="20" s="1"/>
  <c r="C89" i="20"/>
  <c r="M89" i="20" s="1"/>
  <c r="C62" i="20"/>
  <c r="C18" i="20"/>
  <c r="M143" i="19"/>
  <c r="E1151" i="7" s="1"/>
  <c r="W1151" i="7" s="1"/>
  <c r="A120" i="19"/>
  <c r="A124" i="19" s="1"/>
  <c r="C115" i="19"/>
  <c r="M109" i="19"/>
  <c r="E1136" i="7" s="1"/>
  <c r="W1136" i="7" s="1"/>
  <c r="C102" i="19"/>
  <c r="K98" i="19"/>
  <c r="M91" i="19"/>
  <c r="M80" i="19"/>
  <c r="E75" i="19"/>
  <c r="M75" i="19" s="1"/>
  <c r="M73" i="19"/>
  <c r="M66" i="19"/>
  <c r="D32" i="19"/>
  <c r="N83" i="18"/>
  <c r="N75" i="18"/>
  <c r="P75" i="18" s="1"/>
  <c r="E1087" i="7" s="1"/>
  <c r="W1087" i="7" s="1"/>
  <c r="Y1087" i="7" s="1"/>
  <c r="C63" i="18"/>
  <c r="M22" i="18"/>
  <c r="M350" i="17"/>
  <c r="F323" i="17"/>
  <c r="L309" i="17"/>
  <c r="L310" i="17" s="1"/>
  <c r="F296" i="17"/>
  <c r="D282" i="17"/>
  <c r="H274" i="17"/>
  <c r="M258" i="17"/>
  <c r="C254" i="17"/>
  <c r="M254" i="17" s="1"/>
  <c r="E1068" i="7" s="1"/>
  <c r="W1068" i="7" s="1"/>
  <c r="Y1068" i="7" s="1"/>
  <c r="C238" i="17"/>
  <c r="D147" i="17"/>
  <c r="M143" i="17"/>
  <c r="O143" i="17" s="1"/>
  <c r="E1013" i="7" s="1"/>
  <c r="W1013" i="7" s="1"/>
  <c r="K94" i="17"/>
  <c r="K95" i="17" s="1"/>
  <c r="N248" i="11"/>
  <c r="P248" i="11" s="1"/>
  <c r="E304" i="7" s="1"/>
  <c r="W304" i="7" s="1"/>
  <c r="Y304" i="7" s="1"/>
  <c r="D225" i="11"/>
  <c r="D251" i="11" s="1"/>
  <c r="E218" i="11"/>
  <c r="C209" i="11"/>
  <c r="F208" i="11"/>
  <c r="C189" i="11"/>
  <c r="N182" i="11"/>
  <c r="P182" i="11" s="1"/>
  <c r="F143" i="6"/>
  <c r="F144" i="6" s="1"/>
  <c r="F145" i="6" s="1"/>
  <c r="F146" i="6" s="1"/>
  <c r="F147" i="6" s="1"/>
  <c r="F148" i="6" s="1"/>
  <c r="F149" i="6" s="1"/>
  <c r="F150" i="6" s="1"/>
  <c r="F151" i="6" s="1"/>
  <c r="F152" i="6" s="1"/>
  <c r="F153" i="6" s="1"/>
  <c r="F154" i="6" s="1"/>
  <c r="F155" i="6" s="1"/>
  <c r="F156" i="6" s="1"/>
  <c r="B128" i="6"/>
  <c r="B129" i="6" s="1"/>
  <c r="B130" i="6" s="1"/>
  <c r="B131" i="6" s="1"/>
  <c r="B132" i="6" s="1"/>
  <c r="B133" i="6" s="1"/>
  <c r="B134" i="6" s="1"/>
  <c r="B135" i="6" s="1"/>
  <c r="B136" i="6" s="1"/>
  <c r="B137" i="6" s="1"/>
  <c r="B138" i="6" s="1"/>
  <c r="B139" i="6" s="1"/>
  <c r="B140" i="6" s="1"/>
  <c r="B141" i="6" s="1"/>
  <c r="B142" i="6" s="1"/>
  <c r="B143" i="6" s="1"/>
  <c r="B144" i="6" s="1"/>
  <c r="B145" i="6" s="1"/>
  <c r="B146" i="6" s="1"/>
  <c r="B147" i="6" s="1"/>
  <c r="B148" i="6" s="1"/>
  <c r="B149" i="6" s="1"/>
  <c r="E26" i="33"/>
  <c r="D26" i="33"/>
  <c r="C26" i="33"/>
  <c r="L24" i="33"/>
  <c r="I24" i="33"/>
  <c r="C24" i="33"/>
  <c r="C23" i="33"/>
  <c r="N17" i="33"/>
  <c r="P17" i="33" s="1"/>
  <c r="M17" i="33"/>
  <c r="M19" i="33" s="1"/>
  <c r="M20" i="33" s="1"/>
  <c r="M23" i="33" s="1"/>
  <c r="M24" i="33" s="1"/>
  <c r="M26" i="33" s="1"/>
  <c r="M27" i="33" s="1"/>
  <c r="N27" i="33" s="1"/>
  <c r="P27" i="33" s="1"/>
  <c r="P16" i="33"/>
  <c r="P15" i="33"/>
  <c r="N11" i="33"/>
  <c r="N13" i="33" s="1"/>
  <c r="P13" i="33" s="1"/>
  <c r="J360" i="32"/>
  <c r="J359" i="32"/>
  <c r="J358" i="32"/>
  <c r="J356" i="32"/>
  <c r="J355" i="32"/>
  <c r="H353" i="32"/>
  <c r="J353" i="32" s="1"/>
  <c r="H329" i="32"/>
  <c r="H328" i="32"/>
  <c r="H324" i="32"/>
  <c r="H325" i="32" s="1"/>
  <c r="J325" i="32" s="1"/>
  <c r="H321" i="32"/>
  <c r="H320" i="32"/>
  <c r="H317" i="32"/>
  <c r="H316" i="32"/>
  <c r="H312" i="32"/>
  <c r="C310" i="32"/>
  <c r="G309" i="32"/>
  <c r="G310" i="32" s="1"/>
  <c r="G311" i="32" s="1"/>
  <c r="H308" i="32"/>
  <c r="E284" i="32"/>
  <c r="E302" i="32" s="1"/>
  <c r="E283" i="32"/>
  <c r="E301" i="32" s="1"/>
  <c r="E282" i="32"/>
  <c r="E300" i="32" s="1"/>
  <c r="E281" i="32"/>
  <c r="E299" i="32" s="1"/>
  <c r="G274" i="32"/>
  <c r="G275" i="32" s="1"/>
  <c r="G276" i="32" s="1"/>
  <c r="G277" i="32" s="1"/>
  <c r="G278" i="32" s="1"/>
  <c r="G279" i="32" s="1"/>
  <c r="G281" i="32" s="1"/>
  <c r="G282" i="32" s="1"/>
  <c r="G283" i="32" s="1"/>
  <c r="G284" i="32" s="1"/>
  <c r="G285" i="32" s="1"/>
  <c r="G286" i="32" s="1"/>
  <c r="E273" i="32"/>
  <c r="E292" i="32" s="1"/>
  <c r="E272" i="32"/>
  <c r="E291" i="32" s="1"/>
  <c r="C266" i="32"/>
  <c r="C259" i="32"/>
  <c r="H258" i="32"/>
  <c r="F234" i="32"/>
  <c r="G230" i="32"/>
  <c r="G233" i="32" s="1"/>
  <c r="G234" i="32" s="1"/>
  <c r="G236" i="32" s="1"/>
  <c r="H229" i="32"/>
  <c r="D224" i="32"/>
  <c r="C224" i="32"/>
  <c r="G223" i="32"/>
  <c r="G224" i="32" s="1"/>
  <c r="H222" i="32"/>
  <c r="J222" i="32" s="1"/>
  <c r="J220" i="32"/>
  <c r="H210" i="32"/>
  <c r="J210" i="32" s="1"/>
  <c r="C211" i="32" s="1"/>
  <c r="H205" i="32"/>
  <c r="H198" i="32"/>
  <c r="H197" i="32"/>
  <c r="H193" i="32"/>
  <c r="H192" i="32"/>
  <c r="H194" i="32" s="1"/>
  <c r="J194" i="32" s="1"/>
  <c r="E189" i="32"/>
  <c r="H188" i="32"/>
  <c r="H185" i="32"/>
  <c r="H184" i="32"/>
  <c r="G178" i="32"/>
  <c r="G179" i="32" s="1"/>
  <c r="G180" i="32" s="1"/>
  <c r="H177" i="32"/>
  <c r="H176" i="32"/>
  <c r="G171" i="32"/>
  <c r="H170" i="32"/>
  <c r="G157" i="32"/>
  <c r="G158" i="32" s="1"/>
  <c r="G159" i="32" s="1"/>
  <c r="G160" i="32" s="1"/>
  <c r="G162" i="32" s="1"/>
  <c r="G163" i="32" s="1"/>
  <c r="G164" i="32" s="1"/>
  <c r="H156" i="32"/>
  <c r="H155" i="32"/>
  <c r="G144" i="32"/>
  <c r="H143" i="32"/>
  <c r="D137" i="32"/>
  <c r="C137" i="32"/>
  <c r="B137" i="32"/>
  <c r="D136" i="32"/>
  <c r="B136" i="32"/>
  <c r="H133" i="32"/>
  <c r="C132" i="32"/>
  <c r="H129" i="32"/>
  <c r="C128" i="32"/>
  <c r="H128" i="32" s="1"/>
  <c r="C126" i="32"/>
  <c r="H126" i="32" s="1"/>
  <c r="H124" i="32"/>
  <c r="G119" i="32"/>
  <c r="G120" i="32" s="1"/>
  <c r="G127" i="32" s="1"/>
  <c r="F119" i="32"/>
  <c r="F120" i="32" s="1"/>
  <c r="H118" i="32"/>
  <c r="J118" i="32" s="1"/>
  <c r="H117" i="32"/>
  <c r="J117" i="32" s="1"/>
  <c r="C114" i="32"/>
  <c r="F113" i="32"/>
  <c r="F114" i="32" s="1"/>
  <c r="D113" i="32"/>
  <c r="H112" i="32"/>
  <c r="J112" i="32" s="1"/>
  <c r="H111" i="32"/>
  <c r="J111" i="32" s="1"/>
  <c r="H107" i="32"/>
  <c r="G106" i="32"/>
  <c r="C106" i="32"/>
  <c r="F105" i="32"/>
  <c r="G102" i="32"/>
  <c r="H101" i="32"/>
  <c r="H98" i="32"/>
  <c r="H94" i="32"/>
  <c r="H93" i="32"/>
  <c r="H92" i="32"/>
  <c r="H91" i="32"/>
  <c r="A89" i="32"/>
  <c r="A110" i="32" s="1"/>
  <c r="A116" i="32" s="1"/>
  <c r="A122" i="32" s="1"/>
  <c r="A140" i="32" s="1"/>
  <c r="A153" i="32" s="1"/>
  <c r="G75" i="32"/>
  <c r="G76" i="32" s="1"/>
  <c r="G77" i="32" s="1"/>
  <c r="G78" i="32" s="1"/>
  <c r="G79" i="32" s="1"/>
  <c r="G80" i="32" s="1"/>
  <c r="G81" i="32" s="1"/>
  <c r="G82" i="32" s="1"/>
  <c r="G83" i="32" s="1"/>
  <c r="G84" i="32" s="1"/>
  <c r="G85" i="32" s="1"/>
  <c r="G86" i="32" s="1"/>
  <c r="D75" i="32"/>
  <c r="D76" i="32" s="1"/>
  <c r="D77" i="32" s="1"/>
  <c r="D78" i="32" s="1"/>
  <c r="D79" i="32" s="1"/>
  <c r="D80" i="32" s="1"/>
  <c r="D81" i="32" s="1"/>
  <c r="D82" i="32" s="1"/>
  <c r="D83" i="32" s="1"/>
  <c r="D84" i="32" s="1"/>
  <c r="D85" i="32" s="1"/>
  <c r="D86" i="32" s="1"/>
  <c r="C75" i="32"/>
  <c r="H74" i="32"/>
  <c r="H73" i="32"/>
  <c r="B66" i="32"/>
  <c r="B82" i="32" s="1"/>
  <c r="B62" i="32"/>
  <c r="B78" i="32" s="1"/>
  <c r="G59" i="32"/>
  <c r="G60" i="32" s="1"/>
  <c r="G61" i="32" s="1"/>
  <c r="G62" i="32" s="1"/>
  <c r="G63" i="32" s="1"/>
  <c r="G64" i="32" s="1"/>
  <c r="G65" i="32" s="1"/>
  <c r="G66" i="32" s="1"/>
  <c r="G67" i="32" s="1"/>
  <c r="G68" i="32" s="1"/>
  <c r="G69" i="32" s="1"/>
  <c r="G70" i="32" s="1"/>
  <c r="D59" i="32"/>
  <c r="D60" i="32" s="1"/>
  <c r="D61" i="32" s="1"/>
  <c r="D62" i="32" s="1"/>
  <c r="D63" i="32" s="1"/>
  <c r="D64" i="32" s="1"/>
  <c r="D65" i="32" s="1"/>
  <c r="D66" i="32" s="1"/>
  <c r="D67" i="32" s="1"/>
  <c r="D68" i="32" s="1"/>
  <c r="D69" i="32" s="1"/>
  <c r="D70" i="32" s="1"/>
  <c r="B59" i="32"/>
  <c r="B75" i="32" s="1"/>
  <c r="C58" i="32"/>
  <c r="B58" i="32"/>
  <c r="B74" i="32" s="1"/>
  <c r="H57" i="32"/>
  <c r="B57" i="32"/>
  <c r="B73" i="32" s="1"/>
  <c r="B51" i="32"/>
  <c r="B67" i="32" s="1"/>
  <c r="B83" i="32" s="1"/>
  <c r="B47" i="32"/>
  <c r="B63" i="32" s="1"/>
  <c r="B79" i="32" s="1"/>
  <c r="B44" i="32"/>
  <c r="B60" i="32" s="1"/>
  <c r="B76" i="32" s="1"/>
  <c r="G43" i="32"/>
  <c r="G44" i="32" s="1"/>
  <c r="G45" i="32" s="1"/>
  <c r="G46" i="32" s="1"/>
  <c r="G47" i="32" s="1"/>
  <c r="G48" i="32" s="1"/>
  <c r="G49" i="32" s="1"/>
  <c r="G50" i="32" s="1"/>
  <c r="G51" i="32" s="1"/>
  <c r="G52" i="32" s="1"/>
  <c r="G53" i="32" s="1"/>
  <c r="G54" i="32" s="1"/>
  <c r="F43" i="32"/>
  <c r="F44" i="32" s="1"/>
  <c r="F45" i="32" s="1"/>
  <c r="F46" i="32" s="1"/>
  <c r="F47" i="32" s="1"/>
  <c r="F48" i="32" s="1"/>
  <c r="F49" i="32" s="1"/>
  <c r="F50" i="32" s="1"/>
  <c r="F51" i="32" s="1"/>
  <c r="F52" i="32" s="1"/>
  <c r="F53" i="32" s="1"/>
  <c r="F54" i="32" s="1"/>
  <c r="E43" i="32"/>
  <c r="E44" i="32" s="1"/>
  <c r="E45" i="32" s="1"/>
  <c r="E46" i="32" s="1"/>
  <c r="E47" i="32" s="1"/>
  <c r="E48" i="32" s="1"/>
  <c r="E49" i="32" s="1"/>
  <c r="E50" i="32" s="1"/>
  <c r="E51" i="32" s="1"/>
  <c r="E52" i="32" s="1"/>
  <c r="E53" i="32" s="1"/>
  <c r="E54" i="32" s="1"/>
  <c r="H40" i="32"/>
  <c r="B33" i="32"/>
  <c r="G29" i="32"/>
  <c r="G30" i="32" s="1"/>
  <c r="G31" i="32" s="1"/>
  <c r="G32" i="32" s="1"/>
  <c r="G33" i="32" s="1"/>
  <c r="G34" i="32" s="1"/>
  <c r="B29" i="32"/>
  <c r="B26" i="32"/>
  <c r="B45" i="32" s="1"/>
  <c r="B61" i="32" s="1"/>
  <c r="B77" i="32" s="1"/>
  <c r="G24" i="32"/>
  <c r="G25" i="32" s="1"/>
  <c r="G26" i="32" s="1"/>
  <c r="F24" i="32"/>
  <c r="F25" i="32" s="1"/>
  <c r="F26" i="32" s="1"/>
  <c r="F27" i="32" s="1"/>
  <c r="F28" i="32" s="1"/>
  <c r="F29" i="32" s="1"/>
  <c r="F30" i="32" s="1"/>
  <c r="F31" i="32" s="1"/>
  <c r="F32" i="32" s="1"/>
  <c r="F33" i="32" s="1"/>
  <c r="F34" i="32" s="1"/>
  <c r="F35" i="32" s="1"/>
  <c r="D24" i="32"/>
  <c r="H23" i="32"/>
  <c r="G19" i="32"/>
  <c r="H19" i="32" s="1"/>
  <c r="J19" i="32" s="1"/>
  <c r="H18" i="32"/>
  <c r="J18" i="32" s="1"/>
  <c r="J17" i="32"/>
  <c r="H14" i="32"/>
  <c r="J14" i="32" s="1"/>
  <c r="N26" i="31"/>
  <c r="N25" i="31"/>
  <c r="E20" i="31"/>
  <c r="N19" i="31"/>
  <c r="D17" i="31"/>
  <c r="C17" i="31"/>
  <c r="C16" i="31"/>
  <c r="C15" i="31"/>
  <c r="N14" i="31"/>
  <c r="P14" i="31" s="1"/>
  <c r="N13" i="31"/>
  <c r="P13" i="31" s="1"/>
  <c r="N11" i="31"/>
  <c r="P11" i="31" s="1"/>
  <c r="A11" i="31"/>
  <c r="A12" i="31" s="1"/>
  <c r="A18" i="31" s="1"/>
  <c r="A22" i="31" s="1"/>
  <c r="A23" i="31" s="1"/>
  <c r="A24" i="31" s="1"/>
  <c r="P10" i="31"/>
  <c r="N8" i="31"/>
  <c r="P281" i="30"/>
  <c r="F280" i="30"/>
  <c r="N280" i="30" s="1"/>
  <c r="P280" i="30" s="1"/>
  <c r="N279" i="30"/>
  <c r="P279" i="30" s="1"/>
  <c r="P278" i="30"/>
  <c r="A278" i="30"/>
  <c r="A279" i="30" s="1"/>
  <c r="A280" i="30" s="1"/>
  <c r="A281" i="30" s="1"/>
  <c r="P277" i="30"/>
  <c r="N276" i="30"/>
  <c r="P276" i="30" s="1"/>
  <c r="P273" i="30"/>
  <c r="P272" i="30"/>
  <c r="E270" i="30"/>
  <c r="N269" i="30"/>
  <c r="N268" i="30"/>
  <c r="C264" i="30"/>
  <c r="N264" i="30" s="1"/>
  <c r="N263" i="30"/>
  <c r="N260" i="30"/>
  <c r="N259" i="30"/>
  <c r="M257" i="30"/>
  <c r="N257" i="30" s="1"/>
  <c r="N256" i="30" s="1"/>
  <c r="N255" i="30"/>
  <c r="C250" i="30"/>
  <c r="N250" i="30" s="1"/>
  <c r="N249" i="30"/>
  <c r="N248" i="30"/>
  <c r="P241" i="30"/>
  <c r="C240" i="30"/>
  <c r="M238" i="30"/>
  <c r="M239" i="30" s="1"/>
  <c r="M240" i="30" s="1"/>
  <c r="N237" i="30"/>
  <c r="P237" i="30" s="1"/>
  <c r="N235" i="30"/>
  <c r="P235" i="30" s="1"/>
  <c r="N233" i="30"/>
  <c r="N232" i="30"/>
  <c r="N227" i="30"/>
  <c r="N226" i="30"/>
  <c r="N225" i="30"/>
  <c r="E223" i="30"/>
  <c r="N223" i="30" s="1"/>
  <c r="A221" i="30"/>
  <c r="A222" i="30" s="1"/>
  <c r="A230" i="30" s="1"/>
  <c r="N218" i="30"/>
  <c r="N214" i="30"/>
  <c r="N213" i="30"/>
  <c r="E207" i="30"/>
  <c r="D202" i="30"/>
  <c r="C202" i="30"/>
  <c r="N201" i="30"/>
  <c r="N200" i="30"/>
  <c r="P200" i="30" s="1"/>
  <c r="P199" i="30"/>
  <c r="D196" i="30"/>
  <c r="C196" i="30"/>
  <c r="M193" i="30"/>
  <c r="M196" i="30" s="1"/>
  <c r="F193" i="30"/>
  <c r="L190" i="30"/>
  <c r="N188" i="30"/>
  <c r="P188" i="30" s="1"/>
  <c r="C175" i="30"/>
  <c r="D157" i="30"/>
  <c r="C145" i="30"/>
  <c r="N145" i="30" s="1"/>
  <c r="C143" i="30"/>
  <c r="N143" i="30" s="1"/>
  <c r="C138" i="30"/>
  <c r="F134" i="30"/>
  <c r="C134" i="30"/>
  <c r="B133" i="30"/>
  <c r="B137" i="30" s="1"/>
  <c r="M119" i="30"/>
  <c r="E118" i="30"/>
  <c r="C115" i="30"/>
  <c r="N107" i="30"/>
  <c r="P107" i="30" s="1"/>
  <c r="D98" i="30"/>
  <c r="D103" i="30" s="1"/>
  <c r="B93" i="30"/>
  <c r="B99" i="30" s="1"/>
  <c r="B104" i="30" s="1"/>
  <c r="E92" i="30"/>
  <c r="E93" i="30" s="1"/>
  <c r="C92" i="30"/>
  <c r="C91" i="30"/>
  <c r="E87" i="30"/>
  <c r="E88" i="30" s="1"/>
  <c r="N81" i="30"/>
  <c r="N68" i="30"/>
  <c r="P68" i="30" s="1"/>
  <c r="I60" i="30"/>
  <c r="E24" i="30"/>
  <c r="N24" i="30" s="1"/>
  <c r="N23" i="30"/>
  <c r="C19" i="30"/>
  <c r="C15" i="30"/>
  <c r="N14" i="30"/>
  <c r="P14" i="30" s="1"/>
  <c r="P217" i="29"/>
  <c r="A217" i="29"/>
  <c r="A218" i="29" s="1"/>
  <c r="A219" i="29" s="1"/>
  <c r="A220" i="29" s="1"/>
  <c r="P215" i="29"/>
  <c r="P211" i="29"/>
  <c r="N209" i="29"/>
  <c r="N190" i="29"/>
  <c r="P190" i="29" s="1"/>
  <c r="N183" i="29"/>
  <c r="N173" i="29"/>
  <c r="N172" i="29"/>
  <c r="N170" i="29"/>
  <c r="N165" i="29"/>
  <c r="D159" i="29"/>
  <c r="N154" i="29"/>
  <c r="C153" i="29"/>
  <c r="N140" i="29"/>
  <c r="P140" i="29" s="1"/>
  <c r="E135" i="29"/>
  <c r="L127" i="29"/>
  <c r="L94" i="29"/>
  <c r="M81" i="29"/>
  <c r="M77" i="29"/>
  <c r="N77" i="29" s="1"/>
  <c r="P77" i="29" s="1"/>
  <c r="B42" i="29"/>
  <c r="B53" i="29" s="1"/>
  <c r="B57" i="29" s="1"/>
  <c r="B61" i="29" s="1"/>
  <c r="B65" i="29" s="1"/>
  <c r="B41" i="29"/>
  <c r="B52" i="29" s="1"/>
  <c r="B56" i="29" s="1"/>
  <c r="B60" i="29" s="1"/>
  <c r="B64" i="29" s="1"/>
  <c r="M37" i="29"/>
  <c r="A270" i="28"/>
  <c r="A271" i="28" s="1"/>
  <c r="A272" i="28" s="1"/>
  <c r="A273" i="28" s="1"/>
  <c r="B236" i="28"/>
  <c r="N232" i="28"/>
  <c r="N228" i="28"/>
  <c r="C211" i="28"/>
  <c r="N211" i="28" s="1"/>
  <c r="C207" i="28"/>
  <c r="N207" i="28" s="1"/>
  <c r="A203" i="28"/>
  <c r="A204" i="28" s="1"/>
  <c r="A213" i="28" s="1"/>
  <c r="A218" i="28" s="1"/>
  <c r="A239" i="28" s="1"/>
  <c r="A240" i="28" s="1"/>
  <c r="A244" i="28" s="1"/>
  <c r="A245" i="28" s="1"/>
  <c r="A246" i="28" s="1"/>
  <c r="A247" i="28" s="1"/>
  <c r="A256" i="28" s="1"/>
  <c r="A261" i="28" s="1"/>
  <c r="A262" i="28" s="1"/>
  <c r="A260" i="28" s="1"/>
  <c r="C188" i="28"/>
  <c r="N188" i="28" s="1"/>
  <c r="N189" i="28" s="1"/>
  <c r="C185" i="28"/>
  <c r="N185" i="28" s="1"/>
  <c r="P185" i="28" s="1"/>
  <c r="N160" i="28"/>
  <c r="N161" i="28" s="1"/>
  <c r="P161" i="28" s="1"/>
  <c r="N144" i="28"/>
  <c r="N119" i="28"/>
  <c r="P119" i="28" s="1"/>
  <c r="L108" i="28"/>
  <c r="F80" i="28"/>
  <c r="M74" i="28"/>
  <c r="N73" i="28"/>
  <c r="P73" i="28" s="1"/>
  <c r="N41" i="28"/>
  <c r="B37" i="28"/>
  <c r="M36" i="28"/>
  <c r="B36" i="28"/>
  <c r="D33" i="28"/>
  <c r="D37" i="28" s="1"/>
  <c r="N25" i="28"/>
  <c r="P25" i="28" s="1"/>
  <c r="D19" i="28"/>
  <c r="M18" i="28"/>
  <c r="M19" i="28" s="1"/>
  <c r="M20" i="28" s="1"/>
  <c r="N20" i="28" s="1"/>
  <c r="P20" i="28" s="1"/>
  <c r="N10" i="28"/>
  <c r="N12" i="28" s="1"/>
  <c r="P12" i="28" s="1"/>
  <c r="M283" i="27"/>
  <c r="M236" i="27"/>
  <c r="M234" i="27"/>
  <c r="M229" i="27"/>
  <c r="C202" i="27"/>
  <c r="D180" i="27"/>
  <c r="L172" i="27"/>
  <c r="L176" i="27" s="1"/>
  <c r="L180" i="27" s="1"/>
  <c r="C172" i="27"/>
  <c r="D156" i="27"/>
  <c r="C146" i="27"/>
  <c r="L143" i="27"/>
  <c r="K128" i="27"/>
  <c r="M127" i="27"/>
  <c r="A125" i="27"/>
  <c r="A130" i="27" s="1"/>
  <c r="A149" i="27" s="1"/>
  <c r="A157" i="27" s="1"/>
  <c r="A162" i="27" s="1"/>
  <c r="A195" i="27" s="1"/>
  <c r="A212" i="27" s="1"/>
  <c r="B87" i="27"/>
  <c r="B90" i="27" s="1"/>
  <c r="B93" i="27" s="1"/>
  <c r="B96" i="27" s="1"/>
  <c r="B99" i="27" s="1"/>
  <c r="L46" i="27"/>
  <c r="L50" i="27" s="1"/>
  <c r="D43" i="27"/>
  <c r="D47" i="27" s="1"/>
  <c r="M42" i="27"/>
  <c r="L26" i="27"/>
  <c r="M20" i="27"/>
  <c r="M13" i="27"/>
  <c r="P272" i="26"/>
  <c r="N243" i="26"/>
  <c r="N245" i="26" s="1"/>
  <c r="P245" i="26" s="1"/>
  <c r="N226" i="26"/>
  <c r="P226" i="26" s="1"/>
  <c r="C179" i="26"/>
  <c r="N179" i="26" s="1"/>
  <c r="F154" i="26"/>
  <c r="C135" i="26"/>
  <c r="C130" i="26"/>
  <c r="N130" i="26" s="1"/>
  <c r="B120" i="26"/>
  <c r="B124" i="26" s="1"/>
  <c r="M106" i="26"/>
  <c r="M107" i="26" s="1"/>
  <c r="M108" i="26" s="1"/>
  <c r="C95" i="26"/>
  <c r="N79" i="26"/>
  <c r="P79" i="26" s="1"/>
  <c r="M41" i="26"/>
  <c r="M52" i="26" s="1"/>
  <c r="D33" i="26"/>
  <c r="D37" i="26" s="1"/>
  <c r="A21" i="26"/>
  <c r="A44" i="26" s="1"/>
  <c r="A50" i="26" s="1"/>
  <c r="A67" i="26" s="1"/>
  <c r="A72" i="26" s="1"/>
  <c r="A77" i="26" s="1"/>
  <c r="A82" i="26" s="1"/>
  <c r="A101" i="26" s="1"/>
  <c r="A109" i="26" s="1"/>
  <c r="C19" i="26"/>
  <c r="K435" i="25"/>
  <c r="M435" i="25" s="1"/>
  <c r="M428" i="25"/>
  <c r="M430" i="25" s="1"/>
  <c r="M406" i="25"/>
  <c r="C395" i="25"/>
  <c r="M395" i="25" s="1"/>
  <c r="M376" i="25"/>
  <c r="M360" i="25"/>
  <c r="M329" i="25"/>
  <c r="M290" i="25"/>
  <c r="D285" i="25"/>
  <c r="L279" i="25"/>
  <c r="M278" i="25"/>
  <c r="M271" i="25"/>
  <c r="L268" i="25"/>
  <c r="K127" i="20"/>
  <c r="F86" i="20"/>
  <c r="M85" i="20"/>
  <c r="F82" i="20"/>
  <c r="C77" i="20"/>
  <c r="M73" i="20"/>
  <c r="E1186" i="7" s="1"/>
  <c r="W1186" i="7" s="1"/>
  <c r="C71" i="20"/>
  <c r="I58" i="20"/>
  <c r="B44" i="20"/>
  <c r="L36" i="20"/>
  <c r="L40" i="20" s="1"/>
  <c r="L44" i="20" s="1"/>
  <c r="B35" i="20"/>
  <c r="B39" i="20" s="1"/>
  <c r="B43" i="20" s="1"/>
  <c r="D17" i="20"/>
  <c r="C85" i="19"/>
  <c r="L84" i="19"/>
  <c r="L85" i="19" s="1"/>
  <c r="L79" i="19"/>
  <c r="L80" i="19" s="1"/>
  <c r="C79" i="19"/>
  <c r="M79" i="19" s="1"/>
  <c r="L74" i="19"/>
  <c r="L75" i="19" s="1"/>
  <c r="C65" i="19"/>
  <c r="M65" i="19" s="1"/>
  <c r="E1117" i="7" s="1"/>
  <c r="W1117" i="7" s="1"/>
  <c r="I51" i="19"/>
  <c r="D26" i="19"/>
  <c r="M15" i="19"/>
  <c r="D13" i="19"/>
  <c r="D18" i="19" s="1"/>
  <c r="M11" i="19"/>
  <c r="E1103" i="7" s="1"/>
  <c r="W1103" i="7" s="1"/>
  <c r="N82" i="18"/>
  <c r="N80" i="18"/>
  <c r="M205" i="17"/>
  <c r="E178" i="17"/>
  <c r="M175" i="17"/>
  <c r="O175" i="17" s="1"/>
  <c r="O172" i="17"/>
  <c r="E1029" i="7" s="1"/>
  <c r="W1029" i="7" s="1"/>
  <c r="Y1029" i="7" s="1"/>
  <c r="O159" i="17"/>
  <c r="E1023" i="7" s="1"/>
  <c r="W1023" i="7" s="1"/>
  <c r="Y1023" i="7" s="1"/>
  <c r="D149" i="17"/>
  <c r="D148" i="17"/>
  <c r="M136" i="17"/>
  <c r="M125" i="17"/>
  <c r="C120" i="17"/>
  <c r="L117" i="17"/>
  <c r="L118" i="17" s="1"/>
  <c r="L119" i="17" s="1"/>
  <c r="L120" i="17" s="1"/>
  <c r="L141" i="17" s="1"/>
  <c r="L149" i="17" s="1"/>
  <c r="M114" i="17"/>
  <c r="M113" i="17"/>
  <c r="C104" i="17"/>
  <c r="G95" i="17"/>
  <c r="B90" i="17"/>
  <c r="B94" i="17" s="1"/>
  <c r="B100" i="17" s="1"/>
  <c r="B104" i="17" s="1"/>
  <c r="M86" i="17"/>
  <c r="M88" i="17" s="1"/>
  <c r="O88" i="17" s="1"/>
  <c r="E992" i="7" s="1"/>
  <c r="W992" i="7" s="1"/>
  <c r="O73" i="17"/>
  <c r="E989" i="7" s="1"/>
  <c r="W989" i="7" s="1"/>
  <c r="L70" i="17"/>
  <c r="M69" i="17"/>
  <c r="O69" i="17" s="1"/>
  <c r="E986" i="7" s="1"/>
  <c r="W986" i="7" s="1"/>
  <c r="C223" i="11"/>
  <c r="D212" i="11"/>
  <c r="D189" i="11"/>
  <c r="N186" i="11"/>
  <c r="E249" i="25"/>
  <c r="D249" i="25"/>
  <c r="L244" i="25"/>
  <c r="L248" i="25" s="1"/>
  <c r="L241" i="25"/>
  <c r="L245" i="25" s="1"/>
  <c r="L249" i="25" s="1"/>
  <c r="L253" i="25" s="1"/>
  <c r="K241" i="25"/>
  <c r="C241" i="25"/>
  <c r="C240" i="25"/>
  <c r="L237" i="25"/>
  <c r="M236" i="25"/>
  <c r="C235" i="25"/>
  <c r="M235" i="25" s="1"/>
  <c r="M234" i="25"/>
  <c r="D228" i="25"/>
  <c r="D229" i="25" s="1"/>
  <c r="L225" i="25"/>
  <c r="K225" i="25"/>
  <c r="F225" i="25"/>
  <c r="C225" i="25"/>
  <c r="L224" i="25"/>
  <c r="L228" i="25" s="1"/>
  <c r="K224" i="25"/>
  <c r="M221" i="25"/>
  <c r="M220" i="25"/>
  <c r="M218" i="25"/>
  <c r="M213" i="25"/>
  <c r="K212" i="25"/>
  <c r="M211" i="25"/>
  <c r="M209" i="25"/>
  <c r="E203" i="25"/>
  <c r="E204" i="25" s="1"/>
  <c r="D203" i="25"/>
  <c r="D204" i="25" s="1"/>
  <c r="G196" i="25"/>
  <c r="G197" i="25" s="1"/>
  <c r="G198" i="25" s="1"/>
  <c r="F196" i="25"/>
  <c r="F197" i="25" s="1"/>
  <c r="F198" i="25" s="1"/>
  <c r="C196" i="25"/>
  <c r="I192" i="25"/>
  <c r="E191" i="25"/>
  <c r="E192" i="25" s="1"/>
  <c r="D191" i="25"/>
  <c r="D192" i="25" s="1"/>
  <c r="K185" i="25"/>
  <c r="K186" i="25" s="1"/>
  <c r="I184" i="25"/>
  <c r="I185" i="25" s="1"/>
  <c r="I186" i="25" s="1"/>
  <c r="H180" i="25"/>
  <c r="H179" i="25"/>
  <c r="E179" i="25"/>
  <c r="E180" i="25" s="1"/>
  <c r="E173" i="25"/>
  <c r="L170" i="25"/>
  <c r="L173" i="25" s="1"/>
  <c r="E167" i="25"/>
  <c r="M164" i="25"/>
  <c r="M165" i="25" s="1"/>
  <c r="E161" i="25"/>
  <c r="F160" i="25"/>
  <c r="L158" i="25"/>
  <c r="L154" i="25"/>
  <c r="M153" i="25"/>
  <c r="E150" i="25"/>
  <c r="C150" i="25"/>
  <c r="D149" i="25"/>
  <c r="C149" i="25"/>
  <c r="D146" i="25"/>
  <c r="D150" i="25" s="1"/>
  <c r="M145" i="25"/>
  <c r="M141" i="25"/>
  <c r="L136" i="25"/>
  <c r="E136" i="25"/>
  <c r="D136" i="25"/>
  <c r="L134" i="25"/>
  <c r="F131" i="25"/>
  <c r="I130" i="25"/>
  <c r="I131" i="25" s="1"/>
  <c r="C130" i="25"/>
  <c r="B130" i="25"/>
  <c r="B135" i="25" s="1"/>
  <c r="M129" i="25"/>
  <c r="B129" i="25"/>
  <c r="B134" i="25" s="1"/>
  <c r="K126" i="25"/>
  <c r="F125" i="25"/>
  <c r="F126" i="25" s="1"/>
  <c r="M124" i="25"/>
  <c r="H121" i="25"/>
  <c r="E121" i="25"/>
  <c r="E114" i="25"/>
  <c r="E115" i="25" s="1"/>
  <c r="D114" i="25"/>
  <c r="D115" i="25" s="1"/>
  <c r="F108" i="25"/>
  <c r="F109" i="25" s="1"/>
  <c r="B108" i="25"/>
  <c r="B114" i="25" s="1"/>
  <c r="I107" i="25"/>
  <c r="I108" i="25" s="1"/>
  <c r="I109" i="25" s="1"/>
  <c r="C107" i="25"/>
  <c r="B106" i="25"/>
  <c r="B112" i="25" s="1"/>
  <c r="K102" i="25"/>
  <c r="K103" i="25" s="1"/>
  <c r="F101" i="25"/>
  <c r="F102" i="25" s="1"/>
  <c r="F103" i="25" s="1"/>
  <c r="H96" i="25"/>
  <c r="H97" i="25" s="1"/>
  <c r="E96" i="25"/>
  <c r="E97" i="25" s="1"/>
  <c r="E79" i="25"/>
  <c r="D78" i="25"/>
  <c r="D79" i="25" s="1"/>
  <c r="E76" i="25"/>
  <c r="E77" i="25" s="1"/>
  <c r="D76" i="25"/>
  <c r="D73" i="25"/>
  <c r="D77" i="25" s="1"/>
  <c r="E65" i="25"/>
  <c r="E66" i="25" s="1"/>
  <c r="E67" i="25" s="1"/>
  <c r="E68" i="25" s="1"/>
  <c r="E63" i="25"/>
  <c r="D63" i="25"/>
  <c r="D61" i="25"/>
  <c r="D56" i="25"/>
  <c r="D67" i="25" s="1"/>
  <c r="B56" i="25"/>
  <c r="B67" i="25" s="1"/>
  <c r="B78" i="25" s="1"/>
  <c r="L55" i="25"/>
  <c r="L66" i="25" s="1"/>
  <c r="L77" i="25" s="1"/>
  <c r="C55" i="25"/>
  <c r="L54" i="25"/>
  <c r="L65" i="25" s="1"/>
  <c r="L76" i="25" s="1"/>
  <c r="E54" i="25"/>
  <c r="E55" i="25" s="1"/>
  <c r="E56" i="25" s="1"/>
  <c r="E57" i="25" s="1"/>
  <c r="C54" i="25"/>
  <c r="B54" i="25"/>
  <c r="B65" i="25" s="1"/>
  <c r="B76" i="25" s="1"/>
  <c r="B53" i="25"/>
  <c r="B64" i="25" s="1"/>
  <c r="B75" i="25" s="1"/>
  <c r="L52" i="25"/>
  <c r="L63" i="25" s="1"/>
  <c r="L74" i="25" s="1"/>
  <c r="L84" i="25" s="1"/>
  <c r="E52" i="25"/>
  <c r="C52" i="25"/>
  <c r="B52" i="25"/>
  <c r="B63" i="25" s="1"/>
  <c r="B74" i="25" s="1"/>
  <c r="L51" i="25"/>
  <c r="L62" i="25" s="1"/>
  <c r="L73" i="25" s="1"/>
  <c r="D51" i="25"/>
  <c r="D62" i="25" s="1"/>
  <c r="C51" i="25"/>
  <c r="L50" i="25"/>
  <c r="L61" i="25" s="1"/>
  <c r="L72" i="25" s="1"/>
  <c r="C50" i="25"/>
  <c r="B50" i="25"/>
  <c r="B61" i="25" s="1"/>
  <c r="B72" i="25" s="1"/>
  <c r="B49" i="25"/>
  <c r="B60" i="25" s="1"/>
  <c r="B71" i="25" s="1"/>
  <c r="E46" i="25"/>
  <c r="D46" i="25"/>
  <c r="D57" i="25" s="1"/>
  <c r="D68" i="25" s="1"/>
  <c r="C46" i="25"/>
  <c r="L45" i="25"/>
  <c r="L56" i="25" s="1"/>
  <c r="L67" i="25" s="1"/>
  <c r="L78" i="25" s="1"/>
  <c r="L87" i="25" s="1"/>
  <c r="C45" i="25"/>
  <c r="E43" i="25"/>
  <c r="E44" i="25" s="1"/>
  <c r="D43" i="25"/>
  <c r="M41" i="25"/>
  <c r="M40" i="25"/>
  <c r="M39" i="25"/>
  <c r="L34" i="25"/>
  <c r="L46" i="25" s="1"/>
  <c r="L57" i="25" s="1"/>
  <c r="L68" i="25" s="1"/>
  <c r="L79" i="25" s="1"/>
  <c r="L88" i="25" s="1"/>
  <c r="M33" i="25"/>
  <c r="A23" i="25"/>
  <c r="A81" i="25" s="1"/>
  <c r="A92" i="25" s="1"/>
  <c r="A117" i="25" s="1"/>
  <c r="A138" i="25" s="1"/>
  <c r="A152" i="25" s="1"/>
  <c r="A157" i="25" s="1"/>
  <c r="A162" i="25" s="1"/>
  <c r="A175" i="25" s="1"/>
  <c r="A206" i="25" s="1"/>
  <c r="A214" i="25" s="1"/>
  <c r="A231" i="25" s="1"/>
  <c r="A264" i="25" s="1"/>
  <c r="A275" i="25" s="1"/>
  <c r="A286" i="25" s="1"/>
  <c r="D21" i="25"/>
  <c r="C21" i="25"/>
  <c r="L18" i="25"/>
  <c r="L19" i="25" s="1"/>
  <c r="M17" i="25"/>
  <c r="M13" i="25"/>
  <c r="M12" i="25"/>
  <c r="O273" i="24"/>
  <c r="M271" i="24"/>
  <c r="O270" i="24"/>
  <c r="E266" i="24"/>
  <c r="H265" i="24"/>
  <c r="D261" i="24"/>
  <c r="L260" i="24"/>
  <c r="L261" i="24" s="1"/>
  <c r="L263" i="24" s="1"/>
  <c r="M259" i="24"/>
  <c r="O259" i="24" s="1"/>
  <c r="E935" i="7" s="1"/>
  <c r="W935" i="7" s="1"/>
  <c r="O258" i="24"/>
  <c r="E934" i="7" s="1"/>
  <c r="W934" i="7" s="1"/>
  <c r="M250" i="24"/>
  <c r="M246" i="24"/>
  <c r="A243" i="24"/>
  <c r="A247" i="24" s="1"/>
  <c r="A251" i="24" s="1"/>
  <c r="A252" i="24" s="1"/>
  <c r="A253" i="24" s="1"/>
  <c r="A254" i="24" s="1"/>
  <c r="A268" i="24" s="1"/>
  <c r="A269" i="24" s="1"/>
  <c r="A273" i="24" s="1"/>
  <c r="A274" i="24" s="1"/>
  <c r="A275" i="24" s="1"/>
  <c r="A276" i="24" s="1"/>
  <c r="O242" i="24"/>
  <c r="O241" i="24"/>
  <c r="M236" i="24"/>
  <c r="M231" i="24"/>
  <c r="O231" i="24" s="1"/>
  <c r="O225" i="24"/>
  <c r="O224" i="24"/>
  <c r="E905" i="7" s="1"/>
  <c r="W905" i="7" s="1"/>
  <c r="O223" i="24"/>
  <c r="E904" i="7" s="1"/>
  <c r="W904" i="7" s="1"/>
  <c r="O221" i="24"/>
  <c r="L218" i="24"/>
  <c r="L219" i="24" s="1"/>
  <c r="M217" i="24"/>
  <c r="O214" i="24"/>
  <c r="M212" i="24"/>
  <c r="M211" i="24"/>
  <c r="C207" i="24"/>
  <c r="C208" i="24" s="1"/>
  <c r="M208" i="24" s="1"/>
  <c r="E912" i="7" s="1"/>
  <c r="W912" i="7" s="1"/>
  <c r="M205" i="24"/>
  <c r="M204" i="24" s="1"/>
  <c r="M203" i="24"/>
  <c r="E910" i="7" s="1"/>
  <c r="W910" i="7" s="1"/>
  <c r="C200" i="24"/>
  <c r="M200" i="24" s="1"/>
  <c r="D199" i="24"/>
  <c r="M198" i="24"/>
  <c r="O198" i="24" s="1"/>
  <c r="L195" i="24"/>
  <c r="M194" i="24"/>
  <c r="L188" i="24"/>
  <c r="L189" i="24" s="1"/>
  <c r="K188" i="24"/>
  <c r="M187" i="24"/>
  <c r="M184" i="24"/>
  <c r="A177" i="24"/>
  <c r="A181" i="24" s="1"/>
  <c r="A185" i="24" s="1"/>
  <c r="A193" i="24" s="1"/>
  <c r="A198" i="24" s="1"/>
  <c r="A199" i="24" s="1"/>
  <c r="A200" i="24" s="1"/>
  <c r="A201" i="24" s="1"/>
  <c r="A210" i="24" s="1"/>
  <c r="A214" i="24" s="1"/>
  <c r="A215" i="24" s="1"/>
  <c r="A221" i="24" s="1"/>
  <c r="A222" i="24" s="1"/>
  <c r="A225" i="24" s="1"/>
  <c r="A226" i="24" s="1"/>
  <c r="A232" i="24" s="1"/>
  <c r="A236" i="24" s="1"/>
  <c r="A237" i="24" s="1"/>
  <c r="A238" i="24" s="1"/>
  <c r="A239" i="24" s="1"/>
  <c r="E174" i="24"/>
  <c r="C174" i="24"/>
  <c r="M173" i="24"/>
  <c r="L169" i="24"/>
  <c r="M168" i="24"/>
  <c r="E166" i="24"/>
  <c r="D159" i="24"/>
  <c r="C159" i="24"/>
  <c r="K156" i="24"/>
  <c r="I156" i="24"/>
  <c r="F156" i="24"/>
  <c r="E146" i="24"/>
  <c r="D146" i="24"/>
  <c r="K142" i="24"/>
  <c r="I142" i="24"/>
  <c r="L141" i="24"/>
  <c r="L145" i="24" s="1"/>
  <c r="L138" i="24"/>
  <c r="L142" i="24" s="1"/>
  <c r="L146" i="24" s="1"/>
  <c r="L150" i="24" s="1"/>
  <c r="K138" i="24"/>
  <c r="I138" i="24"/>
  <c r="C138" i="24"/>
  <c r="C137" i="24"/>
  <c r="L134" i="24"/>
  <c r="M133" i="24"/>
  <c r="M131" i="24"/>
  <c r="E125" i="24"/>
  <c r="E126" i="24" s="1"/>
  <c r="D125" i="24"/>
  <c r="D126" i="24" s="1"/>
  <c r="G120" i="24"/>
  <c r="F119" i="24"/>
  <c r="F120" i="24" s="1"/>
  <c r="C119" i="24"/>
  <c r="K114" i="24"/>
  <c r="F113" i="24"/>
  <c r="F114" i="24" s="1"/>
  <c r="D109" i="24"/>
  <c r="H108" i="24"/>
  <c r="E108" i="24"/>
  <c r="D99" i="24"/>
  <c r="D100" i="24" s="1"/>
  <c r="D101" i="24" s="1"/>
  <c r="C99" i="24"/>
  <c r="L97" i="24"/>
  <c r="D97" i="24"/>
  <c r="C97" i="24"/>
  <c r="K96" i="24"/>
  <c r="G96" i="24"/>
  <c r="E95" i="24"/>
  <c r="D94" i="24"/>
  <c r="M94" i="24" s="1"/>
  <c r="O94" i="24" s="1"/>
  <c r="E879" i="7" s="1"/>
  <c r="W879" i="7" s="1"/>
  <c r="L92" i="24"/>
  <c r="K91" i="24"/>
  <c r="F91" i="24"/>
  <c r="F96" i="24" s="1"/>
  <c r="C91" i="24"/>
  <c r="F90" i="24"/>
  <c r="F95" i="24" s="1"/>
  <c r="M89" i="24"/>
  <c r="O89" i="24" s="1"/>
  <c r="E874" i="7" s="1"/>
  <c r="W874" i="7" s="1"/>
  <c r="L87" i="24"/>
  <c r="E87" i="24"/>
  <c r="K86" i="24"/>
  <c r="M85" i="24"/>
  <c r="O85" i="24" s="1"/>
  <c r="E870" i="7" s="1"/>
  <c r="W870" i="7" s="1"/>
  <c r="O84" i="24"/>
  <c r="E869" i="7" s="1"/>
  <c r="W869" i="7" s="1"/>
  <c r="E81" i="24"/>
  <c r="D81" i="24"/>
  <c r="G70" i="24"/>
  <c r="F69" i="24"/>
  <c r="F70" i="24" s="1"/>
  <c r="C69" i="24"/>
  <c r="K65" i="24"/>
  <c r="F64" i="24"/>
  <c r="F65" i="24" s="1"/>
  <c r="L60" i="24"/>
  <c r="H60" i="24"/>
  <c r="E60" i="24"/>
  <c r="C60" i="24"/>
  <c r="L59" i="24"/>
  <c r="C59" i="24"/>
  <c r="L58" i="24"/>
  <c r="C58" i="24"/>
  <c r="D46" i="24"/>
  <c r="D47" i="24" s="1"/>
  <c r="E45" i="24"/>
  <c r="E46" i="24" s="1"/>
  <c r="E47" i="24" s="1"/>
  <c r="L42" i="24"/>
  <c r="E42" i="24"/>
  <c r="C42" i="24"/>
  <c r="L41" i="24"/>
  <c r="C41" i="24"/>
  <c r="L40" i="24"/>
  <c r="C40" i="24"/>
  <c r="E37" i="24"/>
  <c r="D35" i="24"/>
  <c r="M32" i="24"/>
  <c r="M31" i="24"/>
  <c r="M30" i="24"/>
  <c r="D26" i="24"/>
  <c r="M26" i="24" s="1"/>
  <c r="E25" i="24"/>
  <c r="E26" i="24" s="1"/>
  <c r="M24" i="24"/>
  <c r="A22" i="24"/>
  <c r="A49" i="24" s="1"/>
  <c r="A56" i="24" s="1"/>
  <c r="A83" i="24" s="1"/>
  <c r="A88" i="24" s="1"/>
  <c r="A93" i="24" s="1"/>
  <c r="A98" i="24" s="1"/>
  <c r="A102" i="24" s="1"/>
  <c r="A128" i="24" s="1"/>
  <c r="C20" i="24"/>
  <c r="E18" i="24"/>
  <c r="E20" i="24" s="1"/>
  <c r="C18" i="24"/>
  <c r="L17" i="24"/>
  <c r="L18" i="24" s="1"/>
  <c r="L19" i="24" s="1"/>
  <c r="L20" i="24" s="1"/>
  <c r="L21" i="24" s="1"/>
  <c r="M21" i="24" s="1"/>
  <c r="E856" i="7" s="1"/>
  <c r="W856" i="7" s="1"/>
  <c r="M16" i="24"/>
  <c r="E851" i="7" s="1"/>
  <c r="W851" i="7" s="1"/>
  <c r="D15" i="24"/>
  <c r="D20" i="24" s="1"/>
  <c r="M12" i="24"/>
  <c r="M11" i="24"/>
  <c r="N20" i="23"/>
  <c r="P20" i="23" s="1"/>
  <c r="H17" i="23"/>
  <c r="P14" i="23"/>
  <c r="P12" i="23"/>
  <c r="P10" i="23"/>
  <c r="P8" i="23"/>
  <c r="P6" i="23"/>
  <c r="F9" i="22"/>
  <c r="N8" i="22"/>
  <c r="P8" i="22" s="1"/>
  <c r="E1341" i="7" s="1"/>
  <c r="W1341" i="7" s="1"/>
  <c r="Y1341" i="7" s="1"/>
  <c r="A8" i="22"/>
  <c r="A9" i="22" s="1"/>
  <c r="A10" i="22" s="1"/>
  <c r="P7" i="22"/>
  <c r="E1340" i="7" s="1"/>
  <c r="W1340" i="7" s="1"/>
  <c r="Y1340" i="7" s="1"/>
  <c r="N6" i="22"/>
  <c r="P6" i="22" s="1"/>
  <c r="E1339" i="7" s="1"/>
  <c r="W1339" i="7" s="1"/>
  <c r="Y1339" i="7" s="1"/>
  <c r="D523" i="21"/>
  <c r="A517" i="21"/>
  <c r="A520" i="21" s="1"/>
  <c r="A521" i="21" s="1"/>
  <c r="A522" i="21" s="1"/>
  <c r="A523" i="21" s="1"/>
  <c r="A524" i="21" s="1"/>
  <c r="N513" i="21"/>
  <c r="N512" i="21"/>
  <c r="N510" i="21"/>
  <c r="N508" i="21"/>
  <c r="N506" i="21"/>
  <c r="N504" i="21"/>
  <c r="N502" i="21"/>
  <c r="N501" i="21"/>
  <c r="N498" i="21"/>
  <c r="H497" i="21"/>
  <c r="N496" i="21"/>
  <c r="N494" i="21"/>
  <c r="N493" i="21"/>
  <c r="N492" i="21"/>
  <c r="N491" i="21"/>
  <c r="D486" i="21"/>
  <c r="F484" i="21"/>
  <c r="P479" i="21"/>
  <c r="E1319" i="7" s="1"/>
  <c r="D478" i="21"/>
  <c r="D471" i="21"/>
  <c r="D473" i="21" s="1"/>
  <c r="D475" i="21" s="1"/>
  <c r="A471" i="21"/>
  <c r="H467" i="21"/>
  <c r="N466" i="21"/>
  <c r="H464" i="21"/>
  <c r="H465" i="21" s="1"/>
  <c r="H463" i="21"/>
  <c r="C463" i="21"/>
  <c r="N462" i="21"/>
  <c r="H459" i="21"/>
  <c r="H460" i="21" s="1"/>
  <c r="N458" i="21"/>
  <c r="N457" i="21"/>
  <c r="C451" i="21"/>
  <c r="C446" i="21"/>
  <c r="C445" i="21"/>
  <c r="C443" i="21"/>
  <c r="C442" i="21"/>
  <c r="C440" i="21"/>
  <c r="C439" i="21"/>
  <c r="C437" i="21"/>
  <c r="C436" i="21"/>
  <c r="C434" i="21"/>
  <c r="C433" i="21"/>
  <c r="C431" i="21"/>
  <c r="C430" i="21"/>
  <c r="C428" i="21"/>
  <c r="C427" i="21"/>
  <c r="C425" i="21"/>
  <c r="C424" i="21"/>
  <c r="C422" i="21"/>
  <c r="C421" i="21"/>
  <c r="C419" i="21"/>
  <c r="C413" i="21"/>
  <c r="C412" i="21"/>
  <c r="C407" i="21"/>
  <c r="E406" i="21"/>
  <c r="E407" i="21" s="1"/>
  <c r="E409" i="21" s="1"/>
  <c r="E410" i="21" s="1"/>
  <c r="E412" i="21" s="1"/>
  <c r="E413" i="21" s="1"/>
  <c r="E415" i="21" s="1"/>
  <c r="E416" i="21" s="1"/>
  <c r="E418" i="21" s="1"/>
  <c r="E419" i="21" s="1"/>
  <c r="E421" i="21" s="1"/>
  <c r="E422" i="21" s="1"/>
  <c r="E424" i="21" s="1"/>
  <c r="E425" i="21" s="1"/>
  <c r="E427" i="21" s="1"/>
  <c r="E428" i="21" s="1"/>
  <c r="E430" i="21" s="1"/>
  <c r="E431" i="21" s="1"/>
  <c r="E433" i="21" s="1"/>
  <c r="E434" i="21" s="1"/>
  <c r="E436" i="21" s="1"/>
  <c r="E437" i="21" s="1"/>
  <c r="E439" i="21" s="1"/>
  <c r="E440" i="21" s="1"/>
  <c r="E442" i="21" s="1"/>
  <c r="E443" i="21" s="1"/>
  <c r="E445" i="21" s="1"/>
  <c r="E446" i="21" s="1"/>
  <c r="E448" i="21" s="1"/>
  <c r="E449" i="21" s="1"/>
  <c r="E451" i="21" s="1"/>
  <c r="E452" i="21" s="1"/>
  <c r="D406" i="21"/>
  <c r="D407" i="21" s="1"/>
  <c r="D409" i="21" s="1"/>
  <c r="D410" i="21" s="1"/>
  <c r="D412" i="21" s="1"/>
  <c r="D413" i="21" s="1"/>
  <c r="D415" i="21" s="1"/>
  <c r="D416" i="21" s="1"/>
  <c r="D418" i="21" s="1"/>
  <c r="D419" i="21" s="1"/>
  <c r="D421" i="21" s="1"/>
  <c r="D422" i="21" s="1"/>
  <c r="D424" i="21" s="1"/>
  <c r="D425" i="21" s="1"/>
  <c r="D427" i="21" s="1"/>
  <c r="D428" i="21" s="1"/>
  <c r="D430" i="21" s="1"/>
  <c r="D431" i="21" s="1"/>
  <c r="D433" i="21" s="1"/>
  <c r="D434" i="21" s="1"/>
  <c r="D436" i="21" s="1"/>
  <c r="D437" i="21" s="1"/>
  <c r="D439" i="21" s="1"/>
  <c r="D440" i="21" s="1"/>
  <c r="D442" i="21" s="1"/>
  <c r="D443" i="21" s="1"/>
  <c r="D445" i="21" s="1"/>
  <c r="D446" i="21" s="1"/>
  <c r="D448" i="21" s="1"/>
  <c r="D449" i="21" s="1"/>
  <c r="D451" i="21" s="1"/>
  <c r="D452" i="21" s="1"/>
  <c r="C406" i="21"/>
  <c r="C404" i="21"/>
  <c r="N404" i="21" s="1"/>
  <c r="C403" i="21"/>
  <c r="N403" i="21" s="1"/>
  <c r="C396" i="21"/>
  <c r="C450" i="21" s="1"/>
  <c r="N450" i="21" s="1"/>
  <c r="C393" i="21"/>
  <c r="C447" i="21" s="1"/>
  <c r="N447" i="21" s="1"/>
  <c r="C390" i="21"/>
  <c r="C444" i="21" s="1"/>
  <c r="N444" i="21" s="1"/>
  <c r="C387" i="21"/>
  <c r="C441" i="21" s="1"/>
  <c r="N441" i="21" s="1"/>
  <c r="C384" i="21"/>
  <c r="C438" i="21" s="1"/>
  <c r="N438" i="21" s="1"/>
  <c r="C381" i="21"/>
  <c r="C435" i="21" s="1"/>
  <c r="N435" i="21" s="1"/>
  <c r="C378" i="21"/>
  <c r="C432" i="21" s="1"/>
  <c r="N432" i="21" s="1"/>
  <c r="C375" i="21"/>
  <c r="C429" i="21" s="1"/>
  <c r="N429" i="21" s="1"/>
  <c r="C372" i="21"/>
  <c r="C426" i="21" s="1"/>
  <c r="N426" i="21" s="1"/>
  <c r="C369" i="21"/>
  <c r="C423" i="21" s="1"/>
  <c r="N423" i="21" s="1"/>
  <c r="C366" i="21"/>
  <c r="C420" i="21" s="1"/>
  <c r="N420" i="21" s="1"/>
  <c r="C363" i="21"/>
  <c r="C417" i="21" s="1"/>
  <c r="N417" i="21" s="1"/>
  <c r="C360" i="21"/>
  <c r="C414" i="21" s="1"/>
  <c r="N414" i="21" s="1"/>
  <c r="C357" i="21"/>
  <c r="C411" i="21" s="1"/>
  <c r="N411" i="21" s="1"/>
  <c r="C354" i="21"/>
  <c r="C408" i="21" s="1"/>
  <c r="N408" i="21" s="1"/>
  <c r="H352" i="21"/>
  <c r="H353" i="21" s="1"/>
  <c r="H355" i="21" s="1"/>
  <c r="H356" i="21" s="1"/>
  <c r="H358" i="21" s="1"/>
  <c r="H359" i="21" s="1"/>
  <c r="H361" i="21" s="1"/>
  <c r="H362" i="21" s="1"/>
  <c r="H364" i="21" s="1"/>
  <c r="H365" i="21" s="1"/>
  <c r="H367" i="21" s="1"/>
  <c r="H368" i="21" s="1"/>
  <c r="H370" i="21" s="1"/>
  <c r="H371" i="21" s="1"/>
  <c r="H373" i="21" s="1"/>
  <c r="H374" i="21" s="1"/>
  <c r="H376" i="21" s="1"/>
  <c r="H377" i="21" s="1"/>
  <c r="H379" i="21" s="1"/>
  <c r="H380" i="21" s="1"/>
  <c r="H382" i="21" s="1"/>
  <c r="H383" i="21" s="1"/>
  <c r="H385" i="21" s="1"/>
  <c r="H386" i="21" s="1"/>
  <c r="H388" i="21" s="1"/>
  <c r="H389" i="21" s="1"/>
  <c r="H391" i="21" s="1"/>
  <c r="H392" i="21" s="1"/>
  <c r="H394" i="21" s="1"/>
  <c r="H395" i="21" s="1"/>
  <c r="H397" i="21" s="1"/>
  <c r="H398" i="21" s="1"/>
  <c r="D352" i="21"/>
  <c r="D353" i="21" s="1"/>
  <c r="D355" i="21" s="1"/>
  <c r="D356" i="21" s="1"/>
  <c r="D358" i="21" s="1"/>
  <c r="D359" i="21" s="1"/>
  <c r="D361" i="21" s="1"/>
  <c r="D362" i="21" s="1"/>
  <c r="D364" i="21" s="1"/>
  <c r="D365" i="21" s="1"/>
  <c r="D367" i="21" s="1"/>
  <c r="D368" i="21" s="1"/>
  <c r="D370" i="21" s="1"/>
  <c r="D371" i="21" s="1"/>
  <c r="D373" i="21" s="1"/>
  <c r="D374" i="21" s="1"/>
  <c r="D376" i="21" s="1"/>
  <c r="D377" i="21" s="1"/>
  <c r="D379" i="21" s="1"/>
  <c r="D380" i="21" s="1"/>
  <c r="D382" i="21" s="1"/>
  <c r="D383" i="21" s="1"/>
  <c r="D385" i="21" s="1"/>
  <c r="D386" i="21" s="1"/>
  <c r="D388" i="21" s="1"/>
  <c r="D389" i="21" s="1"/>
  <c r="D391" i="21" s="1"/>
  <c r="D392" i="21" s="1"/>
  <c r="D394" i="21" s="1"/>
  <c r="D395" i="21" s="1"/>
  <c r="D397" i="21" s="1"/>
  <c r="D398" i="21" s="1"/>
  <c r="C351" i="21"/>
  <c r="C405" i="21" s="1"/>
  <c r="N405" i="21" s="1"/>
  <c r="N350" i="21"/>
  <c r="N349" i="21"/>
  <c r="C345" i="21"/>
  <c r="C342" i="21"/>
  <c r="C341" i="21"/>
  <c r="C311" i="21"/>
  <c r="C309" i="21"/>
  <c r="C308" i="21"/>
  <c r="C303" i="21"/>
  <c r="C302" i="21"/>
  <c r="H299" i="21"/>
  <c r="H300" i="21" s="1"/>
  <c r="H302" i="21" s="1"/>
  <c r="H303" i="21" s="1"/>
  <c r="H305" i="21" s="1"/>
  <c r="H306" i="21" s="1"/>
  <c r="H308" i="21" s="1"/>
  <c r="H309" i="21" s="1"/>
  <c r="H311" i="21" s="1"/>
  <c r="H312" i="21" s="1"/>
  <c r="H314" i="21" s="1"/>
  <c r="H315" i="21" s="1"/>
  <c r="H317" i="21" s="1"/>
  <c r="H318" i="21" s="1"/>
  <c r="H320" i="21" s="1"/>
  <c r="H321" i="21" s="1"/>
  <c r="H323" i="21" s="1"/>
  <c r="H324" i="21" s="1"/>
  <c r="H326" i="21" s="1"/>
  <c r="H327" i="21" s="1"/>
  <c r="H329" i="21" s="1"/>
  <c r="H330" i="21" s="1"/>
  <c r="H332" i="21" s="1"/>
  <c r="H333" i="21" s="1"/>
  <c r="H335" i="21" s="1"/>
  <c r="H336" i="21" s="1"/>
  <c r="H338" i="21" s="1"/>
  <c r="H339" i="21" s="1"/>
  <c r="H341" i="21" s="1"/>
  <c r="H342" i="21" s="1"/>
  <c r="H344" i="21" s="1"/>
  <c r="H345" i="21" s="1"/>
  <c r="E299" i="21"/>
  <c r="E300" i="21" s="1"/>
  <c r="E302" i="21" s="1"/>
  <c r="E303" i="21" s="1"/>
  <c r="E305" i="21" s="1"/>
  <c r="N297" i="21"/>
  <c r="E249" i="21"/>
  <c r="D249" i="21"/>
  <c r="E247" i="21"/>
  <c r="D247" i="21"/>
  <c r="N244" i="21"/>
  <c r="N243" i="21"/>
  <c r="E193" i="21"/>
  <c r="D193" i="21"/>
  <c r="N191" i="21"/>
  <c r="F180" i="21"/>
  <c r="L177" i="21"/>
  <c r="L176" i="21"/>
  <c r="M175" i="21"/>
  <c r="N173" i="21"/>
  <c r="P173" i="21" s="1"/>
  <c r="E1297" i="7" s="1"/>
  <c r="W1297" i="7" s="1"/>
  <c r="Y1297" i="7" s="1"/>
  <c r="P172" i="21"/>
  <c r="E1296" i="7" s="1"/>
  <c r="W1296" i="7" s="1"/>
  <c r="Y1296" i="7" s="1"/>
  <c r="C154" i="21"/>
  <c r="N154" i="21" s="1"/>
  <c r="N153" i="21"/>
  <c r="D152" i="21"/>
  <c r="B152" i="21"/>
  <c r="D151" i="21"/>
  <c r="B151" i="21"/>
  <c r="D150" i="21"/>
  <c r="B150" i="21"/>
  <c r="D149" i="21"/>
  <c r="B149" i="21"/>
  <c r="D148" i="21"/>
  <c r="C148" i="21"/>
  <c r="B148" i="21"/>
  <c r="N147" i="21"/>
  <c r="B147" i="21"/>
  <c r="H98" i="21"/>
  <c r="H99" i="21" s="1"/>
  <c r="H101" i="21" s="1"/>
  <c r="H102" i="21" s="1"/>
  <c r="H104" i="21" s="1"/>
  <c r="H105" i="21" s="1"/>
  <c r="H107" i="21" s="1"/>
  <c r="H108" i="21" s="1"/>
  <c r="H110" i="21" s="1"/>
  <c r="H111" i="21" s="1"/>
  <c r="H113" i="21" s="1"/>
  <c r="H114" i="21" s="1"/>
  <c r="H116" i="21" s="1"/>
  <c r="H117" i="21" s="1"/>
  <c r="H119" i="21" s="1"/>
  <c r="H120" i="21" s="1"/>
  <c r="H122" i="21" s="1"/>
  <c r="H123" i="21" s="1"/>
  <c r="H125" i="21" s="1"/>
  <c r="H126" i="21" s="1"/>
  <c r="H128" i="21" s="1"/>
  <c r="H129" i="21" s="1"/>
  <c r="H131" i="21" s="1"/>
  <c r="H132" i="21" s="1"/>
  <c r="H134" i="21" s="1"/>
  <c r="H135" i="21" s="1"/>
  <c r="H137" i="21" s="1"/>
  <c r="H138" i="21" s="1"/>
  <c r="H140" i="21" s="1"/>
  <c r="H141" i="21" s="1"/>
  <c r="H143" i="21" s="1"/>
  <c r="H144" i="21" s="1"/>
  <c r="C98" i="21"/>
  <c r="F99" i="21" s="1"/>
  <c r="F96" i="21"/>
  <c r="C96" i="21"/>
  <c r="F95" i="21" s="1"/>
  <c r="C93" i="21"/>
  <c r="B91" i="21"/>
  <c r="C90" i="21"/>
  <c r="B88" i="21"/>
  <c r="C87" i="21"/>
  <c r="B85" i="21"/>
  <c r="C84" i="21"/>
  <c r="B82" i="21"/>
  <c r="C81" i="21"/>
  <c r="C79" i="21"/>
  <c r="C80" i="21" s="1"/>
  <c r="B79" i="21"/>
  <c r="L78" i="21"/>
  <c r="C77" i="21"/>
  <c r="B76" i="21"/>
  <c r="C58" i="21"/>
  <c r="C52" i="21"/>
  <c r="N51" i="21"/>
  <c r="A35" i="21"/>
  <c r="A36" i="21" s="1"/>
  <c r="A40" i="21" s="1"/>
  <c r="A41" i="21" s="1"/>
  <c r="A42" i="21" s="1"/>
  <c r="A46" i="21" s="1"/>
  <c r="A47" i="21" s="1"/>
  <c r="A48" i="21" s="1"/>
  <c r="A171" i="21" s="1"/>
  <c r="A187" i="21" s="1"/>
  <c r="C32" i="21"/>
  <c r="N32" i="21" s="1"/>
  <c r="C30" i="21"/>
  <c r="N30" i="21" s="1"/>
  <c r="N11" i="21"/>
  <c r="N9" i="21" s="1"/>
  <c r="C31" i="21" s="1"/>
  <c r="N31" i="21" s="1"/>
  <c r="M256" i="20"/>
  <c r="E1277" i="7" s="1"/>
  <c r="W1277" i="7" s="1"/>
  <c r="M255" i="20"/>
  <c r="E1276" i="7" s="1"/>
  <c r="W1276" i="7" s="1"/>
  <c r="M245" i="20"/>
  <c r="C244" i="20"/>
  <c r="M244" i="20" s="1"/>
  <c r="C242" i="20"/>
  <c r="M242" i="20" s="1"/>
  <c r="M241" i="20"/>
  <c r="M237" i="20"/>
  <c r="E1264" i="7" s="1"/>
  <c r="W1264" i="7" s="1"/>
  <c r="M236" i="20"/>
  <c r="E1263" i="7" s="1"/>
  <c r="W1263" i="7" s="1"/>
  <c r="M234" i="20"/>
  <c r="M233" i="20" s="1"/>
  <c r="M232" i="20"/>
  <c r="E1262" i="7" s="1"/>
  <c r="W1262" i="7" s="1"/>
  <c r="M229" i="20"/>
  <c r="C226" i="20"/>
  <c r="E225" i="20"/>
  <c r="M221" i="20"/>
  <c r="J217" i="20"/>
  <c r="M216" i="20"/>
  <c r="A213" i="20"/>
  <c r="J205" i="20"/>
  <c r="J206" i="20" s="1"/>
  <c r="E205" i="20"/>
  <c r="M204" i="20"/>
  <c r="I196" i="20"/>
  <c r="C196" i="20"/>
  <c r="D192" i="20"/>
  <c r="C189" i="20"/>
  <c r="M188" i="20"/>
  <c r="D183" i="20"/>
  <c r="D184" i="20" s="1"/>
  <c r="D185" i="20" s="1"/>
  <c r="C183" i="20"/>
  <c r="M182" i="20"/>
  <c r="E1240" i="7" s="1"/>
  <c r="W1240" i="7" s="1"/>
  <c r="M180" i="20"/>
  <c r="M177" i="20"/>
  <c r="M176" i="20"/>
  <c r="E1234" i="7" s="1"/>
  <c r="W1234" i="7" s="1"/>
  <c r="K175" i="20"/>
  <c r="I175" i="20"/>
  <c r="C175" i="20"/>
  <c r="M172" i="20"/>
  <c r="M171" i="20"/>
  <c r="K163" i="20"/>
  <c r="I163" i="20"/>
  <c r="E152" i="20"/>
  <c r="D152" i="20"/>
  <c r="K148" i="20"/>
  <c r="K152" i="20" s="1"/>
  <c r="I148" i="20"/>
  <c r="L147" i="20"/>
  <c r="L151" i="20" s="1"/>
  <c r="K147" i="20"/>
  <c r="K151" i="20" s="1"/>
  <c r="L144" i="20"/>
  <c r="L148" i="20" s="1"/>
  <c r="L152" i="20" s="1"/>
  <c r="L156" i="20" s="1"/>
  <c r="I144" i="20"/>
  <c r="C144" i="20"/>
  <c r="C143" i="20"/>
  <c r="L139" i="20"/>
  <c r="C138" i="20"/>
  <c r="M138" i="20" s="1"/>
  <c r="M137" i="20"/>
  <c r="M133" i="20"/>
  <c r="E1219" i="7" s="1"/>
  <c r="W1219" i="7" s="1"/>
  <c r="K132" i="20"/>
  <c r="C128" i="20"/>
  <c r="C116" i="20"/>
  <c r="M92" i="20"/>
  <c r="E1194" i="7" s="1"/>
  <c r="W1194" i="7" s="1"/>
  <c r="C86" i="20"/>
  <c r="M70" i="20"/>
  <c r="E1183" i="7" s="1"/>
  <c r="W1183" i="7" s="1"/>
  <c r="I62" i="20"/>
  <c r="D44" i="20"/>
  <c r="D39" i="20"/>
  <c r="D36" i="20"/>
  <c r="D40" i="20" s="1"/>
  <c r="C35" i="20"/>
  <c r="M31" i="20"/>
  <c r="M30" i="20"/>
  <c r="M32" i="20" s="1"/>
  <c r="K33" i="20" s="1"/>
  <c r="M33" i="20" s="1"/>
  <c r="E1172" i="7" s="1"/>
  <c r="W1172" i="7" s="1"/>
  <c r="E27" i="20"/>
  <c r="M27" i="20" s="1"/>
  <c r="A24" i="20"/>
  <c r="A46" i="20" s="1"/>
  <c r="A51" i="20" s="1"/>
  <c r="A68" i="20" s="1"/>
  <c r="A74" i="20" s="1"/>
  <c r="A93" i="20" s="1"/>
  <c r="A98" i="20" s="1"/>
  <c r="A103" i="20" s="1"/>
  <c r="A122" i="20" s="1"/>
  <c r="A129" i="20" s="1"/>
  <c r="M14" i="20"/>
  <c r="M121" i="19"/>
  <c r="M108" i="19"/>
  <c r="E1135" i="7" s="1"/>
  <c r="W1135" i="7" s="1"/>
  <c r="L95" i="19"/>
  <c r="L99" i="19" s="1"/>
  <c r="L103" i="19" s="1"/>
  <c r="I83" i="19"/>
  <c r="M83" i="19" s="1"/>
  <c r="E1125" i="7" s="1"/>
  <c r="W1125" i="7" s="1"/>
  <c r="C69" i="19"/>
  <c r="D68" i="19"/>
  <c r="D69" i="19" s="1"/>
  <c r="D70" i="19" s="1"/>
  <c r="M37" i="19"/>
  <c r="M25" i="19"/>
  <c r="C18" i="19"/>
  <c r="E16" i="19"/>
  <c r="E18" i="19" s="1"/>
  <c r="A79" i="18"/>
  <c r="A85" i="18" s="1"/>
  <c r="A91" i="18" s="1"/>
  <c r="A93" i="18" s="1"/>
  <c r="A94" i="18" s="1"/>
  <c r="A99" i="18" s="1"/>
  <c r="A100" i="18" s="1"/>
  <c r="A101" i="18" s="1"/>
  <c r="N71" i="18"/>
  <c r="P71" i="18" s="1"/>
  <c r="E1084" i="7" s="1"/>
  <c r="W1084" i="7" s="1"/>
  <c r="Y1084" i="7" s="1"/>
  <c r="C69" i="18"/>
  <c r="I63" i="18"/>
  <c r="I64" i="18" s="1"/>
  <c r="I59" i="18"/>
  <c r="D48" i="18"/>
  <c r="C43" i="18"/>
  <c r="L42" i="18"/>
  <c r="L43" i="18" s="1"/>
  <c r="H38" i="18"/>
  <c r="B32" i="18"/>
  <c r="B37" i="18" s="1"/>
  <c r="B42" i="18" s="1"/>
  <c r="B47" i="18" s="1"/>
  <c r="C31" i="18"/>
  <c r="E28" i="18"/>
  <c r="C27" i="18"/>
  <c r="D18" i="18"/>
  <c r="D28" i="18" s="1"/>
  <c r="D33" i="18" s="1"/>
  <c r="N17" i="18"/>
  <c r="M374" i="17"/>
  <c r="L368" i="17"/>
  <c r="M365" i="17"/>
  <c r="B365" i="17"/>
  <c r="B368" i="17" s="1"/>
  <c r="C327" i="17"/>
  <c r="L323" i="17"/>
  <c r="L327" i="17" s="1"/>
  <c r="M313" i="17"/>
  <c r="C300" i="17"/>
  <c r="C278" i="17"/>
  <c r="K275" i="17"/>
  <c r="B274" i="17"/>
  <c r="B278" i="17" s="1"/>
  <c r="B282" i="17" s="1"/>
  <c r="A268" i="17"/>
  <c r="A289" i="17" s="1"/>
  <c r="A306" i="17" s="1"/>
  <c r="A311" i="17" s="1"/>
  <c r="A316" i="17" s="1"/>
  <c r="A333" i="17" s="1"/>
  <c r="A337" i="17" s="1"/>
  <c r="A340" i="17" s="1"/>
  <c r="D263" i="17"/>
  <c r="E239" i="17"/>
  <c r="M235" i="17"/>
  <c r="C231" i="17"/>
  <c r="M225" i="17"/>
  <c r="E1052" i="7" s="1"/>
  <c r="W1052" i="7" s="1"/>
  <c r="Y1052" i="7" s="1"/>
  <c r="M221" i="17"/>
  <c r="M220" i="17"/>
  <c r="A219" i="17"/>
  <c r="A223" i="17" s="1"/>
  <c r="A224" i="17" s="1"/>
  <c r="K213" i="17"/>
  <c r="M213" i="17" s="1"/>
  <c r="E1047" i="7" s="1"/>
  <c r="W1047" i="7" s="1"/>
  <c r="Y1047" i="7" s="1"/>
  <c r="M212" i="17"/>
  <c r="E1046" i="7" s="1"/>
  <c r="W1046" i="7" s="1"/>
  <c r="Y1046" i="7" s="1"/>
  <c r="M160" i="17"/>
  <c r="E148" i="17"/>
  <c r="E149" i="17" s="1"/>
  <c r="C126" i="17"/>
  <c r="K118" i="17"/>
  <c r="E239" i="11"/>
  <c r="N239" i="11" s="1"/>
  <c r="M223" i="11"/>
  <c r="M225" i="11" s="1"/>
  <c r="G57" i="17"/>
  <c r="F57" i="17"/>
  <c r="C57" i="17"/>
  <c r="G53" i="17"/>
  <c r="F53" i="17"/>
  <c r="F49" i="17"/>
  <c r="F45" i="17"/>
  <c r="E40" i="17"/>
  <c r="E41" i="17" s="1"/>
  <c r="L37" i="17"/>
  <c r="L41" i="17" s="1"/>
  <c r="L45" i="17" s="1"/>
  <c r="L57" i="17" s="1"/>
  <c r="L61" i="17" s="1"/>
  <c r="C37" i="17"/>
  <c r="B37" i="17"/>
  <c r="B41" i="17" s="1"/>
  <c r="B45" i="17" s="1"/>
  <c r="B49" i="17" s="1"/>
  <c r="B53" i="17" s="1"/>
  <c r="B57" i="17" s="1"/>
  <c r="B61" i="17" s="1"/>
  <c r="L36" i="17"/>
  <c r="L40" i="17" s="1"/>
  <c r="L44" i="17" s="1"/>
  <c r="L56" i="17" s="1"/>
  <c r="L60" i="17" s="1"/>
  <c r="C36" i="17"/>
  <c r="B36" i="17"/>
  <c r="B40" i="17" s="1"/>
  <c r="B44" i="17" s="1"/>
  <c r="B48" i="17" s="1"/>
  <c r="B52" i="17" s="1"/>
  <c r="B56" i="17" s="1"/>
  <c r="B60" i="17" s="1"/>
  <c r="D32" i="17"/>
  <c r="D29" i="17"/>
  <c r="M29" i="17" s="1"/>
  <c r="M28" i="17"/>
  <c r="A26" i="17"/>
  <c r="A65" i="17" s="1"/>
  <c r="A73" i="17" s="1"/>
  <c r="A74" i="17" s="1"/>
  <c r="L21" i="17"/>
  <c r="L22" i="17" s="1"/>
  <c r="L23" i="17" s="1"/>
  <c r="K21" i="17"/>
  <c r="E18" i="17"/>
  <c r="E19" i="17" s="1"/>
  <c r="D18" i="17"/>
  <c r="D19" i="17" s="1"/>
  <c r="D23" i="17" s="1"/>
  <c r="C18" i="17"/>
  <c r="M17" i="17"/>
  <c r="O17" i="17" s="1"/>
  <c r="E965" i="7" s="1"/>
  <c r="W965" i="7" s="1"/>
  <c r="M16" i="17"/>
  <c r="O16" i="17" s="1"/>
  <c r="E964" i="7" s="1"/>
  <c r="W964" i="7" s="1"/>
  <c r="M13" i="17"/>
  <c r="M12" i="17"/>
  <c r="O487" i="16"/>
  <c r="E841" i="7" s="1"/>
  <c r="W841" i="7" s="1"/>
  <c r="M486" i="16"/>
  <c r="O486" i="16" s="1"/>
  <c r="E840" i="7" s="1"/>
  <c r="W840" i="7" s="1"/>
  <c r="M485" i="16"/>
  <c r="O485" i="16" s="1"/>
  <c r="E839" i="7" s="1"/>
  <c r="W839" i="7" s="1"/>
  <c r="O484" i="16"/>
  <c r="E838" i="7" s="1"/>
  <c r="W838" i="7" s="1"/>
  <c r="M483" i="16"/>
  <c r="O483" i="16" s="1"/>
  <c r="E837" i="7" s="1"/>
  <c r="W837" i="7" s="1"/>
  <c r="M482" i="16"/>
  <c r="O482" i="16" s="1"/>
  <c r="E836" i="7" s="1"/>
  <c r="W836" i="7" s="1"/>
  <c r="O481" i="16"/>
  <c r="E835" i="7" s="1"/>
  <c r="W835" i="7" s="1"/>
  <c r="O480" i="16"/>
  <c r="E834" i="7" s="1"/>
  <c r="W834" i="7" s="1"/>
  <c r="O479" i="16"/>
  <c r="E833" i="7" s="1"/>
  <c r="W833" i="7" s="1"/>
  <c r="M478" i="16"/>
  <c r="O478" i="16" s="1"/>
  <c r="E832" i="7" s="1"/>
  <c r="W832" i="7" s="1"/>
  <c r="M473" i="16"/>
  <c r="O473" i="16" s="1"/>
  <c r="E831" i="7" s="1"/>
  <c r="W831" i="7" s="1"/>
  <c r="D469" i="16"/>
  <c r="C469" i="16"/>
  <c r="M468" i="16"/>
  <c r="O468" i="16" s="1"/>
  <c r="E828" i="7" s="1"/>
  <c r="W828" i="7" s="1"/>
  <c r="M467" i="16"/>
  <c r="O467" i="16" s="1"/>
  <c r="E827" i="7" s="1"/>
  <c r="W827" i="7" s="1"/>
  <c r="E465" i="16"/>
  <c r="H464" i="16"/>
  <c r="D460" i="16"/>
  <c r="L459" i="16"/>
  <c r="L460" i="16" s="1"/>
  <c r="L462" i="16" s="1"/>
  <c r="M458" i="16"/>
  <c r="O458" i="16" s="1"/>
  <c r="E817" i="7" s="1"/>
  <c r="W817" i="7" s="1"/>
  <c r="O457" i="16"/>
  <c r="E816" i="7" s="1"/>
  <c r="W816" i="7" s="1"/>
  <c r="O450" i="16"/>
  <c r="E809" i="7" s="1"/>
  <c r="W809" i="7" s="1"/>
  <c r="O449" i="16"/>
  <c r="E808" i="7" s="1"/>
  <c r="W808" i="7" s="1"/>
  <c r="O448" i="16"/>
  <c r="E807" i="7" s="1"/>
  <c r="W807" i="7" s="1"/>
  <c r="O447" i="16"/>
  <c r="E806" i="7" s="1"/>
  <c r="W806" i="7" s="1"/>
  <c r="D434" i="16"/>
  <c r="C434" i="16"/>
  <c r="M432" i="16"/>
  <c r="O432" i="16" s="1"/>
  <c r="L430" i="16"/>
  <c r="M429" i="16"/>
  <c r="O427" i="16"/>
  <c r="O425" i="16"/>
  <c r="E805" i="7" s="1"/>
  <c r="W805" i="7" s="1"/>
  <c r="O424" i="16"/>
  <c r="E804" i="7" s="1"/>
  <c r="W804" i="7" s="1"/>
  <c r="O423" i="16"/>
  <c r="E803" i="7" s="1"/>
  <c r="W803" i="7" s="1"/>
  <c r="O422" i="16"/>
  <c r="O421" i="16"/>
  <c r="O420" i="16"/>
  <c r="E802" i="7" s="1"/>
  <c r="W802" i="7" s="1"/>
  <c r="M417" i="16"/>
  <c r="D414" i="16"/>
  <c r="M414" i="16" s="1"/>
  <c r="M416" i="16" s="1"/>
  <c r="O416" i="16" s="1"/>
  <c r="Q412" i="16"/>
  <c r="M411" i="16"/>
  <c r="M410" i="16" s="1"/>
  <c r="M412" i="16" s="1"/>
  <c r="O412" i="16" s="1"/>
  <c r="M409" i="16"/>
  <c r="C408" i="16"/>
  <c r="M408" i="16" s="1"/>
  <c r="M406" i="16"/>
  <c r="M404" i="16" s="1"/>
  <c r="O404" i="16" s="1"/>
  <c r="E797" i="7" s="1"/>
  <c r="W797" i="7" s="1"/>
  <c r="M403" i="16"/>
  <c r="O403" i="16" s="1"/>
  <c r="O399" i="16"/>
  <c r="E796" i="7" s="1"/>
  <c r="W796" i="7" s="1"/>
  <c r="G397" i="16"/>
  <c r="M397" i="16" s="1"/>
  <c r="M396" i="16"/>
  <c r="M394" i="16"/>
  <c r="Q390" i="16"/>
  <c r="H388" i="16"/>
  <c r="M388" i="16" s="1"/>
  <c r="H387" i="16"/>
  <c r="E387" i="16"/>
  <c r="D387" i="16"/>
  <c r="H386" i="16"/>
  <c r="E386" i="16"/>
  <c r="D386" i="16"/>
  <c r="H385" i="16"/>
  <c r="E385" i="16"/>
  <c r="D385" i="16"/>
  <c r="H384" i="16"/>
  <c r="E384" i="16"/>
  <c r="D384" i="16"/>
  <c r="E383" i="16"/>
  <c r="C383" i="16"/>
  <c r="E382" i="16"/>
  <c r="C382" i="16"/>
  <c r="M376" i="16"/>
  <c r="M375" i="16"/>
  <c r="M374" i="16"/>
  <c r="M373" i="16"/>
  <c r="M372" i="16"/>
  <c r="M371" i="16"/>
  <c r="M370" i="16"/>
  <c r="M369" i="16"/>
  <c r="C366" i="16"/>
  <c r="C364" i="16"/>
  <c r="D361" i="16"/>
  <c r="M361" i="16" s="1"/>
  <c r="M360" i="16"/>
  <c r="M357" i="16"/>
  <c r="M356" i="16"/>
  <c r="M355" i="16"/>
  <c r="M354" i="16"/>
  <c r="O347" i="16"/>
  <c r="O346" i="16"/>
  <c r="E786" i="7" s="1"/>
  <c r="W786" i="7" s="1"/>
  <c r="H341" i="16"/>
  <c r="E341" i="16"/>
  <c r="D341" i="16"/>
  <c r="L340" i="16"/>
  <c r="L341" i="16" s="1"/>
  <c r="M339" i="16"/>
  <c r="O339" i="16" s="1"/>
  <c r="E333" i="16"/>
  <c r="E334" i="16" s="1"/>
  <c r="D333" i="16"/>
  <c r="L332" i="16"/>
  <c r="L333" i="16" s="1"/>
  <c r="L334" i="16" s="1"/>
  <c r="L335" i="16" s="1"/>
  <c r="M331" i="16"/>
  <c r="M330" i="16" s="1"/>
  <c r="O330" i="16" s="1"/>
  <c r="E324" i="16"/>
  <c r="E325" i="16" s="1"/>
  <c r="D324" i="16"/>
  <c r="L323" i="16"/>
  <c r="L324" i="16" s="1"/>
  <c r="L325" i="16" s="1"/>
  <c r="L326" i="16" s="1"/>
  <c r="M322" i="16"/>
  <c r="M321" i="16" s="1"/>
  <c r="O321" i="16" s="1"/>
  <c r="E315" i="16"/>
  <c r="L314" i="16"/>
  <c r="L315" i="16" s="1"/>
  <c r="L316" i="16" s="1"/>
  <c r="L317" i="16" s="1"/>
  <c r="M313" i="16"/>
  <c r="M312" i="16" s="1"/>
  <c r="O312" i="16" s="1"/>
  <c r="H310" i="16"/>
  <c r="E305" i="16"/>
  <c r="L304" i="16"/>
  <c r="L305" i="16" s="1"/>
  <c r="L306" i="16" s="1"/>
  <c r="M303" i="16"/>
  <c r="M300" i="16"/>
  <c r="O300" i="16" s="1"/>
  <c r="E774" i="7" s="1"/>
  <c r="W774" i="7" s="1"/>
  <c r="O299" i="16"/>
  <c r="E773" i="7" s="1"/>
  <c r="W773" i="7" s="1"/>
  <c r="H298" i="16"/>
  <c r="M298" i="16" s="1"/>
  <c r="O298" i="16" s="1"/>
  <c r="E772" i="7" s="1"/>
  <c r="W772" i="7" s="1"/>
  <c r="E296" i="16"/>
  <c r="L295" i="16"/>
  <c r="L296" i="16" s="1"/>
  <c r="L297" i="16" s="1"/>
  <c r="M294" i="16"/>
  <c r="E286" i="16"/>
  <c r="D286" i="16"/>
  <c r="L284" i="16"/>
  <c r="L286" i="16" s="1"/>
  <c r="L287" i="16" s="1"/>
  <c r="M283" i="16"/>
  <c r="L276" i="16"/>
  <c r="L277" i="16" s="1"/>
  <c r="E276" i="16"/>
  <c r="D276" i="16"/>
  <c r="L274" i="16"/>
  <c r="M273" i="16"/>
  <c r="A264" i="16"/>
  <c r="A270" i="16" s="1"/>
  <c r="A342" i="16" s="1"/>
  <c r="A346" i="16" s="1"/>
  <c r="E249" i="16"/>
  <c r="C242" i="16"/>
  <c r="E241" i="16"/>
  <c r="E242" i="16" s="1"/>
  <c r="D241" i="16"/>
  <c r="C241" i="16"/>
  <c r="C240" i="16"/>
  <c r="M240" i="16" s="1"/>
  <c r="L237" i="16"/>
  <c r="C237" i="16"/>
  <c r="L235" i="16"/>
  <c r="C235" i="16"/>
  <c r="C234" i="16"/>
  <c r="L233" i="16"/>
  <c r="K233" i="16"/>
  <c r="K234" i="16" s="1"/>
  <c r="K235" i="16" s="1"/>
  <c r="K236" i="16" s="1"/>
  <c r="K237" i="16" s="1"/>
  <c r="H233" i="16"/>
  <c r="C233" i="16"/>
  <c r="L229" i="16"/>
  <c r="E229" i="16"/>
  <c r="B229" i="16"/>
  <c r="B236" i="16" s="1"/>
  <c r="L228" i="16"/>
  <c r="C228" i="16"/>
  <c r="B228" i="16"/>
  <c r="B234" i="16" s="1"/>
  <c r="L227" i="16"/>
  <c r="B227" i="16"/>
  <c r="B232" i="16" s="1"/>
  <c r="E225" i="16"/>
  <c r="C225" i="16"/>
  <c r="C224" i="16"/>
  <c r="M224" i="16" s="1"/>
  <c r="C223" i="16"/>
  <c r="M223" i="16" s="1"/>
  <c r="D221" i="16"/>
  <c r="M220" i="16"/>
  <c r="M219" i="16"/>
  <c r="D213" i="16"/>
  <c r="D210" i="16"/>
  <c r="D214" i="16" s="1"/>
  <c r="E205" i="16"/>
  <c r="B205" i="16"/>
  <c r="B210" i="16" s="1"/>
  <c r="B214" i="16" s="1"/>
  <c r="L204" i="16"/>
  <c r="L205" i="16" s="1"/>
  <c r="L209" i="16" s="1"/>
  <c r="C204" i="16"/>
  <c r="B204" i="16"/>
  <c r="B209" i="16" s="1"/>
  <c r="B213" i="16" s="1"/>
  <c r="L201" i="16"/>
  <c r="E201" i="16"/>
  <c r="C201" i="16"/>
  <c r="M200" i="16"/>
  <c r="M197" i="16"/>
  <c r="D193" i="16"/>
  <c r="C193" i="16"/>
  <c r="B193" i="16"/>
  <c r="D192" i="16"/>
  <c r="C192" i="16"/>
  <c r="E191" i="16"/>
  <c r="D191" i="16"/>
  <c r="C191" i="16"/>
  <c r="B191" i="16"/>
  <c r="D190" i="16"/>
  <c r="C190" i="16"/>
  <c r="B190" i="16"/>
  <c r="E187" i="16"/>
  <c r="M186" i="16"/>
  <c r="M185" i="16"/>
  <c r="M182" i="16"/>
  <c r="E181" i="16"/>
  <c r="M181" i="16" s="1"/>
  <c r="M180" i="16"/>
  <c r="M179" i="16"/>
  <c r="E175" i="16"/>
  <c r="D175" i="16"/>
  <c r="L171" i="16"/>
  <c r="L175" i="16" s="1"/>
  <c r="K171" i="16"/>
  <c r="H171" i="16"/>
  <c r="F171" i="16"/>
  <c r="C171" i="16"/>
  <c r="B171" i="16"/>
  <c r="B175" i="16" s="1"/>
  <c r="L170" i="16"/>
  <c r="L174" i="16" s="1"/>
  <c r="H170" i="16"/>
  <c r="B170" i="16"/>
  <c r="B174" i="16" s="1"/>
  <c r="K167" i="16"/>
  <c r="M166" i="16"/>
  <c r="M163" i="16"/>
  <c r="E159" i="16"/>
  <c r="D159" i="16"/>
  <c r="C158" i="16"/>
  <c r="L156" i="16"/>
  <c r="L159" i="16" s="1"/>
  <c r="L155" i="16"/>
  <c r="L158" i="16" s="1"/>
  <c r="K155" i="16"/>
  <c r="K156" i="16" s="1"/>
  <c r="H155" i="16"/>
  <c r="F155" i="16"/>
  <c r="F156" i="16" s="1"/>
  <c r="C155" i="16"/>
  <c r="H153" i="16"/>
  <c r="C153" i="16"/>
  <c r="K152" i="16"/>
  <c r="K153" i="16" s="1"/>
  <c r="H150" i="16"/>
  <c r="D150" i="16"/>
  <c r="C150" i="16"/>
  <c r="H149" i="16"/>
  <c r="E149" i="16"/>
  <c r="M148" i="16"/>
  <c r="M147" i="16"/>
  <c r="C144" i="16"/>
  <c r="C142" i="16"/>
  <c r="D132" i="16"/>
  <c r="D135" i="16" s="1"/>
  <c r="C137" i="16" s="1"/>
  <c r="M137" i="16" s="1"/>
  <c r="C132" i="16"/>
  <c r="M130" i="16"/>
  <c r="M129" i="16" s="1"/>
  <c r="O129" i="16" s="1"/>
  <c r="K127" i="16"/>
  <c r="H127" i="16"/>
  <c r="M126" i="16"/>
  <c r="M124" i="16"/>
  <c r="O124" i="16" s="1"/>
  <c r="M120" i="16"/>
  <c r="O120" i="16" s="1"/>
  <c r="K119" i="16"/>
  <c r="M118" i="16"/>
  <c r="O115" i="16"/>
  <c r="O113" i="16"/>
  <c r="M112" i="16"/>
  <c r="O112" i="16" s="1"/>
  <c r="M111" i="16"/>
  <c r="O111" i="16" s="1"/>
  <c r="O108" i="16"/>
  <c r="L103" i="16"/>
  <c r="L106" i="16" s="1"/>
  <c r="K103" i="16"/>
  <c r="F103" i="16"/>
  <c r="C103" i="16"/>
  <c r="B103" i="16"/>
  <c r="B106" i="16" s="1"/>
  <c r="B149" i="16" s="1"/>
  <c r="B153" i="16" s="1"/>
  <c r="B156" i="16" s="1"/>
  <c r="B159" i="16" s="1"/>
  <c r="L102" i="16"/>
  <c r="L105" i="16" s="1"/>
  <c r="B102" i="16"/>
  <c r="B105" i="16" s="1"/>
  <c r="B147" i="16" s="1"/>
  <c r="B152" i="16" s="1"/>
  <c r="B155" i="16" s="1"/>
  <c r="B158" i="16" s="1"/>
  <c r="K100" i="16"/>
  <c r="L90" i="16"/>
  <c r="L91" i="16" s="1"/>
  <c r="J89" i="16"/>
  <c r="E88" i="16"/>
  <c r="D88" i="16"/>
  <c r="D86" i="16"/>
  <c r="D91" i="16" s="1"/>
  <c r="C86" i="16"/>
  <c r="K85" i="16"/>
  <c r="K90" i="16" s="1"/>
  <c r="I85" i="16"/>
  <c r="I90" i="16" s="1"/>
  <c r="C85" i="16"/>
  <c r="K84" i="16"/>
  <c r="K89" i="16" s="1"/>
  <c r="E84" i="16"/>
  <c r="L83" i="16"/>
  <c r="L141" i="16" s="1"/>
  <c r="L142" i="16" s="1"/>
  <c r="L143" i="16" s="1"/>
  <c r="L144" i="16" s="1"/>
  <c r="H80" i="16"/>
  <c r="L79" i="16"/>
  <c r="M78" i="16"/>
  <c r="O78" i="16" s="1"/>
  <c r="E708" i="7" s="1"/>
  <c r="W708" i="7" s="1"/>
  <c r="E75" i="16"/>
  <c r="E76" i="16" s="1"/>
  <c r="D75" i="16"/>
  <c r="D76" i="16" s="1"/>
  <c r="K69" i="16"/>
  <c r="K70" i="16" s="1"/>
  <c r="K71" i="16" s="1"/>
  <c r="F69" i="16"/>
  <c r="F70" i="16" s="1"/>
  <c r="F71" i="16" s="1"/>
  <c r="C69" i="16"/>
  <c r="H65" i="16"/>
  <c r="H66" i="16" s="1"/>
  <c r="K64" i="16"/>
  <c r="K65" i="16" s="1"/>
  <c r="K66" i="16" s="1"/>
  <c r="G60" i="16"/>
  <c r="G61" i="16" s="1"/>
  <c r="E60" i="16"/>
  <c r="E61" i="16" s="1"/>
  <c r="L48" i="16"/>
  <c r="C48" i="16"/>
  <c r="L47" i="16"/>
  <c r="B47" i="16"/>
  <c r="B60" i="16" s="1"/>
  <c r="L46" i="16"/>
  <c r="D46" i="16"/>
  <c r="D47" i="16" s="1"/>
  <c r="D48" i="16" s="1"/>
  <c r="C46" i="16"/>
  <c r="L45" i="16"/>
  <c r="E45" i="16"/>
  <c r="E46" i="16" s="1"/>
  <c r="E47" i="16" s="1"/>
  <c r="E48" i="16" s="1"/>
  <c r="C45" i="16"/>
  <c r="B45" i="16"/>
  <c r="B58" i="16" s="1"/>
  <c r="E43" i="16"/>
  <c r="D43" i="16"/>
  <c r="M42" i="16"/>
  <c r="M41" i="16"/>
  <c r="E38" i="16"/>
  <c r="E39" i="16" s="1"/>
  <c r="D37" i="16"/>
  <c r="M36" i="16"/>
  <c r="M32" i="16"/>
  <c r="M30" i="16"/>
  <c r="M29" i="16"/>
  <c r="E26" i="16"/>
  <c r="E27" i="16" s="1"/>
  <c r="D26" i="16"/>
  <c r="C26" i="16"/>
  <c r="E25" i="16"/>
  <c r="M24" i="16"/>
  <c r="A22" i="16"/>
  <c r="A49" i="16" s="1"/>
  <c r="A56" i="16" s="1"/>
  <c r="A77" i="16" s="1"/>
  <c r="A82" i="16" s="1"/>
  <c r="A87" i="16" s="1"/>
  <c r="A92" i="16" s="1"/>
  <c r="C20" i="16"/>
  <c r="E18" i="16"/>
  <c r="E20" i="16" s="1"/>
  <c r="L17" i="16"/>
  <c r="L18" i="16" s="1"/>
  <c r="L19" i="16" s="1"/>
  <c r="L20" i="16" s="1"/>
  <c r="L21" i="16" s="1"/>
  <c r="M21" i="16" s="1"/>
  <c r="O21" i="16" s="1"/>
  <c r="E695" i="7" s="1"/>
  <c r="W695" i="7" s="1"/>
  <c r="C16" i="16"/>
  <c r="D15" i="16"/>
  <c r="M13" i="16"/>
  <c r="O13" i="16" s="1"/>
  <c r="E687" i="7" s="1"/>
  <c r="W687" i="7" s="1"/>
  <c r="L298" i="15"/>
  <c r="A298" i="15"/>
  <c r="A299" i="15" s="1"/>
  <c r="A300" i="15" s="1"/>
  <c r="A301" i="15" s="1"/>
  <c r="A302" i="15" s="1"/>
  <c r="A303" i="15" s="1"/>
  <c r="M297" i="15"/>
  <c r="E674" i="7" s="1"/>
  <c r="W674" i="7" s="1"/>
  <c r="M289" i="15"/>
  <c r="C284" i="15"/>
  <c r="C285" i="15" s="1"/>
  <c r="M285" i="15" s="1"/>
  <c r="E661" i="7" s="1"/>
  <c r="W661" i="7" s="1"/>
  <c r="M282" i="15"/>
  <c r="M281" i="15" s="1"/>
  <c r="M280" i="15"/>
  <c r="E659" i="7" s="1"/>
  <c r="W659" i="7" s="1"/>
  <c r="D275" i="15"/>
  <c r="C275" i="15"/>
  <c r="M273" i="15"/>
  <c r="M272" i="15"/>
  <c r="M269" i="15"/>
  <c r="M268" i="15"/>
  <c r="C262" i="15"/>
  <c r="J256" i="15"/>
  <c r="M255" i="15"/>
  <c r="M254" i="15"/>
  <c r="A249" i="15"/>
  <c r="A253" i="15" s="1"/>
  <c r="A259" i="15" s="1"/>
  <c r="A264" i="15" s="1"/>
  <c r="A265" i="15" s="1"/>
  <c r="A266" i="15" s="1"/>
  <c r="A270" i="15" s="1"/>
  <c r="A271" i="15" s="1"/>
  <c r="A276" i="15" s="1"/>
  <c r="A277" i="15" s="1"/>
  <c r="A278" i="15" s="1"/>
  <c r="A287" i="15" s="1"/>
  <c r="A291" i="15" s="1"/>
  <c r="A292" i="15" s="1"/>
  <c r="A293" i="15" s="1"/>
  <c r="J240" i="15"/>
  <c r="M239" i="15"/>
  <c r="D229" i="15"/>
  <c r="D233" i="15" s="1"/>
  <c r="D228" i="15"/>
  <c r="D232" i="15" s="1"/>
  <c r="C228" i="15"/>
  <c r="C225" i="15"/>
  <c r="M224" i="15"/>
  <c r="M221" i="15"/>
  <c r="E217" i="15"/>
  <c r="D217" i="15"/>
  <c r="B217" i="15"/>
  <c r="B221" i="15" s="1"/>
  <c r="B225" i="15" s="1"/>
  <c r="B229" i="15" s="1"/>
  <c r="B233" i="15" s="1"/>
  <c r="D216" i="15"/>
  <c r="C216" i="15"/>
  <c r="B216" i="15"/>
  <c r="B220" i="15" s="1"/>
  <c r="B224" i="15" s="1"/>
  <c r="B228" i="15" s="1"/>
  <c r="B232" i="15" s="1"/>
  <c r="C213" i="15"/>
  <c r="M212" i="15"/>
  <c r="M208" i="15"/>
  <c r="E204" i="15"/>
  <c r="D204" i="15"/>
  <c r="C204" i="15"/>
  <c r="K202" i="15"/>
  <c r="I202" i="15"/>
  <c r="M201" i="15"/>
  <c r="M198" i="15"/>
  <c r="M197" i="15"/>
  <c r="D192" i="15"/>
  <c r="C192" i="15"/>
  <c r="F189" i="15"/>
  <c r="E179" i="15"/>
  <c r="D179" i="15"/>
  <c r="L174" i="15"/>
  <c r="L178" i="15" s="1"/>
  <c r="L171" i="15"/>
  <c r="L175" i="15" s="1"/>
  <c r="L179" i="15" s="1"/>
  <c r="L183" i="15" s="1"/>
  <c r="K171" i="15"/>
  <c r="C171" i="15"/>
  <c r="C170" i="15"/>
  <c r="L167" i="15"/>
  <c r="M166" i="15"/>
  <c r="C165" i="15"/>
  <c r="M165" i="15" s="1"/>
  <c r="M164" i="15"/>
  <c r="E159" i="15"/>
  <c r="D159" i="15"/>
  <c r="C159" i="15"/>
  <c r="C158" i="15"/>
  <c r="C157" i="15"/>
  <c r="L154" i="15"/>
  <c r="L159" i="15" s="1"/>
  <c r="K154" i="15"/>
  <c r="L153" i="15"/>
  <c r="L158" i="15" s="1"/>
  <c r="K153" i="15"/>
  <c r="I153" i="15"/>
  <c r="I154" i="15" s="1"/>
  <c r="K174" i="15" s="1"/>
  <c r="F153" i="15"/>
  <c r="F154" i="15" s="1"/>
  <c r="C153" i="15"/>
  <c r="B153" i="15"/>
  <c r="B158" i="15" s="1"/>
  <c r="L152" i="15"/>
  <c r="L157" i="15" s="1"/>
  <c r="K152" i="15"/>
  <c r="B152" i="15"/>
  <c r="B157" i="15" s="1"/>
  <c r="K149" i="15"/>
  <c r="I148" i="15"/>
  <c r="I149" i="15" s="1"/>
  <c r="M147" i="15"/>
  <c r="J144" i="15"/>
  <c r="E144" i="15"/>
  <c r="M143" i="15"/>
  <c r="C139" i="15"/>
  <c r="L137" i="15"/>
  <c r="L138" i="15" s="1"/>
  <c r="L139" i="15" s="1"/>
  <c r="C137" i="15"/>
  <c r="M136" i="15"/>
  <c r="E624" i="7" s="1"/>
  <c r="W624" i="7" s="1"/>
  <c r="C133" i="15"/>
  <c r="C132" i="15"/>
  <c r="L129" i="15"/>
  <c r="L133" i="15" s="1"/>
  <c r="K129" i="15"/>
  <c r="I129" i="15"/>
  <c r="F129" i="15"/>
  <c r="C129" i="15"/>
  <c r="B129" i="15"/>
  <c r="B133" i="15" s="1"/>
  <c r="L128" i="15"/>
  <c r="L132" i="15" s="1"/>
  <c r="K128" i="15"/>
  <c r="B128" i="15"/>
  <c r="B132" i="15" s="1"/>
  <c r="I125" i="15"/>
  <c r="M124" i="15"/>
  <c r="M121" i="15"/>
  <c r="M120" i="15"/>
  <c r="M119" i="15"/>
  <c r="D115" i="15"/>
  <c r="C115" i="15"/>
  <c r="L114" i="15"/>
  <c r="L115" i="15" s="1"/>
  <c r="F114" i="15"/>
  <c r="E113" i="15"/>
  <c r="M112" i="15"/>
  <c r="E614" i="7" s="1"/>
  <c r="W614" i="7" s="1"/>
  <c r="E110" i="15"/>
  <c r="L109" i="15"/>
  <c r="L110" i="15" s="1"/>
  <c r="K109" i="15"/>
  <c r="I109" i="15"/>
  <c r="I114" i="15" s="1"/>
  <c r="C109" i="15"/>
  <c r="I108" i="15"/>
  <c r="I113" i="15" s="1"/>
  <c r="M107" i="15"/>
  <c r="E609" i="7" s="1"/>
  <c r="W609" i="7" s="1"/>
  <c r="E105" i="15"/>
  <c r="M105" i="15" s="1"/>
  <c r="E607" i="7" s="1"/>
  <c r="W607" i="7" s="1"/>
  <c r="K104" i="15"/>
  <c r="L103" i="15"/>
  <c r="L104" i="15" s="1"/>
  <c r="L105" i="15" s="1"/>
  <c r="M102" i="15"/>
  <c r="E604" i="7" s="1"/>
  <c r="W604" i="7" s="1"/>
  <c r="L95" i="15"/>
  <c r="L99" i="15" s="1"/>
  <c r="I95" i="15"/>
  <c r="F95" i="15"/>
  <c r="C95" i="15"/>
  <c r="B95" i="15"/>
  <c r="B99" i="15" s="1"/>
  <c r="L94" i="15"/>
  <c r="L98" i="15" s="1"/>
  <c r="B94" i="15"/>
  <c r="B98" i="15" s="1"/>
  <c r="I91" i="15"/>
  <c r="J82" i="15"/>
  <c r="D82" i="15"/>
  <c r="C82" i="15"/>
  <c r="M81" i="15"/>
  <c r="M76" i="15"/>
  <c r="M75" i="15"/>
  <c r="M70" i="15"/>
  <c r="M66" i="15"/>
  <c r="M62" i="15"/>
  <c r="B62" i="15"/>
  <c r="B66" i="15" s="1"/>
  <c r="B70" i="15" s="1"/>
  <c r="B82" i="15" s="1"/>
  <c r="B61" i="15"/>
  <c r="B65" i="15" s="1"/>
  <c r="B69" i="15" s="1"/>
  <c r="B81" i="15" s="1"/>
  <c r="E58" i="15"/>
  <c r="C57" i="15"/>
  <c r="M57" i="15" s="1"/>
  <c r="C54" i="15"/>
  <c r="M53" i="15"/>
  <c r="L43" i="15"/>
  <c r="L47" i="15" s="1"/>
  <c r="L42" i="15"/>
  <c r="L46" i="15" s="1"/>
  <c r="E42" i="15"/>
  <c r="E43" i="15" s="1"/>
  <c r="D42" i="15"/>
  <c r="D43" i="15" s="1"/>
  <c r="C42" i="15"/>
  <c r="D39" i="15"/>
  <c r="C39" i="15"/>
  <c r="B39" i="15"/>
  <c r="B43" i="15" s="1"/>
  <c r="M38" i="15"/>
  <c r="B38" i="15"/>
  <c r="B42" i="15" s="1"/>
  <c r="D35" i="15"/>
  <c r="C35" i="15"/>
  <c r="M34" i="15"/>
  <c r="C31" i="15"/>
  <c r="M31" i="15" s="1"/>
  <c r="M30" i="15"/>
  <c r="E27" i="15"/>
  <c r="M26" i="15"/>
  <c r="A24" i="15"/>
  <c r="A45" i="15" s="1"/>
  <c r="A51" i="15" s="1"/>
  <c r="A84" i="15" s="1"/>
  <c r="A101" i="15" s="1"/>
  <c r="A106" i="15" s="1"/>
  <c r="A111" i="15" s="1"/>
  <c r="A116" i="15" s="1"/>
  <c r="A135" i="15" s="1"/>
  <c r="A140" i="15" s="1"/>
  <c r="C22" i="15"/>
  <c r="E20" i="15"/>
  <c r="E22" i="15" s="1"/>
  <c r="C20" i="15"/>
  <c r="L19" i="15"/>
  <c r="L20" i="15" s="1"/>
  <c r="L21" i="15" s="1"/>
  <c r="L22" i="15" s="1"/>
  <c r="L23" i="15" s="1"/>
  <c r="M23" i="15" s="1"/>
  <c r="E583" i="7" s="1"/>
  <c r="W583" i="7" s="1"/>
  <c r="M18" i="15"/>
  <c r="E578" i="7" s="1"/>
  <c r="W578" i="7" s="1"/>
  <c r="D17" i="15"/>
  <c r="D22" i="15" s="1"/>
  <c r="M14" i="15"/>
  <c r="M13" i="15"/>
  <c r="P276" i="14"/>
  <c r="N275" i="14"/>
  <c r="P275" i="14" s="1"/>
  <c r="N274" i="14"/>
  <c r="P274" i="14" s="1"/>
  <c r="P273" i="14"/>
  <c r="A273" i="14"/>
  <c r="A274" i="14" s="1"/>
  <c r="A275" i="14" s="1"/>
  <c r="A276" i="14" s="1"/>
  <c r="P272" i="14"/>
  <c r="P271" i="14"/>
  <c r="E408" i="7" s="1"/>
  <c r="W408" i="7" s="1"/>
  <c r="N266" i="14"/>
  <c r="N265" i="14"/>
  <c r="N261" i="14"/>
  <c r="N252" i="14"/>
  <c r="N251" i="14"/>
  <c r="N247" i="14"/>
  <c r="N246" i="14"/>
  <c r="C244" i="14"/>
  <c r="N244" i="14" s="1"/>
  <c r="E396" i="7" s="1"/>
  <c r="W396" i="7" s="1"/>
  <c r="N243" i="14"/>
  <c r="E395" i="7" s="1"/>
  <c r="W395" i="7" s="1"/>
  <c r="N241" i="14"/>
  <c r="N240" i="14" s="1"/>
  <c r="N239" i="14"/>
  <c r="E394" i="7" s="1"/>
  <c r="P236" i="14"/>
  <c r="N234" i="14"/>
  <c r="B216" i="14"/>
  <c r="B220" i="14" s="1"/>
  <c r="C215" i="14"/>
  <c r="B215" i="14"/>
  <c r="B219" i="14" s="1"/>
  <c r="N212" i="14"/>
  <c r="B212" i="14"/>
  <c r="C211" i="14"/>
  <c r="N211" i="14" s="1"/>
  <c r="B211" i="14"/>
  <c r="E208" i="14"/>
  <c r="C208" i="14"/>
  <c r="N207" i="14"/>
  <c r="N204" i="14"/>
  <c r="N199" i="14"/>
  <c r="E194" i="14"/>
  <c r="H193" i="14"/>
  <c r="H194" i="14" s="1"/>
  <c r="N192" i="14"/>
  <c r="A184" i="14"/>
  <c r="A185" i="14" s="1"/>
  <c r="A196" i="14" s="1"/>
  <c r="A201" i="14" s="1"/>
  <c r="N181" i="14"/>
  <c r="N178" i="14"/>
  <c r="N177" i="14"/>
  <c r="P172" i="14"/>
  <c r="D171" i="14"/>
  <c r="N170" i="14"/>
  <c r="P170" i="14" s="1"/>
  <c r="E167" i="14"/>
  <c r="C167" i="14"/>
  <c r="L165" i="14"/>
  <c r="F165" i="14"/>
  <c r="C164" i="14"/>
  <c r="C161" i="14"/>
  <c r="N161" i="14" s="1"/>
  <c r="N160" i="14"/>
  <c r="N159" i="14"/>
  <c r="C156" i="14"/>
  <c r="M155" i="14"/>
  <c r="M156" i="14" s="1"/>
  <c r="F155" i="14"/>
  <c r="N154" i="14"/>
  <c r="P154" i="14" s="1"/>
  <c r="E374" i="7" s="1"/>
  <c r="W374" i="7" s="1"/>
  <c r="P153" i="14"/>
  <c r="E373" i="7" s="1"/>
  <c r="W373" i="7" s="1"/>
  <c r="D149" i="14"/>
  <c r="C149" i="14"/>
  <c r="L146" i="14"/>
  <c r="F146" i="14"/>
  <c r="E136" i="14"/>
  <c r="D136" i="14"/>
  <c r="L132" i="14"/>
  <c r="M131" i="14"/>
  <c r="M135" i="14" s="1"/>
  <c r="M128" i="14"/>
  <c r="M132" i="14" s="1"/>
  <c r="M136" i="14" s="1"/>
  <c r="M140" i="14" s="1"/>
  <c r="L128" i="14"/>
  <c r="C128" i="14"/>
  <c r="C127" i="14"/>
  <c r="M124" i="14"/>
  <c r="N123" i="14"/>
  <c r="C122" i="14"/>
  <c r="N122" i="14" s="1"/>
  <c r="N121" i="14"/>
  <c r="E117" i="14"/>
  <c r="D117" i="14"/>
  <c r="C117" i="14"/>
  <c r="M114" i="14"/>
  <c r="M117" i="14" s="1"/>
  <c r="F114" i="14"/>
  <c r="C114" i="14"/>
  <c r="B114" i="14"/>
  <c r="B117" i="14" s="1"/>
  <c r="N111" i="14"/>
  <c r="N112" i="14" s="1"/>
  <c r="P112" i="14" s="1"/>
  <c r="E369" i="7" s="1"/>
  <c r="N108" i="14"/>
  <c r="N107" i="14"/>
  <c r="C104" i="14"/>
  <c r="C103" i="14"/>
  <c r="M102" i="14"/>
  <c r="M103" i="14" s="1"/>
  <c r="M104" i="14" s="1"/>
  <c r="C102" i="14"/>
  <c r="N101" i="14"/>
  <c r="P101" i="14" s="1"/>
  <c r="E363" i="7" s="1"/>
  <c r="W363" i="7" s="1"/>
  <c r="E98" i="14"/>
  <c r="D98" i="14"/>
  <c r="L94" i="14"/>
  <c r="I94" i="14"/>
  <c r="C94" i="14"/>
  <c r="B94" i="14"/>
  <c r="B98" i="14" s="1"/>
  <c r="M93" i="14"/>
  <c r="M97" i="14" s="1"/>
  <c r="B93" i="14"/>
  <c r="B97" i="14" s="1"/>
  <c r="M90" i="14"/>
  <c r="M94" i="14" s="1"/>
  <c r="M98" i="14" s="1"/>
  <c r="L90" i="14"/>
  <c r="M86" i="14"/>
  <c r="M80" i="14"/>
  <c r="E80" i="14"/>
  <c r="N80" i="14" s="1"/>
  <c r="P80" i="14" s="1"/>
  <c r="E356" i="7" s="1"/>
  <c r="W356" i="7" s="1"/>
  <c r="M79" i="14"/>
  <c r="F79" i="14"/>
  <c r="C79" i="14"/>
  <c r="N78" i="14"/>
  <c r="P78" i="14" s="1"/>
  <c r="E354" i="7" s="1"/>
  <c r="P77" i="14"/>
  <c r="E353" i="7" s="1"/>
  <c r="W353" i="7" s="1"/>
  <c r="E75" i="14"/>
  <c r="M73" i="14"/>
  <c r="E73" i="14"/>
  <c r="N72" i="14"/>
  <c r="P72" i="14" s="1"/>
  <c r="E348" i="7" s="1"/>
  <c r="W348" i="7" s="1"/>
  <c r="L60" i="14"/>
  <c r="I60" i="14"/>
  <c r="C60" i="14"/>
  <c r="L56" i="14"/>
  <c r="C51" i="14"/>
  <c r="M42" i="14"/>
  <c r="M52" i="14" s="1"/>
  <c r="D42" i="14"/>
  <c r="C42" i="14"/>
  <c r="B42" i="14"/>
  <c r="B52" i="14" s="1"/>
  <c r="B56" i="14" s="1"/>
  <c r="B60" i="14" s="1"/>
  <c r="B64" i="14" s="1"/>
  <c r="M41" i="14"/>
  <c r="M51" i="14" s="1"/>
  <c r="E41" i="14"/>
  <c r="E42" i="14" s="1"/>
  <c r="B41" i="14"/>
  <c r="B51" i="14" s="1"/>
  <c r="B55" i="14" s="1"/>
  <c r="B59" i="14" s="1"/>
  <c r="B63" i="14" s="1"/>
  <c r="M37" i="14"/>
  <c r="C37" i="14"/>
  <c r="B37" i="14"/>
  <c r="M36" i="14"/>
  <c r="D36" i="14"/>
  <c r="C36" i="14"/>
  <c r="B36" i="14"/>
  <c r="D33" i="14"/>
  <c r="D37" i="14" s="1"/>
  <c r="N32" i="14"/>
  <c r="N28" i="14"/>
  <c r="N27" i="14"/>
  <c r="E24" i="14"/>
  <c r="N23" i="14"/>
  <c r="A21" i="14"/>
  <c r="A44" i="14" s="1"/>
  <c r="A49" i="14" s="1"/>
  <c r="A66" i="14" s="1"/>
  <c r="A71" i="14" s="1"/>
  <c r="A76" i="14" s="1"/>
  <c r="A81" i="14" s="1"/>
  <c r="A100" i="14" s="1"/>
  <c r="A105" i="14" s="1"/>
  <c r="C19" i="14"/>
  <c r="E17" i="14"/>
  <c r="E19" i="14" s="1"/>
  <c r="C17" i="14"/>
  <c r="M16" i="14"/>
  <c r="M17" i="14" s="1"/>
  <c r="M18" i="14" s="1"/>
  <c r="M19" i="14" s="1"/>
  <c r="M20" i="14" s="1"/>
  <c r="N20" i="14" s="1"/>
  <c r="E329" i="7" s="1"/>
  <c r="N15" i="14"/>
  <c r="E324" i="7" s="1"/>
  <c r="D14" i="14"/>
  <c r="D19" i="14" s="1"/>
  <c r="N11" i="14"/>
  <c r="N10" i="14"/>
  <c r="L341" i="13"/>
  <c r="L342" i="13" s="1"/>
  <c r="M340" i="13"/>
  <c r="E562" i="7" s="1"/>
  <c r="M562" i="7" s="1"/>
  <c r="D337" i="13"/>
  <c r="C337" i="13"/>
  <c r="M336" i="13"/>
  <c r="E558" i="7" s="1"/>
  <c r="M335" i="13"/>
  <c r="E557" i="7" s="1"/>
  <c r="E331" i="13"/>
  <c r="H330" i="13"/>
  <c r="D326" i="13"/>
  <c r="L325" i="13"/>
  <c r="L326" i="13" s="1"/>
  <c r="L328" i="13" s="1"/>
  <c r="M324" i="13"/>
  <c r="E546" i="7" s="1"/>
  <c r="W546" i="7" s="1"/>
  <c r="Y546" i="7" s="1"/>
  <c r="M312" i="13"/>
  <c r="E534" i="7" s="1"/>
  <c r="A312" i="13"/>
  <c r="A313" i="13" s="1"/>
  <c r="A314" i="13" s="1"/>
  <c r="A315" i="13" s="1"/>
  <c r="A316" i="13" s="1"/>
  <c r="A317" i="13" s="1"/>
  <c r="A318" i="13" s="1"/>
  <c r="A319" i="13" s="1"/>
  <c r="A333" i="13" s="1"/>
  <c r="A334" i="13" s="1"/>
  <c r="A339" i="13" s="1"/>
  <c r="A340" i="13" s="1"/>
  <c r="A341" i="13" s="1"/>
  <c r="A342" i="13" s="1"/>
  <c r="A343" i="13" s="1"/>
  <c r="A344" i="13" s="1"/>
  <c r="A345" i="13" s="1"/>
  <c r="A346" i="13" s="1"/>
  <c r="D306" i="13"/>
  <c r="M306" i="13" s="1"/>
  <c r="C305" i="13"/>
  <c r="M302" i="13"/>
  <c r="E514" i="7" s="1"/>
  <c r="W514" i="7" s="1"/>
  <c r="Y514" i="7" s="1"/>
  <c r="M301" i="13"/>
  <c r="E513" i="7" s="1"/>
  <c r="M299" i="13"/>
  <c r="M298" i="13" s="1"/>
  <c r="C290" i="13"/>
  <c r="M290" i="13" s="1"/>
  <c r="E523" i="7" s="1"/>
  <c r="W523" i="7" s="1"/>
  <c r="Y523" i="7" s="1"/>
  <c r="M289" i="13"/>
  <c r="E522" i="7" s="1"/>
  <c r="M287" i="13"/>
  <c r="E520" i="7" s="1"/>
  <c r="W520" i="7" s="1"/>
  <c r="Y520" i="7" s="1"/>
  <c r="L285" i="13"/>
  <c r="L288" i="13" s="1"/>
  <c r="M288" i="13" s="1"/>
  <c r="E521" i="7" s="1"/>
  <c r="W521" i="7" s="1"/>
  <c r="Y521" i="7" s="1"/>
  <c r="M284" i="13"/>
  <c r="M279" i="13"/>
  <c r="E509" i="7" s="1"/>
  <c r="W509" i="7" s="1"/>
  <c r="Y509" i="7" s="1"/>
  <c r="D264" i="13"/>
  <c r="B260" i="13"/>
  <c r="B264" i="13" s="1"/>
  <c r="B259" i="13"/>
  <c r="B263" i="13" s="1"/>
  <c r="E256" i="13"/>
  <c r="C256" i="13"/>
  <c r="C255" i="13"/>
  <c r="M252" i="13"/>
  <c r="M251" i="13"/>
  <c r="L246" i="13"/>
  <c r="L248" i="13" s="1"/>
  <c r="L272" i="13" s="1"/>
  <c r="E246" i="13"/>
  <c r="C245" i="13"/>
  <c r="J236" i="13"/>
  <c r="J237" i="13" s="1"/>
  <c r="J238" i="13" s="1"/>
  <c r="J239" i="13" s="1"/>
  <c r="M235" i="13"/>
  <c r="M234" i="13"/>
  <c r="L231" i="13"/>
  <c r="M230" i="13"/>
  <c r="A225" i="13"/>
  <c r="A228" i="13" s="1"/>
  <c r="A233" i="13" s="1"/>
  <c r="A241" i="13" s="1"/>
  <c r="A242" i="13" s="1"/>
  <c r="A243" i="13" s="1"/>
  <c r="A249" i="13" s="1"/>
  <c r="A272" i="13" s="1"/>
  <c r="A274" i="13" s="1"/>
  <c r="A276" i="13" s="1"/>
  <c r="A280" i="13" s="1"/>
  <c r="A281" i="13" s="1"/>
  <c r="A291" i="13" s="1"/>
  <c r="A292" i="13" s="1"/>
  <c r="A293" i="13" s="1"/>
  <c r="A294" i="13" s="1"/>
  <c r="A295" i="13" s="1"/>
  <c r="A304" i="13" s="1"/>
  <c r="A308" i="13" s="1"/>
  <c r="E216" i="13"/>
  <c r="E217" i="13" s="1"/>
  <c r="E218" i="13" s="1"/>
  <c r="E219" i="13" s="1"/>
  <c r="D212" i="13"/>
  <c r="D275" i="13" s="1"/>
  <c r="C212" i="13"/>
  <c r="B212" i="13"/>
  <c r="D211" i="13"/>
  <c r="D273" i="13" s="1"/>
  <c r="C211" i="13"/>
  <c r="E210" i="13"/>
  <c r="D210" i="13"/>
  <c r="D272" i="13" s="1"/>
  <c r="C210" i="13"/>
  <c r="B210" i="13"/>
  <c r="D209" i="13"/>
  <c r="D274" i="13" s="1"/>
  <c r="C209" i="13"/>
  <c r="B209" i="13"/>
  <c r="E207" i="13"/>
  <c r="E212" i="13" s="1"/>
  <c r="E206" i="13"/>
  <c r="E211" i="13" s="1"/>
  <c r="M205" i="13"/>
  <c r="M204" i="13"/>
  <c r="E201" i="13"/>
  <c r="M201" i="13" s="1"/>
  <c r="E200" i="13"/>
  <c r="M200" i="13" s="1"/>
  <c r="M199" i="13"/>
  <c r="M198" i="13"/>
  <c r="C196" i="13"/>
  <c r="M196" i="13" s="1"/>
  <c r="E483" i="7" s="1"/>
  <c r="M195" i="13"/>
  <c r="E482" i="7" s="1"/>
  <c r="M192" i="13"/>
  <c r="M193" i="13" s="1"/>
  <c r="D191" i="13"/>
  <c r="C191" i="13"/>
  <c r="K189" i="13"/>
  <c r="M188" i="13"/>
  <c r="M185" i="13"/>
  <c r="M184" i="13"/>
  <c r="D179" i="13"/>
  <c r="C179" i="13"/>
  <c r="K176" i="13"/>
  <c r="E165" i="13"/>
  <c r="D165" i="13"/>
  <c r="K161" i="13"/>
  <c r="C161" i="13"/>
  <c r="L160" i="13"/>
  <c r="L164" i="13" s="1"/>
  <c r="L157" i="13"/>
  <c r="L161" i="13" s="1"/>
  <c r="L165" i="13" s="1"/>
  <c r="L169" i="13" s="1"/>
  <c r="K157" i="13"/>
  <c r="C157" i="13"/>
  <c r="C156" i="13"/>
  <c r="L152" i="13"/>
  <c r="C151" i="13"/>
  <c r="M151" i="13" s="1"/>
  <c r="M150" i="13"/>
  <c r="C146" i="13"/>
  <c r="K145" i="13"/>
  <c r="L144" i="13"/>
  <c r="L145" i="13" s="1"/>
  <c r="L146" i="13" s="1"/>
  <c r="M142" i="13"/>
  <c r="E138" i="13"/>
  <c r="L137" i="13"/>
  <c r="L138" i="13" s="1"/>
  <c r="K137" i="13"/>
  <c r="E133" i="13"/>
  <c r="D133" i="13"/>
  <c r="I132" i="13"/>
  <c r="I137" i="13" s="1"/>
  <c r="I145" i="13" s="1"/>
  <c r="F132" i="13"/>
  <c r="C132" i="13"/>
  <c r="L131" i="13"/>
  <c r="L132" i="13" s="1"/>
  <c r="L133" i="13" s="1"/>
  <c r="I131" i="13"/>
  <c r="I136" i="13" s="1"/>
  <c r="I144" i="13" s="1"/>
  <c r="J128" i="13"/>
  <c r="C125" i="13"/>
  <c r="L123" i="13"/>
  <c r="L124" i="13" s="1"/>
  <c r="L125" i="13" s="1"/>
  <c r="C123" i="13"/>
  <c r="M122" i="13"/>
  <c r="E119" i="13"/>
  <c r="D119" i="13"/>
  <c r="C119" i="13"/>
  <c r="L115" i="13"/>
  <c r="L119" i="13" s="1"/>
  <c r="K115" i="13"/>
  <c r="I115" i="13"/>
  <c r="C115" i="13"/>
  <c r="B115" i="13"/>
  <c r="B119" i="13" s="1"/>
  <c r="L114" i="13"/>
  <c r="L118" i="13" s="1"/>
  <c r="B114" i="13"/>
  <c r="B118" i="13" s="1"/>
  <c r="I111" i="13"/>
  <c r="M107" i="13"/>
  <c r="M106" i="13"/>
  <c r="L101" i="13"/>
  <c r="L100" i="13"/>
  <c r="I99" i="13"/>
  <c r="E98" i="13"/>
  <c r="K95" i="13"/>
  <c r="H95" i="13"/>
  <c r="C95" i="13"/>
  <c r="K94" i="13"/>
  <c r="E94" i="13"/>
  <c r="L93" i="13"/>
  <c r="L94" i="13" s="1"/>
  <c r="F90" i="13"/>
  <c r="L89" i="13"/>
  <c r="M88" i="13"/>
  <c r="E441" i="7" s="1"/>
  <c r="E84" i="13"/>
  <c r="E85" i="13" s="1"/>
  <c r="D84" i="13"/>
  <c r="D85" i="13" s="1"/>
  <c r="I77" i="13"/>
  <c r="I78" i="13" s="1"/>
  <c r="I79" i="13" s="1"/>
  <c r="F77" i="13"/>
  <c r="F78" i="13" s="1"/>
  <c r="F79" i="13" s="1"/>
  <c r="C77" i="13"/>
  <c r="K72" i="13"/>
  <c r="K73" i="13" s="1"/>
  <c r="I71" i="13"/>
  <c r="I72" i="13" s="1"/>
  <c r="I73" i="13" s="1"/>
  <c r="J66" i="13"/>
  <c r="J67" i="13" s="1"/>
  <c r="E66" i="13"/>
  <c r="E67" i="13" s="1"/>
  <c r="C52" i="13"/>
  <c r="C51" i="13"/>
  <c r="L50" i="13"/>
  <c r="C50" i="13"/>
  <c r="L49" i="13"/>
  <c r="D49" i="13"/>
  <c r="C49" i="13"/>
  <c r="C46" i="13"/>
  <c r="L45" i="13"/>
  <c r="D45" i="13"/>
  <c r="C45" i="13"/>
  <c r="L42" i="13"/>
  <c r="L52" i="13" s="1"/>
  <c r="L41" i="13"/>
  <c r="L51" i="13" s="1"/>
  <c r="D40" i="13"/>
  <c r="D50" i="13" s="1"/>
  <c r="E39" i="13"/>
  <c r="E40" i="13" s="1"/>
  <c r="E41" i="13" s="1"/>
  <c r="E42" i="13" s="1"/>
  <c r="L35" i="13"/>
  <c r="L34" i="13"/>
  <c r="L46" i="13" s="1"/>
  <c r="M33" i="13"/>
  <c r="M32" i="13"/>
  <c r="D28" i="13"/>
  <c r="E27" i="13"/>
  <c r="M26" i="13"/>
  <c r="A24" i="13"/>
  <c r="A54" i="13" s="1"/>
  <c r="A62" i="13" s="1"/>
  <c r="A87" i="13" s="1"/>
  <c r="A92" i="13" s="1"/>
  <c r="A97" i="13" s="1"/>
  <c r="A102" i="13" s="1"/>
  <c r="C22" i="13"/>
  <c r="E20" i="13"/>
  <c r="E22" i="13" s="1"/>
  <c r="L19" i="13"/>
  <c r="L20" i="13" s="1"/>
  <c r="L21" i="13" s="1"/>
  <c r="L22" i="13" s="1"/>
  <c r="L23" i="13" s="1"/>
  <c r="M23" i="13" s="1"/>
  <c r="E428" i="7" s="1"/>
  <c r="W428" i="7" s="1"/>
  <c r="Y428" i="7" s="1"/>
  <c r="C18" i="13"/>
  <c r="D17" i="13"/>
  <c r="M14" i="13"/>
  <c r="M13" i="13"/>
  <c r="D30" i="12"/>
  <c r="C30" i="12"/>
  <c r="D29" i="12"/>
  <c r="C29" i="12"/>
  <c r="D26" i="12"/>
  <c r="C26" i="12"/>
  <c r="D25" i="12"/>
  <c r="C25" i="12"/>
  <c r="N18" i="12"/>
  <c r="N22" i="12" s="1"/>
  <c r="N17" i="12"/>
  <c r="A16" i="12"/>
  <c r="A20" i="12" s="1"/>
  <c r="A24" i="12" s="1"/>
  <c r="A28" i="12" s="1"/>
  <c r="A32" i="12" s="1"/>
  <c r="N14" i="12"/>
  <c r="N13" i="12"/>
  <c r="N11" i="12"/>
  <c r="P11" i="12" s="1"/>
  <c r="E311" i="7" s="1"/>
  <c r="W311" i="7" s="1"/>
  <c r="O450" i="11"/>
  <c r="E447" i="11"/>
  <c r="C447" i="11"/>
  <c r="C446" i="11"/>
  <c r="B446" i="11"/>
  <c r="D444" i="11"/>
  <c r="C444" i="11"/>
  <c r="M442" i="11"/>
  <c r="O442" i="11" s="1"/>
  <c r="M439" i="11"/>
  <c r="D438" i="11"/>
  <c r="D446" i="11" s="1"/>
  <c r="M436" i="11"/>
  <c r="M435" i="11"/>
  <c r="E430" i="11"/>
  <c r="D430" i="11"/>
  <c r="D440" i="11" s="1"/>
  <c r="D447" i="11" s="1"/>
  <c r="C430" i="11"/>
  <c r="K429" i="11"/>
  <c r="L428" i="11"/>
  <c r="L429" i="11" s="1"/>
  <c r="L430" i="11" s="1"/>
  <c r="L440" i="11" s="1"/>
  <c r="L447" i="11" s="1"/>
  <c r="K428" i="11"/>
  <c r="M427" i="11"/>
  <c r="O427" i="11" s="1"/>
  <c r="M426" i="11"/>
  <c r="O426" i="11" s="1"/>
  <c r="M424" i="11"/>
  <c r="M423" i="11"/>
  <c r="M422" i="11"/>
  <c r="C415" i="11"/>
  <c r="K411" i="11"/>
  <c r="G406" i="11"/>
  <c r="F406" i="11"/>
  <c r="K405" i="11"/>
  <c r="K406" i="11" s="1"/>
  <c r="L401" i="11"/>
  <c r="L405" i="11" s="1"/>
  <c r="B401" i="11"/>
  <c r="B405" i="11" s="1"/>
  <c r="B411" i="11" s="1"/>
  <c r="B415" i="11" s="1"/>
  <c r="M397" i="11"/>
  <c r="M399" i="11" s="1"/>
  <c r="O399" i="11" s="1"/>
  <c r="M394" i="11"/>
  <c r="M393" i="11"/>
  <c r="M392" i="11"/>
  <c r="O388" i="11"/>
  <c r="L384" i="11"/>
  <c r="L385" i="11" s="1"/>
  <c r="L386" i="11" s="1"/>
  <c r="M383" i="11"/>
  <c r="O383" i="11" s="1"/>
  <c r="O382" i="11"/>
  <c r="G369" i="11"/>
  <c r="F369" i="11"/>
  <c r="C369" i="11"/>
  <c r="G365" i="11"/>
  <c r="F365" i="11"/>
  <c r="F361" i="11"/>
  <c r="F357" i="11"/>
  <c r="L349" i="11"/>
  <c r="L353" i="11" s="1"/>
  <c r="L357" i="11" s="1"/>
  <c r="L361" i="11" s="1"/>
  <c r="L365" i="11" s="1"/>
  <c r="L369" i="11" s="1"/>
  <c r="L378" i="11" s="1"/>
  <c r="D349" i="11"/>
  <c r="C349" i="11"/>
  <c r="B349" i="11"/>
  <c r="B353" i="11" s="1"/>
  <c r="B357" i="11" s="1"/>
  <c r="B361" i="11" s="1"/>
  <c r="B365" i="11" s="1"/>
  <c r="B369" i="11" s="1"/>
  <c r="B378" i="11" s="1"/>
  <c r="L348" i="11"/>
  <c r="L352" i="11" s="1"/>
  <c r="L356" i="11" s="1"/>
  <c r="L360" i="11" s="1"/>
  <c r="L364" i="11" s="1"/>
  <c r="L368" i="11" s="1"/>
  <c r="L377" i="11" s="1"/>
  <c r="C348" i="11"/>
  <c r="B348" i="11"/>
  <c r="B352" i="11" s="1"/>
  <c r="B356" i="11" s="1"/>
  <c r="B360" i="11" s="1"/>
  <c r="B364" i="11" s="1"/>
  <c r="B368" i="11" s="1"/>
  <c r="B377" i="11" s="1"/>
  <c r="M345" i="11"/>
  <c r="M344" i="11"/>
  <c r="M341" i="11"/>
  <c r="A338" i="11"/>
  <c r="A381" i="11" s="1"/>
  <c r="A388" i="11" s="1"/>
  <c r="A389" i="11" s="1"/>
  <c r="A419" i="11" s="1"/>
  <c r="A432" i="11" s="1"/>
  <c r="A450" i="11" s="1"/>
  <c r="D336" i="11"/>
  <c r="C336" i="11"/>
  <c r="L334" i="11"/>
  <c r="L335" i="11" s="1"/>
  <c r="L336" i="11" s="1"/>
  <c r="M333" i="11"/>
  <c r="O333" i="11" s="1"/>
  <c r="M332" i="11"/>
  <c r="O332" i="11" s="1"/>
  <c r="O331" i="11"/>
  <c r="M330" i="11"/>
  <c r="O330" i="11" s="1"/>
  <c r="O329" i="11"/>
  <c r="M326" i="11"/>
  <c r="N318" i="11"/>
  <c r="F317" i="11"/>
  <c r="M312" i="11"/>
  <c r="M313" i="11" s="1"/>
  <c r="M314" i="11" s="1"/>
  <c r="C312" i="11"/>
  <c r="N310" i="11"/>
  <c r="M304" i="11"/>
  <c r="M305" i="11" s="1"/>
  <c r="M306" i="11" s="1"/>
  <c r="C304" i="11"/>
  <c r="N302" i="11"/>
  <c r="M297" i="11"/>
  <c r="M298" i="11" s="1"/>
  <c r="N296" i="11"/>
  <c r="A288" i="11"/>
  <c r="A294" i="11" s="1"/>
  <c r="A299" i="11" s="1"/>
  <c r="A307" i="11" s="1"/>
  <c r="A315" i="11" s="1"/>
  <c r="D286" i="11"/>
  <c r="D287" i="11" s="1"/>
  <c r="C285" i="11"/>
  <c r="F284" i="11"/>
  <c r="N284" i="11" s="1"/>
  <c r="P261" i="11"/>
  <c r="E308" i="7" s="1"/>
  <c r="P260" i="11"/>
  <c r="E307" i="7" s="1"/>
  <c r="H258" i="11"/>
  <c r="N257" i="11"/>
  <c r="N238" i="11"/>
  <c r="B209" i="11"/>
  <c r="B213" i="11" s="1"/>
  <c r="A190" i="11"/>
  <c r="A191" i="11" s="1"/>
  <c r="A192" i="11" s="1"/>
  <c r="A193" i="11" s="1"/>
  <c r="A198" i="11" s="1"/>
  <c r="A215" i="11" s="1"/>
  <c r="A219" i="11" s="1"/>
  <c r="A226" i="11" s="1"/>
  <c r="A241" i="11" s="1"/>
  <c r="A249" i="11" s="1"/>
  <c r="A254" i="11" s="1"/>
  <c r="A260" i="11" s="1"/>
  <c r="A261" i="11" s="1"/>
  <c r="N187" i="11"/>
  <c r="M168" i="11"/>
  <c r="M166" i="11"/>
  <c r="M167" i="11" s="1"/>
  <c r="M165" i="11"/>
  <c r="M170" i="11" s="1"/>
  <c r="E162" i="11"/>
  <c r="N162" i="11" s="1"/>
  <c r="P162" i="11" s="1"/>
  <c r="M161" i="11"/>
  <c r="F161" i="11"/>
  <c r="N160" i="11"/>
  <c r="P160" i="11" s="1"/>
  <c r="P159" i="11"/>
  <c r="A153" i="11"/>
  <c r="A158" i="11" s="1"/>
  <c r="A163" i="11" s="1"/>
  <c r="A169" i="11" s="1"/>
  <c r="A175" i="11" s="1"/>
  <c r="E152" i="11"/>
  <c r="D151" i="11"/>
  <c r="C151" i="11"/>
  <c r="M149" i="11"/>
  <c r="N147" i="11"/>
  <c r="P147" i="11" s="1"/>
  <c r="N143" i="11"/>
  <c r="P143" i="11" s="1"/>
  <c r="E270" i="7" s="1"/>
  <c r="N140" i="11"/>
  <c r="N136" i="11"/>
  <c r="D128" i="11"/>
  <c r="N128" i="11" s="1"/>
  <c r="N127" i="11"/>
  <c r="N126" i="11"/>
  <c r="D122" i="11"/>
  <c r="C122" i="11"/>
  <c r="D119" i="11"/>
  <c r="C119" i="11"/>
  <c r="N118" i="11"/>
  <c r="B115" i="11"/>
  <c r="B119" i="11" s="1"/>
  <c r="B123" i="11" s="1"/>
  <c r="E114" i="11"/>
  <c r="N114" i="11" s="1"/>
  <c r="B114" i="11"/>
  <c r="B118" i="11" s="1"/>
  <c r="B122" i="11" s="1"/>
  <c r="E111" i="11"/>
  <c r="E115" i="11" s="1"/>
  <c r="C110" i="11"/>
  <c r="N110" i="11" s="1"/>
  <c r="C107" i="11"/>
  <c r="N106" i="11"/>
  <c r="N103" i="11"/>
  <c r="P103" i="11" s="1"/>
  <c r="N102" i="11"/>
  <c r="P102" i="11" s="1"/>
  <c r="N100" i="11"/>
  <c r="L96" i="11"/>
  <c r="D78" i="11"/>
  <c r="E77" i="11"/>
  <c r="E78" i="11" s="1"/>
  <c r="L74" i="11"/>
  <c r="I74" i="11"/>
  <c r="C74" i="11"/>
  <c r="L70" i="11"/>
  <c r="A58" i="11"/>
  <c r="A63" i="11" s="1"/>
  <c r="M51" i="11"/>
  <c r="C51" i="11"/>
  <c r="B51" i="11"/>
  <c r="B55" i="11" s="1"/>
  <c r="M50" i="11"/>
  <c r="D50" i="11"/>
  <c r="D51" i="11" s="1"/>
  <c r="C50" i="11"/>
  <c r="B50" i="11"/>
  <c r="B54" i="11" s="1"/>
  <c r="D47" i="11"/>
  <c r="N46" i="11"/>
  <c r="N41" i="11"/>
  <c r="N40" i="11"/>
  <c r="N42" i="11" s="1"/>
  <c r="E37" i="11"/>
  <c r="N36" i="11"/>
  <c r="A34" i="11"/>
  <c r="M27" i="11"/>
  <c r="C27" i="11"/>
  <c r="B27" i="11"/>
  <c r="B60" i="11" s="1"/>
  <c r="B66" i="11" s="1"/>
  <c r="B70" i="11" s="1"/>
  <c r="B74" i="11" s="1"/>
  <c r="B78" i="11" s="1"/>
  <c r="M26" i="11"/>
  <c r="D26" i="11"/>
  <c r="C26" i="11"/>
  <c r="B26" i="11"/>
  <c r="B59" i="11" s="1"/>
  <c r="B65" i="11" s="1"/>
  <c r="B69" i="11" s="1"/>
  <c r="B73" i="11" s="1"/>
  <c r="B77" i="11" s="1"/>
  <c r="D23" i="11"/>
  <c r="D27" i="11" s="1"/>
  <c r="N22" i="11"/>
  <c r="N18" i="11"/>
  <c r="N17" i="11"/>
  <c r="N19" i="11" s="1"/>
  <c r="F20" i="11" s="1"/>
  <c r="N20" i="11" s="1"/>
  <c r="P20" i="11" s="1"/>
  <c r="E237" i="7" s="1"/>
  <c r="E14" i="11"/>
  <c r="N13" i="11"/>
  <c r="N9" i="11"/>
  <c r="N8" i="11"/>
  <c r="N166" i="10"/>
  <c r="P166" i="10" s="1"/>
  <c r="E230" i="7" s="1"/>
  <c r="N163" i="10"/>
  <c r="N159" i="10"/>
  <c r="H151" i="10"/>
  <c r="D150" i="10"/>
  <c r="E145" i="10"/>
  <c r="D143" i="10"/>
  <c r="C143" i="10"/>
  <c r="E140" i="10"/>
  <c r="D139" i="10"/>
  <c r="D140" i="10" s="1"/>
  <c r="C139" i="10"/>
  <c r="D135" i="10"/>
  <c r="C135" i="10"/>
  <c r="B135" i="10"/>
  <c r="B140" i="10" s="1"/>
  <c r="B145" i="10" s="1"/>
  <c r="B134" i="10"/>
  <c r="B139" i="10" s="1"/>
  <c r="B144" i="10" s="1"/>
  <c r="M133" i="10"/>
  <c r="E133" i="10"/>
  <c r="B133" i="10"/>
  <c r="B138" i="10" s="1"/>
  <c r="B143" i="10" s="1"/>
  <c r="M129" i="10"/>
  <c r="M130" i="10" s="1"/>
  <c r="E129" i="10"/>
  <c r="E134" i="10" s="1"/>
  <c r="C128" i="10"/>
  <c r="N128" i="10" s="1"/>
  <c r="M125" i="10"/>
  <c r="E125" i="10"/>
  <c r="E130" i="10" s="1"/>
  <c r="D125" i="10"/>
  <c r="C124" i="10"/>
  <c r="N123" i="10"/>
  <c r="P120" i="10"/>
  <c r="E217" i="7" s="1"/>
  <c r="C118" i="10"/>
  <c r="N114" i="10"/>
  <c r="C113" i="10"/>
  <c r="D111" i="10"/>
  <c r="N110" i="10"/>
  <c r="P110" i="10" s="1"/>
  <c r="E213" i="7" s="1"/>
  <c r="N109" i="10"/>
  <c r="P109" i="10" s="1"/>
  <c r="E212" i="7" s="1"/>
  <c r="P108" i="10"/>
  <c r="E211" i="7" s="1"/>
  <c r="C105" i="10"/>
  <c r="M101" i="10"/>
  <c r="M105" i="10" s="1"/>
  <c r="M70" i="10" s="1"/>
  <c r="N70" i="10" s="1"/>
  <c r="L101" i="10"/>
  <c r="I101" i="10"/>
  <c r="F101" i="10"/>
  <c r="C101" i="10"/>
  <c r="B101" i="10"/>
  <c r="B105" i="10" s="1"/>
  <c r="M100" i="10"/>
  <c r="M104" i="10" s="1"/>
  <c r="M69" i="10" s="1"/>
  <c r="N69" i="10" s="1"/>
  <c r="B100" i="10"/>
  <c r="B104" i="10" s="1"/>
  <c r="L97" i="10"/>
  <c r="C96" i="10"/>
  <c r="E93" i="10"/>
  <c r="N93" i="10" s="1"/>
  <c r="N92" i="10"/>
  <c r="C88" i="10"/>
  <c r="L84" i="10"/>
  <c r="I84" i="10"/>
  <c r="F84" i="10"/>
  <c r="C84" i="10"/>
  <c r="L80" i="10"/>
  <c r="B80" i="10"/>
  <c r="B84" i="10" s="1"/>
  <c r="B88" i="10" s="1"/>
  <c r="C79" i="10"/>
  <c r="B79" i="10"/>
  <c r="B83" i="10" s="1"/>
  <c r="B87" i="10" s="1"/>
  <c r="M76" i="10"/>
  <c r="M80" i="10" s="1"/>
  <c r="M84" i="10" s="1"/>
  <c r="M88" i="10" s="1"/>
  <c r="M75" i="10"/>
  <c r="M79" i="10" s="1"/>
  <c r="M83" i="10" s="1"/>
  <c r="M87" i="10" s="1"/>
  <c r="N68" i="10"/>
  <c r="N67" i="10"/>
  <c r="M64" i="10"/>
  <c r="E64" i="10"/>
  <c r="M63" i="10"/>
  <c r="D63" i="10"/>
  <c r="D64" i="10" s="1"/>
  <c r="N59" i="10"/>
  <c r="N58" i="10"/>
  <c r="N55" i="10"/>
  <c r="A52" i="10"/>
  <c r="A66" i="10" s="1"/>
  <c r="A73" i="10" s="1"/>
  <c r="A90" i="10" s="1"/>
  <c r="A107" i="10" s="1"/>
  <c r="A121" i="10" s="1"/>
  <c r="A157" i="10" s="1"/>
  <c r="A166" i="10" s="1"/>
  <c r="M45" i="10"/>
  <c r="C45" i="10"/>
  <c r="B45" i="10"/>
  <c r="M44" i="10"/>
  <c r="D44" i="10"/>
  <c r="D45" i="10" s="1"/>
  <c r="C44" i="10"/>
  <c r="B44" i="10"/>
  <c r="D41" i="10"/>
  <c r="E40" i="10"/>
  <c r="E41" i="10" s="1"/>
  <c r="N36" i="10"/>
  <c r="N35" i="10"/>
  <c r="N37" i="10" s="1"/>
  <c r="F38" i="10" s="1"/>
  <c r="N38" i="10" s="1"/>
  <c r="P38" i="10" s="1"/>
  <c r="E186" i="7" s="1"/>
  <c r="E32" i="10"/>
  <c r="N31" i="10"/>
  <c r="E28" i="10"/>
  <c r="F27" i="10"/>
  <c r="A24" i="10"/>
  <c r="D22" i="10"/>
  <c r="C22" i="10"/>
  <c r="L18" i="10"/>
  <c r="M17" i="10"/>
  <c r="N17" i="10" s="1"/>
  <c r="P17" i="10" s="1"/>
  <c r="N14" i="10"/>
  <c r="N13" i="10"/>
  <c r="P280" i="9"/>
  <c r="E176" i="7" s="1"/>
  <c r="N279" i="9"/>
  <c r="P279" i="9" s="1"/>
  <c r="E175" i="7" s="1"/>
  <c r="N278" i="9"/>
  <c r="P278" i="9" s="1"/>
  <c r="E174" i="7" s="1"/>
  <c r="W174" i="7" s="1"/>
  <c r="Y174" i="7" s="1"/>
  <c r="P277" i="9"/>
  <c r="E173" i="7" s="1"/>
  <c r="A277" i="9"/>
  <c r="A278" i="9" s="1"/>
  <c r="A279" i="9" s="1"/>
  <c r="A280" i="9" s="1"/>
  <c r="P276" i="9"/>
  <c r="E172" i="7" s="1"/>
  <c r="P275" i="9"/>
  <c r="E171" i="7" s="1"/>
  <c r="N273" i="9"/>
  <c r="P273" i="9" s="1"/>
  <c r="E168" i="7" s="1"/>
  <c r="W168" i="7" s="1"/>
  <c r="Y168" i="7" s="1"/>
  <c r="P272" i="9"/>
  <c r="E167" i="7" s="1"/>
  <c r="C269" i="9"/>
  <c r="N269" i="9" s="1"/>
  <c r="C266" i="9"/>
  <c r="N265" i="9"/>
  <c r="N256" i="9"/>
  <c r="N255" i="9"/>
  <c r="N251" i="9"/>
  <c r="N250" i="9"/>
  <c r="N247" i="9"/>
  <c r="E160" i="7" s="1"/>
  <c r="N246" i="9"/>
  <c r="E159" i="7" s="1"/>
  <c r="W159" i="7" s="1"/>
  <c r="Y159" i="7" s="1"/>
  <c r="N244" i="9"/>
  <c r="N243" i="9" s="1"/>
  <c r="N242" i="9"/>
  <c r="E158" i="7" s="1"/>
  <c r="W158" i="7" s="1"/>
  <c r="Y158" i="7" s="1"/>
  <c r="P239" i="9"/>
  <c r="D234" i="9"/>
  <c r="E228" i="9"/>
  <c r="E229" i="9" s="1"/>
  <c r="E230" i="9" s="1"/>
  <c r="E231" i="9" s="1"/>
  <c r="H223" i="9"/>
  <c r="H224" i="9" s="1"/>
  <c r="E223" i="9"/>
  <c r="E224" i="9" s="1"/>
  <c r="E217" i="9"/>
  <c r="E218" i="9" s="1"/>
  <c r="D216" i="9"/>
  <c r="H215" i="9"/>
  <c r="H228" i="9" s="1"/>
  <c r="E211" i="9"/>
  <c r="E212" i="9" s="1"/>
  <c r="D211" i="9"/>
  <c r="D212" i="9" s="1"/>
  <c r="H209" i="9"/>
  <c r="D205" i="9"/>
  <c r="H204" i="9"/>
  <c r="C204" i="9"/>
  <c r="E203" i="9"/>
  <c r="E204" i="9" s="1"/>
  <c r="C203" i="9"/>
  <c r="C200" i="9"/>
  <c r="H199" i="9"/>
  <c r="C199" i="9"/>
  <c r="E198" i="9"/>
  <c r="N197" i="9"/>
  <c r="E193" i="9"/>
  <c r="D193" i="9"/>
  <c r="D194" i="9" s="1"/>
  <c r="N192" i="9"/>
  <c r="N191" i="9"/>
  <c r="A189" i="9"/>
  <c r="N187" i="9"/>
  <c r="N183" i="9"/>
  <c r="N182" i="9"/>
  <c r="E177" i="9"/>
  <c r="N177" i="9" s="1"/>
  <c r="A175" i="9"/>
  <c r="N172" i="9"/>
  <c r="N169" i="9"/>
  <c r="N173" i="9" s="1"/>
  <c r="P166" i="9"/>
  <c r="N165" i="9"/>
  <c r="P165" i="9" s="1"/>
  <c r="P164" i="9"/>
  <c r="N161" i="9"/>
  <c r="N162" i="9" s="1"/>
  <c r="P162" i="9" s="1"/>
  <c r="M158" i="9"/>
  <c r="F158" i="9"/>
  <c r="N155" i="9"/>
  <c r="N156" i="9" s="1"/>
  <c r="P156" i="9" s="1"/>
  <c r="N152" i="9"/>
  <c r="E147" i="9"/>
  <c r="D147" i="9"/>
  <c r="M142" i="9"/>
  <c r="M146" i="9" s="1"/>
  <c r="L142" i="9"/>
  <c r="L139" i="9"/>
  <c r="C139" i="9"/>
  <c r="M134" i="9"/>
  <c r="C128" i="9"/>
  <c r="M127" i="9"/>
  <c r="M128" i="9" s="1"/>
  <c r="F127" i="9"/>
  <c r="N126" i="9"/>
  <c r="P126" i="9" s="1"/>
  <c r="P125" i="9"/>
  <c r="E122" i="9"/>
  <c r="D122" i="9"/>
  <c r="C122" i="9"/>
  <c r="M119" i="9"/>
  <c r="M122" i="9" s="1"/>
  <c r="F119" i="9"/>
  <c r="C119" i="9"/>
  <c r="B119" i="9"/>
  <c r="B122" i="9" s="1"/>
  <c r="N116" i="9"/>
  <c r="N117" i="9" s="1"/>
  <c r="P117" i="9" s="1"/>
  <c r="N113" i="9"/>
  <c r="N112" i="9"/>
  <c r="C109" i="9"/>
  <c r="C108" i="9"/>
  <c r="C107" i="9"/>
  <c r="E103" i="9"/>
  <c r="D103" i="9"/>
  <c r="L99" i="9"/>
  <c r="I99" i="9"/>
  <c r="C99" i="9"/>
  <c r="B99" i="9"/>
  <c r="B103" i="9" s="1"/>
  <c r="M98" i="9"/>
  <c r="M102" i="9" s="1"/>
  <c r="B98" i="9"/>
  <c r="B102" i="9" s="1"/>
  <c r="M95" i="9"/>
  <c r="M99" i="9" s="1"/>
  <c r="M103" i="9" s="1"/>
  <c r="L95" i="9"/>
  <c r="M91" i="9"/>
  <c r="L84" i="9"/>
  <c r="I84" i="9"/>
  <c r="C84" i="9"/>
  <c r="L83" i="9"/>
  <c r="E83" i="9"/>
  <c r="M82" i="9"/>
  <c r="F79" i="9"/>
  <c r="M78" i="9"/>
  <c r="N77" i="9"/>
  <c r="P77" i="9" s="1"/>
  <c r="L60" i="9"/>
  <c r="I60" i="9"/>
  <c r="C60" i="9"/>
  <c r="L56" i="9"/>
  <c r="C51" i="9"/>
  <c r="M42" i="9"/>
  <c r="M52" i="9" s="1"/>
  <c r="M56" i="9" s="1"/>
  <c r="M60" i="9" s="1"/>
  <c r="M64" i="9" s="1"/>
  <c r="M46" i="9" s="1"/>
  <c r="D42" i="9"/>
  <c r="C42" i="9"/>
  <c r="B42" i="9"/>
  <c r="B52" i="9" s="1"/>
  <c r="B56" i="9" s="1"/>
  <c r="B60" i="9" s="1"/>
  <c r="B64" i="9" s="1"/>
  <c r="M41" i="9"/>
  <c r="M51" i="9" s="1"/>
  <c r="M55" i="9" s="1"/>
  <c r="M59" i="9" s="1"/>
  <c r="M63" i="9" s="1"/>
  <c r="M45" i="9" s="1"/>
  <c r="B41" i="9"/>
  <c r="B51" i="9" s="1"/>
  <c r="B55" i="9" s="1"/>
  <c r="B59" i="9" s="1"/>
  <c r="B63" i="9" s="1"/>
  <c r="M37" i="9"/>
  <c r="C37" i="9"/>
  <c r="B37" i="9"/>
  <c r="M36" i="9"/>
  <c r="D36" i="9"/>
  <c r="C36" i="9"/>
  <c r="B36" i="9"/>
  <c r="D33" i="9"/>
  <c r="D37" i="9" s="1"/>
  <c r="E32" i="9"/>
  <c r="E33" i="9" s="1"/>
  <c r="N28" i="9"/>
  <c r="N27" i="9"/>
  <c r="E24" i="9"/>
  <c r="N23" i="9"/>
  <c r="A21" i="9"/>
  <c r="A44" i="9" s="1"/>
  <c r="A49" i="9" s="1"/>
  <c r="A66" i="9" s="1"/>
  <c r="A76" i="9" s="1"/>
  <c r="A81" i="9" s="1"/>
  <c r="A86" i="9" s="1"/>
  <c r="C19" i="9"/>
  <c r="E17" i="9"/>
  <c r="E19" i="9" s="1"/>
  <c r="M16" i="9"/>
  <c r="M17" i="9" s="1"/>
  <c r="M18" i="9" s="1"/>
  <c r="M19" i="9" s="1"/>
  <c r="M20" i="9" s="1"/>
  <c r="N20" i="9" s="1"/>
  <c r="W100" i="7" s="1"/>
  <c r="Y100" i="7" s="1"/>
  <c r="C15" i="9"/>
  <c r="D14" i="9"/>
  <c r="N11" i="9"/>
  <c r="N10" i="9"/>
  <c r="K49" i="8"/>
  <c r="K48" i="8"/>
  <c r="M48" i="8" s="1"/>
  <c r="M47" i="8"/>
  <c r="K46" i="8"/>
  <c r="M46" i="8" s="1"/>
  <c r="F38" i="8"/>
  <c r="D38" i="8"/>
  <c r="D28" i="8"/>
  <c r="C22" i="8"/>
  <c r="K15" i="8"/>
  <c r="J660" i="6"/>
  <c r="J659" i="6"/>
  <c r="J658" i="6"/>
  <c r="J656" i="6"/>
  <c r="J655" i="6"/>
  <c r="H653" i="6"/>
  <c r="J653" i="6" s="1"/>
  <c r="H629" i="6"/>
  <c r="H628" i="6"/>
  <c r="H624" i="6"/>
  <c r="H625" i="6" s="1"/>
  <c r="J625" i="6" s="1"/>
  <c r="H621" i="6"/>
  <c r="H620" i="6"/>
  <c r="H617" i="6"/>
  <c r="H616" i="6"/>
  <c r="H612" i="6"/>
  <c r="C610" i="6"/>
  <c r="G609" i="6"/>
  <c r="G610" i="6" s="1"/>
  <c r="G611" i="6" s="1"/>
  <c r="H608" i="6"/>
  <c r="E584" i="6"/>
  <c r="E602" i="6" s="1"/>
  <c r="E583" i="6"/>
  <c r="E601" i="6" s="1"/>
  <c r="E582" i="6"/>
  <c r="E600" i="6" s="1"/>
  <c r="E581" i="6"/>
  <c r="E599" i="6" s="1"/>
  <c r="E576" i="6"/>
  <c r="E595" i="6" s="1"/>
  <c r="G574" i="6"/>
  <c r="G575" i="6" s="1"/>
  <c r="G576" i="6" s="1"/>
  <c r="G577" i="6" s="1"/>
  <c r="G578" i="6" s="1"/>
  <c r="G579" i="6" s="1"/>
  <c r="G581" i="6" s="1"/>
  <c r="G582" i="6" s="1"/>
  <c r="G583" i="6" s="1"/>
  <c r="G584" i="6" s="1"/>
  <c r="G585" i="6" s="1"/>
  <c r="G586" i="6" s="1"/>
  <c r="E574" i="6"/>
  <c r="E593" i="6" s="1"/>
  <c r="E573" i="6"/>
  <c r="E592" i="6" s="1"/>
  <c r="E572" i="6"/>
  <c r="E591" i="6" s="1"/>
  <c r="C566" i="6"/>
  <c r="C559" i="6"/>
  <c r="H558" i="6"/>
  <c r="G542" i="6"/>
  <c r="H541" i="6"/>
  <c r="D540" i="6"/>
  <c r="C545" i="6" s="1"/>
  <c r="H545" i="6" s="1"/>
  <c r="C540" i="6"/>
  <c r="H536" i="6"/>
  <c r="H535" i="6"/>
  <c r="H531" i="6"/>
  <c r="H530" i="6"/>
  <c r="E527" i="6"/>
  <c r="H526" i="6"/>
  <c r="H523" i="6"/>
  <c r="H522" i="6"/>
  <c r="G515" i="6"/>
  <c r="G516" i="6" s="1"/>
  <c r="G517" i="6" s="1"/>
  <c r="G518" i="6" s="1"/>
  <c r="H514" i="6"/>
  <c r="G508" i="6"/>
  <c r="H507" i="6"/>
  <c r="G495" i="6"/>
  <c r="G496" i="6" s="1"/>
  <c r="G497" i="6" s="1"/>
  <c r="G498" i="6" s="1"/>
  <c r="G500" i="6" s="1"/>
  <c r="G501" i="6" s="1"/>
  <c r="G502" i="6" s="1"/>
  <c r="H494" i="6"/>
  <c r="H493" i="6"/>
  <c r="G482" i="6"/>
  <c r="H481" i="6"/>
  <c r="D475" i="6"/>
  <c r="C471" i="6" s="1"/>
  <c r="F472" i="6" s="1"/>
  <c r="D472" i="6"/>
  <c r="D469" i="6"/>
  <c r="C467" i="6"/>
  <c r="H467" i="6" s="1"/>
  <c r="C466" i="6"/>
  <c r="C464" i="6"/>
  <c r="H463" i="6"/>
  <c r="C458" i="6"/>
  <c r="C455" i="6"/>
  <c r="C452" i="6"/>
  <c r="C450" i="6"/>
  <c r="C449" i="6"/>
  <c r="H443" i="6"/>
  <c r="H439" i="6"/>
  <c r="G438" i="6"/>
  <c r="H435" i="6"/>
  <c r="G329" i="6"/>
  <c r="G330" i="6" s="1"/>
  <c r="G331" i="6" s="1"/>
  <c r="G332" i="6" s="1"/>
  <c r="G333" i="6" s="1"/>
  <c r="G334" i="6" s="1"/>
  <c r="G335" i="6" s="1"/>
  <c r="G336" i="6" s="1"/>
  <c r="G337" i="6" s="1"/>
  <c r="G338" i="6" s="1"/>
  <c r="G339" i="6" s="1"/>
  <c r="G340" i="6" s="1"/>
  <c r="G341" i="6" s="1"/>
  <c r="G342" i="6" s="1"/>
  <c r="G343" i="6" s="1"/>
  <c r="G344" i="6" s="1"/>
  <c r="G345" i="6" s="1"/>
  <c r="G346" i="6" s="1"/>
  <c r="G347" i="6" s="1"/>
  <c r="G348" i="6" s="1"/>
  <c r="G349" i="6" s="1"/>
  <c r="G350" i="6" s="1"/>
  <c r="G351" i="6" s="1"/>
  <c r="G352" i="6" s="1"/>
  <c r="G353" i="6" s="1"/>
  <c r="G354" i="6" s="1"/>
  <c r="G355" i="6" s="1"/>
  <c r="G356" i="6" s="1"/>
  <c r="G357" i="6" s="1"/>
  <c r="G358" i="6" s="1"/>
  <c r="G359" i="6" s="1"/>
  <c r="G360" i="6" s="1"/>
  <c r="G361" i="6" s="1"/>
  <c r="G362" i="6" s="1"/>
  <c r="G363" i="6" s="1"/>
  <c r="G364" i="6" s="1"/>
  <c r="G365" i="6" s="1"/>
  <c r="G366" i="6" s="1"/>
  <c r="G367" i="6" s="1"/>
  <c r="G368" i="6" s="1"/>
  <c r="G369" i="6" s="1"/>
  <c r="G370" i="6" s="1"/>
  <c r="G371" i="6" s="1"/>
  <c r="G372" i="6" s="1"/>
  <c r="G373" i="6" s="1"/>
  <c r="G374" i="6" s="1"/>
  <c r="G375" i="6" s="1"/>
  <c r="G376" i="6" s="1"/>
  <c r="G377" i="6" s="1"/>
  <c r="G378" i="6" s="1"/>
  <c r="G379" i="6" s="1"/>
  <c r="G380" i="6" s="1"/>
  <c r="G381" i="6" s="1"/>
  <c r="G382" i="6" s="1"/>
  <c r="G383" i="6" s="1"/>
  <c r="G384" i="6" s="1"/>
  <c r="G385" i="6" s="1"/>
  <c r="G386" i="6" s="1"/>
  <c r="G387" i="6" s="1"/>
  <c r="G388" i="6" s="1"/>
  <c r="G389" i="6" s="1"/>
  <c r="G390" i="6" s="1"/>
  <c r="G391" i="6" s="1"/>
  <c r="G392" i="6" s="1"/>
  <c r="G393" i="6" s="1"/>
  <c r="G394" i="6" s="1"/>
  <c r="G395" i="6" s="1"/>
  <c r="G396" i="6" s="1"/>
  <c r="G397" i="6" s="1"/>
  <c r="G398" i="6" s="1"/>
  <c r="G399" i="6" s="1"/>
  <c r="G400" i="6" s="1"/>
  <c r="G401" i="6" s="1"/>
  <c r="G402" i="6" s="1"/>
  <c r="G403" i="6" s="1"/>
  <c r="G404" i="6" s="1"/>
  <c r="G405" i="6" s="1"/>
  <c r="G406" i="6" s="1"/>
  <c r="G407" i="6" s="1"/>
  <c r="G408" i="6" s="1"/>
  <c r="G409" i="6" s="1"/>
  <c r="G410" i="6" s="1"/>
  <c r="G411" i="6" s="1"/>
  <c r="G412" i="6" s="1"/>
  <c r="G413" i="6" s="1"/>
  <c r="G414" i="6" s="1"/>
  <c r="G415" i="6" s="1"/>
  <c r="G416" i="6" s="1"/>
  <c r="G417" i="6" s="1"/>
  <c r="G418" i="6" s="1"/>
  <c r="G419" i="6" s="1"/>
  <c r="G420" i="6" s="1"/>
  <c r="G421" i="6" s="1"/>
  <c r="G422" i="6" s="1"/>
  <c r="G423" i="6" s="1"/>
  <c r="B329" i="6"/>
  <c r="B330" i="6" s="1"/>
  <c r="B331" i="6" s="1"/>
  <c r="B332" i="6" s="1"/>
  <c r="B333" i="6" s="1"/>
  <c r="B334" i="6" s="1"/>
  <c r="B335" i="6" s="1"/>
  <c r="B336" i="6" s="1"/>
  <c r="B337" i="6" s="1"/>
  <c r="B338" i="6" s="1"/>
  <c r="B339" i="6" s="1"/>
  <c r="B340" i="6" s="1"/>
  <c r="B341" i="6" s="1"/>
  <c r="B342" i="6" s="1"/>
  <c r="B343" i="6" s="1"/>
  <c r="B344" i="6" s="1"/>
  <c r="B345" i="6" s="1"/>
  <c r="B346" i="6" s="1"/>
  <c r="B347" i="6" s="1"/>
  <c r="B348" i="6" s="1"/>
  <c r="B349" i="6" s="1"/>
  <c r="B350" i="6" s="1"/>
  <c r="B351" i="6" s="1"/>
  <c r="B352" i="6" s="1"/>
  <c r="B353" i="6" s="1"/>
  <c r="B354" i="6" s="1"/>
  <c r="B355" i="6" s="1"/>
  <c r="B356" i="6" s="1"/>
  <c r="B357" i="6" s="1"/>
  <c r="B358" i="6" s="1"/>
  <c r="B359" i="6" s="1"/>
  <c r="B360" i="6" s="1"/>
  <c r="B361" i="6" s="1"/>
  <c r="B362" i="6" s="1"/>
  <c r="B363" i="6" s="1"/>
  <c r="B364" i="6" s="1"/>
  <c r="B365" i="6" s="1"/>
  <c r="B366" i="6" s="1"/>
  <c r="B367" i="6" s="1"/>
  <c r="B368" i="6" s="1"/>
  <c r="B369" i="6" s="1"/>
  <c r="B370" i="6" s="1"/>
  <c r="B371" i="6" s="1"/>
  <c r="B372" i="6" s="1"/>
  <c r="B373" i="6" s="1"/>
  <c r="B374" i="6" s="1"/>
  <c r="B375" i="6" s="1"/>
  <c r="B376" i="6" s="1"/>
  <c r="B377" i="6" s="1"/>
  <c r="B378" i="6" s="1"/>
  <c r="B379" i="6" s="1"/>
  <c r="B380" i="6" s="1"/>
  <c r="B381" i="6" s="1"/>
  <c r="B382" i="6" s="1"/>
  <c r="B383" i="6" s="1"/>
  <c r="B384" i="6" s="1"/>
  <c r="B385" i="6" s="1"/>
  <c r="B386" i="6" s="1"/>
  <c r="B387" i="6" s="1"/>
  <c r="B388" i="6" s="1"/>
  <c r="B389" i="6" s="1"/>
  <c r="B390" i="6" s="1"/>
  <c r="B391" i="6" s="1"/>
  <c r="B392" i="6" s="1"/>
  <c r="B393" i="6" s="1"/>
  <c r="B394" i="6" s="1"/>
  <c r="B395" i="6" s="1"/>
  <c r="B396" i="6" s="1"/>
  <c r="B397" i="6" s="1"/>
  <c r="B398" i="6" s="1"/>
  <c r="B399" i="6" s="1"/>
  <c r="B400" i="6" s="1"/>
  <c r="B401" i="6" s="1"/>
  <c r="B402" i="6" s="1"/>
  <c r="B403" i="6" s="1"/>
  <c r="B404" i="6" s="1"/>
  <c r="B405" i="6" s="1"/>
  <c r="B406" i="6" s="1"/>
  <c r="B407" i="6" s="1"/>
  <c r="B408" i="6" s="1"/>
  <c r="B409" i="6" s="1"/>
  <c r="B410" i="6" s="1"/>
  <c r="B411" i="6" s="1"/>
  <c r="B412" i="6" s="1"/>
  <c r="B413" i="6" s="1"/>
  <c r="B414" i="6" s="1"/>
  <c r="B415" i="6" s="1"/>
  <c r="B416" i="6" s="1"/>
  <c r="B417" i="6" s="1"/>
  <c r="B418" i="6" s="1"/>
  <c r="B419" i="6" s="1"/>
  <c r="B420" i="6" s="1"/>
  <c r="B421" i="6" s="1"/>
  <c r="B422" i="6" s="1"/>
  <c r="B423" i="6" s="1"/>
  <c r="D328" i="6"/>
  <c r="D329" i="6" s="1"/>
  <c r="D330" i="6" s="1"/>
  <c r="D331" i="6" s="1"/>
  <c r="D332" i="6" s="1"/>
  <c r="D333" i="6" s="1"/>
  <c r="D334" i="6" s="1"/>
  <c r="D335" i="6" s="1"/>
  <c r="D336" i="6" s="1"/>
  <c r="D337" i="6" s="1"/>
  <c r="D338" i="6" s="1"/>
  <c r="D339" i="6" s="1"/>
  <c r="D340" i="6" s="1"/>
  <c r="D341" i="6" s="1"/>
  <c r="D342" i="6" s="1"/>
  <c r="D343" i="6" s="1"/>
  <c r="D344" i="6" s="1"/>
  <c r="D345" i="6" s="1"/>
  <c r="D346" i="6" s="1"/>
  <c r="D347" i="6" s="1"/>
  <c r="D348" i="6" s="1"/>
  <c r="D349" i="6" s="1"/>
  <c r="D350" i="6" s="1"/>
  <c r="D351" i="6" s="1"/>
  <c r="D352" i="6" s="1"/>
  <c r="D353" i="6" s="1"/>
  <c r="D354" i="6" s="1"/>
  <c r="D355" i="6" s="1"/>
  <c r="D356" i="6" s="1"/>
  <c r="D357" i="6" s="1"/>
  <c r="D358" i="6" s="1"/>
  <c r="D359" i="6" s="1"/>
  <c r="D360" i="6" s="1"/>
  <c r="D361" i="6" s="1"/>
  <c r="D362" i="6" s="1"/>
  <c r="D363" i="6" s="1"/>
  <c r="D364" i="6" s="1"/>
  <c r="D365" i="6" s="1"/>
  <c r="D366" i="6" s="1"/>
  <c r="D367" i="6" s="1"/>
  <c r="D368" i="6" s="1"/>
  <c r="D369" i="6" s="1"/>
  <c r="D370" i="6" s="1"/>
  <c r="D371" i="6" s="1"/>
  <c r="D372" i="6" s="1"/>
  <c r="D373" i="6" s="1"/>
  <c r="D374" i="6" s="1"/>
  <c r="D375" i="6" s="1"/>
  <c r="D376" i="6" s="1"/>
  <c r="D377" i="6" s="1"/>
  <c r="D378" i="6" s="1"/>
  <c r="D379" i="6" s="1"/>
  <c r="D380" i="6" s="1"/>
  <c r="D381" i="6" s="1"/>
  <c r="D382" i="6" s="1"/>
  <c r="D383" i="6" s="1"/>
  <c r="D384" i="6" s="1"/>
  <c r="D385" i="6" s="1"/>
  <c r="D386" i="6" s="1"/>
  <c r="D387" i="6" s="1"/>
  <c r="D388" i="6" s="1"/>
  <c r="D389" i="6" s="1"/>
  <c r="D390" i="6" s="1"/>
  <c r="D391" i="6" s="1"/>
  <c r="D392" i="6" s="1"/>
  <c r="D393" i="6" s="1"/>
  <c r="D394" i="6" s="1"/>
  <c r="D395" i="6" s="1"/>
  <c r="D396" i="6" s="1"/>
  <c r="D397" i="6" s="1"/>
  <c r="D398" i="6" s="1"/>
  <c r="D399" i="6" s="1"/>
  <c r="D400" i="6" s="1"/>
  <c r="D401" i="6" s="1"/>
  <c r="D402" i="6" s="1"/>
  <c r="D403" i="6" s="1"/>
  <c r="D404" i="6" s="1"/>
  <c r="D405" i="6" s="1"/>
  <c r="D406" i="6" s="1"/>
  <c r="D407" i="6" s="1"/>
  <c r="D408" i="6" s="1"/>
  <c r="D409" i="6" s="1"/>
  <c r="D410" i="6" s="1"/>
  <c r="D411" i="6" s="1"/>
  <c r="D412" i="6" s="1"/>
  <c r="D413" i="6" s="1"/>
  <c r="D414" i="6" s="1"/>
  <c r="D415" i="6" s="1"/>
  <c r="D416" i="6" s="1"/>
  <c r="D417" i="6" s="1"/>
  <c r="D418" i="6" s="1"/>
  <c r="D419" i="6" s="1"/>
  <c r="D420" i="6" s="1"/>
  <c r="D421" i="6" s="1"/>
  <c r="D422" i="6" s="1"/>
  <c r="D423" i="6" s="1"/>
  <c r="C328" i="6"/>
  <c r="H327" i="6"/>
  <c r="G229" i="6"/>
  <c r="G230" i="6" s="1"/>
  <c r="G231" i="6" s="1"/>
  <c r="G232" i="6" s="1"/>
  <c r="G233" i="6" s="1"/>
  <c r="G234" i="6" s="1"/>
  <c r="G235" i="6" s="1"/>
  <c r="G236" i="6" s="1"/>
  <c r="G237" i="6" s="1"/>
  <c r="G238" i="6" s="1"/>
  <c r="G239" i="6" s="1"/>
  <c r="G240" i="6" s="1"/>
  <c r="G241" i="6" s="1"/>
  <c r="G242" i="6" s="1"/>
  <c r="G243" i="6" s="1"/>
  <c r="G244" i="6" s="1"/>
  <c r="G245" i="6" s="1"/>
  <c r="G246" i="6" s="1"/>
  <c r="G247" i="6" s="1"/>
  <c r="G248" i="6" s="1"/>
  <c r="G249" i="6" s="1"/>
  <c r="G250" i="6" s="1"/>
  <c r="G251" i="6" s="1"/>
  <c r="G252" i="6" s="1"/>
  <c r="G253" i="6" s="1"/>
  <c r="G254" i="6" s="1"/>
  <c r="G255" i="6" s="1"/>
  <c r="G256" i="6" s="1"/>
  <c r="G257" i="6" s="1"/>
  <c r="G258" i="6" s="1"/>
  <c r="G259" i="6" s="1"/>
  <c r="G260" i="6" s="1"/>
  <c r="G261" i="6" s="1"/>
  <c r="G262" i="6" s="1"/>
  <c r="G263" i="6" s="1"/>
  <c r="G264" i="6" s="1"/>
  <c r="G265" i="6" s="1"/>
  <c r="G266" i="6" s="1"/>
  <c r="G267" i="6" s="1"/>
  <c r="G268" i="6" s="1"/>
  <c r="G269" i="6" s="1"/>
  <c r="G270" i="6" s="1"/>
  <c r="G271" i="6" s="1"/>
  <c r="G272" i="6" s="1"/>
  <c r="G273" i="6" s="1"/>
  <c r="G274" i="6" s="1"/>
  <c r="G275" i="6" s="1"/>
  <c r="G276" i="6" s="1"/>
  <c r="G277" i="6" s="1"/>
  <c r="G278" i="6" s="1"/>
  <c r="G279" i="6" s="1"/>
  <c r="G280" i="6" s="1"/>
  <c r="G281" i="6" s="1"/>
  <c r="G282" i="6" s="1"/>
  <c r="G283" i="6" s="1"/>
  <c r="G284" i="6" s="1"/>
  <c r="G285" i="6" s="1"/>
  <c r="G286" i="6" s="1"/>
  <c r="G287" i="6" s="1"/>
  <c r="G288" i="6" s="1"/>
  <c r="G289" i="6" s="1"/>
  <c r="G290" i="6" s="1"/>
  <c r="G291" i="6" s="1"/>
  <c r="G292" i="6" s="1"/>
  <c r="G293" i="6" s="1"/>
  <c r="G294" i="6" s="1"/>
  <c r="G295" i="6" s="1"/>
  <c r="G296" i="6" s="1"/>
  <c r="G297" i="6" s="1"/>
  <c r="G298" i="6" s="1"/>
  <c r="G299" i="6" s="1"/>
  <c r="G300" i="6" s="1"/>
  <c r="G301" i="6" s="1"/>
  <c r="G302" i="6" s="1"/>
  <c r="G303" i="6" s="1"/>
  <c r="G304" i="6" s="1"/>
  <c r="G305" i="6" s="1"/>
  <c r="G306" i="6" s="1"/>
  <c r="G307" i="6" s="1"/>
  <c r="G308" i="6" s="1"/>
  <c r="G309" i="6" s="1"/>
  <c r="G310" i="6" s="1"/>
  <c r="G311" i="6" s="1"/>
  <c r="G312" i="6" s="1"/>
  <c r="G313" i="6" s="1"/>
  <c r="G314" i="6" s="1"/>
  <c r="G315" i="6" s="1"/>
  <c r="G316" i="6" s="1"/>
  <c r="G317" i="6" s="1"/>
  <c r="G318" i="6" s="1"/>
  <c r="G319" i="6" s="1"/>
  <c r="G320" i="6" s="1"/>
  <c r="G321" i="6" s="1"/>
  <c r="G322" i="6" s="1"/>
  <c r="G323" i="6" s="1"/>
  <c r="B228" i="6"/>
  <c r="B229" i="6" s="1"/>
  <c r="B230" i="6" s="1"/>
  <c r="B231" i="6" s="1"/>
  <c r="B232" i="6" s="1"/>
  <c r="B233" i="6" s="1"/>
  <c r="B234" i="6" s="1"/>
  <c r="B235" i="6" s="1"/>
  <c r="B236" i="6" s="1"/>
  <c r="B237" i="6" s="1"/>
  <c r="B238" i="6" s="1"/>
  <c r="B239" i="6" s="1"/>
  <c r="B240" i="6" s="1"/>
  <c r="B241" i="6" s="1"/>
  <c r="B242" i="6" s="1"/>
  <c r="B243" i="6" s="1"/>
  <c r="B244" i="6" s="1"/>
  <c r="B245" i="6" s="1"/>
  <c r="B246" i="6" s="1"/>
  <c r="B247" i="6" s="1"/>
  <c r="B248" i="6" s="1"/>
  <c r="B249" i="6" s="1"/>
  <c r="B250" i="6" s="1"/>
  <c r="B251" i="6" s="1"/>
  <c r="B252" i="6" s="1"/>
  <c r="B253" i="6" s="1"/>
  <c r="B254" i="6" s="1"/>
  <c r="B255" i="6" s="1"/>
  <c r="B256" i="6" s="1"/>
  <c r="B257" i="6" s="1"/>
  <c r="B258" i="6" s="1"/>
  <c r="B259" i="6" s="1"/>
  <c r="B260" i="6" s="1"/>
  <c r="B261" i="6" s="1"/>
  <c r="B262" i="6" s="1"/>
  <c r="B263" i="6" s="1"/>
  <c r="B264" i="6" s="1"/>
  <c r="B265" i="6" s="1"/>
  <c r="B266" i="6" s="1"/>
  <c r="B267" i="6" s="1"/>
  <c r="B268" i="6" s="1"/>
  <c r="B269" i="6" s="1"/>
  <c r="B270" i="6" s="1"/>
  <c r="B271" i="6" s="1"/>
  <c r="B272" i="6" s="1"/>
  <c r="B273" i="6" s="1"/>
  <c r="B274" i="6" s="1"/>
  <c r="B275" i="6" s="1"/>
  <c r="B276" i="6" s="1"/>
  <c r="B277" i="6" s="1"/>
  <c r="B278" i="6" s="1"/>
  <c r="B279" i="6" s="1"/>
  <c r="B280" i="6" s="1"/>
  <c r="B281" i="6" s="1"/>
  <c r="B282" i="6" s="1"/>
  <c r="B283" i="6" s="1"/>
  <c r="B284" i="6" s="1"/>
  <c r="B285" i="6" s="1"/>
  <c r="B286" i="6" s="1"/>
  <c r="B287" i="6" s="1"/>
  <c r="B288" i="6" s="1"/>
  <c r="B289" i="6" s="1"/>
  <c r="B290" i="6" s="1"/>
  <c r="B291" i="6" s="1"/>
  <c r="B292" i="6" s="1"/>
  <c r="B293" i="6" s="1"/>
  <c r="B294" i="6" s="1"/>
  <c r="B295" i="6" s="1"/>
  <c r="B296" i="6" s="1"/>
  <c r="B297" i="6" s="1"/>
  <c r="B298" i="6" s="1"/>
  <c r="B299" i="6" s="1"/>
  <c r="B300" i="6" s="1"/>
  <c r="B301" i="6" s="1"/>
  <c r="B302" i="6" s="1"/>
  <c r="B303" i="6" s="1"/>
  <c r="B304" i="6" s="1"/>
  <c r="B305" i="6" s="1"/>
  <c r="B306" i="6" s="1"/>
  <c r="B307" i="6" s="1"/>
  <c r="B308" i="6" s="1"/>
  <c r="B309" i="6" s="1"/>
  <c r="B310" i="6" s="1"/>
  <c r="B311" i="6" s="1"/>
  <c r="B312" i="6" s="1"/>
  <c r="B313" i="6" s="1"/>
  <c r="B314" i="6" s="1"/>
  <c r="B315" i="6" s="1"/>
  <c r="B316" i="6" s="1"/>
  <c r="B317" i="6" s="1"/>
  <c r="B318" i="6" s="1"/>
  <c r="B319" i="6" s="1"/>
  <c r="B320" i="6" s="1"/>
  <c r="B321" i="6" s="1"/>
  <c r="B322" i="6" s="1"/>
  <c r="B323" i="6" s="1"/>
  <c r="D227" i="6"/>
  <c r="D228" i="6" s="1"/>
  <c r="D229" i="6" s="1"/>
  <c r="D230" i="6" s="1"/>
  <c r="D231" i="6" s="1"/>
  <c r="D232" i="6" s="1"/>
  <c r="D233" i="6" s="1"/>
  <c r="D234" i="6" s="1"/>
  <c r="D235" i="6" s="1"/>
  <c r="D236" i="6" s="1"/>
  <c r="D237" i="6" s="1"/>
  <c r="D238" i="6" s="1"/>
  <c r="D239" i="6" s="1"/>
  <c r="D240" i="6" s="1"/>
  <c r="D241" i="6" s="1"/>
  <c r="D242" i="6" s="1"/>
  <c r="D243" i="6" s="1"/>
  <c r="D244" i="6" s="1"/>
  <c r="D245" i="6" s="1"/>
  <c r="D246" i="6" s="1"/>
  <c r="D247" i="6" s="1"/>
  <c r="D248" i="6" s="1"/>
  <c r="D249" i="6" s="1"/>
  <c r="D250" i="6" s="1"/>
  <c r="D251" i="6" s="1"/>
  <c r="D252" i="6" s="1"/>
  <c r="D253" i="6" s="1"/>
  <c r="D254" i="6" s="1"/>
  <c r="D255" i="6" s="1"/>
  <c r="D256" i="6" s="1"/>
  <c r="D257" i="6" s="1"/>
  <c r="D258" i="6" s="1"/>
  <c r="D259" i="6" s="1"/>
  <c r="D260" i="6" s="1"/>
  <c r="D261" i="6" s="1"/>
  <c r="D262" i="6" s="1"/>
  <c r="D263" i="6" s="1"/>
  <c r="D264" i="6" s="1"/>
  <c r="D265" i="6" s="1"/>
  <c r="D266" i="6" s="1"/>
  <c r="D267" i="6" s="1"/>
  <c r="D268" i="6" s="1"/>
  <c r="D269" i="6" s="1"/>
  <c r="D270" i="6" s="1"/>
  <c r="D271" i="6" s="1"/>
  <c r="D272" i="6" s="1"/>
  <c r="D273" i="6" s="1"/>
  <c r="D274" i="6" s="1"/>
  <c r="D275" i="6" s="1"/>
  <c r="D276" i="6" s="1"/>
  <c r="D277" i="6" s="1"/>
  <c r="D278" i="6" s="1"/>
  <c r="D279" i="6" s="1"/>
  <c r="D280" i="6" s="1"/>
  <c r="D281" i="6" s="1"/>
  <c r="D282" i="6" s="1"/>
  <c r="D283" i="6" s="1"/>
  <c r="D284" i="6" s="1"/>
  <c r="D285" i="6" s="1"/>
  <c r="D286" i="6" s="1"/>
  <c r="D287" i="6" s="1"/>
  <c r="D288" i="6" s="1"/>
  <c r="D289" i="6" s="1"/>
  <c r="D290" i="6" s="1"/>
  <c r="D291" i="6" s="1"/>
  <c r="D292" i="6" s="1"/>
  <c r="D293" i="6" s="1"/>
  <c r="D294" i="6" s="1"/>
  <c r="D295" i="6" s="1"/>
  <c r="D296" i="6" s="1"/>
  <c r="D297" i="6" s="1"/>
  <c r="D298" i="6" s="1"/>
  <c r="D299" i="6" s="1"/>
  <c r="D300" i="6" s="1"/>
  <c r="D301" i="6" s="1"/>
  <c r="D302" i="6" s="1"/>
  <c r="D303" i="6" s="1"/>
  <c r="D304" i="6" s="1"/>
  <c r="D305" i="6" s="1"/>
  <c r="D306" i="6" s="1"/>
  <c r="D307" i="6" s="1"/>
  <c r="D308" i="6" s="1"/>
  <c r="D309" i="6" s="1"/>
  <c r="D310" i="6" s="1"/>
  <c r="D311" i="6" s="1"/>
  <c r="D312" i="6" s="1"/>
  <c r="D313" i="6" s="1"/>
  <c r="D314" i="6" s="1"/>
  <c r="D315" i="6" s="1"/>
  <c r="D316" i="6" s="1"/>
  <c r="D317" i="6" s="1"/>
  <c r="D318" i="6" s="1"/>
  <c r="D319" i="6" s="1"/>
  <c r="D320" i="6" s="1"/>
  <c r="D321" i="6" s="1"/>
  <c r="D322" i="6" s="1"/>
  <c r="D323" i="6" s="1"/>
  <c r="C227" i="6"/>
  <c r="E127" i="6"/>
  <c r="E128" i="6" s="1"/>
  <c r="E129" i="6" s="1"/>
  <c r="E130" i="6" s="1"/>
  <c r="E131" i="6" s="1"/>
  <c r="E132" i="6" s="1"/>
  <c r="E133" i="6" s="1"/>
  <c r="E134" i="6" s="1"/>
  <c r="E135" i="6" s="1"/>
  <c r="E136" i="6" s="1"/>
  <c r="E137" i="6" s="1"/>
  <c r="E138" i="6" s="1"/>
  <c r="E139" i="6" s="1"/>
  <c r="E140" i="6" s="1"/>
  <c r="E141" i="6" s="1"/>
  <c r="E142" i="6" s="1"/>
  <c r="E143" i="6" s="1"/>
  <c r="E144" i="6" s="1"/>
  <c r="E145" i="6" s="1"/>
  <c r="E146" i="6" s="1"/>
  <c r="E147" i="6" s="1"/>
  <c r="E148" i="6" s="1"/>
  <c r="E149" i="6" s="1"/>
  <c r="E150" i="6" s="1"/>
  <c r="E151" i="6" s="1"/>
  <c r="E152" i="6" s="1"/>
  <c r="E153" i="6" s="1"/>
  <c r="E154" i="6" s="1"/>
  <c r="E155" i="6" s="1"/>
  <c r="E156" i="6" s="1"/>
  <c r="E157" i="6" s="1"/>
  <c r="E158" i="6" s="1"/>
  <c r="E159" i="6" s="1"/>
  <c r="E160" i="6" s="1"/>
  <c r="E161" i="6" s="1"/>
  <c r="E162" i="6" s="1"/>
  <c r="E163" i="6" s="1"/>
  <c r="E164" i="6" s="1"/>
  <c r="E165" i="6" s="1"/>
  <c r="E166" i="6" s="1"/>
  <c r="E167" i="6" s="1"/>
  <c r="E168" i="6" s="1"/>
  <c r="E169" i="6" s="1"/>
  <c r="E170" i="6" s="1"/>
  <c r="E171" i="6" s="1"/>
  <c r="E172" i="6" s="1"/>
  <c r="E173" i="6" s="1"/>
  <c r="E174" i="6" s="1"/>
  <c r="E175" i="6" s="1"/>
  <c r="E176" i="6" s="1"/>
  <c r="E177" i="6" s="1"/>
  <c r="E178" i="6" s="1"/>
  <c r="E179" i="6" s="1"/>
  <c r="E180" i="6" s="1"/>
  <c r="E181" i="6" s="1"/>
  <c r="E182" i="6" s="1"/>
  <c r="E183" i="6" s="1"/>
  <c r="E184" i="6" s="1"/>
  <c r="E185" i="6" s="1"/>
  <c r="E186" i="6" s="1"/>
  <c r="E187" i="6" s="1"/>
  <c r="E188" i="6" s="1"/>
  <c r="E189" i="6" s="1"/>
  <c r="E190" i="6" s="1"/>
  <c r="E191" i="6" s="1"/>
  <c r="E192" i="6" s="1"/>
  <c r="E193" i="6" s="1"/>
  <c r="E194" i="6" s="1"/>
  <c r="E195" i="6" s="1"/>
  <c r="E196" i="6" s="1"/>
  <c r="E197" i="6" s="1"/>
  <c r="E198" i="6" s="1"/>
  <c r="E199" i="6" s="1"/>
  <c r="E200" i="6" s="1"/>
  <c r="E201" i="6" s="1"/>
  <c r="E202" i="6" s="1"/>
  <c r="E203" i="6" s="1"/>
  <c r="E204" i="6" s="1"/>
  <c r="E205" i="6" s="1"/>
  <c r="E206" i="6" s="1"/>
  <c r="E207" i="6" s="1"/>
  <c r="E208" i="6" s="1"/>
  <c r="E209" i="6" s="1"/>
  <c r="E210" i="6" s="1"/>
  <c r="E211" i="6" s="1"/>
  <c r="E212" i="6" s="1"/>
  <c r="E213" i="6" s="1"/>
  <c r="E214" i="6" s="1"/>
  <c r="E215" i="6" s="1"/>
  <c r="E216" i="6" s="1"/>
  <c r="E217" i="6" s="1"/>
  <c r="E218" i="6" s="1"/>
  <c r="E219" i="6" s="1"/>
  <c r="E220" i="6" s="1"/>
  <c r="E221" i="6" s="1"/>
  <c r="E222" i="6" s="1"/>
  <c r="E223" i="6" s="1"/>
  <c r="B27" i="6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G26" i="6"/>
  <c r="G27" i="6" s="1"/>
  <c r="G28" i="6" s="1"/>
  <c r="G29" i="6" s="1"/>
  <c r="G30" i="6" s="1"/>
  <c r="G31" i="6" s="1"/>
  <c r="G32" i="6" s="1"/>
  <c r="G33" i="6" s="1"/>
  <c r="G34" i="6" s="1"/>
  <c r="G35" i="6" s="1"/>
  <c r="G36" i="6" s="1"/>
  <c r="G37" i="6" s="1"/>
  <c r="G38" i="6" s="1"/>
  <c r="G39" i="6" s="1"/>
  <c r="G40" i="6" s="1"/>
  <c r="G41" i="6" s="1"/>
  <c r="G42" i="6" s="1"/>
  <c r="G43" i="6" s="1"/>
  <c r="G44" i="6" s="1"/>
  <c r="G45" i="6" s="1"/>
  <c r="G46" i="6" s="1"/>
  <c r="G47" i="6" s="1"/>
  <c r="G48" i="6" s="1"/>
  <c r="G49" i="6" s="1"/>
  <c r="G50" i="6" s="1"/>
  <c r="G51" i="6" s="1"/>
  <c r="G52" i="6" s="1"/>
  <c r="G53" i="6" s="1"/>
  <c r="G54" i="6" s="1"/>
  <c r="G55" i="6" s="1"/>
  <c r="G56" i="6" s="1"/>
  <c r="G57" i="6" s="1"/>
  <c r="G58" i="6" s="1"/>
  <c r="G59" i="6" s="1"/>
  <c r="G60" i="6" s="1"/>
  <c r="G61" i="6" s="1"/>
  <c r="G62" i="6" s="1"/>
  <c r="G63" i="6" s="1"/>
  <c r="G64" i="6" s="1"/>
  <c r="G65" i="6" s="1"/>
  <c r="G66" i="6" s="1"/>
  <c r="G67" i="6" s="1"/>
  <c r="G68" i="6" s="1"/>
  <c r="G69" i="6" s="1"/>
  <c r="G70" i="6" s="1"/>
  <c r="G71" i="6" s="1"/>
  <c r="G72" i="6" s="1"/>
  <c r="G73" i="6" s="1"/>
  <c r="G74" i="6" s="1"/>
  <c r="G75" i="6" s="1"/>
  <c r="G76" i="6" s="1"/>
  <c r="G77" i="6" s="1"/>
  <c r="G78" i="6" s="1"/>
  <c r="G79" i="6" s="1"/>
  <c r="G80" i="6" s="1"/>
  <c r="G81" i="6" s="1"/>
  <c r="G82" i="6" s="1"/>
  <c r="G83" i="6" s="1"/>
  <c r="G84" i="6" s="1"/>
  <c r="G85" i="6" s="1"/>
  <c r="G86" i="6" s="1"/>
  <c r="G87" i="6" s="1"/>
  <c r="G88" i="6" s="1"/>
  <c r="G89" i="6" s="1"/>
  <c r="G90" i="6" s="1"/>
  <c r="G91" i="6" s="1"/>
  <c r="G92" i="6" s="1"/>
  <c r="G93" i="6" s="1"/>
  <c r="G94" i="6" s="1"/>
  <c r="G95" i="6" s="1"/>
  <c r="G96" i="6" s="1"/>
  <c r="G97" i="6" s="1"/>
  <c r="G98" i="6" s="1"/>
  <c r="G99" i="6" s="1"/>
  <c r="G100" i="6" s="1"/>
  <c r="G101" i="6" s="1"/>
  <c r="G102" i="6" s="1"/>
  <c r="G103" i="6" s="1"/>
  <c r="G104" i="6" s="1"/>
  <c r="G105" i="6" s="1"/>
  <c r="G106" i="6" s="1"/>
  <c r="G107" i="6" s="1"/>
  <c r="G108" i="6" s="1"/>
  <c r="G109" i="6" s="1"/>
  <c r="G110" i="6" s="1"/>
  <c r="G111" i="6" s="1"/>
  <c r="G112" i="6" s="1"/>
  <c r="G113" i="6" s="1"/>
  <c r="G114" i="6" s="1"/>
  <c r="G115" i="6" s="1"/>
  <c r="G116" i="6" s="1"/>
  <c r="G117" i="6" s="1"/>
  <c r="G118" i="6" s="1"/>
  <c r="G119" i="6" s="1"/>
  <c r="G120" i="6" s="1"/>
  <c r="F25" i="6"/>
  <c r="F26" i="6" s="1"/>
  <c r="F27" i="6" s="1"/>
  <c r="F28" i="6" s="1"/>
  <c r="F29" i="6" s="1"/>
  <c r="F30" i="6" s="1"/>
  <c r="F31" i="6" s="1"/>
  <c r="F32" i="6" s="1"/>
  <c r="F33" i="6" s="1"/>
  <c r="F34" i="6" s="1"/>
  <c r="F35" i="6" s="1"/>
  <c r="F36" i="6" s="1"/>
  <c r="F37" i="6" s="1"/>
  <c r="F38" i="6" s="1"/>
  <c r="F39" i="6" s="1"/>
  <c r="F40" i="6" s="1"/>
  <c r="F41" i="6" s="1"/>
  <c r="F42" i="6" s="1"/>
  <c r="F43" i="6" s="1"/>
  <c r="F44" i="6" s="1"/>
  <c r="F45" i="6" s="1"/>
  <c r="F46" i="6" s="1"/>
  <c r="F47" i="6" s="1"/>
  <c r="F48" i="6" s="1"/>
  <c r="F49" i="6" s="1"/>
  <c r="F50" i="6" s="1"/>
  <c r="F51" i="6" s="1"/>
  <c r="F52" i="6" s="1"/>
  <c r="F53" i="6" s="1"/>
  <c r="F54" i="6" s="1"/>
  <c r="F55" i="6" s="1"/>
  <c r="F56" i="6" s="1"/>
  <c r="D25" i="6"/>
  <c r="H24" i="6"/>
  <c r="L17" i="6"/>
  <c r="A14" i="6"/>
  <c r="A15" i="6" s="1"/>
  <c r="A426" i="6" s="1"/>
  <c r="A447" i="6" s="1"/>
  <c r="A454" i="6" s="1"/>
  <c r="A461" i="6" s="1"/>
  <c r="A478" i="6" s="1"/>
  <c r="A491" i="6" s="1"/>
  <c r="H11" i="6"/>
  <c r="J367" i="5"/>
  <c r="J366" i="5"/>
  <c r="J365" i="5"/>
  <c r="J363" i="5"/>
  <c r="J362" i="5"/>
  <c r="H360" i="5"/>
  <c r="J360" i="5" s="1"/>
  <c r="H336" i="5"/>
  <c r="H335" i="5"/>
  <c r="H331" i="5"/>
  <c r="H332" i="5" s="1"/>
  <c r="J332" i="5" s="1"/>
  <c r="H328" i="5"/>
  <c r="H327" i="5"/>
  <c r="H324" i="5"/>
  <c r="H323" i="5"/>
  <c r="H319" i="5"/>
  <c r="C317" i="5"/>
  <c r="G316" i="5"/>
  <c r="G317" i="5" s="1"/>
  <c r="G318" i="5" s="1"/>
  <c r="H315" i="5"/>
  <c r="E291" i="5"/>
  <c r="E309" i="5" s="1"/>
  <c r="E290" i="5"/>
  <c r="E308" i="5" s="1"/>
  <c r="E289" i="5"/>
  <c r="E307" i="5" s="1"/>
  <c r="E288" i="5"/>
  <c r="E306" i="5" s="1"/>
  <c r="G281" i="5"/>
  <c r="G282" i="5" s="1"/>
  <c r="G283" i="5" s="1"/>
  <c r="G284" i="5" s="1"/>
  <c r="G285" i="5" s="1"/>
  <c r="G286" i="5" s="1"/>
  <c r="G288" i="5" s="1"/>
  <c r="G289" i="5" s="1"/>
  <c r="G290" i="5" s="1"/>
  <c r="G291" i="5" s="1"/>
  <c r="G292" i="5" s="1"/>
  <c r="G293" i="5" s="1"/>
  <c r="E280" i="5"/>
  <c r="E299" i="5" s="1"/>
  <c r="E279" i="5"/>
  <c r="E298" i="5" s="1"/>
  <c r="C273" i="5"/>
  <c r="C266" i="5"/>
  <c r="H265" i="5"/>
  <c r="F241" i="5"/>
  <c r="G237" i="5"/>
  <c r="G240" i="5" s="1"/>
  <c r="G241" i="5" s="1"/>
  <c r="G243" i="5" s="1"/>
  <c r="H236" i="5"/>
  <c r="D231" i="5"/>
  <c r="C231" i="5"/>
  <c r="G230" i="5"/>
  <c r="G231" i="5" s="1"/>
  <c r="H229" i="5"/>
  <c r="J229" i="5" s="1"/>
  <c r="J227" i="5"/>
  <c r="C216" i="5"/>
  <c r="H216" i="5" s="1"/>
  <c r="C215" i="5"/>
  <c r="H215" i="5" s="1"/>
  <c r="G212" i="5"/>
  <c r="H211" i="5"/>
  <c r="H210" i="5"/>
  <c r="H209" i="5"/>
  <c r="H205" i="5"/>
  <c r="H204" i="5"/>
  <c r="H200" i="5"/>
  <c r="H199" i="5"/>
  <c r="E196" i="5"/>
  <c r="H195" i="5"/>
  <c r="H192" i="5"/>
  <c r="H191" i="5"/>
  <c r="G184" i="5"/>
  <c r="G185" i="5" s="1"/>
  <c r="G186" i="5" s="1"/>
  <c r="G187" i="5" s="1"/>
  <c r="H183" i="5"/>
  <c r="G177" i="5"/>
  <c r="H176" i="5"/>
  <c r="G164" i="5"/>
  <c r="G165" i="5" s="1"/>
  <c r="G166" i="5" s="1"/>
  <c r="G167" i="5" s="1"/>
  <c r="G169" i="5" s="1"/>
  <c r="G170" i="5" s="1"/>
  <c r="G171" i="5" s="1"/>
  <c r="H163" i="5"/>
  <c r="H162" i="5"/>
  <c r="G151" i="5"/>
  <c r="H150" i="5"/>
  <c r="D144" i="5"/>
  <c r="C144" i="5"/>
  <c r="B144" i="5"/>
  <c r="G143" i="5"/>
  <c r="D143" i="5"/>
  <c r="C139" i="5" s="1"/>
  <c r="F140" i="5" s="1"/>
  <c r="C143" i="5"/>
  <c r="B143" i="5"/>
  <c r="D140" i="5"/>
  <c r="H136" i="5"/>
  <c r="H135" i="5"/>
  <c r="H137" i="5" s="1"/>
  <c r="J137" i="5" s="1"/>
  <c r="H132" i="5"/>
  <c r="H131" i="5"/>
  <c r="C130" i="5"/>
  <c r="G129" i="5"/>
  <c r="C123" i="5"/>
  <c r="G122" i="5"/>
  <c r="F122" i="5"/>
  <c r="F123" i="5" s="1"/>
  <c r="F130" i="5" s="1"/>
  <c r="G121" i="5"/>
  <c r="G120" i="5"/>
  <c r="F115" i="5"/>
  <c r="F116" i="5" s="1"/>
  <c r="G114" i="5"/>
  <c r="G113" i="5"/>
  <c r="H113" i="5" s="1"/>
  <c r="H112" i="5" s="1"/>
  <c r="J112" i="5" s="1"/>
  <c r="F99" i="5"/>
  <c r="F103" i="5" s="1"/>
  <c r="F107" i="5" s="1"/>
  <c r="F98" i="5"/>
  <c r="F102" i="5" s="1"/>
  <c r="F106" i="5" s="1"/>
  <c r="G95" i="5"/>
  <c r="H95" i="5" s="1"/>
  <c r="H94" i="5"/>
  <c r="G93" i="5"/>
  <c r="H93" i="5" s="1"/>
  <c r="H92" i="5"/>
  <c r="A90" i="5"/>
  <c r="A111" i="5" s="1"/>
  <c r="A118" i="5" s="1"/>
  <c r="A125" i="5" s="1"/>
  <c r="A147" i="5" s="1"/>
  <c r="A160" i="5" s="1"/>
  <c r="H89" i="5"/>
  <c r="G85" i="5"/>
  <c r="G86" i="5" s="1"/>
  <c r="G87" i="5" s="1"/>
  <c r="E80" i="5"/>
  <c r="G76" i="5"/>
  <c r="G77" i="5" s="1"/>
  <c r="G78" i="5" s="1"/>
  <c r="G79" i="5" s="1"/>
  <c r="G80" i="5" s="1"/>
  <c r="G81" i="5" s="1"/>
  <c r="G82" i="5" s="1"/>
  <c r="D76" i="5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C76" i="5"/>
  <c r="H75" i="5"/>
  <c r="H74" i="5"/>
  <c r="G69" i="5"/>
  <c r="G70" i="5" s="1"/>
  <c r="G71" i="5" s="1"/>
  <c r="B67" i="5"/>
  <c r="B83" i="5" s="1"/>
  <c r="F64" i="5"/>
  <c r="B64" i="5"/>
  <c r="B80" i="5" s="1"/>
  <c r="B63" i="5"/>
  <c r="B79" i="5" s="1"/>
  <c r="B61" i="5"/>
  <c r="B77" i="5" s="1"/>
  <c r="G60" i="5"/>
  <c r="G61" i="5" s="1"/>
  <c r="G62" i="5" s="1"/>
  <c r="G63" i="5" s="1"/>
  <c r="G64" i="5" s="1"/>
  <c r="G65" i="5" s="1"/>
  <c r="G66" i="5" s="1"/>
  <c r="B60" i="5"/>
  <c r="B76" i="5" s="1"/>
  <c r="D59" i="5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C59" i="5"/>
  <c r="B59" i="5"/>
  <c r="B75" i="5" s="1"/>
  <c r="H58" i="5"/>
  <c r="B58" i="5"/>
  <c r="B74" i="5" s="1"/>
  <c r="G53" i="5"/>
  <c r="G54" i="5" s="1"/>
  <c r="G55" i="5" s="1"/>
  <c r="B52" i="5"/>
  <c r="B68" i="5" s="1"/>
  <c r="B84" i="5" s="1"/>
  <c r="B49" i="5"/>
  <c r="B65" i="5" s="1"/>
  <c r="B81" i="5" s="1"/>
  <c r="C48" i="5"/>
  <c r="B46" i="5"/>
  <c r="B62" i="5" s="1"/>
  <c r="B78" i="5" s="1"/>
  <c r="G44" i="5"/>
  <c r="G45" i="5" s="1"/>
  <c r="G46" i="5" s="1"/>
  <c r="G47" i="5" s="1"/>
  <c r="G48" i="5" s="1"/>
  <c r="G49" i="5" s="1"/>
  <c r="G50" i="5" s="1"/>
  <c r="F44" i="5"/>
  <c r="F45" i="5" s="1"/>
  <c r="F46" i="5" s="1"/>
  <c r="F47" i="5" s="1"/>
  <c r="F48" i="5" s="1"/>
  <c r="F49" i="5" s="1"/>
  <c r="F50" i="5" s="1"/>
  <c r="F51" i="5" s="1"/>
  <c r="F52" i="5" s="1"/>
  <c r="F53" i="5" s="1"/>
  <c r="F54" i="5" s="1"/>
  <c r="F55" i="5" s="1"/>
  <c r="E43" i="5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H41" i="5"/>
  <c r="G34" i="5"/>
  <c r="G35" i="5" s="1"/>
  <c r="G36" i="5" s="1"/>
  <c r="B34" i="5"/>
  <c r="B31" i="5"/>
  <c r="B50" i="5" s="1"/>
  <c r="B66" i="5" s="1"/>
  <c r="B82" i="5" s="1"/>
  <c r="G30" i="5"/>
  <c r="G31" i="5" s="1"/>
  <c r="E30" i="5"/>
  <c r="G25" i="5"/>
  <c r="G26" i="5" s="1"/>
  <c r="G27" i="5" s="1"/>
  <c r="F25" i="5"/>
  <c r="F26" i="5" s="1"/>
  <c r="F27" i="5" s="1"/>
  <c r="F28" i="5" s="1"/>
  <c r="F29" i="5" s="1"/>
  <c r="F30" i="5" s="1"/>
  <c r="F31" i="5" s="1"/>
  <c r="F32" i="5" s="1"/>
  <c r="F33" i="5" s="1"/>
  <c r="F34" i="5" s="1"/>
  <c r="F35" i="5" s="1"/>
  <c r="F36" i="5" s="1"/>
  <c r="D25" i="5"/>
  <c r="H24" i="5"/>
  <c r="G19" i="5"/>
  <c r="G20" i="5" s="1"/>
  <c r="H20" i="5" s="1"/>
  <c r="J20" i="5" s="1"/>
  <c r="G18" i="5"/>
  <c r="H18" i="5" s="1"/>
  <c r="H17" i="5" s="1"/>
  <c r="J17" i="5" s="1"/>
  <c r="H12" i="5"/>
  <c r="H11" i="5"/>
  <c r="A21" i="3"/>
  <c r="A23" i="3" s="1"/>
  <c r="A25" i="3" s="1"/>
  <c r="A27" i="3" s="1"/>
  <c r="A29" i="3" s="1"/>
  <c r="A31" i="3" s="1"/>
  <c r="A33" i="3" s="1"/>
  <c r="A35" i="3" s="1"/>
  <c r="F59" i="1"/>
  <c r="F58" i="1"/>
  <c r="F57" i="1"/>
  <c r="F52" i="1"/>
  <c r="F45" i="1"/>
  <c r="F39" i="1"/>
  <c r="F33" i="1"/>
  <c r="F17" i="1"/>
  <c r="F12" i="1"/>
  <c r="F7" i="1"/>
  <c r="C148" i="17"/>
  <c r="M140" i="17"/>
  <c r="M137" i="17"/>
  <c r="F95" i="17"/>
  <c r="L90" i="17"/>
  <c r="L94" i="17" s="1"/>
  <c r="M78" i="17"/>
  <c r="N247" i="11"/>
  <c r="P247" i="11" s="1"/>
  <c r="E303" i="7" s="1"/>
  <c r="B239" i="11"/>
  <c r="I209" i="11"/>
  <c r="M196" i="11"/>
  <c r="M197" i="11" s="1"/>
  <c r="A1341" i="7"/>
  <c r="A1342" i="7" s="1"/>
  <c r="A1343" i="7" s="1"/>
  <c r="A1332" i="7"/>
  <c r="A1333" i="7" s="1"/>
  <c r="A1334" i="7" s="1"/>
  <c r="A1335" i="7" s="1"/>
  <c r="A1336" i="7" s="1"/>
  <c r="A1312" i="7"/>
  <c r="A1313" i="7" s="1"/>
  <c r="A1314" i="7" s="1"/>
  <c r="A1315" i="7" s="1"/>
  <c r="A1316" i="7" s="1"/>
  <c r="A1284" i="7"/>
  <c r="A1285" i="7" s="1"/>
  <c r="A1286" i="7" s="1"/>
  <c r="A1287" i="7" s="1"/>
  <c r="A1288" i="7" s="1"/>
  <c r="A1289" i="7" s="1"/>
  <c r="A1290" i="7" s="1"/>
  <c r="A1291" i="7" s="1"/>
  <c r="A1295" i="7" s="1"/>
  <c r="A1301" i="7" s="1"/>
  <c r="E1278" i="7"/>
  <c r="W1278" i="7" s="1"/>
  <c r="E1275" i="7"/>
  <c r="W1275" i="7" s="1"/>
  <c r="E1274" i="7"/>
  <c r="W1274" i="7" s="1"/>
  <c r="E1273" i="7"/>
  <c r="W1273" i="7" s="1"/>
  <c r="E1269" i="7"/>
  <c r="W1269" i="7" s="1"/>
  <c r="E1268" i="7"/>
  <c r="W1268" i="7" s="1"/>
  <c r="E1261" i="7"/>
  <c r="W1261" i="7" s="1"/>
  <c r="A1258" i="7"/>
  <c r="A1259" i="7" s="1"/>
  <c r="A1260" i="7" s="1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E1216" i="7"/>
  <c r="W1216" i="7" s="1"/>
  <c r="E1188" i="7"/>
  <c r="W1188" i="7" s="1"/>
  <c r="E1182" i="7"/>
  <c r="W1182" i="7" s="1"/>
  <c r="A1170" i="7"/>
  <c r="A1175" i="7" s="1"/>
  <c r="A1176" i="7" s="1"/>
  <c r="A1181" i="7" s="1"/>
  <c r="A1187" i="7" s="1"/>
  <c r="A1195" i="7" s="1"/>
  <c r="A1200" i="7" s="1"/>
  <c r="A1205" i="7" s="1"/>
  <c r="A1210" i="7" s="1"/>
  <c r="A1215" i="7" s="1"/>
  <c r="A1220" i="7" s="1"/>
  <c r="A1231" i="7" s="1"/>
  <c r="A1237" i="7" s="1"/>
  <c r="A1244" i="7" s="1"/>
  <c r="M1155" i="7"/>
  <c r="H1155" i="7"/>
  <c r="E1154" i="7"/>
  <c r="W1154" i="7" s="1"/>
  <c r="A1147" i="7"/>
  <c r="A1148" i="7" s="1"/>
  <c r="A1149" i="7" s="1"/>
  <c r="A1154" i="7" s="1"/>
  <c r="A1155" i="7" s="1"/>
  <c r="A1156" i="7" s="1"/>
  <c r="A1157" i="7" s="1"/>
  <c r="E1139" i="7"/>
  <c r="W1139" i="7" s="1"/>
  <c r="E1134" i="7"/>
  <c r="W1134" i="7" s="1"/>
  <c r="A1108" i="7"/>
  <c r="A1109" i="7" s="1"/>
  <c r="A1114" i="7" s="1"/>
  <c r="A1123" i="7" s="1"/>
  <c r="A1128" i="7" s="1"/>
  <c r="A1133" i="7" s="1"/>
  <c r="A1138" i="7" s="1"/>
  <c r="E1099" i="7"/>
  <c r="W1099" i="7" s="1"/>
  <c r="Y1099" i="7" s="1"/>
  <c r="E1098" i="7"/>
  <c r="W1098" i="7" s="1"/>
  <c r="Y1098" i="7" s="1"/>
  <c r="A1092" i="7"/>
  <c r="A1093" i="7" s="1"/>
  <c r="A1094" i="7" s="1"/>
  <c r="A1095" i="7" s="1"/>
  <c r="A1096" i="7" s="1"/>
  <c r="A1097" i="7" s="1"/>
  <c r="A1098" i="7" s="1"/>
  <c r="A1099" i="7" s="1"/>
  <c r="E1091" i="7"/>
  <c r="W1091" i="7" s="1"/>
  <c r="Y1091" i="7" s="1"/>
  <c r="E1090" i="7"/>
  <c r="W1090" i="7" s="1"/>
  <c r="Y1090" i="7" s="1"/>
  <c r="A1084" i="7"/>
  <c r="A1085" i="7" s="1"/>
  <c r="A1086" i="7" s="1"/>
  <c r="A1087" i="7" s="1"/>
  <c r="M1067" i="7"/>
  <c r="H1067" i="7"/>
  <c r="E1065" i="7"/>
  <c r="W1065" i="7" s="1"/>
  <c r="Y1065" i="7" s="1"/>
  <c r="A1065" i="7"/>
  <c r="A1066" i="7" s="1"/>
  <c r="A1067" i="7" s="1"/>
  <c r="A1068" i="7" s="1"/>
  <c r="M1064" i="7"/>
  <c r="H1064" i="7"/>
  <c r="M1063" i="7"/>
  <c r="H1063" i="7"/>
  <c r="M1060" i="7"/>
  <c r="H1060" i="7"/>
  <c r="E1050" i="7"/>
  <c r="W1050" i="7" s="1"/>
  <c r="Y1050" i="7" s="1"/>
  <c r="A1049" i="7"/>
  <c r="A1050" i="7" s="1"/>
  <c r="A1051" i="7" s="1"/>
  <c r="E1048" i="7"/>
  <c r="W1048" i="7" s="1"/>
  <c r="Y1048" i="7" s="1"/>
  <c r="E1045" i="7"/>
  <c r="W1045" i="7" s="1"/>
  <c r="Y1045" i="7" s="1"/>
  <c r="M1043" i="7"/>
  <c r="H1043" i="7"/>
  <c r="E1038" i="7"/>
  <c r="W1038" i="7" s="1"/>
  <c r="Y1038" i="7" s="1"/>
  <c r="E1037" i="7"/>
  <c r="W1037" i="7" s="1"/>
  <c r="Y1037" i="7" s="1"/>
  <c r="E1036" i="7"/>
  <c r="W1036" i="7" s="1"/>
  <c r="Y1036" i="7" s="1"/>
  <c r="E1033" i="7"/>
  <c r="W1033" i="7" s="1"/>
  <c r="Y1033" i="7" s="1"/>
  <c r="E1030" i="7"/>
  <c r="W1030" i="7" s="1"/>
  <c r="Y1030" i="7" s="1"/>
  <c r="A1028" i="7"/>
  <c r="A1031" i="7" s="1"/>
  <c r="A1034" i="7" s="1"/>
  <c r="A1037" i="7" s="1"/>
  <c r="A1038" i="7" s="1"/>
  <c r="E1022" i="7"/>
  <c r="W1022" i="7" s="1"/>
  <c r="Y1022" i="7" s="1"/>
  <c r="E1020" i="7"/>
  <c r="W1020" i="7" s="1"/>
  <c r="E1019" i="7"/>
  <c r="W1019" i="7" s="1"/>
  <c r="E983" i="7"/>
  <c r="W983" i="7" s="1"/>
  <c r="A973" i="7"/>
  <c r="A982" i="7" s="1"/>
  <c r="A989" i="7" s="1"/>
  <c r="A990" i="7" s="1"/>
  <c r="A998" i="7" s="1"/>
  <c r="A1004" i="7" s="1"/>
  <c r="A1011" i="7" s="1"/>
  <c r="M950" i="7"/>
  <c r="H950" i="7"/>
  <c r="M948" i="7"/>
  <c r="H948" i="7"/>
  <c r="M946" i="7"/>
  <c r="H946" i="7"/>
  <c r="M944" i="7"/>
  <c r="H944" i="7"/>
  <c r="M932" i="7"/>
  <c r="H932" i="7"/>
  <c r="J932" i="7"/>
  <c r="M931" i="7"/>
  <c r="H931" i="7"/>
  <c r="J931" i="7"/>
  <c r="M929" i="7"/>
  <c r="H929" i="7"/>
  <c r="E928" i="7"/>
  <c r="W928" i="7" s="1"/>
  <c r="M927" i="7"/>
  <c r="H927" i="7"/>
  <c r="M926" i="7"/>
  <c r="H926" i="7"/>
  <c r="A924" i="7"/>
  <c r="A925" i="7" s="1"/>
  <c r="A926" i="7" s="1"/>
  <c r="A927" i="7" s="1"/>
  <c r="A928" i="7" s="1"/>
  <c r="A929" i="7" s="1"/>
  <c r="A930" i="7" s="1"/>
  <c r="A944" i="7" s="1"/>
  <c r="A945" i="7" s="1"/>
  <c r="A949" i="7" s="1"/>
  <c r="A950" i="7" s="1"/>
  <c r="A951" i="7" s="1"/>
  <c r="A952" i="7" s="1"/>
  <c r="A953" i="7" s="1"/>
  <c r="A954" i="7" s="1"/>
  <c r="A955" i="7" s="1"/>
  <c r="M923" i="7"/>
  <c r="H923" i="7"/>
  <c r="M922" i="7"/>
  <c r="H922" i="7"/>
  <c r="M919" i="7"/>
  <c r="H919" i="7"/>
  <c r="M918" i="7"/>
  <c r="H918" i="7"/>
  <c r="M913" i="7"/>
  <c r="H913" i="7"/>
  <c r="M909" i="7"/>
  <c r="H909" i="7"/>
  <c r="M907" i="7"/>
  <c r="H907" i="7"/>
  <c r="M906" i="7"/>
  <c r="H906" i="7"/>
  <c r="A897" i="7"/>
  <c r="A898" i="7" s="1"/>
  <c r="A899" i="7" s="1"/>
  <c r="A900" i="7" s="1"/>
  <c r="A901" i="7" s="1"/>
  <c r="A902" i="7" s="1"/>
  <c r="A903" i="7" s="1"/>
  <c r="A906" i="7" s="1"/>
  <c r="A907" i="7" s="1"/>
  <c r="A908" i="7" s="1"/>
  <c r="A913" i="7" s="1"/>
  <c r="A914" i="7" s="1"/>
  <c r="A915" i="7" s="1"/>
  <c r="A916" i="7" s="1"/>
  <c r="A917" i="7" s="1"/>
  <c r="A918" i="7" s="1"/>
  <c r="A919" i="7" s="1"/>
  <c r="A857" i="7"/>
  <c r="A862" i="7" s="1"/>
  <c r="A863" i="7" s="1"/>
  <c r="A868" i="7" s="1"/>
  <c r="A873" i="7" s="1"/>
  <c r="A878" i="7" s="1"/>
  <c r="A883" i="7" s="1"/>
  <c r="A888" i="7" s="1"/>
  <c r="M830" i="7"/>
  <c r="H830" i="7"/>
  <c r="M825" i="7"/>
  <c r="H825" i="7"/>
  <c r="M814" i="7"/>
  <c r="H814" i="7"/>
  <c r="J814" i="7"/>
  <c r="M813" i="7"/>
  <c r="H813" i="7"/>
  <c r="J813" i="7"/>
  <c r="M811" i="7"/>
  <c r="H811" i="7"/>
  <c r="M810" i="7"/>
  <c r="H810" i="7"/>
  <c r="M801" i="7"/>
  <c r="H801" i="7"/>
  <c r="M800" i="7"/>
  <c r="H800" i="7"/>
  <c r="M767" i="7"/>
  <c r="H767" i="7"/>
  <c r="A759" i="7"/>
  <c r="A760" i="7" s="1"/>
  <c r="A785" i="7" s="1"/>
  <c r="A786" i="7" s="1"/>
  <c r="A787" i="7" s="1"/>
  <c r="A788" i="7" s="1"/>
  <c r="A789" i="7" s="1"/>
  <c r="A792" i="7" s="1"/>
  <c r="A793" i="7" s="1"/>
  <c r="A794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811" i="7" s="1"/>
  <c r="A812" i="7" s="1"/>
  <c r="A826" i="7" s="1"/>
  <c r="A831" i="7" s="1"/>
  <c r="A832" i="7" s="1"/>
  <c r="A833" i="7" s="1"/>
  <c r="A834" i="7" s="1"/>
  <c r="A835" i="7" s="1"/>
  <c r="A836" i="7" s="1"/>
  <c r="A837" i="7" s="1"/>
  <c r="A838" i="7" s="1"/>
  <c r="A839" i="7" s="1"/>
  <c r="A840" i="7" s="1"/>
  <c r="A841" i="7" s="1"/>
  <c r="E545" i="7"/>
  <c r="W545" i="7" s="1"/>
  <c r="Y545" i="7" s="1"/>
  <c r="E543" i="7"/>
  <c r="W543" i="7" s="1"/>
  <c r="Y543" i="7" s="1"/>
  <c r="E540" i="7"/>
  <c r="W540" i="7" s="1"/>
  <c r="Y540" i="7" s="1"/>
  <c r="E537" i="7"/>
  <c r="W537" i="7" s="1"/>
  <c r="Y537" i="7" s="1"/>
  <c r="E536" i="7"/>
  <c r="W536" i="7" s="1"/>
  <c r="Y536" i="7" s="1"/>
  <c r="E535" i="7"/>
  <c r="W535" i="7" s="1"/>
  <c r="Y535" i="7" s="1"/>
  <c r="A534" i="7"/>
  <c r="A535" i="7" s="1"/>
  <c r="A536" i="7" s="1"/>
  <c r="A537" i="7" s="1"/>
  <c r="A538" i="7" s="1"/>
  <c r="A539" i="7" s="1"/>
  <c r="A540" i="7" s="1"/>
  <c r="A541" i="7" s="1"/>
  <c r="A555" i="7" s="1"/>
  <c r="A556" i="7" s="1"/>
  <c r="A561" i="7" s="1"/>
  <c r="A562" i="7" s="1"/>
  <c r="A563" i="7" s="1"/>
  <c r="A564" i="7" s="1"/>
  <c r="A565" i="7" s="1"/>
  <c r="A566" i="7" s="1"/>
  <c r="A567" i="7" s="1"/>
  <c r="A568" i="7" s="1"/>
  <c r="E533" i="7"/>
  <c r="W533" i="7" s="1"/>
  <c r="Y533" i="7" s="1"/>
  <c r="E532" i="7"/>
  <c r="W532" i="7" s="1"/>
  <c r="Y532" i="7" s="1"/>
  <c r="H528" i="7"/>
  <c r="E518" i="7"/>
  <c r="W518" i="7" s="1"/>
  <c r="Y518" i="7" s="1"/>
  <c r="E511" i="7"/>
  <c r="W511" i="7" s="1"/>
  <c r="Y511" i="7" s="1"/>
  <c r="E496" i="7"/>
  <c r="W496" i="7" s="1"/>
  <c r="Y496" i="7" s="1"/>
  <c r="E495" i="7"/>
  <c r="W495" i="7" s="1"/>
  <c r="Y495" i="7" s="1"/>
  <c r="A492" i="7"/>
  <c r="A493" i="7" s="1"/>
  <c r="A494" i="7" s="1"/>
  <c r="A495" i="7" s="1"/>
  <c r="A496" i="7" s="1"/>
  <c r="A497" i="7" s="1"/>
  <c r="E466" i="7"/>
  <c r="W466" i="7" s="1"/>
  <c r="Y466" i="7" s="1"/>
  <c r="M411" i="7"/>
  <c r="H411" i="7"/>
  <c r="E405" i="7"/>
  <c r="W405" i="7" s="1"/>
  <c r="E404" i="7"/>
  <c r="W404" i="7" s="1"/>
  <c r="E393" i="7"/>
  <c r="W393" i="7" s="1"/>
  <c r="A381" i="7"/>
  <c r="A382" i="7" s="1"/>
  <c r="A383" i="7" s="1"/>
  <c r="A384" i="7" s="1"/>
  <c r="A392" i="7" s="1"/>
  <c r="A397" i="7" s="1"/>
  <c r="A398" i="7" s="1"/>
  <c r="A399" i="7" s="1"/>
  <c r="A400" i="7" s="1"/>
  <c r="A401" i="7" s="1"/>
  <c r="A402" i="7" s="1"/>
  <c r="A403" i="7" s="1"/>
  <c r="A404" i="7" s="1"/>
  <c r="A405" i="7" s="1"/>
  <c r="A330" i="7"/>
  <c r="A335" i="7" s="1"/>
  <c r="A336" i="7" s="1"/>
  <c r="A341" i="7" s="1"/>
  <c r="A313" i="7"/>
  <c r="A314" i="7" s="1"/>
  <c r="A315" i="7" s="1"/>
  <c r="A316" i="7" s="1"/>
  <c r="A317" i="7" s="1"/>
  <c r="A173" i="7"/>
  <c r="A174" i="7" s="1"/>
  <c r="A175" i="7" s="1"/>
  <c r="A176" i="7" s="1"/>
  <c r="M157" i="7"/>
  <c r="H157" i="7"/>
  <c r="A148" i="7"/>
  <c r="A156" i="7" s="1"/>
  <c r="A161" i="7" s="1"/>
  <c r="A162" i="7" s="1"/>
  <c r="A163" i="7" s="1"/>
  <c r="A164" i="7" s="1"/>
  <c r="A165" i="7" s="1"/>
  <c r="A166" i="7" s="1"/>
  <c r="A167" i="7" s="1"/>
  <c r="A168" i="7" s="1"/>
  <c r="A101" i="7"/>
  <c r="A106" i="7" s="1"/>
  <c r="A107" i="7" s="1"/>
  <c r="A112" i="7" s="1"/>
  <c r="A118" i="7" s="1"/>
  <c r="A123" i="7" s="1"/>
  <c r="A128" i="7" s="1"/>
  <c r="A133" i="7" s="1"/>
  <c r="M69" i="7"/>
  <c r="H69" i="7"/>
  <c r="K68" i="7"/>
  <c r="K67" i="7"/>
  <c r="K65" i="7"/>
  <c r="K62" i="7"/>
  <c r="K61" i="7"/>
  <c r="K60" i="7"/>
  <c r="K59" i="7"/>
  <c r="K57" i="7"/>
  <c r="E53" i="7"/>
  <c r="W53" i="7" s="1"/>
  <c r="H52" i="7"/>
  <c r="K51" i="7"/>
  <c r="K49" i="7"/>
  <c r="J48" i="7"/>
  <c r="K48" i="7" s="1"/>
  <c r="J47" i="7"/>
  <c r="K47" i="7" s="1"/>
  <c r="K45" i="7"/>
  <c r="K44" i="7"/>
  <c r="K43" i="7"/>
  <c r="K40" i="7"/>
  <c r="M38" i="7"/>
  <c r="H38" i="7"/>
  <c r="J38" i="7"/>
  <c r="K35" i="7"/>
  <c r="M29" i="7"/>
  <c r="H29" i="7"/>
  <c r="J29" i="7"/>
  <c r="E25" i="7"/>
  <c r="W25" i="7" s="1"/>
  <c r="Y25" i="7" s="1"/>
  <c r="M24" i="7"/>
  <c r="H24" i="7"/>
  <c r="J24" i="7"/>
  <c r="K21" i="7"/>
  <c r="A16" i="7"/>
  <c r="A17" i="7" s="1"/>
  <c r="A18" i="7" s="1"/>
  <c r="A19" i="7" s="1"/>
  <c r="A52" i="7" s="1"/>
  <c r="A53" i="7" s="1"/>
  <c r="A54" i="7" s="1"/>
  <c r="A55" i="7" s="1"/>
  <c r="A63" i="7" s="1"/>
  <c r="A66" i="7" s="1"/>
  <c r="A69" i="7" s="1"/>
  <c r="A70" i="7" s="1"/>
  <c r="K15" i="7"/>
  <c r="L47" i="19"/>
  <c r="A34" i="19"/>
  <c r="A40" i="19" s="1"/>
  <c r="M29" i="19"/>
  <c r="E23" i="19"/>
  <c r="C16" i="19"/>
  <c r="P99" i="18"/>
  <c r="E1097" i="7" s="1"/>
  <c r="W1097" i="7" s="1"/>
  <c r="Y1097" i="7" s="1"/>
  <c r="N90" i="18"/>
  <c r="A71" i="18"/>
  <c r="A72" i="18" s="1"/>
  <c r="A73" i="18" s="1"/>
  <c r="A74" i="18" s="1"/>
  <c r="A75" i="18" s="1"/>
  <c r="J59" i="18"/>
  <c r="B33" i="18"/>
  <c r="B38" i="18" s="1"/>
  <c r="B43" i="18" s="1"/>
  <c r="B48" i="18" s="1"/>
  <c r="B54" i="18" s="1"/>
  <c r="B59" i="18" s="1"/>
  <c r="B64" i="18" s="1"/>
  <c r="B69" i="18" s="1"/>
  <c r="M27" i="18"/>
  <c r="M32" i="18" s="1"/>
  <c r="M37" i="18" s="1"/>
  <c r="M42" i="18" s="1"/>
  <c r="M47" i="18" s="1"/>
  <c r="M53" i="18" s="1"/>
  <c r="M58" i="18" s="1"/>
  <c r="M63" i="18" s="1"/>
  <c r="M68" i="18" s="1"/>
  <c r="F23" i="18"/>
  <c r="N16" i="18"/>
  <c r="H357" i="17"/>
  <c r="L314" i="17"/>
  <c r="L315" i="17" s="1"/>
  <c r="M315" i="17" s="1"/>
  <c r="C279" i="17"/>
  <c r="A251" i="17"/>
  <c r="A252" i="17" s="1"/>
  <c r="A253" i="17" s="1"/>
  <c r="A254" i="17" s="1"/>
  <c r="H241" i="17"/>
  <c r="H243" i="17" s="1"/>
  <c r="H239" i="17"/>
  <c r="H242" i="17" s="1"/>
  <c r="H244" i="17" s="1"/>
  <c r="C239" i="17"/>
  <c r="M234" i="17"/>
  <c r="D231" i="17"/>
  <c r="D232" i="17" s="1"/>
  <c r="C229" i="17"/>
  <c r="M229" i="17" s="1"/>
  <c r="C228" i="17"/>
  <c r="M228" i="17" s="1"/>
  <c r="A171" i="17"/>
  <c r="B148" i="17"/>
  <c r="B147" i="17"/>
  <c r="D145" i="17"/>
  <c r="K119" i="17"/>
  <c r="M116" i="17"/>
  <c r="O116" i="17" s="1"/>
  <c r="M112" i="17"/>
  <c r="M67" i="17"/>
  <c r="O67" i="17" s="1"/>
  <c r="E984" i="7" s="1"/>
  <c r="W984" i="7" s="1"/>
  <c r="N246" i="11"/>
  <c r="P246" i="11" s="1"/>
  <c r="E302" i="7" s="1"/>
  <c r="L234" i="11"/>
  <c r="L223" i="11"/>
  <c r="L205" i="11"/>
  <c r="N179" i="11"/>
  <c r="F57" i="6"/>
  <c r="F58" i="6" s="1"/>
  <c r="F59" i="6" s="1"/>
  <c r="F60" i="6" s="1"/>
  <c r="F61" i="6" s="1"/>
  <c r="F62" i="6" s="1"/>
  <c r="F63" i="6" s="1"/>
  <c r="F64" i="6" s="1"/>
  <c r="F65" i="6" s="1"/>
  <c r="F66" i="6" s="1"/>
  <c r="F67" i="6" s="1"/>
  <c r="F68" i="6" s="1"/>
  <c r="F69" i="6" s="1"/>
  <c r="F70" i="6" s="1"/>
  <c r="F71" i="6" s="1"/>
  <c r="F72" i="6" s="1"/>
  <c r="F73" i="6" s="1"/>
  <c r="F74" i="6" s="1"/>
  <c r="F75" i="6" s="1"/>
  <c r="F76" i="6" s="1"/>
  <c r="F77" i="6" s="1"/>
  <c r="F78" i="6" s="1"/>
  <c r="F79" i="6" s="1"/>
  <c r="F80" i="6" s="1"/>
  <c r="F81" i="6" s="1"/>
  <c r="F82" i="6" s="1"/>
  <c r="F83" i="6" s="1"/>
  <c r="F84" i="6" s="1"/>
  <c r="F85" i="6" s="1"/>
  <c r="F86" i="6" s="1"/>
  <c r="F87" i="6" s="1"/>
  <c r="F88" i="6" s="1"/>
  <c r="F89" i="6" s="1"/>
  <c r="F90" i="6" s="1"/>
  <c r="F91" i="6" s="1"/>
  <c r="F92" i="6" s="1"/>
  <c r="F93" i="6" s="1"/>
  <c r="F94" i="6" s="1"/>
  <c r="F95" i="6" s="1"/>
  <c r="F96" i="6" s="1"/>
  <c r="F97" i="6" s="1"/>
  <c r="F98" i="6" s="1"/>
  <c r="F99" i="6" s="1"/>
  <c r="F100" i="6" s="1"/>
  <c r="F101" i="6" s="1"/>
  <c r="F102" i="6" s="1"/>
  <c r="F103" i="6" s="1"/>
  <c r="F104" i="6" s="1"/>
  <c r="F105" i="6" s="1"/>
  <c r="F106" i="6" s="1"/>
  <c r="F107" i="6" s="1"/>
  <c r="F108" i="6" s="1"/>
  <c r="F109" i="6" s="1"/>
  <c r="F110" i="6" s="1"/>
  <c r="F111" i="6" s="1"/>
  <c r="F112" i="6" s="1"/>
  <c r="F113" i="6" s="1"/>
  <c r="F114" i="6" s="1"/>
  <c r="F115" i="6" s="1"/>
  <c r="F116" i="6" s="1"/>
  <c r="F117" i="6" s="1"/>
  <c r="F118" i="6" s="1"/>
  <c r="F119" i="6" s="1"/>
  <c r="F120" i="6" s="1"/>
  <c r="B44" i="6"/>
  <c r="B45" i="6" s="1"/>
  <c r="B46" i="6" s="1"/>
  <c r="B47" i="6" s="1"/>
  <c r="B48" i="6" s="1"/>
  <c r="B49" i="6" s="1"/>
  <c r="B50" i="6" s="1"/>
  <c r="B51" i="6" s="1"/>
  <c r="B52" i="6" s="1"/>
  <c r="B53" i="6" s="1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B64" i="6" s="1"/>
  <c r="B65" i="6" s="1"/>
  <c r="B66" i="6" s="1"/>
  <c r="B67" i="6" s="1"/>
  <c r="B68" i="6" s="1"/>
  <c r="B69" i="6" s="1"/>
  <c r="B70" i="6" s="1"/>
  <c r="B71" i="6" s="1"/>
  <c r="B72" i="6" s="1"/>
  <c r="B73" i="6" s="1"/>
  <c r="B74" i="6" s="1"/>
  <c r="B75" i="6" s="1"/>
  <c r="B76" i="6" s="1"/>
  <c r="B77" i="6" s="1"/>
  <c r="B78" i="6" s="1"/>
  <c r="B79" i="6" s="1"/>
  <c r="B80" i="6" s="1"/>
  <c r="B81" i="6" s="1"/>
  <c r="B82" i="6" s="1"/>
  <c r="B83" i="6" s="1"/>
  <c r="B84" i="6" s="1"/>
  <c r="B85" i="6" s="1"/>
  <c r="B86" i="6" s="1"/>
  <c r="B87" i="6" s="1"/>
  <c r="B88" i="6" s="1"/>
  <c r="B89" i="6" s="1"/>
  <c r="B90" i="6" s="1"/>
  <c r="B91" i="6" s="1"/>
  <c r="B92" i="6" s="1"/>
  <c r="B93" i="6" s="1"/>
  <c r="B94" i="6" s="1"/>
  <c r="B95" i="6" s="1"/>
  <c r="B96" i="6" s="1"/>
  <c r="B97" i="6" s="1"/>
  <c r="B98" i="6" s="1"/>
  <c r="B99" i="6" s="1"/>
  <c r="B100" i="6" s="1"/>
  <c r="B101" i="6" s="1"/>
  <c r="B102" i="6" s="1"/>
  <c r="B103" i="6" s="1"/>
  <c r="B104" i="6" s="1"/>
  <c r="B105" i="6" s="1"/>
  <c r="B106" i="6" s="1"/>
  <c r="B107" i="6" s="1"/>
  <c r="B108" i="6" s="1"/>
  <c r="B109" i="6" s="1"/>
  <c r="B110" i="6" s="1"/>
  <c r="B111" i="6" s="1"/>
  <c r="B112" i="6" s="1"/>
  <c r="B113" i="6" s="1"/>
  <c r="B114" i="6" s="1"/>
  <c r="B115" i="6" s="1"/>
  <c r="B116" i="6" s="1"/>
  <c r="B117" i="6" s="1"/>
  <c r="B118" i="6" s="1"/>
  <c r="B119" i="6" s="1"/>
  <c r="B120" i="6" s="1"/>
  <c r="A696" i="7"/>
  <c r="A701" i="7" s="1"/>
  <c r="A702" i="7" s="1"/>
  <c r="A707" i="7" s="1"/>
  <c r="A712" i="7" s="1"/>
  <c r="A717" i="7" s="1"/>
  <c r="A722" i="7" s="1"/>
  <c r="A727" i="7" s="1"/>
  <c r="A732" i="7" s="1"/>
  <c r="A737" i="7" s="1"/>
  <c r="A675" i="7"/>
  <c r="A676" i="7" s="1"/>
  <c r="A677" i="7" s="1"/>
  <c r="A678" i="7" s="1"/>
  <c r="A679" i="7" s="1"/>
  <c r="A680" i="7" s="1"/>
  <c r="E673" i="7"/>
  <c r="W673" i="7" s="1"/>
  <c r="M670" i="7"/>
  <c r="H670" i="7"/>
  <c r="M669" i="7"/>
  <c r="H669" i="7"/>
  <c r="E668" i="7"/>
  <c r="W668" i="7" s="1"/>
  <c r="E663" i="7"/>
  <c r="W663" i="7" s="1"/>
  <c r="E658" i="7"/>
  <c r="W658" i="7" s="1"/>
  <c r="E653" i="7"/>
  <c r="W653" i="7" s="1"/>
  <c r="A650" i="7"/>
  <c r="A651" i="7" s="1"/>
  <c r="A652" i="7" s="1"/>
  <c r="A653" i="7" s="1"/>
  <c r="A654" i="7" s="1"/>
  <c r="A657" i="7" s="1"/>
  <c r="A662" i="7" s="1"/>
  <c r="A663" i="7" s="1"/>
  <c r="A664" i="7" s="1"/>
  <c r="A665" i="7" s="1"/>
  <c r="A666" i="7" s="1"/>
  <c r="A667" i="7" s="1"/>
  <c r="A668" i="7" s="1"/>
  <c r="A669" i="7" s="1"/>
  <c r="A670" i="7" s="1"/>
  <c r="A584" i="7"/>
  <c r="A589" i="7" s="1"/>
  <c r="A590" i="7" s="1"/>
  <c r="A598" i="7" s="1"/>
  <c r="A603" i="7" s="1"/>
  <c r="A608" i="7" s="1"/>
  <c r="A613" i="7" s="1"/>
  <c r="A618" i="7" s="1"/>
  <c r="A623" i="7" s="1"/>
  <c r="A628" i="7" s="1"/>
  <c r="A633" i="7" s="1"/>
  <c r="A637" i="7" s="1"/>
  <c r="E565" i="7"/>
  <c r="W565" i="7" s="1"/>
  <c r="Y565" i="7" s="1"/>
  <c r="E561" i="7"/>
  <c r="W561" i="7" s="1"/>
  <c r="Y561" i="7" s="1"/>
  <c r="E560" i="7"/>
  <c r="W560" i="7" s="1"/>
  <c r="Y560" i="7" s="1"/>
  <c r="M555" i="7"/>
  <c r="H555" i="7"/>
  <c r="E542" i="7"/>
  <c r="W542" i="7" s="1"/>
  <c r="Y542" i="7" s="1"/>
  <c r="E539" i="7"/>
  <c r="W539" i="7" s="1"/>
  <c r="Y539" i="7" s="1"/>
  <c r="E538" i="7"/>
  <c r="W538" i="7" s="1"/>
  <c r="Y538" i="7" s="1"/>
  <c r="M529" i="7"/>
  <c r="H529" i="7"/>
  <c r="M528" i="7"/>
  <c r="A429" i="7"/>
  <c r="A434" i="7" s="1"/>
  <c r="A435" i="7" s="1"/>
  <c r="A440" i="7" s="1"/>
  <c r="A445" i="7" s="1"/>
  <c r="A450" i="7" s="1"/>
  <c r="A455" i="7" s="1"/>
  <c r="A460" i="7" s="1"/>
  <c r="A465" i="7" s="1"/>
  <c r="A470" i="7" s="1"/>
  <c r="A481" i="7" s="1"/>
  <c r="A410" i="7"/>
  <c r="A411" i="7" s="1"/>
  <c r="A412" i="7" s="1"/>
  <c r="A413" i="7" s="1"/>
  <c r="A275" i="7"/>
  <c r="A276" i="7" s="1"/>
  <c r="A277" i="7" s="1"/>
  <c r="A278" i="7" s="1"/>
  <c r="A283" i="7" s="1"/>
  <c r="A288" i="7" s="1"/>
  <c r="A292" i="7" s="1"/>
  <c r="A296" i="7" s="1"/>
  <c r="A300" i="7" s="1"/>
  <c r="A305" i="7" s="1"/>
  <c r="A306" i="7" s="1"/>
  <c r="A307" i="7" s="1"/>
  <c r="A308" i="7" s="1"/>
  <c r="A244" i="7"/>
  <c r="A245" i="7" s="1"/>
  <c r="A250" i="7" s="1"/>
  <c r="A258" i="7" s="1"/>
  <c r="A266" i="7" s="1"/>
  <c r="A270" i="7" s="1"/>
  <c r="A193" i="7"/>
  <c r="A199" i="7" s="1"/>
  <c r="A200" i="7" s="1"/>
  <c r="A205" i="7" s="1"/>
  <c r="A210" i="7" s="1"/>
  <c r="A218" i="7" s="1"/>
  <c r="A226" i="7" s="1"/>
  <c r="A230" i="7" s="1"/>
  <c r="K56" i="7"/>
  <c r="M52" i="7"/>
  <c r="K50" i="7"/>
  <c r="K42" i="7"/>
  <c r="E30" i="7"/>
  <c r="W30" i="7" s="1"/>
  <c r="Y30" i="7" s="1"/>
  <c r="J27" i="7"/>
  <c r="K27" i="7" s="1"/>
  <c r="K22" i="7"/>
  <c r="C51" i="19"/>
  <c r="I47" i="19"/>
  <c r="C26" i="19"/>
  <c r="M14" i="19"/>
  <c r="P92" i="18"/>
  <c r="E1094" i="7" s="1"/>
  <c r="W1094" i="7" s="1"/>
  <c r="Y1094" i="7" s="1"/>
  <c r="N73" i="18"/>
  <c r="P73" i="18" s="1"/>
  <c r="E1086" i="7" s="1"/>
  <c r="W1086" i="7" s="1"/>
  <c r="Y1086" i="7" s="1"/>
  <c r="D69" i="18"/>
  <c r="L63" i="18"/>
  <c r="L64" i="18" s="1"/>
  <c r="F63" i="18"/>
  <c r="F59" i="18"/>
  <c r="C59" i="18"/>
  <c r="H54" i="18"/>
  <c r="B53" i="18"/>
  <c r="B58" i="18" s="1"/>
  <c r="B63" i="18" s="1"/>
  <c r="B68" i="18" s="1"/>
  <c r="C48" i="18"/>
  <c r="H43" i="18"/>
  <c r="I42" i="18"/>
  <c r="I43" i="18" s="1"/>
  <c r="F42" i="18"/>
  <c r="D38" i="18"/>
  <c r="D31" i="18"/>
  <c r="M28" i="18"/>
  <c r="M33" i="18" s="1"/>
  <c r="M38" i="18" s="1"/>
  <c r="M43" i="18" s="1"/>
  <c r="M48" i="18" s="1"/>
  <c r="M54" i="18" s="1"/>
  <c r="M59" i="18" s="1"/>
  <c r="M64" i="18" s="1"/>
  <c r="M69" i="18" s="1"/>
  <c r="D27" i="18"/>
  <c r="D32" i="18" s="1"/>
  <c r="M26" i="18"/>
  <c r="M31" i="18" s="1"/>
  <c r="M36" i="18" s="1"/>
  <c r="M41" i="18" s="1"/>
  <c r="M46" i="18" s="1"/>
  <c r="M21" i="18"/>
  <c r="N21" i="18" s="1"/>
  <c r="E18" i="18"/>
  <c r="C18" i="18"/>
  <c r="B366" i="17"/>
  <c r="B369" i="17" s="1"/>
  <c r="A346" i="17"/>
  <c r="A347" i="17" s="1"/>
  <c r="A351" i="17" s="1"/>
  <c r="A371" i="17" s="1"/>
  <c r="G327" i="17"/>
  <c r="K314" i="17"/>
  <c r="M308" i="17"/>
  <c r="G300" i="17"/>
  <c r="L299" i="17"/>
  <c r="L303" i="17" s="1"/>
  <c r="L296" i="17"/>
  <c r="L300" i="17" s="1"/>
  <c r="L304" i="17" s="1"/>
  <c r="B286" i="17"/>
  <c r="B291" i="17" s="1"/>
  <c r="B295" i="17" s="1"/>
  <c r="B299" i="17" s="1"/>
  <c r="B303" i="17" s="1"/>
  <c r="B318" i="17" s="1"/>
  <c r="B322" i="17" s="1"/>
  <c r="B326" i="17" s="1"/>
  <c r="B330" i="17" s="1"/>
  <c r="B334" i="17" s="1"/>
  <c r="B348" i="17" s="1"/>
  <c r="D279" i="17"/>
  <c r="D283" i="17" s="1"/>
  <c r="D286" i="17" s="1"/>
  <c r="D287" i="17" s="1"/>
  <c r="K274" i="17"/>
  <c r="H271" i="17"/>
  <c r="H275" i="17" s="1"/>
  <c r="H279" i="17" s="1"/>
  <c r="H283" i="17" s="1"/>
  <c r="H287" i="17" s="1"/>
  <c r="H292" i="17" s="1"/>
  <c r="M262" i="17"/>
  <c r="M257" i="17"/>
  <c r="M252" i="17"/>
  <c r="E1066" i="7" s="1"/>
  <c r="W1066" i="7" s="1"/>
  <c r="Y1066" i="7" s="1"/>
  <c r="E141" i="7" l="1"/>
  <c r="W141" i="7"/>
  <c r="Y141" i="7" s="1"/>
  <c r="M369" i="25"/>
  <c r="H206" i="5"/>
  <c r="E119" i="7"/>
  <c r="W119" i="7"/>
  <c r="Y119" i="7" s="1"/>
  <c r="M191" i="13"/>
  <c r="N109" i="14"/>
  <c r="P109" i="14" s="1"/>
  <c r="E368" i="7" s="1"/>
  <c r="M368" i="7" s="1"/>
  <c r="N267" i="14"/>
  <c r="P267" i="14" s="1"/>
  <c r="E403" i="7" s="1"/>
  <c r="W403" i="7" s="1"/>
  <c r="E143" i="7"/>
  <c r="W143" i="7"/>
  <c r="Y143" i="7" s="1"/>
  <c r="E1347" i="7"/>
  <c r="P18" i="23"/>
  <c r="O1347" i="7" s="1"/>
  <c r="Q1347" i="7" s="1"/>
  <c r="Q1348" i="7" s="1"/>
  <c r="H199" i="32"/>
  <c r="M18" i="34"/>
  <c r="E1346" i="7"/>
  <c r="W1346" i="7" s="1"/>
  <c r="Y1346" i="7" s="1"/>
  <c r="Y1069" i="7"/>
  <c r="M160" i="7"/>
  <c r="W160" i="7"/>
  <c r="Y160" i="7" s="1"/>
  <c r="H167" i="7"/>
  <c r="W167" i="7"/>
  <c r="Y167" i="7" s="1"/>
  <c r="M176" i="7"/>
  <c r="W176" i="7"/>
  <c r="Y176" i="7" s="1"/>
  <c r="H217" i="7"/>
  <c r="W217" i="7"/>
  <c r="H562" i="7"/>
  <c r="W562" i="7"/>
  <c r="Y562" i="7" s="1"/>
  <c r="M211" i="7"/>
  <c r="W211" i="7"/>
  <c r="M307" i="7"/>
  <c r="W307" i="7"/>
  <c r="Y307" i="7" s="1"/>
  <c r="H513" i="7"/>
  <c r="W513" i="7"/>
  <c r="Y513" i="7" s="1"/>
  <c r="M354" i="7"/>
  <c r="W354" i="7"/>
  <c r="M369" i="7"/>
  <c r="W369" i="7"/>
  <c r="U1319" i="7"/>
  <c r="M303" i="7"/>
  <c r="W303" i="7"/>
  <c r="Y303" i="7" s="1"/>
  <c r="M171" i="7"/>
  <c r="W171" i="7"/>
  <c r="Y171" i="7" s="1"/>
  <c r="M212" i="7"/>
  <c r="W212" i="7"/>
  <c r="H230" i="7"/>
  <c r="W230" i="7"/>
  <c r="M308" i="7"/>
  <c r="W308" i="7"/>
  <c r="Y308" i="7" s="1"/>
  <c r="H482" i="7"/>
  <c r="W482" i="7"/>
  <c r="Y482" i="7" s="1"/>
  <c r="M213" i="7"/>
  <c r="W213" i="7"/>
  <c r="M186" i="7"/>
  <c r="W186" i="7"/>
  <c r="H270" i="7"/>
  <c r="W270" i="7"/>
  <c r="Y270" i="7" s="1"/>
  <c r="H557" i="7"/>
  <c r="W557" i="7"/>
  <c r="Y557" i="7" s="1"/>
  <c r="M173" i="7"/>
  <c r="W173" i="7"/>
  <c r="Y173" i="7" s="1"/>
  <c r="M558" i="7"/>
  <c r="W558" i="7"/>
  <c r="Y558" i="7" s="1"/>
  <c r="M324" i="7"/>
  <c r="W324" i="7"/>
  <c r="H172" i="7"/>
  <c r="W172" i="7"/>
  <c r="Y172" i="7" s="1"/>
  <c r="H483" i="7"/>
  <c r="W483" i="7"/>
  <c r="Y483" i="7" s="1"/>
  <c r="M522" i="7"/>
  <c r="W522" i="7"/>
  <c r="Y522" i="7" s="1"/>
  <c r="M534" i="7"/>
  <c r="W534" i="7"/>
  <c r="Y534" i="7" s="1"/>
  <c r="H329" i="7"/>
  <c r="W329" i="7"/>
  <c r="M394" i="7"/>
  <c r="W394" i="7"/>
  <c r="M302" i="7"/>
  <c r="W302" i="7"/>
  <c r="Y302" i="7" s="1"/>
  <c r="Y53" i="7"/>
  <c r="M175" i="7"/>
  <c r="W175" i="7"/>
  <c r="Y175" i="7" s="1"/>
  <c r="M237" i="7"/>
  <c r="W237" i="7"/>
  <c r="Y237" i="7" s="1"/>
  <c r="M441" i="7"/>
  <c r="W441" i="7"/>
  <c r="Y441" i="7" s="1"/>
  <c r="M172" i="7"/>
  <c r="H308" i="7"/>
  <c r="H237" i="7"/>
  <c r="M557" i="7"/>
  <c r="M270" i="7"/>
  <c r="H441" i="7"/>
  <c r="H176" i="7"/>
  <c r="M482" i="7"/>
  <c r="M217" i="7"/>
  <c r="M230" i="7"/>
  <c r="H213" i="7"/>
  <c r="H212" i="7"/>
  <c r="H173" i="7"/>
  <c r="K24" i="7"/>
  <c r="N213" i="14"/>
  <c r="P213" i="14" s="1"/>
  <c r="E387" i="7" s="1"/>
  <c r="M387" i="7" s="1"/>
  <c r="M363" i="39"/>
  <c r="M382" i="16"/>
  <c r="M193" i="27"/>
  <c r="M194" i="27" s="1"/>
  <c r="O194" i="27" s="1"/>
  <c r="M236" i="26"/>
  <c r="M237" i="26" s="1"/>
  <c r="M149" i="25"/>
  <c r="M142" i="27"/>
  <c r="N162" i="40"/>
  <c r="P162" i="40" s="1"/>
  <c r="M139" i="27"/>
  <c r="M140" i="27" s="1"/>
  <c r="M121" i="25"/>
  <c r="M146" i="27"/>
  <c r="M483" i="7"/>
  <c r="N234" i="26"/>
  <c r="H186" i="32"/>
  <c r="J186" i="32" s="1"/>
  <c r="M118" i="39"/>
  <c r="M119" i="39"/>
  <c r="M120" i="39" s="1"/>
  <c r="M340" i="39"/>
  <c r="M136" i="27"/>
  <c r="H160" i="7"/>
  <c r="N16" i="26"/>
  <c r="P16" i="26" s="1"/>
  <c r="G3880" i="42"/>
  <c r="M167" i="7"/>
  <c r="M144" i="15"/>
  <c r="M272" i="25"/>
  <c r="N29" i="26"/>
  <c r="F30" i="26" s="1"/>
  <c r="N30" i="26" s="1"/>
  <c r="P30" i="26" s="1"/>
  <c r="M199" i="27"/>
  <c r="N29" i="14"/>
  <c r="F30" i="14" s="1"/>
  <c r="N30" i="14" s="1"/>
  <c r="P30" i="14" s="1"/>
  <c r="E332" i="7" s="1"/>
  <c r="M469" i="16"/>
  <c r="O469" i="16" s="1"/>
  <c r="E829" i="7" s="1"/>
  <c r="H137" i="32"/>
  <c r="M160" i="27"/>
  <c r="H302" i="7"/>
  <c r="M205" i="20"/>
  <c r="N362" i="40"/>
  <c r="H558" i="7"/>
  <c r="M366" i="17"/>
  <c r="K29" i="7"/>
  <c r="K38" i="7"/>
  <c r="H171" i="7"/>
  <c r="H307" i="7"/>
  <c r="K931" i="7"/>
  <c r="N12" i="9"/>
  <c r="P12" i="9" s="1"/>
  <c r="N133" i="10"/>
  <c r="M253" i="13"/>
  <c r="E501" i="7" s="1"/>
  <c r="W501" i="7" s="1"/>
  <c r="Y501" i="7" s="1"/>
  <c r="N12" i="14"/>
  <c r="P12" i="14" s="1"/>
  <c r="E321" i="7" s="1"/>
  <c r="W321" i="7" s="1"/>
  <c r="N36" i="14"/>
  <c r="N79" i="14"/>
  <c r="P79" i="14" s="1"/>
  <c r="E355" i="7" s="1"/>
  <c r="N162" i="14"/>
  <c r="P162" i="14" s="1"/>
  <c r="N249" i="14"/>
  <c r="M35" i="15"/>
  <c r="M36" i="15" s="1"/>
  <c r="E587" i="7" s="1"/>
  <c r="M82" i="15"/>
  <c r="M359" i="16"/>
  <c r="O410" i="16"/>
  <c r="M30" i="17"/>
  <c r="O30" i="17" s="1"/>
  <c r="E974" i="7" s="1"/>
  <c r="N511" i="21"/>
  <c r="M13" i="24"/>
  <c r="O13" i="24" s="1"/>
  <c r="E848" i="7" s="1"/>
  <c r="M85" i="19"/>
  <c r="E1127" i="7" s="1"/>
  <c r="M15" i="27"/>
  <c r="M240" i="27"/>
  <c r="N120" i="29"/>
  <c r="N27" i="31"/>
  <c r="P27" i="31" s="1"/>
  <c r="M302" i="25"/>
  <c r="N142" i="28"/>
  <c r="P142" i="28" s="1"/>
  <c r="N36" i="29"/>
  <c r="I29" i="34"/>
  <c r="M151" i="27"/>
  <c r="M230" i="17"/>
  <c r="E1054" i="7" s="1"/>
  <c r="H211" i="7"/>
  <c r="H96" i="5"/>
  <c r="J96" i="5" s="1"/>
  <c r="N129" i="11"/>
  <c r="M150" i="16"/>
  <c r="M191" i="16"/>
  <c r="M347" i="39"/>
  <c r="M313" i="39" s="1"/>
  <c r="G3947" i="42"/>
  <c r="H324" i="7"/>
  <c r="H201" i="5"/>
  <c r="J201" i="5" s="1"/>
  <c r="H217" i="5"/>
  <c r="J217" i="5" s="1"/>
  <c r="C218" i="5" s="1"/>
  <c r="H532" i="6"/>
  <c r="J532" i="6" s="1"/>
  <c r="K572" i="6"/>
  <c r="E563" i="6" s="1"/>
  <c r="E577" i="6" s="1"/>
  <c r="E596" i="6" s="1"/>
  <c r="N29" i="9"/>
  <c r="F30" i="9" s="1"/>
  <c r="N30" i="9" s="1"/>
  <c r="P30" i="9" s="1"/>
  <c r="N15" i="10"/>
  <c r="P15" i="10" s="1"/>
  <c r="E183" i="7" s="1"/>
  <c r="W183" i="7" s="1"/>
  <c r="N60" i="10"/>
  <c r="F61" i="10" s="1"/>
  <c r="N61" i="10" s="1"/>
  <c r="P61" i="10" s="1"/>
  <c r="E195" i="7" s="1"/>
  <c r="M15" i="13"/>
  <c r="E420" i="7" s="1"/>
  <c r="W420" i="7" s="1"/>
  <c r="Y420" i="7" s="1"/>
  <c r="M15" i="15"/>
  <c r="E575" i="7" s="1"/>
  <c r="M275" i="15"/>
  <c r="M387" i="16"/>
  <c r="M407" i="16"/>
  <c r="O407" i="16" s="1"/>
  <c r="E798" i="7" s="1"/>
  <c r="M222" i="17"/>
  <c r="E1049" i="7" s="1"/>
  <c r="M174" i="24"/>
  <c r="M14" i="25"/>
  <c r="M225" i="25"/>
  <c r="M437" i="25"/>
  <c r="N230" i="28"/>
  <c r="P230" i="28" s="1"/>
  <c r="N29" i="29"/>
  <c r="F30" i="29" s="1"/>
  <c r="N30" i="29" s="1"/>
  <c r="P30" i="29" s="1"/>
  <c r="C121" i="29"/>
  <c r="N121" i="29" s="1"/>
  <c r="N140" i="33"/>
  <c r="P140" i="33" s="1"/>
  <c r="I112" i="34"/>
  <c r="M248" i="36"/>
  <c r="K932" i="7"/>
  <c r="K814" i="7"/>
  <c r="K813" i="7"/>
  <c r="M115" i="13"/>
  <c r="N490" i="21"/>
  <c r="M273" i="25"/>
  <c r="M80" i="36"/>
  <c r="M222" i="36"/>
  <c r="N47" i="18"/>
  <c r="M110" i="19"/>
  <c r="E1137" i="7" s="1"/>
  <c r="M28" i="20"/>
  <c r="E1171" i="7" s="1"/>
  <c r="E260" i="32"/>
  <c r="E274" i="32" s="1"/>
  <c r="E293" i="32" s="1"/>
  <c r="M274" i="32"/>
  <c r="H186" i="7"/>
  <c r="N101" i="10"/>
  <c r="N10" i="11"/>
  <c r="P10" i="11" s="1"/>
  <c r="E234" i="7" s="1"/>
  <c r="W234" i="7" s="1"/>
  <c r="Y234" i="7" s="1"/>
  <c r="N119" i="11"/>
  <c r="N120" i="11" s="1"/>
  <c r="P120" i="11" s="1"/>
  <c r="E262" i="7" s="1"/>
  <c r="W262" i="7" s="1"/>
  <c r="Y262" i="7" s="1"/>
  <c r="M444" i="11"/>
  <c r="N15" i="12"/>
  <c r="P15" i="12" s="1"/>
  <c r="E312" i="7" s="1"/>
  <c r="W312" i="7" s="1"/>
  <c r="M45" i="13"/>
  <c r="N114" i="14"/>
  <c r="N115" i="14" s="1"/>
  <c r="P115" i="14" s="1"/>
  <c r="E370" i="7" s="1"/>
  <c r="M274" i="15"/>
  <c r="M88" i="16"/>
  <c r="O88" i="16" s="1"/>
  <c r="E718" i="7" s="1"/>
  <c r="M171" i="16"/>
  <c r="M178" i="16"/>
  <c r="M190" i="16"/>
  <c r="M241" i="16"/>
  <c r="M276" i="16"/>
  <c r="O276" i="16" s="1"/>
  <c r="E763" i="7" s="1"/>
  <c r="M353" i="16"/>
  <c r="O353" i="16" s="1"/>
  <c r="E787" i="7" s="1"/>
  <c r="M33" i="24"/>
  <c r="K29" i="24" s="1"/>
  <c r="M87" i="24"/>
  <c r="O87" i="24" s="1"/>
  <c r="E872" i="7" s="1"/>
  <c r="N265" i="30"/>
  <c r="N87" i="30"/>
  <c r="N263" i="33"/>
  <c r="P263" i="33" s="1"/>
  <c r="M30" i="39"/>
  <c r="K31" i="39" s="1"/>
  <c r="M31" i="39" s="1"/>
  <c r="M322" i="39"/>
  <c r="N12" i="40"/>
  <c r="P12" i="40" s="1"/>
  <c r="M271" i="17"/>
  <c r="M272" i="17" s="1"/>
  <c r="M152" i="27"/>
  <c r="H193" i="5"/>
  <c r="J193" i="5" s="1"/>
  <c r="H537" i="6"/>
  <c r="N36" i="9"/>
  <c r="N114" i="9"/>
  <c r="P114" i="9" s="1"/>
  <c r="N94" i="10"/>
  <c r="P94" i="10" s="1"/>
  <c r="E206" i="7" s="1"/>
  <c r="W206" i="7" s="1"/>
  <c r="E135" i="10"/>
  <c r="M346" i="11"/>
  <c r="O346" i="11" s="1"/>
  <c r="N29" i="12"/>
  <c r="M197" i="13"/>
  <c r="N253" i="14"/>
  <c r="P253" i="14" s="1"/>
  <c r="E398" i="7" s="1"/>
  <c r="M32" i="15"/>
  <c r="K29" i="15" s="1"/>
  <c r="M29" i="15" s="1"/>
  <c r="E586" i="7" s="1"/>
  <c r="M129" i="15"/>
  <c r="M228" i="16"/>
  <c r="M385" i="16"/>
  <c r="M14" i="17"/>
  <c r="O14" i="17" s="1"/>
  <c r="E962" i="7" s="1"/>
  <c r="M169" i="20"/>
  <c r="E1232" i="7" s="1"/>
  <c r="M246" i="20"/>
  <c r="N148" i="21"/>
  <c r="M213" i="24"/>
  <c r="N172" i="26"/>
  <c r="N251" i="30"/>
  <c r="N88" i="30"/>
  <c r="I107" i="34"/>
  <c r="I137" i="34"/>
  <c r="N46" i="35"/>
  <c r="P46" i="35" s="1"/>
  <c r="M302" i="36"/>
  <c r="N57" i="38"/>
  <c r="M117" i="39"/>
  <c r="M68" i="19"/>
  <c r="E1120" i="7" s="1"/>
  <c r="G3899" i="42"/>
  <c r="G3936" i="42"/>
  <c r="O563" i="6"/>
  <c r="D560" i="6"/>
  <c r="N71" i="10"/>
  <c r="F72" i="10" s="1"/>
  <c r="N72" i="10" s="1"/>
  <c r="P72" i="10" s="1"/>
  <c r="E199" i="7" s="1"/>
  <c r="W199" i="7" s="1"/>
  <c r="N148" i="33"/>
  <c r="P148" i="33" s="1"/>
  <c r="N73" i="35"/>
  <c r="P73" i="35" s="1"/>
  <c r="M249" i="36"/>
  <c r="M351" i="36"/>
  <c r="M370" i="39"/>
  <c r="M169" i="27"/>
  <c r="O169" i="27" s="1"/>
  <c r="D269" i="5"/>
  <c r="M268" i="5"/>
  <c r="D270" i="5" s="1"/>
  <c r="D272" i="5" s="1"/>
  <c r="D273" i="5" s="1"/>
  <c r="D274" i="5" s="1"/>
  <c r="D275" i="5" s="1"/>
  <c r="D279" i="5" s="1"/>
  <c r="H175" i="7"/>
  <c r="H524" i="6"/>
  <c r="J524" i="6" s="1"/>
  <c r="N30" i="12"/>
  <c r="M337" i="13"/>
  <c r="E559" i="7" s="1"/>
  <c r="W559" i="7" s="1"/>
  <c r="Y559" i="7" s="1"/>
  <c r="N188" i="11"/>
  <c r="P188" i="11" s="1"/>
  <c r="E273" i="7" s="1"/>
  <c r="E267" i="5"/>
  <c r="E281" i="5" s="1"/>
  <c r="E300" i="5" s="1"/>
  <c r="M281" i="5"/>
  <c r="M216" i="15"/>
  <c r="M225" i="16"/>
  <c r="M383" i="16"/>
  <c r="M386" i="16"/>
  <c r="M90" i="17"/>
  <c r="M92" i="17" s="1"/>
  <c r="O92" i="17" s="1"/>
  <c r="E993" i="7" s="1"/>
  <c r="N79" i="18"/>
  <c r="P79" i="18" s="1"/>
  <c r="E1092" i="7" s="1"/>
  <c r="N199" i="29"/>
  <c r="N12" i="30"/>
  <c r="P12" i="30" s="1"/>
  <c r="N29" i="30"/>
  <c r="F30" i="30" s="1"/>
  <c r="N30" i="30" s="1"/>
  <c r="P30" i="30" s="1"/>
  <c r="N91" i="33"/>
  <c r="I104" i="34"/>
  <c r="I110" i="34"/>
  <c r="I160" i="34"/>
  <c r="I162" i="34" s="1"/>
  <c r="M198" i="36"/>
  <c r="M245" i="36"/>
  <c r="M468" i="36"/>
  <c r="N12" i="38"/>
  <c r="P12" i="38" s="1"/>
  <c r="M359" i="39"/>
  <c r="M296" i="25"/>
  <c r="M249" i="27"/>
  <c r="N265" i="28"/>
  <c r="P265" i="28" s="1"/>
  <c r="N341" i="40"/>
  <c r="G3912" i="42"/>
  <c r="M204" i="15"/>
  <c r="E636" i="7" s="1"/>
  <c r="W636" i="7" s="1"/>
  <c r="M358" i="16"/>
  <c r="M393" i="16"/>
  <c r="O393" i="16" s="1"/>
  <c r="E795" i="7" s="1"/>
  <c r="N177" i="28"/>
  <c r="P177" i="28" s="1"/>
  <c r="N32" i="35"/>
  <c r="M46" i="36"/>
  <c r="K47" i="36" s="1"/>
  <c r="M47" i="36" s="1"/>
  <c r="M99" i="19"/>
  <c r="M15" i="20"/>
  <c r="E1161" i="7" s="1"/>
  <c r="N36" i="26"/>
  <c r="G3893" i="42"/>
  <c r="D262" i="32"/>
  <c r="M261" i="32"/>
  <c r="D263" i="32" s="1"/>
  <c r="D265" i="32" s="1"/>
  <c r="D266" i="32" s="1"/>
  <c r="D267" i="32" s="1"/>
  <c r="D268" i="32" s="1"/>
  <c r="D272" i="32" s="1"/>
  <c r="D273" i="32" s="1"/>
  <c r="N119" i="9"/>
  <c r="N120" i="9" s="1"/>
  <c r="P120" i="9" s="1"/>
  <c r="H144" i="5"/>
  <c r="N257" i="9"/>
  <c r="P257" i="9" s="1"/>
  <c r="E162" i="7" s="1"/>
  <c r="W162" i="7" s="1"/>
  <c r="Y162" i="7" s="1"/>
  <c r="M267" i="15"/>
  <c r="M384" i="16"/>
  <c r="N464" i="21"/>
  <c r="N500" i="21"/>
  <c r="M222" i="25"/>
  <c r="N229" i="30"/>
  <c r="P229" i="30" s="1"/>
  <c r="N17" i="31"/>
  <c r="P17" i="31" s="1"/>
  <c r="H95" i="32"/>
  <c r="J95" i="32" s="1"/>
  <c r="H106" i="32"/>
  <c r="N197" i="26"/>
  <c r="P197" i="26" s="1"/>
  <c r="N210" i="29"/>
  <c r="P210" i="29" s="1"/>
  <c r="I30" i="34"/>
  <c r="I88" i="34"/>
  <c r="I111" i="34"/>
  <c r="M136" i="36"/>
  <c r="M199" i="36"/>
  <c r="M247" i="36"/>
  <c r="M216" i="39"/>
  <c r="N304" i="40"/>
  <c r="P304" i="40" s="1"/>
  <c r="M263" i="17"/>
  <c r="N231" i="26"/>
  <c r="N152" i="28"/>
  <c r="N226" i="40"/>
  <c r="H534" i="7"/>
  <c r="M523" i="7"/>
  <c r="H523" i="7"/>
  <c r="H522" i="7"/>
  <c r="M521" i="7"/>
  <c r="H521" i="7"/>
  <c r="J521" i="7"/>
  <c r="M520" i="7"/>
  <c r="H520" i="7"/>
  <c r="H514" i="7"/>
  <c r="M513" i="7"/>
  <c r="M509" i="7"/>
  <c r="H509" i="7"/>
  <c r="M329" i="7"/>
  <c r="H303" i="7"/>
  <c r="M1189" i="7"/>
  <c r="H1189" i="7"/>
  <c r="M1153" i="7"/>
  <c r="H1153" i="7"/>
  <c r="M1150" i="7"/>
  <c r="H1150" i="7"/>
  <c r="M1124" i="7"/>
  <c r="H1124" i="7"/>
  <c r="M1116" i="7"/>
  <c r="H1116" i="7"/>
  <c r="M1085" i="7"/>
  <c r="H1085" i="7"/>
  <c r="G4313" i="42"/>
  <c r="G4310" i="42"/>
  <c r="G4297" i="42"/>
  <c r="G4286" i="42"/>
  <c r="G4273" i="42"/>
  <c r="G4262" i="42"/>
  <c r="G4249" i="42"/>
  <c r="G4238" i="42"/>
  <c r="G4225" i="42"/>
  <c r="G4214" i="42"/>
  <c r="G4201" i="42"/>
  <c r="G4197" i="42"/>
  <c r="G4184" i="42"/>
  <c r="G4181" i="42"/>
  <c r="G4171" i="42"/>
  <c r="G4155" i="42"/>
  <c r="G4152" i="42"/>
  <c r="G4139" i="42"/>
  <c r="G4136" i="42"/>
  <c r="F4124" i="42"/>
  <c r="G4124" i="42" s="1"/>
  <c r="G4125" i="42" s="1"/>
  <c r="G4121" i="42"/>
  <c r="F4113" i="42"/>
  <c r="G4113" i="42" s="1"/>
  <c r="G4114" i="42" s="1"/>
  <c r="G4110" i="42"/>
  <c r="G4096" i="42"/>
  <c r="G4099" i="42" s="1"/>
  <c r="G4083" i="42"/>
  <c r="G4086" i="42" s="1"/>
  <c r="G4087" i="42" s="1"/>
  <c r="G4070" i="42"/>
  <c r="G4073" i="42" s="1"/>
  <c r="G4057" i="42"/>
  <c r="G4060" i="42" s="1"/>
  <c r="G4061" i="42" s="1"/>
  <c r="G4044" i="42"/>
  <c r="G4047" i="42" s="1"/>
  <c r="G4048" i="42" s="1"/>
  <c r="D4033" i="42"/>
  <c r="G4033" i="42" s="1"/>
  <c r="D4027" i="42"/>
  <c r="G4027" i="42" s="1"/>
  <c r="G4034" i="42" s="1"/>
  <c r="G4021" i="42"/>
  <c r="G4016" i="42"/>
  <c r="G4003" i="42"/>
  <c r="G3997" i="42"/>
  <c r="G3975" i="42"/>
  <c r="G3964" i="42"/>
  <c r="G3960" i="42"/>
  <c r="G3967" i="42" s="1"/>
  <c r="G3875" i="42"/>
  <c r="G3883" i="42" s="1"/>
  <c r="G3862" i="42"/>
  <c r="G3859" i="42"/>
  <c r="G3846" i="42"/>
  <c r="G3830" i="42"/>
  <c r="G3815" i="42"/>
  <c r="G3811" i="42"/>
  <c r="G3798" i="42"/>
  <c r="G3795" i="42"/>
  <c r="G3782" i="42"/>
  <c r="G3779" i="42"/>
  <c r="G3752" i="42"/>
  <c r="G3747" i="42"/>
  <c r="G3738" i="42"/>
  <c r="G3733" i="42"/>
  <c r="G3722" i="42"/>
  <c r="G3717" i="42"/>
  <c r="G3707" i="42"/>
  <c r="G3708" i="42" s="1"/>
  <c r="I3705" i="42" s="1"/>
  <c r="G3691" i="42"/>
  <c r="G3683" i="42"/>
  <c r="G3692" i="42" s="1"/>
  <c r="G3674" i="42"/>
  <c r="G3668" i="42"/>
  <c r="G3663" i="42"/>
  <c r="G3654" i="42"/>
  <c r="G3646" i="42"/>
  <c r="G3640" i="42"/>
  <c r="G3628" i="42"/>
  <c r="G3632" i="42" s="1"/>
  <c r="G3611" i="42"/>
  <c r="G3618" i="42" s="1"/>
  <c r="G3601" i="42"/>
  <c r="G3604" i="42" s="1"/>
  <c r="G3605" i="42" s="1"/>
  <c r="G3588" i="42"/>
  <c r="G3591" i="42" s="1"/>
  <c r="G3592" i="42" s="1"/>
  <c r="G3593" i="42" s="1"/>
  <c r="D208" i="41" s="1"/>
  <c r="G3575" i="42"/>
  <c r="G3571" i="42"/>
  <c r="G3558" i="42"/>
  <c r="G3555" i="42"/>
  <c r="G3542" i="42"/>
  <c r="G3539" i="42"/>
  <c r="G3526" i="42"/>
  <c r="G3523" i="42"/>
  <c r="G3510" i="42"/>
  <c r="G3507" i="42"/>
  <c r="G3494" i="42"/>
  <c r="G3491" i="42"/>
  <c r="G3478" i="42"/>
  <c r="G3475" i="42"/>
  <c r="G3462" i="42"/>
  <c r="G3459" i="42"/>
  <c r="G3426" i="42"/>
  <c r="G3423" i="42"/>
  <c r="G3412" i="42"/>
  <c r="G3409" i="42"/>
  <c r="G3406" i="42"/>
  <c r="G3395" i="42"/>
  <c r="G3387" i="42"/>
  <c r="G3375" i="42"/>
  <c r="G3378" i="42" s="1"/>
  <c r="G3379" i="42" s="1"/>
  <c r="G3362" i="42"/>
  <c r="G3365" i="42" s="1"/>
  <c r="G3366" i="42" s="1"/>
  <c r="G3349" i="42"/>
  <c r="G3346" i="42"/>
  <c r="G3333" i="42"/>
  <c r="G3330" i="42"/>
  <c r="G3317" i="42"/>
  <c r="G3314" i="42"/>
  <c r="G3301" i="42"/>
  <c r="G3298" i="42"/>
  <c r="G3285" i="42"/>
  <c r="G3282" i="42"/>
  <c r="G3269" i="42"/>
  <c r="G3265" i="42"/>
  <c r="G3252" i="42"/>
  <c r="G3248" i="42"/>
  <c r="G3235" i="42"/>
  <c r="G3230" i="42"/>
  <c r="G3217" i="42"/>
  <c r="G3213" i="42"/>
  <c r="G3200" i="42"/>
  <c r="G3196" i="42"/>
  <c r="G3179" i="42"/>
  <c r="G3166" i="42"/>
  <c r="G3161" i="42"/>
  <c r="G3148" i="42"/>
  <c r="G3144" i="42"/>
  <c r="G3131" i="42"/>
  <c r="G3127" i="42"/>
  <c r="G3134" i="42" s="1"/>
  <c r="G3114" i="42"/>
  <c r="G3110" i="42"/>
  <c r="G3093" i="42"/>
  <c r="G3080" i="42"/>
  <c r="G3077" i="42"/>
  <c r="G3065" i="42"/>
  <c r="G3061" i="42"/>
  <c r="G3048" i="42"/>
  <c r="G3044" i="42"/>
  <c r="G3031" i="42"/>
  <c r="G3027" i="42"/>
  <c r="G3014" i="42"/>
  <c r="G3010" i="42"/>
  <c r="G2996" i="42"/>
  <c r="G2992" i="42"/>
  <c r="G2981" i="42"/>
  <c r="G2977" i="42"/>
  <c r="G2966" i="42"/>
  <c r="G2963" i="42"/>
  <c r="G2954" i="42"/>
  <c r="G2955" i="42" s="1"/>
  <c r="D166" i="41" s="1"/>
  <c r="I1087" i="7" s="1"/>
  <c r="J1087" i="7" s="1"/>
  <c r="G2940" i="42"/>
  <c r="G2936" i="42"/>
  <c r="G2925" i="42"/>
  <c r="G2921" i="42"/>
  <c r="G2910" i="42"/>
  <c r="G2906" i="42"/>
  <c r="G2895" i="42"/>
  <c r="G2892" i="42"/>
  <c r="G2881" i="42"/>
  <c r="G2878" i="42"/>
  <c r="G2867" i="42"/>
  <c r="G2868" i="42" s="1"/>
  <c r="G2854" i="42"/>
  <c r="G2851" i="42"/>
  <c r="G2840" i="42"/>
  <c r="G2837" i="42"/>
  <c r="G2826" i="42"/>
  <c r="G2823" i="42"/>
  <c r="G2827" i="42" s="1"/>
  <c r="G2812" i="42"/>
  <c r="G2809" i="42"/>
  <c r="G2798" i="42"/>
  <c r="G2795" i="42"/>
  <c r="G2784" i="42"/>
  <c r="G2778" i="42"/>
  <c r="G2770" i="42"/>
  <c r="G2771" i="42" s="1"/>
  <c r="G2759" i="42"/>
  <c r="G2753" i="42"/>
  <c r="G2745" i="42"/>
  <c r="G2742" i="42"/>
  <c r="G2731" i="42"/>
  <c r="G2727" i="42"/>
  <c r="G2716" i="42"/>
  <c r="G2712" i="42"/>
  <c r="G2701" i="42"/>
  <c r="G2698" i="42"/>
  <c r="G2687" i="42"/>
  <c r="G2684" i="42"/>
  <c r="G2673" i="42"/>
  <c r="G2670" i="42"/>
  <c r="G2659" i="42"/>
  <c r="G2656" i="42"/>
  <c r="G2645" i="42"/>
  <c r="G2642" i="42"/>
  <c r="G2631" i="42"/>
  <c r="G2623" i="42"/>
  <c r="G2632" i="42" s="1"/>
  <c r="G2612" i="42"/>
  <c r="G2601" i="42"/>
  <c r="G2590" i="42"/>
  <c r="G2579" i="42"/>
  <c r="G2568" i="42"/>
  <c r="G2569" i="42" s="1"/>
  <c r="G2570" i="42" s="1"/>
  <c r="G2557" i="42"/>
  <c r="G2558" i="42" s="1"/>
  <c r="I2553" i="42" s="1"/>
  <c r="I2554" i="42" s="1"/>
  <c r="G2546" i="42"/>
  <c r="G2547" i="42" s="1"/>
  <c r="G2548" i="42" s="1"/>
  <c r="G2549" i="42" s="1"/>
  <c r="D137" i="41" s="1"/>
  <c r="I1094" i="7" s="1"/>
  <c r="J1094" i="7" s="1"/>
  <c r="G2530" i="42"/>
  <c r="G2531" i="42" s="1"/>
  <c r="G2532" i="42" s="1"/>
  <c r="G2514" i="42"/>
  <c r="G2502" i="42"/>
  <c r="G2491" i="42"/>
  <c r="G2479" i="42"/>
  <c r="G2468" i="42"/>
  <c r="G2456" i="42"/>
  <c r="G2443" i="42"/>
  <c r="G2439" i="42"/>
  <c r="G2429" i="42"/>
  <c r="G2432" i="42" s="1"/>
  <c r="G2433" i="42" s="1"/>
  <c r="G2416" i="42"/>
  <c r="G2419" i="42" s="1"/>
  <c r="G2403" i="42"/>
  <c r="G2400" i="42"/>
  <c r="G2389" i="42"/>
  <c r="G2386" i="42"/>
  <c r="G2375" i="42"/>
  <c r="G2372" i="42"/>
  <c r="G2361" i="42"/>
  <c r="G2358" i="42"/>
  <c r="G2347" i="42"/>
  <c r="G2344" i="42"/>
  <c r="G2333" i="42"/>
  <c r="G2330" i="42"/>
  <c r="G2319" i="42"/>
  <c r="G2316" i="42"/>
  <c r="G2305" i="42"/>
  <c r="G2302" i="42"/>
  <c r="G2291" i="42"/>
  <c r="G2287" i="42"/>
  <c r="G2276" i="42"/>
  <c r="G2272" i="42"/>
  <c r="G2261" i="42"/>
  <c r="G2257" i="42"/>
  <c r="G2246" i="42"/>
  <c r="G2242" i="42"/>
  <c r="G2231" i="42"/>
  <c r="G2226" i="42"/>
  <c r="G2215" i="42"/>
  <c r="G2212" i="42"/>
  <c r="G2197" i="42"/>
  <c r="G2186" i="42"/>
  <c r="G2181" i="42"/>
  <c r="G2170" i="42"/>
  <c r="G2171" i="42" s="1"/>
  <c r="I2166" i="42" s="1"/>
  <c r="I2167" i="42" s="1"/>
  <c r="G2159" i="42"/>
  <c r="G2154" i="42"/>
  <c r="G2143" i="42"/>
  <c r="G2139" i="42"/>
  <c r="G2128" i="42"/>
  <c r="G2123" i="42"/>
  <c r="G2129" i="42" s="1"/>
  <c r="G2112" i="42"/>
  <c r="G2107" i="42"/>
  <c r="G2090" i="42"/>
  <c r="G2077" i="42"/>
  <c r="G2073" i="42"/>
  <c r="G2066" i="42"/>
  <c r="G2062" i="42"/>
  <c r="G2048" i="42"/>
  <c r="G2044" i="42"/>
  <c r="G2037" i="42"/>
  <c r="G2033" i="42"/>
  <c r="G2021" i="42"/>
  <c r="G2017" i="42"/>
  <c r="F2009" i="42"/>
  <c r="G2009" i="42" s="1"/>
  <c r="G2010" i="42"/>
  <c r="G2006" i="42"/>
  <c r="G1992" i="42"/>
  <c r="G1988" i="42"/>
  <c r="G1981" i="42"/>
  <c r="G1977" i="42"/>
  <c r="G1962" i="42"/>
  <c r="G1966" i="42" s="1"/>
  <c r="G1950" i="42"/>
  <c r="G1954" i="42" s="1"/>
  <c r="G1939" i="42"/>
  <c r="G1943" i="42" s="1"/>
  <c r="G1928" i="42"/>
  <c r="G1932" i="42" s="1"/>
  <c r="G1917" i="42"/>
  <c r="G1921" i="42" s="1"/>
  <c r="G1906" i="42"/>
  <c r="G1895" i="42"/>
  <c r="G1887" i="42"/>
  <c r="G1882" i="42"/>
  <c r="G1871" i="42"/>
  <c r="G1866" i="42"/>
  <c r="G1855" i="42"/>
  <c r="G1850" i="42"/>
  <c r="G1839" i="42"/>
  <c r="G1834" i="42"/>
  <c r="G1840" i="42" s="1"/>
  <c r="N314" i="40"/>
  <c r="P314" i="40" s="1"/>
  <c r="M315" i="40"/>
  <c r="N156" i="29"/>
  <c r="C159" i="29"/>
  <c r="N159" i="29" s="1"/>
  <c r="C134" i="29"/>
  <c r="N134" i="29" s="1"/>
  <c r="N126" i="29"/>
  <c r="F130" i="29"/>
  <c r="N130" i="29" s="1"/>
  <c r="N52" i="29"/>
  <c r="C45" i="29"/>
  <c r="C56" i="29"/>
  <c r="M46" i="29"/>
  <c r="M57" i="29"/>
  <c r="M61" i="29" s="1"/>
  <c r="M65" i="29" s="1"/>
  <c r="C225" i="28"/>
  <c r="N225" i="28" s="1"/>
  <c r="N226" i="28" s="1"/>
  <c r="P226" i="28" s="1"/>
  <c r="N221" i="28"/>
  <c r="N222" i="28" s="1"/>
  <c r="P222" i="28" s="1"/>
  <c r="N145" i="28"/>
  <c r="N146" i="28" s="1"/>
  <c r="P146" i="28" s="1"/>
  <c r="F149" i="28"/>
  <c r="N149" i="28" s="1"/>
  <c r="C153" i="28"/>
  <c r="N153" i="28" s="1"/>
  <c r="N124" i="28"/>
  <c r="P124" i="28" s="1"/>
  <c r="F125" i="28"/>
  <c r="N125" i="28" s="1"/>
  <c r="P125" i="28" s="1"/>
  <c r="C126" i="28"/>
  <c r="N126" i="28" s="1"/>
  <c r="P126" i="28" s="1"/>
  <c r="C45" i="28"/>
  <c r="N52" i="28"/>
  <c r="C56" i="28"/>
  <c r="N235" i="26"/>
  <c r="C240" i="26"/>
  <c r="H211" i="26"/>
  <c r="H220" i="26" s="1"/>
  <c r="H207" i="26"/>
  <c r="N81" i="26"/>
  <c r="P81" i="26" s="1"/>
  <c r="E177" i="26"/>
  <c r="N177" i="26" s="1"/>
  <c r="N183" i="26" s="1"/>
  <c r="M76" i="26"/>
  <c r="N76" i="26" s="1"/>
  <c r="P76" i="26" s="1"/>
  <c r="M75" i="26"/>
  <c r="N75" i="26" s="1"/>
  <c r="P75" i="26" s="1"/>
  <c r="C53" i="26"/>
  <c r="N42" i="26"/>
  <c r="N17" i="26"/>
  <c r="P17" i="26" s="1"/>
  <c r="M18" i="26"/>
  <c r="M383" i="25"/>
  <c r="C385" i="25"/>
  <c r="A355" i="25"/>
  <c r="A361" i="25" s="1"/>
  <c r="A370" i="25" s="1"/>
  <c r="A371" i="25" s="1"/>
  <c r="A372" i="25" s="1"/>
  <c r="A373" i="25" s="1"/>
  <c r="A388" i="25" s="1"/>
  <c r="A396" i="25" s="1"/>
  <c r="A400" i="25" s="1"/>
  <c r="A404" i="25" s="1"/>
  <c r="A408" i="25" s="1"/>
  <c r="A415" i="25" s="1"/>
  <c r="A416" i="25" s="1"/>
  <c r="A340" i="25"/>
  <c r="A346" i="25" s="1"/>
  <c r="A351" i="25" s="1"/>
  <c r="M100" i="20"/>
  <c r="E1202" i="7" s="1"/>
  <c r="W1202" i="7" s="1"/>
  <c r="K101" i="20"/>
  <c r="M36" i="20"/>
  <c r="C40" i="20"/>
  <c r="M103" i="19"/>
  <c r="C129" i="19"/>
  <c r="L54" i="19"/>
  <c r="L35" i="19" s="1"/>
  <c r="L50" i="19"/>
  <c r="L59" i="19" s="1"/>
  <c r="L88" i="19" s="1"/>
  <c r="C46" i="19"/>
  <c r="C54" i="19"/>
  <c r="M42" i="19"/>
  <c r="D134" i="6"/>
  <c r="D135" i="6"/>
  <c r="D137" i="6"/>
  <c r="D140" i="6"/>
  <c r="D141" i="6"/>
  <c r="D145" i="6"/>
  <c r="D149" i="6"/>
  <c r="D150" i="6"/>
  <c r="D154" i="6"/>
  <c r="D129" i="6"/>
  <c r="H129" i="6" s="1"/>
  <c r="D144" i="6"/>
  <c r="D148" i="6"/>
  <c r="D128" i="6"/>
  <c r="H128" i="6" s="1"/>
  <c r="D146" i="6"/>
  <c r="D147" i="6"/>
  <c r="D152" i="6"/>
  <c r="D132" i="6"/>
  <c r="H132" i="6" s="1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143" i="6"/>
  <c r="D155" i="6"/>
  <c r="D131" i="6"/>
  <c r="H131" i="6" s="1"/>
  <c r="D138" i="6"/>
  <c r="D151" i="6"/>
  <c r="D153" i="6"/>
  <c r="J125" i="6"/>
  <c r="D126" i="6"/>
  <c r="D127" i="6"/>
  <c r="H127" i="6" s="1"/>
  <c r="D133" i="6"/>
  <c r="D156" i="6"/>
  <c r="D130" i="6"/>
  <c r="H130" i="6" s="1"/>
  <c r="D136" i="6"/>
  <c r="D139" i="6"/>
  <c r="D142" i="6"/>
  <c r="G1817" i="42"/>
  <c r="G1806" i="42"/>
  <c r="G1800" i="42"/>
  <c r="G1789" i="42"/>
  <c r="G1783" i="42"/>
  <c r="G1772" i="42"/>
  <c r="G1766" i="42"/>
  <c r="G1755" i="42"/>
  <c r="G1749" i="42"/>
  <c r="G1738" i="42"/>
  <c r="G1732" i="42"/>
  <c r="G1739" i="42" s="1"/>
  <c r="G1721" i="42"/>
  <c r="G1715" i="42"/>
  <c r="G1704" i="42"/>
  <c r="G1701" i="42"/>
  <c r="G1690" i="42"/>
  <c r="G1687" i="42"/>
  <c r="G1674" i="42"/>
  <c r="G1670" i="42"/>
  <c r="G1677" i="42" s="1"/>
  <c r="G1659" i="42"/>
  <c r="G1656" i="42"/>
  <c r="G1643" i="42"/>
  <c r="G1639" i="42"/>
  <c r="G1628" i="42"/>
  <c r="G1623" i="42"/>
  <c r="G1612" i="42"/>
  <c r="G1608" i="42"/>
  <c r="G1613" i="42" s="1"/>
  <c r="G1597" i="42"/>
  <c r="G1593" i="42"/>
  <c r="G1582" i="42"/>
  <c r="G1574" i="42"/>
  <c r="G1583" i="42" s="1"/>
  <c r="G1563" i="42"/>
  <c r="G1558" i="42"/>
  <c r="G1547" i="42"/>
  <c r="G1542" i="42"/>
  <c r="G1531" i="42"/>
  <c r="G1527" i="42"/>
  <c r="G1516" i="42"/>
  <c r="G1512" i="42"/>
  <c r="G1517" i="42" s="1"/>
  <c r="G1499" i="42"/>
  <c r="G1496" i="42"/>
  <c r="G1483" i="42"/>
  <c r="G1480" i="42"/>
  <c r="G1467" i="42"/>
  <c r="G1463" i="42"/>
  <c r="G1450" i="42"/>
  <c r="G1446" i="42"/>
  <c r="G1453" i="42" s="1"/>
  <c r="G1434" i="42"/>
  <c r="G1429" i="42"/>
  <c r="G1418" i="42"/>
  <c r="G1413" i="42"/>
  <c r="G1419" i="42" s="1"/>
  <c r="G1400" i="42"/>
  <c r="G1396" i="42"/>
  <c r="G1383" i="42"/>
  <c r="G1378" i="42"/>
  <c r="G1365" i="42"/>
  <c r="G1361" i="42"/>
  <c r="G1348" i="42"/>
  <c r="G1344" i="42"/>
  <c r="G1351" i="42" s="1"/>
  <c r="G1331" i="42"/>
  <c r="G1328" i="42"/>
  <c r="G1315" i="42"/>
  <c r="G1312" i="42"/>
  <c r="G1299" i="42"/>
  <c r="G1295" i="42"/>
  <c r="G1282" i="42"/>
  <c r="G1279" i="42"/>
  <c r="G1285" i="42" s="1"/>
  <c r="G1270" i="42"/>
  <c r="G1265" i="42"/>
  <c r="G1254" i="42"/>
  <c r="G1251" i="42"/>
  <c r="G1257" i="42" s="1"/>
  <c r="G1238" i="42"/>
  <c r="G1235" i="42"/>
  <c r="G1224" i="42"/>
  <c r="G1221" i="42"/>
  <c r="G1215" i="42"/>
  <c r="G1204" i="42"/>
  <c r="G1201" i="42"/>
  <c r="G1195" i="42"/>
  <c r="G1184" i="42"/>
  <c r="G1178" i="42"/>
  <c r="G1167" i="42"/>
  <c r="G1164" i="42"/>
  <c r="G1161" i="42"/>
  <c r="G1151" i="42"/>
  <c r="G1147" i="42"/>
  <c r="G1143" i="42"/>
  <c r="G1102" i="42"/>
  <c r="G1103" i="42" s="1"/>
  <c r="G1104" i="42" s="1"/>
  <c r="G1091" i="42"/>
  <c r="G1087" i="42"/>
  <c r="G1076" i="42"/>
  <c r="G1072" i="42"/>
  <c r="G1068" i="42"/>
  <c r="G1054" i="42"/>
  <c r="G1048" i="42"/>
  <c r="G1036" i="42"/>
  <c r="G1032" i="42"/>
  <c r="G1021" i="42"/>
  <c r="G1015" i="42"/>
  <c r="G1025" i="42" s="1"/>
  <c r="G1000" i="42"/>
  <c r="G994" i="42"/>
  <c r="G979" i="42"/>
  <c r="G972" i="42"/>
  <c r="G959" i="42"/>
  <c r="G952" i="42"/>
  <c r="G938" i="42"/>
  <c r="G931" i="42"/>
  <c r="G941" i="42" s="1"/>
  <c r="G918" i="42"/>
  <c r="G913" i="42"/>
  <c r="G900" i="42"/>
  <c r="G895" i="42"/>
  <c r="G876" i="42"/>
  <c r="G885" i="42" s="1"/>
  <c r="G864" i="42"/>
  <c r="G859" i="42"/>
  <c r="G846" i="42"/>
  <c r="G841" i="42"/>
  <c r="G828" i="42"/>
  <c r="G822" i="42"/>
  <c r="G786" i="42"/>
  <c r="G790" i="42" s="1"/>
  <c r="G777" i="42"/>
  <c r="G778" i="42" s="1"/>
  <c r="G767" i="42"/>
  <c r="G764" i="42"/>
  <c r="G755" i="42"/>
  <c r="G752" i="42"/>
  <c r="G743" i="42"/>
  <c r="G740" i="42"/>
  <c r="G731" i="42"/>
  <c r="G728" i="42"/>
  <c r="G732" i="42" s="1"/>
  <c r="G719" i="42"/>
  <c r="G716" i="42"/>
  <c r="G698" i="42"/>
  <c r="E685" i="42"/>
  <c r="D705" i="42" s="1"/>
  <c r="G705" i="42" s="1"/>
  <c r="E687" i="42"/>
  <c r="E688" i="42" s="1"/>
  <c r="G628" i="42"/>
  <c r="G632" i="42" s="1"/>
  <c r="G619" i="42"/>
  <c r="G616" i="42"/>
  <c r="G620" i="42" s="1"/>
  <c r="G605" i="42"/>
  <c r="G608" i="42" s="1"/>
  <c r="G591" i="42"/>
  <c r="G585" i="42"/>
  <c r="G595" i="42" s="1"/>
  <c r="G574" i="42"/>
  <c r="G568" i="42"/>
  <c r="G557" i="42"/>
  <c r="G551" i="42"/>
  <c r="G540" i="42"/>
  <c r="G544" i="42" s="1"/>
  <c r="G526" i="42"/>
  <c r="G530" i="42" s="1"/>
  <c r="G513" i="42"/>
  <c r="G516" i="42" s="1"/>
  <c r="G500" i="42"/>
  <c r="G503" i="42" s="1"/>
  <c r="G487" i="42"/>
  <c r="G490" i="42" s="1"/>
  <c r="D451" i="42"/>
  <c r="D470" i="42" s="1"/>
  <c r="G470" i="42" s="1"/>
  <c r="D469" i="42"/>
  <c r="G469" i="42" s="1"/>
  <c r="D378" i="42"/>
  <c r="G378" i="42" s="1"/>
  <c r="D379" i="42"/>
  <c r="D366" i="42"/>
  <c r="G366" i="42" s="1"/>
  <c r="D367" i="42"/>
  <c r="D353" i="42"/>
  <c r="G353" i="42" s="1"/>
  <c r="D354" i="42"/>
  <c r="D341" i="42"/>
  <c r="G341" i="42" s="1"/>
  <c r="D342" i="42"/>
  <c r="D329" i="42"/>
  <c r="G329" i="42" s="1"/>
  <c r="D330" i="42"/>
  <c r="D316" i="42"/>
  <c r="G316" i="42" s="1"/>
  <c r="D317" i="42"/>
  <c r="D304" i="42"/>
  <c r="G304" i="42" s="1"/>
  <c r="D305" i="42"/>
  <c r="D292" i="42"/>
  <c r="G292" i="42" s="1"/>
  <c r="D293" i="42"/>
  <c r="D280" i="42"/>
  <c r="G280" i="42" s="1"/>
  <c r="D281" i="42"/>
  <c r="D268" i="42"/>
  <c r="G268" i="42" s="1"/>
  <c r="D269" i="42"/>
  <c r="D228" i="42"/>
  <c r="D229" i="42" s="1"/>
  <c r="D247" i="42" s="1"/>
  <c r="G247" i="42" s="1"/>
  <c r="D241" i="42"/>
  <c r="D196" i="42"/>
  <c r="D198" i="42" s="1"/>
  <c r="D240" i="42" s="1"/>
  <c r="D308" i="42"/>
  <c r="D238" i="42"/>
  <c r="D284" i="42"/>
  <c r="D237" i="42"/>
  <c r="D272" i="42"/>
  <c r="D236" i="42"/>
  <c r="D260" i="42"/>
  <c r="G157" i="42"/>
  <c r="G160" i="42" s="1"/>
  <c r="G146" i="42"/>
  <c r="G142" i="42"/>
  <c r="G147" i="42" s="1"/>
  <c r="G129" i="42"/>
  <c r="G125" i="42"/>
  <c r="G118" i="42"/>
  <c r="G109" i="42"/>
  <c r="G105" i="42"/>
  <c r="G90" i="42"/>
  <c r="G84" i="42"/>
  <c r="G71" i="42"/>
  <c r="G64" i="42"/>
  <c r="A794" i="42"/>
  <c r="A818" i="42"/>
  <c r="A836" i="42" s="1"/>
  <c r="A854" i="42" s="1"/>
  <c r="A872" i="42" s="1"/>
  <c r="A889" i="42" s="1"/>
  <c r="A907" i="42" s="1"/>
  <c r="A925" i="42" s="1"/>
  <c r="A946" i="42" s="1"/>
  <c r="A966" i="42" s="1"/>
  <c r="A986" i="42" s="1"/>
  <c r="A1008" i="42" s="1"/>
  <c r="A1029" i="42" s="1"/>
  <c r="A1044" i="42" s="1"/>
  <c r="A1062" i="42" s="1"/>
  <c r="A1081" i="42" s="1"/>
  <c r="G47" i="42"/>
  <c r="G40" i="42"/>
  <c r="G28" i="42"/>
  <c r="G12" i="42"/>
  <c r="N402" i="40"/>
  <c r="P402" i="40" s="1"/>
  <c r="C403" i="40"/>
  <c r="N403" i="40" s="1"/>
  <c r="P403" i="40" s="1"/>
  <c r="L131" i="29"/>
  <c r="L145" i="29"/>
  <c r="N145" i="29" s="1"/>
  <c r="N146" i="29" s="1"/>
  <c r="P146" i="29" s="1"/>
  <c r="F131" i="29"/>
  <c r="C135" i="29"/>
  <c r="N135" i="29" s="1"/>
  <c r="N127" i="29"/>
  <c r="C53" i="29"/>
  <c r="N42" i="29"/>
  <c r="N17" i="29"/>
  <c r="P17" i="29" s="1"/>
  <c r="M18" i="29"/>
  <c r="E205" i="28"/>
  <c r="N205" i="28" s="1"/>
  <c r="N212" i="28" s="1"/>
  <c r="E84" i="28"/>
  <c r="N78" i="28"/>
  <c r="P78" i="28" s="1"/>
  <c r="M79" i="28"/>
  <c r="M56" i="28"/>
  <c r="M60" i="28" s="1"/>
  <c r="M64" i="28" s="1"/>
  <c r="M45" i="28"/>
  <c r="C205" i="27"/>
  <c r="M201" i="27"/>
  <c r="C156" i="27"/>
  <c r="H208" i="26"/>
  <c r="H212" i="26"/>
  <c r="H221" i="26" s="1"/>
  <c r="N136" i="26"/>
  <c r="F140" i="26"/>
  <c r="C144" i="26"/>
  <c r="N144" i="26" s="1"/>
  <c r="M57" i="26"/>
  <c r="M61" i="26" s="1"/>
  <c r="M65" i="26" s="1"/>
  <c r="M46" i="26"/>
  <c r="M333" i="25"/>
  <c r="M321" i="25"/>
  <c r="L20" i="20"/>
  <c r="L96" i="20"/>
  <c r="C55" i="19"/>
  <c r="M43" i="19"/>
  <c r="C47" i="19"/>
  <c r="N149" i="40"/>
  <c r="F148" i="40"/>
  <c r="N148" i="40" s="1"/>
  <c r="N134" i="40"/>
  <c r="F135" i="40"/>
  <c r="N135" i="40" s="1"/>
  <c r="N104" i="40"/>
  <c r="F108" i="40"/>
  <c r="N108" i="40" s="1"/>
  <c r="C112" i="40"/>
  <c r="N112" i="40" s="1"/>
  <c r="N103" i="40"/>
  <c r="F107" i="40"/>
  <c r="N107" i="40" s="1"/>
  <c r="N109" i="40" s="1"/>
  <c r="P109" i="40" s="1"/>
  <c r="C111" i="40"/>
  <c r="N111" i="40" s="1"/>
  <c r="D81" i="40"/>
  <c r="B80" i="40"/>
  <c r="B85" i="40" s="1"/>
  <c r="B89" i="40" s="1"/>
  <c r="B93" i="40" s="1"/>
  <c r="B204" i="40" s="1"/>
  <c r="B201" i="40"/>
  <c r="B78" i="40"/>
  <c r="B84" i="40" s="1"/>
  <c r="B88" i="40" s="1"/>
  <c r="B92" i="40" s="1"/>
  <c r="B203" i="40" s="1"/>
  <c r="B200" i="40"/>
  <c r="N66" i="40"/>
  <c r="F70" i="40"/>
  <c r="N70" i="40" s="1"/>
  <c r="E74" i="40"/>
  <c r="N65" i="40"/>
  <c r="F69" i="40"/>
  <c r="N69" i="40" s="1"/>
  <c r="E73" i="40"/>
  <c r="N38" i="40"/>
  <c r="C43" i="40"/>
  <c r="C37" i="40"/>
  <c r="N21" i="40"/>
  <c r="N22" i="40" s="1"/>
  <c r="D33" i="40"/>
  <c r="D34" i="40" s="1"/>
  <c r="N34" i="40" s="1"/>
  <c r="M332" i="39"/>
  <c r="M334" i="39"/>
  <c r="M336" i="39" s="1"/>
  <c r="M324" i="39"/>
  <c r="C326" i="39"/>
  <c r="A281" i="39"/>
  <c r="A287" i="39"/>
  <c r="A292" i="39" s="1"/>
  <c r="A296" i="39"/>
  <c r="A302" i="39" s="1"/>
  <c r="A311" i="39" s="1"/>
  <c r="A312" i="39" s="1"/>
  <c r="A313" i="39" s="1"/>
  <c r="M243" i="39"/>
  <c r="E245" i="39"/>
  <c r="M229" i="39"/>
  <c r="K228" i="39"/>
  <c r="M228" i="39" s="1"/>
  <c r="M224" i="39"/>
  <c r="C232" i="39"/>
  <c r="M198" i="39"/>
  <c r="C199" i="39"/>
  <c r="M199" i="39" s="1"/>
  <c r="C168" i="39"/>
  <c r="M144" i="39"/>
  <c r="E145" i="39"/>
  <c r="E147" i="39"/>
  <c r="M147" i="39" s="1"/>
  <c r="L169" i="39"/>
  <c r="L175" i="39" s="1"/>
  <c r="L155" i="39"/>
  <c r="L157" i="39" s="1"/>
  <c r="L168" i="39"/>
  <c r="L174" i="39" s="1"/>
  <c r="L154" i="39"/>
  <c r="L156" i="39" s="1"/>
  <c r="L167" i="39"/>
  <c r="L173" i="39" s="1"/>
  <c r="L151" i="39"/>
  <c r="L153" i="39" s="1"/>
  <c r="L166" i="39"/>
  <c r="L172" i="39" s="1"/>
  <c r="L150" i="39"/>
  <c r="L152" i="39" s="1"/>
  <c r="C95" i="39"/>
  <c r="M87" i="39"/>
  <c r="F88" i="39"/>
  <c r="F89" i="39" s="1"/>
  <c r="F90" i="39" s="1"/>
  <c r="A133" i="39"/>
  <c r="A138" i="39"/>
  <c r="A143" i="39" s="1"/>
  <c r="A148" i="39" s="1"/>
  <c r="A177" i="39" s="1"/>
  <c r="A185" i="39" s="1"/>
  <c r="A206" i="39" s="1"/>
  <c r="A217" i="39" s="1"/>
  <c r="M72" i="39"/>
  <c r="E73" i="39"/>
  <c r="M66" i="39"/>
  <c r="E67" i="39"/>
  <c r="M67" i="39" s="1"/>
  <c r="C54" i="39"/>
  <c r="C53" i="39"/>
  <c r="M46" i="39"/>
  <c r="C52" i="39"/>
  <c r="M45" i="39"/>
  <c r="C51" i="39"/>
  <c r="M35" i="39"/>
  <c r="D36" i="39"/>
  <c r="D41" i="39"/>
  <c r="M22" i="39"/>
  <c r="L139" i="39"/>
  <c r="C183" i="38"/>
  <c r="M177" i="38"/>
  <c r="M178" i="38" s="1"/>
  <c r="M181" i="38"/>
  <c r="E177" i="38"/>
  <c r="E178" i="38" s="1"/>
  <c r="E181" i="38"/>
  <c r="E182" i="38" s="1"/>
  <c r="E183" i="38" s="1"/>
  <c r="N172" i="38"/>
  <c r="C177" i="38"/>
  <c r="N171" i="38"/>
  <c r="C176" i="38"/>
  <c r="N168" i="38"/>
  <c r="N169" i="38" s="1"/>
  <c r="P169" i="38" s="1"/>
  <c r="E173" i="38"/>
  <c r="N173" i="38" s="1"/>
  <c r="N141" i="38"/>
  <c r="C143" i="38"/>
  <c r="N140" i="38"/>
  <c r="C142" i="38"/>
  <c r="N149" i="38"/>
  <c r="N160" i="38" s="1"/>
  <c r="H150" i="38"/>
  <c r="N150" i="38" s="1"/>
  <c r="N126" i="38"/>
  <c r="M127" i="38"/>
  <c r="F121" i="38"/>
  <c r="N117" i="38"/>
  <c r="N118" i="38" s="1"/>
  <c r="P118" i="38" s="1"/>
  <c r="C121" i="38"/>
  <c r="F109" i="38"/>
  <c r="N109" i="38" s="1"/>
  <c r="F110" i="38"/>
  <c r="M93" i="38"/>
  <c r="M100" i="38" s="1"/>
  <c r="M99" i="38"/>
  <c r="N89" i="38"/>
  <c r="F92" i="38"/>
  <c r="N92" i="38" s="1"/>
  <c r="N87" i="38"/>
  <c r="N85" i="38" s="1"/>
  <c r="P85" i="38" s="1"/>
  <c r="C90" i="38"/>
  <c r="E96" i="38"/>
  <c r="N96" i="38" s="1"/>
  <c r="N94" i="38" s="1"/>
  <c r="P94" i="38" s="1"/>
  <c r="E98" i="38"/>
  <c r="N66" i="38"/>
  <c r="F70" i="38"/>
  <c r="N70" i="38" s="1"/>
  <c r="C74" i="38"/>
  <c r="N74" i="38" s="1"/>
  <c r="A79" i="38"/>
  <c r="A84" i="38"/>
  <c r="A97" i="38" s="1"/>
  <c r="A102" i="38" s="1"/>
  <c r="A113" i="38" s="1"/>
  <c r="A124" i="38" s="1"/>
  <c r="N58" i="38"/>
  <c r="N59" i="38" s="1"/>
  <c r="P59" i="38" s="1"/>
  <c r="C63" i="38"/>
  <c r="N31" i="37"/>
  <c r="P31" i="37" s="1"/>
  <c r="C32" i="37"/>
  <c r="N19" i="37"/>
  <c r="P19" i="37" s="1"/>
  <c r="M20" i="37"/>
  <c r="M511" i="36"/>
  <c r="L512" i="36"/>
  <c r="M501" i="36"/>
  <c r="L502" i="36"/>
  <c r="M490" i="36"/>
  <c r="L491" i="36"/>
  <c r="M469" i="36"/>
  <c r="C475" i="36"/>
  <c r="M474" i="36"/>
  <c r="L478" i="36"/>
  <c r="L482" i="36" s="1"/>
  <c r="M482" i="36" s="1"/>
  <c r="M484" i="36" s="1"/>
  <c r="M433" i="36"/>
  <c r="E434" i="36"/>
  <c r="M434" i="36" s="1"/>
  <c r="M422" i="36"/>
  <c r="L423" i="36"/>
  <c r="M420" i="36"/>
  <c r="E421" i="36"/>
  <c r="M421" i="36" s="1"/>
  <c r="E439" i="36"/>
  <c r="E519" i="36"/>
  <c r="M519" i="36" s="1"/>
  <c r="M412" i="36"/>
  <c r="C439" i="36"/>
  <c r="C518" i="36"/>
  <c r="M518" i="36" s="1"/>
  <c r="M411" i="36"/>
  <c r="C418" i="36"/>
  <c r="M410" i="36"/>
  <c r="C417" i="36"/>
  <c r="M390" i="36"/>
  <c r="D394" i="36"/>
  <c r="M394" i="36" s="1"/>
  <c r="D409" i="36"/>
  <c r="M282" i="36"/>
  <c r="E284" i="36"/>
  <c r="K288" i="36"/>
  <c r="M288" i="36" s="1"/>
  <c r="E293" i="36"/>
  <c r="M265" i="36"/>
  <c r="C267" i="36"/>
  <c r="M267" i="36" s="1"/>
  <c r="D272" i="36"/>
  <c r="M272" i="36" s="1"/>
  <c r="D311" i="36"/>
  <c r="M311" i="36" s="1"/>
  <c r="M226" i="36"/>
  <c r="C240" i="36"/>
  <c r="M240" i="36" s="1"/>
  <c r="M225" i="36"/>
  <c r="C239" i="36"/>
  <c r="M176" i="36"/>
  <c r="K180" i="36"/>
  <c r="M180" i="36" s="1"/>
  <c r="C184" i="36"/>
  <c r="M184" i="36" s="1"/>
  <c r="M175" i="36"/>
  <c r="M177" i="36" s="1"/>
  <c r="K179" i="36"/>
  <c r="M179" i="36" s="1"/>
  <c r="C183" i="36"/>
  <c r="M183" i="36" s="1"/>
  <c r="M155" i="36"/>
  <c r="K156" i="36"/>
  <c r="M156" i="36" s="1"/>
  <c r="E157" i="36"/>
  <c r="M157" i="36" s="1"/>
  <c r="M147" i="36"/>
  <c r="K148" i="36"/>
  <c r="M148" i="36" s="1"/>
  <c r="E149" i="36"/>
  <c r="M149" i="36" s="1"/>
  <c r="M108" i="36"/>
  <c r="C109" i="36"/>
  <c r="M95" i="36"/>
  <c r="E96" i="36"/>
  <c r="M96" i="36" s="1"/>
  <c r="C60" i="36"/>
  <c r="C59" i="36"/>
  <c r="C58" i="36"/>
  <c r="M50" i="36"/>
  <c r="C57" i="36"/>
  <c r="M49" i="36"/>
  <c r="C56" i="36"/>
  <c r="M36" i="36"/>
  <c r="D37" i="36"/>
  <c r="D51" i="36"/>
  <c r="D58" i="36" s="1"/>
  <c r="M29" i="36"/>
  <c r="L30" i="36"/>
  <c r="N119" i="35"/>
  <c r="N120" i="35" s="1"/>
  <c r="P120" i="35" s="1"/>
  <c r="C122" i="35"/>
  <c r="N97" i="35"/>
  <c r="C101" i="35"/>
  <c r="N102" i="35" s="1"/>
  <c r="N93" i="35"/>
  <c r="C98" i="35"/>
  <c r="N36" i="35"/>
  <c r="D39" i="35"/>
  <c r="D40" i="35" s="1"/>
  <c r="D41" i="35" s="1"/>
  <c r="C56" i="35"/>
  <c r="N35" i="35"/>
  <c r="C39" i="35"/>
  <c r="C54" i="35"/>
  <c r="M17" i="35"/>
  <c r="L18" i="35"/>
  <c r="I140" i="34"/>
  <c r="C143" i="34"/>
  <c r="I143" i="34" s="1"/>
  <c r="I72" i="34"/>
  <c r="C73" i="34"/>
  <c r="C56" i="34"/>
  <c r="H57" i="34"/>
  <c r="H68" i="34"/>
  <c r="I40" i="34"/>
  <c r="C47" i="34"/>
  <c r="H56" i="34"/>
  <c r="H67" i="34"/>
  <c r="I39" i="34"/>
  <c r="C46" i="34"/>
  <c r="H55" i="34"/>
  <c r="H60" i="34"/>
  <c r="H66" i="34"/>
  <c r="I38" i="34"/>
  <c r="C45" i="34"/>
  <c r="H54" i="34"/>
  <c r="H59" i="34"/>
  <c r="H65" i="34"/>
  <c r="I37" i="34"/>
  <c r="C44" i="34"/>
  <c r="N310" i="33"/>
  <c r="E311" i="33"/>
  <c r="N294" i="33"/>
  <c r="D296" i="33"/>
  <c r="N293" i="33"/>
  <c r="D295" i="33"/>
  <c r="N315" i="33"/>
  <c r="M316" i="33"/>
  <c r="N265" i="33"/>
  <c r="P265" i="33" s="1"/>
  <c r="M266" i="33"/>
  <c r="N240" i="33"/>
  <c r="C245" i="33"/>
  <c r="N239" i="33"/>
  <c r="C244" i="33"/>
  <c r="N182" i="33"/>
  <c r="E183" i="33"/>
  <c r="N183" i="33" s="1"/>
  <c r="N179" i="33"/>
  <c r="E180" i="33"/>
  <c r="N180" i="33" s="1"/>
  <c r="N174" i="33"/>
  <c r="E176" i="33"/>
  <c r="N176" i="33" s="1"/>
  <c r="N165" i="33"/>
  <c r="E166" i="33"/>
  <c r="N159" i="33"/>
  <c r="D161" i="33"/>
  <c r="N158" i="33"/>
  <c r="D160" i="33"/>
  <c r="N186" i="33"/>
  <c r="M187" i="33"/>
  <c r="C149" i="33"/>
  <c r="N149" i="33" s="1"/>
  <c r="P149" i="33" s="1"/>
  <c r="P135" i="33"/>
  <c r="N136" i="33"/>
  <c r="P136" i="33" s="1"/>
  <c r="N115" i="33"/>
  <c r="M116" i="33"/>
  <c r="N110" i="33"/>
  <c r="P110" i="33" s="1"/>
  <c r="F111" i="33"/>
  <c r="N111" i="33" s="1"/>
  <c r="P111" i="33" s="1"/>
  <c r="E112" i="33"/>
  <c r="N112" i="33" s="1"/>
  <c r="P112" i="33" s="1"/>
  <c r="N94" i="33"/>
  <c r="F95" i="33"/>
  <c r="N95" i="33" s="1"/>
  <c r="C73" i="33"/>
  <c r="N57" i="33"/>
  <c r="C63" i="33"/>
  <c r="N56" i="33"/>
  <c r="C62" i="33"/>
  <c r="B93" i="33"/>
  <c r="B99" i="33"/>
  <c r="B130" i="33" s="1"/>
  <c r="B138" i="33" s="1"/>
  <c r="B142" i="33" s="1"/>
  <c r="N55" i="33"/>
  <c r="C61" i="33"/>
  <c r="B90" i="33"/>
  <c r="B98" i="33"/>
  <c r="B133" i="33" s="1"/>
  <c r="N46" i="33"/>
  <c r="D50" i="33"/>
  <c r="N174" i="30"/>
  <c r="C182" i="30"/>
  <c r="N182" i="30" s="1"/>
  <c r="F178" i="30"/>
  <c r="M171" i="30"/>
  <c r="N171" i="30" s="1"/>
  <c r="N170" i="30"/>
  <c r="N172" i="30" s="1"/>
  <c r="P172" i="30" s="1"/>
  <c r="M175" i="30"/>
  <c r="M179" i="30" s="1"/>
  <c r="M183" i="30"/>
  <c r="F153" i="30"/>
  <c r="C157" i="30"/>
  <c r="N157" i="30" s="1"/>
  <c r="F152" i="30"/>
  <c r="C156" i="30"/>
  <c r="N156" i="30" s="1"/>
  <c r="L130" i="30"/>
  <c r="L148" i="30"/>
  <c r="L162" i="30" s="1"/>
  <c r="N162" i="30" s="1"/>
  <c r="P162" i="30" s="1"/>
  <c r="L119" i="30"/>
  <c r="L133" i="30"/>
  <c r="C119" i="30"/>
  <c r="E115" i="30"/>
  <c r="N113" i="30"/>
  <c r="P113" i="30" s="1"/>
  <c r="F114" i="30"/>
  <c r="M114" i="30"/>
  <c r="M115" i="30"/>
  <c r="M109" i="30"/>
  <c r="N109" i="30" s="1"/>
  <c r="P109" i="30" s="1"/>
  <c r="M110" i="30"/>
  <c r="N110" i="30" s="1"/>
  <c r="P110" i="30" s="1"/>
  <c r="C99" i="30"/>
  <c r="N93" i="30"/>
  <c r="F70" i="30"/>
  <c r="N70" i="30" s="1"/>
  <c r="P70" i="30" s="1"/>
  <c r="N69" i="30"/>
  <c r="P69" i="30" s="1"/>
  <c r="M56" i="30"/>
  <c r="M60" i="30" s="1"/>
  <c r="M64" i="30" s="1"/>
  <c r="M46" i="30"/>
  <c r="N42" i="30"/>
  <c r="C52" i="30"/>
  <c r="M55" i="30"/>
  <c r="M59" i="30" s="1"/>
  <c r="M63" i="30" s="1"/>
  <c r="M45" i="30"/>
  <c r="C51" i="30"/>
  <c r="N41" i="30"/>
  <c r="N32" i="30"/>
  <c r="C36" i="30"/>
  <c r="N36" i="30" s="1"/>
  <c r="N157" i="29"/>
  <c r="P158" i="29"/>
  <c r="M45" i="29"/>
  <c r="M56" i="29"/>
  <c r="M60" i="29" s="1"/>
  <c r="M64" i="29" s="1"/>
  <c r="C260" i="28"/>
  <c r="N260" i="28" s="1"/>
  <c r="P260" i="28" s="1"/>
  <c r="P259" i="28"/>
  <c r="C237" i="28"/>
  <c r="N237" i="28" s="1"/>
  <c r="N233" i="28"/>
  <c r="N234" i="28" s="1"/>
  <c r="P234" i="28" s="1"/>
  <c r="P189" i="28"/>
  <c r="C190" i="28"/>
  <c r="N190" i="28" s="1"/>
  <c r="N191" i="28" s="1"/>
  <c r="P191" i="28" s="1"/>
  <c r="C57" i="28"/>
  <c r="C46" i="28"/>
  <c r="N53" i="28"/>
  <c r="M57" i="28"/>
  <c r="M61" i="28" s="1"/>
  <c r="M65" i="28" s="1"/>
  <c r="M46" i="28"/>
  <c r="C266" i="27"/>
  <c r="M266" i="27" s="1"/>
  <c r="M268" i="27" s="1"/>
  <c r="M264" i="27"/>
  <c r="C219" i="27"/>
  <c r="M219" i="27" s="1"/>
  <c r="D221" i="27"/>
  <c r="D222" i="27" s="1"/>
  <c r="M171" i="27"/>
  <c r="F175" i="27"/>
  <c r="M175" i="27" s="1"/>
  <c r="C179" i="27"/>
  <c r="M179" i="27" s="1"/>
  <c r="M143" i="27"/>
  <c r="M144" i="27" s="1"/>
  <c r="C155" i="27"/>
  <c r="M55" i="27"/>
  <c r="C65" i="27"/>
  <c r="C121" i="27"/>
  <c r="C59" i="27"/>
  <c r="M59" i="27" s="1"/>
  <c r="C120" i="27"/>
  <c r="C84" i="27"/>
  <c r="M54" i="27"/>
  <c r="C58" i="27"/>
  <c r="M58" i="27" s="1"/>
  <c r="O40" i="27"/>
  <c r="P265" i="26"/>
  <c r="C266" i="26"/>
  <c r="N266" i="26" s="1"/>
  <c r="N267" i="26" s="1"/>
  <c r="P267" i="26" s="1"/>
  <c r="N199" i="26"/>
  <c r="C200" i="26"/>
  <c r="N200" i="26" s="1"/>
  <c r="C203" i="26"/>
  <c r="N148" i="26"/>
  <c r="N149" i="26" s="1"/>
  <c r="P149" i="26" s="1"/>
  <c r="M151" i="26"/>
  <c r="L140" i="26"/>
  <c r="L154" i="26"/>
  <c r="N52" i="26"/>
  <c r="C56" i="26"/>
  <c r="C45" i="26"/>
  <c r="M453" i="25"/>
  <c r="M399" i="25"/>
  <c r="M401" i="25"/>
  <c r="M403" i="25" s="1"/>
  <c r="C19" i="20"/>
  <c r="C127" i="19"/>
  <c r="E1118" i="7"/>
  <c r="W1118" i="7" s="1"/>
  <c r="M67" i="19"/>
  <c r="E1119" i="7" s="1"/>
  <c r="W1119" i="7" s="1"/>
  <c r="N63" i="18"/>
  <c r="C64" i="18"/>
  <c r="H278" i="17"/>
  <c r="H282" i="17" s="1"/>
  <c r="H286" i="17" s="1"/>
  <c r="H291" i="17" s="1"/>
  <c r="M274" i="17"/>
  <c r="M238" i="17"/>
  <c r="C240" i="17"/>
  <c r="C241" i="17"/>
  <c r="C190" i="11"/>
  <c r="C194" i="11"/>
  <c r="C216" i="11"/>
  <c r="N189" i="11"/>
  <c r="P189" i="11" s="1"/>
  <c r="E274" i="7" s="1"/>
  <c r="W274" i="7" s="1"/>
  <c r="Y274" i="7" s="1"/>
  <c r="C192" i="11"/>
  <c r="H310" i="32"/>
  <c r="C318" i="32"/>
  <c r="H266" i="32"/>
  <c r="C267" i="32"/>
  <c r="H272" i="32"/>
  <c r="H259" i="32"/>
  <c r="C260" i="32"/>
  <c r="C213" i="32"/>
  <c r="C216" i="32"/>
  <c r="J199" i="32"/>
  <c r="H200" i="32"/>
  <c r="J200" i="32" s="1"/>
  <c r="H171" i="32"/>
  <c r="G172" i="32"/>
  <c r="H144" i="32"/>
  <c r="G145" i="32"/>
  <c r="H132" i="32"/>
  <c r="H134" i="32" s="1"/>
  <c r="J134" i="32" s="1"/>
  <c r="C136" i="32"/>
  <c r="H136" i="32" s="1"/>
  <c r="H138" i="32" s="1"/>
  <c r="J138" i="32" s="1"/>
  <c r="J139" i="32" s="1"/>
  <c r="H120" i="32"/>
  <c r="F127" i="32"/>
  <c r="H127" i="32" s="1"/>
  <c r="H130" i="32" s="1"/>
  <c r="J130" i="32" s="1"/>
  <c r="A167" i="32"/>
  <c r="A174" i="32" s="1"/>
  <c r="A182" i="32"/>
  <c r="A201" i="32" s="1"/>
  <c r="A207" i="32" s="1"/>
  <c r="A217" i="32" s="1"/>
  <c r="A256" i="32" s="1"/>
  <c r="H75" i="32"/>
  <c r="C76" i="32"/>
  <c r="H58" i="32"/>
  <c r="C59" i="32"/>
  <c r="J40" i="32"/>
  <c r="D41" i="32"/>
  <c r="H41" i="32" s="1"/>
  <c r="D42" i="32"/>
  <c r="H42" i="32" s="1"/>
  <c r="D43" i="32"/>
  <c r="H43" i="32" s="1"/>
  <c r="D44" i="32"/>
  <c r="H44" i="32" s="1"/>
  <c r="D45" i="32"/>
  <c r="H45" i="32" s="1"/>
  <c r="D46" i="32"/>
  <c r="H46" i="32" s="1"/>
  <c r="D47" i="32"/>
  <c r="H47" i="32" s="1"/>
  <c r="D48" i="32"/>
  <c r="H48" i="32" s="1"/>
  <c r="D49" i="32"/>
  <c r="H49" i="32" s="1"/>
  <c r="D50" i="32"/>
  <c r="H50" i="32" s="1"/>
  <c r="D51" i="32"/>
  <c r="H51" i="32" s="1"/>
  <c r="D52" i="32"/>
  <c r="H52" i="32" s="1"/>
  <c r="D53" i="32"/>
  <c r="H53" i="32" s="1"/>
  <c r="D54" i="32"/>
  <c r="H54" i="32" s="1"/>
  <c r="B34" i="32"/>
  <c r="B52" i="32"/>
  <c r="B68" i="32" s="1"/>
  <c r="B84" i="32" s="1"/>
  <c r="B30" i="32"/>
  <c r="B49" i="32" s="1"/>
  <c r="B65" i="32" s="1"/>
  <c r="B81" i="32" s="1"/>
  <c r="B48" i="32"/>
  <c r="B64" i="32" s="1"/>
  <c r="B80" i="32" s="1"/>
  <c r="H24" i="32"/>
  <c r="D25" i="32"/>
  <c r="F15" i="31"/>
  <c r="N15" i="31" s="1"/>
  <c r="P15" i="31" s="1"/>
  <c r="F16" i="31"/>
  <c r="P265" i="30"/>
  <c r="C266" i="30"/>
  <c r="N266" i="30" s="1"/>
  <c r="P266" i="30" s="1"/>
  <c r="P251" i="30"/>
  <c r="N252" i="30"/>
  <c r="P252" i="30" s="1"/>
  <c r="N245" i="30"/>
  <c r="A235" i="30"/>
  <c r="A241" i="30" s="1"/>
  <c r="A243" i="30" s="1"/>
  <c r="A247" i="30" s="1"/>
  <c r="A252" i="30" s="1"/>
  <c r="A253" i="30" s="1"/>
  <c r="A262" i="30" s="1"/>
  <c r="A266" i="30" s="1"/>
  <c r="A267" i="30" s="1"/>
  <c r="A272" i="30" s="1"/>
  <c r="A273" i="30" s="1"/>
  <c r="A236" i="30"/>
  <c r="C203" i="30"/>
  <c r="D204" i="30"/>
  <c r="D205" i="30" s="1"/>
  <c r="D208" i="30" s="1"/>
  <c r="N202" i="30"/>
  <c r="C204" i="30"/>
  <c r="P201" i="30"/>
  <c r="F179" i="30"/>
  <c r="C183" i="30"/>
  <c r="C153" i="30"/>
  <c r="F119" i="30"/>
  <c r="N118" i="30"/>
  <c r="P118" i="30" s="1"/>
  <c r="E120" i="30"/>
  <c r="N92" i="30"/>
  <c r="C98" i="30"/>
  <c r="C97" i="30"/>
  <c r="N91" i="30"/>
  <c r="N15" i="30"/>
  <c r="P15" i="30" s="1"/>
  <c r="C16" i="30"/>
  <c r="N81" i="29"/>
  <c r="P81" i="29" s="1"/>
  <c r="M82" i="29"/>
  <c r="M79" i="29"/>
  <c r="N79" i="29" s="1"/>
  <c r="P79" i="29" s="1"/>
  <c r="M78" i="29"/>
  <c r="N78" i="29" s="1"/>
  <c r="P78" i="29" s="1"/>
  <c r="M75" i="28"/>
  <c r="N75" i="28" s="1"/>
  <c r="P75" i="28" s="1"/>
  <c r="M76" i="28"/>
  <c r="N76" i="28" s="1"/>
  <c r="P76" i="28" s="1"/>
  <c r="C206" i="27"/>
  <c r="M202" i="27"/>
  <c r="M172" i="27"/>
  <c r="C180" i="27"/>
  <c r="M180" i="27" s="1"/>
  <c r="F176" i="27"/>
  <c r="M176" i="27" s="1"/>
  <c r="L147" i="27"/>
  <c r="L156" i="27" s="1"/>
  <c r="L155" i="27"/>
  <c r="M26" i="27"/>
  <c r="L27" i="27"/>
  <c r="M27" i="27" s="1"/>
  <c r="N135" i="26"/>
  <c r="N137" i="26" s="1"/>
  <c r="P137" i="26" s="1"/>
  <c r="F139" i="26"/>
  <c r="N139" i="26" s="1"/>
  <c r="C143" i="26"/>
  <c r="N143" i="26" s="1"/>
  <c r="M56" i="26"/>
  <c r="M60" i="26" s="1"/>
  <c r="M64" i="26" s="1"/>
  <c r="M45" i="26"/>
  <c r="A126" i="26"/>
  <c r="A160" i="26"/>
  <c r="M371" i="25"/>
  <c r="M77" i="20"/>
  <c r="E1190" i="7" s="1"/>
  <c r="W1190" i="7" s="1"/>
  <c r="C78" i="20"/>
  <c r="M78" i="20" s="1"/>
  <c r="E1191" i="7" s="1"/>
  <c r="W1191" i="7" s="1"/>
  <c r="M71" i="20"/>
  <c r="E1184" i="7" s="1"/>
  <c r="W1184" i="7" s="1"/>
  <c r="K72" i="20"/>
  <c r="M72" i="20" s="1"/>
  <c r="E1185" i="7" s="1"/>
  <c r="W1185" i="7" s="1"/>
  <c r="L48" i="20"/>
  <c r="L54" i="20"/>
  <c r="L58" i="20" s="1"/>
  <c r="L62" i="20" s="1"/>
  <c r="L66" i="20" s="1"/>
  <c r="L107" i="20" s="1"/>
  <c r="D18" i="20"/>
  <c r="D19" i="20" s="1"/>
  <c r="D22" i="20"/>
  <c r="E181" i="17"/>
  <c r="M178" i="17"/>
  <c r="O178" i="17" s="1"/>
  <c r="E1032" i="7" s="1"/>
  <c r="W1032" i="7" s="1"/>
  <c r="Y1032" i="7" s="1"/>
  <c r="M120" i="17"/>
  <c r="C141" i="17"/>
  <c r="C139" i="17"/>
  <c r="F222" i="11"/>
  <c r="D192" i="11"/>
  <c r="D190" i="11"/>
  <c r="D191" i="11" s="1"/>
  <c r="M253" i="25"/>
  <c r="M254" i="25" s="1"/>
  <c r="O254" i="25" s="1"/>
  <c r="L256" i="25"/>
  <c r="M241" i="25"/>
  <c r="F245" i="25"/>
  <c r="C249" i="25"/>
  <c r="M249" i="25" s="1"/>
  <c r="M240" i="25"/>
  <c r="F244" i="25"/>
  <c r="C248" i="25"/>
  <c r="M248" i="25" s="1"/>
  <c r="L229" i="25"/>
  <c r="K244" i="25"/>
  <c r="C197" i="25"/>
  <c r="M167" i="25"/>
  <c r="M168" i="25" s="1"/>
  <c r="K170" i="25"/>
  <c r="M170" i="25" s="1"/>
  <c r="M171" i="25" s="1"/>
  <c r="M158" i="25"/>
  <c r="L159" i="25"/>
  <c r="L155" i="25"/>
  <c r="M155" i="25" s="1"/>
  <c r="L156" i="25"/>
  <c r="M156" i="25" s="1"/>
  <c r="C131" i="25"/>
  <c r="M131" i="25" s="1"/>
  <c r="C108" i="25"/>
  <c r="L86" i="25"/>
  <c r="L97" i="25"/>
  <c r="C66" i="25"/>
  <c r="L85" i="25"/>
  <c r="L96" i="25"/>
  <c r="C65" i="25"/>
  <c r="M52" i="25"/>
  <c r="C63" i="25"/>
  <c r="L83" i="25"/>
  <c r="L95" i="25"/>
  <c r="M51" i="25"/>
  <c r="C62" i="25"/>
  <c r="L82" i="25"/>
  <c r="L94" i="25"/>
  <c r="M50" i="25"/>
  <c r="C61" i="25"/>
  <c r="M46" i="25"/>
  <c r="C57" i="25"/>
  <c r="M45" i="25"/>
  <c r="C56" i="25"/>
  <c r="D44" i="25"/>
  <c r="D54" i="25"/>
  <c r="D65" i="25" s="1"/>
  <c r="M19" i="25"/>
  <c r="L20" i="25"/>
  <c r="O271" i="24"/>
  <c r="E947" i="7"/>
  <c r="W947" i="7" s="1"/>
  <c r="M263" i="24"/>
  <c r="O263" i="24" s="1"/>
  <c r="E939" i="7" s="1"/>
  <c r="W939" i="7" s="1"/>
  <c r="L264" i="24"/>
  <c r="O250" i="24"/>
  <c r="E925" i="7"/>
  <c r="W925" i="7" s="1"/>
  <c r="O246" i="24"/>
  <c r="E924" i="7"/>
  <c r="W924" i="7" s="1"/>
  <c r="O236" i="24"/>
  <c r="E915" i="7"/>
  <c r="W915" i="7" s="1"/>
  <c r="E916" i="7"/>
  <c r="W916" i="7" s="1"/>
  <c r="M195" i="24"/>
  <c r="L196" i="24"/>
  <c r="M196" i="24" s="1"/>
  <c r="M188" i="24"/>
  <c r="K189" i="24"/>
  <c r="O184" i="24"/>
  <c r="M234" i="24"/>
  <c r="E898" i="7"/>
  <c r="W898" i="7" s="1"/>
  <c r="M150" i="24"/>
  <c r="M151" i="24" s="1"/>
  <c r="O151" i="24" s="1"/>
  <c r="L153" i="24"/>
  <c r="M138" i="24"/>
  <c r="F142" i="24"/>
  <c r="C146" i="24"/>
  <c r="M146" i="24" s="1"/>
  <c r="M137" i="24"/>
  <c r="M139" i="24" s="1"/>
  <c r="O139" i="24" s="1"/>
  <c r="F141" i="24"/>
  <c r="M141" i="24" s="1"/>
  <c r="C145" i="24"/>
  <c r="M145" i="24" s="1"/>
  <c r="C120" i="24"/>
  <c r="M99" i="24"/>
  <c r="O99" i="24" s="1"/>
  <c r="E884" i="7" s="1"/>
  <c r="W884" i="7" s="1"/>
  <c r="C100" i="24"/>
  <c r="M95" i="24"/>
  <c r="O95" i="24" s="1"/>
  <c r="E880" i="7" s="1"/>
  <c r="W880" i="7" s="1"/>
  <c r="E97" i="24"/>
  <c r="M97" i="24" s="1"/>
  <c r="O97" i="24" s="1"/>
  <c r="E882" i="7" s="1"/>
  <c r="W882" i="7" s="1"/>
  <c r="M91" i="24"/>
  <c r="O91" i="24" s="1"/>
  <c r="E876" i="7" s="1"/>
  <c r="W876" i="7" s="1"/>
  <c r="C96" i="24"/>
  <c r="M96" i="24" s="1"/>
  <c r="O96" i="24" s="1"/>
  <c r="E881" i="7" s="1"/>
  <c r="W881" i="7" s="1"/>
  <c r="C70" i="24"/>
  <c r="L65" i="24"/>
  <c r="L70" i="24" s="1"/>
  <c r="L52" i="24"/>
  <c r="M60" i="24"/>
  <c r="C65" i="24"/>
  <c r="C52" i="24"/>
  <c r="L64" i="24"/>
  <c r="L69" i="24" s="1"/>
  <c r="L51" i="24"/>
  <c r="M59" i="24"/>
  <c r="C64" i="24"/>
  <c r="C51" i="24"/>
  <c r="L63" i="24"/>
  <c r="L68" i="24" s="1"/>
  <c r="L50" i="24"/>
  <c r="M58" i="24"/>
  <c r="C63" i="24"/>
  <c r="C50" i="24"/>
  <c r="D36" i="24"/>
  <c r="D40" i="24"/>
  <c r="M40" i="24" s="1"/>
  <c r="N9" i="22"/>
  <c r="P9" i="22" s="1"/>
  <c r="E1342" i="7" s="1"/>
  <c r="W1342" i="7" s="1"/>
  <c r="Y1342" i="7" s="1"/>
  <c r="F10" i="22"/>
  <c r="N10" i="22" s="1"/>
  <c r="P10" i="22" s="1"/>
  <c r="E1343" i="7" s="1"/>
  <c r="W1343" i="7" s="1"/>
  <c r="Y1343" i="7" s="1"/>
  <c r="F485" i="21"/>
  <c r="A472" i="21"/>
  <c r="A473" i="21"/>
  <c r="A474" i="21" s="1"/>
  <c r="A475" i="21" s="1"/>
  <c r="A476" i="21" s="1"/>
  <c r="N463" i="21"/>
  <c r="C465" i="21"/>
  <c r="C398" i="21"/>
  <c r="C395" i="21"/>
  <c r="C394" i="21"/>
  <c r="C364" i="21"/>
  <c r="C362" i="21"/>
  <c r="C361" i="21"/>
  <c r="N303" i="21"/>
  <c r="C356" i="21"/>
  <c r="N302" i="21"/>
  <c r="C355" i="21"/>
  <c r="N305" i="21"/>
  <c r="E306" i="21"/>
  <c r="E250" i="21"/>
  <c r="E252" i="21"/>
  <c r="D250" i="21"/>
  <c r="D252" i="21"/>
  <c r="E194" i="21"/>
  <c r="E197" i="21" s="1"/>
  <c r="E200" i="21" s="1"/>
  <c r="E203" i="21" s="1"/>
  <c r="E206" i="21" s="1"/>
  <c r="E209" i="21" s="1"/>
  <c r="E212" i="21" s="1"/>
  <c r="E215" i="21" s="1"/>
  <c r="E218" i="21" s="1"/>
  <c r="E221" i="21" s="1"/>
  <c r="E224" i="21" s="1"/>
  <c r="E227" i="21" s="1"/>
  <c r="E230" i="21" s="1"/>
  <c r="E233" i="21" s="1"/>
  <c r="E236" i="21" s="1"/>
  <c r="E239" i="21" s="1"/>
  <c r="E196" i="21"/>
  <c r="E199" i="21" s="1"/>
  <c r="E202" i="21" s="1"/>
  <c r="E205" i="21" s="1"/>
  <c r="E208" i="21" s="1"/>
  <c r="E211" i="21" s="1"/>
  <c r="E214" i="21" s="1"/>
  <c r="E217" i="21" s="1"/>
  <c r="E220" i="21" s="1"/>
  <c r="E223" i="21" s="1"/>
  <c r="E226" i="21" s="1"/>
  <c r="E229" i="21" s="1"/>
  <c r="E232" i="21" s="1"/>
  <c r="E235" i="21" s="1"/>
  <c r="E238" i="21" s="1"/>
  <c r="D194" i="21"/>
  <c r="D197" i="21" s="1"/>
  <c r="D196" i="21"/>
  <c r="L179" i="21"/>
  <c r="M176" i="21"/>
  <c r="M177" i="21"/>
  <c r="M179" i="21" s="1"/>
  <c r="M180" i="21" s="1"/>
  <c r="M183" i="21" s="1"/>
  <c r="F92" i="21"/>
  <c r="F89" i="21"/>
  <c r="F86" i="21"/>
  <c r="F83" i="21"/>
  <c r="F80" i="21"/>
  <c r="N80" i="21" s="1"/>
  <c r="F81" i="21"/>
  <c r="N77" i="21"/>
  <c r="F78" i="21"/>
  <c r="N78" i="21" s="1"/>
  <c r="C59" i="21"/>
  <c r="C101" i="21"/>
  <c r="F102" i="21" s="1"/>
  <c r="C155" i="21"/>
  <c r="N155" i="21" s="1"/>
  <c r="N52" i="21"/>
  <c r="C53" i="21"/>
  <c r="C82" i="21"/>
  <c r="C83" i="21" s="1"/>
  <c r="C149" i="21"/>
  <c r="N149" i="21" s="1"/>
  <c r="C247" i="20"/>
  <c r="M247" i="20" s="1"/>
  <c r="E1267" i="7" s="1"/>
  <c r="W1267" i="7" s="1"/>
  <c r="E1266" i="7"/>
  <c r="W1266" i="7" s="1"/>
  <c r="A219" i="20"/>
  <c r="A223" i="20"/>
  <c r="M206" i="20"/>
  <c r="J207" i="20"/>
  <c r="L224" i="20"/>
  <c r="D198" i="20"/>
  <c r="K195" i="20"/>
  <c r="M189" i="20"/>
  <c r="C191" i="20"/>
  <c r="C194" i="20"/>
  <c r="M194" i="20" s="1"/>
  <c r="E1250" i="7" s="1"/>
  <c r="W1250" i="7" s="1"/>
  <c r="M183" i="20"/>
  <c r="E1241" i="7" s="1"/>
  <c r="W1241" i="7" s="1"/>
  <c r="C184" i="20"/>
  <c r="M181" i="20"/>
  <c r="E1239" i="7" s="1"/>
  <c r="W1239" i="7" s="1"/>
  <c r="E1238" i="7"/>
  <c r="W1238" i="7" s="1"/>
  <c r="M178" i="20"/>
  <c r="E1236" i="7" s="1"/>
  <c r="W1236" i="7" s="1"/>
  <c r="E1235" i="7"/>
  <c r="W1235" i="7" s="1"/>
  <c r="M175" i="20"/>
  <c r="K174" i="20"/>
  <c r="M174" i="20" s="1"/>
  <c r="M156" i="20"/>
  <c r="L157" i="20"/>
  <c r="M157" i="20" s="1"/>
  <c r="L160" i="20"/>
  <c r="L166" i="20"/>
  <c r="M166" i="20" s="1"/>
  <c r="M167" i="20" s="1"/>
  <c r="E1230" i="7" s="1"/>
  <c r="W1230" i="7" s="1"/>
  <c r="M144" i="20"/>
  <c r="F148" i="20"/>
  <c r="C152" i="20"/>
  <c r="M152" i="20" s="1"/>
  <c r="M143" i="20"/>
  <c r="F147" i="20"/>
  <c r="M147" i="20" s="1"/>
  <c r="C151" i="20"/>
  <c r="M151" i="20" s="1"/>
  <c r="M139" i="20"/>
  <c r="L140" i="20"/>
  <c r="M140" i="20" s="1"/>
  <c r="C90" i="20"/>
  <c r="M90" i="20" s="1"/>
  <c r="M91" i="20" s="1"/>
  <c r="M86" i="20"/>
  <c r="M87" i="20" s="1"/>
  <c r="E1193" i="7" s="1"/>
  <c r="W1193" i="7" s="1"/>
  <c r="M35" i="20"/>
  <c r="M37" i="20" s="1"/>
  <c r="E1173" i="7" s="1"/>
  <c r="W1173" i="7" s="1"/>
  <c r="C39" i="20"/>
  <c r="A134" i="20"/>
  <c r="A168" i="20"/>
  <c r="A179" i="20" s="1"/>
  <c r="A186" i="20" s="1"/>
  <c r="F43" i="18"/>
  <c r="N31" i="18"/>
  <c r="C36" i="18"/>
  <c r="N36" i="18" s="1"/>
  <c r="N27" i="18"/>
  <c r="C32" i="18"/>
  <c r="C282" i="17"/>
  <c r="M231" i="17"/>
  <c r="E1055" i="7" s="1"/>
  <c r="W1055" i="7" s="1"/>
  <c r="Y1055" i="7" s="1"/>
  <c r="C232" i="17"/>
  <c r="M232" i="17" s="1"/>
  <c r="E1056" i="7" s="1"/>
  <c r="W1056" i="7" s="1"/>
  <c r="Y1056" i="7" s="1"/>
  <c r="O160" i="17"/>
  <c r="E1024" i="7" s="1"/>
  <c r="W1024" i="7" s="1"/>
  <c r="Y1024" i="7" s="1"/>
  <c r="M161" i="17"/>
  <c r="O161" i="17" s="1"/>
  <c r="E1025" i="7" s="1"/>
  <c r="W1025" i="7" s="1"/>
  <c r="Y1025" i="7" s="1"/>
  <c r="M126" i="17"/>
  <c r="M127" i="17" s="1"/>
  <c r="O127" i="17" s="1"/>
  <c r="E1005" i="7" s="1"/>
  <c r="W1005" i="7" s="1"/>
  <c r="C128" i="17"/>
  <c r="C41" i="17"/>
  <c r="C40" i="17"/>
  <c r="D33" i="17"/>
  <c r="D36" i="17"/>
  <c r="M18" i="17"/>
  <c r="O18" i="17" s="1"/>
  <c r="E966" i="7" s="1"/>
  <c r="W966" i="7" s="1"/>
  <c r="C19" i="17"/>
  <c r="M462" i="16"/>
  <c r="O462" i="16" s="1"/>
  <c r="E821" i="7" s="1"/>
  <c r="W821" i="7" s="1"/>
  <c r="L463" i="16"/>
  <c r="C436" i="16"/>
  <c r="M436" i="16" s="1"/>
  <c r="D439" i="16"/>
  <c r="C441" i="16" s="1"/>
  <c r="M441" i="16" s="1"/>
  <c r="C443" i="16"/>
  <c r="M443" i="16" s="1"/>
  <c r="M434" i="16"/>
  <c r="C435" i="16"/>
  <c r="C439" i="16"/>
  <c r="O417" i="16"/>
  <c r="E799" i="7" s="1"/>
  <c r="W799" i="7" s="1"/>
  <c r="M391" i="16"/>
  <c r="O391" i="16" s="1"/>
  <c r="E793" i="7" s="1"/>
  <c r="W793" i="7" s="1"/>
  <c r="M377" i="16"/>
  <c r="M268" i="16"/>
  <c r="E655" i="7"/>
  <c r="W655" i="7" s="1"/>
  <c r="E783" i="7"/>
  <c r="W783" i="7" s="1"/>
  <c r="M333" i="16"/>
  <c r="O333" i="16" s="1"/>
  <c r="D334" i="16"/>
  <c r="M334" i="16" s="1"/>
  <c r="O334" i="16" s="1"/>
  <c r="M335" i="16"/>
  <c r="O335" i="16" s="1"/>
  <c r="L336" i="16"/>
  <c r="M324" i="16"/>
  <c r="O324" i="16" s="1"/>
  <c r="D325" i="16"/>
  <c r="M325" i="16" s="1"/>
  <c r="O325" i="16" s="1"/>
  <c r="M326" i="16"/>
  <c r="O326" i="16" s="1"/>
  <c r="L327" i="16"/>
  <c r="M315" i="16"/>
  <c r="O315" i="16" s="1"/>
  <c r="E316" i="16"/>
  <c r="M316" i="16" s="1"/>
  <c r="O316" i="16" s="1"/>
  <c r="M317" i="16"/>
  <c r="O317" i="16" s="1"/>
  <c r="L318" i="16"/>
  <c r="M305" i="16"/>
  <c r="O305" i="16" s="1"/>
  <c r="E777" i="7" s="1"/>
  <c r="W777" i="7" s="1"/>
  <c r="E306" i="16"/>
  <c r="E307" i="16"/>
  <c r="L307" i="16"/>
  <c r="L308" i="16"/>
  <c r="M296" i="16"/>
  <c r="O296" i="16" s="1"/>
  <c r="E770" i="7" s="1"/>
  <c r="W770" i="7" s="1"/>
  <c r="E297" i="16"/>
  <c r="M297" i="16" s="1"/>
  <c r="O297" i="16" s="1"/>
  <c r="E771" i="7" s="1"/>
  <c r="W771" i="7" s="1"/>
  <c r="M287" i="16"/>
  <c r="O287" i="16" s="1"/>
  <c r="L288" i="16"/>
  <c r="M277" i="16"/>
  <c r="O277" i="16" s="1"/>
  <c r="E764" i="7" s="1"/>
  <c r="W764" i="7" s="1"/>
  <c r="L278" i="16"/>
  <c r="A347" i="16"/>
  <c r="A353" i="16"/>
  <c r="A358" i="16" s="1"/>
  <c r="A362" i="16" s="1"/>
  <c r="A390" i="16" s="1"/>
  <c r="A391" i="16" s="1"/>
  <c r="E250" i="16"/>
  <c r="M250" i="16" s="1"/>
  <c r="E251" i="16"/>
  <c r="E254" i="16" s="1"/>
  <c r="M254" i="16" s="1"/>
  <c r="E266" i="16"/>
  <c r="E364" i="16"/>
  <c r="H236" i="16"/>
  <c r="H234" i="16"/>
  <c r="M234" i="16" s="1"/>
  <c r="H235" i="16"/>
  <c r="M233" i="16"/>
  <c r="H232" i="16"/>
  <c r="M232" i="16" s="1"/>
  <c r="C229" i="16"/>
  <c r="M229" i="16" s="1"/>
  <c r="C236" i="16"/>
  <c r="D242" i="16"/>
  <c r="M242" i="16" s="1"/>
  <c r="M243" i="16" s="1"/>
  <c r="O243" i="16" s="1"/>
  <c r="E752" i="7" s="1"/>
  <c r="W752" i="7" s="1"/>
  <c r="L210" i="16"/>
  <c r="L213" i="16"/>
  <c r="L214" i="16" s="1"/>
  <c r="M204" i="16"/>
  <c r="C209" i="16"/>
  <c r="M201" i="16"/>
  <c r="M202" i="16" s="1"/>
  <c r="O202" i="16" s="1"/>
  <c r="E744" i="7" s="1"/>
  <c r="W744" i="7" s="1"/>
  <c r="C205" i="16"/>
  <c r="E188" i="16"/>
  <c r="E192" i="16"/>
  <c r="M192" i="16" s="1"/>
  <c r="M155" i="16"/>
  <c r="C156" i="16"/>
  <c r="M153" i="16"/>
  <c r="H156" i="16"/>
  <c r="C159" i="16"/>
  <c r="M159" i="16" s="1"/>
  <c r="M142" i="16"/>
  <c r="O142" i="16" s="1"/>
  <c r="F143" i="16"/>
  <c r="M143" i="16" s="1"/>
  <c r="O143" i="16" s="1"/>
  <c r="M132" i="16"/>
  <c r="M131" i="16" s="1"/>
  <c r="O131" i="16" s="1"/>
  <c r="C135" i="16"/>
  <c r="C91" i="16"/>
  <c r="H85" i="16"/>
  <c r="E86" i="16"/>
  <c r="E91" i="16" s="1"/>
  <c r="E89" i="16"/>
  <c r="L80" i="16"/>
  <c r="L84" i="16"/>
  <c r="C70" i="16"/>
  <c r="L53" i="16"/>
  <c r="L61" i="16"/>
  <c r="L66" i="16" s="1"/>
  <c r="L71" i="16" s="1"/>
  <c r="L76" i="16" s="1"/>
  <c r="M48" i="16"/>
  <c r="C53" i="16"/>
  <c r="M53" i="16" s="1"/>
  <c r="C61" i="16"/>
  <c r="L52" i="16"/>
  <c r="L60" i="16"/>
  <c r="L65" i="16" s="1"/>
  <c r="L70" i="16" s="1"/>
  <c r="L75" i="16" s="1"/>
  <c r="L51" i="16"/>
  <c r="L59" i="16"/>
  <c r="L64" i="16" s="1"/>
  <c r="L69" i="16" s="1"/>
  <c r="L74" i="16" s="1"/>
  <c r="M46" i="16"/>
  <c r="C51" i="16"/>
  <c r="C59" i="16"/>
  <c r="L50" i="16"/>
  <c r="L58" i="16"/>
  <c r="L63" i="16" s="1"/>
  <c r="L68" i="16" s="1"/>
  <c r="L73" i="16" s="1"/>
  <c r="M45" i="16"/>
  <c r="C50" i="16"/>
  <c r="C58" i="16"/>
  <c r="D27" i="16"/>
  <c r="D38" i="16"/>
  <c r="M26" i="16"/>
  <c r="C31" i="16"/>
  <c r="M31" i="16" s="1"/>
  <c r="M33" i="16" s="1"/>
  <c r="H34" i="16" s="1"/>
  <c r="M34" i="16" s="1"/>
  <c r="O34" i="16" s="1"/>
  <c r="E698" i="7" s="1"/>
  <c r="W698" i="7" s="1"/>
  <c r="C38" i="16"/>
  <c r="C43" i="16"/>
  <c r="M43" i="16" s="1"/>
  <c r="M40" i="16" s="1"/>
  <c r="O40" i="16" s="1"/>
  <c r="C251" i="16"/>
  <c r="A107" i="16"/>
  <c r="A114" i="16" s="1"/>
  <c r="A121" i="16" s="1"/>
  <c r="A140" i="16"/>
  <c r="A145" i="16"/>
  <c r="A160" i="16" s="1"/>
  <c r="A177" i="16" s="1"/>
  <c r="A194" i="16" s="1"/>
  <c r="A216" i="16" s="1"/>
  <c r="C17" i="16"/>
  <c r="D16" i="16"/>
  <c r="D17" i="16" s="1"/>
  <c r="D20" i="16"/>
  <c r="M20" i="16" s="1"/>
  <c r="O20" i="16" s="1"/>
  <c r="E694" i="7" s="1"/>
  <c r="W694" i="7" s="1"/>
  <c r="M298" i="15"/>
  <c r="E675" i="7" s="1"/>
  <c r="W675" i="7" s="1"/>
  <c r="L299" i="15"/>
  <c r="M277" i="15"/>
  <c r="E665" i="7" s="1"/>
  <c r="W665" i="7" s="1"/>
  <c r="E662" i="7"/>
  <c r="W662" i="7" s="1"/>
  <c r="M256" i="15"/>
  <c r="J257" i="15"/>
  <c r="M257" i="15" s="1"/>
  <c r="M240" i="15"/>
  <c r="J241" i="15"/>
  <c r="L260" i="15"/>
  <c r="M228" i="15"/>
  <c r="C232" i="15"/>
  <c r="M232" i="15" s="1"/>
  <c r="M225" i="15"/>
  <c r="M226" i="15" s="1"/>
  <c r="E643" i="7" s="1"/>
  <c r="W643" i="7" s="1"/>
  <c r="C229" i="15"/>
  <c r="M213" i="15"/>
  <c r="M214" i="15" s="1"/>
  <c r="E640" i="7" s="1"/>
  <c r="W640" i="7" s="1"/>
  <c r="C217" i="15"/>
  <c r="M217" i="15" s="1"/>
  <c r="M218" i="15" s="1"/>
  <c r="E641" i="7" s="1"/>
  <c r="W641" i="7" s="1"/>
  <c r="M183" i="15"/>
  <c r="M184" i="15" s="1"/>
  <c r="O184" i="15" s="1"/>
  <c r="L186" i="15"/>
  <c r="M171" i="15"/>
  <c r="F175" i="15"/>
  <c r="C179" i="15"/>
  <c r="M179" i="15" s="1"/>
  <c r="M170" i="15"/>
  <c r="F174" i="15"/>
  <c r="M174" i="15" s="1"/>
  <c r="C178" i="15"/>
  <c r="M178" i="15" s="1"/>
  <c r="K175" i="15"/>
  <c r="K189" i="15"/>
  <c r="M153" i="15"/>
  <c r="C154" i="15"/>
  <c r="M154" i="15" s="1"/>
  <c r="M137" i="15"/>
  <c r="E625" i="7" s="1"/>
  <c r="W625" i="7" s="1"/>
  <c r="F138" i="15"/>
  <c r="M113" i="15"/>
  <c r="E615" i="7" s="1"/>
  <c r="W615" i="7" s="1"/>
  <c r="K114" i="15"/>
  <c r="E115" i="15"/>
  <c r="M115" i="15" s="1"/>
  <c r="E617" i="7" s="1"/>
  <c r="W617" i="7" s="1"/>
  <c r="M109" i="15"/>
  <c r="E611" i="7" s="1"/>
  <c r="W611" i="7" s="1"/>
  <c r="C114" i="15"/>
  <c r="C138" i="15"/>
  <c r="M54" i="15"/>
  <c r="M55" i="15" s="1"/>
  <c r="E591" i="7" s="1"/>
  <c r="W591" i="7" s="1"/>
  <c r="C58" i="15"/>
  <c r="M58" i="15" s="1"/>
  <c r="M59" i="15" s="1"/>
  <c r="E592" i="7" s="1"/>
  <c r="W592" i="7" s="1"/>
  <c r="M42" i="15"/>
  <c r="C46" i="15"/>
  <c r="M46" i="15" s="1"/>
  <c r="C86" i="15"/>
  <c r="M39" i="15"/>
  <c r="M40" i="15" s="1"/>
  <c r="C43" i="15"/>
  <c r="A161" i="15"/>
  <c r="A194" i="15"/>
  <c r="A205" i="15" s="1"/>
  <c r="M408" i="7"/>
  <c r="E412" i="7"/>
  <c r="W412" i="7" s="1"/>
  <c r="P249" i="14"/>
  <c r="E397" i="7" s="1"/>
  <c r="W397" i="7" s="1"/>
  <c r="N258" i="14"/>
  <c r="P258" i="14" s="1"/>
  <c r="E400" i="7" s="1"/>
  <c r="W400" i="7" s="1"/>
  <c r="N215" i="14"/>
  <c r="C219" i="14"/>
  <c r="N208" i="14"/>
  <c r="N209" i="14" s="1"/>
  <c r="P209" i="14" s="1"/>
  <c r="E386" i="7" s="1"/>
  <c r="W386" i="7" s="1"/>
  <c r="C216" i="14"/>
  <c r="N216" i="14" s="1"/>
  <c r="A236" i="14"/>
  <c r="A237" i="14"/>
  <c r="A245" i="14" s="1"/>
  <c r="A250" i="14" s="1"/>
  <c r="A254" i="14" s="1"/>
  <c r="A258" i="14" s="1"/>
  <c r="A259" i="14" s="1"/>
  <c r="A263" i="14" s="1"/>
  <c r="A264" i="14" s="1"/>
  <c r="A268" i="14" s="1"/>
  <c r="A269" i="14" s="1"/>
  <c r="C168" i="14"/>
  <c r="N164" i="14"/>
  <c r="D167" i="14"/>
  <c r="D168" i="14" s="1"/>
  <c r="H374" i="7"/>
  <c r="M374" i="7"/>
  <c r="N140" i="14"/>
  <c r="N141" i="14" s="1"/>
  <c r="P141" i="14" s="1"/>
  <c r="M143" i="14"/>
  <c r="N128" i="14"/>
  <c r="F132" i="14"/>
  <c r="N132" i="14" s="1"/>
  <c r="C136" i="14"/>
  <c r="N136" i="14" s="1"/>
  <c r="N127" i="14"/>
  <c r="F131" i="14"/>
  <c r="N131" i="14" s="1"/>
  <c r="C135" i="14"/>
  <c r="N135" i="14" s="1"/>
  <c r="N102" i="14"/>
  <c r="P102" i="14" s="1"/>
  <c r="E364" i="7" s="1"/>
  <c r="W364" i="7" s="1"/>
  <c r="F103" i="14"/>
  <c r="N103" i="14" s="1"/>
  <c r="P103" i="14" s="1"/>
  <c r="E365" i="7" s="1"/>
  <c r="W365" i="7" s="1"/>
  <c r="M74" i="14"/>
  <c r="M75" i="14"/>
  <c r="N75" i="14" s="1"/>
  <c r="P75" i="14" s="1"/>
  <c r="E351" i="7" s="1"/>
  <c r="W351" i="7" s="1"/>
  <c r="N73" i="14"/>
  <c r="P73" i="14" s="1"/>
  <c r="E349" i="7" s="1"/>
  <c r="W349" i="7" s="1"/>
  <c r="F74" i="14"/>
  <c r="H348" i="7"/>
  <c r="M348" i="7"/>
  <c r="N51" i="14"/>
  <c r="C55" i="14"/>
  <c r="C45" i="14"/>
  <c r="M56" i="14"/>
  <c r="M60" i="14" s="1"/>
  <c r="M64" i="14" s="1"/>
  <c r="M46" i="14"/>
  <c r="N42" i="14"/>
  <c r="C52" i="14"/>
  <c r="M55" i="14"/>
  <c r="M59" i="14" s="1"/>
  <c r="M63" i="14" s="1"/>
  <c r="M45" i="14"/>
  <c r="A118" i="14"/>
  <c r="A152" i="14"/>
  <c r="A157" i="14" s="1"/>
  <c r="A170" i="14" s="1"/>
  <c r="A171" i="14" s="1"/>
  <c r="A172" i="14" s="1"/>
  <c r="M342" i="13"/>
  <c r="E564" i="7" s="1"/>
  <c r="W564" i="7" s="1"/>
  <c r="Y564" i="7" s="1"/>
  <c r="L344" i="13"/>
  <c r="M344" i="13" s="1"/>
  <c r="E566" i="7" s="1"/>
  <c r="W566" i="7" s="1"/>
  <c r="Y566" i="7" s="1"/>
  <c r="L345" i="13"/>
  <c r="M328" i="13"/>
  <c r="E550" i="7" s="1"/>
  <c r="W550" i="7" s="1"/>
  <c r="Y550" i="7" s="1"/>
  <c r="L329" i="13"/>
  <c r="H546" i="7"/>
  <c r="M546" i="7"/>
  <c r="M305" i="13"/>
  <c r="M307" i="13" s="1"/>
  <c r="C297" i="13"/>
  <c r="M297" i="13" s="1"/>
  <c r="E512" i="7" s="1"/>
  <c r="W512" i="7" s="1"/>
  <c r="Y512" i="7" s="1"/>
  <c r="M514" i="7"/>
  <c r="M256" i="13"/>
  <c r="C260" i="13"/>
  <c r="M255" i="13"/>
  <c r="C259" i="13"/>
  <c r="O253" i="13"/>
  <c r="M246" i="13"/>
  <c r="E248" i="13"/>
  <c r="M245" i="13"/>
  <c r="C248" i="13"/>
  <c r="M212" i="13"/>
  <c r="C275" i="13"/>
  <c r="M275" i="13" s="1"/>
  <c r="M211" i="13"/>
  <c r="C273" i="13"/>
  <c r="M273" i="13" s="1"/>
  <c r="M210" i="13"/>
  <c r="C272" i="13"/>
  <c r="M209" i="13"/>
  <c r="C274" i="13"/>
  <c r="M202" i="13"/>
  <c r="E485" i="7" s="1"/>
  <c r="W485" i="7" s="1"/>
  <c r="Y485" i="7" s="1"/>
  <c r="E484" i="7"/>
  <c r="W484" i="7" s="1"/>
  <c r="Y484" i="7" s="1"/>
  <c r="M169" i="13"/>
  <c r="L170" i="13"/>
  <c r="M170" i="13" s="1"/>
  <c r="L173" i="13"/>
  <c r="L179" i="13"/>
  <c r="M179" i="13" s="1"/>
  <c r="M180" i="13" s="1"/>
  <c r="M157" i="13"/>
  <c r="F161" i="13"/>
  <c r="M161" i="13" s="1"/>
  <c r="C165" i="13"/>
  <c r="M165" i="13" s="1"/>
  <c r="M156" i="13"/>
  <c r="F160" i="13"/>
  <c r="M160" i="13" s="1"/>
  <c r="C164" i="13"/>
  <c r="M164" i="13" s="1"/>
  <c r="M152" i="13"/>
  <c r="L153" i="13"/>
  <c r="M153" i="13" s="1"/>
  <c r="M123" i="13"/>
  <c r="F124" i="13"/>
  <c r="M98" i="13"/>
  <c r="E451" i="7" s="1"/>
  <c r="W451" i="7" s="1"/>
  <c r="Y451" i="7" s="1"/>
  <c r="E99" i="13"/>
  <c r="C124" i="13"/>
  <c r="M124" i="13" s="1"/>
  <c r="M94" i="13"/>
  <c r="E447" i="7" s="1"/>
  <c r="W447" i="7" s="1"/>
  <c r="Y447" i="7" s="1"/>
  <c r="F95" i="13"/>
  <c r="E96" i="13"/>
  <c r="L95" i="13"/>
  <c r="L96" i="13"/>
  <c r="L90" i="13"/>
  <c r="L91" i="13"/>
  <c r="M91" i="13" s="1"/>
  <c r="E444" i="7" s="1"/>
  <c r="W444" i="7" s="1"/>
  <c r="Y444" i="7" s="1"/>
  <c r="C78" i="13"/>
  <c r="C58" i="13"/>
  <c r="C67" i="13"/>
  <c r="C57" i="13"/>
  <c r="C66" i="13"/>
  <c r="L56" i="13"/>
  <c r="L65" i="13"/>
  <c r="L71" i="13" s="1"/>
  <c r="L77" i="13" s="1"/>
  <c r="L83" i="13" s="1"/>
  <c r="C56" i="13"/>
  <c r="M56" i="13" s="1"/>
  <c r="C65" i="13"/>
  <c r="L55" i="13"/>
  <c r="L64" i="13"/>
  <c r="L70" i="13" s="1"/>
  <c r="L76" i="13" s="1"/>
  <c r="L82" i="13" s="1"/>
  <c r="C55" i="13"/>
  <c r="C64" i="13"/>
  <c r="L58" i="13"/>
  <c r="L67" i="13"/>
  <c r="L73" i="13" s="1"/>
  <c r="L79" i="13" s="1"/>
  <c r="L85" i="13" s="1"/>
  <c r="L57" i="13"/>
  <c r="L66" i="13"/>
  <c r="L72" i="13" s="1"/>
  <c r="L78" i="13" s="1"/>
  <c r="L84" i="13" s="1"/>
  <c r="D29" i="13"/>
  <c r="D41" i="13"/>
  <c r="E28" i="13"/>
  <c r="E50" i="13"/>
  <c r="A121" i="13"/>
  <c r="A126" i="13"/>
  <c r="A134" i="13" s="1"/>
  <c r="H428" i="7"/>
  <c r="M428" i="7"/>
  <c r="C19" i="13"/>
  <c r="D18" i="13"/>
  <c r="D19" i="13" s="1"/>
  <c r="D22" i="13"/>
  <c r="M22" i="13" s="1"/>
  <c r="E427" i="7" s="1"/>
  <c r="W427" i="7" s="1"/>
  <c r="Y427" i="7" s="1"/>
  <c r="N26" i="12"/>
  <c r="C34" i="12"/>
  <c r="N34" i="12" s="1"/>
  <c r="N25" i="12"/>
  <c r="C33" i="12"/>
  <c r="N33" i="12" s="1"/>
  <c r="N19" i="12"/>
  <c r="P19" i="12" s="1"/>
  <c r="E313" i="7" s="1"/>
  <c r="W313" i="7" s="1"/>
  <c r="N21" i="12"/>
  <c r="N23" i="12" s="1"/>
  <c r="P23" i="12" s="1"/>
  <c r="E314" i="7" s="1"/>
  <c r="W314" i="7" s="1"/>
  <c r="H311" i="7"/>
  <c r="M311" i="7"/>
  <c r="L406" i="11"/>
  <c r="L411" i="11"/>
  <c r="L415" i="11" s="1"/>
  <c r="M349" i="11"/>
  <c r="C353" i="11"/>
  <c r="M348" i="11"/>
  <c r="C352" i="11"/>
  <c r="N312" i="11"/>
  <c r="F313" i="11"/>
  <c r="N313" i="11" s="1"/>
  <c r="C314" i="11"/>
  <c r="N314" i="11" s="1"/>
  <c r="N304" i="11"/>
  <c r="F305" i="11"/>
  <c r="N305" i="11" s="1"/>
  <c r="C306" i="11"/>
  <c r="N306" i="11" s="1"/>
  <c r="N285" i="11"/>
  <c r="C286" i="11"/>
  <c r="M171" i="11"/>
  <c r="M172" i="11"/>
  <c r="M173" i="11" s="1"/>
  <c r="M174" i="11"/>
  <c r="C152" i="11"/>
  <c r="M150" i="11"/>
  <c r="M154" i="11"/>
  <c r="P129" i="11"/>
  <c r="E264" i="7" s="1"/>
  <c r="W264" i="7" s="1"/>
  <c r="Y264" i="7" s="1"/>
  <c r="N131" i="11"/>
  <c r="D123" i="11"/>
  <c r="D132" i="11"/>
  <c r="N122" i="11"/>
  <c r="C123" i="11"/>
  <c r="C132" i="11"/>
  <c r="N107" i="11"/>
  <c r="N108" i="11" s="1"/>
  <c r="P108" i="11" s="1"/>
  <c r="E259" i="7" s="1"/>
  <c r="W259" i="7" s="1"/>
  <c r="Y259" i="7" s="1"/>
  <c r="C111" i="11"/>
  <c r="N111" i="11" s="1"/>
  <c r="N112" i="11" s="1"/>
  <c r="P112" i="11" s="1"/>
  <c r="E260" i="7" s="1"/>
  <c r="W260" i="7" s="1"/>
  <c r="Y260" i="7" s="1"/>
  <c r="P100" i="11"/>
  <c r="N101" i="11"/>
  <c r="P101" i="11" s="1"/>
  <c r="A80" i="11"/>
  <c r="A85" i="11"/>
  <c r="N51" i="11"/>
  <c r="C55" i="11"/>
  <c r="N55" i="11" s="1"/>
  <c r="N50" i="11"/>
  <c r="C54" i="11"/>
  <c r="N54" i="11" s="1"/>
  <c r="F43" i="11"/>
  <c r="N43" i="11" s="1"/>
  <c r="P43" i="11" s="1"/>
  <c r="F80" i="11"/>
  <c r="C81" i="11" s="1"/>
  <c r="M60" i="11"/>
  <c r="M66" i="11"/>
  <c r="M70" i="11" s="1"/>
  <c r="M74" i="11" s="1"/>
  <c r="M78" i="11" s="1"/>
  <c r="N27" i="11"/>
  <c r="N28" i="11" s="1"/>
  <c r="P28" i="11" s="1"/>
  <c r="E239" i="7" s="1"/>
  <c r="W239" i="7" s="1"/>
  <c r="Y239" i="7" s="1"/>
  <c r="C31" i="11"/>
  <c r="C60" i="11"/>
  <c r="C66" i="11"/>
  <c r="M59" i="11"/>
  <c r="M65" i="11"/>
  <c r="M69" i="11" s="1"/>
  <c r="M73" i="11" s="1"/>
  <c r="M77" i="11" s="1"/>
  <c r="N26" i="11"/>
  <c r="C30" i="11"/>
  <c r="C59" i="11"/>
  <c r="C65" i="11"/>
  <c r="D144" i="10"/>
  <c r="D145" i="10" s="1"/>
  <c r="D155" i="10"/>
  <c r="C144" i="10"/>
  <c r="C155" i="10"/>
  <c r="C140" i="10"/>
  <c r="M134" i="10"/>
  <c r="M135" i="10" s="1"/>
  <c r="M138" i="10"/>
  <c r="N124" i="10"/>
  <c r="C125" i="10"/>
  <c r="N125" i="10" s="1"/>
  <c r="C129" i="10"/>
  <c r="F117" i="10"/>
  <c r="N113" i="10"/>
  <c r="N115" i="10" s="1"/>
  <c r="P115" i="10" s="1"/>
  <c r="E215" i="7" s="1"/>
  <c r="W215" i="7" s="1"/>
  <c r="C117" i="10"/>
  <c r="N96" i="10"/>
  <c r="F100" i="10"/>
  <c r="N100" i="10" s="1"/>
  <c r="N102" i="10" s="1"/>
  <c r="P102" i="10" s="1"/>
  <c r="E208" i="7" s="1"/>
  <c r="W208" i="7" s="1"/>
  <c r="C104" i="10"/>
  <c r="N104" i="10" s="1"/>
  <c r="N79" i="10"/>
  <c r="F83" i="10"/>
  <c r="N83" i="10" s="1"/>
  <c r="C87" i="10"/>
  <c r="N87" i="10" s="1"/>
  <c r="C49" i="10"/>
  <c r="N49" i="10" s="1"/>
  <c r="C48" i="10"/>
  <c r="N48" i="10" s="1"/>
  <c r="M18" i="10"/>
  <c r="N18" i="10" s="1"/>
  <c r="P18" i="10" s="1"/>
  <c r="L19" i="10"/>
  <c r="H174" i="7"/>
  <c r="M174" i="7"/>
  <c r="H168" i="7"/>
  <c r="M168" i="7"/>
  <c r="N266" i="9"/>
  <c r="N267" i="9" s="1"/>
  <c r="P267" i="9" s="1"/>
  <c r="E165" i="7" s="1"/>
  <c r="W165" i="7" s="1"/>
  <c r="Y165" i="7" s="1"/>
  <c r="C270" i="9"/>
  <c r="N270" i="9" s="1"/>
  <c r="N271" i="9" s="1"/>
  <c r="P271" i="9" s="1"/>
  <c r="E166" i="7" s="1"/>
  <c r="W166" i="7" s="1"/>
  <c r="Y166" i="7" s="1"/>
  <c r="C132" i="9"/>
  <c r="H159" i="7"/>
  <c r="M159" i="7"/>
  <c r="H158" i="7"/>
  <c r="M158" i="7"/>
  <c r="D206" i="9"/>
  <c r="D218" i="9" s="1"/>
  <c r="D217" i="9"/>
  <c r="D236" i="9" s="1"/>
  <c r="H210" i="9"/>
  <c r="H216" i="9"/>
  <c r="H229" i="9" s="1"/>
  <c r="N204" i="9"/>
  <c r="C210" i="9"/>
  <c r="C216" i="9"/>
  <c r="C229" i="9"/>
  <c r="N203" i="9"/>
  <c r="C209" i="9"/>
  <c r="C215" i="9"/>
  <c r="C228" i="9"/>
  <c r="N228" i="9" s="1"/>
  <c r="C206" i="9"/>
  <c r="H200" i="9"/>
  <c r="H205" i="9"/>
  <c r="H193" i="9"/>
  <c r="C205" i="9"/>
  <c r="E194" i="9"/>
  <c r="E199" i="9"/>
  <c r="A239" i="9"/>
  <c r="A240" i="9"/>
  <c r="A248" i="9" s="1"/>
  <c r="A254" i="9" s="1"/>
  <c r="A258" i="9" s="1"/>
  <c r="A263" i="9" s="1"/>
  <c r="A264" i="9" s="1"/>
  <c r="A268" i="9" s="1"/>
  <c r="A272" i="9" s="1"/>
  <c r="A273" i="9" s="1"/>
  <c r="P173" i="9"/>
  <c r="N174" i="9"/>
  <c r="H141" i="7"/>
  <c r="M141" i="7"/>
  <c r="L143" i="9"/>
  <c r="L158" i="9"/>
  <c r="F143" i="9"/>
  <c r="C147" i="9"/>
  <c r="N134" i="9"/>
  <c r="M135" i="9"/>
  <c r="N135" i="9" s="1"/>
  <c r="M139" i="9"/>
  <c r="M143" i="9" s="1"/>
  <c r="M147" i="9" s="1"/>
  <c r="F108" i="9"/>
  <c r="F84" i="9"/>
  <c r="E85" i="9"/>
  <c r="M83" i="9"/>
  <c r="M106" i="9"/>
  <c r="M79" i="9"/>
  <c r="M80" i="9"/>
  <c r="N80" i="9" s="1"/>
  <c r="P80" i="9" s="1"/>
  <c r="N51" i="9"/>
  <c r="C55" i="9"/>
  <c r="C52" i="9"/>
  <c r="A105" i="9"/>
  <c r="A110" i="9"/>
  <c r="A124" i="9" s="1"/>
  <c r="A164" i="9" s="1"/>
  <c r="A165" i="9" s="1"/>
  <c r="A166" i="9" s="1"/>
  <c r="A129" i="9"/>
  <c r="P20" i="9"/>
  <c r="E100" i="7"/>
  <c r="C16" i="9"/>
  <c r="C18" i="9"/>
  <c r="D15" i="9"/>
  <c r="D16" i="9" s="1"/>
  <c r="D19" i="9"/>
  <c r="N19" i="9" s="1"/>
  <c r="W99" i="7" s="1"/>
  <c r="Y99" i="7" s="1"/>
  <c r="M49" i="8"/>
  <c r="K50" i="8"/>
  <c r="M50" i="8" s="1"/>
  <c r="J26" i="8"/>
  <c r="J27" i="8" s="1"/>
  <c r="K27" i="8" s="1"/>
  <c r="F18" i="8"/>
  <c r="K18" i="8" s="1"/>
  <c r="N36" i="8"/>
  <c r="H610" i="6"/>
  <c r="C618" i="6"/>
  <c r="C567" i="6"/>
  <c r="H559" i="6"/>
  <c r="C560" i="6"/>
  <c r="H540" i="6"/>
  <c r="C546" i="6"/>
  <c r="J537" i="6"/>
  <c r="H538" i="6"/>
  <c r="J538" i="6" s="1"/>
  <c r="H508" i="6"/>
  <c r="G509" i="6"/>
  <c r="H482" i="6"/>
  <c r="G483" i="6"/>
  <c r="H466" i="6"/>
  <c r="C469" i="6"/>
  <c r="C459" i="6"/>
  <c r="C456" i="6"/>
  <c r="H328" i="6"/>
  <c r="C329" i="6"/>
  <c r="H227" i="6"/>
  <c r="C228" i="6"/>
  <c r="H25" i="6"/>
  <c r="D26" i="6"/>
  <c r="N17" i="6"/>
  <c r="G17" i="6" s="1"/>
  <c r="F428" i="6"/>
  <c r="F430" i="6"/>
  <c r="F448" i="6"/>
  <c r="A505" i="6"/>
  <c r="A512" i="6" s="1"/>
  <c r="A520" i="6"/>
  <c r="A540" i="6" s="1"/>
  <c r="A544" i="6" s="1"/>
  <c r="A555" i="6" s="1"/>
  <c r="A556" i="6" s="1"/>
  <c r="H317" i="5"/>
  <c r="C325" i="5"/>
  <c r="H273" i="5"/>
  <c r="C274" i="5"/>
  <c r="H266" i="5"/>
  <c r="C267" i="5"/>
  <c r="J206" i="5"/>
  <c r="H207" i="5"/>
  <c r="J207" i="5" s="1"/>
  <c r="H177" i="5"/>
  <c r="G178" i="5"/>
  <c r="H151" i="5"/>
  <c r="G152" i="5"/>
  <c r="H143" i="5"/>
  <c r="C140" i="5"/>
  <c r="A174" i="5"/>
  <c r="A181" i="5" s="1"/>
  <c r="A189" i="5"/>
  <c r="A208" i="5" s="1"/>
  <c r="A214" i="5" s="1"/>
  <c r="A224" i="5" s="1"/>
  <c r="A263" i="5" s="1"/>
  <c r="J89" i="5"/>
  <c r="F108" i="5"/>
  <c r="H108" i="5" s="1"/>
  <c r="H76" i="5"/>
  <c r="C77" i="5"/>
  <c r="H59" i="5"/>
  <c r="C60" i="5"/>
  <c r="J41" i="5"/>
  <c r="D42" i="5"/>
  <c r="H42" i="5" s="1"/>
  <c r="D43" i="5"/>
  <c r="H43" i="5" s="1"/>
  <c r="D44" i="5"/>
  <c r="H44" i="5" s="1"/>
  <c r="D45" i="5"/>
  <c r="H45" i="5" s="1"/>
  <c r="D46" i="5"/>
  <c r="H46" i="5" s="1"/>
  <c r="D47" i="5"/>
  <c r="H47" i="5" s="1"/>
  <c r="D48" i="5"/>
  <c r="H48" i="5" s="1"/>
  <c r="D49" i="5"/>
  <c r="D50" i="5"/>
  <c r="D51" i="5"/>
  <c r="H51" i="5" s="1"/>
  <c r="D52" i="5"/>
  <c r="H52" i="5" s="1"/>
  <c r="D53" i="5"/>
  <c r="H53" i="5" s="1"/>
  <c r="D54" i="5"/>
  <c r="H54" i="5" s="1"/>
  <c r="D55" i="5"/>
  <c r="H55" i="5" s="1"/>
  <c r="B35" i="5"/>
  <c r="B53" i="5"/>
  <c r="B69" i="5" s="1"/>
  <c r="B85" i="5" s="1"/>
  <c r="E31" i="5"/>
  <c r="C49" i="5"/>
  <c r="F65" i="5"/>
  <c r="E81" i="5"/>
  <c r="H25" i="5"/>
  <c r="D26" i="5"/>
  <c r="L100" i="17"/>
  <c r="L104" i="17" s="1"/>
  <c r="L139" i="17" s="1"/>
  <c r="L147" i="17" s="1"/>
  <c r="L95" i="17"/>
  <c r="M95" i="17" s="1"/>
  <c r="J1278" i="7"/>
  <c r="H1278" i="7"/>
  <c r="M1278" i="7"/>
  <c r="H1275" i="7"/>
  <c r="M1275" i="7"/>
  <c r="H1274" i="7"/>
  <c r="M1274" i="7"/>
  <c r="H1273" i="7"/>
  <c r="M1273" i="7"/>
  <c r="H1269" i="7"/>
  <c r="M1269" i="7"/>
  <c r="H1268" i="7"/>
  <c r="M1268" i="7"/>
  <c r="H1261" i="7"/>
  <c r="M1261" i="7"/>
  <c r="H1216" i="7"/>
  <c r="M1216" i="7"/>
  <c r="H1188" i="7"/>
  <c r="M1188" i="7"/>
  <c r="H1182" i="7"/>
  <c r="M1182" i="7"/>
  <c r="H1154" i="7"/>
  <c r="M1154" i="7"/>
  <c r="H1139" i="7"/>
  <c r="M1139" i="7"/>
  <c r="H1134" i="7"/>
  <c r="M1134" i="7"/>
  <c r="H1099" i="7"/>
  <c r="M1099" i="7"/>
  <c r="H1098" i="7"/>
  <c r="M1098" i="7"/>
  <c r="H1091" i="7"/>
  <c r="M1091" i="7"/>
  <c r="H1090" i="7"/>
  <c r="M1090" i="7"/>
  <c r="H1065" i="7"/>
  <c r="M1065" i="7"/>
  <c r="H1050" i="7"/>
  <c r="M1050" i="7"/>
  <c r="H1048" i="7"/>
  <c r="M1048" i="7"/>
  <c r="H1045" i="7"/>
  <c r="M1045" i="7"/>
  <c r="H1038" i="7"/>
  <c r="M1038" i="7"/>
  <c r="H1037" i="7"/>
  <c r="M1037" i="7"/>
  <c r="H1036" i="7"/>
  <c r="M1036" i="7"/>
  <c r="H1033" i="7"/>
  <c r="M1033" i="7"/>
  <c r="H1030" i="7"/>
  <c r="M1030" i="7"/>
  <c r="H1022" i="7"/>
  <c r="M1022" i="7"/>
  <c r="H1020" i="7"/>
  <c r="K1020" i="7" s="1"/>
  <c r="M1020" i="7"/>
  <c r="H1019" i="7"/>
  <c r="M1019" i="7"/>
  <c r="H983" i="7"/>
  <c r="M983" i="7"/>
  <c r="H928" i="7"/>
  <c r="M928" i="7"/>
  <c r="H545" i="7"/>
  <c r="M545" i="7"/>
  <c r="J543" i="7"/>
  <c r="M543" i="7"/>
  <c r="H543" i="7"/>
  <c r="H540" i="7"/>
  <c r="M540" i="7"/>
  <c r="H537" i="7"/>
  <c r="M537" i="7"/>
  <c r="H536" i="7"/>
  <c r="M536" i="7"/>
  <c r="H535" i="7"/>
  <c r="M535" i="7"/>
  <c r="H533" i="7"/>
  <c r="M533" i="7"/>
  <c r="H532" i="7"/>
  <c r="M532" i="7"/>
  <c r="H518" i="7"/>
  <c r="M518" i="7"/>
  <c r="H511" i="7"/>
  <c r="M511" i="7"/>
  <c r="M496" i="7"/>
  <c r="H496" i="7"/>
  <c r="H495" i="7"/>
  <c r="M495" i="7"/>
  <c r="H466" i="7"/>
  <c r="M466" i="7"/>
  <c r="M405" i="7"/>
  <c r="H405" i="7"/>
  <c r="H404" i="7"/>
  <c r="M404" i="7"/>
  <c r="H393" i="7"/>
  <c r="M393" i="7"/>
  <c r="A352" i="7"/>
  <c r="A357" i="7" s="1"/>
  <c r="A362" i="7" s="1"/>
  <c r="A367" i="7" s="1"/>
  <c r="A372" i="7" s="1"/>
  <c r="A347" i="7"/>
  <c r="H53" i="7"/>
  <c r="M53" i="7"/>
  <c r="J25" i="7"/>
  <c r="H25" i="7"/>
  <c r="M25" i="7"/>
  <c r="L51" i="19"/>
  <c r="L60" i="19" s="1"/>
  <c r="L55" i="19"/>
  <c r="L36" i="19" s="1"/>
  <c r="A71" i="19"/>
  <c r="A62" i="19"/>
  <c r="A81" i="19" s="1"/>
  <c r="A86" i="19" s="1"/>
  <c r="A105" i="19" s="1"/>
  <c r="A111" i="19" s="1"/>
  <c r="A116" i="19" s="1"/>
  <c r="A76" i="19"/>
  <c r="H1097" i="7"/>
  <c r="M1097" i="7"/>
  <c r="P90" i="18"/>
  <c r="E1093" i="7" s="1"/>
  <c r="W1093" i="7" s="1"/>
  <c r="Y1093" i="7" s="1"/>
  <c r="N95" i="18"/>
  <c r="N97" i="18" s="1"/>
  <c r="C98" i="18" s="1"/>
  <c r="N98" i="18" s="1"/>
  <c r="P98" i="18" s="1"/>
  <c r="E1096" i="7" s="1"/>
  <c r="W1096" i="7" s="1"/>
  <c r="Y1096" i="7" s="1"/>
  <c r="N93" i="18"/>
  <c r="P93" i="18" s="1"/>
  <c r="E1095" i="7" s="1"/>
  <c r="W1095" i="7" s="1"/>
  <c r="Y1095" i="7" s="1"/>
  <c r="C283" i="17"/>
  <c r="M279" i="17"/>
  <c r="C242" i="17"/>
  <c r="M239" i="17"/>
  <c r="D240" i="17"/>
  <c r="A174" i="17"/>
  <c r="A177" i="17"/>
  <c r="A180" i="17" s="1"/>
  <c r="H984" i="7"/>
  <c r="M984" i="7"/>
  <c r="A742" i="7"/>
  <c r="A749" i="7"/>
  <c r="H673" i="7"/>
  <c r="M673" i="7"/>
  <c r="H668" i="7"/>
  <c r="M668" i="7"/>
  <c r="H663" i="7"/>
  <c r="M663" i="7"/>
  <c r="H658" i="7"/>
  <c r="M658" i="7"/>
  <c r="H653" i="7"/>
  <c r="M653" i="7"/>
  <c r="H565" i="7"/>
  <c r="M565" i="7"/>
  <c r="H561" i="7"/>
  <c r="M561" i="7"/>
  <c r="H560" i="7"/>
  <c r="M560" i="7"/>
  <c r="J542" i="7"/>
  <c r="M542" i="7"/>
  <c r="H542" i="7"/>
  <c r="H539" i="7"/>
  <c r="M539" i="7"/>
  <c r="H538" i="7"/>
  <c r="M538" i="7"/>
  <c r="A500" i="7"/>
  <c r="A507" i="7"/>
  <c r="A508" i="7" s="1"/>
  <c r="A509" i="7" s="1"/>
  <c r="A510" i="7" s="1"/>
  <c r="A515" i="7" s="1"/>
  <c r="A516" i="7" s="1"/>
  <c r="A524" i="7" s="1"/>
  <c r="A525" i="7" s="1"/>
  <c r="H30" i="7"/>
  <c r="J30" i="7"/>
  <c r="M30" i="7"/>
  <c r="E31" i="7"/>
  <c r="W31" i="7" s="1"/>
  <c r="Y31" i="7" s="1"/>
  <c r="H1094" i="7"/>
  <c r="M1094" i="7"/>
  <c r="H1086" i="7"/>
  <c r="K1086" i="7" s="1"/>
  <c r="M1086" i="7"/>
  <c r="F64" i="18"/>
  <c r="N59" i="18"/>
  <c r="M52" i="18"/>
  <c r="N46" i="18"/>
  <c r="C28" i="18"/>
  <c r="N18" i="18"/>
  <c r="H1066" i="7"/>
  <c r="M1066" i="7"/>
  <c r="G1823" i="42"/>
  <c r="N321" i="40"/>
  <c r="P321" i="40" s="1"/>
  <c r="N290" i="40"/>
  <c r="N289" i="40"/>
  <c r="N178" i="40"/>
  <c r="N177" i="40"/>
  <c r="N173" i="40"/>
  <c r="P173" i="40" s="1"/>
  <c r="N171" i="40"/>
  <c r="N116" i="29"/>
  <c r="P116" i="29" s="1"/>
  <c r="N41" i="29"/>
  <c r="N34" i="29"/>
  <c r="P34" i="29" s="1"/>
  <c r="N201" i="28"/>
  <c r="N173" i="28"/>
  <c r="N166" i="28"/>
  <c r="N167" i="28" s="1"/>
  <c r="P167" i="28" s="1"/>
  <c r="N132" i="28"/>
  <c r="P132" i="28" s="1"/>
  <c r="N120" i="28"/>
  <c r="P120" i="28" s="1"/>
  <c r="N36" i="28"/>
  <c r="N33" i="28"/>
  <c r="N34" i="28" s="1"/>
  <c r="P34" i="28" s="1"/>
  <c r="N19" i="28"/>
  <c r="P19" i="28" s="1"/>
  <c r="N18" i="28"/>
  <c r="P18" i="28" s="1"/>
  <c r="M255" i="27"/>
  <c r="M244" i="27"/>
  <c r="M245" i="27" s="1"/>
  <c r="M129" i="27"/>
  <c r="M51" i="27"/>
  <c r="M46" i="27"/>
  <c r="N237" i="26"/>
  <c r="N192" i="26"/>
  <c r="N185" i="26"/>
  <c r="N80" i="26"/>
  <c r="P80" i="26" s="1"/>
  <c r="N41" i="26"/>
  <c r="M291" i="25"/>
  <c r="M285" i="25"/>
  <c r="M95" i="19"/>
  <c r="M265" i="17"/>
  <c r="N212" i="11"/>
  <c r="N413" i="21"/>
  <c r="N382" i="21"/>
  <c r="N370" i="21"/>
  <c r="N359" i="21"/>
  <c r="H291" i="40"/>
  <c r="N288" i="40"/>
  <c r="N283" i="40"/>
  <c r="P283" i="40" s="1"/>
  <c r="N272" i="40"/>
  <c r="P272" i="40" s="1"/>
  <c r="A235" i="40"/>
  <c r="A257" i="40" s="1"/>
  <c r="A261" i="40" s="1"/>
  <c r="A266" i="40" s="1"/>
  <c r="A273" i="40" s="1"/>
  <c r="A278" i="40" s="1"/>
  <c r="A279" i="40" s="1"/>
  <c r="A284" i="40" s="1"/>
  <c r="A285" i="40" s="1"/>
  <c r="N225" i="40"/>
  <c r="E179" i="40"/>
  <c r="N170" i="40"/>
  <c r="N167" i="40"/>
  <c r="N160" i="40"/>
  <c r="N159" i="40"/>
  <c r="N156" i="40"/>
  <c r="N157" i="40" s="1"/>
  <c r="P157" i="40" s="1"/>
  <c r="N148" i="29"/>
  <c r="N149" i="29" s="1"/>
  <c r="P149" i="29" s="1"/>
  <c r="A50" i="29"/>
  <c r="A67" i="29" s="1"/>
  <c r="A75" i="29" s="1"/>
  <c r="A80" i="29" s="1"/>
  <c r="A85" i="29" s="1"/>
  <c r="A104" i="29" s="1"/>
  <c r="A112" i="29" s="1"/>
  <c r="A117" i="29" s="1"/>
  <c r="A150" i="29" s="1"/>
  <c r="N37" i="29"/>
  <c r="N12" i="29"/>
  <c r="P12" i="29" s="1"/>
  <c r="N253" i="28"/>
  <c r="N236" i="28"/>
  <c r="N217" i="28"/>
  <c r="N178" i="28"/>
  <c r="P178" i="28" s="1"/>
  <c r="N163" i="28"/>
  <c r="N164" i="28" s="1"/>
  <c r="P164" i="28" s="1"/>
  <c r="N148" i="28"/>
  <c r="N134" i="28"/>
  <c r="P134" i="28" s="1"/>
  <c r="N121" i="28"/>
  <c r="P121" i="28" s="1"/>
  <c r="N42" i="28"/>
  <c r="N43" i="28" s="1"/>
  <c r="P43" i="28" s="1"/>
  <c r="N37" i="28"/>
  <c r="M230" i="27"/>
  <c r="H205" i="27"/>
  <c r="H206" i="27" s="1"/>
  <c r="M190" i="27"/>
  <c r="M191" i="27" s="1"/>
  <c r="O191" i="27" s="1"/>
  <c r="M161" i="27"/>
  <c r="M128" i="27"/>
  <c r="B55" i="27"/>
  <c r="B65" i="27" s="1"/>
  <c r="B68" i="27" s="1"/>
  <c r="B71" i="27" s="1"/>
  <c r="B74" i="27" s="1"/>
  <c r="B77" i="27" s="1"/>
  <c r="B80" i="27" s="1"/>
  <c r="M50" i="27"/>
  <c r="N232" i="26"/>
  <c r="P232" i="26" s="1"/>
  <c r="N186" i="26"/>
  <c r="N133" i="26"/>
  <c r="P133" i="26" s="1"/>
  <c r="N74" i="26"/>
  <c r="P74" i="26" s="1"/>
  <c r="M414" i="25"/>
  <c r="M407" i="25"/>
  <c r="M381" i="25"/>
  <c r="E306" i="25"/>
  <c r="M301" i="25"/>
  <c r="M283" i="25"/>
  <c r="M284" i="25" s="1"/>
  <c r="M274" i="25"/>
  <c r="M99" i="20"/>
  <c r="E1201" i="7" s="1"/>
  <c r="W1201" i="7" s="1"/>
  <c r="M95" i="20"/>
  <c r="E1197" i="7" s="1"/>
  <c r="W1197" i="7" s="1"/>
  <c r="M17" i="20"/>
  <c r="E1163" i="7" s="1"/>
  <c r="W1163" i="7" s="1"/>
  <c r="M114" i="19"/>
  <c r="E1141" i="7" s="1"/>
  <c r="W1141" i="7" s="1"/>
  <c r="N68" i="18"/>
  <c r="N54" i="18"/>
  <c r="N41" i="18"/>
  <c r="N23" i="18"/>
  <c r="M310" i="17"/>
  <c r="M264" i="17"/>
  <c r="M145" i="17"/>
  <c r="M213" i="11"/>
  <c r="G133" i="6"/>
  <c r="G134" i="6" s="1"/>
  <c r="G135" i="6" s="1"/>
  <c r="G136" i="6" s="1"/>
  <c r="G137" i="6" s="1"/>
  <c r="G138" i="6" s="1"/>
  <c r="G139" i="6" s="1"/>
  <c r="G140" i="6" s="1"/>
  <c r="G141" i="6" s="1"/>
  <c r="G142" i="6" s="1"/>
  <c r="G143" i="6" s="1"/>
  <c r="G144" i="6" s="1"/>
  <c r="G145" i="6" s="1"/>
  <c r="G146" i="6" s="1"/>
  <c r="G147" i="6" s="1"/>
  <c r="G148" i="6" s="1"/>
  <c r="G149" i="6" s="1"/>
  <c r="G150" i="6" s="1"/>
  <c r="G151" i="6" s="1"/>
  <c r="G152" i="6" s="1"/>
  <c r="G153" i="6" s="1"/>
  <c r="G154" i="6" s="1"/>
  <c r="G155" i="6" s="1"/>
  <c r="G156" i="6" s="1"/>
  <c r="G157" i="6" s="1"/>
  <c r="G158" i="6" s="1"/>
  <c r="G159" i="6" s="1"/>
  <c r="G160" i="6" s="1"/>
  <c r="G161" i="6" s="1"/>
  <c r="G162" i="6" s="1"/>
  <c r="G163" i="6" s="1"/>
  <c r="G164" i="6" s="1"/>
  <c r="G165" i="6" s="1"/>
  <c r="G166" i="6" s="1"/>
  <c r="G167" i="6" s="1"/>
  <c r="G168" i="6" s="1"/>
  <c r="G169" i="6" s="1"/>
  <c r="G170" i="6" s="1"/>
  <c r="G171" i="6" s="1"/>
  <c r="G172" i="6" s="1"/>
  <c r="G173" i="6" s="1"/>
  <c r="G174" i="6" s="1"/>
  <c r="G175" i="6" s="1"/>
  <c r="G176" i="6" s="1"/>
  <c r="G177" i="6" s="1"/>
  <c r="G178" i="6" s="1"/>
  <c r="G179" i="6" s="1"/>
  <c r="G180" i="6" s="1"/>
  <c r="G181" i="6" s="1"/>
  <c r="G182" i="6" s="1"/>
  <c r="G183" i="6" s="1"/>
  <c r="G184" i="6" s="1"/>
  <c r="G185" i="6" s="1"/>
  <c r="G186" i="6" s="1"/>
  <c r="G187" i="6" s="1"/>
  <c r="G188" i="6" s="1"/>
  <c r="G189" i="6" s="1"/>
  <c r="G190" i="6" s="1"/>
  <c r="G191" i="6" s="1"/>
  <c r="G192" i="6" s="1"/>
  <c r="G193" i="6" s="1"/>
  <c r="G194" i="6" s="1"/>
  <c r="G195" i="6" s="1"/>
  <c r="G196" i="6" s="1"/>
  <c r="G197" i="6" s="1"/>
  <c r="G198" i="6" s="1"/>
  <c r="G199" i="6" s="1"/>
  <c r="G200" i="6" s="1"/>
  <c r="G201" i="6" s="1"/>
  <c r="G202" i="6" s="1"/>
  <c r="G203" i="6" s="1"/>
  <c r="G204" i="6" s="1"/>
  <c r="G205" i="6" s="1"/>
  <c r="G206" i="6" s="1"/>
  <c r="G207" i="6" s="1"/>
  <c r="G208" i="6" s="1"/>
  <c r="G209" i="6" s="1"/>
  <c r="G210" i="6" s="1"/>
  <c r="G211" i="6" s="1"/>
  <c r="G212" i="6" s="1"/>
  <c r="G213" i="6" s="1"/>
  <c r="G214" i="6" s="1"/>
  <c r="G215" i="6" s="1"/>
  <c r="G216" i="6" s="1"/>
  <c r="G217" i="6" s="1"/>
  <c r="G218" i="6" s="1"/>
  <c r="G219" i="6" s="1"/>
  <c r="G220" i="6" s="1"/>
  <c r="G221" i="6" s="1"/>
  <c r="G222" i="6" s="1"/>
  <c r="G223" i="6" s="1"/>
  <c r="N147" i="40"/>
  <c r="N150" i="40" s="1"/>
  <c r="P150" i="40" s="1"/>
  <c r="N144" i="40"/>
  <c r="P144" i="40" s="1"/>
  <c r="N137" i="40"/>
  <c r="P137" i="40" s="1"/>
  <c r="N132" i="40"/>
  <c r="P132" i="40" s="1"/>
  <c r="N124" i="40"/>
  <c r="P124" i="40" s="1"/>
  <c r="N118" i="40"/>
  <c r="P118" i="40" s="1"/>
  <c r="N117" i="40"/>
  <c r="P117" i="40" s="1"/>
  <c r="N101" i="40"/>
  <c r="P101" i="40" s="1"/>
  <c r="N62" i="40"/>
  <c r="N61" i="40"/>
  <c r="N17" i="40"/>
  <c r="M318" i="39"/>
  <c r="M310" i="39"/>
  <c r="M312" i="39" s="1"/>
  <c r="M286" i="39"/>
  <c r="M263" i="39" s="1"/>
  <c r="M280" i="39"/>
  <c r="M270" i="39"/>
  <c r="M242" i="39"/>
  <c r="M236" i="39"/>
  <c r="M235" i="39"/>
  <c r="M225" i="39"/>
  <c r="M214" i="39"/>
  <c r="M215" i="39" s="1"/>
  <c r="M211" i="39"/>
  <c r="M204" i="39"/>
  <c r="M203" i="39"/>
  <c r="M202" i="39"/>
  <c r="M197" i="39"/>
  <c r="M194" i="39"/>
  <c r="M193" i="39"/>
  <c r="M190" i="39"/>
  <c r="M183" i="39"/>
  <c r="M181" i="39"/>
  <c r="M137" i="39"/>
  <c r="M136" i="39"/>
  <c r="M124" i="39"/>
  <c r="M112" i="39"/>
  <c r="M113" i="39" s="1"/>
  <c r="L99" i="39"/>
  <c r="E51" i="39"/>
  <c r="E52" i="39" s="1"/>
  <c r="E53" i="39" s="1"/>
  <c r="E54" i="39" s="1"/>
  <c r="M40" i="39"/>
  <c r="M39" i="39"/>
  <c r="M34" i="39"/>
  <c r="M21" i="39"/>
  <c r="M20" i="39"/>
  <c r="M16" i="39"/>
  <c r="M57" i="39" s="1"/>
  <c r="N157" i="38"/>
  <c r="N139" i="38"/>
  <c r="N138" i="38"/>
  <c r="N123" i="38"/>
  <c r="P123" i="38" s="1"/>
  <c r="N112" i="38"/>
  <c r="P112" i="38" s="1"/>
  <c r="N106" i="38"/>
  <c r="N83" i="38"/>
  <c r="P83" i="38" s="1"/>
  <c r="N82" i="38"/>
  <c r="P82" i="38" s="1"/>
  <c r="N62" i="38"/>
  <c r="N54" i="38"/>
  <c r="N55" i="38" s="1"/>
  <c r="P55" i="38" s="1"/>
  <c r="N48" i="38"/>
  <c r="N49" i="38" s="1"/>
  <c r="L50" i="38" s="1"/>
  <c r="N50" i="38" s="1"/>
  <c r="P50" i="38" s="1"/>
  <c r="N45" i="38"/>
  <c r="P45" i="38" s="1"/>
  <c r="N39" i="38"/>
  <c r="P39" i="38" s="1"/>
  <c r="N37" i="38"/>
  <c r="N36" i="38"/>
  <c r="N33" i="38"/>
  <c r="N32" i="38"/>
  <c r="N30" i="38"/>
  <c r="P30" i="38" s="1"/>
  <c r="N25" i="38"/>
  <c r="P25" i="38" s="1"/>
  <c r="N23" i="38"/>
  <c r="N22" i="38"/>
  <c r="N19" i="38"/>
  <c r="N18" i="38"/>
  <c r="N16" i="38"/>
  <c r="P16" i="38" s="1"/>
  <c r="M521" i="36"/>
  <c r="M489" i="36"/>
  <c r="M464" i="36"/>
  <c r="M465" i="36" s="1"/>
  <c r="M467" i="36" s="1"/>
  <c r="M461" i="36"/>
  <c r="M455" i="36"/>
  <c r="M386" i="36"/>
  <c r="M362" i="36"/>
  <c r="M361" i="36"/>
  <c r="M358" i="36"/>
  <c r="M357" i="36"/>
  <c r="M354" i="36"/>
  <c r="M353" i="36"/>
  <c r="M341" i="36"/>
  <c r="M340" i="36"/>
  <c r="M332" i="36"/>
  <c r="M333" i="36" s="1"/>
  <c r="M335" i="36" s="1"/>
  <c r="M310" i="36"/>
  <c r="M300" i="36"/>
  <c r="M279" i="36"/>
  <c r="M271" i="36"/>
  <c r="M266" i="36"/>
  <c r="M264" i="36"/>
  <c r="M263" i="36"/>
  <c r="M252" i="36"/>
  <c r="M251" i="36"/>
  <c r="M250" i="36"/>
  <c r="M221" i="36"/>
  <c r="M223" i="36" s="1"/>
  <c r="M218" i="36"/>
  <c r="M219" i="36" s="1"/>
  <c r="M215" i="36"/>
  <c r="M207" i="36"/>
  <c r="M206" i="36"/>
  <c r="M203" i="36"/>
  <c r="M202" i="36"/>
  <c r="M195" i="36"/>
  <c r="M196" i="36" s="1"/>
  <c r="M192" i="36"/>
  <c r="M172" i="36"/>
  <c r="M173" i="36" s="1"/>
  <c r="M169" i="36"/>
  <c r="M162" i="36"/>
  <c r="M161" i="36"/>
  <c r="M154" i="36"/>
  <c r="M146" i="36"/>
  <c r="M140" i="36"/>
  <c r="M139" i="36"/>
  <c r="M135" i="36"/>
  <c r="M132" i="36"/>
  <c r="M133" i="36" s="1"/>
  <c r="M129" i="36"/>
  <c r="M124" i="36"/>
  <c r="M123" i="36"/>
  <c r="M118" i="36"/>
  <c r="M117" i="36"/>
  <c r="M116" i="36"/>
  <c r="M115" i="36"/>
  <c r="M114" i="36"/>
  <c r="M107" i="36"/>
  <c r="M104" i="36"/>
  <c r="M103" i="36"/>
  <c r="M102" i="36"/>
  <c r="M101" i="36"/>
  <c r="M89" i="36"/>
  <c r="M88" i="36"/>
  <c r="M84" i="36"/>
  <c r="M83" i="36"/>
  <c r="M79" i="36"/>
  <c r="M81" i="36" s="1"/>
  <c r="M76" i="36"/>
  <c r="M77" i="36" s="1"/>
  <c r="M73" i="36"/>
  <c r="N292" i="33"/>
  <c r="N262" i="33"/>
  <c r="P262" i="33" s="1"/>
  <c r="N236" i="33"/>
  <c r="N237" i="33" s="1"/>
  <c r="P237" i="33" s="1"/>
  <c r="N233" i="33"/>
  <c r="P233" i="33" s="1"/>
  <c r="N178" i="33"/>
  <c r="N177" i="33"/>
  <c r="N175" i="33"/>
  <c r="N173" i="33"/>
  <c r="N164" i="33"/>
  <c r="N157" i="33"/>
  <c r="N156" i="33"/>
  <c r="N107" i="33"/>
  <c r="P107" i="33" s="1"/>
  <c r="N106" i="33"/>
  <c r="P106" i="33" s="1"/>
  <c r="N99" i="33"/>
  <c r="N98" i="33"/>
  <c r="N92" i="33"/>
  <c r="N87" i="33"/>
  <c r="N88" i="33" s="1"/>
  <c r="P88" i="33" s="1"/>
  <c r="N84" i="33"/>
  <c r="P84" i="33" s="1"/>
  <c r="N48" i="33"/>
  <c r="P48" i="33" s="1"/>
  <c r="N40" i="33"/>
  <c r="P40" i="33" s="1"/>
  <c r="N38" i="33"/>
  <c r="N34" i="33"/>
  <c r="N33" i="33"/>
  <c r="N164" i="30"/>
  <c r="P164" i="30" s="1"/>
  <c r="N144" i="30"/>
  <c r="N142" i="30"/>
  <c r="N137" i="30"/>
  <c r="N129" i="30"/>
  <c r="N127" i="30"/>
  <c r="P127" i="30" s="1"/>
  <c r="N33" i="30"/>
  <c r="N18" i="30"/>
  <c r="P18" i="30" s="1"/>
  <c r="N205" i="29"/>
  <c r="N192" i="29"/>
  <c r="P192" i="29" s="1"/>
  <c r="N133" i="28"/>
  <c r="P133" i="28" s="1"/>
  <c r="N74" i="28"/>
  <c r="P74" i="28" s="1"/>
  <c r="M47" i="27"/>
  <c r="M43" i="27"/>
  <c r="M44" i="27" s="1"/>
  <c r="M21" i="27"/>
  <c r="N236" i="26"/>
  <c r="N37" i="26"/>
  <c r="N38" i="26" s="1"/>
  <c r="P38" i="26" s="1"/>
  <c r="N33" i="26"/>
  <c r="N34" i="26" s="1"/>
  <c r="P34" i="26" s="1"/>
  <c r="M377" i="25"/>
  <c r="M304" i="25"/>
  <c r="M294" i="25"/>
  <c r="M295" i="25" s="1"/>
  <c r="M279" i="25"/>
  <c r="M280" i="25" s="1"/>
  <c r="M268" i="25"/>
  <c r="M269" i="25" s="1"/>
  <c r="M115" i="19"/>
  <c r="E1142" i="7" s="1"/>
  <c r="W1142" i="7" s="1"/>
  <c r="L17" i="19"/>
  <c r="M13" i="19"/>
  <c r="N208" i="11"/>
  <c r="N26" i="33"/>
  <c r="P26" i="33" s="1"/>
  <c r="N24" i="33"/>
  <c r="N23" i="33"/>
  <c r="N20" i="33"/>
  <c r="N19" i="33"/>
  <c r="H331" i="32"/>
  <c r="J331" i="32" s="1"/>
  <c r="H311" i="32"/>
  <c r="H309" i="32"/>
  <c r="H265" i="32"/>
  <c r="H236" i="32"/>
  <c r="H234" i="32"/>
  <c r="H233" i="32"/>
  <c r="H230" i="32"/>
  <c r="H231" i="32" s="1"/>
  <c r="J231" i="32" s="1"/>
  <c r="H224" i="32"/>
  <c r="H223" i="32"/>
  <c r="J223" i="32" s="1"/>
  <c r="H211" i="32"/>
  <c r="J211" i="32" s="1"/>
  <c r="H206" i="32"/>
  <c r="J206" i="32" s="1"/>
  <c r="H189" i="32"/>
  <c r="H190" i="32" s="1"/>
  <c r="J190" i="32" s="1"/>
  <c r="H180" i="32"/>
  <c r="H179" i="32"/>
  <c r="H178" i="32"/>
  <c r="H164" i="32"/>
  <c r="H163" i="32"/>
  <c r="H162" i="32"/>
  <c r="H160" i="32"/>
  <c r="J160" i="32" s="1"/>
  <c r="H159" i="32"/>
  <c r="J159" i="32" s="1"/>
  <c r="H158" i="32"/>
  <c r="H157" i="32"/>
  <c r="H119" i="32"/>
  <c r="J119" i="32" s="1"/>
  <c r="H114" i="32"/>
  <c r="H113" i="32"/>
  <c r="J113" i="32" s="1"/>
  <c r="H105" i="32"/>
  <c r="H108" i="32" s="1"/>
  <c r="H102" i="32"/>
  <c r="H103" i="32" s="1"/>
  <c r="J103" i="32" s="1"/>
  <c r="H99" i="32"/>
  <c r="J99" i="32" s="1"/>
  <c r="M82" i="20"/>
  <c r="M83" i="20" s="1"/>
  <c r="E1192" i="7" s="1"/>
  <c r="W1192" i="7" s="1"/>
  <c r="M237" i="25"/>
  <c r="M238" i="25" s="1"/>
  <c r="O238" i="25" s="1"/>
  <c r="M229" i="25"/>
  <c r="M228" i="25"/>
  <c r="M224" i="25"/>
  <c r="M226" i="25" s="1"/>
  <c r="M212" i="25"/>
  <c r="M210" i="25"/>
  <c r="M173" i="25"/>
  <c r="M174" i="25" s="1"/>
  <c r="M154" i="25"/>
  <c r="M150" i="25"/>
  <c r="M151" i="25" s="1"/>
  <c r="M142" i="25"/>
  <c r="M136" i="25"/>
  <c r="M134" i="25"/>
  <c r="M125" i="25"/>
  <c r="M43" i="25"/>
  <c r="M34" i="25"/>
  <c r="M35" i="25" s="1"/>
  <c r="K36" i="25" s="1"/>
  <c r="M36" i="25" s="1"/>
  <c r="M18" i="25"/>
  <c r="M261" i="24"/>
  <c r="O261" i="24" s="1"/>
  <c r="E937" i="7" s="1"/>
  <c r="W937" i="7" s="1"/>
  <c r="M260" i="24"/>
  <c r="O260" i="24" s="1"/>
  <c r="E936" i="7" s="1"/>
  <c r="W936" i="7" s="1"/>
  <c r="M219" i="24"/>
  <c r="M218" i="24"/>
  <c r="M207" i="24"/>
  <c r="E911" i="7" s="1"/>
  <c r="W911" i="7" s="1"/>
  <c r="M199" i="24"/>
  <c r="O199" i="24" s="1"/>
  <c r="M134" i="24"/>
  <c r="M135" i="24" s="1"/>
  <c r="O135" i="24" s="1"/>
  <c r="M92" i="24"/>
  <c r="O92" i="24" s="1"/>
  <c r="E877" i="7" s="1"/>
  <c r="W877" i="7" s="1"/>
  <c r="M90" i="24"/>
  <c r="O90" i="24" s="1"/>
  <c r="E875" i="7" s="1"/>
  <c r="W875" i="7" s="1"/>
  <c r="M86" i="24"/>
  <c r="O86" i="24" s="1"/>
  <c r="E871" i="7" s="1"/>
  <c r="W871" i="7" s="1"/>
  <c r="M47" i="24"/>
  <c r="M46" i="24"/>
  <c r="M35" i="24"/>
  <c r="M18" i="24"/>
  <c r="E853" i="7" s="1"/>
  <c r="W853" i="7" s="1"/>
  <c r="N460" i="21"/>
  <c r="N459" i="21"/>
  <c r="N445" i="21"/>
  <c r="N440" i="21"/>
  <c r="N436" i="21"/>
  <c r="N434" i="21"/>
  <c r="N433" i="21"/>
  <c r="N424" i="21"/>
  <c r="N422" i="21"/>
  <c r="N397" i="21"/>
  <c r="N392" i="21"/>
  <c r="N391" i="21"/>
  <c r="N386" i="21"/>
  <c r="N385" i="21"/>
  <c r="N358" i="21"/>
  <c r="N249" i="21"/>
  <c r="M22" i="36"/>
  <c r="M21" i="36"/>
  <c r="N140" i="35"/>
  <c r="N139" i="35"/>
  <c r="N136" i="35"/>
  <c r="P136" i="35" s="1"/>
  <c r="N132" i="35"/>
  <c r="P132" i="35" s="1"/>
  <c r="N113" i="35"/>
  <c r="P113" i="35" s="1"/>
  <c r="N108" i="35"/>
  <c r="P108" i="35" s="1"/>
  <c r="N85" i="35"/>
  <c r="P85" i="35" s="1"/>
  <c r="N77" i="35"/>
  <c r="P77" i="35" s="1"/>
  <c r="N51" i="35"/>
  <c r="P51" i="35" s="1"/>
  <c r="N50" i="35"/>
  <c r="P50" i="35" s="1"/>
  <c r="N45" i="35"/>
  <c r="P45" i="35" s="1"/>
  <c r="N31" i="35"/>
  <c r="N33" i="35" s="1"/>
  <c r="P33" i="35" s="1"/>
  <c r="N28" i="35"/>
  <c r="N29" i="35" s="1"/>
  <c r="P29" i="35" s="1"/>
  <c r="N25" i="35"/>
  <c r="P25" i="35" s="1"/>
  <c r="M16" i="35"/>
  <c r="I148" i="34"/>
  <c r="C149" i="34" s="1"/>
  <c r="I149" i="34" s="1"/>
  <c r="I142" i="34"/>
  <c r="I132" i="34"/>
  <c r="I131" i="34"/>
  <c r="I128" i="34"/>
  <c r="I127" i="34"/>
  <c r="I124" i="34"/>
  <c r="I125" i="34" s="1"/>
  <c r="I121" i="34"/>
  <c r="I114" i="34"/>
  <c r="I113" i="34"/>
  <c r="I106" i="34"/>
  <c r="I105" i="34"/>
  <c r="I103" i="34"/>
  <c r="I100" i="34"/>
  <c r="I99" i="34"/>
  <c r="I98" i="34"/>
  <c r="I85" i="34"/>
  <c r="I84" i="34"/>
  <c r="I80" i="34"/>
  <c r="I79" i="34"/>
  <c r="N309" i="33"/>
  <c r="N308" i="33"/>
  <c r="N307" i="33"/>
  <c r="N306" i="33"/>
  <c r="N305" i="33"/>
  <c r="N301" i="33"/>
  <c r="N300" i="33"/>
  <c r="N299" i="33"/>
  <c r="N291" i="33"/>
  <c r="N37" i="33"/>
  <c r="N83" i="30"/>
  <c r="N37" i="30"/>
  <c r="N191" i="29"/>
  <c r="P191" i="29" s="1"/>
  <c r="N166" i="29"/>
  <c r="M29" i="24"/>
  <c r="M28" i="24" s="1"/>
  <c r="O28" i="24" s="1"/>
  <c r="E859" i="7" s="1"/>
  <c r="W859" i="7" s="1"/>
  <c r="M20" i="24"/>
  <c r="E855" i="7" s="1"/>
  <c r="W855" i="7" s="1"/>
  <c r="M15" i="24"/>
  <c r="E850" i="7" s="1"/>
  <c r="W850" i="7" s="1"/>
  <c r="N446" i="21"/>
  <c r="N437" i="21"/>
  <c r="N430" i="21"/>
  <c r="N419" i="21"/>
  <c r="N383" i="21"/>
  <c r="N379" i="21"/>
  <c r="N175" i="21"/>
  <c r="N20" i="31"/>
  <c r="N21" i="31" s="1"/>
  <c r="N9" i="31"/>
  <c r="P9" i="31" s="1"/>
  <c r="N270" i="30"/>
  <c r="N271" i="30" s="1"/>
  <c r="P271" i="30" s="1"/>
  <c r="N240" i="30"/>
  <c r="P240" i="30" s="1"/>
  <c r="N239" i="30"/>
  <c r="P239" i="30" s="1"/>
  <c r="N238" i="30"/>
  <c r="P238" i="30" s="1"/>
  <c r="N234" i="30"/>
  <c r="P234" i="30" s="1"/>
  <c r="N196" i="30"/>
  <c r="N197" i="30" s="1"/>
  <c r="P197" i="30" s="1"/>
  <c r="N190" i="30"/>
  <c r="N191" i="30" s="1"/>
  <c r="P191" i="30" s="1"/>
  <c r="A140" i="30"/>
  <c r="A159" i="30" s="1"/>
  <c r="A165" i="30" s="1"/>
  <c r="A198" i="30" s="1"/>
  <c r="N138" i="30"/>
  <c r="N117" i="30"/>
  <c r="P117" i="30" s="1"/>
  <c r="N112" i="30"/>
  <c r="P112" i="30" s="1"/>
  <c r="N108" i="30"/>
  <c r="P108" i="30" s="1"/>
  <c r="N84" i="30"/>
  <c r="P84" i="30" s="1"/>
  <c r="N25" i="30"/>
  <c r="P25" i="30" s="1"/>
  <c r="N19" i="30"/>
  <c r="P19" i="30" s="1"/>
  <c r="N186" i="29"/>
  <c r="N176" i="29"/>
  <c r="N153" i="29"/>
  <c r="N115" i="29"/>
  <c r="P115" i="29" s="1"/>
  <c r="A183" i="28"/>
  <c r="A184" i="28" s="1"/>
  <c r="A185" i="28" s="1"/>
  <c r="A186" i="28" s="1"/>
  <c r="A190" i="28" s="1"/>
  <c r="M146" i="25"/>
  <c r="M147" i="25" s="1"/>
  <c r="M126" i="25"/>
  <c r="M169" i="24"/>
  <c r="M45" i="24"/>
  <c r="M25" i="24"/>
  <c r="M27" i="24" s="1"/>
  <c r="M19" i="24"/>
  <c r="E854" i="7" s="1"/>
  <c r="W854" i="7" s="1"/>
  <c r="M17" i="24"/>
  <c r="E852" i="7" s="1"/>
  <c r="W852" i="7" s="1"/>
  <c r="N497" i="21"/>
  <c r="N495" i="21" s="1"/>
  <c r="N451" i="21"/>
  <c r="N439" i="21"/>
  <c r="N431" i="21"/>
  <c r="N421" i="21"/>
  <c r="N380" i="21"/>
  <c r="N377" i="21"/>
  <c r="N371" i="21"/>
  <c r="N33" i="21"/>
  <c r="M243" i="20"/>
  <c r="E1265" i="7" s="1"/>
  <c r="W1265" i="7" s="1"/>
  <c r="M222" i="20"/>
  <c r="M217" i="20"/>
  <c r="M132" i="20"/>
  <c r="E1218" i="7" s="1"/>
  <c r="W1218" i="7" s="1"/>
  <c r="L53" i="20"/>
  <c r="L57" i="20" s="1"/>
  <c r="L61" i="20" s="1"/>
  <c r="L65" i="20" s="1"/>
  <c r="L105" i="20" s="1"/>
  <c r="M123" i="19"/>
  <c r="M84" i="19"/>
  <c r="E1126" i="7" s="1"/>
  <c r="W1126" i="7" s="1"/>
  <c r="M70" i="19"/>
  <c r="E1122" i="7" s="1"/>
  <c r="W1122" i="7" s="1"/>
  <c r="M69" i="19"/>
  <c r="E1121" i="7" s="1"/>
  <c r="W1121" i="7" s="1"/>
  <c r="M32" i="19"/>
  <c r="N69" i="18"/>
  <c r="N58" i="18"/>
  <c r="N42" i="18"/>
  <c r="B41" i="18"/>
  <c r="B46" i="18" s="1"/>
  <c r="B52" i="18" s="1"/>
  <c r="B57" i="18" s="1"/>
  <c r="B62" i="18" s="1"/>
  <c r="B67" i="18" s="1"/>
  <c r="M314" i="17"/>
  <c r="M309" i="17"/>
  <c r="B283" i="17"/>
  <c r="B287" i="17" s="1"/>
  <c r="B292" i="17" s="1"/>
  <c r="B296" i="17" s="1"/>
  <c r="B300" i="17" s="1"/>
  <c r="B304" i="17" s="1"/>
  <c r="B319" i="17" s="1"/>
  <c r="B323" i="17" s="1"/>
  <c r="B327" i="17" s="1"/>
  <c r="B331" i="17" s="1"/>
  <c r="B335" i="17" s="1"/>
  <c r="B349" i="17" s="1"/>
  <c r="M275" i="17"/>
  <c r="L266" i="17"/>
  <c r="M206" i="17"/>
  <c r="O206" i="17" s="1"/>
  <c r="M117" i="17"/>
  <c r="O117" i="17" s="1"/>
  <c r="E1000" i="7" s="1"/>
  <c r="W1000" i="7" s="1"/>
  <c r="M32" i="17"/>
  <c r="M22" i="17"/>
  <c r="O22" i="17" s="1"/>
  <c r="E970" i="7" s="1"/>
  <c r="W970" i="7" s="1"/>
  <c r="M21" i="17"/>
  <c r="O21" i="17" s="1"/>
  <c r="E969" i="7" s="1"/>
  <c r="W969" i="7" s="1"/>
  <c r="E20" i="17"/>
  <c r="M460" i="16"/>
  <c r="O460" i="16" s="1"/>
  <c r="E819" i="7" s="1"/>
  <c r="W819" i="7" s="1"/>
  <c r="M459" i="16"/>
  <c r="O459" i="16" s="1"/>
  <c r="E818" i="7" s="1"/>
  <c r="W818" i="7" s="1"/>
  <c r="M430" i="16"/>
  <c r="M431" i="16" s="1"/>
  <c r="O431" i="16" s="1"/>
  <c r="M341" i="16"/>
  <c r="O341" i="16" s="1"/>
  <c r="M340" i="16"/>
  <c r="M332" i="16"/>
  <c r="M323" i="16"/>
  <c r="M314" i="16"/>
  <c r="M304" i="16"/>
  <c r="M302" i="16" s="1"/>
  <c r="O302" i="16" s="1"/>
  <c r="E776" i="7" s="1"/>
  <c r="W776" i="7" s="1"/>
  <c r="M295" i="16"/>
  <c r="M293" i="16" s="1"/>
  <c r="O293" i="16" s="1"/>
  <c r="E769" i="7" s="1"/>
  <c r="W769" i="7" s="1"/>
  <c r="M286" i="16"/>
  <c r="O286" i="16" s="1"/>
  <c r="M284" i="16"/>
  <c r="M285" i="16" s="1"/>
  <c r="O285" i="16" s="1"/>
  <c r="M274" i="16"/>
  <c r="M272" i="16" s="1"/>
  <c r="O272" i="16" s="1"/>
  <c r="E762" i="7" s="1"/>
  <c r="W762" i="7" s="1"/>
  <c r="M249" i="16"/>
  <c r="M227" i="16"/>
  <c r="M221" i="16"/>
  <c r="M230" i="16" s="1"/>
  <c r="O230" i="16" s="1"/>
  <c r="E750" i="7" s="1"/>
  <c r="W750" i="7" s="1"/>
  <c r="M198" i="16"/>
  <c r="O198" i="16" s="1"/>
  <c r="E743" i="7" s="1"/>
  <c r="W743" i="7" s="1"/>
  <c r="M187" i="16"/>
  <c r="M175" i="16"/>
  <c r="M174" i="16"/>
  <c r="M170" i="16"/>
  <c r="M172" i="16" s="1"/>
  <c r="O172" i="16" s="1"/>
  <c r="E735" i="7" s="1"/>
  <c r="W735" i="7" s="1"/>
  <c r="M167" i="16"/>
  <c r="M168" i="16" s="1"/>
  <c r="O168" i="16" s="1"/>
  <c r="E734" i="7" s="1"/>
  <c r="W734" i="7" s="1"/>
  <c r="M164" i="16"/>
  <c r="O164" i="16" s="1"/>
  <c r="E733" i="7" s="1"/>
  <c r="W733" i="7" s="1"/>
  <c r="M158" i="16"/>
  <c r="M152" i="16"/>
  <c r="M149" i="16"/>
  <c r="M146" i="16" s="1"/>
  <c r="O146" i="16" s="1"/>
  <c r="E728" i="7" s="1"/>
  <c r="W728" i="7" s="1"/>
  <c r="M144" i="16"/>
  <c r="O144" i="16" s="1"/>
  <c r="M141" i="16"/>
  <c r="O141" i="16" s="1"/>
  <c r="M127" i="16"/>
  <c r="M128" i="16" s="1"/>
  <c r="O128" i="16" s="1"/>
  <c r="M119" i="16"/>
  <c r="M117" i="16" s="1"/>
  <c r="O117" i="16" s="1"/>
  <c r="M83" i="16"/>
  <c r="O83" i="16" s="1"/>
  <c r="E713" i="7" s="1"/>
  <c r="W713" i="7" s="1"/>
  <c r="M79" i="16"/>
  <c r="O79" i="16" s="1"/>
  <c r="E709" i="7" s="1"/>
  <c r="W709" i="7" s="1"/>
  <c r="M37" i="16"/>
  <c r="M25" i="16"/>
  <c r="M19" i="16"/>
  <c r="O19" i="16" s="1"/>
  <c r="E693" i="7" s="1"/>
  <c r="W693" i="7" s="1"/>
  <c r="M15" i="16"/>
  <c r="O15" i="16" s="1"/>
  <c r="E689" i="7" s="1"/>
  <c r="W689" i="7" s="1"/>
  <c r="M290" i="15"/>
  <c r="M284" i="15"/>
  <c r="E660" i="7" s="1"/>
  <c r="W660" i="7" s="1"/>
  <c r="M222" i="15"/>
  <c r="E642" i="7" s="1"/>
  <c r="W642" i="7" s="1"/>
  <c r="M209" i="15"/>
  <c r="M202" i="15"/>
  <c r="M203" i="15" s="1"/>
  <c r="E635" i="7" s="1"/>
  <c r="W635" i="7" s="1"/>
  <c r="M199" i="15"/>
  <c r="E634" i="7" s="1"/>
  <c r="W634" i="7" s="1"/>
  <c r="M167" i="15"/>
  <c r="M168" i="15" s="1"/>
  <c r="O168" i="15" s="1"/>
  <c r="M159" i="15"/>
  <c r="M158" i="15"/>
  <c r="M157" i="15"/>
  <c r="M152" i="15"/>
  <c r="M149" i="15"/>
  <c r="M148" i="15"/>
  <c r="M145" i="15"/>
  <c r="E629" i="7" s="1"/>
  <c r="W629" i="7" s="1"/>
  <c r="M139" i="15"/>
  <c r="E627" i="7" s="1"/>
  <c r="W627" i="7" s="1"/>
  <c r="M133" i="15"/>
  <c r="M132" i="15"/>
  <c r="M128" i="15"/>
  <c r="M130" i="15" s="1"/>
  <c r="E621" i="7" s="1"/>
  <c r="W621" i="7" s="1"/>
  <c r="M125" i="15"/>
  <c r="M126" i="15" s="1"/>
  <c r="E620" i="7" s="1"/>
  <c r="W620" i="7" s="1"/>
  <c r="M122" i="15"/>
  <c r="E619" i="7" s="1"/>
  <c r="W619" i="7" s="1"/>
  <c r="M110" i="15"/>
  <c r="E612" i="7" s="1"/>
  <c r="W612" i="7" s="1"/>
  <c r="M108" i="15"/>
  <c r="E610" i="7" s="1"/>
  <c r="W610" i="7" s="1"/>
  <c r="M104" i="15"/>
  <c r="E606" i="7" s="1"/>
  <c r="W606" i="7" s="1"/>
  <c r="M103" i="15"/>
  <c r="E605" i="7" s="1"/>
  <c r="W605" i="7" s="1"/>
  <c r="M77" i="15"/>
  <c r="M71" i="15"/>
  <c r="E595" i="7" s="1"/>
  <c r="W595" i="7" s="1"/>
  <c r="M67" i="15"/>
  <c r="E594" i="7" s="1"/>
  <c r="W594" i="7" s="1"/>
  <c r="M63" i="15"/>
  <c r="E593" i="7" s="1"/>
  <c r="W593" i="7" s="1"/>
  <c r="M27" i="15"/>
  <c r="M28" i="15" s="1"/>
  <c r="E585" i="7" s="1"/>
  <c r="W585" i="7" s="1"/>
  <c r="M22" i="15"/>
  <c r="E582" i="7" s="1"/>
  <c r="W582" i="7" s="1"/>
  <c r="M21" i="15"/>
  <c r="E581" i="7" s="1"/>
  <c r="W581" i="7" s="1"/>
  <c r="M20" i="15"/>
  <c r="E580" i="7" s="1"/>
  <c r="W580" i="7" s="1"/>
  <c r="M19" i="15"/>
  <c r="E579" i="7" s="1"/>
  <c r="W579" i="7" s="1"/>
  <c r="M17" i="15"/>
  <c r="E577" i="7" s="1"/>
  <c r="W577" i="7" s="1"/>
  <c r="N262" i="14"/>
  <c r="N235" i="14"/>
  <c r="P235" i="14" s="1"/>
  <c r="N205" i="14"/>
  <c r="P205" i="14" s="1"/>
  <c r="E385" i="7" s="1"/>
  <c r="W385" i="7" s="1"/>
  <c r="N200" i="14"/>
  <c r="P200" i="14" s="1"/>
  <c r="E383" i="7" s="1"/>
  <c r="W383" i="7" s="1"/>
  <c r="N194" i="14"/>
  <c r="N193" i="14"/>
  <c r="N182" i="14"/>
  <c r="N171" i="14"/>
  <c r="P171" i="14" s="1"/>
  <c r="N165" i="14"/>
  <c r="N156" i="14"/>
  <c r="P156" i="14" s="1"/>
  <c r="E376" i="7" s="1"/>
  <c r="W376" i="7" s="1"/>
  <c r="N155" i="14"/>
  <c r="P155" i="14" s="1"/>
  <c r="E375" i="7" s="1"/>
  <c r="W375" i="7" s="1"/>
  <c r="N124" i="14"/>
  <c r="N125" i="14" s="1"/>
  <c r="P125" i="14" s="1"/>
  <c r="N37" i="14"/>
  <c r="N38" i="14" s="1"/>
  <c r="P38" i="14" s="1"/>
  <c r="N33" i="14"/>
  <c r="N34" i="14" s="1"/>
  <c r="P34" i="14" s="1"/>
  <c r="E333" i="7" s="1"/>
  <c r="W333" i="7" s="1"/>
  <c r="N24" i="14"/>
  <c r="N25" i="14" s="1"/>
  <c r="P25" i="14" s="1"/>
  <c r="E331" i="7" s="1"/>
  <c r="W331" i="7" s="1"/>
  <c r="N19" i="14"/>
  <c r="E328" i="7" s="1"/>
  <c r="W328" i="7" s="1"/>
  <c r="N18" i="14"/>
  <c r="E327" i="7" s="1"/>
  <c r="W327" i="7" s="1"/>
  <c r="N17" i="14"/>
  <c r="E326" i="7" s="1"/>
  <c r="W326" i="7" s="1"/>
  <c r="N16" i="14"/>
  <c r="E325" i="7" s="1"/>
  <c r="W325" i="7" s="1"/>
  <c r="N14" i="14"/>
  <c r="E323" i="7" s="1"/>
  <c r="W323" i="7" s="1"/>
  <c r="M341" i="13"/>
  <c r="E563" i="7" s="1"/>
  <c r="W563" i="7" s="1"/>
  <c r="Y563" i="7" s="1"/>
  <c r="M326" i="13"/>
  <c r="E548" i="7" s="1"/>
  <c r="W548" i="7" s="1"/>
  <c r="Y548" i="7" s="1"/>
  <c r="M325" i="13"/>
  <c r="E547" i="7" s="1"/>
  <c r="W547" i="7" s="1"/>
  <c r="Y547" i="7" s="1"/>
  <c r="M285" i="13"/>
  <c r="M286" i="13" s="1"/>
  <c r="E519" i="7" s="1"/>
  <c r="W519" i="7" s="1"/>
  <c r="Y519" i="7" s="1"/>
  <c r="M239" i="13"/>
  <c r="M238" i="13"/>
  <c r="M237" i="13"/>
  <c r="M236" i="13"/>
  <c r="M231" i="13"/>
  <c r="M232" i="13" s="1"/>
  <c r="E493" i="7" s="1"/>
  <c r="W493" i="7" s="1"/>
  <c r="Y493" i="7" s="1"/>
  <c r="M219" i="13"/>
  <c r="M218" i="13"/>
  <c r="M217" i="13"/>
  <c r="M216" i="13"/>
  <c r="M207" i="13"/>
  <c r="M206" i="13"/>
  <c r="M189" i="13"/>
  <c r="M190" i="13" s="1"/>
  <c r="M186" i="13"/>
  <c r="M146" i="13"/>
  <c r="M145" i="13"/>
  <c r="M144" i="13"/>
  <c r="M143" i="13"/>
  <c r="M138" i="13"/>
  <c r="E469" i="7" s="1"/>
  <c r="W469" i="7" s="1"/>
  <c r="Y469" i="7" s="1"/>
  <c r="M137" i="13"/>
  <c r="E468" i="7" s="1"/>
  <c r="W468" i="7" s="1"/>
  <c r="Y468" i="7" s="1"/>
  <c r="M136" i="13"/>
  <c r="E467" i="7" s="1"/>
  <c r="W467" i="7" s="1"/>
  <c r="Y467" i="7" s="1"/>
  <c r="M125" i="13"/>
  <c r="M119" i="13"/>
  <c r="M111" i="13"/>
  <c r="M93" i="13"/>
  <c r="E446" i="7" s="1"/>
  <c r="W446" i="7" s="1"/>
  <c r="Y446" i="7" s="1"/>
  <c r="M90" i="13"/>
  <c r="E443" i="7" s="1"/>
  <c r="W443" i="7" s="1"/>
  <c r="Y443" i="7" s="1"/>
  <c r="M89" i="13"/>
  <c r="E442" i="7" s="1"/>
  <c r="W442" i="7" s="1"/>
  <c r="Y442" i="7" s="1"/>
  <c r="E49" i="13"/>
  <c r="M40" i="13"/>
  <c r="M39" i="13"/>
  <c r="M35" i="13"/>
  <c r="M34" i="13"/>
  <c r="M27" i="13"/>
  <c r="M21" i="13"/>
  <c r="E426" i="7" s="1"/>
  <c r="W426" i="7" s="1"/>
  <c r="Y426" i="7" s="1"/>
  <c r="M17" i="13"/>
  <c r="E422" i="7" s="1"/>
  <c r="W422" i="7" s="1"/>
  <c r="Y422" i="7" s="1"/>
  <c r="M447" i="11"/>
  <c r="M440" i="11"/>
  <c r="M430" i="11"/>
  <c r="M429" i="11"/>
  <c r="O429" i="11" s="1"/>
  <c r="M428" i="11"/>
  <c r="O428" i="11" s="1"/>
  <c r="M425" i="11"/>
  <c r="O425" i="11" s="1"/>
  <c r="M405" i="11"/>
  <c r="M401" i="11"/>
  <c r="M403" i="11" s="1"/>
  <c r="O403" i="11" s="1"/>
  <c r="M395" i="11"/>
  <c r="O395" i="11" s="1"/>
  <c r="M386" i="11"/>
  <c r="M385" i="11"/>
  <c r="O385" i="11" s="1"/>
  <c r="M384" i="11"/>
  <c r="O384" i="11" s="1"/>
  <c r="M342" i="11"/>
  <c r="O342" i="11" s="1"/>
  <c r="M336" i="11"/>
  <c r="M335" i="11"/>
  <c r="O335" i="11" s="1"/>
  <c r="M334" i="11"/>
  <c r="O334" i="11" s="1"/>
  <c r="M327" i="11"/>
  <c r="O327" i="11" s="1"/>
  <c r="N317" i="11"/>
  <c r="N311" i="11"/>
  <c r="N303" i="11"/>
  <c r="N298" i="11"/>
  <c r="N297" i="11"/>
  <c r="N234" i="11"/>
  <c r="N161" i="11"/>
  <c r="P161" i="11" s="1"/>
  <c r="N149" i="11"/>
  <c r="P149" i="11" s="1"/>
  <c r="N141" i="11"/>
  <c r="N137" i="11"/>
  <c r="P137" i="11" s="1"/>
  <c r="E267" i="7" s="1"/>
  <c r="W267" i="7" s="1"/>
  <c r="Y267" i="7" s="1"/>
  <c r="N115" i="11"/>
  <c r="N116" i="11" s="1"/>
  <c r="P116" i="11" s="1"/>
  <c r="E261" i="7" s="1"/>
  <c r="W261" i="7" s="1"/>
  <c r="Y261" i="7" s="1"/>
  <c r="N47" i="11"/>
  <c r="N48" i="11" s="1"/>
  <c r="P48" i="11" s="1"/>
  <c r="N37" i="11"/>
  <c r="N38" i="11" s="1"/>
  <c r="P38" i="11" s="1"/>
  <c r="N23" i="11"/>
  <c r="N24" i="11" s="1"/>
  <c r="P24" i="11" s="1"/>
  <c r="E238" i="7" s="1"/>
  <c r="W238" i="7" s="1"/>
  <c r="Y238" i="7" s="1"/>
  <c r="N14" i="11"/>
  <c r="N15" i="11" s="1"/>
  <c r="P15" i="11" s="1"/>
  <c r="E236" i="7" s="1"/>
  <c r="W236" i="7" s="1"/>
  <c r="Y236" i="7" s="1"/>
  <c r="N164" i="10"/>
  <c r="N160" i="10"/>
  <c r="P160" i="10" s="1"/>
  <c r="E227" i="7" s="1"/>
  <c r="W227" i="7" s="1"/>
  <c r="N111" i="10"/>
  <c r="P111" i="10" s="1"/>
  <c r="E214" i="7" s="1"/>
  <c r="W214" i="7" s="1"/>
  <c r="N105" i="10"/>
  <c r="N97" i="10"/>
  <c r="N88" i="10"/>
  <c r="N84" i="10"/>
  <c r="N80" i="10"/>
  <c r="N76" i="10"/>
  <c r="N75" i="10"/>
  <c r="N64" i="10"/>
  <c r="N63" i="10"/>
  <c r="N56" i="10"/>
  <c r="P56" i="10" s="1"/>
  <c r="E194" i="7" s="1"/>
  <c r="W194" i="7" s="1"/>
  <c r="E44" i="10"/>
  <c r="E45" i="10" s="1"/>
  <c r="N45" i="10" s="1"/>
  <c r="N41" i="10"/>
  <c r="N40" i="10"/>
  <c r="N32" i="10"/>
  <c r="N33" i="10" s="1"/>
  <c r="P33" i="10" s="1"/>
  <c r="E185" i="7" s="1"/>
  <c r="W185" i="7" s="1"/>
  <c r="N252" i="9"/>
  <c r="N198" i="9"/>
  <c r="N188" i="9"/>
  <c r="N153" i="9"/>
  <c r="P153" i="9" s="1"/>
  <c r="N128" i="9"/>
  <c r="P128" i="9" s="1"/>
  <c r="N127" i="9"/>
  <c r="P127" i="9" s="1"/>
  <c r="N122" i="9"/>
  <c r="N123" i="9" s="1"/>
  <c r="P123" i="9" s="1"/>
  <c r="N82" i="9"/>
  <c r="P82" i="9" s="1"/>
  <c r="N78" i="9"/>
  <c r="P78" i="9" s="1"/>
  <c r="E41" i="9"/>
  <c r="N37" i="9"/>
  <c r="N33" i="9"/>
  <c r="N32" i="9"/>
  <c r="N24" i="9"/>
  <c r="N25" i="9" s="1"/>
  <c r="P25" i="9" s="1"/>
  <c r="N14" i="9"/>
  <c r="W94" i="7" s="1"/>
  <c r="Y94" i="7" s="1"/>
  <c r="H631" i="6"/>
  <c r="J631" i="6" s="1"/>
  <c r="H611" i="6"/>
  <c r="H609" i="6"/>
  <c r="H542" i="6"/>
  <c r="H527" i="6"/>
  <c r="H528" i="6" s="1"/>
  <c r="J528" i="6" s="1"/>
  <c r="H518" i="6"/>
  <c r="H517" i="6"/>
  <c r="H516" i="6"/>
  <c r="H515" i="6"/>
  <c r="H502" i="6"/>
  <c r="H501" i="6"/>
  <c r="H500" i="6"/>
  <c r="H498" i="6"/>
  <c r="J498" i="6" s="1"/>
  <c r="H497" i="6"/>
  <c r="J497" i="6" s="1"/>
  <c r="H496" i="6"/>
  <c r="H495" i="6"/>
  <c r="H492" i="6" s="1"/>
  <c r="J492" i="6" s="1"/>
  <c r="M31" i="19"/>
  <c r="I4092" i="42"/>
  <c r="I4093" i="42" s="1"/>
  <c r="I4079" i="42"/>
  <c r="I4080" i="42" s="1"/>
  <c r="I4053" i="42"/>
  <c r="I4054" i="42" s="1"/>
  <c r="I4040" i="42"/>
  <c r="I4041" i="42" s="1"/>
  <c r="G3841" i="42"/>
  <c r="G3843" i="42" s="1"/>
  <c r="G3849" i="42" s="1"/>
  <c r="G3445" i="42"/>
  <c r="G3449" i="42" s="1"/>
  <c r="G3183" i="42"/>
  <c r="I2948" i="42"/>
  <c r="I2564" i="42"/>
  <c r="I2565" i="42" s="1"/>
  <c r="I2541" i="42"/>
  <c r="G1125" i="42"/>
  <c r="G1124" i="42"/>
  <c r="G1112" i="42"/>
  <c r="G1110" i="42"/>
  <c r="D430" i="42"/>
  <c r="D431" i="42" s="1"/>
  <c r="N117" i="14"/>
  <c r="N104" i="14"/>
  <c r="P104" i="14" s="1"/>
  <c r="E366" i="7" s="1"/>
  <c r="W366" i="7" s="1"/>
  <c r="F157" i="6"/>
  <c r="F158" i="6" s="1"/>
  <c r="F159" i="6" s="1"/>
  <c r="F160" i="6" s="1"/>
  <c r="F161" i="6" s="1"/>
  <c r="F162" i="6" s="1"/>
  <c r="F163" i="6" s="1"/>
  <c r="F164" i="6" s="1"/>
  <c r="F165" i="6" s="1"/>
  <c r="F166" i="6" s="1"/>
  <c r="F167" i="6" s="1"/>
  <c r="F168" i="6" s="1"/>
  <c r="F169" i="6" s="1"/>
  <c r="F170" i="6" s="1"/>
  <c r="F171" i="6" s="1"/>
  <c r="F172" i="6" s="1"/>
  <c r="F173" i="6" s="1"/>
  <c r="F174" i="6" s="1"/>
  <c r="F175" i="6" s="1"/>
  <c r="F176" i="6" s="1"/>
  <c r="F177" i="6" s="1"/>
  <c r="F178" i="6" s="1"/>
  <c r="F179" i="6" s="1"/>
  <c r="F180" i="6" s="1"/>
  <c r="F181" i="6" s="1"/>
  <c r="F182" i="6" s="1"/>
  <c r="F183" i="6" s="1"/>
  <c r="F184" i="6" s="1"/>
  <c r="F185" i="6" s="1"/>
  <c r="F186" i="6" s="1"/>
  <c r="F187" i="6" s="1"/>
  <c r="F188" i="6" s="1"/>
  <c r="F189" i="6" s="1"/>
  <c r="F190" i="6" s="1"/>
  <c r="F191" i="6" s="1"/>
  <c r="F192" i="6" s="1"/>
  <c r="F193" i="6" s="1"/>
  <c r="F194" i="6" s="1"/>
  <c r="F195" i="6" s="1"/>
  <c r="F196" i="6" s="1"/>
  <c r="F197" i="6" s="1"/>
  <c r="F198" i="6" s="1"/>
  <c r="F199" i="6" s="1"/>
  <c r="F200" i="6" s="1"/>
  <c r="F201" i="6" s="1"/>
  <c r="F202" i="6" s="1"/>
  <c r="F203" i="6" s="1"/>
  <c r="F204" i="6" s="1"/>
  <c r="F205" i="6" s="1"/>
  <c r="F206" i="6" s="1"/>
  <c r="F207" i="6" s="1"/>
  <c r="F208" i="6" s="1"/>
  <c r="F209" i="6" s="1"/>
  <c r="F210" i="6" s="1"/>
  <c r="F211" i="6" s="1"/>
  <c r="F212" i="6" s="1"/>
  <c r="F213" i="6" s="1"/>
  <c r="F214" i="6" s="1"/>
  <c r="F215" i="6" s="1"/>
  <c r="F216" i="6" s="1"/>
  <c r="F217" i="6" s="1"/>
  <c r="F218" i="6" s="1"/>
  <c r="F219" i="6" s="1"/>
  <c r="F220" i="6" s="1"/>
  <c r="F221" i="6" s="1"/>
  <c r="F222" i="6" s="1"/>
  <c r="F223" i="6" s="1"/>
  <c r="H12" i="6"/>
  <c r="J12" i="6" s="1"/>
  <c r="H338" i="5"/>
  <c r="J338" i="5" s="1"/>
  <c r="H318" i="5"/>
  <c r="H316" i="5"/>
  <c r="H272" i="5"/>
  <c r="H243" i="5"/>
  <c r="H241" i="5"/>
  <c r="H240" i="5"/>
  <c r="H237" i="5"/>
  <c r="H238" i="5" s="1"/>
  <c r="J238" i="5" s="1"/>
  <c r="H231" i="5"/>
  <c r="H230" i="5"/>
  <c r="J230" i="5" s="1"/>
  <c r="H218" i="5"/>
  <c r="J218" i="5" s="1"/>
  <c r="H212" i="5"/>
  <c r="H213" i="5" s="1"/>
  <c r="J213" i="5" s="1"/>
  <c r="H196" i="5"/>
  <c r="H197" i="5" s="1"/>
  <c r="J197" i="5" s="1"/>
  <c r="H187" i="5"/>
  <c r="H186" i="5"/>
  <c r="H185" i="5"/>
  <c r="H184" i="5"/>
  <c r="H171" i="5"/>
  <c r="H170" i="5"/>
  <c r="H169" i="5"/>
  <c r="H167" i="5"/>
  <c r="J167" i="5" s="1"/>
  <c r="H166" i="5"/>
  <c r="J166" i="5" s="1"/>
  <c r="H165" i="5"/>
  <c r="H164" i="5"/>
  <c r="H130" i="5"/>
  <c r="H129" i="5"/>
  <c r="H133" i="5" s="1"/>
  <c r="J133" i="5" s="1"/>
  <c r="H123" i="5"/>
  <c r="H122" i="5"/>
  <c r="J122" i="5" s="1"/>
  <c r="H121" i="5"/>
  <c r="J121" i="5" s="1"/>
  <c r="H120" i="5"/>
  <c r="H119" i="5" s="1"/>
  <c r="J119" i="5" s="1"/>
  <c r="H116" i="5"/>
  <c r="H115" i="5"/>
  <c r="J115" i="5" s="1"/>
  <c r="H114" i="5"/>
  <c r="J114" i="5" s="1"/>
  <c r="H107" i="5"/>
  <c r="H106" i="5"/>
  <c r="H103" i="5"/>
  <c r="H102" i="5"/>
  <c r="H99" i="5"/>
  <c r="H98" i="5"/>
  <c r="H19" i="5"/>
  <c r="J19" i="5" s="1"/>
  <c r="H14" i="5"/>
  <c r="J14" i="5" s="1"/>
  <c r="F61" i="1"/>
  <c r="M143" i="7"/>
  <c r="H143" i="7"/>
  <c r="M23" i="19"/>
  <c r="M24" i="19" s="1"/>
  <c r="E1105" i="7" s="1"/>
  <c r="W1105" i="7" s="1"/>
  <c r="M16" i="19"/>
  <c r="N53" i="18"/>
  <c r="N19" i="18"/>
  <c r="P19" i="18" s="1"/>
  <c r="E1073" i="7" s="1"/>
  <c r="W1073" i="7" s="1"/>
  <c r="Y1073" i="7" s="1"/>
  <c r="M94" i="17"/>
  <c r="M708" i="7"/>
  <c r="M695" i="7"/>
  <c r="H695" i="7"/>
  <c r="M687" i="7"/>
  <c r="H687" i="7"/>
  <c r="H659" i="7"/>
  <c r="M624" i="7"/>
  <c r="H614" i="7"/>
  <c r="M609" i="7"/>
  <c r="H609" i="7"/>
  <c r="M604" i="7"/>
  <c r="H604" i="7"/>
  <c r="H583" i="7"/>
  <c r="M578" i="7"/>
  <c r="H578" i="7"/>
  <c r="M26" i="19"/>
  <c r="M27" i="19" s="1"/>
  <c r="E1106" i="7" s="1"/>
  <c r="W1106" i="7" s="1"/>
  <c r="N48" i="18"/>
  <c r="M259" i="17"/>
  <c r="G4166" i="42"/>
  <c r="I2529" i="42"/>
  <c r="I2526" i="42"/>
  <c r="G2201" i="42"/>
  <c r="G2094" i="42"/>
  <c r="G1131" i="42"/>
  <c r="G813" i="42"/>
  <c r="D407" i="42"/>
  <c r="D408" i="42" s="1"/>
  <c r="N363" i="40"/>
  <c r="N425" i="21"/>
  <c r="N376" i="21"/>
  <c r="N368" i="21"/>
  <c r="N367" i="21"/>
  <c r="N41" i="14"/>
  <c r="N43" i="14" s="1"/>
  <c r="P43" i="14" s="1"/>
  <c r="E334" i="7" s="1"/>
  <c r="W334" i="7" s="1"/>
  <c r="M148" i="17"/>
  <c r="L131" i="17"/>
  <c r="M118" i="17"/>
  <c r="O118" i="17" s="1"/>
  <c r="M115" i="17"/>
  <c r="O115" i="17" s="1"/>
  <c r="E999" i="7" s="1"/>
  <c r="W999" i="7" s="1"/>
  <c r="A109" i="17"/>
  <c r="A123" i="17" s="1"/>
  <c r="A133" i="17" s="1"/>
  <c r="M84" i="17"/>
  <c r="O84" i="17" s="1"/>
  <c r="E991" i="7" s="1"/>
  <c r="W991" i="7" s="1"/>
  <c r="M70" i="17"/>
  <c r="M68" i="17"/>
  <c r="O68" i="17" s="1"/>
  <c r="E985" i="7" s="1"/>
  <c r="W985" i="7" s="1"/>
  <c r="N204" i="11"/>
  <c r="B150" i="6"/>
  <c r="B151" i="6" s="1"/>
  <c r="B152" i="6" s="1"/>
  <c r="B153" i="6" s="1"/>
  <c r="B154" i="6" s="1"/>
  <c r="B155" i="6" s="1"/>
  <c r="B156" i="6" s="1"/>
  <c r="B157" i="6" s="1"/>
  <c r="B158" i="6" s="1"/>
  <c r="B159" i="6" s="1"/>
  <c r="B160" i="6" s="1"/>
  <c r="B161" i="6" s="1"/>
  <c r="B162" i="6" s="1"/>
  <c r="B163" i="6" s="1"/>
  <c r="B164" i="6" s="1"/>
  <c r="B165" i="6" s="1"/>
  <c r="B166" i="6" s="1"/>
  <c r="B167" i="6" s="1"/>
  <c r="B168" i="6" s="1"/>
  <c r="B169" i="6" s="1"/>
  <c r="B170" i="6" s="1"/>
  <c r="B171" i="6" s="1"/>
  <c r="B172" i="6" s="1"/>
  <c r="B173" i="6" s="1"/>
  <c r="B174" i="6" s="1"/>
  <c r="B175" i="6" s="1"/>
  <c r="B176" i="6" s="1"/>
  <c r="B177" i="6" s="1"/>
  <c r="B178" i="6" s="1"/>
  <c r="B179" i="6" s="1"/>
  <c r="B180" i="6" s="1"/>
  <c r="B181" i="6" s="1"/>
  <c r="B182" i="6" s="1"/>
  <c r="B183" i="6" s="1"/>
  <c r="B184" i="6" s="1"/>
  <c r="B185" i="6" s="1"/>
  <c r="B186" i="6" s="1"/>
  <c r="B187" i="6" s="1"/>
  <c r="B188" i="6" s="1"/>
  <c r="B189" i="6" s="1"/>
  <c r="B190" i="6" s="1"/>
  <c r="B191" i="6" s="1"/>
  <c r="B192" i="6" s="1"/>
  <c r="B193" i="6" s="1"/>
  <c r="B194" i="6" s="1"/>
  <c r="B195" i="6" s="1"/>
  <c r="B196" i="6" s="1"/>
  <c r="B197" i="6" s="1"/>
  <c r="B198" i="6" s="1"/>
  <c r="B199" i="6" s="1"/>
  <c r="B200" i="6" s="1"/>
  <c r="B201" i="6" s="1"/>
  <c r="B202" i="6" s="1"/>
  <c r="B203" i="6" s="1"/>
  <c r="B204" i="6" s="1"/>
  <c r="B205" i="6" s="1"/>
  <c r="B206" i="6" s="1"/>
  <c r="B207" i="6" s="1"/>
  <c r="B208" i="6" s="1"/>
  <c r="B209" i="6" s="1"/>
  <c r="B210" i="6" s="1"/>
  <c r="B211" i="6" s="1"/>
  <c r="B212" i="6" s="1"/>
  <c r="B213" i="6" s="1"/>
  <c r="B214" i="6" s="1"/>
  <c r="B215" i="6" s="1"/>
  <c r="B216" i="6" s="1"/>
  <c r="B217" i="6" s="1"/>
  <c r="B218" i="6" s="1"/>
  <c r="B219" i="6" s="1"/>
  <c r="B220" i="6" s="1"/>
  <c r="B221" i="6" s="1"/>
  <c r="B222" i="6" s="1"/>
  <c r="B223" i="6" s="1"/>
  <c r="M1347" i="7"/>
  <c r="H1347" i="7"/>
  <c r="M1341" i="7"/>
  <c r="H1341" i="7"/>
  <c r="M1340" i="7"/>
  <c r="H1340" i="7"/>
  <c r="M1339" i="7"/>
  <c r="H1339" i="7"/>
  <c r="M1319" i="7"/>
  <c r="H1319" i="7"/>
  <c r="J1319" i="7"/>
  <c r="M1297" i="7"/>
  <c r="H1297" i="7"/>
  <c r="M1296" i="7"/>
  <c r="H1296" i="7"/>
  <c r="M1277" i="7"/>
  <c r="H1277" i="7"/>
  <c r="M1276" i="7"/>
  <c r="H1276" i="7"/>
  <c r="M1264" i="7"/>
  <c r="H1264" i="7"/>
  <c r="M1263" i="7"/>
  <c r="H1263" i="7"/>
  <c r="M1262" i="7"/>
  <c r="H1262" i="7"/>
  <c r="M1240" i="7"/>
  <c r="H1240" i="7"/>
  <c r="M1234" i="7"/>
  <c r="H1234" i="7"/>
  <c r="M1219" i="7"/>
  <c r="H1219" i="7"/>
  <c r="M1217" i="7"/>
  <c r="H1217" i="7"/>
  <c r="M1196" i="7"/>
  <c r="H1196" i="7"/>
  <c r="M1194" i="7"/>
  <c r="H1194" i="7"/>
  <c r="M1186" i="7"/>
  <c r="H1186" i="7"/>
  <c r="M1183" i="7"/>
  <c r="H1183" i="7"/>
  <c r="M1172" i="7"/>
  <c r="H1172" i="7"/>
  <c r="K1172" i="7" s="1"/>
  <c r="M1152" i="7"/>
  <c r="H1152" i="7"/>
  <c r="M1151" i="7"/>
  <c r="H1151" i="7"/>
  <c r="M1140" i="7"/>
  <c r="H1140" i="7"/>
  <c r="M1136" i="7"/>
  <c r="H1136" i="7"/>
  <c r="M1135" i="7"/>
  <c r="H1135" i="7"/>
  <c r="M1125" i="7"/>
  <c r="H1125" i="7"/>
  <c r="M1117" i="7"/>
  <c r="H1117" i="7"/>
  <c r="M1103" i="7"/>
  <c r="H1103" i="7"/>
  <c r="J1097" i="7"/>
  <c r="M1087" i="7"/>
  <c r="H1087" i="7"/>
  <c r="M1084" i="7"/>
  <c r="H1084" i="7"/>
  <c r="M1068" i="7"/>
  <c r="H1068" i="7"/>
  <c r="M1052" i="7"/>
  <c r="H1052" i="7"/>
  <c r="M1047" i="7"/>
  <c r="H1047" i="7"/>
  <c r="M1046" i="7"/>
  <c r="H1046" i="7"/>
  <c r="M1029" i="7"/>
  <c r="H1029" i="7"/>
  <c r="M1027" i="7"/>
  <c r="H1027" i="7"/>
  <c r="M1023" i="7"/>
  <c r="H1023" i="7"/>
  <c r="M1013" i="7"/>
  <c r="H1013" i="7"/>
  <c r="M992" i="7"/>
  <c r="H992" i="7"/>
  <c r="M989" i="7"/>
  <c r="H989" i="7"/>
  <c r="M986" i="7"/>
  <c r="H986" i="7"/>
  <c r="M965" i="7"/>
  <c r="H965" i="7"/>
  <c r="M964" i="7"/>
  <c r="H964" i="7"/>
  <c r="M935" i="7"/>
  <c r="H935" i="7"/>
  <c r="M934" i="7"/>
  <c r="H934" i="7"/>
  <c r="M912" i="7"/>
  <c r="H912" i="7"/>
  <c r="M910" i="7"/>
  <c r="H910" i="7"/>
  <c r="M905" i="7"/>
  <c r="H905" i="7"/>
  <c r="M904" i="7"/>
  <c r="H904" i="7"/>
  <c r="M879" i="7"/>
  <c r="H879" i="7"/>
  <c r="M874" i="7"/>
  <c r="H874" i="7"/>
  <c r="M870" i="7"/>
  <c r="H870" i="7"/>
  <c r="M869" i="7"/>
  <c r="H869" i="7"/>
  <c r="M856" i="7"/>
  <c r="H856" i="7"/>
  <c r="M851" i="7"/>
  <c r="H851" i="7"/>
  <c r="M841" i="7"/>
  <c r="H841" i="7"/>
  <c r="M840" i="7"/>
  <c r="H840" i="7"/>
  <c r="M839" i="7"/>
  <c r="H839" i="7"/>
  <c r="M838" i="7"/>
  <c r="H838" i="7"/>
  <c r="M837" i="7"/>
  <c r="H837" i="7"/>
  <c r="M836" i="7"/>
  <c r="H836" i="7"/>
  <c r="M835" i="7"/>
  <c r="H835" i="7"/>
  <c r="M834" i="7"/>
  <c r="H834" i="7"/>
  <c r="M833" i="7"/>
  <c r="H833" i="7"/>
  <c r="M832" i="7"/>
  <c r="H832" i="7"/>
  <c r="M831" i="7"/>
  <c r="H831" i="7"/>
  <c r="M828" i="7"/>
  <c r="H828" i="7"/>
  <c r="M827" i="7"/>
  <c r="H827" i="7"/>
  <c r="M817" i="7"/>
  <c r="H817" i="7"/>
  <c r="M816" i="7"/>
  <c r="H816" i="7"/>
  <c r="M809" i="7"/>
  <c r="H809" i="7"/>
  <c r="M808" i="7"/>
  <c r="H808" i="7"/>
  <c r="M807" i="7"/>
  <c r="H807" i="7"/>
  <c r="M806" i="7"/>
  <c r="H806" i="7"/>
  <c r="M805" i="7"/>
  <c r="H805" i="7"/>
  <c r="M804" i="7"/>
  <c r="H804" i="7"/>
  <c r="M803" i="7"/>
  <c r="H803" i="7"/>
  <c r="M802" i="7"/>
  <c r="H802" i="7"/>
  <c r="M797" i="7"/>
  <c r="H797" i="7"/>
  <c r="M796" i="7"/>
  <c r="H796" i="7"/>
  <c r="M786" i="7"/>
  <c r="H786" i="7"/>
  <c r="M785" i="7"/>
  <c r="H785" i="7"/>
  <c r="H408" i="7"/>
  <c r="M403" i="7"/>
  <c r="H403" i="7"/>
  <c r="M396" i="7"/>
  <c r="H396" i="7"/>
  <c r="M395" i="7"/>
  <c r="H395" i="7"/>
  <c r="H394" i="7"/>
  <c r="H369" i="7"/>
  <c r="M363" i="7"/>
  <c r="H363" i="7"/>
  <c r="M356" i="7"/>
  <c r="H356" i="7"/>
  <c r="H354" i="7"/>
  <c r="H353" i="7"/>
  <c r="M304" i="7"/>
  <c r="H304" i="7"/>
  <c r="H301" i="7"/>
  <c r="M119" i="7"/>
  <c r="H119" i="7"/>
  <c r="N26" i="18"/>
  <c r="L331" i="17"/>
  <c r="L335" i="17" s="1"/>
  <c r="L343" i="17" s="1"/>
  <c r="L344" i="17" s="1"/>
  <c r="M236" i="17"/>
  <c r="E1057" i="7" s="1"/>
  <c r="W1057" i="7" s="1"/>
  <c r="Y1057" i="7" s="1"/>
  <c r="M119" i="17"/>
  <c r="O119" i="17" s="1"/>
  <c r="E1001" i="7" s="1"/>
  <c r="W1001" i="7" s="1"/>
  <c r="H708" i="7"/>
  <c r="M674" i="7"/>
  <c r="H674" i="7"/>
  <c r="M661" i="7"/>
  <c r="H661" i="7"/>
  <c r="M659" i="7"/>
  <c r="M614" i="7"/>
  <c r="M607" i="7"/>
  <c r="M373" i="7"/>
  <c r="H373" i="7"/>
  <c r="M353" i="7"/>
  <c r="G3980" i="42"/>
  <c r="G3926" i="42"/>
  <c r="G3825" i="42"/>
  <c r="I3358" i="42"/>
  <c r="I3359" i="42" s="1"/>
  <c r="I2949" i="42"/>
  <c r="G1127" i="42"/>
  <c r="G1126" i="42"/>
  <c r="G1116" i="42"/>
  <c r="G1109" i="42"/>
  <c r="N412" i="21"/>
  <c r="N365" i="21"/>
  <c r="M774" i="7"/>
  <c r="H774" i="7"/>
  <c r="M773" i="7"/>
  <c r="H773" i="7"/>
  <c r="M772" i="7"/>
  <c r="H772" i="7"/>
  <c r="M301" i="7"/>
  <c r="N180" i="11"/>
  <c r="N181" i="11" s="1"/>
  <c r="P181" i="11" s="1"/>
  <c r="H624" i="7"/>
  <c r="H607" i="7"/>
  <c r="M583" i="7"/>
  <c r="N22" i="18"/>
  <c r="G1111" i="42"/>
  <c r="G704" i="42"/>
  <c r="G473" i="42"/>
  <c r="H368" i="7" l="1"/>
  <c r="H1346" i="7"/>
  <c r="M1346" i="7"/>
  <c r="M1348" i="7" s="1"/>
  <c r="W368" i="7"/>
  <c r="I129" i="34"/>
  <c r="N67" i="40"/>
  <c r="P67" i="40" s="1"/>
  <c r="J37" i="4"/>
  <c r="E120" i="7"/>
  <c r="H120" i="7" s="1"/>
  <c r="W120" i="7"/>
  <c r="Y120" i="7" s="1"/>
  <c r="E124" i="7"/>
  <c r="W124" i="7"/>
  <c r="Y124" i="7" s="1"/>
  <c r="M203" i="13"/>
  <c r="E486" i="7" s="1"/>
  <c r="W486" i="7" s="1"/>
  <c r="Y486" i="7" s="1"/>
  <c r="G2857" i="42"/>
  <c r="W1347" i="7"/>
  <c r="Y1347" i="7" s="1"/>
  <c r="Y1348" i="7" s="1"/>
  <c r="E92" i="7"/>
  <c r="M92" i="7" s="1"/>
  <c r="W92" i="7"/>
  <c r="Y92" i="7" s="1"/>
  <c r="E102" i="7"/>
  <c r="H102" i="7" s="1"/>
  <c r="W102" i="7"/>
  <c r="Y102" i="7" s="1"/>
  <c r="H235" i="32"/>
  <c r="J235" i="32" s="1"/>
  <c r="M208" i="36"/>
  <c r="W103" i="7"/>
  <c r="Y103" i="7" s="1"/>
  <c r="E103" i="7"/>
  <c r="M103" i="7" s="1"/>
  <c r="N124" i="29"/>
  <c r="P124" i="29" s="1"/>
  <c r="E140" i="7"/>
  <c r="M140" i="7" s="1"/>
  <c r="W140" i="7"/>
  <c r="Y140" i="7" s="1"/>
  <c r="N56" i="11"/>
  <c r="N65" i="10"/>
  <c r="P65" i="10" s="1"/>
  <c r="E196" i="7" s="1"/>
  <c r="W196" i="7" s="1"/>
  <c r="E122" i="7"/>
  <c r="W122" i="7"/>
  <c r="Y122" i="7" s="1"/>
  <c r="M145" i="20"/>
  <c r="E1223" i="7" s="1"/>
  <c r="W1223" i="7" s="1"/>
  <c r="G2292" i="42"/>
  <c r="G2348" i="42"/>
  <c r="I2341" i="42" s="1"/>
  <c r="G2406" i="42"/>
  <c r="I2397" i="42" s="1"/>
  <c r="G3465" i="42"/>
  <c r="I3456" i="42" s="1"/>
  <c r="Y1344" i="7"/>
  <c r="M636" i="7"/>
  <c r="H636" i="7"/>
  <c r="W1319" i="7"/>
  <c r="Y1319" i="7" s="1"/>
  <c r="Y180" i="7"/>
  <c r="M398" i="7"/>
  <c r="W398" i="7"/>
  <c r="H332" i="7"/>
  <c r="K332" i="7" s="1"/>
  <c r="W332" i="7"/>
  <c r="H195" i="7"/>
  <c r="W195" i="7"/>
  <c r="M587" i="7"/>
  <c r="W587" i="7"/>
  <c r="H1054" i="7"/>
  <c r="W1054" i="7"/>
  <c r="Y1054" i="7" s="1"/>
  <c r="H1161" i="7"/>
  <c r="W1161" i="7"/>
  <c r="M1232" i="7"/>
  <c r="W1232" i="7"/>
  <c r="H872" i="7"/>
  <c r="W872" i="7"/>
  <c r="M718" i="7"/>
  <c r="W718" i="7"/>
  <c r="M1092" i="7"/>
  <c r="W1092" i="7"/>
  <c r="Y1092" i="7" s="1"/>
  <c r="Y1100" i="7" s="1"/>
  <c r="M273" i="7"/>
  <c r="W273" i="7"/>
  <c r="Y273" i="7" s="1"/>
  <c r="M962" i="7"/>
  <c r="W962" i="7"/>
  <c r="M1049" i="7"/>
  <c r="W1049" i="7"/>
  <c r="Y1049" i="7" s="1"/>
  <c r="M1127" i="7"/>
  <c r="W1127" i="7"/>
  <c r="H387" i="7"/>
  <c r="W387" i="7"/>
  <c r="M993" i="7"/>
  <c r="W993" i="7"/>
  <c r="H787" i="7"/>
  <c r="W787" i="7"/>
  <c r="M370" i="7"/>
  <c r="W370" i="7"/>
  <c r="M798" i="7"/>
  <c r="W798" i="7"/>
  <c r="M848" i="7"/>
  <c r="W848" i="7"/>
  <c r="M1120" i="7"/>
  <c r="W1120" i="7"/>
  <c r="M763" i="7"/>
  <c r="W763" i="7"/>
  <c r="M355" i="7"/>
  <c r="W355" i="7"/>
  <c r="M1171" i="7"/>
  <c r="W1171" i="7"/>
  <c r="H974" i="7"/>
  <c r="W974" i="7"/>
  <c r="M795" i="7"/>
  <c r="W795" i="7"/>
  <c r="H586" i="7"/>
  <c r="K586" i="7" s="1"/>
  <c r="W586" i="7"/>
  <c r="M1137" i="7"/>
  <c r="W1137" i="7"/>
  <c r="M575" i="7"/>
  <c r="W575" i="7"/>
  <c r="H829" i="7"/>
  <c r="W829" i="7"/>
  <c r="M18" i="8"/>
  <c r="E76" i="7" s="1"/>
  <c r="M19" i="8"/>
  <c r="O76" i="7" s="1"/>
  <c r="H718" i="7"/>
  <c r="M180" i="7"/>
  <c r="H1232" i="7"/>
  <c r="H1127" i="7"/>
  <c r="H1092" i="7"/>
  <c r="M1161" i="7"/>
  <c r="K1094" i="7"/>
  <c r="M829" i="7"/>
  <c r="H273" i="7"/>
  <c r="M195" i="7"/>
  <c r="H355" i="7"/>
  <c r="M872" i="7"/>
  <c r="H1137" i="7"/>
  <c r="H370" i="7"/>
  <c r="M787" i="7"/>
  <c r="M1054" i="7"/>
  <c r="H798" i="7"/>
  <c r="H763" i="7"/>
  <c r="H398" i="7"/>
  <c r="H1171" i="7"/>
  <c r="H1120" i="7"/>
  <c r="K1319" i="7"/>
  <c r="H993" i="7"/>
  <c r="H795" i="7"/>
  <c r="M974" i="7"/>
  <c r="H848" i="7"/>
  <c r="K1087" i="7"/>
  <c r="H587" i="7"/>
  <c r="M332" i="7"/>
  <c r="M153" i="27"/>
  <c r="G1386" i="42"/>
  <c r="G1548" i="42"/>
  <c r="G1705" i="42"/>
  <c r="I1699" i="42" s="1"/>
  <c r="N24" i="18"/>
  <c r="P24" i="18" s="1"/>
  <c r="M166" i="13"/>
  <c r="O166" i="13" s="1"/>
  <c r="G2022" i="42"/>
  <c r="I2003" i="42" s="1"/>
  <c r="G2688" i="42"/>
  <c r="I2686" i="42" s="1"/>
  <c r="I2687" i="42" s="1"/>
  <c r="G3529" i="42"/>
  <c r="G3530" i="42" s="1"/>
  <c r="G3531" i="42" s="1"/>
  <c r="D204" i="41" s="1"/>
  <c r="I1025" i="7" s="1"/>
  <c r="J1025" i="7" s="1"/>
  <c r="K521" i="7"/>
  <c r="M162" i="13"/>
  <c r="N39" i="33"/>
  <c r="P39" i="33" s="1"/>
  <c r="H154" i="32"/>
  <c r="J154" i="32" s="1"/>
  <c r="M307" i="16"/>
  <c r="M306" i="16" s="1"/>
  <c r="O306" i="16" s="1"/>
  <c r="E778" i="7" s="1"/>
  <c r="W778" i="7" s="1"/>
  <c r="M439" i="36"/>
  <c r="M195" i="39"/>
  <c r="M180" i="15"/>
  <c r="O180" i="15" s="1"/>
  <c r="M176" i="16"/>
  <c r="O176" i="16" s="1"/>
  <c r="E736" i="7" s="1"/>
  <c r="M52" i="24"/>
  <c r="N154" i="28"/>
  <c r="P154" i="28" s="1"/>
  <c r="M350" i="11"/>
  <c r="O350" i="11" s="1"/>
  <c r="M181" i="27"/>
  <c r="O181" i="27" s="1"/>
  <c r="G1872" i="42"/>
  <c r="G1873" i="42" s="1"/>
  <c r="G3950" i="42"/>
  <c r="G3951" i="42" s="1"/>
  <c r="G3952" i="42" s="1"/>
  <c r="M205" i="39"/>
  <c r="N60" i="11"/>
  <c r="N24" i="38"/>
  <c r="P24" i="38" s="1"/>
  <c r="G2232" i="42"/>
  <c r="G1318" i="42"/>
  <c r="G1319" i="42" s="1"/>
  <c r="G1320" i="42" s="1"/>
  <c r="D62" i="41" s="1"/>
  <c r="G1486" i="42"/>
  <c r="I1476" i="42" s="1"/>
  <c r="G1646" i="42"/>
  <c r="I1637" i="42" s="1"/>
  <c r="G1807" i="42"/>
  <c r="G1808" i="42" s="1"/>
  <c r="G1809" i="42" s="1"/>
  <c r="D92" i="41" s="1"/>
  <c r="N34" i="38"/>
  <c r="P34" i="38" s="1"/>
  <c r="K25" i="7"/>
  <c r="K1278" i="7"/>
  <c r="D231" i="42"/>
  <c r="N52" i="11"/>
  <c r="P52" i="11" s="1"/>
  <c r="N35" i="12"/>
  <c r="P35" i="12" s="1"/>
  <c r="E317" i="7" s="1"/>
  <c r="G3902" i="42"/>
  <c r="G3903" i="42" s="1"/>
  <c r="G3904" i="42" s="1"/>
  <c r="D227" i="41" s="1"/>
  <c r="I1339" i="7" s="1"/>
  <c r="J1339" i="7" s="1"/>
  <c r="K1339" i="7" s="1"/>
  <c r="M150" i="15"/>
  <c r="E630" i="7" s="1"/>
  <c r="M52" i="27"/>
  <c r="G2799" i="42"/>
  <c r="I2792" i="42" s="1"/>
  <c r="I4066" i="42"/>
  <c r="I4067" i="42" s="1"/>
  <c r="G4074" i="42"/>
  <c r="G4075" i="42" s="1"/>
  <c r="D237" i="41" s="1"/>
  <c r="H962" i="7"/>
  <c r="H1049" i="7"/>
  <c r="I3704" i="42"/>
  <c r="N81" i="10"/>
  <c r="P81" i="10" s="1"/>
  <c r="E202" i="7" s="1"/>
  <c r="M158" i="13"/>
  <c r="N37" i="35"/>
  <c r="P37" i="35" s="1"/>
  <c r="M185" i="36"/>
  <c r="N45" i="28"/>
  <c r="H279" i="5"/>
  <c r="D280" i="5"/>
  <c r="N89" i="30"/>
  <c r="P89" i="30" s="1"/>
  <c r="I2425" i="42"/>
  <c r="I2426" i="42" s="1"/>
  <c r="H575" i="7"/>
  <c r="M586" i="7"/>
  <c r="H168" i="5"/>
  <c r="N38" i="9"/>
  <c r="P38" i="9" s="1"/>
  <c r="N172" i="40"/>
  <c r="P172" i="40" s="1"/>
  <c r="M250" i="25"/>
  <c r="O250" i="25" s="1"/>
  <c r="P22" i="40"/>
  <c r="N26" i="40"/>
  <c r="L101" i="20"/>
  <c r="M101" i="20" s="1"/>
  <c r="E1203" i="7" s="1"/>
  <c r="M96" i="20"/>
  <c r="E1198" i="7" s="1"/>
  <c r="O213" i="24"/>
  <c r="M237" i="24"/>
  <c r="O237" i="24" s="1"/>
  <c r="H100" i="5"/>
  <c r="J100" i="5" s="1"/>
  <c r="H242" i="5"/>
  <c r="J242" i="5" s="1"/>
  <c r="I95" i="34"/>
  <c r="I133" i="34"/>
  <c r="N25" i="33"/>
  <c r="P25" i="33" s="1"/>
  <c r="M173" i="20"/>
  <c r="E1233" i="7" s="1"/>
  <c r="I2412" i="42"/>
  <c r="I2413" i="42" s="1"/>
  <c r="G2420" i="42"/>
  <c r="G2421" i="42" s="1"/>
  <c r="D130" i="41" s="1"/>
  <c r="G2469" i="42"/>
  <c r="I2466" i="42" s="1"/>
  <c r="G2559" i="42"/>
  <c r="G3709" i="42"/>
  <c r="G3710" i="42" s="1"/>
  <c r="D215" i="41" s="1"/>
  <c r="I1045" i="7" s="1"/>
  <c r="J1045" i="7" s="1"/>
  <c r="K1045" i="7" s="1"/>
  <c r="G3739" i="42"/>
  <c r="G3785" i="42"/>
  <c r="G3818" i="42"/>
  <c r="I3810" i="42" s="1"/>
  <c r="G3865" i="42"/>
  <c r="G3866" i="42" s="1"/>
  <c r="G3867" i="42" s="1"/>
  <c r="D225" i="41" s="1"/>
  <c r="G4100" i="42"/>
  <c r="G4101" i="42" s="1"/>
  <c r="D239" i="41" s="1"/>
  <c r="G4158" i="42"/>
  <c r="I4150" i="42" s="1"/>
  <c r="H183" i="7"/>
  <c r="M183" i="7"/>
  <c r="C220" i="5"/>
  <c r="C223" i="5"/>
  <c r="N38" i="29"/>
  <c r="P38" i="29" s="1"/>
  <c r="K542" i="7"/>
  <c r="K1097" i="7"/>
  <c r="K543" i="7"/>
  <c r="N132" i="11"/>
  <c r="N27" i="12"/>
  <c r="P27" i="12" s="1"/>
  <c r="E315" i="7" s="1"/>
  <c r="M172" i="15"/>
  <c r="O172" i="15" s="1"/>
  <c r="M51" i="16"/>
  <c r="M153" i="20"/>
  <c r="E1225" i="7" s="1"/>
  <c r="M181" i="36"/>
  <c r="M520" i="36"/>
  <c r="N71" i="40"/>
  <c r="P71" i="40" s="1"/>
  <c r="N105" i="40"/>
  <c r="P105" i="40" s="1"/>
  <c r="G744" i="42"/>
  <c r="G832" i="42"/>
  <c r="I827" i="42" s="1"/>
  <c r="G2113" i="42"/>
  <c r="G2247" i="42"/>
  <c r="I2241" i="42" s="1"/>
  <c r="G2306" i="42"/>
  <c r="I2300" i="42" s="1"/>
  <c r="G2362" i="42"/>
  <c r="I2356" i="42" s="1"/>
  <c r="G2446" i="42"/>
  <c r="G2447" i="42" s="1"/>
  <c r="G2646" i="42"/>
  <c r="I2640" i="42" s="1"/>
  <c r="G2813" i="42"/>
  <c r="I2805" i="42" s="1"/>
  <c r="G2967" i="42"/>
  <c r="I2962" i="42" s="1"/>
  <c r="G2999" i="42"/>
  <c r="I2994" i="42" s="1"/>
  <c r="G3034" i="42"/>
  <c r="I3026" i="42" s="1"/>
  <c r="G3068" i="42"/>
  <c r="I3057" i="42" s="1"/>
  <c r="G3220" i="42"/>
  <c r="I3216" i="42" s="1"/>
  <c r="G3255" i="42"/>
  <c r="G3288" i="42"/>
  <c r="G3320" i="42"/>
  <c r="G3352" i="42"/>
  <c r="I3345" i="42" s="1"/>
  <c r="G4088" i="42"/>
  <c r="D238" i="41" s="1"/>
  <c r="G4142" i="42"/>
  <c r="I4133" i="42" s="1"/>
  <c r="M420" i="7"/>
  <c r="H420" i="7"/>
  <c r="M90" i="36"/>
  <c r="M137" i="36"/>
  <c r="M200" i="39"/>
  <c r="N150" i="28"/>
  <c r="P150" i="28" s="1"/>
  <c r="M48" i="27"/>
  <c r="K30" i="7"/>
  <c r="H49" i="5"/>
  <c r="H145" i="5"/>
  <c r="H146" i="5" s="1"/>
  <c r="N50" i="10"/>
  <c r="N51" i="10" s="1"/>
  <c r="P51" i="10" s="1"/>
  <c r="E192" i="7" s="1"/>
  <c r="W192" i="7" s="1"/>
  <c r="N145" i="26"/>
  <c r="P145" i="26" s="1"/>
  <c r="M173" i="27"/>
  <c r="O173" i="27" s="1"/>
  <c r="N43" i="30"/>
  <c r="P43" i="30" s="1"/>
  <c r="N158" i="30"/>
  <c r="P158" i="30" s="1"/>
  <c r="N58" i="33"/>
  <c r="P58" i="33" s="1"/>
  <c r="I36" i="34"/>
  <c r="G51" i="42"/>
  <c r="G75" i="42"/>
  <c r="I68" i="42" s="1"/>
  <c r="G110" i="42"/>
  <c r="G578" i="42"/>
  <c r="G921" i="42"/>
  <c r="I910" i="42" s="1"/>
  <c r="G962" i="42"/>
  <c r="I955" i="42" s="1"/>
  <c r="G1004" i="42"/>
  <c r="I992" i="42" s="1"/>
  <c r="G1040" i="42"/>
  <c r="I1035" i="42" s="1"/>
  <c r="G1271" i="42"/>
  <c r="I1264" i="42" s="1"/>
  <c r="G1334" i="42"/>
  <c r="I1324" i="42" s="1"/>
  <c r="G1403" i="42"/>
  <c r="G1404" i="42" s="1"/>
  <c r="G1405" i="42" s="1"/>
  <c r="D67" i="41" s="1"/>
  <c r="G1470" i="42"/>
  <c r="I1465" i="42" s="1"/>
  <c r="G1532" i="42"/>
  <c r="I1530" i="42" s="1"/>
  <c r="G1598" i="42"/>
  <c r="G1599" i="42" s="1"/>
  <c r="G1600" i="42" s="1"/>
  <c r="D79" i="41" s="1"/>
  <c r="G1660" i="42"/>
  <c r="I1654" i="42" s="1"/>
  <c r="G1722" i="42"/>
  <c r="I1720" i="42" s="1"/>
  <c r="G1790" i="42"/>
  <c r="G2187" i="42"/>
  <c r="G2188" i="42" s="1"/>
  <c r="G2571" i="42"/>
  <c r="D139" i="41" s="1"/>
  <c r="I1066" i="7" s="1"/>
  <c r="J1066" i="7" s="1"/>
  <c r="K1066" i="7" s="1"/>
  <c r="G2702" i="42"/>
  <c r="G2732" i="42"/>
  <c r="I2730" i="42" s="1"/>
  <c r="G2760" i="42"/>
  <c r="I2758" i="42" s="1"/>
  <c r="G2882" i="42"/>
  <c r="I2877" i="42" s="1"/>
  <c r="I2878" i="42" s="1"/>
  <c r="G2911" i="42"/>
  <c r="G2941" i="42"/>
  <c r="G2942" i="42" s="1"/>
  <c r="G2943" i="42" s="1"/>
  <c r="D165" i="41" s="1"/>
  <c r="I1086" i="7" s="1"/>
  <c r="J1086" i="7" s="1"/>
  <c r="G3117" i="42"/>
  <c r="I3113" i="42" s="1"/>
  <c r="G3151" i="42"/>
  <c r="I3142" i="42" s="1"/>
  <c r="G3429" i="42"/>
  <c r="I3421" i="42" s="1"/>
  <c r="G3481" i="42"/>
  <c r="I3477" i="42" s="1"/>
  <c r="I3478" i="42" s="1"/>
  <c r="G3513" i="42"/>
  <c r="I3504" i="42" s="1"/>
  <c r="G3545" i="42"/>
  <c r="G3546" i="42" s="1"/>
  <c r="G3547" i="42" s="1"/>
  <c r="D205" i="41" s="1"/>
  <c r="I1038" i="7" s="1"/>
  <c r="J1038" i="7" s="1"/>
  <c r="K1038" i="7" s="1"/>
  <c r="G3578" i="42"/>
  <c r="I3567" i="42" s="1"/>
  <c r="G3655" i="42"/>
  <c r="I3653" i="42" s="1"/>
  <c r="G4022" i="42"/>
  <c r="I4018" i="42" s="1"/>
  <c r="G4187" i="42"/>
  <c r="G4228" i="42"/>
  <c r="G4276" i="42"/>
  <c r="I4270" i="42" s="1"/>
  <c r="G4316" i="42"/>
  <c r="N31" i="12"/>
  <c r="P31" i="12" s="1"/>
  <c r="E316" i="7" s="1"/>
  <c r="M321" i="7"/>
  <c r="H321" i="7"/>
  <c r="I4166" i="42"/>
  <c r="N229" i="9"/>
  <c r="N98" i="10"/>
  <c r="P98" i="10" s="1"/>
  <c r="E207" i="7" s="1"/>
  <c r="M208" i="13"/>
  <c r="E487" i="7" s="1"/>
  <c r="M247" i="13"/>
  <c r="E498" i="7" s="1"/>
  <c r="N74" i="14"/>
  <c r="P74" i="14" s="1"/>
  <c r="E350" i="7" s="1"/>
  <c r="N137" i="14"/>
  <c r="P137" i="14" s="1"/>
  <c r="N38" i="30"/>
  <c r="P38" i="30" s="1"/>
  <c r="G130" i="42"/>
  <c r="H138" i="6"/>
  <c r="M44" i="19"/>
  <c r="E1110" i="7" s="1"/>
  <c r="G1888" i="42"/>
  <c r="I1886" i="42" s="1"/>
  <c r="G2434" i="42"/>
  <c r="D131" i="41" s="1"/>
  <c r="G2717" i="42"/>
  <c r="I2710" i="42" s="1"/>
  <c r="G2896" i="42"/>
  <c r="G3017" i="42"/>
  <c r="I3009" i="42" s="1"/>
  <c r="G3083" i="42"/>
  <c r="I3075" i="42" s="1"/>
  <c r="G3238" i="42"/>
  <c r="G3304" i="42"/>
  <c r="I3295" i="42" s="1"/>
  <c r="G3367" i="42"/>
  <c r="D194" i="41" s="1"/>
  <c r="I830" i="7" s="1"/>
  <c r="J830" i="7" s="1"/>
  <c r="K830" i="7" s="1"/>
  <c r="G3413" i="42"/>
  <c r="I3403" i="42" s="1"/>
  <c r="G3606" i="42"/>
  <c r="D209" i="41" s="1"/>
  <c r="G3675" i="42"/>
  <c r="I3670" i="42" s="1"/>
  <c r="G3725" i="42"/>
  <c r="I3716" i="42" s="1"/>
  <c r="G3801" i="42"/>
  <c r="I3794" i="42" s="1"/>
  <c r="G4049" i="42"/>
  <c r="D235" i="41" s="1"/>
  <c r="I69" i="7" s="1"/>
  <c r="J69" i="7" s="1"/>
  <c r="K69" i="7" s="1"/>
  <c r="G4252" i="42"/>
  <c r="I4237" i="42" s="1"/>
  <c r="H234" i="7"/>
  <c r="M234" i="7"/>
  <c r="N42" i="10"/>
  <c r="P42" i="10" s="1"/>
  <c r="E187" i="7" s="1"/>
  <c r="I102" i="34"/>
  <c r="H161" i="32"/>
  <c r="N146" i="30"/>
  <c r="P146" i="30" s="1"/>
  <c r="M141" i="36"/>
  <c r="M359" i="36"/>
  <c r="N161" i="40"/>
  <c r="P161" i="40" s="1"/>
  <c r="N216" i="9"/>
  <c r="M55" i="13"/>
  <c r="M272" i="13"/>
  <c r="N133" i="14"/>
  <c r="P133" i="14" s="1"/>
  <c r="M50" i="16"/>
  <c r="M244" i="16"/>
  <c r="M61" i="24"/>
  <c r="O61" i="24" s="1"/>
  <c r="N192" i="11"/>
  <c r="P192" i="11" s="1"/>
  <c r="E277" i="7" s="1"/>
  <c r="M276" i="17"/>
  <c r="M18" i="20"/>
  <c r="E1164" i="7" s="1"/>
  <c r="M177" i="27"/>
  <c r="O177" i="27" s="1"/>
  <c r="N34" i="30"/>
  <c r="P34" i="30" s="1"/>
  <c r="G720" i="42"/>
  <c r="G768" i="42"/>
  <c r="I763" i="42" s="1"/>
  <c r="G868" i="42"/>
  <c r="G1092" i="42"/>
  <c r="I1085" i="42" s="1"/>
  <c r="G1168" i="42"/>
  <c r="I1159" i="42" s="1"/>
  <c r="G1225" i="42"/>
  <c r="G1226" i="42" s="1"/>
  <c r="G1227" i="42" s="1"/>
  <c r="D56" i="41" s="1"/>
  <c r="H156" i="6"/>
  <c r="G1995" i="42"/>
  <c r="I1985" i="42" s="1"/>
  <c r="G2160" i="42"/>
  <c r="I2152" i="42" s="1"/>
  <c r="G2216" i="42"/>
  <c r="G2277" i="42"/>
  <c r="I2270" i="42" s="1"/>
  <c r="G2334" i="42"/>
  <c r="I2329" i="42" s="1"/>
  <c r="G2390" i="42"/>
  <c r="I2383" i="42" s="1"/>
  <c r="G2515" i="42"/>
  <c r="I2511" i="42" s="1"/>
  <c r="G2560" i="42"/>
  <c r="D138" i="41" s="1"/>
  <c r="I1065" i="7" s="1"/>
  <c r="J1065" i="7" s="1"/>
  <c r="K1065" i="7" s="1"/>
  <c r="G2613" i="42"/>
  <c r="I2605" i="42" s="1"/>
  <c r="G2674" i="42"/>
  <c r="G2675" i="42" s="1"/>
  <c r="G2785" i="42"/>
  <c r="I2777" i="42" s="1"/>
  <c r="I2778" i="42" s="1"/>
  <c r="G2841" i="42"/>
  <c r="I2839" i="42" s="1"/>
  <c r="I2840" i="42" s="1"/>
  <c r="G3169" i="42"/>
  <c r="I3164" i="42" s="1"/>
  <c r="G3497" i="42"/>
  <c r="I3489" i="42" s="1"/>
  <c r="G3561" i="42"/>
  <c r="G4006" i="42"/>
  <c r="H162" i="7"/>
  <c r="M162" i="7"/>
  <c r="M200" i="36"/>
  <c r="D561" i="6"/>
  <c r="N562" i="6"/>
  <c r="M105" i="36"/>
  <c r="N129" i="14"/>
  <c r="P129" i="14" s="1"/>
  <c r="H133" i="6"/>
  <c r="H155" i="6"/>
  <c r="N238" i="26"/>
  <c r="G2051" i="42"/>
  <c r="I2030" i="42" s="1"/>
  <c r="M559" i="7"/>
  <c r="H559" i="7"/>
  <c r="M223" i="13"/>
  <c r="E490" i="7" s="1"/>
  <c r="W490" i="7" s="1"/>
  <c r="Y490" i="7" s="1"/>
  <c r="H182" i="5"/>
  <c r="J182" i="5" s="1"/>
  <c r="N34" i="9"/>
  <c r="P34" i="9" s="1"/>
  <c r="M160" i="15"/>
  <c r="E632" i="7" s="1"/>
  <c r="N142" i="35"/>
  <c r="P142" i="35" s="1"/>
  <c r="M230" i="25"/>
  <c r="M204" i="36"/>
  <c r="M363" i="36"/>
  <c r="M237" i="39"/>
  <c r="N89" i="10"/>
  <c r="P89" i="10" s="1"/>
  <c r="E204" i="7" s="1"/>
  <c r="N64" i="18"/>
  <c r="M227" i="36"/>
  <c r="G1105" i="42"/>
  <c r="D49" i="41" s="1"/>
  <c r="H143" i="6"/>
  <c r="G2533" i="42"/>
  <c r="D136" i="41" s="1"/>
  <c r="I1093" i="7" s="1"/>
  <c r="J1093" i="7" s="1"/>
  <c r="G3186" i="42"/>
  <c r="I3181" i="42" s="1"/>
  <c r="G3380" i="42"/>
  <c r="D195" i="41" s="1"/>
  <c r="G4062" i="42"/>
  <c r="D236" i="41" s="1"/>
  <c r="L273" i="32"/>
  <c r="E261" i="32"/>
  <c r="E275" i="32" s="1"/>
  <c r="E294" i="32" s="1"/>
  <c r="H161" i="5"/>
  <c r="J161" i="5" s="1"/>
  <c r="H499" i="6"/>
  <c r="M36" i="13"/>
  <c r="K37" i="13" s="1"/>
  <c r="M37" i="13" s="1"/>
  <c r="M134" i="15"/>
  <c r="E622" i="7" s="1"/>
  <c r="I109" i="34"/>
  <c r="H175" i="32"/>
  <c r="J175" i="32" s="1"/>
  <c r="N21" i="33"/>
  <c r="P21" i="33" s="1"/>
  <c r="N35" i="33"/>
  <c r="P35" i="33" s="1"/>
  <c r="N100" i="33"/>
  <c r="P100" i="33" s="1"/>
  <c r="M346" i="36"/>
  <c r="N20" i="38"/>
  <c r="P20" i="38" s="1"/>
  <c r="N38" i="38"/>
  <c r="P38" i="38" s="1"/>
  <c r="N85" i="10"/>
  <c r="P85" i="10" s="1"/>
  <c r="E203" i="7" s="1"/>
  <c r="M51" i="24"/>
  <c r="N241" i="33"/>
  <c r="P241" i="33" s="1"/>
  <c r="G29" i="42"/>
  <c r="I22" i="42" s="1"/>
  <c r="G94" i="42"/>
  <c r="I88" i="42" s="1"/>
  <c r="G561" i="42"/>
  <c r="I556" i="42" s="1"/>
  <c r="G903" i="42"/>
  <c r="I897" i="42" s="1"/>
  <c r="G982" i="42"/>
  <c r="I977" i="42" s="1"/>
  <c r="G1058" i="42"/>
  <c r="I1050" i="42" s="1"/>
  <c r="G1185" i="42"/>
  <c r="F3389" i="42" s="1"/>
  <c r="G3389" i="42" s="1"/>
  <c r="G1241" i="42"/>
  <c r="G1302" i="42"/>
  <c r="I1298" i="42" s="1"/>
  <c r="G1368" i="42"/>
  <c r="G1435" i="42"/>
  <c r="G1502" i="42"/>
  <c r="I1494" i="42" s="1"/>
  <c r="G1564" i="42"/>
  <c r="I1557" i="42" s="1"/>
  <c r="G1629" i="42"/>
  <c r="I1625" i="42" s="1"/>
  <c r="G1691" i="42"/>
  <c r="I1685" i="42" s="1"/>
  <c r="G1756" i="42"/>
  <c r="I1754" i="42" s="1"/>
  <c r="G1824" i="42"/>
  <c r="I1821" i="42" s="1"/>
  <c r="H223" i="6"/>
  <c r="G1856" i="42"/>
  <c r="I1849" i="42" s="1"/>
  <c r="G2172" i="42"/>
  <c r="G2173" i="42" s="1"/>
  <c r="D113" i="41" s="1"/>
  <c r="G2746" i="42"/>
  <c r="I2739" i="42" s="1"/>
  <c r="G2926" i="42"/>
  <c r="I2920" i="42" s="1"/>
  <c r="G2982" i="42"/>
  <c r="I2974" i="42" s="1"/>
  <c r="G3051" i="42"/>
  <c r="I3047" i="42" s="1"/>
  <c r="G3203" i="42"/>
  <c r="I3199" i="42" s="1"/>
  <c r="G3272" i="42"/>
  <c r="G3336" i="42"/>
  <c r="G3753" i="42"/>
  <c r="G3754" i="42" s="1"/>
  <c r="G3755" i="42" s="1"/>
  <c r="D218" i="41" s="1"/>
  <c r="G4204" i="42"/>
  <c r="I4199" i="42" s="1"/>
  <c r="G4300" i="42"/>
  <c r="I4288" i="42" s="1"/>
  <c r="M206" i="7"/>
  <c r="H206" i="7"/>
  <c r="N119" i="30"/>
  <c r="P119" i="30" s="1"/>
  <c r="H142" i="6"/>
  <c r="M312" i="7"/>
  <c r="H312" i="7"/>
  <c r="M48" i="24"/>
  <c r="O48" i="24" s="1"/>
  <c r="H543" i="6"/>
  <c r="J543" i="6" s="1"/>
  <c r="N44" i="10"/>
  <c r="N46" i="10" s="1"/>
  <c r="P46" i="10" s="1"/>
  <c r="E188" i="7" s="1"/>
  <c r="N106" i="10"/>
  <c r="P106" i="10" s="1"/>
  <c r="E209" i="7" s="1"/>
  <c r="M257" i="13"/>
  <c r="M258" i="15"/>
  <c r="E651" i="7" s="1"/>
  <c r="M147" i="24"/>
  <c r="O147" i="24" s="1"/>
  <c r="N45" i="26"/>
  <c r="M60" i="27"/>
  <c r="C61" i="27" s="1"/>
  <c r="M61" i="27" s="1"/>
  <c r="F62" i="27" s="1"/>
  <c r="M62" i="27" s="1"/>
  <c r="O62" i="27" s="1"/>
  <c r="G1077" i="42"/>
  <c r="I1064" i="42" s="1"/>
  <c r="G1152" i="42"/>
  <c r="I1142" i="42" s="1"/>
  <c r="G1205" i="42"/>
  <c r="I1194" i="42" s="1"/>
  <c r="H139" i="6"/>
  <c r="H153" i="6"/>
  <c r="G2080" i="42"/>
  <c r="I2093" i="42" s="1"/>
  <c r="M390" i="16"/>
  <c r="O390" i="16" s="1"/>
  <c r="E792" i="7" s="1"/>
  <c r="W792" i="7" s="1"/>
  <c r="O358" i="16"/>
  <c r="E788" i="7" s="1"/>
  <c r="W788" i="7" s="1"/>
  <c r="M262" i="7"/>
  <c r="H262" i="7"/>
  <c r="H104" i="5"/>
  <c r="J104" i="5" s="1"/>
  <c r="H513" i="6"/>
  <c r="J513" i="6" s="1"/>
  <c r="N77" i="10"/>
  <c r="P77" i="10" s="1"/>
  <c r="E201" i="7" s="1"/>
  <c r="M240" i="13"/>
  <c r="E494" i="7" s="1"/>
  <c r="M119" i="36"/>
  <c r="M355" i="36"/>
  <c r="N59" i="11"/>
  <c r="N61" i="11" s="1"/>
  <c r="F62" i="11" s="1"/>
  <c r="N62" i="11" s="1"/>
  <c r="P62" i="11" s="1"/>
  <c r="E244" i="7" s="1"/>
  <c r="N123" i="11"/>
  <c r="N124" i="11" s="1"/>
  <c r="P124" i="11" s="1"/>
  <c r="E263" i="7" s="1"/>
  <c r="W263" i="7" s="1"/>
  <c r="Y263" i="7" s="1"/>
  <c r="M274" i="13"/>
  <c r="E508" i="7" s="1"/>
  <c r="M248" i="13"/>
  <c r="E499" i="7" s="1"/>
  <c r="N250" i="21"/>
  <c r="M50" i="24"/>
  <c r="M242" i="25"/>
  <c r="O242" i="25" s="1"/>
  <c r="M240" i="17"/>
  <c r="N201" i="26"/>
  <c r="P201" i="26" s="1"/>
  <c r="M56" i="27"/>
  <c r="N113" i="40"/>
  <c r="P113" i="40" s="1"/>
  <c r="N131" i="29"/>
  <c r="D242" i="42"/>
  <c r="D244" i="42" s="1"/>
  <c r="G244" i="42" s="1"/>
  <c r="G756" i="42"/>
  <c r="G850" i="42"/>
  <c r="I845" i="42" s="1"/>
  <c r="H136" i="6"/>
  <c r="H151" i="6"/>
  <c r="G2144" i="42"/>
  <c r="I2136" i="42" s="1"/>
  <c r="G2262" i="42"/>
  <c r="I2260" i="42" s="1"/>
  <c r="G2320" i="42"/>
  <c r="I2313" i="42" s="1"/>
  <c r="G2376" i="42"/>
  <c r="I2374" i="42" s="1"/>
  <c r="I2375" i="42" s="1"/>
  <c r="G2492" i="42"/>
  <c r="I2477" i="42" s="1"/>
  <c r="G2591" i="42"/>
  <c r="I2578" i="42" s="1"/>
  <c r="G2660" i="42"/>
  <c r="I2654" i="42" s="1"/>
  <c r="G4126" i="42"/>
  <c r="I4113" i="42" s="1"/>
  <c r="L280" i="5"/>
  <c r="E268" i="5"/>
  <c r="E282" i="5" s="1"/>
  <c r="E301" i="5" s="1"/>
  <c r="H199" i="7"/>
  <c r="M199" i="7"/>
  <c r="M183" i="16"/>
  <c r="O183" i="16" s="1"/>
  <c r="E739" i="7" s="1"/>
  <c r="W739" i="7" s="1"/>
  <c r="O178" i="16"/>
  <c r="E738" i="7" s="1"/>
  <c r="W738" i="7" s="1"/>
  <c r="G4317" i="42"/>
  <c r="G4318" i="42" s="1"/>
  <c r="I4259" i="42"/>
  <c r="I4265" i="42"/>
  <c r="I4261" i="42"/>
  <c r="I4267" i="42"/>
  <c r="I4272" i="42"/>
  <c r="G4277" i="42"/>
  <c r="G4278" i="42" s="1"/>
  <c r="D248" i="41" s="1"/>
  <c r="I1342" i="7" s="1"/>
  <c r="J1342" i="7" s="1"/>
  <c r="I4213" i="42"/>
  <c r="I4217" i="42"/>
  <c r="I4194" i="42"/>
  <c r="G4205" i="42"/>
  <c r="G4206" i="42" s="1"/>
  <c r="D245" i="41" s="1"/>
  <c r="I1068" i="7" s="1"/>
  <c r="J1068" i="7" s="1"/>
  <c r="K1068" i="7" s="1"/>
  <c r="G4188" i="42"/>
  <c r="G4189" i="42" s="1"/>
  <c r="D244" i="41" s="1"/>
  <c r="I70" i="7" s="1"/>
  <c r="J70" i="7" s="1"/>
  <c r="K70" i="7" s="1"/>
  <c r="I4135" i="42"/>
  <c r="G4143" i="42"/>
  <c r="G4144" i="42" s="1"/>
  <c r="D241" i="41" s="1"/>
  <c r="I306" i="7" s="1"/>
  <c r="G4035" i="42"/>
  <c r="G4036" i="42" s="1"/>
  <c r="D234" i="41" s="1"/>
  <c r="I3994" i="42"/>
  <c r="I4002" i="42"/>
  <c r="I3996" i="42"/>
  <c r="I4000" i="42"/>
  <c r="I3995" i="42"/>
  <c r="I4001" i="42"/>
  <c r="G4007" i="42"/>
  <c r="G4008" i="42" s="1"/>
  <c r="D232" i="41" s="1"/>
  <c r="I3957" i="42"/>
  <c r="I3958" i="42"/>
  <c r="I3959" i="42"/>
  <c r="I3963" i="42"/>
  <c r="G3968" i="42"/>
  <c r="G3969" i="42" s="1"/>
  <c r="D229" i="41" s="1"/>
  <c r="I3872" i="42"/>
  <c r="I3877" i="42"/>
  <c r="I3874" i="42"/>
  <c r="I3878" i="42"/>
  <c r="I3879" i="42"/>
  <c r="I3873" i="42"/>
  <c r="G3884" i="42"/>
  <c r="G3885" i="42" s="1"/>
  <c r="D226" i="41" s="1"/>
  <c r="I3856" i="42"/>
  <c r="I4165" i="42"/>
  <c r="I4167" i="42"/>
  <c r="I3842" i="42"/>
  <c r="I3857" i="42"/>
  <c r="I3840" i="42"/>
  <c r="I3858" i="42"/>
  <c r="G3850" i="42"/>
  <c r="G3851" i="42" s="1"/>
  <c r="D224" i="41" s="1"/>
  <c r="I3829" i="42"/>
  <c r="I3809" i="42"/>
  <c r="I3814" i="42"/>
  <c r="I3808" i="42"/>
  <c r="G3802" i="42"/>
  <c r="G3803" i="42" s="1"/>
  <c r="D221" i="41" s="1"/>
  <c r="I1067" i="7" s="1"/>
  <c r="J1067" i="7" s="1"/>
  <c r="K1067" i="7" s="1"/>
  <c r="G3786" i="42"/>
  <c r="I3746" i="42"/>
  <c r="I3732" i="42"/>
  <c r="G3740" i="42"/>
  <c r="G3741" i="42" s="1"/>
  <c r="D217" i="41" s="1"/>
  <c r="I3690" i="42"/>
  <c r="I3688" i="42"/>
  <c r="I3682" i="42"/>
  <c r="I3689" i="42"/>
  <c r="G3693" i="42"/>
  <c r="G3694" i="42" s="1"/>
  <c r="D214" i="41" s="1"/>
  <c r="I3662" i="42"/>
  <c r="I3666" i="42"/>
  <c r="G3676" i="42"/>
  <c r="G3677" i="42" s="1"/>
  <c r="D213" i="41" s="1"/>
  <c r="I1043" i="7" s="1"/>
  <c r="J1043" i="7" s="1"/>
  <c r="K1043" i="7" s="1"/>
  <c r="I3639" i="42"/>
  <c r="I3625" i="42"/>
  <c r="I3626" i="42"/>
  <c r="I3627" i="42"/>
  <c r="G3633" i="42"/>
  <c r="G3634" i="42" s="1"/>
  <c r="D211" i="41" s="1"/>
  <c r="I3613" i="42"/>
  <c r="I3614" i="42" s="1"/>
  <c r="G3619" i="42"/>
  <c r="G3620" i="42" s="1"/>
  <c r="D210" i="41" s="1"/>
  <c r="I3472" i="42"/>
  <c r="I3473" i="42"/>
  <c r="I3457" i="42"/>
  <c r="I3458" i="42"/>
  <c r="I3343" i="42"/>
  <c r="I3344" i="42"/>
  <c r="G3353" i="42"/>
  <c r="G3354" i="42" s="1"/>
  <c r="D193" i="41" s="1"/>
  <c r="I944" i="7" s="1"/>
  <c r="J944" i="7" s="1"/>
  <c r="K944" i="7" s="1"/>
  <c r="I3327" i="42"/>
  <c r="I3328" i="42"/>
  <c r="I3329" i="42"/>
  <c r="G3337" i="42"/>
  <c r="G3338" i="42" s="1"/>
  <c r="D192" i="41" s="1"/>
  <c r="I811" i="7" s="1"/>
  <c r="J811" i="7" s="1"/>
  <c r="K811" i="7" s="1"/>
  <c r="I3312" i="42"/>
  <c r="I3311" i="42"/>
  <c r="I3313" i="42"/>
  <c r="G3321" i="42"/>
  <c r="G3322" i="42" s="1"/>
  <c r="D191" i="41" s="1"/>
  <c r="I3297" i="42"/>
  <c r="I3281" i="42"/>
  <c r="I3279" i="42"/>
  <c r="I3280" i="42"/>
  <c r="G3289" i="42"/>
  <c r="G3290" i="42"/>
  <c r="D189" i="41" s="1"/>
  <c r="I3247" i="42"/>
  <c r="I3228" i="42"/>
  <c r="I3194" i="42"/>
  <c r="G3204" i="42"/>
  <c r="G3205" i="42" s="1"/>
  <c r="D184" i="41" s="1"/>
  <c r="I3143" i="42"/>
  <c r="I3125" i="42"/>
  <c r="I3124" i="42"/>
  <c r="I3126" i="42"/>
  <c r="I3130" i="42"/>
  <c r="G3135" i="42"/>
  <c r="I3109" i="42"/>
  <c r="G3118" i="42"/>
  <c r="G3119" i="42" s="1"/>
  <c r="D179" i="41" s="1"/>
  <c r="I3024" i="42"/>
  <c r="I3030" i="42"/>
  <c r="I3013" i="42"/>
  <c r="I3007" i="42"/>
  <c r="G3018" i="42"/>
  <c r="I2961" i="42"/>
  <c r="I2960" i="42"/>
  <c r="G2968" i="42"/>
  <c r="G2969" i="42" s="1"/>
  <c r="D167" i="41" s="1"/>
  <c r="I2939" i="42"/>
  <c r="I2935" i="42"/>
  <c r="I2934" i="42"/>
  <c r="I2933" i="42"/>
  <c r="I2903" i="42"/>
  <c r="I2890" i="42"/>
  <c r="I2891" i="42"/>
  <c r="I2892" i="42" s="1"/>
  <c r="I2889" i="42"/>
  <c r="G2897" i="42"/>
  <c r="G2898" i="42" s="1"/>
  <c r="D162" i="41" s="1"/>
  <c r="I1099" i="7" s="1"/>
  <c r="J1099" i="7" s="1"/>
  <c r="K1099" i="7" s="1"/>
  <c r="I2849" i="42"/>
  <c r="I2848" i="42"/>
  <c r="I2850" i="42"/>
  <c r="G2858" i="42"/>
  <c r="G2859" i="42" s="1"/>
  <c r="D159" i="41" s="1"/>
  <c r="I1064" i="7" s="1"/>
  <c r="J1064" i="7" s="1"/>
  <c r="K1064" i="7" s="1"/>
  <c r="I2822" i="42"/>
  <c r="I2823" i="42" s="1"/>
  <c r="I2820" i="42"/>
  <c r="I2821" i="42"/>
  <c r="G2828" i="42"/>
  <c r="G2829" i="42" s="1"/>
  <c r="D157" i="41" s="1"/>
  <c r="I1090" i="7" s="1"/>
  <c r="J1090" i="7" s="1"/>
  <c r="K1090" i="7" s="1"/>
  <c r="I2793" i="42"/>
  <c r="I2794" i="42"/>
  <c r="I2795" i="42" s="1"/>
  <c r="G2800" i="42"/>
  <c r="G2801" i="42" s="1"/>
  <c r="D155" i="41" s="1"/>
  <c r="I2782" i="42"/>
  <c r="I2757" i="42"/>
  <c r="I2726" i="42"/>
  <c r="I2725" i="42"/>
  <c r="I2724" i="42"/>
  <c r="G2733" i="42"/>
  <c r="G2734" i="42" s="1"/>
  <c r="D149" i="41" s="1"/>
  <c r="I2696" i="42"/>
  <c r="I2682" i="42"/>
  <c r="I2683" i="42"/>
  <c r="I2681" i="42"/>
  <c r="G2689" i="42"/>
  <c r="G2690" i="42" s="1"/>
  <c r="D146" i="41" s="1"/>
  <c r="I837" i="7" s="1"/>
  <c r="J837" i="7" s="1"/>
  <c r="K837" i="7" s="1"/>
  <c r="I2668" i="42"/>
  <c r="I2667" i="42"/>
  <c r="I2669" i="42"/>
  <c r="I2627" i="42"/>
  <c r="I2622" i="42"/>
  <c r="I2620" i="42"/>
  <c r="I2626" i="42"/>
  <c r="I2630" i="42"/>
  <c r="I2621" i="42"/>
  <c r="I2628" i="42"/>
  <c r="I2629" i="42"/>
  <c r="G2633" i="42"/>
  <c r="I2599" i="42"/>
  <c r="I2608" i="42"/>
  <c r="I2543" i="42"/>
  <c r="I2537" i="42"/>
  <c r="I2538" i="42" s="1"/>
  <c r="I2544" i="42"/>
  <c r="I2542" i="42"/>
  <c r="I2545" i="42"/>
  <c r="I2527" i="42"/>
  <c r="I2521" i="42"/>
  <c r="I2522" i="42" s="1"/>
  <c r="I2525" i="42"/>
  <c r="I2528" i="42"/>
  <c r="I2507" i="42"/>
  <c r="I2488" i="42"/>
  <c r="G2493" i="42"/>
  <c r="G2494" i="42" s="1"/>
  <c r="D134" i="41" s="1"/>
  <c r="I831" i="7" s="1"/>
  <c r="J831" i="7" s="1"/>
  <c r="K831" i="7" s="1"/>
  <c r="I2454" i="42"/>
  <c r="I2465" i="42"/>
  <c r="I2399" i="42"/>
  <c r="I2343" i="42"/>
  <c r="I2286" i="42"/>
  <c r="I2284" i="42"/>
  <c r="I2285" i="42"/>
  <c r="I2290" i="42"/>
  <c r="G2293" i="42"/>
  <c r="G2294" i="42" s="1"/>
  <c r="D121" i="41" s="1"/>
  <c r="I2271" i="42"/>
  <c r="G2278" i="42"/>
  <c r="G2279" i="42" s="1"/>
  <c r="D120" i="41" s="1"/>
  <c r="I2255" i="42"/>
  <c r="I2254" i="42"/>
  <c r="I2245" i="42"/>
  <c r="I2239" i="42"/>
  <c r="I2225" i="42"/>
  <c r="I2223" i="42"/>
  <c r="I2230" i="42"/>
  <c r="I2229" i="42"/>
  <c r="I2224" i="42"/>
  <c r="G2233" i="42"/>
  <c r="G2234" i="42" s="1"/>
  <c r="D117" i="41" s="1"/>
  <c r="I1268" i="7" s="1"/>
  <c r="J1268" i="7" s="1"/>
  <c r="K1268" i="7" s="1"/>
  <c r="G2217" i="42"/>
  <c r="G2218" i="42" s="1"/>
  <c r="D116" i="41" s="1"/>
  <c r="I2179" i="42"/>
  <c r="I2184" i="42"/>
  <c r="I2178" i="42"/>
  <c r="I2180" i="42"/>
  <c r="I2185" i="42"/>
  <c r="I2151" i="42"/>
  <c r="G2161" i="42"/>
  <c r="G2162" i="42" s="1"/>
  <c r="D112" i="41" s="1"/>
  <c r="I2121" i="42"/>
  <c r="I2126" i="42"/>
  <c r="I2127" i="42"/>
  <c r="I2120" i="42"/>
  <c r="I2122" i="42"/>
  <c r="G2130" i="42"/>
  <c r="G2131" i="42" s="1"/>
  <c r="D110" i="41" s="1"/>
  <c r="I2111" i="42"/>
  <c r="G2114" i="42"/>
  <c r="G2115" i="42" s="1"/>
  <c r="D109" i="41" s="1"/>
  <c r="I2065" i="42"/>
  <c r="I2072" i="42"/>
  <c r="I2088" i="42"/>
  <c r="I2059" i="42"/>
  <c r="I2071" i="42"/>
  <c r="I2089" i="42"/>
  <c r="I2092" i="42"/>
  <c r="I2061" i="42"/>
  <c r="I2070" i="42"/>
  <c r="I2076" i="42"/>
  <c r="I2087" i="42"/>
  <c r="G2081" i="42"/>
  <c r="G2082" i="42" s="1"/>
  <c r="D108" i="41" s="1"/>
  <c r="I2031" i="42"/>
  <c r="I2036" i="42"/>
  <c r="I2047" i="42"/>
  <c r="I2041" i="42"/>
  <c r="I2014" i="42"/>
  <c r="I2004" i="42"/>
  <c r="G2023" i="42"/>
  <c r="G2024" i="42" s="1"/>
  <c r="D106" i="41" s="1"/>
  <c r="I1975" i="42"/>
  <c r="I1986" i="42"/>
  <c r="I1987" i="42"/>
  <c r="I1976" i="42"/>
  <c r="I1974" i="42"/>
  <c r="I1980" i="42"/>
  <c r="I1991" i="42"/>
  <c r="G1996" i="42"/>
  <c r="G1997" i="42" s="1"/>
  <c r="D105" i="41" s="1"/>
  <c r="I1960" i="42"/>
  <c r="I1964" i="42"/>
  <c r="I1965" i="42" s="1"/>
  <c r="G1967" i="42"/>
  <c r="G1968" i="42" s="1"/>
  <c r="D104" i="41" s="1"/>
  <c r="I1952" i="42"/>
  <c r="I1953" i="42" s="1"/>
  <c r="G1955" i="42"/>
  <c r="G1956" i="42" s="1"/>
  <c r="D103" i="41" s="1"/>
  <c r="I1941" i="42"/>
  <c r="I1942" i="42" s="1"/>
  <c r="G1944" i="42"/>
  <c r="G1945" i="42" s="1"/>
  <c r="D102" i="41" s="1"/>
  <c r="I1930" i="42"/>
  <c r="I1931" i="42" s="1"/>
  <c r="G1933" i="42"/>
  <c r="G1934" i="42" s="1"/>
  <c r="D101" i="41" s="1"/>
  <c r="I1919" i="42"/>
  <c r="I1920" i="42" s="1"/>
  <c r="G1922" i="42"/>
  <c r="G1923" i="42" s="1"/>
  <c r="D100" i="41" s="1"/>
  <c r="G1889" i="42"/>
  <c r="G1890" i="42" s="1"/>
  <c r="D97" i="41" s="1"/>
  <c r="I1869" i="42"/>
  <c r="I1863" i="42"/>
  <c r="I1870" i="42"/>
  <c r="I1865" i="42"/>
  <c r="I1838" i="42"/>
  <c r="I1837" i="42"/>
  <c r="I1831" i="42"/>
  <c r="I1832" i="42"/>
  <c r="I1833" i="42"/>
  <c r="G1841" i="42"/>
  <c r="G1842" i="42" s="1"/>
  <c r="D94" i="41" s="1"/>
  <c r="N315" i="40"/>
  <c r="P315" i="40" s="1"/>
  <c r="M316" i="40"/>
  <c r="N316" i="40" s="1"/>
  <c r="P316" i="40" s="1"/>
  <c r="N56" i="29"/>
  <c r="F60" i="29"/>
  <c r="N60" i="29" s="1"/>
  <c r="C64" i="29"/>
  <c r="C64" i="28"/>
  <c r="N56" i="28"/>
  <c r="F60" i="28"/>
  <c r="N60" i="28" s="1"/>
  <c r="N240" i="26"/>
  <c r="P240" i="26" s="1"/>
  <c r="C241" i="26"/>
  <c r="N241" i="26" s="1"/>
  <c r="P241" i="26" s="1"/>
  <c r="P183" i="26"/>
  <c r="N248" i="26"/>
  <c r="N53" i="26"/>
  <c r="N54" i="26" s="1"/>
  <c r="P54" i="26" s="1"/>
  <c r="C57" i="26"/>
  <c r="C46" i="26"/>
  <c r="N46" i="26" s="1"/>
  <c r="N18" i="26"/>
  <c r="P18" i="26" s="1"/>
  <c r="M19" i="26"/>
  <c r="C387" i="25"/>
  <c r="M387" i="25" s="1"/>
  <c r="M385" i="25"/>
  <c r="H1202" i="7"/>
  <c r="M1202" i="7"/>
  <c r="C44" i="20"/>
  <c r="M40" i="20"/>
  <c r="M129" i="19"/>
  <c r="C152" i="19"/>
  <c r="M152" i="19" s="1"/>
  <c r="C139" i="19"/>
  <c r="M139" i="19" s="1"/>
  <c r="M88" i="19"/>
  <c r="L94" i="19"/>
  <c r="L89" i="19"/>
  <c r="M89" i="19" s="1"/>
  <c r="M46" i="19"/>
  <c r="K50" i="19"/>
  <c r="M50" i="19" s="1"/>
  <c r="C59" i="19"/>
  <c r="M59" i="19" s="1"/>
  <c r="M54" i="19"/>
  <c r="C35" i="19"/>
  <c r="M35" i="19" s="1"/>
  <c r="I1822" i="42"/>
  <c r="I1797" i="42"/>
  <c r="I1804" i="42"/>
  <c r="I1805" i="42"/>
  <c r="I1799" i="42"/>
  <c r="I1803" i="42"/>
  <c r="I1798" i="42"/>
  <c r="I1781" i="42"/>
  <c r="I1782" i="42"/>
  <c r="I1787" i="42"/>
  <c r="I1788" i="42"/>
  <c r="I1786" i="42"/>
  <c r="I1780" i="42"/>
  <c r="G1791" i="42"/>
  <c r="G1792" i="42" s="1"/>
  <c r="D91" i="41" s="1"/>
  <c r="I1746" i="42"/>
  <c r="I1747" i="42"/>
  <c r="I1753" i="42"/>
  <c r="G1757" i="42"/>
  <c r="G1758" i="42" s="1"/>
  <c r="D89" i="41" s="1"/>
  <c r="I1729" i="42"/>
  <c r="I1731" i="42"/>
  <c r="I1735" i="42"/>
  <c r="I1737" i="42"/>
  <c r="I1736" i="42"/>
  <c r="G1740" i="42"/>
  <c r="G1741" i="42" s="1"/>
  <c r="D88" i="41" s="1"/>
  <c r="I1713" i="42"/>
  <c r="I1698" i="42"/>
  <c r="I1700" i="42"/>
  <c r="I1686" i="42"/>
  <c r="I1667" i="42"/>
  <c r="I1669" i="42"/>
  <c r="I1673" i="42"/>
  <c r="I1668" i="42"/>
  <c r="G1678" i="42"/>
  <c r="I1605" i="42"/>
  <c r="I1606" i="42"/>
  <c r="I1611" i="42"/>
  <c r="I1607" i="42"/>
  <c r="G1614" i="42"/>
  <c r="G1615" i="42" s="1"/>
  <c r="D80" i="41" s="1"/>
  <c r="I1571" i="42"/>
  <c r="I1580" i="42"/>
  <c r="I1572" i="42"/>
  <c r="I1578" i="42"/>
  <c r="I1581" i="42"/>
  <c r="I1573" i="42"/>
  <c r="I1579" i="42"/>
  <c r="I1577" i="42"/>
  <c r="G1584" i="42"/>
  <c r="G1585" i="42" s="1"/>
  <c r="D78" i="41" s="1"/>
  <c r="I1155" i="7" s="1"/>
  <c r="J1155" i="7" s="1"/>
  <c r="K1155" i="7" s="1"/>
  <c r="I1540" i="42"/>
  <c r="I1541" i="42"/>
  <c r="I1545" i="42"/>
  <c r="I1539" i="42"/>
  <c r="I1546" i="42"/>
  <c r="G1549" i="42"/>
  <c r="G1550" i="42" s="1"/>
  <c r="D76" i="41" s="1"/>
  <c r="I1526" i="42"/>
  <c r="I1525" i="42"/>
  <c r="I1511" i="42"/>
  <c r="I1510" i="42"/>
  <c r="I1515" i="42"/>
  <c r="I1509" i="42"/>
  <c r="G1518" i="42"/>
  <c r="I1495" i="42"/>
  <c r="I1493" i="42"/>
  <c r="I1477" i="42"/>
  <c r="I1462" i="42"/>
  <c r="I1444" i="42"/>
  <c r="I1445" i="42"/>
  <c r="I1449" i="42"/>
  <c r="I1443" i="42"/>
  <c r="G1454" i="42"/>
  <c r="G1455" i="42" s="1"/>
  <c r="D70" i="41" s="1"/>
  <c r="I1427" i="42"/>
  <c r="I1433" i="42"/>
  <c r="I1428" i="42"/>
  <c r="I1426" i="42"/>
  <c r="I1432" i="42"/>
  <c r="G1436" i="42"/>
  <c r="G1437" i="42" s="1"/>
  <c r="D69" i="41" s="1"/>
  <c r="F3096" i="42"/>
  <c r="G3096" i="42" s="1"/>
  <c r="I1411" i="42"/>
  <c r="I1416" i="42"/>
  <c r="I1412" i="42"/>
  <c r="I1417" i="42"/>
  <c r="I1410" i="42"/>
  <c r="G1420" i="42"/>
  <c r="G1421" i="42" s="1"/>
  <c r="D68" i="41" s="1"/>
  <c r="I1393" i="42"/>
  <c r="I1394" i="42"/>
  <c r="I1399" i="42"/>
  <c r="I1395" i="42"/>
  <c r="I1376" i="42"/>
  <c r="I1375" i="42"/>
  <c r="I1377" i="42"/>
  <c r="I1382" i="42"/>
  <c r="I1381" i="42"/>
  <c r="G1387" i="42"/>
  <c r="G1388" i="42" s="1"/>
  <c r="D66" i="41" s="1"/>
  <c r="I1154" i="7" s="1"/>
  <c r="J1154" i="7" s="1"/>
  <c r="K1154" i="7" s="1"/>
  <c r="I1364" i="42"/>
  <c r="G1369" i="42"/>
  <c r="G1370" i="42" s="1"/>
  <c r="D65" i="41" s="1"/>
  <c r="I1343" i="42"/>
  <c r="I1347" i="42"/>
  <c r="I1342" i="42"/>
  <c r="I1341" i="42"/>
  <c r="G1352" i="42"/>
  <c r="G1353" i="42" s="1"/>
  <c r="D64" i="41" s="1"/>
  <c r="G1335" i="42"/>
  <c r="G1336" i="42" s="1"/>
  <c r="D63" i="41" s="1"/>
  <c r="I1309" i="42"/>
  <c r="I1311" i="42"/>
  <c r="I1292" i="42"/>
  <c r="I1293" i="42"/>
  <c r="I1278" i="42"/>
  <c r="G1286" i="42"/>
  <c r="G1287" i="42" s="1"/>
  <c r="D60" i="41" s="1"/>
  <c r="I1250" i="42"/>
  <c r="I1248" i="42"/>
  <c r="I1249" i="42"/>
  <c r="G1258" i="42"/>
  <c r="G1259" i="42" s="1"/>
  <c r="D58" i="41" s="1"/>
  <c r="I1233" i="42"/>
  <c r="I1232" i="42"/>
  <c r="I1234" i="42"/>
  <c r="G1242" i="42"/>
  <c r="G1243" i="42" s="1"/>
  <c r="D57" i="41" s="1"/>
  <c r="I1212" i="42"/>
  <c r="I1199" i="42"/>
  <c r="I1192" i="42"/>
  <c r="I1200" i="42"/>
  <c r="G1206" i="42"/>
  <c r="G1207" i="42" s="1"/>
  <c r="D55" i="41" s="1"/>
  <c r="I1181" i="42"/>
  <c r="I1176" i="42"/>
  <c r="I1182" i="42"/>
  <c r="G1186" i="42"/>
  <c r="G1187" i="42" s="1"/>
  <c r="D54" i="41" s="1"/>
  <c r="I1146" i="42"/>
  <c r="I1140" i="42"/>
  <c r="I1150" i="42"/>
  <c r="I1084" i="42"/>
  <c r="I1086" i="42"/>
  <c r="G1041" i="42"/>
  <c r="G1042" i="42" s="1"/>
  <c r="D45" i="41" s="1"/>
  <c r="I989" i="7" s="1"/>
  <c r="J989" i="7" s="1"/>
  <c r="K989" i="7" s="1"/>
  <c r="I1019" i="42"/>
  <c r="I1013" i="42"/>
  <c r="I1012" i="42"/>
  <c r="I1018" i="42"/>
  <c r="I1014" i="42"/>
  <c r="I1020" i="42"/>
  <c r="G1026" i="42"/>
  <c r="G1027" i="42" s="1"/>
  <c r="D44" i="41" s="1"/>
  <c r="I990" i="42"/>
  <c r="I970" i="42"/>
  <c r="I975" i="42"/>
  <c r="I957" i="42"/>
  <c r="G963" i="42"/>
  <c r="G964" i="42" s="1"/>
  <c r="D41" i="41" s="1"/>
  <c r="I934" i="42"/>
  <c r="I937" i="42"/>
  <c r="I930" i="42"/>
  <c r="I936" i="42"/>
  <c r="I929" i="42"/>
  <c r="I935" i="42"/>
  <c r="I928" i="42"/>
  <c r="G942" i="42"/>
  <c r="G943" i="42" s="1"/>
  <c r="D40" i="41" s="1"/>
  <c r="I916" i="42"/>
  <c r="I911" i="42"/>
  <c r="I912" i="42"/>
  <c r="G922" i="42"/>
  <c r="G923" i="42" s="1"/>
  <c r="D39" i="41" s="1"/>
  <c r="I878" i="42"/>
  <c r="I881" i="42" s="1"/>
  <c r="G886" i="42"/>
  <c r="G887" i="42" s="1"/>
  <c r="D37" i="41" s="1"/>
  <c r="L76" i="7" s="1"/>
  <c r="U76" i="7" s="1"/>
  <c r="I863" i="42"/>
  <c r="I857" i="42"/>
  <c r="I858" i="42"/>
  <c r="I862" i="42"/>
  <c r="G869" i="42"/>
  <c r="G870" i="42" s="1"/>
  <c r="D36" i="41" s="1"/>
  <c r="I839" i="42"/>
  <c r="I821" i="42"/>
  <c r="I826" i="42"/>
  <c r="I785" i="42"/>
  <c r="I788" i="42"/>
  <c r="I789" i="42" s="1"/>
  <c r="G791" i="42"/>
  <c r="G792" i="42" s="1"/>
  <c r="D32" i="41" s="1"/>
  <c r="G779" i="42"/>
  <c r="G780" i="42" s="1"/>
  <c r="D31" i="41" s="1"/>
  <c r="G769" i="42"/>
  <c r="G770" i="42" s="1"/>
  <c r="D30" i="41" s="1"/>
  <c r="I751" i="42"/>
  <c r="G757" i="42"/>
  <c r="G758" i="42" s="1"/>
  <c r="D29" i="41" s="1"/>
  <c r="I1049" i="7" s="1"/>
  <c r="J1049" i="7" s="1"/>
  <c r="I739" i="42"/>
  <c r="G745" i="42"/>
  <c r="G746" i="42" s="1"/>
  <c r="D28" i="41" s="1"/>
  <c r="I727" i="42"/>
  <c r="G733" i="42"/>
  <c r="G734" i="42" s="1"/>
  <c r="D27" i="41" s="1"/>
  <c r="I715" i="42"/>
  <c r="G721" i="42"/>
  <c r="G722" i="42" s="1"/>
  <c r="D26" i="41" s="1"/>
  <c r="F3390" i="42"/>
  <c r="G3390" i="42" s="1"/>
  <c r="E693" i="42"/>
  <c r="D700" i="42" s="1"/>
  <c r="G700" i="42" s="1"/>
  <c r="E694" i="42"/>
  <c r="D701" i="42" s="1"/>
  <c r="G701" i="42" s="1"/>
  <c r="G633" i="42"/>
  <c r="G634" i="42" s="1"/>
  <c r="D230" i="41" s="1"/>
  <c r="I615" i="42"/>
  <c r="I627" i="42"/>
  <c r="G621" i="42"/>
  <c r="G622" i="42" s="1"/>
  <c r="D24" i="41" s="1"/>
  <c r="I604" i="42"/>
  <c r="G609" i="42"/>
  <c r="G610" i="42" s="1"/>
  <c r="D23" i="41" s="1"/>
  <c r="I588" i="42"/>
  <c r="I590" i="42"/>
  <c r="I589" i="42"/>
  <c r="G596" i="42"/>
  <c r="G597" i="42" s="1"/>
  <c r="D171" i="41" s="1"/>
  <c r="I573" i="42"/>
  <c r="I554" i="42"/>
  <c r="I539" i="42"/>
  <c r="I542" i="42"/>
  <c r="I543" i="42" s="1"/>
  <c r="G545" i="42"/>
  <c r="G546" i="42" s="1"/>
  <c r="D22" i="41" s="1"/>
  <c r="I528" i="42"/>
  <c r="I529" i="42" s="1"/>
  <c r="I525" i="42"/>
  <c r="G531" i="42"/>
  <c r="G532" i="42" s="1"/>
  <c r="D21" i="41" s="1"/>
  <c r="I512" i="42"/>
  <c r="G517" i="42"/>
  <c r="G518" i="42" s="1"/>
  <c r="D20" i="41" s="1"/>
  <c r="I499" i="42"/>
  <c r="G504" i="42"/>
  <c r="G505" i="42" s="1"/>
  <c r="D19" i="41" s="1"/>
  <c r="I486" i="42"/>
  <c r="G491" i="42"/>
  <c r="G492" i="42" s="1"/>
  <c r="D18" i="41" s="1"/>
  <c r="L75" i="7" s="1"/>
  <c r="U75" i="7" s="1"/>
  <c r="G471" i="42"/>
  <c r="G379" i="42"/>
  <c r="D380" i="42"/>
  <c r="G380" i="42" s="1"/>
  <c r="G367" i="42"/>
  <c r="D368" i="42"/>
  <c r="G368" i="42" s="1"/>
  <c r="G354" i="42"/>
  <c r="D355" i="42"/>
  <c r="G355" i="42" s="1"/>
  <c r="G342" i="42"/>
  <c r="D343" i="42"/>
  <c r="G343" i="42" s="1"/>
  <c r="G330" i="42"/>
  <c r="D331" i="42"/>
  <c r="G331" i="42" s="1"/>
  <c r="G317" i="42"/>
  <c r="D318" i="42"/>
  <c r="G318" i="42" s="1"/>
  <c r="G305" i="42"/>
  <c r="D306" i="42"/>
  <c r="G306" i="42" s="1"/>
  <c r="G293" i="42"/>
  <c r="D294" i="42"/>
  <c r="G294" i="42" s="1"/>
  <c r="G281" i="42"/>
  <c r="D282" i="42"/>
  <c r="G282" i="42" s="1"/>
  <c r="G269" i="42"/>
  <c r="D270" i="42"/>
  <c r="G270" i="42" s="1"/>
  <c r="D345" i="42"/>
  <c r="G231" i="42"/>
  <c r="D256" i="42"/>
  <c r="D257" i="42" s="1"/>
  <c r="I156" i="42"/>
  <c r="G161" i="42"/>
  <c r="G162" i="42" s="1"/>
  <c r="D13" i="41" s="1"/>
  <c r="I52" i="7" s="1"/>
  <c r="J52" i="7" s="1"/>
  <c r="K52" i="7" s="1"/>
  <c r="I141" i="42"/>
  <c r="I139" i="42"/>
  <c r="I145" i="42"/>
  <c r="I140" i="42"/>
  <c r="G148" i="42"/>
  <c r="G149" i="42" s="1"/>
  <c r="D12" i="41" s="1"/>
  <c r="I53" i="7" s="1"/>
  <c r="J53" i="7" s="1"/>
  <c r="K53" i="7" s="1"/>
  <c r="I124" i="42"/>
  <c r="I122" i="42"/>
  <c r="I128" i="42"/>
  <c r="I117" i="42"/>
  <c r="I121" i="42"/>
  <c r="I123" i="42"/>
  <c r="G131" i="42"/>
  <c r="G132" i="42" s="1"/>
  <c r="D11" i="41" s="1"/>
  <c r="I108" i="42"/>
  <c r="I104" i="42"/>
  <c r="I103" i="42"/>
  <c r="G111" i="42"/>
  <c r="G112" i="42" s="1"/>
  <c r="D10" i="41" s="1"/>
  <c r="I89" i="42"/>
  <c r="I83" i="42"/>
  <c r="I59" i="42"/>
  <c r="I58" i="42"/>
  <c r="I67" i="42"/>
  <c r="I69" i="42"/>
  <c r="G76" i="42"/>
  <c r="G77" i="42" s="1"/>
  <c r="D8" i="41" s="1"/>
  <c r="I18" i="7" s="1"/>
  <c r="J18" i="7" s="1"/>
  <c r="K18" i="7" s="1"/>
  <c r="I61" i="42"/>
  <c r="I62" i="42"/>
  <c r="I63" i="42"/>
  <c r="A1096" i="42"/>
  <c r="A1107" i="42"/>
  <c r="A1122" i="42" s="1"/>
  <c r="A1137" i="42" s="1"/>
  <c r="A1156" i="42" s="1"/>
  <c r="A1172" i="42" s="1"/>
  <c r="A1189" i="42" s="1"/>
  <c r="A1209" i="42" s="1"/>
  <c r="A1229" i="42" s="1"/>
  <c r="A1245" i="42" s="1"/>
  <c r="A1261" i="42" s="1"/>
  <c r="A1275" i="42" s="1"/>
  <c r="I38" i="42"/>
  <c r="I37" i="42"/>
  <c r="I44" i="42"/>
  <c r="I39" i="42"/>
  <c r="I43" i="42"/>
  <c r="I45" i="42"/>
  <c r="I36" i="42"/>
  <c r="I46" i="42"/>
  <c r="G52" i="42"/>
  <c r="G53" i="42" s="1"/>
  <c r="D7" i="41" s="1"/>
  <c r="I16" i="7" s="1"/>
  <c r="J16" i="7" s="1"/>
  <c r="K16" i="7" s="1"/>
  <c r="I23" i="42"/>
  <c r="I9" i="42"/>
  <c r="I10" i="42"/>
  <c r="I18" i="42"/>
  <c r="I19" i="42"/>
  <c r="I20" i="42"/>
  <c r="I21" i="42"/>
  <c r="N53" i="29"/>
  <c r="N54" i="29" s="1"/>
  <c r="P54" i="29" s="1"/>
  <c r="C46" i="29"/>
  <c r="N46" i="29" s="1"/>
  <c r="C57" i="29"/>
  <c r="N18" i="29"/>
  <c r="P18" i="29" s="1"/>
  <c r="M19" i="29"/>
  <c r="N242" i="28"/>
  <c r="P212" i="28"/>
  <c r="C87" i="28"/>
  <c r="N84" i="28"/>
  <c r="N85" i="28" s="1"/>
  <c r="P85" i="28" s="1"/>
  <c r="N79" i="28"/>
  <c r="P79" i="28" s="1"/>
  <c r="M80" i="28"/>
  <c r="N80" i="28" s="1"/>
  <c r="P80" i="28" s="1"/>
  <c r="M81" i="28"/>
  <c r="N81" i="28" s="1"/>
  <c r="P81" i="28" s="1"/>
  <c r="M205" i="27"/>
  <c r="C209" i="27"/>
  <c r="L21" i="20"/>
  <c r="L97" i="20"/>
  <c r="C36" i="19"/>
  <c r="M36" i="19" s="1"/>
  <c r="M55" i="19"/>
  <c r="C60" i="19"/>
  <c r="M60" i="19" s="1"/>
  <c r="M47" i="19"/>
  <c r="K51" i="19"/>
  <c r="M51" i="19" s="1"/>
  <c r="N74" i="40"/>
  <c r="E80" i="40"/>
  <c r="N73" i="40"/>
  <c r="E78" i="40"/>
  <c r="N43" i="40"/>
  <c r="C47" i="40"/>
  <c r="N37" i="40"/>
  <c r="N39" i="40" s="1"/>
  <c r="C42" i="40"/>
  <c r="M326" i="39"/>
  <c r="C328" i="39"/>
  <c r="M328" i="39" s="1"/>
  <c r="A314" i="39"/>
  <c r="A329" i="39"/>
  <c r="A333" i="39" s="1"/>
  <c r="A337" i="39" s="1"/>
  <c r="A341" i="39" s="1"/>
  <c r="A348" i="39" s="1"/>
  <c r="A349" i="39" s="1"/>
  <c r="M245" i="39"/>
  <c r="E246" i="39"/>
  <c r="M232" i="39"/>
  <c r="K231" i="39"/>
  <c r="M231" i="39" s="1"/>
  <c r="C169" i="39"/>
  <c r="M145" i="39"/>
  <c r="K146" i="39"/>
  <c r="M146" i="39" s="1"/>
  <c r="C96" i="39"/>
  <c r="M73" i="39"/>
  <c r="E74" i="39"/>
  <c r="C83" i="39"/>
  <c r="C82" i="39"/>
  <c r="C81" i="39"/>
  <c r="C80" i="39"/>
  <c r="M36" i="39"/>
  <c r="M37" i="39" s="1"/>
  <c r="M58" i="39" s="1"/>
  <c r="M59" i="39" s="1"/>
  <c r="M61" i="39" s="1"/>
  <c r="D42" i="39"/>
  <c r="M41" i="39"/>
  <c r="D47" i="39"/>
  <c r="M47" i="39" s="1"/>
  <c r="M139" i="39"/>
  <c r="L140" i="39"/>
  <c r="C190" i="38"/>
  <c r="M182" i="38"/>
  <c r="M183" i="38" s="1"/>
  <c r="M186" i="38"/>
  <c r="M187" i="38" s="1"/>
  <c r="M188" i="38" s="1"/>
  <c r="M189" i="38" s="1"/>
  <c r="M190" i="38" s="1"/>
  <c r="M191" i="38" s="1"/>
  <c r="N177" i="38"/>
  <c r="C182" i="38"/>
  <c r="N176" i="38"/>
  <c r="C181" i="38"/>
  <c r="N143" i="38"/>
  <c r="C145" i="38"/>
  <c r="N142" i="38"/>
  <c r="C144" i="38"/>
  <c r="N127" i="38"/>
  <c r="M128" i="38"/>
  <c r="N121" i="38"/>
  <c r="F120" i="38"/>
  <c r="N120" i="38" s="1"/>
  <c r="N90" i="38"/>
  <c r="N88" i="38" s="1"/>
  <c r="P88" i="38" s="1"/>
  <c r="F93" i="38"/>
  <c r="N93" i="38" s="1"/>
  <c r="N91" i="38" s="1"/>
  <c r="P91" i="38" s="1"/>
  <c r="C99" i="38"/>
  <c r="N98" i="38"/>
  <c r="P98" i="38" s="1"/>
  <c r="E101" i="38"/>
  <c r="N101" i="38" s="1"/>
  <c r="P101" i="38" s="1"/>
  <c r="N63" i="38"/>
  <c r="N64" i="38" s="1"/>
  <c r="P64" i="38" s="1"/>
  <c r="C67" i="38"/>
  <c r="N32" i="37"/>
  <c r="P32" i="37" s="1"/>
  <c r="C33" i="37"/>
  <c r="N20" i="37"/>
  <c r="P20" i="37" s="1"/>
  <c r="M21" i="37"/>
  <c r="M512" i="36"/>
  <c r="L513" i="36"/>
  <c r="M502" i="36"/>
  <c r="L503" i="36"/>
  <c r="M491" i="36"/>
  <c r="L492" i="36"/>
  <c r="M475" i="36"/>
  <c r="M476" i="36" s="1"/>
  <c r="C479" i="36"/>
  <c r="M479" i="36" s="1"/>
  <c r="M423" i="36"/>
  <c r="L424" i="36"/>
  <c r="M424" i="36" s="1"/>
  <c r="M418" i="36"/>
  <c r="C508" i="36"/>
  <c r="M508" i="36" s="1"/>
  <c r="M510" i="36" s="1"/>
  <c r="M417" i="36"/>
  <c r="C498" i="36"/>
  <c r="M498" i="36" s="1"/>
  <c r="M500" i="36" s="1"/>
  <c r="M409" i="36"/>
  <c r="D416" i="36"/>
  <c r="M416" i="36" s="1"/>
  <c r="M284" i="36"/>
  <c r="M285" i="36" s="1"/>
  <c r="K290" i="36"/>
  <c r="M290" i="36" s="1"/>
  <c r="M291" i="36" s="1"/>
  <c r="M293" i="36"/>
  <c r="E294" i="36"/>
  <c r="M294" i="36" s="1"/>
  <c r="M239" i="36"/>
  <c r="M241" i="36" s="1"/>
  <c r="C254" i="36"/>
  <c r="M109" i="36"/>
  <c r="C110" i="36"/>
  <c r="C67" i="36"/>
  <c r="M67" i="36" s="1"/>
  <c r="C66" i="36"/>
  <c r="M66" i="36" s="1"/>
  <c r="M58" i="36"/>
  <c r="C65" i="36"/>
  <c r="M65" i="36" s="1"/>
  <c r="M57" i="36"/>
  <c r="C64" i="36"/>
  <c r="M64" i="36" s="1"/>
  <c r="M56" i="36"/>
  <c r="C63" i="36"/>
  <c r="M63" i="36" s="1"/>
  <c r="M37" i="36"/>
  <c r="D38" i="36"/>
  <c r="D52" i="36"/>
  <c r="M30" i="36"/>
  <c r="L31" i="36"/>
  <c r="M31" i="36" s="1"/>
  <c r="N122" i="35"/>
  <c r="C123" i="35"/>
  <c r="N98" i="35"/>
  <c r="N99" i="35" s="1"/>
  <c r="P99" i="35" s="1"/>
  <c r="C102" i="35"/>
  <c r="N103" i="35" s="1"/>
  <c r="N104" i="35" s="1"/>
  <c r="P104" i="35" s="1"/>
  <c r="N56" i="35"/>
  <c r="C57" i="35"/>
  <c r="N57" i="35" s="1"/>
  <c r="C61" i="35"/>
  <c r="N39" i="35"/>
  <c r="P39" i="35" s="1"/>
  <c r="C40" i="35"/>
  <c r="N54" i="35"/>
  <c r="C55" i="35"/>
  <c r="N55" i="35" s="1"/>
  <c r="C60" i="35"/>
  <c r="M18" i="35"/>
  <c r="L19" i="35"/>
  <c r="I73" i="34"/>
  <c r="C74" i="34"/>
  <c r="I74" i="34" s="1"/>
  <c r="C57" i="34"/>
  <c r="I47" i="34"/>
  <c r="C52" i="34"/>
  <c r="I46" i="34"/>
  <c r="C51" i="34"/>
  <c r="I45" i="34"/>
  <c r="C50" i="34"/>
  <c r="I44" i="34"/>
  <c r="C49" i="34"/>
  <c r="N311" i="33"/>
  <c r="E312" i="33"/>
  <c r="N312" i="33" s="1"/>
  <c r="N296" i="33"/>
  <c r="D298" i="33"/>
  <c r="N298" i="33" s="1"/>
  <c r="N295" i="33"/>
  <c r="N302" i="33" s="1"/>
  <c r="D297" i="33"/>
  <c r="N297" i="33" s="1"/>
  <c r="N316" i="33"/>
  <c r="N317" i="33" s="1"/>
  <c r="M326" i="33"/>
  <c r="N266" i="33"/>
  <c r="P266" i="33" s="1"/>
  <c r="M267" i="33"/>
  <c r="N245" i="33"/>
  <c r="C249" i="33"/>
  <c r="N244" i="33"/>
  <c r="C248" i="33"/>
  <c r="N166" i="33"/>
  <c r="E168" i="33"/>
  <c r="N161" i="33"/>
  <c r="D163" i="33"/>
  <c r="N163" i="33" s="1"/>
  <c r="N160" i="33"/>
  <c r="D162" i="33"/>
  <c r="N162" i="33" s="1"/>
  <c r="N187" i="33"/>
  <c r="N188" i="33" s="1"/>
  <c r="P188" i="33" s="1"/>
  <c r="N193" i="33" s="1"/>
  <c r="P193" i="33" s="1"/>
  <c r="M189" i="33"/>
  <c r="N116" i="33"/>
  <c r="M117" i="33"/>
  <c r="N63" i="33"/>
  <c r="C68" i="33"/>
  <c r="N62" i="33"/>
  <c r="C67" i="33"/>
  <c r="N61" i="33"/>
  <c r="C66" i="33"/>
  <c r="B139" i="33"/>
  <c r="B145" i="33"/>
  <c r="N50" i="33"/>
  <c r="D51" i="33"/>
  <c r="N130" i="30"/>
  <c r="N131" i="30" s="1"/>
  <c r="P131" i="30" s="1"/>
  <c r="L149" i="30"/>
  <c r="N149" i="30" s="1"/>
  <c r="L134" i="30"/>
  <c r="L152" i="30"/>
  <c r="C104" i="30"/>
  <c r="N104" i="30" s="1"/>
  <c r="N99" i="30"/>
  <c r="N52" i="30"/>
  <c r="C56" i="30"/>
  <c r="C46" i="30"/>
  <c r="N46" i="30" s="1"/>
  <c r="N51" i="30"/>
  <c r="C55" i="30"/>
  <c r="C45" i="30"/>
  <c r="N45" i="30" s="1"/>
  <c r="C65" i="28"/>
  <c r="N57" i="28"/>
  <c r="F61" i="28"/>
  <c r="N61" i="28" s="1"/>
  <c r="C278" i="27"/>
  <c r="M278" i="27" s="1"/>
  <c r="M65" i="27"/>
  <c r="M66" i="27" s="1"/>
  <c r="C68" i="27"/>
  <c r="M121" i="27"/>
  <c r="D123" i="27"/>
  <c r="D124" i="27" s="1"/>
  <c r="C123" i="27"/>
  <c r="M120" i="27"/>
  <c r="C87" i="27"/>
  <c r="M84" i="27"/>
  <c r="M85" i="27" s="1"/>
  <c r="N203" i="26"/>
  <c r="C204" i="26"/>
  <c r="C220" i="26"/>
  <c r="N220" i="26" s="1"/>
  <c r="C207" i="26"/>
  <c r="C211" i="26"/>
  <c r="N211" i="26" s="1"/>
  <c r="N151" i="26"/>
  <c r="N152" i="26" s="1"/>
  <c r="P152" i="26" s="1"/>
  <c r="M154" i="26"/>
  <c r="M157" i="26" s="1"/>
  <c r="N157" i="26" s="1"/>
  <c r="N158" i="26" s="1"/>
  <c r="P158" i="26" s="1"/>
  <c r="C64" i="26"/>
  <c r="F60" i="26"/>
  <c r="N60" i="26" s="1"/>
  <c r="N56" i="26"/>
  <c r="C20" i="20"/>
  <c r="M20" i="20" s="1"/>
  <c r="E1166" i="7" s="1"/>
  <c r="W1166" i="7" s="1"/>
  <c r="M19" i="20"/>
  <c r="E1165" i="7" s="1"/>
  <c r="W1165" i="7" s="1"/>
  <c r="C128" i="19"/>
  <c r="C150" i="19"/>
  <c r="M150" i="19" s="1"/>
  <c r="M127" i="19"/>
  <c r="H1118" i="7"/>
  <c r="M1118" i="7"/>
  <c r="H1119" i="7"/>
  <c r="M1119" i="7"/>
  <c r="C243" i="17"/>
  <c r="M243" i="17" s="1"/>
  <c r="M241" i="17"/>
  <c r="N190" i="11"/>
  <c r="P190" i="11" s="1"/>
  <c r="E275" i="7" s="1"/>
  <c r="W275" i="7" s="1"/>
  <c r="Y275" i="7" s="1"/>
  <c r="C191" i="11"/>
  <c r="N191" i="11" s="1"/>
  <c r="P191" i="11" s="1"/>
  <c r="E276" i="7" s="1"/>
  <c r="W276" i="7" s="1"/>
  <c r="Y276" i="7" s="1"/>
  <c r="C197" i="11"/>
  <c r="N197" i="11" s="1"/>
  <c r="P197" i="11" s="1"/>
  <c r="E282" i="7" s="1"/>
  <c r="W282" i="7" s="1"/>
  <c r="Y282" i="7" s="1"/>
  <c r="C255" i="11"/>
  <c r="N255" i="11" s="1"/>
  <c r="N194" i="11"/>
  <c r="P194" i="11" s="1"/>
  <c r="E279" i="7" s="1"/>
  <c r="W279" i="7" s="1"/>
  <c r="Y279" i="7" s="1"/>
  <c r="C195" i="11"/>
  <c r="C201" i="11"/>
  <c r="N216" i="11"/>
  <c r="P216" i="11" s="1"/>
  <c r="E289" i="7" s="1"/>
  <c r="W289" i="7" s="1"/>
  <c r="Y289" i="7" s="1"/>
  <c r="C217" i="11"/>
  <c r="D218" i="11"/>
  <c r="D252" i="11" s="1"/>
  <c r="C218" i="11"/>
  <c r="M274" i="7"/>
  <c r="H274" i="7"/>
  <c r="H318" i="32"/>
  <c r="D319" i="32"/>
  <c r="H319" i="32" s="1"/>
  <c r="H267" i="32"/>
  <c r="C268" i="32"/>
  <c r="H268" i="32" s="1"/>
  <c r="H273" i="32"/>
  <c r="D274" i="32"/>
  <c r="H260" i="32"/>
  <c r="C261" i="32"/>
  <c r="H213" i="32"/>
  <c r="F214" i="32"/>
  <c r="H214" i="32" s="1"/>
  <c r="J214" i="32" s="1"/>
  <c r="H216" i="32"/>
  <c r="J216" i="32" s="1"/>
  <c r="C217" i="32"/>
  <c r="H217" i="32" s="1"/>
  <c r="J217" i="32" s="1"/>
  <c r="H172" i="32"/>
  <c r="G173" i="32"/>
  <c r="H173" i="32" s="1"/>
  <c r="H145" i="32"/>
  <c r="H141" i="32" s="1"/>
  <c r="J141" i="32" s="1"/>
  <c r="G146" i="32"/>
  <c r="J120" i="32"/>
  <c r="H121" i="32"/>
  <c r="J121" i="32" s="1"/>
  <c r="A306" i="32"/>
  <c r="A354" i="32"/>
  <c r="A357" i="32" s="1"/>
  <c r="A360" i="32" s="1"/>
  <c r="H76" i="32"/>
  <c r="C77" i="32"/>
  <c r="H59" i="32"/>
  <c r="C60" i="32"/>
  <c r="B35" i="32"/>
  <c r="B54" i="32" s="1"/>
  <c r="B70" i="32" s="1"/>
  <c r="B86" i="32" s="1"/>
  <c r="B53" i="32"/>
  <c r="B69" i="32" s="1"/>
  <c r="B85" i="32" s="1"/>
  <c r="H25" i="32"/>
  <c r="D26" i="32"/>
  <c r="N203" i="30"/>
  <c r="C207" i="30"/>
  <c r="N207" i="30" s="1"/>
  <c r="P202" i="30"/>
  <c r="N204" i="30"/>
  <c r="C205" i="30"/>
  <c r="N120" i="30"/>
  <c r="P120" i="30" s="1"/>
  <c r="E215" i="30"/>
  <c r="N98" i="30"/>
  <c r="C103" i="30"/>
  <c r="N103" i="30" s="1"/>
  <c r="N97" i="30"/>
  <c r="C102" i="30"/>
  <c r="N102" i="30" s="1"/>
  <c r="N16" i="30"/>
  <c r="P16" i="30" s="1"/>
  <c r="C17" i="30"/>
  <c r="N17" i="30" s="1"/>
  <c r="P17" i="30" s="1"/>
  <c r="N82" i="29"/>
  <c r="P82" i="29" s="1"/>
  <c r="M83" i="29"/>
  <c r="N83" i="29" s="1"/>
  <c r="P83" i="29" s="1"/>
  <c r="M84" i="29"/>
  <c r="N84" i="29" s="1"/>
  <c r="P84" i="29" s="1"/>
  <c r="M206" i="27"/>
  <c r="C210" i="27"/>
  <c r="M210" i="27" s="1"/>
  <c r="H1190" i="7"/>
  <c r="M1190" i="7"/>
  <c r="H1191" i="7"/>
  <c r="M1191" i="7"/>
  <c r="H1184" i="7"/>
  <c r="M1184" i="7"/>
  <c r="H1185" i="7"/>
  <c r="M1185" i="7"/>
  <c r="L108" i="20"/>
  <c r="L112" i="20"/>
  <c r="L116" i="20" s="1"/>
  <c r="L120" i="20" s="1"/>
  <c r="E184" i="17"/>
  <c r="M181" i="17"/>
  <c r="O181" i="17" s="1"/>
  <c r="E1035" i="7" s="1"/>
  <c r="W1035" i="7" s="1"/>
  <c r="Y1035" i="7" s="1"/>
  <c r="Y1039" i="7" s="1"/>
  <c r="H1032" i="7"/>
  <c r="M1032" i="7"/>
  <c r="M121" i="17"/>
  <c r="O120" i="17"/>
  <c r="E1002" i="7" s="1"/>
  <c r="W1002" i="7" s="1"/>
  <c r="C149" i="17"/>
  <c r="M149" i="17" s="1"/>
  <c r="M141" i="17"/>
  <c r="C147" i="17"/>
  <c r="M147" i="17" s="1"/>
  <c r="M139" i="17"/>
  <c r="M256" i="25"/>
  <c r="M257" i="25" s="1"/>
  <c r="O257" i="25" s="1"/>
  <c r="L259" i="25"/>
  <c r="L262" i="25" s="1"/>
  <c r="M262" i="25" s="1"/>
  <c r="M263" i="25" s="1"/>
  <c r="O263" i="25" s="1"/>
  <c r="K245" i="25"/>
  <c r="M245" i="25" s="1"/>
  <c r="K259" i="25"/>
  <c r="C198" i="25"/>
  <c r="M159" i="25"/>
  <c r="L160" i="25"/>
  <c r="M160" i="25" s="1"/>
  <c r="L161" i="25"/>
  <c r="M161" i="25" s="1"/>
  <c r="C109" i="25"/>
  <c r="L103" i="25"/>
  <c r="L109" i="25"/>
  <c r="C77" i="25"/>
  <c r="L102" i="25"/>
  <c r="L108" i="25"/>
  <c r="M65" i="25"/>
  <c r="C76" i="25"/>
  <c r="M63" i="25"/>
  <c r="C74" i="25"/>
  <c r="L101" i="25"/>
  <c r="L120" i="25" s="1"/>
  <c r="L107" i="25"/>
  <c r="M62" i="25"/>
  <c r="C73" i="25"/>
  <c r="L100" i="25"/>
  <c r="L106" i="25"/>
  <c r="M61" i="25"/>
  <c r="C72" i="25"/>
  <c r="M57" i="25"/>
  <c r="C68" i="25"/>
  <c r="M56" i="25"/>
  <c r="C67" i="25"/>
  <c r="M44" i="25"/>
  <c r="M47" i="25" s="1"/>
  <c r="D55" i="25"/>
  <c r="M20" i="25"/>
  <c r="L21" i="25"/>
  <c r="H947" i="7"/>
  <c r="M947" i="7"/>
  <c r="H939" i="7"/>
  <c r="M939" i="7"/>
  <c r="M264" i="24"/>
  <c r="O264" i="24" s="1"/>
  <c r="E940" i="7" s="1"/>
  <c r="W940" i="7" s="1"/>
  <c r="L265" i="24"/>
  <c r="H925" i="7"/>
  <c r="M925" i="7"/>
  <c r="H924" i="7"/>
  <c r="M924" i="7"/>
  <c r="H915" i="7"/>
  <c r="M915" i="7"/>
  <c r="H916" i="7"/>
  <c r="M916" i="7"/>
  <c r="M189" i="24"/>
  <c r="K190" i="24"/>
  <c r="H898" i="7"/>
  <c r="M898" i="7"/>
  <c r="M153" i="24"/>
  <c r="M154" i="24" s="1"/>
  <c r="O154" i="24" s="1"/>
  <c r="L156" i="24"/>
  <c r="H884" i="7"/>
  <c r="M884" i="7"/>
  <c r="E885" i="7"/>
  <c r="W885" i="7" s="1"/>
  <c r="M100" i="24"/>
  <c r="O100" i="24" s="1"/>
  <c r="E886" i="7" s="1"/>
  <c r="W886" i="7" s="1"/>
  <c r="C101" i="24"/>
  <c r="M101" i="24" s="1"/>
  <c r="O101" i="24" s="1"/>
  <c r="E887" i="7" s="1"/>
  <c r="W887" i="7" s="1"/>
  <c r="H880" i="7"/>
  <c r="M880" i="7"/>
  <c r="H882" i="7"/>
  <c r="M882" i="7"/>
  <c r="H876" i="7"/>
  <c r="M876" i="7"/>
  <c r="H881" i="7"/>
  <c r="M881" i="7"/>
  <c r="L75" i="24"/>
  <c r="L81" i="24"/>
  <c r="L108" i="24" s="1"/>
  <c r="M65" i="24"/>
  <c r="K70" i="24"/>
  <c r="M70" i="24" s="1"/>
  <c r="C75" i="24"/>
  <c r="C81" i="24"/>
  <c r="L74" i="24"/>
  <c r="L80" i="24"/>
  <c r="L106" i="24" s="1"/>
  <c r="K69" i="24"/>
  <c r="M69" i="24" s="1"/>
  <c r="C74" i="24"/>
  <c r="C80" i="24"/>
  <c r="L73" i="24"/>
  <c r="L79" i="24"/>
  <c r="L104" i="24" s="1"/>
  <c r="M63" i="24"/>
  <c r="K68" i="24"/>
  <c r="M68" i="24" s="1"/>
  <c r="C73" i="24"/>
  <c r="C79" i="24"/>
  <c r="M36" i="24"/>
  <c r="D37" i="24"/>
  <c r="D41" i="24"/>
  <c r="M41" i="24" s="1"/>
  <c r="H1342" i="7"/>
  <c r="M1342" i="7"/>
  <c r="H1343" i="7"/>
  <c r="M1343" i="7"/>
  <c r="N465" i="21"/>
  <c r="C467" i="21"/>
  <c r="N467" i="21" s="1"/>
  <c r="N398" i="21"/>
  <c r="C452" i="21"/>
  <c r="N452" i="21" s="1"/>
  <c r="N395" i="21"/>
  <c r="C449" i="21"/>
  <c r="N449" i="21" s="1"/>
  <c r="N394" i="21"/>
  <c r="C448" i="21"/>
  <c r="N448" i="21" s="1"/>
  <c r="N364" i="21"/>
  <c r="C418" i="21"/>
  <c r="N418" i="21" s="1"/>
  <c r="N362" i="21"/>
  <c r="C416" i="21"/>
  <c r="N416" i="21" s="1"/>
  <c r="N361" i="21"/>
  <c r="C415" i="21"/>
  <c r="N415" i="21" s="1"/>
  <c r="N356" i="21"/>
  <c r="C410" i="21"/>
  <c r="N410" i="21" s="1"/>
  <c r="N355" i="21"/>
  <c r="C409" i="21"/>
  <c r="N409" i="21" s="1"/>
  <c r="N306" i="21"/>
  <c r="E308" i="21"/>
  <c r="E253" i="21"/>
  <c r="E255" i="21"/>
  <c r="N252" i="21"/>
  <c r="D253" i="21"/>
  <c r="D255" i="21"/>
  <c r="N197" i="21"/>
  <c r="D200" i="21"/>
  <c r="N196" i="21"/>
  <c r="D199" i="21"/>
  <c r="N179" i="21"/>
  <c r="L180" i="21"/>
  <c r="N180" i="21" s="1"/>
  <c r="N183" i="21"/>
  <c r="M184" i="21"/>
  <c r="C60" i="21"/>
  <c r="C104" i="21"/>
  <c r="F105" i="21" s="1"/>
  <c r="C156" i="21"/>
  <c r="N156" i="21" s="1"/>
  <c r="N53" i="21"/>
  <c r="C54" i="21"/>
  <c r="C85" i="21"/>
  <c r="C86" i="21" s="1"/>
  <c r="C150" i="21"/>
  <c r="N150" i="21" s="1"/>
  <c r="N83" i="21"/>
  <c r="F84" i="21"/>
  <c r="N84" i="21" s="1"/>
  <c r="H1267" i="7"/>
  <c r="M1267" i="7"/>
  <c r="H1266" i="7"/>
  <c r="M1266" i="7"/>
  <c r="A228" i="20"/>
  <c r="A229" i="20" s="1"/>
  <c r="A230" i="20"/>
  <c r="A239" i="20" s="1"/>
  <c r="A243" i="20" s="1"/>
  <c r="A247" i="20" s="1"/>
  <c r="A248" i="20" s="1"/>
  <c r="A249" i="20" s="1"/>
  <c r="A250" i="20" s="1"/>
  <c r="A251" i="20" s="1"/>
  <c r="A252" i="20" s="1"/>
  <c r="A253" i="20" s="1"/>
  <c r="A254" i="20" s="1"/>
  <c r="A255" i="20" s="1"/>
  <c r="A256" i="20" s="1"/>
  <c r="A257" i="20" s="1"/>
  <c r="A258" i="20" s="1"/>
  <c r="A259" i="20" s="1"/>
  <c r="A260" i="20" s="1"/>
  <c r="A261" i="20" s="1"/>
  <c r="A262" i="20" s="1"/>
  <c r="M207" i="20"/>
  <c r="J208" i="20"/>
  <c r="M208" i="20" s="1"/>
  <c r="M224" i="20"/>
  <c r="L225" i="20"/>
  <c r="M190" i="20"/>
  <c r="E1246" i="7" s="1"/>
  <c r="W1246" i="7" s="1"/>
  <c r="E1245" i="7"/>
  <c r="W1245" i="7" s="1"/>
  <c r="M191" i="20"/>
  <c r="E1247" i="7" s="1"/>
  <c r="W1247" i="7" s="1"/>
  <c r="C192" i="20"/>
  <c r="C195" i="20"/>
  <c r="H1250" i="7"/>
  <c r="M1250" i="7"/>
  <c r="H1241" i="7"/>
  <c r="M1241" i="7"/>
  <c r="M184" i="20"/>
  <c r="E1242" i="7" s="1"/>
  <c r="W1242" i="7" s="1"/>
  <c r="C185" i="20"/>
  <c r="M185" i="20" s="1"/>
  <c r="E1243" i="7" s="1"/>
  <c r="W1243" i="7" s="1"/>
  <c r="H1239" i="7"/>
  <c r="M1239" i="7"/>
  <c r="H1238" i="7"/>
  <c r="M1238" i="7"/>
  <c r="H1236" i="7"/>
  <c r="M1236" i="7"/>
  <c r="H1235" i="7"/>
  <c r="M1235" i="7"/>
  <c r="M160" i="20"/>
  <c r="M161" i="20" s="1"/>
  <c r="E1228" i="7" s="1"/>
  <c r="W1228" i="7" s="1"/>
  <c r="L163" i="20"/>
  <c r="M163" i="20" s="1"/>
  <c r="M164" i="20" s="1"/>
  <c r="E1229" i="7" s="1"/>
  <c r="W1229" i="7" s="1"/>
  <c r="H1230" i="7"/>
  <c r="M1230" i="7"/>
  <c r="H1223" i="7"/>
  <c r="M1223" i="7"/>
  <c r="H1193" i="7"/>
  <c r="M1193" i="7"/>
  <c r="H1173" i="7"/>
  <c r="M1173" i="7"/>
  <c r="M39" i="20"/>
  <c r="C43" i="20"/>
  <c r="N32" i="18"/>
  <c r="C37" i="18"/>
  <c r="N37" i="18" s="1"/>
  <c r="C286" i="17"/>
  <c r="M282" i="17"/>
  <c r="H1055" i="7"/>
  <c r="M1055" i="7"/>
  <c r="H1056" i="7"/>
  <c r="M1056" i="7"/>
  <c r="H1024" i="7"/>
  <c r="M1024" i="7"/>
  <c r="H1025" i="7"/>
  <c r="M1025" i="7"/>
  <c r="H1005" i="7"/>
  <c r="M1005" i="7"/>
  <c r="K129" i="17"/>
  <c r="M129" i="17" s="1"/>
  <c r="O129" i="17" s="1"/>
  <c r="E1007" i="7" s="1"/>
  <c r="W1007" i="7" s="1"/>
  <c r="C131" i="17"/>
  <c r="M131" i="17" s="1"/>
  <c r="M128" i="17"/>
  <c r="O128" i="17" s="1"/>
  <c r="E1006" i="7" s="1"/>
  <c r="W1006" i="7" s="1"/>
  <c r="K130" i="17"/>
  <c r="M130" i="17" s="1"/>
  <c r="O130" i="17" s="1"/>
  <c r="E1008" i="7" s="1"/>
  <c r="W1008" i="7" s="1"/>
  <c r="M41" i="17"/>
  <c r="C45" i="17"/>
  <c r="C61" i="17"/>
  <c r="M61" i="17" s="1"/>
  <c r="M40" i="17"/>
  <c r="C44" i="17"/>
  <c r="C60" i="17"/>
  <c r="M60" i="17" s="1"/>
  <c r="M33" i="17"/>
  <c r="M34" i="17" s="1"/>
  <c r="O34" i="17" s="1"/>
  <c r="E975" i="7" s="1"/>
  <c r="W975" i="7" s="1"/>
  <c r="D37" i="17"/>
  <c r="M37" i="17" s="1"/>
  <c r="H966" i="7"/>
  <c r="M966" i="7"/>
  <c r="M19" i="17"/>
  <c r="O19" i="17" s="1"/>
  <c r="E967" i="7" s="1"/>
  <c r="W967" i="7" s="1"/>
  <c r="C20" i="17"/>
  <c r="M20" i="17" s="1"/>
  <c r="O20" i="17" s="1"/>
  <c r="E968" i="7" s="1"/>
  <c r="W968" i="7" s="1"/>
  <c r="C23" i="17"/>
  <c r="M23" i="17" s="1"/>
  <c r="H821" i="7"/>
  <c r="M821" i="7"/>
  <c r="M463" i="16"/>
  <c r="O463" i="16" s="1"/>
  <c r="E822" i="7" s="1"/>
  <c r="W822" i="7" s="1"/>
  <c r="L464" i="16"/>
  <c r="M435" i="16"/>
  <c r="M437" i="16" s="1"/>
  <c r="O437" i="16" s="1"/>
  <c r="C442" i="16"/>
  <c r="M442" i="16" s="1"/>
  <c r="M439" i="16"/>
  <c r="C440" i="16"/>
  <c r="M440" i="16" s="1"/>
  <c r="H799" i="7"/>
  <c r="M799" i="7"/>
  <c r="H793" i="7"/>
  <c r="M793" i="7"/>
  <c r="H655" i="7"/>
  <c r="M655" i="7"/>
  <c r="H783" i="7"/>
  <c r="M783" i="7"/>
  <c r="M336" i="16"/>
  <c r="O336" i="16" s="1"/>
  <c r="L337" i="16"/>
  <c r="M337" i="16" s="1"/>
  <c r="O337" i="16" s="1"/>
  <c r="M327" i="16"/>
  <c r="O327" i="16" s="1"/>
  <c r="L328" i="16"/>
  <c r="M328" i="16" s="1"/>
  <c r="O328" i="16" s="1"/>
  <c r="M318" i="16"/>
  <c r="O318" i="16" s="1"/>
  <c r="L319" i="16"/>
  <c r="M319" i="16" s="1"/>
  <c r="O319" i="16" s="1"/>
  <c r="H777" i="7"/>
  <c r="M777" i="7"/>
  <c r="M308" i="16"/>
  <c r="O308" i="16" s="1"/>
  <c r="E779" i="7" s="1"/>
  <c r="W779" i="7" s="1"/>
  <c r="L309" i="16"/>
  <c r="H770" i="7"/>
  <c r="M770" i="7"/>
  <c r="H771" i="7"/>
  <c r="M771" i="7"/>
  <c r="M288" i="16"/>
  <c r="O288" i="16" s="1"/>
  <c r="L289" i="16"/>
  <c r="M289" i="16" s="1"/>
  <c r="O289" i="16" s="1"/>
  <c r="H764" i="7"/>
  <c r="M764" i="7"/>
  <c r="M278" i="16"/>
  <c r="O278" i="16" s="1"/>
  <c r="E765" i="7" s="1"/>
  <c r="W765" i="7" s="1"/>
  <c r="L279" i="16"/>
  <c r="L280" i="16" s="1"/>
  <c r="M280" i="16" s="1"/>
  <c r="O280" i="16" s="1"/>
  <c r="E766" i="7" s="1"/>
  <c r="W766" i="7" s="1"/>
  <c r="A392" i="16"/>
  <c r="A417" i="16" s="1"/>
  <c r="A418" i="16" s="1"/>
  <c r="A419" i="16" s="1"/>
  <c r="A420" i="16" s="1"/>
  <c r="A410" i="16"/>
  <c r="A412" i="16" s="1"/>
  <c r="A413" i="16" s="1"/>
  <c r="M266" i="16"/>
  <c r="E267" i="16"/>
  <c r="M267" i="16" s="1"/>
  <c r="M364" i="16"/>
  <c r="E365" i="16"/>
  <c r="M365" i="16" s="1"/>
  <c r="E366" i="16"/>
  <c r="E380" i="16"/>
  <c r="M236" i="16"/>
  <c r="H237" i="16"/>
  <c r="M237" i="16" s="1"/>
  <c r="H752" i="7"/>
  <c r="M752" i="7"/>
  <c r="H750" i="7"/>
  <c r="M750" i="7"/>
  <c r="O244" i="16"/>
  <c r="E753" i="7" s="1"/>
  <c r="W753" i="7" s="1"/>
  <c r="M245" i="16"/>
  <c r="O245" i="16" s="1"/>
  <c r="E754" i="7" s="1"/>
  <c r="W754" i="7" s="1"/>
  <c r="M209" i="16"/>
  <c r="C213" i="16"/>
  <c r="M213" i="16" s="1"/>
  <c r="H744" i="7"/>
  <c r="M744" i="7"/>
  <c r="M205" i="16"/>
  <c r="M206" i="16" s="1"/>
  <c r="C210" i="16"/>
  <c r="M188" i="16"/>
  <c r="M184" i="16" s="1"/>
  <c r="O184" i="16" s="1"/>
  <c r="E740" i="7" s="1"/>
  <c r="W740" i="7" s="1"/>
  <c r="E193" i="16"/>
  <c r="M193" i="16" s="1"/>
  <c r="M189" i="16" s="1"/>
  <c r="O189" i="16" s="1"/>
  <c r="E741" i="7" s="1"/>
  <c r="W741" i="7" s="1"/>
  <c r="M135" i="16"/>
  <c r="C136" i="16"/>
  <c r="M136" i="16" s="1"/>
  <c r="M89" i="16"/>
  <c r="O89" i="16" s="1"/>
  <c r="E719" i="7" s="1"/>
  <c r="W719" i="7" s="1"/>
  <c r="H90" i="16"/>
  <c r="M90" i="16" s="1"/>
  <c r="O90" i="16" s="1"/>
  <c r="E720" i="7" s="1"/>
  <c r="W720" i="7" s="1"/>
  <c r="L81" i="16"/>
  <c r="L85" i="16"/>
  <c r="M85" i="16" s="1"/>
  <c r="O85" i="16" s="1"/>
  <c r="E715" i="7" s="1"/>
  <c r="W715" i="7" s="1"/>
  <c r="C71" i="16"/>
  <c r="M61" i="16"/>
  <c r="C66" i="16"/>
  <c r="M59" i="16"/>
  <c r="C64" i="16"/>
  <c r="M58" i="16"/>
  <c r="C63" i="16"/>
  <c r="M27" i="16"/>
  <c r="D39" i="16"/>
  <c r="M39" i="16" s="1"/>
  <c r="M698" i="7"/>
  <c r="H698" i="7"/>
  <c r="K698" i="7" s="1"/>
  <c r="M38" i="16"/>
  <c r="C47" i="16"/>
  <c r="M251" i="16"/>
  <c r="C367" i="16"/>
  <c r="M17" i="16"/>
  <c r="O17" i="16" s="1"/>
  <c r="E691" i="7" s="1"/>
  <c r="W691" i="7" s="1"/>
  <c r="C18" i="16"/>
  <c r="M18" i="16" s="1"/>
  <c r="O18" i="16" s="1"/>
  <c r="E692" i="7" s="1"/>
  <c r="W692" i="7" s="1"/>
  <c r="H694" i="7"/>
  <c r="M694" i="7"/>
  <c r="H675" i="7"/>
  <c r="M675" i="7"/>
  <c r="M299" i="15"/>
  <c r="E676" i="7" s="1"/>
  <c r="W676" i="7" s="1"/>
  <c r="L300" i="15"/>
  <c r="H665" i="7"/>
  <c r="M665" i="7"/>
  <c r="H662" i="7"/>
  <c r="M662" i="7"/>
  <c r="M241" i="15"/>
  <c r="J242" i="15"/>
  <c r="M242" i="15" s="1"/>
  <c r="M260" i="15"/>
  <c r="L261" i="15"/>
  <c r="H643" i="7"/>
  <c r="M643" i="7"/>
  <c r="M229" i="15"/>
  <c r="M230" i="15" s="1"/>
  <c r="E644" i="7" s="1"/>
  <c r="W644" i="7" s="1"/>
  <c r="C233" i="15"/>
  <c r="M233" i="15" s="1"/>
  <c r="M234" i="15" s="1"/>
  <c r="E645" i="7" s="1"/>
  <c r="W645" i="7" s="1"/>
  <c r="H640" i="7"/>
  <c r="M640" i="7"/>
  <c r="H641" i="7"/>
  <c r="M641" i="7"/>
  <c r="M186" i="15"/>
  <c r="M187" i="15" s="1"/>
  <c r="O187" i="15" s="1"/>
  <c r="L189" i="15"/>
  <c r="L192" i="15" s="1"/>
  <c r="M192" i="15" s="1"/>
  <c r="M193" i="15" s="1"/>
  <c r="O193" i="15" s="1"/>
  <c r="H625" i="7"/>
  <c r="M625" i="7"/>
  <c r="H615" i="7"/>
  <c r="M615" i="7"/>
  <c r="M617" i="7"/>
  <c r="H617" i="7"/>
  <c r="H611" i="7"/>
  <c r="M611" i="7"/>
  <c r="H591" i="7"/>
  <c r="M591" i="7"/>
  <c r="M592" i="7"/>
  <c r="H592" i="7"/>
  <c r="M86" i="15"/>
  <c r="C90" i="15"/>
  <c r="M43" i="15"/>
  <c r="M44" i="15" s="1"/>
  <c r="E588" i="7" s="1"/>
  <c r="W588" i="7" s="1"/>
  <c r="C47" i="15"/>
  <c r="M47" i="15" s="1"/>
  <c r="M48" i="15" s="1"/>
  <c r="C49" i="15" s="1"/>
  <c r="M49" i="15" s="1"/>
  <c r="F50" i="15" s="1"/>
  <c r="M50" i="15" s="1"/>
  <c r="E589" i="7" s="1"/>
  <c r="W589" i="7" s="1"/>
  <c r="C87" i="15"/>
  <c r="H412" i="7"/>
  <c r="M412" i="7"/>
  <c r="H397" i="7"/>
  <c r="M397" i="7"/>
  <c r="H400" i="7"/>
  <c r="M400" i="7"/>
  <c r="N219" i="14"/>
  <c r="C220" i="14"/>
  <c r="C223" i="14"/>
  <c r="N223" i="14" s="1"/>
  <c r="C228" i="14"/>
  <c r="N228" i="14" s="1"/>
  <c r="H386" i="7"/>
  <c r="M386" i="7"/>
  <c r="N143" i="14"/>
  <c r="N144" i="14" s="1"/>
  <c r="P144" i="14" s="1"/>
  <c r="M146" i="14"/>
  <c r="M364" i="7"/>
  <c r="H364" i="7"/>
  <c r="H365" i="7"/>
  <c r="M365" i="7"/>
  <c r="H351" i="7"/>
  <c r="M351" i="7"/>
  <c r="H349" i="7"/>
  <c r="M349" i="7"/>
  <c r="N55" i="14"/>
  <c r="F59" i="14"/>
  <c r="N59" i="14" s="1"/>
  <c r="C63" i="14"/>
  <c r="N52" i="14"/>
  <c r="N53" i="14" s="1"/>
  <c r="P53" i="14" s="1"/>
  <c r="E337" i="7" s="1"/>
  <c r="W337" i="7" s="1"/>
  <c r="C56" i="14"/>
  <c r="C46" i="14"/>
  <c r="N46" i="14" s="1"/>
  <c r="H564" i="7"/>
  <c r="M564" i="7"/>
  <c r="H566" i="7"/>
  <c r="M566" i="7"/>
  <c r="M345" i="13"/>
  <c r="E567" i="7" s="1"/>
  <c r="W567" i="7" s="1"/>
  <c r="Y567" i="7" s="1"/>
  <c r="L346" i="13"/>
  <c r="M346" i="13" s="1"/>
  <c r="H550" i="7"/>
  <c r="M550" i="7"/>
  <c r="M329" i="13"/>
  <c r="E551" i="7" s="1"/>
  <c r="W551" i="7" s="1"/>
  <c r="Y551" i="7" s="1"/>
  <c r="L330" i="13"/>
  <c r="C308" i="13"/>
  <c r="M308" i="13" s="1"/>
  <c r="E527" i="7" s="1"/>
  <c r="W527" i="7" s="1"/>
  <c r="Y527" i="7" s="1"/>
  <c r="E526" i="7"/>
  <c r="W526" i="7" s="1"/>
  <c r="Y526" i="7" s="1"/>
  <c r="M512" i="7"/>
  <c r="H512" i="7"/>
  <c r="M260" i="13"/>
  <c r="C264" i="13"/>
  <c r="O257" i="13"/>
  <c r="E502" i="7"/>
  <c r="W502" i="7" s="1"/>
  <c r="Y502" i="7" s="1"/>
  <c r="M259" i="13"/>
  <c r="C263" i="13"/>
  <c r="H501" i="7"/>
  <c r="M501" i="7"/>
  <c r="E507" i="7"/>
  <c r="W507" i="7" s="1"/>
  <c r="Y507" i="7" s="1"/>
  <c r="M485" i="7"/>
  <c r="H485" i="7"/>
  <c r="H484" i="7"/>
  <c r="M484" i="7"/>
  <c r="M173" i="13"/>
  <c r="M174" i="13" s="1"/>
  <c r="L176" i="13"/>
  <c r="M176" i="13" s="1"/>
  <c r="M177" i="13" s="1"/>
  <c r="O177" i="13" s="1"/>
  <c r="E480" i="7"/>
  <c r="W480" i="7" s="1"/>
  <c r="Y480" i="7" s="1"/>
  <c r="O180" i="13"/>
  <c r="O158" i="13"/>
  <c r="E473" i="7"/>
  <c r="W473" i="7" s="1"/>
  <c r="Y473" i="7" s="1"/>
  <c r="E474" i="7"/>
  <c r="W474" i="7" s="1"/>
  <c r="Y474" i="7" s="1"/>
  <c r="O162" i="13"/>
  <c r="H451" i="7"/>
  <c r="M451" i="7"/>
  <c r="M99" i="13"/>
  <c r="E452" i="7" s="1"/>
  <c r="W452" i="7" s="1"/>
  <c r="Y452" i="7" s="1"/>
  <c r="F100" i="13"/>
  <c r="M100" i="13" s="1"/>
  <c r="E453" i="7" s="1"/>
  <c r="W453" i="7" s="1"/>
  <c r="Y453" i="7" s="1"/>
  <c r="E101" i="13"/>
  <c r="M101" i="13" s="1"/>
  <c r="E454" i="7" s="1"/>
  <c r="W454" i="7" s="1"/>
  <c r="H447" i="7"/>
  <c r="M447" i="7"/>
  <c r="H444" i="7"/>
  <c r="M444" i="7"/>
  <c r="C79" i="13"/>
  <c r="M67" i="13"/>
  <c r="C73" i="13"/>
  <c r="M66" i="13"/>
  <c r="C72" i="13"/>
  <c r="M65" i="13"/>
  <c r="C71" i="13"/>
  <c r="C128" i="13"/>
  <c r="M64" i="13"/>
  <c r="C70" i="13"/>
  <c r="C104" i="13"/>
  <c r="D42" i="13"/>
  <c r="M41" i="13"/>
  <c r="D46" i="13"/>
  <c r="M46" i="13" s="1"/>
  <c r="M47" i="13" s="1"/>
  <c r="D51" i="13"/>
  <c r="E29" i="13"/>
  <c r="E52" i="13" s="1"/>
  <c r="E51" i="13"/>
  <c r="A139" i="13"/>
  <c r="A181" i="13" s="1"/>
  <c r="A147" i="13"/>
  <c r="A194" i="13" s="1"/>
  <c r="M19" i="13"/>
  <c r="E424" i="7" s="1"/>
  <c r="W424" i="7" s="1"/>
  <c r="Y424" i="7" s="1"/>
  <c r="C20" i="13"/>
  <c r="M20" i="13" s="1"/>
  <c r="E425" i="7" s="1"/>
  <c r="W425" i="7" s="1"/>
  <c r="Y425" i="7" s="1"/>
  <c r="M427" i="7"/>
  <c r="H427" i="7"/>
  <c r="H313" i="7"/>
  <c r="M313" i="7"/>
  <c r="H314" i="7"/>
  <c r="M314" i="7"/>
  <c r="M415" i="11"/>
  <c r="M417" i="11" s="1"/>
  <c r="L438" i="11"/>
  <c r="M353" i="11"/>
  <c r="C357" i="11"/>
  <c r="M352" i="11"/>
  <c r="C356" i="11"/>
  <c r="N286" i="11"/>
  <c r="C287" i="11"/>
  <c r="C154" i="11"/>
  <c r="N150" i="11"/>
  <c r="P150" i="11" s="1"/>
  <c r="M151" i="11"/>
  <c r="M155" i="11"/>
  <c r="M156" i="11" s="1"/>
  <c r="M157" i="11"/>
  <c r="H264" i="7"/>
  <c r="M264" i="7"/>
  <c r="M259" i="7"/>
  <c r="H259" i="7"/>
  <c r="H260" i="7"/>
  <c r="M260" i="7"/>
  <c r="A99" i="11"/>
  <c r="A104" i="11"/>
  <c r="A134" i="11" s="1"/>
  <c r="A143" i="11" s="1"/>
  <c r="P56" i="11"/>
  <c r="N57" i="11"/>
  <c r="P57" i="11" s="1"/>
  <c r="N81" i="11"/>
  <c r="P81" i="11" s="1"/>
  <c r="C82" i="11"/>
  <c r="C84" i="11"/>
  <c r="N84" i="11" s="1"/>
  <c r="P84" i="11" s="1"/>
  <c r="H239" i="7"/>
  <c r="M239" i="7"/>
  <c r="N31" i="11"/>
  <c r="C88" i="11"/>
  <c r="N66" i="11"/>
  <c r="C70" i="11"/>
  <c r="N30" i="11"/>
  <c r="D86" i="11"/>
  <c r="N65" i="11"/>
  <c r="C69" i="11"/>
  <c r="C145" i="10"/>
  <c r="N138" i="10"/>
  <c r="M139" i="10"/>
  <c r="M143" i="10"/>
  <c r="N129" i="10"/>
  <c r="C130" i="10"/>
  <c r="N130" i="10" s="1"/>
  <c r="H215" i="7"/>
  <c r="M215" i="7"/>
  <c r="N117" i="10"/>
  <c r="F118" i="10"/>
  <c r="N118" i="10" s="1"/>
  <c r="H208" i="7"/>
  <c r="M208" i="7"/>
  <c r="P50" i="10"/>
  <c r="E191" i="7" s="1"/>
  <c r="W191" i="7" s="1"/>
  <c r="M19" i="10"/>
  <c r="N19" i="10" s="1"/>
  <c r="P19" i="10" s="1"/>
  <c r="L20" i="10"/>
  <c r="H165" i="7"/>
  <c r="M165" i="7"/>
  <c r="M166" i="7"/>
  <c r="H166" i="7"/>
  <c r="N132" i="9"/>
  <c r="C133" i="9"/>
  <c r="N133" i="9" s="1"/>
  <c r="C138" i="9"/>
  <c r="N210" i="9"/>
  <c r="C222" i="9"/>
  <c r="N222" i="9" s="1"/>
  <c r="N209" i="9"/>
  <c r="C221" i="9"/>
  <c r="N221" i="9" s="1"/>
  <c r="N215" i="9"/>
  <c r="C234" i="9"/>
  <c r="N234" i="9" s="1"/>
  <c r="C212" i="9"/>
  <c r="C218" i="9"/>
  <c r="C231" i="9"/>
  <c r="H206" i="9"/>
  <c r="H194" i="9"/>
  <c r="N194" i="9" s="1"/>
  <c r="H211" i="9"/>
  <c r="H217" i="9"/>
  <c r="H230" i="9" s="1"/>
  <c r="C211" i="9"/>
  <c r="C217" i="9"/>
  <c r="C230" i="9"/>
  <c r="E200" i="9"/>
  <c r="N200" i="9" s="1"/>
  <c r="E205" i="9"/>
  <c r="E206" i="9" s="1"/>
  <c r="P174" i="9"/>
  <c r="N175" i="9"/>
  <c r="M84" i="9"/>
  <c r="N84" i="9" s="1"/>
  <c r="P84" i="9" s="1"/>
  <c r="M85" i="9"/>
  <c r="N85" i="9" s="1"/>
  <c r="P85" i="9" s="1"/>
  <c r="N106" i="9"/>
  <c r="P106" i="9" s="1"/>
  <c r="M107" i="9"/>
  <c r="M122" i="7"/>
  <c r="H122" i="7"/>
  <c r="N55" i="9"/>
  <c r="F59" i="9"/>
  <c r="N59" i="9" s="1"/>
  <c r="C63" i="9"/>
  <c r="N52" i="9"/>
  <c r="N53" i="9" s="1"/>
  <c r="P53" i="9" s="1"/>
  <c r="C56" i="9"/>
  <c r="H100" i="7"/>
  <c r="M100" i="7"/>
  <c r="N16" i="9"/>
  <c r="W96" i="7" s="1"/>
  <c r="Y96" i="7" s="1"/>
  <c r="C17" i="9"/>
  <c r="N17" i="9" s="1"/>
  <c r="W97" i="7" s="1"/>
  <c r="Y97" i="7" s="1"/>
  <c r="L18" i="9"/>
  <c r="N18" i="9" s="1"/>
  <c r="W98" i="7" s="1"/>
  <c r="Y98" i="7" s="1"/>
  <c r="E99" i="7"/>
  <c r="P19" i="9"/>
  <c r="K16" i="8"/>
  <c r="C20" i="8"/>
  <c r="H76" i="7"/>
  <c r="H618" i="6"/>
  <c r="D619" i="6"/>
  <c r="H619" i="6" s="1"/>
  <c r="C568" i="6"/>
  <c r="H560" i="6"/>
  <c r="C561" i="6"/>
  <c r="H546" i="6"/>
  <c r="C547" i="6"/>
  <c r="H547" i="6" s="1"/>
  <c r="H509" i="6"/>
  <c r="G510" i="6"/>
  <c r="H483" i="6"/>
  <c r="H479" i="6" s="1"/>
  <c r="J479" i="6" s="1"/>
  <c r="G484" i="6"/>
  <c r="H469" i="6"/>
  <c r="J469" i="6" s="1"/>
  <c r="C475" i="6"/>
  <c r="H329" i="6"/>
  <c r="C330" i="6"/>
  <c r="H228" i="6"/>
  <c r="C229" i="6"/>
  <c r="H26" i="6"/>
  <c r="D27" i="6"/>
  <c r="G18" i="6"/>
  <c r="H18" i="6" s="1"/>
  <c r="G19" i="6"/>
  <c r="G126" i="6"/>
  <c r="H428" i="6"/>
  <c r="F429" i="6"/>
  <c r="H430" i="6"/>
  <c r="F431" i="6"/>
  <c r="F449" i="6"/>
  <c r="F464" i="6"/>
  <c r="H464" i="6" s="1"/>
  <c r="A606" i="6"/>
  <c r="A654" i="6"/>
  <c r="A657" i="6" s="1"/>
  <c r="A660" i="6" s="1"/>
  <c r="H325" i="5"/>
  <c r="D326" i="5"/>
  <c r="H326" i="5" s="1"/>
  <c r="H274" i="5"/>
  <c r="C275" i="5"/>
  <c r="H275" i="5" s="1"/>
  <c r="H280" i="5"/>
  <c r="D281" i="5"/>
  <c r="H267" i="5"/>
  <c r="C268" i="5"/>
  <c r="H220" i="5"/>
  <c r="F221" i="5"/>
  <c r="H221" i="5" s="1"/>
  <c r="J221" i="5" s="1"/>
  <c r="H223" i="5"/>
  <c r="J223" i="5" s="1"/>
  <c r="C224" i="5"/>
  <c r="H224" i="5" s="1"/>
  <c r="J224" i="5" s="1"/>
  <c r="H178" i="5"/>
  <c r="G179" i="5"/>
  <c r="H152" i="5"/>
  <c r="H148" i="5" s="1"/>
  <c r="J148" i="5" s="1"/>
  <c r="G153" i="5"/>
  <c r="J145" i="5"/>
  <c r="J146" i="5" s="1"/>
  <c r="H140" i="5"/>
  <c r="F139" i="5"/>
  <c r="H139" i="5" s="1"/>
  <c r="A313" i="5"/>
  <c r="A361" i="5"/>
  <c r="A364" i="5" s="1"/>
  <c r="A367" i="5" s="1"/>
  <c r="H77" i="5"/>
  <c r="C78" i="5"/>
  <c r="H60" i="5"/>
  <c r="C61" i="5"/>
  <c r="B36" i="5"/>
  <c r="B55" i="5" s="1"/>
  <c r="B71" i="5" s="1"/>
  <c r="B87" i="5" s="1"/>
  <c r="B54" i="5"/>
  <c r="B70" i="5" s="1"/>
  <c r="B86" i="5" s="1"/>
  <c r="C50" i="5"/>
  <c r="H50" i="5" s="1"/>
  <c r="F66" i="5"/>
  <c r="E82" i="5"/>
  <c r="H26" i="5"/>
  <c r="D27" i="5"/>
  <c r="K1019" i="7"/>
  <c r="H1093" i="7"/>
  <c r="M1093" i="7"/>
  <c r="H1096" i="7"/>
  <c r="M1096" i="7"/>
  <c r="H1095" i="7"/>
  <c r="M1095" i="7"/>
  <c r="C287" i="17"/>
  <c r="M283" i="17"/>
  <c r="C244" i="17"/>
  <c r="M244" i="17" s="1"/>
  <c r="M242" i="17"/>
  <c r="A183" i="17"/>
  <c r="A186" i="17" s="1"/>
  <c r="A189" i="17" s="1"/>
  <c r="A192" i="17" s="1"/>
  <c r="A195" i="17" s="1"/>
  <c r="A198" i="17" s="1"/>
  <c r="A201" i="17"/>
  <c r="A202" i="17" s="1"/>
  <c r="A203" i="17" s="1"/>
  <c r="A528" i="7"/>
  <c r="A529" i="7" s="1"/>
  <c r="A526" i="7"/>
  <c r="A527" i="7" s="1"/>
  <c r="J31" i="7"/>
  <c r="H31" i="7"/>
  <c r="M31" i="7"/>
  <c r="E32" i="7"/>
  <c r="W32" i="7" s="1"/>
  <c r="Y32" i="7" s="1"/>
  <c r="N52" i="18"/>
  <c r="N55" i="18" s="1"/>
  <c r="P55" i="18" s="1"/>
  <c r="E1080" i="7" s="1"/>
  <c r="W1080" i="7" s="1"/>
  <c r="Y1080" i="7" s="1"/>
  <c r="M57" i="18"/>
  <c r="C33" i="18"/>
  <c r="N28" i="18"/>
  <c r="N202" i="28"/>
  <c r="P201" i="28"/>
  <c r="P173" i="28"/>
  <c r="N179" i="28"/>
  <c r="M256" i="27"/>
  <c r="N252" i="26"/>
  <c r="P252" i="26" s="1"/>
  <c r="P192" i="26"/>
  <c r="N291" i="40"/>
  <c r="H292" i="40"/>
  <c r="N179" i="40"/>
  <c r="E180" i="40"/>
  <c r="P217" i="28"/>
  <c r="N244" i="28"/>
  <c r="P244" i="28" s="1"/>
  <c r="M231" i="27"/>
  <c r="M274" i="27"/>
  <c r="M276" i="27" s="1"/>
  <c r="M372" i="25"/>
  <c r="E307" i="25"/>
  <c r="M306" i="25"/>
  <c r="H1201" i="7"/>
  <c r="M1201" i="7"/>
  <c r="H1197" i="7"/>
  <c r="M1197" i="7"/>
  <c r="H1163" i="7"/>
  <c r="M1163" i="7"/>
  <c r="H1141" i="7"/>
  <c r="M1141" i="7"/>
  <c r="N25" i="40"/>
  <c r="P17" i="40"/>
  <c r="M274" i="39"/>
  <c r="M262" i="39"/>
  <c r="P205" i="29"/>
  <c r="C206" i="29"/>
  <c r="N206" i="29" s="1"/>
  <c r="P206" i="29" s="1"/>
  <c r="K23" i="27"/>
  <c r="M23" i="27" s="1"/>
  <c r="M25" i="27" s="1"/>
  <c r="M18" i="27"/>
  <c r="H1142" i="7"/>
  <c r="M1142" i="7"/>
  <c r="M17" i="19"/>
  <c r="L18" i="19"/>
  <c r="H237" i="32"/>
  <c r="J236" i="32"/>
  <c r="H225" i="32"/>
  <c r="J224" i="32"/>
  <c r="J161" i="32"/>
  <c r="H165" i="32"/>
  <c r="J165" i="32" s="1"/>
  <c r="H115" i="32"/>
  <c r="J115" i="32" s="1"/>
  <c r="J114" i="32"/>
  <c r="H109" i="32"/>
  <c r="J109" i="32" s="1"/>
  <c r="J108" i="32"/>
  <c r="H1192" i="7"/>
  <c r="M1192" i="7"/>
  <c r="M143" i="25"/>
  <c r="H937" i="7"/>
  <c r="M937" i="7"/>
  <c r="H936" i="7"/>
  <c r="M936" i="7"/>
  <c r="H911" i="7"/>
  <c r="M911" i="7"/>
  <c r="H877" i="7"/>
  <c r="M877" i="7"/>
  <c r="H875" i="7"/>
  <c r="M875" i="7"/>
  <c r="H871" i="7"/>
  <c r="M871" i="7"/>
  <c r="H853" i="7"/>
  <c r="M853" i="7"/>
  <c r="N179" i="29"/>
  <c r="N167" i="29"/>
  <c r="P166" i="29"/>
  <c r="H859" i="7"/>
  <c r="K859" i="7" s="1"/>
  <c r="M859" i="7"/>
  <c r="H855" i="7"/>
  <c r="M855" i="7"/>
  <c r="H850" i="7"/>
  <c r="M850" i="7"/>
  <c r="N22" i="31"/>
  <c r="P22" i="31" s="1"/>
  <c r="P21" i="31"/>
  <c r="N187" i="29"/>
  <c r="P187" i="29" s="1"/>
  <c r="P186" i="29"/>
  <c r="N180" i="29"/>
  <c r="P176" i="29"/>
  <c r="E858" i="7"/>
  <c r="W858" i="7" s="1"/>
  <c r="O27" i="24"/>
  <c r="H854" i="7"/>
  <c r="M854" i="7"/>
  <c r="H852" i="7"/>
  <c r="M852" i="7"/>
  <c r="C34" i="21"/>
  <c r="P33" i="21"/>
  <c r="E1282" i="7" s="1"/>
  <c r="H1265" i="7"/>
  <c r="M1265" i="7"/>
  <c r="H1218" i="7"/>
  <c r="M1218" i="7"/>
  <c r="L124" i="20"/>
  <c r="L111" i="20"/>
  <c r="L115" i="20" s="1"/>
  <c r="L119" i="20" s="1"/>
  <c r="L106" i="20"/>
  <c r="H1126" i="7"/>
  <c r="M1126" i="7"/>
  <c r="H1122" i="7"/>
  <c r="M1122" i="7"/>
  <c r="H1121" i="7"/>
  <c r="M1121" i="7"/>
  <c r="M266" i="17"/>
  <c r="L267" i="17"/>
  <c r="M267" i="17" s="1"/>
  <c r="H1000" i="7"/>
  <c r="M1000" i="7"/>
  <c r="H970" i="7"/>
  <c r="M970" i="7"/>
  <c r="H969" i="7"/>
  <c r="M969" i="7"/>
  <c r="H819" i="7"/>
  <c r="M819" i="7"/>
  <c r="H818" i="7"/>
  <c r="M818" i="7"/>
  <c r="E784" i="7"/>
  <c r="W784" i="7" s="1"/>
  <c r="E656" i="7"/>
  <c r="W656" i="7" s="1"/>
  <c r="H776" i="7"/>
  <c r="M776" i="7"/>
  <c r="H769" i="7"/>
  <c r="M769" i="7"/>
  <c r="H762" i="7"/>
  <c r="M762" i="7"/>
  <c r="H743" i="7"/>
  <c r="M743" i="7"/>
  <c r="H735" i="7"/>
  <c r="M735" i="7"/>
  <c r="H734" i="7"/>
  <c r="M734" i="7"/>
  <c r="H733" i="7"/>
  <c r="M733" i="7"/>
  <c r="H728" i="7"/>
  <c r="M728" i="7"/>
  <c r="M713" i="7"/>
  <c r="H713" i="7"/>
  <c r="M709" i="7"/>
  <c r="H709" i="7"/>
  <c r="H693" i="7"/>
  <c r="M693" i="7"/>
  <c r="H689" i="7"/>
  <c r="M689" i="7"/>
  <c r="E666" i="7"/>
  <c r="W666" i="7" s="1"/>
  <c r="C291" i="15"/>
  <c r="M291" i="15" s="1"/>
  <c r="E667" i="7" s="1"/>
  <c r="W667" i="7" s="1"/>
  <c r="H660" i="7"/>
  <c r="M660" i="7"/>
  <c r="H642" i="7"/>
  <c r="M642" i="7"/>
  <c r="E638" i="7"/>
  <c r="W638" i="7" s="1"/>
  <c r="M210" i="15"/>
  <c r="E639" i="7" s="1"/>
  <c r="W639" i="7" s="1"/>
  <c r="M635" i="7"/>
  <c r="H635" i="7"/>
  <c r="H634" i="7"/>
  <c r="M634" i="7"/>
  <c r="M629" i="7"/>
  <c r="H629" i="7"/>
  <c r="H627" i="7"/>
  <c r="M627" i="7"/>
  <c r="M621" i="7"/>
  <c r="H621" i="7"/>
  <c r="H620" i="7"/>
  <c r="M620" i="7"/>
  <c r="H619" i="7"/>
  <c r="M619" i="7"/>
  <c r="H612" i="7"/>
  <c r="M612" i="7"/>
  <c r="H610" i="7"/>
  <c r="M610" i="7"/>
  <c r="M606" i="7"/>
  <c r="H606" i="7"/>
  <c r="H605" i="7"/>
  <c r="M605" i="7"/>
  <c r="E596" i="7"/>
  <c r="W596" i="7" s="1"/>
  <c r="M79" i="15"/>
  <c r="M83" i="15" s="1"/>
  <c r="E597" i="7" s="1"/>
  <c r="W597" i="7" s="1"/>
  <c r="M595" i="7"/>
  <c r="H595" i="7"/>
  <c r="H594" i="7"/>
  <c r="M594" i="7"/>
  <c r="H593" i="7"/>
  <c r="M593" i="7"/>
  <c r="M585" i="7"/>
  <c r="H585" i="7"/>
  <c r="H582" i="7"/>
  <c r="M582" i="7"/>
  <c r="H581" i="7"/>
  <c r="M581" i="7"/>
  <c r="M580" i="7"/>
  <c r="H580" i="7"/>
  <c r="H579" i="7"/>
  <c r="M579" i="7"/>
  <c r="H577" i="7"/>
  <c r="M577" i="7"/>
  <c r="C263" i="14"/>
  <c r="N263" i="14" s="1"/>
  <c r="P263" i="14" s="1"/>
  <c r="E402" i="7" s="1"/>
  <c r="W402" i="7" s="1"/>
  <c r="P262" i="14"/>
  <c r="E401" i="7" s="1"/>
  <c r="W401" i="7" s="1"/>
  <c r="H385" i="7"/>
  <c r="M385" i="7"/>
  <c r="M383" i="7"/>
  <c r="H383" i="7"/>
  <c r="N183" i="14"/>
  <c r="P182" i="14"/>
  <c r="E379" i="7" s="1"/>
  <c r="W379" i="7" s="1"/>
  <c r="M376" i="7"/>
  <c r="H376" i="7"/>
  <c r="H375" i="7"/>
  <c r="M375" i="7"/>
  <c r="H333" i="7"/>
  <c r="M333" i="7"/>
  <c r="H331" i="7"/>
  <c r="M331" i="7"/>
  <c r="M328" i="7"/>
  <c r="H328" i="7"/>
  <c r="H327" i="7"/>
  <c r="M327" i="7"/>
  <c r="H326" i="7"/>
  <c r="M326" i="7"/>
  <c r="H325" i="7"/>
  <c r="M325" i="7"/>
  <c r="H323" i="7"/>
  <c r="M323" i="7"/>
  <c r="H563" i="7"/>
  <c r="M563" i="7"/>
  <c r="M548" i="7"/>
  <c r="H548" i="7"/>
  <c r="M547" i="7"/>
  <c r="H547" i="7"/>
  <c r="H519" i="7"/>
  <c r="M519" i="7"/>
  <c r="H493" i="7"/>
  <c r="M493" i="7"/>
  <c r="M486" i="7"/>
  <c r="H486" i="7"/>
  <c r="M469" i="7"/>
  <c r="H469" i="7"/>
  <c r="H468" i="7"/>
  <c r="M468" i="7"/>
  <c r="H467" i="7"/>
  <c r="M467" i="7"/>
  <c r="H446" i="7"/>
  <c r="M446" i="7"/>
  <c r="H443" i="7"/>
  <c r="M443" i="7"/>
  <c r="H442" i="7"/>
  <c r="M442" i="7"/>
  <c r="H426" i="7"/>
  <c r="M426" i="7"/>
  <c r="H422" i="7"/>
  <c r="M422" i="7"/>
  <c r="M431" i="11"/>
  <c r="O431" i="11" s="1"/>
  <c r="O430" i="11"/>
  <c r="M387" i="11"/>
  <c r="O387" i="11" s="1"/>
  <c r="O386" i="11"/>
  <c r="M337" i="11"/>
  <c r="O337" i="11" s="1"/>
  <c r="O336" i="11"/>
  <c r="N142" i="11"/>
  <c r="P142" i="11" s="1"/>
  <c r="E269" i="7" s="1"/>
  <c r="W269" i="7" s="1"/>
  <c r="Y269" i="7" s="1"/>
  <c r="P141" i="11"/>
  <c r="E268" i="7" s="1"/>
  <c r="W268" i="7" s="1"/>
  <c r="Y268" i="7" s="1"/>
  <c r="H267" i="7"/>
  <c r="M267" i="7"/>
  <c r="M261" i="7"/>
  <c r="H261" i="7"/>
  <c r="M238" i="7"/>
  <c r="H238" i="7"/>
  <c r="H236" i="7"/>
  <c r="M236" i="7"/>
  <c r="E240" i="7"/>
  <c r="W240" i="7" s="1"/>
  <c r="Y240" i="7" s="1"/>
  <c r="N165" i="10"/>
  <c r="P165" i="10" s="1"/>
  <c r="E229" i="7" s="1"/>
  <c r="W229" i="7" s="1"/>
  <c r="P164" i="10"/>
  <c r="E228" i="7" s="1"/>
  <c r="W228" i="7" s="1"/>
  <c r="M227" i="7"/>
  <c r="H227" i="7"/>
  <c r="M214" i="7"/>
  <c r="H214" i="7"/>
  <c r="M196" i="7"/>
  <c r="E197" i="7"/>
  <c r="W197" i="7" s="1"/>
  <c r="H194" i="7"/>
  <c r="M194" i="7"/>
  <c r="H185" i="7"/>
  <c r="E189" i="7"/>
  <c r="W189" i="7" s="1"/>
  <c r="M185" i="7"/>
  <c r="N263" i="9"/>
  <c r="P263" i="9" s="1"/>
  <c r="E164" i="7" s="1"/>
  <c r="W164" i="7" s="1"/>
  <c r="Y164" i="7" s="1"/>
  <c r="P252" i="9"/>
  <c r="E161" i="7" s="1"/>
  <c r="W161" i="7" s="1"/>
  <c r="Y161" i="7" s="1"/>
  <c r="N260" i="9"/>
  <c r="P188" i="9"/>
  <c r="E147" i="7" s="1"/>
  <c r="W147" i="7" s="1"/>
  <c r="Y147" i="7" s="1"/>
  <c r="M124" i="7"/>
  <c r="H124" i="7"/>
  <c r="M120" i="7"/>
  <c r="N41" i="9"/>
  <c r="E42" i="9"/>
  <c r="N42" i="9" s="1"/>
  <c r="E94" i="7"/>
  <c r="P14" i="9"/>
  <c r="J499" i="6"/>
  <c r="H503" i="6"/>
  <c r="J503" i="6" s="1"/>
  <c r="G3450" i="42"/>
  <c r="I3441" i="42"/>
  <c r="I3438" i="42"/>
  <c r="I3439" i="42"/>
  <c r="I3443" i="42"/>
  <c r="I3444" i="42"/>
  <c r="I3442" i="42"/>
  <c r="G1128" i="42"/>
  <c r="D416" i="42"/>
  <c r="G416" i="42" s="1"/>
  <c r="D432" i="42"/>
  <c r="D417" i="42" s="1"/>
  <c r="G417" i="42" s="1"/>
  <c r="E371" i="7"/>
  <c r="W371" i="7" s="1"/>
  <c r="N118" i="14"/>
  <c r="P118" i="14" s="1"/>
  <c r="M366" i="7"/>
  <c r="H366" i="7"/>
  <c r="H244" i="5"/>
  <c r="J243" i="5"/>
  <c r="H232" i="5"/>
  <c r="J231" i="5"/>
  <c r="J168" i="5"/>
  <c r="H172" i="5"/>
  <c r="J172" i="5" s="1"/>
  <c r="H124" i="5"/>
  <c r="J124" i="5" s="1"/>
  <c r="J123" i="5"/>
  <c r="H117" i="5"/>
  <c r="J117" i="5" s="1"/>
  <c r="J116" i="5"/>
  <c r="H1105" i="7"/>
  <c r="M1105" i="7"/>
  <c r="M1073" i="7"/>
  <c r="H1073" i="7"/>
  <c r="M1106" i="7"/>
  <c r="H1106" i="7"/>
  <c r="I808" i="42"/>
  <c r="I804" i="42"/>
  <c r="I806" i="42"/>
  <c r="I811" i="42"/>
  <c r="I805" i="42"/>
  <c r="I807" i="42"/>
  <c r="I812" i="42"/>
  <c r="I810" i="42"/>
  <c r="G814" i="42"/>
  <c r="D393" i="42"/>
  <c r="G393" i="42" s="1"/>
  <c r="D409" i="42"/>
  <c r="D394" i="42" s="1"/>
  <c r="G394" i="42" s="1"/>
  <c r="M334" i="7"/>
  <c r="H334" i="7"/>
  <c r="H999" i="7"/>
  <c r="M999" i="7"/>
  <c r="H991" i="7"/>
  <c r="M991" i="7"/>
  <c r="O70" i="17"/>
  <c r="E987" i="7" s="1"/>
  <c r="W987" i="7" s="1"/>
  <c r="M71" i="17"/>
  <c r="H985" i="7"/>
  <c r="M985" i="7"/>
  <c r="H1348" i="7"/>
  <c r="G37" i="4" s="1"/>
  <c r="E35" i="3" s="1"/>
  <c r="M1057" i="7"/>
  <c r="H1057" i="7"/>
  <c r="M1001" i="7"/>
  <c r="H1001" i="7"/>
  <c r="G3927" i="42"/>
  <c r="G1113" i="42"/>
  <c r="G706" i="42"/>
  <c r="G476" i="42"/>
  <c r="I4264" i="42"/>
  <c r="I4258" i="42"/>
  <c r="I4240" i="42"/>
  <c r="I4216" i="42"/>
  <c r="I4210" i="42"/>
  <c r="I4183" i="42"/>
  <c r="I4184" i="42" s="1"/>
  <c r="I4180" i="42"/>
  <c r="I4181" i="42" s="1"/>
  <c r="I4187" i="42" s="1"/>
  <c r="E244" i="41" s="1"/>
  <c r="I4170" i="42"/>
  <c r="I4171" i="42" s="1"/>
  <c r="I4164" i="42"/>
  <c r="G4168" i="42"/>
  <c r="G4174" i="42" s="1"/>
  <c r="I4154" i="42"/>
  <c r="I4155" i="42" s="1"/>
  <c r="I4148" i="42"/>
  <c r="I4138" i="42"/>
  <c r="I4139" i="42" s="1"/>
  <c r="I4132" i="42"/>
  <c r="I4117" i="42"/>
  <c r="I4095" i="42"/>
  <c r="I4096" i="42" s="1"/>
  <c r="I4099" i="42" s="1"/>
  <c r="E239" i="41" s="1"/>
  <c r="I4082" i="42"/>
  <c r="I4083" i="42" s="1"/>
  <c r="I4086" i="42" s="1"/>
  <c r="E238" i="41" s="1"/>
  <c r="I4069" i="42"/>
  <c r="I4070" i="42" s="1"/>
  <c r="I4073" i="42" s="1"/>
  <c r="E237" i="41" s="1"/>
  <c r="I4056" i="42"/>
  <c r="I4057" i="42" s="1"/>
  <c r="I4060" i="42" s="1"/>
  <c r="E236" i="41" s="1"/>
  <c r="I4043" i="42"/>
  <c r="I4044" i="42" s="1"/>
  <c r="I4047" i="42" s="1"/>
  <c r="E235" i="41" s="1"/>
  <c r="I4033" i="42"/>
  <c r="I4027" i="42"/>
  <c r="I3999" i="42"/>
  <c r="I3993" i="42"/>
  <c r="I3973" i="42"/>
  <c r="G3987" i="42"/>
  <c r="I3962" i="42"/>
  <c r="I3964" i="42" s="1"/>
  <c r="I3956" i="42"/>
  <c r="I3960" i="42" s="1"/>
  <c r="I3871" i="42"/>
  <c r="I3861" i="42"/>
  <c r="I3862" i="42" s="1"/>
  <c r="I3855" i="42"/>
  <c r="I3845" i="42"/>
  <c r="I3846" i="42" s="1"/>
  <c r="I3839" i="42"/>
  <c r="G3826" i="42"/>
  <c r="G3833" i="42" s="1"/>
  <c r="I3813" i="42"/>
  <c r="I3807" i="42"/>
  <c r="I3797" i="42"/>
  <c r="I3798" i="42" s="1"/>
  <c r="I3791" i="42"/>
  <c r="I3781" i="42"/>
  <c r="I3782" i="42" s="1"/>
  <c r="I3775" i="42"/>
  <c r="I3751" i="42"/>
  <c r="I3752" i="42" s="1"/>
  <c r="I3745" i="42"/>
  <c r="I3737" i="42"/>
  <c r="I3738" i="42" s="1"/>
  <c r="I3731" i="42"/>
  <c r="I3703" i="42"/>
  <c r="I3687" i="42"/>
  <c r="I3691" i="42" s="1"/>
  <c r="I3681" i="42"/>
  <c r="I3683" i="42" s="1"/>
  <c r="I3652" i="42"/>
  <c r="I3638" i="42"/>
  <c r="I3624" i="42"/>
  <c r="I3628" i="42" s="1"/>
  <c r="I3633" i="42" s="1"/>
  <c r="E211" i="41" s="1"/>
  <c r="I3610" i="42"/>
  <c r="I3611" i="42" s="1"/>
  <c r="I3617" i="42" s="1"/>
  <c r="E210" i="41" s="1"/>
  <c r="I3600" i="42"/>
  <c r="I3601" i="42" s="1"/>
  <c r="I3587" i="42"/>
  <c r="I3588" i="42" s="1"/>
  <c r="I3573" i="42"/>
  <c r="I3575" i="42" s="1"/>
  <c r="I3557" i="42"/>
  <c r="I3558" i="42" s="1"/>
  <c r="I3551" i="42"/>
  <c r="I3487" i="42"/>
  <c r="I3471" i="42"/>
  <c r="I3461" i="42"/>
  <c r="I3462" i="42" s="1"/>
  <c r="I3455" i="42"/>
  <c r="I3425" i="42"/>
  <c r="I3426" i="42" s="1"/>
  <c r="I3419" i="42"/>
  <c r="I3402" i="42"/>
  <c r="I3374" i="42"/>
  <c r="I3375" i="42" s="1"/>
  <c r="I3361" i="42"/>
  <c r="I3362" i="42" s="1"/>
  <c r="I3365" i="42" s="1"/>
  <c r="E194" i="41" s="1"/>
  <c r="I3348" i="42"/>
  <c r="I3349" i="42" s="1"/>
  <c r="I3342" i="42"/>
  <c r="I3332" i="42"/>
  <c r="I3333" i="42" s="1"/>
  <c r="I3326" i="42"/>
  <c r="I3330" i="42" s="1"/>
  <c r="I3316" i="42"/>
  <c r="I3317" i="42" s="1"/>
  <c r="I3310" i="42"/>
  <c r="I3300" i="42"/>
  <c r="I3301" i="42" s="1"/>
  <c r="I3294" i="42"/>
  <c r="I3284" i="42"/>
  <c r="I3285" i="42" s="1"/>
  <c r="I3278" i="42"/>
  <c r="I3282" i="42" s="1"/>
  <c r="I3267" i="42"/>
  <c r="I3261" i="42"/>
  <c r="I3250" i="42"/>
  <c r="I3244" i="42"/>
  <c r="I3232" i="42"/>
  <c r="I3226" i="42"/>
  <c r="I3198" i="42"/>
  <c r="I3192" i="42"/>
  <c r="I3146" i="42"/>
  <c r="I3140" i="42"/>
  <c r="I3129" i="42"/>
  <c r="I3123" i="42"/>
  <c r="I3112" i="42"/>
  <c r="I3106" i="42"/>
  <c r="I3079" i="42"/>
  <c r="I3080" i="42" s="1"/>
  <c r="I3074" i="42"/>
  <c r="I3029" i="42"/>
  <c r="I3023" i="42"/>
  <c r="I3012" i="42"/>
  <c r="I3006" i="42"/>
  <c r="I2965" i="42"/>
  <c r="I2966" i="42" s="1"/>
  <c r="I2959" i="42"/>
  <c r="G2869" i="42"/>
  <c r="G2870" i="42" s="1"/>
  <c r="D160" i="41" s="1"/>
  <c r="I2853" i="42"/>
  <c r="I2854" i="42" s="1"/>
  <c r="I2714" i="42"/>
  <c r="H55" i="32"/>
  <c r="J55" i="32" s="1"/>
  <c r="I2680" i="42"/>
  <c r="I2672" i="42"/>
  <c r="I2673" i="42" s="1"/>
  <c r="I2666" i="42"/>
  <c r="I2644" i="42"/>
  <c r="I2645" i="42" s="1"/>
  <c r="I2638" i="42"/>
  <c r="I2625" i="42"/>
  <c r="I2619" i="42"/>
  <c r="I2567" i="42"/>
  <c r="I2568" i="42" s="1"/>
  <c r="I2569" i="42" s="1"/>
  <c r="E139" i="41" s="1"/>
  <c r="I2556" i="42"/>
  <c r="I2557" i="42" s="1"/>
  <c r="I2558" i="42" s="1"/>
  <c r="E138" i="41" s="1"/>
  <c r="I2540" i="42"/>
  <c r="I2524" i="42"/>
  <c r="I2504" i="42"/>
  <c r="I2498" i="42"/>
  <c r="I2458" i="42"/>
  <c r="I2452" i="42"/>
  <c r="I2441" i="42"/>
  <c r="I2438" i="42"/>
  <c r="I2439" i="42" s="1"/>
  <c r="I2428" i="42"/>
  <c r="I2429" i="42" s="1"/>
  <c r="I2432" i="42" s="1"/>
  <c r="E131" i="41" s="1"/>
  <c r="I2415" i="42"/>
  <c r="I2416" i="42" s="1"/>
  <c r="I2388" i="42"/>
  <c r="I2389" i="42" s="1"/>
  <c r="I2326" i="42"/>
  <c r="I2318" i="42"/>
  <c r="I2319" i="42" s="1"/>
  <c r="I2312" i="42"/>
  <c r="I2289" i="42"/>
  <c r="I2283" i="42"/>
  <c r="I2274" i="42"/>
  <c r="I2268" i="42"/>
  <c r="I2244" i="42"/>
  <c r="I2238" i="42"/>
  <c r="I2228" i="42"/>
  <c r="I2222" i="42"/>
  <c r="I2214" i="42"/>
  <c r="I2208" i="42"/>
  <c r="G2202" i="42"/>
  <c r="I2183" i="42"/>
  <c r="I2177" i="42"/>
  <c r="I2169" i="42"/>
  <c r="I2170" i="42" s="1"/>
  <c r="I2171" i="42" s="1"/>
  <c r="E113" i="41" s="1"/>
  <c r="I2156" i="42"/>
  <c r="I2150" i="42"/>
  <c r="I2141" i="42"/>
  <c r="I2135" i="42"/>
  <c r="I2125" i="42"/>
  <c r="I2119" i="42"/>
  <c r="I2109" i="42"/>
  <c r="I2103" i="42"/>
  <c r="I2086" i="42"/>
  <c r="G2097" i="42"/>
  <c r="I2075" i="42"/>
  <c r="I2069" i="42"/>
  <c r="I2064" i="42"/>
  <c r="I2058" i="42"/>
  <c r="I2019" i="42"/>
  <c r="I2013" i="42"/>
  <c r="I2008" i="42"/>
  <c r="I2009" i="42"/>
  <c r="I2002" i="42"/>
  <c r="I1990" i="42"/>
  <c r="I1984" i="42"/>
  <c r="I1979" i="42"/>
  <c r="I1973" i="42"/>
  <c r="I1961" i="42"/>
  <c r="I1962" i="42" s="1"/>
  <c r="I1949" i="42"/>
  <c r="I1950" i="42" s="1"/>
  <c r="I1938" i="42"/>
  <c r="I1939" i="42" s="1"/>
  <c r="I1927" i="42"/>
  <c r="I1928" i="42" s="1"/>
  <c r="I1916" i="42"/>
  <c r="I1917" i="42" s="1"/>
  <c r="I1878" i="42"/>
  <c r="I1868" i="42"/>
  <c r="I1862" i="42"/>
  <c r="I1836" i="42"/>
  <c r="I1830" i="42"/>
  <c r="N136" i="29"/>
  <c r="P136" i="29" s="1"/>
  <c r="N128" i="29"/>
  <c r="P128" i="29" s="1"/>
  <c r="N132" i="29"/>
  <c r="P132" i="29" s="1"/>
  <c r="N45" i="29"/>
  <c r="N54" i="28"/>
  <c r="P54" i="28" s="1"/>
  <c r="H134" i="6"/>
  <c r="H135" i="6"/>
  <c r="H137" i="6"/>
  <c r="H140" i="6"/>
  <c r="H141" i="6"/>
  <c r="H145" i="6"/>
  <c r="H149" i="6"/>
  <c r="H150" i="6"/>
  <c r="H154" i="6"/>
  <c r="H144" i="6"/>
  <c r="H148" i="6"/>
  <c r="H146" i="6"/>
  <c r="H147" i="6"/>
  <c r="H152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I1813" i="42"/>
  <c r="I1802" i="42"/>
  <c r="I1796" i="42"/>
  <c r="I1785" i="42"/>
  <c r="I1779" i="42"/>
  <c r="I874" i="42"/>
  <c r="I876" i="42" s="1"/>
  <c r="I885" i="42" s="1"/>
  <c r="E37" i="41" s="1"/>
  <c r="I843" i="42"/>
  <c r="I838" i="42"/>
  <c r="I820" i="42"/>
  <c r="I822" i="42" s="1"/>
  <c r="I742" i="42"/>
  <c r="I743" i="42" s="1"/>
  <c r="I726" i="42"/>
  <c r="I718" i="42"/>
  <c r="I719" i="42" s="1"/>
  <c r="I714" i="42"/>
  <c r="I716" i="42" s="1"/>
  <c r="I626" i="42"/>
  <c r="I628" i="42" s="1"/>
  <c r="I632" i="42" s="1"/>
  <c r="I618" i="42"/>
  <c r="I619" i="42" s="1"/>
  <c r="I614" i="42"/>
  <c r="I616" i="42" s="1"/>
  <c r="I587" i="42"/>
  <c r="I584" i="42"/>
  <c r="I585" i="42" s="1"/>
  <c r="I550" i="42"/>
  <c r="I551" i="42" s="1"/>
  <c r="I538" i="42"/>
  <c r="I540" i="42" s="1"/>
  <c r="I544" i="42" s="1"/>
  <c r="E22" i="41" s="1"/>
  <c r="I524" i="42"/>
  <c r="I155" i="42"/>
  <c r="I120" i="42"/>
  <c r="I116" i="42"/>
  <c r="I107" i="42"/>
  <c r="I102" i="42"/>
  <c r="I14" i="42"/>
  <c r="I7" i="42"/>
  <c r="N46" i="28"/>
  <c r="N47" i="28" s="1"/>
  <c r="C48" i="28" s="1"/>
  <c r="N48" i="28" s="1"/>
  <c r="F49" i="28" s="1"/>
  <c r="N49" i="28" s="1"/>
  <c r="P49" i="28" s="1"/>
  <c r="G1773" i="42"/>
  <c r="I1751" i="42"/>
  <c r="I1745" i="42"/>
  <c r="I1734" i="42"/>
  <c r="I1730" i="42"/>
  <c r="G1910" i="42"/>
  <c r="I1728" i="42"/>
  <c r="I1719" i="42"/>
  <c r="G1899" i="42"/>
  <c r="I1717" i="42"/>
  <c r="I1711" i="42"/>
  <c r="I1703" i="42"/>
  <c r="I1704" i="42" s="1"/>
  <c r="I1697" i="42"/>
  <c r="I1689" i="42"/>
  <c r="I1690" i="42" s="1"/>
  <c r="I1683" i="42"/>
  <c r="I1672" i="42"/>
  <c r="I1666" i="42"/>
  <c r="I1652" i="42"/>
  <c r="I1641" i="42"/>
  <c r="I1635" i="42"/>
  <c r="I1610" i="42"/>
  <c r="I1604" i="42"/>
  <c r="I1576" i="42"/>
  <c r="I1570" i="42"/>
  <c r="I1544" i="42"/>
  <c r="I1538" i="42"/>
  <c r="I1514" i="42"/>
  <c r="I1508" i="42"/>
  <c r="I1498" i="42"/>
  <c r="I1499" i="42" s="1"/>
  <c r="I1492" i="42"/>
  <c r="I1448" i="42"/>
  <c r="I1442" i="42"/>
  <c r="I1431" i="42"/>
  <c r="I1425" i="42"/>
  <c r="I1415" i="42"/>
  <c r="I1409" i="42"/>
  <c r="I1398" i="42"/>
  <c r="I1392" i="42"/>
  <c r="I1380" i="42"/>
  <c r="I1383" i="42" s="1"/>
  <c r="I1374" i="42"/>
  <c r="I1378" i="42" s="1"/>
  <c r="I1363" i="42"/>
  <c r="I1357" i="42"/>
  <c r="I1346" i="42"/>
  <c r="I1340" i="42"/>
  <c r="I1297" i="42"/>
  <c r="I1291" i="42"/>
  <c r="I1281" i="42"/>
  <c r="I1282" i="42" s="1"/>
  <c r="I1277" i="42"/>
  <c r="I1269" i="42"/>
  <c r="I1270" i="42" s="1"/>
  <c r="I1263" i="42"/>
  <c r="I1253" i="42"/>
  <c r="I1254" i="42" s="1"/>
  <c r="I1247" i="42"/>
  <c r="I1237" i="42"/>
  <c r="I1238" i="42" s="1"/>
  <c r="I1231" i="42"/>
  <c r="I1223" i="42"/>
  <c r="I1224" i="42" s="1"/>
  <c r="I1217" i="42"/>
  <c r="I1211" i="42"/>
  <c r="I1203" i="42"/>
  <c r="I1204" i="42" s="1"/>
  <c r="I1197" i="42"/>
  <c r="I1191" i="42"/>
  <c r="I1180" i="42"/>
  <c r="I1174" i="42"/>
  <c r="I1149" i="42"/>
  <c r="I1145" i="42"/>
  <c r="I1139" i="42"/>
  <c r="G1132" i="42"/>
  <c r="G1117" i="42"/>
  <c r="I1101" i="42"/>
  <c r="I1102" i="42" s="1"/>
  <c r="I1083" i="42"/>
  <c r="I1074" i="42"/>
  <c r="I1034" i="42"/>
  <c r="I1031" i="42"/>
  <c r="I1032" i="42" s="1"/>
  <c r="I1017" i="42"/>
  <c r="I1010" i="42"/>
  <c r="I933" i="42"/>
  <c r="I927" i="42"/>
  <c r="I915" i="42"/>
  <c r="I909" i="42"/>
  <c r="I861" i="42"/>
  <c r="I856" i="42"/>
  <c r="I824" i="42"/>
  <c r="I784" i="42"/>
  <c r="I776" i="42"/>
  <c r="I777" i="42" s="1"/>
  <c r="I778" i="42" s="1"/>
  <c r="E31" i="41" s="1"/>
  <c r="I766" i="42"/>
  <c r="I767" i="42" s="1"/>
  <c r="I762" i="42"/>
  <c r="I754" i="42"/>
  <c r="I755" i="42" s="1"/>
  <c r="I750" i="42"/>
  <c r="I738" i="42"/>
  <c r="I730" i="42"/>
  <c r="I731" i="42" s="1"/>
  <c r="I603" i="42"/>
  <c r="I570" i="42"/>
  <c r="I567" i="42"/>
  <c r="I568" i="42" s="1"/>
  <c r="I511" i="42"/>
  <c r="I498" i="42"/>
  <c r="I485" i="42"/>
  <c r="I144" i="42"/>
  <c r="I138" i="42"/>
  <c r="I127" i="42"/>
  <c r="I66" i="42"/>
  <c r="I57" i="42"/>
  <c r="I42" i="42"/>
  <c r="I35" i="42"/>
  <c r="M51" i="36"/>
  <c r="N148" i="30"/>
  <c r="M203" i="27"/>
  <c r="M147" i="27"/>
  <c r="M148" i="27" s="1"/>
  <c r="N140" i="26"/>
  <c r="N141" i="26" s="1"/>
  <c r="P141" i="26" s="1"/>
  <c r="N136" i="40"/>
  <c r="P136" i="40" s="1"/>
  <c r="N33" i="40"/>
  <c r="N35" i="40" s="1"/>
  <c r="N178" i="38"/>
  <c r="N174" i="38"/>
  <c r="P174" i="38" s="1"/>
  <c r="N110" i="38"/>
  <c r="N111" i="38" s="1"/>
  <c r="P111" i="38" s="1"/>
  <c r="N114" i="30"/>
  <c r="P114" i="30" s="1"/>
  <c r="M16" i="16"/>
  <c r="O16" i="16" s="1"/>
  <c r="E690" i="7" s="1"/>
  <c r="W690" i="7" s="1"/>
  <c r="N16" i="31"/>
  <c r="P16" i="31" s="1"/>
  <c r="N175" i="30"/>
  <c r="N176" i="30" s="1"/>
  <c r="P176" i="30" s="1"/>
  <c r="N183" i="30"/>
  <c r="N184" i="30" s="1"/>
  <c r="P184" i="30" s="1"/>
  <c r="N94" i="30"/>
  <c r="M104" i="17"/>
  <c r="M106" i="17" s="1"/>
  <c r="M244" i="25"/>
  <c r="M54" i="25"/>
  <c r="M197" i="24"/>
  <c r="N177" i="21"/>
  <c r="N81" i="21"/>
  <c r="M158" i="20"/>
  <c r="E1227" i="7" s="1"/>
  <c r="W1227" i="7" s="1"/>
  <c r="M141" i="20"/>
  <c r="E1222" i="7" s="1"/>
  <c r="W1222" i="7" s="1"/>
  <c r="N43" i="18"/>
  <c r="N44" i="18" s="1"/>
  <c r="P44" i="18" s="1"/>
  <c r="E1077" i="7" s="1"/>
  <c r="W1077" i="7" s="1"/>
  <c r="Y1077" i="7" s="1"/>
  <c r="M278" i="17"/>
  <c r="M280" i="17" s="1"/>
  <c r="M36" i="17"/>
  <c r="M235" i="16"/>
  <c r="M175" i="15"/>
  <c r="M176" i="15" s="1"/>
  <c r="O176" i="15" s="1"/>
  <c r="M138" i="15"/>
  <c r="E626" i="7" s="1"/>
  <c r="W626" i="7" s="1"/>
  <c r="N217" i="14"/>
  <c r="P217" i="14" s="1"/>
  <c r="E388" i="7" s="1"/>
  <c r="W388" i="7" s="1"/>
  <c r="N167" i="14"/>
  <c r="P167" i="14" s="1"/>
  <c r="N168" i="14"/>
  <c r="N166" i="14"/>
  <c r="P166" i="14" s="1"/>
  <c r="N45" i="14"/>
  <c r="M171" i="13"/>
  <c r="M154" i="13"/>
  <c r="M95" i="13"/>
  <c r="E448" i="7" s="1"/>
  <c r="W448" i="7" s="1"/>
  <c r="Y448" i="7" s="1"/>
  <c r="M96" i="13"/>
  <c r="E449" i="7" s="1"/>
  <c r="W449" i="7" s="1"/>
  <c r="Y449" i="7" s="1"/>
  <c r="M58" i="13"/>
  <c r="M57" i="13"/>
  <c r="M59" i="13" s="1"/>
  <c r="C60" i="13" s="1"/>
  <c r="M60" i="13" s="1"/>
  <c r="F61" i="13" s="1"/>
  <c r="M61" i="13" s="1"/>
  <c r="E434" i="7" s="1"/>
  <c r="W434" i="7" s="1"/>
  <c r="Y434" i="7" s="1"/>
  <c r="M50" i="13"/>
  <c r="M49" i="13"/>
  <c r="M28" i="13"/>
  <c r="M18" i="13"/>
  <c r="E423" i="7" s="1"/>
  <c r="W423" i="7" s="1"/>
  <c r="Y423" i="7" s="1"/>
  <c r="N133" i="11"/>
  <c r="P133" i="11" s="1"/>
  <c r="E265" i="7" s="1"/>
  <c r="W265" i="7" s="1"/>
  <c r="Y265" i="7" s="1"/>
  <c r="N126" i="10"/>
  <c r="P126" i="10" s="1"/>
  <c r="E219" i="7" s="1"/>
  <c r="W219" i="7" s="1"/>
  <c r="N199" i="9"/>
  <c r="N139" i="9"/>
  <c r="N143" i="9"/>
  <c r="N147" i="9"/>
  <c r="N83" i="9"/>
  <c r="P83" i="9" s="1"/>
  <c r="N15" i="9"/>
  <c r="W95" i="7" s="1"/>
  <c r="Y95" i="7" s="1"/>
  <c r="M1069" i="7"/>
  <c r="H1069" i="7"/>
  <c r="G28" i="4" s="1"/>
  <c r="H180" i="7"/>
  <c r="G17" i="4" s="1"/>
  <c r="N49" i="18"/>
  <c r="P49" i="18" s="1"/>
  <c r="E1078" i="7" s="1"/>
  <c r="W1078" i="7" s="1"/>
  <c r="N369" i="40"/>
  <c r="N232" i="40"/>
  <c r="N43" i="29"/>
  <c r="P43" i="29" s="1"/>
  <c r="N38" i="28"/>
  <c r="P38" i="28" s="1"/>
  <c r="N187" i="26"/>
  <c r="P187" i="26" s="1"/>
  <c r="N43" i="26"/>
  <c r="P43" i="26" s="1"/>
  <c r="N168" i="40"/>
  <c r="P168" i="40" s="1"/>
  <c r="N238" i="28"/>
  <c r="P238" i="28" s="1"/>
  <c r="N63" i="40"/>
  <c r="P63" i="40" s="1"/>
  <c r="N107" i="38"/>
  <c r="P107" i="38" s="1"/>
  <c r="M478" i="36"/>
  <c r="M470" i="36"/>
  <c r="M471" i="36" s="1"/>
  <c r="M472" i="36" s="1"/>
  <c r="M442" i="36"/>
  <c r="M400" i="36"/>
  <c r="M312" i="36"/>
  <c r="M273" i="36"/>
  <c r="M274" i="36" s="1"/>
  <c r="M268" i="36"/>
  <c r="M98" i="36"/>
  <c r="I2938" i="42"/>
  <c r="I2932" i="42"/>
  <c r="I2902" i="42"/>
  <c r="I2700" i="42"/>
  <c r="I2701" i="42" s="1"/>
  <c r="I2694" i="42"/>
  <c r="M85" i="36"/>
  <c r="C86" i="36" s="1"/>
  <c r="M86" i="36" s="1"/>
  <c r="O86" i="36" s="1"/>
  <c r="N184" i="33"/>
  <c r="P184" i="33" s="1"/>
  <c r="N192" i="33" s="1"/>
  <c r="N96" i="33"/>
  <c r="P96" i="33" s="1"/>
  <c r="N47" i="33"/>
  <c r="P47" i="33" s="1"/>
  <c r="N139" i="30"/>
  <c r="P139" i="30" s="1"/>
  <c r="H314" i="32"/>
  <c r="J314" i="32" s="1"/>
  <c r="M127" i="25"/>
  <c r="M220" i="24"/>
  <c r="M142" i="24"/>
  <c r="M143" i="24" s="1"/>
  <c r="O143" i="24" s="1"/>
  <c r="N514" i="21"/>
  <c r="C515" i="21" s="1"/>
  <c r="N94" i="35"/>
  <c r="P94" i="35" s="1"/>
  <c r="I144" i="34"/>
  <c r="N133" i="30"/>
  <c r="N115" i="30"/>
  <c r="P115" i="30" s="1"/>
  <c r="N176" i="21"/>
  <c r="M148" i="20"/>
  <c r="M149" i="20" s="1"/>
  <c r="E1224" i="7" s="1"/>
  <c r="W1224" i="7" s="1"/>
  <c r="M157" i="16"/>
  <c r="O157" i="16" s="1"/>
  <c r="E731" i="7" s="1"/>
  <c r="W731" i="7" s="1"/>
  <c r="M151" i="16"/>
  <c r="O151" i="16" s="1"/>
  <c r="E729" i="7" s="1"/>
  <c r="W729" i="7" s="1"/>
  <c r="M80" i="16"/>
  <c r="O80" i="16" s="1"/>
  <c r="E710" i="7" s="1"/>
  <c r="W710" i="7" s="1"/>
  <c r="M155" i="15"/>
  <c r="E631" i="7" s="1"/>
  <c r="W631" i="7" s="1"/>
  <c r="I2797" i="42"/>
  <c r="I2798" i="42" s="1"/>
  <c r="I2769" i="42"/>
  <c r="I2770" i="42" s="1"/>
  <c r="I2723" i="42"/>
  <c r="M411" i="11"/>
  <c r="M413" i="11" s="1"/>
  <c r="O413" i="11" s="1"/>
  <c r="M406" i="11"/>
  <c r="M409" i="11" s="1"/>
  <c r="O409" i="11" s="1"/>
  <c r="N135" i="10"/>
  <c r="N134" i="10"/>
  <c r="N193" i="9"/>
  <c r="N195" i="9" s="1"/>
  <c r="P195" i="9" s="1"/>
  <c r="E149" i="7" s="1"/>
  <c r="W149" i="7" s="1"/>
  <c r="Y149" i="7" s="1"/>
  <c r="N158" i="9"/>
  <c r="N159" i="9" s="1"/>
  <c r="P159" i="9" s="1"/>
  <c r="N79" i="9"/>
  <c r="P79" i="9" s="1"/>
  <c r="H614" i="6"/>
  <c r="J614" i="6" s="1"/>
  <c r="M33" i="19"/>
  <c r="E1107" i="7" s="1"/>
  <c r="W1107" i="7" s="1"/>
  <c r="I3841" i="42"/>
  <c r="I3706" i="42"/>
  <c r="I3698" i="42"/>
  <c r="I3699" i="42" s="1"/>
  <c r="I3597" i="42"/>
  <c r="I3598" i="42" s="1"/>
  <c r="I3584" i="42"/>
  <c r="I3371" i="42"/>
  <c r="I3372" i="42" s="1"/>
  <c r="I2950" i="42"/>
  <c r="I2953" i="42" s="1"/>
  <c r="E166" i="41" s="1"/>
  <c r="I2863" i="42"/>
  <c r="I2864" i="42" s="1"/>
  <c r="I2766" i="42"/>
  <c r="I2767" i="42" s="1"/>
  <c r="I1098" i="42"/>
  <c r="I1099" i="42" s="1"/>
  <c r="H321" i="5"/>
  <c r="J321" i="5" s="1"/>
  <c r="H109" i="5"/>
  <c r="M98" i="17"/>
  <c r="O98" i="17" s="1"/>
  <c r="E994" i="7" s="1"/>
  <c r="W994" i="7" s="1"/>
  <c r="I2894" i="42"/>
  <c r="I2895" i="42" s="1"/>
  <c r="I2819" i="42"/>
  <c r="I2791" i="42"/>
  <c r="I2708" i="42"/>
  <c r="M156" i="16"/>
  <c r="M154" i="16" s="1"/>
  <c r="O154" i="16" s="1"/>
  <c r="E730" i="7" s="1"/>
  <c r="W730" i="7" s="1"/>
  <c r="M84" i="16"/>
  <c r="O84" i="16" s="1"/>
  <c r="E714" i="7" s="1"/>
  <c r="W714" i="7" s="1"/>
  <c r="M114" i="15"/>
  <c r="E616" i="7" s="1"/>
  <c r="W616" i="7" s="1"/>
  <c r="M100" i="17"/>
  <c r="M102" i="17" s="1"/>
  <c r="O102" i="17" s="1"/>
  <c r="E995" i="7" s="1"/>
  <c r="W995" i="7" s="1"/>
  <c r="I2908" i="42"/>
  <c r="I2888" i="42"/>
  <c r="I2866" i="42"/>
  <c r="I2867" i="42" s="1"/>
  <c r="I2847" i="42"/>
  <c r="I2833" i="42"/>
  <c r="I2825" i="42"/>
  <c r="I2826" i="42" s="1"/>
  <c r="G2772" i="42"/>
  <c r="I2729" i="42"/>
  <c r="M91" i="16"/>
  <c r="O91" i="16" s="1"/>
  <c r="E721" i="7" s="1"/>
  <c r="W721" i="7" s="1"/>
  <c r="H103" i="7" l="1"/>
  <c r="H196" i="7"/>
  <c r="E108" i="7"/>
  <c r="W108" i="7"/>
  <c r="Y108" i="7" s="1"/>
  <c r="I1658" i="42"/>
  <c r="I2396" i="42"/>
  <c r="I3408" i="42"/>
  <c r="I3409" i="42" s="1"/>
  <c r="I3493" i="42"/>
  <c r="I3494" i="42" s="1"/>
  <c r="I996" i="42"/>
  <c r="I1070" i="42"/>
  <c r="I1314" i="42"/>
  <c r="I1315" i="42" s="1"/>
  <c r="I1400" i="42"/>
  <c r="I1482" i="42"/>
  <c r="I1483" i="42" s="1"/>
  <c r="I1560" i="42"/>
  <c r="I591" i="42"/>
  <c r="I2382" i="42"/>
  <c r="I3875" i="42"/>
  <c r="I4112" i="42"/>
  <c r="E861" i="7"/>
  <c r="W861" i="7" s="1"/>
  <c r="I971" i="42"/>
  <c r="I989" i="42"/>
  <c r="I1090" i="42"/>
  <c r="I1310" i="42"/>
  <c r="G1487" i="42"/>
  <c r="G1488" i="42" s="1"/>
  <c r="D72" i="41" s="1"/>
  <c r="I1655" i="42"/>
  <c r="I2342" i="42"/>
  <c r="I2398" i="42"/>
  <c r="I2783" i="42"/>
  <c r="I3176" i="42"/>
  <c r="I3210" i="42"/>
  <c r="I3536" i="42"/>
  <c r="E127" i="7"/>
  <c r="M127" i="7" s="1"/>
  <c r="W127" i="7"/>
  <c r="Y127" i="7" s="1"/>
  <c r="I1158" i="42"/>
  <c r="G2363" i="42"/>
  <c r="G2364" i="42" s="1"/>
  <c r="D126" i="41" s="1"/>
  <c r="I765" i="7" s="1"/>
  <c r="I4306" i="42"/>
  <c r="I4312" i="42"/>
  <c r="I4307" i="42"/>
  <c r="E142" i="7"/>
  <c r="W142" i="7"/>
  <c r="Y142" i="7" s="1"/>
  <c r="N47" i="14"/>
  <c r="F48" i="14" s="1"/>
  <c r="N48" i="14" s="1"/>
  <c r="P48" i="14" s="1"/>
  <c r="E335" i="7" s="1"/>
  <c r="W335" i="7" s="1"/>
  <c r="I948" i="42"/>
  <c r="I1089" i="42"/>
  <c r="I1163" i="42"/>
  <c r="I1164" i="42" s="1"/>
  <c r="I1884" i="42"/>
  <c r="I2332" i="42"/>
  <c r="I2333" i="42" s="1"/>
  <c r="I2402" i="42"/>
  <c r="I2403" i="42" s="1"/>
  <c r="I3411" i="42"/>
  <c r="I3412" i="42" s="1"/>
  <c r="I3535" i="42"/>
  <c r="I4123" i="42"/>
  <c r="N468" i="21"/>
  <c r="C469" i="21" s="1"/>
  <c r="I951" i="42"/>
  <c r="I978" i="42"/>
  <c r="I1047" i="42"/>
  <c r="F3761" i="42"/>
  <c r="G3761" i="42" s="1"/>
  <c r="I1141" i="42"/>
  <c r="I1478" i="42"/>
  <c r="I1880" i="42"/>
  <c r="I2357" i="42"/>
  <c r="I2756" i="42"/>
  <c r="G2883" i="42"/>
  <c r="G2884" i="42" s="1"/>
  <c r="D161" i="41" s="1"/>
  <c r="I1098" i="7" s="1"/>
  <c r="J1098" i="7" s="1"/>
  <c r="K1098" i="7" s="1"/>
  <c r="G3222" i="42"/>
  <c r="D185" i="41" s="1"/>
  <c r="I3490" i="42"/>
  <c r="I4200" i="42"/>
  <c r="I4201" i="42" s="1"/>
  <c r="I4204" i="42" s="1"/>
  <c r="E245" i="41" s="1"/>
  <c r="E431" i="7"/>
  <c r="W431" i="7" s="1"/>
  <c r="Y431" i="7" s="1"/>
  <c r="E126" i="7"/>
  <c r="W126" i="7"/>
  <c r="Y126" i="7" s="1"/>
  <c r="I998" i="42"/>
  <c r="I954" i="42"/>
  <c r="I1166" i="42"/>
  <c r="I1167" i="42" s="1"/>
  <c r="I526" i="42"/>
  <c r="I530" i="42" s="1"/>
  <c r="E21" i="41" s="1"/>
  <c r="I2340" i="42"/>
  <c r="I2530" i="42"/>
  <c r="I2652" i="42"/>
  <c r="I3541" i="42"/>
  <c r="I3542" i="42" s="1"/>
  <c r="I4282" i="42"/>
  <c r="M68" i="36"/>
  <c r="G851" i="42"/>
  <c r="I949" i="42"/>
  <c r="I976" i="42"/>
  <c r="I1071" i="42"/>
  <c r="F3760" i="42"/>
  <c r="G3760" i="42" s="1"/>
  <c r="G1169" i="42"/>
  <c r="G1170" i="42" s="1"/>
  <c r="D53" i="41" s="1"/>
  <c r="I1047" i="7" s="1"/>
  <c r="J1047" i="7" s="1"/>
  <c r="K1047" i="7" s="1"/>
  <c r="I1175" i="42"/>
  <c r="G1503" i="42"/>
  <c r="I1562" i="42"/>
  <c r="I1627" i="42"/>
  <c r="I1885" i="42"/>
  <c r="I2005" i="42"/>
  <c r="G2248" i="42"/>
  <c r="G2249" i="42" s="1"/>
  <c r="D118" i="41" s="1"/>
  <c r="I2275" i="42"/>
  <c r="G2307" i="42"/>
  <c r="G2308" i="42" s="1"/>
  <c r="D122" i="41" s="1"/>
  <c r="I764" i="7" s="1"/>
  <c r="J764" i="7" s="1"/>
  <c r="K764" i="7" s="1"/>
  <c r="I2355" i="42"/>
  <c r="G2842" i="42"/>
  <c r="G2843" i="42" s="1"/>
  <c r="D158" i="41" s="1"/>
  <c r="I1091" i="7" s="1"/>
  <c r="J1091" i="7" s="1"/>
  <c r="K1091" i="7" s="1"/>
  <c r="I2875" i="42"/>
  <c r="I3025" i="42"/>
  <c r="G3221" i="42"/>
  <c r="G3466" i="42"/>
  <c r="G3467" i="42" s="1"/>
  <c r="D200" i="41" s="1"/>
  <c r="I1020" i="7" s="1"/>
  <c r="J1020" i="7" s="1"/>
  <c r="I3488" i="42"/>
  <c r="I3491" i="42" s="1"/>
  <c r="I3497" i="42" s="1"/>
  <c r="E202" i="41" s="1"/>
  <c r="I4134" i="42"/>
  <c r="I4195" i="42"/>
  <c r="I4271" i="42"/>
  <c r="I4273" i="42" s="1"/>
  <c r="I4276" i="42" s="1"/>
  <c r="E248" i="41" s="1"/>
  <c r="H92" i="7"/>
  <c r="I3811" i="42"/>
  <c r="I3815" i="42"/>
  <c r="G3498" i="42"/>
  <c r="G3499" i="42" s="1"/>
  <c r="D202" i="41" s="1"/>
  <c r="I1022" i="7" s="1"/>
  <c r="J1022" i="7" s="1"/>
  <c r="K1022" i="7" s="1"/>
  <c r="I2874" i="42"/>
  <c r="I2880" i="42"/>
  <c r="I2881" i="42" s="1"/>
  <c r="I2738" i="42"/>
  <c r="I968" i="42"/>
  <c r="I1046" i="42"/>
  <c r="I1619" i="42"/>
  <c r="I2346" i="42"/>
  <c r="I2347" i="42" s="1"/>
  <c r="I2658" i="42"/>
  <c r="I2659" i="42" s="1"/>
  <c r="I3209" i="42"/>
  <c r="I4193" i="42"/>
  <c r="I4197" i="42" s="1"/>
  <c r="M224" i="13"/>
  <c r="E475" i="7"/>
  <c r="W475" i="7" s="1"/>
  <c r="Y475" i="7" s="1"/>
  <c r="I956" i="42"/>
  <c r="I969" i="42"/>
  <c r="I1067" i="42"/>
  <c r="F3759" i="42"/>
  <c r="G3759" i="42" s="1"/>
  <c r="I1160" i="42"/>
  <c r="I1183" i="42"/>
  <c r="I1555" i="42"/>
  <c r="G1661" i="42"/>
  <c r="G1662" i="42" s="1"/>
  <c r="D83" i="41" s="1"/>
  <c r="I1881" i="42"/>
  <c r="I2269" i="42"/>
  <c r="I2299" i="42"/>
  <c r="G2408" i="42"/>
  <c r="D129" i="41" s="1"/>
  <c r="G2661" i="42"/>
  <c r="G2761" i="42"/>
  <c r="G2762" i="42" s="1"/>
  <c r="D152" i="41" s="1"/>
  <c r="I2836" i="42"/>
  <c r="I2837" i="42" s="1"/>
  <c r="I3212" i="42"/>
  <c r="I4196" i="42"/>
  <c r="I4268" i="42"/>
  <c r="I4108" i="42"/>
  <c r="E121" i="7"/>
  <c r="W121" i="7"/>
  <c r="Y121" i="7" s="1"/>
  <c r="E125" i="7"/>
  <c r="W125" i="7"/>
  <c r="Y125" i="7" s="1"/>
  <c r="I2755" i="42"/>
  <c r="I974" i="42"/>
  <c r="I2298" i="42"/>
  <c r="I2354" i="42"/>
  <c r="I3215" i="42"/>
  <c r="I4106" i="42"/>
  <c r="M102" i="7"/>
  <c r="H140" i="7"/>
  <c r="G983" i="42"/>
  <c r="G984" i="42" s="1"/>
  <c r="D42" i="41" s="1"/>
  <c r="G1005" i="42"/>
  <c r="G1006" i="42" s="1"/>
  <c r="D43" i="41" s="1"/>
  <c r="L83" i="7" s="1"/>
  <c r="U83" i="7" s="1"/>
  <c r="G1093" i="42"/>
  <c r="G1094" i="42" s="1"/>
  <c r="D48" i="41" s="1"/>
  <c r="L79" i="7" s="1"/>
  <c r="L85" i="7" s="1"/>
  <c r="U85" i="7" s="1"/>
  <c r="G1153" i="42"/>
  <c r="G1154" i="42" s="1"/>
  <c r="D52" i="41" s="1"/>
  <c r="I1177" i="42"/>
  <c r="I1653" i="42"/>
  <c r="G1692" i="42"/>
  <c r="G1693" i="42" s="1"/>
  <c r="D85" i="41" s="1"/>
  <c r="I1879" i="42"/>
  <c r="G2349" i="42"/>
  <c r="G2350" i="42" s="1"/>
  <c r="D125" i="41" s="1"/>
  <c r="G2407" i="42"/>
  <c r="I2653" i="42"/>
  <c r="I2781" i="42"/>
  <c r="I2834" i="42"/>
  <c r="I3211" i="42"/>
  <c r="I3538" i="42"/>
  <c r="I3539" i="42" s="1"/>
  <c r="I3545" i="42" s="1"/>
  <c r="E205" i="41" s="1"/>
  <c r="G3819" i="42"/>
  <c r="G3820" i="42" s="1"/>
  <c r="D222" i="41" s="1"/>
  <c r="G4159" i="42"/>
  <c r="G4160" i="42" s="1"/>
  <c r="D242" i="41" s="1"/>
  <c r="I307" i="7" s="1"/>
  <c r="J307" i="7" s="1"/>
  <c r="K307" i="7" s="1"/>
  <c r="I4260" i="42"/>
  <c r="I4124" i="42"/>
  <c r="I1479" i="42"/>
  <c r="I2752" i="42"/>
  <c r="I2753" i="42" s="1"/>
  <c r="I2780" i="42"/>
  <c r="I988" i="42"/>
  <c r="I1308" i="42"/>
  <c r="I1396" i="42"/>
  <c r="I1403" i="42" s="1"/>
  <c r="E67" i="41" s="1"/>
  <c r="I1554" i="42"/>
  <c r="I2304" i="42"/>
  <c r="I2305" i="42" s="1"/>
  <c r="I2360" i="42"/>
  <c r="I2361" i="42" s="1"/>
  <c r="I993" i="42"/>
  <c r="I1684" i="42"/>
  <c r="I1864" i="42"/>
  <c r="I2240" i="42"/>
  <c r="I2499" i="42"/>
  <c r="I3177" i="42"/>
  <c r="I3537" i="42"/>
  <c r="I4151" i="42"/>
  <c r="E104" i="7"/>
  <c r="H104" i="7" s="1"/>
  <c r="W104" i="7"/>
  <c r="Y104" i="7" s="1"/>
  <c r="W76" i="7"/>
  <c r="Y76" i="7" s="1"/>
  <c r="L81" i="7"/>
  <c r="L80" i="7"/>
  <c r="Q76" i="7"/>
  <c r="H188" i="7"/>
  <c r="W188" i="7"/>
  <c r="M204" i="7"/>
  <c r="W204" i="7"/>
  <c r="H1164" i="7"/>
  <c r="W1164" i="7"/>
  <c r="H187" i="7"/>
  <c r="W187" i="7"/>
  <c r="M350" i="7"/>
  <c r="W350" i="7"/>
  <c r="Y1078" i="7"/>
  <c r="H244" i="7"/>
  <c r="W244" i="7"/>
  <c r="Y244" i="7" s="1"/>
  <c r="H203" i="7"/>
  <c r="W203" i="7"/>
  <c r="H498" i="7"/>
  <c r="W498" i="7"/>
  <c r="Y498" i="7" s="1"/>
  <c r="H316" i="7"/>
  <c r="W316" i="7"/>
  <c r="H317" i="7"/>
  <c r="W317" i="7"/>
  <c r="M622" i="7"/>
  <c r="W622" i="7"/>
  <c r="H277" i="7"/>
  <c r="W277" i="7"/>
  <c r="Y277" i="7" s="1"/>
  <c r="M487" i="7"/>
  <c r="W487" i="7"/>
  <c r="Y487" i="7" s="1"/>
  <c r="H1110" i="7"/>
  <c r="W1110" i="7"/>
  <c r="M207" i="7"/>
  <c r="W207" i="7"/>
  <c r="H1225" i="7"/>
  <c r="W1225" i="7"/>
  <c r="H1233" i="7"/>
  <c r="W1233" i="7"/>
  <c r="H494" i="7"/>
  <c r="W494" i="7"/>
  <c r="Y494" i="7" s="1"/>
  <c r="H1198" i="7"/>
  <c r="W1198" i="7"/>
  <c r="Y454" i="7"/>
  <c r="H201" i="7"/>
  <c r="W201" i="7"/>
  <c r="H651" i="7"/>
  <c r="W651" i="7"/>
  <c r="H1203" i="7"/>
  <c r="W1203" i="7"/>
  <c r="H736" i="7"/>
  <c r="W736" i="7"/>
  <c r="M499" i="7"/>
  <c r="W499" i="7"/>
  <c r="Y499" i="7" s="1"/>
  <c r="M632" i="7"/>
  <c r="W632" i="7"/>
  <c r="H315" i="7"/>
  <c r="W315" i="7"/>
  <c r="M76" i="7"/>
  <c r="H508" i="7"/>
  <c r="W508" i="7"/>
  <c r="Y508" i="7" s="1"/>
  <c r="H209" i="7"/>
  <c r="W209" i="7"/>
  <c r="M202" i="7"/>
  <c r="W202" i="7"/>
  <c r="H630" i="7"/>
  <c r="W630" i="7"/>
  <c r="M16" i="8"/>
  <c r="E75" i="7" s="1"/>
  <c r="M75" i="7" s="1"/>
  <c r="M17" i="8"/>
  <c r="O75" i="7" s="1"/>
  <c r="M630" i="7"/>
  <c r="U1282" i="7"/>
  <c r="M1225" i="7"/>
  <c r="H204" i="7"/>
  <c r="M187" i="7"/>
  <c r="I17" i="4"/>
  <c r="L17" i="4" s="1"/>
  <c r="M417" i="7"/>
  <c r="I37" i="4"/>
  <c r="I28" i="4"/>
  <c r="L28" i="4" s="1"/>
  <c r="H1344" i="7"/>
  <c r="G36" i="4" s="1"/>
  <c r="E33" i="3" s="1"/>
  <c r="H499" i="7"/>
  <c r="H632" i="7"/>
  <c r="M188" i="7"/>
  <c r="M1110" i="7"/>
  <c r="K1342" i="7"/>
  <c r="H622" i="7"/>
  <c r="H487" i="7"/>
  <c r="M203" i="7"/>
  <c r="H202" i="7"/>
  <c r="M201" i="7"/>
  <c r="M1198" i="7"/>
  <c r="M494" i="7"/>
  <c r="M316" i="7"/>
  <c r="H207" i="7"/>
  <c r="M498" i="7"/>
  <c r="I3040" i="42"/>
  <c r="N64" i="33"/>
  <c r="P64" i="33" s="1"/>
  <c r="I1325" i="42"/>
  <c r="I2043" i="42"/>
  <c r="I2489" i="42"/>
  <c r="I2586" i="42"/>
  <c r="I2835" i="42"/>
  <c r="G3052" i="42"/>
  <c r="G3053" i="42" s="1"/>
  <c r="D175" i="41" s="1"/>
  <c r="I1095" i="7" s="1"/>
  <c r="J1095" i="7" s="1"/>
  <c r="K1095" i="7" s="1"/>
  <c r="G3482" i="42"/>
  <c r="G3483" i="42" s="1"/>
  <c r="D201" i="41" s="1"/>
  <c r="I1023" i="7" s="1"/>
  <c r="J1023" i="7" s="1"/>
  <c r="K1023" i="7" s="1"/>
  <c r="I3568" i="42"/>
  <c r="I3672" i="42"/>
  <c r="I1327" i="42"/>
  <c r="K1025" i="7"/>
  <c r="M277" i="7"/>
  <c r="I2478" i="42"/>
  <c r="I2583" i="42"/>
  <c r="I3042" i="42"/>
  <c r="I4020" i="42"/>
  <c r="I553" i="42"/>
  <c r="I2481" i="42"/>
  <c r="I3063" i="42"/>
  <c r="I3645" i="42"/>
  <c r="I4234" i="42"/>
  <c r="K31" i="7"/>
  <c r="G30" i="42"/>
  <c r="G31" i="42" s="1"/>
  <c r="D6" i="41" s="1"/>
  <c r="I14" i="7" s="1"/>
  <c r="J14" i="7" s="1"/>
  <c r="K14" i="7" s="1"/>
  <c r="I1011" i="42"/>
  <c r="I1596" i="42"/>
  <c r="I1752" i="42"/>
  <c r="G1825" i="42"/>
  <c r="G1826" i="42" s="1"/>
  <c r="D93" i="41" s="1"/>
  <c r="I2490" i="42"/>
  <c r="I2576" i="42"/>
  <c r="I3041" i="42"/>
  <c r="G3152" i="42"/>
  <c r="G3153" i="42" s="1"/>
  <c r="D181" i="41" s="1"/>
  <c r="I538" i="7" s="1"/>
  <c r="J538" i="7" s="1"/>
  <c r="K538" i="7" s="1"/>
  <c r="I3474" i="42"/>
  <c r="I3475" i="42" s="1"/>
  <c r="I3481" i="42" s="1"/>
  <c r="E201" i="41" s="1"/>
  <c r="I3671" i="42"/>
  <c r="I3792" i="42"/>
  <c r="I4014" i="42"/>
  <c r="M244" i="7"/>
  <c r="M317" i="7"/>
  <c r="I1591" i="42"/>
  <c r="I2370" i="42"/>
  <c r="I2485" i="42"/>
  <c r="I2588" i="42"/>
  <c r="I3043" i="42"/>
  <c r="I3667" i="42"/>
  <c r="I3793" i="42"/>
  <c r="I4019" i="42"/>
  <c r="I4021" i="42" s="1"/>
  <c r="I1326" i="42"/>
  <c r="I1459" i="42"/>
  <c r="I3661" i="42"/>
  <c r="I3663" i="42" s="1"/>
  <c r="I4262" i="42"/>
  <c r="E917" i="7"/>
  <c r="I15" i="42"/>
  <c r="G904" i="42"/>
  <c r="G905" i="42" s="1"/>
  <c r="D38" i="41" s="1"/>
  <c r="I999" i="42"/>
  <c r="I1592" i="42"/>
  <c r="I1820" i="42"/>
  <c r="G2391" i="42"/>
  <c r="G2392" i="42" s="1"/>
  <c r="D128" i="41" s="1"/>
  <c r="I766" i="7" s="1"/>
  <c r="J766" i="7" s="1"/>
  <c r="I2482" i="42"/>
  <c r="I2584" i="42"/>
  <c r="G2983" i="42"/>
  <c r="G2984" i="42" s="1"/>
  <c r="D168" i="41" s="1"/>
  <c r="I1037" i="7" s="1"/>
  <c r="J1037" i="7" s="1"/>
  <c r="K1037" i="7" s="1"/>
  <c r="G3069" i="42"/>
  <c r="I3141" i="42"/>
  <c r="I3974" i="42"/>
  <c r="I3975" i="42" s="1"/>
  <c r="I4015" i="42"/>
  <c r="I891" i="42"/>
  <c r="I1590" i="42"/>
  <c r="N181" i="21"/>
  <c r="P181" i="21" s="1"/>
  <c r="E1298" i="7" s="1"/>
  <c r="N154" i="26"/>
  <c r="N155" i="26" s="1"/>
  <c r="P155" i="26" s="1"/>
  <c r="I1846" i="42"/>
  <c r="I2029" i="42"/>
  <c r="I2744" i="42"/>
  <c r="I2745" i="42" s="1"/>
  <c r="I3665" i="42"/>
  <c r="I3859" i="42"/>
  <c r="M209" i="7"/>
  <c r="M315" i="7"/>
  <c r="I17" i="42"/>
  <c r="I893" i="42"/>
  <c r="I991" i="42"/>
  <c r="G1272" i="42"/>
  <c r="G1273" i="42" s="1"/>
  <c r="D59" i="41" s="1"/>
  <c r="G1565" i="42"/>
  <c r="G1566" i="42" s="1"/>
  <c r="D77" i="41" s="1"/>
  <c r="I1748" i="42"/>
  <c r="I1815" i="42"/>
  <c r="I2142" i="42"/>
  <c r="I2384" i="42"/>
  <c r="I2487" i="42"/>
  <c r="I2577" i="42"/>
  <c r="I2876" i="42"/>
  <c r="I2976" i="42"/>
  <c r="I3060" i="42"/>
  <c r="I3147" i="42"/>
  <c r="I3673" i="42"/>
  <c r="I4013" i="42"/>
  <c r="G4253" i="42"/>
  <c r="G4254" i="42" s="1"/>
  <c r="D247" i="41" s="1"/>
  <c r="I1341" i="7" s="1"/>
  <c r="J1341" i="7" s="1"/>
  <c r="K1341" i="7" s="1"/>
  <c r="G2592" i="42"/>
  <c r="I2585" i="42"/>
  <c r="I3459" i="42"/>
  <c r="I3465" i="42" s="1"/>
  <c r="E200" i="41" s="1"/>
  <c r="I2032" i="42"/>
  <c r="I728" i="42"/>
  <c r="I1852" i="42"/>
  <c r="I2035" i="42"/>
  <c r="N32" i="11"/>
  <c r="M261" i="13"/>
  <c r="M651" i="7"/>
  <c r="M71" i="24"/>
  <c r="N313" i="33"/>
  <c r="N158" i="38"/>
  <c r="I16" i="42"/>
  <c r="I60" i="42"/>
  <c r="G833" i="42"/>
  <c r="G834" i="42" s="1"/>
  <c r="D34" i="41" s="1"/>
  <c r="I1174" i="7" s="1"/>
  <c r="I899" i="42"/>
  <c r="I950" i="42"/>
  <c r="I997" i="42"/>
  <c r="I1556" i="42"/>
  <c r="I2138" i="42"/>
  <c r="I2385" i="42"/>
  <c r="G2614" i="42"/>
  <c r="G2615" i="42" s="1"/>
  <c r="D141" i="41" s="1"/>
  <c r="I2975" i="42"/>
  <c r="I3059" i="42"/>
  <c r="I4248" i="42"/>
  <c r="M280" i="13"/>
  <c r="I3046" i="42"/>
  <c r="I1595" i="42"/>
  <c r="M66" i="24"/>
  <c r="M1164" i="7"/>
  <c r="I11" i="42"/>
  <c r="I898" i="42"/>
  <c r="I2137" i="42"/>
  <c r="I2609" i="42"/>
  <c r="G2647" i="42"/>
  <c r="G2648" i="42" s="1"/>
  <c r="D143" i="41" s="1"/>
  <c r="I2995" i="42"/>
  <c r="I3058" i="42"/>
  <c r="G3170" i="42"/>
  <c r="G3514" i="42"/>
  <c r="G3515" i="42" s="1"/>
  <c r="D203" i="41" s="1"/>
  <c r="I1024" i="7" s="1"/>
  <c r="J1024" i="7" s="1"/>
  <c r="K1024" i="7" s="1"/>
  <c r="I3651" i="42"/>
  <c r="I4246" i="42"/>
  <c r="I2046" i="42"/>
  <c r="I3314" i="42"/>
  <c r="I3320" i="42" s="1"/>
  <c r="E191" i="41" s="1"/>
  <c r="I3509" i="42"/>
  <c r="I3510" i="42" s="1"/>
  <c r="E864" i="7"/>
  <c r="M864" i="7" s="1"/>
  <c r="I27" i="42"/>
  <c r="I892" i="42"/>
  <c r="G1857" i="42"/>
  <c r="G1858" i="42" s="1"/>
  <c r="D95" i="41" s="1"/>
  <c r="I2606" i="42"/>
  <c r="I2641" i="42"/>
  <c r="G2814" i="42"/>
  <c r="G2815" i="42" s="1"/>
  <c r="D156" i="41" s="1"/>
  <c r="I568" i="7" s="1"/>
  <c r="J568" i="7" s="1"/>
  <c r="K568" i="7" s="1"/>
  <c r="I3064" i="42"/>
  <c r="I3165" i="42"/>
  <c r="I3522" i="42"/>
  <c r="I3650" i="42"/>
  <c r="I4235" i="42"/>
  <c r="K1093" i="7"/>
  <c r="I1589" i="42"/>
  <c r="I1330" i="42"/>
  <c r="I1331" i="42" s="1"/>
  <c r="I2368" i="42"/>
  <c r="I3519" i="42"/>
  <c r="M736" i="7"/>
  <c r="I8" i="42"/>
  <c r="I70" i="42"/>
  <c r="I825" i="42"/>
  <c r="I894" i="42"/>
  <c r="I958" i="42"/>
  <c r="I1193" i="42"/>
  <c r="G1303" i="42"/>
  <c r="G1304" i="42" s="1"/>
  <c r="D61" i="41" s="1"/>
  <c r="I1050" i="7" s="1"/>
  <c r="J1050" i="7" s="1"/>
  <c r="K1050" i="7" s="1"/>
  <c r="I1561" i="42"/>
  <c r="G1706" i="42"/>
  <c r="G1707" i="42" s="1"/>
  <c r="D86" i="41" s="1"/>
  <c r="I305" i="7" s="1"/>
  <c r="I1854" i="42"/>
  <c r="I2020" i="42"/>
  <c r="I2158" i="42"/>
  <c r="I2301" i="42"/>
  <c r="I2598" i="42"/>
  <c r="I2639" i="42"/>
  <c r="I2807" i="42"/>
  <c r="I3008" i="42"/>
  <c r="G3084" i="42"/>
  <c r="I3159" i="42"/>
  <c r="I3520" i="42"/>
  <c r="I3649" i="42"/>
  <c r="I4247" i="42"/>
  <c r="I2917" i="42"/>
  <c r="I26" i="42"/>
  <c r="I1198" i="42"/>
  <c r="I1294" i="42"/>
  <c r="I1848" i="42"/>
  <c r="I2015" i="42"/>
  <c r="I2153" i="42"/>
  <c r="I2611" i="42"/>
  <c r="I2806" i="42"/>
  <c r="I3076" i="42"/>
  <c r="I3158" i="42"/>
  <c r="G3414" i="42"/>
  <c r="G3415" i="42" s="1"/>
  <c r="D197" i="41" s="1"/>
  <c r="I3505" i="42"/>
  <c r="I3648" i="42"/>
  <c r="I4243" i="42"/>
  <c r="I2483" i="42"/>
  <c r="I2808" i="42"/>
  <c r="I2809" i="42" s="1"/>
  <c r="I3503" i="42"/>
  <c r="I2811" i="42"/>
  <c r="I2812" i="42" s="1"/>
  <c r="H350" i="7"/>
  <c r="G852" i="42"/>
  <c r="D35" i="41" s="1"/>
  <c r="I334" i="7" s="1"/>
  <c r="J334" i="7" s="1"/>
  <c r="K334" i="7" s="1"/>
  <c r="G1647" i="42"/>
  <c r="G1648" i="42" s="1"/>
  <c r="D82" i="41" s="1"/>
  <c r="I400" i="7" s="1"/>
  <c r="J400" i="7" s="1"/>
  <c r="K400" i="7" s="1"/>
  <c r="N47" i="26"/>
  <c r="C48" i="26" s="1"/>
  <c r="N48" i="26" s="1"/>
  <c r="F49" i="26" s="1"/>
  <c r="N49" i="26" s="1"/>
  <c r="P49" i="26" s="1"/>
  <c r="I1847" i="42"/>
  <c r="I2157" i="42"/>
  <c r="I2607" i="42"/>
  <c r="I3160" i="42"/>
  <c r="I3404" i="42"/>
  <c r="I3521" i="42"/>
  <c r="I3644" i="42"/>
  <c r="G3726" i="42"/>
  <c r="G3727" i="42" s="1"/>
  <c r="D216" i="41" s="1"/>
  <c r="I4241" i="42"/>
  <c r="I2040" i="42"/>
  <c r="I2358" i="42"/>
  <c r="I2362" i="42" s="1"/>
  <c r="E126" i="41" s="1"/>
  <c r="I2546" i="42"/>
  <c r="I846" i="42"/>
  <c r="I2575" i="42"/>
  <c r="I3525" i="42"/>
  <c r="I3526" i="42" s="1"/>
  <c r="I3714" i="42"/>
  <c r="I2923" i="42"/>
  <c r="I2973" i="42"/>
  <c r="I1523" i="42"/>
  <c r="I3163" i="42"/>
  <c r="G1534" i="42"/>
  <c r="D75" i="41" s="1"/>
  <c r="I1638" i="42"/>
  <c r="I1853" i="42"/>
  <c r="I2315" i="42"/>
  <c r="I2604" i="42"/>
  <c r="G2747" i="42"/>
  <c r="G2748" i="42" s="1"/>
  <c r="D150" i="41" s="1"/>
  <c r="G3187" i="42"/>
  <c r="G3188" i="42" s="1"/>
  <c r="D183" i="41" s="1"/>
  <c r="I3405" i="42"/>
  <c r="I3506" i="42"/>
  <c r="I3643" i="42"/>
  <c r="I3721" i="42"/>
  <c r="I4236" i="42"/>
  <c r="G4023" i="42"/>
  <c r="G4024" i="42" s="1"/>
  <c r="D233" i="41" s="1"/>
  <c r="I162" i="7" s="1"/>
  <c r="J162" i="7" s="1"/>
  <c r="K162" i="7" s="1"/>
  <c r="I2581" i="42"/>
  <c r="I3157" i="42"/>
  <c r="I3719" i="42"/>
  <c r="I1529" i="42"/>
  <c r="I2253" i="42"/>
  <c r="I2603" i="42"/>
  <c r="I2988" i="42"/>
  <c r="I3175" i="42"/>
  <c r="I4003" i="42"/>
  <c r="M508" i="7"/>
  <c r="N253" i="21"/>
  <c r="I25" i="42"/>
  <c r="G562" i="42"/>
  <c r="G563" i="42" s="1"/>
  <c r="D169" i="41" s="1"/>
  <c r="I1046" i="7" s="1"/>
  <c r="J1046" i="7" s="1"/>
  <c r="K1046" i="7" s="1"/>
  <c r="I840" i="42"/>
  <c r="I841" i="42" s="1"/>
  <c r="I850" i="42" s="1"/>
  <c r="E35" i="41" s="1"/>
  <c r="I917" i="42"/>
  <c r="G1533" i="42"/>
  <c r="I1636" i="42"/>
  <c r="I2016" i="42"/>
  <c r="I2060" i="42"/>
  <c r="G2263" i="42"/>
  <c r="G2264" i="42" s="1"/>
  <c r="D119" i="41" s="1"/>
  <c r="I499" i="7" s="1"/>
  <c r="J499" i="7" s="1"/>
  <c r="G2335" i="42"/>
  <c r="G2336" i="42" s="1"/>
  <c r="D124" i="41" s="1"/>
  <c r="I2597" i="42"/>
  <c r="I2655" i="42"/>
  <c r="I2740" i="42"/>
  <c r="G2927" i="42"/>
  <c r="G2928" i="42" s="1"/>
  <c r="D164" i="41" s="1"/>
  <c r="I1085" i="7" s="1"/>
  <c r="J1085" i="7" s="1"/>
  <c r="K1085" i="7" s="1"/>
  <c r="I3108" i="42"/>
  <c r="I3178" i="42"/>
  <c r="G3305" i="42"/>
  <c r="G3306" i="42" s="1"/>
  <c r="D190" i="41" s="1"/>
  <c r="I3642" i="42"/>
  <c r="I3715" i="42"/>
  <c r="I4149" i="42"/>
  <c r="I4152" i="42" s="1"/>
  <c r="I4158" i="42" s="1"/>
  <c r="E242" i="41" s="1"/>
  <c r="I4244" i="42"/>
  <c r="I2475" i="42"/>
  <c r="I2600" i="42"/>
  <c r="I2601" i="42" s="1"/>
  <c r="I2979" i="42"/>
  <c r="I3346" i="42"/>
  <c r="I3733" i="42"/>
  <c r="I3740" i="42" s="1"/>
  <c r="E217" i="41" s="1"/>
  <c r="I3997" i="42"/>
  <c r="I81" i="42"/>
  <c r="I2259" i="42"/>
  <c r="I3747" i="42"/>
  <c r="I3754" i="42" s="1"/>
  <c r="E218" i="41" s="1"/>
  <c r="I4012" i="42"/>
  <c r="I4168" i="42"/>
  <c r="E479" i="7"/>
  <c r="I24" i="42"/>
  <c r="G95" i="42"/>
  <c r="G96" i="42" s="1"/>
  <c r="D9" i="41" s="1"/>
  <c r="I555" i="42"/>
  <c r="I844" i="42"/>
  <c r="I1524" i="42"/>
  <c r="I1642" i="42"/>
  <c r="G1874" i="42"/>
  <c r="D96" i="41" s="1"/>
  <c r="I317" i="7" s="1"/>
  <c r="J317" i="7" s="1"/>
  <c r="G2189" i="42"/>
  <c r="D114" i="41" s="1"/>
  <c r="I763" i="7" s="1"/>
  <c r="J763" i="7" s="1"/>
  <c r="K763" i="7" s="1"/>
  <c r="I2256" i="42"/>
  <c r="I2327" i="42"/>
  <c r="I2610" i="42"/>
  <c r="G2676" i="42"/>
  <c r="D145" i="41" s="1"/>
  <c r="I174" i="7" s="1"/>
  <c r="J174" i="7" s="1"/>
  <c r="K174" i="7" s="1"/>
  <c r="I2741" i="42"/>
  <c r="G3035" i="42"/>
  <c r="G3036" i="42" s="1"/>
  <c r="D174" i="41" s="1"/>
  <c r="I3107" i="42"/>
  <c r="I3182" i="42"/>
  <c r="I3183" i="42" s="1"/>
  <c r="I3296" i="42"/>
  <c r="I3298" i="42" s="1"/>
  <c r="I3304" i="42" s="1"/>
  <c r="E190" i="41" s="1"/>
  <c r="G3656" i="42"/>
  <c r="G3657" i="42" s="1"/>
  <c r="D212" i="41" s="1"/>
  <c r="I3720" i="42"/>
  <c r="I3640" i="42"/>
  <c r="I86" i="42"/>
  <c r="I2419" i="42"/>
  <c r="E130" i="41" s="1"/>
  <c r="N246" i="33"/>
  <c r="P246" i="33" s="1"/>
  <c r="G2052" i="42"/>
  <c r="G2053" i="42" s="1"/>
  <c r="D107" i="41" s="1"/>
  <c r="I662" i="7" s="1"/>
  <c r="J662" i="7" s="1"/>
  <c r="K662" i="7" s="1"/>
  <c r="M480" i="36"/>
  <c r="I3406" i="42"/>
  <c r="I3413" i="42" s="1"/>
  <c r="E197" i="41" s="1"/>
  <c r="M68" i="13"/>
  <c r="E436" i="7" s="1"/>
  <c r="M122" i="27"/>
  <c r="I4119" i="42"/>
  <c r="I4118" i="42"/>
  <c r="I4109" i="42"/>
  <c r="G4127" i="42"/>
  <c r="G4128" i="42" s="1"/>
  <c r="D240" i="41" s="1"/>
  <c r="I522" i="7" s="1"/>
  <c r="J522" i="7" s="1"/>
  <c r="K522" i="7" s="1"/>
  <c r="I4120" i="42"/>
  <c r="I2371" i="42"/>
  <c r="G2377" i="42"/>
  <c r="G2378" i="42" s="1"/>
  <c r="D127" i="41" s="1"/>
  <c r="I2369" i="42"/>
  <c r="I1075" i="42"/>
  <c r="G1078" i="42"/>
  <c r="G1079" i="42" s="1"/>
  <c r="D47" i="41" s="1"/>
  <c r="I862" i="7" s="1"/>
  <c r="I1066" i="42"/>
  <c r="I1065" i="42"/>
  <c r="I4289" i="42"/>
  <c r="I4291" i="42"/>
  <c r="I4283" i="42"/>
  <c r="I4292" i="42"/>
  <c r="I4296" i="42"/>
  <c r="I4284" i="42"/>
  <c r="I4294" i="42"/>
  <c r="G4301" i="42"/>
  <c r="G4302" i="42" s="1"/>
  <c r="D249" i="41" s="1"/>
  <c r="I1343" i="7" s="1"/>
  <c r="J1343" i="7" s="1"/>
  <c r="K1343" i="7" s="1"/>
  <c r="I3263" i="42"/>
  <c r="I3264" i="42"/>
  <c r="G3273" i="42"/>
  <c r="I2924" i="42"/>
  <c r="I2919" i="42"/>
  <c r="I2918" i="42"/>
  <c r="I1621" i="42"/>
  <c r="I1622" i="42"/>
  <c r="I1626" i="42"/>
  <c r="G1630" i="42"/>
  <c r="G1631" i="42" s="1"/>
  <c r="D81" i="41" s="1"/>
  <c r="I791" i="7" s="1"/>
  <c r="I1620" i="42"/>
  <c r="I1359" i="42"/>
  <c r="I1360" i="42"/>
  <c r="I1358" i="42"/>
  <c r="I1051" i="42"/>
  <c r="I1052" i="42"/>
  <c r="G1059" i="42"/>
  <c r="G1060" i="42" s="1"/>
  <c r="D46" i="41" s="1"/>
  <c r="I1053" i="42"/>
  <c r="I87" i="42"/>
  <c r="I82" i="42"/>
  <c r="I560" i="7"/>
  <c r="J560" i="7" s="1"/>
  <c r="K560" i="7" s="1"/>
  <c r="I948" i="7"/>
  <c r="J948" i="7" s="1"/>
  <c r="K948" i="7" s="1"/>
  <c r="G3562" i="42"/>
  <c r="G3563" i="42" s="1"/>
  <c r="D206" i="41" s="1"/>
  <c r="I3554" i="42"/>
  <c r="G2786" i="42"/>
  <c r="G2787" i="42" s="1"/>
  <c r="D154" i="41" s="1"/>
  <c r="I840" i="7" s="1"/>
  <c r="J840" i="7" s="1"/>
  <c r="K840" i="7" s="1"/>
  <c r="I2505" i="42"/>
  <c r="I2501" i="42"/>
  <c r="I2508" i="42"/>
  <c r="I2510" i="42"/>
  <c r="I2506" i="42"/>
  <c r="I2512" i="42"/>
  <c r="I2500" i="42"/>
  <c r="I2502" i="42" s="1"/>
  <c r="I2513" i="42"/>
  <c r="I2509" i="42"/>
  <c r="G2516" i="42"/>
  <c r="G2517" i="42" s="1"/>
  <c r="D135" i="41" s="1"/>
  <c r="I1092" i="7" s="1"/>
  <c r="J1092" i="7" s="1"/>
  <c r="K1092" i="7" s="1"/>
  <c r="I2211" i="42"/>
  <c r="I2209" i="42"/>
  <c r="I2210" i="42"/>
  <c r="I1213" i="42"/>
  <c r="I1214" i="42"/>
  <c r="I1218" i="42"/>
  <c r="I1220" i="42"/>
  <c r="I1219" i="42"/>
  <c r="I3227" i="42"/>
  <c r="I3233" i="42"/>
  <c r="I3229" i="42"/>
  <c r="G3239" i="42"/>
  <c r="G3240" i="42" s="1"/>
  <c r="D186" i="41" s="1"/>
  <c r="I3234" i="42"/>
  <c r="I2711" i="42"/>
  <c r="G2718" i="42"/>
  <c r="G2719" i="42" s="1"/>
  <c r="D148" i="41" s="1"/>
  <c r="I563" i="7" s="1"/>
  <c r="J563" i="7" s="1"/>
  <c r="K563" i="7" s="1"/>
  <c r="I2715" i="42"/>
  <c r="I2709" i="42"/>
  <c r="I3776" i="42"/>
  <c r="G3787" i="42"/>
  <c r="D220" i="41" s="1"/>
  <c r="I1063" i="7" s="1"/>
  <c r="J1063" i="7" s="1"/>
  <c r="K1063" i="7" s="1"/>
  <c r="I3778" i="42"/>
  <c r="I3777" i="42"/>
  <c r="I2460" i="42"/>
  <c r="I2453" i="42"/>
  <c r="I2455" i="42"/>
  <c r="G2470" i="42"/>
  <c r="G2471" i="42" s="1"/>
  <c r="D133" i="41" s="1"/>
  <c r="I2459" i="42"/>
  <c r="I2462" i="42"/>
  <c r="I2461" i="42"/>
  <c r="I2463" i="42"/>
  <c r="I2467" i="42"/>
  <c r="I2464" i="42"/>
  <c r="N136" i="10"/>
  <c r="P136" i="10" s="1"/>
  <c r="E221" i="7" s="1"/>
  <c r="I2400" i="42"/>
  <c r="I2406" i="42" s="1"/>
  <c r="E129" i="41" s="1"/>
  <c r="I3866" i="42"/>
  <c r="E225" i="41" s="1"/>
  <c r="I4114" i="42"/>
  <c r="I4136" i="42"/>
  <c r="I4142" i="42" s="1"/>
  <c r="E241" i="41" s="1"/>
  <c r="G1133" i="42"/>
  <c r="I1124" i="42" s="1"/>
  <c r="M1203" i="7"/>
  <c r="N67" i="11"/>
  <c r="P67" i="11" s="1"/>
  <c r="E246" i="7" s="1"/>
  <c r="M1233" i="7"/>
  <c r="I3553" i="42"/>
  <c r="I4285" i="42"/>
  <c r="I4219" i="42"/>
  <c r="I4220" i="42"/>
  <c r="I4223" i="42"/>
  <c r="I4224" i="42"/>
  <c r="I4222" i="42"/>
  <c r="G4229" i="42"/>
  <c r="G4230" i="42" s="1"/>
  <c r="D246" i="41" s="1"/>
  <c r="I1340" i="7" s="1"/>
  <c r="J1340" i="7" s="1"/>
  <c r="I4212" i="42"/>
  <c r="I4211" i="42"/>
  <c r="I3569" i="42"/>
  <c r="G3579" i="42"/>
  <c r="G3580" i="42" s="1"/>
  <c r="D207" i="41" s="1"/>
  <c r="I3570" i="42"/>
  <c r="I3422" i="42"/>
  <c r="I3423" i="42" s="1"/>
  <c r="I3429" i="42" s="1"/>
  <c r="E198" i="41" s="1"/>
  <c r="G3430" i="42"/>
  <c r="G3431" i="42" s="1"/>
  <c r="D198" i="41" s="1"/>
  <c r="I3420" i="42"/>
  <c r="I2904" i="42"/>
  <c r="G2912" i="42"/>
  <c r="G2913" i="42" s="1"/>
  <c r="D163" i="41" s="1"/>
  <c r="I1084" i="7" s="1"/>
  <c r="J1084" i="7" s="1"/>
  <c r="K1084" i="7" s="1"/>
  <c r="I2905" i="42"/>
  <c r="I2909" i="42"/>
  <c r="G2703" i="42"/>
  <c r="G2704" i="42" s="1"/>
  <c r="D147" i="41" s="1"/>
  <c r="I838" i="7" s="1"/>
  <c r="J838" i="7" s="1"/>
  <c r="K838" i="7" s="1"/>
  <c r="I2697" i="42"/>
  <c r="I2695" i="42"/>
  <c r="I1714" i="42"/>
  <c r="G1723" i="42"/>
  <c r="I1718" i="42"/>
  <c r="G1724" i="42"/>
  <c r="D87" i="41" s="1"/>
  <c r="I1712" i="42"/>
  <c r="I1460" i="42"/>
  <c r="I1461" i="42"/>
  <c r="G1471" i="42"/>
  <c r="G1472" i="42" s="1"/>
  <c r="D71" i="41" s="1"/>
  <c r="I1466" i="42"/>
  <c r="G579" i="42"/>
  <c r="G580" i="42" s="1"/>
  <c r="D170" i="41" s="1"/>
  <c r="I1048" i="7" s="1"/>
  <c r="J1048" i="7" s="1"/>
  <c r="K1048" i="7" s="1"/>
  <c r="I571" i="42"/>
  <c r="I572" i="42"/>
  <c r="I1103" i="42"/>
  <c r="E49" i="41" s="1"/>
  <c r="I1386" i="42"/>
  <c r="E66" i="41" s="1"/>
  <c r="I732" i="42"/>
  <c r="E27" i="41" s="1"/>
  <c r="I4175" i="42"/>
  <c r="E243" i="41" s="1"/>
  <c r="G1118" i="42"/>
  <c r="I1109" i="42" s="1"/>
  <c r="M150" i="17"/>
  <c r="N105" i="30"/>
  <c r="P105" i="30" s="1"/>
  <c r="I43" i="34"/>
  <c r="N122" i="38"/>
  <c r="P122" i="38" s="1"/>
  <c r="N75" i="40"/>
  <c r="P75" i="40" s="1"/>
  <c r="I4107" i="42"/>
  <c r="I4110" i="42" s="1"/>
  <c r="I4295" i="42"/>
  <c r="I3251" i="42"/>
  <c r="I3246" i="42"/>
  <c r="I3245" i="42"/>
  <c r="G3256" i="42"/>
  <c r="G3257" i="42" s="1"/>
  <c r="D187" i="41" s="1"/>
  <c r="I2990" i="42"/>
  <c r="I2989" i="42"/>
  <c r="I2992" i="42" s="1"/>
  <c r="G3000" i="42"/>
  <c r="G3001" i="42" s="1"/>
  <c r="D172" i="41" s="1"/>
  <c r="I2991" i="42"/>
  <c r="G2448" i="42"/>
  <c r="D132" i="41" s="1"/>
  <c r="I403" i="7" s="1"/>
  <c r="J403" i="7" s="1"/>
  <c r="K403" i="7" s="1"/>
  <c r="I2442" i="42"/>
  <c r="I2443" i="42" s="1"/>
  <c r="I2446" i="42" s="1"/>
  <c r="E132" i="41" s="1"/>
  <c r="I2105" i="42"/>
  <c r="I2110" i="42"/>
  <c r="I2104" i="42"/>
  <c r="I2106" i="42"/>
  <c r="N62" i="28"/>
  <c r="P62" i="28" s="1"/>
  <c r="K1049" i="7"/>
  <c r="N399" i="21"/>
  <c r="N400" i="21" s="1"/>
  <c r="K279" i="5"/>
  <c r="E270" i="5" s="1"/>
  <c r="E284" i="5" s="1"/>
  <c r="E303" i="5" s="1"/>
  <c r="E269" i="5"/>
  <c r="E283" i="5" s="1"/>
  <c r="E302" i="5" s="1"/>
  <c r="M561" i="6"/>
  <c r="D563" i="6" s="1"/>
  <c r="D565" i="6" s="1"/>
  <c r="D562" i="6"/>
  <c r="I720" i="42"/>
  <c r="E26" i="41" s="1"/>
  <c r="I3288" i="42"/>
  <c r="E189" i="41" s="1"/>
  <c r="I3352" i="42"/>
  <c r="E193" i="41" s="1"/>
  <c r="I3819" i="42"/>
  <c r="E222" i="41" s="1"/>
  <c r="I3967" i="42"/>
  <c r="E229" i="41" s="1"/>
  <c r="I4034" i="42"/>
  <c r="E234" i="41" s="1"/>
  <c r="M354" i="11"/>
  <c r="O354" i="11" s="1"/>
  <c r="M75" i="24"/>
  <c r="N100" i="30"/>
  <c r="P100" i="30" s="1"/>
  <c r="I1819" i="42"/>
  <c r="I2042" i="42"/>
  <c r="G2321" i="42"/>
  <c r="G2322" i="42" s="1"/>
  <c r="D123" i="41" s="1"/>
  <c r="I772" i="7" s="1"/>
  <c r="J772" i="7" s="1"/>
  <c r="K772" i="7" s="1"/>
  <c r="I2328" i="42"/>
  <c r="I2486" i="42"/>
  <c r="I2476" i="42"/>
  <c r="G2593" i="42"/>
  <c r="D140" i="41" s="1"/>
  <c r="I562" i="7" s="1"/>
  <c r="J562" i="7" s="1"/>
  <c r="K562" i="7" s="1"/>
  <c r="I2589" i="42"/>
  <c r="G2662" i="42"/>
  <c r="D144" i="41" s="1"/>
  <c r="I835" i="7" s="1"/>
  <c r="J835" i="7" s="1"/>
  <c r="K835" i="7" s="1"/>
  <c r="I2841" i="42"/>
  <c r="E158" i="41" s="1"/>
  <c r="I2896" i="42"/>
  <c r="E162" i="41" s="1"/>
  <c r="I3195" i="42"/>
  <c r="I3262" i="42"/>
  <c r="I3552" i="42"/>
  <c r="P238" i="26"/>
  <c r="N239" i="26"/>
  <c r="M62" i="17"/>
  <c r="O62" i="17" s="1"/>
  <c r="E980" i="7" s="1"/>
  <c r="W980" i="7" s="1"/>
  <c r="I1814" i="42"/>
  <c r="I2314" i="42"/>
  <c r="I2316" i="42" s="1"/>
  <c r="I2320" i="42" s="1"/>
  <c r="E123" i="41" s="1"/>
  <c r="I2800" i="42"/>
  <c r="E155" i="41" s="1"/>
  <c r="I3193" i="42"/>
  <c r="I3268" i="42"/>
  <c r="H788" i="7"/>
  <c r="M788" i="7"/>
  <c r="M259" i="25"/>
  <c r="M260" i="25" s="1"/>
  <c r="O260" i="25" s="1"/>
  <c r="M738" i="7"/>
  <c r="H738" i="7"/>
  <c r="M792" i="7"/>
  <c r="H792" i="7"/>
  <c r="I595" i="42"/>
  <c r="E171" i="41" s="1"/>
  <c r="I3843" i="42"/>
  <c r="M42" i="17"/>
  <c r="O42" i="17" s="1"/>
  <c r="E977" i="7" s="1"/>
  <c r="M73" i="24"/>
  <c r="M74" i="24"/>
  <c r="I1816" i="42"/>
  <c r="N58" i="28"/>
  <c r="P58" i="28" s="1"/>
  <c r="I2094" i="42"/>
  <c r="G2145" i="42"/>
  <c r="G2146" i="42" s="1"/>
  <c r="D111" i="41" s="1"/>
  <c r="I2582" i="42"/>
  <c r="I2587" i="42"/>
  <c r="I2882" i="42"/>
  <c r="E161" i="41" s="1"/>
  <c r="I2980" i="42"/>
  <c r="M739" i="7"/>
  <c r="H739" i="7"/>
  <c r="M53" i="24"/>
  <c r="C54" i="24" s="1"/>
  <c r="M54" i="24" s="1"/>
  <c r="F55" i="24" s="1"/>
  <c r="M55" i="24" s="1"/>
  <c r="H141" i="5"/>
  <c r="J141" i="5" s="1"/>
  <c r="N230" i="9"/>
  <c r="M35" i="16"/>
  <c r="O35" i="16" s="1"/>
  <c r="E699" i="7" s="1"/>
  <c r="N47" i="30"/>
  <c r="F48" i="30" s="1"/>
  <c r="N48" i="30" s="1"/>
  <c r="P48" i="30" s="1"/>
  <c r="M233" i="39"/>
  <c r="I3707" i="42"/>
  <c r="I3709" i="42" s="1"/>
  <c r="E215" i="41" s="1"/>
  <c r="M284" i="17"/>
  <c r="G477" i="42"/>
  <c r="I469" i="42" s="1"/>
  <c r="I2827" i="42"/>
  <c r="E157" i="41" s="1"/>
  <c r="I2772" i="42"/>
  <c r="E153" i="41" s="1"/>
  <c r="I3336" i="42"/>
  <c r="E192" i="41" s="1"/>
  <c r="N453" i="21"/>
  <c r="M142" i="17"/>
  <c r="O142" i="17" s="1"/>
  <c r="E1012" i="7" s="1"/>
  <c r="N53" i="30"/>
  <c r="P53" i="30" s="1"/>
  <c r="N179" i="38"/>
  <c r="P179" i="38" s="1"/>
  <c r="M207" i="27"/>
  <c r="I2484" i="42"/>
  <c r="K272" i="32"/>
  <c r="E263" i="32" s="1"/>
  <c r="E277" i="32" s="1"/>
  <c r="E296" i="32" s="1"/>
  <c r="E262" i="32"/>
  <c r="E276" i="32" s="1"/>
  <c r="E295" i="32" s="1"/>
  <c r="I4313" i="42"/>
  <c r="I4308" i="42"/>
  <c r="I4309" i="42"/>
  <c r="D250" i="41"/>
  <c r="I555" i="7" s="1"/>
  <c r="J555" i="7" s="1"/>
  <c r="K555" i="7" s="1"/>
  <c r="I383" i="7"/>
  <c r="J383" i="7" s="1"/>
  <c r="K383" i="7" s="1"/>
  <c r="I493" i="7"/>
  <c r="J493" i="7" s="1"/>
  <c r="K493" i="7" s="1"/>
  <c r="I652" i="7"/>
  <c r="I147" i="7"/>
  <c r="J147" i="7" s="1"/>
  <c r="I900" i="7"/>
  <c r="I1259" i="7"/>
  <c r="I511" i="7"/>
  <c r="J511" i="7" s="1"/>
  <c r="K511" i="7" s="1"/>
  <c r="I658" i="7"/>
  <c r="J658" i="7" s="1"/>
  <c r="K658" i="7" s="1"/>
  <c r="I157" i="7"/>
  <c r="J157" i="7" s="1"/>
  <c r="K157" i="7" s="1"/>
  <c r="I393" i="7"/>
  <c r="J393" i="7" s="1"/>
  <c r="K393" i="7" s="1"/>
  <c r="I909" i="7"/>
  <c r="J909" i="7" s="1"/>
  <c r="K909" i="7" s="1"/>
  <c r="I1150" i="7"/>
  <c r="J1150" i="7" s="1"/>
  <c r="K1150" i="7" s="1"/>
  <c r="I1261" i="7"/>
  <c r="J1261" i="7" s="1"/>
  <c r="K1261" i="7" s="1"/>
  <c r="I394" i="7"/>
  <c r="J394" i="7" s="1"/>
  <c r="K394" i="7" s="1"/>
  <c r="I659" i="7"/>
  <c r="J659" i="7" s="1"/>
  <c r="K659" i="7" s="1"/>
  <c r="I158" i="7"/>
  <c r="J158" i="7" s="1"/>
  <c r="K158" i="7" s="1"/>
  <c r="I512" i="7"/>
  <c r="J512" i="7" s="1"/>
  <c r="K512" i="7" s="1"/>
  <c r="I796" i="7"/>
  <c r="J796" i="7" s="1"/>
  <c r="K796" i="7" s="1"/>
  <c r="I910" i="7"/>
  <c r="J910" i="7" s="1"/>
  <c r="K910" i="7" s="1"/>
  <c r="I1151" i="7"/>
  <c r="J1151" i="7" s="1"/>
  <c r="K1151" i="7" s="1"/>
  <c r="I1262" i="7"/>
  <c r="J1262" i="7" s="1"/>
  <c r="K1262" i="7" s="1"/>
  <c r="I540" i="7"/>
  <c r="J540" i="7" s="1"/>
  <c r="K540" i="7" s="1"/>
  <c r="I810" i="7"/>
  <c r="J810" i="7" s="1"/>
  <c r="K810" i="7" s="1"/>
  <c r="I929" i="7"/>
  <c r="J929" i="7" s="1"/>
  <c r="K929" i="7" s="1"/>
  <c r="I539" i="7"/>
  <c r="J539" i="7" s="1"/>
  <c r="K539" i="7" s="1"/>
  <c r="I805" i="7"/>
  <c r="J805" i="7" s="1"/>
  <c r="K805" i="7" s="1"/>
  <c r="I928" i="7"/>
  <c r="J928" i="7" s="1"/>
  <c r="K928" i="7" s="1"/>
  <c r="I536" i="7"/>
  <c r="J536" i="7" s="1"/>
  <c r="K536" i="7" s="1"/>
  <c r="I802" i="7"/>
  <c r="J802" i="7" s="1"/>
  <c r="K802" i="7" s="1"/>
  <c r="I413" i="7"/>
  <c r="J413" i="7" s="1"/>
  <c r="K413" i="7" s="1"/>
  <c r="I955" i="7"/>
  <c r="J955" i="7" s="1"/>
  <c r="K955" i="7" s="1"/>
  <c r="I841" i="7"/>
  <c r="J841" i="7" s="1"/>
  <c r="K841" i="7" s="1"/>
  <c r="I567" i="7"/>
  <c r="I679" i="7"/>
  <c r="I954" i="7"/>
  <c r="J954" i="7" s="1"/>
  <c r="K954" i="7" s="1"/>
  <c r="I566" i="7"/>
  <c r="J566" i="7" s="1"/>
  <c r="K566" i="7" s="1"/>
  <c r="I677" i="7"/>
  <c r="I836" i="7"/>
  <c r="J836" i="7" s="1"/>
  <c r="K836" i="7" s="1"/>
  <c r="I565" i="7"/>
  <c r="J565" i="7" s="1"/>
  <c r="K565" i="7" s="1"/>
  <c r="I675" i="7"/>
  <c r="J675" i="7" s="1"/>
  <c r="K675" i="7" s="1"/>
  <c r="I834" i="7"/>
  <c r="J834" i="7" s="1"/>
  <c r="K834" i="7" s="1"/>
  <c r="I952" i="7"/>
  <c r="J952" i="7" s="1"/>
  <c r="K952" i="7" s="1"/>
  <c r="I495" i="7"/>
  <c r="J495" i="7" s="1"/>
  <c r="K495" i="7" s="1"/>
  <c r="I668" i="7"/>
  <c r="J668" i="7" s="1"/>
  <c r="K668" i="7" s="1"/>
  <c r="I774" i="7"/>
  <c r="J774" i="7" s="1"/>
  <c r="K774" i="7" s="1"/>
  <c r="I781" i="7"/>
  <c r="I773" i="7"/>
  <c r="J773" i="7" s="1"/>
  <c r="K773" i="7" s="1"/>
  <c r="I780" i="7"/>
  <c r="I784" i="7"/>
  <c r="J784" i="7" s="1"/>
  <c r="I905" i="7"/>
  <c r="J905" i="7" s="1"/>
  <c r="K905" i="7" s="1"/>
  <c r="I771" i="7"/>
  <c r="J771" i="7" s="1"/>
  <c r="K771" i="7" s="1"/>
  <c r="I778" i="7"/>
  <c r="J778" i="7" s="1"/>
  <c r="I496" i="7"/>
  <c r="J496" i="7" s="1"/>
  <c r="K496" i="7" s="1"/>
  <c r="I767" i="7"/>
  <c r="J767" i="7" s="1"/>
  <c r="K767" i="7" s="1"/>
  <c r="I902" i="7"/>
  <c r="J902" i="7" s="1"/>
  <c r="K902" i="7" s="1"/>
  <c r="I770" i="7"/>
  <c r="J770" i="7" s="1"/>
  <c r="K770" i="7" s="1"/>
  <c r="I777" i="7"/>
  <c r="J777" i="7" s="1"/>
  <c r="K777" i="7" s="1"/>
  <c r="I655" i="7"/>
  <c r="J655" i="7" s="1"/>
  <c r="K655" i="7" s="1"/>
  <c r="I498" i="7"/>
  <c r="J498" i="7" s="1"/>
  <c r="K498" i="7" s="1"/>
  <c r="I762" i="7"/>
  <c r="J762" i="7" s="1"/>
  <c r="K762" i="7" s="1"/>
  <c r="I769" i="7"/>
  <c r="J769" i="7" s="1"/>
  <c r="K769" i="7" s="1"/>
  <c r="I776" i="7"/>
  <c r="J776" i="7" s="1"/>
  <c r="K776" i="7" s="1"/>
  <c r="I783" i="7"/>
  <c r="J783" i="7" s="1"/>
  <c r="K783" i="7" s="1"/>
  <c r="I904" i="7"/>
  <c r="J904" i="7" s="1"/>
  <c r="K904" i="7" s="1"/>
  <c r="I161" i="7"/>
  <c r="I515" i="7"/>
  <c r="I397" i="7"/>
  <c r="J397" i="7" s="1"/>
  <c r="K397" i="7" s="1"/>
  <c r="I788" i="7"/>
  <c r="J788" i="7" s="1"/>
  <c r="I913" i="7"/>
  <c r="J913" i="7" s="1"/>
  <c r="K913" i="7" s="1"/>
  <c r="I1265" i="7"/>
  <c r="J1265" i="7" s="1"/>
  <c r="K1265" i="7" s="1"/>
  <c r="I405" i="7"/>
  <c r="J405" i="7" s="1"/>
  <c r="K405" i="7" s="1"/>
  <c r="I168" i="7"/>
  <c r="J168" i="7" s="1"/>
  <c r="K168" i="7" s="1"/>
  <c r="I670" i="7"/>
  <c r="J670" i="7" s="1"/>
  <c r="K670" i="7" s="1"/>
  <c r="I529" i="7"/>
  <c r="J529" i="7" s="1"/>
  <c r="K529" i="7" s="1"/>
  <c r="I801" i="7"/>
  <c r="J801" i="7" s="1"/>
  <c r="K801" i="7" s="1"/>
  <c r="I919" i="7"/>
  <c r="J919" i="7" s="1"/>
  <c r="K919" i="7" s="1"/>
  <c r="I1272" i="7"/>
  <c r="J1272" i="7" s="1"/>
  <c r="K1272" i="7" s="1"/>
  <c r="I316" i="7"/>
  <c r="J316" i="7" s="1"/>
  <c r="I1336" i="7"/>
  <c r="I1156" i="7"/>
  <c r="J1156" i="7" s="1"/>
  <c r="K1156" i="7" s="1"/>
  <c r="N64" i="29"/>
  <c r="C70" i="29"/>
  <c r="C87" i="29"/>
  <c r="C68" i="28"/>
  <c r="N64" i="28"/>
  <c r="C97" i="28"/>
  <c r="F61" i="26"/>
  <c r="N61" i="26" s="1"/>
  <c r="N62" i="26" s="1"/>
  <c r="P62" i="26" s="1"/>
  <c r="C65" i="26"/>
  <c r="N57" i="26"/>
  <c r="N58" i="26" s="1"/>
  <c r="P58" i="26" s="1"/>
  <c r="N19" i="26"/>
  <c r="P19" i="26" s="1"/>
  <c r="M20" i="26"/>
  <c r="N20" i="26" s="1"/>
  <c r="P20" i="26" s="1"/>
  <c r="C48" i="20"/>
  <c r="M48" i="20" s="1"/>
  <c r="C54" i="20"/>
  <c r="M44" i="20"/>
  <c r="M94" i="19"/>
  <c r="M96" i="19" s="1"/>
  <c r="E1130" i="7" s="1"/>
  <c r="W1130" i="7" s="1"/>
  <c r="L98" i="19"/>
  <c r="I507" i="7"/>
  <c r="I508" i="7"/>
  <c r="J508" i="7" s="1"/>
  <c r="I785" i="7"/>
  <c r="J785" i="7" s="1"/>
  <c r="K785" i="7" s="1"/>
  <c r="I786" i="7"/>
  <c r="J786" i="7" s="1"/>
  <c r="K786" i="7" s="1"/>
  <c r="I906" i="7"/>
  <c r="J906" i="7" s="1"/>
  <c r="K906" i="7" s="1"/>
  <c r="I645" i="7"/>
  <c r="I525" i="7"/>
  <c r="I665" i="7"/>
  <c r="J665" i="7" s="1"/>
  <c r="K665" i="7" s="1"/>
  <c r="I792" i="7"/>
  <c r="J792" i="7" s="1"/>
  <c r="I915" i="7"/>
  <c r="J915" i="7" s="1"/>
  <c r="K915" i="7" s="1"/>
  <c r="I790" i="7"/>
  <c r="I1270" i="7"/>
  <c r="I163" i="7"/>
  <c r="I664" i="7"/>
  <c r="I667" i="7"/>
  <c r="I166" i="7"/>
  <c r="J166" i="7" s="1"/>
  <c r="K166" i="7" s="1"/>
  <c r="I399" i="7"/>
  <c r="I402" i="7"/>
  <c r="J402" i="7" s="1"/>
  <c r="I524" i="7"/>
  <c r="I527" i="7"/>
  <c r="J527" i="7" s="1"/>
  <c r="I793" i="7"/>
  <c r="J793" i="7" s="1"/>
  <c r="K793" i="7" s="1"/>
  <c r="I914" i="7"/>
  <c r="I917" i="7"/>
  <c r="I1267" i="7"/>
  <c r="J1267" i="7" s="1"/>
  <c r="K1267" i="7" s="1"/>
  <c r="I663" i="7"/>
  <c r="J663" i="7" s="1"/>
  <c r="K663" i="7" s="1"/>
  <c r="I398" i="7"/>
  <c r="J398" i="7" s="1"/>
  <c r="K398" i="7" s="1"/>
  <c r="I653" i="7"/>
  <c r="J653" i="7" s="1"/>
  <c r="K653" i="7" s="1"/>
  <c r="I898" i="7"/>
  <c r="J898" i="7" s="1"/>
  <c r="K898" i="7" s="1"/>
  <c r="I192" i="7"/>
  <c r="I382" i="7"/>
  <c r="I597" i="7"/>
  <c r="I650" i="7"/>
  <c r="I117" i="7"/>
  <c r="I146" i="7"/>
  <c r="I155" i="7"/>
  <c r="I225" i="7"/>
  <c r="I229" i="7"/>
  <c r="I243" i="7"/>
  <c r="I265" i="7"/>
  <c r="I269" i="7"/>
  <c r="I346" i="7"/>
  <c r="I381" i="7"/>
  <c r="I391" i="7"/>
  <c r="I492" i="7"/>
  <c r="I506" i="7"/>
  <c r="I759" i="7"/>
  <c r="I897" i="7"/>
  <c r="I1059" i="7"/>
  <c r="I1122" i="7"/>
  <c r="J1122" i="7" s="1"/>
  <c r="K1122" i="7" s="1"/>
  <c r="I1147" i="7"/>
  <c r="I1253" i="7"/>
  <c r="I1258" i="7"/>
  <c r="I1289" i="7"/>
  <c r="I1306" i="7"/>
  <c r="I191" i="7"/>
  <c r="I242" i="7"/>
  <c r="I491" i="7"/>
  <c r="I596" i="7"/>
  <c r="I649" i="7"/>
  <c r="I154" i="7"/>
  <c r="I224" i="7"/>
  <c r="I228" i="7"/>
  <c r="I230" i="7"/>
  <c r="J230" i="7" s="1"/>
  <c r="K230" i="7" s="1"/>
  <c r="I264" i="7"/>
  <c r="J264" i="7" s="1"/>
  <c r="K264" i="7" s="1"/>
  <c r="I268" i="7"/>
  <c r="I270" i="7"/>
  <c r="J270" i="7" s="1"/>
  <c r="K270" i="7" s="1"/>
  <c r="I380" i="7"/>
  <c r="I390" i="7"/>
  <c r="I505" i="7"/>
  <c r="I753" i="7"/>
  <c r="J753" i="7" s="1"/>
  <c r="I758" i="7"/>
  <c r="I896" i="7"/>
  <c r="I1058" i="7"/>
  <c r="I1146" i="7"/>
  <c r="I1235" i="7"/>
  <c r="J1235" i="7" s="1"/>
  <c r="K1235" i="7" s="1"/>
  <c r="I1252" i="7"/>
  <c r="I1257" i="7"/>
  <c r="I1288" i="7"/>
  <c r="I1305" i="7"/>
  <c r="I220" i="7"/>
  <c r="I260" i="7"/>
  <c r="J260" i="7" s="1"/>
  <c r="K260" i="7" s="1"/>
  <c r="I379" i="7"/>
  <c r="I592" i="7"/>
  <c r="J592" i="7" s="1"/>
  <c r="K592" i="7" s="1"/>
  <c r="I648" i="7"/>
  <c r="I744" i="7"/>
  <c r="J744" i="7" s="1"/>
  <c r="K744" i="7" s="1"/>
  <c r="I150" i="7"/>
  <c r="I227" i="7"/>
  <c r="J227" i="7" s="1"/>
  <c r="K227" i="7" s="1"/>
  <c r="I267" i="7"/>
  <c r="J267" i="7" s="1"/>
  <c r="K267" i="7" s="1"/>
  <c r="I386" i="7"/>
  <c r="J386" i="7" s="1"/>
  <c r="K386" i="7" s="1"/>
  <c r="I483" i="7"/>
  <c r="J483" i="7" s="1"/>
  <c r="K483" i="7" s="1"/>
  <c r="I490" i="7"/>
  <c r="J490" i="7" s="1"/>
  <c r="I502" i="7"/>
  <c r="J502" i="7" s="1"/>
  <c r="I757" i="7"/>
  <c r="I895" i="7"/>
  <c r="I1057" i="7"/>
  <c r="J1057" i="7" s="1"/>
  <c r="K1057" i="7" s="1"/>
  <c r="I1117" i="7"/>
  <c r="J1117" i="7" s="1"/>
  <c r="K1117" i="7" s="1"/>
  <c r="I1145" i="7"/>
  <c r="I1249" i="7"/>
  <c r="I1256" i="7"/>
  <c r="I1304" i="7"/>
  <c r="G3097" i="42"/>
  <c r="G3100" i="42" s="1"/>
  <c r="I3096" i="42" s="1"/>
  <c r="I326" i="7"/>
  <c r="J326" i="7" s="1"/>
  <c r="K326" i="7" s="1"/>
  <c r="I546" i="7"/>
  <c r="J546" i="7" s="1"/>
  <c r="K546" i="7" s="1"/>
  <c r="I580" i="7"/>
  <c r="J580" i="7" s="1"/>
  <c r="K580" i="7" s="1"/>
  <c r="I692" i="7"/>
  <c r="J692" i="7" s="1"/>
  <c r="I97" i="7"/>
  <c r="I425" i="7"/>
  <c r="I817" i="7"/>
  <c r="J817" i="7" s="1"/>
  <c r="K817" i="7" s="1"/>
  <c r="I853" i="7"/>
  <c r="J853" i="7" s="1"/>
  <c r="K853" i="7" s="1"/>
  <c r="I935" i="7"/>
  <c r="J935" i="7" s="1"/>
  <c r="K935" i="7" s="1"/>
  <c r="I968" i="7"/>
  <c r="J968" i="7" s="1"/>
  <c r="I977" i="7"/>
  <c r="I1054" i="7"/>
  <c r="J1054" i="7" s="1"/>
  <c r="K1054" i="7" s="1"/>
  <c r="I1076" i="7"/>
  <c r="I1166" i="7"/>
  <c r="I666" i="7"/>
  <c r="I165" i="7"/>
  <c r="J165" i="7" s="1"/>
  <c r="K165" i="7" s="1"/>
  <c r="I401" i="7"/>
  <c r="I526" i="7"/>
  <c r="J526" i="7" s="1"/>
  <c r="I799" i="7"/>
  <c r="J799" i="7" s="1"/>
  <c r="K799" i="7" s="1"/>
  <c r="I916" i="7"/>
  <c r="J916" i="7" s="1"/>
  <c r="K916" i="7" s="1"/>
  <c r="I1266" i="7"/>
  <c r="J1266" i="7" s="1"/>
  <c r="K1266" i="7" s="1"/>
  <c r="I661" i="7"/>
  <c r="J661" i="7" s="1"/>
  <c r="K661" i="7" s="1"/>
  <c r="I160" i="7"/>
  <c r="J160" i="7" s="1"/>
  <c r="K160" i="7" s="1"/>
  <c r="I396" i="7"/>
  <c r="J396" i="7" s="1"/>
  <c r="K396" i="7" s="1"/>
  <c r="I514" i="7"/>
  <c r="J514" i="7" s="1"/>
  <c r="K514" i="7" s="1"/>
  <c r="I798" i="7"/>
  <c r="J798" i="7" s="1"/>
  <c r="K798" i="7" s="1"/>
  <c r="I912" i="7"/>
  <c r="J912" i="7" s="1"/>
  <c r="K912" i="7" s="1"/>
  <c r="I1264" i="7"/>
  <c r="J1264" i="7" s="1"/>
  <c r="K1264" i="7" s="1"/>
  <c r="I395" i="7"/>
  <c r="J395" i="7" s="1"/>
  <c r="K395" i="7" s="1"/>
  <c r="I660" i="7"/>
  <c r="J660" i="7" s="1"/>
  <c r="K660" i="7" s="1"/>
  <c r="I159" i="7"/>
  <c r="J159" i="7" s="1"/>
  <c r="K159" i="7" s="1"/>
  <c r="I513" i="7"/>
  <c r="J513" i="7" s="1"/>
  <c r="K513" i="7" s="1"/>
  <c r="I523" i="7"/>
  <c r="J523" i="7" s="1"/>
  <c r="K523" i="7" s="1"/>
  <c r="I797" i="7"/>
  <c r="J797" i="7" s="1"/>
  <c r="K797" i="7" s="1"/>
  <c r="I911" i="7"/>
  <c r="J911" i="7" s="1"/>
  <c r="K911" i="7" s="1"/>
  <c r="I1153" i="7"/>
  <c r="J1153" i="7" s="1"/>
  <c r="K1153" i="7" s="1"/>
  <c r="I1263" i="7"/>
  <c r="J1263" i="7" s="1"/>
  <c r="K1263" i="7" s="1"/>
  <c r="I81" i="7"/>
  <c r="I87" i="7"/>
  <c r="I972" i="7"/>
  <c r="I981" i="7"/>
  <c r="I988" i="7"/>
  <c r="I997" i="7"/>
  <c r="I1003" i="7"/>
  <c r="I1010" i="7"/>
  <c r="I1015" i="7"/>
  <c r="I1327" i="7"/>
  <c r="I295" i="7"/>
  <c r="I80" i="7"/>
  <c r="I86" i="7"/>
  <c r="I282" i="7"/>
  <c r="I287" i="7"/>
  <c r="I291" i="7"/>
  <c r="I1014" i="7"/>
  <c r="I127" i="7"/>
  <c r="I138" i="7"/>
  <c r="I143" i="7"/>
  <c r="J143" i="7" s="1"/>
  <c r="K143" i="7" s="1"/>
  <c r="I204" i="7"/>
  <c r="J204" i="7" s="1"/>
  <c r="I217" i="7"/>
  <c r="J217" i="7" s="1"/>
  <c r="K217" i="7" s="1"/>
  <c r="I328" i="7"/>
  <c r="J328" i="7" s="1"/>
  <c r="K328" i="7" s="1"/>
  <c r="I361" i="7"/>
  <c r="I376" i="7"/>
  <c r="J376" i="7" s="1"/>
  <c r="K376" i="7" s="1"/>
  <c r="I449" i="7"/>
  <c r="I520" i="7"/>
  <c r="J520" i="7" s="1"/>
  <c r="K520" i="7" s="1"/>
  <c r="I548" i="7"/>
  <c r="J548" i="7" s="1"/>
  <c r="K548" i="7" s="1"/>
  <c r="I553" i="7"/>
  <c r="I582" i="7"/>
  <c r="J582" i="7" s="1"/>
  <c r="K582" i="7" s="1"/>
  <c r="I602" i="7"/>
  <c r="I607" i="7"/>
  <c r="J607" i="7" s="1"/>
  <c r="K607" i="7" s="1"/>
  <c r="I612" i="7"/>
  <c r="J612" i="7" s="1"/>
  <c r="K612" i="7" s="1"/>
  <c r="I617" i="7"/>
  <c r="J617" i="7" s="1"/>
  <c r="K617" i="7" s="1"/>
  <c r="I622" i="7"/>
  <c r="J622" i="7" s="1"/>
  <c r="I627" i="7"/>
  <c r="J627" i="7" s="1"/>
  <c r="K627" i="7" s="1"/>
  <c r="I632" i="7"/>
  <c r="J632" i="7" s="1"/>
  <c r="I636" i="7"/>
  <c r="J636" i="7" s="1"/>
  <c r="K636" i="7" s="1"/>
  <c r="I644" i="7"/>
  <c r="I694" i="7"/>
  <c r="J694" i="7" s="1"/>
  <c r="K694" i="7" s="1"/>
  <c r="I706" i="7"/>
  <c r="I711" i="7"/>
  <c r="I716" i="7"/>
  <c r="I721" i="7"/>
  <c r="J721" i="7" s="1"/>
  <c r="I726" i="7"/>
  <c r="I731" i="7"/>
  <c r="I736" i="7"/>
  <c r="J736" i="7" s="1"/>
  <c r="I99" i="7"/>
  <c r="I111" i="7"/>
  <c r="I122" i="7"/>
  <c r="J122" i="7" s="1"/>
  <c r="K122" i="7" s="1"/>
  <c r="I132" i="7"/>
  <c r="I209" i="7"/>
  <c r="J209" i="7" s="1"/>
  <c r="I249" i="7"/>
  <c r="I257" i="7"/>
  <c r="I299" i="7"/>
  <c r="I304" i="7"/>
  <c r="J304" i="7" s="1"/>
  <c r="K304" i="7" s="1"/>
  <c r="I340" i="7"/>
  <c r="I351" i="7"/>
  <c r="J351" i="7" s="1"/>
  <c r="K351" i="7" s="1"/>
  <c r="I356" i="7"/>
  <c r="J356" i="7" s="1"/>
  <c r="K356" i="7" s="1"/>
  <c r="I366" i="7"/>
  <c r="J366" i="7" s="1"/>
  <c r="K366" i="7" s="1"/>
  <c r="I371" i="7"/>
  <c r="I427" i="7"/>
  <c r="J427" i="7" s="1"/>
  <c r="K427" i="7" s="1"/>
  <c r="I439" i="7"/>
  <c r="I444" i="7"/>
  <c r="J444" i="7" s="1"/>
  <c r="K444" i="7" s="1"/>
  <c r="I454" i="7"/>
  <c r="J454" i="7" s="1"/>
  <c r="I459" i="7"/>
  <c r="I464" i="7"/>
  <c r="I469" i="7"/>
  <c r="J469" i="7" s="1"/>
  <c r="K469" i="7" s="1"/>
  <c r="I475" i="7"/>
  <c r="I480" i="7"/>
  <c r="I752" i="7"/>
  <c r="J752" i="7" s="1"/>
  <c r="K752" i="7" s="1"/>
  <c r="I819" i="7"/>
  <c r="J819" i="7" s="1"/>
  <c r="K819" i="7" s="1"/>
  <c r="I824" i="7"/>
  <c r="I855" i="7"/>
  <c r="J855" i="7" s="1"/>
  <c r="K855" i="7" s="1"/>
  <c r="I867" i="7"/>
  <c r="I872" i="7"/>
  <c r="J872" i="7" s="1"/>
  <c r="K872" i="7" s="1"/>
  <c r="I877" i="7"/>
  <c r="J877" i="7" s="1"/>
  <c r="K877" i="7" s="1"/>
  <c r="I882" i="7"/>
  <c r="J882" i="7" s="1"/>
  <c r="K882" i="7" s="1"/>
  <c r="I892" i="7"/>
  <c r="I937" i="7"/>
  <c r="J937" i="7" s="1"/>
  <c r="K937" i="7" s="1"/>
  <c r="I942" i="7"/>
  <c r="I971" i="7"/>
  <c r="I980" i="7"/>
  <c r="I987" i="7"/>
  <c r="J987" i="7" s="1"/>
  <c r="I996" i="7"/>
  <c r="I1002" i="7"/>
  <c r="J1002" i="7" s="1"/>
  <c r="I1009" i="7"/>
  <c r="I1056" i="7"/>
  <c r="J1056" i="7" s="1"/>
  <c r="K1056" i="7" s="1"/>
  <c r="I1078" i="7"/>
  <c r="I1083" i="7"/>
  <c r="I1113" i="7"/>
  <c r="I1127" i="7"/>
  <c r="J1127" i="7" s="1"/>
  <c r="K1127" i="7" s="1"/>
  <c r="I1132" i="7"/>
  <c r="I1137" i="7"/>
  <c r="J1137" i="7" s="1"/>
  <c r="K1137" i="7" s="1"/>
  <c r="I1142" i="7"/>
  <c r="J1142" i="7" s="1"/>
  <c r="K1142" i="7" s="1"/>
  <c r="I1168" i="7"/>
  <c r="I1180" i="7"/>
  <c r="I1186" i="7"/>
  <c r="J1186" i="7" s="1"/>
  <c r="K1186" i="7" s="1"/>
  <c r="I1194" i="7"/>
  <c r="J1194" i="7" s="1"/>
  <c r="K1194" i="7" s="1"/>
  <c r="I1199" i="7"/>
  <c r="I1204" i="7"/>
  <c r="I1209" i="7"/>
  <c r="I1214" i="7"/>
  <c r="I1219" i="7"/>
  <c r="J1219" i="7" s="1"/>
  <c r="K1219" i="7" s="1"/>
  <c r="I1225" i="7"/>
  <c r="J1225" i="7" s="1"/>
  <c r="I1230" i="7"/>
  <c r="J1230" i="7" s="1"/>
  <c r="K1230" i="7" s="1"/>
  <c r="I1234" i="7"/>
  <c r="J1234" i="7" s="1"/>
  <c r="K1234" i="7" s="1"/>
  <c r="I1243" i="7"/>
  <c r="I1251" i="7"/>
  <c r="I1294" i="7"/>
  <c r="I1299" i="7"/>
  <c r="I1326" i="7"/>
  <c r="I96" i="7"/>
  <c r="I153" i="7"/>
  <c r="I223" i="7"/>
  <c r="I325" i="7"/>
  <c r="J325" i="7" s="1"/>
  <c r="K325" i="7" s="1"/>
  <c r="I559" i="7"/>
  <c r="J559" i="7" s="1"/>
  <c r="K559" i="7" s="1"/>
  <c r="I579" i="7"/>
  <c r="J579" i="7" s="1"/>
  <c r="K579" i="7" s="1"/>
  <c r="I595" i="7"/>
  <c r="J595" i="7" s="1"/>
  <c r="K595" i="7" s="1"/>
  <c r="I641" i="7"/>
  <c r="J641" i="7" s="1"/>
  <c r="K641" i="7" s="1"/>
  <c r="I691" i="7"/>
  <c r="J691" i="7" s="1"/>
  <c r="I741" i="7"/>
  <c r="J741" i="7" s="1"/>
  <c r="I116" i="7"/>
  <c r="I214" i="7"/>
  <c r="J214" i="7" s="1"/>
  <c r="K214" i="7" s="1"/>
  <c r="I254" i="7"/>
  <c r="I263" i="7"/>
  <c r="I276" i="7"/>
  <c r="I345" i="7"/>
  <c r="I389" i="7"/>
  <c r="I424" i="7"/>
  <c r="I487" i="7"/>
  <c r="J487" i="7" s="1"/>
  <c r="I504" i="7"/>
  <c r="I748" i="7"/>
  <c r="I829" i="7"/>
  <c r="J829" i="7" s="1"/>
  <c r="K829" i="7" s="1"/>
  <c r="I852" i="7"/>
  <c r="J852" i="7" s="1"/>
  <c r="K852" i="7" s="1"/>
  <c r="I887" i="7"/>
  <c r="J887" i="7" s="1"/>
  <c r="I947" i="7"/>
  <c r="J947" i="7" s="1"/>
  <c r="K947" i="7" s="1"/>
  <c r="I967" i="7"/>
  <c r="J967" i="7" s="1"/>
  <c r="I976" i="7"/>
  <c r="I1075" i="7"/>
  <c r="I1121" i="7"/>
  <c r="J1121" i="7" s="1"/>
  <c r="K1121" i="7" s="1"/>
  <c r="I1165" i="7"/>
  <c r="I1190" i="7"/>
  <c r="J1190" i="7" s="1"/>
  <c r="K1190" i="7" s="1"/>
  <c r="I1241" i="7"/>
  <c r="J1241" i="7" s="1"/>
  <c r="K1241" i="7" s="1"/>
  <c r="I1248" i="7"/>
  <c r="I1286" i="7"/>
  <c r="I1307" i="7"/>
  <c r="I1315" i="7"/>
  <c r="G3392" i="42"/>
  <c r="G3396" i="42" s="1"/>
  <c r="G3763" i="42"/>
  <c r="G3769" i="42" s="1"/>
  <c r="I85" i="7"/>
  <c r="I106" i="7"/>
  <c r="I109" i="7"/>
  <c r="I126" i="7"/>
  <c r="J126" i="7" s="1"/>
  <c r="I130" i="7"/>
  <c r="I131" i="7"/>
  <c r="I137" i="7"/>
  <c r="I141" i="7"/>
  <c r="J141" i="7" s="1"/>
  <c r="K141" i="7" s="1"/>
  <c r="I203" i="7"/>
  <c r="J203" i="7" s="1"/>
  <c r="I207" i="7"/>
  <c r="J207" i="7" s="1"/>
  <c r="I216" i="7"/>
  <c r="I244" i="7"/>
  <c r="J244" i="7" s="1"/>
  <c r="I256" i="7"/>
  <c r="I298" i="7"/>
  <c r="I303" i="7"/>
  <c r="J303" i="7" s="1"/>
  <c r="K303" i="7" s="1"/>
  <c r="I327" i="7"/>
  <c r="J327" i="7" s="1"/>
  <c r="K327" i="7" s="1"/>
  <c r="I339" i="7"/>
  <c r="I349" i="7"/>
  <c r="J349" i="7" s="1"/>
  <c r="K349" i="7" s="1"/>
  <c r="I350" i="7"/>
  <c r="J350" i="7" s="1"/>
  <c r="I355" i="7"/>
  <c r="J355" i="7" s="1"/>
  <c r="K355" i="7" s="1"/>
  <c r="I365" i="7"/>
  <c r="J365" i="7" s="1"/>
  <c r="K365" i="7" s="1"/>
  <c r="I437" i="7"/>
  <c r="I438" i="7"/>
  <c r="I478" i="7"/>
  <c r="I552" i="7"/>
  <c r="I581" i="7"/>
  <c r="J581" i="7" s="1"/>
  <c r="K581" i="7" s="1"/>
  <c r="I600" i="7"/>
  <c r="I601" i="7"/>
  <c r="I605" i="7"/>
  <c r="J605" i="7" s="1"/>
  <c r="K605" i="7" s="1"/>
  <c r="I606" i="7"/>
  <c r="J606" i="7" s="1"/>
  <c r="K606" i="7" s="1"/>
  <c r="I610" i="7"/>
  <c r="J610" i="7" s="1"/>
  <c r="K610" i="7" s="1"/>
  <c r="I611" i="7"/>
  <c r="J611" i="7" s="1"/>
  <c r="K611" i="7" s="1"/>
  <c r="I615" i="7"/>
  <c r="J615" i="7" s="1"/>
  <c r="K615" i="7" s="1"/>
  <c r="I616" i="7"/>
  <c r="J616" i="7" s="1"/>
  <c r="I620" i="7"/>
  <c r="J620" i="7" s="1"/>
  <c r="K620" i="7" s="1"/>
  <c r="I621" i="7"/>
  <c r="J621" i="7" s="1"/>
  <c r="K621" i="7" s="1"/>
  <c r="I625" i="7"/>
  <c r="J625" i="7" s="1"/>
  <c r="K625" i="7" s="1"/>
  <c r="I626" i="7"/>
  <c r="I630" i="7"/>
  <c r="J630" i="7" s="1"/>
  <c r="I631" i="7"/>
  <c r="I635" i="7"/>
  <c r="J635" i="7" s="1"/>
  <c r="K635" i="7" s="1"/>
  <c r="I693" i="7"/>
  <c r="J693" i="7" s="1"/>
  <c r="K693" i="7" s="1"/>
  <c r="I701" i="7"/>
  <c r="I704" i="7"/>
  <c r="I705" i="7"/>
  <c r="I709" i="7"/>
  <c r="J709" i="7" s="1"/>
  <c r="K709" i="7" s="1"/>
  <c r="I710" i="7"/>
  <c r="J710" i="7" s="1"/>
  <c r="I714" i="7"/>
  <c r="J714" i="7" s="1"/>
  <c r="I715" i="7"/>
  <c r="J715" i="7" s="1"/>
  <c r="I719" i="7"/>
  <c r="J719" i="7" s="1"/>
  <c r="I720" i="7"/>
  <c r="J720" i="7" s="1"/>
  <c r="I724" i="7"/>
  <c r="I725" i="7"/>
  <c r="I729" i="7"/>
  <c r="I730" i="7"/>
  <c r="I734" i="7"/>
  <c r="J734" i="7" s="1"/>
  <c r="K734" i="7" s="1"/>
  <c r="I735" i="7"/>
  <c r="J735" i="7" s="1"/>
  <c r="K735" i="7" s="1"/>
  <c r="I79" i="7"/>
  <c r="I98" i="7"/>
  <c r="I110" i="7"/>
  <c r="I120" i="7"/>
  <c r="J120" i="7" s="1"/>
  <c r="K120" i="7" s="1"/>
  <c r="I121" i="7"/>
  <c r="J121" i="7" s="1"/>
  <c r="I125" i="7"/>
  <c r="J125" i="7" s="1"/>
  <c r="I136" i="7"/>
  <c r="I142" i="7"/>
  <c r="J142" i="7" s="1"/>
  <c r="I199" i="7"/>
  <c r="J199" i="7" s="1"/>
  <c r="K199" i="7" s="1"/>
  <c r="I202" i="7"/>
  <c r="J202" i="7" s="1"/>
  <c r="I208" i="7"/>
  <c r="J208" i="7" s="1"/>
  <c r="K208" i="7" s="1"/>
  <c r="I247" i="7"/>
  <c r="I248" i="7"/>
  <c r="I280" i="7"/>
  <c r="I281" i="7"/>
  <c r="I285" i="7"/>
  <c r="I286" i="7"/>
  <c r="I290" i="7"/>
  <c r="I294" i="7"/>
  <c r="I302" i="7"/>
  <c r="J302" i="7" s="1"/>
  <c r="K302" i="7" s="1"/>
  <c r="I338" i="7"/>
  <c r="I354" i="7"/>
  <c r="J354" i="7" s="1"/>
  <c r="K354" i="7" s="1"/>
  <c r="I359" i="7"/>
  <c r="I360" i="7"/>
  <c r="I364" i="7"/>
  <c r="J364" i="7" s="1"/>
  <c r="K364" i="7" s="1"/>
  <c r="I369" i="7"/>
  <c r="J369" i="7" s="1"/>
  <c r="K369" i="7" s="1"/>
  <c r="I370" i="7"/>
  <c r="J370" i="7" s="1"/>
  <c r="K370" i="7" s="1"/>
  <c r="I374" i="7"/>
  <c r="J374" i="7" s="1"/>
  <c r="K374" i="7" s="1"/>
  <c r="I375" i="7"/>
  <c r="J375" i="7" s="1"/>
  <c r="K375" i="7" s="1"/>
  <c r="I426" i="7"/>
  <c r="J426" i="7" s="1"/>
  <c r="K426" i="7" s="1"/>
  <c r="I434" i="7"/>
  <c r="J434" i="7" s="1"/>
  <c r="I442" i="7"/>
  <c r="J442" i="7" s="1"/>
  <c r="K442" i="7" s="1"/>
  <c r="I443" i="7"/>
  <c r="J443" i="7" s="1"/>
  <c r="K443" i="7" s="1"/>
  <c r="I447" i="7"/>
  <c r="J447" i="7" s="1"/>
  <c r="K447" i="7" s="1"/>
  <c r="I448" i="7"/>
  <c r="J448" i="7" s="1"/>
  <c r="I452" i="7"/>
  <c r="J452" i="7" s="1"/>
  <c r="I453" i="7"/>
  <c r="J453" i="7" s="1"/>
  <c r="I457" i="7"/>
  <c r="I458" i="7"/>
  <c r="I462" i="7"/>
  <c r="I463" i="7"/>
  <c r="I467" i="7"/>
  <c r="J467" i="7" s="1"/>
  <c r="K467" i="7" s="1"/>
  <c r="I468" i="7"/>
  <c r="J468" i="7" s="1"/>
  <c r="K468" i="7" s="1"/>
  <c r="I473" i="7"/>
  <c r="J473" i="7" s="1"/>
  <c r="I474" i="7"/>
  <c r="J474" i="7" s="1"/>
  <c r="I479" i="7"/>
  <c r="I751" i="7"/>
  <c r="I823" i="7"/>
  <c r="I854" i="7"/>
  <c r="J854" i="7" s="1"/>
  <c r="K854" i="7" s="1"/>
  <c r="I856" i="7"/>
  <c r="J856" i="7" s="1"/>
  <c r="K856" i="7" s="1"/>
  <c r="I865" i="7"/>
  <c r="I866" i="7"/>
  <c r="I870" i="7"/>
  <c r="J870" i="7" s="1"/>
  <c r="K870" i="7" s="1"/>
  <c r="I871" i="7"/>
  <c r="J871" i="7" s="1"/>
  <c r="K871" i="7" s="1"/>
  <c r="I875" i="7"/>
  <c r="J875" i="7" s="1"/>
  <c r="K875" i="7" s="1"/>
  <c r="I876" i="7"/>
  <c r="J876" i="7" s="1"/>
  <c r="K876" i="7" s="1"/>
  <c r="I880" i="7"/>
  <c r="J880" i="7" s="1"/>
  <c r="K880" i="7" s="1"/>
  <c r="I881" i="7"/>
  <c r="J881" i="7" s="1"/>
  <c r="K881" i="7" s="1"/>
  <c r="I890" i="7"/>
  <c r="I891" i="7"/>
  <c r="I941" i="7"/>
  <c r="I979" i="7"/>
  <c r="I985" i="7"/>
  <c r="J985" i="7" s="1"/>
  <c r="K985" i="7" s="1"/>
  <c r="I986" i="7"/>
  <c r="J986" i="7" s="1"/>
  <c r="K986" i="7" s="1"/>
  <c r="I993" i="7"/>
  <c r="J993" i="7" s="1"/>
  <c r="K993" i="7" s="1"/>
  <c r="I994" i="7"/>
  <c r="J994" i="7" s="1"/>
  <c r="I995" i="7"/>
  <c r="J995" i="7" s="1"/>
  <c r="I1000" i="7"/>
  <c r="J1000" i="7" s="1"/>
  <c r="K1000" i="7" s="1"/>
  <c r="I1001" i="7"/>
  <c r="J1001" i="7" s="1"/>
  <c r="K1001" i="7" s="1"/>
  <c r="I1006" i="7"/>
  <c r="J1006" i="7" s="1"/>
  <c r="I1007" i="7"/>
  <c r="J1007" i="7" s="1"/>
  <c r="I1008" i="7"/>
  <c r="J1008" i="7" s="1"/>
  <c r="I1077" i="7"/>
  <c r="J1077" i="7" s="1"/>
  <c r="I1081" i="7"/>
  <c r="I1082" i="7"/>
  <c r="I1108" i="7"/>
  <c r="I1111" i="7"/>
  <c r="I1112" i="7"/>
  <c r="I1125" i="7"/>
  <c r="J1125" i="7" s="1"/>
  <c r="K1125" i="7" s="1"/>
  <c r="I1126" i="7"/>
  <c r="J1126" i="7" s="1"/>
  <c r="K1126" i="7" s="1"/>
  <c r="I1130" i="7"/>
  <c r="I1131" i="7"/>
  <c r="I1135" i="7"/>
  <c r="J1135" i="7" s="1"/>
  <c r="K1135" i="7" s="1"/>
  <c r="I1136" i="7"/>
  <c r="J1136" i="7" s="1"/>
  <c r="K1136" i="7" s="1"/>
  <c r="I1140" i="7"/>
  <c r="J1140" i="7" s="1"/>
  <c r="K1140" i="7" s="1"/>
  <c r="I1141" i="7"/>
  <c r="J1141" i="7" s="1"/>
  <c r="K1141" i="7" s="1"/>
  <c r="I1167" i="7"/>
  <c r="I1178" i="7"/>
  <c r="I1179" i="7"/>
  <c r="I1184" i="7"/>
  <c r="J1184" i="7" s="1"/>
  <c r="K1184" i="7" s="1"/>
  <c r="I1185" i="7"/>
  <c r="J1185" i="7" s="1"/>
  <c r="K1185" i="7" s="1"/>
  <c r="I1192" i="7"/>
  <c r="J1192" i="7" s="1"/>
  <c r="K1192" i="7" s="1"/>
  <c r="I1193" i="7"/>
  <c r="J1193" i="7" s="1"/>
  <c r="K1193" i="7" s="1"/>
  <c r="I1197" i="7"/>
  <c r="J1197" i="7" s="1"/>
  <c r="K1197" i="7" s="1"/>
  <c r="I1198" i="7"/>
  <c r="J1198" i="7" s="1"/>
  <c r="I1202" i="7"/>
  <c r="J1202" i="7" s="1"/>
  <c r="K1202" i="7" s="1"/>
  <c r="I1203" i="7"/>
  <c r="J1203" i="7" s="1"/>
  <c r="I1207" i="7"/>
  <c r="I1208" i="7"/>
  <c r="I1212" i="7"/>
  <c r="I1213" i="7"/>
  <c r="I1217" i="7"/>
  <c r="J1217" i="7" s="1"/>
  <c r="K1217" i="7" s="1"/>
  <c r="I1218" i="7"/>
  <c r="J1218" i="7" s="1"/>
  <c r="K1218" i="7" s="1"/>
  <c r="I1223" i="7"/>
  <c r="J1223" i="7" s="1"/>
  <c r="K1223" i="7" s="1"/>
  <c r="I1224" i="7"/>
  <c r="I1228" i="7"/>
  <c r="I1229" i="7"/>
  <c r="I1233" i="7"/>
  <c r="J1233" i="7" s="1"/>
  <c r="I1298" i="7"/>
  <c r="I83" i="7"/>
  <c r="I293" i="7"/>
  <c r="I129" i="7"/>
  <c r="I135" i="7"/>
  <c r="I619" i="7"/>
  <c r="J619" i="7" s="1"/>
  <c r="K619" i="7" s="1"/>
  <c r="I624" i="7"/>
  <c r="J624" i="7" s="1"/>
  <c r="K624" i="7" s="1"/>
  <c r="I629" i="7"/>
  <c r="J629" i="7" s="1"/>
  <c r="K629" i="7" s="1"/>
  <c r="I723" i="7"/>
  <c r="I728" i="7"/>
  <c r="J728" i="7" s="1"/>
  <c r="K728" i="7" s="1"/>
  <c r="I733" i="7"/>
  <c r="J733" i="7" s="1"/>
  <c r="K733" i="7" s="1"/>
  <c r="I363" i="7"/>
  <c r="J363" i="7" s="1"/>
  <c r="K363" i="7" s="1"/>
  <c r="I456" i="7"/>
  <c r="I461" i="7"/>
  <c r="I466" i="7"/>
  <c r="J466" i="7" s="1"/>
  <c r="K466" i="7" s="1"/>
  <c r="I472" i="7"/>
  <c r="I889" i="7"/>
  <c r="I991" i="7"/>
  <c r="J991" i="7" s="1"/>
  <c r="K991" i="7" s="1"/>
  <c r="I999" i="7"/>
  <c r="J999" i="7" s="1"/>
  <c r="K999" i="7" s="1"/>
  <c r="I1005" i="7"/>
  <c r="J1005" i="7" s="1"/>
  <c r="K1005" i="7" s="1"/>
  <c r="I1129" i="7"/>
  <c r="I1134" i="7"/>
  <c r="J1134" i="7" s="1"/>
  <c r="K1134" i="7" s="1"/>
  <c r="I1139" i="7"/>
  <c r="J1139" i="7" s="1"/>
  <c r="K1139" i="7" s="1"/>
  <c r="I1206" i="7"/>
  <c r="I1211" i="7"/>
  <c r="I1216" i="7"/>
  <c r="J1216" i="7" s="1"/>
  <c r="K1216" i="7" s="1"/>
  <c r="I1222" i="7"/>
  <c r="I634" i="7"/>
  <c r="J634" i="7" s="1"/>
  <c r="K634" i="7" s="1"/>
  <c r="I297" i="7"/>
  <c r="I301" i="7"/>
  <c r="J301" i="7" s="1"/>
  <c r="K301" i="7" s="1"/>
  <c r="I750" i="7"/>
  <c r="J750" i="7" s="1"/>
  <c r="K750" i="7" s="1"/>
  <c r="I1012" i="7"/>
  <c r="I1232" i="7"/>
  <c r="J1232" i="7" s="1"/>
  <c r="K1232" i="7" s="1"/>
  <c r="I1292" i="7"/>
  <c r="I124" i="7"/>
  <c r="J124" i="7" s="1"/>
  <c r="K124" i="7" s="1"/>
  <c r="I348" i="7"/>
  <c r="J348" i="7" s="1"/>
  <c r="K348" i="7" s="1"/>
  <c r="I358" i="7"/>
  <c r="I446" i="7"/>
  <c r="J446" i="7" s="1"/>
  <c r="K446" i="7" s="1"/>
  <c r="I451" i="7"/>
  <c r="J451" i="7" s="1"/>
  <c r="K451" i="7" s="1"/>
  <c r="I477" i="7"/>
  <c r="I519" i="7"/>
  <c r="J519" i="7" s="1"/>
  <c r="K519" i="7" s="1"/>
  <c r="I550" i="7"/>
  <c r="J550" i="7" s="1"/>
  <c r="K550" i="7" s="1"/>
  <c r="I604" i="7"/>
  <c r="J604" i="7" s="1"/>
  <c r="K604" i="7" s="1"/>
  <c r="I609" i="7"/>
  <c r="J609" i="7" s="1"/>
  <c r="K609" i="7" s="1"/>
  <c r="I614" i="7"/>
  <c r="J614" i="7" s="1"/>
  <c r="K614" i="7" s="1"/>
  <c r="I708" i="7"/>
  <c r="J708" i="7" s="1"/>
  <c r="K708" i="7" s="1"/>
  <c r="I713" i="7"/>
  <c r="J713" i="7" s="1"/>
  <c r="K713" i="7" s="1"/>
  <c r="I718" i="7"/>
  <c r="J718" i="7" s="1"/>
  <c r="K718" i="7" s="1"/>
  <c r="I119" i="7"/>
  <c r="J119" i="7" s="1"/>
  <c r="K119" i="7" s="1"/>
  <c r="I140" i="7"/>
  <c r="J140" i="7" s="1"/>
  <c r="K140" i="7" s="1"/>
  <c r="I353" i="7"/>
  <c r="J353" i="7" s="1"/>
  <c r="K353" i="7" s="1"/>
  <c r="I368" i="7"/>
  <c r="J368" i="7" s="1"/>
  <c r="K368" i="7" s="1"/>
  <c r="I373" i="7"/>
  <c r="J373" i="7" s="1"/>
  <c r="K373" i="7" s="1"/>
  <c r="I441" i="7"/>
  <c r="J441" i="7" s="1"/>
  <c r="K441" i="7" s="1"/>
  <c r="I821" i="7"/>
  <c r="J821" i="7" s="1"/>
  <c r="K821" i="7" s="1"/>
  <c r="I869" i="7"/>
  <c r="J869" i="7" s="1"/>
  <c r="K869" i="7" s="1"/>
  <c r="I874" i="7"/>
  <c r="J874" i="7" s="1"/>
  <c r="K874" i="7" s="1"/>
  <c r="I879" i="7"/>
  <c r="J879" i="7" s="1"/>
  <c r="K879" i="7" s="1"/>
  <c r="I939" i="7"/>
  <c r="J939" i="7" s="1"/>
  <c r="K939" i="7" s="1"/>
  <c r="I983" i="7"/>
  <c r="J983" i="7" s="1"/>
  <c r="K983" i="7" s="1"/>
  <c r="I1080" i="7"/>
  <c r="I1124" i="7"/>
  <c r="J1124" i="7" s="1"/>
  <c r="K1124" i="7" s="1"/>
  <c r="I1196" i="7"/>
  <c r="J1196" i="7" s="1"/>
  <c r="K1196" i="7" s="1"/>
  <c r="I1201" i="7"/>
  <c r="J1201" i="7" s="1"/>
  <c r="K1201" i="7" s="1"/>
  <c r="I1227" i="7"/>
  <c r="I201" i="7"/>
  <c r="J201" i="7" s="1"/>
  <c r="I206" i="7"/>
  <c r="J206" i="7" s="1"/>
  <c r="K206" i="7" s="1"/>
  <c r="I246" i="7"/>
  <c r="I599" i="7"/>
  <c r="I642" i="7"/>
  <c r="J642" i="7" s="1"/>
  <c r="K642" i="7" s="1"/>
  <c r="I703" i="7"/>
  <c r="I108" i="7"/>
  <c r="I215" i="7"/>
  <c r="J215" i="7" s="1"/>
  <c r="K215" i="7" s="1"/>
  <c r="I255" i="7"/>
  <c r="I279" i="7"/>
  <c r="J279" i="7" s="1"/>
  <c r="I284" i="7"/>
  <c r="I289" i="7"/>
  <c r="J289" i="7" s="1"/>
  <c r="I337" i="7"/>
  <c r="I436" i="7"/>
  <c r="I864" i="7"/>
  <c r="I1110" i="7"/>
  <c r="J1110" i="7" s="1"/>
  <c r="I1177" i="7"/>
  <c r="I1183" i="7"/>
  <c r="J1183" i="7" s="1"/>
  <c r="K1183" i="7" s="1"/>
  <c r="I1191" i="7"/>
  <c r="J1191" i="7" s="1"/>
  <c r="K1191" i="7" s="1"/>
  <c r="I1297" i="7"/>
  <c r="J1297" i="7" s="1"/>
  <c r="K1297" i="7" s="1"/>
  <c r="I1317" i="7"/>
  <c r="I76" i="7"/>
  <c r="J76" i="7" s="1"/>
  <c r="K76" i="7" s="1"/>
  <c r="I329" i="7"/>
  <c r="J329" i="7" s="1"/>
  <c r="K329" i="7" s="1"/>
  <c r="I583" i="7"/>
  <c r="J583" i="7" s="1"/>
  <c r="K583" i="7" s="1"/>
  <c r="I586" i="7"/>
  <c r="J586" i="7" s="1"/>
  <c r="I695" i="7"/>
  <c r="J695" i="7" s="1"/>
  <c r="K695" i="7" s="1"/>
  <c r="I698" i="7"/>
  <c r="J698" i="7" s="1"/>
  <c r="I100" i="7"/>
  <c r="J100" i="7" s="1"/>
  <c r="K100" i="7" s="1"/>
  <c r="I103" i="7"/>
  <c r="J103" i="7" s="1"/>
  <c r="K103" i="7" s="1"/>
  <c r="I186" i="7"/>
  <c r="J186" i="7" s="1"/>
  <c r="K186" i="7" s="1"/>
  <c r="I195" i="7"/>
  <c r="J195" i="7" s="1"/>
  <c r="K195" i="7" s="1"/>
  <c r="I237" i="7"/>
  <c r="J237" i="7" s="1"/>
  <c r="K237" i="7" s="1"/>
  <c r="I332" i="7"/>
  <c r="J332" i="7" s="1"/>
  <c r="I428" i="7"/>
  <c r="J428" i="7" s="1"/>
  <c r="K428" i="7" s="1"/>
  <c r="I431" i="7"/>
  <c r="J431" i="7" s="1"/>
  <c r="I859" i="7"/>
  <c r="J859" i="7" s="1"/>
  <c r="I965" i="7"/>
  <c r="J965" i="7" s="1"/>
  <c r="K965" i="7" s="1"/>
  <c r="I1169" i="7"/>
  <c r="I1172" i="7"/>
  <c r="J1172" i="7" s="1"/>
  <c r="I187" i="7"/>
  <c r="J187" i="7" s="1"/>
  <c r="I238" i="7"/>
  <c r="J238" i="7" s="1"/>
  <c r="K238" i="7" s="1"/>
  <c r="I198" i="7"/>
  <c r="I252" i="7"/>
  <c r="I312" i="7"/>
  <c r="J312" i="7" s="1"/>
  <c r="K312" i="7" s="1"/>
  <c r="I639" i="7"/>
  <c r="I739" i="7"/>
  <c r="J739" i="7" s="1"/>
  <c r="I114" i="7"/>
  <c r="I190" i="7"/>
  <c r="I212" i="7"/>
  <c r="J212" i="7" s="1"/>
  <c r="K212" i="7" s="1"/>
  <c r="I241" i="7"/>
  <c r="I314" i="7"/>
  <c r="J314" i="7" s="1"/>
  <c r="K314" i="7" s="1"/>
  <c r="I343" i="7"/>
  <c r="I485" i="7"/>
  <c r="J485" i="7" s="1"/>
  <c r="K485" i="7" s="1"/>
  <c r="I746" i="7"/>
  <c r="I885" i="7"/>
  <c r="J885" i="7" s="1"/>
  <c r="I1119" i="7"/>
  <c r="J1119" i="7" s="1"/>
  <c r="K1119" i="7" s="1"/>
  <c r="I1239" i="7"/>
  <c r="J1239" i="7" s="1"/>
  <c r="K1239" i="7" s="1"/>
  <c r="I1246" i="7"/>
  <c r="J1246" i="7" s="1"/>
  <c r="I1284" i="7"/>
  <c r="I1311" i="7"/>
  <c r="I1314" i="7"/>
  <c r="I1335" i="7"/>
  <c r="I313" i="7"/>
  <c r="J313" i="7" s="1"/>
  <c r="K313" i="7" s="1"/>
  <c r="I1313" i="7"/>
  <c r="I311" i="7"/>
  <c r="J311" i="7" s="1"/>
  <c r="K311" i="7" s="1"/>
  <c r="I1312" i="7"/>
  <c r="I104" i="7"/>
  <c r="J104" i="7" s="1"/>
  <c r="K104" i="7" s="1"/>
  <c r="I275" i="7"/>
  <c r="I315" i="7"/>
  <c r="J315" i="7" s="1"/>
  <c r="I324" i="7"/>
  <c r="J324" i="7" s="1"/>
  <c r="K324" i="7" s="1"/>
  <c r="I388" i="7"/>
  <c r="J388" i="7" s="1"/>
  <c r="I432" i="7"/>
  <c r="I558" i="7"/>
  <c r="J558" i="7" s="1"/>
  <c r="K558" i="7" s="1"/>
  <c r="I578" i="7"/>
  <c r="J578" i="7" s="1"/>
  <c r="K578" i="7" s="1"/>
  <c r="I587" i="7"/>
  <c r="J587" i="7" s="1"/>
  <c r="K587" i="7" s="1"/>
  <c r="I594" i="7"/>
  <c r="J594" i="7" s="1"/>
  <c r="K594" i="7" s="1"/>
  <c r="I640" i="7"/>
  <c r="J640" i="7" s="1"/>
  <c r="K640" i="7" s="1"/>
  <c r="I690" i="7"/>
  <c r="J690" i="7" s="1"/>
  <c r="I699" i="7"/>
  <c r="I740" i="7"/>
  <c r="J740" i="7" s="1"/>
  <c r="I95" i="7"/>
  <c r="I115" i="7"/>
  <c r="I152" i="7"/>
  <c r="I213" i="7"/>
  <c r="J213" i="7" s="1"/>
  <c r="K213" i="7" s="1"/>
  <c r="I222" i="7"/>
  <c r="I253" i="7"/>
  <c r="I262" i="7"/>
  <c r="J262" i="7" s="1"/>
  <c r="K262" i="7" s="1"/>
  <c r="I333" i="7"/>
  <c r="J333" i="7" s="1"/>
  <c r="K333" i="7" s="1"/>
  <c r="I344" i="7"/>
  <c r="I423" i="7"/>
  <c r="I486" i="7"/>
  <c r="J486" i="7" s="1"/>
  <c r="K486" i="7" s="1"/>
  <c r="I503" i="7"/>
  <c r="I747" i="7"/>
  <c r="I828" i="7"/>
  <c r="J828" i="7" s="1"/>
  <c r="K828" i="7" s="1"/>
  <c r="I851" i="7"/>
  <c r="J851" i="7" s="1"/>
  <c r="K851" i="7" s="1"/>
  <c r="I860" i="7"/>
  <c r="I886" i="7"/>
  <c r="J886" i="7" s="1"/>
  <c r="I966" i="7"/>
  <c r="J966" i="7" s="1"/>
  <c r="K966" i="7" s="1"/>
  <c r="I975" i="7"/>
  <c r="J975" i="7" s="1"/>
  <c r="I1074" i="7"/>
  <c r="I1106" i="7"/>
  <c r="J1106" i="7" s="1"/>
  <c r="K1106" i="7" s="1"/>
  <c r="I1120" i="7"/>
  <c r="J1120" i="7" s="1"/>
  <c r="K1120" i="7" s="1"/>
  <c r="I1164" i="7"/>
  <c r="J1164" i="7" s="1"/>
  <c r="I1173" i="7"/>
  <c r="J1173" i="7" s="1"/>
  <c r="K1173" i="7" s="1"/>
  <c r="I1189" i="7"/>
  <c r="J1189" i="7" s="1"/>
  <c r="K1189" i="7" s="1"/>
  <c r="I1240" i="7"/>
  <c r="J1240" i="7" s="1"/>
  <c r="K1240" i="7" s="1"/>
  <c r="I1247" i="7"/>
  <c r="J1247" i="7" s="1"/>
  <c r="I1303" i="7"/>
  <c r="I1331" i="7"/>
  <c r="I1334" i="7"/>
  <c r="G702" i="42"/>
  <c r="G707" i="42" s="1"/>
  <c r="I700" i="42" s="1"/>
  <c r="I189" i="7"/>
  <c r="J189" i="7" s="1"/>
  <c r="I197" i="7"/>
  <c r="J197" i="7" s="1"/>
  <c r="I211" i="7"/>
  <c r="J211" i="7" s="1"/>
  <c r="K211" i="7" s="1"/>
  <c r="I240" i="7"/>
  <c r="J240" i="7" s="1"/>
  <c r="I277" i="7"/>
  <c r="J277" i="7" s="1"/>
  <c r="K277" i="7" s="1"/>
  <c r="I151" i="7"/>
  <c r="I342" i="7"/>
  <c r="I593" i="7"/>
  <c r="J593" i="7" s="1"/>
  <c r="K593" i="7" s="1"/>
  <c r="I638" i="7"/>
  <c r="J638" i="7" s="1"/>
  <c r="I738" i="7"/>
  <c r="J738" i="7" s="1"/>
  <c r="I113" i="7"/>
  <c r="I221" i="7"/>
  <c r="I251" i="7"/>
  <c r="I261" i="7"/>
  <c r="J261" i="7" s="1"/>
  <c r="K261" i="7" s="1"/>
  <c r="I387" i="7"/>
  <c r="J387" i="7" s="1"/>
  <c r="K387" i="7" s="1"/>
  <c r="I484" i="7"/>
  <c r="J484" i="7" s="1"/>
  <c r="K484" i="7" s="1"/>
  <c r="I745" i="7"/>
  <c r="I884" i="7"/>
  <c r="J884" i="7" s="1"/>
  <c r="K884" i="7" s="1"/>
  <c r="I1118" i="7"/>
  <c r="J1118" i="7" s="1"/>
  <c r="K1118" i="7" s="1"/>
  <c r="I1238" i="7"/>
  <c r="J1238" i="7" s="1"/>
  <c r="K1238" i="7" s="1"/>
  <c r="I1245" i="7"/>
  <c r="J1245" i="7" s="1"/>
  <c r="I1333" i="7"/>
  <c r="I1346" i="7"/>
  <c r="J1346" i="7" s="1"/>
  <c r="K1346" i="7" s="1"/>
  <c r="I557" i="7"/>
  <c r="J557" i="7" s="1"/>
  <c r="K557" i="7" s="1"/>
  <c r="I827" i="7"/>
  <c r="J827" i="7" s="1"/>
  <c r="K827" i="7" s="1"/>
  <c r="I545" i="7"/>
  <c r="J545" i="7" s="1"/>
  <c r="K545" i="7" s="1"/>
  <c r="I185" i="7"/>
  <c r="J185" i="7" s="1"/>
  <c r="K185" i="7" s="1"/>
  <c r="I274" i="7"/>
  <c r="J274" i="7" s="1"/>
  <c r="K274" i="7" s="1"/>
  <c r="I816" i="7"/>
  <c r="J816" i="7" s="1"/>
  <c r="K816" i="7" s="1"/>
  <c r="I934" i="7"/>
  <c r="J934" i="7" s="1"/>
  <c r="K934" i="7" s="1"/>
  <c r="I75" i="7"/>
  <c r="I149" i="7"/>
  <c r="J149" i="7" s="1"/>
  <c r="I194" i="7"/>
  <c r="J194" i="7" s="1"/>
  <c r="K194" i="7" s="1"/>
  <c r="I323" i="7"/>
  <c r="J323" i="7" s="1"/>
  <c r="K323" i="7" s="1"/>
  <c r="I577" i="7"/>
  <c r="J577" i="7" s="1"/>
  <c r="K577" i="7" s="1"/>
  <c r="I585" i="7"/>
  <c r="J585" i="7" s="1"/>
  <c r="K585" i="7" s="1"/>
  <c r="I591" i="7"/>
  <c r="J591" i="7" s="1"/>
  <c r="K591" i="7" s="1"/>
  <c r="I689" i="7"/>
  <c r="J689" i="7" s="1"/>
  <c r="K689" i="7" s="1"/>
  <c r="I697" i="7"/>
  <c r="I743" i="7"/>
  <c r="J743" i="7" s="1"/>
  <c r="K743" i="7" s="1"/>
  <c r="I94" i="7"/>
  <c r="I102" i="7"/>
  <c r="J102" i="7" s="1"/>
  <c r="K102" i="7" s="1"/>
  <c r="I219" i="7"/>
  <c r="J219" i="7" s="1"/>
  <c r="I236" i="7"/>
  <c r="J236" i="7" s="1"/>
  <c r="K236" i="7" s="1"/>
  <c r="I259" i="7"/>
  <c r="J259" i="7" s="1"/>
  <c r="K259" i="7" s="1"/>
  <c r="I331" i="7"/>
  <c r="J331" i="7" s="1"/>
  <c r="K331" i="7" s="1"/>
  <c r="I385" i="7"/>
  <c r="J385" i="7" s="1"/>
  <c r="K385" i="7" s="1"/>
  <c r="I422" i="7"/>
  <c r="J422" i="7" s="1"/>
  <c r="K422" i="7" s="1"/>
  <c r="I430" i="7"/>
  <c r="I482" i="7"/>
  <c r="J482" i="7" s="1"/>
  <c r="K482" i="7" s="1"/>
  <c r="I501" i="7"/>
  <c r="J501" i="7" s="1"/>
  <c r="K501" i="7" s="1"/>
  <c r="I518" i="7"/>
  <c r="J518" i="7" s="1"/>
  <c r="K518" i="7" s="1"/>
  <c r="I850" i="7"/>
  <c r="J850" i="7" s="1"/>
  <c r="K850" i="7" s="1"/>
  <c r="I858" i="7"/>
  <c r="J858" i="7" s="1"/>
  <c r="I946" i="7"/>
  <c r="J946" i="7" s="1"/>
  <c r="K946" i="7" s="1"/>
  <c r="I964" i="7"/>
  <c r="J964" i="7" s="1"/>
  <c r="K964" i="7" s="1"/>
  <c r="I974" i="7"/>
  <c r="J974" i="7" s="1"/>
  <c r="K974" i="7" s="1"/>
  <c r="I1052" i="7"/>
  <c r="J1052" i="7" s="1"/>
  <c r="K1052" i="7" s="1"/>
  <c r="I1073" i="7"/>
  <c r="J1073" i="7" s="1"/>
  <c r="K1073" i="7" s="1"/>
  <c r="I1096" i="7"/>
  <c r="J1096" i="7" s="1"/>
  <c r="K1096" i="7" s="1"/>
  <c r="I1105" i="7"/>
  <c r="J1105" i="7" s="1"/>
  <c r="K1105" i="7" s="1"/>
  <c r="I1116" i="7"/>
  <c r="J1116" i="7" s="1"/>
  <c r="K1116" i="7" s="1"/>
  <c r="I1163" i="7"/>
  <c r="J1163" i="7" s="1"/>
  <c r="K1163" i="7" s="1"/>
  <c r="I1171" i="7"/>
  <c r="J1171" i="7" s="1"/>
  <c r="K1171" i="7" s="1"/>
  <c r="I1182" i="7"/>
  <c r="J1182" i="7" s="1"/>
  <c r="K1182" i="7" s="1"/>
  <c r="I1188" i="7"/>
  <c r="J1188" i="7" s="1"/>
  <c r="K1188" i="7" s="1"/>
  <c r="I1283" i="7"/>
  <c r="I1296" i="7"/>
  <c r="J1296" i="7" s="1"/>
  <c r="K1296" i="7" s="1"/>
  <c r="I1302" i="7"/>
  <c r="I1330" i="7"/>
  <c r="I470" i="42"/>
  <c r="I471" i="42" s="1"/>
  <c r="I475" i="42"/>
  <c r="I474" i="42"/>
  <c r="G478" i="42"/>
  <c r="G479" i="42" s="1"/>
  <c r="D17" i="41" s="1"/>
  <c r="I1282" i="7"/>
  <c r="J1282" i="7" s="1"/>
  <c r="I1310" i="7"/>
  <c r="A1289" i="42"/>
  <c r="A1306" i="42" s="1"/>
  <c r="A1322" i="42" s="1"/>
  <c r="A1338" i="42"/>
  <c r="A1355" i="42" s="1"/>
  <c r="A1372" i="42" s="1"/>
  <c r="A1390" i="42" s="1"/>
  <c r="A1407" i="42" s="1"/>
  <c r="A1423" i="42" s="1"/>
  <c r="A1440" i="42" s="1"/>
  <c r="A1457" i="42" s="1"/>
  <c r="A1474" i="42" s="1"/>
  <c r="A1490" i="42" s="1"/>
  <c r="A1506" i="42" s="1"/>
  <c r="A1521" i="42" s="1"/>
  <c r="A1536" i="42" s="1"/>
  <c r="A1552" i="42" s="1"/>
  <c r="A1568" i="42" s="1"/>
  <c r="A1587" i="42" s="1"/>
  <c r="A1602" i="42" s="1"/>
  <c r="A1617" i="42" s="1"/>
  <c r="A1633" i="42" s="1"/>
  <c r="A1650" i="42" s="1"/>
  <c r="A1664" i="42" s="1"/>
  <c r="A1681" i="42" s="1"/>
  <c r="A1695" i="42" s="1"/>
  <c r="A1709" i="42" s="1"/>
  <c r="A1726" i="42" s="1"/>
  <c r="A1743" i="42" s="1"/>
  <c r="A1760" i="42" s="1"/>
  <c r="A1777" i="42" s="1"/>
  <c r="A1794" i="42" s="1"/>
  <c r="A1811" i="42" s="1"/>
  <c r="A1828" i="42" s="1"/>
  <c r="A1844" i="42" s="1"/>
  <c r="A1860" i="42" s="1"/>
  <c r="A1876" i="42" s="1"/>
  <c r="A1892" i="42" s="1"/>
  <c r="A1903" i="42" s="1"/>
  <c r="A1914" i="42" s="1"/>
  <c r="A1925" i="42" s="1"/>
  <c r="A1936" i="42" s="1"/>
  <c r="A1947" i="42" s="1"/>
  <c r="A1958" i="42" s="1"/>
  <c r="A1970" i="42" s="1"/>
  <c r="A1999" i="42" s="1"/>
  <c r="A2026" i="42" s="1"/>
  <c r="A2055" i="42" s="1"/>
  <c r="A2084" i="42" s="1"/>
  <c r="A2101" i="42" s="1"/>
  <c r="A2117" i="42" s="1"/>
  <c r="A2133" i="42" s="1"/>
  <c r="A2148" i="42" s="1"/>
  <c r="A2164" i="42" s="1"/>
  <c r="A2175" i="42" s="1"/>
  <c r="A2191" i="42" s="1"/>
  <c r="A2206" i="42" s="1"/>
  <c r="A2220" i="42" s="1"/>
  <c r="A2236" i="42" s="1"/>
  <c r="A2251" i="42" s="1"/>
  <c r="A2266" i="42" s="1"/>
  <c r="A2281" i="42" s="1"/>
  <c r="A2296" i="42" s="1"/>
  <c r="A2310" i="42" s="1"/>
  <c r="A2324" i="42" s="1"/>
  <c r="A2338" i="42" s="1"/>
  <c r="A2352" i="42" s="1"/>
  <c r="A2366" i="42" s="1"/>
  <c r="A2380" i="42" s="1"/>
  <c r="A2394" i="42" s="1"/>
  <c r="A2410" i="42" s="1"/>
  <c r="A2423" i="42" s="1"/>
  <c r="A2436" i="42" s="1"/>
  <c r="A2450" i="42" s="1"/>
  <c r="A2473" i="42" s="1"/>
  <c r="A2496" i="42" s="1"/>
  <c r="A2519" i="42" s="1"/>
  <c r="A2535" i="42" s="1"/>
  <c r="A2551" i="42" s="1"/>
  <c r="A2562" i="42" s="1"/>
  <c r="A2573" i="42" s="1"/>
  <c r="A2595" i="42" s="1"/>
  <c r="A2617" i="42" s="1"/>
  <c r="A2636" i="42" s="1"/>
  <c r="A2650" i="42" s="1"/>
  <c r="A2664" i="42" s="1"/>
  <c r="A2678" i="42" s="1"/>
  <c r="A2692" i="42" s="1"/>
  <c r="A2706" i="42" s="1"/>
  <c r="A2721" i="42" s="1"/>
  <c r="A2736" i="42" s="1"/>
  <c r="A2750" i="42" s="1"/>
  <c r="A2764" i="42" s="1"/>
  <c r="A2775" i="42" s="1"/>
  <c r="A2789" i="42" s="1"/>
  <c r="A2803" i="42" s="1"/>
  <c r="A2817" i="42" s="1"/>
  <c r="A2831" i="42" s="1"/>
  <c r="A2845" i="42" s="1"/>
  <c r="A2861" i="42" s="1"/>
  <c r="A2872" i="42" s="1"/>
  <c r="A2886" i="42" s="1"/>
  <c r="A2900" i="42" s="1"/>
  <c r="A2915" i="42" s="1"/>
  <c r="A2930" i="42" s="1"/>
  <c r="A2945" i="42" s="1"/>
  <c r="A2957" i="42" s="1"/>
  <c r="A2971" i="42" s="1"/>
  <c r="A2986" i="42" s="1"/>
  <c r="A3004" i="42" s="1"/>
  <c r="A3021" i="42" s="1"/>
  <c r="A3038" i="42" s="1"/>
  <c r="A3055" i="42" s="1"/>
  <c r="A3072" i="42" s="1"/>
  <c r="A3087" i="42" s="1"/>
  <c r="A3104" i="42" s="1"/>
  <c r="A3121" i="42" s="1"/>
  <c r="A3138" i="42" s="1"/>
  <c r="A3155" i="42" s="1"/>
  <c r="A3173" i="42" s="1"/>
  <c r="A3190" i="42" s="1"/>
  <c r="A3207" i="42" s="1"/>
  <c r="A3224" i="42" s="1"/>
  <c r="A3242" i="42" s="1"/>
  <c r="A3259" i="42" s="1"/>
  <c r="A3276" i="42" s="1"/>
  <c r="A3292" i="42" s="1"/>
  <c r="A3308" i="42" s="1"/>
  <c r="A3324" i="42" s="1"/>
  <c r="A3340" i="42" s="1"/>
  <c r="A3356" i="42" s="1"/>
  <c r="A3369" i="42" s="1"/>
  <c r="A3382" i="42" s="1"/>
  <c r="A3400" i="42" s="1"/>
  <c r="A3417" i="42" s="1"/>
  <c r="A3433" i="42" s="1"/>
  <c r="A3453" i="42" s="1"/>
  <c r="A3469" i="42" s="1"/>
  <c r="A3485" i="42" s="1"/>
  <c r="A3501" i="42" s="1"/>
  <c r="A3517" i="42" s="1"/>
  <c r="A3533" i="42" s="1"/>
  <c r="A3549" i="42" s="1"/>
  <c r="A3565" i="42" s="1"/>
  <c r="A3582" i="42" s="1"/>
  <c r="A3595" i="42" s="1"/>
  <c r="A3608" i="42" s="1"/>
  <c r="A3622" i="42" s="1"/>
  <c r="A3636" i="42" s="1"/>
  <c r="A3659" i="42" s="1"/>
  <c r="A3679" i="42" s="1"/>
  <c r="A3696" i="42" s="1"/>
  <c r="A3712" i="42" s="1"/>
  <c r="A3729" i="42" s="1"/>
  <c r="A3743" i="42" s="1"/>
  <c r="A3757" i="42" s="1"/>
  <c r="A3773" i="42" s="1"/>
  <c r="A3789" i="42" s="1"/>
  <c r="A3805" i="42" s="1"/>
  <c r="A3822" i="42" s="1"/>
  <c r="A3837" i="42" s="1"/>
  <c r="A3853" i="42" s="1"/>
  <c r="A3869" i="42" s="1"/>
  <c r="A3887" i="42" s="1"/>
  <c r="A3906" i="42" s="1"/>
  <c r="A3930" i="42" s="1"/>
  <c r="A3954" i="42" s="1"/>
  <c r="A3971" i="42" s="1"/>
  <c r="A3991" i="42" s="1"/>
  <c r="A4010" i="42" s="1"/>
  <c r="A4026" i="42" s="1"/>
  <c r="A4038" i="42" s="1"/>
  <c r="A4051" i="42" s="1"/>
  <c r="A4064" i="42" s="1"/>
  <c r="A4077" i="42" s="1"/>
  <c r="A4090" i="42" s="1"/>
  <c r="A4103" i="42" s="1"/>
  <c r="A4130" i="42" s="1"/>
  <c r="A4146" i="42" s="1"/>
  <c r="A4162" i="42" s="1"/>
  <c r="A4178" i="42" s="1"/>
  <c r="A4191" i="42" s="1"/>
  <c r="A4208" i="42" s="1"/>
  <c r="A4232" i="42" s="1"/>
  <c r="A4256" i="42" s="1"/>
  <c r="A4280" i="42" s="1"/>
  <c r="A4304" i="42" s="1"/>
  <c r="N57" i="29"/>
  <c r="N58" i="29" s="1"/>
  <c r="P58" i="29" s="1"/>
  <c r="F61" i="29"/>
  <c r="N61" i="29" s="1"/>
  <c r="N62" i="29" s="1"/>
  <c r="P62" i="29" s="1"/>
  <c r="C65" i="29"/>
  <c r="N19" i="29"/>
  <c r="P19" i="29" s="1"/>
  <c r="M20" i="29"/>
  <c r="N20" i="29" s="1"/>
  <c r="P20" i="29" s="1"/>
  <c r="N87" i="28"/>
  <c r="N88" i="28" s="1"/>
  <c r="P88" i="28" s="1"/>
  <c r="F90" i="28"/>
  <c r="N90" i="28" s="1"/>
  <c r="N91" i="28" s="1"/>
  <c r="P91" i="28" s="1"/>
  <c r="C93" i="28"/>
  <c r="N93" i="28" s="1"/>
  <c r="N94" i="28" s="1"/>
  <c r="P94" i="28" s="1"/>
  <c r="C213" i="27"/>
  <c r="M209" i="27"/>
  <c r="M211" i="27" s="1"/>
  <c r="M21" i="20"/>
  <c r="E1167" i="7" s="1"/>
  <c r="W1167" i="7" s="1"/>
  <c r="L22" i="20"/>
  <c r="M97" i="20"/>
  <c r="E1199" i="7" s="1"/>
  <c r="W1199" i="7" s="1"/>
  <c r="L102" i="20"/>
  <c r="M102" i="20" s="1"/>
  <c r="E1204" i="7" s="1"/>
  <c r="W1204" i="7" s="1"/>
  <c r="N80" i="40"/>
  <c r="E81" i="40"/>
  <c r="N78" i="40"/>
  <c r="E79" i="40"/>
  <c r="N47" i="40"/>
  <c r="F51" i="40"/>
  <c r="N51" i="40" s="1"/>
  <c r="C55" i="40"/>
  <c r="N55" i="40" s="1"/>
  <c r="P39" i="40"/>
  <c r="N28" i="40"/>
  <c r="N42" i="40"/>
  <c r="N44" i="40" s="1"/>
  <c r="P44" i="40" s="1"/>
  <c r="C46" i="40"/>
  <c r="M246" i="39"/>
  <c r="E247" i="39"/>
  <c r="M74" i="39"/>
  <c r="E75" i="39"/>
  <c r="M75" i="39" s="1"/>
  <c r="M83" i="39"/>
  <c r="C90" i="39"/>
  <c r="M90" i="39" s="1"/>
  <c r="K96" i="39"/>
  <c r="M96" i="39" s="1"/>
  <c r="C107" i="39"/>
  <c r="M82" i="39"/>
  <c r="C89" i="39"/>
  <c r="K95" i="39"/>
  <c r="M95" i="39" s="1"/>
  <c r="C106" i="39"/>
  <c r="M81" i="39"/>
  <c r="C88" i="39"/>
  <c r="M88" i="39" s="1"/>
  <c r="K94" i="39"/>
  <c r="M94" i="39" s="1"/>
  <c r="C105" i="39"/>
  <c r="M80" i="39"/>
  <c r="C86" i="39"/>
  <c r="K93" i="39"/>
  <c r="M93" i="39" s="1"/>
  <c r="C104" i="39"/>
  <c r="M42" i="39"/>
  <c r="M43" i="39" s="1"/>
  <c r="M62" i="39" s="1"/>
  <c r="D48" i="39"/>
  <c r="M140" i="39"/>
  <c r="L141" i="39"/>
  <c r="N190" i="38"/>
  <c r="C191" i="38"/>
  <c r="N191" i="38" s="1"/>
  <c r="N182" i="38"/>
  <c r="C188" i="38"/>
  <c r="N181" i="38"/>
  <c r="C186" i="38"/>
  <c r="N145" i="38"/>
  <c r="C147" i="38"/>
  <c r="N147" i="38" s="1"/>
  <c r="N144" i="38"/>
  <c r="C146" i="38"/>
  <c r="N146" i="38" s="1"/>
  <c r="N128" i="38"/>
  <c r="N129" i="38" s="1"/>
  <c r="P129" i="38" s="1"/>
  <c r="M130" i="38"/>
  <c r="N99" i="38"/>
  <c r="P99" i="38" s="1"/>
  <c r="F100" i="38"/>
  <c r="N100" i="38" s="1"/>
  <c r="P100" i="38" s="1"/>
  <c r="N67" i="38"/>
  <c r="N68" i="38" s="1"/>
  <c r="P68" i="38" s="1"/>
  <c r="F71" i="38"/>
  <c r="N71" i="38" s="1"/>
  <c r="N72" i="38" s="1"/>
  <c r="P72" i="38" s="1"/>
  <c r="C75" i="38"/>
  <c r="N75" i="38" s="1"/>
  <c r="N76" i="38" s="1"/>
  <c r="P76" i="38" s="1"/>
  <c r="N33" i="37"/>
  <c r="P33" i="37" s="1"/>
  <c r="C35" i="37"/>
  <c r="N21" i="37"/>
  <c r="P21" i="37" s="1"/>
  <c r="M22" i="37"/>
  <c r="M513" i="36"/>
  <c r="L514" i="36"/>
  <c r="M503" i="36"/>
  <c r="L504" i="36"/>
  <c r="M492" i="36"/>
  <c r="L493" i="36"/>
  <c r="M254" i="36"/>
  <c r="C255" i="36"/>
  <c r="M255" i="36" s="1"/>
  <c r="M110" i="36"/>
  <c r="C111" i="36"/>
  <c r="M111" i="36" s="1"/>
  <c r="M38" i="36"/>
  <c r="M39" i="36" s="1"/>
  <c r="D53" i="36"/>
  <c r="M52" i="36"/>
  <c r="D59" i="36"/>
  <c r="M59" i="36" s="1"/>
  <c r="N123" i="35"/>
  <c r="N124" i="35" s="1"/>
  <c r="C126" i="35"/>
  <c r="N61" i="35"/>
  <c r="F65" i="35"/>
  <c r="N65" i="35" s="1"/>
  <c r="C69" i="35"/>
  <c r="N69" i="35" s="1"/>
  <c r="N40" i="35"/>
  <c r="P40" i="35" s="1"/>
  <c r="C41" i="35"/>
  <c r="N41" i="35" s="1"/>
  <c r="P41" i="35" s="1"/>
  <c r="N60" i="35"/>
  <c r="F64" i="35"/>
  <c r="N64" i="35" s="1"/>
  <c r="C68" i="35"/>
  <c r="N68" i="35" s="1"/>
  <c r="N70" i="35" s="1"/>
  <c r="P70" i="35" s="1"/>
  <c r="M19" i="35"/>
  <c r="L20" i="35"/>
  <c r="M20" i="35" s="1"/>
  <c r="I52" i="34"/>
  <c r="G57" i="34"/>
  <c r="I57" i="34" s="1"/>
  <c r="C68" i="34"/>
  <c r="I68" i="34" s="1"/>
  <c r="I51" i="34"/>
  <c r="G56" i="34"/>
  <c r="I56" i="34" s="1"/>
  <c r="C67" i="34"/>
  <c r="I67" i="34" s="1"/>
  <c r="I50" i="34"/>
  <c r="G55" i="34"/>
  <c r="I55" i="34" s="1"/>
  <c r="C60" i="34"/>
  <c r="I60" i="34" s="1"/>
  <c r="C66" i="34"/>
  <c r="I66" i="34" s="1"/>
  <c r="I49" i="34"/>
  <c r="G54" i="34"/>
  <c r="I54" i="34" s="1"/>
  <c r="C59" i="34"/>
  <c r="I59" i="34" s="1"/>
  <c r="C65" i="34"/>
  <c r="I65" i="34" s="1"/>
  <c r="N321" i="33"/>
  <c r="P321" i="33" s="1"/>
  <c r="P317" i="33"/>
  <c r="N326" i="33"/>
  <c r="M327" i="33"/>
  <c r="M335" i="33"/>
  <c r="N335" i="33" s="1"/>
  <c r="N267" i="33"/>
  <c r="P267" i="33" s="1"/>
  <c r="M268" i="33"/>
  <c r="N249" i="33"/>
  <c r="F253" i="33"/>
  <c r="N253" i="33" s="1"/>
  <c r="C257" i="33"/>
  <c r="N257" i="33" s="1"/>
  <c r="N248" i="33"/>
  <c r="F252" i="33"/>
  <c r="N252" i="33" s="1"/>
  <c r="N254" i="33" s="1"/>
  <c r="P254" i="33" s="1"/>
  <c r="C256" i="33"/>
  <c r="N256" i="33" s="1"/>
  <c r="N168" i="33"/>
  <c r="E169" i="33"/>
  <c r="N169" i="33" s="1"/>
  <c r="N189" i="33"/>
  <c r="P189" i="33" s="1"/>
  <c r="N194" i="33" s="1"/>
  <c r="M199" i="33"/>
  <c r="N117" i="33"/>
  <c r="N118" i="33" s="1"/>
  <c r="P118" i="33" s="1"/>
  <c r="M119" i="33"/>
  <c r="N68" i="33"/>
  <c r="F73" i="33"/>
  <c r="N73" i="33" s="1"/>
  <c r="C78" i="33"/>
  <c r="N78" i="33" s="1"/>
  <c r="N67" i="33"/>
  <c r="F72" i="33"/>
  <c r="N72" i="33" s="1"/>
  <c r="C77" i="33"/>
  <c r="N77" i="33" s="1"/>
  <c r="N66" i="33"/>
  <c r="F71" i="33"/>
  <c r="N71" i="33" s="1"/>
  <c r="C76" i="33"/>
  <c r="N76" i="33" s="1"/>
  <c r="N51" i="33"/>
  <c r="D52" i="33"/>
  <c r="N52" i="33" s="1"/>
  <c r="N134" i="30"/>
  <c r="N135" i="30" s="1"/>
  <c r="P135" i="30" s="1"/>
  <c r="L153" i="30"/>
  <c r="N153" i="30" s="1"/>
  <c r="N152" i="30"/>
  <c r="L163" i="30"/>
  <c r="N163" i="30" s="1"/>
  <c r="P163" i="30" s="1"/>
  <c r="L178" i="30"/>
  <c r="C64" i="30"/>
  <c r="N56" i="30"/>
  <c r="F60" i="30"/>
  <c r="N60" i="30" s="1"/>
  <c r="N55" i="30"/>
  <c r="F59" i="30"/>
  <c r="N59" i="30" s="1"/>
  <c r="N61" i="30" s="1"/>
  <c r="P61" i="30" s="1"/>
  <c r="C63" i="30"/>
  <c r="D68" i="28"/>
  <c r="D69" i="28" s="1"/>
  <c r="D70" i="28" s="1"/>
  <c r="D71" i="28" s="1"/>
  <c r="C99" i="28"/>
  <c r="N65" i="28"/>
  <c r="C71" i="27"/>
  <c r="M68" i="27"/>
  <c r="M69" i="27" s="1"/>
  <c r="C124" i="27"/>
  <c r="M124" i="27" s="1"/>
  <c r="M123" i="27"/>
  <c r="C90" i="27"/>
  <c r="M87" i="27"/>
  <c r="M88" i="27" s="1"/>
  <c r="N204" i="26"/>
  <c r="N205" i="26" s="1"/>
  <c r="P205" i="26" s="1"/>
  <c r="C212" i="26"/>
  <c r="N212" i="26" s="1"/>
  <c r="N213" i="26" s="1"/>
  <c r="P213" i="26" s="1"/>
  <c r="C208" i="26"/>
  <c r="C221" i="26"/>
  <c r="N221" i="26" s="1"/>
  <c r="N207" i="26"/>
  <c r="C215" i="26"/>
  <c r="N215" i="26" s="1"/>
  <c r="N64" i="26"/>
  <c r="C68" i="26"/>
  <c r="C84" i="26"/>
  <c r="H1166" i="7"/>
  <c r="M1166" i="7"/>
  <c r="H1165" i="7"/>
  <c r="M1165" i="7"/>
  <c r="M128" i="19"/>
  <c r="M130" i="19" s="1"/>
  <c r="E1145" i="7" s="1"/>
  <c r="W1145" i="7" s="1"/>
  <c r="C138" i="19"/>
  <c r="M138" i="19" s="1"/>
  <c r="M140" i="19" s="1"/>
  <c r="E1148" i="7" s="1"/>
  <c r="W1148" i="7" s="1"/>
  <c r="C151" i="19"/>
  <c r="M151" i="19" s="1"/>
  <c r="M153" i="19" s="1"/>
  <c r="M134" i="19" s="1"/>
  <c r="H275" i="7"/>
  <c r="M275" i="7"/>
  <c r="H276" i="7"/>
  <c r="M276" i="7"/>
  <c r="H282" i="7"/>
  <c r="M282" i="7"/>
  <c r="H279" i="7"/>
  <c r="M279" i="7"/>
  <c r="F196" i="11"/>
  <c r="N196" i="11" s="1"/>
  <c r="P196" i="11" s="1"/>
  <c r="E281" i="7" s="1"/>
  <c r="W281" i="7" s="1"/>
  <c r="Y281" i="7" s="1"/>
  <c r="N195" i="11"/>
  <c r="P195" i="11" s="1"/>
  <c r="E280" i="7" s="1"/>
  <c r="W280" i="7" s="1"/>
  <c r="Y280" i="7" s="1"/>
  <c r="C220" i="11"/>
  <c r="N201" i="11"/>
  <c r="N202" i="11" s="1"/>
  <c r="P202" i="11" s="1"/>
  <c r="E284" i="7" s="1"/>
  <c r="W284" i="7" s="1"/>
  <c r="Y284" i="7" s="1"/>
  <c r="C213" i="11"/>
  <c r="N213" i="11" s="1"/>
  <c r="N214" i="11" s="1"/>
  <c r="P214" i="11" s="1"/>
  <c r="E287" i="7" s="1"/>
  <c r="W287" i="7" s="1"/>
  <c r="Y287" i="7" s="1"/>
  <c r="C205" i="11"/>
  <c r="C258" i="11"/>
  <c r="N258" i="11" s="1"/>
  <c r="N259" i="11" s="1"/>
  <c r="P259" i="11" s="1"/>
  <c r="E306" i="7" s="1"/>
  <c r="W306" i="7" s="1"/>
  <c r="Y306" i="7" s="1"/>
  <c r="C228" i="11"/>
  <c r="H289" i="7"/>
  <c r="M289" i="7"/>
  <c r="F217" i="11"/>
  <c r="C252" i="11"/>
  <c r="N252" i="11" s="1"/>
  <c r="N218" i="11"/>
  <c r="P218" i="11" s="1"/>
  <c r="E291" i="7" s="1"/>
  <c r="W291" i="7" s="1"/>
  <c r="Y291" i="7" s="1"/>
  <c r="H274" i="32"/>
  <c r="D275" i="32"/>
  <c r="H261" i="32"/>
  <c r="C262" i="32"/>
  <c r="J213" i="32"/>
  <c r="H215" i="32"/>
  <c r="H146" i="32"/>
  <c r="J146" i="32" s="1"/>
  <c r="G147" i="32"/>
  <c r="H77" i="32"/>
  <c r="C78" i="32"/>
  <c r="H60" i="32"/>
  <c r="C61" i="32"/>
  <c r="H26" i="32"/>
  <c r="D27" i="32"/>
  <c r="P203" i="30"/>
  <c r="P204" i="30"/>
  <c r="N205" i="30"/>
  <c r="C208" i="30"/>
  <c r="N208" i="30" s="1"/>
  <c r="N206" i="30" s="1"/>
  <c r="N215" i="30"/>
  <c r="E216" i="30"/>
  <c r="N216" i="30" s="1"/>
  <c r="E187" i="17"/>
  <c r="M184" i="17"/>
  <c r="O184" i="17" s="1"/>
  <c r="H1035" i="7"/>
  <c r="M1035" i="7"/>
  <c r="O121" i="17"/>
  <c r="M122" i="17"/>
  <c r="O122" i="17" s="1"/>
  <c r="E1003" i="7" s="1"/>
  <c r="W1003" i="7" s="1"/>
  <c r="H1002" i="7"/>
  <c r="M1002" i="7"/>
  <c r="L115" i="25"/>
  <c r="L180" i="25"/>
  <c r="L186" i="25" s="1"/>
  <c r="M77" i="25"/>
  <c r="C86" i="25"/>
  <c r="M86" i="25" s="1"/>
  <c r="C97" i="25"/>
  <c r="L114" i="25"/>
  <c r="L179" i="25"/>
  <c r="L185" i="25" s="1"/>
  <c r="L197" i="25" s="1"/>
  <c r="L203" i="25" s="1"/>
  <c r="M76" i="25"/>
  <c r="C85" i="25"/>
  <c r="M85" i="25" s="1"/>
  <c r="C96" i="25"/>
  <c r="M74" i="25"/>
  <c r="C84" i="25"/>
  <c r="M84" i="25" s="1"/>
  <c r="M120" i="25"/>
  <c r="M122" i="25" s="1"/>
  <c r="L125" i="25"/>
  <c r="L130" i="25"/>
  <c r="L113" i="25"/>
  <c r="L178" i="25"/>
  <c r="L184" i="25" s="1"/>
  <c r="L196" i="25" s="1"/>
  <c r="L202" i="25" s="1"/>
  <c r="M73" i="25"/>
  <c r="C83" i="25"/>
  <c r="M83" i="25" s="1"/>
  <c r="C95" i="25"/>
  <c r="L112" i="25"/>
  <c r="L177" i="25"/>
  <c r="L183" i="25" s="1"/>
  <c r="M72" i="25"/>
  <c r="C82" i="25"/>
  <c r="M82" i="25" s="1"/>
  <c r="C94" i="25"/>
  <c r="M68" i="25"/>
  <c r="C79" i="25"/>
  <c r="M67" i="25"/>
  <c r="C78" i="25"/>
  <c r="M55" i="25"/>
  <c r="M58" i="25" s="1"/>
  <c r="D66" i="25"/>
  <c r="M66" i="25" s="1"/>
  <c r="M21" i="25"/>
  <c r="L22" i="25"/>
  <c r="M22" i="25" s="1"/>
  <c r="H940" i="7"/>
  <c r="M940" i="7"/>
  <c r="M265" i="24"/>
  <c r="O265" i="24" s="1"/>
  <c r="E941" i="7" s="1"/>
  <c r="W941" i="7" s="1"/>
  <c r="L266" i="24"/>
  <c r="M190" i="24"/>
  <c r="K191" i="24"/>
  <c r="M191" i="24" s="1"/>
  <c r="M156" i="24"/>
  <c r="M157" i="24" s="1"/>
  <c r="O157" i="24" s="1"/>
  <c r="L159" i="24"/>
  <c r="M159" i="24" s="1"/>
  <c r="M160" i="24" s="1"/>
  <c r="O160" i="24" s="1"/>
  <c r="H885" i="7"/>
  <c r="M885" i="7"/>
  <c r="H886" i="7"/>
  <c r="M886" i="7"/>
  <c r="H887" i="7"/>
  <c r="M887" i="7"/>
  <c r="L109" i="24"/>
  <c r="L114" i="24"/>
  <c r="L120" i="24" s="1"/>
  <c r="L126" i="24" s="1"/>
  <c r="L166" i="24" s="1"/>
  <c r="M81" i="24"/>
  <c r="C108" i="24"/>
  <c r="L107" i="24"/>
  <c r="L113" i="24"/>
  <c r="L119" i="24" s="1"/>
  <c r="L125" i="24" s="1"/>
  <c r="M80" i="24"/>
  <c r="C106" i="24"/>
  <c r="L105" i="24"/>
  <c r="L112" i="24"/>
  <c r="L118" i="24" s="1"/>
  <c r="L124" i="24" s="1"/>
  <c r="L165" i="24" s="1"/>
  <c r="O66" i="24"/>
  <c r="E865" i="7"/>
  <c r="W865" i="7" s="1"/>
  <c r="E866" i="7"/>
  <c r="W866" i="7" s="1"/>
  <c r="O71" i="24"/>
  <c r="M79" i="24"/>
  <c r="C104" i="24"/>
  <c r="M37" i="24"/>
  <c r="M38" i="24" s="1"/>
  <c r="O38" i="24" s="1"/>
  <c r="E860" i="7" s="1"/>
  <c r="W860" i="7" s="1"/>
  <c r="D42" i="24"/>
  <c r="M42" i="24" s="1"/>
  <c r="M43" i="24" s="1"/>
  <c r="O43" i="24" s="1"/>
  <c r="E1305" i="7"/>
  <c r="W1305" i="7" s="1"/>
  <c r="Y1305" i="7" s="1"/>
  <c r="P399" i="21"/>
  <c r="N308" i="21"/>
  <c r="E309" i="21"/>
  <c r="E256" i="21"/>
  <c r="E258" i="21"/>
  <c r="N255" i="21"/>
  <c r="D256" i="21"/>
  <c r="D258" i="21"/>
  <c r="N200" i="21"/>
  <c r="D203" i="21"/>
  <c r="N199" i="21"/>
  <c r="D202" i="21"/>
  <c r="N184" i="21"/>
  <c r="N185" i="21" s="1"/>
  <c r="P185" i="21" s="1"/>
  <c r="E1299" i="7" s="1"/>
  <c r="W1299" i="7" s="1"/>
  <c r="Y1299" i="7" s="1"/>
  <c r="M186" i="21"/>
  <c r="N186" i="21" s="1"/>
  <c r="P186" i="21" s="1"/>
  <c r="E1300" i="7" s="1"/>
  <c r="W1300" i="7" s="1"/>
  <c r="Y1300" i="7" s="1"/>
  <c r="C61" i="21"/>
  <c r="C107" i="21"/>
  <c r="F108" i="21" s="1"/>
  <c r="C157" i="21"/>
  <c r="N157" i="21" s="1"/>
  <c r="N54" i="21"/>
  <c r="C55" i="21"/>
  <c r="C88" i="21"/>
  <c r="C89" i="21" s="1"/>
  <c r="C151" i="21"/>
  <c r="N151" i="21" s="1"/>
  <c r="N86" i="21"/>
  <c r="F87" i="21"/>
  <c r="N87" i="21" s="1"/>
  <c r="M225" i="20"/>
  <c r="L226" i="20"/>
  <c r="M226" i="20" s="1"/>
  <c r="H1246" i="7"/>
  <c r="M1246" i="7"/>
  <c r="H1245" i="7"/>
  <c r="M1245" i="7"/>
  <c r="H1247" i="7"/>
  <c r="M1247" i="7"/>
  <c r="M192" i="20"/>
  <c r="E1248" i="7" s="1"/>
  <c r="W1248" i="7" s="1"/>
  <c r="C193" i="20"/>
  <c r="M193" i="20" s="1"/>
  <c r="M195" i="20"/>
  <c r="K196" i="20"/>
  <c r="M196" i="20" s="1"/>
  <c r="C198" i="20"/>
  <c r="M198" i="20" s="1"/>
  <c r="E1251" i="7" s="1"/>
  <c r="W1251" i="7" s="1"/>
  <c r="H1242" i="7"/>
  <c r="M1242" i="7"/>
  <c r="H1243" i="7"/>
  <c r="M1243" i="7"/>
  <c r="H1228" i="7"/>
  <c r="M1228" i="7"/>
  <c r="C47" i="20"/>
  <c r="M47" i="20" s="1"/>
  <c r="M43" i="20"/>
  <c r="C53" i="20"/>
  <c r="C291" i="17"/>
  <c r="M286" i="17"/>
  <c r="H1007" i="7"/>
  <c r="M1007" i="7"/>
  <c r="M132" i="17"/>
  <c r="O132" i="17" s="1"/>
  <c r="E1010" i="7" s="1"/>
  <c r="W1010" i="7" s="1"/>
  <c r="O131" i="17"/>
  <c r="E1009" i="7" s="1"/>
  <c r="W1009" i="7" s="1"/>
  <c r="H1006" i="7"/>
  <c r="M1006" i="7"/>
  <c r="H1008" i="7"/>
  <c r="M1008" i="7"/>
  <c r="M45" i="17"/>
  <c r="C49" i="17"/>
  <c r="M44" i="17"/>
  <c r="C48" i="17"/>
  <c r="M63" i="17"/>
  <c r="H967" i="7"/>
  <c r="M967" i="7"/>
  <c r="H968" i="7"/>
  <c r="M968" i="7"/>
  <c r="O23" i="17"/>
  <c r="E971" i="7" s="1"/>
  <c r="W971" i="7" s="1"/>
  <c r="M24" i="17"/>
  <c r="H822" i="7"/>
  <c r="M822" i="7"/>
  <c r="M464" i="16"/>
  <c r="O464" i="16" s="1"/>
  <c r="E823" i="7" s="1"/>
  <c r="W823" i="7" s="1"/>
  <c r="L465" i="16"/>
  <c r="M465" i="16" s="1"/>
  <c r="O465" i="16" s="1"/>
  <c r="E824" i="7" s="1"/>
  <c r="W824" i="7" s="1"/>
  <c r="H779" i="7"/>
  <c r="M779" i="7"/>
  <c r="M309" i="16"/>
  <c r="O309" i="16" s="1"/>
  <c r="E780" i="7" s="1"/>
  <c r="W780" i="7" s="1"/>
  <c r="L310" i="16"/>
  <c r="M310" i="16" s="1"/>
  <c r="O310" i="16" s="1"/>
  <c r="E781" i="7" s="1"/>
  <c r="W781" i="7" s="1"/>
  <c r="H765" i="7"/>
  <c r="M765" i="7"/>
  <c r="H766" i="7"/>
  <c r="M766" i="7"/>
  <c r="A421" i="16"/>
  <c r="A422" i="16" s="1"/>
  <c r="A423" i="16"/>
  <c r="A424" i="16" s="1"/>
  <c r="A425" i="16" s="1"/>
  <c r="M366" i="16"/>
  <c r="E367" i="16"/>
  <c r="E368" i="16" s="1"/>
  <c r="M380" i="16"/>
  <c r="E381" i="16"/>
  <c r="M381" i="16" s="1"/>
  <c r="H753" i="7"/>
  <c r="M753" i="7"/>
  <c r="H754" i="7"/>
  <c r="M754" i="7"/>
  <c r="M207" i="16"/>
  <c r="O207" i="16" s="1"/>
  <c r="E746" i="7" s="1"/>
  <c r="W746" i="7" s="1"/>
  <c r="O206" i="16"/>
  <c r="E745" i="7" s="1"/>
  <c r="W745" i="7" s="1"/>
  <c r="M210" i="16"/>
  <c r="M211" i="16" s="1"/>
  <c r="O211" i="16" s="1"/>
  <c r="E747" i="7" s="1"/>
  <c r="W747" i="7" s="1"/>
  <c r="C214" i="16"/>
  <c r="M214" i="16" s="1"/>
  <c r="M215" i="16" s="1"/>
  <c r="O215" i="16" s="1"/>
  <c r="E748" i="7" s="1"/>
  <c r="W748" i="7" s="1"/>
  <c r="H719" i="7"/>
  <c r="M719" i="7"/>
  <c r="M81" i="16"/>
  <c r="O81" i="16" s="1"/>
  <c r="E711" i="7" s="1"/>
  <c r="W711" i="7" s="1"/>
  <c r="L86" i="16"/>
  <c r="M86" i="16" s="1"/>
  <c r="O86" i="16" s="1"/>
  <c r="E716" i="7" s="1"/>
  <c r="W716" i="7" s="1"/>
  <c r="H715" i="7"/>
  <c r="M715" i="7"/>
  <c r="M66" i="16"/>
  <c r="H71" i="16"/>
  <c r="M71" i="16" s="1"/>
  <c r="C76" i="16"/>
  <c r="M76" i="16" s="1"/>
  <c r="M64" i="16"/>
  <c r="H69" i="16"/>
  <c r="M69" i="16" s="1"/>
  <c r="C74" i="16"/>
  <c r="M74" i="16" s="1"/>
  <c r="M63" i="16"/>
  <c r="H68" i="16"/>
  <c r="M68" i="16" s="1"/>
  <c r="C73" i="16"/>
  <c r="M47" i="16"/>
  <c r="M44" i="16" s="1"/>
  <c r="O44" i="16" s="1"/>
  <c r="E700" i="7" s="1"/>
  <c r="W700" i="7" s="1"/>
  <c r="C52" i="16"/>
  <c r="M52" i="16" s="1"/>
  <c r="M54" i="16" s="1"/>
  <c r="F55" i="16" s="1"/>
  <c r="M55" i="16" s="1"/>
  <c r="O55" i="16" s="1"/>
  <c r="E701" i="7" s="1"/>
  <c r="W701" i="7" s="1"/>
  <c r="C60" i="16"/>
  <c r="C368" i="16"/>
  <c r="H691" i="7"/>
  <c r="M691" i="7"/>
  <c r="H692" i="7"/>
  <c r="M692" i="7"/>
  <c r="H676" i="7"/>
  <c r="M676" i="7"/>
  <c r="M300" i="15"/>
  <c r="E677" i="7" s="1"/>
  <c r="W677" i="7" s="1"/>
  <c r="L301" i="15"/>
  <c r="L303" i="15"/>
  <c r="M303" i="15" s="1"/>
  <c r="E680" i="7" s="1"/>
  <c r="W680" i="7" s="1"/>
  <c r="M261" i="15"/>
  <c r="L262" i="15"/>
  <c r="M262" i="15" s="1"/>
  <c r="M644" i="7"/>
  <c r="H644" i="7"/>
  <c r="M645" i="7"/>
  <c r="H645" i="7"/>
  <c r="M90" i="15"/>
  <c r="K94" i="15"/>
  <c r="M94" i="15" s="1"/>
  <c r="C98" i="15"/>
  <c r="M98" i="15" s="1"/>
  <c r="M588" i="7"/>
  <c r="H588" i="7"/>
  <c r="M589" i="7"/>
  <c r="H589" i="7"/>
  <c r="M87" i="15"/>
  <c r="M88" i="15" s="1"/>
  <c r="E599" i="7" s="1"/>
  <c r="W599" i="7" s="1"/>
  <c r="C91" i="15"/>
  <c r="N220" i="14"/>
  <c r="N221" i="14" s="1"/>
  <c r="P221" i="14" s="1"/>
  <c r="E389" i="7" s="1"/>
  <c r="W389" i="7" s="1"/>
  <c r="C224" i="14"/>
  <c r="N224" i="14" s="1"/>
  <c r="N225" i="14" s="1"/>
  <c r="N227" i="14" s="1"/>
  <c r="C229" i="14"/>
  <c r="N229" i="14" s="1"/>
  <c r="N146" i="14"/>
  <c r="N147" i="14" s="1"/>
  <c r="P147" i="14" s="1"/>
  <c r="M149" i="14"/>
  <c r="N149" i="14" s="1"/>
  <c r="N150" i="14" s="1"/>
  <c r="P150" i="14" s="1"/>
  <c r="N63" i="14"/>
  <c r="C67" i="14"/>
  <c r="C83" i="14"/>
  <c r="M337" i="7"/>
  <c r="H337" i="7"/>
  <c r="N56" i="14"/>
  <c r="N57" i="14" s="1"/>
  <c r="P57" i="14" s="1"/>
  <c r="E338" i="7" s="1"/>
  <c r="W338" i="7" s="1"/>
  <c r="F60" i="14"/>
  <c r="N60" i="14" s="1"/>
  <c r="N61" i="14" s="1"/>
  <c r="P61" i="14" s="1"/>
  <c r="E339" i="7" s="1"/>
  <c r="W339" i="7" s="1"/>
  <c r="C64" i="14"/>
  <c r="H567" i="7"/>
  <c r="M567" i="7"/>
  <c r="H551" i="7"/>
  <c r="M551" i="7"/>
  <c r="M330" i="13"/>
  <c r="E552" i="7" s="1"/>
  <c r="W552" i="7" s="1"/>
  <c r="Y552" i="7" s="1"/>
  <c r="L331" i="13"/>
  <c r="H527" i="7"/>
  <c r="M527" i="7"/>
  <c r="H526" i="7"/>
  <c r="M526" i="7"/>
  <c r="M264" i="13"/>
  <c r="C268" i="13"/>
  <c r="M268" i="13" s="1"/>
  <c r="M502" i="7"/>
  <c r="H502" i="7"/>
  <c r="O261" i="13"/>
  <c r="E503" i="7"/>
  <c r="W503" i="7" s="1"/>
  <c r="Y503" i="7" s="1"/>
  <c r="M263" i="13"/>
  <c r="C267" i="13"/>
  <c r="M267" i="13" s="1"/>
  <c r="M292" i="13"/>
  <c r="E525" i="7" s="1"/>
  <c r="W525" i="7" s="1"/>
  <c r="Y525" i="7" s="1"/>
  <c r="E515" i="7"/>
  <c r="W515" i="7" s="1"/>
  <c r="Y515" i="7" s="1"/>
  <c r="H507" i="7"/>
  <c r="M507" i="7"/>
  <c r="E478" i="7"/>
  <c r="W478" i="7" s="1"/>
  <c r="Y478" i="7" s="1"/>
  <c r="O174" i="13"/>
  <c r="H480" i="7"/>
  <c r="M480" i="7"/>
  <c r="H473" i="7"/>
  <c r="M473" i="7"/>
  <c r="H474" i="7"/>
  <c r="M474" i="7"/>
  <c r="H475" i="7"/>
  <c r="H452" i="7"/>
  <c r="M452" i="7"/>
  <c r="H453" i="7"/>
  <c r="M453" i="7"/>
  <c r="H454" i="7"/>
  <c r="M454" i="7"/>
  <c r="M73" i="13"/>
  <c r="K79" i="13"/>
  <c r="M79" i="13" s="1"/>
  <c r="C85" i="13"/>
  <c r="M85" i="13" s="1"/>
  <c r="M72" i="13"/>
  <c r="K78" i="13"/>
  <c r="M78" i="13" s="1"/>
  <c r="C84" i="13"/>
  <c r="M84" i="13" s="1"/>
  <c r="M71" i="13"/>
  <c r="K77" i="13"/>
  <c r="M77" i="13" s="1"/>
  <c r="C83" i="13"/>
  <c r="M83" i="13" s="1"/>
  <c r="M128" i="13"/>
  <c r="C129" i="13"/>
  <c r="M129" i="13" s="1"/>
  <c r="C131" i="13"/>
  <c r="K132" i="13"/>
  <c r="M132" i="13" s="1"/>
  <c r="E463" i="7" s="1"/>
  <c r="W463" i="7" s="1"/>
  <c r="Y463" i="7" s="1"/>
  <c r="M70" i="13"/>
  <c r="K76" i="13"/>
  <c r="M76" i="13" s="1"/>
  <c r="M80" i="13" s="1"/>
  <c r="E438" i="7" s="1"/>
  <c r="W438" i="7" s="1"/>
  <c r="Y438" i="7" s="1"/>
  <c r="C82" i="13"/>
  <c r="M82" i="13" s="1"/>
  <c r="M104" i="13"/>
  <c r="C105" i="13"/>
  <c r="M105" i="13" s="1"/>
  <c r="C110" i="13"/>
  <c r="M42" i="13"/>
  <c r="M43" i="13" s="1"/>
  <c r="E432" i="7" s="1"/>
  <c r="W432" i="7" s="1"/>
  <c r="Y432" i="7" s="1"/>
  <c r="D52" i="13"/>
  <c r="M52" i="13" s="1"/>
  <c r="H424" i="7"/>
  <c r="M424" i="7"/>
  <c r="H425" i="7"/>
  <c r="M425" i="7"/>
  <c r="M418" i="11"/>
  <c r="O418" i="11" s="1"/>
  <c r="O417" i="11"/>
  <c r="M438" i="11"/>
  <c r="M441" i="11" s="1"/>
  <c r="O441" i="11" s="1"/>
  <c r="L446" i="11"/>
  <c r="M446" i="11" s="1"/>
  <c r="M448" i="11" s="1"/>
  <c r="M357" i="11"/>
  <c r="C361" i="11"/>
  <c r="M356" i="11"/>
  <c r="C360" i="11"/>
  <c r="N287" i="11"/>
  <c r="C289" i="11"/>
  <c r="N154" i="11"/>
  <c r="P154" i="11" s="1"/>
  <c r="C155" i="11"/>
  <c r="C164" i="11"/>
  <c r="N151" i="11"/>
  <c r="P151" i="11" s="1"/>
  <c r="M152" i="11"/>
  <c r="N152" i="11" s="1"/>
  <c r="P152" i="11" s="1"/>
  <c r="N82" i="11"/>
  <c r="P82" i="11" s="1"/>
  <c r="F83" i="11"/>
  <c r="N83" i="11" s="1"/>
  <c r="P83" i="11" s="1"/>
  <c r="C89" i="11"/>
  <c r="N70" i="11"/>
  <c r="F74" i="11"/>
  <c r="N74" i="11" s="1"/>
  <c r="C78" i="11"/>
  <c r="N78" i="11" s="1"/>
  <c r="P32" i="11"/>
  <c r="E242" i="7" s="1"/>
  <c r="W242" i="7" s="1"/>
  <c r="Y242" i="7" s="1"/>
  <c r="N33" i="11"/>
  <c r="P33" i="11" s="1"/>
  <c r="E243" i="7" s="1"/>
  <c r="W243" i="7" s="1"/>
  <c r="Y243" i="7" s="1"/>
  <c r="N86" i="11"/>
  <c r="D88" i="11"/>
  <c r="D89" i="11" s="1"/>
  <c r="C91" i="11"/>
  <c r="N69" i="11"/>
  <c r="F73" i="11"/>
  <c r="N73" i="11" s="1"/>
  <c r="N75" i="11" s="1"/>
  <c r="P75" i="11" s="1"/>
  <c r="E248" i="7" s="1"/>
  <c r="W248" i="7" s="1"/>
  <c r="Y248" i="7" s="1"/>
  <c r="C77" i="11"/>
  <c r="N77" i="11" s="1"/>
  <c r="N139" i="10"/>
  <c r="M140" i="10"/>
  <c r="N140" i="10" s="1"/>
  <c r="N143" i="10"/>
  <c r="M144" i="10"/>
  <c r="M148" i="10"/>
  <c r="H191" i="7"/>
  <c r="M191" i="7"/>
  <c r="H192" i="7"/>
  <c r="M192" i="7"/>
  <c r="M20" i="10"/>
  <c r="N20" i="10" s="1"/>
  <c r="P20" i="10" s="1"/>
  <c r="L21" i="10"/>
  <c r="N138" i="9"/>
  <c r="N140" i="9" s="1"/>
  <c r="P140" i="9" s="1"/>
  <c r="F142" i="9"/>
  <c r="N142" i="9" s="1"/>
  <c r="N144" i="9" s="1"/>
  <c r="P144" i="9" s="1"/>
  <c r="C146" i="9"/>
  <c r="N146" i="9" s="1"/>
  <c r="N148" i="9" s="1"/>
  <c r="P148" i="9" s="1"/>
  <c r="C224" i="9"/>
  <c r="N224" i="9" s="1"/>
  <c r="H212" i="9"/>
  <c r="H218" i="9"/>
  <c r="N211" i="9"/>
  <c r="C223" i="9"/>
  <c r="N223" i="9" s="1"/>
  <c r="N217" i="9"/>
  <c r="C236" i="9"/>
  <c r="P175" i="9"/>
  <c r="N259" i="9"/>
  <c r="H126" i="7"/>
  <c r="M126" i="7"/>
  <c r="N107" i="9"/>
  <c r="P107" i="9" s="1"/>
  <c r="M108" i="9"/>
  <c r="N63" i="9"/>
  <c r="C67" i="9"/>
  <c r="C88" i="9"/>
  <c r="C45" i="9"/>
  <c r="N45" i="9" s="1"/>
  <c r="M108" i="7"/>
  <c r="H108" i="7"/>
  <c r="N56" i="9"/>
  <c r="N57" i="9" s="1"/>
  <c r="P57" i="9" s="1"/>
  <c r="F60" i="9"/>
  <c r="N60" i="9" s="1"/>
  <c r="N61" i="9" s="1"/>
  <c r="P61" i="9" s="1"/>
  <c r="C64" i="9"/>
  <c r="P16" i="9"/>
  <c r="E96" i="7"/>
  <c r="P17" i="9"/>
  <c r="E97" i="7"/>
  <c r="P18" i="9"/>
  <c r="E98" i="7"/>
  <c r="H99" i="7"/>
  <c r="M99" i="7"/>
  <c r="K20" i="8"/>
  <c r="M20" i="8" s="1"/>
  <c r="E77" i="7" s="1"/>
  <c r="C26" i="8"/>
  <c r="C28" i="8"/>
  <c r="K28" i="8" s="1"/>
  <c r="M29" i="8" s="1"/>
  <c r="O80" i="7" s="1"/>
  <c r="C33" i="8"/>
  <c r="C40" i="8" s="1"/>
  <c r="H561" i="6"/>
  <c r="C562" i="6"/>
  <c r="H510" i="6"/>
  <c r="G511" i="6"/>
  <c r="H511" i="6" s="1"/>
  <c r="H484" i="6"/>
  <c r="J484" i="6" s="1"/>
  <c r="G485" i="6"/>
  <c r="H475" i="6"/>
  <c r="H476" i="6" s="1"/>
  <c r="C472" i="6"/>
  <c r="H330" i="6"/>
  <c r="C331" i="6"/>
  <c r="H229" i="6"/>
  <c r="C230" i="6"/>
  <c r="H27" i="6"/>
  <c r="D28" i="6"/>
  <c r="H19" i="6"/>
  <c r="J19" i="6" s="1"/>
  <c r="G20" i="6"/>
  <c r="H126" i="6"/>
  <c r="H224" i="6" s="1"/>
  <c r="J224" i="6" s="1"/>
  <c r="G226" i="6"/>
  <c r="H429" i="6"/>
  <c r="F438" i="6"/>
  <c r="G444" i="6"/>
  <c r="H444" i="6" s="1"/>
  <c r="H431" i="6"/>
  <c r="F434" i="6"/>
  <c r="H434" i="6" s="1"/>
  <c r="H436" i="6" s="1"/>
  <c r="J436" i="6" s="1"/>
  <c r="H449" i="6"/>
  <c r="H448" i="6" s="1"/>
  <c r="J448" i="6" s="1"/>
  <c r="F450" i="6"/>
  <c r="H281" i="5"/>
  <c r="D282" i="5"/>
  <c r="H268" i="5"/>
  <c r="C269" i="5"/>
  <c r="J220" i="5"/>
  <c r="H222" i="5"/>
  <c r="H179" i="5"/>
  <c r="G180" i="5"/>
  <c r="H180" i="5" s="1"/>
  <c r="H153" i="5"/>
  <c r="J153" i="5" s="1"/>
  <c r="G154" i="5"/>
  <c r="H78" i="5"/>
  <c r="C79" i="5"/>
  <c r="H61" i="5"/>
  <c r="C62" i="5"/>
  <c r="H27" i="5"/>
  <c r="D28" i="5"/>
  <c r="C292" i="17"/>
  <c r="M287" i="17"/>
  <c r="J32" i="7"/>
  <c r="M32" i="7"/>
  <c r="E33" i="7"/>
  <c r="W33" i="7" s="1"/>
  <c r="Y33" i="7" s="1"/>
  <c r="H32" i="7"/>
  <c r="H1080" i="7"/>
  <c r="M1080" i="7"/>
  <c r="N57" i="18"/>
  <c r="N60" i="18" s="1"/>
  <c r="P60" i="18" s="1"/>
  <c r="E1081" i="7" s="1"/>
  <c r="W1081" i="7" s="1"/>
  <c r="Y1081" i="7" s="1"/>
  <c r="M62" i="18"/>
  <c r="C38" i="18"/>
  <c r="N38" i="18" s="1"/>
  <c r="N39" i="18" s="1"/>
  <c r="P39" i="18" s="1"/>
  <c r="E1076" i="7" s="1"/>
  <c r="W1076" i="7" s="1"/>
  <c r="Y1076" i="7" s="1"/>
  <c r="N33" i="18"/>
  <c r="N34" i="18" s="1"/>
  <c r="P34" i="18" s="1"/>
  <c r="E1075" i="7" s="1"/>
  <c r="W1075" i="7" s="1"/>
  <c r="Y1075" i="7" s="1"/>
  <c r="P202" i="28"/>
  <c r="N203" i="28"/>
  <c r="N180" i="28"/>
  <c r="P180" i="28" s="1"/>
  <c r="P179" i="28"/>
  <c r="N292" i="40"/>
  <c r="H293" i="40"/>
  <c r="N293" i="40" s="1"/>
  <c r="N180" i="40"/>
  <c r="E181" i="40"/>
  <c r="N181" i="40" s="1"/>
  <c r="M232" i="27"/>
  <c r="E332" i="25"/>
  <c r="M332" i="25" s="1"/>
  <c r="M335" i="25" s="1"/>
  <c r="M307" i="25"/>
  <c r="M315" i="25" s="1"/>
  <c r="M18" i="19"/>
  <c r="L19" i="19"/>
  <c r="M19" i="19" s="1"/>
  <c r="J237" i="32"/>
  <c r="H238" i="32"/>
  <c r="J238" i="32" s="1"/>
  <c r="J225" i="32"/>
  <c r="H226" i="32"/>
  <c r="J226" i="32" s="1"/>
  <c r="P167" i="29"/>
  <c r="N168" i="29"/>
  <c r="P168" i="29" s="1"/>
  <c r="H861" i="7"/>
  <c r="M861" i="7"/>
  <c r="H858" i="7"/>
  <c r="M858" i="7"/>
  <c r="N34" i="21"/>
  <c r="P34" i="21" s="1"/>
  <c r="E1283" i="7" s="1"/>
  <c r="C35" i="21"/>
  <c r="F41" i="21"/>
  <c r="N41" i="21" s="1"/>
  <c r="P41" i="21" s="1"/>
  <c r="E1287" i="7" s="1"/>
  <c r="H1282" i="7"/>
  <c r="M1282" i="7"/>
  <c r="L125" i="20"/>
  <c r="M124" i="20"/>
  <c r="H784" i="7"/>
  <c r="M784" i="7"/>
  <c r="H656" i="7"/>
  <c r="M656" i="7"/>
  <c r="H666" i="7"/>
  <c r="M666" i="7"/>
  <c r="H667" i="7"/>
  <c r="M667" i="7"/>
  <c r="H638" i="7"/>
  <c r="M638" i="7"/>
  <c r="H639" i="7"/>
  <c r="M639" i="7"/>
  <c r="H596" i="7"/>
  <c r="M596" i="7"/>
  <c r="H597" i="7"/>
  <c r="M597" i="7"/>
  <c r="M402" i="7"/>
  <c r="H402" i="7"/>
  <c r="H401" i="7"/>
  <c r="M401" i="7"/>
  <c r="P183" i="14"/>
  <c r="E380" i="7" s="1"/>
  <c r="W380" i="7" s="1"/>
  <c r="N184" i="14"/>
  <c r="H379" i="7"/>
  <c r="M379" i="7"/>
  <c r="H490" i="7"/>
  <c r="M490" i="7"/>
  <c r="M226" i="13"/>
  <c r="M227" i="13" s="1"/>
  <c r="E491" i="7"/>
  <c r="W491" i="7" s="1"/>
  <c r="Y491" i="7" s="1"/>
  <c r="H269" i="7"/>
  <c r="M269" i="7"/>
  <c r="H268" i="7"/>
  <c r="M268" i="7"/>
  <c r="H240" i="7"/>
  <c r="M240" i="7"/>
  <c r="E241" i="7"/>
  <c r="W241" i="7" s="1"/>
  <c r="Y241" i="7" s="1"/>
  <c r="H229" i="7"/>
  <c r="M229" i="7"/>
  <c r="M228" i="7"/>
  <c r="H228" i="7"/>
  <c r="M197" i="7"/>
  <c r="E198" i="7"/>
  <c r="W198" i="7" s="1"/>
  <c r="H197" i="7"/>
  <c r="E190" i="7"/>
  <c r="W190" i="7" s="1"/>
  <c r="M189" i="7"/>
  <c r="H189" i="7"/>
  <c r="H164" i="7"/>
  <c r="M164" i="7"/>
  <c r="H161" i="7"/>
  <c r="M161" i="7"/>
  <c r="H147" i="7"/>
  <c r="M147" i="7"/>
  <c r="H94" i="7"/>
  <c r="M94" i="7"/>
  <c r="I1131" i="42"/>
  <c r="I1125" i="42"/>
  <c r="I1127" i="42"/>
  <c r="I1126" i="42"/>
  <c r="I1130" i="42"/>
  <c r="I1132" i="42" s="1"/>
  <c r="G1134" i="42"/>
  <c r="G1135" i="42" s="1"/>
  <c r="D51" i="41" s="1"/>
  <c r="G433" i="42"/>
  <c r="I416" i="42" s="1"/>
  <c r="H371" i="7"/>
  <c r="M371" i="7"/>
  <c r="J244" i="5"/>
  <c r="H245" i="5"/>
  <c r="J245" i="5" s="1"/>
  <c r="J232" i="5"/>
  <c r="H233" i="5"/>
  <c r="J233" i="5" s="1"/>
  <c r="G815" i="42"/>
  <c r="G410" i="42"/>
  <c r="I393" i="42" s="1"/>
  <c r="H987" i="7"/>
  <c r="M987" i="7"/>
  <c r="O71" i="17"/>
  <c r="M72" i="17"/>
  <c r="O72" i="17" s="1"/>
  <c r="E988" i="7" s="1"/>
  <c r="W988" i="7" s="1"/>
  <c r="I1116" i="42"/>
  <c r="I1110" i="42"/>
  <c r="I1112" i="42"/>
  <c r="I1111" i="42"/>
  <c r="I1115" i="42"/>
  <c r="I1117" i="42" s="1"/>
  <c r="G1119" i="42"/>
  <c r="G1120" i="42" s="1"/>
  <c r="D50" i="41" s="1"/>
  <c r="G4175" i="42"/>
  <c r="G3988" i="42"/>
  <c r="I3984" i="42"/>
  <c r="I3983" i="42"/>
  <c r="I3977" i="42"/>
  <c r="I3978" i="42"/>
  <c r="I3982" i="42"/>
  <c r="I3985" i="42"/>
  <c r="I3979" i="42"/>
  <c r="I3824" i="42"/>
  <c r="I3828" i="42"/>
  <c r="I3830" i="42" s="1"/>
  <c r="G3834" i="42"/>
  <c r="I3825" i="42"/>
  <c r="I3571" i="42"/>
  <c r="I3578" i="42" s="1"/>
  <c r="E207" i="41" s="1"/>
  <c r="I2193" i="42"/>
  <c r="G2203" i="42"/>
  <c r="I2199" i="42"/>
  <c r="I2195" i="42"/>
  <c r="I2194" i="42"/>
  <c r="I2200" i="42"/>
  <c r="I2196" i="42"/>
  <c r="G2098" i="42"/>
  <c r="M778" i="7"/>
  <c r="H778" i="7"/>
  <c r="I1762" i="42"/>
  <c r="I1768" i="42"/>
  <c r="G1774" i="42"/>
  <c r="I1769" i="42"/>
  <c r="I1764" i="42"/>
  <c r="I1771" i="42"/>
  <c r="I1763" i="42"/>
  <c r="I1770" i="42"/>
  <c r="I1765" i="42"/>
  <c r="I1905" i="42"/>
  <c r="I1906" i="42" s="1"/>
  <c r="G1911" i="42"/>
  <c r="I1908" i="42"/>
  <c r="I1909" i="42" s="1"/>
  <c r="I1894" i="42"/>
  <c r="I1895" i="42" s="1"/>
  <c r="G1900" i="42"/>
  <c r="I1897" i="42"/>
  <c r="I1898" i="42" s="1"/>
  <c r="N27" i="40"/>
  <c r="N29" i="40" s="1"/>
  <c r="P35" i="40"/>
  <c r="M690" i="7"/>
  <c r="H690" i="7"/>
  <c r="P94" i="30"/>
  <c r="N95" i="30"/>
  <c r="P95" i="30" s="1"/>
  <c r="O106" i="17"/>
  <c r="E996" i="7" s="1"/>
  <c r="W996" i="7" s="1"/>
  <c r="M107" i="17"/>
  <c r="E900" i="7"/>
  <c r="W900" i="7" s="1"/>
  <c r="O197" i="24"/>
  <c r="M1227" i="7"/>
  <c r="H1227" i="7"/>
  <c r="M1222" i="7"/>
  <c r="H1222" i="7"/>
  <c r="M626" i="7"/>
  <c r="H626" i="7"/>
  <c r="M388" i="7"/>
  <c r="H388" i="7"/>
  <c r="N169" i="14"/>
  <c r="P169" i="14" s="1"/>
  <c r="P168" i="14"/>
  <c r="M335" i="7"/>
  <c r="E477" i="7"/>
  <c r="W477" i="7" s="1"/>
  <c r="Y477" i="7" s="1"/>
  <c r="O171" i="13"/>
  <c r="E472" i="7"/>
  <c r="W472" i="7" s="1"/>
  <c r="Y472" i="7" s="1"/>
  <c r="O154" i="13"/>
  <c r="H448" i="7"/>
  <c r="M448" i="7"/>
  <c r="M449" i="7"/>
  <c r="H449" i="7"/>
  <c r="M434" i="7"/>
  <c r="H434" i="7"/>
  <c r="H423" i="7"/>
  <c r="M423" i="7"/>
  <c r="M265" i="7"/>
  <c r="H265" i="7"/>
  <c r="M263" i="7"/>
  <c r="H263" i="7"/>
  <c r="M219" i="7"/>
  <c r="H219" i="7"/>
  <c r="M125" i="7"/>
  <c r="H125" i="7"/>
  <c r="E95" i="7"/>
  <c r="P15" i="9"/>
  <c r="M1078" i="7"/>
  <c r="H1078" i="7"/>
  <c r="P369" i="40"/>
  <c r="N373" i="40"/>
  <c r="P232" i="40"/>
  <c r="N372" i="40"/>
  <c r="M1077" i="7"/>
  <c r="H1077" i="7"/>
  <c r="P192" i="33"/>
  <c r="N217" i="33"/>
  <c r="P217" i="33" s="1"/>
  <c r="O220" i="24"/>
  <c r="E901" i="7"/>
  <c r="W901" i="7" s="1"/>
  <c r="M179" i="24"/>
  <c r="N515" i="21"/>
  <c r="P515" i="21" s="1"/>
  <c r="E1330" i="7" s="1"/>
  <c r="W1330" i="7" s="1"/>
  <c r="Y1330" i="7" s="1"/>
  <c r="C516" i="21"/>
  <c r="N516" i="21" s="1"/>
  <c r="P516" i="21" s="1"/>
  <c r="E1331" i="7" s="1"/>
  <c r="W1331" i="7" s="1"/>
  <c r="Y1331" i="7" s="1"/>
  <c r="C518" i="21"/>
  <c r="N518" i="21" s="1"/>
  <c r="N517" i="21" s="1"/>
  <c r="P517" i="21" s="1"/>
  <c r="E1332" i="7" s="1"/>
  <c r="W1332" i="7" s="1"/>
  <c r="Y1332" i="7" s="1"/>
  <c r="C520" i="21"/>
  <c r="N469" i="21"/>
  <c r="P469" i="21" s="1"/>
  <c r="E1310" i="7" s="1"/>
  <c r="C470" i="21"/>
  <c r="C478" i="21"/>
  <c r="N478" i="21" s="1"/>
  <c r="P478" i="21" s="1"/>
  <c r="E1318" i="7" s="1"/>
  <c r="G482" i="21"/>
  <c r="P313" i="33"/>
  <c r="N320" i="33"/>
  <c r="P302" i="33"/>
  <c r="N319" i="33"/>
  <c r="M1224" i="7"/>
  <c r="H1224" i="7"/>
  <c r="M731" i="7"/>
  <c r="H731" i="7"/>
  <c r="M729" i="7"/>
  <c r="H729" i="7"/>
  <c r="H710" i="7"/>
  <c r="M710" i="7"/>
  <c r="M631" i="7"/>
  <c r="H631" i="7"/>
  <c r="M149" i="7"/>
  <c r="H149" i="7"/>
  <c r="M142" i="7"/>
  <c r="H142" i="7"/>
  <c r="M121" i="7"/>
  <c r="H121" i="7"/>
  <c r="H1107" i="7"/>
  <c r="M1107" i="7"/>
  <c r="J109" i="5"/>
  <c r="H110" i="5"/>
  <c r="J110" i="5" s="1"/>
  <c r="H994" i="7"/>
  <c r="M994" i="7"/>
  <c r="M730" i="7"/>
  <c r="H730" i="7"/>
  <c r="M714" i="7"/>
  <c r="H714" i="7"/>
  <c r="M616" i="7"/>
  <c r="H616" i="7"/>
  <c r="M995" i="7"/>
  <c r="H995" i="7"/>
  <c r="M721" i="7"/>
  <c r="H721" i="7"/>
  <c r="I3880" i="42"/>
  <c r="I3884" i="42" s="1"/>
  <c r="E226" i="41" s="1"/>
  <c r="I3646" i="42"/>
  <c r="I3654" i="42"/>
  <c r="G2634" i="42"/>
  <c r="D142" i="41" s="1"/>
  <c r="I833" i="7" s="1"/>
  <c r="J833" i="7" s="1"/>
  <c r="K833" i="7" s="1"/>
  <c r="I2547" i="42"/>
  <c r="E137" i="41" s="1"/>
  <c r="I2531" i="42"/>
  <c r="E136" i="41" s="1"/>
  <c r="J765" i="7"/>
  <c r="M92" i="19"/>
  <c r="E1129" i="7" s="1"/>
  <c r="W1129" i="7" s="1"/>
  <c r="M48" i="19"/>
  <c r="E1111" i="7" s="1"/>
  <c r="W1111" i="7" s="1"/>
  <c r="M52" i="19"/>
  <c r="E1112" i="7" s="1"/>
  <c r="W1112" i="7" s="1"/>
  <c r="M61" i="19"/>
  <c r="E1113" i="7" s="1"/>
  <c r="W1113" i="7" s="1"/>
  <c r="M56" i="19"/>
  <c r="C57" i="19" s="1"/>
  <c r="M57" i="19" s="1"/>
  <c r="O57" i="19" s="1"/>
  <c r="M38" i="19"/>
  <c r="F39" i="19" s="1"/>
  <c r="M39" i="19" s="1"/>
  <c r="I1823" i="42"/>
  <c r="G1679" i="42"/>
  <c r="D84" i="41" s="1"/>
  <c r="I900" i="42"/>
  <c r="G381" i="42"/>
  <c r="F370" i="42" s="1"/>
  <c r="G370" i="42" s="1"/>
  <c r="G369" i="42"/>
  <c r="F358" i="42" s="1"/>
  <c r="G358" i="42" s="1"/>
  <c r="G356" i="42"/>
  <c r="F345" i="42" s="1"/>
  <c r="G345" i="42" s="1"/>
  <c r="G344" i="42"/>
  <c r="F333" i="42" s="1"/>
  <c r="G333" i="42" s="1"/>
  <c r="G332" i="42"/>
  <c r="F321" i="42" s="1"/>
  <c r="G321" i="42" s="1"/>
  <c r="G319" i="42"/>
  <c r="F308" i="42" s="1"/>
  <c r="G308" i="42" s="1"/>
  <c r="G307" i="42"/>
  <c r="F296" i="42" s="1"/>
  <c r="G296" i="42" s="1"/>
  <c r="G295" i="42"/>
  <c r="F284" i="42" s="1"/>
  <c r="G284" i="42" s="1"/>
  <c r="G283" i="42"/>
  <c r="F272" i="42" s="1"/>
  <c r="G272" i="42" s="1"/>
  <c r="G271" i="42"/>
  <c r="F260" i="42" s="1"/>
  <c r="G260" i="42" s="1"/>
  <c r="N183" i="38"/>
  <c r="M428" i="36"/>
  <c r="M295" i="36"/>
  <c r="N58" i="35"/>
  <c r="P58" i="35" s="1"/>
  <c r="M245" i="17"/>
  <c r="H322" i="32"/>
  <c r="J322" i="32" s="1"/>
  <c r="H168" i="32"/>
  <c r="J168" i="32" s="1"/>
  <c r="M41" i="20"/>
  <c r="M444" i="16"/>
  <c r="O444" i="16" s="1"/>
  <c r="H741" i="7"/>
  <c r="M741" i="7"/>
  <c r="M138" i="16"/>
  <c r="M1344" i="7"/>
  <c r="M29" i="13"/>
  <c r="M30" i="13" s="1"/>
  <c r="E430" i="7" s="1"/>
  <c r="W430" i="7" s="1"/>
  <c r="Y430" i="7" s="1"/>
  <c r="M51" i="13"/>
  <c r="M53" i="13" s="1"/>
  <c r="E433" i="7" s="1"/>
  <c r="W433" i="7" s="1"/>
  <c r="Y433" i="7" s="1"/>
  <c r="N131" i="10"/>
  <c r="P131" i="10" s="1"/>
  <c r="E220" i="7" s="1"/>
  <c r="W220" i="7" s="1"/>
  <c r="N119" i="10"/>
  <c r="P119" i="10" s="1"/>
  <c r="E216" i="7" s="1"/>
  <c r="W216" i="7" s="1"/>
  <c r="N136" i="9"/>
  <c r="P136" i="9" s="1"/>
  <c r="N206" i="9"/>
  <c r="N205" i="9"/>
  <c r="H622" i="6"/>
  <c r="J622" i="6" s="1"/>
  <c r="H548" i="6"/>
  <c r="J548" i="6" s="1"/>
  <c r="C549" i="6" s="1"/>
  <c r="H17" i="6"/>
  <c r="J17" i="6" s="1"/>
  <c r="H329" i="5"/>
  <c r="J329" i="5" s="1"/>
  <c r="H1100" i="7"/>
  <c r="G31" i="4" s="1"/>
  <c r="I4006" i="42"/>
  <c r="E232" i="41" s="1"/>
  <c r="I3269" i="42"/>
  <c r="I3252" i="42"/>
  <c r="I3235" i="42"/>
  <c r="I3217" i="42"/>
  <c r="I3196" i="42"/>
  <c r="I3166" i="42"/>
  <c r="I3144" i="42"/>
  <c r="I3114" i="42"/>
  <c r="I3065" i="42"/>
  <c r="I3048" i="42"/>
  <c r="I3031" i="42"/>
  <c r="I3014" i="42"/>
  <c r="I2996" i="42"/>
  <c r="I118" i="42"/>
  <c r="I109" i="42"/>
  <c r="I28" i="42"/>
  <c r="I1755" i="42"/>
  <c r="I1749" i="42"/>
  <c r="I1738" i="42"/>
  <c r="I1732" i="42"/>
  <c r="I1721" i="42"/>
  <c r="I1687" i="42"/>
  <c r="I1691" i="42" s="1"/>
  <c r="E85" i="41" s="1"/>
  <c r="I1643" i="42"/>
  <c r="I1597" i="42"/>
  <c r="I1582" i="42"/>
  <c r="I1563" i="42"/>
  <c r="I1547" i="42"/>
  <c r="I1527" i="42"/>
  <c r="I1512" i="42"/>
  <c r="I1496" i="42"/>
  <c r="I1502" i="42" s="1"/>
  <c r="E73" i="41" s="1"/>
  <c r="I1463" i="42"/>
  <c r="I1446" i="42"/>
  <c r="I1434" i="42"/>
  <c r="I1413" i="42"/>
  <c r="G1504" i="42"/>
  <c r="D73" i="41" s="1"/>
  <c r="M151" i="17"/>
  <c r="O150" i="17"/>
  <c r="E1014" i="7" s="1"/>
  <c r="W1014" i="7" s="1"/>
  <c r="N181" i="29"/>
  <c r="P181" i="29" s="1"/>
  <c r="H1229" i="7"/>
  <c r="M1229" i="7"/>
  <c r="H975" i="7"/>
  <c r="M975" i="7"/>
  <c r="H740" i="7"/>
  <c r="M740" i="7"/>
  <c r="H720" i="7"/>
  <c r="M720" i="7"/>
  <c r="H417" i="7"/>
  <c r="G3928" i="42"/>
  <c r="D228" i="41" s="1"/>
  <c r="I473" i="42"/>
  <c r="I3850" i="42"/>
  <c r="E224" i="41" s="1"/>
  <c r="I3693" i="42"/>
  <c r="E214" i="41" s="1"/>
  <c r="I3265" i="42"/>
  <c r="I3248" i="42"/>
  <c r="I3230" i="42"/>
  <c r="I3200" i="42"/>
  <c r="I3179" i="42"/>
  <c r="I3161" i="42"/>
  <c r="I3148" i="42"/>
  <c r="I3127" i="42"/>
  <c r="I3110" i="42"/>
  <c r="I3117" i="42" s="1"/>
  <c r="E179" i="41" s="1"/>
  <c r="I3077" i="42"/>
  <c r="I3083" i="42" s="1"/>
  <c r="E177" i="41" s="1"/>
  <c r="I3044" i="42"/>
  <c r="I3027" i="42"/>
  <c r="I3010" i="42"/>
  <c r="I620" i="42"/>
  <c r="E24" i="41" s="1"/>
  <c r="I105" i="42"/>
  <c r="I1701" i="42"/>
  <c r="I1705" i="42" s="1"/>
  <c r="E86" i="41" s="1"/>
  <c r="I1670" i="42"/>
  <c r="I1639" i="42"/>
  <c r="I1608" i="42"/>
  <c r="I1593" i="42"/>
  <c r="I1600" i="42" s="1"/>
  <c r="E79" i="41" s="1"/>
  <c r="I1558" i="42"/>
  <c r="I1516" i="42"/>
  <c r="I1467" i="42"/>
  <c r="I1450" i="42"/>
  <c r="G1519" i="42"/>
  <c r="D74" i="41" s="1"/>
  <c r="N43" i="9"/>
  <c r="P43" i="9" s="1"/>
  <c r="G3451" i="42"/>
  <c r="D199" i="41" s="1"/>
  <c r="I1019" i="7" s="1"/>
  <c r="J1019" i="7" s="1"/>
  <c r="I3445" i="42"/>
  <c r="I3451" i="42" s="1"/>
  <c r="E199" i="41" s="1"/>
  <c r="I813" i="42"/>
  <c r="I814" i="42" s="1"/>
  <c r="E33" i="41" s="1"/>
  <c r="I4125" i="42"/>
  <c r="I3213" i="42"/>
  <c r="I3131" i="42"/>
  <c r="I3061" i="42"/>
  <c r="I125" i="42"/>
  <c r="I12" i="42"/>
  <c r="I1715" i="42"/>
  <c r="I1674" i="42"/>
  <c r="I1628" i="42"/>
  <c r="I1574" i="42"/>
  <c r="I1531" i="42"/>
  <c r="I1429" i="42"/>
  <c r="I2981" i="42"/>
  <c r="I2977" i="42"/>
  <c r="I2963" i="42"/>
  <c r="I2967" i="42" s="1"/>
  <c r="E167" i="41" s="1"/>
  <c r="G2773" i="42"/>
  <c r="D153" i="41" s="1"/>
  <c r="I2716" i="42"/>
  <c r="I2684" i="42"/>
  <c r="I2688" i="42" s="1"/>
  <c r="E146" i="41" s="1"/>
  <c r="I2670" i="42"/>
  <c r="I2674" i="42" s="1"/>
  <c r="E145" i="41" s="1"/>
  <c r="I2656" i="42"/>
  <c r="I2660" i="42" s="1"/>
  <c r="E144" i="41" s="1"/>
  <c r="I2642" i="42"/>
  <c r="I2646" i="42" s="1"/>
  <c r="E143" i="41" s="1"/>
  <c r="I2631" i="42"/>
  <c r="I2623" i="42"/>
  <c r="I2344" i="42"/>
  <c r="I2348" i="42" s="1"/>
  <c r="E125" i="41" s="1"/>
  <c r="I2330" i="42"/>
  <c r="I2334" i="42" s="1"/>
  <c r="E124" i="41" s="1"/>
  <c r="I2302" i="42"/>
  <c r="I2306" i="42" s="1"/>
  <c r="E122" i="41" s="1"/>
  <c r="I2291" i="42"/>
  <c r="I2287" i="42"/>
  <c r="I2276" i="42"/>
  <c r="I2272" i="42"/>
  <c r="I2261" i="42"/>
  <c r="I2257" i="42"/>
  <c r="I2246" i="42"/>
  <c r="I2242" i="42"/>
  <c r="I2231" i="42"/>
  <c r="I2226" i="42"/>
  <c r="I2212" i="42"/>
  <c r="I2186" i="42"/>
  <c r="I2181" i="42"/>
  <c r="I2159" i="42"/>
  <c r="I2154" i="42"/>
  <c r="I2160" i="42" s="1"/>
  <c r="E112" i="41" s="1"/>
  <c r="I2143" i="42"/>
  <c r="I2139" i="42"/>
  <c r="I2128" i="42"/>
  <c r="I2123" i="42"/>
  <c r="I2112" i="42"/>
  <c r="I2107" i="42"/>
  <c r="I2113" i="42" s="1"/>
  <c r="E109" i="41" s="1"/>
  <c r="I2090" i="42"/>
  <c r="I2097" i="42" s="1"/>
  <c r="I2077" i="42"/>
  <c r="I2073" i="42"/>
  <c r="I2066" i="42"/>
  <c r="I2062" i="42"/>
  <c r="I2048" i="42"/>
  <c r="I2037" i="42"/>
  <c r="I2033" i="42"/>
  <c r="I2021" i="42"/>
  <c r="I2017" i="42"/>
  <c r="I2010" i="42"/>
  <c r="I2006" i="42"/>
  <c r="I1992" i="42"/>
  <c r="I1988" i="42"/>
  <c r="I1981" i="42"/>
  <c r="I1977" i="42"/>
  <c r="I1966" i="42"/>
  <c r="E104" i="41" s="1"/>
  <c r="I1954" i="42"/>
  <c r="E103" i="41" s="1"/>
  <c r="I1943" i="42"/>
  <c r="E102" i="41" s="1"/>
  <c r="I1932" i="42"/>
  <c r="E101" i="41" s="1"/>
  <c r="I1921" i="42"/>
  <c r="E100" i="41" s="1"/>
  <c r="I1887" i="42"/>
  <c r="I1882" i="42"/>
  <c r="I1888" i="42" s="1"/>
  <c r="E97" i="41" s="1"/>
  <c r="I1871" i="42"/>
  <c r="I1866" i="42"/>
  <c r="I1855" i="42"/>
  <c r="I1850" i="42"/>
  <c r="I1839" i="42"/>
  <c r="I1834" i="42"/>
  <c r="N47" i="29"/>
  <c r="C48" i="29" s="1"/>
  <c r="N48" i="29" s="1"/>
  <c r="F49" i="29" s="1"/>
  <c r="N49" i="29" s="1"/>
  <c r="P49" i="29" s="1"/>
  <c r="I1817" i="42"/>
  <c r="I1806" i="42"/>
  <c r="I1800" i="42"/>
  <c r="I1789" i="42"/>
  <c r="I1783" i="42"/>
  <c r="I157" i="42"/>
  <c r="I160" i="42" s="1"/>
  <c r="E13" i="41" s="1"/>
  <c r="I1656" i="42"/>
  <c r="I1612" i="42"/>
  <c r="I1542" i="42"/>
  <c r="I1480" i="42"/>
  <c r="I1486" i="42" s="1"/>
  <c r="E72" i="41" s="1"/>
  <c r="I1418" i="42"/>
  <c r="I1365" i="42"/>
  <c r="I1361" i="42"/>
  <c r="I1348" i="42"/>
  <c r="I1344" i="42"/>
  <c r="I1328" i="42"/>
  <c r="I1334" i="42" s="1"/>
  <c r="E63" i="41" s="1"/>
  <c r="I1312" i="42"/>
  <c r="I1318" i="42" s="1"/>
  <c r="E62" i="41" s="1"/>
  <c r="I1299" i="42"/>
  <c r="I1295" i="42"/>
  <c r="I1279" i="42"/>
  <c r="I1285" i="42" s="1"/>
  <c r="E60" i="41" s="1"/>
  <c r="I1265" i="42"/>
  <c r="I1271" i="42" s="1"/>
  <c r="E59" i="41" s="1"/>
  <c r="I1251" i="42"/>
  <c r="I1257" i="42" s="1"/>
  <c r="E58" i="41" s="1"/>
  <c r="I1235" i="42"/>
  <c r="I1241" i="42" s="1"/>
  <c r="E57" i="41" s="1"/>
  <c r="I1215" i="42"/>
  <c r="I1201" i="42"/>
  <c r="I1195" i="42"/>
  <c r="I1184" i="42"/>
  <c r="I1178" i="42"/>
  <c r="I1161" i="42"/>
  <c r="I1168" i="42" s="1"/>
  <c r="E53" i="41" s="1"/>
  <c r="I1151" i="42"/>
  <c r="I1147" i="42"/>
  <c r="I1143" i="42"/>
  <c r="I1091" i="42"/>
  <c r="I1087" i="42"/>
  <c r="I1076" i="42"/>
  <c r="I1072" i="42"/>
  <c r="I1068" i="42"/>
  <c r="I1054" i="42"/>
  <c r="I1048" i="42"/>
  <c r="I1036" i="42"/>
  <c r="I1040" i="42" s="1"/>
  <c r="E45" i="41" s="1"/>
  <c r="I1021" i="42"/>
  <c r="I1015" i="42"/>
  <c r="I1025" i="42" s="1"/>
  <c r="E44" i="41" s="1"/>
  <c r="I1000" i="42"/>
  <c r="I994" i="42"/>
  <c r="I979" i="42"/>
  <c r="I972" i="42"/>
  <c r="I959" i="42"/>
  <c r="I952" i="42"/>
  <c r="I962" i="42" s="1"/>
  <c r="E41" i="41" s="1"/>
  <c r="I938" i="42"/>
  <c r="I931" i="42"/>
  <c r="I941" i="42" s="1"/>
  <c r="E40" i="41" s="1"/>
  <c r="I918" i="42"/>
  <c r="I913" i="42"/>
  <c r="I895" i="42"/>
  <c r="I864" i="42"/>
  <c r="I859" i="42"/>
  <c r="I828" i="42"/>
  <c r="I832" i="42" s="1"/>
  <c r="E34" i="41" s="1"/>
  <c r="I786" i="42"/>
  <c r="I790" i="42" s="1"/>
  <c r="E32" i="41" s="1"/>
  <c r="I764" i="42"/>
  <c r="I768" i="42" s="1"/>
  <c r="E30" i="41" s="1"/>
  <c r="I752" i="42"/>
  <c r="I756" i="42" s="1"/>
  <c r="E29" i="41" s="1"/>
  <c r="I740" i="42"/>
  <c r="I744" i="42" s="1"/>
  <c r="E28" i="41" s="1"/>
  <c r="I605" i="42"/>
  <c r="I608" i="42" s="1"/>
  <c r="E23" i="41" s="1"/>
  <c r="I574" i="42"/>
  <c r="I578" i="42" s="1"/>
  <c r="E170" i="41" s="1"/>
  <c r="I557" i="42"/>
  <c r="I561" i="42" s="1"/>
  <c r="E169" i="41" s="1"/>
  <c r="I513" i="42"/>
  <c r="I516" i="42" s="1"/>
  <c r="E20" i="41" s="1"/>
  <c r="I500" i="42"/>
  <c r="I503" i="42" s="1"/>
  <c r="E19" i="41" s="1"/>
  <c r="I487" i="42"/>
  <c r="I490" i="42" s="1"/>
  <c r="E18" i="41" s="1"/>
  <c r="I146" i="42"/>
  <c r="I142" i="42"/>
  <c r="I129" i="42"/>
  <c r="I90" i="42"/>
  <c r="I84" i="42"/>
  <c r="I71" i="42"/>
  <c r="I64" i="42"/>
  <c r="I47" i="42"/>
  <c r="I40" i="42"/>
  <c r="N150" i="30"/>
  <c r="P150" i="30" s="1"/>
  <c r="M246" i="25"/>
  <c r="O246" i="25" s="1"/>
  <c r="M38" i="17"/>
  <c r="O38" i="17" s="1"/>
  <c r="E976" i="7" s="1"/>
  <c r="W976" i="7" s="1"/>
  <c r="M238" i="16"/>
  <c r="O238" i="16" s="1"/>
  <c r="E751" i="7" s="1"/>
  <c r="W751" i="7" s="1"/>
  <c r="N201" i="9"/>
  <c r="P201" i="9" s="1"/>
  <c r="E150" i="7" s="1"/>
  <c r="W150" i="7" s="1"/>
  <c r="Y150" i="7" s="1"/>
  <c r="H56" i="5"/>
  <c r="J56" i="5" s="1"/>
  <c r="M1100" i="7"/>
  <c r="N29" i="18"/>
  <c r="P29" i="18" s="1"/>
  <c r="E1074" i="7" s="1"/>
  <c r="W1074" i="7" s="1"/>
  <c r="Y1074" i="7" s="1"/>
  <c r="I2940" i="42"/>
  <c r="I2936" i="42"/>
  <c r="I2906" i="42"/>
  <c r="I2784" i="42"/>
  <c r="I2785" i="42" s="1"/>
  <c r="E154" i="41" s="1"/>
  <c r="I2759" i="42"/>
  <c r="I2760" i="42" s="1"/>
  <c r="E152" i="41" s="1"/>
  <c r="I2742" i="42"/>
  <c r="I2746" i="42" s="1"/>
  <c r="E150" i="41" s="1"/>
  <c r="I2698" i="42"/>
  <c r="I2702" i="42" s="1"/>
  <c r="E147" i="41" s="1"/>
  <c r="M211" i="20"/>
  <c r="M261" i="16"/>
  <c r="M23" i="16"/>
  <c r="O23" i="16" s="1"/>
  <c r="E697" i="7" s="1"/>
  <c r="W697" i="7" s="1"/>
  <c r="M247" i="15"/>
  <c r="M189" i="15"/>
  <c r="M190" i="15" s="1"/>
  <c r="O190" i="15" s="1"/>
  <c r="I2727" i="42"/>
  <c r="I3604" i="42"/>
  <c r="E209" i="41" s="1"/>
  <c r="I3378" i="42"/>
  <c r="E195" i="41" s="1"/>
  <c r="I2868" i="42"/>
  <c r="E160" i="41" s="1"/>
  <c r="I2925" i="42"/>
  <c r="I2921" i="42"/>
  <c r="I2712" i="42"/>
  <c r="I2910" i="42"/>
  <c r="I2851" i="42"/>
  <c r="I2858" i="42" s="1"/>
  <c r="E159" i="41" s="1"/>
  <c r="I2731" i="42"/>
  <c r="G3274" i="42"/>
  <c r="D188" i="41" s="1"/>
  <c r="G3171" i="42"/>
  <c r="D182" i="41" s="1"/>
  <c r="G3136" i="42"/>
  <c r="D180" i="41" s="1"/>
  <c r="G3085" i="42"/>
  <c r="D177" i="41" s="1"/>
  <c r="G3070" i="42"/>
  <c r="D176" i="41" s="1"/>
  <c r="G3019" i="42"/>
  <c r="D173" i="41" s="1"/>
  <c r="K1225" i="7" l="1"/>
  <c r="K317" i="7"/>
  <c r="K315" i="7"/>
  <c r="H127" i="7"/>
  <c r="M431" i="7"/>
  <c r="M475" i="7"/>
  <c r="K316" i="7"/>
  <c r="H335" i="7"/>
  <c r="K1233" i="7"/>
  <c r="U79" i="7"/>
  <c r="I273" i="7"/>
  <c r="J273" i="7" s="1"/>
  <c r="K273" i="7" s="1"/>
  <c r="I183" i="7"/>
  <c r="J183" i="7" s="1"/>
  <c r="K183" i="7" s="1"/>
  <c r="I321" i="7"/>
  <c r="J321" i="7" s="1"/>
  <c r="K321" i="7" s="1"/>
  <c r="I420" i="7"/>
  <c r="J420" i="7" s="1"/>
  <c r="K420" i="7" s="1"/>
  <c r="I962" i="7"/>
  <c r="J962" i="7" s="1"/>
  <c r="K962" i="7" s="1"/>
  <c r="E109" i="7"/>
  <c r="W109" i="7"/>
  <c r="Y109" i="7" s="1"/>
  <c r="E136" i="7"/>
  <c r="J136" i="7" s="1"/>
  <c r="W136" i="7"/>
  <c r="Y136" i="7" s="1"/>
  <c r="I1221" i="42"/>
  <c r="I2479" i="42"/>
  <c r="I1807" i="42"/>
  <c r="E92" i="41" s="1"/>
  <c r="E135" i="7"/>
  <c r="J135" i="7" s="1"/>
  <c r="W135" i="7"/>
  <c r="Y135" i="7" s="1"/>
  <c r="I2456" i="42"/>
  <c r="I2579" i="42"/>
  <c r="I2591" i="42" s="1"/>
  <c r="E140" i="41" s="1"/>
  <c r="I2386" i="42"/>
  <c r="I2390" i="42" s="1"/>
  <c r="E128" i="41" s="1"/>
  <c r="I2612" i="42"/>
  <c r="I2613" i="42" s="1"/>
  <c r="E141" i="41" s="1"/>
  <c r="I3523" i="42"/>
  <c r="I3529" i="42" s="1"/>
  <c r="E204" i="41" s="1"/>
  <c r="E105" i="7"/>
  <c r="H105" i="7" s="1"/>
  <c r="W105" i="7"/>
  <c r="Y105" i="7" s="1"/>
  <c r="W1310" i="7"/>
  <c r="Y1310" i="7" s="1"/>
  <c r="U1310" i="7"/>
  <c r="I4249" i="42"/>
  <c r="I3795" i="42"/>
  <c r="I3802" i="42" s="1"/>
  <c r="E221" i="41" s="1"/>
  <c r="I3674" i="42"/>
  <c r="M104" i="7"/>
  <c r="E138" i="7"/>
  <c r="H138" i="7" s="1"/>
  <c r="W138" i="7"/>
  <c r="Y138" i="7" s="1"/>
  <c r="I409" i="7"/>
  <c r="J409" i="7" s="1"/>
  <c r="K409" i="7" s="1"/>
  <c r="I3779" i="42"/>
  <c r="I3786" i="42" s="1"/>
  <c r="E220" i="41" s="1"/>
  <c r="I1623" i="42"/>
  <c r="I1629" i="42" s="1"/>
  <c r="E81" i="41" s="1"/>
  <c r="H431" i="7"/>
  <c r="K431" i="7" s="1"/>
  <c r="I2941" i="42"/>
  <c r="E165" i="41" s="1"/>
  <c r="I1583" i="42"/>
  <c r="E78" i="41" s="1"/>
  <c r="E110" i="7"/>
  <c r="H110" i="7" s="1"/>
  <c r="W110" i="7"/>
  <c r="Y110" i="7" s="1"/>
  <c r="E137" i="7"/>
  <c r="M137" i="7" s="1"/>
  <c r="W137" i="7"/>
  <c r="Y137" i="7" s="1"/>
  <c r="I2044" i="42"/>
  <c r="I4016" i="42"/>
  <c r="I3668" i="42"/>
  <c r="I3676" i="42" s="1"/>
  <c r="E213" i="41" s="1"/>
  <c r="K1203" i="7"/>
  <c r="H318" i="7"/>
  <c r="K1198" i="7"/>
  <c r="W75" i="7"/>
  <c r="Y75" i="7" s="1"/>
  <c r="I164" i="7"/>
  <c r="J164" i="7" s="1"/>
  <c r="K164" i="7" s="1"/>
  <c r="I680" i="7"/>
  <c r="J680" i="7" s="1"/>
  <c r="I188" i="7"/>
  <c r="J188" i="7" s="1"/>
  <c r="K188" i="7" s="1"/>
  <c r="I1332" i="7"/>
  <c r="J1332" i="7" s="1"/>
  <c r="I656" i="7"/>
  <c r="J656" i="7" s="1"/>
  <c r="K656" i="7" s="1"/>
  <c r="I1285" i="7"/>
  <c r="I992" i="7"/>
  <c r="J992" i="7" s="1"/>
  <c r="K992" i="7" s="1"/>
  <c r="I1030" i="7"/>
  <c r="J1030" i="7" s="1"/>
  <c r="K1030" i="7" s="1"/>
  <c r="L87" i="7"/>
  <c r="U87" i="7" s="1"/>
  <c r="U81" i="7"/>
  <c r="I1161" i="7"/>
  <c r="J1161" i="7" s="1"/>
  <c r="K1161" i="7" s="1"/>
  <c r="I92" i="7"/>
  <c r="J92" i="7" s="1"/>
  <c r="K92" i="7" s="1"/>
  <c r="I861" i="7"/>
  <c r="J861" i="7" s="1"/>
  <c r="K861" i="7" s="1"/>
  <c r="I969" i="7"/>
  <c r="J969" i="7" s="1"/>
  <c r="K969" i="7" s="1"/>
  <c r="I1275" i="7"/>
  <c r="J1275" i="7" s="1"/>
  <c r="K1275" i="7" s="1"/>
  <c r="I1277" i="7"/>
  <c r="J1277" i="7" s="1"/>
  <c r="K1277" i="7" s="1"/>
  <c r="I927" i="7"/>
  <c r="J927" i="7" s="1"/>
  <c r="K927" i="7" s="1"/>
  <c r="I77" i="7"/>
  <c r="J77" i="7" s="1"/>
  <c r="L77" i="7"/>
  <c r="U77" i="7" s="1"/>
  <c r="I105" i="7"/>
  <c r="I234" i="7"/>
  <c r="J234" i="7" s="1"/>
  <c r="K234" i="7" s="1"/>
  <c r="I196" i="7"/>
  <c r="J196" i="7" s="1"/>
  <c r="K196" i="7" s="1"/>
  <c r="I589" i="7"/>
  <c r="J589" i="7" s="1"/>
  <c r="K589" i="7" s="1"/>
  <c r="I564" i="7"/>
  <c r="J564" i="7" s="1"/>
  <c r="K564" i="7" s="1"/>
  <c r="I839" i="7"/>
  <c r="J839" i="7" s="1"/>
  <c r="K839" i="7" s="1"/>
  <c r="I1323" i="7"/>
  <c r="I410" i="7"/>
  <c r="J410" i="7" s="1"/>
  <c r="K410" i="7" s="1"/>
  <c r="I804" i="7"/>
  <c r="J804" i="7" s="1"/>
  <c r="K804" i="7" s="1"/>
  <c r="I687" i="7"/>
  <c r="J687" i="7" s="1"/>
  <c r="K687" i="7" s="1"/>
  <c r="I700" i="7"/>
  <c r="J700" i="7" s="1"/>
  <c r="I1276" i="7"/>
  <c r="J1276" i="7" s="1"/>
  <c r="K1276" i="7" s="1"/>
  <c r="I412" i="7"/>
  <c r="J412" i="7" s="1"/>
  <c r="K412" i="7" s="1"/>
  <c r="I1325" i="7"/>
  <c r="I78" i="7"/>
  <c r="L78" i="7"/>
  <c r="I239" i="7"/>
  <c r="J239" i="7" s="1"/>
  <c r="K239" i="7" s="1"/>
  <c r="L86" i="7"/>
  <c r="U80" i="7"/>
  <c r="I575" i="7"/>
  <c r="J575" i="7" s="1"/>
  <c r="K575" i="7" s="1"/>
  <c r="I588" i="7"/>
  <c r="J588" i="7" s="1"/>
  <c r="K588" i="7" s="1"/>
  <c r="I953" i="7"/>
  <c r="J953" i="7" s="1"/>
  <c r="K953" i="7" s="1"/>
  <c r="I175" i="7"/>
  <c r="J175" i="7" s="1"/>
  <c r="K175" i="7" s="1"/>
  <c r="K736" i="7"/>
  <c r="K630" i="7"/>
  <c r="K204" i="7"/>
  <c r="K201" i="7"/>
  <c r="K244" i="7"/>
  <c r="K632" i="7"/>
  <c r="K1164" i="7"/>
  <c r="L37" i="4"/>
  <c r="H75" i="7"/>
  <c r="K209" i="7"/>
  <c r="K508" i="7"/>
  <c r="K203" i="7"/>
  <c r="K187" i="7"/>
  <c r="K1110" i="7"/>
  <c r="U1283" i="7"/>
  <c r="H436" i="7"/>
  <c r="W436" i="7"/>
  <c r="Y436" i="7" s="1"/>
  <c r="H864" i="7"/>
  <c r="W864" i="7"/>
  <c r="M699" i="7"/>
  <c r="W699" i="7"/>
  <c r="M1298" i="7"/>
  <c r="W1298" i="7"/>
  <c r="Y1298" i="7" s="1"/>
  <c r="H917" i="7"/>
  <c r="W917" i="7"/>
  <c r="M977" i="7"/>
  <c r="W977" i="7"/>
  <c r="M479" i="7"/>
  <c r="W479" i="7"/>
  <c r="Y479" i="7" s="1"/>
  <c r="U1318" i="7"/>
  <c r="H246" i="7"/>
  <c r="W246" i="7"/>
  <c r="Y246" i="7" s="1"/>
  <c r="M221" i="7"/>
  <c r="W221" i="7"/>
  <c r="U1287" i="7"/>
  <c r="H1012" i="7"/>
  <c r="W1012" i="7"/>
  <c r="W1282" i="7"/>
  <c r="Y1282" i="7" s="1"/>
  <c r="Y71" i="7"/>
  <c r="L11" i="4" s="1"/>
  <c r="Q75" i="7"/>
  <c r="G35" i="3"/>
  <c r="K987" i="7"/>
  <c r="K487" i="7"/>
  <c r="M246" i="7"/>
  <c r="M436" i="7"/>
  <c r="K622" i="7"/>
  <c r="K499" i="7"/>
  <c r="M917" i="7"/>
  <c r="K453" i="7"/>
  <c r="I36" i="4"/>
  <c r="L36" i="4" s="1"/>
  <c r="K448" i="7"/>
  <c r="K207" i="7"/>
  <c r="K616" i="7"/>
  <c r="I31" i="4"/>
  <c r="L31" i="4" s="1"/>
  <c r="K240" i="7"/>
  <c r="K202" i="7"/>
  <c r="K527" i="7"/>
  <c r="K740" i="7"/>
  <c r="J864" i="7"/>
  <c r="M318" i="7"/>
  <c r="K994" i="7"/>
  <c r="K350" i="7"/>
  <c r="K887" i="7"/>
  <c r="H479" i="7"/>
  <c r="K454" i="7"/>
  <c r="J221" i="7"/>
  <c r="K968" i="7"/>
  <c r="J1012" i="7"/>
  <c r="M1012" i="7"/>
  <c r="K126" i="7"/>
  <c r="K1245" i="7"/>
  <c r="K388" i="7"/>
  <c r="K452" i="7"/>
  <c r="K189" i="7"/>
  <c r="K149" i="7"/>
  <c r="K1007" i="7"/>
  <c r="K753" i="7"/>
  <c r="K434" i="7"/>
  <c r="K967" i="7"/>
  <c r="H1298" i="7"/>
  <c r="J1069" i="7"/>
  <c r="H28" i="4" s="1"/>
  <c r="K32" i="7"/>
  <c r="J917" i="7"/>
  <c r="K715" i="7"/>
  <c r="K886" i="7"/>
  <c r="K721" i="7"/>
  <c r="K125" i="7"/>
  <c r="K473" i="7"/>
  <c r="K692" i="7"/>
  <c r="K885" i="7"/>
  <c r="K995" i="7"/>
  <c r="H221" i="7"/>
  <c r="K219" i="7"/>
  <c r="J436" i="7"/>
  <c r="I509" i="7"/>
  <c r="J509" i="7" s="1"/>
  <c r="K509" i="7" s="1"/>
  <c r="I787" i="7"/>
  <c r="J787" i="7" s="1"/>
  <c r="K787" i="7" s="1"/>
  <c r="I901" i="7"/>
  <c r="J901" i="7" s="1"/>
  <c r="I907" i="7"/>
  <c r="J907" i="7" s="1"/>
  <c r="K907" i="7" s="1"/>
  <c r="I1274" i="7"/>
  <c r="J1274" i="7" s="1"/>
  <c r="K1274" i="7" s="1"/>
  <c r="I4022" i="42"/>
  <c r="E233" i="41" s="1"/>
  <c r="I949" i="7"/>
  <c r="J949" i="7" s="1"/>
  <c r="K949" i="7" s="1"/>
  <c r="I1273" i="7"/>
  <c r="J1273" i="7" s="1"/>
  <c r="K1273" i="7" s="1"/>
  <c r="I171" i="7"/>
  <c r="J171" i="7" s="1"/>
  <c r="K171" i="7" s="1"/>
  <c r="I561" i="7"/>
  <c r="J561" i="7" s="1"/>
  <c r="K561" i="7" s="1"/>
  <c r="I673" i="7"/>
  <c r="J673" i="7" s="1"/>
  <c r="K673" i="7" s="1"/>
  <c r="I408" i="7"/>
  <c r="J408" i="7" s="1"/>
  <c r="K408" i="7" s="1"/>
  <c r="I533" i="7"/>
  <c r="J533" i="7" s="1"/>
  <c r="K533" i="7" s="1"/>
  <c r="I807" i="7"/>
  <c r="J807" i="7" s="1"/>
  <c r="K807" i="7" s="1"/>
  <c r="I923" i="7"/>
  <c r="J923" i="7" s="1"/>
  <c r="K923" i="7" s="1"/>
  <c r="I3051" i="42"/>
  <c r="E175" i="41" s="1"/>
  <c r="N188" i="40"/>
  <c r="I2372" i="42"/>
  <c r="I2376" i="42" s="1"/>
  <c r="E127" i="41" s="1"/>
  <c r="I2187" i="42"/>
  <c r="E114" i="41" s="1"/>
  <c r="I2468" i="42"/>
  <c r="I1302" i="42"/>
  <c r="E61" i="41" s="1"/>
  <c r="I1840" i="42"/>
  <c r="E94" i="41" s="1"/>
  <c r="N79" i="11"/>
  <c r="P79" i="11" s="1"/>
  <c r="E249" i="7" s="1"/>
  <c r="N256" i="21"/>
  <c r="K279" i="7"/>
  <c r="I950" i="7"/>
  <c r="J950" i="7" s="1"/>
  <c r="K950" i="7" s="1"/>
  <c r="N62" i="35"/>
  <c r="P62" i="35" s="1"/>
  <c r="I2491" i="42"/>
  <c r="I2469" i="42"/>
  <c r="E133" i="41" s="1"/>
  <c r="I4121" i="42"/>
  <c r="I4127" i="42" s="1"/>
  <c r="E240" i="41" s="1"/>
  <c r="I3722" i="42"/>
  <c r="I3717" i="42"/>
  <c r="I3186" i="42"/>
  <c r="E183" i="41" s="1"/>
  <c r="I1092" i="42"/>
  <c r="E48" i="41" s="1"/>
  <c r="I1351" i="42"/>
  <c r="E64" i="41" s="1"/>
  <c r="I1872" i="42"/>
  <c r="E96" i="41" s="1"/>
  <c r="I2982" i="42"/>
  <c r="E168" i="41" s="1"/>
  <c r="M358" i="11"/>
  <c r="O358" i="11" s="1"/>
  <c r="I61" i="34"/>
  <c r="C62" i="34" s="1"/>
  <c r="I62" i="34" s="1"/>
  <c r="K62" i="34" s="1"/>
  <c r="I411" i="7"/>
  <c r="J411" i="7" s="1"/>
  <c r="K411" i="7" s="1"/>
  <c r="I1036" i="7"/>
  <c r="J1036" i="7" s="1"/>
  <c r="K1036" i="7" s="1"/>
  <c r="I3555" i="42"/>
  <c r="I3561" i="42" s="1"/>
  <c r="E206" i="41" s="1"/>
  <c r="I3507" i="42"/>
  <c r="I3513" i="42" s="1"/>
  <c r="E203" i="41" s="1"/>
  <c r="K121" i="7"/>
  <c r="I1033" i="7"/>
  <c r="J1033" i="7" s="1"/>
  <c r="K1033" i="7" s="1"/>
  <c r="I4286" i="42"/>
  <c r="I4300" i="42" s="1"/>
  <c r="E249" i="41" s="1"/>
  <c r="I2813" i="42"/>
  <c r="E156" i="41" s="1"/>
  <c r="K142" i="7"/>
  <c r="K778" i="7"/>
  <c r="K474" i="7"/>
  <c r="N230" i="14"/>
  <c r="P230" i="14" s="1"/>
  <c r="E391" i="7" s="1"/>
  <c r="J977" i="7"/>
  <c r="I4214" i="42"/>
  <c r="I4228" i="42" s="1"/>
  <c r="E246" i="41" s="1"/>
  <c r="H977" i="7"/>
  <c r="I2590" i="42"/>
  <c r="I4297" i="42"/>
  <c r="I4238" i="42"/>
  <c r="K289" i="7"/>
  <c r="I1646" i="42"/>
  <c r="E82" i="41" s="1"/>
  <c r="K784" i="7"/>
  <c r="K719" i="7"/>
  <c r="I1236" i="7"/>
  <c r="J1236" i="7" s="1"/>
  <c r="K1236" i="7" s="1"/>
  <c r="I982" i="42"/>
  <c r="E42" i="41" s="1"/>
  <c r="I1205" i="42"/>
  <c r="E55" i="41" s="1"/>
  <c r="I2129" i="42"/>
  <c r="E110" i="41" s="1"/>
  <c r="I29" i="42"/>
  <c r="E6" i="41" s="1"/>
  <c r="K1077" i="7"/>
  <c r="I1103" i="7"/>
  <c r="J1103" i="7" s="1"/>
  <c r="K1103" i="7" s="1"/>
  <c r="I1107" i="7"/>
  <c r="J1107" i="7" s="1"/>
  <c r="K1107" i="7" s="1"/>
  <c r="I547" i="7"/>
  <c r="J547" i="7" s="1"/>
  <c r="K547" i="7" s="1"/>
  <c r="J1298" i="7"/>
  <c r="I754" i="7"/>
  <c r="J754" i="7" s="1"/>
  <c r="K754" i="7" s="1"/>
  <c r="I951" i="7"/>
  <c r="J951" i="7" s="1"/>
  <c r="K951" i="7" s="1"/>
  <c r="I176" i="7"/>
  <c r="J176" i="7" s="1"/>
  <c r="K176" i="7" s="1"/>
  <c r="K788" i="7"/>
  <c r="I2514" i="42"/>
  <c r="I2515" i="42" s="1"/>
  <c r="E135" i="41" s="1"/>
  <c r="N159" i="38"/>
  <c r="N162" i="38" s="1"/>
  <c r="P162" i="38" s="1"/>
  <c r="I848" i="7"/>
  <c r="J848" i="7" s="1"/>
  <c r="K848" i="7" s="1"/>
  <c r="I433" i="7"/>
  <c r="J433" i="7" s="1"/>
  <c r="I173" i="7"/>
  <c r="J173" i="7" s="1"/>
  <c r="K173" i="7" s="1"/>
  <c r="I678" i="7"/>
  <c r="I4225" i="42"/>
  <c r="J699" i="7"/>
  <c r="I1225" i="42"/>
  <c r="E56" i="41" s="1"/>
  <c r="H699" i="7"/>
  <c r="I3068" i="42"/>
  <c r="E176" i="41" s="1"/>
  <c r="K147" i="7"/>
  <c r="N79" i="33"/>
  <c r="P79" i="33" s="1"/>
  <c r="N151" i="38"/>
  <c r="J479" i="7"/>
  <c r="I1157" i="7"/>
  <c r="I676" i="7"/>
  <c r="J676" i="7" s="1"/>
  <c r="K676" i="7" s="1"/>
  <c r="I535" i="7"/>
  <c r="J535" i="7" s="1"/>
  <c r="K535" i="7" s="1"/>
  <c r="I809" i="7"/>
  <c r="J809" i="7" s="1"/>
  <c r="K809" i="7" s="1"/>
  <c r="I925" i="7"/>
  <c r="J925" i="7" s="1"/>
  <c r="K925" i="7" s="1"/>
  <c r="I1287" i="7"/>
  <c r="J1287" i="7" s="1"/>
  <c r="K1340" i="7"/>
  <c r="J1344" i="7"/>
  <c r="H36" i="4" s="1"/>
  <c r="F33" i="3" s="1"/>
  <c r="I51" i="42"/>
  <c r="E7" i="41" s="1"/>
  <c r="I2247" i="42"/>
  <c r="E118" i="41" s="1"/>
  <c r="I1564" i="42"/>
  <c r="E77" i="41" s="1"/>
  <c r="I3272" i="42"/>
  <c r="E188" i="41" s="1"/>
  <c r="I476" i="42"/>
  <c r="I1128" i="42"/>
  <c r="K638" i="7"/>
  <c r="K502" i="7"/>
  <c r="M367" i="16"/>
  <c r="K765" i="7"/>
  <c r="K1002" i="7"/>
  <c r="I1322" i="7"/>
  <c r="I984" i="7"/>
  <c r="J984" i="7" s="1"/>
  <c r="K984" i="7" s="1"/>
  <c r="I943" i="7"/>
  <c r="I825" i="7"/>
  <c r="J825" i="7" s="1"/>
  <c r="K825" i="7" s="1"/>
  <c r="I335" i="7"/>
  <c r="J335" i="7" s="1"/>
  <c r="I554" i="7"/>
  <c r="I779" i="7"/>
  <c r="J779" i="7" s="1"/>
  <c r="K779" i="7" s="1"/>
  <c r="I832" i="7"/>
  <c r="J832" i="7" s="1"/>
  <c r="K832" i="7" s="1"/>
  <c r="I172" i="7"/>
  <c r="J172" i="7" s="1"/>
  <c r="K172" i="7" s="1"/>
  <c r="M76" i="24"/>
  <c r="C77" i="24" s="1"/>
  <c r="M77" i="24" s="1"/>
  <c r="O77" i="24" s="1"/>
  <c r="I3034" i="42"/>
  <c r="E174" i="41" s="1"/>
  <c r="M265" i="13"/>
  <c r="E504" i="7" s="1"/>
  <c r="W504" i="7" s="1"/>
  <c r="Y504" i="7" s="1"/>
  <c r="K526" i="7"/>
  <c r="I1293" i="7"/>
  <c r="I978" i="7"/>
  <c r="I940" i="7"/>
  <c r="J940" i="7" s="1"/>
  <c r="K940" i="7" s="1"/>
  <c r="I822" i="7"/>
  <c r="J822" i="7" s="1"/>
  <c r="K822" i="7" s="1"/>
  <c r="I84" i="7"/>
  <c r="I551" i="7"/>
  <c r="J551" i="7" s="1"/>
  <c r="K551" i="7" s="1"/>
  <c r="I674" i="7"/>
  <c r="J674" i="7" s="1"/>
  <c r="K674" i="7" s="1"/>
  <c r="I75" i="42"/>
  <c r="E8" i="41" s="1"/>
  <c r="I1995" i="42"/>
  <c r="E105" i="41" s="1"/>
  <c r="I2051" i="42"/>
  <c r="E107" i="41" s="1"/>
  <c r="I2232" i="42"/>
  <c r="E117" i="41" s="1"/>
  <c r="I2262" i="42"/>
  <c r="E119" i="41" s="1"/>
  <c r="I2292" i="42"/>
  <c r="E121" i="41" s="1"/>
  <c r="I110" i="42"/>
  <c r="E10" i="41" s="1"/>
  <c r="I3238" i="42"/>
  <c r="E186" i="41" s="1"/>
  <c r="I1741" i="42"/>
  <c r="E88" i="41" s="1"/>
  <c r="N207" i="9"/>
  <c r="P207" i="9" s="1"/>
  <c r="E151" i="7" s="1"/>
  <c r="M131" i="19"/>
  <c r="I48" i="34"/>
  <c r="I1324" i="7"/>
  <c r="I1175" i="7"/>
  <c r="I970" i="7"/>
  <c r="J970" i="7" s="1"/>
  <c r="K970" i="7" s="1"/>
  <c r="I936" i="7"/>
  <c r="J936" i="7" s="1"/>
  <c r="K936" i="7" s="1"/>
  <c r="I818" i="7"/>
  <c r="J818" i="7" s="1"/>
  <c r="K818" i="7" s="1"/>
  <c r="K1246" i="7"/>
  <c r="K1247" i="7"/>
  <c r="K1008" i="7"/>
  <c r="K975" i="7"/>
  <c r="K1006" i="7"/>
  <c r="K741" i="7"/>
  <c r="K714" i="7"/>
  <c r="K720" i="7"/>
  <c r="K766" i="7"/>
  <c r="K792" i="7"/>
  <c r="K739" i="7"/>
  <c r="K738" i="7"/>
  <c r="K710" i="7"/>
  <c r="K691" i="7"/>
  <c r="K402" i="7"/>
  <c r="K197" i="7"/>
  <c r="I2023" i="42"/>
  <c r="E106" i="41" s="1"/>
  <c r="I2080" i="42"/>
  <c r="E108" i="41" s="1"/>
  <c r="N294" i="40"/>
  <c r="P294" i="40" s="1"/>
  <c r="N225" i="9"/>
  <c r="P225" i="9" s="1"/>
  <c r="E154" i="7" s="1"/>
  <c r="W154" i="7" s="1"/>
  <c r="Y154" i="7" s="1"/>
  <c r="M46" i="17"/>
  <c r="O46" i="17" s="1"/>
  <c r="E978" i="7" s="1"/>
  <c r="N57" i="30"/>
  <c r="P57" i="30" s="1"/>
  <c r="N154" i="30"/>
  <c r="P154" i="30" s="1"/>
  <c r="J1009" i="7"/>
  <c r="I1077" i="42"/>
  <c r="E47" i="41" s="1"/>
  <c r="I147" i="42"/>
  <c r="E12" i="41" s="1"/>
  <c r="I921" i="42"/>
  <c r="E39" i="41" s="1"/>
  <c r="I1004" i="42"/>
  <c r="E43" i="41" s="1"/>
  <c r="I1185" i="42"/>
  <c r="E54" i="41" s="1"/>
  <c r="I1368" i="42"/>
  <c r="E65" i="41" s="1"/>
  <c r="I1790" i="42"/>
  <c r="E91" i="41" s="1"/>
  <c r="I1856" i="42"/>
  <c r="E95" i="41" s="1"/>
  <c r="I2144" i="42"/>
  <c r="E111" i="41" s="1"/>
  <c r="I1435" i="42"/>
  <c r="E69" i="41" s="1"/>
  <c r="I2999" i="42"/>
  <c r="E172" i="41" s="1"/>
  <c r="I3255" i="42"/>
  <c r="E187" i="41" s="1"/>
  <c r="M269" i="13"/>
  <c r="O269" i="13" s="1"/>
  <c r="M368" i="16"/>
  <c r="M69" i="25"/>
  <c r="I64" i="34"/>
  <c r="N66" i="35"/>
  <c r="P66" i="35" s="1"/>
  <c r="J996" i="7"/>
  <c r="M86" i="13"/>
  <c r="E439" i="7" s="1"/>
  <c r="M82" i="24"/>
  <c r="O82" i="24" s="1"/>
  <c r="N170" i="33"/>
  <c r="P170" i="33" s="1"/>
  <c r="N191" i="33" s="1"/>
  <c r="I53" i="34"/>
  <c r="M97" i="39"/>
  <c r="N66" i="28"/>
  <c r="P66" i="28" s="1"/>
  <c r="J980" i="7"/>
  <c r="J716" i="7"/>
  <c r="O55" i="24"/>
  <c r="E862" i="7"/>
  <c r="D566" i="6"/>
  <c r="H565" i="6"/>
  <c r="I2717" i="42"/>
  <c r="E148" i="41" s="1"/>
  <c r="I1548" i="42"/>
  <c r="E76" i="41" s="1"/>
  <c r="I3169" i="42"/>
  <c r="E182" i="41" s="1"/>
  <c r="N71" i="11"/>
  <c r="P71" i="11" s="1"/>
  <c r="E247" i="7" s="1"/>
  <c r="M74" i="13"/>
  <c r="E437" i="7" s="1"/>
  <c r="M84" i="39"/>
  <c r="J971" i="7"/>
  <c r="I2492" i="42"/>
  <c r="E134" i="41" s="1"/>
  <c r="I3220" i="42"/>
  <c r="E185" i="41" s="1"/>
  <c r="I1152" i="42"/>
  <c r="E52" i="41" s="1"/>
  <c r="I2926" i="42"/>
  <c r="E164" i="41" s="1"/>
  <c r="I94" i="42"/>
  <c r="E9" i="41" s="1"/>
  <c r="I868" i="42"/>
  <c r="E36" i="41" s="1"/>
  <c r="I1058" i="42"/>
  <c r="E46" i="41" s="1"/>
  <c r="I2277" i="42"/>
  <c r="E120" i="41" s="1"/>
  <c r="I2632" i="42"/>
  <c r="E142" i="41" s="1"/>
  <c r="I1724" i="42"/>
  <c r="E87" i="41" s="1"/>
  <c r="I3017" i="42"/>
  <c r="E173" i="41" s="1"/>
  <c r="I1756" i="42"/>
  <c r="E89" i="41" s="1"/>
  <c r="M389" i="16"/>
  <c r="O389" i="16" s="1"/>
  <c r="E791" i="7" s="1"/>
  <c r="N74" i="33"/>
  <c r="P74" i="33" s="1"/>
  <c r="N250" i="33"/>
  <c r="P250" i="33" s="1"/>
  <c r="N69" i="33"/>
  <c r="P69" i="33" s="1"/>
  <c r="E1307" i="7"/>
  <c r="P453" i="21"/>
  <c r="P239" i="26"/>
  <c r="N249" i="26"/>
  <c r="J284" i="7"/>
  <c r="J94" i="7"/>
  <c r="K94" i="7" s="1"/>
  <c r="J988" i="7"/>
  <c r="J1003" i="7"/>
  <c r="J1014" i="7"/>
  <c r="J438" i="7"/>
  <c r="J280" i="7"/>
  <c r="J281" i="7"/>
  <c r="J463" i="7"/>
  <c r="J1166" i="7"/>
  <c r="K1166" i="7" s="1"/>
  <c r="J276" i="7"/>
  <c r="K276" i="7" s="1"/>
  <c r="J1243" i="7"/>
  <c r="K1243" i="7" s="1"/>
  <c r="J1228" i="7"/>
  <c r="K1228" i="7" s="1"/>
  <c r="J644" i="7"/>
  <c r="K644" i="7" s="1"/>
  <c r="J337" i="7"/>
  <c r="K337" i="7" s="1"/>
  <c r="J567" i="7"/>
  <c r="K567" i="7" s="1"/>
  <c r="J507" i="7"/>
  <c r="K507" i="7" s="1"/>
  <c r="J480" i="7"/>
  <c r="K480" i="7" s="1"/>
  <c r="J424" i="7"/>
  <c r="K424" i="7" s="1"/>
  <c r="J191" i="7"/>
  <c r="K191" i="7" s="1"/>
  <c r="J192" i="7"/>
  <c r="K192" i="7" s="1"/>
  <c r="J108" i="7"/>
  <c r="K108" i="7" s="1"/>
  <c r="J75" i="7"/>
  <c r="J1080" i="7"/>
  <c r="K1080" i="7" s="1"/>
  <c r="J666" i="7"/>
  <c r="K666" i="7" s="1"/>
  <c r="J667" i="7"/>
  <c r="K667" i="7" s="1"/>
  <c r="J639" i="7"/>
  <c r="K639" i="7" s="1"/>
  <c r="J596" i="7"/>
  <c r="K596" i="7" s="1"/>
  <c r="J597" i="7"/>
  <c r="K597" i="7" s="1"/>
  <c r="J401" i="7"/>
  <c r="K401" i="7" s="1"/>
  <c r="J379" i="7"/>
  <c r="K379" i="7" s="1"/>
  <c r="J269" i="7"/>
  <c r="K269" i="7" s="1"/>
  <c r="J268" i="7"/>
  <c r="K268" i="7" s="1"/>
  <c r="J229" i="7"/>
  <c r="K229" i="7" s="1"/>
  <c r="J228" i="7"/>
  <c r="K228" i="7" s="1"/>
  <c r="J161" i="7"/>
  <c r="K161" i="7" s="1"/>
  <c r="J371" i="7"/>
  <c r="K371" i="7" s="1"/>
  <c r="J1227" i="7"/>
  <c r="K1227" i="7" s="1"/>
  <c r="J1222" i="7"/>
  <c r="K1222" i="7" s="1"/>
  <c r="J626" i="7"/>
  <c r="K626" i="7" s="1"/>
  <c r="J423" i="7"/>
  <c r="K423" i="7" s="1"/>
  <c r="J265" i="7"/>
  <c r="K265" i="7" s="1"/>
  <c r="J263" i="7"/>
  <c r="K263" i="7" s="1"/>
  <c r="J1224" i="7"/>
  <c r="K1224" i="7" s="1"/>
  <c r="J731" i="7"/>
  <c r="K731" i="7" s="1"/>
  <c r="J729" i="7"/>
  <c r="K729" i="7" s="1"/>
  <c r="J631" i="7"/>
  <c r="K631" i="7" s="1"/>
  <c r="M432" i="7"/>
  <c r="H432" i="7"/>
  <c r="J730" i="7"/>
  <c r="K730" i="7" s="1"/>
  <c r="J1229" i="7"/>
  <c r="K1229" i="7" s="1"/>
  <c r="M1039" i="7"/>
  <c r="C71" i="29"/>
  <c r="C69" i="29"/>
  <c r="C93" i="29"/>
  <c r="N87" i="29"/>
  <c r="C88" i="29"/>
  <c r="N88" i="29" s="1"/>
  <c r="N68" i="28"/>
  <c r="P68" i="28" s="1"/>
  <c r="C69" i="28"/>
  <c r="C98" i="28"/>
  <c r="N98" i="28" s="1"/>
  <c r="C103" i="28"/>
  <c r="N97" i="28"/>
  <c r="D68" i="26"/>
  <c r="D69" i="26" s="1"/>
  <c r="D70" i="26" s="1"/>
  <c r="D71" i="26" s="1"/>
  <c r="C86" i="26"/>
  <c r="N65" i="26"/>
  <c r="N66" i="26" s="1"/>
  <c r="P66" i="26" s="1"/>
  <c r="M54" i="20"/>
  <c r="C58" i="20"/>
  <c r="J1130" i="7"/>
  <c r="H1130" i="7"/>
  <c r="M1130" i="7"/>
  <c r="M98" i="19"/>
  <c r="M100" i="19" s="1"/>
  <c r="E1131" i="7" s="1"/>
  <c r="W1131" i="7" s="1"/>
  <c r="L102" i="19"/>
  <c r="M102" i="19" s="1"/>
  <c r="M104" i="19" s="1"/>
  <c r="E1132" i="7" s="1"/>
  <c r="W1132" i="7" s="1"/>
  <c r="I3089" i="42"/>
  <c r="I3095" i="42"/>
  <c r="I3097" i="42" s="1"/>
  <c r="G3101" i="42"/>
  <c r="I3090" i="42"/>
  <c r="I3091" i="42"/>
  <c r="I3092" i="42"/>
  <c r="I3390" i="42"/>
  <c r="I3384" i="42"/>
  <c r="I3394" i="42"/>
  <c r="I3395" i="42" s="1"/>
  <c r="G3397" i="42"/>
  <c r="I3385" i="42"/>
  <c r="I3391" i="42"/>
  <c r="I3386" i="42"/>
  <c r="I3761" i="42"/>
  <c r="I3760" i="42"/>
  <c r="I3762" i="42"/>
  <c r="G3770" i="42"/>
  <c r="G3771" i="42" s="1"/>
  <c r="D219" i="41" s="1"/>
  <c r="I1060" i="7" s="1"/>
  <c r="J1060" i="7" s="1"/>
  <c r="K1060" i="7" s="1"/>
  <c r="J318" i="7"/>
  <c r="I704" i="42"/>
  <c r="I701" i="42"/>
  <c r="I702" i="42" s="1"/>
  <c r="I697" i="42"/>
  <c r="I698" i="42" s="1"/>
  <c r="G708" i="42"/>
  <c r="I705" i="42"/>
  <c r="D70" i="29"/>
  <c r="N70" i="29" s="1"/>
  <c r="P70" i="29" s="1"/>
  <c r="C89" i="29"/>
  <c r="N65" i="29"/>
  <c r="N66" i="29" s="1"/>
  <c r="P66" i="29" s="1"/>
  <c r="M213" i="27"/>
  <c r="C215" i="27"/>
  <c r="J1167" i="7"/>
  <c r="H1167" i="7"/>
  <c r="M1167" i="7"/>
  <c r="M22" i="20"/>
  <c r="E1168" i="7" s="1"/>
  <c r="W1168" i="7" s="1"/>
  <c r="L23" i="20"/>
  <c r="M23" i="20" s="1"/>
  <c r="E1169" i="7" s="1"/>
  <c r="W1169" i="7" s="1"/>
  <c r="J1199" i="7"/>
  <c r="H1199" i="7"/>
  <c r="M1199" i="7"/>
  <c r="M1204" i="7"/>
  <c r="H1204" i="7"/>
  <c r="J1204" i="7"/>
  <c r="N81" i="40"/>
  <c r="E85" i="40"/>
  <c r="N79" i="40"/>
  <c r="E84" i="40"/>
  <c r="N46" i="40"/>
  <c r="N48" i="40" s="1"/>
  <c r="P48" i="40" s="1"/>
  <c r="F50" i="40"/>
  <c r="N50" i="40" s="1"/>
  <c r="N52" i="40" s="1"/>
  <c r="P52" i="40" s="1"/>
  <c r="C54" i="40"/>
  <c r="N54" i="40" s="1"/>
  <c r="N56" i="40" s="1"/>
  <c r="P56" i="40" s="1"/>
  <c r="M247" i="39"/>
  <c r="E248" i="39"/>
  <c r="M107" i="39"/>
  <c r="D126" i="39"/>
  <c r="C155" i="39"/>
  <c r="C163" i="39"/>
  <c r="M89" i="39"/>
  <c r="C100" i="39"/>
  <c r="M100" i="39" s="1"/>
  <c r="M106" i="39"/>
  <c r="C154" i="39"/>
  <c r="C162" i="39"/>
  <c r="M105" i="39"/>
  <c r="C127" i="39"/>
  <c r="C151" i="39"/>
  <c r="C161" i="39"/>
  <c r="M86" i="39"/>
  <c r="C99" i="39"/>
  <c r="M99" i="39" s="1"/>
  <c r="M104" i="39"/>
  <c r="C126" i="39"/>
  <c r="C150" i="39"/>
  <c r="C160" i="39"/>
  <c r="M48" i="39"/>
  <c r="M49" i="39" s="1"/>
  <c r="M63" i="39" s="1"/>
  <c r="M68" i="39" s="1"/>
  <c r="D51" i="39"/>
  <c r="M141" i="39"/>
  <c r="L142" i="39"/>
  <c r="M142" i="39" s="1"/>
  <c r="N188" i="38"/>
  <c r="C189" i="38"/>
  <c r="N189" i="38" s="1"/>
  <c r="N186" i="38"/>
  <c r="C187" i="38"/>
  <c r="N187" i="38" s="1"/>
  <c r="N130" i="38"/>
  <c r="P130" i="38" s="1"/>
  <c r="M131" i="38"/>
  <c r="N131" i="38" s="1"/>
  <c r="P131" i="38" s="1"/>
  <c r="N35" i="37"/>
  <c r="P35" i="37" s="1"/>
  <c r="C36" i="37"/>
  <c r="N22" i="37"/>
  <c r="P22" i="37" s="1"/>
  <c r="M23" i="37"/>
  <c r="M514" i="36"/>
  <c r="L515" i="36"/>
  <c r="M515" i="36" s="1"/>
  <c r="M504" i="36"/>
  <c r="L505" i="36"/>
  <c r="M505" i="36" s="1"/>
  <c r="M493" i="36"/>
  <c r="L494" i="36"/>
  <c r="M53" i="36"/>
  <c r="M54" i="36" s="1"/>
  <c r="D60" i="36"/>
  <c r="M60" i="36" s="1"/>
  <c r="M61" i="36" s="1"/>
  <c r="N125" i="35"/>
  <c r="P125" i="35" s="1"/>
  <c r="P124" i="35"/>
  <c r="N126" i="35"/>
  <c r="P126" i="35" s="1"/>
  <c r="C127" i="35"/>
  <c r="N127" i="35" s="1"/>
  <c r="P127" i="35" s="1"/>
  <c r="N327" i="33"/>
  <c r="M329" i="33"/>
  <c r="M336" i="33"/>
  <c r="N336" i="33" s="1"/>
  <c r="N268" i="33"/>
  <c r="P268" i="33" s="1"/>
  <c r="M271" i="33"/>
  <c r="P194" i="33"/>
  <c r="N214" i="33"/>
  <c r="P214" i="33" s="1"/>
  <c r="N199" i="33"/>
  <c r="M200" i="33"/>
  <c r="M208" i="33"/>
  <c r="N208" i="33" s="1"/>
  <c r="N119" i="33"/>
  <c r="P119" i="33" s="1"/>
  <c r="M120" i="33"/>
  <c r="N178" i="30"/>
  <c r="L179" i="30"/>
  <c r="N179" i="30" s="1"/>
  <c r="L193" i="30"/>
  <c r="N193" i="30" s="1"/>
  <c r="N194" i="30" s="1"/>
  <c r="P194" i="30" s="1"/>
  <c r="N64" i="30"/>
  <c r="D73" i="30"/>
  <c r="D75" i="30" s="1"/>
  <c r="D76" i="30" s="1"/>
  <c r="D77" i="30" s="1"/>
  <c r="D78" i="30" s="1"/>
  <c r="N63" i="30"/>
  <c r="N65" i="30" s="1"/>
  <c r="P65" i="30" s="1"/>
  <c r="C73" i="30"/>
  <c r="C104" i="28"/>
  <c r="C100" i="28"/>
  <c r="N100" i="28" s="1"/>
  <c r="N99" i="28"/>
  <c r="M71" i="27"/>
  <c r="M72" i="27" s="1"/>
  <c r="C74" i="27"/>
  <c r="M90" i="27"/>
  <c r="M91" i="27" s="1"/>
  <c r="C93" i="27"/>
  <c r="C216" i="26"/>
  <c r="N216" i="26" s="1"/>
  <c r="N217" i="26" s="1"/>
  <c r="P217" i="26" s="1"/>
  <c r="N208" i="26"/>
  <c r="N209" i="26" s="1"/>
  <c r="P209" i="26" s="1"/>
  <c r="C69" i="26"/>
  <c r="C85" i="26"/>
  <c r="N85" i="26" s="1"/>
  <c r="C90" i="26"/>
  <c r="N84" i="26"/>
  <c r="H1148" i="7"/>
  <c r="M1148" i="7"/>
  <c r="M133" i="19"/>
  <c r="M135" i="19" s="1"/>
  <c r="E1146" i="7"/>
  <c r="W1146" i="7" s="1"/>
  <c r="J1145" i="7"/>
  <c r="H1145" i="7"/>
  <c r="M1145" i="7"/>
  <c r="H281" i="7"/>
  <c r="M281" i="7"/>
  <c r="H280" i="7"/>
  <c r="M280" i="7"/>
  <c r="N220" i="11"/>
  <c r="P220" i="11" s="1"/>
  <c r="E293" i="7" s="1"/>
  <c r="W293" i="7" s="1"/>
  <c r="Y293" i="7" s="1"/>
  <c r="C222" i="11"/>
  <c r="C225" i="11"/>
  <c r="M284" i="7"/>
  <c r="H284" i="7"/>
  <c r="H287" i="7"/>
  <c r="M287" i="7"/>
  <c r="J287" i="7"/>
  <c r="N205" i="11"/>
  <c r="N206" i="11" s="1"/>
  <c r="P206" i="11" s="1"/>
  <c r="E285" i="7" s="1"/>
  <c r="W285" i="7" s="1"/>
  <c r="Y285" i="7" s="1"/>
  <c r="F209" i="11"/>
  <c r="N209" i="11" s="1"/>
  <c r="N210" i="11" s="1"/>
  <c r="P210" i="11" s="1"/>
  <c r="E286" i="7" s="1"/>
  <c r="W286" i="7" s="1"/>
  <c r="Y286" i="7" s="1"/>
  <c r="M306" i="7"/>
  <c r="H306" i="7"/>
  <c r="J306" i="7"/>
  <c r="C233" i="11"/>
  <c r="F233" i="11"/>
  <c r="C237" i="11"/>
  <c r="D228" i="11"/>
  <c r="D237" i="11" s="1"/>
  <c r="D250" i="11" s="1"/>
  <c r="C230" i="11"/>
  <c r="N230" i="11" s="1"/>
  <c r="J291" i="7"/>
  <c r="H291" i="7"/>
  <c r="M291" i="7"/>
  <c r="H275" i="32"/>
  <c r="D276" i="32"/>
  <c r="H262" i="32"/>
  <c r="C263" i="32"/>
  <c r="H147" i="32"/>
  <c r="J147" i="32" s="1"/>
  <c r="G149" i="32"/>
  <c r="H78" i="32"/>
  <c r="C79" i="32"/>
  <c r="H61" i="32"/>
  <c r="C62" i="32"/>
  <c r="H27" i="32"/>
  <c r="D28" i="32"/>
  <c r="P205" i="30"/>
  <c r="P206" i="30"/>
  <c r="E190" i="17"/>
  <c r="M187" i="17"/>
  <c r="O187" i="17" s="1"/>
  <c r="H1003" i="7"/>
  <c r="M1003" i="7"/>
  <c r="L192" i="25"/>
  <c r="L198" i="25"/>
  <c r="L204" i="25" s="1"/>
  <c r="M97" i="25"/>
  <c r="C103" i="25"/>
  <c r="M103" i="25" s="1"/>
  <c r="K109" i="25"/>
  <c r="M109" i="25" s="1"/>
  <c r="C115" i="25"/>
  <c r="M96" i="25"/>
  <c r="C102" i="25"/>
  <c r="M102" i="25" s="1"/>
  <c r="K108" i="25"/>
  <c r="M108" i="25" s="1"/>
  <c r="C114" i="25"/>
  <c r="M130" i="25"/>
  <c r="M132" i="25" s="1"/>
  <c r="L135" i="25"/>
  <c r="M135" i="25" s="1"/>
  <c r="M137" i="25" s="1"/>
  <c r="M95" i="25"/>
  <c r="C101" i="25"/>
  <c r="M101" i="25" s="1"/>
  <c r="K107" i="25"/>
  <c r="M107" i="25" s="1"/>
  <c r="C113" i="25"/>
  <c r="L189" i="25"/>
  <c r="L195" i="25"/>
  <c r="L201" i="25" s="1"/>
  <c r="M94" i="25"/>
  <c r="C100" i="25"/>
  <c r="M100" i="25" s="1"/>
  <c r="K106" i="25"/>
  <c r="M106" i="25" s="1"/>
  <c r="C112" i="25"/>
  <c r="M79" i="25"/>
  <c r="C88" i="25"/>
  <c r="M88" i="25" s="1"/>
  <c r="M78" i="25"/>
  <c r="C87" i="25"/>
  <c r="M87" i="25" s="1"/>
  <c r="M941" i="7"/>
  <c r="H941" i="7"/>
  <c r="M266" i="24"/>
  <c r="O266" i="24" s="1"/>
  <c r="E942" i="7" s="1"/>
  <c r="W942" i="7" s="1"/>
  <c r="L267" i="24"/>
  <c r="M267" i="24" s="1"/>
  <c r="O267" i="24" s="1"/>
  <c r="E943" i="7" s="1"/>
  <c r="W943" i="7" s="1"/>
  <c r="M108" i="24"/>
  <c r="C109" i="24"/>
  <c r="M109" i="24" s="1"/>
  <c r="C114" i="24"/>
  <c r="M106" i="24"/>
  <c r="C107" i="24"/>
  <c r="M107" i="24" s="1"/>
  <c r="C113" i="24"/>
  <c r="H865" i="7"/>
  <c r="M865" i="7"/>
  <c r="H866" i="7"/>
  <c r="M866" i="7"/>
  <c r="M104" i="24"/>
  <c r="C105" i="24"/>
  <c r="M105" i="24" s="1"/>
  <c r="C112" i="24"/>
  <c r="M860" i="7"/>
  <c r="H860" i="7"/>
  <c r="J1305" i="7"/>
  <c r="H1305" i="7"/>
  <c r="M1305" i="7"/>
  <c r="P400" i="21"/>
  <c r="E1306" i="7"/>
  <c r="W1306" i="7" s="1"/>
  <c r="Y1306" i="7" s="1"/>
  <c r="N309" i="21"/>
  <c r="E311" i="21"/>
  <c r="E259" i="21"/>
  <c r="E261" i="21"/>
  <c r="N258" i="21"/>
  <c r="D259" i="21"/>
  <c r="D261" i="21"/>
  <c r="N203" i="21"/>
  <c r="D206" i="21"/>
  <c r="N202" i="21"/>
  <c r="D205" i="21"/>
  <c r="M1299" i="7"/>
  <c r="H1299" i="7"/>
  <c r="J1300" i="7"/>
  <c r="H1300" i="7"/>
  <c r="M1300" i="7"/>
  <c r="C62" i="21"/>
  <c r="C110" i="21"/>
  <c r="F111" i="21" s="1"/>
  <c r="C158" i="21"/>
  <c r="N158" i="21" s="1"/>
  <c r="N55" i="21"/>
  <c r="C91" i="21"/>
  <c r="C92" i="21" s="1"/>
  <c r="C152" i="21"/>
  <c r="N152" i="21" s="1"/>
  <c r="N89" i="21"/>
  <c r="F90" i="21"/>
  <c r="N90" i="21" s="1"/>
  <c r="H1248" i="7"/>
  <c r="M1248" i="7"/>
  <c r="M199" i="20"/>
  <c r="E1249" i="7"/>
  <c r="W1249" i="7" s="1"/>
  <c r="J1251" i="7"/>
  <c r="H1251" i="7"/>
  <c r="M1251" i="7"/>
  <c r="C57" i="20"/>
  <c r="M53" i="20"/>
  <c r="M55" i="20" s="1"/>
  <c r="E1177" i="7" s="1"/>
  <c r="W1177" i="7" s="1"/>
  <c r="M291" i="17"/>
  <c r="C295" i="17"/>
  <c r="H1010" i="7"/>
  <c r="M1010" i="7"/>
  <c r="H1009" i="7"/>
  <c r="M1009" i="7"/>
  <c r="M49" i="17"/>
  <c r="K53" i="17"/>
  <c r="M53" i="17" s="1"/>
  <c r="K57" i="17"/>
  <c r="M57" i="17" s="1"/>
  <c r="M48" i="17"/>
  <c r="K52" i="17"/>
  <c r="M52" i="17" s="1"/>
  <c r="K56" i="17"/>
  <c r="M56" i="17" s="1"/>
  <c r="H980" i="7"/>
  <c r="M980" i="7"/>
  <c r="O63" i="17"/>
  <c r="M64" i="17"/>
  <c r="O64" i="17" s="1"/>
  <c r="E981" i="7" s="1"/>
  <c r="W981" i="7" s="1"/>
  <c r="H971" i="7"/>
  <c r="M971" i="7"/>
  <c r="O24" i="17"/>
  <c r="E972" i="7" s="1"/>
  <c r="W972" i="7" s="1"/>
  <c r="M25" i="17"/>
  <c r="O25" i="17" s="1"/>
  <c r="M823" i="7"/>
  <c r="H823" i="7"/>
  <c r="J824" i="7"/>
  <c r="H824" i="7"/>
  <c r="M824" i="7"/>
  <c r="H780" i="7"/>
  <c r="M780" i="7"/>
  <c r="H781" i="7"/>
  <c r="M781" i="7"/>
  <c r="A426" i="16"/>
  <c r="A447" i="16"/>
  <c r="A448" i="16" s="1"/>
  <c r="A449" i="16" s="1"/>
  <c r="A450" i="16" s="1"/>
  <c r="A451" i="16" s="1"/>
  <c r="A452" i="16" s="1"/>
  <c r="A453" i="16" s="1"/>
  <c r="A466" i="16" s="1"/>
  <c r="A471" i="16" s="1"/>
  <c r="A474" i="16" s="1"/>
  <c r="A479" i="16" s="1"/>
  <c r="A480" i="16" s="1"/>
  <c r="A481" i="16" s="1"/>
  <c r="A482" i="16" s="1"/>
  <c r="A483" i="16" s="1"/>
  <c r="A484" i="16" s="1"/>
  <c r="A485" i="16" s="1"/>
  <c r="A486" i="16" s="1"/>
  <c r="A487" i="16" s="1"/>
  <c r="A488" i="16" s="1"/>
  <c r="H746" i="7"/>
  <c r="M746" i="7"/>
  <c r="H745" i="7"/>
  <c r="M745" i="7"/>
  <c r="M747" i="7"/>
  <c r="H747" i="7"/>
  <c r="M748" i="7"/>
  <c r="H748" i="7"/>
  <c r="H711" i="7"/>
  <c r="J711" i="7"/>
  <c r="M711" i="7"/>
  <c r="M73" i="16"/>
  <c r="C94" i="16"/>
  <c r="M700" i="7"/>
  <c r="H700" i="7"/>
  <c r="M701" i="7"/>
  <c r="H701" i="7"/>
  <c r="M60" i="16"/>
  <c r="M57" i="16" s="1"/>
  <c r="O57" i="16" s="1"/>
  <c r="E703" i="7" s="1"/>
  <c r="W703" i="7" s="1"/>
  <c r="C65" i="16"/>
  <c r="J677" i="7"/>
  <c r="M677" i="7"/>
  <c r="H677" i="7"/>
  <c r="M301" i="15"/>
  <c r="E678" i="7" s="1"/>
  <c r="W678" i="7" s="1"/>
  <c r="L302" i="15"/>
  <c r="M302" i="15" s="1"/>
  <c r="E679" i="7" s="1"/>
  <c r="W679" i="7" s="1"/>
  <c r="H680" i="7"/>
  <c r="M680" i="7"/>
  <c r="M599" i="7"/>
  <c r="H599" i="7"/>
  <c r="M91" i="15"/>
  <c r="M92" i="15" s="1"/>
  <c r="E600" i="7" s="1"/>
  <c r="W600" i="7" s="1"/>
  <c r="K95" i="15"/>
  <c r="M95" i="15" s="1"/>
  <c r="M96" i="15" s="1"/>
  <c r="E601" i="7" s="1"/>
  <c r="W601" i="7" s="1"/>
  <c r="C99" i="15"/>
  <c r="M99" i="15" s="1"/>
  <c r="M100" i="15" s="1"/>
  <c r="E602" i="7" s="1"/>
  <c r="W602" i="7" s="1"/>
  <c r="M389" i="7"/>
  <c r="H389" i="7"/>
  <c r="C68" i="14"/>
  <c r="N83" i="14"/>
  <c r="C84" i="14"/>
  <c r="N84" i="14" s="1"/>
  <c r="C89" i="14"/>
  <c r="M338" i="7"/>
  <c r="H338" i="7"/>
  <c r="J339" i="7"/>
  <c r="H339" i="7"/>
  <c r="M339" i="7"/>
  <c r="N64" i="14"/>
  <c r="N65" i="14" s="1"/>
  <c r="P65" i="14" s="1"/>
  <c r="E340" i="7" s="1"/>
  <c r="W340" i="7" s="1"/>
  <c r="D67" i="14"/>
  <c r="D68" i="14" s="1"/>
  <c r="D69" i="14" s="1"/>
  <c r="D70" i="14" s="1"/>
  <c r="C85" i="14"/>
  <c r="M552" i="7"/>
  <c r="H552" i="7"/>
  <c r="M331" i="13"/>
  <c r="E553" i="7" s="1"/>
  <c r="W553" i="7" s="1"/>
  <c r="Y553" i="7" s="1"/>
  <c r="L332" i="13"/>
  <c r="M332" i="13" s="1"/>
  <c r="E554" i="7" s="1"/>
  <c r="W554" i="7" s="1"/>
  <c r="Y554" i="7" s="1"/>
  <c r="H503" i="7"/>
  <c r="M503" i="7"/>
  <c r="O265" i="13"/>
  <c r="J525" i="7"/>
  <c r="H525" i="7"/>
  <c r="M525" i="7"/>
  <c r="J515" i="7"/>
  <c r="H515" i="7"/>
  <c r="M515" i="7"/>
  <c r="H478" i="7"/>
  <c r="M478" i="7"/>
  <c r="M131" i="13"/>
  <c r="E462" i="7" s="1"/>
  <c r="W462" i="7" s="1"/>
  <c r="Y462" i="7" s="1"/>
  <c r="C133" i="13"/>
  <c r="M133" i="13" s="1"/>
  <c r="E464" i="7" s="1"/>
  <c r="W464" i="7" s="1"/>
  <c r="Y464" i="7" s="1"/>
  <c r="H463" i="7"/>
  <c r="M463" i="7"/>
  <c r="M438" i="7"/>
  <c r="H438" i="7"/>
  <c r="M110" i="13"/>
  <c r="M112" i="13" s="1"/>
  <c r="E457" i="7" s="1"/>
  <c r="W457" i="7" s="1"/>
  <c r="Y457" i="7" s="1"/>
  <c r="K114" i="13"/>
  <c r="M114" i="13" s="1"/>
  <c r="M116" i="13" s="1"/>
  <c r="E458" i="7" s="1"/>
  <c r="W458" i="7" s="1"/>
  <c r="Y458" i="7" s="1"/>
  <c r="C118" i="13"/>
  <c r="M118" i="13" s="1"/>
  <c r="M120" i="13" s="1"/>
  <c r="E459" i="7" s="1"/>
  <c r="W459" i="7" s="1"/>
  <c r="Y459" i="7" s="1"/>
  <c r="O448" i="11"/>
  <c r="M449" i="11"/>
  <c r="O449" i="11" s="1"/>
  <c r="M361" i="11"/>
  <c r="K365" i="11"/>
  <c r="M365" i="11" s="1"/>
  <c r="K369" i="11"/>
  <c r="M369" i="11" s="1"/>
  <c r="M373" i="11" s="1"/>
  <c r="C373" i="11"/>
  <c r="C378" i="11"/>
  <c r="M378" i="11" s="1"/>
  <c r="M360" i="11"/>
  <c r="K364" i="11"/>
  <c r="M364" i="11" s="1"/>
  <c r="M366" i="11" s="1"/>
  <c r="O366" i="11" s="1"/>
  <c r="K368" i="11"/>
  <c r="M368" i="11" s="1"/>
  <c r="C372" i="11"/>
  <c r="C377" i="11"/>
  <c r="M377" i="11" s="1"/>
  <c r="N289" i="11"/>
  <c r="C290" i="11"/>
  <c r="N155" i="11"/>
  <c r="P155" i="11" s="1"/>
  <c r="F156" i="11"/>
  <c r="N156" i="11" s="1"/>
  <c r="P156" i="11" s="1"/>
  <c r="C157" i="11"/>
  <c r="N157" i="11" s="1"/>
  <c r="P157" i="11" s="1"/>
  <c r="C165" i="11"/>
  <c r="N165" i="11" s="1"/>
  <c r="C166" i="11"/>
  <c r="C170" i="11"/>
  <c r="N89" i="11"/>
  <c r="P89" i="11" s="1"/>
  <c r="E254" i="7" s="1"/>
  <c r="W254" i="7" s="1"/>
  <c r="Y254" i="7" s="1"/>
  <c r="C92" i="11"/>
  <c r="J242" i="7"/>
  <c r="H242" i="7"/>
  <c r="M242" i="7"/>
  <c r="J243" i="7"/>
  <c r="H243" i="7"/>
  <c r="M243" i="7"/>
  <c r="P86" i="11"/>
  <c r="E251" i="7" s="1"/>
  <c r="W251" i="7" s="1"/>
  <c r="Y251" i="7" s="1"/>
  <c r="N87" i="11"/>
  <c r="P87" i="11" s="1"/>
  <c r="E252" i="7" s="1"/>
  <c r="W252" i="7" s="1"/>
  <c r="Y252" i="7" s="1"/>
  <c r="N91" i="11"/>
  <c r="C95" i="11"/>
  <c r="D98" i="11"/>
  <c r="M248" i="7"/>
  <c r="H248" i="7"/>
  <c r="N144" i="10"/>
  <c r="M145" i="10"/>
  <c r="N145" i="10" s="1"/>
  <c r="N148" i="10"/>
  <c r="M149" i="10"/>
  <c r="M21" i="10"/>
  <c r="N21" i="10" s="1"/>
  <c r="P21" i="10" s="1"/>
  <c r="L22" i="10"/>
  <c r="H137" i="7"/>
  <c r="J138" i="7"/>
  <c r="M138" i="7"/>
  <c r="N218" i="9"/>
  <c r="N219" i="9" s="1"/>
  <c r="P219" i="9" s="1"/>
  <c r="E153" i="7" s="1"/>
  <c r="H231" i="9"/>
  <c r="N231" i="9" s="1"/>
  <c r="N227" i="9"/>
  <c r="N236" i="9"/>
  <c r="C237" i="9"/>
  <c r="N237" i="9" s="1"/>
  <c r="C235" i="9"/>
  <c r="N235" i="9" s="1"/>
  <c r="N108" i="9"/>
  <c r="P108" i="9" s="1"/>
  <c r="M109" i="9"/>
  <c r="N109" i="9" s="1"/>
  <c r="P109" i="9" s="1"/>
  <c r="C68" i="9"/>
  <c r="C71" i="9"/>
  <c r="N71" i="9" s="1"/>
  <c r="N88" i="9"/>
  <c r="C89" i="9"/>
  <c r="N89" i="9" s="1"/>
  <c r="C94" i="9"/>
  <c r="C178" i="9"/>
  <c r="H109" i="7"/>
  <c r="M109" i="7"/>
  <c r="M110" i="7"/>
  <c r="N64" i="9"/>
  <c r="N65" i="9" s="1"/>
  <c r="P65" i="9" s="1"/>
  <c r="D67" i="9"/>
  <c r="C90" i="9"/>
  <c r="C46" i="9"/>
  <c r="N46" i="9" s="1"/>
  <c r="N47" i="9" s="1"/>
  <c r="F48" i="9" s="1"/>
  <c r="N48" i="9" s="1"/>
  <c r="P48" i="9" s="1"/>
  <c r="J96" i="7"/>
  <c r="H96" i="7"/>
  <c r="M96" i="7"/>
  <c r="J97" i="7"/>
  <c r="M97" i="7"/>
  <c r="H97" i="7"/>
  <c r="H98" i="7"/>
  <c r="J98" i="7"/>
  <c r="M98" i="7"/>
  <c r="H77" i="7"/>
  <c r="K26" i="8"/>
  <c r="J22" i="8"/>
  <c r="K22" i="8" s="1"/>
  <c r="M28" i="8"/>
  <c r="E80" i="7" s="1"/>
  <c r="W80" i="7" s="1"/>
  <c r="Y80" i="7" s="1"/>
  <c r="K30" i="8"/>
  <c r="K33" i="8"/>
  <c r="M35" i="8" s="1"/>
  <c r="F36" i="8"/>
  <c r="C38" i="8"/>
  <c r="K38" i="8" s="1"/>
  <c r="K40" i="8"/>
  <c r="H562" i="6"/>
  <c r="C563" i="6"/>
  <c r="H485" i="6"/>
  <c r="J485" i="6" s="1"/>
  <c r="G487" i="6"/>
  <c r="J476" i="6"/>
  <c r="H477" i="6"/>
  <c r="J477" i="6" s="1"/>
  <c r="H472" i="6"/>
  <c r="F471" i="6"/>
  <c r="H471" i="6" s="1"/>
  <c r="H331" i="6"/>
  <c r="C332" i="6"/>
  <c r="H230" i="6"/>
  <c r="C231" i="6"/>
  <c r="H28" i="6"/>
  <c r="D29" i="6"/>
  <c r="H20" i="6"/>
  <c r="J20" i="6" s="1"/>
  <c r="G23" i="6"/>
  <c r="H23" i="6" s="1"/>
  <c r="H425" i="6"/>
  <c r="J425" i="6" s="1"/>
  <c r="H226" i="6"/>
  <c r="G326" i="6"/>
  <c r="H326" i="6" s="1"/>
  <c r="H438" i="6"/>
  <c r="H440" i="6" s="1"/>
  <c r="J440" i="6" s="1"/>
  <c r="F442" i="6"/>
  <c r="H442" i="6" s="1"/>
  <c r="H445" i="6" s="1"/>
  <c r="H450" i="6"/>
  <c r="J450" i="6" s="1"/>
  <c r="F451" i="6"/>
  <c r="H282" i="5"/>
  <c r="D283" i="5"/>
  <c r="H269" i="5"/>
  <c r="C270" i="5"/>
  <c r="H154" i="5"/>
  <c r="J154" i="5" s="1"/>
  <c r="G156" i="5"/>
  <c r="H79" i="5"/>
  <c r="C80" i="5"/>
  <c r="H62" i="5"/>
  <c r="C63" i="5"/>
  <c r="H28" i="5"/>
  <c r="D29" i="5"/>
  <c r="C296" i="17"/>
  <c r="M292" i="17"/>
  <c r="J33" i="7"/>
  <c r="H33" i="7"/>
  <c r="M33" i="7"/>
  <c r="M1081" i="7"/>
  <c r="H1081" i="7"/>
  <c r="J1081" i="7"/>
  <c r="N62" i="18"/>
  <c r="N65" i="18" s="1"/>
  <c r="P65" i="18" s="1"/>
  <c r="E1082" i="7" s="1"/>
  <c r="W1082" i="7" s="1"/>
  <c r="Y1082" i="7" s="1"/>
  <c r="M67" i="18"/>
  <c r="N67" i="18" s="1"/>
  <c r="N70" i="18" s="1"/>
  <c r="P70" i="18" s="1"/>
  <c r="E1083" i="7" s="1"/>
  <c r="W1083" i="7" s="1"/>
  <c r="Y1083" i="7" s="1"/>
  <c r="H1076" i="7"/>
  <c r="M1076" i="7"/>
  <c r="H1075" i="7"/>
  <c r="M1075" i="7"/>
  <c r="N241" i="28"/>
  <c r="N243" i="28" s="1"/>
  <c r="P243" i="28" s="1"/>
  <c r="P203" i="28"/>
  <c r="P188" i="40"/>
  <c r="F189" i="40"/>
  <c r="N189" i="40" s="1"/>
  <c r="M320" i="25"/>
  <c r="M317" i="25"/>
  <c r="K858" i="7"/>
  <c r="J1283" i="7"/>
  <c r="H1283" i="7"/>
  <c r="M1283" i="7"/>
  <c r="N35" i="21"/>
  <c r="P35" i="21" s="1"/>
  <c r="E1284" i="7" s="1"/>
  <c r="C37" i="21"/>
  <c r="H1287" i="7"/>
  <c r="M1287" i="7"/>
  <c r="K1282" i="7"/>
  <c r="M125" i="20"/>
  <c r="M123" i="20" s="1"/>
  <c r="E1211" i="7" s="1"/>
  <c r="W1211" i="7" s="1"/>
  <c r="L126" i="20"/>
  <c r="J380" i="7"/>
  <c r="H380" i="7"/>
  <c r="M380" i="7"/>
  <c r="P184" i="14"/>
  <c r="E381" i="7" s="1"/>
  <c r="W381" i="7" s="1"/>
  <c r="N255" i="14"/>
  <c r="K490" i="7"/>
  <c r="M291" i="13"/>
  <c r="E524" i="7" s="1"/>
  <c r="W524" i="7" s="1"/>
  <c r="Y524" i="7" s="1"/>
  <c r="E492" i="7"/>
  <c r="W492" i="7" s="1"/>
  <c r="Y492" i="7" s="1"/>
  <c r="H491" i="7"/>
  <c r="M491" i="7"/>
  <c r="M241" i="7"/>
  <c r="H241" i="7"/>
  <c r="H198" i="7"/>
  <c r="M198" i="7"/>
  <c r="H190" i="7"/>
  <c r="M190" i="7"/>
  <c r="I643" i="7"/>
  <c r="J643" i="7" s="1"/>
  <c r="K643" i="7" s="1"/>
  <c r="I1013" i="7"/>
  <c r="J1013" i="7" s="1"/>
  <c r="K1013" i="7" s="1"/>
  <c r="I1055" i="7"/>
  <c r="J1055" i="7" s="1"/>
  <c r="K1055" i="7" s="1"/>
  <c r="I1242" i="7"/>
  <c r="J1242" i="7" s="1"/>
  <c r="K1242" i="7" s="1"/>
  <c r="I1250" i="7"/>
  <c r="J1250" i="7" s="1"/>
  <c r="K1250" i="7" s="1"/>
  <c r="I1318" i="7"/>
  <c r="J1318" i="7" s="1"/>
  <c r="I417" i="42"/>
  <c r="I435" i="42" s="1"/>
  <c r="E16" i="41" s="1"/>
  <c r="G434" i="42"/>
  <c r="G435" i="42" s="1"/>
  <c r="D16" i="41" s="1"/>
  <c r="I394" i="42"/>
  <c r="I412" i="42" s="1"/>
  <c r="E15" i="41" s="1"/>
  <c r="G411" i="42"/>
  <c r="G412" i="42" s="1"/>
  <c r="D15" i="41" s="1"/>
  <c r="F257" i="42"/>
  <c r="G257" i="42" s="1"/>
  <c r="H988" i="7"/>
  <c r="M988" i="7"/>
  <c r="N30" i="40"/>
  <c r="P30" i="40" s="1"/>
  <c r="P29" i="40"/>
  <c r="K690" i="7"/>
  <c r="H996" i="7"/>
  <c r="M996" i="7"/>
  <c r="M108" i="17"/>
  <c r="O108" i="17" s="1"/>
  <c r="O107" i="17"/>
  <c r="E997" i="7" s="1"/>
  <c r="W997" i="7" s="1"/>
  <c r="J900" i="7"/>
  <c r="H900" i="7"/>
  <c r="M900" i="7"/>
  <c r="J477" i="7"/>
  <c r="H477" i="7"/>
  <c r="M477" i="7"/>
  <c r="H472" i="7"/>
  <c r="J472" i="7"/>
  <c r="M472" i="7"/>
  <c r="J95" i="7"/>
  <c r="M95" i="7"/>
  <c r="H95" i="7"/>
  <c r="H901" i="7"/>
  <c r="M901" i="7"/>
  <c r="J1330" i="7"/>
  <c r="H1330" i="7"/>
  <c r="M1330" i="7"/>
  <c r="H1331" i="7"/>
  <c r="M1331" i="7"/>
  <c r="H1332" i="7"/>
  <c r="M1332" i="7"/>
  <c r="N520" i="21"/>
  <c r="P520" i="21" s="1"/>
  <c r="E1333" i="7" s="1"/>
  <c r="W1333" i="7" s="1"/>
  <c r="Y1333" i="7" s="1"/>
  <c r="C521" i="21"/>
  <c r="J1310" i="7"/>
  <c r="H1310" i="7"/>
  <c r="M1310" i="7"/>
  <c r="N470" i="21"/>
  <c r="C471" i="21"/>
  <c r="C486" i="21"/>
  <c r="N486" i="21" s="1"/>
  <c r="H1318" i="7"/>
  <c r="M1318" i="7"/>
  <c r="N482" i="21"/>
  <c r="P482" i="21" s="1"/>
  <c r="E1322" i="7" s="1"/>
  <c r="G483" i="21"/>
  <c r="P320" i="33"/>
  <c r="P319" i="33"/>
  <c r="M1129" i="7"/>
  <c r="H1129" i="7"/>
  <c r="J1129" i="7"/>
  <c r="M1111" i="7"/>
  <c r="H1111" i="7"/>
  <c r="J1111" i="7"/>
  <c r="J1112" i="7"/>
  <c r="H1112" i="7"/>
  <c r="M1112" i="7"/>
  <c r="M1113" i="7"/>
  <c r="H1113" i="7"/>
  <c r="J1113" i="7"/>
  <c r="O39" i="19"/>
  <c r="E1108" i="7"/>
  <c r="W1108" i="7" s="1"/>
  <c r="E1058" i="7"/>
  <c r="W1058" i="7" s="1"/>
  <c r="Y1058" i="7" s="1"/>
  <c r="M246" i="17"/>
  <c r="E1059" i="7" s="1"/>
  <c r="W1059" i="7" s="1"/>
  <c r="Y1059" i="7" s="1"/>
  <c r="M139" i="16"/>
  <c r="O139" i="16" s="1"/>
  <c r="O138" i="16"/>
  <c r="M430" i="7"/>
  <c r="H430" i="7"/>
  <c r="H433" i="7"/>
  <c r="M433" i="7"/>
  <c r="H220" i="7"/>
  <c r="M220" i="7"/>
  <c r="M216" i="7"/>
  <c r="H216" i="7"/>
  <c r="H135" i="7"/>
  <c r="C551" i="6"/>
  <c r="C554" i="6"/>
  <c r="H549" i="6"/>
  <c r="J549" i="6" s="1"/>
  <c r="M152" i="17"/>
  <c r="O152" i="17" s="1"/>
  <c r="E1015" i="7" s="1"/>
  <c r="W1015" i="7" s="1"/>
  <c r="O151" i="17"/>
  <c r="M1014" i="7"/>
  <c r="H1014" i="7"/>
  <c r="I1290" i="7"/>
  <c r="I1148" i="7"/>
  <c r="I899" i="7"/>
  <c r="I494" i="7"/>
  <c r="J494" i="7" s="1"/>
  <c r="K494" i="7" s="1"/>
  <c r="I651" i="7"/>
  <c r="J651" i="7" s="1"/>
  <c r="K651" i="7" s="1"/>
  <c r="I2215" i="42"/>
  <c r="I2217" i="42" s="1"/>
  <c r="E116" i="41" s="1"/>
  <c r="I1659" i="42"/>
  <c r="I1662" i="42" s="1"/>
  <c r="E83" i="41" s="1"/>
  <c r="H976" i="7"/>
  <c r="M976" i="7"/>
  <c r="H751" i="7"/>
  <c r="M751" i="7"/>
  <c r="H150" i="7"/>
  <c r="M150" i="7"/>
  <c r="C153" i="38"/>
  <c r="N153" i="38" s="1"/>
  <c r="P151" i="38"/>
  <c r="M1074" i="7"/>
  <c r="H1074" i="7"/>
  <c r="E1256" i="7"/>
  <c r="W1256" i="7" s="1"/>
  <c r="M212" i="20"/>
  <c r="M263" i="16"/>
  <c r="O261" i="16"/>
  <c r="M697" i="7"/>
  <c r="H697" i="7"/>
  <c r="E648" i="7"/>
  <c r="W648" i="7" s="1"/>
  <c r="M248" i="15"/>
  <c r="I803" i="7"/>
  <c r="J803" i="7" s="1"/>
  <c r="K803" i="7" s="1"/>
  <c r="I537" i="7"/>
  <c r="J537" i="7" s="1"/>
  <c r="K537" i="7" s="1"/>
  <c r="I1027" i="7"/>
  <c r="J1027" i="7" s="1"/>
  <c r="K1027" i="7" s="1"/>
  <c r="I308" i="7"/>
  <c r="J308" i="7" s="1"/>
  <c r="K308" i="7" s="1"/>
  <c r="I1035" i="7"/>
  <c r="J1035" i="7" s="1"/>
  <c r="K1035" i="7" s="1"/>
  <c r="I1032" i="7"/>
  <c r="J1032" i="7" s="1"/>
  <c r="K1032" i="7" s="1"/>
  <c r="I1029" i="7"/>
  <c r="J1029" i="7" s="1"/>
  <c r="K1029" i="7" s="1"/>
  <c r="I922" i="7"/>
  <c r="J922" i="7" s="1"/>
  <c r="K922" i="7" s="1"/>
  <c r="I806" i="7"/>
  <c r="J806" i="7" s="1"/>
  <c r="K806" i="7" s="1"/>
  <c r="I532" i="7"/>
  <c r="J532" i="7" s="1"/>
  <c r="K532" i="7" s="1"/>
  <c r="I924" i="7"/>
  <c r="J924" i="7" s="1"/>
  <c r="K924" i="7" s="1"/>
  <c r="I808" i="7"/>
  <c r="J808" i="7" s="1"/>
  <c r="K808" i="7" s="1"/>
  <c r="I534" i="7"/>
  <c r="J534" i="7" s="1"/>
  <c r="K534" i="7" s="1"/>
  <c r="I4310" i="42"/>
  <c r="I4316" i="42" s="1"/>
  <c r="E250" i="41" s="1"/>
  <c r="J1100" i="7"/>
  <c r="H31" i="4" s="1"/>
  <c r="J781" i="7"/>
  <c r="J780" i="7"/>
  <c r="I1133" i="42"/>
  <c r="E51" i="41" s="1"/>
  <c r="J491" i="7"/>
  <c r="J220" i="7"/>
  <c r="J150" i="7"/>
  <c r="J1076" i="7"/>
  <c r="J1010" i="7"/>
  <c r="J1299" i="7"/>
  <c r="J389" i="7"/>
  <c r="J748" i="7"/>
  <c r="J976" i="7"/>
  <c r="J1075" i="7"/>
  <c r="J1248" i="7"/>
  <c r="I3389" i="42"/>
  <c r="I3759" i="42"/>
  <c r="J109" i="7"/>
  <c r="J137" i="7"/>
  <c r="J216" i="7"/>
  <c r="J478" i="7"/>
  <c r="J552" i="7"/>
  <c r="J701" i="7"/>
  <c r="J110" i="7"/>
  <c r="J248" i="7"/>
  <c r="J338" i="7"/>
  <c r="J751" i="7"/>
  <c r="J823" i="7"/>
  <c r="J865" i="7"/>
  <c r="J866" i="7"/>
  <c r="J941" i="7"/>
  <c r="M76" i="39"/>
  <c r="M77" i="39" s="1"/>
  <c r="N184" i="38"/>
  <c r="P184" i="38" s="1"/>
  <c r="M112" i="36"/>
  <c r="N53" i="33"/>
  <c r="P53" i="33" s="1"/>
  <c r="M227" i="20"/>
  <c r="E1259" i="7" s="1"/>
  <c r="W1259" i="7" s="1"/>
  <c r="M49" i="20"/>
  <c r="K50" i="20" s="1"/>
  <c r="M50" i="20" s="1"/>
  <c r="E1175" i="7" s="1"/>
  <c r="W1175" i="7" s="1"/>
  <c r="J599" i="7"/>
  <c r="N258" i="33"/>
  <c r="P258" i="33" s="1"/>
  <c r="M45" i="20"/>
  <c r="E1174" i="7" s="1"/>
  <c r="W1174" i="7" s="1"/>
  <c r="P225" i="14"/>
  <c r="E390" i="7" s="1"/>
  <c r="W390" i="7" s="1"/>
  <c r="J198" i="7"/>
  <c r="J190" i="7"/>
  <c r="J241" i="7"/>
  <c r="J746" i="7"/>
  <c r="J432" i="7"/>
  <c r="J503" i="7"/>
  <c r="J747" i="7"/>
  <c r="J860" i="7"/>
  <c r="J1074" i="7"/>
  <c r="J1331" i="7"/>
  <c r="J745" i="7"/>
  <c r="J697" i="7"/>
  <c r="J430" i="7"/>
  <c r="M256" i="36"/>
  <c r="M288" i="17"/>
  <c r="M263" i="15"/>
  <c r="E652" i="7" s="1"/>
  <c r="W652" i="7" s="1"/>
  <c r="J645" i="7"/>
  <c r="K645" i="7" s="1"/>
  <c r="I479" i="42"/>
  <c r="E17" i="41" s="1"/>
  <c r="J1165" i="7"/>
  <c r="K1165" i="7" s="1"/>
  <c r="J275" i="7"/>
  <c r="K275" i="7" s="1"/>
  <c r="J282" i="7"/>
  <c r="K282" i="7" s="1"/>
  <c r="N217" i="11"/>
  <c r="P217" i="11" s="1"/>
  <c r="E290" i="7" s="1"/>
  <c r="W290" i="7" s="1"/>
  <c r="Y290" i="7" s="1"/>
  <c r="N219" i="30"/>
  <c r="M192" i="24"/>
  <c r="M197" i="20"/>
  <c r="J475" i="7"/>
  <c r="K475" i="7" s="1"/>
  <c r="M130" i="13"/>
  <c r="E461" i="7" s="1"/>
  <c r="W461" i="7" s="1"/>
  <c r="Y461" i="7" s="1"/>
  <c r="M108" i="13"/>
  <c r="E456" i="7" s="1"/>
  <c r="W456" i="7" s="1"/>
  <c r="Y456" i="7" s="1"/>
  <c r="J425" i="7"/>
  <c r="K425" i="7" s="1"/>
  <c r="N88" i="11"/>
  <c r="P88" i="11" s="1"/>
  <c r="E253" i="7" s="1"/>
  <c r="W253" i="7" s="1"/>
  <c r="Y253" i="7" s="1"/>
  <c r="J246" i="7"/>
  <c r="N141" i="10"/>
  <c r="P141" i="10" s="1"/>
  <c r="E222" i="7" s="1"/>
  <c r="W222" i="7" s="1"/>
  <c r="N212" i="9"/>
  <c r="N213" i="9" s="1"/>
  <c r="P213" i="9" s="1"/>
  <c r="E152" i="7" s="1"/>
  <c r="W152" i="7" s="1"/>
  <c r="Y152" i="7" s="1"/>
  <c r="J127" i="7"/>
  <c r="K127" i="7" s="1"/>
  <c r="J99" i="7"/>
  <c r="K99" i="7" s="1"/>
  <c r="H506" i="6"/>
  <c r="J506" i="6" s="1"/>
  <c r="H432" i="6"/>
  <c r="J432" i="6" s="1"/>
  <c r="H175" i="5"/>
  <c r="J175" i="5" s="1"/>
  <c r="G816" i="42"/>
  <c r="D33" i="41" s="1"/>
  <c r="I54" i="7" s="1"/>
  <c r="J54" i="7" s="1"/>
  <c r="K54" i="7" s="1"/>
  <c r="I1113" i="42"/>
  <c r="I1118" i="42" s="1"/>
  <c r="E50" i="41" s="1"/>
  <c r="G4176" i="42"/>
  <c r="D243" i="41" s="1"/>
  <c r="I795" i="7" s="1"/>
  <c r="J795" i="7" s="1"/>
  <c r="K795" i="7" s="1"/>
  <c r="G3989" i="42"/>
  <c r="D231" i="41" s="1"/>
  <c r="I3980" i="42"/>
  <c r="I3986" i="42"/>
  <c r="I3826" i="42"/>
  <c r="I3834" i="42" s="1"/>
  <c r="E223" i="41" s="1"/>
  <c r="G3835" i="42"/>
  <c r="D223" i="41" s="1"/>
  <c r="I3585" i="42"/>
  <c r="I3591" i="42" s="1"/>
  <c r="E208" i="41" s="1"/>
  <c r="I2197" i="42"/>
  <c r="G2204" i="42"/>
  <c r="D115" i="41" s="1"/>
  <c r="I1269" i="7" s="1"/>
  <c r="J1269" i="7" s="1"/>
  <c r="K1269" i="7" s="1"/>
  <c r="I2201" i="42"/>
  <c r="G2099" i="42"/>
  <c r="I1766" i="42"/>
  <c r="I1772" i="42"/>
  <c r="G1775" i="42"/>
  <c r="D90" i="41" s="1"/>
  <c r="I1910" i="42"/>
  <c r="E99" i="41" s="1"/>
  <c r="G1912" i="42"/>
  <c r="D99" i="41" s="1"/>
  <c r="I1899" i="42"/>
  <c r="E98" i="41" s="1"/>
  <c r="G1901" i="42"/>
  <c r="D98" i="41" s="1"/>
  <c r="M716" i="7"/>
  <c r="H716" i="7"/>
  <c r="J449" i="7"/>
  <c r="K449" i="7" s="1"/>
  <c r="J1078" i="7"/>
  <c r="K1078" i="7" s="1"/>
  <c r="I3656" i="42"/>
  <c r="E212" i="41" s="1"/>
  <c r="H1039" i="7"/>
  <c r="G26" i="4" s="1"/>
  <c r="I3203" i="42"/>
  <c r="E184" i="41" s="1"/>
  <c r="I3151" i="42"/>
  <c r="E181" i="41" s="1"/>
  <c r="I1532" i="42"/>
  <c r="E75" i="41" s="1"/>
  <c r="I1517" i="42"/>
  <c r="E74" i="41" s="1"/>
  <c r="I1470" i="42"/>
  <c r="E71" i="41" s="1"/>
  <c r="I1453" i="42"/>
  <c r="E70" i="41" s="1"/>
  <c r="I1419" i="42"/>
  <c r="E68" i="41" s="1"/>
  <c r="I3134" i="42"/>
  <c r="E180" i="41" s="1"/>
  <c r="I1677" i="42"/>
  <c r="E84" i="41" s="1"/>
  <c r="I1613" i="42"/>
  <c r="E80" i="41" s="1"/>
  <c r="I130" i="42"/>
  <c r="E11" i="41" s="1"/>
  <c r="I1824" i="42"/>
  <c r="E93" i="41" s="1"/>
  <c r="I903" i="42"/>
  <c r="E38" i="41" s="1"/>
  <c r="I2911" i="42"/>
  <c r="E163" i="41" s="1"/>
  <c r="I2732" i="42"/>
  <c r="E149" i="41" s="1"/>
  <c r="M135" i="7" l="1"/>
  <c r="K335" i="7"/>
  <c r="M105" i="7"/>
  <c r="M136" i="7"/>
  <c r="J105" i="7"/>
  <c r="K105" i="7" s="1"/>
  <c r="H35" i="3"/>
  <c r="E86" i="7"/>
  <c r="E87" i="7" s="1"/>
  <c r="M41" i="8"/>
  <c r="O86" i="7" s="1"/>
  <c r="W86" i="7" s="1"/>
  <c r="Y86" i="7" s="1"/>
  <c r="E106" i="7"/>
  <c r="H106" i="7" s="1"/>
  <c r="W106" i="7"/>
  <c r="Y106" i="7" s="1"/>
  <c r="I4252" i="42"/>
  <c r="E247" i="41" s="1"/>
  <c r="H136" i="7"/>
  <c r="K136" i="7" s="1"/>
  <c r="M50" i="17"/>
  <c r="O50" i="17" s="1"/>
  <c r="E111" i="7"/>
  <c r="W111" i="7"/>
  <c r="Y111" i="7" s="1"/>
  <c r="M77" i="7"/>
  <c r="Q77" i="7"/>
  <c r="W77" i="7"/>
  <c r="Y77" i="7" s="1"/>
  <c r="L84" i="7"/>
  <c r="U84" i="7" s="1"/>
  <c r="U78" i="7"/>
  <c r="U86" i="7"/>
  <c r="K75" i="7"/>
  <c r="K246" i="7"/>
  <c r="Y1088" i="7"/>
  <c r="K1012" i="7"/>
  <c r="W1283" i="7"/>
  <c r="Y1283" i="7" s="1"/>
  <c r="K436" i="7"/>
  <c r="U1284" i="7"/>
  <c r="J1307" i="7"/>
  <c r="W1307" i="7"/>
  <c r="Y1307" i="7" s="1"/>
  <c r="M71" i="7"/>
  <c r="J151" i="7"/>
  <c r="W151" i="7"/>
  <c r="Y151" i="7" s="1"/>
  <c r="U1322" i="7"/>
  <c r="H153" i="7"/>
  <c r="W153" i="7"/>
  <c r="Y153" i="7" s="1"/>
  <c r="M978" i="7"/>
  <c r="W978" i="7"/>
  <c r="J437" i="7"/>
  <c r="W437" i="7"/>
  <c r="Y437" i="7" s="1"/>
  <c r="J862" i="7"/>
  <c r="W862" i="7"/>
  <c r="Y572" i="7"/>
  <c r="J791" i="7"/>
  <c r="W791" i="7"/>
  <c r="M247" i="7"/>
  <c r="W247" i="7"/>
  <c r="Y247" i="7" s="1"/>
  <c r="H439" i="7"/>
  <c r="W439" i="7"/>
  <c r="Y439" i="7" s="1"/>
  <c r="J249" i="7"/>
  <c r="W249" i="7"/>
  <c r="Y249" i="7" s="1"/>
  <c r="H391" i="7"/>
  <c r="W391" i="7"/>
  <c r="K917" i="7"/>
  <c r="K864" i="7"/>
  <c r="W1318" i="7"/>
  <c r="Y1318" i="7" s="1"/>
  <c r="Y1061" i="7"/>
  <c r="W1287" i="7"/>
  <c r="Y1287" i="7" s="1"/>
  <c r="M38" i="8"/>
  <c r="E85" i="7" s="1"/>
  <c r="M85" i="7" s="1"/>
  <c r="M39" i="8"/>
  <c r="O85" i="7" s="1"/>
  <c r="M33" i="8"/>
  <c r="O83" i="7"/>
  <c r="K23" i="8"/>
  <c r="M26" i="8"/>
  <c r="E79" i="7" s="1"/>
  <c r="M27" i="8"/>
  <c r="O79" i="7" s="1"/>
  <c r="O81" i="7"/>
  <c r="M80" i="7"/>
  <c r="G33" i="3"/>
  <c r="H33" i="3"/>
  <c r="J978" i="7"/>
  <c r="M151" i="7"/>
  <c r="M437" i="7"/>
  <c r="K221" i="7"/>
  <c r="K716" i="7"/>
  <c r="I26" i="4"/>
  <c r="L26" i="4" s="1"/>
  <c r="K525" i="7"/>
  <c r="K479" i="7"/>
  <c r="K711" i="7"/>
  <c r="H978" i="7"/>
  <c r="K280" i="7"/>
  <c r="K1167" i="7"/>
  <c r="K1298" i="7"/>
  <c r="J247" i="7"/>
  <c r="K977" i="7"/>
  <c r="H151" i="7"/>
  <c r="K1305" i="7"/>
  <c r="H437" i="7"/>
  <c r="K996" i="7"/>
  <c r="K677" i="7"/>
  <c r="K477" i="7"/>
  <c r="K287" i="7"/>
  <c r="K1003" i="7"/>
  <c r="M249" i="7"/>
  <c r="M439" i="7"/>
  <c r="H249" i="7"/>
  <c r="K1300" i="7"/>
  <c r="K988" i="7"/>
  <c r="K438" i="7"/>
  <c r="K96" i="7"/>
  <c r="K1014" i="7"/>
  <c r="J180" i="7"/>
  <c r="H17" i="4" s="1"/>
  <c r="K980" i="7"/>
  <c r="K1204" i="7"/>
  <c r="K98" i="7"/>
  <c r="K242" i="7"/>
  <c r="K284" i="7"/>
  <c r="N68" i="26"/>
  <c r="P68" i="26" s="1"/>
  <c r="M378" i="16"/>
  <c r="O378" i="16" s="1"/>
  <c r="K97" i="7"/>
  <c r="N219" i="26"/>
  <c r="N222" i="26" s="1"/>
  <c r="P222" i="26" s="1"/>
  <c r="K1287" i="7"/>
  <c r="K339" i="7"/>
  <c r="K472" i="7"/>
  <c r="K291" i="7"/>
  <c r="K699" i="7"/>
  <c r="K1081" i="7"/>
  <c r="M153" i="7"/>
  <c r="E505" i="7"/>
  <c r="E867" i="7"/>
  <c r="J867" i="7" s="1"/>
  <c r="M271" i="13"/>
  <c r="J439" i="7"/>
  <c r="M791" i="7"/>
  <c r="K281" i="7"/>
  <c r="H247" i="7"/>
  <c r="H791" i="7"/>
  <c r="I3726" i="42"/>
  <c r="E216" i="41" s="1"/>
  <c r="K900" i="7"/>
  <c r="J391" i="7"/>
  <c r="M391" i="7"/>
  <c r="M89" i="25"/>
  <c r="C90" i="25" s="1"/>
  <c r="M90" i="25" s="1"/>
  <c r="F91" i="25" s="1"/>
  <c r="M91" i="25" s="1"/>
  <c r="K463" i="7"/>
  <c r="K901" i="7"/>
  <c r="K1009" i="7"/>
  <c r="J417" i="7"/>
  <c r="K1112" i="7"/>
  <c r="K1331" i="7"/>
  <c r="K198" i="7"/>
  <c r="K491" i="7"/>
  <c r="K380" i="7"/>
  <c r="K1076" i="7"/>
  <c r="K1251" i="7"/>
  <c r="N259" i="21"/>
  <c r="K150" i="7"/>
  <c r="K976" i="7"/>
  <c r="K433" i="7"/>
  <c r="K241" i="7"/>
  <c r="K137" i="7"/>
  <c r="K248" i="7"/>
  <c r="K478" i="7"/>
  <c r="K552" i="7"/>
  <c r="K701" i="7"/>
  <c r="K746" i="7"/>
  <c r="K1299" i="7"/>
  <c r="K135" i="7"/>
  <c r="K1129" i="7"/>
  <c r="K1332" i="7"/>
  <c r="K190" i="7"/>
  <c r="K1075" i="7"/>
  <c r="K109" i="7"/>
  <c r="J153" i="7"/>
  <c r="K138" i="7"/>
  <c r="K503" i="7"/>
  <c r="M101" i="39"/>
  <c r="C102" i="39" s="1"/>
  <c r="M102" i="39" s="1"/>
  <c r="K1199" i="7"/>
  <c r="K1130" i="7"/>
  <c r="K432" i="7"/>
  <c r="K1111" i="7"/>
  <c r="K1318" i="7"/>
  <c r="K95" i="7"/>
  <c r="K1283" i="7"/>
  <c r="K33" i="7"/>
  <c r="K77" i="7"/>
  <c r="K110" i="7"/>
  <c r="K243" i="7"/>
  <c r="K515" i="7"/>
  <c r="K824" i="7"/>
  <c r="K860" i="7"/>
  <c r="K866" i="7"/>
  <c r="M104" i="25"/>
  <c r="K306" i="7"/>
  <c r="N82" i="40"/>
  <c r="P82" i="40" s="1"/>
  <c r="K1113" i="7"/>
  <c r="K1248" i="7"/>
  <c r="K971" i="7"/>
  <c r="K1010" i="7"/>
  <c r="K680" i="7"/>
  <c r="K780" i="7"/>
  <c r="K748" i="7"/>
  <c r="K700" i="7"/>
  <c r="K751" i="7"/>
  <c r="K697" i="7"/>
  <c r="K599" i="7"/>
  <c r="K823" i="7"/>
  <c r="K865" i="7"/>
  <c r="K747" i="7"/>
  <c r="K745" i="7"/>
  <c r="K781" i="7"/>
  <c r="K389" i="7"/>
  <c r="K216" i="7"/>
  <c r="K220" i="7"/>
  <c r="N238" i="9"/>
  <c r="P238" i="9" s="1"/>
  <c r="M58" i="17"/>
  <c r="O58" i="17" s="1"/>
  <c r="E979" i="7" s="1"/>
  <c r="H1307" i="7"/>
  <c r="M1307" i="7"/>
  <c r="H473" i="6"/>
  <c r="J473" i="6" s="1"/>
  <c r="N373" i="11"/>
  <c r="M54" i="17"/>
  <c r="O54" i="17" s="1"/>
  <c r="M98" i="25"/>
  <c r="M91" i="39"/>
  <c r="D567" i="6"/>
  <c r="H566" i="6"/>
  <c r="P191" i="33"/>
  <c r="N216" i="33"/>
  <c r="P216" i="33" s="1"/>
  <c r="M379" i="11"/>
  <c r="O379" i="11" s="1"/>
  <c r="M80" i="25"/>
  <c r="H862" i="7"/>
  <c r="M862" i="7"/>
  <c r="M293" i="17"/>
  <c r="N146" i="10"/>
  <c r="P146" i="10" s="1"/>
  <c r="E223" i="7" s="1"/>
  <c r="N232" i="9"/>
  <c r="P232" i="9" s="1"/>
  <c r="E155" i="7" s="1"/>
  <c r="M362" i="11"/>
  <c r="O362" i="11" s="1"/>
  <c r="M110" i="25"/>
  <c r="M108" i="39"/>
  <c r="H71" i="7"/>
  <c r="G11" i="4" s="1"/>
  <c r="E17" i="3" s="1"/>
  <c r="J1148" i="7"/>
  <c r="K1148" i="7" s="1"/>
  <c r="J1211" i="7"/>
  <c r="H1211" i="7"/>
  <c r="M1211" i="7"/>
  <c r="J600" i="7"/>
  <c r="J601" i="7"/>
  <c r="C72" i="29"/>
  <c r="F97" i="29"/>
  <c r="N97" i="29" s="1"/>
  <c r="N93" i="29"/>
  <c r="C101" i="29"/>
  <c r="N101" i="29" s="1"/>
  <c r="N69" i="28"/>
  <c r="P69" i="28" s="1"/>
  <c r="C70" i="28"/>
  <c r="F107" i="28"/>
  <c r="N107" i="28" s="1"/>
  <c r="C111" i="28"/>
  <c r="N111" i="28" s="1"/>
  <c r="N103" i="28"/>
  <c r="N86" i="26"/>
  <c r="C91" i="26"/>
  <c r="C87" i="26"/>
  <c r="K62" i="20"/>
  <c r="M62" i="20" s="1"/>
  <c r="M58" i="20"/>
  <c r="C66" i="20"/>
  <c r="M1131" i="7"/>
  <c r="H1131" i="7"/>
  <c r="J1131" i="7"/>
  <c r="M1132" i="7"/>
  <c r="H1132" i="7"/>
  <c r="J1132" i="7"/>
  <c r="D71" i="29"/>
  <c r="D72" i="29" s="1"/>
  <c r="D73" i="29" s="1"/>
  <c r="D74" i="29" s="1"/>
  <c r="D69" i="29"/>
  <c r="N69" i="29" s="1"/>
  <c r="N89" i="29"/>
  <c r="C94" i="29"/>
  <c r="C90" i="29"/>
  <c r="M214" i="27"/>
  <c r="C217" i="27"/>
  <c r="M215" i="27"/>
  <c r="M1168" i="7"/>
  <c r="H1168" i="7"/>
  <c r="J1168" i="7"/>
  <c r="J1169" i="7"/>
  <c r="H1169" i="7"/>
  <c r="M1169" i="7"/>
  <c r="N85" i="40"/>
  <c r="F89" i="40"/>
  <c r="N89" i="40" s="1"/>
  <c r="E93" i="40"/>
  <c r="N93" i="40" s="1"/>
  <c r="N84" i="40"/>
  <c r="N86" i="40" s="1"/>
  <c r="P86" i="40" s="1"/>
  <c r="F88" i="40"/>
  <c r="N88" i="40" s="1"/>
  <c r="E92" i="40"/>
  <c r="N92" i="40" s="1"/>
  <c r="M248" i="39"/>
  <c r="M256" i="39" s="1"/>
  <c r="M258" i="39" s="1"/>
  <c r="M260" i="39" s="1"/>
  <c r="E273" i="39"/>
  <c r="M273" i="39" s="1"/>
  <c r="M276" i="39" s="1"/>
  <c r="M261" i="39" s="1"/>
  <c r="D127" i="39"/>
  <c r="D131" i="39" s="1"/>
  <c r="D130" i="39"/>
  <c r="M155" i="39"/>
  <c r="C157" i="39"/>
  <c r="M157" i="39" s="1"/>
  <c r="M163" i="39"/>
  <c r="K169" i="39"/>
  <c r="M169" i="39" s="1"/>
  <c r="C175" i="39"/>
  <c r="M175" i="39" s="1"/>
  <c r="M154" i="39"/>
  <c r="C156" i="39"/>
  <c r="M156" i="39" s="1"/>
  <c r="M162" i="39"/>
  <c r="K168" i="39"/>
  <c r="M168" i="39" s="1"/>
  <c r="C174" i="39"/>
  <c r="M174" i="39" s="1"/>
  <c r="C131" i="39"/>
  <c r="M151" i="39"/>
  <c r="C153" i="39"/>
  <c r="M153" i="39" s="1"/>
  <c r="M161" i="39"/>
  <c r="K167" i="39"/>
  <c r="M167" i="39" s="1"/>
  <c r="C173" i="39"/>
  <c r="M173" i="39" s="1"/>
  <c r="M126" i="39"/>
  <c r="C130" i="39"/>
  <c r="M150" i="39"/>
  <c r="C152" i="39"/>
  <c r="M152" i="39" s="1"/>
  <c r="M160" i="39"/>
  <c r="K166" i="39"/>
  <c r="M166" i="39" s="1"/>
  <c r="C172" i="39"/>
  <c r="M172" i="39" s="1"/>
  <c r="M51" i="39"/>
  <c r="D52" i="39"/>
  <c r="N36" i="37"/>
  <c r="P36" i="37" s="1"/>
  <c r="F37" i="37"/>
  <c r="N37" i="37" s="1"/>
  <c r="P37" i="37" s="1"/>
  <c r="C38" i="37"/>
  <c r="N23" i="37"/>
  <c r="P23" i="37" s="1"/>
  <c r="M24" i="37"/>
  <c r="M494" i="36"/>
  <c r="L495" i="36"/>
  <c r="M495" i="36" s="1"/>
  <c r="N329" i="33"/>
  <c r="M330" i="33"/>
  <c r="M338" i="33"/>
  <c r="N338" i="33" s="1"/>
  <c r="N271" i="33"/>
  <c r="M272" i="33"/>
  <c r="N200" i="33"/>
  <c r="M202" i="33"/>
  <c r="M209" i="33"/>
  <c r="N209" i="33" s="1"/>
  <c r="N120" i="33"/>
  <c r="P120" i="33" s="1"/>
  <c r="M123" i="33"/>
  <c r="N73" i="30"/>
  <c r="C75" i="30"/>
  <c r="N104" i="28"/>
  <c r="C112" i="28"/>
  <c r="N112" i="28" s="1"/>
  <c r="F108" i="28"/>
  <c r="N108" i="28" s="1"/>
  <c r="M74" i="27"/>
  <c r="M75" i="27" s="1"/>
  <c r="C80" i="27"/>
  <c r="M80" i="27" s="1"/>
  <c r="M81" i="27" s="1"/>
  <c r="K77" i="27"/>
  <c r="M77" i="27" s="1"/>
  <c r="M78" i="27" s="1"/>
  <c r="K96" i="27"/>
  <c r="M96" i="27" s="1"/>
  <c r="M97" i="27" s="1"/>
  <c r="C99" i="27"/>
  <c r="M93" i="27"/>
  <c r="M94" i="27" s="1"/>
  <c r="N69" i="26"/>
  <c r="P69" i="26" s="1"/>
  <c r="C70" i="26"/>
  <c r="C98" i="26"/>
  <c r="F94" i="26"/>
  <c r="N94" i="26" s="1"/>
  <c r="N90" i="26"/>
  <c r="M155" i="19"/>
  <c r="E1157" i="7" s="1"/>
  <c r="W1157" i="7" s="1"/>
  <c r="E1147" i="7"/>
  <c r="W1147" i="7" s="1"/>
  <c r="J1146" i="7"/>
  <c r="H1146" i="7"/>
  <c r="M1146" i="7"/>
  <c r="K1145" i="7"/>
  <c r="J293" i="7"/>
  <c r="H293" i="7"/>
  <c r="M293" i="7"/>
  <c r="N222" i="11"/>
  <c r="F223" i="11"/>
  <c r="N223" i="11" s="1"/>
  <c r="N225" i="11"/>
  <c r="P225" i="11" s="1"/>
  <c r="E295" i="7" s="1"/>
  <c r="W295" i="7" s="1"/>
  <c r="Y295" i="7" s="1"/>
  <c r="C251" i="11"/>
  <c r="N251" i="11" s="1"/>
  <c r="J285" i="7"/>
  <c r="H285" i="7"/>
  <c r="M285" i="7"/>
  <c r="J286" i="7"/>
  <c r="M286" i="7"/>
  <c r="H286" i="7"/>
  <c r="C250" i="11"/>
  <c r="N250" i="11" s="1"/>
  <c r="N237" i="11"/>
  <c r="N240" i="11" s="1"/>
  <c r="P240" i="11" s="1"/>
  <c r="E299" i="7" s="1"/>
  <c r="W299" i="7" s="1"/>
  <c r="Y299" i="7" s="1"/>
  <c r="H276" i="32"/>
  <c r="D277" i="32"/>
  <c r="H263" i="32"/>
  <c r="H269" i="32" s="1"/>
  <c r="J269" i="32" s="1"/>
  <c r="C278" i="32"/>
  <c r="H149" i="32"/>
  <c r="G150" i="32"/>
  <c r="H79" i="32"/>
  <c r="C80" i="32"/>
  <c r="H62" i="32"/>
  <c r="C63" i="32"/>
  <c r="H28" i="32"/>
  <c r="D29" i="32"/>
  <c r="M190" i="17"/>
  <c r="O190" i="17" s="1"/>
  <c r="E193" i="17"/>
  <c r="M115" i="25"/>
  <c r="C180" i="25"/>
  <c r="M114" i="25"/>
  <c r="C179" i="25"/>
  <c r="M113" i="25"/>
  <c r="C178" i="25"/>
  <c r="M112" i="25"/>
  <c r="C177" i="25"/>
  <c r="K941" i="7"/>
  <c r="J942" i="7"/>
  <c r="H942" i="7"/>
  <c r="M942" i="7"/>
  <c r="J943" i="7"/>
  <c r="H943" i="7"/>
  <c r="M943" i="7"/>
  <c r="M114" i="24"/>
  <c r="K120" i="24"/>
  <c r="M120" i="24" s="1"/>
  <c r="C126" i="24"/>
  <c r="M113" i="24"/>
  <c r="K119" i="24"/>
  <c r="M119" i="24" s="1"/>
  <c r="C125" i="24"/>
  <c r="M125" i="24" s="1"/>
  <c r="M112" i="24"/>
  <c r="K118" i="24"/>
  <c r="M118" i="24" s="1"/>
  <c r="C124" i="24"/>
  <c r="J1306" i="7"/>
  <c r="H1306" i="7"/>
  <c r="M1306" i="7"/>
  <c r="N311" i="21"/>
  <c r="E312" i="21"/>
  <c r="E262" i="21"/>
  <c r="E264" i="21"/>
  <c r="N261" i="21"/>
  <c r="D262" i="21"/>
  <c r="D264" i="21"/>
  <c r="N206" i="21"/>
  <c r="D209" i="21"/>
  <c r="N205" i="21"/>
  <c r="D208" i="21"/>
  <c r="C63" i="21"/>
  <c r="C113" i="21"/>
  <c r="F114" i="21" s="1"/>
  <c r="C159" i="21"/>
  <c r="N159" i="21" s="1"/>
  <c r="N92" i="21"/>
  <c r="F93" i="21"/>
  <c r="N93" i="21" s="1"/>
  <c r="M200" i="20"/>
  <c r="E1253" i="7" s="1"/>
  <c r="W1253" i="7" s="1"/>
  <c r="E1252" i="7"/>
  <c r="W1252" i="7" s="1"/>
  <c r="J1249" i="7"/>
  <c r="H1249" i="7"/>
  <c r="M1249" i="7"/>
  <c r="C65" i="20"/>
  <c r="K61" i="20"/>
  <c r="M61" i="20" s="1"/>
  <c r="M63" i="20" s="1"/>
  <c r="E1179" i="7" s="1"/>
  <c r="W1179" i="7" s="1"/>
  <c r="M57" i="20"/>
  <c r="M59" i="20" s="1"/>
  <c r="E1178" i="7" s="1"/>
  <c r="W1178" i="7" s="1"/>
  <c r="J1177" i="7"/>
  <c r="H1177" i="7"/>
  <c r="M1177" i="7"/>
  <c r="M295" i="17"/>
  <c r="C303" i="17"/>
  <c r="K299" i="17"/>
  <c r="M299" i="17" s="1"/>
  <c r="J981" i="7"/>
  <c r="H981" i="7"/>
  <c r="M981" i="7"/>
  <c r="J972" i="7"/>
  <c r="H972" i="7"/>
  <c r="M972" i="7"/>
  <c r="M94" i="16"/>
  <c r="C95" i="16"/>
  <c r="M95" i="16" s="1"/>
  <c r="C99" i="16"/>
  <c r="J703" i="7"/>
  <c r="M703" i="7"/>
  <c r="H703" i="7"/>
  <c r="M65" i="16"/>
  <c r="M62" i="16" s="1"/>
  <c r="O62" i="16" s="1"/>
  <c r="E704" i="7" s="1"/>
  <c r="W704" i="7" s="1"/>
  <c r="H70" i="16"/>
  <c r="M70" i="16" s="1"/>
  <c r="M67" i="16" s="1"/>
  <c r="O67" i="16" s="1"/>
  <c r="E705" i="7" s="1"/>
  <c r="W705" i="7" s="1"/>
  <c r="C75" i="16"/>
  <c r="J678" i="7"/>
  <c r="M678" i="7"/>
  <c r="H678" i="7"/>
  <c r="J679" i="7"/>
  <c r="H679" i="7"/>
  <c r="M679" i="7"/>
  <c r="M600" i="7"/>
  <c r="H600" i="7"/>
  <c r="M601" i="7"/>
  <c r="H601" i="7"/>
  <c r="M602" i="7"/>
  <c r="H602" i="7"/>
  <c r="J602" i="7"/>
  <c r="N68" i="14"/>
  <c r="P68" i="14" s="1"/>
  <c r="E344" i="7" s="1"/>
  <c r="W344" i="7" s="1"/>
  <c r="C69" i="14"/>
  <c r="N89" i="14"/>
  <c r="F93" i="14"/>
  <c r="N93" i="14" s="1"/>
  <c r="C97" i="14"/>
  <c r="K338" i="7"/>
  <c r="M340" i="7"/>
  <c r="H340" i="7"/>
  <c r="J340" i="7"/>
  <c r="N85" i="14"/>
  <c r="C86" i="14"/>
  <c r="N86" i="14" s="1"/>
  <c r="C90" i="14"/>
  <c r="J553" i="7"/>
  <c r="H553" i="7"/>
  <c r="M553" i="7"/>
  <c r="J554" i="7"/>
  <c r="H554" i="7"/>
  <c r="M554" i="7"/>
  <c r="J504" i="7"/>
  <c r="H504" i="7"/>
  <c r="M504" i="7"/>
  <c r="O271" i="13"/>
  <c r="E506" i="7"/>
  <c r="W506" i="7" s="1"/>
  <c r="Y506" i="7" s="1"/>
  <c r="J462" i="7"/>
  <c r="H462" i="7"/>
  <c r="M462" i="7"/>
  <c r="J464" i="7"/>
  <c r="H464" i="7"/>
  <c r="M464" i="7"/>
  <c r="J457" i="7"/>
  <c r="H457" i="7"/>
  <c r="M457" i="7"/>
  <c r="J458" i="7"/>
  <c r="H458" i="7"/>
  <c r="M458" i="7"/>
  <c r="J459" i="7"/>
  <c r="H459" i="7"/>
  <c r="M459" i="7"/>
  <c r="M372" i="11"/>
  <c r="N372" i="11" s="1"/>
  <c r="N374" i="11" s="1"/>
  <c r="C375" i="11" s="1"/>
  <c r="N375" i="11" s="1"/>
  <c r="P375" i="11" s="1"/>
  <c r="M370" i="11"/>
  <c r="O370" i="11" s="1"/>
  <c r="M380" i="11"/>
  <c r="O380" i="11" s="1"/>
  <c r="N290" i="11"/>
  <c r="F291" i="11"/>
  <c r="N291" i="11" s="1"/>
  <c r="C292" i="11"/>
  <c r="N292" i="11" s="1"/>
  <c r="C293" i="11"/>
  <c r="N293" i="11" s="1"/>
  <c r="N166" i="11"/>
  <c r="P166" i="11" s="1"/>
  <c r="F167" i="11"/>
  <c r="N167" i="11" s="1"/>
  <c r="P167" i="11" s="1"/>
  <c r="C168" i="11"/>
  <c r="N168" i="11" s="1"/>
  <c r="P168" i="11" s="1"/>
  <c r="C171" i="11"/>
  <c r="N171" i="11" s="1"/>
  <c r="C172" i="11"/>
  <c r="J254" i="7"/>
  <c r="H254" i="7"/>
  <c r="M254" i="7"/>
  <c r="N92" i="11"/>
  <c r="N93" i="11" s="1"/>
  <c r="P93" i="11" s="1"/>
  <c r="E255" i="7" s="1"/>
  <c r="W255" i="7" s="1"/>
  <c r="Y255" i="7" s="1"/>
  <c r="C96" i="11"/>
  <c r="C98" i="11"/>
  <c r="N98" i="11" s="1"/>
  <c r="P98" i="11" s="1"/>
  <c r="E257" i="7" s="1"/>
  <c r="W257" i="7" s="1"/>
  <c r="Y257" i="7" s="1"/>
  <c r="J251" i="7"/>
  <c r="H251" i="7"/>
  <c r="M251" i="7"/>
  <c r="J252" i="7"/>
  <c r="H252" i="7"/>
  <c r="M252" i="7"/>
  <c r="F96" i="11"/>
  <c r="N149" i="10"/>
  <c r="M150" i="10"/>
  <c r="M22" i="10"/>
  <c r="N22" i="10" s="1"/>
  <c r="P22" i="10" s="1"/>
  <c r="L23" i="10"/>
  <c r="M154" i="7"/>
  <c r="J154" i="7"/>
  <c r="H154" i="7"/>
  <c r="C69" i="9"/>
  <c r="N94" i="9"/>
  <c r="F98" i="9"/>
  <c r="N98" i="9" s="1"/>
  <c r="C102" i="9"/>
  <c r="N102" i="9" s="1"/>
  <c r="N178" i="9"/>
  <c r="C179" i="9"/>
  <c r="N179" i="9" s="1"/>
  <c r="M111" i="7"/>
  <c r="H111" i="7"/>
  <c r="J111" i="7"/>
  <c r="D68" i="9"/>
  <c r="D69" i="9" s="1"/>
  <c r="D75" i="9" s="1"/>
  <c r="C72" i="9"/>
  <c r="N72" i="9" s="1"/>
  <c r="N73" i="9" s="1"/>
  <c r="N90" i="9"/>
  <c r="C91" i="9"/>
  <c r="N91" i="9" s="1"/>
  <c r="C95" i="9"/>
  <c r="C180" i="9"/>
  <c r="J80" i="7"/>
  <c r="H80" i="7"/>
  <c r="M30" i="8"/>
  <c r="K31" i="8"/>
  <c r="M31" i="8" s="1"/>
  <c r="E81" i="7" s="1"/>
  <c r="K36" i="8"/>
  <c r="Q36" i="8"/>
  <c r="M40" i="8"/>
  <c r="H563" i="6"/>
  <c r="C578" i="6"/>
  <c r="H487" i="6"/>
  <c r="G488" i="6"/>
  <c r="H332" i="6"/>
  <c r="C333" i="6"/>
  <c r="H231" i="6"/>
  <c r="C232" i="6"/>
  <c r="H29" i="6"/>
  <c r="D30" i="6"/>
  <c r="H446" i="6"/>
  <c r="J446" i="6" s="1"/>
  <c r="J445" i="6"/>
  <c r="H451" i="6"/>
  <c r="J451" i="6" s="1"/>
  <c r="F452" i="6"/>
  <c r="H283" i="5"/>
  <c r="D284" i="5"/>
  <c r="H270" i="5"/>
  <c r="H276" i="5" s="1"/>
  <c r="J276" i="5" s="1"/>
  <c r="C285" i="5"/>
  <c r="H156" i="5"/>
  <c r="G157" i="5"/>
  <c r="H80" i="5"/>
  <c r="C81" i="5"/>
  <c r="H63" i="5"/>
  <c r="C64" i="5"/>
  <c r="H29" i="5"/>
  <c r="D30" i="5"/>
  <c r="M296" i="17"/>
  <c r="K300" i="17"/>
  <c r="M300" i="17" s="1"/>
  <c r="C304" i="17"/>
  <c r="J1082" i="7"/>
  <c r="H1082" i="7"/>
  <c r="M1082" i="7"/>
  <c r="J1083" i="7"/>
  <c r="H1083" i="7"/>
  <c r="M1083" i="7"/>
  <c r="P189" i="40"/>
  <c r="N191" i="40"/>
  <c r="N194" i="40" s="1"/>
  <c r="M319" i="25"/>
  <c r="M323" i="25" s="1"/>
  <c r="J1284" i="7"/>
  <c r="H1284" i="7"/>
  <c r="M1284" i="7"/>
  <c r="N37" i="21"/>
  <c r="C38" i="21"/>
  <c r="C43" i="21"/>
  <c r="M126" i="20"/>
  <c r="E1212" i="7" s="1"/>
  <c r="W1212" i="7" s="1"/>
  <c r="L127" i="20"/>
  <c r="J381" i="7"/>
  <c r="H381" i="7"/>
  <c r="M381" i="7"/>
  <c r="H524" i="7"/>
  <c r="M524" i="7"/>
  <c r="J524" i="7"/>
  <c r="J492" i="7"/>
  <c r="H492" i="7"/>
  <c r="M492" i="7"/>
  <c r="G383" i="42"/>
  <c r="I257" i="42" s="1"/>
  <c r="J997" i="7"/>
  <c r="H997" i="7"/>
  <c r="M997" i="7"/>
  <c r="K1330" i="7"/>
  <c r="J1333" i="7"/>
  <c r="H1333" i="7"/>
  <c r="M1333" i="7"/>
  <c r="N521" i="21"/>
  <c r="C523" i="21"/>
  <c r="N523" i="21" s="1"/>
  <c r="P523" i="21" s="1"/>
  <c r="E1336" i="7" s="1"/>
  <c r="W1336" i="7" s="1"/>
  <c r="Y1336" i="7" s="1"/>
  <c r="C525" i="21"/>
  <c r="K1310" i="7"/>
  <c r="P470" i="21"/>
  <c r="E1311" i="7" s="1"/>
  <c r="C480" i="21"/>
  <c r="N480" i="21" s="1"/>
  <c r="P480" i="21" s="1"/>
  <c r="E1320" i="7" s="1"/>
  <c r="N471" i="21"/>
  <c r="C473" i="21"/>
  <c r="P486" i="21"/>
  <c r="E1326" i="7" s="1"/>
  <c r="N487" i="21"/>
  <c r="P487" i="21" s="1"/>
  <c r="E1327" i="7" s="1"/>
  <c r="J1322" i="7"/>
  <c r="H1322" i="7"/>
  <c r="M1322" i="7"/>
  <c r="N483" i="21"/>
  <c r="P483" i="21" s="1"/>
  <c r="E1323" i="7" s="1"/>
  <c r="G484" i="21"/>
  <c r="J1108" i="7"/>
  <c r="H1108" i="7"/>
  <c r="M1108" i="7"/>
  <c r="J1058" i="7"/>
  <c r="H1058" i="7"/>
  <c r="M1058" i="7"/>
  <c r="J1059" i="7"/>
  <c r="H1059" i="7"/>
  <c r="M1059" i="7"/>
  <c r="K430" i="7"/>
  <c r="H551" i="6"/>
  <c r="F552" i="6"/>
  <c r="H552" i="6" s="1"/>
  <c r="J552" i="6" s="1"/>
  <c r="H554" i="6"/>
  <c r="J554" i="6" s="1"/>
  <c r="C555" i="6"/>
  <c r="H555" i="6" s="1"/>
  <c r="J555" i="6" s="1"/>
  <c r="J1015" i="7"/>
  <c r="H1015" i="7"/>
  <c r="M1015" i="7"/>
  <c r="P153" i="38"/>
  <c r="N155" i="38"/>
  <c r="K1074" i="7"/>
  <c r="J1256" i="7"/>
  <c r="H1256" i="7"/>
  <c r="M1256" i="7"/>
  <c r="M214" i="20"/>
  <c r="M218" i="20" s="1"/>
  <c r="E1257" i="7"/>
  <c r="W1257" i="7" s="1"/>
  <c r="O263" i="16"/>
  <c r="E758" i="7" s="1"/>
  <c r="W758" i="7" s="1"/>
  <c r="M265" i="16"/>
  <c r="M269" i="16" s="1"/>
  <c r="O269" i="16" s="1"/>
  <c r="E759" i="7" s="1"/>
  <c r="W759" i="7" s="1"/>
  <c r="P365" i="16"/>
  <c r="E757" i="7"/>
  <c r="W757" i="7" s="1"/>
  <c r="J648" i="7"/>
  <c r="H648" i="7"/>
  <c r="M648" i="7"/>
  <c r="M250" i="15"/>
  <c r="M252" i="15" s="1"/>
  <c r="E649" i="7"/>
  <c r="W649" i="7" s="1"/>
  <c r="J1259" i="7"/>
  <c r="H1259" i="7"/>
  <c r="M1259" i="7"/>
  <c r="M1175" i="7"/>
  <c r="H1175" i="7"/>
  <c r="J1175" i="7"/>
  <c r="M1174" i="7"/>
  <c r="H1174" i="7"/>
  <c r="J1174" i="7"/>
  <c r="M390" i="7"/>
  <c r="H390" i="7"/>
  <c r="J390" i="7"/>
  <c r="M652" i="7"/>
  <c r="J652" i="7"/>
  <c r="H652" i="7"/>
  <c r="J290" i="7"/>
  <c r="H290" i="7"/>
  <c r="M290" i="7"/>
  <c r="N244" i="30"/>
  <c r="N246" i="30" s="1"/>
  <c r="P246" i="30" s="1"/>
  <c r="N220" i="30"/>
  <c r="P219" i="30"/>
  <c r="E899" i="7"/>
  <c r="W899" i="7" s="1"/>
  <c r="O192" i="24"/>
  <c r="J461" i="7"/>
  <c r="M461" i="7"/>
  <c r="H461" i="7"/>
  <c r="J456" i="7"/>
  <c r="M456" i="7"/>
  <c r="H456" i="7"/>
  <c r="J253" i="7"/>
  <c r="M253" i="7"/>
  <c r="H253" i="7"/>
  <c r="J222" i="7"/>
  <c r="H222" i="7"/>
  <c r="M222" i="7"/>
  <c r="J152" i="7"/>
  <c r="H152" i="7"/>
  <c r="M152" i="7"/>
  <c r="I1152" i="7"/>
  <c r="J1152" i="7" s="1"/>
  <c r="K1152" i="7" s="1"/>
  <c r="I1271" i="7"/>
  <c r="J1271" i="7" s="1"/>
  <c r="K1271" i="7" s="1"/>
  <c r="I918" i="7"/>
  <c r="J918" i="7" s="1"/>
  <c r="K918" i="7" s="1"/>
  <c r="I800" i="7"/>
  <c r="J800" i="7" s="1"/>
  <c r="K800" i="7" s="1"/>
  <c r="I528" i="7"/>
  <c r="J528" i="7" s="1"/>
  <c r="K528" i="7" s="1"/>
  <c r="I167" i="7"/>
  <c r="J167" i="7" s="1"/>
  <c r="K167" i="7" s="1"/>
  <c r="I669" i="7"/>
  <c r="J669" i="7" s="1"/>
  <c r="K669" i="7" s="1"/>
  <c r="I404" i="7"/>
  <c r="J404" i="7" s="1"/>
  <c r="K404" i="7" s="1"/>
  <c r="N101" i="28"/>
  <c r="P101" i="28" s="1"/>
  <c r="I3093" i="42"/>
  <c r="I3100" i="42" s="1"/>
  <c r="E178" i="41" s="1"/>
  <c r="G3102" i="42"/>
  <c r="D178" i="41" s="1"/>
  <c r="I926" i="7" s="1"/>
  <c r="J926" i="7" s="1"/>
  <c r="K926" i="7" s="1"/>
  <c r="I3387" i="42"/>
  <c r="G3398" i="42"/>
  <c r="D196" i="41" s="1"/>
  <c r="I706" i="42"/>
  <c r="I707" i="42" s="1"/>
  <c r="E25" i="41" s="1"/>
  <c r="N192" i="38"/>
  <c r="N180" i="30"/>
  <c r="P180" i="30" s="1"/>
  <c r="N228" i="11"/>
  <c r="N231" i="11" s="1"/>
  <c r="P231" i="11" s="1"/>
  <c r="E297" i="7" s="1"/>
  <c r="W297" i="7" s="1"/>
  <c r="Y297" i="7" s="1"/>
  <c r="N233" i="11"/>
  <c r="N235" i="11" s="1"/>
  <c r="P235" i="11" s="1"/>
  <c r="E298" i="7" s="1"/>
  <c r="W298" i="7" s="1"/>
  <c r="Y298" i="7" s="1"/>
  <c r="M110" i="24"/>
  <c r="N67" i="14"/>
  <c r="P67" i="14" s="1"/>
  <c r="E342" i="7" s="1"/>
  <c r="W342" i="7" s="1"/>
  <c r="N164" i="11"/>
  <c r="P164" i="11" s="1"/>
  <c r="N67" i="9"/>
  <c r="P67" i="9" s="1"/>
  <c r="J1039" i="7"/>
  <c r="H26" i="4" s="1"/>
  <c r="I3763" i="42"/>
  <c r="I3770" i="42" s="1"/>
  <c r="E219" i="41" s="1"/>
  <c r="G709" i="42"/>
  <c r="G710" i="42" s="1"/>
  <c r="D25" i="41" s="1"/>
  <c r="I1347" i="7" s="1"/>
  <c r="J1347" i="7" s="1"/>
  <c r="K1347" i="7" s="1"/>
  <c r="I3392" i="42"/>
  <c r="J71" i="7"/>
  <c r="I3988" i="42"/>
  <c r="E231" i="41" s="1"/>
  <c r="I2202" i="42"/>
  <c r="E115" i="41" s="1"/>
  <c r="I1773" i="42"/>
  <c r="E90" i="41" s="1"/>
  <c r="M106" i="7" l="1"/>
  <c r="J106" i="7"/>
  <c r="K106" i="7" s="1"/>
  <c r="E113" i="7"/>
  <c r="M113" i="7" s="1"/>
  <c r="W113" i="7"/>
  <c r="N87" i="14"/>
  <c r="P87" i="14" s="1"/>
  <c r="E358" i="7" s="1"/>
  <c r="W358" i="7" s="1"/>
  <c r="E83" i="7"/>
  <c r="H83" i="7" s="1"/>
  <c r="W85" i="7"/>
  <c r="Y85" i="7" s="1"/>
  <c r="Q85" i="7"/>
  <c r="Q81" i="7"/>
  <c r="W81" i="7"/>
  <c r="Y81" i="7" s="1"/>
  <c r="Q79" i="7"/>
  <c r="W79" i="7"/>
  <c r="Y79" i="7" s="1"/>
  <c r="Q83" i="7"/>
  <c r="K791" i="7"/>
  <c r="H85" i="7"/>
  <c r="K1307" i="7"/>
  <c r="J85" i="7"/>
  <c r="K862" i="7"/>
  <c r="K153" i="7"/>
  <c r="W1322" i="7"/>
  <c r="Y1322" i="7" s="1"/>
  <c r="K437" i="7"/>
  <c r="K391" i="7"/>
  <c r="W1284" i="7"/>
  <c r="Y1284" i="7" s="1"/>
  <c r="K249" i="7"/>
  <c r="K151" i="7"/>
  <c r="Y488" i="7"/>
  <c r="W1326" i="7"/>
  <c r="Y1326" i="7" s="1"/>
  <c r="J223" i="7"/>
  <c r="W223" i="7"/>
  <c r="H155" i="7"/>
  <c r="W155" i="7"/>
  <c r="Y155" i="7" s="1"/>
  <c r="M81" i="7"/>
  <c r="H979" i="7"/>
  <c r="H1016" i="7" s="1"/>
  <c r="W979" i="7"/>
  <c r="U1323" i="7"/>
  <c r="U1320" i="7"/>
  <c r="M79" i="7"/>
  <c r="U1311" i="7"/>
  <c r="M867" i="7"/>
  <c r="W867" i="7"/>
  <c r="K439" i="7"/>
  <c r="H505" i="7"/>
  <c r="W505" i="7"/>
  <c r="Y505" i="7" s="1"/>
  <c r="Y530" i="7" s="1"/>
  <c r="K978" i="7"/>
  <c r="K247" i="7"/>
  <c r="H79" i="7"/>
  <c r="M36" i="8"/>
  <c r="E84" i="7" s="1"/>
  <c r="J84" i="7" s="1"/>
  <c r="M37" i="8"/>
  <c r="O84" i="7" s="1"/>
  <c r="M23" i="8"/>
  <c r="E78" i="7" s="1"/>
  <c r="M24" i="8"/>
  <c r="O78" i="7" s="1"/>
  <c r="J79" i="7"/>
  <c r="Q80" i="7"/>
  <c r="O87" i="7"/>
  <c r="W87" i="7" s="1"/>
  <c r="Y87" i="7" s="1"/>
  <c r="M86" i="7"/>
  <c r="I11" i="4"/>
  <c r="K252" i="7"/>
  <c r="J979" i="7"/>
  <c r="K464" i="7"/>
  <c r="M979" i="7"/>
  <c r="M1016" i="7" s="1"/>
  <c r="H223" i="7"/>
  <c r="K652" i="7"/>
  <c r="K942" i="7"/>
  <c r="K251" i="7"/>
  <c r="K492" i="7"/>
  <c r="M223" i="7"/>
  <c r="K152" i="7"/>
  <c r="K290" i="7"/>
  <c r="K1249" i="7"/>
  <c r="J505" i="7"/>
  <c r="K1177" i="7"/>
  <c r="K1284" i="7"/>
  <c r="M505" i="7"/>
  <c r="J572" i="7"/>
  <c r="H24" i="4" s="1"/>
  <c r="H867" i="7"/>
  <c r="K867" i="7" s="1"/>
  <c r="K601" i="7"/>
  <c r="J155" i="7"/>
  <c r="K600" i="7"/>
  <c r="M155" i="7"/>
  <c r="K80" i="7"/>
  <c r="N94" i="40"/>
  <c r="P94" i="40" s="1"/>
  <c r="K456" i="7"/>
  <c r="K1322" i="7"/>
  <c r="K285" i="7"/>
  <c r="P366" i="16"/>
  <c r="E790" i="7"/>
  <c r="W790" i="7" s="1"/>
  <c r="M1061" i="7"/>
  <c r="K458" i="7"/>
  <c r="K554" i="7"/>
  <c r="K293" i="7"/>
  <c r="K1082" i="7"/>
  <c r="N253" i="11"/>
  <c r="P253" i="11" s="1"/>
  <c r="E305" i="7" s="1"/>
  <c r="K253" i="7"/>
  <c r="K1015" i="7"/>
  <c r="K286" i="7"/>
  <c r="M297" i="17"/>
  <c r="M122" i="24"/>
  <c r="O122" i="24" s="1"/>
  <c r="K1059" i="7"/>
  <c r="K1333" i="7"/>
  <c r="K997" i="7"/>
  <c r="K457" i="7"/>
  <c r="K553" i="7"/>
  <c r="K981" i="7"/>
  <c r="K1306" i="7"/>
  <c r="K524" i="7"/>
  <c r="K1146" i="7"/>
  <c r="K222" i="7"/>
  <c r="K461" i="7"/>
  <c r="K1259" i="7"/>
  <c r="K1083" i="7"/>
  <c r="K111" i="7"/>
  <c r="K154" i="7"/>
  <c r="K254" i="7"/>
  <c r="K459" i="7"/>
  <c r="K462" i="7"/>
  <c r="K504" i="7"/>
  <c r="K340" i="7"/>
  <c r="K679" i="7"/>
  <c r="M116" i="25"/>
  <c r="K1174" i="7"/>
  <c r="K1132" i="7"/>
  <c r="K1211" i="7"/>
  <c r="K1169" i="7"/>
  <c r="K1175" i="7"/>
  <c r="K1131" i="7"/>
  <c r="K972" i="7"/>
  <c r="K602" i="7"/>
  <c r="K943" i="7"/>
  <c r="M959" i="7"/>
  <c r="K390" i="7"/>
  <c r="H1088" i="7"/>
  <c r="G30" i="4" s="1"/>
  <c r="G29" i="4" s="1"/>
  <c r="E29" i="3" s="1"/>
  <c r="M572" i="7"/>
  <c r="M684" i="7"/>
  <c r="M301" i="17"/>
  <c r="N262" i="21"/>
  <c r="M116" i="24"/>
  <c r="E890" i="7" s="1"/>
  <c r="W890" i="7" s="1"/>
  <c r="N90" i="40"/>
  <c r="P90" i="40" s="1"/>
  <c r="D568" i="6"/>
  <c r="H567" i="6"/>
  <c r="J959" i="7"/>
  <c r="H488" i="7"/>
  <c r="G22" i="4" s="1"/>
  <c r="M705" i="7"/>
  <c r="J488" i="7"/>
  <c r="H646" i="7"/>
  <c r="H572" i="7"/>
  <c r="G24" i="4" s="1"/>
  <c r="M1088" i="7"/>
  <c r="N72" i="29"/>
  <c r="P72" i="29" s="1"/>
  <c r="C73" i="29"/>
  <c r="N70" i="28"/>
  <c r="P70" i="28" s="1"/>
  <c r="C71" i="28"/>
  <c r="N71" i="28" s="1"/>
  <c r="P71" i="28" s="1"/>
  <c r="N91" i="26"/>
  <c r="N92" i="26" s="1"/>
  <c r="P92" i="26" s="1"/>
  <c r="F95" i="26"/>
  <c r="N95" i="26" s="1"/>
  <c r="N96" i="26" s="1"/>
  <c r="P96" i="26" s="1"/>
  <c r="C99" i="26"/>
  <c r="N87" i="26"/>
  <c r="N88" i="26" s="1"/>
  <c r="P88" i="26" s="1"/>
  <c r="C103" i="26"/>
  <c r="C107" i="20"/>
  <c r="M66" i="20"/>
  <c r="F98" i="29"/>
  <c r="N98" i="29" s="1"/>
  <c r="N99" i="29" s="1"/>
  <c r="P99" i="29" s="1"/>
  <c r="C102" i="29"/>
  <c r="N102" i="29" s="1"/>
  <c r="N103" i="29" s="1"/>
  <c r="P103" i="29" s="1"/>
  <c r="N94" i="29"/>
  <c r="N95" i="29" s="1"/>
  <c r="P95" i="29" s="1"/>
  <c r="N90" i="29"/>
  <c r="C106" i="29"/>
  <c r="C218" i="27"/>
  <c r="M218" i="27" s="1"/>
  <c r="C221" i="27"/>
  <c r="M217" i="27"/>
  <c r="K1168" i="7"/>
  <c r="M52" i="39"/>
  <c r="D53" i="39"/>
  <c r="N38" i="37"/>
  <c r="P38" i="37" s="1"/>
  <c r="C46" i="37"/>
  <c r="N24" i="37"/>
  <c r="P24" i="37" s="1"/>
  <c r="M26" i="37"/>
  <c r="N330" i="33"/>
  <c r="N331" i="33" s="1"/>
  <c r="M339" i="33"/>
  <c r="N339" i="33" s="1"/>
  <c r="N340" i="33" s="1"/>
  <c r="N272" i="33"/>
  <c r="M273" i="33"/>
  <c r="N273" i="33" s="1"/>
  <c r="M275" i="33"/>
  <c r="N202" i="33"/>
  <c r="M203" i="33"/>
  <c r="M211" i="33"/>
  <c r="N211" i="33" s="1"/>
  <c r="N123" i="33"/>
  <c r="M124" i="33"/>
  <c r="P73" i="30"/>
  <c r="N74" i="30"/>
  <c r="N75" i="30"/>
  <c r="P75" i="30" s="1"/>
  <c r="C76" i="30"/>
  <c r="M99" i="27"/>
  <c r="M100" i="27" s="1"/>
  <c r="C103" i="27"/>
  <c r="C71" i="26"/>
  <c r="N71" i="26" s="1"/>
  <c r="P71" i="26" s="1"/>
  <c r="N70" i="26"/>
  <c r="P70" i="26" s="1"/>
  <c r="C111" i="26"/>
  <c r="N98" i="26"/>
  <c r="J1157" i="7"/>
  <c r="H1157" i="7"/>
  <c r="M1157" i="7"/>
  <c r="J1147" i="7"/>
  <c r="H1147" i="7"/>
  <c r="M1147" i="7"/>
  <c r="J295" i="7"/>
  <c r="H295" i="7"/>
  <c r="M295" i="7"/>
  <c r="H299" i="7"/>
  <c r="M299" i="7"/>
  <c r="J299" i="7"/>
  <c r="H277" i="32"/>
  <c r="D278" i="32"/>
  <c r="D279" i="32" s="1"/>
  <c r="D281" i="32" s="1"/>
  <c r="C279" i="32"/>
  <c r="C297" i="32"/>
  <c r="H150" i="32"/>
  <c r="G151" i="32"/>
  <c r="H151" i="32" s="1"/>
  <c r="H80" i="32"/>
  <c r="C81" i="32"/>
  <c r="H63" i="32"/>
  <c r="C64" i="32"/>
  <c r="H29" i="32"/>
  <c r="D30" i="32"/>
  <c r="M193" i="17"/>
  <c r="O193" i="17" s="1"/>
  <c r="E196" i="17"/>
  <c r="M180" i="25"/>
  <c r="C186" i="25"/>
  <c r="M179" i="25"/>
  <c r="C185" i="25"/>
  <c r="M178" i="25"/>
  <c r="C184" i="25"/>
  <c r="M177" i="25"/>
  <c r="C183" i="25"/>
  <c r="M126" i="24"/>
  <c r="C166" i="24"/>
  <c r="M166" i="24" s="1"/>
  <c r="E891" i="7"/>
  <c r="W891" i="7" s="1"/>
  <c r="M124" i="24"/>
  <c r="C165" i="24"/>
  <c r="M165" i="24" s="1"/>
  <c r="N312" i="21"/>
  <c r="E314" i="21"/>
  <c r="E265" i="21"/>
  <c r="E267" i="21"/>
  <c r="N264" i="21"/>
  <c r="D265" i="21"/>
  <c r="D267" i="21"/>
  <c r="N209" i="21"/>
  <c r="D212" i="21"/>
  <c r="N208" i="21"/>
  <c r="D211" i="21"/>
  <c r="C64" i="21"/>
  <c r="C116" i="21"/>
  <c r="F117" i="21" s="1"/>
  <c r="C160" i="21"/>
  <c r="N160" i="21" s="1"/>
  <c r="J1253" i="7"/>
  <c r="H1253" i="7"/>
  <c r="M1253" i="7"/>
  <c r="J1252" i="7"/>
  <c r="H1252" i="7"/>
  <c r="M1252" i="7"/>
  <c r="M65" i="20"/>
  <c r="C105" i="20"/>
  <c r="J1179" i="7"/>
  <c r="H1179" i="7"/>
  <c r="M1179" i="7"/>
  <c r="J1178" i="7"/>
  <c r="H1178" i="7"/>
  <c r="M1178" i="7"/>
  <c r="C318" i="17"/>
  <c r="M303" i="17"/>
  <c r="M99" i="16"/>
  <c r="H102" i="16"/>
  <c r="M102" i="16" s="1"/>
  <c r="C105" i="16"/>
  <c r="M105" i="16" s="1"/>
  <c r="K703" i="7"/>
  <c r="J704" i="7"/>
  <c r="M704" i="7"/>
  <c r="H704" i="7"/>
  <c r="M75" i="16"/>
  <c r="M72" i="16" s="1"/>
  <c r="O72" i="16" s="1"/>
  <c r="E706" i="7" s="1"/>
  <c r="W706" i="7" s="1"/>
  <c r="C96" i="16"/>
  <c r="H684" i="7"/>
  <c r="K678" i="7"/>
  <c r="J646" i="7"/>
  <c r="J344" i="7"/>
  <c r="H344" i="7"/>
  <c r="M344" i="7"/>
  <c r="N69" i="14"/>
  <c r="P69" i="14" s="1"/>
  <c r="E345" i="7" s="1"/>
  <c r="W345" i="7" s="1"/>
  <c r="C70" i="14"/>
  <c r="N70" i="14" s="1"/>
  <c r="P70" i="14" s="1"/>
  <c r="E346" i="7" s="1"/>
  <c r="W346" i="7" s="1"/>
  <c r="N97" i="14"/>
  <c r="C187" i="14"/>
  <c r="N90" i="14"/>
  <c r="N91" i="14" s="1"/>
  <c r="P91" i="14" s="1"/>
  <c r="E359" i="7" s="1"/>
  <c r="W359" i="7" s="1"/>
  <c r="F94" i="14"/>
  <c r="N94" i="14" s="1"/>
  <c r="N95" i="14" s="1"/>
  <c r="P95" i="14" s="1"/>
  <c r="E360" i="7" s="1"/>
  <c r="W360" i="7" s="1"/>
  <c r="C98" i="14"/>
  <c r="J506" i="7"/>
  <c r="H506" i="7"/>
  <c r="M506" i="7"/>
  <c r="F173" i="11"/>
  <c r="N173" i="11" s="1"/>
  <c r="P173" i="11" s="1"/>
  <c r="N172" i="11"/>
  <c r="P172" i="11" s="1"/>
  <c r="C174" i="11"/>
  <c r="N174" i="11" s="1"/>
  <c r="P174" i="11" s="1"/>
  <c r="N96" i="11"/>
  <c r="F95" i="11"/>
  <c r="N95" i="11" s="1"/>
  <c r="J257" i="7"/>
  <c r="H257" i="7"/>
  <c r="M257" i="7"/>
  <c r="N150" i="10"/>
  <c r="M151" i="10"/>
  <c r="M23" i="10"/>
  <c r="N23" i="10" s="1"/>
  <c r="P23" i="10" s="1"/>
  <c r="M25" i="10"/>
  <c r="N69" i="9"/>
  <c r="P69" i="9" s="1"/>
  <c r="C75" i="9"/>
  <c r="N75" i="9" s="1"/>
  <c r="P75" i="9" s="1"/>
  <c r="N74" i="9"/>
  <c r="P74" i="9" s="1"/>
  <c r="P73" i="9"/>
  <c r="N95" i="9"/>
  <c r="N96" i="9" s="1"/>
  <c r="P96" i="9" s="1"/>
  <c r="F99" i="9"/>
  <c r="N99" i="9" s="1"/>
  <c r="N100" i="9" s="1"/>
  <c r="P100" i="9" s="1"/>
  <c r="C103" i="9"/>
  <c r="N103" i="9" s="1"/>
  <c r="N104" i="9" s="1"/>
  <c r="P104" i="9" s="1"/>
  <c r="N180" i="9"/>
  <c r="C181" i="9"/>
  <c r="N181" i="9" s="1"/>
  <c r="N184" i="9" s="1"/>
  <c r="J81" i="7"/>
  <c r="H81" i="7"/>
  <c r="J86" i="7"/>
  <c r="H86" i="7"/>
  <c r="M42" i="8"/>
  <c r="M87" i="7" s="1"/>
  <c r="K43" i="8"/>
  <c r="M43" i="8" s="1"/>
  <c r="C579" i="6"/>
  <c r="C597" i="6"/>
  <c r="H488" i="6"/>
  <c r="G489" i="6"/>
  <c r="H489" i="6" s="1"/>
  <c r="H333" i="6"/>
  <c r="C334" i="6"/>
  <c r="H232" i="6"/>
  <c r="C233" i="6"/>
  <c r="H30" i="6"/>
  <c r="D31" i="6"/>
  <c r="H452" i="6"/>
  <c r="F455" i="6"/>
  <c r="H284" i="5"/>
  <c r="D285" i="5"/>
  <c r="D286" i="5" s="1"/>
  <c r="D288" i="5" s="1"/>
  <c r="H285" i="5"/>
  <c r="C286" i="5"/>
  <c r="H286" i="5" s="1"/>
  <c r="C304" i="5"/>
  <c r="H157" i="5"/>
  <c r="G158" i="5"/>
  <c r="H158" i="5" s="1"/>
  <c r="H81" i="5"/>
  <c r="C82" i="5"/>
  <c r="H64" i="5"/>
  <c r="C65" i="5"/>
  <c r="H30" i="5"/>
  <c r="D31" i="5"/>
  <c r="M304" i="17"/>
  <c r="C319" i="17"/>
  <c r="J1088" i="7"/>
  <c r="P194" i="40"/>
  <c r="N371" i="40"/>
  <c r="N374" i="40" s="1"/>
  <c r="P374" i="40" s="1"/>
  <c r="M370" i="25"/>
  <c r="N38" i="21"/>
  <c r="N39" i="21" s="1"/>
  <c r="P39" i="21" s="1"/>
  <c r="E1285" i="7" s="1"/>
  <c r="C40" i="21"/>
  <c r="N40" i="21" s="1"/>
  <c r="P40" i="21" s="1"/>
  <c r="E1286" i="7" s="1"/>
  <c r="N43" i="21"/>
  <c r="C44" i="21"/>
  <c r="N44" i="21" s="1"/>
  <c r="C47" i="21"/>
  <c r="N47" i="21" s="1"/>
  <c r="P47" i="21" s="1"/>
  <c r="E1290" i="7" s="1"/>
  <c r="J1212" i="7"/>
  <c r="H1212" i="7"/>
  <c r="M1212" i="7"/>
  <c r="M127" i="20"/>
  <c r="E1213" i="7" s="1"/>
  <c r="W1213" i="7" s="1"/>
  <c r="L128" i="20"/>
  <c r="M128" i="20" s="1"/>
  <c r="E1214" i="7" s="1"/>
  <c r="W1214" i="7" s="1"/>
  <c r="K381" i="7"/>
  <c r="I231" i="42"/>
  <c r="G386" i="42"/>
  <c r="I233" i="42"/>
  <c r="I247" i="42"/>
  <c r="I244" i="42"/>
  <c r="I260" i="42"/>
  <c r="I272" i="42"/>
  <c r="I284" i="42"/>
  <c r="I296" i="42"/>
  <c r="I308" i="42"/>
  <c r="I321" i="42"/>
  <c r="I333" i="42"/>
  <c r="I345" i="42"/>
  <c r="I358" i="42"/>
  <c r="I370" i="42"/>
  <c r="P521" i="21"/>
  <c r="E1334" i="7" s="1"/>
  <c r="W1334" i="7" s="1"/>
  <c r="Y1334" i="7" s="1"/>
  <c r="N522" i="21"/>
  <c r="P522" i="21" s="1"/>
  <c r="E1335" i="7" s="1"/>
  <c r="W1335" i="7" s="1"/>
  <c r="Y1335" i="7" s="1"/>
  <c r="J1336" i="7"/>
  <c r="H1336" i="7"/>
  <c r="M1336" i="7"/>
  <c r="N525" i="21"/>
  <c r="P525" i="21" s="1"/>
  <c r="C526" i="21"/>
  <c r="J1311" i="7"/>
  <c r="H1311" i="7"/>
  <c r="M1311" i="7"/>
  <c r="J1320" i="7"/>
  <c r="H1320" i="7"/>
  <c r="M1320" i="7"/>
  <c r="P471" i="21"/>
  <c r="E1312" i="7" s="1"/>
  <c r="N472" i="21"/>
  <c r="P472" i="21" s="1"/>
  <c r="N473" i="21"/>
  <c r="C475" i="21"/>
  <c r="N475" i="21" s="1"/>
  <c r="P475" i="21" s="1"/>
  <c r="E1315" i="7" s="1"/>
  <c r="C477" i="21"/>
  <c r="N477" i="21" s="1"/>
  <c r="P477" i="21" s="1"/>
  <c r="E1317" i="7" s="1"/>
  <c r="J1326" i="7"/>
  <c r="H1326" i="7"/>
  <c r="M1326" i="7"/>
  <c r="J1327" i="7"/>
  <c r="H1327" i="7"/>
  <c r="M1327" i="7"/>
  <c r="J1323" i="7"/>
  <c r="H1323" i="7"/>
  <c r="M1323" i="7"/>
  <c r="N484" i="21"/>
  <c r="P484" i="21" s="1"/>
  <c r="E1324" i="7" s="1"/>
  <c r="G485" i="21"/>
  <c r="N485" i="21" s="1"/>
  <c r="P485" i="21" s="1"/>
  <c r="E1325" i="7" s="1"/>
  <c r="J1143" i="7"/>
  <c r="H1143" i="7"/>
  <c r="K1108" i="7"/>
  <c r="J1061" i="7"/>
  <c r="H1061" i="7"/>
  <c r="G27" i="4" s="1"/>
  <c r="K1058" i="7"/>
  <c r="J551" i="6"/>
  <c r="H553" i="6"/>
  <c r="P155" i="38"/>
  <c r="N195" i="38"/>
  <c r="P195" i="38" s="1"/>
  <c r="K1256" i="7"/>
  <c r="M251" i="20"/>
  <c r="E1270" i="7" s="1"/>
  <c r="W1270" i="7" s="1"/>
  <c r="E1258" i="7"/>
  <c r="W1258" i="7" s="1"/>
  <c r="J1257" i="7"/>
  <c r="H1257" i="7"/>
  <c r="M1257" i="7"/>
  <c r="J758" i="7"/>
  <c r="H758" i="7"/>
  <c r="M758" i="7"/>
  <c r="J759" i="7"/>
  <c r="H759" i="7"/>
  <c r="M759" i="7"/>
  <c r="J757" i="7"/>
  <c r="H757" i="7"/>
  <c r="M757" i="7"/>
  <c r="K648" i="7"/>
  <c r="M276" i="15"/>
  <c r="E664" i="7" s="1"/>
  <c r="W664" i="7" s="1"/>
  <c r="E650" i="7"/>
  <c r="W650" i="7" s="1"/>
  <c r="J649" i="7"/>
  <c r="H649" i="7"/>
  <c r="M649" i="7"/>
  <c r="P220" i="30"/>
  <c r="N221" i="30"/>
  <c r="P221" i="30" s="1"/>
  <c r="M899" i="7"/>
  <c r="H899" i="7"/>
  <c r="J899" i="7"/>
  <c r="N194" i="38"/>
  <c r="P194" i="38" s="1"/>
  <c r="P192" i="38"/>
  <c r="M297" i="7"/>
  <c r="H297" i="7"/>
  <c r="J297" i="7"/>
  <c r="M298" i="7"/>
  <c r="H298" i="7"/>
  <c r="J298" i="7"/>
  <c r="E889" i="7"/>
  <c r="W889" i="7" s="1"/>
  <c r="O110" i="24"/>
  <c r="E343" i="7"/>
  <c r="W343" i="7" s="1"/>
  <c r="M342" i="7"/>
  <c r="H342" i="7"/>
  <c r="J342" i="7"/>
  <c r="M358" i="7"/>
  <c r="H113" i="7"/>
  <c r="E114" i="7"/>
  <c r="J113" i="7"/>
  <c r="J1348" i="7"/>
  <c r="H11" i="4"/>
  <c r="F17" i="3" s="1"/>
  <c r="N71" i="29"/>
  <c r="P71" i="29" s="1"/>
  <c r="N109" i="28"/>
  <c r="P109" i="28" s="1"/>
  <c r="N113" i="28"/>
  <c r="P113" i="28" s="1"/>
  <c r="N105" i="28"/>
  <c r="P105" i="28" s="1"/>
  <c r="M264" i="39"/>
  <c r="M311" i="39" s="1"/>
  <c r="M127" i="39"/>
  <c r="M128" i="39" s="1"/>
  <c r="M131" i="39"/>
  <c r="M130" i="39"/>
  <c r="M132" i="39" s="1"/>
  <c r="M158" i="39"/>
  <c r="M164" i="39"/>
  <c r="M170" i="39"/>
  <c r="M176" i="39"/>
  <c r="N224" i="11"/>
  <c r="P224" i="11" s="1"/>
  <c r="E294" i="7" s="1"/>
  <c r="W294" i="7" s="1"/>
  <c r="Y294" i="7" s="1"/>
  <c r="H959" i="7"/>
  <c r="M646" i="7"/>
  <c r="M488" i="7"/>
  <c r="N170" i="11"/>
  <c r="P170" i="11" s="1"/>
  <c r="J255" i="7"/>
  <c r="H255" i="7"/>
  <c r="M255" i="7"/>
  <c r="N68" i="9"/>
  <c r="P68" i="9" s="1"/>
  <c r="J705" i="7"/>
  <c r="H705" i="7"/>
  <c r="M1143" i="7"/>
  <c r="J684" i="7"/>
  <c r="I3396" i="42"/>
  <c r="E196" i="41" s="1"/>
  <c r="N92" i="9"/>
  <c r="P92" i="9" s="1"/>
  <c r="J83" i="7" l="1"/>
  <c r="K83" i="7" s="1"/>
  <c r="W83" i="7"/>
  <c r="Y83" i="7" s="1"/>
  <c r="J358" i="7"/>
  <c r="H358" i="7"/>
  <c r="M83" i="7"/>
  <c r="E117" i="7"/>
  <c r="W117" i="7"/>
  <c r="Y117" i="7" s="1"/>
  <c r="E115" i="7"/>
  <c r="J115" i="7" s="1"/>
  <c r="W115" i="7"/>
  <c r="Y115" i="7" s="1"/>
  <c r="E132" i="7"/>
  <c r="J132" i="7" s="1"/>
  <c r="W132" i="7"/>
  <c r="Y132" i="7" s="1"/>
  <c r="E131" i="7"/>
  <c r="H131" i="7" s="1"/>
  <c r="W131" i="7"/>
  <c r="Y131" i="7" s="1"/>
  <c r="E116" i="7"/>
  <c r="M116" i="7" s="1"/>
  <c r="W116" i="7"/>
  <c r="Y116" i="7" s="1"/>
  <c r="E130" i="7"/>
  <c r="M130" i="7" s="1"/>
  <c r="W130" i="7"/>
  <c r="Y130" i="7" s="1"/>
  <c r="Y113" i="7"/>
  <c r="W114" i="7"/>
  <c r="Y114" i="7" s="1"/>
  <c r="E129" i="7"/>
  <c r="J129" i="7" s="1"/>
  <c r="W129" i="7"/>
  <c r="Y129" i="7" s="1"/>
  <c r="N265" i="21"/>
  <c r="Q78" i="7"/>
  <c r="W78" i="7"/>
  <c r="Y78" i="7" s="1"/>
  <c r="Q84" i="7"/>
  <c r="W84" i="7"/>
  <c r="Y84" i="7" s="1"/>
  <c r="W1323" i="7"/>
  <c r="Y1323" i="7" s="1"/>
  <c r="K85" i="7"/>
  <c r="S1327" i="7"/>
  <c r="U1327" i="7" s="1"/>
  <c r="H84" i="7"/>
  <c r="K84" i="7" s="1"/>
  <c r="W1311" i="7"/>
  <c r="Y1311" i="7" s="1"/>
  <c r="Y1337" i="7"/>
  <c r="U1326" i="7"/>
  <c r="K223" i="7"/>
  <c r="K979" i="7"/>
  <c r="K505" i="7"/>
  <c r="U1312" i="7"/>
  <c r="U1324" i="7"/>
  <c r="J305" i="7"/>
  <c r="W305" i="7"/>
  <c r="Y305" i="7" s="1"/>
  <c r="U1290" i="7"/>
  <c r="Q87" i="7"/>
  <c r="M84" i="7"/>
  <c r="U1317" i="7"/>
  <c r="U1315" i="7"/>
  <c r="U1325" i="7"/>
  <c r="U1286" i="7"/>
  <c r="U1285" i="7"/>
  <c r="K155" i="7"/>
  <c r="M78" i="7"/>
  <c r="W1320" i="7"/>
  <c r="Y1320" i="7" s="1"/>
  <c r="K79" i="7"/>
  <c r="H78" i="7"/>
  <c r="J78" i="7"/>
  <c r="Q86" i="7"/>
  <c r="G17" i="3"/>
  <c r="H17" i="3"/>
  <c r="J1016" i="7"/>
  <c r="I22" i="4"/>
  <c r="L22" i="4" s="1"/>
  <c r="I27" i="4"/>
  <c r="L27" i="4" s="1"/>
  <c r="I30" i="4"/>
  <c r="I24" i="4"/>
  <c r="L24" i="4" s="1"/>
  <c r="K1326" i="7"/>
  <c r="M530" i="7"/>
  <c r="K1257" i="7"/>
  <c r="K1336" i="7"/>
  <c r="M305" i="7"/>
  <c r="K1179" i="7"/>
  <c r="K1320" i="7"/>
  <c r="K344" i="7"/>
  <c r="K295" i="7"/>
  <c r="K1323" i="7"/>
  <c r="K1253" i="7"/>
  <c r="H305" i="7"/>
  <c r="K81" i="7"/>
  <c r="K86" i="7"/>
  <c r="M175" i="24"/>
  <c r="K297" i="7"/>
  <c r="O116" i="24"/>
  <c r="J790" i="7"/>
  <c r="J845" i="7" s="1"/>
  <c r="H790" i="7"/>
  <c r="M790" i="7"/>
  <c r="K358" i="7"/>
  <c r="K299" i="7"/>
  <c r="K705" i="7"/>
  <c r="K113" i="7"/>
  <c r="K298" i="7"/>
  <c r="K1178" i="7"/>
  <c r="K1252" i="7"/>
  <c r="N97" i="11"/>
  <c r="P97" i="11" s="1"/>
  <c r="E256" i="7" s="1"/>
  <c r="K704" i="7"/>
  <c r="K1157" i="7"/>
  <c r="K255" i="7"/>
  <c r="K758" i="7"/>
  <c r="K1327" i="7"/>
  <c r="K1212" i="7"/>
  <c r="M1158" i="7"/>
  <c r="K899" i="7"/>
  <c r="K649" i="7"/>
  <c r="K759" i="7"/>
  <c r="K342" i="7"/>
  <c r="H279" i="32"/>
  <c r="H278" i="32"/>
  <c r="G25" i="4"/>
  <c r="E27" i="3" s="1"/>
  <c r="D572" i="6"/>
  <c r="H568" i="6"/>
  <c r="H569" i="6" s="1"/>
  <c r="J569" i="6" s="1"/>
  <c r="M127" i="24"/>
  <c r="E892" i="7" s="1"/>
  <c r="M181" i="25"/>
  <c r="M220" i="27"/>
  <c r="J530" i="7"/>
  <c r="H22" i="4"/>
  <c r="C74" i="29"/>
  <c r="N74" i="29" s="1"/>
  <c r="P74" i="29" s="1"/>
  <c r="N73" i="29"/>
  <c r="P73" i="29" s="1"/>
  <c r="C112" i="26"/>
  <c r="N99" i="26"/>
  <c r="N103" i="26"/>
  <c r="C106" i="26"/>
  <c r="N106" i="26" s="1"/>
  <c r="P106" i="26" s="1"/>
  <c r="C108" i="26"/>
  <c r="N108" i="26" s="1"/>
  <c r="P108" i="26" s="1"/>
  <c r="F107" i="26"/>
  <c r="N107" i="26" s="1"/>
  <c r="P107" i="26" s="1"/>
  <c r="C104" i="26"/>
  <c r="N104" i="26" s="1"/>
  <c r="C108" i="20"/>
  <c r="M108" i="20" s="1"/>
  <c r="M107" i="20"/>
  <c r="C112" i="20"/>
  <c r="N106" i="29"/>
  <c r="C107" i="29"/>
  <c r="N107" i="29" s="1"/>
  <c r="C109" i="29"/>
  <c r="N109" i="29" s="1"/>
  <c r="P109" i="29" s="1"/>
  <c r="F110" i="29"/>
  <c r="N110" i="29" s="1"/>
  <c r="P110" i="29" s="1"/>
  <c r="C111" i="29"/>
  <c r="N111" i="29" s="1"/>
  <c r="P111" i="29" s="1"/>
  <c r="M221" i="27"/>
  <c r="C222" i="27"/>
  <c r="M222" i="27" s="1"/>
  <c r="M53" i="39"/>
  <c r="D54" i="39"/>
  <c r="M54" i="39" s="1"/>
  <c r="N46" i="37"/>
  <c r="C47" i="37"/>
  <c r="N26" i="37"/>
  <c r="P26" i="37" s="1"/>
  <c r="M40" i="37"/>
  <c r="N342" i="33"/>
  <c r="P342" i="33" s="1"/>
  <c r="N344" i="33"/>
  <c r="P344" i="33" s="1"/>
  <c r="P331" i="33"/>
  <c r="N275" i="33"/>
  <c r="P275" i="33" s="1"/>
  <c r="M276" i="33"/>
  <c r="N203" i="33"/>
  <c r="N204" i="33" s="1"/>
  <c r="M212" i="33"/>
  <c r="N212" i="33" s="1"/>
  <c r="N213" i="33" s="1"/>
  <c r="P213" i="33" s="1"/>
  <c r="N124" i="33"/>
  <c r="M125" i="33"/>
  <c r="P74" i="30"/>
  <c r="N76" i="30"/>
  <c r="P76" i="30" s="1"/>
  <c r="C77" i="30"/>
  <c r="C112" i="27"/>
  <c r="M112" i="27" s="1"/>
  <c r="M113" i="27" s="1"/>
  <c r="C114" i="27" s="1"/>
  <c r="M114" i="27" s="1"/>
  <c r="M103" i="27"/>
  <c r="M104" i="27" s="1"/>
  <c r="C106" i="27"/>
  <c r="N111" i="26"/>
  <c r="C167" i="26"/>
  <c r="N167" i="26" s="1"/>
  <c r="C115" i="26"/>
  <c r="J1158" i="7"/>
  <c r="H1158" i="7"/>
  <c r="K1147" i="7"/>
  <c r="H281" i="32"/>
  <c r="D282" i="32"/>
  <c r="H81" i="32"/>
  <c r="C82" i="32"/>
  <c r="H64" i="32"/>
  <c r="C65" i="32"/>
  <c r="H30" i="32"/>
  <c r="D31" i="32"/>
  <c r="E199" i="17"/>
  <c r="M199" i="17" s="1"/>
  <c r="O199" i="17" s="1"/>
  <c r="M196" i="17"/>
  <c r="O196" i="17" s="1"/>
  <c r="M186" i="25"/>
  <c r="C192" i="25"/>
  <c r="M185" i="25"/>
  <c r="C191" i="25"/>
  <c r="M184" i="25"/>
  <c r="C190" i="25"/>
  <c r="M183" i="25"/>
  <c r="C189" i="25"/>
  <c r="J890" i="7"/>
  <c r="H890" i="7"/>
  <c r="M890" i="7"/>
  <c r="J891" i="7"/>
  <c r="H891" i="7"/>
  <c r="M891" i="7"/>
  <c r="O175" i="24"/>
  <c r="M176" i="24"/>
  <c r="E895" i="7"/>
  <c r="W895" i="7" s="1"/>
  <c r="N314" i="21"/>
  <c r="E315" i="21"/>
  <c r="E268" i="21"/>
  <c r="E270" i="21"/>
  <c r="D268" i="21"/>
  <c r="D270" i="21"/>
  <c r="N212" i="21"/>
  <c r="D215" i="21"/>
  <c r="D218" i="21" s="1"/>
  <c r="N211" i="21"/>
  <c r="D214" i="21"/>
  <c r="D217" i="21" s="1"/>
  <c r="C65" i="21"/>
  <c r="C119" i="21"/>
  <c r="F120" i="21" s="1"/>
  <c r="C161" i="21"/>
  <c r="N161" i="21" s="1"/>
  <c r="C106" i="20"/>
  <c r="M106" i="20" s="1"/>
  <c r="M105" i="20"/>
  <c r="C111" i="20"/>
  <c r="M318" i="17"/>
  <c r="C322" i="17"/>
  <c r="M706" i="7"/>
  <c r="H706" i="7"/>
  <c r="J706" i="7"/>
  <c r="M96" i="16"/>
  <c r="C97" i="16"/>
  <c r="M97" i="16" s="1"/>
  <c r="C100" i="16"/>
  <c r="J345" i="7"/>
  <c r="H345" i="7"/>
  <c r="M345" i="7"/>
  <c r="H346" i="7"/>
  <c r="M346" i="7"/>
  <c r="J346" i="7"/>
  <c r="N187" i="14"/>
  <c r="C188" i="14"/>
  <c r="N188" i="14" s="1"/>
  <c r="M359" i="7"/>
  <c r="H359" i="7"/>
  <c r="J359" i="7"/>
  <c r="M360" i="7"/>
  <c r="H360" i="7"/>
  <c r="J360" i="7"/>
  <c r="N98" i="14"/>
  <c r="N99" i="14" s="1"/>
  <c r="P99" i="14" s="1"/>
  <c r="E361" i="7" s="1"/>
  <c r="W361" i="7" s="1"/>
  <c r="C189" i="14"/>
  <c r="H530" i="7"/>
  <c r="G23" i="4" s="1"/>
  <c r="G21" i="4" s="1"/>
  <c r="E25" i="3" s="1"/>
  <c r="K506" i="7"/>
  <c r="K257" i="7"/>
  <c r="N151" i="10"/>
  <c r="N152" i="10" s="1"/>
  <c r="M155" i="10"/>
  <c r="N155" i="10" s="1"/>
  <c r="N25" i="10"/>
  <c r="P25" i="10" s="1"/>
  <c r="M26" i="10"/>
  <c r="J117" i="7"/>
  <c r="H117" i="7"/>
  <c r="M117" i="7"/>
  <c r="J87" i="7"/>
  <c r="H87" i="7"/>
  <c r="H334" i="6"/>
  <c r="C335" i="6"/>
  <c r="H233" i="6"/>
  <c r="C234" i="6"/>
  <c r="H31" i="6"/>
  <c r="D32" i="6"/>
  <c r="H453" i="6"/>
  <c r="J453" i="6" s="1"/>
  <c r="J452" i="6"/>
  <c r="F456" i="6"/>
  <c r="H288" i="5"/>
  <c r="D289" i="5"/>
  <c r="H82" i="5"/>
  <c r="C83" i="5"/>
  <c r="H65" i="5"/>
  <c r="C66" i="5"/>
  <c r="H31" i="5"/>
  <c r="D32" i="5"/>
  <c r="C323" i="17"/>
  <c r="M319" i="17"/>
  <c r="H30" i="4"/>
  <c r="H29" i="4" s="1"/>
  <c r="F29" i="3" s="1"/>
  <c r="M1285" i="7"/>
  <c r="H1285" i="7"/>
  <c r="J1285" i="7"/>
  <c r="J1286" i="7"/>
  <c r="H1286" i="7"/>
  <c r="M1286" i="7"/>
  <c r="J1290" i="7"/>
  <c r="H1290" i="7"/>
  <c r="M1290" i="7"/>
  <c r="J1213" i="7"/>
  <c r="M1213" i="7"/>
  <c r="H1213" i="7"/>
  <c r="J1214" i="7"/>
  <c r="H1214" i="7"/>
  <c r="M1214" i="7"/>
  <c r="G387" i="42"/>
  <c r="G388" i="42"/>
  <c r="D14" i="41" s="1"/>
  <c r="J1334" i="7"/>
  <c r="H1334" i="7"/>
  <c r="M1334" i="7"/>
  <c r="J1335" i="7"/>
  <c r="H1335" i="7"/>
  <c r="M1335" i="7"/>
  <c r="N526" i="21"/>
  <c r="P526" i="21" s="1"/>
  <c r="C528" i="21"/>
  <c r="K1311" i="7"/>
  <c r="J1312" i="7"/>
  <c r="H1312" i="7"/>
  <c r="M1312" i="7"/>
  <c r="P473" i="21"/>
  <c r="E1313" i="7" s="1"/>
  <c r="N474" i="21"/>
  <c r="P474" i="21" s="1"/>
  <c r="E1314" i="7" s="1"/>
  <c r="J1315" i="7"/>
  <c r="H1315" i="7"/>
  <c r="M1315" i="7"/>
  <c r="J1317" i="7"/>
  <c r="H1317" i="7"/>
  <c r="M1317" i="7"/>
  <c r="M1324" i="7"/>
  <c r="H1324" i="7"/>
  <c r="J1324" i="7"/>
  <c r="M1325" i="7"/>
  <c r="H1325" i="7"/>
  <c r="J1325" i="7"/>
  <c r="H27" i="4"/>
  <c r="J1270" i="7"/>
  <c r="H1270" i="7"/>
  <c r="M1270" i="7"/>
  <c r="J1258" i="7"/>
  <c r="H1258" i="7"/>
  <c r="M1258" i="7"/>
  <c r="K757" i="7"/>
  <c r="J664" i="7"/>
  <c r="H664" i="7"/>
  <c r="M664" i="7"/>
  <c r="J650" i="7"/>
  <c r="H650" i="7"/>
  <c r="M650" i="7"/>
  <c r="J889" i="7"/>
  <c r="H889" i="7"/>
  <c r="M889" i="7"/>
  <c r="J343" i="7"/>
  <c r="H343" i="7"/>
  <c r="M343" i="7"/>
  <c r="J114" i="7"/>
  <c r="H114" i="7"/>
  <c r="M114" i="7"/>
  <c r="H37" i="4"/>
  <c r="F35" i="3" s="1"/>
  <c r="M294" i="7"/>
  <c r="H294" i="7"/>
  <c r="J294" i="7"/>
  <c r="P184" i="9"/>
  <c r="N261" i="9"/>
  <c r="N262" i="9" s="1"/>
  <c r="P262" i="9" s="1"/>
  <c r="E163" i="7" s="1"/>
  <c r="W163" i="7" s="1"/>
  <c r="Y163" i="7" s="1"/>
  <c r="E146" i="7"/>
  <c r="W146" i="7" s="1"/>
  <c r="Y146" i="7" s="1"/>
  <c r="M115" i="7"/>
  <c r="H148" i="32"/>
  <c r="M67" i="20"/>
  <c r="E1180" i="7" s="1"/>
  <c r="W1180" i="7" s="1"/>
  <c r="I388" i="42"/>
  <c r="E14" i="41" s="1"/>
  <c r="M305" i="17"/>
  <c r="H486" i="6"/>
  <c r="H155" i="5"/>
  <c r="N45" i="21"/>
  <c r="N343" i="33"/>
  <c r="P343" i="33" s="1"/>
  <c r="P340" i="33"/>
  <c r="N274" i="33"/>
  <c r="P274" i="33" s="1"/>
  <c r="N91" i="29"/>
  <c r="P91" i="29" s="1"/>
  <c r="H132" i="7" l="1"/>
  <c r="M132" i="7"/>
  <c r="H115" i="7"/>
  <c r="K115" i="7" s="1"/>
  <c r="H116" i="7"/>
  <c r="H130" i="7"/>
  <c r="J116" i="7"/>
  <c r="J130" i="7"/>
  <c r="M129" i="7"/>
  <c r="Y144" i="7"/>
  <c r="H129" i="7"/>
  <c r="K129" i="7" s="1"/>
  <c r="J131" i="7"/>
  <c r="K131" i="7" s="1"/>
  <c r="M131" i="7"/>
  <c r="M144" i="7" s="1"/>
  <c r="Q89" i="7"/>
  <c r="Q1351" i="7" s="1"/>
  <c r="Y89" i="7"/>
  <c r="W1327" i="7"/>
  <c r="Y1327" i="7" s="1"/>
  <c r="W1290" i="7"/>
  <c r="W1325" i="7"/>
  <c r="Y1325" i="7" s="1"/>
  <c r="I29" i="4"/>
  <c r="L29" i="4" s="1"/>
  <c r="L30" i="4"/>
  <c r="W1312" i="7"/>
  <c r="Y1312" i="7" s="1"/>
  <c r="W1324" i="7"/>
  <c r="Y1324" i="7" s="1"/>
  <c r="W1315" i="7"/>
  <c r="Y1315" i="7" s="1"/>
  <c r="K78" i="7"/>
  <c r="W1285" i="7"/>
  <c r="Y1285" i="7" s="1"/>
  <c r="W1317" i="7"/>
  <c r="Y1317" i="7" s="1"/>
  <c r="Y309" i="7"/>
  <c r="M892" i="7"/>
  <c r="M893" i="7" s="1"/>
  <c r="W892" i="7"/>
  <c r="J256" i="7"/>
  <c r="J271" i="7" s="1"/>
  <c r="W256" i="7"/>
  <c r="Y256" i="7" s="1"/>
  <c r="K305" i="7"/>
  <c r="Y1290" i="7"/>
  <c r="Y169" i="7"/>
  <c r="U1314" i="7"/>
  <c r="U1313" i="7"/>
  <c r="W1286" i="7"/>
  <c r="Y1286" i="7" s="1"/>
  <c r="H25" i="4"/>
  <c r="F27" i="3" s="1"/>
  <c r="I25" i="4"/>
  <c r="L25" i="4" s="1"/>
  <c r="M89" i="7"/>
  <c r="I13" i="4" s="1"/>
  <c r="I23" i="4"/>
  <c r="M845" i="7"/>
  <c r="K1312" i="7"/>
  <c r="K1290" i="7"/>
  <c r="M309" i="7"/>
  <c r="I20" i="4" s="1"/>
  <c r="K790" i="7"/>
  <c r="K1317" i="7"/>
  <c r="K1325" i="7"/>
  <c r="K117" i="7"/>
  <c r="K360" i="7"/>
  <c r="H845" i="7"/>
  <c r="K1258" i="7"/>
  <c r="H892" i="7"/>
  <c r="H893" i="7" s="1"/>
  <c r="J892" i="7"/>
  <c r="J893" i="7" s="1"/>
  <c r="K1286" i="7"/>
  <c r="M256" i="7"/>
  <c r="H256" i="7"/>
  <c r="K1315" i="7"/>
  <c r="K346" i="7"/>
  <c r="K130" i="7"/>
  <c r="M187" i="25"/>
  <c r="K343" i="7"/>
  <c r="K1324" i="7"/>
  <c r="K345" i="7"/>
  <c r="K890" i="7"/>
  <c r="K114" i="7"/>
  <c r="K650" i="7"/>
  <c r="K1335" i="7"/>
  <c r="K1214" i="7"/>
  <c r="K1270" i="7"/>
  <c r="K1213" i="7"/>
  <c r="K664" i="7"/>
  <c r="K891" i="7"/>
  <c r="K706" i="7"/>
  <c r="K359" i="7"/>
  <c r="M1279" i="7"/>
  <c r="H572" i="6"/>
  <c r="D573" i="6"/>
  <c r="M671" i="7"/>
  <c r="J1279" i="7"/>
  <c r="H1279" i="7"/>
  <c r="H23" i="4"/>
  <c r="H21" i="4" s="1"/>
  <c r="F25" i="3" s="1"/>
  <c r="J671" i="7"/>
  <c r="H671" i="7"/>
  <c r="N112" i="26"/>
  <c r="N113" i="26" s="1"/>
  <c r="P113" i="26" s="1"/>
  <c r="C168" i="26"/>
  <c r="C116" i="26"/>
  <c r="N100" i="26"/>
  <c r="P100" i="26" s="1"/>
  <c r="C120" i="20"/>
  <c r="M120" i="20" s="1"/>
  <c r="M112" i="20"/>
  <c r="K116" i="20"/>
  <c r="M116" i="20" s="1"/>
  <c r="N47" i="37"/>
  <c r="N48" i="37" s="1"/>
  <c r="P48" i="37" s="1"/>
  <c r="C49" i="37"/>
  <c r="N40" i="37"/>
  <c r="P40" i="37" s="1"/>
  <c r="M41" i="37"/>
  <c r="N276" i="33"/>
  <c r="P276" i="33" s="1"/>
  <c r="M279" i="33"/>
  <c r="N221" i="33"/>
  <c r="P221" i="33" s="1"/>
  <c r="P204" i="33"/>
  <c r="N125" i="33"/>
  <c r="N126" i="33" s="1"/>
  <c r="P126" i="33" s="1"/>
  <c r="M127" i="33"/>
  <c r="N77" i="30"/>
  <c r="P77" i="30" s="1"/>
  <c r="C78" i="30"/>
  <c r="N78" i="30" s="1"/>
  <c r="P78" i="30" s="1"/>
  <c r="O114" i="27"/>
  <c r="M106" i="27"/>
  <c r="M107" i="27" s="1"/>
  <c r="K109" i="27"/>
  <c r="M109" i="27" s="1"/>
  <c r="M110" i="27" s="1"/>
  <c r="C116" i="27"/>
  <c r="M116" i="27" s="1"/>
  <c r="M117" i="27" s="1"/>
  <c r="N115" i="26"/>
  <c r="C123" i="26"/>
  <c r="N123" i="26" s="1"/>
  <c r="F119" i="26"/>
  <c r="N119" i="26" s="1"/>
  <c r="H282" i="32"/>
  <c r="D283" i="32"/>
  <c r="H82" i="32"/>
  <c r="C83" i="32"/>
  <c r="H65" i="32"/>
  <c r="C66" i="32"/>
  <c r="H31" i="32"/>
  <c r="D32" i="32"/>
  <c r="M192" i="25"/>
  <c r="K198" i="25"/>
  <c r="M198" i="25" s="1"/>
  <c r="C204" i="25"/>
  <c r="M204" i="25" s="1"/>
  <c r="K197" i="25"/>
  <c r="M197" i="25" s="1"/>
  <c r="C203" i="25"/>
  <c r="M203" i="25" s="1"/>
  <c r="K196" i="25"/>
  <c r="M196" i="25" s="1"/>
  <c r="C202" i="25"/>
  <c r="M202" i="25" s="1"/>
  <c r="M189" i="25"/>
  <c r="K195" i="25"/>
  <c r="M195" i="25" s="1"/>
  <c r="C201" i="25"/>
  <c r="M201" i="25" s="1"/>
  <c r="O176" i="24"/>
  <c r="M178" i="24"/>
  <c r="M180" i="24" s="1"/>
  <c r="E896" i="7"/>
  <c r="W896" i="7" s="1"/>
  <c r="J895" i="7"/>
  <c r="H895" i="7"/>
  <c r="M895" i="7"/>
  <c r="N315" i="21"/>
  <c r="E317" i="21"/>
  <c r="E271" i="21"/>
  <c r="E273" i="21"/>
  <c r="N270" i="21"/>
  <c r="D271" i="21"/>
  <c r="N271" i="21" s="1"/>
  <c r="D273" i="21"/>
  <c r="N218" i="21"/>
  <c r="D221" i="21"/>
  <c r="N217" i="21"/>
  <c r="D220" i="21"/>
  <c r="C66" i="21"/>
  <c r="C122" i="21"/>
  <c r="F123" i="21" s="1"/>
  <c r="C162" i="21"/>
  <c r="N162" i="21" s="1"/>
  <c r="M111" i="20"/>
  <c r="C119" i="20"/>
  <c r="M119" i="20" s="1"/>
  <c r="K115" i="20"/>
  <c r="M115" i="20" s="1"/>
  <c r="M322" i="17"/>
  <c r="K326" i="17"/>
  <c r="M326" i="17" s="1"/>
  <c r="C330" i="17"/>
  <c r="M100" i="16"/>
  <c r="M98" i="16" s="1"/>
  <c r="O98" i="16" s="1"/>
  <c r="E724" i="7" s="1"/>
  <c r="W724" i="7" s="1"/>
  <c r="H103" i="16"/>
  <c r="M103" i="16" s="1"/>
  <c r="M101" i="16" s="1"/>
  <c r="O101" i="16" s="1"/>
  <c r="E725" i="7" s="1"/>
  <c r="W725" i="7" s="1"/>
  <c r="C106" i="16"/>
  <c r="M106" i="16" s="1"/>
  <c r="M104" i="16" s="1"/>
  <c r="O104" i="16" s="1"/>
  <c r="E726" i="7" s="1"/>
  <c r="W726" i="7" s="1"/>
  <c r="M361" i="7"/>
  <c r="H361" i="7"/>
  <c r="J361" i="7"/>
  <c r="N189" i="14"/>
  <c r="C190" i="14"/>
  <c r="N190" i="14" s="1"/>
  <c r="P152" i="10"/>
  <c r="E224" i="7" s="1"/>
  <c r="W224" i="7" s="1"/>
  <c r="N154" i="10"/>
  <c r="N156" i="10" s="1"/>
  <c r="P156" i="10" s="1"/>
  <c r="E225" i="7" s="1"/>
  <c r="W225" i="7" s="1"/>
  <c r="N26" i="10"/>
  <c r="P26" i="10" s="1"/>
  <c r="M27" i="10"/>
  <c r="N27" i="10" s="1"/>
  <c r="P27" i="10" s="1"/>
  <c r="M28" i="10"/>
  <c r="N28" i="10" s="1"/>
  <c r="P28" i="10" s="1"/>
  <c r="K132" i="7"/>
  <c r="J89" i="7"/>
  <c r="H89" i="7"/>
  <c r="G13" i="4" s="1"/>
  <c r="G12" i="4" s="1"/>
  <c r="E19" i="3" s="1"/>
  <c r="K87" i="7"/>
  <c r="H335" i="6"/>
  <c r="C336" i="6"/>
  <c r="H234" i="6"/>
  <c r="C235" i="6"/>
  <c r="H32" i="6"/>
  <c r="D33" i="6"/>
  <c r="H456" i="6"/>
  <c r="H455" i="6" s="1"/>
  <c r="J455" i="6" s="1"/>
  <c r="F457" i="6"/>
  <c r="H289" i="5"/>
  <c r="D290" i="5"/>
  <c r="H83" i="5"/>
  <c r="C84" i="5"/>
  <c r="H66" i="5"/>
  <c r="C67" i="5"/>
  <c r="H32" i="5"/>
  <c r="D33" i="5"/>
  <c r="K327" i="17"/>
  <c r="M327" i="17" s="1"/>
  <c r="C331" i="17"/>
  <c r="M323" i="17"/>
  <c r="K1285" i="7"/>
  <c r="J1337" i="7"/>
  <c r="H35" i="4" s="1"/>
  <c r="H1337" i="7"/>
  <c r="G35" i="4" s="1"/>
  <c r="K1334" i="7"/>
  <c r="N528" i="21"/>
  <c r="C529" i="21"/>
  <c r="N529" i="21" s="1"/>
  <c r="C532" i="21"/>
  <c r="N532" i="21" s="1"/>
  <c r="P532" i="21" s="1"/>
  <c r="J1313" i="7"/>
  <c r="H1313" i="7"/>
  <c r="M1313" i="7"/>
  <c r="J1314" i="7"/>
  <c r="H1314" i="7"/>
  <c r="M1314" i="7"/>
  <c r="K889" i="7"/>
  <c r="H309" i="7"/>
  <c r="G20" i="4" s="1"/>
  <c r="K294" i="7"/>
  <c r="J309" i="7"/>
  <c r="H20" i="4" s="1"/>
  <c r="J163" i="7"/>
  <c r="M163" i="7"/>
  <c r="H163" i="7"/>
  <c r="M146" i="7"/>
  <c r="J146" i="7"/>
  <c r="H146" i="7"/>
  <c r="J148" i="32"/>
  <c r="H152" i="32"/>
  <c r="J152" i="32" s="1"/>
  <c r="M1180" i="7"/>
  <c r="H1180" i="7"/>
  <c r="J1180" i="7"/>
  <c r="J486" i="6"/>
  <c r="H490" i="6"/>
  <c r="J490" i="6" s="1"/>
  <c r="J155" i="5"/>
  <c r="H159" i="5"/>
  <c r="J159" i="5" s="1"/>
  <c r="N46" i="21"/>
  <c r="P46" i="21" s="1"/>
  <c r="E1289" i="7" s="1"/>
  <c r="P45" i="21"/>
  <c r="E1288" i="7" s="1"/>
  <c r="N108" i="29"/>
  <c r="P108" i="29" s="1"/>
  <c r="M55" i="39"/>
  <c r="M93" i="16"/>
  <c r="O93" i="16" s="1"/>
  <c r="E723" i="7" s="1"/>
  <c r="W723" i="7" s="1"/>
  <c r="M109" i="20"/>
  <c r="E1206" i="7" s="1"/>
  <c r="W1206" i="7" s="1"/>
  <c r="M320" i="17"/>
  <c r="N195" i="14"/>
  <c r="M1337" i="7"/>
  <c r="J144" i="7" l="1"/>
  <c r="K116" i="7"/>
  <c r="H144" i="7"/>
  <c r="G15" i="4" s="1"/>
  <c r="J13" i="4"/>
  <c r="J12" i="4" s="1"/>
  <c r="J38" i="4" s="1"/>
  <c r="L13" i="4"/>
  <c r="L12" i="4" s="1"/>
  <c r="H29" i="3"/>
  <c r="G29" i="3"/>
  <c r="K256" i="7"/>
  <c r="U1328" i="7"/>
  <c r="I21" i="4"/>
  <c r="L21" i="4" s="1"/>
  <c r="L23" i="4"/>
  <c r="W1313" i="7"/>
  <c r="Y1313" i="7" s="1"/>
  <c r="M271" i="7"/>
  <c r="U1288" i="7"/>
  <c r="W1314" i="7"/>
  <c r="Y1314" i="7" s="1"/>
  <c r="Y271" i="7"/>
  <c r="U1289" i="7"/>
  <c r="G27" i="3"/>
  <c r="H27" i="3"/>
  <c r="I35" i="4"/>
  <c r="L35" i="4" s="1"/>
  <c r="L20" i="4"/>
  <c r="I12" i="4"/>
  <c r="M377" i="7"/>
  <c r="I15" i="4"/>
  <c r="L15" i="4" s="1"/>
  <c r="H271" i="7"/>
  <c r="G19" i="4" s="1"/>
  <c r="G18" i="4" s="1"/>
  <c r="E23" i="3" s="1"/>
  <c r="K1313" i="7"/>
  <c r="K892" i="7"/>
  <c r="M324" i="17"/>
  <c r="K163" i="7"/>
  <c r="K1314" i="7"/>
  <c r="M328" i="17"/>
  <c r="M205" i="25"/>
  <c r="M199" i="25"/>
  <c r="H573" i="6"/>
  <c r="D574" i="6"/>
  <c r="N101" i="26"/>
  <c r="N105" i="26" s="1"/>
  <c r="P105" i="26" s="1"/>
  <c r="M169" i="7"/>
  <c r="M1328" i="7"/>
  <c r="J377" i="7"/>
  <c r="C169" i="26"/>
  <c r="N169" i="26" s="1"/>
  <c r="N168" i="26"/>
  <c r="F120" i="26"/>
  <c r="N120" i="26" s="1"/>
  <c r="N121" i="26" s="1"/>
  <c r="P121" i="26" s="1"/>
  <c r="C124" i="26"/>
  <c r="N124" i="26" s="1"/>
  <c r="N125" i="26" s="1"/>
  <c r="P125" i="26" s="1"/>
  <c r="N116" i="26"/>
  <c r="N117" i="26" s="1"/>
  <c r="P117" i="26" s="1"/>
  <c r="N49" i="37"/>
  <c r="P49" i="37" s="1"/>
  <c r="F50" i="37"/>
  <c r="N50" i="37" s="1"/>
  <c r="P50" i="37" s="1"/>
  <c r="C51" i="37"/>
  <c r="N41" i="37"/>
  <c r="P41" i="37" s="1"/>
  <c r="M42" i="37"/>
  <c r="N279" i="33"/>
  <c r="M280" i="33"/>
  <c r="N127" i="33"/>
  <c r="P127" i="33" s="1"/>
  <c r="M128" i="33"/>
  <c r="N128" i="33" s="1"/>
  <c r="P128" i="33" s="1"/>
  <c r="H283" i="32"/>
  <c r="D284" i="32"/>
  <c r="H83" i="32"/>
  <c r="C84" i="32"/>
  <c r="H66" i="32"/>
  <c r="C67" i="32"/>
  <c r="H32" i="32"/>
  <c r="D33" i="32"/>
  <c r="O180" i="24"/>
  <c r="M233" i="24"/>
  <c r="M235" i="24" s="1"/>
  <c r="E897" i="7"/>
  <c r="W897" i="7" s="1"/>
  <c r="J896" i="7"/>
  <c r="H896" i="7"/>
  <c r="M896" i="7"/>
  <c r="K895" i="7"/>
  <c r="N317" i="21"/>
  <c r="E318" i="21"/>
  <c r="E274" i="21"/>
  <c r="E276" i="21"/>
  <c r="N273" i="21"/>
  <c r="D274" i="21"/>
  <c r="D276" i="21"/>
  <c r="N221" i="21"/>
  <c r="D224" i="21"/>
  <c r="N220" i="21"/>
  <c r="D223" i="21"/>
  <c r="N66" i="21"/>
  <c r="C67" i="21"/>
  <c r="C125" i="21"/>
  <c r="C163" i="21"/>
  <c r="N163" i="21" s="1"/>
  <c r="M330" i="17"/>
  <c r="C334" i="17"/>
  <c r="M724" i="7"/>
  <c r="H724" i="7"/>
  <c r="J724" i="7"/>
  <c r="M725" i="7"/>
  <c r="H725" i="7"/>
  <c r="J725" i="7"/>
  <c r="M726" i="7"/>
  <c r="H726" i="7"/>
  <c r="J726" i="7"/>
  <c r="H377" i="7"/>
  <c r="K361" i="7"/>
  <c r="J224" i="7"/>
  <c r="H224" i="7"/>
  <c r="M224" i="7"/>
  <c r="H225" i="7"/>
  <c r="M225" i="7"/>
  <c r="J225" i="7"/>
  <c r="H13" i="4"/>
  <c r="H12" i="4" s="1"/>
  <c r="F19" i="3" s="1"/>
  <c r="H336" i="6"/>
  <c r="C337" i="6"/>
  <c r="H235" i="6"/>
  <c r="C236" i="6"/>
  <c r="H33" i="6"/>
  <c r="D34" i="6"/>
  <c r="H457" i="6"/>
  <c r="J457" i="6" s="1"/>
  <c r="F458" i="6"/>
  <c r="H290" i="5"/>
  <c r="D291" i="5"/>
  <c r="H84" i="5"/>
  <c r="C85" i="5"/>
  <c r="H67" i="5"/>
  <c r="C68" i="5"/>
  <c r="H33" i="5"/>
  <c r="D34" i="5"/>
  <c r="M331" i="17"/>
  <c r="C335" i="17"/>
  <c r="J169" i="7"/>
  <c r="H16" i="4" s="1"/>
  <c r="K146" i="7"/>
  <c r="H169" i="7"/>
  <c r="G16" i="4" s="1"/>
  <c r="G14" i="4" s="1"/>
  <c r="E21" i="3" s="1"/>
  <c r="K1180" i="7"/>
  <c r="J1289" i="7"/>
  <c r="H1289" i="7"/>
  <c r="M1289" i="7"/>
  <c r="J1288" i="7"/>
  <c r="H1288" i="7"/>
  <c r="M1288" i="7"/>
  <c r="J723" i="7"/>
  <c r="H723" i="7"/>
  <c r="M723" i="7"/>
  <c r="M1206" i="7"/>
  <c r="H1206" i="7"/>
  <c r="J1206" i="7"/>
  <c r="P195" i="14"/>
  <c r="E382" i="7" s="1"/>
  <c r="W382" i="7" s="1"/>
  <c r="N256" i="14"/>
  <c r="N257" i="14" s="1"/>
  <c r="P257" i="14" s="1"/>
  <c r="E399" i="7" s="1"/>
  <c r="W399" i="7" s="1"/>
  <c r="H19" i="4"/>
  <c r="H18" i="4" s="1"/>
  <c r="F23" i="3" s="1"/>
  <c r="H15" i="4"/>
  <c r="M113" i="20"/>
  <c r="E1207" i="7" s="1"/>
  <c r="W1207" i="7" s="1"/>
  <c r="M121" i="20"/>
  <c r="E1209" i="7" s="1"/>
  <c r="W1209" i="7" s="1"/>
  <c r="M117" i="20"/>
  <c r="E1208" i="7" s="1"/>
  <c r="W1208" i="7" s="1"/>
  <c r="N530" i="21"/>
  <c r="H1328" i="7"/>
  <c r="G34" i="4" s="1"/>
  <c r="J1328" i="7"/>
  <c r="H34" i="4" s="1"/>
  <c r="K34" i="4" l="1"/>
  <c r="H25" i="3"/>
  <c r="G25" i="3"/>
  <c r="U1308" i="7"/>
  <c r="K33" i="4" s="1"/>
  <c r="W1289" i="7"/>
  <c r="Y1289" i="7" s="1"/>
  <c r="W1288" i="7"/>
  <c r="Y1288" i="7" s="1"/>
  <c r="Y1328" i="7"/>
  <c r="G19" i="3"/>
  <c r="H19" i="3"/>
  <c r="I19" i="4"/>
  <c r="I34" i="4"/>
  <c r="I16" i="4"/>
  <c r="K725" i="7"/>
  <c r="K1289" i="7"/>
  <c r="P101" i="26"/>
  <c r="N274" i="21"/>
  <c r="K723" i="7"/>
  <c r="K1206" i="7"/>
  <c r="K896" i="7"/>
  <c r="K724" i="7"/>
  <c r="K224" i="7"/>
  <c r="N173" i="26"/>
  <c r="N174" i="26" s="1"/>
  <c r="H574" i="6"/>
  <c r="D575" i="6"/>
  <c r="H14" i="4"/>
  <c r="F21" i="3" s="1"/>
  <c r="M231" i="7"/>
  <c r="N51" i="37"/>
  <c r="P51" i="37" s="1"/>
  <c r="C53" i="37"/>
  <c r="N42" i="37"/>
  <c r="P42" i="37" s="1"/>
  <c r="M43" i="37"/>
  <c r="N280" i="33"/>
  <c r="M281" i="33"/>
  <c r="N281" i="33" s="1"/>
  <c r="M283" i="33"/>
  <c r="H284" i="32"/>
  <c r="D285" i="32"/>
  <c r="H84" i="32"/>
  <c r="C85" i="32"/>
  <c r="H67" i="32"/>
  <c r="C68" i="32"/>
  <c r="H33" i="32"/>
  <c r="D34" i="32"/>
  <c r="O235" i="24"/>
  <c r="E914" i="7"/>
  <c r="W914" i="7" s="1"/>
  <c r="J897" i="7"/>
  <c r="H897" i="7"/>
  <c r="M897" i="7"/>
  <c r="N318" i="21"/>
  <c r="E320" i="21"/>
  <c r="E321" i="21" s="1"/>
  <c r="E323" i="21" s="1"/>
  <c r="E277" i="21"/>
  <c r="E279" i="21"/>
  <c r="N276" i="21"/>
  <c r="D277" i="21"/>
  <c r="D279" i="21"/>
  <c r="N224" i="21"/>
  <c r="D227" i="21"/>
  <c r="N223" i="21"/>
  <c r="D226" i="21"/>
  <c r="C68" i="21"/>
  <c r="C128" i="21"/>
  <c r="F129" i="21" s="1"/>
  <c r="C164" i="21"/>
  <c r="N164" i="21" s="1"/>
  <c r="N125" i="21"/>
  <c r="F126" i="21"/>
  <c r="N126" i="21" s="1"/>
  <c r="C342" i="17"/>
  <c r="M342" i="17" s="1"/>
  <c r="M334" i="17"/>
  <c r="H755" i="7"/>
  <c r="K726" i="7"/>
  <c r="J755" i="7"/>
  <c r="J231" i="7"/>
  <c r="H231" i="7"/>
  <c r="K225" i="7"/>
  <c r="H337" i="6"/>
  <c r="C338" i="6"/>
  <c r="H236" i="6"/>
  <c r="C237" i="6"/>
  <c r="H34" i="6"/>
  <c r="D35" i="6"/>
  <c r="H458" i="6"/>
  <c r="J458" i="6" s="1"/>
  <c r="F459" i="6"/>
  <c r="H291" i="5"/>
  <c r="D292" i="5"/>
  <c r="H85" i="5"/>
  <c r="C86" i="5"/>
  <c r="H68" i="5"/>
  <c r="C69" i="5"/>
  <c r="H34" i="5"/>
  <c r="D35" i="5"/>
  <c r="M335" i="17"/>
  <c r="C343" i="17"/>
  <c r="K1288" i="7"/>
  <c r="J382" i="7"/>
  <c r="M382" i="7"/>
  <c r="H382" i="7"/>
  <c r="M399" i="7"/>
  <c r="H399" i="7"/>
  <c r="J399" i="7"/>
  <c r="M1207" i="7"/>
  <c r="H1207" i="7"/>
  <c r="J1207" i="7"/>
  <c r="M1209" i="7"/>
  <c r="H1209" i="7"/>
  <c r="J1209" i="7"/>
  <c r="M1208" i="7"/>
  <c r="H1208" i="7"/>
  <c r="J1208" i="7"/>
  <c r="N531" i="21"/>
  <c r="P531" i="21" s="1"/>
  <c r="P530" i="21"/>
  <c r="M332" i="17"/>
  <c r="M755" i="7"/>
  <c r="P173" i="26" l="1"/>
  <c r="L34" i="4"/>
  <c r="K32" i="4"/>
  <c r="K38" i="4" s="1"/>
  <c r="U1351" i="7"/>
  <c r="I14" i="4"/>
  <c r="L14" i="4" s="1"/>
  <c r="L16" i="4"/>
  <c r="I18" i="4"/>
  <c r="L18" i="4" s="1"/>
  <c r="L19" i="4"/>
  <c r="K1207" i="7"/>
  <c r="K399" i="7"/>
  <c r="K1208" i="7"/>
  <c r="N277" i="21"/>
  <c r="H575" i="6"/>
  <c r="D576" i="6"/>
  <c r="M406" i="7"/>
  <c r="J1254" i="7"/>
  <c r="P174" i="26"/>
  <c r="N175" i="26"/>
  <c r="N53" i="37"/>
  <c r="C60" i="37"/>
  <c r="N43" i="37"/>
  <c r="P43" i="37" s="1"/>
  <c r="M54" i="37"/>
  <c r="N283" i="33"/>
  <c r="P283" i="33" s="1"/>
  <c r="M284" i="33"/>
  <c r="N284" i="33" s="1"/>
  <c r="P284" i="33" s="1"/>
  <c r="H285" i="32"/>
  <c r="D286" i="32"/>
  <c r="H85" i="32"/>
  <c r="C86" i="32"/>
  <c r="H86" i="32" s="1"/>
  <c r="H68" i="32"/>
  <c r="C69" i="32"/>
  <c r="H34" i="32"/>
  <c r="D35" i="32"/>
  <c r="H35" i="32" s="1"/>
  <c r="J914" i="7"/>
  <c r="J920" i="7" s="1"/>
  <c r="H914" i="7"/>
  <c r="M914" i="7"/>
  <c r="K897" i="7"/>
  <c r="N323" i="21"/>
  <c r="E324" i="21"/>
  <c r="E280" i="21"/>
  <c r="E282" i="21"/>
  <c r="N279" i="21"/>
  <c r="D280" i="21"/>
  <c r="D282" i="21"/>
  <c r="N227" i="21"/>
  <c r="D230" i="21"/>
  <c r="D233" i="21" s="1"/>
  <c r="N226" i="21"/>
  <c r="D229" i="21"/>
  <c r="D232" i="21" s="1"/>
  <c r="N68" i="21"/>
  <c r="C69" i="21"/>
  <c r="H338" i="6"/>
  <c r="C339" i="6"/>
  <c r="H237" i="6"/>
  <c r="C238" i="6"/>
  <c r="H35" i="6"/>
  <c r="D36" i="6"/>
  <c r="H459" i="6"/>
  <c r="F465" i="6"/>
  <c r="H465" i="6" s="1"/>
  <c r="H468" i="6" s="1"/>
  <c r="J468" i="6" s="1"/>
  <c r="H292" i="5"/>
  <c r="D293" i="5"/>
  <c r="H86" i="5"/>
  <c r="C87" i="5"/>
  <c r="H87" i="5" s="1"/>
  <c r="H69" i="5"/>
  <c r="C70" i="5"/>
  <c r="H35" i="5"/>
  <c r="D36" i="5"/>
  <c r="H36" i="5" s="1"/>
  <c r="H37" i="5" s="1"/>
  <c r="J37" i="5" s="1"/>
  <c r="M343" i="17"/>
  <c r="C344" i="17"/>
  <c r="J406" i="7"/>
  <c r="H406" i="7"/>
  <c r="K382" i="7"/>
  <c r="H1254" i="7"/>
  <c r="K1209" i="7"/>
  <c r="N282" i="33"/>
  <c r="P282" i="33" s="1"/>
  <c r="M336" i="17"/>
  <c r="K338" i="17" s="1"/>
  <c r="M338" i="17" s="1"/>
  <c r="M339" i="17" s="1"/>
  <c r="M341" i="17" s="1"/>
  <c r="M1254" i="7"/>
  <c r="H23" i="3" l="1"/>
  <c r="G23" i="3"/>
  <c r="H21" i="3"/>
  <c r="G21" i="3"/>
  <c r="M920" i="7"/>
  <c r="K914" i="7"/>
  <c r="H88" i="5"/>
  <c r="J88" i="5" s="1"/>
  <c r="H920" i="7"/>
  <c r="N280" i="21"/>
  <c r="H87" i="32"/>
  <c r="J87" i="32" s="1"/>
  <c r="H36" i="32"/>
  <c r="J36" i="32" s="1"/>
  <c r="H576" i="6"/>
  <c r="D577" i="6"/>
  <c r="N247" i="26"/>
  <c r="N250" i="26" s="1"/>
  <c r="P250" i="26" s="1"/>
  <c r="P175" i="26"/>
  <c r="N60" i="37"/>
  <c r="C61" i="37"/>
  <c r="C65" i="37"/>
  <c r="N65" i="37" s="1"/>
  <c r="N54" i="37"/>
  <c r="N55" i="37" s="1"/>
  <c r="M59" i="37"/>
  <c r="H286" i="32"/>
  <c r="H287" i="32" s="1"/>
  <c r="J287" i="32" s="1"/>
  <c r="D291" i="32"/>
  <c r="H69" i="32"/>
  <c r="C70" i="32"/>
  <c r="H70" i="32" s="1"/>
  <c r="N324" i="21"/>
  <c r="E326" i="21"/>
  <c r="E283" i="21"/>
  <c r="E285" i="21"/>
  <c r="D283" i="21"/>
  <c r="D285" i="21"/>
  <c r="N233" i="21"/>
  <c r="D236" i="21"/>
  <c r="N232" i="21"/>
  <c r="D235" i="21"/>
  <c r="C70" i="21"/>
  <c r="C131" i="21"/>
  <c r="F132" i="21" s="1"/>
  <c r="C165" i="21"/>
  <c r="N165" i="21" s="1"/>
  <c r="H339" i="6"/>
  <c r="C340" i="6"/>
  <c r="H238" i="6"/>
  <c r="C239" i="6"/>
  <c r="H36" i="6"/>
  <c r="D37" i="6"/>
  <c r="H460" i="6"/>
  <c r="J460" i="6" s="1"/>
  <c r="J459" i="6"/>
  <c r="H293" i="5"/>
  <c r="H294" i="5" s="1"/>
  <c r="J294" i="5" s="1"/>
  <c r="D298" i="5"/>
  <c r="H70" i="5"/>
  <c r="C71" i="5"/>
  <c r="H71" i="5" s="1"/>
  <c r="C352" i="17"/>
  <c r="M344" i="17"/>
  <c r="M345" i="17" s="1"/>
  <c r="M346" i="17" s="1"/>
  <c r="H72" i="5" l="1"/>
  <c r="J72" i="5" s="1"/>
  <c r="H71" i="32"/>
  <c r="J71" i="32" s="1"/>
  <c r="H577" i="6"/>
  <c r="D578" i="6"/>
  <c r="N61" i="37"/>
  <c r="C66" i="37"/>
  <c r="N66" i="37" s="1"/>
  <c r="F56" i="37"/>
  <c r="N56" i="37" s="1"/>
  <c r="P55" i="37"/>
  <c r="N59" i="37"/>
  <c r="M64" i="37"/>
  <c r="N64" i="37" s="1"/>
  <c r="H291" i="32"/>
  <c r="D292" i="32"/>
  <c r="N326" i="21"/>
  <c r="E327" i="21"/>
  <c r="E286" i="21"/>
  <c r="E288" i="21"/>
  <c r="N285" i="21"/>
  <c r="D286" i="21"/>
  <c r="D288" i="21"/>
  <c r="N236" i="21"/>
  <c r="D239" i="21"/>
  <c r="N239" i="21" s="1"/>
  <c r="N235" i="21"/>
  <c r="D238" i="21"/>
  <c r="N238" i="21" s="1"/>
  <c r="C71" i="21"/>
  <c r="C134" i="21"/>
  <c r="F135" i="21" s="1"/>
  <c r="C166" i="21"/>
  <c r="N166" i="21" s="1"/>
  <c r="H340" i="6"/>
  <c r="C341" i="6"/>
  <c r="H239" i="6"/>
  <c r="C240" i="6"/>
  <c r="H37" i="6"/>
  <c r="D38" i="6"/>
  <c r="H298" i="5"/>
  <c r="D299" i="5"/>
  <c r="M352" i="17"/>
  <c r="C353" i="17"/>
  <c r="N240" i="21" l="1"/>
  <c r="D579" i="6"/>
  <c r="H578" i="6"/>
  <c r="N286" i="21"/>
  <c r="P56" i="37"/>
  <c r="N58" i="37"/>
  <c r="N62" i="37" s="1"/>
  <c r="H292" i="32"/>
  <c r="D293" i="32"/>
  <c r="N327" i="21"/>
  <c r="E329" i="21"/>
  <c r="E289" i="21"/>
  <c r="E291" i="21"/>
  <c r="E292" i="21" s="1"/>
  <c r="N288" i="21"/>
  <c r="D289" i="21"/>
  <c r="D291" i="21"/>
  <c r="E1302" i="7"/>
  <c r="W1302" i="7" s="1"/>
  <c r="Y1302" i="7" s="1"/>
  <c r="P240" i="21"/>
  <c r="N71" i="21"/>
  <c r="N74" i="21" s="1"/>
  <c r="C72" i="21"/>
  <c r="C137" i="21"/>
  <c r="C167" i="21"/>
  <c r="N167" i="21" s="1"/>
  <c r="H341" i="6"/>
  <c r="C342" i="6"/>
  <c r="H240" i="6"/>
  <c r="C241" i="6"/>
  <c r="H38" i="6"/>
  <c r="D39" i="6"/>
  <c r="H299" i="5"/>
  <c r="D300" i="5"/>
  <c r="M353" i="17"/>
  <c r="C355" i="17"/>
  <c r="N67" i="37"/>
  <c r="P67" i="37" s="1"/>
  <c r="N289" i="21" l="1"/>
  <c r="D581" i="6"/>
  <c r="H579" i="6"/>
  <c r="P62" i="37"/>
  <c r="N68" i="37"/>
  <c r="P68" i="37" s="1"/>
  <c r="H293" i="32"/>
  <c r="D294" i="32"/>
  <c r="N329" i="21"/>
  <c r="E330" i="21"/>
  <c r="N291" i="21"/>
  <c r="D292" i="21"/>
  <c r="N292" i="21" s="1"/>
  <c r="M1302" i="7"/>
  <c r="H1302" i="7"/>
  <c r="J1302" i="7"/>
  <c r="P74" i="21"/>
  <c r="E1292" i="7"/>
  <c r="W1292" i="7" s="1"/>
  <c r="Y1292" i="7" s="1"/>
  <c r="C73" i="21"/>
  <c r="C140" i="21"/>
  <c r="F141" i="21" s="1"/>
  <c r="C168" i="21"/>
  <c r="N168" i="21" s="1"/>
  <c r="N137" i="21"/>
  <c r="F138" i="21"/>
  <c r="N138" i="21" s="1"/>
  <c r="N145" i="21" s="1"/>
  <c r="H342" i="6"/>
  <c r="C343" i="6"/>
  <c r="H241" i="6"/>
  <c r="C242" i="6"/>
  <c r="H39" i="6"/>
  <c r="D40" i="6"/>
  <c r="H300" i="5"/>
  <c r="D301" i="5"/>
  <c r="C356" i="17"/>
  <c r="M355" i="17"/>
  <c r="K1302" i="7" l="1"/>
  <c r="N293" i="21"/>
  <c r="H581" i="6"/>
  <c r="D582" i="6"/>
  <c r="H294" i="32"/>
  <c r="D295" i="32"/>
  <c r="N330" i="21"/>
  <c r="E332" i="21"/>
  <c r="E1303" i="7"/>
  <c r="W1303" i="7" s="1"/>
  <c r="Y1303" i="7" s="1"/>
  <c r="P293" i="21"/>
  <c r="J1292" i="7"/>
  <c r="H1292" i="7"/>
  <c r="M1292" i="7"/>
  <c r="C143" i="21"/>
  <c r="F144" i="21" s="1"/>
  <c r="C169" i="21"/>
  <c r="N169" i="21" s="1"/>
  <c r="N170" i="21" s="1"/>
  <c r="P145" i="21"/>
  <c r="E1293" i="7"/>
  <c r="W1293" i="7" s="1"/>
  <c r="Y1293" i="7" s="1"/>
  <c r="H343" i="6"/>
  <c r="C344" i="6"/>
  <c r="H242" i="6"/>
  <c r="C243" i="6"/>
  <c r="H40" i="6"/>
  <c r="D41" i="6"/>
  <c r="H301" i="5"/>
  <c r="D302" i="5"/>
  <c r="M356" i="17"/>
  <c r="C362" i="17"/>
  <c r="C357" i="17"/>
  <c r="K1292" i="7" l="1"/>
  <c r="H582" i="6"/>
  <c r="D583" i="6"/>
  <c r="H295" i="32"/>
  <c r="D296" i="32"/>
  <c r="N332" i="21"/>
  <c r="E333" i="21"/>
  <c r="M1303" i="7"/>
  <c r="H1303" i="7"/>
  <c r="J1303" i="7"/>
  <c r="E1294" i="7"/>
  <c r="W1294" i="7" s="1"/>
  <c r="Y1294" i="7" s="1"/>
  <c r="P170" i="21"/>
  <c r="J1293" i="7"/>
  <c r="H1293" i="7"/>
  <c r="M1293" i="7"/>
  <c r="H344" i="6"/>
  <c r="C345" i="6"/>
  <c r="H243" i="6"/>
  <c r="C244" i="6"/>
  <c r="D42" i="6"/>
  <c r="H41" i="6"/>
  <c r="H302" i="5"/>
  <c r="D303" i="5"/>
  <c r="C368" i="17"/>
  <c r="M368" i="17" s="1"/>
  <c r="M362" i="17"/>
  <c r="M357" i="17"/>
  <c r="M358" i="17" s="1"/>
  <c r="M359" i="17" s="1"/>
  <c r="C363" i="17"/>
  <c r="K1303" i="7" l="1"/>
  <c r="K1293" i="7"/>
  <c r="H583" i="6"/>
  <c r="D584" i="6"/>
  <c r="H296" i="32"/>
  <c r="D297" i="32"/>
  <c r="N333" i="21"/>
  <c r="E335" i="21"/>
  <c r="E336" i="21" s="1"/>
  <c r="E338" i="21" s="1"/>
  <c r="M1294" i="7"/>
  <c r="H1294" i="7"/>
  <c r="J1294" i="7"/>
  <c r="H345" i="6"/>
  <c r="C346" i="6"/>
  <c r="H244" i="6"/>
  <c r="C245" i="6"/>
  <c r="H42" i="6"/>
  <c r="D43" i="6"/>
  <c r="H303" i="5"/>
  <c r="D304" i="5"/>
  <c r="M363" i="17"/>
  <c r="C369" i="17"/>
  <c r="M369" i="17" s="1"/>
  <c r="K1294" i="7" l="1"/>
  <c r="H584" i="6"/>
  <c r="D585" i="6"/>
  <c r="H297" i="32"/>
  <c r="D299" i="32"/>
  <c r="N338" i="21"/>
  <c r="E339" i="21"/>
  <c r="H346" i="6"/>
  <c r="C347" i="6"/>
  <c r="H245" i="6"/>
  <c r="C246" i="6"/>
  <c r="H43" i="6"/>
  <c r="D44" i="6"/>
  <c r="H304" i="5"/>
  <c r="D306" i="5"/>
  <c r="M370" i="17"/>
  <c r="H585" i="6" l="1"/>
  <c r="D586" i="6"/>
  <c r="H299" i="32"/>
  <c r="D300" i="32"/>
  <c r="N339" i="21"/>
  <c r="E341" i="21"/>
  <c r="H347" i="6"/>
  <c r="C348" i="6"/>
  <c r="H246" i="6"/>
  <c r="C247" i="6"/>
  <c r="D45" i="6"/>
  <c r="H44" i="6"/>
  <c r="H306" i="5"/>
  <c r="D307" i="5"/>
  <c r="H586" i="6" l="1"/>
  <c r="H587" i="6" s="1"/>
  <c r="J587" i="6" s="1"/>
  <c r="D591" i="6"/>
  <c r="H300" i="32"/>
  <c r="D301" i="32"/>
  <c r="N341" i="21"/>
  <c r="E342" i="21"/>
  <c r="H348" i="6"/>
  <c r="C349" i="6"/>
  <c r="H247" i="6"/>
  <c r="C248" i="6"/>
  <c r="H45" i="6"/>
  <c r="D46" i="6"/>
  <c r="H307" i="5"/>
  <c r="D308" i="5"/>
  <c r="D592" i="6" l="1"/>
  <c r="H591" i="6"/>
  <c r="H301" i="32"/>
  <c r="D302" i="32"/>
  <c r="N342" i="21"/>
  <c r="E344" i="21"/>
  <c r="H349" i="6"/>
  <c r="C350" i="6"/>
  <c r="H248" i="6"/>
  <c r="C249" i="6"/>
  <c r="D47" i="6"/>
  <c r="H46" i="6"/>
  <c r="H308" i="5"/>
  <c r="D309" i="5"/>
  <c r="H592" i="6" l="1"/>
  <c r="D593" i="6"/>
  <c r="H302" i="32"/>
  <c r="D303" i="32"/>
  <c r="H303" i="32" s="1"/>
  <c r="H304" i="32" s="1"/>
  <c r="J304" i="32" s="1"/>
  <c r="N344" i="21"/>
  <c r="E345" i="21"/>
  <c r="N345" i="21" s="1"/>
  <c r="N346" i="21" s="1"/>
  <c r="H350" i="6"/>
  <c r="C351" i="6"/>
  <c r="H249" i="6"/>
  <c r="C250" i="6"/>
  <c r="D48" i="6"/>
  <c r="H47" i="6"/>
  <c r="H309" i="5"/>
  <c r="D310" i="5"/>
  <c r="H310" i="5" s="1"/>
  <c r="H311" i="5" s="1"/>
  <c r="J311" i="5" s="1"/>
  <c r="D594" i="6" l="1"/>
  <c r="H593" i="6"/>
  <c r="E1304" i="7"/>
  <c r="W1304" i="7" s="1"/>
  <c r="Y1304" i="7" s="1"/>
  <c r="P346" i="21"/>
  <c r="H351" i="6"/>
  <c r="C352" i="6"/>
  <c r="H250" i="6"/>
  <c r="C251" i="6"/>
  <c r="H48" i="6"/>
  <c r="D49" i="6"/>
  <c r="Y1308" i="7" l="1"/>
  <c r="Y1351" i="7" s="1"/>
  <c r="H594" i="6"/>
  <c r="D595" i="6"/>
  <c r="M1304" i="7"/>
  <c r="H1304" i="7"/>
  <c r="J1304" i="7"/>
  <c r="H352" i="6"/>
  <c r="C353" i="6"/>
  <c r="H251" i="6"/>
  <c r="C252" i="6"/>
  <c r="H49" i="6"/>
  <c r="D50" i="6"/>
  <c r="M1308" i="7" l="1"/>
  <c r="M1351" i="7" s="1"/>
  <c r="H595" i="6"/>
  <c r="D596" i="6"/>
  <c r="H1308" i="7"/>
  <c r="G33" i="4" s="1"/>
  <c r="G32" i="4" s="1"/>
  <c r="E31" i="3" s="1"/>
  <c r="E37" i="3" s="1"/>
  <c r="G38" i="4" s="1"/>
  <c r="G39" i="4" s="1"/>
  <c r="G40" i="4" s="1"/>
  <c r="G41" i="4" s="1"/>
  <c r="K1304" i="7"/>
  <c r="J1308" i="7"/>
  <c r="H353" i="6"/>
  <c r="C354" i="6"/>
  <c r="H252" i="6"/>
  <c r="C253" i="6"/>
  <c r="H50" i="6"/>
  <c r="D51" i="6"/>
  <c r="I33" i="4" l="1"/>
  <c r="E38" i="3"/>
  <c r="E39" i="3" s="1"/>
  <c r="E40" i="3" s="1"/>
  <c r="H596" i="6"/>
  <c r="D597" i="6"/>
  <c r="H33" i="4"/>
  <c r="H32" i="4" s="1"/>
  <c r="F31" i="3" s="1"/>
  <c r="H354" i="6"/>
  <c r="C355" i="6"/>
  <c r="H253" i="6"/>
  <c r="C254" i="6"/>
  <c r="D52" i="6"/>
  <c r="H51" i="6"/>
  <c r="L33" i="4" l="1"/>
  <c r="L32" i="4" s="1"/>
  <c r="L38" i="4" s="1"/>
  <c r="I32" i="4"/>
  <c r="I38" i="4" s="1"/>
  <c r="D599" i="6"/>
  <c r="H597" i="6"/>
  <c r="F37" i="3"/>
  <c r="H355" i="6"/>
  <c r="C356" i="6"/>
  <c r="H254" i="6"/>
  <c r="C255" i="6"/>
  <c r="H52" i="6"/>
  <c r="D53" i="6"/>
  <c r="G31" i="3" l="1"/>
  <c r="G37" i="3" s="1"/>
  <c r="H31" i="3"/>
  <c r="H37" i="3" s="1"/>
  <c r="H38" i="3" s="1"/>
  <c r="H39" i="3" s="1"/>
  <c r="H40" i="3" s="1"/>
  <c r="H599" i="6"/>
  <c r="D600" i="6"/>
  <c r="I25" i="3"/>
  <c r="I33" i="3"/>
  <c r="F38" i="3"/>
  <c r="F39" i="3" s="1"/>
  <c r="F40" i="3" s="1"/>
  <c r="H38" i="4"/>
  <c r="I29" i="3"/>
  <c r="I27" i="3"/>
  <c r="I35" i="3"/>
  <c r="I17" i="3"/>
  <c r="I23" i="3"/>
  <c r="I21" i="3"/>
  <c r="I19" i="3"/>
  <c r="H356" i="6"/>
  <c r="C357" i="6"/>
  <c r="H255" i="6"/>
  <c r="C256" i="6"/>
  <c r="H53" i="6"/>
  <c r="D54" i="6"/>
  <c r="G38" i="3" l="1"/>
  <c r="G39" i="3" s="1"/>
  <c r="G40" i="3" s="1"/>
  <c r="M8" i="7"/>
  <c r="R727" i="7"/>
  <c r="R225" i="7"/>
  <c r="N713" i="7"/>
  <c r="L39" i="4"/>
  <c r="L40" i="4" s="1"/>
  <c r="L41" i="4" s="1"/>
  <c r="N910" i="7"/>
  <c r="N1172" i="7"/>
  <c r="N935" i="7"/>
  <c r="N1263" i="7"/>
  <c r="N1220" i="7"/>
  <c r="N756" i="7"/>
  <c r="N414" i="7"/>
  <c r="R82" i="7"/>
  <c r="N607" i="7"/>
  <c r="N984" i="7"/>
  <c r="N660" i="7"/>
  <c r="N871" i="7"/>
  <c r="N628" i="7"/>
  <c r="N849" i="7"/>
  <c r="R39" i="7"/>
  <c r="R51" i="7"/>
  <c r="N658" i="7"/>
  <c r="N609" i="7"/>
  <c r="N832" i="7"/>
  <c r="N182" i="7"/>
  <c r="R17" i="7"/>
  <c r="N1170" i="7"/>
  <c r="N1181" i="7"/>
  <c r="N883" i="7"/>
  <c r="R28" i="7"/>
  <c r="R61" i="7"/>
  <c r="R86" i="7"/>
  <c r="N669" i="7"/>
  <c r="N767" i="7"/>
  <c r="N695" i="7"/>
  <c r="N1274" i="7"/>
  <c r="N1020" i="7"/>
  <c r="N1154" i="7"/>
  <c r="N826" i="7"/>
  <c r="N1128" i="7"/>
  <c r="N210" i="7"/>
  <c r="N573" i="7"/>
  <c r="R67" i="7"/>
  <c r="N608" i="7"/>
  <c r="N938" i="7"/>
  <c r="N1244" i="7"/>
  <c r="N1004" i="7"/>
  <c r="N1114" i="7"/>
  <c r="N990" i="7"/>
  <c r="N590" i="7"/>
  <c r="N205" i="7"/>
  <c r="H600" i="6"/>
  <c r="D601" i="6"/>
  <c r="I31" i="3"/>
  <c r="H39" i="4"/>
  <c r="H357" i="6"/>
  <c r="C358" i="6"/>
  <c r="H256" i="6"/>
  <c r="C257" i="6"/>
  <c r="D55" i="6"/>
  <c r="H54" i="6"/>
  <c r="N350" i="7" l="1"/>
  <c r="N974" i="7"/>
  <c r="N611" i="7"/>
  <c r="N807" i="7"/>
  <c r="N324" i="7"/>
  <c r="R26" i="7"/>
  <c r="N945" i="7"/>
  <c r="R30" i="7"/>
  <c r="N749" i="7"/>
  <c r="N336" i="7"/>
  <c r="N319" i="7"/>
  <c r="N686" i="7"/>
  <c r="N316" i="7"/>
  <c r="N1153" i="7"/>
  <c r="N848" i="7"/>
  <c r="N932" i="7"/>
  <c r="N929" i="7"/>
  <c r="N982" i="7"/>
  <c r="N878" i="7"/>
  <c r="N737" i="7"/>
  <c r="N1240" i="7"/>
  <c r="N1152" i="7"/>
  <c r="N894" i="7"/>
  <c r="N348" i="7"/>
  <c r="N1243" i="7"/>
  <c r="N1162" i="7"/>
  <c r="N742" i="7"/>
  <c r="N1231" i="7"/>
  <c r="N801" i="7"/>
  <c r="R35" i="7"/>
  <c r="N1261" i="7"/>
  <c r="N641" i="7"/>
  <c r="N1135" i="7"/>
  <c r="N226" i="7"/>
  <c r="N734" i="7"/>
  <c r="R44" i="7"/>
  <c r="N983" i="7"/>
  <c r="N916" i="7"/>
  <c r="R66" i="7"/>
  <c r="N392" i="7"/>
  <c r="N1101" i="7"/>
  <c r="N1123" i="7"/>
  <c r="N1215" i="7"/>
  <c r="N181" i="7"/>
  <c r="N356" i="7"/>
  <c r="N913" i="7"/>
  <c r="R85" i="7"/>
  <c r="N1200" i="7"/>
  <c r="N575" i="7"/>
  <c r="R49" i="7"/>
  <c r="N776" i="7"/>
  <c r="N1127" i="7"/>
  <c r="N732" i="7"/>
  <c r="N829" i="7"/>
  <c r="N1205" i="7"/>
  <c r="N663" i="7"/>
  <c r="N634" i="7"/>
  <c r="N384" i="7"/>
  <c r="N633" i="7"/>
  <c r="N986" i="7"/>
  <c r="R43" i="7"/>
  <c r="N362" i="7"/>
  <c r="N888" i="7"/>
  <c r="N598" i="7"/>
  <c r="R18" i="7"/>
  <c r="N722" i="7"/>
  <c r="N576" i="7"/>
  <c r="N584" i="7"/>
  <c r="N373" i="7"/>
  <c r="N811" i="7"/>
  <c r="R21" i="7"/>
  <c r="N200" i="7"/>
  <c r="N906" i="7"/>
  <c r="N1237" i="7"/>
  <c r="N851" i="7"/>
  <c r="R63" i="7"/>
  <c r="R50" i="7"/>
  <c r="R48" i="7"/>
  <c r="N847" i="7"/>
  <c r="N1116" i="7"/>
  <c r="N866" i="7"/>
  <c r="N320" i="7"/>
  <c r="N707" i="7"/>
  <c r="N672" i="7"/>
  <c r="N347" i="7"/>
  <c r="N1260" i="7"/>
  <c r="N973" i="7"/>
  <c r="N398" i="7"/>
  <c r="N927" i="7"/>
  <c r="N682" i="7"/>
  <c r="N1109" i="7"/>
  <c r="N369" i="7"/>
  <c r="N857" i="7"/>
  <c r="N311" i="7"/>
  <c r="N1138" i="7"/>
  <c r="R31" i="7"/>
  <c r="N1156" i="7"/>
  <c r="N409" i="7"/>
  <c r="N1196" i="7"/>
  <c r="N721" i="7"/>
  <c r="N688" i="7"/>
  <c r="N809" i="7"/>
  <c r="N950" i="7"/>
  <c r="R80" i="7"/>
  <c r="R70" i="7"/>
  <c r="N881" i="7"/>
  <c r="N1189" i="7"/>
  <c r="N587" i="7"/>
  <c r="R56" i="7"/>
  <c r="N367" i="7"/>
  <c r="N186" i="7"/>
  <c r="N204" i="7"/>
  <c r="N869" i="7"/>
  <c r="N930" i="7"/>
  <c r="N803" i="7"/>
  <c r="N964" i="7"/>
  <c r="N985" i="7"/>
  <c r="N858" i="7"/>
  <c r="N344" i="7"/>
  <c r="N1164" i="7"/>
  <c r="N1139" i="7"/>
  <c r="N772" i="7"/>
  <c r="N410" i="7"/>
  <c r="R15" i="7"/>
  <c r="N966" i="7"/>
  <c r="N774" i="7"/>
  <c r="N841" i="7"/>
  <c r="N813" i="7"/>
  <c r="R52" i="7"/>
  <c r="R77" i="7"/>
  <c r="N1182" i="7"/>
  <c r="N412" i="7"/>
  <c r="N1001" i="7"/>
  <c r="N794" i="7"/>
  <c r="N785" i="7"/>
  <c r="N752" i="7"/>
  <c r="N185" i="7"/>
  <c r="N972" i="7"/>
  <c r="R235" i="7"/>
  <c r="N395" i="7"/>
  <c r="N773" i="7"/>
  <c r="R38" i="7"/>
  <c r="N956" i="7"/>
  <c r="N1173" i="7"/>
  <c r="N828" i="7"/>
  <c r="N583" i="7"/>
  <c r="N944" i="7"/>
  <c r="N1104" i="7"/>
  <c r="N842" i="7"/>
  <c r="N798" i="7"/>
  <c r="N908" i="7"/>
  <c r="N215" i="7"/>
  <c r="N949" i="7"/>
  <c r="N853" i="7"/>
  <c r="N334" i="7"/>
  <c r="N1185" i="7"/>
  <c r="N649" i="7"/>
  <c r="R186" i="7"/>
  <c r="N921" i="7"/>
  <c r="N1194" i="7"/>
  <c r="N912" i="7"/>
  <c r="R65" i="7"/>
  <c r="R78" i="7"/>
  <c r="N1265" i="7"/>
  <c r="N668" i="7"/>
  <c r="N1234" i="7"/>
  <c r="N931" i="7"/>
  <c r="N1210" i="7"/>
  <c r="N1255" i="7"/>
  <c r="N835" i="7"/>
  <c r="R34" i="7"/>
  <c r="N218" i="7"/>
  <c r="R46" i="7"/>
  <c r="N213" i="7"/>
  <c r="N816" i="7"/>
  <c r="N887" i="7"/>
  <c r="R273" i="7"/>
  <c r="N850" i="7"/>
  <c r="N397" i="7"/>
  <c r="N804" i="7"/>
  <c r="N1202" i="7"/>
  <c r="N648" i="7"/>
  <c r="R431" i="7"/>
  <c r="N905" i="7"/>
  <c r="R24" i="7"/>
  <c r="N1124" i="7"/>
  <c r="N882" i="7"/>
  <c r="N1192" i="7"/>
  <c r="R414" i="7"/>
  <c r="N184" i="7"/>
  <c r="N961" i="7"/>
  <c r="N1018" i="7"/>
  <c r="N863" i="7"/>
  <c r="N330" i="7"/>
  <c r="R27" i="7"/>
  <c r="R69" i="7"/>
  <c r="N718" i="7"/>
  <c r="N879" i="7"/>
  <c r="N922" i="7"/>
  <c r="R20" i="7"/>
  <c r="N727" i="7"/>
  <c r="N579" i="7"/>
  <c r="N989" i="7"/>
  <c r="N786" i="7"/>
  <c r="N953" i="7"/>
  <c r="N712" i="7"/>
  <c r="N681" i="7"/>
  <c r="N793" i="7"/>
  <c r="N230" i="7"/>
  <c r="N1120" i="7"/>
  <c r="N795" i="7"/>
  <c r="R42" i="7"/>
  <c r="N352" i="7"/>
  <c r="N1226" i="7"/>
  <c r="R62" i="7"/>
  <c r="N802" i="7"/>
  <c r="N924" i="7"/>
  <c r="N934" i="7"/>
  <c r="N1149" i="7"/>
  <c r="N310" i="7"/>
  <c r="R76" i="7"/>
  <c r="N1136" i="7"/>
  <c r="N991" i="7"/>
  <c r="N833" i="7"/>
  <c r="N1126" i="7"/>
  <c r="N875" i="7"/>
  <c r="N333" i="7"/>
  <c r="N214" i="7"/>
  <c r="N1167" i="7"/>
  <c r="R334" i="7"/>
  <c r="N743" i="7"/>
  <c r="N615" i="7"/>
  <c r="N603" i="7"/>
  <c r="N771" i="7"/>
  <c r="N872" i="7"/>
  <c r="N675" i="7"/>
  <c r="N1247" i="7"/>
  <c r="N357" i="7"/>
  <c r="N868" i="7"/>
  <c r="N696" i="7"/>
  <c r="N903" i="7"/>
  <c r="N1176" i="7"/>
  <c r="N844" i="7"/>
  <c r="N416" i="7"/>
  <c r="N623" i="7"/>
  <c r="N962" i="7"/>
  <c r="N1277" i="7"/>
  <c r="N951" i="7"/>
  <c r="R81" i="7"/>
  <c r="N958" i="7"/>
  <c r="N947" i="7"/>
  <c r="N808" i="7"/>
  <c r="N827" i="7"/>
  <c r="R60" i="7"/>
  <c r="N1102" i="7"/>
  <c r="N761" i="7"/>
  <c r="N606" i="7"/>
  <c r="N834" i="7"/>
  <c r="N1268" i="7"/>
  <c r="N928" i="7"/>
  <c r="R14" i="7"/>
  <c r="N193" i="7"/>
  <c r="N768" i="7"/>
  <c r="R41" i="7"/>
  <c r="N1276" i="7"/>
  <c r="N577" i="7"/>
  <c r="N1019" i="7"/>
  <c r="R68" i="7"/>
  <c r="N1133" i="7"/>
  <c r="N329" i="7"/>
  <c r="N617" i="7"/>
  <c r="N208" i="7"/>
  <c r="N1219" i="7"/>
  <c r="N387" i="7"/>
  <c r="N1119" i="7"/>
  <c r="N597" i="7"/>
  <c r="N690" i="7"/>
  <c r="R286" i="7"/>
  <c r="N1037" i="7"/>
  <c r="R153" i="7"/>
  <c r="N877" i="7"/>
  <c r="N812" i="7"/>
  <c r="N1271" i="7"/>
  <c r="N636" i="7"/>
  <c r="N591" i="7"/>
  <c r="N574" i="7"/>
  <c r="N957" i="7"/>
  <c r="R36" i="7"/>
  <c r="N952" i="7"/>
  <c r="R29" i="7"/>
  <c r="N341" i="7"/>
  <c r="N653" i="7"/>
  <c r="N405" i="7"/>
  <c r="N819" i="7"/>
  <c r="N1262" i="7"/>
  <c r="N783" i="7"/>
  <c r="N1217" i="7"/>
  <c r="N595" i="7"/>
  <c r="N1188" i="7"/>
  <c r="N355" i="7"/>
  <c r="N728" i="7"/>
  <c r="N817" i="7"/>
  <c r="N1250" i="7"/>
  <c r="N640" i="7"/>
  <c r="N1163" i="7"/>
  <c r="N328" i="7"/>
  <c r="N1009" i="7"/>
  <c r="N723" i="7"/>
  <c r="N700" i="7"/>
  <c r="N799" i="7"/>
  <c r="N1008" i="7"/>
  <c r="N1016" i="7"/>
  <c r="N823" i="7"/>
  <c r="N705" i="7"/>
  <c r="R401" i="7"/>
  <c r="R424" i="7"/>
  <c r="R367" i="7"/>
  <c r="R689" i="7"/>
  <c r="R412" i="7"/>
  <c r="N860" i="7"/>
  <c r="N1201" i="7"/>
  <c r="N980" i="7"/>
  <c r="N715" i="7"/>
  <c r="N666" i="7"/>
  <c r="N359" i="7"/>
  <c r="N757" i="7"/>
  <c r="N967" i="7"/>
  <c r="R92" i="7"/>
  <c r="R447" i="7"/>
  <c r="R454" i="7"/>
  <c r="R1271" i="7"/>
  <c r="R539" i="7"/>
  <c r="N643" i="7"/>
  <c r="N702" i="7"/>
  <c r="N763" i="7"/>
  <c r="N610" i="7"/>
  <c r="N655" i="7"/>
  <c r="R16" i="7"/>
  <c r="R53" i="7"/>
  <c r="N955" i="7"/>
  <c r="R83" i="7"/>
  <c r="N846" i="7"/>
  <c r="R19" i="7"/>
  <c r="N926" i="7"/>
  <c r="N659" i="7"/>
  <c r="N836" i="7"/>
  <c r="N621" i="7"/>
  <c r="N351" i="7"/>
  <c r="N1197" i="7"/>
  <c r="N375" i="7"/>
  <c r="N876" i="7"/>
  <c r="N314" i="7"/>
  <c r="N404" i="7"/>
  <c r="N594" i="7"/>
  <c r="N1275" i="7"/>
  <c r="N376" i="7"/>
  <c r="N1007" i="7"/>
  <c r="N585" i="7"/>
  <c r="N206" i="7"/>
  <c r="N781" i="7"/>
  <c r="N203" i="7"/>
  <c r="N1175" i="7"/>
  <c r="N364" i="7"/>
  <c r="N753" i="7"/>
  <c r="N1191" i="7"/>
  <c r="N360" i="7"/>
  <c r="R88" i="7"/>
  <c r="R211" i="7"/>
  <c r="R993" i="7"/>
  <c r="R756" i="7"/>
  <c r="R136" i="7"/>
  <c r="N1056" i="7"/>
  <c r="N199" i="7"/>
  <c r="N843" i="7"/>
  <c r="N831" i="7"/>
  <c r="N1118" i="7"/>
  <c r="N999" i="7"/>
  <c r="N637" i="7"/>
  <c r="R32" i="7"/>
  <c r="N918" i="7"/>
  <c r="N1160" i="7"/>
  <c r="N963" i="7"/>
  <c r="N1272" i="7"/>
  <c r="N1103" i="7"/>
  <c r="N212" i="7"/>
  <c r="N787" i="7"/>
  <c r="N915" i="7"/>
  <c r="N970" i="7"/>
  <c r="N855" i="7"/>
  <c r="N709" i="7"/>
  <c r="N323" i="7"/>
  <c r="N1105" i="7"/>
  <c r="N207" i="7"/>
  <c r="N604" i="7"/>
  <c r="N370" i="7"/>
  <c r="N1005" i="7"/>
  <c r="N1238" i="7"/>
  <c r="N744" i="7"/>
  <c r="N1166" i="7"/>
  <c r="N862" i="7"/>
  <c r="N402" i="7"/>
  <c r="N899" i="7"/>
  <c r="N1141" i="7"/>
  <c r="N864" i="7"/>
  <c r="N197" i="7"/>
  <c r="N1208" i="7"/>
  <c r="N758" i="7"/>
  <c r="R740" i="7"/>
  <c r="R821" i="7"/>
  <c r="R669" i="7"/>
  <c r="R298" i="7"/>
  <c r="R137" i="7"/>
  <c r="N665" i="7"/>
  <c r="R87" i="7"/>
  <c r="N624" i="7"/>
  <c r="N580" i="7"/>
  <c r="N1121" i="7"/>
  <c r="N407" i="7"/>
  <c r="N1137" i="7"/>
  <c r="N810" i="7"/>
  <c r="N1144" i="7"/>
  <c r="R64" i="7"/>
  <c r="N904" i="7"/>
  <c r="N1221" i="7"/>
  <c r="N880" i="7"/>
  <c r="N312" i="7"/>
  <c r="N194" i="7"/>
  <c r="N1233" i="7"/>
  <c r="N1225" i="7"/>
  <c r="N627" i="7"/>
  <c r="N1000" i="7"/>
  <c r="N733" i="7"/>
  <c r="N800" i="7"/>
  <c r="N1134" i="7"/>
  <c r="N620" i="7"/>
  <c r="N818" i="7"/>
  <c r="N227" i="7"/>
  <c r="N1224" i="7"/>
  <c r="N981" i="7"/>
  <c r="N975" i="7"/>
  <c r="N1258" i="7"/>
  <c r="N1107" i="7"/>
  <c r="N901" i="7"/>
  <c r="N968" i="7"/>
  <c r="N315" i="7"/>
  <c r="N1012" i="7"/>
  <c r="R166" i="7"/>
  <c r="R95" i="7"/>
  <c r="N94" i="7"/>
  <c r="R468" i="7"/>
  <c r="R304" i="7"/>
  <c r="N622" i="7"/>
  <c r="R84" i="7"/>
  <c r="N1125" i="7"/>
  <c r="N349" i="7"/>
  <c r="N925" i="7"/>
  <c r="N998" i="7"/>
  <c r="N685" i="7"/>
  <c r="N796" i="7"/>
  <c r="N902" i="7"/>
  <c r="R54" i="7"/>
  <c r="R40" i="7"/>
  <c r="N806" i="7"/>
  <c r="N211" i="7"/>
  <c r="N1193" i="7"/>
  <c r="N378" i="7"/>
  <c r="N642" i="7"/>
  <c r="N1115" i="7"/>
  <c r="N593" i="7"/>
  <c r="N820" i="7"/>
  <c r="N1216" i="7"/>
  <c r="N777" i="7"/>
  <c r="N578" i="7"/>
  <c r="N321" i="7"/>
  <c r="N859" i="7"/>
  <c r="N854" i="7"/>
  <c r="N371" i="7"/>
  <c r="N1256" i="7"/>
  <c r="N192" i="7"/>
  <c r="N1279" i="7"/>
  <c r="N638" i="7"/>
  <c r="N338" i="7"/>
  <c r="N748" i="7"/>
  <c r="N380" i="7"/>
  <c r="R489" i="7"/>
  <c r="R1022" i="7"/>
  <c r="R130" i="7"/>
  <c r="R245" i="7"/>
  <c r="R1269" i="7"/>
  <c r="R745" i="7"/>
  <c r="N331" i="7"/>
  <c r="N1002" i="7"/>
  <c r="N599" i="7"/>
  <c r="N704" i="7"/>
  <c r="N221" i="7"/>
  <c r="N1178" i="7"/>
  <c r="N710" i="7"/>
  <c r="N779" i="7"/>
  <c r="N1249" i="7"/>
  <c r="N730" i="7"/>
  <c r="N1270" i="7"/>
  <c r="N650" i="7"/>
  <c r="R909" i="7"/>
  <c r="R361" i="7"/>
  <c r="R508" i="7"/>
  <c r="R399" i="7"/>
  <c r="R299" i="7"/>
  <c r="R413" i="7"/>
  <c r="R372" i="7"/>
  <c r="R236" i="7"/>
  <c r="R373" i="7"/>
  <c r="R332" i="7"/>
  <c r="R322" i="7"/>
  <c r="R795" i="7"/>
  <c r="N1106" i="7"/>
  <c r="N1245" i="7"/>
  <c r="N332" i="7"/>
  <c r="N884" i="7"/>
  <c r="N667" i="7"/>
  <c r="N1177" i="7"/>
  <c r="N766" i="7"/>
  <c r="N988" i="7"/>
  <c r="N914" i="7"/>
  <c r="N994" i="7"/>
  <c r="N317" i="7"/>
  <c r="N231" i="7"/>
  <c r="N399" i="7"/>
  <c r="N652" i="7"/>
  <c r="N987" i="7"/>
  <c r="R845" i="7"/>
  <c r="R218" i="7"/>
  <c r="N59" i="7"/>
  <c r="R841" i="7"/>
  <c r="R796" i="7"/>
  <c r="R685" i="7"/>
  <c r="R1261" i="7"/>
  <c r="R720" i="7"/>
  <c r="N255" i="7"/>
  <c r="Z139" i="7"/>
  <c r="R521" i="7"/>
  <c r="R1133" i="7"/>
  <c r="R221" i="7"/>
  <c r="R467" i="7"/>
  <c r="R135" i="7"/>
  <c r="R333" i="7"/>
  <c r="N156" i="7"/>
  <c r="R374" i="7"/>
  <c r="R1282" i="7"/>
  <c r="R335" i="7"/>
  <c r="R156" i="7"/>
  <c r="R908" i="7"/>
  <c r="R293" i="7"/>
  <c r="R345" i="7"/>
  <c r="R825" i="7"/>
  <c r="R889" i="7"/>
  <c r="N664" i="7"/>
  <c r="N900" i="7"/>
  <c r="N1253" i="7"/>
  <c r="N724" i="7"/>
  <c r="N731" i="7"/>
  <c r="N976" i="7"/>
  <c r="N726" i="7"/>
  <c r="N646" i="7"/>
  <c r="N746" i="7"/>
  <c r="N720" i="7"/>
  <c r="N714" i="7"/>
  <c r="N582" i="7"/>
  <c r="N1110" i="7"/>
  <c r="N1213" i="7"/>
  <c r="N678" i="7"/>
  <c r="N187" i="7"/>
  <c r="N995" i="7"/>
  <c r="N1207" i="7"/>
  <c r="R1325" i="7"/>
  <c r="R516" i="7"/>
  <c r="R684" i="7"/>
  <c r="R297" i="7"/>
  <c r="R793" i="7"/>
  <c r="R244" i="7"/>
  <c r="R924" i="7"/>
  <c r="R208" i="7"/>
  <c r="R925" i="7"/>
  <c r="R300" i="7"/>
  <c r="R1229" i="7"/>
  <c r="R328" i="7"/>
  <c r="R149" i="7"/>
  <c r="R1084" i="7"/>
  <c r="R433" i="7"/>
  <c r="R1346" i="7"/>
  <c r="N920" i="7"/>
  <c r="N339" i="7"/>
  <c r="N747" i="7"/>
  <c r="N703" i="7"/>
  <c r="N891" i="7"/>
  <c r="N209" i="7"/>
  <c r="N1180" i="7"/>
  <c r="N996" i="7"/>
  <c r="N201" i="7"/>
  <c r="N738" i="7"/>
  <c r="N788" i="7"/>
  <c r="N588" i="7"/>
  <c r="N897" i="7"/>
  <c r="N391" i="7"/>
  <c r="N1113" i="7"/>
  <c r="N651" i="7"/>
  <c r="N365" i="7"/>
  <c r="N1179" i="7"/>
  <c r="N697" i="7"/>
  <c r="N417" i="7"/>
  <c r="N401" i="7"/>
  <c r="N366" i="7"/>
  <c r="N1142" i="7"/>
  <c r="N762" i="7"/>
  <c r="N614" i="7"/>
  <c r="N1235" i="7"/>
  <c r="N1264" i="7"/>
  <c r="N946" i="7"/>
  <c r="N1273" i="7"/>
  <c r="N353" i="7"/>
  <c r="N202" i="7"/>
  <c r="N217" i="7"/>
  <c r="R55" i="7"/>
  <c r="N797" i="7"/>
  <c r="N629" i="7"/>
  <c r="N386" i="7"/>
  <c r="N856" i="7"/>
  <c r="N1122" i="7"/>
  <c r="N735" i="7"/>
  <c r="N750" i="7"/>
  <c r="N778" i="7"/>
  <c r="N400" i="7"/>
  <c r="N1190" i="7"/>
  <c r="N403" i="7"/>
  <c r="N1150" i="7"/>
  <c r="N870" i="7"/>
  <c r="N354" i="7"/>
  <c r="R47" i="7"/>
  <c r="R58" i="7"/>
  <c r="R23" i="7"/>
  <c r="N815" i="7"/>
  <c r="R57" i="7"/>
  <c r="R59" i="7"/>
  <c r="N394" i="7"/>
  <c r="N613" i="7"/>
  <c r="N933" i="7"/>
  <c r="N326" i="7"/>
  <c r="N592" i="7"/>
  <c r="N619" i="7"/>
  <c r="N1117" i="7"/>
  <c r="N1232" i="7"/>
  <c r="N618" i="7"/>
  <c r="N1239" i="7"/>
  <c r="N939" i="7"/>
  <c r="N969" i="7"/>
  <c r="N837" i="7"/>
  <c r="N919" i="7"/>
  <c r="N1011" i="7"/>
  <c r="N873" i="7"/>
  <c r="R794" i="7"/>
  <c r="R339" i="7"/>
  <c r="R243" i="7"/>
  <c r="R921" i="7"/>
  <c r="R207" i="7"/>
  <c r="R543" i="7"/>
  <c r="R155" i="7"/>
  <c r="R1012" i="7"/>
  <c r="R280" i="7"/>
  <c r="R641" i="7"/>
  <c r="R360" i="7"/>
  <c r="R123" i="7"/>
  <c r="N104" i="7"/>
  <c r="R1120" i="7"/>
  <c r="Z1346" i="7"/>
  <c r="N1143" i="7"/>
  <c r="N936" i="7"/>
  <c r="N941" i="7"/>
  <c r="N190" i="7"/>
  <c r="N1169" i="7"/>
  <c r="N1222" i="7"/>
  <c r="N845" i="7"/>
  <c r="N716" i="7"/>
  <c r="N708" i="7"/>
  <c r="N917" i="7"/>
  <c r="N229" i="7"/>
  <c r="N195" i="7"/>
  <c r="N896" i="7"/>
  <c r="N943" i="7"/>
  <c r="N719" i="7"/>
  <c r="N977" i="7"/>
  <c r="N313" i="7"/>
  <c r="N223" i="7"/>
  <c r="N680" i="7"/>
  <c r="N228" i="7"/>
  <c r="N740" i="7"/>
  <c r="N1161" i="7"/>
  <c r="N385" i="7"/>
  <c r="N754" i="7"/>
  <c r="N1165" i="7"/>
  <c r="N698" i="7"/>
  <c r="N1013" i="7"/>
  <c r="N1269" i="7"/>
  <c r="N1186" i="7"/>
  <c r="N1140" i="7"/>
  <c r="N605" i="7"/>
  <c r="N1278" i="7"/>
  <c r="N1241" i="7"/>
  <c r="N992" i="7"/>
  <c r="N183" i="7"/>
  <c r="N1267" i="7"/>
  <c r="N687" i="7"/>
  <c r="N625" i="7"/>
  <c r="N635" i="7"/>
  <c r="N363" i="7"/>
  <c r="N1198" i="7"/>
  <c r="N1184" i="7"/>
  <c r="N874" i="7"/>
  <c r="N838" i="7"/>
  <c r="N907" i="7"/>
  <c r="N374" i="7"/>
  <c r="N411" i="7"/>
  <c r="N322" i="7"/>
  <c r="N814" i="7"/>
  <c r="R22" i="7"/>
  <c r="N413" i="7"/>
  <c r="N1187" i="7"/>
  <c r="R79" i="7"/>
  <c r="N923" i="7"/>
  <c r="N954" i="7"/>
  <c r="N415" i="7"/>
  <c r="N1230" i="7"/>
  <c r="N612" i="7"/>
  <c r="N1236" i="7"/>
  <c r="N839" i="7"/>
  <c r="N830" i="7"/>
  <c r="N683" i="7"/>
  <c r="N630" i="7"/>
  <c r="N898" i="7"/>
  <c r="N632" i="7"/>
  <c r="R1311" i="7"/>
  <c r="R411" i="7"/>
  <c r="R917" i="7"/>
  <c r="R206" i="7"/>
  <c r="R542" i="7"/>
  <c r="R154" i="7"/>
  <c r="R469" i="7"/>
  <c r="R111" i="7"/>
  <c r="R485" i="7"/>
  <c r="R193" i="7"/>
  <c r="R737" i="7"/>
  <c r="R392" i="7"/>
  <c r="R106" i="7"/>
  <c r="R472" i="7"/>
  <c r="R313" i="7"/>
  <c r="N889" i="7"/>
  <c r="N822" i="7"/>
  <c r="N1015" i="7"/>
  <c r="N676" i="7"/>
  <c r="N389" i="7"/>
  <c r="N679" i="7"/>
  <c r="N861" i="7"/>
  <c r="N346" i="7"/>
  <c r="N1003" i="7"/>
  <c r="N335" i="7"/>
  <c r="N764" i="7"/>
  <c r="N1229" i="7"/>
  <c r="N741" i="7"/>
  <c r="N361" i="7"/>
  <c r="N601" i="7"/>
  <c r="N191" i="7"/>
  <c r="N189" i="7"/>
  <c r="N196" i="7"/>
  <c r="N1174" i="7"/>
  <c r="N1145" i="7"/>
  <c r="N626" i="7"/>
  <c r="N644" i="7"/>
  <c r="N1223" i="7"/>
  <c r="N1266" i="7"/>
  <c r="N639" i="7"/>
  <c r="N616" i="7"/>
  <c r="N911" i="7"/>
  <c r="N1151" i="7"/>
  <c r="N661" i="7"/>
  <c r="N393" i="7"/>
  <c r="N408" i="7"/>
  <c r="N581" i="7"/>
  <c r="N805" i="7"/>
  <c r="N769" i="7"/>
  <c r="N673" i="7"/>
  <c r="N383" i="7"/>
  <c r="N325" i="7"/>
  <c r="N993" i="7"/>
  <c r="N937" i="7"/>
  <c r="N327" i="7"/>
  <c r="N1183" i="7"/>
  <c r="N1228" i="7"/>
  <c r="N693" i="7"/>
  <c r="N840" i="7"/>
  <c r="N1155" i="7"/>
  <c r="N948" i="7"/>
  <c r="N396" i="7"/>
  <c r="N670" i="7"/>
  <c r="N657" i="7"/>
  <c r="R33" i="7"/>
  <c r="N717" i="7"/>
  <c r="R25" i="7"/>
  <c r="N372" i="7"/>
  <c r="N647" i="7"/>
  <c r="R37" i="7"/>
  <c r="R45" i="7"/>
  <c r="N654" i="7"/>
  <c r="N770" i="7"/>
  <c r="N689" i="7"/>
  <c r="N852" i="7"/>
  <c r="N965" i="7"/>
  <c r="N825" i="7"/>
  <c r="N1195" i="7"/>
  <c r="N586" i="7"/>
  <c r="N821" i="7"/>
  <c r="N694" i="7"/>
  <c r="N1171" i="7"/>
  <c r="N368" i="7"/>
  <c r="N1159" i="7"/>
  <c r="N760" i="7"/>
  <c r="N1199" i="7"/>
  <c r="N1252" i="7"/>
  <c r="N729" i="7"/>
  <c r="N1204" i="7"/>
  <c r="N893" i="7"/>
  <c r="N1218" i="7"/>
  <c r="N1148" i="7"/>
  <c r="N1146" i="7"/>
  <c r="N824" i="7"/>
  <c r="N1248" i="7"/>
  <c r="N188" i="7"/>
  <c r="N1251" i="7"/>
  <c r="N890" i="7"/>
  <c r="N1111" i="7"/>
  <c r="N219" i="7"/>
  <c r="N318" i="7"/>
  <c r="N382" i="7"/>
  <c r="N381" i="7"/>
  <c r="Z1347" i="7"/>
  <c r="V1302" i="7"/>
  <c r="R385" i="7"/>
  <c r="R248" i="7"/>
  <c r="R132" i="7"/>
  <c r="R676" i="7"/>
  <c r="R219" i="7"/>
  <c r="R266" i="7"/>
  <c r="R195" i="7"/>
  <c r="R172" i="7"/>
  <c r="R203" i="7"/>
  <c r="N441" i="7"/>
  <c r="R142" i="7"/>
  <c r="R210" i="7"/>
  <c r="R265" i="7"/>
  <c r="R416" i="7"/>
  <c r="R352" i="7"/>
  <c r="R471" i="7"/>
  <c r="R972" i="7"/>
  <c r="R801" i="7"/>
  <c r="R579" i="7"/>
  <c r="N102" i="7"/>
  <c r="R122" i="7"/>
  <c r="R217" i="7"/>
  <c r="R272" i="7"/>
  <c r="R423" i="7"/>
  <c r="R359" i="7"/>
  <c r="R446" i="7"/>
  <c r="R989" i="7"/>
  <c r="R820" i="7"/>
  <c r="R633" i="7"/>
  <c r="N502" i="7"/>
  <c r="R177" i="7"/>
  <c r="R279" i="7"/>
  <c r="R406" i="7"/>
  <c r="R326" i="7"/>
  <c r="R1009" i="7"/>
  <c r="R773" i="7"/>
  <c r="R1216" i="7"/>
  <c r="R128" i="7"/>
  <c r="R199" i="7"/>
  <c r="R290" i="7"/>
  <c r="R365" i="7"/>
  <c r="R496" i="7"/>
  <c r="R900" i="7"/>
  <c r="R665" i="7"/>
  <c r="Z131" i="7"/>
  <c r="R175" i="7"/>
  <c r="R277" i="7"/>
  <c r="R404" i="7"/>
  <c r="R324" i="7"/>
  <c r="R1004" i="7"/>
  <c r="R769" i="7"/>
  <c r="R1205" i="7"/>
  <c r="R160" i="7"/>
  <c r="R296" i="7"/>
  <c r="R331" i="7"/>
  <c r="R1248" i="7"/>
  <c r="R956" i="7"/>
  <c r="R771" i="7"/>
  <c r="R762" i="7"/>
  <c r="R712" i="7"/>
  <c r="R703" i="7"/>
  <c r="N780" i="7"/>
  <c r="N377" i="7"/>
  <c r="N1246" i="7"/>
  <c r="N1112" i="7"/>
  <c r="N1147" i="7"/>
  <c r="N1108" i="7"/>
  <c r="N745" i="7"/>
  <c r="N1203" i="7"/>
  <c r="N997" i="7"/>
  <c r="N343" i="7"/>
  <c r="N1132" i="7"/>
  <c r="N886" i="7"/>
  <c r="N701" i="7"/>
  <c r="N1158" i="7"/>
  <c r="N867" i="7"/>
  <c r="R1348" i="7"/>
  <c r="R187" i="7"/>
  <c r="R321" i="7"/>
  <c r="R441" i="7"/>
  <c r="R227" i="7"/>
  <c r="R1323" i="7"/>
  <c r="R425" i="7"/>
  <c r="R417" i="7"/>
  <c r="R337" i="7"/>
  <c r="R124" i="7"/>
  <c r="R258" i="7"/>
  <c r="R75" i="7"/>
  <c r="R165" i="7"/>
  <c r="R202" i="7"/>
  <c r="R257" i="7"/>
  <c r="R408" i="7"/>
  <c r="R344" i="7"/>
  <c r="R463" i="7"/>
  <c r="R949" i="7"/>
  <c r="R780" i="7"/>
  <c r="R1061" i="7"/>
  <c r="N510" i="7"/>
  <c r="R141" i="7"/>
  <c r="R209" i="7"/>
  <c r="R264" i="7"/>
  <c r="R415" i="7"/>
  <c r="R351" i="7"/>
  <c r="R470" i="7"/>
  <c r="R969" i="7"/>
  <c r="R797" i="7"/>
  <c r="R577" i="7"/>
  <c r="R94" i="7"/>
  <c r="R232" i="7"/>
  <c r="R263" i="7"/>
  <c r="R398" i="7"/>
  <c r="R310" i="7"/>
  <c r="R965" i="7"/>
  <c r="R753" i="7"/>
  <c r="R1101" i="7"/>
  <c r="R139" i="7"/>
  <c r="R191" i="7"/>
  <c r="R437" i="7"/>
  <c r="R349" i="7"/>
  <c r="R481" i="7"/>
  <c r="R857" i="7"/>
  <c r="R556" i="7"/>
  <c r="R110" i="7"/>
  <c r="R230" i="7"/>
  <c r="R261" i="7"/>
  <c r="R396" i="7"/>
  <c r="R459" i="7"/>
  <c r="R961" i="7"/>
  <c r="R748" i="7"/>
  <c r="R1304" i="7"/>
  <c r="R237" i="7"/>
  <c r="R443" i="7"/>
  <c r="R466" i="7"/>
  <c r="Z435" i="7"/>
  <c r="R892" i="7"/>
  <c r="R595" i="7"/>
  <c r="R674" i="7"/>
  <c r="R1192" i="7"/>
  <c r="R585" i="7"/>
  <c r="N978" i="7"/>
  <c r="N895" i="7"/>
  <c r="N220" i="7"/>
  <c r="N1259" i="7"/>
  <c r="N755" i="7"/>
  <c r="N940" i="7"/>
  <c r="N216" i="7"/>
  <c r="N671" i="7"/>
  <c r="N340" i="7"/>
  <c r="N791" i="7"/>
  <c r="N589" i="7"/>
  <c r="N892" i="7"/>
  <c r="N691" i="7"/>
  <c r="N1209" i="7"/>
  <c r="N596" i="7"/>
  <c r="N711" i="7"/>
  <c r="N337" i="7"/>
  <c r="N1168" i="7"/>
  <c r="R1347" i="7"/>
  <c r="R294" i="7"/>
  <c r="R528" i="7"/>
  <c r="R377" i="7"/>
  <c r="R240" i="7"/>
  <c r="R107" i="7"/>
  <c r="R448" i="7"/>
  <c r="R353" i="7"/>
  <c r="R932" i="7"/>
  <c r="R274" i="7"/>
  <c r="R409" i="7"/>
  <c r="R96" i="7"/>
  <c r="R157" i="7"/>
  <c r="R194" i="7"/>
  <c r="R301" i="7"/>
  <c r="R400" i="7"/>
  <c r="R336" i="7"/>
  <c r="R488" i="7"/>
  <c r="R929" i="7"/>
  <c r="R757" i="7"/>
  <c r="R1290" i="7"/>
  <c r="Z45" i="7"/>
  <c r="R164" i="7"/>
  <c r="R201" i="7"/>
  <c r="R308" i="7"/>
  <c r="R407" i="7"/>
  <c r="R343" i="7"/>
  <c r="R461" i="7"/>
  <c r="R948" i="7"/>
  <c r="R777" i="7"/>
  <c r="R1052" i="7"/>
  <c r="R104" i="7"/>
  <c r="R224" i="7"/>
  <c r="R307" i="7"/>
  <c r="R390" i="7"/>
  <c r="R453" i="7"/>
  <c r="R945" i="7"/>
  <c r="R732" i="7"/>
  <c r="R1333" i="7"/>
  <c r="R162" i="7"/>
  <c r="R183" i="7"/>
  <c r="R429" i="7"/>
  <c r="R341" i="7"/>
  <c r="R501" i="7"/>
  <c r="R836" i="7"/>
  <c r="R1042" i="7"/>
  <c r="R102" i="7"/>
  <c r="R222" i="7"/>
  <c r="R305" i="7"/>
  <c r="R388" i="7"/>
  <c r="R451" i="7"/>
  <c r="R940" i="7"/>
  <c r="R725" i="7"/>
  <c r="N61" i="7"/>
  <c r="R229" i="7"/>
  <c r="R435" i="7"/>
  <c r="R493" i="7"/>
  <c r="R115" i="7"/>
  <c r="R700" i="7"/>
  <c r="R1045" i="7"/>
  <c r="R1044" i="7"/>
  <c r="R1128" i="7"/>
  <c r="R1149" i="7"/>
  <c r="N379" i="7"/>
  <c r="N1211" i="7"/>
  <c r="N631" i="7"/>
  <c r="N677" i="7"/>
  <c r="N1157" i="7"/>
  <c r="N345" i="7"/>
  <c r="N1006" i="7"/>
  <c r="N1131" i="7"/>
  <c r="N662" i="7"/>
  <c r="N1257" i="7"/>
  <c r="N684" i="7"/>
  <c r="N692" i="7"/>
  <c r="N792" i="7"/>
  <c r="N979" i="7"/>
  <c r="N1014" i="7"/>
  <c r="N388" i="7"/>
  <c r="N909" i="7"/>
  <c r="N222" i="7"/>
  <c r="N725" i="7"/>
  <c r="Z1341" i="7"/>
  <c r="R1239" i="7"/>
  <c r="R717" i="7"/>
  <c r="R512" i="7"/>
  <c r="R369" i="7"/>
  <c r="R761" i="7"/>
  <c r="R643" i="7"/>
  <c r="R973" i="7"/>
  <c r="R150" i="7"/>
  <c r="R996" i="7"/>
  <c r="R464" i="7"/>
  <c r="R121" i="7"/>
  <c r="R171" i="7"/>
  <c r="R255" i="7"/>
  <c r="R285" i="7"/>
  <c r="R384" i="7"/>
  <c r="R320" i="7"/>
  <c r="R527" i="7"/>
  <c r="R885" i="7"/>
  <c r="R716" i="7"/>
  <c r="R1175" i="7"/>
  <c r="R105" i="7"/>
  <c r="R178" i="7"/>
  <c r="R185" i="7"/>
  <c r="R292" i="7"/>
  <c r="R391" i="7"/>
  <c r="R327" i="7"/>
  <c r="R505" i="7"/>
  <c r="R905" i="7"/>
  <c r="R733" i="7"/>
  <c r="R1224" i="7"/>
  <c r="R129" i="7"/>
  <c r="R200" i="7"/>
  <c r="R291" i="7"/>
  <c r="R366" i="7"/>
  <c r="R460" i="7"/>
  <c r="R901" i="7"/>
  <c r="R668" i="7"/>
  <c r="N542" i="7"/>
  <c r="R176" i="7"/>
  <c r="R278" i="7"/>
  <c r="R405" i="7"/>
  <c r="R325" i="7"/>
  <c r="R1005" i="7"/>
  <c r="R772" i="7"/>
  <c r="R1207" i="7"/>
  <c r="R127" i="7"/>
  <c r="R198" i="7"/>
  <c r="R289" i="7"/>
  <c r="R364" i="7"/>
  <c r="R494" i="7"/>
  <c r="R897" i="7"/>
  <c r="R661" i="7"/>
  <c r="Z157" i="7"/>
  <c r="R205" i="7"/>
  <c r="R379" i="7"/>
  <c r="R535" i="7"/>
  <c r="R204" i="7"/>
  <c r="R487" i="7"/>
  <c r="N428" i="7"/>
  <c r="Z284" i="7"/>
  <c r="R959" i="7"/>
  <c r="R862" i="7"/>
  <c r="N656" i="7"/>
  <c r="N602" i="7"/>
  <c r="N645" i="7"/>
  <c r="N198" i="7"/>
  <c r="N342" i="7"/>
  <c r="N706" i="7"/>
  <c r="N699" i="7"/>
  <c r="N600" i="7"/>
  <c r="N885" i="7"/>
  <c r="N1206" i="7"/>
  <c r="N790" i="7"/>
  <c r="N1242" i="7"/>
  <c r="N751" i="7"/>
  <c r="N1214" i="7"/>
  <c r="N358" i="7"/>
  <c r="N1212" i="7"/>
  <c r="N865" i="7"/>
  <c r="N1254" i="7"/>
  <c r="N759" i="7"/>
  <c r="R158" i="7"/>
  <c r="R99" i="7"/>
  <c r="R1183" i="7"/>
  <c r="R868" i="7"/>
  <c r="R456" i="7"/>
  <c r="R101" i="7"/>
  <c r="R97" i="7"/>
  <c r="R804" i="7"/>
  <c r="R393" i="7"/>
  <c r="N29" i="7"/>
  <c r="R953" i="7"/>
  <c r="R113" i="7"/>
  <c r="R234" i="7"/>
  <c r="R247" i="7"/>
  <c r="R440" i="7"/>
  <c r="R376" i="7"/>
  <c r="R312" i="7"/>
  <c r="R550" i="7"/>
  <c r="R865" i="7"/>
  <c r="R693" i="7"/>
  <c r="R1119" i="7"/>
  <c r="R120" i="7"/>
  <c r="R169" i="7"/>
  <c r="R254" i="7"/>
  <c r="R284" i="7"/>
  <c r="R383" i="7"/>
  <c r="R319" i="7"/>
  <c r="R524" i="7"/>
  <c r="R884" i="7"/>
  <c r="R713" i="7"/>
  <c r="R1111" i="7"/>
  <c r="R140" i="7"/>
  <c r="R192" i="7"/>
  <c r="R438" i="7"/>
  <c r="R350" i="7"/>
  <c r="R484" i="7"/>
  <c r="R860" i="7"/>
  <c r="R569" i="7"/>
  <c r="R93" i="7"/>
  <c r="R231" i="7"/>
  <c r="R262" i="7"/>
  <c r="R397" i="7"/>
  <c r="R309" i="7"/>
  <c r="R964" i="7"/>
  <c r="R749" i="7"/>
  <c r="R1312" i="7"/>
  <c r="R138" i="7"/>
  <c r="R190" i="7"/>
  <c r="R436" i="7"/>
  <c r="R348" i="7"/>
  <c r="R480" i="7"/>
  <c r="R853" i="7"/>
  <c r="R555" i="7"/>
  <c r="R116" i="7"/>
  <c r="R189" i="7"/>
  <c r="R363" i="7"/>
  <c r="R937" i="7"/>
  <c r="R287" i="7"/>
  <c r="R541" i="7"/>
  <c r="R532" i="7"/>
  <c r="R904" i="7"/>
  <c r="R895" i="7"/>
  <c r="N63" i="7"/>
  <c r="N784" i="7"/>
  <c r="N942" i="7"/>
  <c r="N1010" i="7"/>
  <c r="N739" i="7"/>
  <c r="N224" i="7"/>
  <c r="N1130" i="7"/>
  <c r="N971" i="7"/>
  <c r="N765" i="7"/>
  <c r="N406" i="7"/>
  <c r="N736" i="7"/>
  <c r="N390" i="7"/>
  <c r="N1227" i="7"/>
  <c r="N959" i="7"/>
  <c r="R302" i="7"/>
  <c r="R256" i="7"/>
  <c r="R114" i="7"/>
  <c r="R697" i="7"/>
  <c r="R1017" i="7"/>
  <c r="R329" i="7"/>
  <c r="R143" i="7"/>
  <c r="R588" i="7"/>
  <c r="R509" i="7"/>
  <c r="R109" i="7"/>
  <c r="R781" i="7"/>
  <c r="R131" i="7"/>
  <c r="R226" i="7"/>
  <c r="R239" i="7"/>
  <c r="R432" i="7"/>
  <c r="R368" i="7"/>
  <c r="R455" i="7"/>
  <c r="R1013" i="7"/>
  <c r="R844" i="7"/>
  <c r="R673" i="7"/>
  <c r="R1342" i="7"/>
  <c r="R112" i="7"/>
  <c r="R233" i="7"/>
  <c r="R246" i="7"/>
  <c r="R439" i="7"/>
  <c r="R375" i="7"/>
  <c r="R311" i="7"/>
  <c r="R547" i="7"/>
  <c r="R861" i="7"/>
  <c r="R692" i="7"/>
  <c r="R1341" i="7"/>
  <c r="R163" i="7"/>
  <c r="R184" i="7"/>
  <c r="R430" i="7"/>
  <c r="R342" i="7"/>
  <c r="R504" i="7"/>
  <c r="R837" i="7"/>
  <c r="R1050" i="7"/>
  <c r="R103" i="7"/>
  <c r="R223" i="7"/>
  <c r="R306" i="7"/>
  <c r="R389" i="7"/>
  <c r="R452" i="7"/>
  <c r="R941" i="7"/>
  <c r="R729" i="7"/>
  <c r="N37" i="7"/>
  <c r="R161" i="7"/>
  <c r="R182" i="7"/>
  <c r="R428" i="7"/>
  <c r="R340" i="7"/>
  <c r="R500" i="7"/>
  <c r="R833" i="7"/>
  <c r="R1071" i="7"/>
  <c r="R134" i="7"/>
  <c r="R250" i="7"/>
  <c r="R347" i="7"/>
  <c r="R916" i="7"/>
  <c r="R386" i="7"/>
  <c r="R963" i="7"/>
  <c r="R858" i="7"/>
  <c r="R872" i="7"/>
  <c r="R791" i="7"/>
  <c r="R618" i="7"/>
  <c r="R950" i="7"/>
  <c r="R694" i="7"/>
  <c r="R670" i="7"/>
  <c r="R465" i="7"/>
  <c r="R955" i="7"/>
  <c r="R954" i="7"/>
  <c r="R968" i="7"/>
  <c r="R483" i="7"/>
  <c r="N478" i="7"/>
  <c r="R1077" i="7"/>
  <c r="R1182" i="7"/>
  <c r="R886" i="7"/>
  <c r="V1306" i="7"/>
  <c r="R1284" i="7"/>
  <c r="R1165" i="7"/>
  <c r="R119" i="7"/>
  <c r="R168" i="7"/>
  <c r="R253" i="7"/>
  <c r="R283" i="7"/>
  <c r="R382" i="7"/>
  <c r="R318" i="7"/>
  <c r="R523" i="7"/>
  <c r="R881" i="7"/>
  <c r="R709" i="7"/>
  <c r="R1160" i="7"/>
  <c r="R118" i="7"/>
  <c r="R179" i="7"/>
  <c r="R252" i="7"/>
  <c r="R282" i="7"/>
  <c r="R381" i="7"/>
  <c r="R317" i="7"/>
  <c r="R520" i="7"/>
  <c r="R877" i="7"/>
  <c r="R708" i="7"/>
  <c r="R1152" i="7"/>
  <c r="R117" i="7"/>
  <c r="R238" i="7"/>
  <c r="R251" i="7"/>
  <c r="R281" i="7"/>
  <c r="R380" i="7"/>
  <c r="R316" i="7"/>
  <c r="R519" i="7"/>
  <c r="R876" i="7"/>
  <c r="R705" i="7"/>
  <c r="R1143" i="7"/>
  <c r="R126" i="7"/>
  <c r="R197" i="7"/>
  <c r="R427" i="7"/>
  <c r="R450" i="7"/>
  <c r="R852" i="7"/>
  <c r="R249" i="7"/>
  <c r="R785" i="7"/>
  <c r="R859" i="7"/>
  <c r="N521" i="7"/>
  <c r="R1019" i="7"/>
  <c r="R784" i="7"/>
  <c r="R522" i="7"/>
  <c r="R1232" i="7"/>
  <c r="R790" i="7"/>
  <c r="R1340" i="7"/>
  <c r="R1075" i="7"/>
  <c r="N46" i="7"/>
  <c r="R148" i="7"/>
  <c r="R216" i="7"/>
  <c r="R271" i="7"/>
  <c r="R422" i="7"/>
  <c r="R358" i="7"/>
  <c r="R445" i="7"/>
  <c r="R988" i="7"/>
  <c r="R817" i="7"/>
  <c r="R620" i="7"/>
  <c r="N45" i="7"/>
  <c r="R147" i="7"/>
  <c r="R215" i="7"/>
  <c r="R270" i="7"/>
  <c r="R421" i="7"/>
  <c r="R357" i="7"/>
  <c r="R444" i="7"/>
  <c r="R985" i="7"/>
  <c r="R813" i="7"/>
  <c r="R619" i="7"/>
  <c r="N150" i="7"/>
  <c r="R146" i="7"/>
  <c r="R214" i="7"/>
  <c r="R269" i="7"/>
  <c r="R420" i="7"/>
  <c r="R356" i="7"/>
  <c r="R475" i="7"/>
  <c r="R981" i="7"/>
  <c r="R812" i="7"/>
  <c r="R611" i="7"/>
  <c r="N263" i="7"/>
  <c r="R152" i="7"/>
  <c r="R242" i="7"/>
  <c r="R371" i="7"/>
  <c r="R477" i="7"/>
  <c r="R1295" i="7"/>
  <c r="R378" i="7"/>
  <c r="N434" i="7"/>
  <c r="R699" i="7"/>
  <c r="R930" i="7"/>
  <c r="N515" i="7"/>
  <c r="R1035" i="7"/>
  <c r="R887" i="7"/>
  <c r="R529" i="7"/>
  <c r="R1231" i="7"/>
  <c r="R1124" i="7"/>
  <c r="N300" i="7"/>
  <c r="R1139" i="7"/>
  <c r="R873" i="7"/>
  <c r="N18" i="7"/>
  <c r="R180" i="7"/>
  <c r="R346" i="7"/>
  <c r="R869" i="7"/>
  <c r="R495" i="7"/>
  <c r="R923" i="7"/>
  <c r="R763" i="7"/>
  <c r="R1264" i="7"/>
  <c r="R486" i="7"/>
  <c r="R922" i="7"/>
  <c r="R738" i="7"/>
  <c r="R1240" i="7"/>
  <c r="R546" i="7"/>
  <c r="R848" i="7"/>
  <c r="R680" i="7"/>
  <c r="R1109" i="7"/>
  <c r="R537" i="7"/>
  <c r="R855" i="7"/>
  <c r="R695" i="7"/>
  <c r="R1301" i="7"/>
  <c r="R1014" i="7"/>
  <c r="R854" i="7"/>
  <c r="R662" i="7"/>
  <c r="N105" i="7"/>
  <c r="R1069" i="7"/>
  <c r="N80" i="7"/>
  <c r="R1252" i="7"/>
  <c r="Z482" i="7"/>
  <c r="R1122" i="7"/>
  <c r="R899" i="7"/>
  <c r="R731" i="7"/>
  <c r="R1245" i="7"/>
  <c r="R498" i="7"/>
  <c r="R890" i="7"/>
  <c r="R730" i="7"/>
  <c r="R1176" i="7"/>
  <c r="R1000" i="7"/>
  <c r="R840" i="7"/>
  <c r="R651" i="7"/>
  <c r="N54" i="7"/>
  <c r="R1015" i="7"/>
  <c r="R831" i="7"/>
  <c r="R663" i="7"/>
  <c r="R1317" i="7"/>
  <c r="R990" i="7"/>
  <c r="R822" i="7"/>
  <c r="R580" i="7"/>
  <c r="N553" i="7"/>
  <c r="R1238" i="7"/>
  <c r="N261" i="7"/>
  <c r="R1204" i="7"/>
  <c r="R1033" i="7"/>
  <c r="N66" i="7"/>
  <c r="R829" i="7"/>
  <c r="R100" i="7"/>
  <c r="R259" i="7"/>
  <c r="R314" i="7"/>
  <c r="R721" i="7"/>
  <c r="R526" i="7"/>
  <c r="R891" i="7"/>
  <c r="R707" i="7"/>
  <c r="R1159" i="7"/>
  <c r="R525" i="7"/>
  <c r="R866" i="7"/>
  <c r="R698" i="7"/>
  <c r="R1157" i="7"/>
  <c r="R976" i="7"/>
  <c r="R808" i="7"/>
  <c r="R628" i="7"/>
  <c r="N117" i="7"/>
  <c r="R983" i="7"/>
  <c r="R823" i="7"/>
  <c r="R604" i="7"/>
  <c r="N110" i="7"/>
  <c r="R982" i="7"/>
  <c r="R798" i="7"/>
  <c r="R1053" i="7"/>
  <c r="R650" i="7"/>
  <c r="R1230" i="7"/>
  <c r="N426" i="7"/>
  <c r="R1188" i="7"/>
  <c r="R1066" i="7"/>
  <c r="N247" i="7"/>
  <c r="R613" i="7"/>
  <c r="R276" i="7"/>
  <c r="R403" i="7"/>
  <c r="R315" i="7"/>
  <c r="R1001" i="7"/>
  <c r="R681" i="7"/>
  <c r="R167" i="7"/>
  <c r="R442" i="7"/>
  <c r="R531" i="7"/>
  <c r="R1027" i="7"/>
  <c r="R533" i="7"/>
  <c r="R835" i="7"/>
  <c r="R667" i="7"/>
  <c r="R1326" i="7"/>
  <c r="R994" i="7"/>
  <c r="R826" i="7"/>
  <c r="R666" i="7"/>
  <c r="N38" i="7"/>
  <c r="R936" i="7"/>
  <c r="R776" i="7"/>
  <c r="R1092" i="7"/>
  <c r="Z63" i="7"/>
  <c r="R951" i="7"/>
  <c r="R767" i="7"/>
  <c r="R1078" i="7"/>
  <c r="N561" i="7"/>
  <c r="R926" i="7"/>
  <c r="R734" i="7"/>
  <c r="R1167" i="7"/>
  <c r="R586" i="7"/>
  <c r="R1150" i="7"/>
  <c r="R640" i="7"/>
  <c r="R1330" i="7"/>
  <c r="N41" i="7"/>
  <c r="R1273" i="7"/>
  <c r="R260" i="7"/>
  <c r="R395" i="7"/>
  <c r="R458" i="7"/>
  <c r="R957" i="7"/>
  <c r="R660" i="7"/>
  <c r="R173" i="7"/>
  <c r="R410" i="7"/>
  <c r="R515" i="7"/>
  <c r="R1184" i="7"/>
  <c r="R987" i="7"/>
  <c r="R827" i="7"/>
  <c r="R617" i="7"/>
  <c r="N81" i="7"/>
  <c r="R986" i="7"/>
  <c r="R802" i="7"/>
  <c r="R593" i="7"/>
  <c r="N79" i="7"/>
  <c r="R912" i="7"/>
  <c r="R744" i="7"/>
  <c r="R1279" i="7"/>
  <c r="R491" i="7"/>
  <c r="R919" i="7"/>
  <c r="R759" i="7"/>
  <c r="R1255" i="7"/>
  <c r="R482" i="7"/>
  <c r="R918" i="7"/>
  <c r="R726" i="7"/>
  <c r="R1144" i="7"/>
  <c r="R570" i="7"/>
  <c r="R1134" i="7"/>
  <c r="R624" i="7"/>
  <c r="R1314" i="7"/>
  <c r="R630" i="7"/>
  <c r="N98" i="7"/>
  <c r="R1315" i="7"/>
  <c r="R1028" i="7"/>
  <c r="R1102" i="7"/>
  <c r="R560" i="7"/>
  <c r="N171" i="7"/>
  <c r="R1081" i="7"/>
  <c r="N303" i="7"/>
  <c r="R758" i="7"/>
  <c r="R1076" i="7"/>
  <c r="R658" i="7"/>
  <c r="R1262" i="7"/>
  <c r="R1332" i="7"/>
  <c r="R1049" i="7"/>
  <c r="N60" i="7"/>
  <c r="N108" i="7"/>
  <c r="R1096" i="7"/>
  <c r="R1305" i="7"/>
  <c r="N475" i="7"/>
  <c r="N1326" i="7"/>
  <c r="N488" i="7"/>
  <c r="Z480" i="7"/>
  <c r="Z1057" i="7"/>
  <c r="R174" i="7"/>
  <c r="R181" i="7"/>
  <c r="R288" i="7"/>
  <c r="R387" i="7"/>
  <c r="R323" i="7"/>
  <c r="R497" i="7"/>
  <c r="R893" i="7"/>
  <c r="R1037" i="7"/>
  <c r="R125" i="7"/>
  <c r="R275" i="7"/>
  <c r="R362" i="7"/>
  <c r="R997" i="7"/>
  <c r="R652" i="7"/>
  <c r="R507" i="7"/>
  <c r="R939" i="7"/>
  <c r="R811" i="7"/>
  <c r="R683" i="7"/>
  <c r="R1200" i="7"/>
  <c r="V1293" i="7"/>
  <c r="R970" i="7"/>
  <c r="R842" i="7"/>
  <c r="R714" i="7"/>
  <c r="R1287" i="7"/>
  <c r="N239" i="7"/>
  <c r="R952" i="7"/>
  <c r="R824" i="7"/>
  <c r="R696" i="7"/>
  <c r="R1237" i="7"/>
  <c r="N567" i="7"/>
  <c r="R999" i="7"/>
  <c r="R871" i="7"/>
  <c r="R743" i="7"/>
  <c r="R1030" i="7"/>
  <c r="N53" i="7"/>
  <c r="R544" i="7"/>
  <c r="R902" i="7"/>
  <c r="R774" i="7"/>
  <c r="R625" i="7"/>
  <c r="R1103" i="7"/>
  <c r="R634" i="7"/>
  <c r="R1085" i="7"/>
  <c r="R1118" i="7"/>
  <c r="N1054" i="7"/>
  <c r="R1276" i="7"/>
  <c r="N50" i="7"/>
  <c r="R1203" i="7"/>
  <c r="R1186" i="7"/>
  <c r="R1153" i="7"/>
  <c r="Z259" i="7"/>
  <c r="N298" i="7"/>
  <c r="N565" i="7"/>
  <c r="R145" i="7"/>
  <c r="R213" i="7"/>
  <c r="R268" i="7"/>
  <c r="R419" i="7"/>
  <c r="R355" i="7"/>
  <c r="R474" i="7"/>
  <c r="R980" i="7"/>
  <c r="R788" i="7"/>
  <c r="N302" i="7"/>
  <c r="R220" i="7"/>
  <c r="R426" i="7"/>
  <c r="R449" i="7"/>
  <c r="R828" i="7"/>
  <c r="N31" i="7"/>
  <c r="R1003" i="7"/>
  <c r="R875" i="7"/>
  <c r="R747" i="7"/>
  <c r="R553" i="7"/>
  <c r="N24" i="7"/>
  <c r="R548" i="7"/>
  <c r="R906" i="7"/>
  <c r="R778" i="7"/>
  <c r="R635" i="7"/>
  <c r="R1112" i="7"/>
  <c r="R1016" i="7"/>
  <c r="R888" i="7"/>
  <c r="R760" i="7"/>
  <c r="R587" i="7"/>
  <c r="R1318" i="7"/>
  <c r="R503" i="7"/>
  <c r="R935" i="7"/>
  <c r="R807" i="7"/>
  <c r="R679" i="7"/>
  <c r="R1191" i="7"/>
  <c r="Z544" i="7"/>
  <c r="R966" i="7"/>
  <c r="R838" i="7"/>
  <c r="R710" i="7"/>
  <c r="R1272" i="7"/>
  <c r="N281" i="7"/>
  <c r="R554" i="7"/>
  <c r="R1198" i="7"/>
  <c r="N44" i="7"/>
  <c r="R584" i="7"/>
  <c r="R1148" i="7"/>
  <c r="N1022" i="7"/>
  <c r="V1332" i="7"/>
  <c r="Z235" i="7"/>
  <c r="N146" i="7"/>
  <c r="N1306" i="7"/>
  <c r="Z1314" i="7"/>
  <c r="Z103" i="7"/>
  <c r="N168" i="7"/>
  <c r="N539" i="7"/>
  <c r="N83" i="7"/>
  <c r="R1054" i="7"/>
  <c r="N40" i="7"/>
  <c r="R1063" i="7"/>
  <c r="N35" i="7"/>
  <c r="R551" i="7"/>
  <c r="N130" i="7"/>
  <c r="R1300" i="7"/>
  <c r="R1212" i="7"/>
  <c r="R1057" i="7"/>
  <c r="R648" i="7"/>
  <c r="N148" i="7"/>
  <c r="R1316" i="7"/>
  <c r="R1166" i="7"/>
  <c r="R1246" i="7"/>
  <c r="R1043" i="7"/>
  <c r="R602" i="7"/>
  <c r="Z559" i="7"/>
  <c r="N51" i="7"/>
  <c r="R1189" i="7"/>
  <c r="R1029" i="7"/>
  <c r="R678" i="7"/>
  <c r="R742" i="7"/>
  <c r="R806" i="7"/>
  <c r="R870" i="7"/>
  <c r="R934" i="7"/>
  <c r="R998" i="7"/>
  <c r="R502" i="7"/>
  <c r="N287" i="7"/>
  <c r="R1104" i="7"/>
  <c r="R1277" i="7"/>
  <c r="R627" i="7"/>
  <c r="R711" i="7"/>
  <c r="R839" i="7"/>
  <c r="R903" i="7"/>
  <c r="R967" i="7"/>
  <c r="R545" i="7"/>
  <c r="R462" i="7"/>
  <c r="N85" i="7"/>
  <c r="R1151" i="7"/>
  <c r="R1079" i="7"/>
  <c r="R664" i="7"/>
  <c r="R728" i="7"/>
  <c r="R792" i="7"/>
  <c r="R856" i="7"/>
  <c r="R920" i="7"/>
  <c r="R984" i="7"/>
  <c r="V1321" i="7"/>
  <c r="N23" i="7"/>
  <c r="R1199" i="7"/>
  <c r="R1038" i="7"/>
  <c r="R682" i="7"/>
  <c r="R746" i="7"/>
  <c r="R810" i="7"/>
  <c r="R874" i="7"/>
  <c r="R938" i="7"/>
  <c r="R1002" i="7"/>
  <c r="R506" i="7"/>
  <c r="N164" i="7"/>
  <c r="R1117" i="7"/>
  <c r="R1289" i="7"/>
  <c r="R636" i="7"/>
  <c r="R715" i="7"/>
  <c r="R779" i="7"/>
  <c r="R843" i="7"/>
  <c r="R907" i="7"/>
  <c r="R971" i="7"/>
  <c r="R549" i="7"/>
  <c r="Z1067" i="7"/>
  <c r="R1247" i="7"/>
  <c r="R741" i="7"/>
  <c r="R913" i="7"/>
  <c r="R476" i="7"/>
  <c r="R330" i="7"/>
  <c r="R394" i="7"/>
  <c r="R295" i="7"/>
  <c r="R188" i="7"/>
  <c r="R151" i="7"/>
  <c r="R108" i="7"/>
  <c r="R1141" i="7"/>
  <c r="R701" i="7"/>
  <c r="N153" i="7"/>
  <c r="N154" i="7"/>
  <c r="N467" i="7"/>
  <c r="R1297" i="7"/>
  <c r="R589" i="7"/>
  <c r="R1306" i="7"/>
  <c r="R622" i="7"/>
  <c r="R1115" i="7"/>
  <c r="R639" i="7"/>
  <c r="N78" i="7"/>
  <c r="R1116" i="7"/>
  <c r="R1244" i="7"/>
  <c r="R552" i="7"/>
  <c r="Z167" i="7"/>
  <c r="N92" i="7"/>
  <c r="R1324" i="7"/>
  <c r="R1174" i="7"/>
  <c r="R1254" i="7"/>
  <c r="R1059" i="7"/>
  <c r="R610" i="7"/>
  <c r="N1331" i="7"/>
  <c r="N32" i="7"/>
  <c r="R1208" i="7"/>
  <c r="R561" i="7"/>
  <c r="R686" i="7"/>
  <c r="R750" i="7"/>
  <c r="R814" i="7"/>
  <c r="R878" i="7"/>
  <c r="R942" i="7"/>
  <c r="R1006" i="7"/>
  <c r="R510" i="7"/>
  <c r="N111" i="7"/>
  <c r="R1127" i="7"/>
  <c r="R1087" i="7"/>
  <c r="R649" i="7"/>
  <c r="R719" i="7"/>
  <c r="R783" i="7"/>
  <c r="R847" i="7"/>
  <c r="R911" i="7"/>
  <c r="R975" i="7"/>
  <c r="R514" i="7"/>
  <c r="Z462" i="7"/>
  <c r="N69" i="7"/>
  <c r="R1173" i="7"/>
  <c r="R1060" i="7"/>
  <c r="R672" i="7"/>
  <c r="R736" i="7"/>
  <c r="R800" i="7"/>
  <c r="R864" i="7"/>
  <c r="R928" i="7"/>
  <c r="R992" i="7"/>
  <c r="N1075" i="7"/>
  <c r="R1334" i="7"/>
  <c r="R1221" i="7"/>
  <c r="R571" i="7"/>
  <c r="R690" i="7"/>
  <c r="R754" i="7"/>
  <c r="R818" i="7"/>
  <c r="R882" i="7"/>
  <c r="R946" i="7"/>
  <c r="R1010" i="7"/>
  <c r="R478" i="7"/>
  <c r="N97" i="7"/>
  <c r="R1136" i="7"/>
  <c r="R1068" i="7"/>
  <c r="R659" i="7"/>
  <c r="R723" i="7"/>
  <c r="R787" i="7"/>
  <c r="R851" i="7"/>
  <c r="R915" i="7"/>
  <c r="R979" i="7"/>
  <c r="R518" i="7"/>
  <c r="N144" i="7"/>
  <c r="R1094" i="7"/>
  <c r="R764" i="7"/>
  <c r="R933" i="7"/>
  <c r="R492" i="7"/>
  <c r="R338" i="7"/>
  <c r="R402" i="7"/>
  <c r="R303" i="7"/>
  <c r="R196" i="7"/>
  <c r="R159" i="7"/>
  <c r="R98" i="7"/>
  <c r="R1197" i="7"/>
  <c r="R724" i="7"/>
  <c r="Z294" i="7"/>
  <c r="Z283" i="7"/>
  <c r="N246" i="7"/>
  <c r="R1145" i="7"/>
  <c r="R653" i="7"/>
  <c r="R1154" i="7"/>
  <c r="Z109" i="7"/>
  <c r="R1179" i="7"/>
  <c r="N309" i="7"/>
  <c r="N42" i="7"/>
  <c r="R1140" i="7"/>
  <c r="R1268" i="7"/>
  <c r="R576" i="7"/>
  <c r="N1297" i="7"/>
  <c r="N70" i="7"/>
  <c r="R1110" i="7"/>
  <c r="R1190" i="7"/>
  <c r="R1278" i="7"/>
  <c r="R1036" i="7"/>
  <c r="R626" i="7"/>
  <c r="N482" i="7"/>
  <c r="R1296" i="7"/>
  <c r="R1253" i="7"/>
  <c r="R603" i="7"/>
  <c r="R702" i="7"/>
  <c r="R766" i="7"/>
  <c r="R830" i="7"/>
  <c r="R894" i="7"/>
  <c r="R958" i="7"/>
  <c r="R536" i="7"/>
  <c r="R490" i="7"/>
  <c r="N64" i="7"/>
  <c r="R1168" i="7"/>
  <c r="R1058" i="7"/>
  <c r="R671" i="7"/>
  <c r="R735" i="7"/>
  <c r="R799" i="7"/>
  <c r="R863" i="7"/>
  <c r="R927" i="7"/>
  <c r="R991" i="7"/>
  <c r="R530" i="7"/>
  <c r="N1288" i="7"/>
  <c r="N17" i="7"/>
  <c r="R1215" i="7"/>
  <c r="R564" i="7"/>
  <c r="R688" i="7"/>
  <c r="R752" i="7"/>
  <c r="R816" i="7"/>
  <c r="R880" i="7"/>
  <c r="R944" i="7"/>
  <c r="R1008" i="7"/>
  <c r="N440" i="7"/>
  <c r="R1309" i="7"/>
  <c r="R1263" i="7"/>
  <c r="R612" i="7"/>
  <c r="R706" i="7"/>
  <c r="R770" i="7"/>
  <c r="R834" i="7"/>
  <c r="R898" i="7"/>
  <c r="R962" i="7"/>
  <c r="R540" i="7"/>
  <c r="Z173" i="7"/>
  <c r="N43" i="7"/>
  <c r="R1181" i="7"/>
  <c r="R1021" i="7"/>
  <c r="R675" i="7"/>
  <c r="R739" i="7"/>
  <c r="R803" i="7"/>
  <c r="R867" i="7"/>
  <c r="R931" i="7"/>
  <c r="R995" i="7"/>
  <c r="R499" i="7"/>
  <c r="N86" i="7"/>
  <c r="R596" i="7"/>
  <c r="R805" i="7"/>
  <c r="R977" i="7"/>
  <c r="R473" i="7"/>
  <c r="R354" i="7"/>
  <c r="R418" i="7"/>
  <c r="R267" i="7"/>
  <c r="R212" i="7"/>
  <c r="R144" i="7"/>
  <c r="N1092" i="7"/>
  <c r="R1070" i="7"/>
  <c r="R765" i="7"/>
  <c r="N1060" i="7"/>
  <c r="Z16" i="7"/>
  <c r="Z524" i="7"/>
  <c r="R1241" i="7"/>
  <c r="N267" i="7"/>
  <c r="R1258" i="7"/>
  <c r="N234" i="7"/>
  <c r="R1090" i="7"/>
  <c r="N438" i="7"/>
  <c r="R1338" i="7"/>
  <c r="R1180" i="7"/>
  <c r="R1067" i="7"/>
  <c r="R616" i="7"/>
  <c r="N458" i="7"/>
  <c r="N16" i="7"/>
  <c r="R1126" i="7"/>
  <c r="R1214" i="7"/>
  <c r="R1093" i="7"/>
  <c r="R562" i="7"/>
  <c r="R642" i="7"/>
  <c r="N132" i="7"/>
  <c r="R1125" i="7"/>
  <c r="R1086" i="7"/>
  <c r="R644" i="7"/>
  <c r="R718" i="7"/>
  <c r="R846" i="7"/>
  <c r="R910" i="7"/>
  <c r="R974" i="7"/>
  <c r="R513" i="7"/>
  <c r="N1314" i="7"/>
  <c r="N15" i="7"/>
  <c r="R1213" i="7"/>
  <c r="R563" i="7"/>
  <c r="R687" i="7"/>
  <c r="R751" i="7"/>
  <c r="R815" i="7"/>
  <c r="R879" i="7"/>
  <c r="R943" i="7"/>
  <c r="R1007" i="7"/>
  <c r="R511" i="7"/>
  <c r="N460" i="7"/>
  <c r="R1303" i="7"/>
  <c r="R1256" i="7"/>
  <c r="R609" i="7"/>
  <c r="R704" i="7"/>
  <c r="R768" i="7"/>
  <c r="R832" i="7"/>
  <c r="R896" i="7"/>
  <c r="R960" i="7"/>
  <c r="R538" i="7"/>
  <c r="N96" i="7"/>
  <c r="R1135" i="7"/>
  <c r="R1095" i="7"/>
  <c r="R657" i="7"/>
  <c r="R722" i="7"/>
  <c r="R786" i="7"/>
  <c r="R850" i="7"/>
  <c r="R914" i="7"/>
  <c r="R978" i="7"/>
  <c r="R517" i="7"/>
  <c r="N1048" i="7"/>
  <c r="R1339" i="7"/>
  <c r="R1223" i="7"/>
  <c r="R572" i="7"/>
  <c r="R691" i="7"/>
  <c r="R755" i="7"/>
  <c r="R819" i="7"/>
  <c r="R883" i="7"/>
  <c r="R947" i="7"/>
  <c r="R1011" i="7"/>
  <c r="R479" i="7"/>
  <c r="R1331" i="7"/>
  <c r="R677" i="7"/>
  <c r="R849" i="7"/>
  <c r="R534" i="7"/>
  <c r="R457" i="7"/>
  <c r="R370" i="7"/>
  <c r="R434" i="7"/>
  <c r="R241" i="7"/>
  <c r="R228" i="7"/>
  <c r="R133" i="7"/>
  <c r="N82" i="7"/>
  <c r="R601" i="7"/>
  <c r="R809" i="7"/>
  <c r="N62" i="7"/>
  <c r="N279" i="7"/>
  <c r="N1343" i="7"/>
  <c r="R632" i="7"/>
  <c r="R568" i="7"/>
  <c r="R1041" i="7"/>
  <c r="R1260" i="7"/>
  <c r="R1196" i="7"/>
  <c r="R1132" i="7"/>
  <c r="R1322" i="7"/>
  <c r="N68" i="7"/>
  <c r="N253" i="7"/>
  <c r="Z261" i="7"/>
  <c r="R1048" i="7"/>
  <c r="R1171" i="7"/>
  <c r="N77" i="7"/>
  <c r="R654" i="7"/>
  <c r="R1073" i="7"/>
  <c r="R1130" i="7"/>
  <c r="N99" i="7"/>
  <c r="R645" i="7"/>
  <c r="R1283" i="7"/>
  <c r="R1113" i="7"/>
  <c r="N119" i="7"/>
  <c r="N176" i="7"/>
  <c r="N491" i="7"/>
  <c r="V1282" i="7"/>
  <c r="Z460" i="7"/>
  <c r="N251" i="7"/>
  <c r="N1052" i="7"/>
  <c r="N161" i="7"/>
  <c r="Z516" i="7"/>
  <c r="N305" i="7"/>
  <c r="N523" i="7"/>
  <c r="N266" i="7"/>
  <c r="N550" i="7"/>
  <c r="Z61" i="7"/>
  <c r="Z541" i="7"/>
  <c r="N432" i="7"/>
  <c r="V1310" i="7"/>
  <c r="N306" i="7"/>
  <c r="N422" i="7"/>
  <c r="R594" i="7"/>
  <c r="R1020" i="7"/>
  <c r="R1288" i="7"/>
  <c r="R1222" i="7"/>
  <c r="R1158" i="7"/>
  <c r="R1310" i="7"/>
  <c r="N30" i="7"/>
  <c r="N103" i="7"/>
  <c r="N508" i="7"/>
  <c r="Z448" i="7"/>
  <c r="R608" i="7"/>
  <c r="R1034" i="7"/>
  <c r="R1091" i="7"/>
  <c r="R1236" i="7"/>
  <c r="R1172" i="7"/>
  <c r="R1108" i="7"/>
  <c r="N36" i="7"/>
  <c r="N109" i="7"/>
  <c r="N476" i="7"/>
  <c r="R615" i="7"/>
  <c r="R1267" i="7"/>
  <c r="R1107" i="7"/>
  <c r="N451" i="7"/>
  <c r="R590" i="7"/>
  <c r="R1250" i="7"/>
  <c r="R1320" i="7"/>
  <c r="N492" i="7"/>
  <c r="R581" i="7"/>
  <c r="R1217" i="7"/>
  <c r="R1335" i="7"/>
  <c r="N545" i="7"/>
  <c r="N299" i="7"/>
  <c r="N1028" i="7"/>
  <c r="Z85" i="7"/>
  <c r="Z1064" i="7"/>
  <c r="N456" i="7"/>
  <c r="V1315" i="7"/>
  <c r="N497" i="7"/>
  <c r="V1312" i="7"/>
  <c r="R1302" i="7"/>
  <c r="N22" i="7"/>
  <c r="N95" i="7"/>
  <c r="N513" i="7"/>
  <c r="Z1023" i="7"/>
  <c r="R600" i="7"/>
  <c r="R1026" i="7"/>
  <c r="R1083" i="7"/>
  <c r="R1228" i="7"/>
  <c r="R1164" i="7"/>
  <c r="R1100" i="7"/>
  <c r="N28" i="7"/>
  <c r="N101" i="7"/>
  <c r="N500" i="7"/>
  <c r="R607" i="7"/>
  <c r="R1243" i="7"/>
  <c r="R1329" i="7"/>
  <c r="N470" i="7"/>
  <c r="R566" i="7"/>
  <c r="R1218" i="7"/>
  <c r="R1344" i="7"/>
  <c r="N1087" i="7"/>
  <c r="R1039" i="7"/>
  <c r="R1209" i="7"/>
  <c r="N25" i="7"/>
  <c r="V1283" i="7"/>
  <c r="N308" i="7"/>
  <c r="N1045" i="7"/>
  <c r="Z130" i="7"/>
  <c r="Z1095" i="7"/>
  <c r="N506" i="7"/>
  <c r="Z93" i="7"/>
  <c r="N518" i="7"/>
  <c r="Z160" i="7"/>
  <c r="R578" i="7"/>
  <c r="R1051" i="7"/>
  <c r="R1270" i="7"/>
  <c r="R1206" i="7"/>
  <c r="R1142" i="7"/>
  <c r="R1294" i="7"/>
  <c r="N52" i="7"/>
  <c r="N138" i="7"/>
  <c r="N559" i="7"/>
  <c r="R656" i="7"/>
  <c r="R592" i="7"/>
  <c r="R1018" i="7"/>
  <c r="R1286" i="7"/>
  <c r="R1220" i="7"/>
  <c r="R1156" i="7"/>
  <c r="R1308" i="7"/>
  <c r="N58" i="7"/>
  <c r="N93" i="7"/>
  <c r="N540" i="7"/>
  <c r="R575" i="7"/>
  <c r="R1235" i="7"/>
  <c r="R1337" i="7"/>
  <c r="N1064" i="7"/>
  <c r="R558" i="7"/>
  <c r="R1194" i="7"/>
  <c r="N26" i="7"/>
  <c r="N1327" i="7"/>
  <c r="R1062" i="7"/>
  <c r="R1177" i="7"/>
  <c r="N55" i="7"/>
  <c r="Z298" i="7"/>
  <c r="N448" i="7"/>
  <c r="N1085" i="7"/>
  <c r="Z172" i="7"/>
  <c r="N115" i="7"/>
  <c r="N498" i="7"/>
  <c r="Z307" i="7"/>
  <c r="N1330" i="7"/>
  <c r="Z514" i="7"/>
  <c r="Z1098" i="7"/>
  <c r="R599" i="7"/>
  <c r="R1025" i="7"/>
  <c r="R1293" i="7"/>
  <c r="R1227" i="7"/>
  <c r="R1163" i="7"/>
  <c r="R1099" i="7"/>
  <c r="N27" i="7"/>
  <c r="N100" i="7"/>
  <c r="N494" i="7"/>
  <c r="Z248" i="7"/>
  <c r="R614" i="7"/>
  <c r="R1040" i="7"/>
  <c r="R1065" i="7"/>
  <c r="R1242" i="7"/>
  <c r="R1178" i="7"/>
  <c r="R1114" i="7"/>
  <c r="R1336" i="7"/>
  <c r="N84" i="7"/>
  <c r="N292" i="7"/>
  <c r="N1344" i="7"/>
  <c r="R637" i="7"/>
  <c r="R573" i="7"/>
  <c r="R1046" i="7"/>
  <c r="R1265" i="7"/>
  <c r="R1201" i="7"/>
  <c r="R1137" i="7"/>
  <c r="R1327" i="7"/>
  <c r="N47" i="7"/>
  <c r="N158" i="7"/>
  <c r="N1023" i="7"/>
  <c r="N116" i="7"/>
  <c r="N238" i="7"/>
  <c r="N433" i="7"/>
  <c r="N481" i="7"/>
  <c r="N566" i="7"/>
  <c r="N1090" i="7"/>
  <c r="V1301" i="7"/>
  <c r="Z107" i="7"/>
  <c r="Z247" i="7"/>
  <c r="Z486" i="7"/>
  <c r="Z1307" i="7"/>
  <c r="N175" i="7"/>
  <c r="N424" i="7"/>
  <c r="N519" i="7"/>
  <c r="N1044" i="7"/>
  <c r="Z40" i="7"/>
  <c r="Z444" i="7"/>
  <c r="N244" i="7"/>
  <c r="N1034" i="7"/>
  <c r="Z153" i="7"/>
  <c r="N462" i="7"/>
  <c r="N495" i="7"/>
  <c r="N1046" i="7"/>
  <c r="R655" i="7"/>
  <c r="R591" i="7"/>
  <c r="R1064" i="7"/>
  <c r="R1285" i="7"/>
  <c r="R1219" i="7"/>
  <c r="R1155" i="7"/>
  <c r="R1307" i="7"/>
  <c r="N57" i="7"/>
  <c r="N125" i="7"/>
  <c r="N534" i="7"/>
  <c r="Z466" i="7"/>
  <c r="R606" i="7"/>
  <c r="R1032" i="7"/>
  <c r="R1089" i="7"/>
  <c r="R1234" i="7"/>
  <c r="R1170" i="7"/>
  <c r="R1106" i="7"/>
  <c r="N14" i="7"/>
  <c r="N76" i="7"/>
  <c r="N449" i="7"/>
  <c r="Z18" i="7"/>
  <c r="R629" i="7"/>
  <c r="R565" i="7"/>
  <c r="R1080" i="7"/>
  <c r="R1257" i="7"/>
  <c r="R1193" i="7"/>
  <c r="R1129" i="7"/>
  <c r="R1319" i="7"/>
  <c r="N39" i="7"/>
  <c r="N241" i="7"/>
  <c r="N1077" i="7"/>
  <c r="N137" i="7"/>
  <c r="N260" i="7"/>
  <c r="N425" i="7"/>
  <c r="N507" i="7"/>
  <c r="N558" i="7"/>
  <c r="N1296" i="7"/>
  <c r="V1317" i="7"/>
  <c r="Z94" i="7"/>
  <c r="Z308" i="7"/>
  <c r="Z508" i="7"/>
  <c r="Z1315" i="7"/>
  <c r="N237" i="7"/>
  <c r="N436" i="7"/>
  <c r="N528" i="7"/>
  <c r="N1098" i="7"/>
  <c r="Z84" i="7"/>
  <c r="Z519" i="7"/>
  <c r="N284" i="7"/>
  <c r="N1026" i="7"/>
  <c r="Z292" i="7"/>
  <c r="N555" i="7"/>
  <c r="N1302" i="7"/>
  <c r="N1285" i="7"/>
  <c r="R647" i="7"/>
  <c r="R583" i="7"/>
  <c r="R1056" i="7"/>
  <c r="R1275" i="7"/>
  <c r="R1211" i="7"/>
  <c r="R1147" i="7"/>
  <c r="R1299" i="7"/>
  <c r="N49" i="7"/>
  <c r="N142" i="7"/>
  <c r="N1031" i="7"/>
  <c r="Z1284" i="7"/>
  <c r="R598" i="7"/>
  <c r="R1024" i="7"/>
  <c r="R1292" i="7"/>
  <c r="R1226" i="7"/>
  <c r="R1162" i="7"/>
  <c r="R1098" i="7"/>
  <c r="N34" i="7"/>
  <c r="N107" i="7"/>
  <c r="N468" i="7"/>
  <c r="Z95" i="7"/>
  <c r="R621" i="7"/>
  <c r="R557" i="7"/>
  <c r="R1072" i="7"/>
  <c r="R1249" i="7"/>
  <c r="R1185" i="7"/>
  <c r="R1121" i="7"/>
  <c r="R1343" i="7"/>
  <c r="N65" i="7"/>
  <c r="N289" i="7"/>
  <c r="N1318" i="7"/>
  <c r="N129" i="7"/>
  <c r="N252" i="7"/>
  <c r="N437" i="7"/>
  <c r="N499" i="7"/>
  <c r="N1036" i="7"/>
  <c r="N1283" i="7"/>
  <c r="V1331" i="7"/>
  <c r="Z112" i="7"/>
  <c r="Z296" i="7"/>
  <c r="Z522" i="7"/>
  <c r="N123" i="7"/>
  <c r="N259" i="7"/>
  <c r="N464" i="7"/>
  <c r="N538" i="7"/>
  <c r="N1295" i="7"/>
  <c r="Z105" i="7"/>
  <c r="Z539" i="7"/>
  <c r="N297" i="7"/>
  <c r="N1059" i="7"/>
  <c r="Z477" i="7"/>
  <c r="N1081" i="7"/>
  <c r="V1311" i="7"/>
  <c r="Z253" i="7"/>
  <c r="V1319" i="7"/>
  <c r="R631" i="7"/>
  <c r="R567" i="7"/>
  <c r="R1082" i="7"/>
  <c r="R1259" i="7"/>
  <c r="R1195" i="7"/>
  <c r="R1131" i="7"/>
  <c r="R1321" i="7"/>
  <c r="N67" i="7"/>
  <c r="N269" i="7"/>
  <c r="N1300" i="7"/>
  <c r="R646" i="7"/>
  <c r="R582" i="7"/>
  <c r="R1055" i="7"/>
  <c r="R1274" i="7"/>
  <c r="R1210" i="7"/>
  <c r="R1146" i="7"/>
  <c r="R1298" i="7"/>
  <c r="N56" i="7"/>
  <c r="N124" i="7"/>
  <c r="N551" i="7"/>
  <c r="Z510" i="7"/>
  <c r="R605" i="7"/>
  <c r="R1031" i="7"/>
  <c r="R1088" i="7"/>
  <c r="R1233" i="7"/>
  <c r="R1169" i="7"/>
  <c r="R1105" i="7"/>
  <c r="N21" i="7"/>
  <c r="N87" i="7"/>
  <c r="N443" i="7"/>
  <c r="Z31" i="7"/>
  <c r="N155" i="7"/>
  <c r="N286" i="7"/>
  <c r="N465" i="7"/>
  <c r="N520" i="7"/>
  <c r="N1043" i="7"/>
  <c r="N1312" i="7"/>
  <c r="Z30" i="7"/>
  <c r="Z155" i="7"/>
  <c r="Z433" i="7"/>
  <c r="Z556" i="7"/>
  <c r="N136" i="7"/>
  <c r="N285" i="7"/>
  <c r="N474" i="7"/>
  <c r="N557" i="7"/>
  <c r="N1311" i="7"/>
  <c r="Z128" i="7"/>
  <c r="Z1092" i="7"/>
  <c r="N487" i="7"/>
  <c r="V1288" i="7"/>
  <c r="N152" i="7"/>
  <c r="Z51" i="7"/>
  <c r="Z1049" i="7"/>
  <c r="Z87" i="7"/>
  <c r="R623" i="7"/>
  <c r="R559" i="7"/>
  <c r="R1074" i="7"/>
  <c r="R1251" i="7"/>
  <c r="R1187" i="7"/>
  <c r="R1123" i="7"/>
  <c r="R1313" i="7"/>
  <c r="N75" i="7"/>
  <c r="N294" i="7"/>
  <c r="N1308" i="7"/>
  <c r="R638" i="7"/>
  <c r="R574" i="7"/>
  <c r="R1047" i="7"/>
  <c r="R1266" i="7"/>
  <c r="R1202" i="7"/>
  <c r="R1138" i="7"/>
  <c r="R1328" i="7"/>
  <c r="N48" i="7"/>
  <c r="N140" i="7"/>
  <c r="N1029" i="7"/>
  <c r="Z1318" i="7"/>
  <c r="R597" i="7"/>
  <c r="R1023" i="7"/>
  <c r="R1291" i="7"/>
  <c r="R1225" i="7"/>
  <c r="R1161" i="7"/>
  <c r="R1097" i="7"/>
  <c r="N33" i="7"/>
  <c r="N106" i="7"/>
  <c r="N484" i="7"/>
  <c r="Z114" i="7"/>
  <c r="N147" i="7"/>
  <c r="N278" i="7"/>
  <c r="N457" i="7"/>
  <c r="N529" i="7"/>
  <c r="N1053" i="7"/>
  <c r="N1341" i="7"/>
  <c r="Z43" i="7"/>
  <c r="Z165" i="7"/>
  <c r="Z446" i="7"/>
  <c r="Z1060" i="7"/>
  <c r="N128" i="7"/>
  <c r="N277" i="7"/>
  <c r="N480" i="7"/>
  <c r="N1035" i="7"/>
  <c r="V1299" i="7"/>
  <c r="Z257" i="7"/>
  <c r="N127" i="7"/>
  <c r="N490" i="7"/>
  <c r="V1297" i="7"/>
  <c r="N243" i="7"/>
  <c r="Z102" i="7"/>
  <c r="Z549" i="7"/>
  <c r="Z485" i="7"/>
  <c r="N435" i="7"/>
  <c r="N1083" i="7"/>
  <c r="Z430" i="7"/>
  <c r="N486" i="7"/>
  <c r="Z1052" i="7"/>
  <c r="Z459" i="7"/>
  <c r="N240" i="7"/>
  <c r="Z28" i="7"/>
  <c r="N134" i="7"/>
  <c r="N1058" i="7"/>
  <c r="N120" i="7"/>
  <c r="N483" i="7"/>
  <c r="V1303" i="7"/>
  <c r="Z75" i="7"/>
  <c r="Z1059" i="7"/>
  <c r="Z171" i="7"/>
  <c r="Z77" i="7"/>
  <c r="Z148" i="7"/>
  <c r="N71" i="7"/>
  <c r="N1310" i="7"/>
  <c r="N89" i="7"/>
  <c r="Z518" i="7"/>
  <c r="Z108" i="7"/>
  <c r="N274" i="7"/>
  <c r="Z288" i="7"/>
  <c r="N1290" i="7"/>
  <c r="Z297" i="7"/>
  <c r="Z517" i="7"/>
  <c r="Z98" i="7"/>
  <c r="N304" i="7"/>
  <c r="Z290" i="7"/>
  <c r="N268" i="7"/>
  <c r="Z527" i="7"/>
  <c r="Z537" i="7"/>
  <c r="Z1302" i="7"/>
  <c r="N452" i="7"/>
  <c r="Z438" i="7"/>
  <c r="N420" i="7"/>
  <c r="Z1090" i="7"/>
  <c r="Z1311" i="7"/>
  <c r="V1284" i="7"/>
  <c r="Z83" i="7"/>
  <c r="N121" i="7"/>
  <c r="N547" i="7"/>
  <c r="Z495" i="7"/>
  <c r="N1049" i="7"/>
  <c r="Z134" i="7"/>
  <c r="N1076" i="7"/>
  <c r="Z25" i="7"/>
  <c r="Z1303" i="7"/>
  <c r="Z287" i="7"/>
  <c r="N1346" i="7"/>
  <c r="Z55" i="7"/>
  <c r="Z154" i="7"/>
  <c r="Z458" i="7"/>
  <c r="Z1313" i="7"/>
  <c r="N236" i="7"/>
  <c r="N446" i="7"/>
  <c r="N537" i="7"/>
  <c r="N1096" i="7"/>
  <c r="Z39" i="7"/>
  <c r="Z269" i="7"/>
  <c r="Z1037" i="7"/>
  <c r="N257" i="7"/>
  <c r="N504" i="7"/>
  <c r="N1291" i="7"/>
  <c r="Z241" i="7"/>
  <c r="N143" i="7"/>
  <c r="N543" i="7"/>
  <c r="Z50" i="7"/>
  <c r="Z1292" i="7"/>
  <c r="Z1046" i="7"/>
  <c r="N493" i="7"/>
  <c r="Z116" i="7"/>
  <c r="N1321" i="7"/>
  <c r="Z266" i="7"/>
  <c r="Z1086" i="7"/>
  <c r="Z1340" i="7"/>
  <c r="Z1330" i="7"/>
  <c r="Z115" i="7"/>
  <c r="Z534" i="7"/>
  <c r="V1324" i="7"/>
  <c r="Z426" i="7"/>
  <c r="N530" i="7"/>
  <c r="Z42" i="7"/>
  <c r="Z163" i="7"/>
  <c r="Z478" i="7"/>
  <c r="N122" i="7"/>
  <c r="N250" i="7"/>
  <c r="N463" i="7"/>
  <c r="N548" i="7"/>
  <c r="N1305" i="7"/>
  <c r="Z53" i="7"/>
  <c r="Z256" i="7"/>
  <c r="Z1282" i="7"/>
  <c r="N283" i="7"/>
  <c r="N517" i="7"/>
  <c r="N1335" i="7"/>
  <c r="Z291" i="7"/>
  <c r="N165" i="7"/>
  <c r="N546" i="7"/>
  <c r="Z136" i="7"/>
  <c r="V1330" i="7"/>
  <c r="N118" i="7"/>
  <c r="N568" i="7"/>
  <c r="Z263" i="7"/>
  <c r="N1088" i="7"/>
  <c r="Z301" i="7"/>
  <c r="Z1306" i="7"/>
  <c r="Z456" i="7"/>
  <c r="N1093" i="7"/>
  <c r="Z166" i="7"/>
  <c r="Z1055" i="7"/>
  <c r="Z35" i="7"/>
  <c r="Z481" i="7"/>
  <c r="N245" i="7"/>
  <c r="N307" i="7"/>
  <c r="N466" i="7"/>
  <c r="N549" i="7"/>
  <c r="N1084" i="7"/>
  <c r="V1289" i="7"/>
  <c r="Z59" i="7"/>
  <c r="Z234" i="7"/>
  <c r="Z506" i="7"/>
  <c r="N114" i="7"/>
  <c r="N273" i="7"/>
  <c r="N473" i="7"/>
  <c r="N564" i="7"/>
  <c r="N1322" i="7"/>
  <c r="Z57" i="7"/>
  <c r="Z243" i="7"/>
  <c r="Z1301" i="7"/>
  <c r="N275" i="7"/>
  <c r="N544" i="7"/>
  <c r="V1295" i="7"/>
  <c r="Z440" i="7"/>
  <c r="N270" i="7"/>
  <c r="N1032" i="7"/>
  <c r="Z159" i="7"/>
  <c r="Z49" i="7"/>
  <c r="N141" i="7"/>
  <c r="N1030" i="7"/>
  <c r="Z299" i="7"/>
  <c r="V1296" i="7"/>
  <c r="Z277" i="7"/>
  <c r="Z1312" i="7"/>
  <c r="Z468" i="7"/>
  <c r="N1303" i="7"/>
  <c r="Z262" i="7"/>
  <c r="Z1082" i="7"/>
  <c r="Z68" i="7"/>
  <c r="Z494" i="7"/>
  <c r="Z548" i="7"/>
  <c r="Z52" i="7"/>
  <c r="Z471" i="7"/>
  <c r="Z1035" i="7"/>
  <c r="Z535" i="7"/>
  <c r="V1286" i="7"/>
  <c r="Z420" i="7"/>
  <c r="Z1336" i="7"/>
  <c r="Z135" i="7"/>
  <c r="Z560" i="7"/>
  <c r="Z521" i="7"/>
  <c r="Z1085" i="7"/>
  <c r="Z1056" i="7"/>
  <c r="Z29" i="7"/>
  <c r="Z455" i="7"/>
  <c r="N1284" i="7"/>
  <c r="Z176" i="7"/>
  <c r="Z1045" i="7"/>
  <c r="N162" i="7"/>
  <c r="N265" i="7"/>
  <c r="N447" i="7"/>
  <c r="N527" i="7"/>
  <c r="N1027" i="7"/>
  <c r="N1324" i="7"/>
  <c r="Z14" i="7"/>
  <c r="Z110" i="7"/>
  <c r="Z282" i="7"/>
  <c r="Z1087" i="7"/>
  <c r="N174" i="7"/>
  <c r="N431" i="7"/>
  <c r="N526" i="7"/>
  <c r="N1068" i="7"/>
  <c r="V1327" i="7"/>
  <c r="Z126" i="7"/>
  <c r="Z498" i="7"/>
  <c r="N166" i="7"/>
  <c r="N454" i="7"/>
  <c r="N1050" i="7"/>
  <c r="Z138" i="7"/>
  <c r="Z1299" i="7"/>
  <c r="N479" i="7"/>
  <c r="V1285" i="7"/>
  <c r="Z552" i="7"/>
  <c r="Z436" i="7"/>
  <c r="N450" i="7"/>
  <c r="V1334" i="7"/>
  <c r="N1063" i="7"/>
  <c r="Z119" i="7"/>
  <c r="Z538" i="7"/>
  <c r="Z1296" i="7"/>
  <c r="Z1083" i="7"/>
  <c r="Z56" i="7"/>
  <c r="Z467" i="7"/>
  <c r="N1315" i="7"/>
  <c r="Z252" i="7"/>
  <c r="Z1322" i="7"/>
  <c r="Z251" i="7"/>
  <c r="Z1290" i="7"/>
  <c r="N280" i="7"/>
  <c r="N514" i="7"/>
  <c r="N1339" i="7"/>
  <c r="Z140" i="7"/>
  <c r="Z561" i="7"/>
  <c r="N1332" i="7"/>
  <c r="Z66" i="7"/>
  <c r="Z250" i="7"/>
  <c r="Z492" i="7"/>
  <c r="Z1097" i="7"/>
  <c r="Z1058" i="7"/>
  <c r="Z421" i="7"/>
  <c r="Z555" i="7"/>
  <c r="N1065" i="7"/>
  <c r="V1292" i="7"/>
  <c r="Z129" i="7"/>
  <c r="Z449" i="7"/>
  <c r="Z554" i="7"/>
  <c r="N1099" i="7"/>
  <c r="V1335" i="7"/>
  <c r="Z146" i="7"/>
  <c r="Z439" i="7"/>
  <c r="Z1030" i="7"/>
  <c r="Z69" i="7"/>
  <c r="Z454" i="7"/>
  <c r="N159" i="7"/>
  <c r="N444" i="7"/>
  <c r="N1024" i="7"/>
  <c r="Z24" i="7"/>
  <c r="Z276" i="7"/>
  <c r="Z23" i="7"/>
  <c r="Z275" i="7"/>
  <c r="N139" i="7"/>
  <c r="N427" i="7"/>
  <c r="N560" i="7"/>
  <c r="V1291" i="7"/>
  <c r="Z249" i="7"/>
  <c r="Z1287" i="7"/>
  <c r="V1290" i="7"/>
  <c r="Z104" i="7"/>
  <c r="Z293" i="7"/>
  <c r="Z532" i="7"/>
  <c r="Z1298" i="7"/>
  <c r="Z1077" i="7"/>
  <c r="Z484" i="7"/>
  <c r="Z1048" i="7"/>
  <c r="N1294" i="7"/>
  <c r="Z21" i="7"/>
  <c r="Z158" i="7"/>
  <c r="Z483" i="7"/>
  <c r="Z1047" i="7"/>
  <c r="N1301" i="7"/>
  <c r="Z54" i="7"/>
  <c r="Z268" i="7"/>
  <c r="Z473" i="7"/>
  <c r="Z1073" i="7"/>
  <c r="Z1099" i="7"/>
  <c r="N242" i="7"/>
  <c r="N485" i="7"/>
  <c r="N1079" i="7"/>
  <c r="Z78" i="7"/>
  <c r="Z472" i="7"/>
  <c r="Z76" i="7"/>
  <c r="Z470" i="7"/>
  <c r="N149" i="7"/>
  <c r="N459" i="7"/>
  <c r="N1055" i="7"/>
  <c r="Z32" i="7"/>
  <c r="Z274" i="7"/>
  <c r="N1078" i="7"/>
  <c r="V1322" i="7"/>
  <c r="Z133" i="7"/>
  <c r="Z424" i="7"/>
  <c r="Z558" i="7"/>
  <c r="Z520" i="7"/>
  <c r="Z1305" i="7"/>
  <c r="Z512" i="7"/>
  <c r="Z1094" i="7"/>
  <c r="N1317" i="7"/>
  <c r="Z70" i="7"/>
  <c r="Z246" i="7"/>
  <c r="Z511" i="7"/>
  <c r="Z1093" i="7"/>
  <c r="N1340" i="7"/>
  <c r="Z88" i="7"/>
  <c r="Z236" i="7"/>
  <c r="Z501" i="7"/>
  <c r="Z1291" i="7"/>
  <c r="N1069" i="7"/>
  <c r="Z267" i="7"/>
  <c r="Z1081" i="7"/>
  <c r="N290" i="7"/>
  <c r="N524" i="7"/>
  <c r="N1319" i="7"/>
  <c r="Z143" i="7"/>
  <c r="Z567" i="7"/>
  <c r="Z142" i="7"/>
  <c r="Z564" i="7"/>
  <c r="N262" i="7"/>
  <c r="N509" i="7"/>
  <c r="N1282" i="7"/>
  <c r="Z92" i="7"/>
  <c r="Z469" i="7"/>
  <c r="N1307" i="7"/>
  <c r="Z15" i="7"/>
  <c r="Z162" i="7"/>
  <c r="Z451" i="7"/>
  <c r="Z1051" i="7"/>
  <c r="Z565" i="7"/>
  <c r="Z1331" i="7"/>
  <c r="Z551" i="7"/>
  <c r="Z1325" i="7"/>
  <c r="N572" i="7"/>
  <c r="Z100" i="7"/>
  <c r="Z289" i="7"/>
  <c r="Z550" i="7"/>
  <c r="Z1324" i="7"/>
  <c r="V1298" i="7"/>
  <c r="Z121" i="7"/>
  <c r="Z279" i="7"/>
  <c r="Z540" i="7"/>
  <c r="Z1334" i="7"/>
  <c r="Z1080" i="7"/>
  <c r="Z568" i="7"/>
  <c r="Z487" i="7"/>
  <c r="Z434" i="7"/>
  <c r="Z260" i="7"/>
  <c r="Z113" i="7"/>
  <c r="Z46" i="7"/>
  <c r="V1307" i="7"/>
  <c r="N1323" i="7"/>
  <c r="Z1316" i="7"/>
  <c r="Z1065" i="7"/>
  <c r="Z542" i="7"/>
  <c r="Z475" i="7"/>
  <c r="Z281" i="7"/>
  <c r="Z270" i="7"/>
  <c r="Z123" i="7"/>
  <c r="Z37" i="7"/>
  <c r="N1337" i="7"/>
  <c r="N1286" i="7"/>
  <c r="Z1317" i="7"/>
  <c r="Z1066" i="7"/>
  <c r="Z543" i="7"/>
  <c r="Z476" i="7"/>
  <c r="Z1342" i="7"/>
  <c r="Z1096" i="7"/>
  <c r="Z557" i="7"/>
  <c r="Z1320" i="7"/>
  <c r="Z1063" i="7"/>
  <c r="Z546" i="7"/>
  <c r="Z479" i="7"/>
  <c r="Z285" i="7"/>
  <c r="Z174" i="7"/>
  <c r="Z96" i="7"/>
  <c r="Z33" i="7"/>
  <c r="V1304" i="7"/>
  <c r="N1299" i="7"/>
  <c r="Z1321" i="7"/>
  <c r="Z513" i="7"/>
  <c r="Z237" i="7"/>
  <c r="Z97" i="7"/>
  <c r="V1320" i="7"/>
  <c r="N1287" i="7"/>
  <c r="N552" i="7"/>
  <c r="N501" i="7"/>
  <c r="N439" i="7"/>
  <c r="N254" i="7"/>
  <c r="N131" i="7"/>
  <c r="Z1029" i="7"/>
  <c r="Z423" i="7"/>
  <c r="Z147" i="7"/>
  <c r="Z34" i="7"/>
  <c r="Z1031" i="7"/>
  <c r="Z425" i="7"/>
  <c r="Z149" i="7"/>
  <c r="Z36" i="7"/>
  <c r="N1333" i="7"/>
  <c r="N1057" i="7"/>
  <c r="N516" i="7"/>
  <c r="N461" i="7"/>
  <c r="N282" i="7"/>
  <c r="N151" i="7"/>
  <c r="Z1295" i="7"/>
  <c r="Z474" i="7"/>
  <c r="Z255" i="7"/>
  <c r="Z80" i="7"/>
  <c r="V1287" i="7"/>
  <c r="N1067" i="7"/>
  <c r="N536" i="7"/>
  <c r="N472" i="7"/>
  <c r="N296" i="7"/>
  <c r="N173" i="7"/>
  <c r="Z1327" i="7"/>
  <c r="Z505" i="7"/>
  <c r="Z306" i="7"/>
  <c r="Z122" i="7"/>
  <c r="V1313" i="7"/>
  <c r="N1293" i="7"/>
  <c r="N556" i="7"/>
  <c r="N505" i="7"/>
  <c r="N423" i="7"/>
  <c r="N258" i="7"/>
  <c r="N135" i="7"/>
  <c r="Z1022" i="7"/>
  <c r="Z431" i="7"/>
  <c r="Z1300" i="7"/>
  <c r="Z1053" i="7"/>
  <c r="Z515" i="7"/>
  <c r="Z453" i="7"/>
  <c r="Z295" i="7"/>
  <c r="Z164" i="7"/>
  <c r="Z106" i="7"/>
  <c r="Z17" i="7"/>
  <c r="N1061" i="7"/>
  <c r="N1292" i="7"/>
  <c r="Z1285" i="7"/>
  <c r="Z1024" i="7"/>
  <c r="Z525" i="7"/>
  <c r="Z463" i="7"/>
  <c r="Z305" i="7"/>
  <c r="Z152" i="7"/>
  <c r="Z81" i="7"/>
  <c r="V1318" i="7"/>
  <c r="N1342" i="7"/>
  <c r="N1074" i="7"/>
  <c r="Z1286" i="7"/>
  <c r="Z1025" i="7"/>
  <c r="Z526" i="7"/>
  <c r="Z464" i="7"/>
  <c r="Z1319" i="7"/>
  <c r="Z1068" i="7"/>
  <c r="Z545" i="7"/>
  <c r="Z1289" i="7"/>
  <c r="Z1028" i="7"/>
  <c r="Z529" i="7"/>
  <c r="Z437" i="7"/>
  <c r="Z273" i="7"/>
  <c r="Z156" i="7"/>
  <c r="Z86" i="7"/>
  <c r="V1333" i="7"/>
  <c r="N271" i="7"/>
  <c r="N1298" i="7"/>
  <c r="Z1044" i="7"/>
  <c r="Z465" i="7"/>
  <c r="Z175" i="7"/>
  <c r="Z64" i="7"/>
  <c r="N1328" i="7"/>
  <c r="N1073" i="7"/>
  <c r="N533" i="7"/>
  <c r="N469" i="7"/>
  <c r="N293" i="7"/>
  <c r="N248" i="7"/>
  <c r="Z1339" i="7"/>
  <c r="Z528" i="7"/>
  <c r="Z300" i="7"/>
  <c r="Z117" i="7"/>
  <c r="Z1333" i="7"/>
  <c r="Z500" i="7"/>
  <c r="Z302" i="7"/>
  <c r="Z118" i="7"/>
  <c r="V1323" i="7"/>
  <c r="N1289" i="7"/>
  <c r="N554" i="7"/>
  <c r="N503" i="7"/>
  <c r="N421" i="7"/>
  <c r="N256" i="7"/>
  <c r="N133" i="7"/>
  <c r="Z1034" i="7"/>
  <c r="Z427" i="7"/>
  <c r="Z151" i="7"/>
  <c r="Z38" i="7"/>
  <c r="N1320" i="7"/>
  <c r="N1025" i="7"/>
  <c r="N525" i="7"/>
  <c r="N445" i="7"/>
  <c r="N291" i="7"/>
  <c r="N160" i="7"/>
  <c r="Z1084" i="7"/>
  <c r="Z457" i="7"/>
  <c r="Z1283" i="7"/>
  <c r="Z1043" i="7"/>
  <c r="Z523" i="7"/>
  <c r="Z461" i="7"/>
  <c r="Z303" i="7"/>
  <c r="Z150" i="7"/>
  <c r="Z79" i="7"/>
  <c r="Z27" i="7"/>
  <c r="N169" i="7"/>
  <c r="N1091" i="7"/>
  <c r="Z1293" i="7"/>
  <c r="Z1032" i="7"/>
  <c r="Z503" i="7"/>
  <c r="Z441" i="7"/>
  <c r="Z238" i="7"/>
  <c r="Z141" i="7"/>
  <c r="Z62" i="7"/>
  <c r="V1326" i="7"/>
  <c r="N1336" i="7"/>
  <c r="N1082" i="7"/>
  <c r="Z1294" i="7"/>
  <c r="Z1033" i="7"/>
  <c r="Z504" i="7"/>
  <c r="Z442" i="7"/>
  <c r="Z1310" i="7"/>
  <c r="Z1050" i="7"/>
  <c r="Z553" i="7"/>
  <c r="Z1297" i="7"/>
  <c r="Z1036" i="7"/>
  <c r="Z507" i="7"/>
  <c r="Z445" i="7"/>
  <c r="Z242" i="7"/>
  <c r="Z125" i="7"/>
  <c r="Z58" i="7"/>
  <c r="V1314" i="7"/>
  <c r="N1347" i="7"/>
  <c r="N1097" i="7"/>
  <c r="Z1026" i="7"/>
  <c r="Z422" i="7"/>
  <c r="Z168" i="7"/>
  <c r="Z47" i="7"/>
  <c r="N180" i="7"/>
  <c r="N1047" i="7"/>
  <c r="N541" i="7"/>
  <c r="N477" i="7"/>
  <c r="N301" i="7"/>
  <c r="N163" i="7"/>
  <c r="Z1323" i="7"/>
  <c r="Z491" i="7"/>
  <c r="Z239" i="7"/>
  <c r="Z99" i="7"/>
  <c r="Z1326" i="7"/>
  <c r="Z493" i="7"/>
  <c r="Z240" i="7"/>
  <c r="Z101" i="7"/>
  <c r="V1294" i="7"/>
  <c r="N1094" i="7"/>
  <c r="N562" i="7"/>
  <c r="N511" i="7"/>
  <c r="N429" i="7"/>
  <c r="N264" i="7"/>
  <c r="N112" i="7"/>
  <c r="Z533" i="7"/>
  <c r="Z278" i="7"/>
  <c r="Z124" i="7"/>
  <c r="Z26" i="7"/>
  <c r="N1304" i="7"/>
  <c r="N1033" i="7"/>
  <c r="N496" i="7"/>
  <c r="N453" i="7"/>
  <c r="N249" i="7"/>
  <c r="N126" i="7"/>
  <c r="Z1054" i="7"/>
  <c r="Z443" i="7"/>
  <c r="Z161" i="7"/>
  <c r="Z41" i="7"/>
  <c r="N1039" i="7"/>
  <c r="N1051" i="7"/>
  <c r="N532" i="7"/>
  <c r="N455" i="7"/>
  <c r="N276" i="7"/>
  <c r="N167" i="7"/>
  <c r="Z1304" i="7"/>
  <c r="Z499" i="7"/>
  <c r="Z245" i="7"/>
  <c r="Z1091" i="7"/>
  <c r="Z1038" i="7"/>
  <c r="Z509" i="7"/>
  <c r="Z447" i="7"/>
  <c r="Z244" i="7"/>
  <c r="Z127" i="7"/>
  <c r="Z60" i="7"/>
  <c r="V1316" i="7"/>
  <c r="N1334" i="7"/>
  <c r="N1080" i="7"/>
  <c r="Z1074" i="7"/>
  <c r="Z562" i="7"/>
  <c r="Z496" i="7"/>
  <c r="Z428" i="7"/>
  <c r="Z254" i="7"/>
  <c r="Z137" i="7"/>
  <c r="Z48" i="7"/>
  <c r="V1300" i="7"/>
  <c r="N1325" i="7"/>
  <c r="Z1343" i="7"/>
  <c r="Z1075" i="7"/>
  <c r="Z563" i="7"/>
  <c r="Z497" i="7"/>
  <c r="Z429" i="7"/>
  <c r="Z1288" i="7"/>
  <c r="Z1027" i="7"/>
  <c r="Z1332" i="7"/>
  <c r="Z1078" i="7"/>
  <c r="Z566" i="7"/>
  <c r="Z490" i="7"/>
  <c r="Z432" i="7"/>
  <c r="Z258" i="7"/>
  <c r="Z111" i="7"/>
  <c r="Z44" i="7"/>
  <c r="V1305" i="7"/>
  <c r="N1313" i="7"/>
  <c r="N1086" i="7"/>
  <c r="Z547" i="7"/>
  <c r="Z286" i="7"/>
  <c r="Z132" i="7"/>
  <c r="Z22" i="7"/>
  <c r="N1316" i="7"/>
  <c r="N1038" i="7"/>
  <c r="N522" i="7"/>
  <c r="N442" i="7"/>
  <c r="N288" i="7"/>
  <c r="N157" i="7"/>
  <c r="Z1076" i="7"/>
  <c r="Z450" i="7"/>
  <c r="Z264" i="7"/>
  <c r="Z65" i="7"/>
  <c r="Z1079" i="7"/>
  <c r="Z452" i="7"/>
  <c r="Z265" i="7"/>
  <c r="Z67" i="7"/>
  <c r="N1100" i="7"/>
  <c r="N1066" i="7"/>
  <c r="N535" i="7"/>
  <c r="N471" i="7"/>
  <c r="N295" i="7"/>
  <c r="N172" i="7"/>
  <c r="Z1335" i="7"/>
  <c r="Z502" i="7"/>
  <c r="Z304" i="7"/>
  <c r="Z120" i="7"/>
  <c r="V1325" i="7"/>
  <c r="N1095" i="7"/>
  <c r="N563" i="7"/>
  <c r="N512" i="7"/>
  <c r="N430" i="7"/>
  <c r="N235" i="7"/>
  <c r="N113" i="7"/>
  <c r="Z536" i="7"/>
  <c r="Z280" i="7"/>
  <c r="N225" i="7"/>
  <c r="N674" i="7"/>
  <c r="N1129" i="7"/>
  <c r="D602" i="6"/>
  <c r="H601" i="6"/>
  <c r="I37" i="3"/>
  <c r="H358" i="6"/>
  <c r="C359" i="6"/>
  <c r="H257" i="6"/>
  <c r="C258" i="6"/>
  <c r="H55" i="6"/>
  <c r="D56" i="6"/>
  <c r="H40" i="4"/>
  <c r="H41" i="4" s="1"/>
  <c r="Z1348" i="7" l="1"/>
  <c r="R89" i="7"/>
  <c r="R1351" i="7" s="1"/>
  <c r="N1348" i="7"/>
  <c r="Z1100" i="7"/>
  <c r="Z180" i="7"/>
  <c r="Z1344" i="7"/>
  <c r="Z488" i="7"/>
  <c r="Z144" i="7"/>
  <c r="Z1328" i="7"/>
  <c r="V1328" i="7"/>
  <c r="Z572" i="7"/>
  <c r="Z1308" i="7"/>
  <c r="Z309" i="7"/>
  <c r="Z271" i="7"/>
  <c r="Z1039" i="7"/>
  <c r="Z71" i="7"/>
  <c r="Z1069" i="7"/>
  <c r="Z1088" i="7"/>
  <c r="Z1061" i="7"/>
  <c r="V1308" i="7"/>
  <c r="Z169" i="7"/>
  <c r="Z530" i="7"/>
  <c r="Z89" i="7"/>
  <c r="Z1337" i="7"/>
  <c r="H602" i="6"/>
  <c r="D603" i="6"/>
  <c r="H603" i="6" s="1"/>
  <c r="H604" i="6" s="1"/>
  <c r="J604" i="6" s="1"/>
  <c r="I39" i="4"/>
  <c r="I40" i="4" s="1"/>
  <c r="H359" i="6"/>
  <c r="C360" i="6"/>
  <c r="H258" i="6"/>
  <c r="C259" i="6"/>
  <c r="D57" i="6"/>
  <c r="H56" i="6"/>
  <c r="N1351" i="7" l="1"/>
  <c r="V1351" i="7"/>
  <c r="Z1351" i="7"/>
  <c r="I41" i="4"/>
  <c r="H360" i="6"/>
  <c r="C361" i="6"/>
  <c r="H259" i="6"/>
  <c r="C260" i="6"/>
  <c r="H57" i="6"/>
  <c r="D58" i="6"/>
  <c r="H361" i="6" l="1"/>
  <c r="C362" i="6"/>
  <c r="H260" i="6"/>
  <c r="C261" i="6"/>
  <c r="H58" i="6"/>
  <c r="D59" i="6"/>
  <c r="H362" i="6" l="1"/>
  <c r="C363" i="6"/>
  <c r="H261" i="6"/>
  <c r="C262" i="6"/>
  <c r="D60" i="6"/>
  <c r="H59" i="6"/>
  <c r="H363" i="6" l="1"/>
  <c r="C364" i="6"/>
  <c r="H262" i="6"/>
  <c r="C263" i="6"/>
  <c r="D61" i="6"/>
  <c r="H60" i="6"/>
  <c r="H364" i="6" l="1"/>
  <c r="C365" i="6"/>
  <c r="H263" i="6"/>
  <c r="C264" i="6"/>
  <c r="D62" i="6"/>
  <c r="H61" i="6"/>
  <c r="H365" i="6" l="1"/>
  <c r="C366" i="6"/>
  <c r="H264" i="6"/>
  <c r="C265" i="6"/>
  <c r="H62" i="6"/>
  <c r="D63" i="6"/>
  <c r="H366" i="6" l="1"/>
  <c r="C367" i="6"/>
  <c r="H265" i="6"/>
  <c r="C266" i="6"/>
  <c r="D64" i="6"/>
  <c r="H63" i="6"/>
  <c r="H367" i="6" l="1"/>
  <c r="C368" i="6"/>
  <c r="H266" i="6"/>
  <c r="C267" i="6"/>
  <c r="H64" i="6"/>
  <c r="D65" i="6"/>
  <c r="H368" i="6" l="1"/>
  <c r="C369" i="6"/>
  <c r="H267" i="6"/>
  <c r="C268" i="6"/>
  <c r="H65" i="6"/>
  <c r="D66" i="6"/>
  <c r="H369" i="6" l="1"/>
  <c r="C370" i="6"/>
  <c r="H268" i="6"/>
  <c r="C269" i="6"/>
  <c r="H66" i="6"/>
  <c r="D67" i="6"/>
  <c r="H370" i="6" l="1"/>
  <c r="C371" i="6"/>
  <c r="H269" i="6"/>
  <c r="C270" i="6"/>
  <c r="D68" i="6"/>
  <c r="H67" i="6"/>
  <c r="H371" i="6" l="1"/>
  <c r="C372" i="6"/>
  <c r="H270" i="6"/>
  <c r="C271" i="6"/>
  <c r="D69" i="6"/>
  <c r="H68" i="6"/>
  <c r="H372" i="6" l="1"/>
  <c r="C373" i="6"/>
  <c r="H271" i="6"/>
  <c r="C272" i="6"/>
  <c r="D70" i="6"/>
  <c r="H69" i="6"/>
  <c r="H373" i="6" l="1"/>
  <c r="C374" i="6"/>
  <c r="H272" i="6"/>
  <c r="C273" i="6"/>
  <c r="D71" i="6"/>
  <c r="H70" i="6"/>
  <c r="H374" i="6" l="1"/>
  <c r="C375" i="6"/>
  <c r="H273" i="6"/>
  <c r="C274" i="6"/>
  <c r="H71" i="6"/>
  <c r="D72" i="6"/>
  <c r="H375" i="6" l="1"/>
  <c r="C376" i="6"/>
  <c r="H274" i="6"/>
  <c r="C275" i="6"/>
  <c r="H72" i="6"/>
  <c r="D73" i="6"/>
  <c r="H376" i="6" l="1"/>
  <c r="C377" i="6"/>
  <c r="H275" i="6"/>
  <c r="C276" i="6"/>
  <c r="D74" i="6"/>
  <c r="H73" i="6"/>
  <c r="H377" i="6" l="1"/>
  <c r="C378" i="6"/>
  <c r="H276" i="6"/>
  <c r="C277" i="6"/>
  <c r="D75" i="6"/>
  <c r="H74" i="6"/>
  <c r="H378" i="6" l="1"/>
  <c r="C379" i="6"/>
  <c r="H277" i="6"/>
  <c r="C278" i="6"/>
  <c r="H75" i="6"/>
  <c r="D76" i="6"/>
  <c r="H379" i="6" l="1"/>
  <c r="C380" i="6"/>
  <c r="H278" i="6"/>
  <c r="C279" i="6"/>
  <c r="D77" i="6"/>
  <c r="H76" i="6"/>
  <c r="H380" i="6" l="1"/>
  <c r="C381" i="6"/>
  <c r="H279" i="6"/>
  <c r="C280" i="6"/>
  <c r="D78" i="6"/>
  <c r="H77" i="6"/>
  <c r="H381" i="6" l="1"/>
  <c r="C382" i="6"/>
  <c r="H280" i="6"/>
  <c r="C281" i="6"/>
  <c r="H78" i="6"/>
  <c r="D79" i="6"/>
  <c r="H382" i="6" l="1"/>
  <c r="C383" i="6"/>
  <c r="H281" i="6"/>
  <c r="C282" i="6"/>
  <c r="H79" i="6"/>
  <c r="D80" i="6"/>
  <c r="H383" i="6" l="1"/>
  <c r="C384" i="6"/>
  <c r="H282" i="6"/>
  <c r="C283" i="6"/>
  <c r="D81" i="6"/>
  <c r="H80" i="6"/>
  <c r="H384" i="6" l="1"/>
  <c r="C385" i="6"/>
  <c r="H283" i="6"/>
  <c r="C284" i="6"/>
  <c r="D82" i="6"/>
  <c r="H81" i="6"/>
  <c r="H385" i="6" l="1"/>
  <c r="C386" i="6"/>
  <c r="H284" i="6"/>
  <c r="C285" i="6"/>
  <c r="D83" i="6"/>
  <c r="H82" i="6"/>
  <c r="H386" i="6" l="1"/>
  <c r="C387" i="6"/>
  <c r="H285" i="6"/>
  <c r="C286" i="6"/>
  <c r="H83" i="6"/>
  <c r="D84" i="6"/>
  <c r="H387" i="6" l="1"/>
  <c r="C388" i="6"/>
  <c r="H286" i="6"/>
  <c r="C287" i="6"/>
  <c r="D85" i="6"/>
  <c r="H84" i="6"/>
  <c r="H388" i="6" l="1"/>
  <c r="C389" i="6"/>
  <c r="H287" i="6"/>
  <c r="C288" i="6"/>
  <c r="H85" i="6"/>
  <c r="D86" i="6"/>
  <c r="H389" i="6" l="1"/>
  <c r="C390" i="6"/>
  <c r="H288" i="6"/>
  <c r="C289" i="6"/>
  <c r="H86" i="6"/>
  <c r="D87" i="6"/>
  <c r="H390" i="6" l="1"/>
  <c r="C391" i="6"/>
  <c r="H289" i="6"/>
  <c r="C290" i="6"/>
  <c r="D88" i="6"/>
  <c r="H87" i="6"/>
  <c r="H391" i="6" l="1"/>
  <c r="C392" i="6"/>
  <c r="H290" i="6"/>
  <c r="C291" i="6"/>
  <c r="H88" i="6"/>
  <c r="D89" i="6"/>
  <c r="H392" i="6" l="1"/>
  <c r="C393" i="6"/>
  <c r="H291" i="6"/>
  <c r="C292" i="6"/>
  <c r="H89" i="6"/>
  <c r="D90" i="6"/>
  <c r="H393" i="6" l="1"/>
  <c r="C394" i="6"/>
  <c r="H292" i="6"/>
  <c r="C293" i="6"/>
  <c r="D91" i="6"/>
  <c r="H90" i="6"/>
  <c r="H394" i="6" l="1"/>
  <c r="C395" i="6"/>
  <c r="H293" i="6"/>
  <c r="C294" i="6"/>
  <c r="D92" i="6"/>
  <c r="H91" i="6"/>
  <c r="H395" i="6" l="1"/>
  <c r="C396" i="6"/>
  <c r="H294" i="6"/>
  <c r="C295" i="6"/>
  <c r="D93" i="6"/>
  <c r="H92" i="6"/>
  <c r="H396" i="6" l="1"/>
  <c r="C397" i="6"/>
  <c r="H295" i="6"/>
  <c r="C296" i="6"/>
  <c r="D94" i="6"/>
  <c r="H93" i="6"/>
  <c r="H397" i="6" l="1"/>
  <c r="C398" i="6"/>
  <c r="H296" i="6"/>
  <c r="C297" i="6"/>
  <c r="H94" i="6"/>
  <c r="D95" i="6"/>
  <c r="H398" i="6" l="1"/>
  <c r="C399" i="6"/>
  <c r="H297" i="6"/>
  <c r="C298" i="6"/>
  <c r="H95" i="6"/>
  <c r="D96" i="6"/>
  <c r="H399" i="6" l="1"/>
  <c r="C400" i="6"/>
  <c r="H298" i="6"/>
  <c r="C299" i="6"/>
  <c r="H96" i="6"/>
  <c r="D97" i="6"/>
  <c r="H400" i="6" l="1"/>
  <c r="C401" i="6"/>
  <c r="H299" i="6"/>
  <c r="C300" i="6"/>
  <c r="D98" i="6"/>
  <c r="H97" i="6"/>
  <c r="H401" i="6" l="1"/>
  <c r="C402" i="6"/>
  <c r="H300" i="6"/>
  <c r="C301" i="6"/>
  <c r="D99" i="6"/>
  <c r="H98" i="6"/>
  <c r="H402" i="6" l="1"/>
  <c r="C403" i="6"/>
  <c r="H301" i="6"/>
  <c r="C302" i="6"/>
  <c r="H99" i="6"/>
  <c r="D100" i="6"/>
  <c r="H403" i="6" l="1"/>
  <c r="C404" i="6"/>
  <c r="H302" i="6"/>
  <c r="C303" i="6"/>
  <c r="H100" i="6"/>
  <c r="D101" i="6"/>
  <c r="H404" i="6" l="1"/>
  <c r="C405" i="6"/>
  <c r="H303" i="6"/>
  <c r="C304" i="6"/>
  <c r="H101" i="6"/>
  <c r="D102" i="6"/>
  <c r="H405" i="6" l="1"/>
  <c r="C406" i="6"/>
  <c r="H304" i="6"/>
  <c r="C305" i="6"/>
  <c r="H102" i="6"/>
  <c r="D103" i="6"/>
  <c r="H406" i="6" l="1"/>
  <c r="C407" i="6"/>
  <c r="H305" i="6"/>
  <c r="C306" i="6"/>
  <c r="D104" i="6"/>
  <c r="H103" i="6"/>
  <c r="H407" i="6" l="1"/>
  <c r="C408" i="6"/>
  <c r="H306" i="6"/>
  <c r="C307" i="6"/>
  <c r="H104" i="6"/>
  <c r="D105" i="6"/>
  <c r="H408" i="6" l="1"/>
  <c r="C409" i="6"/>
  <c r="H307" i="6"/>
  <c r="C308" i="6"/>
  <c r="H105" i="6"/>
  <c r="D106" i="6"/>
  <c r="H409" i="6" l="1"/>
  <c r="C410" i="6"/>
  <c r="H308" i="6"/>
  <c r="C309" i="6"/>
  <c r="H106" i="6"/>
  <c r="D107" i="6"/>
  <c r="H410" i="6" l="1"/>
  <c r="C411" i="6"/>
  <c r="H309" i="6"/>
  <c r="C310" i="6"/>
  <c r="D108" i="6"/>
  <c r="H107" i="6"/>
  <c r="H411" i="6" l="1"/>
  <c r="C412" i="6"/>
  <c r="H310" i="6"/>
  <c r="C311" i="6"/>
  <c r="H108" i="6"/>
  <c r="D109" i="6"/>
  <c r="H412" i="6" l="1"/>
  <c r="C413" i="6"/>
  <c r="H311" i="6"/>
  <c r="C312" i="6"/>
  <c r="H109" i="6"/>
  <c r="D110" i="6"/>
  <c r="H413" i="6" l="1"/>
  <c r="C414" i="6"/>
  <c r="H312" i="6"/>
  <c r="C313" i="6"/>
  <c r="H110" i="6"/>
  <c r="D111" i="6"/>
  <c r="H414" i="6" l="1"/>
  <c r="C415" i="6"/>
  <c r="H313" i="6"/>
  <c r="C314" i="6"/>
  <c r="H111" i="6"/>
  <c r="D112" i="6"/>
  <c r="H415" i="6" l="1"/>
  <c r="C416" i="6"/>
  <c r="H314" i="6"/>
  <c r="C315" i="6"/>
  <c r="H112" i="6"/>
  <c r="D113" i="6"/>
  <c r="H416" i="6" l="1"/>
  <c r="C417" i="6"/>
  <c r="H315" i="6"/>
  <c r="C316" i="6"/>
  <c r="D114" i="6"/>
  <c r="H113" i="6"/>
  <c r="H417" i="6" l="1"/>
  <c r="C418" i="6"/>
  <c r="H316" i="6"/>
  <c r="C317" i="6"/>
  <c r="H114" i="6"/>
  <c r="D115" i="6"/>
  <c r="H418" i="6" l="1"/>
  <c r="C419" i="6"/>
  <c r="H317" i="6"/>
  <c r="C318" i="6"/>
  <c r="H115" i="6"/>
  <c r="D116" i="6"/>
  <c r="H419" i="6" l="1"/>
  <c r="C420" i="6"/>
  <c r="H318" i="6"/>
  <c r="C319" i="6"/>
  <c r="H116" i="6"/>
  <c r="D117" i="6"/>
  <c r="H420" i="6" l="1"/>
  <c r="C421" i="6"/>
  <c r="H319" i="6"/>
  <c r="C320" i="6"/>
  <c r="D118" i="6"/>
  <c r="H117" i="6"/>
  <c r="H421" i="6" l="1"/>
  <c r="C422" i="6"/>
  <c r="H320" i="6"/>
  <c r="C321" i="6"/>
  <c r="H118" i="6"/>
  <c r="D119" i="6"/>
  <c r="H422" i="6" l="1"/>
  <c r="C423" i="6"/>
  <c r="H423" i="6" s="1"/>
  <c r="H424" i="6" s="1"/>
  <c r="J424" i="6" s="1"/>
  <c r="H321" i="6"/>
  <c r="C322" i="6"/>
  <c r="D120" i="6"/>
  <c r="H120" i="6" s="1"/>
  <c r="H119" i="6"/>
  <c r="H322" i="6" l="1"/>
  <c r="C323" i="6"/>
  <c r="H323" i="6" s="1"/>
  <c r="H324" i="6" s="1"/>
  <c r="J324" i="6" s="1"/>
  <c r="H121" i="6"/>
  <c r="J121" i="6" s="1"/>
</calcChain>
</file>

<file path=xl/sharedStrings.xml><?xml version="1.0" encoding="utf-8"?>
<sst xmlns="http://schemas.openxmlformats.org/spreadsheetml/2006/main" count="25731" uniqueCount="3417">
  <si>
    <t>ANALISA BIAYA SURVEY MEKANIKA TANAH</t>
  </si>
  <si>
    <t>NO</t>
  </si>
  <si>
    <t>URAIAN</t>
  </si>
  <si>
    <t>SAT.</t>
  </si>
  <si>
    <t>VOL.</t>
  </si>
  <si>
    <t>HARGA SAT.</t>
  </si>
  <si>
    <t>JUMLAH</t>
  </si>
  <si>
    <t>KETERANGAN</t>
  </si>
  <si>
    <t>Pengeboran Mesin</t>
  </si>
  <si>
    <t>Pengeboran mesin</t>
  </si>
  <si>
    <t>m</t>
  </si>
  <si>
    <t>Jumlah</t>
  </si>
  <si>
    <t>Pengujian Standard Penetrasi</t>
  </si>
  <si>
    <t>SPT</t>
  </si>
  <si>
    <t>kali</t>
  </si>
  <si>
    <t>Pengambilan Sampel Tanah</t>
  </si>
  <si>
    <t>Uji sampel di Laboratorium</t>
  </si>
  <si>
    <t>HARGA PP 38 TAHUN 2012</t>
  </si>
  <si>
    <t>Pengambilan sampe tanah DS dan UDS</t>
  </si>
  <si>
    <t>tabung</t>
  </si>
  <si>
    <t>Kadar air</t>
  </si>
  <si>
    <t>Berat Jenis Tanah</t>
  </si>
  <si>
    <t>Atterberg Limit</t>
  </si>
  <si>
    <t>Analisa Saringan</t>
  </si>
  <si>
    <t>Hidrometer</t>
  </si>
  <si>
    <t>sampel</t>
  </si>
  <si>
    <t>Shringkage Limit</t>
  </si>
  <si>
    <t>Unconfined Compression Test</t>
  </si>
  <si>
    <t>Konsolidasi</t>
  </si>
  <si>
    <t>Berat Isi</t>
  </si>
  <si>
    <t>Kuat Geser (UU)</t>
  </si>
  <si>
    <t>Kuat Geser (CU/CD)</t>
  </si>
  <si>
    <t>Kuat Geser Residual</t>
  </si>
  <si>
    <t>Permeabilitas</t>
  </si>
  <si>
    <t>Triaxial UU</t>
  </si>
  <si>
    <t>Kuat Geser</t>
  </si>
  <si>
    <t>Triaxial (CU)</t>
  </si>
  <si>
    <t>Triaxial</t>
  </si>
  <si>
    <t>Uji Bor Tangan (maksimum kedalaman 5 meter)</t>
  </si>
  <si>
    <t>Bor Tangan</t>
  </si>
  <si>
    <t>Uji Sondir (Dutch Cone Penetration Test)</t>
  </si>
  <si>
    <t>Uji Sondir</t>
  </si>
  <si>
    <t>titik</t>
  </si>
  <si>
    <t>Bagan untuk Bor Mesin di Laut</t>
  </si>
  <si>
    <t>Pembuatan Bagan</t>
  </si>
  <si>
    <t>Mob Demob Alat Survey Mekanika Tanah (Jakarta)</t>
  </si>
  <si>
    <t>Sewa truk 100 HP</t>
  </si>
  <si>
    <t>Trip</t>
  </si>
  <si>
    <t>Biaya Bahan bakar</t>
  </si>
  <si>
    <t>ls</t>
  </si>
  <si>
    <t>Biaya pelumas</t>
  </si>
  <si>
    <t>Tenaga kerja</t>
  </si>
  <si>
    <t>TABEL 3-16</t>
  </si>
  <si>
    <t>BIAYA LANGSUNG PERSONIL (REMUNERATION/BILLING RATE TAHUN 2016)</t>
  </si>
  <si>
    <t>UNTUK TENAGA SUB PROFESIONAL</t>
  </si>
  <si>
    <t>BILLING RATE INKINDO TAHUN 2016</t>
  </si>
  <si>
    <t>No.</t>
  </si>
  <si>
    <t>PERSONIL</t>
  </si>
  <si>
    <t>Rp. /Bln</t>
  </si>
  <si>
    <t>CAD/CAM Operator</t>
  </si>
  <si>
    <t>Software programmer/</t>
  </si>
  <si>
    <t>PROYEK</t>
  </si>
  <si>
    <t>:</t>
  </si>
  <si>
    <t>KAMPUNG NELAYAN MERAH PUTIH</t>
  </si>
  <si>
    <t>LOKASI</t>
  </si>
  <si>
    <t>DESA TAMBAKAGUNG, KEC. KALIORI</t>
  </si>
  <si>
    <t>KAB. REMBANG  - PROVINSI JAWA TENGAH</t>
  </si>
  <si>
    <t>TAHUN ANGGARAN</t>
  </si>
  <si>
    <t>JENIS PEKERJAAN</t>
  </si>
  <si>
    <t>NILAI PEKERJAAN</t>
  </si>
  <si>
    <t>NILAI TKDN</t>
  </si>
  <si>
    <t>KDN</t>
  </si>
  <si>
    <t>I. JUMLAH</t>
  </si>
  <si>
    <t>II. PPN 11 %</t>
  </si>
  <si>
    <t>III. TOTAL I + II</t>
  </si>
  <si>
    <t>IV. DIBULATKAN</t>
  </si>
  <si>
    <t>PERHITUNGAN TALUD DINDING PENAHAN TANAH</t>
  </si>
  <si>
    <t>PANJANG</t>
  </si>
  <si>
    <t>LEBAR</t>
  </si>
  <si>
    <t>TINGGI</t>
  </si>
  <si>
    <t>UNIT</t>
  </si>
  <si>
    <t>VOLUME</t>
  </si>
  <si>
    <t>SAT</t>
  </si>
  <si>
    <t>PEMBULATAN</t>
  </si>
  <si>
    <t>I</t>
  </si>
  <si>
    <t>Pekerjaan Tangga Pendaratan (4X50) m²</t>
  </si>
  <si>
    <t>Pekerjaan Perancah untuk Jalan Kerja Tangga Pendaratan</t>
  </si>
  <si>
    <t>Lantai beton</t>
  </si>
  <si>
    <t>Bordes</t>
  </si>
  <si>
    <t>m²</t>
  </si>
  <si>
    <t>Pekerjaan Tapak dan Kolom Precast</t>
  </si>
  <si>
    <t>2.1.</t>
  </si>
  <si>
    <t>Pekerjaan Pondasi Tapak Precast 15x60x60 cm</t>
  </si>
  <si>
    <t>AS Vert</t>
  </si>
  <si>
    <t>AS Hz</t>
  </si>
  <si>
    <t>a</t>
  </si>
  <si>
    <t>Pekerjaan Bekesting Pondasi</t>
  </si>
  <si>
    <t>SISI BAWAH</t>
  </si>
  <si>
    <t>b</t>
  </si>
  <si>
    <t>Pembesian Besi Beton D13 mm</t>
  </si>
  <si>
    <t>kg</t>
  </si>
  <si>
    <t>c</t>
  </si>
  <si>
    <t>Cor Site Mix 1 : 2 : 3</t>
  </si>
  <si>
    <t>m³</t>
  </si>
  <si>
    <t>2.2.</t>
  </si>
  <si>
    <t>Pekerjaan Kolom Precast 15/15 cm (28 bh)</t>
  </si>
  <si>
    <t>Pekerjaan Bekesting Kolom</t>
  </si>
  <si>
    <t>sisi</t>
  </si>
  <si>
    <t>kolom A</t>
  </si>
  <si>
    <t>kolom B</t>
  </si>
  <si>
    <t>kolom C</t>
  </si>
  <si>
    <t>bordes</t>
  </si>
  <si>
    <t>Pembesian Besi Beton D13 mm s/d stek 50 cm ke Lantai</t>
  </si>
  <si>
    <t>Overlap ke Tapak</t>
  </si>
  <si>
    <t>Overlap ke Lantai</t>
  </si>
  <si>
    <t>Panjang Kolom sisi atas</t>
  </si>
  <si>
    <t>Total Overlap</t>
  </si>
  <si>
    <t>m¹</t>
  </si>
  <si>
    <t>Pembesian Besi Beton Ø 6 mm</t>
  </si>
  <si>
    <t>BJ Ø 6 mm</t>
  </si>
  <si>
    <t>Tambahan Tinggi Kolom</t>
  </si>
  <si>
    <t>d</t>
  </si>
  <si>
    <t>8.3.</t>
  </si>
  <si>
    <t>Pekerjaan Demobilisasi Kolom Dan Tapak Precast termasuk pasang Penyokong/Pengaku Tiang</t>
  </si>
  <si>
    <t>bh</t>
  </si>
  <si>
    <t>Pekerjaan Balok Bawah</t>
  </si>
  <si>
    <t>Pekerjaan Bekesting Balok</t>
  </si>
  <si>
    <t>Vertikal - sisi samping</t>
  </si>
  <si>
    <t>Vertikal - sisi bawah</t>
  </si>
  <si>
    <t>Horizontal - sisi samping</t>
  </si>
  <si>
    <t>Horizontal - sisi bawah</t>
  </si>
  <si>
    <t>Pembesian Besi Beton D 13 mm</t>
  </si>
  <si>
    <t>Pj Btg</t>
  </si>
  <si>
    <t>Bj</t>
  </si>
  <si>
    <t>Jml Btg</t>
  </si>
  <si>
    <t>Jml Balok</t>
  </si>
  <si>
    <t>Vertikal</t>
  </si>
  <si>
    <t>Horizontal + stek</t>
  </si>
  <si>
    <t>panjang tambah bordes bawah</t>
  </si>
  <si>
    <t>Jml begel</t>
  </si>
  <si>
    <t>Horizontal</t>
  </si>
  <si>
    <t>Faktor Pengurang</t>
  </si>
  <si>
    <t>e</t>
  </si>
  <si>
    <t>Pekerjaan Langsir Cor sejauh 120 m</t>
  </si>
  <si>
    <t>Pekerjaan Balok Atas 15/15 - Vertikal (TB-1)</t>
  </si>
  <si>
    <t>Pekerjaan Langsir Cor</t>
  </si>
  <si>
    <t>Pekerjaan Balok Atas 15/15 - Horizontal</t>
  </si>
  <si>
    <t>Pekerjaan Lantai Beton t = 10 cm</t>
  </si>
  <si>
    <t>Pekerjaan Bekesting Lantai</t>
  </si>
  <si>
    <t>Bordes atas</t>
  </si>
  <si>
    <t>Bordes bawah</t>
  </si>
  <si>
    <t>SISI SAMPING</t>
  </si>
  <si>
    <t>Pekerjaan Gelar Wiremesh M8-150 (1 lapis)</t>
  </si>
  <si>
    <t>Pembesian Besi Beton D 10 - 200 mm</t>
  </si>
  <si>
    <t>Melintang</t>
  </si>
  <si>
    <t>Memanjang</t>
  </si>
  <si>
    <t>Pek. Umpak Beton Tiang Lampu T = 35 cm (2 bh)</t>
  </si>
  <si>
    <t>Kepala sisi penutup samping</t>
  </si>
  <si>
    <t>Kepala sisi penutup bawah (alas)</t>
  </si>
  <si>
    <t>Badan</t>
  </si>
  <si>
    <t>Kaki</t>
  </si>
  <si>
    <t>Pembesian Besi Beton Ø 6 mm - 100</t>
  </si>
  <si>
    <t>Kepala</t>
  </si>
  <si>
    <t>Pekerjaan Bollard 15/15 cm</t>
  </si>
  <si>
    <t>Keliling lingkaran = 2πr</t>
  </si>
  <si>
    <t>Diameter Kepala 42 cm</t>
  </si>
  <si>
    <t>alas Kepala</t>
  </si>
  <si>
    <t>Diameter Badan 20 cm</t>
  </si>
  <si>
    <t>Diameter Kaki 32 cm</t>
  </si>
  <si>
    <t>Pekerjaan beton semi mekanis setara fc = 20</t>
  </si>
  <si>
    <t>Voliume</t>
  </si>
  <si>
    <t>π x r^2 x h</t>
  </si>
  <si>
    <t>Pek. Cat Umpak Beton Tiang Lampu T = 35 cm (2 bh)</t>
  </si>
  <si>
    <t>Pekerjaan Cat Umpak Beton</t>
  </si>
  <si>
    <t xml:space="preserve">Kepala </t>
  </si>
  <si>
    <t>Kepala (sisi bawah/alas)</t>
  </si>
  <si>
    <t>Kaki sisi atas (pertemuan dg badan)</t>
  </si>
  <si>
    <t>Pekerjaan Cat Bollard 15/15 cm</t>
  </si>
  <si>
    <t>Pekerjaan Cat Bolard</t>
  </si>
  <si>
    <t>Luas lingkaran = π x r^2</t>
  </si>
  <si>
    <t>Diameter Kepala 72 cm (sisi horisontal)</t>
  </si>
  <si>
    <t>Diameter Kepala 72 cm (sisi alas)</t>
  </si>
  <si>
    <t>Diameter Badan 62 cm (sisi vertikal)</t>
  </si>
  <si>
    <t>Diameter Kaki 72 cm (sisi horisontal)</t>
  </si>
  <si>
    <t>Diameter Kaki 72 cm (sisi vertikal)</t>
  </si>
  <si>
    <t>Pekerjaan Trap (belakang area parkir dan depan shelter)</t>
  </si>
  <si>
    <t>Pekerjaan Pondasi Rolaag Bata Tela</t>
  </si>
  <si>
    <t>tinggi rata2</t>
  </si>
  <si>
    <t>Sisi Bukit Pandang</t>
  </si>
  <si>
    <t>Sisi arah Pagar</t>
  </si>
  <si>
    <t>Pekerjaan Urugan Tanah T = 28 cm</t>
  </si>
  <si>
    <t>lebar rata2</t>
  </si>
  <si>
    <t>Pekerjaan Rabat Beton t = 7 cm</t>
  </si>
  <si>
    <t>Pekerjaan Plesteran</t>
  </si>
  <si>
    <t>Pekerjaan Acian</t>
  </si>
  <si>
    <t>Pekerjaan Finish Lantai Epoxcy Bordes Pendaratan</t>
  </si>
  <si>
    <t>BORDES ATAS</t>
  </si>
  <si>
    <t>BORDES BAWAH</t>
  </si>
  <si>
    <t>Faktor Pengurang luas pondasi lampu</t>
  </si>
  <si>
    <t>Faktor Pengurang luas bolard</t>
  </si>
  <si>
    <t>Pekerjaan Kanstin</t>
  </si>
  <si>
    <t>vertical</t>
  </si>
  <si>
    <t>horizontal</t>
  </si>
  <si>
    <t>Bekisting Kanstin</t>
  </si>
  <si>
    <t>Besi Kanstin D10 mm</t>
  </si>
  <si>
    <t>Besi Kanstin 4Ø 6 mm (begel)</t>
  </si>
  <si>
    <t>Beton Kanstin</t>
  </si>
  <si>
    <t>Pekerjaan Finish Cat Kanstin Tambatan</t>
  </si>
  <si>
    <t>Pekerjaan Trap Tangga Pendaratan</t>
  </si>
  <si>
    <t>9.1.</t>
  </si>
  <si>
    <t>Pekerjaan Lantai Tangga Beton t = 15 cm</t>
  </si>
  <si>
    <t>Pekerjaan Kayu Bekesting Lantai</t>
  </si>
  <si>
    <t>+ tekukan</t>
  </si>
  <si>
    <t>BJ</t>
  </si>
  <si>
    <t>lapis</t>
  </si>
  <si>
    <t>Pembesian Besi Beton D 16 - 150 mm</t>
  </si>
  <si>
    <t>Pembesian Besi Beton D 13 - 150 mm</t>
  </si>
  <si>
    <t>f</t>
  </si>
  <si>
    <t>Pekerjaan Pemadatan Beton dengan Vibrator</t>
  </si>
  <si>
    <t>9.2.</t>
  </si>
  <si>
    <t>Pekerjaan Trap Tangga Beton</t>
  </si>
  <si>
    <t>Pekerjaan Kayu Bekesting Sloof</t>
  </si>
  <si>
    <t>L segita 0,5</t>
  </si>
  <si>
    <t>sisi samping</t>
  </si>
  <si>
    <t>sisi depan</t>
  </si>
  <si>
    <t>Pembesian Besi Beton Ø 8 - 150 mm</t>
  </si>
  <si>
    <t>horisontal</t>
  </si>
  <si>
    <t>vertikal</t>
  </si>
  <si>
    <t>jumlah</t>
  </si>
  <si>
    <t>Pekerjaan Trap Tangga Pendaratan Kanan &amp; Kiri (sisi turap)</t>
  </si>
  <si>
    <t>Pekerjaan Pasangan Batu Karang</t>
  </si>
  <si>
    <t>~ Depan Shelter (6 trap)</t>
  </si>
  <si>
    <t>Trap 1 (bwh)</t>
  </si>
  <si>
    <t>Trap 2</t>
  </si>
  <si>
    <t>Trap 3</t>
  </si>
  <si>
    <t>Trap 4</t>
  </si>
  <si>
    <t>Trap 5</t>
  </si>
  <si>
    <t>Trap 6 (atas)</t>
  </si>
  <si>
    <t>~ Belakang area Parkir kawasan (4 trap)</t>
  </si>
  <si>
    <t>~ Pedestrian Sisi Bukit Pandang (6 trap)</t>
  </si>
  <si>
    <t>tebal</t>
  </si>
  <si>
    <t>Sisi samping</t>
  </si>
  <si>
    <t>Sisi trap (sisi tegak)</t>
  </si>
  <si>
    <t>Sisi trap (sisi injak)</t>
  </si>
  <si>
    <t>~ Pedestrian Sisi arah Pagar</t>
  </si>
  <si>
    <t>Sisi trap (tegak)</t>
  </si>
  <si>
    <t>Sisi trap (injak)</t>
  </si>
  <si>
    <t>Begisting selimut beton</t>
  </si>
  <si>
    <t>Pekerjaan Trap Tangga Beton Kanan &amp; Kiri (sisi Tambatan Perahu)</t>
  </si>
  <si>
    <t>Bekisting Anak Tangga (alas)</t>
  </si>
  <si>
    <t>Bekisting Anak Tangga (sisi tebal)</t>
  </si>
  <si>
    <t xml:space="preserve">Bekisting Tiang (alas) </t>
  </si>
  <si>
    <t xml:space="preserve">Bekisting Tiang (sisi samping Kn-Kr) </t>
  </si>
  <si>
    <t xml:space="preserve">Bekisting Tiang (sisi Penutup) </t>
  </si>
  <si>
    <t>Bekisting telapak</t>
  </si>
  <si>
    <t>Bekisting balok tumpuan tangga</t>
  </si>
  <si>
    <t>jml baris</t>
  </si>
  <si>
    <t>Besi  Anak Tangga (sisi panjang) Ø8 mm</t>
  </si>
  <si>
    <t>Besi  Anak Tangga (sisi melintang) Ø8 mm</t>
  </si>
  <si>
    <t xml:space="preserve">Besi tiang tangga (sisi memanjang) Ø 8 mm </t>
  </si>
  <si>
    <t xml:space="preserve">Besi tiang tangga (sisi melintang) Ø 8 mm </t>
  </si>
  <si>
    <t>Besi telapak Ø 8 mm</t>
  </si>
  <si>
    <t>Besi balok tumpuan tangga Ø 8 mm</t>
  </si>
  <si>
    <t>Besi Beugel balok tumpuan tangga  Ø 6 mm</t>
  </si>
  <si>
    <t>Beton 1 : 2 : 3</t>
  </si>
  <si>
    <t>Beton Anak Tangga</t>
  </si>
  <si>
    <t>m3</t>
  </si>
  <si>
    <t xml:space="preserve">Beton Tiang </t>
  </si>
  <si>
    <t>Beton telapak</t>
  </si>
  <si>
    <t>~ Pedestrian Sisi Bukit Pandang</t>
  </si>
  <si>
    <t>Sisi trap</t>
  </si>
  <si>
    <t>Pek. Urugan Batu Karang T = 90 cm (area Shelter)</t>
  </si>
  <si>
    <t>Pedestrian Sisi Bukit Pandang</t>
  </si>
  <si>
    <t>Pedestrian Sisi arah Pagar</t>
  </si>
  <si>
    <t>Pekerjaan Urugan Tanah T = 20 cm (area Shelter)</t>
  </si>
  <si>
    <t>Pekerjaan Lantai Rabat Beton 1:2:3 (Pangkal Tambatan ke Kawasan)</t>
  </si>
  <si>
    <t>Pekerjaan Tambatan Perahu (4X50) m²</t>
  </si>
  <si>
    <t>Pekerjaan Perancah untuk Pekerjaan Tambatan Perahu (badan kontruksi &amp; 2 sisi Jalan bantu L = 1,2 m)</t>
  </si>
  <si>
    <t>Pekerjaan Bongkaran Perancah</t>
  </si>
  <si>
    <t>Pekerjaan Bongkaran Tambatan Existing</t>
  </si>
  <si>
    <t>8.1.</t>
  </si>
  <si>
    <t>8.2.</t>
  </si>
  <si>
    <t>Pekerjaan Kolom Precast 15/15 cm</t>
  </si>
  <si>
    <t>Pekerjaan Balok Bawah 15/15</t>
  </si>
  <si>
    <t>Melintang (sisi samping kn &amp; kr)</t>
  </si>
  <si>
    <t>Melintang (sisi bawah)</t>
  </si>
  <si>
    <t>Memanjang (sisi samping kn &amp; kr)</t>
  </si>
  <si>
    <t>Memanjang (sisi bawah)</t>
  </si>
  <si>
    <t>Memanjang + stek</t>
  </si>
  <si>
    <t>Pekerjaan Langsir Cor sejauh 30 m</t>
  </si>
  <si>
    <t>Pekerjaan Balok Atas 15/25 - Vertikal (TB-1)</t>
  </si>
  <si>
    <t>sisi bawah</t>
  </si>
  <si>
    <t>Pekerjaan Balok Atas 15/25 - Horizontal</t>
  </si>
  <si>
    <t>Pek. Umpak Beton Tiang Lampu T = 35 cm</t>
  </si>
  <si>
    <t>Pek. Cat Umpak Beton Tiang Lampu T = 35 cm</t>
  </si>
  <si>
    <t>Pekerjaan Finish Lantai Epoxcy Tambatan</t>
  </si>
  <si>
    <t>Besi Kanstin Ø 6 mm (begel)</t>
  </si>
  <si>
    <t>VOL</t>
  </si>
  <si>
    <t>HARGA SATUAN</t>
  </si>
  <si>
    <t>JUMLAH HARGA</t>
  </si>
  <si>
    <t>JUMLAH HPS</t>
  </si>
  <si>
    <t>TIMPANG</t>
  </si>
  <si>
    <t>PEKERJAAN PERSIAPAN</t>
  </si>
  <si>
    <t>Buat Bedeng Pekerja Dan Gudang</t>
  </si>
  <si>
    <t>Pekerjaan Sewa Rumah untuk Direksi Keetz</t>
  </si>
  <si>
    <t>bln</t>
  </si>
  <si>
    <t>Papan Nama Proyek</t>
  </si>
  <si>
    <t>Listrik Kerja</t>
  </si>
  <si>
    <t>Pekerjaan Pagar Sementara</t>
  </si>
  <si>
    <t>Pekerjaan Pengadaan SMK3K</t>
  </si>
  <si>
    <t>6.1.</t>
  </si>
  <si>
    <t>Penyiapan RK3K, terdiri atas :</t>
  </si>
  <si>
    <t>Pembuatan Manual, Prosedur, Instruksi Kerja, Ijin Kerja dan Formulir</t>
  </si>
  <si>
    <t>set</t>
  </si>
  <si>
    <t>Pembuatan Kartu Identitas Pekerja (KIP)</t>
  </si>
  <si>
    <t>org</t>
  </si>
  <si>
    <t>6.2.</t>
  </si>
  <si>
    <t>Sosialisasi dan Promosi K3, terdiri atas :</t>
  </si>
  <si>
    <t>Induksi K3 (Safety Induction) ; khusus untuk pekerja baru</t>
  </si>
  <si>
    <t>Pengarahan K3 (Safety Briefing) :</t>
  </si>
  <si>
    <t>6.3.</t>
  </si>
  <si>
    <t>Alat Pelindung Kerja, terdiri atas :</t>
  </si>
  <si>
    <t>Pembatas Area (Restricted Area)</t>
  </si>
  <si>
    <t>6.4.</t>
  </si>
  <si>
    <t>Alat Pelindung Diri, terdiri atas :</t>
  </si>
  <si>
    <t>Topi Pelindung (Safety Helmet)</t>
  </si>
  <si>
    <t>Pelindung Pernapasan dan Mulut (Masker)</t>
  </si>
  <si>
    <t>Sarung Tangan (Safety Gloves)</t>
  </si>
  <si>
    <t>psg</t>
  </si>
  <si>
    <t>Sepatu Keselamatan (Rubber Safety Shoes and Toe Cap)</t>
  </si>
  <si>
    <t>Rompi Keselamatan ( Safety vest)</t>
  </si>
  <si>
    <t>6.5.</t>
  </si>
  <si>
    <t>Asuransi dan Perijinan, terdiri atas :</t>
  </si>
  <si>
    <t>BPJS Ketenagakerjaan dan Kesehatan Kerja ; (BERDASARKAN KEPMENAKER NOMOR 44 TAHUN 2015 tentang</t>
  </si>
  <si>
    <t>Program JK bagi pekerja harian lepas, borongan</t>
  </si>
  <si>
    <t>6.6.</t>
  </si>
  <si>
    <t>Personil K3, terdiri atas :</t>
  </si>
  <si>
    <t>Petugas K3</t>
  </si>
  <si>
    <t>6.7.</t>
  </si>
  <si>
    <t>Fasilitas Sarana Kesehatan, terdiri atas :</t>
  </si>
  <si>
    <t>Peralatan P3K (Kotak P3K, Tandu, Tabung Oksigen, Obat Luka, Perban, dll)</t>
  </si>
  <si>
    <t>6.8.</t>
  </si>
  <si>
    <t>Rambu-rambu ukuran min. 90x90, terdiri atas :</t>
  </si>
  <si>
    <t>Rambu Petunjuk</t>
  </si>
  <si>
    <t>Rambu Larangan</t>
  </si>
  <si>
    <t>Rambu Peringatan</t>
  </si>
  <si>
    <t>Rambu Kewajiban</t>
  </si>
  <si>
    <t>6.9.</t>
  </si>
  <si>
    <t>Lain-lain Terkait Pengendalian Resiko K3, terdiri atas :</t>
  </si>
  <si>
    <t>Alat Pemadam Api Ringan (APAR) ; 3 kg</t>
  </si>
  <si>
    <t>Bendera K3</t>
  </si>
  <si>
    <t>Jalur Evakuasi (Escape Route)</t>
  </si>
  <si>
    <t>Lampu Darurat (Emergency Lamp)</t>
  </si>
  <si>
    <t>Pelaporan K3 dan Program Inspeksi</t>
  </si>
  <si>
    <t>Pekerjaan Pembersihan Lokasi dari Pohon dan Rumput (Land Clearing)</t>
  </si>
  <si>
    <t>Pekerjaan Stake Out Posisi Trase Saluran/Infrastruktur</t>
  </si>
  <si>
    <t>Pekerjaan Sondir termasuk Pelaporan termasuk mobilisasi Alat dan Personil</t>
  </si>
  <si>
    <t>ttk</t>
  </si>
  <si>
    <t>Mobilisasi dan Demobilisasi</t>
  </si>
  <si>
    <t>Bulldozer</t>
  </si>
  <si>
    <t>unit</t>
  </si>
  <si>
    <t>Roller Vibrator 12 Ton</t>
  </si>
  <si>
    <t>Excavator</t>
  </si>
  <si>
    <t>Concrete Mixer 0,35 m³</t>
  </si>
  <si>
    <t>Concrete Mixer Pump</t>
  </si>
  <si>
    <t>Stamper</t>
  </si>
  <si>
    <t>g</t>
  </si>
  <si>
    <t>Mesin las</t>
  </si>
  <si>
    <t>Pekerjaan Sambungan Daya Baru Pabrik Es</t>
  </si>
  <si>
    <t>Pendaftaran NIDI + SLO Daya 23 Kva</t>
  </si>
  <si>
    <t>Biaya Pasang Baru Daya 23 Kva</t>
  </si>
  <si>
    <t>Pekerjaan Sambungan Daya Baru Kawasan</t>
  </si>
  <si>
    <t>Pendaftaran NIDI + SLO Daya 13 Kva</t>
  </si>
  <si>
    <t>Biaya Pasang Baru Daya 13 Kva</t>
  </si>
  <si>
    <t>Pekerjaan Panel Distribusi Kawasan, LVMDP/PDTR 15KVA, termasuk pengiriman dan instalasi</t>
  </si>
  <si>
    <t>Pekerjaan Pengadaan Tempat Sampah Portable 1100 L ex. Krisbow + Pengiriman</t>
  </si>
  <si>
    <t>JUMLAH :</t>
  </si>
  <si>
    <t>IV</t>
  </si>
  <si>
    <t>PEKERJAAN DINDING PENAHAN TANAH</t>
  </si>
  <si>
    <t>IV.1</t>
  </si>
  <si>
    <t>Pekerjaan Turap Beton</t>
  </si>
  <si>
    <t>Pekerjaan Tapak Beton Menerus 30 x 140 cm</t>
  </si>
  <si>
    <t>Pekerjaan Galian Tanah sampai dengan 1 m</t>
  </si>
  <si>
    <t>Pekerjaan Cerucuk Kayu Dolken Ø 6 - 8 cm</t>
  </si>
  <si>
    <t>Pekerjaan Kayu Bekesting Pondasi</t>
  </si>
  <si>
    <t>Pekerjaan Pembesian Besi Beton D 13 mm - 150</t>
  </si>
  <si>
    <t>Pekerjaan Pembesian Besi Beton D 10 mm - 150</t>
  </si>
  <si>
    <t>Pekerjaan beton semi mekanis setara fc = 25</t>
  </si>
  <si>
    <t>Pekerjaan Dinding Beton t = 20 cm</t>
  </si>
  <si>
    <t>Pekerjaan Bekesting Dinding 5 kali pakai (2 sisi)</t>
  </si>
  <si>
    <t>Pek. Pembesian Besi Beton D 13 mm - 200 (Vertikal)</t>
  </si>
  <si>
    <t>Pek. Pembesian Besi Beton D 10 mm - 200 (Horisontal)</t>
  </si>
  <si>
    <t>V</t>
  </si>
  <si>
    <t>PEKERJAAN BANGUNAN SHELTER PENDARATAN IKAN</t>
  </si>
  <si>
    <t>V.1.</t>
  </si>
  <si>
    <t>Pekerjaan Struktural</t>
  </si>
  <si>
    <t>Pekerjaan Bouwplank dan Uitzet</t>
  </si>
  <si>
    <t>Pekerjaan Tapak Beton 30x80x80 cm</t>
  </si>
  <si>
    <t>Pekerjaan Galian Tanah s/d 1 m</t>
  </si>
  <si>
    <t>Pekerjaan Urugan Pasir t = 7 cm</t>
  </si>
  <si>
    <t>Pekerjaan Lantai Kerja t = 3 cm</t>
  </si>
  <si>
    <t>Pekerjaan Bekesting Pasangan Batako</t>
  </si>
  <si>
    <t>Pekerjaan Pembesian Besi Beton D10 mm - 150</t>
  </si>
  <si>
    <t>Pekerjaan Pondasi Batu Belah</t>
  </si>
  <si>
    <t>Pekerjaan Galian Tanah keras s.d 1 m</t>
  </si>
  <si>
    <t>Pekerjaan Pancang Cerucuk Dolken</t>
  </si>
  <si>
    <t>Pekerjaan Urugan Pasir urug t = 7 cm</t>
  </si>
  <si>
    <t>Pekerjaan Pondasi Batu Belah 1 : 5</t>
  </si>
  <si>
    <t>Pekerjaan Angkur Sloof ke pondasi batu kali</t>
  </si>
  <si>
    <t>Pekerjaan Sloof Beton 25/30</t>
  </si>
  <si>
    <t>Pekerjaan Pembesian Besi Beton 5 D 10 mm</t>
  </si>
  <si>
    <t>Pekerjaan Pembesian Besi Beton Ø 8 mm - 100/150</t>
  </si>
  <si>
    <t>Pekerjaan Lantai</t>
  </si>
  <si>
    <t>Pekerjaan Urugan Tanah Urug</t>
  </si>
  <si>
    <t>Pekerjaan pemadatan tanah urug</t>
  </si>
  <si>
    <t>Pekerjaan Urugan Pasir t = 5 cm</t>
  </si>
  <si>
    <t>Pekerjaan Kolom Beton Pedestal 25/25</t>
  </si>
  <si>
    <t>Pekerjaan Kayu Bekesting Kolom</t>
  </si>
  <si>
    <t>Pekerjaan Pembesian Besi Beton 8 D 10 mm</t>
  </si>
  <si>
    <t>Pekerjaan Pembesian Besi Beton Ø 8 mm - 150</t>
  </si>
  <si>
    <t>Pekerjaan Beton Semi Mekanis setara fc = 20</t>
  </si>
  <si>
    <t>Pekerjaan Kolom Beton 25/25</t>
  </si>
  <si>
    <t>Pekerjaan Balok Beton RB-1 20/35</t>
  </si>
  <si>
    <t>Pekerjaan Kayu Bekesting Balok</t>
  </si>
  <si>
    <t>Pekerjaan Kuda-Kuda Beton Atap</t>
  </si>
  <si>
    <t>10.1.</t>
  </si>
  <si>
    <t>Balok Beton Utama 15/20</t>
  </si>
  <si>
    <t>Pekerjaan Pembesian Besi Beton 4 D 10</t>
  </si>
  <si>
    <t>Pekerjaan Pembesian Besi Beton Ø 8 - 100/150</t>
  </si>
  <si>
    <t>Pekerjaan Beton Site Mix setara fc = 20</t>
  </si>
  <si>
    <t>10.2.</t>
  </si>
  <si>
    <t>Kolom Beton 15/20</t>
  </si>
  <si>
    <t>Pekerjaan Pembesian Besi Beton 4 D 10 mm</t>
  </si>
  <si>
    <t>V.2.</t>
  </si>
  <si>
    <t>Pekerjaan Arsitektural</t>
  </si>
  <si>
    <t>Pekerjaan Acian Beton</t>
  </si>
  <si>
    <t>Pekerjaan Dinding Sopi-Sopi GRC</t>
  </si>
  <si>
    <t>Pekerjaan Trap Entrance</t>
  </si>
  <si>
    <t>Pekerjaan Galian Tanah</t>
  </si>
  <si>
    <t>Pekerjaan Pondasi Rolaag Bata</t>
  </si>
  <si>
    <t>Pekerjaan Urugan Tanah</t>
  </si>
  <si>
    <t>Pekerjaan Urugan Pasir t = 3 cm</t>
  </si>
  <si>
    <t>Pekerjaan Plesteran Dinding Samping Trap</t>
  </si>
  <si>
    <t>Pekerjaan Rangka Atap Baja Ringan</t>
  </si>
  <si>
    <t>Pekerjaan Pemasangan Atap Pelana Rangka Atap Baja Ringan (Canai Dingin) profil C75 (AZ 100)</t>
  </si>
  <si>
    <t>Pekerjaan Pemasangan Reng Baja Ringan R32 t = 0,45 mm (AZ 100)</t>
  </si>
  <si>
    <t>Pekerjaan Pemasangan Atap Spandek Berpasir t = 0,45</t>
  </si>
  <si>
    <t>Pekerjaan Pemasangan Nok Spandek Berpasir</t>
  </si>
  <si>
    <t>Pekerjaan Plafond GRC t = 6  mm,termasuk rangka besi hollow Galvalum 40/40 modul 60x60 cm</t>
  </si>
  <si>
    <t>Pekerjaan Dinding GRC Motif Lokal Finishing Cat termasuk dudukan besi hollow Galvanis 40/40</t>
  </si>
  <si>
    <t>Pekerjaan Cat Dinding Luar (sealer+extreme Jotun)</t>
  </si>
  <si>
    <t>Pekerjaan Pengecatan Plafond</t>
  </si>
  <si>
    <t>Pekerjaan Listplank GRC L = 30 cm, t = 8 mm</t>
  </si>
  <si>
    <t>Pengecatan Listplank GRC (Wheatershield)</t>
  </si>
  <si>
    <t>Pek. Logo KKP plate galvanis Finish Cat Duco dia.40 cm</t>
  </si>
  <si>
    <t>Pekerjaan Huruf Timbul plate galvanis finish cat duco, SHELTER PENDARATAN IKAN uk. 20x25 cm</t>
  </si>
  <si>
    <t>V.3.</t>
  </si>
  <si>
    <t>Pekerjaan Elektrikal</t>
  </si>
  <si>
    <t>Pekerjaan Instalasi Penerangan NYM 2 x 1 ½ mm²</t>
  </si>
  <si>
    <t>Instalasi Stop Kontak, kabel NYM 2 x 2 ½ mm²</t>
  </si>
  <si>
    <t>Pasang Saklar Dobel</t>
  </si>
  <si>
    <t>Pasang Stop Kontak</t>
  </si>
  <si>
    <t>Pekerjaan Pasang Lampu Downlight 5 Inch LED 9 Watt</t>
  </si>
  <si>
    <t>Pekerjaan Box Panel Listrik (MCB) 4 Group</t>
  </si>
  <si>
    <t>~ Box Panel Listrik 4 Group ex.Schneider</t>
  </si>
  <si>
    <t>~ MCB 6 A ex.Schneider (2 bh)</t>
  </si>
  <si>
    <t>~ MCB 25 A ex.Schneider (1 bh)</t>
  </si>
  <si>
    <t>VI</t>
  </si>
  <si>
    <t>PEKERJAAN PONDASI GUDANG BEKU PORTABLE</t>
  </si>
  <si>
    <t>VI.1.</t>
  </si>
  <si>
    <t>Pekerjaan Struktural Pondasi</t>
  </si>
  <si>
    <t>Pekerjaan Pondasi Batu Belah (Bangunan)</t>
  </si>
  <si>
    <t>Pekerjaan Galian Tanah Biasa sedalam 1-2 m</t>
  </si>
  <si>
    <t>Pekerjaan Aanstamping/ Batu Kosong</t>
  </si>
  <si>
    <t>Pekerjaan Urugan Tanah Kembali</t>
  </si>
  <si>
    <t>Pekerjaan Pemadatan Tanah Urug</t>
  </si>
  <si>
    <t>h</t>
  </si>
  <si>
    <t>Pekerjaan Pondasi Batu Belah (Teras)</t>
  </si>
  <si>
    <t>Pekerjaan Galian Tanah Biasa sedalam 1 m</t>
  </si>
  <si>
    <t>Pekerjaan Sloof Beton 30/30</t>
  </si>
  <si>
    <t>Pekerjaan Pembesian Besi Beton Tulangan Utama</t>
  </si>
  <si>
    <t>Pekerjaan Pembesian Besi Beton Sengkang</t>
  </si>
  <si>
    <t>Pekerjaan Sloof Beton 15/20</t>
  </si>
  <si>
    <t>Pekerjaan Lantai Beton t = 15 cm</t>
  </si>
  <si>
    <t>Pekerjaan Urugan Pasir</t>
  </si>
  <si>
    <t>Pekerjaan Lantai Kerja</t>
  </si>
  <si>
    <t>Pekerjaan Pembesian Plat Lantai Besi Beton D10 - 150</t>
  </si>
  <si>
    <t>Pekerjaan Tanggul Keliling t = 10 cm</t>
  </si>
  <si>
    <t>Pekerjaan Roolag Bata</t>
  </si>
  <si>
    <t>Pekerjaan Screeding Lantai Beton</t>
  </si>
  <si>
    <t>PEKERJAAN PONDASI PABRIK ES PORTABLE</t>
  </si>
  <si>
    <t>Pekerjaan Galian Tanah keras sedalam 1 m</t>
  </si>
  <si>
    <t>Pekerjaan Pembesian Besi Lantai</t>
  </si>
  <si>
    <t>VI.2.</t>
  </si>
  <si>
    <t>Pekerjaan Struktural Ground Water Tank Beton</t>
  </si>
  <si>
    <t>Pekerjaan Galian Tanah Sedalam 1 s/d 2 m</t>
  </si>
  <si>
    <t>Pekerjaan Lantai Kerja t = 5 cm</t>
  </si>
  <si>
    <t>Pekerjaan Balok Beton 15/20</t>
  </si>
  <si>
    <t>Pekerjaan Pembesian Besi Beton Ø 6 mm - 150</t>
  </si>
  <si>
    <t>Pekerjaan Beton Semi Mekanis setara fc = 25</t>
  </si>
  <si>
    <t>Pekerjaan Balok Beton 15/15</t>
  </si>
  <si>
    <t>Pekerjaan Lantai Beton t = 20 cm</t>
  </si>
  <si>
    <t>Pekerjaan Dinding Beton t = 15 cm</t>
  </si>
  <si>
    <t>Pekerjaan Bekesting Dinding</t>
  </si>
  <si>
    <t>Pekerjaan Pembesian Besi Beton D10 - 150</t>
  </si>
  <si>
    <t>Pekerjaan Dak Beton Beton t = 15 cm</t>
  </si>
  <si>
    <t>Pekerjaan Manhole Cover Beton t = 10 cm</t>
  </si>
  <si>
    <t>Pekerjaan Pembesian Besi Beton Ø 8 mm (kupingan)</t>
  </si>
  <si>
    <t>Pekerjaan Waterproofing Coating ex.No Drop anti Panas</t>
  </si>
  <si>
    <t>Pekerjaan PVC Waterstop lebar 200 mm</t>
  </si>
  <si>
    <t>Pekerjaan Pompa Dorong Marine Grade</t>
  </si>
  <si>
    <t>Pekerjaan Pemasangan Pipa HDPE Ø 2 Inch</t>
  </si>
  <si>
    <t>VIII</t>
  </si>
  <si>
    <t>PEKERJAAN AREA PARKIR</t>
  </si>
  <si>
    <t>Pekerjaan Urugan Makadam t = 20 cm</t>
  </si>
  <si>
    <t>Pekerjaan Pemadatan Makadam</t>
  </si>
  <si>
    <t>Pekerjaan Urugan Sirtu t = 10 cm</t>
  </si>
  <si>
    <t>Pekerjaan Pemadatan Sirtu</t>
  </si>
  <si>
    <t>Pekerjaan Lantai Paving</t>
  </si>
  <si>
    <t>Pekerjaan Kanstin 15.25.40</t>
  </si>
  <si>
    <t>IX</t>
  </si>
  <si>
    <t>PEKERJAAN BANGUNAN SHELTER COOL BOX</t>
  </si>
  <si>
    <t>IX.1.</t>
  </si>
  <si>
    <t>Pekerjaan Tapak Beton 15x60x60 cm</t>
  </si>
  <si>
    <t>Pekerjaan Sloof Beton 15/30</t>
  </si>
  <si>
    <t>Pekerjaan Pembesian Besi Beton Ø 6 - 100/150</t>
  </si>
  <si>
    <t>pekerjaan pemadaran tanah urug</t>
  </si>
  <si>
    <t>Pekerjaan Kolom Beton Pedestal 15/15</t>
  </si>
  <si>
    <t>Pekerjaan Pembesian Besi Beton 6 D 10 mm</t>
  </si>
  <si>
    <t>Pekerjaan Pembesian Besi Beton Ø 6 mm - 100/150</t>
  </si>
  <si>
    <t>Pekerjaan Kolom Beton 15/15</t>
  </si>
  <si>
    <t>Pekerjaan Balok Beton RB-1 15/30</t>
  </si>
  <si>
    <t>Pekerjaan Balok Voute 15/15</t>
  </si>
  <si>
    <t>Pekerjaan Balok Beton B-1 15/30</t>
  </si>
  <si>
    <t>Pekerjaan Balok Beton Praktis 15/15</t>
  </si>
  <si>
    <t>IX.2.</t>
  </si>
  <si>
    <t>Pekerjaan Pasangan Dinding Bata Merah 1 : 5</t>
  </si>
  <si>
    <t>Pekerjaan Pemasangan 1 m2 Atap Pelana Rangka Atap Baja Ringan (Canai Dingin) profil C75 (AZ 100)</t>
  </si>
  <si>
    <t>Pekerjaan Pemasangan 1 m' Reng Baja Ringan R32 t = 0,45 mm (AZ 100)</t>
  </si>
  <si>
    <t>Pekerjaan Pemasangan 1 m2 Atap Spandek Berpasir</t>
  </si>
  <si>
    <t>Pekerjaan Pemasangan 1 m’ Nok Spandek Berpasir</t>
  </si>
  <si>
    <t>Pekerjaan Plafond GRC t = 6  mm,termasuk rangka besi hollow 40/40 modul 60x60 cm</t>
  </si>
  <si>
    <t>Pekerjaan Pagar BRC Galvanis BRC P = 2,4, T = 120 cm, Ø 7 mm tmsk asesoris dan Tiang Pagar BRC Ø 2 Inch, T = 1,5 m</t>
  </si>
  <si>
    <t>Pekerjaan Huruf Timbul plate galvanis finish cat duco, SHELTER COOL BOX uk. 20x25 cm</t>
  </si>
  <si>
    <t>IX.3.</t>
  </si>
  <si>
    <t>Instalasi Penerangan, kabel NYY 2 x 1 ½ mm²</t>
  </si>
  <si>
    <t>Pasang Saklar Double</t>
  </si>
  <si>
    <t>Pasang Downlight Ø 5 Inch+ LED 9 watt</t>
  </si>
  <si>
    <t>VII</t>
  </si>
  <si>
    <t>PEKERJAAN BANGUNAN KIOS PERBEKALAN</t>
  </si>
  <si>
    <t>VII.1.</t>
  </si>
  <si>
    <t>Pekerjaan Pondasi Pas. Batu Belah</t>
  </si>
  <si>
    <t>Pekerjaan Kolom Beton Praktis 15/15</t>
  </si>
  <si>
    <t>Pekerjaan Balok Beton B-1 20/35</t>
  </si>
  <si>
    <t>12.1.</t>
  </si>
  <si>
    <t>12.2.</t>
  </si>
  <si>
    <t xml:space="preserve">Pekerjaan Lantai </t>
  </si>
  <si>
    <t>Pekerjaan Galian Tanah (Roolag Teras)</t>
  </si>
  <si>
    <t>Pekerjaan Pondasi Rolaag Bata (Teras)</t>
  </si>
  <si>
    <t>Pekerjaan Lantai Kerja = 5 cm</t>
  </si>
  <si>
    <t>VII.2.</t>
  </si>
  <si>
    <t>Pekerjaan Pasangan Dinding Bata Merah</t>
  </si>
  <si>
    <t>Pekerjaan Skonengan (Opening Kusen)</t>
  </si>
  <si>
    <t>Pekerjaan Pintu Rooling Door Aluminium 200 x 250 m², t = 0,6 mm komplit terpasang</t>
  </si>
  <si>
    <t>Pekerjaan Kusen Pintu UPVC P-03, termasuk kusen, daun pintu, hadle (1 set), engsel, baut pasang/baut skrup dan kunci</t>
  </si>
  <si>
    <t>Pekerjaan Kusen Jendela BV (2 bh)</t>
  </si>
  <si>
    <t>Pekerjaan Kusen Aluminium 4 inch</t>
  </si>
  <si>
    <t>Pasang Kaca Es t = 5 mm</t>
  </si>
  <si>
    <t>Pas. Lantai Keramik 40x40 cm Polished</t>
  </si>
  <si>
    <t>Pas. Lantai Keramik 40x40 cm Matte</t>
  </si>
  <si>
    <t>Pas. Dinding Keramik 20x20 cm Polished</t>
  </si>
  <si>
    <t>Pekerjaan Pemasangan Atap Spandek Berpasir</t>
  </si>
  <si>
    <t>Pekerjaan Atap Kanopi 32,5 x 25,2 cm</t>
  </si>
  <si>
    <t>Pekerjaan Pondasi Kolom Pedestal</t>
  </si>
  <si>
    <t>~ Pekerjaan Galian Tanah</t>
  </si>
  <si>
    <t>~ Pekerjaan Bekesting Kolom</t>
  </si>
  <si>
    <t>~ Pekerjaan Beton Site Mix setara fc = 20</t>
  </si>
  <si>
    <t>~ Pekerjaan Dynabolt Ø 10 mm</t>
  </si>
  <si>
    <t>Pekerjaan Rangka Atap Kanopi Besi Hollow 40/60, modul 85/80, termasuk kolom kanopi</t>
  </si>
  <si>
    <t>Pekerjaan Pemasangan Atap Spandek</t>
  </si>
  <si>
    <t>Pekerjaan Cat Dinding Luar</t>
  </si>
  <si>
    <t>Pekerjaan Cat Plafond</t>
  </si>
  <si>
    <t>Pekerjaan Logo KKP plate galvanis Finish Cat Duco</t>
  </si>
  <si>
    <t>Pekerjaan Huruf Timbul plate galvanis finish cat duco, KIOS PERBEKALAN uk. 20x25 cm</t>
  </si>
  <si>
    <t>VII.3.</t>
  </si>
  <si>
    <t>Pekerjaan Mekanikal Elektrikal</t>
  </si>
  <si>
    <t>Pekerjaan Instalasi Air Bersih Pipa PVC Ø ½ Inch</t>
  </si>
  <si>
    <t>Pekerjaan Instalasi Air Bersih Pipa PVC Ø 1 Inch</t>
  </si>
  <si>
    <t>Pekerjaan Instalasi Air Buangan Pipa PVC Ø 3 Inch</t>
  </si>
  <si>
    <t>Pekerjaan Instalasi Air Buangan Pipa PVC Ø 4 Inch</t>
  </si>
  <si>
    <t>Pekerjaan Pemasangan Closet Duduk</t>
  </si>
  <si>
    <t>Pekerjaan Pemasangan Jet Washer</t>
  </si>
  <si>
    <t>Pekerjaan Pemasangan Kran Air</t>
  </si>
  <si>
    <t>Pekerjaan Pemasangan Floor Drain</t>
  </si>
  <si>
    <t>Pekerjaan Pompa Dorong</t>
  </si>
  <si>
    <t>Tiang Menara Toren Tangki Air 2000 liter, T = 4 m</t>
  </si>
  <si>
    <t>Pengadaan Barang</t>
  </si>
  <si>
    <t>Pengiriman</t>
  </si>
  <si>
    <t>Pekerjaan Pondasi Tapak 30x60x60 cm</t>
  </si>
  <si>
    <t>~ Galian Tanah</t>
  </si>
  <si>
    <t>~ Pekerjaan Bekesting Pasangan Batako</t>
  </si>
  <si>
    <t>~ Pembesian Besi D 13 - 150</t>
  </si>
  <si>
    <t>~ Pekerjaan Beton Semi Mekanis setara fc = 20</t>
  </si>
  <si>
    <t>Pekerjaan Kolom Pedestal 25/25</t>
  </si>
  <si>
    <t>~ Pekerjaan Kayu Bekesting Kolom</t>
  </si>
  <si>
    <t>~ Pekerjaan Pembesian Besi Beton 8 D 13</t>
  </si>
  <si>
    <t>~ Pekerjaan Pembesian Besi Beton Ø 8 - 100/150</t>
  </si>
  <si>
    <t>~ Pekerjaan Angkur D13</t>
  </si>
  <si>
    <t>Pekerjaan Pengadaan dan Pemasangan Tangki Toren Kap.2000 liter ex.Penguin TB200</t>
  </si>
  <si>
    <t>Pekerjaan Septiktank Bio Tech 1 m³</t>
  </si>
  <si>
    <t>Pekerjaan Galian Tanah s/d 2 m</t>
  </si>
  <si>
    <t>Pekerjaan Pasir Urug t = 10 cm</t>
  </si>
  <si>
    <t>Pekerjaan Pengadaan Dan Setting Bio-Tech 1 m³</t>
  </si>
  <si>
    <t>Pekerjaan Saklar Ganda</t>
  </si>
  <si>
    <t>Pekerjaan Saklar Tunggal</t>
  </si>
  <si>
    <t>Pekerjaan Stop Kontak</t>
  </si>
  <si>
    <t>Pasang Kipas Angin Plafond</t>
  </si>
  <si>
    <t>XI</t>
  </si>
  <si>
    <t>PEKERJAAN BANGUNAN BENGKEL NELAYAN</t>
  </si>
  <si>
    <t>XI.1.</t>
  </si>
  <si>
    <t>Pekerjaan Pasir Urug t = 7 cm</t>
  </si>
  <si>
    <t>Pekerjaan Pembesian Besi Beton Ø 6 - 150</t>
  </si>
  <si>
    <t>Pekerjaan Atap Kanopi Beton t = 10 cm</t>
  </si>
  <si>
    <t>Pekerjaan Pembesian Besi Beton Ø 6 m - 150</t>
  </si>
  <si>
    <t>Pekerjaan Urugan Tanah peninggian Elevasi</t>
  </si>
  <si>
    <t>Pekerjaan Pemadatan Tanah by Stamper</t>
  </si>
  <si>
    <t>Pekerjaan Pembesian Wiremesh M8-150, 2 lapis</t>
  </si>
  <si>
    <t>Pekerjaan Floorhardener</t>
  </si>
  <si>
    <t>XI.2.</t>
  </si>
  <si>
    <t>Pasangan Dinding Bata Merah</t>
  </si>
  <si>
    <t>Plesteran</t>
  </si>
  <si>
    <t>Acian Finish</t>
  </si>
  <si>
    <t>Pekerjaan Dinding Roster 20x20 cm</t>
  </si>
  <si>
    <t>Pekerjaan Kusen Jendela BV</t>
  </si>
  <si>
    <t xml:space="preserve">Pekerjaan Pas. Plafond Gypsum t = 9 mm + rangka plafond besi Hollow </t>
  </si>
  <si>
    <t>Pekerjaan Pintu Rooling Door Aluminium 240 x 235 m², t = 0,6 mm komplit terpasang</t>
  </si>
  <si>
    <t>Pekerjaan Huruf Timbul plate galvanis finish cat duco, BENGKEL NELAYAN uk.20x25 cm</t>
  </si>
  <si>
    <t>XI.3.</t>
  </si>
  <si>
    <t>Instalasi Stop Kontak, kabel NYY 2 x 2 ½ mm²</t>
  </si>
  <si>
    <t>Pekerjaan Saklar Dobel</t>
  </si>
  <si>
    <t>Pasang Downlight Ø 4 Inch+ LED 9 watt</t>
  </si>
  <si>
    <t>Pasang Kipas Angin Plafond 52 Inch ex.SOVE/setara</t>
  </si>
  <si>
    <t>X</t>
  </si>
  <si>
    <t>PEKERJAAN BANGUNAN KANTOR PENGELOLA</t>
  </si>
  <si>
    <t>X.1.</t>
  </si>
  <si>
    <t xml:space="preserve">Pekerjaan Bekesting Kolom </t>
  </si>
  <si>
    <t>Pekerjaan Beton Site Mix 1:2:3 setara fc = 20</t>
  </si>
  <si>
    <t>Pekerjaan Lantai Rabat Keliling Bangunan</t>
  </si>
  <si>
    <t>Pekerjaan Lantai Rabat Beton t = 7 cm</t>
  </si>
  <si>
    <t>Pekerjaan Topi Jendela Beton t = 10 cm</t>
  </si>
  <si>
    <t>Pekerjaan Waterproofing Coating ex.Nodrop anti panas</t>
  </si>
  <si>
    <t>X.2.</t>
  </si>
  <si>
    <t>Pekerjaan Arsitektural Dan ME</t>
  </si>
  <si>
    <t>Pekerjaan Kusen</t>
  </si>
  <si>
    <t>4.1.</t>
  </si>
  <si>
    <t>Pekerjaan Kusen Pintu P-01</t>
  </si>
  <si>
    <t>Pek. Daun Pintu Multiplex 2x18mm + Rangka Kayu, lapis HPL (Engineering Door)</t>
  </si>
  <si>
    <t>Pasang Engsel Pintu 4 Inch</t>
  </si>
  <si>
    <t>Pasang Door Closer</t>
  </si>
  <si>
    <t>Pasang Handel + Kunci Swing</t>
  </si>
  <si>
    <t>4.2.</t>
  </si>
  <si>
    <t>4.3.</t>
  </si>
  <si>
    <t>Pekerjaan Kusen Jendela J-01</t>
  </si>
  <si>
    <t>Pekerjaan Daun Jendela Aluminium tanpa Kaca</t>
  </si>
  <si>
    <t>Pasang Kaca Polos t = 5 mm</t>
  </si>
  <si>
    <t>Pasang Engsel Jendela 3 Inch</t>
  </si>
  <si>
    <t>Casement</t>
  </si>
  <si>
    <t>Rambuncis</t>
  </si>
  <si>
    <t>4.4.</t>
  </si>
  <si>
    <t>Pekerjaan Kusen Jendela J-02</t>
  </si>
  <si>
    <t>4.5.</t>
  </si>
  <si>
    <t>Pekerjaan Cat Dinding</t>
  </si>
  <si>
    <t>Cat Dinding (Interior)</t>
  </si>
  <si>
    <t xml:space="preserve">Cat Dinding (Exterior) </t>
  </si>
  <si>
    <t>Pekerjaan Cat Listplank GRC</t>
  </si>
  <si>
    <t>Pekerjaan Pemasangan Atap Jurai/Limasan Rangka Atap Baja Ringan (Canai Dingin) profil C75 (AZ 100)</t>
  </si>
  <si>
    <t>Pekerjaan Logo KKP plate galvanis Finish Cat Duco dia.40 cm</t>
  </si>
  <si>
    <t>Pekerjaan Huruf Timbul plate galvanis finish cat duco, KANTOR PENGELOLA uk. 20x25 cm</t>
  </si>
  <si>
    <t>Pekerjaan Pengadaan dan Pemasangan Tangki Toren Kap.600 liter ex.Penguin TD60</t>
  </si>
  <si>
    <t>Tiang Menara Toren Tangki Air 600 liter, T = 4 m</t>
  </si>
  <si>
    <t>Pekerjaan Septiktank Bio-Tech 1 m³</t>
  </si>
  <si>
    <t>Pekerjaan Instalasi Penerangan, kabel NYY 2 x 1 ½ mm²</t>
  </si>
  <si>
    <t>Pekerjaan Instalasi Stop Kontak, kabel NYY 2 x 2 ½ mm²</t>
  </si>
  <si>
    <t>Pekerjaan Instalasi TV</t>
  </si>
  <si>
    <t>Pekerjaan Stop Kontak AC</t>
  </si>
  <si>
    <t>Pekerjaan Stop Kontak Antena</t>
  </si>
  <si>
    <t>Pekerjaan AC Split 3/4 PK - std</t>
  </si>
  <si>
    <t>Pekerjaan Box Panel Listrik (MCB) 8 Group</t>
  </si>
  <si>
    <t>~ Box Panel Listrik 8 Group ex.Schneider</t>
  </si>
  <si>
    <t>~ MCB 6 A ex.Schneider (6 bh)</t>
  </si>
  <si>
    <t>XIII</t>
  </si>
  <si>
    <t>PEKERJAAN BANGUNAN TOILET UMUM</t>
  </si>
  <si>
    <t>XIII.1.</t>
  </si>
  <si>
    <t>Pekerjaan Pondasi Batu Kali</t>
  </si>
  <si>
    <t>Pekerjaan Galian Tanah Keras s/d 1 m</t>
  </si>
  <si>
    <t>Pekerjaan urugan pasir t = 7 cm</t>
  </si>
  <si>
    <t>Pekerjaan Pasangan Batu Kali/Belah</t>
  </si>
  <si>
    <t>Pekerjaan Kayu Bekesting</t>
  </si>
  <si>
    <t xml:space="preserve">Pekerjaan Balok Beton RB 15/30 </t>
  </si>
  <si>
    <t>XIII.2.</t>
  </si>
  <si>
    <t>Pekerjaan Dinding Bata merah</t>
  </si>
  <si>
    <t>Pekerjaan Dinding Roster</t>
  </si>
  <si>
    <t>Pekerjaan Skonengan (opening)</t>
  </si>
  <si>
    <t>Pekerjaan Dinding Keramik 20x40 cm</t>
  </si>
  <si>
    <t>Pekerjaan Kusen Pintu UPVC P-03</t>
  </si>
  <si>
    <t>Pekerjaan Kusen Jendela BV (5 bh)</t>
  </si>
  <si>
    <t>Pas. Keramik 40x40 cm unpolished</t>
  </si>
  <si>
    <t>Pekerjaan Pengecatan Dinding Watershield</t>
  </si>
  <si>
    <t>Pekerjaan Pengecatan Listplank Atap</t>
  </si>
  <si>
    <t>Pekerjaan Huruf Timbul plate galvanis finish cat duco, TOILET UMUM uk. 20x25 cm</t>
  </si>
  <si>
    <t>XIII.3.</t>
  </si>
  <si>
    <t>Pekerjaan pasang Closet Jongkok</t>
  </si>
  <si>
    <t>Pekerjaan Pasang Kran Air Ø ½ Inch</t>
  </si>
  <si>
    <t>Pekerjaan Pompa Dorong 450 watt</t>
  </si>
  <si>
    <t>Tiang Menara Toren Tangki Air 1000 liter, T = 4 m</t>
  </si>
  <si>
    <t>Pekerjaan Pengadaan dan Setting Tangki Air 1000 Liter</t>
  </si>
  <si>
    <t>Pekerjaan Septiktank Bio Tech 2 m³</t>
  </si>
  <si>
    <t>Pekerjaan Pengadaan dan Setting Septiktank Bio Tech 2 m³</t>
  </si>
  <si>
    <t>Pekerjaan Instalasi Stop Kontak NYM 2 x 2 ½ mm²</t>
  </si>
  <si>
    <t>Instalasi Saklar Double</t>
  </si>
  <si>
    <t>Instalasi Saklar Single</t>
  </si>
  <si>
    <t>Stop Kontak</t>
  </si>
  <si>
    <t>PEKERJAAN PLUMBING DISTRIBUSI AIR BERSIH DAN SUMUR BOR</t>
  </si>
  <si>
    <t>VIII.1.</t>
  </si>
  <si>
    <t>Pekerjaan Pile Cap 60x100x100 cm</t>
  </si>
  <si>
    <t>Pekerjaan Urugan Pasir Urug t = 5 cm</t>
  </si>
  <si>
    <t>Pekerjaan Pembesian Besi Beton D16 - 150</t>
  </si>
  <si>
    <t>Pekerjaan Pembesian Besi Beton Ties D13 - 400</t>
  </si>
  <si>
    <t>i</t>
  </si>
  <si>
    <t>Pekerjaan Pengecoran dengan Concrete Vibrator</t>
  </si>
  <si>
    <t>Pekerjaan Tie Beam TB-1 25/30</t>
  </si>
  <si>
    <t>Pekerjaan Pembesian Besi Beton 5 D 13</t>
  </si>
  <si>
    <t>Pekerjaan Pembesian Besi Beton Ø 8  - 100/200</t>
  </si>
  <si>
    <t>Pekerjaan Kolom Beton 30/30</t>
  </si>
  <si>
    <t>Pekerjaan Pembesian Besi Beton 12 D13</t>
  </si>
  <si>
    <t>Pekerjaan Pembesian Besi Beton Ties D 10 - 200</t>
  </si>
  <si>
    <t>Pekerjaan Pembesian Besi Beton D10 - 100/200</t>
  </si>
  <si>
    <t>Pekerjaan Perancah/Scafolding</t>
  </si>
  <si>
    <t>Pekerjaan Balok Beton B-1 20/40</t>
  </si>
  <si>
    <t>Pekerjaan Pembesian Besi Beton 6 D 13</t>
  </si>
  <si>
    <t>Pekerjaan Balok Beton B-2 20/30</t>
  </si>
  <si>
    <t>Pekerjaan Pembesian Besi Beton 5 D 10</t>
  </si>
  <si>
    <t>Pekerjaan Balok Beton B-3 15/40</t>
  </si>
  <si>
    <t>Pekerjaan Pembesian Besi Beton 10 D 10</t>
  </si>
  <si>
    <t>Pekerjaan Pembesian Besi Wiremesh M8-150, 2 lapis</t>
  </si>
  <si>
    <t>Pekerjaan Plumbing Distribusi Air Bersih</t>
  </si>
  <si>
    <t>Pekerjaan Tangki Fiber Reinforced Plastic (FRP) 18 m³</t>
  </si>
  <si>
    <t>Pekerjaan Pengiriman Bahan (On Site) dan Tenaga Perakitan</t>
  </si>
  <si>
    <t>Pekerjaan Pengadaan dan Setting Tangki Air FRP 18.000 liter (Inlet, Outlet, Drain, Vent, Overflow dan Vent Flanges Ø 2 Inch, Man Hole dia.50 cm, Bolt+Nuts M10x40 Galvanis, Base Frame UNP 80</t>
  </si>
  <si>
    <t>Pekerjaan Pembagian Pemipaan Distribusi</t>
  </si>
  <si>
    <t>Pekerjaan Tee Pipa Galvanis Ø 2 Inch</t>
  </si>
  <si>
    <t>Pekerjaan Flange Gate Valve Galvanis Ø 2 Inch</t>
  </si>
  <si>
    <t>Pekerjaan Sambungan Pipa, Sock Ø 2 Inch, Pipa Galvanis dan Pipa HDPE</t>
  </si>
  <si>
    <t>Pekerjaan Sambungan Pipa, Sock Ø 2 Inch, Pipa PVC dan Pipa HDPE</t>
  </si>
  <si>
    <t>Pekerjaan Distribusi Air Bersih Instalasi Pipa HDPE Ø 2 Inch</t>
  </si>
  <si>
    <t>Shelter Pendaratan Ikan - Pabrik Es - Kios Perbekalan</t>
  </si>
  <si>
    <t>Pekerjaan Instalasi Air Bersih Shelter Pendaratan Ikan</t>
  </si>
  <si>
    <t>Pekerjaan Instalasi Air Bersih Pipa PVC AW Ø ½ Inch</t>
  </si>
  <si>
    <t>Pekerjaan Kran Air Ø ½ Inch</t>
  </si>
  <si>
    <t>Pekerjaan Instalasi Air Bersih Bangunan Pabrik Es</t>
  </si>
  <si>
    <t>Pekerjaan Instalasi Air Bersih Bangunan Cool Box</t>
  </si>
  <si>
    <t>Pekerjaan Tangga Monyet (Maintanance), Pipa Galvanis Ø 2 Inch + Ø 1 ½ Inch, Finish Cat Dasar dan Penutup, T = 3 m</t>
  </si>
  <si>
    <t>VIII.3.</t>
  </si>
  <si>
    <t>Pekerjaan Deep Well</t>
  </si>
  <si>
    <t>VIII.3.1.</t>
  </si>
  <si>
    <t>Pekerjaan Pengeboran</t>
  </si>
  <si>
    <t>Pekerjaan Geo-listrik</t>
  </si>
  <si>
    <t>Pekerjaan Penyelidikan Geolistrik</t>
  </si>
  <si>
    <t>Pekerjaan Pemasangan Pipa Casing dan Pipa Perfoated Screen</t>
  </si>
  <si>
    <t>Pengeboran Lubang Awal Ø 6 Inch termasuk mobilisasi alat dan Personil</t>
  </si>
  <si>
    <t>Pekerjaan setting Pipa Galvanis Ø 6 Inch, t = 3 mm</t>
  </si>
  <si>
    <t>Pekerjaan Pengelasan sambungan pipa</t>
  </si>
  <si>
    <t>Pipa Galvanis Perfoated Screen Ø 3 Inch, t = 2 mm</t>
  </si>
  <si>
    <t>Pengisian Gravel Pack</t>
  </si>
  <si>
    <t>Pekerjaan Semen Grouting Bag (atas dinding Sumur)</t>
  </si>
  <si>
    <t>Pekerjaan Rumah Pompa 80x150 cm</t>
  </si>
  <si>
    <t>~ Pekerjaan Pembesian Wiremseh M8-150</t>
  </si>
  <si>
    <t>Pekerjaan Pasangan Bata Merah</t>
  </si>
  <si>
    <t>Pekerjaan Tutup Rumah Pompa, plat Bordes t = 2,3 mm rangka siku besi 50.50.5 mm + 40.40.4 mm, Fin. Cat</t>
  </si>
  <si>
    <t>VIII.3.2.</t>
  </si>
  <si>
    <t>Pekerjaan Pengadaan Dan Material</t>
  </si>
  <si>
    <t>Pekerjaan Pemasangan Pompa Air Submersible Deepwell Well SP 9-10 ex.Grundfos</t>
  </si>
  <si>
    <t>Pekerjaan Pemasangan Panel Kontrol Pompa 3 Phase</t>
  </si>
  <si>
    <t>Pekerjaan tarik Kabel Pompa NYYHY 3 x 1 ½ mm²</t>
  </si>
  <si>
    <t>Pekerjaan tarik Kabel Elektroda NYYHY 3 x 2 ½ mm²</t>
  </si>
  <si>
    <t>Pekerjaan Pemasangan Elektroda - Water Level Switch Control (Vertical Float Level Switch VSM)</t>
  </si>
  <si>
    <t>Pekerjaan Pipa Isap/Hantar - PVC AW = 2 Inch SNI</t>
  </si>
  <si>
    <t>PEKERJAAN PENERANGAN KAWASAN</t>
  </si>
  <si>
    <t>Pekerjaan Penerangan Tiang T = 7 m Dan T = 4 m</t>
  </si>
  <si>
    <t>Pekerjaan Tapak Beton 30x100x100 cm</t>
  </si>
  <si>
    <t>Pekerjaan Bekesting pasangan Batako</t>
  </si>
  <si>
    <t>Pekerjaan Pembesian Besi Beton D 10 - 150</t>
  </si>
  <si>
    <t>Pekerjaan Kolom Pedestal 50/50</t>
  </si>
  <si>
    <t>Pekerjaan Pembesian Besi Beton 8 D 10</t>
  </si>
  <si>
    <t>Pekerjaan Pembesian Besi Beton Ø 8  - 150</t>
  </si>
  <si>
    <t>Pekerjaan Pengadaan dan Pemasangan Tiang PJU 7 meter (Oktagonal Dobel Arm Hot Deep Galvanis) serta Lampu LED 40 Watt</t>
  </si>
  <si>
    <t>Pekerjaan Pengadaan dan Pemasangan Tiang PJU 7 meter (Oktagonal Single Arm Hot Deep Galvanis) serta Lampu LED 40 Watt</t>
  </si>
  <si>
    <t>Pekerjaan Pengadaan dan Pemasangan Tiang PJU 4 meter (Oktagonal Double Arm Hot Deep Galvanis) serta Lampu LED 40 Watt dilengkapi dengan ornamen artistik, lapis cat dasar Tipe Marine + Cat penutup</t>
  </si>
  <si>
    <t>Pekerjaan Pengiriman Tiang Lampu</t>
  </si>
  <si>
    <t>Pekerjaan Pengadaan dan Pemasangan Panel Distribusi</t>
  </si>
  <si>
    <t>Pekerjaan Pengadaan dan Pemasangan Panel Kontroler</t>
  </si>
  <si>
    <t>Pekerjaan Instalasi Penerangan Jalan, kabel NYY 4 x 2 ½ mm²</t>
  </si>
  <si>
    <t>Pekerjaan Tarik Kabel NYY 2 x 4 (Supreme)</t>
  </si>
  <si>
    <t>m'</t>
  </si>
  <si>
    <t>Pekerjaan Tarik Kabel Distribusi NYY 4 x 6 (Supreme)</t>
  </si>
  <si>
    <t>Pekerjaan Sparing Pipa PVC Listrik 3/4 D</t>
  </si>
  <si>
    <t>Pekerjaan Galian Tanah (tanam kabel)</t>
  </si>
  <si>
    <t>Pekerjaan Pemasangan MCB 2 Ampere</t>
  </si>
  <si>
    <t>Pekerjaan Grounding</t>
  </si>
  <si>
    <t>Pekerjaan Pemasangan 5/8" Rod Coupling</t>
  </si>
  <si>
    <t>PEKERJAAN TEMPAT PEMBUANGAN SAMPAH</t>
  </si>
  <si>
    <t>Pekerjaan Pondasi Pas. Batu Kali</t>
  </si>
  <si>
    <t>Pekerjaan Pondasi Roolag Bata (teras &amp; ramp)</t>
  </si>
  <si>
    <t>~Pekerjaan Galian Tanah</t>
  </si>
  <si>
    <t>~Pekerjaan Roolag Bata</t>
  </si>
  <si>
    <t>Pekerjaan urugan pasir t = 5 cm</t>
  </si>
  <si>
    <t>Pekerjaan Acian Lantai</t>
  </si>
  <si>
    <t>Pekerjaan Pembesian Besi Beton 4 D 13 mm</t>
  </si>
  <si>
    <t>Pekerjaan Balok Beton RB-2 15/20</t>
  </si>
  <si>
    <t>Pekerjaan Balok Beton B-2 15/20</t>
  </si>
  <si>
    <t>Pekerjaan Pembesian Besi Beton Ø 8 mm -100/150</t>
  </si>
  <si>
    <t>Pasangan Dinding Bata Merah 1 : 5</t>
  </si>
  <si>
    <t>Pekerjaan Skonengan (Ban-banan)</t>
  </si>
  <si>
    <t>Pekerjaan Pemasangan Dynabolt M8 x 100 mm SS 304</t>
  </si>
  <si>
    <t>buah</t>
  </si>
  <si>
    <t>Pekerjaan Talang Air Galvalum</t>
  </si>
  <si>
    <t>Pekerjaan 1 m² Pemasangan Penutup ACP (Aluminium Composite Panel) Outdoor, Rangka Besi Hollow Galvanis 4x4, t = 1,6 mm</t>
  </si>
  <si>
    <t>Pekerjaan Huruf Timbul plate galvanis finish cat duco, TEMPAT PEMBUANGAN SAMPAH uk. 20x25 cm</t>
  </si>
  <si>
    <t>Pekerjaan Pengecatan Dinding Dalam</t>
  </si>
  <si>
    <t>PEKERJAAN BANGUNAN GENSET</t>
  </si>
  <si>
    <t>Pekerjaan Pembesian Besi Beton Ø 8  - 100/150</t>
  </si>
  <si>
    <t>Pekerjaan Sloof Beton 15/20 (Ramp)</t>
  </si>
  <si>
    <t>Pekerjaan Pile Cap 60x100x300 (dudukan Genset)</t>
  </si>
  <si>
    <t>Pekerjaan Pembesian Besi Beton D 8 - 150</t>
  </si>
  <si>
    <t>13.1.</t>
  </si>
  <si>
    <t>13.2.</t>
  </si>
  <si>
    <t>Pekerjaan Pembesian Wiremesh M8-150 (2 lapis)</t>
  </si>
  <si>
    <t>Pekerjaan Ramp</t>
  </si>
  <si>
    <t>Pekerjaan Dinding Bata Ramp</t>
  </si>
  <si>
    <t>Pekerjaan Pembesian Wiremesh M8-150 (1 lapis)</t>
  </si>
  <si>
    <t>Pekerjaan Arsitektural Dan Eletrikal</t>
  </si>
  <si>
    <t>Pekerjaan Pengecatan Listplank</t>
  </si>
  <si>
    <t>Pekerjaan Pintu Dobel Besi 214x217 cm</t>
  </si>
  <si>
    <t>Pekerjaan Jendela Jalusi Aluminium</t>
  </si>
  <si>
    <t>Pekerjaan Pengecatan Dinding Tekstur</t>
  </si>
  <si>
    <t>Pekerjaan Huruf Timbul plate galvanis finish cat duco, RUMAH GENSET uk. 20x25 cm</t>
  </si>
  <si>
    <t>Pekerjaan Saklar Double</t>
  </si>
  <si>
    <t>Pekerjaan Panel Box 3 Phase 380V, 50 Hz</t>
  </si>
  <si>
    <t>PEKERJAAN JALAN LINGKUNGAN DAN SALURAN</t>
  </si>
  <si>
    <t>Pekerjaan Saluran Batu Belah Kawasan</t>
  </si>
  <si>
    <t>Pekerjaan Pengukuran Saluran</t>
  </si>
  <si>
    <t>Pekerjaan Galian Tanah Saluran sampai dengan 1 m</t>
  </si>
  <si>
    <t>Pek. Pemadatan Tanah Galian Saluran dengan Stamper</t>
  </si>
  <si>
    <t>Pekerjaan Saluran Batu Belah 50/40</t>
  </si>
  <si>
    <t>Pekerjaan Rabat Beton Lantai Saluran Kawasan t = 5 cm</t>
  </si>
  <si>
    <t>Pekerjaan Instalasi Drainase Pipa PVC Ø 4 Inch</t>
  </si>
  <si>
    <t>Pekerjaan Plesteran Dinding Saluran</t>
  </si>
  <si>
    <t>Pekerjaan Acian Finish</t>
  </si>
  <si>
    <t>Pekerjaan Skonengan</t>
  </si>
  <si>
    <t>Pekerjaan Beton Dekkeur t = 15 cm</t>
  </si>
  <si>
    <t>Pekerjaan Bak Kontrol 80x80x90 cm (2 unit)</t>
  </si>
  <si>
    <t>Pekerjaan Tutup Bak Kontrol (Steel Gratting) 120x120 cm</t>
  </si>
  <si>
    <t>Pekerjaan Saluran Pasangan Bata Merah (keliling bangunan)</t>
  </si>
  <si>
    <t>Pekerjaan Rabat Beton Lantai Saluran Bangunan t = 5 cm</t>
  </si>
  <si>
    <t>Pekerjaan Jalan Beton Kawasan</t>
  </si>
  <si>
    <t>Pekerjaan Pengukuran dan Pematokan Jalan</t>
  </si>
  <si>
    <t>Pekerjaan Pemadatan Tanah Existing</t>
  </si>
  <si>
    <t>Pekerjaan Urugan Makadam t = 30 cm dipadatkan</t>
  </si>
  <si>
    <t>Pekerjaan Jalan Beton t = 15 cm</t>
  </si>
  <si>
    <t xml:space="preserve">Pekerjaan Kayu Bekesting Sloof </t>
  </si>
  <si>
    <t>Pekerjaan Pembesian Wiremesh M8-150</t>
  </si>
  <si>
    <t xml:space="preserve">Pekerjaan Joint sealer aspal </t>
  </si>
  <si>
    <t>Pekerjaan Pemasangan Plastik Cor</t>
  </si>
  <si>
    <t>Pekerjaan Dudukan Dowel</t>
  </si>
  <si>
    <t>~ Pekerjaan Tul. Pokok Besi Beton 4 D 8 mm</t>
  </si>
  <si>
    <t>~ Pekerjaan Dowel Besi Beton D 8 mm - 300</t>
  </si>
  <si>
    <t>Pekerjaan Dowel Besi Beton D 13 mm - 300</t>
  </si>
  <si>
    <t>Pekerjaan Pipa PVC AW Ø 3/4"</t>
  </si>
  <si>
    <t>Pekerjaan Beton Site Mix mutu f'c = 20 Mpa dengan Concrete Mixer Pump</t>
  </si>
  <si>
    <t>Pekerjaan Pedestrian Kawasan</t>
  </si>
  <si>
    <t>Pekerjaan Galian Tanah Kanstin</t>
  </si>
  <si>
    <t>Pekerjaan Kanstin 15x25x40 cm</t>
  </si>
  <si>
    <t>Pekerjaan Urugan Tanah mendatangkan t = 12 cm</t>
  </si>
  <si>
    <t>Pekerjaan Pemadatan Urugan Pasir</t>
  </si>
  <si>
    <t>Pekerjaan Paving Blok t = 6 cm</t>
  </si>
  <si>
    <t>PEKERJAAN LANDSKAPING KAWASAN</t>
  </si>
  <si>
    <t>Pekerjaan Penanaman Rumput Gajah Mini</t>
  </si>
  <si>
    <t>Penanaman 1 Buah Pohon Sedang Mangga (Mangifera indica), Diameter 6-8 cm, Tinggi 2-3 meter, Polybag 50 L</t>
  </si>
  <si>
    <t>btg</t>
  </si>
  <si>
    <t>Penanaman 1 Buah Pohon Sedang Alpukat (Persea Americana), Diameter 6-8 cm, Tinggi 2-3 meter, Polybag 50 L</t>
  </si>
  <si>
    <t>Penanaman 1 Buah Pohon Sedang Rambutan (Nephelium lappaceum), Diameter 6-8 cm, Tinggi 2-3 meter, Polybag 50 L</t>
  </si>
  <si>
    <t>Penanaman 1 Buah Pohon Sedang Lengkeng (Dimocarpus longan), Diameter 6-8 cm, Tinggi 2-3 meter, Polybag 50 L</t>
  </si>
  <si>
    <t>PEKERJAAN LEVELLING LAHAN</t>
  </si>
  <si>
    <t>Pekerjaan Urugan Tanah mendatangkan</t>
  </si>
  <si>
    <t>Pek. Pemadatan Tanah Urug dengan alat berat tiap 20 cm</t>
  </si>
  <si>
    <t>Pekerjaan Pembesian Besi Beton D13 - 150</t>
  </si>
  <si>
    <t>Pekerjaan Urugan Pasir Urug t = 7 cm</t>
  </si>
  <si>
    <t>Pekerjaan Pondasi Batu Kali 1 : 5</t>
  </si>
  <si>
    <t>Pembesian Besi Beton 5 D 13 mm</t>
  </si>
  <si>
    <t>Pembesian Besi Beton Ø 8 mm - 100/150</t>
  </si>
  <si>
    <t>Pembesian Besi Beton 4 D 13 mm</t>
  </si>
  <si>
    <t>Pekerjaan Pembesian Besi Beton 8 D 13 mm</t>
  </si>
  <si>
    <t>Pembesian Besi Beton 8 D 13 mm</t>
  </si>
  <si>
    <t>Pekerjaan Kolom Beton 15/15 cm</t>
  </si>
  <si>
    <t>Pekerjaan Topian Atas t = 10 cm (Entrance)</t>
  </si>
  <si>
    <t>Pekerjaan Pembesian Besi Beton Ø 8 - 150</t>
  </si>
  <si>
    <t>Pekerjaan Topian Atas t = 10 cm (Kopi Bahari)</t>
  </si>
  <si>
    <t>Pekerjaan Dinding Bata merah 1 : 5</t>
  </si>
  <si>
    <t>Pekejaan Plesteran</t>
  </si>
  <si>
    <t>Pekejaan Acian</t>
  </si>
  <si>
    <t>Pekerjaan Dinding Batu Alam</t>
  </si>
  <si>
    <t>Pekerjaan Dinding Bata Terakota</t>
  </si>
  <si>
    <t>Pekerjaan Lantai Keramik 40x40 cm Matte</t>
  </si>
  <si>
    <t>Pekerjaan Plafond GRC t = 6  mm, termasuk rangka besi hollow 40/40 modul 60x60 cm</t>
  </si>
  <si>
    <t>Pekerjaan Cat Listplank Atap</t>
  </si>
  <si>
    <t>Pekerjaan Listplank GRC Atap</t>
  </si>
  <si>
    <t>Pekerjaan Urugan Sirtu</t>
  </si>
  <si>
    <t>Pekerjaan Lantai Rabat Beton t = 5 cm</t>
  </si>
  <si>
    <t>Pekerjaan Huruf Timbul plate galvanis finish cat duco, SENTRA KULINER uk. 20x25 cm</t>
  </si>
  <si>
    <t>Pekerjaan Huruf Timbul plate galvanis finish cat duco, KOPI BAHARI uk. 9x15 cm</t>
  </si>
  <si>
    <t>Pekerjaan Instalasi Air Buangan Pipa PVC Ø 2 Inch</t>
  </si>
  <si>
    <t>Pekerjaan Downlight 6 Inch + Lampu SL 18 Watt LED</t>
  </si>
  <si>
    <t>Pekerjaan Pasang Lampu RM 2xLED 18 Watt</t>
  </si>
  <si>
    <t>Pakerjaan Stop Kontak</t>
  </si>
  <si>
    <t>Pekerjaan Pasang Exhaust Fan</t>
  </si>
  <si>
    <t>Pekerjaan Pembesian Besi Beton 5 D 13 mm</t>
  </si>
  <si>
    <t xml:space="preserve">Pekerjaan Bekesting Balok </t>
  </si>
  <si>
    <t>Pekerjaan Balok Beton B-2 15/15</t>
  </si>
  <si>
    <t>Pekerjaan Pembesian Besi Beton 4 D 13</t>
  </si>
  <si>
    <t>Pasang Lampu RM TKI 2 x LED 18 Watt</t>
  </si>
  <si>
    <t>Pekerjaan Galian Tanah sedalam 1 m</t>
  </si>
  <si>
    <t>Pekerjaan pemadaran tanah urug</t>
  </si>
  <si>
    <t>Pekerjaan Pembesian Besi Beton 6 D 13 mm</t>
  </si>
  <si>
    <t>Pekerjaan Balok Beton B-3 15/20</t>
  </si>
  <si>
    <t>Pekerjaan Topian Teras Beton t = 10 cm</t>
  </si>
  <si>
    <t>Pekerjaan Lantai Rabat Beton t = 6 cm</t>
  </si>
  <si>
    <t>Pekerjaan Lantai Keramik 40x40 cm Polished</t>
  </si>
  <si>
    <t>Pekerjaan Plafond GRC tmsk rangka modul 60x60 cm</t>
  </si>
  <si>
    <t>Pekerjaan Huruf Timbul plate galvanis finish cat duco, BALAI NELAYAN uk. 10x15 cm</t>
  </si>
  <si>
    <t xml:space="preserve">Pekerjaan Railing </t>
  </si>
  <si>
    <t>XXV</t>
  </si>
  <si>
    <t>Pekerjaan Bekesting Pondasi Pasangan Batako</t>
  </si>
  <si>
    <t>Pekerjaan Sloof Beton TB-1 25/30</t>
  </si>
  <si>
    <t>Pekerjaan Sloof Beton TB-2 25/30</t>
  </si>
  <si>
    <t>Pekerjaan Sloof Beton 15/20 (Ramp 2 sisi)</t>
  </si>
  <si>
    <t>Pekerjaan Stek Besi D 13 - 500</t>
  </si>
  <si>
    <t xml:space="preserve">Pekerjaan Urugan Tanah Urug </t>
  </si>
  <si>
    <t>Pekerjaan Gelar Wiremesh M8-150</t>
  </si>
  <si>
    <t>Pekerjaan Beton Site setara fc = 20</t>
  </si>
  <si>
    <t>Pekerjaan Kolom Beton 25/25 cm</t>
  </si>
  <si>
    <t>Pembesian Besi Beton 4 D13 mm</t>
  </si>
  <si>
    <t>Pekerjaan Rabat Beton keliling Bangunan</t>
  </si>
  <si>
    <t>Pekerjaan Rolaag Bata</t>
  </si>
  <si>
    <t>Pekerjaan Urugan Tanah dipadatkan</t>
  </si>
  <si>
    <t>Pekerjaan Plesteran (samping rolaag)</t>
  </si>
  <si>
    <t xml:space="preserve">Pekerjaan Urugan Pasir </t>
  </si>
  <si>
    <t>Pekerjaan Kayu Bekesting Ramp</t>
  </si>
  <si>
    <t>Pekerjaan Lantai Floorhardener</t>
  </si>
  <si>
    <t>Pekerjaan Pasang Tutup Saluran PVC</t>
  </si>
  <si>
    <t>Pekerjaan Pasang Pengaman Kolom</t>
  </si>
  <si>
    <t>Pekerjaan Setting Besi Siku 70.70.7 mm</t>
  </si>
  <si>
    <t>Pekerjaan Cat Besi</t>
  </si>
  <si>
    <t>Pekerjaan Pengecatan Dinding Luar</t>
  </si>
  <si>
    <t>Pekerjaan Pasang Lampu TKI 2xLED 18 Watt, termasukm Penggantung</t>
  </si>
  <si>
    <t>Pekerjaan Balok 15/20</t>
  </si>
  <si>
    <t>Pekerjaan Kolom 15/20</t>
  </si>
  <si>
    <t>Pekerjaan Urugan Sirtu t = 15 cm dipadatkan dengan Tamper</t>
  </si>
  <si>
    <t>Pekerjaan Floor Hardener</t>
  </si>
  <si>
    <t>Pengecatan Listplank GRC</t>
  </si>
  <si>
    <t>Pekerjaan Huruf Timbul plate galvanis finish cat duco, DOCKING KAPAL uk. 20x25 cm</t>
  </si>
  <si>
    <t>Pekerjaan Galian Tanah Keras sampai dengan 2 m</t>
  </si>
  <si>
    <t>Pekerjaan Buang Tanah bekas Galian</t>
  </si>
  <si>
    <t>Pekerjaan Pembesian Besi Beton D13 - 150 melintang</t>
  </si>
  <si>
    <t>Pekerjaan Pembesian Besi Beton D10 - 150 memanjang</t>
  </si>
  <si>
    <t>Pekerjaan Dinding Pasangan Bata 1 : 5</t>
  </si>
  <si>
    <t>Pekerjaan Pengadaan dan Pemasangan IPAL Biotech 2 m³</t>
  </si>
  <si>
    <t>Pekerjaan Urugan Pasir Urug</t>
  </si>
  <si>
    <t>SISI</t>
  </si>
  <si>
    <t>TEKUKAN</t>
  </si>
  <si>
    <t>D</t>
  </si>
  <si>
    <t>PEKERJAAN BANGUNAN REVETMENT</t>
  </si>
  <si>
    <t>D.1.</t>
  </si>
  <si>
    <t>Pekerjaan Turap Beton (DPT)</t>
  </si>
  <si>
    <t>Pek. Tapak Beton Menerus 30 x 140 cm</t>
  </si>
  <si>
    <t>Samping Pos Jaga</t>
  </si>
  <si>
    <t>data ukur langsung Lapangan</t>
  </si>
  <si>
    <t>Belakang Tambatan</t>
  </si>
  <si>
    <t>Depan Docking</t>
  </si>
  <si>
    <t>tekukan</t>
  </si>
  <si>
    <t>Tulangan melintang</t>
  </si>
  <si>
    <t>tul. Menerus blm termasuk stek 1 m x 11</t>
  </si>
  <si>
    <t>Tulangan menerus</t>
  </si>
  <si>
    <t>Pekerjaan Beton Ready Mix K-300</t>
  </si>
  <si>
    <t>Pekerjaan Cor Beton dengan Pompa Beton</t>
  </si>
  <si>
    <t>Pekerjaan Bekesting Dinding 3 kali pakai (sisi luar)</t>
  </si>
  <si>
    <t>ddgx2 + tekukan atas + overlap bawah + overlap tapak</t>
  </si>
  <si>
    <t>Pekerjaan Tangga (2 unit)</t>
  </si>
  <si>
    <t>Pekerjaan pasangan Bata Tela</t>
  </si>
  <si>
    <t>PERHITUNGAN</t>
  </si>
  <si>
    <t>TITIK</t>
  </si>
  <si>
    <t>OVERLAP</t>
  </si>
  <si>
    <t>BAWAH</t>
  </si>
  <si>
    <t>ATAS</t>
  </si>
  <si>
    <t>Pekerjaan Pendaratan Ikan</t>
  </si>
  <si>
    <t>A</t>
  </si>
  <si>
    <t>luas pinggir + overlap 1 m</t>
  </si>
  <si>
    <t>Panjang Pondasi / 50 cm</t>
  </si>
  <si>
    <t>rata2</t>
  </si>
  <si>
    <t>panjang sloof</t>
  </si>
  <si>
    <t>Pekerjaan Rolaag Dinding</t>
  </si>
  <si>
    <t>Balok Utama</t>
  </si>
  <si>
    <t>Balok Tengah</t>
  </si>
  <si>
    <t>Pasang Rangka Atap Baja Ringan</t>
  </si>
  <si>
    <t>Pasang Penutup Atap Metal</t>
  </si>
  <si>
    <t>Nok Atap Metal</t>
  </si>
  <si>
    <t>B</t>
  </si>
  <si>
    <t xml:space="preserve">dinding logo </t>
  </si>
  <si>
    <t>Kolom</t>
  </si>
  <si>
    <t>Balok</t>
  </si>
  <si>
    <t>Balok sopi</t>
  </si>
  <si>
    <t>trap 1</t>
  </si>
  <si>
    <t>trap 2</t>
  </si>
  <si>
    <t>vol plesteran</t>
  </si>
  <si>
    <t>luas</t>
  </si>
  <si>
    <t>Antara Kuda2 Beton</t>
  </si>
  <si>
    <t>dikuda2 beton</t>
  </si>
  <si>
    <t>Pekerjaan Pemasangan 1 m2 Atap Spandek Berpasir t = 0,45</t>
  </si>
  <si>
    <t>Pekerjaan Plafond GRC termasuk rangka besi hollow</t>
  </si>
  <si>
    <t>bagian dalam</t>
  </si>
  <si>
    <t>teras</t>
  </si>
  <si>
    <t>Pekerjaan Dinding GRC Motif Finishing Cat</t>
  </si>
  <si>
    <t>tampak depan + belakang</t>
  </si>
  <si>
    <t>tampak samping</t>
  </si>
  <si>
    <t>Dinding bata</t>
  </si>
  <si>
    <t>Dinding GRC</t>
  </si>
  <si>
    <t>Dinding beton</t>
  </si>
  <si>
    <t>vol. plafond</t>
  </si>
  <si>
    <t>Pekerjaan Listplank GRC</t>
  </si>
  <si>
    <t>E.3.</t>
  </si>
  <si>
    <t>XIX</t>
  </si>
  <si>
    <t>PEKERJAAN BANGUNAN GUDANG BEKU PORTABLE</t>
  </si>
  <si>
    <t>XIX.2</t>
  </si>
  <si>
    <t>Pekerjaan Pembesian Besi Beton 8 D 13</t>
  </si>
  <si>
    <t>Pekerjaan Beton Site Mix 1 : 2 : 3</t>
  </si>
  <si>
    <t>Horisontal</t>
  </si>
  <si>
    <t>Panjang Pondasi</t>
  </si>
  <si>
    <t>Jumlah Crck = P Pond / 50 cm</t>
  </si>
  <si>
    <t>Pekerjaan Batu Aanstamping/Kosong</t>
  </si>
  <si>
    <t>C</t>
  </si>
  <si>
    <t>Sloof 30/30</t>
  </si>
  <si>
    <t>Sloof 15/20</t>
  </si>
  <si>
    <t>Pekerjaan Sloof Beton SL-1 30/30</t>
  </si>
  <si>
    <t>Pekerjaan Pembesian Besi Beton 11 D 10 mm</t>
  </si>
  <si>
    <t>Pekerjaan Sloof Beton SL-2 15/20</t>
  </si>
  <si>
    <t>HORISONTAL</t>
  </si>
  <si>
    <t>VERTIKAL</t>
  </si>
  <si>
    <t>area :</t>
  </si>
  <si>
    <t>Pekerjaan Urugan Pasir t =10 cm</t>
  </si>
  <si>
    <t>Pekerjaan Pembesian Plat Lantai</t>
  </si>
  <si>
    <t>Memanjang D10 - 150</t>
  </si>
  <si>
    <t>trap 3</t>
  </si>
  <si>
    <t>permukaan rabat</t>
  </si>
  <si>
    <t>PEKERJAAN BANGUNAN PABRIK ES PORTABLE</t>
  </si>
  <si>
    <t>VII.7</t>
  </si>
  <si>
    <t>Pekerjaan Pondasi Teras Batu Belah</t>
  </si>
  <si>
    <t>Pekerjaan Pembesian Besi Beton 11 D 10</t>
  </si>
  <si>
    <t>panjang pondasi=</t>
  </si>
  <si>
    <t>Pekerjaan Pembesian Besi Beton Ø 10 - 200</t>
  </si>
  <si>
    <t>area</t>
  </si>
  <si>
    <t>Pekerjaan Urugan Tanah Urug Kembali</t>
  </si>
  <si>
    <t>Pekerjaan Urugan Pasir t = 10 cm</t>
  </si>
  <si>
    <t>Pekerjaan Lantai Teras Rabat Beton t = 7 cm</t>
  </si>
  <si>
    <t>Pekerjaan Urugan Tanah Urug mendatangkan</t>
  </si>
  <si>
    <t>Pekerjaan Urugan Pasir urug</t>
  </si>
  <si>
    <t>Pekerjaan Lantai Rabat Beton 7 cm</t>
  </si>
  <si>
    <t>Pekerjaan Struktural Toren Beton Tangki Air</t>
  </si>
  <si>
    <t xml:space="preserve">Pekerjaan Galian Tanah keras </t>
  </si>
  <si>
    <t>Pekerjaan Urugan pasir bawah pondasi t = 10 cm</t>
  </si>
  <si>
    <t>Pekerjaan Sloof Beton 20/20</t>
  </si>
  <si>
    <t>Pekerjaan Pembesian Besi Beton Ø 8 mm - 100/200</t>
  </si>
  <si>
    <t>Pekerjaan Pembesian Besi Beton D 8 mm - 100/200</t>
  </si>
  <si>
    <t>Pekerjaan Balok Beton 20/25</t>
  </si>
  <si>
    <t>Pekerjaan Balok Beton 15/25</t>
  </si>
  <si>
    <t>Pekerjaan Lantai Beton t = 12 cm</t>
  </si>
  <si>
    <t>Pekerjaan kayu Bekesting</t>
  </si>
  <si>
    <t>Pembesian Besi Beton 4 D 10 mm</t>
  </si>
  <si>
    <t>Pembesian Besi Beton Ø 6 mm - 150</t>
  </si>
  <si>
    <t>kolom</t>
  </si>
  <si>
    <t>dak beton</t>
  </si>
  <si>
    <t>lantai</t>
  </si>
  <si>
    <t>pengurang (manhole)</t>
  </si>
  <si>
    <t>penebalan</t>
  </si>
  <si>
    <t>dinding</t>
  </si>
  <si>
    <t>balok 15/20</t>
  </si>
  <si>
    <t>balok 15/15 =</t>
  </si>
  <si>
    <t>OVERLAP BAWAH</t>
  </si>
  <si>
    <t>OVERLAP ATAS</t>
  </si>
  <si>
    <t>Pekerjaan Urugan Pasir urug t = 10 cm</t>
  </si>
  <si>
    <t>Peerjaan Lantai Kerja t = 5 cm</t>
  </si>
  <si>
    <t>Pekerjaan Pembesian Besi Beton Ø 8 - 100/200</t>
  </si>
  <si>
    <t>Pekerjaan Balok Beton B-1 20/25</t>
  </si>
  <si>
    <t>Pekerjaan Balok Beton B-2 15/25</t>
  </si>
  <si>
    <t>Pekerjaan Atap Beton t = 15 cm</t>
  </si>
  <si>
    <t>Pekerjaan Pile Cap 40x100x100 cm</t>
  </si>
  <si>
    <t>Pekerjaan Urugan Pasir Urug t = 10 cm</t>
  </si>
  <si>
    <t>Pekerjaan Pembesian Besi Beton D 16 - 150</t>
  </si>
  <si>
    <t>Pekerjaan Pembesian Besi Beton Ties D 13 - 400</t>
  </si>
  <si>
    <t>Pekerjaan Beton Site Mix 1:2:3 setara fc = 25</t>
  </si>
  <si>
    <t>Pekerjaan Tie Beam TB-1 30/40</t>
  </si>
  <si>
    <t>Pekerjaan Pembesian Besi Beton 7 D 16</t>
  </si>
  <si>
    <t>Pekerjaan Pembesian Besi Beton Ties D 10 - 400</t>
  </si>
  <si>
    <t>Panjang Sloof</t>
  </si>
  <si>
    <t>j</t>
  </si>
  <si>
    <t>k</t>
  </si>
  <si>
    <t>Pekerjaan Pembesian Besi Beton 12 D 16</t>
  </si>
  <si>
    <t>Pekerjaan Pembesian Besi Beton Ø 8  - 100</t>
  </si>
  <si>
    <t>Pekerjaan Balok Beton B-1 25/40</t>
  </si>
  <si>
    <t>Pekerjaan Balok Beton B-2 25/30</t>
  </si>
  <si>
    <t>Pekerjaan Pembesian Besi Beton 5 D 16</t>
  </si>
  <si>
    <t>Pekerjaan Balok Beton B-1 25/50</t>
  </si>
  <si>
    <t>Pekerjaan Balok Beton B-2 20/40</t>
  </si>
  <si>
    <t>Pekerjaan Pembesian Besi Wiremesh M10-150, 2 lapis</t>
  </si>
  <si>
    <t>Luas lantai</t>
  </si>
  <si>
    <t>XXVI</t>
  </si>
  <si>
    <t>Area Parkir 1</t>
  </si>
  <si>
    <t>Area Parkir 2</t>
  </si>
  <si>
    <t>Pekerjaan Pasir Urug t = 5 cm</t>
  </si>
  <si>
    <t>5*7</t>
  </si>
  <si>
    <t>Pekerjaan Bangunan Kios Perbekalan (1 Unit)</t>
  </si>
  <si>
    <t>melintang</t>
  </si>
  <si>
    <t>Pekerjaan Angkur Sloof D13 ke Pondasi Batu Kali</t>
  </si>
  <si>
    <t>Jumlah Batang</t>
  </si>
  <si>
    <t>dalam KG</t>
  </si>
  <si>
    <t>Pekerjaan Kayu Bekesting 3 kali pakai</t>
  </si>
  <si>
    <t>Pekerjaan Bekesting Balok 2 kali pakai</t>
  </si>
  <si>
    <t>Lantai</t>
  </si>
  <si>
    <t>Sisi Depan</t>
  </si>
  <si>
    <t>Sisi Samping</t>
  </si>
  <si>
    <t>Pekerjaan Screeding lantai</t>
  </si>
  <si>
    <t>Vol Bekisting lantai</t>
  </si>
  <si>
    <t>Pekerjaan Waterproofing Coating</t>
  </si>
  <si>
    <t>Vol Screeding</t>
  </si>
  <si>
    <t>ruang kios</t>
  </si>
  <si>
    <t>toilet</t>
  </si>
  <si>
    <t>Pintu Folding</t>
  </si>
  <si>
    <t>Pintu UPVC</t>
  </si>
  <si>
    <t>Jendela BV</t>
  </si>
  <si>
    <t>Vol  ddg x 2</t>
  </si>
  <si>
    <t>Vol plesteran</t>
  </si>
  <si>
    <t>sopi</t>
  </si>
  <si>
    <t>Opening pintu folding</t>
  </si>
  <si>
    <t>Pekerjaan Pintu Rooling Door Aluminium 200 x 250 m², t = 0,6 mm komplit terpasang (1 unit)</t>
  </si>
  <si>
    <t>entrance kios</t>
  </si>
  <si>
    <t>entrance toilet</t>
  </si>
  <si>
    <t>vol. plesteran</t>
  </si>
  <si>
    <t>Pas. Plafond Gypsum rangka besi Hollow Aluminium</t>
  </si>
  <si>
    <t>Vol total lantai keramik</t>
  </si>
  <si>
    <t>Pekerjaan Penutup Atap Kanopi Spandek</t>
  </si>
  <si>
    <t>Vol acian</t>
  </si>
  <si>
    <t>Vol plafond</t>
  </si>
  <si>
    <t>10.3.</t>
  </si>
  <si>
    <t>Pasang Box MCB 3 Group</t>
  </si>
  <si>
    <t>L</t>
  </si>
  <si>
    <t>Pekerjaan Cool Box</t>
  </si>
  <si>
    <t>L.1</t>
  </si>
  <si>
    <t>Pekerjaan Pembesian Besi Beton 6 D 10</t>
  </si>
  <si>
    <t>Kolom Praktis</t>
  </si>
  <si>
    <t>Pekerjaan Atap Beton t = 10 cm</t>
  </si>
  <si>
    <t>L.2</t>
  </si>
  <si>
    <t>ddg brc samping</t>
  </si>
  <si>
    <t>ddg brc belakang</t>
  </si>
  <si>
    <t>ddg bawah sopi depan</t>
  </si>
  <si>
    <t>Pekerjaan Lantai Kerja t = 7 cm</t>
  </si>
  <si>
    <t>vol. lantai kerja</t>
  </si>
  <si>
    <t>Pekerjaan Lantai Keramik 60x60 cm Unpolished</t>
  </si>
  <si>
    <t>trap teras (atas)</t>
  </si>
  <si>
    <t>trap teras (sisi naik)</t>
  </si>
  <si>
    <t>Pekerjaan Lantai Keramik 60x60 cm Polished</t>
  </si>
  <si>
    <t>m1</t>
  </si>
  <si>
    <t>Pekerjaan Pemasangan 1 m2 Atap Genteng</t>
  </si>
  <si>
    <t>Pekerjaan Pemasangan 1 m’ Nok/Bubung Genteng Palentong Kecil</t>
  </si>
  <si>
    <t>Plafond GRC</t>
  </si>
  <si>
    <t>luar</t>
  </si>
  <si>
    <t>dalam</t>
  </si>
  <si>
    <t>tampak belakang</t>
  </si>
  <si>
    <t>samping</t>
  </si>
  <si>
    <t>dpnblkng</t>
  </si>
  <si>
    <t>Pekerjaan Pagar BRC Ø 8 mm Hot Dip Keliling T = 120 cm</t>
  </si>
  <si>
    <t>tampak samping kanan &amp; kiri</t>
  </si>
  <si>
    <t>Pekerjaan Huruf Timbul plate galvanis finish cat duco, BALE NELAYAN uk. 20x25 cm</t>
  </si>
  <si>
    <t>L.3</t>
  </si>
  <si>
    <t>Pekerjaan Bangunan Bengkel</t>
  </si>
  <si>
    <t>VIII.1</t>
  </si>
  <si>
    <t>per jarak 50 cm</t>
  </si>
  <si>
    <t>Panjang Galian</t>
  </si>
  <si>
    <t>Pekerjaan Trap Tangga Teras</t>
  </si>
  <si>
    <t>Pekerjaan Pondasi Rolaag Bata Merah</t>
  </si>
  <si>
    <t>pinggir trap tangga teras</t>
  </si>
  <si>
    <t>Vol plesetran</t>
  </si>
  <si>
    <t>Luas Rabat</t>
  </si>
  <si>
    <t>Pekerjaan Bekesting Kolom 2 kali pakai</t>
  </si>
  <si>
    <t>roolingdoor</t>
  </si>
  <si>
    <t>Topi beton</t>
  </si>
  <si>
    <t>bengkel</t>
  </si>
  <si>
    <t>Pekerjaan Bekesting Sloof</t>
  </si>
  <si>
    <t>Pekerjaan Pembesian Besi Wiremesh M8-150 2 lapis</t>
  </si>
  <si>
    <t>VIII.2</t>
  </si>
  <si>
    <t>Sopi-sopi</t>
  </si>
  <si>
    <t>Dinding Kanopi Depan</t>
  </si>
  <si>
    <t>BV</t>
  </si>
  <si>
    <t>Roster</t>
  </si>
  <si>
    <t>Kolom 25/25</t>
  </si>
  <si>
    <t>Lubang Roster</t>
  </si>
  <si>
    <t>Pekerjaan Pas. Plafond Gypsum t = 9 mm + rangka plafond besi Hollow Galvalum</t>
  </si>
  <si>
    <t>dalam bangunan</t>
  </si>
  <si>
    <t>luar bangunan</t>
  </si>
  <si>
    <t>Pekerjaan Huruf Timbul plate galvanis finish cat duco, BENGKEL uk. 20x25 cm</t>
  </si>
  <si>
    <t>VIII.3</t>
  </si>
  <si>
    <t>Pembangunan Fasilitas Penunjang</t>
  </si>
  <si>
    <t>V.4</t>
  </si>
  <si>
    <t>Pekerjaan Bangunan Kantor</t>
  </si>
  <si>
    <t>V.4.1</t>
  </si>
  <si>
    <t>Pekerjaan Angkur Sloof D10 ke Pondasi Batu Kali</t>
  </si>
  <si>
    <t>Jumlah Batang dlm KG</t>
  </si>
  <si>
    <t>Pekerjaan Balok Beton RB 15/15 (tepi kanopi beton)</t>
  </si>
  <si>
    <t>Pekerjaan Listplank Beton 10/45 (tepi kanopi beton)</t>
  </si>
  <si>
    <t xml:space="preserve">Pekerjaan Bekesting Dinding </t>
  </si>
  <si>
    <t>Pekerjaan Atap Beton t = 12 cm</t>
  </si>
  <si>
    <t>Pekerjaan Pembesian Besi Beton Ø 8 mm - 200</t>
  </si>
  <si>
    <t>Kanopi</t>
  </si>
  <si>
    <t>Pekerjaan Lantai Bangunan</t>
  </si>
  <si>
    <t>kantor</t>
  </si>
  <si>
    <t>Pekerjaan Topian Jendela Beton t = 10 cm</t>
  </si>
  <si>
    <t>J1</t>
  </si>
  <si>
    <t>J2</t>
  </si>
  <si>
    <t>P3</t>
  </si>
  <si>
    <t>Vol Bekisting (Lantai)</t>
  </si>
  <si>
    <t>V.4.2</t>
  </si>
  <si>
    <t>Pasangan Dinding bata</t>
  </si>
  <si>
    <t>teras H</t>
  </si>
  <si>
    <t>teras V</t>
  </si>
  <si>
    <t>as b2-c2</t>
  </si>
  <si>
    <t>Pekerjaan Kusen Pintu P-1</t>
  </si>
  <si>
    <t>Pekerjaan Kusen Pintu P-2</t>
  </si>
  <si>
    <t>Pekerjaan Kusen Pintu P-3</t>
  </si>
  <si>
    <t>Pekerjaan Kusen Jendela J-1</t>
  </si>
  <si>
    <t>Pekerjaan Kusen Jendela J-2</t>
  </si>
  <si>
    <t>Luas Dinding x 2</t>
  </si>
  <si>
    <t>Vol Plesteran</t>
  </si>
  <si>
    <t>Vol Keramik Dinding</t>
  </si>
  <si>
    <t>2.1*2+1</t>
  </si>
  <si>
    <t>Pekerjaan Daun Pintu Aluminium</t>
  </si>
  <si>
    <t>0.9*2.05</t>
  </si>
  <si>
    <t>Pasang Kaca Rayban t = 8 mm</t>
  </si>
  <si>
    <t>0.85*2.05</t>
  </si>
  <si>
    <t>Pekerjaan Kusen Pintu P-02</t>
  </si>
  <si>
    <t>Pek. Daun Pintu Plywood lapis HPL (Engineering Door)</t>
  </si>
  <si>
    <t>(0.7+1.6)*2</t>
  </si>
  <si>
    <t>0.6*1.5</t>
  </si>
  <si>
    <t>0.55*1.45</t>
  </si>
  <si>
    <t>(1.3*2+1.6*3)</t>
  </si>
  <si>
    <t>0.6*1.5*2</t>
  </si>
  <si>
    <t>0.55*1.45*2</t>
  </si>
  <si>
    <t>kaca mati</t>
  </si>
  <si>
    <t>4.6.</t>
  </si>
  <si>
    <t>Pekerjaan Kusen Jendela J-03</t>
  </si>
  <si>
    <t>(2.5*2+1.8*6)</t>
  </si>
  <si>
    <t>0.45*1.7*5</t>
  </si>
  <si>
    <t>0.45*1.65*5</t>
  </si>
  <si>
    <t>4.7.</t>
  </si>
  <si>
    <t>Pekerjaan Kusen Jendela J-04</t>
  </si>
  <si>
    <t>4.8.</t>
  </si>
  <si>
    <t>Pekerjaan Kusen Jendela J-05</t>
  </si>
  <si>
    <t>(0.5+0.6)*2</t>
  </si>
  <si>
    <t>0.5*0.6</t>
  </si>
  <si>
    <t>6*6-L274</t>
  </si>
  <si>
    <t>Luas Lantai Toilet</t>
  </si>
  <si>
    <t>Luas teras</t>
  </si>
  <si>
    <t>1.5*3</t>
  </si>
  <si>
    <t>Pas. Plint Lantai Keramik 10x60 cm Polished</t>
  </si>
  <si>
    <t>6*4*2+3*2</t>
  </si>
  <si>
    <t>2.6*(1.5*2+3*2)-(0.8*2+0.5*0.6)</t>
  </si>
  <si>
    <t>Pintu</t>
  </si>
  <si>
    <t>7.8*7.8</t>
  </si>
  <si>
    <t>Vol Keramik Lantai</t>
  </si>
  <si>
    <t>sisi luar</t>
  </si>
  <si>
    <t>Cat Dinding Interior</t>
  </si>
  <si>
    <t>Cat Dinding Exterior</t>
  </si>
  <si>
    <t>Vol Plafond Gypsum</t>
  </si>
  <si>
    <t>Cat Listplank GRC</t>
  </si>
  <si>
    <t>Vol Listplank x 30 cm</t>
  </si>
  <si>
    <t>Utama</t>
  </si>
  <si>
    <t>1/2 Kuda-Kuda</t>
  </si>
  <si>
    <t>Sisi Kiri Kanan</t>
  </si>
  <si>
    <t>Sisi Belakang</t>
  </si>
  <si>
    <t>4.5*7.8*2</t>
  </si>
  <si>
    <t>Pasang Nok Atap Metal</t>
  </si>
  <si>
    <t>Pasang Listplank GRC</t>
  </si>
  <si>
    <t>8*4</t>
  </si>
  <si>
    <t>Pekerjaan Pemasangan Wastafel LW574J - TOTO</t>
  </si>
  <si>
    <t>Pekerjaan Pemasangan Kran wastafel Y 327 ex.ONDA</t>
  </si>
  <si>
    <t>Pekerjaan Meja Dapur</t>
  </si>
  <si>
    <t>Pekerjaan Pembesian Besi Beton Ø 8-150</t>
  </si>
  <si>
    <t>bj</t>
  </si>
  <si>
    <t>Pekerjaan Beton Site Mix</t>
  </si>
  <si>
    <t>Pekerjaan Dinding Homogeneous 40x40 cm Matte</t>
  </si>
  <si>
    <t>Pekerjaan Pemasangan Kitchen Zinc, 1 Lubang + 1 Sayap ex.Royal</t>
  </si>
  <si>
    <t>Pekerjaan Pemasangan Kran Angsa Kitchen Zinc ex.ONDA - V 638 S</t>
  </si>
  <si>
    <t>Pekerjaan Pemasangan Tangki Toren Kap.600 liter ex.Penguin TD60</t>
  </si>
  <si>
    <t>~ Pekerjaan Beton Site Mix 1:2:3 setara fc = 20</t>
  </si>
  <si>
    <t>Pekerjaan Pengadaan Dan Setting Bio-Tech 3 m³</t>
  </si>
  <si>
    <t>Pasang Box MCB 8 Group</t>
  </si>
  <si>
    <t>N</t>
  </si>
  <si>
    <t>PEKERJAAN BANGUNAN TANGKI AIR</t>
  </si>
  <si>
    <t>N.1.</t>
  </si>
  <si>
    <t>Pekerjaan Pengecoran dengan Pompa Beton</t>
  </si>
  <si>
    <t>N.2.</t>
  </si>
  <si>
    <t>Pekerjaan Tangki Fiber Reinforced Plastic (FRP) 12 m³</t>
  </si>
  <si>
    <t>Pekerjaan Pengadaan dan Pengiriman (On Site)</t>
  </si>
  <si>
    <t>Pekerjaan Pemasangan/Setting Tangki FRP 12 m³</t>
  </si>
  <si>
    <t>Pekerjaan Gate Valve Galvanis Ø 2 Inch</t>
  </si>
  <si>
    <t>Shelter Pendaratan Ikan - Pabrik Es - Gd. Beku - Cool Box</t>
  </si>
  <si>
    <t>Bangunan Toilet Umum - Kantor - Musholla - Bale Nelayan - SPDN - TPS - Pos Jaga</t>
  </si>
  <si>
    <t>Pekerjaan Instalasi Air Bersih Gudang Beku Portable</t>
  </si>
  <si>
    <t>Pekerjaan Instalasi Air Bersih Bangunan Kios Perbekalan</t>
  </si>
  <si>
    <t>Pekerjaan Instalasi Air Bersih Bangunan Kantor</t>
  </si>
  <si>
    <t>Pekerjaan Instalasi Air Bersih Bangunan Bale Nelayan</t>
  </si>
  <si>
    <t>Pekerjaan Instalasi Air Bersih Bangunan Toilet Umum</t>
  </si>
  <si>
    <t>Pekerjaan Instalasi Air Bersih Bangunan SPDN</t>
  </si>
  <si>
    <t>Pekerjaan Instalasi Air Bersih Bangunan Musholla</t>
  </si>
  <si>
    <t>Pekerjaan Instalasi Air Bersih Bangunan Pos Jaga</t>
  </si>
  <si>
    <t>Pekerjaan Tangga Monyet (Maintanance), Pipa Galvanis Ø 2 Inch + Ø 1 ½ Inch, Finish Cat Dasar dan Penutup, T = 2 m</t>
  </si>
  <si>
    <t>XIII.3</t>
  </si>
  <si>
    <t>XIII.3.1</t>
  </si>
  <si>
    <t>Pekerjaan Casing Ø 6 Inch</t>
  </si>
  <si>
    <t>Pengeboran Lubang Awal Ø 6 Inch</t>
  </si>
  <si>
    <t>Pekerjaan setting Ppa Galvanis Ø 6 Inch, t = 2 mm</t>
  </si>
  <si>
    <t>Deskripsi Contoh Cutting Bor (Pemerian Litologi)</t>
  </si>
  <si>
    <t>Pembersihan Sumur (Well Development)</t>
  </si>
  <si>
    <t>Sirkulasi Air (Water Circulation)</t>
  </si>
  <si>
    <t>jam</t>
  </si>
  <si>
    <t>Kompresor (Air Jetting)</t>
  </si>
  <si>
    <t>Vol Pipa Screen</t>
  </si>
  <si>
    <t>sisi dalam</t>
  </si>
  <si>
    <t>sisi lantai</t>
  </si>
  <si>
    <t>sisi atas</t>
  </si>
  <si>
    <t>Pekerjaan Tutup Rumah Pompa, plat Bordes t = 2,3 mm rangka siku besi 50.50.5 mm</t>
  </si>
  <si>
    <t>XIII.3.2</t>
  </si>
  <si>
    <t>Pekerjaan Pemasangan Pompa Submersible Deepwell Pump SQ 3-80 ex.GRUNDFOS, 3 m³/jam, Daya 1x200-230 V1x100-115V</t>
  </si>
  <si>
    <t>Panel Pompa 3 Phase</t>
  </si>
  <si>
    <t>Kabel Pompa NYYHY 3 x 1 ½ mm²</t>
  </si>
  <si>
    <t>Kabel Elektroda NYYHY 3 x 2 ½ mm²</t>
  </si>
  <si>
    <t>Elektroda - Water Level Switch Control (Vertical Float Level Switch VSM)</t>
  </si>
  <si>
    <t>Pek. Pipa Isap/Hantar - Galvanis Med. A = 2 Inch SNI</t>
  </si>
  <si>
    <t>XIII.4</t>
  </si>
  <si>
    <t>Pekerjaan Pagar Keliling Dan Halaman</t>
  </si>
  <si>
    <t>Vol ddg bata</t>
  </si>
  <si>
    <t>Sloof</t>
  </si>
  <si>
    <t>Pekerjaan Tanggulan Saluran Pasangan Bata</t>
  </si>
  <si>
    <t>sisi horisontal</t>
  </si>
  <si>
    <t>sloof</t>
  </si>
  <si>
    <t>balok</t>
  </si>
  <si>
    <t>Pekerjaan Lantai Paving t = 6 cm</t>
  </si>
  <si>
    <t>Luas halaman</t>
  </si>
  <si>
    <t>Luas lantai Tangki</t>
  </si>
  <si>
    <t>XXIII</t>
  </si>
  <si>
    <t>XXIII.1.</t>
  </si>
  <si>
    <t>PJU Double T = 7 m</t>
  </si>
  <si>
    <t>PJU Single T = 7 m</t>
  </si>
  <si>
    <t>PJU Single Ornamen T = 7 m</t>
  </si>
  <si>
    <t>Lampu Taman Ornamen T = 4 m</t>
  </si>
  <si>
    <t>Pekerjaan Pengadaan dan Pemasangan Tiang PJU 7 meter (Oktagonal Dobel Arm Hot Deep Galvanis) serta Lampu LED 70 Watt</t>
  </si>
  <si>
    <t>Pekerjaan Pengadaan dan Pemasangan Tiang PJU 7 meter (Oktagonal Single Arm Hot Deep Galvanis) serta Lampu LED 70 Watt</t>
  </si>
  <si>
    <t>Pekerjaan Pengadaan dan Pemasangan Tiang PJU 7 meter (Oktagonal Single Arm Hot Deep Galvanis) serta Lampu LED 70 Watt dilengkapi dengan ornamen artistik, lapis cat dasar Tipe Marine + Cat penutup</t>
  </si>
  <si>
    <t>Pekerjaan Pengadaan dan Pemasangan Tiang Lampu artistik 4 meter, double arm , lapis cat dasar Tipe Marine + Cat penutup</t>
  </si>
  <si>
    <t>XXIII.2.</t>
  </si>
  <si>
    <t>PJU Dobel T = 7 m</t>
  </si>
  <si>
    <t>Instalasi Kabel NYY 2 x 4 (Supreme)</t>
  </si>
  <si>
    <t>Kabel Distribusi NYY 4 x 6 (Supreme)</t>
  </si>
  <si>
    <t>dari Panel Distribusi ke Panel Utama</t>
  </si>
  <si>
    <t>Lokasi A - ke B</t>
  </si>
  <si>
    <t>Vol tarikan kabel</t>
  </si>
  <si>
    <t>Lokasi C - ke D</t>
  </si>
  <si>
    <t>Vol Tambatan</t>
  </si>
  <si>
    <t>XVI</t>
  </si>
  <si>
    <t>Pekerjaan Tempat Pembuangan Sampah</t>
  </si>
  <si>
    <t>XVI.1</t>
  </si>
  <si>
    <t>Pekerjaan urugan pasir t = 7 mm</t>
  </si>
  <si>
    <t>Panjang Pond Batu Kali</t>
  </si>
  <si>
    <t>terpasang per jarak 50 cm</t>
  </si>
  <si>
    <t>Pekerjaan Bekesting Sloof 2 Kali Pakai</t>
  </si>
  <si>
    <t>~Pekerjaan Galian Tanah s/d 1 m</t>
  </si>
  <si>
    <t>Pekerjaan Bekesting Kolom 2 Kali Pakai</t>
  </si>
  <si>
    <t>Pekerjaan Bekesting Balok 2 Kali Pakai</t>
  </si>
  <si>
    <t>Pekerjaan Rabat Beton t = 5 cm</t>
  </si>
  <si>
    <t>Pekerjaan Rangka Atap Baja Ringan t = 0,75 mm</t>
  </si>
  <si>
    <t>Pekerjaan Penutup Atap Spandek berpasir t = 30 cm Roof</t>
  </si>
  <si>
    <t>Pekerjaan Talang Seng BJLS</t>
  </si>
  <si>
    <t>Pekerjaan Listplank ACP rangka besi hollow</t>
  </si>
  <si>
    <t>Pekerjaan Roof Drain Chast Iron</t>
  </si>
  <si>
    <t>XVI.2</t>
  </si>
  <si>
    <t>Vol ddg x 2</t>
  </si>
  <si>
    <t>Vol ddg Terakota</t>
  </si>
  <si>
    <t>Pekerjaan Dinding Terakota</t>
  </si>
  <si>
    <t>Pekerjaan Plafond Kalsiboard rangka besi hollow</t>
  </si>
  <si>
    <t>Vol Acian</t>
  </si>
  <si>
    <t>Pekerjaan Air Hujan Pipa PVC AW Ø 3 Inch</t>
  </si>
  <si>
    <t>Pekerjaan Bangunan Genset</t>
  </si>
  <si>
    <t>Pekerjaan Pondasi Pasangan Batu</t>
  </si>
  <si>
    <t>Pekerjaan lantai kerja t = 3 cm</t>
  </si>
  <si>
    <t>Pekerjaan Kayu Sloof Bekesting 2 kali pakai</t>
  </si>
  <si>
    <t>Pekerjaan Pasir urug t = 5 cm</t>
  </si>
  <si>
    <t>Pekerjaan Lantai kerja t = 5 cm</t>
  </si>
  <si>
    <t>Pekerjaan Pembesian Besi Beton 3 D 10 (pinggang)</t>
  </si>
  <si>
    <t>vol dinding ramp</t>
  </si>
  <si>
    <t>Sopi</t>
  </si>
  <si>
    <t>Jendela jalusi</t>
  </si>
  <si>
    <t>Vol Kolom</t>
  </si>
  <si>
    <t>Pasang Penutup Atap Genteng UPVC</t>
  </si>
  <si>
    <t>Pekerjaan plafond gypsum</t>
  </si>
  <si>
    <t>Pekerjaan Pintu Dobel Besi 214x217</t>
  </si>
  <si>
    <t>Pekerjaan Jendela Jalusi Besi (tipe Industrial)</t>
  </si>
  <si>
    <t>Pekerjaan Pengadaan dan Setting Genset 60 KVA (Primepower) Tipe Silent - Fuel Consumption 13.7 - 15 L /Hours; Primepower 53-59 kWm; Standby Power 58-65 kWm; Liquid Cooling System; Termasuk Pengiriman</t>
  </si>
  <si>
    <t>Pekerjaan Panel Distribusi Kawasan, LVMDP/PDTR 100KVA, termasuk pengiriman dan instalasi</t>
  </si>
  <si>
    <t>Pekerjaan Panel ATS (Automatic Transfer Switch), termasuk pengiriman dan instalasi</t>
  </si>
  <si>
    <t>Pekerjaan Panel Distribusi Genset, termasuk pengiriman dan instalasi</t>
  </si>
  <si>
    <t>Pekerjaan Tangki Solar 500L, termasuk pengiriman dan instalasi</t>
  </si>
  <si>
    <t>Pekerjaan Pipa Buangan Gas (Exhaust Muffler), termasuk pengiriman dan instalasi</t>
  </si>
  <si>
    <t>PEKERJAAN SALURAN DAN JALAN LINGKUNGAN</t>
  </si>
  <si>
    <t>dekkuer</t>
  </si>
  <si>
    <t>Panjang Saluran Akses Jalan Masuk</t>
  </si>
  <si>
    <t>sisi kiri</t>
  </si>
  <si>
    <t>sisi kanan</t>
  </si>
  <si>
    <t>Jalan Utama</t>
  </si>
  <si>
    <t>sisi depan &amp; blkg</t>
  </si>
  <si>
    <t>belokan 4 sisi</t>
  </si>
  <si>
    <t>Akses masuk Bangunan Beku</t>
  </si>
  <si>
    <t>Pedestrian sisi Luar dari kiri</t>
  </si>
  <si>
    <t>Jalan Samping Parkiran</t>
  </si>
  <si>
    <t>Jalan Samping Kantor</t>
  </si>
  <si>
    <t>depan bangunan beku</t>
  </si>
  <si>
    <t>depan area parkir</t>
  </si>
  <si>
    <t>sodetan samping Senkul</t>
  </si>
  <si>
    <t>sodetan depan Bale Nelayan</t>
  </si>
  <si>
    <t>sodetan blkg Toilet</t>
  </si>
  <si>
    <t>depan bengkel</t>
  </si>
  <si>
    <t>Pekerjaan Saluran Kawasan</t>
  </si>
  <si>
    <t>sisi belakang</t>
  </si>
  <si>
    <t>cek siteplan</t>
  </si>
  <si>
    <t>Dinding</t>
  </si>
  <si>
    <t>Alas</t>
  </si>
  <si>
    <t>sisi samping kanan + kiri</t>
  </si>
  <si>
    <t>Sentral Kuliner</t>
  </si>
  <si>
    <t>SPBUN</t>
  </si>
  <si>
    <t>Shelter Pendaratan Ikan</t>
  </si>
  <si>
    <t>Pabrik Es</t>
  </si>
  <si>
    <t>Kios Perbekalan</t>
  </si>
  <si>
    <t>Kantor</t>
  </si>
  <si>
    <t>Toilet Umum</t>
  </si>
  <si>
    <t>Tangki Air</t>
  </si>
  <si>
    <t>Mushollah</t>
  </si>
  <si>
    <t>TPS</t>
  </si>
  <si>
    <t xml:space="preserve">Pos Jaga </t>
  </si>
  <si>
    <t>Bengkel + jaring</t>
  </si>
  <si>
    <t>Gapura</t>
  </si>
  <si>
    <t>Gudang Beku</t>
  </si>
  <si>
    <t>Pasar Ikan</t>
  </si>
  <si>
    <t>Docking Kapal</t>
  </si>
  <si>
    <t>Bale Nelayan</t>
  </si>
  <si>
    <t>Cool Box</t>
  </si>
  <si>
    <t>extra</t>
  </si>
  <si>
    <t>Pekerjaan Saluran Pasangan Bata Merah</t>
  </si>
  <si>
    <t>Pos Jaga</t>
  </si>
  <si>
    <t>Bengkel</t>
  </si>
  <si>
    <t>Pekerjaan Jalan Kawasan</t>
  </si>
  <si>
    <t>lebar jalan</t>
  </si>
  <si>
    <t>Pekerjaan Urugan Makadam t = 30 cm</t>
  </si>
  <si>
    <t>Pekerjaan Pemadatan Makdam</t>
  </si>
  <si>
    <t xml:space="preserve">Pekerjaan Pembesian Wiremesh M8 </t>
  </si>
  <si>
    <t xml:space="preserve">Joint sealer aspal </t>
  </si>
  <si>
    <t>Plastik cor</t>
  </si>
  <si>
    <t>Pekerjaan Beton Site Mix mutu f'c = 25 Mpa dengan Concrete Mixer Pump</t>
  </si>
  <si>
    <t>XVI.3.</t>
  </si>
  <si>
    <t>XV</t>
  </si>
  <si>
    <t>PEKERJAAN LEVELLING</t>
  </si>
  <si>
    <t>Segmen 2</t>
  </si>
  <si>
    <t>Segmen 3</t>
  </si>
  <si>
    <t>Segmen 4</t>
  </si>
  <si>
    <t>dibagi tiap 20 cm</t>
  </si>
  <si>
    <t>Pekerjaan Pemadatan Tanah Urug dengan alat berat tiap 20 cm</t>
  </si>
  <si>
    <t>vol. urugan tanah</t>
  </si>
  <si>
    <t>Pekerjaan Pondasi</t>
  </si>
  <si>
    <t>Jumlah / 50 cm</t>
  </si>
  <si>
    <t>Pekerjaan Kayu Bekesting Sloof 2 Kali Pakai</t>
  </si>
  <si>
    <t>Pekerjaan Balok Beton RB 15/30</t>
  </si>
  <si>
    <t>Pekerjaan Kayu Bekesting Balok 2 Kali Pakai</t>
  </si>
  <si>
    <t>Opening</t>
  </si>
  <si>
    <t>Ddg Roster</t>
  </si>
  <si>
    <t>ddg keramik</t>
  </si>
  <si>
    <t>jendela BV</t>
  </si>
  <si>
    <t>Pekerjaan Penutup Atap</t>
  </si>
  <si>
    <t>Pekerjaan Nok Atap</t>
  </si>
  <si>
    <t>Pekerjaan Listplank Atap GRC</t>
  </si>
  <si>
    <t>terevisi</t>
  </si>
  <si>
    <t>Pekerjaan Pintu Aluminium Strip (Spandrel) termasuk Kusen dan Asesoris, 80x200 (toilet)</t>
  </si>
  <si>
    <t>Pekerjaan Kusen Jendela BV (1 bh)</t>
  </si>
  <si>
    <t>Pekerjaan Lantai Keramik 40x40 cm</t>
  </si>
  <si>
    <t>Pekerjaan Plint Lantai Keramik 10x40 cm</t>
  </si>
  <si>
    <t>Vol Ddg Roster x 2</t>
  </si>
  <si>
    <t>memanjang</t>
  </si>
  <si>
    <t>per 1 toilet</t>
  </si>
  <si>
    <t>Pekerjaan Setting Tangki Air 1000 Liter</t>
  </si>
  <si>
    <t>Pekerjaan Septiktank Bio Tech 3 m³</t>
  </si>
  <si>
    <t>Pekerjaan Pengadaan dan Setting Septiktank Bio Tech 3 m³</t>
  </si>
  <si>
    <t>Pekerjaan Pasang Downlight LED 11 watt</t>
  </si>
  <si>
    <t>Pekerjaan Pasang Downlight LED 5 watt</t>
  </si>
  <si>
    <t>Pekerjaan Sentral Kuliner</t>
  </si>
  <si>
    <t>jarak 50 cm panjang pond bt belah</t>
  </si>
  <si>
    <t>L=0,8</t>
  </si>
  <si>
    <t>L=0,6</t>
  </si>
  <si>
    <t>Pekerjaan Sloof Beton 15/15</t>
  </si>
  <si>
    <t>Pekerjaan Kolom Beton Pedestal 25/25 cm</t>
  </si>
  <si>
    <t>Pekerjaan Kayu Bekesting Kolom 2 kali Pakai</t>
  </si>
  <si>
    <t>Pembesian Besi Beton 4 Ø 12 mm</t>
  </si>
  <si>
    <t>Pembesian Besi Beton Ø 6 mm - 200</t>
  </si>
  <si>
    <t>Pekerjaan Balok Beton 20/35</t>
  </si>
  <si>
    <t>Pembesian Besi Beton Ø 8 mm</t>
  </si>
  <si>
    <t>Pekerjaan Balok Beton B3, 15/20</t>
  </si>
  <si>
    <t>as 1 + 2</t>
  </si>
  <si>
    <t>Pekerjaan Kayu Bekesting Balok 2 kali Pakai</t>
  </si>
  <si>
    <t>Pekerjaan Topian Atas t = 8 cm (Kopi Bahari)</t>
  </si>
  <si>
    <t>as F</t>
  </si>
  <si>
    <t>as E'</t>
  </si>
  <si>
    <t>sekat tenant makanan (horizontal)</t>
  </si>
  <si>
    <t>as E-E'</t>
  </si>
  <si>
    <t>as B</t>
  </si>
  <si>
    <t>as A(2-3)</t>
  </si>
  <si>
    <t>sekat tenant kopi (horizontal)</t>
  </si>
  <si>
    <t>as 2&amp;3</t>
  </si>
  <si>
    <t>sopi-sopi</t>
  </si>
  <si>
    <t>PENGURANG</t>
  </si>
  <si>
    <t>as A</t>
  </si>
  <si>
    <t>as 2</t>
  </si>
  <si>
    <t>vol dinding x 2 sisi</t>
  </si>
  <si>
    <t>Vol dinding Batu alam Andesit</t>
  </si>
  <si>
    <t>Vol Dinding Bata Terakota</t>
  </si>
  <si>
    <t>Vol Dinding 30x60 cm Polished (ddg dapur)</t>
  </si>
  <si>
    <t>Area Kolom</t>
  </si>
  <si>
    <t>kolom 4 sisi</t>
  </si>
  <si>
    <t>kolom 3 sisi</t>
  </si>
  <si>
    <t>balok 3 sisi</t>
  </si>
  <si>
    <t>Pekerjaan dinding Batu Alam</t>
  </si>
  <si>
    <t>sisi depan tenant minuman</t>
  </si>
  <si>
    <t>sisi samping kiri tenant minuman</t>
  </si>
  <si>
    <t>Vol Kusen</t>
  </si>
  <si>
    <t>depan tenant minuman</t>
  </si>
  <si>
    <t>samping kiri tenant minuman</t>
  </si>
  <si>
    <t>Pekerjaan Dinding 30x60 cm Polished (Dapur)</t>
  </si>
  <si>
    <t>Opening Kusen</t>
  </si>
  <si>
    <t>dinding Roster</t>
  </si>
  <si>
    <t>Pekerjaan Lantai Homogenous 60x60 cm Polished</t>
  </si>
  <si>
    <t>Area tengah</t>
  </si>
  <si>
    <t>Area resepsionis</t>
  </si>
  <si>
    <t>Area Wastafel</t>
  </si>
  <si>
    <t>Pekerjaan Plint Lt Homogenous 10x60 cm Polished</t>
  </si>
  <si>
    <t>Area Dapur</t>
  </si>
  <si>
    <t>Area Makan</t>
  </si>
  <si>
    <t>Overlap Atap</t>
  </si>
  <si>
    <t>Pekerjaan Cat Dinding Luar Watershield</t>
  </si>
  <si>
    <t>Volume Acian</t>
  </si>
  <si>
    <t>Vol Plafond</t>
  </si>
  <si>
    <t>atap pelana</t>
  </si>
  <si>
    <t>atap limas (tenant minuman)</t>
  </si>
  <si>
    <t>Pasang Penutup Atap Spandek berpasir t = 0,3 mm</t>
  </si>
  <si>
    <t>Pekerjaan Nok Atap Metal</t>
  </si>
  <si>
    <t>VI.3.</t>
  </si>
  <si>
    <t>sisi samping kiri</t>
  </si>
  <si>
    <t>Pekerjaan Pasang Downlight LED 11 watt (dapur)</t>
  </si>
  <si>
    <t>Pekerjaan Pasang Lampu RM 2xLED 18 Watt (area makan)</t>
  </si>
  <si>
    <t>Exhaust Fan</t>
  </si>
  <si>
    <t>Pekerjaan Instalasi Saklar Tunggal NYM 2 x 2 ½ mm²</t>
  </si>
  <si>
    <t>Pekerjaan Instalasi Saklar Ganda NYM 2 x 2 ½ mm²</t>
  </si>
  <si>
    <t>Pekerjaan Perbaikan Jaring</t>
  </si>
  <si>
    <t>Elv +0.700</t>
  </si>
  <si>
    <t>Elv +3.290</t>
  </si>
  <si>
    <t>Pekerjaan Balok Beton B-2 15/15 (sopi-sopi)</t>
  </si>
  <si>
    <t>ddg samping</t>
  </si>
  <si>
    <t>ddg belakang</t>
  </si>
  <si>
    <t>Pekerjaan Plafon GRC</t>
  </si>
  <si>
    <t>Pekerjaan Pot Bunga Memanjang</t>
  </si>
  <si>
    <t>sisi panjang pot</t>
  </si>
  <si>
    <t>sisi samping pot</t>
  </si>
  <si>
    <t>sisi pot</t>
  </si>
  <si>
    <t>sisi samping luar</t>
  </si>
  <si>
    <t>Pekerjaan Urugan Tanah Merah</t>
  </si>
  <si>
    <t>Pekerjaan Penanaman Rumput Gajah termasuk pupuk Kompos</t>
  </si>
  <si>
    <t>Pot bunga</t>
  </si>
  <si>
    <t>Pekerjaan Huruf Timbul plate galvanis finish cat duco, SHELTER PERBAIKAN ALAT TANGKAP uk. 20x25 cm</t>
  </si>
  <si>
    <t>Pasang Box MCB 2 Group</t>
  </si>
  <si>
    <t>Pekerjaan Bangunan Pemasaran Ikan</t>
  </si>
  <si>
    <t>XXV.1.</t>
  </si>
  <si>
    <t>Pekerjaan Pondasi Tapak Beton 30x120x120 cm (12 bh)</t>
  </si>
  <si>
    <t>Pekerjaan Pancang Cerucuk Dolken (bwh Tapak + Pond Bt Belah)</t>
  </si>
  <si>
    <t>Pondasi tapak</t>
  </si>
  <si>
    <t>vertikale</t>
  </si>
  <si>
    <t>horizontale</t>
  </si>
  <si>
    <t>Pekerjaan Sloof Beton TB-1 25/35</t>
  </si>
  <si>
    <t>Pekerjaan Kayu Bekesting Sloof 2 kali Pakai</t>
  </si>
  <si>
    <t>panjang bersih</t>
  </si>
  <si>
    <t>vol urugan</t>
  </si>
  <si>
    <t>XXV.2.</t>
  </si>
  <si>
    <t>vol ddg x2</t>
  </si>
  <si>
    <t>Pekerjaan Dinding GRC Sopi-Sopi</t>
  </si>
  <si>
    <t>Pek. Plafond Kalsiboard rangka besi hollow aluminium</t>
  </si>
  <si>
    <t>Vol ddg</t>
  </si>
  <si>
    <t>Kolom 30/30</t>
  </si>
  <si>
    <t>Panjang total x 0,3</t>
  </si>
  <si>
    <t>XXV.3.</t>
  </si>
  <si>
    <t>Pekerjaan Bale Nelayan</t>
  </si>
  <si>
    <t>Pekerjaan Kolom Beton 15/15 (kp)</t>
  </si>
  <si>
    <t>Vol Bekisting</t>
  </si>
  <si>
    <t>blkg</t>
  </si>
  <si>
    <t>ddg depan</t>
  </si>
  <si>
    <t>sopi2</t>
  </si>
  <si>
    <t>ddg railing</t>
  </si>
  <si>
    <t>2x vol ddg</t>
  </si>
  <si>
    <t>trap1</t>
  </si>
  <si>
    <t>trap2</t>
  </si>
  <si>
    <t>vol acian</t>
  </si>
  <si>
    <t>vol acian beton</t>
  </si>
  <si>
    <t>vol plafond</t>
  </si>
  <si>
    <t>Pekerjaan Docking Kapal</t>
  </si>
  <si>
    <t>24.1</t>
  </si>
  <si>
    <t>Pekerjaan Urugan Makadam</t>
  </si>
  <si>
    <t>Pekerjaan Urugan Makadam t = 25 cm</t>
  </si>
  <si>
    <t>Pekerjaan Pembesian Wiremesh M8-150, 1 lapis</t>
  </si>
  <si>
    <t>vol ddg</t>
  </si>
  <si>
    <t>dlm bgn</t>
  </si>
  <si>
    <t>luar bgn</t>
  </si>
  <si>
    <t>vol plafon</t>
  </si>
  <si>
    <t>Pekerjaan Trap Tangga Ramp</t>
  </si>
  <si>
    <t>Pekerjaan Angkur Sloof ke Pondasi Batu Kali</t>
  </si>
  <si>
    <t>Pekerjaan pemadatan</t>
  </si>
  <si>
    <t>ddg bengkel</t>
  </si>
  <si>
    <t>ddg roster 20x20</t>
  </si>
  <si>
    <t>depan</t>
  </si>
  <si>
    <t>U</t>
  </si>
  <si>
    <t>PEKERJAAN BANGUNAN IPAL BIOTECH 2 M³</t>
  </si>
  <si>
    <t>Pekerjaan Beton Cor Site Mix 1 : 2 : 3</t>
  </si>
  <si>
    <t>Vol galian</t>
  </si>
  <si>
    <t>Vol STP</t>
  </si>
  <si>
    <t>L lingkaran</t>
  </si>
  <si>
    <t>Pekerjaan Pondasi Tapak Precast 15x60x60 cm (28 bh)</t>
  </si>
  <si>
    <t>bordes bawah</t>
  </si>
  <si>
    <t>kanan + kiri</t>
  </si>
  <si>
    <t>Pembesian Besi Beton Ø 10 mm</t>
  </si>
  <si>
    <t>Pekerjaan Balok Atas 15/15 - Melintang (TB-1)</t>
  </si>
  <si>
    <t>Pekerjaan Balok Atas 15/15 - Memanjang</t>
  </si>
  <si>
    <t>Pekerjaan Bollard Ø 72 cm, T = 55 cm (4 bh)</t>
  </si>
  <si>
    <t>Pekerjaan Bekesting Kolom 3 kali pakai</t>
  </si>
  <si>
    <t>Diameter Kepala 72 cm</t>
  </si>
  <si>
    <t>Diameter Badan 62 cm</t>
  </si>
  <si>
    <t>Diameter Kaki 72 cm</t>
  </si>
  <si>
    <t>Pembesian Besi Beton Ø 8 mm - 100</t>
  </si>
  <si>
    <t>Pekerjaan Cat Bollard Ø 72 cm, T = 55 cm (9 bh)</t>
  </si>
  <si>
    <t>sisi pinggir</t>
  </si>
  <si>
    <t>sis tengah</t>
  </si>
  <si>
    <t>Besi Kanstin 4Ø10 mm</t>
  </si>
  <si>
    <t>PERHITUNGAN GERBANG</t>
  </si>
  <si>
    <t>W</t>
  </si>
  <si>
    <t>PEKERJAAN BANGUNAN GERBANG</t>
  </si>
  <si>
    <t>W.1.</t>
  </si>
  <si>
    <t>Pekerjaan Pilar Dekoratif Samping (2 Unit)</t>
  </si>
  <si>
    <t>W.1.1.</t>
  </si>
  <si>
    <t>Pekerjaan Tapak Beton PC-1, 30x60x160 cm</t>
  </si>
  <si>
    <t>Pekerjaan Tapak Beton PC-2, 30x100x160 cm</t>
  </si>
  <si>
    <t>area pilar</t>
  </si>
  <si>
    <t>Ukuran</t>
  </si>
  <si>
    <t>Pekerjaan Urugan Pasir urug t = 5 cm</t>
  </si>
  <si>
    <t>L rata2</t>
  </si>
  <si>
    <t>Pekerjaan Lantai Beton Elv.+4.10</t>
  </si>
  <si>
    <t>P - selimut</t>
  </si>
  <si>
    <t>Pekerjaan Pemasangan Perancah Scaffolding untuk semua badan Kontruksi Gerbang</t>
  </si>
  <si>
    <t>kebutuhan</t>
  </si>
  <si>
    <t>1 layer</t>
  </si>
  <si>
    <t>jumlah x 1,8 m</t>
  </si>
  <si>
    <t>tingkat</t>
  </si>
  <si>
    <t>Pekerjaan Lantai Beton Elv.+6.275</t>
  </si>
  <si>
    <t>Pekerjaan Pembesian Wiremseh M6-150</t>
  </si>
  <si>
    <t>Pekerjaan Lantai Beton Elv.+8.825</t>
  </si>
  <si>
    <t>diagonal</t>
  </si>
  <si>
    <t>Pasang Penutup Atap Spandek berpasir t = 30 cm</t>
  </si>
  <si>
    <t>Vol P Listplank</t>
  </si>
  <si>
    <t>W.1.2.</t>
  </si>
  <si>
    <t>Elevasi +4.10 s/d +6.275</t>
  </si>
  <si>
    <t>area Pilar</t>
  </si>
  <si>
    <t>trap-1</t>
  </si>
  <si>
    <t>trap-1 samping</t>
  </si>
  <si>
    <t>trap-2</t>
  </si>
  <si>
    <t>trap-2 samping</t>
  </si>
  <si>
    <t>trap-3</t>
  </si>
  <si>
    <t>trap-3 samping</t>
  </si>
  <si>
    <t>trap-4</t>
  </si>
  <si>
    <t>trap-4 samping</t>
  </si>
  <si>
    <t>trap-5</t>
  </si>
  <si>
    <t>trap-5 samping</t>
  </si>
  <si>
    <t>sisi dalam &amp; luar</t>
  </si>
  <si>
    <t>area samping</t>
  </si>
  <si>
    <t>Elevasi +6.275 s/d +8.825</t>
  </si>
  <si>
    <t>trap-1 dalam</t>
  </si>
  <si>
    <t>trap-2 dalam</t>
  </si>
  <si>
    <t>Elevasi +8.825 (Top)</t>
  </si>
  <si>
    <t>Dinding Sopi</t>
  </si>
  <si>
    <t>= Vol pas ddg bata</t>
  </si>
  <si>
    <t>sisi samping keliling</t>
  </si>
  <si>
    <t>sisi atas keliling</t>
  </si>
  <si>
    <t>= Vol plesteran</t>
  </si>
  <si>
    <t>Vol plesteran - Vol Acian</t>
  </si>
  <si>
    <t>Pekerjaan Dinding Keramik 30x30 cm motif Batu Alam</t>
  </si>
  <si>
    <t>Pekerjaan Plafond Kalsiboard t=6 mm, rangka Besi Hollow</t>
  </si>
  <si>
    <t>= Vol Acian</t>
  </si>
  <si>
    <t>Pekerjaan Logo KKP dia.1 m plate galvanis Finish Cat Duco</t>
  </si>
  <si>
    <t>Pekerjaan Logo KNMP dia.1 m plate galvanis Finish Cat Duco</t>
  </si>
  <si>
    <t>Pekerjaan Huruf Timbul plate galvanis finish cat duco, KNMP 20x35 cm</t>
  </si>
  <si>
    <t>Pekerjaan Huruf Timbul plate galvanis finish cat duco, SELAMAT DATANG dan TANJUNG BANON BATAM. 9x15 cm</t>
  </si>
  <si>
    <t>Pekerjaan Huruf Timbul plate galvanis finish cat duco, KAMPUNG NELAYAN MERAH PUTIH 7x10 cm</t>
  </si>
  <si>
    <t>W.2.</t>
  </si>
  <si>
    <t>Pekerjaan Pilar Dekoratif Tengah (1 Unit)</t>
  </si>
  <si>
    <t>W.2.1.</t>
  </si>
  <si>
    <t>W.2.2.</t>
  </si>
  <si>
    <t>Area Pilar Tengah</t>
  </si>
  <si>
    <t>W.3.</t>
  </si>
  <si>
    <t xml:space="preserve"> </t>
  </si>
  <si>
    <t>Pekerjaan Bangunan Docking</t>
  </si>
  <si>
    <t>Pekerjaan Pondasi Pas. Batu Karang</t>
  </si>
  <si>
    <t>Pekerjaan Pondasi Batu Karang</t>
  </si>
  <si>
    <t>Pekerjaan Pembesian Besi Beton Ø 13 mm</t>
  </si>
  <si>
    <t>Pekerjaan Pembesian Besi Beton Ø 10 mm - 200</t>
  </si>
  <si>
    <t>Pekerjaan 1 m³ Cor Site Mix 1 : 2 : 3</t>
  </si>
  <si>
    <t>Pekerjaan Urugan Makadam t = 10 cm</t>
  </si>
  <si>
    <t xml:space="preserve">Pekerjaan Beton </t>
  </si>
  <si>
    <t>Pekerjaan Balok Beton RB 20/35</t>
  </si>
  <si>
    <t>Pekerjaan Balok Beton RB-2 15/15 - Sopi</t>
  </si>
  <si>
    <t>Pekerjaan Pembesian Besi Beton 4 Ø 10</t>
  </si>
  <si>
    <t>Vol ddg Sopi</t>
  </si>
  <si>
    <t>Kolom 15/15</t>
  </si>
  <si>
    <t>Pekerjaan Huruf Timbul plate galvanis finish cat duco, SHELTER DOCKING KAPAL uk. 20x25 cm</t>
  </si>
  <si>
    <t>Pekerjaan GAZEBO</t>
  </si>
  <si>
    <t>Pekerjaan Balok Beton 25/30</t>
  </si>
  <si>
    <t>depan/blkg</t>
  </si>
  <si>
    <t>Plafond Kalsiboard</t>
  </si>
  <si>
    <t>Belakang</t>
  </si>
  <si>
    <t>Pekerjaan Lantai Keramik 60x60 cm Matte</t>
  </si>
  <si>
    <t>panjang ddg pot</t>
  </si>
  <si>
    <t>samping + blkg</t>
  </si>
  <si>
    <t>Vol</t>
  </si>
  <si>
    <t>Pekerjaan Railling Besi Hollow 4/8 + 4/4, t = 1,2 mm</t>
  </si>
  <si>
    <t>Pekerjaan Listplank Cutting Laser ACP (Aluminium Composite Panel) termasuk rangka baja ringan</t>
  </si>
  <si>
    <t>Rolag ddg</t>
  </si>
  <si>
    <t>Pekerjaan Pemasangan Lampu Downlight Ø 4 Inch</t>
  </si>
  <si>
    <t>Pekerjaan Pemasangan Lampu Downlight Ø 6 Inch</t>
  </si>
  <si>
    <t>Pekerjaan Pemasangan Saklar Dobel</t>
  </si>
  <si>
    <t>Pekerjaan Bangunan Musholla</t>
  </si>
  <si>
    <t>XIII.1</t>
  </si>
  <si>
    <t>Pekerjaan Pondasi Tapak Beton PC-1 30x100x100 cm (12 bh)</t>
  </si>
  <si>
    <t>Pekerjaan Pembesian Besi Beton D 13 mm</t>
  </si>
  <si>
    <t>Pekerjaan Pondasi Tapak Beton PC-2 30x80x80 cm (2 bh)</t>
  </si>
  <si>
    <t>Pekerjaan Pembesian Besi Beton D 13 mm - 125</t>
  </si>
  <si>
    <t>Total Panjang Pondasi</t>
  </si>
  <si>
    <t>Pemakaian cerucuk per 50 cm</t>
  </si>
  <si>
    <t>Pekerjaan Kayu Bekesting Sloof 2 kali pakai</t>
  </si>
  <si>
    <t>Pekerjaan Sloof Beton TB-2 25/25</t>
  </si>
  <si>
    <t>Pekerjaan Kolom Beton K-1 30/30 (12 bh)</t>
  </si>
  <si>
    <t>Pekerjaan Kayu Bekesting Kolom 2 kali pakai</t>
  </si>
  <si>
    <t>Pekerjaan Kolom Beton K-2 25/25 (6 bh)</t>
  </si>
  <si>
    <t>Pekerjaan Kayu Bekesting Kolom 3 kali pakai</t>
  </si>
  <si>
    <t>Pekerjaan Kolom Beton K-3 25/65 (6 bh)</t>
  </si>
  <si>
    <t>Pekerjaan Pembesian Besi Beton 10 D 13 mm</t>
  </si>
  <si>
    <t>Pekerjaan Kolom Beton KP Sirip 15/30 (8 bh)</t>
  </si>
  <si>
    <t>Pekerjaan Kolom Beton KP 15/15 (4 bh)</t>
  </si>
  <si>
    <t>Pekerjaan Balok Beton B-1 25/60</t>
  </si>
  <si>
    <t>Pekerjaan Balok Beton B-2 25/35</t>
  </si>
  <si>
    <t>Pekerjaan Pembesian Besi Beton 2 D 10 mm</t>
  </si>
  <si>
    <t>Pekerjaan Atap Beton Bangunan t = 12 cm</t>
  </si>
  <si>
    <t>bawah</t>
  </si>
  <si>
    <t>R. Imam</t>
  </si>
  <si>
    <t>Pekerjaan Balok Beton B-3 13/20</t>
  </si>
  <si>
    <t>Pekerjaan Pembesian Wiremesh M6-150, 2 lapis</t>
  </si>
  <si>
    <t>Pekerjaan Balok Beton B-1 20/60</t>
  </si>
  <si>
    <t>Pekerjaan Balok Beton B-2 20/35</t>
  </si>
  <si>
    <t>Pekerjaan Atap Beton Teras t = 12 cm</t>
  </si>
  <si>
    <t>Tampak Belakang</t>
  </si>
  <si>
    <t>Tampak Samping Kanan</t>
  </si>
  <si>
    <t>Tampak Samping Kiri</t>
  </si>
  <si>
    <t>Pekerjaan Pembesian Wiremesh M6-150, 1 lapis</t>
  </si>
  <si>
    <t>Vol Luas x tebal 0,12</t>
  </si>
  <si>
    <t>Pekerjaan Listplank Atap Beton Teras t = 8 cm (Entrance)</t>
  </si>
  <si>
    <t>Pekerjaan Kayu Bekesting Dinding 2 Kali Pakai</t>
  </si>
  <si>
    <t>Entrance samping</t>
  </si>
  <si>
    <t>Entrance depan</t>
  </si>
  <si>
    <t>Pekerjaan Pembesian Besi Beton Ø 6 mm - 200</t>
  </si>
  <si>
    <t>Pekerjaan Waterproofing Coating ex.No Drop anti panas</t>
  </si>
  <si>
    <t>lantai atap bangunan</t>
  </si>
  <si>
    <t>sisi ddg parapet</t>
  </si>
  <si>
    <t>lantai atap teras</t>
  </si>
  <si>
    <t>XIII.2</t>
  </si>
  <si>
    <t>Tampak depan</t>
  </si>
  <si>
    <t>sisi R. Imam</t>
  </si>
  <si>
    <t>Opening entrance</t>
  </si>
  <si>
    <t>Depan Pot tanaman</t>
  </si>
  <si>
    <t>opening sirip</t>
  </si>
  <si>
    <t>Jendela J-3</t>
  </si>
  <si>
    <t>Jendela J-2</t>
  </si>
  <si>
    <t>Vol ddg bata x 2</t>
  </si>
  <si>
    <t>Listplank beton</t>
  </si>
  <si>
    <t>Pek. Skonengan (Opening Kusen)</t>
  </si>
  <si>
    <t>Kusen Pintu PU</t>
  </si>
  <si>
    <t>Kusenn Jendela J-2</t>
  </si>
  <si>
    <t>Kusenn Jendela J-3</t>
  </si>
  <si>
    <t>Kusenn Jendela BV</t>
  </si>
  <si>
    <t>Pekerjaan Dinding GRC Motif</t>
  </si>
  <si>
    <t>Tampak Depan</t>
  </si>
  <si>
    <t>tengah atas</t>
  </si>
  <si>
    <t>atas kusen jendela</t>
  </si>
  <si>
    <t>sisi samping kanan</t>
  </si>
  <si>
    <t>Pekerjaan Lantai Homogeneous 60x60 cm</t>
  </si>
  <si>
    <t>Bangunan</t>
  </si>
  <si>
    <t>Area Imam</t>
  </si>
  <si>
    <t>Trap samping kanan + kiri</t>
  </si>
  <si>
    <t>trap vertikal</t>
  </si>
  <si>
    <t>Trap belakang</t>
  </si>
  <si>
    <t>Pekerjaan Plint Lantai Homogeneous 10x60 cm</t>
  </si>
  <si>
    <t>dalam gedung</t>
  </si>
  <si>
    <t>Kusen pintu</t>
  </si>
  <si>
    <t>samping ddg Imam</t>
  </si>
  <si>
    <t>luar gedung</t>
  </si>
  <si>
    <t>blkg pot bunga</t>
  </si>
  <si>
    <t>ddg sirip</t>
  </si>
  <si>
    <t>sirip</t>
  </si>
  <si>
    <t>Pekerjaan Plafond Gypsum, rangka besi hollow</t>
  </si>
  <si>
    <t>Pekerjaan Cat Dinding Dalam</t>
  </si>
  <si>
    <t>ddg dlm bangunan</t>
  </si>
  <si>
    <t>ddg samping Imam</t>
  </si>
  <si>
    <t>Kusen Jendela J-2</t>
  </si>
  <si>
    <t>Kusen Jendela J-3</t>
  </si>
  <si>
    <t>Kusen Jendela BV</t>
  </si>
  <si>
    <t>Area koridor</t>
  </si>
  <si>
    <t>ddg luar bangunan</t>
  </si>
  <si>
    <t>ddg dalam koridor</t>
  </si>
  <si>
    <t>Pekerjaan Kolom Beton K-2 20/20 (16 bh)</t>
  </si>
  <si>
    <t>Pekerjaan Kolom Beton K-3 13/13 (8 bh)</t>
  </si>
  <si>
    <t>ddg luar koridor</t>
  </si>
  <si>
    <t>ddg sblh sirip</t>
  </si>
  <si>
    <t>ddg tampak depan</t>
  </si>
  <si>
    <t>Pekerjaan Cat Dinding Tekstur</t>
  </si>
  <si>
    <t>ddg pergola Entrance</t>
  </si>
  <si>
    <t>Tampak samping kanan + kiri</t>
  </si>
  <si>
    <t>dinding samping</t>
  </si>
  <si>
    <t>sisi atap</t>
  </si>
  <si>
    <t>Tampak belakang</t>
  </si>
  <si>
    <t>Pekerjaan Pot Bunga (2 unit)</t>
  </si>
  <si>
    <t>satu sisi depan</t>
  </si>
  <si>
    <t>Pekerjaan Urugan Tanah Subur/Kompos</t>
  </si>
  <si>
    <t>Pekerjaan Tanam Rumput Mini</t>
  </si>
  <si>
    <t>Pekerjaan Tanam Pisang-Pisangan</t>
  </si>
  <si>
    <t>Pekerjaan Kusen Pintu PU (3 unit)</t>
  </si>
  <si>
    <t>Pekerjaan Kusen Aluminium 4 Inch</t>
  </si>
  <si>
    <t>Pek. Frame Pintu/Jendela Aluminium tanpa kaca</t>
  </si>
  <si>
    <t>Pekerjaan Kaca Tempered t = 8 mm</t>
  </si>
  <si>
    <t>Pasang Engsel SS 5 Inch SUS 304</t>
  </si>
  <si>
    <t>Pasang Handle Pintu Swing SS SUS 304</t>
  </si>
  <si>
    <t>Pasang Sloot Pintu SS SUS 304</t>
  </si>
  <si>
    <t>Pekerjaan Kusen Jendela J-2 (4 unit)</t>
  </si>
  <si>
    <t>Pekerjaan Kaca Polos t = 5 mm</t>
  </si>
  <si>
    <t>Pasang Engsel SS 4 Inch SUS 304</t>
  </si>
  <si>
    <t>Engsel Casement</t>
  </si>
  <si>
    <t>Pekerjaan Kusen Jendela J-3 (2 unit)</t>
  </si>
  <si>
    <t>Pekerjaan Kaca Es t = 5 mm</t>
  </si>
  <si>
    <t>Pekerjaan Tulisan Plate Stainless Stell T = 20 cm "MUSHOLLA ADZ ZIKRA"</t>
  </si>
  <si>
    <t>Pekerjaan Huruf Timbul plate galvanis finish cat duco, MUSHOLLA ADZ ZIKRA uk. 20x25 cm</t>
  </si>
  <si>
    <t>Pekerjaan Instalasi Penerangan</t>
  </si>
  <si>
    <t>Pasang Downlight Dalam</t>
  </si>
  <si>
    <t>Pasang Downlight Koridor</t>
  </si>
  <si>
    <t>Pasang Lampu RM TKI 2 x LED 18 Watt dalam</t>
  </si>
  <si>
    <t>Pasang Lampu RM TKI 2 x LED 18 Watt Teras</t>
  </si>
  <si>
    <t>Lampu LED Strip (bawah Tulisan SS)</t>
  </si>
  <si>
    <t>Lampu Spot Light taman</t>
  </si>
  <si>
    <t>biasa</t>
  </si>
  <si>
    <t>AC</t>
  </si>
  <si>
    <t>Pekerjaan Instalasi Stop Kontak</t>
  </si>
  <si>
    <t>Pasang Downlight</t>
  </si>
  <si>
    <t>XXVII</t>
  </si>
  <si>
    <t>PEKERJAAN PAGAR KAWASAN</t>
  </si>
  <si>
    <t>blkg belokan</t>
  </si>
  <si>
    <t>stlh belokan</t>
  </si>
  <si>
    <t>Depan Utama</t>
  </si>
  <si>
    <t>depan sblh putaran</t>
  </si>
  <si>
    <t>Jumlah Kolom = P / 3 m</t>
  </si>
  <si>
    <t>panjang pagar/pond bt belah / 50 cm</t>
  </si>
  <si>
    <t>Pekerjaan Sloof Beton 20/25</t>
  </si>
  <si>
    <t>Pekerjaan Kayu Bekesting 2 kali pakai</t>
  </si>
  <si>
    <t>Pekerjaan Plesteran dan Acian</t>
  </si>
  <si>
    <t>ddg</t>
  </si>
  <si>
    <t>Pekerjaan Sloof Beton 20/30</t>
  </si>
  <si>
    <t>Pekerjaan Pembesian Besi Beton 8 Ø 12 mm</t>
  </si>
  <si>
    <t>Pekerjaan Kolom Beton 20/20</t>
  </si>
  <si>
    <t>Pekerjaan Kolom Praktis 15/15</t>
  </si>
  <si>
    <t>Pekerjaan Lantai Beton Elv.+2.60</t>
  </si>
  <si>
    <t>Pekerjaan Pembesian Besi Beton D 10 m - 150</t>
  </si>
  <si>
    <t>Pekerjaan Lantai Beton Elv.+4.00</t>
  </si>
  <si>
    <t>Pekerjaan Lantai Beton Elv.+5.00</t>
  </si>
  <si>
    <t>trap3</t>
  </si>
  <si>
    <t>trap4</t>
  </si>
  <si>
    <t>trap5</t>
  </si>
  <si>
    <t>trap6</t>
  </si>
  <si>
    <t>= vol plesteran</t>
  </si>
  <si>
    <t>= vol dinding trap1</t>
  </si>
  <si>
    <t>= vol dinding trap4</t>
  </si>
  <si>
    <t>= vol dinding trap6</t>
  </si>
  <si>
    <t>= vol sisi samping bagian depan</t>
  </si>
  <si>
    <t>(PENGURANG) = vol GRC ornament lokal</t>
  </si>
  <si>
    <t>Pekerjaan Dinding Krawangan GRC Ornament Lokal</t>
  </si>
  <si>
    <t>Pekerjaan Trap Sirip</t>
  </si>
  <si>
    <t>Pekerjaan Plesteran Trap Sirip</t>
  </si>
  <si>
    <t>Pekerjaan Acian Trap Sirip</t>
  </si>
  <si>
    <t>= Vol Acian - Vol Batu Alam - Vol GRC Ornament</t>
  </si>
  <si>
    <t>Pekerjaan Huruf Timbul plate galvanis finish cat duco, SELAMAT DATANG dan KNMP 20x35 cm</t>
  </si>
  <si>
    <t>Pekerjaan Huruf Timbul plate galvanis finish cat duco, KAMPUNG NELAYAN MERAH PUTIH. 9x15 cm</t>
  </si>
  <si>
    <t>Pekerjaan Pemasangan Lampu sorot</t>
  </si>
  <si>
    <t>PEKERJAAN SENTRA KULINER (REDESIGN 20x10)</t>
  </si>
  <si>
    <t>Pekerjaan Pondasi Tapak Beton 30x80x80 cm (17 bh)</t>
  </si>
  <si>
    <t>info mas nandar pakai fondasi batu kali aja</t>
  </si>
  <si>
    <t>gak pakai lantai kerja</t>
  </si>
  <si>
    <t>Pekerjaan Urugan Tanah kembali</t>
  </si>
  <si>
    <t>sementara hide dulu</t>
  </si>
  <si>
    <t>galian tanah tapak</t>
  </si>
  <si>
    <t>galian tanah pnd bt belah</t>
  </si>
  <si>
    <t>Pekerjaan Urugan Tanah mendatangkan dipadatkan</t>
  </si>
  <si>
    <t>tanah bekas galian</t>
  </si>
  <si>
    <t>pasir urug</t>
  </si>
  <si>
    <t>lantai kerja</t>
  </si>
  <si>
    <t>Urugan tanah elevasi + 45 cm</t>
  </si>
  <si>
    <t>Pekerjaan Plesteran penutup sisi samping</t>
  </si>
  <si>
    <t>vertkal</t>
  </si>
  <si>
    <t>Overlap</t>
  </si>
  <si>
    <t>Pekerjaan Lantai Kerja t= 5 cm</t>
  </si>
  <si>
    <t>Pekerjaan Urugan Sirtu t= 15 cm</t>
  </si>
  <si>
    <t>Pekerjaan Gelar Wiremesh M8-150, 1 lapis</t>
  </si>
  <si>
    <t>Pekerjaan Kolom Beton Pedestal 25/25 cm (17 bh)</t>
  </si>
  <si>
    <t>info mas nandar pondasi batu kali saja</t>
  </si>
  <si>
    <t>Pekerjaan Kolom Praktis 15/15 cm</t>
  </si>
  <si>
    <t>Pembesian Besi Beton Ø 8 mm - 150</t>
  </si>
  <si>
    <t>Pekerjaan Ringbalk Beton RB-1, 20/35</t>
  </si>
  <si>
    <t>tenant makanan</t>
  </si>
  <si>
    <t>tenant minuman</t>
  </si>
  <si>
    <t>Pekerjaan Atap Topian t= 15 cm</t>
  </si>
  <si>
    <t>Pekerjaan Pembesian Besi Beton Ø 8 m - 150</t>
  </si>
  <si>
    <t>Pekerjaan Atap Topian t= 10 cm</t>
  </si>
  <si>
    <t>gaada, hide dulu</t>
  </si>
  <si>
    <t>BACK UP VOLUME POS JAGA</t>
  </si>
  <si>
    <t>T</t>
  </si>
  <si>
    <t>PEKERJAAN BANGUNAN POS JAGA</t>
  </si>
  <si>
    <t>T.1.</t>
  </si>
  <si>
    <t>Pekerjaan Persiapan</t>
  </si>
  <si>
    <t>Pek. Pengukuran dan Bouwplank</t>
  </si>
  <si>
    <t>T.2.</t>
  </si>
  <si>
    <t>Pekerjaan Tanah Dan Pasir</t>
  </si>
  <si>
    <t>Pek. Galian Pondasi sampai dengan 1 m</t>
  </si>
  <si>
    <t>Pek. Urugan Pasir Bawah Pondasi t = 5 cm</t>
  </si>
  <si>
    <t>Pek. Urugan Pasir Bawah lantai t = 15 cm</t>
  </si>
  <si>
    <t>Vol Galian</t>
  </si>
  <si>
    <t>Vol urugan pasir</t>
  </si>
  <si>
    <t>Vol Aanstamping</t>
  </si>
  <si>
    <t>Vol Pond Batu Kali</t>
  </si>
  <si>
    <t>Pekerjaan Pemadatan Tanah Urugan</t>
  </si>
  <si>
    <t>Vol urugan kembali</t>
  </si>
  <si>
    <t>T.3.</t>
  </si>
  <si>
    <t>Pekerjaan Pondasi Batu kosong Aanstamping</t>
  </si>
  <si>
    <t>Pekerjaan Kolom Beton K-1 25/25</t>
  </si>
  <si>
    <t>Tinggi 360 cm</t>
  </si>
  <si>
    <t>Tinggi 325 cm</t>
  </si>
  <si>
    <t>Pekerjaan Kolom Beton KP 15/15</t>
  </si>
  <si>
    <t>Pekerjaan Balok Beton Lintel 15/15</t>
  </si>
  <si>
    <t>Pekerjaan Pembesian Besi Beton 4 Ø 10 m</t>
  </si>
  <si>
    <t>Pekerjaan Meja Beton t = 10 cm (Pos depan)</t>
  </si>
  <si>
    <t>Pekerjaan Topi Beton t = 10 cm (Pos depan)</t>
  </si>
  <si>
    <t>Pekerjaan Topi Beton t = 10 cm (Atas Opening 2 unit)</t>
  </si>
  <si>
    <t>Pekerjaan Topi Beton t = 10 cm (Atas Jendela)</t>
  </si>
  <si>
    <t>T.4.</t>
  </si>
  <si>
    <t>Pekerjaan Pasangan dan Penutup Lantai</t>
  </si>
  <si>
    <t>Pek. Pasang Dinding Batu Bata 1/2 Bata ad 1PC : 5PS</t>
  </si>
  <si>
    <t>Horisontal atas ke bawah</t>
  </si>
  <si>
    <t>Depan</t>
  </si>
  <si>
    <t>Vertikal kiri ke kanan</t>
  </si>
  <si>
    <t>Kusen Pintu P-1</t>
  </si>
  <si>
    <t>Kusen Pintu P-2</t>
  </si>
  <si>
    <t>Kusen Jendela W-1</t>
  </si>
  <si>
    <t>Kusen Jendela W-2</t>
  </si>
  <si>
    <t>Kusen Jendela BV-1</t>
  </si>
  <si>
    <t>Pek. Plesteran Dinding tb:15 mm 1PC :5PS</t>
  </si>
  <si>
    <t>Vol pas bata x 2</t>
  </si>
  <si>
    <t>Pek. Acian Plesteran</t>
  </si>
  <si>
    <t>Luas keramik ddg Toilet</t>
  </si>
  <si>
    <t>Pek. Acian Beton</t>
  </si>
  <si>
    <t>Sloof sisi luar 15/25</t>
  </si>
  <si>
    <t>Kolom Beton K-1 15/25</t>
  </si>
  <si>
    <t>Kolom Beton KP 15/15</t>
  </si>
  <si>
    <t>Balok sisi luar</t>
  </si>
  <si>
    <t>Atap Beton t = 12 cm</t>
  </si>
  <si>
    <t>atas</t>
  </si>
  <si>
    <t>Meja Beton t = 10 cm (Pos depan)</t>
  </si>
  <si>
    <t>Topi Beton t = 10 cm (Pos depan)</t>
  </si>
  <si>
    <t>Topi Beton t = 10 cm (Atas Opening 2 unit)</t>
  </si>
  <si>
    <t>Topi Beton t = 10 cm (Atas Jendela)</t>
  </si>
  <si>
    <t>Pek. Pasangan Batu Bata Teras 1/2 Bata ad 1PC : 5PS</t>
  </si>
  <si>
    <t>rolaag bata teras</t>
  </si>
  <si>
    <t>Pekerjaan Opening Kusen Pintu dan Jendela</t>
  </si>
  <si>
    <t>Pekerjaan Keramik Lantai Uk. 60x60cm Polished</t>
  </si>
  <si>
    <t>R. Jaga</t>
  </si>
  <si>
    <t>R. Istirahat</t>
  </si>
  <si>
    <t>Pekerjaan Keramik Lantai Uk. 60x60cm Unpolished</t>
  </si>
  <si>
    <t>Koridor</t>
  </si>
  <si>
    <t>Trap teras</t>
  </si>
  <si>
    <t>Pekerjaan Plint Lantai Uk. 10x60cm Polished</t>
  </si>
  <si>
    <t>Pintu P-2</t>
  </si>
  <si>
    <t>Pekerjaan Plint Lantai Uk. 10x60cm Unpolished</t>
  </si>
  <si>
    <t>depan R. Istirahat</t>
  </si>
  <si>
    <t>Kolom R. Jaga</t>
  </si>
  <si>
    <t>Pekerjaan Keramik Lantai Uk. 30x30cm Unpolished</t>
  </si>
  <si>
    <t>Pekerjaan Keramik Dinding Uk. 30x60 cm Polished</t>
  </si>
  <si>
    <t>Pekerjaan Plafond Gypsum + Rangka Hollow</t>
  </si>
  <si>
    <t>Pekerjaan List Plafond - Shadow Line</t>
  </si>
  <si>
    <t>Toilet</t>
  </si>
  <si>
    <t>T.5.</t>
  </si>
  <si>
    <t>Pekerjaan Kusen, Pintu dan Jendela</t>
  </si>
  <si>
    <t>Kusen Pintu P-1 (1 unit)</t>
  </si>
  <si>
    <t>Pekerjaan Daun Pintu Aluminium tanpa kaca</t>
  </si>
  <si>
    <t>Pekerjaan Kusen Pintu UPVC P-2</t>
  </si>
  <si>
    <t>Kusen Jendela W-1 (1 unit)</t>
  </si>
  <si>
    <t>Kusen Jendela Kaca Mati W-2 (Frameless) (1 unit)</t>
  </si>
  <si>
    <t>Pasang Kaca Polos t = 8 mm</t>
  </si>
  <si>
    <t>Kusen Jendela BV-1 (1 unit)</t>
  </si>
  <si>
    <t>T.6.</t>
  </si>
  <si>
    <t>Pekerjaan Pengecatan</t>
  </si>
  <si>
    <t>Jdl W2 depan</t>
  </si>
  <si>
    <t>Samping Kiri</t>
  </si>
  <si>
    <t>Jdl W2 samping</t>
  </si>
  <si>
    <t>Jdl W1</t>
  </si>
  <si>
    <t>Samping Kanan</t>
  </si>
  <si>
    <t>Vol acian ddg</t>
  </si>
  <si>
    <t>Vol acian beton</t>
  </si>
  <si>
    <t>Vol Cat ddg luar</t>
  </si>
  <si>
    <t xml:space="preserve">Pek. Waterproofing Coating ex.No Drop Anti Panas/setara Dak Beton 3 lapis </t>
  </si>
  <si>
    <t>Vol lantai beton (atas)</t>
  </si>
  <si>
    <t>T.7.</t>
  </si>
  <si>
    <t>Pekerjaan Pasang Downlight LED 18 watt</t>
  </si>
  <si>
    <t>Pasang Box MCB 4 Group (isi 2 MCB)</t>
  </si>
  <si>
    <t>T.8</t>
  </si>
  <si>
    <t>Pekerjaan Instalasi Air Dan Sanitair</t>
  </si>
  <si>
    <t>Pekerjaan Tangki Air 600 liter, T = 4 m</t>
  </si>
  <si>
    <t>Pemasangan</t>
  </si>
  <si>
    <t>RESUME PEKERJAAN</t>
  </si>
  <si>
    <t>KODE ANALISA</t>
  </si>
  <si>
    <t>Analisa Tahun 2026</t>
  </si>
  <si>
    <t>PROFIT &amp; OVERHEAD</t>
  </si>
  <si>
    <t>1.1.2.3</t>
  </si>
  <si>
    <t>Pembuatan 1 m2 kantor sementara/rumah jaga/gudang semen dan peralatan lantai plesteran, dinding setengah tembok (Lihat Peraturan Menteri Pekerjaan Umum dan Perumahan Rakyat Nomor 8 Tahun 2023 Lampiran B U.1.3.c (c))</t>
  </si>
  <si>
    <t>Upah</t>
  </si>
  <si>
    <t>Pekerja / knek</t>
  </si>
  <si>
    <t>org/hr</t>
  </si>
  <si>
    <t>Tukang Kayu</t>
  </si>
  <si>
    <t>Tukang Batu</t>
  </si>
  <si>
    <t>Kepala Tukang</t>
  </si>
  <si>
    <t>Mandor / pengawas</t>
  </si>
  <si>
    <t>Jumlah Tenaga</t>
  </si>
  <si>
    <t>Bahan</t>
  </si>
  <si>
    <t>Dolken Ø 8-10</t>
  </si>
  <si>
    <t>Kayu klas 2</t>
  </si>
  <si>
    <t>Paku</t>
  </si>
  <si>
    <t>Besi strip</t>
  </si>
  <si>
    <t>Semen</t>
  </si>
  <si>
    <t>Pasir pasang</t>
  </si>
  <si>
    <t>Pasir beton</t>
  </si>
  <si>
    <t>Batu pecah</t>
  </si>
  <si>
    <t>Bata merah</t>
  </si>
  <si>
    <t>Seng Gelombang</t>
  </si>
  <si>
    <t>lbr</t>
  </si>
  <si>
    <t>Jendela nako</t>
  </si>
  <si>
    <t>Kaca polos t = 5 mm</t>
  </si>
  <si>
    <t>Kunci tanam</t>
  </si>
  <si>
    <t>Triplek t = 4 mm</t>
  </si>
  <si>
    <t>Jumlah Bahan</t>
  </si>
  <si>
    <t>Jumlah (A+B+C)</t>
  </si>
  <si>
    <t>E</t>
  </si>
  <si>
    <t>Overhead &amp; Profit</t>
  </si>
  <si>
    <t>F</t>
  </si>
  <si>
    <t>Harga Satuan Pekerjaan (D+E)</t>
  </si>
  <si>
    <t>1.1.2.1</t>
  </si>
  <si>
    <t>Pekerjaan 1 buah papan nama pekerjaan ukuran 0,8x1,2 menggunakan multiflex 18 mm, frame besi siku dan tiang kayu 8/12 (Lihat Peraturan Menteri Pekerjaan Umum dan Perumahan Rakyat Nomor 8 Tahun 2023 Lampiran B U.1.3.f.1 (a))</t>
  </si>
  <si>
    <t>Triplek/Plywood t = 18 mm</t>
  </si>
  <si>
    <t>Kayu balok 8/12 klas 2</t>
  </si>
  <si>
    <t>Frame besi L 30.30.3 mm</t>
  </si>
  <si>
    <t>Cat kayu</t>
  </si>
  <si>
    <t>Pekerja</t>
  </si>
  <si>
    <t>Tukang kayu</t>
  </si>
  <si>
    <t>Kepala tukang</t>
  </si>
  <si>
    <t>Tukang Cat/Pelitur</t>
  </si>
  <si>
    <t>Mandor</t>
  </si>
  <si>
    <t>Jumlah Upah</t>
  </si>
  <si>
    <t>Peralatan</t>
  </si>
  <si>
    <t>Jumlah Alat</t>
  </si>
  <si>
    <t>Harga Satuan Pekerjaan</t>
  </si>
  <si>
    <t>1.1.1.2</t>
  </si>
  <si>
    <t xml:space="preserve">Pembuatan 1 m’ pagar sementara dari seng gelombang rangka kayu tinggi 2 meter (Lihat Peraturan Menteri Pekerjaan Umum dan Perumahan Rakyat Nomor 8 Tahun 2023 Lampiran B U.1.1.2 (c)) </t>
  </si>
  <si>
    <t>Kaso 5/7 kayu kelas II</t>
  </si>
  <si>
    <t>Seng gelombang</t>
  </si>
  <si>
    <t>Paku biasa 5 inch</t>
  </si>
  <si>
    <t>Kg</t>
  </si>
  <si>
    <t>semen Portland (PC)</t>
  </si>
  <si>
    <t>Kerikil</t>
  </si>
  <si>
    <t>Air</t>
  </si>
  <si>
    <t>Liter</t>
  </si>
  <si>
    <t>Jumlah Harga Bahan</t>
  </si>
  <si>
    <t>Tenaga Kerja</t>
  </si>
  <si>
    <t>Tukang batu</t>
  </si>
  <si>
    <t>1.1.4.2</t>
  </si>
  <si>
    <t>Pasangan 1 m’ bouwplank (Lihat Peraturan Menteri Pekerjaan Umum dan Perumahan Rakyat Nomor 8 Tahun 2023 Lampiran B U.1.2.1.d (a))</t>
  </si>
  <si>
    <t>Kayu Kaso 5/7 klas 2</t>
  </si>
  <si>
    <t>Kayu Papan klas 2</t>
  </si>
  <si>
    <t>Jumlah Bahan, Tenaga &amp; Alat (A+B+C)</t>
  </si>
  <si>
    <t>T.02.a</t>
  </si>
  <si>
    <t>Pekerjaan 1 m¹ Pengukuran dan Pematokan Pagar/Saluran</t>
  </si>
  <si>
    <t>Juru Ukur</t>
  </si>
  <si>
    <t>Pembantu Juru Ukur</t>
  </si>
  <si>
    <t>Waterpass komplit</t>
  </si>
  <si>
    <t>hari</t>
  </si>
  <si>
    <t>Theodolite komplit</t>
  </si>
  <si>
    <t>1.1.4.1</t>
  </si>
  <si>
    <t>Pekerjaan 1 Ha Pengukuran Ulang Topografi</t>
  </si>
  <si>
    <t>Kayu 5/7</t>
  </si>
  <si>
    <t>Paku payung</t>
  </si>
  <si>
    <t>Operator terampil</t>
  </si>
  <si>
    <t>Tenaga Ahli Pratama</t>
  </si>
  <si>
    <t>T.04.a.1</t>
  </si>
  <si>
    <t>Pekerjaan 1 m² Stake Out Posisi Trase Saluran/Infrastruktur</t>
  </si>
  <si>
    <t>1.1.3.3</t>
  </si>
  <si>
    <t>Pekerjaan 1 m²Pembersihan dari tanaman/tumbuhan</t>
  </si>
  <si>
    <t>Analisa Sendiri</t>
  </si>
  <si>
    <t>Pekerjaan 1 m² Perancah untuk Pekerjaan Tambatan Perahu (badan kontruksi &amp; 2 sisi Jalan bantu L = 1,2 m)</t>
  </si>
  <si>
    <t>Kebutuhan Bambu</t>
  </si>
  <si>
    <t>Bambu vertikal  @ 2,5 m untuk penguat Kolom</t>
  </si>
  <si>
    <t>Panjang Efektif 1 batang Bambu</t>
  </si>
  <si>
    <t>Kebutuhan Penguat 1 Kolom 2 Bambu</t>
  </si>
  <si>
    <t>Jumlah Penguat Bambu (d=axc)</t>
  </si>
  <si>
    <t>Jumlah Bambu (e=d/b)</t>
  </si>
  <si>
    <t>Bambu horisontal melintang penguat Kolom @ 5 m (2 susun)</t>
  </si>
  <si>
    <t>baris</t>
  </si>
  <si>
    <t>Pemakaian bambu horisontal melintang</t>
  </si>
  <si>
    <t>Panjang Efektif 1 batang Bambu / baris</t>
  </si>
  <si>
    <t xml:space="preserve">Kebutuhan bambu 1 baris </t>
  </si>
  <si>
    <t>Jumlah Bambu (e=axbxd)</t>
  </si>
  <si>
    <t>Bambu horisontal memanjang penguat Kolom @ 6 m per 1 modul = 4,5 m (2 susun)</t>
  </si>
  <si>
    <t>modul/baris</t>
  </si>
  <si>
    <t>Volume Memanjang</t>
  </si>
  <si>
    <t>Jumlah Modul</t>
  </si>
  <si>
    <t>modul</t>
  </si>
  <si>
    <t>Pemakaian 1 modul</t>
  </si>
  <si>
    <t>Pemakaian bambu horisontal memanjang</t>
  </si>
  <si>
    <t>Jumlah Bambu (f=cxdxe)</t>
  </si>
  <si>
    <t>Bambu diagonal penguat Kolom @ 2 m (melintang)</t>
  </si>
  <si>
    <t>btg/2 m</t>
  </si>
  <si>
    <t>Jumlah baris Kolom</t>
  </si>
  <si>
    <t>Kebutuhan total bambu diagonal @ 2 m</t>
  </si>
  <si>
    <t>Total panjang d = c x 2 m</t>
  </si>
  <si>
    <t>Jumlah Bambu (f=d/e)</t>
  </si>
  <si>
    <t>Bambu diagonal penguat Kolom per 1 modul (memanjang)</t>
  </si>
  <si>
    <t>Jumlah Modul 2 baris sisi Tepi</t>
  </si>
  <si>
    <t>Kebutuhan total bambu diagonal @ 2 m (c=axb)</t>
  </si>
  <si>
    <t>Kebutuhan Perancah Jalan Kerja L = 1 m (2 sisi Luar Kontruksi)</t>
  </si>
  <si>
    <t>Kebutuhan Kolom Bambu Perancah</t>
  </si>
  <si>
    <t>Terpasang per jarak 1 m</t>
  </si>
  <si>
    <t>Pemakaian Kolom Bambu</t>
  </si>
  <si>
    <t>Digunakan untuk 2 sisi di Kontruksi kerja</t>
  </si>
  <si>
    <t>Bambu horisontal melintang penguat Kolom @ 1,5 m (2 susun)</t>
  </si>
  <si>
    <t>Kebutuhan Lantai Bambu</t>
  </si>
  <si>
    <t>Rangka Bambu Memanjang Eff @ 5 m</t>
  </si>
  <si>
    <t>Kebutuhan</t>
  </si>
  <si>
    <t>lajur</t>
  </si>
  <si>
    <t>Vol Memanjang  c = a x b</t>
  </si>
  <si>
    <t>Rangka Bambu Melintang Eff @ 1,2 m</t>
  </si>
  <si>
    <t>Jumlah Baris Melintang</t>
  </si>
  <si>
    <t>Jumlah Kebutuah Jalan Kerja :</t>
  </si>
  <si>
    <t>Kebutuhan Jalan kerja 2 Sisi</t>
  </si>
  <si>
    <t>Total Kebutuhan Perancah Tambatan (a+b+c+d+e+f)</t>
  </si>
  <si>
    <t>Pasang Triplek t = 12 mm (2 sisi)</t>
  </si>
  <si>
    <t>Dibulatkan</t>
  </si>
  <si>
    <t>Kebutuhan Tali Ijuk</t>
  </si>
  <si>
    <t>Bambu vertikal penguat Kolom @ 2,5 m</t>
  </si>
  <si>
    <t>Kebutuhan 1 titik Ikatan</t>
  </si>
  <si>
    <t>Kebutuhan Tali Ijuk :</t>
  </si>
  <si>
    <t>Biaya potong Bambu</t>
  </si>
  <si>
    <t>Jumlah Potong Bambu</t>
  </si>
  <si>
    <t>Waktu potong</t>
  </si>
  <si>
    <t>menit</t>
  </si>
  <si>
    <t>Mengangkat &amp; Geser</t>
  </si>
  <si>
    <t>Waktu Effektif Pekerja</t>
  </si>
  <si>
    <t>Koefisien Pekerja</t>
  </si>
  <si>
    <t>Biaya angkut Bambu rata2 sejauh 30 m</t>
  </si>
  <si>
    <t>Volume 1 btg Bambu Ø 6-8 cm</t>
  </si>
  <si>
    <t>Total Kebutuhan bambu Tambatan</t>
  </si>
  <si>
    <t>Vol Bambu</t>
  </si>
  <si>
    <t>Koefisien Tenaga</t>
  </si>
  <si>
    <t>bh/2 m</t>
  </si>
  <si>
    <t>Mengangkat dan Menegakan 1btg</t>
  </si>
  <si>
    <t>Masa tunggu 1 btg</t>
  </si>
  <si>
    <t>Mengikat Ijuk 1btg @ 2 titik</t>
  </si>
  <si>
    <t>Waktu Effektif Tenaga</t>
  </si>
  <si>
    <t>bh/5 m</t>
  </si>
  <si>
    <t>~ Kebutuhan Kolom Bambu Perancah</t>
  </si>
  <si>
    <t>btg/3 m</t>
  </si>
  <si>
    <t>~ Bambu horisontal melintang penguat Kolom @ 1,5 m (2 susun)</t>
  </si>
  <si>
    <t>btg/1,5 m</t>
  </si>
  <si>
    <t>~ Bambu horisontal memanjang penguat Kolom @ 6 m per 1 modul = 4,5 m (2 susun)</t>
  </si>
  <si>
    <t>btg/5 m</t>
  </si>
  <si>
    <t>~ Kebutuhan Lantai Bambu</t>
  </si>
  <si>
    <t>btg/1,2 m</t>
  </si>
  <si>
    <t>Jumlah Bahan dan Upah (A)</t>
  </si>
  <si>
    <t>Luas Area (B)</t>
  </si>
  <si>
    <t>Jumlah Bahan &amp; Upah (A/B)</t>
  </si>
  <si>
    <t>Pekerjaan 1 m3 Mengangkut Material dengan Jarak angkut 66 m</t>
  </si>
  <si>
    <t>Asumsi Waktu Tenaga</t>
  </si>
  <si>
    <t>Masa tunggu Tuang ke ember</t>
  </si>
  <si>
    <t>Mengangkat dan Berangkat</t>
  </si>
  <si>
    <t>Masa jeda Istirahat</t>
  </si>
  <si>
    <t>Masa tunggu Tuang ke kontruksi</t>
  </si>
  <si>
    <t>Pulang ke Stock Yard</t>
  </si>
  <si>
    <t>Waktu Efektif 1 hari</t>
  </si>
  <si>
    <t>Volume angkut 2 ember Cor</t>
  </si>
  <si>
    <t>Pekerja dlm 1 hari</t>
  </si>
  <si>
    <t>rit</t>
  </si>
  <si>
    <t>Volume dalam 1 hari</t>
  </si>
  <si>
    <t>Koefisien Mandor (kontrol 10 org)</t>
  </si>
  <si>
    <t>Jumlah Tenaga, Bahan &amp; Alat</t>
  </si>
  <si>
    <t>Pekerjaan 1 m3 Mengangkut Material dengan Jarak angkut 120 m</t>
  </si>
  <si>
    <t>Koefisien Mandor (kontrol 5 org)</t>
  </si>
  <si>
    <t>Pekerjaan 1 Tiang Demobilisasi+Setting Kolom Dan Tapak Precast termasuk pasang Penyokong/Pengaku Tiang</t>
  </si>
  <si>
    <t>Alat</t>
  </si>
  <si>
    <t>Berat kolom + Tapak</t>
  </si>
  <si>
    <t>Asumsi Waktu</t>
  </si>
  <si>
    <t>Mengingkat &amp; Melepas Tali Tambang</t>
  </si>
  <si>
    <t>Mengangkut &amp; Kembali</t>
  </si>
  <si>
    <t>Pasang Penyokong + Mengikat tali ijuk</t>
  </si>
  <si>
    <t>Dalam 1 hari = Waktu Eff / Jumlah waktu kerja</t>
  </si>
  <si>
    <t>tiang/hr</t>
  </si>
  <si>
    <t>Jumlah Pekerja</t>
  </si>
  <si>
    <t>Koefisien Mandor</t>
  </si>
  <si>
    <t>Asumsi Bahan</t>
  </si>
  <si>
    <t>Mengangkat Tiang dengan Bambu untuk 102 ttk (6 btg untuk 4 group) @ 6 orang/group</t>
  </si>
  <si>
    <t>Pasang Penyokong Tiang dengan Bambu untuk 102 ttk (2 btg x 102 ttk)</t>
  </si>
  <si>
    <t>Koefisien Bambu per 1 ttk</t>
  </si>
  <si>
    <t>Tali tambang</t>
  </si>
  <si>
    <t>Mengikat Tiang ke Bambu 3 ttk untuk 1 Tiang</t>
  </si>
  <si>
    <t>Untuk 4 Group</t>
  </si>
  <si>
    <t>Digunakan untuk 102 Tiang</t>
  </si>
  <si>
    <t>Koefisien tali tambang per 1 ttk</t>
  </si>
  <si>
    <t>Tali Ijuk</t>
  </si>
  <si>
    <t>Mengingkat Ijuk ke Bambu + Tiang</t>
  </si>
  <si>
    <t>1 ttk Ikatan</t>
  </si>
  <si>
    <t>Total ikatan ke Tiang</t>
  </si>
  <si>
    <t>Koefisien tali ijuk per 1 ttk</t>
  </si>
  <si>
    <t>Bambu</t>
  </si>
  <si>
    <t>Tali tambang Ø 3 cm</t>
  </si>
  <si>
    <t>1.2.1.1.3</t>
  </si>
  <si>
    <t>Pekerjaan 1 m³ Galian Tanah Biasa sedalam 0 s/d 1 m</t>
  </si>
  <si>
    <t>1.2.1.1.4</t>
  </si>
  <si>
    <t>Pekerjaan 1 m³ Galian Tanah Biasa sedalam 1 s/d 2 m</t>
  </si>
  <si>
    <t>1.2.1.1.6</t>
  </si>
  <si>
    <t>Pekerjaan 1 m³ Galian Tanah Biasa sedalam 2 s/d 3 m</t>
  </si>
  <si>
    <t>1.2.3.2.1</t>
  </si>
  <si>
    <t>Pekerjaan 1 m³ Galian Tanah Cadas/Keras sedalam 0 s/d 1 m</t>
  </si>
  <si>
    <t>Hand Jack Hammer Drill 2,5 Kw + Genset 5 Kw</t>
  </si>
  <si>
    <t>hr</t>
  </si>
  <si>
    <t>1.2.3.2.2</t>
  </si>
  <si>
    <t>Pekerjaan 1 m³ Galian Tanah Cadas/Keras sedalam 1 s/d 2 m</t>
  </si>
  <si>
    <t>6.4.2.11</t>
  </si>
  <si>
    <t>Pekerjaan 1 m¹ Pengadaan dan Pemasangan Cassing Pipa Galvanis Ø 6 Inch</t>
  </si>
  <si>
    <t>Pipa Galvanis Ø 6 Inch</t>
  </si>
  <si>
    <t>Tukang pipa</t>
  </si>
  <si>
    <t>6.4.2.8</t>
  </si>
  <si>
    <t>Pekerjaan 1 m¹ Pengadaan dan Pemasangan Cassing Pipa Galvanis Ø 3 Inch</t>
  </si>
  <si>
    <t>Pipa Galvanis Ø 3 Inch</t>
  </si>
  <si>
    <t>6.4.2.4</t>
  </si>
  <si>
    <t>Pekerjaan 1 m¹ Pengadaan dan Pemasangan Cassing Pipa Galvanis Ø 2 Inch</t>
  </si>
  <si>
    <t>Pipa Galvanis Ø 2 Inch</t>
  </si>
  <si>
    <t>Pekerjaan 1 m³ Buang Tanah bekas Galian Tanah</t>
  </si>
  <si>
    <t>1.3.1.4</t>
  </si>
  <si>
    <t>Pekerjaan 1 m³ Urukan tanah biasa atau tanah liat berpasir tanpa pemadatan secara manual (Lihat Peraturan Menteri Pekerjaan Umum dan Perumahan Rakyat Nomor 8 Tahun 2023 Lampiran B U.3.5.1.d (a))</t>
  </si>
  <si>
    <t>Tanah Urug</t>
  </si>
  <si>
    <t>Jumlah Tenaga &amp; Bahan</t>
  </si>
  <si>
    <t>1.3.1.1.1</t>
  </si>
  <si>
    <t>Pekerjaan 1 m³ Urugan Tanah Kembali</t>
  </si>
  <si>
    <t>10.1.(7)</t>
  </si>
  <si>
    <t>Pekerjaan 1 m³  Pemadatan Tanah dihampar serta dipadatkan dengan alat berat</t>
  </si>
  <si>
    <t>Analisa Bina Marga tahun 2024 Hal.217</t>
  </si>
  <si>
    <t>ASUMSI</t>
  </si>
  <si>
    <t>Pekerjaan dilakukan secara mekanis</t>
  </si>
  <si>
    <t>Lokasi pekerjaan : sepanjang jalan</t>
  </si>
  <si>
    <t>Kondisi jalan : jelek/belum padat</t>
  </si>
  <si>
    <t>jam kerja efektif</t>
  </si>
  <si>
    <t>Tk</t>
  </si>
  <si>
    <t>faktor pengembangan jalan</t>
  </si>
  <si>
    <t>Fk</t>
  </si>
  <si>
    <t>faktor konversi bahan lepas</t>
  </si>
  <si>
    <t>Fk-1</t>
  </si>
  <si>
    <t>ton/m³</t>
  </si>
  <si>
    <t>faktor kehilangan agregrat A</t>
  </si>
  <si>
    <t>Fh</t>
  </si>
  <si>
    <t>tebal lapisan agregrat padat</t>
  </si>
  <si>
    <t>t</t>
  </si>
  <si>
    <t>jarak antar lokasi pekerjaan</t>
  </si>
  <si>
    <t>s</t>
  </si>
  <si>
    <t>II</t>
  </si>
  <si>
    <t>URUTAN KERJA</t>
  </si>
  <si>
    <t>Motor Grader merapikan dan meratakan permukaaan</t>
  </si>
  <si>
    <t>Tandem Roller memadatkan permukaan</t>
  </si>
  <si>
    <t>Sekelompok pekerja akan membantu membersihkan top grade</t>
  </si>
  <si>
    <t>III</t>
  </si>
  <si>
    <t>PEMAKAIAN BAHAN, ALAT DAN TENAGA</t>
  </si>
  <si>
    <t>Bahan tanah urug = 1 x Fh x Fk-1</t>
  </si>
  <si>
    <t>2.a.</t>
  </si>
  <si>
    <t>MOTOR GRADER</t>
  </si>
  <si>
    <t>Panjang operasi grader sekali jalan</t>
  </si>
  <si>
    <t>Lh</t>
  </si>
  <si>
    <t>darat ke laut</t>
  </si>
  <si>
    <t>Lebar area pemadatan</t>
  </si>
  <si>
    <t>w</t>
  </si>
  <si>
    <t>lebar efektif kerja blade</t>
  </si>
  <si>
    <t>Lebar overlap</t>
  </si>
  <si>
    <t>bo</t>
  </si>
  <si>
    <t>Faktor efisiensi alat</t>
  </si>
  <si>
    <t>Fa</t>
  </si>
  <si>
    <t>Kecepatan rata-rata alat</t>
  </si>
  <si>
    <t>v</t>
  </si>
  <si>
    <t>km/jam</t>
  </si>
  <si>
    <t>Jumlah lintasan</t>
  </si>
  <si>
    <t>n</t>
  </si>
  <si>
    <t>lintasan</t>
  </si>
  <si>
    <t>Jumlah jalur lintasan = w / (b-b0)</t>
  </si>
  <si>
    <t>Waktu siklus</t>
  </si>
  <si>
    <t>- Perataan 1 kali lintasan = Lh : (v x 10000) x 60</t>
  </si>
  <si>
    <t>T1</t>
  </si>
  <si>
    <t>- Lain - lain</t>
  </si>
  <si>
    <t>T2</t>
  </si>
  <si>
    <t>Ts1</t>
  </si>
  <si>
    <t>Waktu perpindahan (moving) =</t>
  </si>
  <si>
    <t>Tm</t>
  </si>
  <si>
    <t>S / (V x 1000/60)</t>
  </si>
  <si>
    <t>Kapasitas Produksi / Jam =</t>
  </si>
  <si>
    <t>Lh x (n(b-b0)+b0) x Fa x 60</t>
  </si>
  <si>
    <t>Q1</t>
  </si>
  <si>
    <t>N x n X (Ts1 + Tm)</t>
  </si>
  <si>
    <t>KoefisienAlat / m³ = 1 : Q3</t>
  </si>
  <si>
    <t>2.b.</t>
  </si>
  <si>
    <t>TANDEM ROLLER</t>
  </si>
  <si>
    <t>Lebar effektif pemadatan</t>
  </si>
  <si>
    <t>Produksi terbuang karena perpindahan =</t>
  </si>
  <si>
    <t>(s/(v x 1000/60)) x Lh x w</t>
  </si>
  <si>
    <t>Q2'</t>
  </si>
  <si>
    <t>(v x 1000) x (N x (b-bo) + bo) x Fa / n - Q2'</t>
  </si>
  <si>
    <t>Q2</t>
  </si>
  <si>
    <t>m²/jam</t>
  </si>
  <si>
    <t>KoefisienAlat / m³ = 1 : Q2</t>
  </si>
  <si>
    <t>TENAGA</t>
  </si>
  <si>
    <t>Produksi menentukan : TANDEM ROLLER</t>
  </si>
  <si>
    <t>m³/jam</t>
  </si>
  <si>
    <t>Produksi timbunan / hari = Tk x Q2</t>
  </si>
  <si>
    <t>Qt</t>
  </si>
  <si>
    <t>Kebutuhan tenaga</t>
  </si>
  <si>
    <t>- Pekerja</t>
  </si>
  <si>
    <t>P</t>
  </si>
  <si>
    <t>orang</t>
  </si>
  <si>
    <t>- Mandor</t>
  </si>
  <si>
    <t>M</t>
  </si>
  <si>
    <t>Koefisien tenaga / m³ :</t>
  </si>
  <si>
    <t>- Pekerja = (Tk x P) : Qt</t>
  </si>
  <si>
    <t>org/jam</t>
  </si>
  <si>
    <t>- Mandor = (Tk x M) : Qt</t>
  </si>
  <si>
    <t>Bulldozer lebar blade ± 3,5 - 4 m termasuk operator + BBM</t>
  </si>
  <si>
    <t>Vibro Roller 12 Ton termasuk operator + BBM</t>
  </si>
  <si>
    <t>Harga Satuan Pekerjaan Pemadatan 1 kali</t>
  </si>
  <si>
    <t>G</t>
  </si>
  <si>
    <t>Harga Satuan Pekerjaan Pemadatan 5 kali</t>
  </si>
  <si>
    <t>1.3.1.2</t>
  </si>
  <si>
    <t>Pekerjaan 1 m3 Urukan dengan Pasir Uruk untuk volume s.d 200 m3 tanpa pemadatan secara manual (Lihat Peraturan Menteri Pekerjaan Umum dan Perumahan Rakyat Nomor 8 Tahun 2023 Lampiran B U.3.5.1.b (c))</t>
  </si>
  <si>
    <t>Pasir urug</t>
  </si>
  <si>
    <t>1.3.1.6</t>
  </si>
  <si>
    <t>Pekerjaan 1 m³ Urugan Batu Makadam</t>
  </si>
  <si>
    <t>Makadam 2/3</t>
  </si>
  <si>
    <t>Pekerjaan 1 m³ Urugan Sirtu</t>
  </si>
  <si>
    <t>Sirtu</t>
  </si>
  <si>
    <t>Pekerjaan 1 m³ Urugan Gravel</t>
  </si>
  <si>
    <t>Gravel</t>
  </si>
  <si>
    <t>1.3.1.7</t>
  </si>
  <si>
    <t>Pekerjaan 1 m³ Urugan Tanah Kompos/Subur Mendatangkan</t>
  </si>
  <si>
    <t>Tanah Urug Kompos/Subur</t>
  </si>
  <si>
    <t>krg</t>
  </si>
  <si>
    <t>1.3.3.1</t>
  </si>
  <si>
    <t>Pekerjaan 1 m3 Pemadatan dengan Stamper</t>
  </si>
  <si>
    <t>Tamper 5 HP + BBM + Operator</t>
  </si>
  <si>
    <t>Pekerjaan 1 m² Penanaman Rumput Gajah Mini</t>
  </si>
  <si>
    <t>Rumput Mini</t>
  </si>
  <si>
    <t>Tanah Subur (Media) @ 12 kg</t>
  </si>
  <si>
    <t>karung</t>
  </si>
  <si>
    <t>Upah tanam</t>
  </si>
  <si>
    <t>G.110</t>
  </si>
  <si>
    <t>Pekerjan 1 ttk Pengujian Crosshole Sonic Logging (CSL) pada tiang bor beton termasuk  mobilisasi alat dan personil</t>
  </si>
  <si>
    <t>DATA DAN ASUMSI</t>
  </si>
  <si>
    <t>Pekerjaan CSL (Crosshole Sonic Logging) untuk pengujian di lokasi kegiatan termasuk pembuatan laporan hasil CSL</t>
  </si>
  <si>
    <t>Jasa pekerjaan CSL termasuk sewa peralatan yg digunakan personil melakukan CSL dan pembuatan laporan</t>
  </si>
  <si>
    <t>Penentuan lokasi uji CSL harus seijin direksi</t>
  </si>
  <si>
    <t>Penyedia memobilisasi peralatan CSL ke lokasi yang telah disetujuioleh PPK</t>
  </si>
  <si>
    <t>CSL dilakukan untuk mengetahui integritas tiang mengacu pada ASTM D6760-16 (spesifikasi 7.6.1.4)</t>
  </si>
  <si>
    <t>Dibuat laporan hasil pengujian</t>
  </si>
  <si>
    <t>PERALATAN DAN PELAKSANAAN PENGUJIAN</t>
  </si>
  <si>
    <t>Peralatan dan pengujian lengkap (sewa)</t>
  </si>
  <si>
    <t>Mobilisasi dan Demobilisasi peralatan pengujian lengkap</t>
  </si>
  <si>
    <t>Pelaksanaan pekerjaan pengujian di lapangan</t>
  </si>
  <si>
    <t>Laporan hasil pengujian</t>
  </si>
  <si>
    <t>Pipa PVC dia 2 inch</t>
  </si>
  <si>
    <t>TENAGA / PERSONIL</t>
  </si>
  <si>
    <t>Tenaga ahli</t>
  </si>
  <si>
    <t>Tenaga Pendukung</t>
  </si>
  <si>
    <t>Mobilisasi dan demobilisasi tenaga</t>
  </si>
  <si>
    <t>Jumlah Jasa</t>
  </si>
  <si>
    <t>2.2.2.1.1</t>
  </si>
  <si>
    <t>Pekerjaan 1 m³ Pondasi Batu Kosong / Aanstamping</t>
  </si>
  <si>
    <t>Batu Belah</t>
  </si>
  <si>
    <t>2.2.2.1.9</t>
  </si>
  <si>
    <t>Pekerjaan 1 m³ Pondasi Batu Belah 1 : 5</t>
  </si>
  <si>
    <t>2.2.2.1.2</t>
  </si>
  <si>
    <t>Pekerjaan 1 m³ Pondasi Batu Belah 1 : 2</t>
  </si>
  <si>
    <t>2.6.2.1</t>
  </si>
  <si>
    <t>Pekerjaan 1 m¹ Pengadaan dan Pemancangan Cerucuk Dolken Kayu Ø 6 - 8 cm</t>
  </si>
  <si>
    <t>Dolken Kayu Ø 6 - 8 cm</t>
  </si>
  <si>
    <t>sepatu pancang dolken Ø 6-8 cm</t>
  </si>
  <si>
    <t>Tukang</t>
  </si>
  <si>
    <t>2.2.1.3.1</t>
  </si>
  <si>
    <t>Pekerjaan 1 m² Bekisting Kayu untuk Pondasi 3 Kali Pakai</t>
  </si>
  <si>
    <t>papan kayu klas 3</t>
  </si>
  <si>
    <t>Minyak bekisting</t>
  </si>
  <si>
    <t>liter</t>
  </si>
  <si>
    <t>2.2.1.3.3</t>
  </si>
  <si>
    <t>Pekerjaan 1 m² Bekisting Kayu untuk Sloof 3 Kali Pakai</t>
  </si>
  <si>
    <t>Papan Kayu klas 2</t>
  </si>
  <si>
    <t>2.2.1.3.4</t>
  </si>
  <si>
    <t>Pekerjaan 1 m² Bekisting Kayu untuk Kolom 3 Kali Pakai</t>
  </si>
  <si>
    <t>Balok kayu klas 2</t>
  </si>
  <si>
    <t>Plywood t = 12 mm</t>
  </si>
  <si>
    <t>Dolken</t>
  </si>
  <si>
    <t>2.2.1.3.6</t>
  </si>
  <si>
    <t>Pekerjaan 1 m² Bekisting Kayu untuk Lantai 3 Kali Pakai</t>
  </si>
  <si>
    <t>2.2.1.3.5</t>
  </si>
  <si>
    <t>Pekerjaan 1 m² Bekisting Kayu untuk Balok 3 Kali Pakai</t>
  </si>
  <si>
    <t>2.2.1.3.7</t>
  </si>
  <si>
    <t>Pekerjaan 1 m² Bekesting Dinding Beton</t>
  </si>
  <si>
    <t>Paku biasa 2"-5"</t>
  </si>
  <si>
    <t>Minyak Bekesting</t>
  </si>
  <si>
    <t>ltr</t>
  </si>
  <si>
    <t>Balok Kayu klas III</t>
  </si>
  <si>
    <t>Plywood/Triplek t = 12 mm</t>
  </si>
  <si>
    <t>Dolken kayu 8-10/400 cm</t>
  </si>
  <si>
    <t>Penjaga jarak bekesting / spacer</t>
  </si>
  <si>
    <t>2.2.1.3.8</t>
  </si>
  <si>
    <t>Pekerjaan 1 m² Bekesting untuk Tangga</t>
  </si>
  <si>
    <t>Pekerjaan 1 m² Perancah Scafolding</t>
  </si>
  <si>
    <t>Scafolding T.170</t>
  </si>
  <si>
    <t>A.2.2.1.10 (K3)</t>
  </si>
  <si>
    <t>Pekerjaan 1 m² Perancah Bambu</t>
  </si>
  <si>
    <t>Bambu dia.6-8 cm, L = 6 m</t>
  </si>
  <si>
    <t>Ijuk</t>
  </si>
  <si>
    <t>2.2.1.1.4</t>
  </si>
  <si>
    <t>Pekerjaan 1 kg Pembesian Besi Beton &gt; 12 mm secara semi mekanis</t>
  </si>
  <si>
    <t>SE-BK-CK-2025</t>
  </si>
  <si>
    <t>Tukang besi</t>
  </si>
  <si>
    <t>Besi Beton Ulir D</t>
  </si>
  <si>
    <t>Kawat Beton</t>
  </si>
  <si>
    <t>Cutter baja beton</t>
  </si>
  <si>
    <t>Bender baja beton</t>
  </si>
  <si>
    <t>2.2.1.1.3</t>
  </si>
  <si>
    <t>Pekerjaan 1 kg Pembesian Besi Beton &lt; 12 mm secara manual</t>
  </si>
  <si>
    <t xml:space="preserve">Besi Beton Ø </t>
  </si>
  <si>
    <t>Pekerjaan 1 bh Pemasangan Stek Angkur D 13  mm - 500</t>
  </si>
  <si>
    <t>Jasa pasang</t>
  </si>
  <si>
    <t>Besi Beton D 13 mm</t>
  </si>
  <si>
    <t>2.2.1.1.5</t>
  </si>
  <si>
    <t>Pekerjaan 1 m² Pembesian Wiremesh M6-150</t>
  </si>
  <si>
    <t>Wiremesh M6-150</t>
  </si>
  <si>
    <t>2.2.1.1.5b</t>
  </si>
  <si>
    <t>Pekerjaan 1 m² Pembesian Wiremesh M8-150</t>
  </si>
  <si>
    <t>Wiremesh M8-150</t>
  </si>
  <si>
    <t>2.3.1.1</t>
  </si>
  <si>
    <t>Pekerjaan 1 kg Fabrikasi dan Ereksi Baja Profil</t>
  </si>
  <si>
    <t>Baja profi</t>
  </si>
  <si>
    <t>Kawat las</t>
  </si>
  <si>
    <t>Mesin Las</t>
  </si>
  <si>
    <t>Crane mobile 7 ton</t>
  </si>
  <si>
    <t>2.2.2.4.18</t>
  </si>
  <si>
    <t>Pekerjaan 1 cm Pengelasan</t>
  </si>
  <si>
    <t>2.2.1.4.1</t>
  </si>
  <si>
    <t>Pekerjaan 1 m³ Lantai Kerja beton mutu f'c = 7,5 Mpa secara manual</t>
  </si>
  <si>
    <t>Kerikil / Split 1/2</t>
  </si>
  <si>
    <t>2.2.1.5.4</t>
  </si>
  <si>
    <t>Pekerjaan 1 m³ Beton Site Mix mutu f'c = 20 Mpa secara semi mekanis</t>
  </si>
  <si>
    <t>Kerikil / Split</t>
  </si>
  <si>
    <t>Molen/Concrete Mixer 0,35 m³</t>
  </si>
  <si>
    <t>2.2.1.5.6</t>
  </si>
  <si>
    <t>Pekerjaan 1 m³ Beton Site Mix mutu f'c = 25 Mpa secara semi mekanis</t>
  </si>
  <si>
    <t>2.2.1.6.1</t>
  </si>
  <si>
    <t>Pekerjaan 1 m³ Cor Beton Ready Mix K-300</t>
  </si>
  <si>
    <t>Ready Mix K-300</t>
  </si>
  <si>
    <t>Pekerjaan 1 m³ Cor Beton Ready Mix K-250</t>
  </si>
  <si>
    <t>Ready Mix K-250</t>
  </si>
  <si>
    <t>2.2.1.7.4</t>
  </si>
  <si>
    <t>Pekerjaan 1 m³ Cor Beton dengan Pompa Beton</t>
  </si>
  <si>
    <t>Pompa Beton</t>
  </si>
  <si>
    <t>2.2.1.8.2</t>
  </si>
  <si>
    <t>Pekerjaan 1 m³ Pemadatan Beton dengan Vibrator</t>
  </si>
  <si>
    <t>Concrete Vibrator</t>
  </si>
  <si>
    <t>2.2.1.11.1</t>
  </si>
  <si>
    <t>Pekerjaan 1 m³ Grouting</t>
  </si>
  <si>
    <t>Semen Grouting</t>
  </si>
  <si>
    <t>2.1.1.1</t>
  </si>
  <si>
    <t>Pekerjaan 1 m² Atap Pelana Rangka Baja Ringan Profil C75</t>
  </si>
  <si>
    <t>Baja ringan canai dingin C75</t>
  </si>
  <si>
    <t>2.1.1.2</t>
  </si>
  <si>
    <t>Pekerjaan 1 m² Atap Jurai/Limasan Rangka Baja Ringan Profil C75</t>
  </si>
  <si>
    <t>Baja ringan canai dinngin C75</t>
  </si>
  <si>
    <t>3.1.3.8</t>
  </si>
  <si>
    <t>Pekerjaan 1 m² Penutup Atap Spandek Berpasir t = 0,3 mm</t>
  </si>
  <si>
    <t>Atap Spandek berpasir t = 0,30 mm</t>
  </si>
  <si>
    <t>Paku sekrup / Roofing</t>
  </si>
  <si>
    <t>3.1.3.14</t>
  </si>
  <si>
    <t>Pekerjaan 1 m¹ Nok Atap Spandek Berpasir</t>
  </si>
  <si>
    <t>Nok Atap Zincallum</t>
  </si>
  <si>
    <t>Paku pancing</t>
  </si>
  <si>
    <t>3.3.1</t>
  </si>
  <si>
    <t>Pekerjaan 1 m¹ Pemasangan Talang Air Galvalum Datar termasuk asesoris</t>
  </si>
  <si>
    <t>Talang Air Galvalum termasuk asesoris</t>
  </si>
  <si>
    <t>Papan kayu klas 2</t>
  </si>
  <si>
    <t>3.3.5</t>
  </si>
  <si>
    <t>Pekerjaan 1 m¹ Pemasangan Listplank GRC L = 30 cm</t>
  </si>
  <si>
    <t>Listplank GRC L = 30 cm</t>
  </si>
  <si>
    <t>3.6.5.2</t>
  </si>
  <si>
    <t>Pekerjaan 1 m² Pasangan Batako</t>
  </si>
  <si>
    <t>Batako</t>
  </si>
  <si>
    <t>3.6.1.9</t>
  </si>
  <si>
    <t>Pekerjaan 1 m² Pasangan ½ Bata Merah 1 : 5</t>
  </si>
  <si>
    <t>3.7.5</t>
  </si>
  <si>
    <t>Pekerjaan 1 m² Plesteran</t>
  </si>
  <si>
    <t>Pekerjaan 1 m² Plesteran dengan Semen tipe V</t>
  </si>
  <si>
    <t>Semen tipe V</t>
  </si>
  <si>
    <t>3.7.8</t>
  </si>
  <si>
    <t>Pekerjaan 1 m² Acian</t>
  </si>
  <si>
    <t>Pekerjaan 1 m² Acian dengan semen tipe V</t>
  </si>
  <si>
    <t>3.7.10</t>
  </si>
  <si>
    <t>Pekerjaan 1 m¹ Skonengan tebal = 1 cm, lebar 10 cm</t>
  </si>
  <si>
    <t>Pekerjaan 1 m¹ Skonengan tebal = 1 cm, lebar 10 cm dengan Semen tipe V</t>
  </si>
  <si>
    <t>3.6.3.5</t>
  </si>
  <si>
    <t>Pekerjaan 1 m² Pasangan Dinding Roster</t>
  </si>
  <si>
    <t>Bata Roster 20 x 20 cm</t>
  </si>
  <si>
    <t>3.6.3.3</t>
  </si>
  <si>
    <t>Pekerjaan 1 m² Pasangan Dinding Krawangan GRC Motif Batik</t>
  </si>
  <si>
    <t>Dinding Krawangan GRC Motif Batik</t>
  </si>
  <si>
    <t>ACP (Aluminium Composite Panel) Outdoor</t>
  </si>
  <si>
    <t>Besi Hollow Galvanis 40/40, t = 1,6 mm</t>
  </si>
  <si>
    <t>Braket/Spigot/Stiffener</t>
  </si>
  <si>
    <t>Paku sekrup beton</t>
  </si>
  <si>
    <t>Paku sekrup</t>
  </si>
  <si>
    <t>Sealent</t>
  </si>
  <si>
    <t>tube</t>
  </si>
  <si>
    <t>3.8.10.2</t>
  </si>
  <si>
    <t>Pekerjaan 1 m² Pengecatan Tembok Luar Baru (Sealer+Water Shield Extreme ex.JOTUN)</t>
  </si>
  <si>
    <t>Tukang Cat</t>
  </si>
  <si>
    <t>Cat dasar Sealer Eksterior ex.JOTUN Jotashield</t>
  </si>
  <si>
    <t>Cat penutup Water Shield Extreme ex.JOTUN</t>
  </si>
  <si>
    <t>Pekerjaan 1 m² Pengecatan Tembok Luar Baru (Sealer+Cat Tekstur)</t>
  </si>
  <si>
    <t>Cat penutup Tekstur ex.Arturo</t>
  </si>
  <si>
    <t>4040/SJ-IND.8/TKDN/5/2023</t>
  </si>
  <si>
    <t>3.8.10.1</t>
  </si>
  <si>
    <t>Pekerjaan 1 m² Pengecatan Tembok Dalam Baru</t>
  </si>
  <si>
    <t>Plamur tembok ex.Matex</t>
  </si>
  <si>
    <t>Cat dasar tembok Interior - Catylac</t>
  </si>
  <si>
    <t>Cat tembok Interior - Catylac</t>
  </si>
  <si>
    <t>3.8.20.1</t>
  </si>
  <si>
    <t>Pekerjaan 1 m² Pengecatan Plafond</t>
  </si>
  <si>
    <t>3.8.21</t>
  </si>
  <si>
    <t>Pekerjaan 1 m² Pengecatan Epoxy Lantai 2 mm , Top Coat Multipox ex.Propan</t>
  </si>
  <si>
    <t>Cat Epoxy, Top Coat Multipox ex.Propan</t>
  </si>
  <si>
    <t>116/SJ-IND.8/TKDN/1/2022</t>
  </si>
  <si>
    <t>Pekerjaan 1 m² Pengecatan Dinding ex.Acrillyc</t>
  </si>
  <si>
    <t>Cat dasar tembok Eksterior ex.Mowilex</t>
  </si>
  <si>
    <t>Cat tembok Eksterior Acrilyc ex.Mowilex</t>
  </si>
  <si>
    <t>3.9.9.9</t>
  </si>
  <si>
    <t>Pekerjaan 1 m² Floor Hardener ex.Sika</t>
  </si>
  <si>
    <t>Tukang cat</t>
  </si>
  <si>
    <t>Floor Hardener ex.Sika</t>
  </si>
  <si>
    <t>3.4.4</t>
  </si>
  <si>
    <t>Pekerjaan 1 m² Waterproofing Coating ex.No Drop anti Panas</t>
  </si>
  <si>
    <t>Waterproofing Coating ex.No Drop anti Panas</t>
  </si>
  <si>
    <t>A.4.4.3.34</t>
  </si>
  <si>
    <t>Pekerjaan 1 m² Lantai Keramik 60 x 60 cm</t>
  </si>
  <si>
    <t>Keramik 60x60 cm Matte</t>
  </si>
  <si>
    <t>5132/SJ-IND.8/TKDN/10/2022</t>
  </si>
  <si>
    <t>Semen warna</t>
  </si>
  <si>
    <t>Pekerjaan 1 m² Lantai Keramik 50 x 50 cm</t>
  </si>
  <si>
    <t>Keramik 50x50 cm Matte</t>
  </si>
  <si>
    <t>3.9.7.4</t>
  </si>
  <si>
    <t>Pekerjaan 1 m² Lantai Keramik 40 x 40 cm</t>
  </si>
  <si>
    <t>Keramik 40 x 40 cm</t>
  </si>
  <si>
    <t>3.9.7.5</t>
  </si>
  <si>
    <t>Pekerjaan 1 m² Lantai Keramik 30 x 30 cm Motif Batu Alam</t>
  </si>
  <si>
    <t>Keramik 30 x 30 cm, Motif Batu Alam</t>
  </si>
  <si>
    <t>3.9.8.8</t>
  </si>
  <si>
    <t>Pekerjaan 1 m¹ Plint Lantai Keramik 10 x 60 cm</t>
  </si>
  <si>
    <t>Keramik 60x60 cm</t>
  </si>
  <si>
    <t>3.9.8.7</t>
  </si>
  <si>
    <t>Pekerjaan 1 m¹ Plint Lantai Keramik 10 x 40 cm</t>
  </si>
  <si>
    <t>Keramik 40x40 cm</t>
  </si>
  <si>
    <t>3.10.1.4</t>
  </si>
  <si>
    <t>Pekerjaan 1 m¹ Dinding Keramik 20 x 40 cm ex.ROMAN</t>
  </si>
  <si>
    <t>Keramik 20x40 cm ex.ROMAN</t>
  </si>
  <si>
    <t>A.4.4.3.57</t>
  </si>
  <si>
    <t>Pekerjaan 1 m² Pasangan Dinding Bata Terakota</t>
  </si>
  <si>
    <t>Bata Terakota 6 x 20 cm</t>
  </si>
  <si>
    <t>1199/SJ-IND.8/TKDN/4/2022</t>
  </si>
  <si>
    <t>3.10.4.3</t>
  </si>
  <si>
    <t>Pekerjaan 1 m² Pasangan Dinding Batu Alam Andesit</t>
  </si>
  <si>
    <t>Dinding Batu Alam Andesit</t>
  </si>
  <si>
    <t>BOW O.07 e</t>
  </si>
  <si>
    <t>Pekerjaan 1 m¹ Pemasangan Kanstin 15x25x40 cm</t>
  </si>
  <si>
    <t>Kanstin 15x25x40 cm</t>
  </si>
  <si>
    <t>7.1.1.1</t>
  </si>
  <si>
    <t>Pekerjaan 1 m² Pemasangan Paving Block t = 6 cm</t>
  </si>
  <si>
    <t>Paving Block t = 6 cm</t>
  </si>
  <si>
    <t>Pekerjaan 1 bh Logo Timbul 40x40 cm, Plat Galvanis + Finish Duco</t>
  </si>
  <si>
    <t>Logo Timbul 40x40 cm, Plat Galvanis + Finish Duco</t>
  </si>
  <si>
    <t>Upah pasang</t>
  </si>
  <si>
    <t>Pekerjaan 1 bh Logo Timbul 100x100 cm, Plat Galvanis + Finish Duco</t>
  </si>
  <si>
    <t>Logo Timbul 100x100 cm, Plat Galvanis + Finish Duco</t>
  </si>
  <si>
    <t>Pekerjaan 1 bh Huruf Timbul 20x35 cm, Plat Galvanis + Finish Duco</t>
  </si>
  <si>
    <t>Huruf Timbul 20x35 cm, Plat Galvanis + Finish Duco</t>
  </si>
  <si>
    <t>Pekerjaan 1 bh Huruf Timbul 20x25 cm, Plat Galvanis + Finish Duco</t>
  </si>
  <si>
    <t>Pekerjaan 1 bh Huruf Timbul 9x15 cm, Plat Galvanis + Finish Duco</t>
  </si>
  <si>
    <t>Huruf Timbul 9x15 cm, Plat Galvanis + Finish Duco</t>
  </si>
  <si>
    <t>Pekerjaan 1 bh Huruf Timbul 7x10 cm, Plat Galvanis + Finish Duco</t>
  </si>
  <si>
    <t>Huruf Timbul 7x10 cm, Plat Galvanis + Finish Duco</t>
  </si>
  <si>
    <t>Pekerjaan 1 m² Listplank Cutting Laser ACP (Aluminium Composite Panel) termasuk rangka hollow</t>
  </si>
  <si>
    <t>Rangka besi hollow</t>
  </si>
  <si>
    <t>Cutting laser ACP</t>
  </si>
  <si>
    <t>A.G</t>
  </si>
  <si>
    <t>Pekerjaan 1 m² Langit - Langit Plafond GRC t = 6 mm, rangka besi hollow galvalum</t>
  </si>
  <si>
    <t>3.5.3.1</t>
  </si>
  <si>
    <t>Pekerjaan 1 m² Rangka Besi Hollow Galvalum 40.40 mm, Modul 60x60 cm</t>
  </si>
  <si>
    <t>Tukang Besi</t>
  </si>
  <si>
    <t>Hollow Galvalum 40.40 t = 0,4 mm</t>
  </si>
  <si>
    <t>3.5.2.2.3</t>
  </si>
  <si>
    <t>Pekerjaan 1 m² Langit - Langit Plafond GRC t = 6 mm</t>
  </si>
  <si>
    <t>Papan GRC t = 6 mm, 120x240 cm</t>
  </si>
  <si>
    <t>SNI 8299:2017</t>
  </si>
  <si>
    <t>Pekerjaan 1 m² Pemasangan Plafond PVC,  rangka besi hollow galvanis</t>
  </si>
  <si>
    <t>Pekerjaan 1 m² Rangka Besi Hollow Galvanis 40.40 mm, Modul 60x60 cm</t>
  </si>
  <si>
    <t>Rangka Metal Hollow 40.40</t>
  </si>
  <si>
    <t>Asesoris</t>
  </si>
  <si>
    <t>%</t>
  </si>
  <si>
    <t>Pasang 1 m² Plafond PVC</t>
  </si>
  <si>
    <t>Plafond PVC</t>
  </si>
  <si>
    <t>Paku Skrup</t>
  </si>
  <si>
    <t>Overhead &amp; Profit 15%</t>
  </si>
  <si>
    <t>Pekerjaan 1 m² Langit - Langit Plafond Gypsum t = 9 mm,  rangka besi hollow galvanis</t>
  </si>
  <si>
    <t>Hollow Galvalum 40.40 t = 0,3 mm</t>
  </si>
  <si>
    <t>3.5.2.1</t>
  </si>
  <si>
    <t>Pekerjaan 1 m² Langit - Langit Plafond Gypsum t = 9 mm</t>
  </si>
  <si>
    <t>Papan Gypsum t = 9 mm, 120x240 cm</t>
  </si>
  <si>
    <t>Pekerjaan 1 m² Langit - Langit Plafond Kalsiboard t = 6 mm, rangka besi hollow galvanis</t>
  </si>
  <si>
    <t>Besi Hollow Galvanis 40x40 Gal'v t = 0,8 mm</t>
  </si>
  <si>
    <t>Pekerjaan 1 m² Langit - Langit Plafond Kalsiboard t = 6 mm</t>
  </si>
  <si>
    <t>Papan Kalsiboard t = 6 mm, 120x240 cm</t>
  </si>
  <si>
    <t>3.5.2.6</t>
  </si>
  <si>
    <t>Pekerjaan 1 m¹ List Plafond Shadow Line</t>
  </si>
  <si>
    <t>List Shadow Line</t>
  </si>
  <si>
    <t>3.11.3.1</t>
  </si>
  <si>
    <t>Pekerjaan 1 m¹ Kusen Aluminium 4"</t>
  </si>
  <si>
    <t>Kusen Aluminium 4" ex. Alexindo</t>
  </si>
  <si>
    <t>Fisher Ø 12 s/d 20 cm</t>
  </si>
  <si>
    <t>3.11.3.3</t>
  </si>
  <si>
    <t>Pekerjaan 1 m³ Kusen Kayu 6/15 Kelas 1</t>
  </si>
  <si>
    <t>Balok Kayu 6/15 kelas 1</t>
  </si>
  <si>
    <t>Paku 10 cm</t>
  </si>
  <si>
    <t>Lem kayu</t>
  </si>
  <si>
    <t>3.11.1.11</t>
  </si>
  <si>
    <t>Pekerjaan 1 m² Daun Pintu Kayu</t>
  </si>
  <si>
    <t>Papan Kayu kelas 1</t>
  </si>
  <si>
    <t>3.11.1.5</t>
  </si>
  <si>
    <t>Pekerjaan 1 m² Pembuatan Daun Pintu/Jendela Aluminium tanpa Kaca</t>
  </si>
  <si>
    <t>Profil Pintu Aluminium</t>
  </si>
  <si>
    <t>Profil Kaca</t>
  </si>
  <si>
    <t>Pekerjaan 1 Unit Pintu Aluminium Strip (Spandrel) termasuk Kusen dan Asesoris</t>
  </si>
  <si>
    <t>Pintu Aluminium Strip (Spandrel) termasuk Kusen dan Asesoris</t>
  </si>
  <si>
    <t>4212003000-BAO-180814744</t>
  </si>
  <si>
    <t>3.11.1.17</t>
  </si>
  <si>
    <t>Pekerjaan 1 m² Pembuatan Daun Pintu Engineering Door</t>
  </si>
  <si>
    <t>Triplek tebal 2 x 18 mm</t>
  </si>
  <si>
    <t>HPL ex.TACO</t>
  </si>
  <si>
    <t>3.13.2</t>
  </si>
  <si>
    <t>Pekerjaan 1 m² Pembuatan Profil Jalusi Aluminium</t>
  </si>
  <si>
    <t>Jalusi Aluminium</t>
  </si>
  <si>
    <t>Silikon sealent</t>
  </si>
  <si>
    <t>Pekerjaan 1 m² Pembuatan Daun Pintu UPVC 90x210 cm</t>
  </si>
  <si>
    <t>Pintu UPVC 90x210 cm</t>
  </si>
  <si>
    <t>3.11.1.15</t>
  </si>
  <si>
    <t>Pekerjaan 1 m² Pembuatan Pintu Besi</t>
  </si>
  <si>
    <t>Besi Siku L 30.30.3 mm</t>
  </si>
  <si>
    <t>Plate Besi t = 2 mm</t>
  </si>
  <si>
    <t>3.12.3</t>
  </si>
  <si>
    <t>Pekerjaan 1 m² Pasang Kaca Polos t = 5 mm</t>
  </si>
  <si>
    <t>Kaca Polos t = 5 mm</t>
  </si>
  <si>
    <t>Pekerjaan 1 m² Pasang Kaca Es t = 5 mm</t>
  </si>
  <si>
    <t>Kaca Es t = 5 mm</t>
  </si>
  <si>
    <t>3.12.5</t>
  </si>
  <si>
    <t>Pekerjaan 1 m² Pasang Kaca Polos t = 8 mm</t>
  </si>
  <si>
    <t>Kaca Polos t = 8 mm</t>
  </si>
  <si>
    <t>Pekerjaan 1 m² Pasang Kaca Riben t = 8 mm</t>
  </si>
  <si>
    <t>Kaca Riben t = 8 mm</t>
  </si>
  <si>
    <t>3.11.4.5</t>
  </si>
  <si>
    <t>Pekerjaan 1 psg Pemasangan Engsel Pintu 4 Inch</t>
  </si>
  <si>
    <t>Engsel Pintu 4 Inch ex.Dekson</t>
  </si>
  <si>
    <t>3.11.4.15</t>
  </si>
  <si>
    <t>Pekerjaan 1 psg Pemasangan Engsel Jendela 3 Inch</t>
  </si>
  <si>
    <t>Engsel Jendela 3 Inch</t>
  </si>
  <si>
    <t>A.4.6.2.9</t>
  </si>
  <si>
    <t>Pekerjaan 1 psg Pemasangan Casement</t>
  </si>
  <si>
    <t>Casement ex.Dekkson</t>
  </si>
  <si>
    <t>A.4.6.2.11</t>
  </si>
  <si>
    <t>Pekerjaan 1 bh Pemasangan Rambuncis</t>
  </si>
  <si>
    <t>3.11.4.7</t>
  </si>
  <si>
    <t>Pekerjaan 1 bh Pemasangan Door Closer</t>
  </si>
  <si>
    <t>Door Closer ex.Dekson</t>
  </si>
  <si>
    <t>3.11.4.14</t>
  </si>
  <si>
    <t>Pekerjaan 1 set Pemasangan Sloot Pintu tanam</t>
  </si>
  <si>
    <t>Sloot Pintu Tanam</t>
  </si>
  <si>
    <t>3.11.4.1</t>
  </si>
  <si>
    <t>Pekerjaan 1 set Pemasangan Kunci + Handel Pintu Swing</t>
  </si>
  <si>
    <t>Kunci + Handel Pintu Swing</t>
  </si>
  <si>
    <t>3.11.1.2</t>
  </si>
  <si>
    <t>Pekerjaan 1 m² Rolling Door Aluminium t = 0,6 mm</t>
  </si>
  <si>
    <t>Rolling Door Aluminium t = 0,6 mm</t>
  </si>
  <si>
    <t>Pekerjaan 1 unit Pengadaan dan Pemasangan Pintu Besi 220 x 250 cm</t>
  </si>
  <si>
    <t>Kusen dan Daun Pintu Baja 220 x 250 cm</t>
  </si>
  <si>
    <t>3.11.3.7</t>
  </si>
  <si>
    <t>Pekerjaan 1 bh Jendela Jalusi Aluminium 50 x 200 cm</t>
  </si>
  <si>
    <t>Jendela jalusi aluminium 50 x 200 cm</t>
  </si>
  <si>
    <t>Pekerjaan 1 m² Pagar BRC Galvanis BRC P = 2,4, T = 120 cm, Ø 7 mm tmsk asesoris dan Tiang Pagar BRC Ø 2 Inch, T = 1,5 m</t>
  </si>
  <si>
    <t>Tiang Pagar BRC Ø 2 Inch, T = 1,5 m</t>
  </si>
  <si>
    <t>Pagar BRC P = 2,4, T = 120 cm, Ø 7 mm tmsk asesoris</t>
  </si>
  <si>
    <t>5.3.1.1</t>
  </si>
  <si>
    <t>Pekerjaan 1 titik Instalasi Penerangan Kabel NYM 2 x 1½ mm²</t>
  </si>
  <si>
    <t>Tukang listrik</t>
  </si>
  <si>
    <t>Kabel NYM 2 x 1½ mm²</t>
  </si>
  <si>
    <t>Pipa listrik ⁵⁄₈"</t>
  </si>
  <si>
    <t>T Dus</t>
  </si>
  <si>
    <t>Socket conduit 20 mm</t>
  </si>
  <si>
    <t>6493/SJ-IND.8/TKDN/11/2022</t>
  </si>
  <si>
    <t>Klem 20 mm</t>
  </si>
  <si>
    <t>Fischer S6 + sekrup</t>
  </si>
  <si>
    <t>4404/SJ-IND.8/TKDN/5/2023</t>
  </si>
  <si>
    <t>Flexible conduit 20 mm</t>
  </si>
  <si>
    <t>5482/SJ-IND.8/TKDN/10/2022</t>
  </si>
  <si>
    <t>Elbow</t>
  </si>
  <si>
    <t>Isolasi</t>
  </si>
  <si>
    <t>2053/SJ-IND.8/TKDN/3/2023</t>
  </si>
  <si>
    <t>Lasdop</t>
  </si>
  <si>
    <t>Pekerjaan 1 titik Instalasi Penerangan Kabel NYY 2 x 1½ mm²</t>
  </si>
  <si>
    <t>Kabel NYY 2 x 1½ mm²</t>
  </si>
  <si>
    <t>Pekerjaan 1 titik Instalasi Penerangan Kabel NYY 4 x 2 ½ mm²</t>
  </si>
  <si>
    <t>Kabel NYY 4 x 2 ½ mm²</t>
  </si>
  <si>
    <t>Pekerjaan 1 m Tarik Kabel NYY 4 x 2 ½ mm²</t>
  </si>
  <si>
    <t>Pekerjaan 1 m Tarik Kabel NYY 4 x 6 mm²</t>
  </si>
  <si>
    <t>Kabel NYY 4 x 6 mm²</t>
  </si>
  <si>
    <t>Pekerjaan 1 m tarik Kabel NYYHY 3 x 1 ½ mm²</t>
  </si>
  <si>
    <t>Kabel NYYHY 3 x 1 ½ mm²</t>
  </si>
  <si>
    <t>Pekerjaan 1 m tarik Kabel NYYHY 3 x 2 ½ mm²</t>
  </si>
  <si>
    <t>Kabel NYYHY 3 x 2 ½ mm²</t>
  </si>
  <si>
    <t>5.1.5.13</t>
  </si>
  <si>
    <t>Pekerjaan 1 titik Instalasi Stop Kontak Kabel NYM 2 x 2½ mm²</t>
  </si>
  <si>
    <t>Kabel NYM 2 x 2½ mm²</t>
  </si>
  <si>
    <t>Pekerjaan 1 titik Instalasi Stop Kontak Kabel NYY 3 x 2 ½ mm²</t>
  </si>
  <si>
    <t>Kabel NYY 3 x 2 ½ mm²</t>
  </si>
  <si>
    <t>5.4.6.1</t>
  </si>
  <si>
    <t>Pekerjaan 1 titik Instalasi TV</t>
  </si>
  <si>
    <t>Kabel Coaxial RG6</t>
  </si>
  <si>
    <t>Connector</t>
  </si>
  <si>
    <t>5.1.5.1</t>
  </si>
  <si>
    <t>Pekerjaan 1 bh Saklar Tunggal ex.Panasonic/setara</t>
  </si>
  <si>
    <t>Saklar Tunggal ex.Panasonic/setara</t>
  </si>
  <si>
    <t>6152/SJ-IND.8/TKDN/11/2022</t>
  </si>
  <si>
    <t>5.1.5.2</t>
  </si>
  <si>
    <t>Pekerjaan 1 bh Saklar Dobel ex.Panasonic/setara</t>
  </si>
  <si>
    <t>Saklar Dobel ex.Panasonic/setara</t>
  </si>
  <si>
    <t>5.1.5.9</t>
  </si>
  <si>
    <t>Pekerjaan 1 bh Stop Kontak 200 W, ex.Panasonic/setara</t>
  </si>
  <si>
    <t>Stop Kontak 200 W ex.Panasonic dan asesoris</t>
  </si>
  <si>
    <t>5.1.5.12</t>
  </si>
  <si>
    <t>Pekerjaan 1 bh Stop Kontak AC, ex.Panasonic/setara</t>
  </si>
  <si>
    <t>Stop Kontak AC ex.Panasonic dan asesoris</t>
  </si>
  <si>
    <t>Pekerjaan 1 bh Stop Kontak Antena, ex.Panasonic/setara</t>
  </si>
  <si>
    <t>Stop Kontak Antena ex.Panasonic dan asesoris</t>
  </si>
  <si>
    <t>5.3.1.3</t>
  </si>
  <si>
    <t>Pekerjaan 1 bh Pemasangan Downlight 5 Inch + Lampu SL 9 Watt LED</t>
  </si>
  <si>
    <t>Instalator</t>
  </si>
  <si>
    <t>Pembantu Instalator</t>
  </si>
  <si>
    <t>Downlight Ø 5 Inch</t>
  </si>
  <si>
    <t>Lampu SL 9 Watt LED</t>
  </si>
  <si>
    <t>Pekerjaan 1 bh Pemasangan Downlight 6 Inch + Lampu SL 18 Watt LED</t>
  </si>
  <si>
    <t>Downlight Ø 6 Inch</t>
  </si>
  <si>
    <t>Lampu SL 18 Watt LED</t>
  </si>
  <si>
    <t>5.3.1.8</t>
  </si>
  <si>
    <t>Pekerjaan 1 bh Pemasangan RM TKI + Lampu TL 2x LED 18 Watt</t>
  </si>
  <si>
    <t>RM TKI + Lampu TL 2x LED 18 Watt</t>
  </si>
  <si>
    <t>Pekerjaan 1 bh Pasang Kipas Angin Plafond 52 Inch ex.SOVE</t>
  </si>
  <si>
    <t>Kipas Angin Plafond 52 Inch ex.Sove</t>
  </si>
  <si>
    <t>2617/SJ-IND.8/TKDN/6/2021</t>
  </si>
  <si>
    <t>Pekerjaan 1 bh Pemasangan Exhaust Fan 12 Inch</t>
  </si>
  <si>
    <t>Jasa Pasang</t>
  </si>
  <si>
    <t>Exhaust Fan 12 Inch ex.KDK</t>
  </si>
  <si>
    <t>5.5.1.3</t>
  </si>
  <si>
    <t>Pekerjaan 1 unit Pasang AC Split 3/4 PK (7000 BTUH) std. ex.Sharp</t>
  </si>
  <si>
    <t>AC Split 3/4 PK std. ex.Sharp</t>
  </si>
  <si>
    <t>5.1.2.24</t>
  </si>
  <si>
    <t>Pekerjaan 1 unit Box Panel Listrik 8 Group termasuk MCB dan asesoris</t>
  </si>
  <si>
    <t>Box Panel Listrik 8 Group ex.Schneider dan asesoris</t>
  </si>
  <si>
    <t>Pekerjaan 1 unit Box Panel Listrik 4 Group termasuk MCB dan asesoris</t>
  </si>
  <si>
    <t>Box Panel Listrik 4 Group ex.Schneider dan asesoris</t>
  </si>
  <si>
    <t>5.1.2.10</t>
  </si>
  <si>
    <t>Pekerjaan 1 unit Panel Penerangan Luar Outdoor</t>
  </si>
  <si>
    <t>Panel Penerangan Luar Outdoor dan asesoris</t>
  </si>
  <si>
    <t>Pekerjaan 1 unit Panel Kontrol Luar Outdoor</t>
  </si>
  <si>
    <t>Panel Kontrol Luar Outdoor dan asesoris</t>
  </si>
  <si>
    <t>5.1.2.11</t>
  </si>
  <si>
    <t>Pekerjaan 1 unit Panel Kontrol Pompa tipe DOL starter 3 Phase, 4 kw, 5,5 HP</t>
  </si>
  <si>
    <t>Panel Kontrol Pompa tipe DOL starter 3 Phase, 4 kw, 5,5 HP</t>
  </si>
  <si>
    <t>Pekerjaan 1 bh Pemasangan MCB</t>
  </si>
  <si>
    <t>MCB 6A/10A</t>
  </si>
  <si>
    <t>5.2.6</t>
  </si>
  <si>
    <t>Pekerjaan 1 unit Grounding</t>
  </si>
  <si>
    <t>Grounding Test Box dan asesoris</t>
  </si>
  <si>
    <t>5.2.7</t>
  </si>
  <si>
    <t>Pekerjaan 1 unit 5/8" 5/8" Stick Rod Coupling, L = 3 m</t>
  </si>
  <si>
    <t>5/8" Stick Rod Coupling, L = 3 m</t>
  </si>
  <si>
    <t>5.3.1.18</t>
  </si>
  <si>
    <t>Pekerjaan 1 unit Lampu PJU Kawasan LED 40 Watt + Tiang 7 m (dobel pool/arm)</t>
  </si>
  <si>
    <t>Lampu PJU LED 40 Watt dan asesoris</t>
  </si>
  <si>
    <t>Tiang PJU Kawasan 7 m (hexagonal) dobel arm + asesoris</t>
  </si>
  <si>
    <t>Pekerjaan 1 unit Lampu PJU Kawasan LED 40 Watt + Tiang 7 m (single pool/arm)</t>
  </si>
  <si>
    <t>Tiang PJU Kawasan 7 m (hexagonal) single arm + asesoris</t>
  </si>
  <si>
    <t>Pekerjaan 1 unit Lampu PJU Kawasan LED 40 Watt + Tiang 4 m (double pool/arm) termasuk ornamen Artistik serta Cat dasar Marine dengan Penutup Cat</t>
  </si>
  <si>
    <t>Tiang PJU Kawasan 4 m (hexagonal) Doble arm + asesoris termasuk ornamen Artistik serta Cat dasar Marine dengan Penutup Cat</t>
  </si>
  <si>
    <t>Analisa sendiri</t>
  </si>
  <si>
    <t>Pekerjaan 1 unit Pengiriman 20 Lampu PJU dari Jakarta/Surabaya ke Lokasi</t>
  </si>
  <si>
    <t>Pengiriman Lampu PJU dan Taman dari jakarta ke Lampung</t>
  </si>
  <si>
    <t>Jasa Muat dan Bongkar</t>
  </si>
  <si>
    <t>Sewa Truk Fuso Jakarta - Lampung</t>
  </si>
  <si>
    <t>Pekerjaan 1 unit Lampu Taman T = 4 m, Double Arm</t>
  </si>
  <si>
    <t xml:space="preserve">Tiang Lampu artistik 4 meter, double arm </t>
  </si>
  <si>
    <t>3.13.6</t>
  </si>
  <si>
    <t>Pekerjaan 1 unit Tangga Service tinggi 3 m</t>
  </si>
  <si>
    <t>Tangga Service tinggi 3 m</t>
  </si>
  <si>
    <t>Dyna Bolt M12</t>
  </si>
  <si>
    <t>5.5.4.19</t>
  </si>
  <si>
    <t>Pekerjaan 1 m¹ Instalasi Pipa PVC AW 4 Inch termasuk asesoris</t>
  </si>
  <si>
    <t>Pipa PVC AW 4 Inch dan asesoris</t>
  </si>
  <si>
    <t>Seal Tape</t>
  </si>
  <si>
    <t>5.5.4.18</t>
  </si>
  <si>
    <t>Pekerjaan 1 m¹ Instalasi Pipa PVC AW 3 Inch termasuk asesoris</t>
  </si>
  <si>
    <t>Pipa PVC AW 3 Inch dan asesoris</t>
  </si>
  <si>
    <t>5.5.4.13</t>
  </si>
  <si>
    <t>Pekerjaan 1 m¹ Instalasi Pipa PVC AW 1 Inch termasuk asesoris</t>
  </si>
  <si>
    <t>Pipa PVC AW 1 Inch dan asesoris</t>
  </si>
  <si>
    <t>5.5.4.12</t>
  </si>
  <si>
    <t>Pekerjaan 1 m¹ Instalasi Pipa PVC D ¾ Inch termasuk asesoris</t>
  </si>
  <si>
    <t>Pipa PVC D ¾ Inch termasuk asesoris</t>
  </si>
  <si>
    <t>5.5.4.11</t>
  </si>
  <si>
    <t>Pekerjaan 1 m¹ Instalasi Pipa PVC AW ½ Inch termasuk asesoris</t>
  </si>
  <si>
    <t>Pipa PVC AW ½ Inch dan asesoris</t>
  </si>
  <si>
    <t>9.3.1.22</t>
  </si>
  <si>
    <t>Pekerjaan 1 m¹ Instalasi Pipa HDPE Ø 2 Inch</t>
  </si>
  <si>
    <t>Pipa HDPE Ø 2 Inch</t>
  </si>
  <si>
    <t>3.18.3.2</t>
  </si>
  <si>
    <t>Pekerjaan 1 bh Pemasangan Closet Jongkok ex.TOTO</t>
  </si>
  <si>
    <t>Closet Jongkok TOTO</t>
  </si>
  <si>
    <t>pasangan bata merah</t>
  </si>
  <si>
    <t>3.18.3.1</t>
  </si>
  <si>
    <t>Pekerjaan 1 bh Pemasangan Closet Duduk ex.TOTO</t>
  </si>
  <si>
    <t>Closet Duduk TOTO</t>
  </si>
  <si>
    <t>Flexible Hose</t>
  </si>
  <si>
    <t>3.18.6.3</t>
  </si>
  <si>
    <t>Pekerjaan 1 bh Pemasangan Jet Washer ex.ONDA</t>
  </si>
  <si>
    <t>Jet Washer ex.ONDA</t>
  </si>
  <si>
    <t>Sealtape</t>
  </si>
  <si>
    <t>3.18.6.2.1</t>
  </si>
  <si>
    <t>Pekerjaan 1 bh Pemasangan Kran Air</t>
  </si>
  <si>
    <t>Kran Air</t>
  </si>
  <si>
    <t>3.18.1.1</t>
  </si>
  <si>
    <t>Pekerjaan 1 bh Pemasangan Wastafel LW574J - TOTO</t>
  </si>
  <si>
    <t>Wastafel LW574J - TOTO</t>
  </si>
  <si>
    <t>semen</t>
  </si>
  <si>
    <t>pasir pasang</t>
  </si>
  <si>
    <t>Pekerjaan 1 bh Pemasangan Kran wastafel Y 327 ex.ONDA</t>
  </si>
  <si>
    <t>Kran wastafel Y 327 ex.ONDA</t>
  </si>
  <si>
    <t>Pekerjaan 1 bh Pemasangan Kran Angsa Kitchen Zinc ex.ONDA - V 638 S</t>
  </si>
  <si>
    <t>Kran Angsa Kitchen Zinc ex.ONDA - V 638 S</t>
  </si>
  <si>
    <t>3.18.6.9</t>
  </si>
  <si>
    <t>Pekerjaan 1 bh Pemasangan Kran Hand Shower Lengkap ex.ONDA</t>
  </si>
  <si>
    <t>Kran Hand Shower Lengkap ex.ONDA</t>
  </si>
  <si>
    <t>3.18.4.1</t>
  </si>
  <si>
    <t>Pekerjaan 1 bh Pemasangan Urinoir U-57 M ex.TOTO</t>
  </si>
  <si>
    <t>Urinoir U-57 M ex.TOTO</t>
  </si>
  <si>
    <t>3.18.4.2</t>
  </si>
  <si>
    <t>Pekerjaan 1 bh Pemasangan Sekatan Urinoir A-100 ex.TOTO</t>
  </si>
  <si>
    <t>Sekatan Urinoir A-100 ex.TOTO</t>
  </si>
  <si>
    <t>3.18.2.1</t>
  </si>
  <si>
    <t>Pekerjaan 1 bh Pemasangan Kitchen Zinc, 1 Lubang + 1 Sayap ex.Royal</t>
  </si>
  <si>
    <t>Kitchen Zinc, 1 Lubang + 1 Sayap ex.Royal</t>
  </si>
  <si>
    <t>Waterdrain Stainless 304</t>
  </si>
  <si>
    <t>3.18.6.1</t>
  </si>
  <si>
    <t>Pekerjaan 1 bh Pemasangan Floor Drain</t>
  </si>
  <si>
    <t>Floor Drain ex.ONDA FLS 20</t>
  </si>
  <si>
    <t>6.5.13.3</t>
  </si>
  <si>
    <t>Pekerjaan 1 bh Pemasangan Roof Drain PVC Ø 3 Inch ex.ONDA</t>
  </si>
  <si>
    <t>Roof Drain PVC Ø 3 Inch</t>
  </si>
  <si>
    <t>6.1.2.3</t>
  </si>
  <si>
    <t>Pekerjaan 1 unit Pemasangan Pompa Dorong</t>
  </si>
  <si>
    <t>Pompa Booster (dorong)</t>
  </si>
  <si>
    <t>6.1.1.7</t>
  </si>
  <si>
    <t>Pekerjaan 1 bh Pemasangan Tangki Toren Kap.600 liter ex.Penguin TD60</t>
  </si>
  <si>
    <t>Tangki Toren Kap. 600 liter + material bantu / asesoris</t>
  </si>
  <si>
    <t>6.1.1.8</t>
  </si>
  <si>
    <t>Pekerjaan 1 bh Pemasangan Tangki Toren Kap.1050 liter ex.Penguin TD110</t>
  </si>
  <si>
    <t>Tangki Toren Kap. 1050 liter + material bantu / asesoris</t>
  </si>
  <si>
    <t>Pekerjaan 1 unit Pengadaan dan Setting Septiktank Bio Tech 1 m³ (dia.120 cm, T = 110 cm)</t>
  </si>
  <si>
    <t>Septiktank Bio Tech 1 m³ (dia.120 cm, T = 110 cm)</t>
  </si>
  <si>
    <t>Pekerjaan 1 unit Pengadaan dan Setting Septiktank Bio Tech 2 m³</t>
  </si>
  <si>
    <t>Septiktank Bio Tech 2 m³</t>
  </si>
  <si>
    <t>8.1.1.13</t>
  </si>
  <si>
    <t>Pekerjaan 1 m¹ Pengadaan dan Setting Saluran U-Ditch 80x80x120 cm</t>
  </si>
  <si>
    <t>Lantai kerja</t>
  </si>
  <si>
    <t>U-Ditch 80x80x120 cm</t>
  </si>
  <si>
    <t>Crane truck 3 Ton + Winch</t>
  </si>
  <si>
    <t>5.1.3.1</t>
  </si>
  <si>
    <t>Pekerjaan 1 unit Pengadaan dan Setting Mesin Es Portable 2 T/hr</t>
  </si>
  <si>
    <t>Mesin Portable Es Balok 2 T/hr, 3780 (P) x 1120 (L) x 1950(T)</t>
  </si>
  <si>
    <t>Sewa tripod/tackle</t>
  </si>
  <si>
    <t>6.1.1.9</t>
  </si>
  <si>
    <t>Pekerjaan 1 unit Pengadaan dan Setting IPAL Biotech 2 m³ RCO-02 (Ø 120x200x1350)</t>
  </si>
  <si>
    <t>IPAL Biotech 2 m³ RCO-02 (Ø 120x200x1350)</t>
  </si>
  <si>
    <t>Pekerjaan 1 unit Pengiriman Tangki Air FRP 18.000 liter dan Tenaga Ahli Perakitan</t>
  </si>
  <si>
    <t>Tenaga Ahli (2 org)</t>
  </si>
  <si>
    <t>Tiket pesawat Jakarta - Lokasi PP</t>
  </si>
  <si>
    <t>Transport darat Pelabuhan - Lokasi PP</t>
  </si>
  <si>
    <t>Mobilisasi</t>
  </si>
  <si>
    <t>1 lbr FRP = 10 kg/m²</t>
  </si>
  <si>
    <t>Volume UNP 80 = @ 3 m, 3 btg</t>
  </si>
  <si>
    <t>Bongkar dan Muat @ 2 org</t>
  </si>
  <si>
    <t>sewa Truk dari Pelabuhan ke Lokasi</t>
  </si>
  <si>
    <t>Jumlah Ekpedisi &amp; Mobilisasi</t>
  </si>
  <si>
    <t>Overhead &amp; Profit 15% (Dx15%)</t>
  </si>
  <si>
    <t>6.1.1.15</t>
  </si>
  <si>
    <t>Pekerjaan 1 unit Pengadaan dan Setting Tangki Air FRP 18.000 liter (Inlet, Outlet, Drain, Vent, Overflow dan Vent Flanges Ø 2 Inch, Man Hole dia.50 cm, Bolt+Nuts M10x40 Galvanis, Base Frame UNP 80</t>
  </si>
  <si>
    <t>Tangki Air FRP 18.000 liter (Inlet, Outlet, Drain, Vent, Overflow dan Vent Flanges Ø 2 Inch, Man Hole dia.50 cm, Bolt+Nuts M10x40 Galvanis, Base Frame UNP 80</t>
  </si>
  <si>
    <t>6.6.1.6</t>
  </si>
  <si>
    <t>Pekerjaan 1 bh Flange Gate Valve 10K, dia. 2 Inch (50 mm)</t>
  </si>
  <si>
    <t>Flange Gate Valve 10K, dia 2 Inch</t>
  </si>
  <si>
    <t>6.5.4.16</t>
  </si>
  <si>
    <t>Pekerjaan 1 bh Tee Galvanis 16K, dia. 2 Inch (50 mm)</t>
  </si>
  <si>
    <t>Tee Galvanis 16K, dia. 2 Inch (50 mm)</t>
  </si>
  <si>
    <t>Pekerjaan 1 bh Sock 2 Inch untuk Pipa Galvanis dan Pipa HDPE</t>
  </si>
  <si>
    <t>Sock 2 Inch untuk Pipa Galvanis dan Pipa HDPE</t>
  </si>
  <si>
    <t>Pekerjaan 1 bh Sock 2 Inch untuk Pipa PVC dan Pipa HDPE</t>
  </si>
  <si>
    <t>Sock 2 Inch untuk Pipa PVC dan Pipa HDPE</t>
  </si>
  <si>
    <t>6.1.2.4</t>
  </si>
  <si>
    <t>Pekerjaan 1 unit Pemasangan Pompa Semi Jet Pump</t>
  </si>
  <si>
    <t>Pompa Semi Jet Pump</t>
  </si>
  <si>
    <t>Pekerjaan 1 unit Pemasangan Genset 50 Kva Silent ex.Mitsubishi, 3 Phase 220v/380v, 1500rpm, 50-52Hz</t>
  </si>
  <si>
    <t>Genset 50 Kva Silent ex.Mitsubishi, 3 Phase 220v/380v, 1500rpm, 50-52Hz dan asesoris</t>
  </si>
  <si>
    <t>Pekerjaan 1 unit Pemasangan Genset 60 KVA Tipe Silent</t>
  </si>
  <si>
    <t>Pengadaan dan Setting Genset 60 KVA (Primepower) Tipe Silent - Fuel Consumption 13.7 - 15 L /Hours; Primepower 53-59 kWm; Standby Power 58-65 kWm; Liquid Cooling System</t>
  </si>
  <si>
    <t>Pengirman ke Lokasi</t>
  </si>
  <si>
    <t>LS</t>
  </si>
  <si>
    <t>Pekerjaan 1 unit Pengadaan dan Pemasangan Tangki BBM 5000 liter</t>
  </si>
  <si>
    <t>Jasa Pengiriman + pasang</t>
  </si>
  <si>
    <t>Tangki BBM 5000 liter</t>
  </si>
  <si>
    <t>Pekerjaan 1 unit Pengadaan dan Pemasangan Gardu Meteran + Nozle BBM digital</t>
  </si>
  <si>
    <t>Gardu Meteran + Nozle BBM digital</t>
  </si>
  <si>
    <t>Pekerjaan 1 m¹ Pemasangan Tutup Saluran/Gretting Plastik ABS L = 30 cm</t>
  </si>
  <si>
    <t>Tutup Saluran/Gretting Plastik ABS L = 30 cm</t>
  </si>
  <si>
    <t>A.4.2.1.2</t>
  </si>
  <si>
    <t>Pekerjaan 1 kg Kontruksi Profil Baja Siku 70.70.7 mm</t>
  </si>
  <si>
    <t>Profil Baja Siku</t>
  </si>
  <si>
    <t>1.1.2.5</t>
  </si>
  <si>
    <t>Pekerjaan 1 m² Pekerjaan Pengaspalan Jalan tebal 7</t>
  </si>
  <si>
    <t>Batu Belah / Limestone</t>
  </si>
  <si>
    <t>sudah masuk di pekerjaan perkerasan jalan</t>
  </si>
  <si>
    <t>Batu Pecah 5/7 (makadam)</t>
  </si>
  <si>
    <t>Aspal curah</t>
  </si>
  <si>
    <t>Wheel Loader 1-1,6 m³</t>
  </si>
  <si>
    <t>Dump Truck 1</t>
  </si>
  <si>
    <t>Dump Truck 2</t>
  </si>
  <si>
    <t>Dump Truck 3</t>
  </si>
  <si>
    <t>Three Wheel Roller 6-8 Ton</t>
  </si>
  <si>
    <t>Asphalt Finisher</t>
  </si>
  <si>
    <t>Pekerjaan 1 ttk Penyelidikan Geolistrik</t>
  </si>
  <si>
    <t>Tenaga Ahli Madya</t>
  </si>
  <si>
    <t>Pembantu operator @ 3 org</t>
  </si>
  <si>
    <t>Pengelohan Laboratorium</t>
  </si>
  <si>
    <t>Kantong Sample</t>
  </si>
  <si>
    <t>Pengeboran sample</t>
  </si>
  <si>
    <t>Transport dan Akomodasi</t>
  </si>
  <si>
    <t>Mobilisasi Alat</t>
  </si>
  <si>
    <t>rit/PP</t>
  </si>
  <si>
    <t>Transport Lokal</t>
  </si>
  <si>
    <t>Pembantu operator @ 2 org</t>
  </si>
  <si>
    <t>A.3.08.1b.2</t>
  </si>
  <si>
    <t>Pekerjaan 1 m¹ Pengeboran Bor Dalam Ø 2 inch untuk sample pekerjaan Geolistrik termasuk transport Personil</t>
  </si>
  <si>
    <t>Alat, Transport dan Akomodasi</t>
  </si>
  <si>
    <t>Drill Rig Water W Tractor : 50 HP, 80 m</t>
  </si>
  <si>
    <t>a.3.08.1d.3</t>
  </si>
  <si>
    <t>Pekerjaan 1 m¹ Pengeboran Bor Dalam Ø 6 Inch termasuk mobilisasi alat dan Personil</t>
  </si>
  <si>
    <t>Jasa pengeboran dalam</t>
  </si>
  <si>
    <t>Drill Rig Water W , Tractor : 500 HP</t>
  </si>
  <si>
    <t>A.3.08.2a</t>
  </si>
  <si>
    <t>Pekerjaan 1 m¹ Pengambilan Sampel Batuan (termasuk laporan) mobilisasi alat dan Personil (Pemerian Litologi)</t>
  </si>
  <si>
    <t>Tenaga Ahli Madya Geologist</t>
  </si>
  <si>
    <t>Kawat kasa sampel</t>
  </si>
  <si>
    <t>Kotak sampel batu</t>
  </si>
  <si>
    <t>kantong plastik (besar tebal)</t>
  </si>
  <si>
    <t>paket</t>
  </si>
  <si>
    <t>A.3.08.2m</t>
  </si>
  <si>
    <t>Pekerjaan 1 jam Pencucian Sumur</t>
  </si>
  <si>
    <t>A.3.08.2n</t>
  </si>
  <si>
    <t>Pekerjaan 1 jam Uji Pemompaan</t>
  </si>
  <si>
    <t>Pekerjaan 1 unit Tutup Rumah Pompa Deep Well rangka besi siku + Plat bordes t = 2,3 mm</t>
  </si>
  <si>
    <t>Rangka Besi Siku 50.50.5 mm</t>
  </si>
  <si>
    <t>Rangka Tutup Besi Siku 40.40.4 mm</t>
  </si>
  <si>
    <t>Tutup Plat Bordes t = 2,3 mm</t>
  </si>
  <si>
    <t>Pengecatan besi</t>
  </si>
  <si>
    <t>6.2.2.1</t>
  </si>
  <si>
    <t>Pekerjaan 1 unit Pemasangan Pompa Air Submersible Deepwell Well SP 9-10 ex.Grundfos</t>
  </si>
  <si>
    <t>Pompa Air Submersible Deepwell Well SP 9-10 ex.Grundfos</t>
  </si>
  <si>
    <t>Pekerjaan 1 unit Pemasangan Elektroda - Water Level Switch Control (Vertical Float Level Switch VSM)</t>
  </si>
  <si>
    <t>2.1.1.4</t>
  </si>
  <si>
    <t>Pemasangan 1 m Reng Baja Ringan R.32 tebal 0,45 mm</t>
  </si>
  <si>
    <t>Tukang Besi/ Besi Beton</t>
  </si>
  <si>
    <t>Reng Baja Ringan R.32 tebal 0,45 mm</t>
  </si>
  <si>
    <t>Paku Keling (Rivet)</t>
  </si>
  <si>
    <t>Pasang 1 bh Dybabolt SS M8 x 100 mm, SUS 304</t>
  </si>
  <si>
    <t>Pemasangan 1 m2 Atap Pelana Rangka Atap Baja Ringan (Canai 
Dingin) profil C75</t>
  </si>
  <si>
    <t xml:space="preserve">Baja ringan canai dingin C75 </t>
  </si>
  <si>
    <t>3.1.1.1</t>
  </si>
  <si>
    <t>Pemasangan 1 m2 Atap Genteng Palentong Kecil</t>
  </si>
  <si>
    <t>Genteng Plentong</t>
  </si>
  <si>
    <t>3.1.1.5</t>
  </si>
  <si>
    <t>Pemasangan 1 m’ Nok/Bubung Genteng Palentong Kecil</t>
  </si>
  <si>
    <t>Genteng Bubung</t>
  </si>
  <si>
    <t>Semen Portland</t>
  </si>
  <si>
    <t>Pasir Pasang</t>
  </si>
  <si>
    <t>4.1.6.2</t>
  </si>
  <si>
    <t>Penanaman 1 m2 Rumput, Rumput Gajah Mini (Axonopus Compressus)</t>
  </si>
  <si>
    <t>Rumput Gajah Mini</t>
  </si>
  <si>
    <t>m2</t>
  </si>
  <si>
    <t>Media Tanam</t>
  </si>
  <si>
    <t>a. Tanah Subur (90%)</t>
  </si>
  <si>
    <t>b. Pasir Pasang (10%)</t>
  </si>
  <si>
    <t>4.1.2.3.9</t>
  </si>
  <si>
    <t>Penanaman 1 Buah Pohon Sedang Tabebuya (Tabebuia sp.), Diameter 6-8 cm, Tinggi 2-3 meter, Polybag 50 L</t>
  </si>
  <si>
    <t>Pohon Tabebuya di Polybag 50 L</t>
  </si>
  <si>
    <t>Anti Rayap pada Tanah</t>
  </si>
  <si>
    <t>Steger</t>
  </si>
  <si>
    <t>- Bambu dia 5-8 cm</t>
  </si>
  <si>
    <t>- Tali/ Pengikat Sejenisnya</t>
  </si>
  <si>
    <t>a. Tanah Subur (75%)</t>
  </si>
  <si>
    <t>b. Pupuk Organik (20%)</t>
  </si>
  <si>
    <t>c. Pasir Pasang (45%)</t>
  </si>
  <si>
    <t>Pengadaan Safety Line</t>
  </si>
  <si>
    <t>Safety Line</t>
  </si>
  <si>
    <t>Kayu Klas 2</t>
  </si>
  <si>
    <t>Pekerjaan 1 m² Dinding Sopi-Sopi GRC</t>
  </si>
  <si>
    <t>Plafon Serat Semen/GRC Tebal 6 mm Termasuk Alat Pasang</t>
  </si>
  <si>
    <t>Paku Tripleks</t>
  </si>
  <si>
    <t xml:space="preserve">Pekerjaan 1 ttk Uji Pompa dan Pengujian Sampel </t>
  </si>
  <si>
    <t>Pengujian Sampel Laboratorium</t>
  </si>
  <si>
    <t>Mobilisasi Sampel</t>
  </si>
  <si>
    <t>Pekerjaan Pemasangan 1 m² Railing Pagar Kayu (Papan Klas II)</t>
  </si>
  <si>
    <t>Plamur Kayu</t>
  </si>
  <si>
    <t>Cat Kayu</t>
  </si>
  <si>
    <t>Papan Kayu Klas II</t>
  </si>
  <si>
    <t>Pekerjaan 1 m² Dinding GRC Motif Lokal Finishing Cat termasuk dudukan besi hollow Galvanis 40/40</t>
  </si>
  <si>
    <t>Dinding GRC Motif</t>
  </si>
  <si>
    <t>Pekerjaan Mobilisasi Material/ Alat Berat (max load 2.790 Ton)</t>
  </si>
  <si>
    <t>Sewa Tongkang 180 feet + Tug Boat ( max load 2.790 Ton)</t>
  </si>
  <si>
    <t>Jarak tempuh (PP)</t>
  </si>
  <si>
    <t>Miles</t>
  </si>
  <si>
    <t>Kecepatan kapal</t>
  </si>
  <si>
    <t>knot</t>
  </si>
  <si>
    <t>Lama perjalanan PP (h)</t>
  </si>
  <si>
    <t>Daya mesin kapal (HP)</t>
  </si>
  <si>
    <t>HP</t>
  </si>
  <si>
    <t>Fuel Consumsion (Fc)</t>
  </si>
  <si>
    <t>liter/dtk</t>
  </si>
  <si>
    <t>Pemakaian bahan bakar PP = h x HP x Fc</t>
  </si>
  <si>
    <t>liter/PP</t>
  </si>
  <si>
    <t>Pekerjaan 1 Unit Panel Distribusi Kawasan, LVMDP/PDTR 15KVA, termasuk pengiriman dan instalasi</t>
  </si>
  <si>
    <t>Jasa Pengiriman</t>
  </si>
  <si>
    <t>tergantung lokasi</t>
  </si>
  <si>
    <t>Panel LVMDP/PDTR 15KVA termasuk instalasi</t>
  </si>
  <si>
    <t>Unit</t>
  </si>
  <si>
    <t>8802/SJ-IND.8/TKDN/9/2021</t>
  </si>
  <si>
    <t>Pekerjaan 1 Unit Panel ATS (Automatic Transfer Switch), termasuk pengiriman dan instalasi</t>
  </si>
  <si>
    <t>Panel LVMDP/PDTR 100KVA termasuk instalasi</t>
  </si>
  <si>
    <t>3798/SJ-IND.8/TKDN/8/2022</t>
  </si>
  <si>
    <t>Pekerjaan 1 Unit Panel Distribusi Genset, termasuk pengiriman dan instalasi</t>
  </si>
  <si>
    <t>Pekerjaan 1 Unit Tangki Solar 500L, termasuk pengiriman dan instalasi</t>
  </si>
  <si>
    <t>5507/SJ-IND.8/TKDN/7/2021</t>
  </si>
  <si>
    <t>Pekerjaan 1 Unit Pipa Buangan Gas (Exhaust Muffler), termasuk pengiriman dan instalasi</t>
  </si>
  <si>
    <t>Pekerjaan 1 m² Rangka Atap Kanopi Besi Hollow 40/60, modul 80/85, termasuk kolom kanopi</t>
  </si>
  <si>
    <t>Pasang 1 m² Rangka Besi Hollow 40/60, modul 80x85 cm untuk Kanopi</t>
  </si>
  <si>
    <t>Besi Hollow 40/60</t>
  </si>
  <si>
    <t>Pasang 1 m¹ Kolom Kanopi Rangka Besi Hollow 40/60</t>
  </si>
  <si>
    <t>2.2.1.2.3</t>
  </si>
  <si>
    <t>Pekerjaan 1 m¹ PVC Waterstop lebar 200 mm</t>
  </si>
  <si>
    <t>PVC Waterstop lebar 200 mm</t>
  </si>
  <si>
    <t>Pekerjaan 1 unit Pemasangan Pompa Dorong Marine Grade</t>
  </si>
  <si>
    <t>Pompa Dorong Marine Grade</t>
  </si>
  <si>
    <t>13619/SJ-IND.8/E-TKDN/11/2024</t>
  </si>
  <si>
    <t>Pemasangan 1 m2 Atap Jurai/Limasan Rangka Atap Baja Ringan (Canai 
Dingin) profil C75</t>
  </si>
  <si>
    <t>Pekerjaan Pengadaan 1 unit Tempat Sampah Portable ex. Krisbow</t>
  </si>
  <si>
    <t>Tempat Sampah Portable ex. Krisbow</t>
  </si>
  <si>
    <t>10820/SJ-IND.8/TKDN/10/2021</t>
  </si>
  <si>
    <t>5.5.4.16</t>
  </si>
  <si>
    <t>Pekerjaan 1 m¹ Instalasi Pipa PVC AW 2 Inch termasuk asesoris</t>
  </si>
  <si>
    <t>Pipa PVC AW 2 Inch dan asesoris</t>
  </si>
  <si>
    <t>Pohon Mangga di Polybag 50 L</t>
  </si>
  <si>
    <t>Pekerjaan 1 bh Pemasangan Tangki Toren Kap.2500 liter ex.Penguin TD110</t>
  </si>
  <si>
    <t>Tangki Toren Kap. 2000 liter + material bantu / asesoris</t>
  </si>
  <si>
    <t>BAHAN DAN UPAH</t>
  </si>
  <si>
    <t>JENIS MATERIAL</t>
  </si>
  <si>
    <t>HARGA BAHAN</t>
  </si>
  <si>
    <t>BAHAN</t>
  </si>
  <si>
    <t>Material Alam</t>
  </si>
  <si>
    <t>Batu Belah/Kali</t>
  </si>
  <si>
    <t>Batu pecah 1/2</t>
  </si>
  <si>
    <t>Batu Pecah 3/5</t>
  </si>
  <si>
    <t>Batu Pecah 5/7</t>
  </si>
  <si>
    <t>Batu bata merah</t>
  </si>
  <si>
    <t>Batu Andesit</t>
  </si>
  <si>
    <t>Tanah Subur (media) @ 12 kg</t>
  </si>
  <si>
    <t>Rumput gajah mini</t>
  </si>
  <si>
    <t>Semen Grout non Shrink</t>
  </si>
  <si>
    <t>Semen Portlang Jenis V</t>
  </si>
  <si>
    <t>Aspal Curah</t>
  </si>
  <si>
    <t>Air PDAM</t>
  </si>
  <si>
    <t>GRC Motif Lokal</t>
  </si>
  <si>
    <t>Besi</t>
  </si>
  <si>
    <t>Baja Profil / WF</t>
  </si>
  <si>
    <t>Besi Beton Ø 6 mm</t>
  </si>
  <si>
    <t>Besi Beton Ø 8 mm</t>
  </si>
  <si>
    <t>Besi Beton D 10 mm</t>
  </si>
  <si>
    <t>Besi Beton D 16 mm</t>
  </si>
  <si>
    <t>WF 300.150.6,5.9 mm</t>
  </si>
  <si>
    <t>WF 250.125.6.9 mm</t>
  </si>
  <si>
    <t>Plate baja tebal 6 mm</t>
  </si>
  <si>
    <t>Plate baja tebal 12 mm</t>
  </si>
  <si>
    <t>Ikatan Angin Ø 16 mm</t>
  </si>
  <si>
    <t>Trekstang Ø 12 mm</t>
  </si>
  <si>
    <t>Kawat Beton / Bendrat</t>
  </si>
  <si>
    <t>Kawat Las Ø 2,6 mm</t>
  </si>
  <si>
    <t>Angkur Baut Ø 16 mm, L = 60 cm</t>
  </si>
  <si>
    <t>Baut HTB M 16 x 70 cm</t>
  </si>
  <si>
    <t>Baut HTB M 14 x 50 cm</t>
  </si>
  <si>
    <t>CNP 150.50</t>
  </si>
  <si>
    <t>Turn Buckle / Jarum Keras M16</t>
  </si>
  <si>
    <t>DynaBolt M8 x 100</t>
  </si>
  <si>
    <t>Nok Atap Zincallum t = 0,4 mm</t>
  </si>
  <si>
    <t>Genteng Plentong/ Glazur</t>
  </si>
  <si>
    <t>Huruf Timbul Galvanis 20x35 cm Finish Cat Duco</t>
  </si>
  <si>
    <t>Huruf Timbul Galvanis 20x25 cm Finish Cat Duco</t>
  </si>
  <si>
    <t>Huruf Timbul Galvanis 9x15 cm Finish Cat Duco</t>
  </si>
  <si>
    <t>Huruf Timbul Galvanis 7x10 cm Finish Cat Duco</t>
  </si>
  <si>
    <t>Tangga Monyet T = 3 m, Pipa Galvanis Ø 1 ½ Inch</t>
  </si>
  <si>
    <t>Tutup Bak Kontrol (steel gratting) 120x120 cm</t>
  </si>
  <si>
    <t>Talang Air Galvalum termasuk asesoris t = 0,3 mm</t>
  </si>
  <si>
    <t>Kayu dan Bahan Kusen</t>
  </si>
  <si>
    <t>Triplek/Plywood t = 12 mm</t>
  </si>
  <si>
    <t>Triplek/Plywood t = 9 mm</t>
  </si>
  <si>
    <t>Triplek/Plywood t = 4 mm</t>
  </si>
  <si>
    <t>Kayu balok 6/15 klas 1</t>
  </si>
  <si>
    <t>Kayu Papan klas 1</t>
  </si>
  <si>
    <t>Sepatu Dolken</t>
  </si>
  <si>
    <t>Kaca buram/es t = 5 mm</t>
  </si>
  <si>
    <t>Kaca polos t = 8 mm</t>
  </si>
  <si>
    <t>Kunci tanam biasa</t>
  </si>
  <si>
    <t>Gypsum t = 9 mm ex.Jayaboard</t>
  </si>
  <si>
    <t>GRC t = 6 mm</t>
  </si>
  <si>
    <t>Papan Kalsiboard T = 6 mm</t>
  </si>
  <si>
    <t>Papan PVC Plafond L = 20 cm</t>
  </si>
  <si>
    <t>Listplank GRC</t>
  </si>
  <si>
    <t>Engsel Pintu 4 Inch ex.SOLID</t>
  </si>
  <si>
    <t>Engsel Jendela 3 Inch ex.SOLID</t>
  </si>
  <si>
    <t>Kunci Pintu + Handle ex.Dekson</t>
  </si>
  <si>
    <t>Paku Gypsum/GRC</t>
  </si>
  <si>
    <t>Kusen + Pintu PVC 80x200 cm ex.Platindo</t>
  </si>
  <si>
    <t>Slot Pintu</t>
  </si>
  <si>
    <t>Safetry Line</t>
  </si>
  <si>
    <t>roll/100</t>
  </si>
  <si>
    <t>Material Finishing / Pengecatan</t>
  </si>
  <si>
    <t>Cat kayu/besi ex.Avian</t>
  </si>
  <si>
    <t>Cat tembok interior</t>
  </si>
  <si>
    <t>Cat tembok eksterior</t>
  </si>
  <si>
    <t>Cat dasar Sealer Eksterior</t>
  </si>
  <si>
    <t>Cat penutup Water Shield Spectrum</t>
  </si>
  <si>
    <t>Cat Tekstur ex.Arturo</t>
  </si>
  <si>
    <t>Cat dasar tembok Eksterior</t>
  </si>
  <si>
    <t>Cat Meni Kayu/besi</t>
  </si>
  <si>
    <t>Thinner Impala</t>
  </si>
  <si>
    <t>Ampelas</t>
  </si>
  <si>
    <t>Kuas</t>
  </si>
  <si>
    <t>Plamur tembok</t>
  </si>
  <si>
    <t>Plamur kayu</t>
  </si>
  <si>
    <t>Keramik lantai</t>
  </si>
  <si>
    <t>Keramik lantai 60x60 cm</t>
  </si>
  <si>
    <t>Keramik lantai 50x50 cm</t>
  </si>
  <si>
    <t>Keramik lantai 40x40 cm</t>
  </si>
  <si>
    <t>Keramik lantai 30x30 cm motif ex.ROMAN</t>
  </si>
  <si>
    <t>Keramik dinding 20x40 cm ex.ROMAN</t>
  </si>
  <si>
    <t>Keramik Dinding</t>
  </si>
  <si>
    <t>KRISBOW APAR Powder SRFX3 (3 kg)</t>
  </si>
  <si>
    <t>Alat Berat</t>
  </si>
  <si>
    <t>Stamper Kodok</t>
  </si>
  <si>
    <t>Mesin Las Listrik termasuk BBM</t>
  </si>
  <si>
    <t>Crane Mobile 5 Ton</t>
  </si>
  <si>
    <t>sewa Wheel Loader 1-1,6 m³</t>
  </si>
  <si>
    <t>Upah Operator</t>
  </si>
  <si>
    <t>Bahan bakar @ 15 liter</t>
  </si>
  <si>
    <t>Dump Truck</t>
  </si>
  <si>
    <t>sewa Asphalt Finisher</t>
  </si>
  <si>
    <t>Kunci momen</t>
  </si>
  <si>
    <t>Molen</t>
  </si>
  <si>
    <t>sewa Concrete Mixer Pump</t>
  </si>
  <si>
    <t>Sewa tripod/tackle T = 4-5 m</t>
  </si>
  <si>
    <t>Bulldozer D-65 lebar blade ± 3,5 - 4 m termasuk operator + BBM</t>
  </si>
  <si>
    <t>sewa Bulldozer D-65 lebar blade ± 3,5 - 4 m</t>
  </si>
  <si>
    <t>sewa Vibro Roller 12 Ton</t>
  </si>
  <si>
    <t>Alat Bor Deep Well (asumsi 12 m/hr)</t>
  </si>
  <si>
    <t>Solar Industri (wilayah I)</t>
  </si>
  <si>
    <t>Elektrikal</t>
  </si>
  <si>
    <t>Saklar Tunggal ex.Panasonic</t>
  </si>
  <si>
    <t>Saklar Dobel ex.Panasonic</t>
  </si>
  <si>
    <t>Stop Kontak ex.Panasonic</t>
  </si>
  <si>
    <t>Stop Kontak AC ex.Panasonic</t>
  </si>
  <si>
    <t>Stop Kontak Antena ex.Panasonic</t>
  </si>
  <si>
    <t>Connector TV</t>
  </si>
  <si>
    <t>L Bow</t>
  </si>
  <si>
    <t>Klem biasa</t>
  </si>
  <si>
    <t>Isolasi listrik</t>
  </si>
  <si>
    <t>Lampu sorot LED 20 watt warna kuning</t>
  </si>
  <si>
    <t>Box Panel Listrik 8 Group</t>
  </si>
  <si>
    <t>6 bh/unit</t>
  </si>
  <si>
    <t>Box Panel Listrik 4 Group</t>
  </si>
  <si>
    <t>2 bh/unit</t>
  </si>
  <si>
    <t>Panel Penerangan Luar Outdoor 30(P)x26(L)x70(T)</t>
  </si>
  <si>
    <t>Panel Kontrol Luar Outdoor 60x80x20 cm</t>
  </si>
  <si>
    <t>Tiang PJU Kawasan 4 m Double Arm (hexagonal) Galvanis termasuk ornamen Artistik, Cat dasar Marine dan penutup Cat</t>
  </si>
  <si>
    <t>Tiang PJU Kawasan 7 m Dobel Arm (hexagonal) Galvanis</t>
  </si>
  <si>
    <t>Tiang PJU Kawasan 7 m Single Arm (hexagonal) Galvanis</t>
  </si>
  <si>
    <t>Lampu Jalan PJU LED 70 watt Phillips BRP121</t>
  </si>
  <si>
    <t>Pipa Besi Galvanis Ø 6 Inch, t = 3 mm</t>
  </si>
  <si>
    <t>Pipa Besi Galvanis Ø 3 Inch, t = 2,5 mm</t>
  </si>
  <si>
    <t>Pipa Besi Galvanis Ø 2 Inch, t = 2,3 mm</t>
  </si>
  <si>
    <t>Pipa PVC AW 4 Inch</t>
  </si>
  <si>
    <t>Pipa PVC AW 3 Inch</t>
  </si>
  <si>
    <t>Pipa PVC AW 1 Inch</t>
  </si>
  <si>
    <t>Pipa PVC D ¾ Inch</t>
  </si>
  <si>
    <t>Pipa PVC AW ½ Inch</t>
  </si>
  <si>
    <t>Downlight Ø 5 Inch ex.Phillips</t>
  </si>
  <si>
    <t>Downlight Ø 6 Inch ex.Phillips</t>
  </si>
  <si>
    <t>Pasang Speaker Corong TOA ZH-5025B Speaker [25 Watt]</t>
  </si>
  <si>
    <t>Kitchen Zinc, 1 Lubang + 1 Sayap ex.ROYAL</t>
  </si>
  <si>
    <t>Roof Drain PVC Ø 3 Inch ex.ONDA</t>
  </si>
  <si>
    <t>Tangki Toren TD60 Kap. 600 liter ex.Penguin</t>
  </si>
  <si>
    <t>Tangki Toren TD110 Kap. 1050 liter ex.Penguin</t>
  </si>
  <si>
    <t>Tiang Menara Toren Tangki Air 500 liter, T = 4 m</t>
  </si>
  <si>
    <t>Septiktank Bio Tech 1 m³</t>
  </si>
  <si>
    <t>U Ditch 80x80x120 cm</t>
  </si>
  <si>
    <t>Tangga Monyet T = 3 m</t>
  </si>
  <si>
    <t>Genset 50 Kva Silent ex.Mitsubishi, 3 Phase 220v/380v, 1500rpm, 50-52Hz</t>
  </si>
  <si>
    <t>Genset 60 KVA Tipe Silent 1103A-33TG2</t>
  </si>
  <si>
    <t>Grounding Test Box</t>
  </si>
  <si>
    <t>Tutup Saluran / Gretting 30 cm (Plastik ABS)</t>
  </si>
  <si>
    <t>Pekerjaan Geolistrik</t>
  </si>
  <si>
    <t>Pekerjaan Bor dalam</t>
  </si>
  <si>
    <t>Stang Bor, batang bor diameter 1 ¼ Inch</t>
  </si>
  <si>
    <t>Bor : Auger Ø 20 cm</t>
  </si>
  <si>
    <t>Panel LVMDP/PDTR 25KVA termasuk instalasi</t>
  </si>
  <si>
    <t>Panel ATS (Automatic Transfer Switch)</t>
  </si>
  <si>
    <t>Panel Distribusi Genset</t>
  </si>
  <si>
    <t>Tangki Solar 500L</t>
  </si>
  <si>
    <t>Pipa Buangan Gas (Exhaust Muffler</t>
  </si>
  <si>
    <t>Upah Pekerja</t>
  </si>
  <si>
    <t>Pekerja / Kenek</t>
  </si>
  <si>
    <t>Tukang Kayu/Besi/Kayu/Cat</t>
  </si>
  <si>
    <t>Pembantu Operator</t>
  </si>
  <si>
    <t>Sopir</t>
  </si>
  <si>
    <t>Mekanik</t>
  </si>
  <si>
    <t>Pembantu Mekanik</t>
  </si>
  <si>
    <t>Jasa pasang pagar BRC</t>
  </si>
  <si>
    <t>Ekspedisi jalur Laut Jakarta - Batam</t>
  </si>
  <si>
    <t>Truk Fuso Jakarta ke Lampung</t>
  </si>
  <si>
    <t>Besi Siku 70.70.7 mm</t>
  </si>
  <si>
    <t>Ex Haust Fan 12 Inch ex.KDK</t>
  </si>
  <si>
    <t>PVC Waterstop</t>
  </si>
  <si>
    <t>Besi Hollow Galvalum 40x40 t = 0,4 mm</t>
  </si>
  <si>
    <t>Besi Hollow Galvalum 40x40 t = 0,3 mm</t>
  </si>
  <si>
    <t>Joint sealer aspal</t>
  </si>
  <si>
    <t>Pipa PVC AW 2 Inch</t>
  </si>
  <si>
    <t>Pohon Alpukat di Polybag 50 L</t>
  </si>
  <si>
    <t>Pohon Rambutan di Polybag 50 L</t>
  </si>
  <si>
    <t xml:space="preserve"> bh</t>
  </si>
  <si>
    <t>Pohon Lengkeng di Polybag 50 L</t>
  </si>
  <si>
    <t>Bambu dia 5-8 cm</t>
  </si>
  <si>
    <t>tali rafia</t>
  </si>
  <si>
    <t>roll</t>
  </si>
  <si>
    <t>pupuk organik</t>
  </si>
  <si>
    <t>anti rayap</t>
  </si>
  <si>
    <t>Tangki Toren TB200 Kap. 2000 liter ex.Penguin</t>
  </si>
  <si>
    <t>NILAI HPS</t>
  </si>
  <si>
    <t>HARGA HPS</t>
  </si>
  <si>
    <t>2026</t>
  </si>
  <si>
    <t>Rp</t>
  </si>
  <si>
    <t>MC 0</t>
  </si>
  <si>
    <t>BOBOT</t>
  </si>
  <si>
    <t>PERSEN</t>
  </si>
  <si>
    <t>PEKERJAAN TAMBAH</t>
  </si>
  <si>
    <t>VOLUME KURANG</t>
  </si>
  <si>
    <t>Pekerjaan Lantai Docking</t>
  </si>
  <si>
    <t>Lebar</t>
  </si>
  <si>
    <t>Pekerjaan Pengukuran dan Pematokan Lantai Docking</t>
  </si>
  <si>
    <t>Pekerjaan Lantai Docking Beton t = 15 cm</t>
  </si>
  <si>
    <t>Tetap</t>
  </si>
  <si>
    <t>KET</t>
  </si>
  <si>
    <t>PEK. TAMBAH</t>
  </si>
  <si>
    <t>PEK. KURANG</t>
  </si>
  <si>
    <t>NILAI KONTRAK</t>
  </si>
  <si>
    <t>NILAI PEK. TAMBAH</t>
  </si>
  <si>
    <t>NILAI PEK. KURANG</t>
  </si>
  <si>
    <t>m138</t>
  </si>
  <si>
    <t>Segmen 1</t>
  </si>
  <si>
    <t>TETAP</t>
  </si>
  <si>
    <t>3.11.1.16</t>
  </si>
  <si>
    <r>
      <t xml:space="preserve">Besi </t>
    </r>
    <r>
      <rPr>
        <sz val="10"/>
        <color theme="1"/>
        <rFont val="Calibri"/>
        <family val="2"/>
      </rPr>
      <t>Ø</t>
    </r>
    <r>
      <rPr>
        <sz val="10"/>
        <color theme="1"/>
        <rFont val="Verdana"/>
        <family val="2"/>
        <charset val="1"/>
      </rPr>
      <t>16</t>
    </r>
  </si>
  <si>
    <r>
      <t xml:space="preserve">Pekerjaan 1 bh Pemasangan angkur tautan kapal Besi </t>
    </r>
    <r>
      <rPr>
        <b/>
        <sz val="10"/>
        <color theme="1"/>
        <rFont val="Calibri"/>
        <family val="2"/>
      </rPr>
      <t>Ø</t>
    </r>
    <r>
      <rPr>
        <b/>
        <sz val="8.4"/>
        <color theme="1"/>
        <rFont val="Verdana"/>
        <family val="2"/>
        <charset val="1"/>
      </rPr>
      <t xml:space="preserve"> 16</t>
    </r>
  </si>
  <si>
    <t>Pekerjaan Pemasangan angkur Taut kapal, Besi 16</t>
  </si>
  <si>
    <t>Pek Baru</t>
  </si>
  <si>
    <t>pekerjaan tambah</t>
  </si>
  <si>
    <t>pekerjaan kurang</t>
  </si>
  <si>
    <t>Terbilang : Dua Miliyar Lima Enam Ratus Juta Tujuh Ratus Empat Puluh Enam Ribu Rupiah</t>
  </si>
  <si>
    <t>MC - 0</t>
  </si>
  <si>
    <t>Di Buat Oleh :</t>
  </si>
  <si>
    <t>Diperiksa Oleh :</t>
  </si>
  <si>
    <t>PT AGRINAS JALADRI NUSANTARA</t>
  </si>
  <si>
    <t>Khusnul Yaqin</t>
  </si>
  <si>
    <t>Direktur</t>
  </si>
  <si>
    <t>Mengetahui</t>
  </si>
  <si>
    <t>Umar</t>
  </si>
  <si>
    <t>Di Setujui</t>
  </si>
  <si>
    <t>Elfando Mada</t>
  </si>
  <si>
    <t>NIP 199106202015031001</t>
  </si>
  <si>
    <t>NIP 198007052005021001</t>
  </si>
  <si>
    <t>Team Leader</t>
  </si>
  <si>
    <t>M. Nazar Iqbal</t>
  </si>
  <si>
    <t>Any Salindri</t>
  </si>
  <si>
    <t>Co Team Leader</t>
  </si>
  <si>
    <t>Agus Sulistyo Rekso N</t>
  </si>
  <si>
    <t>Site Manager</t>
  </si>
  <si>
    <t>PPK Satuan Kerja Sekretariat                                                                                                                                           Direktorat Jenderal Perikanan Tangkap</t>
  </si>
  <si>
    <r>
      <t xml:space="preserve">Pekerjaan pemasangan angkur tautan kapal, Besi </t>
    </r>
    <r>
      <rPr>
        <sz val="15"/>
        <color theme="1"/>
        <rFont val="Calibri"/>
        <family val="2"/>
      </rPr>
      <t>Ø</t>
    </r>
    <r>
      <rPr>
        <sz val="15"/>
        <color theme="1"/>
        <rFont val="Verdana"/>
        <family val="2"/>
        <charset val="1"/>
      </rPr>
      <t>16</t>
    </r>
  </si>
  <si>
    <t>NILAI MC - O</t>
  </si>
  <si>
    <t>20 Juli 2026</t>
  </si>
  <si>
    <t>Rembang, 20 Juli 2026</t>
  </si>
  <si>
    <t>II.1</t>
  </si>
  <si>
    <t>III.1</t>
  </si>
  <si>
    <t>III.2</t>
  </si>
  <si>
    <t>III.3</t>
  </si>
  <si>
    <t>IV.2</t>
  </si>
  <si>
    <t>V.1</t>
  </si>
  <si>
    <t>V.2</t>
  </si>
  <si>
    <t>V.3</t>
  </si>
  <si>
    <t>VI.1</t>
  </si>
  <si>
    <t>VI.2</t>
  </si>
  <si>
    <t>VI.3</t>
  </si>
  <si>
    <t>VII.1</t>
  </si>
  <si>
    <t>VII.2</t>
  </si>
  <si>
    <t>REKAPITULASI MUTUAL CHECK ( MC - 0%)</t>
  </si>
  <si>
    <t>SUB RESUME MUTUAL CHECK (MC-0)</t>
  </si>
  <si>
    <t>LAMPIRAN MUTUAL CECK (MC-0%)</t>
  </si>
  <si>
    <t>PT KURNIA ALAM SENTOSA</t>
  </si>
  <si>
    <t>Wakil Syah PPK</t>
  </si>
  <si>
    <t>Rembang, 02 Agustus 2026</t>
  </si>
  <si>
    <t>ANALISA PEKERJAAN TAMBAK AGUNG</t>
  </si>
  <si>
    <t>Di Setujui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</si>
</sst>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1" formatCode="_(* #,##0_);_(* \(#,##0\);_(* &quot;-&quot;_);_(@_)"/>
    <numFmt numFmtId="43" formatCode="_(* #,##0.00_);_(* \(#,##0.00\);_(* &quot;-&quot;??_);_(@_)"/>
    <numFmt numFmtId="164" formatCode="_(* #,##0.00_);_(* \(#,##0.00\);_(* \-??_);_(@_)"/>
    <numFmt numFmtId="165" formatCode="_(* #,##0_);_(* \(#,##0\);_(* \-_);_(@_)"/>
    <numFmt numFmtId="166" formatCode="_(&quot;Rp&quot;* #,##0_);_(&quot;Rp&quot;* \(#,##0\);_(&quot;Rp&quot;* \-_);_(@_)"/>
    <numFmt numFmtId="167" formatCode="0.0000%"/>
    <numFmt numFmtId="168" formatCode="_-[$Rp-421]* #,##0.00_-;\-[$Rp-421]* #,##0.00_-;_-[$Rp-421]* \-??_-;_-@_-"/>
    <numFmt numFmtId="169" formatCode="_(* #,##0.00_);_(* \(#,##0.00\);_(* \-_);_(@_)"/>
    <numFmt numFmtId="170" formatCode="_(* #,##0.000_);_(* \(#,##0.000\);_(* \-??_);_(@_)"/>
    <numFmt numFmtId="171" formatCode="_-* #,##0.00_-;\-* #,##0.00_-;_-* \-??_-;_-@_-"/>
    <numFmt numFmtId="172" formatCode="_(* #,##0.0000_);_(* \(#,##0.0000\);_(* \-??_);_(@_)"/>
    <numFmt numFmtId="173" formatCode="_(* #,##0.000_);_(* \(#,##0.000\);_(* \-_);_(@_)"/>
    <numFmt numFmtId="174" formatCode="_(* #,##0.0_);_(* \(#,##0.0\);_(* \-??_);_(@_)"/>
    <numFmt numFmtId="175" formatCode="0.00000000000"/>
    <numFmt numFmtId="176" formatCode="0\."/>
    <numFmt numFmtId="177" formatCode="_([$Rp-421]* #,##0.00_);_([$Rp-421]* \(#,##0.00\);_([$Rp-421]* \-??_);_(@_)"/>
    <numFmt numFmtId="178" formatCode="_(* #,##0.00000_);_(* \(#,##0.00000\);_(* \-??_);_(@_)"/>
    <numFmt numFmtId="179" formatCode="_-* #,##0.00000_-;\-* #,##0.00000_-;_-* \-?????_-;_-@_-"/>
    <numFmt numFmtId="180" formatCode="_-[$Rp-421]* #,##0_-;\-[$Rp-421]* #,##0_-;_-[$Rp-421]* \-??_-;_-@_-"/>
    <numFmt numFmtId="181" formatCode="_(* #,##0_);_(* \(#,##0\);_(* &quot;-&quot;??_);_(@_)"/>
    <numFmt numFmtId="182" formatCode="_(* #,##0.00_);_(* \(#,##0.00\);_(* &quot;-&quot;_);_(@_)"/>
    <numFmt numFmtId="183" formatCode="0.0%"/>
    <numFmt numFmtId="184" formatCode="_(* #,##0.000000_);_(* \(#,##0.000000\);_(* &quot;-&quot;??_);_(@_)"/>
  </numFmts>
  <fonts count="116">
    <font>
      <sz val="10"/>
      <name val="Arial"/>
      <charset val="1"/>
    </font>
    <font>
      <sz val="10"/>
      <name val="Arial"/>
      <family val="2"/>
      <charset val="1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4"/>
      <name val="Arial Narrow"/>
      <family val="2"/>
      <charset val="1"/>
    </font>
    <font>
      <u/>
      <sz val="11"/>
      <color theme="10"/>
      <name val="Calibri"/>
      <family val="2"/>
      <charset val="1"/>
    </font>
    <font>
      <b/>
      <sz val="10"/>
      <name val="Calibri"/>
      <family val="2"/>
      <charset val="1"/>
    </font>
    <font>
      <sz val="14"/>
      <name val="Calibri"/>
      <family val="2"/>
      <charset val="1"/>
    </font>
    <font>
      <sz val="10"/>
      <name val="Calibri"/>
      <family val="2"/>
      <charset val="1"/>
    </font>
    <font>
      <sz val="16"/>
      <name val="Verdana"/>
      <family val="2"/>
      <charset val="1"/>
    </font>
    <font>
      <sz val="10"/>
      <name val="Verdana"/>
      <family val="2"/>
      <charset val="1"/>
    </font>
    <font>
      <b/>
      <sz val="10"/>
      <name val="Verdana"/>
      <family val="2"/>
      <charset val="1"/>
    </font>
    <font>
      <sz val="14"/>
      <name val="Verdana"/>
      <family val="2"/>
      <charset val="1"/>
    </font>
    <font>
      <sz val="12"/>
      <name val="Verdana"/>
      <family val="2"/>
      <charset val="1"/>
    </font>
    <font>
      <sz val="10"/>
      <color theme="1"/>
      <name val="Verdana"/>
      <family val="2"/>
      <charset val="1"/>
    </font>
    <font>
      <i/>
      <sz val="10"/>
      <name val="Verdana"/>
      <family val="2"/>
      <charset val="1"/>
    </font>
    <font>
      <b/>
      <sz val="10"/>
      <color rgb="FFFF0000"/>
      <name val="Verdana"/>
      <family val="2"/>
      <charset val="1"/>
    </font>
    <font>
      <sz val="10"/>
      <color rgb="FFFF0000"/>
      <name val="Verdana"/>
      <family val="2"/>
      <charset val="1"/>
    </font>
    <font>
      <sz val="11"/>
      <color theme="1"/>
      <name val="Century Gothic"/>
      <family val="2"/>
      <charset val="1"/>
    </font>
    <font>
      <b/>
      <sz val="11"/>
      <color theme="1"/>
      <name val="Century Gothic"/>
      <family val="2"/>
      <charset val="1"/>
    </font>
    <font>
      <sz val="10"/>
      <color theme="1"/>
      <name val="Century Gothic"/>
      <family val="2"/>
      <charset val="1"/>
    </font>
    <font>
      <b/>
      <sz val="10"/>
      <color theme="1"/>
      <name val="Century Gothic"/>
      <family val="2"/>
      <charset val="1"/>
    </font>
    <font>
      <sz val="14"/>
      <color theme="1"/>
      <name val="Century Gothic"/>
      <family val="2"/>
      <charset val="1"/>
    </font>
    <font>
      <sz val="11"/>
      <color rgb="FF000000"/>
      <name val="Century Gothic"/>
      <family val="2"/>
      <charset val="1"/>
    </font>
    <font>
      <sz val="10"/>
      <color rgb="FFFF0000"/>
      <name val="Century Gothic"/>
      <family val="2"/>
      <charset val="1"/>
    </font>
    <font>
      <b/>
      <sz val="10"/>
      <color rgb="FFFF0000"/>
      <name val="Century Gothic"/>
      <family val="2"/>
      <charset val="1"/>
    </font>
    <font>
      <sz val="10"/>
      <name val="Century Gothic"/>
      <family val="2"/>
      <charset val="1"/>
    </font>
    <font>
      <sz val="11"/>
      <color rgb="FFFF0000"/>
      <name val="Century Gothic"/>
      <family val="2"/>
      <charset val="1"/>
    </font>
    <font>
      <sz val="10"/>
      <color rgb="FF000000"/>
      <name val="Century Gothic"/>
      <family val="2"/>
      <charset val="1"/>
    </font>
    <font>
      <b/>
      <sz val="10"/>
      <name val="Century Gothic"/>
      <family val="2"/>
      <charset val="1"/>
    </font>
    <font>
      <sz val="10"/>
      <color theme="1"/>
      <name val="Arial"/>
      <family val="2"/>
      <charset val="1"/>
    </font>
    <font>
      <b/>
      <sz val="10"/>
      <color theme="1"/>
      <name val="Verdana"/>
      <family val="2"/>
      <charset val="1"/>
    </font>
    <font>
      <sz val="11"/>
      <color theme="1"/>
      <name val="Verdana"/>
      <family val="2"/>
      <charset val="1"/>
    </font>
    <font>
      <sz val="10"/>
      <color rgb="FFFF0000"/>
      <name val="Arial"/>
      <family val="2"/>
      <charset val="1"/>
    </font>
    <font>
      <sz val="10"/>
      <color rgb="FF000000"/>
      <name val="Verdana"/>
      <family val="2"/>
      <charset val="1"/>
    </font>
    <font>
      <b/>
      <sz val="11"/>
      <color theme="1"/>
      <name val="Calibri"/>
      <family val="2"/>
      <charset val="1"/>
    </font>
    <font>
      <sz val="14"/>
      <color theme="1"/>
      <name val="Verdana"/>
      <family val="2"/>
      <charset val="1"/>
    </font>
    <font>
      <sz val="11"/>
      <color rgb="FFFF0000"/>
      <name val="Calibri"/>
      <family val="2"/>
      <charset val="1"/>
    </font>
    <font>
      <sz val="10"/>
      <color theme="1"/>
      <name val="Calibri"/>
      <family val="2"/>
      <charset val="1"/>
    </font>
    <font>
      <sz val="10"/>
      <color rgb="FFFF0000"/>
      <name val="Calibri"/>
      <family val="2"/>
      <charset val="1"/>
    </font>
    <font>
      <sz val="11"/>
      <color theme="1"/>
      <name val="Tahoma"/>
      <family val="2"/>
      <charset val="1"/>
    </font>
    <font>
      <sz val="11"/>
      <color rgb="FFFF0000"/>
      <name val="Tahoma"/>
      <family val="2"/>
      <charset val="1"/>
    </font>
    <font>
      <b/>
      <sz val="11"/>
      <color theme="1"/>
      <name val="Verdana"/>
      <family val="2"/>
      <charset val="1"/>
    </font>
    <font>
      <b/>
      <sz val="14"/>
      <color theme="1"/>
      <name val="Verdana"/>
      <family val="2"/>
      <charset val="1"/>
    </font>
    <font>
      <sz val="11"/>
      <name val="Calibri"/>
      <family val="2"/>
      <charset val="1"/>
    </font>
    <font>
      <u/>
      <sz val="10"/>
      <color theme="1"/>
      <name val="Verdana"/>
      <family val="2"/>
      <charset val="1"/>
    </font>
    <font>
      <sz val="11"/>
      <name val="Times New Roman"/>
      <family val="1"/>
      <charset val="1"/>
    </font>
    <font>
      <sz val="11"/>
      <color rgb="FF000000"/>
      <name val="Times New Roman"/>
      <family val="1"/>
      <charset val="1"/>
    </font>
    <font>
      <b/>
      <sz val="18"/>
      <name val="Verdana"/>
      <family val="2"/>
      <charset val="1"/>
    </font>
    <font>
      <b/>
      <sz val="18"/>
      <color rgb="FF000000"/>
      <name val="Verdana"/>
      <family val="2"/>
      <charset val="1"/>
    </font>
    <font>
      <sz val="11"/>
      <color rgb="FF000000"/>
      <name val="Verdana"/>
      <family val="2"/>
      <charset val="1"/>
    </font>
    <font>
      <sz val="11"/>
      <name val="Verdana"/>
      <family val="2"/>
      <charset val="1"/>
    </font>
    <font>
      <b/>
      <sz val="11"/>
      <name val="Arial"/>
      <family val="2"/>
      <charset val="1"/>
    </font>
    <font>
      <sz val="9"/>
      <color rgb="FF111111"/>
      <name val="Verdana"/>
      <family val="2"/>
      <charset val="1"/>
    </font>
    <font>
      <sz val="9"/>
      <color rgb="FF111111"/>
      <name val="Arial"/>
      <family val="2"/>
      <charset val="1"/>
    </font>
    <font>
      <i/>
      <sz val="9"/>
      <color rgb="FF111111"/>
      <name val="Verdana"/>
      <family val="2"/>
      <charset val="1"/>
    </font>
    <font>
      <sz val="10"/>
      <color rgb="FF111111"/>
      <name val="Arial"/>
      <family val="2"/>
      <charset val="1"/>
    </font>
    <font>
      <i/>
      <sz val="9"/>
      <color rgb="FF3B3B3B"/>
      <name val="Verdana"/>
      <family val="2"/>
      <charset val="1"/>
    </font>
    <font>
      <sz val="9"/>
      <name val="Verdana"/>
      <family val="2"/>
      <charset val="1"/>
    </font>
    <font>
      <b/>
      <sz val="9"/>
      <name val="Verdana"/>
      <family val="2"/>
      <charset val="1"/>
    </font>
    <font>
      <sz val="9"/>
      <name val="Arial"/>
      <family val="2"/>
      <charset val="1"/>
    </font>
    <font>
      <sz val="9"/>
      <color theme="1"/>
      <name val="Verdana"/>
      <family val="2"/>
      <charset val="1"/>
    </font>
    <font>
      <u/>
      <sz val="9"/>
      <color theme="10"/>
      <name val="Arial"/>
      <family val="2"/>
      <charset val="1"/>
    </font>
    <font>
      <u/>
      <sz val="9"/>
      <color theme="10"/>
      <name val="Verdana"/>
      <family val="2"/>
      <charset val="1"/>
    </font>
    <font>
      <sz val="9"/>
      <color rgb="FFFF0000"/>
      <name val="Arial"/>
      <family val="2"/>
      <charset val="1"/>
    </font>
    <font>
      <u/>
      <sz val="10"/>
      <color theme="10"/>
      <name val="Arial"/>
      <family val="2"/>
      <charset val="1"/>
    </font>
    <font>
      <sz val="10"/>
      <name val="Arial"/>
      <family val="2"/>
    </font>
    <font>
      <b/>
      <sz val="10"/>
      <name val="Verdana"/>
      <family val="2"/>
    </font>
    <font>
      <b/>
      <sz val="10"/>
      <color theme="1"/>
      <name val="Verdana"/>
      <family val="2"/>
    </font>
    <font>
      <sz val="10"/>
      <name val="Verdana"/>
      <family val="2"/>
    </font>
    <font>
      <b/>
      <sz val="16"/>
      <name val="Verdana"/>
      <family val="2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color theme="1"/>
      <name val="Calibri"/>
      <family val="2"/>
    </font>
    <font>
      <b/>
      <sz val="8.4"/>
      <color theme="1"/>
      <name val="Verdana"/>
      <family val="2"/>
      <charset val="1"/>
    </font>
    <font>
      <sz val="10"/>
      <color theme="1"/>
      <name val="Calibri"/>
      <family val="2"/>
    </font>
    <font>
      <u/>
      <sz val="10"/>
      <name val="Verdana"/>
      <family val="2"/>
    </font>
    <font>
      <sz val="16"/>
      <name val="Arial"/>
      <family val="2"/>
    </font>
    <font>
      <b/>
      <sz val="20"/>
      <name val="Verdana"/>
      <family val="2"/>
    </font>
    <font>
      <b/>
      <sz val="15"/>
      <name val="Verdana"/>
      <family val="2"/>
    </font>
    <font>
      <sz val="15"/>
      <name val="Verdana"/>
      <family val="2"/>
      <charset val="1"/>
    </font>
    <font>
      <sz val="15"/>
      <color theme="1"/>
      <name val="Verdana"/>
      <family val="2"/>
      <charset val="1"/>
    </font>
    <font>
      <b/>
      <sz val="15"/>
      <name val="Verdana"/>
      <family val="2"/>
      <charset val="1"/>
    </font>
    <font>
      <b/>
      <sz val="15"/>
      <color theme="0"/>
      <name val="Verdana"/>
      <family val="2"/>
      <charset val="1"/>
    </font>
    <font>
      <b/>
      <sz val="15"/>
      <color theme="1"/>
      <name val="Verdana"/>
      <family val="2"/>
    </font>
    <font>
      <sz val="15"/>
      <name val="Arial"/>
      <family val="2"/>
    </font>
    <font>
      <b/>
      <sz val="15"/>
      <color theme="1"/>
      <name val="Verdana"/>
      <family val="2"/>
      <charset val="1"/>
    </font>
    <font>
      <sz val="15"/>
      <color theme="1"/>
      <name val="Calibri"/>
      <family val="2"/>
    </font>
    <font>
      <sz val="15"/>
      <color theme="1"/>
      <name val="Abadi"/>
      <family val="2"/>
      <charset val="1"/>
    </font>
    <font>
      <sz val="15"/>
      <color theme="1"/>
      <name val="Century Gothic"/>
      <family val="2"/>
      <charset val="1"/>
    </font>
    <font>
      <sz val="15"/>
      <color rgb="FFFF0000"/>
      <name val="Verdana"/>
      <family val="2"/>
      <charset val="1"/>
    </font>
    <font>
      <sz val="15"/>
      <name val="Arial"/>
      <family val="2"/>
      <charset val="1"/>
    </font>
    <font>
      <sz val="11"/>
      <name val="Arial"/>
      <family val="2"/>
    </font>
    <font>
      <b/>
      <sz val="11"/>
      <name val="Verdana"/>
      <family val="2"/>
      <charset val="1"/>
    </font>
    <font>
      <sz val="11"/>
      <name val="Verdana"/>
      <family val="2"/>
    </font>
    <font>
      <b/>
      <sz val="11"/>
      <name val="Verdana"/>
      <family val="2"/>
    </font>
    <font>
      <u/>
      <sz val="11"/>
      <name val="Verdana"/>
      <family val="2"/>
    </font>
    <font>
      <b/>
      <u/>
      <sz val="11"/>
      <name val="Verdana"/>
      <family val="2"/>
      <charset val="1"/>
    </font>
    <font>
      <sz val="18"/>
      <name val="Verdana"/>
      <family val="2"/>
      <charset val="1"/>
    </font>
    <font>
      <sz val="18"/>
      <name val="Arial"/>
      <family val="2"/>
    </font>
    <font>
      <b/>
      <sz val="24"/>
      <name val="Verdana"/>
      <family val="2"/>
    </font>
    <font>
      <b/>
      <sz val="18"/>
      <name val="Verdana"/>
      <family val="2"/>
    </font>
    <font>
      <b/>
      <sz val="18"/>
      <color theme="1"/>
      <name val="Verdana"/>
      <family val="2"/>
    </font>
    <font>
      <sz val="18"/>
      <color theme="1"/>
      <name val="Verdana"/>
      <family val="2"/>
      <charset val="1"/>
    </font>
    <font>
      <sz val="18"/>
      <name val="Arial"/>
      <family val="2"/>
      <charset val="1"/>
    </font>
    <font>
      <sz val="18"/>
      <name val="Verdana"/>
      <family val="2"/>
    </font>
    <font>
      <sz val="20"/>
      <name val="Verdana"/>
      <family val="2"/>
      <charset val="1"/>
    </font>
    <font>
      <sz val="20"/>
      <name val="Arial"/>
      <family val="2"/>
    </font>
    <font>
      <sz val="20"/>
      <name val="Verdana"/>
      <family val="2"/>
    </font>
    <font>
      <b/>
      <sz val="20"/>
      <name val="Verdana"/>
      <family val="2"/>
      <charset val="1"/>
    </font>
    <font>
      <b/>
      <sz val="22"/>
      <name val="Verdana"/>
      <family val="2"/>
    </font>
    <font>
      <sz val="15"/>
      <color theme="1"/>
      <name val="Arial"/>
      <family val="2"/>
    </font>
    <font>
      <b/>
      <sz val="18"/>
      <color theme="1"/>
      <name val="Verdana"/>
      <family val="2"/>
      <charset val="1"/>
    </font>
    <font>
      <sz val="7"/>
      <color rgb="FF0F172A"/>
      <name val="Inter"/>
    </font>
    <font>
      <sz val="18"/>
      <color theme="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9" tint="0.59978026673177287"/>
        <bgColor rgb="FFDBDBDB"/>
      </patternFill>
    </fill>
    <fill>
      <patternFill patternType="solid">
        <fgColor theme="9" tint="0.79979857783745845"/>
        <bgColor rgb="FFEDEDED"/>
      </patternFill>
    </fill>
    <fill>
      <patternFill patternType="solid">
        <fgColor rgb="FF92D050"/>
        <bgColor rgb="FF70AD47"/>
      </patternFill>
    </fill>
    <fill>
      <patternFill patternType="solid">
        <fgColor theme="0"/>
        <bgColor rgb="FFEDEDED"/>
      </patternFill>
    </fill>
    <fill>
      <patternFill patternType="solid">
        <fgColor theme="8" tint="0.79979857783745845"/>
        <bgColor rgb="FFDEEBF7"/>
      </patternFill>
    </fill>
    <fill>
      <patternFill patternType="solid">
        <fgColor theme="6" tint="0.79979857783745845"/>
        <bgColor rgb="FFDEEBF7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theme="5" tint="0.59978026673177287"/>
        <bgColor rgb="FFDBDBDB"/>
      </patternFill>
    </fill>
    <fill>
      <patternFill patternType="solid">
        <fgColor rgb="FF00B0F0"/>
        <bgColor rgb="FF33CCCC"/>
      </patternFill>
    </fill>
    <fill>
      <patternFill patternType="solid">
        <fgColor theme="4" tint="0.79979857783745845"/>
        <bgColor rgb="FFDAE3F3"/>
      </patternFill>
    </fill>
    <fill>
      <patternFill patternType="solid">
        <fgColor theme="6" tint="0.59978026673177287"/>
        <bgColor rgb="FFD6DCE5"/>
      </patternFill>
    </fill>
    <fill>
      <patternFill patternType="solid">
        <fgColor rgb="FFFF0000"/>
        <bgColor rgb="FF993300"/>
      </patternFill>
    </fill>
    <fill>
      <patternFill patternType="solid">
        <fgColor theme="3" tint="0.79979857783745845"/>
        <bgColor rgb="FFDBDBDB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89013336588644"/>
        <bgColor rgb="FFEDEDED"/>
      </patternFill>
    </fill>
    <fill>
      <patternFill patternType="solid">
        <fgColor rgb="FFFFFF00"/>
        <bgColor rgb="FFEDEDED"/>
      </patternFill>
    </fill>
    <fill>
      <patternFill patternType="solid">
        <fgColor rgb="FFFF0000"/>
        <bgColor indexed="64"/>
      </patternFill>
    </fill>
  </fills>
  <borders count="138">
    <border>
      <left/>
      <right/>
      <top/>
      <bottom/>
      <diagonal/>
    </border>
    <border>
      <left/>
      <right/>
      <top style="double">
        <color auto="1"/>
      </top>
      <bottom/>
      <diagonal/>
    </border>
    <border>
      <left/>
      <right/>
      <top style="double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double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/>
      <top style="double">
        <color auto="1"/>
      </top>
      <bottom style="hair">
        <color auto="1"/>
      </bottom>
      <diagonal/>
    </border>
    <border>
      <left/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slantDashDot">
        <color auto="1"/>
      </top>
      <bottom style="hair">
        <color auto="1"/>
      </bottom>
      <diagonal/>
    </border>
    <border>
      <left style="thin">
        <color auto="1"/>
      </left>
      <right/>
      <top style="slantDashDot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slantDashDot">
        <color auto="1"/>
      </bottom>
      <diagonal/>
    </border>
    <border>
      <left style="thin">
        <color auto="1"/>
      </left>
      <right/>
      <top/>
      <bottom style="slantDashDot">
        <color auto="1"/>
      </bottom>
      <diagonal/>
    </border>
    <border>
      <left style="thin">
        <color auto="1"/>
      </left>
      <right/>
      <top style="hair">
        <color auto="1"/>
      </top>
      <bottom style="slantDashDot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medium">
        <color auto="1"/>
      </right>
      <top style="double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ck">
        <color auto="1"/>
      </right>
      <top/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 style="hair">
        <color auto="1"/>
      </top>
      <bottom style="thin">
        <color indexed="64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</borders>
  <cellStyleXfs count="123">
    <xf numFmtId="0" fontId="0" fillId="0" borderId="0"/>
    <xf numFmtId="164" fontId="1" fillId="0" borderId="0"/>
    <xf numFmtId="164" fontId="1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1" fillId="0" borderId="0"/>
    <xf numFmtId="164" fontId="1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3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3" fillId="0" borderId="0"/>
    <xf numFmtId="164" fontId="2" fillId="0" borderId="0"/>
    <xf numFmtId="164" fontId="2" fillId="0" borderId="0"/>
    <xf numFmtId="165" fontId="4" fillId="0" borderId="0"/>
    <xf numFmtId="165" fontId="1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6" fontId="1" fillId="0" borderId="0"/>
    <xf numFmtId="0" fontId="5" fillId="0" borderId="0"/>
    <xf numFmtId="0" fontId="2" fillId="0" borderId="0"/>
    <xf numFmtId="0" fontId="1" fillId="0" borderId="0"/>
    <xf numFmtId="0" fontId="4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1" fillId="0" borderId="0"/>
    <xf numFmtId="166" fontId="1" fillId="0" borderId="0"/>
    <xf numFmtId="43" fontId="66" fillId="0" borderId="0" applyFont="0" applyFill="0" applyBorder="0" applyAlignment="0" applyProtection="0"/>
    <xf numFmtId="41" fontId="71" fillId="0" borderId="0" applyFont="0" applyFill="0" applyBorder="0" applyAlignment="0" applyProtection="0"/>
    <xf numFmtId="9" fontId="71" fillId="0" borderId="0" applyFont="0" applyFill="0" applyBorder="0" applyAlignment="0" applyProtection="0"/>
    <xf numFmtId="0" fontId="66" fillId="0" borderId="0"/>
  </cellStyleXfs>
  <cellXfs count="3281">
    <xf numFmtId="0" fontId="0" fillId="0" borderId="0" xfId="0"/>
    <xf numFmtId="0" fontId="14" fillId="0" borderId="19" xfId="91" applyFont="1" applyBorder="1" applyAlignment="1">
      <alignment horizontal="left" vertical="center" wrapText="1"/>
    </xf>
    <xf numFmtId="0" fontId="14" fillId="0" borderId="19" xfId="0" applyFont="1" applyBorder="1" applyAlignment="1">
      <alignment horizontal="left" vertical="center" wrapText="1"/>
    </xf>
    <xf numFmtId="0" fontId="6" fillId="2" borderId="1" xfId="67" applyFont="1" applyFill="1" applyBorder="1" applyAlignment="1">
      <alignment horizontal="center" vertical="center"/>
    </xf>
    <xf numFmtId="164" fontId="6" fillId="2" borderId="1" xfId="15" applyFont="1" applyFill="1" applyBorder="1" applyAlignment="1">
      <alignment horizontal="center" vertical="center"/>
    </xf>
    <xf numFmtId="0" fontId="7" fillId="0" borderId="0" xfId="68" applyFont="1"/>
    <xf numFmtId="0" fontId="6" fillId="0" borderId="2" xfId="67" applyFont="1" applyBorder="1" applyAlignment="1">
      <alignment horizontal="center" vertical="center"/>
    </xf>
    <xf numFmtId="0" fontId="6" fillId="0" borderId="2" xfId="67" applyFont="1" applyBorder="1" applyAlignment="1">
      <alignment vertical="center"/>
    </xf>
    <xf numFmtId="0" fontId="8" fillId="0" borderId="2" xfId="67" applyFont="1" applyBorder="1" applyAlignment="1">
      <alignment horizontal="center" vertical="center"/>
    </xf>
    <xf numFmtId="164" fontId="8" fillId="0" borderId="2" xfId="15" applyFont="1" applyBorder="1" applyAlignment="1">
      <alignment vertical="center"/>
    </xf>
    <xf numFmtId="0" fontId="8" fillId="0" borderId="2" xfId="67" applyFont="1" applyBorder="1" applyAlignment="1">
      <alignment vertical="center"/>
    </xf>
    <xf numFmtId="0" fontId="8" fillId="0" borderId="3" xfId="67" applyFont="1" applyBorder="1" applyAlignment="1">
      <alignment horizontal="center" vertical="center"/>
    </xf>
    <xf numFmtId="0" fontId="8" fillId="0" borderId="3" xfId="67" applyFont="1" applyBorder="1" applyAlignment="1">
      <alignment vertical="center"/>
    </xf>
    <xf numFmtId="164" fontId="8" fillId="0" borderId="3" xfId="15" applyFont="1" applyBorder="1" applyAlignment="1">
      <alignment vertical="center"/>
    </xf>
    <xf numFmtId="0" fontId="8" fillId="0" borderId="4" xfId="67" applyFont="1" applyBorder="1" applyAlignment="1">
      <alignment horizontal="center" vertical="center"/>
    </xf>
    <xf numFmtId="0" fontId="8" fillId="0" borderId="4" xfId="67" applyFont="1" applyBorder="1" applyAlignment="1">
      <alignment vertical="center"/>
    </xf>
    <xf numFmtId="164" fontId="8" fillId="0" borderId="4" xfId="15" applyFont="1" applyBorder="1" applyAlignment="1">
      <alignment vertical="center"/>
    </xf>
    <xf numFmtId="164" fontId="6" fillId="0" borderId="4" xfId="15" applyFont="1" applyBorder="1" applyAlignment="1">
      <alignment vertical="center"/>
    </xf>
    <xf numFmtId="0" fontId="1" fillId="0" borderId="0" xfId="0" applyFont="1"/>
    <xf numFmtId="0" fontId="6" fillId="0" borderId="0" xfId="67" applyFont="1" applyAlignment="1">
      <alignment vertical="center"/>
    </xf>
    <xf numFmtId="164" fontId="8" fillId="0" borderId="0" xfId="15" applyFont="1" applyAlignment="1">
      <alignment vertical="center"/>
    </xf>
    <xf numFmtId="164" fontId="8" fillId="0" borderId="0" xfId="9" applyFont="1" applyAlignment="1">
      <alignment horizontal="center" vertical="center"/>
    </xf>
    <xf numFmtId="0" fontId="6" fillId="0" borderId="0" xfId="67" applyFont="1" applyAlignment="1">
      <alignment horizontal="center" vertical="center"/>
    </xf>
    <xf numFmtId="0" fontId="8" fillId="0" borderId="0" xfId="67" applyFont="1" applyAlignment="1">
      <alignment vertical="center"/>
    </xf>
    <xf numFmtId="0" fontId="8" fillId="0" borderId="0" xfId="0" applyFont="1" applyAlignment="1">
      <alignment horizontal="center"/>
    </xf>
    <xf numFmtId="0" fontId="8" fillId="0" borderId="0" xfId="67" applyFont="1" applyAlignment="1">
      <alignment horizontal="center" vertical="center"/>
    </xf>
    <xf numFmtId="166" fontId="0" fillId="0" borderId="0" xfId="0" applyNumberFormat="1"/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66" fontId="10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0" fontId="10" fillId="0" borderId="5" xfId="0" applyFont="1" applyBorder="1" applyAlignment="1">
      <alignment horizontal="center" vertical="center" wrapText="1"/>
    </xf>
    <xf numFmtId="166" fontId="10" fillId="0" borderId="7" xfId="0" applyNumberFormat="1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14" fillId="0" borderId="0" xfId="0" applyFont="1" applyAlignment="1">
      <alignment vertic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166" fontId="10" fillId="0" borderId="10" xfId="0" applyNumberFormat="1" applyFont="1" applyBorder="1" applyAlignment="1">
      <alignment vertical="center"/>
    </xf>
    <xf numFmtId="0" fontId="14" fillId="0" borderId="13" xfId="0" applyFont="1" applyBorder="1" applyAlignment="1">
      <alignment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10" fillId="0" borderId="17" xfId="0" applyFont="1" applyBorder="1" applyAlignment="1">
      <alignment horizontal="left" vertical="center"/>
    </xf>
    <xf numFmtId="166" fontId="10" fillId="0" borderId="18" xfId="0" applyNumberFormat="1" applyFont="1" applyBorder="1" applyAlignment="1">
      <alignment horizontal="left" vertical="center"/>
    </xf>
    <xf numFmtId="167" fontId="14" fillId="0" borderId="20" xfId="117" applyNumberFormat="1" applyFont="1" applyBorder="1" applyAlignment="1">
      <alignment horizontal="right" vertical="center"/>
    </xf>
    <xf numFmtId="0" fontId="10" fillId="0" borderId="21" xfId="0" applyFont="1" applyBorder="1" applyAlignment="1">
      <alignment horizontal="left" vertical="center"/>
    </xf>
    <xf numFmtId="0" fontId="10" fillId="0" borderId="22" xfId="0" applyFont="1" applyBorder="1" applyAlignment="1">
      <alignment horizontal="left" vertical="center"/>
    </xf>
    <xf numFmtId="0" fontId="10" fillId="0" borderId="23" xfId="0" applyFont="1" applyBorder="1" applyAlignment="1">
      <alignment horizontal="left" vertical="center"/>
    </xf>
    <xf numFmtId="0" fontId="10" fillId="0" borderId="25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26" xfId="0" applyFont="1" applyBorder="1" applyAlignment="1">
      <alignment horizontal="left" vertical="center"/>
    </xf>
    <xf numFmtId="167" fontId="14" fillId="0" borderId="28" xfId="117" applyNumberFormat="1" applyFont="1" applyBorder="1" applyAlignment="1">
      <alignment horizontal="right" vertical="center"/>
    </xf>
    <xf numFmtId="0" fontId="10" fillId="0" borderId="29" xfId="0" applyFont="1" applyBorder="1" applyAlignment="1">
      <alignment vertical="center"/>
    </xf>
    <xf numFmtId="0" fontId="10" fillId="0" borderId="30" xfId="0" applyFont="1" applyBorder="1" applyAlignment="1">
      <alignment vertical="center"/>
    </xf>
    <xf numFmtId="166" fontId="10" fillId="0" borderId="29" xfId="0" applyNumberFormat="1" applyFont="1" applyBorder="1" applyAlignment="1">
      <alignment vertical="center"/>
    </xf>
    <xf numFmtId="0" fontId="10" fillId="0" borderId="32" xfId="0" applyFont="1" applyBorder="1" applyAlignment="1">
      <alignment vertical="center"/>
    </xf>
    <xf numFmtId="0" fontId="10" fillId="0" borderId="33" xfId="0" applyFont="1" applyBorder="1" applyAlignment="1">
      <alignment horizontal="center" vertical="center"/>
    </xf>
    <xf numFmtId="0" fontId="10" fillId="0" borderId="34" xfId="0" applyFont="1" applyBorder="1" applyAlignment="1">
      <alignment vertical="center"/>
    </xf>
    <xf numFmtId="0" fontId="10" fillId="0" borderId="35" xfId="0" applyFont="1" applyBorder="1" applyAlignment="1">
      <alignment vertical="center"/>
    </xf>
    <xf numFmtId="0" fontId="10" fillId="0" borderId="36" xfId="0" applyFont="1" applyBorder="1" applyAlignment="1">
      <alignment vertical="center"/>
    </xf>
    <xf numFmtId="166" fontId="11" fillId="0" borderId="34" xfId="0" applyNumberFormat="1" applyFont="1" applyBorder="1" applyAlignment="1">
      <alignment vertical="center"/>
    </xf>
    <xf numFmtId="167" fontId="11" fillId="0" borderId="38" xfId="0" applyNumberFormat="1" applyFont="1" applyBorder="1" applyAlignment="1">
      <alignment vertical="center"/>
    </xf>
    <xf numFmtId="166" fontId="10" fillId="0" borderId="34" xfId="0" applyNumberFormat="1" applyFont="1" applyBorder="1" applyAlignment="1">
      <alignment vertical="center"/>
    </xf>
    <xf numFmtId="0" fontId="10" fillId="0" borderId="20" xfId="0" applyFont="1" applyBorder="1" applyAlignment="1">
      <alignment vertical="center"/>
    </xf>
    <xf numFmtId="0" fontId="11" fillId="0" borderId="36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39" xfId="0" applyFont="1" applyBorder="1" applyAlignment="1">
      <alignment horizontal="center" vertical="center"/>
    </xf>
    <xf numFmtId="0" fontId="10" fillId="0" borderId="40" xfId="0" applyFont="1" applyBorder="1" applyAlignment="1">
      <alignment vertical="center"/>
    </xf>
    <xf numFmtId="0" fontId="10" fillId="0" borderId="41" xfId="0" applyFont="1" applyBorder="1" applyAlignment="1">
      <alignment vertical="center"/>
    </xf>
    <xf numFmtId="0" fontId="10" fillId="0" borderId="42" xfId="0" applyFont="1" applyBorder="1" applyAlignment="1">
      <alignment vertical="center"/>
    </xf>
    <xf numFmtId="166" fontId="10" fillId="0" borderId="40" xfId="0" applyNumberFormat="1" applyFont="1" applyBorder="1" applyAlignment="1">
      <alignment vertical="center"/>
    </xf>
    <xf numFmtId="0" fontId="10" fillId="0" borderId="44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left" vertical="center"/>
    </xf>
    <xf numFmtId="0" fontId="10" fillId="0" borderId="21" xfId="0" applyFont="1" applyBorder="1" applyAlignment="1">
      <alignment vertical="center"/>
    </xf>
    <xf numFmtId="0" fontId="10" fillId="0" borderId="25" xfId="0" applyFont="1" applyBorder="1" applyAlignment="1">
      <alignment vertical="center"/>
    </xf>
    <xf numFmtId="0" fontId="10" fillId="0" borderId="15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8" fillId="0" borderId="0" xfId="115" applyNumberFormat="1" applyFont="1"/>
    <xf numFmtId="0" fontId="19" fillId="0" borderId="0" xfId="115" applyNumberFormat="1" applyFont="1"/>
    <xf numFmtId="0" fontId="20" fillId="0" borderId="0" xfId="115" applyNumberFormat="1" applyFont="1" applyAlignment="1">
      <alignment vertical="center"/>
    </xf>
    <xf numFmtId="0" fontId="21" fillId="0" borderId="0" xfId="115" applyNumberFormat="1" applyFont="1" applyAlignment="1">
      <alignment vertical="center"/>
    </xf>
    <xf numFmtId="0" fontId="18" fillId="0" borderId="0" xfId="115" applyNumberFormat="1" applyFont="1" applyAlignment="1">
      <alignment vertical="center"/>
    </xf>
    <xf numFmtId="0" fontId="22" fillId="0" borderId="0" xfId="115" applyNumberFormat="1" applyFont="1" applyAlignment="1">
      <alignment vertical="center"/>
    </xf>
    <xf numFmtId="0" fontId="20" fillId="0" borderId="5" xfId="115" applyNumberFormat="1" applyFont="1" applyBorder="1" applyAlignment="1">
      <alignment horizontal="center" vertical="center"/>
    </xf>
    <xf numFmtId="0" fontId="20" fillId="0" borderId="6" xfId="115" applyNumberFormat="1" applyFont="1" applyBorder="1" applyAlignment="1">
      <alignment horizontal="center" vertical="center"/>
    </xf>
    <xf numFmtId="0" fontId="20" fillId="0" borderId="8" xfId="115" applyNumberFormat="1" applyFont="1" applyBorder="1" applyAlignment="1">
      <alignment horizontal="center" vertical="center"/>
    </xf>
    <xf numFmtId="0" fontId="21" fillId="3" borderId="0" xfId="115" applyNumberFormat="1" applyFont="1" applyFill="1" applyAlignment="1">
      <alignment vertical="center" wrapText="1"/>
    </xf>
    <xf numFmtId="0" fontId="20" fillId="0" borderId="9" xfId="115" applyNumberFormat="1" applyFont="1" applyBorder="1" applyAlignment="1">
      <alignment vertical="center"/>
    </xf>
    <xf numFmtId="0" fontId="20" fillId="0" borderId="12" xfId="115" applyNumberFormat="1" applyFont="1" applyBorder="1" applyAlignment="1">
      <alignment vertical="center"/>
    </xf>
    <xf numFmtId="0" fontId="20" fillId="0" borderId="13" xfId="115" applyNumberFormat="1" applyFont="1" applyBorder="1" applyAlignment="1">
      <alignment vertical="center"/>
    </xf>
    <xf numFmtId="0" fontId="21" fillId="0" borderId="57" xfId="115" applyNumberFormat="1" applyFont="1" applyBorder="1" applyAlignment="1">
      <alignment horizontal="center" vertical="center"/>
    </xf>
    <xf numFmtId="0" fontId="21" fillId="0" borderId="21" xfId="115" applyNumberFormat="1" applyFont="1" applyBorder="1" applyAlignment="1">
      <alignment vertical="center"/>
    </xf>
    <xf numFmtId="0" fontId="20" fillId="0" borderId="19" xfId="115" applyNumberFormat="1" applyFont="1" applyBorder="1" applyAlignment="1">
      <alignment vertical="center"/>
    </xf>
    <xf numFmtId="0" fontId="20" fillId="0" borderId="24" xfId="115" applyNumberFormat="1" applyFont="1" applyBorder="1" applyAlignment="1">
      <alignment vertical="center"/>
    </xf>
    <xf numFmtId="0" fontId="20" fillId="0" borderId="54" xfId="115" applyNumberFormat="1" applyFont="1" applyBorder="1" applyAlignment="1">
      <alignment vertical="center"/>
    </xf>
    <xf numFmtId="0" fontId="20" fillId="0" borderId="58" xfId="115" applyNumberFormat="1" applyFont="1" applyBorder="1" applyAlignment="1">
      <alignment horizontal="center" vertical="center"/>
    </xf>
    <xf numFmtId="0" fontId="20" fillId="4" borderId="15" xfId="115" applyNumberFormat="1" applyFont="1" applyFill="1" applyBorder="1" applyAlignment="1">
      <alignment vertical="center" wrapText="1"/>
    </xf>
    <xf numFmtId="164" fontId="20" fillId="0" borderId="24" xfId="20" applyFont="1" applyBorder="1" applyAlignment="1">
      <alignment vertical="center"/>
    </xf>
    <xf numFmtId="164" fontId="20" fillId="0" borderId="19" xfId="20" applyFont="1" applyBorder="1" applyAlignment="1">
      <alignment vertical="center"/>
    </xf>
    <xf numFmtId="169" fontId="21" fillId="0" borderId="0" xfId="62" applyNumberFormat="1" applyFont="1" applyAlignment="1">
      <alignment vertical="center"/>
    </xf>
    <xf numFmtId="0" fontId="20" fillId="4" borderId="15" xfId="115" applyNumberFormat="1" applyFont="1" applyFill="1" applyBorder="1" applyAlignment="1">
      <alignment horizontal="right" vertical="center" wrapText="1"/>
    </xf>
    <xf numFmtId="0" fontId="20" fillId="0" borderId="32" xfId="115" applyNumberFormat="1" applyFont="1" applyBorder="1" applyAlignment="1">
      <alignment vertical="center"/>
    </xf>
    <xf numFmtId="164" fontId="20" fillId="0" borderId="19" xfId="20" applyFont="1" applyBorder="1" applyAlignment="1">
      <alignment vertical="center" wrapText="1"/>
    </xf>
    <xf numFmtId="164" fontId="20" fillId="0" borderId="31" xfId="20" applyFont="1" applyBorder="1" applyAlignment="1">
      <alignment vertical="center"/>
    </xf>
    <xf numFmtId="0" fontId="20" fillId="0" borderId="59" xfId="115" applyNumberFormat="1" applyFont="1" applyBorder="1" applyAlignment="1">
      <alignment vertical="center"/>
    </xf>
    <xf numFmtId="0" fontId="20" fillId="0" borderId="15" xfId="115" applyNumberFormat="1" applyFont="1" applyBorder="1" applyAlignment="1">
      <alignment vertical="center" wrapText="1"/>
    </xf>
    <xf numFmtId="164" fontId="21" fillId="0" borderId="24" xfId="20" applyFont="1" applyBorder="1" applyAlignment="1">
      <alignment vertical="center"/>
    </xf>
    <xf numFmtId="0" fontId="21" fillId="0" borderId="54" xfId="115" applyNumberFormat="1" applyFont="1" applyBorder="1" applyAlignment="1">
      <alignment vertical="center"/>
    </xf>
    <xf numFmtId="169" fontId="21" fillId="3" borderId="0" xfId="62" applyNumberFormat="1" applyFont="1" applyFill="1" applyAlignment="1">
      <alignment vertical="center"/>
    </xf>
    <xf numFmtId="0" fontId="20" fillId="0" borderId="15" xfId="115" applyNumberFormat="1" applyFont="1" applyBorder="1" applyAlignment="1">
      <alignment vertical="center"/>
    </xf>
    <xf numFmtId="0" fontId="18" fillId="0" borderId="33" xfId="115" applyNumberFormat="1" applyFont="1" applyBorder="1" applyAlignment="1">
      <alignment horizontal="center" vertical="center" wrapText="1"/>
    </xf>
    <xf numFmtId="0" fontId="20" fillId="0" borderId="58" xfId="115" applyNumberFormat="1" applyFont="1" applyBorder="1" applyAlignment="1">
      <alignment horizontal="right" vertical="center"/>
    </xf>
    <xf numFmtId="0" fontId="20" fillId="4" borderId="15" xfId="115" applyNumberFormat="1" applyFont="1" applyFill="1" applyBorder="1" applyAlignment="1">
      <alignment vertical="center"/>
    </xf>
    <xf numFmtId="0" fontId="20" fillId="4" borderId="15" xfId="115" applyNumberFormat="1" applyFont="1" applyFill="1" applyBorder="1" applyAlignment="1">
      <alignment horizontal="right" vertical="center"/>
    </xf>
    <xf numFmtId="164" fontId="20" fillId="0" borderId="19" xfId="115" applyNumberFormat="1" applyFont="1" applyBorder="1" applyAlignment="1">
      <alignment vertical="center"/>
    </xf>
    <xf numFmtId="164" fontId="20" fillId="0" borderId="24" xfId="20" applyFont="1" applyBorder="1" applyAlignment="1">
      <alignment horizontal="center" vertical="center"/>
    </xf>
    <xf numFmtId="170" fontId="20" fillId="0" borderId="24" xfId="115" applyNumberFormat="1" applyFont="1" applyBorder="1" applyAlignment="1">
      <alignment vertical="center"/>
    </xf>
    <xf numFmtId="164" fontId="23" fillId="0" borderId="0" xfId="115" applyNumberFormat="1" applyFont="1" applyAlignment="1">
      <alignment horizontal="right"/>
    </xf>
    <xf numFmtId="164" fontId="20" fillId="0" borderId="0" xfId="115" applyNumberFormat="1" applyFont="1" applyAlignment="1">
      <alignment vertical="center"/>
    </xf>
    <xf numFmtId="0" fontId="20" fillId="0" borderId="60" xfId="115" applyNumberFormat="1" applyFont="1" applyBorder="1" applyAlignment="1">
      <alignment horizontal="right" vertical="center"/>
    </xf>
    <xf numFmtId="0" fontId="20" fillId="0" borderId="21" xfId="115" applyNumberFormat="1" applyFont="1" applyBorder="1" applyAlignment="1">
      <alignment vertical="center"/>
    </xf>
    <xf numFmtId="164" fontId="21" fillId="0" borderId="24" xfId="115" applyNumberFormat="1" applyFont="1" applyBorder="1" applyAlignment="1">
      <alignment vertical="center"/>
    </xf>
    <xf numFmtId="164" fontId="20" fillId="0" borderId="24" xfId="115" applyNumberFormat="1" applyFont="1" applyBorder="1" applyAlignment="1">
      <alignment vertical="center"/>
    </xf>
    <xf numFmtId="164" fontId="20" fillId="0" borderId="61" xfId="115" applyNumberFormat="1" applyFont="1" applyBorder="1" applyAlignment="1">
      <alignment vertical="center"/>
    </xf>
    <xf numFmtId="164" fontId="20" fillId="0" borderId="19" xfId="20" applyFont="1" applyBorder="1" applyAlignment="1">
      <alignment horizontal="center" vertical="center"/>
    </xf>
    <xf numFmtId="164" fontId="21" fillId="0" borderId="24" xfId="20" applyFont="1" applyBorder="1" applyAlignment="1">
      <alignment horizontal="right" vertical="center"/>
    </xf>
    <xf numFmtId="0" fontId="20" fillId="0" borderId="15" xfId="115" applyNumberFormat="1" applyFont="1" applyBorder="1" applyAlignment="1">
      <alignment horizontal="right" vertical="center"/>
    </xf>
    <xf numFmtId="170" fontId="20" fillId="0" borderId="24" xfId="20" applyNumberFormat="1" applyFont="1" applyBorder="1" applyAlignment="1">
      <alignment vertical="center"/>
    </xf>
    <xf numFmtId="170" fontId="20" fillId="0" borderId="19" xfId="20" applyNumberFormat="1" applyFont="1" applyBorder="1" applyAlignment="1">
      <alignment vertical="center"/>
    </xf>
    <xf numFmtId="164" fontId="20" fillId="2" borderId="19" xfId="20" applyFont="1" applyFill="1" applyBorder="1" applyAlignment="1">
      <alignment horizontal="center" vertical="center"/>
    </xf>
    <xf numFmtId="164" fontId="20" fillId="0" borderId="24" xfId="20" applyFont="1" applyBorder="1" applyAlignment="1">
      <alignment horizontal="left" vertical="center"/>
    </xf>
    <xf numFmtId="164" fontId="21" fillId="0" borderId="19" xfId="20" applyFont="1" applyBorder="1" applyAlignment="1">
      <alignment horizontal="center" vertical="center"/>
    </xf>
    <xf numFmtId="164" fontId="21" fillId="0" borderId="24" xfId="20" applyFont="1" applyBorder="1" applyAlignment="1">
      <alignment horizontal="center" vertical="center"/>
    </xf>
    <xf numFmtId="0" fontId="24" fillId="0" borderId="54" xfId="115" applyNumberFormat="1" applyFont="1" applyBorder="1" applyAlignment="1">
      <alignment vertical="center"/>
    </xf>
    <xf numFmtId="169" fontId="25" fillId="3" borderId="0" xfId="62" applyNumberFormat="1" applyFont="1" applyFill="1" applyAlignment="1">
      <alignment vertical="center"/>
    </xf>
    <xf numFmtId="0" fontId="24" fillId="0" borderId="0" xfId="115" applyNumberFormat="1" applyFont="1" applyAlignment="1">
      <alignment vertical="center"/>
    </xf>
    <xf numFmtId="0" fontId="26" fillId="4" borderId="15" xfId="115" applyNumberFormat="1" applyFont="1" applyFill="1" applyBorder="1" applyAlignment="1">
      <alignment horizontal="right" vertical="center"/>
    </xf>
    <xf numFmtId="0" fontId="26" fillId="0" borderId="0" xfId="115" applyNumberFormat="1" applyFont="1" applyAlignment="1">
      <alignment vertical="center"/>
    </xf>
    <xf numFmtId="164" fontId="20" fillId="0" borderId="61" xfId="20" applyFont="1" applyBorder="1" applyAlignment="1">
      <alignment vertical="center"/>
    </xf>
    <xf numFmtId="169" fontId="20" fillId="0" borderId="0" xfId="62" applyNumberFormat="1" applyFont="1" applyAlignment="1">
      <alignment vertical="center"/>
    </xf>
    <xf numFmtId="171" fontId="20" fillId="0" borderId="0" xfId="115" applyNumberFormat="1" applyFont="1" applyAlignment="1">
      <alignment vertical="center"/>
    </xf>
    <xf numFmtId="164" fontId="20" fillId="0" borderId="27" xfId="20" applyFont="1" applyBorder="1" applyAlignment="1">
      <alignment vertical="center"/>
    </xf>
    <xf numFmtId="164" fontId="20" fillId="0" borderId="0" xfId="20" applyFont="1" applyAlignment="1">
      <alignment vertical="center"/>
    </xf>
    <xf numFmtId="164" fontId="26" fillId="0" borderId="24" xfId="20" applyFont="1" applyBorder="1" applyAlignment="1">
      <alignment vertical="center"/>
    </xf>
    <xf numFmtId="0" fontId="26" fillId="0" borderId="15" xfId="115" applyNumberFormat="1" applyFont="1" applyBorder="1" applyAlignment="1">
      <alignment vertical="center"/>
    </xf>
    <xf numFmtId="0" fontId="24" fillId="0" borderId="58" xfId="115" applyNumberFormat="1" applyFont="1" applyBorder="1" applyAlignment="1">
      <alignment horizontal="right" vertical="center"/>
    </xf>
    <xf numFmtId="0" fontId="24" fillId="4" borderId="15" xfId="115" applyNumberFormat="1" applyFont="1" applyFill="1" applyBorder="1" applyAlignment="1">
      <alignment vertical="center"/>
    </xf>
    <xf numFmtId="164" fontId="24" fillId="0" borderId="0" xfId="115" applyNumberFormat="1" applyFont="1" applyAlignment="1">
      <alignment vertical="center"/>
    </xf>
    <xf numFmtId="164" fontId="25" fillId="0" borderId="0" xfId="115" applyNumberFormat="1" applyFont="1" applyAlignment="1">
      <alignment vertical="center"/>
    </xf>
    <xf numFmtId="0" fontId="25" fillId="0" borderId="0" xfId="115" applyNumberFormat="1" applyFont="1" applyAlignment="1">
      <alignment vertical="center"/>
    </xf>
    <xf numFmtId="0" fontId="27" fillId="0" borderId="0" xfId="115" applyNumberFormat="1" applyFont="1" applyAlignment="1">
      <alignment vertical="center"/>
    </xf>
    <xf numFmtId="0" fontId="27" fillId="0" borderId="0" xfId="115" applyNumberFormat="1" applyFont="1"/>
    <xf numFmtId="0" fontId="24" fillId="4" borderId="15" xfId="115" applyNumberFormat="1" applyFont="1" applyFill="1" applyBorder="1" applyAlignment="1">
      <alignment horizontal="right" vertical="center"/>
    </xf>
    <xf numFmtId="164" fontId="24" fillId="0" borderId="19" xfId="115" applyNumberFormat="1" applyFont="1" applyBorder="1" applyAlignment="1">
      <alignment vertical="center"/>
    </xf>
    <xf numFmtId="164" fontId="24" fillId="0" borderId="24" xfId="115" applyNumberFormat="1" applyFont="1" applyBorder="1" applyAlignment="1">
      <alignment vertical="center"/>
    </xf>
    <xf numFmtId="164" fontId="24" fillId="0" borderId="61" xfId="20" applyFont="1" applyBorder="1" applyAlignment="1">
      <alignment horizontal="right" vertical="center"/>
    </xf>
    <xf numFmtId="164" fontId="24" fillId="0" borderId="19" xfId="20" applyFont="1" applyBorder="1" applyAlignment="1">
      <alignment vertical="center"/>
    </xf>
    <xf numFmtId="164" fontId="24" fillId="0" borderId="24" xfId="20" applyFont="1" applyBorder="1" applyAlignment="1">
      <alignment vertical="center"/>
    </xf>
    <xf numFmtId="164" fontId="25" fillId="0" borderId="24" xfId="20" applyFont="1" applyBorder="1" applyAlignment="1">
      <alignment vertical="center"/>
    </xf>
    <xf numFmtId="0" fontId="25" fillId="0" borderId="54" xfId="115" applyNumberFormat="1" applyFont="1" applyBorder="1" applyAlignment="1">
      <alignment vertical="center"/>
    </xf>
    <xf numFmtId="164" fontId="20" fillId="0" borderId="27" xfId="20" applyFont="1" applyBorder="1" applyAlignment="1">
      <alignment horizontal="left" vertical="center" wrapText="1"/>
    </xf>
    <xf numFmtId="164" fontId="28" fillId="0" borderId="19" xfId="115" applyNumberFormat="1" applyFont="1" applyBorder="1" applyAlignment="1">
      <alignment horizontal="right"/>
    </xf>
    <xf numFmtId="164" fontId="20" fillId="0" borderId="62" xfId="20" applyFont="1" applyBorder="1" applyAlignment="1">
      <alignment vertical="center"/>
    </xf>
    <xf numFmtId="164" fontId="20" fillId="0" borderId="62" xfId="115" applyNumberFormat="1" applyFont="1" applyBorder="1" applyAlignment="1">
      <alignment vertical="center"/>
    </xf>
    <xf numFmtId="164" fontId="21" fillId="0" borderId="19" xfId="115" applyNumberFormat="1" applyFont="1" applyBorder="1" applyAlignment="1">
      <alignment vertical="center"/>
    </xf>
    <xf numFmtId="0" fontId="20" fillId="0" borderId="20" xfId="115" applyNumberFormat="1" applyFont="1" applyBorder="1" applyAlignment="1">
      <alignment vertical="center"/>
    </xf>
    <xf numFmtId="164" fontId="21" fillId="0" borderId="62" xfId="20" applyFont="1" applyBorder="1" applyAlignment="1">
      <alignment vertical="center"/>
    </xf>
    <xf numFmtId="0" fontId="20" fillId="4" borderId="25" xfId="115" applyNumberFormat="1" applyFont="1" applyFill="1" applyBorder="1" applyAlignment="1">
      <alignment vertical="center"/>
    </xf>
    <xf numFmtId="164" fontId="20" fillId="0" borderId="24" xfId="115" applyNumberFormat="1" applyFont="1" applyBorder="1" applyAlignment="1">
      <alignment horizontal="center" vertical="center"/>
    </xf>
    <xf numFmtId="164" fontId="20" fillId="3" borderId="27" xfId="20" applyFont="1" applyFill="1" applyBorder="1" applyAlignment="1">
      <alignment vertical="center"/>
    </xf>
    <xf numFmtId="164" fontId="20" fillId="3" borderId="19" xfId="115" applyNumberFormat="1" applyFont="1" applyFill="1" applyBorder="1" applyAlignment="1">
      <alignment vertical="center"/>
    </xf>
    <xf numFmtId="0" fontId="20" fillId="0" borderId="33" xfId="115" applyNumberFormat="1" applyFont="1" applyBorder="1" applyAlignment="1">
      <alignment horizontal="right" vertical="center"/>
    </xf>
    <xf numFmtId="0" fontId="20" fillId="5" borderId="33" xfId="115" applyNumberFormat="1" applyFont="1" applyFill="1" applyBorder="1" applyAlignment="1">
      <alignment horizontal="right" vertical="center"/>
    </xf>
    <xf numFmtId="164" fontId="20" fillId="5" borderId="19" xfId="115" applyNumberFormat="1" applyFont="1" applyFill="1" applyBorder="1" applyAlignment="1">
      <alignment horizontal="left" vertical="center" wrapText="1"/>
    </xf>
    <xf numFmtId="164" fontId="21" fillId="5" borderId="24" xfId="115" applyNumberFormat="1" applyFont="1" applyFill="1" applyBorder="1" applyAlignment="1">
      <alignment vertical="center"/>
    </xf>
    <xf numFmtId="0" fontId="20" fillId="5" borderId="54" xfId="115" applyNumberFormat="1" applyFont="1" applyFill="1" applyBorder="1" applyAlignment="1">
      <alignment vertical="center"/>
    </xf>
    <xf numFmtId="0" fontId="20" fillId="5" borderId="0" xfId="115" applyNumberFormat="1" applyFont="1" applyFill="1" applyAlignment="1">
      <alignment vertical="center"/>
    </xf>
    <xf numFmtId="0" fontId="18" fillId="5" borderId="0" xfId="115" applyNumberFormat="1" applyFont="1" applyFill="1" applyAlignment="1">
      <alignment vertical="center"/>
    </xf>
    <xf numFmtId="0" fontId="18" fillId="5" borderId="0" xfId="115" applyNumberFormat="1" applyFont="1" applyFill="1"/>
    <xf numFmtId="164" fontId="20" fillId="5" borderId="19" xfId="115" applyNumberFormat="1" applyFont="1" applyFill="1" applyBorder="1" applyAlignment="1">
      <alignment vertical="center"/>
    </xf>
    <xf numFmtId="172" fontId="20" fillId="5" borderId="19" xfId="115" applyNumberFormat="1" applyFont="1" applyFill="1" applyBorder="1" applyAlignment="1">
      <alignment vertical="center"/>
    </xf>
    <xf numFmtId="164" fontId="20" fillId="5" borderId="24" xfId="115" applyNumberFormat="1" applyFont="1" applyFill="1" applyBorder="1" applyAlignment="1">
      <alignment vertical="center"/>
    </xf>
    <xf numFmtId="164" fontId="20" fillId="5" borderId="19" xfId="20" applyFont="1" applyFill="1" applyBorder="1" applyAlignment="1">
      <alignment vertical="center"/>
    </xf>
    <xf numFmtId="164" fontId="20" fillId="5" borderId="24" xfId="20" applyFont="1" applyFill="1" applyBorder="1" applyAlignment="1">
      <alignment vertical="center"/>
    </xf>
    <xf numFmtId="164" fontId="21" fillId="5" borderId="24" xfId="20" applyFont="1" applyFill="1" applyBorder="1" applyAlignment="1">
      <alignment vertical="center"/>
    </xf>
    <xf numFmtId="0" fontId="20" fillId="5" borderId="17" xfId="115" applyNumberFormat="1" applyFont="1" applyFill="1" applyBorder="1" applyAlignment="1">
      <alignment horizontal="right" vertical="center"/>
    </xf>
    <xf numFmtId="172" fontId="20" fillId="3" borderId="19" xfId="115" applyNumberFormat="1" applyFont="1" applyFill="1" applyBorder="1" applyAlignment="1">
      <alignment vertical="center"/>
    </xf>
    <xf numFmtId="0" fontId="20" fillId="5" borderId="15" xfId="115" applyNumberFormat="1" applyFont="1" applyFill="1" applyBorder="1" applyAlignment="1">
      <alignment vertical="center" wrapText="1"/>
    </xf>
    <xf numFmtId="0" fontId="20" fillId="5" borderId="58" xfId="115" applyNumberFormat="1" applyFont="1" applyFill="1" applyBorder="1" applyAlignment="1">
      <alignment horizontal="center" vertical="center"/>
    </xf>
    <xf numFmtId="164" fontId="20" fillId="0" borderId="27" xfId="20" applyFont="1" applyBorder="1" applyAlignment="1">
      <alignment horizontal="left" vertical="center"/>
    </xf>
    <xf numFmtId="164" fontId="20" fillId="0" borderId="27" xfId="20" applyFont="1" applyBorder="1" applyAlignment="1">
      <alignment horizontal="right" vertical="center"/>
    </xf>
    <xf numFmtId="164" fontId="20" fillId="0" borderId="63" xfId="115" applyNumberFormat="1" applyFont="1" applyBorder="1"/>
    <xf numFmtId="0" fontId="20" fillId="0" borderId="14" xfId="115" applyNumberFormat="1" applyFont="1" applyBorder="1" applyAlignment="1">
      <alignment horizontal="center" vertical="center" wrapText="1"/>
    </xf>
    <xf numFmtId="0" fontId="20" fillId="0" borderId="33" xfId="115" applyNumberFormat="1" applyFont="1" applyBorder="1" applyAlignment="1">
      <alignment horizontal="center" vertical="center" wrapText="1"/>
    </xf>
    <xf numFmtId="0" fontId="20" fillId="0" borderId="33" xfId="115" applyNumberFormat="1" applyFont="1" applyBorder="1" applyAlignment="1">
      <alignment horizontal="right" vertical="center" wrapText="1"/>
    </xf>
    <xf numFmtId="0" fontId="20" fillId="0" borderId="19" xfId="115" applyNumberFormat="1" applyFont="1" applyBorder="1" applyAlignment="1">
      <alignment vertical="center" wrapText="1"/>
    </xf>
    <xf numFmtId="0" fontId="20" fillId="3" borderId="58" xfId="115" applyNumberFormat="1" applyFont="1" applyFill="1" applyBorder="1" applyAlignment="1">
      <alignment horizontal="right" vertical="center"/>
    </xf>
    <xf numFmtId="0" fontId="20" fillId="3" borderId="15" xfId="115" applyNumberFormat="1" applyFont="1" applyFill="1" applyBorder="1" applyAlignment="1">
      <alignment vertical="center"/>
    </xf>
    <xf numFmtId="164" fontId="20" fillId="3" borderId="19" xfId="20" applyFont="1" applyFill="1" applyBorder="1" applyAlignment="1">
      <alignment vertical="center"/>
    </xf>
    <xf numFmtId="164" fontId="20" fillId="3" borderId="24" xfId="20" applyFont="1" applyFill="1" applyBorder="1" applyAlignment="1">
      <alignment vertical="center"/>
    </xf>
    <xf numFmtId="0" fontId="20" fillId="3" borderId="54" xfId="115" applyNumberFormat="1" applyFont="1" applyFill="1" applyBorder="1" applyAlignment="1">
      <alignment vertical="center"/>
    </xf>
    <xf numFmtId="170" fontId="20" fillId="3" borderId="19" xfId="20" applyNumberFormat="1" applyFont="1" applyFill="1" applyBorder="1" applyAlignment="1">
      <alignment vertical="center"/>
    </xf>
    <xf numFmtId="173" fontId="20" fillId="3" borderId="24" xfId="62" applyNumberFormat="1" applyFont="1" applyFill="1" applyBorder="1" applyAlignment="1">
      <alignment vertical="center"/>
    </xf>
    <xf numFmtId="165" fontId="21" fillId="3" borderId="0" xfId="62" applyNumberFormat="1" applyFont="1" applyFill="1" applyAlignment="1">
      <alignment vertical="center"/>
    </xf>
    <xf numFmtId="0" fontId="20" fillId="0" borderId="0" xfId="115" applyNumberFormat="1" applyFont="1" applyAlignment="1">
      <alignment horizontal="center" vertical="center"/>
    </xf>
    <xf numFmtId="0" fontId="18" fillId="0" borderId="0" xfId="115" applyNumberFormat="1" applyFont="1" applyAlignment="1">
      <alignment horizontal="center" vertical="center"/>
    </xf>
    <xf numFmtId="0" fontId="18" fillId="0" borderId="0" xfId="115" applyNumberFormat="1" applyFont="1" applyAlignment="1">
      <alignment horizontal="center"/>
    </xf>
    <xf numFmtId="0" fontId="20" fillId="0" borderId="64" xfId="115" applyNumberFormat="1" applyFont="1" applyBorder="1" applyAlignment="1">
      <alignment horizontal="center" vertical="center"/>
    </xf>
    <xf numFmtId="0" fontId="20" fillId="0" borderId="65" xfId="115" applyNumberFormat="1" applyFont="1" applyBorder="1" applyAlignment="1">
      <alignment horizontal="center" vertical="center"/>
    </xf>
    <xf numFmtId="0" fontId="18" fillId="0" borderId="65" xfId="115" applyNumberFormat="1" applyFont="1" applyBorder="1" applyAlignment="1">
      <alignment horizontal="center" vertical="center"/>
    </xf>
    <xf numFmtId="0" fontId="20" fillId="0" borderId="66" xfId="115" applyNumberFormat="1" applyFont="1" applyBorder="1" applyAlignment="1">
      <alignment horizontal="center" vertical="center"/>
    </xf>
    <xf numFmtId="0" fontId="18" fillId="0" borderId="67" xfId="115" applyNumberFormat="1" applyFont="1" applyBorder="1" applyAlignment="1">
      <alignment horizontal="center"/>
    </xf>
    <xf numFmtId="173" fontId="20" fillId="3" borderId="61" xfId="62" applyNumberFormat="1" applyFont="1" applyFill="1" applyBorder="1" applyAlignment="1">
      <alignment vertical="center"/>
    </xf>
    <xf numFmtId="164" fontId="21" fillId="3" borderId="24" xfId="20" applyFont="1" applyFill="1" applyBorder="1" applyAlignment="1">
      <alignment vertical="center"/>
    </xf>
    <xf numFmtId="0" fontId="21" fillId="3" borderId="54" xfId="115" applyNumberFormat="1" applyFont="1" applyFill="1" applyBorder="1" applyAlignment="1">
      <alignment vertical="center"/>
    </xf>
    <xf numFmtId="0" fontId="20" fillId="6" borderId="58" xfId="115" applyNumberFormat="1" applyFont="1" applyFill="1" applyBorder="1" applyAlignment="1">
      <alignment horizontal="right" vertical="center"/>
    </xf>
    <xf numFmtId="0" fontId="20" fillId="6" borderId="15" xfId="115" applyNumberFormat="1" applyFont="1" applyFill="1" applyBorder="1" applyAlignment="1">
      <alignment vertical="center"/>
    </xf>
    <xf numFmtId="164" fontId="20" fillId="6" borderId="19" xfId="20" applyFont="1" applyFill="1" applyBorder="1" applyAlignment="1">
      <alignment vertical="center"/>
    </xf>
    <xf numFmtId="170" fontId="20" fillId="6" borderId="19" xfId="20" applyNumberFormat="1" applyFont="1" applyFill="1" applyBorder="1" applyAlignment="1">
      <alignment vertical="center"/>
    </xf>
    <xf numFmtId="164" fontId="20" fillId="6" borderId="24" xfId="20" applyFont="1" applyFill="1" applyBorder="1" applyAlignment="1">
      <alignment vertical="center"/>
    </xf>
    <xf numFmtId="0" fontId="20" fillId="6" borderId="54" xfId="115" applyNumberFormat="1" applyFont="1" applyFill="1" applyBorder="1" applyAlignment="1">
      <alignment vertical="center"/>
    </xf>
    <xf numFmtId="0" fontId="21" fillId="6" borderId="0" xfId="115" applyNumberFormat="1" applyFont="1" applyFill="1" applyAlignment="1">
      <alignment vertical="center"/>
    </xf>
    <xf numFmtId="0" fontId="20" fillId="6" borderId="58" xfId="115" applyNumberFormat="1" applyFont="1" applyFill="1" applyBorder="1" applyAlignment="1">
      <alignment horizontal="center" vertical="center"/>
    </xf>
    <xf numFmtId="164" fontId="20" fillId="6" borderId="19" xfId="20" applyFont="1" applyFill="1" applyBorder="1" applyAlignment="1">
      <alignment horizontal="center" vertical="center"/>
    </xf>
    <xf numFmtId="164" fontId="20" fillId="6" borderId="24" xfId="20" applyFont="1" applyFill="1" applyBorder="1" applyAlignment="1">
      <alignment horizontal="center" vertical="center"/>
    </xf>
    <xf numFmtId="174" fontId="20" fillId="0" borderId="0" xfId="20" applyNumberFormat="1" applyFont="1" applyAlignment="1">
      <alignment horizontal="center" vertical="center"/>
    </xf>
    <xf numFmtId="0" fontId="20" fillId="6" borderId="15" xfId="115" applyNumberFormat="1" applyFont="1" applyFill="1" applyBorder="1" applyAlignment="1">
      <alignment horizontal="right" vertical="center"/>
    </xf>
    <xf numFmtId="170" fontId="20" fillId="6" borderId="24" xfId="20" applyNumberFormat="1" applyFont="1" applyFill="1" applyBorder="1" applyAlignment="1">
      <alignment vertical="center"/>
    </xf>
    <xf numFmtId="172" fontId="20" fillId="6" borderId="24" xfId="20" applyNumberFormat="1" applyFont="1" applyFill="1" applyBorder="1" applyAlignment="1">
      <alignment vertical="center"/>
    </xf>
    <xf numFmtId="0" fontId="20" fillId="0" borderId="68" xfId="115" applyNumberFormat="1" applyFont="1" applyBorder="1" applyAlignment="1">
      <alignment horizontal="center" vertical="center"/>
    </xf>
    <xf numFmtId="164" fontId="20" fillId="0" borderId="0" xfId="20" applyFont="1" applyAlignment="1">
      <alignment horizontal="center" vertical="center"/>
    </xf>
    <xf numFmtId="169" fontId="21" fillId="6" borderId="0" xfId="62" applyNumberFormat="1" applyFont="1" applyFill="1" applyAlignment="1">
      <alignment vertical="center"/>
    </xf>
    <xf numFmtId="164" fontId="20" fillId="6" borderId="27" xfId="20" applyFont="1" applyFill="1" applyBorder="1" applyAlignment="1">
      <alignment vertical="center"/>
    </xf>
    <xf numFmtId="164" fontId="20" fillId="6" borderId="61" xfId="20" applyFont="1" applyFill="1" applyBorder="1" applyAlignment="1">
      <alignment vertical="center"/>
    </xf>
    <xf numFmtId="164" fontId="21" fillId="6" borderId="24" xfId="20" applyFont="1" applyFill="1" applyBorder="1" applyAlignment="1">
      <alignment vertical="center"/>
    </xf>
    <xf numFmtId="0" fontId="21" fillId="6" borderId="54" xfId="115" applyNumberFormat="1" applyFont="1" applyFill="1" applyBorder="1" applyAlignment="1">
      <alignment vertical="center"/>
    </xf>
    <xf numFmtId="0" fontId="20" fillId="7" borderId="58" xfId="115" applyNumberFormat="1" applyFont="1" applyFill="1" applyBorder="1" applyAlignment="1">
      <alignment horizontal="right" vertical="center"/>
    </xf>
    <xf numFmtId="0" fontId="20" fillId="7" borderId="15" xfId="115" applyNumberFormat="1" applyFont="1" applyFill="1" applyBorder="1" applyAlignment="1">
      <alignment vertical="center"/>
    </xf>
    <xf numFmtId="164" fontId="20" fillId="7" borderId="19" xfId="20" applyFont="1" applyFill="1" applyBorder="1" applyAlignment="1">
      <alignment vertical="center"/>
    </xf>
    <xf numFmtId="170" fontId="20" fillId="7" borderId="19" xfId="20" applyNumberFormat="1" applyFont="1" applyFill="1" applyBorder="1" applyAlignment="1">
      <alignment vertical="center"/>
    </xf>
    <xf numFmtId="164" fontId="20" fillId="7" borderId="24" xfId="20" applyFont="1" applyFill="1" applyBorder="1" applyAlignment="1">
      <alignment vertical="center"/>
    </xf>
    <xf numFmtId="0" fontId="20" fillId="7" borderId="54" xfId="115" applyNumberFormat="1" applyFont="1" applyFill="1" applyBorder="1" applyAlignment="1">
      <alignment vertical="center"/>
    </xf>
    <xf numFmtId="0" fontId="21" fillId="7" borderId="0" xfId="115" applyNumberFormat="1" applyFont="1" applyFill="1" applyAlignment="1">
      <alignment vertical="center"/>
    </xf>
    <xf numFmtId="0" fontId="20" fillId="7" borderId="58" xfId="115" applyNumberFormat="1" applyFont="1" applyFill="1" applyBorder="1" applyAlignment="1">
      <alignment horizontal="center" vertical="center"/>
    </xf>
    <xf numFmtId="164" fontId="20" fillId="7" borderId="19" xfId="20" applyFont="1" applyFill="1" applyBorder="1" applyAlignment="1">
      <alignment horizontal="center" vertical="center"/>
    </xf>
    <xf numFmtId="164" fontId="20" fillId="7" borderId="24" xfId="20" applyFont="1" applyFill="1" applyBorder="1" applyAlignment="1">
      <alignment horizontal="center" vertical="center"/>
    </xf>
    <xf numFmtId="0" fontId="20" fillId="7" borderId="15" xfId="115" applyNumberFormat="1" applyFont="1" applyFill="1" applyBorder="1" applyAlignment="1">
      <alignment horizontal="right" vertical="center"/>
    </xf>
    <xf numFmtId="172" fontId="20" fillId="7" borderId="24" xfId="20" applyNumberFormat="1" applyFont="1" applyFill="1" applyBorder="1" applyAlignment="1">
      <alignment vertical="center"/>
    </xf>
    <xf numFmtId="0" fontId="20" fillId="0" borderId="69" xfId="115" applyNumberFormat="1" applyFont="1" applyBorder="1" applyAlignment="1">
      <alignment vertical="center"/>
    </xf>
    <xf numFmtId="0" fontId="20" fillId="0" borderId="70" xfId="115" applyNumberFormat="1" applyFont="1" applyBorder="1" applyAlignment="1">
      <alignment vertical="center"/>
    </xf>
    <xf numFmtId="0" fontId="20" fillId="0" borderId="71" xfId="115" applyNumberFormat="1" applyFont="1" applyBorder="1" applyAlignment="1">
      <alignment vertical="center"/>
    </xf>
    <xf numFmtId="0" fontId="20" fillId="0" borderId="72" xfId="115" applyNumberFormat="1" applyFont="1" applyBorder="1" applyAlignment="1">
      <alignment vertical="center"/>
    </xf>
    <xf numFmtId="0" fontId="20" fillId="0" borderId="73" xfId="115" applyNumberFormat="1" applyFont="1" applyBorder="1" applyAlignment="1">
      <alignment vertical="center"/>
    </xf>
    <xf numFmtId="0" fontId="18" fillId="0" borderId="73" xfId="115" applyNumberFormat="1" applyFont="1" applyBorder="1" applyAlignment="1">
      <alignment vertical="center"/>
    </xf>
    <xf numFmtId="0" fontId="20" fillId="0" borderId="74" xfId="115" applyNumberFormat="1" applyFont="1" applyBorder="1" applyAlignment="1">
      <alignment vertical="center"/>
    </xf>
    <xf numFmtId="164" fontId="21" fillId="7" borderId="24" xfId="20" applyFont="1" applyFill="1" applyBorder="1" applyAlignment="1">
      <alignment vertical="center"/>
    </xf>
    <xf numFmtId="0" fontId="21" fillId="7" borderId="54" xfId="115" applyNumberFormat="1" applyFont="1" applyFill="1" applyBorder="1" applyAlignment="1">
      <alignment vertical="center"/>
    </xf>
    <xf numFmtId="169" fontId="21" fillId="7" borderId="0" xfId="62" applyNumberFormat="1" applyFont="1" applyFill="1" applyAlignment="1">
      <alignment vertical="center"/>
    </xf>
    <xf numFmtId="0" fontId="18" fillId="0" borderId="19" xfId="115" applyNumberFormat="1" applyFont="1" applyBorder="1" applyAlignment="1">
      <alignment vertical="center" wrapText="1"/>
    </xf>
    <xf numFmtId="164" fontId="20" fillId="0" borderId="75" xfId="20" applyFont="1" applyBorder="1" applyAlignment="1">
      <alignment vertical="center"/>
    </xf>
    <xf numFmtId="0" fontId="20" fillId="0" borderId="19" xfId="115" applyNumberFormat="1" applyFont="1" applyBorder="1" applyAlignment="1">
      <alignment horizontal="right" vertical="center"/>
    </xf>
    <xf numFmtId="164" fontId="18" fillId="0" borderId="19" xfId="115" applyNumberFormat="1" applyFont="1" applyBorder="1"/>
    <xf numFmtId="169" fontId="18" fillId="0" borderId="19" xfId="62" applyNumberFormat="1" applyFont="1" applyBorder="1" applyAlignment="1">
      <alignment horizontal="center"/>
    </xf>
    <xf numFmtId="171" fontId="18" fillId="0" borderId="19" xfId="115" applyNumberFormat="1" applyFont="1" applyBorder="1"/>
    <xf numFmtId="2" fontId="18" fillId="0" borderId="19" xfId="115" applyNumberFormat="1" applyFont="1" applyBorder="1"/>
    <xf numFmtId="169" fontId="18" fillId="0" borderId="19" xfId="62" applyNumberFormat="1" applyFont="1" applyBorder="1"/>
    <xf numFmtId="164" fontId="21" fillId="7" borderId="75" xfId="20" applyFont="1" applyFill="1" applyBorder="1" applyAlignment="1">
      <alignment vertical="center"/>
    </xf>
    <xf numFmtId="0" fontId="20" fillId="0" borderId="30" xfId="115" applyNumberFormat="1" applyFont="1" applyBorder="1" applyAlignment="1">
      <alignment horizontal="center" vertical="center"/>
    </xf>
    <xf numFmtId="0" fontId="20" fillId="0" borderId="29" xfId="115" applyNumberFormat="1" applyFont="1" applyBorder="1" applyAlignment="1">
      <alignment vertical="center" wrapText="1"/>
    </xf>
    <xf numFmtId="0" fontId="20" fillId="0" borderId="76" xfId="115" applyNumberFormat="1" applyFont="1" applyBorder="1" applyAlignment="1">
      <alignment horizontal="right" vertical="center"/>
    </xf>
    <xf numFmtId="0" fontId="20" fillId="0" borderId="77" xfId="115" applyNumberFormat="1" applyFont="1" applyBorder="1" applyAlignment="1">
      <alignment vertical="center"/>
    </xf>
    <xf numFmtId="164" fontId="20" fillId="0" borderId="78" xfId="20" applyFont="1" applyBorder="1" applyAlignment="1">
      <alignment vertical="center"/>
    </xf>
    <xf numFmtId="0" fontId="20" fillId="0" borderId="79" xfId="115" applyNumberFormat="1" applyFont="1" applyBorder="1" applyAlignment="1">
      <alignment vertical="center"/>
    </xf>
    <xf numFmtId="0" fontId="20" fillId="0" borderId="21" xfId="115" applyNumberFormat="1" applyFont="1" applyBorder="1" applyAlignment="1">
      <alignment horizontal="left" vertical="center"/>
    </xf>
    <xf numFmtId="164" fontId="20" fillId="0" borderId="24" xfId="20" applyFont="1" applyBorder="1" applyAlignment="1">
      <alignment horizontal="left" vertical="center" wrapText="1"/>
    </xf>
    <xf numFmtId="0" fontId="20" fillId="0" borderId="80" xfId="115" applyNumberFormat="1" applyFont="1" applyBorder="1" applyAlignment="1">
      <alignment horizontal="right" vertical="center"/>
    </xf>
    <xf numFmtId="0" fontId="20" fillId="0" borderId="25" xfId="115" applyNumberFormat="1" applyFont="1" applyBorder="1" applyAlignment="1">
      <alignment vertical="center"/>
    </xf>
    <xf numFmtId="164" fontId="20" fillId="0" borderId="19" xfId="9" applyFont="1" applyBorder="1" applyAlignment="1">
      <alignment vertical="center"/>
    </xf>
    <xf numFmtId="170" fontId="20" fillId="0" borderId="0" xfId="20" applyNumberFormat="1" applyFont="1" applyAlignment="1">
      <alignment vertical="center"/>
    </xf>
    <xf numFmtId="164" fontId="20" fillId="0" borderId="24" xfId="33" applyFont="1" applyBorder="1" applyAlignment="1">
      <alignment vertical="center"/>
    </xf>
    <xf numFmtId="164" fontId="20" fillId="0" borderId="61" xfId="33" applyFont="1" applyBorder="1" applyAlignment="1">
      <alignment vertical="center"/>
    </xf>
    <xf numFmtId="164" fontId="29" fillId="0" borderId="19" xfId="20" applyFont="1" applyBorder="1" applyAlignment="1">
      <alignment horizontal="center" vertical="center"/>
    </xf>
    <xf numFmtId="164" fontId="29" fillId="0" borderId="24" xfId="20" applyFont="1" applyBorder="1" applyAlignment="1">
      <alignment horizontal="center" vertical="center"/>
    </xf>
    <xf numFmtId="164" fontId="29" fillId="0" borderId="24" xfId="20" applyFont="1" applyBorder="1" applyAlignment="1">
      <alignment vertical="center"/>
    </xf>
    <xf numFmtId="0" fontId="26" fillId="0" borderId="54" xfId="115" applyNumberFormat="1" applyFont="1" applyBorder="1" applyAlignment="1">
      <alignment vertical="center"/>
    </xf>
    <xf numFmtId="169" fontId="29" fillId="3" borderId="0" xfId="62" applyNumberFormat="1" applyFont="1" applyFill="1" applyAlignment="1">
      <alignment vertical="center"/>
    </xf>
    <xf numFmtId="0" fontId="26" fillId="0" borderId="15" xfId="115" applyNumberFormat="1" applyFont="1" applyBorder="1" applyAlignment="1">
      <alignment horizontal="right" vertical="center"/>
    </xf>
    <xf numFmtId="164" fontId="26" fillId="0" borderId="19" xfId="33" applyFont="1" applyBorder="1" applyAlignment="1">
      <alignment vertical="center"/>
    </xf>
    <xf numFmtId="164" fontId="26" fillId="0" borderId="24" xfId="33" applyFont="1" applyBorder="1" applyAlignment="1">
      <alignment vertical="center"/>
    </xf>
    <xf numFmtId="164" fontId="26" fillId="0" borderId="31" xfId="33" applyFont="1" applyBorder="1" applyAlignment="1">
      <alignment vertical="center"/>
    </xf>
    <xf numFmtId="164" fontId="26" fillId="0" borderId="19" xfId="20" applyFont="1" applyBorder="1" applyAlignment="1">
      <alignment vertical="center"/>
    </xf>
    <xf numFmtId="0" fontId="29" fillId="0" borderId="54" xfId="115" applyNumberFormat="1" applyFont="1" applyBorder="1" applyAlignment="1">
      <alignment vertical="center"/>
    </xf>
    <xf numFmtId="164" fontId="26" fillId="0" borderId="19" xfId="115" applyNumberFormat="1" applyFont="1" applyBorder="1" applyAlignment="1">
      <alignment vertical="center"/>
    </xf>
    <xf numFmtId="164" fontId="26" fillId="0" borderId="61" xfId="33" applyFont="1" applyBorder="1" applyAlignment="1">
      <alignment vertical="center"/>
    </xf>
    <xf numFmtId="164" fontId="26" fillId="0" borderId="27" xfId="33" applyFont="1" applyBorder="1" applyAlignment="1">
      <alignment vertical="center"/>
    </xf>
    <xf numFmtId="0" fontId="20" fillId="8" borderId="58" xfId="115" applyNumberFormat="1" applyFont="1" applyFill="1" applyBorder="1" applyAlignment="1">
      <alignment horizontal="center" vertical="center"/>
    </xf>
    <xf numFmtId="0" fontId="20" fillId="8" borderId="15" xfId="115" applyNumberFormat="1" applyFont="1" applyFill="1" applyBorder="1" applyAlignment="1">
      <alignment vertical="center"/>
    </xf>
    <xf numFmtId="164" fontId="20" fillId="0" borderId="24" xfId="96" applyNumberFormat="1" applyFont="1" applyBorder="1" applyAlignment="1">
      <alignment vertical="center"/>
    </xf>
    <xf numFmtId="164" fontId="26" fillId="0" borderId="15" xfId="115" applyNumberFormat="1" applyFont="1" applyBorder="1" applyAlignment="1">
      <alignment horizontal="right" vertical="center"/>
    </xf>
    <xf numFmtId="0" fontId="24" fillId="0" borderId="15" xfId="115" applyNumberFormat="1" applyFont="1" applyBorder="1" applyAlignment="1">
      <alignment vertical="center"/>
    </xf>
    <xf numFmtId="164" fontId="20" fillId="0" borderId="19" xfId="115" applyNumberFormat="1" applyFont="1" applyBorder="1" applyAlignment="1">
      <alignment horizontal="left" vertical="center" wrapText="1"/>
    </xf>
    <xf numFmtId="172" fontId="20" fillId="0" borderId="19" xfId="115" applyNumberFormat="1" applyFont="1" applyBorder="1" applyAlignment="1">
      <alignment vertical="center"/>
    </xf>
    <xf numFmtId="164" fontId="20" fillId="0" borderId="63" xfId="20" applyFont="1" applyBorder="1" applyAlignment="1">
      <alignment vertical="center"/>
    </xf>
    <xf numFmtId="164" fontId="18" fillId="0" borderId="0" xfId="9" applyFont="1"/>
    <xf numFmtId="164" fontId="19" fillId="0" borderId="0" xfId="9" applyFont="1"/>
    <xf numFmtId="171" fontId="18" fillId="0" borderId="0" xfId="115" applyNumberFormat="1" applyFont="1"/>
    <xf numFmtId="164" fontId="18" fillId="0" borderId="63" xfId="115" applyNumberFormat="1" applyFont="1" applyBorder="1"/>
    <xf numFmtId="0" fontId="31" fillId="0" borderId="15" xfId="0" applyFont="1" applyBorder="1" applyAlignment="1">
      <alignment vertical="center"/>
    </xf>
    <xf numFmtId="0" fontId="14" fillId="0" borderId="19" xfId="0" applyFont="1" applyBorder="1" applyAlignment="1">
      <alignment vertical="center"/>
    </xf>
    <xf numFmtId="0" fontId="10" fillId="0" borderId="19" xfId="0" applyFont="1" applyBorder="1" applyAlignment="1">
      <alignment vertical="center"/>
    </xf>
    <xf numFmtId="0" fontId="14" fillId="0" borderId="33" xfId="0" applyFont="1" applyBorder="1" applyAlignment="1">
      <alignment horizontal="center" vertical="center"/>
    </xf>
    <xf numFmtId="0" fontId="14" fillId="0" borderId="21" xfId="0" applyFont="1" applyBorder="1" applyAlignment="1">
      <alignment vertical="center"/>
    </xf>
    <xf numFmtId="164" fontId="14" fillId="0" borderId="24" xfId="9" applyFont="1" applyBorder="1" applyAlignment="1">
      <alignment vertical="center"/>
    </xf>
    <xf numFmtId="164" fontId="14" fillId="0" borderId="19" xfId="9" applyFont="1" applyBorder="1" applyAlignment="1">
      <alignment vertical="center"/>
    </xf>
    <xf numFmtId="0" fontId="14" fillId="0" borderId="33" xfId="0" applyFont="1" applyBorder="1" applyAlignment="1">
      <alignment horizontal="right" vertical="center"/>
    </xf>
    <xf numFmtId="164" fontId="14" fillId="0" borderId="19" xfId="9" applyFont="1" applyBorder="1" applyAlignment="1">
      <alignment horizontal="center" vertical="center"/>
    </xf>
    <xf numFmtId="168" fontId="14" fillId="0" borderId="19" xfId="0" applyNumberFormat="1" applyFont="1" applyBorder="1" applyAlignment="1">
      <alignment vertical="center"/>
    </xf>
    <xf numFmtId="0" fontId="14" fillId="0" borderId="19" xfId="0" applyFont="1" applyBorder="1" applyAlignment="1">
      <alignment horizontal="center" vertical="center"/>
    </xf>
    <xf numFmtId="0" fontId="14" fillId="0" borderId="15" xfId="0" applyFont="1" applyBorder="1" applyAlignment="1">
      <alignment horizontal="left" vertical="center"/>
    </xf>
    <xf numFmtId="0" fontId="14" fillId="0" borderId="15" xfId="0" applyFont="1" applyBorder="1" applyAlignment="1">
      <alignment vertical="center"/>
    </xf>
    <xf numFmtId="0" fontId="14" fillId="0" borderId="57" xfId="0" applyFont="1" applyBorder="1" applyAlignment="1">
      <alignment horizontal="right" vertical="center"/>
    </xf>
    <xf numFmtId="164" fontId="14" fillId="0" borderId="19" xfId="18" applyFont="1" applyBorder="1" applyAlignment="1">
      <alignment vertical="center"/>
    </xf>
    <xf numFmtId="0" fontId="32" fillId="0" borderId="0" xfId="91" applyFont="1"/>
    <xf numFmtId="168" fontId="14" fillId="0" borderId="15" xfId="0" applyNumberFormat="1" applyFont="1" applyBorder="1" applyAlignment="1">
      <alignment vertical="center"/>
    </xf>
    <xf numFmtId="0" fontId="14" fillId="0" borderId="15" xfId="0" applyFont="1" applyBorder="1" applyAlignment="1">
      <alignment horizontal="center" vertical="center"/>
    </xf>
    <xf numFmtId="0" fontId="18" fillId="0" borderId="0" xfId="87" applyFont="1" applyAlignment="1">
      <alignment wrapText="1"/>
    </xf>
    <xf numFmtId="0" fontId="32" fillId="0" borderId="0" xfId="96" applyFont="1"/>
    <xf numFmtId="0" fontId="14" fillId="0" borderId="15" xfId="96" applyFont="1" applyBorder="1" applyAlignment="1">
      <alignment vertical="center"/>
    </xf>
    <xf numFmtId="169" fontId="14" fillId="0" borderId="15" xfId="87" applyNumberFormat="1" applyFont="1" applyBorder="1" applyAlignment="1">
      <alignment vertical="center"/>
    </xf>
    <xf numFmtId="0" fontId="14" fillId="0" borderId="33" xfId="96" applyFont="1" applyBorder="1" applyAlignment="1">
      <alignment horizontal="right" vertical="center"/>
    </xf>
    <xf numFmtId="0" fontId="14" fillId="0" borderId="15" xfId="108" applyNumberFormat="1" applyFont="1" applyBorder="1" applyAlignment="1">
      <alignment vertical="center"/>
    </xf>
    <xf numFmtId="0" fontId="14" fillId="0" borderId="21" xfId="96" applyFont="1" applyBorder="1" applyAlignment="1">
      <alignment vertical="center"/>
    </xf>
    <xf numFmtId="0" fontId="31" fillId="0" borderId="57" xfId="91" applyFont="1" applyBorder="1" applyAlignment="1">
      <alignment horizontal="center" vertical="center"/>
    </xf>
    <xf numFmtId="0" fontId="31" fillId="0" borderId="21" xfId="91" applyFont="1" applyBorder="1" applyAlignment="1">
      <alignment vertical="center"/>
    </xf>
    <xf numFmtId="164" fontId="14" fillId="0" borderId="24" xfId="29" applyFont="1" applyBorder="1" applyAlignment="1">
      <alignment vertical="center"/>
    </xf>
    <xf numFmtId="168" fontId="31" fillId="0" borderId="21" xfId="0" applyNumberFormat="1" applyFont="1" applyBorder="1" applyAlignment="1">
      <alignment vertical="center"/>
    </xf>
    <xf numFmtId="168" fontId="14" fillId="0" borderId="24" xfId="0" applyNumberFormat="1" applyFont="1" applyBorder="1" applyAlignment="1">
      <alignment vertical="center"/>
    </xf>
    <xf numFmtId="0" fontId="31" fillId="0" borderId="33" xfId="91" applyFont="1" applyBorder="1" applyAlignment="1">
      <alignment horizontal="center" vertical="center"/>
    </xf>
    <xf numFmtId="0" fontId="31" fillId="0" borderId="15" xfId="91" applyFont="1" applyBorder="1" applyAlignment="1">
      <alignment vertical="center"/>
    </xf>
    <xf numFmtId="164" fontId="14" fillId="0" borderId="19" xfId="29" applyFont="1" applyBorder="1" applyAlignment="1">
      <alignment vertical="center"/>
    </xf>
    <xf numFmtId="0" fontId="14" fillId="0" borderId="19" xfId="91" applyFont="1" applyBorder="1" applyAlignment="1">
      <alignment horizontal="center" vertical="center"/>
    </xf>
    <xf numFmtId="0" fontId="14" fillId="0" borderId="33" xfId="91" applyFont="1" applyBorder="1" applyAlignment="1">
      <alignment horizontal="center" vertical="center"/>
    </xf>
    <xf numFmtId="0" fontId="14" fillId="0" borderId="15" xfId="91" applyFont="1" applyBorder="1" applyAlignment="1">
      <alignment vertical="center"/>
    </xf>
    <xf numFmtId="0" fontId="14" fillId="0" borderId="17" xfId="91" applyFont="1" applyBorder="1" applyAlignment="1">
      <alignment vertical="center"/>
    </xf>
    <xf numFmtId="0" fontId="14" fillId="0" borderId="33" xfId="109" applyNumberFormat="1" applyFont="1" applyBorder="1" applyAlignment="1">
      <alignment horizontal="center" vertical="center"/>
    </xf>
    <xf numFmtId="0" fontId="14" fillId="0" borderId="15" xfId="109" applyNumberFormat="1" applyFont="1" applyBorder="1" applyAlignment="1">
      <alignment vertical="center"/>
    </xf>
    <xf numFmtId="0" fontId="14" fillId="0" borderId="33" xfId="91" applyFont="1" applyBorder="1" applyAlignment="1">
      <alignment horizontal="right" vertical="center"/>
    </xf>
    <xf numFmtId="0" fontId="14" fillId="0" borderId="21" xfId="91" applyFont="1" applyBorder="1" applyAlignment="1">
      <alignment vertical="center"/>
    </xf>
    <xf numFmtId="0" fontId="14" fillId="0" borderId="15" xfId="79" applyFont="1" applyBorder="1" applyAlignment="1">
      <alignment vertical="center"/>
    </xf>
    <xf numFmtId="0" fontId="14" fillId="0" borderId="15" xfId="85" applyFont="1" applyBorder="1" applyAlignment="1">
      <alignment vertical="center"/>
    </xf>
    <xf numFmtId="0" fontId="14" fillId="0" borderId="19" xfId="91" applyFont="1" applyBorder="1" applyAlignment="1">
      <alignment vertical="center"/>
    </xf>
    <xf numFmtId="0" fontId="14" fillId="0" borderId="19" xfId="79" applyFont="1" applyBorder="1" applyAlignment="1">
      <alignment horizontal="center" vertical="center"/>
    </xf>
    <xf numFmtId="168" fontId="14" fillId="0" borderId="21" xfId="0" applyNumberFormat="1" applyFont="1" applyBorder="1" applyAlignment="1">
      <alignment vertical="center"/>
    </xf>
    <xf numFmtId="0" fontId="14" fillId="0" borderId="19" xfId="87" applyFont="1" applyBorder="1" applyAlignment="1">
      <alignment horizontal="center" vertical="center"/>
    </xf>
    <xf numFmtId="0" fontId="14" fillId="0" borderId="25" xfId="91" applyFont="1" applyBorder="1" applyAlignment="1">
      <alignment vertical="center"/>
    </xf>
    <xf numFmtId="164" fontId="14" fillId="0" borderId="27" xfId="29" applyFont="1" applyBorder="1" applyAlignment="1">
      <alignment vertical="center"/>
    </xf>
    <xf numFmtId="0" fontId="14" fillId="0" borderId="62" xfId="91" applyFont="1" applyBorder="1" applyAlignment="1">
      <alignment horizontal="center" vertical="center"/>
    </xf>
    <xf numFmtId="0" fontId="14" fillId="0" borderId="15" xfId="99" applyFont="1" applyBorder="1" applyAlignment="1">
      <alignment vertical="center"/>
    </xf>
    <xf numFmtId="0" fontId="14" fillId="0" borderId="19" xfId="102" applyFont="1" applyBorder="1" applyAlignment="1">
      <alignment horizontal="center" vertical="center"/>
    </xf>
    <xf numFmtId="0" fontId="14" fillId="0" borderId="15" xfId="114" applyNumberFormat="1" applyFont="1" applyBorder="1" applyAlignment="1">
      <alignment vertical="center"/>
    </xf>
    <xf numFmtId="0" fontId="10" fillId="0" borderId="19" xfId="67" applyFont="1" applyBorder="1" applyAlignment="1">
      <alignment horizontal="center" vertical="center"/>
    </xf>
    <xf numFmtId="0" fontId="14" fillId="0" borderId="15" xfId="111" applyNumberFormat="1" applyFont="1" applyBorder="1" applyAlignment="1">
      <alignment vertical="center"/>
    </xf>
    <xf numFmtId="0" fontId="14" fillId="0" borderId="21" xfId="114" applyNumberFormat="1" applyFont="1" applyBorder="1" applyAlignment="1">
      <alignment vertical="center"/>
    </xf>
    <xf numFmtId="0" fontId="14" fillId="0" borderId="33" xfId="99" applyFont="1" applyBorder="1" applyAlignment="1">
      <alignment horizontal="center" vertical="center"/>
    </xf>
    <xf numFmtId="0" fontId="10" fillId="0" borderId="33" xfId="114" applyNumberFormat="1" applyFont="1" applyBorder="1" applyAlignment="1">
      <alignment horizontal="center" vertical="center"/>
    </xf>
    <xf numFmtId="0" fontId="10" fillId="0" borderId="15" xfId="114" applyNumberFormat="1" applyFont="1" applyBorder="1" applyAlignment="1">
      <alignment vertical="center"/>
    </xf>
    <xf numFmtId="0" fontId="10" fillId="0" borderId="33" xfId="114" applyNumberFormat="1" applyFont="1" applyBorder="1" applyAlignment="1">
      <alignment horizontal="right" vertical="center"/>
    </xf>
    <xf numFmtId="0" fontId="10" fillId="0" borderId="33" xfId="99" applyFont="1" applyBorder="1" applyAlignment="1">
      <alignment horizontal="center" vertical="center"/>
    </xf>
    <xf numFmtId="0" fontId="31" fillId="0" borderId="57" xfId="99" applyFont="1" applyBorder="1" applyAlignment="1">
      <alignment horizontal="center" vertical="center"/>
    </xf>
    <xf numFmtId="0" fontId="31" fillId="0" borderId="21" xfId="99" applyFont="1" applyBorder="1" applyAlignment="1">
      <alignment vertical="center"/>
    </xf>
    <xf numFmtId="0" fontId="14" fillId="0" borderId="21" xfId="99" applyFont="1" applyBorder="1" applyAlignment="1">
      <alignment vertical="center"/>
    </xf>
    <xf numFmtId="0" fontId="14" fillId="0" borderId="24" xfId="0" applyFont="1" applyBorder="1" applyAlignment="1">
      <alignment vertical="center"/>
    </xf>
    <xf numFmtId="0" fontId="31" fillId="0" borderId="15" xfId="99" applyFont="1" applyBorder="1" applyAlignment="1">
      <alignment vertical="center"/>
    </xf>
    <xf numFmtId="164" fontId="14" fillId="0" borderId="19" xfId="34" applyFont="1" applyBorder="1" applyAlignment="1">
      <alignment vertical="center"/>
    </xf>
    <xf numFmtId="0" fontId="14" fillId="0" borderId="19" xfId="99" applyFont="1" applyBorder="1" applyAlignment="1">
      <alignment horizontal="center" vertical="center"/>
    </xf>
    <xf numFmtId="0" fontId="14" fillId="0" borderId="33" xfId="99" applyFont="1" applyBorder="1" applyAlignment="1">
      <alignment horizontal="right" vertical="center"/>
    </xf>
    <xf numFmtId="164" fontId="14" fillId="0" borderId="19" xfId="34" applyFont="1" applyBorder="1" applyAlignment="1">
      <alignment vertical="center" wrapText="1"/>
    </xf>
    <xf numFmtId="0" fontId="14" fillId="0" borderId="0" xfId="99" applyFont="1" applyAlignment="1">
      <alignment vertical="center"/>
    </xf>
    <xf numFmtId="164" fontId="14" fillId="0" borderId="62" xfId="34" applyFont="1" applyBorder="1" applyAlignment="1">
      <alignment vertical="center"/>
    </xf>
    <xf numFmtId="168" fontId="14" fillId="0" borderId="25" xfId="0" applyNumberFormat="1" applyFont="1" applyBorder="1" applyAlignment="1">
      <alignment vertical="center"/>
    </xf>
    <xf numFmtId="0" fontId="14" fillId="0" borderId="15" xfId="87" applyFont="1" applyBorder="1" applyAlignment="1">
      <alignment vertical="center"/>
    </xf>
    <xf numFmtId="164" fontId="14" fillId="0" borderId="24" xfId="17" applyFont="1" applyBorder="1" applyAlignment="1">
      <alignment vertical="center"/>
    </xf>
    <xf numFmtId="0" fontId="14" fillId="0" borderId="21" xfId="85" applyFont="1" applyBorder="1" applyAlignment="1">
      <alignment vertical="center"/>
    </xf>
    <xf numFmtId="164" fontId="14" fillId="0" borderId="19" xfId="39" applyNumberFormat="1" applyFont="1" applyBorder="1" applyAlignment="1">
      <alignment vertical="center"/>
    </xf>
    <xf numFmtId="0" fontId="14" fillId="0" borderId="19" xfId="101" applyFont="1" applyBorder="1" applyAlignment="1">
      <alignment horizontal="center" vertical="center"/>
    </xf>
    <xf numFmtId="0" fontId="14" fillId="0" borderId="33" xfId="87" applyFont="1" applyBorder="1" applyAlignment="1">
      <alignment horizontal="center" vertical="center"/>
    </xf>
    <xf numFmtId="0" fontId="14" fillId="0" borderId="15" xfId="91" applyFont="1" applyBorder="1" applyAlignment="1">
      <alignment horizontal="center" vertical="center"/>
    </xf>
    <xf numFmtId="0" fontId="31" fillId="0" borderId="33" xfId="101" applyFont="1" applyBorder="1" applyAlignment="1">
      <alignment horizontal="center" vertical="center"/>
    </xf>
    <xf numFmtId="0" fontId="14" fillId="0" borderId="24" xfId="91" applyFont="1" applyBorder="1" applyAlignment="1">
      <alignment vertical="center"/>
    </xf>
    <xf numFmtId="0" fontId="14" fillId="0" borderId="0" xfId="91" applyFont="1" applyAlignment="1">
      <alignment vertical="center"/>
    </xf>
    <xf numFmtId="0" fontId="2" fillId="0" borderId="0" xfId="91"/>
    <xf numFmtId="0" fontId="14" fillId="0" borderId="57" xfId="91" applyFont="1" applyBorder="1" applyAlignment="1">
      <alignment horizontal="center" vertical="center"/>
    </xf>
    <xf numFmtId="164" fontId="14" fillId="0" borderId="24" xfId="18" applyFont="1" applyBorder="1" applyAlignment="1">
      <alignment vertical="center"/>
    </xf>
    <xf numFmtId="0" fontId="14" fillId="0" borderId="58" xfId="109" applyNumberFormat="1" applyFont="1" applyBorder="1" applyAlignment="1">
      <alignment horizontal="right" vertical="center"/>
    </xf>
    <xf numFmtId="0" fontId="14" fillId="0" borderId="15" xfId="91" applyFont="1" applyBorder="1" applyAlignment="1">
      <alignment horizontal="left" vertical="center"/>
    </xf>
    <xf numFmtId="0" fontId="14" fillId="0" borderId="57" xfId="91" applyFont="1" applyBorder="1" applyAlignment="1">
      <alignment horizontal="right" vertical="center"/>
    </xf>
    <xf numFmtId="0" fontId="14" fillId="0" borderId="24" xfId="85" applyFont="1" applyBorder="1" applyAlignment="1">
      <alignment vertical="center"/>
    </xf>
    <xf numFmtId="0" fontId="2" fillId="0" borderId="0" xfId="102"/>
    <xf numFmtId="0" fontId="14" fillId="0" borderId="33" xfId="102" applyFont="1" applyBorder="1" applyAlignment="1">
      <alignment horizontal="right" vertical="center"/>
    </xf>
    <xf numFmtId="0" fontId="14" fillId="0" borderId="33" xfId="102" applyFont="1" applyBorder="1" applyAlignment="1">
      <alignment horizontal="center" vertical="center"/>
    </xf>
    <xf numFmtId="0" fontId="14" fillId="0" borderId="15" xfId="102" applyFont="1" applyBorder="1" applyAlignment="1">
      <alignment vertical="center"/>
    </xf>
    <xf numFmtId="0" fontId="14" fillId="0" borderId="15" xfId="73" applyFont="1" applyBorder="1" applyAlignment="1">
      <alignment vertical="center"/>
    </xf>
    <xf numFmtId="0" fontId="14" fillId="0" borderId="57" xfId="102" applyFont="1" applyBorder="1" applyAlignment="1">
      <alignment horizontal="right" vertical="center"/>
    </xf>
    <xf numFmtId="0" fontId="14" fillId="0" borderId="25" xfId="102" applyFont="1" applyBorder="1" applyAlignment="1">
      <alignment vertical="center"/>
    </xf>
    <xf numFmtId="0" fontId="14" fillId="0" borderId="21" xfId="0" applyFont="1" applyBorder="1" applyAlignment="1">
      <alignment horizontal="center" vertical="center"/>
    </xf>
    <xf numFmtId="0" fontId="14" fillId="0" borderId="15" xfId="91" applyFont="1" applyBorder="1" applyAlignment="1">
      <alignment horizontal="left" vertical="center" wrapText="1"/>
    </xf>
    <xf numFmtId="164" fontId="31" fillId="0" borderId="19" xfId="18" applyFont="1" applyBorder="1" applyAlignment="1">
      <alignment vertical="center"/>
    </xf>
    <xf numFmtId="0" fontId="31" fillId="0" borderId="19" xfId="91" applyFont="1" applyBorder="1" applyAlignment="1">
      <alignment horizontal="center" vertical="center"/>
    </xf>
    <xf numFmtId="0" fontId="14" fillId="0" borderId="15" xfId="75" applyFont="1" applyBorder="1" applyAlignment="1">
      <alignment vertical="center"/>
    </xf>
    <xf numFmtId="0" fontId="14" fillId="0" borderId="58" xfId="91" applyFont="1" applyBorder="1" applyAlignment="1">
      <alignment horizontal="center" vertical="center"/>
    </xf>
    <xf numFmtId="0" fontId="14" fillId="0" borderId="58" xfId="91" applyFont="1" applyBorder="1" applyAlignment="1">
      <alignment horizontal="right" vertical="center"/>
    </xf>
    <xf numFmtId="0" fontId="14" fillId="0" borderId="19" xfId="75" applyFont="1" applyBorder="1" applyAlignment="1">
      <alignment horizontal="center" vertical="center"/>
    </xf>
    <xf numFmtId="0" fontId="10" fillId="0" borderId="33" xfId="91" applyFont="1" applyBorder="1" applyAlignment="1">
      <alignment horizontal="center" vertical="center"/>
    </xf>
    <xf numFmtId="0" fontId="10" fillId="0" borderId="15" xfId="91" applyFont="1" applyBorder="1" applyAlignment="1">
      <alignment vertical="center"/>
    </xf>
    <xf numFmtId="0" fontId="14" fillId="0" borderId="15" xfId="97" applyFont="1" applyBorder="1" applyAlignment="1">
      <alignment vertical="center"/>
    </xf>
    <xf numFmtId="164" fontId="14" fillId="0" borderId="27" xfId="18" applyFont="1" applyBorder="1" applyAlignment="1">
      <alignment vertical="center"/>
    </xf>
    <xf numFmtId="0" fontId="31" fillId="0" borderId="57" xfId="87" applyFont="1" applyBorder="1" applyAlignment="1">
      <alignment horizontal="center" vertical="center"/>
    </xf>
    <xf numFmtId="0" fontId="31" fillId="0" borderId="21" xfId="87" applyFont="1" applyBorder="1" applyAlignment="1">
      <alignment vertical="center"/>
    </xf>
    <xf numFmtId="0" fontId="14" fillId="0" borderId="21" xfId="87" applyFont="1" applyBorder="1" applyAlignment="1">
      <alignment vertical="center"/>
    </xf>
    <xf numFmtId="164" fontId="14" fillId="0" borderId="19" xfId="17" applyFont="1" applyBorder="1" applyAlignment="1">
      <alignment vertical="center"/>
    </xf>
    <xf numFmtId="0" fontId="14" fillId="0" borderId="58" xfId="87" applyFont="1" applyBorder="1" applyAlignment="1">
      <alignment horizontal="center" vertical="center"/>
    </xf>
    <xf numFmtId="0" fontId="14" fillId="0" borderId="58" xfId="87" applyFont="1" applyBorder="1" applyAlignment="1">
      <alignment horizontal="right" vertical="center"/>
    </xf>
    <xf numFmtId="164" fontId="14" fillId="0" borderId="24" xfId="34" applyFont="1" applyBorder="1" applyAlignment="1">
      <alignment vertical="center"/>
    </xf>
    <xf numFmtId="0" fontId="14" fillId="0" borderId="25" xfId="87" applyFont="1" applyBorder="1" applyAlignment="1">
      <alignment vertical="center"/>
    </xf>
    <xf numFmtId="0" fontId="14" fillId="0" borderId="24" xfId="87" applyFont="1" applyBorder="1" applyAlignment="1">
      <alignment horizontal="center" vertical="center"/>
    </xf>
    <xf numFmtId="0" fontId="17" fillId="0" borderId="58" xfId="87" applyFont="1" applyBorder="1" applyAlignment="1">
      <alignment horizontal="center" vertical="center"/>
    </xf>
    <xf numFmtId="0" fontId="17" fillId="0" borderId="21" xfId="87" applyFont="1" applyBorder="1" applyAlignment="1">
      <alignment vertical="center"/>
    </xf>
    <xf numFmtId="164" fontId="17" fillId="0" borderId="24" xfId="17" applyFont="1" applyBorder="1" applyAlignment="1">
      <alignment vertical="center"/>
    </xf>
    <xf numFmtId="0" fontId="33" fillId="0" borderId="0" xfId="0" applyFont="1"/>
    <xf numFmtId="0" fontId="17" fillId="0" borderId="58" xfId="87" applyFont="1" applyBorder="1" applyAlignment="1">
      <alignment horizontal="right" vertical="center"/>
    </xf>
    <xf numFmtId="0" fontId="17" fillId="0" borderId="15" xfId="0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/>
    </xf>
    <xf numFmtId="0" fontId="31" fillId="0" borderId="25" xfId="0" applyFont="1" applyBorder="1" applyAlignment="1">
      <alignment vertical="center"/>
    </xf>
    <xf numFmtId="0" fontId="14" fillId="0" borderId="0" xfId="87" applyFont="1" applyAlignment="1">
      <alignment vertical="center"/>
    </xf>
    <xf numFmtId="164" fontId="31" fillId="0" borderId="19" xfId="17" applyFont="1" applyBorder="1" applyAlignment="1">
      <alignment vertical="center"/>
    </xf>
    <xf numFmtId="0" fontId="31" fillId="0" borderId="19" xfId="87" applyFont="1" applyBorder="1" applyAlignment="1">
      <alignment horizontal="center" vertical="center"/>
    </xf>
    <xf numFmtId="0" fontId="14" fillId="0" borderId="25" xfId="0" applyFont="1" applyBorder="1" applyAlignment="1">
      <alignment vertical="center"/>
    </xf>
    <xf numFmtId="0" fontId="31" fillId="0" borderId="15" xfId="87" applyFont="1" applyBorder="1" applyAlignment="1">
      <alignment vertical="center"/>
    </xf>
    <xf numFmtId="0" fontId="14" fillId="0" borderId="15" xfId="67" applyFont="1" applyBorder="1" applyAlignment="1">
      <alignment vertical="center"/>
    </xf>
    <xf numFmtId="0" fontId="14" fillId="0" borderId="62" xfId="0" applyFont="1" applyBorder="1" applyAlignment="1">
      <alignment vertical="center"/>
    </xf>
    <xf numFmtId="0" fontId="14" fillId="0" borderId="27" xfId="87" applyFont="1" applyBorder="1" applyAlignment="1">
      <alignment horizontal="center" vertical="center"/>
    </xf>
    <xf numFmtId="0" fontId="14" fillId="0" borderId="19" xfId="87" applyFont="1" applyBorder="1" applyAlignment="1">
      <alignment vertical="center"/>
    </xf>
    <xf numFmtId="0" fontId="14" fillId="0" borderId="33" xfId="87" applyFont="1" applyBorder="1" applyAlignment="1">
      <alignment horizontal="right" vertical="center"/>
    </xf>
    <xf numFmtId="164" fontId="14" fillId="0" borderId="37" xfId="17" applyFont="1" applyBorder="1" applyAlignment="1">
      <alignment vertical="center"/>
    </xf>
    <xf numFmtId="0" fontId="14" fillId="0" borderId="15" xfId="87" applyFont="1" applyBorder="1" applyAlignment="1">
      <alignment horizontal="left" vertical="center"/>
    </xf>
    <xf numFmtId="0" fontId="14" fillId="5" borderId="19" xfId="107" applyNumberFormat="1" applyFont="1" applyFill="1" applyBorder="1" applyAlignment="1">
      <alignment vertical="center"/>
    </xf>
    <xf numFmtId="0" fontId="14" fillId="0" borderId="15" xfId="93" applyFont="1" applyBorder="1" applyAlignment="1">
      <alignment vertical="center"/>
    </xf>
    <xf numFmtId="0" fontId="14" fillId="0" borderId="21" xfId="93" applyFont="1" applyBorder="1" applyAlignment="1">
      <alignment vertical="center"/>
    </xf>
    <xf numFmtId="0" fontId="14" fillId="0" borderId="15" xfId="78" applyFont="1" applyBorder="1" applyAlignment="1">
      <alignment vertical="center"/>
    </xf>
    <xf numFmtId="0" fontId="10" fillId="0" borderId="15" xfId="0" applyFont="1" applyBorder="1" applyAlignment="1">
      <alignment horizontal="right" vertical="center"/>
    </xf>
    <xf numFmtId="164" fontId="14" fillId="0" borderId="19" xfId="0" applyNumberFormat="1" applyFont="1" applyBorder="1" applyAlignment="1">
      <alignment vertical="center"/>
    </xf>
    <xf numFmtId="0" fontId="10" fillId="0" borderId="17" xfId="0" applyFont="1" applyBorder="1" applyAlignment="1">
      <alignment horizontal="right" vertical="center"/>
    </xf>
    <xf numFmtId="164" fontId="10" fillId="0" borderId="19" xfId="0" applyNumberFormat="1" applyFont="1" applyBorder="1" applyAlignment="1">
      <alignment vertical="center"/>
    </xf>
    <xf numFmtId="0" fontId="14" fillId="0" borderId="0" xfId="85" applyFont="1" applyAlignment="1">
      <alignment vertical="center"/>
    </xf>
    <xf numFmtId="0" fontId="2" fillId="0" borderId="0" xfId="85"/>
    <xf numFmtId="0" fontId="14" fillId="0" borderId="57" xfId="85" applyFont="1" applyBorder="1" applyAlignment="1">
      <alignment horizontal="center" vertical="center"/>
    </xf>
    <xf numFmtId="0" fontId="14" fillId="0" borderId="15" xfId="107" applyNumberFormat="1" applyFont="1" applyBorder="1" applyAlignment="1">
      <alignment vertical="center"/>
    </xf>
    <xf numFmtId="164" fontId="14" fillId="0" borderId="19" xfId="27" applyFont="1" applyBorder="1" applyAlignment="1">
      <alignment vertical="center"/>
    </xf>
    <xf numFmtId="164" fontId="14" fillId="0" borderId="19" xfId="38" applyNumberFormat="1" applyFont="1" applyBorder="1" applyAlignment="1">
      <alignment vertical="center"/>
    </xf>
    <xf numFmtId="0" fontId="14" fillId="0" borderId="21" xfId="97" applyFont="1" applyBorder="1" applyAlignment="1">
      <alignment vertical="center"/>
    </xf>
    <xf numFmtId="0" fontId="14" fillId="0" borderId="33" xfId="97" applyFont="1" applyBorder="1" applyAlignment="1">
      <alignment horizontal="center" vertical="center"/>
    </xf>
    <xf numFmtId="0" fontId="14" fillId="0" borderId="19" xfId="97" applyFont="1" applyBorder="1" applyAlignment="1">
      <alignment horizontal="center" vertical="center"/>
    </xf>
    <xf numFmtId="0" fontId="14" fillId="0" borderId="33" xfId="97" applyFont="1" applyBorder="1" applyAlignment="1">
      <alignment horizontal="right" vertical="center"/>
    </xf>
    <xf numFmtId="0" fontId="14" fillId="0" borderId="15" xfId="85" applyFont="1" applyBorder="1" applyAlignment="1">
      <alignment horizontal="center" vertical="center"/>
    </xf>
    <xf numFmtId="0" fontId="14" fillId="9" borderId="33" xfId="91" applyFont="1" applyFill="1" applyBorder="1" applyAlignment="1">
      <alignment horizontal="center" vertical="center"/>
    </xf>
    <xf numFmtId="164" fontId="31" fillId="0" borderId="24" xfId="18" applyFont="1" applyBorder="1" applyAlignment="1">
      <alignment vertical="center"/>
    </xf>
    <xf numFmtId="168" fontId="31" fillId="0" borderId="24" xfId="0" applyNumberFormat="1" applyFont="1" applyBorder="1" applyAlignment="1">
      <alignment vertical="center"/>
    </xf>
    <xf numFmtId="0" fontId="14" fillId="0" borderId="57" xfId="75" applyFont="1" applyBorder="1" applyAlignment="1">
      <alignment horizontal="center" vertical="center"/>
    </xf>
    <xf numFmtId="0" fontId="14" fillId="0" borderId="21" xfId="75" applyFont="1" applyBorder="1" applyAlignment="1">
      <alignment vertical="center"/>
    </xf>
    <xf numFmtId="0" fontId="14" fillId="0" borderId="58" xfId="75" applyFont="1" applyBorder="1" applyAlignment="1">
      <alignment horizontal="center" vertical="center"/>
    </xf>
    <xf numFmtId="0" fontId="14" fillId="0" borderId="58" xfId="75" applyFont="1" applyBorder="1" applyAlignment="1">
      <alignment horizontal="right" vertical="center"/>
    </xf>
    <xf numFmtId="0" fontId="14" fillId="0" borderId="58" xfId="79" applyFont="1" applyBorder="1" applyAlignment="1">
      <alignment horizontal="center" vertical="center"/>
    </xf>
    <xf numFmtId="0" fontId="14" fillId="0" borderId="58" xfId="79" applyFont="1" applyBorder="1" applyAlignment="1">
      <alignment horizontal="right" vertical="center"/>
    </xf>
    <xf numFmtId="0" fontId="14" fillId="0" borderId="19" xfId="99" applyFont="1" applyBorder="1" applyAlignment="1">
      <alignment vertical="center"/>
    </xf>
    <xf numFmtId="0" fontId="14" fillId="0" borderId="29" xfId="75" applyFont="1" applyBorder="1" applyAlignment="1">
      <alignment vertical="center"/>
    </xf>
    <xf numFmtId="0" fontId="14" fillId="0" borderId="33" xfId="75" applyFont="1" applyBorder="1" applyAlignment="1">
      <alignment horizontal="center" vertical="center"/>
    </xf>
    <xf numFmtId="0" fontId="14" fillId="0" borderId="0" xfId="75" applyFont="1" applyAlignment="1">
      <alignment vertical="center"/>
    </xf>
    <xf numFmtId="164" fontId="14" fillId="0" borderId="62" xfId="18" applyFont="1" applyBorder="1" applyAlignment="1">
      <alignment vertical="center"/>
    </xf>
    <xf numFmtId="0" fontId="14" fillId="0" borderId="0" xfId="91" applyFont="1"/>
    <xf numFmtId="164" fontId="14" fillId="0" borderId="19" xfId="29" applyFont="1" applyBorder="1" applyAlignment="1">
      <alignment horizontal="center" vertical="center"/>
    </xf>
    <xf numFmtId="0" fontId="14" fillId="0" borderId="33" xfId="93" applyFont="1" applyBorder="1" applyAlignment="1">
      <alignment horizontal="center" vertical="center"/>
    </xf>
    <xf numFmtId="171" fontId="14" fillId="0" borderId="19" xfId="26" applyNumberFormat="1" applyFont="1" applyBorder="1" applyAlignment="1">
      <alignment vertical="center"/>
    </xf>
    <xf numFmtId="0" fontId="14" fillId="0" borderId="33" xfId="93" applyFont="1" applyBorder="1" applyAlignment="1">
      <alignment horizontal="right" vertical="center"/>
    </xf>
    <xf numFmtId="0" fontId="14" fillId="0" borderId="19" xfId="95" applyFont="1" applyBorder="1" applyAlignment="1">
      <alignment vertical="center"/>
    </xf>
    <xf numFmtId="0" fontId="14" fillId="0" borderId="17" xfId="91" applyFont="1" applyBorder="1" applyAlignment="1">
      <alignment vertical="center" wrapText="1"/>
    </xf>
    <xf numFmtId="0" fontId="14" fillId="0" borderId="19" xfId="91" applyFont="1" applyBorder="1" applyAlignment="1">
      <alignment horizontal="center" vertical="center" wrapText="1"/>
    </xf>
    <xf numFmtId="0" fontId="14" fillId="0" borderId="15" xfId="95" applyFont="1" applyBorder="1" applyAlignment="1">
      <alignment vertical="center"/>
    </xf>
    <xf numFmtId="168" fontId="0" fillId="0" borderId="0" xfId="0" applyNumberFormat="1"/>
    <xf numFmtId="0" fontId="2" fillId="0" borderId="0" xfId="96"/>
    <xf numFmtId="0" fontId="35" fillId="0" borderId="0" xfId="96" applyFont="1"/>
    <xf numFmtId="0" fontId="14" fillId="0" borderId="0" xfId="96" applyFont="1" applyAlignment="1">
      <alignment vertical="center"/>
    </xf>
    <xf numFmtId="0" fontId="31" fillId="0" borderId="0" xfId="96" applyFont="1" applyAlignment="1">
      <alignment vertical="center"/>
    </xf>
    <xf numFmtId="0" fontId="2" fillId="0" borderId="0" xfId="96" applyAlignment="1">
      <alignment vertical="center"/>
    </xf>
    <xf numFmtId="0" fontId="36" fillId="0" borderId="0" xfId="96" applyFont="1" applyAlignment="1">
      <alignment vertical="center"/>
    </xf>
    <xf numFmtId="0" fontId="31" fillId="0" borderId="5" xfId="96" applyFont="1" applyBorder="1" applyAlignment="1">
      <alignment horizontal="center" vertical="center"/>
    </xf>
    <xf numFmtId="0" fontId="31" fillId="0" borderId="6" xfId="96" applyFont="1" applyBorder="1" applyAlignment="1">
      <alignment horizontal="center" vertical="center"/>
    </xf>
    <xf numFmtId="0" fontId="31" fillId="0" borderId="8" xfId="96" applyFont="1" applyBorder="1" applyAlignment="1">
      <alignment horizontal="center" vertical="center"/>
    </xf>
    <xf numFmtId="0" fontId="31" fillId="0" borderId="0" xfId="96" applyFont="1" applyAlignment="1">
      <alignment horizontal="center" vertical="center"/>
    </xf>
    <xf numFmtId="0" fontId="35" fillId="0" borderId="0" xfId="96" applyFont="1" applyAlignment="1">
      <alignment vertical="center"/>
    </xf>
    <xf numFmtId="0" fontId="14" fillId="0" borderId="9" xfId="96" applyFont="1" applyBorder="1" applyAlignment="1">
      <alignment vertical="center"/>
    </xf>
    <xf numFmtId="0" fontId="14" fillId="0" borderId="12" xfId="96" applyFont="1" applyBorder="1" applyAlignment="1">
      <alignment vertical="center"/>
    </xf>
    <xf numFmtId="0" fontId="14" fillId="0" borderId="13" xfId="96" applyFont="1" applyBorder="1" applyAlignment="1">
      <alignment vertical="center"/>
    </xf>
    <xf numFmtId="0" fontId="31" fillId="0" borderId="33" xfId="96" applyFont="1" applyBorder="1" applyAlignment="1">
      <alignment horizontal="center" vertical="center"/>
    </xf>
    <xf numFmtId="0" fontId="31" fillId="0" borderId="19" xfId="96" applyFont="1" applyBorder="1" applyAlignment="1">
      <alignment vertical="center"/>
    </xf>
    <xf numFmtId="164" fontId="14" fillId="0" borderId="19" xfId="33" applyFont="1" applyBorder="1" applyAlignment="1">
      <alignment vertical="center"/>
    </xf>
    <xf numFmtId="164" fontId="14" fillId="0" borderId="24" xfId="33" applyFont="1" applyBorder="1" applyAlignment="1">
      <alignment vertical="center"/>
    </xf>
    <xf numFmtId="0" fontId="14" fillId="0" borderId="54" xfId="96" applyFont="1" applyBorder="1" applyAlignment="1">
      <alignment vertical="center"/>
    </xf>
    <xf numFmtId="169" fontId="31" fillId="0" borderId="0" xfId="55" applyNumberFormat="1" applyFont="1" applyAlignment="1">
      <alignment vertical="center"/>
    </xf>
    <xf numFmtId="0" fontId="31" fillId="0" borderId="15" xfId="96" applyFont="1" applyBorder="1" applyAlignment="1">
      <alignment vertical="center"/>
    </xf>
    <xf numFmtId="0" fontId="14" fillId="0" borderId="58" xfId="96" applyFont="1" applyBorder="1" applyAlignment="1">
      <alignment horizontal="center" vertical="center"/>
    </xf>
    <xf numFmtId="0" fontId="31" fillId="0" borderId="15" xfId="96" applyFont="1" applyBorder="1" applyAlignment="1">
      <alignment horizontal="right" vertical="center"/>
    </xf>
    <xf numFmtId="164" fontId="14" fillId="0" borderId="24" xfId="96" applyNumberFormat="1" applyFont="1" applyBorder="1" applyAlignment="1">
      <alignment vertical="center"/>
    </xf>
    <xf numFmtId="164" fontId="14" fillId="0" borderId="61" xfId="33" applyFont="1" applyBorder="1" applyAlignment="1">
      <alignment vertical="center"/>
    </xf>
    <xf numFmtId="0" fontId="14" fillId="0" borderId="58" xfId="96" applyFont="1" applyBorder="1" applyAlignment="1">
      <alignment horizontal="right" vertical="center"/>
    </xf>
    <xf numFmtId="0" fontId="31" fillId="0" borderId="54" xfId="96" applyFont="1" applyBorder="1" applyAlignment="1">
      <alignment vertical="center"/>
    </xf>
    <xf numFmtId="164" fontId="14" fillId="0" borderId="24" xfId="33" applyFont="1" applyBorder="1" applyAlignment="1">
      <alignment horizontal="center" vertical="center"/>
    </xf>
    <xf numFmtId="0" fontId="14" fillId="0" borderId="15" xfId="96" applyFont="1" applyBorder="1" applyAlignment="1">
      <alignment horizontal="right" vertical="center"/>
    </xf>
    <xf numFmtId="171" fontId="14" fillId="0" borderId="0" xfId="96" applyNumberFormat="1" applyFont="1" applyAlignment="1">
      <alignment vertical="center"/>
    </xf>
    <xf numFmtId="164" fontId="31" fillId="0" borderId="24" xfId="33" applyFont="1" applyBorder="1" applyAlignment="1">
      <alignment vertical="center"/>
    </xf>
    <xf numFmtId="0" fontId="14" fillId="0" borderId="17" xfId="96" applyFont="1" applyBorder="1" applyAlignment="1">
      <alignment horizontal="right" vertical="center"/>
    </xf>
    <xf numFmtId="164" fontId="14" fillId="0" borderId="0" xfId="33" applyFont="1" applyAlignment="1">
      <alignment vertical="center"/>
    </xf>
    <xf numFmtId="164" fontId="14" fillId="0" borderId="24" xfId="33" applyFont="1" applyBorder="1" applyAlignment="1">
      <alignment horizontal="right" vertical="center"/>
    </xf>
    <xf numFmtId="164" fontId="14" fillId="0" borderId="0" xfId="96" applyNumberFormat="1" applyFont="1" applyAlignment="1">
      <alignment vertical="center"/>
    </xf>
    <xf numFmtId="0" fontId="17" fillId="0" borderId="58" xfId="96" applyFont="1" applyBorder="1" applyAlignment="1">
      <alignment horizontal="center" vertical="center"/>
    </xf>
    <xf numFmtId="0" fontId="17" fillId="0" borderId="15" xfId="96" applyFont="1" applyBorder="1" applyAlignment="1">
      <alignment vertical="center"/>
    </xf>
    <xf numFmtId="164" fontId="17" fillId="0" borderId="27" xfId="33" applyFont="1" applyBorder="1" applyAlignment="1">
      <alignment vertical="center"/>
    </xf>
    <xf numFmtId="0" fontId="17" fillId="0" borderId="32" xfId="96" applyFont="1" applyBorder="1" applyAlignment="1">
      <alignment vertical="center"/>
    </xf>
    <xf numFmtId="169" fontId="16" fillId="0" borderId="0" xfId="55" applyNumberFormat="1" applyFont="1" applyAlignment="1">
      <alignment vertical="center"/>
    </xf>
    <xf numFmtId="0" fontId="17" fillId="0" borderId="0" xfId="96" applyFont="1" applyAlignment="1">
      <alignment vertical="center"/>
    </xf>
    <xf numFmtId="0" fontId="16" fillId="0" borderId="0" xfId="96" applyFont="1" applyAlignment="1">
      <alignment vertical="center"/>
    </xf>
    <xf numFmtId="0" fontId="37" fillId="0" borderId="0" xfId="96" applyFont="1" applyAlignment="1">
      <alignment vertical="center"/>
    </xf>
    <xf numFmtId="0" fontId="37" fillId="0" borderId="0" xfId="96" applyFont="1"/>
    <xf numFmtId="0" fontId="17" fillId="0" borderId="58" xfId="96" applyFont="1" applyBorder="1" applyAlignment="1">
      <alignment horizontal="right" vertical="center"/>
    </xf>
    <xf numFmtId="0" fontId="17" fillId="0" borderId="54" xfId="96" applyFont="1" applyBorder="1" applyAlignment="1">
      <alignment vertical="center"/>
    </xf>
    <xf numFmtId="0" fontId="17" fillId="0" borderId="25" xfId="96" applyFont="1" applyBorder="1" applyAlignment="1">
      <alignment vertical="center"/>
    </xf>
    <xf numFmtId="0" fontId="17" fillId="0" borderId="26" xfId="96" applyFont="1" applyBorder="1" applyAlignment="1">
      <alignment horizontal="right" vertical="center"/>
    </xf>
    <xf numFmtId="0" fontId="14" fillId="0" borderId="39" xfId="96" applyFont="1" applyBorder="1" applyAlignment="1">
      <alignment vertical="center"/>
    </xf>
    <xf numFmtId="0" fontId="14" fillId="0" borderId="43" xfId="96" applyFont="1" applyBorder="1" applyAlignment="1">
      <alignment vertical="center"/>
    </xf>
    <xf numFmtId="164" fontId="14" fillId="0" borderId="43" xfId="33" applyFont="1" applyBorder="1" applyAlignment="1">
      <alignment vertical="center"/>
    </xf>
    <xf numFmtId="0" fontId="14" fillId="0" borderId="44" xfId="96" applyFont="1" applyBorder="1" applyAlignment="1">
      <alignment horizontal="center" vertical="center"/>
    </xf>
    <xf numFmtId="0" fontId="14" fillId="0" borderId="0" xfId="96" applyFont="1" applyAlignment="1">
      <alignment horizontal="center" vertical="center"/>
    </xf>
    <xf numFmtId="0" fontId="14" fillId="0" borderId="0" xfId="96" applyFont="1"/>
    <xf numFmtId="164" fontId="14" fillId="0" borderId="0" xfId="33" applyFont="1"/>
    <xf numFmtId="0" fontId="31" fillId="0" borderId="0" xfId="96" applyFont="1"/>
    <xf numFmtId="164" fontId="2" fillId="0" borderId="0" xfId="33"/>
    <xf numFmtId="0" fontId="38" fillId="0" borderId="0" xfId="91" applyFont="1"/>
    <xf numFmtId="0" fontId="38" fillId="0" borderId="0" xfId="91" applyFont="1" applyAlignment="1">
      <alignment vertical="center"/>
    </xf>
    <xf numFmtId="0" fontId="14" fillId="0" borderId="87" xfId="91" applyFont="1" applyBorder="1" applyAlignment="1">
      <alignment horizontal="center" vertical="center"/>
    </xf>
    <xf numFmtId="0" fontId="31" fillId="0" borderId="0" xfId="91" applyFont="1" applyAlignment="1">
      <alignment vertical="center"/>
    </xf>
    <xf numFmtId="0" fontId="14" fillId="0" borderId="9" xfId="91" applyFont="1" applyBorder="1" applyAlignment="1">
      <alignment vertical="center"/>
    </xf>
    <xf numFmtId="0" fontId="14" fillId="0" borderId="12" xfId="91" applyFont="1" applyBorder="1" applyAlignment="1">
      <alignment vertical="center"/>
    </xf>
    <xf numFmtId="0" fontId="31" fillId="0" borderId="13" xfId="91" applyFont="1" applyBorder="1" applyAlignment="1">
      <alignment vertical="center"/>
    </xf>
    <xf numFmtId="0" fontId="31" fillId="0" borderId="19" xfId="91" applyFont="1" applyBorder="1" applyAlignment="1">
      <alignment vertical="center"/>
    </xf>
    <xf numFmtId="0" fontId="31" fillId="0" borderId="20" xfId="91" applyFont="1" applyBorder="1" applyAlignment="1">
      <alignment horizontal="center" vertical="center"/>
    </xf>
    <xf numFmtId="164" fontId="31" fillId="0" borderId="20" xfId="91" applyNumberFormat="1" applyFont="1" applyBorder="1" applyAlignment="1">
      <alignment vertical="center"/>
    </xf>
    <xf numFmtId="164" fontId="14" fillId="0" borderId="0" xfId="29" applyFont="1" applyAlignment="1">
      <alignment vertical="center"/>
    </xf>
    <xf numFmtId="164" fontId="14" fillId="0" borderId="61" xfId="29" applyFont="1" applyBorder="1" applyAlignment="1">
      <alignment vertical="center"/>
    </xf>
    <xf numFmtId="164" fontId="31" fillId="0" borderId="24" xfId="29" applyFont="1" applyBorder="1" applyAlignment="1">
      <alignment vertical="center"/>
    </xf>
    <xf numFmtId="0" fontId="14" fillId="0" borderId="19" xfId="91" applyFont="1" applyBorder="1" applyAlignment="1">
      <alignment horizontal="right" vertical="center"/>
    </xf>
    <xf numFmtId="0" fontId="20" fillId="0" borderId="0" xfId="91" applyFont="1" applyAlignment="1">
      <alignment vertical="center"/>
    </xf>
    <xf numFmtId="0" fontId="14" fillId="0" borderId="15" xfId="79" applyFont="1" applyBorder="1" applyAlignment="1">
      <alignment horizontal="right" vertical="center"/>
    </xf>
    <xf numFmtId="164" fontId="14" fillId="0" borderId="21" xfId="91" applyNumberFormat="1" applyFont="1" applyBorder="1" applyAlignment="1">
      <alignment horizontal="center" vertical="center"/>
    </xf>
    <xf numFmtId="0" fontId="17" fillId="0" borderId="33" xfId="91" applyFont="1" applyBorder="1" applyAlignment="1">
      <alignment horizontal="right" vertical="center"/>
    </xf>
    <xf numFmtId="0" fontId="17" fillId="0" borderId="15" xfId="91" applyFont="1" applyBorder="1" applyAlignment="1">
      <alignment vertical="center"/>
    </xf>
    <xf numFmtId="164" fontId="17" fillId="0" borderId="19" xfId="29" applyFont="1" applyBorder="1" applyAlignment="1">
      <alignment vertical="center"/>
    </xf>
    <xf numFmtId="164" fontId="17" fillId="0" borderId="24" xfId="29" applyFont="1" applyBorder="1" applyAlignment="1">
      <alignment vertical="center"/>
    </xf>
    <xf numFmtId="0" fontId="17" fillId="0" borderId="19" xfId="91" applyFont="1" applyBorder="1" applyAlignment="1">
      <alignment horizontal="center" vertical="center"/>
    </xf>
    <xf numFmtId="164" fontId="16" fillId="0" borderId="20" xfId="91" applyNumberFormat="1" applyFont="1" applyBorder="1" applyAlignment="1">
      <alignment vertical="center"/>
    </xf>
    <xf numFmtId="0" fontId="17" fillId="0" borderId="0" xfId="91" applyFont="1" applyAlignment="1">
      <alignment vertical="center"/>
    </xf>
    <xf numFmtId="164" fontId="17" fillId="0" borderId="0" xfId="29" applyFont="1" applyAlignment="1">
      <alignment vertical="center"/>
    </xf>
    <xf numFmtId="0" fontId="39" fillId="0" borderId="0" xfId="91" applyFont="1" applyAlignment="1">
      <alignment vertical="center"/>
    </xf>
    <xf numFmtId="0" fontId="39" fillId="0" borderId="0" xfId="91" applyFont="1"/>
    <xf numFmtId="0" fontId="17" fillId="0" borderId="19" xfId="91" applyFont="1" applyBorder="1" applyAlignment="1">
      <alignment horizontal="right" vertical="center"/>
    </xf>
    <xf numFmtId="164" fontId="17" fillId="0" borderId="61" xfId="29" applyFont="1" applyBorder="1" applyAlignment="1">
      <alignment vertical="center"/>
    </xf>
    <xf numFmtId="0" fontId="17" fillId="0" borderId="19" xfId="91" applyFont="1" applyBorder="1" applyAlignment="1">
      <alignment vertical="center"/>
    </xf>
    <xf numFmtId="0" fontId="17" fillId="0" borderId="33" xfId="91" applyFont="1" applyBorder="1" applyAlignment="1">
      <alignment horizontal="center" vertical="center"/>
    </xf>
    <xf numFmtId="0" fontId="17" fillId="0" borderId="21" xfId="91" applyFont="1" applyBorder="1" applyAlignment="1">
      <alignment vertical="center"/>
    </xf>
    <xf numFmtId="0" fontId="31" fillId="0" borderId="24" xfId="91" applyFont="1" applyBorder="1" applyAlignment="1">
      <alignment vertical="center"/>
    </xf>
    <xf numFmtId="164" fontId="17" fillId="0" borderId="19" xfId="17" applyFont="1" applyBorder="1" applyAlignment="1">
      <alignment vertical="center"/>
    </xf>
    <xf numFmtId="164" fontId="17" fillId="0" borderId="61" xfId="17" applyFont="1" applyBorder="1" applyAlignment="1">
      <alignment vertical="center"/>
    </xf>
    <xf numFmtId="0" fontId="14" fillId="0" borderId="15" xfId="91" applyFont="1" applyBorder="1" applyAlignment="1">
      <alignment horizontal="right" vertical="center"/>
    </xf>
    <xf numFmtId="164" fontId="14" fillId="0" borderId="61" xfId="17" applyFont="1" applyBorder="1" applyAlignment="1">
      <alignment vertical="center"/>
    </xf>
    <xf numFmtId="0" fontId="14" fillId="0" borderId="19" xfId="91" applyFont="1" applyBorder="1" applyAlignment="1">
      <alignment horizontal="left" vertical="center"/>
    </xf>
    <xf numFmtId="164" fontId="31" fillId="0" borderId="19" xfId="29" applyFont="1" applyBorder="1" applyAlignment="1">
      <alignment vertical="center"/>
    </xf>
    <xf numFmtId="0" fontId="14" fillId="0" borderId="15" xfId="91" applyFont="1" applyBorder="1" applyAlignment="1">
      <alignment vertical="center" wrapText="1"/>
    </xf>
    <xf numFmtId="164" fontId="14" fillId="0" borderId="17" xfId="91" applyNumberFormat="1" applyFont="1" applyBorder="1" applyAlignment="1">
      <alignment vertical="center"/>
    </xf>
    <xf numFmtId="0" fontId="14" fillId="0" borderId="19" xfId="91" applyFont="1" applyBorder="1" applyAlignment="1">
      <alignment vertical="center" wrapText="1"/>
    </xf>
    <xf numFmtId="0" fontId="14" fillId="0" borderId="27" xfId="91" applyFont="1" applyBorder="1" applyAlignment="1">
      <alignment horizontal="right" vertical="center"/>
    </xf>
    <xf numFmtId="0" fontId="14" fillId="0" borderId="27" xfId="91" applyFont="1" applyBorder="1" applyAlignment="1">
      <alignment vertical="center"/>
    </xf>
    <xf numFmtId="0" fontId="14" fillId="0" borderId="62" xfId="91" applyFont="1" applyBorder="1" applyAlignment="1">
      <alignment vertical="center" wrapText="1"/>
    </xf>
    <xf numFmtId="0" fontId="14" fillId="0" borderId="27" xfId="91" applyFont="1" applyBorder="1" applyAlignment="1">
      <alignment horizontal="center" vertical="center"/>
    </xf>
    <xf numFmtId="164" fontId="31" fillId="0" borderId="28" xfId="91" applyNumberFormat="1" applyFont="1" applyBorder="1" applyAlignment="1">
      <alignment vertical="center"/>
    </xf>
    <xf numFmtId="0" fontId="14" fillId="0" borderId="39" xfId="91" applyFont="1" applyBorder="1" applyAlignment="1">
      <alignment horizontal="center" vertical="center"/>
    </xf>
    <xf numFmtId="0" fontId="14" fillId="0" borderId="43" xfId="91" applyFont="1" applyBorder="1" applyAlignment="1">
      <alignment vertical="center"/>
    </xf>
    <xf numFmtId="164" fontId="14" fillId="0" borderId="43" xfId="29" applyFont="1" applyBorder="1" applyAlignment="1">
      <alignment vertical="center"/>
    </xf>
    <xf numFmtId="0" fontId="14" fillId="0" borderId="43" xfId="91" applyFont="1" applyBorder="1" applyAlignment="1">
      <alignment horizontal="center" vertical="center"/>
    </xf>
    <xf numFmtId="0" fontId="14" fillId="0" borderId="44" xfId="91" applyFont="1" applyBorder="1" applyAlignment="1">
      <alignment horizontal="center" vertical="center"/>
    </xf>
    <xf numFmtId="0" fontId="14" fillId="0" borderId="0" xfId="91" applyFont="1" applyAlignment="1">
      <alignment horizontal="center" vertical="center"/>
    </xf>
    <xf numFmtId="164" fontId="14" fillId="0" borderId="0" xfId="29" applyFont="1"/>
    <xf numFmtId="164" fontId="38" fillId="0" borderId="0" xfId="29" applyFont="1"/>
    <xf numFmtId="0" fontId="2" fillId="0" borderId="0" xfId="99"/>
    <xf numFmtId="0" fontId="2" fillId="0" borderId="0" xfId="99" applyAlignment="1">
      <alignment vertical="center"/>
    </xf>
    <xf numFmtId="0" fontId="36" fillId="0" borderId="0" xfId="99" applyFont="1" applyAlignment="1">
      <alignment vertical="center"/>
    </xf>
    <xf numFmtId="0" fontId="14" fillId="0" borderId="87" xfId="99" applyFont="1" applyBorder="1" applyAlignment="1">
      <alignment horizontal="center" vertical="center"/>
    </xf>
    <xf numFmtId="0" fontId="31" fillId="3" borderId="20" xfId="99" applyFont="1" applyFill="1" applyBorder="1" applyAlignment="1">
      <alignment vertical="center"/>
    </xf>
    <xf numFmtId="0" fontId="14" fillId="0" borderId="9" xfId="99" applyFont="1" applyBorder="1" applyAlignment="1">
      <alignment vertical="center"/>
    </xf>
    <xf numFmtId="0" fontId="14" fillId="0" borderId="12" xfId="99" applyFont="1" applyBorder="1" applyAlignment="1">
      <alignment vertical="center"/>
    </xf>
    <xf numFmtId="0" fontId="14" fillId="0" borderId="10" xfId="99" applyFont="1" applyBorder="1" applyAlignment="1">
      <alignment vertical="center"/>
    </xf>
    <xf numFmtId="0" fontId="14" fillId="0" borderId="15" xfId="99" applyFont="1" applyBorder="1" applyAlignment="1">
      <alignment horizontal="center" vertical="center"/>
    </xf>
    <xf numFmtId="0" fontId="31" fillId="3" borderId="20" xfId="99" applyFont="1" applyFill="1" applyBorder="1" applyAlignment="1">
      <alignment horizontal="center" vertical="center"/>
    </xf>
    <xf numFmtId="0" fontId="31" fillId="0" borderId="33" xfId="99" applyFont="1" applyBorder="1" applyAlignment="1">
      <alignment horizontal="center" vertical="center"/>
    </xf>
    <xf numFmtId="164" fontId="31" fillId="3" borderId="20" xfId="99" applyNumberFormat="1" applyFont="1" applyFill="1" applyBorder="1" applyAlignment="1">
      <alignment vertical="center"/>
    </xf>
    <xf numFmtId="164" fontId="14" fillId="0" borderId="0" xfId="34" applyFont="1" applyAlignment="1">
      <alignment vertical="center"/>
    </xf>
    <xf numFmtId="0" fontId="38" fillId="0" borderId="0" xfId="99" applyFont="1" applyAlignment="1">
      <alignment vertical="center"/>
    </xf>
    <xf numFmtId="0" fontId="38" fillId="0" borderId="0" xfId="99" applyFont="1"/>
    <xf numFmtId="164" fontId="14" fillId="0" borderId="61" xfId="34" applyFont="1" applyBorder="1" applyAlignment="1">
      <alignment vertical="center"/>
    </xf>
    <xf numFmtId="0" fontId="17" fillId="0" borderId="33" xfId="111" applyNumberFormat="1" applyFont="1" applyBorder="1" applyAlignment="1">
      <alignment horizontal="center" vertical="center"/>
    </xf>
    <xf numFmtId="0" fontId="17" fillId="0" borderId="15" xfId="111" applyNumberFormat="1" applyFont="1" applyBorder="1" applyAlignment="1">
      <alignment vertical="center"/>
    </xf>
    <xf numFmtId="164" fontId="17" fillId="0" borderId="19" xfId="34" applyFont="1" applyBorder="1" applyAlignment="1">
      <alignment vertical="center"/>
    </xf>
    <xf numFmtId="164" fontId="17" fillId="0" borderId="24" xfId="34" applyFont="1" applyBorder="1" applyAlignment="1">
      <alignment vertical="center"/>
    </xf>
    <xf numFmtId="0" fontId="17" fillId="0" borderId="15" xfId="99" applyFont="1" applyBorder="1" applyAlignment="1">
      <alignment horizontal="center" vertical="center"/>
    </xf>
    <xf numFmtId="164" fontId="16" fillId="3" borderId="20" xfId="99" applyNumberFormat="1" applyFont="1" applyFill="1" applyBorder="1" applyAlignment="1">
      <alignment vertical="center"/>
    </xf>
    <xf numFmtId="0" fontId="17" fillId="0" borderId="0" xfId="99" applyFont="1" applyAlignment="1">
      <alignment vertical="center"/>
    </xf>
    <xf numFmtId="164" fontId="17" fillId="0" borderId="0" xfId="34" applyFont="1" applyAlignment="1">
      <alignment vertical="center"/>
    </xf>
    <xf numFmtId="0" fontId="39" fillId="0" borderId="0" xfId="99" applyFont="1" applyAlignment="1">
      <alignment vertical="center"/>
    </xf>
    <xf numFmtId="0" fontId="39" fillId="0" borderId="0" xfId="99" applyFont="1"/>
    <xf numFmtId="0" fontId="17" fillId="0" borderId="58" xfId="111" applyNumberFormat="1" applyFont="1" applyBorder="1" applyAlignment="1">
      <alignment horizontal="right" vertical="center"/>
    </xf>
    <xf numFmtId="164" fontId="17" fillId="0" borderId="54" xfId="99" applyNumberFormat="1" applyFont="1" applyBorder="1" applyAlignment="1">
      <alignment vertical="center"/>
    </xf>
    <xf numFmtId="0" fontId="17" fillId="0" borderId="54" xfId="99" applyFont="1" applyBorder="1" applyAlignment="1">
      <alignment vertical="center"/>
    </xf>
    <xf numFmtId="0" fontId="17" fillId="0" borderId="21" xfId="99" applyFont="1" applyBorder="1" applyAlignment="1">
      <alignment vertical="center"/>
    </xf>
    <xf numFmtId="0" fontId="17" fillId="0" borderId="33" xfId="99" applyFont="1" applyBorder="1" applyAlignment="1">
      <alignment horizontal="center" vertical="center"/>
    </xf>
    <xf numFmtId="0" fontId="17" fillId="0" borderId="19" xfId="99" applyFont="1" applyBorder="1" applyAlignment="1">
      <alignment vertical="center"/>
    </xf>
    <xf numFmtId="0" fontId="17" fillId="0" borderId="19" xfId="99" applyFont="1" applyBorder="1" applyAlignment="1">
      <alignment horizontal="center" vertical="center"/>
    </xf>
    <xf numFmtId="0" fontId="17" fillId="0" borderId="33" xfId="99" applyFont="1" applyBorder="1" applyAlignment="1">
      <alignment horizontal="right" vertical="center"/>
    </xf>
    <xf numFmtId="0" fontId="14" fillId="0" borderId="15" xfId="99" applyFont="1" applyBorder="1" applyAlignment="1">
      <alignment horizontal="right" vertical="center"/>
    </xf>
    <xf numFmtId="164" fontId="14" fillId="0" borderId="19" xfId="34" applyFont="1" applyBorder="1" applyAlignment="1">
      <alignment horizontal="center" vertical="center"/>
    </xf>
    <xf numFmtId="164" fontId="31" fillId="0" borderId="19" xfId="34" applyFont="1" applyBorder="1" applyAlignment="1">
      <alignment vertical="center"/>
    </xf>
    <xf numFmtId="0" fontId="14" fillId="0" borderId="15" xfId="114" applyNumberFormat="1" applyFont="1" applyBorder="1" applyAlignment="1">
      <alignment horizontal="right" vertical="center"/>
    </xf>
    <xf numFmtId="0" fontId="14" fillId="0" borderId="21" xfId="114" applyNumberFormat="1" applyFont="1" applyBorder="1" applyAlignment="1">
      <alignment horizontal="right" vertical="center"/>
    </xf>
    <xf numFmtId="164" fontId="31" fillId="0" borderId="24" xfId="34" applyFont="1" applyBorder="1" applyAlignment="1">
      <alignment vertical="center"/>
    </xf>
    <xf numFmtId="0" fontId="31" fillId="0" borderId="15" xfId="99" applyFont="1" applyBorder="1" applyAlignment="1">
      <alignment horizontal="center" vertical="center"/>
    </xf>
    <xf numFmtId="0" fontId="40" fillId="0" borderId="0" xfId="99" applyFont="1"/>
    <xf numFmtId="0" fontId="14" fillId="0" borderId="39" xfId="99" applyFont="1" applyBorder="1" applyAlignment="1">
      <alignment horizontal="center" vertical="center"/>
    </xf>
    <xf numFmtId="0" fontId="14" fillId="0" borderId="43" xfId="99" applyFont="1" applyBorder="1" applyAlignment="1">
      <alignment vertical="center"/>
    </xf>
    <xf numFmtId="164" fontId="14" fillId="0" borderId="43" xfId="34" applyFont="1" applyBorder="1" applyAlignment="1">
      <alignment vertical="center"/>
    </xf>
    <xf numFmtId="0" fontId="14" fillId="0" borderId="40" xfId="99" applyFont="1" applyBorder="1" applyAlignment="1">
      <alignment horizontal="center" vertical="center"/>
    </xf>
    <xf numFmtId="0" fontId="14" fillId="0" borderId="44" xfId="99" applyFont="1" applyBorder="1" applyAlignment="1">
      <alignment horizontal="center" vertical="center"/>
    </xf>
    <xf numFmtId="0" fontId="14" fillId="0" borderId="0" xfId="99" applyFont="1" applyAlignment="1">
      <alignment horizontal="center" vertical="center"/>
    </xf>
    <xf numFmtId="0" fontId="14" fillId="0" borderId="0" xfId="99" applyFont="1"/>
    <xf numFmtId="164" fontId="14" fillId="0" borderId="0" xfId="34" applyFont="1"/>
    <xf numFmtId="164" fontId="2" fillId="0" borderId="0" xfId="34"/>
    <xf numFmtId="4" fontId="40" fillId="0" borderId="0" xfId="99" applyNumberFormat="1" applyFont="1"/>
    <xf numFmtId="0" fontId="31" fillId="3" borderId="0" xfId="99" applyFont="1" applyFill="1" applyAlignment="1">
      <alignment vertical="center"/>
    </xf>
    <xf numFmtId="0" fontId="31" fillId="3" borderId="13" xfId="99" applyFont="1" applyFill="1" applyBorder="1" applyAlignment="1">
      <alignment vertical="center"/>
    </xf>
    <xf numFmtId="0" fontId="31" fillId="0" borderId="19" xfId="99" applyFont="1" applyBorder="1" applyAlignment="1">
      <alignment horizontal="center" vertical="center"/>
    </xf>
    <xf numFmtId="0" fontId="17" fillId="0" borderId="15" xfId="114" applyNumberFormat="1" applyFont="1" applyBorder="1" applyAlignment="1">
      <alignment vertical="center"/>
    </xf>
    <xf numFmtId="0" fontId="41" fillId="0" borderId="0" xfId="99" applyFont="1"/>
    <xf numFmtId="0" fontId="17" fillId="0" borderId="15" xfId="99" applyFont="1" applyBorder="1" applyAlignment="1">
      <alignment vertical="center"/>
    </xf>
    <xf numFmtId="0" fontId="17" fillId="0" borderId="15" xfId="99" applyFont="1" applyBorder="1" applyAlignment="1">
      <alignment horizontal="right" vertical="center"/>
    </xf>
    <xf numFmtId="164" fontId="17" fillId="0" borderId="61" xfId="34" applyFont="1" applyBorder="1" applyAlignment="1">
      <alignment vertical="center"/>
    </xf>
    <xf numFmtId="0" fontId="17" fillId="0" borderId="15" xfId="79" applyFont="1" applyBorder="1" applyAlignment="1">
      <alignment vertical="center"/>
    </xf>
    <xf numFmtId="0" fontId="17" fillId="0" borderId="15" xfId="79" applyFont="1" applyBorder="1" applyAlignment="1">
      <alignment horizontal="right" vertical="center"/>
    </xf>
    <xf numFmtId="0" fontId="17" fillId="0" borderId="15" xfId="114" applyNumberFormat="1" applyFont="1" applyBorder="1" applyAlignment="1">
      <alignment horizontal="right" vertical="center"/>
    </xf>
    <xf numFmtId="164" fontId="16" fillId="0" borderId="19" xfId="34" applyFont="1" applyBorder="1" applyAlignment="1">
      <alignment vertical="center"/>
    </xf>
    <xf numFmtId="0" fontId="14" fillId="0" borderId="21" xfId="99" applyFont="1" applyBorder="1" applyAlignment="1">
      <alignment horizontal="right" vertical="center"/>
    </xf>
    <xf numFmtId="0" fontId="16" fillId="0" borderId="48" xfId="99" applyFont="1" applyBorder="1" applyAlignment="1">
      <alignment horizontal="center" vertical="center"/>
    </xf>
    <xf numFmtId="0" fontId="16" fillId="0" borderId="25" xfId="99" applyFont="1" applyBorder="1" applyAlignment="1">
      <alignment vertical="center"/>
    </xf>
    <xf numFmtId="0" fontId="17" fillId="0" borderId="33" xfId="114" applyNumberFormat="1" applyFont="1" applyBorder="1" applyAlignment="1">
      <alignment horizontal="center" vertical="center"/>
    </xf>
    <xf numFmtId="0" fontId="17" fillId="0" borderId="33" xfId="114" applyNumberFormat="1" applyFont="1" applyBorder="1" applyAlignment="1">
      <alignment horizontal="right" vertical="center"/>
    </xf>
    <xf numFmtId="0" fontId="17" fillId="0" borderId="21" xfId="99" applyFont="1" applyBorder="1" applyAlignment="1">
      <alignment horizontal="right" vertical="center"/>
    </xf>
    <xf numFmtId="0" fontId="11" fillId="0" borderId="48" xfId="99" applyFont="1" applyBorder="1" applyAlignment="1">
      <alignment horizontal="center" vertical="center"/>
    </xf>
    <xf numFmtId="0" fontId="14" fillId="0" borderId="15" xfId="109" applyNumberFormat="1" applyFont="1" applyBorder="1" applyAlignment="1">
      <alignment horizontal="right" vertical="center"/>
    </xf>
    <xf numFmtId="0" fontId="31" fillId="0" borderId="19" xfId="102" applyFont="1" applyBorder="1" applyAlignment="1">
      <alignment horizontal="center" vertical="center"/>
    </xf>
    <xf numFmtId="0" fontId="14" fillId="0" borderId="15" xfId="87" applyFont="1" applyBorder="1" applyAlignment="1">
      <alignment horizontal="right" vertical="center"/>
    </xf>
    <xf numFmtId="164" fontId="14" fillId="0" borderId="27" xfId="34" applyFont="1" applyBorder="1" applyAlignment="1">
      <alignment vertical="center"/>
    </xf>
    <xf numFmtId="0" fontId="31" fillId="0" borderId="19" xfId="99" applyFont="1" applyBorder="1" applyAlignment="1">
      <alignment horizontal="right" vertical="center"/>
    </xf>
    <xf numFmtId="0" fontId="31" fillId="0" borderId="15" xfId="99" applyFont="1" applyBorder="1" applyAlignment="1">
      <alignment horizontal="right" vertical="center"/>
    </xf>
    <xf numFmtId="0" fontId="14" fillId="0" borderId="5" xfId="99" applyFont="1" applyBorder="1" applyAlignment="1">
      <alignment horizontal="center" vertical="center"/>
    </xf>
    <xf numFmtId="0" fontId="14" fillId="0" borderId="6" xfId="99" applyFont="1" applyBorder="1" applyAlignment="1">
      <alignment horizontal="center" vertical="center"/>
    </xf>
    <xf numFmtId="0" fontId="14" fillId="0" borderId="6" xfId="99" applyFont="1" applyBorder="1" applyAlignment="1">
      <alignment horizontal="center" vertical="center" wrapText="1"/>
    </xf>
    <xf numFmtId="0" fontId="14" fillId="0" borderId="8" xfId="99" applyFont="1" applyBorder="1" applyAlignment="1">
      <alignment horizontal="center" vertical="center"/>
    </xf>
    <xf numFmtId="0" fontId="14" fillId="0" borderId="17" xfId="99" applyFont="1" applyBorder="1" applyAlignment="1">
      <alignment horizontal="right" vertical="center"/>
    </xf>
    <xf numFmtId="164" fontId="14" fillId="0" borderId="15" xfId="34" applyFont="1" applyBorder="1" applyAlignment="1">
      <alignment vertical="center"/>
    </xf>
    <xf numFmtId="0" fontId="14" fillId="0" borderId="80" xfId="99" applyFont="1" applyBorder="1" applyAlignment="1">
      <alignment horizontal="center" vertical="center"/>
    </xf>
    <xf numFmtId="0" fontId="14" fillId="0" borderId="25" xfId="99" applyFont="1" applyBorder="1" applyAlignment="1">
      <alignment vertical="center"/>
    </xf>
    <xf numFmtId="164" fontId="31" fillId="0" borderId="15" xfId="34" applyFont="1" applyBorder="1" applyAlignment="1">
      <alignment vertical="center"/>
    </xf>
    <xf numFmtId="0" fontId="31" fillId="0" borderId="0" xfId="99" applyFont="1" applyAlignment="1">
      <alignment horizontal="center" vertical="center"/>
    </xf>
    <xf numFmtId="164" fontId="14" fillId="0" borderId="82" xfId="34" applyFont="1" applyBorder="1" applyAlignment="1">
      <alignment vertical="center"/>
    </xf>
    <xf numFmtId="164" fontId="14" fillId="0" borderId="21" xfId="34" applyFont="1" applyBorder="1" applyAlignment="1">
      <alignment vertical="center"/>
    </xf>
    <xf numFmtId="0" fontId="14" fillId="0" borderId="58" xfId="99" applyFont="1" applyBorder="1" applyAlignment="1">
      <alignment horizontal="center" vertical="center"/>
    </xf>
    <xf numFmtId="0" fontId="14" fillId="0" borderId="20" xfId="99" applyFont="1" applyBorder="1" applyAlignment="1">
      <alignment horizontal="center" vertical="center"/>
    </xf>
    <xf numFmtId="0" fontId="14" fillId="0" borderId="58" xfId="99" applyFont="1" applyBorder="1" applyAlignment="1">
      <alignment horizontal="right" vertical="center"/>
    </xf>
    <xf numFmtId="164" fontId="31" fillId="10" borderId="0" xfId="9" applyFont="1" applyFill="1" applyAlignment="1">
      <alignment vertical="center"/>
    </xf>
    <xf numFmtId="0" fontId="14" fillId="0" borderId="19" xfId="99" applyFont="1" applyBorder="1" applyAlignment="1">
      <alignment horizontal="right" vertical="center"/>
    </xf>
    <xf numFmtId="164" fontId="14" fillId="0" borderId="31" xfId="34" applyFont="1" applyBorder="1" applyAlignment="1">
      <alignment vertical="center"/>
    </xf>
    <xf numFmtId="0" fontId="14" fillId="0" borderId="29" xfId="99" applyFont="1" applyBorder="1" applyAlignment="1">
      <alignment vertical="center"/>
    </xf>
    <xf numFmtId="164" fontId="14" fillId="0" borderId="25" xfId="99" applyNumberFormat="1" applyFont="1" applyBorder="1" applyAlignment="1">
      <alignment horizontal="center" vertical="center"/>
    </xf>
    <xf numFmtId="164" fontId="31" fillId="3" borderId="28" xfId="99" applyNumberFormat="1" applyFont="1" applyFill="1" applyBorder="1" applyAlignment="1">
      <alignment vertical="center"/>
    </xf>
    <xf numFmtId="0" fontId="14" fillId="0" borderId="39" xfId="99" applyFont="1" applyBorder="1" applyAlignment="1">
      <alignment horizontal="right" vertical="center"/>
    </xf>
    <xf numFmtId="0" fontId="31" fillId="0" borderId="43" xfId="99" applyFont="1" applyBorder="1" applyAlignment="1">
      <alignment horizontal="right" vertical="center"/>
    </xf>
    <xf numFmtId="0" fontId="14" fillId="0" borderId="43" xfId="99" applyFont="1" applyBorder="1" applyAlignment="1">
      <alignment horizontal="center" vertical="center"/>
    </xf>
    <xf numFmtId="164" fontId="31" fillId="3" borderId="44" xfId="99" applyNumberFormat="1" applyFont="1" applyFill="1" applyBorder="1" applyAlignment="1">
      <alignment vertical="center"/>
    </xf>
    <xf numFmtId="0" fontId="2" fillId="0" borderId="0" xfId="101"/>
    <xf numFmtId="0" fontId="36" fillId="0" borderId="0" xfId="101" applyFont="1" applyAlignment="1">
      <alignment vertical="center"/>
    </xf>
    <xf numFmtId="0" fontId="14" fillId="0" borderId="0" xfId="101" applyFont="1" applyAlignment="1">
      <alignment vertical="center"/>
    </xf>
    <xf numFmtId="0" fontId="2" fillId="0" borderId="0" xfId="101" applyAlignment="1">
      <alignment vertical="center"/>
    </xf>
    <xf numFmtId="0" fontId="14" fillId="0" borderId="87" xfId="101" applyFont="1" applyBorder="1" applyAlignment="1">
      <alignment horizontal="center" vertical="center"/>
    </xf>
    <xf numFmtId="0" fontId="31" fillId="3" borderId="0" xfId="101" applyFont="1" applyFill="1" applyAlignment="1">
      <alignment vertical="center"/>
    </xf>
    <xf numFmtId="0" fontId="14" fillId="0" borderId="9" xfId="101" applyFont="1" applyBorder="1" applyAlignment="1">
      <alignment vertical="center"/>
    </xf>
    <xf numFmtId="0" fontId="14" fillId="0" borderId="12" xfId="101" applyFont="1" applyBorder="1" applyAlignment="1">
      <alignment vertical="center"/>
    </xf>
    <xf numFmtId="0" fontId="31" fillId="3" borderId="13" xfId="101" applyFont="1" applyFill="1" applyBorder="1" applyAlignment="1">
      <alignment vertical="center"/>
    </xf>
    <xf numFmtId="0" fontId="31" fillId="0" borderId="15" xfId="101" applyFont="1" applyBorder="1" applyAlignment="1">
      <alignment vertical="center"/>
    </xf>
    <xf numFmtId="0" fontId="31" fillId="3" borderId="20" xfId="101" applyFont="1" applyFill="1" applyBorder="1" applyAlignment="1">
      <alignment horizontal="center" vertical="center"/>
    </xf>
    <xf numFmtId="164" fontId="31" fillId="3" borderId="20" xfId="101" applyNumberFormat="1" applyFont="1" applyFill="1" applyBorder="1" applyAlignment="1">
      <alignment vertical="center"/>
    </xf>
    <xf numFmtId="0" fontId="14" fillId="0" borderId="17" xfId="87" applyFont="1" applyBorder="1" applyAlignment="1">
      <alignment horizontal="right" vertical="center"/>
    </xf>
    <xf numFmtId="164" fontId="14" fillId="0" borderId="61" xfId="39" applyNumberFormat="1" applyFont="1" applyBorder="1" applyAlignment="1">
      <alignment vertical="center"/>
    </xf>
    <xf numFmtId="164" fontId="31" fillId="3" borderId="20" xfId="90" applyNumberFormat="1" applyFont="1" applyFill="1" applyBorder="1" applyAlignment="1">
      <alignment vertical="center"/>
    </xf>
    <xf numFmtId="164" fontId="14" fillId="0" borderId="24" xfId="39" applyNumberFormat="1" applyFont="1" applyBorder="1" applyAlignment="1">
      <alignment vertical="center"/>
    </xf>
    <xf numFmtId="164" fontId="14" fillId="0" borderId="0" xfId="39" applyNumberFormat="1" applyFont="1" applyAlignment="1">
      <alignment vertical="center"/>
    </xf>
    <xf numFmtId="0" fontId="14" fillId="0" borderId="39" xfId="101" applyFont="1" applyBorder="1" applyAlignment="1">
      <alignment horizontal="center" vertical="center"/>
    </xf>
    <xf numFmtId="0" fontId="14" fillId="0" borderId="43" xfId="101" applyFont="1" applyBorder="1" applyAlignment="1">
      <alignment vertical="center"/>
    </xf>
    <xf numFmtId="164" fontId="14" fillId="0" borderId="43" xfId="39" applyNumberFormat="1" applyFont="1" applyBorder="1" applyAlignment="1">
      <alignment vertical="center"/>
    </xf>
    <xf numFmtId="0" fontId="14" fillId="0" borderId="43" xfId="101" applyFont="1" applyBorder="1" applyAlignment="1">
      <alignment horizontal="center" vertical="center"/>
    </xf>
    <xf numFmtId="0" fontId="14" fillId="0" borderId="44" xfId="101" applyFont="1" applyBorder="1" applyAlignment="1">
      <alignment horizontal="center" vertical="center"/>
    </xf>
    <xf numFmtId="0" fontId="14" fillId="0" borderId="0" xfId="101" applyFont="1" applyAlignment="1">
      <alignment horizontal="center" vertical="center"/>
    </xf>
    <xf numFmtId="0" fontId="14" fillId="0" borderId="0" xfId="101" applyFont="1"/>
    <xf numFmtId="164" fontId="14" fillId="0" borderId="0" xfId="39" applyNumberFormat="1" applyFont="1"/>
    <xf numFmtId="164" fontId="2" fillId="0" borderId="0" xfId="39" applyNumberFormat="1"/>
    <xf numFmtId="0" fontId="2" fillId="0" borderId="0" xfId="91" applyAlignment="1">
      <alignment horizontal="center"/>
    </xf>
    <xf numFmtId="0" fontId="2" fillId="0" borderId="0" xfId="91" applyAlignment="1">
      <alignment vertical="center"/>
    </xf>
    <xf numFmtId="0" fontId="36" fillId="0" borderId="0" xfId="91" applyFont="1" applyAlignment="1">
      <alignment vertical="center"/>
    </xf>
    <xf numFmtId="0" fontId="14" fillId="0" borderId="5" xfId="91" applyFont="1" applyBorder="1" applyAlignment="1">
      <alignment horizontal="center" vertical="center"/>
    </xf>
    <xf numFmtId="0" fontId="14" fillId="0" borderId="6" xfId="91" applyFont="1" applyBorder="1" applyAlignment="1">
      <alignment horizontal="center" vertical="center"/>
    </xf>
    <xf numFmtId="0" fontId="14" fillId="0" borderId="6" xfId="91" applyFont="1" applyBorder="1" applyAlignment="1">
      <alignment horizontal="center" vertical="center" wrapText="1"/>
    </xf>
    <xf numFmtId="0" fontId="14" fillId="0" borderId="8" xfId="91" applyFont="1" applyBorder="1" applyAlignment="1">
      <alignment horizontal="center" vertical="center"/>
    </xf>
    <xf numFmtId="0" fontId="14" fillId="0" borderId="67" xfId="91" applyFont="1" applyBorder="1" applyAlignment="1">
      <alignment vertical="center"/>
    </xf>
    <xf numFmtId="0" fontId="14" fillId="0" borderId="89" xfId="91" applyFont="1" applyBorder="1" applyAlignment="1">
      <alignment horizontal="center" vertical="center"/>
    </xf>
    <xf numFmtId="0" fontId="14" fillId="0" borderId="13" xfId="91" applyFont="1" applyBorder="1" applyAlignment="1">
      <alignment horizontal="center" vertical="center"/>
    </xf>
    <xf numFmtId="0" fontId="14" fillId="0" borderId="33" xfId="91" applyFont="1" applyBorder="1" applyAlignment="1">
      <alignment vertical="center"/>
    </xf>
    <xf numFmtId="0" fontId="14" fillId="0" borderId="20" xfId="91" applyFont="1" applyBorder="1" applyAlignment="1">
      <alignment horizontal="center" vertical="center"/>
    </xf>
    <xf numFmtId="0" fontId="42" fillId="0" borderId="57" xfId="91" applyFont="1" applyBorder="1" applyAlignment="1">
      <alignment horizontal="center" vertical="center"/>
    </xf>
    <xf numFmtId="0" fontId="42" fillId="0" borderId="15" xfId="91" applyFont="1" applyBorder="1" applyAlignment="1">
      <alignment vertical="center"/>
    </xf>
    <xf numFmtId="0" fontId="14" fillId="0" borderId="23" xfId="91" applyFont="1" applyBorder="1" applyAlignment="1">
      <alignment horizontal="center" vertical="center"/>
    </xf>
    <xf numFmtId="164" fontId="14" fillId="0" borderId="61" xfId="18" applyFont="1" applyBorder="1" applyAlignment="1">
      <alignment vertical="center"/>
    </xf>
    <xf numFmtId="0" fontId="31" fillId="0" borderId="54" xfId="79" applyFont="1" applyBorder="1" applyAlignment="1">
      <alignment horizontal="center" vertical="center"/>
    </xf>
    <xf numFmtId="164" fontId="17" fillId="0" borderId="19" xfId="18" applyFont="1" applyBorder="1" applyAlignment="1">
      <alignment vertical="center"/>
    </xf>
    <xf numFmtId="164" fontId="16" fillId="0" borderId="24" xfId="18" applyFont="1" applyBorder="1" applyAlignment="1">
      <alignment vertical="center"/>
    </xf>
    <xf numFmtId="0" fontId="16" fillId="0" borderId="20" xfId="91" applyFont="1" applyBorder="1" applyAlignment="1">
      <alignment horizontal="center" vertical="center"/>
    </xf>
    <xf numFmtId="0" fontId="17" fillId="0" borderId="0" xfId="91" applyFont="1"/>
    <xf numFmtId="0" fontId="17" fillId="0" borderId="20" xfId="91" applyFont="1" applyBorder="1" applyAlignment="1">
      <alignment horizontal="center" vertical="center"/>
    </xf>
    <xf numFmtId="164" fontId="17" fillId="0" borderId="61" xfId="18" applyFont="1" applyBorder="1" applyAlignment="1">
      <alignment vertical="center"/>
    </xf>
    <xf numFmtId="0" fontId="14" fillId="0" borderId="23" xfId="91" applyFont="1" applyBorder="1" applyAlignment="1">
      <alignment horizontal="right" vertical="center"/>
    </xf>
    <xf numFmtId="0" fontId="17" fillId="0" borderId="20" xfId="91" applyFont="1" applyBorder="1" applyAlignment="1">
      <alignment vertical="center"/>
    </xf>
    <xf numFmtId="164" fontId="17" fillId="0" borderId="24" xfId="18" applyFont="1" applyBorder="1" applyAlignment="1">
      <alignment vertical="center"/>
    </xf>
    <xf numFmtId="0" fontId="10" fillId="0" borderId="19" xfId="91" applyFont="1" applyBorder="1" applyAlignment="1">
      <alignment vertical="center"/>
    </xf>
    <xf numFmtId="164" fontId="10" fillId="0" borderId="19" xfId="29" applyFont="1" applyBorder="1" applyAlignment="1">
      <alignment vertical="center"/>
    </xf>
    <xf numFmtId="164" fontId="11" fillId="0" borderId="20" xfId="91" applyNumberFormat="1" applyFont="1" applyBorder="1" applyAlignment="1">
      <alignment vertical="center"/>
    </xf>
    <xf numFmtId="0" fontId="10" fillId="0" borderId="0" xfId="91" applyFont="1" applyAlignment="1">
      <alignment vertical="center"/>
    </xf>
    <xf numFmtId="164" fontId="10" fillId="0" borderId="0" xfId="29" applyFont="1" applyAlignment="1">
      <alignment vertical="center"/>
    </xf>
    <xf numFmtId="0" fontId="8" fillId="0" borderId="0" xfId="91" applyFont="1" applyAlignment="1">
      <alignment vertical="center"/>
    </xf>
    <xf numFmtId="0" fontId="8" fillId="0" borderId="0" xfId="91" applyFont="1"/>
    <xf numFmtId="0" fontId="10" fillId="0" borderId="19" xfId="91" applyFont="1" applyBorder="1" applyAlignment="1">
      <alignment horizontal="center" vertical="center"/>
    </xf>
    <xf numFmtId="0" fontId="10" fillId="0" borderId="33" xfId="91" applyFont="1" applyBorder="1" applyAlignment="1">
      <alignment horizontal="right" vertical="center"/>
    </xf>
    <xf numFmtId="0" fontId="10" fillId="0" borderId="19" xfId="91" applyFont="1" applyBorder="1" applyAlignment="1">
      <alignment horizontal="right" vertical="center"/>
    </xf>
    <xf numFmtId="164" fontId="10" fillId="0" borderId="61" xfId="29" applyFont="1" applyBorder="1" applyAlignment="1">
      <alignment vertical="center"/>
    </xf>
    <xf numFmtId="164" fontId="10" fillId="0" borderId="24" xfId="29" applyFont="1" applyBorder="1" applyAlignment="1">
      <alignment vertical="center"/>
    </xf>
    <xf numFmtId="0" fontId="17" fillId="0" borderId="15" xfId="91" applyFont="1" applyBorder="1" applyAlignment="1">
      <alignment horizontal="right" vertical="center"/>
    </xf>
    <xf numFmtId="164" fontId="31" fillId="0" borderId="61" xfId="18" applyFont="1" applyBorder="1" applyAlignment="1">
      <alignment vertical="center"/>
    </xf>
    <xf numFmtId="0" fontId="14" fillId="0" borderId="39" xfId="91" applyFont="1" applyBorder="1" applyAlignment="1">
      <alignment vertical="center"/>
    </xf>
    <xf numFmtId="164" fontId="14" fillId="0" borderId="43" xfId="18" applyFont="1" applyBorder="1" applyAlignment="1">
      <alignment vertical="center"/>
    </xf>
    <xf numFmtId="164" fontId="14" fillId="0" borderId="0" xfId="18" applyFont="1" applyAlignment="1">
      <alignment vertical="center"/>
    </xf>
    <xf numFmtId="0" fontId="14" fillId="0" borderId="0" xfId="91" applyFont="1" applyAlignment="1">
      <alignment horizontal="center"/>
    </xf>
    <xf numFmtId="0" fontId="31" fillId="3" borderId="0" xfId="91" applyFont="1" applyFill="1" applyAlignment="1">
      <alignment vertical="center"/>
    </xf>
    <xf numFmtId="0" fontId="31" fillId="3" borderId="13" xfId="91" applyFont="1" applyFill="1" applyBorder="1" applyAlignment="1">
      <alignment vertical="center"/>
    </xf>
    <xf numFmtId="0" fontId="31" fillId="3" borderId="20" xfId="91" applyFont="1" applyFill="1" applyBorder="1" applyAlignment="1">
      <alignment horizontal="center" vertical="center"/>
    </xf>
    <xf numFmtId="164" fontId="31" fillId="3" borderId="20" xfId="91" applyNumberFormat="1" applyFont="1" applyFill="1" applyBorder="1" applyAlignment="1">
      <alignment vertical="center"/>
    </xf>
    <xf numFmtId="164" fontId="16" fillId="3" borderId="20" xfId="91" applyNumberFormat="1" applyFont="1" applyFill="1" applyBorder="1" applyAlignment="1">
      <alignment vertical="center"/>
    </xf>
    <xf numFmtId="0" fontId="37" fillId="0" borderId="0" xfId="91" applyFont="1" applyAlignment="1">
      <alignment vertical="center"/>
    </xf>
    <xf numFmtId="0" fontId="37" fillId="0" borderId="0" xfId="91" applyFont="1"/>
    <xf numFmtId="0" fontId="17" fillId="10" borderId="21" xfId="91" applyFont="1" applyFill="1" applyBorder="1" applyAlignment="1">
      <alignment vertical="center"/>
    </xf>
    <xf numFmtId="0" fontId="14" fillId="9" borderId="19" xfId="91" applyFont="1" applyFill="1" applyBorder="1" applyAlignment="1">
      <alignment horizontal="right" vertical="center"/>
    </xf>
    <xf numFmtId="164" fontId="14" fillId="0" borderId="19" xfId="32" applyFont="1" applyBorder="1" applyAlignment="1">
      <alignment vertical="center"/>
    </xf>
    <xf numFmtId="164" fontId="14" fillId="0" borderId="61" xfId="32" applyFont="1" applyBorder="1" applyAlignment="1">
      <alignment vertical="center"/>
    </xf>
    <xf numFmtId="164" fontId="14" fillId="0" borderId="24" xfId="32" applyFont="1" applyBorder="1" applyAlignment="1">
      <alignment vertical="center"/>
    </xf>
    <xf numFmtId="164" fontId="31" fillId="3" borderId="28" xfId="91" applyNumberFormat="1" applyFont="1" applyFill="1" applyBorder="1" applyAlignment="1">
      <alignment vertical="center"/>
    </xf>
    <xf numFmtId="164" fontId="2" fillId="0" borderId="0" xfId="29"/>
    <xf numFmtId="0" fontId="14" fillId="0" borderId="89" xfId="91" applyFont="1" applyBorder="1" applyAlignment="1">
      <alignment vertical="center"/>
    </xf>
    <xf numFmtId="0" fontId="14" fillId="0" borderId="13" xfId="91" applyFont="1" applyBorder="1" applyAlignment="1">
      <alignment vertical="center"/>
    </xf>
    <xf numFmtId="0" fontId="14" fillId="0" borderId="20" xfId="91" applyFont="1" applyBorder="1" applyAlignment="1">
      <alignment vertical="center"/>
    </xf>
    <xf numFmtId="0" fontId="43" fillId="0" borderId="57" xfId="91" applyFont="1" applyBorder="1" applyAlignment="1">
      <alignment horizontal="center" vertical="center"/>
    </xf>
    <xf numFmtId="0" fontId="43" fillId="0" borderId="15" xfId="91" applyFont="1" applyBorder="1" applyAlignment="1">
      <alignment vertical="center"/>
    </xf>
    <xf numFmtId="0" fontId="31" fillId="0" borderId="20" xfId="91" applyFont="1" applyBorder="1" applyAlignment="1">
      <alignment vertical="center"/>
    </xf>
    <xf numFmtId="0" fontId="14" fillId="0" borderId="54" xfId="91" applyFont="1" applyBorder="1" applyAlignment="1">
      <alignment vertical="center"/>
    </xf>
    <xf numFmtId="0" fontId="31" fillId="0" borderId="54" xfId="75" applyFont="1" applyBorder="1" applyAlignment="1">
      <alignment vertical="center"/>
    </xf>
    <xf numFmtId="0" fontId="14" fillId="0" borderId="15" xfId="75" applyFont="1" applyBorder="1" applyAlignment="1">
      <alignment horizontal="right" vertical="center"/>
    </xf>
    <xf numFmtId="164" fontId="14" fillId="0" borderId="31" xfId="29" applyFont="1" applyBorder="1" applyAlignment="1">
      <alignment vertical="center"/>
    </xf>
    <xf numFmtId="0" fontId="14" fillId="0" borderId="54" xfId="75" applyFont="1" applyBorder="1" applyAlignment="1">
      <alignment vertical="center"/>
    </xf>
    <xf numFmtId="0" fontId="17" fillId="0" borderId="58" xfId="91" applyFont="1" applyBorder="1" applyAlignment="1">
      <alignment horizontal="right" vertical="center"/>
    </xf>
    <xf numFmtId="164" fontId="16" fillId="0" borderId="24" xfId="29" applyFont="1" applyBorder="1" applyAlignment="1">
      <alignment vertical="center"/>
    </xf>
    <xf numFmtId="0" fontId="16" fillId="0" borderId="20" xfId="91" applyFont="1" applyBorder="1" applyAlignment="1">
      <alignment vertical="center"/>
    </xf>
    <xf numFmtId="0" fontId="14" fillId="0" borderId="15" xfId="102" applyFont="1" applyBorder="1" applyAlignment="1">
      <alignment horizontal="right" vertical="center"/>
    </xf>
    <xf numFmtId="170" fontId="14" fillId="0" borderId="19" xfId="29" applyNumberFormat="1" applyFont="1" applyBorder="1" applyAlignment="1">
      <alignment vertical="center"/>
    </xf>
    <xf numFmtId="0" fontId="14" fillId="0" borderId="25" xfId="91" applyFont="1" applyBorder="1" applyAlignment="1">
      <alignment horizontal="right" vertical="center"/>
    </xf>
    <xf numFmtId="0" fontId="14" fillId="0" borderId="44" xfId="91" applyFont="1" applyBorder="1" applyAlignment="1">
      <alignment vertical="center"/>
    </xf>
    <xf numFmtId="0" fontId="31" fillId="3" borderId="0" xfId="91" applyFont="1" applyFill="1" applyAlignment="1">
      <alignment horizontal="center" vertical="center"/>
    </xf>
    <xf numFmtId="164" fontId="31" fillId="3" borderId="0" xfId="91" applyNumberFormat="1" applyFont="1" applyFill="1" applyAlignment="1">
      <alignment vertical="center"/>
    </xf>
    <xf numFmtId="0" fontId="26" fillId="0" borderId="0" xfId="91" applyFont="1" applyAlignment="1">
      <alignment vertical="center"/>
    </xf>
    <xf numFmtId="164" fontId="16" fillId="0" borderId="19" xfId="18" applyFont="1" applyBorder="1" applyAlignment="1">
      <alignment vertical="center"/>
    </xf>
    <xf numFmtId="164" fontId="16" fillId="3" borderId="0" xfId="91" applyNumberFormat="1" applyFont="1" applyFill="1" applyAlignment="1">
      <alignment vertical="center"/>
    </xf>
    <xf numFmtId="164" fontId="14" fillId="0" borderId="19" xfId="18" applyFont="1" applyBorder="1" applyAlignment="1">
      <alignment horizontal="center" vertical="center"/>
    </xf>
    <xf numFmtId="0" fontId="14" fillId="0" borderId="21" xfId="91" applyFont="1" applyBorder="1" applyAlignment="1">
      <alignment horizontal="right" vertical="center"/>
    </xf>
    <xf numFmtId="0" fontId="14" fillId="0" borderId="17" xfId="91" applyFont="1" applyBorder="1" applyAlignment="1">
      <alignment horizontal="right" vertical="center"/>
    </xf>
    <xf numFmtId="0" fontId="17" fillId="0" borderId="21" xfId="91" applyFont="1" applyBorder="1" applyAlignment="1">
      <alignment horizontal="right" vertical="center"/>
    </xf>
    <xf numFmtId="164" fontId="17" fillId="0" borderId="19" xfId="18" applyFont="1" applyBorder="1" applyAlignment="1">
      <alignment horizontal="center" vertical="center"/>
    </xf>
    <xf numFmtId="0" fontId="17" fillId="0" borderId="57" xfId="91" applyFont="1" applyBorder="1" applyAlignment="1">
      <alignment horizontal="right" vertical="center"/>
    </xf>
    <xf numFmtId="0" fontId="17" fillId="0" borderId="57" xfId="91" applyFont="1" applyBorder="1" applyAlignment="1">
      <alignment horizontal="center" vertical="center"/>
    </xf>
    <xf numFmtId="0" fontId="10" fillId="0" borderId="57" xfId="91" applyFont="1" applyBorder="1" applyAlignment="1">
      <alignment horizontal="center" vertical="center"/>
    </xf>
    <xf numFmtId="164" fontId="10" fillId="0" borderId="19" xfId="18" applyFont="1" applyBorder="1" applyAlignment="1">
      <alignment vertical="center"/>
    </xf>
    <xf numFmtId="164" fontId="11" fillId="0" borderId="24" xfId="18" applyFont="1" applyBorder="1" applyAlignment="1">
      <alignment vertical="center"/>
    </xf>
    <xf numFmtId="0" fontId="11" fillId="0" borderId="20" xfId="91" applyFont="1" applyBorder="1" applyAlignment="1">
      <alignment horizontal="center" vertical="center"/>
    </xf>
    <xf numFmtId="0" fontId="44" fillId="0" borderId="0" xfId="91" applyFont="1" applyAlignment="1">
      <alignment vertical="center"/>
    </xf>
    <xf numFmtId="0" fontId="44" fillId="0" borderId="0" xfId="91" applyFont="1"/>
    <xf numFmtId="0" fontId="10" fillId="0" borderId="57" xfId="91" applyFont="1" applyBorder="1" applyAlignment="1">
      <alignment horizontal="right" vertical="center"/>
    </xf>
    <xf numFmtId="164" fontId="11" fillId="0" borderId="61" xfId="18" applyFont="1" applyBorder="1" applyAlignment="1">
      <alignment vertical="center"/>
    </xf>
    <xf numFmtId="164" fontId="10" fillId="0" borderId="24" xfId="18" applyFont="1" applyBorder="1" applyAlignment="1">
      <alignment vertical="center"/>
    </xf>
    <xf numFmtId="0" fontId="10" fillId="0" borderId="20" xfId="91" applyFont="1" applyBorder="1" applyAlignment="1">
      <alignment horizontal="center" vertical="center"/>
    </xf>
    <xf numFmtId="164" fontId="10" fillId="0" borderId="61" xfId="18" applyFont="1" applyBorder="1" applyAlignment="1">
      <alignment vertical="center"/>
    </xf>
    <xf numFmtId="0" fontId="14" fillId="0" borderId="57" xfId="87" applyFont="1" applyBorder="1" applyAlignment="1">
      <alignment horizontal="center" vertical="center"/>
    </xf>
    <xf numFmtId="0" fontId="2" fillId="0" borderId="0" xfId="87" applyAlignment="1">
      <alignment vertical="center"/>
    </xf>
    <xf numFmtId="0" fontId="2" fillId="0" borderId="0" xfId="87"/>
    <xf numFmtId="0" fontId="14" fillId="0" borderId="20" xfId="87" applyFont="1" applyBorder="1" applyAlignment="1">
      <alignment horizontal="center" vertical="center"/>
    </xf>
    <xf numFmtId="0" fontId="14" fillId="0" borderId="15" xfId="87" applyFont="1" applyBorder="1" applyAlignment="1">
      <alignment horizontal="center" vertical="center"/>
    </xf>
    <xf numFmtId="164" fontId="31" fillId="0" borderId="24" xfId="17" applyFont="1" applyBorder="1" applyAlignment="1">
      <alignment vertical="center"/>
    </xf>
    <xf numFmtId="0" fontId="31" fillId="0" borderId="20" xfId="87" applyFont="1" applyBorder="1" applyAlignment="1">
      <alignment horizontal="center" vertical="center"/>
    </xf>
    <xf numFmtId="0" fontId="14" fillId="0" borderId="21" xfId="87" applyFont="1" applyBorder="1" applyAlignment="1">
      <alignment horizontal="right" vertical="center"/>
    </xf>
    <xf numFmtId="0" fontId="14" fillId="0" borderId="57" xfId="87" applyFont="1" applyBorder="1" applyAlignment="1">
      <alignment horizontal="right" vertical="center"/>
    </xf>
    <xf numFmtId="171" fontId="14" fillId="0" borderId="0" xfId="91" applyNumberFormat="1" applyFont="1" applyAlignment="1">
      <alignment vertical="center"/>
    </xf>
    <xf numFmtId="0" fontId="14" fillId="0" borderId="15" xfId="91" applyFont="1" applyBorder="1" applyAlignment="1">
      <alignment horizontal="right" vertical="center" wrapText="1"/>
    </xf>
    <xf numFmtId="164" fontId="31" fillId="0" borderId="27" xfId="29" applyFont="1" applyBorder="1" applyAlignment="1">
      <alignment vertical="center"/>
    </xf>
    <xf numFmtId="164" fontId="17" fillId="0" borderId="31" xfId="18" applyFont="1" applyBorder="1" applyAlignment="1">
      <alignment vertical="center"/>
    </xf>
    <xf numFmtId="0" fontId="17" fillId="0" borderId="15" xfId="91" applyFont="1" applyBorder="1" applyAlignment="1">
      <alignment vertical="center" wrapText="1"/>
    </xf>
    <xf numFmtId="164" fontId="14" fillId="0" borderId="0" xfId="18" applyFont="1"/>
    <xf numFmtId="164" fontId="2" fillId="0" borderId="0" xfId="18"/>
    <xf numFmtId="0" fontId="36" fillId="0" borderId="0" xfId="87" applyFont="1" applyAlignment="1">
      <alignment vertical="center"/>
    </xf>
    <xf numFmtId="0" fontId="14" fillId="0" borderId="5" xfId="87" applyFont="1" applyBorder="1" applyAlignment="1">
      <alignment horizontal="center" vertical="center"/>
    </xf>
    <xf numFmtId="0" fontId="14" fillId="0" borderId="6" xfId="87" applyFont="1" applyBorder="1" applyAlignment="1">
      <alignment horizontal="center" vertical="center"/>
    </xf>
    <xf numFmtId="0" fontId="14" fillId="0" borderId="6" xfId="87" applyFont="1" applyBorder="1" applyAlignment="1">
      <alignment horizontal="center" vertical="center" wrapText="1"/>
    </xf>
    <xf numFmtId="0" fontId="14" fillId="0" borderId="8" xfId="87" applyFont="1" applyBorder="1" applyAlignment="1">
      <alignment horizontal="center" vertical="center"/>
    </xf>
    <xf numFmtId="0" fontId="14" fillId="0" borderId="9" xfId="87" applyFont="1" applyBorder="1" applyAlignment="1">
      <alignment vertical="center"/>
    </xf>
    <xf numFmtId="0" fontId="14" fillId="0" borderId="12" xfId="87" applyFont="1" applyBorder="1" applyAlignment="1">
      <alignment vertical="center"/>
    </xf>
    <xf numFmtId="0" fontId="14" fillId="0" borderId="13" xfId="87" applyFont="1" applyBorder="1" applyAlignment="1">
      <alignment vertical="center"/>
    </xf>
    <xf numFmtId="164" fontId="31" fillId="0" borderId="20" xfId="87" applyNumberFormat="1" applyFont="1" applyBorder="1" applyAlignment="1">
      <alignment vertical="center"/>
    </xf>
    <xf numFmtId="0" fontId="14" fillId="0" borderId="15" xfId="71" applyFont="1" applyBorder="1" applyAlignment="1">
      <alignment vertical="center"/>
    </xf>
    <xf numFmtId="0" fontId="17" fillId="0" borderId="15" xfId="87" applyFont="1" applyBorder="1" applyAlignment="1">
      <alignment vertical="center"/>
    </xf>
    <xf numFmtId="0" fontId="17" fillId="0" borderId="20" xfId="87" applyFont="1" applyBorder="1" applyAlignment="1">
      <alignment horizontal="center" vertical="center"/>
    </xf>
    <xf numFmtId="0" fontId="17" fillId="0" borderId="0" xfId="87" applyFont="1" applyAlignment="1">
      <alignment vertical="center"/>
    </xf>
    <xf numFmtId="0" fontId="37" fillId="0" borderId="0" xfId="87" applyFont="1"/>
    <xf numFmtId="0" fontId="17" fillId="0" borderId="15" xfId="87" applyFont="1" applyBorder="1" applyAlignment="1">
      <alignment horizontal="right" vertical="center"/>
    </xf>
    <xf numFmtId="164" fontId="16" fillId="0" borderId="20" xfId="87" applyNumberFormat="1" applyFont="1" applyBorder="1" applyAlignment="1">
      <alignment vertical="center"/>
    </xf>
    <xf numFmtId="164" fontId="10" fillId="0" borderId="19" xfId="17" applyFont="1" applyBorder="1" applyAlignment="1">
      <alignment vertical="center"/>
    </xf>
    <xf numFmtId="164" fontId="14" fillId="0" borderId="31" xfId="17" applyFont="1" applyBorder="1" applyAlignment="1">
      <alignment vertical="center"/>
    </xf>
    <xf numFmtId="164" fontId="31" fillId="0" borderId="0" xfId="87" applyNumberFormat="1" applyFont="1" applyAlignment="1">
      <alignment vertical="center"/>
    </xf>
    <xf numFmtId="164" fontId="10" fillId="0" borderId="24" xfId="17" applyFont="1" applyBorder="1" applyAlignment="1">
      <alignment vertical="center"/>
    </xf>
    <xf numFmtId="0" fontId="14" fillId="0" borderId="15" xfId="87" applyFont="1" applyBorder="1" applyAlignment="1">
      <alignment vertical="center" wrapText="1"/>
    </xf>
    <xf numFmtId="0" fontId="17" fillId="0" borderId="15" xfId="87" applyFont="1" applyBorder="1" applyAlignment="1">
      <alignment horizontal="left" vertical="center" wrapText="1"/>
    </xf>
    <xf numFmtId="0" fontId="17" fillId="0" borderId="15" xfId="101" applyFont="1" applyBorder="1" applyAlignment="1">
      <alignment vertical="center" wrapText="1"/>
    </xf>
    <xf numFmtId="164" fontId="16" fillId="0" borderId="0" xfId="87" applyNumberFormat="1" applyFont="1" applyAlignment="1">
      <alignment vertical="center"/>
    </xf>
    <xf numFmtId="0" fontId="17" fillId="0" borderId="23" xfId="87" applyFont="1" applyBorder="1" applyAlignment="1">
      <alignment horizontal="center" vertical="center"/>
    </xf>
    <xf numFmtId="0" fontId="10" fillId="0" borderId="33" xfId="0" applyFont="1" applyBorder="1" applyAlignment="1">
      <alignment horizontal="right" vertical="center"/>
    </xf>
    <xf numFmtId="0" fontId="10" fillId="0" borderId="20" xfId="87" applyFont="1" applyBorder="1" applyAlignment="1">
      <alignment horizontal="center" vertical="center"/>
    </xf>
    <xf numFmtId="0" fontId="10" fillId="0" borderId="0" xfId="87" applyFont="1" applyAlignment="1">
      <alignment vertical="center"/>
    </xf>
    <xf numFmtId="0" fontId="44" fillId="0" borderId="0" xfId="87" applyFont="1"/>
    <xf numFmtId="0" fontId="17" fillId="0" borderId="33" xfId="0" applyFont="1" applyBorder="1" applyAlignment="1">
      <alignment horizontal="center" vertical="center"/>
    </xf>
    <xf numFmtId="0" fontId="17" fillId="0" borderId="25" xfId="0" applyFont="1" applyBorder="1" applyAlignment="1">
      <alignment vertical="center"/>
    </xf>
    <xf numFmtId="0" fontId="17" fillId="0" borderId="33" xfId="0" applyFont="1" applyBorder="1" applyAlignment="1">
      <alignment horizontal="right" vertical="center"/>
    </xf>
    <xf numFmtId="0" fontId="14" fillId="0" borderId="25" xfId="0" applyFont="1" applyBorder="1" applyAlignment="1">
      <alignment horizontal="right" vertical="center"/>
    </xf>
    <xf numFmtId="0" fontId="14" fillId="0" borderId="25" xfId="0" applyFont="1" applyBorder="1" applyAlignment="1">
      <alignment horizontal="left" vertical="center" wrapText="1"/>
    </xf>
    <xf numFmtId="0" fontId="14" fillId="0" borderId="15" xfId="0" applyFont="1" applyBorder="1" applyAlignment="1">
      <alignment horizontal="left" vertical="center" wrapText="1"/>
    </xf>
    <xf numFmtId="0" fontId="14" fillId="0" borderId="57" xfId="100" applyFont="1" applyBorder="1" applyAlignment="1">
      <alignment horizontal="center" vertical="center"/>
    </xf>
    <xf numFmtId="0" fontId="14" fillId="0" borderId="21" xfId="100" applyFont="1" applyBorder="1" applyAlignment="1">
      <alignment vertical="center"/>
    </xf>
    <xf numFmtId="0" fontId="14" fillId="0" borderId="21" xfId="100" applyFont="1" applyBorder="1" applyAlignment="1">
      <alignment horizontal="right" vertical="center"/>
    </xf>
    <xf numFmtId="0" fontId="14" fillId="0" borderId="15" xfId="105" applyNumberFormat="1" applyFont="1" applyBorder="1" applyAlignment="1">
      <alignment vertical="center"/>
    </xf>
    <xf numFmtId="0" fontId="14" fillId="0" borderId="58" xfId="105" applyNumberFormat="1" applyFont="1" applyBorder="1" applyAlignment="1">
      <alignment horizontal="right" vertical="center"/>
    </xf>
    <xf numFmtId="0" fontId="14" fillId="0" borderId="33" xfId="100" applyFont="1" applyBorder="1" applyAlignment="1">
      <alignment horizontal="center" vertical="center"/>
    </xf>
    <xf numFmtId="0" fontId="14" fillId="0" borderId="15" xfId="100" applyFont="1" applyBorder="1" applyAlignment="1">
      <alignment vertical="center"/>
    </xf>
    <xf numFmtId="0" fontId="14" fillId="0" borderId="33" xfId="100" applyFont="1" applyBorder="1" applyAlignment="1">
      <alignment horizontal="right" vertical="center"/>
    </xf>
    <xf numFmtId="0" fontId="14" fillId="0" borderId="15" xfId="100" applyFont="1" applyBorder="1" applyAlignment="1">
      <alignment horizontal="right" vertical="center"/>
    </xf>
    <xf numFmtId="0" fontId="14" fillId="0" borderId="15" xfId="73" applyFont="1" applyBorder="1" applyAlignment="1">
      <alignment horizontal="right" vertical="center"/>
    </xf>
    <xf numFmtId="0" fontId="14" fillId="0" borderId="15" xfId="89" applyFont="1" applyBorder="1" applyAlignment="1">
      <alignment vertical="center"/>
    </xf>
    <xf numFmtId="0" fontId="14" fillId="0" borderId="19" xfId="101" applyFont="1" applyBorder="1" applyAlignment="1">
      <alignment horizontal="left" vertical="center" wrapText="1"/>
    </xf>
    <xf numFmtId="164" fontId="14" fillId="0" borderId="19" xfId="9" applyFont="1" applyBorder="1" applyAlignment="1">
      <alignment horizontal="left" vertical="center" wrapText="1"/>
    </xf>
    <xf numFmtId="0" fontId="14" fillId="0" borderId="19" xfId="101" applyFont="1" applyBorder="1" applyAlignment="1">
      <alignment horizontal="right" vertical="center" wrapText="1"/>
    </xf>
    <xf numFmtId="0" fontId="10" fillId="0" borderId="19" xfId="0" applyFont="1" applyBorder="1" applyAlignment="1">
      <alignment horizontal="left" vertical="center"/>
    </xf>
    <xf numFmtId="164" fontId="10" fillId="0" borderId="19" xfId="0" applyNumberFormat="1" applyFont="1" applyBorder="1" applyAlignment="1">
      <alignment horizontal="left" vertical="center"/>
    </xf>
    <xf numFmtId="164" fontId="14" fillId="0" borderId="17" xfId="9" applyFont="1" applyBorder="1" applyAlignment="1">
      <alignment vertical="center"/>
    </xf>
    <xf numFmtId="0" fontId="10" fillId="0" borderId="25" xfId="0" applyFont="1" applyBorder="1" applyAlignment="1">
      <alignment horizontal="right" vertical="center"/>
    </xf>
    <xf numFmtId="0" fontId="10" fillId="0" borderId="19" xfId="0" applyFont="1" applyBorder="1" applyAlignment="1">
      <alignment horizontal="right" vertical="center"/>
    </xf>
    <xf numFmtId="0" fontId="31" fillId="0" borderId="19" xfId="87" applyFont="1" applyBorder="1" applyAlignment="1">
      <alignment horizontal="right" vertical="center"/>
    </xf>
    <xf numFmtId="0" fontId="14" fillId="0" borderId="90" xfId="87" applyFont="1" applyBorder="1" applyAlignment="1">
      <alignment horizontal="center" vertical="center"/>
    </xf>
    <xf numFmtId="0" fontId="14" fillId="0" borderId="27" xfId="87" applyFont="1" applyBorder="1" applyAlignment="1">
      <alignment horizontal="right" vertical="center"/>
    </xf>
    <xf numFmtId="164" fontId="14" fillId="0" borderId="27" xfId="9" applyFont="1" applyBorder="1" applyAlignment="1">
      <alignment vertical="center"/>
    </xf>
    <xf numFmtId="164" fontId="14" fillId="0" borderId="27" xfId="9" applyFont="1" applyBorder="1" applyAlignment="1">
      <alignment horizontal="right" vertical="center"/>
    </xf>
    <xf numFmtId="0" fontId="14" fillId="0" borderId="28" xfId="87" applyFont="1" applyBorder="1" applyAlignment="1">
      <alignment horizontal="center" vertical="center"/>
    </xf>
    <xf numFmtId="164" fontId="14" fillId="0" borderId="61" xfId="9" applyFont="1" applyBorder="1" applyAlignment="1">
      <alignment vertical="center"/>
    </xf>
    <xf numFmtId="164" fontId="31" fillId="0" borderId="27" xfId="9" applyFont="1" applyBorder="1" applyAlignment="1">
      <alignment horizontal="right" vertical="center"/>
    </xf>
    <xf numFmtId="164" fontId="14" fillId="0" borderId="62" xfId="9" applyFont="1" applyBorder="1" applyAlignment="1">
      <alignment vertical="center"/>
    </xf>
    <xf numFmtId="0" fontId="14" fillId="0" borderId="39" xfId="87" applyFont="1" applyBorder="1" applyAlignment="1">
      <alignment vertical="center"/>
    </xf>
    <xf numFmtId="0" fontId="14" fillId="0" borderId="43" xfId="87" applyFont="1" applyBorder="1" applyAlignment="1">
      <alignment vertical="center"/>
    </xf>
    <xf numFmtId="164" fontId="14" fillId="0" borderId="43" xfId="17" applyFont="1" applyBorder="1" applyAlignment="1">
      <alignment vertical="center"/>
    </xf>
    <xf numFmtId="0" fontId="14" fillId="0" borderId="44" xfId="87" applyFont="1" applyBorder="1" applyAlignment="1">
      <alignment horizontal="center" vertical="center"/>
    </xf>
    <xf numFmtId="164" fontId="14" fillId="0" borderId="0" xfId="17" applyFont="1" applyAlignment="1">
      <alignment vertical="center"/>
    </xf>
    <xf numFmtId="0" fontId="14" fillId="0" borderId="0" xfId="87" applyFont="1" applyAlignment="1">
      <alignment horizontal="center" vertical="center"/>
    </xf>
    <xf numFmtId="0" fontId="14" fillId="0" borderId="87" xfId="87" applyFont="1" applyBorder="1" applyAlignment="1">
      <alignment horizontal="center" vertical="center"/>
    </xf>
    <xf numFmtId="0" fontId="31" fillId="0" borderId="0" xfId="87" applyFont="1" applyAlignment="1">
      <alignment vertical="center"/>
    </xf>
    <xf numFmtId="0" fontId="31" fillId="0" borderId="13" xfId="87" applyFont="1" applyBorder="1" applyAlignment="1">
      <alignment vertical="center"/>
    </xf>
    <xf numFmtId="0" fontId="42" fillId="0" borderId="21" xfId="87" applyFont="1" applyBorder="1" applyAlignment="1">
      <alignment vertical="center"/>
    </xf>
    <xf numFmtId="0" fontId="31" fillId="0" borderId="23" xfId="87" applyFont="1" applyBorder="1" applyAlignment="1">
      <alignment horizontal="center" vertical="center"/>
    </xf>
    <xf numFmtId="0" fontId="31" fillId="0" borderId="15" xfId="87" applyFont="1" applyBorder="1" applyAlignment="1">
      <alignment horizontal="right" vertical="center"/>
    </xf>
    <xf numFmtId="164" fontId="34" fillId="0" borderId="19" xfId="9" applyFont="1" applyBorder="1" applyAlignment="1">
      <alignment vertical="center"/>
    </xf>
    <xf numFmtId="164" fontId="34" fillId="0" borderId="19" xfId="9" applyFont="1" applyBorder="1" applyAlignment="1">
      <alignment horizontal="center" vertical="center"/>
    </xf>
    <xf numFmtId="164" fontId="34" fillId="0" borderId="19" xfId="9" applyFont="1" applyBorder="1" applyAlignment="1">
      <alignment horizontal="right" vertical="center"/>
    </xf>
    <xf numFmtId="164" fontId="34" fillId="0" borderId="24" xfId="9" applyFont="1" applyBorder="1" applyAlignment="1">
      <alignment vertical="center"/>
    </xf>
    <xf numFmtId="164" fontId="31" fillId="0" borderId="20" xfId="87" applyNumberFormat="1" applyFont="1" applyBorder="1" applyAlignment="1">
      <alignment horizontal="left" vertical="center"/>
    </xf>
    <xf numFmtId="0" fontId="20" fillId="0" borderId="0" xfId="87" applyFont="1" applyAlignment="1">
      <alignment vertical="center"/>
    </xf>
    <xf numFmtId="0" fontId="14" fillId="0" borderId="0" xfId="87" applyFont="1" applyAlignment="1">
      <alignment horizontal="right" vertical="center"/>
    </xf>
    <xf numFmtId="164" fontId="34" fillId="0" borderId="31" xfId="9" applyFont="1" applyBorder="1" applyAlignment="1">
      <alignment vertical="center"/>
    </xf>
    <xf numFmtId="0" fontId="14" fillId="0" borderId="15" xfId="105" applyNumberFormat="1" applyFont="1" applyBorder="1" applyAlignment="1">
      <alignment horizontal="right" vertical="center"/>
    </xf>
    <xf numFmtId="170" fontId="14" fillId="0" borderId="19" xfId="17" applyNumberFormat="1" applyFont="1" applyBorder="1" applyAlignment="1">
      <alignment vertical="center"/>
    </xf>
    <xf numFmtId="0" fontId="10" fillId="0" borderId="15" xfId="67" applyFont="1" applyBorder="1" applyAlignment="1">
      <alignment vertical="center"/>
    </xf>
    <xf numFmtId="0" fontId="14" fillId="0" borderId="21" xfId="87" applyFont="1" applyBorder="1" applyAlignment="1">
      <alignment horizontal="left" vertical="center"/>
    </xf>
    <xf numFmtId="0" fontId="10" fillId="0" borderId="15" xfId="67" applyFont="1" applyBorder="1" applyAlignment="1">
      <alignment horizontal="left" vertical="center"/>
    </xf>
    <xf numFmtId="0" fontId="14" fillId="0" borderId="39" xfId="87" applyFont="1" applyBorder="1" applyAlignment="1">
      <alignment horizontal="center" vertical="center"/>
    </xf>
    <xf numFmtId="0" fontId="14" fillId="0" borderId="43" xfId="87" applyFont="1" applyBorder="1" applyAlignment="1">
      <alignment horizontal="center" vertical="center"/>
    </xf>
    <xf numFmtId="0" fontId="14" fillId="0" borderId="0" xfId="87" applyFont="1"/>
    <xf numFmtId="164" fontId="14" fillId="0" borderId="0" xfId="17" applyFont="1"/>
    <xf numFmtId="164" fontId="2" fillId="0" borderId="0" xfId="17"/>
    <xf numFmtId="0" fontId="14" fillId="0" borderId="67" xfId="87" applyFont="1" applyBorder="1" applyAlignment="1">
      <alignment vertical="center"/>
    </xf>
    <xf numFmtId="0" fontId="14" fillId="0" borderId="89" xfId="87" applyFont="1" applyBorder="1" applyAlignment="1">
      <alignment vertical="center"/>
    </xf>
    <xf numFmtId="0" fontId="43" fillId="11" borderId="57" xfId="87" applyFont="1" applyFill="1" applyBorder="1" applyAlignment="1">
      <alignment horizontal="center" vertical="center"/>
    </xf>
    <xf numFmtId="0" fontId="43" fillId="11" borderId="15" xfId="87" applyFont="1" applyFill="1" applyBorder="1" applyAlignment="1">
      <alignment vertical="center"/>
    </xf>
    <xf numFmtId="0" fontId="14" fillId="0" borderId="20" xfId="87" applyFont="1" applyBorder="1" applyAlignment="1">
      <alignment vertical="center"/>
    </xf>
    <xf numFmtId="0" fontId="14" fillId="0" borderId="23" xfId="87" applyFont="1" applyBorder="1" applyAlignment="1">
      <alignment horizontal="center" vertical="center"/>
    </xf>
    <xf numFmtId="0" fontId="17" fillId="0" borderId="15" xfId="109" applyNumberFormat="1" applyFont="1" applyBorder="1" applyAlignment="1">
      <alignment vertical="center"/>
    </xf>
    <xf numFmtId="0" fontId="17" fillId="0" borderId="0" xfId="87" applyFont="1"/>
    <xf numFmtId="0" fontId="17" fillId="0" borderId="58" xfId="105" applyNumberFormat="1" applyFont="1" applyBorder="1" applyAlignment="1">
      <alignment horizontal="right" vertical="center"/>
    </xf>
    <xf numFmtId="0" fontId="17" fillId="0" borderId="54" xfId="87" applyFont="1" applyBorder="1" applyAlignment="1">
      <alignment vertical="center"/>
    </xf>
    <xf numFmtId="0" fontId="31" fillId="0" borderId="20" xfId="87" applyFont="1" applyBorder="1" applyAlignment="1">
      <alignment vertical="center"/>
    </xf>
    <xf numFmtId="164" fontId="14" fillId="0" borderId="15" xfId="17" applyFont="1" applyBorder="1" applyAlignment="1">
      <alignment vertical="center"/>
    </xf>
    <xf numFmtId="0" fontId="14" fillId="0" borderId="15" xfId="71" applyFont="1" applyBorder="1" applyAlignment="1">
      <alignment horizontal="left" vertical="center"/>
    </xf>
    <xf numFmtId="164" fontId="14" fillId="0" borderId="19" xfId="36" applyNumberFormat="1" applyFont="1" applyBorder="1" applyAlignment="1">
      <alignment vertical="center"/>
    </xf>
    <xf numFmtId="164" fontId="31" fillId="0" borderId="24" xfId="36" applyNumberFormat="1" applyFont="1" applyBorder="1" applyAlignment="1">
      <alignment vertical="center"/>
    </xf>
    <xf numFmtId="0" fontId="14" fillId="0" borderId="15" xfId="71" applyFont="1" applyBorder="1" applyAlignment="1">
      <alignment horizontal="right" vertical="center"/>
    </xf>
    <xf numFmtId="164" fontId="14" fillId="0" borderId="24" xfId="36" applyNumberFormat="1" applyFont="1" applyBorder="1" applyAlignment="1">
      <alignment vertical="center"/>
    </xf>
    <xf numFmtId="164" fontId="31" fillId="3" borderId="20" xfId="87" applyNumberFormat="1" applyFont="1" applyFill="1" applyBorder="1" applyAlignment="1">
      <alignment vertical="center"/>
    </xf>
    <xf numFmtId="0" fontId="14" fillId="0" borderId="19" xfId="87" applyFont="1" applyBorder="1" applyAlignment="1">
      <alignment horizontal="right" vertical="center"/>
    </xf>
    <xf numFmtId="0" fontId="17" fillId="0" borderId="33" xfId="87" applyFont="1" applyBorder="1" applyAlignment="1">
      <alignment horizontal="center" vertical="center"/>
    </xf>
    <xf numFmtId="0" fontId="17" fillId="0" borderId="20" xfId="87" applyFont="1" applyBorder="1" applyAlignment="1">
      <alignment vertical="center"/>
    </xf>
    <xf numFmtId="0" fontId="17" fillId="0" borderId="33" xfId="87" applyFont="1" applyBorder="1" applyAlignment="1">
      <alignment horizontal="right" vertical="center"/>
    </xf>
    <xf numFmtId="164" fontId="17" fillId="8" borderId="19" xfId="34" applyFont="1" applyFill="1" applyBorder="1" applyAlignment="1">
      <alignment vertical="center"/>
    </xf>
    <xf numFmtId="0" fontId="17" fillId="0" borderId="15" xfId="87" applyFont="1" applyBorder="1" applyAlignment="1">
      <alignment horizontal="left" vertical="center"/>
    </xf>
    <xf numFmtId="164" fontId="16" fillId="0" borderId="24" xfId="17" applyFont="1" applyBorder="1" applyAlignment="1">
      <alignment vertical="center"/>
    </xf>
    <xf numFmtId="0" fontId="16" fillId="0" borderId="20" xfId="87" applyFont="1" applyBorder="1" applyAlignment="1">
      <alignment vertical="center"/>
    </xf>
    <xf numFmtId="0" fontId="31" fillId="0" borderId="33" xfId="87" applyFont="1" applyBorder="1" applyAlignment="1">
      <alignment horizontal="center" vertical="center"/>
    </xf>
    <xf numFmtId="164" fontId="14" fillId="8" borderId="19" xfId="34" applyFont="1" applyFill="1" applyBorder="1" applyAlignment="1">
      <alignment vertical="center"/>
    </xf>
    <xf numFmtId="0" fontId="14" fillId="8" borderId="15" xfId="91" applyFont="1" applyFill="1" applyBorder="1" applyAlignment="1">
      <alignment horizontal="right" vertical="center"/>
    </xf>
    <xf numFmtId="0" fontId="14" fillId="0" borderId="33" xfId="87" applyFont="1" applyBorder="1" applyAlignment="1">
      <alignment vertical="center"/>
    </xf>
    <xf numFmtId="0" fontId="14" fillId="0" borderId="44" xfId="87" applyFont="1" applyBorder="1" applyAlignment="1">
      <alignment vertical="center"/>
    </xf>
    <xf numFmtId="0" fontId="2" fillId="5" borderId="0" xfId="107" applyNumberFormat="1" applyFill="1"/>
    <xf numFmtId="0" fontId="2" fillId="0" borderId="0" xfId="107" applyNumberFormat="1"/>
    <xf numFmtId="0" fontId="14" fillId="5" borderId="0" xfId="107" applyNumberFormat="1" applyFont="1" applyFill="1" applyAlignment="1">
      <alignment vertical="center"/>
    </xf>
    <xf numFmtId="0" fontId="14" fillId="0" borderId="0" xfId="107" applyNumberFormat="1" applyFont="1" applyAlignment="1">
      <alignment vertical="center"/>
    </xf>
    <xf numFmtId="0" fontId="2" fillId="0" borderId="0" xfId="107" applyNumberFormat="1" applyAlignment="1">
      <alignment vertical="center"/>
    </xf>
    <xf numFmtId="0" fontId="36" fillId="5" borderId="0" xfId="107" applyNumberFormat="1" applyFont="1" applyFill="1" applyAlignment="1">
      <alignment vertical="center"/>
    </xf>
    <xf numFmtId="0" fontId="14" fillId="5" borderId="5" xfId="107" applyNumberFormat="1" applyFont="1" applyFill="1" applyBorder="1" applyAlignment="1">
      <alignment horizontal="center" vertical="center"/>
    </xf>
    <xf numFmtId="0" fontId="14" fillId="5" borderId="6" xfId="107" applyNumberFormat="1" applyFont="1" applyFill="1" applyBorder="1" applyAlignment="1">
      <alignment horizontal="center" vertical="center"/>
    </xf>
    <xf numFmtId="0" fontId="14" fillId="5" borderId="6" xfId="107" applyNumberFormat="1" applyFont="1" applyFill="1" applyBorder="1" applyAlignment="1">
      <alignment horizontal="center" vertical="center" wrapText="1"/>
    </xf>
    <xf numFmtId="0" fontId="14" fillId="5" borderId="8" xfId="107" applyNumberFormat="1" applyFont="1" applyFill="1" applyBorder="1" applyAlignment="1">
      <alignment horizontal="center" vertical="center"/>
    </xf>
    <xf numFmtId="0" fontId="14" fillId="0" borderId="0" xfId="107" applyNumberFormat="1" applyFont="1"/>
    <xf numFmtId="0" fontId="14" fillId="5" borderId="67" xfId="107" applyNumberFormat="1" applyFont="1" applyFill="1" applyBorder="1" applyAlignment="1">
      <alignment vertical="center"/>
    </xf>
    <xf numFmtId="0" fontId="14" fillId="5" borderId="89" xfId="107" applyNumberFormat="1" applyFont="1" applyFill="1" applyBorder="1" applyAlignment="1">
      <alignment vertical="center"/>
    </xf>
    <xf numFmtId="0" fontId="14" fillId="5" borderId="9" xfId="107" applyNumberFormat="1" applyFont="1" applyFill="1" applyBorder="1" applyAlignment="1">
      <alignment vertical="center"/>
    </xf>
    <xf numFmtId="0" fontId="14" fillId="5" borderId="12" xfId="107" applyNumberFormat="1" applyFont="1" applyFill="1" applyBorder="1" applyAlignment="1">
      <alignment vertical="center"/>
    </xf>
    <xf numFmtId="0" fontId="14" fillId="5" borderId="13" xfId="107" applyNumberFormat="1" applyFont="1" applyFill="1" applyBorder="1" applyAlignment="1">
      <alignment vertical="center"/>
    </xf>
    <xf numFmtId="0" fontId="14" fillId="5" borderId="57" xfId="107" applyNumberFormat="1" applyFont="1" applyFill="1" applyBorder="1" applyAlignment="1">
      <alignment horizontal="right" vertical="center"/>
    </xf>
    <xf numFmtId="0" fontId="14" fillId="5" borderId="15" xfId="107" applyNumberFormat="1" applyFont="1" applyFill="1" applyBorder="1" applyAlignment="1">
      <alignment vertical="center"/>
    </xf>
    <xf numFmtId="164" fontId="14" fillId="5" borderId="19" xfId="42" applyNumberFormat="1" applyFont="1" applyFill="1" applyBorder="1" applyAlignment="1">
      <alignment vertical="center"/>
    </xf>
    <xf numFmtId="164" fontId="14" fillId="5" borderId="24" xfId="42" applyNumberFormat="1" applyFont="1" applyFill="1" applyBorder="1" applyAlignment="1">
      <alignment vertical="center"/>
    </xf>
    <xf numFmtId="0" fontId="14" fillId="5" borderId="20" xfId="107" applyNumberFormat="1" applyFont="1" applyFill="1" applyBorder="1" applyAlignment="1">
      <alignment horizontal="center" vertical="center"/>
    </xf>
    <xf numFmtId="0" fontId="43" fillId="5" borderId="57" xfId="107" applyNumberFormat="1" applyFont="1" applyFill="1" applyBorder="1" applyAlignment="1">
      <alignment horizontal="center" vertical="center"/>
    </xf>
    <xf numFmtId="0" fontId="43" fillId="5" borderId="21" xfId="107" applyNumberFormat="1" applyFont="1" applyFill="1" applyBorder="1" applyAlignment="1">
      <alignment vertical="center"/>
    </xf>
    <xf numFmtId="164" fontId="14" fillId="5" borderId="19" xfId="42" applyNumberFormat="1" applyFont="1" applyFill="1" applyBorder="1"/>
    <xf numFmtId="0" fontId="14" fillId="5" borderId="20" xfId="107" applyNumberFormat="1" applyFont="1" applyFill="1" applyBorder="1"/>
    <xf numFmtId="0" fontId="31" fillId="5" borderId="57" xfId="107" applyNumberFormat="1" applyFont="1" applyFill="1" applyBorder="1" applyAlignment="1">
      <alignment horizontal="center" vertical="center"/>
    </xf>
    <xf numFmtId="0" fontId="31" fillId="5" borderId="15" xfId="107" applyNumberFormat="1" applyFont="1" applyFill="1" applyBorder="1" applyAlignment="1">
      <alignment vertical="center"/>
    </xf>
    <xf numFmtId="0" fontId="14" fillId="5" borderId="33" xfId="107" applyNumberFormat="1" applyFont="1" applyFill="1" applyBorder="1" applyAlignment="1">
      <alignment horizontal="center" vertical="center"/>
    </xf>
    <xf numFmtId="0" fontId="14" fillId="5" borderId="21" xfId="107" applyNumberFormat="1" applyFont="1" applyFill="1" applyBorder="1" applyAlignment="1">
      <alignment vertical="center"/>
    </xf>
    <xf numFmtId="0" fontId="14" fillId="5" borderId="20" xfId="107" applyNumberFormat="1" applyFont="1" applyFill="1" applyBorder="1" applyAlignment="1">
      <alignment vertical="center"/>
    </xf>
    <xf numFmtId="164" fontId="14" fillId="5" borderId="61" xfId="42" applyNumberFormat="1" applyFont="1" applyFill="1" applyBorder="1" applyAlignment="1">
      <alignment vertical="center"/>
    </xf>
    <xf numFmtId="164" fontId="31" fillId="5" borderId="24" xfId="42" applyNumberFormat="1" applyFont="1" applyFill="1" applyBorder="1" applyAlignment="1">
      <alignment vertical="center"/>
    </xf>
    <xf numFmtId="0" fontId="31" fillId="5" borderId="20" xfId="107" applyNumberFormat="1" applyFont="1" applyFill="1" applyBorder="1" applyAlignment="1">
      <alignment vertical="center"/>
    </xf>
    <xf numFmtId="0" fontId="14" fillId="5" borderId="57" xfId="91" applyFont="1" applyFill="1" applyBorder="1" applyAlignment="1">
      <alignment horizontal="right" vertical="center"/>
    </xf>
    <xf numFmtId="164" fontId="14" fillId="5" borderId="24" xfId="18" applyFont="1" applyFill="1" applyBorder="1" applyAlignment="1">
      <alignment vertical="center"/>
    </xf>
    <xf numFmtId="0" fontId="14" fillId="5" borderId="21" xfId="91" applyFont="1" applyFill="1" applyBorder="1" applyAlignment="1">
      <alignment vertical="center"/>
    </xf>
    <xf numFmtId="0" fontId="14" fillId="5" borderId="57" xfId="91" applyFont="1" applyFill="1" applyBorder="1" applyAlignment="1">
      <alignment horizontal="center" vertical="center"/>
    </xf>
    <xf numFmtId="0" fontId="14" fillId="5" borderId="15" xfId="91" applyFont="1" applyFill="1" applyBorder="1" applyAlignment="1">
      <alignment vertical="center"/>
    </xf>
    <xf numFmtId="0" fontId="14" fillId="5" borderId="15" xfId="107" applyNumberFormat="1" applyFont="1" applyFill="1" applyBorder="1" applyAlignment="1">
      <alignment horizontal="right" vertical="center"/>
    </xf>
    <xf numFmtId="0" fontId="31" fillId="5" borderId="20" xfId="107" applyNumberFormat="1" applyFont="1" applyFill="1" applyBorder="1" applyAlignment="1">
      <alignment horizontal="left" vertical="center"/>
    </xf>
    <xf numFmtId="0" fontId="14" fillId="5" borderId="15" xfId="75" applyFont="1" applyFill="1" applyBorder="1" applyAlignment="1">
      <alignment vertical="center"/>
    </xf>
    <xf numFmtId="0" fontId="14" fillId="5" borderId="15" xfId="75" applyFont="1" applyFill="1" applyBorder="1" applyAlignment="1">
      <alignment horizontal="right" vertical="center"/>
    </xf>
    <xf numFmtId="0" fontId="14" fillId="5" borderId="15" xfId="91" applyFont="1" applyFill="1" applyBorder="1" applyAlignment="1">
      <alignment horizontal="right" vertical="center"/>
    </xf>
    <xf numFmtId="0" fontId="14" fillId="5" borderId="33" xfId="107" applyNumberFormat="1" applyFont="1" applyFill="1" applyBorder="1" applyAlignment="1">
      <alignment horizontal="right" vertical="center"/>
    </xf>
    <xf numFmtId="0" fontId="14" fillId="5" borderId="20" xfId="107" applyNumberFormat="1" applyFont="1" applyFill="1" applyBorder="1" applyAlignment="1">
      <alignment horizontal="left" vertical="center"/>
    </xf>
    <xf numFmtId="0" fontId="10" fillId="0" borderId="20" xfId="107" applyNumberFormat="1" applyFont="1" applyBorder="1" applyAlignment="1">
      <alignment horizontal="left" vertical="center"/>
    </xf>
    <xf numFmtId="0" fontId="10" fillId="5" borderId="33" xfId="107" applyNumberFormat="1" applyFont="1" applyFill="1" applyBorder="1" applyAlignment="1">
      <alignment horizontal="right" vertical="center"/>
    </xf>
    <xf numFmtId="0" fontId="10" fillId="5" borderId="21" xfId="107" applyNumberFormat="1" applyFont="1" applyFill="1" applyBorder="1" applyAlignment="1">
      <alignment vertical="center"/>
    </xf>
    <xf numFmtId="164" fontId="10" fillId="5" borderId="19" xfId="42" applyNumberFormat="1" applyFont="1" applyFill="1" applyBorder="1" applyAlignment="1">
      <alignment vertical="center"/>
    </xf>
    <xf numFmtId="164" fontId="10" fillId="5" borderId="24" xfId="42" applyNumberFormat="1" applyFont="1" applyFill="1" applyBorder="1" applyAlignment="1">
      <alignment vertical="center"/>
    </xf>
    <xf numFmtId="0" fontId="10" fillId="0" borderId="0" xfId="107" applyNumberFormat="1" applyFont="1"/>
    <xf numFmtId="164" fontId="11" fillId="5" borderId="24" xfId="42" applyNumberFormat="1" applyFont="1" applyFill="1" applyBorder="1" applyAlignment="1">
      <alignment vertical="center"/>
    </xf>
    <xf numFmtId="0" fontId="11" fillId="0" borderId="20" xfId="107" applyNumberFormat="1" applyFont="1" applyBorder="1" applyAlignment="1">
      <alignment horizontal="left" vertical="center"/>
    </xf>
    <xf numFmtId="0" fontId="17" fillId="5" borderId="33" xfId="107" applyNumberFormat="1" applyFont="1" applyFill="1" applyBorder="1" applyAlignment="1">
      <alignment horizontal="right" vertical="center"/>
    </xf>
    <xf numFmtId="0" fontId="17" fillId="5" borderId="15" xfId="107" applyNumberFormat="1" applyFont="1" applyFill="1" applyBorder="1" applyAlignment="1">
      <alignment vertical="center"/>
    </xf>
    <xf numFmtId="164" fontId="17" fillId="5" borderId="19" xfId="42" applyNumberFormat="1" applyFont="1" applyFill="1" applyBorder="1" applyAlignment="1">
      <alignment vertical="center"/>
    </xf>
    <xf numFmtId="0" fontId="17" fillId="5" borderId="20" xfId="107" applyNumberFormat="1" applyFont="1" applyFill="1" applyBorder="1" applyAlignment="1">
      <alignment vertical="center"/>
    </xf>
    <xf numFmtId="0" fontId="17" fillId="0" borderId="0" xfId="107" applyNumberFormat="1" applyFont="1"/>
    <xf numFmtId="0" fontId="17" fillId="5" borderId="15" xfId="107" applyNumberFormat="1" applyFont="1" applyFill="1" applyBorder="1" applyAlignment="1">
      <alignment horizontal="right" vertical="center"/>
    </xf>
    <xf numFmtId="164" fontId="17" fillId="5" borderId="61" xfId="42" applyNumberFormat="1" applyFont="1" applyFill="1" applyBorder="1" applyAlignment="1">
      <alignment vertical="center"/>
    </xf>
    <xf numFmtId="164" fontId="16" fillId="5" borderId="24" xfId="42" applyNumberFormat="1" applyFont="1" applyFill="1" applyBorder="1" applyAlignment="1">
      <alignment vertical="center"/>
    </xf>
    <xf numFmtId="0" fontId="16" fillId="5" borderId="20" xfId="107" applyNumberFormat="1" applyFont="1" applyFill="1" applyBorder="1" applyAlignment="1">
      <alignment vertical="center"/>
    </xf>
    <xf numFmtId="164" fontId="31" fillId="5" borderId="24" xfId="18" applyFont="1" applyFill="1" applyBorder="1" applyAlignment="1">
      <alignment vertical="center"/>
    </xf>
    <xf numFmtId="164" fontId="31" fillId="5" borderId="61" xfId="42" applyNumberFormat="1" applyFont="1" applyFill="1" applyBorder="1" applyAlignment="1">
      <alignment vertical="center"/>
    </xf>
    <xf numFmtId="164" fontId="31" fillId="0" borderId="61" xfId="29" applyFont="1" applyBorder="1" applyAlignment="1">
      <alignment vertical="center"/>
    </xf>
    <xf numFmtId="164" fontId="31" fillId="0" borderId="0" xfId="91" applyNumberFormat="1" applyFont="1" applyAlignment="1">
      <alignment vertical="center"/>
    </xf>
    <xf numFmtId="0" fontId="17" fillId="5" borderId="21" xfId="107" applyNumberFormat="1" applyFont="1" applyFill="1" applyBorder="1" applyAlignment="1">
      <alignment vertical="center"/>
    </xf>
    <xf numFmtId="0" fontId="14" fillId="5" borderId="57" xfId="107" applyNumberFormat="1" applyFont="1" applyFill="1" applyBorder="1" applyAlignment="1">
      <alignment horizontal="center" vertical="center"/>
    </xf>
    <xf numFmtId="0" fontId="17" fillId="5" borderId="33" xfId="107" applyNumberFormat="1" applyFont="1" applyFill="1" applyBorder="1" applyAlignment="1">
      <alignment horizontal="center" vertical="center"/>
    </xf>
    <xf numFmtId="0" fontId="14" fillId="5" borderId="15" xfId="107" applyNumberFormat="1" applyFont="1" applyFill="1" applyBorder="1" applyAlignment="1">
      <alignment vertical="center" wrapText="1"/>
    </xf>
    <xf numFmtId="164" fontId="14" fillId="5" borderId="27" xfId="42" applyNumberFormat="1" applyFont="1" applyFill="1" applyBorder="1" applyAlignment="1">
      <alignment vertical="center"/>
    </xf>
    <xf numFmtId="0" fontId="14" fillId="5" borderId="28" xfId="107" applyNumberFormat="1" applyFont="1" applyFill="1" applyBorder="1" applyAlignment="1">
      <alignment vertical="center"/>
    </xf>
    <xf numFmtId="164" fontId="14" fillId="0" borderId="19" xfId="42" applyNumberFormat="1" applyFont="1" applyBorder="1" applyAlignment="1">
      <alignment vertical="center"/>
    </xf>
    <xf numFmtId="0" fontId="14" fillId="0" borderId="25" xfId="78" applyFont="1" applyBorder="1" applyAlignment="1">
      <alignment vertical="center"/>
    </xf>
    <xf numFmtId="0" fontId="14" fillId="5" borderId="39" xfId="107" applyNumberFormat="1" applyFont="1" applyFill="1" applyBorder="1" applyAlignment="1">
      <alignment vertical="center"/>
    </xf>
    <xf numFmtId="0" fontId="14" fillId="5" borderId="43" xfId="107" applyNumberFormat="1" applyFont="1" applyFill="1" applyBorder="1" applyAlignment="1">
      <alignment vertical="center"/>
    </xf>
    <xf numFmtId="164" fontId="14" fillId="5" borderId="43" xfId="42" applyNumberFormat="1" applyFont="1" applyFill="1" applyBorder="1" applyAlignment="1">
      <alignment vertical="center"/>
    </xf>
    <xf numFmtId="0" fontId="14" fillId="5" borderId="44" xfId="107" applyNumberFormat="1" applyFont="1" applyFill="1" applyBorder="1" applyAlignment="1">
      <alignment vertical="center"/>
    </xf>
    <xf numFmtId="164" fontId="14" fillId="5" borderId="0" xfId="42" applyNumberFormat="1" applyFont="1" applyFill="1" applyAlignment="1">
      <alignment vertical="center"/>
    </xf>
    <xf numFmtId="0" fontId="14" fillId="5" borderId="0" xfId="107" applyNumberFormat="1" applyFont="1" applyFill="1"/>
    <xf numFmtId="0" fontId="31" fillId="0" borderId="21" xfId="87" applyFont="1" applyBorder="1" applyAlignment="1">
      <alignment horizontal="center" vertical="center"/>
    </xf>
    <xf numFmtId="0" fontId="31" fillId="0" borderId="21" xfId="87" applyFont="1" applyBorder="1" applyAlignment="1">
      <alignment horizontal="right" vertical="center"/>
    </xf>
    <xf numFmtId="164" fontId="31" fillId="0" borderId="61" xfId="17" applyFont="1" applyBorder="1" applyAlignment="1">
      <alignment vertical="center"/>
    </xf>
    <xf numFmtId="164" fontId="14" fillId="0" borderId="27" xfId="17" applyFont="1" applyBorder="1" applyAlignment="1">
      <alignment vertical="center"/>
    </xf>
    <xf numFmtId="164" fontId="14" fillId="0" borderId="19" xfId="87" applyNumberFormat="1" applyFont="1" applyBorder="1" applyAlignment="1">
      <alignment horizontal="center" vertical="center"/>
    </xf>
    <xf numFmtId="164" fontId="14" fillId="0" borderId="61" xfId="87" applyNumberFormat="1" applyFont="1" applyBorder="1" applyAlignment="1">
      <alignment horizontal="center" vertical="center"/>
    </xf>
    <xf numFmtId="164" fontId="31" fillId="0" borderId="24" xfId="87" applyNumberFormat="1" applyFont="1" applyBorder="1" applyAlignment="1">
      <alignment horizontal="center" vertical="center"/>
    </xf>
    <xf numFmtId="164" fontId="14" fillId="0" borderId="20" xfId="87" applyNumberFormat="1" applyFont="1" applyBorder="1" applyAlignment="1">
      <alignment vertical="center"/>
    </xf>
    <xf numFmtId="164" fontId="14" fillId="0" borderId="19" xfId="17" applyFont="1" applyBorder="1" applyAlignment="1">
      <alignment horizontal="center" vertical="center"/>
    </xf>
    <xf numFmtId="164" fontId="14" fillId="0" borderId="24" xfId="87" applyNumberFormat="1" applyFont="1" applyBorder="1" applyAlignment="1">
      <alignment horizontal="center" vertical="center"/>
    </xf>
    <xf numFmtId="164" fontId="14" fillId="0" borderId="19" xfId="31" applyFont="1" applyBorder="1" applyAlignment="1">
      <alignment vertical="center"/>
    </xf>
    <xf numFmtId="0" fontId="10" fillId="0" borderId="21" xfId="0" applyFont="1" applyBorder="1" applyAlignment="1">
      <alignment horizontal="right" vertical="center"/>
    </xf>
    <xf numFmtId="0" fontId="10" fillId="0" borderId="16" xfId="0" applyFont="1" applyBorder="1" applyAlignment="1">
      <alignment horizontal="right" vertical="center"/>
    </xf>
    <xf numFmtId="0" fontId="14" fillId="0" borderId="16" xfId="87" applyFont="1" applyBorder="1" applyAlignment="1">
      <alignment horizontal="right" vertical="center"/>
    </xf>
    <xf numFmtId="164" fontId="10" fillId="0" borderId="15" xfId="9" applyFont="1" applyBorder="1" applyAlignment="1">
      <alignment vertical="center"/>
    </xf>
    <xf numFmtId="0" fontId="11" fillId="0" borderId="15" xfId="0" applyFont="1" applyBorder="1" applyAlignment="1">
      <alignment horizontal="right" vertical="center"/>
    </xf>
    <xf numFmtId="164" fontId="10" fillId="0" borderId="25" xfId="9" applyFont="1" applyBorder="1" applyAlignment="1">
      <alignment vertical="center"/>
    </xf>
    <xf numFmtId="164" fontId="10" fillId="0" borderId="61" xfId="9" applyFont="1" applyBorder="1" applyAlignment="1">
      <alignment vertical="center"/>
    </xf>
    <xf numFmtId="164" fontId="10" fillId="0" borderId="21" xfId="9" applyFont="1" applyBorder="1" applyAlignment="1">
      <alignment vertical="center"/>
    </xf>
    <xf numFmtId="164" fontId="10" fillId="0" borderId="15" xfId="0" applyNumberFormat="1" applyFont="1" applyBorder="1" applyAlignment="1">
      <alignment vertical="center"/>
    </xf>
    <xf numFmtId="0" fontId="31" fillId="0" borderId="24" xfId="87" applyFont="1" applyBorder="1" applyAlignment="1">
      <alignment horizontal="center" vertical="center"/>
    </xf>
    <xf numFmtId="0" fontId="14" fillId="0" borderId="23" xfId="87" applyFont="1" applyBorder="1" applyAlignment="1">
      <alignment horizontal="right" vertical="center"/>
    </xf>
    <xf numFmtId="164" fontId="14" fillId="0" borderId="21" xfId="17" applyFont="1" applyBorder="1" applyAlignment="1">
      <alignment vertical="center"/>
    </xf>
    <xf numFmtId="164" fontId="11" fillId="0" borderId="15" xfId="9" applyFont="1" applyBorder="1" applyAlignment="1">
      <alignment horizontal="center" vertical="center"/>
    </xf>
    <xf numFmtId="164" fontId="11" fillId="0" borderId="15" xfId="9" applyFont="1" applyBorder="1" applyAlignment="1">
      <alignment vertical="center"/>
    </xf>
    <xf numFmtId="164" fontId="10" fillId="0" borderId="15" xfId="9" applyFont="1" applyBorder="1" applyAlignment="1">
      <alignment horizontal="center" vertical="center"/>
    </xf>
    <xf numFmtId="164" fontId="10" fillId="0" borderId="61" xfId="0" applyNumberFormat="1" applyFont="1" applyBorder="1" applyAlignment="1">
      <alignment vertical="center"/>
    </xf>
    <xf numFmtId="0" fontId="10" fillId="0" borderId="15" xfId="0" applyFont="1" applyBorder="1" applyAlignment="1">
      <alignment vertical="center" wrapText="1"/>
    </xf>
    <xf numFmtId="0" fontId="17" fillId="0" borderId="15" xfId="0" applyFont="1" applyBorder="1" applyAlignment="1">
      <alignment vertical="center"/>
    </xf>
    <xf numFmtId="164" fontId="17" fillId="0" borderId="15" xfId="9" applyFont="1" applyBorder="1" applyAlignment="1">
      <alignment vertical="center"/>
    </xf>
    <xf numFmtId="0" fontId="17" fillId="0" borderId="19" xfId="87" applyFont="1" applyBorder="1" applyAlignment="1">
      <alignment horizontal="center" vertical="center"/>
    </xf>
    <xf numFmtId="0" fontId="14" fillId="0" borderId="15" xfId="0" applyFont="1" applyBorder="1" applyAlignment="1">
      <alignment vertical="center" wrapText="1"/>
    </xf>
    <xf numFmtId="0" fontId="10" fillId="0" borderId="57" xfId="0" applyFont="1" applyBorder="1" applyAlignment="1">
      <alignment horizontal="center" vertical="center"/>
    </xf>
    <xf numFmtId="0" fontId="17" fillId="0" borderId="15" xfId="0" applyFont="1" applyBorder="1" applyAlignment="1">
      <alignment horizontal="left" vertical="center"/>
    </xf>
    <xf numFmtId="0" fontId="17" fillId="0" borderId="17" xfId="0" applyFont="1" applyBorder="1" applyAlignment="1">
      <alignment horizontal="right" vertical="center"/>
    </xf>
    <xf numFmtId="0" fontId="17" fillId="0" borderId="15" xfId="0" applyFont="1" applyBorder="1" applyAlignment="1">
      <alignment horizontal="right" vertical="center"/>
    </xf>
    <xf numFmtId="164" fontId="17" fillId="0" borderId="24" xfId="87" applyNumberFormat="1" applyFont="1" applyBorder="1" applyAlignment="1">
      <alignment horizontal="center" vertical="center"/>
    </xf>
    <xf numFmtId="0" fontId="32" fillId="0" borderId="39" xfId="87" applyFont="1" applyBorder="1" applyAlignment="1">
      <alignment horizontal="right" vertical="center"/>
    </xf>
    <xf numFmtId="0" fontId="32" fillId="0" borderId="43" xfId="87" applyFont="1" applyBorder="1" applyAlignment="1">
      <alignment vertical="center"/>
    </xf>
    <xf numFmtId="164" fontId="31" fillId="0" borderId="44" xfId="87" applyNumberFormat="1" applyFont="1" applyBorder="1" applyAlignment="1">
      <alignment vertical="center"/>
    </xf>
    <xf numFmtId="0" fontId="31" fillId="3" borderId="0" xfId="87" applyFont="1" applyFill="1" applyAlignment="1">
      <alignment vertical="center"/>
    </xf>
    <xf numFmtId="0" fontId="31" fillId="3" borderId="13" xfId="87" applyFont="1" applyFill="1" applyBorder="1" applyAlignment="1">
      <alignment vertical="center"/>
    </xf>
    <xf numFmtId="0" fontId="31" fillId="3" borderId="20" xfId="87" applyFont="1" applyFill="1" applyBorder="1" applyAlignment="1">
      <alignment horizontal="center" vertical="center"/>
    </xf>
    <xf numFmtId="164" fontId="31" fillId="3" borderId="20" xfId="95" applyNumberFormat="1" applyFont="1" applyFill="1" applyBorder="1" applyAlignment="1">
      <alignment vertical="center"/>
    </xf>
    <xf numFmtId="164" fontId="14" fillId="0" borderId="19" xfId="17" applyFont="1" applyBorder="1" applyAlignment="1">
      <alignment horizontal="left" vertical="center" wrapText="1"/>
    </xf>
    <xf numFmtId="164" fontId="14" fillId="0" borderId="19" xfId="17" applyFont="1" applyBorder="1" applyAlignment="1">
      <alignment vertical="center" wrapText="1"/>
    </xf>
    <xf numFmtId="0" fontId="32" fillId="0" borderId="33" xfId="87" applyFont="1" applyBorder="1" applyAlignment="1">
      <alignment horizontal="right" vertical="center"/>
    </xf>
    <xf numFmtId="0" fontId="32" fillId="0" borderId="19" xfId="87" applyFont="1" applyBorder="1" applyAlignment="1">
      <alignment vertical="center"/>
    </xf>
    <xf numFmtId="0" fontId="42" fillId="12" borderId="15" xfId="91" applyFont="1" applyFill="1" applyBorder="1" applyAlignment="1">
      <alignment vertical="center"/>
    </xf>
    <xf numFmtId="0" fontId="31" fillId="0" borderId="54" xfId="91" applyFont="1" applyBorder="1" applyAlignment="1">
      <alignment vertical="center"/>
    </xf>
    <xf numFmtId="0" fontId="17" fillId="0" borderId="54" xfId="91" applyFont="1" applyBorder="1" applyAlignment="1">
      <alignment vertical="center"/>
    </xf>
    <xf numFmtId="0" fontId="24" fillId="0" borderId="0" xfId="91" applyFont="1" applyAlignment="1">
      <alignment vertical="center"/>
    </xf>
    <xf numFmtId="0" fontId="16" fillId="0" borderId="54" xfId="91" applyFont="1" applyBorder="1" applyAlignment="1">
      <alignment vertical="center"/>
    </xf>
    <xf numFmtId="0" fontId="16" fillId="0" borderId="19" xfId="91" applyFont="1" applyBorder="1" applyAlignment="1">
      <alignment horizontal="center" vertical="center"/>
    </xf>
    <xf numFmtId="164" fontId="14" fillId="0" borderId="31" xfId="18" applyFont="1" applyBorder="1" applyAlignment="1">
      <alignment vertical="center"/>
    </xf>
    <xf numFmtId="0" fontId="14" fillId="0" borderId="21" xfId="91" applyFont="1" applyBorder="1" applyAlignment="1">
      <alignment horizontal="center" vertical="center"/>
    </xf>
    <xf numFmtId="0" fontId="14" fillId="8" borderId="0" xfId="91" applyFont="1" applyFill="1" applyAlignment="1">
      <alignment vertical="center"/>
    </xf>
    <xf numFmtId="0" fontId="2" fillId="0" borderId="0" xfId="85" applyAlignment="1">
      <alignment vertical="center"/>
    </xf>
    <xf numFmtId="0" fontId="36" fillId="0" borderId="0" xfId="85" applyFont="1" applyAlignment="1">
      <alignment vertical="center"/>
    </xf>
    <xf numFmtId="0" fontId="14" fillId="0" borderId="5" xfId="85" applyFont="1" applyBorder="1" applyAlignment="1">
      <alignment horizontal="center" vertical="center"/>
    </xf>
    <xf numFmtId="0" fontId="14" fillId="0" borderId="6" xfId="85" applyFont="1" applyBorder="1" applyAlignment="1">
      <alignment horizontal="center" vertical="center"/>
    </xf>
    <xf numFmtId="0" fontId="14" fillId="0" borderId="6" xfId="85" applyFont="1" applyBorder="1" applyAlignment="1">
      <alignment horizontal="center" vertical="center" wrapText="1"/>
    </xf>
    <xf numFmtId="0" fontId="14" fillId="0" borderId="8" xfId="85" applyFont="1" applyBorder="1" applyAlignment="1">
      <alignment horizontal="center" vertical="center"/>
    </xf>
    <xf numFmtId="0" fontId="14" fillId="0" borderId="9" xfId="85" applyFont="1" applyBorder="1" applyAlignment="1">
      <alignment vertical="center"/>
    </xf>
    <xf numFmtId="0" fontId="14" fillId="0" borderId="12" xfId="85" applyFont="1" applyBorder="1" applyAlignment="1">
      <alignment vertical="center"/>
    </xf>
    <xf numFmtId="0" fontId="14" fillId="0" borderId="13" xfId="85" applyFont="1" applyBorder="1" applyAlignment="1">
      <alignment vertical="center"/>
    </xf>
    <xf numFmtId="0" fontId="43" fillId="0" borderId="57" xfId="85" applyFont="1" applyBorder="1" applyAlignment="1">
      <alignment horizontal="center" vertical="center"/>
    </xf>
    <xf numFmtId="0" fontId="43" fillId="0" borderId="21" xfId="85" applyFont="1" applyBorder="1" applyAlignment="1">
      <alignment vertical="center"/>
    </xf>
    <xf numFmtId="164" fontId="14" fillId="0" borderId="24" xfId="38" applyNumberFormat="1" applyFont="1" applyBorder="1" applyAlignment="1">
      <alignment vertical="center"/>
    </xf>
    <xf numFmtId="0" fontId="14" fillId="0" borderId="54" xfId="85" applyFont="1" applyBorder="1" applyAlignment="1">
      <alignment vertical="center"/>
    </xf>
    <xf numFmtId="164" fontId="14" fillId="0" borderId="0" xfId="38" applyNumberFormat="1" applyFont="1" applyAlignment="1">
      <alignment vertical="center"/>
    </xf>
    <xf numFmtId="0" fontId="31" fillId="0" borderId="57" xfId="85" applyFont="1" applyBorder="1" applyAlignment="1">
      <alignment horizontal="center" vertical="center"/>
    </xf>
    <xf numFmtId="0" fontId="31" fillId="0" borderId="21" xfId="85" applyFont="1" applyBorder="1" applyAlignment="1">
      <alignment vertical="center"/>
    </xf>
    <xf numFmtId="0" fontId="14" fillId="0" borderId="23" xfId="85" applyFont="1" applyBorder="1" applyAlignment="1">
      <alignment horizontal="center" vertical="center"/>
    </xf>
    <xf numFmtId="0" fontId="14" fillId="0" borderId="21" xfId="85" applyFont="1" applyBorder="1" applyAlignment="1">
      <alignment horizontal="right" vertical="center"/>
    </xf>
    <xf numFmtId="164" fontId="14" fillId="0" borderId="61" xfId="38" applyNumberFormat="1" applyFont="1" applyBorder="1" applyAlignment="1">
      <alignment vertical="center"/>
    </xf>
    <xf numFmtId="164" fontId="31" fillId="0" borderId="24" xfId="38" applyNumberFormat="1" applyFont="1" applyBorder="1" applyAlignment="1">
      <alignment vertical="center"/>
    </xf>
    <xf numFmtId="0" fontId="31" fillId="0" borderId="54" xfId="85" applyFont="1" applyBorder="1" applyAlignment="1">
      <alignment vertical="center"/>
    </xf>
    <xf numFmtId="0" fontId="14" fillId="0" borderId="58" xfId="107" applyNumberFormat="1" applyFont="1" applyBorder="1" applyAlignment="1">
      <alignment horizontal="right" vertical="center"/>
    </xf>
    <xf numFmtId="0" fontId="14" fillId="0" borderId="58" xfId="85" applyFont="1" applyBorder="1" applyAlignment="1">
      <alignment horizontal="center" vertical="center"/>
    </xf>
    <xf numFmtId="0" fontId="14" fillId="0" borderId="58" xfId="85" applyFont="1" applyBorder="1" applyAlignment="1">
      <alignment horizontal="right" vertical="center"/>
    </xf>
    <xf numFmtId="0" fontId="14" fillId="0" borderId="15" xfId="85" applyFont="1" applyBorder="1" applyAlignment="1">
      <alignment horizontal="right" vertical="center"/>
    </xf>
    <xf numFmtId="164" fontId="14" fillId="0" borderId="31" xfId="38" applyNumberFormat="1" applyFont="1" applyBorder="1" applyAlignment="1">
      <alignment vertical="center"/>
    </xf>
    <xf numFmtId="164" fontId="14" fillId="0" borderId="62" xfId="38" applyNumberFormat="1" applyFont="1" applyBorder="1" applyAlignment="1">
      <alignment vertical="center"/>
    </xf>
    <xf numFmtId="0" fontId="14" fillId="0" borderId="33" xfId="79" applyFont="1" applyBorder="1" applyAlignment="1">
      <alignment horizontal="center" vertical="center"/>
    </xf>
    <xf numFmtId="0" fontId="14" fillId="0" borderId="20" xfId="79" applyFont="1" applyBorder="1" applyAlignment="1">
      <alignment horizontal="center" vertical="center"/>
    </xf>
    <xf numFmtId="0" fontId="14" fillId="0" borderId="0" xfId="79" applyFont="1" applyAlignment="1">
      <alignment vertical="center"/>
    </xf>
    <xf numFmtId="0" fontId="2" fillId="0" borderId="0" xfId="79" applyAlignment="1">
      <alignment vertical="center"/>
    </xf>
    <xf numFmtId="0" fontId="2" fillId="0" borderId="0" xfId="79"/>
    <xf numFmtId="0" fontId="14" fillId="0" borderId="33" xfId="79" applyFont="1" applyBorder="1" applyAlignment="1">
      <alignment horizontal="right" vertical="center"/>
    </xf>
    <xf numFmtId="0" fontId="31" fillId="0" borderId="20" xfId="79" applyFont="1" applyBorder="1" applyAlignment="1">
      <alignment horizontal="center" vertical="center"/>
    </xf>
    <xf numFmtId="0" fontId="14" fillId="0" borderId="17" xfId="85" applyFont="1" applyBorder="1" applyAlignment="1">
      <alignment horizontal="right" vertical="center"/>
    </xf>
    <xf numFmtId="0" fontId="14" fillId="0" borderId="15" xfId="97" applyFont="1" applyBorder="1" applyAlignment="1">
      <alignment horizontal="right" vertical="center"/>
    </xf>
    <xf numFmtId="0" fontId="31" fillId="0" borderId="33" xfId="85" applyFont="1" applyBorder="1" applyAlignment="1">
      <alignment horizontal="center" vertical="center"/>
    </xf>
    <xf numFmtId="0" fontId="31" fillId="0" borderId="19" xfId="85" applyFont="1" applyBorder="1" applyAlignment="1">
      <alignment vertical="center"/>
    </xf>
    <xf numFmtId="0" fontId="14" fillId="0" borderId="20" xfId="75" applyFont="1" applyBorder="1" applyAlignment="1">
      <alignment horizontal="center" vertical="center"/>
    </xf>
    <xf numFmtId="0" fontId="31" fillId="0" borderId="15" xfId="75" applyFont="1" applyBorder="1" applyAlignment="1">
      <alignment horizontal="center" vertical="center"/>
    </xf>
    <xf numFmtId="0" fontId="14" fillId="0" borderId="33" xfId="75" applyFont="1" applyBorder="1" applyAlignment="1">
      <alignment horizontal="right" vertical="center"/>
    </xf>
    <xf numFmtId="0" fontId="14" fillId="0" borderId="15" xfId="75" applyFont="1" applyBorder="1" applyAlignment="1">
      <alignment vertical="center" wrapText="1"/>
    </xf>
    <xf numFmtId="0" fontId="14" fillId="0" borderId="15" xfId="75" applyFont="1" applyBorder="1" applyAlignment="1">
      <alignment horizontal="center" vertical="center"/>
    </xf>
    <xf numFmtId="0" fontId="14" fillId="0" borderId="15" xfId="102" applyFont="1" applyBorder="1" applyAlignment="1">
      <alignment horizontal="left" vertical="center"/>
    </xf>
    <xf numFmtId="0" fontId="14" fillId="0" borderId="15" xfId="80" applyFont="1" applyBorder="1" applyAlignment="1">
      <alignment vertical="center"/>
    </xf>
    <xf numFmtId="164" fontId="14" fillId="0" borderId="19" xfId="18" applyFont="1" applyBorder="1" applyAlignment="1">
      <alignment vertical="center" wrapText="1"/>
    </xf>
    <xf numFmtId="0" fontId="14" fillId="0" borderId="23" xfId="85" applyFont="1" applyBorder="1" applyAlignment="1">
      <alignment horizontal="right" vertical="center"/>
    </xf>
    <xf numFmtId="0" fontId="31" fillId="0" borderId="15" xfId="85" applyFont="1" applyBorder="1" applyAlignment="1">
      <alignment vertical="center"/>
    </xf>
    <xf numFmtId="0" fontId="2" fillId="0" borderId="0" xfId="75"/>
    <xf numFmtId="0" fontId="14" fillId="0" borderId="15" xfId="75" applyFont="1" applyBorder="1" applyAlignment="1">
      <alignment horizontal="right" vertical="center" wrapText="1"/>
    </xf>
    <xf numFmtId="0" fontId="14" fillId="0" borderId="39" xfId="85" applyFont="1" applyBorder="1" applyAlignment="1">
      <alignment horizontal="center" vertical="center"/>
    </xf>
    <xf numFmtId="0" fontId="14" fillId="0" borderId="43" xfId="85" applyFont="1" applyBorder="1" applyAlignment="1">
      <alignment vertical="center"/>
    </xf>
    <xf numFmtId="164" fontId="14" fillId="0" borderId="43" xfId="38" applyNumberFormat="1" applyFont="1" applyBorder="1" applyAlignment="1">
      <alignment vertical="center"/>
    </xf>
    <xf numFmtId="0" fontId="14" fillId="0" borderId="44" xfId="85" applyFont="1" applyBorder="1" applyAlignment="1">
      <alignment horizontal="center" vertical="center"/>
    </xf>
    <xf numFmtId="0" fontId="14" fillId="0" borderId="0" xfId="85" applyFont="1" applyAlignment="1">
      <alignment horizontal="center" vertical="center"/>
    </xf>
    <xf numFmtId="0" fontId="14" fillId="0" borderId="0" xfId="85" applyFont="1"/>
    <xf numFmtId="164" fontId="14" fillId="0" borderId="0" xfId="38" applyNumberFormat="1" applyFont="1"/>
    <xf numFmtId="164" fontId="2" fillId="0" borderId="0" xfId="38" applyNumberFormat="1"/>
    <xf numFmtId="0" fontId="17" fillId="0" borderId="15" xfId="91" applyFont="1" applyBorder="1" applyAlignment="1">
      <alignment horizontal="left" vertical="center"/>
    </xf>
    <xf numFmtId="0" fontId="2" fillId="0" borderId="0" xfId="75" applyAlignment="1">
      <alignment vertical="center"/>
    </xf>
    <xf numFmtId="0" fontId="36" fillId="0" borderId="0" xfId="75" applyFont="1" applyAlignment="1">
      <alignment vertical="center"/>
    </xf>
    <xf numFmtId="0" fontId="14" fillId="0" borderId="5" xfId="75" applyFont="1" applyBorder="1" applyAlignment="1">
      <alignment horizontal="center" vertical="center"/>
    </xf>
    <xf numFmtId="0" fontId="14" fillId="0" borderId="6" xfId="75" applyFont="1" applyBorder="1" applyAlignment="1">
      <alignment horizontal="center" vertical="center"/>
    </xf>
    <xf numFmtId="0" fontId="14" fillId="0" borderId="6" xfId="75" applyFont="1" applyBorder="1" applyAlignment="1">
      <alignment horizontal="center" vertical="center" wrapText="1"/>
    </xf>
    <xf numFmtId="0" fontId="14" fillId="0" borderId="8" xfId="75" applyFont="1" applyBorder="1" applyAlignment="1">
      <alignment horizontal="center" vertical="center"/>
    </xf>
    <xf numFmtId="0" fontId="14" fillId="0" borderId="9" xfId="75" applyFont="1" applyBorder="1" applyAlignment="1">
      <alignment vertical="center"/>
    </xf>
    <xf numFmtId="0" fontId="14" fillId="0" borderId="12" xfId="75" applyFont="1" applyBorder="1" applyAlignment="1">
      <alignment vertical="center"/>
    </xf>
    <xf numFmtId="0" fontId="14" fillId="0" borderId="13" xfId="75" applyFont="1" applyBorder="1" applyAlignment="1">
      <alignment vertical="center"/>
    </xf>
    <xf numFmtId="0" fontId="14" fillId="0" borderId="23" xfId="75" applyFont="1" applyBorder="1" applyAlignment="1">
      <alignment horizontal="center" vertical="center"/>
    </xf>
    <xf numFmtId="0" fontId="43" fillId="12" borderId="57" xfId="75" applyFont="1" applyFill="1" applyBorder="1" applyAlignment="1">
      <alignment horizontal="center" vertical="center"/>
    </xf>
    <xf numFmtId="0" fontId="43" fillId="12" borderId="15" xfId="75" applyFont="1" applyFill="1" applyBorder="1" applyAlignment="1">
      <alignment vertical="center"/>
    </xf>
    <xf numFmtId="0" fontId="31" fillId="0" borderId="57" xfId="75" applyFont="1" applyBorder="1" applyAlignment="1">
      <alignment horizontal="center" vertical="center"/>
    </xf>
    <xf numFmtId="0" fontId="31" fillId="0" borderId="15" xfId="75" applyFont="1" applyBorder="1" applyAlignment="1">
      <alignment vertical="center"/>
    </xf>
    <xf numFmtId="0" fontId="14" fillId="0" borderId="21" xfId="75" applyFont="1" applyBorder="1" applyAlignment="1">
      <alignment horizontal="right" vertical="center"/>
    </xf>
    <xf numFmtId="164" fontId="31" fillId="0" borderId="19" xfId="27" applyFont="1" applyBorder="1" applyAlignment="1">
      <alignment vertical="center"/>
    </xf>
    <xf numFmtId="164" fontId="14" fillId="0" borderId="24" xfId="27" applyFont="1" applyBorder="1" applyAlignment="1">
      <alignment vertical="center"/>
    </xf>
    <xf numFmtId="0" fontId="14" fillId="0" borderId="54" xfId="91" applyFont="1" applyBorder="1" applyAlignment="1">
      <alignment horizontal="center" vertical="center"/>
    </xf>
    <xf numFmtId="164" fontId="14" fillId="0" borderId="61" xfId="27" applyFont="1" applyBorder="1" applyAlignment="1">
      <alignment vertical="center"/>
    </xf>
    <xf numFmtId="164" fontId="14" fillId="13" borderId="24" xfId="27" applyFont="1" applyFill="1" applyBorder="1" applyAlignment="1">
      <alignment vertical="center"/>
    </xf>
    <xf numFmtId="164" fontId="31" fillId="0" borderId="24" xfId="27" applyFont="1" applyBorder="1" applyAlignment="1">
      <alignment vertical="center"/>
    </xf>
    <xf numFmtId="0" fontId="14" fillId="0" borderId="23" xfId="75" applyFont="1" applyBorder="1" applyAlignment="1">
      <alignment horizontal="right" vertical="center"/>
    </xf>
    <xf numFmtId="164" fontId="14" fillId="0" borderId="19" xfId="18" applyFont="1" applyBorder="1" applyAlignment="1">
      <alignment horizontal="left" vertical="center"/>
    </xf>
    <xf numFmtId="0" fontId="31" fillId="0" borderId="19" xfId="91" applyFont="1" applyBorder="1" applyAlignment="1">
      <alignment horizontal="left" vertical="center"/>
    </xf>
    <xf numFmtId="0" fontId="31" fillId="0" borderId="20" xfId="93" applyFont="1" applyBorder="1" applyAlignment="1">
      <alignment horizontal="center" vertical="center"/>
    </xf>
    <xf numFmtId="0" fontId="14" fillId="0" borderId="0" xfId="93" applyFont="1" applyAlignment="1">
      <alignment vertical="center"/>
    </xf>
    <xf numFmtId="0" fontId="20" fillId="0" borderId="0" xfId="93" applyFont="1" applyAlignment="1">
      <alignment vertical="center"/>
    </xf>
    <xf numFmtId="0" fontId="18" fillId="0" borderId="0" xfId="93" applyFont="1" applyAlignment="1">
      <alignment vertical="center"/>
    </xf>
    <xf numFmtId="0" fontId="18" fillId="0" borderId="0" xfId="93" applyFont="1"/>
    <xf numFmtId="0" fontId="14" fillId="0" borderId="20" xfId="93" applyFont="1" applyBorder="1" applyAlignment="1">
      <alignment horizontal="center" vertical="center"/>
    </xf>
    <xf numFmtId="0" fontId="14" fillId="0" borderId="15" xfId="93" applyFont="1" applyBorder="1" applyAlignment="1">
      <alignment horizontal="right" vertical="center"/>
    </xf>
    <xf numFmtId="0" fontId="2" fillId="0" borderId="0" xfId="95"/>
    <xf numFmtId="0" fontId="36" fillId="0" borderId="0" xfId="95" applyFont="1" applyAlignment="1">
      <alignment vertical="center"/>
    </xf>
    <xf numFmtId="0" fontId="14" fillId="0" borderId="0" xfId="95" applyFont="1" applyAlignment="1">
      <alignment vertical="center"/>
    </xf>
    <xf numFmtId="0" fontId="2" fillId="0" borderId="0" xfId="95" applyAlignment="1">
      <alignment vertical="center"/>
    </xf>
    <xf numFmtId="0" fontId="14" fillId="0" borderId="87" xfId="95" applyFont="1" applyBorder="1" applyAlignment="1">
      <alignment horizontal="center" vertical="center"/>
    </xf>
    <xf numFmtId="0" fontId="31" fillId="3" borderId="0" xfId="95" applyFont="1" applyFill="1" applyAlignment="1">
      <alignment vertical="center"/>
    </xf>
    <xf numFmtId="0" fontId="14" fillId="0" borderId="9" xfId="95" applyFont="1" applyBorder="1" applyAlignment="1">
      <alignment vertical="center"/>
    </xf>
    <xf numFmtId="0" fontId="14" fillId="0" borderId="12" xfId="95" applyFont="1" applyBorder="1" applyAlignment="1">
      <alignment vertical="center"/>
    </xf>
    <xf numFmtId="0" fontId="31" fillId="3" borderId="13" xfId="95" applyFont="1" applyFill="1" applyBorder="1" applyAlignment="1">
      <alignment vertical="center"/>
    </xf>
    <xf numFmtId="0" fontId="31" fillId="0" borderId="33" xfId="95" applyFont="1" applyBorder="1" applyAlignment="1">
      <alignment horizontal="center" vertical="center"/>
    </xf>
    <xf numFmtId="0" fontId="31" fillId="0" borderId="19" xfId="95" applyFont="1" applyBorder="1" applyAlignment="1">
      <alignment vertical="center"/>
    </xf>
    <xf numFmtId="164" fontId="14" fillId="0" borderId="19" xfId="19" applyFont="1" applyBorder="1" applyAlignment="1">
      <alignment vertical="center"/>
    </xf>
    <xf numFmtId="0" fontId="14" fillId="0" borderId="19" xfId="95" applyFont="1" applyBorder="1" applyAlignment="1">
      <alignment horizontal="center" vertical="center"/>
    </xf>
    <xf numFmtId="0" fontId="31" fillId="3" borderId="20" xfId="95" applyFont="1" applyFill="1" applyBorder="1" applyAlignment="1">
      <alignment horizontal="center" vertical="center"/>
    </xf>
    <xf numFmtId="164" fontId="14" fillId="0" borderId="0" xfId="19" applyFont="1" applyAlignment="1">
      <alignment vertical="center"/>
    </xf>
    <xf numFmtId="0" fontId="14" fillId="0" borderId="33" xfId="95" applyFont="1" applyBorder="1" applyAlignment="1">
      <alignment horizontal="center" vertical="center"/>
    </xf>
    <xf numFmtId="164" fontId="14" fillId="0" borderId="61" xfId="19" applyFont="1" applyBorder="1" applyAlignment="1">
      <alignment vertical="center"/>
    </xf>
    <xf numFmtId="164" fontId="14" fillId="0" borderId="24" xfId="19" applyFont="1" applyBorder="1" applyAlignment="1">
      <alignment vertical="center"/>
    </xf>
    <xf numFmtId="0" fontId="14" fillId="0" borderId="23" xfId="95" applyFont="1" applyBorder="1" applyAlignment="1">
      <alignment horizontal="center" vertical="center"/>
    </xf>
    <xf numFmtId="0" fontId="14" fillId="0" borderId="15" xfId="110" applyNumberFormat="1" applyFont="1" applyBorder="1" applyAlignment="1">
      <alignment vertical="center"/>
    </xf>
    <xf numFmtId="0" fontId="14" fillId="0" borderId="58" xfId="110" applyNumberFormat="1" applyFont="1" applyBorder="1" applyAlignment="1">
      <alignment horizontal="right" vertical="center"/>
    </xf>
    <xf numFmtId="0" fontId="14" fillId="0" borderId="21" xfId="95" applyFont="1" applyBorder="1" applyAlignment="1">
      <alignment vertical="center"/>
    </xf>
    <xf numFmtId="0" fontId="14" fillId="0" borderId="33" xfId="95" applyFont="1" applyBorder="1" applyAlignment="1">
      <alignment horizontal="right" vertical="center"/>
    </xf>
    <xf numFmtId="164" fontId="14" fillId="0" borderId="19" xfId="19" applyFont="1" applyBorder="1" applyAlignment="1">
      <alignment horizontal="center" vertical="center"/>
    </xf>
    <xf numFmtId="0" fontId="14" fillId="0" borderId="19" xfId="95" applyFont="1" applyBorder="1" applyAlignment="1">
      <alignment horizontal="right" vertical="center"/>
    </xf>
    <xf numFmtId="0" fontId="14" fillId="0" borderId="57" xfId="95" applyFont="1" applyBorder="1" applyAlignment="1">
      <alignment horizontal="right" vertical="center"/>
    </xf>
    <xf numFmtId="0" fontId="14" fillId="0" borderId="15" xfId="76" applyFont="1" applyBorder="1" applyAlignment="1">
      <alignment vertical="center"/>
    </xf>
    <xf numFmtId="0" fontId="14" fillId="0" borderId="15" xfId="76" applyFont="1" applyBorder="1" applyAlignment="1">
      <alignment horizontal="right" vertical="center"/>
    </xf>
    <xf numFmtId="164" fontId="14" fillId="0" borderId="21" xfId="95" applyNumberFormat="1" applyFont="1" applyBorder="1" applyAlignment="1">
      <alignment horizontal="center" vertical="center"/>
    </xf>
    <xf numFmtId="0" fontId="14" fillId="0" borderId="15" xfId="95" applyFont="1" applyBorder="1" applyAlignment="1">
      <alignment horizontal="center" vertical="center"/>
    </xf>
    <xf numFmtId="0" fontId="38" fillId="0" borderId="0" xfId="95" applyFont="1"/>
    <xf numFmtId="0" fontId="17" fillId="0" borderId="33" xfId="95" applyFont="1" applyBorder="1" applyAlignment="1">
      <alignment horizontal="right" vertical="center"/>
    </xf>
    <xf numFmtId="0" fontId="17" fillId="0" borderId="15" xfId="95" applyFont="1" applyBorder="1" applyAlignment="1">
      <alignment vertical="center"/>
    </xf>
    <xf numFmtId="164" fontId="17" fillId="0" borderId="19" xfId="19" applyFont="1" applyBorder="1" applyAlignment="1">
      <alignment vertical="center"/>
    </xf>
    <xf numFmtId="164" fontId="17" fillId="0" borderId="24" xfId="19" applyFont="1" applyBorder="1" applyAlignment="1">
      <alignment vertical="center"/>
    </xf>
    <xf numFmtId="0" fontId="17" fillId="0" borderId="19" xfId="95" applyFont="1" applyBorder="1" applyAlignment="1">
      <alignment horizontal="center" vertical="center"/>
    </xf>
    <xf numFmtId="164" fontId="16" fillId="3" borderId="20" xfId="95" applyNumberFormat="1" applyFont="1" applyFill="1" applyBorder="1" applyAlignment="1">
      <alignment vertical="center"/>
    </xf>
    <xf numFmtId="0" fontId="17" fillId="0" borderId="0" xfId="95" applyFont="1" applyAlignment="1">
      <alignment vertical="center"/>
    </xf>
    <xf numFmtId="164" fontId="17" fillId="0" borderId="0" xfId="19" applyFont="1" applyAlignment="1">
      <alignment vertical="center"/>
    </xf>
    <xf numFmtId="0" fontId="37" fillId="0" borderId="0" xfId="95" applyFont="1" applyAlignment="1">
      <alignment vertical="center"/>
    </xf>
    <xf numFmtId="0" fontId="37" fillId="0" borderId="0" xfId="95" applyFont="1"/>
    <xf numFmtId="0" fontId="17" fillId="0" borderId="19" xfId="95" applyFont="1" applyBorder="1" applyAlignment="1">
      <alignment horizontal="right" vertical="center"/>
    </xf>
    <xf numFmtId="164" fontId="17" fillId="0" borderId="61" xfId="19" applyFont="1" applyBorder="1" applyAlignment="1">
      <alignment vertical="center"/>
    </xf>
    <xf numFmtId="0" fontId="17" fillId="0" borderId="19" xfId="95" applyFont="1" applyBorder="1" applyAlignment="1">
      <alignment vertical="center"/>
    </xf>
    <xf numFmtId="164" fontId="31" fillId="0" borderId="24" xfId="19" applyFont="1" applyBorder="1" applyAlignment="1">
      <alignment vertical="center"/>
    </xf>
    <xf numFmtId="0" fontId="31" fillId="0" borderId="19" xfId="95" applyFont="1" applyBorder="1" applyAlignment="1">
      <alignment horizontal="center" vertical="center"/>
    </xf>
    <xf numFmtId="164" fontId="31" fillId="0" borderId="19" xfId="19" applyFont="1" applyBorder="1" applyAlignment="1">
      <alignment vertical="center"/>
    </xf>
    <xf numFmtId="164" fontId="14" fillId="0" borderId="27" xfId="19" applyFont="1" applyBorder="1" applyAlignment="1">
      <alignment vertical="center"/>
    </xf>
    <xf numFmtId="164" fontId="14" fillId="0" borderId="19" xfId="30" applyFont="1" applyBorder="1" applyAlignment="1">
      <alignment vertical="center"/>
    </xf>
    <xf numFmtId="164" fontId="14" fillId="0" borderId="0" xfId="30" applyFont="1" applyAlignment="1">
      <alignment vertical="center"/>
    </xf>
    <xf numFmtId="0" fontId="38" fillId="0" borderId="0" xfId="95" applyFont="1" applyAlignment="1">
      <alignment vertical="center"/>
    </xf>
    <xf numFmtId="164" fontId="14" fillId="0" borderId="61" xfId="30" applyFont="1" applyBorder="1" applyAlignment="1">
      <alignment vertical="center"/>
    </xf>
    <xf numFmtId="164" fontId="14" fillId="0" borderId="24" xfId="30" applyFont="1" applyBorder="1" applyAlignment="1">
      <alignment vertical="center"/>
    </xf>
    <xf numFmtId="0" fontId="14" fillId="0" borderId="33" xfId="94" applyFont="1" applyBorder="1" applyAlignment="1">
      <alignment horizontal="center" vertical="center"/>
    </xf>
    <xf numFmtId="0" fontId="14" fillId="0" borderId="21" xfId="94" applyFont="1" applyBorder="1" applyAlignment="1">
      <alignment vertical="center"/>
    </xf>
    <xf numFmtId="164" fontId="14" fillId="0" borderId="19" xfId="28" applyFont="1" applyBorder="1" applyAlignment="1">
      <alignment vertical="center"/>
    </xf>
    <xf numFmtId="164" fontId="31" fillId="0" borderId="24" xfId="28" applyFont="1" applyBorder="1" applyAlignment="1">
      <alignment vertical="center"/>
    </xf>
    <xf numFmtId="0" fontId="20" fillId="0" borderId="0" xfId="94" applyFont="1" applyAlignment="1">
      <alignment vertical="center"/>
    </xf>
    <xf numFmtId="0" fontId="18" fillId="0" borderId="0" xfId="94" applyFont="1" applyAlignment="1">
      <alignment vertical="center"/>
    </xf>
    <xf numFmtId="0" fontId="18" fillId="0" borderId="0" xfId="94" applyFont="1"/>
    <xf numFmtId="0" fontId="14" fillId="0" borderId="33" xfId="94" applyFont="1" applyBorder="1" applyAlignment="1">
      <alignment horizontal="right" vertical="center"/>
    </xf>
    <xf numFmtId="0" fontId="14" fillId="0" borderId="15" xfId="94" applyFont="1" applyBorder="1" applyAlignment="1">
      <alignment vertical="center"/>
    </xf>
    <xf numFmtId="164" fontId="14" fillId="0" borderId="24" xfId="28" applyFont="1" applyBorder="1" applyAlignment="1">
      <alignment vertical="center"/>
    </xf>
    <xf numFmtId="164" fontId="31" fillId="0" borderId="61" xfId="28" applyFont="1" applyBorder="1" applyAlignment="1">
      <alignment vertical="center"/>
    </xf>
    <xf numFmtId="0" fontId="14" fillId="0" borderId="15" xfId="94" applyFont="1" applyBorder="1" applyAlignment="1">
      <alignment horizontal="right" vertical="center"/>
    </xf>
    <xf numFmtId="0" fontId="31" fillId="0" borderId="24" xfId="95" applyFont="1" applyBorder="1" applyAlignment="1">
      <alignment vertical="center"/>
    </xf>
    <xf numFmtId="0" fontId="14" fillId="0" borderId="19" xfId="95" applyFont="1" applyBorder="1" applyAlignment="1">
      <alignment horizontal="left" vertical="center"/>
    </xf>
    <xf numFmtId="0" fontId="14" fillId="0" borderId="15" xfId="95" applyFont="1" applyBorder="1" applyAlignment="1">
      <alignment horizontal="right" vertical="center"/>
    </xf>
    <xf numFmtId="0" fontId="17" fillId="0" borderId="33" xfId="95" applyFont="1" applyBorder="1" applyAlignment="1">
      <alignment horizontal="center" vertical="center"/>
    </xf>
    <xf numFmtId="0" fontId="10" fillId="0" borderId="33" xfId="95" applyFont="1" applyBorder="1" applyAlignment="1">
      <alignment horizontal="center" vertical="center"/>
    </xf>
    <xf numFmtId="0" fontId="10" fillId="0" borderId="19" xfId="95" applyFont="1" applyBorder="1" applyAlignment="1">
      <alignment horizontal="left" vertical="center"/>
    </xf>
    <xf numFmtId="164" fontId="10" fillId="0" borderId="19" xfId="19" applyFont="1" applyBorder="1" applyAlignment="1">
      <alignment vertical="center"/>
    </xf>
    <xf numFmtId="0" fontId="10" fillId="0" borderId="19" xfId="95" applyFont="1" applyBorder="1" applyAlignment="1">
      <alignment horizontal="center" vertical="center" wrapText="1"/>
    </xf>
    <xf numFmtId="164" fontId="11" fillId="3" borderId="20" xfId="95" applyNumberFormat="1" applyFont="1" applyFill="1" applyBorder="1" applyAlignment="1">
      <alignment vertical="center"/>
    </xf>
    <xf numFmtId="0" fontId="10" fillId="0" borderId="0" xfId="95" applyFont="1" applyAlignment="1">
      <alignment vertical="center"/>
    </xf>
    <xf numFmtId="164" fontId="10" fillId="0" borderId="0" xfId="19" applyFont="1" applyAlignment="1">
      <alignment vertical="center"/>
    </xf>
    <xf numFmtId="0" fontId="44" fillId="0" borderId="0" xfId="95" applyFont="1" applyAlignment="1">
      <alignment vertical="center"/>
    </xf>
    <xf numFmtId="0" fontId="44" fillId="0" borderId="0" xfId="95" applyFont="1"/>
    <xf numFmtId="0" fontId="14" fillId="0" borderId="19" xfId="95" applyFont="1" applyBorder="1" applyAlignment="1">
      <alignment horizontal="left" vertical="center" wrapText="1"/>
    </xf>
    <xf numFmtId="164" fontId="31" fillId="0" borderId="19" xfId="30" applyFont="1" applyBorder="1" applyAlignment="1">
      <alignment vertical="center"/>
    </xf>
    <xf numFmtId="0" fontId="14" fillId="0" borderId="15" xfId="95" applyFont="1" applyBorder="1" applyAlignment="1">
      <alignment vertical="center" wrapText="1"/>
    </xf>
    <xf numFmtId="0" fontId="14" fillId="0" borderId="17" xfId="95" applyFont="1" applyBorder="1" applyAlignment="1">
      <alignment vertical="center" wrapText="1"/>
    </xf>
    <xf numFmtId="0" fontId="14" fillId="0" borderId="17" xfId="95" applyFont="1" applyBorder="1" applyAlignment="1">
      <alignment vertical="center"/>
    </xf>
    <xf numFmtId="164" fontId="14" fillId="0" borderId="17" xfId="95" applyNumberFormat="1" applyFont="1" applyBorder="1" applyAlignment="1">
      <alignment vertical="center"/>
    </xf>
    <xf numFmtId="0" fontId="14" fillId="0" borderId="62" xfId="95" applyFont="1" applyBorder="1" applyAlignment="1">
      <alignment horizontal="center" vertical="center"/>
    </xf>
    <xf numFmtId="0" fontId="31" fillId="0" borderId="21" xfId="95" applyFont="1" applyBorder="1" applyAlignment="1">
      <alignment vertical="center"/>
    </xf>
    <xf numFmtId="0" fontId="14" fillId="0" borderId="27" xfId="95" applyFont="1" applyBorder="1" applyAlignment="1">
      <alignment horizontal="center" vertical="center"/>
    </xf>
    <xf numFmtId="164" fontId="31" fillId="3" borderId="28" xfId="95" applyNumberFormat="1" applyFont="1" applyFill="1" applyBorder="1" applyAlignment="1">
      <alignment vertical="center"/>
    </xf>
    <xf numFmtId="0" fontId="14" fillId="0" borderId="15" xfId="103" applyNumberFormat="1" applyFont="1" applyBorder="1" applyAlignment="1">
      <alignment vertical="center"/>
    </xf>
    <xf numFmtId="0" fontId="14" fillId="0" borderId="39" xfId="95" applyFont="1" applyBorder="1" applyAlignment="1">
      <alignment horizontal="center" vertical="center"/>
    </xf>
    <xf numFmtId="0" fontId="14" fillId="0" borderId="43" xfId="95" applyFont="1" applyBorder="1" applyAlignment="1">
      <alignment vertical="center"/>
    </xf>
    <xf numFmtId="164" fontId="14" fillId="0" borderId="43" xfId="19" applyFont="1" applyBorder="1" applyAlignment="1">
      <alignment vertical="center"/>
    </xf>
    <xf numFmtId="0" fontId="14" fillId="0" borderId="43" xfId="95" applyFont="1" applyBorder="1" applyAlignment="1">
      <alignment horizontal="center" vertical="center"/>
    </xf>
    <xf numFmtId="0" fontId="14" fillId="0" borderId="44" xfId="95" applyFont="1" applyBorder="1" applyAlignment="1">
      <alignment horizontal="center" vertical="center"/>
    </xf>
    <xf numFmtId="0" fontId="14" fillId="0" borderId="0" xfId="95" applyFont="1" applyAlignment="1">
      <alignment horizontal="center" vertical="center"/>
    </xf>
    <xf numFmtId="0" fontId="14" fillId="0" borderId="0" xfId="95" applyFont="1"/>
    <xf numFmtId="164" fontId="14" fillId="0" borderId="0" xfId="19" applyFont="1"/>
    <xf numFmtId="164" fontId="2" fillId="0" borderId="0" xfId="19"/>
    <xf numFmtId="0" fontId="14" fillId="0" borderId="5" xfId="96" applyFont="1" applyBorder="1" applyAlignment="1">
      <alignment horizontal="center" vertical="center"/>
    </xf>
    <xf numFmtId="0" fontId="14" fillId="0" borderId="6" xfId="96" applyFont="1" applyBorder="1" applyAlignment="1">
      <alignment horizontal="center" vertical="center"/>
    </xf>
    <xf numFmtId="0" fontId="14" fillId="0" borderId="8" xfId="96" applyFont="1" applyBorder="1" applyAlignment="1">
      <alignment horizontal="center" vertical="center"/>
    </xf>
    <xf numFmtId="0" fontId="31" fillId="3" borderId="0" xfId="96" applyFont="1" applyFill="1" applyAlignment="1">
      <alignment vertical="center" wrapText="1"/>
    </xf>
    <xf numFmtId="0" fontId="31" fillId="0" borderId="57" xfId="96" applyFont="1" applyBorder="1" applyAlignment="1">
      <alignment horizontal="center" vertical="center"/>
    </xf>
    <xf numFmtId="0" fontId="31" fillId="0" borderId="21" xfId="96" applyFont="1" applyBorder="1" applyAlignment="1">
      <alignment vertical="center"/>
    </xf>
    <xf numFmtId="0" fontId="14" fillId="0" borderId="19" xfId="96" applyFont="1" applyBorder="1" applyAlignment="1">
      <alignment vertical="center"/>
    </xf>
    <xf numFmtId="0" fontId="14" fillId="0" borderId="24" xfId="96" applyFont="1" applyBorder="1" applyAlignment="1">
      <alignment vertical="center"/>
    </xf>
    <xf numFmtId="0" fontId="14" fillId="0" borderId="15" xfId="96" applyFont="1" applyBorder="1" applyAlignment="1">
      <alignment vertical="center" wrapText="1"/>
    </xf>
    <xf numFmtId="0" fontId="14" fillId="0" borderId="15" xfId="96" applyFont="1" applyBorder="1" applyAlignment="1">
      <alignment horizontal="right" vertical="center" wrapText="1"/>
    </xf>
    <xf numFmtId="0" fontId="14" fillId="0" borderId="32" xfId="96" applyFont="1" applyBorder="1" applyAlignment="1">
      <alignment vertical="center"/>
    </xf>
    <xf numFmtId="164" fontId="14" fillId="0" borderId="19" xfId="33" applyFont="1" applyBorder="1" applyAlignment="1">
      <alignment vertical="center" wrapText="1"/>
    </xf>
    <xf numFmtId="164" fontId="14" fillId="0" borderId="31" xfId="33" applyFont="1" applyBorder="1" applyAlignment="1">
      <alignment vertical="center"/>
    </xf>
    <xf numFmtId="0" fontId="14" fillId="0" borderId="59" xfId="96" applyFont="1" applyBorder="1" applyAlignment="1">
      <alignment vertical="center"/>
    </xf>
    <xf numFmtId="169" fontId="31" fillId="3" borderId="0" xfId="55" applyNumberFormat="1" applyFont="1" applyFill="1" applyAlignment="1">
      <alignment vertical="center"/>
    </xf>
    <xf numFmtId="0" fontId="32" fillId="0" borderId="33" xfId="96" applyFont="1" applyBorder="1" applyAlignment="1">
      <alignment horizontal="center" vertical="center" wrapText="1"/>
    </xf>
    <xf numFmtId="164" fontId="14" fillId="0" borderId="19" xfId="96" applyNumberFormat="1" applyFont="1" applyBorder="1" applyAlignment="1">
      <alignment vertical="center"/>
    </xf>
    <xf numFmtId="170" fontId="14" fillId="0" borderId="24" xfId="96" applyNumberFormat="1" applyFont="1" applyBorder="1" applyAlignment="1">
      <alignment vertical="center"/>
    </xf>
    <xf numFmtId="164" fontId="3" fillId="0" borderId="0" xfId="96" applyNumberFormat="1" applyFont="1" applyAlignment="1">
      <alignment horizontal="right"/>
    </xf>
    <xf numFmtId="0" fontId="31" fillId="0" borderId="58" xfId="96" applyFont="1" applyBorder="1" applyAlignment="1">
      <alignment horizontal="left" vertical="center"/>
    </xf>
    <xf numFmtId="0" fontId="14" fillId="2" borderId="15" xfId="96" applyFont="1" applyFill="1" applyBorder="1" applyAlignment="1">
      <alignment vertical="center"/>
    </xf>
    <xf numFmtId="0" fontId="14" fillId="0" borderId="60" xfId="96" applyFont="1" applyBorder="1" applyAlignment="1">
      <alignment horizontal="right" vertical="center"/>
    </xf>
    <xf numFmtId="164" fontId="31" fillId="0" borderId="24" xfId="96" applyNumberFormat="1" applyFont="1" applyBorder="1" applyAlignment="1">
      <alignment vertical="center"/>
    </xf>
    <xf numFmtId="164" fontId="14" fillId="0" borderId="61" xfId="96" applyNumberFormat="1" applyFont="1" applyBorder="1" applyAlignment="1">
      <alignment vertical="center"/>
    </xf>
    <xf numFmtId="164" fontId="14" fillId="0" borderId="19" xfId="33" applyFont="1" applyBorder="1" applyAlignment="1">
      <alignment horizontal="center" vertical="center"/>
    </xf>
    <xf numFmtId="164" fontId="31" fillId="0" borderId="24" xfId="33" applyFont="1" applyBorder="1" applyAlignment="1">
      <alignment horizontal="right" vertical="center"/>
    </xf>
    <xf numFmtId="170" fontId="14" fillId="0" borderId="24" xfId="33" applyNumberFormat="1" applyFont="1" applyBorder="1" applyAlignment="1">
      <alignment vertical="center"/>
    </xf>
    <xf numFmtId="170" fontId="14" fillId="0" borderId="19" xfId="33" applyNumberFormat="1" applyFont="1" applyBorder="1" applyAlignment="1">
      <alignment vertical="center"/>
    </xf>
    <xf numFmtId="164" fontId="14" fillId="2" borderId="19" xfId="33" applyFont="1" applyFill="1" applyBorder="1" applyAlignment="1">
      <alignment horizontal="center" vertical="center"/>
    </xf>
    <xf numFmtId="164" fontId="14" fillId="0" borderId="24" xfId="33" applyFont="1" applyBorder="1" applyAlignment="1">
      <alignment horizontal="left" vertical="center"/>
    </xf>
    <xf numFmtId="164" fontId="31" fillId="0" borderId="19" xfId="33" applyFont="1" applyBorder="1" applyAlignment="1">
      <alignment horizontal="center" vertical="center"/>
    </xf>
    <xf numFmtId="164" fontId="31" fillId="0" borderId="24" xfId="33" applyFont="1" applyBorder="1" applyAlignment="1">
      <alignment horizontal="center" vertical="center"/>
    </xf>
    <xf numFmtId="169" fontId="16" fillId="3" borderId="0" xfId="55" applyNumberFormat="1" applyFont="1" applyFill="1" applyAlignment="1">
      <alignment vertical="center"/>
    </xf>
    <xf numFmtId="0" fontId="10" fillId="0" borderId="0" xfId="96" applyFont="1" applyAlignment="1">
      <alignment vertical="center"/>
    </xf>
    <xf numFmtId="169" fontId="14" fillId="0" borderId="0" xfId="55" applyNumberFormat="1" applyFont="1" applyAlignment="1">
      <alignment vertical="center"/>
    </xf>
    <xf numFmtId="164" fontId="14" fillId="0" borderId="27" xfId="33" applyFont="1" applyBorder="1" applyAlignment="1">
      <alignment vertical="center"/>
    </xf>
    <xf numFmtId="164" fontId="31" fillId="0" borderId="0" xfId="96" applyNumberFormat="1" applyFont="1" applyAlignment="1">
      <alignment vertical="center"/>
    </xf>
    <xf numFmtId="164" fontId="14" fillId="0" borderId="61" xfId="33" applyFont="1" applyBorder="1" applyAlignment="1">
      <alignment horizontal="right" vertical="center"/>
    </xf>
    <xf numFmtId="164" fontId="14" fillId="0" borderId="27" xfId="33" applyFont="1" applyBorder="1" applyAlignment="1">
      <alignment horizontal="left" vertical="center" wrapText="1"/>
    </xf>
    <xf numFmtId="164" fontId="34" fillId="0" borderId="19" xfId="96" applyNumberFormat="1" applyFont="1" applyBorder="1" applyAlignment="1">
      <alignment horizontal="right"/>
    </xf>
    <xf numFmtId="164" fontId="14" fillId="0" borderId="62" xfId="33" applyFont="1" applyBorder="1" applyAlignment="1">
      <alignment vertical="center"/>
    </xf>
    <xf numFmtId="164" fontId="14" fillId="0" borderId="62" xfId="96" applyNumberFormat="1" applyFont="1" applyBorder="1" applyAlignment="1">
      <alignment vertical="center"/>
    </xf>
    <xf numFmtId="164" fontId="31" fillId="0" borderId="19" xfId="96" applyNumberFormat="1" applyFont="1" applyBorder="1" applyAlignment="1">
      <alignment vertical="center"/>
    </xf>
    <xf numFmtId="0" fontId="14" fillId="0" borderId="20" xfId="96" applyFont="1" applyBorder="1" applyAlignment="1">
      <alignment vertical="center"/>
    </xf>
    <xf numFmtId="164" fontId="31" fillId="0" borderId="62" xfId="33" applyFont="1" applyBorder="1" applyAlignment="1">
      <alignment vertical="center"/>
    </xf>
    <xf numFmtId="0" fontId="14" fillId="0" borderId="25" xfId="96" applyFont="1" applyBorder="1" applyAlignment="1">
      <alignment vertical="center"/>
    </xf>
    <xf numFmtId="164" fontId="14" fillId="0" borderId="24" xfId="96" applyNumberFormat="1" applyFont="1" applyBorder="1" applyAlignment="1">
      <alignment horizontal="center" vertical="center"/>
    </xf>
    <xf numFmtId="0" fontId="14" fillId="3" borderId="15" xfId="96" applyFont="1" applyFill="1" applyBorder="1" applyAlignment="1">
      <alignment horizontal="right" vertical="center"/>
    </xf>
    <xf numFmtId="164" fontId="14" fillId="3" borderId="27" xfId="33" applyFont="1" applyFill="1" applyBorder="1" applyAlignment="1">
      <alignment vertical="center"/>
    </xf>
    <xf numFmtId="164" fontId="14" fillId="3" borderId="19" xfId="96" applyNumberFormat="1" applyFont="1" applyFill="1" applyBorder="1" applyAlignment="1">
      <alignment vertical="center"/>
    </xf>
    <xf numFmtId="0" fontId="14" fillId="5" borderId="33" xfId="96" applyFont="1" applyFill="1" applyBorder="1" applyAlignment="1">
      <alignment horizontal="right" vertical="center"/>
    </xf>
    <xf numFmtId="0" fontId="14" fillId="5" borderId="15" xfId="96" applyFont="1" applyFill="1" applyBorder="1" applyAlignment="1">
      <alignment vertical="center"/>
    </xf>
    <xf numFmtId="164" fontId="14" fillId="5" borderId="19" xfId="96" applyNumberFormat="1" applyFont="1" applyFill="1" applyBorder="1" applyAlignment="1">
      <alignment horizontal="left" vertical="center" wrapText="1"/>
    </xf>
    <xf numFmtId="164" fontId="31" fillId="5" borderId="24" xfId="96" applyNumberFormat="1" applyFont="1" applyFill="1" applyBorder="1" applyAlignment="1">
      <alignment vertical="center"/>
    </xf>
    <xf numFmtId="0" fontId="14" fillId="5" borderId="54" xfId="96" applyFont="1" applyFill="1" applyBorder="1" applyAlignment="1">
      <alignment vertical="center"/>
    </xf>
    <xf numFmtId="0" fontId="14" fillId="5" borderId="0" xfId="96" applyFont="1" applyFill="1" applyAlignment="1">
      <alignment vertical="center"/>
    </xf>
    <xf numFmtId="0" fontId="2" fillId="5" borderId="0" xfId="96" applyFill="1" applyAlignment="1">
      <alignment vertical="center"/>
    </xf>
    <xf numFmtId="0" fontId="2" fillId="5" borderId="0" xfId="96" applyFill="1"/>
    <xf numFmtId="164" fontId="14" fillId="5" borderId="19" xfId="96" applyNumberFormat="1" applyFont="1" applyFill="1" applyBorder="1" applyAlignment="1">
      <alignment vertical="center"/>
    </xf>
    <xf numFmtId="172" fontId="14" fillId="5" borderId="19" xfId="96" applyNumberFormat="1" applyFont="1" applyFill="1" applyBorder="1" applyAlignment="1">
      <alignment vertical="center"/>
    </xf>
    <xf numFmtId="164" fontId="14" fillId="5" borderId="24" xfId="96" applyNumberFormat="1" applyFont="1" applyFill="1" applyBorder="1" applyAlignment="1">
      <alignment vertical="center"/>
    </xf>
    <xf numFmtId="0" fontId="14" fillId="5" borderId="15" xfId="96" applyFont="1" applyFill="1" applyBorder="1" applyAlignment="1">
      <alignment vertical="center" wrapText="1"/>
    </xf>
    <xf numFmtId="164" fontId="14" fillId="5" borderId="19" xfId="33" applyFont="1" applyFill="1" applyBorder="1" applyAlignment="1">
      <alignment vertical="center"/>
    </xf>
    <xf numFmtId="164" fontId="14" fillId="5" borderId="24" xfId="33" applyFont="1" applyFill="1" applyBorder="1" applyAlignment="1">
      <alignment vertical="center"/>
    </xf>
    <xf numFmtId="164" fontId="31" fillId="5" borderId="24" xfId="33" applyFont="1" applyFill="1" applyBorder="1" applyAlignment="1">
      <alignment vertical="center"/>
    </xf>
    <xf numFmtId="0" fontId="14" fillId="5" borderId="17" xfId="96" applyFont="1" applyFill="1" applyBorder="1" applyAlignment="1">
      <alignment horizontal="right" vertical="center"/>
    </xf>
    <xf numFmtId="172" fontId="14" fillId="3" borderId="19" xfId="96" applyNumberFormat="1" applyFont="1" applyFill="1" applyBorder="1" applyAlignment="1">
      <alignment vertical="center"/>
    </xf>
    <xf numFmtId="0" fontId="14" fillId="5" borderId="58" xfId="96" applyFont="1" applyFill="1" applyBorder="1" applyAlignment="1">
      <alignment horizontal="center" vertical="center"/>
    </xf>
    <xf numFmtId="164" fontId="14" fillId="0" borderId="27" xfId="33" applyFont="1" applyBorder="1" applyAlignment="1">
      <alignment horizontal="left" vertical="center"/>
    </xf>
    <xf numFmtId="164" fontId="14" fillId="0" borderId="27" xfId="33" applyFont="1" applyBorder="1" applyAlignment="1">
      <alignment horizontal="right" vertical="center"/>
    </xf>
    <xf numFmtId="164" fontId="14" fillId="0" borderId="63" xfId="33" applyFont="1" applyBorder="1" applyAlignment="1">
      <alignment vertical="center"/>
    </xf>
    <xf numFmtId="0" fontId="2" fillId="0" borderId="91" xfId="96" applyBorder="1"/>
    <xf numFmtId="164" fontId="17" fillId="0" borderId="24" xfId="33" applyFont="1" applyBorder="1" applyAlignment="1">
      <alignment vertical="center"/>
    </xf>
    <xf numFmtId="171" fontId="2" fillId="0" borderId="0" xfId="96" applyNumberFormat="1"/>
    <xf numFmtId="164" fontId="2" fillId="0" borderId="63" xfId="96" applyNumberFormat="1" applyBorder="1"/>
    <xf numFmtId="0" fontId="32" fillId="0" borderId="14" xfId="96" applyFont="1" applyBorder="1" applyAlignment="1">
      <alignment horizontal="center" vertical="center" wrapText="1"/>
    </xf>
    <xf numFmtId="0" fontId="32" fillId="0" borderId="15" xfId="96" applyFont="1" applyBorder="1" applyAlignment="1">
      <alignment vertical="center"/>
    </xf>
    <xf numFmtId="0" fontId="32" fillId="0" borderId="33" xfId="96" applyFont="1" applyBorder="1" applyAlignment="1">
      <alignment horizontal="right" vertical="center" wrapText="1"/>
    </xf>
    <xf numFmtId="0" fontId="32" fillId="0" borderId="15" xfId="96" applyFont="1" applyBorder="1" applyAlignment="1">
      <alignment horizontal="right" vertical="center"/>
    </xf>
    <xf numFmtId="0" fontId="32" fillId="0" borderId="19" xfId="96" applyFont="1" applyBorder="1" applyAlignment="1">
      <alignment vertical="center" wrapText="1"/>
    </xf>
    <xf numFmtId="0" fontId="14" fillId="3" borderId="58" xfId="96" applyFont="1" applyFill="1" applyBorder="1" applyAlignment="1">
      <alignment horizontal="right" vertical="center"/>
    </xf>
    <xf numFmtId="0" fontId="14" fillId="3" borderId="15" xfId="96" applyFont="1" applyFill="1" applyBorder="1" applyAlignment="1">
      <alignment vertical="center"/>
    </xf>
    <xf numFmtId="164" fontId="14" fillId="3" borderId="19" xfId="33" applyFont="1" applyFill="1" applyBorder="1" applyAlignment="1">
      <alignment vertical="center"/>
    </xf>
    <xf numFmtId="164" fontId="14" fillId="3" borderId="24" xfId="33" applyFont="1" applyFill="1" applyBorder="1" applyAlignment="1">
      <alignment vertical="center"/>
    </xf>
    <xf numFmtId="0" fontId="14" fillId="3" borderId="54" xfId="96" applyFont="1" applyFill="1" applyBorder="1" applyAlignment="1">
      <alignment vertical="center"/>
    </xf>
    <xf numFmtId="170" fontId="14" fillId="3" borderId="19" xfId="33" applyNumberFormat="1" applyFont="1" applyFill="1" applyBorder="1" applyAlignment="1">
      <alignment vertical="center"/>
    </xf>
    <xf numFmtId="173" fontId="14" fillId="3" borderId="24" xfId="55" applyNumberFormat="1" applyFont="1" applyFill="1" applyBorder="1" applyAlignment="1">
      <alignment vertical="center"/>
    </xf>
    <xf numFmtId="165" fontId="31" fillId="3" borderId="0" xfId="55" applyNumberFormat="1" applyFont="1" applyFill="1" applyAlignment="1">
      <alignment vertical="center"/>
    </xf>
    <xf numFmtId="0" fontId="2" fillId="0" borderId="0" xfId="96" applyAlignment="1">
      <alignment horizontal="center" vertical="center"/>
    </xf>
    <xf numFmtId="0" fontId="2" fillId="0" borderId="0" xfId="96" applyAlignment="1">
      <alignment horizontal="center"/>
    </xf>
    <xf numFmtId="0" fontId="14" fillId="0" borderId="64" xfId="96" applyFont="1" applyBorder="1" applyAlignment="1">
      <alignment horizontal="center" vertical="center"/>
    </xf>
    <xf numFmtId="0" fontId="14" fillId="0" borderId="65" xfId="96" applyFont="1" applyBorder="1" applyAlignment="1">
      <alignment horizontal="center" vertical="center"/>
    </xf>
    <xf numFmtId="0" fontId="2" fillId="0" borderId="65" xfId="96" applyBorder="1" applyAlignment="1">
      <alignment horizontal="center" vertical="center"/>
    </xf>
    <xf numFmtId="0" fontId="14" fillId="0" borderId="66" xfId="96" applyFont="1" applyBorder="1" applyAlignment="1">
      <alignment horizontal="center" vertical="center"/>
    </xf>
    <xf numFmtId="0" fontId="2" fillId="0" borderId="67" xfId="96" applyBorder="1" applyAlignment="1">
      <alignment horizontal="center"/>
    </xf>
    <xf numFmtId="173" fontId="14" fillId="3" borderId="61" xfId="55" applyNumberFormat="1" applyFont="1" applyFill="1" applyBorder="1" applyAlignment="1">
      <alignment vertical="center"/>
    </xf>
    <xf numFmtId="164" fontId="31" fillId="3" borderId="24" xfId="33" applyFont="1" applyFill="1" applyBorder="1" applyAlignment="1">
      <alignment vertical="center"/>
    </xf>
    <xf numFmtId="0" fontId="31" fillId="3" borderId="54" xfId="96" applyFont="1" applyFill="1" applyBorder="1" applyAlignment="1">
      <alignment vertical="center"/>
    </xf>
    <xf numFmtId="0" fontId="14" fillId="6" borderId="58" xfId="96" applyFont="1" applyFill="1" applyBorder="1" applyAlignment="1">
      <alignment horizontal="right" vertical="center"/>
    </xf>
    <xf numFmtId="0" fontId="14" fillId="6" borderId="15" xfId="96" applyFont="1" applyFill="1" applyBorder="1" applyAlignment="1">
      <alignment vertical="center"/>
    </xf>
    <xf numFmtId="164" fontId="14" fillId="6" borderId="19" xfId="33" applyFont="1" applyFill="1" applyBorder="1" applyAlignment="1">
      <alignment vertical="center"/>
    </xf>
    <xf numFmtId="170" fontId="14" fillId="6" borderId="19" xfId="33" applyNumberFormat="1" applyFont="1" applyFill="1" applyBorder="1" applyAlignment="1">
      <alignment vertical="center"/>
    </xf>
    <xf numFmtId="164" fontId="14" fillId="6" borderId="24" xfId="33" applyFont="1" applyFill="1" applyBorder="1" applyAlignment="1">
      <alignment vertical="center"/>
    </xf>
    <xf numFmtId="0" fontId="14" fillId="6" borderId="54" xfId="96" applyFont="1" applyFill="1" applyBorder="1" applyAlignment="1">
      <alignment vertical="center"/>
    </xf>
    <xf numFmtId="0" fontId="31" fillId="6" borderId="0" xfId="96" applyFont="1" applyFill="1" applyAlignment="1">
      <alignment vertical="center"/>
    </xf>
    <xf numFmtId="0" fontId="14" fillId="6" borderId="58" xfId="96" applyFont="1" applyFill="1" applyBorder="1" applyAlignment="1">
      <alignment horizontal="center" vertical="center"/>
    </xf>
    <xf numFmtId="164" fontId="14" fillId="6" borderId="19" xfId="33" applyFont="1" applyFill="1" applyBorder="1" applyAlignment="1">
      <alignment horizontal="center" vertical="center"/>
    </xf>
    <xf numFmtId="164" fontId="14" fillId="6" borderId="24" xfId="33" applyFont="1" applyFill="1" applyBorder="1" applyAlignment="1">
      <alignment horizontal="center" vertical="center"/>
    </xf>
    <xf numFmtId="174" fontId="14" fillId="0" borderId="0" xfId="33" applyNumberFormat="1" applyFont="1" applyAlignment="1">
      <alignment horizontal="center" vertical="center"/>
    </xf>
    <xf numFmtId="0" fontId="14" fillId="6" borderId="15" xfId="96" applyFont="1" applyFill="1" applyBorder="1" applyAlignment="1">
      <alignment horizontal="right" vertical="center"/>
    </xf>
    <xf numFmtId="170" fontId="14" fillId="6" borderId="24" xfId="33" applyNumberFormat="1" applyFont="1" applyFill="1" applyBorder="1" applyAlignment="1">
      <alignment vertical="center"/>
    </xf>
    <xf numFmtId="172" fontId="14" fillId="6" borderId="24" xfId="33" applyNumberFormat="1" applyFont="1" applyFill="1" applyBorder="1" applyAlignment="1">
      <alignment vertical="center"/>
    </xf>
    <xf numFmtId="0" fontId="14" fillId="0" borderId="68" xfId="96" applyFont="1" applyBorder="1" applyAlignment="1">
      <alignment horizontal="center" vertical="center"/>
    </xf>
    <xf numFmtId="164" fontId="14" fillId="0" borderId="0" xfId="33" applyFont="1" applyAlignment="1">
      <alignment horizontal="center" vertical="center"/>
    </xf>
    <xf numFmtId="169" fontId="31" fillId="6" borderId="0" xfId="55" applyNumberFormat="1" applyFont="1" applyFill="1" applyAlignment="1">
      <alignment vertical="center"/>
    </xf>
    <xf numFmtId="164" fontId="14" fillId="6" borderId="27" xfId="33" applyFont="1" applyFill="1" applyBorder="1" applyAlignment="1">
      <alignment vertical="center"/>
    </xf>
    <xf numFmtId="164" fontId="14" fillId="6" borderId="61" xfId="33" applyFont="1" applyFill="1" applyBorder="1" applyAlignment="1">
      <alignment vertical="center"/>
    </xf>
    <xf numFmtId="164" fontId="31" fillId="6" borderId="24" xfId="33" applyFont="1" applyFill="1" applyBorder="1" applyAlignment="1">
      <alignment vertical="center"/>
    </xf>
    <xf numFmtId="0" fontId="31" fillId="6" borderId="54" xfId="96" applyFont="1" applyFill="1" applyBorder="1" applyAlignment="1">
      <alignment vertical="center"/>
    </xf>
    <xf numFmtId="0" fontId="14" fillId="7" borderId="58" xfId="96" applyFont="1" applyFill="1" applyBorder="1" applyAlignment="1">
      <alignment horizontal="right" vertical="center"/>
    </xf>
    <xf numFmtId="0" fontId="14" fillId="7" borderId="15" xfId="96" applyFont="1" applyFill="1" applyBorder="1" applyAlignment="1">
      <alignment vertical="center"/>
    </xf>
    <xf numFmtId="164" fontId="14" fillId="7" borderId="19" xfId="33" applyFont="1" applyFill="1" applyBorder="1" applyAlignment="1">
      <alignment vertical="center"/>
    </xf>
    <xf numFmtId="170" fontId="14" fillId="7" borderId="19" xfId="33" applyNumberFormat="1" applyFont="1" applyFill="1" applyBorder="1" applyAlignment="1">
      <alignment vertical="center"/>
    </xf>
    <xf numFmtId="164" fontId="14" fillId="7" borderId="24" xfId="33" applyFont="1" applyFill="1" applyBorder="1" applyAlignment="1">
      <alignment vertical="center"/>
    </xf>
    <xf numFmtId="0" fontId="14" fillId="7" borderId="54" xfId="96" applyFont="1" applyFill="1" applyBorder="1" applyAlignment="1">
      <alignment vertical="center"/>
    </xf>
    <xf numFmtId="0" fontId="31" fillId="7" borderId="0" xfId="96" applyFont="1" applyFill="1" applyAlignment="1">
      <alignment vertical="center"/>
    </xf>
    <xf numFmtId="0" fontId="14" fillId="7" borderId="58" xfId="96" applyFont="1" applyFill="1" applyBorder="1" applyAlignment="1">
      <alignment horizontal="center" vertical="center"/>
    </xf>
    <xf numFmtId="164" fontId="14" fillId="7" borderId="19" xfId="33" applyFont="1" applyFill="1" applyBorder="1" applyAlignment="1">
      <alignment horizontal="center" vertical="center"/>
    </xf>
    <xf numFmtId="164" fontId="14" fillId="7" borderId="24" xfId="33" applyFont="1" applyFill="1" applyBorder="1" applyAlignment="1">
      <alignment horizontal="center" vertical="center"/>
    </xf>
    <xf numFmtId="0" fontId="14" fillId="7" borderId="15" xfId="96" applyFont="1" applyFill="1" applyBorder="1" applyAlignment="1">
      <alignment horizontal="right" vertical="center"/>
    </xf>
    <xf numFmtId="172" fontId="14" fillId="7" borderId="24" xfId="33" applyNumberFormat="1" applyFont="1" applyFill="1" applyBorder="1" applyAlignment="1">
      <alignment vertical="center"/>
    </xf>
    <xf numFmtId="0" fontId="14" fillId="0" borderId="69" xfId="96" applyFont="1" applyBorder="1" applyAlignment="1">
      <alignment vertical="center"/>
    </xf>
    <xf numFmtId="0" fontId="14" fillId="0" borderId="70" xfId="96" applyFont="1" applyBorder="1" applyAlignment="1">
      <alignment vertical="center"/>
    </xf>
    <xf numFmtId="0" fontId="14" fillId="0" borderId="71" xfId="96" applyFont="1" applyBorder="1" applyAlignment="1">
      <alignment vertical="center"/>
    </xf>
    <xf numFmtId="0" fontId="14" fillId="0" borderId="72" xfId="96" applyFont="1" applyBorder="1" applyAlignment="1">
      <alignment vertical="center"/>
    </xf>
    <xf numFmtId="0" fontId="14" fillId="0" borderId="73" xfId="96" applyFont="1" applyBorder="1" applyAlignment="1">
      <alignment vertical="center"/>
    </xf>
    <xf numFmtId="0" fontId="2" fillId="0" borderId="73" xfId="96" applyBorder="1" applyAlignment="1">
      <alignment vertical="center"/>
    </xf>
    <xf numFmtId="0" fontId="14" fillId="0" borderId="74" xfId="96" applyFont="1" applyBorder="1" applyAlignment="1">
      <alignment vertical="center"/>
    </xf>
    <xf numFmtId="164" fontId="31" fillId="7" borderId="24" xfId="33" applyFont="1" applyFill="1" applyBorder="1" applyAlignment="1">
      <alignment vertical="center"/>
    </xf>
    <xf numFmtId="0" fontId="31" fillId="7" borderId="54" xfId="96" applyFont="1" applyFill="1" applyBorder="1" applyAlignment="1">
      <alignment vertical="center"/>
    </xf>
    <xf numFmtId="169" fontId="31" fillId="7" borderId="0" xfId="55" applyNumberFormat="1" applyFont="1" applyFill="1" applyAlignment="1">
      <alignment vertical="center"/>
    </xf>
    <xf numFmtId="164" fontId="14" fillId="0" borderId="75" xfId="33" applyFont="1" applyBorder="1" applyAlignment="1">
      <alignment vertical="center"/>
    </xf>
    <xf numFmtId="0" fontId="14" fillId="0" borderId="19" xfId="96" applyFont="1" applyBorder="1" applyAlignment="1">
      <alignment horizontal="right" vertical="center"/>
    </xf>
    <xf numFmtId="164" fontId="17" fillId="0" borderId="19" xfId="33" applyFont="1" applyBorder="1" applyAlignment="1">
      <alignment vertical="center"/>
    </xf>
    <xf numFmtId="164" fontId="2" fillId="0" borderId="19" xfId="96" applyNumberFormat="1" applyBorder="1"/>
    <xf numFmtId="169" fontId="2" fillId="0" borderId="19" xfId="55" applyNumberFormat="1" applyFont="1" applyBorder="1" applyAlignment="1">
      <alignment horizontal="center"/>
    </xf>
    <xf numFmtId="171" fontId="2" fillId="0" borderId="19" xfId="96" applyNumberFormat="1" applyBorder="1"/>
    <xf numFmtId="2" fontId="2" fillId="0" borderId="19" xfId="96" applyNumberFormat="1" applyBorder="1"/>
    <xf numFmtId="169" fontId="2" fillId="0" borderId="19" xfId="55" applyNumberFormat="1" applyFont="1" applyBorder="1"/>
    <xf numFmtId="164" fontId="31" fillId="7" borderId="75" xfId="33" applyFont="1" applyFill="1" applyBorder="1" applyAlignment="1">
      <alignment vertical="center"/>
    </xf>
    <xf numFmtId="0" fontId="14" fillId="0" borderId="30" xfId="96" applyFont="1" applyBorder="1" applyAlignment="1">
      <alignment horizontal="center" vertical="center"/>
    </xf>
    <xf numFmtId="0" fontId="14" fillId="0" borderId="29" xfId="96" applyFont="1" applyBorder="1" applyAlignment="1">
      <alignment vertical="center" wrapText="1"/>
    </xf>
    <xf numFmtId="0" fontId="14" fillId="0" borderId="76" xfId="96" applyFont="1" applyBorder="1" applyAlignment="1">
      <alignment horizontal="right" vertical="center"/>
    </xf>
    <xf numFmtId="0" fontId="14" fillId="0" borderId="77" xfId="96" applyFont="1" applyBorder="1" applyAlignment="1">
      <alignment vertical="center"/>
    </xf>
    <xf numFmtId="164" fontId="14" fillId="0" borderId="78" xfId="33" applyFont="1" applyBorder="1" applyAlignment="1">
      <alignment vertical="center"/>
    </xf>
    <xf numFmtId="0" fontId="14" fillId="0" borderId="79" xfId="96" applyFont="1" applyBorder="1" applyAlignment="1">
      <alignment vertical="center"/>
    </xf>
    <xf numFmtId="0" fontId="14" fillId="0" borderId="4" xfId="87" applyFont="1" applyBorder="1" applyAlignment="1">
      <alignment vertical="center"/>
    </xf>
    <xf numFmtId="0" fontId="14" fillId="0" borderId="4" xfId="87" applyFont="1" applyBorder="1" applyAlignment="1">
      <alignment horizontal="center" vertical="center"/>
    </xf>
    <xf numFmtId="0" fontId="31" fillId="0" borderId="4" xfId="87" applyFont="1" applyBorder="1" applyAlignment="1">
      <alignment vertical="center"/>
    </xf>
    <xf numFmtId="0" fontId="14" fillId="0" borderId="10" xfId="87" applyFont="1" applyBorder="1" applyAlignment="1">
      <alignment vertical="center"/>
    </xf>
    <xf numFmtId="0" fontId="14" fillId="0" borderId="19" xfId="87" applyFont="1" applyBorder="1"/>
    <xf numFmtId="0" fontId="14" fillId="0" borderId="20" xfId="87" applyFont="1" applyBorder="1"/>
    <xf numFmtId="169" fontId="31" fillId="3" borderId="20" xfId="51" applyNumberFormat="1" applyFont="1" applyFill="1" applyBorder="1" applyAlignment="1">
      <alignment vertical="center"/>
    </xf>
    <xf numFmtId="0" fontId="14" fillId="0" borderId="21" xfId="105" applyNumberFormat="1" applyFont="1" applyBorder="1" applyAlignment="1">
      <alignment vertical="center"/>
    </xf>
    <xf numFmtId="164" fontId="34" fillId="0" borderId="19" xfId="9" applyFont="1" applyBorder="1" applyAlignment="1">
      <alignment horizontal="left" vertical="center"/>
    </xf>
    <xf numFmtId="164" fontId="31" fillId="3" borderId="20" xfId="87" applyNumberFormat="1" applyFont="1" applyFill="1" applyBorder="1" applyAlignment="1">
      <alignment horizontal="left" vertical="center"/>
    </xf>
    <xf numFmtId="164" fontId="14" fillId="0" borderId="19" xfId="17" applyFont="1" applyBorder="1" applyAlignment="1">
      <alignment horizontal="right" vertical="center"/>
    </xf>
    <xf numFmtId="164" fontId="14" fillId="0" borderId="15" xfId="87" applyNumberFormat="1" applyFont="1" applyBorder="1" applyAlignment="1">
      <alignment horizontal="left" vertical="center"/>
    </xf>
    <xf numFmtId="164" fontId="14" fillId="0" borderId="19" xfId="87" applyNumberFormat="1" applyFont="1" applyBorder="1" applyAlignment="1">
      <alignment horizontal="left" vertical="center"/>
    </xf>
    <xf numFmtId="164" fontId="14" fillId="0" borderId="61" xfId="87" applyNumberFormat="1" applyFont="1" applyBorder="1" applyAlignment="1">
      <alignment horizontal="left" vertical="center"/>
    </xf>
    <xf numFmtId="164" fontId="14" fillId="0" borderId="21" xfId="87" applyNumberFormat="1" applyFont="1" applyBorder="1" applyAlignment="1">
      <alignment horizontal="left" vertical="center"/>
    </xf>
    <xf numFmtId="164" fontId="14" fillId="0" borderId="15" xfId="9" applyFont="1" applyBorder="1" applyAlignment="1">
      <alignment horizontal="left" vertical="center"/>
    </xf>
    <xf numFmtId="164" fontId="14" fillId="0" borderId="61" xfId="9" applyFont="1" applyBorder="1" applyAlignment="1">
      <alignment horizontal="left" vertical="center"/>
    </xf>
    <xf numFmtId="164" fontId="14" fillId="0" borderId="21" xfId="9" applyFont="1" applyBorder="1" applyAlignment="1">
      <alignment horizontal="left" vertical="center"/>
    </xf>
    <xf numFmtId="164" fontId="14" fillId="0" borderId="15" xfId="9" applyFont="1" applyBorder="1" applyAlignment="1">
      <alignment vertical="center"/>
    </xf>
    <xf numFmtId="164" fontId="14" fillId="0" borderId="21" xfId="9" applyFont="1" applyBorder="1" applyAlignment="1">
      <alignment vertical="center"/>
    </xf>
    <xf numFmtId="170" fontId="14" fillId="0" borderId="19" xfId="9" applyNumberFormat="1" applyFont="1" applyBorder="1" applyAlignment="1">
      <alignment vertical="center"/>
    </xf>
    <xf numFmtId="0" fontId="14" fillId="0" borderId="25" xfId="87" applyFont="1" applyBorder="1" applyAlignment="1">
      <alignment horizontal="right" vertical="center"/>
    </xf>
    <xf numFmtId="0" fontId="14" fillId="0" borderId="61" xfId="87" applyFont="1" applyBorder="1" applyAlignment="1">
      <alignment vertical="center"/>
    </xf>
    <xf numFmtId="164" fontId="14" fillId="0" borderId="15" xfId="87" applyNumberFormat="1" applyFont="1" applyBorder="1" applyAlignment="1">
      <alignment vertical="center"/>
    </xf>
    <xf numFmtId="169" fontId="14" fillId="0" borderId="15" xfId="87" applyNumberFormat="1" applyFont="1" applyBorder="1" applyAlignment="1">
      <alignment horizontal="left" vertical="center"/>
    </xf>
    <xf numFmtId="164" fontId="14" fillId="0" borderId="40" xfId="9" applyFont="1" applyBorder="1" applyAlignment="1">
      <alignment vertical="center"/>
    </xf>
    <xf numFmtId="0" fontId="14" fillId="0" borderId="44" xfId="87" applyFont="1" applyBorder="1"/>
    <xf numFmtId="164" fontId="14" fillId="0" borderId="0" xfId="9" applyFont="1" applyAlignment="1">
      <alignment vertical="center"/>
    </xf>
    <xf numFmtId="0" fontId="18" fillId="0" borderId="0" xfId="88" applyFont="1"/>
    <xf numFmtId="0" fontId="20" fillId="0" borderId="0" xfId="88" applyFont="1" applyAlignment="1">
      <alignment vertical="center"/>
    </xf>
    <xf numFmtId="0" fontId="18" fillId="0" borderId="0" xfId="88" applyFont="1" applyAlignment="1">
      <alignment vertical="center"/>
    </xf>
    <xf numFmtId="0" fontId="22" fillId="0" borderId="0" xfId="88" applyFont="1" applyAlignment="1">
      <alignment vertical="center"/>
    </xf>
    <xf numFmtId="0" fontId="14" fillId="0" borderId="5" xfId="88" applyFont="1" applyBorder="1" applyAlignment="1">
      <alignment horizontal="center" vertical="center"/>
    </xf>
    <xf numFmtId="0" fontId="14" fillId="0" borderId="6" xfId="88" applyFont="1" applyBorder="1" applyAlignment="1">
      <alignment horizontal="center" vertical="center"/>
    </xf>
    <xf numFmtId="0" fontId="14" fillId="0" borderId="8" xfId="88" applyFont="1" applyBorder="1" applyAlignment="1">
      <alignment horizontal="center" vertical="center"/>
    </xf>
    <xf numFmtId="0" fontId="14" fillId="0" borderId="0" xfId="88" applyFont="1" applyAlignment="1">
      <alignment vertical="center"/>
    </xf>
    <xf numFmtId="0" fontId="14" fillId="0" borderId="9" xfId="88" applyFont="1" applyBorder="1" applyAlignment="1">
      <alignment vertical="center"/>
    </xf>
    <xf numFmtId="0" fontId="14" fillId="0" borderId="12" xfId="88" applyFont="1" applyBorder="1" applyAlignment="1">
      <alignment vertical="center"/>
    </xf>
    <xf numFmtId="0" fontId="14" fillId="0" borderId="13" xfId="88" applyFont="1" applyBorder="1" applyAlignment="1">
      <alignment vertical="center"/>
    </xf>
    <xf numFmtId="0" fontId="31" fillId="0" borderId="57" xfId="88" applyFont="1" applyBorder="1" applyAlignment="1">
      <alignment horizontal="center" vertical="center"/>
    </xf>
    <xf numFmtId="0" fontId="31" fillId="0" borderId="15" xfId="88" applyFont="1" applyBorder="1" applyAlignment="1">
      <alignment vertical="center"/>
    </xf>
    <xf numFmtId="164" fontId="14" fillId="0" borderId="19" xfId="24" applyFont="1" applyBorder="1" applyAlignment="1">
      <alignment vertical="center"/>
    </xf>
    <xf numFmtId="0" fontId="14" fillId="0" borderId="20" xfId="88" applyFont="1" applyBorder="1" applyAlignment="1">
      <alignment horizontal="center" vertical="center"/>
    </xf>
    <xf numFmtId="0" fontId="14" fillId="0" borderId="57" xfId="88" applyFont="1" applyBorder="1" applyAlignment="1">
      <alignment horizontal="center" vertical="center"/>
    </xf>
    <xf numFmtId="0" fontId="14" fillId="0" borderId="15" xfId="88" applyFont="1" applyBorder="1" applyAlignment="1">
      <alignment vertical="center"/>
    </xf>
    <xf numFmtId="0" fontId="14" fillId="0" borderId="21" xfId="88" applyFont="1" applyBorder="1" applyAlignment="1">
      <alignment vertical="center"/>
    </xf>
    <xf numFmtId="0" fontId="14" fillId="0" borderId="54" xfId="87" applyFont="1" applyBorder="1" applyAlignment="1">
      <alignment vertical="center"/>
    </xf>
    <xf numFmtId="0" fontId="14" fillId="0" borderId="58" xfId="88" applyFont="1" applyBorder="1" applyAlignment="1">
      <alignment horizontal="center" vertical="center"/>
    </xf>
    <xf numFmtId="0" fontId="14" fillId="0" borderId="58" xfId="88" applyFont="1" applyBorder="1" applyAlignment="1">
      <alignment horizontal="right" vertical="center"/>
    </xf>
    <xf numFmtId="164" fontId="31" fillId="0" borderId="19" xfId="24" applyFont="1" applyBorder="1" applyAlignment="1">
      <alignment vertical="center"/>
    </xf>
    <xf numFmtId="0" fontId="31" fillId="0" borderId="20" xfId="88" applyFont="1" applyBorder="1" applyAlignment="1">
      <alignment horizontal="center" vertical="center"/>
    </xf>
    <xf numFmtId="0" fontId="14" fillId="0" borderId="15" xfId="88" applyFont="1" applyBorder="1" applyAlignment="1">
      <alignment horizontal="right" vertical="center"/>
    </xf>
    <xf numFmtId="0" fontId="14" fillId="0" borderId="15" xfId="72" applyFont="1" applyBorder="1" applyAlignment="1">
      <alignment vertical="center"/>
    </xf>
    <xf numFmtId="164" fontId="45" fillId="0" borderId="19" xfId="24" applyFont="1" applyBorder="1" applyAlignment="1">
      <alignment vertical="center"/>
    </xf>
    <xf numFmtId="0" fontId="14" fillId="0" borderId="23" xfId="88" applyFont="1" applyBorder="1" applyAlignment="1">
      <alignment horizontal="right" vertical="center"/>
    </xf>
    <xf numFmtId="0" fontId="14" fillId="0" borderId="33" xfId="88" applyFont="1" applyBorder="1" applyAlignment="1">
      <alignment horizontal="center" vertical="center"/>
    </xf>
    <xf numFmtId="0" fontId="14" fillId="0" borderId="33" xfId="88" applyFont="1" applyBorder="1" applyAlignment="1">
      <alignment horizontal="right" vertical="center"/>
    </xf>
    <xf numFmtId="0" fontId="14" fillId="0" borderId="17" xfId="88" applyFont="1" applyBorder="1" applyAlignment="1">
      <alignment horizontal="right" vertical="center"/>
    </xf>
    <xf numFmtId="2" fontId="20" fillId="0" borderId="0" xfId="88" applyNumberFormat="1" applyFont="1" applyAlignment="1">
      <alignment vertical="center"/>
    </xf>
    <xf numFmtId="175" fontId="20" fillId="0" borderId="0" xfId="88" applyNumberFormat="1" applyFont="1" applyAlignment="1">
      <alignment vertical="center"/>
    </xf>
    <xf numFmtId="164" fontId="14" fillId="0" borderId="61" xfId="24" applyFont="1" applyBorder="1" applyAlignment="1">
      <alignment vertical="center"/>
    </xf>
    <xf numFmtId="164" fontId="31" fillId="0" borderId="24" xfId="24" applyFont="1" applyBorder="1" applyAlignment="1">
      <alignment vertical="center"/>
    </xf>
    <xf numFmtId="164" fontId="14" fillId="0" borderId="24" xfId="24" applyFont="1" applyBorder="1" applyAlignment="1">
      <alignment vertical="center"/>
    </xf>
    <xf numFmtId="0" fontId="14" fillId="0" borderId="25" xfId="88" applyFont="1" applyBorder="1" applyAlignment="1">
      <alignment vertical="center"/>
    </xf>
    <xf numFmtId="0" fontId="31" fillId="0" borderId="33" xfId="88" applyFont="1" applyBorder="1" applyAlignment="1">
      <alignment horizontal="center" vertical="center"/>
    </xf>
    <xf numFmtId="0" fontId="31" fillId="0" borderId="21" xfId="88" applyFont="1" applyBorder="1" applyAlignment="1">
      <alignment vertical="center"/>
    </xf>
    <xf numFmtId="164" fontId="31" fillId="0" borderId="62" xfId="24" applyFont="1" applyBorder="1" applyAlignment="1">
      <alignment vertical="center"/>
    </xf>
    <xf numFmtId="164" fontId="31" fillId="0" borderId="61" xfId="24" applyFont="1" applyBorder="1" applyAlignment="1">
      <alignment vertical="center"/>
    </xf>
    <xf numFmtId="0" fontId="14" fillId="0" borderId="82" xfId="88" applyFont="1" applyBorder="1" applyAlignment="1">
      <alignment vertical="center" wrapText="1"/>
    </xf>
    <xf numFmtId="0" fontId="14" fillId="0" borderId="39" xfId="88" applyFont="1" applyBorder="1" applyAlignment="1">
      <alignment horizontal="center" vertical="center"/>
    </xf>
    <xf numFmtId="0" fontId="14" fillId="0" borderId="43" xfId="88" applyFont="1" applyBorder="1" applyAlignment="1">
      <alignment vertical="center"/>
    </xf>
    <xf numFmtId="164" fontId="14" fillId="0" borderId="43" xfId="24" applyFont="1" applyBorder="1" applyAlignment="1">
      <alignment vertical="center"/>
    </xf>
    <xf numFmtId="0" fontId="14" fillId="0" borderId="44" xfId="88" applyFont="1" applyBorder="1" applyAlignment="1">
      <alignment horizontal="center" vertical="center"/>
    </xf>
    <xf numFmtId="0" fontId="14" fillId="0" borderId="0" xfId="88" applyFont="1" applyAlignment="1">
      <alignment horizontal="center" vertical="center"/>
    </xf>
    <xf numFmtId="164" fontId="14" fillId="0" borderId="0" xfId="24" applyFont="1" applyAlignment="1">
      <alignment vertical="center"/>
    </xf>
    <xf numFmtId="164" fontId="20" fillId="0" borderId="0" xfId="24" applyFont="1" applyAlignment="1">
      <alignment vertical="center"/>
    </xf>
    <xf numFmtId="0" fontId="20" fillId="0" borderId="0" xfId="88" applyFont="1" applyAlignment="1">
      <alignment horizontal="center" vertical="center"/>
    </xf>
    <xf numFmtId="0" fontId="20" fillId="0" borderId="0" xfId="88" applyFont="1"/>
    <xf numFmtId="164" fontId="20" fillId="0" borderId="0" xfId="24" applyFont="1"/>
    <xf numFmtId="164" fontId="18" fillId="0" borderId="0" xfId="24" applyFont="1"/>
    <xf numFmtId="0" fontId="31" fillId="0" borderId="19" xfId="87" applyFont="1" applyBorder="1" applyAlignment="1">
      <alignment vertical="center"/>
    </xf>
    <xf numFmtId="0" fontId="14" fillId="0" borderId="27" xfId="87" applyFont="1" applyBorder="1" applyAlignment="1">
      <alignment vertical="center"/>
    </xf>
    <xf numFmtId="0" fontId="31" fillId="0" borderId="24" xfId="87" applyFont="1" applyBorder="1" applyAlignment="1">
      <alignment vertical="center"/>
    </xf>
    <xf numFmtId="0" fontId="14" fillId="0" borderId="19" xfId="87" applyFont="1" applyBorder="1" applyAlignment="1">
      <alignment horizontal="left" vertical="center"/>
    </xf>
    <xf numFmtId="0" fontId="14" fillId="0" borderId="19" xfId="90" applyFont="1" applyBorder="1" applyAlignment="1">
      <alignment vertical="center"/>
    </xf>
    <xf numFmtId="0" fontId="14" fillId="0" borderId="19" xfId="90" applyFont="1" applyBorder="1" applyAlignment="1">
      <alignment horizontal="center" vertical="center"/>
    </xf>
    <xf numFmtId="0" fontId="14" fillId="0" borderId="19" xfId="90" applyFont="1" applyBorder="1" applyAlignment="1">
      <alignment horizontal="right" vertical="center"/>
    </xf>
    <xf numFmtId="164" fontId="14" fillId="0" borderId="61" xfId="31" applyFont="1" applyBorder="1" applyAlignment="1">
      <alignment vertical="center"/>
    </xf>
    <xf numFmtId="164" fontId="14" fillId="0" borderId="24" xfId="31" applyFont="1" applyBorder="1" applyAlignment="1">
      <alignment vertical="center"/>
    </xf>
    <xf numFmtId="0" fontId="14" fillId="0" borderId="19" xfId="87" applyFont="1" applyBorder="1" applyAlignment="1">
      <alignment vertical="center" wrapText="1"/>
    </xf>
    <xf numFmtId="164" fontId="31" fillId="3" borderId="28" xfId="87" applyNumberFormat="1" applyFont="1" applyFill="1" applyBorder="1" applyAlignment="1">
      <alignment vertical="center"/>
    </xf>
    <xf numFmtId="0" fontId="14" fillId="0" borderId="25" xfId="87" applyFont="1" applyBorder="1" applyAlignment="1">
      <alignment horizontal="left" vertical="center"/>
    </xf>
    <xf numFmtId="0" fontId="14" fillId="0" borderId="33" xfId="87" applyFont="1" applyBorder="1"/>
    <xf numFmtId="164" fontId="14" fillId="0" borderId="75" xfId="17" applyFont="1" applyBorder="1" applyAlignment="1">
      <alignment vertical="center"/>
    </xf>
    <xf numFmtId="0" fontId="14" fillId="0" borderId="82" xfId="87" applyFont="1" applyBorder="1" applyAlignment="1">
      <alignment vertical="center" wrapText="1"/>
    </xf>
    <xf numFmtId="0" fontId="2" fillId="0" borderId="0" xfId="90"/>
    <xf numFmtId="0" fontId="36" fillId="0" borderId="0" xfId="90" applyFont="1" applyAlignment="1">
      <alignment vertical="center"/>
    </xf>
    <xf numFmtId="0" fontId="14" fillId="0" borderId="0" xfId="90" applyFont="1" applyAlignment="1">
      <alignment vertical="center"/>
    </xf>
    <xf numFmtId="0" fontId="2" fillId="0" borderId="0" xfId="90" applyAlignment="1">
      <alignment vertical="center"/>
    </xf>
    <xf numFmtId="0" fontId="14" fillId="0" borderId="87" xfId="90" applyFont="1" applyBorder="1" applyAlignment="1">
      <alignment horizontal="center" vertical="center"/>
    </xf>
    <xf numFmtId="0" fontId="31" fillId="3" borderId="0" xfId="90" applyFont="1" applyFill="1" applyAlignment="1">
      <alignment vertical="center"/>
    </xf>
    <xf numFmtId="0" fontId="14" fillId="0" borderId="9" xfId="90" applyFont="1" applyBorder="1" applyAlignment="1">
      <alignment vertical="center"/>
    </xf>
    <xf numFmtId="0" fontId="14" fillId="0" borderId="12" xfId="90" applyFont="1" applyBorder="1" applyAlignment="1">
      <alignment vertical="center"/>
    </xf>
    <xf numFmtId="0" fontId="31" fillId="3" borderId="13" xfId="90" applyFont="1" applyFill="1" applyBorder="1" applyAlignment="1">
      <alignment vertical="center"/>
    </xf>
    <xf numFmtId="0" fontId="31" fillId="0" borderId="57" xfId="90" applyFont="1" applyBorder="1" applyAlignment="1">
      <alignment horizontal="center" vertical="center"/>
    </xf>
    <xf numFmtId="0" fontId="31" fillId="0" borderId="15" xfId="90" applyFont="1" applyBorder="1" applyAlignment="1">
      <alignment vertical="center"/>
    </xf>
    <xf numFmtId="0" fontId="31" fillId="3" borderId="20" xfId="90" applyFont="1" applyFill="1" applyBorder="1" applyAlignment="1">
      <alignment horizontal="center" vertical="center"/>
    </xf>
    <xf numFmtId="164" fontId="14" fillId="0" borderId="0" xfId="31" applyFont="1" applyAlignment="1">
      <alignment vertical="center"/>
    </xf>
    <xf numFmtId="169" fontId="31" fillId="3" borderId="32" xfId="51" applyNumberFormat="1" applyFont="1" applyFill="1" applyBorder="1" applyAlignment="1">
      <alignment vertical="center"/>
    </xf>
    <xf numFmtId="0" fontId="14" fillId="0" borderId="23" xfId="105" applyNumberFormat="1" applyFont="1" applyBorder="1" applyAlignment="1">
      <alignment horizontal="right" vertical="center"/>
    </xf>
    <xf numFmtId="0" fontId="14" fillId="0" borderId="39" xfId="90" applyFont="1" applyBorder="1" applyAlignment="1">
      <alignment horizontal="center" vertical="center"/>
    </xf>
    <xf numFmtId="0" fontId="14" fillId="0" borderId="43" xfId="90" applyFont="1" applyBorder="1" applyAlignment="1">
      <alignment vertical="center"/>
    </xf>
    <xf numFmtId="164" fontId="14" fillId="0" borderId="43" xfId="31" applyFont="1" applyBorder="1" applyAlignment="1">
      <alignment vertical="center"/>
    </xf>
    <xf numFmtId="0" fontId="14" fillId="0" borderId="43" xfId="90" applyFont="1" applyBorder="1" applyAlignment="1">
      <alignment horizontal="center" vertical="center"/>
    </xf>
    <xf numFmtId="0" fontId="14" fillId="0" borderId="44" xfId="90" applyFont="1" applyBorder="1" applyAlignment="1">
      <alignment horizontal="center" vertical="center"/>
    </xf>
    <xf numFmtId="0" fontId="14" fillId="0" borderId="0" xfId="90" applyFont="1" applyAlignment="1">
      <alignment horizontal="center" vertical="center"/>
    </xf>
    <xf numFmtId="0" fontId="14" fillId="0" borderId="0" xfId="90" applyFont="1"/>
    <xf numFmtId="164" fontId="14" fillId="0" borderId="0" xfId="31" applyFont="1"/>
    <xf numFmtId="164" fontId="2" fillId="0" borderId="0" xfId="31"/>
    <xf numFmtId="0" fontId="14" fillId="0" borderId="4" xfId="91" applyFont="1" applyBorder="1" applyAlignment="1">
      <alignment vertical="center"/>
    </xf>
    <xf numFmtId="0" fontId="14" fillId="0" borderId="4" xfId="91" applyFont="1" applyBorder="1" applyAlignment="1">
      <alignment horizontal="center" vertical="center"/>
    </xf>
    <xf numFmtId="0" fontId="31" fillId="0" borderId="4" xfId="91" applyFont="1" applyBorder="1" applyAlignment="1">
      <alignment vertical="center"/>
    </xf>
    <xf numFmtId="0" fontId="14" fillId="0" borderId="10" xfId="91" applyFont="1" applyBorder="1" applyAlignment="1">
      <alignment vertical="center"/>
    </xf>
    <xf numFmtId="0" fontId="14" fillId="0" borderId="19" xfId="91" applyFont="1" applyBorder="1"/>
    <xf numFmtId="0" fontId="14" fillId="0" borderId="20" xfId="91" applyFont="1" applyBorder="1"/>
    <xf numFmtId="169" fontId="31" fillId="3" borderId="20" xfId="57" applyNumberFormat="1" applyFont="1" applyFill="1" applyBorder="1" applyAlignment="1">
      <alignment vertical="center"/>
    </xf>
    <xf numFmtId="0" fontId="14" fillId="14" borderId="33" xfId="91" applyFont="1" applyFill="1" applyBorder="1" applyAlignment="1">
      <alignment horizontal="center" vertical="center"/>
    </xf>
    <xf numFmtId="0" fontId="14" fillId="14" borderId="15" xfId="109" applyNumberFormat="1" applyFont="1" applyFill="1" applyBorder="1" applyAlignment="1">
      <alignment vertical="center"/>
    </xf>
    <xf numFmtId="0" fontId="14" fillId="0" borderId="21" xfId="109" applyNumberFormat="1" applyFont="1" applyBorder="1" applyAlignment="1">
      <alignment vertical="center"/>
    </xf>
    <xf numFmtId="164" fontId="34" fillId="0" borderId="15" xfId="9" applyFont="1" applyBorder="1" applyAlignment="1">
      <alignment vertical="center"/>
    </xf>
    <xf numFmtId="164" fontId="31" fillId="3" borderId="20" xfId="91" applyNumberFormat="1" applyFont="1" applyFill="1" applyBorder="1" applyAlignment="1">
      <alignment horizontal="left" vertical="center"/>
    </xf>
    <xf numFmtId="164" fontId="14" fillId="0" borderId="19" xfId="34" applyFont="1" applyBorder="1" applyAlignment="1">
      <alignment horizontal="right" vertical="center"/>
    </xf>
    <xf numFmtId="164" fontId="14" fillId="0" borderId="15" xfId="91" applyNumberFormat="1" applyFont="1" applyBorder="1" applyAlignment="1">
      <alignment horizontal="left" vertical="center"/>
    </xf>
    <xf numFmtId="164" fontId="14" fillId="0" borderId="19" xfId="91" applyNumberFormat="1" applyFont="1" applyBorder="1" applyAlignment="1">
      <alignment horizontal="left" vertical="center"/>
    </xf>
    <xf numFmtId="164" fontId="14" fillId="0" borderId="21" xfId="91" applyNumberFormat="1" applyFont="1" applyBorder="1" applyAlignment="1">
      <alignment horizontal="left" vertical="center"/>
    </xf>
    <xf numFmtId="0" fontId="14" fillId="14" borderId="19" xfId="91" applyFont="1" applyFill="1" applyBorder="1" applyAlignment="1">
      <alignment vertical="center"/>
    </xf>
    <xf numFmtId="0" fontId="14" fillId="0" borderId="25" xfId="92" applyFont="1" applyBorder="1" applyAlignment="1">
      <alignment vertical="center"/>
    </xf>
    <xf numFmtId="0" fontId="14" fillId="0" borderId="25" xfId="92" applyFont="1" applyBorder="1" applyAlignment="1">
      <alignment horizontal="right" vertical="center"/>
    </xf>
    <xf numFmtId="169" fontId="14" fillId="0" borderId="15" xfId="91" applyNumberFormat="1" applyFont="1" applyBorder="1" applyAlignment="1">
      <alignment vertical="center"/>
    </xf>
    <xf numFmtId="0" fontId="14" fillId="0" borderId="44" xfId="91" applyFont="1" applyBorder="1"/>
    <xf numFmtId="0" fontId="36" fillId="0" borderId="0" xfId="79" applyFont="1" applyAlignment="1">
      <alignment vertical="center"/>
    </xf>
    <xf numFmtId="0" fontId="14" fillId="0" borderId="5" xfId="79" applyFont="1" applyBorder="1" applyAlignment="1">
      <alignment horizontal="center" vertical="center"/>
    </xf>
    <xf numFmtId="0" fontId="14" fillId="0" borderId="6" xfId="79" applyFont="1" applyBorder="1" applyAlignment="1">
      <alignment horizontal="center" vertical="center"/>
    </xf>
    <xf numFmtId="0" fontId="14" fillId="0" borderId="6" xfId="79" applyFont="1" applyBorder="1" applyAlignment="1">
      <alignment horizontal="center" vertical="center" wrapText="1"/>
    </xf>
    <xf numFmtId="0" fontId="14" fillId="0" borderId="8" xfId="79" applyFont="1" applyBorder="1" applyAlignment="1">
      <alignment horizontal="center" vertical="center"/>
    </xf>
    <xf numFmtId="0" fontId="14" fillId="0" borderId="9" xfId="79" applyFont="1" applyBorder="1" applyAlignment="1">
      <alignment vertical="center"/>
    </xf>
    <xf numFmtId="0" fontId="14" fillId="0" borderId="12" xfId="79" applyFont="1" applyBorder="1" applyAlignment="1">
      <alignment vertical="center"/>
    </xf>
    <xf numFmtId="0" fontId="14" fillId="0" borderId="13" xfId="79" applyFont="1" applyBorder="1" applyAlignment="1">
      <alignment vertical="center"/>
    </xf>
    <xf numFmtId="0" fontId="43" fillId="15" borderId="57" xfId="79" applyFont="1" applyFill="1" applyBorder="1" applyAlignment="1">
      <alignment horizontal="center" vertical="center"/>
    </xf>
    <xf numFmtId="0" fontId="43" fillId="15" borderId="21" xfId="79" applyFont="1" applyFill="1" applyBorder="1" applyAlignment="1">
      <alignment vertical="center"/>
    </xf>
    <xf numFmtId="0" fontId="14" fillId="0" borderId="24" xfId="79" applyFont="1" applyBorder="1" applyAlignment="1">
      <alignment vertical="center"/>
    </xf>
    <xf numFmtId="0" fontId="14" fillId="0" borderId="54" xfId="79" applyFont="1" applyBorder="1" applyAlignment="1">
      <alignment vertical="center"/>
    </xf>
    <xf numFmtId="0" fontId="31" fillId="0" borderId="15" xfId="79" applyFont="1" applyBorder="1" applyAlignment="1">
      <alignment vertical="center"/>
    </xf>
    <xf numFmtId="0" fontId="14" fillId="0" borderId="15" xfId="111" applyNumberFormat="1" applyFont="1" applyBorder="1" applyAlignment="1">
      <alignment horizontal="right" vertical="center"/>
    </xf>
    <xf numFmtId="0" fontId="14" fillId="0" borderId="58" xfId="111" applyNumberFormat="1" applyFont="1" applyBorder="1" applyAlignment="1">
      <alignment horizontal="right" vertical="center"/>
    </xf>
    <xf numFmtId="0" fontId="10" fillId="14" borderId="58" xfId="111" applyNumberFormat="1" applyFont="1" applyFill="1" applyBorder="1" applyAlignment="1">
      <alignment horizontal="center" vertical="center"/>
    </xf>
    <xf numFmtId="0" fontId="10" fillId="0" borderId="15" xfId="111" applyNumberFormat="1" applyFont="1" applyBorder="1" applyAlignment="1">
      <alignment vertical="center"/>
    </xf>
    <xf numFmtId="0" fontId="14" fillId="0" borderId="58" xfId="112" applyNumberFormat="1" applyFont="1" applyBorder="1" applyAlignment="1">
      <alignment horizontal="right" vertical="center"/>
    </xf>
    <xf numFmtId="0" fontId="14" fillId="0" borderId="15" xfId="112" applyNumberFormat="1" applyFont="1" applyBorder="1" applyAlignment="1">
      <alignment vertical="center"/>
    </xf>
    <xf numFmtId="0" fontId="14" fillId="14" borderId="33" xfId="79" applyFont="1" applyFill="1" applyBorder="1" applyAlignment="1">
      <alignment horizontal="right" vertical="center"/>
    </xf>
    <xf numFmtId="0" fontId="14" fillId="14" borderId="15" xfId="79" applyFont="1" applyFill="1" applyBorder="1" applyAlignment="1">
      <alignment vertical="center"/>
    </xf>
    <xf numFmtId="0" fontId="14" fillId="14" borderId="33" xfId="79" applyFont="1" applyFill="1" applyBorder="1" applyAlignment="1">
      <alignment horizontal="center" vertical="center"/>
    </xf>
    <xf numFmtId="0" fontId="14" fillId="0" borderId="15" xfId="104" applyNumberFormat="1" applyFont="1" applyBorder="1" applyAlignment="1">
      <alignment vertical="center"/>
    </xf>
    <xf numFmtId="0" fontId="14" fillId="0" borderId="15" xfId="92" applyFont="1" applyBorder="1" applyAlignment="1">
      <alignment vertical="center"/>
    </xf>
    <xf numFmtId="0" fontId="14" fillId="0" borderId="15" xfId="104" applyNumberFormat="1" applyFont="1" applyBorder="1" applyAlignment="1">
      <alignment horizontal="right" vertical="center"/>
    </xf>
    <xf numFmtId="0" fontId="14" fillId="0" borderId="25" xfId="92" applyFont="1" applyBorder="1" applyAlignment="1">
      <alignment horizontal="center" vertical="center"/>
    </xf>
    <xf numFmtId="0" fontId="31" fillId="0" borderId="15" xfId="79" applyFont="1" applyBorder="1" applyAlignment="1">
      <alignment horizontal="center" vertical="center"/>
    </xf>
    <xf numFmtId="0" fontId="14" fillId="0" borderId="0" xfId="79" applyFont="1"/>
    <xf numFmtId="0" fontId="14" fillId="14" borderId="15" xfId="79" applyFont="1" applyFill="1" applyBorder="1" applyAlignment="1">
      <alignment horizontal="right" vertical="center"/>
    </xf>
    <xf numFmtId="0" fontId="14" fillId="0" borderId="15" xfId="79" applyFont="1" applyBorder="1" applyAlignment="1">
      <alignment vertical="center" wrapText="1"/>
    </xf>
    <xf numFmtId="0" fontId="14" fillId="0" borderId="15" xfId="79" applyFont="1" applyBorder="1" applyAlignment="1">
      <alignment horizontal="center" vertical="center"/>
    </xf>
    <xf numFmtId="0" fontId="14" fillId="0" borderId="15" xfId="79" applyFont="1" applyBorder="1" applyAlignment="1">
      <alignment horizontal="right" vertical="center" wrapText="1"/>
    </xf>
    <xf numFmtId="0" fontId="14" fillId="0" borderId="39" xfId="79" applyFont="1" applyBorder="1" applyAlignment="1">
      <alignment horizontal="right" vertical="center"/>
    </xf>
    <xf numFmtId="0" fontId="14" fillId="0" borderId="40" xfId="79" applyFont="1" applyBorder="1" applyAlignment="1">
      <alignment vertical="center"/>
    </xf>
    <xf numFmtId="0" fontId="14" fillId="0" borderId="44" xfId="79" applyFont="1" applyBorder="1" applyAlignment="1">
      <alignment horizontal="center" vertical="center"/>
    </xf>
    <xf numFmtId="176" fontId="46" fillId="0" borderId="0" xfId="79" applyNumberFormat="1" applyFont="1" applyAlignment="1">
      <alignment horizontal="center" vertical="center"/>
    </xf>
    <xf numFmtId="176" fontId="47" fillId="0" borderId="0" xfId="79" applyNumberFormat="1" applyFont="1" applyAlignment="1">
      <alignment vertical="center"/>
    </xf>
    <xf numFmtId="0" fontId="47" fillId="0" borderId="0" xfId="79" applyFont="1" applyAlignment="1">
      <alignment horizontal="left" vertical="center"/>
    </xf>
    <xf numFmtId="0" fontId="47" fillId="0" borderId="0" xfId="79" applyFont="1" applyAlignment="1">
      <alignment vertical="center"/>
    </xf>
    <xf numFmtId="164" fontId="47" fillId="0" borderId="0" xfId="46" applyNumberFormat="1" applyFont="1" applyAlignment="1">
      <alignment vertical="center"/>
    </xf>
    <xf numFmtId="164" fontId="47" fillId="0" borderId="0" xfId="47" applyNumberFormat="1" applyFont="1" applyAlignment="1">
      <alignment vertical="center"/>
    </xf>
    <xf numFmtId="0" fontId="47" fillId="0" borderId="0" xfId="79" applyFont="1" applyAlignment="1">
      <alignment horizontal="center" vertical="center"/>
    </xf>
    <xf numFmtId="164" fontId="47" fillId="0" borderId="0" xfId="35" applyNumberFormat="1" applyFont="1" applyAlignment="1">
      <alignment horizontal="right" vertical="center"/>
    </xf>
    <xf numFmtId="2" fontId="47" fillId="0" borderId="0" xfId="35" applyNumberFormat="1" applyFont="1" applyAlignment="1">
      <alignment vertical="center"/>
    </xf>
    <xf numFmtId="176" fontId="12" fillId="0" borderId="0" xfId="79" applyNumberFormat="1" applyFont="1" applyAlignment="1">
      <alignment horizontal="left" vertical="center"/>
    </xf>
    <xf numFmtId="176" fontId="48" fillId="0" borderId="0" xfId="79" applyNumberFormat="1" applyFont="1" applyAlignment="1">
      <alignment vertical="center"/>
    </xf>
    <xf numFmtId="0" fontId="48" fillId="0" borderId="0" xfId="79" applyFont="1" applyAlignment="1">
      <alignment horizontal="left" vertical="center"/>
    </xf>
    <xf numFmtId="176" fontId="48" fillId="0" borderId="0" xfId="79" applyNumberFormat="1" applyFont="1" applyAlignment="1">
      <alignment horizontal="left" vertical="center"/>
    </xf>
    <xf numFmtId="176" fontId="49" fillId="0" borderId="0" xfId="79" applyNumberFormat="1" applyFont="1" applyAlignment="1">
      <alignment vertical="center"/>
    </xf>
    <xf numFmtId="164" fontId="49" fillId="0" borderId="0" xfId="47" applyNumberFormat="1" applyFont="1" applyAlignment="1">
      <alignment vertical="center"/>
    </xf>
    <xf numFmtId="176" fontId="49" fillId="0" borderId="0" xfId="79" applyNumberFormat="1" applyFont="1" applyAlignment="1">
      <alignment horizontal="center" vertical="center"/>
    </xf>
    <xf numFmtId="164" fontId="49" fillId="0" borderId="0" xfId="35" applyNumberFormat="1" applyFont="1" applyAlignment="1">
      <alignment horizontal="right" vertical="center"/>
    </xf>
    <xf numFmtId="2" fontId="49" fillId="0" borderId="0" xfId="35" applyNumberFormat="1" applyFont="1" applyAlignment="1">
      <alignment vertical="center"/>
    </xf>
    <xf numFmtId="0" fontId="50" fillId="0" borderId="0" xfId="79" applyFont="1" applyAlignment="1">
      <alignment vertical="center"/>
    </xf>
    <xf numFmtId="176" fontId="51" fillId="0" borderId="0" xfId="79" applyNumberFormat="1" applyFont="1" applyAlignment="1">
      <alignment horizontal="center" vertical="center"/>
    </xf>
    <xf numFmtId="176" fontId="50" fillId="0" borderId="0" xfId="79" applyNumberFormat="1" applyFont="1" applyAlignment="1">
      <alignment vertical="center"/>
    </xf>
    <xf numFmtId="0" fontId="50" fillId="0" borderId="0" xfId="79" applyFont="1" applyAlignment="1">
      <alignment horizontal="left" vertical="center"/>
    </xf>
    <xf numFmtId="164" fontId="50" fillId="0" borderId="0" xfId="46" applyNumberFormat="1" applyFont="1" applyAlignment="1">
      <alignment vertical="center"/>
    </xf>
    <xf numFmtId="164" fontId="50" fillId="0" borderId="0" xfId="47" applyNumberFormat="1" applyFont="1" applyAlignment="1">
      <alignment vertical="center"/>
    </xf>
    <xf numFmtId="0" fontId="50" fillId="0" borderId="0" xfId="79" applyFont="1" applyAlignment="1">
      <alignment horizontal="center" vertical="center"/>
    </xf>
    <xf numFmtId="164" fontId="50" fillId="0" borderId="0" xfId="35" applyNumberFormat="1" applyFont="1" applyAlignment="1">
      <alignment horizontal="right" vertical="center"/>
    </xf>
    <xf numFmtId="2" fontId="50" fillId="0" borderId="0" xfId="35" applyNumberFormat="1" applyFont="1" applyAlignment="1">
      <alignment vertical="center"/>
    </xf>
    <xf numFmtId="176" fontId="46" fillId="0" borderId="9" xfId="79" applyNumberFormat="1" applyFont="1" applyBorder="1" applyAlignment="1">
      <alignment horizontal="center" vertical="center"/>
    </xf>
    <xf numFmtId="176" fontId="47" fillId="0" borderId="12" xfId="79" applyNumberFormat="1" applyFont="1" applyBorder="1" applyAlignment="1">
      <alignment vertical="center"/>
    </xf>
    <xf numFmtId="0" fontId="47" fillId="0" borderId="12" xfId="79" applyFont="1" applyBorder="1" applyAlignment="1">
      <alignment horizontal="left" vertical="center"/>
    </xf>
    <xf numFmtId="0" fontId="47" fillId="0" borderId="12" xfId="79" applyFont="1" applyBorder="1" applyAlignment="1">
      <alignment vertical="center"/>
    </xf>
    <xf numFmtId="164" fontId="47" fillId="0" borderId="12" xfId="46" applyNumberFormat="1" applyFont="1" applyBorder="1" applyAlignment="1">
      <alignment vertical="center"/>
    </xf>
    <xf numFmtId="164" fontId="47" fillId="0" borderId="12" xfId="47" applyNumberFormat="1" applyFont="1" applyBorder="1" applyAlignment="1">
      <alignment vertical="center"/>
    </xf>
    <xf numFmtId="0" fontId="47" fillId="0" borderId="12" xfId="79" applyFont="1" applyBorder="1" applyAlignment="1">
      <alignment horizontal="center" vertical="center"/>
    </xf>
    <xf numFmtId="164" fontId="47" fillId="0" borderId="12" xfId="35" applyNumberFormat="1" applyFont="1" applyBorder="1" applyAlignment="1">
      <alignment horizontal="right" vertical="center"/>
    </xf>
    <xf numFmtId="2" fontId="47" fillId="0" borderId="12" xfId="35" applyNumberFormat="1" applyFont="1" applyBorder="1" applyAlignment="1">
      <alignment vertical="center"/>
    </xf>
    <xf numFmtId="0" fontId="47" fillId="0" borderId="13" xfId="79" applyFont="1" applyBorder="1" applyAlignment="1">
      <alignment vertical="center"/>
    </xf>
    <xf numFmtId="0" fontId="47" fillId="0" borderId="19" xfId="79" applyFont="1" applyBorder="1" applyAlignment="1">
      <alignment horizontal="left" vertical="center"/>
    </xf>
    <xf numFmtId="0" fontId="47" fillId="0" borderId="19" xfId="79" applyFont="1" applyBorder="1" applyAlignment="1">
      <alignment vertical="center"/>
    </xf>
    <xf numFmtId="164" fontId="47" fillId="0" borderId="19" xfId="46" applyNumberFormat="1" applyFont="1" applyBorder="1" applyAlignment="1">
      <alignment vertical="center"/>
    </xf>
    <xf numFmtId="164" fontId="47" fillId="0" borderId="19" xfId="47" applyNumberFormat="1" applyFont="1" applyBorder="1" applyAlignment="1">
      <alignment vertical="center"/>
    </xf>
    <xf numFmtId="0" fontId="47" fillId="0" borderId="19" xfId="79" applyFont="1" applyBorder="1" applyAlignment="1">
      <alignment horizontal="center" vertical="center"/>
    </xf>
    <xf numFmtId="164" fontId="47" fillId="0" borderId="19" xfId="35" applyNumberFormat="1" applyFont="1" applyBorder="1" applyAlignment="1">
      <alignment horizontal="right" vertical="center"/>
    </xf>
    <xf numFmtId="2" fontId="47" fillId="0" borderId="19" xfId="35" applyNumberFormat="1" applyFont="1" applyBorder="1" applyAlignment="1">
      <alignment vertical="center"/>
    </xf>
    <xf numFmtId="176" fontId="47" fillId="0" borderId="19" xfId="79" applyNumberFormat="1" applyFont="1" applyBorder="1" applyAlignment="1">
      <alignment vertical="center"/>
    </xf>
    <xf numFmtId="0" fontId="47" fillId="0" borderId="20" xfId="79" applyFont="1" applyBorder="1" applyAlignment="1">
      <alignment horizontal="left" vertical="center"/>
    </xf>
    <xf numFmtId="0" fontId="31" fillId="0" borderId="25" xfId="91" applyFont="1" applyBorder="1" applyAlignment="1">
      <alignment vertical="center"/>
    </xf>
    <xf numFmtId="164" fontId="34" fillId="0" borderId="20" xfId="9" applyFont="1" applyBorder="1" applyAlignment="1">
      <alignment horizontal="left" vertical="center"/>
    </xf>
    <xf numFmtId="164" fontId="34" fillId="0" borderId="61" xfId="9" applyFont="1" applyBorder="1" applyAlignment="1">
      <alignment vertical="center"/>
    </xf>
    <xf numFmtId="0" fontId="14" fillId="0" borderId="29" xfId="91" applyFont="1" applyBorder="1" applyAlignment="1">
      <alignment horizontal="right" vertical="center"/>
    </xf>
    <xf numFmtId="0" fontId="14" fillId="0" borderId="29" xfId="91" applyFont="1" applyBorder="1" applyAlignment="1">
      <alignment vertical="center"/>
    </xf>
    <xf numFmtId="0" fontId="14" fillId="0" borderId="90" xfId="91" applyFont="1" applyBorder="1" applyAlignment="1">
      <alignment horizontal="center" vertical="center"/>
    </xf>
    <xf numFmtId="0" fontId="14" fillId="0" borderId="0" xfId="91" applyFont="1" applyAlignment="1">
      <alignment horizontal="right" vertical="center"/>
    </xf>
    <xf numFmtId="0" fontId="14" fillId="0" borderId="25" xfId="109" applyNumberFormat="1" applyFont="1" applyBorder="1" applyAlignment="1">
      <alignment vertical="center"/>
    </xf>
    <xf numFmtId="0" fontId="14" fillId="0" borderId="3" xfId="91" applyFont="1" applyBorder="1" applyAlignment="1">
      <alignment horizontal="right" vertical="center"/>
    </xf>
    <xf numFmtId="0" fontId="14" fillId="0" borderId="25" xfId="91" applyFont="1" applyBorder="1" applyAlignment="1">
      <alignment horizontal="left" vertical="center"/>
    </xf>
    <xf numFmtId="170" fontId="34" fillId="0" borderId="19" xfId="9" applyNumberFormat="1" applyFont="1" applyBorder="1" applyAlignment="1">
      <alignment horizontal="left" vertical="center"/>
    </xf>
    <xf numFmtId="0" fontId="2" fillId="0" borderId="16" xfId="91" applyBorder="1" applyAlignment="1">
      <alignment horizontal="center"/>
    </xf>
    <xf numFmtId="164" fontId="14" fillId="0" borderId="25" xfId="91" applyNumberFormat="1" applyFont="1" applyBorder="1" applyAlignment="1">
      <alignment horizontal="right" vertical="center"/>
    </xf>
    <xf numFmtId="0" fontId="31" fillId="0" borderId="15" xfId="91" applyFont="1" applyBorder="1" applyAlignment="1">
      <alignment horizontal="right" vertical="center"/>
    </xf>
    <xf numFmtId="176" fontId="46" fillId="0" borderId="39" xfId="79" applyNumberFormat="1" applyFont="1" applyBorder="1" applyAlignment="1">
      <alignment horizontal="center" vertical="center"/>
    </xf>
    <xf numFmtId="176" fontId="47" fillId="0" borderId="43" xfId="79" applyNumberFormat="1" applyFont="1" applyBorder="1" applyAlignment="1">
      <alignment vertical="center"/>
    </xf>
    <xf numFmtId="164" fontId="34" fillId="0" borderId="43" xfId="9" applyFont="1" applyBorder="1" applyAlignment="1">
      <alignment horizontal="left" vertical="center"/>
    </xf>
    <xf numFmtId="164" fontId="34" fillId="0" borderId="43" xfId="9" applyFont="1" applyBorder="1" applyAlignment="1">
      <alignment vertical="center"/>
    </xf>
    <xf numFmtId="164" fontId="34" fillId="0" borderId="43" xfId="9" applyFont="1" applyBorder="1" applyAlignment="1">
      <alignment horizontal="center" vertical="center"/>
    </xf>
    <xf numFmtId="164" fontId="34" fillId="0" borderId="43" xfId="9" applyFont="1" applyBorder="1" applyAlignment="1">
      <alignment horizontal="right" vertical="center"/>
    </xf>
    <xf numFmtId="164" fontId="34" fillId="0" borderId="44" xfId="9" applyFont="1" applyBorder="1" applyAlignment="1">
      <alignment horizontal="left" vertical="center"/>
    </xf>
    <xf numFmtId="164" fontId="34" fillId="0" borderId="0" xfId="9" applyFont="1" applyAlignment="1">
      <alignment horizontal="left" vertical="center"/>
    </xf>
    <xf numFmtId="164" fontId="34" fillId="0" borderId="0" xfId="9" applyFont="1" applyAlignment="1">
      <alignment vertical="center"/>
    </xf>
    <xf numFmtId="164" fontId="34" fillId="0" borderId="0" xfId="9" applyFont="1" applyAlignment="1">
      <alignment horizontal="center" vertical="center"/>
    </xf>
    <xf numFmtId="164" fontId="34" fillId="0" borderId="0" xfId="9" applyFont="1" applyAlignment="1">
      <alignment horizontal="right" vertical="center"/>
    </xf>
    <xf numFmtId="0" fontId="1" fillId="0" borderId="0" xfId="67" applyFont="1"/>
    <xf numFmtId="0" fontId="12" fillId="0" borderId="0" xfId="67" applyFont="1" applyAlignment="1">
      <alignment vertical="center"/>
    </xf>
    <xf numFmtId="0" fontId="10" fillId="0" borderId="0" xfId="67" applyFont="1" applyAlignment="1">
      <alignment vertical="center"/>
    </xf>
    <xf numFmtId="0" fontId="10" fillId="0" borderId="5" xfId="67" applyFont="1" applyBorder="1" applyAlignment="1">
      <alignment horizontal="center" vertical="center"/>
    </xf>
    <xf numFmtId="0" fontId="10" fillId="0" borderId="6" xfId="67" applyFont="1" applyBorder="1" applyAlignment="1">
      <alignment horizontal="center" vertical="center"/>
    </xf>
    <xf numFmtId="0" fontId="10" fillId="0" borderId="6" xfId="67" applyFont="1" applyBorder="1" applyAlignment="1">
      <alignment horizontal="center" vertical="center" wrapText="1"/>
    </xf>
    <xf numFmtId="0" fontId="10" fillId="0" borderId="8" xfId="67" applyFont="1" applyBorder="1" applyAlignment="1">
      <alignment horizontal="center" vertical="center" wrapText="1"/>
    </xf>
    <xf numFmtId="0" fontId="10" fillId="0" borderId="9" xfId="67" applyFont="1" applyBorder="1" applyAlignment="1">
      <alignment vertical="center"/>
    </xf>
    <xf numFmtId="0" fontId="10" fillId="0" borderId="12" xfId="67" applyFont="1" applyBorder="1" applyAlignment="1">
      <alignment vertical="center"/>
    </xf>
    <xf numFmtId="0" fontId="10" fillId="0" borderId="13" xfId="67" applyFont="1" applyBorder="1" applyAlignment="1">
      <alignment vertical="center"/>
    </xf>
    <xf numFmtId="0" fontId="10" fillId="0" borderId="33" xfId="67" applyFont="1" applyBorder="1" applyAlignment="1">
      <alignment horizontal="center" vertical="center"/>
    </xf>
    <xf numFmtId="0" fontId="10" fillId="0" borderId="24" xfId="67" applyFont="1" applyBorder="1" applyAlignment="1">
      <alignment horizontal="left" vertical="center" wrapText="1"/>
    </xf>
    <xf numFmtId="0" fontId="10" fillId="0" borderId="24" xfId="67" applyFont="1" applyBorder="1" applyAlignment="1">
      <alignment horizontal="center" vertical="center"/>
    </xf>
    <xf numFmtId="168" fontId="10" fillId="0" borderId="19" xfId="67" applyNumberFormat="1" applyFont="1" applyBorder="1" applyAlignment="1">
      <alignment vertical="center"/>
    </xf>
    <xf numFmtId="10" fontId="10" fillId="0" borderId="54" xfId="67" applyNumberFormat="1" applyFont="1" applyBorder="1" applyAlignment="1">
      <alignment vertical="center"/>
    </xf>
    <xf numFmtId="0" fontId="10" fillId="0" borderId="19" xfId="67" applyFont="1" applyBorder="1" applyAlignment="1">
      <alignment horizontal="left" vertical="center" wrapText="1"/>
    </xf>
    <xf numFmtId="10" fontId="10" fillId="0" borderId="20" xfId="67" applyNumberFormat="1" applyFont="1" applyBorder="1" applyAlignment="1">
      <alignment vertical="center"/>
    </xf>
    <xf numFmtId="0" fontId="10" fillId="0" borderId="19" xfId="67" applyFont="1" applyBorder="1" applyAlignment="1">
      <alignment vertical="center"/>
    </xf>
    <xf numFmtId="0" fontId="10" fillId="0" borderId="19" xfId="67" applyFont="1" applyBorder="1" applyAlignment="1">
      <alignment vertical="center" wrapText="1"/>
    </xf>
    <xf numFmtId="164" fontId="10" fillId="0" borderId="19" xfId="67" applyNumberFormat="1" applyFont="1" applyBorder="1" applyAlignment="1">
      <alignment horizontal="center" vertical="center"/>
    </xf>
    <xf numFmtId="0" fontId="10" fillId="0" borderId="19" xfId="67" applyFont="1" applyBorder="1" applyAlignment="1">
      <alignment horizontal="left" vertical="center"/>
    </xf>
    <xf numFmtId="0" fontId="10" fillId="0" borderId="27" xfId="67" applyFont="1" applyBorder="1" applyAlignment="1">
      <alignment vertical="center"/>
    </xf>
    <xf numFmtId="0" fontId="10" fillId="0" borderId="27" xfId="67" applyFont="1" applyBorder="1" applyAlignment="1">
      <alignment horizontal="center" vertical="center"/>
    </xf>
    <xf numFmtId="168" fontId="10" fillId="0" borderId="27" xfId="67" applyNumberFormat="1" applyFont="1" applyBorder="1" applyAlignment="1">
      <alignment vertical="center"/>
    </xf>
    <xf numFmtId="10" fontId="10" fillId="0" borderId="28" xfId="67" applyNumberFormat="1" applyFont="1" applyBorder="1" applyAlignment="1">
      <alignment vertical="center"/>
    </xf>
    <xf numFmtId="0" fontId="10" fillId="0" borderId="27" xfId="67" applyFont="1" applyBorder="1" applyAlignment="1">
      <alignment horizontal="left" vertical="center" wrapText="1"/>
    </xf>
    <xf numFmtId="0" fontId="10" fillId="0" borderId="90" xfId="67" applyFont="1" applyBorder="1" applyAlignment="1">
      <alignment horizontal="center" vertical="center"/>
    </xf>
    <xf numFmtId="0" fontId="10" fillId="0" borderId="39" xfId="67" applyFont="1" applyBorder="1" applyAlignment="1">
      <alignment vertical="center"/>
    </xf>
    <xf numFmtId="0" fontId="10" fillId="0" borderId="43" xfId="67" applyFont="1" applyBorder="1" applyAlignment="1">
      <alignment vertical="center"/>
    </xf>
    <xf numFmtId="0" fontId="10" fillId="0" borderId="44" xfId="67" applyFont="1" applyBorder="1" applyAlignment="1">
      <alignment vertical="center"/>
    </xf>
    <xf numFmtId="0" fontId="10" fillId="0" borderId="0" xfId="0" applyFont="1"/>
    <xf numFmtId="0" fontId="52" fillId="0" borderId="0" xfId="0" applyFont="1" applyAlignment="1">
      <alignment vertical="center"/>
    </xf>
    <xf numFmtId="9" fontId="0" fillId="0" borderId="0" xfId="0" applyNumberFormat="1"/>
    <xf numFmtId="0" fontId="31" fillId="12" borderId="84" xfId="0" applyFont="1" applyFill="1" applyBorder="1" applyAlignment="1">
      <alignment horizontal="center" vertical="center"/>
    </xf>
    <xf numFmtId="0" fontId="31" fillId="8" borderId="85" xfId="0" applyFont="1" applyFill="1" applyBorder="1" applyAlignment="1">
      <alignment horizontal="center" vertical="center" wrapText="1"/>
    </xf>
    <xf numFmtId="0" fontId="10" fillId="12" borderId="86" xfId="0" applyFont="1" applyFill="1" applyBorder="1"/>
    <xf numFmtId="0" fontId="31" fillId="0" borderId="24" xfId="0" applyFont="1" applyBorder="1" applyAlignment="1">
      <alignment horizontal="right" vertical="center"/>
    </xf>
    <xf numFmtId="0" fontId="31" fillId="0" borderId="24" xfId="0" applyFont="1" applyBorder="1" applyAlignment="1">
      <alignment vertical="center"/>
    </xf>
    <xf numFmtId="172" fontId="14" fillId="0" borderId="24" xfId="16" applyNumberFormat="1" applyFont="1" applyBorder="1" applyAlignment="1">
      <alignment vertical="center"/>
    </xf>
    <xf numFmtId="0" fontId="14" fillId="0" borderId="24" xfId="0" applyFont="1" applyBorder="1" applyAlignment="1">
      <alignment horizontal="center" vertical="center"/>
    </xf>
    <xf numFmtId="177" fontId="14" fillId="0" borderId="21" xfId="0" applyNumberFormat="1" applyFont="1" applyBorder="1" applyAlignment="1">
      <alignment vertical="center"/>
    </xf>
    <xf numFmtId="0" fontId="10" fillId="0" borderId="24" xfId="0" applyFont="1" applyBorder="1"/>
    <xf numFmtId="0" fontId="10" fillId="0" borderId="54" xfId="0" applyFont="1" applyBorder="1"/>
    <xf numFmtId="172" fontId="14" fillId="0" borderId="19" xfId="16" applyNumberFormat="1" applyFont="1" applyBorder="1" applyAlignment="1">
      <alignment vertical="center"/>
    </xf>
    <xf numFmtId="177" fontId="14" fillId="0" borderId="19" xfId="0" applyNumberFormat="1" applyFont="1" applyBorder="1" applyAlignment="1">
      <alignment vertical="center"/>
    </xf>
    <xf numFmtId="177" fontId="14" fillId="0" borderId="15" xfId="0" applyNumberFormat="1" applyFont="1" applyBorder="1" applyAlignment="1">
      <alignment vertical="center"/>
    </xf>
    <xf numFmtId="10" fontId="14" fillId="0" borderId="19" xfId="13" applyNumberFormat="1" applyFont="1" applyBorder="1"/>
    <xf numFmtId="10" fontId="14" fillId="0" borderId="20" xfId="13" applyNumberFormat="1" applyFont="1" applyBorder="1" applyAlignment="1">
      <alignment vertical="center"/>
    </xf>
    <xf numFmtId="177" fontId="14" fillId="0" borderId="61" xfId="0" applyNumberFormat="1" applyFont="1" applyBorder="1" applyAlignment="1">
      <alignment vertical="center"/>
    </xf>
    <xf numFmtId="10" fontId="14" fillId="0" borderId="61" xfId="13" applyNumberFormat="1" applyFont="1" applyBorder="1"/>
    <xf numFmtId="0" fontId="14" fillId="0" borderId="19" xfId="0" applyFont="1" applyBorder="1" applyAlignment="1">
      <alignment horizontal="right" vertical="center"/>
    </xf>
    <xf numFmtId="10" fontId="14" fillId="0" borderId="24" xfId="13" applyNumberFormat="1" applyFont="1" applyBorder="1"/>
    <xf numFmtId="0" fontId="31" fillId="0" borderId="19" xfId="0" applyFont="1" applyBorder="1" applyAlignment="1">
      <alignment vertical="center"/>
    </xf>
    <xf numFmtId="172" fontId="14" fillId="0" borderId="19" xfId="9" applyNumberFormat="1" applyFont="1" applyBorder="1" applyAlignment="1">
      <alignment vertical="center"/>
    </xf>
    <xf numFmtId="10" fontId="14" fillId="0" borderId="93" xfId="13" applyNumberFormat="1" applyFont="1" applyBorder="1" applyAlignment="1">
      <alignment vertical="center"/>
    </xf>
    <xf numFmtId="177" fontId="14" fillId="0" borderId="82" xfId="0" applyNumberFormat="1" applyFont="1" applyBorder="1" applyAlignment="1">
      <alignment vertical="center"/>
    </xf>
    <xf numFmtId="0" fontId="31" fillId="0" borderId="62" xfId="0" applyFont="1" applyBorder="1" applyAlignment="1">
      <alignment horizontal="right" vertical="center"/>
    </xf>
    <xf numFmtId="0" fontId="31" fillId="0" borderId="94" xfId="0" applyFont="1" applyBorder="1" applyAlignment="1">
      <alignment horizontal="center" vertical="center"/>
    </xf>
    <xf numFmtId="0" fontId="31" fillId="0" borderId="37" xfId="0" applyFont="1" applyBorder="1" applyAlignment="1">
      <alignment horizontal="right" vertical="center"/>
    </xf>
    <xf numFmtId="0" fontId="14" fillId="0" borderId="37" xfId="0" applyFont="1" applyBorder="1" applyAlignment="1">
      <alignment vertical="center"/>
    </xf>
    <xf numFmtId="172" fontId="14" fillId="0" borderId="37" xfId="17" applyNumberFormat="1" applyFont="1" applyBorder="1" applyAlignment="1">
      <alignment vertical="center"/>
    </xf>
    <xf numFmtId="0" fontId="14" fillId="0" borderId="34" xfId="0" applyFont="1" applyBorder="1" applyAlignment="1">
      <alignment horizontal="center" vertical="center"/>
    </xf>
    <xf numFmtId="177" fontId="14" fillId="0" borderId="34" xfId="0" applyNumberFormat="1" applyFont="1" applyBorder="1" applyAlignment="1">
      <alignment vertical="center"/>
    </xf>
    <xf numFmtId="10" fontId="31" fillId="0" borderId="19" xfId="13" applyNumberFormat="1" applyFont="1" applyBorder="1"/>
    <xf numFmtId="9" fontId="14" fillId="0" borderId="37" xfId="13" applyNumberFormat="1" applyFont="1" applyBorder="1" applyAlignment="1">
      <alignment vertical="center"/>
    </xf>
    <xf numFmtId="0" fontId="14" fillId="0" borderId="34" xfId="0" applyFont="1" applyBorder="1" applyAlignment="1">
      <alignment horizontal="left" vertical="center"/>
    </xf>
    <xf numFmtId="0" fontId="31" fillId="0" borderId="95" xfId="0" applyFont="1" applyBorder="1" applyAlignment="1">
      <alignment horizontal="center" vertical="center"/>
    </xf>
    <xf numFmtId="0" fontId="31" fillId="0" borderId="96" xfId="0" applyFont="1" applyBorder="1" applyAlignment="1">
      <alignment horizontal="right" vertical="center"/>
    </xf>
    <xf numFmtId="0" fontId="31" fillId="0" borderId="96" xfId="0" applyFont="1" applyBorder="1" applyAlignment="1">
      <alignment vertical="center"/>
    </xf>
    <xf numFmtId="172" fontId="31" fillId="0" borderId="96" xfId="17" applyNumberFormat="1" applyFont="1" applyBorder="1" applyAlignment="1">
      <alignment vertical="center"/>
    </xf>
    <xf numFmtId="0" fontId="31" fillId="0" borderId="97" xfId="0" applyFont="1" applyBorder="1" applyAlignment="1">
      <alignment horizontal="center" vertical="center"/>
    </xf>
    <xf numFmtId="177" fontId="31" fillId="0" borderId="97" xfId="0" applyNumberFormat="1" applyFont="1" applyBorder="1" applyAlignment="1">
      <alignment vertical="center"/>
    </xf>
    <xf numFmtId="164" fontId="31" fillId="0" borderId="97" xfId="9" applyFont="1" applyBorder="1" applyAlignment="1">
      <alignment vertical="center"/>
    </xf>
    <xf numFmtId="10" fontId="14" fillId="0" borderId="43" xfId="13" applyNumberFormat="1" applyFont="1" applyBorder="1"/>
    <xf numFmtId="10" fontId="14" fillId="0" borderId="98" xfId="13" applyNumberFormat="1" applyFont="1" applyBorder="1" applyAlignment="1">
      <alignment vertical="center"/>
    </xf>
    <xf numFmtId="0" fontId="31" fillId="12" borderId="56" xfId="0" applyFont="1" applyFill="1" applyBorder="1" applyAlignment="1">
      <alignment horizontal="center" vertical="center"/>
    </xf>
    <xf numFmtId="0" fontId="31" fillId="8" borderId="99" xfId="0" applyFont="1" applyFill="1" applyBorder="1" applyAlignment="1">
      <alignment horizontal="center" vertical="center"/>
    </xf>
    <xf numFmtId="0" fontId="31" fillId="0" borderId="33" xfId="0" applyFont="1" applyBorder="1" applyAlignment="1">
      <alignment horizontal="center" vertical="center"/>
    </xf>
    <xf numFmtId="172" fontId="14" fillId="0" borderId="24" xfId="9" applyNumberFormat="1" applyFont="1" applyBorder="1" applyAlignment="1">
      <alignment vertical="center"/>
    </xf>
    <xf numFmtId="0" fontId="10" fillId="0" borderId="19" xfId="0" applyFont="1" applyBorder="1"/>
    <xf numFmtId="0" fontId="10" fillId="0" borderId="20" xfId="0" applyFont="1" applyBorder="1"/>
    <xf numFmtId="0" fontId="31" fillId="0" borderId="24" xfId="0" applyFont="1" applyBorder="1" applyAlignment="1">
      <alignment horizontal="center" vertical="center"/>
    </xf>
    <xf numFmtId="168" fontId="14" fillId="0" borderId="82" xfId="0" applyNumberFormat="1" applyFont="1" applyBorder="1" applyAlignment="1">
      <alignment vertical="center"/>
    </xf>
    <xf numFmtId="0" fontId="31" fillId="0" borderId="39" xfId="0" applyFont="1" applyBorder="1" applyAlignment="1">
      <alignment horizontal="center" vertical="center"/>
    </xf>
    <xf numFmtId="0" fontId="31" fillId="0" borderId="78" xfId="0" applyFont="1" applyBorder="1" applyAlignment="1">
      <alignment horizontal="right" vertical="center"/>
    </xf>
    <xf numFmtId="0" fontId="31" fillId="0" borderId="96" xfId="0" applyFont="1" applyBorder="1" applyAlignment="1">
      <alignment horizontal="left" vertical="center" wrapText="1"/>
    </xf>
    <xf numFmtId="10" fontId="14" fillId="0" borderId="44" xfId="13" applyNumberFormat="1" applyFont="1" applyBorder="1" applyAlignment="1">
      <alignment vertical="center"/>
    </xf>
    <xf numFmtId="0" fontId="31" fillId="8" borderId="85" xfId="0" applyFont="1" applyFill="1" applyBorder="1" applyAlignment="1">
      <alignment horizontal="center" vertical="center"/>
    </xf>
    <xf numFmtId="0" fontId="10" fillId="0" borderId="67" xfId="0" applyFont="1" applyBorder="1"/>
    <xf numFmtId="0" fontId="10" fillId="0" borderId="33" xfId="0" applyFont="1" applyBorder="1"/>
    <xf numFmtId="10" fontId="14" fillId="0" borderId="19" xfId="13" applyNumberFormat="1" applyFont="1" applyBorder="1" applyAlignment="1">
      <alignment vertical="center"/>
    </xf>
    <xf numFmtId="168" fontId="14" fillId="0" borderId="61" xfId="0" applyNumberFormat="1" applyFont="1" applyBorder="1" applyAlignment="1">
      <alignment vertical="center"/>
    </xf>
    <xf numFmtId="10" fontId="14" fillId="0" borderId="61" xfId="13" applyNumberFormat="1" applyFont="1" applyBorder="1" applyAlignment="1">
      <alignment vertical="center"/>
    </xf>
    <xf numFmtId="10" fontId="14" fillId="0" borderId="24" xfId="13" applyNumberFormat="1" applyFont="1" applyBorder="1" applyAlignment="1">
      <alignment vertical="center"/>
    </xf>
    <xf numFmtId="10" fontId="31" fillId="0" borderId="19" xfId="13" applyNumberFormat="1" applyFont="1" applyBorder="1" applyAlignment="1">
      <alignment vertical="center"/>
    </xf>
    <xf numFmtId="0" fontId="10" fillId="0" borderId="65" xfId="0" applyFont="1" applyBorder="1"/>
    <xf numFmtId="10" fontId="14" fillId="0" borderId="43" xfId="13" applyNumberFormat="1" applyFont="1" applyBorder="1" applyAlignment="1">
      <alignment vertical="center"/>
    </xf>
    <xf numFmtId="0" fontId="0" fillId="12" borderId="12" xfId="0" applyFill="1" applyBorder="1"/>
    <xf numFmtId="0" fontId="0" fillId="12" borderId="13" xfId="0" applyFill="1" applyBorder="1"/>
    <xf numFmtId="0" fontId="0" fillId="0" borderId="19" xfId="0" applyBorder="1"/>
    <xf numFmtId="0" fontId="0" fillId="0" borderId="20" xfId="0" applyBorder="1"/>
    <xf numFmtId="0" fontId="14" fillId="0" borderId="37" xfId="0" applyFont="1" applyBorder="1" applyAlignment="1">
      <alignment horizontal="left" vertical="center" wrapText="1"/>
    </xf>
    <xf numFmtId="0" fontId="31" fillId="12" borderId="99" xfId="0" applyFont="1" applyFill="1" applyBorder="1" applyAlignment="1">
      <alignment horizontal="center" vertical="center"/>
    </xf>
    <xf numFmtId="0" fontId="31" fillId="12" borderId="49" xfId="0" applyFont="1" applyFill="1" applyBorder="1" applyAlignment="1">
      <alignment horizontal="left" vertical="center"/>
    </xf>
    <xf numFmtId="0" fontId="31" fillId="12" borderId="50" xfId="0" applyFont="1" applyFill="1" applyBorder="1" applyAlignment="1">
      <alignment horizontal="left" vertical="center"/>
    </xf>
    <xf numFmtId="0" fontId="31" fillId="12" borderId="51" xfId="0" applyFont="1" applyFill="1" applyBorder="1" applyAlignment="1">
      <alignment horizontal="left" vertical="center"/>
    </xf>
    <xf numFmtId="0" fontId="31" fillId="0" borderId="0" xfId="0" applyFont="1" applyAlignment="1">
      <alignment horizontal="center" vertical="center"/>
    </xf>
    <xf numFmtId="0" fontId="31" fillId="0" borderId="0" xfId="0" applyFont="1" applyAlignment="1">
      <alignment horizontal="right" vertical="center"/>
    </xf>
    <xf numFmtId="0" fontId="31" fillId="0" borderId="0" xfId="0" applyFont="1" applyAlignment="1">
      <alignment horizontal="left" vertical="center" wrapText="1"/>
    </xf>
    <xf numFmtId="172" fontId="31" fillId="0" borderId="0" xfId="17" applyNumberFormat="1" applyFont="1" applyAlignment="1">
      <alignment vertical="center"/>
    </xf>
    <xf numFmtId="177" fontId="31" fillId="0" borderId="0" xfId="0" applyNumberFormat="1" applyFont="1" applyAlignment="1">
      <alignment vertical="center"/>
    </xf>
    <xf numFmtId="164" fontId="31" fillId="0" borderId="0" xfId="9" applyFont="1" applyAlignment="1">
      <alignment vertical="center"/>
    </xf>
    <xf numFmtId="10" fontId="14" fillId="0" borderId="0" xfId="13" applyNumberFormat="1" applyFont="1"/>
    <xf numFmtId="10" fontId="14" fillId="0" borderId="0" xfId="13" applyNumberFormat="1" applyFont="1" applyAlignment="1">
      <alignment vertical="center"/>
    </xf>
    <xf numFmtId="10" fontId="14" fillId="0" borderId="19" xfId="0" applyNumberFormat="1" applyFont="1" applyBorder="1"/>
    <xf numFmtId="10" fontId="14" fillId="0" borderId="24" xfId="0" applyNumberFormat="1" applyFont="1" applyBorder="1"/>
    <xf numFmtId="10" fontId="14" fillId="0" borderId="20" xfId="0" applyNumberFormat="1" applyFont="1" applyBorder="1" applyAlignment="1">
      <alignment vertical="center"/>
    </xf>
    <xf numFmtId="178" fontId="14" fillId="0" borderId="24" xfId="9" applyNumberFormat="1" applyFont="1" applyBorder="1" applyAlignment="1">
      <alignment vertical="center"/>
    </xf>
    <xf numFmtId="10" fontId="14" fillId="0" borderId="61" xfId="0" applyNumberFormat="1" applyFont="1" applyBorder="1"/>
    <xf numFmtId="10" fontId="31" fillId="0" borderId="19" xfId="0" applyNumberFormat="1" applyFont="1" applyBorder="1"/>
    <xf numFmtId="9" fontId="14" fillId="0" borderId="37" xfId="0" applyNumberFormat="1" applyFont="1" applyBorder="1" applyAlignment="1">
      <alignment vertical="center"/>
    </xf>
    <xf numFmtId="10" fontId="14" fillId="0" borderId="43" xfId="0" applyNumberFormat="1" applyFont="1" applyBorder="1"/>
    <xf numFmtId="10" fontId="14" fillId="0" borderId="44" xfId="0" applyNumberFormat="1" applyFont="1" applyBorder="1" applyAlignment="1">
      <alignment vertical="center"/>
    </xf>
    <xf numFmtId="0" fontId="31" fillId="12" borderId="85" xfId="0" applyFont="1" applyFill="1" applyBorder="1" applyAlignment="1">
      <alignment horizontal="center" vertical="center" wrapText="1"/>
    </xf>
    <xf numFmtId="0" fontId="14" fillId="12" borderId="88" xfId="0" applyFont="1" applyFill="1" applyBorder="1" applyAlignment="1">
      <alignment vertical="center"/>
    </xf>
    <xf numFmtId="0" fontId="14" fillId="12" borderId="86" xfId="0" applyFont="1" applyFill="1" applyBorder="1" applyAlignment="1">
      <alignment vertical="center"/>
    </xf>
    <xf numFmtId="0" fontId="10" fillId="0" borderId="100" xfId="0" applyFont="1" applyBorder="1" applyAlignment="1">
      <alignment vertical="center"/>
    </xf>
    <xf numFmtId="0" fontId="10" fillId="0" borderId="101" xfId="0" applyFont="1" applyBorder="1"/>
    <xf numFmtId="0" fontId="14" fillId="0" borderId="24" xfId="0" applyFont="1" applyBorder="1" applyAlignment="1">
      <alignment horizontal="right" vertical="center"/>
    </xf>
    <xf numFmtId="164" fontId="14" fillId="0" borderId="21" xfId="17" applyFont="1" applyBorder="1" applyAlignment="1">
      <alignment horizontal="center" vertical="center"/>
    </xf>
    <xf numFmtId="164" fontId="31" fillId="0" borderId="21" xfId="17" applyFont="1" applyBorder="1" applyAlignment="1">
      <alignment horizontal="center" vertical="center"/>
    </xf>
    <xf numFmtId="0" fontId="14" fillId="0" borderId="24" xfId="0" applyFont="1" applyBorder="1" applyAlignment="1">
      <alignment vertical="center" wrapText="1"/>
    </xf>
    <xf numFmtId="164" fontId="14" fillId="0" borderId="61" xfId="17" applyFont="1" applyBorder="1" applyAlignment="1">
      <alignment horizontal="center" vertical="center"/>
    </xf>
    <xf numFmtId="0" fontId="31" fillId="0" borderId="24" xfId="0" applyFont="1" applyBorder="1" applyAlignment="1">
      <alignment vertical="center" wrapText="1"/>
    </xf>
    <xf numFmtId="177" fontId="31" fillId="0" borderId="15" xfId="0" applyNumberFormat="1" applyFont="1" applyBorder="1" applyAlignment="1">
      <alignment vertical="center"/>
    </xf>
    <xf numFmtId="10" fontId="10" fillId="0" borderId="19" xfId="13" applyNumberFormat="1" applyFont="1" applyBorder="1"/>
    <xf numFmtId="10" fontId="10" fillId="0" borderId="19" xfId="0" applyNumberFormat="1" applyFont="1" applyBorder="1"/>
    <xf numFmtId="9" fontId="10" fillId="0" borderId="19" xfId="13" applyNumberFormat="1" applyFont="1" applyBorder="1"/>
    <xf numFmtId="172" fontId="14" fillId="0" borderId="24" xfId="17" applyNumberFormat="1" applyFont="1" applyBorder="1" applyAlignment="1">
      <alignment vertical="center"/>
    </xf>
    <xf numFmtId="10" fontId="10" fillId="0" borderId="19" xfId="13" applyNumberFormat="1" applyFont="1" applyBorder="1" applyAlignment="1">
      <alignment vertical="center"/>
    </xf>
    <xf numFmtId="164" fontId="14" fillId="0" borderId="62" xfId="17" applyFont="1" applyBorder="1" applyAlignment="1">
      <alignment vertical="center"/>
    </xf>
    <xf numFmtId="164" fontId="14" fillId="0" borderId="29" xfId="17" applyFont="1" applyBorder="1" applyAlignment="1">
      <alignment horizontal="center" vertical="center"/>
    </xf>
    <xf numFmtId="0" fontId="14" fillId="0" borderId="29" xfId="0" applyFont="1" applyBorder="1" applyAlignment="1">
      <alignment vertical="center"/>
    </xf>
    <xf numFmtId="177" fontId="14" fillId="0" borderId="25" xfId="0" applyNumberFormat="1" applyFont="1" applyBorder="1" applyAlignment="1">
      <alignment vertical="center"/>
    </xf>
    <xf numFmtId="0" fontId="31" fillId="0" borderId="102" xfId="0" applyFont="1" applyBorder="1" applyAlignment="1">
      <alignment vertical="center"/>
    </xf>
    <xf numFmtId="164" fontId="31" fillId="0" borderId="102" xfId="17" applyFont="1" applyBorder="1" applyAlignment="1">
      <alignment vertical="center"/>
    </xf>
    <xf numFmtId="164" fontId="31" fillId="0" borderId="103" xfId="17" applyFont="1" applyBorder="1" applyAlignment="1">
      <alignment horizontal="center" vertical="center"/>
    </xf>
    <xf numFmtId="0" fontId="31" fillId="0" borderId="103" xfId="0" applyFont="1" applyBorder="1" applyAlignment="1">
      <alignment vertical="center"/>
    </xf>
    <xf numFmtId="177" fontId="31" fillId="0" borderId="103" xfId="0" applyNumberFormat="1" applyFont="1" applyBorder="1" applyAlignment="1">
      <alignment vertical="center"/>
    </xf>
    <xf numFmtId="0" fontId="31" fillId="0" borderId="104" xfId="0" applyFont="1" applyBorder="1" applyAlignment="1">
      <alignment vertical="center"/>
    </xf>
    <xf numFmtId="164" fontId="31" fillId="0" borderId="104" xfId="17" applyFont="1" applyBorder="1" applyAlignment="1">
      <alignment vertical="center"/>
    </xf>
    <xf numFmtId="164" fontId="31" fillId="0" borderId="105" xfId="17" applyFont="1" applyBorder="1" applyAlignment="1">
      <alignment horizontal="center" vertical="center"/>
    </xf>
    <xf numFmtId="0" fontId="31" fillId="0" borderId="105" xfId="0" applyFont="1" applyBorder="1" applyAlignment="1">
      <alignment vertical="center"/>
    </xf>
    <xf numFmtId="177" fontId="31" fillId="0" borderId="106" xfId="0" applyNumberFormat="1" applyFont="1" applyBorder="1" applyAlignment="1">
      <alignment vertical="center"/>
    </xf>
    <xf numFmtId="0" fontId="31" fillId="0" borderId="37" xfId="0" applyFont="1" applyBorder="1" applyAlignment="1">
      <alignment horizontal="left" vertical="center" wrapText="1"/>
    </xf>
    <xf numFmtId="172" fontId="31" fillId="0" borderId="37" xfId="17" applyNumberFormat="1" applyFont="1" applyBorder="1" applyAlignment="1">
      <alignment vertical="center"/>
    </xf>
    <xf numFmtId="0" fontId="31" fillId="0" borderId="34" xfId="0" applyFont="1" applyBorder="1" applyAlignment="1">
      <alignment horizontal="center" vertical="center"/>
    </xf>
    <xf numFmtId="177" fontId="31" fillId="0" borderId="34" xfId="0" applyNumberFormat="1" applyFont="1" applyBorder="1" applyAlignment="1">
      <alignment vertical="center"/>
    </xf>
    <xf numFmtId="164" fontId="31" fillId="0" borderId="97" xfId="17" applyFont="1" applyBorder="1" applyAlignment="1">
      <alignment vertical="center"/>
    </xf>
    <xf numFmtId="10" fontId="11" fillId="0" borderId="19" xfId="0" applyNumberFormat="1" applyFont="1" applyBorder="1"/>
    <xf numFmtId="0" fontId="31" fillId="0" borderId="76" xfId="0" applyFont="1" applyBorder="1" applyAlignment="1">
      <alignment horizontal="center" vertical="center"/>
    </xf>
    <xf numFmtId="0" fontId="14" fillId="0" borderId="43" xfId="0" applyFont="1" applyBorder="1" applyAlignment="1">
      <alignment vertical="center"/>
    </xf>
    <xf numFmtId="172" fontId="14" fillId="0" borderId="43" xfId="16" applyNumberFormat="1" applyFont="1" applyBorder="1" applyAlignment="1">
      <alignment vertical="center"/>
    </xf>
    <xf numFmtId="0" fontId="14" fillId="0" borderId="43" xfId="0" applyFont="1" applyBorder="1" applyAlignment="1">
      <alignment horizontal="center" vertical="center"/>
    </xf>
    <xf numFmtId="177" fontId="14" fillId="0" borderId="40" xfId="0" applyNumberFormat="1" applyFont="1" applyBorder="1" applyAlignment="1">
      <alignment vertical="center"/>
    </xf>
    <xf numFmtId="0" fontId="10" fillId="0" borderId="78" xfId="0" applyFont="1" applyBorder="1" applyAlignment="1">
      <alignment vertical="center"/>
    </xf>
    <xf numFmtId="0" fontId="10" fillId="0" borderId="78" xfId="0" applyFont="1" applyBorder="1"/>
    <xf numFmtId="0" fontId="10" fillId="0" borderId="79" xfId="0" applyFont="1" applyBorder="1"/>
    <xf numFmtId="0" fontId="31" fillId="12" borderId="99" xfId="0" applyFont="1" applyFill="1" applyBorder="1" applyAlignment="1">
      <alignment horizontal="center" vertical="center" wrapText="1"/>
    </xf>
    <xf numFmtId="0" fontId="31" fillId="12" borderId="49" xfId="0" applyFont="1" applyFill="1" applyBorder="1" applyAlignment="1">
      <alignment vertical="center"/>
    </xf>
    <xf numFmtId="172" fontId="14" fillId="12" borderId="99" xfId="17" applyNumberFormat="1" applyFont="1" applyFill="1" applyBorder="1" applyAlignment="1">
      <alignment vertical="center"/>
    </xf>
    <xf numFmtId="0" fontId="14" fillId="12" borderId="49" xfId="0" applyFont="1" applyFill="1" applyBorder="1" applyAlignment="1">
      <alignment horizontal="center" vertical="center"/>
    </xf>
    <xf numFmtId="0" fontId="14" fillId="12" borderId="49" xfId="0" applyFont="1" applyFill="1" applyBorder="1" applyAlignment="1">
      <alignment vertical="center"/>
    </xf>
    <xf numFmtId="0" fontId="14" fillId="12" borderId="52" xfId="0" applyFont="1" applyFill="1" applyBorder="1" applyAlignment="1">
      <alignment vertical="center"/>
    </xf>
    <xf numFmtId="0" fontId="31" fillId="5" borderId="15" xfId="0" applyFont="1" applyFill="1" applyBorder="1" applyAlignment="1">
      <alignment vertical="center"/>
    </xf>
    <xf numFmtId="0" fontId="14" fillId="5" borderId="15" xfId="0" applyFont="1" applyFill="1" applyBorder="1" applyAlignment="1">
      <alignment vertical="center"/>
    </xf>
    <xf numFmtId="0" fontId="31" fillId="0" borderId="90" xfId="0" applyFont="1" applyBorder="1" applyAlignment="1">
      <alignment horizontal="center" vertical="center"/>
    </xf>
    <xf numFmtId="0" fontId="14" fillId="5" borderId="25" xfId="0" applyFont="1" applyFill="1" applyBorder="1" applyAlignment="1">
      <alignment vertical="center"/>
    </xf>
    <xf numFmtId="172" fontId="14" fillId="0" borderId="62" xfId="17" applyNumberFormat="1" applyFont="1" applyBorder="1" applyAlignment="1">
      <alignment vertical="center"/>
    </xf>
    <xf numFmtId="0" fontId="14" fillId="0" borderId="29" xfId="0" applyFont="1" applyBorder="1" applyAlignment="1">
      <alignment horizontal="center" vertical="center"/>
    </xf>
    <xf numFmtId="177" fontId="14" fillId="0" borderId="27" xfId="0" applyNumberFormat="1" applyFont="1" applyBorder="1" applyAlignment="1">
      <alignment vertical="center"/>
    </xf>
    <xf numFmtId="0" fontId="31" fillId="0" borderId="19" xfId="0" applyFont="1" applyBorder="1" applyAlignment="1">
      <alignment horizontal="right" vertical="center"/>
    </xf>
    <xf numFmtId="172" fontId="14" fillId="0" borderId="19" xfId="17" applyNumberFormat="1" applyFont="1" applyBorder="1" applyAlignment="1">
      <alignment vertical="center"/>
    </xf>
    <xf numFmtId="172" fontId="14" fillId="0" borderId="61" xfId="17" applyNumberFormat="1" applyFont="1" applyBorder="1" applyAlignment="1">
      <alignment vertical="center"/>
    </xf>
    <xf numFmtId="0" fontId="14" fillId="0" borderId="61" xfId="0" applyFont="1" applyBorder="1" applyAlignment="1">
      <alignment horizontal="center" vertical="center"/>
    </xf>
    <xf numFmtId="0" fontId="14" fillId="5" borderId="21" xfId="0" applyFont="1" applyFill="1" applyBorder="1" applyAlignment="1">
      <alignment vertical="center"/>
    </xf>
    <xf numFmtId="0" fontId="14" fillId="5" borderId="15" xfId="0" applyFont="1" applyFill="1" applyBorder="1" applyAlignment="1">
      <alignment horizontal="right" vertical="center"/>
    </xf>
    <xf numFmtId="0" fontId="31" fillId="0" borderId="78" xfId="0" applyFont="1" applyBorder="1" applyAlignment="1">
      <alignment horizontal="center" vertical="center"/>
    </xf>
    <xf numFmtId="0" fontId="10" fillId="0" borderId="43" xfId="0" applyFont="1" applyBorder="1" applyAlignment="1">
      <alignment vertical="center"/>
    </xf>
    <xf numFmtId="10" fontId="10" fillId="0" borderId="43" xfId="0" applyNumberFormat="1" applyFont="1" applyBorder="1"/>
    <xf numFmtId="0" fontId="10" fillId="0" borderId="44" xfId="0" applyFont="1" applyBorder="1"/>
    <xf numFmtId="10" fontId="11" fillId="0" borderId="43" xfId="0" applyNumberFormat="1" applyFont="1" applyBorder="1"/>
    <xf numFmtId="0" fontId="14" fillId="12" borderId="85" xfId="0" applyFont="1" applyFill="1" applyBorder="1" applyAlignment="1">
      <alignment vertical="center"/>
    </xf>
    <xf numFmtId="0" fontId="31" fillId="5" borderId="21" xfId="0" applyFont="1" applyFill="1" applyBorder="1" applyAlignment="1">
      <alignment vertical="center"/>
    </xf>
    <xf numFmtId="0" fontId="10" fillId="0" borderId="24" xfId="0" applyFont="1" applyBorder="1" applyAlignment="1">
      <alignment vertical="center"/>
    </xf>
    <xf numFmtId="0" fontId="31" fillId="0" borderId="21" xfId="0" applyFont="1" applyBorder="1" applyAlignment="1">
      <alignment horizontal="center" vertical="center"/>
    </xf>
    <xf numFmtId="0" fontId="14" fillId="5" borderId="21" xfId="0" applyFont="1" applyFill="1" applyBorder="1" applyAlignment="1">
      <alignment horizontal="right" vertical="center"/>
    </xf>
    <xf numFmtId="0" fontId="31" fillId="5" borderId="21" xfId="0" applyFont="1" applyFill="1" applyBorder="1" applyAlignment="1">
      <alignment horizontal="right" vertical="center"/>
    </xf>
    <xf numFmtId="172" fontId="31" fillId="0" borderId="24" xfId="34" applyNumberFormat="1" applyFont="1" applyBorder="1" applyAlignment="1">
      <alignment vertical="center"/>
    </xf>
    <xf numFmtId="0" fontId="14" fillId="5" borderId="21" xfId="0" applyFont="1" applyFill="1" applyBorder="1" applyAlignment="1">
      <alignment vertical="center" wrapText="1"/>
    </xf>
    <xf numFmtId="0" fontId="14" fillId="5" borderId="21" xfId="0" applyFont="1" applyFill="1" applyBorder="1" applyAlignment="1">
      <alignment horizontal="right" vertical="center" wrapText="1"/>
    </xf>
    <xf numFmtId="0" fontId="31" fillId="5" borderId="21" xfId="0" applyFont="1" applyFill="1" applyBorder="1" applyAlignment="1">
      <alignment horizontal="right" vertical="center" wrapText="1"/>
    </xf>
    <xf numFmtId="172" fontId="14" fillId="0" borderId="19" xfId="34" applyNumberFormat="1" applyFont="1" applyBorder="1" applyAlignment="1">
      <alignment vertical="center"/>
    </xf>
    <xf numFmtId="172" fontId="31" fillId="0" borderId="19" xfId="34" applyNumberFormat="1" applyFont="1" applyBorder="1" applyAlignment="1">
      <alignment vertical="center"/>
    </xf>
    <xf numFmtId="0" fontId="31" fillId="0" borderId="15" xfId="0" applyFont="1" applyBorder="1" applyAlignment="1">
      <alignment horizontal="center" vertical="center"/>
    </xf>
    <xf numFmtId="0" fontId="14" fillId="5" borderId="15" xfId="0" applyFont="1" applyFill="1" applyBorder="1" applyAlignment="1">
      <alignment horizontal="left" vertical="center"/>
    </xf>
    <xf numFmtId="0" fontId="31" fillId="0" borderId="19" xfId="0" applyFont="1" applyBorder="1" applyAlignment="1">
      <alignment horizontal="center" vertical="center"/>
    </xf>
    <xf numFmtId="10" fontId="10" fillId="0" borderId="24" xfId="0" applyNumberFormat="1" applyFont="1" applyBorder="1"/>
    <xf numFmtId="0" fontId="31" fillId="12" borderId="50" xfId="0" applyFont="1" applyFill="1" applyBorder="1" applyAlignment="1">
      <alignment vertical="center"/>
    </xf>
    <xf numFmtId="0" fontId="31" fillId="12" borderId="51" xfId="0" applyFont="1" applyFill="1" applyBorder="1" applyAlignment="1">
      <alignment vertical="center"/>
    </xf>
    <xf numFmtId="10" fontId="14" fillId="0" borderId="31" xfId="13" applyNumberFormat="1" applyFont="1" applyBorder="1"/>
    <xf numFmtId="164" fontId="14" fillId="0" borderId="21" xfId="9" applyFont="1" applyBorder="1" applyAlignment="1">
      <alignment horizontal="center" vertical="center"/>
    </xf>
    <xf numFmtId="10" fontId="31" fillId="0" borderId="24" xfId="13" applyNumberFormat="1" applyFont="1" applyBorder="1"/>
    <xf numFmtId="0" fontId="31" fillId="12" borderId="107" xfId="0" applyFont="1" applyFill="1" applyBorder="1" applyAlignment="1">
      <alignment horizontal="center" vertical="center"/>
    </xf>
    <xf numFmtId="0" fontId="31" fillId="12" borderId="108" xfId="0" applyFont="1" applyFill="1" applyBorder="1" applyAlignment="1">
      <alignment horizontal="center" vertical="center"/>
    </xf>
    <xf numFmtId="0" fontId="31" fillId="12" borderId="109" xfId="0" applyFont="1" applyFill="1" applyBorder="1" applyAlignment="1">
      <alignment vertical="center"/>
    </xf>
    <xf numFmtId="0" fontId="0" fillId="12" borderId="110" xfId="0" applyFill="1" applyBorder="1"/>
    <xf numFmtId="0" fontId="0" fillId="12" borderId="111" xfId="0" applyFill="1" applyBorder="1"/>
    <xf numFmtId="0" fontId="31" fillId="0" borderId="112" xfId="0" applyFont="1" applyBorder="1" applyAlignment="1">
      <alignment horizontal="center" vertical="center"/>
    </xf>
    <xf numFmtId="0" fontId="31" fillId="0" borderId="75" xfId="0" applyFont="1" applyBorder="1" applyAlignment="1">
      <alignment horizontal="right" vertical="center"/>
    </xf>
    <xf numFmtId="0" fontId="31" fillId="0" borderId="113" xfId="0" applyFont="1" applyBorder="1" applyAlignment="1">
      <alignment vertical="center"/>
    </xf>
    <xf numFmtId="0" fontId="31" fillId="0" borderId="75" xfId="0" applyFont="1" applyBorder="1" applyAlignment="1">
      <alignment vertical="center"/>
    </xf>
    <xf numFmtId="0" fontId="0" fillId="0" borderId="75" xfId="0" applyBorder="1"/>
    <xf numFmtId="0" fontId="0" fillId="0" borderId="114" xfId="0" applyBorder="1"/>
    <xf numFmtId="164" fontId="0" fillId="0" borderId="19" xfId="0" applyNumberFormat="1" applyBorder="1"/>
    <xf numFmtId="164" fontId="0" fillId="0" borderId="0" xfId="0" applyNumberFormat="1"/>
    <xf numFmtId="172" fontId="31" fillId="0" borderId="19" xfId="9" applyNumberFormat="1" applyFont="1" applyBorder="1" applyAlignment="1">
      <alignment vertical="center"/>
    </xf>
    <xf numFmtId="0" fontId="14" fillId="0" borderId="15" xfId="0" applyFont="1" applyBorder="1" applyAlignment="1">
      <alignment horizontal="right" vertical="center"/>
    </xf>
    <xf numFmtId="164" fontId="31" fillId="0" borderId="34" xfId="9" applyFont="1" applyBorder="1" applyAlignment="1">
      <alignment vertical="center"/>
    </xf>
    <xf numFmtId="0" fontId="31" fillId="0" borderId="78" xfId="0" applyFont="1" applyBorder="1" applyAlignment="1">
      <alignment horizontal="left" vertical="center" wrapText="1"/>
    </xf>
    <xf numFmtId="172" fontId="31" fillId="0" borderId="78" xfId="17" applyNumberFormat="1" applyFont="1" applyBorder="1" applyAlignment="1">
      <alignment vertical="center"/>
    </xf>
    <xf numFmtId="0" fontId="31" fillId="0" borderId="77" xfId="0" applyFont="1" applyBorder="1" applyAlignment="1">
      <alignment horizontal="center" vertical="center"/>
    </xf>
    <xf numFmtId="177" fontId="31" fillId="0" borderId="77" xfId="0" applyNumberFormat="1" applyFont="1" applyBorder="1" applyAlignment="1">
      <alignment vertical="center"/>
    </xf>
    <xf numFmtId="164" fontId="31" fillId="0" borderId="77" xfId="9" applyFont="1" applyBorder="1" applyAlignment="1">
      <alignment vertical="center"/>
    </xf>
    <xf numFmtId="10" fontId="14" fillId="0" borderId="78" xfId="13" applyNumberFormat="1" applyFont="1" applyBorder="1"/>
    <xf numFmtId="10" fontId="14" fillId="0" borderId="79" xfId="13" applyNumberFormat="1" applyFont="1" applyBorder="1" applyAlignment="1">
      <alignment vertical="center"/>
    </xf>
    <xf numFmtId="0" fontId="31" fillId="12" borderId="99" xfId="0" applyFont="1" applyFill="1" applyBorder="1" applyAlignment="1">
      <alignment vertical="center"/>
    </xf>
    <xf numFmtId="0" fontId="14" fillId="12" borderId="99" xfId="0" applyFont="1" applyFill="1" applyBorder="1" applyAlignment="1">
      <alignment vertical="center"/>
    </xf>
    <xf numFmtId="0" fontId="0" fillId="0" borderId="17" xfId="0" applyBorder="1"/>
    <xf numFmtId="10" fontId="14" fillId="0" borderId="17" xfId="13" applyNumberFormat="1" applyFont="1" applyBorder="1"/>
    <xf numFmtId="177" fontId="14" fillId="0" borderId="37" xfId="0" applyNumberFormat="1" applyFont="1" applyBorder="1" applyAlignment="1">
      <alignment vertical="center"/>
    </xf>
    <xf numFmtId="164" fontId="31" fillId="0" borderId="96" xfId="17" applyFont="1" applyBorder="1" applyAlignment="1">
      <alignment vertical="center"/>
    </xf>
    <xf numFmtId="10" fontId="14" fillId="0" borderId="42" xfId="13" applyNumberFormat="1" applyFont="1" applyBorder="1"/>
    <xf numFmtId="0" fontId="31" fillId="0" borderId="56" xfId="0" applyFont="1" applyBorder="1" applyAlignment="1">
      <alignment horizontal="center" vertical="center"/>
    </xf>
    <xf numFmtId="0" fontId="0" fillId="12" borderId="52" xfId="0" applyFill="1" applyBorder="1"/>
    <xf numFmtId="0" fontId="0" fillId="0" borderId="14" xfId="0" applyBorder="1"/>
    <xf numFmtId="0" fontId="0" fillId="0" borderId="65" xfId="0" applyBorder="1"/>
    <xf numFmtId="168" fontId="31" fillId="0" borderId="96" xfId="17" applyNumberFormat="1" applyFont="1" applyBorder="1" applyAlignment="1">
      <alignment vertical="center"/>
    </xf>
    <xf numFmtId="168" fontId="31" fillId="0" borderId="0" xfId="17" applyNumberFormat="1" applyFont="1" applyAlignment="1">
      <alignment vertical="center"/>
    </xf>
    <xf numFmtId="0" fontId="31" fillId="0" borderId="84" xfId="0" applyFont="1" applyBorder="1" applyAlignment="1">
      <alignment horizontal="center" vertical="center"/>
    </xf>
    <xf numFmtId="0" fontId="31" fillId="12" borderId="85" xfId="0" applyFont="1" applyFill="1" applyBorder="1" applyAlignment="1">
      <alignment vertical="center"/>
    </xf>
    <xf numFmtId="172" fontId="14" fillId="12" borderId="85" xfId="17" applyNumberFormat="1" applyFont="1" applyFill="1" applyBorder="1" applyAlignment="1">
      <alignment vertical="center"/>
    </xf>
    <xf numFmtId="0" fontId="14" fillId="12" borderId="88" xfId="0" applyFont="1" applyFill="1" applyBorder="1" applyAlignment="1">
      <alignment horizontal="center" vertical="center"/>
    </xf>
    <xf numFmtId="0" fontId="31" fillId="12" borderId="115" xfId="0" applyFont="1" applyFill="1" applyBorder="1" applyAlignment="1">
      <alignment vertical="center"/>
    </xf>
    <xf numFmtId="0" fontId="31" fillId="12" borderId="116" xfId="0" applyFont="1" applyFill="1" applyBorder="1" applyAlignment="1">
      <alignment vertical="center"/>
    </xf>
    <xf numFmtId="0" fontId="0" fillId="12" borderId="86" xfId="0" applyFill="1" applyBorder="1"/>
    <xf numFmtId="0" fontId="31" fillId="0" borderId="53" xfId="0" applyFont="1" applyBorder="1" applyAlignment="1">
      <alignment horizontal="center" vertical="center"/>
    </xf>
    <xf numFmtId="0" fontId="31" fillId="0" borderId="22" xfId="0" applyFont="1" applyBorder="1" applyAlignment="1">
      <alignment vertical="center"/>
    </xf>
    <xf numFmtId="0" fontId="31" fillId="0" borderId="23" xfId="0" applyFont="1" applyBorder="1" applyAlignment="1">
      <alignment vertical="center"/>
    </xf>
    <xf numFmtId="0" fontId="0" fillId="0" borderId="54" xfId="0" applyBorder="1"/>
    <xf numFmtId="0" fontId="14" fillId="0" borderId="24" xfId="0" applyFont="1" applyBorder="1" applyAlignment="1">
      <alignment horizontal="right" vertical="center" wrapText="1"/>
    </xf>
    <xf numFmtId="0" fontId="14" fillId="0" borderId="24" xfId="0" applyFont="1" applyBorder="1" applyAlignment="1">
      <alignment horizontal="left" vertical="center" wrapText="1"/>
    </xf>
    <xf numFmtId="10" fontId="14" fillId="0" borderId="17" xfId="0" applyNumberFormat="1" applyFont="1" applyBorder="1"/>
    <xf numFmtId="168" fontId="14" fillId="0" borderId="29" xfId="0" applyNumberFormat="1" applyFont="1" applyBorder="1" applyAlignment="1">
      <alignment vertical="center"/>
    </xf>
    <xf numFmtId="10" fontId="31" fillId="0" borderId="24" xfId="0" applyNumberFormat="1" applyFont="1" applyBorder="1"/>
    <xf numFmtId="10" fontId="14" fillId="0" borderId="42" xfId="0" applyNumberFormat="1" applyFont="1" applyBorder="1"/>
    <xf numFmtId="168" fontId="14" fillId="0" borderId="31" xfId="0" applyNumberFormat="1" applyFont="1" applyBorder="1" applyAlignment="1">
      <alignment vertical="center"/>
    </xf>
    <xf numFmtId="168" fontId="14" fillId="0" borderId="75" xfId="0" applyNumberFormat="1" applyFont="1" applyBorder="1" applyAlignment="1">
      <alignment vertical="center"/>
    </xf>
    <xf numFmtId="172" fontId="14" fillId="12" borderId="99" xfId="9" applyNumberFormat="1" applyFont="1" applyFill="1" applyBorder="1" applyAlignment="1">
      <alignment vertical="center"/>
    </xf>
    <xf numFmtId="0" fontId="10" fillId="12" borderId="12" xfId="0" applyFont="1" applyFill="1" applyBorder="1" applyAlignment="1">
      <alignment vertical="center"/>
    </xf>
    <xf numFmtId="0" fontId="10" fillId="12" borderId="13" xfId="0" applyFont="1" applyFill="1" applyBorder="1"/>
    <xf numFmtId="10" fontId="14" fillId="0" borderId="32" xfId="13" applyNumberFormat="1" applyFont="1" applyBorder="1" applyAlignment="1">
      <alignment vertical="center"/>
    </xf>
    <xf numFmtId="10" fontId="14" fillId="0" borderId="62" xfId="13" applyNumberFormat="1" applyFont="1" applyBorder="1" applyAlignment="1">
      <alignment vertical="center"/>
    </xf>
    <xf numFmtId="10" fontId="31" fillId="0" borderId="62" xfId="13" applyNumberFormat="1" applyFont="1" applyBorder="1" applyAlignment="1">
      <alignment vertical="center"/>
    </xf>
    <xf numFmtId="10" fontId="14" fillId="0" borderId="78" xfId="13" applyNumberFormat="1" applyFont="1" applyBorder="1" applyAlignment="1">
      <alignment vertical="center"/>
    </xf>
    <xf numFmtId="0" fontId="0" fillId="12" borderId="12" xfId="0" applyFill="1" applyBorder="1" applyAlignment="1">
      <alignment vertical="center"/>
    </xf>
    <xf numFmtId="0" fontId="0" fillId="0" borderId="19" xfId="0" applyBorder="1" applyAlignment="1">
      <alignment vertical="center"/>
    </xf>
    <xf numFmtId="10" fontId="14" fillId="0" borderId="19" xfId="117" applyNumberFormat="1" applyFont="1" applyBorder="1"/>
    <xf numFmtId="10" fontId="14" fillId="0" borderId="20" xfId="117" applyNumberFormat="1" applyFont="1" applyBorder="1" applyAlignment="1">
      <alignment vertical="center"/>
    </xf>
    <xf numFmtId="10" fontId="14" fillId="0" borderId="61" xfId="117" applyNumberFormat="1" applyFont="1" applyBorder="1"/>
    <xf numFmtId="10" fontId="14" fillId="0" borderId="24" xfId="117" applyNumberFormat="1" applyFont="1" applyBorder="1"/>
    <xf numFmtId="10" fontId="31" fillId="0" borderId="19" xfId="117" applyNumberFormat="1" applyFont="1" applyBorder="1"/>
    <xf numFmtId="10" fontId="14" fillId="0" borderId="43" xfId="117" applyNumberFormat="1" applyFont="1" applyBorder="1"/>
    <xf numFmtId="10" fontId="14" fillId="0" borderId="44" xfId="117" applyNumberFormat="1" applyFont="1" applyBorder="1" applyAlignment="1">
      <alignment vertical="center"/>
    </xf>
    <xf numFmtId="0" fontId="10" fillId="12" borderId="12" xfId="0" applyFont="1" applyFill="1" applyBorder="1"/>
    <xf numFmtId="0" fontId="14" fillId="5" borderId="29" xfId="0" applyFont="1" applyFill="1" applyBorder="1" applyAlignment="1">
      <alignment vertical="center"/>
    </xf>
    <xf numFmtId="172" fontId="14" fillId="0" borderId="62" xfId="9" applyNumberFormat="1" applyFont="1" applyBorder="1" applyAlignment="1">
      <alignment vertical="center"/>
    </xf>
    <xf numFmtId="10" fontId="14" fillId="0" borderId="54" xfId="13" applyNumberFormat="1" applyFont="1" applyBorder="1" applyAlignment="1">
      <alignment vertical="center"/>
    </xf>
    <xf numFmtId="0" fontId="31" fillId="8" borderId="99" xfId="0" applyFont="1" applyFill="1" applyBorder="1" applyAlignment="1">
      <alignment horizontal="center" vertical="center" wrapText="1"/>
    </xf>
    <xf numFmtId="10" fontId="14" fillId="0" borderId="27" xfId="13" applyNumberFormat="1" applyFont="1" applyBorder="1"/>
    <xf numFmtId="177" fontId="14" fillId="0" borderId="29" xfId="0" applyNumberFormat="1" applyFont="1" applyBorder="1" applyAlignment="1">
      <alignment vertical="center"/>
    </xf>
    <xf numFmtId="10" fontId="14" fillId="0" borderId="62" xfId="13" applyNumberFormat="1" applyFont="1" applyBorder="1"/>
    <xf numFmtId="10" fontId="31" fillId="0" borderId="62" xfId="13" applyNumberFormat="1" applyFont="1" applyBorder="1"/>
    <xf numFmtId="0" fontId="0" fillId="0" borderId="0" xfId="0" applyAlignment="1">
      <alignment vertical="center"/>
    </xf>
    <xf numFmtId="0" fontId="0" fillId="12" borderId="99" xfId="0" applyFill="1" applyBorder="1"/>
    <xf numFmtId="168" fontId="31" fillId="0" borderId="97" xfId="17" applyNumberFormat="1" applyFont="1" applyBorder="1" applyAlignment="1">
      <alignment vertical="center"/>
    </xf>
    <xf numFmtId="0" fontId="14" fillId="0" borderId="54" xfId="0" applyFont="1" applyBorder="1" applyAlignment="1">
      <alignment vertical="center"/>
    </xf>
    <xf numFmtId="168" fontId="14" fillId="0" borderId="54" xfId="0" applyNumberFormat="1" applyFont="1" applyBorder="1" applyAlignment="1">
      <alignment vertical="center"/>
    </xf>
    <xf numFmtId="168" fontId="14" fillId="0" borderId="59" xfId="0" applyNumberFormat="1" applyFont="1" applyBorder="1" applyAlignment="1">
      <alignment vertical="center"/>
    </xf>
    <xf numFmtId="177" fontId="14" fillId="0" borderId="38" xfId="0" applyNumberFormat="1" applyFont="1" applyBorder="1" applyAlignment="1">
      <alignment vertical="center"/>
    </xf>
    <xf numFmtId="168" fontId="31" fillId="0" borderId="117" xfId="17" applyNumberFormat="1" applyFont="1" applyBorder="1" applyAlignment="1">
      <alignment vertical="center"/>
    </xf>
    <xf numFmtId="10" fontId="14" fillId="0" borderId="81" xfId="117" applyNumberFormat="1" applyFont="1" applyBorder="1"/>
    <xf numFmtId="10" fontId="14" fillId="0" borderId="59" xfId="117" applyNumberFormat="1" applyFont="1" applyBorder="1" applyAlignment="1">
      <alignment vertical="center"/>
    </xf>
    <xf numFmtId="168" fontId="14" fillId="0" borderId="118" xfId="0" applyNumberFormat="1" applyFont="1" applyBorder="1" applyAlignment="1">
      <alignment vertical="center"/>
    </xf>
    <xf numFmtId="10" fontId="14" fillId="0" borderId="78" xfId="117" applyNumberFormat="1" applyFont="1" applyBorder="1"/>
    <xf numFmtId="10" fontId="14" fillId="0" borderId="79" xfId="117" applyNumberFormat="1" applyFont="1" applyBorder="1" applyAlignment="1">
      <alignment vertical="center"/>
    </xf>
    <xf numFmtId="10" fontId="10" fillId="0" borderId="24" xfId="0" applyNumberFormat="1" applyFont="1" applyBorder="1" applyAlignment="1">
      <alignment vertical="center"/>
    </xf>
    <xf numFmtId="0" fontId="10" fillId="0" borderId="43" xfId="0" applyFont="1" applyBorder="1"/>
    <xf numFmtId="10" fontId="11" fillId="0" borderId="43" xfId="0" applyNumberFormat="1" applyFont="1" applyBorder="1" applyAlignment="1">
      <alignment vertical="center"/>
    </xf>
    <xf numFmtId="164" fontId="0" fillId="0" borderId="0" xfId="17" applyFont="1"/>
    <xf numFmtId="0" fontId="53" fillId="0" borderId="0" xfId="0" applyFont="1" applyAlignment="1">
      <alignment vertical="center"/>
    </xf>
    <xf numFmtId="0" fontId="10" fillId="12" borderId="13" xfId="0" applyFont="1" applyFill="1" applyBorder="1" applyAlignment="1">
      <alignment vertical="center"/>
    </xf>
    <xf numFmtId="10" fontId="14" fillId="0" borderId="19" xfId="117" applyNumberFormat="1" applyFont="1" applyBorder="1" applyAlignment="1">
      <alignment vertical="center"/>
    </xf>
    <xf numFmtId="10" fontId="14" fillId="0" borderId="61" xfId="117" applyNumberFormat="1" applyFont="1" applyBorder="1" applyAlignment="1">
      <alignment vertical="center"/>
    </xf>
    <xf numFmtId="10" fontId="14" fillId="0" borderId="24" xfId="117" applyNumberFormat="1" applyFont="1" applyBorder="1" applyAlignment="1">
      <alignment vertical="center"/>
    </xf>
    <xf numFmtId="10" fontId="31" fillId="0" borderId="19" xfId="117" applyNumberFormat="1" applyFont="1" applyBorder="1" applyAlignment="1">
      <alignment vertical="center"/>
    </xf>
    <xf numFmtId="10" fontId="14" fillId="0" borderId="43" xfId="117" applyNumberFormat="1" applyFont="1" applyBorder="1" applyAlignment="1">
      <alignment vertical="center"/>
    </xf>
    <xf numFmtId="0" fontId="10" fillId="12" borderId="99" xfId="0" applyFont="1" applyFill="1" applyBorder="1" applyAlignment="1">
      <alignment vertical="center"/>
    </xf>
    <xf numFmtId="0" fontId="10" fillId="12" borderId="52" xfId="0" applyFont="1" applyFill="1" applyBorder="1" applyAlignment="1">
      <alignment vertical="center"/>
    </xf>
    <xf numFmtId="0" fontId="54" fillId="0" borderId="0" xfId="0" applyFont="1" applyAlignment="1">
      <alignment vertical="center"/>
    </xf>
    <xf numFmtId="0" fontId="0" fillId="12" borderId="51" xfId="0" applyFill="1" applyBorder="1"/>
    <xf numFmtId="10" fontId="14" fillId="0" borderId="17" xfId="117" applyNumberFormat="1" applyFont="1" applyBorder="1"/>
    <xf numFmtId="10" fontId="14" fillId="0" borderId="42" xfId="117" applyNumberFormat="1" applyFont="1" applyBorder="1"/>
    <xf numFmtId="172" fontId="14" fillId="0" borderId="21" xfId="0" applyNumberFormat="1" applyFont="1" applyBorder="1" applyAlignment="1">
      <alignment horizontal="center" vertical="center"/>
    </xf>
    <xf numFmtId="0" fontId="55" fillId="0" borderId="0" xfId="0" applyFont="1" applyAlignment="1">
      <alignment vertical="center"/>
    </xf>
    <xf numFmtId="10" fontId="14" fillId="0" borderId="0" xfId="117" applyNumberFormat="1" applyFont="1"/>
    <xf numFmtId="10" fontId="14" fillId="0" borderId="0" xfId="117" applyNumberFormat="1" applyFont="1" applyAlignment="1">
      <alignment vertical="center"/>
    </xf>
    <xf numFmtId="0" fontId="31" fillId="12" borderId="119" xfId="0" applyFont="1" applyFill="1" applyBorder="1" applyAlignment="1">
      <alignment vertical="center"/>
    </xf>
    <xf numFmtId="172" fontId="14" fillId="12" borderId="108" xfId="9" applyNumberFormat="1" applyFont="1" applyFill="1" applyBorder="1" applyAlignment="1">
      <alignment vertical="center"/>
    </xf>
    <xf numFmtId="0" fontId="14" fillId="12" borderId="119" xfId="0" applyFont="1" applyFill="1" applyBorder="1" applyAlignment="1">
      <alignment horizontal="center" vertical="center"/>
    </xf>
    <xf numFmtId="0" fontId="14" fillId="12" borderId="119" xfId="0" applyFont="1" applyFill="1" applyBorder="1" applyAlignment="1">
      <alignment vertical="center"/>
    </xf>
    <xf numFmtId="10" fontId="0" fillId="0" borderId="24" xfId="0" applyNumberFormat="1" applyBorder="1"/>
    <xf numFmtId="0" fontId="0" fillId="0" borderId="20" xfId="0" applyBorder="1" applyAlignment="1">
      <alignment vertical="center"/>
    </xf>
    <xf numFmtId="10" fontId="14" fillId="0" borderId="19" xfId="0" applyNumberFormat="1" applyFont="1" applyBorder="1" applyAlignment="1">
      <alignment vertical="center"/>
    </xf>
    <xf numFmtId="10" fontId="14" fillId="0" borderId="62" xfId="0" applyNumberFormat="1" applyFont="1" applyBorder="1" applyAlignment="1">
      <alignment vertical="center"/>
    </xf>
    <xf numFmtId="0" fontId="56" fillId="0" borderId="0" xfId="0" applyFont="1"/>
    <xf numFmtId="10" fontId="31" fillId="0" borderId="19" xfId="0" applyNumberFormat="1" applyFont="1" applyBorder="1" applyAlignment="1">
      <alignment vertical="center"/>
    </xf>
    <xf numFmtId="10" fontId="14" fillId="0" borderId="78" xfId="0" applyNumberFormat="1" applyFont="1" applyBorder="1" applyAlignment="1">
      <alignment vertical="center"/>
    </xf>
    <xf numFmtId="10" fontId="14" fillId="0" borderId="79" xfId="0" applyNumberFormat="1" applyFont="1" applyBorder="1" applyAlignment="1">
      <alignment vertical="center"/>
    </xf>
    <xf numFmtId="0" fontId="0" fillId="0" borderId="67" xfId="0" applyBorder="1"/>
    <xf numFmtId="10" fontId="14" fillId="0" borderId="93" xfId="117" applyNumberFormat="1" applyFont="1" applyBorder="1" applyAlignment="1">
      <alignment vertical="center"/>
    </xf>
    <xf numFmtId="10" fontId="14" fillId="0" borderId="98" xfId="117" applyNumberFormat="1" applyFont="1" applyBorder="1" applyAlignment="1">
      <alignment vertical="center"/>
    </xf>
    <xf numFmtId="0" fontId="14" fillId="5" borderId="15" xfId="0" applyFont="1" applyFill="1" applyBorder="1" applyAlignment="1">
      <alignment vertical="center" wrapText="1"/>
    </xf>
    <xf numFmtId="0" fontId="57" fillId="0" borderId="0" xfId="0" applyFont="1" applyAlignment="1">
      <alignment vertical="center"/>
    </xf>
    <xf numFmtId="10" fontId="14" fillId="0" borderId="31" xfId="117" applyNumberFormat="1" applyFont="1" applyBorder="1"/>
    <xf numFmtId="10" fontId="31" fillId="0" borderId="31" xfId="117" applyNumberFormat="1" applyFont="1" applyBorder="1"/>
    <xf numFmtId="10" fontId="31" fillId="0" borderId="61" xfId="117" applyNumberFormat="1" applyFont="1" applyBorder="1"/>
    <xf numFmtId="10" fontId="31" fillId="0" borderId="43" xfId="117" applyNumberFormat="1" applyFont="1" applyBorder="1"/>
    <xf numFmtId="10" fontId="31" fillId="0" borderId="27" xfId="117" applyNumberFormat="1" applyFont="1" applyBorder="1"/>
    <xf numFmtId="10" fontId="14" fillId="0" borderId="28" xfId="117" applyNumberFormat="1" applyFont="1" applyBorder="1" applyAlignment="1">
      <alignment vertical="center"/>
    </xf>
    <xf numFmtId="0" fontId="0" fillId="0" borderId="120" xfId="0" applyBorder="1"/>
    <xf numFmtId="10" fontId="14" fillId="0" borderId="64" xfId="117" applyNumberFormat="1" applyFont="1" applyBorder="1"/>
    <xf numFmtId="10" fontId="14" fillId="0" borderId="64" xfId="117" applyNumberFormat="1" applyFont="1" applyBorder="1" applyAlignment="1">
      <alignment vertical="center"/>
    </xf>
    <xf numFmtId="0" fontId="1" fillId="0" borderId="19" xfId="67" applyFont="1" applyBorder="1" applyAlignment="1">
      <alignment vertical="center"/>
    </xf>
    <xf numFmtId="179" fontId="0" fillId="0" borderId="0" xfId="0" applyNumberFormat="1"/>
    <xf numFmtId="10" fontId="14" fillId="0" borderId="27" xfId="117" applyNumberFormat="1" applyFont="1" applyBorder="1"/>
    <xf numFmtId="0" fontId="0" fillId="12" borderId="11" xfId="0" applyFill="1" applyBorder="1"/>
    <xf numFmtId="10" fontId="14" fillId="0" borderId="83" xfId="117" applyNumberFormat="1" applyFont="1" applyBorder="1"/>
    <xf numFmtId="0" fontId="14" fillId="0" borderId="19" xfId="0" applyFont="1" applyBorder="1" applyAlignment="1">
      <alignment vertical="center" wrapText="1"/>
    </xf>
    <xf numFmtId="10" fontId="14" fillId="0" borderId="17" xfId="117" applyNumberFormat="1" applyFont="1" applyBorder="1" applyAlignment="1">
      <alignment vertical="center"/>
    </xf>
    <xf numFmtId="10" fontId="14" fillId="0" borderId="32" xfId="117" applyNumberFormat="1" applyFont="1" applyBorder="1" applyAlignment="1">
      <alignment vertical="center"/>
    </xf>
    <xf numFmtId="10" fontId="14" fillId="0" borderId="30" xfId="117" applyNumberFormat="1" applyFont="1" applyBorder="1" applyAlignment="1">
      <alignment vertical="center"/>
    </xf>
    <xf numFmtId="10" fontId="14" fillId="0" borderId="62" xfId="117" applyNumberFormat="1" applyFont="1" applyBorder="1" applyAlignment="1">
      <alignment vertical="center"/>
    </xf>
    <xf numFmtId="10" fontId="31" fillId="0" borderId="62" xfId="117" applyNumberFormat="1" applyFont="1" applyBorder="1" applyAlignment="1">
      <alignment vertical="center"/>
    </xf>
    <xf numFmtId="10" fontId="14" fillId="0" borderId="121" xfId="117" applyNumberFormat="1" applyFont="1" applyBorder="1" applyAlignment="1">
      <alignment vertical="center"/>
    </xf>
    <xf numFmtId="10" fontId="14" fillId="0" borderId="78" xfId="117" applyNumberFormat="1" applyFont="1" applyBorder="1" applyAlignment="1">
      <alignment vertical="center"/>
    </xf>
    <xf numFmtId="168" fontId="14" fillId="0" borderId="20" xfId="0" applyNumberFormat="1" applyFont="1" applyBorder="1" applyAlignment="1">
      <alignment vertical="center"/>
    </xf>
    <xf numFmtId="10" fontId="31" fillId="0" borderId="61" xfId="117" applyNumberFormat="1" applyFont="1" applyBorder="1" applyAlignment="1">
      <alignment vertical="center"/>
    </xf>
    <xf numFmtId="164" fontId="31" fillId="0" borderId="117" xfId="9" applyFont="1" applyBorder="1" applyAlignment="1">
      <alignment vertical="center"/>
    </xf>
    <xf numFmtId="10" fontId="14" fillId="0" borderId="62" xfId="117" applyNumberFormat="1" applyFont="1" applyBorder="1"/>
    <xf numFmtId="10" fontId="31" fillId="0" borderId="62" xfId="117" applyNumberFormat="1" applyFont="1" applyBorder="1"/>
    <xf numFmtId="172" fontId="14" fillId="12" borderId="99" xfId="24" applyNumberFormat="1" applyFont="1" applyFill="1" applyBorder="1" applyAlignment="1">
      <alignment vertical="center"/>
    </xf>
    <xf numFmtId="0" fontId="10" fillId="0" borderId="15" xfId="0" applyFont="1" applyBorder="1"/>
    <xf numFmtId="0" fontId="10" fillId="0" borderId="93" xfId="0" applyFont="1" applyBorder="1"/>
    <xf numFmtId="10" fontId="14" fillId="0" borderId="15" xfId="117" applyNumberFormat="1" applyFont="1" applyBorder="1" applyAlignment="1">
      <alignment vertical="center"/>
    </xf>
    <xf numFmtId="172" fontId="14" fillId="0" borderId="24" xfId="24" applyNumberFormat="1" applyFont="1" applyBorder="1" applyAlignment="1">
      <alignment vertical="center"/>
    </xf>
    <xf numFmtId="0" fontId="14" fillId="5" borderId="15" xfId="0" applyFont="1" applyFill="1" applyBorder="1" applyAlignment="1">
      <alignment horizontal="left" vertical="center" wrapText="1"/>
    </xf>
    <xf numFmtId="172" fontId="14" fillId="0" borderId="19" xfId="24" applyNumberFormat="1" applyFont="1" applyBorder="1" applyAlignment="1">
      <alignment vertical="center"/>
    </xf>
    <xf numFmtId="10" fontId="14" fillId="0" borderId="31" xfId="117" applyNumberFormat="1" applyFont="1" applyBorder="1" applyAlignment="1">
      <alignment vertical="center"/>
    </xf>
    <xf numFmtId="0" fontId="14" fillId="5" borderId="29" xfId="0" applyFont="1" applyFill="1" applyBorder="1" applyAlignment="1">
      <alignment horizontal="right" vertical="center"/>
    </xf>
    <xf numFmtId="172" fontId="14" fillId="0" borderId="62" xfId="24" applyNumberFormat="1" applyFont="1" applyBorder="1" applyAlignment="1">
      <alignment vertical="center"/>
    </xf>
    <xf numFmtId="0" fontId="10" fillId="0" borderId="21" xfId="0" applyFont="1" applyBorder="1"/>
    <xf numFmtId="0" fontId="10" fillId="0" borderId="122" xfId="0" applyFont="1" applyBorder="1"/>
    <xf numFmtId="168" fontId="31" fillId="0" borderId="97" xfId="24" applyNumberFormat="1" applyFont="1" applyBorder="1" applyAlignment="1">
      <alignment vertical="center"/>
    </xf>
    <xf numFmtId="0" fontId="10" fillId="0" borderId="40" xfId="0" applyFont="1" applyBorder="1"/>
    <xf numFmtId="0" fontId="10" fillId="0" borderId="98" xfId="0" applyFont="1" applyBorder="1"/>
    <xf numFmtId="0" fontId="10" fillId="12" borderId="99" xfId="0" applyFont="1" applyFill="1" applyBorder="1"/>
    <xf numFmtId="0" fontId="10" fillId="12" borderId="52" xfId="0" applyFont="1" applyFill="1" applyBorder="1"/>
    <xf numFmtId="10" fontId="31" fillId="0" borderId="78" xfId="117" applyNumberFormat="1" applyFont="1" applyBorder="1"/>
    <xf numFmtId="10" fontId="31" fillId="0" borderId="78" xfId="117" applyNumberFormat="1" applyFont="1" applyBorder="1" applyAlignment="1">
      <alignment vertical="center"/>
    </xf>
    <xf numFmtId="0" fontId="14" fillId="12" borderId="99" xfId="0" applyFont="1" applyFill="1" applyBorder="1" applyAlignment="1">
      <alignment horizontal="center" vertical="center"/>
    </xf>
    <xf numFmtId="0" fontId="31" fillId="0" borderId="43" xfId="0" applyFont="1" applyBorder="1" applyAlignment="1">
      <alignment horizontal="right" vertical="center"/>
    </xf>
    <xf numFmtId="0" fontId="31" fillId="0" borderId="43" xfId="0" applyFont="1" applyBorder="1" applyAlignment="1">
      <alignment horizontal="left" vertical="center" wrapText="1"/>
    </xf>
    <xf numFmtId="172" fontId="31" fillId="0" borderId="43" xfId="17" applyNumberFormat="1" applyFont="1" applyBorder="1" applyAlignment="1">
      <alignment vertical="center"/>
    </xf>
    <xf numFmtId="0" fontId="31" fillId="0" borderId="43" xfId="0" applyFont="1" applyBorder="1" applyAlignment="1">
      <alignment horizontal="center" vertical="center"/>
    </xf>
    <xf numFmtId="177" fontId="31" fillId="0" borderId="43" xfId="0" applyNumberFormat="1" applyFont="1" applyBorder="1" applyAlignment="1">
      <alignment vertical="center"/>
    </xf>
    <xf numFmtId="168" fontId="31" fillId="0" borderId="43" xfId="17" applyNumberFormat="1" applyFont="1" applyBorder="1" applyAlignment="1">
      <alignment vertical="center"/>
    </xf>
    <xf numFmtId="0" fontId="10" fillId="0" borderId="75" xfId="0" applyFont="1" applyBorder="1"/>
    <xf numFmtId="0" fontId="10" fillId="0" borderId="114" xfId="0" applyFont="1" applyBorder="1"/>
    <xf numFmtId="168" fontId="31" fillId="0" borderId="117" xfId="24" applyNumberFormat="1" applyFont="1" applyBorder="1" applyAlignment="1">
      <alignment vertical="center"/>
    </xf>
    <xf numFmtId="10" fontId="14" fillId="0" borderId="25" xfId="117" applyNumberFormat="1" applyFont="1" applyBorder="1" applyAlignment="1">
      <alignment vertical="center"/>
    </xf>
    <xf numFmtId="0" fontId="31" fillId="0" borderId="62" xfId="0" applyFont="1" applyBorder="1" applyAlignment="1">
      <alignment horizontal="center" vertical="center"/>
    </xf>
    <xf numFmtId="0" fontId="10" fillId="0" borderId="123" xfId="0" applyFont="1" applyBorder="1"/>
    <xf numFmtId="172" fontId="14" fillId="12" borderId="99" xfId="29" applyNumberFormat="1" applyFont="1" applyFill="1" applyBorder="1" applyAlignment="1">
      <alignment vertical="center"/>
    </xf>
    <xf numFmtId="10" fontId="14" fillId="0" borderId="15" xfId="0" applyNumberFormat="1" applyFont="1" applyBorder="1" applyAlignment="1">
      <alignment vertical="center"/>
    </xf>
    <xf numFmtId="172" fontId="14" fillId="0" borderId="24" xfId="29" applyNumberFormat="1" applyFont="1" applyBorder="1" applyAlignment="1">
      <alignment vertical="center"/>
    </xf>
    <xf numFmtId="10" fontId="14" fillId="0" borderId="61" xfId="0" applyNumberFormat="1" applyFont="1" applyBorder="1" applyAlignment="1">
      <alignment vertical="center"/>
    </xf>
    <xf numFmtId="172" fontId="14" fillId="0" borderId="19" xfId="29" applyNumberFormat="1" applyFont="1" applyBorder="1" applyAlignment="1">
      <alignment vertical="center"/>
    </xf>
    <xf numFmtId="10" fontId="14" fillId="0" borderId="75" xfId="0" applyNumberFormat="1" applyFont="1" applyBorder="1" applyAlignment="1">
      <alignment vertical="center"/>
    </xf>
    <xf numFmtId="172" fontId="14" fillId="0" borderId="62" xfId="29" applyNumberFormat="1" applyFont="1" applyBorder="1" applyAlignment="1">
      <alignment vertical="center"/>
    </xf>
    <xf numFmtId="172" fontId="14" fillId="0" borderId="37" xfId="29" applyNumberFormat="1" applyFont="1" applyBorder="1" applyAlignment="1">
      <alignment vertical="center"/>
    </xf>
    <xf numFmtId="172" fontId="31" fillId="0" borderId="96" xfId="29" applyNumberFormat="1" applyFont="1" applyBorder="1" applyAlignment="1">
      <alignment vertical="center"/>
    </xf>
    <xf numFmtId="168" fontId="31" fillId="0" borderId="97" xfId="29" applyNumberFormat="1" applyFont="1" applyBorder="1" applyAlignment="1">
      <alignment vertical="center"/>
    </xf>
    <xf numFmtId="172" fontId="10" fillId="0" borderId="19" xfId="0" applyNumberFormat="1" applyFont="1" applyBorder="1" applyAlignment="1">
      <alignment vertical="center"/>
    </xf>
    <xf numFmtId="0" fontId="31" fillId="12" borderId="49" xfId="0" applyFont="1" applyFill="1" applyBorder="1" applyAlignment="1">
      <alignment vertical="center" wrapText="1"/>
    </xf>
    <xf numFmtId="0" fontId="31" fillId="12" borderId="45" xfId="0" applyFont="1" applyFill="1" applyBorder="1" applyAlignment="1">
      <alignment horizontal="center" vertical="center"/>
    </xf>
    <xf numFmtId="0" fontId="31" fillId="12" borderId="46" xfId="0" applyFont="1" applyFill="1" applyBorder="1" applyAlignment="1">
      <alignment horizontal="center" vertical="center" wrapText="1"/>
    </xf>
    <xf numFmtId="0" fontId="31" fillId="12" borderId="47" xfId="0" applyFont="1" applyFill="1" applyBorder="1" applyAlignment="1">
      <alignment vertical="center" wrapText="1"/>
    </xf>
    <xf numFmtId="172" fontId="14" fillId="12" borderId="46" xfId="29" applyNumberFormat="1" applyFont="1" applyFill="1" applyBorder="1" applyAlignment="1">
      <alignment vertical="center"/>
    </xf>
    <xf numFmtId="0" fontId="14" fillId="12" borderId="47" xfId="0" applyFont="1" applyFill="1" applyBorder="1" applyAlignment="1">
      <alignment horizontal="center" vertical="center"/>
    </xf>
    <xf numFmtId="172" fontId="14" fillId="0" borderId="24" xfId="18" applyNumberFormat="1" applyFont="1" applyBorder="1" applyAlignment="1">
      <alignment vertical="center"/>
    </xf>
    <xf numFmtId="0" fontId="14" fillId="0" borderId="31" xfId="0" applyFont="1" applyBorder="1" applyAlignment="1">
      <alignment vertical="center"/>
    </xf>
    <xf numFmtId="9" fontId="14" fillId="0" borderId="31" xfId="0" applyNumberFormat="1" applyFont="1" applyBorder="1" applyAlignment="1">
      <alignment vertical="center"/>
    </xf>
    <xf numFmtId="0" fontId="14" fillId="0" borderId="118" xfId="0" applyFont="1" applyBorder="1" applyAlignment="1">
      <alignment horizontal="left" vertical="center"/>
    </xf>
    <xf numFmtId="177" fontId="14" fillId="0" borderId="118" xfId="0" applyNumberFormat="1" applyFont="1" applyBorder="1" applyAlignment="1">
      <alignment vertical="center"/>
    </xf>
    <xf numFmtId="0" fontId="31" fillId="12" borderId="47" xfId="0" applyFont="1" applyFill="1" applyBorder="1" applyAlignment="1">
      <alignment vertical="center"/>
    </xf>
    <xf numFmtId="0" fontId="31" fillId="12" borderId="124" xfId="0" applyFont="1" applyFill="1" applyBorder="1" applyAlignment="1">
      <alignment vertical="center"/>
    </xf>
    <xf numFmtId="0" fontId="31" fillId="0" borderId="24" xfId="0" applyFont="1" applyBorder="1" applyAlignment="1">
      <alignment horizontal="center" vertical="center" wrapText="1"/>
    </xf>
    <xf numFmtId="0" fontId="14" fillId="0" borderId="21" xfId="0" applyFont="1" applyBorder="1" applyAlignment="1">
      <alignment vertical="center" wrapText="1"/>
    </xf>
    <xf numFmtId="0" fontId="0" fillId="8" borderId="0" xfId="0" applyFill="1"/>
    <xf numFmtId="10" fontId="14" fillId="0" borderId="15" xfId="117" applyNumberFormat="1" applyFont="1" applyBorder="1"/>
    <xf numFmtId="0" fontId="58" fillId="0" borderId="0" xfId="67" applyFont="1"/>
    <xf numFmtId="0" fontId="58" fillId="0" borderId="0" xfId="67" applyFont="1" applyAlignment="1">
      <alignment vertical="center"/>
    </xf>
    <xf numFmtId="0" fontId="1" fillId="0" borderId="0" xfId="67" applyFont="1" applyAlignment="1">
      <alignment vertical="center"/>
    </xf>
    <xf numFmtId="0" fontId="58" fillId="0" borderId="5" xfId="67" applyFont="1" applyBorder="1" applyAlignment="1">
      <alignment horizontal="center" vertical="center"/>
    </xf>
    <xf numFmtId="0" fontId="58" fillId="0" borderId="6" xfId="67" applyFont="1" applyBorder="1" applyAlignment="1">
      <alignment horizontal="center" vertical="center"/>
    </xf>
    <xf numFmtId="0" fontId="58" fillId="0" borderId="8" xfId="67" applyFont="1" applyBorder="1" applyAlignment="1">
      <alignment horizontal="center" vertical="center"/>
    </xf>
    <xf numFmtId="0" fontId="58" fillId="0" borderId="9" xfId="67" applyFont="1" applyBorder="1" applyAlignment="1">
      <alignment vertical="center"/>
    </xf>
    <xf numFmtId="0" fontId="58" fillId="0" borderId="12" xfId="67" applyFont="1" applyBorder="1" applyAlignment="1">
      <alignment vertical="center"/>
    </xf>
    <xf numFmtId="0" fontId="58" fillId="0" borderId="13" xfId="67" applyFont="1" applyBorder="1" applyAlignment="1">
      <alignment vertical="center"/>
    </xf>
    <xf numFmtId="0" fontId="59" fillId="0" borderId="33" xfId="67" applyFont="1" applyBorder="1" applyAlignment="1">
      <alignment horizontal="center" vertical="center"/>
    </xf>
    <xf numFmtId="0" fontId="59" fillId="0" borderId="19" xfId="67" applyFont="1" applyBorder="1" applyAlignment="1">
      <alignment vertical="center"/>
    </xf>
    <xf numFmtId="180" fontId="58" fillId="0" borderId="19" xfId="67" applyNumberFormat="1" applyFont="1" applyBorder="1" applyAlignment="1">
      <alignment vertical="center"/>
    </xf>
    <xf numFmtId="0" fontId="58" fillId="0" borderId="19" xfId="67" applyFont="1" applyBorder="1" applyAlignment="1">
      <alignment vertical="center"/>
    </xf>
    <xf numFmtId="0" fontId="58" fillId="0" borderId="20" xfId="67" applyFont="1" applyBorder="1" applyAlignment="1">
      <alignment vertical="center"/>
    </xf>
    <xf numFmtId="0" fontId="58" fillId="0" borderId="33" xfId="67" applyFont="1" applyBorder="1" applyAlignment="1">
      <alignment horizontal="center" vertical="center"/>
    </xf>
    <xf numFmtId="180" fontId="58" fillId="0" borderId="19" xfId="9" applyNumberFormat="1" applyFont="1" applyBorder="1" applyAlignment="1">
      <alignment vertical="center"/>
    </xf>
    <xf numFmtId="0" fontId="58" fillId="0" borderId="19" xfId="67" applyFont="1" applyBorder="1" applyAlignment="1">
      <alignment horizontal="center" vertical="center"/>
    </xf>
    <xf numFmtId="0" fontId="60" fillId="0" borderId="125" xfId="67" applyFont="1" applyBorder="1" applyAlignment="1">
      <alignment vertical="center"/>
    </xf>
    <xf numFmtId="0" fontId="60" fillId="0" borderId="125" xfId="0" applyFont="1" applyBorder="1" applyAlignment="1">
      <alignment vertical="center" wrapText="1"/>
    </xf>
    <xf numFmtId="0" fontId="61" fillId="0" borderId="15" xfId="0" applyFont="1" applyBorder="1" applyAlignment="1">
      <alignment vertical="center"/>
    </xf>
    <xf numFmtId="180" fontId="61" fillId="0" borderId="19" xfId="0" applyNumberFormat="1" applyFont="1" applyBorder="1" applyAlignment="1">
      <alignment vertical="center"/>
    </xf>
    <xf numFmtId="0" fontId="61" fillId="0" borderId="15" xfId="67" applyFont="1" applyBorder="1" applyAlignment="1">
      <alignment vertical="center"/>
    </xf>
    <xf numFmtId="0" fontId="61" fillId="0" borderId="19" xfId="0" applyFont="1" applyBorder="1" applyAlignment="1">
      <alignment vertical="center"/>
    </xf>
    <xf numFmtId="0" fontId="62" fillId="0" borderId="125" xfId="14" applyNumberFormat="1" applyFont="1" applyBorder="1" applyAlignment="1">
      <alignment vertical="center" wrapText="1"/>
    </xf>
    <xf numFmtId="0" fontId="1" fillId="0" borderId="0" xfId="67" applyFont="1" applyAlignment="1">
      <alignment horizontal="left"/>
    </xf>
    <xf numFmtId="164" fontId="1" fillId="0" borderId="0" xfId="9" applyFont="1" applyAlignment="1">
      <alignment vertical="center"/>
    </xf>
    <xf numFmtId="164" fontId="1" fillId="0" borderId="0" xfId="67" applyNumberFormat="1" applyFont="1"/>
    <xf numFmtId="168" fontId="58" fillId="0" borderId="19" xfId="9" applyNumberFormat="1" applyFont="1" applyBorder="1" applyAlignment="1">
      <alignment vertical="center"/>
    </xf>
    <xf numFmtId="168" fontId="0" fillId="0" borderId="19" xfId="9" applyNumberFormat="1" applyFont="1" applyBorder="1" applyAlignment="1">
      <alignment vertical="center"/>
    </xf>
    <xf numFmtId="168" fontId="0" fillId="0" borderId="19" xfId="9" applyNumberFormat="1" applyFont="1" applyBorder="1" applyAlignment="1">
      <alignment horizontal="center" vertical="center"/>
    </xf>
    <xf numFmtId="0" fontId="1" fillId="0" borderId="0" xfId="67" applyFont="1" applyAlignment="1">
      <alignment horizontal="right"/>
    </xf>
    <xf numFmtId="180" fontId="61" fillId="0" borderId="19" xfId="17" applyNumberFormat="1" applyFont="1" applyBorder="1" applyAlignment="1">
      <alignment vertical="center"/>
    </xf>
    <xf numFmtId="180" fontId="58" fillId="0" borderId="19" xfId="0" applyNumberFormat="1" applyFont="1" applyBorder="1" applyAlignment="1">
      <alignment vertical="center"/>
    </xf>
    <xf numFmtId="164" fontId="0" fillId="0" borderId="0" xfId="9" applyFont="1" applyAlignment="1">
      <alignment vertical="center"/>
    </xf>
    <xf numFmtId="180" fontId="58" fillId="0" borderId="0" xfId="67" applyNumberFormat="1" applyFont="1"/>
    <xf numFmtId="180" fontId="58" fillId="0" borderId="15" xfId="9" applyNumberFormat="1" applyFont="1" applyBorder="1" applyAlignment="1">
      <alignment vertical="center"/>
    </xf>
    <xf numFmtId="180" fontId="61" fillId="0" borderId="15" xfId="67" applyNumberFormat="1" applyFont="1" applyBorder="1" applyAlignment="1">
      <alignment vertical="center"/>
    </xf>
    <xf numFmtId="0" fontId="61" fillId="0" borderId="19" xfId="67" applyFont="1" applyBorder="1" applyAlignment="1">
      <alignment vertical="center"/>
    </xf>
    <xf numFmtId="180" fontId="61" fillId="0" borderId="15" xfId="0" applyNumberFormat="1" applyFont="1" applyBorder="1" applyAlignment="1">
      <alignment vertical="center"/>
    </xf>
    <xf numFmtId="164" fontId="1" fillId="0" borderId="0" xfId="9" applyFont="1"/>
    <xf numFmtId="0" fontId="58" fillId="0" borderId="33" xfId="67" applyFont="1" applyBorder="1" applyAlignment="1">
      <alignment horizontal="right" vertical="center"/>
    </xf>
    <xf numFmtId="0" fontId="61" fillId="0" borderId="15" xfId="0" applyFont="1" applyBorder="1" applyAlignment="1">
      <alignment vertical="center" wrapText="1"/>
    </xf>
    <xf numFmtId="0" fontId="63" fillId="0" borderId="0" xfId="14" applyNumberFormat="1" applyFont="1" applyAlignment="1">
      <alignment vertical="center"/>
    </xf>
    <xf numFmtId="0" fontId="64" fillId="0" borderId="125" xfId="67" applyFont="1" applyBorder="1" applyAlignment="1">
      <alignment vertical="center"/>
    </xf>
    <xf numFmtId="180" fontId="61" fillId="0" borderId="61" xfId="0" applyNumberFormat="1" applyFont="1" applyBorder="1" applyAlignment="1">
      <alignment vertical="center"/>
    </xf>
    <xf numFmtId="0" fontId="5" fillId="0" borderId="0" xfId="65" applyFont="1" applyAlignment="1">
      <alignment vertical="center"/>
    </xf>
    <xf numFmtId="0" fontId="61" fillId="0" borderId="19" xfId="0" applyFont="1" applyBorder="1" applyAlignment="1">
      <alignment vertical="center" wrapText="1"/>
    </xf>
    <xf numFmtId="0" fontId="61" fillId="0" borderId="15" xfId="113" applyNumberFormat="1" applyFont="1" applyBorder="1" applyAlignment="1">
      <alignment horizontal="left" vertical="center"/>
    </xf>
    <xf numFmtId="0" fontId="61" fillId="0" borderId="15" xfId="0" applyFont="1" applyBorder="1" applyAlignment="1">
      <alignment horizontal="left" vertical="center" wrapText="1"/>
    </xf>
    <xf numFmtId="0" fontId="60" fillId="0" borderId="125" xfId="0" applyFont="1" applyBorder="1"/>
    <xf numFmtId="180" fontId="61" fillId="0" borderId="19" xfId="67" applyNumberFormat="1" applyFont="1" applyBorder="1" applyAlignment="1">
      <alignment vertical="center"/>
    </xf>
    <xf numFmtId="0" fontId="58" fillId="0" borderId="126" xfId="67" applyFont="1" applyBorder="1" applyAlignment="1">
      <alignment vertical="center"/>
    </xf>
    <xf numFmtId="0" fontId="63" fillId="0" borderId="125" xfId="14" applyNumberFormat="1" applyFont="1" applyBorder="1" applyAlignment="1">
      <alignment vertical="center"/>
    </xf>
    <xf numFmtId="0" fontId="63" fillId="0" borderId="125" xfId="65" applyFont="1" applyBorder="1"/>
    <xf numFmtId="0" fontId="63" fillId="0" borderId="127" xfId="65" applyFont="1" applyBorder="1"/>
    <xf numFmtId="0" fontId="58" fillId="0" borderId="39" xfId="67" applyFont="1" applyBorder="1" applyAlignment="1">
      <alignment horizontal="center" vertical="center"/>
    </xf>
    <xf numFmtId="0" fontId="58" fillId="0" borderId="43" xfId="67" applyFont="1" applyBorder="1" applyAlignment="1">
      <alignment vertical="center"/>
    </xf>
    <xf numFmtId="180" fontId="58" fillId="0" borderId="43" xfId="9" applyNumberFormat="1" applyFont="1" applyBorder="1" applyAlignment="1">
      <alignment vertical="center"/>
    </xf>
    <xf numFmtId="0" fontId="58" fillId="0" borderId="43" xfId="67" applyFont="1" applyBorder="1" applyAlignment="1">
      <alignment horizontal="center" vertical="center"/>
    </xf>
    <xf numFmtId="0" fontId="58" fillId="0" borderId="44" xfId="67" applyFont="1" applyBorder="1" applyAlignment="1">
      <alignment vertical="center"/>
    </xf>
    <xf numFmtId="0" fontId="58" fillId="0" borderId="0" xfId="67" applyFont="1" applyAlignment="1">
      <alignment horizontal="center" vertical="center"/>
    </xf>
    <xf numFmtId="180" fontId="58" fillId="0" borderId="0" xfId="9" applyNumberFormat="1" applyFont="1" applyAlignment="1">
      <alignment vertical="center"/>
    </xf>
    <xf numFmtId="0" fontId="65" fillId="0" borderId="0" xfId="14" applyNumberFormat="1" applyFont="1" applyAlignment="1">
      <alignment vertical="center"/>
    </xf>
    <xf numFmtId="168" fontId="58" fillId="0" borderId="0" xfId="9" applyNumberFormat="1" applyFont="1" applyAlignment="1">
      <alignment vertical="center"/>
    </xf>
    <xf numFmtId="0" fontId="10" fillId="0" borderId="7" xfId="0" applyFont="1" applyBorder="1" applyAlignment="1">
      <alignment horizontal="center" vertical="center" wrapText="1"/>
    </xf>
    <xf numFmtId="0" fontId="0" fillId="16" borderId="0" xfId="0" applyFill="1"/>
    <xf numFmtId="0" fontId="32" fillId="16" borderId="0" xfId="91" applyFont="1" applyFill="1"/>
    <xf numFmtId="0" fontId="11" fillId="0" borderId="57" xfId="87" applyFont="1" applyBorder="1" applyAlignment="1">
      <alignment horizontal="center" vertical="center"/>
    </xf>
    <xf numFmtId="0" fontId="11" fillId="0" borderId="15" xfId="87" applyFont="1" applyBorder="1" applyAlignment="1">
      <alignment vertical="center"/>
    </xf>
    <xf numFmtId="164" fontId="14" fillId="0" borderId="24" xfId="44" applyNumberFormat="1" applyFont="1" applyBorder="1" applyAlignment="1">
      <alignment vertical="center"/>
    </xf>
    <xf numFmtId="164" fontId="14" fillId="0" borderId="19" xfId="44" applyNumberFormat="1" applyFont="1" applyBorder="1" applyAlignment="1">
      <alignment vertical="center"/>
    </xf>
    <xf numFmtId="0" fontId="14" fillId="0" borderId="19" xfId="109" applyNumberFormat="1" applyFont="1" applyBorder="1" applyAlignment="1">
      <alignment horizontal="center" vertical="center"/>
    </xf>
    <xf numFmtId="0" fontId="30" fillId="0" borderId="0" xfId="0" applyFont="1"/>
    <xf numFmtId="10" fontId="0" fillId="0" borderId="0" xfId="0" applyNumberFormat="1" applyAlignment="1">
      <alignment horizontal="right"/>
    </xf>
    <xf numFmtId="0" fontId="0" fillId="17" borderId="0" xfId="0" applyFill="1"/>
    <xf numFmtId="164" fontId="31" fillId="0" borderId="19" xfId="44" applyNumberFormat="1" applyFont="1" applyBorder="1" applyAlignment="1">
      <alignment vertical="center"/>
    </xf>
    <xf numFmtId="0" fontId="14" fillId="0" borderId="19" xfId="109" applyNumberFormat="1" applyFont="1" applyBorder="1" applyAlignment="1">
      <alignment horizontal="right" vertical="center"/>
    </xf>
    <xf numFmtId="181" fontId="0" fillId="0" borderId="0" xfId="119" applyNumberFormat="1" applyFont="1" applyAlignment="1">
      <alignment horizontal="center" vertical="center"/>
    </xf>
    <xf numFmtId="181" fontId="10" fillId="0" borderId="0" xfId="119" applyNumberFormat="1" applyFont="1" applyAlignment="1">
      <alignment horizontal="center" vertical="center"/>
    </xf>
    <xf numFmtId="181" fontId="14" fillId="0" borderId="6" xfId="119" applyNumberFormat="1" applyFont="1" applyBorder="1" applyAlignment="1">
      <alignment horizontal="center" vertical="center" wrapText="1"/>
    </xf>
    <xf numFmtId="181" fontId="14" fillId="0" borderId="0" xfId="119" applyNumberFormat="1" applyFont="1" applyAlignment="1">
      <alignment horizontal="center" vertical="center"/>
    </xf>
    <xf numFmtId="181" fontId="14" fillId="0" borderId="12" xfId="119" applyNumberFormat="1" applyFont="1" applyBorder="1" applyAlignment="1">
      <alignment horizontal="center" vertical="center"/>
    </xf>
    <xf numFmtId="181" fontId="10" fillId="0" borderId="19" xfId="119" applyNumberFormat="1" applyFont="1" applyBorder="1" applyAlignment="1">
      <alignment horizontal="center" vertical="center"/>
    </xf>
    <xf numFmtId="181" fontId="10" fillId="0" borderId="24" xfId="119" applyNumberFormat="1" applyFont="1" applyBorder="1" applyAlignment="1">
      <alignment horizontal="center" vertical="center"/>
    </xf>
    <xf numFmtId="181" fontId="10" fillId="0" borderId="27" xfId="119" applyNumberFormat="1" applyFont="1" applyBorder="1" applyAlignment="1">
      <alignment horizontal="center" vertical="center"/>
    </xf>
    <xf numFmtId="181" fontId="10" fillId="0" borderId="31" xfId="119" applyNumberFormat="1" applyFont="1" applyBorder="1" applyAlignment="1">
      <alignment horizontal="center" vertical="center"/>
    </xf>
    <xf numFmtId="181" fontId="10" fillId="0" borderId="43" xfId="119" applyNumberFormat="1" applyFont="1" applyBorder="1" applyAlignment="1">
      <alignment horizontal="center" vertical="center"/>
    </xf>
    <xf numFmtId="181" fontId="67" fillId="0" borderId="37" xfId="119" applyNumberFormat="1" applyFont="1" applyBorder="1" applyAlignment="1">
      <alignment horizontal="center" vertical="center"/>
    </xf>
    <xf numFmtId="0" fontId="36" fillId="0" borderId="0" xfId="109" applyNumberFormat="1" applyFont="1" applyAlignment="1">
      <alignment vertical="center"/>
    </xf>
    <xf numFmtId="0" fontId="14" fillId="0" borderId="0" xfId="109" applyNumberFormat="1" applyFont="1" applyAlignment="1">
      <alignment vertical="center"/>
    </xf>
    <xf numFmtId="0" fontId="2" fillId="0" borderId="0" xfId="109" applyNumberFormat="1" applyAlignment="1">
      <alignment vertical="center"/>
    </xf>
    <xf numFmtId="0" fontId="2" fillId="0" borderId="0" xfId="109" applyNumberFormat="1"/>
    <xf numFmtId="0" fontId="14" fillId="0" borderId="87" xfId="109" applyNumberFormat="1" applyFont="1" applyBorder="1" applyAlignment="1">
      <alignment horizontal="center" vertical="center"/>
    </xf>
    <xf numFmtId="0" fontId="31" fillId="18" borderId="0" xfId="109" applyNumberFormat="1" applyFont="1" applyFill="1" applyAlignment="1">
      <alignment vertical="center"/>
    </xf>
    <xf numFmtId="0" fontId="14" fillId="0" borderId="9" xfId="109" applyNumberFormat="1" applyFont="1" applyBorder="1" applyAlignment="1">
      <alignment vertical="center"/>
    </xf>
    <xf numFmtId="0" fontId="14" fillId="0" borderId="12" xfId="109" applyNumberFormat="1" applyFont="1" applyBorder="1" applyAlignment="1">
      <alignment vertical="center"/>
    </xf>
    <xf numFmtId="0" fontId="31" fillId="18" borderId="13" xfId="109" applyNumberFormat="1" applyFont="1" applyFill="1" applyBorder="1" applyAlignment="1">
      <alignment vertical="center"/>
    </xf>
    <xf numFmtId="0" fontId="31" fillId="0" borderId="33" xfId="109" applyNumberFormat="1" applyFont="1" applyBorder="1" applyAlignment="1">
      <alignment horizontal="center" vertical="center"/>
    </xf>
    <xf numFmtId="0" fontId="31" fillId="0" borderId="19" xfId="109" applyNumberFormat="1" applyFont="1" applyBorder="1" applyAlignment="1">
      <alignment vertical="center"/>
    </xf>
    <xf numFmtId="0" fontId="31" fillId="18" borderId="20" xfId="109" applyNumberFormat="1" applyFont="1" applyFill="1" applyBorder="1" applyAlignment="1">
      <alignment horizontal="center" vertical="center"/>
    </xf>
    <xf numFmtId="164" fontId="31" fillId="18" borderId="20" xfId="109" applyNumberFormat="1" applyFont="1" applyFill="1" applyBorder="1" applyAlignment="1">
      <alignment vertical="center"/>
    </xf>
    <xf numFmtId="0" fontId="14" fillId="0" borderId="19" xfId="109" applyNumberFormat="1" applyFont="1" applyBorder="1" applyAlignment="1">
      <alignment vertical="center"/>
    </xf>
    <xf numFmtId="0" fontId="14" fillId="0" borderId="23" xfId="109" applyNumberFormat="1" applyFont="1" applyBorder="1" applyAlignment="1">
      <alignment horizontal="center" vertical="center"/>
    </xf>
    <xf numFmtId="0" fontId="14" fillId="0" borderId="58" xfId="0" applyFont="1" applyBorder="1" applyAlignment="1">
      <alignment horizontal="right" vertical="center"/>
    </xf>
    <xf numFmtId="0" fontId="14" fillId="0" borderId="33" xfId="109" applyNumberFormat="1" applyFont="1" applyBorder="1" applyAlignment="1">
      <alignment horizontal="right" vertical="center"/>
    </xf>
    <xf numFmtId="0" fontId="14" fillId="0" borderId="57" xfId="109" applyNumberFormat="1" applyFont="1" applyBorder="1" applyAlignment="1">
      <alignment horizontal="right" vertical="center"/>
    </xf>
    <xf numFmtId="0" fontId="14" fillId="0" borderId="15" xfId="90" applyFont="1" applyBorder="1" applyAlignment="1">
      <alignment vertical="center"/>
    </xf>
    <xf numFmtId="0" fontId="14" fillId="0" borderId="15" xfId="90" applyFont="1" applyBorder="1" applyAlignment="1">
      <alignment horizontal="right" vertical="center"/>
    </xf>
    <xf numFmtId="164" fontId="14" fillId="0" borderId="21" xfId="109" applyNumberFormat="1" applyFont="1" applyBorder="1" applyAlignment="1">
      <alignment horizontal="center" vertical="center"/>
    </xf>
    <xf numFmtId="0" fontId="14" fillId="0" borderId="15" xfId="109" applyNumberFormat="1" applyFont="1" applyBorder="1" applyAlignment="1">
      <alignment horizontal="center" vertical="center"/>
    </xf>
    <xf numFmtId="0" fontId="38" fillId="0" borderId="0" xfId="109" applyNumberFormat="1" applyFont="1"/>
    <xf numFmtId="0" fontId="17" fillId="0" borderId="33" xfId="109" applyNumberFormat="1" applyFont="1" applyBorder="1" applyAlignment="1">
      <alignment horizontal="right" vertical="center"/>
    </xf>
    <xf numFmtId="0" fontId="17" fillId="0" borderId="19" xfId="109" applyNumberFormat="1" applyFont="1" applyBorder="1" applyAlignment="1">
      <alignment horizontal="center" vertical="center"/>
    </xf>
    <xf numFmtId="164" fontId="16" fillId="18" borderId="20" xfId="109" applyNumberFormat="1" applyFont="1" applyFill="1" applyBorder="1" applyAlignment="1">
      <alignment vertical="center"/>
    </xf>
    <xf numFmtId="0" fontId="17" fillId="0" borderId="0" xfId="109" applyNumberFormat="1" applyFont="1" applyAlignment="1">
      <alignment vertical="center"/>
    </xf>
    <xf numFmtId="164" fontId="17" fillId="0" borderId="0" xfId="33" applyFont="1" applyAlignment="1">
      <alignment vertical="center"/>
    </xf>
    <xf numFmtId="0" fontId="37" fillId="0" borderId="0" xfId="109" applyNumberFormat="1" applyFont="1" applyAlignment="1">
      <alignment vertical="center"/>
    </xf>
    <xf numFmtId="0" fontId="37" fillId="0" borderId="0" xfId="109" applyNumberFormat="1" applyFont="1"/>
    <xf numFmtId="0" fontId="17" fillId="0" borderId="19" xfId="109" applyNumberFormat="1" applyFont="1" applyBorder="1" applyAlignment="1">
      <alignment horizontal="right" vertical="center"/>
    </xf>
    <xf numFmtId="0" fontId="17" fillId="0" borderId="19" xfId="109" applyNumberFormat="1" applyFont="1" applyBorder="1" applyAlignment="1">
      <alignment vertical="center"/>
    </xf>
    <xf numFmtId="0" fontId="14" fillId="5" borderId="33" xfId="0" applyFont="1" applyFill="1" applyBorder="1" applyAlignment="1">
      <alignment horizontal="center" vertical="center"/>
    </xf>
    <xf numFmtId="164" fontId="14" fillId="5" borderId="19" xfId="56" applyNumberFormat="1" applyFont="1" applyFill="1" applyBorder="1" applyAlignment="1">
      <alignment vertical="center"/>
    </xf>
    <xf numFmtId="0" fontId="14" fillId="0" borderId="0" xfId="0" applyFont="1"/>
    <xf numFmtId="0" fontId="14" fillId="5" borderId="57" xfId="105" applyNumberFormat="1" applyFont="1" applyFill="1" applyBorder="1" applyAlignment="1">
      <alignment horizontal="right" vertical="center"/>
    </xf>
    <xf numFmtId="0" fontId="14" fillId="5" borderId="15" xfId="105" applyNumberFormat="1" applyFont="1" applyFill="1" applyBorder="1" applyAlignment="1">
      <alignment vertical="center"/>
    </xf>
    <xf numFmtId="0" fontId="14" fillId="5" borderId="33" xfId="0" applyFont="1" applyFill="1" applyBorder="1" applyAlignment="1">
      <alignment horizontal="right" vertical="center"/>
    </xf>
    <xf numFmtId="0" fontId="14" fillId="0" borderId="19" xfId="105" applyNumberFormat="1" applyFont="1" applyBorder="1" applyAlignment="1">
      <alignment vertical="center"/>
    </xf>
    <xf numFmtId="0" fontId="14" fillId="0" borderId="21" xfId="107" applyNumberFormat="1" applyFont="1" applyBorder="1" applyAlignment="1">
      <alignment vertical="center"/>
    </xf>
    <xf numFmtId="0" fontId="14" fillId="0" borderId="33" xfId="105" applyNumberFormat="1" applyFont="1" applyBorder="1" applyAlignment="1">
      <alignment horizontal="center" vertical="center"/>
    </xf>
    <xf numFmtId="0" fontId="14" fillId="0" borderId="33" xfId="105" applyNumberFormat="1" applyFont="1" applyBorder="1" applyAlignment="1">
      <alignment horizontal="right" vertical="center"/>
    </xf>
    <xf numFmtId="0" fontId="31" fillId="0" borderId="19" xfId="109" applyNumberFormat="1" applyFont="1" applyBorder="1" applyAlignment="1">
      <alignment horizontal="center" vertical="center"/>
    </xf>
    <xf numFmtId="164" fontId="31" fillId="0" borderId="19" xfId="33" applyFont="1" applyBorder="1" applyAlignment="1">
      <alignment vertical="center"/>
    </xf>
    <xf numFmtId="164" fontId="14" fillId="0" borderId="0" xfId="44" applyNumberFormat="1" applyFont="1" applyAlignment="1">
      <alignment vertical="center"/>
    </xf>
    <xf numFmtId="0" fontId="38" fillId="0" borderId="0" xfId="109" applyNumberFormat="1" applyFont="1" applyAlignment="1">
      <alignment vertical="center"/>
    </xf>
    <xf numFmtId="164" fontId="14" fillId="0" borderId="61" xfId="44" applyNumberFormat="1" applyFont="1" applyBorder="1" applyAlignment="1">
      <alignment vertical="center"/>
    </xf>
    <xf numFmtId="0" fontId="14" fillId="0" borderId="33" xfId="108" applyNumberFormat="1" applyFont="1" applyBorder="1" applyAlignment="1">
      <alignment horizontal="center" vertical="center"/>
    </xf>
    <xf numFmtId="0" fontId="14" fillId="0" borderId="21" xfId="108" applyNumberFormat="1" applyFont="1" applyBorder="1" applyAlignment="1">
      <alignment vertical="center"/>
    </xf>
    <xf numFmtId="164" fontId="31" fillId="0" borderId="24" xfId="42" applyNumberFormat="1" applyFont="1" applyBorder="1" applyAlignment="1">
      <alignment vertical="center"/>
    </xf>
    <xf numFmtId="0" fontId="20" fillId="0" borderId="0" xfId="108" applyNumberFormat="1" applyFont="1" applyAlignment="1">
      <alignment vertical="center"/>
    </xf>
    <xf numFmtId="0" fontId="18" fillId="0" borderId="0" xfId="108" applyNumberFormat="1" applyFont="1" applyAlignment="1">
      <alignment vertical="center"/>
    </xf>
    <xf numFmtId="0" fontId="18" fillId="0" borderId="0" xfId="108" applyNumberFormat="1" applyFont="1"/>
    <xf numFmtId="0" fontId="14" fillId="0" borderId="33" xfId="108" applyNumberFormat="1" applyFont="1" applyBorder="1" applyAlignment="1">
      <alignment horizontal="right" vertical="center"/>
    </xf>
    <xf numFmtId="164" fontId="14" fillId="0" borderId="24" xfId="42" applyNumberFormat="1" applyFont="1" applyBorder="1" applyAlignment="1">
      <alignment vertical="center"/>
    </xf>
    <xf numFmtId="164" fontId="31" fillId="0" borderId="61" xfId="42" applyNumberFormat="1" applyFont="1" applyBorder="1" applyAlignment="1">
      <alignment vertical="center"/>
    </xf>
    <xf numFmtId="0" fontId="14" fillId="0" borderId="15" xfId="108" applyNumberFormat="1" applyFont="1" applyBorder="1" applyAlignment="1">
      <alignment horizontal="right" vertical="center"/>
    </xf>
    <xf numFmtId="0" fontId="31" fillId="0" borderId="24" xfId="109" applyNumberFormat="1" applyFont="1" applyBorder="1" applyAlignment="1">
      <alignment vertical="center"/>
    </xf>
    <xf numFmtId="0" fontId="14" fillId="0" borderId="19" xfId="109" applyNumberFormat="1" applyFont="1" applyBorder="1" applyAlignment="1">
      <alignment horizontal="left" vertical="center"/>
    </xf>
    <xf numFmtId="0" fontId="14" fillId="0" borderId="15" xfId="116" applyNumberFormat="1" applyFont="1" applyBorder="1" applyAlignment="1">
      <alignment vertical="center"/>
    </xf>
    <xf numFmtId="0" fontId="17" fillId="0" borderId="33" xfId="109" applyNumberFormat="1" applyFont="1" applyBorder="1" applyAlignment="1">
      <alignment horizontal="center" vertical="center"/>
    </xf>
    <xf numFmtId="0" fontId="10" fillId="0" borderId="33" xfId="109" applyNumberFormat="1" applyFont="1" applyBorder="1" applyAlignment="1">
      <alignment horizontal="center" vertical="center"/>
    </xf>
    <xf numFmtId="0" fontId="10" fillId="0" borderId="19" xfId="109" applyNumberFormat="1" applyFont="1" applyBorder="1" applyAlignment="1">
      <alignment horizontal="left" vertical="center"/>
    </xf>
    <xf numFmtId="164" fontId="10" fillId="0" borderId="19" xfId="33" applyFont="1" applyBorder="1" applyAlignment="1">
      <alignment vertical="center"/>
    </xf>
    <xf numFmtId="0" fontId="10" fillId="0" borderId="19" xfId="109" applyNumberFormat="1" applyFont="1" applyBorder="1" applyAlignment="1">
      <alignment horizontal="center" vertical="center" wrapText="1"/>
    </xf>
    <xf numFmtId="164" fontId="11" fillId="18" borderId="20" xfId="109" applyNumberFormat="1" applyFont="1" applyFill="1" applyBorder="1" applyAlignment="1">
      <alignment vertical="center"/>
    </xf>
    <xf numFmtId="0" fontId="10" fillId="0" borderId="0" xfId="109" applyNumberFormat="1" applyFont="1" applyAlignment="1">
      <alignment vertical="center"/>
    </xf>
    <xf numFmtId="164" fontId="10" fillId="0" borderId="0" xfId="33" applyFont="1" applyAlignment="1">
      <alignment vertical="center"/>
    </xf>
    <xf numFmtId="0" fontId="44" fillId="0" borderId="0" xfId="109" applyNumberFormat="1" applyFont="1" applyAlignment="1">
      <alignment vertical="center"/>
    </xf>
    <xf numFmtId="0" fontId="44" fillId="0" borderId="0" xfId="109" applyNumberFormat="1" applyFont="1"/>
    <xf numFmtId="0" fontId="14" fillId="0" borderId="19" xfId="109" applyNumberFormat="1" applyFont="1" applyBorder="1" applyAlignment="1">
      <alignment horizontal="left" vertical="center" wrapText="1"/>
    </xf>
    <xf numFmtId="0" fontId="14" fillId="0" borderId="15" xfId="109" applyNumberFormat="1" applyFont="1" applyBorder="1" applyAlignment="1">
      <alignment vertical="center" wrapText="1"/>
    </xf>
    <xf numFmtId="0" fontId="14" fillId="0" borderId="17" xfId="109" applyNumberFormat="1" applyFont="1" applyBorder="1" applyAlignment="1">
      <alignment vertical="center" wrapText="1"/>
    </xf>
    <xf numFmtId="0" fontId="14" fillId="0" borderId="17" xfId="109" applyNumberFormat="1" applyFont="1" applyBorder="1" applyAlignment="1">
      <alignment vertical="center"/>
    </xf>
    <xf numFmtId="164" fontId="14" fillId="0" borderId="17" xfId="109" applyNumberFormat="1" applyFont="1" applyBorder="1" applyAlignment="1">
      <alignment vertical="center"/>
    </xf>
    <xf numFmtId="0" fontId="14" fillId="0" borderId="62" xfId="109" applyNumberFormat="1" applyFont="1" applyBorder="1" applyAlignment="1">
      <alignment horizontal="center" vertical="center"/>
    </xf>
    <xf numFmtId="0" fontId="31" fillId="0" borderId="21" xfId="109" applyNumberFormat="1" applyFont="1" applyBorder="1" applyAlignment="1">
      <alignment vertical="center"/>
    </xf>
    <xf numFmtId="0" fontId="14" fillId="0" borderId="27" xfId="109" applyNumberFormat="1" applyFont="1" applyBorder="1" applyAlignment="1">
      <alignment horizontal="center" vertical="center"/>
    </xf>
    <xf numFmtId="164" fontId="31" fillId="18" borderId="28" xfId="109" applyNumberFormat="1" applyFont="1" applyFill="1" applyBorder="1" applyAlignment="1">
      <alignment vertical="center"/>
    </xf>
    <xf numFmtId="0" fontId="14" fillId="0" borderId="15" xfId="117" applyNumberFormat="1" applyFont="1" applyBorder="1" applyAlignment="1">
      <alignment vertical="center"/>
    </xf>
    <xf numFmtId="0" fontId="14" fillId="0" borderId="39" xfId="109" applyNumberFormat="1" applyFont="1" applyBorder="1" applyAlignment="1">
      <alignment horizontal="center" vertical="center"/>
    </xf>
    <xf numFmtId="0" fontId="14" fillId="0" borderId="43" xfId="109" applyNumberFormat="1" applyFont="1" applyBorder="1" applyAlignment="1">
      <alignment vertical="center"/>
    </xf>
    <xf numFmtId="0" fontId="14" fillId="0" borderId="43" xfId="109" applyNumberFormat="1" applyFont="1" applyBorder="1" applyAlignment="1">
      <alignment horizontal="center" vertical="center"/>
    </xf>
    <xf numFmtId="0" fontId="14" fillId="0" borderId="44" xfId="109" applyNumberFormat="1" applyFont="1" applyBorder="1" applyAlignment="1">
      <alignment horizontal="center" vertical="center"/>
    </xf>
    <xf numFmtId="0" fontId="14" fillId="0" borderId="0" xfId="109" applyNumberFormat="1" applyFont="1" applyAlignment="1">
      <alignment horizontal="center" vertical="center"/>
    </xf>
    <xf numFmtId="0" fontId="14" fillId="0" borderId="0" xfId="109" applyNumberFormat="1" applyFont="1"/>
    <xf numFmtId="169" fontId="31" fillId="16" borderId="0" xfId="55" applyNumberFormat="1" applyFont="1" applyFill="1" applyAlignment="1">
      <alignment vertical="center"/>
    </xf>
    <xf numFmtId="0" fontId="14" fillId="16" borderId="15" xfId="96" applyFont="1" applyFill="1" applyBorder="1" applyAlignment="1">
      <alignment vertical="center"/>
    </xf>
    <xf numFmtId="164" fontId="14" fillId="16" borderId="24" xfId="33" applyFont="1" applyFill="1" applyBorder="1" applyAlignment="1">
      <alignment vertical="center"/>
    </xf>
    <xf numFmtId="164" fontId="14" fillId="16" borderId="24" xfId="96" applyNumberFormat="1" applyFont="1" applyFill="1" applyBorder="1" applyAlignment="1">
      <alignment vertical="center"/>
    </xf>
    <xf numFmtId="0" fontId="14" fillId="16" borderId="54" xfId="96" applyFont="1" applyFill="1" applyBorder="1" applyAlignment="1">
      <alignment vertical="center"/>
    </xf>
    <xf numFmtId="0" fontId="14" fillId="16" borderId="15" xfId="108" applyNumberFormat="1" applyFont="1" applyFill="1" applyBorder="1" applyAlignment="1">
      <alignment vertical="center"/>
    </xf>
    <xf numFmtId="0" fontId="31" fillId="16" borderId="54" xfId="96" applyFont="1" applyFill="1" applyBorder="1" applyAlignment="1">
      <alignment vertical="center"/>
    </xf>
    <xf numFmtId="164" fontId="14" fillId="16" borderId="24" xfId="9" applyFont="1" applyFill="1" applyBorder="1" applyAlignment="1">
      <alignment vertical="center"/>
    </xf>
    <xf numFmtId="0" fontId="10" fillId="16" borderId="15" xfId="0" applyFont="1" applyFill="1" applyBorder="1" applyAlignment="1">
      <alignment vertical="center"/>
    </xf>
    <xf numFmtId="164" fontId="10" fillId="16" borderId="15" xfId="9" applyFont="1" applyFill="1" applyBorder="1" applyAlignment="1">
      <alignment vertical="center"/>
    </xf>
    <xf numFmtId="164" fontId="14" fillId="16" borderId="19" xfId="17" applyFont="1" applyFill="1" applyBorder="1" applyAlignment="1">
      <alignment vertical="center"/>
    </xf>
    <xf numFmtId="0" fontId="14" fillId="16" borderId="19" xfId="87" applyFont="1" applyFill="1" applyBorder="1" applyAlignment="1">
      <alignment horizontal="center" vertical="center"/>
    </xf>
    <xf numFmtId="164" fontId="31" fillId="16" borderId="20" xfId="87" applyNumberFormat="1" applyFont="1" applyFill="1" applyBorder="1" applyAlignment="1">
      <alignment vertical="center"/>
    </xf>
    <xf numFmtId="0" fontId="14" fillId="16" borderId="24" xfId="87" applyFont="1" applyFill="1" applyBorder="1" applyAlignment="1">
      <alignment horizontal="center" vertical="center"/>
    </xf>
    <xf numFmtId="164" fontId="68" fillId="16" borderId="24" xfId="17" applyFont="1" applyFill="1" applyBorder="1" applyAlignment="1">
      <alignment vertical="center"/>
    </xf>
    <xf numFmtId="0" fontId="14" fillId="16" borderId="33" xfId="109" applyNumberFormat="1" applyFont="1" applyFill="1" applyBorder="1" applyAlignment="1">
      <alignment horizontal="center" vertical="center"/>
    </xf>
    <xf numFmtId="0" fontId="14" fillId="16" borderId="19" xfId="109" applyNumberFormat="1" applyFont="1" applyFill="1" applyBorder="1" applyAlignment="1">
      <alignment vertical="center"/>
    </xf>
    <xf numFmtId="0" fontId="14" fillId="16" borderId="57" xfId="109" applyNumberFormat="1" applyFont="1" applyFill="1" applyBorder="1" applyAlignment="1">
      <alignment horizontal="right" vertical="center"/>
    </xf>
    <xf numFmtId="0" fontId="14" fillId="16" borderId="15" xfId="109" applyNumberFormat="1" applyFont="1" applyFill="1" applyBorder="1" applyAlignment="1">
      <alignment vertical="center"/>
    </xf>
    <xf numFmtId="164" fontId="14" fillId="16" borderId="19" xfId="33" applyFont="1" applyFill="1" applyBorder="1" applyAlignment="1">
      <alignment vertical="center"/>
    </xf>
    <xf numFmtId="0" fontId="14" fillId="16" borderId="19" xfId="109" applyNumberFormat="1" applyFont="1" applyFill="1" applyBorder="1" applyAlignment="1">
      <alignment horizontal="center" vertical="center"/>
    </xf>
    <xf numFmtId="164" fontId="31" fillId="19" borderId="20" xfId="109" applyNumberFormat="1" applyFont="1" applyFill="1" applyBorder="1" applyAlignment="1">
      <alignment vertical="center"/>
    </xf>
    <xf numFmtId="164" fontId="14" fillId="16" borderId="62" xfId="33" applyFont="1" applyFill="1" applyBorder="1" applyAlignment="1">
      <alignment vertical="center"/>
    </xf>
    <xf numFmtId="0" fontId="14" fillId="16" borderId="19" xfId="109" applyNumberFormat="1" applyFont="1" applyFill="1" applyBorder="1" applyAlignment="1">
      <alignment horizontal="right" vertical="center"/>
    </xf>
    <xf numFmtId="0" fontId="14" fillId="16" borderId="15" xfId="109" applyNumberFormat="1" applyFont="1" applyFill="1" applyBorder="1" applyAlignment="1">
      <alignment horizontal="center" vertical="center"/>
    </xf>
    <xf numFmtId="0" fontId="14" fillId="16" borderId="33" xfId="109" applyNumberFormat="1" applyFont="1" applyFill="1" applyBorder="1" applyAlignment="1">
      <alignment horizontal="right" vertical="center"/>
    </xf>
    <xf numFmtId="164" fontId="14" fillId="16" borderId="61" xfId="33" applyFont="1" applyFill="1" applyBorder="1" applyAlignment="1">
      <alignment vertical="center"/>
    </xf>
    <xf numFmtId="0" fontId="14" fillId="16" borderId="19" xfId="109" applyNumberFormat="1" applyFont="1" applyFill="1" applyBorder="1" applyAlignment="1">
      <alignment horizontal="left" vertical="center"/>
    </xf>
    <xf numFmtId="43" fontId="0" fillId="0" borderId="0" xfId="119" applyFont="1"/>
    <xf numFmtId="43" fontId="0" fillId="0" borderId="0" xfId="119" applyFont="1" applyAlignment="1">
      <alignment horizontal="right"/>
    </xf>
    <xf numFmtId="164" fontId="68" fillId="0" borderId="24" xfId="17" applyFont="1" applyBorder="1" applyAlignment="1">
      <alignment vertical="center"/>
    </xf>
    <xf numFmtId="164" fontId="31" fillId="20" borderId="20" xfId="87" applyNumberFormat="1" applyFont="1" applyFill="1" applyBorder="1" applyAlignment="1">
      <alignment vertical="center"/>
    </xf>
    <xf numFmtId="166" fontId="10" fillId="0" borderId="0" xfId="78" applyNumberFormat="1" applyFont="1" applyAlignment="1">
      <alignment horizontal="center" vertical="center"/>
    </xf>
    <xf numFmtId="0" fontId="10" fillId="0" borderId="0" xfId="0" applyFont="1" applyAlignment="1">
      <alignment horizontal="center" vertical="top"/>
    </xf>
    <xf numFmtId="0" fontId="67" fillId="0" borderId="0" xfId="0" applyFont="1" applyAlignment="1">
      <alignment horizontal="center" vertical="center"/>
    </xf>
    <xf numFmtId="0" fontId="78" fillId="0" borderId="0" xfId="0" applyFont="1"/>
    <xf numFmtId="0" fontId="9" fillId="0" borderId="0" xfId="0" applyFont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81" fillId="0" borderId="0" xfId="0" applyFont="1" applyAlignment="1">
      <alignment vertical="center"/>
    </xf>
    <xf numFmtId="0" fontId="82" fillId="0" borderId="0" xfId="0" applyFont="1" applyAlignment="1">
      <alignment vertical="center"/>
    </xf>
    <xf numFmtId="43" fontId="81" fillId="0" borderId="0" xfId="119" applyFont="1" applyAlignment="1">
      <alignment vertical="center"/>
    </xf>
    <xf numFmtId="43" fontId="81" fillId="0" borderId="0" xfId="119" applyFont="1" applyAlignment="1">
      <alignment horizontal="right" vertical="center"/>
    </xf>
    <xf numFmtId="10" fontId="81" fillId="0" borderId="0" xfId="0" applyNumberFormat="1" applyFont="1" applyAlignment="1">
      <alignment horizontal="right" vertical="center"/>
    </xf>
    <xf numFmtId="0" fontId="81" fillId="0" borderId="0" xfId="0" applyFont="1" applyAlignment="1">
      <alignment horizontal="center" vertical="center"/>
    </xf>
    <xf numFmtId="0" fontId="83" fillId="0" borderId="0" xfId="0" applyFont="1" applyAlignment="1">
      <alignment vertical="center"/>
    </xf>
    <xf numFmtId="43" fontId="83" fillId="0" borderId="0" xfId="119" applyFont="1" applyAlignment="1">
      <alignment vertical="center"/>
    </xf>
    <xf numFmtId="0" fontId="81" fillId="0" borderId="0" xfId="0" applyFont="1" applyAlignment="1">
      <alignment horizontal="right" vertical="center"/>
    </xf>
    <xf numFmtId="0" fontId="81" fillId="0" borderId="0" xfId="0" quotePrefix="1" applyFont="1" applyAlignment="1">
      <alignment vertical="center"/>
    </xf>
    <xf numFmtId="43" fontId="84" fillId="0" borderId="0" xfId="119" applyFont="1" applyBorder="1" applyAlignment="1">
      <alignment vertical="center"/>
    </xf>
    <xf numFmtId="0" fontId="80" fillId="0" borderId="19" xfId="0" applyFont="1" applyBorder="1" applyAlignment="1">
      <alignment vertical="center"/>
    </xf>
    <xf numFmtId="43" fontId="80" fillId="0" borderId="24" xfId="119" applyFont="1" applyFill="1" applyBorder="1" applyAlignment="1">
      <alignment horizontal="center" vertical="center"/>
    </xf>
    <xf numFmtId="43" fontId="80" fillId="0" borderId="24" xfId="119" applyFont="1" applyFill="1" applyBorder="1" applyAlignment="1">
      <alignment horizontal="center"/>
    </xf>
    <xf numFmtId="10" fontId="80" fillId="0" borderId="24" xfId="0" applyNumberFormat="1" applyFont="1" applyBorder="1" applyAlignment="1">
      <alignment horizontal="center" vertical="center"/>
    </xf>
    <xf numFmtId="0" fontId="81" fillId="0" borderId="24" xfId="0" applyFont="1" applyBorder="1" applyAlignment="1">
      <alignment vertical="center"/>
    </xf>
    <xf numFmtId="0" fontId="82" fillId="0" borderId="24" xfId="0" applyFont="1" applyBorder="1" applyAlignment="1">
      <alignment vertical="center"/>
    </xf>
    <xf numFmtId="166" fontId="81" fillId="0" borderId="24" xfId="0" applyNumberFormat="1" applyFont="1" applyBorder="1" applyAlignment="1">
      <alignment vertical="center"/>
    </xf>
    <xf numFmtId="43" fontId="81" fillId="0" borderId="24" xfId="119" applyFont="1" applyBorder="1" applyAlignment="1">
      <alignment vertical="center"/>
    </xf>
    <xf numFmtId="43" fontId="82" fillId="0" borderId="24" xfId="119" applyFont="1" applyBorder="1" applyAlignment="1">
      <alignment horizontal="right" vertical="center"/>
    </xf>
    <xf numFmtId="10" fontId="82" fillId="0" borderId="24" xfId="0" applyNumberFormat="1" applyFont="1" applyBorder="1" applyAlignment="1">
      <alignment horizontal="right" vertical="center"/>
    </xf>
    <xf numFmtId="0" fontId="86" fillId="0" borderId="24" xfId="0" applyFont="1" applyBorder="1" applyAlignment="1">
      <alignment horizontal="center"/>
    </xf>
    <xf numFmtId="0" fontId="83" fillId="0" borderId="19" xfId="0" applyFont="1" applyBorder="1" applyAlignment="1">
      <alignment horizontal="center" vertical="center"/>
    </xf>
    <xf numFmtId="0" fontId="87" fillId="0" borderId="15" xfId="0" applyFont="1" applyBorder="1" applyAlignment="1">
      <alignment vertical="center"/>
    </xf>
    <xf numFmtId="0" fontId="81" fillId="0" borderId="16" xfId="0" applyFont="1" applyBorder="1" applyAlignment="1">
      <alignment vertical="center"/>
    </xf>
    <xf numFmtId="0" fontId="81" fillId="0" borderId="17" xfId="0" applyFont="1" applyBorder="1" applyAlignment="1">
      <alignment vertical="center"/>
    </xf>
    <xf numFmtId="0" fontId="82" fillId="0" borderId="19" xfId="0" applyFont="1" applyBorder="1" applyAlignment="1">
      <alignment vertical="center"/>
    </xf>
    <xf numFmtId="0" fontId="81" fillId="0" borderId="19" xfId="0" applyFont="1" applyBorder="1" applyAlignment="1">
      <alignment vertical="center"/>
    </xf>
    <xf numFmtId="43" fontId="81" fillId="0" borderId="19" xfId="119" applyFont="1" applyBorder="1" applyAlignment="1">
      <alignment vertical="center"/>
    </xf>
    <xf numFmtId="43" fontId="82" fillId="0" borderId="19" xfId="119" applyFont="1" applyBorder="1" applyAlignment="1">
      <alignment horizontal="right" vertical="center"/>
    </xf>
    <xf numFmtId="10" fontId="82" fillId="0" borderId="19" xfId="0" applyNumberFormat="1" applyFont="1" applyBorder="1" applyAlignment="1">
      <alignment horizontal="right" vertical="center"/>
    </xf>
    <xf numFmtId="0" fontId="86" fillId="0" borderId="19" xfId="0" applyFont="1" applyBorder="1" applyAlignment="1">
      <alignment horizontal="center"/>
    </xf>
    <xf numFmtId="0" fontId="82" fillId="0" borderId="19" xfId="0" applyFont="1" applyBorder="1" applyAlignment="1">
      <alignment horizontal="center" vertical="center"/>
    </xf>
    <xf numFmtId="0" fontId="82" fillId="0" borderId="15" xfId="0" applyFont="1" applyBorder="1" applyAlignment="1">
      <alignment vertical="center"/>
    </xf>
    <xf numFmtId="0" fontId="82" fillId="0" borderId="16" xfId="0" applyFont="1" applyBorder="1" applyAlignment="1">
      <alignment vertical="center"/>
    </xf>
    <xf numFmtId="0" fontId="82" fillId="0" borderId="17" xfId="0" applyFont="1" applyBorder="1" applyAlignment="1">
      <alignment vertical="center"/>
    </xf>
    <xf numFmtId="164" fontId="82" fillId="0" borderId="19" xfId="9" applyFont="1" applyBorder="1" applyAlignment="1">
      <alignment vertical="center"/>
    </xf>
    <xf numFmtId="0" fontId="81" fillId="0" borderId="19" xfId="0" applyFont="1" applyBorder="1" applyAlignment="1">
      <alignment horizontal="center" vertical="center"/>
    </xf>
    <xf numFmtId="168" fontId="81" fillId="0" borderId="19" xfId="0" applyNumberFormat="1" applyFont="1" applyBorder="1" applyAlignment="1">
      <alignment vertical="center"/>
    </xf>
    <xf numFmtId="168" fontId="81" fillId="0" borderId="19" xfId="9" applyNumberFormat="1" applyFont="1" applyBorder="1" applyAlignment="1">
      <alignment vertical="center"/>
    </xf>
    <xf numFmtId="43" fontId="81" fillId="0" borderId="19" xfId="119" applyFont="1" applyBorder="1" applyAlignment="1">
      <alignment horizontal="right" vertical="center"/>
    </xf>
    <xf numFmtId="0" fontId="82" fillId="0" borderId="19" xfId="0" applyFont="1" applyBorder="1" applyAlignment="1">
      <alignment horizontal="right" vertical="center"/>
    </xf>
    <xf numFmtId="164" fontId="82" fillId="0" borderId="19" xfId="9" applyFont="1" applyBorder="1" applyAlignment="1">
      <alignment horizontal="center" vertical="center"/>
    </xf>
    <xf numFmtId="168" fontId="82" fillId="0" borderId="19" xfId="0" applyNumberFormat="1" applyFont="1" applyBorder="1" applyAlignment="1">
      <alignment vertical="center"/>
    </xf>
    <xf numFmtId="168" fontId="82" fillId="0" borderId="19" xfId="9" applyNumberFormat="1" applyFont="1" applyBorder="1" applyAlignment="1">
      <alignment vertical="center"/>
    </xf>
    <xf numFmtId="43" fontId="82" fillId="0" borderId="19" xfId="119" applyFont="1" applyBorder="1" applyAlignment="1">
      <alignment vertical="center"/>
    </xf>
    <xf numFmtId="0" fontId="82" fillId="0" borderId="15" xfId="0" applyFont="1" applyBorder="1" applyAlignment="1">
      <alignment horizontal="left" vertical="center"/>
    </xf>
    <xf numFmtId="0" fontId="82" fillId="0" borderId="16" xfId="0" applyFont="1" applyBorder="1" applyAlignment="1">
      <alignment horizontal="left" vertical="center" wrapText="1"/>
    </xf>
    <xf numFmtId="0" fontId="82" fillId="0" borderId="17" xfId="0" applyFont="1" applyBorder="1" applyAlignment="1">
      <alignment horizontal="left" vertical="center" wrapText="1"/>
    </xf>
    <xf numFmtId="168" fontId="81" fillId="0" borderId="19" xfId="14" applyNumberFormat="1" applyFont="1" applyBorder="1" applyAlignment="1">
      <alignment vertical="center"/>
    </xf>
    <xf numFmtId="0" fontId="82" fillId="0" borderId="19" xfId="106" applyNumberFormat="1" applyFont="1" applyBorder="1" applyAlignment="1">
      <alignment horizontal="center" vertical="center"/>
    </xf>
    <xf numFmtId="164" fontId="82" fillId="0" borderId="19" xfId="18" applyFont="1" applyBorder="1" applyAlignment="1">
      <alignment vertical="center"/>
    </xf>
    <xf numFmtId="0" fontId="82" fillId="0" borderId="19" xfId="91" applyFont="1" applyBorder="1" applyAlignment="1">
      <alignment horizontal="center" vertical="center"/>
    </xf>
    <xf numFmtId="168" fontId="81" fillId="0" borderId="19" xfId="91" applyNumberFormat="1" applyFont="1" applyBorder="1" applyAlignment="1">
      <alignment vertical="center"/>
    </xf>
    <xf numFmtId="168" fontId="82" fillId="0" borderId="19" xfId="83" applyNumberFormat="1" applyFont="1" applyBorder="1" applyAlignment="1">
      <alignment vertical="center"/>
    </xf>
    <xf numFmtId="0" fontId="82" fillId="0" borderId="27" xfId="106" applyNumberFormat="1" applyFont="1" applyBorder="1" applyAlignment="1">
      <alignment horizontal="center" vertical="center"/>
    </xf>
    <xf numFmtId="164" fontId="82" fillId="0" borderId="27" xfId="9" applyFont="1" applyBorder="1" applyAlignment="1">
      <alignment vertical="center"/>
    </xf>
    <xf numFmtId="0" fontId="82" fillId="0" borderId="27" xfId="91" applyFont="1" applyBorder="1" applyAlignment="1">
      <alignment horizontal="center" vertical="center"/>
    </xf>
    <xf numFmtId="168" fontId="81" fillId="0" borderId="27" xfId="0" applyNumberFormat="1" applyFont="1" applyBorder="1" applyAlignment="1">
      <alignment vertical="center"/>
    </xf>
    <xf numFmtId="168" fontId="82" fillId="0" borderId="27" xfId="0" applyNumberFormat="1" applyFont="1" applyBorder="1" applyAlignment="1">
      <alignment vertical="center"/>
    </xf>
    <xf numFmtId="168" fontId="81" fillId="0" borderId="27" xfId="9" applyNumberFormat="1" applyFont="1" applyBorder="1" applyAlignment="1">
      <alignment vertical="center"/>
    </xf>
    <xf numFmtId="168" fontId="82" fillId="0" borderId="27" xfId="83" applyNumberFormat="1" applyFont="1" applyBorder="1" applyAlignment="1">
      <alignment vertical="center"/>
    </xf>
    <xf numFmtId="0" fontId="82" fillId="0" borderId="27" xfId="0" applyFont="1" applyBorder="1" applyAlignment="1">
      <alignment horizontal="center" vertical="center"/>
    </xf>
    <xf numFmtId="43" fontId="81" fillId="0" borderId="27" xfId="119" applyFont="1" applyBorder="1" applyAlignment="1">
      <alignment vertical="center"/>
    </xf>
    <xf numFmtId="43" fontId="82" fillId="0" borderId="27" xfId="119" applyFont="1" applyBorder="1" applyAlignment="1">
      <alignment vertical="center"/>
    </xf>
    <xf numFmtId="43" fontId="82" fillId="0" borderId="27" xfId="119" applyFont="1" applyBorder="1" applyAlignment="1">
      <alignment horizontal="right" vertical="center"/>
    </xf>
    <xf numFmtId="0" fontId="86" fillId="0" borderId="27" xfId="0" applyFont="1" applyBorder="1" applyAlignment="1">
      <alignment horizontal="center"/>
    </xf>
    <xf numFmtId="0" fontId="82" fillId="0" borderId="37" xfId="87" applyFont="1" applyBorder="1" applyAlignment="1">
      <alignment horizontal="center" vertical="center" wrapText="1"/>
    </xf>
    <xf numFmtId="0" fontId="82" fillId="0" borderId="34" xfId="87" applyFont="1" applyBorder="1" applyAlignment="1">
      <alignment horizontal="left" vertical="center" wrapText="1"/>
    </xf>
    <xf numFmtId="0" fontId="82" fillId="0" borderId="35" xfId="87" applyFont="1" applyBorder="1" applyAlignment="1">
      <alignment horizontal="left" vertical="center" wrapText="1"/>
    </xf>
    <xf numFmtId="0" fontId="87" fillId="0" borderId="36" xfId="87" applyFont="1" applyBorder="1" applyAlignment="1">
      <alignment horizontal="right" vertical="center" wrapText="1"/>
    </xf>
    <xf numFmtId="164" fontId="82" fillId="0" borderId="37" xfId="43" applyNumberFormat="1" applyFont="1" applyBorder="1" applyAlignment="1">
      <alignment vertical="center"/>
    </xf>
    <xf numFmtId="168" fontId="82" fillId="0" borderId="37" xfId="0" applyNumberFormat="1" applyFont="1" applyBorder="1" applyAlignment="1">
      <alignment vertical="center" wrapText="1"/>
    </xf>
    <xf numFmtId="168" fontId="87" fillId="0" borderId="37" xfId="0" applyNumberFormat="1" applyFont="1" applyBorder="1" applyAlignment="1">
      <alignment vertical="center" wrapText="1"/>
    </xf>
    <xf numFmtId="168" fontId="82" fillId="0" borderId="37" xfId="51" applyNumberFormat="1" applyFont="1" applyBorder="1" applyAlignment="1">
      <alignment vertical="center" wrapText="1"/>
    </xf>
    <xf numFmtId="168" fontId="87" fillId="0" borderId="37" xfId="51" applyNumberFormat="1" applyFont="1" applyBorder="1" applyAlignment="1">
      <alignment vertical="center" wrapText="1"/>
    </xf>
    <xf numFmtId="43" fontId="82" fillId="0" borderId="37" xfId="119" applyFont="1" applyBorder="1" applyAlignment="1">
      <alignment vertical="center" wrapText="1"/>
    </xf>
    <xf numFmtId="43" fontId="87" fillId="0" borderId="37" xfId="119" applyFont="1" applyBorder="1" applyAlignment="1">
      <alignment vertical="center" wrapText="1"/>
    </xf>
    <xf numFmtId="43" fontId="85" fillId="0" borderId="37" xfId="119" applyFont="1" applyBorder="1" applyAlignment="1">
      <alignment horizontal="right" vertical="center"/>
    </xf>
    <xf numFmtId="10" fontId="87" fillId="0" borderId="37" xfId="0" applyNumberFormat="1" applyFont="1" applyBorder="1" applyAlignment="1">
      <alignment horizontal="right" vertical="center"/>
    </xf>
    <xf numFmtId="43" fontId="82" fillId="0" borderId="37" xfId="119" applyFont="1" applyBorder="1" applyAlignment="1">
      <alignment horizontal="right" vertical="center"/>
    </xf>
    <xf numFmtId="0" fontId="82" fillId="0" borderId="37" xfId="0" applyFont="1" applyBorder="1" applyAlignment="1">
      <alignment horizontal="center" vertical="center"/>
    </xf>
    <xf numFmtId="164" fontId="82" fillId="0" borderId="37" xfId="9" applyFont="1" applyBorder="1" applyAlignment="1">
      <alignment vertical="center"/>
    </xf>
    <xf numFmtId="0" fontId="86" fillId="0" borderId="37" xfId="0" applyFont="1" applyBorder="1" applyAlignment="1">
      <alignment horizontal="center"/>
    </xf>
    <xf numFmtId="0" fontId="83" fillId="0" borderId="24" xfId="87" applyFont="1" applyBorder="1" applyAlignment="1">
      <alignment horizontal="center" vertical="center"/>
    </xf>
    <xf numFmtId="0" fontId="83" fillId="0" borderId="21" xfId="87" applyFont="1" applyBorder="1" applyAlignment="1">
      <alignment vertical="center"/>
    </xf>
    <xf numFmtId="0" fontId="87" fillId="0" borderId="22" xfId="87" applyFont="1" applyBorder="1" applyAlignment="1">
      <alignment vertical="center" wrapText="1"/>
    </xf>
    <xf numFmtId="0" fontId="87" fillId="0" borderId="23" xfId="87" applyFont="1" applyBorder="1" applyAlignment="1">
      <alignment vertical="center" wrapText="1"/>
    </xf>
    <xf numFmtId="164" fontId="82" fillId="0" borderId="24" xfId="43" applyNumberFormat="1" applyFont="1" applyBorder="1" applyAlignment="1">
      <alignment vertical="center"/>
    </xf>
    <xf numFmtId="0" fontId="82" fillId="0" borderId="24" xfId="87" applyFont="1" applyBorder="1" applyAlignment="1">
      <alignment horizontal="center" vertical="center" wrapText="1"/>
    </xf>
    <xf numFmtId="168" fontId="82" fillId="0" borderId="24" xfId="0" applyNumberFormat="1" applyFont="1" applyBorder="1" applyAlignment="1">
      <alignment vertical="center" wrapText="1"/>
    </xf>
    <xf numFmtId="168" fontId="87" fillId="0" borderId="24" xfId="87" applyNumberFormat="1" applyFont="1" applyBorder="1" applyAlignment="1">
      <alignment vertical="center" wrapText="1"/>
    </xf>
    <xf numFmtId="168" fontId="82" fillId="0" borderId="24" xfId="51" applyNumberFormat="1" applyFont="1" applyBorder="1" applyAlignment="1">
      <alignment vertical="center" wrapText="1"/>
    </xf>
    <xf numFmtId="168" fontId="87" fillId="0" borderId="24" xfId="51" applyNumberFormat="1" applyFont="1" applyBorder="1" applyAlignment="1">
      <alignment vertical="center" wrapText="1"/>
    </xf>
    <xf numFmtId="168" fontId="87" fillId="0" borderId="24" xfId="0" applyNumberFormat="1" applyFont="1" applyBorder="1" applyAlignment="1">
      <alignment vertical="center" wrapText="1"/>
    </xf>
    <xf numFmtId="43" fontId="82" fillId="0" borderId="24" xfId="119" applyFont="1" applyBorder="1" applyAlignment="1">
      <alignment vertical="center" wrapText="1"/>
    </xf>
    <xf numFmtId="43" fontId="87" fillId="0" borderId="24" xfId="119" applyFont="1" applyBorder="1" applyAlignment="1">
      <alignment vertical="center" wrapText="1"/>
    </xf>
    <xf numFmtId="10" fontId="81" fillId="0" borderId="24" xfId="0" applyNumberFormat="1" applyFont="1" applyBorder="1" applyAlignment="1">
      <alignment horizontal="right" vertical="center"/>
    </xf>
    <xf numFmtId="164" fontId="82" fillId="0" borderId="24" xfId="9" applyFont="1" applyBorder="1" applyAlignment="1">
      <alignment horizontal="center" vertical="center"/>
    </xf>
    <xf numFmtId="164" fontId="82" fillId="0" borderId="24" xfId="9" applyFont="1" applyBorder="1" applyAlignment="1">
      <alignment vertical="center"/>
    </xf>
    <xf numFmtId="0" fontId="83" fillId="0" borderId="19" xfId="96" applyFont="1" applyBorder="1" applyAlignment="1">
      <alignment horizontal="center" vertical="center"/>
    </xf>
    <xf numFmtId="0" fontId="83" fillId="0" borderId="15" xfId="96" applyFont="1" applyBorder="1" applyAlignment="1">
      <alignment vertical="center"/>
    </xf>
    <xf numFmtId="0" fontId="87" fillId="0" borderId="16" xfId="96" applyFont="1" applyBorder="1" applyAlignment="1">
      <alignment vertical="center"/>
    </xf>
    <xf numFmtId="0" fontId="87" fillId="0" borderId="17" xfId="96" applyFont="1" applyBorder="1" applyAlignment="1">
      <alignment vertical="center"/>
    </xf>
    <xf numFmtId="164" fontId="82" fillId="0" borderId="19" xfId="43" applyNumberFormat="1" applyFont="1" applyBorder="1" applyAlignment="1">
      <alignment vertical="center"/>
    </xf>
    <xf numFmtId="0" fontId="82" fillId="0" borderId="19" xfId="96" applyFont="1" applyBorder="1" applyAlignment="1">
      <alignment horizontal="center" vertical="center"/>
    </xf>
    <xf numFmtId="169" fontId="82" fillId="0" borderId="19" xfId="0" applyNumberFormat="1" applyFont="1" applyBorder="1" applyAlignment="1">
      <alignment vertical="center"/>
    </xf>
    <xf numFmtId="169" fontId="87" fillId="0" borderId="19" xfId="87" applyNumberFormat="1" applyFont="1" applyBorder="1" applyAlignment="1">
      <alignment vertical="center"/>
    </xf>
    <xf numFmtId="169" fontId="82" fillId="0" borderId="19" xfId="55" applyNumberFormat="1" applyFont="1" applyBorder="1" applyAlignment="1">
      <alignment vertical="center"/>
    </xf>
    <xf numFmtId="169" fontId="87" fillId="0" borderId="19" xfId="55" applyNumberFormat="1" applyFont="1" applyBorder="1" applyAlignment="1">
      <alignment vertical="center"/>
    </xf>
    <xf numFmtId="169" fontId="87" fillId="0" borderId="19" xfId="0" applyNumberFormat="1" applyFont="1" applyBorder="1" applyAlignment="1">
      <alignment vertical="center"/>
    </xf>
    <xf numFmtId="43" fontId="87" fillId="0" borderId="19" xfId="119" applyFont="1" applyBorder="1" applyAlignment="1">
      <alignment vertical="center"/>
    </xf>
    <xf numFmtId="10" fontId="82" fillId="0" borderId="19" xfId="96" applyNumberFormat="1" applyFont="1" applyBorder="1" applyAlignment="1">
      <alignment horizontal="right" vertical="center"/>
    </xf>
    <xf numFmtId="0" fontId="82" fillId="0" borderId="15" xfId="96" applyFont="1" applyBorder="1" applyAlignment="1">
      <alignment vertical="center"/>
    </xf>
    <xf numFmtId="0" fontId="82" fillId="0" borderId="16" xfId="96" applyFont="1" applyBorder="1" applyAlignment="1">
      <alignment vertical="center"/>
    </xf>
    <xf numFmtId="0" fontId="82" fillId="0" borderId="17" xfId="96" applyFont="1" applyBorder="1" applyAlignment="1">
      <alignment vertical="center"/>
    </xf>
    <xf numFmtId="169" fontId="82" fillId="0" borderId="19" xfId="87" applyNumberFormat="1" applyFont="1" applyBorder="1" applyAlignment="1">
      <alignment vertical="center"/>
    </xf>
    <xf numFmtId="0" fontId="82" fillId="0" borderId="19" xfId="96" applyFont="1" applyBorder="1" applyAlignment="1">
      <alignment horizontal="right" vertical="center"/>
    </xf>
    <xf numFmtId="168" fontId="82" fillId="0" borderId="19" xfId="87" applyNumberFormat="1" applyFont="1" applyBorder="1" applyAlignment="1">
      <alignment vertical="center"/>
    </xf>
    <xf numFmtId="168" fontId="82" fillId="0" borderId="19" xfId="18" applyNumberFormat="1" applyFont="1" applyBorder="1" applyAlignment="1">
      <alignment vertical="center"/>
    </xf>
    <xf numFmtId="168" fontId="82" fillId="0" borderId="19" xfId="55" applyNumberFormat="1" applyFont="1" applyBorder="1" applyAlignment="1">
      <alignment vertical="center"/>
    </xf>
    <xf numFmtId="43" fontId="82" fillId="0" borderId="19" xfId="119" applyFont="1" applyFill="1" applyBorder="1" applyAlignment="1">
      <alignment horizontal="right" vertical="center"/>
    </xf>
    <xf numFmtId="0" fontId="82" fillId="0" borderId="15" xfId="108" applyNumberFormat="1" applyFont="1" applyBorder="1" applyAlignment="1">
      <alignment vertical="center"/>
    </xf>
    <xf numFmtId="0" fontId="82" fillId="0" borderId="16" xfId="108" applyNumberFormat="1" applyFont="1" applyBorder="1" applyAlignment="1">
      <alignment vertical="center"/>
    </xf>
    <xf numFmtId="0" fontId="87" fillId="0" borderId="17" xfId="108" applyNumberFormat="1" applyFont="1" applyBorder="1" applyAlignment="1">
      <alignment horizontal="right" vertical="center"/>
    </xf>
    <xf numFmtId="0" fontId="82" fillId="0" borderId="19" xfId="84" applyFont="1" applyBorder="1" applyAlignment="1">
      <alignment horizontal="center" vertical="center"/>
    </xf>
    <xf numFmtId="168" fontId="82" fillId="0" borderId="19" xfId="43" applyNumberFormat="1" applyFont="1" applyBorder="1" applyAlignment="1">
      <alignment vertical="center"/>
    </xf>
    <xf numFmtId="168" fontId="82" fillId="0" borderId="19" xfId="0" applyNumberFormat="1" applyFont="1" applyBorder="1" applyAlignment="1">
      <alignment vertical="center" wrapText="1"/>
    </xf>
    <xf numFmtId="168" fontId="82" fillId="0" borderId="19" xfId="56" applyNumberFormat="1" applyFont="1" applyBorder="1" applyAlignment="1">
      <alignment vertical="center" wrapText="1"/>
    </xf>
    <xf numFmtId="43" fontId="82" fillId="0" borderId="19" xfId="119" applyFont="1" applyBorder="1" applyAlignment="1">
      <alignment vertical="center" wrapText="1"/>
    </xf>
    <xf numFmtId="168" fontId="82" fillId="0" borderId="19" xfId="33" applyNumberFormat="1" applyFont="1" applyBorder="1" applyAlignment="1">
      <alignment vertical="center"/>
    </xf>
    <xf numFmtId="168" fontId="82" fillId="0" borderId="19" xfId="77" applyNumberFormat="1" applyFont="1" applyBorder="1" applyAlignment="1">
      <alignment vertical="center"/>
    </xf>
    <xf numFmtId="168" fontId="82" fillId="0" borderId="19" xfId="87" applyNumberFormat="1" applyFont="1" applyBorder="1" applyAlignment="1">
      <alignment vertical="center" wrapText="1"/>
    </xf>
    <xf numFmtId="168" fontId="82" fillId="0" borderId="19" xfId="55" applyNumberFormat="1" applyFont="1" applyBorder="1" applyAlignment="1">
      <alignment vertical="center" wrapText="1"/>
    </xf>
    <xf numFmtId="168" fontId="82" fillId="0" borderId="19" xfId="56" applyNumberFormat="1" applyFont="1" applyBorder="1" applyAlignment="1">
      <alignment vertical="center"/>
    </xf>
    <xf numFmtId="0" fontId="82" fillId="0" borderId="27" xfId="96" applyFont="1" applyBorder="1" applyAlignment="1">
      <alignment horizontal="right" vertical="center"/>
    </xf>
    <xf numFmtId="0" fontId="82" fillId="0" borderId="25" xfId="96" applyFont="1" applyBorder="1" applyAlignment="1">
      <alignment vertical="center"/>
    </xf>
    <xf numFmtId="0" fontId="82" fillId="0" borderId="3" xfId="96" applyFont="1" applyBorder="1" applyAlignment="1">
      <alignment vertical="center"/>
    </xf>
    <xf numFmtId="0" fontId="82" fillId="0" borderId="26" xfId="96" applyFont="1" applyBorder="1" applyAlignment="1">
      <alignment vertical="center"/>
    </xf>
    <xf numFmtId="164" fontId="82" fillId="0" borderId="27" xfId="43" applyNumberFormat="1" applyFont="1" applyBorder="1" applyAlignment="1">
      <alignment vertical="center"/>
    </xf>
    <xf numFmtId="0" fontId="82" fillId="0" borderId="27" xfId="96" applyFont="1" applyBorder="1" applyAlignment="1">
      <alignment horizontal="center" vertical="center"/>
    </xf>
    <xf numFmtId="168" fontId="82" fillId="0" borderId="27" xfId="0" applyNumberFormat="1" applyFont="1" applyBorder="1" applyAlignment="1">
      <alignment vertical="center" wrapText="1"/>
    </xf>
    <xf numFmtId="168" fontId="82" fillId="0" borderId="27" xfId="87" applyNumberFormat="1" applyFont="1" applyBorder="1" applyAlignment="1">
      <alignment vertical="center" wrapText="1"/>
    </xf>
    <xf numFmtId="168" fontId="82" fillId="0" borderId="27" xfId="56" applyNumberFormat="1" applyFont="1" applyBorder="1" applyAlignment="1">
      <alignment vertical="center" wrapText="1"/>
    </xf>
    <xf numFmtId="168" fontId="82" fillId="0" borderId="27" xfId="55" applyNumberFormat="1" applyFont="1" applyBorder="1" applyAlignment="1">
      <alignment vertical="center" wrapText="1"/>
    </xf>
    <xf numFmtId="43" fontId="82" fillId="0" borderId="27" xfId="119" applyFont="1" applyBorder="1" applyAlignment="1">
      <alignment vertical="center" wrapText="1"/>
    </xf>
    <xf numFmtId="43" fontId="82" fillId="0" borderId="27" xfId="119" applyFont="1" applyFill="1" applyBorder="1" applyAlignment="1">
      <alignment horizontal="right" vertical="center"/>
    </xf>
    <xf numFmtId="0" fontId="82" fillId="0" borderId="62" xfId="96" applyFont="1" applyBorder="1" applyAlignment="1">
      <alignment horizontal="right" vertical="center"/>
    </xf>
    <xf numFmtId="0" fontId="82" fillId="0" borderId="29" xfId="96" applyFont="1" applyBorder="1" applyAlignment="1">
      <alignment vertical="center"/>
    </xf>
    <xf numFmtId="0" fontId="82" fillId="0" borderId="0" xfId="96" applyFont="1" applyAlignment="1">
      <alignment vertical="center"/>
    </xf>
    <xf numFmtId="0" fontId="82" fillId="0" borderId="30" xfId="96" applyFont="1" applyBorder="1" applyAlignment="1">
      <alignment vertical="center"/>
    </xf>
    <xf numFmtId="164" fontId="82" fillId="0" borderId="62" xfId="43" applyNumberFormat="1" applyFont="1" applyBorder="1" applyAlignment="1">
      <alignment vertical="center"/>
    </xf>
    <xf numFmtId="0" fontId="82" fillId="0" borderId="62" xfId="96" applyFont="1" applyBorder="1" applyAlignment="1">
      <alignment horizontal="center" vertical="center"/>
    </xf>
    <xf numFmtId="168" fontId="82" fillId="0" borderId="62" xfId="0" applyNumberFormat="1" applyFont="1" applyBorder="1" applyAlignment="1">
      <alignment vertical="center" wrapText="1"/>
    </xf>
    <xf numFmtId="168" fontId="82" fillId="0" borderId="62" xfId="87" applyNumberFormat="1" applyFont="1" applyBorder="1" applyAlignment="1">
      <alignment vertical="center" wrapText="1"/>
    </xf>
    <xf numFmtId="168" fontId="82" fillId="0" borderId="62" xfId="56" applyNumberFormat="1" applyFont="1" applyBorder="1" applyAlignment="1">
      <alignment vertical="center" wrapText="1"/>
    </xf>
    <xf numFmtId="168" fontId="82" fillId="0" borderId="62" xfId="55" applyNumberFormat="1" applyFont="1" applyBorder="1" applyAlignment="1">
      <alignment vertical="center" wrapText="1"/>
    </xf>
    <xf numFmtId="0" fontId="82" fillId="0" borderId="62" xfId="0" applyFont="1" applyBorder="1" applyAlignment="1">
      <alignment horizontal="center" vertical="center"/>
    </xf>
    <xf numFmtId="43" fontId="82" fillId="0" borderId="62" xfId="119" applyFont="1" applyBorder="1" applyAlignment="1">
      <alignment vertical="center" wrapText="1"/>
    </xf>
    <xf numFmtId="43" fontId="82" fillId="0" borderId="62" xfId="119" applyFont="1" applyBorder="1" applyAlignment="1">
      <alignment vertical="center"/>
    </xf>
    <xf numFmtId="43" fontId="82" fillId="0" borderId="62" xfId="119" applyFont="1" applyBorder="1" applyAlignment="1">
      <alignment horizontal="right" vertical="center"/>
    </xf>
    <xf numFmtId="43" fontId="82" fillId="0" borderId="62" xfId="119" applyFont="1" applyFill="1" applyBorder="1" applyAlignment="1">
      <alignment horizontal="right" vertical="center"/>
    </xf>
    <xf numFmtId="0" fontId="86" fillId="0" borderId="62" xfId="0" applyFont="1" applyBorder="1" applyAlignment="1">
      <alignment horizontal="center"/>
    </xf>
    <xf numFmtId="0" fontId="82" fillId="0" borderId="37" xfId="96" applyFont="1" applyBorder="1" applyAlignment="1">
      <alignment horizontal="right" vertical="center"/>
    </xf>
    <xf numFmtId="0" fontId="82" fillId="0" borderId="34" xfId="96" applyFont="1" applyBorder="1" applyAlignment="1">
      <alignment horizontal="left" vertical="center" wrapText="1"/>
    </xf>
    <xf numFmtId="0" fontId="82" fillId="0" borderId="35" xfId="96" applyFont="1" applyBorder="1" applyAlignment="1">
      <alignment horizontal="left" vertical="center" wrapText="1"/>
    </xf>
    <xf numFmtId="0" fontId="87" fillId="0" borderId="36" xfId="87" applyFont="1" applyBorder="1" applyAlignment="1">
      <alignment horizontal="right" vertical="center"/>
    </xf>
    <xf numFmtId="164" fontId="82" fillId="0" borderId="37" xfId="43" applyNumberFormat="1" applyFont="1" applyBorder="1" applyAlignment="1">
      <alignment vertical="center" wrapText="1"/>
    </xf>
    <xf numFmtId="0" fontId="82" fillId="0" borderId="37" xfId="96" applyFont="1" applyBorder="1" applyAlignment="1">
      <alignment horizontal="center" vertical="center" wrapText="1"/>
    </xf>
    <xf numFmtId="168" fontId="87" fillId="0" borderId="37" xfId="87" applyNumberFormat="1" applyFont="1" applyBorder="1" applyAlignment="1">
      <alignment vertical="center" wrapText="1"/>
    </xf>
    <xf numFmtId="168" fontId="82" fillId="0" borderId="37" xfId="55" applyNumberFormat="1" applyFont="1" applyBorder="1" applyAlignment="1">
      <alignment vertical="center" wrapText="1"/>
    </xf>
    <xf numFmtId="168" fontId="87" fillId="0" borderId="37" xfId="55" applyNumberFormat="1" applyFont="1" applyBorder="1" applyAlignment="1">
      <alignment vertical="center" wrapText="1"/>
    </xf>
    <xf numFmtId="43" fontId="87" fillId="0" borderId="37" xfId="0" applyNumberFormat="1" applyFont="1" applyBorder="1" applyAlignment="1">
      <alignment horizontal="right" vertical="center"/>
    </xf>
    <xf numFmtId="43" fontId="87" fillId="0" borderId="37" xfId="119" applyFont="1" applyBorder="1" applyAlignment="1">
      <alignment horizontal="right" vertical="center"/>
    </xf>
    <xf numFmtId="164" fontId="82" fillId="0" borderId="37" xfId="9" applyFont="1" applyBorder="1" applyAlignment="1">
      <alignment horizontal="center" vertical="center"/>
    </xf>
    <xf numFmtId="0" fontId="87" fillId="0" borderId="24" xfId="91" applyFont="1" applyBorder="1" applyAlignment="1">
      <alignment horizontal="center" vertical="center"/>
    </xf>
    <xf numFmtId="0" fontId="87" fillId="0" borderId="21" xfId="91" applyFont="1" applyBorder="1" applyAlignment="1">
      <alignment vertical="center"/>
    </xf>
    <xf numFmtId="0" fontId="87" fillId="0" borderId="22" xfId="91" applyFont="1" applyBorder="1" applyAlignment="1">
      <alignment vertical="center"/>
    </xf>
    <xf numFmtId="0" fontId="87" fillId="0" borderId="23" xfId="91" applyFont="1" applyBorder="1" applyAlignment="1">
      <alignment vertical="center"/>
    </xf>
    <xf numFmtId="164" fontId="82" fillId="0" borderId="24" xfId="29" applyFont="1" applyBorder="1" applyAlignment="1">
      <alignment vertical="center"/>
    </xf>
    <xf numFmtId="0" fontId="82" fillId="0" borderId="24" xfId="91" applyFont="1" applyBorder="1" applyAlignment="1">
      <alignment horizontal="center" vertical="center"/>
    </xf>
    <xf numFmtId="168" fontId="82" fillId="0" borderId="24" xfId="96" applyNumberFormat="1" applyFont="1" applyBorder="1" applyAlignment="1">
      <alignment vertical="center"/>
    </xf>
    <xf numFmtId="168" fontId="87" fillId="0" borderId="24" xfId="87" applyNumberFormat="1" applyFont="1" applyBorder="1" applyAlignment="1">
      <alignment vertical="center"/>
    </xf>
    <xf numFmtId="168" fontId="82" fillId="0" borderId="24" xfId="57" applyNumberFormat="1" applyFont="1" applyBorder="1" applyAlignment="1">
      <alignment vertical="center"/>
    </xf>
    <xf numFmtId="168" fontId="87" fillId="0" borderId="24" xfId="57" applyNumberFormat="1" applyFont="1" applyBorder="1" applyAlignment="1">
      <alignment vertical="center"/>
    </xf>
    <xf numFmtId="168" fontId="87" fillId="0" borderId="24" xfId="0" applyNumberFormat="1" applyFont="1" applyBorder="1" applyAlignment="1">
      <alignment vertical="center"/>
    </xf>
    <xf numFmtId="43" fontId="82" fillId="0" borderId="24" xfId="119" applyFont="1" applyBorder="1" applyAlignment="1">
      <alignment vertical="center"/>
    </xf>
    <xf numFmtId="43" fontId="87" fillId="0" borderId="24" xfId="119" applyFont="1" applyBorder="1" applyAlignment="1">
      <alignment vertical="center"/>
    </xf>
    <xf numFmtId="10" fontId="82" fillId="0" borderId="24" xfId="91" applyNumberFormat="1" applyFont="1" applyBorder="1" applyAlignment="1">
      <alignment horizontal="right" vertical="center"/>
    </xf>
    <xf numFmtId="43" fontId="81" fillId="0" borderId="24" xfId="119" applyFont="1" applyBorder="1" applyAlignment="1">
      <alignment horizontal="right" vertical="center"/>
    </xf>
    <xf numFmtId="0" fontId="82" fillId="0" borderId="24" xfId="0" applyFont="1" applyBorder="1" applyAlignment="1">
      <alignment horizontal="center" vertical="center"/>
    </xf>
    <xf numFmtId="0" fontId="87" fillId="0" borderId="19" xfId="91" applyFont="1" applyBorder="1" applyAlignment="1">
      <alignment horizontal="center" vertical="center"/>
    </xf>
    <xf numFmtId="0" fontId="87" fillId="0" borderId="15" xfId="91" applyFont="1" applyBorder="1" applyAlignment="1">
      <alignment vertical="center"/>
    </xf>
    <xf numFmtId="0" fontId="87" fillId="0" borderId="16" xfId="91" applyFont="1" applyBorder="1" applyAlignment="1">
      <alignment vertical="center"/>
    </xf>
    <xf numFmtId="0" fontId="87" fillId="0" borderId="17" xfId="91" applyFont="1" applyBorder="1" applyAlignment="1">
      <alignment vertical="center"/>
    </xf>
    <xf numFmtId="164" fontId="82" fillId="0" borderId="19" xfId="29" applyFont="1" applyBorder="1" applyAlignment="1">
      <alignment vertical="center"/>
    </xf>
    <xf numFmtId="168" fontId="82" fillId="0" borderId="19" xfId="96" applyNumberFormat="1" applyFont="1" applyBorder="1" applyAlignment="1">
      <alignment vertical="center"/>
    </xf>
    <xf numFmtId="168" fontId="87" fillId="0" borderId="19" xfId="87" applyNumberFormat="1" applyFont="1" applyBorder="1" applyAlignment="1">
      <alignment vertical="center"/>
    </xf>
    <xf numFmtId="168" fontId="82" fillId="0" borderId="19" xfId="57" applyNumberFormat="1" applyFont="1" applyBorder="1" applyAlignment="1">
      <alignment vertical="center"/>
    </xf>
    <xf numFmtId="168" fontId="87" fillId="0" borderId="19" xfId="57" applyNumberFormat="1" applyFont="1" applyBorder="1" applyAlignment="1">
      <alignment vertical="center"/>
    </xf>
    <xf numFmtId="168" fontId="87" fillId="0" borderId="19" xfId="0" applyNumberFormat="1" applyFont="1" applyBorder="1" applyAlignment="1">
      <alignment vertical="center"/>
    </xf>
    <xf numFmtId="10" fontId="82" fillId="0" borderId="19" xfId="91" applyNumberFormat="1" applyFont="1" applyBorder="1" applyAlignment="1">
      <alignment horizontal="right" vertical="center"/>
    </xf>
    <xf numFmtId="43" fontId="82" fillId="0" borderId="19" xfId="91" applyNumberFormat="1" applyFont="1" applyBorder="1" applyAlignment="1">
      <alignment horizontal="right" vertical="center"/>
    </xf>
    <xf numFmtId="0" fontId="82" fillId="0" borderId="15" xfId="91" applyFont="1" applyBorder="1" applyAlignment="1">
      <alignment vertical="center"/>
    </xf>
    <xf numFmtId="0" fontId="82" fillId="0" borderId="16" xfId="91" applyFont="1" applyBorder="1" applyAlignment="1">
      <alignment vertical="center"/>
    </xf>
    <xf numFmtId="0" fontId="82" fillId="0" borderId="17" xfId="91" applyFont="1" applyBorder="1" applyAlignment="1">
      <alignment vertical="center"/>
    </xf>
    <xf numFmtId="168" fontId="82" fillId="0" borderId="19" xfId="79" applyNumberFormat="1" applyFont="1" applyBorder="1" applyAlignment="1">
      <alignment vertical="center"/>
    </xf>
    <xf numFmtId="0" fontId="82" fillId="0" borderId="19" xfId="109" applyNumberFormat="1" applyFont="1" applyBorder="1" applyAlignment="1">
      <alignment horizontal="center" vertical="center"/>
    </xf>
    <xf numFmtId="0" fontId="82" fillId="0" borderId="15" xfId="109" applyNumberFormat="1" applyFont="1" applyBorder="1" applyAlignment="1">
      <alignment vertical="center"/>
    </xf>
    <xf numFmtId="0" fontId="82" fillId="0" borderId="19" xfId="91" applyFont="1" applyBorder="1" applyAlignment="1">
      <alignment horizontal="right" vertical="center"/>
    </xf>
    <xf numFmtId="0" fontId="82" fillId="0" borderId="15" xfId="79" applyFont="1" applyBorder="1" applyAlignment="1">
      <alignment vertical="center"/>
    </xf>
    <xf numFmtId="0" fontId="82" fillId="0" borderId="16" xfId="79" applyFont="1" applyBorder="1" applyAlignment="1">
      <alignment vertical="center"/>
    </xf>
    <xf numFmtId="0" fontId="82" fillId="0" borderId="17" xfId="79" applyFont="1" applyBorder="1" applyAlignment="1">
      <alignment vertical="center"/>
    </xf>
    <xf numFmtId="164" fontId="82" fillId="0" borderId="19" xfId="79" applyNumberFormat="1" applyFont="1" applyBorder="1" applyAlignment="1">
      <alignment vertical="center"/>
    </xf>
    <xf numFmtId="0" fontId="82" fillId="0" borderId="19" xfId="79" applyFont="1" applyBorder="1" applyAlignment="1">
      <alignment horizontal="center" vertical="center"/>
    </xf>
    <xf numFmtId="0" fontId="82" fillId="0" borderId="15" xfId="85" applyFont="1" applyBorder="1" applyAlignment="1">
      <alignment vertical="center"/>
    </xf>
    <xf numFmtId="168" fontId="82" fillId="0" borderId="19" xfId="57" applyNumberFormat="1" applyFont="1" applyBorder="1" applyAlignment="1">
      <alignment vertical="center" wrapText="1"/>
    </xf>
    <xf numFmtId="168" fontId="89" fillId="0" borderId="19" xfId="0" applyNumberFormat="1" applyFont="1" applyBorder="1" applyAlignment="1">
      <alignment vertical="center"/>
    </xf>
    <xf numFmtId="168" fontId="89" fillId="0" borderId="19" xfId="57" applyNumberFormat="1" applyFont="1" applyBorder="1" applyAlignment="1">
      <alignment vertical="center"/>
    </xf>
    <xf numFmtId="43" fontId="89" fillId="0" borderId="19" xfId="119" applyFont="1" applyBorder="1" applyAlignment="1">
      <alignment vertical="center"/>
    </xf>
    <xf numFmtId="168" fontId="82" fillId="0" borderId="19" xfId="44" applyNumberFormat="1" applyFont="1" applyBorder="1" applyAlignment="1">
      <alignment vertical="center"/>
    </xf>
    <xf numFmtId="168" fontId="82" fillId="0" borderId="19" xfId="91" applyNumberFormat="1" applyFont="1" applyBorder="1" applyAlignment="1">
      <alignment vertical="center"/>
    </xf>
    <xf numFmtId="0" fontId="82" fillId="0" borderId="27" xfId="91" applyFont="1" applyBorder="1" applyAlignment="1">
      <alignment horizontal="right" vertical="center"/>
    </xf>
    <xf numFmtId="0" fontId="82" fillId="0" borderId="25" xfId="91" applyFont="1" applyBorder="1" applyAlignment="1">
      <alignment vertical="center"/>
    </xf>
    <xf numFmtId="0" fontId="82" fillId="0" borderId="3" xfId="91" applyFont="1" applyBorder="1" applyAlignment="1">
      <alignment vertical="center"/>
    </xf>
    <xf numFmtId="0" fontId="82" fillId="0" borderId="26" xfId="91" applyFont="1" applyBorder="1" applyAlignment="1">
      <alignment vertical="center"/>
    </xf>
    <xf numFmtId="164" fontId="82" fillId="0" borderId="27" xfId="29" applyFont="1" applyBorder="1" applyAlignment="1">
      <alignment vertical="center"/>
    </xf>
    <xf numFmtId="168" fontId="82" fillId="0" borderId="27" xfId="87" applyNumberFormat="1" applyFont="1" applyBorder="1" applyAlignment="1">
      <alignment vertical="center"/>
    </xf>
    <xf numFmtId="168" fontId="82" fillId="0" borderId="27" xfId="18" applyNumberFormat="1" applyFont="1" applyBorder="1" applyAlignment="1">
      <alignment vertical="center"/>
    </xf>
    <xf numFmtId="168" fontId="82" fillId="0" borderId="27" xfId="79" applyNumberFormat="1" applyFont="1" applyBorder="1" applyAlignment="1">
      <alignment vertical="center"/>
    </xf>
    <xf numFmtId="0" fontId="82" fillId="0" borderId="37" xfId="91" applyFont="1" applyBorder="1" applyAlignment="1">
      <alignment horizontal="center" vertical="center"/>
    </xf>
    <xf numFmtId="0" fontId="87" fillId="0" borderId="34" xfId="91" applyFont="1" applyBorder="1" applyAlignment="1">
      <alignment horizontal="right" vertical="center"/>
    </xf>
    <xf numFmtId="0" fontId="87" fillId="0" borderId="35" xfId="91" applyFont="1" applyBorder="1" applyAlignment="1">
      <alignment horizontal="right" vertical="center"/>
    </xf>
    <xf numFmtId="164" fontId="87" fillId="0" borderId="37" xfId="29" applyFont="1" applyBorder="1" applyAlignment="1">
      <alignment vertical="center"/>
    </xf>
    <xf numFmtId="0" fontId="87" fillId="0" borderId="37" xfId="91" applyFont="1" applyBorder="1" applyAlignment="1">
      <alignment horizontal="center" vertical="center"/>
    </xf>
    <xf numFmtId="168" fontId="87" fillId="0" borderId="37" xfId="0" applyNumberFormat="1" applyFont="1" applyBorder="1" applyAlignment="1">
      <alignment vertical="center"/>
    </xf>
    <xf numFmtId="168" fontId="87" fillId="0" borderId="37" xfId="87" applyNumberFormat="1" applyFont="1" applyBorder="1" applyAlignment="1">
      <alignment vertical="center"/>
    </xf>
    <xf numFmtId="168" fontId="87" fillId="0" borderId="37" xfId="57" applyNumberFormat="1" applyFont="1" applyBorder="1" applyAlignment="1">
      <alignment vertical="center"/>
    </xf>
    <xf numFmtId="43" fontId="87" fillId="0" borderId="37" xfId="119" applyFont="1" applyBorder="1" applyAlignment="1">
      <alignment vertical="center"/>
    </xf>
    <xf numFmtId="168" fontId="82" fillId="0" borderId="24" xfId="0" applyNumberFormat="1" applyFont="1" applyBorder="1" applyAlignment="1">
      <alignment vertical="center"/>
    </xf>
    <xf numFmtId="168" fontId="82" fillId="0" borderId="24" xfId="87" applyNumberFormat="1" applyFont="1" applyBorder="1" applyAlignment="1">
      <alignment vertical="center"/>
    </xf>
    <xf numFmtId="0" fontId="86" fillId="0" borderId="31" xfId="0" applyFont="1" applyBorder="1" applyAlignment="1">
      <alignment horizontal="center"/>
    </xf>
    <xf numFmtId="168" fontId="82" fillId="0" borderId="19" xfId="29" applyNumberFormat="1" applyFont="1" applyBorder="1" applyAlignment="1">
      <alignment vertical="center"/>
    </xf>
    <xf numFmtId="0" fontId="82" fillId="0" borderId="19" xfId="91" applyFont="1" applyBorder="1" applyAlignment="1">
      <alignment horizontal="right" vertical="top"/>
    </xf>
    <xf numFmtId="0" fontId="82" fillId="0" borderId="19" xfId="87" applyFont="1" applyBorder="1" applyAlignment="1">
      <alignment horizontal="center" vertical="center"/>
    </xf>
    <xf numFmtId="168" fontId="82" fillId="0" borderId="27" xfId="56" applyNumberFormat="1" applyFont="1" applyBorder="1" applyAlignment="1">
      <alignment vertical="center"/>
    </xf>
    <xf numFmtId="168" fontId="82" fillId="0" borderId="27" xfId="57" applyNumberFormat="1" applyFont="1" applyBorder="1" applyAlignment="1">
      <alignment vertical="center"/>
    </xf>
    <xf numFmtId="43" fontId="81" fillId="0" borderId="27" xfId="119" applyFont="1" applyBorder="1" applyAlignment="1">
      <alignment horizontal="right" vertical="center"/>
    </xf>
    <xf numFmtId="43" fontId="85" fillId="0" borderId="19" xfId="119" applyFont="1" applyBorder="1" applyAlignment="1">
      <alignment horizontal="right" vertical="center"/>
    </xf>
    <xf numFmtId="0" fontId="82" fillId="0" borderId="15" xfId="99" applyFont="1" applyBorder="1" applyAlignment="1">
      <alignment vertical="center"/>
    </xf>
    <xf numFmtId="0" fontId="82" fillId="0" borderId="3" xfId="79" applyFont="1" applyBorder="1" applyAlignment="1">
      <alignment vertical="center"/>
    </xf>
    <xf numFmtId="0" fontId="82" fillId="0" borderId="26" xfId="79" applyFont="1" applyBorder="1" applyAlignment="1">
      <alignment vertical="center"/>
    </xf>
    <xf numFmtId="0" fontId="82" fillId="0" borderId="27" xfId="79" applyFont="1" applyBorder="1" applyAlignment="1">
      <alignment horizontal="center" vertical="center"/>
    </xf>
    <xf numFmtId="168" fontId="87" fillId="0" borderId="37" xfId="91" applyNumberFormat="1" applyFont="1" applyBorder="1" applyAlignment="1">
      <alignment vertical="center"/>
    </xf>
    <xf numFmtId="0" fontId="87" fillId="0" borderId="22" xfId="114" applyNumberFormat="1" applyFont="1" applyBorder="1" applyAlignment="1">
      <alignment vertical="center"/>
    </xf>
    <xf numFmtId="0" fontId="87" fillId="0" borderId="23" xfId="114" applyNumberFormat="1" applyFont="1" applyBorder="1" applyAlignment="1">
      <alignment vertical="center"/>
    </xf>
    <xf numFmtId="164" fontId="82" fillId="0" borderId="24" xfId="44" applyNumberFormat="1" applyFont="1" applyBorder="1" applyAlignment="1">
      <alignment vertical="center"/>
    </xf>
    <xf numFmtId="0" fontId="82" fillId="0" borderId="24" xfId="114" applyNumberFormat="1" applyFont="1" applyBorder="1" applyAlignment="1">
      <alignment horizontal="center" vertical="center"/>
    </xf>
    <xf numFmtId="169" fontId="82" fillId="0" borderId="24" xfId="0" applyNumberFormat="1" applyFont="1" applyBorder="1" applyAlignment="1">
      <alignment vertical="center"/>
    </xf>
    <xf numFmtId="169" fontId="87" fillId="0" borderId="24" xfId="0" applyNumberFormat="1" applyFont="1" applyBorder="1" applyAlignment="1">
      <alignment vertical="center"/>
    </xf>
    <xf numFmtId="169" fontId="82" fillId="0" borderId="24" xfId="57" applyNumberFormat="1" applyFont="1" applyBorder="1" applyAlignment="1">
      <alignment vertical="center"/>
    </xf>
    <xf numFmtId="169" fontId="87" fillId="0" borderId="24" xfId="57" applyNumberFormat="1" applyFont="1" applyBorder="1" applyAlignment="1">
      <alignment vertical="center"/>
    </xf>
    <xf numFmtId="0" fontId="82" fillId="0" borderId="16" xfId="114" applyNumberFormat="1" applyFont="1" applyBorder="1" applyAlignment="1">
      <alignment vertical="center" wrapText="1"/>
    </xf>
    <xf numFmtId="0" fontId="82" fillId="0" borderId="17" xfId="114" applyNumberFormat="1" applyFont="1" applyBorder="1" applyAlignment="1">
      <alignment vertical="center" wrapText="1"/>
    </xf>
    <xf numFmtId="164" fontId="82" fillId="0" borderId="19" xfId="44" applyNumberFormat="1" applyFont="1" applyBorder="1" applyAlignment="1">
      <alignment vertical="center" wrapText="1"/>
    </xf>
    <xf numFmtId="0" fontId="82" fillId="0" borderId="19" xfId="102" applyFont="1" applyBorder="1" applyAlignment="1">
      <alignment horizontal="center" vertical="center"/>
    </xf>
    <xf numFmtId="0" fontId="82" fillId="0" borderId="19" xfId="114" applyNumberFormat="1" applyFont="1" applyBorder="1" applyAlignment="1">
      <alignment horizontal="center" vertical="center"/>
    </xf>
    <xf numFmtId="0" fontId="82" fillId="0" borderId="15" xfId="114" applyNumberFormat="1" applyFont="1" applyBorder="1" applyAlignment="1">
      <alignment vertical="center"/>
    </xf>
    <xf numFmtId="0" fontId="82" fillId="0" borderId="16" xfId="114" applyNumberFormat="1" applyFont="1" applyBorder="1" applyAlignment="1">
      <alignment vertical="center"/>
    </xf>
    <xf numFmtId="0" fontId="82" fillId="0" borderId="17" xfId="114" applyNumberFormat="1" applyFont="1" applyBorder="1" applyAlignment="1">
      <alignment vertical="center"/>
    </xf>
    <xf numFmtId="164" fontId="82" fillId="0" borderId="19" xfId="44" applyNumberFormat="1" applyFont="1" applyBorder="1" applyAlignment="1">
      <alignment vertical="center"/>
    </xf>
    <xf numFmtId="169" fontId="82" fillId="0" borderId="19" xfId="57" applyNumberFormat="1" applyFont="1" applyBorder="1" applyAlignment="1">
      <alignment vertical="center"/>
    </xf>
    <xf numFmtId="0" fontId="82" fillId="0" borderId="19" xfId="114" applyNumberFormat="1" applyFont="1" applyBorder="1" applyAlignment="1">
      <alignment horizontal="right" vertical="center"/>
    </xf>
    <xf numFmtId="0" fontId="82" fillId="0" borderId="16" xfId="99" applyFont="1" applyBorder="1" applyAlignment="1">
      <alignment vertical="center"/>
    </xf>
    <xf numFmtId="0" fontId="82" fillId="0" borderId="17" xfId="99" applyFont="1" applyBorder="1" applyAlignment="1">
      <alignment vertical="center"/>
    </xf>
    <xf numFmtId="164" fontId="82" fillId="0" borderId="19" xfId="38" applyNumberFormat="1" applyFont="1" applyBorder="1" applyAlignment="1">
      <alignment horizontal="center" vertical="center"/>
    </xf>
    <xf numFmtId="168" fontId="82" fillId="0" borderId="19" xfId="38" applyNumberFormat="1" applyFont="1" applyBorder="1" applyAlignment="1">
      <alignment vertical="center"/>
    </xf>
    <xf numFmtId="168" fontId="82" fillId="0" borderId="19" xfId="34" applyNumberFormat="1" applyFont="1" applyBorder="1" applyAlignment="1">
      <alignment vertical="center"/>
    </xf>
    <xf numFmtId="0" fontId="81" fillId="0" borderId="19" xfId="67" applyFont="1" applyBorder="1" applyAlignment="1">
      <alignment horizontal="center" vertical="center"/>
    </xf>
    <xf numFmtId="168" fontId="82" fillId="0" borderId="19" xfId="114" applyNumberFormat="1" applyFont="1" applyBorder="1" applyAlignment="1">
      <alignment vertical="center"/>
    </xf>
    <xf numFmtId="0" fontId="82" fillId="0" borderId="15" xfId="111" applyNumberFormat="1" applyFont="1" applyBorder="1" applyAlignment="1">
      <alignment vertical="center"/>
    </xf>
    <xf numFmtId="0" fontId="82" fillId="0" borderId="19" xfId="99" applyFont="1" applyBorder="1" applyAlignment="1">
      <alignment horizontal="center" vertical="center"/>
    </xf>
    <xf numFmtId="0" fontId="81" fillId="0" borderId="19" xfId="114" applyNumberFormat="1" applyFont="1" applyBorder="1" applyAlignment="1">
      <alignment horizontal="center" vertical="center"/>
    </xf>
    <xf numFmtId="0" fontId="81" fillId="0" borderId="15" xfId="114" applyNumberFormat="1" applyFont="1" applyBorder="1" applyAlignment="1">
      <alignment vertical="center"/>
    </xf>
    <xf numFmtId="0" fontId="81" fillId="0" borderId="19" xfId="114" applyNumberFormat="1" applyFont="1" applyBorder="1" applyAlignment="1">
      <alignment horizontal="right" vertical="center"/>
    </xf>
    <xf numFmtId="0" fontId="81" fillId="0" borderId="19" xfId="99" applyFont="1" applyBorder="1" applyAlignment="1">
      <alignment horizontal="center" vertical="center"/>
    </xf>
    <xf numFmtId="0" fontId="87" fillId="0" borderId="17" xfId="87" applyFont="1" applyBorder="1" applyAlignment="1">
      <alignment horizontal="right" vertical="center"/>
    </xf>
    <xf numFmtId="164" fontId="87" fillId="0" borderId="19" xfId="44" applyNumberFormat="1" applyFont="1" applyBorder="1" applyAlignment="1">
      <alignment vertical="center"/>
    </xf>
    <xf numFmtId="0" fontId="87" fillId="0" borderId="19" xfId="114" applyNumberFormat="1" applyFont="1" applyBorder="1" applyAlignment="1">
      <alignment vertical="center"/>
    </xf>
    <xf numFmtId="0" fontId="87" fillId="0" borderId="19" xfId="99" applyFont="1" applyBorder="1" applyAlignment="1">
      <alignment horizontal="center" vertical="center"/>
    </xf>
    <xf numFmtId="0" fontId="87" fillId="0" borderId="15" xfId="99" applyFont="1" applyBorder="1" applyAlignment="1">
      <alignment vertical="center"/>
    </xf>
    <xf numFmtId="0" fontId="82" fillId="0" borderId="19" xfId="99" applyFont="1" applyBorder="1" applyAlignment="1">
      <alignment vertical="center"/>
    </xf>
    <xf numFmtId="164" fontId="82" fillId="0" borderId="19" xfId="34" applyFont="1" applyBorder="1" applyAlignment="1">
      <alignment vertical="center"/>
    </xf>
    <xf numFmtId="168" fontId="82" fillId="0" borderId="19" xfId="99" applyNumberFormat="1" applyFont="1" applyBorder="1" applyAlignment="1">
      <alignment vertical="center"/>
    </xf>
    <xf numFmtId="0" fontId="82" fillId="0" borderId="19" xfId="99" applyFont="1" applyBorder="1" applyAlignment="1">
      <alignment horizontal="right" vertical="center"/>
    </xf>
    <xf numFmtId="0" fontId="82" fillId="0" borderId="16" xfId="99" applyFont="1" applyBorder="1" applyAlignment="1">
      <alignment vertical="center" wrapText="1"/>
    </xf>
    <xf numFmtId="0" fontId="82" fillId="0" borderId="17" xfId="99" applyFont="1" applyBorder="1" applyAlignment="1">
      <alignment vertical="center" wrapText="1"/>
    </xf>
    <xf numFmtId="164" fontId="82" fillId="0" borderId="19" xfId="34" applyFont="1" applyBorder="1" applyAlignment="1">
      <alignment vertical="center" wrapText="1"/>
    </xf>
    <xf numFmtId="0" fontId="81" fillId="0" borderId="27" xfId="99" applyFont="1" applyBorder="1" applyAlignment="1">
      <alignment horizontal="center" vertical="center"/>
    </xf>
    <xf numFmtId="0" fontId="81" fillId="0" borderId="25" xfId="114" applyNumberFormat="1" applyFont="1" applyBorder="1" applyAlignment="1">
      <alignment vertical="center"/>
    </xf>
    <xf numFmtId="0" fontId="82" fillId="0" borderId="3" xfId="99" applyFont="1" applyBorder="1" applyAlignment="1">
      <alignment vertical="center" wrapText="1"/>
    </xf>
    <xf numFmtId="0" fontId="82" fillId="0" borderId="26" xfId="99" applyFont="1" applyBorder="1" applyAlignment="1">
      <alignment vertical="center" wrapText="1"/>
    </xf>
    <xf numFmtId="164" fontId="82" fillId="0" borderId="27" xfId="44" applyNumberFormat="1" applyFont="1" applyBorder="1" applyAlignment="1">
      <alignment vertical="center" wrapText="1"/>
    </xf>
    <xf numFmtId="0" fontId="82" fillId="0" borderId="27" xfId="102" applyFont="1" applyBorder="1" applyAlignment="1">
      <alignment horizontal="center" vertical="center"/>
    </xf>
    <xf numFmtId="168" fontId="82" fillId="0" borderId="27" xfId="57" applyNumberFormat="1" applyFont="1" applyBorder="1" applyAlignment="1">
      <alignment vertical="center" wrapText="1"/>
    </xf>
    <xf numFmtId="0" fontId="82" fillId="0" borderId="27" xfId="99" applyFont="1" applyBorder="1" applyAlignment="1">
      <alignment horizontal="center" vertical="center"/>
    </xf>
    <xf numFmtId="0" fontId="82" fillId="0" borderId="37" xfId="99" applyFont="1" applyBorder="1" applyAlignment="1">
      <alignment horizontal="right" vertical="center"/>
    </xf>
    <xf numFmtId="0" fontId="82" fillId="0" borderId="34" xfId="99" applyFont="1" applyBorder="1" applyAlignment="1">
      <alignment vertical="center"/>
    </xf>
    <xf numFmtId="0" fontId="82" fillId="0" borderId="35" xfId="99" applyFont="1" applyBorder="1" applyAlignment="1">
      <alignment vertical="center"/>
    </xf>
    <xf numFmtId="164" fontId="82" fillId="0" borderId="37" xfId="34" applyFont="1" applyBorder="1" applyAlignment="1">
      <alignment vertical="center"/>
    </xf>
    <xf numFmtId="0" fontId="87" fillId="0" borderId="37" xfId="99" applyFont="1" applyBorder="1" applyAlignment="1">
      <alignment horizontal="center" vertical="center"/>
    </xf>
    <xf numFmtId="168" fontId="87" fillId="0" borderId="37" xfId="34" applyNumberFormat="1" applyFont="1" applyBorder="1" applyAlignment="1">
      <alignment vertical="center"/>
    </xf>
    <xf numFmtId="168" fontId="87" fillId="0" borderId="37" xfId="99" applyNumberFormat="1" applyFont="1" applyBorder="1" applyAlignment="1">
      <alignment vertical="center"/>
    </xf>
    <xf numFmtId="0" fontId="82" fillId="0" borderId="37" xfId="99" applyFont="1" applyBorder="1" applyAlignment="1">
      <alignment horizontal="center" vertical="center"/>
    </xf>
    <xf numFmtId="0" fontId="82" fillId="0" borderId="37" xfId="102" applyFont="1" applyBorder="1" applyAlignment="1">
      <alignment horizontal="center" vertical="center"/>
    </xf>
    <xf numFmtId="0" fontId="87" fillId="0" borderId="24" xfId="99" applyFont="1" applyBorder="1" applyAlignment="1">
      <alignment horizontal="center" vertical="center"/>
    </xf>
    <xf numFmtId="0" fontId="87" fillId="0" borderId="21" xfId="99" applyFont="1" applyBorder="1" applyAlignment="1">
      <alignment vertical="center"/>
    </xf>
    <xf numFmtId="0" fontId="82" fillId="0" borderId="22" xfId="99" applyFont="1" applyBorder="1" applyAlignment="1">
      <alignment vertical="center"/>
    </xf>
    <xf numFmtId="0" fontId="87" fillId="0" borderId="23" xfId="99" applyFont="1" applyBorder="1" applyAlignment="1">
      <alignment horizontal="right" vertical="center"/>
    </xf>
    <xf numFmtId="164" fontId="82" fillId="0" borderId="24" xfId="34" applyFont="1" applyBorder="1" applyAlignment="1">
      <alignment vertical="center"/>
    </xf>
    <xf numFmtId="168" fontId="87" fillId="0" borderId="24" xfId="34" applyNumberFormat="1" applyFont="1" applyBorder="1" applyAlignment="1">
      <alignment vertical="center"/>
    </xf>
    <xf numFmtId="168" fontId="87" fillId="0" borderId="24" xfId="99" applyNumberFormat="1" applyFont="1" applyBorder="1" applyAlignment="1">
      <alignment vertical="center"/>
    </xf>
    <xf numFmtId="0" fontId="82" fillId="0" borderId="24" xfId="99" applyFont="1" applyBorder="1" applyAlignment="1">
      <alignment horizontal="center" vertical="center"/>
    </xf>
    <xf numFmtId="0" fontId="82" fillId="0" borderId="24" xfId="102" applyFont="1" applyBorder="1" applyAlignment="1">
      <alignment horizontal="center" vertical="center"/>
    </xf>
    <xf numFmtId="0" fontId="87" fillId="0" borderId="17" xfId="99" applyFont="1" applyBorder="1" applyAlignment="1">
      <alignment horizontal="right" vertical="center"/>
    </xf>
    <xf numFmtId="0" fontId="90" fillId="0" borderId="16" xfId="99" applyFont="1" applyBorder="1" applyAlignment="1">
      <alignment vertical="center"/>
    </xf>
    <xf numFmtId="0" fontId="90" fillId="0" borderId="17" xfId="99" applyFont="1" applyBorder="1" applyAlignment="1">
      <alignment vertical="center"/>
    </xf>
    <xf numFmtId="0" fontId="82" fillId="0" borderId="15" xfId="87" applyFont="1" applyBorder="1" applyAlignment="1">
      <alignment vertical="center"/>
    </xf>
    <xf numFmtId="0" fontId="82" fillId="0" borderId="16" xfId="87" applyFont="1" applyBorder="1" applyAlignment="1">
      <alignment vertical="center"/>
    </xf>
    <xf numFmtId="0" fontId="82" fillId="0" borderId="17" xfId="87" applyFont="1" applyBorder="1" applyAlignment="1">
      <alignment vertical="center"/>
    </xf>
    <xf numFmtId="164" fontId="82" fillId="0" borderId="19" xfId="17" applyFont="1" applyBorder="1" applyAlignment="1">
      <alignment vertical="center"/>
    </xf>
    <xf numFmtId="0" fontId="81" fillId="0" borderId="27" xfId="114" applyNumberFormat="1" applyFont="1" applyBorder="1" applyAlignment="1">
      <alignment horizontal="center" vertical="center"/>
    </xf>
    <xf numFmtId="0" fontId="82" fillId="0" borderId="25" xfId="99" applyFont="1" applyBorder="1" applyAlignment="1">
      <alignment vertical="center"/>
    </xf>
    <xf numFmtId="0" fontId="90" fillId="0" borderId="3" xfId="99" applyFont="1" applyBorder="1" applyAlignment="1">
      <alignment vertical="center"/>
    </xf>
    <xf numFmtId="0" fontId="90" fillId="0" borderId="26" xfId="99" applyFont="1" applyBorder="1" applyAlignment="1">
      <alignment vertical="center"/>
    </xf>
    <xf numFmtId="164" fontId="82" fillId="0" borderId="27" xfId="34" applyFont="1" applyBorder="1" applyAlignment="1">
      <alignment vertical="center"/>
    </xf>
    <xf numFmtId="168" fontId="82" fillId="0" borderId="27" xfId="44" applyNumberFormat="1" applyFont="1" applyBorder="1" applyAlignment="1">
      <alignment vertical="center"/>
    </xf>
    <xf numFmtId="164" fontId="82" fillId="0" borderId="24" xfId="39" applyNumberFormat="1" applyFont="1" applyBorder="1" applyAlignment="1">
      <alignment vertical="center"/>
    </xf>
    <xf numFmtId="0" fontId="82" fillId="0" borderId="24" xfId="101" applyFont="1" applyBorder="1" applyAlignment="1">
      <alignment horizontal="center" vertical="center"/>
    </xf>
    <xf numFmtId="168" fontId="82" fillId="0" borderId="24" xfId="31" applyNumberFormat="1" applyFont="1" applyBorder="1" applyAlignment="1">
      <alignment vertical="center"/>
    </xf>
    <xf numFmtId="168" fontId="82" fillId="0" borderId="24" xfId="101" applyNumberFormat="1" applyFont="1" applyBorder="1" applyAlignment="1">
      <alignment vertical="center"/>
    </xf>
    <xf numFmtId="0" fontId="82" fillId="0" borderId="16" xfId="101" applyFont="1" applyBorder="1" applyAlignment="1">
      <alignment vertical="center"/>
    </xf>
    <xf numFmtId="0" fontId="82" fillId="0" borderId="17" xfId="101" applyFont="1" applyBorder="1" applyAlignment="1">
      <alignment vertical="center"/>
    </xf>
    <xf numFmtId="164" fontId="82" fillId="0" borderId="19" xfId="39" applyNumberFormat="1" applyFont="1" applyBorder="1" applyAlignment="1">
      <alignment vertical="center"/>
    </xf>
    <xf numFmtId="0" fontId="82" fillId="0" borderId="19" xfId="101" applyFont="1" applyBorder="1" applyAlignment="1">
      <alignment horizontal="center" vertical="center"/>
    </xf>
    <xf numFmtId="168" fontId="82" fillId="0" borderId="19" xfId="32" applyNumberFormat="1" applyFont="1" applyBorder="1" applyAlignment="1">
      <alignment vertical="center"/>
    </xf>
    <xf numFmtId="168" fontId="82" fillId="0" borderId="19" xfId="52" applyNumberFormat="1" applyFont="1" applyBorder="1" applyAlignment="1">
      <alignment vertical="center"/>
    </xf>
    <xf numFmtId="0" fontId="87" fillId="0" borderId="19" xfId="101" applyFont="1" applyBorder="1" applyAlignment="1">
      <alignment horizontal="center" vertical="center"/>
    </xf>
    <xf numFmtId="0" fontId="87" fillId="0" borderId="15" xfId="87" applyFont="1" applyBorder="1" applyAlignment="1">
      <alignment horizontal="right" vertical="center"/>
    </xf>
    <xf numFmtId="0" fontId="87" fillId="0" borderId="16" xfId="87" applyFont="1" applyBorder="1" applyAlignment="1">
      <alignment horizontal="right" vertical="center"/>
    </xf>
    <xf numFmtId="164" fontId="87" fillId="0" borderId="19" xfId="17" applyFont="1" applyBorder="1" applyAlignment="1">
      <alignment vertical="center"/>
    </xf>
    <xf numFmtId="0" fontId="87" fillId="0" borderId="19" xfId="87" applyFont="1" applyBorder="1" applyAlignment="1">
      <alignment horizontal="center" vertical="center"/>
    </xf>
    <xf numFmtId="168" fontId="87" fillId="0" borderId="19" xfId="51" applyNumberFormat="1" applyFont="1" applyBorder="1" applyAlignment="1">
      <alignment vertical="center"/>
    </xf>
    <xf numFmtId="168" fontId="82" fillId="0" borderId="19" xfId="27" applyNumberFormat="1" applyFont="1" applyBorder="1" applyAlignment="1">
      <alignment vertical="center"/>
    </xf>
    <xf numFmtId="168" fontId="82" fillId="0" borderId="19" xfId="17" applyNumberFormat="1" applyFont="1" applyBorder="1" applyAlignment="1">
      <alignment vertical="center"/>
    </xf>
    <xf numFmtId="168" fontId="89" fillId="0" borderId="19" xfId="0" applyNumberFormat="1" applyFont="1" applyBorder="1" applyAlignment="1">
      <alignment vertical="center" wrapText="1"/>
    </xf>
    <xf numFmtId="168" fontId="89" fillId="0" borderId="19" xfId="57" applyNumberFormat="1" applyFont="1" applyBorder="1" applyAlignment="1">
      <alignment vertical="center" wrapText="1"/>
    </xf>
    <xf numFmtId="43" fontId="89" fillId="0" borderId="19" xfId="119" applyFont="1" applyBorder="1" applyAlignment="1">
      <alignment vertical="center" wrapText="1"/>
    </xf>
    <xf numFmtId="0" fontId="87" fillId="0" borderId="15" xfId="91" applyFont="1" applyBorder="1" applyAlignment="1">
      <alignment horizontal="right" vertical="center"/>
    </xf>
    <xf numFmtId="0" fontId="87" fillId="0" borderId="16" xfId="91" applyFont="1" applyBorder="1" applyAlignment="1">
      <alignment horizontal="right" vertical="center"/>
    </xf>
    <xf numFmtId="164" fontId="87" fillId="0" borderId="19" xfId="29" applyFont="1" applyBorder="1" applyAlignment="1">
      <alignment vertical="center"/>
    </xf>
    <xf numFmtId="168" fontId="82" fillId="0" borderId="19" xfId="54" applyNumberFormat="1" applyFont="1" applyBorder="1" applyAlignment="1">
      <alignment vertical="center"/>
    </xf>
    <xf numFmtId="168" fontId="82" fillId="0" borderId="19" xfId="58" applyNumberFormat="1" applyFont="1" applyBorder="1" applyAlignment="1">
      <alignment vertical="center"/>
    </xf>
    <xf numFmtId="168" fontId="87" fillId="0" borderId="19" xfId="91" applyNumberFormat="1" applyFont="1" applyBorder="1" applyAlignment="1">
      <alignment vertical="center"/>
    </xf>
    <xf numFmtId="0" fontId="82" fillId="0" borderId="19" xfId="91" applyFont="1" applyBorder="1" applyAlignment="1">
      <alignment vertical="center"/>
    </xf>
    <xf numFmtId="0" fontId="82" fillId="0" borderId="19" xfId="109" applyNumberFormat="1" applyFont="1" applyBorder="1" applyAlignment="1">
      <alignment horizontal="right" vertical="center"/>
    </xf>
    <xf numFmtId="168" fontId="82" fillId="0" borderId="19" xfId="91" applyNumberFormat="1" applyFont="1" applyBorder="1" applyAlignment="1">
      <alignment vertical="center" wrapText="1"/>
    </xf>
    <xf numFmtId="168" fontId="89" fillId="0" borderId="19" xfId="91" applyNumberFormat="1" applyFont="1" applyBorder="1" applyAlignment="1">
      <alignment vertical="center"/>
    </xf>
    <xf numFmtId="168" fontId="89" fillId="0" borderId="19" xfId="18" applyNumberFormat="1" applyFont="1" applyBorder="1" applyAlignment="1">
      <alignment vertical="center"/>
    </xf>
    <xf numFmtId="0" fontId="91" fillId="0" borderId="16" xfId="91" applyFont="1" applyBorder="1" applyAlignment="1">
      <alignment vertical="center"/>
    </xf>
    <xf numFmtId="0" fontId="91" fillId="0" borderId="17" xfId="91" applyFont="1" applyBorder="1" applyAlignment="1">
      <alignment vertical="center"/>
    </xf>
    <xf numFmtId="164" fontId="82" fillId="0" borderId="27" xfId="18" applyFont="1" applyBorder="1" applyAlignment="1">
      <alignment vertical="center"/>
    </xf>
    <xf numFmtId="168" fontId="82" fillId="0" borderId="27" xfId="91" applyNumberFormat="1" applyFont="1" applyBorder="1" applyAlignment="1">
      <alignment vertical="center"/>
    </xf>
    <xf numFmtId="0" fontId="82" fillId="0" borderId="34" xfId="91" applyFont="1" applyBorder="1" applyAlignment="1">
      <alignment vertical="center"/>
    </xf>
    <xf numFmtId="0" fontId="82" fillId="0" borderId="35" xfId="91" applyFont="1" applyBorder="1" applyAlignment="1">
      <alignment vertical="center"/>
    </xf>
    <xf numFmtId="164" fontId="87" fillId="0" borderId="37" xfId="18" applyFont="1" applyBorder="1" applyAlignment="1">
      <alignment vertical="center"/>
    </xf>
    <xf numFmtId="168" fontId="87" fillId="0" borderId="37" xfId="18" applyNumberFormat="1" applyFont="1" applyBorder="1" applyAlignment="1">
      <alignment vertical="center"/>
    </xf>
    <xf numFmtId="0" fontId="82" fillId="0" borderId="22" xfId="91" applyFont="1" applyBorder="1" applyAlignment="1">
      <alignment vertical="center"/>
    </xf>
    <xf numFmtId="0" fontId="82" fillId="0" borderId="23" xfId="91" applyFont="1" applyBorder="1" applyAlignment="1">
      <alignment vertical="center"/>
    </xf>
    <xf numFmtId="164" fontId="82" fillId="0" borderId="24" xfId="18" applyFont="1" applyBorder="1" applyAlignment="1">
      <alignment vertical="center"/>
    </xf>
    <xf numFmtId="168" fontId="82" fillId="0" borderId="24" xfId="91" applyNumberFormat="1" applyFont="1" applyBorder="1" applyAlignment="1">
      <alignment vertical="center"/>
    </xf>
    <xf numFmtId="168" fontId="82" fillId="0" borderId="24" xfId="18" applyNumberFormat="1" applyFont="1" applyBorder="1" applyAlignment="1">
      <alignment vertical="center"/>
    </xf>
    <xf numFmtId="0" fontId="82" fillId="0" borderId="15" xfId="91" applyFont="1" applyBorder="1" applyAlignment="1">
      <alignment horizontal="left" vertical="center"/>
    </xf>
    <xf numFmtId="0" fontId="82" fillId="0" borderId="16" xfId="91" applyFont="1" applyBorder="1" applyAlignment="1">
      <alignment horizontal="left" vertical="center" wrapText="1"/>
    </xf>
    <xf numFmtId="0" fontId="82" fillId="0" borderId="17" xfId="91" applyFont="1" applyBorder="1" applyAlignment="1">
      <alignment horizontal="left" vertical="center" wrapText="1"/>
    </xf>
    <xf numFmtId="168" fontId="82" fillId="0" borderId="19" xfId="64" applyNumberFormat="1" applyFont="1" applyBorder="1" applyAlignment="1">
      <alignment vertical="center"/>
    </xf>
    <xf numFmtId="0" fontId="82" fillId="0" borderId="17" xfId="91" applyFont="1" applyBorder="1"/>
    <xf numFmtId="0" fontId="87" fillId="0" borderId="17" xfId="91" applyFont="1" applyBorder="1" applyAlignment="1">
      <alignment horizontal="right" vertical="center"/>
    </xf>
    <xf numFmtId="0" fontId="82" fillId="0" borderId="16" xfId="91" applyFont="1" applyBorder="1" applyAlignment="1">
      <alignment horizontal="left" vertical="center"/>
    </xf>
    <xf numFmtId="0" fontId="82" fillId="0" borderId="17" xfId="91" applyFont="1" applyBorder="1" applyAlignment="1">
      <alignment horizontal="left" vertical="center"/>
    </xf>
    <xf numFmtId="168" fontId="82" fillId="0" borderId="19" xfId="64" applyNumberFormat="1" applyFont="1" applyBorder="1" applyAlignment="1">
      <alignment vertical="center" wrapText="1"/>
    </xf>
    <xf numFmtId="168" fontId="87" fillId="0" borderId="37" xfId="102" applyNumberFormat="1" applyFont="1" applyBorder="1" applyAlignment="1">
      <alignment vertical="center"/>
    </xf>
    <xf numFmtId="43" fontId="86" fillId="0" borderId="37" xfId="0" applyNumberFormat="1" applyFont="1" applyBorder="1" applyAlignment="1">
      <alignment horizontal="center"/>
    </xf>
    <xf numFmtId="0" fontId="82" fillId="0" borderId="22" xfId="102" applyFont="1" applyBorder="1" applyAlignment="1">
      <alignment vertical="center"/>
    </xf>
    <xf numFmtId="0" fontId="82" fillId="0" borderId="23" xfId="102" applyFont="1" applyBorder="1" applyAlignment="1">
      <alignment vertical="center"/>
    </xf>
    <xf numFmtId="0" fontId="82" fillId="0" borderId="24" xfId="91" applyFont="1" applyBorder="1" applyAlignment="1">
      <alignment vertical="center"/>
    </xf>
    <xf numFmtId="0" fontId="82" fillId="0" borderId="24" xfId="102" applyFont="1" applyBorder="1" applyAlignment="1">
      <alignment vertical="center"/>
    </xf>
    <xf numFmtId="0" fontId="82" fillId="0" borderId="24" xfId="85" applyFont="1" applyBorder="1" applyAlignment="1">
      <alignment vertical="center"/>
    </xf>
    <xf numFmtId="0" fontId="82" fillId="0" borderId="16" xfId="102" applyFont="1" applyBorder="1" applyAlignment="1">
      <alignment vertical="center"/>
    </xf>
    <xf numFmtId="0" fontId="82" fillId="0" borderId="17" xfId="102" applyFont="1" applyBorder="1" applyAlignment="1">
      <alignment vertical="center"/>
    </xf>
    <xf numFmtId="168" fontId="82" fillId="0" borderId="19" xfId="102" applyNumberFormat="1" applyFont="1" applyBorder="1" applyAlignment="1">
      <alignment vertical="center"/>
    </xf>
    <xf numFmtId="0" fontId="82" fillId="0" borderId="15" xfId="102" applyFont="1" applyBorder="1" applyAlignment="1">
      <alignment vertical="center"/>
    </xf>
    <xf numFmtId="168" fontId="82" fillId="0" borderId="19" xfId="78" applyNumberFormat="1" applyFont="1" applyBorder="1" applyAlignment="1">
      <alignment vertical="center"/>
    </xf>
    <xf numFmtId="0" fontId="82" fillId="0" borderId="19" xfId="102" applyFont="1" applyBorder="1" applyAlignment="1">
      <alignment horizontal="right" vertical="center"/>
    </xf>
    <xf numFmtId="168" fontId="82" fillId="0" borderId="19" xfId="102" applyNumberFormat="1" applyFont="1" applyBorder="1" applyAlignment="1">
      <alignment vertical="center" wrapText="1"/>
    </xf>
    <xf numFmtId="0" fontId="82" fillId="0" borderId="15" xfId="73" applyFont="1" applyBorder="1" applyAlignment="1">
      <alignment vertical="center"/>
    </xf>
    <xf numFmtId="0" fontId="82" fillId="0" borderId="16" xfId="73" applyFont="1" applyBorder="1" applyAlignment="1">
      <alignment vertical="center"/>
    </xf>
    <xf numFmtId="0" fontId="82" fillId="0" borderId="17" xfId="73" applyFont="1" applyBorder="1" applyAlignment="1">
      <alignment vertical="center"/>
    </xf>
    <xf numFmtId="164" fontId="82" fillId="0" borderId="19" xfId="73" applyNumberFormat="1" applyFont="1" applyBorder="1" applyAlignment="1">
      <alignment vertical="center"/>
    </xf>
    <xf numFmtId="0" fontId="82" fillId="0" borderId="19" xfId="73" applyFont="1" applyBorder="1" applyAlignment="1">
      <alignment horizontal="center" vertical="center"/>
    </xf>
    <xf numFmtId="168" fontId="89" fillId="0" borderId="19" xfId="102" applyNumberFormat="1" applyFont="1" applyBorder="1" applyAlignment="1">
      <alignment vertical="center"/>
    </xf>
    <xf numFmtId="168" fontId="89" fillId="0" borderId="19" xfId="56" applyNumberFormat="1" applyFont="1" applyBorder="1" applyAlignment="1">
      <alignment vertical="center"/>
    </xf>
    <xf numFmtId="0" fontId="82" fillId="0" borderId="19" xfId="78" applyFont="1" applyBorder="1" applyAlignment="1">
      <alignment horizontal="center" vertical="center"/>
    </xf>
    <xf numFmtId="0" fontId="91" fillId="0" borderId="16" xfId="102" applyFont="1" applyBorder="1" applyAlignment="1">
      <alignment vertical="center"/>
    </xf>
    <xf numFmtId="0" fontId="91" fillId="0" borderId="17" xfId="102" applyFont="1" applyBorder="1" applyAlignment="1">
      <alignment vertical="center"/>
    </xf>
    <xf numFmtId="0" fontId="82" fillId="0" borderId="19" xfId="102" applyFont="1" applyBorder="1" applyAlignment="1">
      <alignment vertical="center"/>
    </xf>
    <xf numFmtId="168" fontId="82" fillId="0" borderId="19" xfId="26" applyNumberFormat="1" applyFont="1" applyBorder="1" applyAlignment="1">
      <alignment vertical="center"/>
    </xf>
    <xf numFmtId="0" fontId="87" fillId="0" borderId="17" xfId="87" applyFont="1" applyBorder="1" applyAlignment="1">
      <alignment horizontal="right" vertical="center" wrapText="1"/>
    </xf>
    <xf numFmtId="0" fontId="87" fillId="0" borderId="19" xfId="102" applyFont="1" applyBorder="1" applyAlignment="1">
      <alignment horizontal="center" vertical="center"/>
    </xf>
    <xf numFmtId="168" fontId="87" fillId="0" borderId="19" xfId="102" applyNumberFormat="1" applyFont="1" applyBorder="1" applyAlignment="1">
      <alignment vertical="center"/>
    </xf>
    <xf numFmtId="168" fontId="87" fillId="0" borderId="19" xfId="29" applyNumberFormat="1" applyFont="1" applyBorder="1" applyAlignment="1">
      <alignment vertical="center"/>
    </xf>
    <xf numFmtId="0" fontId="82" fillId="0" borderId="16" xfId="102" applyFont="1" applyBorder="1" applyAlignment="1">
      <alignment horizontal="left" vertical="center" wrapText="1"/>
    </xf>
    <xf numFmtId="0" fontId="82" fillId="0" borderId="17" xfId="102" applyFont="1" applyBorder="1" applyAlignment="1">
      <alignment horizontal="left" vertical="center" wrapText="1"/>
    </xf>
    <xf numFmtId="168" fontId="82" fillId="0" borderId="19" xfId="53" applyNumberFormat="1" applyFont="1" applyBorder="1" applyAlignment="1">
      <alignment vertical="center"/>
    </xf>
    <xf numFmtId="0" fontId="82" fillId="0" borderId="19" xfId="91" applyFont="1" applyBorder="1"/>
    <xf numFmtId="169" fontId="82" fillId="0" borderId="19" xfId="0" applyNumberFormat="1" applyFont="1" applyBorder="1"/>
    <xf numFmtId="169" fontId="87" fillId="0" borderId="19" xfId="0" applyNumberFormat="1" applyFont="1" applyBorder="1"/>
    <xf numFmtId="169" fontId="82" fillId="0" borderId="19" xfId="56" applyNumberFormat="1" applyFont="1" applyBorder="1"/>
    <xf numFmtId="169" fontId="87" fillId="0" borderId="19" xfId="56" applyNumberFormat="1" applyFont="1" applyBorder="1"/>
    <xf numFmtId="43" fontId="82" fillId="0" borderId="19" xfId="119" applyFont="1" applyBorder="1"/>
    <xf numFmtId="43" fontId="87" fillId="0" borderId="19" xfId="119" applyFont="1" applyBorder="1"/>
    <xf numFmtId="169" fontId="82" fillId="0" borderId="19" xfId="56" applyNumberFormat="1" applyFont="1" applyBorder="1" applyAlignment="1">
      <alignment vertical="center"/>
    </xf>
    <xf numFmtId="169" fontId="87" fillId="0" borderId="19" xfId="56" applyNumberFormat="1" applyFont="1" applyBorder="1" applyAlignment="1">
      <alignment vertical="center"/>
    </xf>
    <xf numFmtId="168" fontId="82" fillId="0" borderId="19" xfId="51" applyNumberFormat="1" applyFont="1" applyBorder="1" applyAlignment="1">
      <alignment vertical="center"/>
    </xf>
    <xf numFmtId="168" fontId="87" fillId="0" borderId="19" xfId="56" applyNumberFormat="1" applyFont="1" applyBorder="1" applyAlignment="1">
      <alignment vertical="center"/>
    </xf>
    <xf numFmtId="0" fontId="82" fillId="0" borderId="15" xfId="91" applyFont="1" applyBorder="1" applyAlignment="1">
      <alignment horizontal="left" vertical="center" wrapText="1"/>
    </xf>
    <xf numFmtId="168" fontId="82" fillId="0" borderId="19" xfId="75" applyNumberFormat="1" applyFont="1" applyBorder="1" applyAlignment="1">
      <alignment vertical="center"/>
    </xf>
    <xf numFmtId="164" fontId="87" fillId="0" borderId="19" xfId="18" applyFont="1" applyBorder="1" applyAlignment="1">
      <alignment vertical="center"/>
    </xf>
    <xf numFmtId="168" fontId="87" fillId="0" borderId="19" xfId="85" applyNumberFormat="1" applyFont="1" applyBorder="1" applyAlignment="1">
      <alignment vertical="center"/>
    </xf>
    <xf numFmtId="168" fontId="87" fillId="0" borderId="19" xfId="18" applyNumberFormat="1" applyFont="1" applyBorder="1" applyAlignment="1">
      <alignment vertical="center"/>
    </xf>
    <xf numFmtId="168" fontId="87" fillId="0" borderId="19" xfId="64" applyNumberFormat="1" applyFont="1" applyBorder="1" applyAlignment="1">
      <alignment vertical="center"/>
    </xf>
    <xf numFmtId="0" fontId="82" fillId="0" borderId="15" xfId="75" applyFont="1" applyBorder="1" applyAlignment="1">
      <alignment vertical="center"/>
    </xf>
    <xf numFmtId="0" fontId="82" fillId="0" borderId="16" xfId="75" applyFont="1" applyBorder="1" applyAlignment="1">
      <alignment vertical="center"/>
    </xf>
    <xf numFmtId="0" fontId="82" fillId="0" borderId="17" xfId="75" applyFont="1" applyBorder="1" applyAlignment="1">
      <alignment vertical="center"/>
    </xf>
    <xf numFmtId="164" fontId="82" fillId="0" borderId="19" xfId="75" applyNumberFormat="1" applyFont="1" applyBorder="1" applyAlignment="1">
      <alignment vertical="center"/>
    </xf>
    <xf numFmtId="0" fontId="82" fillId="0" borderId="19" xfId="75" applyFont="1" applyBorder="1" applyAlignment="1">
      <alignment horizontal="center" vertical="center"/>
    </xf>
    <xf numFmtId="0" fontId="81" fillId="0" borderId="19" xfId="91" applyFont="1" applyBorder="1" applyAlignment="1">
      <alignment horizontal="center" vertical="center"/>
    </xf>
    <xf numFmtId="0" fontId="81" fillId="0" borderId="15" xfId="91" applyFont="1" applyBorder="1" applyAlignment="1">
      <alignment vertical="center"/>
    </xf>
    <xf numFmtId="0" fontId="82" fillId="0" borderId="15" xfId="97" applyFont="1" applyBorder="1" applyAlignment="1">
      <alignment vertical="center"/>
    </xf>
    <xf numFmtId="0" fontId="87" fillId="0" borderId="15" xfId="87" applyFont="1" applyBorder="1" applyAlignment="1">
      <alignment vertical="center"/>
    </xf>
    <xf numFmtId="0" fontId="82" fillId="0" borderId="19" xfId="87" applyFont="1" applyBorder="1" applyAlignment="1">
      <alignment vertical="center"/>
    </xf>
    <xf numFmtId="0" fontId="82" fillId="0" borderId="19" xfId="87" applyFont="1" applyBorder="1" applyAlignment="1">
      <alignment horizontal="right" vertical="center"/>
    </xf>
    <xf numFmtId="168" fontId="87" fillId="0" borderId="19" xfId="17" applyNumberFormat="1" applyFont="1" applyBorder="1" applyAlignment="1">
      <alignment vertical="center"/>
    </xf>
    <xf numFmtId="0" fontId="83" fillId="0" borderId="19" xfId="87" applyFont="1" applyBorder="1" applyAlignment="1">
      <alignment horizontal="center" vertical="center"/>
    </xf>
    <xf numFmtId="0" fontId="83" fillId="0" borderId="15" xfId="87" applyFont="1" applyBorder="1" applyAlignment="1">
      <alignment vertical="center"/>
    </xf>
    <xf numFmtId="0" fontId="82" fillId="0" borderId="27" xfId="87" applyFont="1" applyBorder="1" applyAlignment="1">
      <alignment horizontal="center" vertical="center"/>
    </xf>
    <xf numFmtId="0" fontId="82" fillId="0" borderId="25" xfId="87" applyFont="1" applyBorder="1" applyAlignment="1">
      <alignment vertical="center"/>
    </xf>
    <xf numFmtId="0" fontId="82" fillId="0" borderId="3" xfId="87" applyFont="1" applyBorder="1" applyAlignment="1">
      <alignment vertical="center"/>
    </xf>
    <xf numFmtId="0" fontId="82" fillId="0" borderId="26" xfId="87" applyFont="1" applyBorder="1" applyAlignment="1">
      <alignment vertical="center"/>
    </xf>
    <xf numFmtId="164" fontId="82" fillId="0" borderId="27" xfId="17" applyFont="1" applyBorder="1" applyAlignment="1">
      <alignment vertical="center"/>
    </xf>
    <xf numFmtId="168" fontId="82" fillId="0" borderId="27" xfId="51" applyNumberFormat="1" applyFont="1" applyBorder="1" applyAlignment="1">
      <alignment vertical="center"/>
    </xf>
    <xf numFmtId="0" fontId="82" fillId="0" borderId="37" xfId="87" applyFont="1" applyBorder="1" applyAlignment="1">
      <alignment horizontal="center" vertical="center"/>
    </xf>
    <xf numFmtId="0" fontId="82" fillId="0" borderId="34" xfId="87" applyFont="1" applyBorder="1" applyAlignment="1">
      <alignment vertical="center"/>
    </xf>
    <xf numFmtId="0" fontId="82" fillId="0" borderId="35" xfId="87" applyFont="1" applyBorder="1" applyAlignment="1">
      <alignment vertical="center"/>
    </xf>
    <xf numFmtId="164" fontId="87" fillId="0" borderId="37" xfId="17" applyFont="1" applyBorder="1" applyAlignment="1">
      <alignment vertical="center"/>
    </xf>
    <xf numFmtId="0" fontId="87" fillId="0" borderId="37" xfId="87" applyFont="1" applyBorder="1" applyAlignment="1">
      <alignment horizontal="center" vertical="center"/>
    </xf>
    <xf numFmtId="0" fontId="87" fillId="0" borderId="24" xfId="0" applyFont="1" applyBorder="1" applyAlignment="1">
      <alignment horizontal="center" vertical="center"/>
    </xf>
    <xf numFmtId="0" fontId="87" fillId="0" borderId="21" xfId="0" applyFont="1" applyBorder="1" applyAlignment="1">
      <alignment vertical="center"/>
    </xf>
    <xf numFmtId="0" fontId="82" fillId="0" borderId="22" xfId="87" applyFont="1" applyBorder="1" applyAlignment="1">
      <alignment vertical="center"/>
    </xf>
    <xf numFmtId="0" fontId="87" fillId="0" borderId="23" xfId="87" applyFont="1" applyBorder="1" applyAlignment="1">
      <alignment horizontal="right" vertical="center"/>
    </xf>
    <xf numFmtId="164" fontId="87" fillId="0" borderId="24" xfId="17" applyFont="1" applyBorder="1" applyAlignment="1">
      <alignment vertical="center"/>
    </xf>
    <xf numFmtId="0" fontId="87" fillId="0" borderId="24" xfId="87" applyFont="1" applyBorder="1" applyAlignment="1">
      <alignment horizontal="center" vertical="center"/>
    </xf>
    <xf numFmtId="168" fontId="87" fillId="0" borderId="24" xfId="18" applyNumberFormat="1" applyFont="1" applyBorder="1" applyAlignment="1">
      <alignment vertical="center"/>
    </xf>
    <xf numFmtId="0" fontId="82" fillId="0" borderId="24" xfId="87" applyFont="1" applyBorder="1" applyAlignment="1">
      <alignment horizontal="center" vertical="center"/>
    </xf>
    <xf numFmtId="0" fontId="87" fillId="0" borderId="19" xfId="0" applyFont="1" applyBorder="1" applyAlignment="1">
      <alignment horizontal="center" vertical="center"/>
    </xf>
    <xf numFmtId="168" fontId="82" fillId="0" borderId="19" xfId="71" applyNumberFormat="1" applyFont="1" applyBorder="1" applyAlignment="1">
      <alignment vertical="center"/>
    </xf>
    <xf numFmtId="0" fontId="82" fillId="0" borderId="27" xfId="0" applyFont="1" applyBorder="1" applyAlignment="1">
      <alignment horizontal="right" vertical="center"/>
    </xf>
    <xf numFmtId="168" fontId="82" fillId="0" borderId="27" xfId="9" applyNumberFormat="1" applyFont="1" applyBorder="1" applyAlignment="1">
      <alignment vertical="center"/>
    </xf>
    <xf numFmtId="164" fontId="87" fillId="0" borderId="37" xfId="9" applyFont="1" applyBorder="1" applyAlignment="1">
      <alignment vertical="center"/>
    </xf>
    <xf numFmtId="168" fontId="87" fillId="0" borderId="37" xfId="9" applyNumberFormat="1" applyFont="1" applyBorder="1" applyAlignment="1">
      <alignment vertical="center"/>
    </xf>
    <xf numFmtId="0" fontId="91" fillId="0" borderId="37" xfId="87" applyFont="1" applyBorder="1" applyAlignment="1">
      <alignment horizontal="center" vertical="center"/>
    </xf>
    <xf numFmtId="168" fontId="82" fillId="0" borderId="24" xfId="9" applyNumberFormat="1" applyFont="1" applyBorder="1" applyAlignment="1">
      <alignment vertical="center"/>
    </xf>
    <xf numFmtId="0" fontId="81" fillId="0" borderId="24" xfId="87" applyFont="1" applyBorder="1" applyAlignment="1">
      <alignment horizontal="center" vertical="center"/>
    </xf>
    <xf numFmtId="0" fontId="82" fillId="0" borderId="25" xfId="0" applyFont="1" applyBorder="1" applyAlignment="1">
      <alignment vertical="center"/>
    </xf>
    <xf numFmtId="0" fontId="87" fillId="0" borderId="26" xfId="87" applyFont="1" applyBorder="1" applyAlignment="1">
      <alignment horizontal="right" vertical="center"/>
    </xf>
    <xf numFmtId="0" fontId="87" fillId="0" borderId="21" xfId="87" applyFont="1" applyBorder="1" applyAlignment="1">
      <alignment vertical="center"/>
    </xf>
    <xf numFmtId="0" fontId="82" fillId="0" borderId="23" xfId="87" applyFont="1" applyBorder="1" applyAlignment="1">
      <alignment vertical="center"/>
    </xf>
    <xf numFmtId="0" fontId="82" fillId="0" borderId="24" xfId="87" applyFont="1" applyBorder="1" applyAlignment="1">
      <alignment vertical="center"/>
    </xf>
    <xf numFmtId="168" fontId="82" fillId="0" borderId="19" xfId="72" applyNumberFormat="1" applyFont="1" applyBorder="1" applyAlignment="1">
      <alignment vertical="center"/>
    </xf>
    <xf numFmtId="0" fontId="82" fillId="0" borderId="37" xfId="87" applyFont="1" applyBorder="1" applyAlignment="1">
      <alignment horizontal="right" vertical="center"/>
    </xf>
    <xf numFmtId="164" fontId="82" fillId="0" borderId="24" xfId="17" applyFont="1" applyBorder="1" applyAlignment="1">
      <alignment vertical="center"/>
    </xf>
    <xf numFmtId="168" fontId="82" fillId="0" borderId="24" xfId="51" applyNumberFormat="1" applyFont="1" applyBorder="1" applyAlignment="1">
      <alignment vertical="center"/>
    </xf>
    <xf numFmtId="169" fontId="82" fillId="0" borderId="19" xfId="51" applyNumberFormat="1" applyFont="1" applyBorder="1" applyAlignment="1">
      <alignment vertical="center"/>
    </xf>
    <xf numFmtId="0" fontId="82" fillId="0" borderId="25" xfId="67" applyFont="1" applyBorder="1" applyAlignment="1">
      <alignment vertical="center"/>
    </xf>
    <xf numFmtId="0" fontId="81" fillId="0" borderId="3" xfId="67" applyFont="1" applyBorder="1" applyAlignment="1">
      <alignment vertical="center"/>
    </xf>
    <xf numFmtId="0" fontId="81" fillId="0" borderId="26" xfId="67" applyFont="1" applyBorder="1" applyAlignment="1">
      <alignment vertical="center"/>
    </xf>
    <xf numFmtId="169" fontId="82" fillId="0" borderId="27" xfId="51" applyNumberFormat="1" applyFont="1" applyBorder="1" applyAlignment="1">
      <alignment vertical="center"/>
    </xf>
    <xf numFmtId="0" fontId="81" fillId="0" borderId="27" xfId="67" applyFont="1" applyBorder="1" applyAlignment="1">
      <alignment horizontal="center" vertical="center"/>
    </xf>
    <xf numFmtId="168" fontId="87" fillId="0" borderId="37" xfId="17" applyNumberFormat="1" applyFont="1" applyBorder="1" applyAlignment="1">
      <alignment vertical="center"/>
    </xf>
    <xf numFmtId="10" fontId="87" fillId="0" borderId="37" xfId="117" applyNumberFormat="1" applyFont="1" applyBorder="1" applyAlignment="1">
      <alignment horizontal="right" vertical="center"/>
    </xf>
    <xf numFmtId="43" fontId="87" fillId="0" borderId="37" xfId="117" applyNumberFormat="1" applyFont="1" applyBorder="1" applyAlignment="1">
      <alignment horizontal="right" vertical="center"/>
    </xf>
    <xf numFmtId="10" fontId="82" fillId="0" borderId="24" xfId="87" applyNumberFormat="1" applyFont="1" applyBorder="1" applyAlignment="1">
      <alignment horizontal="right" vertical="center"/>
    </xf>
    <xf numFmtId="10" fontId="82" fillId="0" borderId="19" xfId="117" applyNumberFormat="1" applyFont="1" applyBorder="1" applyAlignment="1">
      <alignment horizontal="right" vertical="center"/>
    </xf>
    <xf numFmtId="164" fontId="82" fillId="0" borderId="19" xfId="85" applyNumberFormat="1" applyFont="1" applyBorder="1" applyAlignment="1">
      <alignment vertical="center"/>
    </xf>
    <xf numFmtId="0" fontId="82" fillId="0" borderId="19" xfId="85" applyFont="1" applyBorder="1" applyAlignment="1">
      <alignment horizontal="center" vertical="center"/>
    </xf>
    <xf numFmtId="0" fontId="92" fillId="0" borderId="19" xfId="0" applyFont="1" applyBorder="1" applyAlignment="1">
      <alignment horizontal="center"/>
    </xf>
    <xf numFmtId="164" fontId="82" fillId="0" borderId="19" xfId="99" applyNumberFormat="1" applyFont="1" applyBorder="1" applyAlignment="1">
      <alignment vertical="center"/>
    </xf>
    <xf numFmtId="10" fontId="87" fillId="0" borderId="19" xfId="117" applyNumberFormat="1" applyFont="1" applyBorder="1" applyAlignment="1">
      <alignment horizontal="right" vertical="center"/>
    </xf>
    <xf numFmtId="0" fontId="82" fillId="0" borderId="15" xfId="87" applyFont="1" applyBorder="1" applyAlignment="1">
      <alignment horizontal="left" vertical="center"/>
    </xf>
    <xf numFmtId="0" fontId="82" fillId="0" borderId="16" xfId="87" applyFont="1" applyBorder="1" applyAlignment="1">
      <alignment horizontal="left" vertical="center" wrapText="1"/>
    </xf>
    <xf numFmtId="0" fontId="82" fillId="0" borderId="17" xfId="87" applyFont="1" applyBorder="1" applyAlignment="1">
      <alignment horizontal="left" vertical="center" wrapText="1"/>
    </xf>
    <xf numFmtId="10" fontId="87" fillId="0" borderId="19" xfId="87" applyNumberFormat="1" applyFont="1" applyBorder="1" applyAlignment="1">
      <alignment horizontal="right" vertical="center"/>
    </xf>
    <xf numFmtId="0" fontId="82" fillId="0" borderId="16" xfId="106" applyNumberFormat="1" applyFont="1" applyBorder="1" applyAlignment="1">
      <alignment vertical="center"/>
    </xf>
    <xf numFmtId="0" fontId="82" fillId="0" borderId="17" xfId="106" applyNumberFormat="1" applyFont="1" applyBorder="1" applyAlignment="1">
      <alignment vertical="center"/>
    </xf>
    <xf numFmtId="0" fontId="82" fillId="0" borderId="19" xfId="106" applyNumberFormat="1" applyFont="1" applyBorder="1" applyAlignment="1">
      <alignment vertical="center"/>
    </xf>
    <xf numFmtId="0" fontId="82" fillId="0" borderId="19" xfId="64" applyFont="1" applyBorder="1" applyAlignment="1">
      <alignment vertical="center"/>
    </xf>
    <xf numFmtId="10" fontId="82" fillId="0" borderId="19" xfId="106" applyNumberFormat="1" applyFont="1" applyBorder="1" applyAlignment="1">
      <alignment horizontal="right" vertical="center"/>
    </xf>
    <xf numFmtId="164" fontId="82" fillId="0" borderId="19" xfId="41" applyNumberFormat="1" applyFont="1" applyBorder="1" applyAlignment="1">
      <alignment vertical="center"/>
    </xf>
    <xf numFmtId="168" fontId="82" fillId="0" borderId="19" xfId="41" applyNumberFormat="1" applyFont="1" applyBorder="1" applyAlignment="1">
      <alignment vertical="center"/>
    </xf>
    <xf numFmtId="0" fontId="82" fillId="0" borderId="15" xfId="106" applyNumberFormat="1" applyFont="1" applyBorder="1" applyAlignment="1">
      <alignment vertical="center"/>
    </xf>
    <xf numFmtId="168" fontId="82" fillId="0" borderId="19" xfId="60" applyNumberFormat="1" applyFont="1" applyBorder="1" applyAlignment="1">
      <alignment vertical="center"/>
    </xf>
    <xf numFmtId="168" fontId="82" fillId="0" borderId="19" xfId="60" applyNumberFormat="1" applyFont="1" applyBorder="1" applyAlignment="1">
      <alignment vertical="center" wrapText="1"/>
    </xf>
    <xf numFmtId="0" fontId="87" fillId="0" borderId="17" xfId="106" applyNumberFormat="1" applyFont="1" applyBorder="1" applyAlignment="1">
      <alignment horizontal="right" vertical="center"/>
    </xf>
    <xf numFmtId="0" fontId="87" fillId="0" borderId="19" xfId="106" applyNumberFormat="1" applyFont="1" applyBorder="1" applyAlignment="1">
      <alignment horizontal="center" vertical="center"/>
    </xf>
    <xf numFmtId="168" fontId="82" fillId="0" borderId="19" xfId="106" applyNumberFormat="1" applyFont="1" applyBorder="1" applyAlignment="1">
      <alignment vertical="center"/>
    </xf>
    <xf numFmtId="0" fontId="82" fillId="0" borderId="19" xfId="106" applyNumberFormat="1" applyFont="1" applyBorder="1" applyAlignment="1">
      <alignment horizontal="right" vertical="center"/>
    </xf>
    <xf numFmtId="168" fontId="82" fillId="0" borderId="19" xfId="42" applyNumberFormat="1" applyFont="1" applyBorder="1" applyAlignment="1">
      <alignment vertical="center"/>
    </xf>
    <xf numFmtId="0" fontId="91" fillId="0" borderId="16" xfId="106" applyNumberFormat="1" applyFont="1" applyBorder="1" applyAlignment="1">
      <alignment vertical="center"/>
    </xf>
    <xf numFmtId="0" fontId="91" fillId="0" borderId="17" xfId="106" applyNumberFormat="1" applyFont="1" applyBorder="1" applyAlignment="1">
      <alignment vertical="center"/>
    </xf>
    <xf numFmtId="0" fontId="82" fillId="0" borderId="15" xfId="107" applyNumberFormat="1" applyFont="1" applyBorder="1" applyAlignment="1">
      <alignment vertical="center"/>
    </xf>
    <xf numFmtId="0" fontId="82" fillId="0" borderId="19" xfId="91" applyFont="1" applyBorder="1" applyAlignment="1">
      <alignment horizontal="center"/>
    </xf>
    <xf numFmtId="0" fontId="82" fillId="0" borderId="15" xfId="93" applyFont="1" applyBorder="1" applyAlignment="1">
      <alignment vertical="center"/>
    </xf>
    <xf numFmtId="0" fontId="82" fillId="0" borderId="16" xfId="93" applyFont="1" applyBorder="1" applyAlignment="1">
      <alignment vertical="center"/>
    </xf>
    <xf numFmtId="0" fontId="82" fillId="0" borderId="17" xfId="93" applyFont="1" applyBorder="1" applyAlignment="1">
      <alignment vertical="center"/>
    </xf>
    <xf numFmtId="0" fontId="82" fillId="0" borderId="19" xfId="93" applyFont="1" applyBorder="1" applyAlignment="1">
      <alignment horizontal="center" vertical="center"/>
    </xf>
    <xf numFmtId="168" fontId="82" fillId="0" borderId="19" xfId="81" applyNumberFormat="1" applyFont="1" applyBorder="1" applyAlignment="1">
      <alignment vertical="center"/>
    </xf>
    <xf numFmtId="164" fontId="82" fillId="0" borderId="19" xfId="106" applyNumberFormat="1" applyFont="1" applyBorder="1" applyAlignment="1">
      <alignment vertical="center"/>
    </xf>
    <xf numFmtId="164" fontId="87" fillId="0" borderId="19" xfId="41" applyNumberFormat="1" applyFont="1" applyBorder="1" applyAlignment="1">
      <alignment vertical="center"/>
    </xf>
    <xf numFmtId="168" fontId="87" fillId="0" borderId="19" xfId="41" applyNumberFormat="1" applyFont="1" applyBorder="1" applyAlignment="1">
      <alignment vertical="center"/>
    </xf>
    <xf numFmtId="168" fontId="87" fillId="0" borderId="19" xfId="106" applyNumberFormat="1" applyFont="1" applyBorder="1" applyAlignment="1">
      <alignment vertical="center"/>
    </xf>
    <xf numFmtId="10" fontId="87" fillId="0" borderId="19" xfId="106" applyNumberFormat="1" applyFont="1" applyBorder="1" applyAlignment="1">
      <alignment horizontal="right" vertical="center"/>
    </xf>
    <xf numFmtId="0" fontId="82" fillId="0" borderId="15" xfId="78" applyFont="1" applyBorder="1" applyAlignment="1">
      <alignment vertical="center"/>
    </xf>
    <xf numFmtId="0" fontId="81" fillId="0" borderId="16" xfId="0" applyFont="1" applyBorder="1" applyAlignment="1">
      <alignment horizontal="left" vertical="center"/>
    </xf>
    <xf numFmtId="0" fontId="81" fillId="0" borderId="17" xfId="0" applyFont="1" applyBorder="1" applyAlignment="1">
      <alignment horizontal="left" vertical="center"/>
    </xf>
    <xf numFmtId="0" fontId="81" fillId="0" borderId="19" xfId="0" applyFont="1" applyBorder="1" applyAlignment="1">
      <alignment horizontal="right" vertical="center"/>
    </xf>
    <xf numFmtId="0" fontId="82" fillId="0" borderId="27" xfId="87" applyFont="1" applyBorder="1" applyAlignment="1">
      <alignment horizontal="right" vertical="center"/>
    </xf>
    <xf numFmtId="0" fontId="82" fillId="0" borderId="25" xfId="0" applyFont="1" applyBorder="1" applyAlignment="1">
      <alignment horizontal="left" vertical="center"/>
    </xf>
    <xf numFmtId="0" fontId="81" fillId="0" borderId="3" xfId="0" applyFont="1" applyBorder="1" applyAlignment="1">
      <alignment horizontal="left" vertical="center"/>
    </xf>
    <xf numFmtId="0" fontId="81" fillId="0" borderId="26" xfId="0" applyFont="1" applyBorder="1" applyAlignment="1">
      <alignment horizontal="left" vertical="center"/>
    </xf>
    <xf numFmtId="0" fontId="81" fillId="0" borderId="27" xfId="0" applyFont="1" applyBorder="1" applyAlignment="1">
      <alignment horizontal="center" vertical="center"/>
    </xf>
    <xf numFmtId="0" fontId="81" fillId="0" borderId="22" xfId="0" applyFont="1" applyBorder="1" applyAlignment="1">
      <alignment vertical="center"/>
    </xf>
    <xf numFmtId="0" fontId="81" fillId="0" borderId="23" xfId="0" applyFont="1" applyBorder="1" applyAlignment="1">
      <alignment vertical="center"/>
    </xf>
    <xf numFmtId="164" fontId="82" fillId="0" borderId="24" xfId="0" applyNumberFormat="1" applyFont="1" applyBorder="1" applyAlignment="1">
      <alignment vertical="center"/>
    </xf>
    <xf numFmtId="0" fontId="81" fillId="0" borderId="24" xfId="0" applyFont="1" applyBorder="1" applyAlignment="1">
      <alignment horizontal="center" vertical="center"/>
    </xf>
    <xf numFmtId="168" fontId="82" fillId="0" borderId="24" xfId="17" applyNumberFormat="1" applyFont="1" applyBorder="1" applyAlignment="1">
      <alignment vertical="center"/>
    </xf>
    <xf numFmtId="10" fontId="82" fillId="0" borderId="24" xfId="117" applyNumberFormat="1" applyFont="1" applyBorder="1" applyAlignment="1">
      <alignment horizontal="right" vertical="center"/>
    </xf>
    <xf numFmtId="164" fontId="82" fillId="0" borderId="19" xfId="0" applyNumberFormat="1" applyFont="1" applyBorder="1" applyAlignment="1">
      <alignment vertical="center"/>
    </xf>
    <xf numFmtId="0" fontId="81" fillId="0" borderId="16" xfId="0" applyFont="1" applyBorder="1" applyAlignment="1">
      <alignment horizontal="left" vertical="center" wrapText="1"/>
    </xf>
    <xf numFmtId="0" fontId="81" fillId="0" borderId="17" xfId="0" applyFont="1" applyBorder="1" applyAlignment="1">
      <alignment horizontal="left" vertical="center" wrapText="1"/>
    </xf>
    <xf numFmtId="0" fontId="81" fillId="0" borderId="15" xfId="0" applyFont="1" applyBorder="1" applyAlignment="1">
      <alignment vertical="center"/>
    </xf>
    <xf numFmtId="164" fontId="81" fillId="0" borderId="19" xfId="0" applyNumberFormat="1" applyFont="1" applyBorder="1" applyAlignment="1">
      <alignment vertical="center"/>
    </xf>
    <xf numFmtId="168" fontId="81" fillId="0" borderId="19" xfId="18" applyNumberFormat="1" applyFont="1" applyBorder="1" applyAlignment="1">
      <alignment vertical="center"/>
    </xf>
    <xf numFmtId="168" fontId="81" fillId="0" borderId="19" xfId="51" applyNumberFormat="1" applyFont="1" applyBorder="1" applyAlignment="1">
      <alignment vertical="center"/>
    </xf>
    <xf numFmtId="0" fontId="81" fillId="0" borderId="19" xfId="106" applyNumberFormat="1" applyFont="1" applyBorder="1" applyAlignment="1">
      <alignment horizontal="center" vertical="center"/>
    </xf>
    <xf numFmtId="168" fontId="81" fillId="0" borderId="19" xfId="0" applyNumberFormat="1" applyFont="1" applyBorder="1" applyAlignment="1">
      <alignment vertical="center" wrapText="1"/>
    </xf>
    <xf numFmtId="168" fontId="81" fillId="0" borderId="19" xfId="60" applyNumberFormat="1" applyFont="1" applyBorder="1" applyAlignment="1">
      <alignment vertical="center" wrapText="1"/>
    </xf>
    <xf numFmtId="168" fontId="81" fillId="0" borderId="19" xfId="71" applyNumberFormat="1" applyFont="1" applyBorder="1" applyAlignment="1">
      <alignment vertical="center"/>
    </xf>
    <xf numFmtId="43" fontId="81" fillId="0" borderId="19" xfId="119" applyFont="1" applyBorder="1" applyAlignment="1">
      <alignment vertical="center" wrapText="1"/>
    </xf>
    <xf numFmtId="0" fontId="81" fillId="0" borderId="27" xfId="0" applyFont="1" applyBorder="1" applyAlignment="1">
      <alignment horizontal="right" vertical="center"/>
    </xf>
    <xf numFmtId="0" fontId="81" fillId="0" borderId="3" xfId="0" applyFont="1" applyBorder="1" applyAlignment="1">
      <alignment horizontal="left" vertical="center" wrapText="1"/>
    </xf>
    <xf numFmtId="0" fontId="81" fillId="0" borderId="26" xfId="0" applyFont="1" applyBorder="1" applyAlignment="1">
      <alignment horizontal="left" vertical="center" wrapText="1"/>
    </xf>
    <xf numFmtId="164" fontId="81" fillId="0" borderId="27" xfId="0" applyNumberFormat="1" applyFont="1" applyBorder="1" applyAlignment="1">
      <alignment vertical="center"/>
    </xf>
    <xf numFmtId="168" fontId="82" fillId="0" borderId="27" xfId="71" applyNumberFormat="1" applyFont="1" applyBorder="1" applyAlignment="1">
      <alignment vertical="center"/>
    </xf>
    <xf numFmtId="0" fontId="81" fillId="0" borderId="3" xfId="0" applyFont="1" applyBorder="1" applyAlignment="1">
      <alignment vertical="center"/>
    </xf>
    <xf numFmtId="0" fontId="81" fillId="0" borderId="26" xfId="0" applyFont="1" applyBorder="1" applyAlignment="1">
      <alignment vertical="center"/>
    </xf>
    <xf numFmtId="164" fontId="82" fillId="0" borderId="27" xfId="0" applyNumberFormat="1" applyFont="1" applyBorder="1" applyAlignment="1">
      <alignment vertical="center"/>
    </xf>
    <xf numFmtId="0" fontId="82" fillId="0" borderId="19" xfId="88" applyFont="1" applyBorder="1" applyAlignment="1">
      <alignment horizontal="center" vertical="center"/>
    </xf>
    <xf numFmtId="0" fontId="82" fillId="0" borderId="27" xfId="88" applyFont="1" applyBorder="1" applyAlignment="1">
      <alignment horizontal="center" vertical="center"/>
    </xf>
    <xf numFmtId="0" fontId="82" fillId="0" borderId="3" xfId="0" applyFont="1" applyBorder="1" applyAlignment="1">
      <alignment horizontal="left" vertical="center"/>
    </xf>
    <xf numFmtId="0" fontId="82" fillId="0" borderId="26" xfId="0" applyFont="1" applyBorder="1" applyAlignment="1">
      <alignment horizontal="left" vertical="center"/>
    </xf>
    <xf numFmtId="168" fontId="87" fillId="0" borderId="37" xfId="85" applyNumberFormat="1" applyFont="1" applyBorder="1" applyAlignment="1">
      <alignment vertical="center"/>
    </xf>
    <xf numFmtId="0" fontId="82" fillId="0" borderId="21" xfId="87" applyFont="1" applyBorder="1" applyAlignment="1">
      <alignment vertical="center"/>
    </xf>
    <xf numFmtId="168" fontId="87" fillId="0" borderId="24" xfId="17" applyNumberFormat="1" applyFont="1" applyBorder="1" applyAlignment="1">
      <alignment vertical="center"/>
    </xf>
    <xf numFmtId="168" fontId="87" fillId="0" borderId="24" xfId="85" applyNumberFormat="1" applyFont="1" applyBorder="1" applyAlignment="1">
      <alignment vertical="center"/>
    </xf>
    <xf numFmtId="43" fontId="85" fillId="0" borderId="24" xfId="119" applyFont="1" applyBorder="1" applyAlignment="1">
      <alignment horizontal="right" vertical="center"/>
    </xf>
    <xf numFmtId="10" fontId="87" fillId="0" borderId="24" xfId="117" applyNumberFormat="1" applyFont="1" applyBorder="1" applyAlignment="1">
      <alignment horizontal="right" vertical="center"/>
    </xf>
    <xf numFmtId="164" fontId="87" fillId="0" borderId="27" xfId="17" applyFont="1" applyBorder="1" applyAlignment="1">
      <alignment vertical="center"/>
    </xf>
    <xf numFmtId="0" fontId="87" fillId="0" borderId="27" xfId="87" applyFont="1" applyBorder="1" applyAlignment="1">
      <alignment horizontal="center" vertical="center"/>
    </xf>
    <xf numFmtId="168" fontId="87" fillId="0" borderId="27" xfId="0" applyNumberFormat="1" applyFont="1" applyBorder="1" applyAlignment="1">
      <alignment vertical="center"/>
    </xf>
    <xf numFmtId="168" fontId="87" fillId="0" borderId="27" xfId="17" applyNumberFormat="1" applyFont="1" applyBorder="1" applyAlignment="1">
      <alignment vertical="center"/>
    </xf>
    <xf numFmtId="168" fontId="87" fillId="0" borderId="27" xfId="87" applyNumberFormat="1" applyFont="1" applyBorder="1" applyAlignment="1">
      <alignment vertical="center"/>
    </xf>
    <xf numFmtId="168" fontId="87" fillId="0" borderId="27" xfId="85" applyNumberFormat="1" applyFont="1" applyBorder="1" applyAlignment="1">
      <alignment vertical="center"/>
    </xf>
    <xf numFmtId="43" fontId="87" fillId="0" borderId="27" xfId="119" applyFont="1" applyBorder="1" applyAlignment="1">
      <alignment vertical="center"/>
    </xf>
    <xf numFmtId="43" fontId="85" fillId="0" borderId="27" xfId="119" applyFont="1" applyBorder="1" applyAlignment="1">
      <alignment horizontal="right" vertical="center"/>
    </xf>
    <xf numFmtId="10" fontId="87" fillId="0" borderId="27" xfId="117" applyNumberFormat="1" applyFont="1" applyBorder="1" applyAlignment="1">
      <alignment horizontal="right" vertical="center"/>
    </xf>
    <xf numFmtId="182" fontId="87" fillId="0" borderId="37" xfId="120" applyNumberFormat="1" applyFont="1" applyBorder="1" applyAlignment="1">
      <alignment horizontal="right" vertical="center"/>
    </xf>
    <xf numFmtId="0" fontId="82" fillId="0" borderId="63" xfId="87" applyFont="1" applyBorder="1" applyAlignment="1">
      <alignment horizontal="center" vertical="center"/>
    </xf>
    <xf numFmtId="0" fontId="82" fillId="0" borderId="63" xfId="87" applyFont="1" applyBorder="1" applyAlignment="1">
      <alignment vertical="center"/>
    </xf>
    <xf numFmtId="0" fontId="87" fillId="0" borderId="63" xfId="87" applyFont="1" applyBorder="1" applyAlignment="1">
      <alignment horizontal="right" vertical="center"/>
    </xf>
    <xf numFmtId="164" fontId="87" fillId="0" borderId="63" xfId="17" applyFont="1" applyBorder="1" applyAlignment="1">
      <alignment vertical="center"/>
    </xf>
    <xf numFmtId="0" fontId="87" fillId="0" borderId="63" xfId="87" applyFont="1" applyBorder="1" applyAlignment="1">
      <alignment horizontal="center" vertical="center"/>
    </xf>
    <xf numFmtId="168" fontId="87" fillId="0" borderId="63" xfId="0" applyNumberFormat="1" applyFont="1" applyBorder="1" applyAlignment="1">
      <alignment vertical="center"/>
    </xf>
    <xf numFmtId="168" fontId="87" fillId="0" borderId="63" xfId="17" applyNumberFormat="1" applyFont="1" applyBorder="1" applyAlignment="1">
      <alignment vertical="center"/>
    </xf>
    <xf numFmtId="168" fontId="87" fillId="0" borderId="63" xfId="87" applyNumberFormat="1" applyFont="1" applyBorder="1" applyAlignment="1">
      <alignment vertical="center"/>
    </xf>
    <xf numFmtId="168" fontId="87" fillId="0" borderId="63" xfId="85" applyNumberFormat="1" applyFont="1" applyBorder="1" applyAlignment="1">
      <alignment vertical="center"/>
    </xf>
    <xf numFmtId="43" fontId="87" fillId="0" borderId="63" xfId="119" applyFont="1" applyBorder="1" applyAlignment="1">
      <alignment vertical="center"/>
    </xf>
    <xf numFmtId="43" fontId="85" fillId="0" borderId="63" xfId="119" applyFont="1" applyBorder="1" applyAlignment="1">
      <alignment horizontal="right" vertical="center"/>
    </xf>
    <xf numFmtId="10" fontId="87" fillId="0" borderId="63" xfId="117" applyNumberFormat="1" applyFont="1" applyBorder="1" applyAlignment="1">
      <alignment horizontal="right" vertical="center"/>
    </xf>
    <xf numFmtId="43" fontId="87" fillId="0" borderId="63" xfId="117" applyNumberFormat="1" applyFont="1" applyBorder="1" applyAlignment="1">
      <alignment horizontal="right" vertical="center"/>
    </xf>
    <xf numFmtId="0" fontId="87" fillId="0" borderId="63" xfId="117" applyNumberFormat="1" applyFont="1" applyBorder="1" applyAlignment="1">
      <alignment horizontal="right" vertical="center"/>
    </xf>
    <xf numFmtId="0" fontId="86" fillId="0" borderId="63" xfId="0" applyFont="1" applyBorder="1" applyAlignment="1">
      <alignment horizontal="center"/>
    </xf>
    <xf numFmtId="0" fontId="82" fillId="0" borderId="0" xfId="87" applyFont="1" applyAlignment="1">
      <alignment horizontal="center" vertical="center"/>
    </xf>
    <xf numFmtId="0" fontId="82" fillId="0" borderId="0" xfId="87" applyFont="1" applyAlignment="1">
      <alignment vertical="center"/>
    </xf>
    <xf numFmtId="0" fontId="87" fillId="0" borderId="0" xfId="87" applyFont="1" applyAlignment="1">
      <alignment horizontal="right" vertical="center"/>
    </xf>
    <xf numFmtId="164" fontId="87" fillId="0" borderId="0" xfId="17" applyFont="1" applyAlignment="1">
      <alignment vertical="center"/>
    </xf>
    <xf numFmtId="0" fontId="87" fillId="0" borderId="0" xfId="87" applyFont="1" applyAlignment="1">
      <alignment horizontal="center" vertical="center"/>
    </xf>
    <xf numFmtId="168" fontId="87" fillId="0" borderId="0" xfId="0" applyNumberFormat="1" applyFont="1" applyAlignment="1">
      <alignment vertical="center"/>
    </xf>
    <xf numFmtId="168" fontId="87" fillId="0" borderId="0" xfId="17" applyNumberFormat="1" applyFont="1" applyAlignment="1">
      <alignment vertical="center"/>
    </xf>
    <xf numFmtId="168" fontId="87" fillId="0" borderId="0" xfId="87" applyNumberFormat="1" applyFont="1" applyAlignment="1">
      <alignment vertical="center"/>
    </xf>
    <xf numFmtId="168" fontId="87" fillId="0" borderId="0" xfId="85" applyNumberFormat="1" applyFont="1" applyAlignment="1">
      <alignment vertical="center"/>
    </xf>
    <xf numFmtId="43" fontId="87" fillId="0" borderId="0" xfId="119" applyFont="1" applyAlignment="1">
      <alignment vertical="center"/>
    </xf>
    <xf numFmtId="43" fontId="85" fillId="0" borderId="0" xfId="119" applyFont="1" applyAlignment="1">
      <alignment horizontal="right" vertical="center"/>
    </xf>
    <xf numFmtId="10" fontId="87" fillId="0" borderId="0" xfId="117" applyNumberFormat="1" applyFont="1" applyAlignment="1">
      <alignment horizontal="right" vertical="center"/>
    </xf>
    <xf numFmtId="41" fontId="87" fillId="0" borderId="0" xfId="120" applyFont="1" applyAlignment="1">
      <alignment horizontal="right" vertical="center"/>
    </xf>
    <xf numFmtId="43" fontId="87" fillId="0" borderId="0" xfId="117" applyNumberFormat="1" applyFont="1" applyAlignment="1">
      <alignment horizontal="right" vertical="center"/>
    </xf>
    <xf numFmtId="0" fontId="10" fillId="0" borderId="81" xfId="0" applyFont="1" applyBorder="1" applyAlignment="1">
      <alignment horizontal="center" vertical="center"/>
    </xf>
    <xf numFmtId="166" fontId="11" fillId="0" borderId="37" xfId="0" applyNumberFormat="1" applyFont="1" applyBorder="1" applyAlignment="1">
      <alignment vertical="center"/>
    </xf>
    <xf numFmtId="0" fontId="10" fillId="0" borderId="0" xfId="0" applyFont="1" applyAlignment="1">
      <alignment horizontal="right" vertical="center"/>
    </xf>
    <xf numFmtId="0" fontId="69" fillId="0" borderId="0" xfId="0" applyFont="1" applyAlignment="1">
      <alignment vertical="center"/>
    </xf>
    <xf numFmtId="0" fontId="51" fillId="0" borderId="0" xfId="0" applyFont="1" applyAlignment="1">
      <alignment horizontal="center" vertical="center"/>
    </xf>
    <xf numFmtId="0" fontId="51" fillId="0" borderId="0" xfId="0" applyFont="1" applyAlignment="1">
      <alignment vertical="center"/>
    </xf>
    <xf numFmtId="0" fontId="51" fillId="0" borderId="0" xfId="0" applyFont="1" applyAlignment="1">
      <alignment horizontal="right" vertical="center"/>
    </xf>
    <xf numFmtId="166" fontId="51" fillId="0" borderId="0" xfId="0" applyNumberFormat="1" applyFont="1" applyAlignment="1">
      <alignment vertical="center"/>
    </xf>
    <xf numFmtId="0" fontId="93" fillId="0" borderId="0" xfId="0" applyFont="1"/>
    <xf numFmtId="0" fontId="94" fillId="0" borderId="0" xfId="0" applyFont="1" applyAlignment="1">
      <alignment vertical="center"/>
    </xf>
    <xf numFmtId="0" fontId="95" fillId="0" borderId="0" xfId="0" applyFont="1" applyAlignment="1">
      <alignment horizontal="center" vertical="center"/>
    </xf>
    <xf numFmtId="0" fontId="51" fillId="0" borderId="0" xfId="0" applyFont="1" applyAlignment="1">
      <alignment horizontal="left" vertical="center"/>
    </xf>
    <xf numFmtId="181" fontId="51" fillId="0" borderId="0" xfId="119" applyNumberFormat="1" applyFont="1" applyAlignment="1">
      <alignment horizontal="center" vertical="center"/>
    </xf>
    <xf numFmtId="181" fontId="51" fillId="0" borderId="0" xfId="119" applyNumberFormat="1" applyFont="1" applyAlignment="1">
      <alignment vertical="center"/>
    </xf>
    <xf numFmtId="0" fontId="94" fillId="0" borderId="0" xfId="0" applyFont="1" applyAlignment="1">
      <alignment horizontal="center" vertical="center"/>
    </xf>
    <xf numFmtId="181" fontId="94" fillId="0" borderId="0" xfId="119" applyNumberFormat="1" applyFont="1" applyAlignment="1">
      <alignment vertical="center"/>
    </xf>
    <xf numFmtId="0" fontId="96" fillId="0" borderId="0" xfId="0" applyFont="1" applyAlignment="1">
      <alignment horizontal="center" vertical="center"/>
    </xf>
    <xf numFmtId="166" fontId="94" fillId="0" borderId="0" xfId="78" applyNumberFormat="1" applyFont="1" applyAlignment="1">
      <alignment horizontal="center" vertical="center"/>
    </xf>
    <xf numFmtId="166" fontId="51" fillId="0" borderId="0" xfId="78" applyNumberFormat="1" applyFont="1" applyAlignment="1">
      <alignment vertical="center"/>
    </xf>
    <xf numFmtId="166" fontId="51" fillId="0" borderId="0" xfId="78" applyNumberFormat="1" applyFont="1" applyAlignment="1">
      <alignment horizontal="center" vertical="center"/>
    </xf>
    <xf numFmtId="0" fontId="97" fillId="0" borderId="0" xfId="0" applyFont="1"/>
    <xf numFmtId="0" fontId="98" fillId="0" borderId="0" xfId="0" applyFont="1"/>
    <xf numFmtId="0" fontId="51" fillId="0" borderId="0" xfId="0" applyFont="1" applyAlignment="1">
      <alignment vertical="center" wrapText="1"/>
    </xf>
    <xf numFmtId="0" fontId="95" fillId="0" borderId="0" xfId="0" applyFont="1" applyAlignment="1">
      <alignment horizontal="center" vertical="top"/>
    </xf>
    <xf numFmtId="0" fontId="95" fillId="0" borderId="0" xfId="0" applyFont="1" applyAlignment="1">
      <alignment vertical="center"/>
    </xf>
    <xf numFmtId="166" fontId="96" fillId="0" borderId="0" xfId="0" applyNumberFormat="1" applyFont="1" applyAlignment="1">
      <alignment vertical="center"/>
    </xf>
    <xf numFmtId="0" fontId="99" fillId="0" borderId="0" xfId="0" applyFont="1" applyAlignment="1">
      <alignment horizontal="left" vertical="center"/>
    </xf>
    <xf numFmtId="0" fontId="99" fillId="0" borderId="0" xfId="0" applyFont="1" applyAlignment="1">
      <alignment vertical="center"/>
    </xf>
    <xf numFmtId="0" fontId="99" fillId="0" borderId="0" xfId="0" applyFont="1" applyAlignment="1">
      <alignment horizontal="right" vertical="center"/>
    </xf>
    <xf numFmtId="43" fontId="99" fillId="0" borderId="0" xfId="119" applyFont="1" applyAlignment="1">
      <alignment vertical="center"/>
    </xf>
    <xf numFmtId="0" fontId="100" fillId="0" borderId="0" xfId="0" applyFont="1"/>
    <xf numFmtId="43" fontId="99" fillId="0" borderId="0" xfId="0" applyNumberFormat="1" applyFont="1" applyAlignment="1">
      <alignment vertical="center"/>
    </xf>
    <xf numFmtId="0" fontId="102" fillId="0" borderId="45" xfId="0" applyFont="1" applyBorder="1" applyAlignment="1">
      <alignment horizontal="center" vertical="center"/>
    </xf>
    <xf numFmtId="0" fontId="102" fillId="0" borderId="119" xfId="0" applyFont="1" applyBorder="1" applyAlignment="1">
      <alignment horizontal="center" vertical="center"/>
    </xf>
    <xf numFmtId="0" fontId="102" fillId="0" borderId="7" xfId="0" applyFont="1" applyBorder="1" applyAlignment="1">
      <alignment horizontal="center" vertical="center" wrapText="1"/>
    </xf>
    <xf numFmtId="166" fontId="102" fillId="0" borderId="7" xfId="0" applyNumberFormat="1" applyFont="1" applyBorder="1" applyAlignment="1">
      <alignment horizontal="center" vertical="center" wrapText="1"/>
    </xf>
    <xf numFmtId="166" fontId="102" fillId="0" borderId="6" xfId="0" applyNumberFormat="1" applyFont="1" applyBorder="1" applyAlignment="1">
      <alignment horizontal="center" vertical="center" wrapText="1"/>
    </xf>
    <xf numFmtId="0" fontId="103" fillId="0" borderId="8" xfId="0" applyFont="1" applyBorder="1" applyAlignment="1">
      <alignment horizontal="center" vertical="center"/>
    </xf>
    <xf numFmtId="0" fontId="99" fillId="0" borderId="48" xfId="0" applyFont="1" applyBorder="1" applyAlignment="1">
      <alignment horizontal="center" vertical="center"/>
    </xf>
    <xf numFmtId="0" fontId="99" fillId="0" borderId="29" xfId="0" applyFont="1" applyBorder="1" applyAlignment="1">
      <alignment vertical="center"/>
    </xf>
    <xf numFmtId="0" fontId="99" fillId="0" borderId="30" xfId="0" applyFont="1" applyBorder="1" applyAlignment="1">
      <alignment vertical="center"/>
    </xf>
    <xf numFmtId="0" fontId="104" fillId="0" borderId="32" xfId="0" applyFont="1" applyBorder="1" applyAlignment="1">
      <alignment vertical="center"/>
    </xf>
    <xf numFmtId="0" fontId="48" fillId="0" borderId="128" xfId="0" applyFont="1" applyBorder="1" applyAlignment="1">
      <alignment horizontal="center" vertical="center"/>
    </xf>
    <xf numFmtId="0" fontId="48" fillId="0" borderId="88" xfId="0" applyFont="1" applyBorder="1" applyAlignment="1">
      <alignment vertical="center"/>
    </xf>
    <xf numFmtId="0" fontId="48" fillId="0" borderId="115" xfId="0" applyFont="1" applyBorder="1" applyAlignment="1">
      <alignment vertical="center"/>
    </xf>
    <xf numFmtId="0" fontId="48" fillId="0" borderId="116" xfId="0" applyFont="1" applyBorder="1" applyAlignment="1">
      <alignment vertical="center"/>
    </xf>
    <xf numFmtId="168" fontId="48" fillId="0" borderId="88" xfId="9" applyNumberFormat="1" applyFont="1" applyBorder="1" applyAlignment="1">
      <alignment vertical="center"/>
    </xf>
    <xf numFmtId="10" fontId="102" fillId="0" borderId="86" xfId="13" applyNumberFormat="1" applyFont="1" applyBorder="1" applyAlignment="1">
      <alignment horizontal="center" vertical="center"/>
    </xf>
    <xf numFmtId="0" fontId="48" fillId="0" borderId="67" xfId="0" applyFont="1" applyBorder="1" applyAlignment="1">
      <alignment horizontal="center" vertical="center"/>
    </xf>
    <xf numFmtId="0" fontId="48" fillId="0" borderId="29" xfId="0" applyFont="1" applyBorder="1" applyAlignment="1">
      <alignment vertical="center"/>
    </xf>
    <xf numFmtId="168" fontId="48" fillId="0" borderId="29" xfId="9" applyNumberFormat="1" applyFont="1" applyBorder="1" applyAlignment="1">
      <alignment vertical="center"/>
    </xf>
    <xf numFmtId="10" fontId="102" fillId="0" borderId="32" xfId="13" applyNumberFormat="1" applyFont="1" applyBorder="1" applyAlignment="1">
      <alignment horizontal="center" vertical="center"/>
    </xf>
    <xf numFmtId="0" fontId="105" fillId="0" borderId="0" xfId="0" applyFont="1"/>
    <xf numFmtId="0" fontId="99" fillId="0" borderId="55" xfId="0" applyFont="1" applyBorder="1" applyAlignment="1">
      <alignment horizontal="center" vertical="center"/>
    </xf>
    <xf numFmtId="0" fontId="99" fillId="0" borderId="25" xfId="0" applyFont="1" applyBorder="1" applyAlignment="1">
      <alignment vertical="center"/>
    </xf>
    <xf numFmtId="0" fontId="99" fillId="0" borderId="3" xfId="0" applyFont="1" applyBorder="1" applyAlignment="1">
      <alignment vertical="center"/>
    </xf>
    <xf numFmtId="0" fontId="99" fillId="0" borderId="26" xfId="0" applyFont="1" applyBorder="1" applyAlignment="1">
      <alignment vertical="center"/>
    </xf>
    <xf numFmtId="168" fontId="99" fillId="0" borderId="27" xfId="9" applyNumberFormat="1" applyFont="1" applyBorder="1" applyAlignment="1">
      <alignment vertical="center"/>
    </xf>
    <xf numFmtId="168" fontId="99" fillId="0" borderId="25" xfId="9" applyNumberFormat="1" applyFont="1" applyBorder="1" applyAlignment="1">
      <alignment vertical="center"/>
    </xf>
    <xf numFmtId="10" fontId="106" fillId="0" borderId="28" xfId="13" applyNumberFormat="1" applyFont="1" applyBorder="1" applyAlignment="1">
      <alignment horizontal="center" vertical="center"/>
    </xf>
    <xf numFmtId="0" fontId="48" fillId="0" borderId="129" xfId="0" applyFont="1" applyBorder="1" applyAlignment="1">
      <alignment horizontal="center" vertical="center"/>
    </xf>
    <xf numFmtId="0" fontId="48" fillId="0" borderId="82" xfId="0" applyFont="1" applyBorder="1" applyAlignment="1">
      <alignment horizontal="left" vertical="center"/>
    </xf>
    <xf numFmtId="0" fontId="48" fillId="0" borderId="130" xfId="0" applyFont="1" applyBorder="1" applyAlignment="1">
      <alignment vertical="center"/>
    </xf>
    <xf numFmtId="0" fontId="48" fillId="0" borderId="83" xfId="0" applyFont="1" applyBorder="1" applyAlignment="1">
      <alignment vertical="center"/>
    </xf>
    <xf numFmtId="168" fontId="48" fillId="0" borderId="82" xfId="9" applyNumberFormat="1" applyFont="1" applyBorder="1" applyAlignment="1">
      <alignment vertical="center"/>
    </xf>
    <xf numFmtId="10" fontId="102" fillId="0" borderId="59" xfId="13" applyNumberFormat="1" applyFont="1" applyBorder="1" applyAlignment="1">
      <alignment horizontal="center" vertical="center"/>
    </xf>
    <xf numFmtId="0" fontId="99" fillId="0" borderId="53" xfId="0" applyFont="1" applyBorder="1" applyAlignment="1">
      <alignment horizontal="center" vertical="center"/>
    </xf>
    <xf numFmtId="0" fontId="99" fillId="0" borderId="21" xfId="0" applyFont="1" applyBorder="1" applyAlignment="1">
      <alignment horizontal="left" vertical="center"/>
    </xf>
    <xf numFmtId="0" fontId="99" fillId="0" borderId="22" xfId="0" applyFont="1" applyBorder="1" applyAlignment="1">
      <alignment vertical="center"/>
    </xf>
    <xf numFmtId="0" fontId="99" fillId="0" borderId="23" xfId="0" applyFont="1" applyBorder="1" applyAlignment="1">
      <alignment vertical="center"/>
    </xf>
    <xf numFmtId="168" fontId="99" fillId="0" borderId="21" xfId="9" applyNumberFormat="1" applyFont="1" applyBorder="1" applyAlignment="1">
      <alignment vertical="center"/>
    </xf>
    <xf numFmtId="10" fontId="99" fillId="0" borderId="54" xfId="13" applyNumberFormat="1" applyFont="1" applyBorder="1" applyAlignment="1">
      <alignment horizontal="center" vertical="center"/>
    </xf>
    <xf numFmtId="0" fontId="99" fillId="0" borderId="14" xfId="0" applyFont="1" applyBorder="1" applyAlignment="1">
      <alignment horizontal="center" vertical="center"/>
    </xf>
    <xf numFmtId="0" fontId="99" fillId="0" borderId="15" xfId="0" applyFont="1" applyBorder="1" applyAlignment="1">
      <alignment horizontal="left" vertical="center"/>
    </xf>
    <xf numFmtId="0" fontId="99" fillId="0" borderId="16" xfId="0" applyFont="1" applyBorder="1" applyAlignment="1">
      <alignment vertical="center"/>
    </xf>
    <xf numFmtId="0" fontId="99" fillId="0" borderId="17" xfId="0" applyFont="1" applyBorder="1" applyAlignment="1">
      <alignment vertical="center"/>
    </xf>
    <xf numFmtId="168" fontId="99" fillId="0" borderId="15" xfId="9" applyNumberFormat="1" applyFont="1" applyBorder="1" applyAlignment="1">
      <alignment vertical="center"/>
    </xf>
    <xf numFmtId="10" fontId="99" fillId="0" borderId="20" xfId="13" applyNumberFormat="1" applyFont="1" applyBorder="1" applyAlignment="1">
      <alignment horizontal="center" vertical="center"/>
    </xf>
    <xf numFmtId="0" fontId="48" fillId="0" borderId="82" xfId="0" applyFont="1" applyBorder="1" applyAlignment="1">
      <alignment vertical="center"/>
    </xf>
    <xf numFmtId="0" fontId="99" fillId="0" borderId="130" xfId="0" applyFont="1" applyBorder="1" applyAlignment="1">
      <alignment vertical="center"/>
    </xf>
    <xf numFmtId="0" fontId="99" fillId="0" borderId="83" xfId="0" applyFont="1" applyBorder="1" applyAlignment="1">
      <alignment vertical="center"/>
    </xf>
    <xf numFmtId="10" fontId="48" fillId="0" borderId="59" xfId="13" applyNumberFormat="1" applyFont="1" applyBorder="1" applyAlignment="1">
      <alignment horizontal="center" vertical="center"/>
    </xf>
    <xf numFmtId="0" fontId="99" fillId="0" borderId="21" xfId="0" applyFont="1" applyBorder="1" applyAlignment="1">
      <alignment vertical="center"/>
    </xf>
    <xf numFmtId="0" fontId="99" fillId="0" borderId="15" xfId="0" applyFont="1" applyBorder="1" applyAlignment="1">
      <alignment vertical="center"/>
    </xf>
    <xf numFmtId="10" fontId="99" fillId="0" borderId="28" xfId="13" applyNumberFormat="1" applyFont="1" applyBorder="1" applyAlignment="1">
      <alignment horizontal="center" vertical="center"/>
    </xf>
    <xf numFmtId="0" fontId="99" fillId="0" borderId="67" xfId="0" applyFont="1" applyBorder="1" applyAlignment="1">
      <alignment horizontal="center" vertical="center"/>
    </xf>
    <xf numFmtId="168" fontId="99" fillId="0" borderId="29" xfId="9" applyNumberFormat="1" applyFont="1" applyBorder="1" applyAlignment="1">
      <alignment vertical="center"/>
    </xf>
    <xf numFmtId="10" fontId="99" fillId="0" borderId="32" xfId="13" applyNumberFormat="1" applyFont="1" applyBorder="1" applyAlignment="1">
      <alignment horizontal="center" vertical="center"/>
    </xf>
    <xf numFmtId="0" fontId="48" fillId="0" borderId="130" xfId="0" applyFont="1" applyBorder="1" applyAlignment="1">
      <alignment horizontal="left" vertical="center"/>
    </xf>
    <xf numFmtId="0" fontId="48" fillId="0" borderId="83" xfId="0" applyFont="1" applyBorder="1" applyAlignment="1">
      <alignment horizontal="left" vertical="center"/>
    </xf>
    <xf numFmtId="168" fontId="48" fillId="0" borderId="62" xfId="9" applyNumberFormat="1" applyFont="1" applyBorder="1" applyAlignment="1">
      <alignment vertical="center"/>
    </xf>
    <xf numFmtId="0" fontId="102" fillId="0" borderId="32" xfId="13" applyNumberFormat="1" applyFont="1" applyBorder="1" applyAlignment="1">
      <alignment horizontal="center" vertical="center"/>
    </xf>
    <xf numFmtId="0" fontId="99" fillId="0" borderId="56" xfId="0" applyFont="1" applyBorder="1" applyAlignment="1">
      <alignment horizontal="center" vertical="center"/>
    </xf>
    <xf numFmtId="0" fontId="99" fillId="0" borderId="49" xfId="0" applyFont="1" applyBorder="1" applyAlignment="1">
      <alignment vertical="center"/>
    </xf>
    <xf numFmtId="0" fontId="99" fillId="0" borderId="50" xfId="0" applyFont="1" applyBorder="1" applyAlignment="1">
      <alignment vertical="center"/>
    </xf>
    <xf numFmtId="0" fontId="99" fillId="0" borderId="51" xfId="0" applyFont="1" applyBorder="1" applyAlignment="1">
      <alignment vertical="center"/>
    </xf>
    <xf numFmtId="166" fontId="48" fillId="0" borderId="49" xfId="0" applyNumberFormat="1" applyFont="1" applyBorder="1" applyAlignment="1">
      <alignment vertical="center"/>
    </xf>
    <xf numFmtId="167" fontId="48" fillId="0" borderId="52" xfId="0" applyNumberFormat="1" applyFont="1" applyBorder="1" applyAlignment="1">
      <alignment vertical="center"/>
    </xf>
    <xf numFmtId="0" fontId="99" fillId="0" borderId="33" xfId="0" applyFont="1" applyBorder="1" applyAlignment="1">
      <alignment horizontal="center" vertical="center"/>
    </xf>
    <xf numFmtId="166" fontId="99" fillId="0" borderId="15" xfId="0" applyNumberFormat="1" applyFont="1" applyBorder="1" applyAlignment="1">
      <alignment vertical="center"/>
    </xf>
    <xf numFmtId="0" fontId="99" fillId="0" borderId="81" xfId="0" applyFont="1" applyBorder="1" applyAlignment="1">
      <alignment horizontal="center" vertical="center"/>
    </xf>
    <xf numFmtId="0" fontId="99" fillId="0" borderId="82" xfId="0" applyFont="1" applyBorder="1" applyAlignment="1">
      <alignment vertical="center"/>
    </xf>
    <xf numFmtId="166" fontId="99" fillId="0" borderId="82" xfId="0" applyNumberFormat="1" applyFont="1" applyBorder="1" applyAlignment="1">
      <alignment vertical="center"/>
    </xf>
    <xf numFmtId="10" fontId="99" fillId="0" borderId="59" xfId="13" applyNumberFormat="1" applyFont="1" applyBorder="1" applyAlignment="1">
      <alignment horizontal="center" vertical="center"/>
    </xf>
    <xf numFmtId="0" fontId="99" fillId="0" borderId="76" xfId="0" applyFont="1" applyBorder="1" applyAlignment="1">
      <alignment horizontal="center" vertical="center"/>
    </xf>
    <xf numFmtId="0" fontId="99" fillId="0" borderId="77" xfId="0" applyFont="1" applyBorder="1" applyAlignment="1">
      <alignment vertical="center"/>
    </xf>
    <xf numFmtId="0" fontId="99" fillId="0" borderId="131" xfId="0" applyFont="1" applyBorder="1" applyAlignment="1">
      <alignment vertical="center"/>
    </xf>
    <xf numFmtId="0" fontId="48" fillId="0" borderId="121" xfId="0" applyFont="1" applyBorder="1" applyAlignment="1">
      <alignment vertical="center"/>
    </xf>
    <xf numFmtId="0" fontId="48" fillId="0" borderId="131" xfId="0" applyFont="1" applyBorder="1" applyAlignment="1">
      <alignment vertical="center"/>
    </xf>
    <xf numFmtId="166" fontId="48" fillId="0" borderId="77" xfId="0" applyNumberFormat="1" applyFont="1" applyBorder="1" applyAlignment="1">
      <alignment vertical="center"/>
    </xf>
    <xf numFmtId="183" fontId="102" fillId="0" borderId="79" xfId="121" applyNumberFormat="1" applyFont="1" applyBorder="1" applyAlignment="1">
      <alignment vertical="center"/>
    </xf>
    <xf numFmtId="0" fontId="99" fillId="0" borderId="0" xfId="0" applyFont="1" applyAlignment="1">
      <alignment horizontal="center" vertical="center"/>
    </xf>
    <xf numFmtId="43" fontId="102" fillId="0" borderId="0" xfId="119" applyFont="1" applyAlignment="1">
      <alignment vertical="center"/>
    </xf>
    <xf numFmtId="0" fontId="106" fillId="0" borderId="0" xfId="0" applyFont="1" applyAlignment="1">
      <alignment horizontal="center" vertical="center"/>
    </xf>
    <xf numFmtId="181" fontId="99" fillId="0" borderId="0" xfId="119" applyNumberFormat="1" applyFont="1" applyAlignment="1">
      <alignment horizontal="center" vertical="center"/>
    </xf>
    <xf numFmtId="181" fontId="99" fillId="0" borderId="0" xfId="119" applyNumberFormat="1" applyFont="1" applyAlignment="1">
      <alignment vertical="center"/>
    </xf>
    <xf numFmtId="0" fontId="48" fillId="0" borderId="0" xfId="0" applyFont="1" applyAlignment="1">
      <alignment horizontal="center" vertical="center"/>
    </xf>
    <xf numFmtId="181" fontId="48" fillId="0" borderId="0" xfId="119" applyNumberFormat="1" applyFont="1" applyAlignment="1">
      <alignment vertical="center"/>
    </xf>
    <xf numFmtId="0" fontId="107" fillId="0" borderId="0" xfId="0" applyFont="1" applyAlignment="1">
      <alignment horizontal="center" vertical="center"/>
    </xf>
    <xf numFmtId="0" fontId="107" fillId="0" borderId="0" xfId="0" applyFont="1" applyAlignment="1">
      <alignment vertical="center"/>
    </xf>
    <xf numFmtId="43" fontId="79" fillId="0" borderId="0" xfId="119" applyFont="1" applyAlignment="1">
      <alignment vertical="center"/>
    </xf>
    <xf numFmtId="0" fontId="108" fillId="0" borderId="0" xfId="0" applyFont="1"/>
    <xf numFmtId="0" fontId="109" fillId="0" borderId="0" xfId="0" applyFont="1" applyAlignment="1">
      <alignment horizontal="center" vertical="center"/>
    </xf>
    <xf numFmtId="0" fontId="107" fillId="0" borderId="0" xfId="0" applyFont="1" applyAlignment="1">
      <alignment horizontal="left" vertical="center"/>
    </xf>
    <xf numFmtId="181" fontId="107" fillId="0" borderId="0" xfId="119" applyNumberFormat="1" applyFont="1" applyAlignment="1">
      <alignment horizontal="center" vertical="center"/>
    </xf>
    <xf numFmtId="181" fontId="107" fillId="0" borderId="0" xfId="119" applyNumberFormat="1" applyFont="1" applyAlignment="1">
      <alignment vertical="center"/>
    </xf>
    <xf numFmtId="0" fontId="110" fillId="0" borderId="0" xfId="0" applyFont="1" applyAlignment="1">
      <alignment horizontal="center" vertical="center"/>
    </xf>
    <xf numFmtId="181" fontId="110" fillId="0" borderId="0" xfId="119" applyNumberFormat="1" applyFont="1" applyAlignment="1">
      <alignment vertical="center"/>
    </xf>
    <xf numFmtId="166" fontId="79" fillId="0" borderId="0" xfId="78" applyNumberFormat="1" applyFont="1" applyAlignment="1">
      <alignment vertical="center"/>
    </xf>
    <xf numFmtId="166" fontId="107" fillId="0" borderId="0" xfId="78" applyNumberFormat="1" applyFont="1" applyAlignment="1">
      <alignment vertical="center"/>
    </xf>
    <xf numFmtId="0" fontId="87" fillId="0" borderId="24" xfId="114" applyNumberFormat="1" applyFont="1" applyBorder="1" applyAlignment="1">
      <alignment horizontal="center" vertical="center"/>
    </xf>
    <xf numFmtId="0" fontId="87" fillId="0" borderId="21" xfId="114" applyNumberFormat="1" applyFont="1" applyBorder="1" applyAlignment="1">
      <alignment vertical="center"/>
    </xf>
    <xf numFmtId="0" fontId="87" fillId="0" borderId="19" xfId="114" applyNumberFormat="1" applyFont="1" applyBorder="1" applyAlignment="1">
      <alignment horizontal="center" vertical="center"/>
    </xf>
    <xf numFmtId="0" fontId="87" fillId="0" borderId="15" xfId="114" applyNumberFormat="1" applyFont="1" applyBorder="1" applyAlignment="1">
      <alignment vertical="center"/>
    </xf>
    <xf numFmtId="0" fontId="85" fillId="0" borderId="37" xfId="99" applyFont="1" applyBorder="1" applyAlignment="1">
      <alignment horizontal="right" vertical="center"/>
    </xf>
    <xf numFmtId="0" fontId="85" fillId="0" borderId="34" xfId="99" applyFont="1" applyBorder="1" applyAlignment="1">
      <alignment vertical="center"/>
    </xf>
    <xf numFmtId="0" fontId="85" fillId="0" borderId="35" xfId="99" applyFont="1" applyBorder="1" applyAlignment="1">
      <alignment vertical="center"/>
    </xf>
    <xf numFmtId="0" fontId="85" fillId="0" borderId="36" xfId="87" applyFont="1" applyBorder="1" applyAlignment="1">
      <alignment horizontal="right" vertical="center"/>
    </xf>
    <xf numFmtId="0" fontId="85" fillId="0" borderId="22" xfId="101" applyFont="1" applyBorder="1" applyAlignment="1">
      <alignment vertical="center"/>
    </xf>
    <xf numFmtId="0" fontId="85" fillId="0" borderId="23" xfId="101" applyFont="1" applyBorder="1" applyAlignment="1">
      <alignment vertical="center"/>
    </xf>
    <xf numFmtId="0" fontId="85" fillId="0" borderId="24" xfId="101" applyFont="1" applyBorder="1" applyAlignment="1">
      <alignment horizontal="center" vertical="center"/>
    </xf>
    <xf numFmtId="0" fontId="85" fillId="0" borderId="21" xfId="101" applyFont="1" applyBorder="1" applyAlignment="1">
      <alignment vertical="center"/>
    </xf>
    <xf numFmtId="0" fontId="85" fillId="0" borderId="16" xfId="91" applyFont="1" applyBorder="1" applyAlignment="1">
      <alignment vertical="center"/>
    </xf>
    <xf numFmtId="0" fontId="85" fillId="0" borderId="17" xfId="91" applyFont="1" applyBorder="1" applyAlignment="1">
      <alignment vertical="center"/>
    </xf>
    <xf numFmtId="0" fontId="85" fillId="0" borderId="19" xfId="91" applyFont="1" applyBorder="1" applyAlignment="1">
      <alignment horizontal="center" vertical="center"/>
    </xf>
    <xf numFmtId="0" fontId="85" fillId="0" borderId="15" xfId="91" applyFont="1" applyBorder="1" applyAlignment="1">
      <alignment vertical="center"/>
    </xf>
    <xf numFmtId="0" fontId="87" fillId="0" borderId="24" xfId="102" applyFont="1" applyBorder="1" applyAlignment="1">
      <alignment horizontal="center" vertical="center"/>
    </xf>
    <xf numFmtId="0" fontId="87" fillId="0" borderId="21" xfId="102" applyFont="1" applyBorder="1" applyAlignment="1">
      <alignment vertical="center"/>
    </xf>
    <xf numFmtId="0" fontId="87" fillId="0" borderId="15" xfId="102" applyFont="1" applyBorder="1" applyAlignment="1">
      <alignment vertical="center"/>
    </xf>
    <xf numFmtId="0" fontId="85" fillId="0" borderId="16" xfId="87" applyFont="1" applyBorder="1" applyAlignment="1">
      <alignment vertical="center"/>
    </xf>
    <xf numFmtId="0" fontId="85" fillId="0" borderId="19" xfId="87" applyFont="1" applyBorder="1" applyAlignment="1">
      <alignment horizontal="center" vertical="center"/>
    </xf>
    <xf numFmtId="0" fontId="85" fillId="0" borderId="15" xfId="87" applyFont="1" applyBorder="1" applyAlignment="1">
      <alignment vertical="center"/>
    </xf>
    <xf numFmtId="0" fontId="112" fillId="0" borderId="19" xfId="0" applyFont="1" applyBorder="1" applyAlignment="1">
      <alignment horizontal="center"/>
    </xf>
    <xf numFmtId="0" fontId="87" fillId="0" borderId="15" xfId="106" applyNumberFormat="1" applyFont="1" applyBorder="1" applyAlignment="1">
      <alignment vertical="center"/>
    </xf>
    <xf numFmtId="0" fontId="82" fillId="0" borderId="21" xfId="0" applyFont="1" applyBorder="1" applyAlignment="1">
      <alignment vertical="center"/>
    </xf>
    <xf numFmtId="0" fontId="80" fillId="0" borderId="12" xfId="0" applyFont="1" applyBorder="1" applyAlignment="1">
      <alignment vertical="center"/>
    </xf>
    <xf numFmtId="0" fontId="80" fillId="0" borderId="136" xfId="0" applyFont="1" applyBorder="1" applyAlignment="1">
      <alignment horizontal="center" vertical="center"/>
    </xf>
    <xf numFmtId="43" fontId="80" fillId="0" borderId="136" xfId="119" applyFont="1" applyFill="1" applyBorder="1" applyAlignment="1">
      <alignment horizontal="center" vertical="center"/>
    </xf>
    <xf numFmtId="43" fontId="85" fillId="0" borderId="136" xfId="119" applyFont="1" applyFill="1" applyBorder="1" applyAlignment="1">
      <alignment horizontal="center" vertical="center"/>
    </xf>
    <xf numFmtId="10" fontId="85" fillId="0" borderId="136" xfId="0" applyNumberFormat="1" applyFont="1" applyBorder="1" applyAlignment="1">
      <alignment horizontal="center" vertical="center"/>
    </xf>
    <xf numFmtId="0" fontId="104" fillId="0" borderId="0" xfId="87" applyFont="1" applyAlignment="1">
      <alignment horizontal="center" vertical="center"/>
    </xf>
    <xf numFmtId="0" fontId="104" fillId="0" borderId="0" xfId="87" applyFont="1" applyAlignment="1">
      <alignment vertical="center"/>
    </xf>
    <xf numFmtId="0" fontId="113" fillId="0" borderId="0" xfId="87" applyFont="1" applyAlignment="1">
      <alignment horizontal="right" vertical="center"/>
    </xf>
    <xf numFmtId="164" fontId="113" fillId="0" borderId="0" xfId="17" applyFont="1" applyAlignment="1">
      <alignment vertical="center"/>
    </xf>
    <xf numFmtId="0" fontId="113" fillId="0" borderId="0" xfId="87" applyFont="1" applyAlignment="1">
      <alignment horizontal="center" vertical="center"/>
    </xf>
    <xf numFmtId="168" fontId="113" fillId="0" borderId="0" xfId="17" applyNumberFormat="1" applyFont="1" applyAlignment="1">
      <alignment vertical="center"/>
    </xf>
    <xf numFmtId="168" fontId="113" fillId="0" borderId="0" xfId="87" applyNumberFormat="1" applyFont="1" applyAlignment="1">
      <alignment vertical="center"/>
    </xf>
    <xf numFmtId="10" fontId="113" fillId="0" borderId="0" xfId="87" applyNumberFormat="1" applyFont="1" applyAlignment="1">
      <alignment horizontal="right" vertical="center"/>
    </xf>
    <xf numFmtId="10" fontId="100" fillId="0" borderId="0" xfId="0" applyNumberFormat="1" applyFont="1" applyAlignment="1">
      <alignment horizontal="right"/>
    </xf>
    <xf numFmtId="0" fontId="100" fillId="0" borderId="0" xfId="0" applyFont="1" applyAlignment="1">
      <alignment horizontal="center"/>
    </xf>
    <xf numFmtId="43" fontId="113" fillId="0" borderId="0" xfId="119" applyFont="1" applyBorder="1" applyAlignment="1">
      <alignment vertical="center"/>
    </xf>
    <xf numFmtId="43" fontId="104" fillId="0" borderId="0" xfId="119" applyFont="1" applyBorder="1" applyAlignment="1">
      <alignment horizontal="right" vertical="center"/>
    </xf>
    <xf numFmtId="0" fontId="10" fillId="0" borderId="0" xfId="64" applyFont="1" applyAlignment="1">
      <alignment vertical="center"/>
    </xf>
    <xf numFmtId="0" fontId="66" fillId="0" borderId="0" xfId="0" applyFont="1"/>
    <xf numFmtId="0" fontId="114" fillId="0" borderId="0" xfId="0" applyFont="1"/>
    <xf numFmtId="166" fontId="102" fillId="0" borderId="0" xfId="78" applyNumberFormat="1" applyFont="1" applyAlignment="1">
      <alignment horizontal="center" vertical="center"/>
    </xf>
    <xf numFmtId="166" fontId="99" fillId="0" borderId="0" xfId="78" applyNumberFormat="1" applyFont="1" applyAlignment="1">
      <alignment horizontal="center" vertical="center"/>
    </xf>
    <xf numFmtId="0" fontId="102" fillId="0" borderId="0" xfId="0" applyFont="1" applyAlignment="1">
      <alignment horizontal="center" vertical="center"/>
    </xf>
    <xf numFmtId="0" fontId="99" fillId="0" borderId="0" xfId="0" applyFont="1" applyAlignment="1">
      <alignment horizontal="center" vertical="top"/>
    </xf>
    <xf numFmtId="43" fontId="87" fillId="0" borderId="63" xfId="119" applyFont="1" applyBorder="1" applyAlignment="1">
      <alignment horizontal="right" vertical="center"/>
    </xf>
    <xf numFmtId="184" fontId="87" fillId="0" borderId="0" xfId="119" applyNumberFormat="1" applyFont="1" applyAlignment="1">
      <alignment vertical="center"/>
    </xf>
    <xf numFmtId="0" fontId="100" fillId="5" borderId="0" xfId="0" applyFont="1" applyFill="1"/>
    <xf numFmtId="43" fontId="100" fillId="5" borderId="0" xfId="119" applyFont="1" applyFill="1"/>
    <xf numFmtId="0" fontId="115" fillId="5" borderId="0" xfId="0" applyFont="1" applyFill="1"/>
    <xf numFmtId="166" fontId="102" fillId="0" borderId="0" xfId="78" applyNumberFormat="1" applyFont="1" applyAlignment="1">
      <alignment vertical="center"/>
    </xf>
    <xf numFmtId="166" fontId="99" fillId="0" borderId="0" xfId="78" applyNumberFormat="1" applyFont="1" applyAlignment="1">
      <alignment vertical="center"/>
    </xf>
    <xf numFmtId="166" fontId="79" fillId="0" borderId="0" xfId="78" applyNumberFormat="1" applyFont="1" applyAlignment="1">
      <alignment horizontal="center" vertical="center"/>
    </xf>
    <xf numFmtId="166" fontId="107" fillId="0" borderId="0" xfId="78" applyNumberFormat="1" applyFont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107" fillId="0" borderId="0" xfId="0" applyFont="1" applyAlignment="1">
      <alignment horizontal="center" vertical="center"/>
    </xf>
    <xf numFmtId="0" fontId="77" fillId="0" borderId="0" xfId="0" applyFont="1" applyAlignment="1">
      <alignment horizontal="center"/>
    </xf>
    <xf numFmtId="0" fontId="10" fillId="0" borderId="0" xfId="0" applyFont="1" applyAlignment="1">
      <alignment horizontal="center" vertical="center" wrapText="1"/>
    </xf>
    <xf numFmtId="166" fontId="67" fillId="0" borderId="0" xfId="0" applyNumberFormat="1" applyFont="1" applyAlignment="1">
      <alignment horizontal="center" vertical="center"/>
    </xf>
    <xf numFmtId="0" fontId="101" fillId="0" borderId="0" xfId="0" applyFont="1" applyAlignment="1">
      <alignment horizontal="center" vertical="center"/>
    </xf>
    <xf numFmtId="0" fontId="102" fillId="0" borderId="46" xfId="0" applyFont="1" applyBorder="1" applyAlignment="1">
      <alignment horizontal="center" vertical="center"/>
    </xf>
    <xf numFmtId="0" fontId="107" fillId="0" borderId="0" xfId="0" applyFont="1" applyAlignment="1">
      <alignment horizontal="center" vertical="top"/>
    </xf>
    <xf numFmtId="0" fontId="48" fillId="0" borderId="82" xfId="0" applyFont="1" applyBorder="1" applyAlignment="1">
      <alignment horizontal="left" vertical="center" wrapText="1"/>
    </xf>
    <xf numFmtId="0" fontId="48" fillId="0" borderId="130" xfId="0" applyFont="1" applyBorder="1" applyAlignment="1">
      <alignment horizontal="left" vertical="center" wrapText="1"/>
    </xf>
    <xf numFmtId="0" fontId="48" fillId="0" borderId="83" xfId="0" applyFont="1" applyBorder="1" applyAlignment="1">
      <alignment horizontal="left" vertical="center" wrapText="1"/>
    </xf>
    <xf numFmtId="0" fontId="6" fillId="0" borderId="0" xfId="0" applyFont="1" applyAlignment="1">
      <alignment horizontal="center"/>
    </xf>
    <xf numFmtId="0" fontId="51" fillId="0" borderId="0" xfId="0" applyFont="1" applyAlignment="1">
      <alignment horizontal="center" vertical="center"/>
    </xf>
    <xf numFmtId="166" fontId="96" fillId="0" borderId="0" xfId="78" applyNumberFormat="1" applyFont="1" applyAlignment="1">
      <alignment horizontal="center" vertical="center"/>
    </xf>
    <xf numFmtId="166" fontId="51" fillId="0" borderId="0" xfId="78" applyNumberFormat="1" applyFont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15" fillId="0" borderId="53" xfId="0" applyFont="1" applyBorder="1" applyAlignment="1">
      <alignment horizontal="left" vertical="center" wrapText="1"/>
    </xf>
    <xf numFmtId="0" fontId="15" fillId="0" borderId="22" xfId="0" applyFont="1" applyBorder="1" applyAlignment="1">
      <alignment horizontal="left" vertical="center" wrapText="1"/>
    </xf>
    <xf numFmtId="0" fontId="15" fillId="0" borderId="23" xfId="0" applyFont="1" applyBorder="1" applyAlignment="1">
      <alignment horizontal="left" vertical="center" wrapText="1"/>
    </xf>
    <xf numFmtId="0" fontId="67" fillId="0" borderId="0" xfId="0" applyFont="1" applyAlignment="1">
      <alignment horizontal="center" vertical="center"/>
    </xf>
    <xf numFmtId="0" fontId="69" fillId="0" borderId="0" xfId="0" applyFont="1" applyAlignment="1">
      <alignment horizontal="center" vertical="center"/>
    </xf>
    <xf numFmtId="0" fontId="97" fillId="0" borderId="0" xfId="0" applyFont="1" applyAlignment="1">
      <alignment horizontal="center"/>
    </xf>
    <xf numFmtId="0" fontId="51" fillId="0" borderId="0" xfId="0" applyFont="1" applyAlignment="1">
      <alignment horizontal="center" vertical="center" wrapText="1"/>
    </xf>
    <xf numFmtId="166" fontId="96" fillId="0" borderId="0" xfId="0" applyNumberFormat="1" applyFont="1" applyAlignment="1">
      <alignment horizontal="center" vertical="center"/>
    </xf>
    <xf numFmtId="166" fontId="51" fillId="0" borderId="0" xfId="0" applyNumberFormat="1" applyFont="1" applyAlignment="1">
      <alignment horizontal="center" vertical="center"/>
    </xf>
    <xf numFmtId="0" fontId="20" fillId="0" borderId="68" xfId="115" applyNumberFormat="1" applyFont="1" applyBorder="1" applyAlignment="1">
      <alignment horizontal="center" vertical="center"/>
    </xf>
    <xf numFmtId="164" fontId="21" fillId="3" borderId="27" xfId="115" applyNumberFormat="1" applyFont="1" applyFill="1" applyBorder="1" applyAlignment="1">
      <alignment horizontal="center" vertical="center" wrapText="1"/>
    </xf>
    <xf numFmtId="164" fontId="21" fillId="0" borderId="27" xfId="115" applyNumberFormat="1" applyFont="1" applyBorder="1" applyAlignment="1">
      <alignment horizontal="center" vertical="center" wrapText="1"/>
    </xf>
    <xf numFmtId="0" fontId="111" fillId="0" borderId="0" xfId="0" applyFont="1" applyAlignment="1">
      <alignment horizontal="center" vertical="center"/>
    </xf>
    <xf numFmtId="0" fontId="82" fillId="0" borderId="25" xfId="91" applyFont="1" applyBorder="1" applyAlignment="1">
      <alignment horizontal="left" vertical="center" wrapText="1"/>
    </xf>
    <xf numFmtId="0" fontId="82" fillId="0" borderId="3" xfId="91" applyFont="1" applyBorder="1" applyAlignment="1">
      <alignment horizontal="left" vertical="center" wrapText="1"/>
    </xf>
    <xf numFmtId="0" fontId="82" fillId="0" borderId="26" xfId="91" applyFont="1" applyBorder="1" applyAlignment="1">
      <alignment horizontal="left" vertical="center" wrapText="1"/>
    </xf>
    <xf numFmtId="0" fontId="82" fillId="0" borderId="15" xfId="91" applyFont="1" applyBorder="1" applyAlignment="1">
      <alignment horizontal="left" vertical="center" wrapText="1"/>
    </xf>
    <xf numFmtId="0" fontId="82" fillId="0" borderId="16" xfId="91" applyFont="1" applyBorder="1" applyAlignment="1">
      <alignment horizontal="left" vertical="center" wrapText="1"/>
    </xf>
    <xf numFmtId="0" fontId="82" fillId="0" borderId="17" xfId="91" applyFont="1" applyBorder="1" applyAlignment="1">
      <alignment horizontal="left" vertical="center" wrapText="1"/>
    </xf>
    <xf numFmtId="0" fontId="82" fillId="0" borderId="25" xfId="0" applyFont="1" applyBorder="1" applyAlignment="1">
      <alignment horizontal="left" vertical="center" wrapText="1"/>
    </xf>
    <xf numFmtId="0" fontId="82" fillId="0" borderId="3" xfId="0" applyFont="1" applyBorder="1" applyAlignment="1">
      <alignment horizontal="left" vertical="center" wrapText="1"/>
    </xf>
    <xf numFmtId="0" fontId="82" fillId="0" borderId="26" xfId="0" applyFont="1" applyBorder="1" applyAlignment="1">
      <alignment horizontal="left" vertical="center" wrapText="1"/>
    </xf>
    <xf numFmtId="0" fontId="82" fillId="0" borderId="15" xfId="97" applyFont="1" applyBorder="1" applyAlignment="1">
      <alignment horizontal="left" vertical="center" wrapText="1"/>
    </xf>
    <xf numFmtId="0" fontId="82" fillId="0" borderId="16" xfId="97" applyFont="1" applyBorder="1" applyAlignment="1">
      <alignment horizontal="left" vertical="center" wrapText="1"/>
    </xf>
    <xf numFmtId="0" fontId="82" fillId="0" borderId="17" xfId="97" applyFont="1" applyBorder="1" applyAlignment="1">
      <alignment horizontal="left" vertical="center" wrapText="1"/>
    </xf>
    <xf numFmtId="0" fontId="82" fillId="0" borderId="15" xfId="101" applyFont="1" applyBorder="1" applyAlignment="1">
      <alignment horizontal="left" vertical="center" wrapText="1"/>
    </xf>
    <xf numFmtId="0" fontId="82" fillId="0" borderId="16" xfId="101" applyFont="1" applyBorder="1" applyAlignment="1">
      <alignment horizontal="left" vertical="center" wrapText="1"/>
    </xf>
    <xf numFmtId="0" fontId="82" fillId="0" borderId="17" xfId="101" applyFont="1" applyBorder="1" applyAlignment="1">
      <alignment horizontal="left" vertical="center" wrapText="1"/>
    </xf>
    <xf numFmtId="0" fontId="82" fillId="0" borderId="15" xfId="106" applyNumberFormat="1" applyFont="1" applyBorder="1" applyAlignment="1">
      <alignment horizontal="left" vertical="center" wrapText="1"/>
    </xf>
    <xf numFmtId="0" fontId="82" fillId="0" borderId="16" xfId="106" applyNumberFormat="1" applyFont="1" applyBorder="1" applyAlignment="1">
      <alignment horizontal="left" vertical="center" wrapText="1"/>
    </xf>
    <xf numFmtId="0" fontId="82" fillId="0" borderId="17" xfId="106" applyNumberFormat="1" applyFont="1" applyBorder="1" applyAlignment="1">
      <alignment horizontal="left" vertical="center" wrapText="1"/>
    </xf>
    <xf numFmtId="0" fontId="82" fillId="0" borderId="15" xfId="0" applyFont="1" applyBorder="1" applyAlignment="1">
      <alignment horizontal="left" vertical="center" wrapText="1"/>
    </xf>
    <xf numFmtId="0" fontId="82" fillId="0" borderId="16" xfId="0" applyFont="1" applyBorder="1" applyAlignment="1">
      <alignment horizontal="left" vertical="center" wrapText="1"/>
    </xf>
    <xf numFmtId="0" fontId="82" fillId="0" borderId="17" xfId="0" applyFont="1" applyBorder="1" applyAlignment="1">
      <alignment horizontal="left" vertical="center" wrapText="1"/>
    </xf>
    <xf numFmtId="0" fontId="82" fillId="0" borderId="15" xfId="102" applyFont="1" applyBorder="1" applyAlignment="1">
      <alignment horizontal="left" vertical="center" wrapText="1"/>
    </xf>
    <xf numFmtId="0" fontId="82" fillId="0" borderId="16" xfId="102" applyFont="1" applyBorder="1" applyAlignment="1">
      <alignment horizontal="left" vertical="center" wrapText="1"/>
    </xf>
    <xf numFmtId="0" fontId="82" fillId="0" borderId="17" xfId="102" applyFont="1" applyBorder="1" applyAlignment="1">
      <alignment horizontal="left" vertical="center" wrapText="1"/>
    </xf>
    <xf numFmtId="0" fontId="82" fillId="0" borderId="15" xfId="87" applyFont="1" applyBorder="1" applyAlignment="1">
      <alignment horizontal="left" vertical="center" wrapText="1"/>
    </xf>
    <xf numFmtId="0" fontId="82" fillId="0" borderId="16" xfId="87" applyFont="1" applyBorder="1" applyAlignment="1">
      <alignment horizontal="left" vertical="center" wrapText="1"/>
    </xf>
    <xf numFmtId="0" fontId="82" fillId="0" borderId="17" xfId="87" applyFont="1" applyBorder="1" applyAlignment="1">
      <alignment horizontal="left" vertical="center" wrapText="1"/>
    </xf>
    <xf numFmtId="0" fontId="81" fillId="0" borderId="15" xfId="91" applyFont="1" applyBorder="1" applyAlignment="1">
      <alignment horizontal="left" vertical="center" wrapText="1"/>
    </xf>
    <xf numFmtId="0" fontId="81" fillId="0" borderId="16" xfId="91" applyFont="1" applyBorder="1" applyAlignment="1">
      <alignment horizontal="left" vertical="center" wrapText="1"/>
    </xf>
    <xf numFmtId="0" fontId="81" fillId="0" borderId="17" xfId="91" applyFont="1" applyBorder="1" applyAlignment="1">
      <alignment horizontal="left" vertical="center" wrapText="1"/>
    </xf>
    <xf numFmtId="10" fontId="80" fillId="0" borderId="133" xfId="0" applyNumberFormat="1" applyFont="1" applyBorder="1" applyAlignment="1">
      <alignment horizontal="center" vertical="center"/>
    </xf>
    <xf numFmtId="10" fontId="80" fillId="0" borderId="134" xfId="0" applyNumberFormat="1" applyFont="1" applyBorder="1" applyAlignment="1">
      <alignment horizontal="center" vertical="center"/>
    </xf>
    <xf numFmtId="10" fontId="80" fillId="0" borderId="135" xfId="0" applyNumberFormat="1" applyFont="1" applyBorder="1" applyAlignment="1">
      <alignment horizontal="center" vertical="center"/>
    </xf>
    <xf numFmtId="0" fontId="80" fillId="0" borderId="110" xfId="0" applyFont="1" applyBorder="1" applyAlignment="1">
      <alignment horizontal="center" vertical="center"/>
    </xf>
    <xf numFmtId="0" fontId="80" fillId="0" borderId="62" xfId="0" applyFont="1" applyBorder="1" applyAlignment="1">
      <alignment horizontal="center" vertical="center"/>
    </xf>
    <xf numFmtId="0" fontId="80" fillId="0" borderId="137" xfId="0" applyFont="1" applyBorder="1" applyAlignment="1">
      <alignment horizontal="center" vertical="center"/>
    </xf>
    <xf numFmtId="10" fontId="80" fillId="0" borderId="24" xfId="0" applyNumberFormat="1" applyFont="1" applyBorder="1" applyAlignment="1">
      <alignment horizontal="center" vertical="center"/>
    </xf>
    <xf numFmtId="10" fontId="80" fillId="0" borderId="136" xfId="0" applyNumberFormat="1" applyFont="1" applyBorder="1" applyAlignment="1">
      <alignment horizontal="center" vertical="center"/>
    </xf>
    <xf numFmtId="0" fontId="80" fillId="0" borderId="12" xfId="0" applyFont="1" applyBorder="1" applyAlignment="1">
      <alignment horizontal="center" vertical="center"/>
    </xf>
    <xf numFmtId="0" fontId="80" fillId="0" borderId="19" xfId="0" applyFont="1" applyBorder="1" applyAlignment="1">
      <alignment horizontal="center" vertical="center"/>
    </xf>
    <xf numFmtId="0" fontId="80" fillId="0" borderId="136" xfId="0" applyFont="1" applyBorder="1" applyAlignment="1">
      <alignment horizontal="center" vertical="center"/>
    </xf>
    <xf numFmtId="0" fontId="85" fillId="0" borderId="12" xfId="0" applyFont="1" applyBorder="1" applyAlignment="1">
      <alignment horizontal="center" vertical="center"/>
    </xf>
    <xf numFmtId="0" fontId="85" fillId="0" borderId="19" xfId="0" applyFont="1" applyBorder="1" applyAlignment="1">
      <alignment horizontal="center" vertical="center"/>
    </xf>
    <xf numFmtId="0" fontId="85" fillId="0" borderId="136" xfId="0" applyFont="1" applyBorder="1" applyAlignment="1">
      <alignment horizontal="center" vertical="center"/>
    </xf>
    <xf numFmtId="0" fontId="80" fillId="0" borderId="132" xfId="0" applyFont="1" applyBorder="1" applyAlignment="1">
      <alignment horizontal="center" vertical="center"/>
    </xf>
    <xf numFmtId="10" fontId="80" fillId="0" borderId="132" xfId="0" applyNumberFormat="1" applyFont="1" applyBorder="1" applyAlignment="1">
      <alignment horizontal="center" vertical="center"/>
    </xf>
    <xf numFmtId="0" fontId="81" fillId="0" borderId="15" xfId="0" applyFont="1" applyBorder="1" applyAlignment="1">
      <alignment horizontal="left" vertical="center" wrapText="1"/>
    </xf>
    <xf numFmtId="0" fontId="81" fillId="0" borderId="16" xfId="0" applyFont="1" applyBorder="1" applyAlignment="1">
      <alignment horizontal="left" vertical="center" wrapText="1"/>
    </xf>
    <xf numFmtId="0" fontId="81" fillId="0" borderId="17" xfId="0" applyFont="1" applyBorder="1" applyAlignment="1">
      <alignment horizontal="left" vertical="center" wrapText="1"/>
    </xf>
    <xf numFmtId="0" fontId="14" fillId="0" borderId="84" xfId="87" applyFont="1" applyBorder="1" applyAlignment="1">
      <alignment horizontal="center" vertical="center"/>
    </xf>
    <xf numFmtId="0" fontId="14" fillId="0" borderId="85" xfId="87" applyFont="1" applyBorder="1" applyAlignment="1">
      <alignment horizontal="center" vertical="center"/>
    </xf>
    <xf numFmtId="0" fontId="31" fillId="0" borderId="86" xfId="87" applyFont="1" applyBorder="1" applyAlignment="1">
      <alignment horizontal="center" vertical="center"/>
    </xf>
    <xf numFmtId="0" fontId="14" fillId="0" borderId="85" xfId="109" applyNumberFormat="1" applyFont="1" applyBorder="1" applyAlignment="1">
      <alignment horizontal="center" vertical="center"/>
    </xf>
    <xf numFmtId="0" fontId="14" fillId="0" borderId="84" xfId="109" applyNumberFormat="1" applyFont="1" applyBorder="1" applyAlignment="1">
      <alignment horizontal="center" vertical="center"/>
    </xf>
    <xf numFmtId="0" fontId="31" fillId="18" borderId="86" xfId="109" applyNumberFormat="1" applyFont="1" applyFill="1" applyBorder="1" applyAlignment="1">
      <alignment horizontal="center" vertical="center"/>
    </xf>
    <xf numFmtId="0" fontId="14" fillId="0" borderId="84" xfId="91" applyFont="1" applyBorder="1" applyAlignment="1">
      <alignment horizontal="center" vertical="center"/>
    </xf>
    <xf numFmtId="0" fontId="14" fillId="0" borderId="85" xfId="91" applyFont="1" applyBorder="1" applyAlignment="1">
      <alignment horizontal="center" vertical="center"/>
    </xf>
    <xf numFmtId="0" fontId="31" fillId="0" borderId="86" xfId="91" applyFont="1" applyBorder="1" applyAlignment="1">
      <alignment horizontal="center" vertical="center"/>
    </xf>
    <xf numFmtId="0" fontId="14" fillId="0" borderId="84" xfId="99" applyFont="1" applyBorder="1" applyAlignment="1">
      <alignment horizontal="center" vertical="center"/>
    </xf>
    <xf numFmtId="0" fontId="14" fillId="0" borderId="85" xfId="99" applyFont="1" applyBorder="1" applyAlignment="1">
      <alignment horizontal="center" vertical="center"/>
    </xf>
    <xf numFmtId="0" fontId="14" fillId="0" borderId="88" xfId="99" applyFont="1" applyBorder="1" applyAlignment="1">
      <alignment horizontal="center" vertical="center"/>
    </xf>
    <xf numFmtId="0" fontId="31" fillId="3" borderId="52" xfId="99" applyFont="1" applyFill="1" applyBorder="1" applyAlignment="1">
      <alignment horizontal="center" vertical="center"/>
    </xf>
    <xf numFmtId="0" fontId="31" fillId="3" borderId="86" xfId="99" applyFont="1" applyFill="1" applyBorder="1" applyAlignment="1">
      <alignment horizontal="center" vertical="center"/>
    </xf>
    <xf numFmtId="0" fontId="14" fillId="0" borderId="84" xfId="101" applyFont="1" applyBorder="1" applyAlignment="1">
      <alignment horizontal="center" vertical="center"/>
    </xf>
    <xf numFmtId="0" fontId="14" fillId="0" borderId="85" xfId="101" applyFont="1" applyBorder="1" applyAlignment="1">
      <alignment horizontal="center" vertical="center"/>
    </xf>
    <xf numFmtId="0" fontId="31" fillId="3" borderId="86" xfId="101" applyFont="1" applyFill="1" applyBorder="1" applyAlignment="1">
      <alignment horizontal="center" vertical="center"/>
    </xf>
    <xf numFmtId="0" fontId="31" fillId="3" borderId="86" xfId="91" applyFont="1" applyFill="1" applyBorder="1" applyAlignment="1">
      <alignment horizontal="center" vertical="center"/>
    </xf>
    <xf numFmtId="0" fontId="14" fillId="0" borderId="5" xfId="91" applyFont="1" applyBorder="1" applyAlignment="1">
      <alignment horizontal="center" vertical="center"/>
    </xf>
    <xf numFmtId="0" fontId="14" fillId="0" borderId="6" xfId="91" applyFont="1" applyBorder="1" applyAlignment="1">
      <alignment horizontal="center" vertical="center"/>
    </xf>
    <xf numFmtId="0" fontId="14" fillId="0" borderId="8" xfId="91" applyFont="1" applyBorder="1" applyAlignment="1">
      <alignment horizontal="center" vertical="center"/>
    </xf>
    <xf numFmtId="0" fontId="31" fillId="3" borderId="86" xfId="87" applyFont="1" applyFill="1" applyBorder="1" applyAlignment="1">
      <alignment horizontal="center" vertical="center"/>
    </xf>
    <xf numFmtId="0" fontId="14" fillId="0" borderId="84" xfId="95" applyFont="1" applyBorder="1" applyAlignment="1">
      <alignment horizontal="center" vertical="center"/>
    </xf>
    <xf numFmtId="0" fontId="14" fillId="0" borderId="85" xfId="95" applyFont="1" applyBorder="1" applyAlignment="1">
      <alignment horizontal="center" vertical="center"/>
    </xf>
    <xf numFmtId="0" fontId="31" fillId="3" borderId="86" xfId="95" applyFont="1" applyFill="1" applyBorder="1" applyAlignment="1">
      <alignment horizontal="center" vertical="center"/>
    </xf>
    <xf numFmtId="0" fontId="14" fillId="0" borderId="68" xfId="96" applyFont="1" applyBorder="1" applyAlignment="1">
      <alignment horizontal="center" vertical="center"/>
    </xf>
    <xf numFmtId="164" fontId="31" fillId="3" borderId="27" xfId="96" applyNumberFormat="1" applyFont="1" applyFill="1" applyBorder="1" applyAlignment="1">
      <alignment horizontal="center" vertical="center" wrapText="1"/>
    </xf>
    <xf numFmtId="0" fontId="14" fillId="0" borderId="92" xfId="87" applyFont="1" applyBorder="1" applyAlignment="1">
      <alignment horizontal="center" vertical="center"/>
    </xf>
    <xf numFmtId="0" fontId="14" fillId="0" borderId="6" xfId="87" applyFont="1" applyBorder="1" applyAlignment="1">
      <alignment horizontal="center" vertical="center"/>
    </xf>
    <xf numFmtId="0" fontId="31" fillId="3" borderId="8" xfId="87" applyFont="1" applyFill="1" applyBorder="1" applyAlignment="1">
      <alignment horizontal="center" vertical="center"/>
    </xf>
    <xf numFmtId="0" fontId="14" fillId="0" borderId="19" xfId="87" applyFont="1" applyBorder="1" applyAlignment="1">
      <alignment horizontal="left" vertical="center" wrapText="1"/>
    </xf>
    <xf numFmtId="0" fontId="14" fillId="0" borderId="84" xfId="90" applyFont="1" applyBorder="1" applyAlignment="1">
      <alignment horizontal="center" vertical="center"/>
    </xf>
    <xf numFmtId="0" fontId="14" fillId="0" borderId="85" xfId="90" applyFont="1" applyBorder="1" applyAlignment="1">
      <alignment horizontal="center" vertical="center"/>
    </xf>
    <xf numFmtId="0" fontId="31" fillId="3" borderId="86" xfId="90" applyFont="1" applyFill="1" applyBorder="1" applyAlignment="1">
      <alignment horizontal="center" vertical="center"/>
    </xf>
    <xf numFmtId="0" fontId="14" fillId="0" borderId="92" xfId="91" applyFont="1" applyBorder="1" applyAlignment="1">
      <alignment horizontal="center" vertical="center"/>
    </xf>
    <xf numFmtId="0" fontId="31" fillId="3" borderId="8" xfId="91" applyFont="1" applyFill="1" applyBorder="1" applyAlignment="1">
      <alignment horizontal="center" vertical="center"/>
    </xf>
    <xf numFmtId="0" fontId="31" fillId="12" borderId="85" xfId="0" applyFont="1" applyFill="1" applyBorder="1" applyAlignment="1">
      <alignment horizontal="left" vertical="center" wrapText="1"/>
    </xf>
    <xf numFmtId="0" fontId="31" fillId="12" borderId="52" xfId="0" applyFont="1" applyFill="1" applyBorder="1" applyAlignment="1">
      <alignment horizontal="left" vertical="center" wrapText="1"/>
    </xf>
    <xf numFmtId="0" fontId="31" fillId="12" borderId="86" xfId="0" applyFont="1" applyFill="1" applyBorder="1" applyAlignment="1">
      <alignment horizontal="left" vertical="center" wrapText="1"/>
    </xf>
    <xf numFmtId="0" fontId="31" fillId="12" borderId="99" xfId="0" applyFont="1" applyFill="1" applyBorder="1" applyAlignment="1">
      <alignment horizontal="left" vertical="center" wrapText="1"/>
    </xf>
    <xf numFmtId="0" fontId="31" fillId="12" borderId="88" xfId="0" applyFont="1" applyFill="1" applyBorder="1" applyAlignment="1">
      <alignment horizontal="left" vertical="center" wrapText="1"/>
    </xf>
    <xf numFmtId="0" fontId="31" fillId="12" borderId="46" xfId="0" applyFont="1" applyFill="1" applyBorder="1" applyAlignment="1">
      <alignment horizontal="center" vertical="center"/>
    </xf>
  </cellXfs>
  <cellStyles count="123">
    <cellStyle name="Comma" xfId="119" builtinId="3"/>
    <cellStyle name="Comma [0]" xfId="120" builtinId="6"/>
    <cellStyle name="Comma [0] 2" xfId="35" xr:uid="{00000000-0005-0000-0000-000002000000}"/>
    <cellStyle name="Comma [0] 2 2" xfId="36" xr:uid="{00000000-0005-0000-0000-000003000000}"/>
    <cellStyle name="Comma [0] 3" xfId="37" xr:uid="{00000000-0005-0000-0000-000004000000}"/>
    <cellStyle name="Comma [0] 3 2" xfId="38" xr:uid="{00000000-0005-0000-0000-000005000000}"/>
    <cellStyle name="Comma [0] 3 2 2" xfId="39" xr:uid="{00000000-0005-0000-0000-000006000000}"/>
    <cellStyle name="Comma [0] 3 2 2 2" xfId="40" xr:uid="{00000000-0005-0000-0000-000007000000}"/>
    <cellStyle name="Comma [0] 3 2 3" xfId="41" xr:uid="{00000000-0005-0000-0000-000008000000}"/>
    <cellStyle name="Comma [0] 3 2 3 2" xfId="42" xr:uid="{00000000-0005-0000-0000-000009000000}"/>
    <cellStyle name="Comma [0] 3 2 4" xfId="43" xr:uid="{00000000-0005-0000-0000-00000A000000}"/>
    <cellStyle name="Comma [0] 3 3" xfId="44" xr:uid="{00000000-0005-0000-0000-00000B000000}"/>
    <cellStyle name="Comma [0] 3 4" xfId="45" xr:uid="{00000000-0005-0000-0000-00000C000000}"/>
    <cellStyle name="Comma [0] 3 5" xfId="46" xr:uid="{00000000-0005-0000-0000-00000D000000}"/>
    <cellStyle name="Comma [0] 3 6" xfId="47" xr:uid="{00000000-0005-0000-0000-00000E000000}"/>
    <cellStyle name="Comma [0] 3 7" xfId="48" xr:uid="{00000000-0005-0000-0000-00000F000000}"/>
    <cellStyle name="Comma [0] 4" xfId="49" xr:uid="{00000000-0005-0000-0000-000010000000}"/>
    <cellStyle name="Comma 10" xfId="1" xr:uid="{00000000-0005-0000-0000-000011000000}"/>
    <cellStyle name="Comma 10 3 2" xfId="2" xr:uid="{00000000-0005-0000-0000-000012000000}"/>
    <cellStyle name="Comma 2" xfId="3" xr:uid="{00000000-0005-0000-0000-000013000000}"/>
    <cellStyle name="Comma 2 10" xfId="4" xr:uid="{00000000-0005-0000-0000-000014000000}"/>
    <cellStyle name="Comma 2 10 2" xfId="5" xr:uid="{00000000-0005-0000-0000-000015000000}"/>
    <cellStyle name="Comma 2 11" xfId="6" xr:uid="{00000000-0005-0000-0000-000016000000}"/>
    <cellStyle name="Comma 2 12" xfId="7" xr:uid="{00000000-0005-0000-0000-000017000000}"/>
    <cellStyle name="Comma 2 2" xfId="8" xr:uid="{00000000-0005-0000-0000-000018000000}"/>
    <cellStyle name="Comma 2 3" xfId="9" xr:uid="{00000000-0005-0000-0000-000019000000}"/>
    <cellStyle name="Comma 2 3 2" xfId="10" xr:uid="{00000000-0005-0000-0000-00001A000000}"/>
    <cellStyle name="Comma 2 3 2 2" xfId="11" xr:uid="{00000000-0005-0000-0000-00001B000000}"/>
    <cellStyle name="Comma 2 3 2 2 2" xfId="12" xr:uid="{00000000-0005-0000-0000-00001C000000}"/>
    <cellStyle name="Comma 2 3 2 2 2 2" xfId="13" xr:uid="{00000000-0005-0000-0000-00001D000000}"/>
    <cellStyle name="Comma 2 3 2 2 2 2 2" xfId="14" xr:uid="{00000000-0005-0000-0000-00001E000000}"/>
    <cellStyle name="Comma 2 3 2 2 3" xfId="15" xr:uid="{00000000-0005-0000-0000-00001F000000}"/>
    <cellStyle name="Comma 2 3 2 2 3 2" xfId="16" xr:uid="{00000000-0005-0000-0000-000020000000}"/>
    <cellStyle name="Comma 2 3 2 3" xfId="17" xr:uid="{00000000-0005-0000-0000-000021000000}"/>
    <cellStyle name="Comma 2 3 2 3 2" xfId="18" xr:uid="{00000000-0005-0000-0000-000022000000}"/>
    <cellStyle name="Comma 2 3 2 4" xfId="19" xr:uid="{00000000-0005-0000-0000-000023000000}"/>
    <cellStyle name="Comma 2 3 2 5" xfId="20" xr:uid="{00000000-0005-0000-0000-000024000000}"/>
    <cellStyle name="Comma 2 4" xfId="21" xr:uid="{00000000-0005-0000-0000-000025000000}"/>
    <cellStyle name="Comma 2 5" xfId="22" xr:uid="{00000000-0005-0000-0000-000026000000}"/>
    <cellStyle name="Comma 2 5 2" xfId="23" xr:uid="{00000000-0005-0000-0000-000027000000}"/>
    <cellStyle name="Comma 2 5 3" xfId="24" xr:uid="{00000000-0005-0000-0000-000028000000}"/>
    <cellStyle name="Comma 2 6" xfId="25" xr:uid="{00000000-0005-0000-0000-000029000000}"/>
    <cellStyle name="Comma 2 7" xfId="26" xr:uid="{00000000-0005-0000-0000-00002A000000}"/>
    <cellStyle name="Comma 2 7 2" xfId="27" xr:uid="{00000000-0005-0000-0000-00002B000000}"/>
    <cellStyle name="Comma 2 7 2 2" xfId="28" xr:uid="{00000000-0005-0000-0000-00002C000000}"/>
    <cellStyle name="Comma 2 8" xfId="29" xr:uid="{00000000-0005-0000-0000-00002D000000}"/>
    <cellStyle name="Comma 2 9" xfId="30" xr:uid="{00000000-0005-0000-0000-00002E000000}"/>
    <cellStyle name="Comma 3" xfId="31" xr:uid="{00000000-0005-0000-0000-00002F000000}"/>
    <cellStyle name="Comma 33 2 2 3" xfId="32" xr:uid="{00000000-0005-0000-0000-000030000000}"/>
    <cellStyle name="Comma 4" xfId="33" xr:uid="{00000000-0005-0000-0000-000031000000}"/>
    <cellStyle name="Comma 43" xfId="34" xr:uid="{00000000-0005-0000-0000-000032000000}"/>
    <cellStyle name="Currency [0] 2" xfId="50" xr:uid="{00000000-0005-0000-0000-000033000000}"/>
    <cellStyle name="Excel Built-in Currency [0] 1" xfId="118" xr:uid="{00000000-0005-0000-0000-000034000000}"/>
    <cellStyle name="Hyperlink 2" xfId="51" xr:uid="{00000000-0005-0000-0000-000035000000}"/>
    <cellStyle name="Normal" xfId="0" builtinId="0"/>
    <cellStyle name="Normal - Style1 2" xfId="122" xr:uid="{00000000-0005-0000-0000-000037000000}"/>
    <cellStyle name="Normal 17" xfId="52" xr:uid="{00000000-0005-0000-0000-000038000000}"/>
    <cellStyle name="Normal 2" xfId="53" xr:uid="{00000000-0005-0000-0000-000039000000}"/>
    <cellStyle name="Normal 3" xfId="54" xr:uid="{00000000-0005-0000-0000-00003A000000}"/>
    <cellStyle name="Normal 3 2" xfId="55" xr:uid="{00000000-0005-0000-0000-00003B000000}"/>
    <cellStyle name="Normal 3 3" xfId="56" xr:uid="{00000000-0005-0000-0000-00003C000000}"/>
    <cellStyle name="Normal 32 2 2" xfId="57" xr:uid="{00000000-0005-0000-0000-00003D000000}"/>
    <cellStyle name="Normal 32 2 2 2" xfId="58" xr:uid="{00000000-0005-0000-0000-00003E000000}"/>
    <cellStyle name="Normal 32 2 2 2 2" xfId="59" xr:uid="{00000000-0005-0000-0000-00003F000000}"/>
    <cellStyle name="Normal 32 2 2 2 2 2" xfId="60" xr:uid="{00000000-0005-0000-0000-000040000000}"/>
    <cellStyle name="Normal 32 2 2 2 2 3" xfId="61" xr:uid="{00000000-0005-0000-0000-000041000000}"/>
    <cellStyle name="Normal 32 2 2 2 2 3 2" xfId="62" xr:uid="{00000000-0005-0000-0000-000042000000}"/>
    <cellStyle name="Normal 32 2 2 2 3" xfId="63" xr:uid="{00000000-0005-0000-0000-000043000000}"/>
    <cellStyle name="Normal 32 2 2 2 3 2" xfId="64" xr:uid="{00000000-0005-0000-0000-000044000000}"/>
    <cellStyle name="Normal 32 2 2 2 4" xfId="65" xr:uid="{00000000-0005-0000-0000-000045000000}"/>
    <cellStyle name="Normal 32 2 2 2 4 2" xfId="66" xr:uid="{00000000-0005-0000-0000-000046000000}"/>
    <cellStyle name="Normal 32 2 2 2 4 3" xfId="67" xr:uid="{00000000-0005-0000-0000-000047000000}"/>
    <cellStyle name="Normal 32 2 2 3" xfId="68" xr:uid="{00000000-0005-0000-0000-000048000000}"/>
    <cellStyle name="Normal 32 2 2 4" xfId="69" xr:uid="{00000000-0005-0000-0000-000049000000}"/>
    <cellStyle name="Normal 32 2 2 5" xfId="70" xr:uid="{00000000-0005-0000-0000-00004A000000}"/>
    <cellStyle name="Normal 32 2 2 5 2" xfId="71" xr:uid="{00000000-0005-0000-0000-00004B000000}"/>
    <cellStyle name="Normal 4" xfId="72" xr:uid="{00000000-0005-0000-0000-00004C000000}"/>
    <cellStyle name="Normal 5" xfId="73" xr:uid="{00000000-0005-0000-0000-00004D000000}"/>
    <cellStyle name="Normal 5 2" xfId="74" xr:uid="{00000000-0005-0000-0000-00004E000000}"/>
    <cellStyle name="Normal 5 2 2" xfId="75" xr:uid="{00000000-0005-0000-0000-00004F000000}"/>
    <cellStyle name="Normal 5 2 2 2" xfId="76" xr:uid="{00000000-0005-0000-0000-000050000000}"/>
    <cellStyle name="Normal 5 2 2 2 2" xfId="77" xr:uid="{00000000-0005-0000-0000-000051000000}"/>
    <cellStyle name="Normal 5 2 2 2 2 2" xfId="78" xr:uid="{00000000-0005-0000-0000-000052000000}"/>
    <cellStyle name="Normal 5 2 2 2 2 3" xfId="79" xr:uid="{00000000-0005-0000-0000-000053000000}"/>
    <cellStyle name="Normal 5 2 2 2 2 3 2" xfId="80" xr:uid="{00000000-0005-0000-0000-000054000000}"/>
    <cellStyle name="Normal 5 2 2 2 2 4" xfId="81" xr:uid="{00000000-0005-0000-0000-000055000000}"/>
    <cellStyle name="Normal 5 2 3" xfId="82" xr:uid="{00000000-0005-0000-0000-000056000000}"/>
    <cellStyle name="Normal 5 2 3 2" xfId="83" xr:uid="{00000000-0005-0000-0000-000057000000}"/>
    <cellStyle name="Normal 5 2 3 3" xfId="84" xr:uid="{00000000-0005-0000-0000-000058000000}"/>
    <cellStyle name="Normal 5 2 4" xfId="85" xr:uid="{00000000-0005-0000-0000-000059000000}"/>
    <cellStyle name="Normal 5 3" xfId="86" xr:uid="{00000000-0005-0000-0000-00005A000000}"/>
    <cellStyle name="Normal 5 3 2" xfId="87" xr:uid="{00000000-0005-0000-0000-00005B000000}"/>
    <cellStyle name="Normal 5 3 3" xfId="88" xr:uid="{00000000-0005-0000-0000-00005C000000}"/>
    <cellStyle name="Normal 5 3 3 2" xfId="89" xr:uid="{00000000-0005-0000-0000-00005D000000}"/>
    <cellStyle name="Normal 5 3 4" xfId="90" xr:uid="{00000000-0005-0000-0000-00005E000000}"/>
    <cellStyle name="Normal 5 4" xfId="91" xr:uid="{00000000-0005-0000-0000-00005F000000}"/>
    <cellStyle name="Normal 5 4 2" xfId="92" xr:uid="{00000000-0005-0000-0000-000060000000}"/>
    <cellStyle name="Normal 5 4 2 2" xfId="93" xr:uid="{00000000-0005-0000-0000-000061000000}"/>
    <cellStyle name="Normal 5 4 3" xfId="94" xr:uid="{00000000-0005-0000-0000-000062000000}"/>
    <cellStyle name="Normal 5 4 3 2" xfId="95" xr:uid="{00000000-0005-0000-0000-000063000000}"/>
    <cellStyle name="Normal 5 4 3 2 2" xfId="96" xr:uid="{00000000-0005-0000-0000-000064000000}"/>
    <cellStyle name="Normal 5 4 4" xfId="97" xr:uid="{00000000-0005-0000-0000-000065000000}"/>
    <cellStyle name="Normal 5 4 4 2" xfId="98" xr:uid="{00000000-0005-0000-0000-000066000000}"/>
    <cellStyle name="Normal 5 5" xfId="99" xr:uid="{00000000-0005-0000-0000-000067000000}"/>
    <cellStyle name="Normal 5 6" xfId="100" xr:uid="{00000000-0005-0000-0000-000068000000}"/>
    <cellStyle name="Normal 5 7" xfId="101" xr:uid="{00000000-0005-0000-0000-000069000000}"/>
    <cellStyle name="Normal 6" xfId="102" xr:uid="{00000000-0005-0000-0000-00006A000000}"/>
    <cellStyle name="Percent" xfId="121" builtinId="5"/>
    <cellStyle name="Percent 2" xfId="103" xr:uid="{00000000-0005-0000-0000-00006C000000}"/>
    <cellStyle name="Percent 2 2" xfId="104" xr:uid="{00000000-0005-0000-0000-00006D000000}"/>
    <cellStyle name="Percent 2 2 2" xfId="105" xr:uid="{00000000-0005-0000-0000-00006E000000}"/>
    <cellStyle name="Percent 2 2 2 2" xfId="106" xr:uid="{00000000-0005-0000-0000-00006F000000}"/>
    <cellStyle name="Percent 2 2 2 2 2" xfId="107" xr:uid="{00000000-0005-0000-0000-000070000000}"/>
    <cellStyle name="Percent 2 2 2 3" xfId="108" xr:uid="{00000000-0005-0000-0000-000071000000}"/>
    <cellStyle name="Percent 2 2 3" xfId="109" xr:uid="{00000000-0005-0000-0000-000072000000}"/>
    <cellStyle name="Percent 2 2 4" xfId="110" xr:uid="{00000000-0005-0000-0000-000073000000}"/>
    <cellStyle name="Percent 2 3" xfId="111" xr:uid="{00000000-0005-0000-0000-000074000000}"/>
    <cellStyle name="Percent 2 3 2" xfId="112" xr:uid="{00000000-0005-0000-0000-000075000000}"/>
    <cellStyle name="Percent 2 4" xfId="113" xr:uid="{00000000-0005-0000-0000-000076000000}"/>
    <cellStyle name="Percent 2 4 2" xfId="114" xr:uid="{00000000-0005-0000-0000-000077000000}"/>
    <cellStyle name="Percent 2 5" xfId="115" xr:uid="{00000000-0005-0000-0000-000078000000}"/>
    <cellStyle name="Percent 2 5 2" xfId="116" xr:uid="{00000000-0005-0000-0000-000079000000}"/>
    <cellStyle name="Percent 3" xfId="117" xr:uid="{00000000-0005-0000-0000-00007A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7030A0"/>
      <rgbColor rgb="FFFFF2CC"/>
      <rgbColor rgb="FFDEEBF7"/>
      <rgbColor rgb="FF660066"/>
      <rgbColor rgb="FFFF8080"/>
      <rgbColor rgb="FF0563C1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AE3F3"/>
      <rgbColor rgb="FFE2F0D9"/>
      <rgbColor rgb="FFEDEDED"/>
      <rgbColor rgb="FFDBDBDB"/>
      <rgbColor rgb="FFFF99CC"/>
      <rgbColor rgb="FFCC99FF"/>
      <rgbColor rgb="FFF8CBAD"/>
      <rgbColor rgb="FF3366FF"/>
      <rgbColor rgb="FF33CCCC"/>
      <rgbColor rgb="FF92D050"/>
      <rgbColor rgb="FFFFC000"/>
      <rgbColor rgb="FFFF9900"/>
      <rgbColor rgb="FFFF6600"/>
      <rgbColor rgb="FF44546A"/>
      <rgbColor rgb="FF70AD47"/>
      <rgbColor rgb="FF003366"/>
      <rgbColor rgb="FF339966"/>
      <rgbColor rgb="FF111111"/>
      <rgbColor rgb="FF333300"/>
      <rgbColor rgb="FF993300"/>
      <rgbColor rgb="FF993366"/>
      <rgbColor rgb="FF333399"/>
      <rgbColor rgb="FF3B3B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71280</xdr:colOff>
      <xdr:row>50</xdr:row>
      <xdr:rowOff>131040</xdr:rowOff>
    </xdr:from>
    <xdr:to>
      <xdr:col>25</xdr:col>
      <xdr:colOff>70920</xdr:colOff>
      <xdr:row>63</xdr:row>
      <xdr:rowOff>23040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6909560" y="9379800"/>
          <a:ext cx="5801040" cy="24922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sloinstalasilistrik.com/biaya-nidi-slo-pln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2"/>
  <sheetViews>
    <sheetView zoomScale="115" zoomScaleNormal="115" workbookViewId="0">
      <selection activeCell="B22" sqref="B22"/>
    </sheetView>
  </sheetViews>
  <sheetFormatPr baseColWidth="10" defaultColWidth="8.83203125" defaultRowHeight="13"/>
  <cols>
    <col min="1" max="1" width="5.5" customWidth="1"/>
    <col min="2" max="2" width="24.5" customWidth="1"/>
    <col min="5" max="5" width="13.5" customWidth="1"/>
    <col min="6" max="6" width="13.1640625" customWidth="1"/>
    <col min="7" max="7" width="12.5" customWidth="1"/>
    <col min="13" max="14" width="12.5" customWidth="1"/>
  </cols>
  <sheetData>
    <row r="1" spans="1:13" ht="13.5" customHeight="1">
      <c r="A1" s="3171" t="s">
        <v>0</v>
      </c>
      <c r="B1" s="3171"/>
      <c r="C1" s="3171"/>
      <c r="D1" s="3171"/>
      <c r="E1" s="3171"/>
      <c r="F1" s="3171"/>
      <c r="G1" s="3171"/>
    </row>
    <row r="3" spans="1:13" ht="13.5" customHeight="1"/>
    <row r="4" spans="1:13" s="5" customFormat="1" ht="14.25" customHeight="1">
      <c r="A4" s="3" t="s">
        <v>1</v>
      </c>
      <c r="B4" s="3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</row>
    <row r="5" spans="1:13" s="5" customFormat="1" ht="14.25" customHeight="1">
      <c r="A5" s="6"/>
      <c r="B5" s="7" t="s">
        <v>8</v>
      </c>
      <c r="C5" s="8"/>
      <c r="D5" s="9"/>
      <c r="E5" s="9"/>
      <c r="F5" s="9"/>
      <c r="G5" s="10"/>
    </row>
    <row r="6" spans="1:13" s="5" customFormat="1" ht="14.25" customHeight="1">
      <c r="A6" s="11"/>
      <c r="B6" s="12" t="s">
        <v>9</v>
      </c>
      <c r="C6" s="11" t="s">
        <v>10</v>
      </c>
      <c r="D6" s="13">
        <v>1</v>
      </c>
      <c r="E6" s="13">
        <v>500000</v>
      </c>
      <c r="F6" s="13">
        <f>+E6*D6</f>
        <v>500000</v>
      </c>
      <c r="G6" s="12"/>
    </row>
    <row r="7" spans="1:13" s="5" customFormat="1" ht="14.25" customHeight="1">
      <c r="A7" s="14"/>
      <c r="B7" s="15"/>
      <c r="C7" s="14"/>
      <c r="D7" s="16"/>
      <c r="E7" s="17" t="s">
        <v>11</v>
      </c>
      <c r="F7" s="17">
        <f>SUM(F6:F6)</f>
        <v>500000</v>
      </c>
      <c r="G7" s="15"/>
      <c r="J7" s="18"/>
    </row>
    <row r="8" spans="1:13" ht="14.25" customHeight="1"/>
    <row r="9" spans="1:13" ht="15" customHeight="1">
      <c r="A9" s="3" t="s">
        <v>1</v>
      </c>
      <c r="B9" s="3" t="s">
        <v>2</v>
      </c>
      <c r="C9" s="4" t="s">
        <v>3</v>
      </c>
      <c r="D9" s="4" t="s">
        <v>4</v>
      </c>
      <c r="E9" s="4" t="s">
        <v>5</v>
      </c>
      <c r="F9" s="4" t="s">
        <v>6</v>
      </c>
      <c r="G9" s="4" t="s">
        <v>7</v>
      </c>
    </row>
    <row r="10" spans="1:13" ht="14.25" customHeight="1">
      <c r="A10" s="6"/>
      <c r="B10" s="7" t="s">
        <v>12</v>
      </c>
      <c r="C10" s="8"/>
      <c r="D10" s="9"/>
      <c r="E10" s="9"/>
      <c r="F10" s="9"/>
      <c r="G10" s="10"/>
    </row>
    <row r="11" spans="1:13" ht="14.25" customHeight="1">
      <c r="A11" s="11"/>
      <c r="B11" s="12" t="s">
        <v>13</v>
      </c>
      <c r="C11" s="11" t="s">
        <v>14</v>
      </c>
      <c r="D11" s="13">
        <v>1</v>
      </c>
      <c r="E11" s="13">
        <v>150000</v>
      </c>
      <c r="F11" s="13">
        <f>+E11*D11</f>
        <v>150000</v>
      </c>
      <c r="G11" s="12"/>
    </row>
    <row r="12" spans="1:13" ht="15" customHeight="1">
      <c r="A12" s="14"/>
      <c r="B12" s="15"/>
      <c r="C12" s="14"/>
      <c r="D12" s="16"/>
      <c r="E12" s="17" t="s">
        <v>11</v>
      </c>
      <c r="F12" s="17">
        <f>SUM(F11:F11)</f>
        <v>150000</v>
      </c>
      <c r="G12" s="15"/>
    </row>
    <row r="13" spans="1:13" ht="14.25" customHeight="1"/>
    <row r="14" spans="1:13" ht="15" customHeight="1">
      <c r="A14" s="3" t="s">
        <v>1</v>
      </c>
      <c r="B14" s="3" t="s">
        <v>2</v>
      </c>
      <c r="C14" s="4" t="s">
        <v>3</v>
      </c>
      <c r="D14" s="4" t="s">
        <v>4</v>
      </c>
      <c r="E14" s="4" t="s">
        <v>5</v>
      </c>
      <c r="F14" s="4" t="s">
        <v>6</v>
      </c>
      <c r="G14" s="4" t="s">
        <v>7</v>
      </c>
    </row>
    <row r="15" spans="1:13" ht="14.25" customHeight="1">
      <c r="A15" s="6"/>
      <c r="B15" s="7" t="s">
        <v>15</v>
      </c>
      <c r="C15" s="8"/>
      <c r="D15" s="9"/>
      <c r="E15" s="9"/>
      <c r="F15" s="9"/>
      <c r="G15" s="10"/>
      <c r="J15" s="7" t="s">
        <v>16</v>
      </c>
      <c r="K15" s="8"/>
      <c r="L15" s="9"/>
      <c r="M15" s="9" t="s">
        <v>17</v>
      </c>
    </row>
    <row r="16" spans="1:13" ht="14.25" customHeight="1">
      <c r="A16" s="11"/>
      <c r="B16" s="12" t="s">
        <v>18</v>
      </c>
      <c r="C16" s="11" t="s">
        <v>19</v>
      </c>
      <c r="D16" s="13">
        <v>1</v>
      </c>
      <c r="E16" s="13">
        <v>150000</v>
      </c>
      <c r="F16" s="13">
        <f>+E16*D16</f>
        <v>150000</v>
      </c>
      <c r="G16" s="12"/>
      <c r="J16" s="19" t="s">
        <v>20</v>
      </c>
      <c r="L16" s="20"/>
      <c r="M16" s="21">
        <v>15000</v>
      </c>
    </row>
    <row r="17" spans="1:14" ht="15" customHeight="1">
      <c r="A17" s="14"/>
      <c r="B17" s="15"/>
      <c r="C17" s="14"/>
      <c r="D17" s="16"/>
      <c r="E17" s="17" t="s">
        <v>11</v>
      </c>
      <c r="F17" s="17">
        <f>SUM(F16:F16)</f>
        <v>150000</v>
      </c>
      <c r="G17" s="15"/>
      <c r="J17" s="19" t="s">
        <v>21</v>
      </c>
      <c r="L17" s="20"/>
      <c r="M17" s="21">
        <v>18000</v>
      </c>
    </row>
    <row r="18" spans="1:14" ht="15" customHeight="1">
      <c r="J18" s="19" t="s">
        <v>22</v>
      </c>
      <c r="L18" s="20"/>
      <c r="M18" s="21">
        <v>40000</v>
      </c>
    </row>
    <row r="19" spans="1:14" ht="15" customHeight="1">
      <c r="A19" s="3" t="s">
        <v>1</v>
      </c>
      <c r="B19" s="3" t="s">
        <v>2</v>
      </c>
      <c r="C19" s="4" t="s">
        <v>3</v>
      </c>
      <c r="D19" s="4" t="s">
        <v>4</v>
      </c>
      <c r="E19" s="4" t="s">
        <v>5</v>
      </c>
      <c r="F19" s="4" t="s">
        <v>6</v>
      </c>
      <c r="G19" s="4" t="s">
        <v>7</v>
      </c>
      <c r="J19" s="19" t="s">
        <v>23</v>
      </c>
      <c r="L19" s="20"/>
      <c r="M19" s="21">
        <v>35000</v>
      </c>
    </row>
    <row r="20" spans="1:14" ht="14.25" customHeight="1">
      <c r="A20" s="6"/>
      <c r="B20" s="7" t="s">
        <v>16</v>
      </c>
      <c r="C20" s="8"/>
      <c r="D20" s="9"/>
      <c r="E20" s="9"/>
      <c r="F20" s="9"/>
      <c r="G20" s="10"/>
      <c r="J20" s="19" t="s">
        <v>24</v>
      </c>
      <c r="L20" s="20"/>
      <c r="M20" s="21">
        <v>50000</v>
      </c>
    </row>
    <row r="21" spans="1:14" ht="13.5" customHeight="1">
      <c r="A21" s="22"/>
      <c r="B21" s="23" t="s">
        <v>20</v>
      </c>
      <c r="C21" s="24">
        <v>1</v>
      </c>
      <c r="D21" s="20" t="s">
        <v>25</v>
      </c>
      <c r="E21" s="21">
        <v>20000</v>
      </c>
      <c r="F21" s="20">
        <f t="shared" ref="F21:F32" si="0">C21*E21</f>
        <v>20000</v>
      </c>
      <c r="G21" s="23"/>
      <c r="J21" s="19" t="s">
        <v>26</v>
      </c>
      <c r="L21" s="20"/>
      <c r="M21" s="21">
        <v>25000</v>
      </c>
      <c r="N21" s="21"/>
    </row>
    <row r="22" spans="1:14" ht="13.5" customHeight="1">
      <c r="A22" s="22"/>
      <c r="B22" s="23" t="s">
        <v>21</v>
      </c>
      <c r="C22" s="24">
        <v>1</v>
      </c>
      <c r="D22" s="20" t="s">
        <v>25</v>
      </c>
      <c r="E22" s="21">
        <v>20000</v>
      </c>
      <c r="F22" s="20">
        <f t="shared" si="0"/>
        <v>20000</v>
      </c>
      <c r="G22" s="23"/>
      <c r="J22" s="19" t="s">
        <v>27</v>
      </c>
      <c r="L22" s="20"/>
      <c r="M22" s="21">
        <v>60000</v>
      </c>
      <c r="N22" s="21"/>
    </row>
    <row r="23" spans="1:14" ht="13.5" customHeight="1">
      <c r="A23" s="22"/>
      <c r="B23" s="23" t="s">
        <v>22</v>
      </c>
      <c r="C23" s="24">
        <v>1</v>
      </c>
      <c r="D23" s="20" t="s">
        <v>25</v>
      </c>
      <c r="E23" s="21">
        <v>40000</v>
      </c>
      <c r="F23" s="20">
        <f t="shared" si="0"/>
        <v>40000</v>
      </c>
      <c r="G23" s="23"/>
      <c r="J23" s="19" t="s">
        <v>28</v>
      </c>
      <c r="L23" s="20"/>
      <c r="M23" s="21">
        <v>90000</v>
      </c>
      <c r="N23" s="21"/>
    </row>
    <row r="24" spans="1:14" ht="13.5" customHeight="1">
      <c r="A24" s="22"/>
      <c r="B24" s="23" t="s">
        <v>23</v>
      </c>
      <c r="C24" s="24">
        <v>1</v>
      </c>
      <c r="D24" s="20" t="s">
        <v>25</v>
      </c>
      <c r="E24" s="21">
        <v>35000</v>
      </c>
      <c r="F24" s="20">
        <f t="shared" si="0"/>
        <v>35000</v>
      </c>
      <c r="G24" s="23"/>
      <c r="J24" s="19" t="s">
        <v>29</v>
      </c>
      <c r="L24" s="20"/>
      <c r="M24" s="21">
        <v>15000</v>
      </c>
      <c r="N24" s="21"/>
    </row>
    <row r="25" spans="1:14" ht="13.5" customHeight="1">
      <c r="A25" s="22"/>
      <c r="B25" s="23" t="s">
        <v>24</v>
      </c>
      <c r="C25" s="24">
        <v>1</v>
      </c>
      <c r="D25" s="20" t="s">
        <v>25</v>
      </c>
      <c r="E25" s="21">
        <v>50000</v>
      </c>
      <c r="F25" s="20">
        <f t="shared" si="0"/>
        <v>50000</v>
      </c>
      <c r="G25" s="23"/>
      <c r="J25" s="19" t="s">
        <v>30</v>
      </c>
      <c r="L25" s="20"/>
      <c r="M25" s="21">
        <v>80000</v>
      </c>
      <c r="N25" s="21"/>
    </row>
    <row r="26" spans="1:14" ht="13.5" customHeight="1">
      <c r="A26" s="22"/>
      <c r="B26" s="23" t="s">
        <v>26</v>
      </c>
      <c r="C26" s="24">
        <v>1</v>
      </c>
      <c r="D26" s="20" t="s">
        <v>25</v>
      </c>
      <c r="E26" s="21">
        <v>25000</v>
      </c>
      <c r="F26" s="20">
        <f t="shared" si="0"/>
        <v>25000</v>
      </c>
      <c r="G26" s="23"/>
      <c r="J26" s="19" t="s">
        <v>31</v>
      </c>
      <c r="L26" s="20"/>
      <c r="M26" s="21">
        <v>125000</v>
      </c>
      <c r="N26" s="21"/>
    </row>
    <row r="27" spans="1:14" ht="13.5" customHeight="1">
      <c r="A27" s="22"/>
      <c r="B27" s="23" t="s">
        <v>27</v>
      </c>
      <c r="C27" s="24">
        <v>1</v>
      </c>
      <c r="D27" s="20" t="s">
        <v>25</v>
      </c>
      <c r="E27" s="21">
        <v>60000</v>
      </c>
      <c r="F27" s="20">
        <f t="shared" si="0"/>
        <v>60000</v>
      </c>
      <c r="G27" s="23"/>
      <c r="J27" s="19" t="s">
        <v>32</v>
      </c>
      <c r="L27" s="20"/>
      <c r="M27" s="21">
        <v>250000</v>
      </c>
      <c r="N27" s="21"/>
    </row>
    <row r="28" spans="1:14" ht="13.5" customHeight="1">
      <c r="A28" s="22"/>
      <c r="B28" s="23" t="s">
        <v>28</v>
      </c>
      <c r="C28" s="24">
        <v>1</v>
      </c>
      <c r="D28" s="20" t="s">
        <v>25</v>
      </c>
      <c r="E28" s="21">
        <v>90000</v>
      </c>
      <c r="F28" s="20">
        <f t="shared" si="0"/>
        <v>90000</v>
      </c>
      <c r="G28" s="23"/>
      <c r="J28" s="19" t="s">
        <v>33</v>
      </c>
      <c r="L28" s="20"/>
      <c r="M28" s="21">
        <v>75000</v>
      </c>
      <c r="N28" s="21"/>
    </row>
    <row r="29" spans="1:14" ht="13.5" customHeight="1">
      <c r="A29" s="22"/>
      <c r="B29" s="23" t="s">
        <v>29</v>
      </c>
      <c r="C29" s="24">
        <v>1</v>
      </c>
      <c r="D29" s="20" t="s">
        <v>25</v>
      </c>
      <c r="E29" s="21">
        <v>15000</v>
      </c>
      <c r="F29" s="20">
        <f t="shared" si="0"/>
        <v>15000</v>
      </c>
      <c r="G29" s="23"/>
      <c r="J29" s="19" t="s">
        <v>34</v>
      </c>
      <c r="L29" s="20"/>
      <c r="M29" s="21">
        <v>90000</v>
      </c>
      <c r="N29" s="21"/>
    </row>
    <row r="30" spans="1:14" ht="13.5" customHeight="1">
      <c r="A30" s="22"/>
      <c r="B30" s="23" t="s">
        <v>35</v>
      </c>
      <c r="C30" s="24">
        <v>1</v>
      </c>
      <c r="D30" s="20" t="s">
        <v>25</v>
      </c>
      <c r="E30" s="21">
        <v>100000</v>
      </c>
      <c r="F30" s="20">
        <f t="shared" si="0"/>
        <v>100000</v>
      </c>
      <c r="G30" s="23"/>
      <c r="J30" s="19" t="s">
        <v>36</v>
      </c>
      <c r="L30" s="20"/>
      <c r="M30" s="21">
        <v>150000</v>
      </c>
      <c r="N30" s="21"/>
    </row>
    <row r="31" spans="1:14" ht="13.5" customHeight="1">
      <c r="A31" s="22"/>
      <c r="B31" s="23" t="s">
        <v>33</v>
      </c>
      <c r="C31" s="24">
        <v>1</v>
      </c>
      <c r="D31" s="20" t="s">
        <v>25</v>
      </c>
      <c r="E31" s="21">
        <v>75000</v>
      </c>
      <c r="F31" s="20">
        <f t="shared" si="0"/>
        <v>75000</v>
      </c>
      <c r="G31" s="23"/>
      <c r="J31" s="19"/>
      <c r="L31" s="20"/>
      <c r="M31" s="21">
        <f>SUM(M16:M30)</f>
        <v>1118000</v>
      </c>
      <c r="N31" s="21"/>
    </row>
    <row r="32" spans="1:14" ht="14.25" customHeight="1">
      <c r="A32" s="22"/>
      <c r="B32" s="23" t="s">
        <v>37</v>
      </c>
      <c r="C32" s="24">
        <v>1</v>
      </c>
      <c r="D32" s="20" t="s">
        <v>25</v>
      </c>
      <c r="E32" s="21">
        <v>120000</v>
      </c>
      <c r="F32" s="20">
        <f t="shared" si="0"/>
        <v>120000</v>
      </c>
      <c r="G32" s="23"/>
      <c r="N32" s="21"/>
    </row>
    <row r="33" spans="1:14" ht="15" customHeight="1">
      <c r="A33" s="14"/>
      <c r="B33" s="15"/>
      <c r="C33" s="14"/>
      <c r="D33" s="16"/>
      <c r="E33" s="17" t="s">
        <v>11</v>
      </c>
      <c r="F33" s="17">
        <f>SUM(F21:F32)</f>
        <v>650000</v>
      </c>
      <c r="G33" s="15"/>
      <c r="N33" s="21"/>
    </row>
    <row r="34" spans="1:14" ht="15" customHeight="1">
      <c r="A34" s="22"/>
      <c r="F34" s="20"/>
      <c r="G34" s="23"/>
      <c r="N34" s="21"/>
    </row>
    <row r="35" spans="1:14" ht="15" customHeight="1">
      <c r="A35" s="3" t="s">
        <v>1</v>
      </c>
      <c r="B35" s="3" t="s">
        <v>2</v>
      </c>
      <c r="C35" s="4" t="s">
        <v>3</v>
      </c>
      <c r="D35" s="4" t="s">
        <v>4</v>
      </c>
      <c r="E35" s="4" t="s">
        <v>5</v>
      </c>
      <c r="F35" s="4" t="s">
        <v>6</v>
      </c>
      <c r="G35" s="4" t="s">
        <v>7</v>
      </c>
      <c r="N35" s="21"/>
    </row>
    <row r="36" spans="1:14" ht="14.25" customHeight="1">
      <c r="A36" s="6"/>
      <c r="B36" s="7" t="s">
        <v>38</v>
      </c>
      <c r="C36" s="8"/>
      <c r="D36" s="9"/>
      <c r="E36" s="9"/>
      <c r="F36" s="9"/>
      <c r="G36" s="10"/>
      <c r="N36" s="21"/>
    </row>
    <row r="37" spans="1:14" ht="13.5" customHeight="1">
      <c r="A37" s="11"/>
      <c r="B37" s="12" t="s">
        <v>39</v>
      </c>
      <c r="C37" s="11" t="s">
        <v>10</v>
      </c>
      <c r="D37" s="13">
        <v>1</v>
      </c>
      <c r="E37" s="13">
        <v>500000</v>
      </c>
      <c r="F37" s="13">
        <f>+E37*D37</f>
        <v>500000</v>
      </c>
      <c r="G37" s="12"/>
    </row>
    <row r="38" spans="1:14" ht="14.25" customHeight="1">
      <c r="A38" s="25"/>
      <c r="B38" s="23"/>
      <c r="C38" s="25"/>
      <c r="D38" s="20"/>
      <c r="E38" s="20"/>
      <c r="F38" s="20"/>
      <c r="G38" s="23"/>
    </row>
    <row r="39" spans="1:14" ht="15" customHeight="1">
      <c r="A39" s="14"/>
      <c r="B39" s="15"/>
      <c r="C39" s="14"/>
      <c r="D39" s="16"/>
      <c r="E39" s="17" t="s">
        <v>11</v>
      </c>
      <c r="F39" s="17">
        <f>SUM(F37:F37)</f>
        <v>500000</v>
      </c>
      <c r="G39" s="15"/>
    </row>
    <row r="40" spans="1:14" ht="15" customHeight="1">
      <c r="A40" s="22"/>
      <c r="B40" s="19"/>
      <c r="C40" s="25"/>
      <c r="D40" s="20"/>
      <c r="E40" s="20"/>
      <c r="F40" s="20"/>
      <c r="G40" s="23"/>
    </row>
    <row r="41" spans="1:14" ht="15" customHeight="1">
      <c r="A41" s="3" t="s">
        <v>1</v>
      </c>
      <c r="B41" s="3" t="s">
        <v>2</v>
      </c>
      <c r="C41" s="4" t="s">
        <v>3</v>
      </c>
      <c r="D41" s="4" t="s">
        <v>4</v>
      </c>
      <c r="E41" s="4" t="s">
        <v>5</v>
      </c>
      <c r="F41" s="4" t="s">
        <v>6</v>
      </c>
      <c r="G41" s="4" t="s">
        <v>7</v>
      </c>
      <c r="N41" s="21"/>
    </row>
    <row r="42" spans="1:14" ht="14.25" customHeight="1">
      <c r="A42" s="6"/>
      <c r="B42" s="7" t="s">
        <v>40</v>
      </c>
      <c r="C42" s="8"/>
      <c r="D42" s="9"/>
      <c r="E42" s="9"/>
      <c r="F42" s="9"/>
      <c r="G42" s="10"/>
      <c r="N42" s="21"/>
    </row>
    <row r="43" spans="1:14" ht="13.5" customHeight="1">
      <c r="A43" s="11"/>
      <c r="B43" s="12" t="s">
        <v>41</v>
      </c>
      <c r="C43" s="11" t="s">
        <v>42</v>
      </c>
      <c r="D43" s="13">
        <v>1</v>
      </c>
      <c r="E43" s="13">
        <v>3000000</v>
      </c>
      <c r="F43" s="13">
        <f>+E43*D43</f>
        <v>3000000</v>
      </c>
      <c r="G43" s="12"/>
    </row>
    <row r="44" spans="1:14" ht="14.25" customHeight="1">
      <c r="A44" s="25"/>
      <c r="B44" s="23"/>
      <c r="C44" s="25"/>
      <c r="D44" s="20"/>
      <c r="E44" s="20"/>
      <c r="F44" s="20"/>
      <c r="G44" s="23"/>
    </row>
    <row r="45" spans="1:14" ht="15" customHeight="1">
      <c r="A45" s="14"/>
      <c r="B45" s="15"/>
      <c r="C45" s="14"/>
      <c r="D45" s="16"/>
      <c r="E45" s="17" t="s">
        <v>11</v>
      </c>
      <c r="F45" s="17">
        <f>SUM(F43:F43)</f>
        <v>3000000</v>
      </c>
      <c r="G45" s="15"/>
    </row>
    <row r="46" spans="1:14" ht="15" customHeight="1">
      <c r="A46" s="22"/>
      <c r="B46" s="19"/>
      <c r="C46" s="25"/>
      <c r="D46" s="20"/>
      <c r="E46" s="20"/>
      <c r="F46" s="20"/>
      <c r="G46" s="23"/>
    </row>
    <row r="47" spans="1:14" ht="15" customHeight="1">
      <c r="A47" s="3" t="s">
        <v>1</v>
      </c>
      <c r="B47" s="3" t="s">
        <v>2</v>
      </c>
      <c r="C47" s="4" t="s">
        <v>3</v>
      </c>
      <c r="D47" s="4" t="s">
        <v>4</v>
      </c>
      <c r="E47" s="4" t="s">
        <v>5</v>
      </c>
      <c r="F47" s="4" t="s">
        <v>6</v>
      </c>
      <c r="G47" s="4" t="s">
        <v>7</v>
      </c>
    </row>
    <row r="48" spans="1:14" ht="14.25" customHeight="1">
      <c r="A48" s="6"/>
      <c r="B48" s="7" t="s">
        <v>43</v>
      </c>
      <c r="C48" s="8"/>
      <c r="D48" s="9"/>
      <c r="E48" s="9"/>
      <c r="F48" s="9"/>
      <c r="G48" s="10"/>
    </row>
    <row r="49" spans="1:7" ht="13.5" customHeight="1">
      <c r="A49" s="11"/>
      <c r="B49" s="12" t="s">
        <v>44</v>
      </c>
      <c r="C49" s="11" t="s">
        <v>42</v>
      </c>
      <c r="D49" s="13">
        <v>1</v>
      </c>
      <c r="E49" s="13">
        <v>10000000</v>
      </c>
      <c r="F49" s="13">
        <f>+E49*D49</f>
        <v>10000000</v>
      </c>
      <c r="G49" s="12"/>
    </row>
    <row r="50" spans="1:7" ht="13.5" customHeight="1">
      <c r="A50" s="25"/>
      <c r="B50" s="23"/>
      <c r="C50" s="25"/>
      <c r="D50" s="20"/>
      <c r="E50" s="20"/>
      <c r="F50" s="20"/>
      <c r="G50" s="23"/>
    </row>
    <row r="51" spans="1:7" ht="14.25" customHeight="1">
      <c r="A51" s="25"/>
      <c r="B51" s="23"/>
      <c r="C51" s="25"/>
      <c r="D51" s="20"/>
      <c r="E51" s="20"/>
      <c r="F51" s="20"/>
      <c r="G51" s="23"/>
    </row>
    <row r="52" spans="1:7" ht="15" customHeight="1">
      <c r="A52" s="14"/>
      <c r="B52" s="15"/>
      <c r="C52" s="14"/>
      <c r="D52" s="16"/>
      <c r="E52" s="17" t="s">
        <v>11</v>
      </c>
      <c r="F52" s="17">
        <f>SUM(F49:F49)</f>
        <v>10000000</v>
      </c>
      <c r="G52" s="15"/>
    </row>
    <row r="53" spans="1:7" ht="14.25" customHeight="1"/>
    <row r="54" spans="1:7" ht="15" customHeight="1">
      <c r="A54" s="3" t="s">
        <v>1</v>
      </c>
      <c r="B54" s="3" t="s">
        <v>2</v>
      </c>
      <c r="C54" s="4" t="s">
        <v>3</v>
      </c>
      <c r="D54" s="4" t="s">
        <v>4</v>
      </c>
      <c r="E54" s="4" t="s">
        <v>5</v>
      </c>
      <c r="F54" s="4" t="s">
        <v>6</v>
      </c>
      <c r="G54" s="4" t="s">
        <v>7</v>
      </c>
    </row>
    <row r="55" spans="1:7" ht="14.25" customHeight="1">
      <c r="A55" s="6"/>
      <c r="B55" s="7" t="s">
        <v>45</v>
      </c>
      <c r="C55" s="8"/>
      <c r="D55" s="9"/>
      <c r="E55" s="9"/>
      <c r="F55" s="9"/>
      <c r="G55" s="10"/>
    </row>
    <row r="56" spans="1:7" ht="13.5" customHeight="1">
      <c r="A56" s="22"/>
      <c r="B56" s="23" t="s">
        <v>46</v>
      </c>
      <c r="C56" s="25" t="s">
        <v>47</v>
      </c>
      <c r="D56" s="20">
        <v>2</v>
      </c>
      <c r="E56" s="20">
        <v>1500000</v>
      </c>
      <c r="F56" s="13">
        <f>+E56*D56</f>
        <v>3000000</v>
      </c>
      <c r="G56" s="23"/>
    </row>
    <row r="57" spans="1:7" ht="13.5" customHeight="1">
      <c r="A57" s="22"/>
      <c r="B57" s="23" t="s">
        <v>48</v>
      </c>
      <c r="C57" s="25" t="s">
        <v>49</v>
      </c>
      <c r="D57" s="20">
        <v>1</v>
      </c>
      <c r="E57" s="20">
        <f>12%*100*10000*4*2</f>
        <v>960000</v>
      </c>
      <c r="F57" s="13">
        <f>+E57*D57</f>
        <v>960000</v>
      </c>
      <c r="G57" s="23"/>
    </row>
    <row r="58" spans="1:7" ht="13.5" customHeight="1">
      <c r="A58" s="22"/>
      <c r="B58" s="23" t="s">
        <v>50</v>
      </c>
      <c r="C58" s="25" t="s">
        <v>49</v>
      </c>
      <c r="D58" s="20">
        <v>1</v>
      </c>
      <c r="E58" s="20">
        <f>2.5%*100*40000*4*2</f>
        <v>800000</v>
      </c>
      <c r="F58" s="13">
        <f>+E58*D58</f>
        <v>800000</v>
      </c>
      <c r="G58" s="23"/>
    </row>
    <row r="59" spans="1:7" ht="13.5" customHeight="1">
      <c r="A59" s="22"/>
      <c r="B59" s="23" t="s">
        <v>51</v>
      </c>
      <c r="C59" s="25" t="s">
        <v>49</v>
      </c>
      <c r="D59" s="20">
        <v>1</v>
      </c>
      <c r="E59" s="20">
        <f>200000*2</f>
        <v>400000</v>
      </c>
      <c r="F59" s="13">
        <f>+E59*D59</f>
        <v>400000</v>
      </c>
      <c r="G59" s="23"/>
    </row>
    <row r="60" spans="1:7" ht="14.25" customHeight="1">
      <c r="A60" s="25"/>
      <c r="B60" s="23"/>
      <c r="C60" s="25"/>
      <c r="D60" s="20"/>
      <c r="E60" s="20"/>
      <c r="F60" s="20"/>
      <c r="G60" s="23"/>
    </row>
    <row r="61" spans="1:7" ht="15" customHeight="1">
      <c r="A61" s="14"/>
      <c r="B61" s="15"/>
      <c r="C61" s="14"/>
      <c r="D61" s="16"/>
      <c r="E61" s="17" t="s">
        <v>11</v>
      </c>
      <c r="F61" s="17">
        <f>SUM(F56:F60)</f>
        <v>5160000</v>
      </c>
      <c r="G61" s="15"/>
    </row>
    <row r="62" spans="1:7" ht="13.5" customHeight="1"/>
  </sheetData>
  <mergeCells count="1">
    <mergeCell ref="A1:G1"/>
  </mergeCells>
  <pageMargins left="0.7" right="0.7" top="0.75" bottom="0.75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zoomScaleNormal="100" workbookViewId="0">
      <selection activeCell="C12" sqref="C12"/>
    </sheetView>
  </sheetViews>
  <sheetFormatPr baseColWidth="10" defaultColWidth="8.83203125" defaultRowHeight="13"/>
  <cols>
    <col min="1" max="1" width="4.1640625" customWidth="1"/>
    <col min="2" max="2" width="18.1640625" customWidth="1"/>
  </cols>
  <sheetData>
    <row r="1" spans="1:3" ht="12.75" customHeight="1">
      <c r="A1" s="18" t="s">
        <v>52</v>
      </c>
    </row>
    <row r="2" spans="1:3" ht="12.75" customHeight="1">
      <c r="A2" s="18" t="s">
        <v>53</v>
      </c>
    </row>
    <row r="3" spans="1:3" ht="12.75" customHeight="1">
      <c r="A3" s="18" t="s">
        <v>54</v>
      </c>
    </row>
    <row r="4" spans="1:3" ht="12.75" customHeight="1">
      <c r="A4" s="18" t="s">
        <v>55</v>
      </c>
    </row>
    <row r="6" spans="1:3" ht="12.75" customHeight="1">
      <c r="A6" s="18" t="s">
        <v>56</v>
      </c>
      <c r="B6" s="18" t="s">
        <v>57</v>
      </c>
      <c r="C6" s="18" t="s">
        <v>58</v>
      </c>
    </row>
    <row r="7" spans="1:3" ht="12.75" customHeight="1">
      <c r="B7" s="18" t="s">
        <v>59</v>
      </c>
    </row>
    <row r="8" spans="1:3" ht="12.75" customHeight="1">
      <c r="B8" s="18" t="s">
        <v>60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pageSetUpPr fitToPage="1"/>
  </sheetPr>
  <dimension ref="A1:O436"/>
  <sheetViews>
    <sheetView topLeftCell="A7" zoomScale="90" zoomScaleNormal="90" zoomScaleSheetLayoutView="100" workbookViewId="0">
      <selection activeCell="B27" sqref="B27"/>
    </sheetView>
  </sheetViews>
  <sheetFormatPr baseColWidth="10" defaultColWidth="8.83203125" defaultRowHeight="13"/>
  <cols>
    <col min="1" max="1" width="10.5" customWidth="1"/>
    <col min="2" max="2" width="13.5" customWidth="1"/>
    <col min="3" max="3" width="2.5" customWidth="1"/>
    <col min="4" max="4" width="47.1640625" customWidth="1"/>
    <col min="5" max="5" width="22" hidden="1" customWidth="1"/>
    <col min="6" max="6" width="22" style="26" hidden="1" customWidth="1"/>
    <col min="7" max="7" width="22" style="26" customWidth="1"/>
    <col min="8" max="8" width="21.33203125" style="2211" customWidth="1"/>
    <col min="9" max="9" width="6.5" hidden="1" customWidth="1"/>
    <col min="11" max="11" width="23.1640625" customWidth="1"/>
    <col min="12" max="12" width="16.83203125" customWidth="1"/>
    <col min="13" max="13" width="40.5" customWidth="1"/>
  </cols>
  <sheetData>
    <row r="1" spans="1:15" ht="15.75" hidden="1" customHeight="1"/>
    <row r="2" spans="1:15" ht="15.75" hidden="1" customHeight="1">
      <c r="B2" s="18"/>
    </row>
    <row r="3" spans="1:15" ht="15.75" hidden="1" customHeight="1">
      <c r="B3" s="18"/>
    </row>
    <row r="4" spans="1:15" ht="15.75" hidden="1" customHeight="1">
      <c r="B4" s="18"/>
    </row>
    <row r="5" spans="1:15" ht="15.75" hidden="1" customHeight="1">
      <c r="B5" s="18"/>
    </row>
    <row r="6" spans="1:15" ht="15.75" hidden="1" customHeight="1">
      <c r="B6" s="18"/>
    </row>
    <row r="7" spans="1:15" ht="21.75" customHeight="1">
      <c r="A7" s="3175" t="s">
        <v>3409</v>
      </c>
      <c r="B7" s="3175"/>
      <c r="C7" s="3175"/>
      <c r="D7" s="3175"/>
      <c r="E7" s="3175"/>
      <c r="F7" s="3175"/>
      <c r="G7" s="3175"/>
      <c r="H7" s="3175"/>
      <c r="I7" s="28"/>
      <c r="J7" s="28"/>
      <c r="K7" s="28"/>
      <c r="L7" s="28"/>
      <c r="M7" s="28"/>
      <c r="N7" s="28"/>
      <c r="O7" s="28"/>
    </row>
    <row r="8" spans="1:15" ht="4.5" customHeight="1">
      <c r="A8" s="28"/>
      <c r="B8" s="28"/>
      <c r="C8" s="28"/>
      <c r="D8" s="28"/>
      <c r="E8" s="28"/>
      <c r="F8" s="29"/>
      <c r="G8" s="29"/>
      <c r="H8" s="2212"/>
      <c r="I8" s="28"/>
      <c r="J8" s="28"/>
      <c r="K8" s="28"/>
      <c r="L8" s="28"/>
      <c r="M8" s="28"/>
      <c r="N8" s="28"/>
      <c r="O8" s="28"/>
    </row>
    <row r="9" spans="1:15" ht="20" customHeight="1">
      <c r="A9" s="31" t="s">
        <v>61</v>
      </c>
      <c r="B9" s="31"/>
      <c r="C9" s="31" t="s">
        <v>62</v>
      </c>
      <c r="D9" s="31" t="s">
        <v>63</v>
      </c>
      <c r="E9" s="31"/>
      <c r="F9" s="29"/>
      <c r="G9" s="29"/>
      <c r="H9" s="2212"/>
      <c r="I9" s="28"/>
      <c r="J9" s="28"/>
      <c r="K9" s="28"/>
      <c r="L9" s="28"/>
      <c r="M9" s="28"/>
      <c r="N9" s="28"/>
      <c r="O9" s="28"/>
    </row>
    <row r="10" spans="1:15" ht="20" customHeight="1">
      <c r="A10" s="31" t="s">
        <v>64</v>
      </c>
      <c r="B10" s="31"/>
      <c r="C10" s="31" t="s">
        <v>62</v>
      </c>
      <c r="D10" s="31" t="s">
        <v>65</v>
      </c>
      <c r="E10" s="31"/>
      <c r="F10" s="29"/>
      <c r="G10" s="29"/>
      <c r="H10" s="2212"/>
      <c r="I10" s="28"/>
      <c r="J10" s="28"/>
      <c r="K10" s="28"/>
      <c r="L10" s="28"/>
      <c r="M10" s="28"/>
      <c r="N10" s="28"/>
      <c r="O10" s="28"/>
    </row>
    <row r="11" spans="1:15" ht="20" customHeight="1">
      <c r="A11" s="28"/>
      <c r="B11" s="28"/>
      <c r="C11" s="28"/>
      <c r="D11" s="31" t="s">
        <v>66</v>
      </c>
      <c r="E11" s="31"/>
      <c r="F11" s="29"/>
      <c r="G11" s="29"/>
      <c r="H11" s="2212"/>
      <c r="I11" s="28"/>
      <c r="J11" s="28"/>
      <c r="K11" s="28"/>
      <c r="L11" s="28"/>
      <c r="M11" s="28"/>
      <c r="N11" s="28"/>
      <c r="O11" s="28"/>
    </row>
    <row r="12" spans="1:15" ht="20" customHeight="1">
      <c r="A12" s="31" t="s">
        <v>67</v>
      </c>
      <c r="B12" s="28"/>
      <c r="C12" s="31" t="s">
        <v>62</v>
      </c>
      <c r="D12" s="32">
        <v>2026</v>
      </c>
      <c r="E12" s="32"/>
      <c r="F12" s="29"/>
      <c r="G12" s="29"/>
      <c r="H12" s="2212"/>
      <c r="I12" s="28"/>
      <c r="J12" s="28"/>
      <c r="K12" s="28"/>
      <c r="L12" s="28"/>
      <c r="M12" s="28"/>
      <c r="N12" s="28"/>
      <c r="O12" s="28"/>
    </row>
    <row r="13" spans="1:15" ht="4.5" customHeight="1">
      <c r="A13" s="28"/>
      <c r="B13" s="28"/>
      <c r="C13" s="28"/>
      <c r="D13" s="28"/>
      <c r="E13" s="28"/>
      <c r="F13" s="29"/>
      <c r="G13" s="29"/>
      <c r="H13" s="2212"/>
      <c r="I13" s="28"/>
      <c r="J13" s="28"/>
      <c r="K13" s="28"/>
      <c r="L13" s="28"/>
      <c r="M13" s="28"/>
      <c r="N13" s="28"/>
      <c r="O13" s="28"/>
    </row>
    <row r="14" spans="1:15" s="37" customFormat="1" ht="25" customHeight="1">
      <c r="A14" s="33" t="s">
        <v>1</v>
      </c>
      <c r="B14" s="3176" t="s">
        <v>68</v>
      </c>
      <c r="C14" s="3176"/>
      <c r="D14" s="3176"/>
      <c r="E14" s="2198" t="s">
        <v>3342</v>
      </c>
      <c r="F14" s="34" t="s">
        <v>69</v>
      </c>
      <c r="G14" s="34" t="s">
        <v>3359</v>
      </c>
      <c r="H14" s="2213" t="s">
        <v>3393</v>
      </c>
      <c r="I14" s="35" t="s">
        <v>71</v>
      </c>
      <c r="J14" s="36"/>
      <c r="K14" s="36"/>
      <c r="L14" s="36"/>
      <c r="M14" s="36"/>
      <c r="N14" s="36"/>
      <c r="O14" s="36"/>
    </row>
    <row r="15" spans="1:15" ht="6" customHeight="1">
      <c r="A15" s="28"/>
      <c r="B15" s="28"/>
      <c r="C15" s="28"/>
      <c r="D15" s="28"/>
      <c r="E15" s="28"/>
      <c r="F15" s="29"/>
      <c r="G15" s="29"/>
      <c r="H15" s="2214"/>
      <c r="I15" s="38"/>
      <c r="J15" s="28"/>
      <c r="K15" s="28"/>
      <c r="L15" s="28"/>
      <c r="M15" s="28"/>
      <c r="N15" s="28"/>
      <c r="O15" s="28"/>
    </row>
    <row r="16" spans="1:15" ht="6" customHeight="1">
      <c r="A16" s="39"/>
      <c r="B16" s="40"/>
      <c r="C16" s="41"/>
      <c r="D16" s="42"/>
      <c r="E16" s="41"/>
      <c r="F16" s="43"/>
      <c r="G16" s="43"/>
      <c r="H16" s="2215"/>
      <c r="I16" s="44"/>
      <c r="J16" s="28"/>
      <c r="K16" s="28"/>
      <c r="L16" s="28"/>
      <c r="M16" s="28"/>
      <c r="N16" s="28"/>
      <c r="O16" s="28"/>
    </row>
    <row r="17" spans="1:15" ht="20" customHeight="1">
      <c r="A17" s="45">
        <v>1</v>
      </c>
      <c r="B17" s="46" t="str">
        <f>'Sub Resume'!B11</f>
        <v>PEKERJAAN PERSIAPAN</v>
      </c>
      <c r="C17" s="47"/>
      <c r="D17" s="48"/>
      <c r="E17" s="49">
        <f>'Sub Resume'!G11</f>
        <v>376459634.9436</v>
      </c>
      <c r="F17" s="49">
        <f>'Sub Resume'!H11</f>
        <v>375046539.6609</v>
      </c>
      <c r="G17" s="49">
        <f>'Sub Resume'!I11</f>
        <v>322039492.61089993</v>
      </c>
      <c r="H17" s="2216">
        <f>'Sub Resume'!I11</f>
        <v>322039492.61089993</v>
      </c>
      <c r="I17" s="50">
        <f>(F17/F$37)*H17</f>
        <v>51565220.508724116</v>
      </c>
      <c r="J17" s="28"/>
      <c r="K17" s="28"/>
      <c r="L17" s="28"/>
      <c r="M17" s="28"/>
      <c r="N17" s="28"/>
      <c r="O17" s="28"/>
    </row>
    <row r="18" spans="1:15" ht="7.5" customHeight="1">
      <c r="A18" s="45"/>
      <c r="B18" s="46"/>
      <c r="C18" s="47"/>
      <c r="D18" s="48"/>
      <c r="E18" s="49"/>
      <c r="F18" s="49"/>
      <c r="G18" s="49"/>
      <c r="H18" s="2216"/>
      <c r="I18" s="50"/>
      <c r="J18" s="28"/>
      <c r="K18" s="28"/>
      <c r="L18" s="28"/>
      <c r="M18" s="28"/>
      <c r="N18" s="28"/>
      <c r="O18" s="28"/>
    </row>
    <row r="19" spans="1:15" ht="20" customHeight="1">
      <c r="A19" s="45">
        <f>A17+1</f>
        <v>2</v>
      </c>
      <c r="B19" s="46" t="str">
        <f>'Sub Resume'!B12</f>
        <v>PEKERJAAN DINDING PENAHAN TANAH</v>
      </c>
      <c r="C19" s="46"/>
      <c r="D19" s="46"/>
      <c r="E19" s="49">
        <f>'Sub Resume'!G12</f>
        <v>195538326.69420001</v>
      </c>
      <c r="F19" s="49">
        <f>'Sub Resume'!H12</f>
        <v>193343673.4993</v>
      </c>
      <c r="G19" s="49">
        <f>'Sub Resume'!I12</f>
        <v>193343673.4993</v>
      </c>
      <c r="H19" s="2216">
        <f>'Sub Resume'!I12+'Sub Resume'!J12</f>
        <v>394175334.81059182</v>
      </c>
      <c r="I19" s="50">
        <f>(F19/F$37)*H19</f>
        <v>32537336.122882154</v>
      </c>
      <c r="J19" s="28"/>
      <c r="K19" s="28"/>
      <c r="L19" s="28"/>
      <c r="M19" s="28"/>
      <c r="N19" s="28"/>
      <c r="O19" s="28"/>
    </row>
    <row r="20" spans="1:15" ht="7.5" customHeight="1">
      <c r="A20" s="45"/>
      <c r="B20" s="46"/>
      <c r="C20" s="47"/>
      <c r="D20" s="48"/>
      <c r="E20" s="49"/>
      <c r="F20" s="49"/>
      <c r="G20" s="49"/>
      <c r="H20" s="2216"/>
      <c r="I20" s="50"/>
      <c r="J20" s="28"/>
      <c r="K20" s="28"/>
      <c r="L20" s="28"/>
      <c r="M20" s="28"/>
      <c r="N20" s="28"/>
      <c r="O20" s="28"/>
    </row>
    <row r="21" spans="1:15" ht="20" customHeight="1">
      <c r="A21" s="45">
        <f>A19+1</f>
        <v>3</v>
      </c>
      <c r="B21" s="46" t="str">
        <f>'Sub Resume'!B14</f>
        <v>PEKERJAAN BANGUNAN SHELTER PENDARATAN IKAN</v>
      </c>
      <c r="C21" s="47"/>
      <c r="D21" s="48"/>
      <c r="E21" s="49">
        <f>'Sub Resume'!G14</f>
        <v>125537096.99984802</v>
      </c>
      <c r="F21" s="49">
        <f>'Sub Resume'!H14</f>
        <v>124165427.174547</v>
      </c>
      <c r="G21" s="49">
        <f>'Sub Resume'!I14</f>
        <v>124165427.174547</v>
      </c>
      <c r="H21" s="2216">
        <f>'Sub Resume'!I14</f>
        <v>124165427.174547</v>
      </c>
      <c r="I21" s="50">
        <f>(F21/F$37)*H21</f>
        <v>6582092.1280879397</v>
      </c>
      <c r="J21" s="28"/>
      <c r="K21" s="28"/>
      <c r="L21" s="28"/>
      <c r="M21" s="28"/>
      <c r="N21" s="28"/>
      <c r="O21" s="28"/>
    </row>
    <row r="22" spans="1:15" ht="7.5" customHeight="1">
      <c r="A22" s="45"/>
      <c r="B22" s="46"/>
      <c r="C22" s="47"/>
      <c r="D22" s="48"/>
      <c r="E22" s="49"/>
      <c r="F22" s="49"/>
      <c r="G22" s="49"/>
      <c r="H22" s="2216"/>
      <c r="I22" s="50"/>
      <c r="J22" s="28"/>
      <c r="K22" s="28"/>
      <c r="L22" s="28"/>
      <c r="M22" s="28"/>
      <c r="N22" s="28"/>
      <c r="O22" s="28"/>
    </row>
    <row r="23" spans="1:15" ht="20" customHeight="1">
      <c r="A23" s="45">
        <f>A21+1</f>
        <v>4</v>
      </c>
      <c r="B23" s="46" t="str">
        <f>'Sub Resume'!B18</f>
        <v>PEKERJAAN PONDASI PABRIK ES PORTABLE</v>
      </c>
      <c r="C23" s="47"/>
      <c r="D23" s="48"/>
      <c r="E23" s="49">
        <f>'Sub Resume'!G18</f>
        <v>205366479.48400003</v>
      </c>
      <c r="F23" s="49">
        <f>'Sub Resume'!H18</f>
        <v>202401251.52069998</v>
      </c>
      <c r="G23" s="49">
        <f>'Sub Resume'!I18</f>
        <v>202401251.52069998</v>
      </c>
      <c r="H23" s="2216">
        <f>'Sub Resume'!I18</f>
        <v>202401251.52069998</v>
      </c>
      <c r="I23" s="50">
        <f>(F23/F$37)*H23</f>
        <v>17489966.187167581</v>
      </c>
      <c r="J23" s="28"/>
      <c r="K23" s="28"/>
      <c r="L23" s="28"/>
      <c r="M23" s="28"/>
      <c r="N23" s="28"/>
      <c r="O23" s="28"/>
    </row>
    <row r="24" spans="1:15" ht="7.5" customHeight="1">
      <c r="A24" s="45"/>
      <c r="B24" s="46"/>
      <c r="C24" s="47"/>
      <c r="D24" s="48"/>
      <c r="E24" s="49"/>
      <c r="F24" s="49"/>
      <c r="G24" s="49"/>
      <c r="H24" s="2216"/>
      <c r="I24" s="50"/>
      <c r="J24" s="28"/>
      <c r="K24" s="28"/>
      <c r="L24" s="28"/>
      <c r="M24" s="28"/>
      <c r="N24" s="28"/>
      <c r="O24" s="28"/>
    </row>
    <row r="25" spans="1:15" ht="20" customHeight="1">
      <c r="A25" s="45">
        <f>A23+1</f>
        <v>5</v>
      </c>
      <c r="B25" s="46" t="str">
        <f>'Sub Resume'!B21</f>
        <v>PEKERJAAN BANGUNAN KIOS PERBEKALAN</v>
      </c>
      <c r="C25" s="47"/>
      <c r="D25" s="48"/>
      <c r="E25" s="49">
        <f>'Sub Resume'!G21</f>
        <v>176470419.35178185</v>
      </c>
      <c r="F25" s="49">
        <f>'Sub Resume'!H21</f>
        <v>174868345.78018546</v>
      </c>
      <c r="G25" s="49">
        <f>'Sub Resume'!I21</f>
        <v>174868345.78018546</v>
      </c>
      <c r="H25" s="2216">
        <f>'Sub Resume'!I21</f>
        <v>174868345.78018546</v>
      </c>
      <c r="I25" s="50">
        <f>(F25/F$37)*H25</f>
        <v>13055243.790760908</v>
      </c>
      <c r="J25" s="28"/>
      <c r="K25" s="3143"/>
      <c r="L25" s="28"/>
      <c r="M25" s="28"/>
      <c r="N25" s="28"/>
      <c r="O25" s="28"/>
    </row>
    <row r="26" spans="1:15" ht="7.5" customHeight="1">
      <c r="A26" s="45"/>
      <c r="B26" s="46"/>
      <c r="C26" s="47"/>
      <c r="D26" s="48"/>
      <c r="E26" s="49"/>
      <c r="F26" s="49"/>
      <c r="G26" s="49"/>
      <c r="H26" s="2216"/>
      <c r="I26" s="50"/>
      <c r="J26" s="28"/>
      <c r="K26" s="28"/>
      <c r="L26" s="28"/>
      <c r="M26" s="28"/>
      <c r="N26" s="28"/>
      <c r="O26" s="28"/>
    </row>
    <row r="27" spans="1:15" ht="20" customHeight="1">
      <c r="A27" s="45">
        <f>A25+1</f>
        <v>6</v>
      </c>
      <c r="B27" s="46" t="str">
        <f>'Sub Resume'!B25</f>
        <v>PEKERJAAN PLUMBING DISTRIBUSI AIR BERSIH DAN SUMUR BOR</v>
      </c>
      <c r="C27" s="47"/>
      <c r="D27" s="48"/>
      <c r="E27" s="49">
        <f>'Sub Resume'!G25</f>
        <v>297314633.5704</v>
      </c>
      <c r="F27" s="49">
        <f>'Sub Resume'!H25</f>
        <v>293782539.80571878</v>
      </c>
      <c r="G27" s="49">
        <f>'Sub Resume'!I25</f>
        <v>293782539.80571878</v>
      </c>
      <c r="H27" s="2216">
        <f>'Sub Resume'!I25</f>
        <v>293782539.80571878</v>
      </c>
      <c r="I27" s="50">
        <f>(F27/F$37)*H27</f>
        <v>36848052.963519178</v>
      </c>
      <c r="J27" s="28"/>
      <c r="K27" s="28"/>
      <c r="L27" s="28"/>
      <c r="M27" s="28"/>
      <c r="N27" s="28"/>
      <c r="O27" s="28"/>
    </row>
    <row r="28" spans="1:15" ht="7.5" customHeight="1">
      <c r="A28" s="45"/>
      <c r="B28" s="46"/>
      <c r="C28" s="47"/>
      <c r="D28" s="48"/>
      <c r="E28" s="49"/>
      <c r="F28" s="49"/>
      <c r="G28" s="49"/>
      <c r="H28" s="2216"/>
      <c r="I28" s="50"/>
      <c r="J28" s="28"/>
      <c r="K28" s="28"/>
      <c r="L28" s="28"/>
      <c r="M28" s="28"/>
      <c r="N28" s="28"/>
      <c r="O28" s="28"/>
    </row>
    <row r="29" spans="1:15" ht="20" customHeight="1">
      <c r="A29" s="45">
        <f>A27+1</f>
        <v>7</v>
      </c>
      <c r="B29" s="51" t="str">
        <f>'Sub Resume'!B29</f>
        <v>PEKERJAAN PENERANGAN KAWASAN</v>
      </c>
      <c r="C29" s="52"/>
      <c r="D29" s="53"/>
      <c r="E29" s="49">
        <f>'Sub Resume'!G29</f>
        <v>321151325.48559999</v>
      </c>
      <c r="F29" s="49">
        <f>'Sub Resume'!H29</f>
        <v>328198925.75199997</v>
      </c>
      <c r="G29" s="49">
        <f>'Sub Resume'!I29</f>
        <v>328198925.75199997</v>
      </c>
      <c r="H29" s="2217">
        <f>'Sub Resume'!I29</f>
        <v>328198925.75199997</v>
      </c>
      <c r="I29" s="50">
        <f>(F29/F$37)*H29</f>
        <v>45987192.102654867</v>
      </c>
      <c r="J29" s="28"/>
      <c r="K29" s="28"/>
      <c r="L29" s="28"/>
      <c r="M29" s="28"/>
      <c r="N29" s="28"/>
      <c r="O29" s="28"/>
    </row>
    <row r="30" spans="1:15" ht="7.5" customHeight="1">
      <c r="A30" s="45"/>
      <c r="B30" s="54"/>
      <c r="C30" s="55"/>
      <c r="D30" s="56"/>
      <c r="E30" s="49"/>
      <c r="F30" s="49"/>
      <c r="G30" s="49"/>
      <c r="H30" s="2218"/>
      <c r="I30" s="57"/>
      <c r="J30" s="28"/>
      <c r="K30" s="28"/>
      <c r="L30" s="28"/>
      <c r="M30" s="28"/>
      <c r="N30" s="28"/>
      <c r="O30" s="28"/>
    </row>
    <row r="31" spans="1:15" ht="20" customHeight="1">
      <c r="A31" s="45">
        <f>A29+1</f>
        <v>8</v>
      </c>
      <c r="B31" s="46" t="str">
        <f>'Sub Resume'!B32</f>
        <v>PEKERJAAN JALAN LINGKUNGAN DAN SALURAN</v>
      </c>
      <c r="C31" s="47"/>
      <c r="D31" s="48"/>
      <c r="E31" s="49">
        <f>'Sub Resume'!G32</f>
        <v>564901564.21294856</v>
      </c>
      <c r="F31" s="49">
        <f>'Sub Resume'!H32</f>
        <v>560195355.78849363</v>
      </c>
      <c r="G31" s="49">
        <f>'Sub Resume'!I32</f>
        <v>560195355.78849363</v>
      </c>
      <c r="H31" s="2216">
        <f>'Sub Resume'!I32-'Sub Resume'!K32</f>
        <v>290231026.48749369</v>
      </c>
      <c r="I31" s="50">
        <f>(F31/F$37)*H31</f>
        <v>69413816.698716238</v>
      </c>
      <c r="J31" s="28"/>
      <c r="K31" s="28"/>
      <c r="L31" s="29"/>
      <c r="M31" s="28"/>
      <c r="N31" s="28"/>
      <c r="O31" s="28"/>
    </row>
    <row r="32" spans="1:15" ht="7.5" customHeight="1">
      <c r="A32" s="45"/>
      <c r="B32" s="46"/>
      <c r="C32" s="47"/>
      <c r="D32" s="48"/>
      <c r="E32" s="49"/>
      <c r="F32" s="49"/>
      <c r="G32" s="49"/>
      <c r="H32" s="2218"/>
      <c r="I32" s="57"/>
      <c r="J32" s="28"/>
      <c r="K32" s="28"/>
      <c r="L32" s="28"/>
      <c r="M32" s="28"/>
      <c r="N32" s="28"/>
      <c r="O32" s="28"/>
    </row>
    <row r="33" spans="1:15" ht="20" customHeight="1">
      <c r="A33" s="45">
        <f>A31+1</f>
        <v>9</v>
      </c>
      <c r="B33" s="46" t="str">
        <f>'Sub Resume'!B36</f>
        <v>PEKERJAAN LANDSKAPING KAWASAN</v>
      </c>
      <c r="C33" s="47"/>
      <c r="D33" s="48"/>
      <c r="E33" s="49">
        <f>'Sub Resume'!G36</f>
        <v>30720881.3156</v>
      </c>
      <c r="F33" s="49">
        <f>'Sub Resume'!H36</f>
        <v>30533547.655600004</v>
      </c>
      <c r="G33" s="49">
        <f>'Sub Resume'!I36</f>
        <v>30533547.655600004</v>
      </c>
      <c r="H33" s="2216">
        <f>'Sub Resume'!I36</f>
        <v>30533547.655600004</v>
      </c>
      <c r="I33" s="50">
        <f>(F33/F$37)*H33</f>
        <v>398031.20140498318</v>
      </c>
      <c r="J33" s="28"/>
      <c r="K33" s="28"/>
      <c r="L33" s="28"/>
      <c r="M33" s="28"/>
      <c r="N33" s="28"/>
      <c r="O33" s="28"/>
    </row>
    <row r="34" spans="1:15" ht="7.5" customHeight="1">
      <c r="A34" s="45"/>
      <c r="B34" s="46"/>
      <c r="C34" s="47"/>
      <c r="D34" s="48"/>
      <c r="E34" s="49"/>
      <c r="F34" s="49"/>
      <c r="G34" s="49"/>
      <c r="H34" s="2216"/>
      <c r="I34" s="57"/>
      <c r="J34" s="28"/>
      <c r="K34" s="28"/>
      <c r="L34" s="28"/>
      <c r="M34" s="28"/>
      <c r="N34" s="28"/>
      <c r="O34" s="28"/>
    </row>
    <row r="35" spans="1:15" ht="20" customHeight="1">
      <c r="A35" s="45">
        <f>A33+1</f>
        <v>10</v>
      </c>
      <c r="B35" s="46" t="str">
        <f>'Sub Resume'!B37</f>
        <v>PEKERJAAN LEVELLING LAHAN</v>
      </c>
      <c r="C35" s="47"/>
      <c r="D35" s="48"/>
      <c r="E35" s="49">
        <f>'Sub Resume'!G37</f>
        <v>60624207.5792</v>
      </c>
      <c r="F35" s="49">
        <f>'Sub Resume'!H37</f>
        <v>59736881.413599998</v>
      </c>
      <c r="G35" s="49">
        <f>'Sub Resume'!I37</f>
        <v>59736881.413599998</v>
      </c>
      <c r="H35" s="2217">
        <f>'Sub Resume'!L37</f>
        <v>128869549.46517508</v>
      </c>
      <c r="I35" s="50">
        <f>(F35/F$37)*H35</f>
        <v>3286664.9945714837</v>
      </c>
      <c r="J35" s="28"/>
      <c r="K35" s="28"/>
      <c r="L35" s="28"/>
      <c r="M35" s="28"/>
      <c r="N35" s="28"/>
      <c r="O35" s="28"/>
    </row>
    <row r="36" spans="1:15" ht="7.5" customHeight="1">
      <c r="A36" s="45"/>
      <c r="B36" s="58"/>
      <c r="C36" s="28"/>
      <c r="D36" s="59"/>
      <c r="E36" s="60"/>
      <c r="F36" s="60"/>
      <c r="G36" s="60"/>
      <c r="H36" s="2219"/>
      <c r="I36" s="61"/>
      <c r="J36" s="28"/>
      <c r="K36" s="28"/>
      <c r="L36" s="28"/>
      <c r="M36" s="28"/>
      <c r="N36" s="28"/>
      <c r="O36" s="28"/>
    </row>
    <row r="37" spans="1:15" ht="20" customHeight="1">
      <c r="A37" s="62"/>
      <c r="B37" s="63"/>
      <c r="C37" s="64"/>
      <c r="D37" s="65" t="s">
        <v>72</v>
      </c>
      <c r="E37" s="66">
        <f>SUM(E17:E35)</f>
        <v>2354084569.6371779</v>
      </c>
      <c r="F37" s="66">
        <f>SUM(F17:F35)</f>
        <v>2342272488.0510449</v>
      </c>
      <c r="G37" s="66">
        <f>SUM(G17:G35)</f>
        <v>2289265441.0010448</v>
      </c>
      <c r="H37" s="2221">
        <f>SUM(H17:H35)</f>
        <v>2289265441.0629115</v>
      </c>
      <c r="I37" s="67">
        <f>SUM(I17:I35)</f>
        <v>277163616.69848949</v>
      </c>
      <c r="J37" s="28"/>
      <c r="K37" s="3145"/>
      <c r="L37" s="28"/>
      <c r="M37" s="28"/>
      <c r="N37" s="28"/>
      <c r="O37" s="28"/>
    </row>
    <row r="38" spans="1:15" ht="20" customHeight="1">
      <c r="A38" s="62"/>
      <c r="B38" s="63"/>
      <c r="C38" s="64"/>
      <c r="D38" s="65" t="s">
        <v>73</v>
      </c>
      <c r="E38" s="68">
        <f>E37*11%</f>
        <v>258949302.66008958</v>
      </c>
      <c r="F38" s="68">
        <f>F37*11%</f>
        <v>257649973.68561494</v>
      </c>
      <c r="G38" s="68">
        <f>G37*11%</f>
        <v>251819198.51011494</v>
      </c>
      <c r="H38" s="2216">
        <f>H37*0.11</f>
        <v>251819198.51692027</v>
      </c>
      <c r="I38" s="69"/>
      <c r="J38" s="28"/>
      <c r="K38" s="28"/>
      <c r="L38" s="28"/>
      <c r="M38" s="28"/>
      <c r="N38" s="28"/>
      <c r="O38" s="28"/>
    </row>
    <row r="39" spans="1:15" ht="20" customHeight="1">
      <c r="A39" s="62"/>
      <c r="B39" s="63"/>
      <c r="C39" s="64"/>
      <c r="D39" s="65" t="s">
        <v>74</v>
      </c>
      <c r="E39" s="68">
        <f>E37+E38</f>
        <v>2613033872.2972674</v>
      </c>
      <c r="F39" s="68">
        <f>F37+F38</f>
        <v>2599922461.73666</v>
      </c>
      <c r="G39" s="68">
        <f>G37+G38</f>
        <v>2541084639.5111599</v>
      </c>
      <c r="H39" s="2216">
        <f>H38+H37</f>
        <v>2541084639.5798316</v>
      </c>
      <c r="I39" s="69"/>
      <c r="J39" s="28"/>
      <c r="K39" s="28"/>
      <c r="L39" s="28"/>
      <c r="M39" s="28"/>
      <c r="N39" s="28"/>
      <c r="O39" s="28"/>
    </row>
    <row r="40" spans="1:15" ht="20" customHeight="1">
      <c r="A40" s="2971"/>
      <c r="B40" s="63"/>
      <c r="C40" s="64"/>
      <c r="D40" s="70" t="s">
        <v>75</v>
      </c>
      <c r="E40" s="66">
        <f>ROUNDDOWN(E39,-3)</f>
        <v>2613033000</v>
      </c>
      <c r="F40" s="66">
        <f>ROUNDDOWN(F39,-3)</f>
        <v>2599922000</v>
      </c>
      <c r="G40" s="66">
        <f>ROUNDDOWN(G39,-3)</f>
        <v>2541084000</v>
      </c>
      <c r="H40" s="2972">
        <f>ROUNDDOWN(H39,-3)</f>
        <v>2541084000</v>
      </c>
      <c r="I40" s="69"/>
      <c r="J40" s="28"/>
      <c r="K40" s="28"/>
      <c r="L40" s="28"/>
      <c r="M40" s="28"/>
      <c r="N40" s="28"/>
      <c r="O40" s="28"/>
    </row>
    <row r="41" spans="1:15" ht="27.75" customHeight="1">
      <c r="A41" s="3177" t="s">
        <v>3372</v>
      </c>
      <c r="B41" s="3178"/>
      <c r="C41" s="3178"/>
      <c r="D41" s="3178"/>
      <c r="E41" s="3178"/>
      <c r="F41" s="3178"/>
      <c r="G41" s="3178"/>
      <c r="H41" s="3179"/>
      <c r="I41" s="69"/>
      <c r="J41" s="28"/>
      <c r="K41" s="28"/>
      <c r="L41" s="28"/>
      <c r="M41" s="28"/>
      <c r="N41" s="28"/>
      <c r="O41" s="28"/>
    </row>
    <row r="42" spans="1:15" ht="4.5" customHeight="1">
      <c r="A42" s="72"/>
      <c r="B42" s="73"/>
      <c r="C42" s="74"/>
      <c r="D42" s="75"/>
      <c r="E42" s="74"/>
      <c r="F42" s="76"/>
      <c r="G42" s="76"/>
      <c r="H42" s="2220"/>
      <c r="I42" s="77"/>
      <c r="J42" s="28"/>
      <c r="K42" s="28"/>
      <c r="L42" s="28"/>
      <c r="M42" s="28"/>
      <c r="N42" s="28"/>
      <c r="O42" s="28"/>
    </row>
    <row r="43" spans="1:15" ht="4.5" customHeight="1">
      <c r="A43" s="78"/>
      <c r="B43" s="28"/>
      <c r="C43" s="28"/>
      <c r="D43" s="28"/>
      <c r="E43" s="28"/>
      <c r="F43" s="29"/>
      <c r="G43" s="29"/>
      <c r="H43" s="2212"/>
      <c r="I43" s="28"/>
      <c r="J43" s="28"/>
      <c r="K43" s="28"/>
      <c r="L43" s="28"/>
      <c r="M43" s="28"/>
      <c r="N43" s="28"/>
      <c r="O43" s="28"/>
    </row>
    <row r="44" spans="1:15" ht="5.5" customHeight="1">
      <c r="A44" s="78"/>
      <c r="B44" s="28"/>
      <c r="C44" s="28"/>
      <c r="D44" s="28"/>
      <c r="E44" s="28"/>
      <c r="F44" s="28" t="s">
        <v>3394</v>
      </c>
      <c r="G44" s="28"/>
      <c r="H44" s="2973"/>
      <c r="I44" s="28"/>
      <c r="J44" s="28"/>
      <c r="K44" s="28"/>
      <c r="L44" s="28"/>
      <c r="M44" s="28"/>
      <c r="N44" s="28"/>
      <c r="O44" s="28"/>
    </row>
    <row r="45" spans="1:15" s="2979" customFormat="1" ht="15" customHeight="1">
      <c r="A45" s="2975"/>
      <c r="B45" s="2976"/>
      <c r="C45" s="2976"/>
      <c r="D45" s="2976"/>
      <c r="E45" s="2976"/>
      <c r="F45" s="2976"/>
      <c r="G45" s="2976"/>
      <c r="H45" s="2977" t="s">
        <v>3414</v>
      </c>
      <c r="I45" s="2976"/>
      <c r="J45" s="2976"/>
      <c r="K45" s="2976"/>
      <c r="L45" s="2976"/>
      <c r="M45" s="2976"/>
      <c r="N45" s="2976"/>
      <c r="O45" s="2976"/>
    </row>
    <row r="46" spans="1:15" s="2979" customFormat="1" ht="15" customHeight="1">
      <c r="A46" s="2975"/>
      <c r="B46" s="2975" t="s">
        <v>3375</v>
      </c>
      <c r="C46" s="2976"/>
      <c r="D46" s="2980"/>
      <c r="E46" s="2980"/>
      <c r="F46" s="2975"/>
      <c r="G46" s="3172" t="s">
        <v>3374</v>
      </c>
      <c r="H46" s="3172"/>
      <c r="I46" s="2975"/>
      <c r="J46" s="2976"/>
      <c r="K46" s="2976"/>
      <c r="L46" s="2976"/>
      <c r="M46" s="2976"/>
      <c r="N46" s="2976"/>
      <c r="O46" s="2976"/>
    </row>
    <row r="47" spans="1:15" s="2979" customFormat="1" ht="15" customHeight="1">
      <c r="A47" s="2981"/>
      <c r="B47" s="2981" t="s">
        <v>3376</v>
      </c>
      <c r="C47" s="2976"/>
      <c r="D47" s="2976"/>
      <c r="E47" s="2976"/>
      <c r="F47" s="2976"/>
      <c r="G47" s="3172" t="s">
        <v>3412</v>
      </c>
      <c r="H47" s="3172"/>
      <c r="I47" s="2975"/>
      <c r="J47" s="2976"/>
      <c r="K47" s="2976"/>
      <c r="L47" s="2976"/>
      <c r="M47" s="2976"/>
      <c r="N47" s="2976"/>
      <c r="O47" s="2976"/>
    </row>
    <row r="48" spans="1:15" s="2979" customFormat="1" ht="15" customHeight="1">
      <c r="A48" s="2975"/>
      <c r="B48" s="2975"/>
      <c r="C48" s="2976"/>
      <c r="D48" s="2976"/>
      <c r="E48" s="2976"/>
      <c r="F48" s="2982"/>
      <c r="G48" s="2982"/>
      <c r="H48" s="2983"/>
      <c r="I48" s="2975"/>
      <c r="J48" s="2976"/>
      <c r="K48" s="2976"/>
      <c r="L48" s="2976"/>
      <c r="M48" s="2976"/>
      <c r="N48" s="2976"/>
      <c r="O48" s="2976"/>
    </row>
    <row r="49" spans="1:15" s="2979" customFormat="1" ht="15" customHeight="1">
      <c r="A49" s="2975"/>
      <c r="B49" s="2975"/>
      <c r="C49" s="2976"/>
      <c r="D49" s="2976"/>
      <c r="E49" s="2976"/>
      <c r="F49" s="2982"/>
      <c r="G49" s="2982"/>
      <c r="H49" s="2983"/>
      <c r="I49" s="2975"/>
      <c r="J49" s="2976"/>
      <c r="K49" s="2976"/>
      <c r="L49" s="2976"/>
      <c r="M49" s="2976"/>
      <c r="N49" s="2976"/>
      <c r="O49" s="2976"/>
    </row>
    <row r="50" spans="1:15" s="2979" customFormat="1" ht="15" customHeight="1">
      <c r="A50" s="2975"/>
      <c r="B50" s="2975"/>
      <c r="C50" s="2976"/>
      <c r="D50" s="2976"/>
      <c r="E50" s="2976"/>
      <c r="F50" s="2982"/>
      <c r="G50" s="2982"/>
      <c r="H50" s="2983"/>
      <c r="I50" s="2975"/>
      <c r="J50" s="2976"/>
      <c r="K50" s="2976"/>
      <c r="L50" s="2976"/>
      <c r="M50" s="2976"/>
      <c r="N50" s="2976"/>
      <c r="O50" s="2976"/>
    </row>
    <row r="51" spans="1:15" s="2979" customFormat="1" ht="15" customHeight="1">
      <c r="A51" s="2975"/>
      <c r="B51" s="2975"/>
      <c r="C51" s="2976"/>
      <c r="D51" s="2976"/>
      <c r="E51" s="2976"/>
      <c r="F51" s="2976"/>
      <c r="G51" s="2975"/>
      <c r="H51" s="2984"/>
      <c r="I51" s="2976"/>
      <c r="J51" s="2976"/>
      <c r="K51" s="2976"/>
      <c r="L51" s="2976"/>
      <c r="M51" s="2976"/>
      <c r="N51" s="2976"/>
      <c r="O51" s="2976"/>
    </row>
    <row r="52" spans="1:15" s="2979" customFormat="1" ht="15" customHeight="1">
      <c r="A52" s="2975"/>
      <c r="B52" s="2975"/>
      <c r="C52" s="2976"/>
      <c r="D52" s="2976"/>
      <c r="E52" s="2976"/>
      <c r="F52" s="2980"/>
      <c r="G52" s="2985"/>
      <c r="H52" s="2986"/>
      <c r="I52" s="2980"/>
      <c r="J52" s="2976"/>
      <c r="K52" s="2976"/>
      <c r="L52" s="2976"/>
      <c r="M52" s="2976"/>
      <c r="N52" s="2976"/>
      <c r="O52" s="2976"/>
    </row>
    <row r="53" spans="1:15" s="2979" customFormat="1" ht="15" customHeight="1">
      <c r="A53" s="2975"/>
      <c r="B53" s="2987" t="s">
        <v>3386</v>
      </c>
      <c r="C53" s="2976"/>
      <c r="D53" s="2976"/>
      <c r="E53" s="2976"/>
      <c r="F53" s="2988"/>
      <c r="G53" s="3173" t="s">
        <v>3377</v>
      </c>
      <c r="H53" s="3173"/>
      <c r="I53" s="2985"/>
      <c r="J53" s="2976"/>
      <c r="K53" s="2976"/>
      <c r="L53" s="2976"/>
      <c r="M53" s="2976"/>
      <c r="N53" s="2976"/>
      <c r="O53" s="2976"/>
    </row>
    <row r="54" spans="1:15" s="2979" customFormat="1" ht="15" customHeight="1">
      <c r="A54" s="2975"/>
      <c r="B54" s="2975" t="s">
        <v>3385</v>
      </c>
      <c r="C54" s="2976"/>
      <c r="D54" s="2976"/>
      <c r="E54" s="2976"/>
      <c r="F54" s="2989"/>
      <c r="G54" s="3174" t="s">
        <v>3378</v>
      </c>
      <c r="H54" s="3174"/>
      <c r="I54" s="2976"/>
      <c r="J54" s="2976"/>
      <c r="K54" s="2976"/>
      <c r="L54" s="2976"/>
      <c r="M54" s="2976"/>
      <c r="N54" s="2976"/>
      <c r="O54" s="2976"/>
    </row>
    <row r="55" spans="1:15" s="2979" customFormat="1" ht="7.5" customHeight="1">
      <c r="A55" s="2975"/>
      <c r="B55" s="2975"/>
      <c r="C55" s="2976"/>
      <c r="D55" s="2976"/>
      <c r="E55" s="2976"/>
      <c r="F55" s="2989"/>
      <c r="G55" s="2990"/>
      <c r="H55" s="2990"/>
      <c r="I55" s="2976"/>
      <c r="J55" s="2976"/>
      <c r="K55" s="2976"/>
      <c r="L55" s="2976"/>
      <c r="M55" s="2976"/>
      <c r="N55" s="2976"/>
      <c r="O55" s="2976"/>
    </row>
    <row r="56" spans="1:15" s="2979" customFormat="1" ht="15.75" customHeight="1">
      <c r="A56" s="2991"/>
      <c r="B56" s="2981" t="s">
        <v>3381</v>
      </c>
      <c r="C56" s="2981"/>
      <c r="D56" s="2991"/>
      <c r="E56" s="2991"/>
      <c r="F56" s="2991"/>
      <c r="G56" s="3182" t="s">
        <v>3379</v>
      </c>
      <c r="H56" s="3182"/>
      <c r="I56" s="2992"/>
      <c r="J56" s="2976"/>
      <c r="K56" s="2976"/>
      <c r="L56" s="2976"/>
      <c r="M56" s="2976"/>
      <c r="N56" s="2976"/>
      <c r="O56" s="2976"/>
    </row>
    <row r="57" spans="1:15" s="2979" customFormat="1" ht="33" customHeight="1">
      <c r="A57" s="2993"/>
      <c r="B57" s="2994" t="s">
        <v>3413</v>
      </c>
      <c r="C57" s="2994"/>
      <c r="D57" s="2993"/>
      <c r="E57" s="2993"/>
      <c r="F57" s="2993"/>
      <c r="G57" s="3183" t="s">
        <v>3391</v>
      </c>
      <c r="H57" s="3183"/>
      <c r="I57" s="2976"/>
      <c r="J57" s="2976"/>
      <c r="K57" s="2976"/>
      <c r="L57" s="2976"/>
      <c r="M57" s="2976"/>
      <c r="N57" s="2976"/>
      <c r="O57" s="2976"/>
    </row>
    <row r="58" spans="1:15" s="2979" customFormat="1" ht="15.75" customHeight="1">
      <c r="A58" s="2975"/>
      <c r="B58" s="2995"/>
      <c r="C58" s="2995"/>
      <c r="D58" s="2976"/>
      <c r="E58" s="2976"/>
      <c r="F58" s="2976"/>
      <c r="G58" s="2975"/>
      <c r="H58" s="2976"/>
      <c r="I58" s="2976"/>
      <c r="J58" s="2976"/>
      <c r="K58" s="2976"/>
      <c r="L58" s="2976"/>
      <c r="M58" s="2976"/>
      <c r="N58" s="2976"/>
      <c r="O58" s="2976"/>
    </row>
    <row r="59" spans="1:15" s="2979" customFormat="1" ht="15.75" customHeight="1">
      <c r="A59" s="2975"/>
      <c r="B59" s="2995"/>
      <c r="C59" s="2995"/>
      <c r="D59" s="2976"/>
      <c r="E59" s="2976"/>
      <c r="F59" s="2976"/>
      <c r="G59" s="2975"/>
      <c r="H59" s="2976"/>
      <c r="I59" s="2976"/>
      <c r="J59" s="2976"/>
      <c r="K59" s="2976"/>
      <c r="L59" s="2976"/>
      <c r="M59" s="2976"/>
      <c r="N59" s="2976"/>
      <c r="O59" s="2976"/>
    </row>
    <row r="60" spans="1:15" s="2979" customFormat="1" ht="15.75" customHeight="1">
      <c r="A60" s="2975"/>
      <c r="B60" s="2995"/>
      <c r="C60" s="2995"/>
      <c r="D60" s="2976"/>
      <c r="E60" s="2976"/>
      <c r="F60" s="2978"/>
      <c r="G60" s="2975"/>
      <c r="H60" s="2983"/>
      <c r="I60" s="2976"/>
      <c r="J60" s="2976"/>
      <c r="K60" s="2976"/>
      <c r="L60" s="2976"/>
      <c r="M60" s="2976"/>
      <c r="N60" s="2976"/>
      <c r="O60" s="2976"/>
    </row>
    <row r="61" spans="1:15" s="2979" customFormat="1" ht="15.75" customHeight="1">
      <c r="A61" s="2976"/>
      <c r="B61" s="2995"/>
      <c r="C61" s="2995"/>
      <c r="D61" s="2976"/>
      <c r="E61" s="2976"/>
      <c r="F61" s="2978"/>
      <c r="G61" s="2976"/>
      <c r="H61" s="2983"/>
      <c r="I61" s="2976"/>
      <c r="J61" s="2976"/>
      <c r="K61" s="2976"/>
      <c r="L61" s="2976"/>
      <c r="M61" s="2976"/>
      <c r="N61" s="2976"/>
      <c r="O61" s="2976"/>
    </row>
    <row r="62" spans="1:15" s="2979" customFormat="1" ht="15.75" customHeight="1">
      <c r="A62" s="2996"/>
      <c r="B62" s="2987" t="s">
        <v>3382</v>
      </c>
      <c r="C62" s="2987"/>
      <c r="D62" s="2996"/>
      <c r="E62" s="2996"/>
      <c r="F62" s="2996"/>
      <c r="G62" s="3184" t="s">
        <v>3380</v>
      </c>
      <c r="H62" s="3184"/>
      <c r="I62" s="2976"/>
      <c r="J62" s="2976"/>
      <c r="K62" s="2976"/>
      <c r="L62" s="2976"/>
      <c r="M62" s="2976"/>
      <c r="N62" s="2976"/>
      <c r="O62" s="2976"/>
    </row>
    <row r="63" spans="1:15" s="2979" customFormat="1" ht="15.75" customHeight="1">
      <c r="A63" s="2978"/>
      <c r="B63" s="2981" t="s">
        <v>3383</v>
      </c>
      <c r="C63" s="2995"/>
      <c r="D63" s="2978"/>
      <c r="E63" s="2978"/>
      <c r="F63" s="2978"/>
      <c r="G63" s="3185" t="s">
        <v>3384</v>
      </c>
      <c r="H63" s="3185"/>
      <c r="I63" s="2976"/>
      <c r="J63" s="2976"/>
      <c r="K63" s="2976"/>
      <c r="L63" s="2976"/>
      <c r="M63" s="2976"/>
      <c r="N63" s="2976"/>
      <c r="O63" s="2976"/>
    </row>
    <row r="64" spans="1:15" ht="15.75" customHeight="1">
      <c r="A64" s="28"/>
      <c r="B64" s="2974"/>
      <c r="C64" s="2974"/>
      <c r="D64" s="28"/>
      <c r="E64" s="28"/>
      <c r="F64" s="29"/>
      <c r="G64" s="29"/>
      <c r="H64" s="2212"/>
      <c r="I64" s="28"/>
      <c r="J64" s="28"/>
      <c r="K64" s="28"/>
      <c r="L64" s="28"/>
      <c r="M64" s="28"/>
      <c r="N64" s="28"/>
      <c r="O64" s="28"/>
    </row>
    <row r="65" spans="1:15" ht="15.75" customHeight="1">
      <c r="A65" s="28"/>
      <c r="B65" s="2974"/>
      <c r="C65" s="2974"/>
      <c r="D65" s="28"/>
      <c r="E65" s="28"/>
      <c r="F65" s="29"/>
      <c r="G65" s="29"/>
      <c r="H65" s="2212"/>
      <c r="I65" s="28"/>
      <c r="J65" s="28"/>
      <c r="K65" s="28"/>
      <c r="L65" s="28"/>
      <c r="M65" s="28"/>
      <c r="N65" s="28"/>
      <c r="O65" s="28"/>
    </row>
    <row r="66" spans="1:15" ht="15.75" customHeight="1">
      <c r="A66" s="28"/>
      <c r="B66" s="3180"/>
      <c r="C66" s="3180"/>
      <c r="D66" s="28"/>
      <c r="E66" s="28"/>
      <c r="F66" s="29"/>
      <c r="G66" s="29"/>
      <c r="H66" s="2212"/>
      <c r="I66" s="28"/>
      <c r="J66" s="28"/>
      <c r="K66" s="28"/>
      <c r="L66" s="28"/>
      <c r="M66" s="28"/>
      <c r="N66" s="28"/>
      <c r="O66" s="28"/>
    </row>
    <row r="67" spans="1:15" ht="15.75" customHeight="1">
      <c r="A67" s="28"/>
      <c r="B67" s="3181"/>
      <c r="C67" s="3181"/>
      <c r="D67" s="28"/>
      <c r="E67" s="28"/>
      <c r="F67" s="29"/>
      <c r="G67" s="29"/>
      <c r="H67" s="2212"/>
      <c r="I67" s="28"/>
      <c r="J67" s="28"/>
      <c r="K67" s="28"/>
      <c r="L67" s="28"/>
      <c r="M67" s="28"/>
      <c r="N67" s="28"/>
      <c r="O67" s="28"/>
    </row>
    <row r="68" spans="1:15" ht="15.75" customHeight="1">
      <c r="A68" s="28"/>
      <c r="B68" s="28"/>
      <c r="C68" s="28"/>
      <c r="D68" s="28"/>
      <c r="E68" s="28"/>
      <c r="F68" s="29"/>
      <c r="G68" s="29"/>
      <c r="H68" s="2212"/>
      <c r="I68" s="28"/>
      <c r="J68" s="28"/>
      <c r="K68" s="28"/>
      <c r="L68" s="28"/>
      <c r="M68" s="28"/>
      <c r="N68" s="28"/>
      <c r="O68" s="28"/>
    </row>
    <row r="69" spans="1:15" ht="15.75" customHeight="1">
      <c r="A69" s="28"/>
      <c r="B69" s="28"/>
      <c r="C69" s="28"/>
      <c r="D69" s="28"/>
      <c r="E69" s="28"/>
      <c r="F69" s="29"/>
      <c r="G69" s="29"/>
      <c r="H69" s="2212"/>
      <c r="I69" s="28"/>
      <c r="J69" s="28"/>
      <c r="K69" s="28"/>
      <c r="L69" s="28"/>
      <c r="M69" s="28"/>
      <c r="N69" s="28"/>
      <c r="O69" s="28"/>
    </row>
    <row r="70" spans="1:15" ht="15.75" customHeight="1">
      <c r="A70" s="28"/>
      <c r="B70" s="28"/>
      <c r="C70" s="28"/>
      <c r="D70" s="28"/>
      <c r="E70" s="28"/>
      <c r="F70" s="29"/>
      <c r="G70" s="29"/>
      <c r="H70" s="2212"/>
      <c r="I70" s="28"/>
      <c r="J70" s="28"/>
      <c r="K70" s="28"/>
      <c r="L70" s="28"/>
      <c r="M70" s="28"/>
      <c r="N70" s="28"/>
      <c r="O70" s="28"/>
    </row>
    <row r="71" spans="1:15" ht="15.75" customHeight="1">
      <c r="A71" s="28"/>
      <c r="B71" s="28"/>
      <c r="C71" s="28"/>
      <c r="D71" s="28"/>
      <c r="E71" s="28"/>
      <c r="F71" s="29"/>
      <c r="G71" s="29"/>
      <c r="H71" s="2212"/>
      <c r="I71" s="28"/>
      <c r="J71" s="28"/>
      <c r="K71" s="28"/>
      <c r="L71" s="28"/>
      <c r="M71" s="28"/>
      <c r="N71" s="28"/>
      <c r="O71" s="28"/>
    </row>
    <row r="72" spans="1:15" ht="15.75" customHeight="1">
      <c r="A72" s="28"/>
      <c r="B72" s="28"/>
      <c r="C72" s="28"/>
      <c r="D72" s="28"/>
      <c r="E72" s="28"/>
      <c r="F72" s="29"/>
      <c r="G72" s="29"/>
      <c r="H72" s="2212"/>
      <c r="I72" s="28"/>
      <c r="J72" s="28"/>
      <c r="K72" s="28"/>
      <c r="L72" s="28"/>
      <c r="M72" s="28"/>
      <c r="N72" s="28"/>
      <c r="O72" s="28"/>
    </row>
    <row r="73" spans="1:15" ht="15.75" customHeight="1">
      <c r="A73" s="28"/>
      <c r="B73" s="28"/>
      <c r="C73" s="28"/>
      <c r="D73" s="28"/>
      <c r="E73" s="28"/>
      <c r="F73" s="29"/>
      <c r="G73" s="29"/>
      <c r="H73" s="2212"/>
      <c r="I73" s="28"/>
      <c r="J73" s="28"/>
      <c r="K73" s="28"/>
      <c r="L73" s="28"/>
      <c r="M73" s="28"/>
      <c r="N73" s="28"/>
      <c r="O73" s="28"/>
    </row>
    <row r="74" spans="1:15" ht="15.75" customHeight="1">
      <c r="A74" s="28"/>
      <c r="B74" s="28"/>
      <c r="C74" s="28"/>
      <c r="D74" s="28"/>
      <c r="E74" s="28"/>
      <c r="F74" s="29"/>
      <c r="G74" s="29"/>
      <c r="H74" s="2212"/>
      <c r="I74" s="28"/>
      <c r="J74" s="28"/>
      <c r="K74" s="28"/>
      <c r="L74" s="28"/>
      <c r="M74" s="28"/>
      <c r="N74" s="28"/>
      <c r="O74" s="28"/>
    </row>
    <row r="75" spans="1:15" ht="15.75" customHeight="1">
      <c r="A75" s="28"/>
      <c r="B75" s="28"/>
      <c r="C75" s="28"/>
      <c r="D75" s="28"/>
      <c r="E75" s="28"/>
      <c r="F75" s="29"/>
      <c r="G75" s="29"/>
      <c r="H75" s="2212"/>
      <c r="I75" s="28"/>
      <c r="J75" s="28"/>
      <c r="K75" s="28"/>
      <c r="L75" s="28"/>
      <c r="M75" s="28"/>
      <c r="N75" s="28"/>
      <c r="O75" s="28"/>
    </row>
    <row r="76" spans="1:15" ht="15.75" customHeight="1">
      <c r="A76" s="28"/>
      <c r="B76" s="28"/>
      <c r="C76" s="28"/>
      <c r="D76" s="28"/>
      <c r="E76" s="28"/>
      <c r="F76" s="29"/>
      <c r="G76" s="29"/>
      <c r="H76" s="2212"/>
      <c r="I76" s="28"/>
      <c r="J76" s="28"/>
      <c r="K76" s="28"/>
      <c r="L76" s="28"/>
      <c r="M76" s="28"/>
      <c r="N76" s="28"/>
      <c r="O76" s="28"/>
    </row>
    <row r="77" spans="1:15" ht="15.75" customHeight="1">
      <c r="A77" s="28"/>
      <c r="B77" s="28"/>
      <c r="C77" s="28"/>
      <c r="D77" s="28"/>
      <c r="E77" s="28"/>
      <c r="F77" s="29"/>
      <c r="G77" s="29"/>
      <c r="H77" s="2212"/>
      <c r="I77" s="28"/>
      <c r="J77" s="28"/>
      <c r="K77" s="28"/>
      <c r="L77" s="28"/>
      <c r="M77" s="28"/>
      <c r="N77" s="28"/>
      <c r="O77" s="28"/>
    </row>
    <row r="78" spans="1:15" ht="15.75" customHeight="1">
      <c r="A78" s="28"/>
      <c r="B78" s="28"/>
      <c r="C78" s="28"/>
      <c r="D78" s="28"/>
      <c r="E78" s="28"/>
      <c r="F78" s="29"/>
      <c r="G78" s="29"/>
      <c r="H78" s="2212"/>
      <c r="I78" s="28"/>
      <c r="J78" s="28"/>
      <c r="K78" s="28"/>
      <c r="L78" s="28"/>
      <c r="M78" s="28"/>
      <c r="N78" s="28"/>
      <c r="O78" s="28"/>
    </row>
    <row r="79" spans="1:15" ht="15.75" customHeight="1">
      <c r="A79" s="28"/>
      <c r="B79" s="28"/>
      <c r="C79" s="28"/>
      <c r="D79" s="28"/>
      <c r="E79" s="28"/>
      <c r="F79" s="29"/>
      <c r="G79" s="29"/>
      <c r="H79" s="2212"/>
      <c r="I79" s="28"/>
      <c r="J79" s="28"/>
      <c r="K79" s="28"/>
      <c r="L79" s="28"/>
      <c r="M79" s="28"/>
      <c r="N79" s="28"/>
      <c r="O79" s="28"/>
    </row>
    <row r="80" spans="1:15" ht="15.75" customHeight="1">
      <c r="A80" s="28"/>
      <c r="B80" s="28"/>
      <c r="C80" s="28"/>
      <c r="D80" s="28"/>
      <c r="E80" s="28"/>
      <c r="F80" s="29"/>
      <c r="G80" s="29"/>
      <c r="H80" s="2212"/>
      <c r="I80" s="28"/>
      <c r="J80" s="28"/>
      <c r="K80" s="28"/>
      <c r="L80" s="28"/>
      <c r="M80" s="28"/>
      <c r="N80" s="28"/>
      <c r="O80" s="28"/>
    </row>
    <row r="81" spans="1:15" ht="15.75" customHeight="1">
      <c r="A81" s="28"/>
      <c r="B81" s="28"/>
      <c r="C81" s="28"/>
      <c r="D81" s="28"/>
      <c r="E81" s="28"/>
      <c r="F81" s="29"/>
      <c r="G81" s="29"/>
      <c r="H81" s="2212"/>
      <c r="I81" s="28"/>
      <c r="J81" s="28"/>
      <c r="K81" s="28"/>
      <c r="L81" s="28"/>
      <c r="M81" s="28"/>
      <c r="N81" s="28"/>
      <c r="O81" s="28"/>
    </row>
    <row r="82" spans="1:15" ht="15.75" customHeight="1">
      <c r="A82" s="28"/>
      <c r="B82" s="28"/>
      <c r="C82" s="28"/>
      <c r="D82" s="28"/>
      <c r="E82" s="28"/>
      <c r="F82" s="29"/>
      <c r="G82" s="29"/>
      <c r="H82" s="2212"/>
      <c r="I82" s="28"/>
      <c r="J82" s="28"/>
      <c r="K82" s="28"/>
      <c r="L82" s="28"/>
      <c r="M82" s="28"/>
      <c r="N82" s="28"/>
      <c r="O82" s="28"/>
    </row>
    <row r="83" spans="1:15" ht="15.75" customHeight="1">
      <c r="A83" s="28"/>
      <c r="B83" s="28"/>
      <c r="C83" s="28"/>
      <c r="D83" s="28"/>
      <c r="E83" s="28"/>
      <c r="F83" s="29"/>
      <c r="G83" s="29"/>
      <c r="H83" s="2212"/>
      <c r="I83" s="28"/>
      <c r="J83" s="28"/>
      <c r="K83" s="28"/>
      <c r="L83" s="28"/>
      <c r="M83" s="28"/>
      <c r="N83" s="28"/>
      <c r="O83" s="28"/>
    </row>
    <row r="84" spans="1:15" ht="15.75" customHeight="1">
      <c r="A84" s="28"/>
      <c r="B84" s="28"/>
      <c r="C84" s="28"/>
      <c r="D84" s="28"/>
      <c r="E84" s="28"/>
      <c r="F84" s="29"/>
      <c r="G84" s="29"/>
      <c r="H84" s="2212"/>
      <c r="I84" s="28"/>
      <c r="J84" s="28"/>
      <c r="K84" s="28"/>
      <c r="L84" s="28"/>
      <c r="M84" s="28"/>
      <c r="N84" s="28"/>
      <c r="O84" s="28"/>
    </row>
    <row r="85" spans="1:15" ht="15.75" customHeight="1">
      <c r="A85" s="28"/>
      <c r="B85" s="28"/>
      <c r="C85" s="28"/>
      <c r="D85" s="28"/>
      <c r="E85" s="28"/>
      <c r="F85" s="29"/>
      <c r="G85" s="29"/>
      <c r="H85" s="2212"/>
      <c r="I85" s="28"/>
      <c r="J85" s="28"/>
      <c r="K85" s="28"/>
      <c r="L85" s="28"/>
      <c r="M85" s="28"/>
      <c r="N85" s="28"/>
      <c r="O85" s="28"/>
    </row>
    <row r="86" spans="1:15" ht="15.75" customHeight="1">
      <c r="A86" s="28"/>
      <c r="B86" s="28"/>
      <c r="C86" s="28"/>
      <c r="D86" s="28"/>
      <c r="E86" s="28"/>
      <c r="F86" s="29"/>
      <c r="G86" s="29"/>
      <c r="H86" s="2212"/>
      <c r="I86" s="28"/>
      <c r="J86" s="28"/>
      <c r="K86" s="28"/>
      <c r="L86" s="28"/>
      <c r="M86" s="28"/>
      <c r="N86" s="28"/>
      <c r="O86" s="28"/>
    </row>
    <row r="87" spans="1:15" ht="15.75" customHeight="1">
      <c r="A87" s="28"/>
      <c r="B87" s="28"/>
      <c r="C87" s="28"/>
      <c r="D87" s="28"/>
      <c r="E87" s="28"/>
      <c r="F87" s="29"/>
      <c r="G87" s="29"/>
      <c r="H87" s="2212"/>
      <c r="I87" s="28"/>
      <c r="J87" s="28"/>
      <c r="K87" s="28"/>
      <c r="L87" s="28"/>
      <c r="M87" s="28"/>
      <c r="N87" s="28"/>
      <c r="O87" s="28"/>
    </row>
    <row r="88" spans="1:15" ht="15.75" customHeight="1">
      <c r="A88" s="28"/>
      <c r="B88" s="28"/>
      <c r="C88" s="28"/>
      <c r="D88" s="28"/>
      <c r="E88" s="28"/>
      <c r="F88" s="29"/>
      <c r="G88" s="29"/>
      <c r="H88" s="2212"/>
      <c r="I88" s="28"/>
      <c r="J88" s="28"/>
      <c r="K88" s="28"/>
      <c r="L88" s="28"/>
      <c r="M88" s="28"/>
      <c r="N88" s="28"/>
      <c r="O88" s="28"/>
    </row>
    <row r="89" spans="1:15" ht="15.75" customHeight="1">
      <c r="A89" s="28"/>
      <c r="B89" s="28"/>
      <c r="C89" s="28"/>
      <c r="D89" s="28"/>
      <c r="E89" s="28"/>
      <c r="F89" s="29"/>
      <c r="G89" s="29"/>
      <c r="H89" s="2212"/>
      <c r="I89" s="28"/>
      <c r="J89" s="28"/>
      <c r="K89" s="28"/>
      <c r="L89" s="28"/>
      <c r="M89" s="28"/>
      <c r="N89" s="28"/>
      <c r="O89" s="28"/>
    </row>
    <row r="90" spans="1:15" ht="15.75" customHeight="1">
      <c r="A90" s="28"/>
      <c r="B90" s="28"/>
      <c r="C90" s="28"/>
      <c r="D90" s="28"/>
      <c r="E90" s="28"/>
      <c r="F90" s="29"/>
      <c r="G90" s="29"/>
      <c r="H90" s="2212"/>
      <c r="I90" s="28"/>
      <c r="J90" s="28"/>
      <c r="K90" s="28"/>
      <c r="L90" s="28"/>
      <c r="M90" s="28"/>
      <c r="N90" s="28"/>
      <c r="O90" s="28"/>
    </row>
    <row r="91" spans="1:15" ht="15.75" customHeight="1">
      <c r="A91" s="28"/>
      <c r="B91" s="28"/>
      <c r="C91" s="28"/>
      <c r="D91" s="28"/>
      <c r="E91" s="28"/>
      <c r="F91" s="29"/>
      <c r="G91" s="29"/>
      <c r="H91" s="2212"/>
      <c r="I91" s="28"/>
      <c r="J91" s="28"/>
      <c r="K91" s="28"/>
      <c r="L91" s="28"/>
      <c r="M91" s="28"/>
      <c r="N91" s="28"/>
      <c r="O91" s="28"/>
    </row>
    <row r="92" spans="1:15" ht="15.75" customHeight="1">
      <c r="A92" s="28"/>
      <c r="B92" s="28"/>
      <c r="C92" s="28"/>
      <c r="D92" s="28"/>
      <c r="E92" s="28"/>
      <c r="F92" s="29"/>
      <c r="G92" s="29"/>
      <c r="H92" s="2212"/>
      <c r="I92" s="28"/>
      <c r="J92" s="28"/>
      <c r="K92" s="28"/>
      <c r="L92" s="28"/>
      <c r="M92" s="28"/>
      <c r="N92" s="28"/>
      <c r="O92" s="28"/>
    </row>
    <row r="93" spans="1:15" ht="15.75" customHeight="1">
      <c r="A93" s="28"/>
      <c r="B93" s="28"/>
      <c r="C93" s="28"/>
      <c r="D93" s="28"/>
      <c r="E93" s="28"/>
      <c r="F93" s="29"/>
      <c r="G93" s="29"/>
      <c r="H93" s="2212"/>
      <c r="I93" s="28"/>
      <c r="J93" s="28"/>
      <c r="K93" s="28"/>
      <c r="L93" s="28"/>
      <c r="M93" s="28"/>
      <c r="N93" s="28"/>
      <c r="O93" s="28"/>
    </row>
    <row r="94" spans="1:15" ht="15.75" customHeight="1">
      <c r="A94" s="28"/>
      <c r="B94" s="28"/>
      <c r="C94" s="28"/>
      <c r="D94" s="28"/>
      <c r="E94" s="28"/>
      <c r="F94" s="29"/>
      <c r="G94" s="29"/>
      <c r="H94" s="2212"/>
      <c r="I94" s="28"/>
      <c r="J94" s="28"/>
      <c r="K94" s="28"/>
      <c r="L94" s="28"/>
      <c r="M94" s="28"/>
      <c r="N94" s="28"/>
      <c r="O94" s="28"/>
    </row>
    <row r="95" spans="1:15" ht="15.75" customHeight="1">
      <c r="A95" s="28"/>
      <c r="B95" s="28"/>
      <c r="C95" s="28"/>
      <c r="D95" s="28"/>
      <c r="E95" s="28"/>
      <c r="F95" s="29"/>
      <c r="G95" s="29"/>
      <c r="H95" s="2212"/>
      <c r="I95" s="28"/>
      <c r="J95" s="28"/>
      <c r="K95" s="28"/>
      <c r="L95" s="28"/>
      <c r="M95" s="28"/>
      <c r="N95" s="28"/>
      <c r="O95" s="28"/>
    </row>
    <row r="96" spans="1:15" ht="15.75" customHeight="1">
      <c r="A96" s="28"/>
      <c r="B96" s="28"/>
      <c r="C96" s="28"/>
      <c r="D96" s="28"/>
      <c r="E96" s="28"/>
      <c r="F96" s="29"/>
      <c r="G96" s="29"/>
      <c r="H96" s="2212"/>
      <c r="I96" s="28"/>
      <c r="J96" s="28"/>
      <c r="K96" s="28"/>
      <c r="L96" s="28"/>
      <c r="M96" s="28"/>
      <c r="N96" s="28"/>
      <c r="O96" s="28"/>
    </row>
    <row r="97" spans="1:15" ht="15.75" customHeight="1">
      <c r="A97" s="28"/>
      <c r="B97" s="28"/>
      <c r="C97" s="28"/>
      <c r="D97" s="28"/>
      <c r="E97" s="28"/>
      <c r="F97" s="29"/>
      <c r="G97" s="29"/>
      <c r="H97" s="2212"/>
      <c r="I97" s="28"/>
      <c r="J97" s="28"/>
      <c r="K97" s="28"/>
      <c r="L97" s="28"/>
      <c r="M97" s="28"/>
      <c r="N97" s="28"/>
      <c r="O97" s="28"/>
    </row>
    <row r="98" spans="1:15" ht="15.75" customHeight="1">
      <c r="A98" s="28"/>
      <c r="B98" s="28"/>
      <c r="C98" s="28"/>
      <c r="D98" s="28"/>
      <c r="E98" s="28"/>
      <c r="F98" s="29"/>
      <c r="G98" s="29"/>
      <c r="H98" s="2212"/>
      <c r="I98" s="28"/>
      <c r="J98" s="28"/>
      <c r="K98" s="28"/>
      <c r="L98" s="28"/>
      <c r="M98" s="28"/>
      <c r="N98" s="28"/>
      <c r="O98" s="28"/>
    </row>
    <row r="99" spans="1:15" ht="15.75" customHeight="1">
      <c r="A99" s="28"/>
      <c r="B99" s="28"/>
      <c r="C99" s="28"/>
      <c r="D99" s="28"/>
      <c r="E99" s="28"/>
      <c r="F99" s="29"/>
      <c r="G99" s="29"/>
      <c r="H99" s="2212"/>
      <c r="I99" s="28"/>
      <c r="J99" s="28"/>
      <c r="K99" s="28"/>
      <c r="L99" s="28"/>
      <c r="M99" s="28"/>
      <c r="N99" s="28"/>
      <c r="O99" s="28"/>
    </row>
    <row r="100" spans="1:15" ht="15.75" customHeight="1">
      <c r="A100" s="28"/>
      <c r="B100" s="28"/>
      <c r="C100" s="28"/>
      <c r="D100" s="28"/>
      <c r="E100" s="28"/>
      <c r="F100" s="29"/>
      <c r="G100" s="29"/>
      <c r="H100" s="2212"/>
      <c r="I100" s="28"/>
      <c r="J100" s="28"/>
      <c r="K100" s="28"/>
      <c r="L100" s="28"/>
      <c r="M100" s="28"/>
      <c r="N100" s="28"/>
      <c r="O100" s="28"/>
    </row>
    <row r="101" spans="1:15" ht="15.75" customHeight="1">
      <c r="A101" s="28"/>
      <c r="B101" s="28"/>
      <c r="C101" s="28"/>
      <c r="D101" s="28"/>
      <c r="E101" s="28"/>
      <c r="F101" s="29"/>
      <c r="G101" s="29"/>
      <c r="H101" s="2212"/>
      <c r="I101" s="28"/>
      <c r="J101" s="28"/>
      <c r="K101" s="28"/>
      <c r="L101" s="28"/>
      <c r="M101" s="28"/>
      <c r="N101" s="28"/>
      <c r="O101" s="28"/>
    </row>
    <row r="102" spans="1:15" ht="15.75" customHeight="1">
      <c r="A102" s="28"/>
      <c r="B102" s="28"/>
      <c r="C102" s="28"/>
      <c r="D102" s="28"/>
      <c r="E102" s="28"/>
      <c r="F102" s="29"/>
      <c r="G102" s="29"/>
      <c r="H102" s="2212"/>
      <c r="I102" s="28"/>
      <c r="J102" s="28"/>
      <c r="K102" s="28"/>
      <c r="L102" s="28"/>
      <c r="M102" s="28"/>
      <c r="N102" s="28"/>
      <c r="O102" s="28"/>
    </row>
    <row r="103" spans="1:15" ht="15.75" customHeight="1">
      <c r="A103" s="28"/>
      <c r="B103" s="28"/>
      <c r="C103" s="28"/>
      <c r="D103" s="28"/>
      <c r="E103" s="28"/>
      <c r="F103" s="29"/>
      <c r="G103" s="29"/>
      <c r="H103" s="2212"/>
      <c r="I103" s="28"/>
      <c r="J103" s="28"/>
      <c r="K103" s="28"/>
      <c r="L103" s="28"/>
      <c r="M103" s="28"/>
      <c r="N103" s="28"/>
      <c r="O103" s="28"/>
    </row>
    <row r="104" spans="1:15" ht="15.75" customHeight="1">
      <c r="A104" s="28"/>
      <c r="B104" s="28"/>
      <c r="C104" s="28"/>
      <c r="D104" s="28"/>
      <c r="E104" s="28"/>
      <c r="F104" s="29"/>
      <c r="G104" s="29"/>
      <c r="H104" s="2212"/>
      <c r="I104" s="28"/>
      <c r="J104" s="28"/>
      <c r="K104" s="28"/>
      <c r="L104" s="28"/>
      <c r="M104" s="28"/>
      <c r="N104" s="28"/>
      <c r="O104" s="28"/>
    </row>
    <row r="105" spans="1:15" ht="15.75" customHeight="1">
      <c r="A105" s="28"/>
      <c r="B105" s="28"/>
      <c r="C105" s="28"/>
      <c r="D105" s="28"/>
      <c r="E105" s="28"/>
      <c r="F105" s="29"/>
      <c r="G105" s="29"/>
      <c r="H105" s="2212"/>
      <c r="I105" s="28"/>
      <c r="J105" s="28"/>
      <c r="K105" s="28"/>
      <c r="L105" s="28"/>
      <c r="M105" s="28"/>
      <c r="N105" s="28"/>
      <c r="O105" s="28"/>
    </row>
    <row r="106" spans="1:15" ht="15.75" customHeight="1">
      <c r="A106" s="28"/>
      <c r="B106" s="28"/>
      <c r="C106" s="28"/>
      <c r="D106" s="28"/>
      <c r="E106" s="28"/>
      <c r="F106" s="29"/>
      <c r="G106" s="29"/>
      <c r="H106" s="2212"/>
      <c r="I106" s="28"/>
      <c r="J106" s="28"/>
      <c r="K106" s="28"/>
      <c r="L106" s="28"/>
      <c r="M106" s="28"/>
      <c r="N106" s="28"/>
      <c r="O106" s="28"/>
    </row>
    <row r="107" spans="1:15" ht="15.75" customHeight="1">
      <c r="A107" s="28"/>
      <c r="B107" s="28"/>
      <c r="C107" s="28"/>
      <c r="D107" s="28"/>
      <c r="E107" s="28"/>
      <c r="F107" s="29"/>
      <c r="G107" s="29"/>
      <c r="H107" s="2212"/>
      <c r="I107" s="28"/>
      <c r="J107" s="28"/>
      <c r="K107" s="28"/>
      <c r="L107" s="28"/>
      <c r="M107" s="28"/>
      <c r="N107" s="28"/>
      <c r="O107" s="28"/>
    </row>
    <row r="108" spans="1:15" ht="15.75" customHeight="1">
      <c r="A108" s="28"/>
      <c r="B108" s="28"/>
      <c r="C108" s="28"/>
      <c r="D108" s="28"/>
      <c r="E108" s="28"/>
      <c r="F108" s="29"/>
      <c r="G108" s="29"/>
      <c r="H108" s="2212"/>
      <c r="I108" s="28"/>
      <c r="J108" s="28"/>
      <c r="K108" s="28"/>
      <c r="L108" s="28"/>
      <c r="M108" s="28"/>
      <c r="N108" s="28"/>
      <c r="O108" s="28"/>
    </row>
    <row r="109" spans="1:15" ht="15.75" customHeight="1">
      <c r="A109" s="28"/>
      <c r="B109" s="28"/>
      <c r="C109" s="28"/>
      <c r="D109" s="28"/>
      <c r="E109" s="28"/>
      <c r="F109" s="29"/>
      <c r="G109" s="29"/>
      <c r="H109" s="2212"/>
      <c r="I109" s="28"/>
      <c r="J109" s="28"/>
      <c r="K109" s="28"/>
      <c r="L109" s="28"/>
      <c r="M109" s="28"/>
      <c r="N109" s="28"/>
      <c r="O109" s="28"/>
    </row>
    <row r="110" spans="1:15" ht="15.75" customHeight="1">
      <c r="A110" s="28"/>
      <c r="B110" s="28"/>
      <c r="C110" s="28"/>
      <c r="D110" s="28"/>
      <c r="E110" s="28"/>
      <c r="F110" s="29"/>
      <c r="G110" s="29"/>
      <c r="H110" s="2212"/>
      <c r="I110" s="28"/>
      <c r="J110" s="28"/>
      <c r="K110" s="28"/>
      <c r="L110" s="28"/>
      <c r="M110" s="28"/>
      <c r="N110" s="28"/>
      <c r="O110" s="28"/>
    </row>
    <row r="111" spans="1:15" ht="15.75" customHeight="1">
      <c r="A111" s="28"/>
      <c r="B111" s="28"/>
      <c r="C111" s="28"/>
      <c r="D111" s="28"/>
      <c r="E111" s="28"/>
      <c r="F111" s="29"/>
      <c r="G111" s="29"/>
      <c r="H111" s="2212"/>
      <c r="I111" s="28"/>
      <c r="J111" s="28"/>
      <c r="K111" s="28"/>
      <c r="L111" s="28"/>
      <c r="M111" s="28"/>
      <c r="N111" s="28"/>
      <c r="O111" s="28"/>
    </row>
    <row r="112" spans="1:15" ht="15.75" customHeight="1">
      <c r="A112" s="28"/>
      <c r="B112" s="28"/>
      <c r="C112" s="28"/>
      <c r="D112" s="28"/>
      <c r="E112" s="28"/>
      <c r="F112" s="29"/>
      <c r="G112" s="29"/>
      <c r="H112" s="2212"/>
      <c r="I112" s="28"/>
      <c r="J112" s="28"/>
      <c r="K112" s="28"/>
      <c r="L112" s="28"/>
      <c r="M112" s="28"/>
      <c r="N112" s="28"/>
      <c r="O112" s="28"/>
    </row>
    <row r="113" spans="1:15" ht="15.75" customHeight="1">
      <c r="A113" s="28"/>
      <c r="B113" s="28"/>
      <c r="C113" s="28"/>
      <c r="D113" s="28"/>
      <c r="E113" s="28"/>
      <c r="F113" s="29"/>
      <c r="G113" s="29"/>
      <c r="H113" s="2212"/>
      <c r="I113" s="28"/>
      <c r="J113" s="28"/>
      <c r="K113" s="28"/>
      <c r="L113" s="28"/>
      <c r="M113" s="28"/>
      <c r="N113" s="28"/>
      <c r="O113" s="28"/>
    </row>
    <row r="114" spans="1:15" ht="15.75" customHeight="1">
      <c r="A114" s="28"/>
      <c r="B114" s="28"/>
      <c r="C114" s="28"/>
      <c r="D114" s="28"/>
      <c r="E114" s="28"/>
      <c r="F114" s="29"/>
      <c r="G114" s="29"/>
      <c r="H114" s="2212"/>
      <c r="I114" s="28"/>
      <c r="J114" s="28"/>
      <c r="K114" s="28"/>
      <c r="L114" s="28"/>
      <c r="M114" s="28"/>
      <c r="N114" s="28"/>
      <c r="O114" s="28"/>
    </row>
    <row r="115" spans="1:15" ht="15.75" customHeight="1">
      <c r="A115" s="28"/>
      <c r="B115" s="28"/>
      <c r="C115" s="28"/>
      <c r="D115" s="28"/>
      <c r="E115" s="28"/>
      <c r="F115" s="29"/>
      <c r="G115" s="29"/>
      <c r="H115" s="2212"/>
      <c r="I115" s="28"/>
      <c r="J115" s="28"/>
      <c r="K115" s="28"/>
      <c r="L115" s="28"/>
      <c r="M115" s="28"/>
      <c r="N115" s="28"/>
      <c r="O115" s="28"/>
    </row>
    <row r="116" spans="1:15" ht="15.75" customHeight="1">
      <c r="A116" s="28"/>
      <c r="B116" s="28"/>
      <c r="C116" s="28"/>
      <c r="D116" s="28"/>
      <c r="E116" s="28"/>
      <c r="F116" s="29"/>
      <c r="G116" s="29"/>
      <c r="H116" s="2212"/>
      <c r="I116" s="28"/>
      <c r="J116" s="28"/>
      <c r="K116" s="28"/>
      <c r="L116" s="28"/>
      <c r="M116" s="28"/>
      <c r="N116" s="28"/>
      <c r="O116" s="28"/>
    </row>
    <row r="117" spans="1:15" ht="15.75" customHeight="1">
      <c r="A117" s="28"/>
      <c r="B117" s="28"/>
      <c r="C117" s="28"/>
      <c r="D117" s="28"/>
      <c r="E117" s="28"/>
      <c r="F117" s="29"/>
      <c r="G117" s="29"/>
      <c r="H117" s="2212"/>
      <c r="I117" s="28"/>
      <c r="J117" s="28"/>
      <c r="K117" s="28"/>
      <c r="L117" s="28"/>
      <c r="M117" s="28"/>
      <c r="N117" s="28"/>
      <c r="O117" s="28"/>
    </row>
    <row r="118" spans="1:15" ht="15.75" customHeight="1">
      <c r="A118" s="28"/>
      <c r="B118" s="28"/>
      <c r="C118" s="28"/>
      <c r="D118" s="28"/>
      <c r="E118" s="28"/>
      <c r="F118" s="29"/>
      <c r="G118" s="29"/>
      <c r="H118" s="2212"/>
      <c r="I118" s="28"/>
      <c r="J118" s="28"/>
      <c r="K118" s="28"/>
      <c r="L118" s="28"/>
      <c r="M118" s="28"/>
      <c r="N118" s="28"/>
      <c r="O118" s="28"/>
    </row>
    <row r="119" spans="1:15" ht="15.75" customHeight="1">
      <c r="A119" s="28"/>
      <c r="B119" s="28"/>
      <c r="C119" s="28"/>
      <c r="D119" s="28"/>
      <c r="E119" s="28"/>
      <c r="F119" s="29"/>
      <c r="G119" s="29"/>
      <c r="H119" s="2212"/>
      <c r="I119" s="28"/>
      <c r="J119" s="28"/>
      <c r="K119" s="28"/>
      <c r="L119" s="28"/>
      <c r="M119" s="28"/>
      <c r="N119" s="28"/>
      <c r="O119" s="28"/>
    </row>
    <row r="120" spans="1:15" ht="15.75" customHeight="1">
      <c r="A120" s="28"/>
      <c r="B120" s="28"/>
      <c r="C120" s="28"/>
      <c r="D120" s="28"/>
      <c r="E120" s="28"/>
      <c r="F120" s="29"/>
      <c r="G120" s="29"/>
      <c r="H120" s="2212"/>
      <c r="I120" s="28"/>
      <c r="J120" s="28"/>
      <c r="K120" s="28"/>
      <c r="L120" s="28"/>
      <c r="M120" s="28"/>
      <c r="N120" s="28"/>
      <c r="O120" s="28"/>
    </row>
    <row r="121" spans="1:15" ht="15.75" customHeight="1">
      <c r="A121" s="28"/>
      <c r="B121" s="28"/>
      <c r="C121" s="28"/>
      <c r="D121" s="28"/>
      <c r="E121" s="28"/>
      <c r="F121" s="29"/>
      <c r="G121" s="29"/>
      <c r="H121" s="2212"/>
      <c r="I121" s="28"/>
      <c r="J121" s="28"/>
      <c r="K121" s="28"/>
      <c r="L121" s="28"/>
      <c r="M121" s="28"/>
      <c r="N121" s="28"/>
      <c r="O121" s="28"/>
    </row>
    <row r="122" spans="1:15" ht="15.75" customHeight="1">
      <c r="A122" s="28"/>
      <c r="B122" s="28"/>
      <c r="C122" s="28"/>
      <c r="D122" s="28"/>
      <c r="E122" s="28"/>
      <c r="F122" s="29"/>
      <c r="G122" s="29"/>
      <c r="H122" s="2212"/>
      <c r="I122" s="28"/>
      <c r="J122" s="28"/>
      <c r="K122" s="28"/>
      <c r="L122" s="28"/>
      <c r="M122" s="28"/>
      <c r="N122" s="28"/>
      <c r="O122" s="28"/>
    </row>
    <row r="123" spans="1:15" ht="15.75" customHeight="1">
      <c r="A123" s="28"/>
      <c r="B123" s="28"/>
      <c r="C123" s="28"/>
      <c r="D123" s="28"/>
      <c r="E123" s="28"/>
      <c r="F123" s="29"/>
      <c r="G123" s="29"/>
      <c r="H123" s="2212"/>
      <c r="I123" s="28"/>
      <c r="J123" s="28"/>
      <c r="K123" s="28"/>
      <c r="L123" s="28"/>
      <c r="M123" s="28"/>
      <c r="N123" s="28"/>
      <c r="O123" s="28"/>
    </row>
    <row r="124" spans="1:15" ht="15.75" customHeight="1">
      <c r="A124" s="28"/>
      <c r="B124" s="28"/>
      <c r="C124" s="28"/>
      <c r="D124" s="28"/>
      <c r="E124" s="28"/>
      <c r="F124" s="29"/>
      <c r="G124" s="29"/>
      <c r="H124" s="2212"/>
      <c r="I124" s="28"/>
      <c r="J124" s="28"/>
      <c r="K124" s="28"/>
      <c r="L124" s="28"/>
      <c r="M124" s="28"/>
      <c r="N124" s="28"/>
      <c r="O124" s="28"/>
    </row>
    <row r="125" spans="1:15" ht="15.75" customHeight="1">
      <c r="A125" s="28"/>
      <c r="B125" s="28"/>
      <c r="C125" s="28"/>
      <c r="D125" s="28"/>
      <c r="E125" s="28"/>
      <c r="F125" s="29"/>
      <c r="G125" s="29"/>
      <c r="H125" s="2212"/>
      <c r="I125" s="28"/>
      <c r="J125" s="28"/>
      <c r="K125" s="28"/>
      <c r="L125" s="28"/>
      <c r="M125" s="28"/>
      <c r="N125" s="28"/>
      <c r="O125" s="28"/>
    </row>
    <row r="126" spans="1:15" ht="15.75" customHeight="1">
      <c r="A126" s="28"/>
      <c r="B126" s="28"/>
      <c r="C126" s="28"/>
      <c r="D126" s="28"/>
      <c r="E126" s="28"/>
      <c r="F126" s="29"/>
      <c r="G126" s="29"/>
      <c r="H126" s="2212"/>
      <c r="I126" s="28"/>
      <c r="J126" s="28"/>
      <c r="K126" s="28"/>
      <c r="L126" s="28"/>
      <c r="M126" s="28"/>
      <c r="N126" s="28"/>
      <c r="O126" s="28"/>
    </row>
    <row r="127" spans="1:15" ht="15.75" customHeight="1">
      <c r="A127" s="28"/>
      <c r="B127" s="28"/>
      <c r="C127" s="28"/>
      <c r="D127" s="28"/>
      <c r="E127" s="28"/>
      <c r="F127" s="29"/>
      <c r="G127" s="29"/>
      <c r="H127" s="2212"/>
      <c r="I127" s="28"/>
      <c r="J127" s="28"/>
      <c r="K127" s="28"/>
      <c r="L127" s="28"/>
      <c r="M127" s="28"/>
      <c r="N127" s="28"/>
      <c r="O127" s="28"/>
    </row>
    <row r="128" spans="1:15" ht="15.75" customHeight="1">
      <c r="A128" s="28"/>
      <c r="B128" s="28"/>
      <c r="C128" s="28"/>
      <c r="D128" s="28"/>
      <c r="E128" s="28"/>
      <c r="F128" s="29"/>
      <c r="G128" s="29"/>
      <c r="H128" s="2212"/>
      <c r="I128" s="28"/>
      <c r="J128" s="28"/>
      <c r="K128" s="28"/>
      <c r="L128" s="28"/>
      <c r="M128" s="28"/>
      <c r="N128" s="28"/>
      <c r="O128" s="28"/>
    </row>
    <row r="129" spans="1:15" ht="15.75" customHeight="1">
      <c r="A129" s="28"/>
      <c r="B129" s="28"/>
      <c r="C129" s="28"/>
      <c r="D129" s="28"/>
      <c r="E129" s="28"/>
      <c r="F129" s="29"/>
      <c r="G129" s="29"/>
      <c r="H129" s="2212"/>
      <c r="I129" s="28"/>
      <c r="J129" s="28"/>
      <c r="K129" s="28"/>
      <c r="L129" s="28"/>
      <c r="M129" s="28"/>
      <c r="N129" s="28"/>
      <c r="O129" s="28"/>
    </row>
    <row r="130" spans="1:15" ht="15.75" customHeight="1">
      <c r="A130" s="28"/>
      <c r="B130" s="28"/>
      <c r="C130" s="28"/>
      <c r="D130" s="28"/>
      <c r="E130" s="28"/>
      <c r="F130" s="29"/>
      <c r="G130" s="29"/>
      <c r="H130" s="2212"/>
      <c r="I130" s="28"/>
      <c r="J130" s="28"/>
      <c r="K130" s="28"/>
      <c r="L130" s="28"/>
      <c r="M130" s="28"/>
      <c r="N130" s="28"/>
      <c r="O130" s="28"/>
    </row>
    <row r="131" spans="1:15" ht="15.75" customHeight="1">
      <c r="A131" s="28"/>
      <c r="B131" s="28"/>
      <c r="C131" s="28"/>
      <c r="D131" s="28"/>
      <c r="E131" s="28"/>
      <c r="F131" s="29"/>
      <c r="G131" s="29"/>
      <c r="H131" s="2212"/>
      <c r="I131" s="28"/>
      <c r="J131" s="28"/>
      <c r="K131" s="28"/>
      <c r="L131" s="28"/>
      <c r="M131" s="28"/>
      <c r="N131" s="28"/>
      <c r="O131" s="28"/>
    </row>
    <row r="132" spans="1:15" ht="15.75" customHeight="1">
      <c r="A132" s="28"/>
      <c r="B132" s="28"/>
      <c r="C132" s="28"/>
      <c r="D132" s="28"/>
      <c r="E132" s="28"/>
      <c r="F132" s="29"/>
      <c r="G132" s="29"/>
      <c r="H132" s="2212"/>
      <c r="I132" s="28"/>
      <c r="J132" s="28"/>
      <c r="K132" s="28"/>
      <c r="L132" s="28"/>
      <c r="M132" s="28"/>
      <c r="N132" s="28"/>
      <c r="O132" s="28"/>
    </row>
    <row r="133" spans="1:15" ht="15.75" customHeight="1">
      <c r="A133" s="28"/>
      <c r="B133" s="28"/>
      <c r="C133" s="28"/>
      <c r="D133" s="28"/>
      <c r="E133" s="28"/>
      <c r="F133" s="29"/>
      <c r="G133" s="29"/>
      <c r="H133" s="2212"/>
      <c r="I133" s="28"/>
      <c r="J133" s="28"/>
      <c r="K133" s="28"/>
      <c r="L133" s="28"/>
      <c r="M133" s="28"/>
      <c r="N133" s="28"/>
      <c r="O133" s="28"/>
    </row>
    <row r="134" spans="1:15" ht="15.75" customHeight="1">
      <c r="A134" s="28"/>
      <c r="B134" s="28"/>
      <c r="C134" s="28"/>
      <c r="D134" s="28"/>
      <c r="E134" s="28"/>
      <c r="F134" s="29"/>
      <c r="G134" s="29"/>
      <c r="H134" s="2212"/>
      <c r="I134" s="28"/>
      <c r="J134" s="28"/>
      <c r="K134" s="28"/>
      <c r="L134" s="28"/>
      <c r="M134" s="28"/>
      <c r="N134" s="28"/>
      <c r="O134" s="28"/>
    </row>
    <row r="135" spans="1:15" ht="15.75" customHeight="1">
      <c r="A135" s="28"/>
      <c r="B135" s="28"/>
      <c r="C135" s="28"/>
      <c r="D135" s="28"/>
      <c r="E135" s="28"/>
      <c r="F135" s="29"/>
      <c r="G135" s="29"/>
      <c r="H135" s="2212"/>
      <c r="I135" s="28"/>
      <c r="J135" s="28"/>
      <c r="K135" s="28"/>
      <c r="L135" s="28"/>
      <c r="M135" s="28"/>
      <c r="N135" s="28"/>
      <c r="O135" s="28"/>
    </row>
    <row r="136" spans="1:15" ht="15.75" customHeight="1">
      <c r="A136" s="28"/>
      <c r="B136" s="28"/>
      <c r="C136" s="28"/>
      <c r="D136" s="28"/>
      <c r="E136" s="28"/>
      <c r="F136" s="29"/>
      <c r="G136" s="29"/>
      <c r="H136" s="2212"/>
      <c r="I136" s="28"/>
      <c r="J136" s="28"/>
      <c r="K136" s="28"/>
      <c r="L136" s="28"/>
      <c r="M136" s="28"/>
      <c r="N136" s="28"/>
      <c r="O136" s="28"/>
    </row>
    <row r="137" spans="1:15" ht="15.75" customHeight="1">
      <c r="A137" s="28"/>
      <c r="B137" s="28"/>
      <c r="C137" s="28"/>
      <c r="D137" s="28"/>
      <c r="E137" s="28"/>
      <c r="F137" s="29"/>
      <c r="G137" s="29"/>
      <c r="H137" s="2212"/>
      <c r="I137" s="28"/>
      <c r="J137" s="28"/>
      <c r="K137" s="28"/>
      <c r="L137" s="28"/>
      <c r="M137" s="28"/>
      <c r="N137" s="28"/>
      <c r="O137" s="28"/>
    </row>
    <row r="138" spans="1:15" ht="15.75" customHeight="1">
      <c r="A138" s="28"/>
      <c r="B138" s="28"/>
      <c r="C138" s="28"/>
      <c r="D138" s="28"/>
      <c r="E138" s="28"/>
      <c r="F138" s="29"/>
      <c r="G138" s="29"/>
      <c r="H138" s="2212"/>
      <c r="I138" s="28"/>
      <c r="J138" s="28"/>
      <c r="K138" s="28"/>
      <c r="L138" s="28"/>
      <c r="M138" s="28"/>
      <c r="N138" s="28"/>
      <c r="O138" s="28"/>
    </row>
    <row r="139" spans="1:15" ht="15.75" customHeight="1">
      <c r="A139" s="28"/>
      <c r="B139" s="28"/>
      <c r="C139" s="28"/>
      <c r="D139" s="28"/>
      <c r="E139" s="28"/>
      <c r="F139" s="29"/>
      <c r="G139" s="29"/>
      <c r="H139" s="2212"/>
      <c r="I139" s="28"/>
      <c r="J139" s="28"/>
      <c r="K139" s="28"/>
      <c r="L139" s="28"/>
      <c r="M139" s="28"/>
      <c r="N139" s="28"/>
      <c r="O139" s="28"/>
    </row>
    <row r="140" spans="1:15" ht="15.75" customHeight="1">
      <c r="A140" s="28"/>
      <c r="B140" s="28"/>
      <c r="C140" s="28"/>
      <c r="D140" s="28"/>
      <c r="E140" s="28"/>
      <c r="F140" s="29"/>
      <c r="G140" s="29"/>
      <c r="H140" s="2212"/>
      <c r="I140" s="28"/>
      <c r="J140" s="28"/>
      <c r="K140" s="28"/>
      <c r="L140" s="28"/>
      <c r="M140" s="28"/>
      <c r="N140" s="28"/>
      <c r="O140" s="28"/>
    </row>
    <row r="141" spans="1:15" ht="15.75" customHeight="1">
      <c r="A141" s="28"/>
      <c r="B141" s="28"/>
      <c r="C141" s="28"/>
      <c r="D141" s="28"/>
      <c r="E141" s="28"/>
      <c r="F141" s="29"/>
      <c r="G141" s="29"/>
      <c r="H141" s="2212"/>
      <c r="I141" s="28"/>
      <c r="J141" s="28"/>
      <c r="K141" s="28"/>
      <c r="L141" s="28"/>
      <c r="M141" s="28"/>
      <c r="N141" s="28"/>
      <c r="O141" s="28"/>
    </row>
    <row r="142" spans="1:15" ht="15.75" customHeight="1">
      <c r="A142" s="28"/>
      <c r="B142" s="28"/>
      <c r="C142" s="28"/>
      <c r="D142" s="28"/>
      <c r="E142" s="28"/>
      <c r="F142" s="29"/>
      <c r="G142" s="29"/>
      <c r="H142" s="2212"/>
      <c r="I142" s="28"/>
      <c r="J142" s="28"/>
      <c r="K142" s="28"/>
      <c r="L142" s="28"/>
      <c r="M142" s="28"/>
      <c r="N142" s="28"/>
      <c r="O142" s="28"/>
    </row>
    <row r="143" spans="1:15" ht="15.75" customHeight="1">
      <c r="A143" s="28"/>
      <c r="B143" s="28"/>
      <c r="C143" s="28"/>
      <c r="D143" s="28"/>
      <c r="E143" s="28"/>
      <c r="F143" s="29"/>
      <c r="G143" s="29"/>
      <c r="H143" s="2212"/>
      <c r="I143" s="28"/>
      <c r="J143" s="28"/>
      <c r="K143" s="28"/>
      <c r="L143" s="28"/>
      <c r="M143" s="28"/>
      <c r="N143" s="28"/>
      <c r="O143" s="28"/>
    </row>
    <row r="144" spans="1:15" ht="15.75" customHeight="1">
      <c r="A144" s="28"/>
      <c r="B144" s="28"/>
      <c r="C144" s="28"/>
      <c r="D144" s="28"/>
      <c r="E144" s="28"/>
      <c r="F144" s="29"/>
      <c r="G144" s="29"/>
      <c r="H144" s="2212"/>
      <c r="I144" s="28"/>
      <c r="J144" s="28"/>
      <c r="K144" s="28"/>
      <c r="L144" s="28"/>
      <c r="M144" s="28"/>
      <c r="N144" s="28"/>
      <c r="O144" s="28"/>
    </row>
    <row r="145" spans="1:15" ht="15.75" customHeight="1">
      <c r="A145" s="28"/>
      <c r="B145" s="28"/>
      <c r="C145" s="28"/>
      <c r="D145" s="28"/>
      <c r="E145" s="28"/>
      <c r="F145" s="29"/>
      <c r="G145" s="29"/>
      <c r="H145" s="2212"/>
      <c r="I145" s="28"/>
      <c r="J145" s="28"/>
      <c r="K145" s="28"/>
      <c r="L145" s="28"/>
      <c r="M145" s="28"/>
      <c r="N145" s="28"/>
      <c r="O145" s="28"/>
    </row>
    <row r="146" spans="1:15" ht="15.75" customHeight="1">
      <c r="A146" s="28"/>
      <c r="B146" s="28"/>
      <c r="C146" s="28"/>
      <c r="D146" s="28"/>
      <c r="E146" s="28"/>
      <c r="F146" s="29"/>
      <c r="G146" s="29"/>
      <c r="H146" s="2212"/>
      <c r="I146" s="28"/>
      <c r="J146" s="28"/>
      <c r="K146" s="28"/>
      <c r="L146" s="28"/>
      <c r="M146" s="28"/>
      <c r="N146" s="28"/>
      <c r="O146" s="28"/>
    </row>
    <row r="147" spans="1:15" ht="15.75" customHeight="1">
      <c r="A147" s="28"/>
      <c r="B147" s="28"/>
      <c r="C147" s="28"/>
      <c r="D147" s="28"/>
      <c r="E147" s="28"/>
      <c r="F147" s="29"/>
      <c r="G147" s="29"/>
      <c r="H147" s="2212"/>
      <c r="I147" s="28"/>
      <c r="J147" s="28"/>
      <c r="K147" s="28"/>
      <c r="L147" s="28"/>
      <c r="M147" s="28"/>
      <c r="N147" s="28"/>
      <c r="O147" s="28"/>
    </row>
    <row r="148" spans="1:15" ht="15.75" customHeight="1">
      <c r="A148" s="28"/>
      <c r="B148" s="28"/>
      <c r="C148" s="28"/>
      <c r="D148" s="28"/>
      <c r="E148" s="28"/>
      <c r="F148" s="29"/>
      <c r="G148" s="29"/>
      <c r="H148" s="2212"/>
      <c r="I148" s="28"/>
      <c r="J148" s="28"/>
      <c r="K148" s="28"/>
      <c r="L148" s="28"/>
      <c r="M148" s="28"/>
      <c r="N148" s="28"/>
      <c r="O148" s="28"/>
    </row>
    <row r="149" spans="1:15" ht="15.75" customHeight="1">
      <c r="A149" s="28"/>
      <c r="B149" s="28"/>
      <c r="C149" s="28"/>
      <c r="D149" s="28"/>
      <c r="E149" s="28"/>
      <c r="F149" s="29"/>
      <c r="G149" s="29"/>
      <c r="H149" s="2212"/>
      <c r="I149" s="28"/>
      <c r="J149" s="28"/>
      <c r="K149" s="28"/>
      <c r="L149" s="28"/>
      <c r="M149" s="28"/>
      <c r="N149" s="28"/>
      <c r="O149" s="28"/>
    </row>
    <row r="150" spans="1:15" ht="15.75" customHeight="1">
      <c r="A150" s="28"/>
      <c r="B150" s="28"/>
      <c r="C150" s="28"/>
      <c r="D150" s="28"/>
      <c r="E150" s="28"/>
      <c r="F150" s="29"/>
      <c r="G150" s="29"/>
      <c r="H150" s="2212"/>
      <c r="I150" s="28"/>
      <c r="J150" s="28"/>
      <c r="K150" s="28"/>
      <c r="L150" s="28"/>
      <c r="M150" s="28"/>
      <c r="N150" s="28"/>
      <c r="O150" s="28"/>
    </row>
    <row r="151" spans="1:15" ht="15.75" customHeight="1">
      <c r="A151" s="28"/>
      <c r="B151" s="28"/>
      <c r="C151" s="28"/>
      <c r="D151" s="28"/>
      <c r="E151" s="28"/>
      <c r="F151" s="29"/>
      <c r="G151" s="29"/>
      <c r="H151" s="2212"/>
      <c r="I151" s="28"/>
      <c r="J151" s="28"/>
      <c r="K151" s="28"/>
      <c r="L151" s="28"/>
      <c r="M151" s="28"/>
      <c r="N151" s="28"/>
      <c r="O151" s="28"/>
    </row>
    <row r="152" spans="1:15" ht="15.75" customHeight="1">
      <c r="A152" s="28"/>
      <c r="B152" s="28"/>
      <c r="C152" s="28"/>
      <c r="D152" s="28"/>
      <c r="E152" s="28"/>
      <c r="F152" s="29"/>
      <c r="G152" s="29"/>
      <c r="H152" s="2212"/>
      <c r="I152" s="28"/>
      <c r="J152" s="28"/>
      <c r="K152" s="28"/>
      <c r="L152" s="28"/>
      <c r="M152" s="28"/>
      <c r="N152" s="28"/>
      <c r="O152" s="28"/>
    </row>
    <row r="153" spans="1:15" ht="15.75" customHeight="1">
      <c r="A153" s="28"/>
      <c r="B153" s="28"/>
      <c r="C153" s="28"/>
      <c r="D153" s="28"/>
      <c r="E153" s="28"/>
      <c r="F153" s="29"/>
      <c r="G153" s="29"/>
      <c r="H153" s="2212"/>
      <c r="I153" s="28"/>
      <c r="J153" s="28"/>
      <c r="K153" s="28"/>
      <c r="L153" s="28"/>
      <c r="M153" s="28"/>
      <c r="N153" s="28"/>
      <c r="O153" s="28"/>
    </row>
    <row r="154" spans="1:15" ht="15.75" customHeight="1">
      <c r="A154" s="28"/>
      <c r="B154" s="28"/>
      <c r="C154" s="28"/>
      <c r="D154" s="28"/>
      <c r="E154" s="28"/>
      <c r="F154" s="29"/>
      <c r="G154" s="29"/>
      <c r="H154" s="2212"/>
      <c r="I154" s="28"/>
      <c r="J154" s="28"/>
      <c r="K154" s="28"/>
      <c r="L154" s="28"/>
      <c r="M154" s="28"/>
      <c r="N154" s="28"/>
      <c r="O154" s="28"/>
    </row>
    <row r="155" spans="1:15" ht="15.75" customHeight="1">
      <c r="A155" s="28"/>
      <c r="B155" s="28"/>
      <c r="C155" s="28"/>
      <c r="D155" s="28"/>
      <c r="E155" s="28"/>
      <c r="F155" s="29"/>
      <c r="G155" s="29"/>
      <c r="H155" s="2212"/>
      <c r="I155" s="28"/>
      <c r="J155" s="28"/>
      <c r="K155" s="28"/>
      <c r="L155" s="28"/>
      <c r="M155" s="28"/>
      <c r="N155" s="28"/>
      <c r="O155" s="28"/>
    </row>
    <row r="156" spans="1:15" ht="15.75" customHeight="1">
      <c r="A156" s="28"/>
      <c r="B156" s="28"/>
      <c r="C156" s="28"/>
      <c r="D156" s="28"/>
      <c r="E156" s="28"/>
      <c r="F156" s="29"/>
      <c r="G156" s="29"/>
      <c r="H156" s="2212"/>
      <c r="I156" s="28"/>
      <c r="J156" s="28"/>
      <c r="K156" s="28"/>
      <c r="L156" s="28"/>
      <c r="M156" s="28"/>
      <c r="N156" s="28"/>
      <c r="O156" s="28"/>
    </row>
    <row r="157" spans="1:15" ht="15.75" customHeight="1">
      <c r="A157" s="28"/>
      <c r="B157" s="28"/>
      <c r="C157" s="28"/>
      <c r="D157" s="28"/>
      <c r="E157" s="28"/>
      <c r="F157" s="29"/>
      <c r="G157" s="29"/>
      <c r="H157" s="2212"/>
      <c r="I157" s="28"/>
      <c r="J157" s="28"/>
      <c r="K157" s="28"/>
      <c r="L157" s="28"/>
      <c r="M157" s="28"/>
      <c r="N157" s="28"/>
      <c r="O157" s="28"/>
    </row>
    <row r="158" spans="1:15" ht="15.75" customHeight="1">
      <c r="A158" s="28"/>
      <c r="B158" s="28"/>
      <c r="C158" s="28"/>
      <c r="D158" s="28"/>
      <c r="E158" s="28"/>
      <c r="F158" s="29"/>
      <c r="G158" s="29"/>
      <c r="H158" s="2212"/>
      <c r="I158" s="28"/>
      <c r="J158" s="28"/>
      <c r="K158" s="28"/>
      <c r="L158" s="28"/>
      <c r="M158" s="28"/>
      <c r="N158" s="28"/>
      <c r="O158" s="28"/>
    </row>
    <row r="159" spans="1:15" ht="15.75" customHeight="1">
      <c r="A159" s="28"/>
      <c r="B159" s="28"/>
      <c r="C159" s="28"/>
      <c r="D159" s="28"/>
      <c r="E159" s="28"/>
      <c r="F159" s="29"/>
      <c r="G159" s="29"/>
      <c r="H159" s="2212"/>
      <c r="I159" s="28"/>
      <c r="J159" s="28"/>
      <c r="K159" s="28"/>
      <c r="L159" s="28"/>
      <c r="M159" s="28"/>
      <c r="N159" s="28"/>
      <c r="O159" s="28"/>
    </row>
    <row r="160" spans="1:15" ht="15.75" customHeight="1">
      <c r="A160" s="28"/>
      <c r="B160" s="28"/>
      <c r="C160" s="28"/>
      <c r="D160" s="28"/>
      <c r="E160" s="28"/>
      <c r="F160" s="29"/>
      <c r="G160" s="29"/>
      <c r="H160" s="2212"/>
      <c r="I160" s="28"/>
      <c r="J160" s="28"/>
      <c r="K160" s="28"/>
      <c r="L160" s="28"/>
      <c r="M160" s="28"/>
      <c r="N160" s="28"/>
      <c r="O160" s="28"/>
    </row>
    <row r="161" spans="1:15" ht="15.75" customHeight="1">
      <c r="A161" s="28"/>
      <c r="B161" s="28"/>
      <c r="C161" s="28"/>
      <c r="D161" s="28"/>
      <c r="E161" s="28"/>
      <c r="F161" s="29"/>
      <c r="G161" s="29"/>
      <c r="H161" s="2212"/>
      <c r="I161" s="28"/>
      <c r="J161" s="28"/>
      <c r="K161" s="28"/>
      <c r="L161" s="28"/>
      <c r="M161" s="28"/>
      <c r="N161" s="28"/>
      <c r="O161" s="28"/>
    </row>
    <row r="162" spans="1:15" ht="15.75" customHeight="1">
      <c r="A162" s="28"/>
      <c r="B162" s="28"/>
      <c r="C162" s="28"/>
      <c r="D162" s="28"/>
      <c r="E162" s="28"/>
      <c r="F162" s="29"/>
      <c r="G162" s="29"/>
      <c r="H162" s="2212"/>
      <c r="I162" s="28"/>
      <c r="J162" s="28"/>
      <c r="K162" s="28"/>
      <c r="L162" s="28"/>
      <c r="M162" s="28"/>
      <c r="N162" s="28"/>
      <c r="O162" s="28"/>
    </row>
    <row r="163" spans="1:15" ht="15.75" customHeight="1">
      <c r="A163" s="28"/>
      <c r="B163" s="28"/>
      <c r="C163" s="28"/>
      <c r="D163" s="28"/>
      <c r="E163" s="28"/>
      <c r="F163" s="29"/>
      <c r="G163" s="29"/>
      <c r="H163" s="2212"/>
      <c r="I163" s="28"/>
      <c r="J163" s="28"/>
      <c r="K163" s="28"/>
      <c r="L163" s="28"/>
      <c r="M163" s="28"/>
      <c r="N163" s="28"/>
      <c r="O163" s="28"/>
    </row>
    <row r="164" spans="1:15" ht="15.75" customHeight="1">
      <c r="A164" s="28"/>
      <c r="B164" s="28"/>
      <c r="C164" s="28"/>
      <c r="D164" s="28"/>
      <c r="E164" s="28"/>
      <c r="F164" s="29"/>
      <c r="G164" s="29"/>
      <c r="H164" s="2212"/>
      <c r="I164" s="28"/>
      <c r="J164" s="28"/>
      <c r="K164" s="28"/>
      <c r="L164" s="28"/>
      <c r="M164" s="28"/>
      <c r="N164" s="28"/>
      <c r="O164" s="28"/>
    </row>
    <row r="165" spans="1:15" ht="15.75" customHeight="1">
      <c r="A165" s="28"/>
      <c r="B165" s="28"/>
      <c r="C165" s="28"/>
      <c r="D165" s="28"/>
      <c r="E165" s="28"/>
      <c r="F165" s="29"/>
      <c r="G165" s="29"/>
      <c r="H165" s="2212"/>
      <c r="I165" s="28"/>
      <c r="J165" s="28"/>
      <c r="K165" s="28"/>
      <c r="L165" s="28"/>
      <c r="M165" s="28"/>
      <c r="N165" s="28"/>
      <c r="O165" s="28"/>
    </row>
    <row r="166" spans="1:15" ht="15.75" customHeight="1">
      <c r="A166" s="28"/>
      <c r="B166" s="28"/>
      <c r="C166" s="28"/>
      <c r="D166" s="28"/>
      <c r="E166" s="28"/>
      <c r="F166" s="29"/>
      <c r="G166" s="29"/>
      <c r="H166" s="2212"/>
      <c r="I166" s="28"/>
      <c r="J166" s="28"/>
      <c r="K166" s="28"/>
      <c r="L166" s="28"/>
      <c r="M166" s="28"/>
      <c r="N166" s="28"/>
      <c r="O166" s="28"/>
    </row>
    <row r="167" spans="1:15" ht="15.75" customHeight="1">
      <c r="A167" s="28"/>
      <c r="B167" s="28"/>
      <c r="C167" s="28"/>
      <c r="D167" s="28"/>
      <c r="E167" s="28"/>
      <c r="F167" s="29"/>
      <c r="G167" s="29"/>
      <c r="H167" s="2212"/>
      <c r="I167" s="28"/>
      <c r="J167" s="28"/>
      <c r="K167" s="28"/>
      <c r="L167" s="28"/>
      <c r="M167" s="28"/>
      <c r="N167" s="28"/>
      <c r="O167" s="28"/>
    </row>
    <row r="168" spans="1:15" ht="15.75" customHeight="1">
      <c r="A168" s="28"/>
      <c r="B168" s="28"/>
      <c r="C168" s="28"/>
      <c r="D168" s="28"/>
      <c r="E168" s="28"/>
      <c r="F168" s="29"/>
      <c r="G168" s="29"/>
      <c r="H168" s="2212"/>
      <c r="I168" s="28"/>
      <c r="J168" s="28"/>
      <c r="K168" s="28"/>
      <c r="L168" s="28"/>
      <c r="M168" s="28"/>
      <c r="N168" s="28"/>
      <c r="O168" s="28"/>
    </row>
    <row r="169" spans="1:15" ht="15.75" customHeight="1">
      <c r="A169" s="28"/>
      <c r="B169" s="28"/>
      <c r="C169" s="28"/>
      <c r="D169" s="28"/>
      <c r="E169" s="28"/>
      <c r="F169" s="29"/>
      <c r="G169" s="29"/>
      <c r="H169" s="2212"/>
      <c r="I169" s="28"/>
      <c r="J169" s="28"/>
      <c r="K169" s="28"/>
      <c r="L169" s="28"/>
      <c r="M169" s="28"/>
      <c r="N169" s="28"/>
      <c r="O169" s="28"/>
    </row>
    <row r="170" spans="1:15" ht="15.75" customHeight="1">
      <c r="A170" s="28"/>
      <c r="B170" s="28"/>
      <c r="C170" s="28"/>
      <c r="D170" s="28"/>
      <c r="E170" s="28"/>
      <c r="F170" s="29"/>
      <c r="G170" s="29"/>
      <c r="H170" s="2212"/>
      <c r="I170" s="28"/>
      <c r="J170" s="28"/>
      <c r="K170" s="28"/>
      <c r="L170" s="28"/>
      <c r="M170" s="28"/>
      <c r="N170" s="28"/>
      <c r="O170" s="28"/>
    </row>
    <row r="171" spans="1:15" ht="15.75" customHeight="1">
      <c r="A171" s="28"/>
      <c r="B171" s="28"/>
      <c r="C171" s="28"/>
      <c r="D171" s="28"/>
      <c r="E171" s="28"/>
      <c r="F171" s="29"/>
      <c r="G171" s="29"/>
      <c r="H171" s="2212"/>
      <c r="I171" s="28"/>
      <c r="J171" s="28"/>
      <c r="K171" s="28"/>
      <c r="L171" s="28"/>
      <c r="M171" s="28"/>
      <c r="N171" s="28"/>
      <c r="O171" s="28"/>
    </row>
    <row r="172" spans="1:15" ht="15.75" customHeight="1">
      <c r="A172" s="28"/>
      <c r="B172" s="28"/>
      <c r="C172" s="28"/>
      <c r="D172" s="28"/>
      <c r="E172" s="28"/>
      <c r="F172" s="29"/>
      <c r="G172" s="29"/>
      <c r="H172" s="2212"/>
      <c r="I172" s="28"/>
      <c r="J172" s="28"/>
      <c r="K172" s="28"/>
      <c r="L172" s="28"/>
      <c r="M172" s="28"/>
      <c r="N172" s="28"/>
      <c r="O172" s="28"/>
    </row>
    <row r="173" spans="1:15" ht="15.75" customHeight="1">
      <c r="A173" s="28"/>
      <c r="B173" s="28"/>
      <c r="C173" s="28"/>
      <c r="D173" s="28"/>
      <c r="E173" s="28"/>
      <c r="F173" s="29"/>
      <c r="G173" s="29"/>
      <c r="H173" s="2212"/>
      <c r="I173" s="28"/>
      <c r="J173" s="28"/>
      <c r="K173" s="28"/>
      <c r="L173" s="28"/>
      <c r="M173" s="28"/>
      <c r="N173" s="28"/>
      <c r="O173" s="28"/>
    </row>
    <row r="174" spans="1:15" ht="15.75" customHeight="1">
      <c r="A174" s="28"/>
      <c r="B174" s="28"/>
      <c r="C174" s="28"/>
      <c r="D174" s="28"/>
      <c r="E174" s="28"/>
      <c r="F174" s="29"/>
      <c r="G174" s="29"/>
      <c r="H174" s="2212"/>
      <c r="I174" s="28"/>
      <c r="J174" s="28"/>
      <c r="K174" s="28"/>
      <c r="L174" s="28"/>
      <c r="M174" s="28"/>
      <c r="N174" s="28"/>
      <c r="O174" s="28"/>
    </row>
    <row r="175" spans="1:15" ht="15.75" customHeight="1">
      <c r="A175" s="28"/>
      <c r="B175" s="28"/>
      <c r="C175" s="28"/>
      <c r="D175" s="28"/>
      <c r="E175" s="28"/>
      <c r="F175" s="29"/>
      <c r="G175" s="29"/>
      <c r="H175" s="2212"/>
      <c r="I175" s="28"/>
      <c r="J175" s="28"/>
      <c r="K175" s="28"/>
      <c r="L175" s="28"/>
      <c r="M175" s="28"/>
      <c r="N175" s="28"/>
      <c r="O175" s="28"/>
    </row>
    <row r="176" spans="1:15" ht="15.75" customHeight="1">
      <c r="A176" s="28"/>
      <c r="B176" s="28"/>
      <c r="C176" s="28"/>
      <c r="D176" s="28"/>
      <c r="E176" s="28"/>
      <c r="F176" s="29"/>
      <c r="G176" s="29"/>
      <c r="H176" s="2212"/>
      <c r="I176" s="28"/>
      <c r="J176" s="28"/>
      <c r="K176" s="28"/>
      <c r="L176" s="28"/>
      <c r="M176" s="28"/>
      <c r="N176" s="28"/>
      <c r="O176" s="28"/>
    </row>
    <row r="177" spans="1:15" ht="15.75" customHeight="1">
      <c r="A177" s="28"/>
      <c r="B177" s="28"/>
      <c r="C177" s="28"/>
      <c r="D177" s="28"/>
      <c r="E177" s="28"/>
      <c r="F177" s="29"/>
      <c r="G177" s="29"/>
      <c r="H177" s="2212"/>
      <c r="I177" s="28"/>
      <c r="J177" s="28"/>
      <c r="K177" s="28"/>
      <c r="L177" s="28"/>
      <c r="M177" s="28"/>
      <c r="N177" s="28"/>
      <c r="O177" s="28"/>
    </row>
    <row r="178" spans="1:15" ht="15.75" customHeight="1">
      <c r="A178" s="28"/>
      <c r="B178" s="28"/>
      <c r="C178" s="28"/>
      <c r="D178" s="28"/>
      <c r="E178" s="28"/>
      <c r="F178" s="29"/>
      <c r="G178" s="29"/>
      <c r="H178" s="2212"/>
      <c r="I178" s="28"/>
      <c r="J178" s="28"/>
      <c r="K178" s="28"/>
      <c r="L178" s="28"/>
      <c r="M178" s="28"/>
      <c r="N178" s="28"/>
      <c r="O178" s="28"/>
    </row>
    <row r="179" spans="1:15" ht="15.75" customHeight="1">
      <c r="A179" s="28"/>
      <c r="B179" s="28"/>
      <c r="C179" s="28"/>
      <c r="D179" s="28"/>
      <c r="E179" s="28"/>
      <c r="F179" s="29"/>
      <c r="G179" s="29"/>
      <c r="H179" s="2212"/>
      <c r="I179" s="28"/>
      <c r="J179" s="28"/>
      <c r="K179" s="28"/>
      <c r="L179" s="28"/>
      <c r="M179" s="28"/>
      <c r="N179" s="28"/>
      <c r="O179" s="28"/>
    </row>
    <row r="180" spans="1:15" ht="15.75" customHeight="1">
      <c r="A180" s="28"/>
      <c r="B180" s="28"/>
      <c r="C180" s="28"/>
      <c r="D180" s="28"/>
      <c r="E180" s="28"/>
      <c r="F180" s="29"/>
      <c r="G180" s="29"/>
      <c r="H180" s="2212"/>
      <c r="I180" s="28"/>
      <c r="J180" s="28"/>
      <c r="K180" s="28"/>
      <c r="L180" s="28"/>
      <c r="M180" s="28"/>
      <c r="N180" s="28"/>
      <c r="O180" s="28"/>
    </row>
    <row r="181" spans="1:15" ht="15.75" customHeight="1">
      <c r="A181" s="28"/>
      <c r="B181" s="28"/>
      <c r="C181" s="28"/>
      <c r="D181" s="28"/>
      <c r="E181" s="28"/>
      <c r="F181" s="29"/>
      <c r="G181" s="29"/>
      <c r="H181" s="2212"/>
      <c r="I181" s="28"/>
      <c r="J181" s="28"/>
      <c r="K181" s="28"/>
      <c r="L181" s="28"/>
      <c r="M181" s="28"/>
      <c r="N181" s="28"/>
      <c r="O181" s="28"/>
    </row>
    <row r="182" spans="1:15" ht="15.75" customHeight="1">
      <c r="A182" s="28"/>
      <c r="B182" s="28"/>
      <c r="C182" s="28"/>
      <c r="D182" s="28"/>
      <c r="E182" s="28"/>
      <c r="F182" s="29"/>
      <c r="G182" s="29"/>
      <c r="H182" s="2212"/>
      <c r="I182" s="28"/>
      <c r="J182" s="28"/>
      <c r="K182" s="28"/>
      <c r="L182" s="28"/>
      <c r="M182" s="28"/>
      <c r="N182" s="28"/>
      <c r="O182" s="28"/>
    </row>
    <row r="183" spans="1:15" ht="15.75" customHeight="1">
      <c r="A183" s="28"/>
      <c r="B183" s="28"/>
      <c r="C183" s="28"/>
      <c r="D183" s="28"/>
      <c r="E183" s="28"/>
      <c r="F183" s="29"/>
      <c r="G183" s="29"/>
      <c r="H183" s="2212"/>
      <c r="I183" s="28"/>
      <c r="J183" s="28"/>
      <c r="K183" s="28"/>
      <c r="L183" s="28"/>
      <c r="M183" s="28"/>
      <c r="N183" s="28"/>
      <c r="O183" s="28"/>
    </row>
    <row r="184" spans="1:15" ht="15.75" customHeight="1">
      <c r="A184" s="28"/>
      <c r="B184" s="28"/>
      <c r="C184" s="28"/>
      <c r="D184" s="28"/>
      <c r="E184" s="28"/>
      <c r="F184" s="29"/>
      <c r="G184" s="29"/>
      <c r="H184" s="2212"/>
      <c r="I184" s="28"/>
      <c r="J184" s="28"/>
      <c r="K184" s="28"/>
      <c r="L184" s="28"/>
      <c r="M184" s="28"/>
      <c r="N184" s="28"/>
      <c r="O184" s="28"/>
    </row>
    <row r="185" spans="1:15" ht="15.75" customHeight="1">
      <c r="A185" s="28"/>
      <c r="B185" s="28"/>
      <c r="C185" s="28"/>
      <c r="D185" s="28"/>
      <c r="E185" s="28"/>
      <c r="F185" s="29"/>
      <c r="G185" s="29"/>
      <c r="H185" s="2212"/>
      <c r="I185" s="28"/>
      <c r="J185" s="28"/>
      <c r="K185" s="28"/>
      <c r="L185" s="28"/>
      <c r="M185" s="28"/>
      <c r="N185" s="28"/>
      <c r="O185" s="28"/>
    </row>
    <row r="186" spans="1:15" ht="15.75" customHeight="1">
      <c r="A186" s="28"/>
      <c r="B186" s="28"/>
      <c r="C186" s="28"/>
      <c r="D186" s="28"/>
      <c r="E186" s="28"/>
      <c r="F186" s="29"/>
      <c r="G186" s="29"/>
      <c r="H186" s="2212"/>
      <c r="I186" s="28"/>
      <c r="J186" s="28"/>
      <c r="K186" s="28"/>
      <c r="L186" s="28"/>
      <c r="M186" s="28"/>
      <c r="N186" s="28"/>
      <c r="O186" s="28"/>
    </row>
    <row r="187" spans="1:15" ht="15.75" customHeight="1">
      <c r="A187" s="28"/>
      <c r="B187" s="28"/>
      <c r="C187" s="28"/>
      <c r="D187" s="28"/>
      <c r="E187" s="28"/>
      <c r="F187" s="29"/>
      <c r="G187" s="29"/>
      <c r="H187" s="2212"/>
      <c r="I187" s="28"/>
      <c r="J187" s="28"/>
      <c r="K187" s="28"/>
      <c r="L187" s="28"/>
      <c r="M187" s="28"/>
      <c r="N187" s="28"/>
      <c r="O187" s="28"/>
    </row>
    <row r="188" spans="1:15" ht="15.75" customHeight="1">
      <c r="A188" s="28"/>
      <c r="B188" s="28"/>
      <c r="C188" s="28"/>
      <c r="D188" s="28"/>
      <c r="E188" s="28"/>
      <c r="F188" s="29"/>
      <c r="G188" s="29"/>
      <c r="H188" s="2212"/>
      <c r="I188" s="28"/>
      <c r="J188" s="28"/>
      <c r="K188" s="28"/>
      <c r="L188" s="28"/>
      <c r="M188" s="28"/>
      <c r="N188" s="28"/>
      <c r="O188" s="28"/>
    </row>
    <row r="189" spans="1:15" ht="15.75" customHeight="1">
      <c r="A189" s="28"/>
      <c r="B189" s="28"/>
      <c r="C189" s="28"/>
      <c r="D189" s="28"/>
      <c r="E189" s="28"/>
      <c r="F189" s="29"/>
      <c r="G189" s="29"/>
      <c r="H189" s="2212"/>
      <c r="I189" s="28"/>
      <c r="J189" s="28"/>
      <c r="K189" s="28"/>
      <c r="L189" s="28"/>
      <c r="M189" s="28"/>
      <c r="N189" s="28"/>
      <c r="O189" s="28"/>
    </row>
    <row r="190" spans="1:15" ht="15.75" customHeight="1">
      <c r="A190" s="28"/>
      <c r="B190" s="28"/>
      <c r="C190" s="28"/>
      <c r="D190" s="28"/>
      <c r="E190" s="28"/>
      <c r="F190" s="29"/>
      <c r="G190" s="29"/>
      <c r="H190" s="2212"/>
      <c r="I190" s="28"/>
      <c r="J190" s="28"/>
      <c r="K190" s="28"/>
      <c r="L190" s="28"/>
      <c r="M190" s="28"/>
      <c r="N190" s="28"/>
      <c r="O190" s="28"/>
    </row>
    <row r="191" spans="1:15" ht="15.75" customHeight="1">
      <c r="A191" s="28"/>
      <c r="B191" s="28"/>
      <c r="C191" s="28"/>
      <c r="D191" s="28"/>
      <c r="E191" s="28"/>
      <c r="F191" s="29"/>
      <c r="G191" s="29"/>
      <c r="H191" s="2212"/>
      <c r="I191" s="28"/>
      <c r="J191" s="28"/>
      <c r="K191" s="28"/>
      <c r="L191" s="28"/>
      <c r="M191" s="28"/>
      <c r="N191" s="28"/>
      <c r="O191" s="28"/>
    </row>
    <row r="192" spans="1:15" ht="15.75" customHeight="1">
      <c r="A192" s="28"/>
      <c r="B192" s="28"/>
      <c r="C192" s="28"/>
      <c r="D192" s="28"/>
      <c r="E192" s="28"/>
      <c r="F192" s="29"/>
      <c r="G192" s="29"/>
      <c r="H192" s="2212"/>
      <c r="I192" s="28"/>
      <c r="J192" s="28"/>
      <c r="K192" s="28"/>
      <c r="L192" s="28"/>
      <c r="M192" s="28"/>
      <c r="N192" s="28"/>
      <c r="O192" s="28"/>
    </row>
    <row r="193" spans="1:15" ht="15.75" customHeight="1">
      <c r="A193" s="28"/>
      <c r="B193" s="28"/>
      <c r="C193" s="28"/>
      <c r="D193" s="28"/>
      <c r="E193" s="28"/>
      <c r="F193" s="29"/>
      <c r="G193" s="29"/>
      <c r="H193" s="2212"/>
      <c r="I193" s="28"/>
      <c r="J193" s="28"/>
      <c r="K193" s="28"/>
      <c r="L193" s="28"/>
      <c r="M193" s="28"/>
      <c r="N193" s="28"/>
      <c r="O193" s="28"/>
    </row>
    <row r="194" spans="1:15" ht="15.75" customHeight="1">
      <c r="A194" s="28"/>
      <c r="B194" s="28"/>
      <c r="C194" s="28"/>
      <c r="D194" s="28"/>
      <c r="E194" s="28"/>
      <c r="F194" s="29"/>
      <c r="G194" s="29"/>
      <c r="H194" s="2212"/>
      <c r="I194" s="28"/>
      <c r="J194" s="28"/>
      <c r="K194" s="28"/>
      <c r="L194" s="28"/>
      <c r="M194" s="28"/>
      <c r="N194" s="28"/>
      <c r="O194" s="28"/>
    </row>
    <row r="195" spans="1:15" ht="15.75" customHeight="1">
      <c r="A195" s="28"/>
      <c r="B195" s="28"/>
      <c r="C195" s="28"/>
      <c r="D195" s="28"/>
      <c r="E195" s="28"/>
      <c r="F195" s="29"/>
      <c r="G195" s="29"/>
      <c r="H195" s="2212"/>
      <c r="I195" s="28"/>
      <c r="J195" s="28"/>
      <c r="K195" s="28"/>
      <c r="L195" s="28"/>
      <c r="M195" s="28"/>
      <c r="N195" s="28"/>
      <c r="O195" s="28"/>
    </row>
    <row r="196" spans="1:15" ht="15.75" customHeight="1">
      <c r="A196" s="28"/>
      <c r="B196" s="28"/>
      <c r="C196" s="28"/>
      <c r="D196" s="28"/>
      <c r="E196" s="28"/>
      <c r="F196" s="29"/>
      <c r="G196" s="29"/>
      <c r="H196" s="2212"/>
      <c r="I196" s="28"/>
      <c r="J196" s="28"/>
      <c r="K196" s="28"/>
      <c r="L196" s="28"/>
      <c r="M196" s="28"/>
      <c r="N196" s="28"/>
      <c r="O196" s="28"/>
    </row>
    <row r="197" spans="1:15" ht="15.75" customHeight="1">
      <c r="A197" s="28"/>
      <c r="B197" s="28"/>
      <c r="C197" s="28"/>
      <c r="D197" s="28"/>
      <c r="E197" s="28"/>
      <c r="F197" s="29"/>
      <c r="G197" s="29"/>
      <c r="H197" s="2212"/>
      <c r="I197" s="28"/>
      <c r="J197" s="28"/>
      <c r="K197" s="28"/>
      <c r="L197" s="28"/>
      <c r="M197" s="28"/>
      <c r="N197" s="28"/>
      <c r="O197" s="28"/>
    </row>
    <row r="198" spans="1:15" ht="15.75" customHeight="1">
      <c r="A198" s="28"/>
      <c r="B198" s="28"/>
      <c r="C198" s="28"/>
      <c r="D198" s="28"/>
      <c r="E198" s="28"/>
      <c r="F198" s="29"/>
      <c r="G198" s="29"/>
      <c r="H198" s="2212"/>
      <c r="I198" s="28"/>
      <c r="J198" s="28"/>
      <c r="K198" s="28"/>
      <c r="L198" s="28"/>
      <c r="M198" s="28"/>
      <c r="N198" s="28"/>
      <c r="O198" s="28"/>
    </row>
    <row r="199" spans="1:15" ht="15.75" customHeight="1">
      <c r="A199" s="28"/>
      <c r="B199" s="28"/>
      <c r="C199" s="28"/>
      <c r="D199" s="28"/>
      <c r="E199" s="28"/>
      <c r="F199" s="29"/>
      <c r="G199" s="29"/>
      <c r="H199" s="2212"/>
      <c r="I199" s="28"/>
      <c r="J199" s="28"/>
      <c r="K199" s="28"/>
      <c r="L199" s="28"/>
      <c r="M199" s="28"/>
      <c r="N199" s="28"/>
      <c r="O199" s="28"/>
    </row>
    <row r="200" spans="1:15" ht="15.75" customHeight="1">
      <c r="A200" s="28"/>
      <c r="B200" s="28"/>
      <c r="C200" s="28"/>
      <c r="D200" s="28"/>
      <c r="E200" s="28"/>
      <c r="F200" s="29"/>
      <c r="G200" s="29"/>
      <c r="H200" s="2212"/>
      <c r="I200" s="28"/>
      <c r="J200" s="28"/>
      <c r="K200" s="28"/>
      <c r="L200" s="28"/>
      <c r="M200" s="28"/>
      <c r="N200" s="28"/>
      <c r="O200" s="28"/>
    </row>
    <row r="201" spans="1:15" ht="15.75" customHeight="1">
      <c r="A201" s="28"/>
      <c r="B201" s="28"/>
      <c r="C201" s="28"/>
      <c r="D201" s="28"/>
      <c r="E201" s="28"/>
      <c r="F201" s="29"/>
      <c r="G201" s="29"/>
      <c r="H201" s="2212"/>
      <c r="I201" s="28"/>
      <c r="J201" s="28"/>
      <c r="K201" s="28"/>
      <c r="L201" s="28"/>
      <c r="M201" s="28"/>
      <c r="N201" s="28"/>
      <c r="O201" s="28"/>
    </row>
    <row r="202" spans="1:15" ht="15.75" customHeight="1">
      <c r="A202" s="28"/>
      <c r="B202" s="28"/>
      <c r="C202" s="28"/>
      <c r="D202" s="28"/>
      <c r="E202" s="28"/>
      <c r="F202" s="29"/>
      <c r="G202" s="29"/>
      <c r="H202" s="2212"/>
      <c r="I202" s="28"/>
      <c r="J202" s="28"/>
      <c r="K202" s="28"/>
      <c r="L202" s="28"/>
      <c r="M202" s="28"/>
      <c r="N202" s="28"/>
      <c r="O202" s="28"/>
    </row>
    <row r="203" spans="1:15" ht="15.75" customHeight="1">
      <c r="A203" s="28"/>
      <c r="B203" s="28"/>
      <c r="C203" s="28"/>
      <c r="D203" s="28"/>
      <c r="E203" s="28"/>
      <c r="F203" s="29"/>
      <c r="G203" s="29"/>
      <c r="H203" s="2212"/>
      <c r="I203" s="28"/>
      <c r="J203" s="28"/>
      <c r="K203" s="28"/>
      <c r="L203" s="28"/>
      <c r="M203" s="28"/>
      <c r="N203" s="28"/>
      <c r="O203" s="28"/>
    </row>
    <row r="204" spans="1:15" ht="15.75" customHeight="1">
      <c r="A204" s="28"/>
      <c r="B204" s="28"/>
      <c r="C204" s="28"/>
      <c r="D204" s="28"/>
      <c r="E204" s="28"/>
      <c r="F204" s="29"/>
      <c r="G204" s="29"/>
      <c r="H204" s="2212"/>
      <c r="I204" s="28"/>
      <c r="J204" s="28"/>
      <c r="K204" s="28"/>
      <c r="L204" s="28"/>
      <c r="M204" s="28"/>
      <c r="N204" s="28"/>
      <c r="O204" s="28"/>
    </row>
    <row r="205" spans="1:15" ht="15.75" customHeight="1">
      <c r="A205" s="28"/>
      <c r="B205" s="28"/>
      <c r="C205" s="28"/>
      <c r="D205" s="28"/>
      <c r="E205" s="28"/>
      <c r="F205" s="29"/>
      <c r="G205" s="29"/>
      <c r="H205" s="2212"/>
      <c r="I205" s="28"/>
      <c r="J205" s="28"/>
      <c r="K205" s="28"/>
      <c r="L205" s="28"/>
      <c r="M205" s="28"/>
      <c r="N205" s="28"/>
      <c r="O205" s="28"/>
    </row>
    <row r="206" spans="1:15" ht="15.75" customHeight="1">
      <c r="A206" s="28"/>
      <c r="B206" s="28"/>
      <c r="C206" s="28"/>
      <c r="D206" s="28"/>
      <c r="E206" s="28"/>
      <c r="F206" s="29"/>
      <c r="G206" s="29"/>
      <c r="H206" s="2212"/>
      <c r="I206" s="28"/>
      <c r="J206" s="28"/>
      <c r="K206" s="28"/>
      <c r="L206" s="28"/>
      <c r="M206" s="28"/>
      <c r="N206" s="28"/>
      <c r="O206" s="28"/>
    </row>
    <row r="207" spans="1:15" ht="15.75" customHeight="1">
      <c r="A207" s="28"/>
      <c r="B207" s="28"/>
      <c r="C207" s="28"/>
      <c r="D207" s="28"/>
      <c r="E207" s="28"/>
      <c r="F207" s="29"/>
      <c r="G207" s="29"/>
      <c r="H207" s="2212"/>
      <c r="I207" s="28"/>
      <c r="J207" s="28"/>
      <c r="K207" s="28"/>
      <c r="L207" s="28"/>
      <c r="M207" s="28"/>
      <c r="N207" s="28"/>
      <c r="O207" s="28"/>
    </row>
    <row r="208" spans="1:15" ht="15.75" customHeight="1">
      <c r="A208" s="28"/>
      <c r="B208" s="28"/>
      <c r="C208" s="28"/>
      <c r="D208" s="28"/>
      <c r="E208" s="28"/>
      <c r="F208" s="29"/>
      <c r="G208" s="29"/>
      <c r="H208" s="2212"/>
      <c r="I208" s="28"/>
      <c r="J208" s="28"/>
      <c r="K208" s="28"/>
      <c r="L208" s="28"/>
      <c r="M208" s="28"/>
      <c r="N208" s="28"/>
      <c r="O208" s="28"/>
    </row>
    <row r="209" spans="1:15" ht="15.75" customHeight="1">
      <c r="A209" s="28"/>
      <c r="B209" s="28"/>
      <c r="C209" s="28"/>
      <c r="D209" s="28"/>
      <c r="E209" s="28"/>
      <c r="F209" s="29"/>
      <c r="G209" s="29"/>
      <c r="H209" s="2212"/>
      <c r="I209" s="28"/>
      <c r="J209" s="28"/>
      <c r="K209" s="28"/>
      <c r="L209" s="28"/>
      <c r="M209" s="28"/>
      <c r="N209" s="28"/>
      <c r="O209" s="28"/>
    </row>
    <row r="210" spans="1:15" ht="15.75" customHeight="1">
      <c r="A210" s="28"/>
      <c r="B210" s="28"/>
      <c r="C210" s="28"/>
      <c r="D210" s="28"/>
      <c r="E210" s="28"/>
      <c r="F210" s="29"/>
      <c r="G210" s="29"/>
      <c r="H210" s="2212"/>
      <c r="I210" s="28"/>
      <c r="J210" s="28"/>
      <c r="K210" s="28"/>
      <c r="L210" s="28"/>
      <c r="M210" s="28"/>
      <c r="N210" s="28"/>
      <c r="O210" s="28"/>
    </row>
    <row r="211" spans="1:15" ht="15.75" customHeight="1">
      <c r="A211" s="28"/>
      <c r="B211" s="28"/>
      <c r="C211" s="28"/>
      <c r="D211" s="28"/>
      <c r="E211" s="28"/>
      <c r="F211" s="29"/>
      <c r="G211" s="29"/>
      <c r="H211" s="2212"/>
      <c r="I211" s="28"/>
      <c r="J211" s="28"/>
      <c r="K211" s="28"/>
      <c r="L211" s="28"/>
      <c r="M211" s="28"/>
      <c r="N211" s="28"/>
      <c r="O211" s="28"/>
    </row>
    <row r="212" spans="1:15" ht="15.75" customHeight="1">
      <c r="A212" s="28"/>
      <c r="B212" s="28"/>
      <c r="C212" s="28"/>
      <c r="D212" s="28"/>
      <c r="E212" s="28"/>
      <c r="F212" s="29"/>
      <c r="G212" s="29"/>
      <c r="H212" s="2212"/>
      <c r="I212" s="28"/>
      <c r="J212" s="28"/>
      <c r="K212" s="28"/>
      <c r="L212" s="28"/>
      <c r="M212" s="28"/>
      <c r="N212" s="28"/>
      <c r="O212" s="28"/>
    </row>
    <row r="213" spans="1:15" ht="15.75" customHeight="1">
      <c r="A213" s="28"/>
      <c r="B213" s="28"/>
      <c r="C213" s="28"/>
      <c r="D213" s="28"/>
      <c r="E213" s="28"/>
      <c r="F213" s="29"/>
      <c r="G213" s="29"/>
      <c r="H213" s="2212"/>
      <c r="I213" s="28"/>
      <c r="J213" s="28"/>
      <c r="K213" s="28"/>
      <c r="L213" s="28"/>
      <c r="M213" s="28"/>
      <c r="N213" s="28"/>
      <c r="O213" s="28"/>
    </row>
    <row r="214" spans="1:15" ht="15.75" customHeight="1">
      <c r="A214" s="28"/>
      <c r="B214" s="28"/>
      <c r="C214" s="28"/>
      <c r="D214" s="28"/>
      <c r="E214" s="28"/>
      <c r="F214" s="29"/>
      <c r="G214" s="29"/>
      <c r="H214" s="2212"/>
      <c r="I214" s="28"/>
      <c r="J214" s="28"/>
      <c r="K214" s="28"/>
      <c r="L214" s="28"/>
      <c r="M214" s="28"/>
      <c r="N214" s="28"/>
      <c r="O214" s="28"/>
    </row>
    <row r="215" spans="1:15" ht="15.75" customHeight="1">
      <c r="A215" s="28"/>
      <c r="B215" s="28"/>
      <c r="C215" s="28"/>
      <c r="D215" s="28"/>
      <c r="E215" s="28"/>
      <c r="F215" s="29"/>
      <c r="G215" s="29"/>
      <c r="H215" s="2212"/>
      <c r="I215" s="28"/>
      <c r="J215" s="28"/>
      <c r="K215" s="28"/>
      <c r="L215" s="28"/>
      <c r="M215" s="28"/>
      <c r="N215" s="28"/>
      <c r="O215" s="28"/>
    </row>
    <row r="216" spans="1:15" ht="15.75" customHeight="1">
      <c r="A216" s="28"/>
      <c r="B216" s="28"/>
      <c r="C216" s="28"/>
      <c r="D216" s="28"/>
      <c r="E216" s="28"/>
      <c r="F216" s="29"/>
      <c r="G216" s="29"/>
      <c r="H216" s="2212"/>
      <c r="I216" s="28"/>
      <c r="J216" s="28"/>
      <c r="K216" s="28"/>
      <c r="L216" s="28"/>
      <c r="M216" s="28"/>
      <c r="N216" s="28"/>
      <c r="O216" s="28"/>
    </row>
    <row r="217" spans="1:15" ht="15.75" customHeight="1">
      <c r="A217" s="28"/>
      <c r="B217" s="28"/>
      <c r="C217" s="28"/>
      <c r="D217" s="28"/>
      <c r="E217" s="28"/>
      <c r="F217" s="29"/>
      <c r="G217" s="29"/>
      <c r="H217" s="2212"/>
      <c r="I217" s="28"/>
      <c r="J217" s="28"/>
      <c r="K217" s="28"/>
      <c r="L217" s="28"/>
      <c r="M217" s="28"/>
      <c r="N217" s="28"/>
      <c r="O217" s="28"/>
    </row>
    <row r="218" spans="1:15" ht="15.75" customHeight="1">
      <c r="A218" s="28"/>
      <c r="B218" s="28"/>
      <c r="C218" s="28"/>
      <c r="D218" s="28"/>
      <c r="E218" s="28"/>
      <c r="F218" s="29"/>
      <c r="G218" s="29"/>
      <c r="H218" s="2212"/>
      <c r="I218" s="28"/>
      <c r="J218" s="28"/>
      <c r="K218" s="28"/>
      <c r="L218" s="28"/>
      <c r="M218" s="28"/>
      <c r="N218" s="28"/>
      <c r="O218" s="28"/>
    </row>
    <row r="219" spans="1:15" ht="15.75" customHeight="1">
      <c r="A219" s="28"/>
      <c r="B219" s="28"/>
      <c r="C219" s="28"/>
      <c r="D219" s="28"/>
      <c r="E219" s="28"/>
      <c r="F219" s="29"/>
      <c r="G219" s="29"/>
      <c r="H219" s="2212"/>
      <c r="I219" s="28"/>
      <c r="J219" s="28"/>
      <c r="K219" s="28"/>
      <c r="L219" s="28"/>
      <c r="M219" s="28"/>
      <c r="N219" s="28"/>
      <c r="O219" s="28"/>
    </row>
    <row r="220" spans="1:15" ht="15.75" customHeight="1">
      <c r="A220" s="28"/>
      <c r="B220" s="28"/>
      <c r="C220" s="28"/>
      <c r="D220" s="28"/>
      <c r="E220" s="28"/>
      <c r="F220" s="29"/>
      <c r="G220" s="29"/>
      <c r="H220" s="2212"/>
      <c r="I220" s="28"/>
      <c r="J220" s="28"/>
      <c r="K220" s="28"/>
      <c r="L220" s="28"/>
      <c r="M220" s="28"/>
      <c r="N220" s="28"/>
      <c r="O220" s="28"/>
    </row>
    <row r="221" spans="1:15" ht="15.75" customHeight="1">
      <c r="A221" s="28"/>
      <c r="B221" s="28"/>
      <c r="C221" s="28"/>
      <c r="D221" s="28"/>
      <c r="E221" s="28"/>
      <c r="F221" s="29"/>
      <c r="G221" s="29"/>
      <c r="H221" s="2212"/>
      <c r="I221" s="28"/>
      <c r="J221" s="28"/>
      <c r="K221" s="28"/>
      <c r="L221" s="28"/>
      <c r="M221" s="28"/>
      <c r="N221" s="28"/>
      <c r="O221" s="28"/>
    </row>
    <row r="222" spans="1:15" ht="15.75" customHeight="1">
      <c r="A222" s="28"/>
      <c r="B222" s="28"/>
      <c r="C222" s="28"/>
      <c r="D222" s="28"/>
      <c r="E222" s="28"/>
      <c r="F222" s="29"/>
      <c r="G222" s="29"/>
      <c r="H222" s="2212"/>
      <c r="I222" s="28"/>
      <c r="J222" s="28"/>
      <c r="K222" s="28"/>
      <c r="L222" s="28"/>
      <c r="M222" s="28"/>
      <c r="N222" s="28"/>
      <c r="O222" s="28"/>
    </row>
    <row r="223" spans="1:15" ht="15.75" customHeight="1">
      <c r="A223" s="28"/>
      <c r="B223" s="28"/>
      <c r="C223" s="28"/>
      <c r="D223" s="28"/>
      <c r="E223" s="28"/>
      <c r="F223" s="29"/>
      <c r="G223" s="29"/>
      <c r="H223" s="2212"/>
      <c r="I223" s="28"/>
      <c r="J223" s="28"/>
      <c r="K223" s="28"/>
      <c r="L223" s="28"/>
      <c r="M223" s="28"/>
      <c r="N223" s="28"/>
      <c r="O223" s="28"/>
    </row>
    <row r="224" spans="1:15" ht="15.75" customHeight="1">
      <c r="A224" s="28"/>
      <c r="B224" s="28"/>
      <c r="C224" s="28"/>
      <c r="D224" s="28"/>
      <c r="E224" s="28"/>
      <c r="F224" s="29"/>
      <c r="G224" s="29"/>
      <c r="H224" s="2212"/>
      <c r="I224" s="28"/>
      <c r="J224" s="28"/>
      <c r="K224" s="28"/>
      <c r="L224" s="28"/>
      <c r="M224" s="28"/>
      <c r="N224" s="28"/>
      <c r="O224" s="28"/>
    </row>
    <row r="225" spans="1:15" ht="15.75" customHeight="1">
      <c r="A225" s="28"/>
      <c r="B225" s="28"/>
      <c r="C225" s="28"/>
      <c r="D225" s="28"/>
      <c r="E225" s="28"/>
      <c r="F225" s="29"/>
      <c r="G225" s="29"/>
      <c r="H225" s="2212"/>
      <c r="I225" s="28"/>
      <c r="J225" s="28"/>
      <c r="K225" s="28"/>
      <c r="L225" s="28"/>
      <c r="M225" s="28"/>
      <c r="N225" s="28"/>
      <c r="O225" s="28"/>
    </row>
    <row r="226" spans="1:15" ht="15.75" customHeight="1">
      <c r="A226" s="28"/>
      <c r="B226" s="28"/>
      <c r="C226" s="28"/>
      <c r="D226" s="28"/>
      <c r="E226" s="28"/>
      <c r="F226" s="29"/>
      <c r="G226" s="29"/>
      <c r="H226" s="2212"/>
      <c r="I226" s="28"/>
      <c r="J226" s="28"/>
      <c r="K226" s="28"/>
      <c r="L226" s="28"/>
      <c r="M226" s="28"/>
      <c r="N226" s="28"/>
      <c r="O226" s="28"/>
    </row>
    <row r="227" spans="1:15" ht="15.75" customHeight="1">
      <c r="A227" s="28"/>
      <c r="B227" s="28"/>
      <c r="C227" s="28"/>
      <c r="D227" s="28"/>
      <c r="E227" s="28"/>
      <c r="F227" s="29"/>
      <c r="G227" s="29"/>
      <c r="H227" s="2212"/>
      <c r="I227" s="28"/>
      <c r="J227" s="28"/>
      <c r="K227" s="28"/>
      <c r="L227" s="28"/>
      <c r="M227" s="28"/>
      <c r="N227" s="28"/>
      <c r="O227" s="28"/>
    </row>
    <row r="228" spans="1:15" ht="15.75" customHeight="1">
      <c r="A228" s="28"/>
      <c r="B228" s="28"/>
      <c r="C228" s="28"/>
      <c r="D228" s="28"/>
      <c r="E228" s="28"/>
      <c r="F228" s="29"/>
      <c r="G228" s="29"/>
      <c r="H228" s="2212"/>
      <c r="I228" s="28"/>
      <c r="J228" s="28"/>
      <c r="K228" s="28"/>
      <c r="L228" s="28"/>
      <c r="M228" s="28"/>
      <c r="N228" s="28"/>
      <c r="O228" s="28"/>
    </row>
    <row r="229" spans="1:15" ht="15.75" customHeight="1">
      <c r="A229" s="28"/>
      <c r="B229" s="28"/>
      <c r="C229" s="28"/>
      <c r="D229" s="28"/>
      <c r="E229" s="28"/>
      <c r="F229" s="29"/>
      <c r="G229" s="29"/>
      <c r="H229" s="2212"/>
      <c r="I229" s="28"/>
      <c r="J229" s="28"/>
      <c r="K229" s="28"/>
      <c r="L229" s="28"/>
      <c r="M229" s="28"/>
      <c r="N229" s="28"/>
      <c r="O229" s="28"/>
    </row>
    <row r="230" spans="1:15" ht="15.75" customHeight="1">
      <c r="A230" s="28"/>
      <c r="B230" s="28"/>
      <c r="C230" s="28"/>
      <c r="D230" s="28"/>
      <c r="E230" s="28"/>
      <c r="F230" s="29"/>
      <c r="G230" s="29"/>
      <c r="H230" s="2212"/>
      <c r="I230" s="28"/>
      <c r="J230" s="28"/>
      <c r="K230" s="28"/>
      <c r="L230" s="28"/>
      <c r="M230" s="28"/>
      <c r="N230" s="28"/>
      <c r="O230" s="28"/>
    </row>
    <row r="231" spans="1:15" ht="15.75" customHeight="1">
      <c r="A231" s="28"/>
      <c r="B231" s="28"/>
      <c r="C231" s="28"/>
      <c r="D231" s="28"/>
      <c r="E231" s="28"/>
      <c r="F231" s="29"/>
      <c r="G231" s="29"/>
      <c r="H231" s="2212"/>
      <c r="I231" s="28"/>
      <c r="J231" s="28"/>
      <c r="K231" s="28"/>
      <c r="L231" s="28"/>
      <c r="M231" s="28"/>
      <c r="N231" s="28"/>
      <c r="O231" s="28"/>
    </row>
    <row r="232" spans="1:15" ht="15.75" customHeight="1">
      <c r="A232" s="28"/>
      <c r="B232" s="28"/>
      <c r="C232" s="28"/>
      <c r="D232" s="28"/>
      <c r="E232" s="28"/>
      <c r="F232" s="29"/>
      <c r="G232" s="29"/>
      <c r="H232" s="2212"/>
      <c r="I232" s="28"/>
      <c r="J232" s="28"/>
      <c r="K232" s="28"/>
      <c r="L232" s="28"/>
      <c r="M232" s="28"/>
      <c r="N232" s="28"/>
      <c r="O232" s="28"/>
    </row>
    <row r="233" spans="1:15" ht="15.75" customHeight="1">
      <c r="A233" s="28"/>
      <c r="B233" s="28"/>
      <c r="C233" s="28"/>
      <c r="D233" s="28"/>
      <c r="E233" s="28"/>
      <c r="F233" s="29"/>
      <c r="G233" s="29"/>
      <c r="H233" s="2212"/>
      <c r="I233" s="28"/>
      <c r="J233" s="28"/>
      <c r="K233" s="28"/>
      <c r="L233" s="28"/>
      <c r="M233" s="28"/>
      <c r="N233" s="28"/>
      <c r="O233" s="28"/>
    </row>
    <row r="234" spans="1:15" ht="15.75" customHeight="1">
      <c r="A234" s="28"/>
      <c r="B234" s="28"/>
      <c r="C234" s="28"/>
      <c r="D234" s="28"/>
      <c r="E234" s="28"/>
      <c r="F234" s="29"/>
      <c r="G234" s="29"/>
      <c r="H234" s="2212"/>
      <c r="I234" s="28"/>
      <c r="J234" s="28"/>
      <c r="K234" s="28"/>
      <c r="L234" s="28"/>
      <c r="M234" s="28"/>
      <c r="N234" s="28"/>
      <c r="O234" s="28"/>
    </row>
    <row r="235" spans="1:15" ht="15.75" customHeight="1">
      <c r="A235" s="28"/>
      <c r="B235" s="28"/>
      <c r="C235" s="28"/>
      <c r="D235" s="28"/>
      <c r="E235" s="28"/>
      <c r="F235" s="29"/>
      <c r="G235" s="29"/>
      <c r="H235" s="2212"/>
      <c r="I235" s="28"/>
      <c r="J235" s="28"/>
      <c r="K235" s="28"/>
      <c r="L235" s="28"/>
      <c r="M235" s="28"/>
      <c r="N235" s="28"/>
      <c r="O235" s="28"/>
    </row>
    <row r="236" spans="1:15" ht="15.75" customHeight="1">
      <c r="A236" s="28"/>
      <c r="B236" s="28"/>
      <c r="C236" s="28"/>
      <c r="D236" s="28"/>
      <c r="E236" s="28"/>
      <c r="F236" s="29"/>
      <c r="G236" s="29"/>
      <c r="H236" s="2212"/>
      <c r="I236" s="28"/>
      <c r="J236" s="28"/>
      <c r="K236" s="28"/>
      <c r="L236" s="28"/>
      <c r="M236" s="28"/>
      <c r="N236" s="28"/>
      <c r="O236" s="28"/>
    </row>
    <row r="237" spans="1:15" ht="15.75" customHeight="1">
      <c r="A237" s="28"/>
      <c r="B237" s="28"/>
      <c r="C237" s="28"/>
      <c r="D237" s="28"/>
      <c r="E237" s="28"/>
      <c r="F237" s="29"/>
      <c r="G237" s="29"/>
      <c r="H237" s="2212"/>
      <c r="I237" s="28"/>
      <c r="J237" s="28"/>
      <c r="K237" s="28"/>
      <c r="L237" s="28"/>
      <c r="M237" s="28"/>
      <c r="N237" s="28"/>
      <c r="O237" s="28"/>
    </row>
    <row r="238" spans="1:15" ht="15.75" customHeight="1">
      <c r="A238" s="28"/>
      <c r="B238" s="28"/>
      <c r="C238" s="28"/>
      <c r="D238" s="28"/>
      <c r="E238" s="28"/>
      <c r="F238" s="29"/>
      <c r="G238" s="29"/>
      <c r="H238" s="2212"/>
      <c r="I238" s="28"/>
      <c r="J238" s="28"/>
      <c r="K238" s="28"/>
      <c r="L238" s="28"/>
      <c r="M238" s="28"/>
      <c r="N238" s="28"/>
      <c r="O238" s="28"/>
    </row>
    <row r="239" spans="1:15" ht="15.75" customHeight="1">
      <c r="A239" s="28"/>
      <c r="B239" s="28"/>
      <c r="C239" s="28"/>
      <c r="D239" s="28"/>
      <c r="E239" s="28"/>
      <c r="F239" s="29"/>
      <c r="G239" s="29"/>
      <c r="H239" s="2212"/>
      <c r="I239" s="28"/>
      <c r="J239" s="28"/>
      <c r="K239" s="28"/>
      <c r="L239" s="28"/>
      <c r="M239" s="28"/>
      <c r="N239" s="28"/>
      <c r="O239" s="28"/>
    </row>
    <row r="240" spans="1:15" ht="15.75" customHeight="1">
      <c r="A240" s="28"/>
      <c r="B240" s="28"/>
      <c r="C240" s="28"/>
      <c r="D240" s="28"/>
      <c r="E240" s="28"/>
      <c r="F240" s="29"/>
      <c r="G240" s="29"/>
      <c r="H240" s="2212"/>
      <c r="I240" s="28"/>
      <c r="J240" s="28"/>
      <c r="K240" s="28"/>
      <c r="L240" s="28"/>
      <c r="M240" s="28"/>
      <c r="N240" s="28"/>
      <c r="O240" s="28"/>
    </row>
    <row r="241" spans="1:15" ht="15.75" customHeight="1">
      <c r="A241" s="28"/>
      <c r="B241" s="28"/>
      <c r="C241" s="28"/>
      <c r="D241" s="28"/>
      <c r="E241" s="28"/>
      <c r="F241" s="29"/>
      <c r="G241" s="29"/>
      <c r="H241" s="2212"/>
      <c r="I241" s="28"/>
      <c r="J241" s="28"/>
      <c r="K241" s="28"/>
      <c r="L241" s="28"/>
      <c r="M241" s="28"/>
      <c r="N241" s="28"/>
      <c r="O241" s="28"/>
    </row>
    <row r="242" spans="1:15" ht="15.75" customHeight="1">
      <c r="A242" s="28"/>
      <c r="B242" s="28"/>
      <c r="C242" s="28"/>
      <c r="D242" s="28"/>
      <c r="E242" s="28"/>
      <c r="F242" s="29"/>
      <c r="G242" s="29"/>
      <c r="H242" s="2212"/>
      <c r="I242" s="28"/>
      <c r="J242" s="28"/>
      <c r="K242" s="28"/>
      <c r="L242" s="28"/>
      <c r="M242" s="28"/>
      <c r="N242" s="28"/>
      <c r="O242" s="28"/>
    </row>
    <row r="243" spans="1:15" ht="15.75" customHeight="1">
      <c r="A243" s="28"/>
      <c r="B243" s="28"/>
      <c r="C243" s="28"/>
      <c r="D243" s="28"/>
      <c r="E243" s="28"/>
      <c r="F243" s="29"/>
      <c r="G243" s="29"/>
      <c r="H243" s="2212"/>
      <c r="I243" s="28"/>
      <c r="J243" s="28"/>
      <c r="K243" s="28"/>
      <c r="L243" s="28"/>
      <c r="M243" s="28"/>
      <c r="N243" s="28"/>
      <c r="O243" s="28"/>
    </row>
    <row r="244" spans="1:15" ht="15.75" customHeight="1">
      <c r="A244" s="28"/>
      <c r="B244" s="28"/>
      <c r="C244" s="28"/>
      <c r="D244" s="28"/>
      <c r="E244" s="28"/>
      <c r="F244" s="29"/>
      <c r="G244" s="29"/>
      <c r="H244" s="2212"/>
      <c r="I244" s="28"/>
      <c r="J244" s="28"/>
      <c r="K244" s="28"/>
      <c r="L244" s="28"/>
      <c r="M244" s="28"/>
      <c r="N244" s="28"/>
      <c r="O244" s="28"/>
    </row>
    <row r="245" spans="1:15" ht="15.75" customHeight="1">
      <c r="A245" s="28"/>
      <c r="B245" s="28"/>
      <c r="C245" s="28"/>
      <c r="D245" s="28"/>
      <c r="E245" s="28"/>
      <c r="F245" s="29"/>
      <c r="G245" s="29"/>
      <c r="H245" s="2212"/>
      <c r="I245" s="28"/>
      <c r="J245" s="28"/>
      <c r="K245" s="28"/>
      <c r="L245" s="28"/>
      <c r="M245" s="28"/>
      <c r="N245" s="28"/>
      <c r="O245" s="28"/>
    </row>
    <row r="246" spans="1:15" ht="15.75" customHeight="1">
      <c r="A246" s="28"/>
      <c r="B246" s="28"/>
      <c r="C246" s="28"/>
      <c r="D246" s="28"/>
      <c r="E246" s="28"/>
      <c r="F246" s="29"/>
      <c r="G246" s="29"/>
      <c r="H246" s="2212"/>
      <c r="I246" s="28"/>
      <c r="J246" s="28"/>
      <c r="K246" s="28"/>
      <c r="L246" s="28"/>
      <c r="M246" s="28"/>
      <c r="N246" s="28"/>
      <c r="O246" s="28"/>
    </row>
    <row r="247" spans="1:15" ht="15.75" customHeight="1">
      <c r="A247" s="28"/>
      <c r="B247" s="28"/>
      <c r="C247" s="28"/>
      <c r="D247" s="28"/>
      <c r="E247" s="28"/>
      <c r="F247" s="29"/>
      <c r="G247" s="29"/>
      <c r="H247" s="2212"/>
      <c r="I247" s="28"/>
      <c r="J247" s="28"/>
      <c r="K247" s="28"/>
      <c r="L247" s="28"/>
      <c r="M247" s="28"/>
      <c r="N247" s="28"/>
      <c r="O247" s="28"/>
    </row>
    <row r="248" spans="1:15" ht="15.75" customHeight="1">
      <c r="A248" s="28"/>
      <c r="B248" s="28"/>
      <c r="C248" s="28"/>
      <c r="D248" s="28"/>
      <c r="E248" s="28"/>
      <c r="F248" s="29"/>
      <c r="G248" s="29"/>
      <c r="H248" s="2212"/>
      <c r="I248" s="28"/>
      <c r="J248" s="28"/>
      <c r="K248" s="28"/>
      <c r="L248" s="28"/>
      <c r="M248" s="28"/>
      <c r="N248" s="28"/>
      <c r="O248" s="28"/>
    </row>
    <row r="249" spans="1:15" ht="15.75" customHeight="1">
      <c r="A249" s="28"/>
      <c r="B249" s="28"/>
      <c r="C249" s="28"/>
      <c r="D249" s="28"/>
      <c r="E249" s="28"/>
      <c r="F249" s="29"/>
      <c r="G249" s="29"/>
      <c r="H249" s="2212"/>
      <c r="I249" s="28"/>
      <c r="J249" s="28"/>
      <c r="K249" s="28"/>
      <c r="L249" s="28"/>
      <c r="M249" s="28"/>
      <c r="N249" s="28"/>
      <c r="O249" s="28"/>
    </row>
    <row r="250" spans="1:15" ht="15.75" customHeight="1">
      <c r="A250" s="28"/>
      <c r="B250" s="28"/>
      <c r="C250" s="28"/>
      <c r="D250" s="28"/>
      <c r="E250" s="28"/>
      <c r="F250" s="29"/>
      <c r="G250" s="29"/>
      <c r="H250" s="2212"/>
      <c r="I250" s="28"/>
      <c r="J250" s="28"/>
      <c r="K250" s="28"/>
      <c r="L250" s="28"/>
      <c r="M250" s="28"/>
      <c r="N250" s="28"/>
      <c r="O250" s="28"/>
    </row>
    <row r="251" spans="1:15" ht="15.75" customHeight="1">
      <c r="A251" s="28"/>
      <c r="B251" s="28"/>
      <c r="C251" s="28"/>
      <c r="D251" s="28"/>
      <c r="E251" s="28"/>
      <c r="F251" s="29"/>
      <c r="G251" s="29"/>
      <c r="H251" s="2212"/>
      <c r="I251" s="28"/>
      <c r="J251" s="28"/>
      <c r="K251" s="28"/>
      <c r="L251" s="28"/>
      <c r="M251" s="28"/>
      <c r="N251" s="28"/>
      <c r="O251" s="28"/>
    </row>
    <row r="252" spans="1:15" ht="15.75" customHeight="1">
      <c r="A252" s="28"/>
      <c r="B252" s="28"/>
      <c r="C252" s="28"/>
      <c r="D252" s="28"/>
      <c r="E252" s="28"/>
      <c r="F252" s="29"/>
      <c r="G252" s="29"/>
      <c r="H252" s="2212"/>
      <c r="I252" s="28"/>
      <c r="J252" s="28"/>
      <c r="K252" s="28"/>
      <c r="L252" s="28"/>
      <c r="M252" s="28"/>
      <c r="N252" s="28"/>
      <c r="O252" s="28"/>
    </row>
    <row r="253" spans="1:15" ht="15.75" customHeight="1">
      <c r="A253" s="28"/>
      <c r="B253" s="28"/>
      <c r="C253" s="28"/>
      <c r="D253" s="28"/>
      <c r="E253" s="28"/>
      <c r="F253" s="29"/>
      <c r="G253" s="29"/>
      <c r="H253" s="2212"/>
      <c r="I253" s="28"/>
      <c r="J253" s="28"/>
      <c r="K253" s="28"/>
      <c r="L253" s="28"/>
      <c r="M253" s="28"/>
      <c r="N253" s="28"/>
      <c r="O253" s="28"/>
    </row>
    <row r="254" spans="1:15" ht="15.75" customHeight="1">
      <c r="A254" s="28"/>
      <c r="B254" s="28"/>
      <c r="C254" s="28"/>
      <c r="D254" s="28"/>
      <c r="E254" s="28"/>
      <c r="F254" s="29"/>
      <c r="G254" s="29"/>
      <c r="H254" s="2212"/>
      <c r="I254" s="28"/>
      <c r="J254" s="28"/>
      <c r="K254" s="28"/>
      <c r="L254" s="28"/>
      <c r="M254" s="28"/>
      <c r="N254" s="28"/>
      <c r="O254" s="28"/>
    </row>
    <row r="255" spans="1:15" ht="15.75" customHeight="1">
      <c r="A255" s="28"/>
      <c r="B255" s="28"/>
      <c r="C255" s="28"/>
      <c r="D255" s="28"/>
      <c r="E255" s="28"/>
      <c r="F255" s="29"/>
      <c r="G255" s="29"/>
      <c r="H255" s="2212"/>
      <c r="I255" s="28"/>
      <c r="J255" s="28"/>
      <c r="K255" s="28"/>
      <c r="L255" s="28"/>
      <c r="M255" s="28"/>
      <c r="N255" s="28"/>
      <c r="O255" s="28"/>
    </row>
    <row r="256" spans="1:15" ht="15.75" customHeight="1">
      <c r="A256" s="28"/>
      <c r="B256" s="28"/>
      <c r="C256" s="28"/>
      <c r="D256" s="28"/>
      <c r="E256" s="28"/>
      <c r="F256" s="29"/>
      <c r="G256" s="29"/>
      <c r="H256" s="2212"/>
      <c r="I256" s="28"/>
      <c r="J256" s="28"/>
      <c r="K256" s="28"/>
      <c r="L256" s="28"/>
      <c r="M256" s="28"/>
      <c r="N256" s="28"/>
      <c r="O256" s="28"/>
    </row>
    <row r="257" spans="1:15" ht="15.75" customHeight="1">
      <c r="A257" s="28"/>
      <c r="B257" s="28"/>
      <c r="C257" s="28"/>
      <c r="D257" s="28"/>
      <c r="E257" s="28"/>
      <c r="F257" s="29"/>
      <c r="G257" s="29"/>
      <c r="H257" s="2212"/>
      <c r="I257" s="28"/>
      <c r="J257" s="28"/>
      <c r="K257" s="28"/>
      <c r="L257" s="28"/>
      <c r="M257" s="28"/>
      <c r="N257" s="28"/>
      <c r="O257" s="28"/>
    </row>
    <row r="258" spans="1:15" ht="15.75" customHeight="1">
      <c r="A258" s="28"/>
      <c r="B258" s="28"/>
      <c r="C258" s="28"/>
      <c r="D258" s="28"/>
      <c r="E258" s="28"/>
      <c r="F258" s="29"/>
      <c r="G258" s="29"/>
      <c r="H258" s="2212"/>
      <c r="I258" s="28"/>
      <c r="J258" s="28"/>
      <c r="K258" s="28"/>
      <c r="L258" s="28"/>
      <c r="M258" s="28"/>
      <c r="N258" s="28"/>
      <c r="O258" s="28"/>
    </row>
    <row r="259" spans="1:15" ht="15.75" customHeight="1">
      <c r="A259" s="28"/>
      <c r="B259" s="28"/>
      <c r="C259" s="28"/>
      <c r="D259" s="28"/>
      <c r="E259" s="28"/>
      <c r="F259" s="29"/>
      <c r="G259" s="29"/>
      <c r="H259" s="2212"/>
      <c r="I259" s="28"/>
      <c r="J259" s="28"/>
      <c r="K259" s="28"/>
      <c r="L259" s="28"/>
      <c r="M259" s="28"/>
      <c r="N259" s="28"/>
      <c r="O259" s="28"/>
    </row>
    <row r="260" spans="1:15" ht="15.75" customHeight="1">
      <c r="A260" s="28"/>
      <c r="B260" s="28"/>
      <c r="C260" s="28"/>
      <c r="D260" s="28"/>
      <c r="E260" s="28"/>
      <c r="F260" s="29"/>
      <c r="G260" s="29"/>
      <c r="H260" s="2212"/>
      <c r="I260" s="28"/>
      <c r="J260" s="28"/>
      <c r="K260" s="28"/>
      <c r="L260" s="28"/>
      <c r="M260" s="28"/>
      <c r="N260" s="28"/>
      <c r="O260" s="28"/>
    </row>
    <row r="261" spans="1:15" ht="15.75" customHeight="1">
      <c r="A261" s="28"/>
      <c r="B261" s="28"/>
      <c r="C261" s="28"/>
      <c r="D261" s="28"/>
      <c r="E261" s="28"/>
      <c r="F261" s="29"/>
      <c r="G261" s="29"/>
      <c r="H261" s="2212"/>
      <c r="I261" s="28"/>
      <c r="J261" s="28"/>
      <c r="K261" s="28"/>
      <c r="L261" s="28"/>
      <c r="M261" s="28"/>
      <c r="N261" s="28"/>
      <c r="O261" s="28"/>
    </row>
    <row r="262" spans="1:15" ht="15.75" customHeight="1">
      <c r="A262" s="28"/>
      <c r="B262" s="28"/>
      <c r="C262" s="28"/>
      <c r="D262" s="28"/>
      <c r="E262" s="28"/>
      <c r="F262" s="29"/>
      <c r="G262" s="29"/>
      <c r="H262" s="2212"/>
      <c r="I262" s="28"/>
      <c r="J262" s="28"/>
      <c r="K262" s="28"/>
      <c r="L262" s="28"/>
      <c r="M262" s="28"/>
      <c r="N262" s="28"/>
      <c r="O262" s="28"/>
    </row>
    <row r="263" spans="1:15" ht="15.75" customHeight="1">
      <c r="A263" s="28"/>
      <c r="B263" s="28"/>
      <c r="C263" s="28"/>
      <c r="D263" s="28"/>
      <c r="E263" s="28"/>
      <c r="F263" s="29"/>
      <c r="G263" s="29"/>
      <c r="H263" s="2212"/>
      <c r="I263" s="28"/>
      <c r="J263" s="28"/>
      <c r="K263" s="28"/>
      <c r="L263" s="28"/>
      <c r="M263" s="28"/>
      <c r="N263" s="28"/>
      <c r="O263" s="28"/>
    </row>
    <row r="264" spans="1:15" ht="15.75" customHeight="1">
      <c r="A264" s="28"/>
      <c r="B264" s="28"/>
      <c r="C264" s="28"/>
      <c r="D264" s="28"/>
      <c r="E264" s="28"/>
      <c r="F264" s="29"/>
      <c r="G264" s="29"/>
      <c r="H264" s="2212"/>
      <c r="I264" s="28"/>
      <c r="J264" s="28"/>
      <c r="K264" s="28"/>
      <c r="L264" s="28"/>
      <c r="M264" s="28"/>
      <c r="N264" s="28"/>
      <c r="O264" s="28"/>
    </row>
    <row r="265" spans="1:15" ht="15.75" customHeight="1">
      <c r="A265" s="28"/>
      <c r="B265" s="28"/>
      <c r="C265" s="28"/>
      <c r="D265" s="28"/>
      <c r="E265" s="28"/>
      <c r="F265" s="29"/>
      <c r="G265" s="29"/>
      <c r="H265" s="2212"/>
      <c r="I265" s="28"/>
      <c r="J265" s="28"/>
      <c r="K265" s="28"/>
      <c r="L265" s="28"/>
      <c r="M265" s="28"/>
      <c r="N265" s="28"/>
      <c r="O265" s="28"/>
    </row>
    <row r="266" spans="1:15" ht="15.75" customHeight="1">
      <c r="A266" s="28"/>
      <c r="B266" s="28"/>
      <c r="C266" s="28"/>
      <c r="D266" s="28"/>
      <c r="E266" s="28"/>
      <c r="F266" s="29"/>
      <c r="G266" s="29"/>
      <c r="H266" s="2212"/>
      <c r="I266" s="28"/>
      <c r="J266" s="28"/>
      <c r="K266" s="28"/>
      <c r="L266" s="28"/>
      <c r="M266" s="28"/>
      <c r="N266" s="28"/>
      <c r="O266" s="28"/>
    </row>
    <row r="267" spans="1:15" ht="15.75" customHeight="1">
      <c r="A267" s="28"/>
      <c r="B267" s="28"/>
      <c r="C267" s="28"/>
      <c r="D267" s="28"/>
      <c r="E267" s="28"/>
      <c r="F267" s="29"/>
      <c r="G267" s="29"/>
      <c r="H267" s="2212"/>
      <c r="I267" s="28"/>
      <c r="J267" s="28"/>
      <c r="K267" s="28"/>
      <c r="L267" s="28"/>
      <c r="M267" s="28"/>
      <c r="N267" s="28"/>
      <c r="O267" s="28"/>
    </row>
    <row r="268" spans="1:15" ht="15.75" customHeight="1">
      <c r="A268" s="28"/>
      <c r="B268" s="28"/>
      <c r="C268" s="28"/>
      <c r="D268" s="28"/>
      <c r="E268" s="28"/>
      <c r="F268" s="29"/>
      <c r="G268" s="29"/>
      <c r="H268" s="2212"/>
      <c r="I268" s="28"/>
      <c r="J268" s="28"/>
      <c r="K268" s="28"/>
      <c r="L268" s="28"/>
      <c r="M268" s="28"/>
      <c r="N268" s="28"/>
      <c r="O268" s="28"/>
    </row>
    <row r="269" spans="1:15" ht="15.75" customHeight="1">
      <c r="A269" s="28"/>
      <c r="B269" s="28"/>
      <c r="C269" s="28"/>
      <c r="D269" s="28"/>
      <c r="E269" s="28"/>
      <c r="F269" s="29"/>
      <c r="G269" s="29"/>
      <c r="H269" s="2212"/>
      <c r="I269" s="28"/>
      <c r="J269" s="28"/>
      <c r="K269" s="28"/>
      <c r="L269" s="28"/>
      <c r="M269" s="28"/>
      <c r="N269" s="28"/>
      <c r="O269" s="28"/>
    </row>
    <row r="270" spans="1:15" ht="15.75" customHeight="1">
      <c r="A270" s="28"/>
      <c r="B270" s="28"/>
      <c r="C270" s="28"/>
      <c r="D270" s="28"/>
      <c r="E270" s="28"/>
      <c r="F270" s="29"/>
      <c r="G270" s="29"/>
      <c r="H270" s="2212"/>
      <c r="I270" s="28"/>
      <c r="J270" s="28"/>
      <c r="K270" s="28"/>
      <c r="L270" s="28"/>
      <c r="M270" s="28"/>
      <c r="N270" s="28"/>
      <c r="O270" s="28"/>
    </row>
    <row r="271" spans="1:15" ht="15.75" customHeight="1">
      <c r="A271" s="28"/>
      <c r="B271" s="28"/>
      <c r="C271" s="28"/>
      <c r="D271" s="28"/>
      <c r="E271" s="28"/>
      <c r="F271" s="29"/>
      <c r="G271" s="29"/>
      <c r="H271" s="2212"/>
      <c r="I271" s="28"/>
      <c r="J271" s="28"/>
      <c r="K271" s="28"/>
      <c r="L271" s="28"/>
      <c r="M271" s="28"/>
      <c r="N271" s="28"/>
      <c r="O271" s="28"/>
    </row>
    <row r="272" spans="1:15" ht="15.75" customHeight="1">
      <c r="A272" s="28"/>
      <c r="B272" s="28"/>
      <c r="C272" s="28"/>
      <c r="D272" s="28"/>
      <c r="E272" s="28"/>
      <c r="F272" s="29"/>
      <c r="G272" s="29"/>
      <c r="H272" s="2212"/>
      <c r="I272" s="28"/>
      <c r="J272" s="28"/>
      <c r="K272" s="28"/>
      <c r="L272" s="28"/>
      <c r="M272" s="28"/>
      <c r="N272" s="28"/>
      <c r="O272" s="28"/>
    </row>
    <row r="273" spans="1:15" ht="15.75" customHeight="1">
      <c r="A273" s="28"/>
      <c r="B273" s="28"/>
      <c r="C273" s="28"/>
      <c r="D273" s="28"/>
      <c r="E273" s="28"/>
      <c r="F273" s="29"/>
      <c r="G273" s="29"/>
      <c r="H273" s="2212"/>
      <c r="I273" s="28"/>
      <c r="J273" s="28"/>
      <c r="K273" s="28"/>
      <c r="L273" s="28"/>
      <c r="M273" s="28"/>
      <c r="N273" s="28"/>
      <c r="O273" s="28"/>
    </row>
    <row r="274" spans="1:15" ht="15.75" customHeight="1">
      <c r="A274" s="28"/>
      <c r="B274" s="28"/>
      <c r="C274" s="28"/>
      <c r="D274" s="28"/>
      <c r="E274" s="28"/>
      <c r="F274" s="29"/>
      <c r="G274" s="29"/>
      <c r="H274" s="2212"/>
      <c r="I274" s="28"/>
      <c r="J274" s="28"/>
      <c r="K274" s="28"/>
      <c r="L274" s="28"/>
      <c r="M274" s="28"/>
      <c r="N274" s="28"/>
      <c r="O274" s="28"/>
    </row>
    <row r="275" spans="1:15" ht="15.75" customHeight="1">
      <c r="A275" s="28"/>
      <c r="B275" s="28"/>
      <c r="C275" s="28"/>
      <c r="D275" s="28"/>
      <c r="E275" s="28"/>
      <c r="F275" s="29"/>
      <c r="G275" s="29"/>
      <c r="H275" s="2212"/>
      <c r="I275" s="28"/>
      <c r="J275" s="28"/>
      <c r="K275" s="28"/>
      <c r="L275" s="28"/>
      <c r="M275" s="28"/>
      <c r="N275" s="28"/>
      <c r="O275" s="28"/>
    </row>
    <row r="276" spans="1:15" ht="15.75" customHeight="1">
      <c r="A276" s="28"/>
      <c r="B276" s="28"/>
      <c r="C276" s="28"/>
      <c r="D276" s="28"/>
      <c r="E276" s="28"/>
      <c r="F276" s="29"/>
      <c r="G276" s="29"/>
      <c r="H276" s="2212"/>
      <c r="I276" s="28"/>
      <c r="J276" s="28"/>
      <c r="K276" s="28"/>
      <c r="L276" s="28"/>
      <c r="M276" s="28"/>
      <c r="N276" s="28"/>
      <c r="O276" s="28"/>
    </row>
    <row r="277" spans="1:15" ht="15.75" customHeight="1">
      <c r="A277" s="28"/>
      <c r="B277" s="28"/>
      <c r="C277" s="28"/>
      <c r="D277" s="28"/>
      <c r="E277" s="28"/>
      <c r="F277" s="29"/>
      <c r="G277" s="29"/>
      <c r="H277" s="2212"/>
      <c r="I277" s="28"/>
      <c r="J277" s="28"/>
      <c r="K277" s="28"/>
      <c r="L277" s="28"/>
      <c r="M277" s="28"/>
      <c r="N277" s="28"/>
      <c r="O277" s="28"/>
    </row>
    <row r="278" spans="1:15" ht="15.75" customHeight="1">
      <c r="A278" s="28"/>
      <c r="B278" s="28"/>
      <c r="C278" s="28"/>
      <c r="D278" s="28"/>
      <c r="E278" s="28"/>
      <c r="F278" s="29"/>
      <c r="G278" s="29"/>
      <c r="H278" s="2212"/>
      <c r="I278" s="28"/>
      <c r="J278" s="28"/>
      <c r="K278" s="28"/>
      <c r="L278" s="28"/>
      <c r="M278" s="28"/>
      <c r="N278" s="28"/>
      <c r="O278" s="28"/>
    </row>
    <row r="279" spans="1:15" ht="15.75" customHeight="1">
      <c r="A279" s="28"/>
      <c r="B279" s="28"/>
      <c r="C279" s="28"/>
      <c r="D279" s="28"/>
      <c r="E279" s="28"/>
      <c r="F279" s="29"/>
      <c r="G279" s="29"/>
      <c r="H279" s="2212"/>
      <c r="I279" s="28"/>
      <c r="J279" s="28"/>
      <c r="K279" s="28"/>
      <c r="L279" s="28"/>
      <c r="M279" s="28"/>
      <c r="N279" s="28"/>
      <c r="O279" s="28"/>
    </row>
    <row r="280" spans="1:15" ht="15.75" customHeight="1">
      <c r="A280" s="28"/>
      <c r="B280" s="28"/>
      <c r="C280" s="28"/>
      <c r="D280" s="28"/>
      <c r="E280" s="28"/>
      <c r="F280" s="29"/>
      <c r="G280" s="29"/>
      <c r="H280" s="2212"/>
      <c r="I280" s="28"/>
      <c r="J280" s="28"/>
      <c r="K280" s="28"/>
      <c r="L280" s="28"/>
      <c r="M280" s="28"/>
      <c r="N280" s="28"/>
      <c r="O280" s="28"/>
    </row>
    <row r="281" spans="1:15" ht="15.75" customHeight="1">
      <c r="A281" s="28"/>
      <c r="B281" s="28"/>
      <c r="C281" s="28"/>
      <c r="D281" s="28"/>
      <c r="E281" s="28"/>
      <c r="F281" s="29"/>
      <c r="G281" s="29"/>
      <c r="H281" s="2212"/>
      <c r="I281" s="28"/>
      <c r="J281" s="28"/>
      <c r="K281" s="28"/>
      <c r="L281" s="28"/>
      <c r="M281" s="28"/>
      <c r="N281" s="28"/>
      <c r="O281" s="28"/>
    </row>
    <row r="282" spans="1:15" ht="15.75" customHeight="1">
      <c r="A282" s="28"/>
      <c r="B282" s="28"/>
      <c r="C282" s="28"/>
      <c r="D282" s="28"/>
      <c r="E282" s="28"/>
      <c r="F282" s="29"/>
      <c r="G282" s="29"/>
      <c r="H282" s="2212"/>
      <c r="I282" s="28"/>
      <c r="J282" s="28"/>
      <c r="K282" s="28"/>
      <c r="L282" s="28"/>
      <c r="M282" s="28"/>
      <c r="N282" s="28"/>
      <c r="O282" s="28"/>
    </row>
    <row r="283" spans="1:15" ht="15.75" customHeight="1">
      <c r="A283" s="28"/>
      <c r="B283" s="28"/>
      <c r="C283" s="28"/>
      <c r="D283" s="28"/>
      <c r="E283" s="28"/>
      <c r="F283" s="29"/>
      <c r="G283" s="29"/>
      <c r="H283" s="2212"/>
      <c r="I283" s="28"/>
      <c r="J283" s="28"/>
      <c r="K283" s="28"/>
      <c r="L283" s="28"/>
      <c r="M283" s="28"/>
      <c r="N283" s="28"/>
      <c r="O283" s="28"/>
    </row>
    <row r="284" spans="1:15" ht="15.75" customHeight="1">
      <c r="A284" s="28"/>
      <c r="B284" s="28"/>
      <c r="C284" s="28"/>
      <c r="D284" s="28"/>
      <c r="E284" s="28"/>
      <c r="F284" s="29"/>
      <c r="G284" s="29"/>
      <c r="H284" s="2212"/>
      <c r="I284" s="28"/>
      <c r="J284" s="28"/>
      <c r="K284" s="28"/>
      <c r="L284" s="28"/>
      <c r="M284" s="28"/>
      <c r="N284" s="28"/>
      <c r="O284" s="28"/>
    </row>
    <row r="285" spans="1:15" ht="15.75" customHeight="1">
      <c r="A285" s="28"/>
      <c r="B285" s="28"/>
      <c r="C285" s="28"/>
      <c r="D285" s="28"/>
      <c r="E285" s="28"/>
      <c r="F285" s="29"/>
      <c r="G285" s="29"/>
      <c r="H285" s="2212"/>
      <c r="I285" s="28"/>
      <c r="J285" s="28"/>
      <c r="K285" s="28"/>
      <c r="L285" s="28"/>
      <c r="M285" s="28"/>
      <c r="N285" s="28"/>
      <c r="O285" s="28"/>
    </row>
    <row r="286" spans="1:15" ht="15.75" customHeight="1">
      <c r="A286" s="28"/>
      <c r="B286" s="28"/>
      <c r="C286" s="28"/>
      <c r="D286" s="28"/>
      <c r="E286" s="28"/>
      <c r="F286" s="29"/>
      <c r="G286" s="29"/>
      <c r="H286" s="2212"/>
      <c r="I286" s="28"/>
      <c r="J286" s="28"/>
      <c r="K286" s="28"/>
      <c r="L286" s="28"/>
      <c r="M286" s="28"/>
      <c r="N286" s="28"/>
      <c r="O286" s="28"/>
    </row>
    <row r="287" spans="1:15" ht="15.75" customHeight="1">
      <c r="A287" s="28"/>
      <c r="B287" s="28"/>
      <c r="C287" s="28"/>
      <c r="D287" s="28"/>
      <c r="E287" s="28"/>
      <c r="F287" s="29"/>
      <c r="G287" s="29"/>
      <c r="H287" s="2212"/>
      <c r="I287" s="28"/>
      <c r="J287" s="28"/>
      <c r="K287" s="28"/>
      <c r="L287" s="28"/>
      <c r="M287" s="28"/>
      <c r="N287" s="28"/>
      <c r="O287" s="28"/>
    </row>
    <row r="288" spans="1:15" ht="15.75" customHeight="1">
      <c r="A288" s="28"/>
      <c r="B288" s="28"/>
      <c r="C288" s="28"/>
      <c r="D288" s="28"/>
      <c r="E288" s="28"/>
      <c r="F288" s="29"/>
      <c r="G288" s="29"/>
      <c r="H288" s="2212"/>
      <c r="I288" s="28"/>
      <c r="J288" s="28"/>
      <c r="K288" s="28"/>
      <c r="L288" s="28"/>
      <c r="M288" s="28"/>
      <c r="N288" s="28"/>
      <c r="O288" s="28"/>
    </row>
    <row r="289" spans="1:15" ht="15.75" customHeight="1">
      <c r="A289" s="28"/>
      <c r="B289" s="28"/>
      <c r="C289" s="28"/>
      <c r="D289" s="28"/>
      <c r="E289" s="28"/>
      <c r="F289" s="29"/>
      <c r="G289" s="29"/>
      <c r="H289" s="2212"/>
      <c r="I289" s="28"/>
      <c r="J289" s="28"/>
      <c r="K289" s="28"/>
      <c r="L289" s="28"/>
      <c r="M289" s="28"/>
      <c r="N289" s="28"/>
      <c r="O289" s="28"/>
    </row>
    <row r="290" spans="1:15" ht="15.75" customHeight="1">
      <c r="A290" s="28"/>
      <c r="B290" s="28"/>
      <c r="C290" s="28"/>
      <c r="D290" s="28"/>
      <c r="E290" s="28"/>
      <c r="F290" s="29"/>
      <c r="G290" s="29"/>
      <c r="H290" s="2212"/>
      <c r="I290" s="28"/>
      <c r="J290" s="28"/>
      <c r="K290" s="28"/>
      <c r="L290" s="28"/>
      <c r="M290" s="28"/>
      <c r="N290" s="28"/>
      <c r="O290" s="28"/>
    </row>
    <row r="291" spans="1:15" ht="15.75" customHeight="1">
      <c r="A291" s="28"/>
      <c r="B291" s="28"/>
      <c r="C291" s="28"/>
      <c r="D291" s="28"/>
      <c r="E291" s="28"/>
      <c r="F291" s="29"/>
      <c r="G291" s="29"/>
      <c r="H291" s="2212"/>
      <c r="I291" s="28"/>
      <c r="J291" s="28"/>
      <c r="K291" s="28"/>
      <c r="L291" s="28"/>
      <c r="M291" s="28"/>
      <c r="N291" s="28"/>
      <c r="O291" s="28"/>
    </row>
    <row r="292" spans="1:15" ht="15.75" customHeight="1">
      <c r="A292" s="28"/>
      <c r="B292" s="28"/>
      <c r="C292" s="28"/>
      <c r="D292" s="28"/>
      <c r="E292" s="28"/>
      <c r="F292" s="29"/>
      <c r="G292" s="29"/>
      <c r="H292" s="2212"/>
      <c r="I292" s="28"/>
      <c r="J292" s="28"/>
      <c r="K292" s="28"/>
      <c r="L292" s="28"/>
      <c r="M292" s="28"/>
      <c r="N292" s="28"/>
      <c r="O292" s="28"/>
    </row>
    <row r="293" spans="1:15" ht="15.75" customHeight="1">
      <c r="A293" s="28"/>
      <c r="B293" s="28"/>
      <c r="C293" s="28"/>
      <c r="D293" s="28"/>
      <c r="E293" s="28"/>
      <c r="F293" s="29"/>
      <c r="G293" s="29"/>
      <c r="H293" s="2212"/>
      <c r="I293" s="28"/>
      <c r="J293" s="28"/>
      <c r="K293" s="28"/>
      <c r="L293" s="28"/>
      <c r="M293" s="28"/>
      <c r="N293" s="28"/>
      <c r="O293" s="28"/>
    </row>
    <row r="294" spans="1:15" ht="15.75" customHeight="1">
      <c r="A294" s="28"/>
      <c r="B294" s="28"/>
      <c r="C294" s="28"/>
      <c r="D294" s="28"/>
      <c r="E294" s="28"/>
      <c r="F294" s="29"/>
      <c r="G294" s="29"/>
      <c r="H294" s="2212"/>
      <c r="I294" s="28"/>
      <c r="J294" s="28"/>
      <c r="K294" s="28"/>
      <c r="L294" s="28"/>
      <c r="M294" s="28"/>
      <c r="N294" s="28"/>
      <c r="O294" s="28"/>
    </row>
    <row r="295" spans="1:15" ht="15.75" customHeight="1">
      <c r="A295" s="28"/>
      <c r="B295" s="28"/>
      <c r="C295" s="28"/>
      <c r="D295" s="28"/>
      <c r="E295" s="28"/>
      <c r="F295" s="29"/>
      <c r="G295" s="29"/>
      <c r="H295" s="2212"/>
      <c r="I295" s="28"/>
      <c r="J295" s="28"/>
      <c r="K295" s="28"/>
      <c r="L295" s="28"/>
      <c r="M295" s="28"/>
      <c r="N295" s="28"/>
      <c r="O295" s="28"/>
    </row>
    <row r="296" spans="1:15" ht="15.75" customHeight="1">
      <c r="A296" s="28"/>
      <c r="B296" s="28"/>
      <c r="C296" s="28"/>
      <c r="D296" s="28"/>
      <c r="E296" s="28"/>
      <c r="F296" s="29"/>
      <c r="G296" s="29"/>
      <c r="H296" s="2212"/>
      <c r="I296" s="28"/>
      <c r="J296" s="28"/>
      <c r="K296" s="28"/>
      <c r="L296" s="28"/>
      <c r="M296" s="28"/>
      <c r="N296" s="28"/>
      <c r="O296" s="28"/>
    </row>
    <row r="297" spans="1:15" ht="15.75" customHeight="1">
      <c r="A297" s="28"/>
      <c r="B297" s="28"/>
      <c r="C297" s="28"/>
      <c r="D297" s="28"/>
      <c r="E297" s="28"/>
      <c r="F297" s="29"/>
      <c r="G297" s="29"/>
      <c r="H297" s="2212"/>
      <c r="I297" s="28"/>
      <c r="J297" s="28"/>
      <c r="K297" s="28"/>
      <c r="L297" s="28"/>
      <c r="M297" s="28"/>
      <c r="N297" s="28"/>
      <c r="O297" s="28"/>
    </row>
    <row r="298" spans="1:15" ht="15.75" customHeight="1">
      <c r="A298" s="28"/>
      <c r="B298" s="28"/>
      <c r="C298" s="28"/>
      <c r="D298" s="28"/>
      <c r="E298" s="28"/>
      <c r="F298" s="29"/>
      <c r="G298" s="29"/>
      <c r="H298" s="2212"/>
      <c r="I298" s="28"/>
      <c r="J298" s="28"/>
      <c r="K298" s="28"/>
      <c r="L298" s="28"/>
      <c r="M298" s="28"/>
      <c r="N298" s="28"/>
      <c r="O298" s="28"/>
    </row>
    <row r="299" spans="1:15" ht="15.75" customHeight="1">
      <c r="A299" s="28"/>
      <c r="B299" s="28"/>
      <c r="C299" s="28"/>
      <c r="D299" s="28"/>
      <c r="E299" s="28"/>
      <c r="F299" s="29"/>
      <c r="G299" s="29"/>
      <c r="H299" s="2212"/>
      <c r="I299" s="28"/>
      <c r="J299" s="28"/>
      <c r="K299" s="28"/>
      <c r="L299" s="28"/>
      <c r="M299" s="28"/>
      <c r="N299" s="28"/>
      <c r="O299" s="28"/>
    </row>
    <row r="300" spans="1:15" ht="15.75" customHeight="1">
      <c r="A300" s="28"/>
      <c r="B300" s="28"/>
      <c r="C300" s="28"/>
      <c r="D300" s="28"/>
      <c r="E300" s="28"/>
      <c r="F300" s="29"/>
      <c r="G300" s="29"/>
      <c r="H300" s="2212"/>
      <c r="I300" s="28"/>
      <c r="J300" s="28"/>
      <c r="K300" s="28"/>
      <c r="L300" s="28"/>
      <c r="M300" s="28"/>
      <c r="N300" s="28"/>
      <c r="O300" s="28"/>
    </row>
    <row r="301" spans="1:15" ht="15.75" customHeight="1">
      <c r="A301" s="28"/>
      <c r="B301" s="28"/>
      <c r="C301" s="28"/>
      <c r="D301" s="28"/>
      <c r="E301" s="28"/>
      <c r="F301" s="29"/>
      <c r="G301" s="29"/>
      <c r="H301" s="2212"/>
      <c r="I301" s="28"/>
      <c r="J301" s="28"/>
      <c r="K301" s="28"/>
      <c r="L301" s="28"/>
      <c r="M301" s="28"/>
      <c r="N301" s="28"/>
      <c r="O301" s="28"/>
    </row>
    <row r="302" spans="1:15" ht="15.75" customHeight="1">
      <c r="A302" s="28"/>
      <c r="B302" s="28"/>
      <c r="C302" s="28"/>
      <c r="D302" s="28"/>
      <c r="E302" s="28"/>
      <c r="F302" s="29"/>
      <c r="G302" s="29"/>
      <c r="H302" s="2212"/>
      <c r="I302" s="28"/>
      <c r="J302" s="28"/>
      <c r="K302" s="28"/>
      <c r="L302" s="28"/>
      <c r="M302" s="28"/>
      <c r="N302" s="28"/>
      <c r="O302" s="28"/>
    </row>
    <row r="303" spans="1:15" ht="15.75" customHeight="1">
      <c r="A303" s="28"/>
      <c r="B303" s="28"/>
      <c r="C303" s="28"/>
      <c r="D303" s="28"/>
      <c r="E303" s="28"/>
      <c r="F303" s="29"/>
      <c r="G303" s="29"/>
      <c r="H303" s="2212"/>
      <c r="I303" s="28"/>
      <c r="J303" s="28"/>
      <c r="K303" s="28"/>
      <c r="L303" s="28"/>
      <c r="M303" s="28"/>
      <c r="N303" s="28"/>
      <c r="O303" s="28"/>
    </row>
    <row r="304" spans="1:15" ht="15.75" customHeight="1">
      <c r="A304" s="28"/>
      <c r="B304" s="28"/>
      <c r="C304" s="28"/>
      <c r="D304" s="28"/>
      <c r="E304" s="28"/>
      <c r="F304" s="29"/>
      <c r="G304" s="29"/>
      <c r="H304" s="2212"/>
      <c r="I304" s="28"/>
      <c r="J304" s="28"/>
      <c r="K304" s="28"/>
      <c r="L304" s="28"/>
      <c r="M304" s="28"/>
      <c r="N304" s="28"/>
      <c r="O304" s="28"/>
    </row>
    <row r="305" spans="1:15" ht="15.75" customHeight="1">
      <c r="A305" s="28"/>
      <c r="B305" s="28"/>
      <c r="C305" s="28"/>
      <c r="D305" s="28"/>
      <c r="E305" s="28"/>
      <c r="F305" s="29"/>
      <c r="G305" s="29"/>
      <c r="H305" s="2212"/>
      <c r="I305" s="28"/>
      <c r="J305" s="28"/>
      <c r="K305" s="28"/>
      <c r="L305" s="28"/>
      <c r="M305" s="28"/>
      <c r="N305" s="28"/>
      <c r="O305" s="28"/>
    </row>
    <row r="306" spans="1:15" ht="15.75" customHeight="1">
      <c r="A306" s="28"/>
      <c r="B306" s="28"/>
      <c r="C306" s="28"/>
      <c r="D306" s="28"/>
      <c r="E306" s="28"/>
      <c r="F306" s="29"/>
      <c r="G306" s="29"/>
      <c r="H306" s="2212"/>
      <c r="I306" s="28"/>
      <c r="J306" s="28"/>
      <c r="K306" s="28"/>
      <c r="L306" s="28"/>
      <c r="M306" s="28"/>
      <c r="N306" s="28"/>
      <c r="O306" s="28"/>
    </row>
    <row r="307" spans="1:15" ht="15.75" customHeight="1">
      <c r="A307" s="28"/>
      <c r="B307" s="28"/>
      <c r="C307" s="28"/>
      <c r="D307" s="28"/>
      <c r="E307" s="28"/>
      <c r="F307" s="29"/>
      <c r="G307" s="29"/>
      <c r="H307" s="2212"/>
      <c r="I307" s="28"/>
      <c r="J307" s="28"/>
      <c r="K307" s="28"/>
      <c r="L307" s="28"/>
      <c r="M307" s="28"/>
      <c r="N307" s="28"/>
      <c r="O307" s="28"/>
    </row>
    <row r="308" spans="1:15" ht="15.75" customHeight="1">
      <c r="A308" s="28"/>
      <c r="B308" s="28"/>
      <c r="C308" s="28"/>
      <c r="D308" s="28"/>
      <c r="E308" s="28"/>
      <c r="F308" s="29"/>
      <c r="G308" s="29"/>
      <c r="H308" s="2212"/>
      <c r="I308" s="28"/>
      <c r="J308" s="28"/>
      <c r="K308" s="28"/>
      <c r="L308" s="28"/>
      <c r="M308" s="28"/>
      <c r="N308" s="28"/>
      <c r="O308" s="28"/>
    </row>
    <row r="309" spans="1:15" ht="15.75" customHeight="1">
      <c r="A309" s="28"/>
      <c r="B309" s="28"/>
      <c r="C309" s="28"/>
      <c r="D309" s="28"/>
      <c r="E309" s="28"/>
      <c r="F309" s="29"/>
      <c r="G309" s="29"/>
      <c r="H309" s="2212"/>
      <c r="I309" s="28"/>
      <c r="J309" s="28"/>
      <c r="K309" s="28"/>
      <c r="L309" s="28"/>
      <c r="M309" s="28"/>
      <c r="N309" s="28"/>
      <c r="O309" s="28"/>
    </row>
    <row r="310" spans="1:15" ht="15.75" customHeight="1">
      <c r="A310" s="28"/>
      <c r="B310" s="28"/>
      <c r="C310" s="28"/>
      <c r="D310" s="28"/>
      <c r="E310" s="28"/>
      <c r="F310" s="29"/>
      <c r="G310" s="29"/>
      <c r="H310" s="2212"/>
      <c r="I310" s="28"/>
      <c r="J310" s="28"/>
      <c r="K310" s="28"/>
      <c r="L310" s="28"/>
      <c r="M310" s="28"/>
      <c r="N310" s="28"/>
      <c r="O310" s="28"/>
    </row>
    <row r="311" spans="1:15" ht="15.75" customHeight="1">
      <c r="A311" s="28"/>
      <c r="B311" s="28"/>
      <c r="C311" s="28"/>
      <c r="D311" s="28"/>
      <c r="E311" s="28"/>
      <c r="F311" s="29"/>
      <c r="G311" s="29"/>
      <c r="H311" s="2212"/>
      <c r="I311" s="28"/>
      <c r="J311" s="28"/>
      <c r="K311" s="28"/>
      <c r="L311" s="28"/>
      <c r="M311" s="28"/>
      <c r="N311" s="28"/>
      <c r="O311" s="28"/>
    </row>
    <row r="312" spans="1:15" ht="15.75" customHeight="1">
      <c r="A312" s="28"/>
      <c r="B312" s="28"/>
      <c r="C312" s="28"/>
      <c r="D312" s="28"/>
      <c r="E312" s="28"/>
      <c r="F312" s="29"/>
      <c r="G312" s="29"/>
      <c r="H312" s="2212"/>
      <c r="I312" s="28"/>
      <c r="J312" s="28"/>
      <c r="K312" s="28"/>
      <c r="L312" s="28"/>
      <c r="M312" s="28"/>
      <c r="N312" s="28"/>
      <c r="O312" s="28"/>
    </row>
    <row r="313" spans="1:15" ht="15.75" customHeight="1">
      <c r="A313" s="28"/>
      <c r="B313" s="28"/>
      <c r="C313" s="28"/>
      <c r="D313" s="28"/>
      <c r="E313" s="28"/>
      <c r="F313" s="29"/>
      <c r="G313" s="29"/>
      <c r="H313" s="2212"/>
      <c r="I313" s="28"/>
      <c r="J313" s="28"/>
      <c r="K313" s="28"/>
      <c r="L313" s="28"/>
      <c r="M313" s="28"/>
      <c r="N313" s="28"/>
      <c r="O313" s="28"/>
    </row>
    <row r="314" spans="1:15" ht="15.75" customHeight="1">
      <c r="A314" s="28"/>
      <c r="B314" s="28"/>
      <c r="C314" s="28"/>
      <c r="D314" s="28"/>
      <c r="E314" s="28"/>
      <c r="F314" s="29"/>
      <c r="G314" s="29"/>
      <c r="H314" s="2212"/>
      <c r="I314" s="28"/>
      <c r="J314" s="28"/>
      <c r="K314" s="28"/>
      <c r="L314" s="28"/>
      <c r="M314" s="28"/>
      <c r="N314" s="28"/>
      <c r="O314" s="28"/>
    </row>
    <row r="315" spans="1:15" ht="15.75" customHeight="1">
      <c r="A315" s="28"/>
      <c r="B315" s="28"/>
      <c r="C315" s="28"/>
      <c r="D315" s="28"/>
      <c r="E315" s="28"/>
      <c r="F315" s="29"/>
      <c r="G315" s="29"/>
      <c r="H315" s="2212"/>
      <c r="I315" s="28"/>
      <c r="J315" s="28"/>
      <c r="K315" s="28"/>
      <c r="L315" s="28"/>
      <c r="M315" s="28"/>
      <c r="N315" s="28"/>
      <c r="O315" s="28"/>
    </row>
    <row r="316" spans="1:15" ht="15.75" customHeight="1">
      <c r="A316" s="28"/>
      <c r="B316" s="28"/>
      <c r="C316" s="28"/>
      <c r="D316" s="28"/>
      <c r="E316" s="28"/>
      <c r="F316" s="29"/>
      <c r="G316" s="29"/>
      <c r="H316" s="2212"/>
      <c r="I316" s="28"/>
      <c r="J316" s="28"/>
      <c r="K316" s="28"/>
      <c r="L316" s="28"/>
      <c r="M316" s="28"/>
      <c r="N316" s="28"/>
      <c r="O316" s="28"/>
    </row>
    <row r="317" spans="1:15" ht="15.75" customHeight="1">
      <c r="A317" s="28"/>
      <c r="B317" s="28"/>
      <c r="C317" s="28"/>
      <c r="D317" s="28"/>
      <c r="E317" s="28"/>
      <c r="F317" s="29"/>
      <c r="G317" s="29"/>
      <c r="H317" s="2212"/>
      <c r="I317" s="28"/>
      <c r="J317" s="28"/>
      <c r="K317" s="28"/>
      <c r="L317" s="28"/>
      <c r="M317" s="28"/>
      <c r="N317" s="28"/>
      <c r="O317" s="28"/>
    </row>
    <row r="318" spans="1:15" ht="15.75" customHeight="1">
      <c r="A318" s="28"/>
      <c r="B318" s="28"/>
      <c r="C318" s="28"/>
      <c r="D318" s="28"/>
      <c r="E318" s="28"/>
      <c r="F318" s="29"/>
      <c r="G318" s="29"/>
      <c r="H318" s="2212"/>
      <c r="I318" s="28"/>
      <c r="J318" s="28"/>
      <c r="K318" s="28"/>
      <c r="L318" s="28"/>
      <c r="M318" s="28"/>
      <c r="N318" s="28"/>
      <c r="O318" s="28"/>
    </row>
    <row r="319" spans="1:15" ht="15.75" customHeight="1">
      <c r="A319" s="28"/>
      <c r="B319" s="28"/>
      <c r="C319" s="28"/>
      <c r="D319" s="28"/>
      <c r="E319" s="28"/>
      <c r="F319" s="29"/>
      <c r="G319" s="29"/>
      <c r="H319" s="2212"/>
      <c r="I319" s="28"/>
      <c r="J319" s="28"/>
      <c r="K319" s="28"/>
      <c r="L319" s="28"/>
      <c r="M319" s="28"/>
      <c r="N319" s="28"/>
      <c r="O319" s="28"/>
    </row>
    <row r="320" spans="1:15" ht="15.75" customHeight="1">
      <c r="A320" s="28"/>
      <c r="B320" s="28"/>
      <c r="C320" s="28"/>
      <c r="D320" s="28"/>
      <c r="E320" s="28"/>
      <c r="F320" s="29"/>
      <c r="G320" s="29"/>
      <c r="H320" s="2212"/>
      <c r="I320" s="28"/>
      <c r="J320" s="28"/>
      <c r="K320" s="28"/>
      <c r="L320" s="28"/>
      <c r="M320" s="28"/>
      <c r="N320" s="28"/>
      <c r="O320" s="28"/>
    </row>
    <row r="321" spans="1:15" ht="15.75" customHeight="1">
      <c r="A321" s="28"/>
      <c r="B321" s="28"/>
      <c r="C321" s="28"/>
      <c r="D321" s="28"/>
      <c r="E321" s="28"/>
      <c r="F321" s="29"/>
      <c r="G321" s="29"/>
      <c r="H321" s="2212"/>
      <c r="I321" s="28"/>
      <c r="J321" s="28"/>
      <c r="K321" s="28"/>
      <c r="L321" s="28"/>
      <c r="M321" s="28"/>
      <c r="N321" s="28"/>
      <c r="O321" s="28"/>
    </row>
    <row r="322" spans="1:15" ht="15.75" customHeight="1">
      <c r="A322" s="28"/>
      <c r="B322" s="28"/>
      <c r="C322" s="28"/>
      <c r="D322" s="28"/>
      <c r="E322" s="28"/>
      <c r="F322" s="29"/>
      <c r="G322" s="29"/>
      <c r="H322" s="2212"/>
      <c r="I322" s="28"/>
      <c r="J322" s="28"/>
      <c r="K322" s="28"/>
      <c r="L322" s="28"/>
      <c r="M322" s="28"/>
      <c r="N322" s="28"/>
      <c r="O322" s="28"/>
    </row>
    <row r="323" spans="1:15" ht="15.75" customHeight="1">
      <c r="A323" s="28"/>
      <c r="B323" s="28"/>
      <c r="C323" s="28"/>
      <c r="D323" s="28"/>
      <c r="E323" s="28"/>
      <c r="F323" s="29"/>
      <c r="G323" s="29"/>
      <c r="H323" s="2212"/>
      <c r="I323" s="28"/>
      <c r="J323" s="28"/>
      <c r="K323" s="28"/>
      <c r="L323" s="28"/>
      <c r="M323" s="28"/>
      <c r="N323" s="28"/>
      <c r="O323" s="28"/>
    </row>
    <row r="324" spans="1:15" ht="15.75" customHeight="1">
      <c r="A324" s="28"/>
      <c r="B324" s="28"/>
      <c r="C324" s="28"/>
      <c r="D324" s="28"/>
      <c r="E324" s="28"/>
      <c r="F324" s="29"/>
      <c r="G324" s="29"/>
      <c r="H324" s="2212"/>
      <c r="I324" s="28"/>
      <c r="J324" s="28"/>
      <c r="K324" s="28"/>
      <c r="L324" s="28"/>
      <c r="M324" s="28"/>
      <c r="N324" s="28"/>
      <c r="O324" s="28"/>
    </row>
    <row r="325" spans="1:15" ht="15.75" customHeight="1">
      <c r="A325" s="28"/>
      <c r="B325" s="28"/>
      <c r="C325" s="28"/>
      <c r="D325" s="28"/>
      <c r="E325" s="28"/>
      <c r="F325" s="29"/>
      <c r="G325" s="29"/>
      <c r="H325" s="2212"/>
      <c r="I325" s="28"/>
      <c r="J325" s="28"/>
      <c r="K325" s="28"/>
      <c r="L325" s="28"/>
      <c r="M325" s="28"/>
      <c r="N325" s="28"/>
      <c r="O325" s="28"/>
    </row>
    <row r="326" spans="1:15" ht="15.75" customHeight="1">
      <c r="A326" s="28"/>
      <c r="B326" s="28"/>
      <c r="C326" s="28"/>
      <c r="D326" s="28"/>
      <c r="E326" s="28"/>
      <c r="F326" s="29"/>
      <c r="G326" s="29"/>
      <c r="H326" s="2212"/>
      <c r="I326" s="28"/>
      <c r="J326" s="28"/>
      <c r="K326" s="28"/>
      <c r="L326" s="28"/>
      <c r="M326" s="28"/>
      <c r="N326" s="28"/>
      <c r="O326" s="28"/>
    </row>
    <row r="327" spans="1:15" ht="15.75" customHeight="1">
      <c r="A327" s="28"/>
      <c r="B327" s="28"/>
      <c r="C327" s="28"/>
      <c r="D327" s="28"/>
      <c r="E327" s="28"/>
      <c r="F327" s="29"/>
      <c r="G327" s="29"/>
      <c r="H327" s="2212"/>
      <c r="I327" s="28"/>
      <c r="J327" s="28"/>
      <c r="K327" s="28"/>
      <c r="L327" s="28"/>
      <c r="M327" s="28"/>
      <c r="N327" s="28"/>
      <c r="O327" s="28"/>
    </row>
    <row r="328" spans="1:15" ht="15.75" customHeight="1">
      <c r="A328" s="28"/>
      <c r="B328" s="28"/>
      <c r="C328" s="28"/>
      <c r="D328" s="28"/>
      <c r="E328" s="28"/>
      <c r="F328" s="29"/>
      <c r="G328" s="29"/>
      <c r="H328" s="2212"/>
      <c r="I328" s="28"/>
      <c r="J328" s="28"/>
      <c r="K328" s="28"/>
      <c r="L328" s="28"/>
      <c r="M328" s="28"/>
      <c r="N328" s="28"/>
      <c r="O328" s="28"/>
    </row>
    <row r="329" spans="1:15" ht="15.75" customHeight="1">
      <c r="A329" s="28"/>
      <c r="B329" s="28"/>
      <c r="C329" s="28"/>
      <c r="D329" s="28"/>
      <c r="E329" s="28"/>
      <c r="F329" s="29"/>
      <c r="G329" s="29"/>
      <c r="H329" s="2212"/>
      <c r="I329" s="28"/>
      <c r="J329" s="28"/>
      <c r="K329" s="28"/>
      <c r="L329" s="28"/>
      <c r="M329" s="28"/>
      <c r="N329" s="28"/>
      <c r="O329" s="28"/>
    </row>
    <row r="330" spans="1:15" ht="15.75" customHeight="1">
      <c r="A330" s="28"/>
      <c r="B330" s="28"/>
      <c r="C330" s="28"/>
      <c r="D330" s="28"/>
      <c r="E330" s="28"/>
      <c r="F330" s="29"/>
      <c r="G330" s="29"/>
      <c r="H330" s="2212"/>
      <c r="I330" s="28"/>
      <c r="J330" s="28"/>
      <c r="K330" s="28"/>
      <c r="L330" s="28"/>
      <c r="M330" s="28"/>
      <c r="N330" s="28"/>
      <c r="O330" s="28"/>
    </row>
    <row r="331" spans="1:15" ht="15.75" customHeight="1">
      <c r="A331" s="28"/>
      <c r="B331" s="28"/>
      <c r="C331" s="28"/>
      <c r="D331" s="28"/>
      <c r="E331" s="28"/>
      <c r="F331" s="29"/>
      <c r="G331" s="29"/>
      <c r="H331" s="2212"/>
      <c r="I331" s="28"/>
      <c r="J331" s="28"/>
      <c r="K331" s="28"/>
      <c r="L331" s="28"/>
      <c r="M331" s="28"/>
      <c r="N331" s="28"/>
      <c r="O331" s="28"/>
    </row>
    <row r="332" spans="1:15" ht="15.75" customHeight="1">
      <c r="A332" s="28"/>
      <c r="B332" s="28"/>
      <c r="C332" s="28"/>
      <c r="D332" s="28"/>
      <c r="E332" s="28"/>
      <c r="F332" s="29"/>
      <c r="G332" s="29"/>
      <c r="H332" s="2212"/>
      <c r="I332" s="28"/>
      <c r="J332" s="28"/>
      <c r="K332" s="28"/>
      <c r="L332" s="28"/>
      <c r="M332" s="28"/>
      <c r="N332" s="28"/>
      <c r="O332" s="28"/>
    </row>
    <row r="333" spans="1:15" ht="15.75" customHeight="1">
      <c r="A333" s="28"/>
      <c r="B333" s="28"/>
      <c r="C333" s="28"/>
      <c r="D333" s="28"/>
      <c r="E333" s="28"/>
      <c r="F333" s="29"/>
      <c r="G333" s="29"/>
      <c r="H333" s="2212"/>
      <c r="I333" s="28"/>
      <c r="J333" s="28"/>
      <c r="K333" s="28"/>
      <c r="L333" s="28"/>
      <c r="M333" s="28"/>
      <c r="N333" s="28"/>
      <c r="O333" s="28"/>
    </row>
    <row r="334" spans="1:15" ht="15.75" customHeight="1">
      <c r="A334" s="28"/>
      <c r="B334" s="28"/>
      <c r="C334" s="28"/>
      <c r="D334" s="28"/>
      <c r="E334" s="28"/>
      <c r="F334" s="29"/>
      <c r="G334" s="29"/>
      <c r="H334" s="2212"/>
      <c r="I334" s="28"/>
      <c r="J334" s="28"/>
      <c r="K334" s="28"/>
      <c r="L334" s="28"/>
      <c r="M334" s="28"/>
      <c r="N334" s="28"/>
      <c r="O334" s="28"/>
    </row>
    <row r="335" spans="1:15" ht="15.75" customHeight="1">
      <c r="A335" s="28"/>
      <c r="B335" s="28"/>
      <c r="C335" s="28"/>
      <c r="D335" s="28"/>
      <c r="E335" s="28"/>
      <c r="F335" s="29"/>
      <c r="G335" s="29"/>
      <c r="H335" s="2212"/>
      <c r="I335" s="28"/>
      <c r="J335" s="28"/>
      <c r="K335" s="28"/>
      <c r="L335" s="28"/>
      <c r="M335" s="28"/>
      <c r="N335" s="28"/>
      <c r="O335" s="28"/>
    </row>
    <row r="336" spans="1:15" ht="15.75" customHeight="1">
      <c r="A336" s="28"/>
      <c r="B336" s="28"/>
      <c r="C336" s="28"/>
      <c r="D336" s="28"/>
      <c r="E336" s="28"/>
      <c r="F336" s="29"/>
      <c r="G336" s="29"/>
      <c r="H336" s="2212"/>
      <c r="I336" s="28"/>
      <c r="J336" s="28"/>
      <c r="K336" s="28"/>
      <c r="L336" s="28"/>
      <c r="M336" s="28"/>
      <c r="N336" s="28"/>
      <c r="O336" s="28"/>
    </row>
    <row r="337" spans="1:15" ht="15.75" customHeight="1">
      <c r="A337" s="28"/>
      <c r="B337" s="28"/>
      <c r="C337" s="28"/>
      <c r="D337" s="28"/>
      <c r="E337" s="28"/>
      <c r="F337" s="29"/>
      <c r="G337" s="29"/>
      <c r="H337" s="2212"/>
      <c r="I337" s="28"/>
      <c r="J337" s="28"/>
      <c r="K337" s="28"/>
      <c r="L337" s="28"/>
      <c r="M337" s="28"/>
      <c r="N337" s="28"/>
      <c r="O337" s="28"/>
    </row>
    <row r="338" spans="1:15" ht="15.75" customHeight="1">
      <c r="A338" s="28"/>
      <c r="B338" s="28"/>
      <c r="C338" s="28"/>
      <c r="D338" s="28"/>
      <c r="E338" s="28"/>
      <c r="F338" s="29"/>
      <c r="G338" s="29"/>
      <c r="H338" s="2212"/>
      <c r="I338" s="28"/>
      <c r="J338" s="28"/>
      <c r="K338" s="28"/>
      <c r="L338" s="28"/>
      <c r="M338" s="28"/>
      <c r="N338" s="28"/>
      <c r="O338" s="28"/>
    </row>
    <row r="339" spans="1:15" ht="15.75" customHeight="1">
      <c r="A339" s="28"/>
      <c r="B339" s="28"/>
      <c r="C339" s="28"/>
      <c r="D339" s="28"/>
      <c r="E339" s="28"/>
      <c r="F339" s="29"/>
      <c r="G339" s="29"/>
      <c r="H339" s="2212"/>
      <c r="I339" s="28"/>
      <c r="J339" s="28"/>
      <c r="K339" s="28"/>
      <c r="L339" s="28"/>
      <c r="M339" s="28"/>
      <c r="N339" s="28"/>
      <c r="O339" s="28"/>
    </row>
    <row r="340" spans="1:15" ht="15.75" customHeight="1">
      <c r="A340" s="28"/>
      <c r="B340" s="28"/>
      <c r="C340" s="28"/>
      <c r="D340" s="28"/>
      <c r="E340" s="28"/>
      <c r="F340" s="29"/>
      <c r="G340" s="29"/>
      <c r="H340" s="2212"/>
      <c r="I340" s="28"/>
      <c r="J340" s="28"/>
      <c r="K340" s="28"/>
      <c r="L340" s="28"/>
      <c r="M340" s="28"/>
      <c r="N340" s="28"/>
      <c r="O340" s="28"/>
    </row>
    <row r="341" spans="1:15" ht="15.75" customHeight="1">
      <c r="A341" s="28"/>
      <c r="B341" s="28"/>
      <c r="C341" s="28"/>
      <c r="D341" s="28"/>
      <c r="E341" s="28"/>
      <c r="F341" s="29"/>
      <c r="G341" s="29"/>
      <c r="H341" s="2212"/>
      <c r="I341" s="28"/>
      <c r="J341" s="28"/>
      <c r="K341" s="28"/>
      <c r="L341" s="28"/>
      <c r="M341" s="28"/>
      <c r="N341" s="28"/>
      <c r="O341" s="28"/>
    </row>
    <row r="342" spans="1:15" ht="15.75" customHeight="1">
      <c r="A342" s="28"/>
      <c r="B342" s="28"/>
      <c r="C342" s="28"/>
      <c r="D342" s="28"/>
      <c r="E342" s="28"/>
      <c r="F342" s="29"/>
      <c r="G342" s="29"/>
      <c r="H342" s="2212"/>
      <c r="I342" s="28"/>
      <c r="J342" s="28"/>
      <c r="K342" s="28"/>
      <c r="L342" s="28"/>
      <c r="M342" s="28"/>
      <c r="N342" s="28"/>
      <c r="O342" s="28"/>
    </row>
    <row r="343" spans="1:15" ht="15.75" customHeight="1">
      <c r="A343" s="28"/>
      <c r="B343" s="28"/>
      <c r="C343" s="28"/>
      <c r="D343" s="28"/>
      <c r="E343" s="28"/>
      <c r="F343" s="29"/>
      <c r="G343" s="29"/>
      <c r="H343" s="2212"/>
      <c r="I343" s="28"/>
      <c r="J343" s="28"/>
      <c r="K343" s="28"/>
      <c r="L343" s="28"/>
      <c r="M343" s="28"/>
      <c r="N343" s="28"/>
      <c r="O343" s="28"/>
    </row>
    <row r="344" spans="1:15" ht="15.75" customHeight="1">
      <c r="A344" s="28"/>
      <c r="B344" s="28"/>
      <c r="C344" s="28"/>
      <c r="D344" s="28"/>
      <c r="E344" s="28"/>
      <c r="F344" s="29"/>
      <c r="G344" s="29"/>
      <c r="H344" s="2212"/>
      <c r="I344" s="28"/>
      <c r="J344" s="28"/>
      <c r="K344" s="28"/>
      <c r="L344" s="28"/>
      <c r="M344" s="28"/>
      <c r="N344" s="28"/>
      <c r="O344" s="28"/>
    </row>
    <row r="345" spans="1:15" ht="15.75" customHeight="1">
      <c r="A345" s="28"/>
      <c r="B345" s="28"/>
      <c r="C345" s="28"/>
      <c r="D345" s="28"/>
      <c r="E345" s="28"/>
      <c r="F345" s="29"/>
      <c r="G345" s="29"/>
      <c r="H345" s="2212"/>
      <c r="I345" s="28"/>
      <c r="J345" s="28"/>
      <c r="K345" s="28"/>
      <c r="L345" s="28"/>
      <c r="M345" s="28"/>
      <c r="N345" s="28"/>
      <c r="O345" s="28"/>
    </row>
    <row r="346" spans="1:15" ht="15.75" customHeight="1">
      <c r="A346" s="28"/>
      <c r="B346" s="28"/>
      <c r="C346" s="28"/>
      <c r="D346" s="28"/>
      <c r="E346" s="28"/>
      <c r="F346" s="29"/>
      <c r="G346" s="29"/>
      <c r="H346" s="2212"/>
      <c r="I346" s="28"/>
      <c r="J346" s="28"/>
      <c r="K346" s="28"/>
      <c r="L346" s="28"/>
      <c r="M346" s="28"/>
      <c r="N346" s="28"/>
      <c r="O346" s="28"/>
    </row>
    <row r="347" spans="1:15" ht="15.75" customHeight="1">
      <c r="A347" s="28"/>
      <c r="B347" s="28"/>
      <c r="C347" s="28"/>
      <c r="D347" s="28"/>
      <c r="E347" s="28"/>
      <c r="F347" s="29"/>
      <c r="G347" s="29"/>
      <c r="H347" s="2212"/>
      <c r="I347" s="28"/>
      <c r="J347" s="28"/>
      <c r="K347" s="28"/>
      <c r="L347" s="28"/>
      <c r="M347" s="28"/>
      <c r="N347" s="28"/>
      <c r="O347" s="28"/>
    </row>
    <row r="348" spans="1:15" ht="15.75" customHeight="1"/>
    <row r="349" spans="1:15" ht="15.75" customHeight="1"/>
    <row r="350" spans="1:15" ht="15.75" customHeight="1"/>
    <row r="351" spans="1:15" ht="15.75" customHeight="1"/>
    <row r="352" spans="1:15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</sheetData>
  <mergeCells count="13">
    <mergeCell ref="B66:C66"/>
    <mergeCell ref="B67:C67"/>
    <mergeCell ref="G56:H56"/>
    <mergeCell ref="G57:H57"/>
    <mergeCell ref="G62:H62"/>
    <mergeCell ref="G63:H63"/>
    <mergeCell ref="G47:H47"/>
    <mergeCell ref="G53:H53"/>
    <mergeCell ref="G54:H54"/>
    <mergeCell ref="A7:H7"/>
    <mergeCell ref="B14:D14"/>
    <mergeCell ref="A41:H41"/>
    <mergeCell ref="G46:H46"/>
  </mergeCells>
  <pageMargins left="0.45" right="0.45" top="0.5" bottom="0.5" header="0.511811023622047" footer="0.511811023622047"/>
  <pageSetup scale="83" fitToHeight="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O433"/>
  <sheetViews>
    <sheetView topLeftCell="A10" zoomScale="50" zoomScaleNormal="50" zoomScaleSheetLayoutView="80" workbookViewId="0">
      <selection activeCell="I16" sqref="I16"/>
    </sheetView>
  </sheetViews>
  <sheetFormatPr baseColWidth="10" defaultColWidth="8.83203125" defaultRowHeight="13"/>
  <cols>
    <col min="1" max="1" width="16.1640625" style="80" customWidth="1"/>
    <col min="2" max="2" width="13.5" customWidth="1"/>
    <col min="3" max="3" width="10" customWidth="1"/>
    <col min="4" max="4" width="68.5" customWidth="1"/>
    <col min="5" max="6" width="42.5" hidden="1" customWidth="1"/>
    <col min="7" max="7" width="3.5" hidden="1" customWidth="1"/>
    <col min="8" max="8" width="2.6640625" hidden="1" customWidth="1"/>
    <col min="9" max="9" width="39.83203125" bestFit="1" customWidth="1"/>
    <col min="10" max="12" width="39.6640625" bestFit="1" customWidth="1"/>
    <col min="13" max="13" width="34.1640625" customWidth="1"/>
  </cols>
  <sheetData>
    <row r="1" spans="1:15" ht="30" customHeight="1">
      <c r="A1" s="8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spans="1:15" ht="30" customHeight="1">
      <c r="A2" s="3165" t="s">
        <v>3410</v>
      </c>
      <c r="B2" s="3165"/>
      <c r="C2" s="3165"/>
      <c r="D2" s="3165"/>
      <c r="E2" s="3165"/>
      <c r="F2" s="3165"/>
      <c r="G2" s="3165"/>
      <c r="H2" s="3165"/>
      <c r="I2" s="3165"/>
      <c r="J2" s="3165"/>
      <c r="K2" s="3165"/>
      <c r="L2" s="3165"/>
      <c r="M2" s="3165"/>
      <c r="N2" s="28"/>
      <c r="O2" s="28"/>
    </row>
    <row r="3" spans="1:15" ht="30" customHeight="1">
      <c r="A3" s="79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</row>
    <row r="4" spans="1:15" s="3001" customFormat="1" ht="30" customHeight="1">
      <c r="A4" s="2997" t="str">
        <f>Resume!A9</f>
        <v>PROYEK</v>
      </c>
      <c r="B4" s="2998"/>
      <c r="C4" s="2999" t="str">
        <f>Resume!C9</f>
        <v>:</v>
      </c>
      <c r="D4" s="2998" t="str">
        <f>Resume!D9</f>
        <v>KAMPUNG NELAYAN MERAH PUTIH</v>
      </c>
      <c r="E4" s="2998"/>
      <c r="F4" s="2998"/>
      <c r="G4" s="2998"/>
      <c r="H4" s="2998"/>
      <c r="I4" s="2998"/>
      <c r="J4" s="2998"/>
      <c r="K4" s="2998"/>
      <c r="L4" s="2998"/>
      <c r="M4" s="3000"/>
      <c r="N4" s="2998"/>
      <c r="O4" s="2998"/>
    </row>
    <row r="5" spans="1:15" s="3001" customFormat="1" ht="30" customHeight="1">
      <c r="A5" s="2997" t="str">
        <f>Resume!A10</f>
        <v>LOKASI</v>
      </c>
      <c r="B5" s="2998"/>
      <c r="C5" s="2999" t="str">
        <f>Resume!C10</f>
        <v>:</v>
      </c>
      <c r="D5" s="2997" t="str">
        <f>Resume!D10</f>
        <v>DESA TAMBAKAGUNG, KEC. KALIORI</v>
      </c>
      <c r="E5" s="2997"/>
      <c r="F5" s="2997"/>
      <c r="G5" s="2997"/>
      <c r="H5" s="2998"/>
      <c r="I5" s="2998"/>
      <c r="J5" s="2998"/>
      <c r="K5" s="2998"/>
      <c r="L5" s="2998"/>
      <c r="M5" s="3002"/>
      <c r="N5" s="2998"/>
      <c r="O5" s="2998"/>
    </row>
    <row r="6" spans="1:15" s="3001" customFormat="1" ht="30" customHeight="1">
      <c r="A6" s="2997"/>
      <c r="B6" s="2998"/>
      <c r="C6" s="2999"/>
      <c r="D6" s="2997" t="str">
        <f>Resume!D11</f>
        <v>KAB. REMBANG  - PROVINSI JAWA TENGAH</v>
      </c>
      <c r="E6" s="2997"/>
      <c r="F6" s="2997"/>
      <c r="G6" s="2997"/>
      <c r="H6" s="2998"/>
      <c r="I6" s="2998"/>
      <c r="J6" s="2998"/>
      <c r="K6" s="2998"/>
      <c r="L6" s="2998"/>
      <c r="M6" s="3002"/>
      <c r="N6" s="2998"/>
      <c r="O6" s="2998"/>
    </row>
    <row r="7" spans="1:15" s="3001" customFormat="1" ht="30" customHeight="1">
      <c r="A7" s="2997" t="str">
        <f>Resume!A12</f>
        <v>TAHUN ANGGARAN</v>
      </c>
      <c r="B7" s="2998"/>
      <c r="C7" s="2999" t="str">
        <f>Resume!C12</f>
        <v>:</v>
      </c>
      <c r="D7" s="2997">
        <f>Resume!D12</f>
        <v>2026</v>
      </c>
      <c r="E7" s="2997"/>
      <c r="F7" s="2997"/>
      <c r="G7" s="2997"/>
      <c r="H7" s="2998"/>
      <c r="I7" s="2998"/>
      <c r="J7" s="2998"/>
      <c r="K7" s="2998"/>
      <c r="L7" s="2998"/>
      <c r="M7" s="2998"/>
      <c r="N7" s="2998"/>
      <c r="O7" s="2998"/>
    </row>
    <row r="8" spans="1:15" s="2343" customFormat="1" ht="30" customHeight="1" thickBot="1">
      <c r="A8" s="2344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</row>
    <row r="9" spans="1:15" s="3001" customFormat="1" ht="50" customHeight="1" thickBot="1">
      <c r="A9" s="3003" t="s">
        <v>1</v>
      </c>
      <c r="B9" s="3166" t="s">
        <v>68</v>
      </c>
      <c r="C9" s="3166"/>
      <c r="D9" s="3166"/>
      <c r="E9" s="3004"/>
      <c r="F9" s="3004"/>
      <c r="G9" s="3005" t="s">
        <v>3342</v>
      </c>
      <c r="H9" s="3006" t="s">
        <v>69</v>
      </c>
      <c r="I9" s="3006" t="s">
        <v>3359</v>
      </c>
      <c r="J9" s="3007" t="s">
        <v>3360</v>
      </c>
      <c r="K9" s="3007" t="s">
        <v>3361</v>
      </c>
      <c r="L9" s="3006" t="s">
        <v>3373</v>
      </c>
      <c r="M9" s="3008" t="s">
        <v>3356</v>
      </c>
      <c r="N9" s="2998"/>
      <c r="O9" s="2998"/>
    </row>
    <row r="10" spans="1:15" s="3001" customFormat="1" ht="30" customHeight="1" thickBot="1">
      <c r="A10" s="3009"/>
      <c r="B10" s="3010"/>
      <c r="C10" s="2998"/>
      <c r="D10" s="3011"/>
      <c r="E10" s="2998"/>
      <c r="F10" s="2998"/>
      <c r="G10" s="2998"/>
      <c r="H10" s="3010"/>
      <c r="I10" s="3010"/>
      <c r="J10" s="3010"/>
      <c r="K10" s="3010"/>
      <c r="L10" s="3010"/>
      <c r="M10" s="3012"/>
      <c r="N10" s="2998"/>
      <c r="O10" s="2998"/>
    </row>
    <row r="11" spans="1:15" s="3001" customFormat="1" ht="40" customHeight="1">
      <c r="A11" s="3013" t="str">
        <f>RAB!A13</f>
        <v>I</v>
      </c>
      <c r="B11" s="3014" t="str">
        <f>RAB!B13</f>
        <v>PEKERJAAN PERSIAPAN</v>
      </c>
      <c r="C11" s="3015"/>
      <c r="D11" s="3016"/>
      <c r="E11" s="3015"/>
      <c r="F11" s="3015"/>
      <c r="G11" s="3017">
        <f>RAB!H71</f>
        <v>376459634.9436</v>
      </c>
      <c r="H11" s="3017">
        <f>RAB!J71</f>
        <v>375046539.6609</v>
      </c>
      <c r="I11" s="3017">
        <f>RAB!M71</f>
        <v>322039492.61089993</v>
      </c>
      <c r="J11" s="3017"/>
      <c r="K11" s="3017"/>
      <c r="L11" s="3017">
        <f>RAB!Y71</f>
        <v>322039492.61089993</v>
      </c>
      <c r="M11" s="3018" t="s">
        <v>3364</v>
      </c>
      <c r="N11" s="2998"/>
      <c r="O11" s="2998"/>
    </row>
    <row r="12" spans="1:15" s="3023" customFormat="1" ht="40" customHeight="1">
      <c r="A12" s="3019" t="s">
        <v>2321</v>
      </c>
      <c r="B12" s="3020" t="str">
        <f>RAB!B72</f>
        <v>PEKERJAAN DINDING PENAHAN TANAH</v>
      </c>
      <c r="C12" s="2998"/>
      <c r="D12" s="3011"/>
      <c r="E12" s="2998"/>
      <c r="F12" s="2998"/>
      <c r="G12" s="3021">
        <f>SUM(G13:G13)</f>
        <v>195538326.69420001</v>
      </c>
      <c r="H12" s="3021">
        <f>SUM(H13:H13)</f>
        <v>193343673.4993</v>
      </c>
      <c r="I12" s="3021">
        <f>SUM(I13:I13)</f>
        <v>193343673.4993</v>
      </c>
      <c r="J12" s="3021">
        <f>J13</f>
        <v>200831661.31129184</v>
      </c>
      <c r="K12" s="3021"/>
      <c r="L12" s="3021">
        <f>L13</f>
        <v>394175334.81059188</v>
      </c>
      <c r="M12" s="3022" t="s">
        <v>3357</v>
      </c>
      <c r="N12" s="2998"/>
      <c r="O12" s="2998"/>
    </row>
    <row r="13" spans="1:15" s="3001" customFormat="1" ht="40" customHeight="1">
      <c r="A13" s="3024" t="s">
        <v>3396</v>
      </c>
      <c r="B13" s="3025" t="str">
        <f>RAB!B73</f>
        <v>Pekerjaan Turap Beton</v>
      </c>
      <c r="C13" s="3026"/>
      <c r="D13" s="3027"/>
      <c r="E13" s="3027"/>
      <c r="F13" s="3027"/>
      <c r="G13" s="3028">
        <f>RAB!H89</f>
        <v>195538326.69420001</v>
      </c>
      <c r="H13" s="3028">
        <f>RAB!J89</f>
        <v>193343673.4993</v>
      </c>
      <c r="I13" s="3028">
        <f>RAB!M89</f>
        <v>193343673.4993</v>
      </c>
      <c r="J13" s="3029">
        <f>RAB!Q89</f>
        <v>200831661.31129184</v>
      </c>
      <c r="K13" s="3029"/>
      <c r="L13" s="3029">
        <f>RAB!Y89</f>
        <v>394175334.81059188</v>
      </c>
      <c r="M13" s="3030" t="str">
        <f>M12</f>
        <v>PEK. TAMBAH</v>
      </c>
      <c r="N13" s="2998"/>
      <c r="O13" s="2998"/>
    </row>
    <row r="14" spans="1:15" s="3001" customFormat="1" ht="52" customHeight="1">
      <c r="A14" s="3031" t="s">
        <v>2326</v>
      </c>
      <c r="B14" s="3168" t="str">
        <f>RAB!B90</f>
        <v>PEKERJAAN BANGUNAN SHELTER PENDARATAN IKAN</v>
      </c>
      <c r="C14" s="3169"/>
      <c r="D14" s="3170"/>
      <c r="E14" s="3033"/>
      <c r="F14" s="3033"/>
      <c r="G14" s="3035">
        <f>SUM(G15:G17)</f>
        <v>125537096.99984802</v>
      </c>
      <c r="H14" s="3035">
        <f>SUM(H15:H17)</f>
        <v>124165427.174547</v>
      </c>
      <c r="I14" s="3035">
        <f>SUM(I15:I17)</f>
        <v>124165427.174547</v>
      </c>
      <c r="J14" s="3035"/>
      <c r="K14" s="3035"/>
      <c r="L14" s="3035">
        <f t="shared" ref="L14:L31" si="0">I14</f>
        <v>124165427.174547</v>
      </c>
      <c r="M14" s="3036" t="str">
        <f>M11</f>
        <v>TETAP</v>
      </c>
      <c r="N14" s="2998"/>
      <c r="O14" s="2998"/>
    </row>
    <row r="15" spans="1:15" s="3001" customFormat="1" ht="40" customHeight="1">
      <c r="A15" s="3037" t="s">
        <v>3397</v>
      </c>
      <c r="B15" s="3038" t="str">
        <f>RAB!B91</f>
        <v>Pekerjaan Struktural</v>
      </c>
      <c r="C15" s="3039"/>
      <c r="D15" s="3040"/>
      <c r="E15" s="3039"/>
      <c r="F15" s="3039"/>
      <c r="G15" s="3041">
        <f>RAB!H144</f>
        <v>54099473.695928007</v>
      </c>
      <c r="H15" s="3041">
        <f>RAB!J144</f>
        <v>53121546.927991986</v>
      </c>
      <c r="I15" s="3041">
        <f>RAB!M144</f>
        <v>53121546.927991986</v>
      </c>
      <c r="J15" s="3041"/>
      <c r="K15" s="3041"/>
      <c r="L15" s="3041">
        <f t="shared" si="0"/>
        <v>53121546.927991986</v>
      </c>
      <c r="M15" s="3042" t="str">
        <f>M14</f>
        <v>TETAP</v>
      </c>
      <c r="N15" s="2998"/>
      <c r="O15" s="2998"/>
    </row>
    <row r="16" spans="1:15" s="3001" customFormat="1" ht="40" customHeight="1">
      <c r="A16" s="3043" t="s">
        <v>3398</v>
      </c>
      <c r="B16" s="3044" t="str">
        <f>RAB!B145</f>
        <v>Pekerjaan Arsitektural</v>
      </c>
      <c r="C16" s="3045"/>
      <c r="D16" s="3046"/>
      <c r="E16" s="3045"/>
      <c r="F16" s="3045"/>
      <c r="G16" s="3047">
        <f>RAB!H169</f>
        <v>65149606.573920004</v>
      </c>
      <c r="H16" s="3047">
        <f>RAB!J169</f>
        <v>64641312.546555005</v>
      </c>
      <c r="I16" s="3047">
        <f>RAB!M169</f>
        <v>64641312.546555005</v>
      </c>
      <c r="J16" s="3047"/>
      <c r="K16" s="3047"/>
      <c r="L16" s="3047">
        <f t="shared" si="0"/>
        <v>64641312.546555005</v>
      </c>
      <c r="M16" s="3048" t="str">
        <f>M14</f>
        <v>TETAP</v>
      </c>
      <c r="N16" s="2998"/>
      <c r="O16" s="2998"/>
    </row>
    <row r="17" spans="1:15" s="3001" customFormat="1" ht="40" customHeight="1">
      <c r="A17" s="3043" t="s">
        <v>3399</v>
      </c>
      <c r="B17" s="3044" t="str">
        <f>RAB!B170</f>
        <v>Pekerjaan Elektrikal</v>
      </c>
      <c r="C17" s="3045"/>
      <c r="D17" s="3046"/>
      <c r="E17" s="3045"/>
      <c r="F17" s="3045"/>
      <c r="G17" s="3047">
        <f>RAB!H180</f>
        <v>6288016.7300000004</v>
      </c>
      <c r="H17" s="3047">
        <f>RAB!J180</f>
        <v>6402567.6999999993</v>
      </c>
      <c r="I17" s="3047">
        <f>RAB!M180</f>
        <v>6402567.6999999993</v>
      </c>
      <c r="J17" s="3047"/>
      <c r="K17" s="3047"/>
      <c r="L17" s="3047">
        <f t="shared" si="0"/>
        <v>6402567.6999999993</v>
      </c>
      <c r="M17" s="3048" t="str">
        <f>M14</f>
        <v>TETAP</v>
      </c>
      <c r="N17" s="2998"/>
      <c r="O17" s="2998"/>
    </row>
    <row r="18" spans="1:15" s="3001" customFormat="1" ht="40" customHeight="1">
      <c r="A18" s="3031" t="s">
        <v>377</v>
      </c>
      <c r="B18" s="3049" t="str">
        <f>RAB!B232</f>
        <v>PEKERJAAN PONDASI PABRIK ES PORTABLE</v>
      </c>
      <c r="C18" s="3050"/>
      <c r="D18" s="3051"/>
      <c r="E18" s="3050"/>
      <c r="F18" s="3050"/>
      <c r="G18" s="3035">
        <f>G19+G20</f>
        <v>205366479.48400003</v>
      </c>
      <c r="H18" s="3035">
        <f>H19+H20</f>
        <v>202401251.52069998</v>
      </c>
      <c r="I18" s="3035">
        <f>I19+I20</f>
        <v>202401251.52069998</v>
      </c>
      <c r="J18" s="3035"/>
      <c r="K18" s="3035"/>
      <c r="L18" s="3035">
        <f t="shared" si="0"/>
        <v>202401251.52069998</v>
      </c>
      <c r="M18" s="3052" t="str">
        <f>M14</f>
        <v>TETAP</v>
      </c>
      <c r="N18" s="2998"/>
      <c r="O18" s="2998"/>
    </row>
    <row r="19" spans="1:15" s="3001" customFormat="1" ht="40" customHeight="1">
      <c r="A19" s="3037" t="s">
        <v>379</v>
      </c>
      <c r="B19" s="3053" t="str">
        <f>RAB!B233</f>
        <v>Pekerjaan Struktural Pondasi</v>
      </c>
      <c r="C19" s="3039"/>
      <c r="D19" s="3040"/>
      <c r="E19" s="3039"/>
      <c r="F19" s="3039"/>
      <c r="G19" s="3041">
        <f>RAB!H271</f>
        <v>155569488.21880004</v>
      </c>
      <c r="H19" s="3041">
        <f>RAB!J271</f>
        <v>152558599.41359997</v>
      </c>
      <c r="I19" s="3041">
        <f>RAB!M271</f>
        <v>152558599.41359997</v>
      </c>
      <c r="J19" s="3041"/>
      <c r="K19" s="3041"/>
      <c r="L19" s="3041">
        <f t="shared" si="0"/>
        <v>152558599.41359997</v>
      </c>
      <c r="M19" s="3042" t="str">
        <f>M14</f>
        <v>TETAP</v>
      </c>
      <c r="N19" s="2998"/>
      <c r="O19" s="2998"/>
    </row>
    <row r="20" spans="1:15" s="3001" customFormat="1" ht="40" customHeight="1">
      <c r="A20" s="3043" t="s">
        <v>3400</v>
      </c>
      <c r="B20" s="3054" t="str">
        <f>RAB!B272</f>
        <v>Pekerjaan Struktural Ground Water Tank Beton</v>
      </c>
      <c r="C20" s="3045"/>
      <c r="D20" s="3046"/>
      <c r="E20" s="3045"/>
      <c r="F20" s="3045"/>
      <c r="G20" s="3047">
        <f>RAB!H309</f>
        <v>49796991.265200004</v>
      </c>
      <c r="H20" s="3047">
        <f>RAB!J309</f>
        <v>49842652.107100017</v>
      </c>
      <c r="I20" s="3047">
        <f>RAB!M309</f>
        <v>49842652.107100017</v>
      </c>
      <c r="J20" s="3047"/>
      <c r="K20" s="3047"/>
      <c r="L20" s="3047">
        <f t="shared" si="0"/>
        <v>49842652.107100017</v>
      </c>
      <c r="M20" s="3048" t="str">
        <f>M14</f>
        <v>TETAP</v>
      </c>
      <c r="N20" s="2998"/>
      <c r="O20" s="2998"/>
    </row>
    <row r="21" spans="1:15" s="3001" customFormat="1" ht="40" customHeight="1">
      <c r="A21" s="3031" t="s">
        <v>392</v>
      </c>
      <c r="B21" s="3049" t="str">
        <f>RAB!B418</f>
        <v>PEKERJAAN BANGUNAN KIOS PERBEKALAN</v>
      </c>
      <c r="C21" s="3033"/>
      <c r="D21" s="3034"/>
      <c r="E21" s="3033"/>
      <c r="F21" s="3033"/>
      <c r="G21" s="3035">
        <f>SUM(G22:G24)</f>
        <v>176470419.35178185</v>
      </c>
      <c r="H21" s="3035">
        <f>SUM(H22:H24)</f>
        <v>174868345.78018546</v>
      </c>
      <c r="I21" s="3035">
        <f>SUM(I22:I24)</f>
        <v>174868345.78018546</v>
      </c>
      <c r="J21" s="3035"/>
      <c r="K21" s="3035"/>
      <c r="L21" s="3035">
        <f t="shared" si="0"/>
        <v>174868345.78018546</v>
      </c>
      <c r="M21" s="3052" t="str">
        <f>M19</f>
        <v>TETAP</v>
      </c>
      <c r="N21" s="2998"/>
      <c r="O21" s="2998"/>
    </row>
    <row r="22" spans="1:15" s="3001" customFormat="1" ht="40" customHeight="1">
      <c r="A22" s="3037" t="s">
        <v>3401</v>
      </c>
      <c r="B22" s="3053" t="str">
        <f>RAB!B419</f>
        <v>Pekerjaan Struktural</v>
      </c>
      <c r="C22" s="3039"/>
      <c r="D22" s="3040"/>
      <c r="E22" s="3039"/>
      <c r="F22" s="3039"/>
      <c r="G22" s="3041">
        <f>RAB!H488</f>
        <v>49209099.184825569</v>
      </c>
      <c r="H22" s="3041">
        <f>RAB!J488</f>
        <v>48283231.03978359</v>
      </c>
      <c r="I22" s="3041">
        <f>RAB!M488</f>
        <v>48283231.03978359</v>
      </c>
      <c r="J22" s="3041"/>
      <c r="K22" s="3041"/>
      <c r="L22" s="3041">
        <f t="shared" si="0"/>
        <v>48283231.03978359</v>
      </c>
      <c r="M22" s="3042" t="str">
        <f>M19</f>
        <v>TETAP</v>
      </c>
      <c r="N22" s="2998"/>
      <c r="O22" s="2998"/>
    </row>
    <row r="23" spans="1:15" s="3001" customFormat="1" ht="40" customHeight="1">
      <c r="A23" s="3043" t="s">
        <v>3402</v>
      </c>
      <c r="B23" s="3054" t="str">
        <f>RAB!B489</f>
        <v>Pekerjaan Arsitektural</v>
      </c>
      <c r="C23" s="3045"/>
      <c r="D23" s="3046"/>
      <c r="E23" s="3045"/>
      <c r="F23" s="3045"/>
      <c r="G23" s="3047">
        <f>RAB!H530</f>
        <v>89559169.24798803</v>
      </c>
      <c r="H23" s="3047">
        <f>RAB!J530</f>
        <v>88418195.753534317</v>
      </c>
      <c r="I23" s="3047">
        <f>RAB!M530</f>
        <v>88418195.753534317</v>
      </c>
      <c r="J23" s="3047"/>
      <c r="K23" s="3047"/>
      <c r="L23" s="3047">
        <f t="shared" si="0"/>
        <v>88418195.753534317</v>
      </c>
      <c r="M23" s="3048" t="str">
        <f>M19</f>
        <v>TETAP</v>
      </c>
      <c r="N23" s="2998"/>
      <c r="O23" s="2998"/>
    </row>
    <row r="24" spans="1:15" s="3001" customFormat="1" ht="40" customHeight="1">
      <c r="A24" s="3043" t="s">
        <v>3403</v>
      </c>
      <c r="B24" s="3054" t="str">
        <f>RAB!B531</f>
        <v>Pekerjaan Mekanikal Elektrikal</v>
      </c>
      <c r="C24" s="3045"/>
      <c r="D24" s="3046"/>
      <c r="E24" s="3045"/>
      <c r="F24" s="3045"/>
      <c r="G24" s="3047">
        <f>RAB!H572</f>
        <v>37702150.918968253</v>
      </c>
      <c r="H24" s="3047">
        <f>RAB!J572</f>
        <v>38166918.986867547</v>
      </c>
      <c r="I24" s="3047">
        <f>RAB!M572</f>
        <v>38166918.986867547</v>
      </c>
      <c r="J24" s="3047"/>
      <c r="K24" s="3047"/>
      <c r="L24" s="3047">
        <f t="shared" si="0"/>
        <v>38166918.986867547</v>
      </c>
      <c r="M24" s="3048" t="str">
        <f>M19</f>
        <v>TETAP</v>
      </c>
      <c r="N24" s="2998"/>
      <c r="O24" s="2998"/>
    </row>
    <row r="25" spans="1:15" s="3001" customFormat="1" ht="52" customHeight="1">
      <c r="A25" s="3031" t="s">
        <v>467</v>
      </c>
      <c r="B25" s="3168" t="str">
        <f>RAB!B960</f>
        <v>PEKERJAAN PLUMBING DISTRIBUSI AIR BERSIH DAN SUMUR BOR</v>
      </c>
      <c r="C25" s="3169"/>
      <c r="D25" s="3170"/>
      <c r="E25" s="3050"/>
      <c r="F25" s="3050"/>
      <c r="G25" s="3035">
        <f>SUM(G26:G28)</f>
        <v>297314633.5704</v>
      </c>
      <c r="H25" s="3035">
        <f>SUM(H26:H28)</f>
        <v>293782539.80571878</v>
      </c>
      <c r="I25" s="3035">
        <f>SUM(I26:I28)</f>
        <v>293782539.80571878</v>
      </c>
      <c r="J25" s="3035"/>
      <c r="K25" s="3035"/>
      <c r="L25" s="3035">
        <f t="shared" si="0"/>
        <v>293782539.80571878</v>
      </c>
      <c r="M25" s="3052" t="str">
        <f>M19</f>
        <v>TETAP</v>
      </c>
      <c r="N25" s="2998"/>
      <c r="O25" s="2998"/>
    </row>
    <row r="26" spans="1:15" s="3001" customFormat="1" ht="40" customHeight="1">
      <c r="A26" s="3037" t="s">
        <v>3404</v>
      </c>
      <c r="B26" s="3053" t="str">
        <f>RAB!B1017</f>
        <v>Pekerjaan Plumbing Distribusi Air Bersih</v>
      </c>
      <c r="C26" s="3039"/>
      <c r="D26" s="3040"/>
      <c r="E26" s="3039"/>
      <c r="F26" s="3039"/>
      <c r="G26" s="3041">
        <f>RAB!H1039</f>
        <v>23838758.75</v>
      </c>
      <c r="H26" s="3041">
        <f>RAB!J1039</f>
        <v>23979572.29739999</v>
      </c>
      <c r="I26" s="3041">
        <f>RAB!M1039</f>
        <v>23979572.29739999</v>
      </c>
      <c r="J26" s="3041"/>
      <c r="K26" s="3041"/>
      <c r="L26" s="3041">
        <f t="shared" si="0"/>
        <v>23979572.29739999</v>
      </c>
      <c r="M26" s="3042" t="str">
        <f>M19</f>
        <v>TETAP</v>
      </c>
      <c r="N26" s="2998"/>
      <c r="O26" s="2998"/>
    </row>
    <row r="27" spans="1:15" s="3001" customFormat="1" ht="40" customHeight="1">
      <c r="A27" s="3024" t="s">
        <v>3405</v>
      </c>
      <c r="B27" s="3025" t="str">
        <f>RAB!B1041</f>
        <v>Pekerjaan Pengeboran</v>
      </c>
      <c r="C27" s="3026"/>
      <c r="D27" s="3027"/>
      <c r="E27" s="3026"/>
      <c r="F27" s="3026"/>
      <c r="G27" s="3029">
        <f>RAB!H1061</f>
        <v>185471699.02039999</v>
      </c>
      <c r="H27" s="3029">
        <f>RAB!J1061</f>
        <v>181348746.46831876</v>
      </c>
      <c r="I27" s="3029">
        <f>RAB!M1061</f>
        <v>181348746.46831876</v>
      </c>
      <c r="J27" s="3029"/>
      <c r="K27" s="3029"/>
      <c r="L27" s="3029">
        <f t="shared" si="0"/>
        <v>181348746.46831876</v>
      </c>
      <c r="M27" s="3055" t="str">
        <f>M19</f>
        <v>TETAP</v>
      </c>
      <c r="N27" s="2998"/>
      <c r="O27" s="2998"/>
    </row>
    <row r="28" spans="1:15" s="3001" customFormat="1" ht="40" customHeight="1">
      <c r="A28" s="3024" t="s">
        <v>3406</v>
      </c>
      <c r="B28" s="3025" t="str">
        <f>RAB!B1062</f>
        <v>Pekerjaan Pengadaan Dan Material</v>
      </c>
      <c r="C28" s="3026"/>
      <c r="D28" s="3027"/>
      <c r="E28" s="3026"/>
      <c r="F28" s="3026"/>
      <c r="G28" s="3029">
        <f>RAB!H1069</f>
        <v>88004175.799999997</v>
      </c>
      <c r="H28" s="3029">
        <f>RAB!J1069</f>
        <v>88454221.039999992</v>
      </c>
      <c r="I28" s="3029">
        <f>RAB!M1069</f>
        <v>88454221.039999992</v>
      </c>
      <c r="J28" s="3029"/>
      <c r="K28" s="3029"/>
      <c r="L28" s="3029">
        <f t="shared" si="0"/>
        <v>88454221.039999992</v>
      </c>
      <c r="M28" s="3055" t="str">
        <f>M19</f>
        <v>TETAP</v>
      </c>
      <c r="N28" s="2998"/>
      <c r="O28" s="2998"/>
    </row>
    <row r="29" spans="1:15" s="3001" customFormat="1" ht="40" customHeight="1">
      <c r="A29" s="3031" t="s">
        <v>548</v>
      </c>
      <c r="B29" s="3049" t="str">
        <f>RAB!B1070</f>
        <v>PEKERJAAN PENERANGAN KAWASAN</v>
      </c>
      <c r="C29" s="3050"/>
      <c r="D29" s="3051"/>
      <c r="E29" s="3050"/>
      <c r="F29" s="3050"/>
      <c r="G29" s="3035">
        <f>SUM(G30:G31)</f>
        <v>321151325.48559999</v>
      </c>
      <c r="H29" s="3035">
        <f>SUM(H30:H31)</f>
        <v>328198925.75199997</v>
      </c>
      <c r="I29" s="3035">
        <f>SUM(I30:I31)</f>
        <v>328198925.75199997</v>
      </c>
      <c r="J29" s="3035"/>
      <c r="K29" s="3035"/>
      <c r="L29" s="3035">
        <f t="shared" si="0"/>
        <v>328198925.75199997</v>
      </c>
      <c r="M29" s="3052" t="str">
        <f>M19</f>
        <v>TETAP</v>
      </c>
      <c r="N29" s="2998"/>
      <c r="O29" s="2998"/>
    </row>
    <row r="30" spans="1:15" s="3001" customFormat="1" ht="40" customHeight="1">
      <c r="A30" s="3056" t="s">
        <v>3407</v>
      </c>
      <c r="B30" s="3010" t="str">
        <f>RAB!B1071</f>
        <v>Pekerjaan Penerangan Tiang T = 7 m Dan T = 4 m</v>
      </c>
      <c r="C30" s="2998"/>
      <c r="D30" s="3011"/>
      <c r="E30" s="2998"/>
      <c r="F30" s="2998"/>
      <c r="G30" s="3057">
        <f>RAB!H1088</f>
        <v>76773322.425599992</v>
      </c>
      <c r="H30" s="3057">
        <f>RAB!J1088</f>
        <v>76970501.495199993</v>
      </c>
      <c r="I30" s="3057">
        <f>RAB!M1088</f>
        <v>76970501.495199993</v>
      </c>
      <c r="J30" s="3057"/>
      <c r="K30" s="3057"/>
      <c r="L30" s="3057">
        <f t="shared" si="0"/>
        <v>76970501.495199993</v>
      </c>
      <c r="M30" s="3058" t="str">
        <f>M19</f>
        <v>TETAP</v>
      </c>
      <c r="N30" s="2998"/>
      <c r="O30" s="2998"/>
    </row>
    <row r="31" spans="1:15" s="3001" customFormat="1" ht="40" customHeight="1">
      <c r="A31" s="3024" t="s">
        <v>3408</v>
      </c>
      <c r="B31" s="3025" t="str">
        <f>RAB!B1089</f>
        <v>Pekerjaan Elektrikal</v>
      </c>
      <c r="C31" s="3026"/>
      <c r="D31" s="3027"/>
      <c r="E31" s="3026"/>
      <c r="F31" s="3026"/>
      <c r="G31" s="3029">
        <f>RAB!H1100</f>
        <v>244378003.06000003</v>
      </c>
      <c r="H31" s="3029">
        <f>RAB!J1100</f>
        <v>251228424.2568</v>
      </c>
      <c r="I31" s="3029">
        <f>RAB!M1100</f>
        <v>251228424.2568</v>
      </c>
      <c r="J31" s="3029"/>
      <c r="K31" s="3029"/>
      <c r="L31" s="3029">
        <f t="shared" si="0"/>
        <v>251228424.2568</v>
      </c>
      <c r="M31" s="3055" t="str">
        <f>M19</f>
        <v>TETAP</v>
      </c>
      <c r="N31" s="2998"/>
      <c r="O31" s="2998"/>
    </row>
    <row r="32" spans="1:15" s="3001" customFormat="1" ht="40" customHeight="1">
      <c r="A32" s="3031" t="s">
        <v>512</v>
      </c>
      <c r="B32" s="3032" t="str">
        <f>RAB!B1280</f>
        <v>PEKERJAAN JALAN LINGKUNGAN DAN SALURAN</v>
      </c>
      <c r="C32" s="3059"/>
      <c r="D32" s="3060"/>
      <c r="E32" s="3059"/>
      <c r="F32" s="3059"/>
      <c r="G32" s="3035">
        <f>SUM(G33:G35)</f>
        <v>564901564.21294856</v>
      </c>
      <c r="H32" s="3035">
        <f>SUM(H33:H35)</f>
        <v>560195355.78849363</v>
      </c>
      <c r="I32" s="3035">
        <f>SUM(I33:I35)</f>
        <v>560195355.78849363</v>
      </c>
      <c r="J32" s="3035"/>
      <c r="K32" s="3035">
        <f>SUM(K33:K35)</f>
        <v>269964329.30099994</v>
      </c>
      <c r="L32" s="3035">
        <f>SUM(L33:L35)</f>
        <v>290231026.48749369</v>
      </c>
      <c r="M32" s="3052" t="s">
        <v>3358</v>
      </c>
      <c r="N32" s="2998"/>
      <c r="O32" s="2998"/>
    </row>
    <row r="33" spans="1:15" s="3001" customFormat="1" ht="40" customHeight="1">
      <c r="A33" s="3037" t="s">
        <v>1192</v>
      </c>
      <c r="B33" s="3053" t="str">
        <f>RAB!B1281</f>
        <v>Pekerjaan Saluran Batu Belah Kawasan</v>
      </c>
      <c r="C33" s="2998"/>
      <c r="D33" s="3011"/>
      <c r="E33" s="2998"/>
      <c r="F33" s="2998"/>
      <c r="G33" s="3057">
        <f>RAB!H1308</f>
        <v>255622510.22134861</v>
      </c>
      <c r="H33" s="3057">
        <f>RAB!J1308</f>
        <v>251586933.1738936</v>
      </c>
      <c r="I33" s="3057">
        <f>RAB!M1308</f>
        <v>251586933.1738936</v>
      </c>
      <c r="J33" s="3057"/>
      <c r="K33" s="3057">
        <f>RAB!U1308</f>
        <v>63786140.556999996</v>
      </c>
      <c r="L33" s="3057">
        <f t="shared" ref="L33:L34" si="1">I33-K33</f>
        <v>187800792.61689359</v>
      </c>
      <c r="M33" s="3058" t="str">
        <f>M32</f>
        <v>PEK. KURANG</v>
      </c>
      <c r="N33" s="2998"/>
      <c r="O33" s="2998"/>
    </row>
    <row r="34" spans="1:15" s="3001" customFormat="1" ht="40" customHeight="1">
      <c r="A34" s="3043" t="s">
        <v>1206</v>
      </c>
      <c r="B34" s="3054" t="str">
        <f>RAB!B1309</f>
        <v>Pekerjaan Jalan Beton Kawasan</v>
      </c>
      <c r="C34" s="3026"/>
      <c r="D34" s="3027"/>
      <c r="E34" s="3026"/>
      <c r="F34" s="3026"/>
      <c r="G34" s="3029">
        <f>RAB!H1328</f>
        <v>262977059.24959993</v>
      </c>
      <c r="H34" s="3029">
        <f>RAB!J1328</f>
        <v>261757301.09460005</v>
      </c>
      <c r="I34" s="3029">
        <f>RAB!M1328</f>
        <v>261757301.09460005</v>
      </c>
      <c r="J34" s="3029"/>
      <c r="K34" s="3029">
        <f>RAB!U1328</f>
        <v>206178188.74399996</v>
      </c>
      <c r="L34" s="3029">
        <f t="shared" si="1"/>
        <v>55579112.350600094</v>
      </c>
      <c r="M34" s="3055" t="str">
        <f>M32</f>
        <v>PEK. KURANG</v>
      </c>
      <c r="N34" s="2998"/>
      <c r="O34" s="2998"/>
    </row>
    <row r="35" spans="1:15" s="3001" customFormat="1" ht="40" customHeight="1">
      <c r="A35" s="3043" t="s">
        <v>1217</v>
      </c>
      <c r="B35" s="3054" t="str">
        <f>RAB!B1329</f>
        <v>Pekerjaan Pedestrian Kawasan</v>
      </c>
      <c r="C35" s="3026"/>
      <c r="D35" s="3027"/>
      <c r="E35" s="3026"/>
      <c r="F35" s="3026"/>
      <c r="G35" s="3029">
        <f>RAB!H1337</f>
        <v>46301994.741999999</v>
      </c>
      <c r="H35" s="3029">
        <f>RAB!J1337</f>
        <v>46851121.520000011</v>
      </c>
      <c r="I35" s="3029">
        <f>RAB!M1337</f>
        <v>46851121.520000011</v>
      </c>
      <c r="J35" s="3029"/>
      <c r="K35" s="3029"/>
      <c r="L35" s="3029">
        <f>I35-K35</f>
        <v>46851121.520000011</v>
      </c>
      <c r="M35" s="3055" t="str">
        <f>M30</f>
        <v>TETAP</v>
      </c>
      <c r="N35" s="2998"/>
      <c r="O35" s="2998"/>
    </row>
    <row r="36" spans="1:15" s="3001" customFormat="1" ht="40" customHeight="1">
      <c r="A36" s="3031" t="s">
        <v>520</v>
      </c>
      <c r="B36" s="3049" t="str">
        <f>RAB!B1338</f>
        <v>PEKERJAAN LANDSKAPING KAWASAN</v>
      </c>
      <c r="C36" s="3050"/>
      <c r="D36" s="3051"/>
      <c r="E36" s="3050"/>
      <c r="F36" s="3050"/>
      <c r="G36" s="3035">
        <f>RAB!H1344</f>
        <v>30720881.3156</v>
      </c>
      <c r="H36" s="3035">
        <f>RAB!J1344</f>
        <v>30533547.655600004</v>
      </c>
      <c r="I36" s="3035">
        <f>RAB!M1344</f>
        <v>30533547.655600004</v>
      </c>
      <c r="J36" s="3035"/>
      <c r="K36" s="3035"/>
      <c r="L36" s="3035">
        <f>I36</f>
        <v>30533547.655600004</v>
      </c>
      <c r="M36" s="3036" t="str">
        <f>M35</f>
        <v>TETAP</v>
      </c>
      <c r="N36" s="2998"/>
      <c r="O36" s="2998"/>
    </row>
    <row r="37" spans="1:15" s="3001" customFormat="1" ht="40" customHeight="1" thickBot="1">
      <c r="A37" s="3019" t="s">
        <v>642</v>
      </c>
      <c r="B37" s="3020" t="str">
        <f>RAB!B1345</f>
        <v>PEKERJAAN LEVELLING LAHAN</v>
      </c>
      <c r="C37" s="2998"/>
      <c r="D37" s="3011"/>
      <c r="E37" s="2998"/>
      <c r="F37" s="2998"/>
      <c r="G37" s="3021">
        <f>RAB!H1348</f>
        <v>60624207.5792</v>
      </c>
      <c r="H37" s="3021">
        <f>RAB!J1348</f>
        <v>59736881.413599998</v>
      </c>
      <c r="I37" s="3021">
        <f>RAB!M1348</f>
        <v>59736881.413599998</v>
      </c>
      <c r="J37" s="3061">
        <f>RAB!Q1348</f>
        <v>69132668.05157508</v>
      </c>
      <c r="K37" s="3061"/>
      <c r="L37" s="3061">
        <f>I37+J37</f>
        <v>128869549.46517508</v>
      </c>
      <c r="M37" s="3062" t="s">
        <v>3357</v>
      </c>
      <c r="N37" s="2998"/>
      <c r="O37" s="2998"/>
    </row>
    <row r="38" spans="1:15" s="3001" customFormat="1" ht="40" customHeight="1">
      <c r="A38" s="3063"/>
      <c r="B38" s="3064"/>
      <c r="C38" s="3065"/>
      <c r="D38" s="3066" t="s">
        <v>72</v>
      </c>
      <c r="E38" s="3065"/>
      <c r="F38" s="3065"/>
      <c r="G38" s="3067">
        <f>Resume!E37</f>
        <v>2354084569.6371779</v>
      </c>
      <c r="H38" s="3067">
        <f>Resume!F37</f>
        <v>2342272488.0510449</v>
      </c>
      <c r="I38" s="3067">
        <f>I37+I36+I32+I29+I25+I21+I18+I14+I12+I11</f>
        <v>2289265441.0010448</v>
      </c>
      <c r="J38" s="3067">
        <f>J37+J12</f>
        <v>269964329.36286694</v>
      </c>
      <c r="K38" s="3067">
        <f>K32</f>
        <v>269964329.30099994</v>
      </c>
      <c r="L38" s="3067">
        <f>L37+L36+L32+L29+L25+L21+L18+L14+L12+L11</f>
        <v>2289265441.062912</v>
      </c>
      <c r="M38" s="3068"/>
      <c r="N38" s="2998"/>
      <c r="O38" s="2998"/>
    </row>
    <row r="39" spans="1:15" s="3001" customFormat="1" ht="40" customHeight="1">
      <c r="A39" s="3069"/>
      <c r="B39" s="3054"/>
      <c r="C39" s="3045"/>
      <c r="D39" s="3046" t="s">
        <v>73</v>
      </c>
      <c r="E39" s="3045"/>
      <c r="F39" s="3045"/>
      <c r="G39" s="3070">
        <f>G38*11%</f>
        <v>258949302.66008958</v>
      </c>
      <c r="H39" s="3070">
        <f>H38*11%</f>
        <v>257649973.68561494</v>
      </c>
      <c r="I39" s="3070">
        <f>I38*11%</f>
        <v>251819198.51011494</v>
      </c>
      <c r="J39" s="3070"/>
      <c r="K39" s="3070"/>
      <c r="L39" s="3070">
        <f>L38*0.11</f>
        <v>251819198.51692033</v>
      </c>
      <c r="M39" s="3048"/>
      <c r="N39" s="2998"/>
      <c r="O39" s="2998"/>
    </row>
    <row r="40" spans="1:15" s="3001" customFormat="1" ht="40" customHeight="1">
      <c r="A40" s="3071"/>
      <c r="B40" s="3072"/>
      <c r="C40" s="3050"/>
      <c r="D40" s="3051" t="s">
        <v>74</v>
      </c>
      <c r="E40" s="3050"/>
      <c r="F40" s="3050"/>
      <c r="G40" s="3073">
        <f>G38+G39</f>
        <v>2613033872.2972674</v>
      </c>
      <c r="H40" s="3073">
        <f>H38+H39</f>
        <v>2599922461.73666</v>
      </c>
      <c r="I40" s="3073">
        <f>I38+I39</f>
        <v>2541084639.5111599</v>
      </c>
      <c r="J40" s="3073"/>
      <c r="K40" s="3073"/>
      <c r="L40" s="3073">
        <f>L39+L38</f>
        <v>2541084639.5798321</v>
      </c>
      <c r="M40" s="3074"/>
      <c r="N40" s="2998"/>
      <c r="O40" s="2998"/>
    </row>
    <row r="41" spans="1:15" s="3001" customFormat="1" ht="40" customHeight="1" thickBot="1">
      <c r="A41" s="3075"/>
      <c r="B41" s="3076"/>
      <c r="C41" s="3077"/>
      <c r="D41" s="3078" t="s">
        <v>75</v>
      </c>
      <c r="E41" s="3079"/>
      <c r="F41" s="3079"/>
      <c r="G41" s="3080">
        <f>ROUNDDOWN(G40,-3)</f>
        <v>2613033000</v>
      </c>
      <c r="H41" s="3080">
        <f>ROUNDDOWN(H40,-3)</f>
        <v>2599922000</v>
      </c>
      <c r="I41" s="3080">
        <f>ROUNDDOWN(I40,-3)</f>
        <v>2541084000</v>
      </c>
      <c r="J41" s="3080"/>
      <c r="K41" s="3080"/>
      <c r="L41" s="3080">
        <f>ROUNDDOWN(L40,-3)</f>
        <v>2541084000</v>
      </c>
      <c r="M41" s="3081"/>
      <c r="N41" s="2998"/>
      <c r="O41" s="2998"/>
    </row>
    <row r="42" spans="1:15" s="3001" customFormat="1" ht="30" customHeight="1">
      <c r="A42" s="3082"/>
      <c r="B42" s="2998"/>
      <c r="C42" s="2998"/>
      <c r="D42" s="2998"/>
      <c r="E42" s="2998"/>
      <c r="F42" s="2998"/>
      <c r="G42" s="2998"/>
      <c r="H42" s="2998"/>
      <c r="I42" s="2998"/>
      <c r="J42" s="2998"/>
      <c r="K42" s="2998"/>
      <c r="L42" s="2998"/>
      <c r="M42" s="2998"/>
      <c r="N42" s="2998"/>
      <c r="O42" s="2998"/>
    </row>
    <row r="43" spans="1:15" s="3001" customFormat="1" ht="30" customHeight="1">
      <c r="A43" s="3082"/>
      <c r="B43" s="2998"/>
      <c r="C43" s="2998"/>
      <c r="D43" s="2998"/>
      <c r="E43" s="2998"/>
      <c r="F43" s="2998"/>
      <c r="G43" s="2998"/>
      <c r="H43" s="3002"/>
      <c r="I43" s="3083"/>
      <c r="J43" s="3083"/>
      <c r="K43" s="3083"/>
      <c r="M43" s="2999" t="s">
        <v>3414</v>
      </c>
      <c r="N43" s="2998"/>
      <c r="O43" s="2998"/>
    </row>
    <row r="44" spans="1:15" s="3092" customFormat="1" ht="30" customHeight="1">
      <c r="A44" s="3089"/>
      <c r="B44" s="3089"/>
      <c r="C44" s="3089" t="s">
        <v>3375</v>
      </c>
      <c r="D44" s="3090"/>
      <c r="E44" s="3090"/>
      <c r="F44" s="3090"/>
      <c r="G44" s="3090"/>
      <c r="H44" s="3090"/>
      <c r="I44" s="3161" t="s">
        <v>3374</v>
      </c>
      <c r="J44" s="3161"/>
      <c r="K44" s="3091"/>
      <c r="L44" s="3161" t="s">
        <v>3381</v>
      </c>
      <c r="M44" s="3161"/>
      <c r="N44" s="3090"/>
      <c r="O44" s="3090"/>
    </row>
    <row r="45" spans="1:15" s="3092" customFormat="1" ht="30" customHeight="1">
      <c r="A45" s="3089"/>
      <c r="B45" s="3093"/>
      <c r="C45" s="3093" t="s">
        <v>3376</v>
      </c>
      <c r="D45" s="3090"/>
      <c r="E45" s="3090"/>
      <c r="F45" s="3090"/>
      <c r="G45" s="3090"/>
      <c r="H45" s="3090"/>
      <c r="I45" s="3161" t="s">
        <v>3412</v>
      </c>
      <c r="J45" s="3161"/>
      <c r="K45" s="3090"/>
      <c r="L45" s="3167" t="s">
        <v>3413</v>
      </c>
      <c r="M45" s="3167"/>
      <c r="N45" s="3090"/>
      <c r="O45" s="3090"/>
    </row>
    <row r="46" spans="1:15" s="3092" customFormat="1" ht="30" customHeight="1">
      <c r="A46" s="3089"/>
      <c r="B46" s="3089"/>
      <c r="C46" s="3089"/>
      <c r="D46" s="3094"/>
      <c r="E46" s="3095"/>
      <c r="F46" s="3090"/>
      <c r="G46" s="3090"/>
      <c r="H46" s="3090"/>
      <c r="I46" s="3089"/>
      <c r="J46" s="3096"/>
      <c r="K46" s="3090"/>
      <c r="L46" s="3090"/>
      <c r="M46" s="3090"/>
      <c r="N46" s="3090"/>
      <c r="O46" s="3090"/>
    </row>
    <row r="47" spans="1:15" s="3092" customFormat="1" ht="30" customHeight="1">
      <c r="A47" s="3089"/>
      <c r="B47" s="3089"/>
      <c r="C47" s="3089"/>
      <c r="D47" s="3094"/>
      <c r="E47" s="3095"/>
      <c r="F47" s="3090"/>
      <c r="G47" s="3090"/>
      <c r="H47" s="3090"/>
      <c r="I47" s="3089"/>
      <c r="J47" s="3096"/>
      <c r="K47" s="3090"/>
      <c r="L47" s="3090"/>
      <c r="M47" s="3090"/>
      <c r="N47" s="3090"/>
      <c r="O47" s="3090"/>
    </row>
    <row r="48" spans="1:15" s="3092" customFormat="1" ht="30" customHeight="1">
      <c r="A48" s="3089"/>
      <c r="B48" s="3089"/>
      <c r="C48" s="3089"/>
      <c r="D48" s="3094"/>
      <c r="E48" s="3095"/>
      <c r="F48" s="3090"/>
      <c r="G48" s="3090"/>
      <c r="H48" s="3090"/>
      <c r="I48" s="3089"/>
      <c r="J48" s="3096"/>
      <c r="K48" s="3090"/>
      <c r="L48" s="3090"/>
      <c r="M48" s="3090"/>
      <c r="N48" s="3090"/>
      <c r="O48" s="3090"/>
    </row>
    <row r="49" spans="1:15" s="3092" customFormat="1" ht="30" customHeight="1">
      <c r="A49" s="3089"/>
      <c r="B49" s="3089"/>
      <c r="C49" s="3089"/>
      <c r="D49" s="3094"/>
      <c r="E49" s="3095"/>
      <c r="F49" s="3090"/>
      <c r="G49" s="3090"/>
      <c r="H49" s="3090"/>
      <c r="I49" s="3089"/>
      <c r="J49" s="3096"/>
      <c r="K49" s="3090"/>
      <c r="L49" s="3090"/>
      <c r="M49" s="3090"/>
      <c r="N49" s="3090"/>
      <c r="O49" s="3090"/>
    </row>
    <row r="50" spans="1:15" s="3092" customFormat="1" ht="30" customHeight="1">
      <c r="A50" s="3089"/>
      <c r="B50" s="3089"/>
      <c r="C50" s="3089"/>
      <c r="D50" s="3089"/>
      <c r="E50" s="3096"/>
      <c r="F50" s="3090"/>
      <c r="G50" s="3090"/>
      <c r="H50" s="3090"/>
      <c r="I50" s="3089"/>
      <c r="J50" s="3096"/>
      <c r="K50" s="3090"/>
      <c r="L50" s="3090"/>
      <c r="M50" s="3090"/>
      <c r="N50" s="3090"/>
      <c r="O50" s="3090"/>
    </row>
    <row r="51" spans="1:15" s="3092" customFormat="1" ht="30" customHeight="1">
      <c r="A51" s="3089"/>
      <c r="B51" s="3089"/>
      <c r="C51" s="3089"/>
      <c r="D51" s="3097"/>
      <c r="E51" s="3098"/>
      <c r="F51" s="3090"/>
      <c r="G51" s="3090"/>
      <c r="H51" s="3090"/>
      <c r="I51" s="3097"/>
      <c r="J51" s="3098"/>
      <c r="K51" s="3090"/>
      <c r="L51" s="3090"/>
      <c r="M51" s="3090"/>
      <c r="N51" s="3090"/>
      <c r="O51" s="3090"/>
    </row>
    <row r="52" spans="1:15" s="3092" customFormat="1" ht="30" customHeight="1">
      <c r="A52" s="3089"/>
      <c r="B52" s="2345"/>
      <c r="C52" s="2345" t="s">
        <v>3387</v>
      </c>
      <c r="D52" s="3099"/>
      <c r="E52" s="3099"/>
      <c r="F52" s="3090"/>
      <c r="G52" s="3090"/>
      <c r="H52" s="3090"/>
      <c r="I52" s="3157" t="s">
        <v>3389</v>
      </c>
      <c r="J52" s="3157"/>
      <c r="K52" s="3090"/>
      <c r="L52" s="3160" t="s">
        <v>3382</v>
      </c>
      <c r="M52" s="3160"/>
      <c r="N52" s="3090"/>
      <c r="O52" s="3090"/>
    </row>
    <row r="53" spans="1:15" s="3092" customFormat="1" ht="30" customHeight="1">
      <c r="A53" s="3089"/>
      <c r="B53" s="3089"/>
      <c r="C53" s="3089" t="s">
        <v>3388</v>
      </c>
      <c r="D53" s="3100"/>
      <c r="E53" s="3100"/>
      <c r="F53" s="3090"/>
      <c r="G53" s="3090"/>
      <c r="H53" s="3090"/>
      <c r="I53" s="3158" t="s">
        <v>3390</v>
      </c>
      <c r="J53" s="3158"/>
      <c r="K53" s="3090"/>
      <c r="L53" s="3161" t="s">
        <v>3383</v>
      </c>
      <c r="M53" s="3161"/>
      <c r="N53" s="3090"/>
      <c r="O53" s="3090"/>
    </row>
    <row r="54" spans="1:15" ht="15.75" customHeight="1">
      <c r="A54" s="7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340"/>
      <c r="M54" s="2212"/>
      <c r="N54" s="28"/>
      <c r="O54" s="28"/>
    </row>
    <row r="55" spans="1:15" ht="15.75" customHeight="1">
      <c r="A55" s="78"/>
      <c r="B55" s="28"/>
      <c r="C55" s="78"/>
      <c r="D55" s="28"/>
      <c r="E55" s="28"/>
      <c r="F55" s="28"/>
      <c r="G55" s="28"/>
      <c r="H55" s="28"/>
      <c r="I55" s="28"/>
      <c r="J55" s="28"/>
      <c r="K55" s="28"/>
      <c r="L55" s="3162"/>
      <c r="M55" s="3162"/>
      <c r="N55" s="28"/>
      <c r="O55" s="28"/>
    </row>
    <row r="56" spans="1:15" ht="15.75" customHeight="1">
      <c r="A56" s="78"/>
      <c r="B56" s="28"/>
      <c r="C56" s="2341"/>
      <c r="D56" s="28"/>
      <c r="E56" s="28"/>
      <c r="F56" s="28"/>
      <c r="G56" s="28"/>
      <c r="H56" s="28"/>
      <c r="I56" s="28"/>
      <c r="J56" s="28"/>
      <c r="K56" s="28"/>
      <c r="L56" s="3163"/>
      <c r="M56" s="3163"/>
      <c r="N56" s="28"/>
      <c r="O56" s="28"/>
    </row>
    <row r="57" spans="1:15" ht="15.75" customHeight="1">
      <c r="A57" s="7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</row>
    <row r="58" spans="1:15" ht="15.75" customHeight="1">
      <c r="A58" s="7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9"/>
      <c r="M58" s="2212"/>
      <c r="N58" s="28"/>
      <c r="O58" s="28"/>
    </row>
    <row r="59" spans="1:15" ht="15.75" customHeight="1">
      <c r="A59" s="7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9"/>
      <c r="M59" s="2212"/>
      <c r="N59" s="28"/>
      <c r="O59" s="28"/>
    </row>
    <row r="60" spans="1:15" ht="15.75" customHeight="1">
      <c r="A60" s="7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9"/>
      <c r="M60" s="2212"/>
      <c r="N60" s="28"/>
      <c r="O60" s="28"/>
    </row>
    <row r="61" spans="1:15" ht="15.75" customHeight="1">
      <c r="A61" s="78"/>
      <c r="B61" s="28"/>
      <c r="C61" s="2342"/>
      <c r="D61" s="28"/>
      <c r="E61" s="28"/>
      <c r="F61" s="28"/>
      <c r="G61" s="28"/>
      <c r="H61" s="28"/>
      <c r="I61" s="28"/>
      <c r="J61" s="28"/>
      <c r="K61" s="28"/>
      <c r="L61" s="3164"/>
      <c r="M61" s="3164"/>
      <c r="N61" s="28"/>
      <c r="O61" s="28"/>
    </row>
    <row r="62" spans="1:15" ht="15.75" customHeight="1">
      <c r="A62" s="78"/>
      <c r="B62" s="28"/>
      <c r="C62" s="78"/>
      <c r="D62" s="28"/>
      <c r="E62" s="28"/>
      <c r="F62" s="28"/>
      <c r="G62" s="28"/>
      <c r="H62" s="28"/>
      <c r="I62" s="28"/>
      <c r="J62" s="28"/>
      <c r="K62" s="28"/>
      <c r="L62" s="3159"/>
      <c r="M62" s="3159"/>
      <c r="N62" s="28"/>
      <c r="O62" s="28"/>
    </row>
    <row r="63" spans="1:15" ht="15.75" customHeight="1">
      <c r="A63" s="7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</row>
    <row r="64" spans="1:15" ht="15.75" customHeight="1">
      <c r="A64" s="7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</row>
    <row r="65" spans="1:15" ht="15.75" customHeight="1">
      <c r="A65" s="7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</row>
    <row r="66" spans="1:15" ht="15.75" customHeight="1">
      <c r="A66" s="7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</row>
    <row r="67" spans="1:15" ht="15.75" customHeight="1">
      <c r="A67" s="7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</row>
    <row r="68" spans="1:15" ht="15.75" customHeight="1">
      <c r="A68" s="7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</row>
    <row r="69" spans="1:15" ht="15.75" customHeight="1">
      <c r="A69" s="7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</row>
    <row r="70" spans="1:15" ht="15.75" customHeight="1">
      <c r="A70" s="7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</row>
    <row r="71" spans="1:15" ht="15.75" customHeight="1">
      <c r="A71" s="7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</row>
    <row r="72" spans="1:15" ht="15.75" customHeight="1">
      <c r="A72" s="7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</row>
    <row r="73" spans="1:15" ht="15.75" customHeight="1">
      <c r="A73" s="7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</row>
    <row r="74" spans="1:15" ht="15.75" customHeight="1">
      <c r="A74" s="7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</row>
    <row r="75" spans="1:15" ht="15.75" customHeight="1">
      <c r="A75" s="7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</row>
    <row r="76" spans="1:15" ht="15.75" customHeight="1">
      <c r="A76" s="7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</row>
    <row r="77" spans="1:15" ht="15.75" customHeight="1">
      <c r="A77" s="7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</row>
    <row r="78" spans="1:15" ht="15.75" customHeight="1">
      <c r="A78" s="7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</row>
    <row r="79" spans="1:15" ht="15.75" customHeight="1">
      <c r="A79" s="7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</row>
    <row r="80" spans="1:15" ht="15.75" customHeight="1">
      <c r="A80" s="7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</row>
    <row r="81" spans="1:15" ht="15.75" customHeight="1">
      <c r="A81" s="7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</row>
    <row r="82" spans="1:15" ht="15.75" customHeight="1">
      <c r="A82" s="7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</row>
    <row r="83" spans="1:15" ht="15.75" customHeight="1">
      <c r="A83" s="7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</row>
    <row r="84" spans="1:15" ht="15.75" customHeight="1">
      <c r="A84" s="7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</row>
    <row r="85" spans="1:15" ht="15.75" customHeight="1">
      <c r="A85" s="7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</row>
    <row r="86" spans="1:15" ht="15.75" customHeight="1">
      <c r="A86" s="7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</row>
    <row r="87" spans="1:15" ht="15.75" customHeight="1">
      <c r="A87" s="7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</row>
    <row r="88" spans="1:15" ht="15.75" customHeight="1">
      <c r="A88" s="7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</row>
    <row r="89" spans="1:15" ht="15.75" customHeight="1">
      <c r="A89" s="7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</row>
    <row r="90" spans="1:15" ht="15.75" customHeight="1">
      <c r="A90" s="7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</row>
    <row r="91" spans="1:15" ht="15.75" customHeight="1">
      <c r="A91" s="7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</row>
    <row r="92" spans="1:15" ht="15.75" customHeight="1">
      <c r="A92" s="7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</row>
    <row r="93" spans="1:15" ht="15.75" customHeight="1">
      <c r="A93" s="7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</row>
    <row r="94" spans="1:15" ht="15.75" customHeight="1">
      <c r="A94" s="7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</row>
    <row r="95" spans="1:15" ht="15.75" customHeight="1">
      <c r="A95" s="7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</row>
    <row r="96" spans="1:15" ht="15.75" customHeight="1">
      <c r="A96" s="7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</row>
    <row r="97" spans="1:15" ht="15.75" customHeight="1">
      <c r="A97" s="7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</row>
    <row r="98" spans="1:15" ht="15.75" customHeight="1">
      <c r="A98" s="7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</row>
    <row r="99" spans="1:15" ht="15.75" customHeight="1">
      <c r="A99" s="7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</row>
    <row r="100" spans="1:15" ht="15.75" customHeight="1">
      <c r="A100" s="7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</row>
    <row r="101" spans="1:15" ht="15.75" customHeight="1">
      <c r="A101" s="7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</row>
    <row r="102" spans="1:15" ht="15.75" customHeight="1">
      <c r="A102" s="7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</row>
    <row r="103" spans="1:15" ht="15.75" customHeight="1">
      <c r="A103" s="7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</row>
    <row r="104" spans="1:15" ht="15.75" customHeight="1">
      <c r="A104" s="7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</row>
    <row r="105" spans="1:15" ht="15.75" customHeight="1">
      <c r="A105" s="7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</row>
    <row r="106" spans="1:15" ht="15.75" customHeight="1">
      <c r="A106" s="7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</row>
    <row r="107" spans="1:15" ht="15.75" customHeight="1">
      <c r="A107" s="7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</row>
    <row r="108" spans="1:15" ht="15.75" customHeight="1">
      <c r="A108" s="7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</row>
    <row r="109" spans="1:15" ht="15.75" customHeight="1">
      <c r="A109" s="7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</row>
    <row r="110" spans="1:15" ht="15.75" customHeight="1">
      <c r="A110" s="7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</row>
    <row r="111" spans="1:15" ht="15.75" customHeight="1">
      <c r="A111" s="7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</row>
    <row r="112" spans="1:15" ht="15.75" customHeight="1">
      <c r="A112" s="7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</row>
    <row r="113" spans="1:15" ht="15.75" customHeight="1">
      <c r="A113" s="7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</row>
    <row r="114" spans="1:15" ht="15.75" customHeight="1">
      <c r="A114" s="7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</row>
    <row r="115" spans="1:15" ht="15.75" customHeight="1">
      <c r="A115" s="7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</row>
    <row r="116" spans="1:15" ht="15.75" customHeight="1">
      <c r="A116" s="7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</row>
    <row r="117" spans="1:15" ht="15.75" customHeight="1">
      <c r="A117" s="7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</row>
    <row r="118" spans="1:15" ht="15.75" customHeight="1">
      <c r="A118" s="7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</row>
    <row r="119" spans="1:15" ht="15.75" customHeight="1">
      <c r="A119" s="7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</row>
    <row r="120" spans="1:15" ht="15.75" customHeight="1">
      <c r="A120" s="7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</row>
    <row r="121" spans="1:15" ht="15.75" customHeight="1">
      <c r="A121" s="7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</row>
    <row r="122" spans="1:15" ht="15.75" customHeight="1">
      <c r="A122" s="7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</row>
    <row r="123" spans="1:15" ht="15.75" customHeight="1">
      <c r="A123" s="7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</row>
    <row r="124" spans="1:15" ht="15.75" customHeight="1">
      <c r="A124" s="7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</row>
    <row r="125" spans="1:15" ht="15.75" customHeight="1">
      <c r="A125" s="7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</row>
    <row r="126" spans="1:15" ht="15.75" customHeight="1">
      <c r="A126" s="7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</row>
    <row r="127" spans="1:15" ht="15.75" customHeight="1">
      <c r="A127" s="7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</row>
    <row r="128" spans="1:15" ht="15.75" customHeight="1">
      <c r="A128" s="7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</row>
    <row r="129" spans="1:15" ht="15.75" customHeight="1">
      <c r="A129" s="7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</row>
    <row r="130" spans="1:15" ht="15.75" customHeight="1">
      <c r="A130" s="7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</row>
    <row r="131" spans="1:15" ht="15.75" customHeight="1">
      <c r="A131" s="7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</row>
    <row r="132" spans="1:15" ht="15.75" customHeight="1">
      <c r="A132" s="7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</row>
    <row r="133" spans="1:15" ht="15.75" customHeight="1">
      <c r="A133" s="7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</row>
    <row r="134" spans="1:15" ht="15.75" customHeight="1">
      <c r="A134" s="7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</row>
    <row r="135" spans="1:15" ht="15.75" customHeight="1">
      <c r="A135" s="7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</row>
    <row r="136" spans="1:15" ht="15.75" customHeight="1">
      <c r="A136" s="7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</row>
    <row r="137" spans="1:15" ht="15.75" customHeight="1">
      <c r="A137" s="7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</row>
    <row r="138" spans="1:15" ht="15.75" customHeight="1">
      <c r="A138" s="7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</row>
    <row r="139" spans="1:15" ht="15.75" customHeight="1">
      <c r="A139" s="7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</row>
    <row r="140" spans="1:15" ht="15.75" customHeight="1">
      <c r="A140" s="7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</row>
    <row r="141" spans="1:15" ht="15.75" customHeight="1">
      <c r="A141" s="7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</row>
    <row r="142" spans="1:15" ht="15.75" customHeight="1">
      <c r="A142" s="7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</row>
    <row r="143" spans="1:15" ht="15.75" customHeight="1">
      <c r="A143" s="7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</row>
    <row r="144" spans="1:15" ht="15.75" customHeight="1">
      <c r="A144" s="7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</row>
    <row r="145" spans="1:15" ht="15.75" customHeight="1">
      <c r="A145" s="7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</row>
    <row r="146" spans="1:15" ht="15.75" customHeight="1">
      <c r="A146" s="7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</row>
    <row r="147" spans="1:15" ht="15.75" customHeight="1">
      <c r="A147" s="7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</row>
    <row r="148" spans="1:15" ht="15.75" customHeight="1">
      <c r="A148" s="7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</row>
    <row r="149" spans="1:15" ht="15.75" customHeight="1">
      <c r="A149" s="7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</row>
    <row r="150" spans="1:15" ht="15.75" customHeight="1">
      <c r="A150" s="7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</row>
    <row r="151" spans="1:15" ht="15.75" customHeight="1">
      <c r="A151" s="7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</row>
    <row r="152" spans="1:15" ht="15.75" customHeight="1">
      <c r="A152" s="7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</row>
    <row r="153" spans="1:15" ht="15.75" customHeight="1">
      <c r="A153" s="7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</row>
    <row r="154" spans="1:15" ht="15.75" customHeight="1">
      <c r="A154" s="7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</row>
    <row r="155" spans="1:15" ht="15.75" customHeight="1">
      <c r="A155" s="7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</row>
    <row r="156" spans="1:15" ht="15.75" customHeight="1">
      <c r="A156" s="7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</row>
    <row r="157" spans="1:15" ht="15.75" customHeight="1">
      <c r="A157" s="7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</row>
    <row r="158" spans="1:15" ht="15.75" customHeight="1">
      <c r="A158" s="7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</row>
    <row r="159" spans="1:15" ht="15.75" customHeight="1">
      <c r="A159" s="7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</row>
    <row r="160" spans="1:15" ht="15.75" customHeight="1">
      <c r="A160" s="7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</row>
    <row r="161" spans="1:15" ht="15.75" customHeight="1">
      <c r="A161" s="7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</row>
    <row r="162" spans="1:15" ht="15.75" customHeight="1">
      <c r="A162" s="7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</row>
    <row r="163" spans="1:15" ht="15.75" customHeight="1">
      <c r="A163" s="7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</row>
    <row r="164" spans="1:15" ht="15.75" customHeight="1">
      <c r="A164" s="7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</row>
    <row r="165" spans="1:15" ht="15.75" customHeight="1">
      <c r="A165" s="7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</row>
    <row r="166" spans="1:15" ht="15.75" customHeight="1">
      <c r="A166" s="7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</row>
    <row r="167" spans="1:15" ht="15.75" customHeight="1">
      <c r="A167" s="7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</row>
    <row r="168" spans="1:15" ht="15.75" customHeight="1">
      <c r="A168" s="7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</row>
    <row r="169" spans="1:15" ht="15.75" customHeight="1">
      <c r="A169" s="7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</row>
    <row r="170" spans="1:15" ht="15.75" customHeight="1">
      <c r="A170" s="7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</row>
    <row r="171" spans="1:15" ht="15.75" customHeight="1">
      <c r="A171" s="7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</row>
    <row r="172" spans="1:15" ht="15.75" customHeight="1">
      <c r="A172" s="7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</row>
    <row r="173" spans="1:15" ht="15.75" customHeight="1">
      <c r="A173" s="7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</row>
    <row r="174" spans="1:15" ht="15.75" customHeight="1">
      <c r="A174" s="7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</row>
    <row r="175" spans="1:15" ht="15.75" customHeight="1">
      <c r="A175" s="7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</row>
    <row r="176" spans="1:15" ht="15.75" customHeight="1">
      <c r="A176" s="7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</row>
    <row r="177" spans="1:15" ht="15.75" customHeight="1">
      <c r="A177" s="7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</row>
    <row r="178" spans="1:15" ht="15.75" customHeight="1">
      <c r="A178" s="7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</row>
    <row r="179" spans="1:15" ht="15.75" customHeight="1">
      <c r="A179" s="7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</row>
    <row r="180" spans="1:15" ht="15.75" customHeight="1">
      <c r="A180" s="7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</row>
    <row r="181" spans="1:15" ht="15.75" customHeight="1">
      <c r="A181" s="7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</row>
    <row r="182" spans="1:15" ht="15.75" customHeight="1">
      <c r="A182" s="7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</row>
    <row r="183" spans="1:15" ht="15.75" customHeight="1">
      <c r="A183" s="7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</row>
    <row r="184" spans="1:15" ht="15.75" customHeight="1">
      <c r="A184" s="7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</row>
    <row r="185" spans="1:15" ht="15.75" customHeight="1">
      <c r="A185" s="7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</row>
    <row r="186" spans="1:15" ht="15.75" customHeight="1">
      <c r="A186" s="7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</row>
    <row r="187" spans="1:15" ht="15.75" customHeight="1">
      <c r="A187" s="7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</row>
    <row r="188" spans="1:15" ht="15.75" customHeight="1">
      <c r="A188" s="7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</row>
    <row r="189" spans="1:15" ht="15.75" customHeight="1">
      <c r="A189" s="7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</row>
    <row r="190" spans="1:15" ht="15.75" customHeight="1">
      <c r="A190" s="7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</row>
    <row r="191" spans="1:15" ht="15.75" customHeight="1">
      <c r="A191" s="7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</row>
    <row r="192" spans="1:15" ht="15.75" customHeight="1">
      <c r="A192" s="7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</row>
    <row r="193" spans="1:15" ht="15.75" customHeight="1">
      <c r="A193" s="7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</row>
    <row r="194" spans="1:15" ht="15.75" customHeight="1">
      <c r="A194" s="7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</row>
    <row r="195" spans="1:15" ht="15.75" customHeight="1">
      <c r="A195" s="7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</row>
    <row r="196" spans="1:15" ht="15.75" customHeight="1">
      <c r="A196" s="7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</row>
    <row r="197" spans="1:15" ht="15.75" customHeight="1">
      <c r="A197" s="7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</row>
    <row r="198" spans="1:15" ht="15.75" customHeight="1">
      <c r="A198" s="7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</row>
    <row r="199" spans="1:15" ht="15.75" customHeight="1">
      <c r="A199" s="7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</row>
    <row r="200" spans="1:15" ht="15.75" customHeight="1">
      <c r="A200" s="7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</row>
    <row r="201" spans="1:15" ht="15.75" customHeight="1">
      <c r="A201" s="7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</row>
    <row r="202" spans="1:15" ht="15.75" customHeight="1">
      <c r="A202" s="7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</row>
    <row r="203" spans="1:15" ht="15.75" customHeight="1">
      <c r="A203" s="7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</row>
    <row r="204" spans="1:15" ht="15.75" customHeight="1">
      <c r="A204" s="7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</row>
    <row r="205" spans="1:15" ht="15.75" customHeight="1">
      <c r="A205" s="7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</row>
    <row r="206" spans="1:15" ht="15.75" customHeight="1">
      <c r="A206" s="7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</row>
    <row r="207" spans="1:15" ht="15.75" customHeight="1">
      <c r="A207" s="7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</row>
    <row r="208" spans="1:15" ht="15.75" customHeight="1">
      <c r="A208" s="7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</row>
    <row r="209" spans="1:15" ht="15.75" customHeight="1">
      <c r="A209" s="7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</row>
    <row r="210" spans="1:15" ht="15.75" customHeight="1">
      <c r="A210" s="7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</row>
    <row r="211" spans="1:15" ht="15.75" customHeight="1">
      <c r="A211" s="7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</row>
    <row r="212" spans="1:15" ht="15.75" customHeight="1">
      <c r="A212" s="7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</row>
    <row r="213" spans="1:15" ht="15.75" customHeight="1">
      <c r="A213" s="7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</row>
    <row r="214" spans="1:15" ht="15.75" customHeight="1">
      <c r="A214" s="7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</row>
    <row r="215" spans="1:15" ht="15.75" customHeight="1">
      <c r="A215" s="7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</row>
    <row r="216" spans="1:15" ht="15.75" customHeight="1">
      <c r="A216" s="7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</row>
    <row r="217" spans="1:15" ht="15.75" customHeight="1">
      <c r="A217" s="7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</row>
    <row r="218" spans="1:15" ht="15.75" customHeight="1">
      <c r="A218" s="7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</row>
    <row r="219" spans="1:15" ht="15.75" customHeight="1">
      <c r="A219" s="7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</row>
    <row r="220" spans="1:15" ht="15.75" customHeight="1">
      <c r="A220" s="7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</row>
    <row r="221" spans="1:15" ht="15.75" customHeight="1">
      <c r="A221" s="7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</row>
    <row r="222" spans="1:15" ht="15.75" customHeight="1">
      <c r="A222" s="7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</row>
    <row r="223" spans="1:15" ht="15.75" customHeight="1">
      <c r="A223" s="7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</row>
    <row r="224" spans="1:15" ht="15.75" customHeight="1">
      <c r="A224" s="7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</row>
    <row r="225" spans="1:15" ht="15.75" customHeight="1">
      <c r="A225" s="7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</row>
    <row r="226" spans="1:15" ht="15.75" customHeight="1">
      <c r="A226" s="7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</row>
    <row r="227" spans="1:15" ht="15.75" customHeight="1">
      <c r="A227" s="7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</row>
    <row r="228" spans="1:15" ht="15.75" customHeight="1">
      <c r="A228" s="7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</row>
    <row r="229" spans="1:15" ht="15.75" customHeight="1">
      <c r="A229" s="7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</row>
    <row r="230" spans="1:15" ht="15.75" customHeight="1">
      <c r="A230" s="7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</row>
    <row r="231" spans="1:15" ht="15.75" customHeight="1">
      <c r="A231" s="7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</row>
    <row r="232" spans="1:15" ht="15.75" customHeight="1">
      <c r="A232" s="7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</row>
    <row r="233" spans="1:15" ht="15.75" customHeight="1">
      <c r="A233" s="7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</row>
    <row r="234" spans="1:15" ht="15.75" customHeight="1">
      <c r="A234" s="7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</row>
    <row r="235" spans="1:15" ht="15.75" customHeight="1">
      <c r="A235" s="7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</row>
    <row r="236" spans="1:15" ht="15.75" customHeight="1">
      <c r="A236" s="7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</row>
    <row r="237" spans="1:15" ht="15.75" customHeight="1">
      <c r="A237" s="7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</row>
    <row r="238" spans="1:15" ht="15.75" customHeight="1">
      <c r="A238" s="7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</row>
    <row r="239" spans="1:15" ht="15.75" customHeight="1">
      <c r="A239" s="7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</row>
    <row r="240" spans="1:15" ht="15.75" customHeight="1">
      <c r="A240" s="7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</row>
    <row r="241" spans="1:15" ht="15.75" customHeight="1">
      <c r="A241" s="7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</row>
    <row r="242" spans="1:15" ht="15.75" customHeight="1">
      <c r="A242" s="7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</row>
    <row r="243" spans="1:15" ht="15.75" customHeight="1">
      <c r="A243" s="7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</row>
    <row r="244" spans="1:15" ht="15.75" customHeight="1">
      <c r="A244" s="7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</row>
    <row r="245" spans="1:15" ht="15.75" customHeight="1">
      <c r="A245" s="7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</row>
    <row r="246" spans="1:15" ht="15.75" customHeight="1">
      <c r="A246" s="7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</row>
    <row r="247" spans="1:15" ht="15.75" customHeight="1">
      <c r="A247" s="7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</row>
    <row r="248" spans="1:15" ht="15.75" customHeight="1">
      <c r="A248" s="7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</row>
    <row r="249" spans="1:15" ht="15.75" customHeight="1">
      <c r="A249" s="7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</row>
    <row r="250" spans="1:15" ht="15.75" customHeight="1">
      <c r="A250" s="7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</row>
    <row r="251" spans="1:15" ht="15.75" customHeight="1">
      <c r="A251" s="7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</row>
    <row r="252" spans="1:15" ht="15.75" customHeight="1">
      <c r="A252" s="7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</row>
    <row r="253" spans="1:15" ht="15.75" customHeight="1">
      <c r="A253" s="7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</row>
    <row r="254" spans="1:15" ht="15.75" customHeight="1">
      <c r="A254" s="7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</row>
    <row r="255" spans="1:15" ht="15.75" customHeight="1">
      <c r="A255" s="7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</row>
    <row r="256" spans="1:15" ht="15.75" customHeight="1">
      <c r="A256" s="7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</row>
    <row r="257" spans="1:15" ht="15.75" customHeight="1">
      <c r="A257" s="7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</row>
    <row r="258" spans="1:15" ht="15.75" customHeight="1">
      <c r="A258" s="7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</row>
    <row r="259" spans="1:15" ht="15.75" customHeight="1">
      <c r="A259" s="7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</row>
    <row r="260" spans="1:15" ht="15.75" customHeight="1">
      <c r="A260" s="7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</row>
    <row r="261" spans="1:15" ht="15.75" customHeight="1">
      <c r="A261" s="7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</row>
    <row r="262" spans="1:15" ht="15.75" customHeight="1">
      <c r="A262" s="7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</row>
    <row r="263" spans="1:15" ht="15.75" customHeight="1">
      <c r="A263" s="7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</row>
    <row r="264" spans="1:15" ht="15.75" customHeight="1">
      <c r="A264" s="7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</row>
    <row r="265" spans="1:15" ht="15.75" customHeight="1">
      <c r="A265" s="7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</row>
    <row r="266" spans="1:15" ht="15.75" customHeight="1">
      <c r="A266" s="7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</row>
    <row r="267" spans="1:15" ht="15.75" customHeight="1">
      <c r="A267" s="7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</row>
    <row r="268" spans="1:15" ht="15.75" customHeight="1">
      <c r="A268" s="7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</row>
    <row r="269" spans="1:15" ht="15.75" customHeight="1">
      <c r="A269" s="7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</row>
    <row r="270" spans="1:15" ht="15.75" customHeight="1">
      <c r="A270" s="7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</row>
    <row r="271" spans="1:15" ht="15.75" customHeight="1">
      <c r="A271" s="7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</row>
    <row r="272" spans="1:15" ht="15.75" customHeight="1">
      <c r="A272" s="7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</row>
    <row r="273" spans="1:15" ht="15.75" customHeight="1">
      <c r="A273" s="7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</row>
    <row r="274" spans="1:15" ht="15.75" customHeight="1">
      <c r="A274" s="7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</row>
    <row r="275" spans="1:15" ht="15.75" customHeight="1">
      <c r="A275" s="7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</row>
    <row r="276" spans="1:15" ht="15.75" customHeight="1">
      <c r="A276" s="7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</row>
    <row r="277" spans="1:15" ht="15.75" customHeight="1">
      <c r="A277" s="7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</row>
    <row r="278" spans="1:15" ht="15.75" customHeight="1">
      <c r="A278" s="7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</row>
    <row r="279" spans="1:15" ht="15.75" customHeight="1">
      <c r="A279" s="7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</row>
    <row r="280" spans="1:15" ht="15.75" customHeight="1">
      <c r="A280" s="7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</row>
    <row r="281" spans="1:15" ht="15.75" customHeight="1">
      <c r="A281" s="7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</row>
    <row r="282" spans="1:15" ht="15.75" customHeight="1">
      <c r="A282" s="7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</row>
    <row r="283" spans="1:15" ht="15.75" customHeight="1">
      <c r="A283" s="7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</row>
    <row r="284" spans="1:15" ht="15.75" customHeight="1">
      <c r="A284" s="7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</row>
    <row r="285" spans="1:15" ht="15.75" customHeight="1">
      <c r="A285" s="7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</row>
    <row r="286" spans="1:15" ht="15.75" customHeight="1">
      <c r="A286" s="7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</row>
    <row r="287" spans="1:15" ht="15.75" customHeight="1">
      <c r="A287" s="7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</row>
    <row r="288" spans="1:15" ht="15.75" customHeight="1">
      <c r="A288" s="7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</row>
    <row r="289" spans="1:15" ht="15.75" customHeight="1">
      <c r="A289" s="7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</row>
    <row r="290" spans="1:15" ht="15.75" customHeight="1">
      <c r="A290" s="7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</row>
    <row r="291" spans="1:15" ht="15.75" customHeight="1">
      <c r="A291" s="7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</row>
    <row r="292" spans="1:15" ht="15.75" customHeight="1">
      <c r="A292" s="7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</row>
    <row r="293" spans="1:15" ht="15.75" customHeight="1">
      <c r="A293" s="7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</row>
    <row r="294" spans="1:15" ht="15.75" customHeight="1">
      <c r="A294" s="7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</row>
    <row r="295" spans="1:15" ht="15.75" customHeight="1">
      <c r="A295" s="7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</row>
    <row r="296" spans="1:15" ht="15.75" customHeight="1">
      <c r="A296" s="7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</row>
    <row r="297" spans="1:15" ht="15.75" customHeight="1">
      <c r="A297" s="7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</row>
    <row r="298" spans="1:15" ht="15.75" customHeight="1">
      <c r="A298" s="7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</row>
    <row r="299" spans="1:15" ht="15.75" customHeight="1">
      <c r="A299" s="7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</row>
    <row r="300" spans="1:15" ht="15.75" customHeight="1">
      <c r="A300" s="7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</row>
    <row r="301" spans="1:15" ht="15.75" customHeight="1">
      <c r="A301" s="7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</row>
    <row r="302" spans="1:15" ht="15.75" customHeight="1">
      <c r="A302" s="7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</row>
    <row r="303" spans="1:15" ht="15.75" customHeight="1">
      <c r="A303" s="7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</row>
    <row r="304" spans="1:15" ht="15.75" customHeight="1">
      <c r="A304" s="7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</row>
    <row r="305" spans="1:15" ht="15.75" customHeight="1">
      <c r="A305" s="7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</row>
    <row r="306" spans="1:15" ht="15.75" customHeight="1">
      <c r="A306" s="7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</row>
    <row r="307" spans="1:15" ht="15.75" customHeight="1">
      <c r="A307" s="7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</row>
    <row r="308" spans="1:15" ht="15.75" customHeight="1">
      <c r="A308" s="7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</row>
    <row r="309" spans="1:15" ht="15.75" customHeight="1">
      <c r="A309" s="7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</row>
    <row r="310" spans="1:15" ht="15.75" customHeight="1">
      <c r="A310" s="7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</row>
    <row r="311" spans="1:15" ht="15.75" customHeight="1">
      <c r="A311" s="7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</row>
    <row r="312" spans="1:15" ht="15.75" customHeight="1">
      <c r="A312" s="7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</row>
    <row r="313" spans="1:15" ht="15.75" customHeight="1">
      <c r="A313" s="7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</row>
    <row r="314" spans="1:15" ht="15.75" customHeight="1">
      <c r="A314" s="7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</row>
    <row r="315" spans="1:15" ht="15.75" customHeight="1">
      <c r="A315" s="7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</row>
    <row r="316" spans="1:15" ht="15.75" customHeight="1">
      <c r="A316" s="7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</row>
    <row r="317" spans="1:15" ht="15.75" customHeight="1">
      <c r="A317" s="7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</row>
    <row r="318" spans="1:15" ht="15.75" customHeight="1">
      <c r="A318" s="7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</row>
    <row r="319" spans="1:15" ht="15.75" customHeight="1">
      <c r="A319" s="7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</row>
    <row r="320" spans="1:15" ht="15.75" customHeight="1">
      <c r="A320" s="7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</row>
    <row r="321" spans="1:15" ht="15.75" customHeight="1">
      <c r="A321" s="7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</row>
    <row r="322" spans="1:15" ht="15.75" customHeight="1">
      <c r="A322" s="7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</row>
    <row r="323" spans="1:15" ht="15.75" customHeight="1">
      <c r="A323" s="7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</row>
    <row r="324" spans="1:15" ht="15.75" customHeight="1">
      <c r="A324" s="7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</row>
    <row r="325" spans="1:15" ht="15.75" customHeight="1">
      <c r="A325" s="7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</row>
    <row r="326" spans="1:15" ht="15.75" customHeight="1">
      <c r="A326" s="7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</row>
    <row r="327" spans="1:15" ht="15.75" customHeight="1">
      <c r="A327" s="7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</row>
    <row r="328" spans="1:15" ht="15.75" customHeight="1">
      <c r="A328" s="7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</row>
    <row r="329" spans="1:15" ht="15.75" customHeight="1">
      <c r="A329" s="7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</row>
    <row r="330" spans="1:15" ht="15.75" customHeight="1">
      <c r="A330" s="7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</row>
    <row r="331" spans="1:15" ht="15.75" customHeight="1">
      <c r="A331" s="7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</row>
    <row r="332" spans="1:15" ht="15.75" customHeight="1">
      <c r="A332" s="7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</row>
    <row r="333" spans="1:15" ht="15.75" customHeight="1">
      <c r="A333" s="7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</row>
    <row r="334" spans="1:15" ht="15.75" customHeight="1">
      <c r="A334" s="7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</row>
    <row r="335" spans="1:15" ht="15.75" customHeight="1">
      <c r="A335" s="7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</row>
    <row r="336" spans="1:15" ht="15.75" customHeight="1">
      <c r="A336" s="7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</row>
    <row r="337" spans="1:15" ht="15.75" customHeight="1">
      <c r="A337" s="7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</row>
    <row r="338" spans="1:15" ht="15.75" customHeight="1">
      <c r="A338" s="7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</row>
    <row r="339" spans="1:15" ht="15.75" customHeight="1">
      <c r="A339" s="7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</row>
    <row r="340" spans="1:15" ht="15.75" customHeight="1">
      <c r="A340" s="7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</row>
    <row r="341" spans="1:15" ht="15.75" customHeight="1">
      <c r="A341" s="7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</row>
    <row r="342" spans="1:15" ht="15.75" customHeight="1">
      <c r="A342" s="7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</row>
    <row r="343" spans="1:15" ht="15.75" customHeight="1">
      <c r="A343" s="7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</row>
    <row r="344" spans="1:15" ht="15.75" customHeight="1">
      <c r="A344" s="7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</row>
    <row r="345" spans="1:15" ht="15.75" customHeight="1"/>
    <row r="346" spans="1:15" ht="15.75" customHeight="1"/>
    <row r="347" spans="1:15" ht="15.75" customHeight="1"/>
    <row r="348" spans="1:15" ht="15.75" customHeight="1"/>
    <row r="349" spans="1:15" ht="15.75" customHeight="1"/>
    <row r="350" spans="1:15" ht="15.75" customHeight="1"/>
    <row r="351" spans="1:15" ht="15.75" customHeight="1"/>
    <row r="352" spans="1:15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</sheetData>
  <mergeCells count="16">
    <mergeCell ref="A2:M2"/>
    <mergeCell ref="B9:D9"/>
    <mergeCell ref="L44:M44"/>
    <mergeCell ref="L45:M45"/>
    <mergeCell ref="B25:D25"/>
    <mergeCell ref="I44:J44"/>
    <mergeCell ref="I45:J45"/>
    <mergeCell ref="B14:D14"/>
    <mergeCell ref="I52:J52"/>
    <mergeCell ref="I53:J53"/>
    <mergeCell ref="L62:M62"/>
    <mergeCell ref="L52:M52"/>
    <mergeCell ref="L53:M53"/>
    <mergeCell ref="L55:M55"/>
    <mergeCell ref="L56:M56"/>
    <mergeCell ref="L61:M61"/>
  </mergeCells>
  <pageMargins left="0.45" right="0.45" top="0.5" bottom="0.5" header="0.511811023622047" footer="0.511811023622047"/>
  <pageSetup paperSize="9" scale="31" fitToHeight="0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  <pageSetUpPr fitToPage="1"/>
  </sheetPr>
  <dimension ref="A1:S368"/>
  <sheetViews>
    <sheetView topLeftCell="A6" zoomScale="115" zoomScaleNormal="115" workbookViewId="0">
      <pane ySplit="1" topLeftCell="A7" activePane="bottomLeft" state="frozen"/>
      <selection activeCell="A6" sqref="A6"/>
      <selection pane="bottomLeft" activeCell="J549" sqref="J549"/>
    </sheetView>
  </sheetViews>
  <sheetFormatPr baseColWidth="10" defaultColWidth="9" defaultRowHeight="14"/>
  <cols>
    <col min="1" max="1" width="9" style="86"/>
    <col min="2" max="2" width="50.5" style="86" customWidth="1"/>
    <col min="3" max="3" width="14.1640625" style="86" customWidth="1"/>
    <col min="4" max="4" width="12.1640625" style="86" customWidth="1"/>
    <col min="5" max="5" width="12.5" style="86" customWidth="1"/>
    <col min="6" max="6" width="13.83203125" style="86" customWidth="1"/>
    <col min="7" max="7" width="10.83203125" style="86" customWidth="1"/>
    <col min="8" max="8" width="14.5" style="86" customWidth="1"/>
    <col min="9" max="9" width="6.5" style="86" customWidth="1"/>
    <col min="10" max="10" width="15.5" style="87" customWidth="1"/>
    <col min="11" max="11" width="11.83203125" style="86" customWidth="1"/>
    <col min="12" max="13" width="9" style="86"/>
    <col min="14" max="14" width="12.1640625" style="86" customWidth="1"/>
    <col min="15" max="16384" width="9" style="86"/>
  </cols>
  <sheetData>
    <row r="1" spans="1:17" ht="15.75" customHeight="1">
      <c r="A1" s="88"/>
      <c r="B1" s="88"/>
      <c r="C1" s="88"/>
      <c r="D1" s="88"/>
      <c r="E1" s="88"/>
      <c r="F1" s="88"/>
      <c r="G1" s="88"/>
      <c r="H1" s="88"/>
      <c r="I1" s="88"/>
      <c r="J1" s="89"/>
      <c r="K1" s="88"/>
      <c r="L1" s="88"/>
      <c r="M1" s="88"/>
      <c r="N1" s="88"/>
      <c r="O1" s="90"/>
      <c r="P1" s="90"/>
      <c r="Q1" s="90"/>
    </row>
    <row r="2" spans="1:17" ht="15.75" customHeight="1">
      <c r="A2" s="88"/>
      <c r="B2" s="88"/>
      <c r="C2" s="88"/>
      <c r="D2" s="88"/>
      <c r="E2" s="88"/>
      <c r="F2" s="88"/>
      <c r="G2" s="88"/>
      <c r="H2" s="88"/>
      <c r="I2" s="88"/>
      <c r="J2" s="89"/>
      <c r="K2" s="88"/>
      <c r="L2" s="88"/>
      <c r="M2" s="88"/>
      <c r="N2" s="88"/>
      <c r="O2" s="90"/>
      <c r="P2" s="90"/>
      <c r="Q2" s="90"/>
    </row>
    <row r="3" spans="1:17" ht="15.75" customHeight="1">
      <c r="A3" s="88"/>
      <c r="B3" s="88"/>
      <c r="C3" s="88"/>
      <c r="D3" s="88"/>
      <c r="E3" s="88"/>
      <c r="F3" s="88"/>
      <c r="G3" s="88"/>
      <c r="H3" s="88"/>
      <c r="I3" s="88"/>
      <c r="J3" s="89"/>
      <c r="K3" s="88"/>
      <c r="L3" s="88"/>
      <c r="M3" s="88"/>
      <c r="N3" s="88"/>
      <c r="O3" s="90"/>
      <c r="P3" s="90"/>
      <c r="Q3" s="90"/>
    </row>
    <row r="4" spans="1:17" ht="24" customHeight="1">
      <c r="A4" s="91" t="s">
        <v>76</v>
      </c>
      <c r="B4" s="88"/>
      <c r="C4" s="88"/>
      <c r="D4" s="88"/>
      <c r="E4" s="88"/>
      <c r="F4" s="88"/>
      <c r="G4" s="88"/>
      <c r="H4" s="88"/>
      <c r="I4" s="88"/>
      <c r="J4" s="89"/>
      <c r="K4" s="88"/>
      <c r="L4" s="88"/>
      <c r="M4" s="88"/>
      <c r="N4" s="88"/>
      <c r="O4" s="90"/>
      <c r="P4" s="90"/>
      <c r="Q4" s="90"/>
    </row>
    <row r="5" spans="1:17" ht="15.75" customHeight="1">
      <c r="A5" s="88"/>
      <c r="B5" s="88"/>
      <c r="C5" s="88"/>
      <c r="D5" s="88"/>
      <c r="E5" s="88"/>
      <c r="F5" s="88"/>
      <c r="G5" s="88"/>
      <c r="H5" s="88"/>
      <c r="I5" s="88"/>
      <c r="J5" s="89"/>
      <c r="K5" s="88"/>
      <c r="L5" s="88"/>
      <c r="M5" s="88"/>
      <c r="N5" s="88"/>
      <c r="O5" s="90"/>
      <c r="P5" s="90"/>
      <c r="Q5" s="90"/>
    </row>
    <row r="6" spans="1:17" ht="21.75" customHeight="1">
      <c r="A6" s="92" t="s">
        <v>1</v>
      </c>
      <c r="B6" s="93" t="s">
        <v>68</v>
      </c>
      <c r="C6" s="93" t="s">
        <v>77</v>
      </c>
      <c r="D6" s="93" t="s">
        <v>78</v>
      </c>
      <c r="E6" s="93" t="s">
        <v>79</v>
      </c>
      <c r="F6" s="93" t="s">
        <v>6</v>
      </c>
      <c r="G6" s="93" t="s">
        <v>80</v>
      </c>
      <c r="H6" s="93" t="s">
        <v>81</v>
      </c>
      <c r="I6" s="94" t="s">
        <v>82</v>
      </c>
      <c r="J6" s="95" t="s">
        <v>83</v>
      </c>
      <c r="K6" s="88" t="e">
        <f>#VALUE!</f>
        <v>#VALUE!</v>
      </c>
      <c r="L6" s="88"/>
      <c r="M6" s="88"/>
      <c r="N6" s="88"/>
      <c r="O6" s="90"/>
      <c r="P6" s="90"/>
      <c r="Q6" s="90"/>
    </row>
    <row r="7" spans="1:17" ht="7.5" customHeight="1">
      <c r="A7" s="88"/>
      <c r="B7" s="88"/>
      <c r="C7" s="88"/>
      <c r="D7" s="88"/>
      <c r="E7" s="88"/>
      <c r="F7" s="88"/>
      <c r="G7" s="88"/>
      <c r="H7" s="88"/>
      <c r="I7" s="88"/>
      <c r="J7" s="89"/>
      <c r="K7" s="88"/>
      <c r="L7" s="88"/>
      <c r="M7" s="88"/>
      <c r="N7" s="88"/>
      <c r="O7" s="90"/>
      <c r="P7" s="90"/>
      <c r="Q7" s="90"/>
    </row>
    <row r="8" spans="1:17" ht="7.5" customHeight="1">
      <c r="A8" s="96"/>
      <c r="B8" s="97"/>
      <c r="C8" s="97"/>
      <c r="D8" s="97"/>
      <c r="E8" s="97"/>
      <c r="F8" s="97"/>
      <c r="G8" s="97"/>
      <c r="H8" s="97"/>
      <c r="I8" s="98"/>
      <c r="J8" s="89"/>
      <c r="K8" s="88"/>
      <c r="L8" s="88"/>
      <c r="M8" s="88"/>
      <c r="N8" s="88"/>
      <c r="O8" s="90"/>
      <c r="P8" s="90"/>
      <c r="Q8" s="90"/>
    </row>
    <row r="9" spans="1:17" ht="15.75" customHeight="1">
      <c r="A9" s="99" t="s">
        <v>84</v>
      </c>
      <c r="B9" s="100" t="s">
        <v>85</v>
      </c>
      <c r="C9" s="101"/>
      <c r="D9" s="101"/>
      <c r="E9" s="102"/>
      <c r="F9" s="102"/>
      <c r="G9" s="102"/>
      <c r="H9" s="102"/>
      <c r="I9" s="103"/>
      <c r="J9" s="89"/>
      <c r="K9" s="88"/>
      <c r="L9" s="88"/>
      <c r="M9" s="88"/>
      <c r="N9" s="88"/>
      <c r="O9" s="90"/>
      <c r="P9" s="90"/>
      <c r="Q9" s="90"/>
    </row>
    <row r="10" spans="1:17" ht="27.75" customHeight="1">
      <c r="A10" s="104">
        <v>1</v>
      </c>
      <c r="B10" s="105" t="s">
        <v>86</v>
      </c>
      <c r="C10" s="106">
        <v>15</v>
      </c>
      <c r="D10" s="106">
        <v>3</v>
      </c>
      <c r="E10" s="106"/>
      <c r="F10" s="106"/>
      <c r="G10" s="106"/>
      <c r="H10" s="107">
        <f>ROUNDUP((C10*D10),0.5)</f>
        <v>45</v>
      </c>
      <c r="I10" s="103"/>
      <c r="J10" s="108"/>
      <c r="K10" s="88"/>
      <c r="L10" s="88"/>
      <c r="M10" s="88"/>
      <c r="N10" s="88"/>
      <c r="O10" s="90"/>
      <c r="P10" s="90"/>
      <c r="Q10" s="90"/>
    </row>
    <row r="11" spans="1:17" ht="15.75" customHeight="1">
      <c r="A11" s="104"/>
      <c r="B11" s="109" t="s">
        <v>87</v>
      </c>
      <c r="C11" s="106">
        <f>D10</f>
        <v>3</v>
      </c>
      <c r="D11" s="106">
        <v>3</v>
      </c>
      <c r="E11" s="106"/>
      <c r="F11" s="106"/>
      <c r="G11" s="106">
        <v>2</v>
      </c>
      <c r="H11" s="107">
        <f>ROUNDUP((C11*D11*G11),0.5)</f>
        <v>18</v>
      </c>
      <c r="I11" s="110"/>
      <c r="J11" s="108"/>
      <c r="K11" s="88"/>
      <c r="L11" s="88"/>
      <c r="M11" s="88"/>
      <c r="N11" s="88"/>
      <c r="O11" s="90"/>
      <c r="P11" s="90"/>
      <c r="Q11" s="90"/>
    </row>
    <row r="12" spans="1:17" ht="15.75" customHeight="1">
      <c r="A12" s="104"/>
      <c r="B12" s="109" t="s">
        <v>88</v>
      </c>
      <c r="C12" s="106">
        <f>D10</f>
        <v>3</v>
      </c>
      <c r="D12" s="106">
        <f>3+(0.85*2)</f>
        <v>4.7</v>
      </c>
      <c r="E12" s="106"/>
      <c r="F12" s="106"/>
      <c r="G12" s="106">
        <v>1</v>
      </c>
      <c r="H12" s="106">
        <f>ROUNDUP((C12*D12*G12),0.5)</f>
        <v>15</v>
      </c>
      <c r="I12" s="110"/>
      <c r="J12" s="108"/>
      <c r="K12" s="88"/>
      <c r="L12" s="88"/>
      <c r="M12" s="88"/>
      <c r="N12" s="88"/>
      <c r="O12" s="90"/>
      <c r="P12" s="90"/>
      <c r="Q12" s="90"/>
    </row>
    <row r="13" spans="1:17" ht="15.75" customHeight="1">
      <c r="A13" s="104"/>
      <c r="B13" s="109" t="s">
        <v>88</v>
      </c>
      <c r="C13" s="111">
        <v>6</v>
      </c>
      <c r="D13" s="111">
        <v>3</v>
      </c>
      <c r="E13" s="106"/>
      <c r="F13" s="106"/>
      <c r="G13" s="106">
        <v>0</v>
      </c>
      <c r="H13" s="112">
        <f>ROUNDUP((C13*D13*G13),0.5)</f>
        <v>0</v>
      </c>
      <c r="I13" s="113"/>
      <c r="J13" s="108"/>
      <c r="K13" s="88"/>
      <c r="L13" s="88"/>
      <c r="M13" s="88"/>
      <c r="N13" s="88"/>
      <c r="O13" s="90"/>
      <c r="P13" s="90"/>
      <c r="Q13" s="90"/>
    </row>
    <row r="14" spans="1:17" ht="15.75" customHeight="1">
      <c r="A14" s="104"/>
      <c r="B14" s="114"/>
      <c r="C14" s="111"/>
      <c r="D14" s="111"/>
      <c r="E14" s="106"/>
      <c r="F14" s="106"/>
      <c r="G14" s="106"/>
      <c r="H14" s="115">
        <f>ROUNDUP((SUM(H10:H13)),5)</f>
        <v>78</v>
      </c>
      <c r="I14" s="116" t="s">
        <v>89</v>
      </c>
      <c r="J14" s="117">
        <f>ROUND((H14),2)</f>
        <v>78</v>
      </c>
      <c r="K14" s="88"/>
      <c r="L14" s="88"/>
      <c r="M14" s="88"/>
      <c r="N14" s="88"/>
      <c r="O14" s="90"/>
      <c r="P14" s="90"/>
      <c r="Q14" s="90"/>
    </row>
    <row r="15" spans="1:17" ht="15.75" customHeight="1">
      <c r="A15" s="104">
        <f>A10+1</f>
        <v>2</v>
      </c>
      <c r="B15" s="118" t="s">
        <v>90</v>
      </c>
      <c r="C15" s="107"/>
      <c r="D15" s="107"/>
      <c r="E15" s="106"/>
      <c r="F15" s="106"/>
      <c r="G15" s="106"/>
      <c r="H15" s="102"/>
      <c r="I15" s="103"/>
      <c r="J15" s="117">
        <f>ROUND((H15),2)</f>
        <v>0</v>
      </c>
      <c r="K15" s="88"/>
      <c r="L15" s="88"/>
      <c r="M15" s="88"/>
      <c r="N15" s="88"/>
      <c r="O15" s="90"/>
      <c r="P15" s="90"/>
      <c r="Q15" s="90"/>
    </row>
    <row r="16" spans="1:17" ht="15.75" customHeight="1">
      <c r="A16" s="119" t="s">
        <v>91</v>
      </c>
      <c r="B16" s="114" t="s">
        <v>92</v>
      </c>
      <c r="C16" s="107"/>
      <c r="D16" s="107"/>
      <c r="E16" s="106"/>
      <c r="F16" s="106"/>
      <c r="G16" s="106"/>
      <c r="H16" s="102"/>
      <c r="I16" s="103"/>
      <c r="J16" s="117">
        <f>ROUND((H16),2)</f>
        <v>0</v>
      </c>
      <c r="K16" s="88"/>
      <c r="L16" s="88" t="s">
        <v>93</v>
      </c>
      <c r="M16" s="88" t="s">
        <v>94</v>
      </c>
      <c r="N16" s="88"/>
      <c r="O16" s="90"/>
      <c r="P16" s="90"/>
      <c r="Q16" s="90"/>
    </row>
    <row r="17" spans="1:18" ht="15.75" customHeight="1">
      <c r="A17" s="120" t="s">
        <v>95</v>
      </c>
      <c r="B17" s="121" t="s">
        <v>96</v>
      </c>
      <c r="C17" s="107">
        <v>0.6</v>
      </c>
      <c r="D17" s="106">
        <v>0.15</v>
      </c>
      <c r="E17" s="106"/>
      <c r="F17" s="106">
        <v>4</v>
      </c>
      <c r="G17" s="106">
        <f>N17</f>
        <v>18</v>
      </c>
      <c r="H17" s="107">
        <f>ROUNDUP((C17*D17*F17*G17),5)+H18</f>
        <v>12.96</v>
      </c>
      <c r="I17" s="103" t="s">
        <v>89</v>
      </c>
      <c r="J17" s="117">
        <f>ROUND((H17),2)</f>
        <v>12.96</v>
      </c>
      <c r="K17" s="88"/>
      <c r="L17" s="88">
        <v>9</v>
      </c>
      <c r="M17" s="88">
        <v>2</v>
      </c>
      <c r="N17" s="88">
        <f>L17*M17</f>
        <v>18</v>
      </c>
      <c r="O17" s="90"/>
      <c r="P17" s="90"/>
      <c r="Q17" s="90"/>
    </row>
    <row r="18" spans="1:18" ht="15.75" customHeight="1">
      <c r="A18" s="120"/>
      <c r="B18" s="122" t="s">
        <v>97</v>
      </c>
      <c r="C18" s="107">
        <v>0.6</v>
      </c>
      <c r="D18" s="106">
        <v>0.6</v>
      </c>
      <c r="E18" s="106"/>
      <c r="F18" s="106">
        <v>1</v>
      </c>
      <c r="G18" s="106">
        <f>G17</f>
        <v>18</v>
      </c>
      <c r="H18" s="107">
        <f>ROUNDUP((C18*D18*F18*G18),5)</f>
        <v>6.48</v>
      </c>
      <c r="I18" s="103"/>
      <c r="J18" s="117"/>
      <c r="K18" s="88"/>
      <c r="L18" s="88"/>
      <c r="M18" s="88"/>
      <c r="N18" s="88"/>
      <c r="O18" s="90"/>
      <c r="P18" s="90"/>
      <c r="Q18" s="90"/>
    </row>
    <row r="19" spans="1:18" ht="15.75" customHeight="1">
      <c r="A19" s="120" t="s">
        <v>98</v>
      </c>
      <c r="B19" s="121" t="s">
        <v>99</v>
      </c>
      <c r="C19" s="123">
        <f>((0.52+0.07)*2)+0.05</f>
        <v>1.2300000000000002</v>
      </c>
      <c r="D19" s="106">
        <v>1.04</v>
      </c>
      <c r="E19" s="106">
        <v>4</v>
      </c>
      <c r="F19" s="106">
        <v>2</v>
      </c>
      <c r="G19" s="106">
        <f>G17</f>
        <v>18</v>
      </c>
      <c r="H19" s="107">
        <f>C19*D19*E19*F19*G19</f>
        <v>184.20480000000003</v>
      </c>
      <c r="I19" s="103" t="s">
        <v>100</v>
      </c>
      <c r="J19" s="117">
        <f>ROUND((H19),2)</f>
        <v>184.2</v>
      </c>
      <c r="K19" s="88"/>
      <c r="L19" s="88"/>
      <c r="M19" s="88"/>
      <c r="N19" s="88"/>
      <c r="O19" s="90"/>
      <c r="P19" s="90"/>
      <c r="Q19" s="90"/>
    </row>
    <row r="20" spans="1:18" ht="15.75" customHeight="1">
      <c r="A20" s="120" t="s">
        <v>101</v>
      </c>
      <c r="B20" s="121" t="s">
        <v>102</v>
      </c>
      <c r="C20" s="107">
        <v>0.6</v>
      </c>
      <c r="D20" s="107">
        <v>0.6</v>
      </c>
      <c r="E20" s="106">
        <v>0.15</v>
      </c>
      <c r="F20" s="106"/>
      <c r="G20" s="106">
        <f>G19</f>
        <v>18</v>
      </c>
      <c r="H20" s="107">
        <f>ROUNDUP((C20*D20*E20*G20),5)</f>
        <v>0.97199999999999998</v>
      </c>
      <c r="I20" s="103" t="s">
        <v>103</v>
      </c>
      <c r="J20" s="117">
        <f>ROUND((H20),2)</f>
        <v>0.97</v>
      </c>
      <c r="K20" s="88"/>
      <c r="L20" s="88"/>
      <c r="M20" s="88"/>
      <c r="N20" s="88"/>
      <c r="O20" s="90"/>
      <c r="P20" s="90"/>
      <c r="Q20" s="90"/>
    </row>
    <row r="21" spans="1:18" ht="15.75" customHeight="1">
      <c r="A21" s="119" t="s">
        <v>104</v>
      </c>
      <c r="B21" s="121" t="s">
        <v>105</v>
      </c>
      <c r="C21" s="107"/>
      <c r="D21" s="107"/>
      <c r="E21" s="106"/>
      <c r="F21" s="106"/>
      <c r="G21" s="106"/>
      <c r="H21" s="102"/>
      <c r="I21" s="103"/>
      <c r="J21" s="117">
        <f>ROUND((H21),2)</f>
        <v>0</v>
      </c>
      <c r="K21" s="88"/>
      <c r="L21" s="88"/>
      <c r="M21" s="88"/>
      <c r="N21" s="88"/>
      <c r="O21" s="90"/>
      <c r="P21" s="90"/>
      <c r="Q21" s="90"/>
    </row>
    <row r="22" spans="1:18" ht="15.75" customHeight="1">
      <c r="A22" s="120" t="s">
        <v>95</v>
      </c>
      <c r="B22" s="121" t="s">
        <v>106</v>
      </c>
      <c r="C22" s="107"/>
      <c r="D22" s="107"/>
      <c r="E22" s="106"/>
      <c r="F22" s="124" t="s">
        <v>107</v>
      </c>
      <c r="G22" s="124"/>
      <c r="H22" s="102"/>
      <c r="I22" s="103"/>
      <c r="J22" s="117">
        <f>ROUND((H22),2)</f>
        <v>0</v>
      </c>
      <c r="K22" s="88" t="s">
        <v>108</v>
      </c>
      <c r="L22" s="88" t="s">
        <v>109</v>
      </c>
      <c r="M22" s="88" t="s">
        <v>110</v>
      </c>
      <c r="N22" s="88"/>
      <c r="O22" s="90"/>
      <c r="P22" s="90"/>
      <c r="Q22" s="90"/>
    </row>
    <row r="23" spans="1:18" ht="15.75" customHeight="1">
      <c r="A23" s="120"/>
      <c r="B23" s="122">
        <v>27</v>
      </c>
      <c r="C23" s="107"/>
      <c r="D23" s="107">
        <v>0.15</v>
      </c>
      <c r="E23" s="125">
        <v>2.75</v>
      </c>
      <c r="F23" s="106">
        <v>4</v>
      </c>
      <c r="G23" s="106">
        <v>2</v>
      </c>
      <c r="H23" s="123">
        <f t="shared" ref="H23:H36" si="0">D23*E23*F23*G23</f>
        <v>3.3</v>
      </c>
      <c r="I23" s="103"/>
      <c r="J23" s="117"/>
      <c r="K23" s="126">
        <v>4.1609999999999996</v>
      </c>
      <c r="L23" s="126">
        <v>4.1609999999999996</v>
      </c>
      <c r="M23" s="126">
        <v>4.1609999999999996</v>
      </c>
      <c r="N23" s="127"/>
      <c r="O23" s="90"/>
      <c r="P23" s="90"/>
      <c r="Q23" s="90"/>
      <c r="R23" s="87">
        <v>5</v>
      </c>
    </row>
    <row r="24" spans="1:18" ht="15.75" customHeight="1">
      <c r="A24" s="120"/>
      <c r="B24" s="121">
        <v>28</v>
      </c>
      <c r="C24" s="107"/>
      <c r="D24" s="107">
        <f t="shared" ref="D24:D36" si="1">D23</f>
        <v>0.15</v>
      </c>
      <c r="E24" s="125">
        <v>2.75</v>
      </c>
      <c r="F24" s="106">
        <f t="shared" ref="F24:G27" si="2">F23</f>
        <v>4</v>
      </c>
      <c r="G24" s="106">
        <f t="shared" si="2"/>
        <v>2</v>
      </c>
      <c r="H24" s="123">
        <f t="shared" si="0"/>
        <v>3.3</v>
      </c>
      <c r="I24" s="103"/>
      <c r="J24" s="117"/>
      <c r="K24" s="126">
        <v>4.0709999999999997</v>
      </c>
      <c r="L24" s="126">
        <v>4.0709999999999997</v>
      </c>
      <c r="M24" s="126">
        <v>4.0709999999999997</v>
      </c>
      <c r="N24" s="127"/>
      <c r="O24" s="90"/>
      <c r="P24" s="90"/>
      <c r="Q24" s="90"/>
    </row>
    <row r="25" spans="1:18" ht="15.75" customHeight="1">
      <c r="A25" s="120"/>
      <c r="B25" s="121">
        <v>29</v>
      </c>
      <c r="C25" s="107"/>
      <c r="D25" s="107">
        <f t="shared" si="1"/>
        <v>0.15</v>
      </c>
      <c r="E25" s="125">
        <v>2.75</v>
      </c>
      <c r="F25" s="106">
        <f t="shared" si="2"/>
        <v>4</v>
      </c>
      <c r="G25" s="106">
        <f t="shared" si="2"/>
        <v>2</v>
      </c>
      <c r="H25" s="123">
        <f t="shared" si="0"/>
        <v>3.3</v>
      </c>
      <c r="I25" s="103"/>
      <c r="J25" s="117"/>
      <c r="K25" s="126">
        <v>3.98</v>
      </c>
      <c r="L25" s="126">
        <v>3.98</v>
      </c>
      <c r="M25" s="126">
        <v>3.98</v>
      </c>
      <c r="N25" s="127"/>
      <c r="O25" s="90"/>
      <c r="P25" s="90"/>
      <c r="Q25" s="90"/>
    </row>
    <row r="26" spans="1:18" ht="15.75" customHeight="1">
      <c r="A26" s="120" t="s">
        <v>111</v>
      </c>
      <c r="B26" s="121">
        <v>31</v>
      </c>
      <c r="C26" s="107"/>
      <c r="D26" s="107">
        <f t="shared" si="1"/>
        <v>0.15</v>
      </c>
      <c r="E26" s="125">
        <v>1.35</v>
      </c>
      <c r="F26" s="106">
        <f t="shared" si="2"/>
        <v>4</v>
      </c>
      <c r="G26" s="106">
        <f t="shared" si="2"/>
        <v>2</v>
      </c>
      <c r="H26" s="123">
        <f t="shared" si="0"/>
        <v>1.62</v>
      </c>
      <c r="I26" s="103"/>
      <c r="J26" s="117"/>
      <c r="K26" s="126">
        <v>3.8730000000000002</v>
      </c>
      <c r="L26" s="126">
        <v>3.8730000000000002</v>
      </c>
      <c r="M26" s="126">
        <v>3.8730000000000002</v>
      </c>
      <c r="N26" s="127"/>
      <c r="O26" s="90"/>
      <c r="P26" s="90"/>
      <c r="Q26" s="90"/>
    </row>
    <row r="27" spans="1:18" ht="15.75" customHeight="1">
      <c r="A27" s="120" t="s">
        <v>111</v>
      </c>
      <c r="B27" s="121">
        <f>B26+1</f>
        <v>32</v>
      </c>
      <c r="C27" s="107"/>
      <c r="D27" s="107">
        <f t="shared" si="1"/>
        <v>0.15</v>
      </c>
      <c r="E27" s="125">
        <v>1.35</v>
      </c>
      <c r="F27" s="106">
        <f t="shared" si="2"/>
        <v>4</v>
      </c>
      <c r="G27" s="106">
        <f t="shared" si="2"/>
        <v>2</v>
      </c>
      <c r="H27" s="123">
        <f t="shared" si="0"/>
        <v>1.62</v>
      </c>
      <c r="I27" s="103"/>
      <c r="J27" s="117"/>
      <c r="K27" s="126">
        <v>3.7549999999999999</v>
      </c>
      <c r="L27" s="126">
        <v>3.7549999999999999</v>
      </c>
      <c r="M27" s="126">
        <v>3.7549999999999999</v>
      </c>
      <c r="N27" s="127"/>
      <c r="O27" s="90"/>
      <c r="P27" s="90"/>
      <c r="Q27" s="90"/>
      <c r="R27" s="86">
        <v>4.75</v>
      </c>
    </row>
    <row r="28" spans="1:18" ht="15.75" customHeight="1">
      <c r="A28" s="120" t="s">
        <v>111</v>
      </c>
      <c r="B28" s="121">
        <v>33</v>
      </c>
      <c r="C28" s="107"/>
      <c r="D28" s="107">
        <f t="shared" si="1"/>
        <v>0.15</v>
      </c>
      <c r="E28" s="125">
        <v>1.35</v>
      </c>
      <c r="F28" s="106">
        <f t="shared" ref="F28:F36" si="3">F27</f>
        <v>4</v>
      </c>
      <c r="G28" s="106">
        <v>2</v>
      </c>
      <c r="H28" s="123">
        <f t="shared" si="0"/>
        <v>1.62</v>
      </c>
      <c r="I28" s="103"/>
      <c r="J28" s="117"/>
      <c r="K28" s="126">
        <v>0.872</v>
      </c>
      <c r="L28" s="126">
        <v>0.872</v>
      </c>
      <c r="M28" s="126">
        <v>0.872</v>
      </c>
      <c r="N28" s="127"/>
      <c r="O28" s="90"/>
      <c r="P28" s="90"/>
      <c r="Q28" s="90"/>
    </row>
    <row r="29" spans="1:18" ht="15.75" customHeight="1">
      <c r="A29" s="120"/>
      <c r="B29" s="121">
        <v>35</v>
      </c>
      <c r="C29" s="107"/>
      <c r="D29" s="107">
        <f t="shared" si="1"/>
        <v>0.15</v>
      </c>
      <c r="E29" s="125">
        <f>E25</f>
        <v>2.75</v>
      </c>
      <c r="F29" s="106">
        <f t="shared" si="3"/>
        <v>4</v>
      </c>
      <c r="G29" s="106">
        <f>G28</f>
        <v>2</v>
      </c>
      <c r="H29" s="123">
        <f t="shared" si="0"/>
        <v>3.3</v>
      </c>
      <c r="I29" s="103"/>
      <c r="J29" s="117"/>
      <c r="K29" s="126">
        <v>0.82</v>
      </c>
      <c r="L29" s="126">
        <v>0.82</v>
      </c>
      <c r="M29" s="126">
        <v>0.82</v>
      </c>
      <c r="N29" s="127"/>
      <c r="O29" s="90"/>
      <c r="P29" s="90"/>
      <c r="Q29" s="90"/>
    </row>
    <row r="30" spans="1:18" ht="15.75" customHeight="1">
      <c r="A30" s="120"/>
      <c r="B30" s="121">
        <f>B29+1</f>
        <v>36</v>
      </c>
      <c r="C30" s="107"/>
      <c r="D30" s="107">
        <f t="shared" si="1"/>
        <v>0.15</v>
      </c>
      <c r="E30" s="125">
        <f>E29</f>
        <v>2.75</v>
      </c>
      <c r="F30" s="106">
        <f t="shared" si="3"/>
        <v>4</v>
      </c>
      <c r="G30" s="106">
        <f>G29</f>
        <v>2</v>
      </c>
      <c r="H30" s="123">
        <f t="shared" si="0"/>
        <v>3.3</v>
      </c>
      <c r="I30" s="103"/>
      <c r="J30" s="117"/>
      <c r="K30" s="126">
        <v>0.75</v>
      </c>
      <c r="L30" s="126">
        <v>0.75</v>
      </c>
      <c r="M30" s="126">
        <v>0.75</v>
      </c>
      <c r="N30" s="127"/>
      <c r="O30" s="90"/>
      <c r="P30" s="90"/>
      <c r="Q30" s="90"/>
    </row>
    <row r="31" spans="1:18" ht="15.75" customHeight="1">
      <c r="A31" s="120"/>
      <c r="B31" s="121">
        <f>B30+1</f>
        <v>37</v>
      </c>
      <c r="C31" s="107"/>
      <c r="D31" s="107">
        <f t="shared" si="1"/>
        <v>0.15</v>
      </c>
      <c r="E31" s="125">
        <f>E30</f>
        <v>2.75</v>
      </c>
      <c r="F31" s="106">
        <f t="shared" si="3"/>
        <v>4</v>
      </c>
      <c r="G31" s="106">
        <f>G30</f>
        <v>2</v>
      </c>
      <c r="H31" s="123">
        <f t="shared" si="0"/>
        <v>3.3</v>
      </c>
      <c r="I31" s="103"/>
      <c r="J31" s="117"/>
      <c r="K31" s="126">
        <v>0.71499999999999997</v>
      </c>
      <c r="L31" s="126">
        <v>0.71499999999999997</v>
      </c>
      <c r="M31" s="126">
        <v>0.71499999999999997</v>
      </c>
      <c r="N31" s="127"/>
      <c r="O31" s="90"/>
      <c r="P31" s="90"/>
      <c r="Q31" s="90"/>
    </row>
    <row r="32" spans="1:18" ht="15.75" customHeight="1">
      <c r="A32" s="120"/>
      <c r="B32" s="118">
        <v>14</v>
      </c>
      <c r="C32" s="107"/>
      <c r="D32" s="107">
        <f t="shared" si="1"/>
        <v>0.15</v>
      </c>
      <c r="E32" s="125">
        <v>3.407</v>
      </c>
      <c r="F32" s="106">
        <f t="shared" si="3"/>
        <v>4</v>
      </c>
      <c r="G32" s="106">
        <v>0</v>
      </c>
      <c r="H32" s="123">
        <f t="shared" si="0"/>
        <v>0</v>
      </c>
      <c r="I32" s="103"/>
      <c r="J32" s="117"/>
      <c r="K32" s="126">
        <v>3.403</v>
      </c>
      <c r="L32" s="126">
        <v>3.403</v>
      </c>
      <c r="M32" s="126">
        <v>3.403</v>
      </c>
      <c r="N32" s="127"/>
      <c r="O32" s="90"/>
      <c r="P32" s="90"/>
      <c r="Q32" s="90"/>
      <c r="R32" s="86">
        <v>4.5</v>
      </c>
    </row>
    <row r="33" spans="1:17" ht="15.75" customHeight="1">
      <c r="A33" s="120"/>
      <c r="B33" s="118">
        <f>B32+1</f>
        <v>15</v>
      </c>
      <c r="C33" s="107"/>
      <c r="D33" s="107">
        <f t="shared" si="1"/>
        <v>0.15</v>
      </c>
      <c r="E33" s="125">
        <v>3.407</v>
      </c>
      <c r="F33" s="106">
        <f t="shared" si="3"/>
        <v>4</v>
      </c>
      <c r="G33" s="106">
        <f>G32</f>
        <v>0</v>
      </c>
      <c r="H33" s="123">
        <f t="shared" si="0"/>
        <v>0</v>
      </c>
      <c r="I33" s="103"/>
      <c r="J33" s="117"/>
      <c r="K33" s="126">
        <v>3.3959999999999999</v>
      </c>
      <c r="L33" s="126">
        <v>3.3959999999999999</v>
      </c>
      <c r="M33" s="126">
        <v>3.3959999999999999</v>
      </c>
      <c r="N33" s="127"/>
      <c r="O33" s="90"/>
      <c r="P33" s="90"/>
      <c r="Q33" s="90"/>
    </row>
    <row r="34" spans="1:17" ht="15.75" customHeight="1">
      <c r="A34" s="120"/>
      <c r="B34" s="118">
        <f>B33+1</f>
        <v>16</v>
      </c>
      <c r="C34" s="107"/>
      <c r="D34" s="107">
        <f t="shared" si="1"/>
        <v>0.15</v>
      </c>
      <c r="E34" s="125">
        <v>3.4</v>
      </c>
      <c r="F34" s="106">
        <f t="shared" si="3"/>
        <v>4</v>
      </c>
      <c r="G34" s="106">
        <f>G33</f>
        <v>0</v>
      </c>
      <c r="H34" s="123">
        <f t="shared" si="0"/>
        <v>0</v>
      </c>
      <c r="I34" s="103"/>
      <c r="J34" s="117"/>
      <c r="K34" s="126">
        <v>3.3889999999999998</v>
      </c>
      <c r="L34" s="126">
        <v>3.3889999999999998</v>
      </c>
      <c r="M34" s="126">
        <v>3.3889999999999998</v>
      </c>
      <c r="N34" s="127"/>
      <c r="O34" s="90"/>
      <c r="P34" s="90"/>
      <c r="Q34" s="90"/>
    </row>
    <row r="35" spans="1:17" ht="15.75" customHeight="1">
      <c r="A35" s="120"/>
      <c r="B35" s="118">
        <f>B34+1</f>
        <v>17</v>
      </c>
      <c r="C35" s="107"/>
      <c r="D35" s="107">
        <f t="shared" si="1"/>
        <v>0.15</v>
      </c>
      <c r="E35" s="125">
        <v>3.3929999999999998</v>
      </c>
      <c r="F35" s="106">
        <f t="shared" si="3"/>
        <v>4</v>
      </c>
      <c r="G35" s="106">
        <f>G34</f>
        <v>0</v>
      </c>
      <c r="H35" s="123">
        <f t="shared" si="0"/>
        <v>0</v>
      </c>
      <c r="I35" s="103"/>
      <c r="J35" s="117"/>
      <c r="K35" s="126">
        <v>3.391</v>
      </c>
      <c r="L35" s="126">
        <v>3.391</v>
      </c>
      <c r="M35" s="126">
        <v>3.391</v>
      </c>
      <c r="N35" s="127"/>
      <c r="O35" s="90"/>
      <c r="P35" s="90"/>
      <c r="Q35" s="90"/>
    </row>
    <row r="36" spans="1:17" ht="15.75" customHeight="1">
      <c r="A36" s="120"/>
      <c r="B36" s="118">
        <f>B35+1</f>
        <v>18</v>
      </c>
      <c r="C36" s="107"/>
      <c r="D36" s="107">
        <f t="shared" si="1"/>
        <v>0.15</v>
      </c>
      <c r="E36" s="125">
        <v>3.3860000000000001</v>
      </c>
      <c r="F36" s="106">
        <f t="shared" si="3"/>
        <v>4</v>
      </c>
      <c r="G36" s="106">
        <f>G35</f>
        <v>0</v>
      </c>
      <c r="H36" s="123">
        <f t="shared" si="0"/>
        <v>0</v>
      </c>
      <c r="I36" s="103"/>
      <c r="J36" s="117"/>
      <c r="K36" s="126">
        <v>3.4020000000000001</v>
      </c>
      <c r="L36" s="126">
        <v>3.4020000000000001</v>
      </c>
      <c r="M36" s="126">
        <v>3.4020000000000001</v>
      </c>
      <c r="N36" s="127"/>
      <c r="O36" s="90"/>
      <c r="P36" s="90"/>
      <c r="Q36" s="90"/>
    </row>
    <row r="37" spans="1:17" ht="15.75" customHeight="1">
      <c r="A37" s="128"/>
      <c r="B37" s="129"/>
      <c r="C37" s="106"/>
      <c r="D37" s="106"/>
      <c r="E37" s="106"/>
      <c r="F37" s="106"/>
      <c r="G37" s="106"/>
      <c r="H37" s="130">
        <f>ROUNDUP((SUM(H23:H36)),5)</f>
        <v>24.66</v>
      </c>
      <c r="I37" s="116" t="s">
        <v>89</v>
      </c>
      <c r="J37" s="117">
        <f>ROUND((H37),2)</f>
        <v>24.66</v>
      </c>
      <c r="K37" s="88"/>
      <c r="L37" s="88"/>
      <c r="M37" s="88"/>
      <c r="N37" s="88"/>
      <c r="O37" s="90"/>
      <c r="P37" s="90"/>
      <c r="Q37" s="90"/>
    </row>
    <row r="38" spans="1:17" ht="15.75" customHeight="1">
      <c r="A38" s="120" t="s">
        <v>98</v>
      </c>
      <c r="B38" s="121" t="s">
        <v>112</v>
      </c>
      <c r="C38" s="107"/>
      <c r="D38" s="107"/>
      <c r="E38" s="106"/>
      <c r="F38" s="106"/>
      <c r="G38" s="106"/>
      <c r="H38" s="102"/>
      <c r="I38" s="103"/>
      <c r="J38" s="117"/>
      <c r="K38" s="88"/>
      <c r="L38" s="88"/>
      <c r="M38" s="88"/>
      <c r="N38" s="88"/>
      <c r="O38" s="90"/>
      <c r="P38" s="90"/>
      <c r="Q38" s="90"/>
    </row>
    <row r="39" spans="1:17" ht="15.75" customHeight="1">
      <c r="A39" s="120"/>
      <c r="B39" s="122" t="s">
        <v>113</v>
      </c>
      <c r="C39" s="106">
        <v>0.2</v>
      </c>
      <c r="D39" s="107"/>
      <c r="E39" s="106"/>
      <c r="F39" s="106"/>
      <c r="G39" s="106"/>
      <c r="H39" s="131">
        <f>C39</f>
        <v>0.2</v>
      </c>
      <c r="I39" s="103"/>
      <c r="J39" s="117"/>
      <c r="K39" s="88"/>
      <c r="L39" s="88"/>
      <c r="M39" s="88"/>
      <c r="N39" s="88"/>
      <c r="O39" s="90"/>
      <c r="P39" s="90"/>
      <c r="Q39" s="90"/>
    </row>
    <row r="40" spans="1:17" ht="15.75" customHeight="1">
      <c r="A40" s="120"/>
      <c r="B40" s="122" t="s">
        <v>114</v>
      </c>
      <c r="C40" s="106">
        <v>0.5</v>
      </c>
      <c r="D40" s="107"/>
      <c r="E40" s="106"/>
      <c r="F40" s="106"/>
      <c r="G40" s="106"/>
      <c r="H40" s="132">
        <f>C40</f>
        <v>0.5</v>
      </c>
      <c r="I40" s="103"/>
      <c r="J40" s="117"/>
      <c r="K40" s="88"/>
      <c r="L40" s="88"/>
      <c r="M40" s="88"/>
      <c r="N40" s="88"/>
      <c r="O40" s="90"/>
      <c r="P40" s="90"/>
      <c r="Q40" s="90"/>
    </row>
    <row r="41" spans="1:17" ht="15.75" customHeight="1">
      <c r="A41" s="120"/>
      <c r="B41" s="122"/>
      <c r="C41" s="106"/>
      <c r="D41" s="133" t="s">
        <v>115</v>
      </c>
      <c r="E41" s="106"/>
      <c r="F41" s="106"/>
      <c r="G41" s="134" t="s">
        <v>116</v>
      </c>
      <c r="H41" s="130">
        <f>SUM(H39:H40)</f>
        <v>0.7</v>
      </c>
      <c r="I41" s="116" t="s">
        <v>117</v>
      </c>
      <c r="J41" s="117">
        <f>ROUND((H41),2)</f>
        <v>0.7</v>
      </c>
      <c r="K41" s="88"/>
      <c r="L41" s="88"/>
      <c r="M41" s="88"/>
      <c r="N41" s="88"/>
      <c r="O41" s="90"/>
      <c r="P41" s="90"/>
      <c r="Q41" s="90"/>
    </row>
    <row r="42" spans="1:17" ht="15.75" customHeight="1">
      <c r="A42" s="120"/>
      <c r="B42" s="135">
        <f t="shared" ref="B42:B55" si="4">B23</f>
        <v>27</v>
      </c>
      <c r="C42" s="136">
        <f t="shared" ref="C42:C55" si="5">E23</f>
        <v>2.75</v>
      </c>
      <c r="D42" s="137">
        <f t="shared" ref="D42:D55" si="6">H$41</f>
        <v>0.7</v>
      </c>
      <c r="E42" s="106">
        <f>13*13*0.006165</f>
        <v>1.041885</v>
      </c>
      <c r="F42" s="106">
        <v>4</v>
      </c>
      <c r="G42" s="106">
        <v>2</v>
      </c>
      <c r="H42" s="131">
        <f t="shared" ref="H42:H55" si="7">(C42+D42)*E42*F42*G42</f>
        <v>28.756025999999999</v>
      </c>
      <c r="I42" s="103"/>
      <c r="J42" s="117"/>
      <c r="K42" s="88"/>
      <c r="L42" s="88"/>
      <c r="M42" s="88"/>
      <c r="N42" s="88"/>
      <c r="O42" s="90"/>
      <c r="P42" s="90"/>
      <c r="Q42" s="90"/>
    </row>
    <row r="43" spans="1:17" ht="15.75" customHeight="1">
      <c r="A43" s="120"/>
      <c r="B43" s="135">
        <f t="shared" si="4"/>
        <v>28</v>
      </c>
      <c r="C43" s="136">
        <f t="shared" si="5"/>
        <v>2.75</v>
      </c>
      <c r="D43" s="137">
        <f t="shared" si="6"/>
        <v>0.7</v>
      </c>
      <c r="E43" s="106">
        <f t="shared" ref="E43:G50" si="8">E42</f>
        <v>1.041885</v>
      </c>
      <c r="F43" s="106">
        <f t="shared" si="8"/>
        <v>4</v>
      </c>
      <c r="G43" s="106">
        <f t="shared" si="8"/>
        <v>2</v>
      </c>
      <c r="H43" s="131">
        <f t="shared" si="7"/>
        <v>28.756025999999999</v>
      </c>
      <c r="I43" s="103"/>
      <c r="J43" s="117"/>
      <c r="K43" s="88"/>
      <c r="L43" s="88"/>
      <c r="M43" s="88"/>
      <c r="N43" s="88"/>
      <c r="O43" s="90"/>
      <c r="P43" s="90"/>
      <c r="Q43" s="90"/>
    </row>
    <row r="44" spans="1:17" ht="15.75" customHeight="1">
      <c r="A44" s="120"/>
      <c r="B44" s="135">
        <f t="shared" si="4"/>
        <v>29</v>
      </c>
      <c r="C44" s="136">
        <f t="shared" si="5"/>
        <v>2.75</v>
      </c>
      <c r="D44" s="137">
        <f t="shared" si="6"/>
        <v>0.7</v>
      </c>
      <c r="E44" s="106">
        <f t="shared" si="8"/>
        <v>1.041885</v>
      </c>
      <c r="F44" s="106">
        <f t="shared" si="8"/>
        <v>4</v>
      </c>
      <c r="G44" s="106">
        <f t="shared" si="8"/>
        <v>2</v>
      </c>
      <c r="H44" s="131">
        <f t="shared" si="7"/>
        <v>28.756025999999999</v>
      </c>
      <c r="I44" s="103"/>
      <c r="J44" s="117"/>
      <c r="K44" s="88"/>
      <c r="L44" s="88"/>
      <c r="M44" s="88"/>
      <c r="N44" s="88"/>
      <c r="O44" s="90"/>
      <c r="P44" s="90"/>
      <c r="Q44" s="90"/>
    </row>
    <row r="45" spans="1:17" ht="15.75" customHeight="1">
      <c r="A45" s="120"/>
      <c r="B45" s="135">
        <f t="shared" si="4"/>
        <v>31</v>
      </c>
      <c r="C45" s="136">
        <f t="shared" si="5"/>
        <v>1.35</v>
      </c>
      <c r="D45" s="137">
        <f t="shared" si="6"/>
        <v>0.7</v>
      </c>
      <c r="E45" s="106">
        <f t="shared" si="8"/>
        <v>1.041885</v>
      </c>
      <c r="F45" s="106">
        <f t="shared" si="8"/>
        <v>4</v>
      </c>
      <c r="G45" s="106">
        <f t="shared" si="8"/>
        <v>2</v>
      </c>
      <c r="H45" s="131">
        <f t="shared" si="7"/>
        <v>17.086913999999997</v>
      </c>
      <c r="I45" s="103"/>
      <c r="J45" s="117"/>
      <c r="K45" s="88"/>
      <c r="L45" s="88"/>
      <c r="M45" s="88"/>
      <c r="N45" s="88"/>
      <c r="O45" s="90"/>
      <c r="P45" s="90"/>
      <c r="Q45" s="90"/>
    </row>
    <row r="46" spans="1:17" ht="15.75" customHeight="1">
      <c r="A46" s="120"/>
      <c r="B46" s="135">
        <f t="shared" si="4"/>
        <v>32</v>
      </c>
      <c r="C46" s="136">
        <f t="shared" si="5"/>
        <v>1.35</v>
      </c>
      <c r="D46" s="137">
        <f t="shared" si="6"/>
        <v>0.7</v>
      </c>
      <c r="E46" s="106">
        <f t="shared" si="8"/>
        <v>1.041885</v>
      </c>
      <c r="F46" s="106">
        <f t="shared" si="8"/>
        <v>4</v>
      </c>
      <c r="G46" s="106">
        <f t="shared" si="8"/>
        <v>2</v>
      </c>
      <c r="H46" s="131">
        <f t="shared" si="7"/>
        <v>17.086913999999997</v>
      </c>
      <c r="I46" s="103"/>
      <c r="J46" s="117"/>
      <c r="K46" s="88"/>
      <c r="L46" s="88"/>
      <c r="M46" s="88"/>
      <c r="N46" s="88"/>
      <c r="O46" s="90"/>
      <c r="P46" s="90"/>
      <c r="Q46" s="90"/>
    </row>
    <row r="47" spans="1:17" ht="15.75" customHeight="1">
      <c r="A47" s="120"/>
      <c r="B47" s="135">
        <f t="shared" si="4"/>
        <v>33</v>
      </c>
      <c r="C47" s="136">
        <f t="shared" si="5"/>
        <v>1.35</v>
      </c>
      <c r="D47" s="137">
        <f t="shared" si="6"/>
        <v>0.7</v>
      </c>
      <c r="E47" s="106">
        <f t="shared" si="8"/>
        <v>1.041885</v>
      </c>
      <c r="F47" s="106">
        <f t="shared" si="8"/>
        <v>4</v>
      </c>
      <c r="G47" s="106">
        <f t="shared" si="8"/>
        <v>2</v>
      </c>
      <c r="H47" s="131">
        <f t="shared" si="7"/>
        <v>17.086913999999997</v>
      </c>
      <c r="I47" s="103"/>
      <c r="J47" s="117"/>
      <c r="K47" s="88"/>
      <c r="L47" s="88"/>
      <c r="M47" s="88"/>
      <c r="N47" s="88"/>
      <c r="O47" s="90"/>
      <c r="P47" s="90"/>
      <c r="Q47" s="90"/>
    </row>
    <row r="48" spans="1:17" ht="15.75" customHeight="1">
      <c r="A48" s="120"/>
      <c r="B48" s="135">
        <f t="shared" si="4"/>
        <v>35</v>
      </c>
      <c r="C48" s="136">
        <f t="shared" si="5"/>
        <v>2.75</v>
      </c>
      <c r="D48" s="137">
        <f t="shared" si="6"/>
        <v>0.7</v>
      </c>
      <c r="E48" s="106">
        <f t="shared" si="8"/>
        <v>1.041885</v>
      </c>
      <c r="F48" s="106">
        <f t="shared" si="8"/>
        <v>4</v>
      </c>
      <c r="G48" s="106">
        <f t="shared" si="8"/>
        <v>2</v>
      </c>
      <c r="H48" s="131">
        <f t="shared" si="7"/>
        <v>28.756025999999999</v>
      </c>
      <c r="I48" s="103"/>
      <c r="J48" s="117"/>
      <c r="K48" s="88"/>
      <c r="L48" s="88"/>
      <c r="M48" s="88"/>
      <c r="N48" s="88"/>
      <c r="O48" s="90"/>
      <c r="P48" s="90"/>
      <c r="Q48" s="90"/>
    </row>
    <row r="49" spans="1:17" ht="15.75" customHeight="1">
      <c r="A49" s="120"/>
      <c r="B49" s="135">
        <f t="shared" si="4"/>
        <v>36</v>
      </c>
      <c r="C49" s="136">
        <f t="shared" si="5"/>
        <v>2.75</v>
      </c>
      <c r="D49" s="137">
        <f t="shared" si="6"/>
        <v>0.7</v>
      </c>
      <c r="E49" s="106">
        <f t="shared" si="8"/>
        <v>1.041885</v>
      </c>
      <c r="F49" s="106">
        <f t="shared" si="8"/>
        <v>4</v>
      </c>
      <c r="G49" s="106">
        <f t="shared" si="8"/>
        <v>2</v>
      </c>
      <c r="H49" s="131">
        <f t="shared" si="7"/>
        <v>28.756025999999999</v>
      </c>
      <c r="I49" s="103"/>
      <c r="J49" s="117"/>
      <c r="K49" s="88"/>
      <c r="L49" s="88"/>
      <c r="M49" s="88"/>
      <c r="N49" s="88"/>
      <c r="O49" s="90"/>
      <c r="P49" s="90"/>
      <c r="Q49" s="90"/>
    </row>
    <row r="50" spans="1:17" ht="15.75" customHeight="1">
      <c r="A50" s="120"/>
      <c r="B50" s="135">
        <f t="shared" si="4"/>
        <v>37</v>
      </c>
      <c r="C50" s="136">
        <f t="shared" si="5"/>
        <v>2.75</v>
      </c>
      <c r="D50" s="137">
        <f t="shared" si="6"/>
        <v>0.7</v>
      </c>
      <c r="E50" s="106">
        <f t="shared" si="8"/>
        <v>1.041885</v>
      </c>
      <c r="F50" s="106">
        <f t="shared" si="8"/>
        <v>4</v>
      </c>
      <c r="G50" s="106">
        <f t="shared" si="8"/>
        <v>2</v>
      </c>
      <c r="H50" s="131">
        <f t="shared" si="7"/>
        <v>28.756025999999999</v>
      </c>
      <c r="I50" s="103"/>
      <c r="J50" s="117"/>
      <c r="K50" s="88"/>
      <c r="L50" s="88"/>
      <c r="M50" s="88"/>
      <c r="N50" s="88"/>
      <c r="O50" s="90"/>
      <c r="P50" s="90"/>
      <c r="Q50" s="90"/>
    </row>
    <row r="51" spans="1:17" ht="15.75" customHeight="1">
      <c r="A51" s="120"/>
      <c r="B51" s="135">
        <f t="shared" si="4"/>
        <v>14</v>
      </c>
      <c r="C51" s="136">
        <f t="shared" si="5"/>
        <v>3.407</v>
      </c>
      <c r="D51" s="137">
        <f t="shared" si="6"/>
        <v>0.7</v>
      </c>
      <c r="E51" s="106">
        <f t="shared" ref="E51:F55" si="9">E50</f>
        <v>1.041885</v>
      </c>
      <c r="F51" s="106">
        <f t="shared" si="9"/>
        <v>4</v>
      </c>
      <c r="G51" s="106">
        <v>0</v>
      </c>
      <c r="H51" s="131">
        <f t="shared" si="7"/>
        <v>0</v>
      </c>
      <c r="I51" s="103"/>
      <c r="J51" s="117"/>
      <c r="K51" s="88"/>
      <c r="L51" s="88"/>
      <c r="M51" s="88"/>
      <c r="N51" s="88"/>
      <c r="O51" s="90"/>
      <c r="P51" s="90"/>
      <c r="Q51" s="90"/>
    </row>
    <row r="52" spans="1:17" ht="15.75" customHeight="1">
      <c r="A52" s="120"/>
      <c r="B52" s="135">
        <f t="shared" si="4"/>
        <v>15</v>
      </c>
      <c r="C52" s="136">
        <f t="shared" si="5"/>
        <v>3.407</v>
      </c>
      <c r="D52" s="137">
        <f t="shared" si="6"/>
        <v>0.7</v>
      </c>
      <c r="E52" s="106">
        <f t="shared" si="9"/>
        <v>1.041885</v>
      </c>
      <c r="F52" s="106">
        <f t="shared" si="9"/>
        <v>4</v>
      </c>
      <c r="G52" s="106">
        <f>G51</f>
        <v>0</v>
      </c>
      <c r="H52" s="131">
        <f t="shared" si="7"/>
        <v>0</v>
      </c>
      <c r="I52" s="103"/>
      <c r="J52" s="117"/>
      <c r="K52" s="88"/>
      <c r="L52" s="88"/>
      <c r="M52" s="88"/>
      <c r="N52" s="88"/>
      <c r="O52" s="90"/>
      <c r="P52" s="90"/>
      <c r="Q52" s="90"/>
    </row>
    <row r="53" spans="1:17" ht="15.75" customHeight="1">
      <c r="A53" s="120"/>
      <c r="B53" s="135">
        <f t="shared" si="4"/>
        <v>16</v>
      </c>
      <c r="C53" s="136">
        <f t="shared" si="5"/>
        <v>3.4</v>
      </c>
      <c r="D53" s="137">
        <f t="shared" si="6"/>
        <v>0.7</v>
      </c>
      <c r="E53" s="106">
        <f t="shared" si="9"/>
        <v>1.041885</v>
      </c>
      <c r="F53" s="106">
        <f t="shared" si="9"/>
        <v>4</v>
      </c>
      <c r="G53" s="106">
        <f>G52</f>
        <v>0</v>
      </c>
      <c r="H53" s="131">
        <f t="shared" si="7"/>
        <v>0</v>
      </c>
      <c r="I53" s="103"/>
      <c r="J53" s="117"/>
      <c r="K53" s="88"/>
      <c r="L53" s="88"/>
      <c r="M53" s="88"/>
      <c r="N53" s="88"/>
      <c r="O53" s="90"/>
      <c r="P53" s="90"/>
      <c r="Q53" s="90"/>
    </row>
    <row r="54" spans="1:17" ht="15.75" customHeight="1">
      <c r="A54" s="120"/>
      <c r="B54" s="135">
        <f t="shared" si="4"/>
        <v>17</v>
      </c>
      <c r="C54" s="136">
        <f t="shared" si="5"/>
        <v>3.3929999999999998</v>
      </c>
      <c r="D54" s="137">
        <f t="shared" si="6"/>
        <v>0.7</v>
      </c>
      <c r="E54" s="106">
        <f t="shared" si="9"/>
        <v>1.041885</v>
      </c>
      <c r="F54" s="106">
        <f t="shared" si="9"/>
        <v>4</v>
      </c>
      <c r="G54" s="106">
        <f>G53</f>
        <v>0</v>
      </c>
      <c r="H54" s="131">
        <f t="shared" si="7"/>
        <v>0</v>
      </c>
      <c r="I54" s="103"/>
      <c r="J54" s="117"/>
      <c r="K54" s="88"/>
      <c r="L54" s="88"/>
      <c r="M54" s="88"/>
      <c r="N54" s="88"/>
      <c r="O54" s="90"/>
      <c r="P54" s="90"/>
      <c r="Q54" s="90"/>
    </row>
    <row r="55" spans="1:17" ht="15.75" customHeight="1">
      <c r="A55" s="120"/>
      <c r="B55" s="135">
        <f t="shared" si="4"/>
        <v>18</v>
      </c>
      <c r="C55" s="136">
        <f t="shared" si="5"/>
        <v>3.3860000000000001</v>
      </c>
      <c r="D55" s="137">
        <f t="shared" si="6"/>
        <v>0.7</v>
      </c>
      <c r="E55" s="106">
        <f t="shared" si="9"/>
        <v>1.041885</v>
      </c>
      <c r="F55" s="106">
        <f t="shared" si="9"/>
        <v>4</v>
      </c>
      <c r="G55" s="106">
        <f>G54</f>
        <v>0</v>
      </c>
      <c r="H55" s="131">
        <f t="shared" si="7"/>
        <v>0</v>
      </c>
      <c r="I55" s="103"/>
      <c r="J55" s="117"/>
      <c r="K55" s="88"/>
      <c r="L55" s="88"/>
      <c r="M55" s="88"/>
      <c r="N55" s="88"/>
      <c r="O55" s="90"/>
      <c r="P55" s="90"/>
      <c r="Q55" s="90"/>
    </row>
    <row r="56" spans="1:17" ht="15.75" customHeight="1">
      <c r="A56" s="120"/>
      <c r="B56" s="118"/>
      <c r="C56" s="107"/>
      <c r="D56" s="107"/>
      <c r="E56" s="106"/>
      <c r="F56" s="106"/>
      <c r="G56" s="106"/>
      <c r="H56" s="130">
        <f>ROUNDUP((SUM(H42:H55)),5)</f>
        <v>223.79689999999999</v>
      </c>
      <c r="I56" s="116" t="s">
        <v>100</v>
      </c>
      <c r="J56" s="117">
        <f>ROUND((H56),2)</f>
        <v>223.8</v>
      </c>
      <c r="K56" s="88"/>
      <c r="L56" s="88"/>
      <c r="M56" s="88"/>
      <c r="N56" s="88"/>
      <c r="O56" s="90"/>
      <c r="P56" s="90"/>
      <c r="Q56" s="90"/>
    </row>
    <row r="57" spans="1:17" ht="15.75" customHeight="1">
      <c r="A57" s="120" t="s">
        <v>101</v>
      </c>
      <c r="B57" s="121" t="s">
        <v>118</v>
      </c>
      <c r="C57" s="107"/>
      <c r="D57" s="138" t="s">
        <v>119</v>
      </c>
      <c r="E57" s="139" t="s">
        <v>120</v>
      </c>
      <c r="F57" s="106"/>
      <c r="G57" s="106"/>
      <c r="H57" s="102"/>
      <c r="I57" s="103"/>
      <c r="J57" s="117"/>
      <c r="K57" s="88"/>
      <c r="L57" s="88"/>
      <c r="M57" s="88"/>
      <c r="N57" s="88"/>
      <c r="O57" s="90"/>
      <c r="P57" s="90"/>
      <c r="Q57" s="90"/>
    </row>
    <row r="58" spans="1:17" ht="15.75" customHeight="1">
      <c r="A58" s="120"/>
      <c r="B58" s="135">
        <f t="shared" ref="B58:B71" si="10">B42</f>
        <v>27</v>
      </c>
      <c r="C58" s="123">
        <f>(0.09*4)+0.05</f>
        <v>0.41</v>
      </c>
      <c r="D58" s="106">
        <f>6*6*0.006165</f>
        <v>0.22194000000000003</v>
      </c>
      <c r="E58" s="106"/>
      <c r="F58" s="131">
        <f t="shared" ref="F58:F66" si="11">ROUNDUP(E23/0.15,0.5)</f>
        <v>19</v>
      </c>
      <c r="G58" s="106">
        <v>2</v>
      </c>
      <c r="H58" s="106">
        <f t="shared" ref="H58:H71" si="12">C58*D58*(E58+F58)*G58</f>
        <v>3.4578252000000003</v>
      </c>
      <c r="I58" s="103"/>
      <c r="J58" s="117"/>
      <c r="K58" s="88"/>
      <c r="L58" s="88"/>
      <c r="M58" s="88"/>
      <c r="N58" s="127"/>
      <c r="O58" s="90"/>
      <c r="P58" s="90"/>
      <c r="Q58" s="90"/>
    </row>
    <row r="59" spans="1:17" ht="15.75" customHeight="1">
      <c r="A59" s="120"/>
      <c r="B59" s="135">
        <f t="shared" si="10"/>
        <v>28</v>
      </c>
      <c r="C59" s="123">
        <f t="shared" ref="C59:C71" si="13">C58</f>
        <v>0.41</v>
      </c>
      <c r="D59" s="106">
        <f t="shared" ref="D59:D71" si="14">D58</f>
        <v>0.22194000000000003</v>
      </c>
      <c r="E59" s="106"/>
      <c r="F59" s="131">
        <f t="shared" si="11"/>
        <v>19</v>
      </c>
      <c r="G59" s="106">
        <f t="shared" ref="G59:G66" si="15">G58</f>
        <v>2</v>
      </c>
      <c r="H59" s="107">
        <f t="shared" si="12"/>
        <v>3.4578252000000003</v>
      </c>
      <c r="I59" s="103"/>
      <c r="J59" s="117"/>
      <c r="K59" s="88"/>
      <c r="L59" s="88"/>
      <c r="M59" s="88"/>
      <c r="N59" s="127"/>
      <c r="O59" s="90"/>
      <c r="P59" s="90"/>
      <c r="Q59" s="90"/>
    </row>
    <row r="60" spans="1:17" ht="15.75" customHeight="1">
      <c r="A60" s="120"/>
      <c r="B60" s="135">
        <f t="shared" si="10"/>
        <v>29</v>
      </c>
      <c r="C60" s="123">
        <f t="shared" si="13"/>
        <v>0.41</v>
      </c>
      <c r="D60" s="106">
        <f t="shared" si="14"/>
        <v>0.22194000000000003</v>
      </c>
      <c r="E60" s="106"/>
      <c r="F60" s="131">
        <f t="shared" si="11"/>
        <v>19</v>
      </c>
      <c r="G60" s="106">
        <f t="shared" si="15"/>
        <v>2</v>
      </c>
      <c r="H60" s="106">
        <f t="shared" si="12"/>
        <v>3.4578252000000003</v>
      </c>
      <c r="I60" s="103"/>
      <c r="J60" s="117"/>
      <c r="K60" s="88"/>
      <c r="L60" s="88"/>
      <c r="M60" s="88"/>
      <c r="N60" s="127"/>
      <c r="O60" s="90"/>
      <c r="P60" s="90"/>
      <c r="Q60" s="90"/>
    </row>
    <row r="61" spans="1:17" ht="15.75" customHeight="1">
      <c r="A61" s="120"/>
      <c r="B61" s="135">
        <f t="shared" si="10"/>
        <v>31</v>
      </c>
      <c r="C61" s="123">
        <f t="shared" si="13"/>
        <v>0.41</v>
      </c>
      <c r="D61" s="106">
        <f t="shared" si="14"/>
        <v>0.22194000000000003</v>
      </c>
      <c r="E61" s="106"/>
      <c r="F61" s="131">
        <f t="shared" si="11"/>
        <v>9</v>
      </c>
      <c r="G61" s="106">
        <f t="shared" si="15"/>
        <v>2</v>
      </c>
      <c r="H61" s="106">
        <f t="shared" si="12"/>
        <v>1.6379172</v>
      </c>
      <c r="I61" s="103"/>
      <c r="J61" s="117"/>
      <c r="K61" s="88"/>
      <c r="L61" s="88"/>
      <c r="M61" s="88"/>
      <c r="N61" s="127"/>
      <c r="O61" s="90"/>
      <c r="P61" s="90"/>
      <c r="Q61" s="90"/>
    </row>
    <row r="62" spans="1:17" ht="15.75" customHeight="1">
      <c r="A62" s="120"/>
      <c r="B62" s="135">
        <f t="shared" si="10"/>
        <v>32</v>
      </c>
      <c r="C62" s="123">
        <f t="shared" si="13"/>
        <v>0.41</v>
      </c>
      <c r="D62" s="106">
        <f t="shared" si="14"/>
        <v>0.22194000000000003</v>
      </c>
      <c r="E62" s="106"/>
      <c r="F62" s="131">
        <f t="shared" si="11"/>
        <v>9</v>
      </c>
      <c r="G62" s="106">
        <f t="shared" si="15"/>
        <v>2</v>
      </c>
      <c r="H62" s="106">
        <f t="shared" si="12"/>
        <v>1.6379172</v>
      </c>
      <c r="I62" s="103"/>
      <c r="J62" s="117"/>
      <c r="K62" s="88"/>
      <c r="L62" s="88"/>
      <c r="M62" s="88"/>
      <c r="N62" s="127"/>
      <c r="O62" s="90"/>
      <c r="P62" s="90"/>
      <c r="Q62" s="90"/>
    </row>
    <row r="63" spans="1:17" ht="15.75" customHeight="1">
      <c r="A63" s="120"/>
      <c r="B63" s="135">
        <f t="shared" si="10"/>
        <v>33</v>
      </c>
      <c r="C63" s="123">
        <f t="shared" si="13"/>
        <v>0.41</v>
      </c>
      <c r="D63" s="106">
        <f t="shared" si="14"/>
        <v>0.22194000000000003</v>
      </c>
      <c r="E63" s="106"/>
      <c r="F63" s="131">
        <f t="shared" si="11"/>
        <v>9</v>
      </c>
      <c r="G63" s="106">
        <f t="shared" si="15"/>
        <v>2</v>
      </c>
      <c r="H63" s="106">
        <f t="shared" si="12"/>
        <v>1.6379172</v>
      </c>
      <c r="I63" s="103"/>
      <c r="J63" s="117"/>
      <c r="K63" s="88"/>
      <c r="L63" s="88"/>
      <c r="M63" s="88"/>
      <c r="N63" s="127"/>
      <c r="O63" s="90"/>
      <c r="P63" s="90"/>
      <c r="Q63" s="90"/>
    </row>
    <row r="64" spans="1:17" ht="15.75" customHeight="1">
      <c r="A64" s="120"/>
      <c r="B64" s="135">
        <f t="shared" si="10"/>
        <v>35</v>
      </c>
      <c r="C64" s="123">
        <f t="shared" si="13"/>
        <v>0.41</v>
      </c>
      <c r="D64" s="106">
        <f t="shared" si="14"/>
        <v>0.22194000000000003</v>
      </c>
      <c r="E64" s="106"/>
      <c r="F64" s="131">
        <f t="shared" si="11"/>
        <v>19</v>
      </c>
      <c r="G64" s="106">
        <f t="shared" si="15"/>
        <v>2</v>
      </c>
      <c r="H64" s="106">
        <f t="shared" si="12"/>
        <v>3.4578252000000003</v>
      </c>
      <c r="I64" s="103"/>
      <c r="J64" s="117"/>
      <c r="K64" s="88"/>
      <c r="L64" s="88"/>
      <c r="M64" s="88"/>
      <c r="N64" s="127"/>
      <c r="O64" s="90"/>
      <c r="P64" s="90"/>
      <c r="Q64" s="90"/>
    </row>
    <row r="65" spans="1:17" ht="15.75" customHeight="1">
      <c r="A65" s="120"/>
      <c r="B65" s="135">
        <f t="shared" si="10"/>
        <v>36</v>
      </c>
      <c r="C65" s="123">
        <f t="shared" si="13"/>
        <v>0.41</v>
      </c>
      <c r="D65" s="106">
        <f t="shared" si="14"/>
        <v>0.22194000000000003</v>
      </c>
      <c r="E65" s="106"/>
      <c r="F65" s="131">
        <f t="shared" si="11"/>
        <v>19</v>
      </c>
      <c r="G65" s="106">
        <f t="shared" si="15"/>
        <v>2</v>
      </c>
      <c r="H65" s="106">
        <f t="shared" si="12"/>
        <v>3.4578252000000003</v>
      </c>
      <c r="I65" s="103"/>
      <c r="J65" s="117"/>
      <c r="K65" s="88"/>
      <c r="L65" s="88"/>
      <c r="M65" s="88"/>
      <c r="N65" s="127"/>
      <c r="O65" s="90"/>
      <c r="P65" s="90"/>
      <c r="Q65" s="90"/>
    </row>
    <row r="66" spans="1:17" ht="15.75" customHeight="1">
      <c r="A66" s="120"/>
      <c r="B66" s="135">
        <f t="shared" si="10"/>
        <v>37</v>
      </c>
      <c r="C66" s="123">
        <f t="shared" si="13"/>
        <v>0.41</v>
      </c>
      <c r="D66" s="106">
        <f t="shared" si="14"/>
        <v>0.22194000000000003</v>
      </c>
      <c r="E66" s="106"/>
      <c r="F66" s="131">
        <f t="shared" si="11"/>
        <v>19</v>
      </c>
      <c r="G66" s="106">
        <f t="shared" si="15"/>
        <v>2</v>
      </c>
      <c r="H66" s="106">
        <f t="shared" si="12"/>
        <v>3.4578252000000003</v>
      </c>
      <c r="I66" s="103"/>
      <c r="J66" s="117"/>
      <c r="K66" s="88"/>
      <c r="L66" s="88"/>
      <c r="M66" s="88"/>
      <c r="N66" s="127"/>
      <c r="O66" s="90"/>
      <c r="P66" s="90"/>
      <c r="Q66" s="90"/>
    </row>
    <row r="67" spans="1:17" ht="15.75" customHeight="1">
      <c r="A67" s="120"/>
      <c r="B67" s="135">
        <f t="shared" si="10"/>
        <v>14</v>
      </c>
      <c r="C67" s="123">
        <f t="shared" si="13"/>
        <v>0.41</v>
      </c>
      <c r="D67" s="106">
        <f t="shared" si="14"/>
        <v>0.22194000000000003</v>
      </c>
      <c r="E67" s="106"/>
      <c r="F67" s="131">
        <f>ROUNDUP(E32/0.125,0.5)</f>
        <v>28</v>
      </c>
      <c r="G67" s="106">
        <v>0</v>
      </c>
      <c r="H67" s="106">
        <f t="shared" si="12"/>
        <v>0</v>
      </c>
      <c r="I67" s="103"/>
      <c r="J67" s="117"/>
      <c r="K67" s="88"/>
      <c r="L67" s="88"/>
      <c r="M67" s="88"/>
      <c r="N67" s="127"/>
      <c r="O67" s="90"/>
      <c r="P67" s="90"/>
      <c r="Q67" s="90"/>
    </row>
    <row r="68" spans="1:17" ht="15.75" customHeight="1">
      <c r="A68" s="120"/>
      <c r="B68" s="135">
        <f t="shared" si="10"/>
        <v>15</v>
      </c>
      <c r="C68" s="123">
        <f t="shared" si="13"/>
        <v>0.41</v>
      </c>
      <c r="D68" s="106">
        <f t="shared" si="14"/>
        <v>0.22194000000000003</v>
      </c>
      <c r="E68" s="106"/>
      <c r="F68" s="131">
        <f>ROUNDUP(E33/0.125,0.5)</f>
        <v>28</v>
      </c>
      <c r="G68" s="106">
        <f>G67</f>
        <v>0</v>
      </c>
      <c r="H68" s="106">
        <f t="shared" si="12"/>
        <v>0</v>
      </c>
      <c r="I68" s="103"/>
      <c r="J68" s="117"/>
      <c r="K68" s="88"/>
      <c r="L68" s="88"/>
      <c r="M68" s="88"/>
      <c r="N68" s="127"/>
      <c r="O68" s="90"/>
      <c r="P68" s="90"/>
      <c r="Q68" s="90"/>
    </row>
    <row r="69" spans="1:17" ht="15.75" customHeight="1">
      <c r="A69" s="120"/>
      <c r="B69" s="135">
        <f t="shared" si="10"/>
        <v>16</v>
      </c>
      <c r="C69" s="123">
        <f t="shared" si="13"/>
        <v>0.41</v>
      </c>
      <c r="D69" s="106">
        <f t="shared" si="14"/>
        <v>0.22194000000000003</v>
      </c>
      <c r="E69" s="106"/>
      <c r="F69" s="131">
        <f>ROUNDUP(E34/0.125,0.5)</f>
        <v>28</v>
      </c>
      <c r="G69" s="106">
        <f>G68</f>
        <v>0</v>
      </c>
      <c r="H69" s="106">
        <f t="shared" si="12"/>
        <v>0</v>
      </c>
      <c r="I69" s="103"/>
      <c r="J69" s="117"/>
      <c r="K69" s="88"/>
      <c r="L69" s="88"/>
      <c r="M69" s="88"/>
      <c r="N69" s="127"/>
      <c r="O69" s="90"/>
      <c r="P69" s="90"/>
      <c r="Q69" s="90"/>
    </row>
    <row r="70" spans="1:17" ht="15.75" customHeight="1">
      <c r="A70" s="120"/>
      <c r="B70" s="135">
        <f t="shared" si="10"/>
        <v>17</v>
      </c>
      <c r="C70" s="123">
        <f t="shared" si="13"/>
        <v>0.41</v>
      </c>
      <c r="D70" s="106">
        <f t="shared" si="14"/>
        <v>0.22194000000000003</v>
      </c>
      <c r="E70" s="106"/>
      <c r="F70" s="131">
        <f>ROUNDUP(E35/0.125,0.5)</f>
        <v>28</v>
      </c>
      <c r="G70" s="106">
        <f>G69</f>
        <v>0</v>
      </c>
      <c r="H70" s="106">
        <f t="shared" si="12"/>
        <v>0</v>
      </c>
      <c r="I70" s="103"/>
      <c r="J70" s="117"/>
      <c r="K70" s="88"/>
      <c r="L70" s="88"/>
      <c r="M70" s="88"/>
      <c r="N70" s="127"/>
      <c r="O70" s="90"/>
      <c r="P70" s="90"/>
      <c r="Q70" s="90"/>
    </row>
    <row r="71" spans="1:17" ht="15.75" customHeight="1">
      <c r="A71" s="120"/>
      <c r="B71" s="135">
        <f t="shared" si="10"/>
        <v>18</v>
      </c>
      <c r="C71" s="123">
        <f t="shared" si="13"/>
        <v>0.41</v>
      </c>
      <c r="D71" s="106">
        <f t="shared" si="14"/>
        <v>0.22194000000000003</v>
      </c>
      <c r="E71" s="106"/>
      <c r="F71" s="131">
        <f>ROUNDUP(E36/0.125,0.5)</f>
        <v>28</v>
      </c>
      <c r="G71" s="106">
        <f>G70</f>
        <v>0</v>
      </c>
      <c r="H71" s="106">
        <f t="shared" si="12"/>
        <v>0</v>
      </c>
      <c r="I71" s="103"/>
      <c r="J71" s="117"/>
      <c r="K71" s="88"/>
      <c r="L71" s="88"/>
      <c r="M71" s="88"/>
      <c r="N71" s="127"/>
      <c r="O71" s="90"/>
      <c r="P71" s="90"/>
      <c r="Q71" s="90"/>
    </row>
    <row r="72" spans="1:17" ht="15.75" customHeight="1">
      <c r="A72" s="120"/>
      <c r="B72" s="118"/>
      <c r="C72" s="107"/>
      <c r="D72" s="107"/>
      <c r="E72" s="106"/>
      <c r="F72" s="106"/>
      <c r="G72" s="106"/>
      <c r="H72" s="115">
        <f>ROUNDUP((SUM(H58:H71)),5)</f>
        <v>25.660709999999998</v>
      </c>
      <c r="I72" s="116" t="s">
        <v>100</v>
      </c>
      <c r="J72" s="117">
        <f>ROUND((H72),2)</f>
        <v>25.66</v>
      </c>
      <c r="K72" s="88"/>
      <c r="L72" s="88"/>
      <c r="M72" s="88"/>
      <c r="N72" s="88"/>
      <c r="O72" s="90"/>
      <c r="P72" s="90"/>
      <c r="Q72" s="90"/>
    </row>
    <row r="73" spans="1:17" ht="15.75" customHeight="1">
      <c r="A73" s="120" t="s">
        <v>121</v>
      </c>
      <c r="B73" s="121" t="s">
        <v>102</v>
      </c>
      <c r="C73" s="107"/>
      <c r="D73" s="107"/>
      <c r="E73" s="106"/>
      <c r="F73" s="106"/>
      <c r="G73" s="106"/>
      <c r="H73" s="106"/>
      <c r="I73" s="103"/>
      <c r="J73" s="117"/>
      <c r="K73" s="88"/>
      <c r="L73" s="88"/>
      <c r="M73" s="88"/>
      <c r="N73" s="88"/>
      <c r="O73" s="90"/>
      <c r="P73" s="90"/>
      <c r="Q73" s="90"/>
    </row>
    <row r="74" spans="1:17" ht="15.75" customHeight="1">
      <c r="A74" s="120"/>
      <c r="B74" s="135">
        <f t="shared" ref="B74:B87" si="16">B58</f>
        <v>27</v>
      </c>
      <c r="C74" s="107">
        <v>0.15</v>
      </c>
      <c r="D74" s="107">
        <v>0.15</v>
      </c>
      <c r="E74" s="106">
        <f t="shared" ref="E74:E87" si="17">E23</f>
        <v>2.75</v>
      </c>
      <c r="F74" s="106"/>
      <c r="G74" s="106">
        <v>2</v>
      </c>
      <c r="H74" s="131">
        <f t="shared" ref="H74:H87" si="18">C74*D74*E74*G74</f>
        <v>0.12375</v>
      </c>
      <c r="I74" s="103"/>
      <c r="J74" s="117"/>
      <c r="K74" s="88"/>
      <c r="L74" s="88"/>
      <c r="M74" s="88"/>
      <c r="N74" s="88"/>
      <c r="O74" s="90"/>
      <c r="P74" s="90"/>
      <c r="Q74" s="90"/>
    </row>
    <row r="75" spans="1:17" ht="15.75" customHeight="1">
      <c r="A75" s="120"/>
      <c r="B75" s="135">
        <f t="shared" si="16"/>
        <v>28</v>
      </c>
      <c r="C75" s="107">
        <f t="shared" ref="C75:C87" si="19">C74</f>
        <v>0.15</v>
      </c>
      <c r="D75" s="107">
        <f t="shared" ref="D75:D87" si="20">D74</f>
        <v>0.15</v>
      </c>
      <c r="E75" s="106">
        <f t="shared" si="17"/>
        <v>2.75</v>
      </c>
      <c r="F75" s="106"/>
      <c r="G75" s="106">
        <f t="shared" ref="G75:G82" si="21">G74</f>
        <v>2</v>
      </c>
      <c r="H75" s="123">
        <f t="shared" si="18"/>
        <v>0.12375</v>
      </c>
      <c r="I75" s="103"/>
      <c r="J75" s="117"/>
      <c r="K75" s="88"/>
      <c r="L75" s="88"/>
      <c r="M75" s="88"/>
      <c r="N75" s="88"/>
      <c r="O75" s="90"/>
      <c r="P75" s="90"/>
      <c r="Q75" s="90"/>
    </row>
    <row r="76" spans="1:17" ht="15.75" customHeight="1">
      <c r="A76" s="120"/>
      <c r="B76" s="135">
        <f t="shared" si="16"/>
        <v>29</v>
      </c>
      <c r="C76" s="107">
        <f t="shared" si="19"/>
        <v>0.15</v>
      </c>
      <c r="D76" s="107">
        <f t="shared" si="20"/>
        <v>0.15</v>
      </c>
      <c r="E76" s="106">
        <f t="shared" si="17"/>
        <v>2.75</v>
      </c>
      <c r="F76" s="106"/>
      <c r="G76" s="106">
        <f t="shared" si="21"/>
        <v>2</v>
      </c>
      <c r="H76" s="131">
        <f t="shared" si="18"/>
        <v>0.12375</v>
      </c>
      <c r="I76" s="103"/>
      <c r="J76" s="117"/>
      <c r="K76" s="88"/>
      <c r="L76" s="88"/>
      <c r="M76" s="88"/>
      <c r="N76" s="88"/>
      <c r="O76" s="90"/>
      <c r="P76" s="90"/>
      <c r="Q76" s="90"/>
    </row>
    <row r="77" spans="1:17" ht="15.75" customHeight="1">
      <c r="A77" s="120"/>
      <c r="B77" s="135">
        <f t="shared" si="16"/>
        <v>31</v>
      </c>
      <c r="C77" s="107">
        <f t="shared" si="19"/>
        <v>0.15</v>
      </c>
      <c r="D77" s="107">
        <f t="shared" si="20"/>
        <v>0.15</v>
      </c>
      <c r="E77" s="106">
        <f t="shared" si="17"/>
        <v>1.35</v>
      </c>
      <c r="F77" s="106"/>
      <c r="G77" s="106">
        <f t="shared" si="21"/>
        <v>2</v>
      </c>
      <c r="H77" s="131">
        <f t="shared" si="18"/>
        <v>6.0749999999999998E-2</v>
      </c>
      <c r="I77" s="103"/>
      <c r="J77" s="117"/>
      <c r="K77" s="88"/>
      <c r="L77" s="88"/>
      <c r="M77" s="88"/>
      <c r="N77" s="88"/>
      <c r="O77" s="90"/>
      <c r="P77" s="90"/>
      <c r="Q77" s="90"/>
    </row>
    <row r="78" spans="1:17" ht="15.75" customHeight="1">
      <c r="A78" s="120"/>
      <c r="B78" s="135">
        <f t="shared" si="16"/>
        <v>32</v>
      </c>
      <c r="C78" s="107">
        <f t="shared" si="19"/>
        <v>0.15</v>
      </c>
      <c r="D78" s="107">
        <f t="shared" si="20"/>
        <v>0.15</v>
      </c>
      <c r="E78" s="106">
        <f t="shared" si="17"/>
        <v>1.35</v>
      </c>
      <c r="F78" s="106"/>
      <c r="G78" s="106">
        <f t="shared" si="21"/>
        <v>2</v>
      </c>
      <c r="H78" s="131">
        <f t="shared" si="18"/>
        <v>6.0749999999999998E-2</v>
      </c>
      <c r="I78" s="103"/>
      <c r="J78" s="117"/>
      <c r="K78" s="88"/>
      <c r="L78" s="88"/>
      <c r="M78" s="88"/>
      <c r="N78" s="88"/>
      <c r="O78" s="90"/>
      <c r="P78" s="90"/>
      <c r="Q78" s="90"/>
    </row>
    <row r="79" spans="1:17" ht="15.75" customHeight="1">
      <c r="A79" s="120"/>
      <c r="B79" s="135">
        <f t="shared" si="16"/>
        <v>33</v>
      </c>
      <c r="C79" s="107">
        <f t="shared" si="19"/>
        <v>0.15</v>
      </c>
      <c r="D79" s="107">
        <f t="shared" si="20"/>
        <v>0.15</v>
      </c>
      <c r="E79" s="106">
        <f t="shared" si="17"/>
        <v>1.35</v>
      </c>
      <c r="F79" s="106"/>
      <c r="G79" s="106">
        <f t="shared" si="21"/>
        <v>2</v>
      </c>
      <c r="H79" s="131">
        <f t="shared" si="18"/>
        <v>6.0749999999999998E-2</v>
      </c>
      <c r="I79" s="103"/>
      <c r="J79" s="117"/>
      <c r="K79" s="88"/>
      <c r="L79" s="88"/>
      <c r="M79" s="88"/>
      <c r="N79" s="88"/>
      <c r="O79" s="90"/>
      <c r="P79" s="90"/>
      <c r="Q79" s="90"/>
    </row>
    <row r="80" spans="1:17" ht="15.75" customHeight="1">
      <c r="A80" s="120"/>
      <c r="B80" s="135">
        <f t="shared" si="16"/>
        <v>35</v>
      </c>
      <c r="C80" s="107">
        <f t="shared" si="19"/>
        <v>0.15</v>
      </c>
      <c r="D80" s="107">
        <f t="shared" si="20"/>
        <v>0.15</v>
      </c>
      <c r="E80" s="106">
        <f t="shared" si="17"/>
        <v>2.75</v>
      </c>
      <c r="F80" s="106"/>
      <c r="G80" s="106">
        <f t="shared" si="21"/>
        <v>2</v>
      </c>
      <c r="H80" s="131">
        <f t="shared" si="18"/>
        <v>0.12375</v>
      </c>
      <c r="I80" s="103"/>
      <c r="J80" s="117"/>
      <c r="K80" s="88"/>
      <c r="L80" s="88"/>
      <c r="M80" s="88"/>
      <c r="N80" s="88"/>
      <c r="O80" s="90"/>
      <c r="P80" s="90"/>
      <c r="Q80" s="90"/>
    </row>
    <row r="81" spans="1:17" ht="15.75" customHeight="1">
      <c r="A81" s="120"/>
      <c r="B81" s="135">
        <f t="shared" si="16"/>
        <v>36</v>
      </c>
      <c r="C81" s="107">
        <f t="shared" si="19"/>
        <v>0.15</v>
      </c>
      <c r="D81" s="107">
        <f t="shared" si="20"/>
        <v>0.15</v>
      </c>
      <c r="E81" s="106">
        <f t="shared" si="17"/>
        <v>2.75</v>
      </c>
      <c r="F81" s="106"/>
      <c r="G81" s="106">
        <f t="shared" si="21"/>
        <v>2</v>
      </c>
      <c r="H81" s="131">
        <f t="shared" si="18"/>
        <v>0.12375</v>
      </c>
      <c r="I81" s="103"/>
      <c r="J81" s="117"/>
      <c r="K81" s="88"/>
      <c r="L81" s="88"/>
      <c r="M81" s="88"/>
      <c r="N81" s="88"/>
      <c r="O81" s="90"/>
      <c r="P81" s="90"/>
      <c r="Q81" s="90"/>
    </row>
    <row r="82" spans="1:17" ht="15.75" customHeight="1">
      <c r="A82" s="120"/>
      <c r="B82" s="135">
        <f t="shared" si="16"/>
        <v>37</v>
      </c>
      <c r="C82" s="107">
        <f t="shared" si="19"/>
        <v>0.15</v>
      </c>
      <c r="D82" s="107">
        <f t="shared" si="20"/>
        <v>0.15</v>
      </c>
      <c r="E82" s="106">
        <f t="shared" si="17"/>
        <v>2.75</v>
      </c>
      <c r="F82" s="106"/>
      <c r="G82" s="106">
        <f t="shared" si="21"/>
        <v>2</v>
      </c>
      <c r="H82" s="131">
        <f t="shared" si="18"/>
        <v>0.12375</v>
      </c>
      <c r="I82" s="103"/>
      <c r="J82" s="117"/>
      <c r="K82" s="88"/>
      <c r="L82" s="88"/>
      <c r="M82" s="88"/>
      <c r="N82" s="88"/>
      <c r="O82" s="90"/>
      <c r="P82" s="90"/>
      <c r="Q82" s="90"/>
    </row>
    <row r="83" spans="1:17" ht="15.75" customHeight="1">
      <c r="A83" s="120"/>
      <c r="B83" s="135">
        <f t="shared" si="16"/>
        <v>14</v>
      </c>
      <c r="C83" s="107">
        <f t="shared" si="19"/>
        <v>0.15</v>
      </c>
      <c r="D83" s="107">
        <f t="shared" si="20"/>
        <v>0.15</v>
      </c>
      <c r="E83" s="106">
        <f t="shared" si="17"/>
        <v>3.407</v>
      </c>
      <c r="F83" s="106"/>
      <c r="G83" s="106">
        <v>0</v>
      </c>
      <c r="H83" s="131">
        <f t="shared" si="18"/>
        <v>0</v>
      </c>
      <c r="I83" s="103"/>
      <c r="J83" s="117"/>
      <c r="K83" s="88"/>
      <c r="L83" s="88"/>
      <c r="M83" s="88"/>
      <c r="N83" s="88"/>
      <c r="O83" s="90"/>
      <c r="P83" s="90"/>
      <c r="Q83" s="90"/>
    </row>
    <row r="84" spans="1:17" ht="15.75" customHeight="1">
      <c r="A84" s="120"/>
      <c r="B84" s="135">
        <f t="shared" si="16"/>
        <v>15</v>
      </c>
      <c r="C84" s="107">
        <f t="shared" si="19"/>
        <v>0.15</v>
      </c>
      <c r="D84" s="107">
        <f t="shared" si="20"/>
        <v>0.15</v>
      </c>
      <c r="E84" s="106">
        <f t="shared" si="17"/>
        <v>3.407</v>
      </c>
      <c r="F84" s="106"/>
      <c r="G84" s="106">
        <f>G83</f>
        <v>0</v>
      </c>
      <c r="H84" s="131">
        <f t="shared" si="18"/>
        <v>0</v>
      </c>
      <c r="I84" s="103"/>
      <c r="J84" s="117"/>
      <c r="K84" s="88"/>
      <c r="L84" s="88"/>
      <c r="M84" s="88"/>
      <c r="N84" s="88"/>
      <c r="O84" s="90"/>
      <c r="P84" s="90"/>
      <c r="Q84" s="90"/>
    </row>
    <row r="85" spans="1:17" ht="15.75" customHeight="1">
      <c r="A85" s="120"/>
      <c r="B85" s="135">
        <f t="shared" si="16"/>
        <v>16</v>
      </c>
      <c r="C85" s="107">
        <f t="shared" si="19"/>
        <v>0.15</v>
      </c>
      <c r="D85" s="107">
        <f t="shared" si="20"/>
        <v>0.15</v>
      </c>
      <c r="E85" s="106">
        <f t="shared" si="17"/>
        <v>3.4</v>
      </c>
      <c r="F85" s="106"/>
      <c r="G85" s="106">
        <f>G84</f>
        <v>0</v>
      </c>
      <c r="H85" s="131">
        <f t="shared" si="18"/>
        <v>0</v>
      </c>
      <c r="I85" s="103"/>
      <c r="J85" s="117"/>
      <c r="K85" s="88"/>
      <c r="L85" s="88"/>
      <c r="M85" s="88"/>
      <c r="N85" s="88"/>
      <c r="O85" s="90"/>
      <c r="P85" s="90"/>
      <c r="Q85" s="90"/>
    </row>
    <row r="86" spans="1:17" ht="15.75" customHeight="1">
      <c r="A86" s="120"/>
      <c r="B86" s="135">
        <f t="shared" si="16"/>
        <v>17</v>
      </c>
      <c r="C86" s="107">
        <f t="shared" si="19"/>
        <v>0.15</v>
      </c>
      <c r="D86" s="107">
        <f t="shared" si="20"/>
        <v>0.15</v>
      </c>
      <c r="E86" s="106">
        <f t="shared" si="17"/>
        <v>3.3929999999999998</v>
      </c>
      <c r="F86" s="106"/>
      <c r="G86" s="106">
        <f>G85</f>
        <v>0</v>
      </c>
      <c r="H86" s="131">
        <f t="shared" si="18"/>
        <v>0</v>
      </c>
      <c r="I86" s="103"/>
      <c r="J86" s="117"/>
      <c r="K86" s="88"/>
      <c r="L86" s="88"/>
      <c r="M86" s="88"/>
      <c r="N86" s="88"/>
      <c r="O86" s="90"/>
      <c r="P86" s="90"/>
      <c r="Q86" s="90"/>
    </row>
    <row r="87" spans="1:17" ht="15.75" customHeight="1">
      <c r="A87" s="120"/>
      <c r="B87" s="135">
        <f t="shared" si="16"/>
        <v>18</v>
      </c>
      <c r="C87" s="107">
        <f t="shared" si="19"/>
        <v>0.15</v>
      </c>
      <c r="D87" s="107">
        <f t="shared" si="20"/>
        <v>0.15</v>
      </c>
      <c r="E87" s="106">
        <f t="shared" si="17"/>
        <v>3.3860000000000001</v>
      </c>
      <c r="F87" s="106"/>
      <c r="G87" s="106">
        <f>G86</f>
        <v>0</v>
      </c>
      <c r="H87" s="131">
        <f t="shared" si="18"/>
        <v>0</v>
      </c>
      <c r="I87" s="103"/>
      <c r="J87" s="117"/>
      <c r="K87" s="88"/>
      <c r="L87" s="88"/>
      <c r="M87" s="88"/>
      <c r="N87" s="88"/>
      <c r="O87" s="90"/>
      <c r="P87" s="90"/>
      <c r="Q87" s="90"/>
    </row>
    <row r="88" spans="1:17" ht="15.75" customHeight="1">
      <c r="A88" s="120"/>
      <c r="B88" s="118"/>
      <c r="C88" s="107"/>
      <c r="D88" s="107"/>
      <c r="E88" s="106"/>
      <c r="F88" s="106"/>
      <c r="G88" s="106"/>
      <c r="H88" s="130">
        <f>ROUNDUP((SUM(H74:H87)),5)</f>
        <v>0.92474999999999996</v>
      </c>
      <c r="I88" s="116" t="s">
        <v>89</v>
      </c>
      <c r="J88" s="117">
        <f>ROUND((H88),2)</f>
        <v>0.92</v>
      </c>
      <c r="K88" s="88"/>
      <c r="L88" s="88"/>
      <c r="M88" s="88"/>
      <c r="N88" s="88"/>
      <c r="O88" s="90"/>
      <c r="P88" s="90"/>
      <c r="Q88" s="90"/>
    </row>
    <row r="89" spans="1:17" ht="27.75" customHeight="1">
      <c r="A89" s="104" t="s">
        <v>122</v>
      </c>
      <c r="B89" s="114" t="s">
        <v>123</v>
      </c>
      <c r="C89" s="111"/>
      <c r="D89" s="111"/>
      <c r="E89" s="106"/>
      <c r="F89" s="106"/>
      <c r="G89" s="106"/>
      <c r="H89" s="106">
        <f>N17</f>
        <v>18</v>
      </c>
      <c r="I89" s="103" t="s">
        <v>124</v>
      </c>
      <c r="J89" s="117">
        <f>ROUND((H89),2)</f>
        <v>18</v>
      </c>
      <c r="K89" s="88"/>
      <c r="L89" s="88"/>
      <c r="M89" s="88"/>
      <c r="N89" s="88"/>
      <c r="O89" s="90"/>
      <c r="P89" s="90"/>
      <c r="Q89" s="90"/>
    </row>
    <row r="90" spans="1:17" ht="15.75" customHeight="1">
      <c r="A90" s="104">
        <f>A15+1</f>
        <v>3</v>
      </c>
      <c r="B90" s="121" t="s">
        <v>125</v>
      </c>
      <c r="C90" s="107"/>
      <c r="D90" s="107"/>
      <c r="E90" s="106"/>
      <c r="F90" s="106"/>
      <c r="G90" s="106"/>
      <c r="H90" s="106"/>
      <c r="I90" s="103"/>
      <c r="J90" s="117">
        <f>ROUND((H90),2)</f>
        <v>0</v>
      </c>
      <c r="K90" s="88"/>
      <c r="L90" s="88"/>
      <c r="M90" s="88"/>
      <c r="N90" s="88"/>
      <c r="O90" s="90"/>
      <c r="P90" s="90"/>
      <c r="Q90" s="90"/>
    </row>
    <row r="91" spans="1:17" ht="15.75" customHeight="1">
      <c r="A91" s="120" t="s">
        <v>95</v>
      </c>
      <c r="B91" s="118" t="s">
        <v>126</v>
      </c>
      <c r="C91" s="107"/>
      <c r="D91" s="107"/>
      <c r="E91" s="106"/>
      <c r="F91" s="106"/>
      <c r="G91" s="106"/>
      <c r="H91" s="106"/>
      <c r="I91" s="103"/>
      <c r="J91" s="117">
        <f>ROUND((H91),2)</f>
        <v>0</v>
      </c>
      <c r="K91" s="88"/>
      <c r="L91" s="88"/>
      <c r="M91" s="88"/>
      <c r="N91" s="88"/>
      <c r="O91" s="90"/>
      <c r="P91" s="90"/>
      <c r="Q91" s="90"/>
    </row>
    <row r="92" spans="1:17" ht="15.75" customHeight="1">
      <c r="A92" s="120"/>
      <c r="B92" s="122" t="s">
        <v>127</v>
      </c>
      <c r="C92" s="107">
        <v>1.35</v>
      </c>
      <c r="D92" s="107">
        <v>0.15</v>
      </c>
      <c r="E92" s="106"/>
      <c r="F92" s="106">
        <v>2</v>
      </c>
      <c r="G92" s="106">
        <f>2*6</f>
        <v>12</v>
      </c>
      <c r="H92" s="106">
        <f>C92*D92*F92*G92</f>
        <v>4.8600000000000003</v>
      </c>
      <c r="I92" s="103"/>
      <c r="J92" s="117"/>
      <c r="K92" s="88"/>
      <c r="L92" s="88"/>
      <c r="M92" s="88"/>
      <c r="N92" s="88"/>
      <c r="O92" s="90"/>
      <c r="P92" s="90"/>
      <c r="Q92" s="90"/>
    </row>
    <row r="93" spans="1:17" ht="15.75" customHeight="1">
      <c r="A93" s="120"/>
      <c r="B93" s="122" t="s">
        <v>128</v>
      </c>
      <c r="C93" s="107">
        <v>1.35</v>
      </c>
      <c r="D93" s="107">
        <v>0.15</v>
      </c>
      <c r="E93" s="106"/>
      <c r="F93" s="106">
        <v>1</v>
      </c>
      <c r="G93" s="106">
        <f>G92</f>
        <v>12</v>
      </c>
      <c r="H93" s="106">
        <f>C93*D93*F93*G93</f>
        <v>2.4300000000000002</v>
      </c>
      <c r="I93" s="103"/>
      <c r="J93" s="117"/>
      <c r="K93" s="88"/>
      <c r="L93" s="88"/>
      <c r="M93" s="88"/>
      <c r="N93" s="88"/>
      <c r="O93" s="90"/>
      <c r="P93" s="90"/>
      <c r="Q93" s="90"/>
    </row>
    <row r="94" spans="1:17" ht="15.75" customHeight="1">
      <c r="A94" s="120"/>
      <c r="B94" s="122" t="s">
        <v>129</v>
      </c>
      <c r="C94" s="107">
        <v>1.35</v>
      </c>
      <c r="D94" s="107">
        <v>0.15</v>
      </c>
      <c r="E94" s="106"/>
      <c r="F94" s="106">
        <v>2</v>
      </c>
      <c r="G94" s="106">
        <f>2*3</f>
        <v>6</v>
      </c>
      <c r="H94" s="106">
        <f>C94*D94*F94*G94</f>
        <v>2.4300000000000002</v>
      </c>
      <c r="I94" s="103"/>
      <c r="J94" s="117"/>
      <c r="K94" s="88"/>
      <c r="L94" s="88"/>
      <c r="M94" s="88"/>
      <c r="N94" s="88"/>
      <c r="O94" s="90"/>
      <c r="P94" s="90"/>
      <c r="Q94" s="90"/>
    </row>
    <row r="95" spans="1:17" ht="15.75" customHeight="1">
      <c r="A95" s="120"/>
      <c r="B95" s="122" t="s">
        <v>130</v>
      </c>
      <c r="C95" s="107">
        <v>1.35</v>
      </c>
      <c r="D95" s="107">
        <v>0.15</v>
      </c>
      <c r="E95" s="106"/>
      <c r="F95" s="106">
        <v>1</v>
      </c>
      <c r="G95" s="106">
        <f>G94</f>
        <v>6</v>
      </c>
      <c r="H95" s="106">
        <f>C95*D95*F95*G95</f>
        <v>1.2150000000000001</v>
      </c>
      <c r="I95" s="103"/>
      <c r="J95" s="117"/>
      <c r="K95" s="88"/>
      <c r="L95" s="88"/>
      <c r="M95" s="88"/>
      <c r="N95" s="88"/>
      <c r="O95" s="90"/>
      <c r="P95" s="90"/>
      <c r="Q95" s="90"/>
    </row>
    <row r="96" spans="1:17" ht="15.75" customHeight="1">
      <c r="A96" s="120"/>
      <c r="B96" s="118"/>
      <c r="C96" s="107"/>
      <c r="D96" s="107"/>
      <c r="E96" s="106"/>
      <c r="F96" s="106"/>
      <c r="G96" s="106"/>
      <c r="H96" s="115">
        <f>ROUNDUP((SUM(H92:H95)),5)</f>
        <v>10.935</v>
      </c>
      <c r="I96" s="116" t="s">
        <v>89</v>
      </c>
      <c r="J96" s="117">
        <f>ROUND((H96),2)</f>
        <v>10.94</v>
      </c>
      <c r="K96" s="88"/>
      <c r="L96" s="88"/>
      <c r="M96" s="88"/>
      <c r="N96" s="88"/>
      <c r="O96" s="90"/>
      <c r="P96" s="90"/>
      <c r="Q96" s="90"/>
    </row>
    <row r="97" spans="1:17" ht="15.75" customHeight="1">
      <c r="A97" s="120" t="s">
        <v>98</v>
      </c>
      <c r="B97" s="118" t="s">
        <v>131</v>
      </c>
      <c r="C97" s="140" t="s">
        <v>132</v>
      </c>
      <c r="D97" s="140" t="s">
        <v>133</v>
      </c>
      <c r="E97" s="141" t="s">
        <v>134</v>
      </c>
      <c r="F97" s="115" t="s">
        <v>135</v>
      </c>
      <c r="G97" s="115"/>
      <c r="H97" s="106"/>
      <c r="I97" s="142"/>
      <c r="J97" s="143"/>
      <c r="K97" s="144"/>
      <c r="L97" s="88"/>
      <c r="M97" s="88"/>
      <c r="N97" s="88"/>
      <c r="O97" s="90"/>
      <c r="P97" s="90"/>
      <c r="Q97" s="90"/>
    </row>
    <row r="98" spans="1:17" ht="15.75" customHeight="1">
      <c r="A98" s="120"/>
      <c r="B98" s="145" t="s">
        <v>136</v>
      </c>
      <c r="C98" s="107">
        <v>1.5</v>
      </c>
      <c r="D98" s="106">
        <f>13*13*0.006165</f>
        <v>1.041885</v>
      </c>
      <c r="E98" s="106">
        <v>4</v>
      </c>
      <c r="F98" s="106">
        <f>G92</f>
        <v>12</v>
      </c>
      <c r="G98" s="106"/>
      <c r="H98" s="107">
        <f>C98*D98*E98*F98</f>
        <v>75.015720000000002</v>
      </c>
      <c r="I98" s="142"/>
      <c r="J98" s="143"/>
      <c r="K98" s="144"/>
      <c r="L98" s="88"/>
      <c r="M98" s="88"/>
      <c r="N98" s="88"/>
      <c r="O98" s="90"/>
      <c r="P98" s="90"/>
      <c r="Q98" s="90"/>
    </row>
    <row r="99" spans="1:17" ht="15.75" customHeight="1">
      <c r="A99" s="120"/>
      <c r="B99" s="145" t="s">
        <v>137</v>
      </c>
      <c r="C99" s="107">
        <v>1.5</v>
      </c>
      <c r="D99" s="106">
        <f>13*13*0.006165</f>
        <v>1.041885</v>
      </c>
      <c r="E99" s="106">
        <v>4</v>
      </c>
      <c r="F99" s="106">
        <f>G94</f>
        <v>6</v>
      </c>
      <c r="G99" s="106"/>
      <c r="H99" s="107">
        <f>C99*D99*E99*F99</f>
        <v>37.507860000000001</v>
      </c>
      <c r="I99" s="142"/>
      <c r="J99" s="143"/>
      <c r="K99" s="88" t="s">
        <v>138</v>
      </c>
      <c r="L99" s="88"/>
      <c r="M99" s="88"/>
      <c r="N99" s="88"/>
      <c r="O99" s="90"/>
      <c r="P99" s="90"/>
      <c r="Q99" s="90"/>
    </row>
    <row r="100" spans="1:17" ht="15.75" customHeight="1">
      <c r="A100" s="120"/>
      <c r="B100" s="135"/>
      <c r="C100" s="107"/>
      <c r="D100" s="107"/>
      <c r="E100" s="106"/>
      <c r="F100" s="106"/>
      <c r="G100" s="106"/>
      <c r="H100" s="115">
        <f>ROUNDUP((SUM(H98:H99)),5)</f>
        <v>112.52358</v>
      </c>
      <c r="I100" s="116" t="s">
        <v>100</v>
      </c>
      <c r="J100" s="117">
        <f>ROUND((H100),2)</f>
        <v>112.52</v>
      </c>
      <c r="K100" s="146">
        <v>1416.16</v>
      </c>
      <c r="L100" s="88"/>
      <c r="M100" s="88"/>
      <c r="N100" s="88"/>
      <c r="O100" s="90"/>
      <c r="P100" s="90"/>
      <c r="Q100" s="90"/>
    </row>
    <row r="101" spans="1:17" ht="15.75" customHeight="1">
      <c r="A101" s="120" t="s">
        <v>101</v>
      </c>
      <c r="B101" s="118" t="s">
        <v>118</v>
      </c>
      <c r="C101" s="140" t="s">
        <v>132</v>
      </c>
      <c r="D101" s="140" t="s">
        <v>133</v>
      </c>
      <c r="E101" s="106"/>
      <c r="F101" s="106"/>
      <c r="G101" s="106" t="s">
        <v>139</v>
      </c>
      <c r="H101" s="106"/>
      <c r="I101" s="103"/>
      <c r="J101" s="117"/>
      <c r="K101" s="88"/>
      <c r="L101" s="88"/>
      <c r="M101" s="88"/>
      <c r="N101" s="88"/>
      <c r="O101" s="90"/>
      <c r="P101" s="90"/>
      <c r="Q101" s="90"/>
    </row>
    <row r="102" spans="1:17" ht="15.75" customHeight="1">
      <c r="A102" s="120"/>
      <c r="B102" s="145" t="s">
        <v>136</v>
      </c>
      <c r="C102" s="123">
        <f>(0.09*4)+0.05</f>
        <v>0.41</v>
      </c>
      <c r="D102" s="106">
        <f>6*6*0.006165</f>
        <v>0.22194000000000003</v>
      </c>
      <c r="E102" s="106"/>
      <c r="F102" s="106">
        <f>F98</f>
        <v>12</v>
      </c>
      <c r="G102" s="106">
        <f>C98/0.15</f>
        <v>10</v>
      </c>
      <c r="H102" s="106">
        <f>C102*D102*F102*G102</f>
        <v>10.919448000000001</v>
      </c>
      <c r="I102" s="103"/>
      <c r="J102" s="117"/>
      <c r="K102" s="144"/>
      <c r="L102" s="88"/>
      <c r="M102" s="88"/>
      <c r="N102" s="88"/>
      <c r="O102" s="90"/>
      <c r="P102" s="90"/>
      <c r="Q102" s="90"/>
    </row>
    <row r="103" spans="1:17" ht="15.75" customHeight="1">
      <c r="A103" s="120"/>
      <c r="B103" s="145" t="s">
        <v>140</v>
      </c>
      <c r="C103" s="123">
        <f>(0.09*4)+0.05</f>
        <v>0.41</v>
      </c>
      <c r="D103" s="106">
        <f>6*6*0.006165</f>
        <v>0.22194000000000003</v>
      </c>
      <c r="E103" s="106"/>
      <c r="F103" s="106">
        <f>F99</f>
        <v>6</v>
      </c>
      <c r="G103" s="106">
        <f>C99/0.15</f>
        <v>10</v>
      </c>
      <c r="H103" s="147">
        <f>C103*D103*F103*G103</f>
        <v>5.4597240000000005</v>
      </c>
      <c r="I103" s="103"/>
      <c r="J103" s="117"/>
      <c r="K103" s="144"/>
      <c r="L103" s="88"/>
      <c r="M103" s="88"/>
      <c r="N103" s="88"/>
      <c r="O103" s="90"/>
      <c r="P103" s="90"/>
      <c r="Q103" s="90"/>
    </row>
    <row r="104" spans="1:17" ht="15.75" customHeight="1">
      <c r="A104" s="120"/>
      <c r="B104" s="118"/>
      <c r="C104" s="107"/>
      <c r="D104" s="107"/>
      <c r="E104" s="106"/>
      <c r="F104" s="106"/>
      <c r="G104" s="106"/>
      <c r="H104" s="115">
        <f>ROUNDUP((SUM(H102:H103)),5)</f>
        <v>16.379179999999998</v>
      </c>
      <c r="I104" s="116" t="s">
        <v>100</v>
      </c>
      <c r="J104" s="117">
        <f>ROUND((H104),2)</f>
        <v>16.38</v>
      </c>
      <c r="K104" s="146">
        <v>16.0152</v>
      </c>
      <c r="L104" s="88"/>
      <c r="M104" s="88"/>
      <c r="N104" s="88"/>
      <c r="O104" s="90"/>
      <c r="P104" s="90"/>
      <c r="Q104" s="90"/>
    </row>
    <row r="105" spans="1:17" ht="15.75" customHeight="1">
      <c r="A105" s="120" t="s">
        <v>121</v>
      </c>
      <c r="B105" s="118" t="s">
        <v>102</v>
      </c>
      <c r="C105" s="107"/>
      <c r="D105" s="107"/>
      <c r="E105" s="106"/>
      <c r="F105" s="106"/>
      <c r="G105" s="106"/>
      <c r="H105" s="106"/>
      <c r="I105" s="103"/>
      <c r="J105" s="117"/>
      <c r="K105" s="148"/>
      <c r="L105" s="88"/>
      <c r="M105" s="88"/>
      <c r="N105" s="88"/>
      <c r="O105" s="90"/>
      <c r="P105" s="90"/>
      <c r="Q105" s="90"/>
    </row>
    <row r="106" spans="1:17" ht="15.75" customHeight="1">
      <c r="A106" s="120"/>
      <c r="B106" s="145" t="s">
        <v>136</v>
      </c>
      <c r="C106" s="107">
        <f>C93</f>
        <v>1.35</v>
      </c>
      <c r="D106" s="107">
        <v>0.15</v>
      </c>
      <c r="E106" s="107">
        <v>0.15</v>
      </c>
      <c r="F106" s="106">
        <f>F102</f>
        <v>12</v>
      </c>
      <c r="G106" s="106"/>
      <c r="H106" s="106">
        <f>C106*D106*E106*F106</f>
        <v>0.36449999999999999</v>
      </c>
      <c r="I106" s="103"/>
      <c r="J106" s="117"/>
      <c r="K106" s="149"/>
      <c r="L106" s="88"/>
      <c r="M106" s="88"/>
      <c r="N106" s="88"/>
      <c r="O106" s="90"/>
      <c r="P106" s="90"/>
      <c r="Q106" s="90"/>
    </row>
    <row r="107" spans="1:17" ht="15.75" customHeight="1">
      <c r="A107" s="120"/>
      <c r="B107" s="145" t="s">
        <v>140</v>
      </c>
      <c r="C107" s="107">
        <f>C94</f>
        <v>1.35</v>
      </c>
      <c r="D107" s="107">
        <v>0.15</v>
      </c>
      <c r="E107" s="107">
        <v>0.15</v>
      </c>
      <c r="F107" s="106">
        <f>F103</f>
        <v>6</v>
      </c>
      <c r="G107" s="106"/>
      <c r="H107" s="150">
        <f>C107*D107*E107*F107</f>
        <v>0.18225</v>
      </c>
      <c r="I107" s="103"/>
      <c r="J107" s="117"/>
      <c r="K107" s="88"/>
      <c r="L107" s="88"/>
      <c r="M107" s="88"/>
      <c r="N107" s="88"/>
      <c r="O107" s="90"/>
      <c r="P107" s="90"/>
      <c r="Q107" s="90"/>
    </row>
    <row r="108" spans="1:17" ht="15.75" customHeight="1">
      <c r="A108" s="120"/>
      <c r="B108" s="135" t="s">
        <v>141</v>
      </c>
      <c r="C108" s="107">
        <v>0.15</v>
      </c>
      <c r="D108" s="107">
        <v>0.15</v>
      </c>
      <c r="E108" s="107">
        <v>0.15</v>
      </c>
      <c r="F108" s="106">
        <f>H89</f>
        <v>18</v>
      </c>
      <c r="G108" s="106"/>
      <c r="H108" s="150">
        <f>-C108*D108*E108*F108</f>
        <v>-6.0749999999999998E-2</v>
      </c>
      <c r="I108" s="103"/>
      <c r="J108" s="117"/>
      <c r="K108" s="88"/>
      <c r="L108" s="88"/>
      <c r="M108" s="88"/>
      <c r="N108" s="88"/>
      <c r="O108" s="90"/>
      <c r="P108" s="90"/>
      <c r="Q108" s="90"/>
    </row>
    <row r="109" spans="1:17" ht="15.75" customHeight="1">
      <c r="A109" s="120"/>
      <c r="B109" s="118"/>
      <c r="C109" s="107"/>
      <c r="D109" s="107"/>
      <c r="E109" s="106"/>
      <c r="F109" s="106"/>
      <c r="G109" s="106"/>
      <c r="H109" s="115">
        <f>ROUNDUP((SUM(H106:H108)),5)</f>
        <v>0.48599999999999999</v>
      </c>
      <c r="I109" s="116" t="s">
        <v>103</v>
      </c>
      <c r="J109" s="117">
        <f>ROUND((H109),2)</f>
        <v>0.49</v>
      </c>
      <c r="K109" s="88"/>
      <c r="L109" s="88"/>
      <c r="M109" s="88"/>
      <c r="N109" s="88"/>
      <c r="O109" s="90"/>
      <c r="P109" s="90"/>
      <c r="Q109" s="90"/>
    </row>
    <row r="110" spans="1:17" ht="15.75" customHeight="1">
      <c r="A110" s="120" t="s">
        <v>142</v>
      </c>
      <c r="B110" s="121" t="s">
        <v>143</v>
      </c>
      <c r="C110" s="107"/>
      <c r="D110" s="107"/>
      <c r="E110" s="106"/>
      <c r="F110" s="106"/>
      <c r="G110" s="106"/>
      <c r="H110" s="106">
        <f>H109</f>
        <v>0.48599999999999999</v>
      </c>
      <c r="I110" s="103" t="s">
        <v>103</v>
      </c>
      <c r="J110" s="117">
        <f>ROUND((H110),2)</f>
        <v>0.49</v>
      </c>
      <c r="K110" s="88"/>
      <c r="L110" s="88"/>
      <c r="M110" s="88"/>
      <c r="N110" s="88"/>
      <c r="O110" s="90"/>
      <c r="P110" s="90"/>
      <c r="Q110" s="90"/>
    </row>
    <row r="111" spans="1:17" ht="15.75" customHeight="1">
      <c r="A111" s="104">
        <f>A90+1</f>
        <v>4</v>
      </c>
      <c r="B111" s="121" t="s">
        <v>144</v>
      </c>
      <c r="C111" s="107"/>
      <c r="D111" s="107"/>
      <c r="E111" s="106"/>
      <c r="F111" s="106"/>
      <c r="G111" s="106"/>
      <c r="H111" s="106"/>
      <c r="I111" s="103"/>
      <c r="J111" s="117"/>
      <c r="K111" s="88"/>
      <c r="L111" s="88"/>
      <c r="M111" s="88"/>
      <c r="N111" s="88"/>
      <c r="O111" s="90"/>
      <c r="P111" s="90"/>
      <c r="Q111" s="90"/>
    </row>
    <row r="112" spans="1:17" ht="15.75" customHeight="1">
      <c r="A112" s="120" t="s">
        <v>95</v>
      </c>
      <c r="B112" s="121" t="s">
        <v>126</v>
      </c>
      <c r="C112" s="107">
        <v>1.35</v>
      </c>
      <c r="D112" s="123">
        <v>0.25</v>
      </c>
      <c r="E112" s="106"/>
      <c r="F112" s="106">
        <v>2</v>
      </c>
      <c r="G112" s="106">
        <f>L17*2</f>
        <v>18</v>
      </c>
      <c r="H112" s="106">
        <f>ROUNDUP((C112*D112*F112*G112),5)+H113</f>
        <v>15.795</v>
      </c>
      <c r="I112" s="103" t="s">
        <v>89</v>
      </c>
      <c r="J112" s="117">
        <f>ROUND((H112),2)</f>
        <v>15.8</v>
      </c>
      <c r="K112" s="88">
        <f>1.35+(0.5-0.075)</f>
        <v>1.7750000000000001</v>
      </c>
      <c r="L112" s="88"/>
      <c r="M112" s="88"/>
      <c r="N112" s="88"/>
      <c r="O112" s="90"/>
      <c r="P112" s="90"/>
      <c r="Q112" s="90"/>
    </row>
    <row r="113" spans="1:17" ht="15.75" customHeight="1">
      <c r="A113" s="120"/>
      <c r="B113" s="122" t="s">
        <v>97</v>
      </c>
      <c r="C113" s="107">
        <v>1.35</v>
      </c>
      <c r="D113" s="123">
        <v>0.15</v>
      </c>
      <c r="E113" s="151"/>
      <c r="F113" s="106">
        <v>1</v>
      </c>
      <c r="G113" s="106">
        <f>G112</f>
        <v>18</v>
      </c>
      <c r="H113" s="106">
        <f>ROUNDUP((C113*D113*F113*G113),5)</f>
        <v>3.645</v>
      </c>
      <c r="I113" s="103"/>
      <c r="J113" s="117"/>
      <c r="K113" s="88"/>
      <c r="L113" s="88"/>
      <c r="M113" s="88"/>
      <c r="N113" s="88"/>
      <c r="O113" s="90"/>
      <c r="P113" s="90"/>
      <c r="Q113" s="90"/>
    </row>
    <row r="114" spans="1:17" ht="15.75" customHeight="1">
      <c r="A114" s="120" t="s">
        <v>98</v>
      </c>
      <c r="B114" s="121" t="s">
        <v>131</v>
      </c>
      <c r="C114" s="123">
        <f>C98</f>
        <v>1.5</v>
      </c>
      <c r="D114" s="152">
        <f>13*13*0.006165</f>
        <v>1.041885</v>
      </c>
      <c r="E114" s="123">
        <f>E98</f>
        <v>4</v>
      </c>
      <c r="F114" s="106">
        <v>1</v>
      </c>
      <c r="G114" s="106">
        <f>G112</f>
        <v>18</v>
      </c>
      <c r="H114" s="106">
        <f>ROUNDUP((C114*D114*E114*F114*G114),5)</f>
        <v>112.52358</v>
      </c>
      <c r="I114" s="103" t="s">
        <v>100</v>
      </c>
      <c r="J114" s="117">
        <f>ROUND((H114),2)</f>
        <v>112.52</v>
      </c>
      <c r="K114" s="88"/>
      <c r="L114" s="88"/>
      <c r="M114" s="88"/>
      <c r="N114" s="88"/>
      <c r="O114" s="90"/>
      <c r="P114" s="90"/>
      <c r="Q114" s="90"/>
    </row>
    <row r="115" spans="1:17" ht="15.75" customHeight="1">
      <c r="A115" s="120" t="s">
        <v>101</v>
      </c>
      <c r="B115" s="121" t="s">
        <v>118</v>
      </c>
      <c r="C115" s="123">
        <f>(0.09*4)+0.05</f>
        <v>0.41</v>
      </c>
      <c r="D115" s="152">
        <f>6*6*0.006165</f>
        <v>0.22194000000000003</v>
      </c>
      <c r="F115" s="106">
        <f>G112</f>
        <v>18</v>
      </c>
      <c r="G115" s="131">
        <f>ROUNDUP(C112/0.15,0.5)</f>
        <v>9</v>
      </c>
      <c r="H115" s="106">
        <f>ROUNDUP((C115*D115*G115*F115),5)</f>
        <v>14.74126</v>
      </c>
      <c r="I115" s="103" t="s">
        <v>100</v>
      </c>
      <c r="J115" s="117">
        <f>ROUND((H115),2)</f>
        <v>14.74</v>
      </c>
      <c r="K115" s="88"/>
      <c r="L115" s="88"/>
      <c r="M115" s="88"/>
      <c r="N115" s="88"/>
      <c r="O115" s="90"/>
      <c r="P115" s="90"/>
      <c r="Q115" s="90"/>
    </row>
    <row r="116" spans="1:17" ht="15.75" customHeight="1">
      <c r="A116" s="120" t="s">
        <v>121</v>
      </c>
      <c r="B116" s="121" t="s">
        <v>102</v>
      </c>
      <c r="C116" s="123">
        <f>C112</f>
        <v>1.35</v>
      </c>
      <c r="D116" s="118">
        <v>0.15</v>
      </c>
      <c r="E116" s="123">
        <v>0.25</v>
      </c>
      <c r="F116" s="106">
        <f>F115</f>
        <v>18</v>
      </c>
      <c r="G116" s="106">
        <v>1</v>
      </c>
      <c r="H116" s="106">
        <f>ROUNDUP((C116*D116*E116*F116*G116),5)</f>
        <v>0.91125</v>
      </c>
      <c r="I116" s="103" t="s">
        <v>103</v>
      </c>
      <c r="J116" s="117">
        <f>ROUND((H116),2)</f>
        <v>0.91</v>
      </c>
      <c r="K116" s="88"/>
      <c r="L116" s="88"/>
      <c r="M116" s="88"/>
      <c r="N116" s="88"/>
      <c r="O116" s="90"/>
      <c r="P116" s="90"/>
      <c r="Q116" s="90"/>
    </row>
    <row r="117" spans="1:17" ht="15.75" customHeight="1">
      <c r="A117" s="120" t="s">
        <v>142</v>
      </c>
      <c r="B117" s="121" t="s">
        <v>145</v>
      </c>
      <c r="C117" s="107"/>
      <c r="D117" s="153"/>
      <c r="E117" s="106"/>
      <c r="F117" s="106"/>
      <c r="G117" s="106"/>
      <c r="H117" s="106">
        <f>H116</f>
        <v>0.91125</v>
      </c>
      <c r="I117" s="103" t="s">
        <v>103</v>
      </c>
      <c r="J117" s="117">
        <f>ROUND((H117),2)</f>
        <v>0.91</v>
      </c>
      <c r="K117" s="88"/>
      <c r="L117" s="88"/>
      <c r="M117" s="88"/>
      <c r="N117" s="88"/>
      <c r="O117" s="90"/>
      <c r="P117" s="90"/>
      <c r="Q117" s="90"/>
    </row>
    <row r="118" spans="1:17" ht="15.75" customHeight="1">
      <c r="A118" s="104">
        <f>A111+1</f>
        <v>5</v>
      </c>
      <c r="B118" s="121" t="s">
        <v>146</v>
      </c>
      <c r="C118" s="107"/>
      <c r="D118" s="107"/>
      <c r="E118" s="106"/>
      <c r="F118" s="106"/>
      <c r="G118" s="106"/>
      <c r="H118" s="106"/>
      <c r="I118" s="103"/>
      <c r="J118" s="117"/>
      <c r="K118" s="88"/>
      <c r="L118" s="88"/>
      <c r="M118" s="88"/>
      <c r="N118" s="88"/>
      <c r="O118" s="90"/>
      <c r="P118" s="90"/>
      <c r="Q118" s="90"/>
    </row>
    <row r="119" spans="1:17" ht="15.75" customHeight="1">
      <c r="A119" s="120" t="s">
        <v>95</v>
      </c>
      <c r="B119" s="121" t="s">
        <v>126</v>
      </c>
      <c r="C119" s="123">
        <f>C112</f>
        <v>1.35</v>
      </c>
      <c r="D119" s="123">
        <f>D112</f>
        <v>0.25</v>
      </c>
      <c r="E119" s="123"/>
      <c r="F119" s="123">
        <f>F112</f>
        <v>2</v>
      </c>
      <c r="G119" s="123">
        <f>(3-1)*3*2</f>
        <v>12</v>
      </c>
      <c r="H119" s="131">
        <f>ROUNDUP((C119*D119*F119*G119),5)+H120</f>
        <v>10.53</v>
      </c>
      <c r="I119" s="103" t="s">
        <v>89</v>
      </c>
      <c r="J119" s="117">
        <f>ROUND((H119),2)</f>
        <v>10.53</v>
      </c>
      <c r="K119" s="88"/>
      <c r="L119" s="88"/>
      <c r="M119" s="88"/>
      <c r="N119" s="88"/>
      <c r="O119" s="90"/>
      <c r="P119" s="90"/>
      <c r="Q119" s="90"/>
    </row>
    <row r="120" spans="1:17" ht="15.75" customHeight="1">
      <c r="A120" s="120"/>
      <c r="B120" s="122" t="s">
        <v>97</v>
      </c>
      <c r="C120" s="123">
        <f>C113</f>
        <v>1.35</v>
      </c>
      <c r="D120" s="123">
        <f>D113</f>
        <v>0.15</v>
      </c>
      <c r="E120" s="123"/>
      <c r="F120" s="123">
        <f>F113</f>
        <v>1</v>
      </c>
      <c r="G120" s="123">
        <f>G119</f>
        <v>12</v>
      </c>
      <c r="H120" s="131">
        <f>ROUNDUP((C120*D120*F120*G120),5)</f>
        <v>2.4300000000000002</v>
      </c>
      <c r="I120" s="103"/>
      <c r="J120" s="117"/>
      <c r="K120" s="88"/>
      <c r="L120" s="88"/>
      <c r="M120" s="88"/>
      <c r="N120" s="88"/>
      <c r="O120" s="90"/>
      <c r="P120" s="90"/>
      <c r="Q120" s="90"/>
    </row>
    <row r="121" spans="1:17" ht="15.75" customHeight="1">
      <c r="A121" s="120" t="s">
        <v>98</v>
      </c>
      <c r="B121" s="121" t="s">
        <v>131</v>
      </c>
      <c r="C121" s="123">
        <f>C94</f>
        <v>1.35</v>
      </c>
      <c r="D121" s="152">
        <f>13*13*0.006165</f>
        <v>1.041885</v>
      </c>
      <c r="E121" s="123">
        <f>E99</f>
        <v>4</v>
      </c>
      <c r="F121" s="106">
        <v>1</v>
      </c>
      <c r="G121" s="106">
        <f>G119</f>
        <v>12</v>
      </c>
      <c r="H121" s="106">
        <f>ROUNDUP((C121*D121*E121*F121*G121),5)</f>
        <v>67.514150000000001</v>
      </c>
      <c r="I121" s="103" t="s">
        <v>100</v>
      </c>
      <c r="J121" s="117">
        <f>ROUND((H121),2)</f>
        <v>67.510000000000005</v>
      </c>
      <c r="K121" s="88"/>
      <c r="L121" s="88"/>
      <c r="M121" s="88"/>
      <c r="N121" s="88"/>
      <c r="O121" s="90"/>
      <c r="P121" s="90"/>
      <c r="Q121" s="90"/>
    </row>
    <row r="122" spans="1:17" ht="15.75" customHeight="1">
      <c r="A122" s="120" t="s">
        <v>101</v>
      </c>
      <c r="B122" s="121" t="s">
        <v>118</v>
      </c>
      <c r="C122" s="123">
        <f>(0.09*4)+0.05</f>
        <v>0.41</v>
      </c>
      <c r="D122" s="152">
        <f>6*6*0.006165</f>
        <v>0.22194000000000003</v>
      </c>
      <c r="F122" s="106">
        <f>G119</f>
        <v>12</v>
      </c>
      <c r="G122" s="131">
        <f>ROUNDUP(C119/0.15,0.5)</f>
        <v>9</v>
      </c>
      <c r="H122" s="106">
        <f>ROUNDUP((C122*D122*G122*F122),5)</f>
        <v>9.8275100000000002</v>
      </c>
      <c r="I122" s="103" t="s">
        <v>100</v>
      </c>
      <c r="J122" s="117">
        <f>ROUND((H122),2)</f>
        <v>9.83</v>
      </c>
      <c r="K122" s="88"/>
      <c r="L122" s="88"/>
      <c r="M122" s="88"/>
      <c r="N122" s="88"/>
      <c r="O122" s="90"/>
      <c r="P122" s="90"/>
      <c r="Q122" s="90"/>
    </row>
    <row r="123" spans="1:17" ht="15.75" customHeight="1">
      <c r="A123" s="120" t="s">
        <v>121</v>
      </c>
      <c r="B123" s="121" t="s">
        <v>102</v>
      </c>
      <c r="C123" s="123">
        <f>C119</f>
        <v>1.35</v>
      </c>
      <c r="D123" s="118">
        <v>0.15</v>
      </c>
      <c r="E123" s="123">
        <f>E116</f>
        <v>0.25</v>
      </c>
      <c r="F123" s="106">
        <f>F122</f>
        <v>12</v>
      </c>
      <c r="G123" s="106">
        <v>1</v>
      </c>
      <c r="H123" s="106">
        <f>ROUNDUP((C123*D123*E123*F123*G123),5)</f>
        <v>0.60750000000000004</v>
      </c>
      <c r="I123" s="103" t="s">
        <v>103</v>
      </c>
      <c r="J123" s="117">
        <f>ROUND((H123),2)</f>
        <v>0.61</v>
      </c>
      <c r="K123" s="88"/>
      <c r="L123" s="88"/>
      <c r="M123" s="88"/>
      <c r="N123" s="88"/>
      <c r="O123" s="90"/>
      <c r="P123" s="90"/>
      <c r="Q123" s="90"/>
    </row>
    <row r="124" spans="1:17" ht="15.75" customHeight="1">
      <c r="A124" s="120" t="s">
        <v>142</v>
      </c>
      <c r="B124" s="121" t="s">
        <v>145</v>
      </c>
      <c r="C124" s="107"/>
      <c r="D124" s="153"/>
      <c r="E124" s="106"/>
      <c r="F124" s="106"/>
      <c r="G124" s="106"/>
      <c r="H124" s="106">
        <f>H123</f>
        <v>0.60750000000000004</v>
      </c>
      <c r="I124" s="103" t="s">
        <v>103</v>
      </c>
      <c r="J124" s="117">
        <f>ROUND((H124),2)</f>
        <v>0.61</v>
      </c>
      <c r="K124" s="88"/>
      <c r="L124" s="88"/>
      <c r="M124" s="88"/>
      <c r="N124" s="88"/>
      <c r="O124" s="90"/>
      <c r="P124" s="90"/>
      <c r="Q124" s="90"/>
    </row>
    <row r="125" spans="1:17" ht="15.75" customHeight="1">
      <c r="A125" s="104">
        <f>A118+1</f>
        <v>6</v>
      </c>
      <c r="B125" s="121" t="s">
        <v>147</v>
      </c>
      <c r="C125" s="107"/>
      <c r="D125" s="107"/>
      <c r="E125" s="106"/>
      <c r="F125" s="106"/>
      <c r="G125" s="106"/>
      <c r="H125" s="106"/>
      <c r="I125" s="103"/>
      <c r="J125" s="117"/>
      <c r="K125" s="88"/>
      <c r="L125" s="88"/>
      <c r="M125" s="88"/>
      <c r="N125" s="88"/>
      <c r="O125" s="90"/>
      <c r="P125" s="90"/>
      <c r="Q125" s="90"/>
    </row>
    <row r="126" spans="1:17" ht="15.75" customHeight="1">
      <c r="A126" s="120" t="s">
        <v>95</v>
      </c>
      <c r="B126" s="121" t="s">
        <v>148</v>
      </c>
      <c r="C126" s="107"/>
      <c r="D126" s="107"/>
      <c r="E126" s="106"/>
      <c r="F126" s="106"/>
      <c r="G126" s="106"/>
      <c r="H126" s="106"/>
      <c r="I126" s="103"/>
      <c r="J126" s="117"/>
      <c r="K126" s="88"/>
      <c r="L126" s="88"/>
      <c r="M126" s="88"/>
      <c r="N126" s="88"/>
      <c r="O126" s="90"/>
      <c r="P126" s="90"/>
      <c r="Q126" s="90"/>
    </row>
    <row r="127" spans="1:17" ht="15.75" customHeight="1">
      <c r="A127" s="120"/>
      <c r="B127" s="122" t="s">
        <v>149</v>
      </c>
      <c r="C127" s="123">
        <v>3</v>
      </c>
      <c r="D127" s="123">
        <v>3</v>
      </c>
      <c r="E127" s="131"/>
      <c r="F127" s="131"/>
      <c r="G127" s="131">
        <v>2</v>
      </c>
      <c r="H127" s="131">
        <f>ROUNDUP((C127*D127*G127),5)</f>
        <v>18</v>
      </c>
      <c r="I127" s="103"/>
      <c r="J127" s="117"/>
      <c r="K127" s="88"/>
      <c r="L127" s="88"/>
      <c r="M127" s="88"/>
      <c r="N127" s="88"/>
      <c r="O127" s="90"/>
      <c r="P127" s="90"/>
      <c r="Q127" s="90"/>
    </row>
    <row r="128" spans="1:17" ht="15.75" customHeight="1">
      <c r="A128" s="120"/>
      <c r="B128" s="122" t="s">
        <v>150</v>
      </c>
      <c r="C128" s="123">
        <v>3</v>
      </c>
      <c r="D128" s="123">
        <v>3</v>
      </c>
      <c r="E128" s="131"/>
      <c r="F128" s="131"/>
      <c r="G128" s="131"/>
      <c r="H128" s="131">
        <f>ROUNDUP((C128*D128),5)</f>
        <v>9</v>
      </c>
      <c r="I128" s="103"/>
      <c r="J128" s="117"/>
      <c r="K128" s="88"/>
      <c r="L128" s="88"/>
      <c r="M128" s="88"/>
      <c r="N128" s="88"/>
      <c r="O128" s="90"/>
      <c r="P128" s="90"/>
      <c r="Q128" s="90"/>
    </row>
    <row r="129" spans="1:17" ht="15.75" customHeight="1">
      <c r="A129" s="120"/>
      <c r="B129" s="121"/>
      <c r="C129" s="123">
        <f>C112</f>
        <v>1.35</v>
      </c>
      <c r="D129" s="123">
        <f>0.15</f>
        <v>0.15</v>
      </c>
      <c r="E129" s="123"/>
      <c r="F129" s="123">
        <f>F112</f>
        <v>2</v>
      </c>
      <c r="G129" s="123">
        <f>G112</f>
        <v>18</v>
      </c>
      <c r="H129" s="131">
        <f>-C129*D129*F129*G129*0</f>
        <v>0</v>
      </c>
      <c r="I129" s="103"/>
      <c r="J129" s="117"/>
      <c r="K129" s="88"/>
      <c r="L129" s="88"/>
      <c r="M129" s="88"/>
      <c r="N129" s="88"/>
      <c r="O129" s="90"/>
      <c r="P129" s="90"/>
      <c r="Q129" s="90"/>
    </row>
    <row r="130" spans="1:17" ht="15.75" customHeight="1">
      <c r="A130" s="120"/>
      <c r="B130" s="121"/>
      <c r="C130" s="123">
        <f>C119</f>
        <v>1.35</v>
      </c>
      <c r="D130" s="123">
        <f>0.15</f>
        <v>0.15</v>
      </c>
      <c r="E130" s="131"/>
      <c r="F130" s="131">
        <f>F123</f>
        <v>12</v>
      </c>
      <c r="G130" s="131">
        <f>G123</f>
        <v>1</v>
      </c>
      <c r="H130" s="131">
        <f>-C130*D130*F130*G130*0</f>
        <v>0</v>
      </c>
      <c r="I130" s="103"/>
      <c r="J130" s="117"/>
      <c r="K130" s="88"/>
      <c r="L130" s="88"/>
      <c r="M130" s="88"/>
      <c r="N130" s="88"/>
      <c r="O130" s="90"/>
      <c r="P130" s="90"/>
      <c r="Q130" s="90"/>
    </row>
    <row r="131" spans="1:17" ht="15.75" customHeight="1">
      <c r="A131" s="120"/>
      <c r="B131" s="122" t="s">
        <v>151</v>
      </c>
      <c r="C131" s="123">
        <f>C127</f>
        <v>3</v>
      </c>
      <c r="D131" s="123"/>
      <c r="E131" s="131">
        <v>0.1</v>
      </c>
      <c r="F131" s="131">
        <v>2</v>
      </c>
      <c r="G131" s="131">
        <v>2</v>
      </c>
      <c r="H131" s="131">
        <f>ROUNDUP((C131*E131*F131*G131),5)</f>
        <v>1.2</v>
      </c>
      <c r="I131" s="103"/>
      <c r="J131" s="117"/>
      <c r="K131" s="88"/>
      <c r="L131" s="88"/>
      <c r="M131" s="88"/>
      <c r="N131" s="88"/>
      <c r="O131" s="90"/>
      <c r="P131" s="90"/>
      <c r="Q131" s="90"/>
    </row>
    <row r="132" spans="1:17" ht="15.75" customHeight="1">
      <c r="A132" s="120"/>
      <c r="B132" s="121"/>
      <c r="C132" s="123">
        <f>D127</f>
        <v>3</v>
      </c>
      <c r="D132" s="123"/>
      <c r="E132" s="131">
        <v>0.1</v>
      </c>
      <c r="F132" s="131">
        <v>2</v>
      </c>
      <c r="G132" s="131">
        <v>2</v>
      </c>
      <c r="H132" s="132">
        <f>ROUNDUP((C132*E132*F132*G132),5)</f>
        <v>1.2</v>
      </c>
      <c r="I132" s="116"/>
      <c r="J132" s="117"/>
      <c r="K132" s="88"/>
      <c r="L132" s="88"/>
      <c r="M132" s="88"/>
      <c r="N132" s="88"/>
      <c r="O132" s="90"/>
      <c r="P132" s="90"/>
      <c r="Q132" s="90"/>
    </row>
    <row r="133" spans="1:17" ht="15.75" customHeight="1">
      <c r="A133" s="120"/>
      <c r="B133" s="121"/>
      <c r="C133" s="123"/>
      <c r="D133" s="123"/>
      <c r="E133" s="131"/>
      <c r="F133" s="131"/>
      <c r="G133" s="131"/>
      <c r="H133" s="130">
        <f>SUM(H127:H132)</f>
        <v>29.4</v>
      </c>
      <c r="I133" s="116" t="s">
        <v>89</v>
      </c>
      <c r="J133" s="117">
        <f>ROUND((H133),2)</f>
        <v>29.4</v>
      </c>
      <c r="K133" s="88"/>
      <c r="L133" s="88"/>
      <c r="M133" s="88"/>
      <c r="N133" s="88"/>
      <c r="O133" s="90"/>
      <c r="P133" s="90"/>
      <c r="Q133" s="90"/>
    </row>
    <row r="134" spans="1:17" s="160" customFormat="1" ht="15.75" customHeight="1">
      <c r="A134" s="154" t="s">
        <v>98</v>
      </c>
      <c r="B134" s="155" t="s">
        <v>152</v>
      </c>
      <c r="C134" s="156"/>
      <c r="D134" s="156"/>
      <c r="E134" s="156"/>
      <c r="F134" s="156"/>
      <c r="G134" s="156"/>
      <c r="H134" s="157"/>
      <c r="I134" s="158"/>
      <c r="J134" s="143"/>
      <c r="K134" s="144"/>
      <c r="L134" s="144"/>
      <c r="M134" s="144"/>
      <c r="N134" s="144"/>
      <c r="O134" s="159"/>
      <c r="P134" s="159"/>
      <c r="Q134" s="159"/>
    </row>
    <row r="135" spans="1:17" s="160" customFormat="1" ht="15.75" customHeight="1">
      <c r="A135" s="154"/>
      <c r="B135" s="161" t="str">
        <f t="shared" ref="B135:D136" si="22">B127</f>
        <v>Bordes atas</v>
      </c>
      <c r="C135" s="162">
        <f t="shared" si="22"/>
        <v>3</v>
      </c>
      <c r="D135" s="162">
        <f t="shared" si="22"/>
        <v>3</v>
      </c>
      <c r="E135" s="163"/>
      <c r="F135" s="163"/>
      <c r="G135" s="163">
        <f>G127</f>
        <v>2</v>
      </c>
      <c r="H135" s="163">
        <f>ROUNDUP((C135*D135*G135),5)</f>
        <v>18</v>
      </c>
      <c r="I135" s="158"/>
      <c r="J135" s="143"/>
      <c r="K135" s="144"/>
      <c r="L135" s="144"/>
      <c r="M135" s="144"/>
      <c r="N135" s="144"/>
      <c r="O135" s="159"/>
      <c r="P135" s="159"/>
      <c r="Q135" s="159"/>
    </row>
    <row r="136" spans="1:17" s="160" customFormat="1" ht="15.75" customHeight="1">
      <c r="A136" s="154"/>
      <c r="B136" s="161" t="str">
        <f t="shared" si="22"/>
        <v>Bordes bawah</v>
      </c>
      <c r="C136" s="162">
        <f t="shared" si="22"/>
        <v>3</v>
      </c>
      <c r="D136" s="162">
        <f t="shared" si="22"/>
        <v>3</v>
      </c>
      <c r="E136" s="163"/>
      <c r="F136" s="163"/>
      <c r="G136" s="163"/>
      <c r="H136" s="164">
        <f>ROUNDUP((C136*D136),5)</f>
        <v>9</v>
      </c>
      <c r="I136" s="158"/>
      <c r="J136" s="143"/>
      <c r="K136" s="144"/>
      <c r="L136" s="144"/>
      <c r="M136" s="144"/>
      <c r="N136" s="144"/>
      <c r="O136" s="159"/>
      <c r="P136" s="159"/>
      <c r="Q136" s="159"/>
    </row>
    <row r="137" spans="1:17" s="160" customFormat="1" ht="15.75" customHeight="1">
      <c r="A137" s="154"/>
      <c r="B137" s="155"/>
      <c r="C137" s="165"/>
      <c r="D137" s="165"/>
      <c r="E137" s="166"/>
      <c r="F137" s="166"/>
      <c r="G137" s="166"/>
      <c r="H137" s="167">
        <f>SUM(H135:H136)</f>
        <v>27</v>
      </c>
      <c r="I137" s="168" t="s">
        <v>89</v>
      </c>
      <c r="J137" s="143">
        <f>ROUND((H137),2)</f>
        <v>27</v>
      </c>
      <c r="K137" s="144"/>
      <c r="L137" s="144"/>
      <c r="M137" s="144"/>
      <c r="N137" s="144"/>
      <c r="O137" s="159"/>
      <c r="P137" s="159"/>
      <c r="Q137" s="159"/>
    </row>
    <row r="138" spans="1:17" ht="15.75" customHeight="1">
      <c r="A138" s="120" t="s">
        <v>98</v>
      </c>
      <c r="B138" s="118" t="s">
        <v>153</v>
      </c>
      <c r="C138" s="107"/>
      <c r="D138" s="107"/>
      <c r="E138" s="106"/>
      <c r="F138" s="106"/>
      <c r="G138" s="106"/>
      <c r="H138" s="106"/>
      <c r="I138" s="103"/>
      <c r="J138" s="117"/>
      <c r="K138" s="88"/>
      <c r="L138" s="88"/>
      <c r="M138" s="88"/>
      <c r="N138" s="88"/>
      <c r="O138" s="90"/>
      <c r="P138" s="90"/>
      <c r="Q138" s="90"/>
    </row>
    <row r="139" spans="1:17" ht="15.75" customHeight="1">
      <c r="A139" s="120"/>
      <c r="B139" s="135" t="s">
        <v>154</v>
      </c>
      <c r="C139" s="107">
        <f>D143</f>
        <v>3</v>
      </c>
      <c r="D139" s="107">
        <f>10*10*0.006165</f>
        <v>0.61650000000000005</v>
      </c>
      <c r="E139" s="106"/>
      <c r="F139" s="106">
        <f>ROUNDUP((C140/0.12),0.5)+1</f>
        <v>26</v>
      </c>
      <c r="G139" s="106"/>
      <c r="H139" s="106">
        <f>C139*D139*F139</f>
        <v>48.087000000000003</v>
      </c>
      <c r="I139" s="103"/>
      <c r="J139" s="117"/>
      <c r="K139" s="88"/>
      <c r="L139" s="88"/>
      <c r="M139" s="88"/>
      <c r="N139" s="88"/>
      <c r="O139" s="90"/>
      <c r="P139" s="90"/>
      <c r="Q139" s="90"/>
    </row>
    <row r="140" spans="1:17" ht="15.75" customHeight="1">
      <c r="A140" s="120"/>
      <c r="B140" s="135" t="s">
        <v>155</v>
      </c>
      <c r="C140" s="107">
        <f>C143</f>
        <v>3</v>
      </c>
      <c r="D140" s="107">
        <f>D139</f>
        <v>0.61650000000000005</v>
      </c>
      <c r="E140" s="106"/>
      <c r="F140" s="106">
        <f>ROUNDUP((C139/0.12),0.5)+1</f>
        <v>26</v>
      </c>
      <c r="G140" s="106"/>
      <c r="H140" s="147">
        <f>C140*D140*F140</f>
        <v>48.087000000000003</v>
      </c>
      <c r="I140" s="103"/>
      <c r="J140" s="117"/>
      <c r="K140" s="88"/>
      <c r="L140" s="88"/>
      <c r="M140" s="88"/>
      <c r="N140" s="88"/>
      <c r="O140" s="90"/>
      <c r="P140" s="90"/>
      <c r="Q140" s="90"/>
    </row>
    <row r="141" spans="1:17" ht="15.75" customHeight="1">
      <c r="A141" s="120"/>
      <c r="B141" s="118"/>
      <c r="C141" s="107"/>
      <c r="D141" s="107"/>
      <c r="E141" s="106"/>
      <c r="F141" s="106"/>
      <c r="G141" s="106"/>
      <c r="H141" s="115">
        <f>SUM(H139:H140)</f>
        <v>96.174000000000007</v>
      </c>
      <c r="I141" s="116" t="s">
        <v>100</v>
      </c>
      <c r="J141" s="117">
        <f>ROUND((H141),2)</f>
        <v>96.17</v>
      </c>
      <c r="K141" s="88"/>
      <c r="L141" s="88"/>
      <c r="M141" s="88"/>
      <c r="N141" s="88"/>
      <c r="O141" s="90"/>
      <c r="P141" s="90"/>
      <c r="Q141" s="90"/>
    </row>
    <row r="142" spans="1:17" ht="15.75" customHeight="1">
      <c r="A142" s="120" t="s">
        <v>101</v>
      </c>
      <c r="B142" s="121" t="s">
        <v>102</v>
      </c>
      <c r="C142" s="107"/>
      <c r="D142" s="107"/>
      <c r="E142" s="106"/>
      <c r="F142" s="106"/>
      <c r="G142" s="106"/>
      <c r="H142" s="106"/>
      <c r="I142" s="103"/>
      <c r="J142" s="117"/>
      <c r="K142" s="88"/>
      <c r="L142" s="88"/>
      <c r="M142" s="88"/>
      <c r="N142" s="88"/>
      <c r="O142" s="90"/>
      <c r="P142" s="90"/>
      <c r="Q142" s="90"/>
    </row>
    <row r="143" spans="1:17" ht="15.75" customHeight="1">
      <c r="A143" s="120"/>
      <c r="B143" s="122" t="str">
        <f t="shared" ref="B143:D144" si="23">B135</f>
        <v>Bordes atas</v>
      </c>
      <c r="C143" s="107">
        <f t="shared" si="23"/>
        <v>3</v>
      </c>
      <c r="D143" s="107">
        <f t="shared" si="23"/>
        <v>3</v>
      </c>
      <c r="E143" s="106">
        <v>0.1</v>
      </c>
      <c r="F143" s="106"/>
      <c r="G143" s="106">
        <f>G135</f>
        <v>2</v>
      </c>
      <c r="H143" s="131">
        <f>C143*D143*E143*G143</f>
        <v>1.8</v>
      </c>
      <c r="I143" s="103"/>
      <c r="J143" s="117"/>
      <c r="K143" s="88"/>
      <c r="L143" s="88"/>
      <c r="M143" s="88"/>
      <c r="N143" s="88"/>
      <c r="O143" s="90"/>
      <c r="P143" s="90"/>
      <c r="Q143" s="90"/>
    </row>
    <row r="144" spans="1:17" ht="15.75" customHeight="1">
      <c r="A144" s="120"/>
      <c r="B144" s="122" t="str">
        <f t="shared" si="23"/>
        <v>Bordes bawah</v>
      </c>
      <c r="C144" s="107">
        <f t="shared" si="23"/>
        <v>3</v>
      </c>
      <c r="D144" s="107">
        <f t="shared" si="23"/>
        <v>3</v>
      </c>
      <c r="E144" s="106">
        <f>E143</f>
        <v>0.1</v>
      </c>
      <c r="F144" s="106"/>
      <c r="G144" s="106"/>
      <c r="H144" s="147">
        <f>C144*D144*E144</f>
        <v>0.9</v>
      </c>
      <c r="I144" s="103"/>
      <c r="J144" s="117"/>
      <c r="K144" s="88"/>
      <c r="L144" s="88"/>
      <c r="M144" s="88"/>
      <c r="N144" s="88"/>
      <c r="O144" s="90"/>
      <c r="P144" s="90"/>
      <c r="Q144" s="90"/>
    </row>
    <row r="145" spans="1:17" ht="15.75" customHeight="1">
      <c r="A145" s="120"/>
      <c r="B145" s="121"/>
      <c r="C145" s="107"/>
      <c r="D145" s="107"/>
      <c r="E145" s="106"/>
      <c r="F145" s="106"/>
      <c r="G145" s="106"/>
      <c r="H145" s="115">
        <f>SUM(H143:H144)</f>
        <v>2.7</v>
      </c>
      <c r="I145" s="116" t="s">
        <v>103</v>
      </c>
      <c r="J145" s="117">
        <f>ROUND((H145),2)</f>
        <v>2.7</v>
      </c>
      <c r="K145" s="88"/>
      <c r="L145" s="88"/>
      <c r="M145" s="88"/>
      <c r="N145" s="88"/>
      <c r="O145" s="90"/>
      <c r="P145" s="90"/>
      <c r="Q145" s="90"/>
    </row>
    <row r="146" spans="1:17" ht="15.75" customHeight="1">
      <c r="A146" s="120" t="s">
        <v>121</v>
      </c>
      <c r="B146" s="121" t="s">
        <v>145</v>
      </c>
      <c r="C146" s="107"/>
      <c r="D146" s="107"/>
      <c r="E146" s="106"/>
      <c r="F146" s="106"/>
      <c r="G146" s="106"/>
      <c r="H146" s="106">
        <f>H145</f>
        <v>2.7</v>
      </c>
      <c r="I146" s="103"/>
      <c r="J146" s="117">
        <f>J145</f>
        <v>2.7</v>
      </c>
      <c r="K146" s="88"/>
      <c r="L146" s="88"/>
      <c r="M146" s="88"/>
      <c r="N146" s="88"/>
      <c r="O146" s="90"/>
      <c r="P146" s="90"/>
      <c r="Q146" s="90"/>
    </row>
    <row r="147" spans="1:17" ht="15.75" customHeight="1">
      <c r="A147" s="104">
        <f>A125+1</f>
        <v>7</v>
      </c>
      <c r="B147" s="118" t="s">
        <v>156</v>
      </c>
      <c r="C147" s="111"/>
      <c r="D147" s="111"/>
      <c r="E147" s="106"/>
      <c r="F147" s="106"/>
      <c r="G147" s="106"/>
      <c r="H147" s="106"/>
      <c r="I147" s="103"/>
      <c r="J147" s="117"/>
      <c r="K147" s="88"/>
      <c r="L147" s="88">
        <f>147/6</f>
        <v>24.5</v>
      </c>
      <c r="M147" s="88"/>
      <c r="N147" s="88"/>
      <c r="O147" s="90"/>
      <c r="P147" s="90"/>
      <c r="Q147" s="90"/>
    </row>
    <row r="148" spans="1:17" ht="15.75" customHeight="1">
      <c r="A148" s="120" t="s">
        <v>95</v>
      </c>
      <c r="B148" s="118" t="s">
        <v>106</v>
      </c>
      <c r="C148" s="169"/>
      <c r="D148" s="169"/>
      <c r="E148" s="106"/>
      <c r="F148" s="106"/>
      <c r="G148" s="106"/>
      <c r="H148" s="115">
        <f>SUM(H149:H152)</f>
        <v>0</v>
      </c>
      <c r="I148" s="116" t="s">
        <v>89</v>
      </c>
      <c r="J148" s="117">
        <f>ROUND((H148),2)</f>
        <v>0</v>
      </c>
      <c r="K148" s="88"/>
      <c r="L148" s="88"/>
      <c r="M148" s="88"/>
      <c r="N148" s="88"/>
      <c r="O148" s="90"/>
      <c r="P148" s="90"/>
      <c r="Q148" s="90"/>
    </row>
    <row r="149" spans="1:17" ht="15.75" customHeight="1">
      <c r="A149" s="120"/>
      <c r="B149" s="135" t="s">
        <v>157</v>
      </c>
      <c r="C149" s="169">
        <v>0.6</v>
      </c>
      <c r="D149" s="170">
        <v>0.05</v>
      </c>
      <c r="E149" s="106"/>
      <c r="F149" s="106">
        <v>4</v>
      </c>
      <c r="G149" s="106">
        <v>0</v>
      </c>
      <c r="H149" s="131">
        <f>C149*D149*F149*G149</f>
        <v>0</v>
      </c>
      <c r="I149" s="103"/>
      <c r="J149" s="117"/>
      <c r="K149" s="88"/>
      <c r="L149" s="88"/>
      <c r="M149" s="88"/>
      <c r="N149" s="88"/>
      <c r="O149" s="90"/>
      <c r="P149" s="90"/>
      <c r="Q149" s="90"/>
    </row>
    <row r="150" spans="1:17" ht="15.75" customHeight="1">
      <c r="A150" s="120"/>
      <c r="B150" s="135" t="s">
        <v>158</v>
      </c>
      <c r="C150" s="169">
        <v>0.6</v>
      </c>
      <c r="D150" s="170">
        <v>0.05</v>
      </c>
      <c r="E150" s="106"/>
      <c r="F150" s="106">
        <v>4</v>
      </c>
      <c r="G150" s="106">
        <f>G149</f>
        <v>0</v>
      </c>
      <c r="H150" s="131">
        <f>C150*D150*F150*G150</f>
        <v>0</v>
      </c>
      <c r="I150" s="103"/>
      <c r="J150" s="117"/>
      <c r="K150" s="88"/>
      <c r="L150" s="88"/>
      <c r="M150" s="88"/>
      <c r="N150" s="88"/>
      <c r="O150" s="90"/>
      <c r="P150" s="90"/>
      <c r="Q150" s="90"/>
    </row>
    <row r="151" spans="1:17" ht="15.75" customHeight="1">
      <c r="A151" s="120"/>
      <c r="B151" s="135" t="s">
        <v>159</v>
      </c>
      <c r="C151" s="169">
        <v>0.4</v>
      </c>
      <c r="D151" s="106">
        <v>0.2</v>
      </c>
      <c r="E151" s="106"/>
      <c r="F151" s="106">
        <v>4</v>
      </c>
      <c r="G151" s="106">
        <f>G150</f>
        <v>0</v>
      </c>
      <c r="H151" s="131">
        <f>C151*D151*F151*G151</f>
        <v>0</v>
      </c>
      <c r="I151" s="103"/>
      <c r="J151" s="117"/>
      <c r="K151" s="88"/>
      <c r="L151" s="88"/>
      <c r="M151" s="88"/>
      <c r="N151" s="88"/>
      <c r="O151" s="90"/>
      <c r="P151" s="90"/>
      <c r="Q151" s="90"/>
    </row>
    <row r="152" spans="1:17" ht="15.75" customHeight="1">
      <c r="A152" s="120"/>
      <c r="B152" s="135" t="s">
        <v>160</v>
      </c>
      <c r="C152" s="169">
        <v>0.6</v>
      </c>
      <c r="D152" s="169">
        <v>0.1</v>
      </c>
      <c r="E152" s="171"/>
      <c r="F152" s="171">
        <v>4</v>
      </c>
      <c r="G152" s="106">
        <f>G151</f>
        <v>0</v>
      </c>
      <c r="H152" s="172">
        <f>C152*D152*F152*G152</f>
        <v>0</v>
      </c>
      <c r="I152" s="110"/>
      <c r="J152" s="117"/>
      <c r="K152" s="88"/>
      <c r="L152" s="88"/>
      <c r="M152" s="88"/>
      <c r="N152" s="88"/>
      <c r="O152" s="90"/>
      <c r="P152" s="90"/>
      <c r="Q152" s="90"/>
    </row>
    <row r="153" spans="1:17" ht="15.75" customHeight="1">
      <c r="A153" s="120" t="s">
        <v>98</v>
      </c>
      <c r="B153" s="118" t="s">
        <v>99</v>
      </c>
      <c r="C153" s="123">
        <f>(D149+D151+D152)+0.3</f>
        <v>0.64999999999999991</v>
      </c>
      <c r="D153" s="123"/>
      <c r="E153" s="123">
        <v>1.04</v>
      </c>
      <c r="F153" s="123">
        <v>8</v>
      </c>
      <c r="G153" s="106">
        <f>G152</f>
        <v>0</v>
      </c>
      <c r="H153" s="173">
        <f>ROUNDUP((C153*E153*F153*G153),5)</f>
        <v>0</v>
      </c>
      <c r="I153" s="174" t="s">
        <v>100</v>
      </c>
      <c r="J153" s="117">
        <f>ROUND((H153),2)</f>
        <v>0</v>
      </c>
      <c r="K153" s="88"/>
      <c r="L153" s="88"/>
      <c r="M153" s="88"/>
      <c r="N153" s="88"/>
      <c r="O153" s="90"/>
      <c r="P153" s="90"/>
      <c r="Q153" s="90"/>
    </row>
    <row r="154" spans="1:17" ht="15.75" customHeight="1">
      <c r="A154" s="120" t="s">
        <v>101</v>
      </c>
      <c r="B154" s="118" t="s">
        <v>161</v>
      </c>
      <c r="C154" s="123">
        <f>0.3*4+0.05</f>
        <v>1.25</v>
      </c>
      <c r="D154" s="123"/>
      <c r="E154" s="123">
        <v>0.22</v>
      </c>
      <c r="F154" s="123">
        <v>5</v>
      </c>
      <c r="G154" s="106">
        <f>G153</f>
        <v>0</v>
      </c>
      <c r="H154" s="173">
        <f>ROUNDUP((C154*E154*F154*G154),5)</f>
        <v>0</v>
      </c>
      <c r="I154" s="174" t="s">
        <v>100</v>
      </c>
      <c r="J154" s="117">
        <f>ROUND((H154),2)</f>
        <v>0</v>
      </c>
      <c r="K154" s="88"/>
      <c r="L154" s="88"/>
      <c r="M154" s="88"/>
      <c r="N154" s="88"/>
      <c r="O154" s="90"/>
      <c r="P154" s="90"/>
      <c r="Q154" s="90"/>
    </row>
    <row r="155" spans="1:17" ht="15.75" customHeight="1">
      <c r="A155" s="120" t="s">
        <v>121</v>
      </c>
      <c r="B155" s="118" t="s">
        <v>102</v>
      </c>
      <c r="C155" s="150"/>
      <c r="D155" s="150"/>
      <c r="E155" s="171"/>
      <c r="F155" s="171"/>
      <c r="G155" s="171"/>
      <c r="H155" s="175">
        <f>SUM(H156:H158)</f>
        <v>0</v>
      </c>
      <c r="I155" s="103" t="s">
        <v>103</v>
      </c>
      <c r="J155" s="117">
        <f>ROUND((H155),2)</f>
        <v>0</v>
      </c>
      <c r="K155" s="88"/>
      <c r="L155" s="88"/>
      <c r="M155" s="88"/>
      <c r="N155" s="88"/>
      <c r="O155" s="90"/>
      <c r="P155" s="90"/>
      <c r="Q155" s="90"/>
    </row>
    <row r="156" spans="1:17" ht="15.75" customHeight="1">
      <c r="A156" s="120"/>
      <c r="B156" s="135" t="s">
        <v>162</v>
      </c>
      <c r="C156" s="170">
        <v>0.6</v>
      </c>
      <c r="D156" s="170">
        <v>0.6</v>
      </c>
      <c r="E156" s="170">
        <f>D149</f>
        <v>0.05</v>
      </c>
      <c r="F156" s="123"/>
      <c r="G156" s="123">
        <f>G154</f>
        <v>0</v>
      </c>
      <c r="H156" s="123">
        <f>C156*D156*E156*G156</f>
        <v>0</v>
      </c>
      <c r="I156" s="103"/>
      <c r="J156" s="117"/>
      <c r="K156" s="88"/>
      <c r="L156" s="88"/>
      <c r="M156" s="88"/>
      <c r="N156" s="88"/>
      <c r="O156" s="90"/>
      <c r="P156" s="90"/>
      <c r="Q156" s="90"/>
    </row>
    <row r="157" spans="1:17" ht="15.75" customHeight="1">
      <c r="A157" s="120"/>
      <c r="B157" s="135" t="s">
        <v>159</v>
      </c>
      <c r="C157" s="170">
        <v>0.4</v>
      </c>
      <c r="D157" s="170">
        <v>0.4</v>
      </c>
      <c r="E157" s="170">
        <v>0.2</v>
      </c>
      <c r="F157" s="123"/>
      <c r="G157" s="123">
        <f>G156</f>
        <v>0</v>
      </c>
      <c r="H157" s="123">
        <f>C157*D157*E157*G157</f>
        <v>0</v>
      </c>
      <c r="I157" s="103"/>
      <c r="J157" s="117"/>
      <c r="K157" s="88"/>
      <c r="L157" s="88"/>
      <c r="M157" s="88"/>
      <c r="N157" s="88"/>
      <c r="O157" s="90"/>
      <c r="P157" s="90"/>
      <c r="Q157" s="90"/>
    </row>
    <row r="158" spans="1:17" ht="15.75" customHeight="1">
      <c r="A158" s="120"/>
      <c r="B158" s="135" t="s">
        <v>160</v>
      </c>
      <c r="C158" s="170">
        <v>0.6</v>
      </c>
      <c r="D158" s="170">
        <v>0.6</v>
      </c>
      <c r="E158" s="170">
        <f>D152</f>
        <v>0.1</v>
      </c>
      <c r="F158" s="123"/>
      <c r="G158" s="123">
        <f>G157</f>
        <v>0</v>
      </c>
      <c r="H158" s="123">
        <f>C158*D158*E158*G158</f>
        <v>0</v>
      </c>
      <c r="I158" s="103"/>
      <c r="J158" s="117"/>
      <c r="K158" s="88"/>
      <c r="L158" s="88"/>
      <c r="M158" s="88"/>
      <c r="N158" s="88"/>
      <c r="O158" s="90"/>
      <c r="P158" s="90"/>
      <c r="Q158" s="90"/>
    </row>
    <row r="159" spans="1:17" ht="15.75" customHeight="1">
      <c r="A159" s="120" t="s">
        <v>142</v>
      </c>
      <c r="B159" s="118" t="s">
        <v>145</v>
      </c>
      <c r="C159" s="107"/>
      <c r="D159" s="107"/>
      <c r="E159" s="106"/>
      <c r="F159" s="106"/>
      <c r="G159" s="106"/>
      <c r="H159" s="115">
        <f>H155</f>
        <v>0</v>
      </c>
      <c r="I159" s="103" t="s">
        <v>103</v>
      </c>
      <c r="J159" s="117">
        <f>ROUND((H159),2)</f>
        <v>0</v>
      </c>
      <c r="K159" s="88"/>
      <c r="L159" s="88"/>
      <c r="M159" s="88"/>
      <c r="N159" s="88"/>
      <c r="O159" s="90"/>
      <c r="P159" s="90"/>
      <c r="Q159" s="90"/>
    </row>
    <row r="160" spans="1:17" ht="15.75" customHeight="1">
      <c r="A160" s="104">
        <f>A147+1</f>
        <v>8</v>
      </c>
      <c r="B160" s="176" t="s">
        <v>163</v>
      </c>
      <c r="C160" s="150"/>
      <c r="D160" s="150"/>
      <c r="E160" s="106"/>
      <c r="F160" s="106"/>
      <c r="G160" s="106"/>
      <c r="H160" s="106"/>
      <c r="I160" s="103"/>
      <c r="J160" s="117">
        <f>ROUND((H160),2)</f>
        <v>0</v>
      </c>
      <c r="K160" s="88"/>
      <c r="L160" s="88"/>
      <c r="M160" s="88"/>
      <c r="N160" s="88"/>
      <c r="O160" s="90"/>
      <c r="P160" s="90"/>
      <c r="Q160" s="90"/>
    </row>
    <row r="161" spans="1:17" ht="15.75" customHeight="1">
      <c r="A161" s="120" t="s">
        <v>95</v>
      </c>
      <c r="B161" s="121" t="s">
        <v>106</v>
      </c>
      <c r="C161" s="150" t="s">
        <v>164</v>
      </c>
      <c r="D161" s="177"/>
      <c r="E161" s="177"/>
      <c r="F161" s="106"/>
      <c r="G161" s="106"/>
      <c r="H161" s="115">
        <f>SUM(H162:H165)</f>
        <v>1.36904</v>
      </c>
      <c r="I161" s="103" t="s">
        <v>89</v>
      </c>
      <c r="J161" s="117">
        <f>ROUND((H161),2)</f>
        <v>1.37</v>
      </c>
      <c r="K161" s="88"/>
      <c r="L161" s="88"/>
      <c r="M161" s="88"/>
      <c r="N161" s="88"/>
      <c r="O161" s="90"/>
      <c r="P161" s="90"/>
      <c r="Q161" s="90"/>
    </row>
    <row r="162" spans="1:17" ht="15.75" customHeight="1">
      <c r="A162" s="120"/>
      <c r="B162" s="122" t="s">
        <v>165</v>
      </c>
      <c r="C162" s="178">
        <f>2*(3.14)*(0.42/2)</f>
        <v>1.3188</v>
      </c>
      <c r="D162" s="179"/>
      <c r="E162" s="179">
        <v>0.1</v>
      </c>
      <c r="F162" s="179"/>
      <c r="G162" s="179">
        <v>2</v>
      </c>
      <c r="H162" s="179">
        <f>C162*E162*G162</f>
        <v>0.26375999999999999</v>
      </c>
      <c r="I162" s="103"/>
      <c r="J162" s="117"/>
      <c r="K162" s="88"/>
      <c r="L162" s="88"/>
      <c r="M162" s="88"/>
      <c r="N162" s="88"/>
      <c r="O162" s="90"/>
      <c r="P162" s="90"/>
      <c r="Q162" s="90"/>
    </row>
    <row r="163" spans="1:17" ht="15.75" customHeight="1">
      <c r="A163" s="120"/>
      <c r="B163" s="122" t="s">
        <v>166</v>
      </c>
      <c r="C163" s="178">
        <f>2*(3.14)*(0.32/2)</f>
        <v>1.0048000000000001</v>
      </c>
      <c r="D163" s="179">
        <v>0.1</v>
      </c>
      <c r="E163" s="179"/>
      <c r="F163" s="179"/>
      <c r="G163" s="179">
        <f>G162</f>
        <v>2</v>
      </c>
      <c r="H163" s="179">
        <f>C163*D163*G163</f>
        <v>0.20096000000000003</v>
      </c>
      <c r="I163" s="103"/>
      <c r="J163" s="117"/>
      <c r="K163" s="88"/>
      <c r="L163" s="88"/>
      <c r="M163" s="88"/>
      <c r="N163" s="88"/>
      <c r="O163" s="90"/>
      <c r="P163" s="90"/>
      <c r="Q163" s="90"/>
    </row>
    <row r="164" spans="1:17" ht="15.75" customHeight="1">
      <c r="A164" s="120"/>
      <c r="B164" s="122" t="s">
        <v>167</v>
      </c>
      <c r="C164" s="178">
        <f>2*(3.14)*(0.2/2)</f>
        <v>0.62800000000000011</v>
      </c>
      <c r="D164" s="179"/>
      <c r="E164" s="179">
        <v>0.4</v>
      </c>
      <c r="F164" s="179"/>
      <c r="G164" s="179">
        <f>G163</f>
        <v>2</v>
      </c>
      <c r="H164" s="179">
        <f>C164*E164*G164</f>
        <v>0.50240000000000007</v>
      </c>
      <c r="I164" s="103"/>
      <c r="J164" s="117"/>
      <c r="K164" s="88"/>
      <c r="L164" s="88"/>
      <c r="M164" s="88"/>
      <c r="N164" s="88"/>
      <c r="O164" s="90"/>
      <c r="P164" s="90"/>
      <c r="Q164" s="90"/>
    </row>
    <row r="165" spans="1:17" ht="15.75" customHeight="1">
      <c r="A165" s="120"/>
      <c r="B165" s="122" t="s">
        <v>168</v>
      </c>
      <c r="C165" s="178">
        <f>2*(3.14)*(0.32/2)</f>
        <v>1.0048000000000001</v>
      </c>
      <c r="D165" s="179"/>
      <c r="E165" s="179">
        <v>0.2</v>
      </c>
      <c r="F165" s="179"/>
      <c r="G165" s="179">
        <f>G164</f>
        <v>2</v>
      </c>
      <c r="H165" s="179">
        <f>C165*E165*G165</f>
        <v>0.40192000000000005</v>
      </c>
      <c r="I165" s="103"/>
      <c r="J165" s="117"/>
      <c r="K165" s="88"/>
      <c r="L165" s="88"/>
      <c r="M165" s="88"/>
      <c r="N165" s="88"/>
      <c r="O165" s="90"/>
      <c r="P165" s="90"/>
      <c r="Q165" s="90"/>
    </row>
    <row r="166" spans="1:17" ht="15.75" customHeight="1">
      <c r="A166" s="120" t="s">
        <v>98</v>
      </c>
      <c r="B166" s="121" t="s">
        <v>99</v>
      </c>
      <c r="C166" s="107">
        <f>0.5+0.2+0.5</f>
        <v>1.2</v>
      </c>
      <c r="D166" s="107"/>
      <c r="E166" s="107">
        <f>13*13*0.006165</f>
        <v>1.041885</v>
      </c>
      <c r="F166" s="106">
        <v>4</v>
      </c>
      <c r="G166" s="106">
        <f>G165</f>
        <v>2</v>
      </c>
      <c r="H166" s="115">
        <f>ROUNDUP((C166*E166*F166*G166),5)</f>
        <v>10.0021</v>
      </c>
      <c r="I166" s="103" t="s">
        <v>100</v>
      </c>
      <c r="J166" s="117">
        <f>ROUND((H166),2)</f>
        <v>10</v>
      </c>
      <c r="K166" s="88"/>
      <c r="L166" s="88"/>
      <c r="M166" s="88"/>
      <c r="N166" s="88"/>
      <c r="O166" s="90"/>
      <c r="P166" s="90"/>
      <c r="Q166" s="90"/>
    </row>
    <row r="167" spans="1:17" ht="15.75" customHeight="1">
      <c r="A167" s="180" t="s">
        <v>101</v>
      </c>
      <c r="B167" s="121" t="s">
        <v>161</v>
      </c>
      <c r="C167" s="178">
        <f>2*(3.14)*(0.5/2)</f>
        <v>1.57</v>
      </c>
      <c r="D167" s="107"/>
      <c r="E167" s="107">
        <f>6*6*0.006165</f>
        <v>0.22194000000000003</v>
      </c>
      <c r="F167" s="106">
        <v>5</v>
      </c>
      <c r="G167" s="106">
        <f>G166</f>
        <v>2</v>
      </c>
      <c r="H167" s="115">
        <f>ROUNDUP((C167*E167*F167*G167),5)</f>
        <v>3.4844599999999999</v>
      </c>
      <c r="I167" s="103" t="s">
        <v>100</v>
      </c>
      <c r="J167" s="117">
        <f>ROUND((H167),2)</f>
        <v>3.48</v>
      </c>
      <c r="K167" s="88"/>
      <c r="L167" s="88"/>
      <c r="M167" s="88"/>
      <c r="N167" s="88"/>
      <c r="O167" s="90"/>
      <c r="P167" s="90"/>
      <c r="Q167" s="90"/>
    </row>
    <row r="168" spans="1:17" s="187" customFormat="1" ht="15.75" customHeight="1">
      <c r="A168" s="181" t="s">
        <v>121</v>
      </c>
      <c r="B168" s="121" t="s">
        <v>169</v>
      </c>
      <c r="C168" s="182" t="s">
        <v>170</v>
      </c>
      <c r="D168" s="3187" t="s">
        <v>171</v>
      </c>
      <c r="E168" s="3187"/>
      <c r="F168" s="3187"/>
      <c r="G168" s="3187"/>
      <c r="H168" s="183">
        <f>SUM(H169:H171)</f>
        <v>8.4968399999999999E-2</v>
      </c>
      <c r="I168" s="184" t="s">
        <v>103</v>
      </c>
      <c r="J168" s="117">
        <f>ROUND((H168),2)</f>
        <v>0.08</v>
      </c>
      <c r="K168" s="185"/>
      <c r="L168" s="185"/>
      <c r="M168" s="185"/>
      <c r="N168" s="185"/>
      <c r="O168" s="186"/>
      <c r="P168" s="186"/>
      <c r="Q168" s="186"/>
    </row>
    <row r="169" spans="1:17" s="187" customFormat="1" ht="15.75" customHeight="1">
      <c r="A169" s="181"/>
      <c r="B169" s="122" t="s">
        <v>165</v>
      </c>
      <c r="C169" s="188">
        <v>3.14</v>
      </c>
      <c r="D169" s="189">
        <f>(0.42/2)^2</f>
        <v>4.4099999999999993E-2</v>
      </c>
      <c r="E169" s="188">
        <v>0.1</v>
      </c>
      <c r="F169" s="190"/>
      <c r="G169" s="190">
        <f>G167</f>
        <v>2</v>
      </c>
      <c r="H169" s="190">
        <f>C169*D169*E169*G169</f>
        <v>2.7694799999999999E-2</v>
      </c>
      <c r="I169" s="184"/>
      <c r="J169" s="117"/>
      <c r="K169" s="185"/>
      <c r="L169" s="185"/>
      <c r="M169" s="185"/>
      <c r="N169" s="185"/>
      <c r="O169" s="186"/>
      <c r="P169" s="186"/>
      <c r="Q169" s="186"/>
    </row>
    <row r="170" spans="1:17" s="187" customFormat="1" ht="15.75" customHeight="1">
      <c r="A170" s="181"/>
      <c r="B170" s="122" t="s">
        <v>167</v>
      </c>
      <c r="C170" s="188">
        <v>3.14</v>
      </c>
      <c r="D170" s="189">
        <f>(0.2/2)^2</f>
        <v>1.0000000000000002E-2</v>
      </c>
      <c r="E170" s="188">
        <v>0.4</v>
      </c>
      <c r="F170" s="190"/>
      <c r="G170" s="190">
        <f>G169</f>
        <v>2</v>
      </c>
      <c r="H170" s="190">
        <f>C170*D170*E170*G170</f>
        <v>2.5120000000000003E-2</v>
      </c>
      <c r="I170" s="184"/>
      <c r="J170" s="117"/>
      <c r="K170" s="185"/>
      <c r="L170" s="185"/>
      <c r="M170" s="185"/>
      <c r="N170" s="185"/>
      <c r="O170" s="186"/>
      <c r="P170" s="186"/>
      <c r="Q170" s="186"/>
    </row>
    <row r="171" spans="1:17" s="187" customFormat="1" ht="15.75" customHeight="1">
      <c r="A171" s="181"/>
      <c r="B171" s="122" t="s">
        <v>168</v>
      </c>
      <c r="C171" s="188">
        <v>3.14</v>
      </c>
      <c r="D171" s="189">
        <f>(0.32/2)^2</f>
        <v>2.5600000000000001E-2</v>
      </c>
      <c r="E171" s="188">
        <v>0.2</v>
      </c>
      <c r="F171" s="190"/>
      <c r="G171" s="190">
        <f>G170</f>
        <v>2</v>
      </c>
      <c r="H171" s="190">
        <f>C171*D171*E171*G171</f>
        <v>3.2153600000000004E-2</v>
      </c>
      <c r="I171" s="184"/>
      <c r="J171" s="117"/>
      <c r="K171" s="185"/>
      <c r="L171" s="185"/>
      <c r="M171" s="185"/>
      <c r="N171" s="185"/>
      <c r="O171" s="186"/>
      <c r="P171" s="186"/>
      <c r="Q171" s="186"/>
    </row>
    <row r="172" spans="1:17" s="187" customFormat="1" ht="15.75" customHeight="1">
      <c r="A172" s="181" t="s">
        <v>142</v>
      </c>
      <c r="B172" s="105" t="s">
        <v>145</v>
      </c>
      <c r="C172" s="191"/>
      <c r="D172" s="191"/>
      <c r="E172" s="191"/>
      <c r="F172" s="192"/>
      <c r="G172" s="192"/>
      <c r="H172" s="193">
        <f>H168</f>
        <v>8.4968399999999999E-2</v>
      </c>
      <c r="I172" s="184" t="s">
        <v>103</v>
      </c>
      <c r="J172" s="117">
        <f>ROUND((H172),2)</f>
        <v>0.08</v>
      </c>
      <c r="K172" s="185"/>
      <c r="L172" s="185"/>
      <c r="M172" s="185"/>
      <c r="N172" s="185"/>
      <c r="O172" s="186"/>
      <c r="P172" s="186"/>
      <c r="Q172" s="186"/>
    </row>
    <row r="173" spans="1:17" s="187" customFormat="1" ht="15.75" customHeight="1">
      <c r="A173" s="194"/>
      <c r="B173" s="105"/>
      <c r="C173" s="191"/>
      <c r="D173" s="191"/>
      <c r="E173" s="191"/>
      <c r="F173" s="192"/>
      <c r="G173" s="192"/>
      <c r="H173" s="193"/>
      <c r="I173" s="184"/>
      <c r="J173" s="117"/>
      <c r="K173" s="185"/>
      <c r="L173" s="185"/>
      <c r="M173" s="185"/>
      <c r="N173" s="185"/>
      <c r="O173" s="186"/>
      <c r="P173" s="186"/>
      <c r="Q173" s="186"/>
    </row>
    <row r="174" spans="1:17" s="187" customFormat="1" ht="15.75" customHeight="1">
      <c r="A174" s="104">
        <f>A160+1</f>
        <v>9</v>
      </c>
      <c r="B174" s="121" t="s">
        <v>172</v>
      </c>
      <c r="C174" s="111"/>
      <c r="D174" s="111"/>
      <c r="E174" s="106"/>
      <c r="F174" s="106"/>
      <c r="G174" s="106"/>
      <c r="H174" s="106"/>
      <c r="I174" s="103"/>
      <c r="J174" s="117">
        <f>ROUND((H174),2)</f>
        <v>0</v>
      </c>
      <c r="K174" s="185"/>
      <c r="L174" s="185"/>
      <c r="M174" s="185"/>
      <c r="N174" s="185"/>
      <c r="O174" s="186"/>
      <c r="P174" s="186"/>
      <c r="Q174" s="186"/>
    </row>
    <row r="175" spans="1:17" s="187" customFormat="1" ht="15.75" customHeight="1">
      <c r="A175" s="120" t="s">
        <v>95</v>
      </c>
      <c r="B175" s="121" t="s">
        <v>173</v>
      </c>
      <c r="C175" s="169"/>
      <c r="D175" s="169"/>
      <c r="E175" s="106"/>
      <c r="F175" s="106"/>
      <c r="G175" s="106"/>
      <c r="H175" s="115">
        <f>SUM(H176:H180)</f>
        <v>0</v>
      </c>
      <c r="I175" s="116" t="s">
        <v>89</v>
      </c>
      <c r="J175" s="117">
        <f>ROUND((H175),2)</f>
        <v>0</v>
      </c>
      <c r="K175" s="185"/>
      <c r="L175" s="185"/>
      <c r="M175" s="185"/>
      <c r="N175" s="185"/>
      <c r="O175" s="186"/>
      <c r="P175" s="186"/>
      <c r="Q175" s="186"/>
    </row>
    <row r="176" spans="1:17" s="187" customFormat="1" ht="15.75" customHeight="1">
      <c r="A176" s="120"/>
      <c r="B176" s="122" t="s">
        <v>174</v>
      </c>
      <c r="C176" s="169">
        <v>0.6</v>
      </c>
      <c r="D176" s="169">
        <v>0.05</v>
      </c>
      <c r="E176" s="106"/>
      <c r="F176" s="106">
        <v>4</v>
      </c>
      <c r="G176" s="106">
        <f>G149</f>
        <v>0</v>
      </c>
      <c r="H176" s="131">
        <f>C176*D176*F176*G176</f>
        <v>0</v>
      </c>
      <c r="I176" s="116"/>
      <c r="J176" s="117"/>
      <c r="K176" s="185"/>
      <c r="L176" s="185"/>
      <c r="M176" s="185"/>
      <c r="N176" s="185"/>
      <c r="O176" s="186"/>
      <c r="P176" s="186"/>
      <c r="Q176" s="186"/>
    </row>
    <row r="177" spans="1:17" s="187" customFormat="1" ht="15.75" customHeight="1">
      <c r="A177" s="120"/>
      <c r="B177" s="122" t="s">
        <v>175</v>
      </c>
      <c r="C177" s="169">
        <v>0.6</v>
      </c>
      <c r="D177" s="169">
        <v>0.05</v>
      </c>
      <c r="E177" s="106"/>
      <c r="F177" s="106">
        <v>4</v>
      </c>
      <c r="G177" s="106">
        <f>G176</f>
        <v>0</v>
      </c>
      <c r="H177" s="131">
        <f>C177*D177*F177*G177</f>
        <v>0</v>
      </c>
      <c r="I177" s="103"/>
      <c r="J177" s="117"/>
      <c r="K177" s="185"/>
      <c r="L177" s="185"/>
      <c r="M177" s="185"/>
      <c r="N177" s="185"/>
      <c r="O177" s="186"/>
      <c r="P177" s="186"/>
      <c r="Q177" s="186"/>
    </row>
    <row r="178" spans="1:17" s="187" customFormat="1" ht="15.75" customHeight="1">
      <c r="A178" s="120"/>
      <c r="B178" s="122" t="s">
        <v>159</v>
      </c>
      <c r="C178" s="169">
        <v>0.4</v>
      </c>
      <c r="D178" s="169"/>
      <c r="E178" s="106">
        <v>0.2</v>
      </c>
      <c r="F178" s="106">
        <v>4</v>
      </c>
      <c r="G178" s="106">
        <f>G177</f>
        <v>0</v>
      </c>
      <c r="H178" s="131">
        <f>C178*E178*F178*G178</f>
        <v>0</v>
      </c>
      <c r="I178" s="103"/>
      <c r="J178" s="117"/>
      <c r="K178" s="185"/>
      <c r="L178" s="185"/>
      <c r="M178" s="185"/>
      <c r="N178" s="185"/>
      <c r="O178" s="186"/>
      <c r="P178" s="186"/>
      <c r="Q178" s="186"/>
    </row>
    <row r="179" spans="1:17" s="187" customFormat="1" ht="15.75" customHeight="1">
      <c r="A179" s="120"/>
      <c r="B179" s="122" t="s">
        <v>176</v>
      </c>
      <c r="C179" s="169">
        <v>0.6</v>
      </c>
      <c r="D179" s="169">
        <v>0.05</v>
      </c>
      <c r="E179" s="171"/>
      <c r="F179" s="171">
        <v>4</v>
      </c>
      <c r="G179" s="106">
        <f>G178</f>
        <v>0</v>
      </c>
      <c r="H179" s="172">
        <f>C179*D179*F179*G179</f>
        <v>0</v>
      </c>
      <c r="I179" s="110"/>
      <c r="J179" s="117"/>
      <c r="K179" s="185"/>
      <c r="L179" s="185"/>
      <c r="M179" s="185"/>
      <c r="N179" s="185"/>
      <c r="O179" s="186"/>
      <c r="P179" s="186"/>
      <c r="Q179" s="186"/>
    </row>
    <row r="180" spans="1:17" s="187" customFormat="1" ht="15.75" customHeight="1">
      <c r="A180" s="120"/>
      <c r="B180" s="122" t="s">
        <v>160</v>
      </c>
      <c r="C180" s="169">
        <v>0.6</v>
      </c>
      <c r="D180" s="169">
        <v>0.1</v>
      </c>
      <c r="E180" s="171"/>
      <c r="F180" s="171">
        <v>4</v>
      </c>
      <c r="G180" s="106">
        <f>G179</f>
        <v>0</v>
      </c>
      <c r="H180" s="172">
        <f>C180*D180*F180*G180</f>
        <v>0</v>
      </c>
      <c r="I180" s="110"/>
      <c r="J180" s="117"/>
      <c r="K180" s="185"/>
      <c r="L180" s="185"/>
      <c r="M180" s="185"/>
      <c r="N180" s="185"/>
      <c r="O180" s="186"/>
      <c r="P180" s="186"/>
      <c r="Q180" s="186"/>
    </row>
    <row r="181" spans="1:17" s="187" customFormat="1" ht="15.75" customHeight="1">
      <c r="A181" s="104">
        <f>A174+1</f>
        <v>10</v>
      </c>
      <c r="B181" s="176" t="s">
        <v>177</v>
      </c>
      <c r="C181" s="150"/>
      <c r="D181" s="150"/>
      <c r="E181" s="106"/>
      <c r="F181" s="106"/>
      <c r="G181" s="106"/>
      <c r="H181" s="106"/>
      <c r="I181" s="103"/>
      <c r="J181" s="117">
        <f>ROUND((H181),2)</f>
        <v>0</v>
      </c>
      <c r="K181" s="185"/>
      <c r="L181" s="185"/>
      <c r="M181" s="185"/>
      <c r="N181" s="185"/>
      <c r="O181" s="186"/>
      <c r="P181" s="186"/>
      <c r="Q181" s="186"/>
    </row>
    <row r="182" spans="1:17" s="187" customFormat="1" ht="15.75" customHeight="1">
      <c r="A182" s="120" t="s">
        <v>95</v>
      </c>
      <c r="B182" s="121" t="s">
        <v>178</v>
      </c>
      <c r="C182" s="150" t="s">
        <v>179</v>
      </c>
      <c r="D182" s="177"/>
      <c r="E182" s="177"/>
      <c r="F182" s="106"/>
      <c r="G182" s="106"/>
      <c r="H182" s="115">
        <f>SUM(H183:H187)</f>
        <v>3.9538880000000005</v>
      </c>
      <c r="I182" s="103" t="s">
        <v>89</v>
      </c>
      <c r="J182" s="117">
        <f>ROUND((H182),2)</f>
        <v>3.95</v>
      </c>
      <c r="K182" s="185"/>
      <c r="L182" s="185"/>
      <c r="M182" s="185"/>
      <c r="N182" s="185"/>
      <c r="O182" s="186"/>
      <c r="P182" s="186"/>
      <c r="Q182" s="186"/>
    </row>
    <row r="183" spans="1:17" s="187" customFormat="1" ht="15.75" customHeight="1">
      <c r="A183" s="120"/>
      <c r="B183" s="122" t="s">
        <v>180</v>
      </c>
      <c r="C183" s="178">
        <v>3.14</v>
      </c>
      <c r="D183" s="195">
        <f>(0.72/2)^2</f>
        <v>0.12959999999999999</v>
      </c>
      <c r="E183" s="179"/>
      <c r="F183" s="179"/>
      <c r="G183" s="179">
        <f>G162</f>
        <v>2</v>
      </c>
      <c r="H183" s="179">
        <f>C183*D183*G183</f>
        <v>0.81388799999999994</v>
      </c>
      <c r="I183" s="103"/>
      <c r="J183" s="117"/>
      <c r="K183" s="185"/>
      <c r="L183" s="185"/>
      <c r="M183" s="185"/>
      <c r="N183" s="185"/>
      <c r="O183" s="186"/>
      <c r="P183" s="186"/>
      <c r="Q183" s="186"/>
    </row>
    <row r="184" spans="1:17" s="187" customFormat="1" ht="15.75" customHeight="1">
      <c r="A184" s="120"/>
      <c r="B184" s="122" t="s">
        <v>181</v>
      </c>
      <c r="C184" s="178">
        <f>2*(3.14)*(0.72/2)</f>
        <v>2.2608000000000001</v>
      </c>
      <c r="D184" s="179"/>
      <c r="E184" s="179">
        <v>0.1</v>
      </c>
      <c r="F184" s="179"/>
      <c r="G184" s="179">
        <f>G183</f>
        <v>2</v>
      </c>
      <c r="H184" s="179">
        <f>C184*E184*G184</f>
        <v>0.45216000000000006</v>
      </c>
      <c r="I184" s="103"/>
      <c r="J184" s="117"/>
      <c r="K184" s="185"/>
      <c r="L184" s="185"/>
      <c r="M184" s="185"/>
      <c r="N184" s="185"/>
      <c r="O184" s="186"/>
      <c r="P184" s="186"/>
      <c r="Q184" s="186"/>
    </row>
    <row r="185" spans="1:17" s="187" customFormat="1" ht="15.75" customHeight="1">
      <c r="A185" s="120"/>
      <c r="B185" s="122" t="s">
        <v>182</v>
      </c>
      <c r="C185" s="178">
        <f>2*(3.14)*(0.62/2)</f>
        <v>1.9468000000000001</v>
      </c>
      <c r="D185" s="179"/>
      <c r="E185" s="179">
        <v>0.4</v>
      </c>
      <c r="F185" s="179"/>
      <c r="G185" s="179">
        <f>G184</f>
        <v>2</v>
      </c>
      <c r="H185" s="179">
        <f>C185*E185*G185</f>
        <v>1.5574400000000002</v>
      </c>
      <c r="I185" s="103"/>
      <c r="J185" s="117"/>
      <c r="K185" s="185"/>
      <c r="L185" s="185"/>
      <c r="M185" s="185"/>
      <c r="N185" s="185"/>
      <c r="O185" s="186"/>
      <c r="P185" s="186"/>
      <c r="Q185" s="186"/>
    </row>
    <row r="186" spans="1:17" s="187" customFormat="1" ht="15.75" customHeight="1">
      <c r="A186" s="120"/>
      <c r="B186" s="122" t="s">
        <v>183</v>
      </c>
      <c r="C186" s="178">
        <f>2*(3.14)*(0.72/2)</f>
        <v>2.2608000000000001</v>
      </c>
      <c r="D186" s="179">
        <v>0.05</v>
      </c>
      <c r="E186" s="179"/>
      <c r="F186" s="179"/>
      <c r="G186" s="179">
        <f>G185</f>
        <v>2</v>
      </c>
      <c r="H186" s="179">
        <f>C186*D186*G186</f>
        <v>0.22608000000000003</v>
      </c>
      <c r="I186" s="103"/>
      <c r="J186" s="117"/>
      <c r="K186" s="185"/>
      <c r="L186" s="185"/>
      <c r="M186" s="185"/>
      <c r="N186" s="185"/>
      <c r="O186" s="186"/>
      <c r="P186" s="186"/>
      <c r="Q186" s="186"/>
    </row>
    <row r="187" spans="1:17" s="187" customFormat="1" ht="15.75" customHeight="1">
      <c r="A187" s="120"/>
      <c r="B187" s="122" t="s">
        <v>184</v>
      </c>
      <c r="C187" s="178">
        <f>2*(3.14)*(0.72/2)</f>
        <v>2.2608000000000001</v>
      </c>
      <c r="D187" s="179"/>
      <c r="E187" s="179">
        <v>0.2</v>
      </c>
      <c r="F187" s="179"/>
      <c r="G187" s="179">
        <f>G186</f>
        <v>2</v>
      </c>
      <c r="H187" s="179">
        <f>C187*E187*G187</f>
        <v>0.90432000000000012</v>
      </c>
      <c r="I187" s="103"/>
      <c r="J187" s="117"/>
      <c r="K187" s="185"/>
      <c r="L187" s="185"/>
      <c r="M187" s="185"/>
      <c r="N187" s="185"/>
      <c r="O187" s="186"/>
      <c r="P187" s="186"/>
      <c r="Q187" s="186"/>
    </row>
    <row r="188" spans="1:17" s="187" customFormat="1" ht="15.75" customHeight="1">
      <c r="A188" s="194"/>
      <c r="B188" s="196"/>
      <c r="C188" s="191"/>
      <c r="D188" s="191"/>
      <c r="E188" s="191"/>
      <c r="F188" s="192"/>
      <c r="G188" s="192"/>
      <c r="H188" s="193"/>
      <c r="I188" s="184"/>
      <c r="J188" s="117"/>
      <c r="K188" s="185"/>
      <c r="L188" s="185"/>
      <c r="M188" s="185"/>
      <c r="N188" s="185"/>
      <c r="O188" s="186"/>
      <c r="P188" s="186"/>
      <c r="Q188" s="186"/>
    </row>
    <row r="189" spans="1:17" s="187" customFormat="1" ht="27.75" customHeight="1">
      <c r="A189" s="197">
        <f>A160+1</f>
        <v>9</v>
      </c>
      <c r="B189" s="196" t="s">
        <v>185</v>
      </c>
      <c r="C189" s="191"/>
      <c r="D189" s="191"/>
      <c r="E189" s="191"/>
      <c r="F189" s="192"/>
      <c r="G189" s="192"/>
      <c r="H189" s="192"/>
      <c r="I189" s="184"/>
      <c r="J189" s="117">
        <f>ROUND((H189),2)</f>
        <v>0</v>
      </c>
      <c r="K189" s="185"/>
      <c r="L189" s="185"/>
      <c r="M189" s="185"/>
      <c r="N189" s="185"/>
      <c r="O189" s="186"/>
      <c r="P189" s="186"/>
      <c r="Q189" s="186"/>
    </row>
    <row r="190" spans="1:17" ht="15.75" customHeight="1">
      <c r="A190" s="120" t="s">
        <v>95</v>
      </c>
      <c r="B190" s="118" t="s">
        <v>186</v>
      </c>
      <c r="C190" s="107"/>
      <c r="D190" s="107"/>
      <c r="E190" s="107" t="s">
        <v>187</v>
      </c>
      <c r="F190" s="106"/>
      <c r="G190" s="106"/>
      <c r="H190" s="106"/>
      <c r="I190" s="103"/>
      <c r="J190" s="117">
        <f>ROUND((H190),2)</f>
        <v>0</v>
      </c>
      <c r="K190" s="88"/>
      <c r="L190" s="88"/>
      <c r="M190" s="88"/>
      <c r="N190" s="88"/>
      <c r="O190" s="90"/>
      <c r="P190" s="90"/>
      <c r="Q190" s="90"/>
    </row>
    <row r="191" spans="1:17" ht="15.75" customHeight="1">
      <c r="A191" s="120"/>
      <c r="B191" s="135" t="s">
        <v>188</v>
      </c>
      <c r="C191" s="107">
        <v>14.6</v>
      </c>
      <c r="D191" s="107"/>
      <c r="E191" s="107">
        <f>(0.35+0.4)/2</f>
        <v>0.375</v>
      </c>
      <c r="F191" s="106"/>
      <c r="G191" s="106"/>
      <c r="H191" s="106">
        <f>C191*E191</f>
        <v>5.4749999999999996</v>
      </c>
      <c r="I191" s="103"/>
      <c r="J191" s="117"/>
      <c r="K191" s="88"/>
      <c r="L191" s="88"/>
      <c r="M191" s="88"/>
      <c r="N191" s="88"/>
      <c r="O191" s="90"/>
      <c r="P191" s="90"/>
      <c r="Q191" s="90"/>
    </row>
    <row r="192" spans="1:17" ht="15.75" customHeight="1">
      <c r="A192" s="120"/>
      <c r="B192" s="135" t="s">
        <v>189</v>
      </c>
      <c r="C192" s="107">
        <v>20.399999999999999</v>
      </c>
      <c r="D192" s="107"/>
      <c r="E192" s="107">
        <f>(0.35+0.4)/2</f>
        <v>0.375</v>
      </c>
      <c r="F192" s="106"/>
      <c r="G192" s="106"/>
      <c r="H192" s="147">
        <f>C192*E192</f>
        <v>7.6499999999999995</v>
      </c>
      <c r="I192" s="103"/>
      <c r="J192" s="117"/>
      <c r="K192" s="88"/>
      <c r="L192" s="88"/>
      <c r="M192" s="88"/>
      <c r="N192" s="88"/>
      <c r="O192" s="90"/>
      <c r="P192" s="90"/>
      <c r="Q192" s="90"/>
    </row>
    <row r="193" spans="1:17" ht="15.75" customHeight="1">
      <c r="A193" s="120"/>
      <c r="B193" s="118"/>
      <c r="C193" s="107"/>
      <c r="D193" s="107"/>
      <c r="E193" s="107"/>
      <c r="F193" s="106"/>
      <c r="G193" s="106"/>
      <c r="H193" s="115">
        <f>SUM(H191:H192)</f>
        <v>13.125</v>
      </c>
      <c r="I193" s="116" t="s">
        <v>89</v>
      </c>
      <c r="J193" s="117">
        <f>ROUND((H193),2)</f>
        <v>13.13</v>
      </c>
      <c r="K193" s="88"/>
      <c r="L193" s="88"/>
      <c r="M193" s="88"/>
      <c r="N193" s="88"/>
      <c r="O193" s="90"/>
      <c r="P193" s="90"/>
      <c r="Q193" s="90"/>
    </row>
    <row r="194" spans="1:17" ht="15.75" customHeight="1">
      <c r="A194" s="120" t="s">
        <v>98</v>
      </c>
      <c r="B194" s="118" t="s">
        <v>190</v>
      </c>
      <c r="C194" s="107"/>
      <c r="D194" s="107" t="s">
        <v>191</v>
      </c>
      <c r="E194" s="107" t="s">
        <v>187</v>
      </c>
      <c r="F194" s="106"/>
      <c r="G194" s="106"/>
      <c r="H194" s="106"/>
      <c r="I194" s="103"/>
      <c r="J194" s="117">
        <f>ROUND((H194),2)</f>
        <v>0</v>
      </c>
      <c r="K194" s="88"/>
      <c r="L194" s="88"/>
      <c r="M194" s="88"/>
      <c r="N194" s="88"/>
      <c r="O194" s="90"/>
      <c r="P194" s="90"/>
      <c r="Q194" s="90"/>
    </row>
    <row r="195" spans="1:17" ht="15.75" customHeight="1">
      <c r="A195" s="120"/>
      <c r="B195" s="135" t="s">
        <v>188</v>
      </c>
      <c r="C195" s="107">
        <v>14.6</v>
      </c>
      <c r="D195" s="107">
        <f>(0.52+0.56)/2</f>
        <v>0.54</v>
      </c>
      <c r="E195" s="107">
        <f>(0.35+0.4)/2-0.1</f>
        <v>0.27500000000000002</v>
      </c>
      <c r="F195" s="106"/>
      <c r="G195" s="106"/>
      <c r="H195" s="106">
        <f>C195*D195*E195</f>
        <v>2.1681000000000004</v>
      </c>
      <c r="I195" s="103"/>
      <c r="J195" s="117"/>
      <c r="K195" s="88"/>
      <c r="L195" s="88"/>
      <c r="M195" s="88"/>
      <c r="N195" s="88"/>
      <c r="O195" s="90"/>
      <c r="P195" s="90"/>
      <c r="Q195" s="90"/>
    </row>
    <row r="196" spans="1:17" ht="15.75" customHeight="1">
      <c r="A196" s="120"/>
      <c r="B196" s="135" t="s">
        <v>189</v>
      </c>
      <c r="C196" s="107">
        <v>20.399999999999999</v>
      </c>
      <c r="D196" s="107">
        <f>(0.52+0.56)/2</f>
        <v>0.54</v>
      </c>
      <c r="E196" s="107">
        <f>E195</f>
        <v>0.27500000000000002</v>
      </c>
      <c r="F196" s="106"/>
      <c r="G196" s="106"/>
      <c r="H196" s="147">
        <f>C196*D196*E196</f>
        <v>3.0294000000000003</v>
      </c>
      <c r="I196" s="103"/>
      <c r="J196" s="117"/>
      <c r="K196" s="88"/>
      <c r="L196" s="88"/>
      <c r="M196" s="88"/>
      <c r="N196" s="88"/>
      <c r="O196" s="90"/>
      <c r="P196" s="90"/>
      <c r="Q196" s="90"/>
    </row>
    <row r="197" spans="1:17" ht="15.75" customHeight="1">
      <c r="A197" s="120"/>
      <c r="B197" s="118"/>
      <c r="C197" s="107"/>
      <c r="D197" s="107"/>
      <c r="E197" s="107"/>
      <c r="F197" s="106"/>
      <c r="G197" s="106"/>
      <c r="H197" s="115">
        <f>SUM(H195:H196)</f>
        <v>5.1975000000000007</v>
      </c>
      <c r="I197" s="116" t="s">
        <v>103</v>
      </c>
      <c r="J197" s="117">
        <f>ROUND((H197),2)</f>
        <v>5.2</v>
      </c>
      <c r="K197" s="88"/>
      <c r="L197" s="88"/>
      <c r="M197" s="88"/>
      <c r="N197" s="88"/>
      <c r="O197" s="90"/>
      <c r="P197" s="90"/>
      <c r="Q197" s="90"/>
    </row>
    <row r="198" spans="1:17" ht="15.75" customHeight="1">
      <c r="A198" s="120" t="s">
        <v>101</v>
      </c>
      <c r="B198" s="118" t="s">
        <v>192</v>
      </c>
      <c r="C198" s="107"/>
      <c r="D198" s="107" t="s">
        <v>191</v>
      </c>
      <c r="E198" s="107"/>
      <c r="F198" s="106"/>
      <c r="G198" s="106"/>
      <c r="H198" s="106"/>
      <c r="I198" s="103"/>
      <c r="J198" s="117">
        <f>ROUND((H198),2)</f>
        <v>0</v>
      </c>
      <c r="K198" s="88"/>
      <c r="L198" s="88"/>
      <c r="M198" s="88"/>
      <c r="N198" s="88"/>
      <c r="O198" s="90"/>
      <c r="P198" s="90"/>
      <c r="Q198" s="90"/>
    </row>
    <row r="199" spans="1:17" ht="15.75" customHeight="1">
      <c r="A199" s="120"/>
      <c r="B199" s="135" t="s">
        <v>188</v>
      </c>
      <c r="C199" s="107">
        <v>14.6</v>
      </c>
      <c r="D199" s="107">
        <f>(0.52+0.56)/2</f>
        <v>0.54</v>
      </c>
      <c r="E199" s="107">
        <v>7.0000000000000007E-2</v>
      </c>
      <c r="F199" s="106"/>
      <c r="G199" s="106"/>
      <c r="H199" s="106">
        <f>C199*D199*E199</f>
        <v>0.55188000000000004</v>
      </c>
      <c r="I199" s="103"/>
      <c r="J199" s="117"/>
      <c r="K199" s="88"/>
      <c r="L199" s="88"/>
      <c r="M199" s="88"/>
      <c r="N199" s="88"/>
      <c r="O199" s="90"/>
      <c r="P199" s="90"/>
      <c r="Q199" s="90"/>
    </row>
    <row r="200" spans="1:17" ht="15.75" customHeight="1">
      <c r="A200" s="120"/>
      <c r="B200" s="135" t="s">
        <v>189</v>
      </c>
      <c r="C200" s="107">
        <v>20.399999999999999</v>
      </c>
      <c r="D200" s="107">
        <f>(0.52+0.56)/2</f>
        <v>0.54</v>
      </c>
      <c r="E200" s="107">
        <v>7.0000000000000007E-2</v>
      </c>
      <c r="F200" s="106"/>
      <c r="G200" s="106"/>
      <c r="H200" s="147">
        <f>C200*D200*E200</f>
        <v>0.77112000000000003</v>
      </c>
      <c r="I200" s="103"/>
      <c r="J200" s="117"/>
      <c r="K200" s="88"/>
      <c r="L200" s="88"/>
      <c r="M200" s="88"/>
      <c r="N200" s="88"/>
      <c r="O200" s="90"/>
      <c r="P200" s="90"/>
      <c r="Q200" s="90"/>
    </row>
    <row r="201" spans="1:17" ht="15.75" customHeight="1">
      <c r="A201" s="120"/>
      <c r="B201" s="118"/>
      <c r="C201" s="107"/>
      <c r="D201" s="107"/>
      <c r="E201" s="107"/>
      <c r="F201" s="106"/>
      <c r="G201" s="106"/>
      <c r="H201" s="115">
        <f>SUM(H199:H200)</f>
        <v>1.323</v>
      </c>
      <c r="I201" s="116" t="s">
        <v>103</v>
      </c>
      <c r="J201" s="117">
        <f>ROUND((H201),2)</f>
        <v>1.32</v>
      </c>
      <c r="K201" s="88"/>
      <c r="L201" s="88"/>
      <c r="M201" s="88"/>
      <c r="N201" s="88"/>
      <c r="O201" s="90"/>
      <c r="P201" s="90"/>
      <c r="Q201" s="90"/>
    </row>
    <row r="202" spans="1:17" ht="15.75" customHeight="1">
      <c r="A202" s="120" t="s">
        <v>121</v>
      </c>
      <c r="B202" s="118" t="s">
        <v>193</v>
      </c>
      <c r="C202" s="107"/>
      <c r="D202" s="107"/>
      <c r="E202" s="107"/>
      <c r="F202" s="106"/>
      <c r="G202" s="106"/>
      <c r="H202" s="106"/>
      <c r="I202" s="103"/>
      <c r="J202" s="117">
        <f>ROUND((H202),2)</f>
        <v>0</v>
      </c>
      <c r="K202" s="88"/>
      <c r="L202" s="88"/>
      <c r="M202" s="88"/>
      <c r="N202" s="88"/>
      <c r="O202" s="90"/>
      <c r="P202" s="90"/>
      <c r="Q202" s="90"/>
    </row>
    <row r="203" spans="1:17" ht="15.75" customHeight="1">
      <c r="A203" s="120"/>
      <c r="B203" s="135"/>
      <c r="C203" s="107"/>
      <c r="D203" s="107"/>
      <c r="E203" s="107" t="s">
        <v>187</v>
      </c>
      <c r="F203" s="106"/>
      <c r="G203" s="106"/>
      <c r="H203" s="106"/>
      <c r="I203" s="103"/>
      <c r="J203" s="117">
        <f>ROUND((H203),2)</f>
        <v>0</v>
      </c>
      <c r="K203" s="88"/>
      <c r="L203" s="88"/>
      <c r="M203" s="88"/>
      <c r="N203" s="88"/>
      <c r="O203" s="90"/>
      <c r="P203" s="90"/>
      <c r="Q203" s="90"/>
    </row>
    <row r="204" spans="1:17" ht="15.75" customHeight="1">
      <c r="A204" s="120"/>
      <c r="B204" s="135" t="s">
        <v>188</v>
      </c>
      <c r="C204" s="107">
        <v>14.6</v>
      </c>
      <c r="D204" s="107"/>
      <c r="E204" s="107">
        <f>(0.35+0.4)/2</f>
        <v>0.375</v>
      </c>
      <c r="F204" s="106"/>
      <c r="G204" s="106"/>
      <c r="H204" s="106">
        <f>C204*E204</f>
        <v>5.4749999999999996</v>
      </c>
      <c r="I204" s="103"/>
      <c r="J204" s="117"/>
      <c r="K204" s="88"/>
      <c r="L204" s="88"/>
      <c r="M204" s="88"/>
      <c r="N204" s="88"/>
      <c r="O204" s="90"/>
      <c r="P204" s="90"/>
      <c r="Q204" s="90"/>
    </row>
    <row r="205" spans="1:17" ht="15.75" customHeight="1">
      <c r="A205" s="120"/>
      <c r="B205" s="135" t="s">
        <v>189</v>
      </c>
      <c r="C205" s="107">
        <v>20.399999999999999</v>
      </c>
      <c r="D205" s="107"/>
      <c r="E205" s="107">
        <f>(0.35+0.4)/2</f>
        <v>0.375</v>
      </c>
      <c r="F205" s="106"/>
      <c r="G205" s="106"/>
      <c r="H205" s="147">
        <f>C205*E205</f>
        <v>7.6499999999999995</v>
      </c>
      <c r="I205" s="103"/>
      <c r="J205" s="117"/>
      <c r="K205" s="88"/>
      <c r="L205" s="88"/>
      <c r="M205" s="88"/>
      <c r="N205" s="88"/>
      <c r="O205" s="90"/>
      <c r="P205" s="90"/>
      <c r="Q205" s="90"/>
    </row>
    <row r="206" spans="1:17" ht="15.75" customHeight="1">
      <c r="A206" s="120"/>
      <c r="B206" s="118"/>
      <c r="C206" s="107"/>
      <c r="D206" s="107"/>
      <c r="E206" s="107"/>
      <c r="F206" s="107"/>
      <c r="G206" s="106"/>
      <c r="H206" s="115">
        <f>SUM(H204:H205)</f>
        <v>13.125</v>
      </c>
      <c r="I206" s="116" t="s">
        <v>89</v>
      </c>
      <c r="J206" s="117">
        <f>ROUND((H206),2)</f>
        <v>13.13</v>
      </c>
      <c r="K206" s="151"/>
      <c r="L206" s="88"/>
      <c r="M206" s="88"/>
      <c r="N206" s="88"/>
      <c r="O206" s="90"/>
      <c r="P206" s="90"/>
      <c r="Q206" s="90"/>
    </row>
    <row r="207" spans="1:17" ht="15.75" customHeight="1">
      <c r="A207" s="120" t="s">
        <v>142</v>
      </c>
      <c r="B207" s="118" t="s">
        <v>194</v>
      </c>
      <c r="C207" s="107"/>
      <c r="D207" s="107"/>
      <c r="E207" s="107"/>
      <c r="F207" s="107"/>
      <c r="G207" s="106"/>
      <c r="H207" s="115">
        <f>H206</f>
        <v>13.125</v>
      </c>
      <c r="I207" s="116" t="s">
        <v>89</v>
      </c>
      <c r="J207" s="117">
        <f>ROUND((H207),2)</f>
        <v>13.13</v>
      </c>
      <c r="K207" s="151"/>
      <c r="L207" s="88"/>
      <c r="M207" s="88"/>
      <c r="N207" s="88"/>
      <c r="O207" s="90"/>
      <c r="P207" s="90"/>
      <c r="Q207" s="90"/>
    </row>
    <row r="208" spans="1:17" ht="15.75" customHeight="1">
      <c r="A208" s="104">
        <f>A189+1</f>
        <v>10</v>
      </c>
      <c r="B208" s="118" t="s">
        <v>195</v>
      </c>
      <c r="C208" s="107"/>
      <c r="D208" s="107"/>
      <c r="E208" s="107"/>
      <c r="F208" s="107"/>
      <c r="G208" s="106"/>
      <c r="H208" s="115"/>
      <c r="I208" s="116"/>
      <c r="J208" s="117"/>
      <c r="K208" s="151"/>
      <c r="L208" s="88"/>
      <c r="M208" s="88"/>
      <c r="N208" s="88"/>
      <c r="O208" s="90"/>
      <c r="P208" s="90"/>
      <c r="Q208" s="90"/>
    </row>
    <row r="209" spans="1:17" ht="15.75" customHeight="1">
      <c r="A209" s="120"/>
      <c r="B209" s="135" t="s">
        <v>196</v>
      </c>
      <c r="C209" s="107">
        <f>C127</f>
        <v>3</v>
      </c>
      <c r="D209" s="107">
        <f>D127</f>
        <v>3</v>
      </c>
      <c r="E209" s="107"/>
      <c r="F209" s="107"/>
      <c r="G209" s="106">
        <v>2</v>
      </c>
      <c r="H209" s="106">
        <f>C209*D209*G209</f>
        <v>18</v>
      </c>
      <c r="I209" s="116"/>
      <c r="J209" s="117"/>
      <c r="K209" s="151"/>
      <c r="L209" s="88"/>
      <c r="M209" s="88"/>
      <c r="N209" s="88"/>
      <c r="O209" s="90"/>
      <c r="P209" s="90"/>
      <c r="Q209" s="90"/>
    </row>
    <row r="210" spans="1:17" ht="15.75" customHeight="1">
      <c r="A210" s="120"/>
      <c r="B210" s="135" t="s">
        <v>197</v>
      </c>
      <c r="C210" s="107">
        <f>C128</f>
        <v>3</v>
      </c>
      <c r="D210" s="107">
        <f>D128</f>
        <v>3</v>
      </c>
      <c r="E210" s="107"/>
      <c r="F210" s="107"/>
      <c r="G210" s="106">
        <v>1</v>
      </c>
      <c r="H210" s="106">
        <f>C210*D210*G210</f>
        <v>9</v>
      </c>
      <c r="I210" s="116"/>
      <c r="J210" s="117"/>
      <c r="K210" s="151"/>
      <c r="L210" s="88"/>
      <c r="M210" s="88"/>
      <c r="N210" s="88"/>
      <c r="O210" s="90"/>
      <c r="P210" s="90"/>
      <c r="Q210" s="90"/>
    </row>
    <row r="211" spans="1:17" ht="15.75" customHeight="1">
      <c r="A211" s="104"/>
      <c r="B211" s="118" t="s">
        <v>198</v>
      </c>
      <c r="C211" s="169">
        <v>0.6</v>
      </c>
      <c r="D211" s="169">
        <v>0.6</v>
      </c>
      <c r="E211" s="171"/>
      <c r="F211" s="171"/>
      <c r="G211" s="171">
        <f>G149</f>
        <v>0</v>
      </c>
      <c r="H211" s="172">
        <f>-C211*D211*G211</f>
        <v>0</v>
      </c>
      <c r="I211" s="88"/>
      <c r="J211" s="117"/>
      <c r="K211" s="151"/>
      <c r="L211" s="88"/>
      <c r="M211" s="88"/>
      <c r="N211" s="88"/>
      <c r="O211" s="90"/>
      <c r="P211" s="90"/>
      <c r="Q211" s="90"/>
    </row>
    <row r="212" spans="1:17" ht="15.75" customHeight="1">
      <c r="A212" s="104"/>
      <c r="B212" s="118" t="s">
        <v>199</v>
      </c>
      <c r="C212" s="178">
        <f>(3.14)*(0.72/2)^2</f>
        <v>0.40694399999999997</v>
      </c>
      <c r="D212" s="198" t="s">
        <v>179</v>
      </c>
      <c r="E212" s="151"/>
      <c r="F212" s="151"/>
      <c r="G212" s="171">
        <f>G183</f>
        <v>2</v>
      </c>
      <c r="H212" s="172">
        <f>-C212*G212</f>
        <v>-0.81388799999999994</v>
      </c>
      <c r="I212" s="88"/>
      <c r="J212" s="117"/>
      <c r="K212" s="151"/>
      <c r="L212" s="88"/>
      <c r="M212" s="88"/>
      <c r="N212" s="88"/>
      <c r="O212" s="90"/>
      <c r="P212" s="90"/>
      <c r="Q212" s="90"/>
    </row>
    <row r="213" spans="1:17" ht="15.75" customHeight="1">
      <c r="A213" s="104"/>
      <c r="B213" s="199"/>
      <c r="C213" s="169"/>
      <c r="D213" s="169"/>
      <c r="E213" s="169"/>
      <c r="F213" s="169"/>
      <c r="G213" s="169"/>
      <c r="H213" s="106">
        <f>SUM(H209:H212)</f>
        <v>26.186112000000001</v>
      </c>
      <c r="I213" s="103" t="s">
        <v>89</v>
      </c>
      <c r="J213" s="117">
        <f>ROUND((H213),2)</f>
        <v>26.19</v>
      </c>
      <c r="K213" s="151"/>
      <c r="L213" s="88"/>
      <c r="M213" s="88"/>
      <c r="N213" s="88"/>
      <c r="O213" s="90"/>
      <c r="P213" s="90"/>
      <c r="Q213" s="90"/>
    </row>
    <row r="214" spans="1:17" ht="15.75" customHeight="1">
      <c r="A214" s="104">
        <f>A208+1</f>
        <v>11</v>
      </c>
      <c r="B214" s="121" t="s">
        <v>200</v>
      </c>
      <c r="C214" s="169"/>
      <c r="D214" s="169"/>
      <c r="E214" s="169"/>
      <c r="F214" s="169"/>
      <c r="G214" s="169"/>
      <c r="H214" s="106"/>
      <c r="K214" s="151"/>
      <c r="L214" s="88"/>
      <c r="M214" s="88"/>
      <c r="N214" s="88"/>
      <c r="O214" s="90"/>
      <c r="P214" s="90"/>
      <c r="Q214" s="90"/>
    </row>
    <row r="215" spans="1:17" ht="15.75" customHeight="1">
      <c r="A215" s="104"/>
      <c r="B215" s="122" t="s">
        <v>201</v>
      </c>
      <c r="C215" s="169">
        <f>C209</f>
        <v>3</v>
      </c>
      <c r="D215" s="169"/>
      <c r="E215" s="169"/>
      <c r="F215" s="169"/>
      <c r="G215" s="169">
        <v>2</v>
      </c>
      <c r="H215" s="106">
        <f>C215*G215</f>
        <v>6</v>
      </c>
      <c r="K215" s="151"/>
      <c r="L215" s="88"/>
      <c r="M215" s="88"/>
      <c r="N215" s="88"/>
      <c r="O215" s="90"/>
      <c r="P215" s="90"/>
      <c r="Q215" s="90"/>
    </row>
    <row r="216" spans="1:17" ht="15.75" customHeight="1">
      <c r="A216" s="104"/>
      <c r="B216" s="122" t="s">
        <v>202</v>
      </c>
      <c r="C216" s="169">
        <f>C210</f>
        <v>3</v>
      </c>
      <c r="D216" s="169"/>
      <c r="E216" s="169"/>
      <c r="F216" s="169"/>
      <c r="G216" s="169">
        <v>3</v>
      </c>
      <c r="H216" s="106">
        <f>C216*G216</f>
        <v>9</v>
      </c>
      <c r="K216" s="151"/>
      <c r="L216" s="88"/>
      <c r="M216" s="88"/>
      <c r="N216" s="88"/>
      <c r="O216" s="90"/>
      <c r="P216" s="90"/>
      <c r="Q216" s="90"/>
    </row>
    <row r="217" spans="1:17" ht="15.75" customHeight="1">
      <c r="A217" s="104"/>
      <c r="B217" s="121"/>
      <c r="C217" s="169"/>
      <c r="D217" s="169"/>
      <c r="E217" s="169"/>
      <c r="F217" s="169"/>
      <c r="G217" s="169"/>
      <c r="H217" s="200">
        <f>SUM(H215:H216)</f>
        <v>15</v>
      </c>
      <c r="J217" s="117">
        <f>ROUND((H217),2)</f>
        <v>15</v>
      </c>
      <c r="K217" s="151"/>
      <c r="L217" s="88"/>
      <c r="M217" s="88"/>
      <c r="N217" s="88"/>
      <c r="O217" s="90"/>
      <c r="P217" s="90"/>
      <c r="Q217" s="90"/>
    </row>
    <row r="218" spans="1:17" ht="15.75" customHeight="1">
      <c r="A218" s="104"/>
      <c r="B218" s="121" t="s">
        <v>203</v>
      </c>
      <c r="C218" s="107">
        <f>J217</f>
        <v>15</v>
      </c>
      <c r="D218" s="107">
        <f>0.1+0.12</f>
        <v>0.22</v>
      </c>
      <c r="E218" s="107"/>
      <c r="F218" s="107"/>
      <c r="G218" s="106">
        <v>2</v>
      </c>
      <c r="H218" s="106">
        <f>G218*D218*C218</f>
        <v>6.6</v>
      </c>
      <c r="I218" s="103" t="s">
        <v>89</v>
      </c>
      <c r="J218" s="117">
        <f>ROUND((H218),2)</f>
        <v>6.6</v>
      </c>
      <c r="K218" s="151"/>
      <c r="L218" s="88"/>
      <c r="M218" s="88"/>
      <c r="N218" s="88"/>
      <c r="O218" s="90"/>
      <c r="P218" s="90"/>
      <c r="Q218" s="90"/>
    </row>
    <row r="219" spans="1:17" ht="15.75" customHeight="1">
      <c r="A219" s="104"/>
      <c r="B219" s="121"/>
      <c r="C219" s="107"/>
      <c r="D219" s="107"/>
      <c r="E219" s="106" t="s">
        <v>133</v>
      </c>
      <c r="F219" s="107"/>
      <c r="G219" s="106"/>
      <c r="H219" s="106"/>
      <c r="I219" s="103"/>
      <c r="J219" s="117"/>
      <c r="K219" s="151"/>
      <c r="L219" s="88"/>
      <c r="M219" s="88"/>
      <c r="N219" s="88"/>
      <c r="O219" s="90"/>
      <c r="P219" s="90"/>
      <c r="Q219" s="90"/>
    </row>
    <row r="220" spans="1:17" ht="15.75" customHeight="1">
      <c r="A220" s="104"/>
      <c r="B220" s="121" t="s">
        <v>204</v>
      </c>
      <c r="C220" s="107">
        <f>C218</f>
        <v>15</v>
      </c>
      <c r="D220" s="107"/>
      <c r="E220" s="166">
        <v>0.62</v>
      </c>
      <c r="F220" s="107">
        <v>4</v>
      </c>
      <c r="G220" s="106">
        <v>2</v>
      </c>
      <c r="H220" s="106">
        <f>C220*E220*F220*G220</f>
        <v>74.400000000000006</v>
      </c>
      <c r="I220" s="103" t="s">
        <v>100</v>
      </c>
      <c r="J220" s="117">
        <f>ROUND((H220),2)</f>
        <v>74.400000000000006</v>
      </c>
      <c r="K220" s="151"/>
      <c r="L220" s="88"/>
      <c r="M220" s="88"/>
      <c r="N220" s="88"/>
      <c r="O220" s="90"/>
      <c r="P220" s="90"/>
      <c r="Q220" s="90"/>
    </row>
    <row r="221" spans="1:17" ht="15.75" customHeight="1">
      <c r="A221" s="104"/>
      <c r="B221" s="121" t="s">
        <v>205</v>
      </c>
      <c r="C221" s="107">
        <f>0.08*4+0.05</f>
        <v>0.37</v>
      </c>
      <c r="D221" s="107"/>
      <c r="E221" s="107">
        <v>0.22</v>
      </c>
      <c r="F221" s="107">
        <f>C220/0.1</f>
        <v>150</v>
      </c>
      <c r="G221" s="107">
        <v>2</v>
      </c>
      <c r="H221" s="106">
        <f>C221*E221*F221*G221</f>
        <v>24.42</v>
      </c>
      <c r="I221" s="103" t="s">
        <v>100</v>
      </c>
      <c r="J221" s="117">
        <f>ROUND((H221),2)</f>
        <v>24.42</v>
      </c>
      <c r="K221" s="151"/>
      <c r="L221" s="88"/>
      <c r="M221" s="88"/>
      <c r="N221" s="88"/>
      <c r="O221" s="90"/>
      <c r="P221" s="90"/>
      <c r="Q221" s="90"/>
    </row>
    <row r="222" spans="1:17" ht="15.75" customHeight="1">
      <c r="A222" s="104"/>
      <c r="B222" s="121"/>
      <c r="C222" s="107"/>
      <c r="D222" s="107"/>
      <c r="E222" s="107"/>
      <c r="F222" s="107"/>
      <c r="G222" s="107"/>
      <c r="H222" s="200">
        <f>SUM(H220:H221)</f>
        <v>98.820000000000007</v>
      </c>
      <c r="I222" s="88" t="s">
        <v>100</v>
      </c>
      <c r="J222" s="117"/>
      <c r="K222" s="151"/>
      <c r="L222" s="88"/>
      <c r="M222" s="88"/>
      <c r="N222" s="88"/>
      <c r="O222" s="90"/>
      <c r="P222" s="90"/>
      <c r="Q222" s="90"/>
    </row>
    <row r="223" spans="1:17" ht="15.75" customHeight="1">
      <c r="A223" s="104"/>
      <c r="B223" s="121" t="s">
        <v>206</v>
      </c>
      <c r="C223" s="107">
        <f>C218</f>
        <v>15</v>
      </c>
      <c r="D223" s="107">
        <f>(0.2+0.125)/2</f>
        <v>0.16250000000000001</v>
      </c>
      <c r="E223" s="107">
        <v>0.1</v>
      </c>
      <c r="F223" s="107"/>
      <c r="G223" s="106">
        <v>1</v>
      </c>
      <c r="H223" s="106">
        <f>C223*D223*E223*G223</f>
        <v>0.24375000000000002</v>
      </c>
      <c r="I223" s="116" t="s">
        <v>103</v>
      </c>
      <c r="J223" s="117">
        <f>ROUND((H223),2)</f>
        <v>0.24</v>
      </c>
      <c r="K223" s="151"/>
      <c r="L223" s="88"/>
      <c r="M223" s="88"/>
      <c r="N223" s="88"/>
      <c r="O223" s="90"/>
      <c r="P223" s="90"/>
      <c r="Q223" s="90"/>
    </row>
    <row r="224" spans="1:17" ht="15.75" customHeight="1">
      <c r="A224" s="104">
        <f>A214+1</f>
        <v>12</v>
      </c>
      <c r="B224" s="121" t="s">
        <v>207</v>
      </c>
      <c r="C224" s="107">
        <f>C223</f>
        <v>15</v>
      </c>
      <c r="D224" s="107">
        <f>0.2+0.125+0.12</f>
        <v>0.44500000000000001</v>
      </c>
      <c r="E224" s="107"/>
      <c r="F224" s="107"/>
      <c r="G224" s="106">
        <v>2</v>
      </c>
      <c r="H224" s="106">
        <f>C224*D224*G224</f>
        <v>13.35</v>
      </c>
      <c r="I224" s="103" t="s">
        <v>89</v>
      </c>
      <c r="J224" s="117">
        <f>ROUND((H224),2)</f>
        <v>13.35</v>
      </c>
      <c r="K224" s="151"/>
      <c r="L224" s="88"/>
      <c r="M224" s="88"/>
      <c r="N224" s="88"/>
      <c r="O224" s="90"/>
      <c r="P224" s="90"/>
      <c r="Q224" s="90"/>
    </row>
    <row r="225" spans="1:17" ht="15.75" customHeight="1">
      <c r="A225" s="201">
        <v>9</v>
      </c>
      <c r="B225" s="118" t="s">
        <v>208</v>
      </c>
      <c r="C225" s="107"/>
      <c r="D225" s="107"/>
      <c r="E225" s="107"/>
      <c r="F225" s="107"/>
      <c r="G225" s="106"/>
      <c r="H225" s="106"/>
      <c r="I225" s="103"/>
      <c r="J225" s="117"/>
      <c r="K225" s="151"/>
      <c r="L225" s="88"/>
      <c r="M225" s="88"/>
      <c r="N225" s="88"/>
      <c r="O225" s="90"/>
      <c r="P225" s="90"/>
      <c r="Q225" s="90"/>
    </row>
    <row r="226" spans="1:17" ht="15.75" customHeight="1">
      <c r="A226" s="202" t="s">
        <v>209</v>
      </c>
      <c r="B226" s="118" t="s">
        <v>210</v>
      </c>
      <c r="C226" s="107"/>
      <c r="D226" s="107"/>
      <c r="E226" s="107"/>
      <c r="F226" s="107"/>
      <c r="G226" s="106"/>
      <c r="H226" s="106"/>
      <c r="I226" s="103"/>
      <c r="J226" s="117"/>
      <c r="K226" s="151"/>
      <c r="L226" s="88"/>
      <c r="M226" s="88"/>
      <c r="N226" s="88"/>
      <c r="O226" s="90"/>
      <c r="P226" s="90"/>
      <c r="Q226" s="90"/>
    </row>
    <row r="227" spans="1:17" ht="15.75" customHeight="1">
      <c r="A227" s="203" t="s">
        <v>95</v>
      </c>
      <c r="B227" s="118" t="s">
        <v>211</v>
      </c>
      <c r="C227" s="107">
        <v>4.75</v>
      </c>
      <c r="D227" s="107">
        <v>1.65</v>
      </c>
      <c r="E227" s="107"/>
      <c r="F227" s="107"/>
      <c r="G227" s="106">
        <v>2</v>
      </c>
      <c r="H227" s="106">
        <f>C227*D227*G227</f>
        <v>15.674999999999999</v>
      </c>
      <c r="I227" s="103" t="s">
        <v>89</v>
      </c>
      <c r="J227" s="117">
        <f>ROUND((H227),2)</f>
        <v>15.68</v>
      </c>
      <c r="K227" s="151"/>
      <c r="L227" s="88"/>
      <c r="M227" s="88"/>
      <c r="N227" s="88"/>
      <c r="O227" s="90"/>
      <c r="P227" s="90"/>
      <c r="Q227" s="90"/>
    </row>
    <row r="228" spans="1:17" ht="15.75" customHeight="1">
      <c r="A228" s="203"/>
      <c r="B228" s="118"/>
      <c r="C228" s="133" t="s">
        <v>212</v>
      </c>
      <c r="D228" s="133" t="s">
        <v>213</v>
      </c>
      <c r="E228" s="133" t="s">
        <v>214</v>
      </c>
      <c r="F228" s="107"/>
      <c r="G228" s="106"/>
      <c r="H228" s="106"/>
      <c r="I228" s="103"/>
      <c r="J228" s="117"/>
      <c r="K228" s="151"/>
      <c r="L228" s="88"/>
      <c r="M228" s="88"/>
      <c r="N228" s="88"/>
      <c r="O228" s="90"/>
      <c r="P228" s="90"/>
      <c r="Q228" s="90"/>
    </row>
    <row r="229" spans="1:17" ht="15.75" customHeight="1">
      <c r="A229" s="203" t="s">
        <v>98</v>
      </c>
      <c r="B229" s="118" t="s">
        <v>215</v>
      </c>
      <c r="C229" s="107">
        <f>1.55+0.05*2</f>
        <v>1.6500000000000001</v>
      </c>
      <c r="D229" s="107">
        <v>1.58</v>
      </c>
      <c r="E229" s="107">
        <v>2</v>
      </c>
      <c r="F229" s="107">
        <f>ROUNDUP((C227/0.15),0.1)+1</f>
        <v>33</v>
      </c>
      <c r="G229" s="106">
        <f>G227</f>
        <v>2</v>
      </c>
      <c r="H229" s="106">
        <f>C229*D229*E229*F229*G229</f>
        <v>344.12400000000002</v>
      </c>
      <c r="I229" s="103" t="s">
        <v>100</v>
      </c>
      <c r="J229" s="117">
        <f>ROUND((H229),2)</f>
        <v>344.12</v>
      </c>
      <c r="K229" s="151"/>
      <c r="L229" s="88"/>
      <c r="M229" s="88"/>
      <c r="N229" s="88"/>
      <c r="O229" s="90"/>
      <c r="P229" s="90"/>
      <c r="Q229" s="90"/>
    </row>
    <row r="230" spans="1:17" ht="15.75" customHeight="1">
      <c r="A230" s="203" t="s">
        <v>101</v>
      </c>
      <c r="B230" s="118" t="s">
        <v>216</v>
      </c>
      <c r="C230" s="107">
        <f>C227</f>
        <v>4.75</v>
      </c>
      <c r="D230" s="107">
        <v>1.04</v>
      </c>
      <c r="E230" s="107">
        <v>2</v>
      </c>
      <c r="F230" s="107">
        <f>ROUNDUP((D227/0.15),0.1)+1</f>
        <v>12</v>
      </c>
      <c r="G230" s="106">
        <f>G229</f>
        <v>2</v>
      </c>
      <c r="H230" s="106">
        <f>C230*D230*E230*F230*G230</f>
        <v>237.12</v>
      </c>
      <c r="I230" s="103" t="s">
        <v>100</v>
      </c>
      <c r="J230" s="117">
        <f>ROUND((H230),2)</f>
        <v>237.12</v>
      </c>
      <c r="K230" s="151"/>
      <c r="L230" s="88"/>
      <c r="M230" s="88"/>
      <c r="N230" s="88"/>
      <c r="O230" s="90"/>
      <c r="P230" s="90"/>
      <c r="Q230" s="90"/>
    </row>
    <row r="231" spans="1:17" ht="15.75" customHeight="1">
      <c r="A231" s="203" t="s">
        <v>121</v>
      </c>
      <c r="B231" s="118" t="s">
        <v>102</v>
      </c>
      <c r="C231" s="107">
        <f>C230</f>
        <v>4.75</v>
      </c>
      <c r="D231" s="107">
        <f>C229</f>
        <v>1.6500000000000001</v>
      </c>
      <c r="E231" s="107">
        <v>0.15</v>
      </c>
      <c r="F231" s="107"/>
      <c r="G231" s="106">
        <f>G230</f>
        <v>2</v>
      </c>
      <c r="H231" s="106">
        <f>C231*D231*E231*G231</f>
        <v>2.3512499999999998</v>
      </c>
      <c r="I231" s="103" t="s">
        <v>103</v>
      </c>
      <c r="J231" s="117">
        <f>ROUND((H231),2)</f>
        <v>2.35</v>
      </c>
      <c r="K231" s="151"/>
      <c r="L231" s="88"/>
      <c r="M231" s="88"/>
      <c r="N231" s="88"/>
      <c r="O231" s="90"/>
      <c r="P231" s="90"/>
      <c r="Q231" s="90"/>
    </row>
    <row r="232" spans="1:17" ht="15.75" customHeight="1">
      <c r="A232" s="203" t="s">
        <v>142</v>
      </c>
      <c r="B232" s="118" t="s">
        <v>143</v>
      </c>
      <c r="C232" s="107"/>
      <c r="D232" s="107"/>
      <c r="E232" s="107"/>
      <c r="F232" s="107"/>
      <c r="G232" s="106"/>
      <c r="H232" s="106">
        <f>H231</f>
        <v>2.3512499999999998</v>
      </c>
      <c r="I232" s="103" t="s">
        <v>103</v>
      </c>
      <c r="J232" s="117">
        <f>ROUND((H232),2)</f>
        <v>2.35</v>
      </c>
      <c r="K232" s="151"/>
      <c r="L232" s="88"/>
      <c r="M232" s="88"/>
      <c r="N232" s="88"/>
      <c r="O232" s="90"/>
      <c r="P232" s="90"/>
      <c r="Q232" s="90"/>
    </row>
    <row r="233" spans="1:17" ht="15.75" customHeight="1">
      <c r="A233" s="203" t="s">
        <v>217</v>
      </c>
      <c r="B233" s="118" t="s">
        <v>218</v>
      </c>
      <c r="C233" s="107"/>
      <c r="D233" s="107"/>
      <c r="E233" s="107"/>
      <c r="F233" s="107"/>
      <c r="G233" s="106"/>
      <c r="H233" s="106">
        <f>H232</f>
        <v>2.3512499999999998</v>
      </c>
      <c r="I233" s="103" t="s">
        <v>103</v>
      </c>
      <c r="J233" s="117">
        <f>ROUND((H233),2)</f>
        <v>2.35</v>
      </c>
      <c r="K233" s="151"/>
      <c r="L233" s="88"/>
      <c r="M233" s="88"/>
      <c r="N233" s="88"/>
      <c r="O233" s="90"/>
      <c r="P233" s="90"/>
      <c r="Q233" s="90"/>
    </row>
    <row r="234" spans="1:17" ht="15.75" customHeight="1">
      <c r="A234" s="202" t="s">
        <v>219</v>
      </c>
      <c r="B234" s="118" t="s">
        <v>220</v>
      </c>
      <c r="C234" s="107"/>
      <c r="D234" s="107"/>
      <c r="E234" s="107"/>
      <c r="F234" s="107"/>
      <c r="G234" s="106"/>
      <c r="H234" s="106"/>
      <c r="I234" s="103"/>
      <c r="J234" s="117"/>
      <c r="K234" s="151"/>
      <c r="L234" s="88"/>
      <c r="M234" s="88"/>
      <c r="N234" s="88"/>
      <c r="O234" s="90"/>
      <c r="P234" s="90"/>
      <c r="Q234" s="90"/>
    </row>
    <row r="235" spans="1:17" ht="15.75" customHeight="1">
      <c r="A235" s="203" t="s">
        <v>95</v>
      </c>
      <c r="B235" s="118" t="s">
        <v>221</v>
      </c>
      <c r="C235" s="107" t="s">
        <v>222</v>
      </c>
      <c r="D235" s="107"/>
      <c r="E235" s="107"/>
      <c r="F235" s="133" t="s">
        <v>107</v>
      </c>
      <c r="G235" s="106"/>
      <c r="H235" s="106"/>
      <c r="I235" s="103"/>
      <c r="J235" s="117"/>
      <c r="K235" s="151"/>
      <c r="L235" s="88"/>
      <c r="M235" s="88"/>
      <c r="N235" s="88"/>
      <c r="O235" s="90"/>
      <c r="P235" s="90"/>
      <c r="Q235" s="90"/>
    </row>
    <row r="236" spans="1:17" ht="15.75" customHeight="1">
      <c r="A236" s="203"/>
      <c r="B236" s="135" t="s">
        <v>223</v>
      </c>
      <c r="C236" s="107">
        <v>0.5</v>
      </c>
      <c r="D236" s="107">
        <v>0.3</v>
      </c>
      <c r="E236" s="107">
        <v>0.18</v>
      </c>
      <c r="F236" s="107">
        <v>2</v>
      </c>
      <c r="G236" s="106">
        <f>14*2</f>
        <v>28</v>
      </c>
      <c r="H236" s="106">
        <f>C236*D236*E236*F236*G236</f>
        <v>1.512</v>
      </c>
      <c r="I236" s="103"/>
      <c r="J236" s="117"/>
      <c r="K236" s="151"/>
      <c r="L236" s="88"/>
      <c r="M236" s="88"/>
      <c r="N236" s="88"/>
      <c r="O236" s="90"/>
      <c r="P236" s="90"/>
      <c r="Q236" s="90"/>
    </row>
    <row r="237" spans="1:17" ht="15.75" customHeight="1">
      <c r="A237" s="203"/>
      <c r="B237" s="135" t="s">
        <v>224</v>
      </c>
      <c r="C237" s="107">
        <v>1.65</v>
      </c>
      <c r="D237" s="107"/>
      <c r="E237" s="107">
        <f>E236</f>
        <v>0.18</v>
      </c>
      <c r="F237" s="107"/>
      <c r="G237" s="106">
        <f>G236</f>
        <v>28</v>
      </c>
      <c r="H237" s="147">
        <f>C237*E237*G237</f>
        <v>8.3159999999999989</v>
      </c>
      <c r="I237" s="103"/>
      <c r="J237" s="117"/>
      <c r="K237" s="151"/>
      <c r="L237" s="88"/>
      <c r="M237" s="88"/>
      <c r="N237" s="88"/>
      <c r="O237" s="90"/>
      <c r="P237" s="90"/>
      <c r="Q237" s="90"/>
    </row>
    <row r="238" spans="1:17" ht="15.75" customHeight="1">
      <c r="A238" s="203"/>
      <c r="B238" s="118"/>
      <c r="C238" s="107"/>
      <c r="D238" s="107"/>
      <c r="E238" s="107"/>
      <c r="F238" s="107"/>
      <c r="G238" s="106"/>
      <c r="H238" s="106">
        <f>SUM(H236:H237)</f>
        <v>9.8279999999999994</v>
      </c>
      <c r="I238" s="103" t="s">
        <v>89</v>
      </c>
      <c r="J238" s="117">
        <f>ROUND((H238),2)</f>
        <v>9.83</v>
      </c>
      <c r="K238" s="151"/>
      <c r="L238" s="88"/>
      <c r="M238" s="88"/>
      <c r="N238" s="88"/>
      <c r="O238" s="90"/>
      <c r="P238" s="90"/>
      <c r="Q238" s="90"/>
    </row>
    <row r="239" spans="1:17" ht="15.75" customHeight="1">
      <c r="A239" s="203" t="s">
        <v>98</v>
      </c>
      <c r="B239" s="118" t="s">
        <v>225</v>
      </c>
      <c r="C239" s="107"/>
      <c r="D239" s="107"/>
      <c r="E239" s="107"/>
      <c r="F239" s="133" t="s">
        <v>213</v>
      </c>
      <c r="G239" s="106"/>
      <c r="H239" s="106"/>
      <c r="I239" s="103"/>
      <c r="J239" s="117"/>
      <c r="K239" s="151"/>
      <c r="L239" s="88"/>
      <c r="M239" s="88"/>
      <c r="N239" s="88"/>
      <c r="O239" s="90"/>
      <c r="P239" s="90"/>
      <c r="Q239" s="90"/>
    </row>
    <row r="240" spans="1:17" ht="15.75" customHeight="1">
      <c r="A240" s="203"/>
      <c r="B240" s="135" t="s">
        <v>226</v>
      </c>
      <c r="C240" s="107">
        <v>1.55</v>
      </c>
      <c r="D240" s="107"/>
      <c r="E240" s="107"/>
      <c r="F240" s="107">
        <f>8*8*0.006165</f>
        <v>0.39456000000000002</v>
      </c>
      <c r="G240" s="106">
        <f>G237</f>
        <v>28</v>
      </c>
      <c r="H240" s="106">
        <f>C240*F240*G240</f>
        <v>17.123904</v>
      </c>
      <c r="I240" s="103"/>
      <c r="J240" s="117"/>
      <c r="K240" s="151"/>
      <c r="L240" s="88"/>
      <c r="M240" s="88"/>
      <c r="N240" s="88"/>
      <c r="O240" s="90"/>
      <c r="P240" s="90"/>
      <c r="Q240" s="90"/>
    </row>
    <row r="241" spans="1:17" ht="15.75" customHeight="1">
      <c r="A241" s="203"/>
      <c r="B241" s="135" t="s">
        <v>227</v>
      </c>
      <c r="C241" s="107">
        <v>0.35</v>
      </c>
      <c r="D241" s="107">
        <v>0.5</v>
      </c>
      <c r="E241" s="107">
        <v>11</v>
      </c>
      <c r="F241" s="107">
        <f>F240</f>
        <v>0.39456000000000002</v>
      </c>
      <c r="G241" s="106">
        <f>G240</f>
        <v>28</v>
      </c>
      <c r="H241" s="147">
        <f>(C241+D241)*E241*F241*G241</f>
        <v>103.29580799999999</v>
      </c>
      <c r="I241" s="103"/>
      <c r="J241" s="117"/>
      <c r="K241" s="151"/>
      <c r="L241" s="88"/>
      <c r="M241" s="88"/>
      <c r="N241" s="88"/>
      <c r="O241" s="90"/>
      <c r="P241" s="90"/>
      <c r="Q241" s="90"/>
    </row>
    <row r="242" spans="1:17" ht="15.75" customHeight="1">
      <c r="A242" s="203"/>
      <c r="B242" s="118"/>
      <c r="C242" s="107" t="s">
        <v>226</v>
      </c>
      <c r="D242" s="107" t="s">
        <v>227</v>
      </c>
      <c r="E242" s="107" t="s">
        <v>228</v>
      </c>
      <c r="F242" s="107"/>
      <c r="G242" s="106"/>
      <c r="H242" s="106">
        <f>SUM(H240:H241)</f>
        <v>120.41971199999999</v>
      </c>
      <c r="I242" s="103" t="s">
        <v>100</v>
      </c>
      <c r="J242" s="117">
        <f>ROUND((H242),2)</f>
        <v>120.42</v>
      </c>
      <c r="K242" s="151"/>
      <c r="L242" s="88"/>
      <c r="M242" s="88"/>
      <c r="N242" s="88"/>
      <c r="O242" s="90"/>
      <c r="P242" s="90"/>
      <c r="Q242" s="90"/>
    </row>
    <row r="243" spans="1:17" ht="15.75" customHeight="1">
      <c r="A243" s="203" t="s">
        <v>101</v>
      </c>
      <c r="B243" s="118" t="s">
        <v>102</v>
      </c>
      <c r="C243" s="107">
        <f>C237</f>
        <v>1.65</v>
      </c>
      <c r="D243" s="107">
        <f>D236</f>
        <v>0.3</v>
      </c>
      <c r="E243" s="107">
        <f>E236</f>
        <v>0.18</v>
      </c>
      <c r="F243" s="107">
        <v>0.5</v>
      </c>
      <c r="G243" s="106">
        <f>G241</f>
        <v>28</v>
      </c>
      <c r="H243" s="106">
        <f>C243*D243*E243*F243*G243</f>
        <v>1.2473999999999998</v>
      </c>
      <c r="I243" s="103" t="s">
        <v>103</v>
      </c>
      <c r="J243" s="117">
        <f>ROUND((H243),2)</f>
        <v>1.25</v>
      </c>
      <c r="K243" s="151"/>
      <c r="L243" s="88"/>
      <c r="M243" s="88"/>
      <c r="N243" s="88"/>
      <c r="O243" s="90"/>
      <c r="P243" s="90"/>
      <c r="Q243" s="90"/>
    </row>
    <row r="244" spans="1:17" ht="15.75" customHeight="1">
      <c r="A244" s="203" t="s">
        <v>121</v>
      </c>
      <c r="B244" s="118" t="s">
        <v>143</v>
      </c>
      <c r="C244" s="107"/>
      <c r="D244" s="107"/>
      <c r="E244" s="107"/>
      <c r="F244" s="107" t="s">
        <v>222</v>
      </c>
      <c r="G244" s="106"/>
      <c r="H244" s="106">
        <f>H243</f>
        <v>1.2473999999999998</v>
      </c>
      <c r="I244" s="103" t="s">
        <v>103</v>
      </c>
      <c r="J244" s="117">
        <f>ROUND((H244),2)</f>
        <v>1.25</v>
      </c>
      <c r="K244" s="151"/>
      <c r="L244" s="88"/>
      <c r="M244" s="88"/>
      <c r="N244" s="88"/>
      <c r="O244" s="90"/>
      <c r="P244" s="90"/>
      <c r="Q244" s="90"/>
    </row>
    <row r="245" spans="1:17" ht="15.75" customHeight="1">
      <c r="A245" s="203" t="s">
        <v>142</v>
      </c>
      <c r="B245" s="118" t="s">
        <v>218</v>
      </c>
      <c r="C245" s="107"/>
      <c r="D245" s="107"/>
      <c r="E245" s="107"/>
      <c r="F245" s="107"/>
      <c r="G245" s="106"/>
      <c r="H245" s="106">
        <f>H244</f>
        <v>1.2473999999999998</v>
      </c>
      <c r="I245" s="103" t="s">
        <v>103</v>
      </c>
      <c r="J245" s="117">
        <f>ROUND((H245),2)</f>
        <v>1.25</v>
      </c>
      <c r="K245" s="151"/>
      <c r="L245" s="88"/>
      <c r="M245" s="88"/>
      <c r="N245" s="88"/>
      <c r="O245" s="90"/>
      <c r="P245" s="90"/>
      <c r="Q245" s="90"/>
    </row>
    <row r="246" spans="1:17" ht="15.75" customHeight="1">
      <c r="A246" s="104"/>
      <c r="B246" s="118"/>
      <c r="C246" s="107"/>
      <c r="D246" s="107"/>
      <c r="E246" s="107"/>
      <c r="F246" s="107"/>
      <c r="G246" s="106"/>
      <c r="H246" s="106"/>
      <c r="I246" s="103"/>
      <c r="J246" s="117"/>
      <c r="K246" s="151"/>
      <c r="L246" s="88"/>
      <c r="M246" s="88"/>
      <c r="N246" s="88"/>
      <c r="O246" s="90"/>
      <c r="P246" s="90"/>
      <c r="Q246" s="90"/>
    </row>
    <row r="247" spans="1:17" ht="15.75" customHeight="1">
      <c r="A247" s="104"/>
      <c r="B247" s="118"/>
      <c r="C247" s="107"/>
      <c r="D247" s="107"/>
      <c r="E247" s="107"/>
      <c r="F247" s="107"/>
      <c r="G247" s="106"/>
      <c r="H247" s="106"/>
      <c r="I247" s="103"/>
      <c r="J247" s="117"/>
      <c r="K247" s="151"/>
      <c r="L247" s="88"/>
      <c r="M247" s="88"/>
      <c r="N247" s="88"/>
      <c r="O247" s="90"/>
      <c r="P247" s="90"/>
      <c r="Q247" s="90"/>
    </row>
    <row r="248" spans="1:17" ht="15.75" customHeight="1">
      <c r="A248" s="104"/>
      <c r="B248" s="118"/>
      <c r="C248" s="107"/>
      <c r="D248" s="107"/>
      <c r="E248" s="107"/>
      <c r="F248" s="107"/>
      <c r="G248" s="106"/>
      <c r="H248" s="106"/>
      <c r="I248" s="103"/>
      <c r="J248" s="117"/>
      <c r="K248" s="151"/>
      <c r="L248" s="88"/>
      <c r="M248" s="88"/>
      <c r="N248" s="88"/>
      <c r="O248" s="90"/>
      <c r="P248" s="90"/>
      <c r="Q248" s="90"/>
    </row>
    <row r="249" spans="1:17" ht="15.75" customHeight="1">
      <c r="A249" s="104"/>
      <c r="B249" s="118"/>
      <c r="C249" s="107"/>
      <c r="D249" s="107"/>
      <c r="E249" s="107"/>
      <c r="F249" s="107"/>
      <c r="G249" s="106"/>
      <c r="H249" s="106"/>
      <c r="I249" s="103"/>
      <c r="J249" s="117"/>
      <c r="K249" s="151"/>
      <c r="L249" s="88"/>
      <c r="M249" s="88"/>
      <c r="N249" s="88"/>
      <c r="O249" s="90"/>
      <c r="P249" s="90"/>
      <c r="Q249" s="90"/>
    </row>
    <row r="250" spans="1:17" ht="15.75" customHeight="1">
      <c r="A250" s="104"/>
      <c r="B250" s="118"/>
      <c r="C250" s="107"/>
      <c r="D250" s="107"/>
      <c r="E250" s="107"/>
      <c r="F250" s="107"/>
      <c r="G250" s="106"/>
      <c r="H250" s="106"/>
      <c r="I250" s="103"/>
      <c r="J250" s="117"/>
      <c r="K250" s="151"/>
      <c r="L250" s="88"/>
      <c r="M250" s="88"/>
      <c r="N250" s="88"/>
      <c r="O250" s="90"/>
      <c r="P250" s="90"/>
      <c r="Q250" s="90"/>
    </row>
    <row r="251" spans="1:17" ht="15.75" customHeight="1">
      <c r="A251" s="104"/>
      <c r="B251" s="118"/>
      <c r="C251" s="107"/>
      <c r="D251" s="107"/>
      <c r="E251" s="107"/>
      <c r="F251" s="107"/>
      <c r="G251" s="106"/>
      <c r="H251" s="106"/>
      <c r="I251" s="103"/>
      <c r="J251" s="117"/>
      <c r="K251" s="151"/>
      <c r="L251" s="88"/>
      <c r="M251" s="88"/>
      <c r="N251" s="88"/>
      <c r="O251" s="90"/>
      <c r="P251" s="90"/>
      <c r="Q251" s="90"/>
    </row>
    <row r="252" spans="1:17" ht="15.75" customHeight="1">
      <c r="A252" s="104"/>
      <c r="B252" s="118"/>
      <c r="C252" s="107"/>
      <c r="D252" s="107"/>
      <c r="E252" s="107"/>
      <c r="F252" s="107"/>
      <c r="G252" s="106"/>
      <c r="H252" s="106"/>
      <c r="I252" s="103"/>
      <c r="J252" s="117"/>
      <c r="K252" s="151"/>
      <c r="L252" s="88"/>
      <c r="M252" s="88"/>
      <c r="N252" s="88"/>
      <c r="O252" s="90"/>
      <c r="P252" s="90"/>
      <c r="Q252" s="90"/>
    </row>
    <row r="253" spans="1:17" ht="15.75" customHeight="1">
      <c r="A253" s="104"/>
      <c r="B253" s="118"/>
      <c r="C253" s="107"/>
      <c r="D253" s="107"/>
      <c r="E253" s="107"/>
      <c r="F253" s="107"/>
      <c r="G253" s="106"/>
      <c r="H253" s="106"/>
      <c r="I253" s="103"/>
      <c r="J253" s="117"/>
      <c r="K253" s="151"/>
      <c r="L253" s="88"/>
      <c r="M253" s="88"/>
      <c r="N253" s="88"/>
      <c r="O253" s="90"/>
      <c r="P253" s="90"/>
      <c r="Q253" s="90"/>
    </row>
    <row r="254" spans="1:17" ht="15.75" customHeight="1">
      <c r="A254" s="104"/>
      <c r="B254" s="118"/>
      <c r="C254" s="107"/>
      <c r="D254" s="107"/>
      <c r="E254" s="107"/>
      <c r="F254" s="107"/>
      <c r="G254" s="106"/>
      <c r="H254" s="106"/>
      <c r="I254" s="103"/>
      <c r="J254" s="117"/>
      <c r="K254" s="151"/>
      <c r="L254" s="88"/>
      <c r="M254" s="88"/>
      <c r="N254" s="88"/>
      <c r="O254" s="90"/>
      <c r="P254" s="90"/>
      <c r="Q254" s="90"/>
    </row>
    <row r="255" spans="1:17" ht="15.75" customHeight="1">
      <c r="A255" s="104"/>
      <c r="B255" s="118"/>
      <c r="C255" s="107"/>
      <c r="D255" s="107"/>
      <c r="E255" s="107"/>
      <c r="F255" s="107"/>
      <c r="G255" s="106"/>
      <c r="H255" s="106"/>
      <c r="I255" s="103"/>
      <c r="J255" s="117"/>
      <c r="K255" s="151"/>
      <c r="L255" s="88"/>
      <c r="M255" s="88"/>
      <c r="N255" s="88"/>
      <c r="O255" s="90"/>
      <c r="P255" s="90"/>
      <c r="Q255" s="90"/>
    </row>
    <row r="256" spans="1:17" ht="15.75" customHeight="1">
      <c r="A256" s="104"/>
      <c r="B256" s="118"/>
      <c r="C256" s="107"/>
      <c r="D256" s="107"/>
      <c r="E256" s="107"/>
      <c r="F256" s="107"/>
      <c r="G256" s="106"/>
      <c r="H256" s="106"/>
      <c r="I256" s="103"/>
      <c r="J256" s="117"/>
      <c r="K256" s="151"/>
      <c r="L256" s="88"/>
      <c r="M256" s="88"/>
      <c r="N256" s="88"/>
      <c r="O256" s="90"/>
      <c r="P256" s="90"/>
      <c r="Q256" s="90"/>
    </row>
    <row r="257" spans="1:19" ht="15.75" customHeight="1">
      <c r="A257" s="104"/>
      <c r="B257" s="118"/>
      <c r="C257" s="107"/>
      <c r="D257" s="107"/>
      <c r="E257" s="107"/>
      <c r="F257" s="107"/>
      <c r="G257" s="106"/>
      <c r="H257" s="106"/>
      <c r="I257" s="103"/>
      <c r="J257" s="117"/>
      <c r="K257" s="151"/>
      <c r="L257" s="88"/>
      <c r="M257" s="88"/>
      <c r="N257" s="88"/>
      <c r="O257" s="90"/>
      <c r="P257" s="90"/>
      <c r="Q257" s="90"/>
    </row>
    <row r="258" spans="1:19" ht="15.75" customHeight="1">
      <c r="A258" s="104"/>
      <c r="B258" s="118"/>
      <c r="C258" s="107"/>
      <c r="D258" s="107"/>
      <c r="E258" s="107"/>
      <c r="F258" s="107"/>
      <c r="G258" s="106"/>
      <c r="H258" s="106"/>
      <c r="I258" s="103"/>
      <c r="J258" s="117"/>
      <c r="K258" s="151"/>
      <c r="L258" s="88"/>
      <c r="M258" s="88"/>
      <c r="N258" s="88"/>
      <c r="O258" s="90"/>
      <c r="P258" s="90"/>
      <c r="Q258" s="90"/>
    </row>
    <row r="259" spans="1:19" ht="15.75" customHeight="1">
      <c r="A259" s="104"/>
      <c r="B259" s="118"/>
      <c r="C259" s="107"/>
      <c r="D259" s="107"/>
      <c r="E259" s="107"/>
      <c r="F259" s="107"/>
      <c r="G259" s="106"/>
      <c r="H259" s="106"/>
      <c r="I259" s="103"/>
      <c r="J259" s="117"/>
      <c r="K259" s="151"/>
      <c r="L259" s="88"/>
      <c r="M259" s="88"/>
      <c r="N259" s="88"/>
      <c r="O259" s="90"/>
      <c r="P259" s="90"/>
      <c r="Q259" s="90"/>
    </row>
    <row r="260" spans="1:19" ht="15.75" customHeight="1">
      <c r="A260" s="104"/>
      <c r="B260" s="118"/>
      <c r="C260" s="107"/>
      <c r="D260" s="107"/>
      <c r="E260" s="107"/>
      <c r="F260" s="107"/>
      <c r="G260" s="106"/>
      <c r="H260" s="106"/>
      <c r="I260" s="103"/>
      <c r="J260" s="117"/>
      <c r="K260" s="151"/>
      <c r="L260" s="88"/>
      <c r="M260" s="88"/>
      <c r="N260" s="88"/>
      <c r="O260" s="90"/>
      <c r="P260" s="90"/>
      <c r="Q260" s="90"/>
    </row>
    <row r="261" spans="1:19" ht="15.75" customHeight="1">
      <c r="A261" s="104"/>
      <c r="B261" s="118"/>
      <c r="C261" s="107"/>
      <c r="D261" s="107"/>
      <c r="E261" s="107"/>
      <c r="F261" s="107"/>
      <c r="G261" s="106"/>
      <c r="H261" s="106"/>
      <c r="I261" s="103"/>
      <c r="J261" s="117"/>
      <c r="K261" s="151"/>
      <c r="L261" s="88"/>
      <c r="M261" s="88"/>
      <c r="N261" s="88"/>
      <c r="O261" s="90"/>
      <c r="P261" s="90"/>
      <c r="Q261" s="90"/>
    </row>
    <row r="262" spans="1:19" ht="15.75" customHeight="1">
      <c r="A262" s="104"/>
      <c r="B262" s="118"/>
      <c r="C262" s="107"/>
      <c r="D262" s="107"/>
      <c r="E262" s="107"/>
      <c r="F262" s="107"/>
      <c r="G262" s="106"/>
      <c r="H262" s="106"/>
      <c r="I262" s="103"/>
      <c r="J262" s="117"/>
      <c r="K262" s="151"/>
      <c r="L262" s="88"/>
      <c r="M262" s="88"/>
      <c r="N262" s="88"/>
      <c r="O262" s="90"/>
      <c r="P262" s="90"/>
      <c r="Q262" s="90"/>
    </row>
    <row r="263" spans="1:19" ht="29.25" customHeight="1">
      <c r="A263" s="104">
        <f>A224+1</f>
        <v>13</v>
      </c>
      <c r="B263" s="204" t="s">
        <v>229</v>
      </c>
      <c r="C263" s="107"/>
      <c r="D263" s="107"/>
      <c r="E263" s="107"/>
      <c r="F263" s="107"/>
      <c r="G263" s="106"/>
      <c r="H263" s="106"/>
      <c r="I263" s="103"/>
      <c r="J263" s="117">
        <f>ROUND((H263),2)</f>
        <v>0</v>
      </c>
      <c r="K263" s="151"/>
      <c r="L263" s="88"/>
      <c r="M263" s="88"/>
      <c r="N263" s="88"/>
      <c r="O263" s="90"/>
      <c r="P263" s="90"/>
      <c r="Q263" s="90"/>
    </row>
    <row r="264" spans="1:19" ht="15.75" customHeight="1">
      <c r="A264" s="205" t="s">
        <v>95</v>
      </c>
      <c r="B264" s="206" t="s">
        <v>230</v>
      </c>
      <c r="C264" s="207"/>
      <c r="D264" s="207"/>
      <c r="E264" s="207"/>
      <c r="F264" s="207"/>
      <c r="G264" s="208"/>
      <c r="H264" s="208"/>
      <c r="I264" s="209"/>
      <c r="J264" s="117">
        <f>ROUND((H264),2)</f>
        <v>0</v>
      </c>
      <c r="K264" s="151"/>
      <c r="L264" s="88"/>
      <c r="M264" s="88"/>
      <c r="N264" s="88"/>
      <c r="O264" s="90"/>
      <c r="P264" s="90"/>
      <c r="Q264" s="90"/>
    </row>
    <row r="265" spans="1:19" ht="15.75" customHeight="1">
      <c r="A265" s="205"/>
      <c r="B265" s="206" t="s">
        <v>231</v>
      </c>
      <c r="C265" s="210">
        <f>R280</f>
        <v>15.185</v>
      </c>
      <c r="D265" s="210">
        <f>R273</f>
        <v>0.26500000000000001</v>
      </c>
      <c r="E265" s="210">
        <f>P284</f>
        <v>0.25</v>
      </c>
      <c r="F265" s="207" t="s">
        <v>232</v>
      </c>
      <c r="G265" s="208"/>
      <c r="H265" s="211">
        <f t="shared" ref="H265:H270" si="24">C265*D265*E265</f>
        <v>1.00600625</v>
      </c>
      <c r="I265" s="209"/>
      <c r="J265" s="117"/>
      <c r="K265" s="151"/>
      <c r="L265" s="88"/>
      <c r="M265" s="88"/>
      <c r="N265" s="88"/>
      <c r="O265" s="90"/>
      <c r="P265" s="90"/>
      <c r="Q265" s="90"/>
    </row>
    <row r="266" spans="1:19" ht="15.75" customHeight="1">
      <c r="A266" s="205"/>
      <c r="B266" s="206"/>
      <c r="C266" s="210">
        <f>C265</f>
        <v>15.185</v>
      </c>
      <c r="D266" s="210">
        <f>Q272</f>
        <v>0.26500000000000001</v>
      </c>
      <c r="E266" s="210">
        <f>O283</f>
        <v>0.55000000000000004</v>
      </c>
      <c r="F266" s="207" t="s">
        <v>233</v>
      </c>
      <c r="G266" s="208"/>
      <c r="H266" s="211">
        <f t="shared" si="24"/>
        <v>2.21321375</v>
      </c>
      <c r="I266" s="209"/>
      <c r="J266" s="117"/>
      <c r="K266" s="151"/>
      <c r="L266" s="88"/>
      <c r="M266" s="88"/>
      <c r="N266" s="88"/>
      <c r="O266" s="90"/>
      <c r="P266" s="90"/>
      <c r="Q266" s="90"/>
    </row>
    <row r="267" spans="1:19" ht="15.75" customHeight="1">
      <c r="A267" s="205"/>
      <c r="B267" s="206"/>
      <c r="C267" s="210">
        <f>C266</f>
        <v>15.185</v>
      </c>
      <c r="D267" s="210">
        <f>P271</f>
        <v>0.26500000000000001</v>
      </c>
      <c r="E267" s="210">
        <f>N282</f>
        <v>0.85000000000000009</v>
      </c>
      <c r="F267" s="207" t="s">
        <v>234</v>
      </c>
      <c r="G267" s="208"/>
      <c r="H267" s="211">
        <f t="shared" si="24"/>
        <v>3.4204212500000004</v>
      </c>
      <c r="I267" s="209"/>
      <c r="J267" s="117"/>
      <c r="K267" s="151"/>
      <c r="L267" s="88"/>
      <c r="M267" s="88"/>
      <c r="N267" s="88"/>
      <c r="O267" s="90"/>
      <c r="P267" s="90"/>
      <c r="Q267" s="90"/>
    </row>
    <row r="268" spans="1:19" ht="15.75" customHeight="1">
      <c r="A268" s="205"/>
      <c r="B268" s="206"/>
      <c r="C268" s="210">
        <f>C267</f>
        <v>15.185</v>
      </c>
      <c r="D268" s="210">
        <f>O270</f>
        <v>0.26500000000000001</v>
      </c>
      <c r="E268" s="210">
        <f>M281</f>
        <v>1.1500000000000001</v>
      </c>
      <c r="F268" s="207" t="s">
        <v>235</v>
      </c>
      <c r="G268" s="208"/>
      <c r="H268" s="211">
        <f t="shared" si="24"/>
        <v>4.6276287500000004</v>
      </c>
      <c r="I268" s="209"/>
      <c r="J268" s="212"/>
      <c r="K268" s="151"/>
      <c r="L268" s="88"/>
      <c r="M268" s="213">
        <f>N269</f>
        <v>0.26500000000000001</v>
      </c>
      <c r="N268" s="213"/>
      <c r="O268" s="214"/>
      <c r="P268" s="214"/>
      <c r="Q268" s="214"/>
      <c r="R268" s="215"/>
      <c r="S268" s="215"/>
    </row>
    <row r="269" spans="1:19" ht="15.75" customHeight="1">
      <c r="A269" s="205"/>
      <c r="B269" s="206"/>
      <c r="C269" s="210">
        <f>C268</f>
        <v>15.185</v>
      </c>
      <c r="D269" s="210">
        <f>N269</f>
        <v>0.26500000000000001</v>
      </c>
      <c r="E269" s="210">
        <f>L280</f>
        <v>1.4500000000000002</v>
      </c>
      <c r="F269" s="207" t="s">
        <v>236</v>
      </c>
      <c r="G269" s="208"/>
      <c r="H269" s="211">
        <f t="shared" si="24"/>
        <v>5.8348362500000004</v>
      </c>
      <c r="I269" s="209"/>
      <c r="J269" s="117"/>
      <c r="K269" s="151"/>
      <c r="L269" s="88"/>
      <c r="M269" s="216"/>
      <c r="N269" s="217">
        <f>O270</f>
        <v>0.26500000000000001</v>
      </c>
      <c r="O269" s="213"/>
      <c r="P269" s="214"/>
      <c r="Q269" s="214"/>
      <c r="R269" s="214"/>
      <c r="S269" s="215"/>
    </row>
    <row r="270" spans="1:19" ht="15.75" customHeight="1">
      <c r="A270" s="205"/>
      <c r="B270" s="206"/>
      <c r="C270" s="210">
        <f>C269</f>
        <v>15.185</v>
      </c>
      <c r="D270" s="210">
        <f>M268</f>
        <v>0.26500000000000001</v>
      </c>
      <c r="E270" s="210">
        <f>K279</f>
        <v>1.7500000000000002</v>
      </c>
      <c r="F270" s="207" t="s">
        <v>237</v>
      </c>
      <c r="G270" s="208"/>
      <c r="H270" s="211">
        <f t="shared" si="24"/>
        <v>7.0420437500000013</v>
      </c>
      <c r="I270" s="209"/>
      <c r="J270" s="117"/>
      <c r="K270" s="151"/>
      <c r="L270" s="88"/>
      <c r="M270" s="213"/>
      <c r="N270" s="216"/>
      <c r="O270" s="217">
        <f>P271</f>
        <v>0.26500000000000001</v>
      </c>
      <c r="P270" s="214"/>
      <c r="Q270" s="214"/>
      <c r="R270" s="214"/>
      <c r="S270" s="215"/>
    </row>
    <row r="271" spans="1:19" ht="15.75" customHeight="1">
      <c r="A271" s="205"/>
      <c r="B271" s="206" t="s">
        <v>238</v>
      </c>
      <c r="C271" s="207"/>
      <c r="D271" s="210"/>
      <c r="E271" s="210"/>
      <c r="F271" s="207"/>
      <c r="G271" s="208"/>
      <c r="H271" s="211"/>
      <c r="I271" s="209"/>
      <c r="J271" s="117"/>
      <c r="K271" s="151"/>
      <c r="L271" s="88"/>
      <c r="M271" s="213"/>
      <c r="N271" s="213"/>
      <c r="O271" s="216"/>
      <c r="P271" s="217">
        <f>Q272</f>
        <v>0.26500000000000001</v>
      </c>
      <c r="Q271" s="214"/>
      <c r="R271" s="214"/>
      <c r="S271" s="215"/>
    </row>
    <row r="272" spans="1:19" ht="15.75" customHeight="1">
      <c r="A272" s="205"/>
      <c r="B272" s="206"/>
      <c r="C272" s="207">
        <f>1.5-0.05</f>
        <v>1.45</v>
      </c>
      <c r="D272" s="210">
        <f>D270</f>
        <v>0.26500000000000001</v>
      </c>
      <c r="E272" s="210">
        <f>0.3-0.05</f>
        <v>0.25</v>
      </c>
      <c r="F272" s="207"/>
      <c r="G272" s="208"/>
      <c r="H272" s="211">
        <f>C272*D272*E272</f>
        <v>9.6062499999999995E-2</v>
      </c>
      <c r="I272" s="209"/>
      <c r="J272" s="117"/>
      <c r="K272" s="151"/>
      <c r="L272" s="88"/>
      <c r="M272" s="213"/>
      <c r="N272" s="213"/>
      <c r="O272" s="213"/>
      <c r="P272" s="216"/>
      <c r="Q272" s="218">
        <f>R273</f>
        <v>0.26500000000000001</v>
      </c>
      <c r="R272" s="214"/>
      <c r="S272" s="215"/>
    </row>
    <row r="273" spans="1:19" ht="15.75" customHeight="1">
      <c r="A273" s="205"/>
      <c r="B273" s="206"/>
      <c r="C273" s="207">
        <f t="shared" ref="C273:D275" si="25">C272</f>
        <v>1.45</v>
      </c>
      <c r="D273" s="210">
        <f t="shared" si="25"/>
        <v>0.26500000000000001</v>
      </c>
      <c r="E273" s="210">
        <f>0.6-0.05</f>
        <v>0.54999999999999993</v>
      </c>
      <c r="F273" s="207"/>
      <c r="G273" s="208"/>
      <c r="H273" s="211">
        <f>C273*D273*E273</f>
        <v>0.21133749999999996</v>
      </c>
      <c r="I273" s="209"/>
      <c r="J273" s="117"/>
      <c r="K273" s="151"/>
      <c r="L273" s="88"/>
      <c r="M273" s="213"/>
      <c r="N273" s="213"/>
      <c r="O273" s="213"/>
      <c r="P273" s="214"/>
      <c r="Q273" s="216"/>
      <c r="R273" s="217">
        <v>0.26500000000000001</v>
      </c>
      <c r="S273" s="215"/>
    </row>
    <row r="274" spans="1:19" ht="15.75" customHeight="1">
      <c r="A274" s="205"/>
      <c r="B274" s="206"/>
      <c r="C274" s="207">
        <f t="shared" si="25"/>
        <v>1.45</v>
      </c>
      <c r="D274" s="210">
        <f t="shared" si="25"/>
        <v>0.26500000000000001</v>
      </c>
      <c r="E274" s="210">
        <f>0.9-0.05</f>
        <v>0.85</v>
      </c>
      <c r="F274" s="207"/>
      <c r="G274" s="208"/>
      <c r="H274" s="211">
        <f>C274*D274*E274</f>
        <v>0.32661249999999997</v>
      </c>
      <c r="I274" s="209"/>
      <c r="J274" s="117"/>
      <c r="K274" s="151"/>
      <c r="L274" s="88"/>
      <c r="M274" s="213"/>
      <c r="N274" s="213"/>
      <c r="O274" s="213"/>
      <c r="P274" s="214"/>
      <c r="Q274" s="213"/>
      <c r="R274" s="219"/>
      <c r="S274" s="220"/>
    </row>
    <row r="275" spans="1:19" ht="15.75" customHeight="1">
      <c r="A275" s="205"/>
      <c r="B275" s="206"/>
      <c r="C275" s="207">
        <f t="shared" si="25"/>
        <v>1.45</v>
      </c>
      <c r="D275" s="210">
        <f t="shared" si="25"/>
        <v>0.26500000000000001</v>
      </c>
      <c r="E275" s="210">
        <f>1.2-0.05</f>
        <v>1.1499999999999999</v>
      </c>
      <c r="F275" s="207"/>
      <c r="G275" s="208"/>
      <c r="H275" s="221">
        <f>C275*D275*E275</f>
        <v>0.44188749999999993</v>
      </c>
      <c r="I275" s="209"/>
      <c r="J275" s="117"/>
      <c r="K275" s="151"/>
      <c r="L275" s="88"/>
      <c r="M275" s="88"/>
      <c r="N275" s="88"/>
      <c r="O275" s="90"/>
      <c r="P275" s="90"/>
      <c r="Q275" s="90"/>
    </row>
    <row r="276" spans="1:19" ht="15.75" customHeight="1">
      <c r="A276" s="205"/>
      <c r="B276" s="206"/>
      <c r="C276" s="207"/>
      <c r="D276" s="210"/>
      <c r="E276" s="210"/>
      <c r="F276" s="207"/>
      <c r="G276" s="208"/>
      <c r="H276" s="222">
        <f>SUM(H265:H275)</f>
        <v>25.220049999999997</v>
      </c>
      <c r="I276" s="223" t="s">
        <v>103</v>
      </c>
      <c r="J276" s="117">
        <f>ROUND((H276),2)</f>
        <v>25.22</v>
      </c>
      <c r="K276" s="151"/>
      <c r="L276" s="88"/>
      <c r="M276" s="88"/>
      <c r="N276" s="88"/>
      <c r="O276" s="90"/>
      <c r="P276" s="90"/>
      <c r="Q276" s="90"/>
    </row>
    <row r="277" spans="1:19" ht="15.75" customHeight="1">
      <c r="A277" s="224" t="s">
        <v>98</v>
      </c>
      <c r="B277" s="225" t="s">
        <v>102</v>
      </c>
      <c r="C277" s="226"/>
      <c r="D277" s="227"/>
      <c r="E277" s="227"/>
      <c r="F277" s="226"/>
      <c r="G277" s="228"/>
      <c r="H277" s="228"/>
      <c r="I277" s="229"/>
      <c r="J277" s="230"/>
      <c r="K277" s="151"/>
      <c r="L277" s="88"/>
      <c r="M277" s="88"/>
      <c r="N277" s="88"/>
      <c r="O277" s="90"/>
      <c r="P277" s="90"/>
      <c r="Q277" s="90"/>
    </row>
    <row r="278" spans="1:19" ht="15.75" customHeight="1">
      <c r="A278" s="231"/>
      <c r="B278" s="225" t="s">
        <v>239</v>
      </c>
      <c r="C278" s="226"/>
      <c r="D278" s="227"/>
      <c r="E278" s="227"/>
      <c r="F278" s="232" t="s">
        <v>107</v>
      </c>
      <c r="G278" s="233" t="s">
        <v>240</v>
      </c>
      <c r="H278" s="228"/>
      <c r="I278" s="229"/>
      <c r="J278" s="230"/>
      <c r="K278" s="234"/>
      <c r="L278" s="88"/>
      <c r="M278" s="88"/>
      <c r="N278" s="88"/>
      <c r="O278" s="90"/>
      <c r="P278" s="90"/>
      <c r="Q278" s="90"/>
    </row>
    <row r="279" spans="1:19" ht="15.75" customHeight="1">
      <c r="A279" s="231"/>
      <c r="B279" s="235" t="s">
        <v>241</v>
      </c>
      <c r="C279" s="226" t="s">
        <v>232</v>
      </c>
      <c r="D279" s="227">
        <f>D275</f>
        <v>0.26500000000000001</v>
      </c>
      <c r="E279" s="227">
        <f t="shared" ref="E279:E284" si="26">E265</f>
        <v>0.25</v>
      </c>
      <c r="F279" s="226">
        <v>2</v>
      </c>
      <c r="G279" s="236">
        <v>3.5000000000000003E-2</v>
      </c>
      <c r="H279" s="237">
        <f t="shared" ref="H279:H284" si="27">D279*E279*F279*G279</f>
        <v>4.637500000000001E-3</v>
      </c>
      <c r="I279" s="229"/>
      <c r="J279" s="230"/>
      <c r="K279" s="3186">
        <f>L280+0.3</f>
        <v>1.7500000000000002</v>
      </c>
      <c r="L279" s="213"/>
      <c r="M279" s="213"/>
      <c r="N279" s="214"/>
      <c r="O279" s="214"/>
      <c r="P279" s="214"/>
    </row>
    <row r="280" spans="1:19" ht="15.75" customHeight="1">
      <c r="A280" s="231"/>
      <c r="B280" s="225"/>
      <c r="C280" s="226" t="s">
        <v>233</v>
      </c>
      <c r="D280" s="227">
        <f t="shared" ref="D280:D286" si="28">D279</f>
        <v>0.26500000000000001</v>
      </c>
      <c r="E280" s="227">
        <f t="shared" si="26"/>
        <v>0.55000000000000004</v>
      </c>
      <c r="F280" s="226">
        <v>2</v>
      </c>
      <c r="G280" s="236">
        <f t="shared" ref="G280:G286" si="29">G279</f>
        <v>3.5000000000000003E-2</v>
      </c>
      <c r="H280" s="237">
        <f t="shared" si="27"/>
        <v>1.0202500000000001E-2</v>
      </c>
      <c r="I280" s="229"/>
      <c r="J280" s="230"/>
      <c r="K280" s="3186"/>
      <c r="L280" s="3186">
        <f>M281+0.3</f>
        <v>1.4500000000000002</v>
      </c>
      <c r="M280" s="213"/>
      <c r="N280" s="214"/>
      <c r="O280" s="214"/>
      <c r="P280" s="214"/>
      <c r="R280" s="87">
        <v>15.185</v>
      </c>
    </row>
    <row r="281" spans="1:19" ht="15.75" customHeight="1">
      <c r="A281" s="231"/>
      <c r="B281" s="225"/>
      <c r="C281" s="226" t="s">
        <v>234</v>
      </c>
      <c r="D281" s="227">
        <f t="shared" si="28"/>
        <v>0.26500000000000001</v>
      </c>
      <c r="E281" s="227">
        <f t="shared" si="26"/>
        <v>0.85000000000000009</v>
      </c>
      <c r="F281" s="226">
        <v>2</v>
      </c>
      <c r="G281" s="236">
        <f t="shared" si="29"/>
        <v>3.5000000000000003E-2</v>
      </c>
      <c r="H281" s="237">
        <f t="shared" si="27"/>
        <v>1.5767500000000004E-2</v>
      </c>
      <c r="I281" s="229"/>
      <c r="J281" s="230"/>
      <c r="K281" s="3186"/>
      <c r="L281" s="3186"/>
      <c r="M281" s="3186">
        <f>N282+0.3</f>
        <v>1.1500000000000001</v>
      </c>
      <c r="N281" s="213"/>
      <c r="O281" s="214"/>
      <c r="P281" s="214"/>
    </row>
    <row r="282" spans="1:19" ht="15.75" customHeight="1">
      <c r="A282" s="231"/>
      <c r="B282" s="225"/>
      <c r="C282" s="226" t="s">
        <v>235</v>
      </c>
      <c r="D282" s="227">
        <f t="shared" si="28"/>
        <v>0.26500000000000001</v>
      </c>
      <c r="E282" s="227">
        <f t="shared" si="26"/>
        <v>1.1500000000000001</v>
      </c>
      <c r="F282" s="226">
        <v>2</v>
      </c>
      <c r="G282" s="236">
        <f t="shared" si="29"/>
        <v>3.5000000000000003E-2</v>
      </c>
      <c r="H282" s="237">
        <f t="shared" si="27"/>
        <v>2.1332500000000008E-2</v>
      </c>
      <c r="I282" s="229"/>
      <c r="J282" s="230"/>
      <c r="K282" s="3186"/>
      <c r="L282" s="3186"/>
      <c r="M282" s="3186"/>
      <c r="N282" s="3186">
        <f>O283+0.3</f>
        <v>0.85000000000000009</v>
      </c>
      <c r="O282" s="214"/>
      <c r="P282" s="214"/>
    </row>
    <row r="283" spans="1:19" ht="15.75" customHeight="1">
      <c r="A283" s="231"/>
      <c r="B283" s="225"/>
      <c r="C283" s="226" t="s">
        <v>236</v>
      </c>
      <c r="D283" s="227">
        <f t="shared" si="28"/>
        <v>0.26500000000000001</v>
      </c>
      <c r="E283" s="227">
        <f t="shared" si="26"/>
        <v>1.4500000000000002</v>
      </c>
      <c r="F283" s="226">
        <v>2</v>
      </c>
      <c r="G283" s="236">
        <f t="shared" si="29"/>
        <v>3.5000000000000003E-2</v>
      </c>
      <c r="H283" s="237">
        <f t="shared" si="27"/>
        <v>2.6897500000000008E-2</v>
      </c>
      <c r="I283" s="229"/>
      <c r="J283" s="230"/>
      <c r="K283" s="3186"/>
      <c r="L283" s="3186"/>
      <c r="M283" s="3186"/>
      <c r="N283" s="3186"/>
      <c r="O283" s="3186">
        <f>P284+0.3</f>
        <v>0.55000000000000004</v>
      </c>
      <c r="P283" s="213"/>
    </row>
    <row r="284" spans="1:19" ht="15.75" customHeight="1">
      <c r="A284" s="231"/>
      <c r="B284" s="225"/>
      <c r="C284" s="226" t="s">
        <v>237</v>
      </c>
      <c r="D284" s="227">
        <f t="shared" si="28"/>
        <v>0.26500000000000001</v>
      </c>
      <c r="E284" s="227">
        <f t="shared" si="26"/>
        <v>1.7500000000000002</v>
      </c>
      <c r="F284" s="226">
        <v>2</v>
      </c>
      <c r="G284" s="236">
        <f t="shared" si="29"/>
        <v>3.5000000000000003E-2</v>
      </c>
      <c r="H284" s="237">
        <f t="shared" si="27"/>
        <v>3.2462500000000012E-2</v>
      </c>
      <c r="I284" s="229"/>
      <c r="J284" s="230"/>
      <c r="K284" s="3186"/>
      <c r="L284" s="3186"/>
      <c r="M284" s="3186"/>
      <c r="N284" s="3186"/>
      <c r="O284" s="3186"/>
      <c r="P284" s="238">
        <v>0.25</v>
      </c>
    </row>
    <row r="285" spans="1:19" ht="15.75" customHeight="1">
      <c r="A285" s="231"/>
      <c r="B285" s="235" t="s">
        <v>242</v>
      </c>
      <c r="C285" s="227">
        <f>C270</f>
        <v>15.185</v>
      </c>
      <c r="D285" s="227">
        <f t="shared" si="28"/>
        <v>0.26500000000000001</v>
      </c>
      <c r="E285" s="227"/>
      <c r="F285" s="226">
        <v>6</v>
      </c>
      <c r="G285" s="236">
        <f t="shared" si="29"/>
        <v>3.5000000000000003E-2</v>
      </c>
      <c r="H285" s="228">
        <f>C285*D285*F285*G285</f>
        <v>0.84504525000000008</v>
      </c>
      <c r="I285" s="229"/>
      <c r="J285" s="230"/>
      <c r="K285" s="239"/>
      <c r="L285" s="213"/>
      <c r="M285" s="213"/>
      <c r="N285" s="213"/>
      <c r="O285" s="214"/>
      <c r="P285" s="214"/>
      <c r="Q285" s="90"/>
    </row>
    <row r="286" spans="1:19" ht="15.75" customHeight="1">
      <c r="A286" s="231"/>
      <c r="B286" s="235" t="s">
        <v>243</v>
      </c>
      <c r="C286" s="227">
        <f>C285</f>
        <v>15.185</v>
      </c>
      <c r="D286" s="227">
        <f t="shared" si="28"/>
        <v>0.26500000000000001</v>
      </c>
      <c r="E286" s="227"/>
      <c r="F286" s="226">
        <v>6</v>
      </c>
      <c r="G286" s="236">
        <f t="shared" si="29"/>
        <v>3.5000000000000003E-2</v>
      </c>
      <c r="H286" s="228">
        <f>C286*D286*F286*G286</f>
        <v>0.84504525000000008</v>
      </c>
      <c r="I286" s="229"/>
      <c r="J286" s="230"/>
      <c r="K286" s="151"/>
      <c r="L286" s="88"/>
      <c r="M286" s="88"/>
      <c r="N286" s="88"/>
      <c r="O286" s="90"/>
      <c r="P286" s="90"/>
      <c r="Q286" s="90"/>
    </row>
    <row r="287" spans="1:19" ht="15.75" customHeight="1">
      <c r="A287" s="231"/>
      <c r="B287" s="225" t="s">
        <v>244</v>
      </c>
      <c r="C287" s="226"/>
      <c r="D287" s="227"/>
      <c r="E287" s="227"/>
      <c r="F287" s="226"/>
      <c r="G287" s="236"/>
      <c r="H287" s="228"/>
      <c r="I287" s="229"/>
      <c r="J287" s="230"/>
      <c r="K287" s="151"/>
      <c r="L287" s="88"/>
      <c r="M287" s="88"/>
      <c r="N287" s="88"/>
      <c r="O287" s="90"/>
      <c r="P287" s="90"/>
      <c r="Q287" s="90"/>
    </row>
    <row r="288" spans="1:19" ht="15.75" customHeight="1">
      <c r="A288" s="231"/>
      <c r="B288" s="235" t="s">
        <v>241</v>
      </c>
      <c r="C288" s="226"/>
      <c r="D288" s="227">
        <f>D286</f>
        <v>0.26500000000000001</v>
      </c>
      <c r="E288" s="227">
        <f>E272</f>
        <v>0.25</v>
      </c>
      <c r="F288" s="226">
        <v>2</v>
      </c>
      <c r="G288" s="236">
        <f>G286</f>
        <v>3.5000000000000003E-2</v>
      </c>
      <c r="H288" s="237">
        <f>D288*E288*F288*G288</f>
        <v>4.637500000000001E-3</v>
      </c>
      <c r="I288" s="229"/>
      <c r="J288" s="230"/>
      <c r="K288" s="151"/>
      <c r="L288" s="88"/>
      <c r="M288" s="88"/>
      <c r="N288" s="88"/>
      <c r="O288" s="90"/>
      <c r="P288" s="90"/>
      <c r="Q288" s="90"/>
    </row>
    <row r="289" spans="1:17" ht="15.75" customHeight="1">
      <c r="A289" s="231"/>
      <c r="B289" s="225"/>
      <c r="C289" s="226"/>
      <c r="D289" s="227">
        <f>D288</f>
        <v>0.26500000000000001</v>
      </c>
      <c r="E289" s="227">
        <f>E273</f>
        <v>0.54999999999999993</v>
      </c>
      <c r="F289" s="226">
        <v>2</v>
      </c>
      <c r="G289" s="236">
        <f>G288</f>
        <v>3.5000000000000003E-2</v>
      </c>
      <c r="H289" s="237">
        <f>D289*E289*F289*G289</f>
        <v>1.02025E-2</v>
      </c>
      <c r="I289" s="229"/>
      <c r="J289" s="230"/>
      <c r="K289" s="151"/>
      <c r="L289" s="88"/>
      <c r="M289" s="88"/>
      <c r="N289" s="88"/>
      <c r="O289" s="90"/>
      <c r="P289" s="90"/>
      <c r="Q289" s="90"/>
    </row>
    <row r="290" spans="1:17" ht="15.75" customHeight="1">
      <c r="A290" s="231"/>
      <c r="B290" s="225"/>
      <c r="C290" s="226"/>
      <c r="D290" s="227">
        <f>D289</f>
        <v>0.26500000000000001</v>
      </c>
      <c r="E290" s="227">
        <f>E274</f>
        <v>0.85</v>
      </c>
      <c r="F290" s="226">
        <v>2</v>
      </c>
      <c r="G290" s="236">
        <f>G289</f>
        <v>3.5000000000000003E-2</v>
      </c>
      <c r="H290" s="237">
        <f>D290*E290*F290*G290</f>
        <v>1.57675E-2</v>
      </c>
      <c r="I290" s="229"/>
      <c r="J290" s="240" t="e">
        <f>#VALUE!</f>
        <v>#VALUE!</v>
      </c>
      <c r="K290" s="151"/>
      <c r="L290" s="88"/>
      <c r="M290" s="88"/>
      <c r="N290" s="88"/>
      <c r="O290" s="90"/>
      <c r="P290" s="90"/>
      <c r="Q290" s="90"/>
    </row>
    <row r="291" spans="1:17" ht="15.75" customHeight="1">
      <c r="A291" s="231"/>
      <c r="B291" s="225"/>
      <c r="C291" s="226"/>
      <c r="D291" s="227">
        <f>D290</f>
        <v>0.26500000000000001</v>
      </c>
      <c r="E291" s="227">
        <f>E275</f>
        <v>1.1499999999999999</v>
      </c>
      <c r="F291" s="226">
        <v>2</v>
      </c>
      <c r="G291" s="236">
        <f>G290</f>
        <v>3.5000000000000003E-2</v>
      </c>
      <c r="H291" s="237">
        <f>D291*E291*F291*G291</f>
        <v>2.1332500000000001E-2</v>
      </c>
      <c r="I291" s="229"/>
      <c r="J291" s="230"/>
      <c r="K291" s="151"/>
      <c r="L291" s="88"/>
      <c r="M291" s="88"/>
      <c r="N291" s="88"/>
      <c r="O291" s="90"/>
      <c r="P291" s="90"/>
      <c r="Q291" s="90"/>
    </row>
    <row r="292" spans="1:17" ht="15.75" customHeight="1">
      <c r="A292" s="231"/>
      <c r="B292" s="235" t="s">
        <v>245</v>
      </c>
      <c r="C292" s="226">
        <f>1.5-0.05</f>
        <v>1.45</v>
      </c>
      <c r="D292" s="227">
        <f>D291</f>
        <v>0.26500000000000001</v>
      </c>
      <c r="E292" s="227"/>
      <c r="F292" s="226">
        <f>4</f>
        <v>4</v>
      </c>
      <c r="G292" s="236">
        <f>G291</f>
        <v>3.5000000000000003E-2</v>
      </c>
      <c r="H292" s="241">
        <f>C292*D292*F292*G292</f>
        <v>5.3795000000000003E-2</v>
      </c>
      <c r="I292" s="229"/>
      <c r="J292" s="230"/>
      <c r="K292" s="151"/>
      <c r="L292" s="88"/>
      <c r="M292" s="88"/>
      <c r="N292" s="88"/>
      <c r="O292" s="90"/>
      <c r="P292" s="90"/>
      <c r="Q292" s="90"/>
    </row>
    <row r="293" spans="1:17" ht="15.75" customHeight="1">
      <c r="A293" s="231"/>
      <c r="B293" s="235" t="s">
        <v>246</v>
      </c>
      <c r="C293" s="226">
        <f>1.5-0.05</f>
        <v>1.45</v>
      </c>
      <c r="D293" s="227">
        <f>D292</f>
        <v>0.26500000000000001</v>
      </c>
      <c r="E293" s="227"/>
      <c r="F293" s="226">
        <f>4</f>
        <v>4</v>
      </c>
      <c r="G293" s="236">
        <f>G292</f>
        <v>3.5000000000000003E-2</v>
      </c>
      <c r="H293" s="242">
        <f>C293*D293*F293*G293</f>
        <v>5.3795000000000003E-2</v>
      </c>
      <c r="I293" s="229"/>
      <c r="J293" s="230"/>
      <c r="K293" s="151"/>
      <c r="L293" s="88"/>
      <c r="M293" s="88"/>
      <c r="N293" s="88"/>
      <c r="O293" s="90"/>
      <c r="P293" s="90"/>
      <c r="Q293" s="90"/>
    </row>
    <row r="294" spans="1:17" ht="15.75" customHeight="1">
      <c r="A294" s="231"/>
      <c r="B294" s="225"/>
      <c r="C294" s="226"/>
      <c r="D294" s="227"/>
      <c r="E294" s="227"/>
      <c r="F294" s="226"/>
      <c r="G294" s="228"/>
      <c r="H294" s="243">
        <f>SUM(H279:H293)</f>
        <v>1.9609205000000001</v>
      </c>
      <c r="I294" s="244" t="s">
        <v>103</v>
      </c>
      <c r="J294" s="240">
        <f>ROUND((H294),2)</f>
        <v>1.96</v>
      </c>
      <c r="K294" s="151"/>
      <c r="L294" s="88"/>
      <c r="M294" s="88"/>
      <c r="N294" s="88"/>
      <c r="O294" s="90"/>
      <c r="P294" s="90"/>
      <c r="Q294" s="90"/>
    </row>
    <row r="295" spans="1:17" ht="15.75" customHeight="1">
      <c r="A295" s="104"/>
      <c r="B295" s="118"/>
      <c r="C295" s="107"/>
      <c r="D295" s="137"/>
      <c r="E295" s="137"/>
      <c r="F295" s="107"/>
      <c r="G295" s="106"/>
      <c r="H295" s="115"/>
      <c r="I295" s="116"/>
      <c r="J295" s="108"/>
      <c r="K295" s="151"/>
      <c r="L295" s="88"/>
      <c r="M295" s="88"/>
      <c r="N295" s="88"/>
      <c r="O295" s="90"/>
      <c r="P295" s="90"/>
      <c r="Q295" s="90"/>
    </row>
    <row r="296" spans="1:17" ht="15.75" customHeight="1">
      <c r="A296" s="245" t="s">
        <v>98</v>
      </c>
      <c r="B296" s="246" t="s">
        <v>247</v>
      </c>
      <c r="C296" s="247"/>
      <c r="D296" s="248"/>
      <c r="E296" s="248"/>
      <c r="F296" s="247"/>
      <c r="G296" s="249"/>
      <c r="H296" s="249"/>
      <c r="I296" s="250"/>
      <c r="J296" s="251"/>
      <c r="K296" s="151"/>
      <c r="L296" s="88"/>
      <c r="M296" s="88"/>
      <c r="N296" s="88"/>
      <c r="O296" s="90"/>
      <c r="P296" s="90"/>
      <c r="Q296" s="90"/>
    </row>
    <row r="297" spans="1:17" ht="15.75" customHeight="1">
      <c r="A297" s="252"/>
      <c r="B297" s="246" t="s">
        <v>239</v>
      </c>
      <c r="C297" s="247"/>
      <c r="D297" s="248"/>
      <c r="E297" s="248"/>
      <c r="F297" s="253" t="s">
        <v>107</v>
      </c>
      <c r="G297" s="254" t="s">
        <v>240</v>
      </c>
      <c r="H297" s="249"/>
      <c r="I297" s="250"/>
      <c r="J297" s="251"/>
      <c r="K297" s="151"/>
      <c r="L297" s="88"/>
      <c r="M297" s="88"/>
      <c r="N297" s="88"/>
      <c r="O297" s="90"/>
      <c r="P297" s="90"/>
      <c r="Q297" s="90"/>
    </row>
    <row r="298" spans="1:17" ht="15.75" customHeight="1">
      <c r="A298" s="252"/>
      <c r="B298" s="255" t="s">
        <v>241</v>
      </c>
      <c r="C298" s="247" t="s">
        <v>232</v>
      </c>
      <c r="D298" s="248">
        <f>D293</f>
        <v>0.26500000000000001</v>
      </c>
      <c r="E298" s="248">
        <f t="shared" ref="E298:E303" si="30">E279</f>
        <v>0.25</v>
      </c>
      <c r="F298" s="247">
        <v>2</v>
      </c>
      <c r="G298" s="249"/>
      <c r="H298" s="256">
        <f t="shared" ref="H298:H303" si="31">D298*E298*F298</f>
        <v>0.13250000000000001</v>
      </c>
      <c r="I298" s="250"/>
      <c r="J298" s="251"/>
      <c r="K298" s="257"/>
      <c r="L298" s="88"/>
      <c r="M298" s="88"/>
      <c r="N298" s="90"/>
      <c r="O298" s="90"/>
      <c r="P298" s="90"/>
    </row>
    <row r="299" spans="1:17" ht="15.75" customHeight="1">
      <c r="A299" s="252"/>
      <c r="B299" s="246"/>
      <c r="C299" s="247" t="s">
        <v>233</v>
      </c>
      <c r="D299" s="248">
        <f t="shared" ref="D299:D304" si="32">D298</f>
        <v>0.26500000000000001</v>
      </c>
      <c r="E299" s="248">
        <f t="shared" si="30"/>
        <v>0.55000000000000004</v>
      </c>
      <c r="F299" s="247">
        <v>2</v>
      </c>
      <c r="G299" s="249"/>
      <c r="H299" s="256">
        <f t="shared" si="31"/>
        <v>0.29150000000000004</v>
      </c>
      <c r="I299" s="250"/>
      <c r="J299" s="251"/>
      <c r="K299" s="258"/>
      <c r="L299" s="259"/>
      <c r="M299" s="88"/>
      <c r="N299" s="90"/>
      <c r="O299" s="90"/>
      <c r="P299" s="90"/>
    </row>
    <row r="300" spans="1:17" ht="15.75" customHeight="1">
      <c r="A300" s="252"/>
      <c r="B300" s="246"/>
      <c r="C300" s="247" t="s">
        <v>234</v>
      </c>
      <c r="D300" s="248">
        <f t="shared" si="32"/>
        <v>0.26500000000000001</v>
      </c>
      <c r="E300" s="248">
        <f t="shared" si="30"/>
        <v>0.85000000000000009</v>
      </c>
      <c r="F300" s="247">
        <v>2</v>
      </c>
      <c r="G300" s="249"/>
      <c r="H300" s="256">
        <f t="shared" si="31"/>
        <v>0.45050000000000007</v>
      </c>
      <c r="I300" s="250"/>
      <c r="J300" s="251"/>
      <c r="K300" s="258"/>
      <c r="L300" s="88"/>
      <c r="M300" s="259"/>
      <c r="N300" s="88"/>
      <c r="O300" s="90"/>
      <c r="P300" s="90"/>
    </row>
    <row r="301" spans="1:17" ht="15.75" customHeight="1">
      <c r="A301" s="252"/>
      <c r="B301" s="246"/>
      <c r="C301" s="247" t="s">
        <v>235</v>
      </c>
      <c r="D301" s="248">
        <f t="shared" si="32"/>
        <v>0.26500000000000001</v>
      </c>
      <c r="E301" s="248">
        <f t="shared" si="30"/>
        <v>1.1500000000000001</v>
      </c>
      <c r="F301" s="247">
        <v>2</v>
      </c>
      <c r="G301" s="249"/>
      <c r="H301" s="256">
        <f t="shared" si="31"/>
        <v>0.60950000000000015</v>
      </c>
      <c r="I301" s="250"/>
      <c r="J301" s="251"/>
      <c r="K301" s="258"/>
      <c r="L301" s="88"/>
      <c r="M301" s="88"/>
      <c r="N301" s="259"/>
      <c r="O301" s="90"/>
      <c r="P301" s="90"/>
    </row>
    <row r="302" spans="1:17" ht="15.75" customHeight="1">
      <c r="A302" s="252"/>
      <c r="B302" s="246"/>
      <c r="C302" s="247" t="s">
        <v>236</v>
      </c>
      <c r="D302" s="248">
        <f t="shared" si="32"/>
        <v>0.26500000000000001</v>
      </c>
      <c r="E302" s="248">
        <f t="shared" si="30"/>
        <v>1.4500000000000002</v>
      </c>
      <c r="F302" s="247">
        <v>2</v>
      </c>
      <c r="G302" s="249"/>
      <c r="H302" s="256">
        <f t="shared" si="31"/>
        <v>0.76850000000000018</v>
      </c>
      <c r="I302" s="250"/>
      <c r="J302" s="251"/>
      <c r="K302" s="258"/>
      <c r="L302" s="88"/>
      <c r="M302" s="88"/>
      <c r="N302" s="90"/>
      <c r="O302" s="259"/>
      <c r="P302" s="88"/>
    </row>
    <row r="303" spans="1:17" ht="15.75" customHeight="1">
      <c r="A303" s="252"/>
      <c r="B303" s="246"/>
      <c r="C303" s="247" t="s">
        <v>237</v>
      </c>
      <c r="D303" s="248">
        <f t="shared" si="32"/>
        <v>0.26500000000000001</v>
      </c>
      <c r="E303" s="248">
        <f t="shared" si="30"/>
        <v>1.7500000000000002</v>
      </c>
      <c r="F303" s="247">
        <v>2</v>
      </c>
      <c r="G303" s="249"/>
      <c r="H303" s="256">
        <f t="shared" si="31"/>
        <v>0.92750000000000021</v>
      </c>
      <c r="I303" s="250"/>
      <c r="J303" s="251"/>
      <c r="K303" s="260"/>
      <c r="L303" s="261"/>
      <c r="M303" s="261"/>
      <c r="N303" s="262"/>
      <c r="O303" s="261"/>
      <c r="P303" s="263"/>
    </row>
    <row r="304" spans="1:17" ht="15.75" customHeight="1">
      <c r="A304" s="252"/>
      <c r="B304" s="255" t="s">
        <v>242</v>
      </c>
      <c r="C304" s="248">
        <f>C285</f>
        <v>15.185</v>
      </c>
      <c r="D304" s="248">
        <f t="shared" si="32"/>
        <v>0.26500000000000001</v>
      </c>
      <c r="E304" s="248"/>
      <c r="F304" s="247">
        <v>6</v>
      </c>
      <c r="G304" s="249"/>
      <c r="H304" s="256">
        <f>C304*D304*F304</f>
        <v>24.14415</v>
      </c>
      <c r="I304" s="250"/>
      <c r="J304" s="251"/>
      <c r="K304" s="151"/>
      <c r="L304" s="88"/>
      <c r="M304" s="88"/>
      <c r="N304" s="88"/>
      <c r="O304" s="90"/>
      <c r="P304" s="90"/>
      <c r="Q304" s="90"/>
    </row>
    <row r="305" spans="1:17" ht="15.75" customHeight="1">
      <c r="A305" s="252"/>
      <c r="B305" s="246" t="s">
        <v>244</v>
      </c>
      <c r="C305" s="247"/>
      <c r="D305" s="248"/>
      <c r="E305" s="248"/>
      <c r="F305" s="247"/>
      <c r="G305" s="249"/>
      <c r="H305" s="249"/>
      <c r="I305" s="250"/>
      <c r="J305" s="251"/>
      <c r="K305" s="151"/>
      <c r="L305" s="88"/>
      <c r="M305" s="88"/>
      <c r="N305" s="88"/>
      <c r="O305" s="90"/>
      <c r="P305" s="90"/>
      <c r="Q305" s="90"/>
    </row>
    <row r="306" spans="1:17" ht="15.75" customHeight="1">
      <c r="A306" s="252"/>
      <c r="B306" s="255" t="s">
        <v>241</v>
      </c>
      <c r="C306" s="247"/>
      <c r="D306" s="248">
        <f>D304</f>
        <v>0.26500000000000001</v>
      </c>
      <c r="E306" s="248">
        <f>E288</f>
        <v>0.25</v>
      </c>
      <c r="F306" s="247">
        <v>2</v>
      </c>
      <c r="G306" s="249"/>
      <c r="H306" s="256">
        <f>D306*E306*F306</f>
        <v>0.13250000000000001</v>
      </c>
      <c r="I306" s="250"/>
      <c r="J306" s="251"/>
      <c r="K306" s="151"/>
      <c r="L306" s="88"/>
      <c r="M306" s="88"/>
      <c r="N306" s="88"/>
      <c r="O306" s="90"/>
      <c r="P306" s="90"/>
      <c r="Q306" s="90"/>
    </row>
    <row r="307" spans="1:17" ht="15.75" customHeight="1">
      <c r="A307" s="252"/>
      <c r="B307" s="246"/>
      <c r="C307" s="247"/>
      <c r="D307" s="248">
        <f>D306</f>
        <v>0.26500000000000001</v>
      </c>
      <c r="E307" s="248">
        <f>E289</f>
        <v>0.54999999999999993</v>
      </c>
      <c r="F307" s="247">
        <v>2</v>
      </c>
      <c r="G307" s="249"/>
      <c r="H307" s="256">
        <f>D307*E307*F307</f>
        <v>0.29149999999999998</v>
      </c>
      <c r="I307" s="250"/>
      <c r="J307" s="251"/>
      <c r="K307" s="151"/>
      <c r="L307" s="88"/>
      <c r="M307" s="88"/>
      <c r="N307" s="88"/>
      <c r="O307" s="90"/>
      <c r="P307" s="90"/>
      <c r="Q307" s="90"/>
    </row>
    <row r="308" spans="1:17" ht="15.75" customHeight="1">
      <c r="A308" s="252"/>
      <c r="B308" s="246"/>
      <c r="C308" s="247"/>
      <c r="D308" s="248">
        <f>D307</f>
        <v>0.26500000000000001</v>
      </c>
      <c r="E308" s="248">
        <f>E290</f>
        <v>0.85</v>
      </c>
      <c r="F308" s="247">
        <v>2</v>
      </c>
      <c r="G308" s="249"/>
      <c r="H308" s="256">
        <f>D308*E308*F308</f>
        <v>0.45050000000000001</v>
      </c>
      <c r="I308" s="250"/>
      <c r="J308" s="251"/>
      <c r="K308" s="151"/>
      <c r="L308" s="88"/>
      <c r="M308" s="88"/>
      <c r="N308" s="88"/>
      <c r="O308" s="90"/>
      <c r="P308" s="90"/>
      <c r="Q308" s="90"/>
    </row>
    <row r="309" spans="1:17" ht="15.75" customHeight="1">
      <c r="A309" s="252"/>
      <c r="B309" s="246"/>
      <c r="C309" s="247"/>
      <c r="D309" s="248">
        <f>D308</f>
        <v>0.26500000000000001</v>
      </c>
      <c r="E309" s="248">
        <f>E291</f>
        <v>1.1499999999999999</v>
      </c>
      <c r="F309" s="247">
        <v>2</v>
      </c>
      <c r="G309" s="249"/>
      <c r="H309" s="256">
        <f>D309*E309*F309</f>
        <v>0.60949999999999993</v>
      </c>
      <c r="I309" s="250"/>
      <c r="J309" s="251"/>
      <c r="K309" s="151"/>
      <c r="L309" s="88"/>
      <c r="M309" s="88"/>
      <c r="N309" s="88"/>
      <c r="O309" s="90"/>
      <c r="P309" s="90"/>
      <c r="Q309" s="90"/>
    </row>
    <row r="310" spans="1:17" ht="15.75" customHeight="1">
      <c r="A310" s="252"/>
      <c r="B310" s="255" t="s">
        <v>245</v>
      </c>
      <c r="C310" s="247">
        <f>1.5-0.05</f>
        <v>1.45</v>
      </c>
      <c r="D310" s="248">
        <f>D309</f>
        <v>0.26500000000000001</v>
      </c>
      <c r="E310" s="248"/>
      <c r="F310" s="247">
        <f>4</f>
        <v>4</v>
      </c>
      <c r="G310" s="249"/>
      <c r="H310" s="256">
        <f>C310*D310*F310</f>
        <v>1.5369999999999999</v>
      </c>
      <c r="I310" s="250"/>
      <c r="J310" s="251"/>
      <c r="K310" s="151"/>
      <c r="L310" s="88"/>
      <c r="M310" s="88"/>
      <c r="N310" s="88"/>
      <c r="O310" s="90"/>
      <c r="P310" s="90"/>
      <c r="Q310" s="90"/>
    </row>
    <row r="311" spans="1:17" ht="15.75" customHeight="1">
      <c r="A311" s="252"/>
      <c r="B311" s="246"/>
      <c r="C311" s="247"/>
      <c r="D311" s="248"/>
      <c r="E311" s="248"/>
      <c r="F311" s="247"/>
      <c r="G311" s="249"/>
      <c r="H311" s="264">
        <f>SUM(H298:H310)</f>
        <v>30.34515</v>
      </c>
      <c r="I311" s="265" t="s">
        <v>103</v>
      </c>
      <c r="J311" s="266">
        <f>ROUND((H311),2)</f>
        <v>30.35</v>
      </c>
      <c r="K311" s="151"/>
      <c r="L311" s="88"/>
      <c r="M311" s="88"/>
      <c r="N311" s="88"/>
      <c r="O311" s="90"/>
      <c r="P311" s="90"/>
      <c r="Q311" s="90"/>
    </row>
    <row r="312" spans="1:17" ht="15.75" customHeight="1">
      <c r="A312" s="252"/>
      <c r="B312" s="246"/>
      <c r="C312" s="247"/>
      <c r="D312" s="248"/>
      <c r="E312" s="248"/>
      <c r="F312" s="247"/>
      <c r="G312" s="249"/>
      <c r="H312" s="264"/>
      <c r="I312" s="265"/>
      <c r="J312" s="266"/>
      <c r="K312" s="151"/>
      <c r="L312" s="88"/>
      <c r="M312" s="88"/>
      <c r="N312" s="88"/>
      <c r="O312" s="90"/>
      <c r="P312" s="90"/>
      <c r="Q312" s="90"/>
    </row>
    <row r="313" spans="1:17" ht="30" customHeight="1">
      <c r="A313" s="104">
        <f>A263+1</f>
        <v>14</v>
      </c>
      <c r="B313" s="267" t="s">
        <v>248</v>
      </c>
      <c r="K313" s="151"/>
      <c r="L313" s="88"/>
      <c r="M313" s="88"/>
      <c r="N313" s="88"/>
      <c r="O313" s="90"/>
      <c r="P313" s="90"/>
      <c r="Q313" s="90"/>
    </row>
    <row r="314" spans="1:17" ht="15.75" customHeight="1">
      <c r="A314" s="104"/>
      <c r="B314" s="135" t="s">
        <v>249</v>
      </c>
      <c r="C314" s="107">
        <v>1</v>
      </c>
      <c r="D314" s="107">
        <v>0.3</v>
      </c>
      <c r="E314" s="107"/>
      <c r="F314" s="107">
        <v>11</v>
      </c>
      <c r="G314" s="106">
        <v>2</v>
      </c>
      <c r="H314" s="106">
        <f>C314*D314*F314*G314</f>
        <v>6.6</v>
      </c>
      <c r="I314" s="103" t="s">
        <v>89</v>
      </c>
      <c r="J314" s="117"/>
      <c r="K314" s="151"/>
      <c r="L314" s="88"/>
      <c r="M314" s="88"/>
      <c r="N314" s="88"/>
      <c r="O314" s="90"/>
      <c r="P314" s="90"/>
      <c r="Q314" s="90"/>
    </row>
    <row r="315" spans="1:17" ht="15.75" customHeight="1">
      <c r="A315" s="104"/>
      <c r="B315" s="135" t="s">
        <v>250</v>
      </c>
      <c r="C315" s="107">
        <f>C314*2</f>
        <v>2</v>
      </c>
      <c r="D315" s="107">
        <f>D314*2</f>
        <v>0.6</v>
      </c>
      <c r="E315" s="106">
        <v>0.05</v>
      </c>
      <c r="F315" s="107">
        <v>11</v>
      </c>
      <c r="G315" s="106">
        <f>G314</f>
        <v>2</v>
      </c>
      <c r="H315" s="106">
        <f>(C315+D315)*E315*F315*G315</f>
        <v>2.8600000000000003</v>
      </c>
      <c r="I315" s="103" t="s">
        <v>89</v>
      </c>
      <c r="J315" s="117"/>
      <c r="K315" s="151"/>
      <c r="L315" s="88"/>
      <c r="M315" s="88"/>
      <c r="N315" s="88"/>
      <c r="O315" s="90"/>
      <c r="P315" s="90"/>
      <c r="Q315" s="90"/>
    </row>
    <row r="316" spans="1:17" ht="15.75" customHeight="1">
      <c r="A316" s="104"/>
      <c r="B316" s="135" t="s">
        <v>251</v>
      </c>
      <c r="C316" s="107">
        <f>3</f>
        <v>3</v>
      </c>
      <c r="D316" s="107">
        <v>0.05</v>
      </c>
      <c r="E316" s="106"/>
      <c r="F316" s="107"/>
      <c r="G316" s="106">
        <f>G315</f>
        <v>2</v>
      </c>
      <c r="H316" s="106">
        <f>C316*D316*G316</f>
        <v>0.30000000000000004</v>
      </c>
      <c r="I316" s="103" t="s">
        <v>89</v>
      </c>
      <c r="J316" s="117"/>
      <c r="K316" s="151"/>
      <c r="L316" s="88"/>
      <c r="M316" s="88"/>
      <c r="N316" s="88"/>
      <c r="O316" s="90"/>
      <c r="P316" s="90"/>
      <c r="Q316" s="90"/>
    </row>
    <row r="317" spans="1:17" ht="15.75" customHeight="1">
      <c r="A317" s="104"/>
      <c r="B317" s="135" t="s">
        <v>252</v>
      </c>
      <c r="C317" s="107">
        <f>C316</f>
        <v>3</v>
      </c>
      <c r="D317" s="107">
        <v>0.25</v>
      </c>
      <c r="E317" s="106"/>
      <c r="F317" s="107">
        <v>2</v>
      </c>
      <c r="G317" s="106">
        <f>G316</f>
        <v>2</v>
      </c>
      <c r="H317" s="106">
        <f>C317*D317*F317*G317</f>
        <v>3</v>
      </c>
      <c r="I317" s="103" t="s">
        <v>89</v>
      </c>
      <c r="J317" s="117"/>
      <c r="K317" s="151"/>
      <c r="L317" s="88"/>
      <c r="M317" s="88"/>
      <c r="N317" s="88"/>
      <c r="O317" s="90"/>
      <c r="P317" s="90"/>
      <c r="Q317" s="90"/>
    </row>
    <row r="318" spans="1:17" ht="15.75" customHeight="1">
      <c r="A318" s="104"/>
      <c r="B318" s="135" t="s">
        <v>253</v>
      </c>
      <c r="C318" s="107">
        <f>D317</f>
        <v>0.25</v>
      </c>
      <c r="D318" s="107">
        <f>D316</f>
        <v>0.05</v>
      </c>
      <c r="E318" s="106"/>
      <c r="F318" s="107"/>
      <c r="G318" s="106">
        <f>G317</f>
        <v>2</v>
      </c>
      <c r="H318" s="106">
        <f>C318*D318*G318</f>
        <v>2.5000000000000001E-2</v>
      </c>
      <c r="I318" s="103" t="s">
        <v>89</v>
      </c>
      <c r="J318" s="117"/>
      <c r="K318" s="151"/>
      <c r="L318" s="88"/>
      <c r="M318" s="88"/>
      <c r="N318" s="88"/>
      <c r="O318" s="90"/>
      <c r="P318" s="90"/>
      <c r="Q318" s="90"/>
    </row>
    <row r="319" spans="1:17" ht="15.75" customHeight="1">
      <c r="A319" s="104"/>
      <c r="B319" s="135" t="s">
        <v>254</v>
      </c>
      <c r="C319" s="107">
        <f>1.4*2+1*2</f>
        <v>4.8</v>
      </c>
      <c r="D319" s="107">
        <v>0.15</v>
      </c>
      <c r="E319" s="106"/>
      <c r="F319" s="107">
        <v>2</v>
      </c>
      <c r="G319" s="106">
        <v>2</v>
      </c>
      <c r="H319" s="106">
        <f>C319*D319*F319*G319</f>
        <v>2.88</v>
      </c>
      <c r="I319" s="103" t="s">
        <v>89</v>
      </c>
      <c r="J319" s="117"/>
      <c r="K319" s="151"/>
      <c r="L319" s="88"/>
      <c r="M319" s="88"/>
      <c r="N319" s="88"/>
      <c r="O319" s="90"/>
      <c r="P319" s="90"/>
      <c r="Q319" s="90"/>
    </row>
    <row r="320" spans="1:17" ht="15.75" customHeight="1">
      <c r="A320" s="104"/>
      <c r="B320" s="135" t="s">
        <v>255</v>
      </c>
      <c r="C320" s="107">
        <v>1.5</v>
      </c>
      <c r="D320" s="107">
        <v>0.2</v>
      </c>
      <c r="E320" s="106"/>
      <c r="F320" s="107"/>
      <c r="G320" s="106">
        <v>2</v>
      </c>
      <c r="H320" s="171">
        <f>C320*D320*G320</f>
        <v>0.60000000000000009</v>
      </c>
      <c r="I320" s="103" t="s">
        <v>89</v>
      </c>
      <c r="J320" s="117"/>
      <c r="K320" s="151"/>
      <c r="L320" s="88"/>
      <c r="M320" s="88"/>
      <c r="N320" s="88"/>
      <c r="O320" s="90"/>
      <c r="P320" s="90"/>
      <c r="Q320" s="90"/>
    </row>
    <row r="321" spans="1:17" ht="15.75" customHeight="1">
      <c r="A321" s="104"/>
      <c r="B321" s="118"/>
      <c r="C321" s="107"/>
      <c r="D321" s="107"/>
      <c r="E321" s="106"/>
      <c r="F321" s="107"/>
      <c r="G321" s="106"/>
      <c r="H321" s="268">
        <f>SUM(H314:H320)</f>
        <v>16.265000000000004</v>
      </c>
      <c r="I321" s="103" t="s">
        <v>89</v>
      </c>
      <c r="J321" s="117">
        <f>ROUND((H321),2)</f>
        <v>16.27</v>
      </c>
      <c r="K321" s="151"/>
      <c r="L321" s="88"/>
      <c r="M321" s="88"/>
      <c r="N321" s="88"/>
      <c r="O321" s="90"/>
      <c r="P321" s="90"/>
      <c r="Q321" s="90"/>
    </row>
    <row r="322" spans="1:17" ht="15.75" customHeight="1">
      <c r="A322" s="104"/>
      <c r="B322" s="101"/>
      <c r="C322" s="107"/>
      <c r="D322" s="133" t="s">
        <v>256</v>
      </c>
      <c r="E322" s="133" t="s">
        <v>133</v>
      </c>
      <c r="F322" s="107"/>
      <c r="G322" s="107"/>
      <c r="H322" s="107"/>
      <c r="I322" s="101"/>
      <c r="J322" s="117"/>
      <c r="K322" s="151"/>
      <c r="L322" s="88"/>
      <c r="M322" s="88"/>
      <c r="N322" s="88"/>
      <c r="O322" s="90"/>
      <c r="P322" s="90"/>
      <c r="Q322" s="90"/>
    </row>
    <row r="323" spans="1:17" ht="15.75" customHeight="1">
      <c r="A323" s="104"/>
      <c r="B323" s="269" t="s">
        <v>257</v>
      </c>
      <c r="C323" s="107">
        <f>C314+0.05*2</f>
        <v>1.1000000000000001</v>
      </c>
      <c r="D323" s="107">
        <f>(0.3/0.15)+1</f>
        <v>3</v>
      </c>
      <c r="E323" s="165">
        <v>0.4</v>
      </c>
      <c r="F323" s="107">
        <v>11</v>
      </c>
      <c r="G323" s="107">
        <v>2</v>
      </c>
      <c r="H323" s="107">
        <f>C323*D323*E323*F323*G323</f>
        <v>29.040000000000006</v>
      </c>
      <c r="I323" s="101" t="s">
        <v>100</v>
      </c>
      <c r="J323" s="117"/>
      <c r="K323" s="151"/>
      <c r="L323" s="88"/>
      <c r="M323" s="88"/>
      <c r="N323" s="88"/>
      <c r="O323" s="90"/>
      <c r="P323" s="90"/>
      <c r="Q323" s="90"/>
    </row>
    <row r="324" spans="1:17" ht="15.75" customHeight="1">
      <c r="A324" s="104"/>
      <c r="B324" s="269" t="s">
        <v>258</v>
      </c>
      <c r="C324" s="107">
        <f>D314-0.05</f>
        <v>0.25</v>
      </c>
      <c r="D324" s="107">
        <f>(1/0.1)+1</f>
        <v>11</v>
      </c>
      <c r="E324" s="165">
        <v>0.4</v>
      </c>
      <c r="F324" s="107">
        <f>(1/0.1)+1</f>
        <v>11</v>
      </c>
      <c r="G324" s="107">
        <v>2</v>
      </c>
      <c r="H324" s="107">
        <f>C324*D324*E324*F324*G324</f>
        <v>24.200000000000003</v>
      </c>
      <c r="I324" s="101" t="s">
        <v>100</v>
      </c>
      <c r="J324" s="117"/>
      <c r="K324" s="151"/>
      <c r="L324" s="88"/>
      <c r="M324" s="88"/>
      <c r="N324" s="88"/>
      <c r="O324" s="90"/>
      <c r="P324" s="90"/>
      <c r="Q324" s="90"/>
    </row>
    <row r="325" spans="1:17" ht="15.75" customHeight="1">
      <c r="A325" s="104"/>
      <c r="B325" s="269" t="s">
        <v>259</v>
      </c>
      <c r="C325" s="270">
        <f>C317</f>
        <v>3</v>
      </c>
      <c r="D325" s="271">
        <f>(D317/0.125)+1</f>
        <v>3</v>
      </c>
      <c r="E325" s="165">
        <v>0.4</v>
      </c>
      <c r="F325" s="272">
        <v>2</v>
      </c>
      <c r="G325" s="273">
        <v>2</v>
      </c>
      <c r="H325" s="107">
        <f>C325*D325*E325*F325*G325</f>
        <v>14.4</v>
      </c>
      <c r="I325" s="101" t="s">
        <v>100</v>
      </c>
      <c r="J325" s="117"/>
      <c r="K325" s="151"/>
      <c r="L325" s="88"/>
      <c r="M325" s="88"/>
      <c r="N325" s="88"/>
      <c r="O325" s="90"/>
      <c r="P325" s="90"/>
      <c r="Q325" s="90"/>
    </row>
    <row r="326" spans="1:17" ht="15.75" customHeight="1">
      <c r="A326" s="104"/>
      <c r="B326" s="269" t="s">
        <v>260</v>
      </c>
      <c r="C326" s="272">
        <f>D317-0.05</f>
        <v>0.2</v>
      </c>
      <c r="D326" s="274">
        <f>(C325/0.15)+1</f>
        <v>21</v>
      </c>
      <c r="E326" s="165">
        <v>0.4</v>
      </c>
      <c r="F326" s="272">
        <v>2</v>
      </c>
      <c r="G326" s="107">
        <v>2</v>
      </c>
      <c r="H326" s="107">
        <f>C326*D326*E326*F326*G326</f>
        <v>6.7200000000000006</v>
      </c>
      <c r="I326" s="101" t="s">
        <v>100</v>
      </c>
      <c r="J326" s="117"/>
      <c r="K326" s="151"/>
      <c r="L326" s="88"/>
      <c r="M326" s="88"/>
      <c r="N326" s="88"/>
      <c r="O326" s="90"/>
      <c r="P326" s="90"/>
      <c r="Q326" s="90"/>
    </row>
    <row r="327" spans="1:17" ht="15.75" customHeight="1">
      <c r="A327" s="104"/>
      <c r="B327" s="269" t="s">
        <v>261</v>
      </c>
      <c r="C327" s="272">
        <f>(1.2*2)+(0.8*2)+0.05</f>
        <v>4.05</v>
      </c>
      <c r="D327" s="274"/>
      <c r="E327" s="165">
        <v>0.4</v>
      </c>
      <c r="F327" s="272">
        <f>(7+5)</f>
        <v>12</v>
      </c>
      <c r="G327" s="107">
        <v>2</v>
      </c>
      <c r="H327" s="107">
        <f>C327*E327*F327*G327</f>
        <v>38.880000000000003</v>
      </c>
      <c r="I327" s="101" t="s">
        <v>100</v>
      </c>
      <c r="J327" s="117"/>
      <c r="K327" s="151"/>
      <c r="L327" s="88"/>
      <c r="M327" s="88"/>
      <c r="N327" s="88"/>
      <c r="O327" s="90"/>
      <c r="P327" s="90"/>
      <c r="Q327" s="90"/>
    </row>
    <row r="328" spans="1:17" ht="15.75" customHeight="1">
      <c r="A328" s="104"/>
      <c r="B328" s="269" t="s">
        <v>262</v>
      </c>
      <c r="C328" s="107">
        <f>C320</f>
        <v>1.5</v>
      </c>
      <c r="D328" s="107"/>
      <c r="E328" s="165">
        <v>0.4</v>
      </c>
      <c r="F328" s="107">
        <v>4</v>
      </c>
      <c r="G328" s="107">
        <v>2</v>
      </c>
      <c r="H328" s="107">
        <f>C328*E328*F328*G328</f>
        <v>4.8000000000000007</v>
      </c>
      <c r="I328" s="101" t="s">
        <v>100</v>
      </c>
      <c r="J328" s="117"/>
      <c r="K328" s="151"/>
      <c r="L328" s="88"/>
      <c r="M328" s="88"/>
      <c r="N328" s="88"/>
      <c r="O328" s="90"/>
      <c r="P328" s="90"/>
      <c r="Q328" s="90"/>
    </row>
    <row r="329" spans="1:17" ht="15.75" customHeight="1">
      <c r="A329" s="104"/>
      <c r="B329" s="269"/>
      <c r="C329" s="107"/>
      <c r="D329" s="107"/>
      <c r="E329" s="123"/>
      <c r="F329" s="107"/>
      <c r="G329" s="107"/>
      <c r="H329" s="275">
        <f>SUM(H324:H328)</f>
        <v>89</v>
      </c>
      <c r="I329" s="101"/>
      <c r="J329" s="117">
        <f>ROUND((H329),2)</f>
        <v>89</v>
      </c>
      <c r="K329" s="151"/>
      <c r="L329" s="88"/>
      <c r="M329" s="88"/>
      <c r="N329" s="88"/>
      <c r="O329" s="90"/>
      <c r="P329" s="90"/>
      <c r="Q329" s="90"/>
    </row>
    <row r="330" spans="1:17" ht="15.75" customHeight="1">
      <c r="A330" s="104"/>
      <c r="B330" s="269"/>
      <c r="C330" s="107"/>
      <c r="D330" s="107"/>
      <c r="E330" s="123"/>
      <c r="F330" s="107"/>
      <c r="G330" s="107"/>
      <c r="H330" s="150"/>
      <c r="I330" s="101"/>
      <c r="J330" s="117"/>
      <c r="K330" s="151"/>
      <c r="L330" s="88"/>
      <c r="M330" s="88"/>
      <c r="N330" s="88"/>
      <c r="O330" s="90"/>
      <c r="P330" s="90"/>
      <c r="Q330" s="90"/>
    </row>
    <row r="331" spans="1:17" ht="15.75" customHeight="1">
      <c r="A331" s="104"/>
      <c r="B331" s="269" t="s">
        <v>263</v>
      </c>
      <c r="C331" s="107">
        <f>(0.12+0.075)*2+0.05</f>
        <v>0.44</v>
      </c>
      <c r="D331" s="107"/>
      <c r="E331" s="123">
        <v>0.22</v>
      </c>
      <c r="F331" s="107">
        <f>(C320/0.15)+1</f>
        <v>11</v>
      </c>
      <c r="G331" s="107">
        <v>2</v>
      </c>
      <c r="H331" s="150">
        <f>C331*E331*F331*G331</f>
        <v>2.1295999999999999</v>
      </c>
      <c r="I331" s="101" t="s">
        <v>100</v>
      </c>
      <c r="J331" s="117"/>
      <c r="K331" s="151"/>
      <c r="L331" s="88"/>
      <c r="M331" s="88"/>
      <c r="N331" s="88"/>
      <c r="O331" s="90"/>
      <c r="P331" s="90"/>
      <c r="Q331" s="90"/>
    </row>
    <row r="332" spans="1:17" ht="15.75" customHeight="1">
      <c r="A332" s="252"/>
      <c r="B332" s="246"/>
      <c r="C332" s="247"/>
      <c r="D332" s="248"/>
      <c r="E332" s="248"/>
      <c r="F332" s="247"/>
      <c r="G332" s="249"/>
      <c r="H332" s="275">
        <f>H331</f>
        <v>2.1295999999999999</v>
      </c>
      <c r="I332" s="101" t="s">
        <v>100</v>
      </c>
      <c r="J332" s="117">
        <f>ROUND((H332),2)</f>
        <v>2.13</v>
      </c>
      <c r="K332" s="151"/>
      <c r="L332" s="88"/>
      <c r="M332" s="88"/>
      <c r="N332" s="88"/>
      <c r="O332" s="90"/>
      <c r="P332" s="90"/>
      <c r="Q332" s="90"/>
    </row>
    <row r="333" spans="1:17" ht="15.75" customHeight="1">
      <c r="A333" s="252"/>
      <c r="B333" s="246" t="s">
        <v>264</v>
      </c>
      <c r="C333" s="247"/>
      <c r="D333" s="248"/>
      <c r="E333" s="248"/>
      <c r="F333" s="247"/>
      <c r="G333" s="249"/>
      <c r="H333" s="264"/>
      <c r="I333" s="265"/>
      <c r="J333" s="266"/>
      <c r="K333" s="151"/>
      <c r="L333" s="88"/>
      <c r="M333" s="88"/>
      <c r="N333" s="88"/>
      <c r="O333" s="90"/>
      <c r="P333" s="90"/>
      <c r="Q333" s="90"/>
    </row>
    <row r="334" spans="1:17" ht="15.75" customHeight="1">
      <c r="A334" s="252"/>
      <c r="B334" s="135" t="s">
        <v>265</v>
      </c>
      <c r="C334" s="107">
        <v>1</v>
      </c>
      <c r="D334" s="107">
        <v>0.3</v>
      </c>
      <c r="E334" s="106">
        <v>0.05</v>
      </c>
      <c r="F334" s="107">
        <v>11</v>
      </c>
      <c r="G334" s="106">
        <v>2</v>
      </c>
      <c r="H334" s="106">
        <f>C334*D334*E334*F334*G334</f>
        <v>0.32999999999999996</v>
      </c>
      <c r="I334" s="103" t="s">
        <v>266</v>
      </c>
      <c r="J334" s="117"/>
      <c r="K334" s="151"/>
      <c r="L334" s="88"/>
      <c r="M334" s="88"/>
      <c r="N334" s="88"/>
      <c r="O334" s="90"/>
      <c r="P334" s="90"/>
      <c r="Q334" s="90"/>
    </row>
    <row r="335" spans="1:17" ht="15.75" customHeight="1">
      <c r="A335" s="252"/>
      <c r="B335" s="135" t="s">
        <v>267</v>
      </c>
      <c r="C335" s="107">
        <f>3</f>
        <v>3</v>
      </c>
      <c r="D335" s="107">
        <v>0.25</v>
      </c>
      <c r="E335" s="106">
        <v>0.05</v>
      </c>
      <c r="F335" s="107">
        <v>2</v>
      </c>
      <c r="G335" s="106">
        <f>G334</f>
        <v>2</v>
      </c>
      <c r="H335" s="106">
        <f>C335*D335*E335*F335*G335</f>
        <v>0.15000000000000002</v>
      </c>
      <c r="I335" s="103" t="s">
        <v>266</v>
      </c>
      <c r="J335" s="117"/>
      <c r="K335" s="151"/>
      <c r="L335" s="88"/>
      <c r="M335" s="88"/>
      <c r="N335" s="88"/>
      <c r="O335" s="90"/>
      <c r="P335" s="90"/>
      <c r="Q335" s="90"/>
    </row>
    <row r="336" spans="1:17" ht="15.75" customHeight="1">
      <c r="A336" s="252"/>
      <c r="B336" s="135" t="s">
        <v>268</v>
      </c>
      <c r="C336" s="107">
        <f>1.4</f>
        <v>1.4</v>
      </c>
      <c r="D336" s="107">
        <v>1</v>
      </c>
      <c r="E336" s="106">
        <v>0.15</v>
      </c>
      <c r="F336" s="107">
        <v>2</v>
      </c>
      <c r="G336" s="106">
        <v>2</v>
      </c>
      <c r="H336" s="106">
        <f>C336*D336*E336*F336*G336</f>
        <v>0.84</v>
      </c>
      <c r="I336" s="103" t="s">
        <v>266</v>
      </c>
      <c r="J336" s="117"/>
      <c r="K336" s="151"/>
      <c r="L336" s="88"/>
      <c r="M336" s="88"/>
      <c r="N336" s="88"/>
      <c r="O336" s="90"/>
      <c r="P336" s="90"/>
      <c r="Q336" s="90"/>
    </row>
    <row r="337" spans="1:17" ht="15.75" customHeight="1">
      <c r="A337" s="252"/>
      <c r="B337" s="135" t="s">
        <v>255</v>
      </c>
      <c r="C337" s="107">
        <v>1.5</v>
      </c>
      <c r="D337" s="107">
        <v>0.2</v>
      </c>
      <c r="E337" s="106">
        <v>0.1</v>
      </c>
      <c r="F337" s="107">
        <v>1</v>
      </c>
      <c r="G337" s="106">
        <v>2</v>
      </c>
      <c r="H337" s="106">
        <f>C337*D337*E337*F337*G337</f>
        <v>6.0000000000000012E-2</v>
      </c>
      <c r="I337" s="103" t="s">
        <v>266</v>
      </c>
      <c r="J337" s="117"/>
      <c r="K337" s="151"/>
      <c r="L337" s="88"/>
      <c r="M337" s="88"/>
      <c r="N337" s="88"/>
      <c r="O337" s="90"/>
      <c r="P337" s="90"/>
      <c r="Q337" s="90"/>
    </row>
    <row r="338" spans="1:17" ht="15.75" customHeight="1">
      <c r="A338" s="252"/>
      <c r="B338" s="118"/>
      <c r="C338" s="107"/>
      <c r="D338" s="107"/>
      <c r="E338" s="106"/>
      <c r="F338" s="107"/>
      <c r="G338" s="106"/>
      <c r="H338" s="268">
        <f>SUM(H334:H337)</f>
        <v>1.38</v>
      </c>
      <c r="I338" s="103" t="s">
        <v>266</v>
      </c>
      <c r="J338" s="117">
        <f>ROUND((H338),2)</f>
        <v>1.38</v>
      </c>
      <c r="K338" s="151"/>
      <c r="L338" s="88"/>
      <c r="M338" s="88"/>
      <c r="N338" s="88"/>
      <c r="O338" s="90"/>
      <c r="P338" s="90"/>
      <c r="Q338" s="90"/>
    </row>
    <row r="339" spans="1:17" ht="15.75" customHeight="1">
      <c r="A339" s="252"/>
      <c r="B339" s="246"/>
      <c r="C339" s="247"/>
      <c r="D339" s="248"/>
      <c r="E339" s="248"/>
      <c r="F339" s="247"/>
      <c r="G339" s="249"/>
      <c r="H339" s="264"/>
      <c r="I339" s="265"/>
      <c r="J339" s="266"/>
      <c r="K339" s="151"/>
      <c r="L339" s="88"/>
      <c r="M339" s="88"/>
      <c r="N339" s="88"/>
      <c r="O339" s="90"/>
      <c r="P339" s="90"/>
      <c r="Q339" s="90"/>
    </row>
    <row r="340" spans="1:17" ht="15.75" customHeight="1">
      <c r="A340" s="252"/>
      <c r="B340" s="246"/>
      <c r="C340" s="247"/>
      <c r="D340" s="248"/>
      <c r="E340" s="248"/>
      <c r="F340" s="247"/>
      <c r="G340" s="249"/>
      <c r="H340" s="264"/>
      <c r="I340" s="265"/>
      <c r="J340" s="266"/>
      <c r="K340" s="151"/>
      <c r="L340" s="88"/>
      <c r="M340" s="88"/>
      <c r="N340" s="88"/>
      <c r="O340" s="90"/>
      <c r="P340" s="90"/>
      <c r="Q340" s="90"/>
    </row>
    <row r="341" spans="1:17" ht="15.75" customHeight="1">
      <c r="A341" s="252"/>
      <c r="B341" s="246"/>
      <c r="C341" s="247"/>
      <c r="D341" s="248"/>
      <c r="E341" s="248"/>
      <c r="F341" s="247"/>
      <c r="G341" s="249"/>
      <c r="H341" s="264"/>
      <c r="I341" s="265"/>
      <c r="J341" s="266"/>
      <c r="K341" s="151"/>
      <c r="L341" s="88"/>
      <c r="M341" s="88"/>
      <c r="N341" s="88"/>
      <c r="O341" s="90"/>
      <c r="P341" s="90"/>
      <c r="Q341" s="90"/>
    </row>
    <row r="342" spans="1:17" ht="15.75" customHeight="1">
      <c r="A342" s="252"/>
      <c r="B342" s="246"/>
      <c r="C342" s="247"/>
      <c r="D342" s="248"/>
      <c r="E342" s="248"/>
      <c r="F342" s="247"/>
      <c r="G342" s="249"/>
      <c r="H342" s="264"/>
      <c r="I342" s="265"/>
      <c r="J342" s="266"/>
      <c r="K342" s="151"/>
      <c r="L342" s="88"/>
      <c r="M342" s="88"/>
      <c r="N342" s="88"/>
      <c r="O342" s="90"/>
      <c r="P342" s="90"/>
      <c r="Q342" s="90"/>
    </row>
    <row r="343" spans="1:17" ht="15.75" customHeight="1">
      <c r="A343" s="252"/>
      <c r="B343" s="246"/>
      <c r="C343" s="247"/>
      <c r="D343" s="248"/>
      <c r="E343" s="248"/>
      <c r="F343" s="247"/>
      <c r="G343" s="249"/>
      <c r="H343" s="264"/>
      <c r="I343" s="265"/>
      <c r="J343" s="266"/>
      <c r="K343" s="151"/>
      <c r="L343" s="88"/>
      <c r="M343" s="88"/>
      <c r="N343" s="88"/>
      <c r="O343" s="90"/>
      <c r="P343" s="90"/>
      <c r="Q343" s="90"/>
    </row>
    <row r="344" spans="1:17" ht="15.75" customHeight="1">
      <c r="A344" s="252"/>
      <c r="B344" s="246"/>
      <c r="C344" s="247"/>
      <c r="D344" s="248"/>
      <c r="E344" s="248"/>
      <c r="F344" s="247"/>
      <c r="G344" s="249"/>
      <c r="H344" s="264"/>
      <c r="I344" s="265"/>
      <c r="J344" s="266"/>
      <c r="K344" s="151"/>
      <c r="L344" s="88"/>
      <c r="M344" s="88"/>
      <c r="N344" s="88"/>
      <c r="O344" s="90"/>
      <c r="P344" s="90"/>
      <c r="Q344" s="90"/>
    </row>
    <row r="345" spans="1:17" ht="15.75" customHeight="1">
      <c r="A345" s="120" t="s">
        <v>98</v>
      </c>
      <c r="B345" s="118" t="s">
        <v>193</v>
      </c>
      <c r="C345" s="107"/>
      <c r="D345" s="107"/>
      <c r="E345" s="107"/>
      <c r="F345" s="107"/>
      <c r="G345" s="106"/>
      <c r="H345" s="106"/>
      <c r="I345" s="103"/>
      <c r="J345" s="117">
        <f>ROUND((H345),2)</f>
        <v>0</v>
      </c>
      <c r="K345" s="151"/>
      <c r="L345" s="88"/>
      <c r="M345" s="88"/>
      <c r="N345" s="88"/>
      <c r="O345" s="90"/>
      <c r="P345" s="90"/>
      <c r="Q345" s="90"/>
    </row>
    <row r="346" spans="1:17" ht="15.75" customHeight="1">
      <c r="A346" s="104"/>
      <c r="B346" s="118" t="s">
        <v>269</v>
      </c>
      <c r="C346" s="107"/>
      <c r="D346" s="107"/>
      <c r="E346" s="107"/>
      <c r="F346" s="107"/>
      <c r="G346" s="106"/>
      <c r="H346" s="106"/>
      <c r="I346" s="103"/>
      <c r="J346" s="117">
        <f>ROUND((H346),2)</f>
        <v>0</v>
      </c>
      <c r="K346" s="151"/>
      <c r="L346" s="88"/>
      <c r="M346" s="88"/>
      <c r="N346" s="88"/>
      <c r="O346" s="90"/>
      <c r="P346" s="90"/>
      <c r="Q346" s="90"/>
    </row>
    <row r="347" spans="1:17" ht="15.75" customHeight="1">
      <c r="A347" s="104"/>
      <c r="B347" s="135" t="s">
        <v>241</v>
      </c>
      <c r="C347" s="107"/>
      <c r="D347" s="107">
        <v>0.3</v>
      </c>
      <c r="E347" s="107">
        <v>0.3</v>
      </c>
      <c r="F347" s="107">
        <v>2</v>
      </c>
      <c r="G347" s="106"/>
      <c r="H347" s="106">
        <f t="shared" ref="H347:H352" si="33">D347*E347*F347</f>
        <v>0.18</v>
      </c>
      <c r="I347" s="103"/>
      <c r="J347" s="117"/>
      <c r="K347" s="151"/>
      <c r="L347" s="88"/>
      <c r="M347" s="88"/>
      <c r="N347" s="88"/>
      <c r="O347" s="90"/>
      <c r="P347" s="90"/>
      <c r="Q347" s="90"/>
    </row>
    <row r="348" spans="1:17" ht="15.75" customHeight="1">
      <c r="A348" s="104"/>
      <c r="B348" s="118"/>
      <c r="C348" s="107"/>
      <c r="D348" s="107">
        <v>0.3</v>
      </c>
      <c r="E348" s="107">
        <v>0.6</v>
      </c>
      <c r="F348" s="107">
        <v>2</v>
      </c>
      <c r="G348" s="106"/>
      <c r="H348" s="106">
        <f t="shared" si="33"/>
        <v>0.36</v>
      </c>
      <c r="I348" s="103"/>
      <c r="J348" s="117"/>
      <c r="K348" s="151"/>
      <c r="L348" s="88"/>
      <c r="M348" s="88"/>
      <c r="N348" s="88"/>
      <c r="O348" s="90"/>
      <c r="P348" s="90"/>
      <c r="Q348" s="90"/>
    </row>
    <row r="349" spans="1:17" ht="15.75" customHeight="1">
      <c r="A349" s="104"/>
      <c r="B349" s="118"/>
      <c r="C349" s="107"/>
      <c r="D349" s="107">
        <v>0.3</v>
      </c>
      <c r="E349" s="107">
        <v>0.9</v>
      </c>
      <c r="F349" s="107">
        <v>2</v>
      </c>
      <c r="G349" s="106"/>
      <c r="H349" s="106">
        <f t="shared" si="33"/>
        <v>0.54</v>
      </c>
      <c r="I349" s="103"/>
      <c r="J349" s="117"/>
      <c r="K349" s="151"/>
      <c r="L349" s="88"/>
      <c r="M349" s="88"/>
      <c r="N349" s="88"/>
      <c r="O349" s="90"/>
      <c r="P349" s="90"/>
      <c r="Q349" s="90"/>
    </row>
    <row r="350" spans="1:17" ht="15.75" customHeight="1">
      <c r="A350" s="104"/>
      <c r="B350" s="118"/>
      <c r="C350" s="107"/>
      <c r="D350" s="107">
        <v>0.3</v>
      </c>
      <c r="E350" s="107">
        <v>1.2</v>
      </c>
      <c r="F350" s="107">
        <v>2</v>
      </c>
      <c r="G350" s="106"/>
      <c r="H350" s="106">
        <f t="shared" si="33"/>
        <v>0.72</v>
      </c>
      <c r="I350" s="103"/>
      <c r="J350" s="117"/>
      <c r="K350" s="151"/>
      <c r="L350" s="88"/>
      <c r="M350" s="88"/>
      <c r="N350" s="88"/>
      <c r="O350" s="90"/>
      <c r="P350" s="90"/>
      <c r="Q350" s="90"/>
    </row>
    <row r="351" spans="1:17" ht="15.75" customHeight="1">
      <c r="A351" s="104"/>
      <c r="B351" s="118"/>
      <c r="C351" s="107"/>
      <c r="D351" s="107">
        <v>0.3</v>
      </c>
      <c r="E351" s="107">
        <v>1.5</v>
      </c>
      <c r="F351" s="107">
        <v>2</v>
      </c>
      <c r="G351" s="106"/>
      <c r="H351" s="106">
        <f t="shared" si="33"/>
        <v>0.89999999999999991</v>
      </c>
      <c r="I351" s="103"/>
      <c r="J351" s="117"/>
      <c r="K351" s="151"/>
      <c r="L351" s="88"/>
      <c r="M351" s="88"/>
      <c r="N351" s="88"/>
      <c r="O351" s="90"/>
      <c r="P351" s="90"/>
      <c r="Q351" s="90"/>
    </row>
    <row r="352" spans="1:17" ht="15.75" customHeight="1">
      <c r="A352" s="104"/>
      <c r="B352" s="118"/>
      <c r="C352" s="107"/>
      <c r="D352" s="107">
        <v>0.3</v>
      </c>
      <c r="E352" s="107">
        <v>1.8</v>
      </c>
      <c r="F352" s="107">
        <v>2</v>
      </c>
      <c r="G352" s="106"/>
      <c r="H352" s="106">
        <f t="shared" si="33"/>
        <v>1.08</v>
      </c>
      <c r="I352" s="103"/>
      <c r="J352" s="117"/>
      <c r="K352" s="151"/>
      <c r="L352" s="88"/>
      <c r="M352" s="88"/>
      <c r="N352" s="88"/>
      <c r="O352" s="90"/>
      <c r="P352" s="90"/>
      <c r="Q352" s="90"/>
    </row>
    <row r="353" spans="1:17" ht="15.75" customHeight="1">
      <c r="A353" s="104"/>
      <c r="B353" s="135" t="s">
        <v>270</v>
      </c>
      <c r="C353" s="107">
        <v>1</v>
      </c>
      <c r="D353" s="107">
        <v>0.3</v>
      </c>
      <c r="E353" s="107">
        <v>0.3</v>
      </c>
      <c r="F353" s="107">
        <v>6</v>
      </c>
      <c r="G353" s="106"/>
      <c r="H353" s="106">
        <f>C353*(D353+E353)*F353</f>
        <v>3.5999999999999996</v>
      </c>
      <c r="I353" s="103"/>
      <c r="J353" s="117"/>
      <c r="K353" s="151"/>
      <c r="L353" s="88"/>
      <c r="M353" s="88"/>
      <c r="N353" s="88"/>
      <c r="O353" s="90"/>
      <c r="P353" s="90"/>
      <c r="Q353" s="90"/>
    </row>
    <row r="354" spans="1:17" ht="15.75" customHeight="1">
      <c r="A354" s="104"/>
      <c r="B354" s="118" t="s">
        <v>244</v>
      </c>
      <c r="C354" s="107"/>
      <c r="D354" s="107"/>
      <c r="E354" s="107"/>
      <c r="F354" s="107"/>
      <c r="G354" s="106"/>
      <c r="H354" s="106"/>
      <c r="I354" s="103"/>
      <c r="J354" s="117"/>
      <c r="K354" s="151"/>
      <c r="L354" s="88"/>
      <c r="M354" s="88"/>
      <c r="N354" s="88"/>
      <c r="O354" s="90"/>
      <c r="P354" s="90"/>
      <c r="Q354" s="90"/>
    </row>
    <row r="355" spans="1:17" ht="15.75" customHeight="1">
      <c r="A355" s="104"/>
      <c r="B355" s="135" t="s">
        <v>241</v>
      </c>
      <c r="C355" s="107"/>
      <c r="D355" s="107">
        <v>0.3</v>
      </c>
      <c r="E355" s="107">
        <v>0.3</v>
      </c>
      <c r="F355" s="107">
        <v>2</v>
      </c>
      <c r="G355" s="106"/>
      <c r="H355" s="106">
        <f>D355*E355*F355</f>
        <v>0.18</v>
      </c>
      <c r="I355" s="103"/>
      <c r="J355" s="117"/>
      <c r="K355" s="151"/>
      <c r="L355" s="88"/>
      <c r="M355" s="88"/>
      <c r="N355" s="88"/>
      <c r="O355" s="90"/>
      <c r="P355" s="90"/>
      <c r="Q355" s="90"/>
    </row>
    <row r="356" spans="1:17" ht="15.75" customHeight="1">
      <c r="A356" s="104"/>
      <c r="B356" s="118"/>
      <c r="C356" s="107"/>
      <c r="D356" s="107">
        <v>0.3</v>
      </c>
      <c r="E356" s="107">
        <v>0.6</v>
      </c>
      <c r="F356" s="107">
        <v>2</v>
      </c>
      <c r="G356" s="106"/>
      <c r="H356" s="106">
        <f>D356*E356*F356</f>
        <v>0.36</v>
      </c>
      <c r="I356" s="103"/>
      <c r="J356" s="117"/>
      <c r="K356" s="151"/>
      <c r="L356" s="88"/>
      <c r="M356" s="88"/>
      <c r="N356" s="88"/>
      <c r="O356" s="90"/>
      <c r="P356" s="90"/>
      <c r="Q356" s="90"/>
    </row>
    <row r="357" spans="1:17" ht="15.75" customHeight="1">
      <c r="A357" s="104"/>
      <c r="B357" s="118"/>
      <c r="C357" s="107"/>
      <c r="D357" s="107">
        <v>0.3</v>
      </c>
      <c r="E357" s="107">
        <v>0.9</v>
      </c>
      <c r="F357" s="107">
        <v>2</v>
      </c>
      <c r="G357" s="106"/>
      <c r="H357" s="106">
        <f>D357*E357*F357</f>
        <v>0.54</v>
      </c>
      <c r="I357" s="103"/>
      <c r="J357" s="117"/>
      <c r="K357" s="151"/>
      <c r="L357" s="88"/>
      <c r="M357" s="88"/>
      <c r="N357" s="88"/>
      <c r="O357" s="90"/>
      <c r="P357" s="90"/>
      <c r="Q357" s="90"/>
    </row>
    <row r="358" spans="1:17" ht="15.75" customHeight="1">
      <c r="A358" s="104"/>
      <c r="B358" s="118"/>
      <c r="C358" s="107"/>
      <c r="D358" s="107">
        <v>0.3</v>
      </c>
      <c r="E358" s="107">
        <v>1.2</v>
      </c>
      <c r="F358" s="107">
        <v>2</v>
      </c>
      <c r="G358" s="106"/>
      <c r="H358" s="106">
        <f>D358*E358*F358</f>
        <v>0.72</v>
      </c>
      <c r="I358" s="103"/>
      <c r="J358" s="117"/>
      <c r="K358" s="151"/>
      <c r="L358" s="88"/>
      <c r="M358" s="88"/>
      <c r="N358" s="88"/>
      <c r="O358" s="90"/>
      <c r="P358" s="90"/>
      <c r="Q358" s="90"/>
    </row>
    <row r="359" spans="1:17" ht="15.75" customHeight="1">
      <c r="A359" s="104"/>
      <c r="B359" s="135" t="s">
        <v>270</v>
      </c>
      <c r="C359" s="107">
        <v>1.5</v>
      </c>
      <c r="D359" s="107">
        <v>0.3</v>
      </c>
      <c r="E359" s="107">
        <v>0.3</v>
      </c>
      <c r="F359" s="107">
        <v>4</v>
      </c>
      <c r="G359" s="106"/>
      <c r="H359" s="147">
        <f>C359*(D359+E359)*F359</f>
        <v>3.5999999999999996</v>
      </c>
      <c r="I359" s="103"/>
      <c r="J359" s="117"/>
      <c r="K359" s="151"/>
      <c r="L359" s="88"/>
      <c r="M359" s="88"/>
      <c r="N359" s="88"/>
      <c r="O359" s="90"/>
      <c r="P359" s="90"/>
      <c r="Q359" s="90"/>
    </row>
    <row r="360" spans="1:17" ht="15.75" customHeight="1">
      <c r="A360" s="104"/>
      <c r="B360" s="118"/>
      <c r="C360" s="107"/>
      <c r="D360" s="107"/>
      <c r="E360" s="107"/>
      <c r="F360" s="107"/>
      <c r="G360" s="106"/>
      <c r="H360" s="115">
        <f>SUM(H347:H359)</f>
        <v>12.780000000000001</v>
      </c>
      <c r="I360" s="116" t="s">
        <v>89</v>
      </c>
      <c r="J360" s="117">
        <f t="shared" ref="J360:J367" si="34">ROUND((H360),2)</f>
        <v>12.78</v>
      </c>
      <c r="K360" s="151"/>
      <c r="L360" s="88"/>
      <c r="M360" s="88"/>
      <c r="N360" s="88"/>
      <c r="O360" s="90"/>
      <c r="P360" s="90"/>
      <c r="Q360" s="90"/>
    </row>
    <row r="361" spans="1:17" ht="15.75" customHeight="1">
      <c r="A361" s="104">
        <f>A263+1</f>
        <v>14</v>
      </c>
      <c r="B361" s="118" t="s">
        <v>271</v>
      </c>
      <c r="C361" s="107"/>
      <c r="D361" s="107"/>
      <c r="E361" s="107"/>
      <c r="F361" s="107"/>
      <c r="G361" s="106"/>
      <c r="H361" s="106"/>
      <c r="I361" s="103"/>
      <c r="J361" s="117">
        <f t="shared" si="34"/>
        <v>0</v>
      </c>
      <c r="K361" s="151"/>
      <c r="L361" s="88"/>
      <c r="M361" s="88"/>
      <c r="N361" s="88"/>
      <c r="O361" s="90"/>
      <c r="P361" s="90"/>
      <c r="Q361" s="90"/>
    </row>
    <row r="362" spans="1:17" ht="15.75" customHeight="1">
      <c r="A362" s="120" t="s">
        <v>95</v>
      </c>
      <c r="B362" s="118" t="s">
        <v>272</v>
      </c>
      <c r="C362" s="107">
        <v>16.600000000000001</v>
      </c>
      <c r="D362" s="107">
        <v>3.25</v>
      </c>
      <c r="E362" s="107">
        <v>0.9</v>
      </c>
      <c r="F362" s="107"/>
      <c r="G362" s="106"/>
      <c r="H362" s="106">
        <f>C362*D362*E362</f>
        <v>48.555000000000007</v>
      </c>
      <c r="I362" s="103" t="s">
        <v>103</v>
      </c>
      <c r="J362" s="117">
        <f t="shared" si="34"/>
        <v>48.56</v>
      </c>
      <c r="K362" s="151"/>
      <c r="L362" s="88"/>
      <c r="M362" s="88"/>
      <c r="N362" s="88"/>
      <c r="O362" s="90"/>
      <c r="P362" s="90"/>
      <c r="Q362" s="90"/>
    </row>
    <row r="363" spans="1:17" ht="15.75" customHeight="1">
      <c r="A363" s="120" t="s">
        <v>98</v>
      </c>
      <c r="B363" s="118" t="s">
        <v>273</v>
      </c>
      <c r="C363" s="107">
        <v>20.399999999999999</v>
      </c>
      <c r="D363" s="107">
        <v>3.25</v>
      </c>
      <c r="E363" s="107">
        <v>0.9</v>
      </c>
      <c r="F363" s="107"/>
      <c r="G363" s="106"/>
      <c r="H363" s="106">
        <f>C363*D363*E363</f>
        <v>59.67</v>
      </c>
      <c r="I363" s="103" t="s">
        <v>103</v>
      </c>
      <c r="J363" s="117">
        <f t="shared" si="34"/>
        <v>59.67</v>
      </c>
      <c r="K363" s="151"/>
      <c r="L363" s="88"/>
      <c r="M363" s="88"/>
      <c r="N363" s="88"/>
      <c r="O363" s="90"/>
      <c r="P363" s="90"/>
      <c r="Q363" s="90"/>
    </row>
    <row r="364" spans="1:17" ht="15.75" customHeight="1">
      <c r="A364" s="104">
        <f>A361+1</f>
        <v>15</v>
      </c>
      <c r="B364" s="118" t="s">
        <v>274</v>
      </c>
      <c r="C364" s="107"/>
      <c r="D364" s="107"/>
      <c r="E364" s="107"/>
      <c r="F364" s="107"/>
      <c r="G364" s="106"/>
      <c r="H364" s="106"/>
      <c r="I364" s="103"/>
      <c r="J364" s="117">
        <f t="shared" si="34"/>
        <v>0</v>
      </c>
      <c r="K364" s="151"/>
      <c r="L364" s="88"/>
      <c r="M364" s="88"/>
      <c r="N364" s="88"/>
      <c r="O364" s="90"/>
      <c r="P364" s="90"/>
      <c r="Q364" s="90"/>
    </row>
    <row r="365" spans="1:17" ht="15.75" customHeight="1">
      <c r="A365" s="120" t="s">
        <v>95</v>
      </c>
      <c r="B365" s="118" t="s">
        <v>272</v>
      </c>
      <c r="C365" s="107">
        <v>16.600000000000001</v>
      </c>
      <c r="D365" s="107">
        <v>3.25</v>
      </c>
      <c r="E365" s="107">
        <v>0.2</v>
      </c>
      <c r="F365" s="107"/>
      <c r="G365" s="106"/>
      <c r="H365" s="106">
        <f>C365*D365*E365</f>
        <v>10.790000000000001</v>
      </c>
      <c r="I365" s="103" t="s">
        <v>103</v>
      </c>
      <c r="J365" s="117">
        <f t="shared" si="34"/>
        <v>10.79</v>
      </c>
      <c r="K365" s="151"/>
      <c r="L365" s="88"/>
      <c r="M365" s="88"/>
      <c r="N365" s="88"/>
      <c r="O365" s="90"/>
      <c r="P365" s="90"/>
      <c r="Q365" s="90"/>
    </row>
    <row r="366" spans="1:17" ht="15.75" customHeight="1">
      <c r="A366" s="120" t="s">
        <v>98</v>
      </c>
      <c r="B366" s="118" t="s">
        <v>273</v>
      </c>
      <c r="C366" s="107">
        <v>20.399999999999999</v>
      </c>
      <c r="D366" s="107">
        <v>3.25</v>
      </c>
      <c r="E366" s="107">
        <v>0.2</v>
      </c>
      <c r="F366" s="107"/>
      <c r="G366" s="106"/>
      <c r="H366" s="106">
        <f>C366*D366*E366</f>
        <v>13.26</v>
      </c>
      <c r="I366" s="103" t="s">
        <v>103</v>
      </c>
      <c r="J366" s="117">
        <f t="shared" si="34"/>
        <v>13.26</v>
      </c>
      <c r="K366" s="151"/>
      <c r="L366" s="88"/>
      <c r="M366" s="88"/>
      <c r="N366" s="88"/>
      <c r="O366" s="90"/>
      <c r="P366" s="90"/>
      <c r="Q366" s="90"/>
    </row>
    <row r="367" spans="1:17" ht="27.75" customHeight="1">
      <c r="A367" s="276">
        <f>A364+1</f>
        <v>16</v>
      </c>
      <c r="B367" s="277" t="s">
        <v>275</v>
      </c>
      <c r="C367" s="171">
        <v>3.2</v>
      </c>
      <c r="D367" s="171">
        <v>4.2</v>
      </c>
      <c r="E367" s="171">
        <v>7.0000000000000007E-2</v>
      </c>
      <c r="F367" s="171"/>
      <c r="G367" s="171"/>
      <c r="H367" s="171">
        <f>C367*D367*E367</f>
        <v>0.94080000000000019</v>
      </c>
      <c r="I367" s="103" t="s">
        <v>103</v>
      </c>
      <c r="J367" s="117">
        <f t="shared" si="34"/>
        <v>0.94</v>
      </c>
      <c r="K367" s="151"/>
      <c r="L367" s="88"/>
      <c r="M367" s="88"/>
      <c r="N367" s="88"/>
      <c r="O367" s="90"/>
      <c r="P367" s="90"/>
      <c r="Q367" s="90"/>
    </row>
    <row r="368" spans="1:17" ht="15.75" customHeight="1">
      <c r="A368" s="278"/>
      <c r="B368" s="279"/>
      <c r="C368" s="280"/>
      <c r="D368" s="280"/>
      <c r="E368" s="280"/>
      <c r="F368" s="280"/>
      <c r="G368" s="280"/>
      <c r="H368" s="280"/>
      <c r="I368" s="281"/>
      <c r="J368" s="89"/>
      <c r="K368" s="151"/>
      <c r="L368" s="88"/>
      <c r="M368" s="88"/>
      <c r="N368" s="88"/>
      <c r="O368" s="90"/>
      <c r="P368" s="90"/>
      <c r="Q368" s="90"/>
    </row>
  </sheetData>
  <mergeCells count="6">
    <mergeCell ref="O283:O284"/>
    <mergeCell ref="D168:G168"/>
    <mergeCell ref="K279:K284"/>
    <mergeCell ref="L280:L284"/>
    <mergeCell ref="M281:M284"/>
    <mergeCell ref="N282:N284"/>
  </mergeCells>
  <pageMargins left="0.25" right="0.25" top="0.75" bottom="0.75" header="0.511811023622047" footer="0.511811023622047"/>
  <pageSetup paperSize="9" fitToHeight="0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AD47"/>
    <pageSetUpPr fitToPage="1"/>
  </sheetPr>
  <dimension ref="A1:S661"/>
  <sheetViews>
    <sheetView topLeftCell="A6" zoomScaleNormal="100" workbookViewId="0">
      <pane ySplit="1" topLeftCell="A530" activePane="bottomLeft" state="frozen"/>
      <selection activeCell="A6" sqref="A6"/>
      <selection pane="bottomLeft" activeCell="J549" sqref="J549"/>
    </sheetView>
  </sheetViews>
  <sheetFormatPr baseColWidth="10" defaultColWidth="9" defaultRowHeight="14"/>
  <cols>
    <col min="1" max="1" width="9" style="86"/>
    <col min="2" max="2" width="50.5" style="86" customWidth="1"/>
    <col min="3" max="3" width="14.1640625" style="86" customWidth="1"/>
    <col min="4" max="4" width="12.1640625" style="86" customWidth="1"/>
    <col min="5" max="5" width="12.5" style="86" customWidth="1"/>
    <col min="6" max="6" width="13.83203125" style="86" customWidth="1"/>
    <col min="7" max="7" width="10.83203125" style="86" customWidth="1"/>
    <col min="8" max="8" width="14.5" style="86" customWidth="1"/>
    <col min="9" max="9" width="6.5" style="86" customWidth="1"/>
    <col min="10" max="10" width="15.5" style="87" customWidth="1"/>
    <col min="11" max="11" width="11.83203125" style="86" customWidth="1"/>
    <col min="12" max="13" width="9" style="86"/>
    <col min="14" max="14" width="12.1640625" style="86" customWidth="1"/>
    <col min="15" max="16384" width="9" style="86"/>
  </cols>
  <sheetData>
    <row r="1" spans="1:17" ht="15.75" customHeight="1">
      <c r="A1" s="88"/>
      <c r="B1" s="88"/>
      <c r="C1" s="88"/>
      <c r="D1" s="88"/>
      <c r="E1" s="88"/>
      <c r="F1" s="88"/>
      <c r="G1" s="88"/>
      <c r="H1" s="88"/>
      <c r="I1" s="88"/>
      <c r="J1" s="89"/>
      <c r="K1" s="88"/>
      <c r="L1" s="88"/>
      <c r="M1" s="88"/>
      <c r="N1" s="88"/>
      <c r="O1" s="90"/>
      <c r="P1" s="90"/>
      <c r="Q1" s="90"/>
    </row>
    <row r="2" spans="1:17" ht="15.75" customHeight="1">
      <c r="A2" s="88"/>
      <c r="B2" s="88"/>
      <c r="C2" s="88"/>
      <c r="D2" s="88"/>
      <c r="E2" s="88"/>
      <c r="F2" s="88"/>
      <c r="G2" s="88"/>
      <c r="H2" s="88"/>
      <c r="I2" s="88"/>
      <c r="J2" s="89"/>
      <c r="K2" s="88"/>
      <c r="L2" s="88"/>
      <c r="M2" s="88"/>
      <c r="N2" s="88"/>
      <c r="O2" s="90"/>
      <c r="P2" s="90"/>
      <c r="Q2" s="90"/>
    </row>
    <row r="3" spans="1:17" ht="15.75" customHeight="1">
      <c r="A3" s="88"/>
      <c r="B3" s="88"/>
      <c r="C3" s="88"/>
      <c r="D3" s="88"/>
      <c r="E3" s="88"/>
      <c r="F3" s="88"/>
      <c r="G3" s="88"/>
      <c r="H3" s="88"/>
      <c r="I3" s="88"/>
      <c r="J3" s="89"/>
      <c r="K3" s="88"/>
      <c r="L3" s="88"/>
      <c r="M3" s="88"/>
      <c r="N3" s="88"/>
      <c r="O3" s="90"/>
      <c r="P3" s="90"/>
      <c r="Q3" s="90"/>
    </row>
    <row r="4" spans="1:17" ht="24" customHeight="1">
      <c r="A4" s="91" t="s">
        <v>76</v>
      </c>
      <c r="B4" s="88"/>
      <c r="C4" s="88"/>
      <c r="D4" s="88"/>
      <c r="E4" s="88"/>
      <c r="F4" s="88"/>
      <c r="G4" s="88"/>
      <c r="H4" s="88"/>
      <c r="I4" s="88"/>
      <c r="J4" s="89"/>
      <c r="K4" s="88"/>
      <c r="L4" s="88"/>
      <c r="M4" s="88"/>
      <c r="N4" s="88"/>
      <c r="O4" s="90"/>
      <c r="P4" s="90"/>
      <c r="Q4" s="90"/>
    </row>
    <row r="5" spans="1:17" ht="15.75" customHeight="1">
      <c r="A5" s="88"/>
      <c r="B5" s="88"/>
      <c r="C5" s="88"/>
      <c r="D5" s="88"/>
      <c r="E5" s="88"/>
      <c r="F5" s="88"/>
      <c r="G5" s="88"/>
      <c r="H5" s="88"/>
      <c r="I5" s="88"/>
      <c r="J5" s="89"/>
      <c r="K5" s="88"/>
      <c r="L5" s="88"/>
      <c r="M5" s="88"/>
      <c r="N5" s="88"/>
      <c r="O5" s="90"/>
      <c r="P5" s="90"/>
      <c r="Q5" s="90"/>
    </row>
    <row r="6" spans="1:17" ht="21.75" customHeight="1">
      <c r="A6" s="92" t="s">
        <v>1</v>
      </c>
      <c r="B6" s="93" t="s">
        <v>68</v>
      </c>
      <c r="C6" s="93" t="s">
        <v>77</v>
      </c>
      <c r="D6" s="93" t="s">
        <v>78</v>
      </c>
      <c r="E6" s="93" t="s">
        <v>79</v>
      </c>
      <c r="F6" s="93" t="s">
        <v>6</v>
      </c>
      <c r="G6" s="93" t="s">
        <v>80</v>
      </c>
      <c r="H6" s="93" t="s">
        <v>81</v>
      </c>
      <c r="I6" s="94" t="s">
        <v>82</v>
      </c>
      <c r="J6" s="95" t="s">
        <v>83</v>
      </c>
      <c r="K6" s="88" t="e">
        <f>#VALUE!</f>
        <v>#VALUE!</v>
      </c>
      <c r="L6" s="88"/>
      <c r="M6" s="88"/>
      <c r="N6" s="88"/>
      <c r="O6" s="90"/>
      <c r="P6" s="90"/>
      <c r="Q6" s="90"/>
    </row>
    <row r="7" spans="1:17" ht="7.5" customHeight="1">
      <c r="A7" s="88"/>
      <c r="B7" s="88"/>
      <c r="C7" s="88"/>
      <c r="D7" s="88"/>
      <c r="E7" s="88"/>
      <c r="F7" s="88"/>
      <c r="G7" s="88"/>
      <c r="H7" s="88"/>
      <c r="I7" s="88"/>
      <c r="J7" s="89"/>
      <c r="K7" s="88"/>
      <c r="L7" s="88"/>
      <c r="M7" s="88"/>
      <c r="N7" s="88"/>
      <c r="O7" s="90"/>
      <c r="P7" s="90"/>
      <c r="Q7" s="90"/>
    </row>
    <row r="8" spans="1:17" ht="7.5" customHeight="1">
      <c r="A8" s="96"/>
      <c r="B8" s="97"/>
      <c r="C8" s="97"/>
      <c r="D8" s="97"/>
      <c r="E8" s="97"/>
      <c r="F8" s="97"/>
      <c r="G8" s="97"/>
      <c r="H8" s="97"/>
      <c r="I8" s="98"/>
      <c r="J8" s="89"/>
      <c r="K8" s="88"/>
      <c r="L8" s="88"/>
      <c r="M8" s="88"/>
      <c r="N8" s="88"/>
      <c r="O8" s="90"/>
      <c r="P8" s="90"/>
      <c r="Q8" s="90"/>
    </row>
    <row r="9" spans="1:17" ht="15.75" customHeight="1">
      <c r="A9" s="99" t="s">
        <v>84</v>
      </c>
      <c r="B9" s="100" t="s">
        <v>276</v>
      </c>
      <c r="C9" s="101"/>
      <c r="D9" s="101"/>
      <c r="E9" s="102"/>
      <c r="F9" s="102"/>
      <c r="G9" s="102"/>
      <c r="H9" s="102"/>
      <c r="I9" s="103"/>
      <c r="J9" s="89"/>
      <c r="K9" s="88"/>
      <c r="L9" s="88"/>
      <c r="M9" s="88"/>
      <c r="N9" s="88"/>
      <c r="O9" s="90"/>
      <c r="P9" s="90"/>
      <c r="Q9" s="90"/>
    </row>
    <row r="10" spans="1:17" ht="45" customHeight="1">
      <c r="A10" s="104">
        <v>1</v>
      </c>
      <c r="B10" s="114" t="s">
        <v>277</v>
      </c>
      <c r="C10" s="106">
        <v>54</v>
      </c>
      <c r="D10" s="106">
        <v>1.5</v>
      </c>
      <c r="E10" s="106"/>
      <c r="F10" s="106"/>
      <c r="G10" s="106"/>
      <c r="H10" s="107">
        <f>ROUNDUP((C10*D10),0.5)</f>
        <v>81</v>
      </c>
      <c r="I10" s="103"/>
      <c r="J10" s="108"/>
      <c r="K10" s="88"/>
      <c r="L10" s="88"/>
      <c r="M10" s="88"/>
      <c r="N10" s="88"/>
      <c r="O10" s="90"/>
      <c r="P10" s="90"/>
      <c r="Q10" s="90"/>
    </row>
    <row r="11" spans="1:17" ht="15.75" customHeight="1">
      <c r="A11" s="104"/>
      <c r="B11" s="114"/>
      <c r="C11" s="111">
        <f>C10</f>
        <v>54</v>
      </c>
      <c r="D11" s="111">
        <v>3</v>
      </c>
      <c r="E11" s="106"/>
      <c r="F11" s="106"/>
      <c r="G11" s="106"/>
      <c r="H11" s="112">
        <f>ROUNDUP((C11*D11),0.5)</f>
        <v>162</v>
      </c>
      <c r="I11" s="113"/>
      <c r="J11" s="108"/>
      <c r="K11" s="88"/>
      <c r="L11" s="88"/>
      <c r="M11" s="88"/>
      <c r="N11" s="88"/>
      <c r="O11" s="90"/>
      <c r="P11" s="90"/>
      <c r="Q11" s="90"/>
    </row>
    <row r="12" spans="1:17" ht="15.75" customHeight="1">
      <c r="A12" s="104"/>
      <c r="B12" s="114"/>
      <c r="C12" s="111"/>
      <c r="D12" s="111"/>
      <c r="E12" s="106"/>
      <c r="F12" s="106"/>
      <c r="G12" s="106"/>
      <c r="H12" s="115">
        <f>ROUNDUP((SUM(H10:H11)),5)</f>
        <v>243</v>
      </c>
      <c r="I12" s="116" t="s">
        <v>89</v>
      </c>
      <c r="J12" s="117">
        <f t="shared" ref="J12:J17" si="0">ROUND((H12),2)</f>
        <v>243</v>
      </c>
      <c r="K12" s="88"/>
      <c r="L12" s="88"/>
      <c r="M12" s="88"/>
      <c r="N12" s="88"/>
      <c r="O12" s="90"/>
      <c r="P12" s="90"/>
      <c r="Q12" s="90"/>
    </row>
    <row r="13" spans="1:17" ht="15.75" customHeight="1">
      <c r="A13" s="104">
        <f>A10+1</f>
        <v>2</v>
      </c>
      <c r="B13" s="282" t="s">
        <v>278</v>
      </c>
      <c r="C13" s="283"/>
      <c r="D13" s="283"/>
      <c r="E13" s="106"/>
      <c r="F13" s="106"/>
      <c r="G13" s="106"/>
      <c r="H13" s="106">
        <v>1</v>
      </c>
      <c r="I13" s="103" t="s">
        <v>49</v>
      </c>
      <c r="J13" s="117">
        <f t="shared" si="0"/>
        <v>1</v>
      </c>
      <c r="K13" s="88"/>
      <c r="L13" s="88"/>
      <c r="M13" s="88"/>
      <c r="N13" s="88"/>
      <c r="O13" s="90"/>
      <c r="P13" s="90"/>
      <c r="Q13" s="90"/>
    </row>
    <row r="14" spans="1:17" ht="15.75" customHeight="1">
      <c r="A14" s="104">
        <f>A13+1</f>
        <v>3</v>
      </c>
      <c r="B14" s="129" t="s">
        <v>279</v>
      </c>
      <c r="C14" s="106"/>
      <c r="D14" s="106"/>
      <c r="E14" s="106"/>
      <c r="F14" s="106"/>
      <c r="G14" s="106"/>
      <c r="H14" s="106">
        <v>1</v>
      </c>
      <c r="I14" s="103" t="s">
        <v>49</v>
      </c>
      <c r="J14" s="117">
        <f t="shared" si="0"/>
        <v>1</v>
      </c>
      <c r="K14" s="88"/>
      <c r="L14" s="88"/>
      <c r="M14" s="88"/>
      <c r="N14" s="88"/>
      <c r="O14" s="90"/>
      <c r="P14" s="90"/>
      <c r="Q14" s="90"/>
    </row>
    <row r="15" spans="1:17" ht="15.75" customHeight="1">
      <c r="A15" s="104">
        <f>A14+1</f>
        <v>4</v>
      </c>
      <c r="B15" s="118" t="s">
        <v>90</v>
      </c>
      <c r="C15" s="107"/>
      <c r="D15" s="107"/>
      <c r="E15" s="106"/>
      <c r="F15" s="106"/>
      <c r="G15" s="106"/>
      <c r="H15" s="102"/>
      <c r="I15" s="103"/>
      <c r="J15" s="117">
        <f t="shared" si="0"/>
        <v>0</v>
      </c>
      <c r="K15" s="88"/>
      <c r="L15" s="88"/>
      <c r="M15" s="88"/>
      <c r="N15" s="88"/>
      <c r="O15" s="90"/>
      <c r="P15" s="90"/>
      <c r="Q15" s="90"/>
    </row>
    <row r="16" spans="1:17" ht="33" customHeight="1">
      <c r="A16" s="104" t="s">
        <v>280</v>
      </c>
      <c r="B16" s="114" t="s">
        <v>92</v>
      </c>
      <c r="C16" s="107"/>
      <c r="D16" s="107"/>
      <c r="E16" s="106"/>
      <c r="F16" s="106"/>
      <c r="G16" s="106"/>
      <c r="H16" s="102"/>
      <c r="I16" s="103"/>
      <c r="J16" s="117">
        <f t="shared" si="0"/>
        <v>0</v>
      </c>
      <c r="K16" s="88"/>
      <c r="L16" s="88" t="s">
        <v>94</v>
      </c>
      <c r="M16" s="88" t="s">
        <v>93</v>
      </c>
      <c r="N16" s="88"/>
      <c r="O16" s="90"/>
      <c r="P16" s="90"/>
      <c r="Q16" s="90"/>
    </row>
    <row r="17" spans="1:18" ht="15.75" customHeight="1">
      <c r="A17" s="120" t="s">
        <v>95</v>
      </c>
      <c r="B17" s="118" t="s">
        <v>96</v>
      </c>
      <c r="C17" s="107">
        <v>0.6</v>
      </c>
      <c r="D17" s="106">
        <v>0.15</v>
      </c>
      <c r="E17" s="106"/>
      <c r="F17" s="106">
        <v>4</v>
      </c>
      <c r="G17" s="106">
        <f>N17</f>
        <v>108</v>
      </c>
      <c r="H17" s="107">
        <f>ROUNDUP((C17*D17*F17*G17),5)+H18</f>
        <v>77.760000000000005</v>
      </c>
      <c r="I17" s="103" t="s">
        <v>89</v>
      </c>
      <c r="J17" s="117">
        <f t="shared" si="0"/>
        <v>77.760000000000005</v>
      </c>
      <c r="K17" s="88"/>
      <c r="L17" s="149">
        <f>ROUNDUP(C11/1.5,0.1)</f>
        <v>36</v>
      </c>
      <c r="M17" s="88">
        <v>3</v>
      </c>
      <c r="N17" s="88">
        <f>L17*M17</f>
        <v>108</v>
      </c>
      <c r="O17" s="90"/>
      <c r="P17" s="90"/>
      <c r="Q17" s="90"/>
    </row>
    <row r="18" spans="1:18" ht="15.75" customHeight="1">
      <c r="A18" s="120"/>
      <c r="B18" s="135" t="s">
        <v>97</v>
      </c>
      <c r="C18" s="107">
        <v>0.6</v>
      </c>
      <c r="D18" s="106">
        <v>0.6</v>
      </c>
      <c r="E18" s="106"/>
      <c r="F18" s="106">
        <v>1</v>
      </c>
      <c r="G18" s="106">
        <f>G17</f>
        <v>108</v>
      </c>
      <c r="H18" s="107">
        <f>ROUNDUP((C18*D18*F18*G18),5)</f>
        <v>38.880000000000003</v>
      </c>
      <c r="I18" s="103"/>
      <c r="J18" s="117"/>
      <c r="K18" s="88"/>
      <c r="L18" s="88"/>
      <c r="M18" s="88"/>
      <c r="N18" s="88"/>
      <c r="O18" s="90"/>
      <c r="P18" s="90"/>
      <c r="Q18" s="90"/>
    </row>
    <row r="19" spans="1:18" ht="15.75" customHeight="1">
      <c r="A19" s="120" t="s">
        <v>98</v>
      </c>
      <c r="B19" s="118" t="s">
        <v>99</v>
      </c>
      <c r="C19" s="123">
        <f>((0.52+0.07)*2)+0.05</f>
        <v>1.2300000000000002</v>
      </c>
      <c r="D19" s="106">
        <f>13*13*0.006165</f>
        <v>1.041885</v>
      </c>
      <c r="E19" s="106">
        <v>4</v>
      </c>
      <c r="F19" s="106">
        <v>2</v>
      </c>
      <c r="G19" s="228">
        <f>G17</f>
        <v>108</v>
      </c>
      <c r="H19" s="107">
        <f>C19*D19*E19*F19*G19</f>
        <v>1107.2320272000002</v>
      </c>
      <c r="I19" s="103" t="s">
        <v>100</v>
      </c>
      <c r="J19" s="117">
        <f>ROUND((H19),2)</f>
        <v>1107.23</v>
      </c>
      <c r="K19" s="88"/>
      <c r="L19" s="88"/>
      <c r="M19" s="88"/>
      <c r="N19" s="88"/>
      <c r="O19" s="90"/>
      <c r="P19" s="90"/>
      <c r="Q19" s="90"/>
    </row>
    <row r="20" spans="1:18" ht="15.75" customHeight="1">
      <c r="A20" s="120" t="s">
        <v>101</v>
      </c>
      <c r="B20" s="118" t="s">
        <v>102</v>
      </c>
      <c r="C20" s="107">
        <v>0.6</v>
      </c>
      <c r="D20" s="107">
        <v>0.6</v>
      </c>
      <c r="E20" s="106">
        <v>0.15</v>
      </c>
      <c r="F20" s="106"/>
      <c r="G20" s="228">
        <f>G19</f>
        <v>108</v>
      </c>
      <c r="H20" s="107">
        <f>ROUNDUP((C20*D20*E20*G20),5)</f>
        <v>5.8319999999999999</v>
      </c>
      <c r="I20" s="103" t="s">
        <v>103</v>
      </c>
      <c r="J20" s="117">
        <f>ROUND((H20),2)</f>
        <v>5.83</v>
      </c>
      <c r="K20" s="88"/>
      <c r="L20" s="88"/>
      <c r="M20" s="88"/>
      <c r="N20" s="88"/>
      <c r="O20" s="90"/>
      <c r="P20" s="90"/>
      <c r="Q20" s="90"/>
    </row>
    <row r="21" spans="1:18" ht="15.75" customHeight="1">
      <c r="A21" s="104" t="s">
        <v>281</v>
      </c>
      <c r="B21" s="118" t="s">
        <v>282</v>
      </c>
      <c r="C21" s="107"/>
      <c r="D21" s="107"/>
      <c r="E21" s="106"/>
      <c r="F21" s="106"/>
      <c r="G21" s="106"/>
      <c r="H21" s="102"/>
      <c r="I21" s="103"/>
      <c r="J21" s="117"/>
      <c r="K21" s="88"/>
      <c r="L21" s="88"/>
      <c r="M21" s="88"/>
      <c r="N21" s="88"/>
      <c r="O21" s="90"/>
      <c r="P21" s="90"/>
      <c r="Q21" s="90"/>
    </row>
    <row r="22" spans="1:18" ht="15.75" customHeight="1">
      <c r="A22" s="120" t="s">
        <v>95</v>
      </c>
      <c r="B22" s="118" t="s">
        <v>106</v>
      </c>
      <c r="C22" s="107"/>
      <c r="D22" s="107"/>
      <c r="E22" s="106"/>
      <c r="F22" s="106"/>
      <c r="G22" s="106"/>
      <c r="H22" s="102"/>
      <c r="I22" s="103"/>
      <c r="J22" s="117"/>
      <c r="K22" s="88"/>
      <c r="L22" s="88"/>
      <c r="M22" s="88"/>
      <c r="N22" s="88"/>
      <c r="O22" s="90"/>
      <c r="P22" s="90"/>
      <c r="Q22" s="90"/>
    </row>
    <row r="23" spans="1:18" ht="15.75" customHeight="1">
      <c r="A23" s="120"/>
      <c r="B23" s="135">
        <v>1</v>
      </c>
      <c r="C23" s="107"/>
      <c r="D23" s="107">
        <v>0.15</v>
      </c>
      <c r="E23" s="125">
        <v>4</v>
      </c>
      <c r="F23" s="106">
        <v>4</v>
      </c>
      <c r="G23" s="106">
        <f>G20</f>
        <v>108</v>
      </c>
      <c r="H23" s="123">
        <f t="shared" ref="H23:H54" si="1">D23*E23*F23*G23</f>
        <v>259.2</v>
      </c>
      <c r="I23" s="103"/>
      <c r="J23" s="117"/>
      <c r="K23" s="88"/>
      <c r="L23" s="88"/>
      <c r="M23" s="88"/>
      <c r="N23" s="88"/>
      <c r="O23" s="90"/>
      <c r="P23" s="90"/>
      <c r="Q23" s="90"/>
      <c r="R23" s="87">
        <v>5</v>
      </c>
    </row>
    <row r="24" spans="1:18" ht="15.75" customHeight="1">
      <c r="A24" s="120"/>
      <c r="B24" s="118">
        <v>2</v>
      </c>
      <c r="C24" s="107"/>
      <c r="D24" s="107">
        <f t="shared" ref="D24:D55" si="2">D23</f>
        <v>0.15</v>
      </c>
      <c r="E24" s="125">
        <v>4.2039999999999997</v>
      </c>
      <c r="F24" s="106">
        <f t="shared" ref="F24:F55" si="3">F23</f>
        <v>4</v>
      </c>
      <c r="G24" s="106">
        <v>0</v>
      </c>
      <c r="H24" s="123">
        <f t="shared" si="1"/>
        <v>0</v>
      </c>
      <c r="I24" s="103"/>
      <c r="J24" s="117"/>
      <c r="K24" s="88"/>
      <c r="L24" s="88"/>
      <c r="M24" s="88"/>
      <c r="N24" s="88"/>
      <c r="O24" s="90"/>
      <c r="P24" s="90"/>
      <c r="Q24" s="90"/>
    </row>
    <row r="25" spans="1:18" ht="15.75" customHeight="1">
      <c r="A25" s="120"/>
      <c r="B25" s="118">
        <v>3</v>
      </c>
      <c r="C25" s="107"/>
      <c r="D25" s="107">
        <f t="shared" si="2"/>
        <v>0.15</v>
      </c>
      <c r="E25" s="125">
        <v>4.1189999999999998</v>
      </c>
      <c r="F25" s="106">
        <f t="shared" si="3"/>
        <v>4</v>
      </c>
      <c r="G25" s="106">
        <f t="shared" ref="G25:G56" si="4">G24</f>
        <v>0</v>
      </c>
      <c r="H25" s="123">
        <f t="shared" si="1"/>
        <v>0</v>
      </c>
      <c r="I25" s="103"/>
      <c r="J25" s="117"/>
      <c r="K25" s="88"/>
      <c r="L25" s="88"/>
      <c r="M25" s="88"/>
      <c r="N25" s="88"/>
      <c r="O25" s="90"/>
      <c r="P25" s="90"/>
      <c r="Q25" s="90"/>
    </row>
    <row r="26" spans="1:18" ht="15.75" customHeight="1">
      <c r="A26" s="120"/>
      <c r="B26" s="118">
        <f t="shared" ref="B26:B57" si="5">B25+1</f>
        <v>4</v>
      </c>
      <c r="C26" s="107"/>
      <c r="D26" s="107">
        <f t="shared" si="2"/>
        <v>0.15</v>
      </c>
      <c r="E26" s="125">
        <v>4.0279999999999996</v>
      </c>
      <c r="F26" s="106">
        <f t="shared" si="3"/>
        <v>4</v>
      </c>
      <c r="G26" s="106">
        <f t="shared" si="4"/>
        <v>0</v>
      </c>
      <c r="H26" s="123">
        <f t="shared" si="1"/>
        <v>0</v>
      </c>
      <c r="I26" s="103"/>
      <c r="J26" s="117"/>
      <c r="K26" s="88"/>
      <c r="L26" s="88"/>
      <c r="M26" s="88"/>
      <c r="N26" s="88"/>
      <c r="O26" s="90"/>
      <c r="P26" s="90"/>
      <c r="Q26" s="90"/>
    </row>
    <row r="27" spans="1:18" ht="15.75" customHeight="1">
      <c r="A27" s="120"/>
      <c r="B27" s="118">
        <f t="shared" si="5"/>
        <v>5</v>
      </c>
      <c r="C27" s="107"/>
      <c r="D27" s="107">
        <f t="shared" si="2"/>
        <v>0.15</v>
      </c>
      <c r="E27" s="125">
        <v>3.9380000000000002</v>
      </c>
      <c r="F27" s="106">
        <f t="shared" si="3"/>
        <v>4</v>
      </c>
      <c r="G27" s="106">
        <f t="shared" si="4"/>
        <v>0</v>
      </c>
      <c r="H27" s="123">
        <f t="shared" si="1"/>
        <v>0</v>
      </c>
      <c r="I27" s="103"/>
      <c r="J27" s="117"/>
      <c r="K27" s="88"/>
      <c r="L27" s="88"/>
      <c r="M27" s="88"/>
      <c r="N27" s="88"/>
      <c r="O27" s="90"/>
      <c r="P27" s="90"/>
      <c r="Q27" s="90"/>
      <c r="R27" s="86">
        <v>4.75</v>
      </c>
    </row>
    <row r="28" spans="1:18" ht="15.75" customHeight="1">
      <c r="A28" s="120"/>
      <c r="B28" s="118">
        <f t="shared" si="5"/>
        <v>6</v>
      </c>
      <c r="C28" s="107"/>
      <c r="D28" s="107">
        <f t="shared" si="2"/>
        <v>0.15</v>
      </c>
      <c r="E28" s="125">
        <v>3.8010000000000002</v>
      </c>
      <c r="F28" s="106">
        <f t="shared" si="3"/>
        <v>4</v>
      </c>
      <c r="G28" s="106">
        <f t="shared" si="4"/>
        <v>0</v>
      </c>
      <c r="H28" s="123">
        <f t="shared" si="1"/>
        <v>0</v>
      </c>
      <c r="I28" s="103"/>
      <c r="J28" s="117"/>
      <c r="K28" s="88"/>
      <c r="L28" s="88"/>
      <c r="M28" s="88"/>
      <c r="N28" s="88"/>
      <c r="O28" s="90"/>
      <c r="P28" s="90"/>
      <c r="Q28" s="90"/>
    </row>
    <row r="29" spans="1:18" ht="15.75" customHeight="1">
      <c r="A29" s="120"/>
      <c r="B29" s="118">
        <f t="shared" si="5"/>
        <v>7</v>
      </c>
      <c r="C29" s="107"/>
      <c r="D29" s="107">
        <f t="shared" si="2"/>
        <v>0.15</v>
      </c>
      <c r="E29" s="125">
        <v>3.7160000000000002</v>
      </c>
      <c r="F29" s="106">
        <f t="shared" si="3"/>
        <v>4</v>
      </c>
      <c r="G29" s="106">
        <f t="shared" si="4"/>
        <v>0</v>
      </c>
      <c r="H29" s="123">
        <f t="shared" si="1"/>
        <v>0</v>
      </c>
      <c r="I29" s="103"/>
      <c r="J29" s="117"/>
      <c r="K29" s="88"/>
      <c r="L29" s="88"/>
      <c r="M29" s="88"/>
      <c r="N29" s="88"/>
      <c r="O29" s="90"/>
      <c r="P29" s="90"/>
      <c r="Q29" s="90"/>
    </row>
    <row r="30" spans="1:18" ht="15.75" customHeight="1">
      <c r="A30" s="120"/>
      <c r="B30" s="118">
        <f t="shared" si="5"/>
        <v>8</v>
      </c>
      <c r="C30" s="107"/>
      <c r="D30" s="107">
        <f t="shared" si="2"/>
        <v>0.15</v>
      </c>
      <c r="E30" s="125">
        <v>3.653</v>
      </c>
      <c r="F30" s="106">
        <f t="shared" si="3"/>
        <v>4</v>
      </c>
      <c r="G30" s="106">
        <f t="shared" si="4"/>
        <v>0</v>
      </c>
      <c r="H30" s="123">
        <f t="shared" si="1"/>
        <v>0</v>
      </c>
      <c r="I30" s="103"/>
      <c r="J30" s="117"/>
      <c r="K30" s="88"/>
      <c r="L30" s="88"/>
      <c r="M30" s="88"/>
      <c r="N30" s="88"/>
      <c r="O30" s="90"/>
      <c r="P30" s="90"/>
      <c r="Q30" s="90"/>
    </row>
    <row r="31" spans="1:18" ht="15.75" customHeight="1">
      <c r="A31" s="120"/>
      <c r="B31" s="118">
        <f t="shared" si="5"/>
        <v>9</v>
      </c>
      <c r="C31" s="107"/>
      <c r="D31" s="107">
        <f t="shared" si="2"/>
        <v>0.15</v>
      </c>
      <c r="E31" s="125">
        <v>3.6</v>
      </c>
      <c r="F31" s="106">
        <f t="shared" si="3"/>
        <v>4</v>
      </c>
      <c r="G31" s="106">
        <f t="shared" si="4"/>
        <v>0</v>
      </c>
      <c r="H31" s="123">
        <f t="shared" si="1"/>
        <v>0</v>
      </c>
      <c r="I31" s="103"/>
      <c r="J31" s="117"/>
      <c r="K31" s="88"/>
      <c r="L31" s="88"/>
      <c r="M31" s="88"/>
      <c r="N31" s="88"/>
      <c r="O31" s="90"/>
      <c r="P31" s="90"/>
      <c r="Q31" s="90"/>
    </row>
    <row r="32" spans="1:18" ht="15.75" customHeight="1">
      <c r="A32" s="120"/>
      <c r="B32" s="118">
        <f t="shared" si="5"/>
        <v>10</v>
      </c>
      <c r="C32" s="107"/>
      <c r="D32" s="107">
        <f t="shared" si="2"/>
        <v>0.15</v>
      </c>
      <c r="E32" s="125">
        <v>3.548</v>
      </c>
      <c r="F32" s="106">
        <f t="shared" si="3"/>
        <v>4</v>
      </c>
      <c r="G32" s="106">
        <f t="shared" si="4"/>
        <v>0</v>
      </c>
      <c r="H32" s="123">
        <f t="shared" si="1"/>
        <v>0</v>
      </c>
      <c r="I32" s="103"/>
      <c r="J32" s="117"/>
      <c r="K32" s="88"/>
      <c r="L32" s="88"/>
      <c r="M32" s="88"/>
      <c r="N32" s="88"/>
      <c r="O32" s="90"/>
      <c r="P32" s="90"/>
      <c r="Q32" s="90"/>
      <c r="R32" s="86">
        <v>4.5</v>
      </c>
    </row>
    <row r="33" spans="1:18" ht="15.75" customHeight="1">
      <c r="A33" s="120"/>
      <c r="B33" s="118">
        <f t="shared" si="5"/>
        <v>11</v>
      </c>
      <c r="C33" s="107"/>
      <c r="D33" s="107">
        <f t="shared" si="2"/>
        <v>0.15</v>
      </c>
      <c r="E33" s="125">
        <v>3.496</v>
      </c>
      <c r="F33" s="106">
        <f t="shared" si="3"/>
        <v>4</v>
      </c>
      <c r="G33" s="106">
        <f t="shared" si="4"/>
        <v>0</v>
      </c>
      <c r="H33" s="123">
        <f t="shared" si="1"/>
        <v>0</v>
      </c>
      <c r="I33" s="103"/>
      <c r="J33" s="117"/>
      <c r="K33" s="88"/>
      <c r="L33" s="88"/>
      <c r="M33" s="88"/>
      <c r="N33" s="88"/>
      <c r="O33" s="90"/>
      <c r="P33" s="90"/>
      <c r="Q33" s="90"/>
    </row>
    <row r="34" spans="1:18" ht="15.75" customHeight="1">
      <c r="A34" s="120"/>
      <c r="B34" s="118">
        <f t="shared" si="5"/>
        <v>12</v>
      </c>
      <c r="C34" s="107"/>
      <c r="D34" s="107">
        <f t="shared" si="2"/>
        <v>0.15</v>
      </c>
      <c r="E34" s="125">
        <v>3.4430000000000001</v>
      </c>
      <c r="F34" s="106">
        <f t="shared" si="3"/>
        <v>4</v>
      </c>
      <c r="G34" s="106">
        <f t="shared" si="4"/>
        <v>0</v>
      </c>
      <c r="H34" s="123">
        <f t="shared" si="1"/>
        <v>0</v>
      </c>
      <c r="I34" s="103"/>
      <c r="J34" s="117"/>
      <c r="K34" s="88"/>
      <c r="L34" s="88"/>
      <c r="M34" s="88"/>
      <c r="N34" s="88"/>
      <c r="O34" s="90"/>
      <c r="P34" s="90"/>
      <c r="Q34" s="90"/>
    </row>
    <row r="35" spans="1:18" ht="15.75" customHeight="1">
      <c r="A35" s="120"/>
      <c r="B35" s="118">
        <f t="shared" si="5"/>
        <v>13</v>
      </c>
      <c r="C35" s="107"/>
      <c r="D35" s="107">
        <f t="shared" si="2"/>
        <v>0.15</v>
      </c>
      <c r="E35" s="125">
        <v>3.4020000000000001</v>
      </c>
      <c r="F35" s="106">
        <f t="shared" si="3"/>
        <v>4</v>
      </c>
      <c r="G35" s="106">
        <f t="shared" si="4"/>
        <v>0</v>
      </c>
      <c r="H35" s="123">
        <f t="shared" si="1"/>
        <v>0</v>
      </c>
      <c r="I35" s="103"/>
      <c r="J35" s="117"/>
      <c r="K35" s="88"/>
      <c r="L35" s="88"/>
      <c r="M35" s="88"/>
      <c r="N35" s="88"/>
      <c r="O35" s="90"/>
      <c r="P35" s="90"/>
      <c r="Q35" s="90"/>
    </row>
    <row r="36" spans="1:18" ht="15.75" customHeight="1">
      <c r="A36" s="120"/>
      <c r="B36" s="118">
        <f t="shared" si="5"/>
        <v>14</v>
      </c>
      <c r="C36" s="107"/>
      <c r="D36" s="107">
        <f t="shared" si="2"/>
        <v>0.15</v>
      </c>
      <c r="E36" s="125">
        <v>3.407</v>
      </c>
      <c r="F36" s="106">
        <f t="shared" si="3"/>
        <v>4</v>
      </c>
      <c r="G36" s="106">
        <f t="shared" si="4"/>
        <v>0</v>
      </c>
      <c r="H36" s="123">
        <f t="shared" si="1"/>
        <v>0</v>
      </c>
      <c r="I36" s="103"/>
      <c r="J36" s="117"/>
      <c r="K36" s="88"/>
      <c r="L36" s="88"/>
      <c r="M36" s="88"/>
      <c r="N36" s="88"/>
      <c r="O36" s="90"/>
      <c r="P36" s="90"/>
      <c r="Q36" s="90"/>
    </row>
    <row r="37" spans="1:18" ht="15.75" customHeight="1">
      <c r="A37" s="120"/>
      <c r="B37" s="118">
        <f t="shared" si="5"/>
        <v>15</v>
      </c>
      <c r="C37" s="107"/>
      <c r="D37" s="107">
        <f t="shared" si="2"/>
        <v>0.15</v>
      </c>
      <c r="E37" s="125">
        <v>3.407</v>
      </c>
      <c r="F37" s="106">
        <f t="shared" si="3"/>
        <v>4</v>
      </c>
      <c r="G37" s="106">
        <f t="shared" si="4"/>
        <v>0</v>
      </c>
      <c r="H37" s="123">
        <f t="shared" si="1"/>
        <v>0</v>
      </c>
      <c r="I37" s="103"/>
      <c r="J37" s="117"/>
      <c r="K37" s="88"/>
      <c r="L37" s="88"/>
      <c r="M37" s="88"/>
      <c r="N37" s="88"/>
      <c r="O37" s="90"/>
      <c r="P37" s="90"/>
      <c r="Q37" s="90"/>
    </row>
    <row r="38" spans="1:18" ht="15.75" customHeight="1">
      <c r="A38" s="120"/>
      <c r="B38" s="118">
        <f t="shared" si="5"/>
        <v>16</v>
      </c>
      <c r="C38" s="107"/>
      <c r="D38" s="107">
        <f t="shared" si="2"/>
        <v>0.15</v>
      </c>
      <c r="E38" s="125">
        <v>3.4</v>
      </c>
      <c r="F38" s="106">
        <f t="shared" si="3"/>
        <v>4</v>
      </c>
      <c r="G38" s="106">
        <f t="shared" si="4"/>
        <v>0</v>
      </c>
      <c r="H38" s="123">
        <f t="shared" si="1"/>
        <v>0</v>
      </c>
      <c r="I38" s="103"/>
      <c r="J38" s="117"/>
      <c r="K38" s="88"/>
      <c r="L38" s="88"/>
      <c r="M38" s="88"/>
      <c r="N38" s="88"/>
      <c r="O38" s="90"/>
      <c r="P38" s="90"/>
      <c r="Q38" s="90"/>
    </row>
    <row r="39" spans="1:18" ht="15.75" customHeight="1">
      <c r="A39" s="120"/>
      <c r="B39" s="118">
        <f t="shared" si="5"/>
        <v>17</v>
      </c>
      <c r="C39" s="107"/>
      <c r="D39" s="107">
        <f t="shared" si="2"/>
        <v>0.15</v>
      </c>
      <c r="E39" s="125">
        <v>3.3929999999999998</v>
      </c>
      <c r="F39" s="106">
        <f t="shared" si="3"/>
        <v>4</v>
      </c>
      <c r="G39" s="106">
        <f t="shared" si="4"/>
        <v>0</v>
      </c>
      <c r="H39" s="123">
        <f t="shared" si="1"/>
        <v>0</v>
      </c>
      <c r="I39" s="103"/>
      <c r="J39" s="117"/>
      <c r="K39" s="88"/>
      <c r="L39" s="88"/>
      <c r="M39" s="88"/>
      <c r="N39" s="88"/>
      <c r="O39" s="90"/>
      <c r="P39" s="90"/>
      <c r="Q39" s="90"/>
    </row>
    <row r="40" spans="1:18" ht="15.75" customHeight="1">
      <c r="A40" s="120"/>
      <c r="B40" s="118">
        <f t="shared" si="5"/>
        <v>18</v>
      </c>
      <c r="C40" s="107"/>
      <c r="D40" s="107">
        <f t="shared" si="2"/>
        <v>0.15</v>
      </c>
      <c r="E40" s="125">
        <v>3.3860000000000001</v>
      </c>
      <c r="F40" s="106">
        <f t="shared" si="3"/>
        <v>4</v>
      </c>
      <c r="G40" s="106">
        <f t="shared" si="4"/>
        <v>0</v>
      </c>
      <c r="H40" s="131">
        <f t="shared" si="1"/>
        <v>0</v>
      </c>
      <c r="I40" s="103"/>
      <c r="J40" s="117"/>
      <c r="K40" s="88"/>
      <c r="L40" s="88"/>
      <c r="M40" s="88"/>
      <c r="N40" s="88"/>
      <c r="O40" s="90"/>
      <c r="P40" s="90"/>
      <c r="Q40" s="90"/>
    </row>
    <row r="41" spans="1:18" ht="15.75" customHeight="1">
      <c r="A41" s="120"/>
      <c r="B41" s="118">
        <f t="shared" si="5"/>
        <v>19</v>
      </c>
      <c r="C41" s="107"/>
      <c r="D41" s="107">
        <f t="shared" si="2"/>
        <v>0.15</v>
      </c>
      <c r="E41" s="125">
        <v>3.3959999999999999</v>
      </c>
      <c r="F41" s="106">
        <f t="shared" si="3"/>
        <v>4</v>
      </c>
      <c r="G41" s="106">
        <f t="shared" si="4"/>
        <v>0</v>
      </c>
      <c r="H41" s="131">
        <f t="shared" si="1"/>
        <v>0</v>
      </c>
      <c r="I41" s="103"/>
      <c r="J41" s="117"/>
      <c r="K41" s="88"/>
      <c r="L41" s="88"/>
      <c r="M41" s="88"/>
      <c r="N41" s="88"/>
      <c r="O41" s="90"/>
      <c r="P41" s="90"/>
      <c r="Q41" s="90"/>
      <c r="R41" s="86">
        <v>4.25</v>
      </c>
    </row>
    <row r="42" spans="1:18" ht="15.75" customHeight="1">
      <c r="A42" s="120"/>
      <c r="B42" s="118">
        <f t="shared" si="5"/>
        <v>20</v>
      </c>
      <c r="C42" s="107"/>
      <c r="D42" s="107">
        <f t="shared" si="2"/>
        <v>0.15</v>
      </c>
      <c r="E42" s="125">
        <v>3.407</v>
      </c>
      <c r="F42" s="106">
        <f t="shared" si="3"/>
        <v>4</v>
      </c>
      <c r="G42" s="106">
        <f t="shared" si="4"/>
        <v>0</v>
      </c>
      <c r="H42" s="131">
        <f t="shared" si="1"/>
        <v>0</v>
      </c>
      <c r="I42" s="103"/>
      <c r="J42" s="117"/>
      <c r="K42" s="88"/>
      <c r="L42" s="88"/>
      <c r="M42" s="88"/>
      <c r="N42" s="88"/>
      <c r="O42" s="90"/>
      <c r="P42" s="90"/>
      <c r="Q42" s="90"/>
    </row>
    <row r="43" spans="1:18" ht="15.75" customHeight="1">
      <c r="A43" s="120"/>
      <c r="B43" s="118">
        <f t="shared" si="5"/>
        <v>21</v>
      </c>
      <c r="C43" s="107"/>
      <c r="D43" s="107">
        <f t="shared" si="2"/>
        <v>0.15</v>
      </c>
      <c r="E43" s="125">
        <v>3.3450000000000002</v>
      </c>
      <c r="F43" s="106">
        <f t="shared" si="3"/>
        <v>4</v>
      </c>
      <c r="G43" s="106">
        <f t="shared" si="4"/>
        <v>0</v>
      </c>
      <c r="H43" s="131">
        <f t="shared" si="1"/>
        <v>0</v>
      </c>
      <c r="I43" s="103"/>
      <c r="J43" s="117"/>
      <c r="K43" s="88"/>
      <c r="L43" s="88"/>
      <c r="M43" s="88"/>
      <c r="N43" s="88"/>
      <c r="O43" s="90"/>
      <c r="P43" s="90"/>
      <c r="Q43" s="90"/>
    </row>
    <row r="44" spans="1:18" ht="15.75" customHeight="1">
      <c r="A44" s="120"/>
      <c r="B44" s="118">
        <f t="shared" si="5"/>
        <v>22</v>
      </c>
      <c r="C44" s="107"/>
      <c r="D44" s="107">
        <f t="shared" si="2"/>
        <v>0.15</v>
      </c>
      <c r="E44" s="125">
        <v>3.2629999999999999</v>
      </c>
      <c r="F44" s="106">
        <f t="shared" si="3"/>
        <v>4</v>
      </c>
      <c r="G44" s="106">
        <f t="shared" si="4"/>
        <v>0</v>
      </c>
      <c r="H44" s="131">
        <f t="shared" si="1"/>
        <v>0</v>
      </c>
      <c r="I44" s="103"/>
      <c r="J44" s="117"/>
      <c r="K44" s="88"/>
      <c r="L44" s="88"/>
      <c r="M44" s="88"/>
      <c r="N44" s="88"/>
      <c r="O44" s="90"/>
      <c r="P44" s="90"/>
      <c r="Q44" s="90"/>
    </row>
    <row r="45" spans="1:18" ht="15.75" customHeight="1">
      <c r="A45" s="120"/>
      <c r="B45" s="118">
        <f t="shared" si="5"/>
        <v>23</v>
      </c>
      <c r="C45" s="107"/>
      <c r="D45" s="107">
        <f t="shared" si="2"/>
        <v>0.15</v>
      </c>
      <c r="E45" s="125">
        <v>3.258</v>
      </c>
      <c r="F45" s="106">
        <f t="shared" si="3"/>
        <v>4</v>
      </c>
      <c r="G45" s="106">
        <f t="shared" si="4"/>
        <v>0</v>
      </c>
      <c r="H45" s="131">
        <f t="shared" si="1"/>
        <v>0</v>
      </c>
      <c r="I45" s="103"/>
      <c r="J45" s="117"/>
      <c r="K45" s="88"/>
      <c r="L45" s="88"/>
      <c r="M45" s="88"/>
      <c r="N45" s="88"/>
      <c r="O45" s="90"/>
      <c r="P45" s="90"/>
      <c r="Q45" s="90"/>
    </row>
    <row r="46" spans="1:18" ht="15.75" customHeight="1">
      <c r="A46" s="120"/>
      <c r="B46" s="118">
        <f t="shared" si="5"/>
        <v>24</v>
      </c>
      <c r="C46" s="107"/>
      <c r="D46" s="107">
        <f t="shared" si="2"/>
        <v>0.15</v>
      </c>
      <c r="E46" s="125">
        <v>3.2530000000000001</v>
      </c>
      <c r="F46" s="106">
        <f t="shared" si="3"/>
        <v>4</v>
      </c>
      <c r="G46" s="106">
        <f t="shared" si="4"/>
        <v>0</v>
      </c>
      <c r="H46" s="131">
        <f t="shared" si="1"/>
        <v>0</v>
      </c>
      <c r="I46" s="103"/>
      <c r="J46" s="117"/>
      <c r="K46" s="88"/>
      <c r="L46" s="88"/>
      <c r="M46" s="88"/>
      <c r="N46" s="88"/>
      <c r="O46" s="90"/>
      <c r="P46" s="90"/>
      <c r="Q46" s="90"/>
    </row>
    <row r="47" spans="1:18" ht="15.75" customHeight="1">
      <c r="A47" s="120"/>
      <c r="B47" s="118">
        <f t="shared" si="5"/>
        <v>25</v>
      </c>
      <c r="C47" s="107"/>
      <c r="D47" s="107">
        <f t="shared" si="2"/>
        <v>0.15</v>
      </c>
      <c r="E47" s="125">
        <v>3.2429999999999999</v>
      </c>
      <c r="F47" s="106">
        <f t="shared" si="3"/>
        <v>4</v>
      </c>
      <c r="G47" s="106">
        <f t="shared" si="4"/>
        <v>0</v>
      </c>
      <c r="H47" s="131">
        <f t="shared" si="1"/>
        <v>0</v>
      </c>
      <c r="I47" s="103"/>
      <c r="J47" s="117"/>
      <c r="K47" s="88"/>
      <c r="L47" s="88"/>
      <c r="M47" s="88"/>
      <c r="N47" s="88"/>
      <c r="O47" s="90"/>
      <c r="P47" s="90"/>
      <c r="Q47" s="90"/>
    </row>
    <row r="48" spans="1:18" ht="15.75" customHeight="1">
      <c r="A48" s="120"/>
      <c r="B48" s="118">
        <f t="shared" si="5"/>
        <v>26</v>
      </c>
      <c r="C48" s="107"/>
      <c r="D48" s="107">
        <f t="shared" si="2"/>
        <v>0.15</v>
      </c>
      <c r="E48" s="125">
        <v>3.2320000000000002</v>
      </c>
      <c r="F48" s="106">
        <f t="shared" si="3"/>
        <v>4</v>
      </c>
      <c r="G48" s="106">
        <f t="shared" si="4"/>
        <v>0</v>
      </c>
      <c r="H48" s="131">
        <f t="shared" si="1"/>
        <v>0</v>
      </c>
      <c r="I48" s="103"/>
      <c r="J48" s="117"/>
      <c r="K48" s="88"/>
      <c r="L48" s="88"/>
      <c r="M48" s="88"/>
      <c r="N48" s="88"/>
      <c r="O48" s="90"/>
      <c r="P48" s="90"/>
      <c r="Q48" s="90"/>
    </row>
    <row r="49" spans="1:18" ht="15.75" customHeight="1">
      <c r="A49" s="120"/>
      <c r="B49" s="118">
        <f t="shared" si="5"/>
        <v>27</v>
      </c>
      <c r="C49" s="107"/>
      <c r="D49" s="107">
        <f t="shared" si="2"/>
        <v>0.15</v>
      </c>
      <c r="E49" s="125">
        <v>3.222</v>
      </c>
      <c r="F49" s="106">
        <f t="shared" si="3"/>
        <v>4</v>
      </c>
      <c r="G49" s="106">
        <f t="shared" si="4"/>
        <v>0</v>
      </c>
      <c r="H49" s="131">
        <f t="shared" si="1"/>
        <v>0</v>
      </c>
      <c r="I49" s="103"/>
      <c r="J49" s="117"/>
      <c r="K49" s="88"/>
      <c r="L49" s="88"/>
      <c r="M49" s="88"/>
      <c r="N49" s="88"/>
      <c r="O49" s="90"/>
      <c r="P49" s="90"/>
      <c r="Q49" s="90"/>
    </row>
    <row r="50" spans="1:18" ht="15.75" customHeight="1">
      <c r="A50" s="120"/>
      <c r="B50" s="118">
        <f t="shared" si="5"/>
        <v>28</v>
      </c>
      <c r="C50" s="107"/>
      <c r="D50" s="107">
        <f t="shared" si="2"/>
        <v>0.15</v>
      </c>
      <c r="E50" s="125">
        <v>3.2109999999999999</v>
      </c>
      <c r="F50" s="106">
        <f t="shared" si="3"/>
        <v>4</v>
      </c>
      <c r="G50" s="106">
        <f t="shared" si="4"/>
        <v>0</v>
      </c>
      <c r="H50" s="131">
        <f t="shared" si="1"/>
        <v>0</v>
      </c>
      <c r="I50" s="103"/>
      <c r="J50" s="117"/>
      <c r="K50" s="88"/>
      <c r="L50" s="88"/>
      <c r="M50" s="88"/>
      <c r="N50" s="88"/>
      <c r="O50" s="90"/>
      <c r="P50" s="90"/>
      <c r="Q50" s="90"/>
      <c r="R50" s="86">
        <v>4</v>
      </c>
    </row>
    <row r="51" spans="1:18" ht="15.75" customHeight="1">
      <c r="A51" s="120"/>
      <c r="B51" s="118">
        <f t="shared" si="5"/>
        <v>29</v>
      </c>
      <c r="C51" s="107"/>
      <c r="D51" s="107">
        <f t="shared" si="2"/>
        <v>0.15</v>
      </c>
      <c r="E51" s="125">
        <v>3.198</v>
      </c>
      <c r="F51" s="106">
        <f t="shared" si="3"/>
        <v>4</v>
      </c>
      <c r="G51" s="106">
        <f t="shared" si="4"/>
        <v>0</v>
      </c>
      <c r="H51" s="131">
        <f t="shared" si="1"/>
        <v>0</v>
      </c>
      <c r="I51" s="103"/>
      <c r="J51" s="117"/>
      <c r="K51" s="88"/>
      <c r="L51" s="88"/>
      <c r="M51" s="88"/>
      <c r="N51" s="88"/>
      <c r="O51" s="90"/>
      <c r="P51" s="90"/>
      <c r="Q51" s="90"/>
    </row>
    <row r="52" spans="1:18" ht="15.75" customHeight="1">
      <c r="A52" s="120"/>
      <c r="B52" s="118">
        <f t="shared" si="5"/>
        <v>30</v>
      </c>
      <c r="C52" s="107"/>
      <c r="D52" s="107">
        <f t="shared" si="2"/>
        <v>0.15</v>
      </c>
      <c r="E52" s="125">
        <v>3.1840000000000002</v>
      </c>
      <c r="F52" s="106">
        <f t="shared" si="3"/>
        <v>4</v>
      </c>
      <c r="G52" s="106">
        <f t="shared" si="4"/>
        <v>0</v>
      </c>
      <c r="H52" s="131">
        <f t="shared" si="1"/>
        <v>0</v>
      </c>
      <c r="I52" s="103"/>
      <c r="J52" s="117"/>
      <c r="K52" s="88"/>
      <c r="L52" s="88"/>
      <c r="M52" s="88"/>
      <c r="N52" s="88"/>
      <c r="O52" s="90"/>
      <c r="P52" s="90"/>
      <c r="Q52" s="90"/>
    </row>
    <row r="53" spans="1:18" ht="15.75" customHeight="1">
      <c r="A53" s="120"/>
      <c r="B53" s="118">
        <f t="shared" si="5"/>
        <v>31</v>
      </c>
      <c r="C53" s="107"/>
      <c r="D53" s="107">
        <f t="shared" si="2"/>
        <v>0.15</v>
      </c>
      <c r="E53" s="125">
        <v>3.1720000000000002</v>
      </c>
      <c r="F53" s="106">
        <f t="shared" si="3"/>
        <v>4</v>
      </c>
      <c r="G53" s="106">
        <f t="shared" si="4"/>
        <v>0</v>
      </c>
      <c r="H53" s="131">
        <f t="shared" si="1"/>
        <v>0</v>
      </c>
      <c r="I53" s="103"/>
      <c r="J53" s="117"/>
      <c r="K53" s="88"/>
      <c r="L53" s="88"/>
      <c r="M53" s="88"/>
      <c r="N53" s="88"/>
      <c r="O53" s="90"/>
      <c r="P53" s="90"/>
      <c r="Q53" s="90"/>
    </row>
    <row r="54" spans="1:18" ht="15.75" customHeight="1">
      <c r="A54" s="120"/>
      <c r="B54" s="118">
        <f t="shared" si="5"/>
        <v>32</v>
      </c>
      <c r="C54" s="107"/>
      <c r="D54" s="107">
        <f t="shared" si="2"/>
        <v>0.15</v>
      </c>
      <c r="E54" s="125">
        <v>3.1589999999999998</v>
      </c>
      <c r="F54" s="106">
        <f t="shared" si="3"/>
        <v>4</v>
      </c>
      <c r="G54" s="106">
        <f t="shared" si="4"/>
        <v>0</v>
      </c>
      <c r="H54" s="131">
        <f t="shared" si="1"/>
        <v>0</v>
      </c>
      <c r="I54" s="103"/>
      <c r="J54" s="117"/>
      <c r="K54" s="88"/>
      <c r="L54" s="88"/>
      <c r="M54" s="88"/>
      <c r="N54" s="88"/>
      <c r="O54" s="90"/>
      <c r="P54" s="90"/>
      <c r="Q54" s="90"/>
    </row>
    <row r="55" spans="1:18" ht="15.75" customHeight="1">
      <c r="A55" s="120"/>
      <c r="B55" s="118">
        <f t="shared" si="5"/>
        <v>33</v>
      </c>
      <c r="C55" s="107"/>
      <c r="D55" s="107">
        <f t="shared" si="2"/>
        <v>0.15</v>
      </c>
      <c r="E55" s="125">
        <v>3.1469999999999998</v>
      </c>
      <c r="F55" s="106">
        <f t="shared" si="3"/>
        <v>4</v>
      </c>
      <c r="G55" s="106">
        <f t="shared" si="4"/>
        <v>0</v>
      </c>
      <c r="H55" s="131">
        <f t="shared" ref="H55:H86" si="6">D55*E55*F55*G55</f>
        <v>0</v>
      </c>
      <c r="I55" s="103"/>
      <c r="J55" s="117"/>
      <c r="K55" s="88"/>
      <c r="L55" s="88"/>
      <c r="M55" s="88"/>
      <c r="N55" s="88"/>
      <c r="O55" s="90"/>
      <c r="P55" s="90"/>
      <c r="Q55" s="90"/>
    </row>
    <row r="56" spans="1:18" ht="15.75" customHeight="1">
      <c r="A56" s="284"/>
      <c r="B56" s="285">
        <f t="shared" si="5"/>
        <v>34</v>
      </c>
      <c r="C56" s="150"/>
      <c r="D56" s="107">
        <f t="shared" ref="D56:D87" si="7">D55</f>
        <v>0.15</v>
      </c>
      <c r="E56" s="125">
        <v>3.137</v>
      </c>
      <c r="F56" s="106">
        <f t="shared" ref="F56:F87" si="8">F55</f>
        <v>4</v>
      </c>
      <c r="G56" s="106">
        <f t="shared" si="4"/>
        <v>0</v>
      </c>
      <c r="H56" s="131">
        <f t="shared" si="6"/>
        <v>0</v>
      </c>
      <c r="I56" s="103"/>
      <c r="J56" s="117"/>
      <c r="K56" s="88"/>
      <c r="L56" s="88"/>
      <c r="M56" s="88"/>
      <c r="N56" s="88"/>
      <c r="O56" s="90"/>
      <c r="P56" s="90"/>
      <c r="Q56" s="90"/>
    </row>
    <row r="57" spans="1:18" ht="15.75" customHeight="1">
      <c r="A57" s="120"/>
      <c r="B57" s="118">
        <f t="shared" si="5"/>
        <v>35</v>
      </c>
      <c r="C57" s="107"/>
      <c r="D57" s="107">
        <f t="shared" si="7"/>
        <v>0.15</v>
      </c>
      <c r="E57" s="125">
        <v>3.129</v>
      </c>
      <c r="F57" s="106">
        <f t="shared" si="8"/>
        <v>4</v>
      </c>
      <c r="G57" s="106">
        <f t="shared" ref="G57:G88" si="9">G56</f>
        <v>0</v>
      </c>
      <c r="H57" s="131">
        <f t="shared" si="6"/>
        <v>0</v>
      </c>
      <c r="I57" s="103"/>
      <c r="J57" s="117"/>
      <c r="K57" s="88"/>
      <c r="L57" s="88"/>
      <c r="M57" s="88"/>
      <c r="N57" s="88"/>
      <c r="O57" s="90"/>
      <c r="P57" s="90"/>
      <c r="Q57" s="90"/>
    </row>
    <row r="58" spans="1:18" ht="15.75" customHeight="1">
      <c r="A58" s="120"/>
      <c r="B58" s="118">
        <f t="shared" ref="B58:B89" si="10">B57+1</f>
        <v>36</v>
      </c>
      <c r="C58" s="107"/>
      <c r="D58" s="107">
        <f t="shared" si="7"/>
        <v>0.15</v>
      </c>
      <c r="E58" s="125">
        <v>3.121</v>
      </c>
      <c r="F58" s="106">
        <f t="shared" si="8"/>
        <v>4</v>
      </c>
      <c r="G58" s="106">
        <f t="shared" si="9"/>
        <v>0</v>
      </c>
      <c r="H58" s="131">
        <f t="shared" si="6"/>
        <v>0</v>
      </c>
      <c r="I58" s="103"/>
      <c r="J58" s="117"/>
      <c r="K58" s="88"/>
      <c r="L58" s="88"/>
      <c r="M58" s="88"/>
      <c r="N58" s="88"/>
      <c r="O58" s="90"/>
      <c r="P58" s="90"/>
      <c r="Q58" s="90"/>
    </row>
    <row r="59" spans="1:18" ht="15.75" customHeight="1">
      <c r="A59" s="120"/>
      <c r="B59" s="118">
        <f t="shared" si="10"/>
        <v>37</v>
      </c>
      <c r="C59" s="107"/>
      <c r="D59" s="107">
        <f t="shared" si="7"/>
        <v>0.15</v>
      </c>
      <c r="E59" s="125">
        <v>3.1179999999999999</v>
      </c>
      <c r="F59" s="106">
        <f t="shared" si="8"/>
        <v>4</v>
      </c>
      <c r="G59" s="106">
        <f t="shared" si="9"/>
        <v>0</v>
      </c>
      <c r="H59" s="131">
        <f t="shared" si="6"/>
        <v>0</v>
      </c>
      <c r="I59" s="103"/>
      <c r="J59" s="117"/>
      <c r="K59" s="88"/>
      <c r="L59" s="88"/>
      <c r="M59" s="88"/>
      <c r="N59" s="88"/>
      <c r="O59" s="90"/>
      <c r="P59" s="90"/>
      <c r="Q59" s="90"/>
      <c r="R59" s="86">
        <v>3.75</v>
      </c>
    </row>
    <row r="60" spans="1:18" ht="15.75" customHeight="1">
      <c r="A60" s="120"/>
      <c r="B60" s="118">
        <f t="shared" si="10"/>
        <v>38</v>
      </c>
      <c r="C60" s="107"/>
      <c r="D60" s="107">
        <f t="shared" si="7"/>
        <v>0.15</v>
      </c>
      <c r="E60" s="125">
        <v>3.1160000000000001</v>
      </c>
      <c r="F60" s="106">
        <f t="shared" si="8"/>
        <v>4</v>
      </c>
      <c r="G60" s="106">
        <f t="shared" si="9"/>
        <v>0</v>
      </c>
      <c r="H60" s="131">
        <f t="shared" si="6"/>
        <v>0</v>
      </c>
      <c r="I60" s="103"/>
      <c r="J60" s="117"/>
      <c r="K60" s="88"/>
      <c r="L60" s="88"/>
      <c r="M60" s="88"/>
      <c r="N60" s="88"/>
      <c r="O60" s="90"/>
      <c r="P60" s="90"/>
      <c r="Q60" s="90"/>
    </row>
    <row r="61" spans="1:18" ht="15.75" customHeight="1">
      <c r="A61" s="120"/>
      <c r="B61" s="118">
        <f t="shared" si="10"/>
        <v>39</v>
      </c>
      <c r="C61" s="107"/>
      <c r="D61" s="107">
        <f t="shared" si="7"/>
        <v>0.15</v>
      </c>
      <c r="E61" s="125">
        <v>3.1110000000000002</v>
      </c>
      <c r="F61" s="106">
        <f t="shared" si="8"/>
        <v>4</v>
      </c>
      <c r="G61" s="106">
        <f t="shared" si="9"/>
        <v>0</v>
      </c>
      <c r="H61" s="131">
        <f t="shared" si="6"/>
        <v>0</v>
      </c>
      <c r="I61" s="103"/>
      <c r="J61" s="117"/>
      <c r="K61" s="88"/>
      <c r="L61" s="88"/>
      <c r="M61" s="88"/>
      <c r="N61" s="88"/>
      <c r="O61" s="90"/>
      <c r="P61" s="90"/>
      <c r="Q61" s="90"/>
    </row>
    <row r="62" spans="1:18" ht="15.75" customHeight="1">
      <c r="A62" s="120"/>
      <c r="B62" s="118">
        <f t="shared" si="10"/>
        <v>40</v>
      </c>
      <c r="C62" s="107"/>
      <c r="D62" s="107">
        <f t="shared" si="7"/>
        <v>0.15</v>
      </c>
      <c r="E62" s="125">
        <v>3.1030000000000002</v>
      </c>
      <c r="F62" s="106">
        <f t="shared" si="8"/>
        <v>4</v>
      </c>
      <c r="G62" s="106">
        <f t="shared" si="9"/>
        <v>0</v>
      </c>
      <c r="H62" s="131">
        <f t="shared" si="6"/>
        <v>0</v>
      </c>
      <c r="I62" s="103"/>
      <c r="J62" s="117"/>
      <c r="K62" s="88"/>
      <c r="L62" s="88"/>
      <c r="M62" s="88"/>
      <c r="N62" s="88"/>
      <c r="O62" s="90"/>
      <c r="P62" s="90"/>
      <c r="Q62" s="90"/>
    </row>
    <row r="63" spans="1:18" ht="15.75" customHeight="1">
      <c r="A63" s="120"/>
      <c r="B63" s="118">
        <f t="shared" si="10"/>
        <v>41</v>
      </c>
      <c r="C63" s="107"/>
      <c r="D63" s="107">
        <f t="shared" si="7"/>
        <v>0.15</v>
      </c>
      <c r="E63" s="125">
        <v>3.0960000000000001</v>
      </c>
      <c r="F63" s="106">
        <f t="shared" si="8"/>
        <v>4</v>
      </c>
      <c r="G63" s="106">
        <f t="shared" si="9"/>
        <v>0</v>
      </c>
      <c r="H63" s="131">
        <f t="shared" si="6"/>
        <v>0</v>
      </c>
      <c r="I63" s="103"/>
      <c r="J63" s="117"/>
      <c r="K63" s="88"/>
      <c r="L63" s="88"/>
      <c r="M63" s="88"/>
      <c r="N63" s="88"/>
      <c r="O63" s="90"/>
      <c r="P63" s="90"/>
      <c r="Q63" s="90"/>
    </row>
    <row r="64" spans="1:18" ht="15.75" customHeight="1">
      <c r="A64" s="120"/>
      <c r="B64" s="118">
        <f t="shared" si="10"/>
        <v>42</v>
      </c>
      <c r="C64" s="107"/>
      <c r="D64" s="107">
        <f t="shared" si="7"/>
        <v>0.15</v>
      </c>
      <c r="E64" s="125">
        <v>3.0880000000000001</v>
      </c>
      <c r="F64" s="106">
        <f t="shared" si="8"/>
        <v>4</v>
      </c>
      <c r="G64" s="106">
        <f t="shared" si="9"/>
        <v>0</v>
      </c>
      <c r="H64" s="131">
        <f t="shared" si="6"/>
        <v>0</v>
      </c>
      <c r="I64" s="103"/>
      <c r="J64" s="117"/>
      <c r="K64" s="88"/>
      <c r="L64" s="88"/>
      <c r="M64" s="88"/>
      <c r="N64" s="88"/>
      <c r="O64" s="90"/>
      <c r="P64" s="90"/>
      <c r="Q64" s="90"/>
    </row>
    <row r="65" spans="1:18" ht="15.75" customHeight="1">
      <c r="A65" s="120"/>
      <c r="B65" s="118">
        <f t="shared" si="10"/>
        <v>43</v>
      </c>
      <c r="C65" s="107"/>
      <c r="D65" s="107">
        <f t="shared" si="7"/>
        <v>0.15</v>
      </c>
      <c r="E65" s="125">
        <v>3.08</v>
      </c>
      <c r="F65" s="106">
        <f t="shared" si="8"/>
        <v>4</v>
      </c>
      <c r="G65" s="106">
        <f t="shared" si="9"/>
        <v>0</v>
      </c>
      <c r="H65" s="131">
        <f t="shared" si="6"/>
        <v>0</v>
      </c>
      <c r="I65" s="103"/>
      <c r="J65" s="117"/>
      <c r="K65" s="88"/>
      <c r="L65" s="88"/>
      <c r="M65" s="88"/>
      <c r="N65" s="88"/>
      <c r="O65" s="90"/>
      <c r="P65" s="90"/>
      <c r="Q65" s="90"/>
    </row>
    <row r="66" spans="1:18" ht="15.75" customHeight="1">
      <c r="A66" s="120"/>
      <c r="B66" s="118">
        <f t="shared" si="10"/>
        <v>44</v>
      </c>
      <c r="C66" s="107"/>
      <c r="D66" s="107">
        <f t="shared" si="7"/>
        <v>0.15</v>
      </c>
      <c r="E66" s="125">
        <v>3.0720000000000001</v>
      </c>
      <c r="F66" s="106">
        <f t="shared" si="8"/>
        <v>4</v>
      </c>
      <c r="G66" s="106">
        <f t="shared" si="9"/>
        <v>0</v>
      </c>
      <c r="H66" s="131">
        <f t="shared" si="6"/>
        <v>0</v>
      </c>
      <c r="I66" s="103"/>
      <c r="J66" s="117"/>
      <c r="K66" s="88"/>
      <c r="L66" s="88"/>
      <c r="M66" s="88"/>
      <c r="N66" s="88"/>
      <c r="O66" s="90"/>
      <c r="P66" s="90"/>
      <c r="Q66" s="90"/>
    </row>
    <row r="67" spans="1:18" ht="15.75" customHeight="1">
      <c r="A67" s="120"/>
      <c r="B67" s="118">
        <f t="shared" si="10"/>
        <v>45</v>
      </c>
      <c r="C67" s="107"/>
      <c r="D67" s="107">
        <f t="shared" si="7"/>
        <v>0.15</v>
      </c>
      <c r="E67" s="125">
        <v>3.0649999999999999</v>
      </c>
      <c r="F67" s="106">
        <f t="shared" si="8"/>
        <v>4</v>
      </c>
      <c r="G67" s="106">
        <f t="shared" si="9"/>
        <v>0</v>
      </c>
      <c r="H67" s="131">
        <f t="shared" si="6"/>
        <v>0</v>
      </c>
      <c r="I67" s="103"/>
      <c r="J67" s="117"/>
      <c r="K67" s="88"/>
      <c r="L67" s="88"/>
      <c r="M67" s="88"/>
      <c r="N67" s="88"/>
      <c r="O67" s="90"/>
      <c r="P67" s="90"/>
      <c r="Q67" s="90"/>
    </row>
    <row r="68" spans="1:18" ht="15.75" customHeight="1">
      <c r="A68" s="120"/>
      <c r="B68" s="118">
        <f t="shared" si="10"/>
        <v>46</v>
      </c>
      <c r="C68" s="107"/>
      <c r="D68" s="107">
        <f t="shared" si="7"/>
        <v>0.15</v>
      </c>
      <c r="E68" s="125">
        <v>3.0590000000000002</v>
      </c>
      <c r="F68" s="106">
        <f t="shared" si="8"/>
        <v>4</v>
      </c>
      <c r="G68" s="106">
        <f t="shared" si="9"/>
        <v>0</v>
      </c>
      <c r="H68" s="131">
        <f t="shared" si="6"/>
        <v>0</v>
      </c>
      <c r="I68" s="103"/>
      <c r="J68" s="117"/>
      <c r="K68" s="88"/>
      <c r="L68" s="88"/>
      <c r="M68" s="88"/>
      <c r="N68" s="88"/>
      <c r="O68" s="90"/>
      <c r="P68" s="90"/>
      <c r="Q68" s="90"/>
    </row>
    <row r="69" spans="1:18" ht="15.75" customHeight="1">
      <c r="A69" s="120"/>
      <c r="B69" s="118">
        <f t="shared" si="10"/>
        <v>47</v>
      </c>
      <c r="C69" s="107"/>
      <c r="D69" s="107">
        <f t="shared" si="7"/>
        <v>0.15</v>
      </c>
      <c r="E69" s="125">
        <v>3.0529999999999999</v>
      </c>
      <c r="F69" s="106">
        <f t="shared" si="8"/>
        <v>4</v>
      </c>
      <c r="G69" s="106">
        <f t="shared" si="9"/>
        <v>0</v>
      </c>
      <c r="H69" s="131">
        <f t="shared" si="6"/>
        <v>0</v>
      </c>
      <c r="I69" s="103"/>
      <c r="J69" s="117"/>
      <c r="K69" s="88"/>
      <c r="L69" s="88"/>
      <c r="M69" s="88"/>
      <c r="N69" s="88"/>
      <c r="O69" s="90"/>
      <c r="P69" s="90"/>
      <c r="Q69" s="90"/>
      <c r="R69" s="86">
        <v>3.5</v>
      </c>
    </row>
    <row r="70" spans="1:18" ht="15.75" customHeight="1">
      <c r="A70" s="120"/>
      <c r="B70" s="118">
        <f t="shared" si="10"/>
        <v>48</v>
      </c>
      <c r="C70" s="107"/>
      <c r="D70" s="107">
        <f t="shared" si="7"/>
        <v>0.15</v>
      </c>
      <c r="E70" s="125">
        <v>3.0470000000000002</v>
      </c>
      <c r="F70" s="106">
        <f t="shared" si="8"/>
        <v>4</v>
      </c>
      <c r="G70" s="106">
        <f t="shared" si="9"/>
        <v>0</v>
      </c>
      <c r="H70" s="131">
        <f t="shared" si="6"/>
        <v>0</v>
      </c>
      <c r="I70" s="103"/>
      <c r="J70" s="117"/>
      <c r="K70" s="88"/>
      <c r="L70" s="88"/>
      <c r="M70" s="88"/>
      <c r="N70" s="88"/>
      <c r="O70" s="90"/>
      <c r="P70" s="90"/>
      <c r="Q70" s="90"/>
    </row>
    <row r="71" spans="1:18" ht="15.75" customHeight="1">
      <c r="A71" s="120"/>
      <c r="B71" s="118">
        <f t="shared" si="10"/>
        <v>49</v>
      </c>
      <c r="C71" s="107"/>
      <c r="D71" s="107">
        <f t="shared" si="7"/>
        <v>0.15</v>
      </c>
      <c r="E71" s="125">
        <v>3.0409999999999999</v>
      </c>
      <c r="F71" s="106">
        <f t="shared" si="8"/>
        <v>4</v>
      </c>
      <c r="G71" s="106">
        <f t="shared" si="9"/>
        <v>0</v>
      </c>
      <c r="H71" s="131">
        <f t="shared" si="6"/>
        <v>0</v>
      </c>
      <c r="I71" s="103"/>
      <c r="J71" s="117"/>
      <c r="K71" s="88"/>
      <c r="L71" s="88"/>
      <c r="M71" s="88"/>
      <c r="N71" s="88"/>
      <c r="O71" s="90"/>
      <c r="P71" s="90"/>
      <c r="Q71" s="90"/>
    </row>
    <row r="72" spans="1:18" ht="15.75" customHeight="1">
      <c r="A72" s="120"/>
      <c r="B72" s="118">
        <f t="shared" si="10"/>
        <v>50</v>
      </c>
      <c r="C72" s="107"/>
      <c r="D72" s="107">
        <f t="shared" si="7"/>
        <v>0.15</v>
      </c>
      <c r="E72" s="125">
        <v>3.036</v>
      </c>
      <c r="F72" s="106">
        <f t="shared" si="8"/>
        <v>4</v>
      </c>
      <c r="G72" s="106">
        <f t="shared" si="9"/>
        <v>0</v>
      </c>
      <c r="H72" s="131">
        <f t="shared" si="6"/>
        <v>0</v>
      </c>
      <c r="I72" s="103"/>
      <c r="J72" s="117"/>
      <c r="K72" s="88"/>
      <c r="L72" s="88"/>
      <c r="M72" s="88"/>
      <c r="N72" s="88"/>
      <c r="O72" s="90"/>
      <c r="P72" s="90"/>
      <c r="Q72" s="90"/>
    </row>
    <row r="73" spans="1:18" ht="15.75" customHeight="1">
      <c r="A73" s="120"/>
      <c r="B73" s="118">
        <f t="shared" si="10"/>
        <v>51</v>
      </c>
      <c r="C73" s="107"/>
      <c r="D73" s="107">
        <f t="shared" si="7"/>
        <v>0.15</v>
      </c>
      <c r="E73" s="125">
        <v>3.0329999999999999</v>
      </c>
      <c r="F73" s="106">
        <f t="shared" si="8"/>
        <v>4</v>
      </c>
      <c r="G73" s="106">
        <f t="shared" si="9"/>
        <v>0</v>
      </c>
      <c r="H73" s="131">
        <f t="shared" si="6"/>
        <v>0</v>
      </c>
      <c r="I73" s="103"/>
      <c r="J73" s="117"/>
      <c r="K73" s="88"/>
      <c r="L73" s="88"/>
      <c r="M73" s="88"/>
      <c r="N73" s="88"/>
      <c r="O73" s="90"/>
      <c r="P73" s="90"/>
      <c r="Q73" s="90"/>
    </row>
    <row r="74" spans="1:18" ht="15.75" customHeight="1">
      <c r="A74" s="120"/>
      <c r="B74" s="118">
        <f t="shared" si="10"/>
        <v>52</v>
      </c>
      <c r="C74" s="107"/>
      <c r="D74" s="107">
        <f t="shared" si="7"/>
        <v>0.15</v>
      </c>
      <c r="E74" s="125">
        <v>3.0310000000000001</v>
      </c>
      <c r="F74" s="106">
        <f t="shared" si="8"/>
        <v>4</v>
      </c>
      <c r="G74" s="106">
        <f t="shared" si="9"/>
        <v>0</v>
      </c>
      <c r="H74" s="131">
        <f t="shared" si="6"/>
        <v>0</v>
      </c>
      <c r="I74" s="103"/>
      <c r="J74" s="117"/>
      <c r="K74" s="88"/>
      <c r="L74" s="88"/>
      <c r="M74" s="88"/>
      <c r="N74" s="88"/>
      <c r="O74" s="90"/>
      <c r="P74" s="90"/>
      <c r="Q74" s="90"/>
    </row>
    <row r="75" spans="1:18" ht="15.75" customHeight="1">
      <c r="A75" s="120"/>
      <c r="B75" s="118">
        <f t="shared" si="10"/>
        <v>53</v>
      </c>
      <c r="C75" s="107"/>
      <c r="D75" s="107">
        <f t="shared" si="7"/>
        <v>0.15</v>
      </c>
      <c r="E75" s="125">
        <v>3.0289999999999999</v>
      </c>
      <c r="F75" s="106">
        <f t="shared" si="8"/>
        <v>4</v>
      </c>
      <c r="G75" s="106">
        <f t="shared" si="9"/>
        <v>0</v>
      </c>
      <c r="H75" s="131">
        <f t="shared" si="6"/>
        <v>0</v>
      </c>
      <c r="I75" s="103"/>
      <c r="J75" s="117"/>
      <c r="K75" s="88"/>
      <c r="L75" s="88"/>
      <c r="M75" s="88"/>
      <c r="N75" s="88"/>
      <c r="O75" s="90"/>
      <c r="P75" s="90"/>
      <c r="Q75" s="90"/>
    </row>
    <row r="76" spans="1:18" ht="15.75" customHeight="1">
      <c r="A76" s="120"/>
      <c r="B76" s="118">
        <f t="shared" si="10"/>
        <v>54</v>
      </c>
      <c r="C76" s="107"/>
      <c r="D76" s="107">
        <f t="shared" si="7"/>
        <v>0.15</v>
      </c>
      <c r="E76" s="125">
        <v>3.028</v>
      </c>
      <c r="F76" s="106">
        <f t="shared" si="8"/>
        <v>4</v>
      </c>
      <c r="G76" s="106">
        <f t="shared" si="9"/>
        <v>0</v>
      </c>
      <c r="H76" s="131">
        <f t="shared" si="6"/>
        <v>0</v>
      </c>
      <c r="I76" s="103"/>
      <c r="J76" s="117"/>
      <c r="K76" s="88"/>
      <c r="L76" s="88"/>
      <c r="M76" s="88"/>
      <c r="N76" s="88"/>
      <c r="O76" s="90"/>
      <c r="P76" s="90"/>
      <c r="Q76" s="90"/>
    </row>
    <row r="77" spans="1:18" ht="15.75" customHeight="1">
      <c r="A77" s="120"/>
      <c r="B77" s="118">
        <f t="shared" si="10"/>
        <v>55</v>
      </c>
      <c r="C77" s="107"/>
      <c r="D77" s="107">
        <f t="shared" si="7"/>
        <v>0.15</v>
      </c>
      <c r="E77" s="125">
        <v>3.03</v>
      </c>
      <c r="F77" s="106">
        <f t="shared" si="8"/>
        <v>4</v>
      </c>
      <c r="G77" s="106">
        <f t="shared" si="9"/>
        <v>0</v>
      </c>
      <c r="H77" s="131">
        <f t="shared" si="6"/>
        <v>0</v>
      </c>
      <c r="I77" s="103"/>
      <c r="J77" s="117"/>
      <c r="K77" s="88"/>
      <c r="L77" s="88"/>
      <c r="M77" s="88"/>
      <c r="N77" s="88"/>
      <c r="O77" s="90"/>
      <c r="P77" s="90"/>
      <c r="Q77" s="90"/>
    </row>
    <row r="78" spans="1:18" ht="15.75" customHeight="1">
      <c r="A78" s="120"/>
      <c r="B78" s="118">
        <f t="shared" si="10"/>
        <v>56</v>
      </c>
      <c r="C78" s="107"/>
      <c r="D78" s="107">
        <f t="shared" si="7"/>
        <v>0.15</v>
      </c>
      <c r="E78" s="125">
        <v>3.0329999999999999</v>
      </c>
      <c r="F78" s="106">
        <f t="shared" si="8"/>
        <v>4</v>
      </c>
      <c r="G78" s="106">
        <f t="shared" si="9"/>
        <v>0</v>
      </c>
      <c r="H78" s="131">
        <f t="shared" si="6"/>
        <v>0</v>
      </c>
      <c r="I78" s="103"/>
      <c r="J78" s="117"/>
      <c r="K78" s="88"/>
      <c r="L78" s="88"/>
      <c r="M78" s="88"/>
      <c r="N78" s="88"/>
      <c r="O78" s="90"/>
      <c r="P78" s="90"/>
      <c r="Q78" s="90"/>
    </row>
    <row r="79" spans="1:18" ht="15.75" customHeight="1">
      <c r="A79" s="120"/>
      <c r="B79" s="118">
        <f t="shared" si="10"/>
        <v>57</v>
      </c>
      <c r="C79" s="107"/>
      <c r="D79" s="107">
        <f t="shared" si="7"/>
        <v>0.15</v>
      </c>
      <c r="E79" s="125">
        <v>3.02</v>
      </c>
      <c r="F79" s="106">
        <f t="shared" si="8"/>
        <v>4</v>
      </c>
      <c r="G79" s="106">
        <f t="shared" si="9"/>
        <v>0</v>
      </c>
      <c r="H79" s="131">
        <f t="shared" si="6"/>
        <v>0</v>
      </c>
      <c r="I79" s="103"/>
      <c r="J79" s="117"/>
      <c r="K79" s="88"/>
      <c r="L79" s="88"/>
      <c r="M79" s="88"/>
      <c r="N79" s="88"/>
      <c r="O79" s="90"/>
      <c r="P79" s="90"/>
      <c r="Q79" s="90"/>
      <c r="R79" s="86">
        <v>3.25</v>
      </c>
    </row>
    <row r="80" spans="1:18" ht="15.75" customHeight="1">
      <c r="A80" s="120"/>
      <c r="B80" s="118">
        <f t="shared" si="10"/>
        <v>58</v>
      </c>
      <c r="C80" s="107"/>
      <c r="D80" s="107">
        <f t="shared" si="7"/>
        <v>0.15</v>
      </c>
      <c r="E80" s="125">
        <v>3.0059999999999998</v>
      </c>
      <c r="F80" s="106">
        <f t="shared" si="8"/>
        <v>4</v>
      </c>
      <c r="G80" s="106">
        <f t="shared" si="9"/>
        <v>0</v>
      </c>
      <c r="H80" s="131">
        <f t="shared" si="6"/>
        <v>0</v>
      </c>
      <c r="I80" s="103"/>
      <c r="J80" s="117"/>
      <c r="K80" s="88"/>
      <c r="L80" s="88"/>
      <c r="M80" s="88"/>
      <c r="N80" s="88"/>
      <c r="O80" s="90"/>
      <c r="P80" s="90"/>
      <c r="Q80" s="90"/>
    </row>
    <row r="81" spans="1:19" ht="15.75" customHeight="1">
      <c r="A81" s="120"/>
      <c r="B81" s="118">
        <f t="shared" si="10"/>
        <v>59</v>
      </c>
      <c r="C81" s="107"/>
      <c r="D81" s="107">
        <f t="shared" si="7"/>
        <v>0.15</v>
      </c>
      <c r="E81" s="125">
        <v>2.9929999999999999</v>
      </c>
      <c r="F81" s="106">
        <f t="shared" si="8"/>
        <v>4</v>
      </c>
      <c r="G81" s="106">
        <f t="shared" si="9"/>
        <v>0</v>
      </c>
      <c r="H81" s="131">
        <f t="shared" si="6"/>
        <v>0</v>
      </c>
      <c r="I81" s="103"/>
      <c r="J81" s="117"/>
      <c r="K81" s="88"/>
      <c r="L81" s="88"/>
      <c r="M81" s="88"/>
      <c r="N81" s="88"/>
      <c r="O81" s="90"/>
      <c r="P81" s="90"/>
      <c r="Q81" s="90"/>
    </row>
    <row r="82" spans="1:19" ht="15.75" customHeight="1">
      <c r="A82" s="120"/>
      <c r="B82" s="118">
        <f t="shared" si="10"/>
        <v>60</v>
      </c>
      <c r="C82" s="107"/>
      <c r="D82" s="107">
        <f t="shared" si="7"/>
        <v>0.15</v>
      </c>
      <c r="E82" s="125">
        <v>2.9820000000000002</v>
      </c>
      <c r="F82" s="106">
        <f t="shared" si="8"/>
        <v>4</v>
      </c>
      <c r="G82" s="106">
        <f t="shared" si="9"/>
        <v>0</v>
      </c>
      <c r="H82" s="131">
        <f t="shared" si="6"/>
        <v>0</v>
      </c>
      <c r="I82" s="103"/>
      <c r="J82" s="117"/>
      <c r="K82" s="88"/>
      <c r="L82" s="88"/>
      <c r="M82" s="88"/>
      <c r="N82" s="88"/>
      <c r="O82" s="90"/>
      <c r="P82" s="90"/>
      <c r="Q82" s="90"/>
    </row>
    <row r="83" spans="1:19" ht="15.75" customHeight="1">
      <c r="A83" s="120"/>
      <c r="B83" s="118">
        <f t="shared" si="10"/>
        <v>61</v>
      </c>
      <c r="C83" s="107"/>
      <c r="D83" s="107">
        <f t="shared" si="7"/>
        <v>0.15</v>
      </c>
      <c r="E83" s="125">
        <v>2.9750000000000001</v>
      </c>
      <c r="F83" s="106">
        <f t="shared" si="8"/>
        <v>4</v>
      </c>
      <c r="G83" s="106">
        <f t="shared" si="9"/>
        <v>0</v>
      </c>
      <c r="H83" s="131">
        <f t="shared" si="6"/>
        <v>0</v>
      </c>
      <c r="I83" s="103"/>
      <c r="J83" s="117"/>
      <c r="K83" s="88"/>
      <c r="L83" s="88"/>
      <c r="M83" s="88"/>
      <c r="N83" s="88"/>
      <c r="O83" s="90"/>
      <c r="P83" s="90"/>
      <c r="Q83" s="90"/>
    </row>
    <row r="84" spans="1:19" ht="15.75" customHeight="1">
      <c r="A84" s="120"/>
      <c r="B84" s="118">
        <f t="shared" si="10"/>
        <v>62</v>
      </c>
      <c r="C84" s="107"/>
      <c r="D84" s="107">
        <f t="shared" si="7"/>
        <v>0.15</v>
      </c>
      <c r="E84" s="125">
        <v>2.9750000000000001</v>
      </c>
      <c r="F84" s="106">
        <f t="shared" si="8"/>
        <v>4</v>
      </c>
      <c r="G84" s="106">
        <f t="shared" si="9"/>
        <v>0</v>
      </c>
      <c r="H84" s="131">
        <f t="shared" si="6"/>
        <v>0</v>
      </c>
      <c r="I84" s="103"/>
      <c r="J84" s="117"/>
      <c r="K84" s="88"/>
      <c r="L84" s="88"/>
      <c r="M84" s="88"/>
      <c r="N84" s="88"/>
      <c r="O84" s="90"/>
      <c r="P84" s="90"/>
      <c r="Q84" s="90"/>
    </row>
    <row r="85" spans="1:19" ht="15.75" customHeight="1">
      <c r="A85" s="120"/>
      <c r="B85" s="118">
        <f t="shared" si="10"/>
        <v>63</v>
      </c>
      <c r="C85" s="107"/>
      <c r="D85" s="107">
        <f t="shared" si="7"/>
        <v>0.15</v>
      </c>
      <c r="E85" s="125">
        <v>2.98</v>
      </c>
      <c r="F85" s="106">
        <f t="shared" si="8"/>
        <v>4</v>
      </c>
      <c r="G85" s="106">
        <f t="shared" si="9"/>
        <v>0</v>
      </c>
      <c r="H85" s="131">
        <f t="shared" si="6"/>
        <v>0</v>
      </c>
      <c r="I85" s="103"/>
      <c r="J85" s="117"/>
      <c r="K85" s="88"/>
      <c r="L85" s="88"/>
      <c r="M85" s="88"/>
      <c r="N85" s="88"/>
      <c r="O85" s="90"/>
      <c r="P85" s="90"/>
      <c r="Q85" s="90"/>
    </row>
    <row r="86" spans="1:19" ht="15.75" customHeight="1">
      <c r="A86" s="120"/>
      <c r="B86" s="118">
        <f t="shared" si="10"/>
        <v>64</v>
      </c>
      <c r="C86" s="107"/>
      <c r="D86" s="107">
        <f t="shared" si="7"/>
        <v>0.15</v>
      </c>
      <c r="E86" s="125">
        <v>2.9820000000000002</v>
      </c>
      <c r="F86" s="106">
        <f t="shared" si="8"/>
        <v>4</v>
      </c>
      <c r="G86" s="106">
        <f t="shared" si="9"/>
        <v>0</v>
      </c>
      <c r="H86" s="131">
        <f t="shared" si="6"/>
        <v>0</v>
      </c>
      <c r="I86" s="103"/>
      <c r="J86" s="117"/>
      <c r="K86" s="88"/>
      <c r="L86" s="88"/>
      <c r="M86" s="88"/>
      <c r="N86" s="88"/>
      <c r="O86" s="90"/>
      <c r="P86" s="90"/>
      <c r="Q86" s="90"/>
    </row>
    <row r="87" spans="1:19" ht="15.75" customHeight="1">
      <c r="A87" s="120"/>
      <c r="B87" s="118">
        <f t="shared" si="10"/>
        <v>65</v>
      </c>
      <c r="C87" s="107"/>
      <c r="D87" s="107">
        <f t="shared" si="7"/>
        <v>0.15</v>
      </c>
      <c r="E87" s="125">
        <v>2.9870000000000001</v>
      </c>
      <c r="F87" s="106">
        <f t="shared" si="8"/>
        <v>4</v>
      </c>
      <c r="G87" s="106">
        <f t="shared" si="9"/>
        <v>0</v>
      </c>
      <c r="H87" s="131">
        <f t="shared" ref="H87:H118" si="11">D87*E87*F87*G87</f>
        <v>0</v>
      </c>
      <c r="I87" s="103"/>
      <c r="J87" s="117"/>
      <c r="K87" s="88"/>
      <c r="L87" s="88"/>
      <c r="M87" s="88"/>
      <c r="N87" s="88"/>
      <c r="O87" s="90"/>
      <c r="P87" s="90"/>
      <c r="Q87" s="90"/>
    </row>
    <row r="88" spans="1:19" ht="15.75" customHeight="1">
      <c r="A88" s="120"/>
      <c r="B88" s="118">
        <f t="shared" si="10"/>
        <v>66</v>
      </c>
      <c r="C88" s="107"/>
      <c r="D88" s="107">
        <f t="shared" ref="D88:D120" si="12">D87</f>
        <v>0.15</v>
      </c>
      <c r="E88" s="125">
        <v>2.964</v>
      </c>
      <c r="F88" s="106">
        <f t="shared" ref="F88:F120" si="13">F87</f>
        <v>4</v>
      </c>
      <c r="G88" s="106">
        <f t="shared" si="9"/>
        <v>0</v>
      </c>
      <c r="H88" s="131">
        <f t="shared" si="11"/>
        <v>0</v>
      </c>
      <c r="I88" s="103"/>
      <c r="J88" s="117"/>
      <c r="K88" s="88"/>
      <c r="L88" s="88"/>
      <c r="M88" s="88"/>
      <c r="N88" s="88"/>
      <c r="O88" s="90"/>
      <c r="P88" s="90"/>
      <c r="Q88" s="90"/>
      <c r="R88" s="87">
        <v>3</v>
      </c>
      <c r="S88" s="87"/>
    </row>
    <row r="89" spans="1:19" ht="15.75" customHeight="1">
      <c r="A89" s="128"/>
      <c r="B89" s="118">
        <f t="shared" si="10"/>
        <v>67</v>
      </c>
      <c r="C89" s="106"/>
      <c r="D89" s="107">
        <f t="shared" si="12"/>
        <v>0.15</v>
      </c>
      <c r="E89" s="125">
        <v>2.9289999999999998</v>
      </c>
      <c r="F89" s="106">
        <f t="shared" si="13"/>
        <v>4</v>
      </c>
      <c r="G89" s="106">
        <f t="shared" ref="G89:G120" si="14">G88</f>
        <v>0</v>
      </c>
      <c r="H89" s="131">
        <f t="shared" si="11"/>
        <v>0</v>
      </c>
      <c r="I89" s="103"/>
      <c r="J89" s="117"/>
      <c r="K89" s="88"/>
      <c r="L89" s="88"/>
      <c r="M89" s="88"/>
      <c r="N89" s="88"/>
      <c r="O89" s="90"/>
      <c r="P89" s="90"/>
      <c r="Q89" s="90"/>
      <c r="R89" s="87"/>
      <c r="S89" s="87"/>
    </row>
    <row r="90" spans="1:19" ht="15.75" customHeight="1">
      <c r="A90" s="128"/>
      <c r="B90" s="118">
        <f t="shared" ref="B90:B120" si="15">B89+1</f>
        <v>68</v>
      </c>
      <c r="C90" s="106"/>
      <c r="D90" s="107">
        <f t="shared" si="12"/>
        <v>0.15</v>
      </c>
      <c r="E90" s="125">
        <v>2.9740000000000002</v>
      </c>
      <c r="F90" s="106">
        <f t="shared" si="13"/>
        <v>4</v>
      </c>
      <c r="G90" s="106">
        <f t="shared" si="14"/>
        <v>0</v>
      </c>
      <c r="H90" s="131">
        <f t="shared" si="11"/>
        <v>0</v>
      </c>
      <c r="I90" s="103"/>
      <c r="J90" s="117"/>
      <c r="K90" s="88"/>
      <c r="L90" s="88"/>
      <c r="M90" s="88"/>
      <c r="N90" s="88"/>
      <c r="O90" s="90"/>
      <c r="P90" s="90"/>
      <c r="Q90" s="90"/>
      <c r="R90" s="87"/>
      <c r="S90" s="87"/>
    </row>
    <row r="91" spans="1:19" ht="15.75" customHeight="1">
      <c r="A91" s="128"/>
      <c r="B91" s="118">
        <f t="shared" si="15"/>
        <v>69</v>
      </c>
      <c r="C91" s="106"/>
      <c r="D91" s="107">
        <f t="shared" si="12"/>
        <v>0.15</v>
      </c>
      <c r="E91" s="125">
        <v>2.984</v>
      </c>
      <c r="F91" s="106">
        <f t="shared" si="13"/>
        <v>4</v>
      </c>
      <c r="G91" s="106">
        <f t="shared" si="14"/>
        <v>0</v>
      </c>
      <c r="H91" s="131">
        <f t="shared" si="11"/>
        <v>0</v>
      </c>
      <c r="I91" s="103"/>
      <c r="J91" s="117"/>
      <c r="K91" s="88"/>
      <c r="L91" s="88"/>
      <c r="M91" s="88"/>
      <c r="N91" s="88"/>
      <c r="O91" s="90"/>
      <c r="P91" s="90"/>
      <c r="Q91" s="90"/>
      <c r="R91" s="87"/>
      <c r="S91" s="87"/>
    </row>
    <row r="92" spans="1:19" ht="15.75" customHeight="1">
      <c r="A92" s="128"/>
      <c r="B92" s="118">
        <f t="shared" si="15"/>
        <v>70</v>
      </c>
      <c r="C92" s="106"/>
      <c r="D92" s="107">
        <f t="shared" si="12"/>
        <v>0.15</v>
      </c>
      <c r="E92" s="125">
        <v>2.673</v>
      </c>
      <c r="F92" s="106">
        <f t="shared" si="13"/>
        <v>4</v>
      </c>
      <c r="G92" s="106">
        <f t="shared" si="14"/>
        <v>0</v>
      </c>
      <c r="H92" s="131">
        <f t="shared" si="11"/>
        <v>0</v>
      </c>
      <c r="I92" s="103"/>
      <c r="J92" s="117"/>
      <c r="K92" s="88"/>
      <c r="L92" s="88"/>
      <c r="M92" s="88"/>
      <c r="N92" s="88"/>
      <c r="O92" s="90"/>
      <c r="P92" s="90"/>
      <c r="Q92" s="90"/>
      <c r="R92" s="87"/>
      <c r="S92" s="87"/>
    </row>
    <row r="93" spans="1:19" ht="15.75" customHeight="1">
      <c r="A93" s="128"/>
      <c r="B93" s="118">
        <f t="shared" si="15"/>
        <v>71</v>
      </c>
      <c r="C93" s="106"/>
      <c r="D93" s="107">
        <f t="shared" si="12"/>
        <v>0.15</v>
      </c>
      <c r="E93" s="125">
        <v>2.6619999999999999</v>
      </c>
      <c r="F93" s="106">
        <f t="shared" si="13"/>
        <v>4</v>
      </c>
      <c r="G93" s="106">
        <f t="shared" si="14"/>
        <v>0</v>
      </c>
      <c r="H93" s="131">
        <f t="shared" si="11"/>
        <v>0</v>
      </c>
      <c r="I93" s="103"/>
      <c r="J93" s="117"/>
      <c r="K93" s="88"/>
      <c r="L93" s="88"/>
      <c r="M93" s="88"/>
      <c r="N93" s="88"/>
      <c r="O93" s="90"/>
      <c r="P93" s="90"/>
      <c r="Q93" s="90"/>
      <c r="R93" s="87"/>
      <c r="S93" s="87"/>
    </row>
    <row r="94" spans="1:19" ht="15.75" customHeight="1">
      <c r="A94" s="128"/>
      <c r="B94" s="118">
        <f t="shared" si="15"/>
        <v>72</v>
      </c>
      <c r="C94" s="106"/>
      <c r="D94" s="107">
        <f t="shared" si="12"/>
        <v>0.15</v>
      </c>
      <c r="E94" s="125">
        <v>2.6429999999999998</v>
      </c>
      <c r="F94" s="106">
        <f t="shared" si="13"/>
        <v>4</v>
      </c>
      <c r="G94" s="106">
        <f t="shared" si="14"/>
        <v>0</v>
      </c>
      <c r="H94" s="131">
        <f t="shared" si="11"/>
        <v>0</v>
      </c>
      <c r="I94" s="103"/>
      <c r="J94" s="117"/>
      <c r="K94" s="88"/>
      <c r="L94" s="88"/>
      <c r="M94" s="88"/>
      <c r="N94" s="88"/>
      <c r="O94" s="90"/>
      <c r="P94" s="90"/>
      <c r="Q94" s="90"/>
      <c r="R94" s="87"/>
      <c r="S94" s="87"/>
    </row>
    <row r="95" spans="1:19" ht="15.75" customHeight="1">
      <c r="A95" s="128"/>
      <c r="B95" s="118">
        <f t="shared" si="15"/>
        <v>73</v>
      </c>
      <c r="C95" s="106"/>
      <c r="D95" s="107">
        <f t="shared" si="12"/>
        <v>0.15</v>
      </c>
      <c r="E95" s="125">
        <v>2.6230000000000002</v>
      </c>
      <c r="F95" s="106">
        <f t="shared" si="13"/>
        <v>4</v>
      </c>
      <c r="G95" s="106">
        <f t="shared" si="14"/>
        <v>0</v>
      </c>
      <c r="H95" s="131">
        <f t="shared" si="11"/>
        <v>0</v>
      </c>
      <c r="I95" s="103"/>
      <c r="J95" s="117"/>
      <c r="K95" s="88"/>
      <c r="L95" s="88"/>
      <c r="M95" s="88"/>
      <c r="N95" s="88"/>
      <c r="O95" s="90"/>
      <c r="P95" s="90"/>
      <c r="Q95" s="90"/>
      <c r="R95" s="87"/>
      <c r="S95" s="87"/>
    </row>
    <row r="96" spans="1:19" ht="15.75" customHeight="1">
      <c r="A96" s="128"/>
      <c r="B96" s="118">
        <f t="shared" si="15"/>
        <v>74</v>
      </c>
      <c r="C96" s="106"/>
      <c r="D96" s="107">
        <f t="shared" si="12"/>
        <v>0.15</v>
      </c>
      <c r="E96" s="125">
        <v>2.6150000000000002</v>
      </c>
      <c r="F96" s="106">
        <f t="shared" si="13"/>
        <v>4</v>
      </c>
      <c r="G96" s="106">
        <f t="shared" si="14"/>
        <v>0</v>
      </c>
      <c r="H96" s="131">
        <f t="shared" si="11"/>
        <v>0</v>
      </c>
      <c r="I96" s="103"/>
      <c r="J96" s="117"/>
      <c r="K96" s="88"/>
      <c r="L96" s="88"/>
      <c r="M96" s="88"/>
      <c r="N96" s="88"/>
      <c r="O96" s="90"/>
      <c r="P96" s="90"/>
      <c r="Q96" s="90"/>
      <c r="R96" s="87"/>
      <c r="S96" s="87"/>
    </row>
    <row r="97" spans="1:19" ht="15.75" customHeight="1">
      <c r="A97" s="128"/>
      <c r="B97" s="118">
        <f t="shared" si="15"/>
        <v>75</v>
      </c>
      <c r="C97" s="106"/>
      <c r="D97" s="107">
        <f t="shared" si="12"/>
        <v>0.15</v>
      </c>
      <c r="E97" s="125">
        <v>2.6120000000000001</v>
      </c>
      <c r="F97" s="106">
        <f t="shared" si="13"/>
        <v>4</v>
      </c>
      <c r="G97" s="106">
        <f t="shared" si="14"/>
        <v>0</v>
      </c>
      <c r="H97" s="131">
        <f t="shared" si="11"/>
        <v>0</v>
      </c>
      <c r="I97" s="103"/>
      <c r="J97" s="117"/>
      <c r="K97" s="88"/>
      <c r="L97" s="88"/>
      <c r="M97" s="88"/>
      <c r="N97" s="88"/>
      <c r="O97" s="90"/>
      <c r="P97" s="90"/>
      <c r="Q97" s="90"/>
      <c r="R97" s="87"/>
      <c r="S97" s="87"/>
    </row>
    <row r="98" spans="1:19" ht="15.75" customHeight="1">
      <c r="A98" s="128"/>
      <c r="B98" s="118">
        <f t="shared" si="15"/>
        <v>76</v>
      </c>
      <c r="C98" s="106"/>
      <c r="D98" s="107">
        <f t="shared" si="12"/>
        <v>0.15</v>
      </c>
      <c r="E98" s="125">
        <v>2.665</v>
      </c>
      <c r="F98" s="106">
        <f t="shared" si="13"/>
        <v>4</v>
      </c>
      <c r="G98" s="106">
        <f t="shared" si="14"/>
        <v>0</v>
      </c>
      <c r="H98" s="131">
        <f t="shared" si="11"/>
        <v>0</v>
      </c>
      <c r="I98" s="103"/>
      <c r="J98" s="117"/>
      <c r="K98" s="88"/>
      <c r="L98" s="88"/>
      <c r="M98" s="88"/>
      <c r="N98" s="88"/>
      <c r="O98" s="90"/>
      <c r="P98" s="90"/>
      <c r="Q98" s="90"/>
      <c r="R98" s="87"/>
      <c r="S98" s="87"/>
    </row>
    <row r="99" spans="1:19" ht="15.75" customHeight="1">
      <c r="A99" s="128"/>
      <c r="B99" s="118">
        <f t="shared" si="15"/>
        <v>77</v>
      </c>
      <c r="C99" s="106"/>
      <c r="D99" s="107">
        <f t="shared" si="12"/>
        <v>0.15</v>
      </c>
      <c r="E99" s="125">
        <v>2.8210000000000002</v>
      </c>
      <c r="F99" s="106">
        <f t="shared" si="13"/>
        <v>4</v>
      </c>
      <c r="G99" s="106">
        <f t="shared" si="14"/>
        <v>0</v>
      </c>
      <c r="H99" s="131">
        <f t="shared" si="11"/>
        <v>0</v>
      </c>
      <c r="I99" s="103"/>
      <c r="J99" s="117"/>
      <c r="K99" s="88"/>
      <c r="L99" s="88"/>
      <c r="M99" s="88"/>
      <c r="N99" s="88"/>
      <c r="O99" s="90"/>
      <c r="P99" s="90"/>
      <c r="Q99" s="90"/>
      <c r="R99" s="87"/>
      <c r="S99" s="87"/>
    </row>
    <row r="100" spans="1:19" ht="15.75" customHeight="1">
      <c r="A100" s="128"/>
      <c r="B100" s="118">
        <f t="shared" si="15"/>
        <v>78</v>
      </c>
      <c r="C100" s="106"/>
      <c r="D100" s="107">
        <f t="shared" si="12"/>
        <v>0.15</v>
      </c>
      <c r="E100" s="125">
        <v>2.8250000000000002</v>
      </c>
      <c r="F100" s="106">
        <f t="shared" si="13"/>
        <v>4</v>
      </c>
      <c r="G100" s="106">
        <f t="shared" si="14"/>
        <v>0</v>
      </c>
      <c r="H100" s="131">
        <f t="shared" si="11"/>
        <v>0</v>
      </c>
      <c r="I100" s="103"/>
      <c r="J100" s="117"/>
      <c r="K100" s="88"/>
      <c r="L100" s="88"/>
      <c r="M100" s="88"/>
      <c r="N100" s="88"/>
      <c r="O100" s="90"/>
      <c r="P100" s="90"/>
      <c r="Q100" s="90"/>
      <c r="R100" s="87"/>
      <c r="S100" s="87"/>
    </row>
    <row r="101" spans="1:19" ht="15.75" customHeight="1">
      <c r="A101" s="128"/>
      <c r="B101" s="118">
        <f t="shared" si="15"/>
        <v>79</v>
      </c>
      <c r="C101" s="106"/>
      <c r="D101" s="107">
        <f t="shared" si="12"/>
        <v>0.15</v>
      </c>
      <c r="E101" s="125">
        <v>2.726</v>
      </c>
      <c r="F101" s="106">
        <f t="shared" si="13"/>
        <v>4</v>
      </c>
      <c r="G101" s="106">
        <f t="shared" si="14"/>
        <v>0</v>
      </c>
      <c r="H101" s="131">
        <f t="shared" si="11"/>
        <v>0</v>
      </c>
      <c r="I101" s="103"/>
      <c r="J101" s="117"/>
      <c r="K101" s="88"/>
      <c r="L101" s="88"/>
      <c r="M101" s="88"/>
      <c r="N101" s="88"/>
      <c r="O101" s="90"/>
      <c r="P101" s="90"/>
      <c r="Q101" s="90"/>
      <c r="R101" s="87"/>
      <c r="S101" s="87"/>
    </row>
    <row r="102" spans="1:19" ht="15.75" customHeight="1">
      <c r="A102" s="128"/>
      <c r="B102" s="118">
        <f t="shared" si="15"/>
        <v>80</v>
      </c>
      <c r="C102" s="106"/>
      <c r="D102" s="107">
        <f t="shared" si="12"/>
        <v>0.15</v>
      </c>
      <c r="E102" s="125">
        <v>2.6259999999999999</v>
      </c>
      <c r="F102" s="106">
        <f t="shared" si="13"/>
        <v>4</v>
      </c>
      <c r="G102" s="106">
        <f t="shared" si="14"/>
        <v>0</v>
      </c>
      <c r="H102" s="131">
        <f t="shared" si="11"/>
        <v>0</v>
      </c>
      <c r="I102" s="103"/>
      <c r="J102" s="117"/>
      <c r="K102" s="88"/>
      <c r="L102" s="88"/>
      <c r="M102" s="88"/>
      <c r="N102" s="88"/>
      <c r="O102" s="90"/>
      <c r="P102" s="90"/>
      <c r="Q102" s="90"/>
      <c r="R102" s="87"/>
      <c r="S102" s="87"/>
    </row>
    <row r="103" spans="1:19" ht="15.75" customHeight="1">
      <c r="A103" s="128"/>
      <c r="B103" s="118">
        <f t="shared" si="15"/>
        <v>81</v>
      </c>
      <c r="C103" s="106"/>
      <c r="D103" s="107">
        <f t="shared" si="12"/>
        <v>0.15</v>
      </c>
      <c r="E103" s="125">
        <v>2.7450000000000001</v>
      </c>
      <c r="F103" s="106">
        <f t="shared" si="13"/>
        <v>4</v>
      </c>
      <c r="G103" s="106">
        <f t="shared" si="14"/>
        <v>0</v>
      </c>
      <c r="H103" s="131">
        <f t="shared" si="11"/>
        <v>0</v>
      </c>
      <c r="I103" s="103"/>
      <c r="J103" s="117"/>
      <c r="K103" s="88"/>
      <c r="L103" s="88"/>
      <c r="M103" s="88"/>
      <c r="N103" s="88"/>
      <c r="O103" s="90"/>
      <c r="P103" s="90"/>
      <c r="Q103" s="90"/>
      <c r="R103" s="87"/>
      <c r="S103" s="87"/>
    </row>
    <row r="104" spans="1:19" ht="15.75" customHeight="1">
      <c r="A104" s="128"/>
      <c r="B104" s="118">
        <f t="shared" si="15"/>
        <v>82</v>
      </c>
      <c r="C104" s="106"/>
      <c r="D104" s="107">
        <f t="shared" si="12"/>
        <v>0.15</v>
      </c>
      <c r="E104" s="125">
        <v>2.847</v>
      </c>
      <c r="F104" s="106">
        <f t="shared" si="13"/>
        <v>4</v>
      </c>
      <c r="G104" s="106">
        <f t="shared" si="14"/>
        <v>0</v>
      </c>
      <c r="H104" s="131">
        <f t="shared" si="11"/>
        <v>0</v>
      </c>
      <c r="I104" s="103"/>
      <c r="J104" s="117"/>
      <c r="K104" s="88"/>
      <c r="L104" s="88"/>
      <c r="M104" s="88"/>
      <c r="N104" s="88"/>
      <c r="O104" s="90"/>
      <c r="P104" s="90"/>
      <c r="Q104" s="90"/>
      <c r="R104" s="87"/>
      <c r="S104" s="87"/>
    </row>
    <row r="105" spans="1:19" ht="15.75" customHeight="1">
      <c r="A105" s="128"/>
      <c r="B105" s="118">
        <f t="shared" si="15"/>
        <v>83</v>
      </c>
      <c r="C105" s="106"/>
      <c r="D105" s="107">
        <f t="shared" si="12"/>
        <v>0.15</v>
      </c>
      <c r="E105" s="125">
        <v>2.8319999999999999</v>
      </c>
      <c r="F105" s="106">
        <f t="shared" si="13"/>
        <v>4</v>
      </c>
      <c r="G105" s="106">
        <f t="shared" si="14"/>
        <v>0</v>
      </c>
      <c r="H105" s="131">
        <f t="shared" si="11"/>
        <v>0</v>
      </c>
      <c r="I105" s="103"/>
      <c r="J105" s="117"/>
      <c r="K105" s="88"/>
      <c r="L105" s="88"/>
      <c r="M105" s="88"/>
      <c r="N105" s="88"/>
      <c r="O105" s="90"/>
      <c r="P105" s="90"/>
      <c r="Q105" s="90"/>
      <c r="R105" s="87"/>
      <c r="S105" s="87"/>
    </row>
    <row r="106" spans="1:19" ht="15.75" customHeight="1">
      <c r="A106" s="128"/>
      <c r="B106" s="118">
        <f t="shared" si="15"/>
        <v>84</v>
      </c>
      <c r="C106" s="106"/>
      <c r="D106" s="107">
        <f t="shared" si="12"/>
        <v>0.15</v>
      </c>
      <c r="E106" s="125">
        <v>2.8180000000000001</v>
      </c>
      <c r="F106" s="106">
        <f t="shared" si="13"/>
        <v>4</v>
      </c>
      <c r="G106" s="106">
        <f t="shared" si="14"/>
        <v>0</v>
      </c>
      <c r="H106" s="131">
        <f t="shared" si="11"/>
        <v>0</v>
      </c>
      <c r="I106" s="103"/>
      <c r="J106" s="117"/>
      <c r="K106" s="88"/>
      <c r="L106" s="88"/>
      <c r="M106" s="88"/>
      <c r="N106" s="88"/>
      <c r="O106" s="90"/>
      <c r="P106" s="90"/>
      <c r="Q106" s="90"/>
      <c r="R106" s="87"/>
      <c r="S106" s="87"/>
    </row>
    <row r="107" spans="1:19" ht="15.75" customHeight="1">
      <c r="A107" s="128"/>
      <c r="B107" s="118">
        <f t="shared" si="15"/>
        <v>85</v>
      </c>
      <c r="C107" s="106"/>
      <c r="D107" s="107">
        <f t="shared" si="12"/>
        <v>0.15</v>
      </c>
      <c r="E107" s="125">
        <v>2.6909999999999998</v>
      </c>
      <c r="F107" s="106">
        <f t="shared" si="13"/>
        <v>4</v>
      </c>
      <c r="G107" s="106">
        <f t="shared" si="14"/>
        <v>0</v>
      </c>
      <c r="H107" s="131">
        <f t="shared" si="11"/>
        <v>0</v>
      </c>
      <c r="I107" s="103"/>
      <c r="J107" s="117"/>
      <c r="K107" s="88"/>
      <c r="L107" s="88"/>
      <c r="M107" s="88"/>
      <c r="N107" s="88"/>
      <c r="O107" s="90"/>
      <c r="P107" s="90"/>
      <c r="Q107" s="90"/>
      <c r="R107" s="87"/>
      <c r="S107" s="87"/>
    </row>
    <row r="108" spans="1:19" ht="15.75" customHeight="1">
      <c r="A108" s="128"/>
      <c r="B108" s="118">
        <f t="shared" si="15"/>
        <v>86</v>
      </c>
      <c r="C108" s="106"/>
      <c r="D108" s="107">
        <f t="shared" si="12"/>
        <v>0.15</v>
      </c>
      <c r="E108" s="125">
        <v>2.5819999999999999</v>
      </c>
      <c r="F108" s="106">
        <f t="shared" si="13"/>
        <v>4</v>
      </c>
      <c r="G108" s="106">
        <f t="shared" si="14"/>
        <v>0</v>
      </c>
      <c r="H108" s="131">
        <f t="shared" si="11"/>
        <v>0</v>
      </c>
      <c r="I108" s="103"/>
      <c r="J108" s="117"/>
      <c r="K108" s="88"/>
      <c r="L108" s="88"/>
      <c r="M108" s="88"/>
      <c r="N108" s="88"/>
      <c r="O108" s="90"/>
      <c r="P108" s="90"/>
      <c r="Q108" s="90"/>
      <c r="R108" s="87"/>
      <c r="S108" s="87"/>
    </row>
    <row r="109" spans="1:19" ht="15.75" customHeight="1">
      <c r="A109" s="128"/>
      <c r="B109" s="118">
        <f t="shared" si="15"/>
        <v>87</v>
      </c>
      <c r="C109" s="106"/>
      <c r="D109" s="107">
        <f t="shared" si="12"/>
        <v>0.15</v>
      </c>
      <c r="E109" s="125">
        <v>2.5760000000000001</v>
      </c>
      <c r="F109" s="106">
        <f t="shared" si="13"/>
        <v>4</v>
      </c>
      <c r="G109" s="106">
        <f t="shared" si="14"/>
        <v>0</v>
      </c>
      <c r="H109" s="131">
        <f t="shared" si="11"/>
        <v>0</v>
      </c>
      <c r="I109" s="103"/>
      <c r="J109" s="117"/>
      <c r="K109" s="88"/>
      <c r="L109" s="88"/>
      <c r="M109" s="88"/>
      <c r="N109" s="88"/>
      <c r="O109" s="90"/>
      <c r="P109" s="90"/>
      <c r="Q109" s="90"/>
      <c r="R109" s="87"/>
      <c r="S109" s="87"/>
    </row>
    <row r="110" spans="1:19" ht="15.75" customHeight="1">
      <c r="A110" s="128"/>
      <c r="B110" s="118">
        <f t="shared" si="15"/>
        <v>88</v>
      </c>
      <c r="C110" s="106"/>
      <c r="D110" s="107">
        <f t="shared" si="12"/>
        <v>0.15</v>
      </c>
      <c r="E110" s="125">
        <v>2.5550000000000002</v>
      </c>
      <c r="F110" s="106">
        <f t="shared" si="13"/>
        <v>4</v>
      </c>
      <c r="G110" s="106">
        <f t="shared" si="14"/>
        <v>0</v>
      </c>
      <c r="H110" s="131">
        <f t="shared" si="11"/>
        <v>0</v>
      </c>
      <c r="I110" s="103"/>
      <c r="J110" s="117"/>
      <c r="K110" s="88"/>
      <c r="L110" s="88"/>
      <c r="M110" s="88"/>
      <c r="N110" s="88"/>
      <c r="O110" s="90"/>
      <c r="P110" s="90"/>
      <c r="Q110" s="90"/>
      <c r="R110" s="87"/>
      <c r="S110" s="87"/>
    </row>
    <row r="111" spans="1:19" ht="15.75" customHeight="1">
      <c r="A111" s="128"/>
      <c r="B111" s="118">
        <f t="shared" si="15"/>
        <v>89</v>
      </c>
      <c r="C111" s="106"/>
      <c r="D111" s="107">
        <f t="shared" si="12"/>
        <v>0.15</v>
      </c>
      <c r="E111" s="125">
        <v>2.5289999999999999</v>
      </c>
      <c r="F111" s="106">
        <f t="shared" si="13"/>
        <v>4</v>
      </c>
      <c r="G111" s="106">
        <f t="shared" si="14"/>
        <v>0</v>
      </c>
      <c r="H111" s="131">
        <f t="shared" si="11"/>
        <v>0</v>
      </c>
      <c r="I111" s="103"/>
      <c r="J111" s="117"/>
      <c r="K111" s="88"/>
      <c r="L111" s="88"/>
      <c r="M111" s="88"/>
      <c r="N111" s="88"/>
      <c r="O111" s="90"/>
      <c r="P111" s="90"/>
      <c r="Q111" s="90"/>
      <c r="R111" s="87"/>
      <c r="S111" s="87"/>
    </row>
    <row r="112" spans="1:19" ht="15.75" customHeight="1">
      <c r="A112" s="128"/>
      <c r="B112" s="118">
        <f t="shared" si="15"/>
        <v>90</v>
      </c>
      <c r="C112" s="106"/>
      <c r="D112" s="107">
        <f t="shared" si="12"/>
        <v>0.15</v>
      </c>
      <c r="E112" s="125">
        <v>2.5019999999999998</v>
      </c>
      <c r="F112" s="106">
        <f t="shared" si="13"/>
        <v>4</v>
      </c>
      <c r="G112" s="106">
        <f t="shared" si="14"/>
        <v>0</v>
      </c>
      <c r="H112" s="131">
        <f t="shared" si="11"/>
        <v>0</v>
      </c>
      <c r="I112" s="103"/>
      <c r="J112" s="117"/>
      <c r="K112" s="88"/>
      <c r="L112" s="88"/>
      <c r="M112" s="88"/>
      <c r="N112" s="88"/>
      <c r="O112" s="90"/>
      <c r="P112" s="90"/>
      <c r="Q112" s="90"/>
      <c r="R112" s="87"/>
      <c r="S112" s="87"/>
    </row>
    <row r="113" spans="1:19" ht="15.75" customHeight="1">
      <c r="A113" s="128"/>
      <c r="B113" s="118">
        <f t="shared" si="15"/>
        <v>91</v>
      </c>
      <c r="C113" s="106"/>
      <c r="D113" s="107">
        <f t="shared" si="12"/>
        <v>0.15</v>
      </c>
      <c r="E113" s="125">
        <v>2.476</v>
      </c>
      <c r="F113" s="106">
        <f t="shared" si="13"/>
        <v>4</v>
      </c>
      <c r="G113" s="106">
        <f t="shared" si="14"/>
        <v>0</v>
      </c>
      <c r="H113" s="131">
        <f t="shared" si="11"/>
        <v>0</v>
      </c>
      <c r="I113" s="103"/>
      <c r="J113" s="117"/>
      <c r="K113" s="88"/>
      <c r="L113" s="88"/>
      <c r="M113" s="88"/>
      <c r="N113" s="88"/>
      <c r="O113" s="90"/>
      <c r="P113" s="90"/>
      <c r="Q113" s="90"/>
      <c r="R113" s="87"/>
      <c r="S113" s="87"/>
    </row>
    <row r="114" spans="1:19" ht="15.75" customHeight="1">
      <c r="A114" s="128"/>
      <c r="B114" s="118">
        <f t="shared" si="15"/>
        <v>92</v>
      </c>
      <c r="C114" s="106"/>
      <c r="D114" s="107">
        <f t="shared" si="12"/>
        <v>0.15</v>
      </c>
      <c r="E114" s="125">
        <v>2.4169999999999998</v>
      </c>
      <c r="F114" s="106">
        <f t="shared" si="13"/>
        <v>4</v>
      </c>
      <c r="G114" s="106">
        <f t="shared" si="14"/>
        <v>0</v>
      </c>
      <c r="H114" s="131">
        <f t="shared" si="11"/>
        <v>0</v>
      </c>
      <c r="I114" s="103"/>
      <c r="J114" s="117"/>
      <c r="K114" s="88"/>
      <c r="L114" s="88"/>
      <c r="M114" s="88"/>
      <c r="N114" s="88"/>
      <c r="O114" s="90"/>
      <c r="P114" s="90"/>
      <c r="Q114" s="90"/>
      <c r="R114" s="87"/>
      <c r="S114" s="87"/>
    </row>
    <row r="115" spans="1:19" ht="15.75" customHeight="1">
      <c r="A115" s="128"/>
      <c r="B115" s="118">
        <f t="shared" si="15"/>
        <v>93</v>
      </c>
      <c r="C115" s="106"/>
      <c r="D115" s="107">
        <f t="shared" si="12"/>
        <v>0.15</v>
      </c>
      <c r="E115" s="125">
        <v>2.5419999999999998</v>
      </c>
      <c r="F115" s="106">
        <f t="shared" si="13"/>
        <v>4</v>
      </c>
      <c r="G115" s="106">
        <f t="shared" si="14"/>
        <v>0</v>
      </c>
      <c r="H115" s="131">
        <f t="shared" si="11"/>
        <v>0</v>
      </c>
      <c r="I115" s="103"/>
      <c r="J115" s="117"/>
      <c r="K115" s="88"/>
      <c r="L115" s="88"/>
      <c r="M115" s="88"/>
      <c r="N115" s="88"/>
      <c r="O115" s="90"/>
      <c r="P115" s="90"/>
      <c r="Q115" s="90"/>
      <c r="R115" s="87"/>
      <c r="S115" s="87"/>
    </row>
    <row r="116" spans="1:19" ht="15.75" customHeight="1">
      <c r="A116" s="128"/>
      <c r="B116" s="118">
        <f t="shared" si="15"/>
        <v>94</v>
      </c>
      <c r="C116" s="106"/>
      <c r="D116" s="107">
        <f t="shared" si="12"/>
        <v>0.15</v>
      </c>
      <c r="E116" s="125">
        <v>2.585</v>
      </c>
      <c r="F116" s="106">
        <f t="shared" si="13"/>
        <v>4</v>
      </c>
      <c r="G116" s="106">
        <f t="shared" si="14"/>
        <v>0</v>
      </c>
      <c r="H116" s="131">
        <f t="shared" si="11"/>
        <v>0</v>
      </c>
      <c r="I116" s="103"/>
      <c r="J116" s="117"/>
      <c r="K116" s="88"/>
      <c r="L116" s="88"/>
      <c r="M116" s="88"/>
      <c r="N116" s="88"/>
      <c r="O116" s="90"/>
      <c r="P116" s="90"/>
      <c r="Q116" s="90"/>
      <c r="R116" s="87"/>
      <c r="S116" s="87"/>
    </row>
    <row r="117" spans="1:19" ht="15.75" customHeight="1">
      <c r="A117" s="128"/>
      <c r="B117" s="118">
        <f t="shared" si="15"/>
        <v>95</v>
      </c>
      <c r="C117" s="106"/>
      <c r="D117" s="107">
        <f t="shared" si="12"/>
        <v>0.15</v>
      </c>
      <c r="E117" s="125">
        <v>2.5779999999999998</v>
      </c>
      <c r="F117" s="106">
        <f t="shared" si="13"/>
        <v>4</v>
      </c>
      <c r="G117" s="106">
        <f t="shared" si="14"/>
        <v>0</v>
      </c>
      <c r="H117" s="131">
        <f t="shared" si="11"/>
        <v>0</v>
      </c>
      <c r="I117" s="103"/>
      <c r="J117" s="117"/>
      <c r="K117" s="88"/>
      <c r="L117" s="88"/>
      <c r="M117" s="88"/>
      <c r="N117" s="88"/>
      <c r="O117" s="90"/>
      <c r="P117" s="90"/>
      <c r="Q117" s="90"/>
      <c r="R117" s="87"/>
      <c r="S117" s="87"/>
    </row>
    <row r="118" spans="1:19" ht="15.75" customHeight="1">
      <c r="A118" s="128"/>
      <c r="B118" s="118">
        <f t="shared" si="15"/>
        <v>96</v>
      </c>
      <c r="C118" s="106"/>
      <c r="D118" s="107">
        <f t="shared" si="12"/>
        <v>0.15</v>
      </c>
      <c r="E118" s="125">
        <v>2.5710000000000002</v>
      </c>
      <c r="F118" s="106">
        <f t="shared" si="13"/>
        <v>4</v>
      </c>
      <c r="G118" s="106">
        <f t="shared" si="14"/>
        <v>0</v>
      </c>
      <c r="H118" s="131">
        <f t="shared" si="11"/>
        <v>0</v>
      </c>
      <c r="I118" s="103"/>
      <c r="J118" s="117"/>
      <c r="K118" s="88"/>
      <c r="L118" s="88"/>
      <c r="M118" s="88"/>
      <c r="N118" s="88"/>
      <c r="O118" s="90"/>
      <c r="P118" s="90"/>
      <c r="Q118" s="90"/>
      <c r="R118" s="87"/>
      <c r="S118" s="87"/>
    </row>
    <row r="119" spans="1:19" ht="15.75" customHeight="1">
      <c r="A119" s="128"/>
      <c r="B119" s="118">
        <f t="shared" si="15"/>
        <v>97</v>
      </c>
      <c r="C119" s="106"/>
      <c r="D119" s="107">
        <f t="shared" si="12"/>
        <v>0.15</v>
      </c>
      <c r="E119" s="125">
        <v>2.3919999999999999</v>
      </c>
      <c r="F119" s="106">
        <f t="shared" si="13"/>
        <v>4</v>
      </c>
      <c r="G119" s="106">
        <f t="shared" si="14"/>
        <v>0</v>
      </c>
      <c r="H119" s="131">
        <f t="shared" ref="H119:H120" si="16">D119*E119*F119*G119</f>
        <v>0</v>
      </c>
      <c r="I119" s="103"/>
      <c r="J119" s="117"/>
      <c r="K119" s="88"/>
      <c r="L119" s="88"/>
      <c r="M119" s="88"/>
      <c r="N119" s="88"/>
      <c r="O119" s="90"/>
      <c r="P119" s="90"/>
      <c r="Q119" s="90"/>
      <c r="R119" s="87"/>
      <c r="S119" s="87"/>
    </row>
    <row r="120" spans="1:19" ht="15.75" customHeight="1">
      <c r="A120" s="128"/>
      <c r="B120" s="118">
        <f t="shared" si="15"/>
        <v>98</v>
      </c>
      <c r="C120" s="106"/>
      <c r="D120" s="107">
        <f t="shared" si="12"/>
        <v>0.15</v>
      </c>
      <c r="E120" s="125">
        <v>2.2690000000000001</v>
      </c>
      <c r="F120" s="106">
        <f t="shared" si="13"/>
        <v>4</v>
      </c>
      <c r="G120" s="106">
        <f t="shared" si="14"/>
        <v>0</v>
      </c>
      <c r="H120" s="131">
        <f t="shared" si="16"/>
        <v>0</v>
      </c>
      <c r="I120" s="103"/>
      <c r="J120" s="117"/>
      <c r="K120" s="88"/>
      <c r="L120" s="88"/>
      <c r="M120" s="88"/>
      <c r="N120" s="88"/>
      <c r="O120" s="90"/>
      <c r="P120" s="90"/>
      <c r="Q120" s="90"/>
      <c r="R120" s="87"/>
      <c r="S120" s="87"/>
    </row>
    <row r="121" spans="1:19" ht="15.75" customHeight="1">
      <c r="A121" s="128"/>
      <c r="B121" s="129"/>
      <c r="C121" s="106"/>
      <c r="D121" s="106"/>
      <c r="E121" s="106"/>
      <c r="F121" s="106"/>
      <c r="G121" s="106"/>
      <c r="H121" s="130">
        <f>ROUNDUP((SUM(H23:H120)),5)</f>
        <v>259.2</v>
      </c>
      <c r="I121" s="116" t="s">
        <v>89</v>
      </c>
      <c r="J121" s="117">
        <f>ROUND((H121),2)</f>
        <v>259.2</v>
      </c>
      <c r="K121" s="88"/>
      <c r="L121" s="88"/>
      <c r="M121" s="88"/>
      <c r="N121" s="88"/>
      <c r="O121" s="90"/>
      <c r="P121" s="90"/>
      <c r="Q121" s="90"/>
    </row>
    <row r="122" spans="1:19" ht="15.75" customHeight="1">
      <c r="A122" s="120" t="s">
        <v>98</v>
      </c>
      <c r="B122" s="118" t="s">
        <v>112</v>
      </c>
      <c r="C122" s="107"/>
      <c r="D122" s="107"/>
      <c r="E122" s="106"/>
      <c r="F122" s="106"/>
      <c r="G122" s="106"/>
      <c r="H122" s="102"/>
      <c r="I122" s="103"/>
      <c r="J122" s="117">
        <f>ROUND((H122),2)</f>
        <v>0</v>
      </c>
      <c r="K122" s="88"/>
      <c r="L122" s="88"/>
      <c r="M122" s="88"/>
      <c r="N122" s="88"/>
      <c r="O122" s="90"/>
      <c r="P122" s="90"/>
      <c r="Q122" s="90"/>
    </row>
    <row r="123" spans="1:19" ht="15.75" customHeight="1">
      <c r="A123" s="120"/>
      <c r="B123" s="135" t="s">
        <v>113</v>
      </c>
      <c r="C123" s="106">
        <v>0.2</v>
      </c>
      <c r="D123" s="107"/>
      <c r="E123" s="106"/>
      <c r="F123" s="106"/>
      <c r="G123" s="106"/>
      <c r="H123" s="131">
        <f>C123</f>
        <v>0.2</v>
      </c>
      <c r="I123" s="103"/>
      <c r="J123" s="117"/>
      <c r="K123" s="88"/>
      <c r="L123" s="88"/>
      <c r="M123" s="88"/>
      <c r="N123" s="88"/>
      <c r="O123" s="90"/>
      <c r="P123" s="90"/>
      <c r="Q123" s="90"/>
    </row>
    <row r="124" spans="1:19" ht="15.75" customHeight="1">
      <c r="A124" s="120"/>
      <c r="B124" s="135" t="s">
        <v>114</v>
      </c>
      <c r="C124" s="106">
        <v>0.5</v>
      </c>
      <c r="D124" s="107"/>
      <c r="E124" s="124"/>
      <c r="F124" s="106"/>
      <c r="G124" s="106"/>
      <c r="H124" s="132">
        <f>C124</f>
        <v>0.5</v>
      </c>
      <c r="I124" s="103"/>
      <c r="J124" s="117"/>
      <c r="K124" s="88"/>
      <c r="L124" s="88"/>
      <c r="M124" s="88"/>
      <c r="N124" s="88"/>
      <c r="O124" s="90"/>
      <c r="P124" s="90"/>
      <c r="Q124" s="90"/>
    </row>
    <row r="125" spans="1:19" ht="15.75" customHeight="1">
      <c r="A125" s="120"/>
      <c r="B125" s="135"/>
      <c r="C125" s="106"/>
      <c r="D125" s="133" t="s">
        <v>115</v>
      </c>
      <c r="E125" s="106"/>
      <c r="F125" s="106"/>
      <c r="G125" s="134" t="s">
        <v>116</v>
      </c>
      <c r="H125" s="130">
        <f>SUM(H123:H124)</f>
        <v>0.7</v>
      </c>
      <c r="I125" s="116" t="s">
        <v>117</v>
      </c>
      <c r="J125" s="117">
        <f>ROUND((H125),2)</f>
        <v>0.7</v>
      </c>
      <c r="K125" s="88"/>
      <c r="L125" s="88"/>
      <c r="M125" s="88"/>
      <c r="N125" s="88"/>
      <c r="O125" s="90"/>
      <c r="P125" s="90"/>
      <c r="Q125" s="90"/>
    </row>
    <row r="126" spans="1:19" ht="15.75" customHeight="1">
      <c r="A126" s="120"/>
      <c r="B126" s="135">
        <v>1</v>
      </c>
      <c r="C126" s="136">
        <f t="shared" ref="C126:C157" si="17">E23</f>
        <v>4</v>
      </c>
      <c r="D126" s="286">
        <f t="shared" ref="D126:D157" si="18">H$125</f>
        <v>0.7</v>
      </c>
      <c r="E126" s="106">
        <f>13*13*0.006165</f>
        <v>1.041885</v>
      </c>
      <c r="F126" s="106">
        <v>4</v>
      </c>
      <c r="G126" s="106">
        <f>G17</f>
        <v>108</v>
      </c>
      <c r="H126" s="131">
        <f t="shared" ref="H126:H157" si="19">(C126+D126)*E126*F126*G126</f>
        <v>2115.4433039999999</v>
      </c>
      <c r="I126" s="103"/>
      <c r="J126" s="117"/>
      <c r="K126" s="88"/>
      <c r="L126" s="88"/>
      <c r="M126" s="88"/>
      <c r="N126" s="88"/>
      <c r="O126" s="90"/>
      <c r="P126" s="90"/>
      <c r="Q126" s="90"/>
    </row>
    <row r="127" spans="1:19" ht="15.75" customHeight="1">
      <c r="A127" s="120"/>
      <c r="B127" s="135">
        <f t="shared" ref="B127:B158" si="20">B126+1</f>
        <v>2</v>
      </c>
      <c r="C127" s="136">
        <f t="shared" si="17"/>
        <v>4.2039999999999997</v>
      </c>
      <c r="D127" s="286">
        <f t="shared" si="18"/>
        <v>0.7</v>
      </c>
      <c r="E127" s="106">
        <f t="shared" ref="E127:E158" si="21">E126</f>
        <v>1.041885</v>
      </c>
      <c r="F127" s="106">
        <f t="shared" ref="F127:F158" si="22">F126</f>
        <v>4</v>
      </c>
      <c r="G127" s="106">
        <v>0</v>
      </c>
      <c r="H127" s="131">
        <f t="shared" si="19"/>
        <v>0</v>
      </c>
      <c r="I127" s="103"/>
      <c r="J127" s="117"/>
      <c r="K127" s="88"/>
      <c r="L127" s="88"/>
      <c r="M127" s="88"/>
      <c r="N127" s="88"/>
      <c r="O127" s="90"/>
      <c r="P127" s="90"/>
      <c r="Q127" s="90"/>
    </row>
    <row r="128" spans="1:19" ht="15.75" customHeight="1">
      <c r="A128" s="120"/>
      <c r="B128" s="135">
        <f t="shared" si="20"/>
        <v>3</v>
      </c>
      <c r="C128" s="136">
        <f t="shared" si="17"/>
        <v>4.1189999999999998</v>
      </c>
      <c r="D128" s="286">
        <f t="shared" si="18"/>
        <v>0.7</v>
      </c>
      <c r="E128" s="106">
        <f t="shared" si="21"/>
        <v>1.041885</v>
      </c>
      <c r="F128" s="106">
        <f t="shared" si="22"/>
        <v>4</v>
      </c>
      <c r="G128" s="106">
        <f t="shared" ref="G128:G159" si="23">G127</f>
        <v>0</v>
      </c>
      <c r="H128" s="131">
        <f t="shared" si="19"/>
        <v>0</v>
      </c>
      <c r="I128" s="103"/>
      <c r="J128" s="117"/>
      <c r="K128" s="88"/>
      <c r="L128" s="88"/>
      <c r="M128" s="88"/>
      <c r="N128" s="88"/>
      <c r="O128" s="90"/>
      <c r="P128" s="90"/>
      <c r="Q128" s="90"/>
    </row>
    <row r="129" spans="1:17" ht="15.75" customHeight="1">
      <c r="A129" s="120"/>
      <c r="B129" s="135">
        <f t="shared" si="20"/>
        <v>4</v>
      </c>
      <c r="C129" s="136">
        <f t="shared" si="17"/>
        <v>4.0279999999999996</v>
      </c>
      <c r="D129" s="286">
        <f t="shared" si="18"/>
        <v>0.7</v>
      </c>
      <c r="E129" s="106">
        <f t="shared" si="21"/>
        <v>1.041885</v>
      </c>
      <c r="F129" s="106">
        <f t="shared" si="22"/>
        <v>4</v>
      </c>
      <c r="G129" s="106">
        <f t="shared" si="23"/>
        <v>0</v>
      </c>
      <c r="H129" s="131">
        <f t="shared" si="19"/>
        <v>0</v>
      </c>
      <c r="I129" s="103"/>
      <c r="J129" s="117"/>
      <c r="K129" s="88"/>
      <c r="L129" s="88"/>
      <c r="M129" s="88"/>
      <c r="N129" s="88"/>
      <c r="O129" s="90"/>
      <c r="P129" s="90"/>
      <c r="Q129" s="90"/>
    </row>
    <row r="130" spans="1:17" ht="15.75" customHeight="1">
      <c r="A130" s="120"/>
      <c r="B130" s="135">
        <f t="shared" si="20"/>
        <v>5</v>
      </c>
      <c r="C130" s="136">
        <f t="shared" si="17"/>
        <v>3.9380000000000002</v>
      </c>
      <c r="D130" s="286">
        <f t="shared" si="18"/>
        <v>0.7</v>
      </c>
      <c r="E130" s="106">
        <f t="shared" si="21"/>
        <v>1.041885</v>
      </c>
      <c r="F130" s="106">
        <f t="shared" si="22"/>
        <v>4</v>
      </c>
      <c r="G130" s="106">
        <f t="shared" si="23"/>
        <v>0</v>
      </c>
      <c r="H130" s="131">
        <f t="shared" si="19"/>
        <v>0</v>
      </c>
      <c r="I130" s="103"/>
      <c r="J130" s="117"/>
      <c r="K130" s="88"/>
      <c r="L130" s="88"/>
      <c r="M130" s="88"/>
      <c r="N130" s="88"/>
      <c r="O130" s="90"/>
      <c r="P130" s="90"/>
      <c r="Q130" s="90"/>
    </row>
    <row r="131" spans="1:17" ht="15.75" customHeight="1">
      <c r="A131" s="120"/>
      <c r="B131" s="135">
        <f t="shared" si="20"/>
        <v>6</v>
      </c>
      <c r="C131" s="136">
        <f t="shared" si="17"/>
        <v>3.8010000000000002</v>
      </c>
      <c r="D131" s="286">
        <f t="shared" si="18"/>
        <v>0.7</v>
      </c>
      <c r="E131" s="106">
        <f t="shared" si="21"/>
        <v>1.041885</v>
      </c>
      <c r="F131" s="106">
        <f t="shared" si="22"/>
        <v>4</v>
      </c>
      <c r="G131" s="106">
        <f t="shared" si="23"/>
        <v>0</v>
      </c>
      <c r="H131" s="131">
        <f t="shared" si="19"/>
        <v>0</v>
      </c>
      <c r="I131" s="103"/>
      <c r="J131" s="117"/>
      <c r="K131" s="88"/>
      <c r="L131" s="88"/>
      <c r="M131" s="88"/>
      <c r="N131" s="88"/>
      <c r="O131" s="90"/>
      <c r="P131" s="90"/>
      <c r="Q131" s="90"/>
    </row>
    <row r="132" spans="1:17" ht="15.75" customHeight="1">
      <c r="A132" s="120"/>
      <c r="B132" s="135">
        <f t="shared" si="20"/>
        <v>7</v>
      </c>
      <c r="C132" s="136">
        <f t="shared" si="17"/>
        <v>3.7160000000000002</v>
      </c>
      <c r="D132" s="286">
        <f t="shared" si="18"/>
        <v>0.7</v>
      </c>
      <c r="E132" s="106">
        <f t="shared" si="21"/>
        <v>1.041885</v>
      </c>
      <c r="F132" s="106">
        <f t="shared" si="22"/>
        <v>4</v>
      </c>
      <c r="G132" s="106">
        <f t="shared" si="23"/>
        <v>0</v>
      </c>
      <c r="H132" s="131">
        <f t="shared" si="19"/>
        <v>0</v>
      </c>
      <c r="I132" s="103"/>
      <c r="J132" s="117"/>
      <c r="K132" s="88"/>
      <c r="L132" s="88"/>
      <c r="M132" s="88"/>
      <c r="N132" s="88"/>
      <c r="O132" s="90"/>
      <c r="P132" s="90"/>
      <c r="Q132" s="90"/>
    </row>
    <row r="133" spans="1:17" ht="15.75" customHeight="1">
      <c r="A133" s="120"/>
      <c r="B133" s="135">
        <f t="shared" si="20"/>
        <v>8</v>
      </c>
      <c r="C133" s="136">
        <f t="shared" si="17"/>
        <v>3.653</v>
      </c>
      <c r="D133" s="286">
        <f t="shared" si="18"/>
        <v>0.7</v>
      </c>
      <c r="E133" s="106">
        <f t="shared" si="21"/>
        <v>1.041885</v>
      </c>
      <c r="F133" s="106">
        <f t="shared" si="22"/>
        <v>4</v>
      </c>
      <c r="G133" s="106">
        <f t="shared" si="23"/>
        <v>0</v>
      </c>
      <c r="H133" s="131">
        <f t="shared" si="19"/>
        <v>0</v>
      </c>
      <c r="I133" s="103"/>
      <c r="J133" s="117"/>
      <c r="K133" s="88"/>
      <c r="L133" s="88"/>
      <c r="M133" s="88"/>
      <c r="N133" s="88"/>
      <c r="O133" s="90"/>
      <c r="P133" s="90"/>
      <c r="Q133" s="90"/>
    </row>
    <row r="134" spans="1:17" ht="15.75" customHeight="1">
      <c r="A134" s="120"/>
      <c r="B134" s="135">
        <f t="shared" si="20"/>
        <v>9</v>
      </c>
      <c r="C134" s="136">
        <f t="shared" si="17"/>
        <v>3.6</v>
      </c>
      <c r="D134" s="286">
        <f t="shared" si="18"/>
        <v>0.7</v>
      </c>
      <c r="E134" s="106">
        <f t="shared" si="21"/>
        <v>1.041885</v>
      </c>
      <c r="F134" s="106">
        <f t="shared" si="22"/>
        <v>4</v>
      </c>
      <c r="G134" s="106">
        <f t="shared" si="23"/>
        <v>0</v>
      </c>
      <c r="H134" s="131">
        <f t="shared" si="19"/>
        <v>0</v>
      </c>
      <c r="I134" s="103"/>
      <c r="J134" s="117"/>
      <c r="K134" s="88"/>
      <c r="L134" s="88"/>
      <c r="M134" s="88"/>
      <c r="N134" s="88"/>
      <c r="O134" s="90"/>
      <c r="P134" s="90"/>
      <c r="Q134" s="90"/>
    </row>
    <row r="135" spans="1:17" ht="15.75" customHeight="1">
      <c r="A135" s="120"/>
      <c r="B135" s="135">
        <f t="shared" si="20"/>
        <v>10</v>
      </c>
      <c r="C135" s="136">
        <f t="shared" si="17"/>
        <v>3.548</v>
      </c>
      <c r="D135" s="286">
        <f t="shared" si="18"/>
        <v>0.7</v>
      </c>
      <c r="E135" s="106">
        <f t="shared" si="21"/>
        <v>1.041885</v>
      </c>
      <c r="F135" s="106">
        <f t="shared" si="22"/>
        <v>4</v>
      </c>
      <c r="G135" s="106">
        <f t="shared" si="23"/>
        <v>0</v>
      </c>
      <c r="H135" s="131">
        <f t="shared" si="19"/>
        <v>0</v>
      </c>
      <c r="I135" s="103"/>
      <c r="J135" s="117"/>
      <c r="K135" s="88"/>
      <c r="L135" s="88"/>
      <c r="M135" s="88"/>
      <c r="N135" s="88"/>
      <c r="O135" s="90"/>
      <c r="P135" s="90"/>
      <c r="Q135" s="90"/>
    </row>
    <row r="136" spans="1:17" ht="15.75" customHeight="1">
      <c r="A136" s="120"/>
      <c r="B136" s="135">
        <f t="shared" si="20"/>
        <v>11</v>
      </c>
      <c r="C136" s="136">
        <f t="shared" si="17"/>
        <v>3.496</v>
      </c>
      <c r="D136" s="286">
        <f t="shared" si="18"/>
        <v>0.7</v>
      </c>
      <c r="E136" s="106">
        <f t="shared" si="21"/>
        <v>1.041885</v>
      </c>
      <c r="F136" s="106">
        <f t="shared" si="22"/>
        <v>4</v>
      </c>
      <c r="G136" s="106">
        <f t="shared" si="23"/>
        <v>0</v>
      </c>
      <c r="H136" s="131">
        <f t="shared" si="19"/>
        <v>0</v>
      </c>
      <c r="I136" s="103"/>
      <c r="J136" s="117"/>
      <c r="K136" s="88"/>
      <c r="L136" s="88"/>
      <c r="M136" s="88"/>
      <c r="N136" s="88"/>
      <c r="O136" s="90"/>
      <c r="P136" s="90"/>
      <c r="Q136" s="90"/>
    </row>
    <row r="137" spans="1:17" ht="15.75" customHeight="1">
      <c r="A137" s="120"/>
      <c r="B137" s="135">
        <f t="shared" si="20"/>
        <v>12</v>
      </c>
      <c r="C137" s="136">
        <f t="shared" si="17"/>
        <v>3.4430000000000001</v>
      </c>
      <c r="D137" s="286">
        <f t="shared" si="18"/>
        <v>0.7</v>
      </c>
      <c r="E137" s="106">
        <f t="shared" si="21"/>
        <v>1.041885</v>
      </c>
      <c r="F137" s="106">
        <f t="shared" si="22"/>
        <v>4</v>
      </c>
      <c r="G137" s="106">
        <f t="shared" si="23"/>
        <v>0</v>
      </c>
      <c r="H137" s="131">
        <f t="shared" si="19"/>
        <v>0</v>
      </c>
      <c r="I137" s="103"/>
      <c r="J137" s="117"/>
      <c r="K137" s="88"/>
      <c r="L137" s="88"/>
      <c r="M137" s="88"/>
      <c r="N137" s="88"/>
      <c r="O137" s="90"/>
      <c r="P137" s="90"/>
      <c r="Q137" s="90"/>
    </row>
    <row r="138" spans="1:17" ht="15.75" customHeight="1">
      <c r="A138" s="120"/>
      <c r="B138" s="135">
        <f t="shared" si="20"/>
        <v>13</v>
      </c>
      <c r="C138" s="136">
        <f t="shared" si="17"/>
        <v>3.4020000000000001</v>
      </c>
      <c r="D138" s="286">
        <f t="shared" si="18"/>
        <v>0.7</v>
      </c>
      <c r="E138" s="106">
        <f t="shared" si="21"/>
        <v>1.041885</v>
      </c>
      <c r="F138" s="106">
        <f t="shared" si="22"/>
        <v>4</v>
      </c>
      <c r="G138" s="106">
        <f t="shared" si="23"/>
        <v>0</v>
      </c>
      <c r="H138" s="131">
        <f t="shared" si="19"/>
        <v>0</v>
      </c>
      <c r="I138" s="103"/>
      <c r="J138" s="117"/>
      <c r="K138" s="88"/>
      <c r="L138" s="88"/>
      <c r="M138" s="88"/>
      <c r="N138" s="88"/>
      <c r="O138" s="90"/>
      <c r="P138" s="90"/>
      <c r="Q138" s="90"/>
    </row>
    <row r="139" spans="1:17" ht="15.75" customHeight="1">
      <c r="A139" s="120"/>
      <c r="B139" s="135">
        <f t="shared" si="20"/>
        <v>14</v>
      </c>
      <c r="C139" s="136">
        <f t="shared" si="17"/>
        <v>3.407</v>
      </c>
      <c r="D139" s="286">
        <f t="shared" si="18"/>
        <v>0.7</v>
      </c>
      <c r="E139" s="106">
        <f t="shared" si="21"/>
        <v>1.041885</v>
      </c>
      <c r="F139" s="106">
        <f t="shared" si="22"/>
        <v>4</v>
      </c>
      <c r="G139" s="106">
        <f t="shared" si="23"/>
        <v>0</v>
      </c>
      <c r="H139" s="131">
        <f t="shared" si="19"/>
        <v>0</v>
      </c>
      <c r="I139" s="103"/>
      <c r="J139" s="117"/>
      <c r="K139" s="88"/>
      <c r="L139" s="88"/>
      <c r="M139" s="88"/>
      <c r="N139" s="88"/>
      <c r="O139" s="90"/>
      <c r="P139" s="90"/>
      <c r="Q139" s="90"/>
    </row>
    <row r="140" spans="1:17" ht="15.75" customHeight="1">
      <c r="A140" s="120"/>
      <c r="B140" s="135">
        <f t="shared" si="20"/>
        <v>15</v>
      </c>
      <c r="C140" s="136">
        <f t="shared" si="17"/>
        <v>3.407</v>
      </c>
      <c r="D140" s="286">
        <f t="shared" si="18"/>
        <v>0.7</v>
      </c>
      <c r="E140" s="106">
        <f t="shared" si="21"/>
        <v>1.041885</v>
      </c>
      <c r="F140" s="106">
        <f t="shared" si="22"/>
        <v>4</v>
      </c>
      <c r="G140" s="106">
        <f t="shared" si="23"/>
        <v>0</v>
      </c>
      <c r="H140" s="131">
        <f t="shared" si="19"/>
        <v>0</v>
      </c>
      <c r="I140" s="103"/>
      <c r="J140" s="117"/>
      <c r="K140" s="88"/>
      <c r="L140" s="88"/>
      <c r="M140" s="88"/>
      <c r="N140" s="88"/>
      <c r="O140" s="90"/>
      <c r="P140" s="90"/>
      <c r="Q140" s="90"/>
    </row>
    <row r="141" spans="1:17" ht="15.75" customHeight="1">
      <c r="A141" s="120"/>
      <c r="B141" s="135">
        <f t="shared" si="20"/>
        <v>16</v>
      </c>
      <c r="C141" s="136">
        <f t="shared" si="17"/>
        <v>3.4</v>
      </c>
      <c r="D141" s="286">
        <f t="shared" si="18"/>
        <v>0.7</v>
      </c>
      <c r="E141" s="106">
        <f t="shared" si="21"/>
        <v>1.041885</v>
      </c>
      <c r="F141" s="106">
        <f t="shared" si="22"/>
        <v>4</v>
      </c>
      <c r="G141" s="106">
        <f t="shared" si="23"/>
        <v>0</v>
      </c>
      <c r="H141" s="131">
        <f t="shared" si="19"/>
        <v>0</v>
      </c>
      <c r="I141" s="103"/>
      <c r="J141" s="117"/>
      <c r="K141" s="88"/>
      <c r="L141" s="88"/>
      <c r="M141" s="88"/>
      <c r="N141" s="88"/>
      <c r="O141" s="90"/>
      <c r="P141" s="90"/>
      <c r="Q141" s="90"/>
    </row>
    <row r="142" spans="1:17" ht="15.75" customHeight="1">
      <c r="A142" s="120"/>
      <c r="B142" s="135">
        <f t="shared" si="20"/>
        <v>17</v>
      </c>
      <c r="C142" s="136">
        <f t="shared" si="17"/>
        <v>3.3929999999999998</v>
      </c>
      <c r="D142" s="286">
        <f t="shared" si="18"/>
        <v>0.7</v>
      </c>
      <c r="E142" s="106">
        <f t="shared" si="21"/>
        <v>1.041885</v>
      </c>
      <c r="F142" s="106">
        <f t="shared" si="22"/>
        <v>4</v>
      </c>
      <c r="G142" s="106">
        <f t="shared" si="23"/>
        <v>0</v>
      </c>
      <c r="H142" s="131">
        <f t="shared" si="19"/>
        <v>0</v>
      </c>
      <c r="I142" s="103"/>
      <c r="J142" s="117"/>
      <c r="K142" s="88"/>
      <c r="L142" s="88"/>
      <c r="M142" s="88"/>
      <c r="N142" s="88"/>
      <c r="O142" s="90"/>
      <c r="P142" s="90"/>
      <c r="Q142" s="90"/>
    </row>
    <row r="143" spans="1:17" ht="15.75" customHeight="1">
      <c r="A143" s="120"/>
      <c r="B143" s="118">
        <f t="shared" si="20"/>
        <v>18</v>
      </c>
      <c r="C143" s="136">
        <f t="shared" si="17"/>
        <v>3.3860000000000001</v>
      </c>
      <c r="D143" s="286">
        <f t="shared" si="18"/>
        <v>0.7</v>
      </c>
      <c r="E143" s="106">
        <f t="shared" si="21"/>
        <v>1.041885</v>
      </c>
      <c r="F143" s="106">
        <f t="shared" si="22"/>
        <v>4</v>
      </c>
      <c r="G143" s="106">
        <f t="shared" si="23"/>
        <v>0</v>
      </c>
      <c r="H143" s="131">
        <f t="shared" si="19"/>
        <v>0</v>
      </c>
      <c r="I143" s="103"/>
      <c r="J143" s="117"/>
      <c r="K143" s="88"/>
      <c r="L143" s="88"/>
      <c r="M143" s="88"/>
      <c r="N143" s="88"/>
      <c r="O143" s="90"/>
      <c r="P143" s="90"/>
      <c r="Q143" s="90"/>
    </row>
    <row r="144" spans="1:17" ht="15.75" customHeight="1">
      <c r="A144" s="120"/>
      <c r="B144" s="118">
        <f t="shared" si="20"/>
        <v>19</v>
      </c>
      <c r="C144" s="136">
        <f t="shared" si="17"/>
        <v>3.3959999999999999</v>
      </c>
      <c r="D144" s="286">
        <f t="shared" si="18"/>
        <v>0.7</v>
      </c>
      <c r="E144" s="106">
        <f t="shared" si="21"/>
        <v>1.041885</v>
      </c>
      <c r="F144" s="106">
        <f t="shared" si="22"/>
        <v>4</v>
      </c>
      <c r="G144" s="106">
        <f t="shared" si="23"/>
        <v>0</v>
      </c>
      <c r="H144" s="131">
        <f t="shared" si="19"/>
        <v>0</v>
      </c>
      <c r="I144" s="103"/>
      <c r="J144" s="117"/>
      <c r="K144" s="88"/>
      <c r="L144" s="88"/>
      <c r="M144" s="88"/>
      <c r="N144" s="88"/>
      <c r="O144" s="90"/>
      <c r="P144" s="90"/>
      <c r="Q144" s="90"/>
    </row>
    <row r="145" spans="1:17" ht="15.75" customHeight="1">
      <c r="A145" s="120"/>
      <c r="B145" s="118">
        <f t="shared" si="20"/>
        <v>20</v>
      </c>
      <c r="C145" s="136">
        <f t="shared" si="17"/>
        <v>3.407</v>
      </c>
      <c r="D145" s="286">
        <f t="shared" si="18"/>
        <v>0.7</v>
      </c>
      <c r="E145" s="106">
        <f t="shared" si="21"/>
        <v>1.041885</v>
      </c>
      <c r="F145" s="106">
        <f t="shared" si="22"/>
        <v>4</v>
      </c>
      <c r="G145" s="106">
        <f t="shared" si="23"/>
        <v>0</v>
      </c>
      <c r="H145" s="131">
        <f t="shared" si="19"/>
        <v>0</v>
      </c>
      <c r="I145" s="103"/>
      <c r="J145" s="117"/>
      <c r="K145" s="88"/>
      <c r="L145" s="88"/>
      <c r="M145" s="88"/>
      <c r="N145" s="88"/>
      <c r="O145" s="90"/>
      <c r="P145" s="90"/>
      <c r="Q145" s="90"/>
    </row>
    <row r="146" spans="1:17" ht="15.75" customHeight="1">
      <c r="A146" s="120"/>
      <c r="B146" s="118">
        <f t="shared" si="20"/>
        <v>21</v>
      </c>
      <c r="C146" s="136">
        <f t="shared" si="17"/>
        <v>3.3450000000000002</v>
      </c>
      <c r="D146" s="286">
        <f t="shared" si="18"/>
        <v>0.7</v>
      </c>
      <c r="E146" s="106">
        <f t="shared" si="21"/>
        <v>1.041885</v>
      </c>
      <c r="F146" s="106">
        <f t="shared" si="22"/>
        <v>4</v>
      </c>
      <c r="G146" s="106">
        <f t="shared" si="23"/>
        <v>0</v>
      </c>
      <c r="H146" s="131">
        <f t="shared" si="19"/>
        <v>0</v>
      </c>
      <c r="I146" s="103"/>
      <c r="J146" s="117"/>
      <c r="K146" s="88"/>
      <c r="L146" s="88"/>
      <c r="M146" s="88"/>
      <c r="N146" s="88"/>
      <c r="O146" s="90"/>
      <c r="P146" s="90"/>
      <c r="Q146" s="90"/>
    </row>
    <row r="147" spans="1:17" ht="15.75" customHeight="1">
      <c r="A147" s="120"/>
      <c r="B147" s="118">
        <f t="shared" si="20"/>
        <v>22</v>
      </c>
      <c r="C147" s="136">
        <f t="shared" si="17"/>
        <v>3.2629999999999999</v>
      </c>
      <c r="D147" s="286">
        <f t="shared" si="18"/>
        <v>0.7</v>
      </c>
      <c r="E147" s="106">
        <f t="shared" si="21"/>
        <v>1.041885</v>
      </c>
      <c r="F147" s="106">
        <f t="shared" si="22"/>
        <v>4</v>
      </c>
      <c r="G147" s="106">
        <f t="shared" si="23"/>
        <v>0</v>
      </c>
      <c r="H147" s="131">
        <f t="shared" si="19"/>
        <v>0</v>
      </c>
      <c r="I147" s="103"/>
      <c r="J147" s="117"/>
      <c r="K147" s="88"/>
      <c r="L147" s="88"/>
      <c r="M147" s="88"/>
      <c r="N147" s="88"/>
      <c r="O147" s="90"/>
      <c r="P147" s="90"/>
      <c r="Q147" s="90"/>
    </row>
    <row r="148" spans="1:17" ht="15.75" customHeight="1">
      <c r="A148" s="120"/>
      <c r="B148" s="118">
        <f t="shared" si="20"/>
        <v>23</v>
      </c>
      <c r="C148" s="136">
        <f t="shared" si="17"/>
        <v>3.258</v>
      </c>
      <c r="D148" s="286">
        <f t="shared" si="18"/>
        <v>0.7</v>
      </c>
      <c r="E148" s="106">
        <f t="shared" si="21"/>
        <v>1.041885</v>
      </c>
      <c r="F148" s="106">
        <f t="shared" si="22"/>
        <v>4</v>
      </c>
      <c r="G148" s="106">
        <f t="shared" si="23"/>
        <v>0</v>
      </c>
      <c r="H148" s="131">
        <f t="shared" si="19"/>
        <v>0</v>
      </c>
      <c r="I148" s="103"/>
      <c r="J148" s="117"/>
      <c r="K148" s="88"/>
      <c r="L148" s="88"/>
      <c r="M148" s="88"/>
      <c r="N148" s="88"/>
      <c r="O148" s="90"/>
      <c r="P148" s="90"/>
      <c r="Q148" s="90"/>
    </row>
    <row r="149" spans="1:17" ht="15.75" customHeight="1">
      <c r="A149" s="120"/>
      <c r="B149" s="118">
        <f t="shared" si="20"/>
        <v>24</v>
      </c>
      <c r="C149" s="136">
        <f t="shared" si="17"/>
        <v>3.2530000000000001</v>
      </c>
      <c r="D149" s="286">
        <f t="shared" si="18"/>
        <v>0.7</v>
      </c>
      <c r="E149" s="106">
        <f t="shared" si="21"/>
        <v>1.041885</v>
      </c>
      <c r="F149" s="106">
        <f t="shared" si="22"/>
        <v>4</v>
      </c>
      <c r="G149" s="106">
        <f t="shared" si="23"/>
        <v>0</v>
      </c>
      <c r="H149" s="131">
        <f t="shared" si="19"/>
        <v>0</v>
      </c>
      <c r="I149" s="103"/>
      <c r="J149" s="117"/>
      <c r="K149" s="88"/>
      <c r="L149" s="88"/>
      <c r="M149" s="88"/>
      <c r="N149" s="88"/>
      <c r="O149" s="90"/>
      <c r="P149" s="90"/>
      <c r="Q149" s="90"/>
    </row>
    <row r="150" spans="1:17" ht="15.75" customHeight="1">
      <c r="A150" s="120"/>
      <c r="B150" s="118">
        <f t="shared" si="20"/>
        <v>25</v>
      </c>
      <c r="C150" s="136">
        <f t="shared" si="17"/>
        <v>3.2429999999999999</v>
      </c>
      <c r="D150" s="286">
        <f t="shared" si="18"/>
        <v>0.7</v>
      </c>
      <c r="E150" s="106">
        <f t="shared" si="21"/>
        <v>1.041885</v>
      </c>
      <c r="F150" s="106">
        <f t="shared" si="22"/>
        <v>4</v>
      </c>
      <c r="G150" s="106">
        <f t="shared" si="23"/>
        <v>0</v>
      </c>
      <c r="H150" s="131">
        <f t="shared" si="19"/>
        <v>0</v>
      </c>
      <c r="I150" s="103"/>
      <c r="J150" s="117"/>
      <c r="K150" s="88"/>
      <c r="L150" s="88"/>
      <c r="M150" s="88"/>
      <c r="N150" s="88"/>
      <c r="O150" s="90"/>
      <c r="P150" s="90"/>
      <c r="Q150" s="90"/>
    </row>
    <row r="151" spans="1:17" ht="15.75" customHeight="1">
      <c r="A151" s="120"/>
      <c r="B151" s="118">
        <f t="shared" si="20"/>
        <v>26</v>
      </c>
      <c r="C151" s="136">
        <f t="shared" si="17"/>
        <v>3.2320000000000002</v>
      </c>
      <c r="D151" s="286">
        <f t="shared" si="18"/>
        <v>0.7</v>
      </c>
      <c r="E151" s="106">
        <f t="shared" si="21"/>
        <v>1.041885</v>
      </c>
      <c r="F151" s="106">
        <f t="shared" si="22"/>
        <v>4</v>
      </c>
      <c r="G151" s="106">
        <f t="shared" si="23"/>
        <v>0</v>
      </c>
      <c r="H151" s="131">
        <f t="shared" si="19"/>
        <v>0</v>
      </c>
      <c r="I151" s="103"/>
      <c r="J151" s="117"/>
      <c r="K151" s="88"/>
      <c r="L151" s="88"/>
      <c r="M151" s="88"/>
      <c r="N151" s="88"/>
      <c r="O151" s="90"/>
      <c r="P151" s="90"/>
      <c r="Q151" s="90"/>
    </row>
    <row r="152" spans="1:17" ht="15.75" customHeight="1">
      <c r="A152" s="120"/>
      <c r="B152" s="118">
        <f t="shared" si="20"/>
        <v>27</v>
      </c>
      <c r="C152" s="136">
        <f t="shared" si="17"/>
        <v>3.222</v>
      </c>
      <c r="D152" s="286">
        <f t="shared" si="18"/>
        <v>0.7</v>
      </c>
      <c r="E152" s="106">
        <f t="shared" si="21"/>
        <v>1.041885</v>
      </c>
      <c r="F152" s="106">
        <f t="shared" si="22"/>
        <v>4</v>
      </c>
      <c r="G152" s="106">
        <f t="shared" si="23"/>
        <v>0</v>
      </c>
      <c r="H152" s="131">
        <f t="shared" si="19"/>
        <v>0</v>
      </c>
      <c r="I152" s="103"/>
      <c r="J152" s="117"/>
      <c r="K152" s="88"/>
      <c r="L152" s="88"/>
      <c r="M152" s="88"/>
      <c r="N152" s="88"/>
      <c r="O152" s="90"/>
      <c r="P152" s="90"/>
      <c r="Q152" s="90"/>
    </row>
    <row r="153" spans="1:17" ht="15.75" customHeight="1">
      <c r="A153" s="120"/>
      <c r="B153" s="118">
        <f t="shared" si="20"/>
        <v>28</v>
      </c>
      <c r="C153" s="136">
        <f t="shared" si="17"/>
        <v>3.2109999999999999</v>
      </c>
      <c r="D153" s="286">
        <f t="shared" si="18"/>
        <v>0.7</v>
      </c>
      <c r="E153" s="106">
        <f t="shared" si="21"/>
        <v>1.041885</v>
      </c>
      <c r="F153" s="106">
        <f t="shared" si="22"/>
        <v>4</v>
      </c>
      <c r="G153" s="106">
        <f t="shared" si="23"/>
        <v>0</v>
      </c>
      <c r="H153" s="131">
        <f t="shared" si="19"/>
        <v>0</v>
      </c>
      <c r="I153" s="103"/>
      <c r="J153" s="117"/>
      <c r="K153" s="88"/>
      <c r="L153" s="88"/>
      <c r="M153" s="88"/>
      <c r="N153" s="88"/>
      <c r="O153" s="90"/>
      <c r="P153" s="90"/>
      <c r="Q153" s="90"/>
    </row>
    <row r="154" spans="1:17" ht="15.75" customHeight="1">
      <c r="A154" s="120"/>
      <c r="B154" s="118">
        <f t="shared" si="20"/>
        <v>29</v>
      </c>
      <c r="C154" s="136">
        <f t="shared" si="17"/>
        <v>3.198</v>
      </c>
      <c r="D154" s="286">
        <f t="shared" si="18"/>
        <v>0.7</v>
      </c>
      <c r="E154" s="106">
        <f t="shared" si="21"/>
        <v>1.041885</v>
      </c>
      <c r="F154" s="106">
        <f t="shared" si="22"/>
        <v>4</v>
      </c>
      <c r="G154" s="106">
        <f t="shared" si="23"/>
        <v>0</v>
      </c>
      <c r="H154" s="131">
        <f t="shared" si="19"/>
        <v>0</v>
      </c>
      <c r="I154" s="103"/>
      <c r="J154" s="117"/>
      <c r="K154" s="88"/>
      <c r="L154" s="88"/>
      <c r="M154" s="88"/>
      <c r="N154" s="88"/>
      <c r="O154" s="90"/>
      <c r="P154" s="90"/>
      <c r="Q154" s="90"/>
    </row>
    <row r="155" spans="1:17" ht="15.75" customHeight="1">
      <c r="A155" s="120"/>
      <c r="B155" s="118">
        <f t="shared" si="20"/>
        <v>30</v>
      </c>
      <c r="C155" s="136">
        <f t="shared" si="17"/>
        <v>3.1840000000000002</v>
      </c>
      <c r="D155" s="286">
        <f t="shared" si="18"/>
        <v>0.7</v>
      </c>
      <c r="E155" s="106">
        <f t="shared" si="21"/>
        <v>1.041885</v>
      </c>
      <c r="F155" s="106">
        <f t="shared" si="22"/>
        <v>4</v>
      </c>
      <c r="G155" s="106">
        <f t="shared" si="23"/>
        <v>0</v>
      </c>
      <c r="H155" s="131">
        <f t="shared" si="19"/>
        <v>0</v>
      </c>
      <c r="I155" s="103"/>
      <c r="J155" s="117"/>
      <c r="K155" s="88"/>
      <c r="L155" s="88"/>
      <c r="M155" s="88"/>
      <c r="N155" s="88"/>
      <c r="O155" s="90"/>
      <c r="P155" s="90"/>
      <c r="Q155" s="90"/>
    </row>
    <row r="156" spans="1:17" ht="15.75" customHeight="1">
      <c r="A156" s="120"/>
      <c r="B156" s="118">
        <f t="shared" si="20"/>
        <v>31</v>
      </c>
      <c r="C156" s="136">
        <f t="shared" si="17"/>
        <v>3.1720000000000002</v>
      </c>
      <c r="D156" s="286">
        <f t="shared" si="18"/>
        <v>0.7</v>
      </c>
      <c r="E156" s="106">
        <f t="shared" si="21"/>
        <v>1.041885</v>
      </c>
      <c r="F156" s="106">
        <f t="shared" si="22"/>
        <v>4</v>
      </c>
      <c r="G156" s="106">
        <f t="shared" si="23"/>
        <v>0</v>
      </c>
      <c r="H156" s="131">
        <f t="shared" si="19"/>
        <v>0</v>
      </c>
      <c r="I156" s="103"/>
      <c r="J156" s="117"/>
      <c r="K156" s="88"/>
      <c r="L156" s="88"/>
      <c r="M156" s="88"/>
      <c r="N156" s="88"/>
      <c r="O156" s="90"/>
      <c r="P156" s="90"/>
      <c r="Q156" s="90"/>
    </row>
    <row r="157" spans="1:17" ht="15.75" customHeight="1">
      <c r="A157" s="120"/>
      <c r="B157" s="118">
        <f t="shared" si="20"/>
        <v>32</v>
      </c>
      <c r="C157" s="136">
        <f t="shared" si="17"/>
        <v>3.1589999999999998</v>
      </c>
      <c r="D157" s="286">
        <f t="shared" si="18"/>
        <v>0.7</v>
      </c>
      <c r="E157" s="106">
        <f t="shared" si="21"/>
        <v>1.041885</v>
      </c>
      <c r="F157" s="106">
        <f t="shared" si="22"/>
        <v>4</v>
      </c>
      <c r="G157" s="106">
        <f t="shared" si="23"/>
        <v>0</v>
      </c>
      <c r="H157" s="131">
        <f t="shared" si="19"/>
        <v>0</v>
      </c>
      <c r="I157" s="103"/>
      <c r="J157" s="117"/>
      <c r="K157" s="88"/>
      <c r="L157" s="88"/>
      <c r="M157" s="88"/>
      <c r="N157" s="88"/>
      <c r="O157" s="90"/>
      <c r="P157" s="90"/>
      <c r="Q157" s="90"/>
    </row>
    <row r="158" spans="1:17" ht="15.75" customHeight="1">
      <c r="A158" s="120"/>
      <c r="B158" s="118">
        <f t="shared" si="20"/>
        <v>33</v>
      </c>
      <c r="C158" s="136">
        <f t="shared" ref="C158:C189" si="24">E55</f>
        <v>3.1469999999999998</v>
      </c>
      <c r="D158" s="286">
        <f t="shared" ref="D158:D189" si="25">H$125</f>
        <v>0.7</v>
      </c>
      <c r="E158" s="106">
        <f t="shared" si="21"/>
        <v>1.041885</v>
      </c>
      <c r="F158" s="106">
        <f t="shared" si="22"/>
        <v>4</v>
      </c>
      <c r="G158" s="106">
        <f t="shared" si="23"/>
        <v>0</v>
      </c>
      <c r="H158" s="131">
        <f t="shared" ref="H158:H189" si="26">(C158+D158)*E158*F158*G158</f>
        <v>0</v>
      </c>
      <c r="I158" s="103"/>
      <c r="J158" s="117"/>
      <c r="K158" s="88"/>
      <c r="L158" s="88"/>
      <c r="M158" s="88"/>
      <c r="N158" s="88"/>
      <c r="O158" s="90"/>
      <c r="P158" s="90"/>
      <c r="Q158" s="90"/>
    </row>
    <row r="159" spans="1:17" ht="15.75" customHeight="1">
      <c r="A159" s="120"/>
      <c r="B159" s="118">
        <f t="shared" ref="B159:B190" si="27">B158+1</f>
        <v>34</v>
      </c>
      <c r="C159" s="136">
        <f t="shared" si="24"/>
        <v>3.137</v>
      </c>
      <c r="D159" s="286">
        <f t="shared" si="25"/>
        <v>0.7</v>
      </c>
      <c r="E159" s="106">
        <f t="shared" ref="E159:E190" si="28">E158</f>
        <v>1.041885</v>
      </c>
      <c r="F159" s="106">
        <f t="shared" ref="F159:F190" si="29">F158</f>
        <v>4</v>
      </c>
      <c r="G159" s="106">
        <f t="shared" si="23"/>
        <v>0</v>
      </c>
      <c r="H159" s="131">
        <f t="shared" si="26"/>
        <v>0</v>
      </c>
      <c r="I159" s="103"/>
      <c r="J159" s="117"/>
      <c r="K159" s="88"/>
      <c r="L159" s="88"/>
      <c r="M159" s="88"/>
      <c r="N159" s="88"/>
      <c r="O159" s="90"/>
      <c r="P159" s="90"/>
      <c r="Q159" s="90"/>
    </row>
    <row r="160" spans="1:17" ht="15.75" customHeight="1">
      <c r="A160" s="120"/>
      <c r="B160" s="118">
        <f t="shared" si="27"/>
        <v>35</v>
      </c>
      <c r="C160" s="136">
        <f t="shared" si="24"/>
        <v>3.129</v>
      </c>
      <c r="D160" s="286">
        <f t="shared" si="25"/>
        <v>0.7</v>
      </c>
      <c r="E160" s="106">
        <f t="shared" si="28"/>
        <v>1.041885</v>
      </c>
      <c r="F160" s="106">
        <f t="shared" si="29"/>
        <v>4</v>
      </c>
      <c r="G160" s="106">
        <f t="shared" ref="G160:G191" si="30">G159</f>
        <v>0</v>
      </c>
      <c r="H160" s="131">
        <f t="shared" si="26"/>
        <v>0</v>
      </c>
      <c r="I160" s="103"/>
      <c r="J160" s="117"/>
      <c r="K160" s="88"/>
      <c r="L160" s="88"/>
      <c r="M160" s="88"/>
      <c r="N160" s="88"/>
      <c r="O160" s="90"/>
      <c r="P160" s="90"/>
      <c r="Q160" s="90"/>
    </row>
    <row r="161" spans="1:17" ht="15.75" customHeight="1">
      <c r="A161" s="120"/>
      <c r="B161" s="118">
        <f t="shared" si="27"/>
        <v>36</v>
      </c>
      <c r="C161" s="136">
        <f t="shared" si="24"/>
        <v>3.121</v>
      </c>
      <c r="D161" s="286">
        <f t="shared" si="25"/>
        <v>0.7</v>
      </c>
      <c r="E161" s="106">
        <f t="shared" si="28"/>
        <v>1.041885</v>
      </c>
      <c r="F161" s="106">
        <f t="shared" si="29"/>
        <v>4</v>
      </c>
      <c r="G161" s="106">
        <f t="shared" si="30"/>
        <v>0</v>
      </c>
      <c r="H161" s="131">
        <f t="shared" si="26"/>
        <v>0</v>
      </c>
      <c r="I161" s="103"/>
      <c r="J161" s="117"/>
      <c r="K161" s="88"/>
      <c r="L161" s="88"/>
      <c r="M161" s="88"/>
      <c r="N161" s="88"/>
      <c r="O161" s="90"/>
      <c r="P161" s="90"/>
      <c r="Q161" s="90"/>
    </row>
    <row r="162" spans="1:17" ht="15.75" customHeight="1">
      <c r="A162" s="120"/>
      <c r="B162" s="118">
        <f t="shared" si="27"/>
        <v>37</v>
      </c>
      <c r="C162" s="136">
        <f t="shared" si="24"/>
        <v>3.1179999999999999</v>
      </c>
      <c r="D162" s="286">
        <f t="shared" si="25"/>
        <v>0.7</v>
      </c>
      <c r="E162" s="106">
        <f t="shared" si="28"/>
        <v>1.041885</v>
      </c>
      <c r="F162" s="106">
        <f t="shared" si="29"/>
        <v>4</v>
      </c>
      <c r="G162" s="106">
        <f t="shared" si="30"/>
        <v>0</v>
      </c>
      <c r="H162" s="131">
        <f t="shared" si="26"/>
        <v>0</v>
      </c>
      <c r="I162" s="103"/>
      <c r="J162" s="117"/>
      <c r="K162" s="88"/>
      <c r="L162" s="88"/>
      <c r="M162" s="88"/>
      <c r="N162" s="88"/>
      <c r="O162" s="90"/>
      <c r="P162" s="90"/>
      <c r="Q162" s="90"/>
    </row>
    <row r="163" spans="1:17" ht="15.75" customHeight="1">
      <c r="A163" s="120"/>
      <c r="B163" s="118">
        <f t="shared" si="27"/>
        <v>38</v>
      </c>
      <c r="C163" s="136">
        <f t="shared" si="24"/>
        <v>3.1160000000000001</v>
      </c>
      <c r="D163" s="286">
        <f t="shared" si="25"/>
        <v>0.7</v>
      </c>
      <c r="E163" s="106">
        <f t="shared" si="28"/>
        <v>1.041885</v>
      </c>
      <c r="F163" s="106">
        <f t="shared" si="29"/>
        <v>4</v>
      </c>
      <c r="G163" s="106">
        <f t="shared" si="30"/>
        <v>0</v>
      </c>
      <c r="H163" s="131">
        <f t="shared" si="26"/>
        <v>0</v>
      </c>
      <c r="I163" s="103"/>
      <c r="J163" s="117"/>
      <c r="K163" s="88"/>
      <c r="L163" s="88"/>
      <c r="M163" s="88"/>
      <c r="N163" s="88"/>
      <c r="O163" s="90"/>
      <c r="P163" s="90"/>
      <c r="Q163" s="90"/>
    </row>
    <row r="164" spans="1:17" ht="15.75" customHeight="1">
      <c r="A164" s="120"/>
      <c r="B164" s="118">
        <f t="shared" si="27"/>
        <v>39</v>
      </c>
      <c r="C164" s="136">
        <f t="shared" si="24"/>
        <v>3.1110000000000002</v>
      </c>
      <c r="D164" s="286">
        <f t="shared" si="25"/>
        <v>0.7</v>
      </c>
      <c r="E164" s="106">
        <f t="shared" si="28"/>
        <v>1.041885</v>
      </c>
      <c r="F164" s="106">
        <f t="shared" si="29"/>
        <v>4</v>
      </c>
      <c r="G164" s="106">
        <f t="shared" si="30"/>
        <v>0</v>
      </c>
      <c r="H164" s="131">
        <f t="shared" si="26"/>
        <v>0</v>
      </c>
      <c r="I164" s="103"/>
      <c r="J164" s="117"/>
      <c r="K164" s="88"/>
      <c r="L164" s="88"/>
      <c r="M164" s="88"/>
      <c r="N164" s="88"/>
      <c r="O164" s="90"/>
      <c r="P164" s="90"/>
      <c r="Q164" s="90"/>
    </row>
    <row r="165" spans="1:17" ht="15.75" customHeight="1">
      <c r="A165" s="120"/>
      <c r="B165" s="118">
        <f t="shared" si="27"/>
        <v>40</v>
      </c>
      <c r="C165" s="136">
        <f t="shared" si="24"/>
        <v>3.1030000000000002</v>
      </c>
      <c r="D165" s="286">
        <f t="shared" si="25"/>
        <v>0.7</v>
      </c>
      <c r="E165" s="106">
        <f t="shared" si="28"/>
        <v>1.041885</v>
      </c>
      <c r="F165" s="106">
        <f t="shared" si="29"/>
        <v>4</v>
      </c>
      <c r="G165" s="106">
        <f t="shared" si="30"/>
        <v>0</v>
      </c>
      <c r="H165" s="131">
        <f t="shared" si="26"/>
        <v>0</v>
      </c>
      <c r="I165" s="103"/>
      <c r="J165" s="117"/>
      <c r="K165" s="88"/>
      <c r="L165" s="88"/>
      <c r="M165" s="88"/>
      <c r="N165" s="88"/>
      <c r="O165" s="90"/>
      <c r="P165" s="90"/>
      <c r="Q165" s="90"/>
    </row>
    <row r="166" spans="1:17" ht="15.75" customHeight="1">
      <c r="A166" s="120"/>
      <c r="B166" s="118">
        <f t="shared" si="27"/>
        <v>41</v>
      </c>
      <c r="C166" s="136">
        <f t="shared" si="24"/>
        <v>3.0960000000000001</v>
      </c>
      <c r="D166" s="286">
        <f t="shared" si="25"/>
        <v>0.7</v>
      </c>
      <c r="E166" s="106">
        <f t="shared" si="28"/>
        <v>1.041885</v>
      </c>
      <c r="F166" s="106">
        <f t="shared" si="29"/>
        <v>4</v>
      </c>
      <c r="G166" s="106">
        <f t="shared" si="30"/>
        <v>0</v>
      </c>
      <c r="H166" s="131">
        <f t="shared" si="26"/>
        <v>0</v>
      </c>
      <c r="I166" s="103"/>
      <c r="J166" s="117"/>
      <c r="K166" s="88"/>
      <c r="L166" s="88"/>
      <c r="M166" s="88"/>
      <c r="N166" s="88"/>
      <c r="O166" s="90"/>
      <c r="P166" s="90"/>
      <c r="Q166" s="90"/>
    </row>
    <row r="167" spans="1:17" ht="15.75" customHeight="1">
      <c r="A167" s="120"/>
      <c r="B167" s="118">
        <f t="shared" si="27"/>
        <v>42</v>
      </c>
      <c r="C167" s="136">
        <f t="shared" si="24"/>
        <v>3.0880000000000001</v>
      </c>
      <c r="D167" s="286">
        <f t="shared" si="25"/>
        <v>0.7</v>
      </c>
      <c r="E167" s="106">
        <f t="shared" si="28"/>
        <v>1.041885</v>
      </c>
      <c r="F167" s="106">
        <f t="shared" si="29"/>
        <v>4</v>
      </c>
      <c r="G167" s="106">
        <f t="shared" si="30"/>
        <v>0</v>
      </c>
      <c r="H167" s="131">
        <f t="shared" si="26"/>
        <v>0</v>
      </c>
      <c r="I167" s="103"/>
      <c r="J167" s="117"/>
      <c r="K167" s="88"/>
      <c r="L167" s="88"/>
      <c r="M167" s="88"/>
      <c r="N167" s="88"/>
      <c r="O167" s="90"/>
      <c r="P167" s="90"/>
      <c r="Q167" s="90"/>
    </row>
    <row r="168" spans="1:17" ht="15.75" customHeight="1">
      <c r="A168" s="120"/>
      <c r="B168" s="118">
        <f t="shared" si="27"/>
        <v>43</v>
      </c>
      <c r="C168" s="136">
        <f t="shared" si="24"/>
        <v>3.08</v>
      </c>
      <c r="D168" s="286">
        <f t="shared" si="25"/>
        <v>0.7</v>
      </c>
      <c r="E168" s="106">
        <f t="shared" si="28"/>
        <v>1.041885</v>
      </c>
      <c r="F168" s="106">
        <f t="shared" si="29"/>
        <v>4</v>
      </c>
      <c r="G168" s="106">
        <f t="shared" si="30"/>
        <v>0</v>
      </c>
      <c r="H168" s="131">
        <f t="shared" si="26"/>
        <v>0</v>
      </c>
      <c r="I168" s="103"/>
      <c r="J168" s="117"/>
      <c r="K168" s="88"/>
      <c r="L168" s="88"/>
      <c r="M168" s="88"/>
      <c r="N168" s="88"/>
      <c r="O168" s="90"/>
      <c r="P168" s="90"/>
      <c r="Q168" s="90"/>
    </row>
    <row r="169" spans="1:17" ht="15.75" customHeight="1">
      <c r="A169" s="120"/>
      <c r="B169" s="118">
        <f t="shared" si="27"/>
        <v>44</v>
      </c>
      <c r="C169" s="136">
        <f t="shared" si="24"/>
        <v>3.0720000000000001</v>
      </c>
      <c r="D169" s="286">
        <f t="shared" si="25"/>
        <v>0.7</v>
      </c>
      <c r="E169" s="106">
        <f t="shared" si="28"/>
        <v>1.041885</v>
      </c>
      <c r="F169" s="106">
        <f t="shared" si="29"/>
        <v>4</v>
      </c>
      <c r="G169" s="106">
        <f t="shared" si="30"/>
        <v>0</v>
      </c>
      <c r="H169" s="131">
        <f t="shared" si="26"/>
        <v>0</v>
      </c>
      <c r="I169" s="103"/>
      <c r="J169" s="117"/>
      <c r="K169" s="88"/>
      <c r="L169" s="88"/>
      <c r="M169" s="88"/>
      <c r="N169" s="88"/>
      <c r="O169" s="90"/>
      <c r="P169" s="90"/>
      <c r="Q169" s="90"/>
    </row>
    <row r="170" spans="1:17" ht="15.75" customHeight="1">
      <c r="A170" s="120"/>
      <c r="B170" s="118">
        <f t="shared" si="27"/>
        <v>45</v>
      </c>
      <c r="C170" s="136">
        <f t="shared" si="24"/>
        <v>3.0649999999999999</v>
      </c>
      <c r="D170" s="286">
        <f t="shared" si="25"/>
        <v>0.7</v>
      </c>
      <c r="E170" s="106">
        <f t="shared" si="28"/>
        <v>1.041885</v>
      </c>
      <c r="F170" s="106">
        <f t="shared" si="29"/>
        <v>4</v>
      </c>
      <c r="G170" s="106">
        <f t="shared" si="30"/>
        <v>0</v>
      </c>
      <c r="H170" s="131">
        <f t="shared" si="26"/>
        <v>0</v>
      </c>
      <c r="I170" s="103"/>
      <c r="J170" s="117"/>
      <c r="K170" s="88"/>
      <c r="L170" s="88"/>
      <c r="M170" s="88"/>
      <c r="N170" s="88"/>
      <c r="O170" s="90"/>
      <c r="P170" s="90"/>
      <c r="Q170" s="90"/>
    </row>
    <row r="171" spans="1:17" ht="15.75" customHeight="1">
      <c r="A171" s="120"/>
      <c r="B171" s="118">
        <f t="shared" si="27"/>
        <v>46</v>
      </c>
      <c r="C171" s="136">
        <f t="shared" si="24"/>
        <v>3.0590000000000002</v>
      </c>
      <c r="D171" s="286">
        <f t="shared" si="25"/>
        <v>0.7</v>
      </c>
      <c r="E171" s="106">
        <f t="shared" si="28"/>
        <v>1.041885</v>
      </c>
      <c r="F171" s="106">
        <f t="shared" si="29"/>
        <v>4</v>
      </c>
      <c r="G171" s="106">
        <f t="shared" si="30"/>
        <v>0</v>
      </c>
      <c r="H171" s="131">
        <f t="shared" si="26"/>
        <v>0</v>
      </c>
      <c r="I171" s="103"/>
      <c r="J171" s="117"/>
      <c r="K171" s="88"/>
      <c r="L171" s="88"/>
      <c r="M171" s="88"/>
      <c r="N171" s="88"/>
      <c r="O171" s="90"/>
      <c r="P171" s="90"/>
      <c r="Q171" s="90"/>
    </row>
    <row r="172" spans="1:17" ht="15.75" customHeight="1">
      <c r="A172" s="120"/>
      <c r="B172" s="118">
        <f t="shared" si="27"/>
        <v>47</v>
      </c>
      <c r="C172" s="136">
        <f t="shared" si="24"/>
        <v>3.0529999999999999</v>
      </c>
      <c r="D172" s="286">
        <f t="shared" si="25"/>
        <v>0.7</v>
      </c>
      <c r="E172" s="106">
        <f t="shared" si="28"/>
        <v>1.041885</v>
      </c>
      <c r="F172" s="106">
        <f t="shared" si="29"/>
        <v>4</v>
      </c>
      <c r="G172" s="106">
        <f t="shared" si="30"/>
        <v>0</v>
      </c>
      <c r="H172" s="131">
        <f t="shared" si="26"/>
        <v>0</v>
      </c>
      <c r="I172" s="103"/>
      <c r="J172" s="117"/>
      <c r="K172" s="88"/>
      <c r="L172" s="88"/>
      <c r="M172" s="88"/>
      <c r="N172" s="88"/>
      <c r="O172" s="90"/>
      <c r="P172" s="90"/>
      <c r="Q172" s="90"/>
    </row>
    <row r="173" spans="1:17" ht="15.75" customHeight="1">
      <c r="A173" s="120"/>
      <c r="B173" s="118">
        <f t="shared" si="27"/>
        <v>48</v>
      </c>
      <c r="C173" s="136">
        <f t="shared" si="24"/>
        <v>3.0470000000000002</v>
      </c>
      <c r="D173" s="286">
        <f t="shared" si="25"/>
        <v>0.7</v>
      </c>
      <c r="E173" s="106">
        <f t="shared" si="28"/>
        <v>1.041885</v>
      </c>
      <c r="F173" s="106">
        <f t="shared" si="29"/>
        <v>4</v>
      </c>
      <c r="G173" s="106">
        <f t="shared" si="30"/>
        <v>0</v>
      </c>
      <c r="H173" s="131">
        <f t="shared" si="26"/>
        <v>0</v>
      </c>
      <c r="I173" s="103"/>
      <c r="J173" s="117"/>
      <c r="K173" s="88"/>
      <c r="L173" s="88"/>
      <c r="M173" s="88"/>
      <c r="N173" s="88"/>
      <c r="O173" s="90"/>
      <c r="P173" s="90"/>
      <c r="Q173" s="90"/>
    </row>
    <row r="174" spans="1:17" ht="15.75" customHeight="1">
      <c r="A174" s="120"/>
      <c r="B174" s="118">
        <f t="shared" si="27"/>
        <v>49</v>
      </c>
      <c r="C174" s="136">
        <f t="shared" si="24"/>
        <v>3.0409999999999999</v>
      </c>
      <c r="D174" s="286">
        <f t="shared" si="25"/>
        <v>0.7</v>
      </c>
      <c r="E174" s="106">
        <f t="shared" si="28"/>
        <v>1.041885</v>
      </c>
      <c r="F174" s="106">
        <f t="shared" si="29"/>
        <v>4</v>
      </c>
      <c r="G174" s="106">
        <f t="shared" si="30"/>
        <v>0</v>
      </c>
      <c r="H174" s="131">
        <f t="shared" si="26"/>
        <v>0</v>
      </c>
      <c r="I174" s="103"/>
      <c r="J174" s="117"/>
      <c r="K174" s="88"/>
      <c r="L174" s="88"/>
      <c r="M174" s="88"/>
      <c r="N174" s="88"/>
      <c r="O174" s="90"/>
      <c r="P174" s="90"/>
      <c r="Q174" s="90"/>
    </row>
    <row r="175" spans="1:17" ht="15.75" customHeight="1">
      <c r="A175" s="120"/>
      <c r="B175" s="118">
        <f t="shared" si="27"/>
        <v>50</v>
      </c>
      <c r="C175" s="136">
        <f t="shared" si="24"/>
        <v>3.036</v>
      </c>
      <c r="D175" s="286">
        <f t="shared" si="25"/>
        <v>0.7</v>
      </c>
      <c r="E175" s="106">
        <f t="shared" si="28"/>
        <v>1.041885</v>
      </c>
      <c r="F175" s="106">
        <f t="shared" si="29"/>
        <v>4</v>
      </c>
      <c r="G175" s="106">
        <f t="shared" si="30"/>
        <v>0</v>
      </c>
      <c r="H175" s="131">
        <f t="shared" si="26"/>
        <v>0</v>
      </c>
      <c r="I175" s="103"/>
      <c r="J175" s="117"/>
      <c r="K175" s="88"/>
      <c r="L175" s="88"/>
      <c r="M175" s="88"/>
      <c r="N175" s="88"/>
      <c r="O175" s="90"/>
      <c r="P175" s="90"/>
      <c r="Q175" s="90"/>
    </row>
    <row r="176" spans="1:17" ht="15.75" customHeight="1">
      <c r="A176" s="120"/>
      <c r="B176" s="118">
        <f t="shared" si="27"/>
        <v>51</v>
      </c>
      <c r="C176" s="136">
        <f t="shared" si="24"/>
        <v>3.0329999999999999</v>
      </c>
      <c r="D176" s="286">
        <f t="shared" si="25"/>
        <v>0.7</v>
      </c>
      <c r="E176" s="106">
        <f t="shared" si="28"/>
        <v>1.041885</v>
      </c>
      <c r="F176" s="106">
        <f t="shared" si="29"/>
        <v>4</v>
      </c>
      <c r="G176" s="106">
        <f t="shared" si="30"/>
        <v>0</v>
      </c>
      <c r="H176" s="131">
        <f t="shared" si="26"/>
        <v>0</v>
      </c>
      <c r="I176" s="103"/>
      <c r="J176" s="117"/>
      <c r="K176" s="88"/>
      <c r="L176" s="88"/>
      <c r="M176" s="88"/>
      <c r="N176" s="88"/>
      <c r="O176" s="90"/>
      <c r="P176" s="90"/>
      <c r="Q176" s="90"/>
    </row>
    <row r="177" spans="1:17" ht="15.75" customHeight="1">
      <c r="A177" s="120"/>
      <c r="B177" s="118">
        <f t="shared" si="27"/>
        <v>52</v>
      </c>
      <c r="C177" s="136">
        <f t="shared" si="24"/>
        <v>3.0310000000000001</v>
      </c>
      <c r="D177" s="286">
        <f t="shared" si="25"/>
        <v>0.7</v>
      </c>
      <c r="E177" s="106">
        <f t="shared" si="28"/>
        <v>1.041885</v>
      </c>
      <c r="F177" s="106">
        <f t="shared" si="29"/>
        <v>4</v>
      </c>
      <c r="G177" s="106">
        <f t="shared" si="30"/>
        <v>0</v>
      </c>
      <c r="H177" s="131">
        <f t="shared" si="26"/>
        <v>0</v>
      </c>
      <c r="I177" s="103"/>
      <c r="J177" s="117"/>
      <c r="K177" s="88"/>
      <c r="L177" s="88"/>
      <c r="M177" s="88"/>
      <c r="N177" s="88"/>
      <c r="O177" s="90"/>
      <c r="P177" s="90"/>
      <c r="Q177" s="90"/>
    </row>
    <row r="178" spans="1:17" ht="15.75" customHeight="1">
      <c r="A178" s="120"/>
      <c r="B178" s="118">
        <f t="shared" si="27"/>
        <v>53</v>
      </c>
      <c r="C178" s="136">
        <f t="shared" si="24"/>
        <v>3.0289999999999999</v>
      </c>
      <c r="D178" s="286">
        <f t="shared" si="25"/>
        <v>0.7</v>
      </c>
      <c r="E178" s="106">
        <f t="shared" si="28"/>
        <v>1.041885</v>
      </c>
      <c r="F178" s="106">
        <f t="shared" si="29"/>
        <v>4</v>
      </c>
      <c r="G178" s="106">
        <f t="shared" si="30"/>
        <v>0</v>
      </c>
      <c r="H178" s="131">
        <f t="shared" si="26"/>
        <v>0</v>
      </c>
      <c r="I178" s="103"/>
      <c r="J178" s="117"/>
      <c r="K178" s="88"/>
      <c r="L178" s="88"/>
      <c r="M178" s="88"/>
      <c r="N178" s="88"/>
      <c r="O178" s="90"/>
      <c r="P178" s="90"/>
      <c r="Q178" s="90"/>
    </row>
    <row r="179" spans="1:17" ht="15.75" customHeight="1">
      <c r="A179" s="120"/>
      <c r="B179" s="118">
        <f t="shared" si="27"/>
        <v>54</v>
      </c>
      <c r="C179" s="136">
        <f t="shared" si="24"/>
        <v>3.028</v>
      </c>
      <c r="D179" s="286">
        <f t="shared" si="25"/>
        <v>0.7</v>
      </c>
      <c r="E179" s="106">
        <f t="shared" si="28"/>
        <v>1.041885</v>
      </c>
      <c r="F179" s="106">
        <f t="shared" si="29"/>
        <v>4</v>
      </c>
      <c r="G179" s="106">
        <f t="shared" si="30"/>
        <v>0</v>
      </c>
      <c r="H179" s="131">
        <f t="shared" si="26"/>
        <v>0</v>
      </c>
      <c r="I179" s="103"/>
      <c r="J179" s="117"/>
      <c r="K179" s="88"/>
      <c r="L179" s="88"/>
      <c r="M179" s="88"/>
      <c r="N179" s="88"/>
      <c r="O179" s="90"/>
      <c r="P179" s="90"/>
      <c r="Q179" s="90"/>
    </row>
    <row r="180" spans="1:17" ht="15.75" customHeight="1">
      <c r="A180" s="120"/>
      <c r="B180" s="118">
        <f t="shared" si="27"/>
        <v>55</v>
      </c>
      <c r="C180" s="136">
        <f t="shared" si="24"/>
        <v>3.03</v>
      </c>
      <c r="D180" s="286">
        <f t="shared" si="25"/>
        <v>0.7</v>
      </c>
      <c r="E180" s="106">
        <f t="shared" si="28"/>
        <v>1.041885</v>
      </c>
      <c r="F180" s="106">
        <f t="shared" si="29"/>
        <v>4</v>
      </c>
      <c r="G180" s="106">
        <f t="shared" si="30"/>
        <v>0</v>
      </c>
      <c r="H180" s="131">
        <f t="shared" si="26"/>
        <v>0</v>
      </c>
      <c r="I180" s="103"/>
      <c r="J180" s="117"/>
      <c r="K180" s="88"/>
      <c r="L180" s="88"/>
      <c r="M180" s="88"/>
      <c r="N180" s="88"/>
      <c r="O180" s="90"/>
      <c r="P180" s="90"/>
      <c r="Q180" s="90"/>
    </row>
    <row r="181" spans="1:17" ht="15.75" customHeight="1">
      <c r="A181" s="120"/>
      <c r="B181" s="118">
        <f t="shared" si="27"/>
        <v>56</v>
      </c>
      <c r="C181" s="136">
        <f t="shared" si="24"/>
        <v>3.0329999999999999</v>
      </c>
      <c r="D181" s="286">
        <f t="shared" si="25"/>
        <v>0.7</v>
      </c>
      <c r="E181" s="106">
        <f t="shared" si="28"/>
        <v>1.041885</v>
      </c>
      <c r="F181" s="106">
        <f t="shared" si="29"/>
        <v>4</v>
      </c>
      <c r="G181" s="106">
        <f t="shared" si="30"/>
        <v>0</v>
      </c>
      <c r="H181" s="131">
        <f t="shared" si="26"/>
        <v>0</v>
      </c>
      <c r="I181" s="103"/>
      <c r="J181" s="117"/>
      <c r="K181" s="88"/>
      <c r="L181" s="88"/>
      <c r="M181" s="88"/>
      <c r="N181" s="88"/>
      <c r="O181" s="90"/>
      <c r="P181" s="90"/>
      <c r="Q181" s="90"/>
    </row>
    <row r="182" spans="1:17" ht="15.75" customHeight="1">
      <c r="A182" s="120"/>
      <c r="B182" s="118">
        <f t="shared" si="27"/>
        <v>57</v>
      </c>
      <c r="C182" s="136">
        <f t="shared" si="24"/>
        <v>3.02</v>
      </c>
      <c r="D182" s="286">
        <f t="shared" si="25"/>
        <v>0.7</v>
      </c>
      <c r="E182" s="106">
        <f t="shared" si="28"/>
        <v>1.041885</v>
      </c>
      <c r="F182" s="106">
        <f t="shared" si="29"/>
        <v>4</v>
      </c>
      <c r="G182" s="106">
        <f t="shared" si="30"/>
        <v>0</v>
      </c>
      <c r="H182" s="131">
        <f t="shared" si="26"/>
        <v>0</v>
      </c>
      <c r="I182" s="103"/>
      <c r="J182" s="117"/>
      <c r="K182" s="88"/>
      <c r="L182" s="88"/>
      <c r="M182" s="88"/>
      <c r="N182" s="88"/>
      <c r="O182" s="90"/>
      <c r="P182" s="90"/>
      <c r="Q182" s="90"/>
    </row>
    <row r="183" spans="1:17" ht="15.75" customHeight="1">
      <c r="A183" s="120"/>
      <c r="B183" s="118">
        <f t="shared" si="27"/>
        <v>58</v>
      </c>
      <c r="C183" s="136">
        <f t="shared" si="24"/>
        <v>3.0059999999999998</v>
      </c>
      <c r="D183" s="286">
        <f t="shared" si="25"/>
        <v>0.7</v>
      </c>
      <c r="E183" s="106">
        <f t="shared" si="28"/>
        <v>1.041885</v>
      </c>
      <c r="F183" s="106">
        <f t="shared" si="29"/>
        <v>4</v>
      </c>
      <c r="G183" s="106">
        <f t="shared" si="30"/>
        <v>0</v>
      </c>
      <c r="H183" s="131">
        <f t="shared" si="26"/>
        <v>0</v>
      </c>
      <c r="I183" s="103"/>
      <c r="J183" s="117"/>
      <c r="K183" s="88"/>
      <c r="L183" s="88"/>
      <c r="M183" s="88"/>
      <c r="N183" s="88"/>
      <c r="O183" s="90"/>
      <c r="P183" s="90"/>
      <c r="Q183" s="90"/>
    </row>
    <row r="184" spans="1:17" ht="15.75" customHeight="1">
      <c r="A184" s="120"/>
      <c r="B184" s="118">
        <f t="shared" si="27"/>
        <v>59</v>
      </c>
      <c r="C184" s="136">
        <f t="shared" si="24"/>
        <v>2.9929999999999999</v>
      </c>
      <c r="D184" s="286">
        <f t="shared" si="25"/>
        <v>0.7</v>
      </c>
      <c r="E184" s="106">
        <f t="shared" si="28"/>
        <v>1.041885</v>
      </c>
      <c r="F184" s="106">
        <f t="shared" si="29"/>
        <v>4</v>
      </c>
      <c r="G184" s="106">
        <f t="shared" si="30"/>
        <v>0</v>
      </c>
      <c r="H184" s="131">
        <f t="shared" si="26"/>
        <v>0</v>
      </c>
      <c r="I184" s="103"/>
      <c r="J184" s="117"/>
      <c r="K184" s="88"/>
      <c r="L184" s="88"/>
      <c r="M184" s="88"/>
      <c r="N184" s="88"/>
      <c r="O184" s="90"/>
      <c r="P184" s="90"/>
      <c r="Q184" s="90"/>
    </row>
    <row r="185" spans="1:17" ht="15.75" customHeight="1">
      <c r="A185" s="120"/>
      <c r="B185" s="118">
        <f t="shared" si="27"/>
        <v>60</v>
      </c>
      <c r="C185" s="136">
        <f t="shared" si="24"/>
        <v>2.9820000000000002</v>
      </c>
      <c r="D185" s="286">
        <f t="shared" si="25"/>
        <v>0.7</v>
      </c>
      <c r="E185" s="106">
        <f t="shared" si="28"/>
        <v>1.041885</v>
      </c>
      <c r="F185" s="106">
        <f t="shared" si="29"/>
        <v>4</v>
      </c>
      <c r="G185" s="106">
        <f t="shared" si="30"/>
        <v>0</v>
      </c>
      <c r="H185" s="131">
        <f t="shared" si="26"/>
        <v>0</v>
      </c>
      <c r="I185" s="103"/>
      <c r="J185" s="117"/>
      <c r="K185" s="88"/>
      <c r="L185" s="88"/>
      <c r="M185" s="88"/>
      <c r="N185" s="88"/>
      <c r="O185" s="90"/>
      <c r="P185" s="90"/>
      <c r="Q185" s="90"/>
    </row>
    <row r="186" spans="1:17" ht="15.75" customHeight="1">
      <c r="A186" s="120"/>
      <c r="B186" s="118">
        <f t="shared" si="27"/>
        <v>61</v>
      </c>
      <c r="C186" s="136">
        <f t="shared" si="24"/>
        <v>2.9750000000000001</v>
      </c>
      <c r="D186" s="286">
        <f t="shared" si="25"/>
        <v>0.7</v>
      </c>
      <c r="E186" s="106">
        <f t="shared" si="28"/>
        <v>1.041885</v>
      </c>
      <c r="F186" s="106">
        <f t="shared" si="29"/>
        <v>4</v>
      </c>
      <c r="G186" s="106">
        <f t="shared" si="30"/>
        <v>0</v>
      </c>
      <c r="H186" s="131">
        <f t="shared" si="26"/>
        <v>0</v>
      </c>
      <c r="I186" s="103"/>
      <c r="J186" s="117"/>
      <c r="K186" s="88"/>
      <c r="L186" s="88"/>
      <c r="M186" s="88"/>
      <c r="N186" s="88"/>
      <c r="O186" s="90"/>
      <c r="P186" s="90"/>
      <c r="Q186" s="90"/>
    </row>
    <row r="187" spans="1:17" ht="15.75" customHeight="1">
      <c r="A187" s="120"/>
      <c r="B187" s="118">
        <f t="shared" si="27"/>
        <v>62</v>
      </c>
      <c r="C187" s="136">
        <f t="shared" si="24"/>
        <v>2.9750000000000001</v>
      </c>
      <c r="D187" s="286">
        <f t="shared" si="25"/>
        <v>0.7</v>
      </c>
      <c r="E187" s="106">
        <f t="shared" si="28"/>
        <v>1.041885</v>
      </c>
      <c r="F187" s="106">
        <f t="shared" si="29"/>
        <v>4</v>
      </c>
      <c r="G187" s="106">
        <f t="shared" si="30"/>
        <v>0</v>
      </c>
      <c r="H187" s="131">
        <f t="shared" si="26"/>
        <v>0</v>
      </c>
      <c r="I187" s="103"/>
      <c r="J187" s="117"/>
      <c r="K187" s="88"/>
      <c r="L187" s="88"/>
      <c r="M187" s="88"/>
      <c r="N187" s="88"/>
      <c r="O187" s="90"/>
      <c r="P187" s="90"/>
      <c r="Q187" s="90"/>
    </row>
    <row r="188" spans="1:17" ht="15.75" customHeight="1">
      <c r="A188" s="120"/>
      <c r="B188" s="118">
        <f t="shared" si="27"/>
        <v>63</v>
      </c>
      <c r="C188" s="136">
        <f t="shared" si="24"/>
        <v>2.98</v>
      </c>
      <c r="D188" s="286">
        <f t="shared" si="25"/>
        <v>0.7</v>
      </c>
      <c r="E188" s="106">
        <f t="shared" si="28"/>
        <v>1.041885</v>
      </c>
      <c r="F188" s="106">
        <f t="shared" si="29"/>
        <v>4</v>
      </c>
      <c r="G188" s="106">
        <f t="shared" si="30"/>
        <v>0</v>
      </c>
      <c r="H188" s="131">
        <f t="shared" si="26"/>
        <v>0</v>
      </c>
      <c r="I188" s="103"/>
      <c r="J188" s="117"/>
      <c r="K188" s="88"/>
      <c r="L188" s="88"/>
      <c r="M188" s="88"/>
      <c r="N188" s="88"/>
      <c r="O188" s="90"/>
      <c r="P188" s="90"/>
      <c r="Q188" s="90"/>
    </row>
    <row r="189" spans="1:17" ht="15.75" customHeight="1">
      <c r="A189" s="120"/>
      <c r="B189" s="118">
        <f t="shared" si="27"/>
        <v>64</v>
      </c>
      <c r="C189" s="136">
        <f t="shared" si="24"/>
        <v>2.9820000000000002</v>
      </c>
      <c r="D189" s="286">
        <f t="shared" si="25"/>
        <v>0.7</v>
      </c>
      <c r="E189" s="106">
        <f t="shared" si="28"/>
        <v>1.041885</v>
      </c>
      <c r="F189" s="106">
        <f t="shared" si="29"/>
        <v>4</v>
      </c>
      <c r="G189" s="106">
        <f t="shared" si="30"/>
        <v>0</v>
      </c>
      <c r="H189" s="131">
        <f t="shared" si="26"/>
        <v>0</v>
      </c>
      <c r="I189" s="103"/>
      <c r="J189" s="117"/>
      <c r="K189" s="88"/>
      <c r="L189" s="88"/>
      <c r="M189" s="88"/>
      <c r="N189" s="88"/>
      <c r="O189" s="90"/>
      <c r="P189" s="90"/>
      <c r="Q189" s="90"/>
    </row>
    <row r="190" spans="1:17" ht="15.75" customHeight="1">
      <c r="A190" s="120"/>
      <c r="B190" s="118">
        <f t="shared" si="27"/>
        <v>65</v>
      </c>
      <c r="C190" s="136">
        <f t="shared" ref="C190:C221" si="31">E87</f>
        <v>2.9870000000000001</v>
      </c>
      <c r="D190" s="286">
        <f t="shared" ref="D190:D223" si="32">H$125</f>
        <v>0.7</v>
      </c>
      <c r="E190" s="106">
        <f t="shared" si="28"/>
        <v>1.041885</v>
      </c>
      <c r="F190" s="106">
        <f t="shared" si="29"/>
        <v>4</v>
      </c>
      <c r="G190" s="106">
        <f t="shared" si="30"/>
        <v>0</v>
      </c>
      <c r="H190" s="131">
        <f t="shared" ref="H190:H221" si="33">(C190+D190)*E190*F190*G190</f>
        <v>0</v>
      </c>
      <c r="I190" s="103"/>
      <c r="J190" s="117"/>
      <c r="K190" s="88"/>
      <c r="L190" s="88"/>
      <c r="M190" s="88"/>
      <c r="N190" s="88"/>
      <c r="O190" s="90"/>
      <c r="P190" s="90"/>
      <c r="Q190" s="90"/>
    </row>
    <row r="191" spans="1:17" ht="15.75" customHeight="1">
      <c r="A191" s="120"/>
      <c r="B191" s="118">
        <f t="shared" ref="B191:B223" si="34">B190+1</f>
        <v>66</v>
      </c>
      <c r="C191" s="136">
        <f t="shared" si="31"/>
        <v>2.964</v>
      </c>
      <c r="D191" s="286">
        <f t="shared" si="32"/>
        <v>0.7</v>
      </c>
      <c r="E191" s="106">
        <f t="shared" ref="E191:E223" si="35">E190</f>
        <v>1.041885</v>
      </c>
      <c r="F191" s="106">
        <f t="shared" ref="F191:F223" si="36">F190</f>
        <v>4</v>
      </c>
      <c r="G191" s="106">
        <f t="shared" si="30"/>
        <v>0</v>
      </c>
      <c r="H191" s="131">
        <f t="shared" si="33"/>
        <v>0</v>
      </c>
      <c r="I191" s="103"/>
      <c r="J191" s="117"/>
      <c r="K191" s="88"/>
      <c r="L191" s="88"/>
      <c r="M191" s="88"/>
      <c r="N191" s="88"/>
      <c r="O191" s="90"/>
      <c r="P191" s="90"/>
      <c r="Q191" s="90"/>
    </row>
    <row r="192" spans="1:17" ht="15.75" customHeight="1">
      <c r="A192" s="120"/>
      <c r="B192" s="118">
        <f t="shared" si="34"/>
        <v>67</v>
      </c>
      <c r="C192" s="136">
        <f t="shared" si="31"/>
        <v>2.9289999999999998</v>
      </c>
      <c r="D192" s="286">
        <f t="shared" si="32"/>
        <v>0.7</v>
      </c>
      <c r="E192" s="106">
        <f t="shared" si="35"/>
        <v>1.041885</v>
      </c>
      <c r="F192" s="106">
        <f t="shared" si="36"/>
        <v>4</v>
      </c>
      <c r="G192" s="106">
        <f t="shared" ref="G192:G223" si="37">G191</f>
        <v>0</v>
      </c>
      <c r="H192" s="131">
        <f t="shared" si="33"/>
        <v>0</v>
      </c>
      <c r="I192" s="103"/>
      <c r="J192" s="117"/>
      <c r="K192" s="88"/>
      <c r="L192" s="88"/>
      <c r="M192" s="88"/>
      <c r="N192" s="88"/>
      <c r="O192" s="90"/>
      <c r="P192" s="90"/>
      <c r="Q192" s="90"/>
    </row>
    <row r="193" spans="1:17" ht="15.75" customHeight="1">
      <c r="A193" s="120"/>
      <c r="B193" s="118">
        <f t="shared" si="34"/>
        <v>68</v>
      </c>
      <c r="C193" s="136">
        <f t="shared" si="31"/>
        <v>2.9740000000000002</v>
      </c>
      <c r="D193" s="286">
        <f t="shared" si="32"/>
        <v>0.7</v>
      </c>
      <c r="E193" s="106">
        <f t="shared" si="35"/>
        <v>1.041885</v>
      </c>
      <c r="F193" s="106">
        <f t="shared" si="36"/>
        <v>4</v>
      </c>
      <c r="G193" s="106">
        <f t="shared" si="37"/>
        <v>0</v>
      </c>
      <c r="H193" s="131">
        <f t="shared" si="33"/>
        <v>0</v>
      </c>
      <c r="I193" s="103"/>
      <c r="J193" s="117"/>
      <c r="K193" s="88"/>
      <c r="L193" s="88"/>
      <c r="M193" s="88"/>
      <c r="N193" s="88"/>
      <c r="O193" s="90"/>
      <c r="P193" s="90"/>
      <c r="Q193" s="90"/>
    </row>
    <row r="194" spans="1:17" ht="15.75" customHeight="1">
      <c r="A194" s="120"/>
      <c r="B194" s="118">
        <f t="shared" si="34"/>
        <v>69</v>
      </c>
      <c r="C194" s="136">
        <f t="shared" si="31"/>
        <v>2.984</v>
      </c>
      <c r="D194" s="286">
        <f t="shared" si="32"/>
        <v>0.7</v>
      </c>
      <c r="E194" s="106">
        <f t="shared" si="35"/>
        <v>1.041885</v>
      </c>
      <c r="F194" s="106">
        <f t="shared" si="36"/>
        <v>4</v>
      </c>
      <c r="G194" s="106">
        <f t="shared" si="37"/>
        <v>0</v>
      </c>
      <c r="H194" s="131">
        <f t="shared" si="33"/>
        <v>0</v>
      </c>
      <c r="I194" s="103"/>
      <c r="J194" s="117"/>
      <c r="K194" s="88"/>
      <c r="L194" s="88"/>
      <c r="M194" s="88"/>
      <c r="N194" s="88"/>
      <c r="O194" s="90"/>
      <c r="P194" s="90"/>
      <c r="Q194" s="90"/>
    </row>
    <row r="195" spans="1:17" ht="15.75" customHeight="1">
      <c r="A195" s="120"/>
      <c r="B195" s="118">
        <f t="shared" si="34"/>
        <v>70</v>
      </c>
      <c r="C195" s="136">
        <f t="shared" si="31"/>
        <v>2.673</v>
      </c>
      <c r="D195" s="286">
        <f t="shared" si="32"/>
        <v>0.7</v>
      </c>
      <c r="E195" s="106">
        <f t="shared" si="35"/>
        <v>1.041885</v>
      </c>
      <c r="F195" s="106">
        <f t="shared" si="36"/>
        <v>4</v>
      </c>
      <c r="G195" s="106">
        <f t="shared" si="37"/>
        <v>0</v>
      </c>
      <c r="H195" s="131">
        <f t="shared" si="33"/>
        <v>0</v>
      </c>
      <c r="I195" s="103"/>
      <c r="J195" s="117"/>
      <c r="K195" s="88"/>
      <c r="L195" s="88"/>
      <c r="M195" s="88"/>
      <c r="N195" s="88"/>
      <c r="O195" s="90"/>
      <c r="P195" s="90"/>
      <c r="Q195" s="90"/>
    </row>
    <row r="196" spans="1:17" ht="15.75" customHeight="1">
      <c r="A196" s="120"/>
      <c r="B196" s="118">
        <f t="shared" si="34"/>
        <v>71</v>
      </c>
      <c r="C196" s="136">
        <f t="shared" si="31"/>
        <v>2.6619999999999999</v>
      </c>
      <c r="D196" s="286">
        <f t="shared" si="32"/>
        <v>0.7</v>
      </c>
      <c r="E196" s="106">
        <f t="shared" si="35"/>
        <v>1.041885</v>
      </c>
      <c r="F196" s="106">
        <f t="shared" si="36"/>
        <v>4</v>
      </c>
      <c r="G196" s="106">
        <f t="shared" si="37"/>
        <v>0</v>
      </c>
      <c r="H196" s="131">
        <f t="shared" si="33"/>
        <v>0</v>
      </c>
      <c r="I196" s="103"/>
      <c r="J196" s="117"/>
      <c r="K196" s="88"/>
      <c r="L196" s="88"/>
      <c r="M196" s="88"/>
      <c r="N196" s="88"/>
      <c r="O196" s="90"/>
      <c r="P196" s="90"/>
      <c r="Q196" s="90"/>
    </row>
    <row r="197" spans="1:17" ht="15.75" customHeight="1">
      <c r="A197" s="120"/>
      <c r="B197" s="118">
        <f t="shared" si="34"/>
        <v>72</v>
      </c>
      <c r="C197" s="136">
        <f t="shared" si="31"/>
        <v>2.6429999999999998</v>
      </c>
      <c r="D197" s="286">
        <f t="shared" si="32"/>
        <v>0.7</v>
      </c>
      <c r="E197" s="106">
        <f t="shared" si="35"/>
        <v>1.041885</v>
      </c>
      <c r="F197" s="106">
        <f t="shared" si="36"/>
        <v>4</v>
      </c>
      <c r="G197" s="106">
        <f t="shared" si="37"/>
        <v>0</v>
      </c>
      <c r="H197" s="131">
        <f t="shared" si="33"/>
        <v>0</v>
      </c>
      <c r="I197" s="103"/>
      <c r="J197" s="117"/>
      <c r="K197" s="88"/>
      <c r="L197" s="88"/>
      <c r="M197" s="88"/>
      <c r="N197" s="88"/>
      <c r="O197" s="90"/>
      <c r="P197" s="90"/>
      <c r="Q197" s="90"/>
    </row>
    <row r="198" spans="1:17" ht="15.75" customHeight="1">
      <c r="A198" s="120"/>
      <c r="B198" s="118">
        <f t="shared" si="34"/>
        <v>73</v>
      </c>
      <c r="C198" s="136">
        <f t="shared" si="31"/>
        <v>2.6230000000000002</v>
      </c>
      <c r="D198" s="286">
        <f t="shared" si="32"/>
        <v>0.7</v>
      </c>
      <c r="E198" s="106">
        <f t="shared" si="35"/>
        <v>1.041885</v>
      </c>
      <c r="F198" s="106">
        <f t="shared" si="36"/>
        <v>4</v>
      </c>
      <c r="G198" s="106">
        <f t="shared" si="37"/>
        <v>0</v>
      </c>
      <c r="H198" s="131">
        <f t="shared" si="33"/>
        <v>0</v>
      </c>
      <c r="I198" s="103"/>
      <c r="J198" s="117"/>
      <c r="K198" s="88"/>
      <c r="L198" s="88"/>
      <c r="M198" s="88"/>
      <c r="N198" s="88"/>
      <c r="O198" s="90"/>
      <c r="P198" s="90"/>
      <c r="Q198" s="90"/>
    </row>
    <row r="199" spans="1:17" ht="15.75" customHeight="1">
      <c r="A199" s="120"/>
      <c r="B199" s="118">
        <f t="shared" si="34"/>
        <v>74</v>
      </c>
      <c r="C199" s="136">
        <f t="shared" si="31"/>
        <v>2.6150000000000002</v>
      </c>
      <c r="D199" s="286">
        <f t="shared" si="32"/>
        <v>0.7</v>
      </c>
      <c r="E199" s="106">
        <f t="shared" si="35"/>
        <v>1.041885</v>
      </c>
      <c r="F199" s="106">
        <f t="shared" si="36"/>
        <v>4</v>
      </c>
      <c r="G199" s="106">
        <f t="shared" si="37"/>
        <v>0</v>
      </c>
      <c r="H199" s="131">
        <f t="shared" si="33"/>
        <v>0</v>
      </c>
      <c r="I199" s="103"/>
      <c r="J199" s="117"/>
      <c r="K199" s="88"/>
      <c r="L199" s="88"/>
      <c r="M199" s="88"/>
      <c r="N199" s="88"/>
      <c r="O199" s="90"/>
      <c r="P199" s="90"/>
      <c r="Q199" s="90"/>
    </row>
    <row r="200" spans="1:17" ht="15.75" customHeight="1">
      <c r="A200" s="120"/>
      <c r="B200" s="118">
        <f t="shared" si="34"/>
        <v>75</v>
      </c>
      <c r="C200" s="136">
        <f t="shared" si="31"/>
        <v>2.6120000000000001</v>
      </c>
      <c r="D200" s="286">
        <f t="shared" si="32"/>
        <v>0.7</v>
      </c>
      <c r="E200" s="106">
        <f t="shared" si="35"/>
        <v>1.041885</v>
      </c>
      <c r="F200" s="106">
        <f t="shared" si="36"/>
        <v>4</v>
      </c>
      <c r="G200" s="106">
        <f t="shared" si="37"/>
        <v>0</v>
      </c>
      <c r="H200" s="131">
        <f t="shared" si="33"/>
        <v>0</v>
      </c>
      <c r="I200" s="103"/>
      <c r="J200" s="117"/>
      <c r="K200" s="88"/>
      <c r="L200" s="88"/>
      <c r="M200" s="88"/>
      <c r="N200" s="88"/>
      <c r="O200" s="90"/>
      <c r="P200" s="90"/>
      <c r="Q200" s="90"/>
    </row>
    <row r="201" spans="1:17" ht="15.75" customHeight="1">
      <c r="A201" s="120"/>
      <c r="B201" s="118">
        <f t="shared" si="34"/>
        <v>76</v>
      </c>
      <c r="C201" s="136">
        <f t="shared" si="31"/>
        <v>2.665</v>
      </c>
      <c r="D201" s="286">
        <f t="shared" si="32"/>
        <v>0.7</v>
      </c>
      <c r="E201" s="106">
        <f t="shared" si="35"/>
        <v>1.041885</v>
      </c>
      <c r="F201" s="106">
        <f t="shared" si="36"/>
        <v>4</v>
      </c>
      <c r="G201" s="106">
        <f t="shared" si="37"/>
        <v>0</v>
      </c>
      <c r="H201" s="131">
        <f t="shared" si="33"/>
        <v>0</v>
      </c>
      <c r="I201" s="103"/>
      <c r="J201" s="117"/>
      <c r="K201" s="88"/>
      <c r="L201" s="88"/>
      <c r="M201" s="88"/>
      <c r="N201" s="88"/>
      <c r="O201" s="90"/>
      <c r="P201" s="90"/>
      <c r="Q201" s="90"/>
    </row>
    <row r="202" spans="1:17" ht="15.75" customHeight="1">
      <c r="A202" s="120"/>
      <c r="B202" s="118">
        <f t="shared" si="34"/>
        <v>77</v>
      </c>
      <c r="C202" s="136">
        <f t="shared" si="31"/>
        <v>2.8210000000000002</v>
      </c>
      <c r="D202" s="286">
        <f t="shared" si="32"/>
        <v>0.7</v>
      </c>
      <c r="E202" s="106">
        <f t="shared" si="35"/>
        <v>1.041885</v>
      </c>
      <c r="F202" s="106">
        <f t="shared" si="36"/>
        <v>4</v>
      </c>
      <c r="G202" s="106">
        <f t="shared" si="37"/>
        <v>0</v>
      </c>
      <c r="H202" s="131">
        <f t="shared" si="33"/>
        <v>0</v>
      </c>
      <c r="I202" s="103"/>
      <c r="J202" s="117"/>
      <c r="K202" s="88"/>
      <c r="L202" s="88"/>
      <c r="M202" s="88"/>
      <c r="N202" s="88"/>
      <c r="O202" s="90"/>
      <c r="P202" s="90"/>
      <c r="Q202" s="90"/>
    </row>
    <row r="203" spans="1:17" ht="15.75" customHeight="1">
      <c r="A203" s="120"/>
      <c r="B203" s="118">
        <f t="shared" si="34"/>
        <v>78</v>
      </c>
      <c r="C203" s="136">
        <f t="shared" si="31"/>
        <v>2.8250000000000002</v>
      </c>
      <c r="D203" s="286">
        <f t="shared" si="32"/>
        <v>0.7</v>
      </c>
      <c r="E203" s="106">
        <f t="shared" si="35"/>
        <v>1.041885</v>
      </c>
      <c r="F203" s="106">
        <f t="shared" si="36"/>
        <v>4</v>
      </c>
      <c r="G203" s="106">
        <f t="shared" si="37"/>
        <v>0</v>
      </c>
      <c r="H203" s="131">
        <f t="shared" si="33"/>
        <v>0</v>
      </c>
      <c r="I203" s="103"/>
      <c r="J203" s="117"/>
      <c r="K203" s="88"/>
      <c r="L203" s="88"/>
      <c r="M203" s="88"/>
      <c r="N203" s="88"/>
      <c r="O203" s="90"/>
      <c r="P203" s="90"/>
      <c r="Q203" s="90"/>
    </row>
    <row r="204" spans="1:17" ht="15.75" customHeight="1">
      <c r="A204" s="120"/>
      <c r="B204" s="118">
        <f t="shared" si="34"/>
        <v>79</v>
      </c>
      <c r="C204" s="136">
        <f t="shared" si="31"/>
        <v>2.726</v>
      </c>
      <c r="D204" s="286">
        <f t="shared" si="32"/>
        <v>0.7</v>
      </c>
      <c r="E204" s="106">
        <f t="shared" si="35"/>
        <v>1.041885</v>
      </c>
      <c r="F204" s="106">
        <f t="shared" si="36"/>
        <v>4</v>
      </c>
      <c r="G204" s="106">
        <f t="shared" si="37"/>
        <v>0</v>
      </c>
      <c r="H204" s="131">
        <f t="shared" si="33"/>
        <v>0</v>
      </c>
      <c r="I204" s="103"/>
      <c r="J204" s="117"/>
      <c r="K204" s="88"/>
      <c r="L204" s="88"/>
      <c r="M204" s="88"/>
      <c r="N204" s="88"/>
      <c r="O204" s="90"/>
      <c r="P204" s="90"/>
      <c r="Q204" s="90"/>
    </row>
    <row r="205" spans="1:17" ht="15.75" customHeight="1">
      <c r="A205" s="120"/>
      <c r="B205" s="118">
        <f t="shared" si="34"/>
        <v>80</v>
      </c>
      <c r="C205" s="136">
        <f t="shared" si="31"/>
        <v>2.6259999999999999</v>
      </c>
      <c r="D205" s="286">
        <f t="shared" si="32"/>
        <v>0.7</v>
      </c>
      <c r="E205" s="106">
        <f t="shared" si="35"/>
        <v>1.041885</v>
      </c>
      <c r="F205" s="106">
        <f t="shared" si="36"/>
        <v>4</v>
      </c>
      <c r="G205" s="106">
        <f t="shared" si="37"/>
        <v>0</v>
      </c>
      <c r="H205" s="131">
        <f t="shared" si="33"/>
        <v>0</v>
      </c>
      <c r="I205" s="103"/>
      <c r="J205" s="117"/>
      <c r="K205" s="88"/>
      <c r="L205" s="88"/>
      <c r="M205" s="88"/>
      <c r="N205" s="88"/>
      <c r="O205" s="90"/>
      <c r="P205" s="90"/>
      <c r="Q205" s="90"/>
    </row>
    <row r="206" spans="1:17" ht="15.75" customHeight="1">
      <c r="A206" s="120"/>
      <c r="B206" s="118">
        <f t="shared" si="34"/>
        <v>81</v>
      </c>
      <c r="C206" s="136">
        <f t="shared" si="31"/>
        <v>2.7450000000000001</v>
      </c>
      <c r="D206" s="286">
        <f t="shared" si="32"/>
        <v>0.7</v>
      </c>
      <c r="E206" s="106">
        <f t="shared" si="35"/>
        <v>1.041885</v>
      </c>
      <c r="F206" s="106">
        <f t="shared" si="36"/>
        <v>4</v>
      </c>
      <c r="G206" s="106">
        <f t="shared" si="37"/>
        <v>0</v>
      </c>
      <c r="H206" s="131">
        <f t="shared" si="33"/>
        <v>0</v>
      </c>
      <c r="I206" s="103"/>
      <c r="J206" s="117"/>
      <c r="K206" s="88"/>
      <c r="L206" s="88"/>
      <c r="M206" s="88"/>
      <c r="N206" s="88"/>
      <c r="O206" s="90"/>
      <c r="P206" s="90"/>
      <c r="Q206" s="90"/>
    </row>
    <row r="207" spans="1:17" ht="15.75" customHeight="1">
      <c r="A207" s="120"/>
      <c r="B207" s="118">
        <f t="shared" si="34"/>
        <v>82</v>
      </c>
      <c r="C207" s="136">
        <f t="shared" si="31"/>
        <v>2.847</v>
      </c>
      <c r="D207" s="286">
        <f t="shared" si="32"/>
        <v>0.7</v>
      </c>
      <c r="E207" s="106">
        <f t="shared" si="35"/>
        <v>1.041885</v>
      </c>
      <c r="F207" s="106">
        <f t="shared" si="36"/>
        <v>4</v>
      </c>
      <c r="G207" s="106">
        <f t="shared" si="37"/>
        <v>0</v>
      </c>
      <c r="H207" s="131">
        <f t="shared" si="33"/>
        <v>0</v>
      </c>
      <c r="I207" s="103"/>
      <c r="J207" s="117"/>
      <c r="K207" s="88"/>
      <c r="L207" s="88"/>
      <c r="M207" s="88"/>
      <c r="N207" s="88"/>
      <c r="O207" s="90"/>
      <c r="P207" s="90"/>
      <c r="Q207" s="90"/>
    </row>
    <row r="208" spans="1:17" ht="15.75" customHeight="1">
      <c r="A208" s="120"/>
      <c r="B208" s="118">
        <f t="shared" si="34"/>
        <v>83</v>
      </c>
      <c r="C208" s="136">
        <f t="shared" si="31"/>
        <v>2.8319999999999999</v>
      </c>
      <c r="D208" s="286">
        <f t="shared" si="32"/>
        <v>0.7</v>
      </c>
      <c r="E208" s="106">
        <f t="shared" si="35"/>
        <v>1.041885</v>
      </c>
      <c r="F208" s="106">
        <f t="shared" si="36"/>
        <v>4</v>
      </c>
      <c r="G208" s="106">
        <f t="shared" si="37"/>
        <v>0</v>
      </c>
      <c r="H208" s="131">
        <f t="shared" si="33"/>
        <v>0</v>
      </c>
      <c r="I208" s="103"/>
      <c r="J208" s="117"/>
      <c r="K208" s="88"/>
      <c r="L208" s="88"/>
      <c r="M208" s="88"/>
      <c r="N208" s="88"/>
      <c r="O208" s="90"/>
      <c r="P208" s="90"/>
      <c r="Q208" s="90"/>
    </row>
    <row r="209" spans="1:17" ht="15.75" customHeight="1">
      <c r="A209" s="120"/>
      <c r="B209" s="118">
        <f t="shared" si="34"/>
        <v>84</v>
      </c>
      <c r="C209" s="136">
        <f t="shared" si="31"/>
        <v>2.8180000000000001</v>
      </c>
      <c r="D209" s="286">
        <f t="shared" si="32"/>
        <v>0.7</v>
      </c>
      <c r="E209" s="106">
        <f t="shared" si="35"/>
        <v>1.041885</v>
      </c>
      <c r="F209" s="106">
        <f t="shared" si="36"/>
        <v>4</v>
      </c>
      <c r="G209" s="106">
        <f t="shared" si="37"/>
        <v>0</v>
      </c>
      <c r="H209" s="131">
        <f t="shared" si="33"/>
        <v>0</v>
      </c>
      <c r="I209" s="103"/>
      <c r="J209" s="117"/>
      <c r="K209" s="88"/>
      <c r="L209" s="88"/>
      <c r="M209" s="88"/>
      <c r="N209" s="88"/>
      <c r="O209" s="90"/>
      <c r="P209" s="90"/>
      <c r="Q209" s="90"/>
    </row>
    <row r="210" spans="1:17" ht="15.75" customHeight="1">
      <c r="A210" s="120"/>
      <c r="B210" s="118">
        <f t="shared" si="34"/>
        <v>85</v>
      </c>
      <c r="C210" s="136">
        <f t="shared" si="31"/>
        <v>2.6909999999999998</v>
      </c>
      <c r="D210" s="286">
        <f t="shared" si="32"/>
        <v>0.7</v>
      </c>
      <c r="E210" s="106">
        <f t="shared" si="35"/>
        <v>1.041885</v>
      </c>
      <c r="F210" s="106">
        <f t="shared" si="36"/>
        <v>4</v>
      </c>
      <c r="G210" s="106">
        <f t="shared" si="37"/>
        <v>0</v>
      </c>
      <c r="H210" s="131">
        <f t="shared" si="33"/>
        <v>0</v>
      </c>
      <c r="I210" s="103"/>
      <c r="J210" s="117"/>
      <c r="K210" s="88"/>
      <c r="L210" s="88"/>
      <c r="M210" s="88"/>
      <c r="N210" s="88"/>
      <c r="O210" s="90"/>
      <c r="P210" s="90"/>
      <c r="Q210" s="90"/>
    </row>
    <row r="211" spans="1:17" ht="15.75" customHeight="1">
      <c r="A211" s="120"/>
      <c r="B211" s="118">
        <f t="shared" si="34"/>
        <v>86</v>
      </c>
      <c r="C211" s="136">
        <f t="shared" si="31"/>
        <v>2.5819999999999999</v>
      </c>
      <c r="D211" s="286">
        <f t="shared" si="32"/>
        <v>0.7</v>
      </c>
      <c r="E211" s="106">
        <f t="shared" si="35"/>
        <v>1.041885</v>
      </c>
      <c r="F211" s="106">
        <f t="shared" si="36"/>
        <v>4</v>
      </c>
      <c r="G211" s="106">
        <f t="shared" si="37"/>
        <v>0</v>
      </c>
      <c r="H211" s="131">
        <f t="shared" si="33"/>
        <v>0</v>
      </c>
      <c r="I211" s="103"/>
      <c r="J211" s="117"/>
      <c r="K211" s="88"/>
      <c r="L211" s="88"/>
      <c r="M211" s="88"/>
      <c r="N211" s="88"/>
      <c r="O211" s="90"/>
      <c r="P211" s="90"/>
      <c r="Q211" s="90"/>
    </row>
    <row r="212" spans="1:17" ht="15.75" customHeight="1">
      <c r="A212" s="120"/>
      <c r="B212" s="118">
        <f t="shared" si="34"/>
        <v>87</v>
      </c>
      <c r="C212" s="136">
        <f t="shared" si="31"/>
        <v>2.5760000000000001</v>
      </c>
      <c r="D212" s="286">
        <f t="shared" si="32"/>
        <v>0.7</v>
      </c>
      <c r="E212" s="106">
        <f t="shared" si="35"/>
        <v>1.041885</v>
      </c>
      <c r="F212" s="106">
        <f t="shared" si="36"/>
        <v>4</v>
      </c>
      <c r="G212" s="106">
        <f t="shared" si="37"/>
        <v>0</v>
      </c>
      <c r="H212" s="131">
        <f t="shared" si="33"/>
        <v>0</v>
      </c>
      <c r="I212" s="103"/>
      <c r="J212" s="117"/>
      <c r="K212" s="88"/>
      <c r="L212" s="88"/>
      <c r="M212" s="88"/>
      <c r="N212" s="88"/>
      <c r="O212" s="90"/>
      <c r="P212" s="90"/>
      <c r="Q212" s="90"/>
    </row>
    <row r="213" spans="1:17" ht="15.75" customHeight="1">
      <c r="A213" s="120"/>
      <c r="B213" s="118">
        <f t="shared" si="34"/>
        <v>88</v>
      </c>
      <c r="C213" s="136">
        <f t="shared" si="31"/>
        <v>2.5550000000000002</v>
      </c>
      <c r="D213" s="286">
        <f t="shared" si="32"/>
        <v>0.7</v>
      </c>
      <c r="E213" s="106">
        <f t="shared" si="35"/>
        <v>1.041885</v>
      </c>
      <c r="F213" s="106">
        <f t="shared" si="36"/>
        <v>4</v>
      </c>
      <c r="G213" s="106">
        <f t="shared" si="37"/>
        <v>0</v>
      </c>
      <c r="H213" s="131">
        <f t="shared" si="33"/>
        <v>0</v>
      </c>
      <c r="I213" s="103"/>
      <c r="J213" s="117"/>
      <c r="K213" s="88"/>
      <c r="L213" s="88"/>
      <c r="M213" s="88"/>
      <c r="N213" s="88"/>
      <c r="O213" s="90"/>
      <c r="P213" s="90"/>
      <c r="Q213" s="90"/>
    </row>
    <row r="214" spans="1:17" ht="15.75" customHeight="1">
      <c r="A214" s="120"/>
      <c r="B214" s="118">
        <f t="shared" si="34"/>
        <v>89</v>
      </c>
      <c r="C214" s="136">
        <f t="shared" si="31"/>
        <v>2.5289999999999999</v>
      </c>
      <c r="D214" s="286">
        <f t="shared" si="32"/>
        <v>0.7</v>
      </c>
      <c r="E214" s="106">
        <f t="shared" si="35"/>
        <v>1.041885</v>
      </c>
      <c r="F214" s="106">
        <f t="shared" si="36"/>
        <v>4</v>
      </c>
      <c r="G214" s="106">
        <f t="shared" si="37"/>
        <v>0</v>
      </c>
      <c r="H214" s="131">
        <f t="shared" si="33"/>
        <v>0</v>
      </c>
      <c r="I214" s="103"/>
      <c r="J214" s="117"/>
      <c r="K214" s="88"/>
      <c r="L214" s="88"/>
      <c r="M214" s="88"/>
      <c r="N214" s="88"/>
      <c r="O214" s="90"/>
      <c r="P214" s="90"/>
      <c r="Q214" s="90"/>
    </row>
    <row r="215" spans="1:17" ht="15.75" customHeight="1">
      <c r="A215" s="120"/>
      <c r="B215" s="118">
        <f t="shared" si="34"/>
        <v>90</v>
      </c>
      <c r="C215" s="136">
        <f t="shared" si="31"/>
        <v>2.5019999999999998</v>
      </c>
      <c r="D215" s="286">
        <f t="shared" si="32"/>
        <v>0.7</v>
      </c>
      <c r="E215" s="106">
        <f t="shared" si="35"/>
        <v>1.041885</v>
      </c>
      <c r="F215" s="106">
        <f t="shared" si="36"/>
        <v>4</v>
      </c>
      <c r="G215" s="106">
        <f t="shared" si="37"/>
        <v>0</v>
      </c>
      <c r="H215" s="131">
        <f t="shared" si="33"/>
        <v>0</v>
      </c>
      <c r="I215" s="103"/>
      <c r="J215" s="117"/>
      <c r="K215" s="88"/>
      <c r="L215" s="88"/>
      <c r="M215" s="88"/>
      <c r="N215" s="88"/>
      <c r="O215" s="90"/>
      <c r="P215" s="90"/>
      <c r="Q215" s="90"/>
    </row>
    <row r="216" spans="1:17" ht="15.75" customHeight="1">
      <c r="A216" s="120"/>
      <c r="B216" s="118">
        <f t="shared" si="34"/>
        <v>91</v>
      </c>
      <c r="C216" s="136">
        <f t="shared" si="31"/>
        <v>2.476</v>
      </c>
      <c r="D216" s="286">
        <f t="shared" si="32"/>
        <v>0.7</v>
      </c>
      <c r="E216" s="106">
        <f t="shared" si="35"/>
        <v>1.041885</v>
      </c>
      <c r="F216" s="106">
        <f t="shared" si="36"/>
        <v>4</v>
      </c>
      <c r="G216" s="106">
        <f t="shared" si="37"/>
        <v>0</v>
      </c>
      <c r="H216" s="131">
        <f t="shared" si="33"/>
        <v>0</v>
      </c>
      <c r="I216" s="103"/>
      <c r="J216" s="117"/>
      <c r="K216" s="88"/>
      <c r="L216" s="88"/>
      <c r="M216" s="88"/>
      <c r="N216" s="88"/>
      <c r="O216" s="90"/>
      <c r="P216" s="90"/>
      <c r="Q216" s="90"/>
    </row>
    <row r="217" spans="1:17" ht="15.75" customHeight="1">
      <c r="A217" s="120"/>
      <c r="B217" s="118">
        <f t="shared" si="34"/>
        <v>92</v>
      </c>
      <c r="C217" s="136">
        <f t="shared" si="31"/>
        <v>2.4169999999999998</v>
      </c>
      <c r="D217" s="286">
        <f t="shared" si="32"/>
        <v>0.7</v>
      </c>
      <c r="E217" s="106">
        <f t="shared" si="35"/>
        <v>1.041885</v>
      </c>
      <c r="F217" s="106">
        <f t="shared" si="36"/>
        <v>4</v>
      </c>
      <c r="G217" s="106">
        <f t="shared" si="37"/>
        <v>0</v>
      </c>
      <c r="H217" s="131">
        <f t="shared" si="33"/>
        <v>0</v>
      </c>
      <c r="I217" s="103"/>
      <c r="J217" s="117"/>
      <c r="K217" s="88"/>
      <c r="L217" s="88"/>
      <c r="M217" s="88"/>
      <c r="N217" s="88"/>
      <c r="O217" s="90"/>
      <c r="P217" s="90"/>
      <c r="Q217" s="90"/>
    </row>
    <row r="218" spans="1:17" ht="15.75" customHeight="1">
      <c r="A218" s="120"/>
      <c r="B218" s="118">
        <f t="shared" si="34"/>
        <v>93</v>
      </c>
      <c r="C218" s="136">
        <f t="shared" si="31"/>
        <v>2.5419999999999998</v>
      </c>
      <c r="D218" s="286">
        <f t="shared" si="32"/>
        <v>0.7</v>
      </c>
      <c r="E218" s="106">
        <f t="shared" si="35"/>
        <v>1.041885</v>
      </c>
      <c r="F218" s="106">
        <f t="shared" si="36"/>
        <v>4</v>
      </c>
      <c r="G218" s="106">
        <f t="shared" si="37"/>
        <v>0</v>
      </c>
      <c r="H218" s="131">
        <f t="shared" si="33"/>
        <v>0</v>
      </c>
      <c r="I218" s="103"/>
      <c r="J218" s="117"/>
      <c r="K218" s="88"/>
      <c r="L218" s="88"/>
      <c r="M218" s="88"/>
      <c r="N218" s="88"/>
      <c r="O218" s="90"/>
      <c r="P218" s="90"/>
      <c r="Q218" s="90"/>
    </row>
    <row r="219" spans="1:17" ht="15.75" customHeight="1">
      <c r="A219" s="120"/>
      <c r="B219" s="118">
        <f t="shared" si="34"/>
        <v>94</v>
      </c>
      <c r="C219" s="136">
        <f t="shared" si="31"/>
        <v>2.585</v>
      </c>
      <c r="D219" s="286">
        <f t="shared" si="32"/>
        <v>0.7</v>
      </c>
      <c r="E219" s="106">
        <f t="shared" si="35"/>
        <v>1.041885</v>
      </c>
      <c r="F219" s="106">
        <f t="shared" si="36"/>
        <v>4</v>
      </c>
      <c r="G219" s="106">
        <f t="shared" si="37"/>
        <v>0</v>
      </c>
      <c r="H219" s="131">
        <f t="shared" si="33"/>
        <v>0</v>
      </c>
      <c r="I219" s="103"/>
      <c r="J219" s="117"/>
      <c r="K219" s="88"/>
      <c r="L219" s="88"/>
      <c r="M219" s="88"/>
      <c r="N219" s="88"/>
      <c r="O219" s="90"/>
      <c r="P219" s="90"/>
      <c r="Q219" s="90"/>
    </row>
    <row r="220" spans="1:17" ht="15.75" customHeight="1">
      <c r="A220" s="120"/>
      <c r="B220" s="118">
        <f t="shared" si="34"/>
        <v>95</v>
      </c>
      <c r="C220" s="136">
        <f t="shared" si="31"/>
        <v>2.5779999999999998</v>
      </c>
      <c r="D220" s="286">
        <f t="shared" si="32"/>
        <v>0.7</v>
      </c>
      <c r="E220" s="106">
        <f t="shared" si="35"/>
        <v>1.041885</v>
      </c>
      <c r="F220" s="106">
        <f t="shared" si="36"/>
        <v>4</v>
      </c>
      <c r="G220" s="106">
        <f t="shared" si="37"/>
        <v>0</v>
      </c>
      <c r="H220" s="131">
        <f t="shared" si="33"/>
        <v>0</v>
      </c>
      <c r="I220" s="103"/>
      <c r="J220" s="117"/>
      <c r="K220" s="88"/>
      <c r="L220" s="88"/>
      <c r="M220" s="88"/>
      <c r="N220" s="88"/>
      <c r="O220" s="90"/>
      <c r="P220" s="90"/>
      <c r="Q220" s="90"/>
    </row>
    <row r="221" spans="1:17" ht="15.75" customHeight="1">
      <c r="A221" s="120"/>
      <c r="B221" s="118">
        <f t="shared" si="34"/>
        <v>96</v>
      </c>
      <c r="C221" s="136">
        <f t="shared" si="31"/>
        <v>2.5710000000000002</v>
      </c>
      <c r="D221" s="286">
        <f t="shared" si="32"/>
        <v>0.7</v>
      </c>
      <c r="E221" s="106">
        <f t="shared" si="35"/>
        <v>1.041885</v>
      </c>
      <c r="F221" s="106">
        <f t="shared" si="36"/>
        <v>4</v>
      </c>
      <c r="G221" s="106">
        <f t="shared" si="37"/>
        <v>0</v>
      </c>
      <c r="H221" s="131">
        <f t="shared" si="33"/>
        <v>0</v>
      </c>
      <c r="I221" s="103"/>
      <c r="J221" s="117"/>
      <c r="K221" s="88"/>
      <c r="L221" s="88"/>
      <c r="M221" s="88"/>
      <c r="N221" s="88"/>
      <c r="O221" s="90"/>
      <c r="P221" s="90"/>
      <c r="Q221" s="90"/>
    </row>
    <row r="222" spans="1:17" ht="15.75" customHeight="1">
      <c r="A222" s="120"/>
      <c r="B222" s="118">
        <f t="shared" si="34"/>
        <v>97</v>
      </c>
      <c r="C222" s="136">
        <f t="shared" ref="C222:C223" si="38">E119</f>
        <v>2.3919999999999999</v>
      </c>
      <c r="D222" s="286">
        <f t="shared" si="32"/>
        <v>0.7</v>
      </c>
      <c r="E222" s="106">
        <f t="shared" si="35"/>
        <v>1.041885</v>
      </c>
      <c r="F222" s="106">
        <f t="shared" si="36"/>
        <v>4</v>
      </c>
      <c r="G222" s="106">
        <f t="shared" si="37"/>
        <v>0</v>
      </c>
      <c r="H222" s="131">
        <f t="shared" ref="H222:H223" si="39">(C222+D222)*E222*F222*G222</f>
        <v>0</v>
      </c>
      <c r="I222" s="103"/>
      <c r="J222" s="117"/>
      <c r="K222" s="88"/>
      <c r="L222" s="88"/>
      <c r="M222" s="88"/>
      <c r="N222" s="88"/>
      <c r="O222" s="90"/>
      <c r="P222" s="90"/>
      <c r="Q222" s="90"/>
    </row>
    <row r="223" spans="1:17" ht="15.75" customHeight="1">
      <c r="A223" s="120"/>
      <c r="B223" s="118">
        <f t="shared" si="34"/>
        <v>98</v>
      </c>
      <c r="C223" s="136">
        <f t="shared" si="38"/>
        <v>2.2690000000000001</v>
      </c>
      <c r="D223" s="286">
        <f t="shared" si="32"/>
        <v>0.7</v>
      </c>
      <c r="E223" s="106">
        <f t="shared" si="35"/>
        <v>1.041885</v>
      </c>
      <c r="F223" s="106">
        <f t="shared" si="36"/>
        <v>4</v>
      </c>
      <c r="G223" s="106">
        <f t="shared" si="37"/>
        <v>0</v>
      </c>
      <c r="H223" s="131">
        <f t="shared" si="39"/>
        <v>0</v>
      </c>
      <c r="I223" s="103"/>
      <c r="J223" s="117"/>
      <c r="K223" s="88"/>
      <c r="L223" s="88"/>
      <c r="M223" s="88"/>
      <c r="N223" s="88"/>
      <c r="O223" s="90"/>
      <c r="P223" s="90"/>
      <c r="Q223" s="90"/>
    </row>
    <row r="224" spans="1:17" ht="15.75" customHeight="1">
      <c r="A224" s="120"/>
      <c r="B224" s="118"/>
      <c r="C224" s="107"/>
      <c r="D224" s="107"/>
      <c r="E224" s="106"/>
      <c r="F224" s="106"/>
      <c r="G224" s="106"/>
      <c r="H224" s="130">
        <f>ROUNDUP((SUM(H126:H223)),5)</f>
        <v>2115.4433100000001</v>
      </c>
      <c r="I224" s="116" t="s">
        <v>100</v>
      </c>
      <c r="J224" s="117">
        <f>ROUND((H224),2)</f>
        <v>2115.44</v>
      </c>
      <c r="K224" s="88"/>
      <c r="L224" s="88"/>
      <c r="M224" s="88"/>
      <c r="N224" s="88"/>
      <c r="O224" s="90"/>
      <c r="P224" s="90"/>
      <c r="Q224" s="90"/>
    </row>
    <row r="225" spans="1:17" ht="15.75" customHeight="1">
      <c r="A225" s="120" t="s">
        <v>101</v>
      </c>
      <c r="B225" s="118" t="s">
        <v>118</v>
      </c>
      <c r="C225" s="107"/>
      <c r="D225" s="107"/>
      <c r="E225" s="124" t="s">
        <v>120</v>
      </c>
      <c r="F225" s="106"/>
      <c r="G225" s="106"/>
      <c r="H225" s="102"/>
      <c r="I225" s="103"/>
      <c r="J225" s="117"/>
      <c r="K225" s="88"/>
      <c r="L225" s="88"/>
      <c r="M225" s="88"/>
      <c r="N225" s="88"/>
      <c r="O225" s="90"/>
      <c r="P225" s="90"/>
      <c r="Q225" s="90"/>
    </row>
    <row r="226" spans="1:17" ht="15.75" customHeight="1">
      <c r="A226" s="120"/>
      <c r="B226" s="135">
        <v>1</v>
      </c>
      <c r="C226" s="123">
        <f>(0.09*4)+0.05</f>
        <v>0.41</v>
      </c>
      <c r="D226" s="106">
        <f>6*6*0.006165</f>
        <v>0.22194000000000003</v>
      </c>
      <c r="E226" s="106"/>
      <c r="F226" s="131">
        <f>ROUNDUP(E23/0.15,0.5)</f>
        <v>27</v>
      </c>
      <c r="G226" s="106">
        <f>G126</f>
        <v>108</v>
      </c>
      <c r="H226" s="106">
        <f t="shared" ref="H226:H257" si="40">C226*D226*(E226+F226)*G226</f>
        <v>265.34258640000002</v>
      </c>
      <c r="I226" s="103"/>
      <c r="J226" s="117"/>
      <c r="K226" s="88"/>
      <c r="L226" s="88"/>
      <c r="M226" s="88"/>
      <c r="N226" s="88"/>
      <c r="O226" s="90"/>
      <c r="P226" s="90"/>
      <c r="Q226" s="90"/>
    </row>
    <row r="227" spans="1:17" ht="15.75" customHeight="1">
      <c r="A227" s="120"/>
      <c r="B227" s="135">
        <f t="shared" ref="B227:B258" si="41">B226+1</f>
        <v>2</v>
      </c>
      <c r="C227" s="123">
        <f t="shared" ref="C227:C258" si="42">C226</f>
        <v>0.41</v>
      </c>
      <c r="D227" s="106">
        <f t="shared" ref="D227:D258" si="43">D226</f>
        <v>0.22194000000000003</v>
      </c>
      <c r="E227" s="106"/>
      <c r="F227" s="131">
        <f t="shared" ref="F227:F258" si="44">ROUNDUP(E24/0.125,0.5)</f>
        <v>34</v>
      </c>
      <c r="G227" s="106">
        <v>0</v>
      </c>
      <c r="H227" s="107">
        <f t="shared" si="40"/>
        <v>0</v>
      </c>
      <c r="I227" s="103"/>
      <c r="J227" s="117"/>
      <c r="K227" s="88"/>
      <c r="L227" s="88"/>
      <c r="M227" s="88"/>
      <c r="N227" s="88"/>
      <c r="O227" s="90"/>
      <c r="P227" s="90"/>
      <c r="Q227" s="90"/>
    </row>
    <row r="228" spans="1:17" ht="15.75" customHeight="1">
      <c r="A228" s="120"/>
      <c r="B228" s="135">
        <f t="shared" si="41"/>
        <v>3</v>
      </c>
      <c r="C228" s="123">
        <f t="shared" si="42"/>
        <v>0.41</v>
      </c>
      <c r="D228" s="106">
        <f t="shared" si="43"/>
        <v>0.22194000000000003</v>
      </c>
      <c r="E228" s="106"/>
      <c r="F228" s="131">
        <f t="shared" si="44"/>
        <v>33</v>
      </c>
      <c r="G228" s="106">
        <f t="shared" ref="G228:G259" si="45">G227</f>
        <v>0</v>
      </c>
      <c r="H228" s="106">
        <f t="shared" si="40"/>
        <v>0</v>
      </c>
      <c r="I228" s="103"/>
      <c r="J228" s="117"/>
      <c r="K228" s="88"/>
      <c r="L228" s="88"/>
      <c r="M228" s="88"/>
      <c r="N228" s="88"/>
      <c r="O228" s="90"/>
      <c r="P228" s="90"/>
      <c r="Q228" s="90"/>
    </row>
    <row r="229" spans="1:17" ht="15.75" customHeight="1">
      <c r="A229" s="120"/>
      <c r="B229" s="135">
        <f t="shared" si="41"/>
        <v>4</v>
      </c>
      <c r="C229" s="123">
        <f t="shared" si="42"/>
        <v>0.41</v>
      </c>
      <c r="D229" s="106">
        <f t="shared" si="43"/>
        <v>0.22194000000000003</v>
      </c>
      <c r="E229" s="106"/>
      <c r="F229" s="131">
        <f t="shared" si="44"/>
        <v>33</v>
      </c>
      <c r="G229" s="106">
        <f t="shared" si="45"/>
        <v>0</v>
      </c>
      <c r="H229" s="106">
        <f t="shared" si="40"/>
        <v>0</v>
      </c>
      <c r="I229" s="103"/>
      <c r="J229" s="117"/>
      <c r="K229" s="88"/>
      <c r="L229" s="88"/>
      <c r="M229" s="88"/>
      <c r="N229" s="88"/>
      <c r="O229" s="90"/>
      <c r="P229" s="90"/>
      <c r="Q229" s="90"/>
    </row>
    <row r="230" spans="1:17" ht="15.75" customHeight="1">
      <c r="A230" s="120"/>
      <c r="B230" s="135">
        <f t="shared" si="41"/>
        <v>5</v>
      </c>
      <c r="C230" s="123">
        <f t="shared" si="42"/>
        <v>0.41</v>
      </c>
      <c r="D230" s="106">
        <f t="shared" si="43"/>
        <v>0.22194000000000003</v>
      </c>
      <c r="E230" s="106"/>
      <c r="F230" s="131">
        <f t="shared" si="44"/>
        <v>32</v>
      </c>
      <c r="G230" s="106">
        <f t="shared" si="45"/>
        <v>0</v>
      </c>
      <c r="H230" s="106">
        <f t="shared" si="40"/>
        <v>0</v>
      </c>
      <c r="I230" s="103"/>
      <c r="J230" s="117"/>
      <c r="K230" s="88"/>
      <c r="L230" s="88"/>
      <c r="M230" s="88"/>
      <c r="N230" s="88"/>
      <c r="O230" s="90"/>
      <c r="P230" s="90"/>
      <c r="Q230" s="90"/>
    </row>
    <row r="231" spans="1:17" ht="15.75" customHeight="1">
      <c r="A231" s="120"/>
      <c r="B231" s="135">
        <f t="shared" si="41"/>
        <v>6</v>
      </c>
      <c r="C231" s="123">
        <f t="shared" si="42"/>
        <v>0.41</v>
      </c>
      <c r="D231" s="106">
        <f t="shared" si="43"/>
        <v>0.22194000000000003</v>
      </c>
      <c r="E231" s="106"/>
      <c r="F231" s="131">
        <f t="shared" si="44"/>
        <v>31</v>
      </c>
      <c r="G231" s="106">
        <f t="shared" si="45"/>
        <v>0</v>
      </c>
      <c r="H231" s="106">
        <f t="shared" si="40"/>
        <v>0</v>
      </c>
      <c r="I231" s="103"/>
      <c r="J231" s="117"/>
      <c r="K231" s="88"/>
      <c r="L231" s="88"/>
      <c r="M231" s="88"/>
      <c r="N231" s="88"/>
      <c r="O231" s="90"/>
      <c r="P231" s="90"/>
      <c r="Q231" s="90"/>
    </row>
    <row r="232" spans="1:17" ht="15.75" customHeight="1">
      <c r="A232" s="120"/>
      <c r="B232" s="135">
        <f t="shared" si="41"/>
        <v>7</v>
      </c>
      <c r="C232" s="123">
        <f t="shared" si="42"/>
        <v>0.41</v>
      </c>
      <c r="D232" s="106">
        <f t="shared" si="43"/>
        <v>0.22194000000000003</v>
      </c>
      <c r="E232" s="106"/>
      <c r="F232" s="131">
        <f t="shared" si="44"/>
        <v>30</v>
      </c>
      <c r="G232" s="106">
        <f t="shared" si="45"/>
        <v>0</v>
      </c>
      <c r="H232" s="106">
        <f t="shared" si="40"/>
        <v>0</v>
      </c>
      <c r="I232" s="103"/>
      <c r="J232" s="117"/>
      <c r="K232" s="88"/>
      <c r="L232" s="88"/>
      <c r="M232" s="88"/>
      <c r="N232" s="88"/>
      <c r="O232" s="90"/>
      <c r="P232" s="90"/>
      <c r="Q232" s="90"/>
    </row>
    <row r="233" spans="1:17" ht="15.75" customHeight="1">
      <c r="A233" s="120"/>
      <c r="B233" s="135">
        <f t="shared" si="41"/>
        <v>8</v>
      </c>
      <c r="C233" s="123">
        <f t="shared" si="42"/>
        <v>0.41</v>
      </c>
      <c r="D233" s="106">
        <f t="shared" si="43"/>
        <v>0.22194000000000003</v>
      </c>
      <c r="E233" s="106"/>
      <c r="F233" s="131">
        <f t="shared" si="44"/>
        <v>30</v>
      </c>
      <c r="G233" s="106">
        <f t="shared" si="45"/>
        <v>0</v>
      </c>
      <c r="H233" s="106">
        <f t="shared" si="40"/>
        <v>0</v>
      </c>
      <c r="I233" s="103"/>
      <c r="J233" s="117"/>
      <c r="K233" s="88"/>
      <c r="L233" s="88"/>
      <c r="M233" s="88"/>
      <c r="N233" s="88"/>
      <c r="O233" s="90"/>
      <c r="P233" s="90"/>
      <c r="Q233" s="90"/>
    </row>
    <row r="234" spans="1:17" ht="15.75" customHeight="1">
      <c r="A234" s="120"/>
      <c r="B234" s="135">
        <f t="shared" si="41"/>
        <v>9</v>
      </c>
      <c r="C234" s="123">
        <f t="shared" si="42"/>
        <v>0.41</v>
      </c>
      <c r="D234" s="106">
        <f t="shared" si="43"/>
        <v>0.22194000000000003</v>
      </c>
      <c r="E234" s="106"/>
      <c r="F234" s="131">
        <f t="shared" si="44"/>
        <v>29</v>
      </c>
      <c r="G234" s="106">
        <f t="shared" si="45"/>
        <v>0</v>
      </c>
      <c r="H234" s="106">
        <f t="shared" si="40"/>
        <v>0</v>
      </c>
      <c r="I234" s="103"/>
      <c r="J234" s="117"/>
      <c r="K234" s="88"/>
      <c r="L234" s="88"/>
      <c r="M234" s="88"/>
      <c r="N234" s="88"/>
      <c r="O234" s="90"/>
      <c r="P234" s="90"/>
      <c r="Q234" s="90"/>
    </row>
    <row r="235" spans="1:17" ht="15.75" customHeight="1">
      <c r="A235" s="120"/>
      <c r="B235" s="135">
        <f t="shared" si="41"/>
        <v>10</v>
      </c>
      <c r="C235" s="123">
        <f t="shared" si="42"/>
        <v>0.41</v>
      </c>
      <c r="D235" s="106">
        <f t="shared" si="43"/>
        <v>0.22194000000000003</v>
      </c>
      <c r="E235" s="106"/>
      <c r="F235" s="131">
        <f t="shared" si="44"/>
        <v>29</v>
      </c>
      <c r="G235" s="106">
        <f t="shared" si="45"/>
        <v>0</v>
      </c>
      <c r="H235" s="106">
        <f t="shared" si="40"/>
        <v>0</v>
      </c>
      <c r="I235" s="103"/>
      <c r="J235" s="117"/>
      <c r="K235" s="88"/>
      <c r="L235" s="88"/>
      <c r="M235" s="88"/>
      <c r="N235" s="88"/>
      <c r="O235" s="90"/>
      <c r="P235" s="90"/>
      <c r="Q235" s="90"/>
    </row>
    <row r="236" spans="1:17" ht="15.75" customHeight="1">
      <c r="A236" s="120"/>
      <c r="B236" s="135">
        <f t="shared" si="41"/>
        <v>11</v>
      </c>
      <c r="C236" s="123">
        <f t="shared" si="42"/>
        <v>0.41</v>
      </c>
      <c r="D236" s="106">
        <f t="shared" si="43"/>
        <v>0.22194000000000003</v>
      </c>
      <c r="E236" s="106"/>
      <c r="F236" s="131">
        <f t="shared" si="44"/>
        <v>28</v>
      </c>
      <c r="G236" s="106">
        <f t="shared" si="45"/>
        <v>0</v>
      </c>
      <c r="H236" s="106">
        <f t="shared" si="40"/>
        <v>0</v>
      </c>
      <c r="I236" s="103"/>
      <c r="J236" s="117"/>
      <c r="K236" s="88"/>
      <c r="L236" s="88"/>
      <c r="M236" s="88"/>
      <c r="N236" s="88"/>
      <c r="O236" s="90"/>
      <c r="P236" s="90"/>
      <c r="Q236" s="90"/>
    </row>
    <row r="237" spans="1:17" ht="15.75" customHeight="1">
      <c r="A237" s="120"/>
      <c r="B237" s="135">
        <f t="shared" si="41"/>
        <v>12</v>
      </c>
      <c r="C237" s="123">
        <f t="shared" si="42"/>
        <v>0.41</v>
      </c>
      <c r="D237" s="106">
        <f t="shared" si="43"/>
        <v>0.22194000000000003</v>
      </c>
      <c r="E237" s="106"/>
      <c r="F237" s="131">
        <f t="shared" si="44"/>
        <v>28</v>
      </c>
      <c r="G237" s="106">
        <f t="shared" si="45"/>
        <v>0</v>
      </c>
      <c r="H237" s="106">
        <f t="shared" si="40"/>
        <v>0</v>
      </c>
      <c r="I237" s="103"/>
      <c r="J237" s="117"/>
      <c r="K237" s="88"/>
      <c r="L237" s="88"/>
      <c r="M237" s="88"/>
      <c r="N237" s="88"/>
      <c r="O237" s="90"/>
      <c r="P237" s="90"/>
      <c r="Q237" s="90"/>
    </row>
    <row r="238" spans="1:17" ht="15.75" customHeight="1">
      <c r="A238" s="120"/>
      <c r="B238" s="135">
        <f t="shared" si="41"/>
        <v>13</v>
      </c>
      <c r="C238" s="123">
        <f t="shared" si="42"/>
        <v>0.41</v>
      </c>
      <c r="D238" s="106">
        <f t="shared" si="43"/>
        <v>0.22194000000000003</v>
      </c>
      <c r="E238" s="106"/>
      <c r="F238" s="131">
        <f t="shared" si="44"/>
        <v>28</v>
      </c>
      <c r="G238" s="106">
        <f t="shared" si="45"/>
        <v>0</v>
      </c>
      <c r="H238" s="106">
        <f t="shared" si="40"/>
        <v>0</v>
      </c>
      <c r="I238" s="103"/>
      <c r="J238" s="117"/>
      <c r="K238" s="88"/>
      <c r="L238" s="88"/>
      <c r="M238" s="88"/>
      <c r="N238" s="88"/>
      <c r="O238" s="90"/>
      <c r="P238" s="90"/>
      <c r="Q238" s="90"/>
    </row>
    <row r="239" spans="1:17" ht="15.75" customHeight="1">
      <c r="A239" s="120"/>
      <c r="B239" s="135">
        <f t="shared" si="41"/>
        <v>14</v>
      </c>
      <c r="C239" s="123">
        <f t="shared" si="42"/>
        <v>0.41</v>
      </c>
      <c r="D239" s="106">
        <f t="shared" si="43"/>
        <v>0.22194000000000003</v>
      </c>
      <c r="E239" s="106"/>
      <c r="F239" s="131">
        <f t="shared" si="44"/>
        <v>28</v>
      </c>
      <c r="G239" s="106">
        <f t="shared" si="45"/>
        <v>0</v>
      </c>
      <c r="H239" s="106">
        <f t="shared" si="40"/>
        <v>0</v>
      </c>
      <c r="I239" s="103"/>
      <c r="J239" s="117"/>
      <c r="K239" s="88"/>
      <c r="L239" s="88"/>
      <c r="M239" s="88"/>
      <c r="N239" s="88"/>
      <c r="O239" s="90"/>
      <c r="P239" s="90"/>
      <c r="Q239" s="90"/>
    </row>
    <row r="240" spans="1:17" ht="15.75" customHeight="1">
      <c r="A240" s="120"/>
      <c r="B240" s="135">
        <f t="shared" si="41"/>
        <v>15</v>
      </c>
      <c r="C240" s="123">
        <f t="shared" si="42"/>
        <v>0.41</v>
      </c>
      <c r="D240" s="106">
        <f t="shared" si="43"/>
        <v>0.22194000000000003</v>
      </c>
      <c r="E240" s="106"/>
      <c r="F240" s="131">
        <f t="shared" si="44"/>
        <v>28</v>
      </c>
      <c r="G240" s="106">
        <f t="shared" si="45"/>
        <v>0</v>
      </c>
      <c r="H240" s="106">
        <f t="shared" si="40"/>
        <v>0</v>
      </c>
      <c r="I240" s="103"/>
      <c r="J240" s="117"/>
      <c r="K240" s="88"/>
      <c r="L240" s="88"/>
      <c r="M240" s="88"/>
      <c r="N240" s="88"/>
      <c r="O240" s="90"/>
      <c r="P240" s="90"/>
      <c r="Q240" s="90"/>
    </row>
    <row r="241" spans="1:17" ht="15.75" customHeight="1">
      <c r="A241" s="120"/>
      <c r="B241" s="135">
        <f t="shared" si="41"/>
        <v>16</v>
      </c>
      <c r="C241" s="123">
        <f t="shared" si="42"/>
        <v>0.41</v>
      </c>
      <c r="D241" s="106">
        <f t="shared" si="43"/>
        <v>0.22194000000000003</v>
      </c>
      <c r="E241" s="106"/>
      <c r="F241" s="131">
        <f t="shared" si="44"/>
        <v>28</v>
      </c>
      <c r="G241" s="106">
        <f t="shared" si="45"/>
        <v>0</v>
      </c>
      <c r="H241" s="106">
        <f t="shared" si="40"/>
        <v>0</v>
      </c>
      <c r="I241" s="103"/>
      <c r="J241" s="117"/>
      <c r="K241" s="88"/>
      <c r="L241" s="88"/>
      <c r="M241" s="88"/>
      <c r="N241" s="88"/>
      <c r="O241" s="90"/>
      <c r="P241" s="90"/>
      <c r="Q241" s="90"/>
    </row>
    <row r="242" spans="1:17" ht="15.75" customHeight="1">
      <c r="A242" s="120"/>
      <c r="B242" s="135">
        <f t="shared" si="41"/>
        <v>17</v>
      </c>
      <c r="C242" s="123">
        <f t="shared" si="42"/>
        <v>0.41</v>
      </c>
      <c r="D242" s="106">
        <f t="shared" si="43"/>
        <v>0.22194000000000003</v>
      </c>
      <c r="E242" s="106"/>
      <c r="F242" s="131">
        <f t="shared" si="44"/>
        <v>28</v>
      </c>
      <c r="G242" s="106">
        <f t="shared" si="45"/>
        <v>0</v>
      </c>
      <c r="H242" s="106">
        <f t="shared" si="40"/>
        <v>0</v>
      </c>
      <c r="I242" s="103"/>
      <c r="J242" s="117"/>
      <c r="K242" s="88"/>
      <c r="L242" s="88"/>
      <c r="M242" s="88"/>
      <c r="N242" s="88"/>
      <c r="O242" s="90"/>
      <c r="P242" s="90"/>
      <c r="Q242" s="90"/>
    </row>
    <row r="243" spans="1:17" ht="15.75" customHeight="1">
      <c r="A243" s="120"/>
      <c r="B243" s="118">
        <f t="shared" si="41"/>
        <v>18</v>
      </c>
      <c r="C243" s="123">
        <f t="shared" si="42"/>
        <v>0.41</v>
      </c>
      <c r="D243" s="106">
        <f t="shared" si="43"/>
        <v>0.22194000000000003</v>
      </c>
      <c r="E243" s="106"/>
      <c r="F243" s="131">
        <f t="shared" si="44"/>
        <v>28</v>
      </c>
      <c r="G243" s="106">
        <f t="shared" si="45"/>
        <v>0</v>
      </c>
      <c r="H243" s="106">
        <f t="shared" si="40"/>
        <v>0</v>
      </c>
      <c r="I243" s="103"/>
      <c r="J243" s="117"/>
      <c r="K243" s="88"/>
      <c r="L243" s="88"/>
      <c r="M243" s="88"/>
      <c r="N243" s="88"/>
      <c r="O243" s="90"/>
      <c r="P243" s="90"/>
      <c r="Q243" s="90"/>
    </row>
    <row r="244" spans="1:17" ht="15.75" customHeight="1">
      <c r="A244" s="120"/>
      <c r="B244" s="118">
        <f t="shared" si="41"/>
        <v>19</v>
      </c>
      <c r="C244" s="123">
        <f t="shared" si="42"/>
        <v>0.41</v>
      </c>
      <c r="D244" s="106">
        <f t="shared" si="43"/>
        <v>0.22194000000000003</v>
      </c>
      <c r="E244" s="106"/>
      <c r="F244" s="131">
        <f t="shared" si="44"/>
        <v>28</v>
      </c>
      <c r="G244" s="106">
        <f t="shared" si="45"/>
        <v>0</v>
      </c>
      <c r="H244" s="106">
        <f t="shared" si="40"/>
        <v>0</v>
      </c>
      <c r="I244" s="103"/>
      <c r="J244" s="117"/>
      <c r="K244" s="88"/>
      <c r="L244" s="88"/>
      <c r="M244" s="88"/>
      <c r="N244" s="88"/>
      <c r="O244" s="90"/>
      <c r="P244" s="90"/>
      <c r="Q244" s="90"/>
    </row>
    <row r="245" spans="1:17" ht="15.75" customHeight="1">
      <c r="A245" s="120"/>
      <c r="B245" s="118">
        <f t="shared" si="41"/>
        <v>20</v>
      </c>
      <c r="C245" s="123">
        <f t="shared" si="42"/>
        <v>0.41</v>
      </c>
      <c r="D245" s="106">
        <f t="shared" si="43"/>
        <v>0.22194000000000003</v>
      </c>
      <c r="E245" s="106"/>
      <c r="F245" s="131">
        <f t="shared" si="44"/>
        <v>28</v>
      </c>
      <c r="G245" s="106">
        <f t="shared" si="45"/>
        <v>0</v>
      </c>
      <c r="H245" s="106">
        <f t="shared" si="40"/>
        <v>0</v>
      </c>
      <c r="I245" s="103"/>
      <c r="J245" s="117"/>
      <c r="K245" s="88"/>
      <c r="L245" s="88"/>
      <c r="M245" s="88"/>
      <c r="N245" s="88"/>
      <c r="O245" s="90"/>
      <c r="P245" s="90"/>
      <c r="Q245" s="90"/>
    </row>
    <row r="246" spans="1:17" ht="15.75" customHeight="1">
      <c r="A246" s="120"/>
      <c r="B246" s="118">
        <f t="shared" si="41"/>
        <v>21</v>
      </c>
      <c r="C246" s="123">
        <f t="shared" si="42"/>
        <v>0.41</v>
      </c>
      <c r="D246" s="106">
        <f t="shared" si="43"/>
        <v>0.22194000000000003</v>
      </c>
      <c r="E246" s="106"/>
      <c r="F246" s="131">
        <f t="shared" si="44"/>
        <v>27</v>
      </c>
      <c r="G246" s="106">
        <f t="shared" si="45"/>
        <v>0</v>
      </c>
      <c r="H246" s="106">
        <f t="shared" si="40"/>
        <v>0</v>
      </c>
      <c r="I246" s="103"/>
      <c r="J246" s="117"/>
      <c r="K246" s="88"/>
      <c r="L246" s="88"/>
      <c r="M246" s="88"/>
      <c r="N246" s="88"/>
      <c r="O246" s="90"/>
      <c r="P246" s="90"/>
      <c r="Q246" s="90"/>
    </row>
    <row r="247" spans="1:17" ht="15.75" customHeight="1">
      <c r="A247" s="120"/>
      <c r="B247" s="118">
        <f t="shared" si="41"/>
        <v>22</v>
      </c>
      <c r="C247" s="123">
        <f t="shared" si="42"/>
        <v>0.41</v>
      </c>
      <c r="D247" s="106">
        <f t="shared" si="43"/>
        <v>0.22194000000000003</v>
      </c>
      <c r="E247" s="106"/>
      <c r="F247" s="131">
        <f t="shared" si="44"/>
        <v>27</v>
      </c>
      <c r="G247" s="106">
        <f t="shared" si="45"/>
        <v>0</v>
      </c>
      <c r="H247" s="106">
        <f t="shared" si="40"/>
        <v>0</v>
      </c>
      <c r="I247" s="103"/>
      <c r="J247" s="117"/>
      <c r="K247" s="88"/>
      <c r="L247" s="88"/>
      <c r="M247" s="88"/>
      <c r="N247" s="88"/>
      <c r="O247" s="90"/>
      <c r="P247" s="90"/>
      <c r="Q247" s="90"/>
    </row>
    <row r="248" spans="1:17" ht="15.75" customHeight="1">
      <c r="A248" s="120"/>
      <c r="B248" s="118">
        <f t="shared" si="41"/>
        <v>23</v>
      </c>
      <c r="C248" s="123">
        <f t="shared" si="42"/>
        <v>0.41</v>
      </c>
      <c r="D248" s="106">
        <f t="shared" si="43"/>
        <v>0.22194000000000003</v>
      </c>
      <c r="E248" s="106"/>
      <c r="F248" s="131">
        <f t="shared" si="44"/>
        <v>27</v>
      </c>
      <c r="G248" s="106">
        <f t="shared" si="45"/>
        <v>0</v>
      </c>
      <c r="H248" s="106">
        <f t="shared" si="40"/>
        <v>0</v>
      </c>
      <c r="I248" s="103"/>
      <c r="J248" s="117"/>
      <c r="K248" s="88"/>
      <c r="L248" s="88"/>
      <c r="M248" s="88"/>
      <c r="N248" s="88"/>
      <c r="O248" s="90"/>
      <c r="P248" s="90"/>
      <c r="Q248" s="90"/>
    </row>
    <row r="249" spans="1:17" ht="15.75" customHeight="1">
      <c r="A249" s="120"/>
      <c r="B249" s="118">
        <f t="shared" si="41"/>
        <v>24</v>
      </c>
      <c r="C249" s="123">
        <f t="shared" si="42"/>
        <v>0.41</v>
      </c>
      <c r="D249" s="106">
        <f t="shared" si="43"/>
        <v>0.22194000000000003</v>
      </c>
      <c r="E249" s="106"/>
      <c r="F249" s="131">
        <f t="shared" si="44"/>
        <v>27</v>
      </c>
      <c r="G249" s="106">
        <f t="shared" si="45"/>
        <v>0</v>
      </c>
      <c r="H249" s="106">
        <f t="shared" si="40"/>
        <v>0</v>
      </c>
      <c r="I249" s="103"/>
      <c r="J249" s="117"/>
      <c r="K249" s="88"/>
      <c r="L249" s="88"/>
      <c r="M249" s="88"/>
      <c r="N249" s="88"/>
      <c r="O249" s="90"/>
      <c r="P249" s="90"/>
      <c r="Q249" s="90"/>
    </row>
    <row r="250" spans="1:17" ht="15.75" customHeight="1">
      <c r="A250" s="120"/>
      <c r="B250" s="118">
        <f t="shared" si="41"/>
        <v>25</v>
      </c>
      <c r="C250" s="123">
        <f t="shared" si="42"/>
        <v>0.41</v>
      </c>
      <c r="D250" s="106">
        <f t="shared" si="43"/>
        <v>0.22194000000000003</v>
      </c>
      <c r="E250" s="106"/>
      <c r="F250" s="131">
        <f t="shared" si="44"/>
        <v>26</v>
      </c>
      <c r="G250" s="106">
        <f t="shared" si="45"/>
        <v>0</v>
      </c>
      <c r="H250" s="106">
        <f t="shared" si="40"/>
        <v>0</v>
      </c>
      <c r="I250" s="103"/>
      <c r="J250" s="117"/>
      <c r="K250" s="88"/>
      <c r="L250" s="88"/>
      <c r="M250" s="88"/>
      <c r="N250" s="88"/>
      <c r="O250" s="90"/>
      <c r="P250" s="90"/>
      <c r="Q250" s="90"/>
    </row>
    <row r="251" spans="1:17" ht="15.75" customHeight="1">
      <c r="A251" s="120"/>
      <c r="B251" s="118">
        <f t="shared" si="41"/>
        <v>26</v>
      </c>
      <c r="C251" s="123">
        <f t="shared" si="42"/>
        <v>0.41</v>
      </c>
      <c r="D251" s="106">
        <f t="shared" si="43"/>
        <v>0.22194000000000003</v>
      </c>
      <c r="E251" s="106"/>
      <c r="F251" s="131">
        <f t="shared" si="44"/>
        <v>26</v>
      </c>
      <c r="G251" s="106">
        <f t="shared" si="45"/>
        <v>0</v>
      </c>
      <c r="H251" s="106">
        <f t="shared" si="40"/>
        <v>0</v>
      </c>
      <c r="I251" s="103"/>
      <c r="J251" s="117"/>
      <c r="K251" s="88"/>
      <c r="L251" s="88"/>
      <c r="M251" s="88"/>
      <c r="N251" s="88"/>
      <c r="O251" s="90"/>
      <c r="P251" s="90"/>
      <c r="Q251" s="90"/>
    </row>
    <row r="252" spans="1:17" ht="15.75" customHeight="1">
      <c r="A252" s="120"/>
      <c r="B252" s="118">
        <f t="shared" si="41"/>
        <v>27</v>
      </c>
      <c r="C252" s="123">
        <f t="shared" si="42"/>
        <v>0.41</v>
      </c>
      <c r="D252" s="106">
        <f t="shared" si="43"/>
        <v>0.22194000000000003</v>
      </c>
      <c r="E252" s="106"/>
      <c r="F252" s="131">
        <f t="shared" si="44"/>
        <v>26</v>
      </c>
      <c r="G252" s="106">
        <f t="shared" si="45"/>
        <v>0</v>
      </c>
      <c r="H252" s="106">
        <f t="shared" si="40"/>
        <v>0</v>
      </c>
      <c r="I252" s="103"/>
      <c r="J252" s="117"/>
      <c r="K252" s="88"/>
      <c r="L252" s="88"/>
      <c r="M252" s="88"/>
      <c r="N252" s="88"/>
      <c r="O252" s="90"/>
      <c r="P252" s="90"/>
      <c r="Q252" s="90"/>
    </row>
    <row r="253" spans="1:17" ht="15.75" customHeight="1">
      <c r="A253" s="120"/>
      <c r="B253" s="118">
        <f t="shared" si="41"/>
        <v>28</v>
      </c>
      <c r="C253" s="123">
        <f t="shared" si="42"/>
        <v>0.41</v>
      </c>
      <c r="D253" s="106">
        <f t="shared" si="43"/>
        <v>0.22194000000000003</v>
      </c>
      <c r="E253" s="106"/>
      <c r="F253" s="131">
        <f t="shared" si="44"/>
        <v>26</v>
      </c>
      <c r="G253" s="106">
        <f t="shared" si="45"/>
        <v>0</v>
      </c>
      <c r="H253" s="106">
        <f t="shared" si="40"/>
        <v>0</v>
      </c>
      <c r="I253" s="103"/>
      <c r="J253" s="117"/>
      <c r="K253" s="88"/>
      <c r="L253" s="88"/>
      <c r="M253" s="88"/>
      <c r="N253" s="88"/>
      <c r="O253" s="90"/>
      <c r="P253" s="90"/>
      <c r="Q253" s="90"/>
    </row>
    <row r="254" spans="1:17" ht="15.75" customHeight="1">
      <c r="A254" s="120"/>
      <c r="B254" s="118">
        <f t="shared" si="41"/>
        <v>29</v>
      </c>
      <c r="C254" s="123">
        <f t="shared" si="42"/>
        <v>0.41</v>
      </c>
      <c r="D254" s="106">
        <f t="shared" si="43"/>
        <v>0.22194000000000003</v>
      </c>
      <c r="E254" s="106"/>
      <c r="F254" s="131">
        <f t="shared" si="44"/>
        <v>26</v>
      </c>
      <c r="G254" s="106">
        <f t="shared" si="45"/>
        <v>0</v>
      </c>
      <c r="H254" s="106">
        <f t="shared" si="40"/>
        <v>0</v>
      </c>
      <c r="I254" s="103"/>
      <c r="J254" s="117"/>
      <c r="K254" s="88"/>
      <c r="L254" s="88"/>
      <c r="M254" s="88"/>
      <c r="N254" s="88"/>
      <c r="O254" s="90"/>
      <c r="P254" s="90"/>
      <c r="Q254" s="90"/>
    </row>
    <row r="255" spans="1:17" ht="15.75" customHeight="1">
      <c r="A255" s="120"/>
      <c r="B255" s="118">
        <f t="shared" si="41"/>
        <v>30</v>
      </c>
      <c r="C255" s="123">
        <f t="shared" si="42"/>
        <v>0.41</v>
      </c>
      <c r="D255" s="106">
        <f t="shared" si="43"/>
        <v>0.22194000000000003</v>
      </c>
      <c r="E255" s="106"/>
      <c r="F255" s="131">
        <f t="shared" si="44"/>
        <v>26</v>
      </c>
      <c r="G255" s="106">
        <f t="shared" si="45"/>
        <v>0</v>
      </c>
      <c r="H255" s="106">
        <f t="shared" si="40"/>
        <v>0</v>
      </c>
      <c r="I255" s="103"/>
      <c r="J255" s="117"/>
      <c r="K255" s="88"/>
      <c r="L255" s="88"/>
      <c r="M255" s="88"/>
      <c r="N255" s="88"/>
      <c r="O255" s="90"/>
      <c r="P255" s="90"/>
      <c r="Q255" s="90"/>
    </row>
    <row r="256" spans="1:17" ht="15.75" customHeight="1">
      <c r="A256" s="120"/>
      <c r="B256" s="118">
        <f t="shared" si="41"/>
        <v>31</v>
      </c>
      <c r="C256" s="123">
        <f t="shared" si="42"/>
        <v>0.41</v>
      </c>
      <c r="D256" s="106">
        <f t="shared" si="43"/>
        <v>0.22194000000000003</v>
      </c>
      <c r="E256" s="106"/>
      <c r="F256" s="131">
        <f t="shared" si="44"/>
        <v>26</v>
      </c>
      <c r="G256" s="106">
        <f t="shared" si="45"/>
        <v>0</v>
      </c>
      <c r="H256" s="106">
        <f t="shared" si="40"/>
        <v>0</v>
      </c>
      <c r="I256" s="103"/>
      <c r="J256" s="117"/>
      <c r="K256" s="88"/>
      <c r="L256" s="88"/>
      <c r="M256" s="88"/>
      <c r="N256" s="88"/>
      <c r="O256" s="90"/>
      <c r="P256" s="90"/>
      <c r="Q256" s="90"/>
    </row>
    <row r="257" spans="1:17" ht="15.75" customHeight="1">
      <c r="A257" s="120"/>
      <c r="B257" s="118">
        <f t="shared" si="41"/>
        <v>32</v>
      </c>
      <c r="C257" s="123">
        <f t="shared" si="42"/>
        <v>0.41</v>
      </c>
      <c r="D257" s="106">
        <f t="shared" si="43"/>
        <v>0.22194000000000003</v>
      </c>
      <c r="E257" s="106"/>
      <c r="F257" s="131">
        <f t="shared" si="44"/>
        <v>26</v>
      </c>
      <c r="G257" s="106">
        <f t="shared" si="45"/>
        <v>0</v>
      </c>
      <c r="H257" s="106">
        <f t="shared" si="40"/>
        <v>0</v>
      </c>
      <c r="I257" s="103"/>
      <c r="J257" s="117"/>
      <c r="K257" s="88"/>
      <c r="L257" s="88"/>
      <c r="M257" s="88"/>
      <c r="N257" s="88"/>
      <c r="O257" s="90"/>
      <c r="P257" s="90"/>
      <c r="Q257" s="90"/>
    </row>
    <row r="258" spans="1:17" ht="15.75" customHeight="1">
      <c r="A258" s="120"/>
      <c r="B258" s="118">
        <f t="shared" si="41"/>
        <v>33</v>
      </c>
      <c r="C258" s="123">
        <f t="shared" si="42"/>
        <v>0.41</v>
      </c>
      <c r="D258" s="106">
        <f t="shared" si="43"/>
        <v>0.22194000000000003</v>
      </c>
      <c r="E258" s="106"/>
      <c r="F258" s="131">
        <f t="shared" si="44"/>
        <v>26</v>
      </c>
      <c r="G258" s="106">
        <f t="shared" si="45"/>
        <v>0</v>
      </c>
      <c r="H258" s="106">
        <f t="shared" ref="H258:H289" si="46">C258*D258*(E258+F258)*G258</f>
        <v>0</v>
      </c>
      <c r="I258" s="103"/>
      <c r="J258" s="117"/>
      <c r="K258" s="88"/>
      <c r="L258" s="88"/>
      <c r="M258" s="88"/>
      <c r="N258" s="88"/>
      <c r="O258" s="90"/>
      <c r="P258" s="90"/>
      <c r="Q258" s="90"/>
    </row>
    <row r="259" spans="1:17" ht="15.75" customHeight="1">
      <c r="A259" s="120"/>
      <c r="B259" s="118">
        <f t="shared" ref="B259:B290" si="47">B258+1</f>
        <v>34</v>
      </c>
      <c r="C259" s="123">
        <f t="shared" ref="C259:C290" si="48">C258</f>
        <v>0.41</v>
      </c>
      <c r="D259" s="106">
        <f t="shared" ref="D259:D290" si="49">D258</f>
        <v>0.22194000000000003</v>
      </c>
      <c r="E259" s="106"/>
      <c r="F259" s="131">
        <f t="shared" ref="F259:F290" si="50">ROUNDUP(E56/0.125,0.5)</f>
        <v>26</v>
      </c>
      <c r="G259" s="106">
        <f t="shared" si="45"/>
        <v>0</v>
      </c>
      <c r="H259" s="106">
        <f t="shared" si="46"/>
        <v>0</v>
      </c>
      <c r="I259" s="103"/>
      <c r="J259" s="117"/>
      <c r="K259" s="88"/>
      <c r="L259" s="88"/>
      <c r="M259" s="88"/>
      <c r="N259" s="88"/>
      <c r="O259" s="90"/>
      <c r="P259" s="90"/>
      <c r="Q259" s="90"/>
    </row>
    <row r="260" spans="1:17" ht="15.75" customHeight="1">
      <c r="A260" s="120"/>
      <c r="B260" s="118">
        <f t="shared" si="47"/>
        <v>35</v>
      </c>
      <c r="C260" s="123">
        <f t="shared" si="48"/>
        <v>0.41</v>
      </c>
      <c r="D260" s="106">
        <f t="shared" si="49"/>
        <v>0.22194000000000003</v>
      </c>
      <c r="E260" s="106"/>
      <c r="F260" s="131">
        <f t="shared" si="50"/>
        <v>26</v>
      </c>
      <c r="G260" s="106">
        <f t="shared" ref="G260:G291" si="51">G259</f>
        <v>0</v>
      </c>
      <c r="H260" s="106">
        <f t="shared" si="46"/>
        <v>0</v>
      </c>
      <c r="I260" s="103"/>
      <c r="J260" s="117"/>
      <c r="K260" s="88"/>
      <c r="L260" s="88"/>
      <c r="M260" s="88"/>
      <c r="N260" s="88"/>
      <c r="O260" s="90"/>
      <c r="P260" s="90"/>
      <c r="Q260" s="90"/>
    </row>
    <row r="261" spans="1:17" ht="15.75" customHeight="1">
      <c r="A261" s="120"/>
      <c r="B261" s="118">
        <f t="shared" si="47"/>
        <v>36</v>
      </c>
      <c r="C261" s="123">
        <f t="shared" si="48"/>
        <v>0.41</v>
      </c>
      <c r="D261" s="106">
        <f t="shared" si="49"/>
        <v>0.22194000000000003</v>
      </c>
      <c r="E261" s="106"/>
      <c r="F261" s="131">
        <f t="shared" si="50"/>
        <v>25</v>
      </c>
      <c r="G261" s="106">
        <f t="shared" si="51"/>
        <v>0</v>
      </c>
      <c r="H261" s="106">
        <f t="shared" si="46"/>
        <v>0</v>
      </c>
      <c r="I261" s="103"/>
      <c r="J261" s="117"/>
      <c r="K261" s="287"/>
      <c r="L261" s="88"/>
      <c r="M261" s="127"/>
      <c r="N261" s="127"/>
      <c r="O261" s="90"/>
      <c r="P261" s="90"/>
      <c r="Q261" s="90"/>
    </row>
    <row r="262" spans="1:17" ht="15.75" customHeight="1">
      <c r="A262" s="120"/>
      <c r="B262" s="118">
        <f t="shared" si="47"/>
        <v>37</v>
      </c>
      <c r="C262" s="123">
        <f t="shared" si="48"/>
        <v>0.41</v>
      </c>
      <c r="D262" s="106">
        <f t="shared" si="49"/>
        <v>0.22194000000000003</v>
      </c>
      <c r="E262" s="106"/>
      <c r="F262" s="131">
        <f t="shared" si="50"/>
        <v>25</v>
      </c>
      <c r="G262" s="106">
        <f t="shared" si="51"/>
        <v>0</v>
      </c>
      <c r="H262" s="106">
        <f t="shared" si="46"/>
        <v>0</v>
      </c>
      <c r="I262" s="103"/>
      <c r="J262" s="117"/>
      <c r="K262" s="287"/>
      <c r="L262" s="88"/>
      <c r="M262" s="127"/>
      <c r="N262" s="127"/>
      <c r="O262" s="90"/>
      <c r="P262" s="90"/>
      <c r="Q262" s="90"/>
    </row>
    <row r="263" spans="1:17" ht="15.75" customHeight="1">
      <c r="A263" s="120"/>
      <c r="B263" s="118">
        <f t="shared" si="47"/>
        <v>38</v>
      </c>
      <c r="C263" s="123">
        <f t="shared" si="48"/>
        <v>0.41</v>
      </c>
      <c r="D263" s="106">
        <f t="shared" si="49"/>
        <v>0.22194000000000003</v>
      </c>
      <c r="E263" s="106"/>
      <c r="F263" s="131">
        <f t="shared" si="50"/>
        <v>25</v>
      </c>
      <c r="G263" s="106">
        <f t="shared" si="51"/>
        <v>0</v>
      </c>
      <c r="H263" s="106">
        <f t="shared" si="46"/>
        <v>0</v>
      </c>
      <c r="I263" s="103"/>
      <c r="J263" s="117"/>
      <c r="K263" s="287"/>
      <c r="L263" s="88"/>
      <c r="M263" s="127"/>
      <c r="N263" s="127"/>
      <c r="O263" s="90"/>
      <c r="P263" s="90"/>
      <c r="Q263" s="90"/>
    </row>
    <row r="264" spans="1:17" ht="15.75" customHeight="1">
      <c r="A264" s="120"/>
      <c r="B264" s="118">
        <f t="shared" si="47"/>
        <v>39</v>
      </c>
      <c r="C264" s="123">
        <f t="shared" si="48"/>
        <v>0.41</v>
      </c>
      <c r="D264" s="106">
        <f t="shared" si="49"/>
        <v>0.22194000000000003</v>
      </c>
      <c r="E264" s="106"/>
      <c r="F264" s="131">
        <f t="shared" si="50"/>
        <v>25</v>
      </c>
      <c r="G264" s="106">
        <f t="shared" si="51"/>
        <v>0</v>
      </c>
      <c r="H264" s="106">
        <f t="shared" si="46"/>
        <v>0</v>
      </c>
      <c r="I264" s="103"/>
      <c r="J264" s="117"/>
      <c r="K264" s="287"/>
      <c r="L264" s="88"/>
      <c r="M264" s="127"/>
      <c r="N264" s="127"/>
      <c r="O264" s="90"/>
      <c r="P264" s="90"/>
      <c r="Q264" s="90"/>
    </row>
    <row r="265" spans="1:17" ht="15.75" customHeight="1">
      <c r="A265" s="120"/>
      <c r="B265" s="118">
        <f t="shared" si="47"/>
        <v>40</v>
      </c>
      <c r="C265" s="123">
        <f t="shared" si="48"/>
        <v>0.41</v>
      </c>
      <c r="D265" s="106">
        <f t="shared" si="49"/>
        <v>0.22194000000000003</v>
      </c>
      <c r="E265" s="106"/>
      <c r="F265" s="131">
        <f t="shared" si="50"/>
        <v>25</v>
      </c>
      <c r="G265" s="106">
        <f t="shared" si="51"/>
        <v>0</v>
      </c>
      <c r="H265" s="106">
        <f t="shared" si="46"/>
        <v>0</v>
      </c>
      <c r="I265" s="103"/>
      <c r="J265" s="117"/>
      <c r="K265" s="287"/>
      <c r="L265" s="88"/>
      <c r="M265" s="127"/>
      <c r="N265" s="127"/>
      <c r="O265" s="90"/>
      <c r="P265" s="90"/>
      <c r="Q265" s="90"/>
    </row>
    <row r="266" spans="1:17" ht="15.75" customHeight="1">
      <c r="A266" s="120"/>
      <c r="B266" s="118">
        <f t="shared" si="47"/>
        <v>41</v>
      </c>
      <c r="C266" s="123">
        <f t="shared" si="48"/>
        <v>0.41</v>
      </c>
      <c r="D266" s="106">
        <f t="shared" si="49"/>
        <v>0.22194000000000003</v>
      </c>
      <c r="E266" s="106"/>
      <c r="F266" s="131">
        <f t="shared" si="50"/>
        <v>25</v>
      </c>
      <c r="G266" s="106">
        <f t="shared" si="51"/>
        <v>0</v>
      </c>
      <c r="H266" s="106">
        <f t="shared" si="46"/>
        <v>0</v>
      </c>
      <c r="I266" s="103"/>
      <c r="J266" s="117"/>
      <c r="K266" s="287"/>
      <c r="L266" s="88"/>
      <c r="M266" s="127"/>
      <c r="N266" s="127"/>
      <c r="O266" s="90"/>
      <c r="P266" s="90"/>
      <c r="Q266" s="90"/>
    </row>
    <row r="267" spans="1:17" ht="15.75" customHeight="1">
      <c r="A267" s="120"/>
      <c r="B267" s="118">
        <f t="shared" si="47"/>
        <v>42</v>
      </c>
      <c r="C267" s="123">
        <f t="shared" si="48"/>
        <v>0.41</v>
      </c>
      <c r="D267" s="106">
        <f t="shared" si="49"/>
        <v>0.22194000000000003</v>
      </c>
      <c r="E267" s="106"/>
      <c r="F267" s="131">
        <f t="shared" si="50"/>
        <v>25</v>
      </c>
      <c r="G267" s="106">
        <f t="shared" si="51"/>
        <v>0</v>
      </c>
      <c r="H267" s="106">
        <f t="shared" si="46"/>
        <v>0</v>
      </c>
      <c r="I267" s="103"/>
      <c r="J267" s="117"/>
      <c r="K267" s="287"/>
      <c r="L267" s="88"/>
      <c r="M267" s="127"/>
      <c r="N267" s="127"/>
      <c r="O267" s="90"/>
      <c r="P267" s="90"/>
      <c r="Q267" s="90"/>
    </row>
    <row r="268" spans="1:17" ht="15.75" customHeight="1">
      <c r="A268" s="120"/>
      <c r="B268" s="118">
        <f t="shared" si="47"/>
        <v>43</v>
      </c>
      <c r="C268" s="123">
        <f t="shared" si="48"/>
        <v>0.41</v>
      </c>
      <c r="D268" s="106">
        <f t="shared" si="49"/>
        <v>0.22194000000000003</v>
      </c>
      <c r="E268" s="106"/>
      <c r="F268" s="131">
        <f t="shared" si="50"/>
        <v>25</v>
      </c>
      <c r="G268" s="106">
        <f t="shared" si="51"/>
        <v>0</v>
      </c>
      <c r="H268" s="106">
        <f t="shared" si="46"/>
        <v>0</v>
      </c>
      <c r="I268" s="103"/>
      <c r="J268" s="117"/>
      <c r="K268" s="287"/>
      <c r="L268" s="88"/>
      <c r="M268" s="127"/>
      <c r="N268" s="127"/>
      <c r="O268" s="90"/>
      <c r="P268" s="90"/>
      <c r="Q268" s="90"/>
    </row>
    <row r="269" spans="1:17" ht="15.75" customHeight="1">
      <c r="A269" s="120"/>
      <c r="B269" s="118">
        <f t="shared" si="47"/>
        <v>44</v>
      </c>
      <c r="C269" s="123">
        <f t="shared" si="48"/>
        <v>0.41</v>
      </c>
      <c r="D269" s="106">
        <f t="shared" si="49"/>
        <v>0.22194000000000003</v>
      </c>
      <c r="E269" s="106"/>
      <c r="F269" s="131">
        <f t="shared" si="50"/>
        <v>25</v>
      </c>
      <c r="G269" s="106">
        <f t="shared" si="51"/>
        <v>0</v>
      </c>
      <c r="H269" s="106">
        <f t="shared" si="46"/>
        <v>0</v>
      </c>
      <c r="I269" s="103"/>
      <c r="J269" s="117"/>
      <c r="K269" s="287"/>
      <c r="L269" s="88"/>
      <c r="M269" s="127"/>
      <c r="N269" s="127"/>
      <c r="O269" s="90"/>
      <c r="P269" s="90"/>
      <c r="Q269" s="90"/>
    </row>
    <row r="270" spans="1:17" ht="15.75" customHeight="1">
      <c r="A270" s="120"/>
      <c r="B270" s="118">
        <f t="shared" si="47"/>
        <v>45</v>
      </c>
      <c r="C270" s="123">
        <f t="shared" si="48"/>
        <v>0.41</v>
      </c>
      <c r="D270" s="106">
        <f t="shared" si="49"/>
        <v>0.22194000000000003</v>
      </c>
      <c r="E270" s="106"/>
      <c r="F270" s="131">
        <f t="shared" si="50"/>
        <v>25</v>
      </c>
      <c r="G270" s="106">
        <f t="shared" si="51"/>
        <v>0</v>
      </c>
      <c r="H270" s="106">
        <f t="shared" si="46"/>
        <v>0</v>
      </c>
      <c r="I270" s="103"/>
      <c r="J270" s="117"/>
      <c r="K270" s="287"/>
      <c r="L270" s="88"/>
      <c r="M270" s="127"/>
      <c r="N270" s="127"/>
      <c r="O270" s="90"/>
      <c r="P270" s="90"/>
      <c r="Q270" s="90"/>
    </row>
    <row r="271" spans="1:17" ht="15.75" customHeight="1">
      <c r="A271" s="120"/>
      <c r="B271" s="118">
        <f t="shared" si="47"/>
        <v>46</v>
      </c>
      <c r="C271" s="123">
        <f t="shared" si="48"/>
        <v>0.41</v>
      </c>
      <c r="D271" s="106">
        <f t="shared" si="49"/>
        <v>0.22194000000000003</v>
      </c>
      <c r="E271" s="106"/>
      <c r="F271" s="131">
        <f t="shared" si="50"/>
        <v>25</v>
      </c>
      <c r="G271" s="106">
        <f t="shared" si="51"/>
        <v>0</v>
      </c>
      <c r="H271" s="106">
        <f t="shared" si="46"/>
        <v>0</v>
      </c>
      <c r="I271" s="103"/>
      <c r="J271" s="117"/>
      <c r="K271" s="287"/>
      <c r="L271" s="88"/>
      <c r="M271" s="127"/>
      <c r="N271" s="127"/>
      <c r="O271" s="90"/>
      <c r="P271" s="90"/>
      <c r="Q271" s="90"/>
    </row>
    <row r="272" spans="1:17" ht="15.75" customHeight="1">
      <c r="A272" s="120"/>
      <c r="B272" s="118">
        <f t="shared" si="47"/>
        <v>47</v>
      </c>
      <c r="C272" s="123">
        <f t="shared" si="48"/>
        <v>0.41</v>
      </c>
      <c r="D272" s="106">
        <f t="shared" si="49"/>
        <v>0.22194000000000003</v>
      </c>
      <c r="E272" s="106"/>
      <c r="F272" s="131">
        <f t="shared" si="50"/>
        <v>25</v>
      </c>
      <c r="G272" s="106">
        <f t="shared" si="51"/>
        <v>0</v>
      </c>
      <c r="H272" s="106">
        <f t="shared" si="46"/>
        <v>0</v>
      </c>
      <c r="I272" s="103"/>
      <c r="J272" s="117"/>
      <c r="K272" s="287"/>
      <c r="L272" s="88"/>
      <c r="M272" s="127"/>
      <c r="N272" s="127"/>
      <c r="O272" s="90"/>
      <c r="P272" s="90"/>
      <c r="Q272" s="90"/>
    </row>
    <row r="273" spans="1:17" ht="15.75" customHeight="1">
      <c r="A273" s="120"/>
      <c r="B273" s="118">
        <f t="shared" si="47"/>
        <v>48</v>
      </c>
      <c r="C273" s="123">
        <f t="shared" si="48"/>
        <v>0.41</v>
      </c>
      <c r="D273" s="106">
        <f t="shared" si="49"/>
        <v>0.22194000000000003</v>
      </c>
      <c r="E273" s="106"/>
      <c r="F273" s="131">
        <f t="shared" si="50"/>
        <v>25</v>
      </c>
      <c r="G273" s="106">
        <f t="shared" si="51"/>
        <v>0</v>
      </c>
      <c r="H273" s="106">
        <f t="shared" si="46"/>
        <v>0</v>
      </c>
      <c r="I273" s="103"/>
      <c r="J273" s="117"/>
      <c r="K273" s="287"/>
      <c r="L273" s="88"/>
      <c r="M273" s="127"/>
      <c r="N273" s="127"/>
      <c r="O273" s="90"/>
      <c r="P273" s="90"/>
      <c r="Q273" s="90"/>
    </row>
    <row r="274" spans="1:17" ht="15.75" customHeight="1">
      <c r="A274" s="120"/>
      <c r="B274" s="118">
        <f t="shared" si="47"/>
        <v>49</v>
      </c>
      <c r="C274" s="123">
        <f t="shared" si="48"/>
        <v>0.41</v>
      </c>
      <c r="D274" s="106">
        <f t="shared" si="49"/>
        <v>0.22194000000000003</v>
      </c>
      <c r="E274" s="106"/>
      <c r="F274" s="131">
        <f t="shared" si="50"/>
        <v>25</v>
      </c>
      <c r="G274" s="106">
        <f t="shared" si="51"/>
        <v>0</v>
      </c>
      <c r="H274" s="106">
        <f t="shared" si="46"/>
        <v>0</v>
      </c>
      <c r="I274" s="103"/>
      <c r="J274" s="117"/>
      <c r="K274" s="287"/>
      <c r="L274" s="88"/>
      <c r="M274" s="127"/>
      <c r="N274" s="127"/>
      <c r="O274" s="90"/>
      <c r="P274" s="90"/>
      <c r="Q274" s="90"/>
    </row>
    <row r="275" spans="1:17" ht="15.75" customHeight="1">
      <c r="A275" s="120"/>
      <c r="B275" s="118">
        <f t="shared" si="47"/>
        <v>50</v>
      </c>
      <c r="C275" s="123">
        <f t="shared" si="48"/>
        <v>0.41</v>
      </c>
      <c r="D275" s="106">
        <f t="shared" si="49"/>
        <v>0.22194000000000003</v>
      </c>
      <c r="E275" s="106"/>
      <c r="F275" s="131">
        <f t="shared" si="50"/>
        <v>25</v>
      </c>
      <c r="G275" s="106">
        <f t="shared" si="51"/>
        <v>0</v>
      </c>
      <c r="H275" s="106">
        <f t="shared" si="46"/>
        <v>0</v>
      </c>
      <c r="I275" s="103"/>
      <c r="J275" s="117"/>
      <c r="K275" s="287"/>
      <c r="L275" s="88"/>
      <c r="M275" s="127"/>
      <c r="N275" s="127"/>
      <c r="O275" s="90"/>
      <c r="P275" s="90"/>
      <c r="Q275" s="90"/>
    </row>
    <row r="276" spans="1:17" ht="15.75" customHeight="1">
      <c r="A276" s="120"/>
      <c r="B276" s="118">
        <f t="shared" si="47"/>
        <v>51</v>
      </c>
      <c r="C276" s="123">
        <f t="shared" si="48"/>
        <v>0.41</v>
      </c>
      <c r="D276" s="106">
        <f t="shared" si="49"/>
        <v>0.22194000000000003</v>
      </c>
      <c r="E276" s="106"/>
      <c r="F276" s="131">
        <f t="shared" si="50"/>
        <v>25</v>
      </c>
      <c r="G276" s="106">
        <f t="shared" si="51"/>
        <v>0</v>
      </c>
      <c r="H276" s="106">
        <f t="shared" si="46"/>
        <v>0</v>
      </c>
      <c r="I276" s="103"/>
      <c r="J276" s="117"/>
      <c r="K276" s="287"/>
      <c r="L276" s="88"/>
      <c r="M276" s="127"/>
      <c r="N276" s="127"/>
      <c r="O276" s="90"/>
      <c r="P276" s="90"/>
      <c r="Q276" s="90"/>
    </row>
    <row r="277" spans="1:17" ht="15.75" customHeight="1">
      <c r="A277" s="120"/>
      <c r="B277" s="118">
        <f t="shared" si="47"/>
        <v>52</v>
      </c>
      <c r="C277" s="123">
        <f t="shared" si="48"/>
        <v>0.41</v>
      </c>
      <c r="D277" s="106">
        <f t="shared" si="49"/>
        <v>0.22194000000000003</v>
      </c>
      <c r="E277" s="106"/>
      <c r="F277" s="131">
        <f t="shared" si="50"/>
        <v>25</v>
      </c>
      <c r="G277" s="106">
        <f t="shared" si="51"/>
        <v>0</v>
      </c>
      <c r="H277" s="106">
        <f t="shared" si="46"/>
        <v>0</v>
      </c>
      <c r="I277" s="103"/>
      <c r="J277" s="117"/>
      <c r="K277" s="287"/>
      <c r="L277" s="88"/>
      <c r="M277" s="127"/>
      <c r="N277" s="127"/>
      <c r="O277" s="90"/>
      <c r="P277" s="90"/>
      <c r="Q277" s="90"/>
    </row>
    <row r="278" spans="1:17" ht="15.75" customHeight="1">
      <c r="A278" s="120"/>
      <c r="B278" s="118">
        <f t="shared" si="47"/>
        <v>53</v>
      </c>
      <c r="C278" s="123">
        <f t="shared" si="48"/>
        <v>0.41</v>
      </c>
      <c r="D278" s="106">
        <f t="shared" si="49"/>
        <v>0.22194000000000003</v>
      </c>
      <c r="E278" s="106"/>
      <c r="F278" s="131">
        <f t="shared" si="50"/>
        <v>25</v>
      </c>
      <c r="G278" s="106">
        <f t="shared" si="51"/>
        <v>0</v>
      </c>
      <c r="H278" s="106">
        <f t="shared" si="46"/>
        <v>0</v>
      </c>
      <c r="I278" s="103"/>
      <c r="J278" s="117"/>
      <c r="K278" s="287"/>
      <c r="L278" s="88"/>
      <c r="M278" s="127"/>
      <c r="N278" s="127"/>
      <c r="O278" s="90"/>
      <c r="P278" s="90"/>
      <c r="Q278" s="90"/>
    </row>
    <row r="279" spans="1:17" ht="15.75" customHeight="1">
      <c r="A279" s="120"/>
      <c r="B279" s="118">
        <f t="shared" si="47"/>
        <v>54</v>
      </c>
      <c r="C279" s="123">
        <f t="shared" si="48"/>
        <v>0.41</v>
      </c>
      <c r="D279" s="106">
        <f t="shared" si="49"/>
        <v>0.22194000000000003</v>
      </c>
      <c r="E279" s="106"/>
      <c r="F279" s="131">
        <f t="shared" si="50"/>
        <v>25</v>
      </c>
      <c r="G279" s="106">
        <f t="shared" si="51"/>
        <v>0</v>
      </c>
      <c r="H279" s="106">
        <f t="shared" si="46"/>
        <v>0</v>
      </c>
      <c r="I279" s="103"/>
      <c r="J279" s="117"/>
      <c r="K279" s="287"/>
      <c r="L279" s="88"/>
      <c r="M279" s="127"/>
      <c r="N279" s="127"/>
      <c r="O279" s="90"/>
      <c r="P279" s="90"/>
      <c r="Q279" s="90"/>
    </row>
    <row r="280" spans="1:17" ht="15.75" customHeight="1">
      <c r="A280" s="120"/>
      <c r="B280" s="118">
        <f t="shared" si="47"/>
        <v>55</v>
      </c>
      <c r="C280" s="123">
        <f t="shared" si="48"/>
        <v>0.41</v>
      </c>
      <c r="D280" s="106">
        <f t="shared" si="49"/>
        <v>0.22194000000000003</v>
      </c>
      <c r="E280" s="106"/>
      <c r="F280" s="131">
        <f t="shared" si="50"/>
        <v>25</v>
      </c>
      <c r="G280" s="106">
        <f t="shared" si="51"/>
        <v>0</v>
      </c>
      <c r="H280" s="106">
        <f t="shared" si="46"/>
        <v>0</v>
      </c>
      <c r="I280" s="103"/>
      <c r="J280" s="117"/>
      <c r="K280" s="287"/>
      <c r="L280" s="88"/>
      <c r="M280" s="127"/>
      <c r="N280" s="127"/>
      <c r="O280" s="90"/>
      <c r="P280" s="90"/>
      <c r="Q280" s="90"/>
    </row>
    <row r="281" spans="1:17" ht="15.75" customHeight="1">
      <c r="A281" s="120"/>
      <c r="B281" s="118">
        <f t="shared" si="47"/>
        <v>56</v>
      </c>
      <c r="C281" s="123">
        <f t="shared" si="48"/>
        <v>0.41</v>
      </c>
      <c r="D281" s="106">
        <f t="shared" si="49"/>
        <v>0.22194000000000003</v>
      </c>
      <c r="E281" s="106"/>
      <c r="F281" s="131">
        <f t="shared" si="50"/>
        <v>25</v>
      </c>
      <c r="G281" s="106">
        <f t="shared" si="51"/>
        <v>0</v>
      </c>
      <c r="H281" s="106">
        <f t="shared" si="46"/>
        <v>0</v>
      </c>
      <c r="I281" s="103"/>
      <c r="J281" s="117"/>
      <c r="K281" s="287"/>
      <c r="L281" s="88"/>
      <c r="M281" s="127"/>
      <c r="N281" s="127"/>
      <c r="O281" s="90"/>
      <c r="P281" s="90"/>
      <c r="Q281" s="90"/>
    </row>
    <row r="282" spans="1:17" ht="15.75" customHeight="1">
      <c r="A282" s="120"/>
      <c r="B282" s="118">
        <f t="shared" si="47"/>
        <v>57</v>
      </c>
      <c r="C282" s="123">
        <f t="shared" si="48"/>
        <v>0.41</v>
      </c>
      <c r="D282" s="106">
        <f t="shared" si="49"/>
        <v>0.22194000000000003</v>
      </c>
      <c r="E282" s="106"/>
      <c r="F282" s="131">
        <f t="shared" si="50"/>
        <v>25</v>
      </c>
      <c r="G282" s="106">
        <f t="shared" si="51"/>
        <v>0</v>
      </c>
      <c r="H282" s="106">
        <f t="shared" si="46"/>
        <v>0</v>
      </c>
      <c r="I282" s="103"/>
      <c r="J282" s="117"/>
      <c r="K282" s="287"/>
      <c r="L282" s="88"/>
      <c r="M282" s="127"/>
      <c r="N282" s="127"/>
      <c r="O282" s="90"/>
      <c r="P282" s="90"/>
      <c r="Q282" s="90"/>
    </row>
    <row r="283" spans="1:17" ht="15.75" customHeight="1">
      <c r="A283" s="120"/>
      <c r="B283" s="118">
        <f t="shared" si="47"/>
        <v>58</v>
      </c>
      <c r="C283" s="123">
        <f t="shared" si="48"/>
        <v>0.41</v>
      </c>
      <c r="D283" s="106">
        <f t="shared" si="49"/>
        <v>0.22194000000000003</v>
      </c>
      <c r="E283" s="106"/>
      <c r="F283" s="131">
        <f t="shared" si="50"/>
        <v>25</v>
      </c>
      <c r="G283" s="106">
        <f t="shared" si="51"/>
        <v>0</v>
      </c>
      <c r="H283" s="106">
        <f t="shared" si="46"/>
        <v>0</v>
      </c>
      <c r="I283" s="103"/>
      <c r="J283" s="117"/>
      <c r="K283" s="287"/>
      <c r="L283" s="88"/>
      <c r="M283" s="127"/>
      <c r="N283" s="127"/>
      <c r="O283" s="90"/>
      <c r="P283" s="90"/>
      <c r="Q283" s="90"/>
    </row>
    <row r="284" spans="1:17" ht="15.75" customHeight="1">
      <c r="A284" s="120"/>
      <c r="B284" s="118">
        <f t="shared" si="47"/>
        <v>59</v>
      </c>
      <c r="C284" s="123">
        <f t="shared" si="48"/>
        <v>0.41</v>
      </c>
      <c r="D284" s="106">
        <f t="shared" si="49"/>
        <v>0.22194000000000003</v>
      </c>
      <c r="E284" s="106"/>
      <c r="F284" s="131">
        <f t="shared" si="50"/>
        <v>24</v>
      </c>
      <c r="G284" s="106">
        <f t="shared" si="51"/>
        <v>0</v>
      </c>
      <c r="H284" s="106">
        <f t="shared" si="46"/>
        <v>0</v>
      </c>
      <c r="I284" s="103"/>
      <c r="J284" s="117"/>
      <c r="K284" s="287"/>
      <c r="L284" s="88"/>
      <c r="M284" s="127"/>
      <c r="N284" s="127"/>
      <c r="O284" s="90"/>
      <c r="P284" s="90"/>
      <c r="Q284" s="90"/>
    </row>
    <row r="285" spans="1:17" ht="15.75" customHeight="1">
      <c r="A285" s="120"/>
      <c r="B285" s="118">
        <f t="shared" si="47"/>
        <v>60</v>
      </c>
      <c r="C285" s="123">
        <f t="shared" si="48"/>
        <v>0.41</v>
      </c>
      <c r="D285" s="106">
        <f t="shared" si="49"/>
        <v>0.22194000000000003</v>
      </c>
      <c r="E285" s="106"/>
      <c r="F285" s="131">
        <f t="shared" si="50"/>
        <v>24</v>
      </c>
      <c r="G285" s="106">
        <f t="shared" si="51"/>
        <v>0</v>
      </c>
      <c r="H285" s="106">
        <f t="shared" si="46"/>
        <v>0</v>
      </c>
      <c r="I285" s="103"/>
      <c r="J285" s="117"/>
      <c r="K285" s="287"/>
      <c r="L285" s="88"/>
      <c r="M285" s="127"/>
      <c r="N285" s="127"/>
      <c r="O285" s="90"/>
      <c r="P285" s="90"/>
      <c r="Q285" s="90"/>
    </row>
    <row r="286" spans="1:17" ht="15.75" customHeight="1">
      <c r="A286" s="120"/>
      <c r="B286" s="118">
        <f t="shared" si="47"/>
        <v>61</v>
      </c>
      <c r="C286" s="123">
        <f t="shared" si="48"/>
        <v>0.41</v>
      </c>
      <c r="D286" s="106">
        <f t="shared" si="49"/>
        <v>0.22194000000000003</v>
      </c>
      <c r="E286" s="106"/>
      <c r="F286" s="131">
        <f t="shared" si="50"/>
        <v>24</v>
      </c>
      <c r="G286" s="106">
        <f t="shared" si="51"/>
        <v>0</v>
      </c>
      <c r="H286" s="106">
        <f t="shared" si="46"/>
        <v>0</v>
      </c>
      <c r="I286" s="103"/>
      <c r="J286" s="117"/>
      <c r="K286" s="287"/>
      <c r="L286" s="88"/>
      <c r="M286" s="127"/>
      <c r="N286" s="127"/>
      <c r="O286" s="90"/>
      <c r="P286" s="90"/>
      <c r="Q286" s="90"/>
    </row>
    <row r="287" spans="1:17" ht="15.75" customHeight="1">
      <c r="A287" s="120"/>
      <c r="B287" s="118">
        <f t="shared" si="47"/>
        <v>62</v>
      </c>
      <c r="C287" s="123">
        <f t="shared" si="48"/>
        <v>0.41</v>
      </c>
      <c r="D287" s="106">
        <f t="shared" si="49"/>
        <v>0.22194000000000003</v>
      </c>
      <c r="E287" s="106"/>
      <c r="F287" s="131">
        <f t="shared" si="50"/>
        <v>24</v>
      </c>
      <c r="G287" s="106">
        <f t="shared" si="51"/>
        <v>0</v>
      </c>
      <c r="H287" s="106">
        <f t="shared" si="46"/>
        <v>0</v>
      </c>
      <c r="I287" s="103"/>
      <c r="J287" s="117"/>
      <c r="K287" s="287"/>
      <c r="L287" s="88"/>
      <c r="M287" s="127"/>
      <c r="N287" s="127"/>
      <c r="O287" s="90"/>
      <c r="P287" s="90"/>
      <c r="Q287" s="90"/>
    </row>
    <row r="288" spans="1:17" ht="15.75" customHeight="1">
      <c r="A288" s="120"/>
      <c r="B288" s="118">
        <f t="shared" si="47"/>
        <v>63</v>
      </c>
      <c r="C288" s="123">
        <f t="shared" si="48"/>
        <v>0.41</v>
      </c>
      <c r="D288" s="106">
        <f t="shared" si="49"/>
        <v>0.22194000000000003</v>
      </c>
      <c r="E288" s="106"/>
      <c r="F288" s="131">
        <f t="shared" si="50"/>
        <v>24</v>
      </c>
      <c r="G288" s="106">
        <f t="shared" si="51"/>
        <v>0</v>
      </c>
      <c r="H288" s="106">
        <f t="shared" si="46"/>
        <v>0</v>
      </c>
      <c r="I288" s="103"/>
      <c r="J288" s="117"/>
      <c r="K288" s="287"/>
      <c r="L288" s="88"/>
      <c r="M288" s="127"/>
      <c r="N288" s="127"/>
      <c r="O288" s="90"/>
      <c r="P288" s="90"/>
      <c r="Q288" s="90"/>
    </row>
    <row r="289" spans="1:17" ht="15.75" customHeight="1">
      <c r="A289" s="120"/>
      <c r="B289" s="118">
        <f t="shared" si="47"/>
        <v>64</v>
      </c>
      <c r="C289" s="123">
        <f t="shared" si="48"/>
        <v>0.41</v>
      </c>
      <c r="D289" s="106">
        <f t="shared" si="49"/>
        <v>0.22194000000000003</v>
      </c>
      <c r="E289" s="106"/>
      <c r="F289" s="131">
        <f t="shared" si="50"/>
        <v>24</v>
      </c>
      <c r="G289" s="106">
        <f t="shared" si="51"/>
        <v>0</v>
      </c>
      <c r="H289" s="106">
        <f t="shared" si="46"/>
        <v>0</v>
      </c>
      <c r="I289" s="103"/>
      <c r="J289" s="117"/>
      <c r="K289" s="287"/>
      <c r="L289" s="88"/>
      <c r="M289" s="127"/>
      <c r="N289" s="127"/>
      <c r="O289" s="90"/>
      <c r="P289" s="90"/>
      <c r="Q289" s="90"/>
    </row>
    <row r="290" spans="1:17" ht="15.75" customHeight="1">
      <c r="A290" s="120"/>
      <c r="B290" s="118">
        <f t="shared" si="47"/>
        <v>65</v>
      </c>
      <c r="C290" s="123">
        <f t="shared" si="48"/>
        <v>0.41</v>
      </c>
      <c r="D290" s="106">
        <f t="shared" si="49"/>
        <v>0.22194000000000003</v>
      </c>
      <c r="E290" s="106"/>
      <c r="F290" s="131">
        <f t="shared" si="50"/>
        <v>24</v>
      </c>
      <c r="G290" s="106">
        <f t="shared" si="51"/>
        <v>0</v>
      </c>
      <c r="H290" s="106">
        <f t="shared" ref="H290:H321" si="52">C290*D290*(E290+F290)*G290</f>
        <v>0</v>
      </c>
      <c r="I290" s="103"/>
      <c r="J290" s="117"/>
      <c r="K290" s="287"/>
      <c r="L290" s="88"/>
      <c r="M290" s="127"/>
      <c r="N290" s="127"/>
      <c r="O290" s="90"/>
      <c r="P290" s="90"/>
      <c r="Q290" s="90"/>
    </row>
    <row r="291" spans="1:17" ht="15.75" customHeight="1">
      <c r="A291" s="120"/>
      <c r="B291" s="118">
        <f t="shared" ref="B291:B323" si="53">B290+1</f>
        <v>66</v>
      </c>
      <c r="C291" s="123">
        <f t="shared" ref="C291:C323" si="54">C290</f>
        <v>0.41</v>
      </c>
      <c r="D291" s="106">
        <f t="shared" ref="D291:D323" si="55">D290</f>
        <v>0.22194000000000003</v>
      </c>
      <c r="E291" s="106"/>
      <c r="F291" s="131">
        <f t="shared" ref="F291:F322" si="56">ROUNDUP(E88/0.125,0.5)</f>
        <v>24</v>
      </c>
      <c r="G291" s="106">
        <f t="shared" si="51"/>
        <v>0</v>
      </c>
      <c r="H291" s="106">
        <f t="shared" si="52"/>
        <v>0</v>
      </c>
      <c r="I291" s="103"/>
      <c r="J291" s="117"/>
      <c r="K291" s="287"/>
      <c r="L291" s="88"/>
      <c r="M291" s="127"/>
      <c r="N291" s="127"/>
      <c r="O291" s="90"/>
      <c r="P291" s="90"/>
      <c r="Q291" s="90"/>
    </row>
    <row r="292" spans="1:17" ht="15.75" customHeight="1">
      <c r="A292" s="120"/>
      <c r="B292" s="118">
        <f t="shared" si="53"/>
        <v>67</v>
      </c>
      <c r="C292" s="123">
        <f t="shared" si="54"/>
        <v>0.41</v>
      </c>
      <c r="D292" s="106">
        <f t="shared" si="55"/>
        <v>0.22194000000000003</v>
      </c>
      <c r="E292" s="106"/>
      <c r="F292" s="131">
        <f t="shared" si="56"/>
        <v>24</v>
      </c>
      <c r="G292" s="106">
        <f t="shared" ref="G292:G323" si="57">G291</f>
        <v>0</v>
      </c>
      <c r="H292" s="106">
        <f t="shared" si="52"/>
        <v>0</v>
      </c>
      <c r="I292" s="103"/>
      <c r="J292" s="117"/>
      <c r="K292" s="287"/>
      <c r="L292" s="88"/>
      <c r="M292" s="127"/>
      <c r="N292" s="127"/>
      <c r="O292" s="90"/>
      <c r="P292" s="90"/>
      <c r="Q292" s="90"/>
    </row>
    <row r="293" spans="1:17" ht="15.75" customHeight="1">
      <c r="A293" s="120"/>
      <c r="B293" s="118">
        <f t="shared" si="53"/>
        <v>68</v>
      </c>
      <c r="C293" s="123">
        <f t="shared" si="54"/>
        <v>0.41</v>
      </c>
      <c r="D293" s="106">
        <f t="shared" si="55"/>
        <v>0.22194000000000003</v>
      </c>
      <c r="E293" s="106"/>
      <c r="F293" s="131">
        <f t="shared" si="56"/>
        <v>24</v>
      </c>
      <c r="G293" s="106">
        <f t="shared" si="57"/>
        <v>0</v>
      </c>
      <c r="H293" s="106">
        <f t="shared" si="52"/>
        <v>0</v>
      </c>
      <c r="I293" s="103"/>
      <c r="J293" s="117"/>
      <c r="K293" s="287"/>
      <c r="L293" s="88"/>
      <c r="M293" s="127"/>
      <c r="N293" s="127"/>
      <c r="O293" s="90"/>
      <c r="P293" s="90"/>
      <c r="Q293" s="90"/>
    </row>
    <row r="294" spans="1:17" ht="15.75" customHeight="1">
      <c r="A294" s="120"/>
      <c r="B294" s="118">
        <f t="shared" si="53"/>
        <v>69</v>
      </c>
      <c r="C294" s="123">
        <f t="shared" si="54"/>
        <v>0.41</v>
      </c>
      <c r="D294" s="106">
        <f t="shared" si="55"/>
        <v>0.22194000000000003</v>
      </c>
      <c r="E294" s="106"/>
      <c r="F294" s="131">
        <f t="shared" si="56"/>
        <v>24</v>
      </c>
      <c r="G294" s="106">
        <f t="shared" si="57"/>
        <v>0</v>
      </c>
      <c r="H294" s="106">
        <f t="shared" si="52"/>
        <v>0</v>
      </c>
      <c r="I294" s="103"/>
      <c r="J294" s="117"/>
      <c r="K294" s="287"/>
      <c r="L294" s="88"/>
      <c r="M294" s="127"/>
      <c r="N294" s="127"/>
      <c r="O294" s="90"/>
      <c r="P294" s="90"/>
      <c r="Q294" s="90"/>
    </row>
    <row r="295" spans="1:17" ht="15.75" customHeight="1">
      <c r="A295" s="120"/>
      <c r="B295" s="118">
        <f t="shared" si="53"/>
        <v>70</v>
      </c>
      <c r="C295" s="123">
        <f t="shared" si="54"/>
        <v>0.41</v>
      </c>
      <c r="D295" s="106">
        <f t="shared" si="55"/>
        <v>0.22194000000000003</v>
      </c>
      <c r="E295" s="106"/>
      <c r="F295" s="131">
        <f t="shared" si="56"/>
        <v>22</v>
      </c>
      <c r="G295" s="106">
        <f t="shared" si="57"/>
        <v>0</v>
      </c>
      <c r="H295" s="106">
        <f t="shared" si="52"/>
        <v>0</v>
      </c>
      <c r="I295" s="103"/>
      <c r="J295" s="117"/>
      <c r="K295" s="287"/>
      <c r="L295" s="88"/>
      <c r="M295" s="127"/>
      <c r="N295" s="127"/>
      <c r="O295" s="90"/>
      <c r="P295" s="90"/>
      <c r="Q295" s="90"/>
    </row>
    <row r="296" spans="1:17" ht="15.75" customHeight="1">
      <c r="A296" s="120"/>
      <c r="B296" s="118">
        <f t="shared" si="53"/>
        <v>71</v>
      </c>
      <c r="C296" s="123">
        <f t="shared" si="54"/>
        <v>0.41</v>
      </c>
      <c r="D296" s="106">
        <f t="shared" si="55"/>
        <v>0.22194000000000003</v>
      </c>
      <c r="E296" s="106"/>
      <c r="F296" s="131">
        <f t="shared" si="56"/>
        <v>22</v>
      </c>
      <c r="G296" s="106">
        <f t="shared" si="57"/>
        <v>0</v>
      </c>
      <c r="H296" s="106">
        <f t="shared" si="52"/>
        <v>0</v>
      </c>
      <c r="I296" s="103"/>
      <c r="J296" s="117"/>
      <c r="K296" s="287"/>
      <c r="L296" s="88"/>
      <c r="M296" s="127"/>
      <c r="N296" s="127"/>
      <c r="O296" s="90"/>
      <c r="P296" s="90"/>
      <c r="Q296" s="90"/>
    </row>
    <row r="297" spans="1:17" ht="15.75" customHeight="1">
      <c r="A297" s="120"/>
      <c r="B297" s="118">
        <f t="shared" si="53"/>
        <v>72</v>
      </c>
      <c r="C297" s="123">
        <f t="shared" si="54"/>
        <v>0.41</v>
      </c>
      <c r="D297" s="106">
        <f t="shared" si="55"/>
        <v>0.22194000000000003</v>
      </c>
      <c r="E297" s="106"/>
      <c r="F297" s="131">
        <f t="shared" si="56"/>
        <v>22</v>
      </c>
      <c r="G297" s="106">
        <f t="shared" si="57"/>
        <v>0</v>
      </c>
      <c r="H297" s="106">
        <f t="shared" si="52"/>
        <v>0</v>
      </c>
      <c r="I297" s="103"/>
      <c r="J297" s="117"/>
      <c r="K297" s="287"/>
      <c r="L297" s="88"/>
      <c r="M297" s="127"/>
      <c r="N297" s="127"/>
      <c r="O297" s="90"/>
      <c r="P297" s="90"/>
      <c r="Q297" s="90"/>
    </row>
    <row r="298" spans="1:17" ht="15.75" customHeight="1">
      <c r="A298" s="120"/>
      <c r="B298" s="118">
        <f t="shared" si="53"/>
        <v>73</v>
      </c>
      <c r="C298" s="123">
        <f t="shared" si="54"/>
        <v>0.41</v>
      </c>
      <c r="D298" s="106">
        <f t="shared" si="55"/>
        <v>0.22194000000000003</v>
      </c>
      <c r="E298" s="106"/>
      <c r="F298" s="131">
        <f t="shared" si="56"/>
        <v>21</v>
      </c>
      <c r="G298" s="106">
        <f t="shared" si="57"/>
        <v>0</v>
      </c>
      <c r="H298" s="106">
        <f t="shared" si="52"/>
        <v>0</v>
      </c>
      <c r="I298" s="103"/>
      <c r="J298" s="117"/>
      <c r="K298" s="287"/>
      <c r="L298" s="88"/>
      <c r="M298" s="127"/>
      <c r="N298" s="127"/>
      <c r="O298" s="90"/>
      <c r="P298" s="90"/>
      <c r="Q298" s="90"/>
    </row>
    <row r="299" spans="1:17" ht="15.75" customHeight="1">
      <c r="A299" s="120"/>
      <c r="B299" s="118">
        <f t="shared" si="53"/>
        <v>74</v>
      </c>
      <c r="C299" s="123">
        <f t="shared" si="54"/>
        <v>0.41</v>
      </c>
      <c r="D299" s="106">
        <f t="shared" si="55"/>
        <v>0.22194000000000003</v>
      </c>
      <c r="E299" s="106"/>
      <c r="F299" s="131">
        <f t="shared" si="56"/>
        <v>21</v>
      </c>
      <c r="G299" s="106">
        <f t="shared" si="57"/>
        <v>0</v>
      </c>
      <c r="H299" s="106">
        <f t="shared" si="52"/>
        <v>0</v>
      </c>
      <c r="I299" s="103"/>
      <c r="J299" s="117"/>
      <c r="K299" s="287"/>
      <c r="L299" s="88"/>
      <c r="M299" s="127"/>
      <c r="N299" s="127"/>
      <c r="O299" s="90"/>
      <c r="P299" s="90"/>
      <c r="Q299" s="90"/>
    </row>
    <row r="300" spans="1:17" ht="15.75" customHeight="1">
      <c r="A300" s="120"/>
      <c r="B300" s="118">
        <f t="shared" si="53"/>
        <v>75</v>
      </c>
      <c r="C300" s="123">
        <f t="shared" si="54"/>
        <v>0.41</v>
      </c>
      <c r="D300" s="106">
        <f t="shared" si="55"/>
        <v>0.22194000000000003</v>
      </c>
      <c r="E300" s="106"/>
      <c r="F300" s="131">
        <f t="shared" si="56"/>
        <v>21</v>
      </c>
      <c r="G300" s="106">
        <f t="shared" si="57"/>
        <v>0</v>
      </c>
      <c r="H300" s="106">
        <f t="shared" si="52"/>
        <v>0</v>
      </c>
      <c r="I300" s="103"/>
      <c r="J300" s="117"/>
      <c r="K300" s="287"/>
      <c r="L300" s="88"/>
      <c r="M300" s="127"/>
      <c r="N300" s="127"/>
      <c r="O300" s="90"/>
      <c r="P300" s="90"/>
      <c r="Q300" s="90"/>
    </row>
    <row r="301" spans="1:17" ht="15.75" customHeight="1">
      <c r="A301" s="120"/>
      <c r="B301" s="118">
        <f t="shared" si="53"/>
        <v>76</v>
      </c>
      <c r="C301" s="123">
        <f t="shared" si="54"/>
        <v>0.41</v>
      </c>
      <c r="D301" s="106">
        <f t="shared" si="55"/>
        <v>0.22194000000000003</v>
      </c>
      <c r="E301" s="106"/>
      <c r="F301" s="131">
        <f t="shared" si="56"/>
        <v>22</v>
      </c>
      <c r="G301" s="106">
        <f t="shared" si="57"/>
        <v>0</v>
      </c>
      <c r="H301" s="106">
        <f t="shared" si="52"/>
        <v>0</v>
      </c>
      <c r="I301" s="103"/>
      <c r="J301" s="117"/>
      <c r="K301" s="287"/>
      <c r="L301" s="88"/>
      <c r="M301" s="127"/>
      <c r="N301" s="127"/>
      <c r="O301" s="90"/>
      <c r="P301" s="90"/>
      <c r="Q301" s="90"/>
    </row>
    <row r="302" spans="1:17" ht="15.75" customHeight="1">
      <c r="A302" s="120"/>
      <c r="B302" s="118">
        <f t="shared" si="53"/>
        <v>77</v>
      </c>
      <c r="C302" s="123">
        <f t="shared" si="54"/>
        <v>0.41</v>
      </c>
      <c r="D302" s="106">
        <f t="shared" si="55"/>
        <v>0.22194000000000003</v>
      </c>
      <c r="E302" s="106"/>
      <c r="F302" s="131">
        <f t="shared" si="56"/>
        <v>23</v>
      </c>
      <c r="G302" s="106">
        <f t="shared" si="57"/>
        <v>0</v>
      </c>
      <c r="H302" s="106">
        <f t="shared" si="52"/>
        <v>0</v>
      </c>
      <c r="I302" s="103"/>
      <c r="J302" s="117"/>
      <c r="K302" s="287"/>
      <c r="L302" s="88"/>
      <c r="M302" s="127"/>
      <c r="N302" s="127"/>
      <c r="O302" s="90"/>
      <c r="P302" s="90"/>
      <c r="Q302" s="90"/>
    </row>
    <row r="303" spans="1:17" ht="15.75" customHeight="1">
      <c r="A303" s="120"/>
      <c r="B303" s="118">
        <f t="shared" si="53"/>
        <v>78</v>
      </c>
      <c r="C303" s="123">
        <f t="shared" si="54"/>
        <v>0.41</v>
      </c>
      <c r="D303" s="106">
        <f t="shared" si="55"/>
        <v>0.22194000000000003</v>
      </c>
      <c r="E303" s="106"/>
      <c r="F303" s="131">
        <f t="shared" si="56"/>
        <v>23</v>
      </c>
      <c r="G303" s="106">
        <f t="shared" si="57"/>
        <v>0</v>
      </c>
      <c r="H303" s="106">
        <f t="shared" si="52"/>
        <v>0</v>
      </c>
      <c r="I303" s="103"/>
      <c r="J303" s="117"/>
      <c r="K303" s="287"/>
      <c r="L303" s="88"/>
      <c r="M303" s="127"/>
      <c r="N303" s="127"/>
      <c r="O303" s="90"/>
      <c r="P303" s="90"/>
      <c r="Q303" s="90"/>
    </row>
    <row r="304" spans="1:17" ht="15.75" customHeight="1">
      <c r="A304" s="120"/>
      <c r="B304" s="118">
        <f t="shared" si="53"/>
        <v>79</v>
      </c>
      <c r="C304" s="123">
        <f t="shared" si="54"/>
        <v>0.41</v>
      </c>
      <c r="D304" s="106">
        <f t="shared" si="55"/>
        <v>0.22194000000000003</v>
      </c>
      <c r="E304" s="106"/>
      <c r="F304" s="131">
        <f t="shared" si="56"/>
        <v>22</v>
      </c>
      <c r="G304" s="106">
        <f t="shared" si="57"/>
        <v>0</v>
      </c>
      <c r="H304" s="106">
        <f t="shared" si="52"/>
        <v>0</v>
      </c>
      <c r="I304" s="103"/>
      <c r="J304" s="117"/>
      <c r="K304" s="287"/>
      <c r="L304" s="88"/>
      <c r="M304" s="127"/>
      <c r="N304" s="127"/>
      <c r="O304" s="90"/>
      <c r="P304" s="90"/>
      <c r="Q304" s="90"/>
    </row>
    <row r="305" spans="1:17" ht="15.75" customHeight="1">
      <c r="A305" s="120"/>
      <c r="B305" s="118">
        <f t="shared" si="53"/>
        <v>80</v>
      </c>
      <c r="C305" s="123">
        <f t="shared" si="54"/>
        <v>0.41</v>
      </c>
      <c r="D305" s="106">
        <f t="shared" si="55"/>
        <v>0.22194000000000003</v>
      </c>
      <c r="E305" s="106"/>
      <c r="F305" s="131">
        <f t="shared" si="56"/>
        <v>22</v>
      </c>
      <c r="G305" s="106">
        <f t="shared" si="57"/>
        <v>0</v>
      </c>
      <c r="H305" s="106">
        <f t="shared" si="52"/>
        <v>0</v>
      </c>
      <c r="I305" s="103"/>
      <c r="J305" s="117"/>
      <c r="K305" s="287"/>
      <c r="L305" s="88"/>
      <c r="M305" s="127"/>
      <c r="N305" s="127"/>
      <c r="O305" s="90"/>
      <c r="P305" s="90"/>
      <c r="Q305" s="90"/>
    </row>
    <row r="306" spans="1:17" ht="15.75" customHeight="1">
      <c r="A306" s="120"/>
      <c r="B306" s="118">
        <f t="shared" si="53"/>
        <v>81</v>
      </c>
      <c r="C306" s="123">
        <f t="shared" si="54"/>
        <v>0.41</v>
      </c>
      <c r="D306" s="106">
        <f t="shared" si="55"/>
        <v>0.22194000000000003</v>
      </c>
      <c r="E306" s="106"/>
      <c r="F306" s="131">
        <f t="shared" si="56"/>
        <v>22</v>
      </c>
      <c r="G306" s="106">
        <f t="shared" si="57"/>
        <v>0</v>
      </c>
      <c r="H306" s="106">
        <f t="shared" si="52"/>
        <v>0</v>
      </c>
      <c r="I306" s="103"/>
      <c r="J306" s="117"/>
      <c r="K306" s="287"/>
      <c r="L306" s="88"/>
      <c r="M306" s="127"/>
      <c r="N306" s="127"/>
      <c r="O306" s="90"/>
      <c r="P306" s="90"/>
      <c r="Q306" s="90"/>
    </row>
    <row r="307" spans="1:17" ht="15.75" customHeight="1">
      <c r="A307" s="120"/>
      <c r="B307" s="118">
        <f t="shared" si="53"/>
        <v>82</v>
      </c>
      <c r="C307" s="123">
        <f t="shared" si="54"/>
        <v>0.41</v>
      </c>
      <c r="D307" s="106">
        <f t="shared" si="55"/>
        <v>0.22194000000000003</v>
      </c>
      <c r="E307" s="106"/>
      <c r="F307" s="131">
        <f t="shared" si="56"/>
        <v>23</v>
      </c>
      <c r="G307" s="106">
        <f t="shared" si="57"/>
        <v>0</v>
      </c>
      <c r="H307" s="106">
        <f t="shared" si="52"/>
        <v>0</v>
      </c>
      <c r="I307" s="103"/>
      <c r="J307" s="117"/>
      <c r="K307" s="287"/>
      <c r="L307" s="88"/>
      <c r="M307" s="127"/>
      <c r="N307" s="127"/>
      <c r="O307" s="90"/>
      <c r="P307" s="90"/>
      <c r="Q307" s="90"/>
    </row>
    <row r="308" spans="1:17" ht="15.75" customHeight="1">
      <c r="A308" s="120"/>
      <c r="B308" s="118">
        <f t="shared" si="53"/>
        <v>83</v>
      </c>
      <c r="C308" s="123">
        <f t="shared" si="54"/>
        <v>0.41</v>
      </c>
      <c r="D308" s="106">
        <f t="shared" si="55"/>
        <v>0.22194000000000003</v>
      </c>
      <c r="E308" s="106"/>
      <c r="F308" s="131">
        <f t="shared" si="56"/>
        <v>23</v>
      </c>
      <c r="G308" s="106">
        <f t="shared" si="57"/>
        <v>0</v>
      </c>
      <c r="H308" s="106">
        <f t="shared" si="52"/>
        <v>0</v>
      </c>
      <c r="I308" s="103"/>
      <c r="J308" s="117"/>
      <c r="K308" s="287"/>
      <c r="L308" s="88"/>
      <c r="M308" s="127"/>
      <c r="N308" s="127"/>
      <c r="O308" s="90"/>
      <c r="P308" s="90"/>
      <c r="Q308" s="90"/>
    </row>
    <row r="309" spans="1:17" ht="15.75" customHeight="1">
      <c r="A309" s="120"/>
      <c r="B309" s="118">
        <f t="shared" si="53"/>
        <v>84</v>
      </c>
      <c r="C309" s="123">
        <f t="shared" si="54"/>
        <v>0.41</v>
      </c>
      <c r="D309" s="106">
        <f t="shared" si="55"/>
        <v>0.22194000000000003</v>
      </c>
      <c r="E309" s="106"/>
      <c r="F309" s="131">
        <f t="shared" si="56"/>
        <v>23</v>
      </c>
      <c r="G309" s="106">
        <f t="shared" si="57"/>
        <v>0</v>
      </c>
      <c r="H309" s="106">
        <f t="shared" si="52"/>
        <v>0</v>
      </c>
      <c r="I309" s="103"/>
      <c r="J309" s="117"/>
      <c r="K309" s="287"/>
      <c r="L309" s="88"/>
      <c r="M309" s="127"/>
      <c r="N309" s="127"/>
      <c r="O309" s="90"/>
      <c r="P309" s="90"/>
      <c r="Q309" s="90"/>
    </row>
    <row r="310" spans="1:17" ht="15.75" customHeight="1">
      <c r="A310" s="120"/>
      <c r="B310" s="118">
        <f t="shared" si="53"/>
        <v>85</v>
      </c>
      <c r="C310" s="123">
        <f t="shared" si="54"/>
        <v>0.41</v>
      </c>
      <c r="D310" s="106">
        <f t="shared" si="55"/>
        <v>0.22194000000000003</v>
      </c>
      <c r="E310" s="106"/>
      <c r="F310" s="131">
        <f t="shared" si="56"/>
        <v>22</v>
      </c>
      <c r="G310" s="106">
        <f t="shared" si="57"/>
        <v>0</v>
      </c>
      <c r="H310" s="106">
        <f t="shared" si="52"/>
        <v>0</v>
      </c>
      <c r="I310" s="103"/>
      <c r="J310" s="117"/>
      <c r="K310" s="287"/>
      <c r="L310" s="88"/>
      <c r="M310" s="127"/>
      <c r="N310" s="127"/>
      <c r="O310" s="90"/>
      <c r="P310" s="90"/>
      <c r="Q310" s="90"/>
    </row>
    <row r="311" spans="1:17" ht="15.75" customHeight="1">
      <c r="A311" s="120"/>
      <c r="B311" s="118">
        <f t="shared" si="53"/>
        <v>86</v>
      </c>
      <c r="C311" s="123">
        <f t="shared" si="54"/>
        <v>0.41</v>
      </c>
      <c r="D311" s="106">
        <f t="shared" si="55"/>
        <v>0.22194000000000003</v>
      </c>
      <c r="E311" s="106"/>
      <c r="F311" s="131">
        <f t="shared" si="56"/>
        <v>21</v>
      </c>
      <c r="G311" s="106">
        <f t="shared" si="57"/>
        <v>0</v>
      </c>
      <c r="H311" s="106">
        <f t="shared" si="52"/>
        <v>0</v>
      </c>
      <c r="I311" s="103"/>
      <c r="J311" s="117"/>
      <c r="K311" s="287"/>
      <c r="L311" s="88"/>
      <c r="M311" s="127"/>
      <c r="N311" s="127"/>
      <c r="O311" s="90"/>
      <c r="P311" s="90"/>
      <c r="Q311" s="90"/>
    </row>
    <row r="312" spans="1:17" ht="15.75" customHeight="1">
      <c r="A312" s="120"/>
      <c r="B312" s="118">
        <f t="shared" si="53"/>
        <v>87</v>
      </c>
      <c r="C312" s="123">
        <f t="shared" si="54"/>
        <v>0.41</v>
      </c>
      <c r="D312" s="106">
        <f t="shared" si="55"/>
        <v>0.22194000000000003</v>
      </c>
      <c r="E312" s="106"/>
      <c r="F312" s="131">
        <f t="shared" si="56"/>
        <v>21</v>
      </c>
      <c r="G312" s="106">
        <f t="shared" si="57"/>
        <v>0</v>
      </c>
      <c r="H312" s="106">
        <f t="shared" si="52"/>
        <v>0</v>
      </c>
      <c r="I312" s="103"/>
      <c r="J312" s="117"/>
      <c r="K312" s="287"/>
      <c r="L312" s="88"/>
      <c r="M312" s="127"/>
      <c r="N312" s="127"/>
      <c r="O312" s="90"/>
      <c r="P312" s="90"/>
      <c r="Q312" s="90"/>
    </row>
    <row r="313" spans="1:17" ht="15.75" customHeight="1">
      <c r="A313" s="120"/>
      <c r="B313" s="118">
        <f t="shared" si="53"/>
        <v>88</v>
      </c>
      <c r="C313" s="123">
        <f t="shared" si="54"/>
        <v>0.41</v>
      </c>
      <c r="D313" s="106">
        <f t="shared" si="55"/>
        <v>0.22194000000000003</v>
      </c>
      <c r="E313" s="106"/>
      <c r="F313" s="131">
        <f t="shared" si="56"/>
        <v>21</v>
      </c>
      <c r="G313" s="106">
        <f t="shared" si="57"/>
        <v>0</v>
      </c>
      <c r="H313" s="106">
        <f t="shared" si="52"/>
        <v>0</v>
      </c>
      <c r="I313" s="103"/>
      <c r="J313" s="117"/>
      <c r="K313" s="287"/>
      <c r="L313" s="88"/>
      <c r="M313" s="127"/>
      <c r="N313" s="127"/>
      <c r="O313" s="90"/>
      <c r="P313" s="90"/>
      <c r="Q313" s="90"/>
    </row>
    <row r="314" spans="1:17" ht="15.75" customHeight="1">
      <c r="A314" s="120"/>
      <c r="B314" s="118">
        <f t="shared" si="53"/>
        <v>89</v>
      </c>
      <c r="C314" s="123">
        <f t="shared" si="54"/>
        <v>0.41</v>
      </c>
      <c r="D314" s="106">
        <f t="shared" si="55"/>
        <v>0.22194000000000003</v>
      </c>
      <c r="E314" s="106"/>
      <c r="F314" s="131">
        <f t="shared" si="56"/>
        <v>21</v>
      </c>
      <c r="G314" s="106">
        <f t="shared" si="57"/>
        <v>0</v>
      </c>
      <c r="H314" s="106">
        <f t="shared" si="52"/>
        <v>0</v>
      </c>
      <c r="I314" s="103"/>
      <c r="J314" s="117"/>
      <c r="K314" s="287"/>
      <c r="L314" s="88"/>
      <c r="M314" s="127"/>
      <c r="N314" s="127"/>
      <c r="O314" s="90"/>
      <c r="P314" s="90"/>
      <c r="Q314" s="90"/>
    </row>
    <row r="315" spans="1:17" ht="15.75" customHeight="1">
      <c r="A315" s="120"/>
      <c r="B315" s="118">
        <f t="shared" si="53"/>
        <v>90</v>
      </c>
      <c r="C315" s="123">
        <f t="shared" si="54"/>
        <v>0.41</v>
      </c>
      <c r="D315" s="106">
        <f t="shared" si="55"/>
        <v>0.22194000000000003</v>
      </c>
      <c r="E315" s="106"/>
      <c r="F315" s="131">
        <f t="shared" si="56"/>
        <v>21</v>
      </c>
      <c r="G315" s="106">
        <f t="shared" si="57"/>
        <v>0</v>
      </c>
      <c r="H315" s="106">
        <f t="shared" si="52"/>
        <v>0</v>
      </c>
      <c r="I315" s="103"/>
      <c r="J315" s="117"/>
      <c r="K315" s="287"/>
      <c r="L315" s="88"/>
      <c r="M315" s="127"/>
      <c r="N315" s="127"/>
      <c r="O315" s="90"/>
      <c r="P315" s="90"/>
      <c r="Q315" s="90"/>
    </row>
    <row r="316" spans="1:17" ht="15.75" customHeight="1">
      <c r="A316" s="120"/>
      <c r="B316" s="118">
        <f t="shared" si="53"/>
        <v>91</v>
      </c>
      <c r="C316" s="123">
        <f t="shared" si="54"/>
        <v>0.41</v>
      </c>
      <c r="D316" s="106">
        <f t="shared" si="55"/>
        <v>0.22194000000000003</v>
      </c>
      <c r="E316" s="106"/>
      <c r="F316" s="131">
        <f t="shared" si="56"/>
        <v>20</v>
      </c>
      <c r="G316" s="106">
        <f t="shared" si="57"/>
        <v>0</v>
      </c>
      <c r="H316" s="106">
        <f t="shared" si="52"/>
        <v>0</v>
      </c>
      <c r="I316" s="103"/>
      <c r="J316" s="117"/>
      <c r="K316" s="287"/>
      <c r="L316" s="88"/>
      <c r="M316" s="127"/>
      <c r="N316" s="127"/>
      <c r="O316" s="90"/>
      <c r="P316" s="90"/>
      <c r="Q316" s="90"/>
    </row>
    <row r="317" spans="1:17" ht="15.75" customHeight="1">
      <c r="A317" s="120"/>
      <c r="B317" s="118">
        <f t="shared" si="53"/>
        <v>92</v>
      </c>
      <c r="C317" s="123">
        <f t="shared" si="54"/>
        <v>0.41</v>
      </c>
      <c r="D317" s="106">
        <f t="shared" si="55"/>
        <v>0.22194000000000003</v>
      </c>
      <c r="E317" s="106"/>
      <c r="F317" s="131">
        <f t="shared" si="56"/>
        <v>20</v>
      </c>
      <c r="G317" s="106">
        <f t="shared" si="57"/>
        <v>0</v>
      </c>
      <c r="H317" s="106">
        <f t="shared" si="52"/>
        <v>0</v>
      </c>
      <c r="I317" s="103"/>
      <c r="J317" s="117"/>
      <c r="K317" s="287"/>
      <c r="L317" s="88"/>
      <c r="M317" s="127"/>
      <c r="N317" s="127"/>
      <c r="O317" s="90"/>
      <c r="P317" s="90"/>
      <c r="Q317" s="90"/>
    </row>
    <row r="318" spans="1:17" ht="15.75" customHeight="1">
      <c r="A318" s="120"/>
      <c r="B318" s="118">
        <f t="shared" si="53"/>
        <v>93</v>
      </c>
      <c r="C318" s="123">
        <f t="shared" si="54"/>
        <v>0.41</v>
      </c>
      <c r="D318" s="106">
        <f t="shared" si="55"/>
        <v>0.22194000000000003</v>
      </c>
      <c r="E318" s="106"/>
      <c r="F318" s="131">
        <f t="shared" si="56"/>
        <v>21</v>
      </c>
      <c r="G318" s="106">
        <f t="shared" si="57"/>
        <v>0</v>
      </c>
      <c r="H318" s="106">
        <f t="shared" si="52"/>
        <v>0</v>
      </c>
      <c r="I318" s="103"/>
      <c r="J318" s="117"/>
      <c r="K318" s="287"/>
      <c r="L318" s="88"/>
      <c r="M318" s="127"/>
      <c r="N318" s="127"/>
      <c r="O318" s="90"/>
      <c r="P318" s="90"/>
      <c r="Q318" s="90"/>
    </row>
    <row r="319" spans="1:17" ht="15.75" customHeight="1">
      <c r="A319" s="120"/>
      <c r="B319" s="118">
        <f t="shared" si="53"/>
        <v>94</v>
      </c>
      <c r="C319" s="123">
        <f t="shared" si="54"/>
        <v>0.41</v>
      </c>
      <c r="D319" s="106">
        <f t="shared" si="55"/>
        <v>0.22194000000000003</v>
      </c>
      <c r="E319" s="106"/>
      <c r="F319" s="131">
        <f t="shared" si="56"/>
        <v>21</v>
      </c>
      <c r="G319" s="106">
        <f t="shared" si="57"/>
        <v>0</v>
      </c>
      <c r="H319" s="106">
        <f t="shared" si="52"/>
        <v>0</v>
      </c>
      <c r="I319" s="103"/>
      <c r="J319" s="117"/>
      <c r="K319" s="287"/>
      <c r="L319" s="88"/>
      <c r="M319" s="127"/>
      <c r="N319" s="127"/>
      <c r="O319" s="90"/>
      <c r="P319" s="90"/>
      <c r="Q319" s="90"/>
    </row>
    <row r="320" spans="1:17" ht="15.75" customHeight="1">
      <c r="A320" s="120"/>
      <c r="B320" s="118">
        <f t="shared" si="53"/>
        <v>95</v>
      </c>
      <c r="C320" s="123">
        <f t="shared" si="54"/>
        <v>0.41</v>
      </c>
      <c r="D320" s="106">
        <f t="shared" si="55"/>
        <v>0.22194000000000003</v>
      </c>
      <c r="E320" s="106"/>
      <c r="F320" s="131">
        <f t="shared" si="56"/>
        <v>21</v>
      </c>
      <c r="G320" s="106">
        <f t="shared" si="57"/>
        <v>0</v>
      </c>
      <c r="H320" s="106">
        <f t="shared" si="52"/>
        <v>0</v>
      </c>
      <c r="I320" s="103"/>
      <c r="J320" s="117"/>
      <c r="K320" s="287"/>
      <c r="L320" s="88"/>
      <c r="M320" s="127"/>
      <c r="N320" s="127"/>
      <c r="O320" s="90"/>
      <c r="P320" s="90"/>
      <c r="Q320" s="90"/>
    </row>
    <row r="321" spans="1:17" ht="15.75" customHeight="1">
      <c r="A321" s="120"/>
      <c r="B321" s="118">
        <f t="shared" si="53"/>
        <v>96</v>
      </c>
      <c r="C321" s="123">
        <f t="shared" si="54"/>
        <v>0.41</v>
      </c>
      <c r="D321" s="106">
        <f t="shared" si="55"/>
        <v>0.22194000000000003</v>
      </c>
      <c r="E321" s="106"/>
      <c r="F321" s="131">
        <f t="shared" si="56"/>
        <v>21</v>
      </c>
      <c r="G321" s="106">
        <f t="shared" si="57"/>
        <v>0</v>
      </c>
      <c r="H321" s="106">
        <f t="shared" si="52"/>
        <v>0</v>
      </c>
      <c r="I321" s="103"/>
      <c r="J321" s="117"/>
      <c r="K321" s="287"/>
      <c r="L321" s="88"/>
      <c r="M321" s="127"/>
      <c r="N321" s="127"/>
      <c r="O321" s="90"/>
      <c r="P321" s="90"/>
      <c r="Q321" s="90"/>
    </row>
    <row r="322" spans="1:17" ht="15.75" customHeight="1">
      <c r="A322" s="120"/>
      <c r="B322" s="118">
        <f t="shared" si="53"/>
        <v>97</v>
      </c>
      <c r="C322" s="123">
        <f t="shared" si="54"/>
        <v>0.41</v>
      </c>
      <c r="D322" s="106">
        <f t="shared" si="55"/>
        <v>0.22194000000000003</v>
      </c>
      <c r="E322" s="106"/>
      <c r="F322" s="131">
        <f t="shared" si="56"/>
        <v>20</v>
      </c>
      <c r="G322" s="106">
        <f t="shared" si="57"/>
        <v>0</v>
      </c>
      <c r="H322" s="106">
        <f t="shared" ref="H322:H323" si="58">C322*D322*(E322+F322)*G322</f>
        <v>0</v>
      </c>
      <c r="I322" s="103"/>
      <c r="J322" s="117"/>
      <c r="K322" s="287"/>
      <c r="L322" s="88"/>
      <c r="M322" s="127"/>
      <c r="N322" s="127"/>
      <c r="O322" s="90"/>
      <c r="P322" s="90"/>
      <c r="Q322" s="90"/>
    </row>
    <row r="323" spans="1:17" ht="15.75" customHeight="1">
      <c r="A323" s="120"/>
      <c r="B323" s="118">
        <f t="shared" si="53"/>
        <v>98</v>
      </c>
      <c r="C323" s="123">
        <f t="shared" si="54"/>
        <v>0.41</v>
      </c>
      <c r="D323" s="106">
        <f t="shared" si="55"/>
        <v>0.22194000000000003</v>
      </c>
      <c r="E323" s="106"/>
      <c r="F323" s="131">
        <f t="shared" ref="F323" si="59">ROUNDUP(E120/0.125,0.5)</f>
        <v>19</v>
      </c>
      <c r="G323" s="106">
        <f t="shared" si="57"/>
        <v>0</v>
      </c>
      <c r="H323" s="106">
        <f t="shared" si="58"/>
        <v>0</v>
      </c>
      <c r="I323" s="103"/>
      <c r="J323" s="117"/>
      <c r="K323" s="287"/>
      <c r="L323" s="88"/>
      <c r="M323" s="127"/>
      <c r="N323" s="127"/>
      <c r="O323" s="90"/>
      <c r="P323" s="90"/>
      <c r="Q323" s="90"/>
    </row>
    <row r="324" spans="1:17" ht="15.75" customHeight="1">
      <c r="A324" s="120"/>
      <c r="B324" s="118"/>
      <c r="C324" s="107"/>
      <c r="D324" s="107"/>
      <c r="E324" s="106"/>
      <c r="F324" s="106"/>
      <c r="G324" s="106"/>
      <c r="H324" s="115">
        <f>ROUNDUP((SUM(H226:H323)),5)</f>
        <v>265.34258999999997</v>
      </c>
      <c r="I324" s="116" t="s">
        <v>100</v>
      </c>
      <c r="J324" s="117">
        <f>ROUND((H324),2)</f>
        <v>265.33999999999997</v>
      </c>
      <c r="K324" s="88"/>
      <c r="L324" s="88"/>
      <c r="M324" s="88"/>
      <c r="N324" s="88"/>
      <c r="O324" s="90"/>
      <c r="P324" s="90"/>
      <c r="Q324" s="90"/>
    </row>
    <row r="325" spans="1:17" ht="15.75" customHeight="1">
      <c r="A325" s="120" t="s">
        <v>121</v>
      </c>
      <c r="B325" s="118" t="s">
        <v>102</v>
      </c>
      <c r="C325" s="107"/>
      <c r="D325" s="107"/>
      <c r="E325" s="106"/>
      <c r="F325" s="106"/>
      <c r="G325" s="106"/>
      <c r="H325" s="106"/>
      <c r="I325" s="103"/>
      <c r="J325" s="117"/>
      <c r="K325" s="88"/>
      <c r="L325" s="88"/>
      <c r="M325" s="88"/>
      <c r="N325" s="88"/>
      <c r="O325" s="90"/>
      <c r="P325" s="90"/>
      <c r="Q325" s="90"/>
    </row>
    <row r="326" spans="1:17" ht="15.75" customHeight="1">
      <c r="A326" s="120"/>
      <c r="B326" s="135">
        <v>1</v>
      </c>
      <c r="C326" s="107">
        <v>0.15</v>
      </c>
      <c r="D326" s="107">
        <v>0.15</v>
      </c>
      <c r="E326" s="106">
        <f t="shared" ref="E326:E357" si="60">E23</f>
        <v>4</v>
      </c>
      <c r="F326" s="106"/>
      <c r="G326" s="106">
        <f>G226</f>
        <v>108</v>
      </c>
      <c r="H326" s="131">
        <f t="shared" ref="H326:H357" si="61">C326*D326*E326*G326</f>
        <v>9.7199999999999989</v>
      </c>
      <c r="I326" s="103"/>
      <c r="J326" s="117"/>
      <c r="K326" s="88"/>
      <c r="L326" s="88"/>
      <c r="M326" s="88"/>
      <c r="N326" s="88"/>
      <c r="O326" s="90"/>
      <c r="P326" s="90"/>
      <c r="Q326" s="90"/>
    </row>
    <row r="327" spans="1:17" ht="15.75" customHeight="1">
      <c r="A327" s="120"/>
      <c r="B327" s="118">
        <v>2</v>
      </c>
      <c r="C327" s="107">
        <f t="shared" ref="C327:C358" si="62">C326</f>
        <v>0.15</v>
      </c>
      <c r="D327" s="107">
        <f t="shared" ref="D327:D358" si="63">D326</f>
        <v>0.15</v>
      </c>
      <c r="E327" s="106">
        <f t="shared" si="60"/>
        <v>4.2039999999999997</v>
      </c>
      <c r="F327" s="106"/>
      <c r="G327" s="106">
        <v>0</v>
      </c>
      <c r="H327" s="123">
        <f t="shared" si="61"/>
        <v>0</v>
      </c>
      <c r="I327" s="103"/>
      <c r="J327" s="117"/>
      <c r="K327" s="88"/>
      <c r="L327" s="88"/>
      <c r="M327" s="88"/>
      <c r="N327" s="88"/>
      <c r="O327" s="90"/>
      <c r="P327" s="90"/>
      <c r="Q327" s="90"/>
    </row>
    <row r="328" spans="1:17" ht="15.75" customHeight="1">
      <c r="A328" s="120"/>
      <c r="B328" s="118">
        <f t="shared" ref="B328:B359" si="64">B327+1</f>
        <v>3</v>
      </c>
      <c r="C328" s="107">
        <f t="shared" si="62"/>
        <v>0.15</v>
      </c>
      <c r="D328" s="107">
        <f t="shared" si="63"/>
        <v>0.15</v>
      </c>
      <c r="E328" s="106">
        <f t="shared" si="60"/>
        <v>4.1189999999999998</v>
      </c>
      <c r="F328" s="106"/>
      <c r="G328" s="106">
        <f t="shared" ref="G328:G359" si="65">G327</f>
        <v>0</v>
      </c>
      <c r="H328" s="123">
        <f t="shared" si="61"/>
        <v>0</v>
      </c>
      <c r="I328" s="103"/>
      <c r="J328" s="117"/>
      <c r="K328" s="88"/>
      <c r="L328" s="88"/>
      <c r="M328" s="88"/>
      <c r="N328" s="88"/>
      <c r="O328" s="90"/>
      <c r="P328" s="90"/>
      <c r="Q328" s="90"/>
    </row>
    <row r="329" spans="1:17" ht="15.75" customHeight="1">
      <c r="A329" s="120"/>
      <c r="B329" s="118">
        <f t="shared" si="64"/>
        <v>4</v>
      </c>
      <c r="C329" s="107">
        <f t="shared" si="62"/>
        <v>0.15</v>
      </c>
      <c r="D329" s="107">
        <f t="shared" si="63"/>
        <v>0.15</v>
      </c>
      <c r="E329" s="106">
        <f t="shared" si="60"/>
        <v>4.0279999999999996</v>
      </c>
      <c r="F329" s="106"/>
      <c r="G329" s="106">
        <f t="shared" si="65"/>
        <v>0</v>
      </c>
      <c r="H329" s="123">
        <f t="shared" si="61"/>
        <v>0</v>
      </c>
      <c r="I329" s="103"/>
      <c r="J329" s="117"/>
      <c r="K329" s="88"/>
      <c r="L329" s="88"/>
      <c r="M329" s="88"/>
      <c r="N329" s="88"/>
      <c r="O329" s="90"/>
      <c r="P329" s="90"/>
      <c r="Q329" s="90"/>
    </row>
    <row r="330" spans="1:17" ht="15.75" customHeight="1">
      <c r="A330" s="120"/>
      <c r="B330" s="118">
        <f t="shared" si="64"/>
        <v>5</v>
      </c>
      <c r="C330" s="107">
        <f t="shared" si="62"/>
        <v>0.15</v>
      </c>
      <c r="D330" s="107">
        <f t="shared" si="63"/>
        <v>0.15</v>
      </c>
      <c r="E330" s="106">
        <f t="shared" si="60"/>
        <v>3.9380000000000002</v>
      </c>
      <c r="F330" s="106"/>
      <c r="G330" s="106">
        <f t="shared" si="65"/>
        <v>0</v>
      </c>
      <c r="H330" s="123">
        <f t="shared" si="61"/>
        <v>0</v>
      </c>
      <c r="I330" s="103"/>
      <c r="J330" s="117"/>
      <c r="K330" s="88"/>
      <c r="L330" s="88"/>
      <c r="M330" s="88"/>
      <c r="N330" s="88"/>
      <c r="O330" s="90"/>
      <c r="P330" s="90"/>
      <c r="Q330" s="90"/>
    </row>
    <row r="331" spans="1:17" ht="15.75" customHeight="1">
      <c r="A331" s="120"/>
      <c r="B331" s="118">
        <f t="shared" si="64"/>
        <v>6</v>
      </c>
      <c r="C331" s="107">
        <f t="shared" si="62"/>
        <v>0.15</v>
      </c>
      <c r="D331" s="107">
        <f t="shared" si="63"/>
        <v>0.15</v>
      </c>
      <c r="E331" s="106">
        <f t="shared" si="60"/>
        <v>3.8010000000000002</v>
      </c>
      <c r="F331" s="106"/>
      <c r="G331" s="106">
        <f t="shared" si="65"/>
        <v>0</v>
      </c>
      <c r="H331" s="123">
        <f t="shared" si="61"/>
        <v>0</v>
      </c>
      <c r="I331" s="103"/>
      <c r="J331" s="117"/>
      <c r="K331" s="88"/>
      <c r="L331" s="88"/>
      <c r="M331" s="88"/>
      <c r="N331" s="88"/>
      <c r="O331" s="90"/>
      <c r="P331" s="90"/>
      <c r="Q331" s="90"/>
    </row>
    <row r="332" spans="1:17" ht="15.75" customHeight="1">
      <c r="A332" s="120"/>
      <c r="B332" s="118">
        <f t="shared" si="64"/>
        <v>7</v>
      </c>
      <c r="C332" s="107">
        <f t="shared" si="62"/>
        <v>0.15</v>
      </c>
      <c r="D332" s="107">
        <f t="shared" si="63"/>
        <v>0.15</v>
      </c>
      <c r="E332" s="106">
        <f t="shared" si="60"/>
        <v>3.7160000000000002</v>
      </c>
      <c r="F332" s="106"/>
      <c r="G332" s="106">
        <f t="shared" si="65"/>
        <v>0</v>
      </c>
      <c r="H332" s="123">
        <f t="shared" si="61"/>
        <v>0</v>
      </c>
      <c r="I332" s="103"/>
      <c r="J332" s="117"/>
      <c r="K332" s="88"/>
      <c r="L332" s="88"/>
      <c r="M332" s="88"/>
      <c r="N332" s="88"/>
      <c r="O332" s="90"/>
      <c r="P332" s="90"/>
      <c r="Q332" s="90"/>
    </row>
    <row r="333" spans="1:17" ht="15.75" customHeight="1">
      <c r="A333" s="120"/>
      <c r="B333" s="118">
        <f t="shared" si="64"/>
        <v>8</v>
      </c>
      <c r="C333" s="107">
        <f t="shared" si="62"/>
        <v>0.15</v>
      </c>
      <c r="D333" s="107">
        <f t="shared" si="63"/>
        <v>0.15</v>
      </c>
      <c r="E333" s="106">
        <f t="shared" si="60"/>
        <v>3.653</v>
      </c>
      <c r="F333" s="106"/>
      <c r="G333" s="106">
        <f t="shared" si="65"/>
        <v>0</v>
      </c>
      <c r="H333" s="123">
        <f t="shared" si="61"/>
        <v>0</v>
      </c>
      <c r="I333" s="103"/>
      <c r="J333" s="117"/>
      <c r="K333" s="88"/>
      <c r="L333" s="88"/>
      <c r="M333" s="88"/>
      <c r="N333" s="88"/>
      <c r="O333" s="90"/>
      <c r="P333" s="90"/>
      <c r="Q333" s="90"/>
    </row>
    <row r="334" spans="1:17" ht="15.75" customHeight="1">
      <c r="A334" s="120"/>
      <c r="B334" s="118">
        <f t="shared" si="64"/>
        <v>9</v>
      </c>
      <c r="C334" s="107">
        <f t="shared" si="62"/>
        <v>0.15</v>
      </c>
      <c r="D334" s="107">
        <f t="shared" si="63"/>
        <v>0.15</v>
      </c>
      <c r="E334" s="106">
        <f t="shared" si="60"/>
        <v>3.6</v>
      </c>
      <c r="F334" s="106"/>
      <c r="G334" s="106">
        <f t="shared" si="65"/>
        <v>0</v>
      </c>
      <c r="H334" s="123">
        <f t="shared" si="61"/>
        <v>0</v>
      </c>
      <c r="I334" s="103"/>
      <c r="J334" s="117"/>
      <c r="K334" s="88"/>
      <c r="L334" s="88"/>
      <c r="M334" s="88"/>
      <c r="N334" s="88"/>
      <c r="O334" s="90"/>
      <c r="P334" s="90"/>
      <c r="Q334" s="90"/>
    </row>
    <row r="335" spans="1:17" ht="15.75" customHeight="1">
      <c r="A335" s="120"/>
      <c r="B335" s="118">
        <f t="shared" si="64"/>
        <v>10</v>
      </c>
      <c r="C335" s="107">
        <f t="shared" si="62"/>
        <v>0.15</v>
      </c>
      <c r="D335" s="107">
        <f t="shared" si="63"/>
        <v>0.15</v>
      </c>
      <c r="E335" s="106">
        <f t="shared" si="60"/>
        <v>3.548</v>
      </c>
      <c r="F335" s="106"/>
      <c r="G335" s="106">
        <f t="shared" si="65"/>
        <v>0</v>
      </c>
      <c r="H335" s="123">
        <f t="shared" si="61"/>
        <v>0</v>
      </c>
      <c r="I335" s="103"/>
      <c r="J335" s="117"/>
      <c r="K335" s="88"/>
      <c r="L335" s="88"/>
      <c r="M335" s="88"/>
      <c r="N335" s="88"/>
      <c r="O335" s="90"/>
      <c r="P335" s="90"/>
      <c r="Q335" s="90"/>
    </row>
    <row r="336" spans="1:17" ht="15.75" customHeight="1">
      <c r="A336" s="120"/>
      <c r="B336" s="118">
        <f t="shared" si="64"/>
        <v>11</v>
      </c>
      <c r="C336" s="107">
        <f t="shared" si="62"/>
        <v>0.15</v>
      </c>
      <c r="D336" s="107">
        <f t="shared" si="63"/>
        <v>0.15</v>
      </c>
      <c r="E336" s="106">
        <f t="shared" si="60"/>
        <v>3.496</v>
      </c>
      <c r="F336" s="106"/>
      <c r="G336" s="106">
        <f t="shared" si="65"/>
        <v>0</v>
      </c>
      <c r="H336" s="123">
        <f t="shared" si="61"/>
        <v>0</v>
      </c>
      <c r="I336" s="103"/>
      <c r="J336" s="117"/>
      <c r="K336" s="88"/>
      <c r="L336" s="88"/>
      <c r="M336" s="88"/>
      <c r="N336" s="88"/>
      <c r="O336" s="90"/>
      <c r="P336" s="90"/>
      <c r="Q336" s="90"/>
    </row>
    <row r="337" spans="1:17" ht="15.75" customHeight="1">
      <c r="A337" s="120"/>
      <c r="B337" s="118">
        <f t="shared" si="64"/>
        <v>12</v>
      </c>
      <c r="C337" s="107">
        <f t="shared" si="62"/>
        <v>0.15</v>
      </c>
      <c r="D337" s="107">
        <f t="shared" si="63"/>
        <v>0.15</v>
      </c>
      <c r="E337" s="106">
        <f t="shared" si="60"/>
        <v>3.4430000000000001</v>
      </c>
      <c r="F337" s="106"/>
      <c r="G337" s="106">
        <f t="shared" si="65"/>
        <v>0</v>
      </c>
      <c r="H337" s="123">
        <f t="shared" si="61"/>
        <v>0</v>
      </c>
      <c r="I337" s="103"/>
      <c r="J337" s="117"/>
      <c r="K337" s="88"/>
      <c r="L337" s="88"/>
      <c r="M337" s="88"/>
      <c r="N337" s="88"/>
      <c r="O337" s="90"/>
      <c r="P337" s="90"/>
      <c r="Q337" s="90"/>
    </row>
    <row r="338" spans="1:17" ht="15.75" customHeight="1">
      <c r="A338" s="120"/>
      <c r="B338" s="118">
        <f t="shared" si="64"/>
        <v>13</v>
      </c>
      <c r="C338" s="107">
        <f t="shared" si="62"/>
        <v>0.15</v>
      </c>
      <c r="D338" s="107">
        <f t="shared" si="63"/>
        <v>0.15</v>
      </c>
      <c r="E338" s="106">
        <f t="shared" si="60"/>
        <v>3.4020000000000001</v>
      </c>
      <c r="F338" s="106"/>
      <c r="G338" s="106">
        <f t="shared" si="65"/>
        <v>0</v>
      </c>
      <c r="H338" s="123">
        <f t="shared" si="61"/>
        <v>0</v>
      </c>
      <c r="I338" s="103"/>
      <c r="J338" s="117"/>
      <c r="K338" s="88"/>
      <c r="L338" s="88"/>
      <c r="M338" s="88"/>
      <c r="N338" s="88"/>
      <c r="O338" s="90"/>
      <c r="P338" s="90"/>
      <c r="Q338" s="90"/>
    </row>
    <row r="339" spans="1:17" ht="15.75" customHeight="1">
      <c r="A339" s="120"/>
      <c r="B339" s="118">
        <f t="shared" si="64"/>
        <v>14</v>
      </c>
      <c r="C339" s="107">
        <f t="shared" si="62"/>
        <v>0.15</v>
      </c>
      <c r="D339" s="107">
        <f t="shared" si="63"/>
        <v>0.15</v>
      </c>
      <c r="E339" s="106">
        <f t="shared" si="60"/>
        <v>3.407</v>
      </c>
      <c r="F339" s="106"/>
      <c r="G339" s="106">
        <f t="shared" si="65"/>
        <v>0</v>
      </c>
      <c r="H339" s="123">
        <f t="shared" si="61"/>
        <v>0</v>
      </c>
      <c r="I339" s="103"/>
      <c r="J339" s="117"/>
      <c r="K339" s="88"/>
      <c r="L339" s="88"/>
      <c r="M339" s="88"/>
      <c r="N339" s="88"/>
      <c r="O339" s="90"/>
      <c r="P339" s="90"/>
      <c r="Q339" s="90"/>
    </row>
    <row r="340" spans="1:17" ht="15.75" customHeight="1">
      <c r="A340" s="120"/>
      <c r="B340" s="118">
        <f t="shared" si="64"/>
        <v>15</v>
      </c>
      <c r="C340" s="107">
        <f t="shared" si="62"/>
        <v>0.15</v>
      </c>
      <c r="D340" s="107">
        <f t="shared" si="63"/>
        <v>0.15</v>
      </c>
      <c r="E340" s="106">
        <f t="shared" si="60"/>
        <v>3.407</v>
      </c>
      <c r="F340" s="106"/>
      <c r="G340" s="106">
        <f t="shared" si="65"/>
        <v>0</v>
      </c>
      <c r="H340" s="123">
        <f t="shared" si="61"/>
        <v>0</v>
      </c>
      <c r="I340" s="103"/>
      <c r="J340" s="117"/>
      <c r="K340" s="88"/>
      <c r="L340" s="88"/>
      <c r="M340" s="88"/>
      <c r="N340" s="88"/>
      <c r="O340" s="90"/>
      <c r="P340" s="90"/>
      <c r="Q340" s="90"/>
    </row>
    <row r="341" spans="1:17" ht="15.75" customHeight="1">
      <c r="A341" s="120"/>
      <c r="B341" s="118">
        <f t="shared" si="64"/>
        <v>16</v>
      </c>
      <c r="C341" s="107">
        <f t="shared" si="62"/>
        <v>0.15</v>
      </c>
      <c r="D341" s="107">
        <f t="shared" si="63"/>
        <v>0.15</v>
      </c>
      <c r="E341" s="106">
        <f t="shared" si="60"/>
        <v>3.4</v>
      </c>
      <c r="F341" s="106"/>
      <c r="G341" s="106">
        <f t="shared" si="65"/>
        <v>0</v>
      </c>
      <c r="H341" s="123">
        <f t="shared" si="61"/>
        <v>0</v>
      </c>
      <c r="I341" s="103"/>
      <c r="J341" s="117"/>
      <c r="K341" s="88"/>
      <c r="L341" s="88"/>
      <c r="M341" s="88"/>
      <c r="N341" s="88"/>
      <c r="O341" s="90"/>
      <c r="P341" s="90"/>
      <c r="Q341" s="90"/>
    </row>
    <row r="342" spans="1:17" ht="15.75" customHeight="1">
      <c r="A342" s="120"/>
      <c r="B342" s="118">
        <f t="shared" si="64"/>
        <v>17</v>
      </c>
      <c r="C342" s="107">
        <f t="shared" si="62"/>
        <v>0.15</v>
      </c>
      <c r="D342" s="107">
        <f t="shared" si="63"/>
        <v>0.15</v>
      </c>
      <c r="E342" s="106">
        <f t="shared" si="60"/>
        <v>3.3929999999999998</v>
      </c>
      <c r="F342" s="106"/>
      <c r="G342" s="106">
        <f t="shared" si="65"/>
        <v>0</v>
      </c>
      <c r="H342" s="123">
        <f t="shared" si="61"/>
        <v>0</v>
      </c>
      <c r="I342" s="103"/>
      <c r="J342" s="117"/>
      <c r="K342" s="88"/>
      <c r="L342" s="88"/>
      <c r="M342" s="88"/>
      <c r="N342" s="88"/>
      <c r="O342" s="90"/>
      <c r="P342" s="90"/>
      <c r="Q342" s="90"/>
    </row>
    <row r="343" spans="1:17" ht="15.75" customHeight="1">
      <c r="A343" s="120"/>
      <c r="B343" s="118">
        <f t="shared" si="64"/>
        <v>18</v>
      </c>
      <c r="C343" s="107">
        <f t="shared" si="62"/>
        <v>0.15</v>
      </c>
      <c r="D343" s="107">
        <f t="shared" si="63"/>
        <v>0.15</v>
      </c>
      <c r="E343" s="106">
        <f t="shared" si="60"/>
        <v>3.3860000000000001</v>
      </c>
      <c r="F343" s="106"/>
      <c r="G343" s="106">
        <f t="shared" si="65"/>
        <v>0</v>
      </c>
      <c r="H343" s="123">
        <f t="shared" si="61"/>
        <v>0</v>
      </c>
      <c r="I343" s="103"/>
      <c r="J343" s="117"/>
      <c r="K343" s="88"/>
      <c r="L343" s="88"/>
      <c r="M343" s="88"/>
      <c r="N343" s="88"/>
      <c r="O343" s="90"/>
      <c r="P343" s="90"/>
      <c r="Q343" s="90"/>
    </row>
    <row r="344" spans="1:17" ht="15.75" customHeight="1">
      <c r="A344" s="120"/>
      <c r="B344" s="118">
        <f t="shared" si="64"/>
        <v>19</v>
      </c>
      <c r="C344" s="107">
        <f t="shared" si="62"/>
        <v>0.15</v>
      </c>
      <c r="D344" s="107">
        <f t="shared" si="63"/>
        <v>0.15</v>
      </c>
      <c r="E344" s="106">
        <f t="shared" si="60"/>
        <v>3.3959999999999999</v>
      </c>
      <c r="F344" s="106"/>
      <c r="G344" s="106">
        <f t="shared" si="65"/>
        <v>0</v>
      </c>
      <c r="H344" s="123">
        <f t="shared" si="61"/>
        <v>0</v>
      </c>
      <c r="I344" s="103"/>
      <c r="J344" s="117"/>
      <c r="K344" s="88"/>
      <c r="L344" s="88"/>
      <c r="M344" s="88"/>
      <c r="N344" s="88"/>
      <c r="O344" s="90"/>
      <c r="P344" s="90"/>
      <c r="Q344" s="90"/>
    </row>
    <row r="345" spans="1:17" ht="15.75" customHeight="1">
      <c r="A345" s="120"/>
      <c r="B345" s="118">
        <f t="shared" si="64"/>
        <v>20</v>
      </c>
      <c r="C345" s="107">
        <f t="shared" si="62"/>
        <v>0.15</v>
      </c>
      <c r="D345" s="107">
        <f t="shared" si="63"/>
        <v>0.15</v>
      </c>
      <c r="E345" s="106">
        <f t="shared" si="60"/>
        <v>3.407</v>
      </c>
      <c r="F345" s="106"/>
      <c r="G345" s="106">
        <f t="shared" si="65"/>
        <v>0</v>
      </c>
      <c r="H345" s="123">
        <f t="shared" si="61"/>
        <v>0</v>
      </c>
      <c r="I345" s="103"/>
      <c r="J345" s="117"/>
      <c r="K345" s="88"/>
      <c r="L345" s="88"/>
      <c r="M345" s="88"/>
      <c r="N345" s="88"/>
      <c r="O345" s="90"/>
      <c r="P345" s="90"/>
      <c r="Q345" s="90"/>
    </row>
    <row r="346" spans="1:17" ht="15.75" customHeight="1">
      <c r="A346" s="120"/>
      <c r="B346" s="118">
        <f t="shared" si="64"/>
        <v>21</v>
      </c>
      <c r="C346" s="107">
        <f t="shared" si="62"/>
        <v>0.15</v>
      </c>
      <c r="D346" s="107">
        <f t="shared" si="63"/>
        <v>0.15</v>
      </c>
      <c r="E346" s="106">
        <f t="shared" si="60"/>
        <v>3.3450000000000002</v>
      </c>
      <c r="F346" s="106"/>
      <c r="G346" s="106">
        <f t="shared" si="65"/>
        <v>0</v>
      </c>
      <c r="H346" s="123">
        <f t="shared" si="61"/>
        <v>0</v>
      </c>
      <c r="I346" s="103"/>
      <c r="J346" s="117"/>
      <c r="K346" s="88"/>
      <c r="L346" s="88"/>
      <c r="M346" s="88"/>
      <c r="N346" s="88"/>
      <c r="O346" s="90"/>
      <c r="P346" s="90"/>
      <c r="Q346" s="90"/>
    </row>
    <row r="347" spans="1:17" ht="15.75" customHeight="1">
      <c r="A347" s="120"/>
      <c r="B347" s="118">
        <f t="shared" si="64"/>
        <v>22</v>
      </c>
      <c r="C347" s="107">
        <f t="shared" si="62"/>
        <v>0.15</v>
      </c>
      <c r="D347" s="107">
        <f t="shared" si="63"/>
        <v>0.15</v>
      </c>
      <c r="E347" s="106">
        <f t="shared" si="60"/>
        <v>3.2629999999999999</v>
      </c>
      <c r="F347" s="106"/>
      <c r="G347" s="106">
        <f t="shared" si="65"/>
        <v>0</v>
      </c>
      <c r="H347" s="123">
        <f t="shared" si="61"/>
        <v>0</v>
      </c>
      <c r="I347" s="103"/>
      <c r="J347" s="117"/>
      <c r="K347" s="88"/>
      <c r="L347" s="88"/>
      <c r="M347" s="88"/>
      <c r="N347" s="88"/>
      <c r="O347" s="90"/>
      <c r="P347" s="90"/>
      <c r="Q347" s="90"/>
    </row>
    <row r="348" spans="1:17" ht="15.75" customHeight="1">
      <c r="A348" s="120"/>
      <c r="B348" s="118">
        <f t="shared" si="64"/>
        <v>23</v>
      </c>
      <c r="C348" s="107">
        <f t="shared" si="62"/>
        <v>0.15</v>
      </c>
      <c r="D348" s="107">
        <f t="shared" si="63"/>
        <v>0.15</v>
      </c>
      <c r="E348" s="106">
        <f t="shared" si="60"/>
        <v>3.258</v>
      </c>
      <c r="F348" s="106"/>
      <c r="G348" s="106">
        <f t="shared" si="65"/>
        <v>0</v>
      </c>
      <c r="H348" s="123">
        <f t="shared" si="61"/>
        <v>0</v>
      </c>
      <c r="I348" s="103"/>
      <c r="J348" s="117"/>
      <c r="K348" s="88"/>
      <c r="L348" s="88"/>
      <c r="M348" s="88"/>
      <c r="N348" s="88"/>
      <c r="O348" s="90"/>
      <c r="P348" s="90"/>
      <c r="Q348" s="90"/>
    </row>
    <row r="349" spans="1:17" ht="15.75" customHeight="1">
      <c r="A349" s="120"/>
      <c r="B349" s="118">
        <f t="shared" si="64"/>
        <v>24</v>
      </c>
      <c r="C349" s="107">
        <f t="shared" si="62"/>
        <v>0.15</v>
      </c>
      <c r="D349" s="107">
        <f t="shared" si="63"/>
        <v>0.15</v>
      </c>
      <c r="E349" s="106">
        <f t="shared" si="60"/>
        <v>3.2530000000000001</v>
      </c>
      <c r="F349" s="106"/>
      <c r="G349" s="106">
        <f t="shared" si="65"/>
        <v>0</v>
      </c>
      <c r="H349" s="123">
        <f t="shared" si="61"/>
        <v>0</v>
      </c>
      <c r="I349" s="103"/>
      <c r="J349" s="117"/>
      <c r="K349" s="88"/>
      <c r="L349" s="88"/>
      <c r="M349" s="88"/>
      <c r="N349" s="88"/>
      <c r="O349" s="90"/>
      <c r="P349" s="90"/>
      <c r="Q349" s="90"/>
    </row>
    <row r="350" spans="1:17" ht="15.75" customHeight="1">
      <c r="A350" s="120"/>
      <c r="B350" s="118">
        <f t="shared" si="64"/>
        <v>25</v>
      </c>
      <c r="C350" s="107">
        <f t="shared" si="62"/>
        <v>0.15</v>
      </c>
      <c r="D350" s="107">
        <f t="shared" si="63"/>
        <v>0.15</v>
      </c>
      <c r="E350" s="106">
        <f t="shared" si="60"/>
        <v>3.2429999999999999</v>
      </c>
      <c r="F350" s="106"/>
      <c r="G350" s="106">
        <f t="shared" si="65"/>
        <v>0</v>
      </c>
      <c r="H350" s="123">
        <f t="shared" si="61"/>
        <v>0</v>
      </c>
      <c r="I350" s="103"/>
      <c r="J350" s="117"/>
      <c r="K350" s="88"/>
      <c r="L350" s="88"/>
      <c r="M350" s="88"/>
      <c r="N350" s="88"/>
      <c r="O350" s="90"/>
      <c r="P350" s="90"/>
      <c r="Q350" s="90"/>
    </row>
    <row r="351" spans="1:17" ht="15.75" customHeight="1">
      <c r="A351" s="120"/>
      <c r="B351" s="118">
        <f t="shared" si="64"/>
        <v>26</v>
      </c>
      <c r="C351" s="107">
        <f t="shared" si="62"/>
        <v>0.15</v>
      </c>
      <c r="D351" s="107">
        <f t="shared" si="63"/>
        <v>0.15</v>
      </c>
      <c r="E351" s="106">
        <f t="shared" si="60"/>
        <v>3.2320000000000002</v>
      </c>
      <c r="F351" s="106"/>
      <c r="G351" s="106">
        <f t="shared" si="65"/>
        <v>0</v>
      </c>
      <c r="H351" s="123">
        <f t="shared" si="61"/>
        <v>0</v>
      </c>
      <c r="I351" s="103"/>
      <c r="J351" s="117"/>
      <c r="K351" s="88"/>
      <c r="L351" s="88"/>
      <c r="M351" s="88"/>
      <c r="N351" s="88"/>
      <c r="O351" s="90"/>
      <c r="P351" s="90"/>
      <c r="Q351" s="90"/>
    </row>
    <row r="352" spans="1:17" ht="15.75" customHeight="1">
      <c r="A352" s="120"/>
      <c r="B352" s="118">
        <f t="shared" si="64"/>
        <v>27</v>
      </c>
      <c r="C352" s="107">
        <f t="shared" si="62"/>
        <v>0.15</v>
      </c>
      <c r="D352" s="107">
        <f t="shared" si="63"/>
        <v>0.15</v>
      </c>
      <c r="E352" s="106">
        <f t="shared" si="60"/>
        <v>3.222</v>
      </c>
      <c r="F352" s="106"/>
      <c r="G352" s="106">
        <f t="shared" si="65"/>
        <v>0</v>
      </c>
      <c r="H352" s="123">
        <f t="shared" si="61"/>
        <v>0</v>
      </c>
      <c r="I352" s="103"/>
      <c r="J352" s="117"/>
      <c r="K352" s="88"/>
      <c r="L352" s="88"/>
      <c r="M352" s="88"/>
      <c r="N352" s="88"/>
      <c r="O352" s="90"/>
      <c r="P352" s="90"/>
      <c r="Q352" s="90"/>
    </row>
    <row r="353" spans="1:17" ht="15.75" customHeight="1">
      <c r="A353" s="120"/>
      <c r="B353" s="118">
        <f t="shared" si="64"/>
        <v>28</v>
      </c>
      <c r="C353" s="107">
        <f t="shared" si="62"/>
        <v>0.15</v>
      </c>
      <c r="D353" s="107">
        <f t="shared" si="63"/>
        <v>0.15</v>
      </c>
      <c r="E353" s="106">
        <f t="shared" si="60"/>
        <v>3.2109999999999999</v>
      </c>
      <c r="F353" s="106"/>
      <c r="G353" s="106">
        <f t="shared" si="65"/>
        <v>0</v>
      </c>
      <c r="H353" s="123">
        <f t="shared" si="61"/>
        <v>0</v>
      </c>
      <c r="I353" s="103"/>
      <c r="J353" s="117"/>
      <c r="K353" s="88"/>
      <c r="L353" s="88"/>
      <c r="M353" s="88"/>
      <c r="N353" s="88"/>
      <c r="O353" s="90"/>
      <c r="P353" s="90"/>
      <c r="Q353" s="90"/>
    </row>
    <row r="354" spans="1:17" ht="15.75" customHeight="1">
      <c r="A354" s="120"/>
      <c r="B354" s="118">
        <f t="shared" si="64"/>
        <v>29</v>
      </c>
      <c r="C354" s="107">
        <f t="shared" si="62"/>
        <v>0.15</v>
      </c>
      <c r="D354" s="107">
        <f t="shared" si="63"/>
        <v>0.15</v>
      </c>
      <c r="E354" s="106">
        <f t="shared" si="60"/>
        <v>3.198</v>
      </c>
      <c r="F354" s="106"/>
      <c r="G354" s="106">
        <f t="shared" si="65"/>
        <v>0</v>
      </c>
      <c r="H354" s="123">
        <f t="shared" si="61"/>
        <v>0</v>
      </c>
      <c r="I354" s="103"/>
      <c r="J354" s="117"/>
      <c r="K354" s="88"/>
      <c r="L354" s="88"/>
      <c r="M354" s="88"/>
      <c r="N354" s="88"/>
      <c r="O354" s="90"/>
      <c r="P354" s="90"/>
      <c r="Q354" s="90"/>
    </row>
    <row r="355" spans="1:17" ht="15.75" customHeight="1">
      <c r="A355" s="120"/>
      <c r="B355" s="118">
        <f t="shared" si="64"/>
        <v>30</v>
      </c>
      <c r="C355" s="107">
        <f t="shared" si="62"/>
        <v>0.15</v>
      </c>
      <c r="D355" s="107">
        <f t="shared" si="63"/>
        <v>0.15</v>
      </c>
      <c r="E355" s="106">
        <f t="shared" si="60"/>
        <v>3.1840000000000002</v>
      </c>
      <c r="F355" s="106"/>
      <c r="G355" s="106">
        <f t="shared" si="65"/>
        <v>0</v>
      </c>
      <c r="H355" s="123">
        <f t="shared" si="61"/>
        <v>0</v>
      </c>
      <c r="I355" s="103"/>
      <c r="J355" s="117"/>
      <c r="K355" s="88"/>
      <c r="L355" s="88"/>
      <c r="M355" s="88"/>
      <c r="N355" s="88"/>
      <c r="O355" s="90"/>
      <c r="P355" s="90"/>
      <c r="Q355" s="90"/>
    </row>
    <row r="356" spans="1:17" ht="15.75" customHeight="1">
      <c r="A356" s="120"/>
      <c r="B356" s="118">
        <f t="shared" si="64"/>
        <v>31</v>
      </c>
      <c r="C356" s="107">
        <f t="shared" si="62"/>
        <v>0.15</v>
      </c>
      <c r="D356" s="107">
        <f t="shared" si="63"/>
        <v>0.15</v>
      </c>
      <c r="E356" s="106">
        <f t="shared" si="60"/>
        <v>3.1720000000000002</v>
      </c>
      <c r="F356" s="106"/>
      <c r="G356" s="106">
        <f t="shared" si="65"/>
        <v>0</v>
      </c>
      <c r="H356" s="123">
        <f t="shared" si="61"/>
        <v>0</v>
      </c>
      <c r="I356" s="103"/>
      <c r="J356" s="117"/>
      <c r="K356" s="88"/>
      <c r="L356" s="88"/>
      <c r="M356" s="88"/>
      <c r="N356" s="88"/>
      <c r="O356" s="90"/>
      <c r="P356" s="90"/>
      <c r="Q356" s="90"/>
    </row>
    <row r="357" spans="1:17" ht="15.75" customHeight="1">
      <c r="A357" s="120"/>
      <c r="B357" s="118">
        <f t="shared" si="64"/>
        <v>32</v>
      </c>
      <c r="C357" s="107">
        <f t="shared" si="62"/>
        <v>0.15</v>
      </c>
      <c r="D357" s="107">
        <f t="shared" si="63"/>
        <v>0.15</v>
      </c>
      <c r="E357" s="106">
        <f t="shared" si="60"/>
        <v>3.1589999999999998</v>
      </c>
      <c r="F357" s="106"/>
      <c r="G357" s="106">
        <f t="shared" si="65"/>
        <v>0</v>
      </c>
      <c r="H357" s="123">
        <f t="shared" si="61"/>
        <v>0</v>
      </c>
      <c r="I357" s="103"/>
      <c r="J357" s="117"/>
      <c r="K357" s="88"/>
      <c r="L357" s="88"/>
      <c r="M357" s="88"/>
      <c r="N357" s="88"/>
      <c r="O357" s="90"/>
      <c r="P357" s="90"/>
      <c r="Q357" s="90"/>
    </row>
    <row r="358" spans="1:17" ht="15.75" customHeight="1">
      <c r="A358" s="120"/>
      <c r="B358" s="118">
        <f t="shared" si="64"/>
        <v>33</v>
      </c>
      <c r="C358" s="107">
        <f t="shared" si="62"/>
        <v>0.15</v>
      </c>
      <c r="D358" s="107">
        <f t="shared" si="63"/>
        <v>0.15</v>
      </c>
      <c r="E358" s="106">
        <f t="shared" ref="E358:E389" si="66">E55</f>
        <v>3.1469999999999998</v>
      </c>
      <c r="F358" s="106"/>
      <c r="G358" s="106">
        <f t="shared" si="65"/>
        <v>0</v>
      </c>
      <c r="H358" s="123">
        <f t="shared" ref="H358:H389" si="67">C358*D358*E358*G358</f>
        <v>0</v>
      </c>
      <c r="I358" s="103"/>
      <c r="J358" s="117"/>
      <c r="K358" s="88"/>
      <c r="L358" s="88"/>
      <c r="M358" s="88"/>
      <c r="N358" s="88"/>
      <c r="O358" s="90"/>
      <c r="P358" s="90"/>
      <c r="Q358" s="90"/>
    </row>
    <row r="359" spans="1:17" ht="15.75" customHeight="1">
      <c r="A359" s="120"/>
      <c r="B359" s="118">
        <f t="shared" si="64"/>
        <v>34</v>
      </c>
      <c r="C359" s="107">
        <f t="shared" ref="C359:C390" si="68">C358</f>
        <v>0.15</v>
      </c>
      <c r="D359" s="107">
        <f t="shared" ref="D359:D390" si="69">D358</f>
        <v>0.15</v>
      </c>
      <c r="E359" s="106">
        <f t="shared" si="66"/>
        <v>3.137</v>
      </c>
      <c r="F359" s="106"/>
      <c r="G359" s="106">
        <f t="shared" si="65"/>
        <v>0</v>
      </c>
      <c r="H359" s="123">
        <f t="shared" si="67"/>
        <v>0</v>
      </c>
      <c r="I359" s="103"/>
      <c r="J359" s="117"/>
      <c r="K359" s="88"/>
      <c r="L359" s="88"/>
      <c r="M359" s="88"/>
      <c r="N359" s="88"/>
      <c r="O359" s="90"/>
      <c r="P359" s="90"/>
      <c r="Q359" s="90"/>
    </row>
    <row r="360" spans="1:17" ht="15.75" customHeight="1">
      <c r="A360" s="120"/>
      <c r="B360" s="118">
        <f t="shared" ref="B360:B391" si="70">B359+1</f>
        <v>35</v>
      </c>
      <c r="C360" s="107">
        <f t="shared" si="68"/>
        <v>0.15</v>
      </c>
      <c r="D360" s="107">
        <f t="shared" si="69"/>
        <v>0.15</v>
      </c>
      <c r="E360" s="106">
        <f t="shared" si="66"/>
        <v>3.129</v>
      </c>
      <c r="F360" s="106"/>
      <c r="G360" s="106">
        <f t="shared" ref="G360:G391" si="71">G359</f>
        <v>0</v>
      </c>
      <c r="H360" s="123">
        <f t="shared" si="67"/>
        <v>0</v>
      </c>
      <c r="I360" s="103"/>
      <c r="J360" s="117"/>
      <c r="K360" s="88"/>
      <c r="L360" s="88"/>
      <c r="M360" s="88"/>
      <c r="N360" s="88"/>
      <c r="O360" s="90"/>
      <c r="P360" s="90"/>
      <c r="Q360" s="90"/>
    </row>
    <row r="361" spans="1:17" ht="15.75" customHeight="1">
      <c r="A361" s="120"/>
      <c r="B361" s="118">
        <f t="shared" si="70"/>
        <v>36</v>
      </c>
      <c r="C361" s="107">
        <f t="shared" si="68"/>
        <v>0.15</v>
      </c>
      <c r="D361" s="107">
        <f t="shared" si="69"/>
        <v>0.15</v>
      </c>
      <c r="E361" s="106">
        <f t="shared" si="66"/>
        <v>3.121</v>
      </c>
      <c r="F361" s="106"/>
      <c r="G361" s="106">
        <f t="shared" si="71"/>
        <v>0</v>
      </c>
      <c r="H361" s="123">
        <f t="shared" si="67"/>
        <v>0</v>
      </c>
      <c r="I361" s="103"/>
      <c r="J361" s="117"/>
      <c r="K361" s="88"/>
      <c r="L361" s="88"/>
      <c r="M361" s="88"/>
      <c r="N361" s="88"/>
      <c r="O361" s="90"/>
      <c r="P361" s="90"/>
      <c r="Q361" s="90"/>
    </row>
    <row r="362" spans="1:17" ht="15.75" customHeight="1">
      <c r="A362" s="120"/>
      <c r="B362" s="118">
        <f t="shared" si="70"/>
        <v>37</v>
      </c>
      <c r="C362" s="107">
        <f t="shared" si="68"/>
        <v>0.15</v>
      </c>
      <c r="D362" s="107">
        <f t="shared" si="69"/>
        <v>0.15</v>
      </c>
      <c r="E362" s="106">
        <f t="shared" si="66"/>
        <v>3.1179999999999999</v>
      </c>
      <c r="F362" s="106"/>
      <c r="G362" s="106">
        <f t="shared" si="71"/>
        <v>0</v>
      </c>
      <c r="H362" s="123">
        <f t="shared" si="67"/>
        <v>0</v>
      </c>
      <c r="I362" s="103"/>
      <c r="J362" s="117"/>
      <c r="K362" s="88"/>
      <c r="L362" s="88"/>
      <c r="M362" s="88"/>
      <c r="N362" s="88"/>
      <c r="O362" s="90"/>
      <c r="P362" s="90"/>
      <c r="Q362" s="90"/>
    </row>
    <row r="363" spans="1:17" ht="15.75" customHeight="1">
      <c r="A363" s="120"/>
      <c r="B363" s="118">
        <f t="shared" si="70"/>
        <v>38</v>
      </c>
      <c r="C363" s="107">
        <f t="shared" si="68"/>
        <v>0.15</v>
      </c>
      <c r="D363" s="107">
        <f t="shared" si="69"/>
        <v>0.15</v>
      </c>
      <c r="E363" s="106">
        <f t="shared" si="66"/>
        <v>3.1160000000000001</v>
      </c>
      <c r="F363" s="106"/>
      <c r="G363" s="106">
        <f t="shared" si="71"/>
        <v>0</v>
      </c>
      <c r="H363" s="123">
        <f t="shared" si="67"/>
        <v>0</v>
      </c>
      <c r="I363" s="103"/>
      <c r="J363" s="117"/>
      <c r="K363" s="88"/>
      <c r="L363" s="88"/>
      <c r="M363" s="88"/>
      <c r="N363" s="88"/>
      <c r="O363" s="90"/>
      <c r="P363" s="90"/>
      <c r="Q363" s="90"/>
    </row>
    <row r="364" spans="1:17" ht="15.75" customHeight="1">
      <c r="A364" s="120"/>
      <c r="B364" s="118">
        <f t="shared" si="70"/>
        <v>39</v>
      </c>
      <c r="C364" s="107">
        <f t="shared" si="68"/>
        <v>0.15</v>
      </c>
      <c r="D364" s="107">
        <f t="shared" si="69"/>
        <v>0.15</v>
      </c>
      <c r="E364" s="106">
        <f t="shared" si="66"/>
        <v>3.1110000000000002</v>
      </c>
      <c r="F364" s="106"/>
      <c r="G364" s="106">
        <f t="shared" si="71"/>
        <v>0</v>
      </c>
      <c r="H364" s="123">
        <f t="shared" si="67"/>
        <v>0</v>
      </c>
      <c r="I364" s="103"/>
      <c r="J364" s="117"/>
      <c r="K364" s="88"/>
      <c r="L364" s="88"/>
      <c r="M364" s="88"/>
      <c r="N364" s="88"/>
      <c r="O364" s="90"/>
      <c r="P364" s="90"/>
      <c r="Q364" s="90"/>
    </row>
    <row r="365" spans="1:17" ht="15.75" customHeight="1">
      <c r="A365" s="120"/>
      <c r="B365" s="118">
        <f t="shared" si="70"/>
        <v>40</v>
      </c>
      <c r="C365" s="107">
        <f t="shared" si="68"/>
        <v>0.15</v>
      </c>
      <c r="D365" s="107">
        <f t="shared" si="69"/>
        <v>0.15</v>
      </c>
      <c r="E365" s="106">
        <f t="shared" si="66"/>
        <v>3.1030000000000002</v>
      </c>
      <c r="F365" s="106"/>
      <c r="G365" s="106">
        <f t="shared" si="71"/>
        <v>0</v>
      </c>
      <c r="H365" s="123">
        <f t="shared" si="67"/>
        <v>0</v>
      </c>
      <c r="I365" s="103"/>
      <c r="J365" s="117"/>
      <c r="K365" s="88"/>
      <c r="L365" s="88"/>
      <c r="M365" s="88"/>
      <c r="N365" s="88"/>
      <c r="O365" s="90"/>
      <c r="P365" s="90"/>
      <c r="Q365" s="90"/>
    </row>
    <row r="366" spans="1:17" ht="15.75" customHeight="1">
      <c r="A366" s="120"/>
      <c r="B366" s="118">
        <f t="shared" si="70"/>
        <v>41</v>
      </c>
      <c r="C366" s="107">
        <f t="shared" si="68"/>
        <v>0.15</v>
      </c>
      <c r="D366" s="107">
        <f t="shared" si="69"/>
        <v>0.15</v>
      </c>
      <c r="E366" s="106">
        <f t="shared" si="66"/>
        <v>3.0960000000000001</v>
      </c>
      <c r="F366" s="106"/>
      <c r="G366" s="106">
        <f t="shared" si="71"/>
        <v>0</v>
      </c>
      <c r="H366" s="123">
        <f t="shared" si="67"/>
        <v>0</v>
      </c>
      <c r="I366" s="103"/>
      <c r="J366" s="117"/>
      <c r="K366" s="88"/>
      <c r="L366" s="88"/>
      <c r="M366" s="88"/>
      <c r="N366" s="88"/>
      <c r="O366" s="90"/>
      <c r="P366" s="90"/>
      <c r="Q366" s="90"/>
    </row>
    <row r="367" spans="1:17" ht="15.75" customHeight="1">
      <c r="A367" s="120"/>
      <c r="B367" s="118">
        <f t="shared" si="70"/>
        <v>42</v>
      </c>
      <c r="C367" s="107">
        <f t="shared" si="68"/>
        <v>0.15</v>
      </c>
      <c r="D367" s="107">
        <f t="shared" si="69"/>
        <v>0.15</v>
      </c>
      <c r="E367" s="106">
        <f t="shared" si="66"/>
        <v>3.0880000000000001</v>
      </c>
      <c r="F367" s="106"/>
      <c r="G367" s="106">
        <f t="shared" si="71"/>
        <v>0</v>
      </c>
      <c r="H367" s="123">
        <f t="shared" si="67"/>
        <v>0</v>
      </c>
      <c r="I367" s="103"/>
      <c r="J367" s="117"/>
      <c r="K367" s="88"/>
      <c r="L367" s="88"/>
      <c r="M367" s="88"/>
      <c r="N367" s="88"/>
      <c r="O367" s="90"/>
      <c r="P367" s="90"/>
      <c r="Q367" s="90"/>
    </row>
    <row r="368" spans="1:17" ht="15.75" customHeight="1">
      <c r="A368" s="120"/>
      <c r="B368" s="118">
        <f t="shared" si="70"/>
        <v>43</v>
      </c>
      <c r="C368" s="107">
        <f t="shared" si="68"/>
        <v>0.15</v>
      </c>
      <c r="D368" s="107">
        <f t="shared" si="69"/>
        <v>0.15</v>
      </c>
      <c r="E368" s="106">
        <f t="shared" si="66"/>
        <v>3.08</v>
      </c>
      <c r="F368" s="106"/>
      <c r="G368" s="106">
        <f t="shared" si="71"/>
        <v>0</v>
      </c>
      <c r="H368" s="123">
        <f t="shared" si="67"/>
        <v>0</v>
      </c>
      <c r="I368" s="103"/>
      <c r="J368" s="117"/>
      <c r="K368" s="88"/>
      <c r="L368" s="88"/>
      <c r="M368" s="88"/>
      <c r="N368" s="88"/>
      <c r="O368" s="90"/>
      <c r="P368" s="90"/>
      <c r="Q368" s="90"/>
    </row>
    <row r="369" spans="1:17" ht="15.75" customHeight="1">
      <c r="A369" s="120"/>
      <c r="B369" s="118">
        <f t="shared" si="70"/>
        <v>44</v>
      </c>
      <c r="C369" s="107">
        <f t="shared" si="68"/>
        <v>0.15</v>
      </c>
      <c r="D369" s="107">
        <f t="shared" si="69"/>
        <v>0.15</v>
      </c>
      <c r="E369" s="106">
        <f t="shared" si="66"/>
        <v>3.0720000000000001</v>
      </c>
      <c r="F369" s="106"/>
      <c r="G369" s="106">
        <f t="shared" si="71"/>
        <v>0</v>
      </c>
      <c r="H369" s="123">
        <f t="shared" si="67"/>
        <v>0</v>
      </c>
      <c r="I369" s="103"/>
      <c r="J369" s="117"/>
      <c r="K369" s="88"/>
      <c r="L369" s="88"/>
      <c r="M369" s="88"/>
      <c r="N369" s="88"/>
      <c r="O369" s="90"/>
      <c r="P369" s="90"/>
      <c r="Q369" s="90"/>
    </row>
    <row r="370" spans="1:17" ht="15.75" customHeight="1">
      <c r="A370" s="120"/>
      <c r="B370" s="118">
        <f t="shared" si="70"/>
        <v>45</v>
      </c>
      <c r="C370" s="107">
        <f t="shared" si="68"/>
        <v>0.15</v>
      </c>
      <c r="D370" s="107">
        <f t="shared" si="69"/>
        <v>0.15</v>
      </c>
      <c r="E370" s="106">
        <f t="shared" si="66"/>
        <v>3.0649999999999999</v>
      </c>
      <c r="F370" s="106"/>
      <c r="G370" s="106">
        <f t="shared" si="71"/>
        <v>0</v>
      </c>
      <c r="H370" s="123">
        <f t="shared" si="67"/>
        <v>0</v>
      </c>
      <c r="I370" s="103"/>
      <c r="J370" s="117"/>
      <c r="K370" s="88"/>
      <c r="L370" s="88"/>
      <c r="M370" s="88"/>
      <c r="N370" s="88"/>
      <c r="O370" s="90"/>
      <c r="P370" s="90"/>
      <c r="Q370" s="90"/>
    </row>
    <row r="371" spans="1:17" ht="15.75" customHeight="1">
      <c r="A371" s="120"/>
      <c r="B371" s="118">
        <f t="shared" si="70"/>
        <v>46</v>
      </c>
      <c r="C371" s="107">
        <f t="shared" si="68"/>
        <v>0.15</v>
      </c>
      <c r="D371" s="107">
        <f t="shared" si="69"/>
        <v>0.15</v>
      </c>
      <c r="E371" s="106">
        <f t="shared" si="66"/>
        <v>3.0590000000000002</v>
      </c>
      <c r="F371" s="106"/>
      <c r="G371" s="106">
        <f t="shared" si="71"/>
        <v>0</v>
      </c>
      <c r="H371" s="123">
        <f t="shared" si="67"/>
        <v>0</v>
      </c>
      <c r="I371" s="103"/>
      <c r="J371" s="117"/>
      <c r="K371" s="88"/>
      <c r="L371" s="88"/>
      <c r="M371" s="88"/>
      <c r="N371" s="88"/>
      <c r="O371" s="90"/>
      <c r="P371" s="90"/>
      <c r="Q371" s="90"/>
    </row>
    <row r="372" spans="1:17" ht="15.75" customHeight="1">
      <c r="A372" s="120"/>
      <c r="B372" s="118">
        <f t="shared" si="70"/>
        <v>47</v>
      </c>
      <c r="C372" s="107">
        <f t="shared" si="68"/>
        <v>0.15</v>
      </c>
      <c r="D372" s="107">
        <f t="shared" si="69"/>
        <v>0.15</v>
      </c>
      <c r="E372" s="106">
        <f t="shared" si="66"/>
        <v>3.0529999999999999</v>
      </c>
      <c r="F372" s="106"/>
      <c r="G372" s="106">
        <f t="shared" si="71"/>
        <v>0</v>
      </c>
      <c r="H372" s="123">
        <f t="shared" si="67"/>
        <v>0</v>
      </c>
      <c r="I372" s="103"/>
      <c r="J372" s="117"/>
      <c r="K372" s="88"/>
      <c r="L372" s="88"/>
      <c r="M372" s="88"/>
      <c r="N372" s="88"/>
      <c r="O372" s="90"/>
      <c r="P372" s="90"/>
      <c r="Q372" s="90"/>
    </row>
    <row r="373" spans="1:17" ht="15.75" customHeight="1">
      <c r="A373" s="120"/>
      <c r="B373" s="118">
        <f t="shared" si="70"/>
        <v>48</v>
      </c>
      <c r="C373" s="107">
        <f t="shared" si="68"/>
        <v>0.15</v>
      </c>
      <c r="D373" s="107">
        <f t="shared" si="69"/>
        <v>0.15</v>
      </c>
      <c r="E373" s="106">
        <f t="shared" si="66"/>
        <v>3.0470000000000002</v>
      </c>
      <c r="F373" s="106"/>
      <c r="G373" s="106">
        <f t="shared" si="71"/>
        <v>0</v>
      </c>
      <c r="H373" s="123">
        <f t="shared" si="67"/>
        <v>0</v>
      </c>
      <c r="I373" s="103"/>
      <c r="J373" s="117"/>
      <c r="K373" s="88"/>
      <c r="L373" s="88"/>
      <c r="M373" s="88"/>
      <c r="N373" s="88"/>
      <c r="O373" s="90"/>
      <c r="P373" s="90"/>
      <c r="Q373" s="90"/>
    </row>
    <row r="374" spans="1:17" ht="15.75" customHeight="1">
      <c r="A374" s="120"/>
      <c r="B374" s="118">
        <f t="shared" si="70"/>
        <v>49</v>
      </c>
      <c r="C374" s="107">
        <f t="shared" si="68"/>
        <v>0.15</v>
      </c>
      <c r="D374" s="107">
        <f t="shared" si="69"/>
        <v>0.15</v>
      </c>
      <c r="E374" s="106">
        <f t="shared" si="66"/>
        <v>3.0409999999999999</v>
      </c>
      <c r="F374" s="106"/>
      <c r="G374" s="106">
        <f t="shared" si="71"/>
        <v>0</v>
      </c>
      <c r="H374" s="123">
        <f t="shared" si="67"/>
        <v>0</v>
      </c>
      <c r="I374" s="103"/>
      <c r="J374" s="117"/>
      <c r="K374" s="88"/>
      <c r="L374" s="88"/>
      <c r="M374" s="88"/>
      <c r="N374" s="88"/>
      <c r="O374" s="90"/>
      <c r="P374" s="90"/>
      <c r="Q374" s="90"/>
    </row>
    <row r="375" spans="1:17" ht="15.75" customHeight="1">
      <c r="A375" s="120"/>
      <c r="B375" s="118">
        <f t="shared" si="70"/>
        <v>50</v>
      </c>
      <c r="C375" s="107">
        <f t="shared" si="68"/>
        <v>0.15</v>
      </c>
      <c r="D375" s="107">
        <f t="shared" si="69"/>
        <v>0.15</v>
      </c>
      <c r="E375" s="106">
        <f t="shared" si="66"/>
        <v>3.036</v>
      </c>
      <c r="F375" s="106"/>
      <c r="G375" s="106">
        <f t="shared" si="71"/>
        <v>0</v>
      </c>
      <c r="H375" s="123">
        <f t="shared" si="67"/>
        <v>0</v>
      </c>
      <c r="I375" s="103"/>
      <c r="J375" s="117"/>
      <c r="K375" s="88"/>
      <c r="L375" s="88"/>
      <c r="M375" s="88"/>
      <c r="N375" s="88"/>
      <c r="O375" s="90"/>
      <c r="P375" s="90"/>
      <c r="Q375" s="90"/>
    </row>
    <row r="376" spans="1:17" ht="15.75" customHeight="1">
      <c r="A376" s="120"/>
      <c r="B376" s="118">
        <f t="shared" si="70"/>
        <v>51</v>
      </c>
      <c r="C376" s="107">
        <f t="shared" si="68"/>
        <v>0.15</v>
      </c>
      <c r="D376" s="107">
        <f t="shared" si="69"/>
        <v>0.15</v>
      </c>
      <c r="E376" s="106">
        <f t="shared" si="66"/>
        <v>3.0329999999999999</v>
      </c>
      <c r="F376" s="106"/>
      <c r="G376" s="106">
        <f t="shared" si="71"/>
        <v>0</v>
      </c>
      <c r="H376" s="123">
        <f t="shared" si="67"/>
        <v>0</v>
      </c>
      <c r="I376" s="103"/>
      <c r="J376" s="117"/>
      <c r="K376" s="88"/>
      <c r="L376" s="88"/>
      <c r="M376" s="88"/>
      <c r="N376" s="88"/>
      <c r="O376" s="90"/>
      <c r="P376" s="90"/>
      <c r="Q376" s="90"/>
    </row>
    <row r="377" spans="1:17" ht="15.75" customHeight="1">
      <c r="A377" s="120"/>
      <c r="B377" s="118">
        <f t="shared" si="70"/>
        <v>52</v>
      </c>
      <c r="C377" s="107">
        <f t="shared" si="68"/>
        <v>0.15</v>
      </c>
      <c r="D377" s="107">
        <f t="shared" si="69"/>
        <v>0.15</v>
      </c>
      <c r="E377" s="106">
        <f t="shared" si="66"/>
        <v>3.0310000000000001</v>
      </c>
      <c r="F377" s="106"/>
      <c r="G377" s="106">
        <f t="shared" si="71"/>
        <v>0</v>
      </c>
      <c r="H377" s="123">
        <f t="shared" si="67"/>
        <v>0</v>
      </c>
      <c r="I377" s="103"/>
      <c r="J377" s="117"/>
      <c r="K377" s="88"/>
      <c r="L377" s="88"/>
      <c r="M377" s="88"/>
      <c r="N377" s="88"/>
      <c r="O377" s="90"/>
      <c r="P377" s="90"/>
      <c r="Q377" s="90"/>
    </row>
    <row r="378" spans="1:17" ht="15.75" customHeight="1">
      <c r="A378" s="120"/>
      <c r="B378" s="118">
        <f t="shared" si="70"/>
        <v>53</v>
      </c>
      <c r="C378" s="107">
        <f t="shared" si="68"/>
        <v>0.15</v>
      </c>
      <c r="D378" s="107">
        <f t="shared" si="69"/>
        <v>0.15</v>
      </c>
      <c r="E378" s="106">
        <f t="shared" si="66"/>
        <v>3.0289999999999999</v>
      </c>
      <c r="F378" s="106"/>
      <c r="G378" s="106">
        <f t="shared" si="71"/>
        <v>0</v>
      </c>
      <c r="H378" s="123">
        <f t="shared" si="67"/>
        <v>0</v>
      </c>
      <c r="I378" s="103"/>
      <c r="J378" s="117"/>
      <c r="K378" s="88"/>
      <c r="L378" s="88"/>
      <c r="M378" s="88"/>
      <c r="N378" s="88"/>
      <c r="O378" s="90"/>
      <c r="P378" s="90"/>
      <c r="Q378" s="90"/>
    </row>
    <row r="379" spans="1:17" ht="15.75" customHeight="1">
      <c r="A379" s="120"/>
      <c r="B379" s="118">
        <f t="shared" si="70"/>
        <v>54</v>
      </c>
      <c r="C379" s="107">
        <f t="shared" si="68"/>
        <v>0.15</v>
      </c>
      <c r="D379" s="107">
        <f t="shared" si="69"/>
        <v>0.15</v>
      </c>
      <c r="E379" s="106">
        <f t="shared" si="66"/>
        <v>3.028</v>
      </c>
      <c r="F379" s="106"/>
      <c r="G379" s="106">
        <f t="shared" si="71"/>
        <v>0</v>
      </c>
      <c r="H379" s="123">
        <f t="shared" si="67"/>
        <v>0</v>
      </c>
      <c r="I379" s="103"/>
      <c r="J379" s="117"/>
      <c r="K379" s="88"/>
      <c r="L379" s="88"/>
      <c r="M379" s="88"/>
      <c r="N379" s="88"/>
      <c r="O379" s="90"/>
      <c r="P379" s="90"/>
      <c r="Q379" s="90"/>
    </row>
    <row r="380" spans="1:17" ht="15.75" customHeight="1">
      <c r="A380" s="120"/>
      <c r="B380" s="118">
        <f t="shared" si="70"/>
        <v>55</v>
      </c>
      <c r="C380" s="107">
        <f t="shared" si="68"/>
        <v>0.15</v>
      </c>
      <c r="D380" s="107">
        <f t="shared" si="69"/>
        <v>0.15</v>
      </c>
      <c r="E380" s="106">
        <f t="shared" si="66"/>
        <v>3.03</v>
      </c>
      <c r="F380" s="106"/>
      <c r="G380" s="106">
        <f t="shared" si="71"/>
        <v>0</v>
      </c>
      <c r="H380" s="123">
        <f t="shared" si="67"/>
        <v>0</v>
      </c>
      <c r="I380" s="103"/>
      <c r="J380" s="117"/>
      <c r="K380" s="88"/>
      <c r="L380" s="88"/>
      <c r="M380" s="88"/>
      <c r="N380" s="88"/>
      <c r="O380" s="90"/>
      <c r="P380" s="90"/>
      <c r="Q380" s="90"/>
    </row>
    <row r="381" spans="1:17" ht="15.75" customHeight="1">
      <c r="A381" s="120"/>
      <c r="B381" s="118">
        <f t="shared" si="70"/>
        <v>56</v>
      </c>
      <c r="C381" s="107">
        <f t="shared" si="68"/>
        <v>0.15</v>
      </c>
      <c r="D381" s="107">
        <f t="shared" si="69"/>
        <v>0.15</v>
      </c>
      <c r="E381" s="106">
        <f t="shared" si="66"/>
        <v>3.0329999999999999</v>
      </c>
      <c r="F381" s="106"/>
      <c r="G381" s="106">
        <f t="shared" si="71"/>
        <v>0</v>
      </c>
      <c r="H381" s="123">
        <f t="shared" si="67"/>
        <v>0</v>
      </c>
      <c r="I381" s="103"/>
      <c r="J381" s="117"/>
      <c r="K381" s="88"/>
      <c r="L381" s="88"/>
      <c r="M381" s="88"/>
      <c r="N381" s="88"/>
      <c r="O381" s="90"/>
      <c r="P381" s="90"/>
      <c r="Q381" s="90"/>
    </row>
    <row r="382" spans="1:17" ht="15.75" customHeight="1">
      <c r="A382" s="120"/>
      <c r="B382" s="118">
        <f t="shared" si="70"/>
        <v>57</v>
      </c>
      <c r="C382" s="107">
        <f t="shared" si="68"/>
        <v>0.15</v>
      </c>
      <c r="D382" s="107">
        <f t="shared" si="69"/>
        <v>0.15</v>
      </c>
      <c r="E382" s="106">
        <f t="shared" si="66"/>
        <v>3.02</v>
      </c>
      <c r="F382" s="106"/>
      <c r="G382" s="106">
        <f t="shared" si="71"/>
        <v>0</v>
      </c>
      <c r="H382" s="123">
        <f t="shared" si="67"/>
        <v>0</v>
      </c>
      <c r="I382" s="103"/>
      <c r="J382" s="117"/>
      <c r="K382" s="88"/>
      <c r="L382" s="88"/>
      <c r="M382" s="88"/>
      <c r="N382" s="88"/>
      <c r="O382" s="90"/>
      <c r="P382" s="90"/>
      <c r="Q382" s="90"/>
    </row>
    <row r="383" spans="1:17" ht="15.75" customHeight="1">
      <c r="A383" s="120"/>
      <c r="B383" s="118">
        <f t="shared" si="70"/>
        <v>58</v>
      </c>
      <c r="C383" s="107">
        <f t="shared" si="68"/>
        <v>0.15</v>
      </c>
      <c r="D383" s="107">
        <f t="shared" si="69"/>
        <v>0.15</v>
      </c>
      <c r="E383" s="106">
        <f t="shared" si="66"/>
        <v>3.0059999999999998</v>
      </c>
      <c r="F383" s="106"/>
      <c r="G383" s="106">
        <f t="shared" si="71"/>
        <v>0</v>
      </c>
      <c r="H383" s="123">
        <f t="shared" si="67"/>
        <v>0</v>
      </c>
      <c r="I383" s="103"/>
      <c r="J383" s="117"/>
      <c r="K383" s="88"/>
      <c r="L383" s="88"/>
      <c r="M383" s="88"/>
      <c r="N383" s="88"/>
      <c r="O383" s="90"/>
      <c r="P383" s="90"/>
      <c r="Q383" s="90"/>
    </row>
    <row r="384" spans="1:17" ht="15.75" customHeight="1">
      <c r="A384" s="120"/>
      <c r="B384" s="118">
        <f t="shared" si="70"/>
        <v>59</v>
      </c>
      <c r="C384" s="107">
        <f t="shared" si="68"/>
        <v>0.15</v>
      </c>
      <c r="D384" s="107">
        <f t="shared" si="69"/>
        <v>0.15</v>
      </c>
      <c r="E384" s="106">
        <f t="shared" si="66"/>
        <v>2.9929999999999999</v>
      </c>
      <c r="F384" s="106"/>
      <c r="G384" s="106">
        <f t="shared" si="71"/>
        <v>0</v>
      </c>
      <c r="H384" s="123">
        <f t="shared" si="67"/>
        <v>0</v>
      </c>
      <c r="I384" s="103"/>
      <c r="J384" s="117"/>
      <c r="K384" s="88"/>
      <c r="L384" s="88"/>
      <c r="M384" s="88"/>
      <c r="N384" s="88"/>
      <c r="O384" s="90"/>
      <c r="P384" s="90"/>
      <c r="Q384" s="90"/>
    </row>
    <row r="385" spans="1:17" ht="15.75" customHeight="1">
      <c r="A385" s="120"/>
      <c r="B385" s="118">
        <f t="shared" si="70"/>
        <v>60</v>
      </c>
      <c r="C385" s="107">
        <f t="shared" si="68"/>
        <v>0.15</v>
      </c>
      <c r="D385" s="107">
        <f t="shared" si="69"/>
        <v>0.15</v>
      </c>
      <c r="E385" s="106">
        <f t="shared" si="66"/>
        <v>2.9820000000000002</v>
      </c>
      <c r="F385" s="106"/>
      <c r="G385" s="106">
        <f t="shared" si="71"/>
        <v>0</v>
      </c>
      <c r="H385" s="123">
        <f t="shared" si="67"/>
        <v>0</v>
      </c>
      <c r="I385" s="103"/>
      <c r="J385" s="117"/>
      <c r="K385" s="88"/>
      <c r="L385" s="88"/>
      <c r="M385" s="88"/>
      <c r="N385" s="88"/>
      <c r="O385" s="90"/>
      <c r="P385" s="90"/>
      <c r="Q385" s="90"/>
    </row>
    <row r="386" spans="1:17" ht="15.75" customHeight="1">
      <c r="A386" s="120"/>
      <c r="B386" s="118">
        <f t="shared" si="70"/>
        <v>61</v>
      </c>
      <c r="C386" s="107">
        <f t="shared" si="68"/>
        <v>0.15</v>
      </c>
      <c r="D386" s="107">
        <f t="shared" si="69"/>
        <v>0.15</v>
      </c>
      <c r="E386" s="106">
        <f t="shared" si="66"/>
        <v>2.9750000000000001</v>
      </c>
      <c r="F386" s="106"/>
      <c r="G386" s="106">
        <f t="shared" si="71"/>
        <v>0</v>
      </c>
      <c r="H386" s="123">
        <f t="shared" si="67"/>
        <v>0</v>
      </c>
      <c r="I386" s="103"/>
      <c r="J386" s="117"/>
      <c r="K386" s="88"/>
      <c r="L386" s="88"/>
      <c r="M386" s="88"/>
      <c r="N386" s="88"/>
      <c r="O386" s="90"/>
      <c r="P386" s="90"/>
      <c r="Q386" s="90"/>
    </row>
    <row r="387" spans="1:17" ht="15.75" customHeight="1">
      <c r="A387" s="120"/>
      <c r="B387" s="118">
        <f t="shared" si="70"/>
        <v>62</v>
      </c>
      <c r="C387" s="107">
        <f t="shared" si="68"/>
        <v>0.15</v>
      </c>
      <c r="D387" s="107">
        <f t="shared" si="69"/>
        <v>0.15</v>
      </c>
      <c r="E387" s="106">
        <f t="shared" si="66"/>
        <v>2.9750000000000001</v>
      </c>
      <c r="F387" s="106"/>
      <c r="G387" s="106">
        <f t="shared" si="71"/>
        <v>0</v>
      </c>
      <c r="H387" s="123">
        <f t="shared" si="67"/>
        <v>0</v>
      </c>
      <c r="I387" s="103"/>
      <c r="J387" s="117"/>
      <c r="K387" s="88"/>
      <c r="L387" s="88"/>
      <c r="M387" s="88"/>
      <c r="N387" s="88"/>
      <c r="O387" s="90"/>
      <c r="P387" s="90"/>
      <c r="Q387" s="90"/>
    </row>
    <row r="388" spans="1:17" ht="15.75" customHeight="1">
      <c r="A388" s="120"/>
      <c r="B388" s="118">
        <f t="shared" si="70"/>
        <v>63</v>
      </c>
      <c r="C388" s="107">
        <f t="shared" si="68"/>
        <v>0.15</v>
      </c>
      <c r="D388" s="107">
        <f t="shared" si="69"/>
        <v>0.15</v>
      </c>
      <c r="E388" s="106">
        <f t="shared" si="66"/>
        <v>2.98</v>
      </c>
      <c r="F388" s="106"/>
      <c r="G388" s="106">
        <f t="shared" si="71"/>
        <v>0</v>
      </c>
      <c r="H388" s="123">
        <f t="shared" si="67"/>
        <v>0</v>
      </c>
      <c r="I388" s="103"/>
      <c r="J388" s="117"/>
      <c r="K388" s="88"/>
      <c r="L388" s="88"/>
      <c r="M388" s="88"/>
      <c r="N388" s="88"/>
      <c r="O388" s="90"/>
      <c r="P388" s="90"/>
      <c r="Q388" s="90"/>
    </row>
    <row r="389" spans="1:17" ht="15.75" customHeight="1">
      <c r="A389" s="120"/>
      <c r="B389" s="118">
        <f t="shared" si="70"/>
        <v>64</v>
      </c>
      <c r="C389" s="107">
        <f t="shared" si="68"/>
        <v>0.15</v>
      </c>
      <c r="D389" s="107">
        <f t="shared" si="69"/>
        <v>0.15</v>
      </c>
      <c r="E389" s="106">
        <f t="shared" si="66"/>
        <v>2.9820000000000002</v>
      </c>
      <c r="F389" s="106"/>
      <c r="G389" s="106">
        <f t="shared" si="71"/>
        <v>0</v>
      </c>
      <c r="H389" s="123">
        <f t="shared" si="67"/>
        <v>0</v>
      </c>
      <c r="I389" s="103"/>
      <c r="J389" s="117"/>
      <c r="K389" s="88"/>
      <c r="L389" s="88"/>
      <c r="M389" s="88"/>
      <c r="N389" s="88"/>
      <c r="O389" s="90"/>
      <c r="P389" s="90"/>
      <c r="Q389" s="90"/>
    </row>
    <row r="390" spans="1:17" ht="15.75" customHeight="1">
      <c r="A390" s="120"/>
      <c r="B390" s="118">
        <f t="shared" si="70"/>
        <v>65</v>
      </c>
      <c r="C390" s="107">
        <f t="shared" si="68"/>
        <v>0.15</v>
      </c>
      <c r="D390" s="107">
        <f t="shared" si="69"/>
        <v>0.15</v>
      </c>
      <c r="E390" s="106">
        <f t="shared" ref="E390:E421" si="72">E87</f>
        <v>2.9870000000000001</v>
      </c>
      <c r="F390" s="106"/>
      <c r="G390" s="106">
        <f t="shared" si="71"/>
        <v>0</v>
      </c>
      <c r="H390" s="123">
        <f t="shared" ref="H390:H421" si="73">C390*D390*E390*G390</f>
        <v>0</v>
      </c>
      <c r="I390" s="103"/>
      <c r="J390" s="117"/>
      <c r="K390" s="88"/>
      <c r="L390" s="88"/>
      <c r="M390" s="88"/>
      <c r="N390" s="88"/>
      <c r="O390" s="90"/>
      <c r="P390" s="90"/>
      <c r="Q390" s="90"/>
    </row>
    <row r="391" spans="1:17" ht="15.75" customHeight="1">
      <c r="A391" s="120"/>
      <c r="B391" s="118">
        <f t="shared" si="70"/>
        <v>66</v>
      </c>
      <c r="C391" s="107">
        <f t="shared" ref="C391:C423" si="74">C390</f>
        <v>0.15</v>
      </c>
      <c r="D391" s="107">
        <f t="shared" ref="D391:D423" si="75">D390</f>
        <v>0.15</v>
      </c>
      <c r="E391" s="106">
        <f t="shared" si="72"/>
        <v>2.964</v>
      </c>
      <c r="F391" s="106"/>
      <c r="G391" s="106">
        <f t="shared" si="71"/>
        <v>0</v>
      </c>
      <c r="H391" s="123">
        <f t="shared" si="73"/>
        <v>0</v>
      </c>
      <c r="I391" s="103"/>
      <c r="J391" s="117"/>
      <c r="K391" s="88"/>
      <c r="L391" s="88"/>
      <c r="M391" s="88"/>
      <c r="N391" s="88"/>
      <c r="O391" s="90"/>
      <c r="P391" s="90"/>
      <c r="Q391" s="90"/>
    </row>
    <row r="392" spans="1:17" ht="15.75" customHeight="1">
      <c r="A392" s="120"/>
      <c r="B392" s="118">
        <f t="shared" ref="B392:B423" si="76">B391+1</f>
        <v>67</v>
      </c>
      <c r="C392" s="107">
        <f t="shared" si="74"/>
        <v>0.15</v>
      </c>
      <c r="D392" s="107">
        <f t="shared" si="75"/>
        <v>0.15</v>
      </c>
      <c r="E392" s="106">
        <f t="shared" si="72"/>
        <v>2.9289999999999998</v>
      </c>
      <c r="F392" s="106"/>
      <c r="G392" s="106">
        <f t="shared" ref="G392:G423" si="77">G391</f>
        <v>0</v>
      </c>
      <c r="H392" s="123">
        <f t="shared" si="73"/>
        <v>0</v>
      </c>
      <c r="I392" s="103"/>
      <c r="J392" s="117"/>
      <c r="K392" s="88"/>
      <c r="L392" s="88"/>
      <c r="M392" s="88"/>
      <c r="N392" s="88"/>
      <c r="O392" s="90"/>
      <c r="P392" s="90"/>
      <c r="Q392" s="90"/>
    </row>
    <row r="393" spans="1:17" ht="15.75" customHeight="1">
      <c r="A393" s="120"/>
      <c r="B393" s="118">
        <f t="shared" si="76"/>
        <v>68</v>
      </c>
      <c r="C393" s="107">
        <f t="shared" si="74"/>
        <v>0.15</v>
      </c>
      <c r="D393" s="107">
        <f t="shared" si="75"/>
        <v>0.15</v>
      </c>
      <c r="E393" s="106">
        <f t="shared" si="72"/>
        <v>2.9740000000000002</v>
      </c>
      <c r="F393" s="106"/>
      <c r="G393" s="106">
        <f t="shared" si="77"/>
        <v>0</v>
      </c>
      <c r="H393" s="123">
        <f t="shared" si="73"/>
        <v>0</v>
      </c>
      <c r="I393" s="103"/>
      <c r="J393" s="117"/>
      <c r="K393" s="88"/>
      <c r="L393" s="88"/>
      <c r="M393" s="88"/>
      <c r="N393" s="88"/>
      <c r="O393" s="90"/>
      <c r="P393" s="90"/>
      <c r="Q393" s="90"/>
    </row>
    <row r="394" spans="1:17" ht="15.75" customHeight="1">
      <c r="A394" s="120"/>
      <c r="B394" s="118">
        <f t="shared" si="76"/>
        <v>69</v>
      </c>
      <c r="C394" s="107">
        <f t="shared" si="74"/>
        <v>0.15</v>
      </c>
      <c r="D394" s="107">
        <f t="shared" si="75"/>
        <v>0.15</v>
      </c>
      <c r="E394" s="106">
        <f t="shared" si="72"/>
        <v>2.984</v>
      </c>
      <c r="F394" s="106"/>
      <c r="G394" s="106">
        <f t="shared" si="77"/>
        <v>0</v>
      </c>
      <c r="H394" s="123">
        <f t="shared" si="73"/>
        <v>0</v>
      </c>
      <c r="I394" s="103"/>
      <c r="J394" s="117"/>
      <c r="K394" s="88"/>
      <c r="L394" s="88"/>
      <c r="M394" s="88"/>
      <c r="N394" s="88"/>
      <c r="O394" s="90"/>
      <c r="P394" s="90"/>
      <c r="Q394" s="90"/>
    </row>
    <row r="395" spans="1:17" ht="15.75" customHeight="1">
      <c r="A395" s="120"/>
      <c r="B395" s="118">
        <f t="shared" si="76"/>
        <v>70</v>
      </c>
      <c r="C395" s="107">
        <f t="shared" si="74"/>
        <v>0.15</v>
      </c>
      <c r="D395" s="107">
        <f t="shared" si="75"/>
        <v>0.15</v>
      </c>
      <c r="E395" s="106">
        <f t="shared" si="72"/>
        <v>2.673</v>
      </c>
      <c r="F395" s="106"/>
      <c r="G395" s="106">
        <f t="shared" si="77"/>
        <v>0</v>
      </c>
      <c r="H395" s="123">
        <f t="shared" si="73"/>
        <v>0</v>
      </c>
      <c r="I395" s="103"/>
      <c r="J395" s="117"/>
      <c r="K395" s="88"/>
      <c r="L395" s="88"/>
      <c r="M395" s="88"/>
      <c r="N395" s="88"/>
      <c r="O395" s="90"/>
      <c r="P395" s="90"/>
      <c r="Q395" s="90"/>
    </row>
    <row r="396" spans="1:17" ht="15.75" customHeight="1">
      <c r="A396" s="120"/>
      <c r="B396" s="118">
        <f t="shared" si="76"/>
        <v>71</v>
      </c>
      <c r="C396" s="107">
        <f t="shared" si="74"/>
        <v>0.15</v>
      </c>
      <c r="D396" s="107">
        <f t="shared" si="75"/>
        <v>0.15</v>
      </c>
      <c r="E396" s="106">
        <f t="shared" si="72"/>
        <v>2.6619999999999999</v>
      </c>
      <c r="F396" s="106"/>
      <c r="G396" s="106">
        <f t="shared" si="77"/>
        <v>0</v>
      </c>
      <c r="H396" s="123">
        <f t="shared" si="73"/>
        <v>0</v>
      </c>
      <c r="I396" s="103"/>
      <c r="J396" s="117"/>
      <c r="K396" s="88"/>
      <c r="L396" s="88"/>
      <c r="M396" s="88"/>
      <c r="N396" s="88"/>
      <c r="O396" s="90"/>
      <c r="P396" s="90"/>
      <c r="Q396" s="90"/>
    </row>
    <row r="397" spans="1:17" ht="15.75" customHeight="1">
      <c r="A397" s="120"/>
      <c r="B397" s="118">
        <f t="shared" si="76"/>
        <v>72</v>
      </c>
      <c r="C397" s="107">
        <f t="shared" si="74"/>
        <v>0.15</v>
      </c>
      <c r="D397" s="107">
        <f t="shared" si="75"/>
        <v>0.15</v>
      </c>
      <c r="E397" s="106">
        <f t="shared" si="72"/>
        <v>2.6429999999999998</v>
      </c>
      <c r="F397" s="106"/>
      <c r="G397" s="106">
        <f t="shared" si="77"/>
        <v>0</v>
      </c>
      <c r="H397" s="123">
        <f t="shared" si="73"/>
        <v>0</v>
      </c>
      <c r="I397" s="103"/>
      <c r="J397" s="117"/>
      <c r="K397" s="88"/>
      <c r="L397" s="88"/>
      <c r="M397" s="88"/>
      <c r="N397" s="88"/>
      <c r="O397" s="90"/>
      <c r="P397" s="90"/>
      <c r="Q397" s="90"/>
    </row>
    <row r="398" spans="1:17" ht="15.75" customHeight="1">
      <c r="A398" s="120"/>
      <c r="B398" s="118">
        <f t="shared" si="76"/>
        <v>73</v>
      </c>
      <c r="C398" s="107">
        <f t="shared" si="74"/>
        <v>0.15</v>
      </c>
      <c r="D398" s="107">
        <f t="shared" si="75"/>
        <v>0.15</v>
      </c>
      <c r="E398" s="106">
        <f t="shared" si="72"/>
        <v>2.6230000000000002</v>
      </c>
      <c r="F398" s="106"/>
      <c r="G398" s="106">
        <f t="shared" si="77"/>
        <v>0</v>
      </c>
      <c r="H398" s="123">
        <f t="shared" si="73"/>
        <v>0</v>
      </c>
      <c r="I398" s="103"/>
      <c r="J398" s="117"/>
      <c r="K398" s="88"/>
      <c r="L398" s="88"/>
      <c r="M398" s="88"/>
      <c r="N398" s="88"/>
      <c r="O398" s="90"/>
      <c r="P398" s="90"/>
      <c r="Q398" s="90"/>
    </row>
    <row r="399" spans="1:17" ht="15.75" customHeight="1">
      <c r="A399" s="120"/>
      <c r="B399" s="118">
        <f t="shared" si="76"/>
        <v>74</v>
      </c>
      <c r="C399" s="107">
        <f t="shared" si="74"/>
        <v>0.15</v>
      </c>
      <c r="D399" s="107">
        <f t="shared" si="75"/>
        <v>0.15</v>
      </c>
      <c r="E399" s="106">
        <f t="shared" si="72"/>
        <v>2.6150000000000002</v>
      </c>
      <c r="F399" s="106"/>
      <c r="G399" s="106">
        <f t="shared" si="77"/>
        <v>0</v>
      </c>
      <c r="H399" s="123">
        <f t="shared" si="73"/>
        <v>0</v>
      </c>
      <c r="I399" s="103"/>
      <c r="J399" s="117"/>
      <c r="K399" s="88"/>
      <c r="L399" s="88"/>
      <c r="M399" s="88"/>
      <c r="N399" s="88"/>
      <c r="O399" s="90"/>
      <c r="P399" s="90"/>
      <c r="Q399" s="90"/>
    </row>
    <row r="400" spans="1:17" ht="15.75" customHeight="1">
      <c r="A400" s="120"/>
      <c r="B400" s="118">
        <f t="shared" si="76"/>
        <v>75</v>
      </c>
      <c r="C400" s="107">
        <f t="shared" si="74"/>
        <v>0.15</v>
      </c>
      <c r="D400" s="107">
        <f t="shared" si="75"/>
        <v>0.15</v>
      </c>
      <c r="E400" s="106">
        <f t="shared" si="72"/>
        <v>2.6120000000000001</v>
      </c>
      <c r="F400" s="106"/>
      <c r="G400" s="106">
        <f t="shared" si="77"/>
        <v>0</v>
      </c>
      <c r="H400" s="123">
        <f t="shared" si="73"/>
        <v>0</v>
      </c>
      <c r="I400" s="103"/>
      <c r="J400" s="117"/>
      <c r="K400" s="88"/>
      <c r="L400" s="88"/>
      <c r="M400" s="88"/>
      <c r="N400" s="88"/>
      <c r="O400" s="90"/>
      <c r="P400" s="90"/>
      <c r="Q400" s="90"/>
    </row>
    <row r="401" spans="1:17" ht="15.75" customHeight="1">
      <c r="A401" s="120"/>
      <c r="B401" s="118">
        <f t="shared" si="76"/>
        <v>76</v>
      </c>
      <c r="C401" s="107">
        <f t="shared" si="74"/>
        <v>0.15</v>
      </c>
      <c r="D401" s="107">
        <f t="shared" si="75"/>
        <v>0.15</v>
      </c>
      <c r="E401" s="106">
        <f t="shared" si="72"/>
        <v>2.665</v>
      </c>
      <c r="F401" s="106"/>
      <c r="G401" s="106">
        <f t="shared" si="77"/>
        <v>0</v>
      </c>
      <c r="H401" s="123">
        <f t="shared" si="73"/>
        <v>0</v>
      </c>
      <c r="I401" s="103"/>
      <c r="J401" s="117"/>
      <c r="K401" s="88"/>
      <c r="L401" s="88"/>
      <c r="M401" s="88"/>
      <c r="N401" s="88"/>
      <c r="O401" s="90"/>
      <c r="P401" s="90"/>
      <c r="Q401" s="90"/>
    </row>
    <row r="402" spans="1:17" ht="15.75" customHeight="1">
      <c r="A402" s="120"/>
      <c r="B402" s="118">
        <f t="shared" si="76"/>
        <v>77</v>
      </c>
      <c r="C402" s="107">
        <f t="shared" si="74"/>
        <v>0.15</v>
      </c>
      <c r="D402" s="107">
        <f t="shared" si="75"/>
        <v>0.15</v>
      </c>
      <c r="E402" s="106">
        <f t="shared" si="72"/>
        <v>2.8210000000000002</v>
      </c>
      <c r="F402" s="106"/>
      <c r="G402" s="106">
        <f t="shared" si="77"/>
        <v>0</v>
      </c>
      <c r="H402" s="123">
        <f t="shared" si="73"/>
        <v>0</v>
      </c>
      <c r="I402" s="103"/>
      <c r="J402" s="117"/>
      <c r="K402" s="88"/>
      <c r="L402" s="88"/>
      <c r="M402" s="88"/>
      <c r="N402" s="88"/>
      <c r="O402" s="90"/>
      <c r="P402" s="90"/>
      <c r="Q402" s="90"/>
    </row>
    <row r="403" spans="1:17" ht="15.75" customHeight="1">
      <c r="A403" s="120"/>
      <c r="B403" s="118">
        <f t="shared" si="76"/>
        <v>78</v>
      </c>
      <c r="C403" s="107">
        <f t="shared" si="74"/>
        <v>0.15</v>
      </c>
      <c r="D403" s="107">
        <f t="shared" si="75"/>
        <v>0.15</v>
      </c>
      <c r="E403" s="106">
        <f t="shared" si="72"/>
        <v>2.8250000000000002</v>
      </c>
      <c r="F403" s="106"/>
      <c r="G403" s="106">
        <f t="shared" si="77"/>
        <v>0</v>
      </c>
      <c r="H403" s="123">
        <f t="shared" si="73"/>
        <v>0</v>
      </c>
      <c r="I403" s="103"/>
      <c r="J403" s="117"/>
      <c r="K403" s="88"/>
      <c r="L403" s="88"/>
      <c r="M403" s="88"/>
      <c r="N403" s="88"/>
      <c r="O403" s="90"/>
      <c r="P403" s="90"/>
      <c r="Q403" s="90"/>
    </row>
    <row r="404" spans="1:17" ht="15.75" customHeight="1">
      <c r="A404" s="120"/>
      <c r="B404" s="118">
        <f t="shared" si="76"/>
        <v>79</v>
      </c>
      <c r="C404" s="107">
        <f t="shared" si="74"/>
        <v>0.15</v>
      </c>
      <c r="D404" s="107">
        <f t="shared" si="75"/>
        <v>0.15</v>
      </c>
      <c r="E404" s="106">
        <f t="shared" si="72"/>
        <v>2.726</v>
      </c>
      <c r="F404" s="106"/>
      <c r="G404" s="106">
        <f t="shared" si="77"/>
        <v>0</v>
      </c>
      <c r="H404" s="123">
        <f t="shared" si="73"/>
        <v>0</v>
      </c>
      <c r="I404" s="103"/>
      <c r="J404" s="117"/>
      <c r="K404" s="88"/>
      <c r="L404" s="88"/>
      <c r="M404" s="88"/>
      <c r="N404" s="88"/>
      <c r="O404" s="90"/>
      <c r="P404" s="90"/>
      <c r="Q404" s="90"/>
    </row>
    <row r="405" spans="1:17" ht="15.75" customHeight="1">
      <c r="A405" s="120"/>
      <c r="B405" s="118">
        <f t="shared" si="76"/>
        <v>80</v>
      </c>
      <c r="C405" s="107">
        <f t="shared" si="74"/>
        <v>0.15</v>
      </c>
      <c r="D405" s="107">
        <f t="shared" si="75"/>
        <v>0.15</v>
      </c>
      <c r="E405" s="106">
        <f t="shared" si="72"/>
        <v>2.6259999999999999</v>
      </c>
      <c r="F405" s="106"/>
      <c r="G405" s="106">
        <f t="shared" si="77"/>
        <v>0</v>
      </c>
      <c r="H405" s="123">
        <f t="shared" si="73"/>
        <v>0</v>
      </c>
      <c r="I405" s="103"/>
      <c r="J405" s="117"/>
      <c r="K405" s="88"/>
      <c r="L405" s="88"/>
      <c r="M405" s="88"/>
      <c r="N405" s="88"/>
      <c r="O405" s="90"/>
      <c r="P405" s="90"/>
      <c r="Q405" s="90"/>
    </row>
    <row r="406" spans="1:17" ht="15.75" customHeight="1">
      <c r="A406" s="120"/>
      <c r="B406" s="118">
        <f t="shared" si="76"/>
        <v>81</v>
      </c>
      <c r="C406" s="107">
        <f t="shared" si="74"/>
        <v>0.15</v>
      </c>
      <c r="D406" s="107">
        <f t="shared" si="75"/>
        <v>0.15</v>
      </c>
      <c r="E406" s="106">
        <f t="shared" si="72"/>
        <v>2.7450000000000001</v>
      </c>
      <c r="F406" s="106"/>
      <c r="G406" s="106">
        <f t="shared" si="77"/>
        <v>0</v>
      </c>
      <c r="H406" s="123">
        <f t="shared" si="73"/>
        <v>0</v>
      </c>
      <c r="I406" s="103"/>
      <c r="J406" s="117"/>
      <c r="K406" s="88"/>
      <c r="L406" s="88"/>
      <c r="M406" s="88"/>
      <c r="N406" s="88"/>
      <c r="O406" s="90"/>
      <c r="P406" s="90"/>
      <c r="Q406" s="90"/>
    </row>
    <row r="407" spans="1:17" ht="15.75" customHeight="1">
      <c r="A407" s="120"/>
      <c r="B407" s="118">
        <f t="shared" si="76"/>
        <v>82</v>
      </c>
      <c r="C407" s="107">
        <f t="shared" si="74"/>
        <v>0.15</v>
      </c>
      <c r="D407" s="107">
        <f t="shared" si="75"/>
        <v>0.15</v>
      </c>
      <c r="E407" s="106">
        <f t="shared" si="72"/>
        <v>2.847</v>
      </c>
      <c r="F407" s="106"/>
      <c r="G407" s="106">
        <f t="shared" si="77"/>
        <v>0</v>
      </c>
      <c r="H407" s="123">
        <f t="shared" si="73"/>
        <v>0</v>
      </c>
      <c r="I407" s="103"/>
      <c r="J407" s="117"/>
      <c r="K407" s="88"/>
      <c r="L407" s="88"/>
      <c r="M407" s="88"/>
      <c r="N407" s="88"/>
      <c r="O407" s="90"/>
      <c r="P407" s="90"/>
      <c r="Q407" s="90"/>
    </row>
    <row r="408" spans="1:17" ht="15.75" customHeight="1">
      <c r="A408" s="120"/>
      <c r="B408" s="118">
        <f t="shared" si="76"/>
        <v>83</v>
      </c>
      <c r="C408" s="107">
        <f t="shared" si="74"/>
        <v>0.15</v>
      </c>
      <c r="D408" s="107">
        <f t="shared" si="75"/>
        <v>0.15</v>
      </c>
      <c r="E408" s="106">
        <f t="shared" si="72"/>
        <v>2.8319999999999999</v>
      </c>
      <c r="F408" s="106"/>
      <c r="G408" s="106">
        <f t="shared" si="77"/>
        <v>0</v>
      </c>
      <c r="H408" s="123">
        <f t="shared" si="73"/>
        <v>0</v>
      </c>
      <c r="I408" s="103"/>
      <c r="J408" s="117"/>
      <c r="K408" s="88"/>
      <c r="L408" s="88"/>
      <c r="M408" s="88"/>
      <c r="N408" s="88"/>
      <c r="O408" s="90"/>
      <c r="P408" s="90"/>
      <c r="Q408" s="90"/>
    </row>
    <row r="409" spans="1:17" ht="15.75" customHeight="1">
      <c r="A409" s="120"/>
      <c r="B409" s="118">
        <f t="shared" si="76"/>
        <v>84</v>
      </c>
      <c r="C409" s="107">
        <f t="shared" si="74"/>
        <v>0.15</v>
      </c>
      <c r="D409" s="107">
        <f t="shared" si="75"/>
        <v>0.15</v>
      </c>
      <c r="E409" s="106">
        <f t="shared" si="72"/>
        <v>2.8180000000000001</v>
      </c>
      <c r="F409" s="106"/>
      <c r="G409" s="106">
        <f t="shared" si="77"/>
        <v>0</v>
      </c>
      <c r="H409" s="123">
        <f t="shared" si="73"/>
        <v>0</v>
      </c>
      <c r="I409" s="103"/>
      <c r="J409" s="117"/>
      <c r="K409" s="88"/>
      <c r="L409" s="88"/>
      <c r="M409" s="88"/>
      <c r="N409" s="88"/>
      <c r="O409" s="90"/>
      <c r="P409" s="90"/>
      <c r="Q409" s="90"/>
    </row>
    <row r="410" spans="1:17" ht="15.75" customHeight="1">
      <c r="A410" s="120"/>
      <c r="B410" s="118">
        <f t="shared" si="76"/>
        <v>85</v>
      </c>
      <c r="C410" s="107">
        <f t="shared" si="74"/>
        <v>0.15</v>
      </c>
      <c r="D410" s="107">
        <f t="shared" si="75"/>
        <v>0.15</v>
      </c>
      <c r="E410" s="106">
        <f t="shared" si="72"/>
        <v>2.6909999999999998</v>
      </c>
      <c r="F410" s="106"/>
      <c r="G410" s="106">
        <f t="shared" si="77"/>
        <v>0</v>
      </c>
      <c r="H410" s="123">
        <f t="shared" si="73"/>
        <v>0</v>
      </c>
      <c r="I410" s="103"/>
      <c r="J410" s="117"/>
      <c r="K410" s="88"/>
      <c r="L410" s="88"/>
      <c r="M410" s="88"/>
      <c r="N410" s="88"/>
      <c r="O410" s="90"/>
      <c r="P410" s="90"/>
      <c r="Q410" s="90"/>
    </row>
    <row r="411" spans="1:17" ht="15.75" customHeight="1">
      <c r="A411" s="120"/>
      <c r="B411" s="118">
        <f t="shared" si="76"/>
        <v>86</v>
      </c>
      <c r="C411" s="107">
        <f t="shared" si="74"/>
        <v>0.15</v>
      </c>
      <c r="D411" s="107">
        <f t="shared" si="75"/>
        <v>0.15</v>
      </c>
      <c r="E411" s="106">
        <f t="shared" si="72"/>
        <v>2.5819999999999999</v>
      </c>
      <c r="F411" s="106"/>
      <c r="G411" s="106">
        <f t="shared" si="77"/>
        <v>0</v>
      </c>
      <c r="H411" s="123">
        <f t="shared" si="73"/>
        <v>0</v>
      </c>
      <c r="I411" s="103"/>
      <c r="J411" s="117"/>
      <c r="K411" s="88"/>
      <c r="L411" s="88"/>
      <c r="M411" s="88"/>
      <c r="N411" s="88"/>
      <c r="O411" s="90"/>
      <c r="P411" s="90"/>
      <c r="Q411" s="90"/>
    </row>
    <row r="412" spans="1:17" ht="15.75" customHeight="1">
      <c r="A412" s="120"/>
      <c r="B412" s="118">
        <f t="shared" si="76"/>
        <v>87</v>
      </c>
      <c r="C412" s="107">
        <f t="shared" si="74"/>
        <v>0.15</v>
      </c>
      <c r="D412" s="107">
        <f t="shared" si="75"/>
        <v>0.15</v>
      </c>
      <c r="E412" s="106">
        <f t="shared" si="72"/>
        <v>2.5760000000000001</v>
      </c>
      <c r="F412" s="106"/>
      <c r="G412" s="106">
        <f t="shared" si="77"/>
        <v>0</v>
      </c>
      <c r="H412" s="123">
        <f t="shared" si="73"/>
        <v>0</v>
      </c>
      <c r="I412" s="103"/>
      <c r="J412" s="117"/>
      <c r="K412" s="88"/>
      <c r="L412" s="88"/>
      <c r="M412" s="88"/>
      <c r="N412" s="88"/>
      <c r="O412" s="90"/>
      <c r="P412" s="90"/>
      <c r="Q412" s="90"/>
    </row>
    <row r="413" spans="1:17" ht="15.75" customHeight="1">
      <c r="A413" s="120"/>
      <c r="B413" s="118">
        <f t="shared" si="76"/>
        <v>88</v>
      </c>
      <c r="C413" s="107">
        <f t="shared" si="74"/>
        <v>0.15</v>
      </c>
      <c r="D413" s="107">
        <f t="shared" si="75"/>
        <v>0.15</v>
      </c>
      <c r="E413" s="106">
        <f t="shared" si="72"/>
        <v>2.5550000000000002</v>
      </c>
      <c r="F413" s="106"/>
      <c r="G413" s="106">
        <f t="shared" si="77"/>
        <v>0</v>
      </c>
      <c r="H413" s="123">
        <f t="shared" si="73"/>
        <v>0</v>
      </c>
      <c r="I413" s="103"/>
      <c r="J413" s="117"/>
      <c r="K413" s="88"/>
      <c r="L413" s="88"/>
      <c r="M413" s="88"/>
      <c r="N413" s="88"/>
      <c r="O413" s="90"/>
      <c r="P413" s="90"/>
      <c r="Q413" s="90"/>
    </row>
    <row r="414" spans="1:17" ht="15.75" customHeight="1">
      <c r="A414" s="120"/>
      <c r="B414" s="118">
        <f t="shared" si="76"/>
        <v>89</v>
      </c>
      <c r="C414" s="107">
        <f t="shared" si="74"/>
        <v>0.15</v>
      </c>
      <c r="D414" s="107">
        <f t="shared" si="75"/>
        <v>0.15</v>
      </c>
      <c r="E414" s="106">
        <f t="shared" si="72"/>
        <v>2.5289999999999999</v>
      </c>
      <c r="F414" s="106"/>
      <c r="G414" s="106">
        <f t="shared" si="77"/>
        <v>0</v>
      </c>
      <c r="H414" s="123">
        <f t="shared" si="73"/>
        <v>0</v>
      </c>
      <c r="I414" s="103"/>
      <c r="J414" s="117"/>
      <c r="K414" s="88"/>
      <c r="L414" s="88"/>
      <c r="M414" s="88"/>
      <c r="N414" s="88"/>
      <c r="O414" s="90"/>
      <c r="P414" s="90"/>
      <c r="Q414" s="90"/>
    </row>
    <row r="415" spans="1:17" ht="15.75" customHeight="1">
      <c r="A415" s="120"/>
      <c r="B415" s="118">
        <f t="shared" si="76"/>
        <v>90</v>
      </c>
      <c r="C415" s="107">
        <f t="shared" si="74"/>
        <v>0.15</v>
      </c>
      <c r="D415" s="107">
        <f t="shared" si="75"/>
        <v>0.15</v>
      </c>
      <c r="E415" s="106">
        <f t="shared" si="72"/>
        <v>2.5019999999999998</v>
      </c>
      <c r="F415" s="106"/>
      <c r="G415" s="106">
        <f t="shared" si="77"/>
        <v>0</v>
      </c>
      <c r="H415" s="123">
        <f t="shared" si="73"/>
        <v>0</v>
      </c>
      <c r="I415" s="103"/>
      <c r="J415" s="117"/>
      <c r="K415" s="88"/>
      <c r="L415" s="88"/>
      <c r="M415" s="88"/>
      <c r="N415" s="88"/>
      <c r="O415" s="90"/>
      <c r="P415" s="90"/>
      <c r="Q415" s="90"/>
    </row>
    <row r="416" spans="1:17" ht="15.75" customHeight="1">
      <c r="A416" s="120"/>
      <c r="B416" s="118">
        <f t="shared" si="76"/>
        <v>91</v>
      </c>
      <c r="C416" s="107">
        <f t="shared" si="74"/>
        <v>0.15</v>
      </c>
      <c r="D416" s="107">
        <f t="shared" si="75"/>
        <v>0.15</v>
      </c>
      <c r="E416" s="106">
        <f t="shared" si="72"/>
        <v>2.476</v>
      </c>
      <c r="F416" s="106"/>
      <c r="G416" s="106">
        <f t="shared" si="77"/>
        <v>0</v>
      </c>
      <c r="H416" s="123">
        <f t="shared" si="73"/>
        <v>0</v>
      </c>
      <c r="I416" s="103"/>
      <c r="J416" s="117"/>
      <c r="K416" s="88"/>
      <c r="L416" s="88"/>
      <c r="M416" s="88"/>
      <c r="N416" s="88"/>
      <c r="O416" s="90"/>
      <c r="P416" s="90"/>
      <c r="Q416" s="90"/>
    </row>
    <row r="417" spans="1:17" ht="15.75" customHeight="1">
      <c r="A417" s="120"/>
      <c r="B417" s="118">
        <f t="shared" si="76"/>
        <v>92</v>
      </c>
      <c r="C417" s="107">
        <f t="shared" si="74"/>
        <v>0.15</v>
      </c>
      <c r="D417" s="107">
        <f t="shared" si="75"/>
        <v>0.15</v>
      </c>
      <c r="E417" s="106">
        <f t="shared" si="72"/>
        <v>2.4169999999999998</v>
      </c>
      <c r="F417" s="106"/>
      <c r="G417" s="106">
        <f t="shared" si="77"/>
        <v>0</v>
      </c>
      <c r="H417" s="123">
        <f t="shared" si="73"/>
        <v>0</v>
      </c>
      <c r="I417" s="103"/>
      <c r="J417" s="117"/>
      <c r="K417" s="88"/>
      <c r="L417" s="88"/>
      <c r="M417" s="88"/>
      <c r="N417" s="88"/>
      <c r="O417" s="90"/>
      <c r="P417" s="90"/>
      <c r="Q417" s="90"/>
    </row>
    <row r="418" spans="1:17" ht="15.75" customHeight="1">
      <c r="A418" s="120"/>
      <c r="B418" s="118">
        <f t="shared" si="76"/>
        <v>93</v>
      </c>
      <c r="C418" s="107">
        <f t="shared" si="74"/>
        <v>0.15</v>
      </c>
      <c r="D418" s="107">
        <f t="shared" si="75"/>
        <v>0.15</v>
      </c>
      <c r="E418" s="106">
        <f t="shared" si="72"/>
        <v>2.5419999999999998</v>
      </c>
      <c r="F418" s="106"/>
      <c r="G418" s="106">
        <f t="shared" si="77"/>
        <v>0</v>
      </c>
      <c r="H418" s="123">
        <f t="shared" si="73"/>
        <v>0</v>
      </c>
      <c r="I418" s="103"/>
      <c r="J418" s="117"/>
      <c r="K418" s="88"/>
      <c r="L418" s="88"/>
      <c r="M418" s="88"/>
      <c r="N418" s="88"/>
      <c r="O418" s="90"/>
      <c r="P418" s="90"/>
      <c r="Q418" s="90"/>
    </row>
    <row r="419" spans="1:17" ht="15.75" customHeight="1">
      <c r="A419" s="120"/>
      <c r="B419" s="118">
        <f t="shared" si="76"/>
        <v>94</v>
      </c>
      <c r="C419" s="107">
        <f t="shared" si="74"/>
        <v>0.15</v>
      </c>
      <c r="D419" s="107">
        <f t="shared" si="75"/>
        <v>0.15</v>
      </c>
      <c r="E419" s="106">
        <f t="shared" si="72"/>
        <v>2.585</v>
      </c>
      <c r="F419" s="106"/>
      <c r="G419" s="106">
        <f t="shared" si="77"/>
        <v>0</v>
      </c>
      <c r="H419" s="123">
        <f t="shared" si="73"/>
        <v>0</v>
      </c>
      <c r="I419" s="103"/>
      <c r="J419" s="117"/>
      <c r="K419" s="88"/>
      <c r="L419" s="88"/>
      <c r="M419" s="88"/>
      <c r="N419" s="88"/>
      <c r="O419" s="90"/>
      <c r="P419" s="90"/>
      <c r="Q419" s="90"/>
    </row>
    <row r="420" spans="1:17" ht="15.75" customHeight="1">
      <c r="A420" s="120"/>
      <c r="B420" s="118">
        <f t="shared" si="76"/>
        <v>95</v>
      </c>
      <c r="C420" s="107">
        <f t="shared" si="74"/>
        <v>0.15</v>
      </c>
      <c r="D420" s="107">
        <f t="shared" si="75"/>
        <v>0.15</v>
      </c>
      <c r="E420" s="106">
        <f t="shared" si="72"/>
        <v>2.5779999999999998</v>
      </c>
      <c r="F420" s="106"/>
      <c r="G420" s="106">
        <f t="shared" si="77"/>
        <v>0</v>
      </c>
      <c r="H420" s="123">
        <f t="shared" si="73"/>
        <v>0</v>
      </c>
      <c r="I420" s="103"/>
      <c r="J420" s="117"/>
      <c r="K420" s="88"/>
      <c r="L420" s="88"/>
      <c r="M420" s="88"/>
      <c r="N420" s="88"/>
      <c r="O420" s="90"/>
      <c r="P420" s="90"/>
      <c r="Q420" s="90"/>
    </row>
    <row r="421" spans="1:17" ht="15.75" customHeight="1">
      <c r="A421" s="120"/>
      <c r="B421" s="118">
        <f t="shared" si="76"/>
        <v>96</v>
      </c>
      <c r="C421" s="107">
        <f t="shared" si="74"/>
        <v>0.15</v>
      </c>
      <c r="D421" s="107">
        <f t="shared" si="75"/>
        <v>0.15</v>
      </c>
      <c r="E421" s="106">
        <f t="shared" si="72"/>
        <v>2.5710000000000002</v>
      </c>
      <c r="F421" s="106"/>
      <c r="G421" s="106">
        <f t="shared" si="77"/>
        <v>0</v>
      </c>
      <c r="H421" s="123">
        <f t="shared" si="73"/>
        <v>0</v>
      </c>
      <c r="I421" s="103"/>
      <c r="J421" s="117"/>
      <c r="K421" s="88"/>
      <c r="L421" s="88"/>
      <c r="M421" s="88"/>
      <c r="N421" s="88"/>
      <c r="O421" s="90"/>
      <c r="P421" s="90"/>
      <c r="Q421" s="90"/>
    </row>
    <row r="422" spans="1:17" ht="15.75" customHeight="1">
      <c r="A422" s="120"/>
      <c r="B422" s="118">
        <f t="shared" si="76"/>
        <v>97</v>
      </c>
      <c r="C422" s="107">
        <f t="shared" si="74"/>
        <v>0.15</v>
      </c>
      <c r="D422" s="107">
        <f t="shared" si="75"/>
        <v>0.15</v>
      </c>
      <c r="E422" s="106">
        <f t="shared" ref="E422:E423" si="78">E119</f>
        <v>2.3919999999999999</v>
      </c>
      <c r="F422" s="106"/>
      <c r="G422" s="106">
        <f t="shared" si="77"/>
        <v>0</v>
      </c>
      <c r="H422" s="123">
        <f t="shared" ref="H422:H423" si="79">C422*D422*E422*G422</f>
        <v>0</v>
      </c>
      <c r="I422" s="103"/>
      <c r="J422" s="117"/>
      <c r="K422" s="88"/>
      <c r="L422" s="88"/>
      <c r="M422" s="88"/>
      <c r="N422" s="88"/>
      <c r="O422" s="90"/>
      <c r="P422" s="90"/>
      <c r="Q422" s="90"/>
    </row>
    <row r="423" spans="1:17" ht="15.75" customHeight="1">
      <c r="A423" s="120"/>
      <c r="B423" s="118">
        <f t="shared" si="76"/>
        <v>98</v>
      </c>
      <c r="C423" s="107">
        <f t="shared" si="74"/>
        <v>0.15</v>
      </c>
      <c r="D423" s="107">
        <f t="shared" si="75"/>
        <v>0.15</v>
      </c>
      <c r="E423" s="106">
        <f t="shared" si="78"/>
        <v>2.2690000000000001</v>
      </c>
      <c r="F423" s="106"/>
      <c r="G423" s="106">
        <f t="shared" si="77"/>
        <v>0</v>
      </c>
      <c r="H423" s="123">
        <f t="shared" si="79"/>
        <v>0</v>
      </c>
      <c r="I423" s="103"/>
      <c r="J423" s="117"/>
      <c r="K423" s="88"/>
      <c r="L423" s="88"/>
      <c r="M423" s="88"/>
      <c r="N423" s="88"/>
      <c r="O423" s="90"/>
      <c r="P423" s="90"/>
      <c r="Q423" s="90"/>
    </row>
    <row r="424" spans="1:17" ht="15.75" customHeight="1">
      <c r="A424" s="120"/>
      <c r="B424" s="118"/>
      <c r="C424" s="107"/>
      <c r="D424" s="107"/>
      <c r="E424" s="106"/>
      <c r="F424" s="106"/>
      <c r="G424" s="106"/>
      <c r="H424" s="130">
        <f>ROUNDUP((SUM(H326:H423)),5)</f>
        <v>9.7200000000000006</v>
      </c>
      <c r="I424" s="116" t="s">
        <v>89</v>
      </c>
      <c r="J424" s="117">
        <f>ROUND((H424),2)</f>
        <v>9.7200000000000006</v>
      </c>
      <c r="K424" s="88"/>
      <c r="L424" s="88"/>
      <c r="M424" s="88"/>
      <c r="N424" s="88"/>
      <c r="O424" s="90"/>
      <c r="P424" s="90"/>
      <c r="Q424" s="90"/>
    </row>
    <row r="425" spans="1:17" ht="27.75" customHeight="1">
      <c r="A425" s="104" t="s">
        <v>122</v>
      </c>
      <c r="B425" s="114" t="s">
        <v>123</v>
      </c>
      <c r="C425" s="111"/>
      <c r="D425" s="111"/>
      <c r="E425" s="106"/>
      <c r="F425" s="106"/>
      <c r="G425" s="106"/>
      <c r="H425" s="106">
        <f>G20</f>
        <v>108</v>
      </c>
      <c r="I425" s="103" t="s">
        <v>124</v>
      </c>
      <c r="J425" s="117">
        <f>ROUND((H425),2)</f>
        <v>108</v>
      </c>
      <c r="K425" s="88"/>
      <c r="L425" s="88"/>
      <c r="M425" s="88"/>
      <c r="N425" s="88"/>
      <c r="O425" s="90"/>
      <c r="P425" s="90"/>
      <c r="Q425" s="90"/>
    </row>
    <row r="426" spans="1:17" ht="15.75" customHeight="1">
      <c r="A426" s="104">
        <f>A15+1</f>
        <v>5</v>
      </c>
      <c r="B426" s="118" t="s">
        <v>283</v>
      </c>
      <c r="C426" s="107"/>
      <c r="D426" s="107"/>
      <c r="E426" s="106"/>
      <c r="F426" s="106"/>
      <c r="G426" s="106"/>
      <c r="H426" s="106"/>
      <c r="I426" s="103"/>
      <c r="J426" s="117"/>
      <c r="K426" s="88"/>
      <c r="L426" s="88"/>
      <c r="M426" s="88"/>
      <c r="N426" s="88"/>
      <c r="O426" s="90"/>
      <c r="P426" s="90"/>
      <c r="Q426" s="90"/>
    </row>
    <row r="427" spans="1:17" ht="15.75" customHeight="1">
      <c r="A427" s="120" t="s">
        <v>95</v>
      </c>
      <c r="B427" s="118" t="s">
        <v>126</v>
      </c>
      <c r="C427" s="107"/>
      <c r="D427" s="107"/>
      <c r="E427" s="106"/>
      <c r="F427" s="106"/>
      <c r="G427" s="106"/>
      <c r="H427" s="106"/>
      <c r="I427" s="103"/>
      <c r="J427" s="117"/>
      <c r="K427" s="88"/>
      <c r="L427" s="88"/>
      <c r="M427" s="88"/>
      <c r="N427" s="88"/>
      <c r="O427" s="90"/>
      <c r="P427" s="90"/>
      <c r="Q427" s="90"/>
    </row>
    <row r="428" spans="1:17" ht="15.75" customHeight="1">
      <c r="A428" s="120"/>
      <c r="B428" s="135" t="s">
        <v>284</v>
      </c>
      <c r="C428" s="107">
        <v>1.35</v>
      </c>
      <c r="D428" s="107"/>
      <c r="E428" s="107">
        <v>0.15</v>
      </c>
      <c r="F428" s="288">
        <f>(L17-9)*2</f>
        <v>54</v>
      </c>
      <c r="G428" s="288">
        <v>2</v>
      </c>
      <c r="H428" s="288">
        <f>C428*E428*F428*G428</f>
        <v>21.87</v>
      </c>
      <c r="I428" s="103"/>
      <c r="J428" s="117"/>
      <c r="K428" s="88"/>
      <c r="L428" s="88"/>
      <c r="M428" s="88"/>
      <c r="N428" s="88"/>
      <c r="O428" s="90"/>
      <c r="P428" s="90"/>
      <c r="Q428" s="90"/>
    </row>
    <row r="429" spans="1:17" ht="15.75" customHeight="1">
      <c r="A429" s="120"/>
      <c r="B429" s="135" t="s">
        <v>285</v>
      </c>
      <c r="C429" s="107">
        <v>1.35</v>
      </c>
      <c r="D429" s="107">
        <v>0.15</v>
      </c>
      <c r="E429" s="106"/>
      <c r="F429" s="288">
        <f>F428</f>
        <v>54</v>
      </c>
      <c r="G429" s="288">
        <f>G428</f>
        <v>2</v>
      </c>
      <c r="H429" s="288">
        <f>C429*D429*F429*G429</f>
        <v>21.87</v>
      </c>
      <c r="I429" s="103"/>
      <c r="J429" s="117"/>
      <c r="K429" s="88"/>
      <c r="L429" s="88"/>
      <c r="M429" s="88"/>
      <c r="N429" s="88"/>
      <c r="O429" s="90"/>
      <c r="P429" s="90"/>
      <c r="Q429" s="90"/>
    </row>
    <row r="430" spans="1:17" ht="15.75" customHeight="1">
      <c r="A430" s="120"/>
      <c r="B430" s="135" t="s">
        <v>286</v>
      </c>
      <c r="C430" s="107">
        <v>1.35</v>
      </c>
      <c r="D430" s="107"/>
      <c r="E430" s="107">
        <v>0.15</v>
      </c>
      <c r="F430" s="288">
        <f>L17-1</f>
        <v>35</v>
      </c>
      <c r="G430" s="288">
        <v>3</v>
      </c>
      <c r="H430" s="288">
        <f>C430*E430*F430*G430</f>
        <v>21.262500000000003</v>
      </c>
      <c r="I430" s="103"/>
      <c r="J430" s="117"/>
      <c r="K430" s="88"/>
      <c r="L430" s="88"/>
      <c r="M430" s="88"/>
      <c r="N430" s="88"/>
      <c r="O430" s="90"/>
      <c r="P430" s="90"/>
      <c r="Q430" s="90"/>
    </row>
    <row r="431" spans="1:17" ht="15.75" customHeight="1">
      <c r="A431" s="120"/>
      <c r="B431" s="135" t="s">
        <v>287</v>
      </c>
      <c r="C431" s="107">
        <v>1.35</v>
      </c>
      <c r="D431" s="107">
        <v>0.15</v>
      </c>
      <c r="E431" s="106"/>
      <c r="F431" s="288">
        <f>F430</f>
        <v>35</v>
      </c>
      <c r="G431" s="288">
        <f>G430</f>
        <v>3</v>
      </c>
      <c r="H431" s="289">
        <f>C431*D431*F431*G431</f>
        <v>21.262500000000003</v>
      </c>
      <c r="I431" s="103"/>
      <c r="J431" s="117"/>
      <c r="K431" s="88"/>
      <c r="L431" s="88"/>
      <c r="M431" s="88"/>
      <c r="N431" s="88"/>
      <c r="O431" s="90"/>
      <c r="P431" s="90"/>
      <c r="Q431" s="90"/>
    </row>
    <row r="432" spans="1:17" ht="15.75" customHeight="1">
      <c r="A432" s="120"/>
      <c r="B432" s="118"/>
      <c r="C432" s="107"/>
      <c r="D432" s="107"/>
      <c r="E432" s="106"/>
      <c r="F432" s="106"/>
      <c r="G432" s="106"/>
      <c r="H432" s="115">
        <f>ROUNDUP((SUM(H428:H431)),5)</f>
        <v>86.265000000000001</v>
      </c>
      <c r="I432" s="116" t="s">
        <v>89</v>
      </c>
      <c r="J432" s="117">
        <f>ROUND((H432),2)</f>
        <v>86.27</v>
      </c>
      <c r="K432" s="88"/>
      <c r="L432" s="88"/>
      <c r="M432" s="88"/>
      <c r="N432" s="88"/>
      <c r="O432" s="90"/>
      <c r="P432" s="90"/>
      <c r="Q432" s="90"/>
    </row>
    <row r="433" spans="1:17" ht="15.75" customHeight="1">
      <c r="A433" s="120" t="s">
        <v>98</v>
      </c>
      <c r="B433" s="153" t="s">
        <v>131</v>
      </c>
      <c r="C433" s="290" t="s">
        <v>132</v>
      </c>
      <c r="D433" s="290" t="s">
        <v>133</v>
      </c>
      <c r="E433" s="291" t="s">
        <v>134</v>
      </c>
      <c r="F433" s="292" t="s">
        <v>135</v>
      </c>
      <c r="G433" s="292"/>
      <c r="H433" s="152"/>
      <c r="I433" s="293"/>
      <c r="J433" s="294">
        <f>ROUND((H433),2)</f>
        <v>0</v>
      </c>
      <c r="K433" s="144"/>
      <c r="L433" s="88"/>
      <c r="M433" s="88"/>
      <c r="N433" s="88"/>
      <c r="O433" s="90"/>
      <c r="P433" s="90"/>
      <c r="Q433" s="90"/>
    </row>
    <row r="434" spans="1:17" ht="15.75" customHeight="1">
      <c r="A434" s="120"/>
      <c r="B434" s="295" t="s">
        <v>154</v>
      </c>
      <c r="C434" s="296">
        <f>D11+0.3</f>
        <v>3.3</v>
      </c>
      <c r="D434" s="152">
        <f>13*13*0.006165</f>
        <v>1.041885</v>
      </c>
      <c r="E434" s="152">
        <v>4</v>
      </c>
      <c r="F434" s="297">
        <f>F431+1</f>
        <v>36</v>
      </c>
      <c r="G434" s="297"/>
      <c r="H434" s="296">
        <f>C434*D434*E434*F434</f>
        <v>495.10375199999993</v>
      </c>
      <c r="I434" s="293"/>
      <c r="J434" s="294"/>
      <c r="K434" s="144"/>
      <c r="L434" s="88"/>
      <c r="M434" s="88"/>
      <c r="N434" s="88"/>
      <c r="O434" s="90"/>
      <c r="P434" s="90"/>
      <c r="Q434" s="90"/>
    </row>
    <row r="435" spans="1:17" ht="15.75" customHeight="1">
      <c r="A435" s="120"/>
      <c r="B435" s="295" t="s">
        <v>288</v>
      </c>
      <c r="C435" s="296">
        <f>C11+6</f>
        <v>60</v>
      </c>
      <c r="D435" s="152">
        <f>13*13*0.006165</f>
        <v>1.041885</v>
      </c>
      <c r="E435" s="152">
        <v>4</v>
      </c>
      <c r="F435" s="297"/>
      <c r="G435" s="297">
        <v>3</v>
      </c>
      <c r="H435" s="298">
        <f>C435*D435*E435*G435</f>
        <v>750.15719999999988</v>
      </c>
      <c r="I435" s="293"/>
      <c r="J435" s="294"/>
      <c r="K435" s="144"/>
      <c r="L435" s="88"/>
      <c r="M435" s="88"/>
      <c r="N435" s="88"/>
      <c r="O435" s="90"/>
      <c r="P435" s="90"/>
      <c r="Q435" s="90"/>
    </row>
    <row r="436" spans="1:17" ht="15.75" customHeight="1">
      <c r="A436" s="120"/>
      <c r="B436" s="295"/>
      <c r="C436" s="299"/>
      <c r="D436" s="299"/>
      <c r="E436" s="152"/>
      <c r="F436" s="152"/>
      <c r="G436" s="152"/>
      <c r="H436" s="292">
        <f>ROUNDUP((SUM(H434:H435)),5)</f>
        <v>1245.2609600000001</v>
      </c>
      <c r="I436" s="300" t="s">
        <v>100</v>
      </c>
      <c r="J436" s="294">
        <f>ROUND((H436),2)</f>
        <v>1245.26</v>
      </c>
      <c r="K436" s="146">
        <v>1416.16</v>
      </c>
      <c r="L436" s="88"/>
      <c r="M436" s="88"/>
      <c r="N436" s="88"/>
      <c r="O436" s="90"/>
      <c r="P436" s="90"/>
      <c r="Q436" s="90"/>
    </row>
    <row r="437" spans="1:17" ht="15.75" customHeight="1">
      <c r="A437" s="120" t="s">
        <v>101</v>
      </c>
      <c r="B437" s="153" t="s">
        <v>118</v>
      </c>
      <c r="C437" s="290" t="s">
        <v>132</v>
      </c>
      <c r="D437" s="290" t="s">
        <v>133</v>
      </c>
      <c r="E437" s="152"/>
      <c r="F437" s="152"/>
      <c r="G437" s="152" t="s">
        <v>139</v>
      </c>
      <c r="H437" s="152"/>
      <c r="I437" s="293"/>
      <c r="J437" s="294">
        <f>ROUND((H437),2)</f>
        <v>0</v>
      </c>
      <c r="K437" s="88"/>
      <c r="L437" s="88"/>
      <c r="M437" s="88"/>
      <c r="N437" s="88"/>
      <c r="O437" s="90"/>
      <c r="P437" s="90"/>
      <c r="Q437" s="90"/>
    </row>
    <row r="438" spans="1:17" ht="15.75" customHeight="1">
      <c r="A438" s="120"/>
      <c r="B438" s="295" t="s">
        <v>154</v>
      </c>
      <c r="C438" s="301">
        <f>(0.09*4)+0.05</f>
        <v>0.41</v>
      </c>
      <c r="D438" s="152">
        <f>6*6*0.006165</f>
        <v>0.22194000000000003</v>
      </c>
      <c r="E438" s="152"/>
      <c r="F438" s="297">
        <f>F429</f>
        <v>54</v>
      </c>
      <c r="G438" s="297">
        <f>ROUNDUP((C434/0.15),-0.5)</f>
        <v>22</v>
      </c>
      <c r="H438" s="297">
        <f>C438*D438*F438*G438</f>
        <v>108.10253520000001</v>
      </c>
      <c r="I438" s="293"/>
      <c r="J438" s="294"/>
      <c r="K438" s="144"/>
      <c r="L438" s="88"/>
      <c r="M438" s="88"/>
      <c r="N438" s="88"/>
      <c r="O438" s="90"/>
      <c r="P438" s="90"/>
      <c r="Q438" s="90"/>
    </row>
    <row r="439" spans="1:17" ht="15.75" customHeight="1">
      <c r="A439" s="120"/>
      <c r="B439" s="295" t="s">
        <v>155</v>
      </c>
      <c r="C439" s="301">
        <f>(0.09*4)+0.05</f>
        <v>0.41</v>
      </c>
      <c r="D439" s="152">
        <f>6*6*0.006165</f>
        <v>0.22194000000000003</v>
      </c>
      <c r="E439" s="152"/>
      <c r="F439" s="297">
        <v>3</v>
      </c>
      <c r="G439" s="297">
        <f>ROUNDUP((C10/0.125),0.5)</f>
        <v>432</v>
      </c>
      <c r="H439" s="302">
        <f>C439*D439*F439*G439</f>
        <v>117.9300384</v>
      </c>
      <c r="I439" s="293"/>
      <c r="J439" s="294"/>
      <c r="K439" s="144"/>
      <c r="L439" s="88"/>
      <c r="M439" s="88"/>
      <c r="N439" s="88"/>
      <c r="O439" s="90"/>
      <c r="P439" s="90"/>
      <c r="Q439" s="90"/>
    </row>
    <row r="440" spans="1:17" ht="15.75" customHeight="1">
      <c r="A440" s="120"/>
      <c r="B440" s="153"/>
      <c r="C440" s="299"/>
      <c r="D440" s="299"/>
      <c r="E440" s="152"/>
      <c r="F440" s="152"/>
      <c r="G440" s="152"/>
      <c r="H440" s="292">
        <f>ROUNDUP((SUM(H438:H439)),5)</f>
        <v>226.03258</v>
      </c>
      <c r="I440" s="300" t="s">
        <v>100</v>
      </c>
      <c r="J440" s="294">
        <f>ROUND((H440),2)</f>
        <v>226.03</v>
      </c>
      <c r="K440" s="146">
        <v>16.0152</v>
      </c>
      <c r="L440" s="88"/>
      <c r="M440" s="88"/>
      <c r="N440" s="88"/>
      <c r="O440" s="90"/>
      <c r="P440" s="90"/>
      <c r="Q440" s="90"/>
    </row>
    <row r="441" spans="1:17" ht="15.75" customHeight="1">
      <c r="A441" s="120" t="s">
        <v>121</v>
      </c>
      <c r="B441" s="153" t="s">
        <v>102</v>
      </c>
      <c r="C441" s="299"/>
      <c r="D441" s="299"/>
      <c r="E441" s="152"/>
      <c r="F441" s="152"/>
      <c r="G441" s="152"/>
      <c r="H441" s="152"/>
      <c r="I441" s="293"/>
      <c r="J441" s="294">
        <f>ROUND((H441),2)</f>
        <v>0</v>
      </c>
      <c r="K441" s="148"/>
      <c r="L441" s="88"/>
      <c r="M441" s="88"/>
      <c r="N441" s="88"/>
      <c r="O441" s="90"/>
      <c r="P441" s="90"/>
      <c r="Q441" s="90"/>
    </row>
    <row r="442" spans="1:17" ht="15.75" customHeight="1">
      <c r="A442" s="120"/>
      <c r="B442" s="295" t="s">
        <v>154</v>
      </c>
      <c r="C442" s="299">
        <f>C428</f>
        <v>1.35</v>
      </c>
      <c r="D442" s="299">
        <v>0.15</v>
      </c>
      <c r="E442" s="299">
        <v>0.15</v>
      </c>
      <c r="F442" s="152">
        <f>F438</f>
        <v>54</v>
      </c>
      <c r="G442" s="152"/>
      <c r="H442" s="297">
        <f>C442*D442*E442*F442</f>
        <v>1.64025</v>
      </c>
      <c r="I442" s="293"/>
      <c r="J442" s="294"/>
      <c r="K442" s="149"/>
      <c r="L442" s="88"/>
      <c r="M442" s="88"/>
      <c r="N442" s="88"/>
      <c r="O442" s="90"/>
      <c r="P442" s="90"/>
      <c r="Q442" s="90"/>
    </row>
    <row r="443" spans="1:17" ht="15.75" customHeight="1">
      <c r="A443" s="120"/>
      <c r="B443" s="295" t="s">
        <v>155</v>
      </c>
      <c r="C443" s="299">
        <f>C11</f>
        <v>54</v>
      </c>
      <c r="D443" s="299">
        <v>0.15</v>
      </c>
      <c r="E443" s="299">
        <v>0.15</v>
      </c>
      <c r="F443" s="297">
        <v>1</v>
      </c>
      <c r="G443" s="297">
        <v>3</v>
      </c>
      <c r="H443" s="303">
        <f>C443*D443*E443*G443</f>
        <v>3.6449999999999996</v>
      </c>
      <c r="I443" s="293"/>
      <c r="J443" s="294"/>
      <c r="K443" s="88"/>
      <c r="L443" s="88"/>
      <c r="M443" s="88"/>
      <c r="N443" s="88"/>
      <c r="O443" s="90"/>
      <c r="P443" s="90"/>
      <c r="Q443" s="90"/>
    </row>
    <row r="444" spans="1:17" ht="15.75" customHeight="1">
      <c r="A444" s="120"/>
      <c r="B444" s="295" t="s">
        <v>141</v>
      </c>
      <c r="C444" s="299">
        <v>0.15</v>
      </c>
      <c r="D444" s="299">
        <v>0.15</v>
      </c>
      <c r="E444" s="299">
        <v>0.15</v>
      </c>
      <c r="F444" s="297"/>
      <c r="G444" s="297">
        <f>F429</f>
        <v>54</v>
      </c>
      <c r="H444" s="302">
        <f>-C444*D444*E444*G444</f>
        <v>-0.18225</v>
      </c>
      <c r="I444" s="293"/>
      <c r="J444" s="294"/>
      <c r="K444" s="88"/>
      <c r="L444" s="88"/>
      <c r="M444" s="88"/>
      <c r="N444" s="88"/>
      <c r="O444" s="90"/>
      <c r="P444" s="90"/>
      <c r="Q444" s="90"/>
    </row>
    <row r="445" spans="1:17" ht="15.75" customHeight="1">
      <c r="A445" s="120"/>
      <c r="B445" s="118"/>
      <c r="C445" s="107"/>
      <c r="D445" s="118"/>
      <c r="E445" s="106"/>
      <c r="F445" s="106"/>
      <c r="G445" s="106"/>
      <c r="H445" s="292">
        <f>ROUNDUP((SUM(H442:H444)),5)</f>
        <v>5.1029999999999998</v>
      </c>
      <c r="I445" s="116" t="s">
        <v>103</v>
      </c>
      <c r="J445" s="117">
        <f>ROUND((H445),2)</f>
        <v>5.0999999999999996</v>
      </c>
      <c r="K445" s="88"/>
      <c r="L445" s="88"/>
      <c r="M445" s="88"/>
      <c r="N445" s="88"/>
      <c r="O445" s="90"/>
      <c r="P445" s="90"/>
      <c r="Q445" s="90"/>
    </row>
    <row r="446" spans="1:17" ht="15.75" customHeight="1">
      <c r="A446" s="120" t="s">
        <v>142</v>
      </c>
      <c r="B446" s="118" t="s">
        <v>289</v>
      </c>
      <c r="C446" s="107"/>
      <c r="D446" s="118"/>
      <c r="E446" s="106"/>
      <c r="F446" s="106"/>
      <c r="G446" s="106"/>
      <c r="H446" s="106">
        <f>H445</f>
        <v>5.1029999999999998</v>
      </c>
      <c r="I446" s="103" t="s">
        <v>103</v>
      </c>
      <c r="J446" s="117">
        <f>ROUND((H446),2)</f>
        <v>5.0999999999999996</v>
      </c>
      <c r="K446" s="88"/>
      <c r="L446" s="88"/>
      <c r="M446" s="88"/>
      <c r="N446" s="88"/>
      <c r="O446" s="90"/>
      <c r="P446" s="90"/>
      <c r="Q446" s="90"/>
    </row>
    <row r="447" spans="1:17" ht="15.75" customHeight="1">
      <c r="A447" s="304">
        <f>A426+1</f>
        <v>6</v>
      </c>
      <c r="B447" s="305" t="s">
        <v>290</v>
      </c>
      <c r="C447" s="107"/>
      <c r="D447" s="118"/>
      <c r="E447" s="106"/>
      <c r="F447" s="106"/>
      <c r="G447" s="106"/>
      <c r="H447" s="106"/>
      <c r="I447" s="103"/>
      <c r="J447" s="117">
        <f>ROUND((H447),2)</f>
        <v>0</v>
      </c>
      <c r="K447" s="88"/>
      <c r="L447" s="88"/>
      <c r="M447" s="88"/>
      <c r="N447" s="88"/>
      <c r="O447" s="90"/>
      <c r="P447" s="90"/>
      <c r="Q447" s="90"/>
    </row>
    <row r="448" spans="1:17" ht="15.75" customHeight="1">
      <c r="A448" s="120" t="s">
        <v>95</v>
      </c>
      <c r="B448" s="118" t="s">
        <v>126</v>
      </c>
      <c r="C448" s="107">
        <f>C428</f>
        <v>1.35</v>
      </c>
      <c r="D448" s="299"/>
      <c r="E448" s="135">
        <v>0.25</v>
      </c>
      <c r="F448" s="288">
        <f>L17</f>
        <v>36</v>
      </c>
      <c r="G448" s="288">
        <v>2</v>
      </c>
      <c r="H448" s="288">
        <f>ROUNDUP((C448*E448*F448*G448),5)+H449</f>
        <v>38.880000000000003</v>
      </c>
      <c r="I448" s="103" t="s">
        <v>89</v>
      </c>
      <c r="J448" s="117">
        <f>ROUND((H448),2)</f>
        <v>38.880000000000003</v>
      </c>
      <c r="K448" s="88">
        <f>1.35+(0.5-0.075)</f>
        <v>1.7750000000000001</v>
      </c>
      <c r="L448" s="88"/>
      <c r="M448" s="88"/>
      <c r="N448" s="88"/>
      <c r="O448" s="90"/>
      <c r="P448" s="90"/>
      <c r="Q448" s="90"/>
    </row>
    <row r="449" spans="1:17" ht="15.75" customHeight="1">
      <c r="A449" s="120"/>
      <c r="B449" s="135" t="s">
        <v>291</v>
      </c>
      <c r="C449" s="107">
        <f>C448</f>
        <v>1.35</v>
      </c>
      <c r="D449" s="299">
        <v>0.15</v>
      </c>
      <c r="E449" s="135"/>
      <c r="F449" s="106">
        <f>F448</f>
        <v>36</v>
      </c>
      <c r="G449" s="106">
        <f>G448</f>
        <v>2</v>
      </c>
      <c r="H449" s="106">
        <f>ROUNDUP((C449*D449*F449*G449),5)</f>
        <v>14.58</v>
      </c>
      <c r="I449" s="103"/>
      <c r="J449" s="117"/>
      <c r="K449" s="88"/>
      <c r="L449" s="88"/>
      <c r="M449" s="88"/>
      <c r="N449" s="88"/>
      <c r="O449" s="90"/>
      <c r="P449" s="90"/>
      <c r="Q449" s="90"/>
    </row>
    <row r="450" spans="1:17" ht="15.75" customHeight="1">
      <c r="A450" s="120" t="s">
        <v>98</v>
      </c>
      <c r="B450" s="118" t="s">
        <v>131</v>
      </c>
      <c r="C450" s="123">
        <f>C434</f>
        <v>3.3</v>
      </c>
      <c r="D450" s="299">
        <f>13*13*0.006165</f>
        <v>1.041885</v>
      </c>
      <c r="E450" s="123">
        <f>E434</f>
        <v>4</v>
      </c>
      <c r="F450" s="288">
        <f>F449</f>
        <v>36</v>
      </c>
      <c r="G450" s="288">
        <v>1</v>
      </c>
      <c r="H450" s="106">
        <f>ROUNDUP((C450*D450*E450*F450*G450),5)</f>
        <v>495.10375999999997</v>
      </c>
      <c r="I450" s="103" t="s">
        <v>100</v>
      </c>
      <c r="J450" s="117">
        <f t="shared" ref="J450:J455" si="80">ROUND((H450),2)</f>
        <v>495.1</v>
      </c>
      <c r="K450" s="88"/>
      <c r="L450" s="88"/>
      <c r="M450" s="88"/>
      <c r="N450" s="88"/>
      <c r="O450" s="90"/>
      <c r="P450" s="90"/>
      <c r="Q450" s="90"/>
    </row>
    <row r="451" spans="1:17" ht="15.75" customHeight="1">
      <c r="A451" s="120" t="s">
        <v>101</v>
      </c>
      <c r="B451" s="118" t="s">
        <v>118</v>
      </c>
      <c r="C451" s="123">
        <f>((0.09*2)+(0.19*2))+0.05</f>
        <v>0.6100000000000001</v>
      </c>
      <c r="D451" s="299">
        <f>6*6*0.006165</f>
        <v>0.22194000000000003</v>
      </c>
      <c r="F451" s="288">
        <f>F450</f>
        <v>36</v>
      </c>
      <c r="G451" s="288">
        <v>2</v>
      </c>
      <c r="H451" s="106">
        <f>ROUNDUP((C451*D451*G451*F451),5)</f>
        <v>9.7476099999999999</v>
      </c>
      <c r="I451" s="103" t="s">
        <v>100</v>
      </c>
      <c r="J451" s="117">
        <f t="shared" si="80"/>
        <v>9.75</v>
      </c>
      <c r="K451" s="88"/>
      <c r="L451" s="88"/>
      <c r="M451" s="88"/>
      <c r="N451" s="88"/>
      <c r="O451" s="90"/>
      <c r="P451" s="90"/>
      <c r="Q451" s="90"/>
    </row>
    <row r="452" spans="1:17" ht="15.75" customHeight="1">
      <c r="A452" s="120" t="s">
        <v>121</v>
      </c>
      <c r="B452" s="118" t="s">
        <v>102</v>
      </c>
      <c r="C452" s="123">
        <f>C448</f>
        <v>1.35</v>
      </c>
      <c r="D452" s="299">
        <v>0.15</v>
      </c>
      <c r="E452" s="123">
        <v>0.25</v>
      </c>
      <c r="F452" s="288">
        <f>F451</f>
        <v>36</v>
      </c>
      <c r="G452" s="288">
        <v>2</v>
      </c>
      <c r="H452" s="106">
        <f>ROUNDUP((C452*D452*E452*F452*G452),5)</f>
        <v>3.645</v>
      </c>
      <c r="I452" s="103" t="s">
        <v>103</v>
      </c>
      <c r="J452" s="117">
        <f t="shared" si="80"/>
        <v>3.65</v>
      </c>
      <c r="K452" s="88"/>
      <c r="L452" s="88"/>
      <c r="M452" s="88"/>
      <c r="N452" s="88"/>
      <c r="O452" s="90"/>
      <c r="P452" s="90"/>
      <c r="Q452" s="90"/>
    </row>
    <row r="453" spans="1:17" ht="15.75" customHeight="1">
      <c r="A453" s="120" t="s">
        <v>142</v>
      </c>
      <c r="B453" s="118" t="s">
        <v>145</v>
      </c>
      <c r="C453" s="107"/>
      <c r="D453" s="299"/>
      <c r="E453" s="106"/>
      <c r="F453" s="106"/>
      <c r="G453" s="106"/>
      <c r="H453" s="106">
        <f>H452</f>
        <v>3.645</v>
      </c>
      <c r="I453" s="103" t="s">
        <v>103</v>
      </c>
      <c r="J453" s="117">
        <f t="shared" si="80"/>
        <v>3.65</v>
      </c>
      <c r="K453" s="88"/>
      <c r="L453" s="88"/>
      <c r="M453" s="88"/>
      <c r="N453" s="88"/>
      <c r="O453" s="90"/>
      <c r="P453" s="90"/>
      <c r="Q453" s="90"/>
    </row>
    <row r="454" spans="1:17" ht="15.75" customHeight="1">
      <c r="A454" s="104">
        <f>A447+1</f>
        <v>7</v>
      </c>
      <c r="B454" s="118" t="s">
        <v>292</v>
      </c>
      <c r="C454" s="107"/>
      <c r="D454" s="299"/>
      <c r="E454" s="106"/>
      <c r="F454" s="106"/>
      <c r="G454" s="106"/>
      <c r="H454" s="106"/>
      <c r="I454" s="103"/>
      <c r="J454" s="117">
        <f t="shared" si="80"/>
        <v>0</v>
      </c>
      <c r="K454" s="88"/>
      <c r="L454" s="88"/>
      <c r="M454" s="88"/>
      <c r="N454" s="88"/>
      <c r="O454" s="90"/>
      <c r="P454" s="90"/>
      <c r="Q454" s="90"/>
    </row>
    <row r="455" spans="1:17" ht="15.75" customHeight="1">
      <c r="A455" s="120" t="s">
        <v>95</v>
      </c>
      <c r="B455" s="118" t="s">
        <v>126</v>
      </c>
      <c r="C455" s="123">
        <f>C448</f>
        <v>1.35</v>
      </c>
      <c r="D455" s="299"/>
      <c r="E455" s="123">
        <f>E448</f>
        <v>0.25</v>
      </c>
      <c r="F455" s="306">
        <f>F452-1</f>
        <v>35</v>
      </c>
      <c r="G455" s="306">
        <v>3</v>
      </c>
      <c r="H455" s="131">
        <f>ROUNDUP((C455*E455*F455*G455),5)+H456</f>
        <v>56.7</v>
      </c>
      <c r="I455" s="103" t="s">
        <v>89</v>
      </c>
      <c r="J455" s="117">
        <f t="shared" si="80"/>
        <v>56.7</v>
      </c>
      <c r="K455" s="88"/>
      <c r="L455" s="88"/>
      <c r="M455" s="88"/>
      <c r="N455" s="88"/>
      <c r="O455" s="90"/>
      <c r="P455" s="90"/>
      <c r="Q455" s="90"/>
    </row>
    <row r="456" spans="1:17" ht="15.75" customHeight="1">
      <c r="A456" s="120"/>
      <c r="B456" s="135" t="s">
        <v>291</v>
      </c>
      <c r="C456" s="123">
        <f>C449</f>
        <v>1.35</v>
      </c>
      <c r="D456" s="299">
        <f>D449</f>
        <v>0.15</v>
      </c>
      <c r="E456" s="123"/>
      <c r="F456" s="123">
        <f>F455</f>
        <v>35</v>
      </c>
      <c r="G456" s="123">
        <f>G455</f>
        <v>3</v>
      </c>
      <c r="H456" s="131">
        <f>ROUNDUP((C456*D456*F456*G456),5)</f>
        <v>21.262499999999999</v>
      </c>
      <c r="I456" s="103"/>
      <c r="J456" s="117"/>
      <c r="K456" s="88"/>
      <c r="L456" s="88"/>
      <c r="M456" s="88"/>
      <c r="N456" s="88"/>
      <c r="O456" s="90"/>
      <c r="P456" s="90"/>
      <c r="Q456" s="90"/>
    </row>
    <row r="457" spans="1:17" ht="15.75" customHeight="1">
      <c r="A457" s="120" t="s">
        <v>98</v>
      </c>
      <c r="B457" s="118" t="s">
        <v>131</v>
      </c>
      <c r="C457" s="123">
        <f>C430</f>
        <v>1.35</v>
      </c>
      <c r="D457" s="299">
        <f>13*13*0.006165</f>
        <v>1.041885</v>
      </c>
      <c r="E457" s="123">
        <f>E435</f>
        <v>4</v>
      </c>
      <c r="F457" s="306">
        <f>F456</f>
        <v>35</v>
      </c>
      <c r="G457" s="306">
        <v>3</v>
      </c>
      <c r="H457" s="106">
        <f>ROUNDUP((C457*D457*E457*F457*G457),5)</f>
        <v>590.74879999999996</v>
      </c>
      <c r="I457" s="103" t="s">
        <v>100</v>
      </c>
      <c r="J457" s="117">
        <f t="shared" ref="J457:J462" si="81">ROUND((H457),2)</f>
        <v>590.75</v>
      </c>
      <c r="K457" s="88"/>
      <c r="L457" s="88"/>
      <c r="M457" s="88"/>
      <c r="N457" s="88"/>
      <c r="O457" s="90"/>
      <c r="P457" s="90"/>
      <c r="Q457" s="90"/>
    </row>
    <row r="458" spans="1:17" ht="15.75" customHeight="1">
      <c r="A458" s="120" t="s">
        <v>101</v>
      </c>
      <c r="B458" s="118" t="s">
        <v>118</v>
      </c>
      <c r="C458" s="123">
        <f>C451</f>
        <v>0.6100000000000001</v>
      </c>
      <c r="D458" s="299">
        <f>6*6*0.006165</f>
        <v>0.22194000000000003</v>
      </c>
      <c r="F458" s="306">
        <f>F457</f>
        <v>35</v>
      </c>
      <c r="G458" s="306">
        <v>3</v>
      </c>
      <c r="H458" s="106">
        <f>ROUNDUP((C458*D458*G458*F458),5)</f>
        <v>14.215259999999999</v>
      </c>
      <c r="I458" s="103" t="s">
        <v>100</v>
      </c>
      <c r="J458" s="117">
        <f t="shared" si="81"/>
        <v>14.22</v>
      </c>
      <c r="K458" s="88"/>
      <c r="L458" s="88"/>
      <c r="M458" s="88"/>
      <c r="N458" s="88"/>
      <c r="O458" s="90"/>
      <c r="P458" s="90"/>
      <c r="Q458" s="90"/>
    </row>
    <row r="459" spans="1:17" ht="15.75" customHeight="1">
      <c r="A459" s="120" t="s">
        <v>121</v>
      </c>
      <c r="B459" s="118" t="s">
        <v>102</v>
      </c>
      <c r="C459" s="123">
        <f>C455</f>
        <v>1.35</v>
      </c>
      <c r="D459" s="299">
        <v>0.15</v>
      </c>
      <c r="E459" s="123">
        <f>E452</f>
        <v>0.25</v>
      </c>
      <c r="F459" s="306">
        <f>F458</f>
        <v>35</v>
      </c>
      <c r="G459" s="306">
        <v>3</v>
      </c>
      <c r="H459" s="106">
        <f>ROUNDUP((C459*D459*E459*F459*G459),5)</f>
        <v>5.3156299999999996</v>
      </c>
      <c r="I459" s="103" t="s">
        <v>103</v>
      </c>
      <c r="J459" s="117">
        <f t="shared" si="81"/>
        <v>5.32</v>
      </c>
      <c r="K459" s="88"/>
      <c r="L459" s="88"/>
      <c r="M459" s="88"/>
      <c r="N459" s="88"/>
      <c r="O459" s="90"/>
      <c r="P459" s="90"/>
      <c r="Q459" s="90"/>
    </row>
    <row r="460" spans="1:17" ht="15.75" customHeight="1">
      <c r="A460" s="120" t="s">
        <v>142</v>
      </c>
      <c r="B460" s="118" t="s">
        <v>145</v>
      </c>
      <c r="C460" s="107"/>
      <c r="D460" s="153"/>
      <c r="E460" s="106"/>
      <c r="F460" s="106"/>
      <c r="G460" s="106"/>
      <c r="H460" s="106">
        <f>H459</f>
        <v>5.3156299999999996</v>
      </c>
      <c r="I460" s="103" t="s">
        <v>103</v>
      </c>
      <c r="J460" s="117">
        <f t="shared" si="81"/>
        <v>5.32</v>
      </c>
      <c r="K460" s="88"/>
      <c r="L460" s="88"/>
      <c r="M460" s="88"/>
      <c r="N460" s="88"/>
      <c r="O460" s="90"/>
      <c r="P460" s="90"/>
      <c r="Q460" s="90"/>
    </row>
    <row r="461" spans="1:17" ht="15.75" customHeight="1">
      <c r="A461" s="104">
        <f>A454+1</f>
        <v>8</v>
      </c>
      <c r="B461" s="118" t="s">
        <v>147</v>
      </c>
      <c r="C461" s="107"/>
      <c r="D461" s="153"/>
      <c r="E461" s="106"/>
      <c r="F461" s="106"/>
      <c r="G461" s="106"/>
      <c r="H461" s="106"/>
      <c r="I461" s="103"/>
      <c r="J461" s="117">
        <f t="shared" si="81"/>
        <v>0</v>
      </c>
      <c r="K461" s="88"/>
      <c r="L461" s="88"/>
      <c r="M461" s="88"/>
      <c r="N461" s="88"/>
      <c r="O461" s="90"/>
      <c r="P461" s="90"/>
      <c r="Q461" s="90"/>
    </row>
    <row r="462" spans="1:17" ht="15.75" customHeight="1">
      <c r="A462" s="120" t="s">
        <v>95</v>
      </c>
      <c r="B462" s="118" t="s">
        <v>148</v>
      </c>
      <c r="C462" s="107"/>
      <c r="D462" s="153"/>
      <c r="E462" s="106"/>
      <c r="F462" s="106"/>
      <c r="G462" s="106"/>
      <c r="H462" s="106"/>
      <c r="I462" s="103"/>
      <c r="J462" s="117">
        <f t="shared" si="81"/>
        <v>0</v>
      </c>
      <c r="K462" s="88"/>
      <c r="L462" s="88"/>
      <c r="M462" s="88"/>
      <c r="N462" s="88"/>
      <c r="O462" s="90"/>
      <c r="P462" s="90"/>
      <c r="Q462" s="90"/>
    </row>
    <row r="463" spans="1:17" ht="15.75" customHeight="1">
      <c r="A463" s="120"/>
      <c r="B463" s="135" t="s">
        <v>291</v>
      </c>
      <c r="C463" s="123">
        <f>C10</f>
        <v>54</v>
      </c>
      <c r="D463" s="307">
        <f>D11</f>
        <v>3</v>
      </c>
      <c r="E463" s="131"/>
      <c r="F463" s="131"/>
      <c r="G463" s="131"/>
      <c r="H463" s="131">
        <f>ROUNDUP((C463*D463),5)</f>
        <v>162</v>
      </c>
      <c r="I463" s="103"/>
      <c r="J463" s="117"/>
      <c r="K463" s="88"/>
      <c r="L463" s="88"/>
      <c r="M463" s="88"/>
      <c r="N463" s="88"/>
      <c r="O463" s="90"/>
      <c r="P463" s="90"/>
      <c r="Q463" s="90"/>
    </row>
    <row r="464" spans="1:17" ht="15.75" customHeight="1">
      <c r="A464" s="120"/>
      <c r="B464" s="135"/>
      <c r="C464" s="123">
        <f>C448</f>
        <v>1.35</v>
      </c>
      <c r="D464" s="295">
        <f>0.15</f>
        <v>0.15</v>
      </c>
      <c r="E464" s="123"/>
      <c r="F464" s="123">
        <f>F448</f>
        <v>36</v>
      </c>
      <c r="G464" s="123">
        <f>G448</f>
        <v>2</v>
      </c>
      <c r="H464" s="131">
        <f>-C464*D464*F464*G464</f>
        <v>-14.580000000000002</v>
      </c>
      <c r="I464" s="103"/>
      <c r="J464" s="117"/>
      <c r="K464" s="88"/>
      <c r="L464" s="88"/>
      <c r="M464" s="88"/>
      <c r="N464" s="88"/>
      <c r="O464" s="90"/>
      <c r="P464" s="90"/>
      <c r="Q464" s="90"/>
    </row>
    <row r="465" spans="1:17" ht="15.75" customHeight="1">
      <c r="A465" s="120"/>
      <c r="B465" s="135"/>
      <c r="C465" s="123">
        <v>1.35</v>
      </c>
      <c r="D465" s="295">
        <f>0.15</f>
        <v>0.15</v>
      </c>
      <c r="E465" s="131"/>
      <c r="F465" s="131">
        <f>F459</f>
        <v>35</v>
      </c>
      <c r="G465" s="131">
        <v>3</v>
      </c>
      <c r="H465" s="131">
        <f>-C465*D465*F465*G465</f>
        <v>-21.262500000000003</v>
      </c>
      <c r="I465" s="103"/>
      <c r="J465" s="117"/>
      <c r="K465" s="88"/>
      <c r="L465" s="88"/>
      <c r="M465" s="88"/>
      <c r="N465" s="88"/>
      <c r="O465" s="90"/>
      <c r="P465" s="90"/>
      <c r="Q465" s="90"/>
    </row>
    <row r="466" spans="1:17" ht="15.75" customHeight="1">
      <c r="A466" s="120"/>
      <c r="B466" s="135" t="s">
        <v>223</v>
      </c>
      <c r="C466" s="123">
        <f>C463</f>
        <v>54</v>
      </c>
      <c r="D466" s="118"/>
      <c r="E466" s="131">
        <v>0.15</v>
      </c>
      <c r="F466" s="131">
        <v>2</v>
      </c>
      <c r="G466" s="131"/>
      <c r="H466" s="131">
        <f>ROUNDUP((C466*E466*F466),5)</f>
        <v>16.2</v>
      </c>
      <c r="I466" s="103"/>
      <c r="J466" s="117"/>
      <c r="K466" s="88"/>
      <c r="L466" s="88"/>
      <c r="M466" s="88"/>
      <c r="N466" s="88"/>
      <c r="O466" s="90"/>
      <c r="P466" s="90"/>
      <c r="Q466" s="90"/>
    </row>
    <row r="467" spans="1:17" ht="15.75" customHeight="1">
      <c r="A467" s="120"/>
      <c r="B467" s="135"/>
      <c r="C467" s="123">
        <f>D463</f>
        <v>3</v>
      </c>
      <c r="D467" s="118"/>
      <c r="E467" s="131">
        <v>0.15</v>
      </c>
      <c r="F467" s="131">
        <v>2</v>
      </c>
      <c r="G467" s="131"/>
      <c r="H467" s="132">
        <f>ROUNDUP((C467*E467*F467),5)</f>
        <v>0.9</v>
      </c>
      <c r="I467" s="116"/>
      <c r="J467" s="117"/>
      <c r="K467" s="88"/>
      <c r="L467" s="88"/>
      <c r="M467" s="88"/>
      <c r="N467" s="88"/>
      <c r="O467" s="90"/>
      <c r="P467" s="90"/>
      <c r="Q467" s="90"/>
    </row>
    <row r="468" spans="1:17" ht="15.75" customHeight="1">
      <c r="A468" s="120"/>
      <c r="B468" s="135"/>
      <c r="C468" s="123"/>
      <c r="D468" s="123"/>
      <c r="E468" s="131"/>
      <c r="F468" s="131"/>
      <c r="G468" s="131"/>
      <c r="H468" s="130">
        <f>SUM(H463:H467)</f>
        <v>143.25749999999999</v>
      </c>
      <c r="I468" s="116" t="s">
        <v>89</v>
      </c>
      <c r="J468" s="117">
        <f>ROUND((H468),2)</f>
        <v>143.26</v>
      </c>
      <c r="K468" s="88"/>
      <c r="L468" s="88"/>
      <c r="M468" s="88"/>
      <c r="N468" s="88"/>
      <c r="O468" s="90"/>
      <c r="P468" s="90"/>
      <c r="Q468" s="90"/>
    </row>
    <row r="469" spans="1:17" s="160" customFormat="1" ht="15.75" customHeight="1">
      <c r="A469" s="154" t="s">
        <v>98</v>
      </c>
      <c r="B469" s="308" t="s">
        <v>152</v>
      </c>
      <c r="C469" s="165">
        <f>C466</f>
        <v>54</v>
      </c>
      <c r="D469" s="165">
        <f>D463</f>
        <v>3</v>
      </c>
      <c r="E469" s="166"/>
      <c r="F469" s="166"/>
      <c r="G469" s="166"/>
      <c r="H469" s="166">
        <f>ROUNDUP((C469*D469),5)</f>
        <v>162</v>
      </c>
      <c r="I469" s="142" t="s">
        <v>89</v>
      </c>
      <c r="J469" s="143">
        <f>ROUND((H469),2)</f>
        <v>162</v>
      </c>
      <c r="K469" s="144"/>
      <c r="L469" s="144"/>
      <c r="M469" s="144"/>
      <c r="N469" s="144"/>
      <c r="O469" s="159"/>
      <c r="P469" s="159"/>
      <c r="Q469" s="159"/>
    </row>
    <row r="470" spans="1:17" ht="15.75" customHeight="1">
      <c r="A470" s="120" t="s">
        <v>98</v>
      </c>
      <c r="B470" s="118" t="s">
        <v>153</v>
      </c>
      <c r="C470" s="107"/>
      <c r="D470" s="107"/>
      <c r="E470" s="106"/>
      <c r="F470" s="106"/>
      <c r="G470" s="106"/>
      <c r="H470" s="106"/>
      <c r="I470" s="103"/>
      <c r="J470" s="117"/>
      <c r="K470" s="88"/>
      <c r="L470" s="88"/>
      <c r="M470" s="88"/>
      <c r="N470" s="88"/>
      <c r="O470" s="90"/>
      <c r="P470" s="90"/>
      <c r="Q470" s="90"/>
    </row>
    <row r="471" spans="1:17" ht="15.75" customHeight="1">
      <c r="A471" s="120"/>
      <c r="B471" s="135" t="s">
        <v>154</v>
      </c>
      <c r="C471" s="107">
        <f>D475</f>
        <v>3</v>
      </c>
      <c r="D471" s="107">
        <f>10*10*0.006165</f>
        <v>0.61650000000000005</v>
      </c>
      <c r="E471" s="106"/>
      <c r="F471" s="106">
        <f>ROUNDUP((C472/0.12),0.5)+1</f>
        <v>451</v>
      </c>
      <c r="G471" s="106"/>
      <c r="H471" s="106">
        <f>C471*D471*F471</f>
        <v>834.12450000000001</v>
      </c>
      <c r="I471" s="103"/>
      <c r="J471" s="117"/>
      <c r="K471" s="88"/>
      <c r="L471" s="88"/>
      <c r="M471" s="88"/>
      <c r="N471" s="88"/>
      <c r="O471" s="90"/>
      <c r="P471" s="90"/>
      <c r="Q471" s="90"/>
    </row>
    <row r="472" spans="1:17" ht="15.75" customHeight="1">
      <c r="A472" s="120"/>
      <c r="B472" s="135" t="s">
        <v>155</v>
      </c>
      <c r="C472" s="107">
        <f>C475</f>
        <v>54</v>
      </c>
      <c r="D472" s="107">
        <f>D471</f>
        <v>0.61650000000000005</v>
      </c>
      <c r="E472" s="106"/>
      <c r="F472" s="106">
        <f>ROUNDUP((C471/0.12),0.5)+1</f>
        <v>26</v>
      </c>
      <c r="G472" s="106"/>
      <c r="H472" s="147">
        <f>C472*D472*F472</f>
        <v>865.56600000000014</v>
      </c>
      <c r="I472" s="103"/>
      <c r="J472" s="117"/>
      <c r="K472" s="88"/>
      <c r="L472" s="88"/>
      <c r="M472" s="88"/>
      <c r="N472" s="88"/>
      <c r="O472" s="90"/>
      <c r="P472" s="90"/>
      <c r="Q472" s="90"/>
    </row>
    <row r="473" spans="1:17" ht="15.75" customHeight="1">
      <c r="A473" s="120"/>
      <c r="B473" s="118"/>
      <c r="C473" s="107"/>
      <c r="D473" s="107"/>
      <c r="E473" s="106"/>
      <c r="F473" s="106"/>
      <c r="G473" s="106"/>
      <c r="H473" s="115">
        <f>SUM(H471:H472)</f>
        <v>1699.6905000000002</v>
      </c>
      <c r="I473" s="116" t="s">
        <v>100</v>
      </c>
      <c r="J473" s="117">
        <f>ROUND((H473),2)</f>
        <v>1699.69</v>
      </c>
      <c r="K473" s="88"/>
      <c r="L473" s="88"/>
      <c r="M473" s="88"/>
      <c r="N473" s="88"/>
      <c r="O473" s="90"/>
      <c r="P473" s="90"/>
      <c r="Q473" s="90"/>
    </row>
    <row r="474" spans="1:17" ht="15.75" customHeight="1">
      <c r="A474" s="120" t="s">
        <v>101</v>
      </c>
      <c r="B474" s="118" t="s">
        <v>102</v>
      </c>
      <c r="C474" s="107"/>
      <c r="D474" s="107"/>
      <c r="E474" s="106"/>
      <c r="F474" s="106"/>
      <c r="G474" s="106"/>
      <c r="H474" s="106"/>
      <c r="I474" s="103"/>
      <c r="J474" s="117"/>
      <c r="K474" s="88"/>
      <c r="L474" s="88"/>
      <c r="M474" s="88"/>
      <c r="N474" s="88"/>
      <c r="O474" s="90"/>
      <c r="P474" s="90"/>
      <c r="Q474" s="90"/>
    </row>
    <row r="475" spans="1:17" ht="15.75" customHeight="1">
      <c r="A475" s="120"/>
      <c r="B475" s="118"/>
      <c r="C475" s="107">
        <f>C469</f>
        <v>54</v>
      </c>
      <c r="D475" s="107">
        <f>D463</f>
        <v>3</v>
      </c>
      <c r="E475" s="106">
        <v>0.1</v>
      </c>
      <c r="F475" s="106"/>
      <c r="G475" s="106"/>
      <c r="H475" s="106">
        <f>C475*D475*E475</f>
        <v>16.2</v>
      </c>
      <c r="I475" s="103"/>
      <c r="J475" s="117"/>
      <c r="K475" s="88"/>
      <c r="L475" s="88"/>
      <c r="M475" s="88"/>
      <c r="N475" s="88"/>
      <c r="O475" s="90"/>
      <c r="P475" s="90"/>
      <c r="Q475" s="90"/>
    </row>
    <row r="476" spans="1:17" ht="15.75" customHeight="1">
      <c r="A476" s="120"/>
      <c r="B476" s="118"/>
      <c r="C476" s="107"/>
      <c r="D476" s="107"/>
      <c r="E476" s="106"/>
      <c r="F476" s="106"/>
      <c r="G476" s="106"/>
      <c r="H476" s="115">
        <f>ROUNDUP((SUM(H475:H475)),3)</f>
        <v>16.2</v>
      </c>
      <c r="I476" s="116" t="s">
        <v>103</v>
      </c>
      <c r="J476" s="117">
        <f>ROUND((H476),2)</f>
        <v>16.2</v>
      </c>
      <c r="K476" s="88"/>
      <c r="L476" s="88"/>
      <c r="M476" s="88"/>
      <c r="N476" s="88"/>
      <c r="O476" s="90"/>
      <c r="P476" s="90"/>
      <c r="Q476" s="90"/>
    </row>
    <row r="477" spans="1:17" ht="15.75" customHeight="1">
      <c r="A477" s="120" t="s">
        <v>121</v>
      </c>
      <c r="B477" s="118" t="s">
        <v>145</v>
      </c>
      <c r="C477" s="107"/>
      <c r="D477" s="107"/>
      <c r="E477" s="106"/>
      <c r="F477" s="106"/>
      <c r="G477" s="106"/>
      <c r="H477" s="106">
        <f>H476</f>
        <v>16.2</v>
      </c>
      <c r="I477" s="103"/>
      <c r="J477" s="117">
        <f>ROUND((H477),2)</f>
        <v>16.2</v>
      </c>
      <c r="K477" s="88"/>
      <c r="L477" s="88"/>
      <c r="M477" s="88"/>
      <c r="N477" s="88"/>
      <c r="O477" s="90"/>
      <c r="P477" s="90"/>
      <c r="Q477" s="90"/>
    </row>
    <row r="478" spans="1:17" ht="15.75" customHeight="1">
      <c r="A478" s="104">
        <f>A461+1</f>
        <v>9</v>
      </c>
      <c r="B478" s="118" t="s">
        <v>293</v>
      </c>
      <c r="C478" s="111"/>
      <c r="D478" s="111"/>
      <c r="E478" s="106"/>
      <c r="F478" s="106"/>
      <c r="G478" s="106"/>
      <c r="H478" s="106"/>
      <c r="I478" s="103"/>
      <c r="J478" s="117">
        <f>ROUND((H478),2)</f>
        <v>0</v>
      </c>
      <c r="K478" s="88"/>
      <c r="L478" s="88">
        <f>147/6</f>
        <v>24.5</v>
      </c>
      <c r="M478" s="88"/>
      <c r="N478" s="88"/>
      <c r="O478" s="90"/>
      <c r="P478" s="90"/>
      <c r="Q478" s="90"/>
    </row>
    <row r="479" spans="1:17" ht="15.75" customHeight="1">
      <c r="A479" s="120" t="s">
        <v>95</v>
      </c>
      <c r="B479" s="118" t="s">
        <v>106</v>
      </c>
      <c r="C479" s="169"/>
      <c r="D479" s="169"/>
      <c r="E479" s="106"/>
      <c r="F479" s="106"/>
      <c r="G479" s="106"/>
      <c r="H479" s="115">
        <f>SUM(H480:H483)</f>
        <v>6.4</v>
      </c>
      <c r="I479" s="116" t="s">
        <v>89</v>
      </c>
      <c r="J479" s="117">
        <f>ROUND((H479),2)</f>
        <v>6.4</v>
      </c>
      <c r="K479" s="88"/>
      <c r="L479" s="88"/>
      <c r="M479" s="88"/>
      <c r="N479" s="88"/>
      <c r="O479" s="90"/>
      <c r="P479" s="90"/>
      <c r="Q479" s="90"/>
    </row>
    <row r="480" spans="1:17" ht="15.75" customHeight="1">
      <c r="A480" s="120"/>
      <c r="B480" s="135" t="s">
        <v>157</v>
      </c>
      <c r="C480" s="169">
        <v>0.6</v>
      </c>
      <c r="D480" s="170">
        <v>0.05</v>
      </c>
      <c r="E480" s="106"/>
      <c r="F480" s="106">
        <v>4</v>
      </c>
      <c r="G480" s="106">
        <v>8</v>
      </c>
      <c r="H480" s="131">
        <f>C480*D480*F480*G480</f>
        <v>0.96</v>
      </c>
      <c r="I480" s="103"/>
      <c r="J480" s="117"/>
      <c r="K480" s="88"/>
      <c r="L480" s="88"/>
      <c r="M480" s="88"/>
      <c r="N480" s="88"/>
      <c r="O480" s="90"/>
      <c r="P480" s="90"/>
      <c r="Q480" s="90"/>
    </row>
    <row r="481" spans="1:17" ht="15.75" customHeight="1">
      <c r="A481" s="120"/>
      <c r="B481" s="135" t="s">
        <v>158</v>
      </c>
      <c r="C481" s="169">
        <v>0.6</v>
      </c>
      <c r="D481" s="170">
        <v>0.05</v>
      </c>
      <c r="E481" s="106"/>
      <c r="F481" s="106">
        <v>4</v>
      </c>
      <c r="G481" s="106">
        <f>G480</f>
        <v>8</v>
      </c>
      <c r="H481" s="131">
        <f>C481*D481*F481*G481</f>
        <v>0.96</v>
      </c>
      <c r="I481" s="103"/>
      <c r="J481" s="117"/>
      <c r="K481" s="88"/>
      <c r="L481" s="88"/>
      <c r="M481" s="88"/>
      <c r="N481" s="88"/>
      <c r="O481" s="90"/>
      <c r="P481" s="90"/>
      <c r="Q481" s="90"/>
    </row>
    <row r="482" spans="1:17" ht="15.75" customHeight="1">
      <c r="A482" s="120"/>
      <c r="B482" s="135" t="s">
        <v>159</v>
      </c>
      <c r="C482" s="169">
        <v>0.4</v>
      </c>
      <c r="D482" s="106">
        <v>0.2</v>
      </c>
      <c r="E482" s="106"/>
      <c r="F482" s="106">
        <v>4</v>
      </c>
      <c r="G482" s="106">
        <f>G481</f>
        <v>8</v>
      </c>
      <c r="H482" s="131">
        <f>C482*D482*F482*G482</f>
        <v>2.5600000000000005</v>
      </c>
      <c r="I482" s="103"/>
      <c r="J482" s="117"/>
      <c r="K482" s="88"/>
      <c r="L482" s="88"/>
      <c r="M482" s="88"/>
      <c r="N482" s="88"/>
      <c r="O482" s="90"/>
      <c r="P482" s="90"/>
      <c r="Q482" s="90"/>
    </row>
    <row r="483" spans="1:17" ht="15.75" customHeight="1">
      <c r="A483" s="120"/>
      <c r="B483" s="135" t="s">
        <v>160</v>
      </c>
      <c r="C483" s="169">
        <v>0.6</v>
      </c>
      <c r="D483" s="169">
        <v>0.1</v>
      </c>
      <c r="E483" s="171"/>
      <c r="F483" s="171">
        <v>4</v>
      </c>
      <c r="G483" s="106">
        <f>G482</f>
        <v>8</v>
      </c>
      <c r="H483" s="172">
        <f>C483*D483*F483*G483</f>
        <v>1.92</v>
      </c>
      <c r="I483" s="110"/>
      <c r="J483" s="117"/>
      <c r="K483" s="88"/>
      <c r="L483" s="88"/>
      <c r="M483" s="88"/>
      <c r="N483" s="88"/>
      <c r="O483" s="90"/>
      <c r="P483" s="90"/>
      <c r="Q483" s="90"/>
    </row>
    <row r="484" spans="1:17" ht="15.75" customHeight="1">
      <c r="A484" s="120" t="s">
        <v>98</v>
      </c>
      <c r="B484" s="118" t="s">
        <v>99</v>
      </c>
      <c r="C484" s="123">
        <f>(D480+D482+D483)+0.3</f>
        <v>0.64999999999999991</v>
      </c>
      <c r="D484" s="123"/>
      <c r="E484" s="152">
        <f>13*13*0.006165</f>
        <v>1.041885</v>
      </c>
      <c r="F484" s="123">
        <v>8</v>
      </c>
      <c r="G484" s="106">
        <f>G483</f>
        <v>8</v>
      </c>
      <c r="H484" s="173">
        <f>ROUNDUP((C484*E484*F484*G484),5)</f>
        <v>43.342420000000004</v>
      </c>
      <c r="I484" s="174" t="s">
        <v>100</v>
      </c>
      <c r="J484" s="117">
        <f>ROUND((H484),2)</f>
        <v>43.34</v>
      </c>
      <c r="K484" s="88"/>
      <c r="L484" s="88"/>
      <c r="M484" s="88"/>
      <c r="N484" s="88"/>
      <c r="O484" s="90"/>
      <c r="P484" s="90"/>
      <c r="Q484" s="90"/>
    </row>
    <row r="485" spans="1:17" ht="15.75" customHeight="1">
      <c r="A485" s="120" t="s">
        <v>101</v>
      </c>
      <c r="B485" s="118" t="s">
        <v>161</v>
      </c>
      <c r="C485" s="123">
        <f>0.3*4+0.05</f>
        <v>1.25</v>
      </c>
      <c r="D485" s="123"/>
      <c r="E485" s="152">
        <f>6*6*0.006165</f>
        <v>0.22194000000000003</v>
      </c>
      <c r="F485" s="123">
        <v>5</v>
      </c>
      <c r="G485" s="106">
        <f>G484</f>
        <v>8</v>
      </c>
      <c r="H485" s="173">
        <f>ROUNDUP((C485*E485*F485*G485),5)</f>
        <v>11.097</v>
      </c>
      <c r="I485" s="174" t="s">
        <v>100</v>
      </c>
      <c r="J485" s="117">
        <f>ROUND((H485),2)</f>
        <v>11.1</v>
      </c>
      <c r="K485" s="88"/>
      <c r="L485" s="88"/>
      <c r="M485" s="88"/>
      <c r="N485" s="88"/>
      <c r="O485" s="90"/>
      <c r="P485" s="90"/>
      <c r="Q485" s="90"/>
    </row>
    <row r="486" spans="1:17" ht="15.75" customHeight="1">
      <c r="A486" s="120" t="s">
        <v>121</v>
      </c>
      <c r="B486" s="118" t="s">
        <v>102</v>
      </c>
      <c r="C486" s="150"/>
      <c r="D486" s="150"/>
      <c r="E486" s="171"/>
      <c r="F486" s="171"/>
      <c r="G486" s="171"/>
      <c r="H486" s="175">
        <f>SUM(H487:H489)</f>
        <v>0.68799999999999994</v>
      </c>
      <c r="I486" s="103" t="s">
        <v>103</v>
      </c>
      <c r="J486" s="117">
        <f>ROUND((H486),2)</f>
        <v>0.69</v>
      </c>
      <c r="K486" s="88"/>
      <c r="L486" s="88"/>
      <c r="M486" s="88"/>
      <c r="N486" s="88"/>
      <c r="O486" s="90"/>
      <c r="P486" s="90"/>
      <c r="Q486" s="90"/>
    </row>
    <row r="487" spans="1:17" ht="15.75" customHeight="1">
      <c r="A487" s="120"/>
      <c r="B487" s="135" t="s">
        <v>162</v>
      </c>
      <c r="C487" s="170">
        <v>0.6</v>
      </c>
      <c r="D487" s="170">
        <v>0.6</v>
      </c>
      <c r="E487" s="170">
        <f>D480</f>
        <v>0.05</v>
      </c>
      <c r="F487" s="123"/>
      <c r="G487" s="123">
        <f>G485</f>
        <v>8</v>
      </c>
      <c r="H487" s="123">
        <f>C487*D487*E487*G487</f>
        <v>0.14399999999999999</v>
      </c>
      <c r="I487" s="103"/>
      <c r="J487" s="117"/>
      <c r="K487" s="88"/>
      <c r="L487" s="88"/>
      <c r="M487" s="88"/>
      <c r="N487" s="88"/>
      <c r="O487" s="90"/>
      <c r="P487" s="90"/>
      <c r="Q487" s="90"/>
    </row>
    <row r="488" spans="1:17" ht="15.75" customHeight="1">
      <c r="A488" s="120"/>
      <c r="B488" s="135" t="s">
        <v>159</v>
      </c>
      <c r="C488" s="170">
        <v>0.4</v>
      </c>
      <c r="D488" s="170">
        <v>0.4</v>
      </c>
      <c r="E488" s="170">
        <v>0.2</v>
      </c>
      <c r="F488" s="123"/>
      <c r="G488" s="123">
        <f>G487</f>
        <v>8</v>
      </c>
      <c r="H488" s="123">
        <f>C488*D488*E488*G488</f>
        <v>0.25600000000000006</v>
      </c>
      <c r="I488" s="103"/>
      <c r="J488" s="117"/>
      <c r="K488" s="88"/>
      <c r="L488" s="88"/>
      <c r="M488" s="88"/>
      <c r="N488" s="88"/>
      <c r="O488" s="90"/>
      <c r="P488" s="90"/>
      <c r="Q488" s="90"/>
    </row>
    <row r="489" spans="1:17" ht="15.75" customHeight="1">
      <c r="A489" s="120"/>
      <c r="B489" s="135" t="s">
        <v>160</v>
      </c>
      <c r="C489" s="170">
        <v>0.6</v>
      </c>
      <c r="D489" s="170">
        <v>0.6</v>
      </c>
      <c r="E489" s="170">
        <f>D483</f>
        <v>0.1</v>
      </c>
      <c r="F489" s="123"/>
      <c r="G489" s="123">
        <f>G488</f>
        <v>8</v>
      </c>
      <c r="H489" s="123">
        <f>C489*D489*E489*G489</f>
        <v>0.28799999999999998</v>
      </c>
      <c r="I489" s="103"/>
      <c r="J489" s="117"/>
      <c r="K489" s="88"/>
      <c r="L489" s="88"/>
      <c r="M489" s="88"/>
      <c r="N489" s="88"/>
      <c r="O489" s="90"/>
      <c r="P489" s="90"/>
      <c r="Q489" s="90"/>
    </row>
    <row r="490" spans="1:17" ht="15.75" customHeight="1">
      <c r="A490" s="120" t="s">
        <v>142</v>
      </c>
      <c r="B490" s="118" t="s">
        <v>145</v>
      </c>
      <c r="C490" s="107"/>
      <c r="D490" s="107"/>
      <c r="E490" s="106"/>
      <c r="F490" s="106"/>
      <c r="G490" s="106"/>
      <c r="H490" s="115">
        <f>H486</f>
        <v>0.68799999999999994</v>
      </c>
      <c r="I490" s="103" t="s">
        <v>103</v>
      </c>
      <c r="J490" s="117">
        <f>ROUND((H490),2)</f>
        <v>0.69</v>
      </c>
      <c r="K490" s="88"/>
      <c r="L490" s="88"/>
      <c r="M490" s="88"/>
      <c r="N490" s="88"/>
      <c r="O490" s="90"/>
      <c r="P490" s="90"/>
      <c r="Q490" s="90"/>
    </row>
    <row r="491" spans="1:17" ht="15.75" customHeight="1">
      <c r="A491" s="104">
        <f>A478+1</f>
        <v>10</v>
      </c>
      <c r="B491" s="285" t="s">
        <v>163</v>
      </c>
      <c r="C491" s="150"/>
      <c r="D491" s="150"/>
      <c r="E491" s="106"/>
      <c r="F491" s="106"/>
      <c r="G491" s="106"/>
      <c r="H491" s="106"/>
      <c r="I491" s="103"/>
      <c r="J491" s="117">
        <f>ROUND((H491),2)</f>
        <v>0</v>
      </c>
      <c r="K491" s="88"/>
      <c r="L491" s="88"/>
      <c r="M491" s="88"/>
      <c r="N491" s="88"/>
      <c r="O491" s="90"/>
      <c r="P491" s="90"/>
      <c r="Q491" s="90"/>
    </row>
    <row r="492" spans="1:17" ht="15.75" customHeight="1">
      <c r="A492" s="120" t="s">
        <v>95</v>
      </c>
      <c r="B492" s="118" t="s">
        <v>106</v>
      </c>
      <c r="C492" s="150"/>
      <c r="D492" s="177"/>
      <c r="E492" s="177"/>
      <c r="F492" s="106"/>
      <c r="G492" s="106"/>
      <c r="H492" s="115">
        <f>SUM(H493:H496)</f>
        <v>6.160680000000001</v>
      </c>
      <c r="I492" s="103" t="s">
        <v>89</v>
      </c>
      <c r="J492" s="117">
        <f>ROUND((H492),2)</f>
        <v>6.16</v>
      </c>
      <c r="K492" s="88"/>
      <c r="L492" s="88"/>
      <c r="M492" s="88"/>
      <c r="N492" s="88"/>
      <c r="O492" s="90"/>
      <c r="P492" s="90"/>
      <c r="Q492" s="90"/>
    </row>
    <row r="493" spans="1:17" ht="15.75" customHeight="1">
      <c r="A493" s="120"/>
      <c r="B493" s="135" t="s">
        <v>165</v>
      </c>
      <c r="C493" s="150">
        <f>2*(3.14)*(0.42/2)</f>
        <v>1.3188</v>
      </c>
      <c r="D493" s="123"/>
      <c r="E493" s="123">
        <v>0.1</v>
      </c>
      <c r="F493" s="123"/>
      <c r="G493" s="123">
        <v>9</v>
      </c>
      <c r="H493" s="123">
        <f>C493*E493*G493</f>
        <v>1.18692</v>
      </c>
      <c r="I493" s="103"/>
      <c r="J493" s="117"/>
      <c r="K493" s="88"/>
      <c r="L493" s="88"/>
      <c r="M493" s="88"/>
      <c r="N493" s="88"/>
      <c r="O493" s="90"/>
      <c r="P493" s="90"/>
      <c r="Q493" s="90"/>
    </row>
    <row r="494" spans="1:17" ht="15.75" customHeight="1">
      <c r="A494" s="120"/>
      <c r="B494" s="135" t="s">
        <v>166</v>
      </c>
      <c r="C494" s="150">
        <f>2*(3.14)*(0.32/2)</f>
        <v>1.0048000000000001</v>
      </c>
      <c r="D494" s="123">
        <v>0.1</v>
      </c>
      <c r="E494" s="123"/>
      <c r="F494" s="123"/>
      <c r="G494" s="123">
        <f>G493</f>
        <v>9</v>
      </c>
      <c r="H494" s="123">
        <f>C494*D494*G494</f>
        <v>0.90432000000000012</v>
      </c>
      <c r="I494" s="103"/>
      <c r="J494" s="117"/>
      <c r="K494" s="88"/>
      <c r="L494" s="88"/>
      <c r="M494" s="88"/>
      <c r="N494" s="88"/>
      <c r="O494" s="90"/>
      <c r="P494" s="90"/>
      <c r="Q494" s="90"/>
    </row>
    <row r="495" spans="1:17" ht="15.75" customHeight="1">
      <c r="A495" s="120"/>
      <c r="B495" s="135" t="s">
        <v>167</v>
      </c>
      <c r="C495" s="150">
        <f>2*(3.14)*(0.2/2)</f>
        <v>0.62800000000000011</v>
      </c>
      <c r="D495" s="123"/>
      <c r="E495" s="123">
        <v>0.4</v>
      </c>
      <c r="F495" s="123"/>
      <c r="G495" s="123">
        <f>G494</f>
        <v>9</v>
      </c>
      <c r="H495" s="123">
        <f>C495*E495*G495</f>
        <v>2.2608000000000001</v>
      </c>
      <c r="I495" s="103"/>
      <c r="J495" s="117"/>
      <c r="K495" s="88"/>
      <c r="L495" s="88"/>
      <c r="M495" s="88"/>
      <c r="N495" s="88"/>
      <c r="O495" s="90"/>
      <c r="P495" s="90"/>
      <c r="Q495" s="90"/>
    </row>
    <row r="496" spans="1:17" ht="15.75" customHeight="1">
      <c r="A496" s="120"/>
      <c r="B496" s="135" t="s">
        <v>168</v>
      </c>
      <c r="C496" s="150">
        <f>2*(3.14)*(0.32/2)</f>
        <v>1.0048000000000001</v>
      </c>
      <c r="D496" s="123"/>
      <c r="E496" s="123">
        <v>0.2</v>
      </c>
      <c r="F496" s="123"/>
      <c r="G496" s="123">
        <f>G495</f>
        <v>9</v>
      </c>
      <c r="H496" s="123">
        <f>C496*E496*G496</f>
        <v>1.8086400000000002</v>
      </c>
      <c r="I496" s="103"/>
      <c r="J496" s="117"/>
      <c r="K496" s="88"/>
      <c r="L496" s="88"/>
      <c r="M496" s="88"/>
      <c r="N496" s="88"/>
      <c r="O496" s="90"/>
      <c r="P496" s="90"/>
      <c r="Q496" s="90"/>
    </row>
    <row r="497" spans="1:17" ht="15.75" customHeight="1">
      <c r="A497" s="120" t="s">
        <v>98</v>
      </c>
      <c r="B497" s="118" t="s">
        <v>99</v>
      </c>
      <c r="C497" s="107">
        <f>0.5+0.2+0.5</f>
        <v>1.2</v>
      </c>
      <c r="D497" s="107"/>
      <c r="E497" s="107">
        <f>13*13*0.006165</f>
        <v>1.041885</v>
      </c>
      <c r="F497" s="106">
        <v>4</v>
      </c>
      <c r="G497" s="106">
        <f>G496</f>
        <v>9</v>
      </c>
      <c r="H497" s="115">
        <f>ROUNDUP((C497*E497*F497*G497),5)</f>
        <v>45.009440000000005</v>
      </c>
      <c r="I497" s="103" t="s">
        <v>100</v>
      </c>
      <c r="J497" s="117">
        <f>ROUND((H497),2)</f>
        <v>45.01</v>
      </c>
      <c r="K497" s="88"/>
      <c r="L497" s="88"/>
      <c r="M497" s="88"/>
      <c r="N497" s="88"/>
      <c r="O497" s="90"/>
      <c r="P497" s="90"/>
      <c r="Q497" s="90"/>
    </row>
    <row r="498" spans="1:17" ht="15.75" customHeight="1">
      <c r="A498" s="180" t="s">
        <v>101</v>
      </c>
      <c r="B498" s="118" t="s">
        <v>161</v>
      </c>
      <c r="C498" s="150">
        <f>2*(3.14)*(0.5/2)</f>
        <v>1.57</v>
      </c>
      <c r="D498" s="107"/>
      <c r="E498" s="107">
        <f>6*6*0.006165</f>
        <v>0.22194000000000003</v>
      </c>
      <c r="F498" s="106">
        <v>5</v>
      </c>
      <c r="G498" s="106">
        <f>G497</f>
        <v>9</v>
      </c>
      <c r="H498" s="115">
        <f>ROUNDUP((C498*E498*F498*G498),5)</f>
        <v>15.680069999999999</v>
      </c>
      <c r="I498" s="103" t="s">
        <v>100</v>
      </c>
      <c r="J498" s="117">
        <f>ROUND((H498),2)</f>
        <v>15.68</v>
      </c>
      <c r="K498" s="88"/>
      <c r="L498" s="88"/>
      <c r="M498" s="88"/>
      <c r="N498" s="88"/>
      <c r="O498" s="90"/>
      <c r="P498" s="90"/>
      <c r="Q498" s="90"/>
    </row>
    <row r="499" spans="1:17" ht="15.75" customHeight="1">
      <c r="A499" s="181" t="s">
        <v>121</v>
      </c>
      <c r="B499" s="118" t="s">
        <v>169</v>
      </c>
      <c r="C499" s="309" t="s">
        <v>170</v>
      </c>
      <c r="D499" s="3188" t="s">
        <v>171</v>
      </c>
      <c r="E499" s="3188"/>
      <c r="F499" s="3188"/>
      <c r="G499" s="3188"/>
      <c r="H499" s="130">
        <f>SUM(H500:H502)</f>
        <v>0.38235780000000003</v>
      </c>
      <c r="I499" s="184" t="s">
        <v>103</v>
      </c>
      <c r="J499" s="117">
        <f>ROUND((H499),2)</f>
        <v>0.38</v>
      </c>
      <c r="K499" s="88"/>
      <c r="L499" s="88"/>
      <c r="M499" s="88"/>
      <c r="N499" s="88"/>
      <c r="O499" s="90"/>
      <c r="P499" s="90"/>
      <c r="Q499" s="90"/>
    </row>
    <row r="500" spans="1:17" ht="15.75" customHeight="1">
      <c r="A500" s="181"/>
      <c r="B500" s="135" t="s">
        <v>165</v>
      </c>
      <c r="C500" s="123">
        <v>3.14</v>
      </c>
      <c r="D500" s="310">
        <f>(0.42/2)^2</f>
        <v>4.4099999999999993E-2</v>
      </c>
      <c r="E500" s="123">
        <v>0.1</v>
      </c>
      <c r="F500" s="131"/>
      <c r="G500" s="131">
        <f>G498</f>
        <v>9</v>
      </c>
      <c r="H500" s="131">
        <f>C500*D500*E500*G500</f>
        <v>0.12462659999999999</v>
      </c>
      <c r="I500" s="184"/>
      <c r="J500" s="117"/>
      <c r="K500" s="88"/>
      <c r="L500" s="88"/>
      <c r="M500" s="88"/>
      <c r="N500" s="88"/>
      <c r="O500" s="90"/>
      <c r="P500" s="90"/>
      <c r="Q500" s="90"/>
    </row>
    <row r="501" spans="1:17" ht="15.75" customHeight="1">
      <c r="A501" s="181"/>
      <c r="B501" s="135" t="s">
        <v>167</v>
      </c>
      <c r="C501" s="123">
        <v>3.14</v>
      </c>
      <c r="D501" s="310">
        <f>(0.2/2)^2</f>
        <v>1.0000000000000002E-2</v>
      </c>
      <c r="E501" s="123">
        <v>0.4</v>
      </c>
      <c r="F501" s="131"/>
      <c r="G501" s="131">
        <f>G500</f>
        <v>9</v>
      </c>
      <c r="H501" s="131">
        <f>C501*D501*E501*G501</f>
        <v>0.11304000000000002</v>
      </c>
      <c r="I501" s="184"/>
      <c r="J501" s="117"/>
      <c r="K501" s="88"/>
      <c r="L501" s="88"/>
      <c r="M501" s="88"/>
      <c r="N501" s="88"/>
      <c r="O501" s="90"/>
      <c r="P501" s="90"/>
      <c r="Q501" s="90"/>
    </row>
    <row r="502" spans="1:17" ht="15.75" customHeight="1">
      <c r="A502" s="181"/>
      <c r="B502" s="135" t="s">
        <v>168</v>
      </c>
      <c r="C502" s="123">
        <v>3.14</v>
      </c>
      <c r="D502" s="310">
        <f>(0.32/2)^2</f>
        <v>2.5600000000000001E-2</v>
      </c>
      <c r="E502" s="123">
        <v>0.2</v>
      </c>
      <c r="F502" s="131"/>
      <c r="G502" s="131">
        <f>G501</f>
        <v>9</v>
      </c>
      <c r="H502" s="131">
        <f>C502*D502*E502*G502</f>
        <v>0.14469120000000002</v>
      </c>
      <c r="I502" s="184"/>
      <c r="J502" s="117"/>
      <c r="K502" s="88"/>
      <c r="L502" s="88"/>
      <c r="M502" s="88"/>
      <c r="N502" s="88"/>
      <c r="O502" s="90"/>
      <c r="P502" s="90"/>
      <c r="Q502" s="90"/>
    </row>
    <row r="503" spans="1:17" ht="15.75" customHeight="1">
      <c r="A503" s="181" t="s">
        <v>142</v>
      </c>
      <c r="B503" s="114" t="s">
        <v>145</v>
      </c>
      <c r="C503" s="107"/>
      <c r="D503" s="107"/>
      <c r="E503" s="107"/>
      <c r="F503" s="106"/>
      <c r="G503" s="106"/>
      <c r="H503" s="115">
        <f>H499</f>
        <v>0.38235780000000003</v>
      </c>
      <c r="I503" s="184" t="s">
        <v>103</v>
      </c>
      <c r="J503" s="117">
        <f>ROUND((H503),2)</f>
        <v>0.38</v>
      </c>
      <c r="K503" s="88"/>
      <c r="L503" s="88"/>
      <c r="M503" s="88"/>
      <c r="N503" s="88"/>
      <c r="O503" s="90"/>
      <c r="P503" s="90"/>
      <c r="Q503" s="90"/>
    </row>
    <row r="504" spans="1:17" ht="15.75" customHeight="1">
      <c r="A504" s="194"/>
      <c r="B504" s="114"/>
      <c r="C504" s="191"/>
      <c r="D504" s="191"/>
      <c r="E504" s="191"/>
      <c r="F504" s="192"/>
      <c r="G504" s="192"/>
      <c r="H504" s="193"/>
      <c r="I504" s="184"/>
      <c r="J504" s="117"/>
      <c r="K504" s="88"/>
      <c r="L504" s="88"/>
      <c r="M504" s="88"/>
      <c r="N504" s="88"/>
      <c r="O504" s="90"/>
      <c r="P504" s="90"/>
      <c r="Q504" s="90"/>
    </row>
    <row r="505" spans="1:17" ht="15.75" customHeight="1">
      <c r="A505" s="104">
        <f>A491+1</f>
        <v>11</v>
      </c>
      <c r="B505" s="118" t="s">
        <v>294</v>
      </c>
      <c r="C505" s="111"/>
      <c r="D505" s="111"/>
      <c r="E505" s="106"/>
      <c r="F505" s="106"/>
      <c r="G505" s="106"/>
      <c r="H505" s="106"/>
      <c r="I505" s="103"/>
      <c r="J505" s="117">
        <f>ROUND((H505),2)</f>
        <v>0</v>
      </c>
      <c r="K505" s="88"/>
      <c r="L505" s="88"/>
      <c r="M505" s="88"/>
      <c r="N505" s="88"/>
      <c r="O505" s="90"/>
      <c r="P505" s="90"/>
      <c r="Q505" s="90"/>
    </row>
    <row r="506" spans="1:17" ht="15.75" customHeight="1">
      <c r="A506" s="120" t="s">
        <v>95</v>
      </c>
      <c r="B506" s="118" t="s">
        <v>173</v>
      </c>
      <c r="C506" s="169"/>
      <c r="D506" s="169"/>
      <c r="E506" s="106"/>
      <c r="F506" s="106"/>
      <c r="G506" s="106"/>
      <c r="H506" s="115">
        <f>SUM(H507:H511)</f>
        <v>7.36</v>
      </c>
      <c r="I506" s="116" t="s">
        <v>89</v>
      </c>
      <c r="J506" s="117">
        <f>ROUND((H506),2)</f>
        <v>7.36</v>
      </c>
      <c r="K506" s="88"/>
      <c r="L506" s="88"/>
      <c r="M506" s="88"/>
      <c r="N506" s="88"/>
      <c r="O506" s="90"/>
      <c r="P506" s="90"/>
      <c r="Q506" s="90"/>
    </row>
    <row r="507" spans="1:17" ht="15.75" customHeight="1">
      <c r="A507" s="120"/>
      <c r="B507" s="135" t="s">
        <v>174</v>
      </c>
      <c r="C507" s="169">
        <v>0.6</v>
      </c>
      <c r="D507" s="169">
        <v>0.05</v>
      </c>
      <c r="E507" s="106"/>
      <c r="F507" s="106">
        <v>4</v>
      </c>
      <c r="G507" s="106">
        <f>G480</f>
        <v>8</v>
      </c>
      <c r="H507" s="131">
        <f>C507*D507*F507*G507</f>
        <v>0.96</v>
      </c>
      <c r="I507" s="116"/>
      <c r="J507" s="117"/>
      <c r="K507" s="88"/>
      <c r="L507" s="88"/>
      <c r="M507" s="88"/>
      <c r="N507" s="88"/>
      <c r="O507" s="90"/>
      <c r="P507" s="90"/>
      <c r="Q507" s="90"/>
    </row>
    <row r="508" spans="1:17" ht="15.75" customHeight="1">
      <c r="A508" s="120"/>
      <c r="B508" s="135" t="s">
        <v>175</v>
      </c>
      <c r="C508" s="169">
        <v>0.6</v>
      </c>
      <c r="D508" s="169">
        <v>0.05</v>
      </c>
      <c r="E508" s="106"/>
      <c r="F508" s="106">
        <v>4</v>
      </c>
      <c r="G508" s="106">
        <f>G507</f>
        <v>8</v>
      </c>
      <c r="H508" s="131">
        <f>C508*D508*F508*G508</f>
        <v>0.96</v>
      </c>
      <c r="I508" s="103"/>
      <c r="J508" s="117"/>
      <c r="K508" s="88"/>
      <c r="L508" s="88"/>
      <c r="M508" s="88"/>
      <c r="N508" s="88"/>
      <c r="O508" s="90"/>
      <c r="P508" s="90"/>
      <c r="Q508" s="90"/>
    </row>
    <row r="509" spans="1:17" ht="15.75" customHeight="1">
      <c r="A509" s="120"/>
      <c r="B509" s="135" t="s">
        <v>159</v>
      </c>
      <c r="C509" s="169">
        <v>0.4</v>
      </c>
      <c r="D509" s="169"/>
      <c r="E509" s="106">
        <v>0.2</v>
      </c>
      <c r="F509" s="106">
        <v>4</v>
      </c>
      <c r="G509" s="106">
        <f>G508</f>
        <v>8</v>
      </c>
      <c r="H509" s="131">
        <f>C509*E509*F509*G509</f>
        <v>2.5600000000000005</v>
      </c>
      <c r="I509" s="103"/>
      <c r="J509" s="117"/>
      <c r="K509" s="88"/>
      <c r="L509" s="88"/>
      <c r="M509" s="88"/>
      <c r="N509" s="88"/>
      <c r="O509" s="90"/>
      <c r="P509" s="90"/>
      <c r="Q509" s="90"/>
    </row>
    <row r="510" spans="1:17" ht="15.75" customHeight="1">
      <c r="A510" s="120"/>
      <c r="B510" s="135" t="s">
        <v>176</v>
      </c>
      <c r="C510" s="169">
        <v>0.6</v>
      </c>
      <c r="D510" s="169">
        <v>0.05</v>
      </c>
      <c r="E510" s="171"/>
      <c r="F510" s="171">
        <v>4</v>
      </c>
      <c r="G510" s="106">
        <f>G509</f>
        <v>8</v>
      </c>
      <c r="H510" s="172">
        <f>C510*D510*F510*G510</f>
        <v>0.96</v>
      </c>
      <c r="I510" s="110"/>
      <c r="J510" s="117"/>
      <c r="K510" s="88"/>
      <c r="L510" s="88"/>
      <c r="M510" s="88"/>
      <c r="N510" s="88"/>
      <c r="O510" s="90"/>
      <c r="P510" s="90"/>
      <c r="Q510" s="90"/>
    </row>
    <row r="511" spans="1:17" ht="15.75" customHeight="1">
      <c r="A511" s="120"/>
      <c r="B511" s="135" t="s">
        <v>160</v>
      </c>
      <c r="C511" s="169">
        <v>0.6</v>
      </c>
      <c r="D511" s="169">
        <v>0.1</v>
      </c>
      <c r="E511" s="171"/>
      <c r="F511" s="171">
        <v>4</v>
      </c>
      <c r="G511" s="106">
        <f>G510</f>
        <v>8</v>
      </c>
      <c r="H511" s="172">
        <f>C511*D511*F511*G511</f>
        <v>1.92</v>
      </c>
      <c r="I511" s="110"/>
      <c r="J511" s="117"/>
      <c r="K511" s="88"/>
      <c r="L511" s="88"/>
      <c r="M511" s="88"/>
      <c r="N511" s="88"/>
      <c r="O511" s="90"/>
      <c r="P511" s="90"/>
      <c r="Q511" s="90"/>
    </row>
    <row r="512" spans="1:17" ht="15.75" customHeight="1">
      <c r="A512" s="104">
        <f>A505+1</f>
        <v>12</v>
      </c>
      <c r="B512" s="285" t="s">
        <v>177</v>
      </c>
      <c r="C512" s="150"/>
      <c r="D512" s="150"/>
      <c r="E512" s="106"/>
      <c r="F512" s="106"/>
      <c r="G512" s="106"/>
      <c r="H512" s="106"/>
      <c r="I512" s="103"/>
      <c r="J512" s="117">
        <f>ROUND((H512),2)</f>
        <v>0</v>
      </c>
      <c r="K512" s="88"/>
      <c r="L512" s="88"/>
      <c r="M512" s="88"/>
      <c r="N512" s="88"/>
      <c r="O512" s="90"/>
      <c r="P512" s="90"/>
      <c r="Q512" s="90"/>
    </row>
    <row r="513" spans="1:17" ht="15.75" customHeight="1">
      <c r="A513" s="120" t="s">
        <v>95</v>
      </c>
      <c r="B513" s="118" t="s">
        <v>178</v>
      </c>
      <c r="C513" s="150" t="s">
        <v>179</v>
      </c>
      <c r="D513" s="177"/>
      <c r="E513" s="177"/>
      <c r="F513" s="106"/>
      <c r="G513" s="106"/>
      <c r="H513" s="115">
        <f>SUM(H514:H518)</f>
        <v>17.792496</v>
      </c>
      <c r="I513" s="103" t="s">
        <v>89</v>
      </c>
      <c r="J513" s="117">
        <f>ROUND((H513),2)</f>
        <v>17.79</v>
      </c>
      <c r="K513" s="88"/>
      <c r="L513" s="88"/>
      <c r="M513" s="88"/>
      <c r="N513" s="88"/>
      <c r="O513" s="90"/>
      <c r="P513" s="90"/>
      <c r="Q513" s="90"/>
    </row>
    <row r="514" spans="1:17" ht="15.75" customHeight="1">
      <c r="A514" s="120"/>
      <c r="B514" s="135" t="s">
        <v>180</v>
      </c>
      <c r="C514" s="150">
        <v>3.14</v>
      </c>
      <c r="D514" s="310">
        <f>(0.72/2)^2</f>
        <v>0.12959999999999999</v>
      </c>
      <c r="E514" s="123"/>
      <c r="F514" s="123"/>
      <c r="G514" s="123">
        <f>G493</f>
        <v>9</v>
      </c>
      <c r="H514" s="123">
        <f>C514*D514*G514</f>
        <v>3.662496</v>
      </c>
      <c r="I514" s="103"/>
      <c r="J514" s="117"/>
      <c r="K514" s="88"/>
      <c r="L514" s="88"/>
      <c r="M514" s="88"/>
      <c r="N514" s="88"/>
      <c r="O514" s="90"/>
      <c r="P514" s="90"/>
      <c r="Q514" s="90"/>
    </row>
    <row r="515" spans="1:17" ht="15.75" customHeight="1">
      <c r="A515" s="120"/>
      <c r="B515" s="135" t="s">
        <v>181</v>
      </c>
      <c r="C515" s="150">
        <f>2*(3.14)*(0.72/2)</f>
        <v>2.2608000000000001</v>
      </c>
      <c r="D515" s="123"/>
      <c r="E515" s="123">
        <v>0.1</v>
      </c>
      <c r="F515" s="123"/>
      <c r="G515" s="123">
        <f>G514</f>
        <v>9</v>
      </c>
      <c r="H515" s="123">
        <f>C515*E515*G515</f>
        <v>2.0347200000000001</v>
      </c>
      <c r="I515" s="103"/>
      <c r="J515" s="117"/>
      <c r="K515" s="88"/>
      <c r="L515" s="88"/>
      <c r="M515" s="88"/>
      <c r="N515" s="88"/>
      <c r="O515" s="90"/>
      <c r="P515" s="90"/>
      <c r="Q515" s="90"/>
    </row>
    <row r="516" spans="1:17" ht="15.75" customHeight="1">
      <c r="A516" s="120"/>
      <c r="B516" s="135" t="s">
        <v>182</v>
      </c>
      <c r="C516" s="150">
        <f>2*(3.14)*(0.62/2)</f>
        <v>1.9468000000000001</v>
      </c>
      <c r="D516" s="123"/>
      <c r="E516" s="123">
        <v>0.4</v>
      </c>
      <c r="F516" s="123"/>
      <c r="G516" s="123">
        <f>G515</f>
        <v>9</v>
      </c>
      <c r="H516" s="123">
        <f>C516*E516*G516</f>
        <v>7.0084800000000005</v>
      </c>
      <c r="I516" s="103"/>
      <c r="J516" s="117"/>
      <c r="K516" s="88"/>
      <c r="L516" s="88"/>
      <c r="M516" s="88"/>
      <c r="N516" s="88"/>
      <c r="O516" s="90"/>
      <c r="P516" s="90"/>
      <c r="Q516" s="90"/>
    </row>
    <row r="517" spans="1:17" ht="15.75" customHeight="1">
      <c r="A517" s="120"/>
      <c r="B517" s="135" t="s">
        <v>183</v>
      </c>
      <c r="C517" s="150">
        <f>2*(3.14)*(0.72/2)</f>
        <v>2.2608000000000001</v>
      </c>
      <c r="D517" s="123">
        <v>0.05</v>
      </c>
      <c r="E517" s="123"/>
      <c r="F517" s="123"/>
      <c r="G517" s="123">
        <f>G516</f>
        <v>9</v>
      </c>
      <c r="H517" s="123">
        <f>C517*D517*G517</f>
        <v>1.01736</v>
      </c>
      <c r="I517" s="103"/>
      <c r="J517" s="117"/>
      <c r="K517" s="88"/>
      <c r="L517" s="88"/>
      <c r="M517" s="88"/>
      <c r="N517" s="88"/>
      <c r="O517" s="90"/>
      <c r="P517" s="90"/>
      <c r="Q517" s="90"/>
    </row>
    <row r="518" spans="1:17" ht="15.75" customHeight="1">
      <c r="A518" s="120"/>
      <c r="B518" s="135" t="s">
        <v>184</v>
      </c>
      <c r="C518" s="150">
        <f>2*(3.14)*(0.72/2)</f>
        <v>2.2608000000000001</v>
      </c>
      <c r="D518" s="123"/>
      <c r="E518" s="123">
        <v>0.2</v>
      </c>
      <c r="F518" s="123"/>
      <c r="G518" s="123">
        <f>G517</f>
        <v>9</v>
      </c>
      <c r="H518" s="123">
        <f>C518*E518*G518</f>
        <v>4.0694400000000002</v>
      </c>
      <c r="I518" s="103"/>
      <c r="J518" s="117"/>
      <c r="K518" s="88"/>
      <c r="L518" s="88"/>
      <c r="M518" s="88"/>
      <c r="N518" s="88"/>
      <c r="O518" s="90"/>
      <c r="P518" s="90"/>
      <c r="Q518" s="90"/>
    </row>
    <row r="519" spans="1:17" ht="15.75" customHeight="1">
      <c r="A519" s="194"/>
      <c r="B519" s="114"/>
      <c r="C519" s="191"/>
      <c r="D519" s="191"/>
      <c r="E519" s="191"/>
      <c r="F519" s="192"/>
      <c r="G519" s="192"/>
      <c r="H519" s="193"/>
      <c r="I519" s="184"/>
      <c r="J519" s="117"/>
      <c r="K519" s="88"/>
      <c r="L519" s="88"/>
      <c r="M519" s="88"/>
      <c r="N519" s="88"/>
      <c r="O519" s="90"/>
      <c r="P519" s="90"/>
      <c r="Q519" s="90"/>
    </row>
    <row r="520" spans="1:17" ht="27.75" customHeight="1">
      <c r="A520" s="197">
        <f>A491+1</f>
        <v>11</v>
      </c>
      <c r="B520" s="114" t="s">
        <v>185</v>
      </c>
      <c r="C520" s="191"/>
      <c r="D520" s="191"/>
      <c r="E520" s="191"/>
      <c r="F520" s="192"/>
      <c r="G520" s="192"/>
      <c r="H520" s="192"/>
      <c r="I520" s="184"/>
      <c r="J520" s="117">
        <f>ROUND((H520),2)</f>
        <v>0</v>
      </c>
      <c r="K520" s="88"/>
      <c r="L520" s="88"/>
      <c r="M520" s="88"/>
      <c r="N520" s="88"/>
      <c r="O520" s="90"/>
      <c r="P520" s="90"/>
      <c r="Q520" s="90"/>
    </row>
    <row r="521" spans="1:17" ht="15.75" customHeight="1">
      <c r="A521" s="120" t="s">
        <v>95</v>
      </c>
      <c r="B521" s="118" t="s">
        <v>186</v>
      </c>
      <c r="C521" s="107"/>
      <c r="D521" s="107"/>
      <c r="E521" s="107" t="s">
        <v>187</v>
      </c>
      <c r="F521" s="106"/>
      <c r="G521" s="106"/>
      <c r="H521" s="106"/>
      <c r="I521" s="103"/>
      <c r="J521" s="117">
        <f>ROUND((H521),2)</f>
        <v>0</v>
      </c>
      <c r="K521" s="88"/>
      <c r="L521" s="88"/>
      <c r="M521" s="88"/>
      <c r="N521" s="88"/>
      <c r="O521" s="90"/>
      <c r="P521" s="90"/>
      <c r="Q521" s="90"/>
    </row>
    <row r="522" spans="1:17" ht="15.75" customHeight="1">
      <c r="A522" s="120"/>
      <c r="B522" s="135" t="s">
        <v>188</v>
      </c>
      <c r="C522" s="107">
        <v>14.6</v>
      </c>
      <c r="D522" s="107"/>
      <c r="E522" s="107">
        <f>(0.35+0.4)/2</f>
        <v>0.375</v>
      </c>
      <c r="F522" s="106"/>
      <c r="G522" s="106"/>
      <c r="H522" s="106">
        <f>C522*E522</f>
        <v>5.4749999999999996</v>
      </c>
      <c r="I522" s="103"/>
      <c r="J522" s="117"/>
      <c r="K522" s="88"/>
      <c r="L522" s="88"/>
      <c r="M522" s="88"/>
      <c r="N522" s="88"/>
      <c r="O522" s="90"/>
      <c r="P522" s="90"/>
      <c r="Q522" s="90"/>
    </row>
    <row r="523" spans="1:17" ht="15.75" customHeight="1">
      <c r="A523" s="120"/>
      <c r="B523" s="135" t="s">
        <v>189</v>
      </c>
      <c r="C523" s="107">
        <v>20.399999999999999</v>
      </c>
      <c r="D523" s="107"/>
      <c r="E523" s="107">
        <f>(0.35+0.4)/2</f>
        <v>0.375</v>
      </c>
      <c r="F523" s="106"/>
      <c r="G523" s="106"/>
      <c r="H523" s="147">
        <f>C523*E523</f>
        <v>7.6499999999999995</v>
      </c>
      <c r="I523" s="103"/>
      <c r="J523" s="117"/>
      <c r="K523" s="88"/>
      <c r="L523" s="88"/>
      <c r="M523" s="88"/>
      <c r="N523" s="88"/>
      <c r="O523" s="90"/>
      <c r="P523" s="90"/>
      <c r="Q523" s="90"/>
    </row>
    <row r="524" spans="1:17" ht="15.75" customHeight="1">
      <c r="A524" s="120"/>
      <c r="B524" s="118"/>
      <c r="C524" s="107"/>
      <c r="D524" s="107"/>
      <c r="E524" s="107"/>
      <c r="F524" s="106"/>
      <c r="G524" s="106"/>
      <c r="H524" s="115">
        <f>SUM(H522:H523)</f>
        <v>13.125</v>
      </c>
      <c r="I524" s="116" t="s">
        <v>89</v>
      </c>
      <c r="J524" s="117">
        <f>ROUND((H524),2)</f>
        <v>13.13</v>
      </c>
      <c r="K524" s="88"/>
      <c r="L524" s="88"/>
      <c r="M524" s="88"/>
      <c r="N524" s="88"/>
      <c r="O524" s="90"/>
      <c r="P524" s="90"/>
      <c r="Q524" s="90"/>
    </row>
    <row r="525" spans="1:17" ht="15.75" customHeight="1">
      <c r="A525" s="120" t="s">
        <v>98</v>
      </c>
      <c r="B525" s="118" t="s">
        <v>190</v>
      </c>
      <c r="C525" s="107"/>
      <c r="D525" s="107" t="s">
        <v>191</v>
      </c>
      <c r="E525" s="107" t="s">
        <v>187</v>
      </c>
      <c r="F525" s="106"/>
      <c r="G525" s="106"/>
      <c r="H525" s="106"/>
      <c r="I525" s="103"/>
      <c r="J525" s="117">
        <f>ROUND((H525),2)</f>
        <v>0</v>
      </c>
      <c r="K525" s="88"/>
      <c r="L525" s="88"/>
      <c r="M525" s="88"/>
      <c r="N525" s="88"/>
      <c r="O525" s="90"/>
      <c r="P525" s="90"/>
      <c r="Q525" s="90"/>
    </row>
    <row r="526" spans="1:17" ht="15.75" customHeight="1">
      <c r="A526" s="120"/>
      <c r="B526" s="135" t="s">
        <v>188</v>
      </c>
      <c r="C526" s="107">
        <v>14.6</v>
      </c>
      <c r="D526" s="107">
        <f>(0.52+0.56)/2</f>
        <v>0.54</v>
      </c>
      <c r="E526" s="107">
        <f>(0.35+0.4)/2-0.1</f>
        <v>0.27500000000000002</v>
      </c>
      <c r="F526" s="106"/>
      <c r="G526" s="106"/>
      <c r="H526" s="106">
        <f>C526*D526*E526</f>
        <v>2.1681000000000004</v>
      </c>
      <c r="I526" s="103"/>
      <c r="J526" s="117"/>
      <c r="K526" s="88"/>
      <c r="L526" s="88"/>
      <c r="M526" s="88"/>
      <c r="N526" s="88"/>
      <c r="O526" s="90"/>
      <c r="P526" s="90"/>
      <c r="Q526" s="90"/>
    </row>
    <row r="527" spans="1:17" ht="15.75" customHeight="1">
      <c r="A527" s="120"/>
      <c r="B527" s="135" t="s">
        <v>189</v>
      </c>
      <c r="C527" s="107">
        <v>20.399999999999999</v>
      </c>
      <c r="D527" s="107">
        <f>(0.52+0.56)/2</f>
        <v>0.54</v>
      </c>
      <c r="E527" s="107">
        <f>E526</f>
        <v>0.27500000000000002</v>
      </c>
      <c r="F527" s="106"/>
      <c r="G527" s="106"/>
      <c r="H527" s="147">
        <f>C527*D527*E527</f>
        <v>3.0294000000000003</v>
      </c>
      <c r="I527" s="103"/>
      <c r="J527" s="117"/>
      <c r="K527" s="88"/>
      <c r="L527" s="88"/>
      <c r="M527" s="88"/>
      <c r="N527" s="88"/>
      <c r="O527" s="90"/>
      <c r="P527" s="90"/>
      <c r="Q527" s="90"/>
    </row>
    <row r="528" spans="1:17" ht="15.75" customHeight="1">
      <c r="A528" s="120"/>
      <c r="B528" s="118"/>
      <c r="C528" s="107"/>
      <c r="D528" s="107"/>
      <c r="E528" s="107"/>
      <c r="F528" s="106"/>
      <c r="G528" s="106"/>
      <c r="H528" s="115">
        <f>SUM(H526:H527)</f>
        <v>5.1975000000000007</v>
      </c>
      <c r="I528" s="116" t="s">
        <v>103</v>
      </c>
      <c r="J528" s="117">
        <f>ROUND((H528),2)</f>
        <v>5.2</v>
      </c>
      <c r="K528" s="88"/>
      <c r="L528" s="88"/>
      <c r="M528" s="88"/>
      <c r="N528" s="88"/>
      <c r="O528" s="90"/>
      <c r="P528" s="90"/>
      <c r="Q528" s="90"/>
    </row>
    <row r="529" spans="1:17" ht="15.75" customHeight="1">
      <c r="A529" s="120" t="s">
        <v>101</v>
      </c>
      <c r="B529" s="118" t="s">
        <v>192</v>
      </c>
      <c r="C529" s="107"/>
      <c r="D529" s="107" t="s">
        <v>191</v>
      </c>
      <c r="E529" s="107"/>
      <c r="F529" s="106"/>
      <c r="G529" s="106"/>
      <c r="H529" s="106"/>
      <c r="I529" s="103"/>
      <c r="J529" s="117">
        <f>ROUND((H529),2)</f>
        <v>0</v>
      </c>
      <c r="K529" s="88"/>
      <c r="L529" s="88"/>
      <c r="M529" s="88"/>
      <c r="N529" s="88"/>
      <c r="O529" s="90"/>
      <c r="P529" s="90"/>
      <c r="Q529" s="90"/>
    </row>
    <row r="530" spans="1:17" ht="15.75" customHeight="1">
      <c r="A530" s="120"/>
      <c r="B530" s="135" t="s">
        <v>188</v>
      </c>
      <c r="C530" s="107">
        <v>14.6</v>
      </c>
      <c r="D530" s="107">
        <f>(0.52+0.56)/2</f>
        <v>0.54</v>
      </c>
      <c r="E530" s="107">
        <v>7.0000000000000007E-2</v>
      </c>
      <c r="F530" s="106"/>
      <c r="G530" s="106"/>
      <c r="H530" s="106">
        <f>C530*D530*E530</f>
        <v>0.55188000000000004</v>
      </c>
      <c r="I530" s="103"/>
      <c r="J530" s="117"/>
      <c r="K530" s="88"/>
      <c r="L530" s="88"/>
      <c r="M530" s="88"/>
      <c r="N530" s="88"/>
      <c r="O530" s="90"/>
      <c r="P530" s="90"/>
      <c r="Q530" s="90"/>
    </row>
    <row r="531" spans="1:17" ht="15.75" customHeight="1">
      <c r="A531" s="120"/>
      <c r="B531" s="135" t="s">
        <v>189</v>
      </c>
      <c r="C531" s="107">
        <v>20.399999999999999</v>
      </c>
      <c r="D531" s="107">
        <f>(0.52+0.56)/2</f>
        <v>0.54</v>
      </c>
      <c r="E531" s="107">
        <v>7.0000000000000007E-2</v>
      </c>
      <c r="F531" s="106"/>
      <c r="G531" s="106"/>
      <c r="H531" s="147">
        <f>C531*D531*E531</f>
        <v>0.77112000000000003</v>
      </c>
      <c r="I531" s="103"/>
      <c r="J531" s="117"/>
      <c r="K531" s="88"/>
      <c r="L531" s="88"/>
      <c r="M531" s="88"/>
      <c r="N531" s="88"/>
      <c r="O531" s="90"/>
      <c r="P531" s="90"/>
      <c r="Q531" s="90"/>
    </row>
    <row r="532" spans="1:17" ht="15.75" customHeight="1">
      <c r="A532" s="120"/>
      <c r="B532" s="118"/>
      <c r="C532" s="107"/>
      <c r="D532" s="107"/>
      <c r="E532" s="107"/>
      <c r="F532" s="106"/>
      <c r="G532" s="106"/>
      <c r="H532" s="115">
        <f>SUM(H530:H531)</f>
        <v>1.323</v>
      </c>
      <c r="I532" s="116" t="s">
        <v>103</v>
      </c>
      <c r="J532" s="117">
        <f>ROUND((H532),2)</f>
        <v>1.32</v>
      </c>
      <c r="K532" s="88"/>
      <c r="L532" s="88"/>
      <c r="M532" s="88"/>
      <c r="N532" s="88"/>
      <c r="O532" s="90"/>
      <c r="P532" s="90"/>
      <c r="Q532" s="90"/>
    </row>
    <row r="533" spans="1:17" ht="15.75" customHeight="1">
      <c r="A533" s="120" t="s">
        <v>121</v>
      </c>
      <c r="B533" s="118" t="s">
        <v>193</v>
      </c>
      <c r="C533" s="107"/>
      <c r="D533" s="107"/>
      <c r="E533" s="107"/>
      <c r="F533" s="106"/>
      <c r="G533" s="106"/>
      <c r="H533" s="106"/>
      <c r="I533" s="103"/>
      <c r="J533" s="117">
        <f>ROUND((H533),2)</f>
        <v>0</v>
      </c>
      <c r="K533" s="88"/>
      <c r="L533" s="88"/>
      <c r="M533" s="88"/>
      <c r="N533" s="88"/>
      <c r="O533" s="90"/>
      <c r="P533" s="90"/>
      <c r="Q533" s="90"/>
    </row>
    <row r="534" spans="1:17" ht="15.75" customHeight="1">
      <c r="A534" s="120"/>
      <c r="B534" s="135"/>
      <c r="C534" s="107"/>
      <c r="D534" s="107"/>
      <c r="E534" s="107" t="s">
        <v>187</v>
      </c>
      <c r="F534" s="106"/>
      <c r="G534" s="106"/>
      <c r="H534" s="106"/>
      <c r="I534" s="103"/>
      <c r="J534" s="117">
        <f>ROUND((H534),2)</f>
        <v>0</v>
      </c>
      <c r="K534" s="88"/>
      <c r="L534" s="88"/>
      <c r="M534" s="88"/>
      <c r="N534" s="88"/>
      <c r="O534" s="90"/>
      <c r="P534" s="90"/>
      <c r="Q534" s="90"/>
    </row>
    <row r="535" spans="1:17" ht="15.75" customHeight="1">
      <c r="A535" s="120"/>
      <c r="B535" s="135" t="s">
        <v>188</v>
      </c>
      <c r="C535" s="107">
        <v>14.6</v>
      </c>
      <c r="D535" s="107"/>
      <c r="E535" s="107">
        <f>(0.35+0.4)/2</f>
        <v>0.375</v>
      </c>
      <c r="F535" s="106"/>
      <c r="G535" s="106"/>
      <c r="H535" s="106">
        <f>C535*E535</f>
        <v>5.4749999999999996</v>
      </c>
      <c r="I535" s="103"/>
      <c r="J535" s="117"/>
      <c r="K535" s="88"/>
      <c r="L535" s="88"/>
      <c r="M535" s="88"/>
      <c r="N535" s="88"/>
      <c r="O535" s="90"/>
      <c r="P535" s="90"/>
      <c r="Q535" s="90"/>
    </row>
    <row r="536" spans="1:17" ht="15.75" customHeight="1">
      <c r="A536" s="120"/>
      <c r="B536" s="135" t="s">
        <v>189</v>
      </c>
      <c r="C536" s="107">
        <v>20.399999999999999</v>
      </c>
      <c r="D536" s="107"/>
      <c r="E536" s="107">
        <f>(0.35+0.4)/2</f>
        <v>0.375</v>
      </c>
      <c r="F536" s="106"/>
      <c r="G536" s="106"/>
      <c r="H536" s="147">
        <f>C536*E536</f>
        <v>7.6499999999999995</v>
      </c>
      <c r="I536" s="103"/>
      <c r="J536" s="117"/>
      <c r="K536" s="88"/>
      <c r="L536" s="88"/>
      <c r="M536" s="88"/>
      <c r="N536" s="88"/>
      <c r="O536" s="90"/>
      <c r="P536" s="90"/>
      <c r="Q536" s="90"/>
    </row>
    <row r="537" spans="1:17" ht="15.75" customHeight="1">
      <c r="A537" s="120"/>
      <c r="B537" s="118"/>
      <c r="C537" s="107"/>
      <c r="D537" s="107"/>
      <c r="E537" s="107"/>
      <c r="F537" s="107"/>
      <c r="G537" s="106"/>
      <c r="H537" s="115">
        <f>SUM(H535:H536)</f>
        <v>13.125</v>
      </c>
      <c r="I537" s="116" t="s">
        <v>89</v>
      </c>
      <c r="J537" s="117">
        <f>ROUND((H537),2)</f>
        <v>13.13</v>
      </c>
      <c r="K537" s="151"/>
      <c r="L537" s="88"/>
      <c r="M537" s="88"/>
      <c r="N537" s="88"/>
      <c r="O537" s="90"/>
      <c r="P537" s="90"/>
      <c r="Q537" s="90"/>
    </row>
    <row r="538" spans="1:17" ht="15.75" customHeight="1">
      <c r="A538" s="120" t="s">
        <v>142</v>
      </c>
      <c r="B538" s="118" t="s">
        <v>194</v>
      </c>
      <c r="C538" s="107"/>
      <c r="D538" s="107"/>
      <c r="E538" s="107"/>
      <c r="F538" s="107"/>
      <c r="G538" s="106"/>
      <c r="H538" s="115">
        <f>H537</f>
        <v>13.125</v>
      </c>
      <c r="I538" s="116" t="s">
        <v>89</v>
      </c>
      <c r="J538" s="117">
        <f>ROUND((H538),2)</f>
        <v>13.13</v>
      </c>
      <c r="K538" s="151"/>
      <c r="L538" s="88"/>
      <c r="M538" s="88"/>
      <c r="N538" s="88"/>
      <c r="O538" s="90"/>
      <c r="P538" s="90"/>
      <c r="Q538" s="90"/>
    </row>
    <row r="539" spans="1:17" ht="15.75" customHeight="1">
      <c r="A539" s="120"/>
      <c r="B539" s="118"/>
      <c r="C539" s="107"/>
      <c r="D539" s="107"/>
      <c r="E539" s="107"/>
      <c r="F539" s="107"/>
      <c r="G539" s="106"/>
      <c r="H539" s="115"/>
      <c r="I539" s="116"/>
      <c r="J539" s="117"/>
      <c r="K539" s="151"/>
      <c r="L539" s="88"/>
      <c r="M539" s="88"/>
      <c r="N539" s="88"/>
      <c r="O539" s="90"/>
      <c r="P539" s="90"/>
      <c r="Q539" s="90"/>
    </row>
    <row r="540" spans="1:17" ht="15.75" customHeight="1">
      <c r="A540" s="104">
        <f>A520+1</f>
        <v>12</v>
      </c>
      <c r="B540" s="118" t="s">
        <v>295</v>
      </c>
      <c r="C540" s="107">
        <f>C463</f>
        <v>54</v>
      </c>
      <c r="D540" s="107">
        <f>D463</f>
        <v>3</v>
      </c>
      <c r="E540" s="107"/>
      <c r="F540" s="107"/>
      <c r="G540" s="106"/>
      <c r="H540" s="106">
        <f>C540*D540</f>
        <v>162</v>
      </c>
      <c r="I540" s="103"/>
      <c r="J540" s="117"/>
      <c r="K540" s="151"/>
      <c r="L540" s="88"/>
      <c r="M540" s="88"/>
      <c r="N540" s="88"/>
      <c r="O540" s="90"/>
      <c r="P540" s="90"/>
      <c r="Q540" s="90"/>
    </row>
    <row r="541" spans="1:17" ht="15.75" customHeight="1">
      <c r="A541" s="104"/>
      <c r="B541" s="118" t="s">
        <v>198</v>
      </c>
      <c r="C541" s="169">
        <v>0.6</v>
      </c>
      <c r="D541" s="169">
        <v>0.6</v>
      </c>
      <c r="E541" s="171"/>
      <c r="F541" s="171"/>
      <c r="G541" s="171">
        <f>G480</f>
        <v>8</v>
      </c>
      <c r="H541" s="172">
        <f>-C541*D541*G541</f>
        <v>-2.88</v>
      </c>
      <c r="I541" s="88"/>
      <c r="J541" s="117"/>
      <c r="K541" s="151"/>
      <c r="L541" s="88"/>
      <c r="M541" s="88"/>
      <c r="N541" s="88"/>
      <c r="O541" s="90"/>
      <c r="P541" s="90"/>
      <c r="Q541" s="90"/>
    </row>
    <row r="542" spans="1:17" ht="15.75" customHeight="1">
      <c r="A542" s="104"/>
      <c r="B542" s="118" t="s">
        <v>199</v>
      </c>
      <c r="C542" s="178">
        <f>(3.14)*(0.72/2)^2</f>
        <v>0.40694399999999997</v>
      </c>
      <c r="D542" s="198" t="s">
        <v>179</v>
      </c>
      <c r="E542" s="151"/>
      <c r="F542" s="151"/>
      <c r="G542" s="171">
        <f>G514</f>
        <v>9</v>
      </c>
      <c r="H542" s="172">
        <f>-C542*G542</f>
        <v>-3.662496</v>
      </c>
      <c r="I542" s="88"/>
      <c r="J542" s="117"/>
      <c r="K542" s="151"/>
      <c r="L542" s="88"/>
      <c r="M542" s="88"/>
      <c r="N542" s="88"/>
      <c r="O542" s="90"/>
      <c r="P542" s="90"/>
      <c r="Q542" s="90"/>
    </row>
    <row r="543" spans="1:17" ht="15.75" customHeight="1">
      <c r="A543" s="104"/>
      <c r="B543" s="199"/>
      <c r="C543" s="151"/>
      <c r="D543" s="151"/>
      <c r="E543" s="151"/>
      <c r="F543" s="151"/>
      <c r="G543" s="151"/>
      <c r="H543" s="311">
        <f>SUM(H540:H542)</f>
        <v>155.457504</v>
      </c>
      <c r="I543" s="103" t="s">
        <v>89</v>
      </c>
      <c r="J543" s="117">
        <f>ROUND((H543),2)</f>
        <v>155.46</v>
      </c>
      <c r="K543" s="151"/>
      <c r="L543" s="88"/>
      <c r="M543" s="88"/>
      <c r="N543" s="88"/>
      <c r="O543" s="90"/>
      <c r="P543" s="90"/>
      <c r="Q543" s="90"/>
    </row>
    <row r="544" spans="1:17" ht="15.75" customHeight="1">
      <c r="A544" s="104">
        <f>A540+1</f>
        <v>13</v>
      </c>
      <c r="B544" s="118" t="s">
        <v>200</v>
      </c>
      <c r="K544" s="151"/>
      <c r="L544" s="88"/>
      <c r="M544" s="88"/>
      <c r="N544" s="88"/>
      <c r="O544" s="90"/>
      <c r="P544" s="90"/>
      <c r="Q544" s="90"/>
    </row>
    <row r="545" spans="1:17" ht="15.75" customHeight="1">
      <c r="A545" s="104"/>
      <c r="B545" s="135" t="s">
        <v>201</v>
      </c>
      <c r="C545" s="312">
        <f>D540</f>
        <v>3</v>
      </c>
      <c r="D545" s="312"/>
      <c r="E545" s="312"/>
      <c r="F545" s="312"/>
      <c r="G545" s="312">
        <v>2</v>
      </c>
      <c r="H545" s="106">
        <f>C545*G545</f>
        <v>6</v>
      </c>
      <c r="I545" s="312"/>
      <c r="J545" s="313"/>
      <c r="K545" s="151"/>
      <c r="L545" s="88"/>
      <c r="M545" s="88"/>
      <c r="N545" s="88"/>
      <c r="O545" s="90"/>
      <c r="P545" s="90"/>
      <c r="Q545" s="90"/>
    </row>
    <row r="546" spans="1:17" ht="15.75" customHeight="1">
      <c r="A546" s="104"/>
      <c r="B546" s="135" t="s">
        <v>202</v>
      </c>
      <c r="C546" s="312">
        <f>C540</f>
        <v>54</v>
      </c>
      <c r="D546" s="312"/>
      <c r="E546" s="312"/>
      <c r="F546" s="312"/>
      <c r="G546" s="312">
        <v>1</v>
      </c>
      <c r="H546" s="106">
        <f>C546*G546</f>
        <v>54</v>
      </c>
      <c r="I546" s="312"/>
      <c r="J546" s="313"/>
      <c r="K546" s="151"/>
      <c r="L546" s="88"/>
      <c r="M546" s="88"/>
      <c r="N546" s="88"/>
      <c r="O546" s="90"/>
      <c r="P546" s="90"/>
      <c r="Q546" s="90"/>
    </row>
    <row r="547" spans="1:17" ht="15.75" customHeight="1">
      <c r="A547" s="104"/>
      <c r="B547" s="135" t="s">
        <v>202</v>
      </c>
      <c r="C547" s="312">
        <f>C546-15</f>
        <v>39</v>
      </c>
      <c r="D547" s="312"/>
      <c r="E547" s="312"/>
      <c r="F547" s="312"/>
      <c r="G547" s="312">
        <v>1</v>
      </c>
      <c r="H547" s="147">
        <f>C547*G547</f>
        <v>39</v>
      </c>
      <c r="I547" s="312"/>
      <c r="J547" s="313"/>
      <c r="K547" s="151"/>
      <c r="L547" s="88"/>
      <c r="M547" s="88"/>
      <c r="N547" s="88"/>
      <c r="O547" s="90"/>
      <c r="P547" s="90"/>
      <c r="Q547" s="90"/>
    </row>
    <row r="548" spans="1:17" ht="15.75" customHeight="1">
      <c r="A548" s="104"/>
      <c r="B548" s="118"/>
      <c r="H548" s="115">
        <f>SUM(H545:H547)</f>
        <v>99</v>
      </c>
      <c r="J548" s="117">
        <f>ROUND((H548),2)</f>
        <v>99</v>
      </c>
      <c r="K548" s="151"/>
      <c r="L548" s="88"/>
      <c r="M548" s="88"/>
      <c r="N548" s="88"/>
      <c r="O548" s="90"/>
      <c r="P548" s="90"/>
      <c r="Q548" s="90"/>
    </row>
    <row r="549" spans="1:17" ht="15.75" customHeight="1">
      <c r="A549" s="104"/>
      <c r="B549" s="118" t="s">
        <v>203</v>
      </c>
      <c r="C549" s="107">
        <f>J548</f>
        <v>99</v>
      </c>
      <c r="D549" s="107">
        <f>0.1+0.12</f>
        <v>0.22</v>
      </c>
      <c r="E549" s="107"/>
      <c r="F549" s="107"/>
      <c r="G549" s="106">
        <v>2</v>
      </c>
      <c r="H549" s="106">
        <f>G549*D549*C549</f>
        <v>43.56</v>
      </c>
      <c r="I549" s="103" t="s">
        <v>89</v>
      </c>
      <c r="J549" s="117">
        <f>ROUND((H549),2)</f>
        <v>43.56</v>
      </c>
      <c r="K549" s="151"/>
      <c r="L549" s="88"/>
      <c r="M549" s="88"/>
      <c r="N549" s="88"/>
      <c r="O549" s="90"/>
      <c r="P549" s="90"/>
      <c r="Q549" s="90"/>
    </row>
    <row r="550" spans="1:17" ht="15.75" customHeight="1">
      <c r="A550" s="104"/>
      <c r="B550" s="118"/>
      <c r="C550" s="107"/>
      <c r="D550" s="107"/>
      <c r="E550" s="106" t="s">
        <v>133</v>
      </c>
      <c r="F550" s="107"/>
      <c r="G550" s="106"/>
      <c r="H550" s="106"/>
      <c r="I550" s="103"/>
      <c r="J550" s="117"/>
      <c r="K550" s="151"/>
      <c r="L550" s="88"/>
      <c r="M550" s="88"/>
      <c r="N550" s="88"/>
      <c r="O550" s="90"/>
      <c r="P550" s="90"/>
      <c r="Q550" s="90"/>
    </row>
    <row r="551" spans="1:17" ht="15.75" customHeight="1">
      <c r="A551" s="104"/>
      <c r="B551" s="118" t="s">
        <v>204</v>
      </c>
      <c r="C551" s="107">
        <f>C549</f>
        <v>99</v>
      </c>
      <c r="D551" s="107"/>
      <c r="E551" s="152">
        <f>10*10*0.006165</f>
        <v>0.61650000000000005</v>
      </c>
      <c r="F551" s="107">
        <v>4</v>
      </c>
      <c r="G551" s="106">
        <v>2</v>
      </c>
      <c r="H551" s="106">
        <f>C551*E551*F551*G551</f>
        <v>488.26800000000003</v>
      </c>
      <c r="I551" s="103" t="s">
        <v>100</v>
      </c>
      <c r="J551" s="117">
        <f>ROUND((H551),2)</f>
        <v>488.27</v>
      </c>
      <c r="K551" s="151"/>
      <c r="L551" s="88"/>
      <c r="M551" s="88"/>
      <c r="N551" s="88"/>
      <c r="O551" s="90"/>
      <c r="P551" s="90"/>
      <c r="Q551" s="90"/>
    </row>
    <row r="552" spans="1:17" ht="15.75" customHeight="1">
      <c r="A552" s="104"/>
      <c r="B552" s="118" t="s">
        <v>296</v>
      </c>
      <c r="C552" s="86">
        <f>0.08*4+0.05</f>
        <v>0.37</v>
      </c>
      <c r="E552" s="152">
        <f>6*6*0.006165</f>
        <v>0.22194000000000003</v>
      </c>
      <c r="F552" s="314">
        <f>ROUNDUP((C551/0.1),0.5)+1</f>
        <v>991</v>
      </c>
      <c r="G552" s="86">
        <v>2</v>
      </c>
      <c r="H552" s="106">
        <f>C552*E552*F552*G552</f>
        <v>162.75747960000001</v>
      </c>
      <c r="I552" s="103" t="s">
        <v>100</v>
      </c>
      <c r="J552" s="117">
        <f>ROUND((H552),2)</f>
        <v>162.76</v>
      </c>
      <c r="K552" s="151"/>
      <c r="L552" s="88"/>
      <c r="M552" s="88"/>
      <c r="N552" s="88"/>
      <c r="O552" s="90"/>
      <c r="P552" s="90"/>
      <c r="Q552" s="90"/>
    </row>
    <row r="553" spans="1:17" ht="15.75" customHeight="1">
      <c r="A553" s="104"/>
      <c r="B553" s="118"/>
      <c r="F553" s="314"/>
      <c r="H553" s="315">
        <f>SUM(H551:H552)</f>
        <v>651.02547960000004</v>
      </c>
      <c r="I553" s="88" t="s">
        <v>100</v>
      </c>
      <c r="J553" s="117"/>
      <c r="K553" s="151"/>
      <c r="L553" s="88"/>
      <c r="M553" s="88"/>
      <c r="N553" s="88"/>
      <c r="O553" s="90"/>
      <c r="P553" s="90"/>
      <c r="Q553" s="90"/>
    </row>
    <row r="554" spans="1:17" ht="15.75" customHeight="1">
      <c r="A554" s="104"/>
      <c r="B554" s="118" t="s">
        <v>206</v>
      </c>
      <c r="C554" s="107">
        <f>C549</f>
        <v>99</v>
      </c>
      <c r="D554" s="107">
        <f>(0.2+0.125)/2</f>
        <v>0.16250000000000001</v>
      </c>
      <c r="E554" s="107">
        <v>0.1</v>
      </c>
      <c r="F554" s="107"/>
      <c r="G554" s="106">
        <v>1</v>
      </c>
      <c r="H554" s="106">
        <f>C554*D554*E554*G554</f>
        <v>1.6087500000000003</v>
      </c>
      <c r="I554" s="116" t="s">
        <v>103</v>
      </c>
      <c r="J554" s="117">
        <f>ROUND((H554),2)</f>
        <v>1.61</v>
      </c>
      <c r="K554" s="151"/>
      <c r="L554" s="88"/>
      <c r="M554" s="88"/>
      <c r="N554" s="88"/>
      <c r="O554" s="90"/>
      <c r="P554" s="90"/>
      <c r="Q554" s="90"/>
    </row>
    <row r="555" spans="1:17" ht="15.75" customHeight="1">
      <c r="A555" s="104">
        <f>A544+1</f>
        <v>14</v>
      </c>
      <c r="B555" s="118" t="s">
        <v>207</v>
      </c>
      <c r="C555" s="107">
        <f>C554</f>
        <v>99</v>
      </c>
      <c r="D555" s="107">
        <f>0.2+0.125+0.12</f>
        <v>0.44500000000000001</v>
      </c>
      <c r="E555" s="107"/>
      <c r="F555" s="107"/>
      <c r="G555" s="106">
        <v>2</v>
      </c>
      <c r="H555" s="106">
        <f>C555*D555*G555</f>
        <v>88.11</v>
      </c>
      <c r="I555" s="103" t="s">
        <v>89</v>
      </c>
      <c r="J555" s="117">
        <f>ROUND((H555),2)</f>
        <v>88.11</v>
      </c>
      <c r="K555" s="151"/>
      <c r="L555" s="88"/>
      <c r="M555" s="88"/>
      <c r="N555" s="88"/>
      <c r="O555" s="90"/>
      <c r="P555" s="90"/>
      <c r="Q555" s="90"/>
    </row>
    <row r="556" spans="1:17" ht="29.25" customHeight="1">
      <c r="A556" s="104">
        <f>A555+1</f>
        <v>15</v>
      </c>
      <c r="B556" s="267" t="s">
        <v>229</v>
      </c>
      <c r="C556" s="107"/>
      <c r="D556" s="107"/>
      <c r="E556" s="107"/>
      <c r="F556" s="107"/>
      <c r="G556" s="106"/>
      <c r="H556" s="106"/>
      <c r="I556" s="103"/>
      <c r="J556" s="117">
        <f>ROUND((H556),2)</f>
        <v>0</v>
      </c>
      <c r="K556" s="151"/>
      <c r="L556" s="88"/>
      <c r="M556" s="88"/>
      <c r="N556" s="88"/>
      <c r="O556" s="90"/>
      <c r="P556" s="90"/>
      <c r="Q556" s="90"/>
    </row>
    <row r="557" spans="1:17" ht="15.75" customHeight="1">
      <c r="A557" s="205" t="s">
        <v>95</v>
      </c>
      <c r="B557" s="118" t="s">
        <v>230</v>
      </c>
      <c r="C557" s="207"/>
      <c r="D557" s="207"/>
      <c r="E557" s="207"/>
      <c r="F557" s="207"/>
      <c r="G557" s="208"/>
      <c r="H557" s="208"/>
      <c r="I557" s="209"/>
      <c r="J557" s="117">
        <f>ROUND((H557),2)</f>
        <v>0</v>
      </c>
      <c r="K557" s="151"/>
      <c r="L557" s="88"/>
      <c r="M557" s="88"/>
      <c r="N557" s="88"/>
      <c r="O557" s="90"/>
      <c r="P557" s="90"/>
      <c r="Q557" s="90"/>
    </row>
    <row r="558" spans="1:17" ht="15.75" customHeight="1">
      <c r="A558" s="205"/>
      <c r="B558" s="118" t="s">
        <v>231</v>
      </c>
      <c r="C558" s="210">
        <f>R573</f>
        <v>15.185</v>
      </c>
      <c r="D558" s="210">
        <f>R566</f>
        <v>0.26500000000000001</v>
      </c>
      <c r="E558" s="210">
        <f>P577</f>
        <v>0.25</v>
      </c>
      <c r="F558" s="207" t="s">
        <v>232</v>
      </c>
      <c r="G558" s="208"/>
      <c r="H558" s="211">
        <f t="shared" ref="H558:H563" si="82">C558*D558*E558</f>
        <v>1.00600625</v>
      </c>
      <c r="I558" s="209"/>
      <c r="J558" s="117"/>
      <c r="K558" s="151"/>
      <c r="L558" s="88"/>
      <c r="M558" s="88"/>
      <c r="N558" s="88"/>
      <c r="O558" s="90"/>
      <c r="P558" s="90"/>
      <c r="Q558" s="90"/>
    </row>
    <row r="559" spans="1:17" ht="15.75" customHeight="1">
      <c r="A559" s="205"/>
      <c r="B559" s="118"/>
      <c r="C559" s="210">
        <f>C558</f>
        <v>15.185</v>
      </c>
      <c r="D559" s="210">
        <f>Q565</f>
        <v>0.26500000000000001</v>
      </c>
      <c r="E559" s="210">
        <f>O576</f>
        <v>0.55000000000000004</v>
      </c>
      <c r="F559" s="207" t="s">
        <v>233</v>
      </c>
      <c r="G559" s="208"/>
      <c r="H559" s="211">
        <f t="shared" si="82"/>
        <v>2.21321375</v>
      </c>
      <c r="I559" s="209"/>
      <c r="J559" s="117"/>
      <c r="K559" s="151"/>
      <c r="L559" s="88"/>
      <c r="M559" s="88"/>
      <c r="N559" s="88"/>
      <c r="O559" s="90"/>
      <c r="P559" s="90"/>
      <c r="Q559" s="90"/>
    </row>
    <row r="560" spans="1:17" ht="15.75" customHeight="1">
      <c r="A560" s="205"/>
      <c r="B560" s="118"/>
      <c r="C560" s="210">
        <f>C559</f>
        <v>15.185</v>
      </c>
      <c r="D560" s="210">
        <f>P564</f>
        <v>0.26500000000000001</v>
      </c>
      <c r="E560" s="210">
        <f>N575</f>
        <v>0.85000000000000009</v>
      </c>
      <c r="F560" s="207" t="s">
        <v>234</v>
      </c>
      <c r="G560" s="208"/>
      <c r="H560" s="211">
        <f t="shared" si="82"/>
        <v>3.4204212500000004</v>
      </c>
      <c r="I560" s="209"/>
      <c r="J560" s="117"/>
      <c r="K560" s="151"/>
      <c r="L560" s="88"/>
      <c r="M560" s="88"/>
      <c r="N560" s="88"/>
      <c r="O560" s="90"/>
      <c r="P560" s="90"/>
      <c r="Q560" s="90"/>
    </row>
    <row r="561" spans="1:19" ht="15.75" customHeight="1">
      <c r="A561" s="205"/>
      <c r="B561" s="118"/>
      <c r="C561" s="210">
        <f>C560</f>
        <v>15.185</v>
      </c>
      <c r="D561" s="210">
        <f>O563</f>
        <v>0.26500000000000001</v>
      </c>
      <c r="E561" s="210">
        <f>M574</f>
        <v>1.1500000000000001</v>
      </c>
      <c r="F561" s="207" t="s">
        <v>235</v>
      </c>
      <c r="G561" s="208"/>
      <c r="H561" s="211">
        <f t="shared" si="82"/>
        <v>4.6276287500000004</v>
      </c>
      <c r="I561" s="209"/>
      <c r="J561" s="212"/>
      <c r="K561" s="151"/>
      <c r="L561" s="88"/>
      <c r="M561" s="213">
        <f>N562</f>
        <v>0.26500000000000001</v>
      </c>
      <c r="N561" s="213"/>
      <c r="O561" s="214"/>
      <c r="P561" s="214"/>
      <c r="Q561" s="214"/>
      <c r="R561" s="215"/>
      <c r="S561" s="215"/>
    </row>
    <row r="562" spans="1:19" ht="15.75" customHeight="1">
      <c r="A562" s="205"/>
      <c r="B562" s="118"/>
      <c r="C562" s="210">
        <f>C561</f>
        <v>15.185</v>
      </c>
      <c r="D562" s="210">
        <f>N562</f>
        <v>0.26500000000000001</v>
      </c>
      <c r="E562" s="210">
        <f>L564</f>
        <v>1.4500000000000002</v>
      </c>
      <c r="F562" s="207" t="s">
        <v>236</v>
      </c>
      <c r="G562" s="208"/>
      <c r="H562" s="211">
        <f t="shared" si="82"/>
        <v>5.8348362500000004</v>
      </c>
      <c r="I562" s="209"/>
      <c r="J562" s="117"/>
      <c r="K562" s="151"/>
      <c r="L562" s="88"/>
      <c r="M562" s="216"/>
      <c r="N562" s="217">
        <f>O563</f>
        <v>0.26500000000000001</v>
      </c>
      <c r="O562" s="213"/>
      <c r="P562" s="214"/>
      <c r="Q562" s="214"/>
      <c r="R562" s="214"/>
      <c r="S562" s="215"/>
    </row>
    <row r="563" spans="1:19" ht="15.75" customHeight="1">
      <c r="A563" s="205"/>
      <c r="B563" s="118"/>
      <c r="C563" s="210">
        <f>C562</f>
        <v>15.185</v>
      </c>
      <c r="D563" s="210">
        <f>M561</f>
        <v>0.26500000000000001</v>
      </c>
      <c r="E563" s="210">
        <f>K572</f>
        <v>1.7500000000000002</v>
      </c>
      <c r="F563" s="207" t="s">
        <v>237</v>
      </c>
      <c r="G563" s="208"/>
      <c r="H563" s="211">
        <f t="shared" si="82"/>
        <v>7.0420437500000013</v>
      </c>
      <c r="I563" s="209"/>
      <c r="J563" s="117"/>
      <c r="K563" s="151"/>
      <c r="L563" s="213"/>
      <c r="M563" s="213"/>
      <c r="N563" s="216"/>
      <c r="O563" s="217">
        <f>P564</f>
        <v>0.26500000000000001</v>
      </c>
      <c r="P563" s="214"/>
      <c r="Q563" s="214"/>
      <c r="R563" s="214"/>
      <c r="S563" s="215"/>
    </row>
    <row r="564" spans="1:19" ht="15.75" customHeight="1">
      <c r="A564" s="205"/>
      <c r="B564" s="118" t="s">
        <v>238</v>
      </c>
      <c r="C564" s="207"/>
      <c r="D564" s="210"/>
      <c r="E564" s="210"/>
      <c r="F564" s="207"/>
      <c r="G564" s="208"/>
      <c r="H564" s="211"/>
      <c r="I564" s="209"/>
      <c r="J564" s="117"/>
      <c r="K564" s="151"/>
      <c r="L564" s="3186">
        <f>M574+0.3</f>
        <v>1.4500000000000002</v>
      </c>
      <c r="M564" s="213"/>
      <c r="N564" s="213"/>
      <c r="O564" s="216"/>
      <c r="P564" s="217">
        <f>Q565</f>
        <v>0.26500000000000001</v>
      </c>
      <c r="Q564" s="214"/>
      <c r="R564" s="214"/>
      <c r="S564" s="215"/>
    </row>
    <row r="565" spans="1:19" ht="15.75" customHeight="1">
      <c r="A565" s="205"/>
      <c r="B565" s="118"/>
      <c r="C565" s="207">
        <f>1.5-0.05</f>
        <v>1.45</v>
      </c>
      <c r="D565" s="210">
        <f>D563</f>
        <v>0.26500000000000001</v>
      </c>
      <c r="E565" s="210">
        <f>0.3-0.05</f>
        <v>0.25</v>
      </c>
      <c r="F565" s="207"/>
      <c r="G565" s="208"/>
      <c r="H565" s="211">
        <f>C565*D565*E565</f>
        <v>9.6062499999999995E-2</v>
      </c>
      <c r="I565" s="209"/>
      <c r="J565" s="117"/>
      <c r="K565" s="151"/>
      <c r="L565" s="3186"/>
      <c r="M565" s="213"/>
      <c r="N565" s="213"/>
      <c r="O565" s="213"/>
      <c r="P565" s="216"/>
      <c r="Q565" s="218">
        <f>R566</f>
        <v>0.26500000000000001</v>
      </c>
      <c r="R565" s="214"/>
      <c r="S565" s="215"/>
    </row>
    <row r="566" spans="1:19" ht="15.75" customHeight="1">
      <c r="A566" s="205"/>
      <c r="B566" s="118"/>
      <c r="C566" s="207">
        <f t="shared" ref="C566:D568" si="83">C565</f>
        <v>1.45</v>
      </c>
      <c r="D566" s="210">
        <f t="shared" si="83"/>
        <v>0.26500000000000001</v>
      </c>
      <c r="E566" s="210">
        <f>0.6-0.05</f>
        <v>0.54999999999999993</v>
      </c>
      <c r="F566" s="207"/>
      <c r="G566" s="208"/>
      <c r="H566" s="211">
        <f>C566*D566*E566</f>
        <v>0.21133749999999996</v>
      </c>
      <c r="I566" s="209"/>
      <c r="J566" s="117"/>
      <c r="K566" s="151"/>
      <c r="L566" s="3186"/>
      <c r="M566" s="213"/>
      <c r="N566" s="213"/>
      <c r="O566" s="213"/>
      <c r="P566" s="214"/>
      <c r="Q566" s="216"/>
      <c r="R566" s="217">
        <v>0.26500000000000001</v>
      </c>
      <c r="S566" s="215"/>
    </row>
    <row r="567" spans="1:19" ht="15.75" customHeight="1">
      <c r="A567" s="205"/>
      <c r="B567" s="118"/>
      <c r="C567" s="207">
        <f t="shared" si="83"/>
        <v>1.45</v>
      </c>
      <c r="D567" s="210">
        <f t="shared" si="83"/>
        <v>0.26500000000000001</v>
      </c>
      <c r="E567" s="210">
        <f>0.9-0.05</f>
        <v>0.85</v>
      </c>
      <c r="F567" s="207"/>
      <c r="G567" s="208"/>
      <c r="H567" s="211">
        <f>C567*D567*E567</f>
        <v>0.32661249999999997</v>
      </c>
      <c r="I567" s="209"/>
      <c r="J567" s="117"/>
      <c r="K567" s="151"/>
      <c r="L567" s="3186"/>
      <c r="M567" s="213"/>
      <c r="N567" s="213"/>
      <c r="O567" s="213"/>
      <c r="P567" s="214"/>
      <c r="Q567" s="213"/>
      <c r="R567" s="219"/>
      <c r="S567" s="220"/>
    </row>
    <row r="568" spans="1:19" ht="15.75" customHeight="1">
      <c r="A568" s="205"/>
      <c r="B568" s="118"/>
      <c r="C568" s="207">
        <f t="shared" si="83"/>
        <v>1.45</v>
      </c>
      <c r="D568" s="210">
        <f t="shared" si="83"/>
        <v>0.26500000000000001</v>
      </c>
      <c r="E568" s="210">
        <f>1.2-0.05</f>
        <v>1.1499999999999999</v>
      </c>
      <c r="F568" s="207"/>
      <c r="G568" s="208"/>
      <c r="H568" s="221">
        <f>C568*D568*E568</f>
        <v>0.44188749999999993</v>
      </c>
      <c r="I568" s="209"/>
      <c r="J568" s="117"/>
      <c r="K568" s="151"/>
      <c r="L568" s="3186"/>
      <c r="M568" s="88"/>
      <c r="N568" s="88"/>
      <c r="O568" s="90"/>
      <c r="P568" s="90"/>
      <c r="Q568" s="90"/>
    </row>
    <row r="569" spans="1:19" ht="15.75" customHeight="1">
      <c r="A569" s="205"/>
      <c r="B569" s="118"/>
      <c r="C569" s="207"/>
      <c r="D569" s="210"/>
      <c r="E569" s="210"/>
      <c r="F569" s="207"/>
      <c r="G569" s="208"/>
      <c r="H569" s="222">
        <f>SUM(H558:H568)</f>
        <v>25.220049999999997</v>
      </c>
      <c r="I569" s="223" t="s">
        <v>103</v>
      </c>
      <c r="J569" s="117">
        <f>ROUND((H569),2)</f>
        <v>25.22</v>
      </c>
      <c r="K569" s="151"/>
      <c r="L569" s="213"/>
      <c r="M569" s="88"/>
      <c r="N569" s="88"/>
      <c r="O569" s="90"/>
      <c r="P569" s="90"/>
      <c r="Q569" s="90"/>
    </row>
    <row r="570" spans="1:19" ht="15.75" customHeight="1">
      <c r="A570" s="224" t="s">
        <v>98</v>
      </c>
      <c r="B570" s="118" t="s">
        <v>102</v>
      </c>
      <c r="C570" s="226"/>
      <c r="D570" s="227"/>
      <c r="E570" s="227"/>
      <c r="F570" s="226"/>
      <c r="G570" s="228"/>
      <c r="H570" s="228"/>
      <c r="I570" s="229"/>
      <c r="J570" s="230"/>
      <c r="K570" s="151"/>
      <c r="L570" s="88"/>
      <c r="M570" s="88"/>
      <c r="N570" s="88"/>
      <c r="O570" s="90"/>
      <c r="P570" s="90"/>
      <c r="Q570" s="90"/>
    </row>
    <row r="571" spans="1:19" ht="15.75" customHeight="1">
      <c r="A571" s="231"/>
      <c r="B571" s="118" t="s">
        <v>239</v>
      </c>
      <c r="C571" s="226"/>
      <c r="D571" s="227"/>
      <c r="E571" s="227"/>
      <c r="F571" s="232" t="s">
        <v>107</v>
      </c>
      <c r="G571" s="233" t="s">
        <v>240</v>
      </c>
      <c r="H571" s="228"/>
      <c r="I571" s="229"/>
      <c r="J571" s="230"/>
      <c r="K571" s="234"/>
      <c r="L571" s="88"/>
      <c r="M571" s="88"/>
      <c r="N571" s="88"/>
      <c r="O571" s="90"/>
      <c r="P571" s="90"/>
      <c r="Q571" s="90"/>
    </row>
    <row r="572" spans="1:19" ht="15.75" customHeight="1">
      <c r="A572" s="231"/>
      <c r="B572" s="135" t="s">
        <v>241</v>
      </c>
      <c r="C572" s="226" t="s">
        <v>232</v>
      </c>
      <c r="D572" s="227">
        <f>D568</f>
        <v>0.26500000000000001</v>
      </c>
      <c r="E572" s="227">
        <f t="shared" ref="E572:E577" si="84">E558</f>
        <v>0.25</v>
      </c>
      <c r="F572" s="226">
        <v>2</v>
      </c>
      <c r="G572" s="236">
        <v>3.5000000000000003E-2</v>
      </c>
      <c r="H572" s="237">
        <f t="shared" ref="H572:H577" si="85">D572*E572*F572*G572</f>
        <v>4.637500000000001E-3</v>
      </c>
      <c r="I572" s="229"/>
      <c r="J572" s="230"/>
      <c r="K572" s="3186">
        <f>L564+0.3</f>
        <v>1.7500000000000002</v>
      </c>
      <c r="L572" s="88"/>
      <c r="M572" s="213"/>
      <c r="N572" s="214"/>
      <c r="O572" s="214"/>
      <c r="P572" s="214"/>
    </row>
    <row r="573" spans="1:19" ht="15.75" customHeight="1">
      <c r="A573" s="231"/>
      <c r="B573" s="118"/>
      <c r="C573" s="226" t="s">
        <v>233</v>
      </c>
      <c r="D573" s="227">
        <f t="shared" ref="D573:D579" si="86">D572</f>
        <v>0.26500000000000001</v>
      </c>
      <c r="E573" s="227">
        <f t="shared" si="84"/>
        <v>0.55000000000000004</v>
      </c>
      <c r="F573" s="226">
        <v>2</v>
      </c>
      <c r="G573" s="236">
        <f t="shared" ref="G573:G579" si="87">G572</f>
        <v>3.5000000000000003E-2</v>
      </c>
      <c r="H573" s="237">
        <f t="shared" si="85"/>
        <v>1.0202500000000001E-2</v>
      </c>
      <c r="I573" s="229"/>
      <c r="J573" s="230"/>
      <c r="K573" s="3186"/>
      <c r="L573" s="88"/>
      <c r="M573" s="213"/>
      <c r="N573" s="214"/>
      <c r="O573" s="214"/>
      <c r="P573" s="214"/>
      <c r="R573" s="87">
        <v>15.185</v>
      </c>
    </row>
    <row r="574" spans="1:19" ht="15.75" customHeight="1">
      <c r="A574" s="231"/>
      <c r="B574" s="118"/>
      <c r="C574" s="226" t="s">
        <v>234</v>
      </c>
      <c r="D574" s="227">
        <f t="shared" si="86"/>
        <v>0.26500000000000001</v>
      </c>
      <c r="E574" s="227">
        <f t="shared" si="84"/>
        <v>0.85000000000000009</v>
      </c>
      <c r="F574" s="226">
        <v>2</v>
      </c>
      <c r="G574" s="236">
        <f t="shared" si="87"/>
        <v>3.5000000000000003E-2</v>
      </c>
      <c r="H574" s="237">
        <f t="shared" si="85"/>
        <v>1.5767500000000004E-2</v>
      </c>
      <c r="I574" s="229"/>
      <c r="J574" s="230"/>
      <c r="K574" s="3186"/>
      <c r="L574" s="88"/>
      <c r="M574" s="3186">
        <f>N575+0.3</f>
        <v>1.1500000000000001</v>
      </c>
      <c r="N574" s="213"/>
      <c r="O574" s="214"/>
      <c r="P574" s="214"/>
    </row>
    <row r="575" spans="1:19" ht="15.75" customHeight="1">
      <c r="A575" s="231"/>
      <c r="B575" s="118"/>
      <c r="C575" s="226" t="s">
        <v>235</v>
      </c>
      <c r="D575" s="227">
        <f t="shared" si="86"/>
        <v>0.26500000000000001</v>
      </c>
      <c r="E575" s="227">
        <f t="shared" si="84"/>
        <v>1.1500000000000001</v>
      </c>
      <c r="F575" s="226">
        <v>2</v>
      </c>
      <c r="G575" s="236">
        <f t="shared" si="87"/>
        <v>3.5000000000000003E-2</v>
      </c>
      <c r="H575" s="237">
        <f t="shared" si="85"/>
        <v>2.1332500000000008E-2</v>
      </c>
      <c r="I575" s="229"/>
      <c r="J575" s="230"/>
      <c r="K575" s="3186"/>
      <c r="L575" s="88"/>
      <c r="M575" s="3186"/>
      <c r="N575" s="3186">
        <f>O576+0.3</f>
        <v>0.85000000000000009</v>
      </c>
      <c r="O575" s="214"/>
      <c r="P575" s="214"/>
    </row>
    <row r="576" spans="1:19" ht="15.75" customHeight="1">
      <c r="A576" s="231"/>
      <c r="B576" s="118"/>
      <c r="C576" s="226" t="s">
        <v>236</v>
      </c>
      <c r="D576" s="227">
        <f t="shared" si="86"/>
        <v>0.26500000000000001</v>
      </c>
      <c r="E576" s="227">
        <f t="shared" si="84"/>
        <v>1.4500000000000002</v>
      </c>
      <c r="F576" s="226">
        <v>2</v>
      </c>
      <c r="G576" s="236">
        <f t="shared" si="87"/>
        <v>3.5000000000000003E-2</v>
      </c>
      <c r="H576" s="237">
        <f t="shared" si="85"/>
        <v>2.6897500000000008E-2</v>
      </c>
      <c r="I576" s="229"/>
      <c r="J576" s="230"/>
      <c r="K576" s="3186"/>
      <c r="L576" s="88"/>
      <c r="M576" s="3186"/>
      <c r="N576" s="3186"/>
      <c r="O576" s="3186">
        <f>P577+0.3</f>
        <v>0.55000000000000004</v>
      </c>
      <c r="P576" s="213"/>
    </row>
    <row r="577" spans="1:17" ht="15.75" customHeight="1">
      <c r="A577" s="231"/>
      <c r="B577" s="118"/>
      <c r="C577" s="226" t="s">
        <v>237</v>
      </c>
      <c r="D577" s="227">
        <f t="shared" si="86"/>
        <v>0.26500000000000001</v>
      </c>
      <c r="E577" s="227">
        <f t="shared" si="84"/>
        <v>1.7500000000000002</v>
      </c>
      <c r="F577" s="226">
        <v>2</v>
      </c>
      <c r="G577" s="236">
        <f t="shared" si="87"/>
        <v>3.5000000000000003E-2</v>
      </c>
      <c r="H577" s="237">
        <f t="shared" si="85"/>
        <v>3.2462500000000012E-2</v>
      </c>
      <c r="I577" s="229"/>
      <c r="J577" s="230"/>
      <c r="K577" s="3186"/>
      <c r="L577" s="88"/>
      <c r="M577" s="3186"/>
      <c r="N577" s="3186"/>
      <c r="O577" s="3186"/>
      <c r="P577" s="238">
        <v>0.25</v>
      </c>
    </row>
    <row r="578" spans="1:17" ht="15.75" customHeight="1">
      <c r="A578" s="231"/>
      <c r="B578" s="135" t="s">
        <v>242</v>
      </c>
      <c r="C578" s="227">
        <f>C563</f>
        <v>15.185</v>
      </c>
      <c r="D578" s="227">
        <f t="shared" si="86"/>
        <v>0.26500000000000001</v>
      </c>
      <c r="E578" s="227"/>
      <c r="F578" s="226">
        <v>6</v>
      </c>
      <c r="G578" s="236">
        <f t="shared" si="87"/>
        <v>3.5000000000000003E-2</v>
      </c>
      <c r="H578" s="228">
        <f>C578*D578*F578*G578</f>
        <v>0.84504525000000008</v>
      </c>
      <c r="I578" s="229"/>
      <c r="J578" s="230"/>
      <c r="K578" s="239"/>
      <c r="L578" s="88"/>
      <c r="M578" s="213"/>
      <c r="N578" s="213"/>
      <c r="O578" s="214"/>
      <c r="P578" s="214"/>
      <c r="Q578" s="90"/>
    </row>
    <row r="579" spans="1:17" ht="15.75" customHeight="1">
      <c r="A579" s="231"/>
      <c r="B579" s="135" t="s">
        <v>243</v>
      </c>
      <c r="C579" s="227">
        <f>C578</f>
        <v>15.185</v>
      </c>
      <c r="D579" s="227">
        <f t="shared" si="86"/>
        <v>0.26500000000000001</v>
      </c>
      <c r="E579" s="227"/>
      <c r="F579" s="226">
        <v>6</v>
      </c>
      <c r="G579" s="236">
        <f t="shared" si="87"/>
        <v>3.5000000000000003E-2</v>
      </c>
      <c r="H579" s="228">
        <f>C579*D579*F579*G579</f>
        <v>0.84504525000000008</v>
      </c>
      <c r="I579" s="229"/>
      <c r="J579" s="230"/>
      <c r="K579" s="151"/>
      <c r="L579" s="88"/>
      <c r="M579" s="88"/>
      <c r="N579" s="88"/>
      <c r="O579" s="90"/>
      <c r="P579" s="90"/>
      <c r="Q579" s="90"/>
    </row>
    <row r="580" spans="1:17" ht="15.75" customHeight="1">
      <c r="A580" s="231"/>
      <c r="B580" s="118" t="s">
        <v>244</v>
      </c>
      <c r="C580" s="226"/>
      <c r="D580" s="227"/>
      <c r="E580" s="227"/>
      <c r="F580" s="226"/>
      <c r="G580" s="236"/>
      <c r="H580" s="228"/>
      <c r="I580" s="229"/>
      <c r="J580" s="230"/>
      <c r="K580" s="151"/>
      <c r="L580" s="88"/>
      <c r="M580" s="88"/>
      <c r="N580" s="88"/>
      <c r="O580" s="90"/>
      <c r="P580" s="90"/>
      <c r="Q580" s="90"/>
    </row>
    <row r="581" spans="1:17" ht="15.75" customHeight="1">
      <c r="A581" s="231"/>
      <c r="B581" s="135" t="s">
        <v>241</v>
      </c>
      <c r="C581" s="226"/>
      <c r="D581" s="227">
        <f>D579</f>
        <v>0.26500000000000001</v>
      </c>
      <c r="E581" s="227">
        <f>E565</f>
        <v>0.25</v>
      </c>
      <c r="F581" s="226">
        <v>2</v>
      </c>
      <c r="G581" s="236">
        <f>G579</f>
        <v>3.5000000000000003E-2</v>
      </c>
      <c r="H581" s="237">
        <f>D581*E581*F581*G581</f>
        <v>4.637500000000001E-3</v>
      </c>
      <c r="I581" s="229"/>
      <c r="J581" s="230"/>
      <c r="K581" s="151"/>
      <c r="L581" s="88"/>
      <c r="M581" s="88"/>
      <c r="N581" s="88"/>
      <c r="O581" s="90"/>
      <c r="P581" s="90"/>
      <c r="Q581" s="90"/>
    </row>
    <row r="582" spans="1:17" ht="15.75" customHeight="1">
      <c r="A582" s="231"/>
      <c r="B582" s="118"/>
      <c r="C582" s="226"/>
      <c r="D582" s="227">
        <f>D581</f>
        <v>0.26500000000000001</v>
      </c>
      <c r="E582" s="227">
        <f>E566</f>
        <v>0.54999999999999993</v>
      </c>
      <c r="F582" s="226">
        <v>2</v>
      </c>
      <c r="G582" s="236">
        <f>G581</f>
        <v>3.5000000000000003E-2</v>
      </c>
      <c r="H582" s="237">
        <f>D582*E582*F582*G582</f>
        <v>1.02025E-2</v>
      </c>
      <c r="I582" s="229"/>
      <c r="J582" s="230"/>
      <c r="K582" s="151"/>
      <c r="L582" s="88"/>
      <c r="M582" s="88"/>
      <c r="N582" s="88"/>
      <c r="O582" s="90"/>
      <c r="P582" s="90"/>
      <c r="Q582" s="90"/>
    </row>
    <row r="583" spans="1:17" ht="15.75" customHeight="1">
      <c r="A583" s="231"/>
      <c r="B583" s="118"/>
      <c r="C583" s="226"/>
      <c r="D583" s="227">
        <f>D582</f>
        <v>0.26500000000000001</v>
      </c>
      <c r="E583" s="227">
        <f>E567</f>
        <v>0.85</v>
      </c>
      <c r="F583" s="226">
        <v>2</v>
      </c>
      <c r="G583" s="236">
        <f>G582</f>
        <v>3.5000000000000003E-2</v>
      </c>
      <c r="H583" s="237">
        <f>D583*E583*F583*G583</f>
        <v>1.57675E-2</v>
      </c>
      <c r="I583" s="229"/>
      <c r="J583" s="240" t="e">
        <f>#VALUE!</f>
        <v>#VALUE!</v>
      </c>
      <c r="K583" s="151"/>
      <c r="L583" s="259"/>
      <c r="M583" s="88"/>
      <c r="N583" s="88"/>
      <c r="O583" s="90"/>
      <c r="P583" s="90"/>
      <c r="Q583" s="90"/>
    </row>
    <row r="584" spans="1:17" ht="15.75" customHeight="1">
      <c r="A584" s="231"/>
      <c r="B584" s="118"/>
      <c r="C584" s="226"/>
      <c r="D584" s="227">
        <f>D583</f>
        <v>0.26500000000000001</v>
      </c>
      <c r="E584" s="227">
        <f>E568</f>
        <v>1.1499999999999999</v>
      </c>
      <c r="F584" s="226">
        <v>2</v>
      </c>
      <c r="G584" s="236">
        <f>G583</f>
        <v>3.5000000000000003E-2</v>
      </c>
      <c r="H584" s="237">
        <f>D584*E584*F584*G584</f>
        <v>2.1332500000000001E-2</v>
      </c>
      <c r="I584" s="229"/>
      <c r="J584" s="230"/>
      <c r="K584" s="151"/>
      <c r="L584" s="88"/>
      <c r="M584" s="88"/>
      <c r="N584" s="88"/>
      <c r="O584" s="90"/>
      <c r="P584" s="90"/>
      <c r="Q584" s="90"/>
    </row>
    <row r="585" spans="1:17" ht="15.75" customHeight="1">
      <c r="A585" s="231"/>
      <c r="B585" s="135" t="s">
        <v>245</v>
      </c>
      <c r="C585" s="226">
        <f>1.5-0.05</f>
        <v>1.45</v>
      </c>
      <c r="D585" s="227">
        <f>D584</f>
        <v>0.26500000000000001</v>
      </c>
      <c r="E585" s="227"/>
      <c r="F585" s="226">
        <f>4</f>
        <v>4</v>
      </c>
      <c r="G585" s="236">
        <f>G584</f>
        <v>3.5000000000000003E-2</v>
      </c>
      <c r="H585" s="241">
        <f>C585*D585*F585*G585</f>
        <v>5.3795000000000003E-2</v>
      </c>
      <c r="I585" s="229"/>
      <c r="J585" s="230"/>
      <c r="K585" s="151"/>
      <c r="L585" s="88"/>
      <c r="M585" s="88"/>
      <c r="N585" s="88"/>
      <c r="O585" s="90"/>
      <c r="P585" s="90"/>
      <c r="Q585" s="90"/>
    </row>
    <row r="586" spans="1:17" ht="15.75" customHeight="1">
      <c r="A586" s="231"/>
      <c r="B586" s="135" t="s">
        <v>246</v>
      </c>
      <c r="C586" s="226">
        <f>1.5-0.05</f>
        <v>1.45</v>
      </c>
      <c r="D586" s="227">
        <f>D585</f>
        <v>0.26500000000000001</v>
      </c>
      <c r="E586" s="227"/>
      <c r="F586" s="226">
        <f>4</f>
        <v>4</v>
      </c>
      <c r="G586" s="236">
        <f>G585</f>
        <v>3.5000000000000003E-2</v>
      </c>
      <c r="H586" s="242">
        <f>C586*D586*F586*G586</f>
        <v>5.3795000000000003E-2</v>
      </c>
      <c r="I586" s="229"/>
      <c r="J586" s="230"/>
      <c r="K586" s="151"/>
      <c r="L586" s="88"/>
      <c r="M586" s="88"/>
      <c r="N586" s="88"/>
      <c r="O586" s="90"/>
      <c r="P586" s="90"/>
      <c r="Q586" s="90"/>
    </row>
    <row r="587" spans="1:17" ht="15.75" customHeight="1">
      <c r="A587" s="231"/>
      <c r="B587" s="118"/>
      <c r="C587" s="226"/>
      <c r="D587" s="227"/>
      <c r="E587" s="227"/>
      <c r="F587" s="226"/>
      <c r="G587" s="228"/>
      <c r="H587" s="243">
        <f>SUM(H572:H586)</f>
        <v>1.9609205000000001</v>
      </c>
      <c r="I587" s="244" t="s">
        <v>103</v>
      </c>
      <c r="J587" s="240">
        <f>ROUND((H587),2)</f>
        <v>1.96</v>
      </c>
      <c r="K587" s="151"/>
      <c r="L587" s="261"/>
      <c r="M587" s="88"/>
      <c r="N587" s="88"/>
      <c r="O587" s="90"/>
      <c r="P587" s="90"/>
      <c r="Q587" s="90"/>
    </row>
    <row r="588" spans="1:17" ht="15.75" customHeight="1">
      <c r="A588" s="104"/>
      <c r="B588" s="118"/>
      <c r="C588" s="107"/>
      <c r="D588" s="137"/>
      <c r="E588" s="137"/>
      <c r="F588" s="107"/>
      <c r="G588" s="106"/>
      <c r="H588" s="115"/>
      <c r="I588" s="116"/>
      <c r="J588" s="108"/>
      <c r="K588" s="151"/>
      <c r="L588" s="88"/>
      <c r="M588" s="88"/>
      <c r="N588" s="88"/>
      <c r="O588" s="90"/>
      <c r="P588" s="90"/>
      <c r="Q588" s="90"/>
    </row>
    <row r="589" spans="1:17" ht="15.75" customHeight="1">
      <c r="A589" s="245" t="s">
        <v>98</v>
      </c>
      <c r="B589" s="118" t="s">
        <v>247</v>
      </c>
      <c r="C589" s="247"/>
      <c r="D589" s="248"/>
      <c r="E589" s="248"/>
      <c r="F589" s="247"/>
      <c r="G589" s="249"/>
      <c r="H589" s="249"/>
      <c r="I589" s="250"/>
      <c r="J589" s="251"/>
      <c r="K589" s="151"/>
      <c r="L589" s="88"/>
      <c r="M589" s="88"/>
      <c r="N589" s="88"/>
      <c r="O589" s="90"/>
      <c r="P589" s="90"/>
      <c r="Q589" s="90"/>
    </row>
    <row r="590" spans="1:17" ht="15.75" customHeight="1">
      <c r="A590" s="252"/>
      <c r="B590" s="118" t="s">
        <v>239</v>
      </c>
      <c r="C590" s="247"/>
      <c r="D590" s="248"/>
      <c r="E590" s="248"/>
      <c r="F590" s="253" t="s">
        <v>107</v>
      </c>
      <c r="G590" s="254" t="s">
        <v>240</v>
      </c>
      <c r="H590" s="249"/>
      <c r="I590" s="250"/>
      <c r="J590" s="251"/>
      <c r="K590" s="151"/>
      <c r="L590" s="88"/>
      <c r="M590" s="88"/>
      <c r="N590" s="88"/>
      <c r="O590" s="90"/>
      <c r="P590" s="90"/>
      <c r="Q590" s="90"/>
    </row>
    <row r="591" spans="1:17" ht="15.75" customHeight="1">
      <c r="A591" s="252"/>
      <c r="B591" s="135" t="s">
        <v>241</v>
      </c>
      <c r="C591" s="247" t="s">
        <v>232</v>
      </c>
      <c r="D591" s="248">
        <f>D586</f>
        <v>0.26500000000000001</v>
      </c>
      <c r="E591" s="248">
        <f t="shared" ref="E591:E596" si="88">E572</f>
        <v>0.25</v>
      </c>
      <c r="F591" s="247">
        <v>2</v>
      </c>
      <c r="G591" s="249"/>
      <c r="H591" s="256">
        <f t="shared" ref="H591:H596" si="89">D591*E591*F591</f>
        <v>0.13250000000000001</v>
      </c>
      <c r="I591" s="250"/>
      <c r="J591" s="251"/>
      <c r="K591" s="257"/>
      <c r="L591" s="88"/>
      <c r="M591" s="88"/>
      <c r="N591" s="90"/>
      <c r="O591" s="90"/>
      <c r="P591" s="90"/>
    </row>
    <row r="592" spans="1:17" ht="15.75" customHeight="1">
      <c r="A592" s="252"/>
      <c r="B592" s="118"/>
      <c r="C592" s="247" t="s">
        <v>233</v>
      </c>
      <c r="D592" s="248">
        <f t="shared" ref="D592:D597" si="90">D591</f>
        <v>0.26500000000000001</v>
      </c>
      <c r="E592" s="248">
        <f t="shared" si="88"/>
        <v>0.55000000000000004</v>
      </c>
      <c r="F592" s="247">
        <v>2</v>
      </c>
      <c r="G592" s="249"/>
      <c r="H592" s="256">
        <f t="shared" si="89"/>
        <v>0.29150000000000004</v>
      </c>
      <c r="I592" s="250"/>
      <c r="J592" s="251"/>
      <c r="K592" s="258"/>
      <c r="L592" s="88"/>
      <c r="M592" s="88"/>
      <c r="N592" s="90"/>
      <c r="O592" s="90"/>
      <c r="P592" s="90"/>
    </row>
    <row r="593" spans="1:17" ht="15.75" customHeight="1">
      <c r="A593" s="252"/>
      <c r="B593" s="118"/>
      <c r="C593" s="247" t="s">
        <v>234</v>
      </c>
      <c r="D593" s="248">
        <f t="shared" si="90"/>
        <v>0.26500000000000001</v>
      </c>
      <c r="E593" s="248">
        <f t="shared" si="88"/>
        <v>0.85000000000000009</v>
      </c>
      <c r="F593" s="247">
        <v>2</v>
      </c>
      <c r="G593" s="249"/>
      <c r="H593" s="256">
        <f t="shared" si="89"/>
        <v>0.45050000000000007</v>
      </c>
      <c r="I593" s="250"/>
      <c r="J593" s="251"/>
      <c r="K593" s="258"/>
      <c r="L593" s="88"/>
      <c r="M593" s="259"/>
      <c r="N593" s="88"/>
      <c r="O593" s="90"/>
      <c r="P593" s="90"/>
    </row>
    <row r="594" spans="1:17" ht="15.75" customHeight="1">
      <c r="A594" s="252"/>
      <c r="B594" s="118"/>
      <c r="C594" s="247" t="s">
        <v>235</v>
      </c>
      <c r="D594" s="248">
        <f t="shared" si="90"/>
        <v>0.26500000000000001</v>
      </c>
      <c r="E594" s="248">
        <f t="shared" si="88"/>
        <v>1.1500000000000001</v>
      </c>
      <c r="F594" s="247">
        <v>2</v>
      </c>
      <c r="G594" s="249"/>
      <c r="H594" s="256">
        <f t="shared" si="89"/>
        <v>0.60950000000000015</v>
      </c>
      <c r="I594" s="250"/>
      <c r="J594" s="251"/>
      <c r="K594" s="258"/>
      <c r="L594" s="88"/>
      <c r="M594" s="88"/>
      <c r="N594" s="259"/>
      <c r="O594" s="90"/>
      <c r="P594" s="90"/>
    </row>
    <row r="595" spans="1:17" ht="15.75" customHeight="1">
      <c r="A595" s="252"/>
      <c r="B595" s="118"/>
      <c r="C595" s="247" t="s">
        <v>236</v>
      </c>
      <c r="D595" s="248">
        <f t="shared" si="90"/>
        <v>0.26500000000000001</v>
      </c>
      <c r="E595" s="248">
        <f t="shared" si="88"/>
        <v>1.4500000000000002</v>
      </c>
      <c r="F595" s="247">
        <v>2</v>
      </c>
      <c r="G595" s="249"/>
      <c r="H595" s="256">
        <f t="shared" si="89"/>
        <v>0.76850000000000018</v>
      </c>
      <c r="I595" s="250"/>
      <c r="J595" s="251"/>
      <c r="K595" s="258"/>
      <c r="L595" s="88"/>
      <c r="M595" s="88"/>
      <c r="N595" s="90"/>
      <c r="O595" s="259"/>
      <c r="P595" s="88"/>
    </row>
    <row r="596" spans="1:17" ht="15.75" customHeight="1">
      <c r="A596" s="252"/>
      <c r="B596" s="118"/>
      <c r="C596" s="247" t="s">
        <v>237</v>
      </c>
      <c r="D596" s="248">
        <f t="shared" si="90"/>
        <v>0.26500000000000001</v>
      </c>
      <c r="E596" s="248">
        <f t="shared" si="88"/>
        <v>1.7500000000000002</v>
      </c>
      <c r="F596" s="247">
        <v>2</v>
      </c>
      <c r="G596" s="249"/>
      <c r="H596" s="256">
        <f t="shared" si="89"/>
        <v>0.92750000000000021</v>
      </c>
      <c r="I596" s="250"/>
      <c r="J596" s="251"/>
      <c r="K596" s="260"/>
      <c r="L596" s="88"/>
      <c r="M596" s="261"/>
      <c r="N596" s="262"/>
      <c r="O596" s="261"/>
      <c r="P596" s="263"/>
    </row>
    <row r="597" spans="1:17" ht="15.75" customHeight="1">
      <c r="A597" s="252"/>
      <c r="B597" s="135" t="s">
        <v>242</v>
      </c>
      <c r="C597" s="248">
        <f>C578</f>
        <v>15.185</v>
      </c>
      <c r="D597" s="248">
        <f t="shared" si="90"/>
        <v>0.26500000000000001</v>
      </c>
      <c r="E597" s="248"/>
      <c r="F597" s="247">
        <v>6</v>
      </c>
      <c r="G597" s="249"/>
      <c r="H597" s="256">
        <f>C597*D597*F597</f>
        <v>24.14415</v>
      </c>
      <c r="I597" s="250"/>
      <c r="J597" s="251"/>
      <c r="K597" s="151"/>
      <c r="L597" s="88"/>
      <c r="M597" s="88"/>
      <c r="N597" s="88"/>
      <c r="O597" s="90"/>
      <c r="P597" s="90"/>
      <c r="Q597" s="90"/>
    </row>
    <row r="598" spans="1:17" ht="15.75" customHeight="1">
      <c r="A598" s="252"/>
      <c r="B598" s="118" t="s">
        <v>244</v>
      </c>
      <c r="C598" s="247"/>
      <c r="D598" s="248"/>
      <c r="E598" s="248"/>
      <c r="F598" s="247"/>
      <c r="G598" s="249"/>
      <c r="H598" s="249"/>
      <c r="I598" s="250"/>
      <c r="J598" s="251"/>
      <c r="K598" s="151"/>
      <c r="L598" s="88"/>
      <c r="M598" s="88"/>
      <c r="N598" s="88"/>
      <c r="O598" s="90"/>
      <c r="P598" s="90"/>
      <c r="Q598" s="90"/>
    </row>
    <row r="599" spans="1:17" ht="15.75" customHeight="1">
      <c r="A599" s="252"/>
      <c r="B599" s="135" t="s">
        <v>241</v>
      </c>
      <c r="C599" s="247"/>
      <c r="D599" s="248">
        <f>D597</f>
        <v>0.26500000000000001</v>
      </c>
      <c r="E599" s="248">
        <f>E581</f>
        <v>0.25</v>
      </c>
      <c r="F599" s="247">
        <v>2</v>
      </c>
      <c r="G599" s="249"/>
      <c r="H599" s="256">
        <f>D599*E599*F599</f>
        <v>0.13250000000000001</v>
      </c>
      <c r="I599" s="250"/>
      <c r="J599" s="251"/>
      <c r="K599" s="151"/>
      <c r="L599" s="88"/>
      <c r="M599" s="88"/>
      <c r="N599" s="88"/>
      <c r="O599" s="90"/>
      <c r="P599" s="90"/>
      <c r="Q599" s="90"/>
    </row>
    <row r="600" spans="1:17" ht="15.75" customHeight="1">
      <c r="A600" s="252"/>
      <c r="B600" s="118"/>
      <c r="C600" s="247"/>
      <c r="D600" s="248">
        <f>D599</f>
        <v>0.26500000000000001</v>
      </c>
      <c r="E600" s="248">
        <f>E582</f>
        <v>0.54999999999999993</v>
      </c>
      <c r="F600" s="247">
        <v>2</v>
      </c>
      <c r="G600" s="249"/>
      <c r="H600" s="256">
        <f>D600*E600*F600</f>
        <v>0.29149999999999998</v>
      </c>
      <c r="I600" s="250"/>
      <c r="J600" s="251"/>
      <c r="K600" s="151"/>
      <c r="L600" s="88"/>
      <c r="M600" s="88"/>
      <c r="N600" s="88"/>
      <c r="O600" s="90"/>
      <c r="P600" s="90"/>
      <c r="Q600" s="90"/>
    </row>
    <row r="601" spans="1:17" ht="15.75" customHeight="1">
      <c r="A601" s="252"/>
      <c r="B601" s="118"/>
      <c r="C601" s="247"/>
      <c r="D601" s="248">
        <f>D600</f>
        <v>0.26500000000000001</v>
      </c>
      <c r="E601" s="248">
        <f>E583</f>
        <v>0.85</v>
      </c>
      <c r="F601" s="247">
        <v>2</v>
      </c>
      <c r="G601" s="249"/>
      <c r="H601" s="256">
        <f>D601*E601*F601</f>
        <v>0.45050000000000001</v>
      </c>
      <c r="I601" s="250"/>
      <c r="J601" s="251"/>
      <c r="K601" s="151"/>
      <c r="L601" s="88"/>
      <c r="M601" s="88"/>
      <c r="N601" s="88"/>
      <c r="O601" s="90"/>
      <c r="P601" s="90"/>
      <c r="Q601" s="90"/>
    </row>
    <row r="602" spans="1:17" ht="15.75" customHeight="1">
      <c r="A602" s="252"/>
      <c r="B602" s="118"/>
      <c r="C602" s="247"/>
      <c r="D602" s="248">
        <f>D601</f>
        <v>0.26500000000000001</v>
      </c>
      <c r="E602" s="248">
        <f>E584</f>
        <v>1.1499999999999999</v>
      </c>
      <c r="F602" s="247">
        <v>2</v>
      </c>
      <c r="G602" s="249"/>
      <c r="H602" s="256">
        <f>D602*E602*F602</f>
        <v>0.60949999999999993</v>
      </c>
      <c r="I602" s="250"/>
      <c r="J602" s="251"/>
      <c r="K602" s="151"/>
      <c r="L602" s="88"/>
      <c r="M602" s="88"/>
      <c r="N602" s="88"/>
      <c r="O602" s="90"/>
      <c r="P602" s="90"/>
      <c r="Q602" s="90"/>
    </row>
    <row r="603" spans="1:17" ht="15.75" customHeight="1">
      <c r="A603" s="252"/>
      <c r="B603" s="135" t="s">
        <v>245</v>
      </c>
      <c r="C603" s="247">
        <f>1.5-0.05</f>
        <v>1.45</v>
      </c>
      <c r="D603" s="248">
        <f>D602</f>
        <v>0.26500000000000001</v>
      </c>
      <c r="E603" s="248"/>
      <c r="F603" s="247">
        <f>4</f>
        <v>4</v>
      </c>
      <c r="G603" s="249"/>
      <c r="H603" s="256">
        <f>C603*D603*F603</f>
        <v>1.5369999999999999</v>
      </c>
      <c r="I603" s="250"/>
      <c r="J603" s="251"/>
      <c r="K603" s="151"/>
      <c r="L603" s="88"/>
      <c r="M603" s="88"/>
      <c r="N603" s="88"/>
      <c r="O603" s="90"/>
      <c r="P603" s="90"/>
      <c r="Q603" s="90"/>
    </row>
    <row r="604" spans="1:17" ht="15.75" customHeight="1">
      <c r="A604" s="252"/>
      <c r="B604" s="118"/>
      <c r="C604" s="247"/>
      <c r="D604" s="248"/>
      <c r="E604" s="248"/>
      <c r="F604" s="247"/>
      <c r="G604" s="249"/>
      <c r="H604" s="264">
        <f>SUM(H591:H603)</f>
        <v>30.34515</v>
      </c>
      <c r="I604" s="265" t="s">
        <v>103</v>
      </c>
      <c r="J604" s="266">
        <f>ROUND((H604),2)</f>
        <v>30.35</v>
      </c>
      <c r="K604" s="151"/>
      <c r="L604" s="88"/>
      <c r="M604" s="88"/>
      <c r="N604" s="88"/>
      <c r="O604" s="90"/>
      <c r="P604" s="90"/>
      <c r="Q604" s="90"/>
    </row>
    <row r="605" spans="1:17" ht="15.75" customHeight="1">
      <c r="A605" s="252"/>
      <c r="B605" s="118"/>
      <c r="C605" s="247"/>
      <c r="D605" s="248"/>
      <c r="E605" s="248"/>
      <c r="F605" s="247"/>
      <c r="G605" s="249"/>
      <c r="H605" s="264"/>
      <c r="I605" s="265"/>
      <c r="J605" s="266"/>
      <c r="K605" s="151"/>
      <c r="L605" s="88"/>
      <c r="M605" s="88"/>
      <c r="N605" s="88"/>
      <c r="O605" s="90"/>
      <c r="P605" s="90"/>
      <c r="Q605" s="90"/>
    </row>
    <row r="606" spans="1:17" ht="30" customHeight="1">
      <c r="A606" s="104">
        <f>A556+1</f>
        <v>16</v>
      </c>
      <c r="B606" s="267" t="s">
        <v>248</v>
      </c>
      <c r="K606" s="151"/>
      <c r="L606" s="88"/>
      <c r="M606" s="88"/>
      <c r="N606" s="88"/>
      <c r="O606" s="90"/>
      <c r="P606" s="90"/>
      <c r="Q606" s="90"/>
    </row>
    <row r="607" spans="1:17" ht="15.75" customHeight="1">
      <c r="A607" s="104"/>
      <c r="B607" s="135" t="s">
        <v>249</v>
      </c>
      <c r="C607" s="107">
        <v>1</v>
      </c>
      <c r="D607" s="107">
        <v>0.3</v>
      </c>
      <c r="E607" s="107"/>
      <c r="F607" s="107">
        <v>11</v>
      </c>
      <c r="G607" s="106">
        <v>2</v>
      </c>
      <c r="H607" s="106">
        <f>C607*D607*F607*G607</f>
        <v>6.6</v>
      </c>
      <c r="I607" s="103" t="s">
        <v>89</v>
      </c>
      <c r="J607" s="117"/>
      <c r="K607" s="151"/>
      <c r="L607" s="88"/>
      <c r="M607" s="88"/>
      <c r="N607" s="88"/>
      <c r="O607" s="90"/>
      <c r="P607" s="90"/>
      <c r="Q607" s="90"/>
    </row>
    <row r="608" spans="1:17" ht="15.75" customHeight="1">
      <c r="A608" s="104"/>
      <c r="B608" s="135" t="s">
        <v>250</v>
      </c>
      <c r="C608" s="107">
        <f>C607*2</f>
        <v>2</v>
      </c>
      <c r="D608" s="107">
        <f>D607*2</f>
        <v>0.6</v>
      </c>
      <c r="E608" s="106">
        <v>0.05</v>
      </c>
      <c r="F608" s="107">
        <v>11</v>
      </c>
      <c r="G608" s="106">
        <f>G607</f>
        <v>2</v>
      </c>
      <c r="H608" s="106">
        <f>(C608+D608)*E608*F608*G608</f>
        <v>2.8600000000000003</v>
      </c>
      <c r="I608" s="103" t="s">
        <v>89</v>
      </c>
      <c r="J608" s="117"/>
      <c r="K608" s="151"/>
      <c r="L608" s="88"/>
      <c r="M608" s="88"/>
      <c r="N608" s="88"/>
      <c r="O608" s="90"/>
      <c r="P608" s="90"/>
      <c r="Q608" s="90"/>
    </row>
    <row r="609" spans="1:17" ht="15.75" customHeight="1">
      <c r="A609" s="104"/>
      <c r="B609" s="135" t="s">
        <v>251</v>
      </c>
      <c r="C609" s="107">
        <f>3</f>
        <v>3</v>
      </c>
      <c r="D609" s="107">
        <v>0.05</v>
      </c>
      <c r="E609" s="106"/>
      <c r="F609" s="107"/>
      <c r="G609" s="106">
        <f>G608</f>
        <v>2</v>
      </c>
      <c r="H609" s="106">
        <f>C609*D609*G609</f>
        <v>0.30000000000000004</v>
      </c>
      <c r="I609" s="103" t="s">
        <v>89</v>
      </c>
      <c r="J609" s="117"/>
      <c r="K609" s="151"/>
      <c r="L609" s="88"/>
      <c r="M609" s="88"/>
      <c r="N609" s="88"/>
      <c r="O609" s="90"/>
      <c r="P609" s="90"/>
      <c r="Q609" s="90"/>
    </row>
    <row r="610" spans="1:17" ht="15.75" customHeight="1">
      <c r="A610" s="104"/>
      <c r="B610" s="135" t="s">
        <v>252</v>
      </c>
      <c r="C610" s="107">
        <f>C609</f>
        <v>3</v>
      </c>
      <c r="D610" s="107">
        <v>0.25</v>
      </c>
      <c r="E610" s="106"/>
      <c r="F610" s="107">
        <v>2</v>
      </c>
      <c r="G610" s="106">
        <f>G609</f>
        <v>2</v>
      </c>
      <c r="H610" s="106">
        <f>C610*D610*F610*G610</f>
        <v>3</v>
      </c>
      <c r="I610" s="103" t="s">
        <v>89</v>
      </c>
      <c r="J610" s="117"/>
      <c r="K610" s="151"/>
      <c r="L610" s="88"/>
      <c r="M610" s="88"/>
      <c r="N610" s="88"/>
      <c r="O610" s="90"/>
      <c r="P610" s="90"/>
      <c r="Q610" s="90"/>
    </row>
    <row r="611" spans="1:17" ht="15.75" customHeight="1">
      <c r="A611" s="104"/>
      <c r="B611" s="135" t="s">
        <v>253</v>
      </c>
      <c r="C611" s="107">
        <f>D610</f>
        <v>0.25</v>
      </c>
      <c r="D611" s="107">
        <f>D609</f>
        <v>0.05</v>
      </c>
      <c r="E611" s="106"/>
      <c r="F611" s="107"/>
      <c r="G611" s="106">
        <f>G610</f>
        <v>2</v>
      </c>
      <c r="H611" s="106">
        <f>C611*D611*G611</f>
        <v>2.5000000000000001E-2</v>
      </c>
      <c r="I611" s="103" t="s">
        <v>89</v>
      </c>
      <c r="J611" s="117"/>
      <c r="K611" s="151"/>
      <c r="L611" s="88"/>
      <c r="M611" s="88"/>
      <c r="N611" s="88"/>
      <c r="O611" s="90"/>
      <c r="P611" s="90"/>
      <c r="Q611" s="90"/>
    </row>
    <row r="612" spans="1:17" ht="15.75" customHeight="1">
      <c r="A612" s="104"/>
      <c r="B612" s="135" t="s">
        <v>254</v>
      </c>
      <c r="C612" s="107">
        <f>1.4*2+1*2</f>
        <v>4.8</v>
      </c>
      <c r="D612" s="107">
        <v>0.15</v>
      </c>
      <c r="E612" s="106"/>
      <c r="F612" s="107">
        <v>2</v>
      </c>
      <c r="G612" s="106">
        <v>2</v>
      </c>
      <c r="H612" s="106">
        <f>C612*D612*F612*G612</f>
        <v>2.88</v>
      </c>
      <c r="I612" s="103" t="s">
        <v>89</v>
      </c>
      <c r="J612" s="117"/>
      <c r="K612" s="151"/>
      <c r="L612" s="88"/>
      <c r="M612" s="88"/>
      <c r="N612" s="88"/>
      <c r="O612" s="90"/>
      <c r="P612" s="90"/>
      <c r="Q612" s="90"/>
    </row>
    <row r="613" spans="1:17" ht="15.75" customHeight="1">
      <c r="A613" s="104"/>
      <c r="B613" s="135" t="s">
        <v>255</v>
      </c>
      <c r="C613" s="107">
        <v>1.5</v>
      </c>
      <c r="D613" s="107">
        <v>0.2</v>
      </c>
      <c r="E613" s="106"/>
      <c r="F613" s="107"/>
      <c r="G613" s="106">
        <v>2</v>
      </c>
      <c r="H613" s="171">
        <f>C613*D613*G613</f>
        <v>0.60000000000000009</v>
      </c>
      <c r="I613" s="103" t="s">
        <v>89</v>
      </c>
      <c r="J613" s="117"/>
      <c r="K613" s="151"/>
      <c r="L613" s="88"/>
      <c r="M613" s="88"/>
      <c r="N613" s="88"/>
      <c r="O613" s="90"/>
      <c r="P613" s="90"/>
      <c r="Q613" s="90"/>
    </row>
    <row r="614" spans="1:17" ht="15.75" customHeight="1">
      <c r="A614" s="104"/>
      <c r="B614" s="118"/>
      <c r="C614" s="107"/>
      <c r="D614" s="107"/>
      <c r="E614" s="106"/>
      <c r="F614" s="107"/>
      <c r="G614" s="106"/>
      <c r="H614" s="268">
        <f>SUM(H607:H613)</f>
        <v>16.265000000000004</v>
      </c>
      <c r="I614" s="103" t="s">
        <v>89</v>
      </c>
      <c r="J614" s="117">
        <f>ROUND((H614),2)</f>
        <v>16.27</v>
      </c>
      <c r="K614" s="151"/>
      <c r="L614" s="88"/>
      <c r="M614" s="88"/>
      <c r="N614" s="88"/>
      <c r="O614" s="90"/>
      <c r="P614" s="90"/>
      <c r="Q614" s="90"/>
    </row>
    <row r="615" spans="1:17" ht="15.75" customHeight="1">
      <c r="A615" s="104"/>
      <c r="B615" s="101"/>
      <c r="C615" s="107"/>
      <c r="D615" s="133" t="s">
        <v>256</v>
      </c>
      <c r="E615" s="133" t="s">
        <v>133</v>
      </c>
      <c r="F615" s="107"/>
      <c r="G615" s="107"/>
      <c r="H615" s="107"/>
      <c r="I615" s="101"/>
      <c r="J615" s="117"/>
      <c r="K615" s="151"/>
      <c r="L615" s="88"/>
      <c r="M615" s="88"/>
      <c r="N615" s="88"/>
      <c r="O615" s="90"/>
      <c r="P615" s="90"/>
      <c r="Q615" s="90"/>
    </row>
    <row r="616" spans="1:17" ht="15.75" customHeight="1">
      <c r="A616" s="104"/>
      <c r="B616" s="269" t="s">
        <v>257</v>
      </c>
      <c r="C616" s="107">
        <f>C607+0.05*2</f>
        <v>1.1000000000000001</v>
      </c>
      <c r="D616" s="107">
        <f>(0.3/0.15)+1</f>
        <v>3</v>
      </c>
      <c r="E616" s="165">
        <v>0.4</v>
      </c>
      <c r="F616" s="107">
        <v>11</v>
      </c>
      <c r="G616" s="107">
        <v>2</v>
      </c>
      <c r="H616" s="107">
        <f>C616*D616*E616*F616*G616</f>
        <v>29.040000000000006</v>
      </c>
      <c r="I616" s="101" t="s">
        <v>100</v>
      </c>
      <c r="J616" s="117"/>
      <c r="K616" s="151"/>
      <c r="L616" s="88"/>
      <c r="M616" s="88"/>
      <c r="N616" s="88"/>
      <c r="O616" s="90"/>
      <c r="P616" s="90"/>
      <c r="Q616" s="90"/>
    </row>
    <row r="617" spans="1:17" ht="15.75" customHeight="1">
      <c r="A617" s="104"/>
      <c r="B617" s="269" t="s">
        <v>258</v>
      </c>
      <c r="C617" s="107">
        <f>D607-0.05</f>
        <v>0.25</v>
      </c>
      <c r="D617" s="107">
        <f>(1/0.1)+1</f>
        <v>11</v>
      </c>
      <c r="E617" s="165">
        <v>0.4</v>
      </c>
      <c r="F617" s="107">
        <f>(1/0.1)+1</f>
        <v>11</v>
      </c>
      <c r="G617" s="107">
        <v>2</v>
      </c>
      <c r="H617" s="107">
        <f>C617*D617*E617*F617*G617</f>
        <v>24.200000000000003</v>
      </c>
      <c r="I617" s="101" t="s">
        <v>100</v>
      </c>
      <c r="J617" s="117"/>
      <c r="K617" s="151"/>
      <c r="L617" s="88"/>
      <c r="M617" s="88"/>
      <c r="N617" s="88"/>
      <c r="O617" s="90"/>
      <c r="P617" s="90"/>
      <c r="Q617" s="90"/>
    </row>
    <row r="618" spans="1:17" ht="15.75" customHeight="1">
      <c r="A618" s="104"/>
      <c r="B618" s="269" t="s">
        <v>259</v>
      </c>
      <c r="C618" s="270">
        <f>C610</f>
        <v>3</v>
      </c>
      <c r="D618" s="271">
        <f>(D610/0.125)+1</f>
        <v>3</v>
      </c>
      <c r="E618" s="165">
        <v>0.4</v>
      </c>
      <c r="F618" s="272">
        <v>2</v>
      </c>
      <c r="G618" s="273">
        <v>2</v>
      </c>
      <c r="H618" s="107">
        <f>C618*D618*E618*F618*G618</f>
        <v>14.4</v>
      </c>
      <c r="I618" s="101" t="s">
        <v>100</v>
      </c>
      <c r="J618" s="117"/>
      <c r="K618" s="151"/>
      <c r="L618" s="88"/>
      <c r="M618" s="88"/>
      <c r="N618" s="88"/>
      <c r="O618" s="90"/>
      <c r="P618" s="90"/>
      <c r="Q618" s="90"/>
    </row>
    <row r="619" spans="1:17" ht="15.75" customHeight="1">
      <c r="A619" s="104"/>
      <c r="B619" s="269" t="s">
        <v>260</v>
      </c>
      <c r="C619" s="272">
        <f>D610-0.05</f>
        <v>0.2</v>
      </c>
      <c r="D619" s="274">
        <f>(C618/0.15)+1</f>
        <v>21</v>
      </c>
      <c r="E619" s="165">
        <v>0.4</v>
      </c>
      <c r="F619" s="272">
        <v>2</v>
      </c>
      <c r="G619" s="107">
        <v>2</v>
      </c>
      <c r="H619" s="107">
        <f>C619*D619*E619*F619*G619</f>
        <v>6.7200000000000006</v>
      </c>
      <c r="I619" s="101" t="s">
        <v>100</v>
      </c>
      <c r="J619" s="117"/>
      <c r="K619" s="151"/>
      <c r="L619" s="88"/>
      <c r="M619" s="88"/>
      <c r="N619" s="88"/>
      <c r="O619" s="90"/>
      <c r="P619" s="90"/>
      <c r="Q619" s="90"/>
    </row>
    <row r="620" spans="1:17" ht="15.75" customHeight="1">
      <c r="A620" s="104"/>
      <c r="B620" s="269" t="s">
        <v>261</v>
      </c>
      <c r="C620" s="272">
        <f>(1.2*2)+(0.8*2)+0.05</f>
        <v>4.05</v>
      </c>
      <c r="D620" s="274"/>
      <c r="E620" s="165">
        <v>0.4</v>
      </c>
      <c r="F620" s="272">
        <f>(7+5)</f>
        <v>12</v>
      </c>
      <c r="G620" s="107">
        <v>2</v>
      </c>
      <c r="H620" s="107">
        <f>C620*E620*F620*G620</f>
        <v>38.880000000000003</v>
      </c>
      <c r="I620" s="101" t="s">
        <v>100</v>
      </c>
      <c r="J620" s="117"/>
      <c r="K620" s="151"/>
      <c r="L620" s="88"/>
      <c r="M620" s="88"/>
      <c r="N620" s="88"/>
      <c r="O620" s="90"/>
      <c r="P620" s="90"/>
      <c r="Q620" s="90"/>
    </row>
    <row r="621" spans="1:17" ht="15.75" customHeight="1">
      <c r="A621" s="104"/>
      <c r="B621" s="269" t="s">
        <v>262</v>
      </c>
      <c r="C621" s="107">
        <f>C613</f>
        <v>1.5</v>
      </c>
      <c r="D621" s="107"/>
      <c r="E621" s="165">
        <v>0.4</v>
      </c>
      <c r="F621" s="107">
        <v>4</v>
      </c>
      <c r="G621" s="107">
        <v>2</v>
      </c>
      <c r="H621" s="107">
        <f>C621*E621*F621*G621</f>
        <v>4.8000000000000007</v>
      </c>
      <c r="I621" s="101" t="s">
        <v>100</v>
      </c>
      <c r="J621" s="117"/>
      <c r="K621" s="151"/>
      <c r="L621" s="88"/>
      <c r="M621" s="88"/>
      <c r="N621" s="88"/>
      <c r="O621" s="90"/>
      <c r="P621" s="90"/>
      <c r="Q621" s="90"/>
    </row>
    <row r="622" spans="1:17" ht="15.75" customHeight="1">
      <c r="A622" s="104"/>
      <c r="B622" s="269"/>
      <c r="C622" s="107"/>
      <c r="D622" s="107"/>
      <c r="E622" s="123"/>
      <c r="F622" s="107"/>
      <c r="G622" s="107"/>
      <c r="H622" s="275">
        <f>SUM(H617:H621)</f>
        <v>89</v>
      </c>
      <c r="I622" s="101"/>
      <c r="J622" s="117">
        <f>ROUND((H622),2)</f>
        <v>89</v>
      </c>
      <c r="K622" s="151"/>
      <c r="L622" s="88"/>
      <c r="M622" s="88"/>
      <c r="N622" s="88"/>
      <c r="O622" s="90"/>
      <c r="P622" s="90"/>
      <c r="Q622" s="90"/>
    </row>
    <row r="623" spans="1:17" ht="15.75" customHeight="1">
      <c r="A623" s="104"/>
      <c r="B623" s="269"/>
      <c r="C623" s="107"/>
      <c r="D623" s="107"/>
      <c r="E623" s="123"/>
      <c r="F623" s="107"/>
      <c r="G623" s="107"/>
      <c r="H623" s="150"/>
      <c r="I623" s="101"/>
      <c r="J623" s="117"/>
      <c r="K623" s="151"/>
      <c r="L623" s="88"/>
      <c r="M623" s="88"/>
      <c r="N623" s="88"/>
      <c r="O623" s="90"/>
      <c r="P623" s="90"/>
      <c r="Q623" s="90"/>
    </row>
    <row r="624" spans="1:17" ht="15.75" customHeight="1">
      <c r="A624" s="104"/>
      <c r="B624" s="269" t="s">
        <v>263</v>
      </c>
      <c r="C624" s="107">
        <f>(0.12+0.075)*2+0.05</f>
        <v>0.44</v>
      </c>
      <c r="D624" s="107"/>
      <c r="E624" s="123">
        <v>0.22</v>
      </c>
      <c r="F624" s="107">
        <f>(C613/0.15)+1</f>
        <v>11</v>
      </c>
      <c r="G624" s="107">
        <v>2</v>
      </c>
      <c r="H624" s="150">
        <f>C624*E624*F624*G624</f>
        <v>2.1295999999999999</v>
      </c>
      <c r="I624" s="101" t="s">
        <v>100</v>
      </c>
      <c r="J624" s="117"/>
      <c r="K624" s="151"/>
      <c r="L624" s="88"/>
      <c r="M624" s="88"/>
      <c r="N624" s="88"/>
      <c r="O624" s="90"/>
      <c r="P624" s="90"/>
      <c r="Q624" s="90"/>
    </row>
    <row r="625" spans="1:17" ht="15.75" customHeight="1">
      <c r="A625" s="252"/>
      <c r="B625" s="118"/>
      <c r="C625" s="247"/>
      <c r="D625" s="248"/>
      <c r="E625" s="248"/>
      <c r="F625" s="247"/>
      <c r="G625" s="249"/>
      <c r="H625" s="275">
        <f>H624</f>
        <v>2.1295999999999999</v>
      </c>
      <c r="I625" s="101" t="s">
        <v>100</v>
      </c>
      <c r="J625" s="117">
        <f>ROUND((H625),2)</f>
        <v>2.13</v>
      </c>
      <c r="K625" s="151"/>
      <c r="L625" s="88"/>
      <c r="M625" s="88"/>
      <c r="N625" s="88"/>
      <c r="O625" s="90"/>
      <c r="P625" s="90"/>
      <c r="Q625" s="90"/>
    </row>
    <row r="626" spans="1:17" ht="15.75" customHeight="1">
      <c r="A626" s="252"/>
      <c r="B626" s="118" t="s">
        <v>264</v>
      </c>
      <c r="C626" s="247"/>
      <c r="D626" s="248"/>
      <c r="E626" s="248"/>
      <c r="F626" s="247"/>
      <c r="G626" s="249"/>
      <c r="H626" s="264"/>
      <c r="I626" s="265"/>
      <c r="J626" s="266"/>
      <c r="K626" s="151"/>
      <c r="L626" s="88"/>
      <c r="M626" s="88"/>
      <c r="N626" s="88"/>
      <c r="O626" s="90"/>
      <c r="P626" s="90"/>
      <c r="Q626" s="90"/>
    </row>
    <row r="627" spans="1:17" ht="15.75" customHeight="1">
      <c r="A627" s="252"/>
      <c r="B627" s="135" t="s">
        <v>265</v>
      </c>
      <c r="C627" s="107">
        <v>1</v>
      </c>
      <c r="D627" s="107">
        <v>0.3</v>
      </c>
      <c r="E627" s="106">
        <v>0.05</v>
      </c>
      <c r="F627" s="107">
        <v>11</v>
      </c>
      <c r="G627" s="106">
        <v>2</v>
      </c>
      <c r="H627" s="106">
        <f>C627*D627*E627*F627*G627</f>
        <v>0.32999999999999996</v>
      </c>
      <c r="I627" s="103" t="s">
        <v>266</v>
      </c>
      <c r="J627" s="117"/>
      <c r="K627" s="151"/>
      <c r="L627" s="88"/>
      <c r="M627" s="88"/>
      <c r="N627" s="88"/>
      <c r="O627" s="90"/>
      <c r="P627" s="90"/>
      <c r="Q627" s="90"/>
    </row>
    <row r="628" spans="1:17" ht="15.75" customHeight="1">
      <c r="A628" s="252"/>
      <c r="B628" s="135" t="s">
        <v>267</v>
      </c>
      <c r="C628" s="107">
        <f>3</f>
        <v>3</v>
      </c>
      <c r="D628" s="107">
        <v>0.25</v>
      </c>
      <c r="E628" s="106">
        <v>0.05</v>
      </c>
      <c r="F628" s="107">
        <v>2</v>
      </c>
      <c r="G628" s="106">
        <f>G627</f>
        <v>2</v>
      </c>
      <c r="H628" s="106">
        <f>C628*D628*E628*F628*G628</f>
        <v>0.15000000000000002</v>
      </c>
      <c r="I628" s="103" t="s">
        <v>266</v>
      </c>
      <c r="J628" s="117"/>
      <c r="K628" s="151"/>
      <c r="L628" s="88"/>
      <c r="M628" s="88"/>
      <c r="N628" s="88"/>
      <c r="O628" s="90"/>
      <c r="P628" s="90"/>
      <c r="Q628" s="90"/>
    </row>
    <row r="629" spans="1:17" ht="15.75" customHeight="1">
      <c r="A629" s="252"/>
      <c r="B629" s="135" t="s">
        <v>268</v>
      </c>
      <c r="C629" s="107">
        <f>1.4</f>
        <v>1.4</v>
      </c>
      <c r="D629" s="107">
        <v>1</v>
      </c>
      <c r="E629" s="106">
        <v>0.15</v>
      </c>
      <c r="F629" s="107">
        <v>2</v>
      </c>
      <c r="G629" s="106">
        <v>2</v>
      </c>
      <c r="H629" s="106">
        <f>C629*D629*E629*F629*G629</f>
        <v>0.84</v>
      </c>
      <c r="I629" s="103" t="s">
        <v>266</v>
      </c>
      <c r="J629" s="117"/>
      <c r="K629" s="151"/>
      <c r="L629" s="88"/>
      <c r="M629" s="88"/>
      <c r="N629" s="88"/>
      <c r="O629" s="90"/>
      <c r="P629" s="90"/>
      <c r="Q629" s="90"/>
    </row>
    <row r="630" spans="1:17" ht="15.75" customHeight="1">
      <c r="A630" s="252"/>
      <c r="B630" s="135" t="s">
        <v>255</v>
      </c>
      <c r="C630" s="107">
        <v>1.5</v>
      </c>
      <c r="D630" s="107">
        <v>0.2</v>
      </c>
      <c r="E630" s="106">
        <v>0.1</v>
      </c>
      <c r="F630" s="107">
        <v>1</v>
      </c>
      <c r="G630" s="106">
        <v>2</v>
      </c>
      <c r="H630" s="106">
        <f>C630*D630*E630*F630*G630</f>
        <v>6.0000000000000012E-2</v>
      </c>
      <c r="I630" s="103" t="s">
        <v>266</v>
      </c>
      <c r="J630" s="117"/>
      <c r="K630" s="151"/>
      <c r="L630" s="88"/>
      <c r="M630" s="88"/>
      <c r="N630" s="88"/>
      <c r="O630" s="90"/>
      <c r="P630" s="90"/>
      <c r="Q630" s="90"/>
    </row>
    <row r="631" spans="1:17" ht="15.75" customHeight="1">
      <c r="A631" s="252"/>
      <c r="B631" s="118"/>
      <c r="C631" s="107"/>
      <c r="D631" s="107"/>
      <c r="E631" s="106"/>
      <c r="F631" s="107"/>
      <c r="G631" s="106"/>
      <c r="H631" s="268">
        <f>SUM(H627:H630)</f>
        <v>1.38</v>
      </c>
      <c r="I631" s="103" t="s">
        <v>266</v>
      </c>
      <c r="J631" s="117">
        <f>ROUND((H631),2)</f>
        <v>1.38</v>
      </c>
      <c r="K631" s="151"/>
      <c r="L631" s="88"/>
      <c r="M631" s="88"/>
      <c r="N631" s="88"/>
      <c r="O631" s="90"/>
      <c r="P631" s="90"/>
      <c r="Q631" s="90"/>
    </row>
    <row r="632" spans="1:17" ht="15.75" customHeight="1">
      <c r="A632" s="252"/>
      <c r="B632" s="118"/>
      <c r="C632" s="247"/>
      <c r="D632" s="248"/>
      <c r="E632" s="248"/>
      <c r="F632" s="247"/>
      <c r="G632" s="249"/>
      <c r="H632" s="264"/>
      <c r="I632" s="265"/>
      <c r="J632" s="266"/>
      <c r="K632" s="151"/>
      <c r="L632" s="88"/>
      <c r="M632" s="88"/>
      <c r="N632" s="88"/>
      <c r="O632" s="90"/>
      <c r="P632" s="90"/>
      <c r="Q632" s="90"/>
    </row>
    <row r="633" spans="1:17" ht="15.75" customHeight="1">
      <c r="A633" s="252"/>
      <c r="B633" s="118"/>
      <c r="C633" s="247"/>
      <c r="D633" s="248"/>
      <c r="E633" s="248"/>
      <c r="F633" s="247"/>
      <c r="G633" s="249"/>
      <c r="H633" s="264"/>
      <c r="I633" s="265"/>
      <c r="J633" s="266"/>
      <c r="K633" s="151"/>
      <c r="L633" s="88"/>
      <c r="M633" s="88"/>
      <c r="N633" s="88"/>
      <c r="O633" s="90"/>
      <c r="P633" s="90"/>
      <c r="Q633" s="90"/>
    </row>
    <row r="634" spans="1:17" ht="15.75" customHeight="1">
      <c r="A634" s="252"/>
      <c r="B634" s="118"/>
      <c r="C634" s="247"/>
      <c r="D634" s="248"/>
      <c r="E634" s="248"/>
      <c r="F634" s="247"/>
      <c r="G634" s="249"/>
      <c r="H634" s="264"/>
      <c r="I634" s="265"/>
      <c r="J634" s="266"/>
      <c r="K634" s="151"/>
      <c r="L634" s="88"/>
      <c r="M634" s="88"/>
      <c r="N634" s="88"/>
      <c r="O634" s="90"/>
      <c r="P634" s="90"/>
      <c r="Q634" s="90"/>
    </row>
    <row r="635" spans="1:17" ht="15.75" customHeight="1">
      <c r="A635" s="252"/>
      <c r="B635" s="118"/>
      <c r="C635" s="247"/>
      <c r="D635" s="248"/>
      <c r="E635" s="248"/>
      <c r="F635" s="247"/>
      <c r="G635" s="249"/>
      <c r="H635" s="264"/>
      <c r="I635" s="265"/>
      <c r="J635" s="266"/>
      <c r="K635" s="151"/>
      <c r="L635" s="88"/>
      <c r="M635" s="88"/>
      <c r="N635" s="88"/>
      <c r="O635" s="90"/>
      <c r="P635" s="90"/>
      <c r="Q635" s="90"/>
    </row>
    <row r="636" spans="1:17" ht="15.75" customHeight="1">
      <c r="A636" s="252"/>
      <c r="B636" s="118"/>
      <c r="C636" s="247"/>
      <c r="D636" s="248"/>
      <c r="E636" s="248"/>
      <c r="F636" s="247"/>
      <c r="G636" s="249"/>
      <c r="H636" s="264"/>
      <c r="I636" s="265"/>
      <c r="J636" s="266"/>
      <c r="K636" s="151"/>
      <c r="L636" s="88"/>
      <c r="M636" s="88"/>
      <c r="N636" s="88"/>
      <c r="O636" s="90"/>
      <c r="P636" s="90"/>
      <c r="Q636" s="90"/>
    </row>
    <row r="637" spans="1:17" ht="15.75" customHeight="1">
      <c r="A637" s="252"/>
      <c r="B637" s="118"/>
      <c r="C637" s="247"/>
      <c r="D637" s="248"/>
      <c r="E637" s="248"/>
      <c r="F637" s="247"/>
      <c r="G637" s="249"/>
      <c r="H637" s="264"/>
      <c r="I637" s="265"/>
      <c r="J637" s="266"/>
      <c r="K637" s="151"/>
      <c r="L637" s="88"/>
      <c r="M637" s="88"/>
      <c r="N637" s="88"/>
      <c r="O637" s="90"/>
      <c r="P637" s="90"/>
      <c r="Q637" s="90"/>
    </row>
    <row r="638" spans="1:17" ht="15.75" customHeight="1">
      <c r="A638" s="120" t="s">
        <v>98</v>
      </c>
      <c r="B638" s="118" t="s">
        <v>193</v>
      </c>
      <c r="C638" s="107"/>
      <c r="D638" s="107"/>
      <c r="E638" s="107"/>
      <c r="F638" s="107"/>
      <c r="G638" s="106"/>
      <c r="H638" s="106"/>
      <c r="I638" s="103"/>
      <c r="J638" s="117">
        <f>ROUND((H638),2)</f>
        <v>0</v>
      </c>
      <c r="K638" s="151"/>
      <c r="L638" s="88"/>
      <c r="M638" s="88"/>
      <c r="N638" s="88"/>
      <c r="O638" s="90"/>
      <c r="P638" s="90"/>
      <c r="Q638" s="90"/>
    </row>
    <row r="639" spans="1:17" ht="15.75" customHeight="1">
      <c r="A639" s="104"/>
      <c r="B639" s="118" t="s">
        <v>269</v>
      </c>
      <c r="C639" s="107"/>
      <c r="D639" s="107"/>
      <c r="E639" s="107"/>
      <c r="F639" s="107"/>
      <c r="G639" s="106"/>
      <c r="H639" s="106"/>
      <c r="I639" s="103"/>
      <c r="J639" s="117">
        <f>ROUND((H639),2)</f>
        <v>0</v>
      </c>
      <c r="K639" s="151"/>
      <c r="L639" s="88"/>
      <c r="M639" s="88"/>
      <c r="N639" s="88"/>
      <c r="O639" s="90"/>
      <c r="P639" s="90"/>
      <c r="Q639" s="90"/>
    </row>
    <row r="640" spans="1:17" ht="15.75" customHeight="1">
      <c r="A640" s="104"/>
      <c r="B640" s="135" t="s">
        <v>241</v>
      </c>
      <c r="C640" s="107"/>
      <c r="D640" s="107">
        <v>0.3</v>
      </c>
      <c r="E640" s="107">
        <v>0.3</v>
      </c>
      <c r="F640" s="107">
        <v>2</v>
      </c>
      <c r="G640" s="106"/>
      <c r="H640" s="106">
        <f t="shared" ref="H640:H645" si="91">D640*E640*F640</f>
        <v>0.18</v>
      </c>
      <c r="I640" s="103"/>
      <c r="J640" s="117"/>
      <c r="K640" s="151"/>
      <c r="L640" s="88"/>
      <c r="M640" s="88"/>
      <c r="N640" s="88"/>
      <c r="O640" s="90"/>
      <c r="P640" s="90"/>
      <c r="Q640" s="90"/>
    </row>
    <row r="641" spans="1:17" ht="15.75" customHeight="1">
      <c r="A641" s="104"/>
      <c r="B641" s="118"/>
      <c r="C641" s="107"/>
      <c r="D641" s="107">
        <v>0.3</v>
      </c>
      <c r="E641" s="107">
        <v>0.6</v>
      </c>
      <c r="F641" s="107">
        <v>2</v>
      </c>
      <c r="G641" s="106"/>
      <c r="H641" s="106">
        <f t="shared" si="91"/>
        <v>0.36</v>
      </c>
      <c r="I641" s="103"/>
      <c r="J641" s="117"/>
      <c r="K641" s="151"/>
      <c r="L641" s="88"/>
      <c r="M641" s="88"/>
      <c r="N641" s="88"/>
      <c r="O641" s="90"/>
      <c r="P641" s="90"/>
      <c r="Q641" s="90"/>
    </row>
    <row r="642" spans="1:17" ht="15.75" customHeight="1">
      <c r="A642" s="104"/>
      <c r="B642" s="118"/>
      <c r="C642" s="107"/>
      <c r="D642" s="107">
        <v>0.3</v>
      </c>
      <c r="E642" s="107">
        <v>0.9</v>
      </c>
      <c r="F642" s="107">
        <v>2</v>
      </c>
      <c r="G642" s="106"/>
      <c r="H642" s="106">
        <f t="shared" si="91"/>
        <v>0.54</v>
      </c>
      <c r="I642" s="103"/>
      <c r="J642" s="117"/>
      <c r="K642" s="151"/>
      <c r="L642" s="88"/>
      <c r="M642" s="88"/>
      <c r="N642" s="88"/>
      <c r="O642" s="90"/>
      <c r="P642" s="90"/>
      <c r="Q642" s="90"/>
    </row>
    <row r="643" spans="1:17" ht="15.75" customHeight="1">
      <c r="A643" s="104"/>
      <c r="B643" s="118"/>
      <c r="C643" s="107"/>
      <c r="D643" s="107">
        <v>0.3</v>
      </c>
      <c r="E643" s="107">
        <v>1.2</v>
      </c>
      <c r="F643" s="107">
        <v>2</v>
      </c>
      <c r="G643" s="106"/>
      <c r="H643" s="106">
        <f t="shared" si="91"/>
        <v>0.72</v>
      </c>
      <c r="I643" s="103"/>
      <c r="J643" s="117"/>
      <c r="K643" s="151"/>
      <c r="L643" s="88"/>
      <c r="M643" s="88"/>
      <c r="N643" s="88"/>
      <c r="O643" s="90"/>
      <c r="P643" s="90"/>
      <c r="Q643" s="90"/>
    </row>
    <row r="644" spans="1:17" ht="15.75" customHeight="1">
      <c r="A644" s="104"/>
      <c r="B644" s="118"/>
      <c r="C644" s="107"/>
      <c r="D644" s="107">
        <v>0.3</v>
      </c>
      <c r="E644" s="107">
        <v>1.5</v>
      </c>
      <c r="F644" s="107">
        <v>2</v>
      </c>
      <c r="G644" s="106"/>
      <c r="H644" s="106">
        <f t="shared" si="91"/>
        <v>0.89999999999999991</v>
      </c>
      <c r="I644" s="103"/>
      <c r="J644" s="117"/>
      <c r="K644" s="151"/>
      <c r="L644" s="88"/>
      <c r="M644" s="88"/>
      <c r="N644" s="88"/>
      <c r="O644" s="90"/>
      <c r="P644" s="90"/>
      <c r="Q644" s="90"/>
    </row>
    <row r="645" spans="1:17" ht="15.75" customHeight="1">
      <c r="A645" s="104"/>
      <c r="B645" s="118"/>
      <c r="C645" s="107"/>
      <c r="D645" s="107">
        <v>0.3</v>
      </c>
      <c r="E645" s="107">
        <v>1.8</v>
      </c>
      <c r="F645" s="107">
        <v>2</v>
      </c>
      <c r="G645" s="106"/>
      <c r="H645" s="106">
        <f t="shared" si="91"/>
        <v>1.08</v>
      </c>
      <c r="I645" s="103"/>
      <c r="J645" s="117"/>
      <c r="K645" s="151"/>
      <c r="L645" s="88"/>
      <c r="M645" s="88"/>
      <c r="N645" s="88"/>
      <c r="O645" s="90"/>
      <c r="P645" s="90"/>
      <c r="Q645" s="90"/>
    </row>
    <row r="646" spans="1:17" ht="15.75" customHeight="1">
      <c r="A646" s="104"/>
      <c r="B646" s="135" t="s">
        <v>270</v>
      </c>
      <c r="C646" s="107">
        <v>1</v>
      </c>
      <c r="D646" s="107">
        <v>0.3</v>
      </c>
      <c r="E646" s="107">
        <v>0.3</v>
      </c>
      <c r="F646" s="107">
        <v>6</v>
      </c>
      <c r="G646" s="106"/>
      <c r="H646" s="106">
        <f>C646*(D646+E646)*F646</f>
        <v>3.5999999999999996</v>
      </c>
      <c r="I646" s="103"/>
      <c r="J646" s="117"/>
      <c r="K646" s="151"/>
      <c r="L646" s="88"/>
      <c r="M646" s="88"/>
      <c r="N646" s="88"/>
      <c r="O646" s="90"/>
      <c r="P646" s="90"/>
      <c r="Q646" s="90"/>
    </row>
    <row r="647" spans="1:17" ht="15.75" customHeight="1">
      <c r="A647" s="104"/>
      <c r="B647" s="118" t="s">
        <v>244</v>
      </c>
      <c r="C647" s="107"/>
      <c r="D647" s="107"/>
      <c r="E647" s="107"/>
      <c r="F647" s="107"/>
      <c r="G647" s="106"/>
      <c r="H647" s="106"/>
      <c r="I647" s="103"/>
      <c r="J647" s="117"/>
      <c r="K647" s="151"/>
      <c r="L647" s="88"/>
      <c r="M647" s="88"/>
      <c r="N647" s="88"/>
      <c r="O647" s="90"/>
      <c r="P647" s="90"/>
      <c r="Q647" s="90"/>
    </row>
    <row r="648" spans="1:17" ht="15.75" customHeight="1">
      <c r="A648" s="104"/>
      <c r="B648" s="135" t="s">
        <v>241</v>
      </c>
      <c r="C648" s="107"/>
      <c r="D648" s="107">
        <v>0.3</v>
      </c>
      <c r="E648" s="107">
        <v>0.3</v>
      </c>
      <c r="F648" s="107">
        <v>2</v>
      </c>
      <c r="G648" s="106"/>
      <c r="H648" s="106">
        <f>D648*E648*F648</f>
        <v>0.18</v>
      </c>
      <c r="I648" s="103"/>
      <c r="J648" s="117"/>
      <c r="K648" s="151"/>
      <c r="L648" s="88"/>
      <c r="M648" s="88"/>
      <c r="N648" s="88"/>
      <c r="O648" s="90"/>
      <c r="P648" s="90"/>
      <c r="Q648" s="90"/>
    </row>
    <row r="649" spans="1:17" ht="15.75" customHeight="1">
      <c r="A649" s="104"/>
      <c r="B649" s="118"/>
      <c r="C649" s="107"/>
      <c r="D649" s="107">
        <v>0.3</v>
      </c>
      <c r="E649" s="107">
        <v>0.6</v>
      </c>
      <c r="F649" s="107">
        <v>2</v>
      </c>
      <c r="G649" s="106"/>
      <c r="H649" s="106">
        <f>D649*E649*F649</f>
        <v>0.36</v>
      </c>
      <c r="I649" s="103"/>
      <c r="J649" s="117"/>
      <c r="K649" s="151"/>
      <c r="L649" s="88"/>
      <c r="M649" s="88"/>
      <c r="N649" s="88"/>
      <c r="O649" s="90"/>
      <c r="P649" s="90"/>
      <c r="Q649" s="90"/>
    </row>
    <row r="650" spans="1:17" ht="15.75" customHeight="1">
      <c r="A650" s="104"/>
      <c r="B650" s="118"/>
      <c r="C650" s="107"/>
      <c r="D650" s="107">
        <v>0.3</v>
      </c>
      <c r="E650" s="107">
        <v>0.9</v>
      </c>
      <c r="F650" s="107">
        <v>2</v>
      </c>
      <c r="G650" s="106"/>
      <c r="H650" s="106">
        <f>D650*E650*F650</f>
        <v>0.54</v>
      </c>
      <c r="I650" s="103"/>
      <c r="J650" s="117"/>
      <c r="K650" s="151"/>
      <c r="L650" s="88"/>
      <c r="M650" s="88"/>
      <c r="N650" s="88"/>
      <c r="O650" s="90"/>
      <c r="P650" s="90"/>
      <c r="Q650" s="90"/>
    </row>
    <row r="651" spans="1:17" ht="15.75" customHeight="1">
      <c r="A651" s="104"/>
      <c r="B651" s="118"/>
      <c r="C651" s="107"/>
      <c r="D651" s="107">
        <v>0.3</v>
      </c>
      <c r="E651" s="107">
        <v>1.2</v>
      </c>
      <c r="F651" s="107">
        <v>2</v>
      </c>
      <c r="G651" s="106"/>
      <c r="H651" s="106">
        <f>D651*E651*F651</f>
        <v>0.72</v>
      </c>
      <c r="I651" s="103"/>
      <c r="J651" s="117"/>
      <c r="K651" s="151"/>
      <c r="L651" s="88"/>
      <c r="M651" s="88"/>
      <c r="N651" s="88"/>
      <c r="O651" s="90"/>
      <c r="P651" s="90"/>
      <c r="Q651" s="90"/>
    </row>
    <row r="652" spans="1:17" ht="15.75" customHeight="1">
      <c r="A652" s="104"/>
      <c r="B652" s="135" t="s">
        <v>270</v>
      </c>
      <c r="C652" s="107">
        <v>1.5</v>
      </c>
      <c r="D652" s="107">
        <v>0.3</v>
      </c>
      <c r="E652" s="107">
        <v>0.3</v>
      </c>
      <c r="F652" s="107">
        <v>4</v>
      </c>
      <c r="G652" s="106"/>
      <c r="H652" s="147">
        <f>C652*(D652+E652)*F652</f>
        <v>3.5999999999999996</v>
      </c>
      <c r="I652" s="103"/>
      <c r="J652" s="117"/>
      <c r="K652" s="151"/>
      <c r="L652" s="88"/>
      <c r="M652" s="88"/>
      <c r="N652" s="88"/>
      <c r="O652" s="90"/>
      <c r="P652" s="90"/>
      <c r="Q652" s="90"/>
    </row>
    <row r="653" spans="1:17" ht="15.75" customHeight="1">
      <c r="A653" s="104"/>
      <c r="B653" s="118"/>
      <c r="C653" s="107"/>
      <c r="D653" s="107"/>
      <c r="E653" s="107"/>
      <c r="F653" s="107"/>
      <c r="G653" s="106"/>
      <c r="H653" s="115">
        <f>SUM(H640:H652)</f>
        <v>12.780000000000001</v>
      </c>
      <c r="I653" s="116" t="s">
        <v>89</v>
      </c>
      <c r="J653" s="117">
        <f t="shared" ref="J653:J660" si="92">ROUND((H653),2)</f>
        <v>12.78</v>
      </c>
      <c r="K653" s="151"/>
      <c r="M653" s="88"/>
      <c r="N653" s="88"/>
      <c r="O653" s="90"/>
      <c r="P653" s="90"/>
      <c r="Q653" s="90"/>
    </row>
    <row r="654" spans="1:17" ht="15.75" customHeight="1">
      <c r="A654" s="104">
        <f>A556+1</f>
        <v>16</v>
      </c>
      <c r="B654" s="118" t="s">
        <v>271</v>
      </c>
      <c r="C654" s="107"/>
      <c r="D654" s="107"/>
      <c r="E654" s="107"/>
      <c r="F654" s="107"/>
      <c r="G654" s="106"/>
      <c r="H654" s="106"/>
      <c r="I654" s="103"/>
      <c r="J654" s="117">
        <f t="shared" si="92"/>
        <v>0</v>
      </c>
      <c r="K654" s="151"/>
      <c r="M654" s="88"/>
      <c r="N654" s="88"/>
      <c r="O654" s="90"/>
      <c r="P654" s="90"/>
      <c r="Q654" s="90"/>
    </row>
    <row r="655" spans="1:17" ht="15.75" customHeight="1">
      <c r="A655" s="120" t="s">
        <v>95</v>
      </c>
      <c r="B655" s="118" t="s">
        <v>272</v>
      </c>
      <c r="C655" s="107">
        <v>16.600000000000001</v>
      </c>
      <c r="D655" s="107">
        <v>3.25</v>
      </c>
      <c r="E655" s="107">
        <v>0.9</v>
      </c>
      <c r="F655" s="107"/>
      <c r="G655" s="106"/>
      <c r="H655" s="106">
        <f>C655*D655*E655</f>
        <v>48.555000000000007</v>
      </c>
      <c r="I655" s="103" t="s">
        <v>103</v>
      </c>
      <c r="J655" s="117">
        <f t="shared" si="92"/>
        <v>48.56</v>
      </c>
      <c r="K655" s="151"/>
      <c r="M655" s="88"/>
      <c r="N655" s="88"/>
      <c r="O655" s="90"/>
      <c r="P655" s="90"/>
      <c r="Q655" s="90"/>
    </row>
    <row r="656" spans="1:17" ht="15.75" customHeight="1">
      <c r="A656" s="120" t="s">
        <v>98</v>
      </c>
      <c r="B656" s="118" t="s">
        <v>273</v>
      </c>
      <c r="C656" s="107">
        <v>20.399999999999999</v>
      </c>
      <c r="D656" s="107">
        <v>3.25</v>
      </c>
      <c r="E656" s="107">
        <v>0.9</v>
      </c>
      <c r="F656" s="107"/>
      <c r="G656" s="106"/>
      <c r="H656" s="106">
        <f>C656*D656*E656</f>
        <v>59.67</v>
      </c>
      <c r="I656" s="103" t="s">
        <v>103</v>
      </c>
      <c r="J656" s="117">
        <f t="shared" si="92"/>
        <v>59.67</v>
      </c>
      <c r="K656" s="151"/>
      <c r="M656" s="88"/>
      <c r="N656" s="88"/>
      <c r="O656" s="90"/>
      <c r="P656" s="90"/>
      <c r="Q656" s="90"/>
    </row>
    <row r="657" spans="1:17" ht="15.75" customHeight="1">
      <c r="A657" s="104">
        <f>A654+1</f>
        <v>17</v>
      </c>
      <c r="B657" s="118" t="s">
        <v>274</v>
      </c>
      <c r="C657" s="107"/>
      <c r="D657" s="107"/>
      <c r="E657" s="107"/>
      <c r="F657" s="107"/>
      <c r="G657" s="106"/>
      <c r="H657" s="106"/>
      <c r="I657" s="103"/>
      <c r="J657" s="117">
        <f t="shared" si="92"/>
        <v>0</v>
      </c>
      <c r="K657" s="151"/>
      <c r="M657" s="88"/>
      <c r="N657" s="88"/>
      <c r="O657" s="90"/>
      <c r="P657" s="90"/>
      <c r="Q657" s="90"/>
    </row>
    <row r="658" spans="1:17" ht="15.75" customHeight="1">
      <c r="A658" s="120" t="s">
        <v>95</v>
      </c>
      <c r="B658" s="118" t="s">
        <v>272</v>
      </c>
      <c r="C658" s="107">
        <v>16.600000000000001</v>
      </c>
      <c r="D658" s="107">
        <v>3.25</v>
      </c>
      <c r="E658" s="107">
        <v>0.2</v>
      </c>
      <c r="F658" s="107"/>
      <c r="G658" s="106"/>
      <c r="H658" s="106">
        <f>C658*D658*E658</f>
        <v>10.790000000000001</v>
      </c>
      <c r="I658" s="103" t="s">
        <v>103</v>
      </c>
      <c r="J658" s="117">
        <f t="shared" si="92"/>
        <v>10.79</v>
      </c>
      <c r="K658" s="151"/>
      <c r="M658" s="88"/>
      <c r="N658" s="88"/>
      <c r="O658" s="90"/>
      <c r="P658" s="90"/>
      <c r="Q658" s="90"/>
    </row>
    <row r="659" spans="1:17" ht="15.75" customHeight="1">
      <c r="A659" s="120" t="s">
        <v>98</v>
      </c>
      <c r="B659" s="118" t="s">
        <v>273</v>
      </c>
      <c r="C659" s="107">
        <v>20.399999999999999</v>
      </c>
      <c r="D659" s="107">
        <v>3.25</v>
      </c>
      <c r="E659" s="107">
        <v>0.2</v>
      </c>
      <c r="F659" s="107"/>
      <c r="G659" s="106"/>
      <c r="H659" s="106">
        <f>C659*D659*E659</f>
        <v>13.26</v>
      </c>
      <c r="I659" s="103" t="s">
        <v>103</v>
      </c>
      <c r="J659" s="117">
        <f t="shared" si="92"/>
        <v>13.26</v>
      </c>
      <c r="K659" s="151"/>
      <c r="M659" s="88"/>
      <c r="N659" s="88"/>
      <c r="O659" s="90"/>
      <c r="P659" s="90"/>
      <c r="Q659" s="90"/>
    </row>
    <row r="660" spans="1:17" ht="27.75" customHeight="1">
      <c r="A660" s="276">
        <f>A657+1</f>
        <v>18</v>
      </c>
      <c r="B660" s="277" t="s">
        <v>275</v>
      </c>
      <c r="C660" s="171">
        <v>3.2</v>
      </c>
      <c r="D660" s="171">
        <v>4.2</v>
      </c>
      <c r="E660" s="171">
        <v>7.0000000000000007E-2</v>
      </c>
      <c r="F660" s="171"/>
      <c r="G660" s="171"/>
      <c r="H660" s="171">
        <f>C660*D660*E660</f>
        <v>0.94080000000000019</v>
      </c>
      <c r="I660" s="103" t="s">
        <v>103</v>
      </c>
      <c r="J660" s="117">
        <f t="shared" si="92"/>
        <v>0.94</v>
      </c>
      <c r="K660" s="151"/>
      <c r="M660" s="88"/>
      <c r="N660" s="88"/>
      <c r="O660" s="90"/>
      <c r="P660" s="90"/>
      <c r="Q660" s="90"/>
    </row>
    <row r="661" spans="1:17" ht="15.75" customHeight="1">
      <c r="A661" s="278"/>
      <c r="B661" s="279"/>
      <c r="C661" s="280"/>
      <c r="D661" s="280"/>
      <c r="E661" s="280"/>
      <c r="F661" s="280"/>
      <c r="G661" s="280"/>
      <c r="H661" s="280"/>
      <c r="I661" s="281"/>
      <c r="J661" s="89"/>
      <c r="K661" s="151"/>
      <c r="M661" s="88"/>
      <c r="N661" s="88"/>
      <c r="O661" s="90"/>
      <c r="P661" s="90"/>
      <c r="Q661" s="90"/>
    </row>
  </sheetData>
  <mergeCells count="6">
    <mergeCell ref="O576:O577"/>
    <mergeCell ref="D499:G499"/>
    <mergeCell ref="L564:L568"/>
    <mergeCell ref="K572:K577"/>
    <mergeCell ref="M574:M577"/>
    <mergeCell ref="N575:N577"/>
  </mergeCells>
  <pageMargins left="0.25" right="0.25" top="0.75" bottom="0.75" header="0.511811023622047" footer="0.511811023622047"/>
  <pageSetup paperSize="9" fitToHeight="0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  <pageSetUpPr fitToPage="1"/>
  </sheetPr>
  <dimension ref="A1:AA1366"/>
  <sheetViews>
    <sheetView tabSelected="1" view="pageBreakPreview" zoomScale="50" zoomScaleNormal="60" zoomScaleSheetLayoutView="50" workbookViewId="0">
      <pane xSplit="4" ySplit="12" topLeftCell="E1050" activePane="bottomRight" state="frozen"/>
      <selection pane="topRight" activeCell="E1" sqref="E1"/>
      <selection pane="bottomLeft" activeCell="A34" sqref="A34"/>
      <selection pane="bottomRight" activeCell="M1067" sqref="M1067"/>
    </sheetView>
  </sheetViews>
  <sheetFormatPr baseColWidth="10" defaultColWidth="8.83203125" defaultRowHeight="13"/>
  <cols>
    <col min="1" max="1" width="10.5" customWidth="1"/>
    <col min="2" max="2" width="18.5" style="2206" customWidth="1"/>
    <col min="3" max="3" width="2.5" customWidth="1"/>
    <col min="4" max="4" width="59" customWidth="1"/>
    <col min="5" max="5" width="16.1640625" style="2206" bestFit="1" customWidth="1"/>
    <col min="6" max="6" width="6.5" customWidth="1"/>
    <col min="7" max="7" width="23.1640625" hidden="1" customWidth="1"/>
    <col min="8" max="8" width="4.5" hidden="1" customWidth="1"/>
    <col min="9" max="9" width="8.1640625" hidden="1" customWidth="1"/>
    <col min="10" max="10" width="6.5" hidden="1" customWidth="1"/>
    <col min="11" max="11" width="9.1640625" hidden="1" customWidth="1"/>
    <col min="12" max="12" width="29.6640625" style="2336" bestFit="1" customWidth="1"/>
    <col min="13" max="13" width="35.1640625" style="2336" customWidth="1"/>
    <col min="14" max="14" width="17.33203125" style="2337" customWidth="1"/>
    <col min="15" max="15" width="14.5" style="2207" customWidth="1"/>
    <col min="16" max="16" width="9.5" style="2207" customWidth="1"/>
    <col min="17" max="17" width="34.5" style="2207" customWidth="1"/>
    <col min="18" max="18" width="15.5" style="2207" customWidth="1"/>
    <col min="19" max="19" width="13.5" style="2207" bestFit="1" customWidth="1"/>
    <col min="20" max="20" width="7.5" style="2207" customWidth="1"/>
    <col min="21" max="21" width="36.1640625" style="2207" customWidth="1"/>
    <col min="22" max="22" width="16.6640625" style="2207" customWidth="1"/>
    <col min="23" max="23" width="19.5" style="2207" bestFit="1" customWidth="1"/>
    <col min="24" max="24" width="9.5" style="2207" customWidth="1"/>
    <col min="25" max="25" width="34.6640625" style="2207" customWidth="1"/>
    <col min="26" max="26" width="16.1640625" style="2207" customWidth="1"/>
    <col min="27" max="27" width="30" style="80" customWidth="1"/>
  </cols>
  <sheetData>
    <row r="1" spans="1:27" ht="28">
      <c r="A1" s="3189" t="s">
        <v>3411</v>
      </c>
      <c r="B1" s="3189"/>
      <c r="C1" s="3189"/>
      <c r="D1" s="3189"/>
      <c r="E1" s="3189"/>
      <c r="F1" s="3189"/>
      <c r="G1" s="3189"/>
      <c r="H1" s="3189"/>
      <c r="I1" s="3189"/>
      <c r="J1" s="3189"/>
      <c r="K1" s="3189"/>
      <c r="L1" s="3189"/>
      <c r="M1" s="3189"/>
      <c r="N1" s="3189"/>
      <c r="O1" s="3189"/>
      <c r="P1" s="3189"/>
      <c r="Q1" s="3189"/>
      <c r="R1" s="3189"/>
      <c r="S1" s="3189"/>
      <c r="T1" s="3189"/>
      <c r="U1" s="3189"/>
      <c r="V1" s="3189"/>
      <c r="W1" s="3189"/>
      <c r="X1" s="3189"/>
      <c r="Y1" s="3189"/>
      <c r="Z1" s="3189"/>
      <c r="AA1" s="3189"/>
    </row>
    <row r="2" spans="1:27" ht="19">
      <c r="A2" s="2346"/>
      <c r="B2" s="2347"/>
      <c r="C2" s="2346"/>
      <c r="D2" s="2346"/>
      <c r="E2" s="2347"/>
      <c r="F2" s="2346"/>
      <c r="G2" s="2346"/>
      <c r="H2" s="2346"/>
      <c r="I2" s="2346"/>
      <c r="J2" s="2346"/>
      <c r="K2" s="2346"/>
      <c r="L2" s="2348"/>
      <c r="M2" s="2348"/>
      <c r="N2" s="2349"/>
      <c r="O2" s="2350"/>
      <c r="P2" s="2350"/>
      <c r="Q2" s="2350"/>
      <c r="R2" s="2350"/>
      <c r="S2" s="2350"/>
      <c r="T2" s="2350"/>
      <c r="U2" s="2350"/>
      <c r="V2" s="2350"/>
      <c r="W2" s="2350"/>
      <c r="X2" s="2350"/>
      <c r="Y2" s="2350"/>
      <c r="Z2" s="2350"/>
      <c r="AA2" s="2351"/>
    </row>
    <row r="3" spans="1:27" ht="19">
      <c r="A3" s="2346" t="s">
        <v>61</v>
      </c>
      <c r="B3" s="2347"/>
      <c r="C3" s="2346" t="s">
        <v>62</v>
      </c>
      <c r="D3" s="2346" t="s">
        <v>63</v>
      </c>
      <c r="E3" s="2347"/>
      <c r="F3" s="2346"/>
      <c r="G3" s="2346"/>
      <c r="H3" s="2346"/>
      <c r="I3" s="2346"/>
      <c r="J3" s="2352"/>
      <c r="K3" s="2352"/>
      <c r="L3" s="2353"/>
      <c r="M3" s="2353"/>
      <c r="N3" s="2349"/>
      <c r="O3" s="2350"/>
      <c r="P3" s="2350"/>
      <c r="Q3" s="2350"/>
      <c r="R3" s="2350"/>
      <c r="S3" s="2350"/>
      <c r="T3" s="2350"/>
      <c r="U3" s="2350"/>
      <c r="V3" s="2350"/>
      <c r="W3" s="2350"/>
      <c r="X3" s="2350"/>
      <c r="Y3" s="2350"/>
      <c r="Z3" s="2350"/>
      <c r="AA3" s="2351"/>
    </row>
    <row r="4" spans="1:27" ht="19">
      <c r="A4" s="2346"/>
      <c r="B4" s="2347"/>
      <c r="C4" s="2346"/>
      <c r="D4" s="2346"/>
      <c r="E4" s="2347"/>
      <c r="F4" s="2346"/>
      <c r="G4" s="2346"/>
      <c r="H4" s="2346"/>
      <c r="I4" s="2346"/>
      <c r="J4" s="2346"/>
      <c r="K4" s="2346"/>
      <c r="L4" s="2348"/>
      <c r="M4" s="2348"/>
      <c r="N4" s="2349"/>
      <c r="O4" s="2350"/>
      <c r="P4" s="2350"/>
      <c r="Q4" s="2350"/>
      <c r="R4" s="2350"/>
      <c r="S4" s="2350"/>
      <c r="T4" s="2350"/>
      <c r="U4" s="2350"/>
      <c r="V4" s="2350"/>
      <c r="W4" s="2350"/>
      <c r="X4" s="2350"/>
      <c r="Y4" s="2350"/>
      <c r="Z4" s="2350"/>
      <c r="AA4" s="2351"/>
    </row>
    <row r="5" spans="1:27" ht="19">
      <c r="A5" s="2346" t="s">
        <v>64</v>
      </c>
      <c r="B5" s="2347"/>
      <c r="C5" s="2346" t="s">
        <v>62</v>
      </c>
      <c r="D5" s="2346" t="s">
        <v>65</v>
      </c>
      <c r="E5" s="2347"/>
      <c r="F5" s="2346"/>
      <c r="G5" s="2346"/>
      <c r="H5" s="2346"/>
      <c r="I5" s="2346"/>
      <c r="J5" s="2346"/>
      <c r="K5" s="2346"/>
      <c r="L5" s="2348"/>
      <c r="M5" s="2348"/>
      <c r="N5" s="2349"/>
      <c r="O5" s="2354"/>
      <c r="P5" s="2350"/>
      <c r="Q5" s="2350"/>
      <c r="R5" s="2350"/>
      <c r="S5" s="2350"/>
      <c r="T5" s="2350"/>
      <c r="U5" s="2350"/>
      <c r="V5" s="2350"/>
      <c r="W5" s="2350"/>
      <c r="X5" s="2350"/>
      <c r="Y5" s="2350"/>
      <c r="Z5" s="2350"/>
      <c r="AA5" s="2351"/>
    </row>
    <row r="6" spans="1:27" ht="19">
      <c r="A6" s="2346"/>
      <c r="B6" s="2347"/>
      <c r="C6" s="2346"/>
      <c r="D6" s="2346" t="s">
        <v>66</v>
      </c>
      <c r="E6" s="2347"/>
      <c r="F6" s="2346"/>
      <c r="G6" s="2346"/>
      <c r="H6" s="2346"/>
      <c r="I6" s="2346"/>
      <c r="J6" s="2346"/>
      <c r="K6" s="2346"/>
      <c r="L6" s="2348"/>
      <c r="M6" s="2348"/>
      <c r="N6" s="2349"/>
      <c r="O6" s="2350"/>
      <c r="P6" s="2350"/>
      <c r="Q6" s="2350"/>
      <c r="R6" s="2350"/>
      <c r="S6" s="2350"/>
      <c r="T6" s="2350"/>
      <c r="U6" s="2350"/>
      <c r="V6" s="2350"/>
      <c r="W6" s="2350"/>
      <c r="X6" s="2350"/>
      <c r="Y6" s="2350"/>
      <c r="Z6" s="2350"/>
      <c r="AA6" s="2351"/>
    </row>
    <row r="7" spans="1:27" ht="19">
      <c r="A7" s="2346" t="s">
        <v>67</v>
      </c>
      <c r="B7" s="2347"/>
      <c r="C7" s="2346" t="s">
        <v>62</v>
      </c>
      <c r="D7" s="2355" t="s">
        <v>3344</v>
      </c>
      <c r="E7" s="2347"/>
      <c r="F7" s="2346"/>
      <c r="G7" s="2346"/>
      <c r="H7" s="2346"/>
      <c r="I7" s="2346"/>
      <c r="J7" s="2346"/>
      <c r="K7" s="2346"/>
      <c r="L7" s="2348"/>
      <c r="M7" s="2348"/>
      <c r="N7" s="2349"/>
      <c r="O7" s="2350"/>
      <c r="P7" s="2350"/>
      <c r="Q7" s="2350"/>
      <c r="R7" s="2350"/>
      <c r="S7" s="2350"/>
      <c r="T7" s="2350"/>
      <c r="U7" s="2350"/>
      <c r="V7" s="2350"/>
      <c r="W7" s="2350"/>
      <c r="X7" s="2350"/>
      <c r="Y7" s="2350"/>
      <c r="Z7" s="2350"/>
      <c r="AA7" s="2351"/>
    </row>
    <row r="8" spans="1:27" ht="20" thickBot="1">
      <c r="A8" s="2346"/>
      <c r="B8" s="2347"/>
      <c r="C8" s="2346"/>
      <c r="D8" s="2346"/>
      <c r="E8" s="2347"/>
      <c r="F8" s="2346"/>
      <c r="G8" s="2346"/>
      <c r="H8" s="2346"/>
      <c r="I8" s="2346"/>
      <c r="J8" s="2346"/>
      <c r="K8" s="2346"/>
      <c r="L8" s="2348"/>
      <c r="M8" s="2356">
        <f>Resume!G37</f>
        <v>2289265441.0010448</v>
      </c>
      <c r="N8" s="2349"/>
      <c r="O8" s="2350"/>
      <c r="P8" s="2350"/>
      <c r="Q8" s="2350"/>
      <c r="R8" s="2350"/>
      <c r="S8" s="2349"/>
      <c r="T8" s="2350"/>
      <c r="U8" s="2350"/>
      <c r="V8" s="2350"/>
      <c r="W8" s="2350"/>
      <c r="X8" s="2350"/>
      <c r="Y8" s="2350"/>
      <c r="Z8" s="2350"/>
      <c r="AA8" s="2351"/>
    </row>
    <row r="9" spans="1:27" ht="20" thickTop="1">
      <c r="A9" s="3228" t="s">
        <v>1</v>
      </c>
      <c r="B9" s="3228" t="s">
        <v>68</v>
      </c>
      <c r="C9" s="3228"/>
      <c r="D9" s="3228"/>
      <c r="E9" s="3231" t="s">
        <v>297</v>
      </c>
      <c r="F9" s="3228" t="s">
        <v>82</v>
      </c>
      <c r="G9" s="3126"/>
      <c r="H9" s="3126"/>
      <c r="I9" s="3126"/>
      <c r="J9" s="3126"/>
      <c r="K9" s="3126"/>
      <c r="L9" s="3234" t="s">
        <v>3359</v>
      </c>
      <c r="M9" s="3234"/>
      <c r="N9" s="3234"/>
      <c r="O9" s="3235" t="s">
        <v>3349</v>
      </c>
      <c r="P9" s="3235"/>
      <c r="Q9" s="3235"/>
      <c r="R9" s="3235"/>
      <c r="S9" s="3235" t="s">
        <v>3350</v>
      </c>
      <c r="T9" s="3235"/>
      <c r="U9" s="3235"/>
      <c r="V9" s="3235"/>
      <c r="W9" s="3220" t="s">
        <v>3373</v>
      </c>
      <c r="X9" s="3221"/>
      <c r="Y9" s="3221"/>
      <c r="Z9" s="3222"/>
      <c r="AA9" s="3223" t="s">
        <v>7</v>
      </c>
    </row>
    <row r="10" spans="1:27" ht="19">
      <c r="A10" s="3229"/>
      <c r="B10" s="3229"/>
      <c r="C10" s="3229"/>
      <c r="D10" s="3229"/>
      <c r="E10" s="3232"/>
      <c r="F10" s="3229"/>
      <c r="G10" s="2357"/>
      <c r="H10" s="2357"/>
      <c r="I10" s="2357"/>
      <c r="J10" s="2357"/>
      <c r="K10" s="2357"/>
      <c r="L10" s="2358" t="s">
        <v>298</v>
      </c>
      <c r="M10" s="2359" t="s">
        <v>299</v>
      </c>
      <c r="N10" s="2359" t="s">
        <v>3347</v>
      </c>
      <c r="O10" s="3226" t="s">
        <v>297</v>
      </c>
      <c r="P10" s="3226" t="s">
        <v>82</v>
      </c>
      <c r="Q10" s="2360" t="s">
        <v>299</v>
      </c>
      <c r="R10" s="2360" t="s">
        <v>3347</v>
      </c>
      <c r="S10" s="3226" t="s">
        <v>297</v>
      </c>
      <c r="T10" s="3226" t="s">
        <v>82</v>
      </c>
      <c r="U10" s="2360" t="s">
        <v>299</v>
      </c>
      <c r="V10" s="2360" t="s">
        <v>3347</v>
      </c>
      <c r="W10" s="3226" t="s">
        <v>297</v>
      </c>
      <c r="X10" s="3226" t="s">
        <v>82</v>
      </c>
      <c r="Y10" s="2360" t="s">
        <v>299</v>
      </c>
      <c r="Z10" s="2360" t="s">
        <v>3347</v>
      </c>
      <c r="AA10" s="3224"/>
    </row>
    <row r="11" spans="1:27" s="2208" customFormat="1" ht="20" thickBot="1">
      <c r="A11" s="3230"/>
      <c r="B11" s="3230"/>
      <c r="C11" s="3230"/>
      <c r="D11" s="3230"/>
      <c r="E11" s="3233"/>
      <c r="F11" s="3230"/>
      <c r="G11" s="3127" t="s">
        <v>3343</v>
      </c>
      <c r="H11" s="3127" t="s">
        <v>300</v>
      </c>
      <c r="I11" s="3127" t="s">
        <v>298</v>
      </c>
      <c r="J11" s="3127" t="s">
        <v>299</v>
      </c>
      <c r="K11" s="3127" t="s">
        <v>301</v>
      </c>
      <c r="L11" s="3128" t="s">
        <v>3345</v>
      </c>
      <c r="M11" s="3128" t="s">
        <v>3345</v>
      </c>
      <c r="N11" s="3129" t="s">
        <v>3348</v>
      </c>
      <c r="O11" s="3227"/>
      <c r="P11" s="3227"/>
      <c r="Q11" s="3130" t="s">
        <v>3345</v>
      </c>
      <c r="R11" s="3130" t="s">
        <v>3348</v>
      </c>
      <c r="S11" s="3227"/>
      <c r="T11" s="3227"/>
      <c r="U11" s="3130" t="s">
        <v>3345</v>
      </c>
      <c r="V11" s="3130" t="s">
        <v>3348</v>
      </c>
      <c r="W11" s="3227"/>
      <c r="X11" s="3227"/>
      <c r="Y11" s="3130" t="s">
        <v>3345</v>
      </c>
      <c r="Z11" s="3130" t="s">
        <v>3348</v>
      </c>
      <c r="AA11" s="3225"/>
    </row>
    <row r="12" spans="1:27" ht="20" thickTop="1">
      <c r="A12" s="2361"/>
      <c r="B12" s="3125"/>
      <c r="C12" s="2896"/>
      <c r="D12" s="2897"/>
      <c r="E12" s="2362"/>
      <c r="F12" s="2361"/>
      <c r="G12" s="2363"/>
      <c r="H12" s="2361"/>
      <c r="I12" s="2361"/>
      <c r="J12" s="2361"/>
      <c r="K12" s="2361"/>
      <c r="L12" s="2364"/>
      <c r="M12" s="2364"/>
      <c r="N12" s="2365"/>
      <c r="O12" s="2366"/>
      <c r="P12" s="2366"/>
      <c r="Q12" s="2366"/>
      <c r="R12" s="2366"/>
      <c r="S12" s="2366"/>
      <c r="T12" s="2366"/>
      <c r="U12" s="2366"/>
      <c r="V12" s="2366"/>
      <c r="W12" s="2366"/>
      <c r="X12" s="2366"/>
      <c r="Y12" s="2366"/>
      <c r="Z12" s="2366"/>
      <c r="AA12" s="2367"/>
    </row>
    <row r="13" spans="1:27" ht="19">
      <c r="A13" s="2368" t="s">
        <v>84</v>
      </c>
      <c r="B13" s="2369" t="s">
        <v>302</v>
      </c>
      <c r="C13" s="2370"/>
      <c r="D13" s="2371"/>
      <c r="E13" s="2372"/>
      <c r="F13" s="2373"/>
      <c r="G13" s="2373"/>
      <c r="H13" s="2373"/>
      <c r="I13" s="2373"/>
      <c r="J13" s="2373"/>
      <c r="K13" s="2373"/>
      <c r="L13" s="2374"/>
      <c r="M13" s="2374"/>
      <c r="N13" s="2375"/>
      <c r="O13" s="2376"/>
      <c r="P13" s="2376"/>
      <c r="Q13" s="2376"/>
      <c r="R13" s="2376"/>
      <c r="S13" s="2376"/>
      <c r="T13" s="2376"/>
      <c r="U13" s="2376"/>
      <c r="V13" s="2376"/>
      <c r="W13" s="2376"/>
      <c r="X13" s="2376"/>
      <c r="Y13" s="2376"/>
      <c r="Z13" s="2376"/>
      <c r="AA13" s="2377"/>
    </row>
    <row r="14" spans="1:27" s="2199" customFormat="1" ht="25" customHeight="1">
      <c r="A14" s="2378">
        <v>1</v>
      </c>
      <c r="B14" s="2379" t="s">
        <v>303</v>
      </c>
      <c r="C14" s="2380"/>
      <c r="D14" s="2381"/>
      <c r="E14" s="2382">
        <f>5*10</f>
        <v>50</v>
      </c>
      <c r="F14" s="2383" t="s">
        <v>89</v>
      </c>
      <c r="G14" s="2384">
        <v>1405424.95</v>
      </c>
      <c r="H14" s="2384">
        <f>E14*G14</f>
        <v>70271247.5</v>
      </c>
      <c r="I14" s="2385">
        <f>'Resume Analisa'!$D$6</f>
        <v>1362404.62</v>
      </c>
      <c r="J14" s="2385">
        <f>E14*I14</f>
        <v>68120231</v>
      </c>
      <c r="K14" s="2383" t="e">
        <f>IF(H14=0,"",IF(J14&lt;#REF!*H14,"Timpang &lt;"&amp;TEXT(#REF!,"0%"),IF(J14&gt;#REF!*H14,"Timpang &gt;"&amp;TEXT(#REF!,"0%"),"Wajar")))</f>
        <v>#REF!</v>
      </c>
      <c r="L14" s="2374">
        <v>1200000</v>
      </c>
      <c r="M14" s="2374">
        <f>E14*L14</f>
        <v>60000000</v>
      </c>
      <c r="N14" s="2375">
        <f>M14/$M$8*100</f>
        <v>2.6209280464113998</v>
      </c>
      <c r="O14" s="2375">
        <v>0</v>
      </c>
      <c r="P14" s="2383"/>
      <c r="Q14" s="2375">
        <f>O14*L14</f>
        <v>0</v>
      </c>
      <c r="R14" s="2375">
        <f t="shared" ref="R14:R45" si="0">Q14/$M$8*100</f>
        <v>0</v>
      </c>
      <c r="S14" s="2375">
        <v>0</v>
      </c>
      <c r="T14" s="2383"/>
      <c r="U14" s="2375">
        <f>S14*L14</f>
        <v>0</v>
      </c>
      <c r="V14" s="2375"/>
      <c r="W14" s="2382">
        <f>(E14+O14)-S14</f>
        <v>50</v>
      </c>
      <c r="X14" s="2383" t="s">
        <v>89</v>
      </c>
      <c r="Y14" s="2375">
        <f>W14*L14</f>
        <v>60000000</v>
      </c>
      <c r="Z14" s="2375">
        <f>Y14/$M$8*100</f>
        <v>2.6209280464113998</v>
      </c>
      <c r="AA14" s="2377" t="s">
        <v>3355</v>
      </c>
    </row>
    <row r="15" spans="1:27" s="2199" customFormat="1" ht="25" customHeight="1">
      <c r="A15" s="2378">
        <f>A14+1</f>
        <v>2</v>
      </c>
      <c r="B15" s="2379" t="s">
        <v>304</v>
      </c>
      <c r="C15" s="2380"/>
      <c r="D15" s="2381"/>
      <c r="E15" s="2382">
        <v>6</v>
      </c>
      <c r="F15" s="2383" t="s">
        <v>305</v>
      </c>
      <c r="G15" s="2384">
        <v>2500000</v>
      </c>
      <c r="H15" s="2384">
        <f>E15*G15</f>
        <v>15000000</v>
      </c>
      <c r="I15" s="2385">
        <v>2579734.63</v>
      </c>
      <c r="J15" s="2385">
        <f>E15*I15</f>
        <v>15478407.779999999</v>
      </c>
      <c r="K15" s="2383" t="e">
        <f>IF(H15=0,"",IF(J15&lt;#REF!*H15,"Timpang &lt;"&amp;TEXT(#REF!,"0%"),IF(J15&gt;#REF!*H15,"Timpang &gt;"&amp;TEXT(#REF!,"0%"),"Wajar")))</f>
        <v>#REF!</v>
      </c>
      <c r="L15" s="2374">
        <v>2200000</v>
      </c>
      <c r="M15" s="2374">
        <f>E15*L15</f>
        <v>13200000</v>
      </c>
      <c r="N15" s="2375">
        <f>M15/$M$8*100</f>
        <v>0.57660417021050792</v>
      </c>
      <c r="O15" s="2375">
        <v>0</v>
      </c>
      <c r="P15" s="2383"/>
      <c r="Q15" s="2375">
        <f t="shared" ref="Q15:Q70" si="1">O15*L15</f>
        <v>0</v>
      </c>
      <c r="R15" s="2375">
        <f t="shared" si="0"/>
        <v>0</v>
      </c>
      <c r="S15" s="2375">
        <v>0</v>
      </c>
      <c r="T15" s="2383"/>
      <c r="U15" s="2375">
        <f t="shared" ref="U15:U78" si="2">S15*L15</f>
        <v>0</v>
      </c>
      <c r="V15" s="2375"/>
      <c r="W15" s="2382">
        <f t="shared" ref="W15:W70" si="3">(E15+O15)-S15</f>
        <v>6</v>
      </c>
      <c r="X15" s="2383" t="s">
        <v>305</v>
      </c>
      <c r="Y15" s="2375">
        <f t="shared" ref="Y15:Y70" si="4">W15*L15</f>
        <v>13200000</v>
      </c>
      <c r="Z15" s="2375">
        <f>Y15/$M$8*100</f>
        <v>0.57660417021050792</v>
      </c>
      <c r="AA15" s="2377" t="s">
        <v>3355</v>
      </c>
    </row>
    <row r="16" spans="1:27" ht="25" customHeight="1">
      <c r="A16" s="2378">
        <f>A15+1</f>
        <v>3</v>
      </c>
      <c r="B16" s="2379" t="s">
        <v>306</v>
      </c>
      <c r="C16" s="2380"/>
      <c r="D16" s="2381"/>
      <c r="E16" s="2382">
        <v>1</v>
      </c>
      <c r="F16" s="2383" t="s">
        <v>124</v>
      </c>
      <c r="G16" s="2384">
        <v>1583875.68</v>
      </c>
      <c r="H16" s="2384">
        <f>E16*G16</f>
        <v>1583875.68</v>
      </c>
      <c r="I16" s="2385">
        <f>'Resume Analisa'!$D$7</f>
        <v>1545681.21</v>
      </c>
      <c r="J16" s="2385">
        <f>E16*I16</f>
        <v>1545681.21</v>
      </c>
      <c r="K16" s="2383" t="e">
        <f>IF(H16=0,"",IF(J16&lt;#REF!*H16,"Timpang &lt;"&amp;TEXT(#REF!,"0%"),IF(J16&gt;#REF!*H16,"Timpang &gt;"&amp;TEXT(#REF!,"0%"),"Wajar")))</f>
        <v>#REF!</v>
      </c>
      <c r="L16" s="2374">
        <v>1545681.21</v>
      </c>
      <c r="M16" s="2374">
        <f>E16*L16</f>
        <v>1545681.21</v>
      </c>
      <c r="N16" s="2375">
        <f>M16/$M$8*100</f>
        <v>6.7518653901668474E-2</v>
      </c>
      <c r="O16" s="2375">
        <v>0</v>
      </c>
      <c r="P16" s="2383"/>
      <c r="Q16" s="2375">
        <f t="shared" si="1"/>
        <v>0</v>
      </c>
      <c r="R16" s="2375">
        <f t="shared" si="0"/>
        <v>0</v>
      </c>
      <c r="S16" s="2375">
        <v>0</v>
      </c>
      <c r="T16" s="2383"/>
      <c r="U16" s="2375">
        <f t="shared" si="2"/>
        <v>0</v>
      </c>
      <c r="V16" s="2375"/>
      <c r="W16" s="2382">
        <f t="shared" si="3"/>
        <v>1</v>
      </c>
      <c r="X16" s="2383" t="s">
        <v>124</v>
      </c>
      <c r="Y16" s="2375">
        <f t="shared" si="4"/>
        <v>1545681.21</v>
      </c>
      <c r="Z16" s="2375">
        <f>Y16/$M$8*100</f>
        <v>6.7518653901668474E-2</v>
      </c>
      <c r="AA16" s="2377" t="s">
        <v>3355</v>
      </c>
    </row>
    <row r="17" spans="1:27" ht="25" customHeight="1">
      <c r="A17" s="2378">
        <f>A16+1</f>
        <v>4</v>
      </c>
      <c r="B17" s="2379" t="s">
        <v>307</v>
      </c>
      <c r="C17" s="2380"/>
      <c r="D17" s="2381"/>
      <c r="E17" s="2382">
        <v>6</v>
      </c>
      <c r="F17" s="2383" t="s">
        <v>305</v>
      </c>
      <c r="G17" s="2384">
        <v>1000000</v>
      </c>
      <c r="H17" s="2384">
        <f>E17*G17</f>
        <v>6000000</v>
      </c>
      <c r="I17" s="2385">
        <v>1014075.12</v>
      </c>
      <c r="J17" s="2385">
        <f>E17*I17</f>
        <v>6084450.7199999997</v>
      </c>
      <c r="K17" s="2383" t="e">
        <f>IF(H17=0,"",IF(J17&lt;#REF!*H17,"Timpang &lt;"&amp;TEXT(#REF!,"0%"),IF(J17&gt;#REF!*H17,"Timpang &gt;"&amp;TEXT(#REF!,"0%"),"Wajar")))</f>
        <v>#REF!</v>
      </c>
      <c r="L17" s="2374">
        <v>1014075.12</v>
      </c>
      <c r="M17" s="2374">
        <f>E17*L17</f>
        <v>6084450.7199999997</v>
      </c>
      <c r="N17" s="2375">
        <f>M17/$M$8*100</f>
        <v>0.26578179231760057</v>
      </c>
      <c r="O17" s="2375">
        <v>0</v>
      </c>
      <c r="P17" s="2383"/>
      <c r="Q17" s="2375">
        <f t="shared" si="1"/>
        <v>0</v>
      </c>
      <c r="R17" s="2375">
        <f t="shared" si="0"/>
        <v>0</v>
      </c>
      <c r="S17" s="2375">
        <v>0</v>
      </c>
      <c r="T17" s="2383"/>
      <c r="U17" s="2375">
        <f t="shared" si="2"/>
        <v>0</v>
      </c>
      <c r="V17" s="2375"/>
      <c r="W17" s="2382">
        <f t="shared" si="3"/>
        <v>6</v>
      </c>
      <c r="X17" s="2383" t="s">
        <v>305</v>
      </c>
      <c r="Y17" s="2375">
        <f t="shared" si="4"/>
        <v>6084450.7199999997</v>
      </c>
      <c r="Z17" s="2375">
        <f>Y17/$M$8*100</f>
        <v>0.26578179231760057</v>
      </c>
      <c r="AA17" s="2377" t="s">
        <v>3355</v>
      </c>
    </row>
    <row r="18" spans="1:27" s="2199" customFormat="1" ht="25" customHeight="1">
      <c r="A18" s="2378">
        <f>A17+1</f>
        <v>5</v>
      </c>
      <c r="B18" s="2379" t="s">
        <v>308</v>
      </c>
      <c r="C18" s="2380"/>
      <c r="D18" s="2381"/>
      <c r="E18" s="2382">
        <v>100</v>
      </c>
      <c r="F18" s="2383" t="s">
        <v>117</v>
      </c>
      <c r="G18" s="2384">
        <v>471471.94</v>
      </c>
      <c r="H18" s="2384">
        <f>E18*G18</f>
        <v>47147194</v>
      </c>
      <c r="I18" s="2385">
        <f>'Resume Analisa'!$D$8</f>
        <v>471000.4</v>
      </c>
      <c r="J18" s="2385">
        <f>E18*I18</f>
        <v>47100040</v>
      </c>
      <c r="K18" s="2383" t="e">
        <f>IF(H18=0,"",IF(J18&lt;#REF!*H18,"Timpang &lt;"&amp;TEXT(#REF!,"0%"),IF(J18&gt;#REF!*H18,"Timpang &gt;"&amp;TEXT(#REF!,"0%"),"Wajar")))</f>
        <v>#REF!</v>
      </c>
      <c r="L18" s="2374">
        <v>350000</v>
      </c>
      <c r="M18" s="2374">
        <f>E18*L18</f>
        <v>35000000</v>
      </c>
      <c r="N18" s="2375">
        <f>M18/$M$8*100</f>
        <v>1.5288746937399833</v>
      </c>
      <c r="O18" s="2375">
        <v>0</v>
      </c>
      <c r="P18" s="2383"/>
      <c r="Q18" s="2375">
        <f t="shared" si="1"/>
        <v>0</v>
      </c>
      <c r="R18" s="2375">
        <f t="shared" si="0"/>
        <v>0</v>
      </c>
      <c r="S18" s="2375">
        <v>0</v>
      </c>
      <c r="T18" s="2383"/>
      <c r="U18" s="2375">
        <f t="shared" si="2"/>
        <v>0</v>
      </c>
      <c r="V18" s="2375"/>
      <c r="W18" s="2382">
        <f t="shared" si="3"/>
        <v>100</v>
      </c>
      <c r="X18" s="2383" t="s">
        <v>117</v>
      </c>
      <c r="Y18" s="2375">
        <f t="shared" si="4"/>
        <v>35000000</v>
      </c>
      <c r="Z18" s="2375">
        <f>Y18/$M$8*100</f>
        <v>1.5288746937399833</v>
      </c>
      <c r="AA18" s="2377" t="s">
        <v>3355</v>
      </c>
    </row>
    <row r="19" spans="1:27" ht="25" customHeight="1">
      <c r="A19" s="2378">
        <f>A18+1</f>
        <v>6</v>
      </c>
      <c r="B19" s="2379" t="s">
        <v>309</v>
      </c>
      <c r="C19" s="2380"/>
      <c r="D19" s="2381"/>
      <c r="E19" s="2382"/>
      <c r="F19" s="2383"/>
      <c r="G19" s="2384"/>
      <c r="H19" s="2384"/>
      <c r="I19" s="2385"/>
      <c r="J19" s="2385"/>
      <c r="K19" s="2384"/>
      <c r="L19" s="2374"/>
      <c r="M19" s="2374"/>
      <c r="N19" s="2375"/>
      <c r="O19" s="2386"/>
      <c r="P19" s="2383"/>
      <c r="Q19" s="2375">
        <f t="shared" si="1"/>
        <v>0</v>
      </c>
      <c r="R19" s="2375">
        <f t="shared" si="0"/>
        <v>0</v>
      </c>
      <c r="S19" s="2386">
        <v>0</v>
      </c>
      <c r="T19" s="2383"/>
      <c r="U19" s="2375">
        <f t="shared" si="2"/>
        <v>0</v>
      </c>
      <c r="V19" s="2375"/>
      <c r="W19" s="2382"/>
      <c r="X19" s="2383"/>
      <c r="Y19" s="2375"/>
      <c r="Z19" s="2375"/>
      <c r="AA19" s="2377"/>
    </row>
    <row r="20" spans="1:27" ht="25" customHeight="1">
      <c r="A20" s="2378" t="s">
        <v>310</v>
      </c>
      <c r="B20" s="2379" t="s">
        <v>311</v>
      </c>
      <c r="C20" s="2380"/>
      <c r="D20" s="2381"/>
      <c r="E20" s="2382"/>
      <c r="F20" s="2383"/>
      <c r="G20" s="2384"/>
      <c r="H20" s="2384"/>
      <c r="I20" s="2385"/>
      <c r="J20" s="2385"/>
      <c r="K20" s="2384"/>
      <c r="L20" s="2374"/>
      <c r="M20" s="2374"/>
      <c r="N20" s="2375"/>
      <c r="O20" s="2386"/>
      <c r="P20" s="2383"/>
      <c r="Q20" s="2375">
        <f t="shared" si="1"/>
        <v>0</v>
      </c>
      <c r="R20" s="2375">
        <f t="shared" si="0"/>
        <v>0</v>
      </c>
      <c r="S20" s="2386">
        <v>0</v>
      </c>
      <c r="T20" s="2383"/>
      <c r="U20" s="2375">
        <f t="shared" si="2"/>
        <v>0</v>
      </c>
      <c r="V20" s="2375"/>
      <c r="W20" s="2382"/>
      <c r="X20" s="2383"/>
      <c r="Y20" s="2375"/>
      <c r="Z20" s="2375"/>
      <c r="AA20" s="2377"/>
    </row>
    <row r="21" spans="1:27" ht="41.5" customHeight="1">
      <c r="A21" s="2387" t="s">
        <v>95</v>
      </c>
      <c r="B21" s="3208" t="s">
        <v>312</v>
      </c>
      <c r="C21" s="3209"/>
      <c r="D21" s="3210"/>
      <c r="E21" s="2382">
        <v>2</v>
      </c>
      <c r="F21" s="2388" t="s">
        <v>313</v>
      </c>
      <c r="G21" s="2389">
        <v>1000000</v>
      </c>
      <c r="H21" s="2384">
        <f>E21*G21</f>
        <v>2000000</v>
      </c>
      <c r="I21" s="2390">
        <v>1046418.05</v>
      </c>
      <c r="J21" s="2385">
        <f>E21*I21</f>
        <v>2092836.1</v>
      </c>
      <c r="K21" s="2383" t="e">
        <f>IF(H21=0,"",IF(J21&lt;#REF!*H21,"Timpang &lt;"&amp;TEXT(#REF!,"0%"),IF(J21&gt;#REF!*H21,"Timpang &gt;"&amp;TEXT(#REF!,"0%"),"Wajar")))</f>
        <v>#REF!</v>
      </c>
      <c r="L21" s="2391">
        <v>1046418.05</v>
      </c>
      <c r="M21" s="2374">
        <f>E21*L21</f>
        <v>2092836.1</v>
      </c>
      <c r="N21" s="2375">
        <f t="shared" ref="N21:N52" si="5">M21/$M$8*100</f>
        <v>9.1419547183870881E-2</v>
      </c>
      <c r="O21" s="2375">
        <v>0</v>
      </c>
      <c r="P21" s="2383"/>
      <c r="Q21" s="2375">
        <f t="shared" si="1"/>
        <v>0</v>
      </c>
      <c r="R21" s="2375">
        <f t="shared" si="0"/>
        <v>0</v>
      </c>
      <c r="S21" s="2375">
        <v>0</v>
      </c>
      <c r="T21" s="2388"/>
      <c r="U21" s="2375">
        <f t="shared" si="2"/>
        <v>0</v>
      </c>
      <c r="V21" s="2375"/>
      <c r="W21" s="2382">
        <f t="shared" si="3"/>
        <v>2</v>
      </c>
      <c r="X21" s="2388" t="s">
        <v>313</v>
      </c>
      <c r="Y21" s="2375">
        <f t="shared" si="4"/>
        <v>2092836.1</v>
      </c>
      <c r="Z21" s="2375">
        <f t="shared" ref="Z21:Z52" si="6">Y21/$M$8*100</f>
        <v>9.1419547183870881E-2</v>
      </c>
      <c r="AA21" s="2377" t="s">
        <v>3355</v>
      </c>
    </row>
    <row r="22" spans="1:27" ht="25" customHeight="1">
      <c r="A22" s="2387" t="s">
        <v>98</v>
      </c>
      <c r="B22" s="2379" t="s">
        <v>314</v>
      </c>
      <c r="C22" s="2380"/>
      <c r="D22" s="2381"/>
      <c r="E22" s="2382">
        <v>50</v>
      </c>
      <c r="F22" s="2388" t="s">
        <v>315</v>
      </c>
      <c r="G22" s="2389">
        <v>7000</v>
      </c>
      <c r="H22" s="2384">
        <f>E22*G22</f>
        <v>350000</v>
      </c>
      <c r="I22" s="2390">
        <v>7104.36</v>
      </c>
      <c r="J22" s="2385">
        <f>E22*I22</f>
        <v>355218</v>
      </c>
      <c r="K22" s="2383" t="e">
        <f>IF(H22=0,"",IF(J22&lt;#REF!*H22,"Timpang &lt;"&amp;TEXT(#REF!,"0%"),IF(J22&gt;#REF!*H22,"Timpang &gt;"&amp;TEXT(#REF!,"0%"),"Wajar")))</f>
        <v>#REF!</v>
      </c>
      <c r="L22" s="2391">
        <v>7104.36</v>
      </c>
      <c r="M22" s="2374">
        <f>E22*L22</f>
        <v>355218</v>
      </c>
      <c r="N22" s="2375">
        <f t="shared" si="5"/>
        <v>1.551668031316941E-2</v>
      </c>
      <c r="O22" s="2375">
        <v>0</v>
      </c>
      <c r="P22" s="2383"/>
      <c r="Q22" s="2375">
        <f t="shared" si="1"/>
        <v>0</v>
      </c>
      <c r="R22" s="2375">
        <f t="shared" si="0"/>
        <v>0</v>
      </c>
      <c r="S22" s="2375">
        <v>0</v>
      </c>
      <c r="T22" s="2388"/>
      <c r="U22" s="2375">
        <f t="shared" si="2"/>
        <v>0</v>
      </c>
      <c r="V22" s="2375"/>
      <c r="W22" s="2382">
        <f t="shared" si="3"/>
        <v>50</v>
      </c>
      <c r="X22" s="2388" t="s">
        <v>315</v>
      </c>
      <c r="Y22" s="2375">
        <f t="shared" si="4"/>
        <v>355218</v>
      </c>
      <c r="Z22" s="2375">
        <f t="shared" si="6"/>
        <v>1.551668031316941E-2</v>
      </c>
      <c r="AA22" s="2377" t="s">
        <v>3355</v>
      </c>
    </row>
    <row r="23" spans="1:27" ht="25" customHeight="1">
      <c r="A23" s="2378" t="s">
        <v>316</v>
      </c>
      <c r="B23" s="2379" t="s">
        <v>317</v>
      </c>
      <c r="C23" s="2380"/>
      <c r="D23" s="2381"/>
      <c r="E23" s="2382"/>
      <c r="F23" s="2378"/>
      <c r="G23" s="2389"/>
      <c r="H23" s="2384"/>
      <c r="I23" s="2390"/>
      <c r="J23" s="2385"/>
      <c r="K23" s="2384"/>
      <c r="L23" s="2391"/>
      <c r="M23" s="2374"/>
      <c r="N23" s="2375">
        <f t="shared" si="5"/>
        <v>0</v>
      </c>
      <c r="O23" s="2386"/>
      <c r="P23" s="2383"/>
      <c r="Q23" s="2375">
        <f t="shared" si="1"/>
        <v>0</v>
      </c>
      <c r="R23" s="2375">
        <f t="shared" si="0"/>
        <v>0</v>
      </c>
      <c r="S23" s="2375">
        <v>0</v>
      </c>
      <c r="T23" s="2378"/>
      <c r="U23" s="2375">
        <f t="shared" si="2"/>
        <v>0</v>
      </c>
      <c r="V23" s="2375"/>
      <c r="W23" s="2382">
        <f t="shared" si="3"/>
        <v>0</v>
      </c>
      <c r="X23" s="2378"/>
      <c r="Y23" s="2375">
        <f t="shared" si="4"/>
        <v>0</v>
      </c>
      <c r="Z23" s="2375">
        <f t="shared" si="6"/>
        <v>0</v>
      </c>
      <c r="AA23" s="2377"/>
    </row>
    <row r="24" spans="1:27" ht="31.5" customHeight="1">
      <c r="A24" s="2387" t="s">
        <v>95</v>
      </c>
      <c r="B24" s="3208" t="s">
        <v>318</v>
      </c>
      <c r="C24" s="3209"/>
      <c r="D24" s="3210"/>
      <c r="E24" s="2382">
        <f>E22</f>
        <v>50</v>
      </c>
      <c r="F24" s="2388" t="s">
        <v>315</v>
      </c>
      <c r="G24" s="2389">
        <v>7500</v>
      </c>
      <c r="H24" s="2384">
        <f>E24*G24</f>
        <v>375000</v>
      </c>
      <c r="I24" s="2390">
        <v>7536.74</v>
      </c>
      <c r="J24" s="2385">
        <f>E24*I24</f>
        <v>376837</v>
      </c>
      <c r="K24" s="2383" t="e">
        <f>IF(H24=0,"",IF(J24&lt;#REF!*H24,"Timpang &lt;"&amp;TEXT(#REF!,"0%"),IF(J24&gt;#REF!*H24,"Timpang &gt;"&amp;TEXT(#REF!,"0%"),"Wajar")))</f>
        <v>#REF!</v>
      </c>
      <c r="L24" s="2391">
        <v>7536.74</v>
      </c>
      <c r="M24" s="2374">
        <f>E24*L24</f>
        <v>376837</v>
      </c>
      <c r="N24" s="2375">
        <f t="shared" si="5"/>
        <v>1.6461044370425545E-2</v>
      </c>
      <c r="O24" s="2375">
        <v>0</v>
      </c>
      <c r="P24" s="2383"/>
      <c r="Q24" s="2375">
        <f t="shared" si="1"/>
        <v>0</v>
      </c>
      <c r="R24" s="2375">
        <f t="shared" si="0"/>
        <v>0</v>
      </c>
      <c r="S24" s="2375">
        <v>0</v>
      </c>
      <c r="T24" s="2388"/>
      <c r="U24" s="2375">
        <f t="shared" si="2"/>
        <v>0</v>
      </c>
      <c r="V24" s="2375"/>
      <c r="W24" s="2382">
        <f t="shared" si="3"/>
        <v>50</v>
      </c>
      <c r="X24" s="2388" t="s">
        <v>315</v>
      </c>
      <c r="Y24" s="2375">
        <f t="shared" si="4"/>
        <v>376837</v>
      </c>
      <c r="Z24" s="2375">
        <f t="shared" si="6"/>
        <v>1.6461044370425545E-2</v>
      </c>
      <c r="AA24" s="2377" t="s">
        <v>3355</v>
      </c>
    </row>
    <row r="25" spans="1:27" ht="25" customHeight="1">
      <c r="A25" s="2387" t="s">
        <v>98</v>
      </c>
      <c r="B25" s="2379" t="s">
        <v>319</v>
      </c>
      <c r="C25" s="2380"/>
      <c r="D25" s="2381"/>
      <c r="E25" s="2382">
        <f>E24</f>
        <v>50</v>
      </c>
      <c r="F25" s="2388" t="s">
        <v>315</v>
      </c>
      <c r="G25" s="2389">
        <v>7500</v>
      </c>
      <c r="H25" s="2384">
        <f>E25*G25</f>
        <v>375000</v>
      </c>
      <c r="I25" s="2390">
        <v>7848.23</v>
      </c>
      <c r="J25" s="2385">
        <f>E25*I25</f>
        <v>392411.5</v>
      </c>
      <c r="K25" s="2383" t="e">
        <f>IF(H25=0,"",IF(J25&lt;#REF!*H25,"Timpang &lt;"&amp;TEXT(#REF!,"0%"),IF(J25&gt;#REF!*H25,"Timpang &gt;"&amp;TEXT(#REF!,"0%"),"Wajar")))</f>
        <v>#REF!</v>
      </c>
      <c r="L25" s="2391">
        <v>7848.23</v>
      </c>
      <c r="M25" s="2374">
        <f>E25*L25</f>
        <v>392411.5</v>
      </c>
      <c r="N25" s="2375">
        <f t="shared" si="5"/>
        <v>1.7141371768072785E-2</v>
      </c>
      <c r="O25" s="2375">
        <v>0</v>
      </c>
      <c r="P25" s="2383"/>
      <c r="Q25" s="2375">
        <f t="shared" si="1"/>
        <v>0</v>
      </c>
      <c r="R25" s="2375">
        <f t="shared" si="0"/>
        <v>0</v>
      </c>
      <c r="S25" s="2375">
        <v>0</v>
      </c>
      <c r="T25" s="2388"/>
      <c r="U25" s="2375">
        <f t="shared" si="2"/>
        <v>0</v>
      </c>
      <c r="V25" s="2375"/>
      <c r="W25" s="2382">
        <f t="shared" si="3"/>
        <v>50</v>
      </c>
      <c r="X25" s="2388" t="s">
        <v>315</v>
      </c>
      <c r="Y25" s="2375">
        <f t="shared" si="4"/>
        <v>392411.5</v>
      </c>
      <c r="Z25" s="2375">
        <f t="shared" si="6"/>
        <v>1.7141371768072785E-2</v>
      </c>
      <c r="AA25" s="2377" t="s">
        <v>3355</v>
      </c>
    </row>
    <row r="26" spans="1:27" ht="25" customHeight="1">
      <c r="A26" s="2378" t="s">
        <v>320</v>
      </c>
      <c r="B26" s="2379" t="s">
        <v>321</v>
      </c>
      <c r="C26" s="2380"/>
      <c r="D26" s="2381"/>
      <c r="E26" s="2382"/>
      <c r="F26" s="2378"/>
      <c r="G26" s="2389"/>
      <c r="H26" s="2384"/>
      <c r="I26" s="2390"/>
      <c r="J26" s="2385"/>
      <c r="K26" s="2384"/>
      <c r="L26" s="2391"/>
      <c r="M26" s="2374"/>
      <c r="N26" s="2375">
        <f t="shared" si="5"/>
        <v>0</v>
      </c>
      <c r="O26" s="2386"/>
      <c r="P26" s="2383"/>
      <c r="Q26" s="2375">
        <f t="shared" si="1"/>
        <v>0</v>
      </c>
      <c r="R26" s="2375">
        <f t="shared" si="0"/>
        <v>0</v>
      </c>
      <c r="S26" s="2386">
        <v>0</v>
      </c>
      <c r="T26" s="2378"/>
      <c r="U26" s="2375">
        <f t="shared" si="2"/>
        <v>0</v>
      </c>
      <c r="V26" s="2375"/>
      <c r="W26" s="2382">
        <f t="shared" si="3"/>
        <v>0</v>
      </c>
      <c r="X26" s="2378"/>
      <c r="Y26" s="2375">
        <f t="shared" si="4"/>
        <v>0</v>
      </c>
      <c r="Z26" s="2375">
        <f t="shared" si="6"/>
        <v>0</v>
      </c>
      <c r="AA26" s="2377"/>
    </row>
    <row r="27" spans="1:27" ht="25" customHeight="1">
      <c r="A27" s="2387" t="s">
        <v>95</v>
      </c>
      <c r="B27" s="2379" t="s">
        <v>322</v>
      </c>
      <c r="C27" s="2380"/>
      <c r="D27" s="2381"/>
      <c r="E27" s="2382">
        <v>1</v>
      </c>
      <c r="F27" s="2388" t="s">
        <v>49</v>
      </c>
      <c r="G27" s="2389">
        <v>118500</v>
      </c>
      <c r="H27" s="2384">
        <f>E27*G27</f>
        <v>118500</v>
      </c>
      <c r="I27" s="2390">
        <f>'Bahan &amp; Upah'!C141*10*15%</f>
        <v>124260.495</v>
      </c>
      <c r="J27" s="2385">
        <f>E27*I27</f>
        <v>124260.495</v>
      </c>
      <c r="K27" s="2383" t="e">
        <f>IF(H27=0,"",IF(J27&lt;#REF!*H27,"Timpang &lt;"&amp;TEXT(#REF!,"0%"),IF(J27&gt;#REF!*H27,"Timpang &gt;"&amp;TEXT(#REF!,"0%"),"Wajar")))</f>
        <v>#REF!</v>
      </c>
      <c r="L27" s="2391">
        <v>124260.495</v>
      </c>
      <c r="M27" s="2374">
        <f>E27*L27</f>
        <v>124260.495</v>
      </c>
      <c r="N27" s="2375">
        <f t="shared" si="5"/>
        <v>5.4279636067743921E-3</v>
      </c>
      <c r="O27" s="2375">
        <v>0</v>
      </c>
      <c r="P27" s="2383"/>
      <c r="Q27" s="2375">
        <f t="shared" si="1"/>
        <v>0</v>
      </c>
      <c r="R27" s="2375">
        <f t="shared" si="0"/>
        <v>0</v>
      </c>
      <c r="S27" s="2386">
        <v>0</v>
      </c>
      <c r="T27" s="2388"/>
      <c r="U27" s="2375">
        <f t="shared" si="2"/>
        <v>0</v>
      </c>
      <c r="V27" s="2375"/>
      <c r="W27" s="2382">
        <f t="shared" si="3"/>
        <v>1</v>
      </c>
      <c r="X27" s="2388" t="s">
        <v>49</v>
      </c>
      <c r="Y27" s="2375">
        <f t="shared" si="4"/>
        <v>124260.495</v>
      </c>
      <c r="Z27" s="2375">
        <f t="shared" si="6"/>
        <v>5.4279636067743921E-3</v>
      </c>
      <c r="AA27" s="2377" t="s">
        <v>3355</v>
      </c>
    </row>
    <row r="28" spans="1:27" ht="25" customHeight="1">
      <c r="A28" s="2378" t="s">
        <v>323</v>
      </c>
      <c r="B28" s="2379" t="s">
        <v>324</v>
      </c>
      <c r="C28" s="2380"/>
      <c r="D28" s="2381"/>
      <c r="E28" s="2382"/>
      <c r="F28" s="2378"/>
      <c r="G28" s="2389"/>
      <c r="H28" s="2384"/>
      <c r="I28" s="2390"/>
      <c r="J28" s="2385"/>
      <c r="K28" s="2384"/>
      <c r="L28" s="2391"/>
      <c r="M28" s="2374"/>
      <c r="N28" s="2375">
        <f t="shared" si="5"/>
        <v>0</v>
      </c>
      <c r="O28" s="2386">
        <v>0</v>
      </c>
      <c r="P28" s="2383"/>
      <c r="Q28" s="2375">
        <f t="shared" si="1"/>
        <v>0</v>
      </c>
      <c r="R28" s="2375">
        <f t="shared" si="0"/>
        <v>0</v>
      </c>
      <c r="S28" s="2375">
        <v>0</v>
      </c>
      <c r="T28" s="2378"/>
      <c r="U28" s="2375">
        <f t="shared" si="2"/>
        <v>0</v>
      </c>
      <c r="V28" s="2375"/>
      <c r="W28" s="2382">
        <f t="shared" si="3"/>
        <v>0</v>
      </c>
      <c r="X28" s="2378"/>
      <c r="Y28" s="2375">
        <f t="shared" si="4"/>
        <v>0</v>
      </c>
      <c r="Z28" s="2375">
        <f t="shared" si="6"/>
        <v>0</v>
      </c>
      <c r="AA28" s="2377"/>
    </row>
    <row r="29" spans="1:27" ht="25" customHeight="1">
      <c r="A29" s="2387" t="s">
        <v>95</v>
      </c>
      <c r="B29" s="2379" t="s">
        <v>325</v>
      </c>
      <c r="C29" s="2380"/>
      <c r="D29" s="2381"/>
      <c r="E29" s="2382">
        <f>E22</f>
        <v>50</v>
      </c>
      <c r="F29" s="2388" t="s">
        <v>124</v>
      </c>
      <c r="G29" s="2389">
        <v>75000</v>
      </c>
      <c r="H29" s="2384">
        <f>E29*G29</f>
        <v>3750000</v>
      </c>
      <c r="I29" s="2390">
        <v>79112.25</v>
      </c>
      <c r="J29" s="2385">
        <f>E29*I29</f>
        <v>3955612.5</v>
      </c>
      <c r="K29" s="2383" t="e">
        <f>IF(H29=0,"",IF(J29&lt;#REF!*H29,"Timpang &lt;"&amp;TEXT(#REF!,"0%"),IF(J29&gt;#REF!*H29,"Timpang &gt;"&amp;TEXT(#REF!,"0%"),"Wajar")))</f>
        <v>#REF!</v>
      </c>
      <c r="L29" s="2391">
        <v>79112.25</v>
      </c>
      <c r="M29" s="2374">
        <f>E29*L29</f>
        <v>3955612.5</v>
      </c>
      <c r="N29" s="2375">
        <f t="shared" si="5"/>
        <v>0.17278959569975855</v>
      </c>
      <c r="O29" s="2375">
        <v>0</v>
      </c>
      <c r="P29" s="2383"/>
      <c r="Q29" s="2375">
        <f t="shared" si="1"/>
        <v>0</v>
      </c>
      <c r="R29" s="2375">
        <f t="shared" si="0"/>
        <v>0</v>
      </c>
      <c r="S29" s="2375">
        <v>0</v>
      </c>
      <c r="T29" s="2388"/>
      <c r="U29" s="2375">
        <f t="shared" si="2"/>
        <v>0</v>
      </c>
      <c r="V29" s="2375"/>
      <c r="W29" s="2382">
        <f t="shared" si="3"/>
        <v>50</v>
      </c>
      <c r="X29" s="2388" t="s">
        <v>124</v>
      </c>
      <c r="Y29" s="2375">
        <f t="shared" si="4"/>
        <v>3955612.5</v>
      </c>
      <c r="Z29" s="2375">
        <f t="shared" si="6"/>
        <v>0.17278959569975855</v>
      </c>
      <c r="AA29" s="2377" t="s">
        <v>3355</v>
      </c>
    </row>
    <row r="30" spans="1:27" ht="25" customHeight="1">
      <c r="A30" s="2387" t="s">
        <v>98</v>
      </c>
      <c r="B30" s="2379" t="s">
        <v>326</v>
      </c>
      <c r="C30" s="2380"/>
      <c r="D30" s="2381"/>
      <c r="E30" s="2382">
        <f>E29</f>
        <v>50</v>
      </c>
      <c r="F30" s="2388" t="s">
        <v>124</v>
      </c>
      <c r="G30" s="2389">
        <v>5000</v>
      </c>
      <c r="H30" s="2384">
        <f>E30*G30</f>
        <v>250000</v>
      </c>
      <c r="I30" s="2390">
        <v>5065.1899999999996</v>
      </c>
      <c r="J30" s="2385">
        <f>E30*I30</f>
        <v>253259.49999999997</v>
      </c>
      <c r="K30" s="2383" t="e">
        <f>IF(H30=0,"",IF(J30&lt;#REF!*H30,"Timpang &lt;"&amp;TEXT(#REF!,"0%"),IF(J30&gt;#REF!*H30,"Timpang &gt;"&amp;TEXT(#REF!,"0%"),"Wajar")))</f>
        <v>#REF!</v>
      </c>
      <c r="L30" s="2391">
        <v>5065.1899999999996</v>
      </c>
      <c r="M30" s="2374">
        <f>E30*L30</f>
        <v>253259.49999999997</v>
      </c>
      <c r="N30" s="2375">
        <f t="shared" si="5"/>
        <v>1.1062915442835464E-2</v>
      </c>
      <c r="O30" s="2375">
        <v>0</v>
      </c>
      <c r="P30" s="2383"/>
      <c r="Q30" s="2375">
        <f t="shared" si="1"/>
        <v>0</v>
      </c>
      <c r="R30" s="2375">
        <f t="shared" si="0"/>
        <v>0</v>
      </c>
      <c r="S30" s="2375">
        <v>0</v>
      </c>
      <c r="T30" s="2388"/>
      <c r="U30" s="2375">
        <f t="shared" si="2"/>
        <v>0</v>
      </c>
      <c r="V30" s="2375"/>
      <c r="W30" s="2382">
        <f t="shared" si="3"/>
        <v>50</v>
      </c>
      <c r="X30" s="2388" t="s">
        <v>124</v>
      </c>
      <c r="Y30" s="2375">
        <f t="shared" si="4"/>
        <v>253259.49999999997</v>
      </c>
      <c r="Z30" s="2375">
        <f t="shared" si="6"/>
        <v>1.1062915442835464E-2</v>
      </c>
      <c r="AA30" s="2377" t="s">
        <v>3355</v>
      </c>
    </row>
    <row r="31" spans="1:27" ht="25" customHeight="1">
      <c r="A31" s="2387" t="s">
        <v>101</v>
      </c>
      <c r="B31" s="2379" t="s">
        <v>327</v>
      </c>
      <c r="C31" s="2380"/>
      <c r="D31" s="2381"/>
      <c r="E31" s="2382">
        <f>E30</f>
        <v>50</v>
      </c>
      <c r="F31" s="2388" t="s">
        <v>328</v>
      </c>
      <c r="G31" s="2389">
        <v>5000</v>
      </c>
      <c r="H31" s="2384">
        <f>E31*G31</f>
        <v>250000</v>
      </c>
      <c r="I31" s="2390">
        <v>5020.38</v>
      </c>
      <c r="J31" s="2385">
        <f>E31*I31</f>
        <v>251019</v>
      </c>
      <c r="K31" s="2383" t="e">
        <f>IF(H31=0,"",IF(J31&lt;#REF!*H31,"Timpang &lt;"&amp;TEXT(#REF!,"0%"),IF(J31&gt;#REF!*H31,"Timpang &gt;"&amp;TEXT(#REF!,"0%"),"Wajar")))</f>
        <v>#REF!</v>
      </c>
      <c r="L31" s="2391">
        <v>5020.38</v>
      </c>
      <c r="M31" s="2374">
        <f>E31*L31</f>
        <v>251019</v>
      </c>
      <c r="N31" s="2375">
        <f t="shared" si="5"/>
        <v>1.0965045621369053E-2</v>
      </c>
      <c r="O31" s="2375">
        <v>0</v>
      </c>
      <c r="P31" s="2383"/>
      <c r="Q31" s="2375">
        <f t="shared" si="1"/>
        <v>0</v>
      </c>
      <c r="R31" s="2375">
        <f t="shared" si="0"/>
        <v>0</v>
      </c>
      <c r="S31" s="2375">
        <v>0</v>
      </c>
      <c r="T31" s="2388"/>
      <c r="U31" s="2375">
        <f t="shared" si="2"/>
        <v>0</v>
      </c>
      <c r="V31" s="2375"/>
      <c r="W31" s="2382">
        <f t="shared" si="3"/>
        <v>50</v>
      </c>
      <c r="X31" s="2388" t="s">
        <v>328</v>
      </c>
      <c r="Y31" s="2375">
        <f t="shared" si="4"/>
        <v>251019</v>
      </c>
      <c r="Z31" s="2375">
        <f t="shared" si="6"/>
        <v>1.0965045621369053E-2</v>
      </c>
      <c r="AA31" s="2377" t="s">
        <v>3355</v>
      </c>
    </row>
    <row r="32" spans="1:27" ht="38.5" customHeight="1">
      <c r="A32" s="2387" t="s">
        <v>121</v>
      </c>
      <c r="B32" s="3208" t="s">
        <v>329</v>
      </c>
      <c r="C32" s="3209"/>
      <c r="D32" s="3210"/>
      <c r="E32" s="2382">
        <f>E31</f>
        <v>50</v>
      </c>
      <c r="F32" s="2388" t="s">
        <v>328</v>
      </c>
      <c r="G32" s="2389">
        <v>145000</v>
      </c>
      <c r="H32" s="2384">
        <f>E32*G32</f>
        <v>7250000</v>
      </c>
      <c r="I32" s="2390">
        <v>141266.14000000001</v>
      </c>
      <c r="J32" s="2385">
        <f>E32*I32</f>
        <v>7063307.0000000009</v>
      </c>
      <c r="K32" s="2383" t="e">
        <f>IF(H32=0,"",IF(J32&lt;#REF!*H32,"Timpang &lt;"&amp;TEXT(#REF!,"0%"),IF(J32&gt;#REF!*H32,"Timpang &gt;"&amp;TEXT(#REF!,"0%"),"Wajar")))</f>
        <v>#REF!</v>
      </c>
      <c r="L32" s="2391">
        <v>141266.14000000001</v>
      </c>
      <c r="M32" s="2374">
        <f>E32*L32</f>
        <v>7063307.0000000009</v>
      </c>
      <c r="N32" s="2375">
        <f t="shared" si="5"/>
        <v>0.30854032361189948</v>
      </c>
      <c r="O32" s="2375">
        <v>0</v>
      </c>
      <c r="P32" s="2383"/>
      <c r="Q32" s="2375">
        <f t="shared" si="1"/>
        <v>0</v>
      </c>
      <c r="R32" s="2375">
        <f t="shared" si="0"/>
        <v>0</v>
      </c>
      <c r="S32" s="2375">
        <v>0</v>
      </c>
      <c r="T32" s="2388"/>
      <c r="U32" s="2375">
        <f t="shared" si="2"/>
        <v>0</v>
      </c>
      <c r="V32" s="2375"/>
      <c r="W32" s="2382">
        <f t="shared" si="3"/>
        <v>50</v>
      </c>
      <c r="X32" s="2388" t="s">
        <v>328</v>
      </c>
      <c r="Y32" s="2375">
        <f t="shared" si="4"/>
        <v>7063307.0000000009</v>
      </c>
      <c r="Z32" s="2375">
        <f t="shared" si="6"/>
        <v>0.30854032361189948</v>
      </c>
      <c r="AA32" s="2377" t="s">
        <v>3355</v>
      </c>
    </row>
    <row r="33" spans="1:27" ht="25" customHeight="1">
      <c r="A33" s="2387" t="s">
        <v>142</v>
      </c>
      <c r="B33" s="2379" t="s">
        <v>330</v>
      </c>
      <c r="C33" s="2380"/>
      <c r="D33" s="2381"/>
      <c r="E33" s="2382">
        <f>E32</f>
        <v>50</v>
      </c>
      <c r="F33" s="2388" t="s">
        <v>124</v>
      </c>
      <c r="G33" s="2389">
        <v>25000</v>
      </c>
      <c r="H33" s="2384">
        <f>E33*G33</f>
        <v>1250000</v>
      </c>
      <c r="I33" s="2390">
        <v>25391.62</v>
      </c>
      <c r="J33" s="2385">
        <f>E33*I33</f>
        <v>1269581</v>
      </c>
      <c r="K33" s="2383" t="e">
        <f>IF(H33=0,"",IF(J33&lt;#REF!*H33,"Timpang &lt;"&amp;TEXT(#REF!,"0%"),IF(J33&gt;#REF!*H33,"Timpang &gt;"&amp;TEXT(#REF!,"0%"),"Wajar")))</f>
        <v>#REF!</v>
      </c>
      <c r="L33" s="2391">
        <v>25391.62</v>
      </c>
      <c r="M33" s="2374">
        <f>E33*L33</f>
        <v>1269581</v>
      </c>
      <c r="N33" s="2375">
        <f t="shared" si="5"/>
        <v>5.5458007501517186E-2</v>
      </c>
      <c r="O33" s="2375">
        <v>0</v>
      </c>
      <c r="P33" s="2383"/>
      <c r="Q33" s="2375">
        <f t="shared" si="1"/>
        <v>0</v>
      </c>
      <c r="R33" s="2375">
        <f t="shared" si="0"/>
        <v>0</v>
      </c>
      <c r="S33" s="2386">
        <v>0</v>
      </c>
      <c r="T33" s="2388"/>
      <c r="U33" s="2375">
        <f>S33*L33</f>
        <v>0</v>
      </c>
      <c r="V33" s="2375"/>
      <c r="W33" s="2382">
        <f t="shared" si="3"/>
        <v>50</v>
      </c>
      <c r="X33" s="2388" t="s">
        <v>124</v>
      </c>
      <c r="Y33" s="2375">
        <f t="shared" si="4"/>
        <v>1269581</v>
      </c>
      <c r="Z33" s="2375">
        <f t="shared" si="6"/>
        <v>5.5458007501517186E-2</v>
      </c>
      <c r="AA33" s="2377" t="s">
        <v>3355</v>
      </c>
    </row>
    <row r="34" spans="1:27" ht="25" customHeight="1">
      <c r="A34" s="2378" t="s">
        <v>331</v>
      </c>
      <c r="B34" s="2379" t="s">
        <v>332</v>
      </c>
      <c r="C34" s="2380"/>
      <c r="D34" s="2381"/>
      <c r="E34" s="2382"/>
      <c r="F34" s="2378"/>
      <c r="G34" s="2389"/>
      <c r="H34" s="2384"/>
      <c r="I34" s="2390"/>
      <c r="J34" s="2385"/>
      <c r="K34" s="2384"/>
      <c r="L34" s="2391"/>
      <c r="M34" s="2374"/>
      <c r="N34" s="2375">
        <f t="shared" si="5"/>
        <v>0</v>
      </c>
      <c r="O34" s="2386">
        <v>0</v>
      </c>
      <c r="P34" s="2383"/>
      <c r="Q34" s="2375">
        <f t="shared" si="1"/>
        <v>0</v>
      </c>
      <c r="R34" s="2375">
        <f t="shared" si="0"/>
        <v>0</v>
      </c>
      <c r="S34" s="2386">
        <v>0</v>
      </c>
      <c r="T34" s="2378"/>
      <c r="U34" s="2375">
        <f t="shared" si="2"/>
        <v>0</v>
      </c>
      <c r="V34" s="2375"/>
      <c r="W34" s="2382">
        <f t="shared" si="3"/>
        <v>0</v>
      </c>
      <c r="X34" s="2378"/>
      <c r="Y34" s="2375">
        <f t="shared" si="4"/>
        <v>0</v>
      </c>
      <c r="Z34" s="2375">
        <f t="shared" si="6"/>
        <v>0</v>
      </c>
      <c r="AA34" s="2377"/>
    </row>
    <row r="35" spans="1:27" s="2199" customFormat="1" ht="37.5" customHeight="1">
      <c r="A35" s="2387" t="s">
        <v>95</v>
      </c>
      <c r="B35" s="3208" t="s">
        <v>333</v>
      </c>
      <c r="C35" s="3209"/>
      <c r="D35" s="3210"/>
      <c r="E35" s="2382">
        <v>1</v>
      </c>
      <c r="F35" s="2388" t="s">
        <v>49</v>
      </c>
      <c r="G35" s="2389">
        <v>20000000</v>
      </c>
      <c r="H35" s="2384">
        <f>E35*G35</f>
        <v>20000000</v>
      </c>
      <c r="I35" s="2390">
        <v>20000000</v>
      </c>
      <c r="J35" s="2385">
        <f>E35*I35</f>
        <v>20000000</v>
      </c>
      <c r="K35" s="2383" t="e">
        <f>IF(H35=0,"",IF(J35&lt;#REF!*H35,"Timpang &lt;"&amp;TEXT(#REF!,"0%"),IF(J35&gt;#REF!*H35,"Timpang &gt;"&amp;TEXT(#REF!,"0%"),"Wajar")))</f>
        <v>#REF!</v>
      </c>
      <c r="L35" s="2374">
        <v>12000000</v>
      </c>
      <c r="M35" s="2374">
        <f>E35*L35</f>
        <v>12000000</v>
      </c>
      <c r="N35" s="2375">
        <f t="shared" si="5"/>
        <v>0.52418560928227997</v>
      </c>
      <c r="O35" s="2375">
        <v>0</v>
      </c>
      <c r="P35" s="2383"/>
      <c r="Q35" s="2375">
        <f t="shared" si="1"/>
        <v>0</v>
      </c>
      <c r="R35" s="2375">
        <f t="shared" si="0"/>
        <v>0</v>
      </c>
      <c r="S35" s="2375">
        <v>0</v>
      </c>
      <c r="T35" s="2388"/>
      <c r="U35" s="2375">
        <f t="shared" si="2"/>
        <v>0</v>
      </c>
      <c r="V35" s="2375"/>
      <c r="W35" s="2382">
        <f t="shared" si="3"/>
        <v>1</v>
      </c>
      <c r="X35" s="2388" t="s">
        <v>49</v>
      </c>
      <c r="Y35" s="2375">
        <f t="shared" si="4"/>
        <v>12000000</v>
      </c>
      <c r="Z35" s="2375">
        <f t="shared" si="6"/>
        <v>0.52418560928227997</v>
      </c>
      <c r="AA35" s="2377" t="s">
        <v>3355</v>
      </c>
    </row>
    <row r="36" spans="1:27" ht="25" customHeight="1">
      <c r="A36" s="2378"/>
      <c r="B36" s="2392" t="s">
        <v>334</v>
      </c>
      <c r="C36" s="2380"/>
      <c r="D36" s="2381"/>
      <c r="E36" s="2382"/>
      <c r="F36" s="2378"/>
      <c r="G36" s="2389"/>
      <c r="H36" s="2384"/>
      <c r="I36" s="2390"/>
      <c r="J36" s="2385"/>
      <c r="K36" s="2384"/>
      <c r="L36" s="2391"/>
      <c r="M36" s="2374"/>
      <c r="N36" s="2375">
        <f t="shared" si="5"/>
        <v>0</v>
      </c>
      <c r="O36" s="2386">
        <v>0</v>
      </c>
      <c r="P36" s="2383"/>
      <c r="Q36" s="2375">
        <f t="shared" si="1"/>
        <v>0</v>
      </c>
      <c r="R36" s="2375">
        <f t="shared" si="0"/>
        <v>0</v>
      </c>
      <c r="S36" s="2375">
        <v>0</v>
      </c>
      <c r="T36" s="2378"/>
      <c r="U36" s="2375">
        <f t="shared" si="2"/>
        <v>0</v>
      </c>
      <c r="V36" s="2375"/>
      <c r="W36" s="2382">
        <f t="shared" si="3"/>
        <v>0</v>
      </c>
      <c r="X36" s="2378"/>
      <c r="Y36" s="2375">
        <f t="shared" si="4"/>
        <v>0</v>
      </c>
      <c r="Z36" s="2375">
        <f t="shared" si="6"/>
        <v>0</v>
      </c>
      <c r="AA36" s="2377"/>
    </row>
    <row r="37" spans="1:27" ht="25" customHeight="1">
      <c r="A37" s="2378" t="s">
        <v>335</v>
      </c>
      <c r="B37" s="2392" t="s">
        <v>336</v>
      </c>
      <c r="C37" s="2380"/>
      <c r="D37" s="2381"/>
      <c r="E37" s="2382"/>
      <c r="F37" s="2378"/>
      <c r="G37" s="2389"/>
      <c r="H37" s="2384"/>
      <c r="I37" s="2390"/>
      <c r="J37" s="2385"/>
      <c r="K37" s="2384"/>
      <c r="L37" s="2391"/>
      <c r="M37" s="2374"/>
      <c r="N37" s="2375">
        <f t="shared" si="5"/>
        <v>0</v>
      </c>
      <c r="O37" s="2386">
        <v>0</v>
      </c>
      <c r="P37" s="2383"/>
      <c r="Q37" s="2375">
        <f t="shared" si="1"/>
        <v>0</v>
      </c>
      <c r="R37" s="2375">
        <f t="shared" si="0"/>
        <v>0</v>
      </c>
      <c r="S37" s="2375">
        <v>0</v>
      </c>
      <c r="T37" s="2378"/>
      <c r="U37" s="2375">
        <f t="shared" si="2"/>
        <v>0</v>
      </c>
      <c r="V37" s="2375"/>
      <c r="W37" s="2382">
        <f t="shared" si="3"/>
        <v>0</v>
      </c>
      <c r="X37" s="2378"/>
      <c r="Y37" s="2375">
        <f t="shared" si="4"/>
        <v>0</v>
      </c>
      <c r="Z37" s="2375">
        <f t="shared" si="6"/>
        <v>0</v>
      </c>
      <c r="AA37" s="2377"/>
    </row>
    <row r="38" spans="1:27" ht="25" customHeight="1">
      <c r="A38" s="2387" t="s">
        <v>95</v>
      </c>
      <c r="B38" s="2392" t="s">
        <v>337</v>
      </c>
      <c r="C38" s="2380"/>
      <c r="D38" s="2381"/>
      <c r="E38" s="2382">
        <f>E17</f>
        <v>6</v>
      </c>
      <c r="F38" s="2388" t="s">
        <v>305</v>
      </c>
      <c r="G38" s="2389">
        <v>7000000</v>
      </c>
      <c r="H38" s="2384">
        <f>E38*G38</f>
        <v>42000000</v>
      </c>
      <c r="I38" s="2390">
        <v>6965298.1900000004</v>
      </c>
      <c r="J38" s="2385">
        <f>E38*I38</f>
        <v>41791789.140000001</v>
      </c>
      <c r="K38" s="2383" t="e">
        <f>IF(H38=0,"",IF(J38&lt;#REF!*H38,"Timpang &lt;"&amp;TEXT(#REF!,"0%"),IF(J38&gt;#REF!*H38,"Timpang &gt;"&amp;TEXT(#REF!,"0%"),"Wajar")))</f>
        <v>#REF!</v>
      </c>
      <c r="L38" s="2391">
        <v>6965298.1900000004</v>
      </c>
      <c r="M38" s="2374">
        <f>E38*L38</f>
        <v>41791789.140000001</v>
      </c>
      <c r="N38" s="2375">
        <f t="shared" si="5"/>
        <v>1.8255545377789557</v>
      </c>
      <c r="O38" s="2375">
        <v>0</v>
      </c>
      <c r="P38" s="2383"/>
      <c r="Q38" s="2375">
        <f t="shared" si="1"/>
        <v>0</v>
      </c>
      <c r="R38" s="2375">
        <f t="shared" si="0"/>
        <v>0</v>
      </c>
      <c r="S38" s="2375">
        <v>0</v>
      </c>
      <c r="T38" s="2388"/>
      <c r="U38" s="2375">
        <f t="shared" si="2"/>
        <v>0</v>
      </c>
      <c r="V38" s="2375"/>
      <c r="W38" s="2382">
        <f t="shared" si="3"/>
        <v>6</v>
      </c>
      <c r="X38" s="2388" t="s">
        <v>305</v>
      </c>
      <c r="Y38" s="2375">
        <f t="shared" si="4"/>
        <v>41791789.140000001</v>
      </c>
      <c r="Z38" s="2375">
        <f t="shared" si="6"/>
        <v>1.8255545377789557</v>
      </c>
      <c r="AA38" s="2377" t="s">
        <v>3355</v>
      </c>
    </row>
    <row r="39" spans="1:27" ht="25" customHeight="1">
      <c r="A39" s="2378" t="s">
        <v>338</v>
      </c>
      <c r="B39" s="2379" t="s">
        <v>339</v>
      </c>
      <c r="C39" s="2380"/>
      <c r="D39" s="2381"/>
      <c r="E39" s="2382"/>
      <c r="F39" s="2378"/>
      <c r="G39" s="2389"/>
      <c r="H39" s="2384"/>
      <c r="I39" s="2390"/>
      <c r="J39" s="2385"/>
      <c r="K39" s="2384"/>
      <c r="L39" s="2391"/>
      <c r="M39" s="2374"/>
      <c r="N39" s="2375">
        <f t="shared" si="5"/>
        <v>0</v>
      </c>
      <c r="O39" s="2386">
        <v>0</v>
      </c>
      <c r="P39" s="2383"/>
      <c r="Q39" s="2375">
        <f t="shared" si="1"/>
        <v>0</v>
      </c>
      <c r="R39" s="2375">
        <f t="shared" si="0"/>
        <v>0</v>
      </c>
      <c r="S39" s="2375">
        <v>0</v>
      </c>
      <c r="T39" s="2378"/>
      <c r="U39" s="2375">
        <f t="shared" si="2"/>
        <v>0</v>
      </c>
      <c r="V39" s="2375"/>
      <c r="W39" s="2382">
        <f t="shared" si="3"/>
        <v>0</v>
      </c>
      <c r="X39" s="2378"/>
      <c r="Y39" s="2375">
        <f t="shared" si="4"/>
        <v>0</v>
      </c>
      <c r="Z39" s="2375">
        <f t="shared" si="6"/>
        <v>0</v>
      </c>
      <c r="AA39" s="2377"/>
    </row>
    <row r="40" spans="1:27" ht="25" customHeight="1">
      <c r="A40" s="2378"/>
      <c r="B40" s="3208" t="s">
        <v>340</v>
      </c>
      <c r="C40" s="3209"/>
      <c r="D40" s="3210"/>
      <c r="E40" s="2382">
        <v>1</v>
      </c>
      <c r="F40" s="2388" t="s">
        <v>49</v>
      </c>
      <c r="G40" s="2389">
        <v>5500000</v>
      </c>
      <c r="H40" s="2384">
        <f>E40*G40</f>
        <v>5500000</v>
      </c>
      <c r="I40" s="2390">
        <v>5814936.7999999998</v>
      </c>
      <c r="J40" s="2385">
        <f>E40*I40</f>
        <v>5814936.7999999998</v>
      </c>
      <c r="K40" s="2383" t="e">
        <f>IF(H40=0,"",IF(J40&lt;#REF!*H40,"Timpang &lt;"&amp;TEXT(#REF!,"0%"),IF(J40&gt;#REF!*H40,"Timpang &gt;"&amp;TEXT(#REF!,"0%"),"Wajar")))</f>
        <v>#REF!</v>
      </c>
      <c r="L40" s="2391">
        <v>5814936.7999999998</v>
      </c>
      <c r="M40" s="2374">
        <f>E40*L40</f>
        <v>5814936.7999999998</v>
      </c>
      <c r="N40" s="2375">
        <f t="shared" si="5"/>
        <v>0.25400884912049593</v>
      </c>
      <c r="O40" s="2375">
        <v>0</v>
      </c>
      <c r="P40" s="2383"/>
      <c r="Q40" s="2375">
        <f t="shared" si="1"/>
        <v>0</v>
      </c>
      <c r="R40" s="2375">
        <f t="shared" si="0"/>
        <v>0</v>
      </c>
      <c r="S40" s="2386">
        <v>0</v>
      </c>
      <c r="T40" s="2388"/>
      <c r="U40" s="2375">
        <f t="shared" si="2"/>
        <v>0</v>
      </c>
      <c r="V40" s="2375"/>
      <c r="W40" s="2382">
        <f t="shared" si="3"/>
        <v>1</v>
      </c>
      <c r="X40" s="2388" t="s">
        <v>49</v>
      </c>
      <c r="Y40" s="2375">
        <f t="shared" si="4"/>
        <v>5814936.7999999998</v>
      </c>
      <c r="Z40" s="2375">
        <f t="shared" si="6"/>
        <v>0.25400884912049593</v>
      </c>
      <c r="AA40" s="2377" t="s">
        <v>3355</v>
      </c>
    </row>
    <row r="41" spans="1:27" ht="25" customHeight="1">
      <c r="A41" s="2378" t="s">
        <v>341</v>
      </c>
      <c r="B41" s="2392" t="s">
        <v>342</v>
      </c>
      <c r="C41" s="2380"/>
      <c r="D41" s="2381"/>
      <c r="E41" s="2382"/>
      <c r="F41" s="2378"/>
      <c r="G41" s="2389"/>
      <c r="H41" s="2384"/>
      <c r="I41" s="2390"/>
      <c r="J41" s="2385"/>
      <c r="K41" s="2384"/>
      <c r="L41" s="2391"/>
      <c r="M41" s="2374"/>
      <c r="N41" s="2375">
        <f t="shared" si="5"/>
        <v>0</v>
      </c>
      <c r="O41" s="2386">
        <v>0</v>
      </c>
      <c r="P41" s="2383"/>
      <c r="Q41" s="2375">
        <f t="shared" si="1"/>
        <v>0</v>
      </c>
      <c r="R41" s="2375">
        <f t="shared" si="0"/>
        <v>0</v>
      </c>
      <c r="S41" s="2386">
        <v>0</v>
      </c>
      <c r="T41" s="2378"/>
      <c r="U41" s="2375">
        <f t="shared" si="2"/>
        <v>0</v>
      </c>
      <c r="V41" s="2375"/>
      <c r="W41" s="2382">
        <f t="shared" si="3"/>
        <v>0</v>
      </c>
      <c r="X41" s="2378"/>
      <c r="Y41" s="2375">
        <f t="shared" si="4"/>
        <v>0</v>
      </c>
      <c r="Z41" s="2375">
        <f t="shared" si="6"/>
        <v>0</v>
      </c>
      <c r="AA41" s="2377"/>
    </row>
    <row r="42" spans="1:27" ht="25" customHeight="1">
      <c r="A42" s="2387" t="s">
        <v>95</v>
      </c>
      <c r="B42" s="2392" t="s">
        <v>343</v>
      </c>
      <c r="C42" s="2380"/>
      <c r="D42" s="2381"/>
      <c r="E42" s="2382">
        <v>5</v>
      </c>
      <c r="F42" s="2388" t="s">
        <v>124</v>
      </c>
      <c r="G42" s="2389">
        <v>75000</v>
      </c>
      <c r="H42" s="2384">
        <f>E42*G42</f>
        <v>375000</v>
      </c>
      <c r="I42" s="2390">
        <v>71738.34</v>
      </c>
      <c r="J42" s="2385">
        <f>E42*I42</f>
        <v>358691.69999999995</v>
      </c>
      <c r="K42" s="2383" t="e">
        <f>IF(H42=0,"",IF(J42&lt;#REF!*H42,"Timpang &lt;"&amp;TEXT(#REF!,"0%"),IF(J42&gt;#REF!*H42,"Timpang &gt;"&amp;TEXT(#REF!,"0%"),"Wajar")))</f>
        <v>#REF!</v>
      </c>
      <c r="L42" s="2391">
        <v>71738.34</v>
      </c>
      <c r="M42" s="2374">
        <f>E42*L42</f>
        <v>358691.69999999995</v>
      </c>
      <c r="N42" s="2375">
        <f t="shared" si="5"/>
        <v>1.5668418942416398E-2</v>
      </c>
      <c r="O42" s="2375">
        <v>0</v>
      </c>
      <c r="P42" s="2383"/>
      <c r="Q42" s="2375">
        <f t="shared" si="1"/>
        <v>0</v>
      </c>
      <c r="R42" s="2375">
        <f t="shared" si="0"/>
        <v>0</v>
      </c>
      <c r="S42" s="2375">
        <v>0</v>
      </c>
      <c r="T42" s="2388"/>
      <c r="U42" s="2375">
        <f t="shared" si="2"/>
        <v>0</v>
      </c>
      <c r="V42" s="2375"/>
      <c r="W42" s="2382">
        <f t="shared" si="3"/>
        <v>5</v>
      </c>
      <c r="X42" s="2388" t="s">
        <v>124</v>
      </c>
      <c r="Y42" s="2375">
        <f t="shared" si="4"/>
        <v>358691.69999999995</v>
      </c>
      <c r="Z42" s="2375">
        <f t="shared" si="6"/>
        <v>1.5668418942416398E-2</v>
      </c>
      <c r="AA42" s="2377" t="s">
        <v>3355</v>
      </c>
    </row>
    <row r="43" spans="1:27" ht="25" customHeight="1">
      <c r="A43" s="2387" t="s">
        <v>98</v>
      </c>
      <c r="B43" s="2392" t="s">
        <v>344</v>
      </c>
      <c r="C43" s="2380"/>
      <c r="D43" s="2381"/>
      <c r="E43" s="2382">
        <v>2</v>
      </c>
      <c r="F43" s="2388" t="s">
        <v>124</v>
      </c>
      <c r="G43" s="2389">
        <v>75000</v>
      </c>
      <c r="H43" s="2384">
        <f>E43*G43</f>
        <v>150000</v>
      </c>
      <c r="I43" s="2390">
        <v>76185.039999999994</v>
      </c>
      <c r="J43" s="2385">
        <f>E43*I43</f>
        <v>152370.07999999999</v>
      </c>
      <c r="K43" s="2383" t="e">
        <f>IF(H43=0,"",IF(J43&lt;#REF!*H43,"Timpang &lt;"&amp;TEXT(#REF!,"0%"),IF(J43&gt;#REF!*H43,"Timpang &gt;"&amp;TEXT(#REF!,"0%"),"Wajar")))</f>
        <v>#REF!</v>
      </c>
      <c r="L43" s="2391">
        <v>76185.039999999994</v>
      </c>
      <c r="M43" s="2374">
        <f>E43*L43</f>
        <v>152370.07999999999</v>
      </c>
      <c r="N43" s="2375">
        <f t="shared" si="5"/>
        <v>6.6558502684324781E-3</v>
      </c>
      <c r="O43" s="2375">
        <v>0</v>
      </c>
      <c r="P43" s="2383"/>
      <c r="Q43" s="2375">
        <f t="shared" si="1"/>
        <v>0</v>
      </c>
      <c r="R43" s="2375">
        <f t="shared" si="0"/>
        <v>0</v>
      </c>
      <c r="S43" s="2375">
        <v>0</v>
      </c>
      <c r="T43" s="2388"/>
      <c r="U43" s="2375">
        <f t="shared" si="2"/>
        <v>0</v>
      </c>
      <c r="V43" s="2375"/>
      <c r="W43" s="2382">
        <f t="shared" si="3"/>
        <v>2</v>
      </c>
      <c r="X43" s="2388" t="s">
        <v>124</v>
      </c>
      <c r="Y43" s="2375">
        <f t="shared" si="4"/>
        <v>152370.07999999999</v>
      </c>
      <c r="Z43" s="2375">
        <f t="shared" si="6"/>
        <v>6.6558502684324781E-3</v>
      </c>
      <c r="AA43" s="2377" t="s">
        <v>3355</v>
      </c>
    </row>
    <row r="44" spans="1:27" ht="25" customHeight="1">
      <c r="A44" s="2387" t="s">
        <v>101</v>
      </c>
      <c r="B44" s="2392" t="s">
        <v>345</v>
      </c>
      <c r="C44" s="2380"/>
      <c r="D44" s="2381"/>
      <c r="E44" s="2382">
        <v>5</v>
      </c>
      <c r="F44" s="2388" t="s">
        <v>124</v>
      </c>
      <c r="G44" s="2389">
        <v>75000</v>
      </c>
      <c r="H44" s="2384">
        <f>E44*G44</f>
        <v>375000</v>
      </c>
      <c r="I44" s="2390">
        <v>75989.55</v>
      </c>
      <c r="J44" s="2385">
        <f>E44*I44</f>
        <v>379947.75</v>
      </c>
      <c r="K44" s="2383" t="e">
        <f>IF(H44=0,"",IF(J44&lt;#REF!*H44,"Timpang &lt;"&amp;TEXT(#REF!,"0%"),IF(J44&gt;#REF!*H44,"Timpang &gt;"&amp;TEXT(#REF!,"0%"),"Wajar")))</f>
        <v>#REF!</v>
      </c>
      <c r="L44" s="2391">
        <v>75989.55</v>
      </c>
      <c r="M44" s="2374">
        <f>E44*L44</f>
        <v>379947.75</v>
      </c>
      <c r="N44" s="2375">
        <f t="shared" si="5"/>
        <v>1.6596928569098449E-2</v>
      </c>
      <c r="O44" s="2375">
        <v>0</v>
      </c>
      <c r="P44" s="2383"/>
      <c r="Q44" s="2375">
        <f t="shared" si="1"/>
        <v>0</v>
      </c>
      <c r="R44" s="2375">
        <f t="shared" si="0"/>
        <v>0</v>
      </c>
      <c r="S44" s="2375">
        <v>0</v>
      </c>
      <c r="T44" s="2388"/>
      <c r="U44" s="2375">
        <f t="shared" si="2"/>
        <v>0</v>
      </c>
      <c r="V44" s="2375"/>
      <c r="W44" s="2382">
        <f t="shared" si="3"/>
        <v>5</v>
      </c>
      <c r="X44" s="2388" t="s">
        <v>124</v>
      </c>
      <c r="Y44" s="2375">
        <f t="shared" si="4"/>
        <v>379947.75</v>
      </c>
      <c r="Z44" s="2375">
        <f t="shared" si="6"/>
        <v>1.6596928569098449E-2</v>
      </c>
      <c r="AA44" s="2377" t="s">
        <v>3355</v>
      </c>
    </row>
    <row r="45" spans="1:27" ht="25" customHeight="1">
      <c r="A45" s="2387" t="s">
        <v>121</v>
      </c>
      <c r="B45" s="2392" t="s">
        <v>346</v>
      </c>
      <c r="C45" s="2380"/>
      <c r="D45" s="2381"/>
      <c r="E45" s="2382">
        <v>5</v>
      </c>
      <c r="F45" s="2388" t="s">
        <v>124</v>
      </c>
      <c r="G45" s="2389">
        <v>75000</v>
      </c>
      <c r="H45" s="2384">
        <f>E45*G45</f>
        <v>375000</v>
      </c>
      <c r="I45" s="2390">
        <v>79049.320000000007</v>
      </c>
      <c r="J45" s="2385">
        <f>E45*I45</f>
        <v>395246.60000000003</v>
      </c>
      <c r="K45" s="2383" t="e">
        <f>IF(H45=0,"",IF(J45&lt;#REF!*H45,"Timpang &lt;"&amp;TEXT(#REF!,"0%"),IF(J45&gt;#REF!*H45,"Timpang &gt;"&amp;TEXT(#REF!,"0%"),"Wajar")))</f>
        <v>#REF!</v>
      </c>
      <c r="L45" s="2391">
        <v>79049.320000000007</v>
      </c>
      <c r="M45" s="2374">
        <f>E45*L45</f>
        <v>395246.60000000003</v>
      </c>
      <c r="N45" s="2375">
        <f t="shared" si="5"/>
        <v>1.7265214986479135E-2</v>
      </c>
      <c r="O45" s="2375">
        <v>0</v>
      </c>
      <c r="P45" s="2383"/>
      <c r="Q45" s="2375">
        <f t="shared" si="1"/>
        <v>0</v>
      </c>
      <c r="R45" s="2375">
        <f t="shared" si="0"/>
        <v>0</v>
      </c>
      <c r="S45" s="2375">
        <v>0</v>
      </c>
      <c r="T45" s="2388"/>
      <c r="U45" s="2375">
        <f t="shared" si="2"/>
        <v>0</v>
      </c>
      <c r="V45" s="2375"/>
      <c r="W45" s="2382">
        <f t="shared" si="3"/>
        <v>5</v>
      </c>
      <c r="X45" s="2388" t="s">
        <v>124</v>
      </c>
      <c r="Y45" s="2375">
        <f t="shared" si="4"/>
        <v>395246.60000000003</v>
      </c>
      <c r="Z45" s="2375">
        <f t="shared" si="6"/>
        <v>1.7265214986479135E-2</v>
      </c>
      <c r="AA45" s="2377" t="s">
        <v>3355</v>
      </c>
    </row>
    <row r="46" spans="1:27" ht="25" customHeight="1">
      <c r="A46" s="2378" t="s">
        <v>347</v>
      </c>
      <c r="B46" s="2392" t="s">
        <v>348</v>
      </c>
      <c r="C46" s="2380"/>
      <c r="D46" s="2381"/>
      <c r="E46" s="2382"/>
      <c r="F46" s="2378"/>
      <c r="G46" s="2389"/>
      <c r="H46" s="2384"/>
      <c r="I46" s="2390"/>
      <c r="J46" s="2385"/>
      <c r="K46" s="2384"/>
      <c r="L46" s="2391"/>
      <c r="M46" s="2374"/>
      <c r="N46" s="2375">
        <f t="shared" si="5"/>
        <v>0</v>
      </c>
      <c r="O46" s="2386">
        <v>0</v>
      </c>
      <c r="P46" s="2383"/>
      <c r="Q46" s="2375">
        <f t="shared" si="1"/>
        <v>0</v>
      </c>
      <c r="R46" s="2375">
        <f t="shared" ref="R46:R70" si="7">Q46/$M$8*100</f>
        <v>0</v>
      </c>
      <c r="S46" s="2375">
        <v>0</v>
      </c>
      <c r="T46" s="2378"/>
      <c r="U46" s="2375">
        <f t="shared" si="2"/>
        <v>0</v>
      </c>
      <c r="V46" s="2375"/>
      <c r="W46" s="2382">
        <f t="shared" si="3"/>
        <v>0</v>
      </c>
      <c r="X46" s="2378"/>
      <c r="Y46" s="2375">
        <f t="shared" si="4"/>
        <v>0</v>
      </c>
      <c r="Z46" s="2375">
        <f t="shared" si="6"/>
        <v>0</v>
      </c>
      <c r="AA46" s="2377"/>
    </row>
    <row r="47" spans="1:27" ht="25" customHeight="1">
      <c r="A47" s="2387" t="s">
        <v>95</v>
      </c>
      <c r="B47" s="2392" t="s">
        <v>349</v>
      </c>
      <c r="C47" s="2380"/>
      <c r="D47" s="2381"/>
      <c r="E47" s="2382">
        <v>2</v>
      </c>
      <c r="F47" s="2388" t="s">
        <v>124</v>
      </c>
      <c r="G47" s="2389">
        <v>378000</v>
      </c>
      <c r="H47" s="2384">
        <f t="shared" ref="H47:H54" si="8">E47*G47</f>
        <v>756000</v>
      </c>
      <c r="I47" s="2390">
        <f>'Bahan &amp; Upah'!C175</f>
        <v>369578.41</v>
      </c>
      <c r="J47" s="2385">
        <f t="shared" ref="J47:J54" si="9">E47*I47</f>
        <v>739156.82</v>
      </c>
      <c r="K47" s="2383" t="e">
        <f>IF(H47=0,"",IF(J47&lt;#REF!*H47,"Timpang &lt;"&amp;TEXT(#REF!,"0%"),IF(J47&gt;#REF!*H47,"Timpang &gt;"&amp;TEXT(#REF!,"0%"),"Wajar")))</f>
        <v>#REF!</v>
      </c>
      <c r="L47" s="2391">
        <v>369578.41</v>
      </c>
      <c r="M47" s="2374">
        <f t="shared" ref="M47:M54" si="10">E47*L47</f>
        <v>739156.82</v>
      </c>
      <c r="N47" s="2375">
        <f t="shared" si="5"/>
        <v>3.2287947337237707E-2</v>
      </c>
      <c r="O47" s="2375">
        <v>0</v>
      </c>
      <c r="P47" s="2383"/>
      <c r="Q47" s="2375">
        <f t="shared" si="1"/>
        <v>0</v>
      </c>
      <c r="R47" s="2375">
        <f t="shared" si="7"/>
        <v>0</v>
      </c>
      <c r="S47" s="2386">
        <v>0</v>
      </c>
      <c r="T47" s="2388"/>
      <c r="U47" s="2375">
        <f t="shared" si="2"/>
        <v>0</v>
      </c>
      <c r="V47" s="2375"/>
      <c r="W47" s="2382">
        <f t="shared" si="3"/>
        <v>2</v>
      </c>
      <c r="X47" s="2388" t="s">
        <v>124</v>
      </c>
      <c r="Y47" s="2375">
        <f t="shared" si="4"/>
        <v>739156.82</v>
      </c>
      <c r="Z47" s="2375">
        <f t="shared" si="6"/>
        <v>3.2287947337237707E-2</v>
      </c>
      <c r="AA47" s="2377" t="s">
        <v>3355</v>
      </c>
    </row>
    <row r="48" spans="1:27" ht="25" customHeight="1">
      <c r="A48" s="2387" t="s">
        <v>98</v>
      </c>
      <c r="B48" s="2392" t="s">
        <v>350</v>
      </c>
      <c r="C48" s="2380"/>
      <c r="D48" s="2381"/>
      <c r="E48" s="2382">
        <v>2</v>
      </c>
      <c r="F48" s="2388" t="s">
        <v>124</v>
      </c>
      <c r="G48" s="2389">
        <v>45000</v>
      </c>
      <c r="H48" s="2384">
        <f t="shared" si="8"/>
        <v>90000</v>
      </c>
      <c r="I48" s="2390">
        <f>'Bahan &amp; Upah'!C176</f>
        <v>43793.69</v>
      </c>
      <c r="J48" s="2385">
        <f t="shared" si="9"/>
        <v>87587.38</v>
      </c>
      <c r="K48" s="2383" t="e">
        <f>IF(H48=0,"",IF(J48&lt;#REF!*H48,"Timpang &lt;"&amp;TEXT(#REF!,"0%"),IF(J48&gt;#REF!*H48,"Timpang &gt;"&amp;TEXT(#REF!,"0%"),"Wajar")))</f>
        <v>#REF!</v>
      </c>
      <c r="L48" s="2391">
        <v>43793.69</v>
      </c>
      <c r="M48" s="2374">
        <f t="shared" si="10"/>
        <v>87587.38</v>
      </c>
      <c r="N48" s="2375">
        <f t="shared" si="5"/>
        <v>3.8260036792282155E-3</v>
      </c>
      <c r="O48" s="2375">
        <v>0</v>
      </c>
      <c r="P48" s="2383"/>
      <c r="Q48" s="2375">
        <f t="shared" si="1"/>
        <v>0</v>
      </c>
      <c r="R48" s="2375">
        <f t="shared" si="7"/>
        <v>0</v>
      </c>
      <c r="S48" s="2386">
        <v>0</v>
      </c>
      <c r="T48" s="2388"/>
      <c r="U48" s="2375">
        <f t="shared" si="2"/>
        <v>0</v>
      </c>
      <c r="V48" s="2375"/>
      <c r="W48" s="2382">
        <f t="shared" si="3"/>
        <v>2</v>
      </c>
      <c r="X48" s="2388" t="s">
        <v>124</v>
      </c>
      <c r="Y48" s="2375">
        <f t="shared" si="4"/>
        <v>87587.38</v>
      </c>
      <c r="Z48" s="2375">
        <f t="shared" si="6"/>
        <v>3.8260036792282155E-3</v>
      </c>
      <c r="AA48" s="2377" t="s">
        <v>3355</v>
      </c>
    </row>
    <row r="49" spans="1:27" ht="25" customHeight="1">
      <c r="A49" s="2387" t="s">
        <v>101</v>
      </c>
      <c r="B49" s="2392" t="s">
        <v>351</v>
      </c>
      <c r="C49" s="2380"/>
      <c r="D49" s="2381"/>
      <c r="E49" s="2382">
        <v>3</v>
      </c>
      <c r="F49" s="2388" t="s">
        <v>49</v>
      </c>
      <c r="G49" s="2389">
        <v>500000</v>
      </c>
      <c r="H49" s="2384">
        <f t="shared" si="8"/>
        <v>1500000</v>
      </c>
      <c r="I49" s="2390">
        <v>521510.24</v>
      </c>
      <c r="J49" s="2385">
        <f t="shared" si="9"/>
        <v>1564530.72</v>
      </c>
      <c r="K49" s="2383" t="e">
        <f>IF(H49=0,"",IF(J49&lt;#REF!*H49,"Timpang &lt;"&amp;TEXT(#REF!,"0%"),IF(J49&gt;#REF!*H49,"Timpang &gt;"&amp;TEXT(#REF!,"0%"),"Wajar")))</f>
        <v>#REF!</v>
      </c>
      <c r="L49" s="2391">
        <v>521510.24</v>
      </c>
      <c r="M49" s="2374">
        <f t="shared" si="10"/>
        <v>1564530.72</v>
      </c>
      <c r="N49" s="2375">
        <f t="shared" si="5"/>
        <v>6.8342040725337019E-2</v>
      </c>
      <c r="O49" s="2375">
        <v>0</v>
      </c>
      <c r="P49" s="2383"/>
      <c r="Q49" s="2375">
        <f t="shared" si="1"/>
        <v>0</v>
      </c>
      <c r="R49" s="2375">
        <f t="shared" si="7"/>
        <v>0</v>
      </c>
      <c r="S49" s="2375">
        <v>0</v>
      </c>
      <c r="T49" s="2388"/>
      <c r="U49" s="2375">
        <f t="shared" si="2"/>
        <v>0</v>
      </c>
      <c r="V49" s="2375"/>
      <c r="W49" s="2382">
        <f t="shared" si="3"/>
        <v>3</v>
      </c>
      <c r="X49" s="2388" t="s">
        <v>49</v>
      </c>
      <c r="Y49" s="2375">
        <f t="shared" si="4"/>
        <v>1564530.72</v>
      </c>
      <c r="Z49" s="2375">
        <f t="shared" si="6"/>
        <v>6.8342040725337019E-2</v>
      </c>
      <c r="AA49" s="2377" t="s">
        <v>3355</v>
      </c>
    </row>
    <row r="50" spans="1:27" ht="25" customHeight="1">
      <c r="A50" s="2387" t="s">
        <v>121</v>
      </c>
      <c r="B50" s="2392" t="s">
        <v>352</v>
      </c>
      <c r="C50" s="2380"/>
      <c r="D50" s="2381"/>
      <c r="E50" s="2382">
        <v>2</v>
      </c>
      <c r="F50" s="2388" t="s">
        <v>124</v>
      </c>
      <c r="G50" s="2389">
        <v>70000</v>
      </c>
      <c r="H50" s="2384">
        <f t="shared" si="8"/>
        <v>140000</v>
      </c>
      <c r="I50" s="2390">
        <v>66347.66</v>
      </c>
      <c r="J50" s="2385">
        <f t="shared" si="9"/>
        <v>132695.32</v>
      </c>
      <c r="K50" s="2383" t="e">
        <f>IF(H50=0,"",IF(J50&lt;#REF!*H50,"Timpang &lt;"&amp;TEXT(#REF!,"0%"),IF(J50&gt;#REF!*H50,"Timpang &gt;"&amp;TEXT(#REF!,"0%"),"Wajar")))</f>
        <v>#REF!</v>
      </c>
      <c r="L50" s="2391">
        <v>66347.66</v>
      </c>
      <c r="M50" s="2374">
        <f t="shared" si="10"/>
        <v>132695.32</v>
      </c>
      <c r="N50" s="2375">
        <f t="shared" si="5"/>
        <v>5.7964147635922595E-3</v>
      </c>
      <c r="O50" s="2375">
        <v>0</v>
      </c>
      <c r="P50" s="2383"/>
      <c r="Q50" s="2375">
        <f t="shared" si="1"/>
        <v>0</v>
      </c>
      <c r="R50" s="2375">
        <f t="shared" si="7"/>
        <v>0</v>
      </c>
      <c r="S50" s="2375">
        <v>0</v>
      </c>
      <c r="T50" s="2388"/>
      <c r="U50" s="2375">
        <f t="shared" si="2"/>
        <v>0</v>
      </c>
      <c r="V50" s="2375"/>
      <c r="W50" s="2382">
        <f t="shared" si="3"/>
        <v>2</v>
      </c>
      <c r="X50" s="2388" t="s">
        <v>124</v>
      </c>
      <c r="Y50" s="2375">
        <f t="shared" si="4"/>
        <v>132695.32</v>
      </c>
      <c r="Z50" s="2375">
        <f t="shared" si="6"/>
        <v>5.7964147635922595E-3</v>
      </c>
      <c r="AA50" s="2377" t="s">
        <v>3355</v>
      </c>
    </row>
    <row r="51" spans="1:27" ht="25" customHeight="1">
      <c r="A51" s="2387" t="s">
        <v>142</v>
      </c>
      <c r="B51" s="2392" t="s">
        <v>353</v>
      </c>
      <c r="C51" s="2380"/>
      <c r="D51" s="2381"/>
      <c r="E51" s="2382">
        <v>1</v>
      </c>
      <c r="F51" s="2388" t="s">
        <v>49</v>
      </c>
      <c r="G51" s="2389">
        <v>2500000</v>
      </c>
      <c r="H51" s="2384">
        <f t="shared" si="8"/>
        <v>2500000</v>
      </c>
      <c r="I51" s="2390">
        <v>2606639.7799999998</v>
      </c>
      <c r="J51" s="2385">
        <f t="shared" si="9"/>
        <v>2606639.7799999998</v>
      </c>
      <c r="K51" s="2383" t="e">
        <f>IF(H51=0,"",IF(J51&lt;#REF!*H51,"Timpang &lt;"&amp;TEXT(#REF!,"0%"),IF(J51&gt;#REF!*H51,"Timpang &gt;"&amp;TEXT(#REF!,"0%"),"Wajar")))</f>
        <v>#REF!</v>
      </c>
      <c r="L51" s="2391">
        <v>2606639.7799999998</v>
      </c>
      <c r="M51" s="2374">
        <f t="shared" si="10"/>
        <v>2606639.7799999998</v>
      </c>
      <c r="N51" s="2375">
        <f t="shared" si="5"/>
        <v>0.11386358843822734</v>
      </c>
      <c r="O51" s="2375">
        <v>0</v>
      </c>
      <c r="P51" s="2383"/>
      <c r="Q51" s="2375">
        <f t="shared" si="1"/>
        <v>0</v>
      </c>
      <c r="R51" s="2375">
        <f t="shared" si="7"/>
        <v>0</v>
      </c>
      <c r="S51" s="2375">
        <v>0</v>
      </c>
      <c r="T51" s="2388"/>
      <c r="U51" s="2375">
        <f t="shared" si="2"/>
        <v>0</v>
      </c>
      <c r="V51" s="2375"/>
      <c r="W51" s="2382">
        <f t="shared" si="3"/>
        <v>1</v>
      </c>
      <c r="X51" s="2388" t="s">
        <v>49</v>
      </c>
      <c r="Y51" s="2375">
        <f t="shared" si="4"/>
        <v>2606639.7799999998</v>
      </c>
      <c r="Z51" s="2375">
        <f t="shared" si="6"/>
        <v>0.11386358843822734</v>
      </c>
      <c r="AA51" s="2377" t="s">
        <v>3355</v>
      </c>
    </row>
    <row r="52" spans="1:27" ht="37.5" customHeight="1">
      <c r="A52" s="2378">
        <f>A19+1</f>
        <v>7</v>
      </c>
      <c r="B52" s="3208" t="s">
        <v>354</v>
      </c>
      <c r="C52" s="3209"/>
      <c r="D52" s="3210"/>
      <c r="E52" s="2382">
        <f>'12. Vol Levelling'!C6</f>
        <v>11.09</v>
      </c>
      <c r="F52" s="2388" t="s">
        <v>89</v>
      </c>
      <c r="G52" s="2389">
        <v>6325</v>
      </c>
      <c r="H52" s="2384">
        <f t="shared" si="8"/>
        <v>70144.25</v>
      </c>
      <c r="I52" s="2390">
        <f>'Resume Analisa'!D$13</f>
        <v>6129.6</v>
      </c>
      <c r="J52" s="2385">
        <f t="shared" si="9"/>
        <v>67977.26400000001</v>
      </c>
      <c r="K52" s="2383" t="e">
        <f>IF(H52=0,"",IF(J52&lt;#REF!*H52,"Timpang &lt;"&amp;TEXT(#REF!,"0%"),IF(J52&gt;#REF!*H52,"Timpang &gt;"&amp;TEXT(#REF!,"0%"),"Wajar")))</f>
        <v>#REF!</v>
      </c>
      <c r="L52" s="2391">
        <v>6129.6</v>
      </c>
      <c r="M52" s="2374">
        <f t="shared" si="10"/>
        <v>67977.26400000001</v>
      </c>
      <c r="N52" s="2375">
        <f t="shared" si="5"/>
        <v>2.9693919622652003E-3</v>
      </c>
      <c r="O52" s="2375">
        <v>0</v>
      </c>
      <c r="P52" s="2383"/>
      <c r="Q52" s="2375">
        <f t="shared" si="1"/>
        <v>0</v>
      </c>
      <c r="R52" s="2375">
        <f t="shared" si="7"/>
        <v>0</v>
      </c>
      <c r="S52" s="2375">
        <v>0</v>
      </c>
      <c r="T52" s="2388"/>
      <c r="U52" s="2375">
        <f t="shared" si="2"/>
        <v>0</v>
      </c>
      <c r="V52" s="2375"/>
      <c r="W52" s="2382">
        <f t="shared" si="3"/>
        <v>11.09</v>
      </c>
      <c r="X52" s="2388" t="s">
        <v>89</v>
      </c>
      <c r="Y52" s="2375">
        <f t="shared" si="4"/>
        <v>67977.26400000001</v>
      </c>
      <c r="Z52" s="2375">
        <f t="shared" si="6"/>
        <v>2.9693919622652003E-3</v>
      </c>
      <c r="AA52" s="2377" t="s">
        <v>3355</v>
      </c>
    </row>
    <row r="53" spans="1:27" ht="25" customHeight="1">
      <c r="A53" s="2378">
        <f>A52+1</f>
        <v>8</v>
      </c>
      <c r="B53" s="2392" t="s">
        <v>355</v>
      </c>
      <c r="C53" s="2393"/>
      <c r="D53" s="2394"/>
      <c r="E53" s="2382">
        <f>E52</f>
        <v>11.09</v>
      </c>
      <c r="F53" s="2388" t="s">
        <v>89</v>
      </c>
      <c r="G53" s="2389">
        <v>3323.04</v>
      </c>
      <c r="H53" s="2384">
        <f t="shared" si="8"/>
        <v>36852.513599999998</v>
      </c>
      <c r="I53" s="2390">
        <f>'Resume Analisa'!D$12</f>
        <v>3324.9100000000003</v>
      </c>
      <c r="J53" s="2385">
        <f t="shared" si="9"/>
        <v>36873.251900000003</v>
      </c>
      <c r="K53" s="2383" t="e">
        <f>IF(H53=0,"",IF(J53&lt;#REF!*H53,"Timpang &lt;"&amp;TEXT(#REF!,"0%"),IF(J53&gt;#REF!*H53,"Timpang &gt;"&amp;TEXT(#REF!,"0%"),"Wajar")))</f>
        <v>#REF!</v>
      </c>
      <c r="L53" s="2391">
        <v>3324.9100000000003</v>
      </c>
      <c r="M53" s="2374">
        <f t="shared" si="10"/>
        <v>36873.251900000003</v>
      </c>
      <c r="N53" s="2375">
        <f t="shared" ref="N53:N70" si="11">M53/$M$8*100</f>
        <v>1.6107023344517075E-3</v>
      </c>
      <c r="O53" s="2375">
        <v>0</v>
      </c>
      <c r="P53" s="2383"/>
      <c r="Q53" s="2375">
        <f t="shared" si="1"/>
        <v>0</v>
      </c>
      <c r="R53" s="2375">
        <f t="shared" si="7"/>
        <v>0</v>
      </c>
      <c r="S53" s="2375">
        <v>0</v>
      </c>
      <c r="T53" s="2388"/>
      <c r="U53" s="2375">
        <f t="shared" si="2"/>
        <v>0</v>
      </c>
      <c r="V53" s="2375"/>
      <c r="W53" s="2382">
        <f t="shared" si="3"/>
        <v>11.09</v>
      </c>
      <c r="X53" s="2388" t="s">
        <v>89</v>
      </c>
      <c r="Y53" s="2375">
        <f t="shared" si="4"/>
        <v>36873.251900000003</v>
      </c>
      <c r="Z53" s="2375">
        <f t="shared" ref="Z53:Z70" si="12">Y53/$M$8*100</f>
        <v>1.6107023344517075E-3</v>
      </c>
      <c r="AA53" s="2377" t="s">
        <v>3355</v>
      </c>
    </row>
    <row r="54" spans="1:27" ht="39" customHeight="1">
      <c r="A54" s="2378">
        <f>A53+1</f>
        <v>9</v>
      </c>
      <c r="B54" s="3208" t="s">
        <v>356</v>
      </c>
      <c r="C54" s="3209"/>
      <c r="D54" s="3210"/>
      <c r="E54" s="2382">
        <v>3</v>
      </c>
      <c r="F54" s="2388" t="s">
        <v>357</v>
      </c>
      <c r="G54" s="2389">
        <v>10996300</v>
      </c>
      <c r="H54" s="2384">
        <f t="shared" si="8"/>
        <v>32988900</v>
      </c>
      <c r="I54" s="2390">
        <f>'Resume Analisa'!D$33</f>
        <v>11093158.43</v>
      </c>
      <c r="J54" s="2385">
        <f t="shared" si="9"/>
        <v>33279475.289999999</v>
      </c>
      <c r="K54" s="2383" t="e">
        <f>IF(H54=0,"",IF(J54&lt;#REF!*H54,"Timpang &lt;"&amp;TEXT(#REF!,"0%"),IF(J54&gt;#REF!*H54,"Timpang &gt;"&amp;TEXT(#REF!,"0%"),"Wajar")))</f>
        <v>#REF!</v>
      </c>
      <c r="L54" s="2391">
        <v>11093158.43</v>
      </c>
      <c r="M54" s="2374">
        <f t="shared" si="10"/>
        <v>33279475.289999999</v>
      </c>
      <c r="N54" s="2375">
        <f t="shared" si="11"/>
        <v>1.4537185026236026</v>
      </c>
      <c r="O54" s="2375">
        <v>0</v>
      </c>
      <c r="P54" s="2383"/>
      <c r="Q54" s="2375">
        <f t="shared" si="1"/>
        <v>0</v>
      </c>
      <c r="R54" s="2375">
        <f t="shared" si="7"/>
        <v>0</v>
      </c>
      <c r="S54" s="2386">
        <v>0</v>
      </c>
      <c r="T54" s="2388"/>
      <c r="U54" s="2375">
        <f t="shared" si="2"/>
        <v>0</v>
      </c>
      <c r="V54" s="2375"/>
      <c r="W54" s="2382">
        <f t="shared" si="3"/>
        <v>3</v>
      </c>
      <c r="X54" s="2388" t="s">
        <v>357</v>
      </c>
      <c r="Y54" s="2375">
        <f t="shared" si="4"/>
        <v>33279475.289999999</v>
      </c>
      <c r="Z54" s="2375">
        <f t="shared" si="12"/>
        <v>1.4537185026236026</v>
      </c>
      <c r="AA54" s="2377" t="s">
        <v>3355</v>
      </c>
    </row>
    <row r="55" spans="1:27" ht="25" customHeight="1">
      <c r="A55" s="2378">
        <f>A54+1</f>
        <v>10</v>
      </c>
      <c r="B55" s="2379" t="s">
        <v>358</v>
      </c>
      <c r="C55" s="2380"/>
      <c r="D55" s="2381"/>
      <c r="E55" s="2382"/>
      <c r="F55" s="2383"/>
      <c r="G55" s="2384"/>
      <c r="H55" s="2384"/>
      <c r="I55" s="2385"/>
      <c r="J55" s="2385"/>
      <c r="K55" s="2384"/>
      <c r="L55" s="2374"/>
      <c r="M55" s="2374"/>
      <c r="N55" s="2375">
        <f t="shared" si="11"/>
        <v>0</v>
      </c>
      <c r="O55" s="2386">
        <v>0</v>
      </c>
      <c r="P55" s="2383"/>
      <c r="Q55" s="2375">
        <f t="shared" si="1"/>
        <v>0</v>
      </c>
      <c r="R55" s="2375">
        <f t="shared" si="7"/>
        <v>0</v>
      </c>
      <c r="S55" s="2386">
        <v>0</v>
      </c>
      <c r="T55" s="2383"/>
      <c r="U55" s="2375">
        <f t="shared" si="2"/>
        <v>0</v>
      </c>
      <c r="V55" s="2375"/>
      <c r="W55" s="2382">
        <f t="shared" si="3"/>
        <v>0</v>
      </c>
      <c r="X55" s="2383"/>
      <c r="Y55" s="2375">
        <f t="shared" si="4"/>
        <v>0</v>
      </c>
      <c r="Z55" s="2375">
        <f t="shared" si="12"/>
        <v>0</v>
      </c>
      <c r="AA55" s="2377"/>
    </row>
    <row r="56" spans="1:27" s="2199" customFormat="1" ht="25" customHeight="1">
      <c r="A56" s="2387" t="s">
        <v>95</v>
      </c>
      <c r="B56" s="2379" t="s">
        <v>359</v>
      </c>
      <c r="C56" s="2380"/>
      <c r="D56" s="2381"/>
      <c r="E56" s="2382">
        <v>1</v>
      </c>
      <c r="F56" s="2383" t="s">
        <v>360</v>
      </c>
      <c r="G56" s="2384">
        <v>7500000</v>
      </c>
      <c r="H56" s="2384">
        <f t="shared" ref="H56:H62" si="13">E56*G56</f>
        <v>7500000</v>
      </c>
      <c r="I56" s="2385">
        <v>7714541.9299999997</v>
      </c>
      <c r="J56" s="2385">
        <f t="shared" ref="J56:J62" si="14">E56*I56</f>
        <v>7714541.9299999997</v>
      </c>
      <c r="K56" s="2383" t="e">
        <f>IF(H56=0,"",IF(J56&lt;#REF!*H56,"Timpang &lt;"&amp;TEXT(#REF!,"0%"),IF(J56&gt;#REF!*H56,"Timpang &gt;"&amp;TEXT(#REF!,"0%"),"Wajar")))</f>
        <v>#REF!</v>
      </c>
      <c r="L56" s="2374">
        <v>5000000</v>
      </c>
      <c r="M56" s="2374">
        <f t="shared" ref="M56:M62" si="15">E56*L56</f>
        <v>5000000</v>
      </c>
      <c r="N56" s="2375">
        <f t="shared" si="11"/>
        <v>0.21841067053428331</v>
      </c>
      <c r="O56" s="2375">
        <v>0</v>
      </c>
      <c r="P56" s="2383"/>
      <c r="Q56" s="2375">
        <f t="shared" si="1"/>
        <v>0</v>
      </c>
      <c r="R56" s="2375">
        <f t="shared" si="7"/>
        <v>0</v>
      </c>
      <c r="S56" s="2375">
        <v>0</v>
      </c>
      <c r="T56" s="2383"/>
      <c r="U56" s="2375">
        <f t="shared" si="2"/>
        <v>0</v>
      </c>
      <c r="V56" s="2375"/>
      <c r="W56" s="2382">
        <f t="shared" si="3"/>
        <v>1</v>
      </c>
      <c r="X56" s="2383" t="s">
        <v>360</v>
      </c>
      <c r="Y56" s="2375">
        <f t="shared" si="4"/>
        <v>5000000</v>
      </c>
      <c r="Z56" s="2375">
        <f t="shared" si="12"/>
        <v>0.21841067053428331</v>
      </c>
      <c r="AA56" s="2377" t="s">
        <v>3355</v>
      </c>
    </row>
    <row r="57" spans="1:27" s="2199" customFormat="1" ht="25" customHeight="1">
      <c r="A57" s="2387" t="s">
        <v>98</v>
      </c>
      <c r="B57" s="2379" t="s">
        <v>361</v>
      </c>
      <c r="C57" s="2380"/>
      <c r="D57" s="2381"/>
      <c r="E57" s="2382">
        <v>1</v>
      </c>
      <c r="F57" s="2383" t="s">
        <v>360</v>
      </c>
      <c r="G57" s="2384">
        <v>7500000</v>
      </c>
      <c r="H57" s="2384">
        <f t="shared" si="13"/>
        <v>7500000</v>
      </c>
      <c r="I57" s="2385">
        <v>7300957.1900000004</v>
      </c>
      <c r="J57" s="2385">
        <f t="shared" si="14"/>
        <v>7300957.1900000004</v>
      </c>
      <c r="K57" s="2383" t="e">
        <f>IF(H57=0,"",IF(J57&lt;#REF!*H57,"Timpang &lt;"&amp;TEXT(#REF!,"0%"),IF(J57&gt;#REF!*H57,"Timpang &gt;"&amp;TEXT(#REF!,"0%"),"Wajar")))</f>
        <v>#REF!</v>
      </c>
      <c r="L57" s="2374">
        <v>5000000</v>
      </c>
      <c r="M57" s="2374">
        <f t="shared" si="15"/>
        <v>5000000</v>
      </c>
      <c r="N57" s="2375">
        <f t="shared" si="11"/>
        <v>0.21841067053428331</v>
      </c>
      <c r="O57" s="2375">
        <v>0</v>
      </c>
      <c r="P57" s="2383"/>
      <c r="Q57" s="2375">
        <f t="shared" si="1"/>
        <v>0</v>
      </c>
      <c r="R57" s="2375">
        <f t="shared" si="7"/>
        <v>0</v>
      </c>
      <c r="S57" s="2375">
        <v>0</v>
      </c>
      <c r="T57" s="2383"/>
      <c r="U57" s="2375">
        <f t="shared" si="2"/>
        <v>0</v>
      </c>
      <c r="V57" s="2375"/>
      <c r="W57" s="2382">
        <f t="shared" si="3"/>
        <v>1</v>
      </c>
      <c r="X57" s="2383" t="s">
        <v>360</v>
      </c>
      <c r="Y57" s="2375">
        <f t="shared" si="4"/>
        <v>5000000</v>
      </c>
      <c r="Z57" s="2375">
        <f t="shared" si="12"/>
        <v>0.21841067053428331</v>
      </c>
      <c r="AA57" s="2377" t="s">
        <v>3355</v>
      </c>
    </row>
    <row r="58" spans="1:27" s="2199" customFormat="1" ht="25" customHeight="1">
      <c r="A58" s="2387" t="s">
        <v>101</v>
      </c>
      <c r="B58" s="2379" t="s">
        <v>362</v>
      </c>
      <c r="C58" s="2380"/>
      <c r="D58" s="2381"/>
      <c r="E58" s="2382">
        <v>1</v>
      </c>
      <c r="F58" s="2383" t="s">
        <v>360</v>
      </c>
      <c r="G58" s="2384">
        <v>7500000</v>
      </c>
      <c r="H58" s="2384">
        <f t="shared" si="13"/>
        <v>7500000</v>
      </c>
      <c r="I58" s="2385">
        <v>7948121.9299999997</v>
      </c>
      <c r="J58" s="2385">
        <f t="shared" si="14"/>
        <v>7948121.9299999997</v>
      </c>
      <c r="K58" s="2383" t="e">
        <f>IF(H58=0,"",IF(J58&lt;#REF!*H58,"Timpang &lt;"&amp;TEXT(#REF!,"0%"),IF(J58&gt;#REF!*H58,"Timpang &gt;"&amp;TEXT(#REF!,"0%"),"Wajar")))</f>
        <v>#REF!</v>
      </c>
      <c r="L58" s="2374">
        <v>5000000</v>
      </c>
      <c r="M58" s="2374">
        <f t="shared" si="15"/>
        <v>5000000</v>
      </c>
      <c r="N58" s="2375">
        <f t="shared" si="11"/>
        <v>0.21841067053428331</v>
      </c>
      <c r="O58" s="2375">
        <v>0</v>
      </c>
      <c r="P58" s="2383"/>
      <c r="Q58" s="2375">
        <f t="shared" si="1"/>
        <v>0</v>
      </c>
      <c r="R58" s="2375">
        <f t="shared" si="7"/>
        <v>0</v>
      </c>
      <c r="S58" s="2375">
        <v>0</v>
      </c>
      <c r="T58" s="2383"/>
      <c r="U58" s="2375">
        <f t="shared" si="2"/>
        <v>0</v>
      </c>
      <c r="V58" s="2375"/>
      <c r="W58" s="2382">
        <f t="shared" si="3"/>
        <v>1</v>
      </c>
      <c r="X58" s="2383" t="s">
        <v>360</v>
      </c>
      <c r="Y58" s="2375">
        <f t="shared" si="4"/>
        <v>5000000</v>
      </c>
      <c r="Z58" s="2375">
        <f t="shared" si="12"/>
        <v>0.21841067053428331</v>
      </c>
      <c r="AA58" s="2377" t="s">
        <v>3355</v>
      </c>
    </row>
    <row r="59" spans="1:27" ht="25" customHeight="1">
      <c r="A59" s="2387" t="s">
        <v>121</v>
      </c>
      <c r="B59" s="2379" t="s">
        <v>363</v>
      </c>
      <c r="C59" s="2380"/>
      <c r="D59" s="2381"/>
      <c r="E59" s="2382">
        <v>5</v>
      </c>
      <c r="F59" s="2383" t="s">
        <v>124</v>
      </c>
      <c r="G59" s="2384">
        <v>1000000</v>
      </c>
      <c r="H59" s="2384">
        <f t="shared" si="13"/>
        <v>5000000</v>
      </c>
      <c r="I59" s="2385">
        <v>1013926</v>
      </c>
      <c r="J59" s="2385">
        <f t="shared" si="14"/>
        <v>5069630</v>
      </c>
      <c r="K59" s="2383" t="e">
        <f>IF(H59=0,"",IF(J59&lt;#REF!*H59,"Timpang &lt;"&amp;TEXT(#REF!,"0%"),IF(J59&gt;#REF!*H59,"Timpang &gt;"&amp;TEXT(#REF!,"0%"),"Wajar")))</f>
        <v>#REF!</v>
      </c>
      <c r="L59" s="2374">
        <v>1013926</v>
      </c>
      <c r="M59" s="2374">
        <f t="shared" si="15"/>
        <v>5069630</v>
      </c>
      <c r="N59" s="2375">
        <f t="shared" si="11"/>
        <v>0.22145225753214376</v>
      </c>
      <c r="O59" s="2375">
        <v>0</v>
      </c>
      <c r="P59" s="2383"/>
      <c r="Q59" s="2375">
        <f t="shared" si="1"/>
        <v>0</v>
      </c>
      <c r="R59" s="2375">
        <f t="shared" si="7"/>
        <v>0</v>
      </c>
      <c r="S59" s="2375">
        <v>0</v>
      </c>
      <c r="T59" s="2383"/>
      <c r="U59" s="2375">
        <f t="shared" si="2"/>
        <v>0</v>
      </c>
      <c r="V59" s="2375"/>
      <c r="W59" s="2382">
        <f t="shared" si="3"/>
        <v>5</v>
      </c>
      <c r="X59" s="2383" t="s">
        <v>124</v>
      </c>
      <c r="Y59" s="2375">
        <f t="shared" si="4"/>
        <v>5069630</v>
      </c>
      <c r="Z59" s="2375">
        <f t="shared" si="12"/>
        <v>0.22145225753214376</v>
      </c>
      <c r="AA59" s="2377" t="s">
        <v>3355</v>
      </c>
    </row>
    <row r="60" spans="1:27" ht="25" customHeight="1">
      <c r="A60" s="2387" t="s">
        <v>142</v>
      </c>
      <c r="B60" s="2379" t="s">
        <v>364</v>
      </c>
      <c r="C60" s="2380"/>
      <c r="D60" s="2381"/>
      <c r="E60" s="2382">
        <v>1</v>
      </c>
      <c r="F60" s="2383" t="s">
        <v>360</v>
      </c>
      <c r="G60" s="2384">
        <v>10000000</v>
      </c>
      <c r="H60" s="2384">
        <f t="shared" si="13"/>
        <v>10000000</v>
      </c>
      <c r="I60" s="2385">
        <v>9438519.6400000006</v>
      </c>
      <c r="J60" s="2385">
        <f t="shared" si="14"/>
        <v>9438519.6400000006</v>
      </c>
      <c r="K60" s="2383" t="e">
        <f>IF(H60=0,"",IF(J60&lt;#REF!*H60,"Timpang &lt;"&amp;TEXT(#REF!,"0%"),IF(J60&gt;#REF!*H60,"Timpang &gt;"&amp;TEXT(#REF!,"0%"),"Wajar")))</f>
        <v>#REF!</v>
      </c>
      <c r="L60" s="2374">
        <v>9438519.6400000006</v>
      </c>
      <c r="M60" s="2374">
        <f t="shared" si="15"/>
        <v>9438519.6400000006</v>
      </c>
      <c r="N60" s="2375">
        <f t="shared" si="11"/>
        <v>0.4122946806846805</v>
      </c>
      <c r="O60" s="2375">
        <v>0</v>
      </c>
      <c r="P60" s="2383"/>
      <c r="Q60" s="2375">
        <f t="shared" si="1"/>
        <v>0</v>
      </c>
      <c r="R60" s="2375">
        <f t="shared" si="7"/>
        <v>0</v>
      </c>
      <c r="S60" s="2375">
        <v>0</v>
      </c>
      <c r="T60" s="2383"/>
      <c r="U60" s="2375">
        <f t="shared" si="2"/>
        <v>0</v>
      </c>
      <c r="V60" s="2375"/>
      <c r="W60" s="2382">
        <f t="shared" si="3"/>
        <v>1</v>
      </c>
      <c r="X60" s="2383" t="s">
        <v>360</v>
      </c>
      <c r="Y60" s="2375">
        <f t="shared" si="4"/>
        <v>9438519.6400000006</v>
      </c>
      <c r="Z60" s="2375">
        <f t="shared" si="12"/>
        <v>0.4122946806846805</v>
      </c>
      <c r="AA60" s="2377" t="s">
        <v>3355</v>
      </c>
    </row>
    <row r="61" spans="1:27" ht="25" customHeight="1">
      <c r="A61" s="2387" t="s">
        <v>217</v>
      </c>
      <c r="B61" s="2379" t="s">
        <v>365</v>
      </c>
      <c r="C61" s="2380"/>
      <c r="D61" s="2381"/>
      <c r="E61" s="2382">
        <v>3</v>
      </c>
      <c r="F61" s="2383" t="s">
        <v>124</v>
      </c>
      <c r="G61" s="2384">
        <v>500000</v>
      </c>
      <c r="H61" s="2384">
        <f t="shared" si="13"/>
        <v>1500000</v>
      </c>
      <c r="I61" s="2385">
        <v>488872.2</v>
      </c>
      <c r="J61" s="2385">
        <f t="shared" si="14"/>
        <v>1466616.6</v>
      </c>
      <c r="K61" s="2383" t="e">
        <f>IF(H61=0,"",IF(J61&lt;#REF!*H61,"Timpang &lt;"&amp;TEXT(#REF!,"0%"),IF(J61&gt;#REF!*H61,"Timpang &gt;"&amp;TEXT(#REF!,"0%"),"Wajar")))</f>
        <v>#REF!</v>
      </c>
      <c r="L61" s="2374">
        <v>488872.2</v>
      </c>
      <c r="M61" s="2374">
        <f t="shared" si="15"/>
        <v>1466616.6</v>
      </c>
      <c r="N61" s="2375">
        <f t="shared" si="11"/>
        <v>6.4064943004542171E-2</v>
      </c>
      <c r="O61" s="2375">
        <v>0</v>
      </c>
      <c r="P61" s="2383"/>
      <c r="Q61" s="2375">
        <f t="shared" si="1"/>
        <v>0</v>
      </c>
      <c r="R61" s="2375">
        <f t="shared" si="7"/>
        <v>0</v>
      </c>
      <c r="S61" s="2386">
        <v>0</v>
      </c>
      <c r="T61" s="2383"/>
      <c r="U61" s="2375">
        <f t="shared" si="2"/>
        <v>0</v>
      </c>
      <c r="V61" s="2375"/>
      <c r="W61" s="2382">
        <f t="shared" si="3"/>
        <v>3</v>
      </c>
      <c r="X61" s="2383" t="s">
        <v>124</v>
      </c>
      <c r="Y61" s="2375">
        <f t="shared" si="4"/>
        <v>1466616.6</v>
      </c>
      <c r="Z61" s="2375">
        <f t="shared" si="12"/>
        <v>6.4064943004542171E-2</v>
      </c>
      <c r="AA61" s="2377" t="s">
        <v>3355</v>
      </c>
    </row>
    <row r="62" spans="1:27" ht="25" customHeight="1">
      <c r="A62" s="2387" t="s">
        <v>366</v>
      </c>
      <c r="B62" s="2379" t="s">
        <v>367</v>
      </c>
      <c r="C62" s="2380"/>
      <c r="D62" s="2381"/>
      <c r="E62" s="2382">
        <v>3</v>
      </c>
      <c r="F62" s="2383" t="s">
        <v>124</v>
      </c>
      <c r="G62" s="2384">
        <v>750000</v>
      </c>
      <c r="H62" s="2384">
        <f t="shared" si="13"/>
        <v>2250000</v>
      </c>
      <c r="I62" s="2385">
        <v>754806.12</v>
      </c>
      <c r="J62" s="2385">
        <f t="shared" si="14"/>
        <v>2264418.36</v>
      </c>
      <c r="K62" s="2383" t="e">
        <f>IF(H62=0,"",IF(J62&lt;#REF!*H62,"Timpang &lt;"&amp;TEXT(#REF!,"0%"),IF(J62&gt;#REF!*H62,"Timpang &gt;"&amp;TEXT(#REF!,"0%"),"Wajar")))</f>
        <v>#REF!</v>
      </c>
      <c r="L62" s="2374">
        <v>754806.12</v>
      </c>
      <c r="M62" s="2374">
        <f t="shared" si="15"/>
        <v>2264418.36</v>
      </c>
      <c r="N62" s="2375">
        <f t="shared" si="11"/>
        <v>9.8914626475548426E-2</v>
      </c>
      <c r="O62" s="2375">
        <v>0</v>
      </c>
      <c r="P62" s="2383"/>
      <c r="Q62" s="2375">
        <f t="shared" si="1"/>
        <v>0</v>
      </c>
      <c r="R62" s="2375">
        <f t="shared" si="7"/>
        <v>0</v>
      </c>
      <c r="S62" s="2386">
        <v>0</v>
      </c>
      <c r="T62" s="2383"/>
      <c r="U62" s="2375">
        <f t="shared" si="2"/>
        <v>0</v>
      </c>
      <c r="V62" s="2375"/>
      <c r="W62" s="2382">
        <f t="shared" si="3"/>
        <v>3</v>
      </c>
      <c r="X62" s="2383" t="s">
        <v>124</v>
      </c>
      <c r="Y62" s="2375">
        <f t="shared" si="4"/>
        <v>2264418.36</v>
      </c>
      <c r="Z62" s="2375">
        <f t="shared" si="12"/>
        <v>9.8914626475548426E-2</v>
      </c>
      <c r="AA62" s="2377" t="s">
        <v>3355</v>
      </c>
    </row>
    <row r="63" spans="1:27" ht="25" customHeight="1">
      <c r="A63" s="2378">
        <f>A55+1</f>
        <v>11</v>
      </c>
      <c r="B63" s="2379" t="s">
        <v>368</v>
      </c>
      <c r="C63" s="2380"/>
      <c r="D63" s="2381"/>
      <c r="E63" s="2382"/>
      <c r="F63" s="2383"/>
      <c r="G63" s="2384"/>
      <c r="H63" s="2384"/>
      <c r="I63" s="2385"/>
      <c r="J63" s="2385"/>
      <c r="K63" s="2384"/>
      <c r="L63" s="2374"/>
      <c r="M63" s="2374"/>
      <c r="N63" s="2375">
        <f t="shared" si="11"/>
        <v>0</v>
      </c>
      <c r="O63" s="2375">
        <v>0</v>
      </c>
      <c r="P63" s="2383"/>
      <c r="Q63" s="2375">
        <f t="shared" si="1"/>
        <v>0</v>
      </c>
      <c r="R63" s="2375">
        <f t="shared" si="7"/>
        <v>0</v>
      </c>
      <c r="S63" s="2375">
        <v>0</v>
      </c>
      <c r="T63" s="2383"/>
      <c r="U63" s="2375">
        <f t="shared" si="2"/>
        <v>0</v>
      </c>
      <c r="V63" s="2375"/>
      <c r="W63" s="2382">
        <f t="shared" si="3"/>
        <v>0</v>
      </c>
      <c r="X63" s="2383"/>
      <c r="Y63" s="2375">
        <f t="shared" si="4"/>
        <v>0</v>
      </c>
      <c r="Z63" s="2375">
        <f t="shared" si="12"/>
        <v>0</v>
      </c>
      <c r="AA63" s="2377"/>
    </row>
    <row r="64" spans="1:27" ht="25" customHeight="1">
      <c r="A64" s="2387" t="s">
        <v>95</v>
      </c>
      <c r="B64" s="2379" t="s">
        <v>369</v>
      </c>
      <c r="C64" s="2380"/>
      <c r="D64" s="2381"/>
      <c r="E64" s="2382">
        <v>1</v>
      </c>
      <c r="F64" s="2383" t="s">
        <v>49</v>
      </c>
      <c r="G64" s="2384">
        <v>2600000</v>
      </c>
      <c r="H64" s="2384">
        <f>E64*G64</f>
        <v>2600000</v>
      </c>
      <c r="I64" s="2385">
        <v>2707655.84</v>
      </c>
      <c r="J64" s="2385">
        <f>E64*I64</f>
        <v>2707655.84</v>
      </c>
      <c r="K64" s="2383" t="e">
        <f>IF(H64=0,"",IF(J64&lt;#REF!*H64,"Timpang &lt;"&amp;TEXT(#REF!,"0%"),IF(J64&gt;#REF!*H64,"Timpang &gt;"&amp;TEXT(#REF!,"0%"),"Wajar")))</f>
        <v>#REF!</v>
      </c>
      <c r="L64" s="2374">
        <v>2707655.84</v>
      </c>
      <c r="M64" s="2374">
        <f>E64*L64</f>
        <v>2707655.84</v>
      </c>
      <c r="N64" s="2375">
        <f t="shared" si="11"/>
        <v>0.11827618551809363</v>
      </c>
      <c r="O64" s="2375">
        <v>0</v>
      </c>
      <c r="P64" s="2383"/>
      <c r="Q64" s="2375">
        <f t="shared" si="1"/>
        <v>0</v>
      </c>
      <c r="R64" s="2375">
        <f t="shared" si="7"/>
        <v>0</v>
      </c>
      <c r="S64" s="2375">
        <v>0</v>
      </c>
      <c r="T64" s="2383"/>
      <c r="U64" s="2375">
        <f t="shared" si="2"/>
        <v>0</v>
      </c>
      <c r="V64" s="2375"/>
      <c r="W64" s="2382">
        <f t="shared" si="3"/>
        <v>1</v>
      </c>
      <c r="X64" s="2383" t="s">
        <v>49</v>
      </c>
      <c r="Y64" s="2375">
        <f t="shared" si="4"/>
        <v>2707655.84</v>
      </c>
      <c r="Z64" s="2375">
        <f t="shared" si="12"/>
        <v>0.11827618551809363</v>
      </c>
      <c r="AA64" s="2377" t="s">
        <v>3355</v>
      </c>
    </row>
    <row r="65" spans="1:27" s="2199" customFormat="1" ht="25" customHeight="1">
      <c r="A65" s="2387" t="s">
        <v>98</v>
      </c>
      <c r="B65" s="2379" t="s">
        <v>370</v>
      </c>
      <c r="C65" s="2380"/>
      <c r="D65" s="2381"/>
      <c r="E65" s="2382">
        <v>1</v>
      </c>
      <c r="F65" s="2383" t="s">
        <v>49</v>
      </c>
      <c r="G65" s="2384">
        <v>23500000</v>
      </c>
      <c r="H65" s="2384">
        <f>E65*G65</f>
        <v>23500000</v>
      </c>
      <c r="I65" s="2385">
        <v>23342063.609999999</v>
      </c>
      <c r="J65" s="2385">
        <f>E65*I65</f>
        <v>23342063.609999999</v>
      </c>
      <c r="K65" s="2383" t="e">
        <f>IF(H65=0,"",IF(J65&lt;#REF!*H65,"Timpang &lt;"&amp;TEXT(#REF!,"0%"),IF(J65&gt;#REF!*H65,"Timpang &gt;"&amp;TEXT(#REF!,"0%"),"Wajar")))</f>
        <v>#REF!</v>
      </c>
      <c r="L65" s="2374">
        <v>21000000</v>
      </c>
      <c r="M65" s="2374">
        <f>E65*L65</f>
        <v>21000000</v>
      </c>
      <c r="N65" s="2375">
        <f t="shared" si="11"/>
        <v>0.91732481624398998</v>
      </c>
      <c r="O65" s="2375">
        <v>0</v>
      </c>
      <c r="P65" s="2383"/>
      <c r="Q65" s="2375">
        <f t="shared" si="1"/>
        <v>0</v>
      </c>
      <c r="R65" s="2375">
        <f t="shared" si="7"/>
        <v>0</v>
      </c>
      <c r="S65" s="2375">
        <v>0</v>
      </c>
      <c r="T65" s="2383"/>
      <c r="U65" s="2375">
        <f t="shared" si="2"/>
        <v>0</v>
      </c>
      <c r="V65" s="2375"/>
      <c r="W65" s="2382">
        <f t="shared" si="3"/>
        <v>1</v>
      </c>
      <c r="X65" s="2383" t="s">
        <v>49</v>
      </c>
      <c r="Y65" s="2375">
        <f t="shared" si="4"/>
        <v>21000000</v>
      </c>
      <c r="Z65" s="2375">
        <f t="shared" si="12"/>
        <v>0.91732481624398998</v>
      </c>
      <c r="AA65" s="2377" t="s">
        <v>3355</v>
      </c>
    </row>
    <row r="66" spans="1:27" ht="25" customHeight="1">
      <c r="A66" s="2378">
        <f>A63+1</f>
        <v>12</v>
      </c>
      <c r="B66" s="2379" t="s">
        <v>371</v>
      </c>
      <c r="C66" s="2380"/>
      <c r="D66" s="2381"/>
      <c r="E66" s="2382"/>
      <c r="F66" s="2383"/>
      <c r="G66" s="2384"/>
      <c r="H66" s="2384"/>
      <c r="I66" s="2385"/>
      <c r="J66" s="2385"/>
      <c r="K66" s="2384"/>
      <c r="L66" s="2374"/>
      <c r="M66" s="2374"/>
      <c r="N66" s="2375">
        <f t="shared" si="11"/>
        <v>0</v>
      </c>
      <c r="O66" s="2375">
        <v>0</v>
      </c>
      <c r="P66" s="2383"/>
      <c r="Q66" s="2375">
        <f t="shared" si="1"/>
        <v>0</v>
      </c>
      <c r="R66" s="2375">
        <f t="shared" si="7"/>
        <v>0</v>
      </c>
      <c r="S66" s="2375">
        <v>0</v>
      </c>
      <c r="T66" s="2383"/>
      <c r="U66" s="2375">
        <f t="shared" si="2"/>
        <v>0</v>
      </c>
      <c r="V66" s="2375"/>
      <c r="W66" s="2382">
        <f t="shared" si="3"/>
        <v>0</v>
      </c>
      <c r="X66" s="2383"/>
      <c r="Y66" s="2375">
        <f t="shared" si="4"/>
        <v>0</v>
      </c>
      <c r="Z66" s="2375">
        <f t="shared" si="12"/>
        <v>0</v>
      </c>
      <c r="AA66" s="2377"/>
    </row>
    <row r="67" spans="1:27" ht="25" customHeight="1">
      <c r="A67" s="2387" t="s">
        <v>95</v>
      </c>
      <c r="B67" s="2379" t="s">
        <v>372</v>
      </c>
      <c r="C67" s="2380"/>
      <c r="D67" s="2381"/>
      <c r="E67" s="2382">
        <v>1</v>
      </c>
      <c r="F67" s="2383" t="s">
        <v>49</v>
      </c>
      <c r="G67" s="2384">
        <v>800400</v>
      </c>
      <c r="H67" s="2395">
        <f>E67*G67</f>
        <v>800400</v>
      </c>
      <c r="I67" s="2385">
        <v>800400</v>
      </c>
      <c r="J67" s="2385">
        <f>E67*I67</f>
        <v>800400</v>
      </c>
      <c r="K67" s="2383" t="e">
        <f>IF(H67=0,"",IF(J67&lt;#REF!*H67,"Timpang &lt;"&amp;TEXT(#REF!,"0%"),IF(J67&gt;#REF!*H67,"Timpang &gt;"&amp;TEXT(#REF!,"0%"),"Wajar")))</f>
        <v>#REF!</v>
      </c>
      <c r="L67" s="2374">
        <v>800400</v>
      </c>
      <c r="M67" s="2374">
        <f>E67*L67</f>
        <v>800400</v>
      </c>
      <c r="N67" s="2375">
        <f t="shared" si="11"/>
        <v>3.4963180139128074E-2</v>
      </c>
      <c r="O67" s="2375">
        <v>0</v>
      </c>
      <c r="P67" s="2383"/>
      <c r="Q67" s="2375">
        <f t="shared" si="1"/>
        <v>0</v>
      </c>
      <c r="R67" s="2375">
        <f t="shared" si="7"/>
        <v>0</v>
      </c>
      <c r="S67" s="2375">
        <v>0</v>
      </c>
      <c r="T67" s="2383"/>
      <c r="U67" s="2375">
        <f t="shared" si="2"/>
        <v>0</v>
      </c>
      <c r="V67" s="2375"/>
      <c r="W67" s="2382">
        <f t="shared" si="3"/>
        <v>1</v>
      </c>
      <c r="X67" s="2383" t="s">
        <v>49</v>
      </c>
      <c r="Y67" s="2375">
        <f t="shared" si="4"/>
        <v>800400</v>
      </c>
      <c r="Z67" s="2375">
        <f t="shared" si="12"/>
        <v>3.4963180139128074E-2</v>
      </c>
      <c r="AA67" s="2377" t="s">
        <v>3355</v>
      </c>
    </row>
    <row r="68" spans="1:27" s="2199" customFormat="1" ht="25" customHeight="1">
      <c r="A68" s="2387" t="s">
        <v>98</v>
      </c>
      <c r="B68" s="2379" t="s">
        <v>373</v>
      </c>
      <c r="C68" s="2380"/>
      <c r="D68" s="2381"/>
      <c r="E68" s="2382">
        <v>1</v>
      </c>
      <c r="F68" s="2383" t="s">
        <v>49</v>
      </c>
      <c r="G68" s="2384">
        <v>15850000</v>
      </c>
      <c r="H68" s="2384">
        <f>E68*G68</f>
        <v>15850000</v>
      </c>
      <c r="I68" s="2385">
        <v>16380020.560000001</v>
      </c>
      <c r="J68" s="2385">
        <f>E68*I68</f>
        <v>16380020.560000001</v>
      </c>
      <c r="K68" s="2383" t="e">
        <f>IF(H68=0,"",IF(J68&lt;#REF!*H68,"Timpang &lt;"&amp;TEXT(#REF!,"0%"),IF(J68&gt;#REF!*H68,"Timpang &gt;"&amp;TEXT(#REF!,"0%"),"Wajar")))</f>
        <v>#REF!</v>
      </c>
      <c r="L68" s="2374">
        <v>10000000</v>
      </c>
      <c r="M68" s="2374">
        <f>E68*L68</f>
        <v>10000000</v>
      </c>
      <c r="N68" s="2375">
        <f t="shared" si="11"/>
        <v>0.43682134106856663</v>
      </c>
      <c r="O68" s="2375">
        <v>0</v>
      </c>
      <c r="P68" s="2383"/>
      <c r="Q68" s="2375">
        <f t="shared" si="1"/>
        <v>0</v>
      </c>
      <c r="R68" s="2375">
        <f t="shared" si="7"/>
        <v>0</v>
      </c>
      <c r="S68" s="2386">
        <v>0</v>
      </c>
      <c r="T68" s="2383"/>
      <c r="U68" s="2375">
        <f t="shared" si="2"/>
        <v>0</v>
      </c>
      <c r="V68" s="2375"/>
      <c r="W68" s="2382">
        <f t="shared" si="3"/>
        <v>1</v>
      </c>
      <c r="X68" s="2383" t="s">
        <v>49</v>
      </c>
      <c r="Y68" s="2375">
        <f t="shared" si="4"/>
        <v>10000000</v>
      </c>
      <c r="Z68" s="2375">
        <f t="shared" si="12"/>
        <v>0.43682134106856663</v>
      </c>
      <c r="AA68" s="2377" t="s">
        <v>3355</v>
      </c>
    </row>
    <row r="69" spans="1:27" s="2200" customFormat="1" ht="66.5" customHeight="1">
      <c r="A69" s="2396">
        <f>A66+1</f>
        <v>13</v>
      </c>
      <c r="B69" s="3205" t="s">
        <v>374</v>
      </c>
      <c r="C69" s="3206"/>
      <c r="D69" s="3207"/>
      <c r="E69" s="2397">
        <f>'14. Vol Genset'!$M$258</f>
        <v>1</v>
      </c>
      <c r="F69" s="2398" t="s">
        <v>360</v>
      </c>
      <c r="G69" s="2399">
        <v>21850000</v>
      </c>
      <c r="H69" s="2389">
        <f>E69*G69</f>
        <v>21850000</v>
      </c>
      <c r="I69" s="2385">
        <f>'Resume Analisa'!$D$235</f>
        <v>21248891.510000002</v>
      </c>
      <c r="J69" s="2400">
        <f>E69*I69</f>
        <v>21248891.510000002</v>
      </c>
      <c r="K69" s="2378" t="e">
        <f>IF(H69=0,"",IF(J69&lt;#REF!*H69,"Timpang &lt;"&amp;TEXT(#REF!,"0%"),IF(J69&gt;#REF!*H69,"Timpang &gt;"&amp;TEXT(#REF!,"0%"),"Wajar")))</f>
        <v>#REF!</v>
      </c>
      <c r="L69" s="2374">
        <v>17000000</v>
      </c>
      <c r="M69" s="2391">
        <f>E69*L69</f>
        <v>17000000</v>
      </c>
      <c r="N69" s="2375">
        <f t="shared" si="11"/>
        <v>0.74259627981656329</v>
      </c>
      <c r="O69" s="2375">
        <v>0</v>
      </c>
      <c r="P69" s="2383"/>
      <c r="Q69" s="2375">
        <f t="shared" si="1"/>
        <v>0</v>
      </c>
      <c r="R69" s="2375">
        <f t="shared" si="7"/>
        <v>0</v>
      </c>
      <c r="S69" s="2386">
        <v>0</v>
      </c>
      <c r="T69" s="2398"/>
      <c r="U69" s="2375">
        <f t="shared" si="2"/>
        <v>0</v>
      </c>
      <c r="V69" s="2375"/>
      <c r="W69" s="2382">
        <f t="shared" si="3"/>
        <v>1</v>
      </c>
      <c r="X69" s="2398" t="s">
        <v>360</v>
      </c>
      <c r="Y69" s="2375">
        <f t="shared" si="4"/>
        <v>17000000</v>
      </c>
      <c r="Z69" s="2375">
        <f t="shared" si="12"/>
        <v>0.74259627981656329</v>
      </c>
      <c r="AA69" s="2377" t="s">
        <v>3355</v>
      </c>
    </row>
    <row r="70" spans="1:27" s="2199" customFormat="1" ht="51" customHeight="1">
      <c r="A70" s="2401">
        <f>A69+1</f>
        <v>14</v>
      </c>
      <c r="B70" s="3196" t="s">
        <v>375</v>
      </c>
      <c r="C70" s="3197"/>
      <c r="D70" s="3198"/>
      <c r="E70" s="2402">
        <v>1</v>
      </c>
      <c r="F70" s="2403" t="s">
        <v>360</v>
      </c>
      <c r="G70" s="2404">
        <v>7781521</v>
      </c>
      <c r="H70" s="2405">
        <f>E70*G70</f>
        <v>7781521</v>
      </c>
      <c r="I70" s="2406">
        <f>'Resume Analisa'!D$244</f>
        <v>7493631.79</v>
      </c>
      <c r="J70" s="2407">
        <f>E70*I70</f>
        <v>7493631.79</v>
      </c>
      <c r="K70" s="2408" t="e">
        <f>IF(H70=0,"",IF(J70&lt;#REF!*H70,"Timpang &lt;"&amp;TEXT(#REF!,"0%"),IF(J70&gt;#REF!*H70,"Timpang &gt;"&amp;TEXT(#REF!,"0%"),"Wajar")))</f>
        <v>#REF!</v>
      </c>
      <c r="L70" s="2409">
        <v>5919860.25</v>
      </c>
      <c r="M70" s="2410">
        <f>E70*L70</f>
        <v>5919860.25</v>
      </c>
      <c r="N70" s="2375">
        <f t="shared" si="11"/>
        <v>0.25859212933435005</v>
      </c>
      <c r="O70" s="2411">
        <v>0</v>
      </c>
      <c r="P70" s="2403"/>
      <c r="Q70" s="2411">
        <f t="shared" si="1"/>
        <v>0</v>
      </c>
      <c r="R70" s="2411">
        <f t="shared" si="7"/>
        <v>0</v>
      </c>
      <c r="S70" s="2411">
        <v>0</v>
      </c>
      <c r="T70" s="2403"/>
      <c r="U70" s="2411">
        <f t="shared" si="2"/>
        <v>0</v>
      </c>
      <c r="V70" s="2411"/>
      <c r="W70" s="2402">
        <f t="shared" si="3"/>
        <v>1</v>
      </c>
      <c r="X70" s="2403" t="s">
        <v>360</v>
      </c>
      <c r="Y70" s="2411">
        <f t="shared" si="4"/>
        <v>5919860.25</v>
      </c>
      <c r="Z70" s="2411">
        <f t="shared" si="12"/>
        <v>0.25859212933435005</v>
      </c>
      <c r="AA70" s="2412" t="s">
        <v>3355</v>
      </c>
    </row>
    <row r="71" spans="1:27" ht="25" customHeight="1">
      <c r="A71" s="2413"/>
      <c r="B71" s="2414"/>
      <c r="C71" s="2415"/>
      <c r="D71" s="2416" t="s">
        <v>376</v>
      </c>
      <c r="E71" s="2417"/>
      <c r="F71" s="2413"/>
      <c r="G71" s="2418"/>
      <c r="H71" s="2419">
        <f>SUM(H14:H70)</f>
        <v>376459634.9436</v>
      </c>
      <c r="I71" s="2420"/>
      <c r="J71" s="2421">
        <f>SUM(J14:J70)</f>
        <v>375046539.6609</v>
      </c>
      <c r="K71" s="2419"/>
      <c r="L71" s="2422"/>
      <c r="M71" s="2423">
        <f>SUM(M14:M70)</f>
        <v>322039492.61089993</v>
      </c>
      <c r="N71" s="2424">
        <f>M71/M8*100</f>
        <v>14.067372303933407</v>
      </c>
      <c r="O71" s="2425"/>
      <c r="P71" s="2413"/>
      <c r="Q71" s="2425"/>
      <c r="R71" s="2425"/>
      <c r="S71" s="2426"/>
      <c r="T71" s="2427"/>
      <c r="U71" s="2426"/>
      <c r="V71" s="2426"/>
      <c r="W71" s="2428"/>
      <c r="X71" s="2413"/>
      <c r="Y71" s="2424">
        <f>SUM(Y12:Y70)</f>
        <v>322039492.61089993</v>
      </c>
      <c r="Z71" s="2424">
        <f>SUM(Z14:Z70)</f>
        <v>14.067372303933407</v>
      </c>
      <c r="AA71" s="2429"/>
    </row>
    <row r="72" spans="1:27" s="334" customFormat="1" ht="25" customHeight="1">
      <c r="A72" s="2430" t="s">
        <v>377</v>
      </c>
      <c r="B72" s="2431" t="s">
        <v>378</v>
      </c>
      <c r="C72" s="2432"/>
      <c r="D72" s="2433"/>
      <c r="E72" s="2434"/>
      <c r="F72" s="2435"/>
      <c r="G72" s="2436"/>
      <c r="H72" s="2437"/>
      <c r="I72" s="2438"/>
      <c r="J72" s="2439"/>
      <c r="K72" s="2440"/>
      <c r="L72" s="2441"/>
      <c r="M72" s="2442"/>
      <c r="N72" s="2365"/>
      <c r="O72" s="2443"/>
      <c r="P72" s="2435"/>
      <c r="Q72" s="2443"/>
      <c r="R72" s="2443"/>
      <c r="S72" s="2365"/>
      <c r="T72" s="2444"/>
      <c r="U72" s="2365"/>
      <c r="V72" s="2365"/>
      <c r="W72" s="2445"/>
      <c r="X72" s="2435"/>
      <c r="Y72" s="2365"/>
      <c r="Z72" s="2365"/>
      <c r="AA72" s="2367"/>
    </row>
    <row r="73" spans="1:27" s="335" customFormat="1" ht="25" customHeight="1">
      <c r="A73" s="2446" t="s">
        <v>379</v>
      </c>
      <c r="B73" s="2447" t="s">
        <v>380</v>
      </c>
      <c r="C73" s="2448"/>
      <c r="D73" s="2449"/>
      <c r="E73" s="2450"/>
      <c r="F73" s="2451"/>
      <c r="G73" s="2452"/>
      <c r="H73" s="2453"/>
      <c r="I73" s="2454"/>
      <c r="J73" s="2455"/>
      <c r="K73" s="2456"/>
      <c r="L73" s="2391"/>
      <c r="M73" s="2457"/>
      <c r="N73" s="2375"/>
      <c r="O73" s="2458"/>
      <c r="P73" s="2451"/>
      <c r="Q73" s="2458"/>
      <c r="R73" s="2458"/>
      <c r="S73" s="2375"/>
      <c r="T73" s="2388"/>
      <c r="U73" s="2375"/>
      <c r="V73" s="2375"/>
      <c r="W73" s="2382"/>
      <c r="X73" s="2451"/>
      <c r="Y73" s="2375"/>
      <c r="Z73" s="2375"/>
      <c r="AA73" s="2377"/>
    </row>
    <row r="74" spans="1:27" s="335" customFormat="1" ht="25" customHeight="1">
      <c r="A74" s="2451">
        <v>1</v>
      </c>
      <c r="B74" s="2459" t="s">
        <v>381</v>
      </c>
      <c r="C74" s="2460"/>
      <c r="D74" s="2461"/>
      <c r="E74" s="2450"/>
      <c r="F74" s="2451"/>
      <c r="G74" s="2452"/>
      <c r="H74" s="2462"/>
      <c r="I74" s="2454"/>
      <c r="J74" s="2454"/>
      <c r="K74" s="2452"/>
      <c r="L74" s="2391"/>
      <c r="M74" s="2391"/>
      <c r="N74" s="2375"/>
      <c r="O74" s="2376"/>
      <c r="P74" s="2451"/>
      <c r="Q74" s="2376"/>
      <c r="R74" s="2376"/>
      <c r="S74" s="2375"/>
      <c r="T74" s="2388"/>
      <c r="U74" s="2375"/>
      <c r="V74" s="2375"/>
      <c r="W74" s="2382"/>
      <c r="X74" s="2451"/>
      <c r="Y74" s="2375"/>
      <c r="Z74" s="2375"/>
      <c r="AA74" s="2377"/>
    </row>
    <row r="75" spans="1:27" s="335" customFormat="1" ht="25" customHeight="1">
      <c r="A75" s="2463" t="s">
        <v>95</v>
      </c>
      <c r="B75" s="2459" t="s">
        <v>382</v>
      </c>
      <c r="C75" s="2460"/>
      <c r="D75" s="2461"/>
      <c r="E75" s="2450">
        <f>'4. Vol DPT'!$M$16</f>
        <v>28</v>
      </c>
      <c r="F75" s="2451" t="s">
        <v>89</v>
      </c>
      <c r="G75" s="2389">
        <v>50600</v>
      </c>
      <c r="H75" s="2464">
        <f t="shared" ref="H75:H81" si="16">E75*G75</f>
        <v>1416800</v>
      </c>
      <c r="I75" s="2465">
        <f>'Resume Analisa'!$D$18</f>
        <v>49036.76</v>
      </c>
      <c r="J75" s="2466">
        <f>E75*I75</f>
        <v>1373029.28</v>
      </c>
      <c r="K75" s="2378" t="e">
        <f>IF(H75=0,"",IF(J75&lt;#REF!*H75,"Timpang &lt;"&amp;TEXT(#REF!,"0%"),IF(J75&gt;#REF!*H75,"Timpang &gt;"&amp;TEXT(#REF!,"0%"),"Wajar")))</f>
        <v>#REF!</v>
      </c>
      <c r="L75" s="2391">
        <f>'Resume Analisa'!D18</f>
        <v>49036.76</v>
      </c>
      <c r="M75" s="2391">
        <f t="shared" ref="M75:M87" si="17">E75*L75</f>
        <v>1373029.28</v>
      </c>
      <c r="N75" s="2375">
        <f t="shared" ref="N75:N87" si="18">M75/$M$8*100</f>
        <v>5.9976849141600848E-2</v>
      </c>
      <c r="O75" s="2467">
        <f>'4. Vol DPT'!M17</f>
        <v>11.759999999999998</v>
      </c>
      <c r="P75" s="2451" t="s">
        <v>89</v>
      </c>
      <c r="Q75" s="2467">
        <f>O75*L75</f>
        <v>576672.29759999993</v>
      </c>
      <c r="R75" s="2375">
        <f t="shared" ref="R75:R88" si="19">Q75/$M$8*100</f>
        <v>2.5190276639472355E-2</v>
      </c>
      <c r="S75" s="2386">
        <v>0</v>
      </c>
      <c r="T75" s="2451"/>
      <c r="U75" s="2375">
        <f t="shared" si="2"/>
        <v>0</v>
      </c>
      <c r="V75" s="2375"/>
      <c r="W75" s="2382">
        <f>O75+E75</f>
        <v>39.76</v>
      </c>
      <c r="X75" s="2451" t="s">
        <v>89</v>
      </c>
      <c r="Y75" s="2375">
        <f>W75*L75</f>
        <v>1949701.5776</v>
      </c>
      <c r="Z75" s="2375">
        <f t="shared" ref="Z75:Z81" si="20">Y75/$M$8*100</f>
        <v>8.5167125781073202E-2</v>
      </c>
      <c r="AA75" s="2377" t="s">
        <v>3370</v>
      </c>
    </row>
    <row r="76" spans="1:27" s="335" customFormat="1" ht="25" customHeight="1">
      <c r="A76" s="2463" t="s">
        <v>98</v>
      </c>
      <c r="B76" s="2468" t="s">
        <v>383</v>
      </c>
      <c r="C76" s="2469"/>
      <c r="D76" s="2470"/>
      <c r="E76" s="2450">
        <f>'4. Vol DPT'!$M$18</f>
        <v>1212</v>
      </c>
      <c r="F76" s="2471" t="s">
        <v>117</v>
      </c>
      <c r="G76" s="2389">
        <v>34019.880000000005</v>
      </c>
      <c r="H76" s="2464">
        <f t="shared" si="16"/>
        <v>41232094.560000002</v>
      </c>
      <c r="I76" s="2472">
        <f>'Resume Analisa'!$D$37</f>
        <v>33453.230000000003</v>
      </c>
      <c r="J76" s="2466">
        <f>I76*E76</f>
        <v>40545314.760000005</v>
      </c>
      <c r="K76" s="2378" t="e">
        <f>IF(H76=0,"",IF(J76&lt;#REF!*H76,"Timpang &lt;"&amp;TEXT(#REF!,"0%"),IF(J76&gt;#REF!*H76,"Timpang &gt;"&amp;TEXT(#REF!,"0%"),"Wajar")))</f>
        <v>#REF!</v>
      </c>
      <c r="L76" s="2391">
        <f>'Resume Analisa'!D37</f>
        <v>33453.230000000003</v>
      </c>
      <c r="M76" s="2391">
        <f t="shared" si="17"/>
        <v>40545314.760000005</v>
      </c>
      <c r="N76" s="2375">
        <f t="shared" si="18"/>
        <v>1.7711058767510353</v>
      </c>
      <c r="O76" s="2467">
        <f>'4. Vol DPT'!M19</f>
        <v>504</v>
      </c>
      <c r="P76" s="2471" t="s">
        <v>117</v>
      </c>
      <c r="Q76" s="2467">
        <f t="shared" ref="Q76:Q87" si="21">O76*L76</f>
        <v>16860427.920000002</v>
      </c>
      <c r="R76" s="2375">
        <f t="shared" si="19"/>
        <v>0.73649947350043043</v>
      </c>
      <c r="S76" s="2386">
        <v>0</v>
      </c>
      <c r="T76" s="2471"/>
      <c r="U76" s="2375">
        <f t="shared" si="2"/>
        <v>0</v>
      </c>
      <c r="V76" s="2375"/>
      <c r="W76" s="2382">
        <f t="shared" ref="W76:W88" si="22">O76+E76</f>
        <v>1716</v>
      </c>
      <c r="X76" s="2471" t="s">
        <v>117</v>
      </c>
      <c r="Y76" s="2375">
        <f t="shared" ref="Y76:Y88" si="23">W76*L76</f>
        <v>57405742.680000007</v>
      </c>
      <c r="Z76" s="2375">
        <f t="shared" si="20"/>
        <v>2.5076053502514655</v>
      </c>
      <c r="AA76" s="2377" t="s">
        <v>3370</v>
      </c>
    </row>
    <row r="77" spans="1:27" s="335" customFormat="1" ht="25" customHeight="1">
      <c r="A77" s="2463" t="s">
        <v>101</v>
      </c>
      <c r="B77" s="2459" t="s">
        <v>384</v>
      </c>
      <c r="C77" s="2460"/>
      <c r="D77" s="2461"/>
      <c r="E77" s="2450">
        <f>'4. Vol DPT'!$M$20</f>
        <v>20.8</v>
      </c>
      <c r="F77" s="2451" t="s">
        <v>89</v>
      </c>
      <c r="G77" s="2473">
        <v>218235.5</v>
      </c>
      <c r="H77" s="2464">
        <f t="shared" si="16"/>
        <v>4539298.4000000004</v>
      </c>
      <c r="I77" s="2474">
        <f>'Resume Analisa'!$D$38</f>
        <v>219134.12</v>
      </c>
      <c r="J77" s="2466">
        <f>I77*E77</f>
        <v>4557989.6960000005</v>
      </c>
      <c r="K77" s="2378" t="e">
        <f>IF(H77=0,"",IF(J77&lt;#REF!*H77,"Timpang &lt;"&amp;TEXT(#REF!,"0%"),IF(J77&gt;#REF!*H77,"Timpang &gt;"&amp;TEXT(#REF!,"0%"),"Wajar")))</f>
        <v>#REF!</v>
      </c>
      <c r="L77" s="2475">
        <f>'Resume Analisa'!D38</f>
        <v>219134.12</v>
      </c>
      <c r="M77" s="2391">
        <f t="shared" si="17"/>
        <v>4557989.6960000005</v>
      </c>
      <c r="N77" s="2375">
        <f t="shared" si="18"/>
        <v>0.19910271715834288</v>
      </c>
      <c r="O77" s="2467">
        <v>11.599999999999998</v>
      </c>
      <c r="P77" s="2451" t="s">
        <v>89</v>
      </c>
      <c r="Q77" s="2467">
        <f t="shared" si="21"/>
        <v>2541955.7919999994</v>
      </c>
      <c r="R77" s="2375">
        <f t="shared" si="19"/>
        <v>0.11103805379984502</v>
      </c>
      <c r="S77" s="2375">
        <v>0</v>
      </c>
      <c r="T77" s="2451"/>
      <c r="U77" s="2375">
        <f t="shared" si="2"/>
        <v>0</v>
      </c>
      <c r="V77" s="2375"/>
      <c r="W77" s="2382">
        <f t="shared" si="22"/>
        <v>32.4</v>
      </c>
      <c r="X77" s="2451" t="s">
        <v>89</v>
      </c>
      <c r="Y77" s="2375">
        <f t="shared" si="23"/>
        <v>7099945.4879999999</v>
      </c>
      <c r="Z77" s="2375">
        <f t="shared" si="20"/>
        <v>0.31014077095818787</v>
      </c>
      <c r="AA77" s="2377" t="s">
        <v>3370</v>
      </c>
    </row>
    <row r="78" spans="1:27" s="335" customFormat="1" ht="25" customHeight="1">
      <c r="A78" s="2463" t="s">
        <v>121</v>
      </c>
      <c r="B78" s="2459" t="s">
        <v>385</v>
      </c>
      <c r="C78" s="2460"/>
      <c r="D78" s="2461"/>
      <c r="E78" s="2450">
        <f>'4. Vol DPT'!$M$23</f>
        <v>1183.1600000000001</v>
      </c>
      <c r="F78" s="2451" t="s">
        <v>100</v>
      </c>
      <c r="G78" s="2389">
        <v>25591.18</v>
      </c>
      <c r="H78" s="2464">
        <f t="shared" si="16"/>
        <v>30278460.528800003</v>
      </c>
      <c r="I78" s="2472">
        <f>'Resume Analisa'!$D$47</f>
        <v>26179.679999999997</v>
      </c>
      <c r="J78" s="2466">
        <f>I78*E78</f>
        <v>30974750.1888</v>
      </c>
      <c r="K78" s="2378" t="e">
        <f>IF(H78=0,"",IF(J78&lt;#REF!*H78,"Timpang &lt;"&amp;TEXT(#REF!,"0%"),IF(J78&gt;#REF!*H78,"Timpang &gt;"&amp;TEXT(#REF!,"0%"),"Wajar")))</f>
        <v>#REF!</v>
      </c>
      <c r="L78" s="2391">
        <f>'Resume Analisa'!D47</f>
        <v>26179.679999999997</v>
      </c>
      <c r="M78" s="2391">
        <f t="shared" si="17"/>
        <v>30974750.1888</v>
      </c>
      <c r="N78" s="2375">
        <f t="shared" si="18"/>
        <v>1.3530431916735455</v>
      </c>
      <c r="O78" s="2467">
        <f>'4. Vol DPT'!M24</f>
        <v>495.93725599999971</v>
      </c>
      <c r="P78" s="2451" t="s">
        <v>100</v>
      </c>
      <c r="Q78" s="2467">
        <f t="shared" si="21"/>
        <v>12983478.66215807</v>
      </c>
      <c r="R78" s="2375">
        <f t="shared" si="19"/>
        <v>0.56714605609390079</v>
      </c>
      <c r="S78" s="2375">
        <v>0</v>
      </c>
      <c r="T78" s="2451"/>
      <c r="U78" s="2375">
        <f t="shared" si="2"/>
        <v>0</v>
      </c>
      <c r="V78" s="2375"/>
      <c r="W78" s="2382">
        <f t="shared" si="22"/>
        <v>1679.0972559999998</v>
      </c>
      <c r="X78" s="2451" t="s">
        <v>100</v>
      </c>
      <c r="Y78" s="2375">
        <f t="shared" si="23"/>
        <v>43958228.850958072</v>
      </c>
      <c r="Z78" s="2375">
        <f t="shared" si="20"/>
        <v>1.920189247767446</v>
      </c>
      <c r="AA78" s="2377" t="s">
        <v>3370</v>
      </c>
    </row>
    <row r="79" spans="1:27" s="335" customFormat="1" ht="25" customHeight="1">
      <c r="A79" s="2463" t="s">
        <v>142</v>
      </c>
      <c r="B79" s="2459" t="s">
        <v>386</v>
      </c>
      <c r="C79" s="2460"/>
      <c r="D79" s="2461"/>
      <c r="E79" s="2450">
        <f>'4. Vol DPT'!$M$26</f>
        <v>620.20000000000005</v>
      </c>
      <c r="F79" s="2451" t="s">
        <v>100</v>
      </c>
      <c r="G79" s="2389">
        <v>19151.18</v>
      </c>
      <c r="H79" s="2464">
        <f t="shared" si="16"/>
        <v>11877561.836000001</v>
      </c>
      <c r="I79" s="2476">
        <f>'Resume Analisa'!$D$48</f>
        <v>18790.969999999998</v>
      </c>
      <c r="J79" s="2477">
        <f>E79*I79</f>
        <v>11654159.593999999</v>
      </c>
      <c r="K79" s="2378" t="e">
        <f>IF(H79=0,"",IF(J79&lt;#REF!*H79,"Timpang &lt;"&amp;TEXT(#REF!,"0%"),IF(J79&gt;#REF!*H79,"Timpang &gt;"&amp;TEXT(#REF!,"0%"),"Wajar")))</f>
        <v>#REF!</v>
      </c>
      <c r="L79" s="2391">
        <f>'Resume Analisa'!D48</f>
        <v>18790.969999999998</v>
      </c>
      <c r="M79" s="2391">
        <f t="shared" si="17"/>
        <v>11654159.593999999</v>
      </c>
      <c r="N79" s="2375">
        <f t="shared" si="18"/>
        <v>0.50907856228781823</v>
      </c>
      <c r="O79" s="2467">
        <f>'4. Vol DPT'!M27</f>
        <v>258.93000000000029</v>
      </c>
      <c r="P79" s="2451" t="s">
        <v>100</v>
      </c>
      <c r="Q79" s="2467">
        <f t="shared" si="21"/>
        <v>4865545.8621000051</v>
      </c>
      <c r="R79" s="2375">
        <f t="shared" si="19"/>
        <v>0.21253742685131394</v>
      </c>
      <c r="S79" s="2375">
        <v>0</v>
      </c>
      <c r="T79" s="2451"/>
      <c r="U79" s="2375">
        <f t="shared" ref="U79:U143" si="24">S79*L79</f>
        <v>0</v>
      </c>
      <c r="V79" s="2375"/>
      <c r="W79" s="2382">
        <f t="shared" si="22"/>
        <v>879.13000000000034</v>
      </c>
      <c r="X79" s="2451" t="s">
        <v>100</v>
      </c>
      <c r="Y79" s="2375">
        <f t="shared" si="23"/>
        <v>16519705.456100004</v>
      </c>
      <c r="Z79" s="2375">
        <f t="shared" si="20"/>
        <v>0.72161598913913205</v>
      </c>
      <c r="AA79" s="2377" t="s">
        <v>3370</v>
      </c>
    </row>
    <row r="80" spans="1:27" s="335" customFormat="1" ht="25" customHeight="1">
      <c r="A80" s="2463" t="s">
        <v>217</v>
      </c>
      <c r="B80" s="2459" t="s">
        <v>387</v>
      </c>
      <c r="C80" s="2460"/>
      <c r="D80" s="2461"/>
      <c r="E80" s="2450">
        <f>'4. Vol DPT'!$M$28</f>
        <v>21</v>
      </c>
      <c r="F80" s="2451" t="s">
        <v>103</v>
      </c>
      <c r="G80" s="2473">
        <v>1691953.32</v>
      </c>
      <c r="H80" s="2478">
        <f t="shared" si="16"/>
        <v>35531019.719999999</v>
      </c>
      <c r="I80" s="2474">
        <f>'Resume Analisa'!$D$56</f>
        <v>1635953.06</v>
      </c>
      <c r="J80" s="2479">
        <f>+I80*E80</f>
        <v>34355014.259999998</v>
      </c>
      <c r="K80" s="2378" t="e">
        <f>IF(H80=0,"",IF(J80&lt;#REF!*H80,"Timpang &lt;"&amp;TEXT(#REF!,"0%"),IF(J80&gt;#REF!*H80,"Timpang &gt;"&amp;TEXT(#REF!,"0%"),"Wajar")))</f>
        <v>#REF!</v>
      </c>
      <c r="L80" s="2475">
        <f>'Resume Analisa'!D56</f>
        <v>1635953.06</v>
      </c>
      <c r="M80" s="2391">
        <f t="shared" si="17"/>
        <v>34355014.259999998</v>
      </c>
      <c r="N80" s="2375">
        <f t="shared" si="18"/>
        <v>1.500700340148293</v>
      </c>
      <c r="O80" s="2467">
        <f>'4. Vol DPT'!M29</f>
        <v>8.82</v>
      </c>
      <c r="P80" s="2451" t="s">
        <v>103</v>
      </c>
      <c r="Q80" s="2467">
        <f t="shared" si="21"/>
        <v>14429105.989200002</v>
      </c>
      <c r="R80" s="2375">
        <f t="shared" si="19"/>
        <v>0.63029414286228325</v>
      </c>
      <c r="S80" s="2375">
        <v>0</v>
      </c>
      <c r="T80" s="2451"/>
      <c r="U80" s="2375">
        <f t="shared" si="24"/>
        <v>0</v>
      </c>
      <c r="V80" s="2375"/>
      <c r="W80" s="2382">
        <f t="shared" si="22"/>
        <v>29.82</v>
      </c>
      <c r="X80" s="2451" t="s">
        <v>103</v>
      </c>
      <c r="Y80" s="2375">
        <f t="shared" si="23"/>
        <v>48784120.249200001</v>
      </c>
      <c r="Z80" s="2375">
        <f t="shared" si="20"/>
        <v>2.1309944830105763</v>
      </c>
      <c r="AA80" s="2377" t="s">
        <v>3370</v>
      </c>
    </row>
    <row r="81" spans="1:27" s="335" customFormat="1" ht="25" customHeight="1">
      <c r="A81" s="2463" t="s">
        <v>366</v>
      </c>
      <c r="B81" s="2459" t="s">
        <v>218</v>
      </c>
      <c r="C81" s="2460"/>
      <c r="D81" s="2461"/>
      <c r="E81" s="2450">
        <f>'4. Vol DPT'!$M$31</f>
        <v>21</v>
      </c>
      <c r="F81" s="2451" t="s">
        <v>103</v>
      </c>
      <c r="G81" s="2473">
        <v>43240</v>
      </c>
      <c r="H81" s="2478">
        <f t="shared" si="16"/>
        <v>908040</v>
      </c>
      <c r="I81" s="2474">
        <f>'Resume Analisa'!$D$60</f>
        <v>42304.98</v>
      </c>
      <c r="J81" s="2479">
        <f>+I81*E81</f>
        <v>888404.58000000007</v>
      </c>
      <c r="K81" s="2378" t="e">
        <f>IF(H81=0,"",IF(J81&lt;#REF!*H81,"Timpang &lt;"&amp;TEXT(#REF!,"0%"),IF(J81&gt;#REF!*H81,"Timpang &gt;"&amp;TEXT(#REF!,"0%"),"Wajar")))</f>
        <v>#REF!</v>
      </c>
      <c r="L81" s="2475">
        <f>'Resume Analisa'!D60</f>
        <v>42304.98</v>
      </c>
      <c r="M81" s="2391">
        <f t="shared" si="17"/>
        <v>888404.58000000007</v>
      </c>
      <c r="N81" s="2375">
        <f t="shared" si="18"/>
        <v>3.8807408004705675E-2</v>
      </c>
      <c r="O81" s="2467">
        <f>O80</f>
        <v>8.82</v>
      </c>
      <c r="P81" s="2451" t="s">
        <v>103</v>
      </c>
      <c r="Q81" s="2467">
        <f t="shared" si="21"/>
        <v>373129.92360000004</v>
      </c>
      <c r="R81" s="2375">
        <f t="shared" si="19"/>
        <v>1.6299111361976381E-2</v>
      </c>
      <c r="S81" s="2375">
        <v>0</v>
      </c>
      <c r="T81" s="2451"/>
      <c r="U81" s="2375">
        <f t="shared" si="24"/>
        <v>0</v>
      </c>
      <c r="V81" s="2375"/>
      <c r="W81" s="2382">
        <f t="shared" si="22"/>
        <v>29.82</v>
      </c>
      <c r="X81" s="2451" t="s">
        <v>103</v>
      </c>
      <c r="Y81" s="2375">
        <f t="shared" si="23"/>
        <v>1261534.5036000002</v>
      </c>
      <c r="Z81" s="2375">
        <f t="shared" si="20"/>
        <v>5.5106519366682066E-2</v>
      </c>
      <c r="AA81" s="2377" t="s">
        <v>3370</v>
      </c>
    </row>
    <row r="82" spans="1:27" s="335" customFormat="1" ht="25" customHeight="1">
      <c r="A82" s="2451">
        <f>A74+1</f>
        <v>2</v>
      </c>
      <c r="B82" s="2459" t="s">
        <v>388</v>
      </c>
      <c r="C82" s="2460"/>
      <c r="D82" s="2461"/>
      <c r="E82" s="2450"/>
      <c r="F82" s="2451"/>
      <c r="G82" s="2389"/>
      <c r="H82" s="2464"/>
      <c r="I82" s="2480"/>
      <c r="J82" s="2466"/>
      <c r="K82" s="2389"/>
      <c r="L82" s="2391"/>
      <c r="M82" s="2391"/>
      <c r="N82" s="2375">
        <f t="shared" si="18"/>
        <v>0</v>
      </c>
      <c r="O82" s="2467"/>
      <c r="P82" s="2451"/>
      <c r="Q82" s="2467">
        <f t="shared" si="21"/>
        <v>0</v>
      </c>
      <c r="R82" s="2375">
        <f t="shared" si="19"/>
        <v>0</v>
      </c>
      <c r="S82" s="2386">
        <v>0</v>
      </c>
      <c r="T82" s="2451"/>
      <c r="U82" s="2375">
        <f t="shared" si="24"/>
        <v>0</v>
      </c>
      <c r="V82" s="2375"/>
      <c r="W82" s="2382"/>
      <c r="X82" s="2451"/>
      <c r="Y82" s="2375"/>
      <c r="Z82" s="2375"/>
      <c r="AA82" s="2377" t="s">
        <v>3370</v>
      </c>
    </row>
    <row r="83" spans="1:27" s="335" customFormat="1" ht="25" customHeight="1">
      <c r="A83" s="2463" t="s">
        <v>95</v>
      </c>
      <c r="B83" s="2459" t="s">
        <v>389</v>
      </c>
      <c r="C83" s="2460"/>
      <c r="D83" s="2461"/>
      <c r="E83" s="2450">
        <f>'4. Vol DPT'!$M$33</f>
        <v>70</v>
      </c>
      <c r="F83" s="2451" t="s">
        <v>89</v>
      </c>
      <c r="G83" s="2389">
        <v>487682.11</v>
      </c>
      <c r="H83" s="2464">
        <f>E83*G83</f>
        <v>34137747.699999996</v>
      </c>
      <c r="I83" s="2480">
        <f>'Resume Analisa'!$D$43</f>
        <v>477633.36</v>
      </c>
      <c r="J83" s="2466">
        <f>E83*I83</f>
        <v>33434335.199999999</v>
      </c>
      <c r="K83" s="2378" t="e">
        <f>IF(H83=0,"",IF(J83&lt;#REF!*H83,"Timpang &lt;"&amp;TEXT(#REF!,"0%"),IF(J83&gt;#REF!*H83,"Timpang &gt;"&amp;TEXT(#REF!,"0%"),"Wajar")))</f>
        <v>#REF!</v>
      </c>
      <c r="L83" s="2391">
        <f>'Resume Analisa'!D43</f>
        <v>477633.36</v>
      </c>
      <c r="M83" s="2391">
        <f t="shared" si="17"/>
        <v>33434335.199999999</v>
      </c>
      <c r="N83" s="2375">
        <f t="shared" si="18"/>
        <v>1.4604831139799983</v>
      </c>
      <c r="O83" s="2467">
        <f>'4. Vol DPT'!M35</f>
        <v>143</v>
      </c>
      <c r="P83" s="2451" t="s">
        <v>89</v>
      </c>
      <c r="Q83" s="2467">
        <f t="shared" si="21"/>
        <v>68301570.480000004</v>
      </c>
      <c r="R83" s="2375">
        <f t="shared" si="19"/>
        <v>2.9835583614162822</v>
      </c>
      <c r="S83" s="2386">
        <v>0</v>
      </c>
      <c r="T83" s="2451"/>
      <c r="U83" s="2375">
        <f t="shared" si="24"/>
        <v>0</v>
      </c>
      <c r="V83" s="2375"/>
      <c r="W83" s="2382">
        <f t="shared" si="22"/>
        <v>213</v>
      </c>
      <c r="X83" s="2451" t="s">
        <v>89</v>
      </c>
      <c r="Y83" s="2375">
        <f t="shared" si="23"/>
        <v>101735905.67999999</v>
      </c>
      <c r="Z83" s="2375">
        <f t="shared" ref="Z83:Z88" si="25">Y83/$M$8*100</f>
        <v>4.4440414753962809</v>
      </c>
      <c r="AA83" s="2377" t="s">
        <v>3370</v>
      </c>
    </row>
    <row r="84" spans="1:27" s="335" customFormat="1" ht="25" customHeight="1">
      <c r="A84" s="2463" t="s">
        <v>98</v>
      </c>
      <c r="B84" s="2459" t="s">
        <v>390</v>
      </c>
      <c r="C84" s="2460"/>
      <c r="D84" s="2461"/>
      <c r="E84" s="2450">
        <f>'4. Vol DPT'!$M$36</f>
        <v>732.24</v>
      </c>
      <c r="F84" s="2451" t="s">
        <v>100</v>
      </c>
      <c r="G84" s="2389">
        <v>25591.18</v>
      </c>
      <c r="H84" s="2464">
        <f>E84*G84</f>
        <v>18738885.643199999</v>
      </c>
      <c r="I84" s="2472">
        <f>'Resume Analisa'!$D$47</f>
        <v>26179.679999999997</v>
      </c>
      <c r="J84" s="2466">
        <f>E84*I84</f>
        <v>19169808.883199997</v>
      </c>
      <c r="K84" s="2378" t="e">
        <f>IF(H84=0,"",IF(J84&lt;#REF!*H84,"Timpang &lt;"&amp;TEXT(#REF!,"0%"),IF(J84&gt;#REF!*H84,"Timpang &gt;"&amp;TEXT(#REF!,"0%"),"Wajar")))</f>
        <v>#REF!</v>
      </c>
      <c r="L84" s="2391">
        <f>L78</f>
        <v>26179.679999999997</v>
      </c>
      <c r="M84" s="2391">
        <f t="shared" si="17"/>
        <v>19169808.883199997</v>
      </c>
      <c r="N84" s="2375">
        <f t="shared" si="18"/>
        <v>0.83737816243875451</v>
      </c>
      <c r="O84" s="2467">
        <f>'4. Vol DPT'!M37</f>
        <v>1493.2295819999999</v>
      </c>
      <c r="P84" s="2451" t="s">
        <v>100</v>
      </c>
      <c r="Q84" s="2467">
        <f t="shared" si="21"/>
        <v>39092272.62329375</v>
      </c>
      <c r="R84" s="2375">
        <f t="shared" si="19"/>
        <v>1.707633895272519</v>
      </c>
      <c r="S84" s="2375">
        <v>0</v>
      </c>
      <c r="T84" s="2451"/>
      <c r="U84" s="2375">
        <f t="shared" si="24"/>
        <v>0</v>
      </c>
      <c r="V84" s="2375"/>
      <c r="W84" s="2382">
        <f t="shared" si="22"/>
        <v>2225.4695819999997</v>
      </c>
      <c r="X84" s="2451" t="s">
        <v>100</v>
      </c>
      <c r="Y84" s="2375">
        <f t="shared" si="23"/>
        <v>58262081.506493747</v>
      </c>
      <c r="Z84" s="2375">
        <f t="shared" si="25"/>
        <v>2.5450120577112734</v>
      </c>
      <c r="AA84" s="2377" t="s">
        <v>3370</v>
      </c>
    </row>
    <row r="85" spans="1:27" s="335" customFormat="1" ht="25" customHeight="1">
      <c r="A85" s="2463" t="s">
        <v>101</v>
      </c>
      <c r="B85" s="2459" t="s">
        <v>391</v>
      </c>
      <c r="C85" s="2460"/>
      <c r="D85" s="2461"/>
      <c r="E85" s="2450">
        <f>'4. Vol DPT'!$M$38</f>
        <v>247.09</v>
      </c>
      <c r="F85" s="2451" t="s">
        <v>100</v>
      </c>
      <c r="G85" s="2389">
        <v>19151.18</v>
      </c>
      <c r="H85" s="2464">
        <f>E85*G85</f>
        <v>4732065.0662000002</v>
      </c>
      <c r="I85" s="2476">
        <f>'Resume Analisa'!$D$48</f>
        <v>18790.969999999998</v>
      </c>
      <c r="J85" s="2477">
        <f>E85*I85</f>
        <v>4643060.7772999993</v>
      </c>
      <c r="K85" s="2378" t="e">
        <f>IF(H85=0,"",IF(J85&lt;#REF!*H85,"Timpang &lt;"&amp;TEXT(#REF!,"0%"),IF(J85&gt;#REF!*H85,"Timpang &gt;"&amp;TEXT(#REF!,"0%"),"Wajar")))</f>
        <v>#REF!</v>
      </c>
      <c r="L85" s="2391">
        <f>L79</f>
        <v>18790.969999999998</v>
      </c>
      <c r="M85" s="2391">
        <f t="shared" si="17"/>
        <v>4643060.7772999993</v>
      </c>
      <c r="N85" s="2375">
        <f t="shared" si="18"/>
        <v>0.20281880354030471</v>
      </c>
      <c r="O85" s="2467">
        <f>'4. Vol DPT'!M39</f>
        <v>103.57200000000006</v>
      </c>
      <c r="P85" s="2451" t="s">
        <v>100</v>
      </c>
      <c r="Q85" s="2467">
        <f t="shared" si="21"/>
        <v>1946218.3448400008</v>
      </c>
      <c r="R85" s="2375">
        <f t="shared" si="19"/>
        <v>8.5014970740525525E-2</v>
      </c>
      <c r="S85" s="2375">
        <v>0</v>
      </c>
      <c r="T85" s="2451"/>
      <c r="U85" s="2375">
        <f t="shared" si="24"/>
        <v>0</v>
      </c>
      <c r="V85" s="2375"/>
      <c r="W85" s="2382">
        <f t="shared" si="22"/>
        <v>350.66200000000003</v>
      </c>
      <c r="X85" s="2451" t="s">
        <v>100</v>
      </c>
      <c r="Y85" s="2375">
        <f t="shared" si="23"/>
        <v>6589279.1221399996</v>
      </c>
      <c r="Z85" s="2375">
        <f t="shared" si="25"/>
        <v>0.28783377428083023</v>
      </c>
      <c r="AA85" s="2377" t="s">
        <v>3370</v>
      </c>
    </row>
    <row r="86" spans="1:27" s="335" customFormat="1" ht="25" customHeight="1">
      <c r="A86" s="2463" t="s">
        <v>121</v>
      </c>
      <c r="B86" s="2459" t="s">
        <v>387</v>
      </c>
      <c r="C86" s="2460"/>
      <c r="D86" s="2461"/>
      <c r="E86" s="2450">
        <f>'4. Vol DPT'!K40</f>
        <v>7</v>
      </c>
      <c r="F86" s="2451" t="s">
        <v>103</v>
      </c>
      <c r="G86" s="2473">
        <v>1691953.32</v>
      </c>
      <c r="H86" s="2478">
        <f>E86*G86</f>
        <v>11843673.24</v>
      </c>
      <c r="I86" s="2474">
        <f>'Resume Analisa'!$D$56</f>
        <v>1635953.06</v>
      </c>
      <c r="J86" s="2479">
        <f>+I86*E86</f>
        <v>11451671.42</v>
      </c>
      <c r="K86" s="2378" t="e">
        <f>IF(H86=0,"",IF(J86&lt;#REF!*H86,"Timpang &lt;"&amp;TEXT(#REF!,"0%"),IF(J86&gt;#REF!*H86,"Timpang &gt;"&amp;TEXT(#REF!,"0%"),"Wajar")))</f>
        <v>#REF!</v>
      </c>
      <c r="L86" s="2475">
        <f>L80</f>
        <v>1635953.06</v>
      </c>
      <c r="M86" s="2391">
        <f t="shared" si="17"/>
        <v>11451671.42</v>
      </c>
      <c r="N86" s="2375">
        <f t="shared" si="18"/>
        <v>0.50023344671609771</v>
      </c>
      <c r="O86" s="2467">
        <f>'4. Vol DPT'!M41</f>
        <v>22.287500000000001</v>
      </c>
      <c r="P86" s="2451" t="s">
        <v>103</v>
      </c>
      <c r="Q86" s="2467">
        <f t="shared" si="21"/>
        <v>36461303.824750006</v>
      </c>
      <c r="R86" s="2375">
        <f t="shared" si="19"/>
        <v>1.5927075633835757</v>
      </c>
      <c r="S86" s="2375">
        <v>0</v>
      </c>
      <c r="T86" s="2451"/>
      <c r="U86" s="2375">
        <f t="shared" si="24"/>
        <v>0</v>
      </c>
      <c r="V86" s="2375"/>
      <c r="W86" s="2382">
        <f t="shared" si="22"/>
        <v>29.287500000000001</v>
      </c>
      <c r="X86" s="2451" t="s">
        <v>103</v>
      </c>
      <c r="Y86" s="2375">
        <f t="shared" si="23"/>
        <v>47912975.244750001</v>
      </c>
      <c r="Z86" s="2375">
        <f t="shared" si="25"/>
        <v>2.0929410100996733</v>
      </c>
      <c r="AA86" s="2377" t="s">
        <v>3370</v>
      </c>
    </row>
    <row r="87" spans="1:27" s="335" customFormat="1" ht="25" customHeight="1">
      <c r="A87" s="2481" t="s">
        <v>142</v>
      </c>
      <c r="B87" s="2482" t="s">
        <v>218</v>
      </c>
      <c r="C87" s="2483"/>
      <c r="D87" s="2484"/>
      <c r="E87" s="2485">
        <f>E86</f>
        <v>7</v>
      </c>
      <c r="F87" s="2486" t="s">
        <v>103</v>
      </c>
      <c r="G87" s="2487">
        <v>43240</v>
      </c>
      <c r="H87" s="2488">
        <f>E87*G87</f>
        <v>302680</v>
      </c>
      <c r="I87" s="2489">
        <f>'Resume Analisa'!$D$60</f>
        <v>42304.98</v>
      </c>
      <c r="J87" s="2490">
        <f>+I87*E87</f>
        <v>296134.86000000004</v>
      </c>
      <c r="K87" s="2408" t="e">
        <f>IF(H87=0,"",IF(J87&lt;#REF!*H87,"Timpang &lt;"&amp;TEXT(#REF!,"0%"),IF(J87&gt;#REF!*H87,"Timpang &gt;"&amp;TEXT(#REF!,"0%"),"Wajar")))</f>
        <v>#REF!</v>
      </c>
      <c r="L87" s="2491">
        <f>L81</f>
        <v>42304.98</v>
      </c>
      <c r="M87" s="2391">
        <f t="shared" si="17"/>
        <v>296134.86000000004</v>
      </c>
      <c r="N87" s="2375">
        <f t="shared" si="18"/>
        <v>1.2935802668235226E-2</v>
      </c>
      <c r="O87" s="2492">
        <f>O86</f>
        <v>22.287500000000001</v>
      </c>
      <c r="P87" s="2486" t="s">
        <v>103</v>
      </c>
      <c r="Q87" s="2492">
        <f t="shared" si="21"/>
        <v>942872.24175000016</v>
      </c>
      <c r="R87" s="2411">
        <f t="shared" si="19"/>
        <v>4.1186671709756081E-2</v>
      </c>
      <c r="S87" s="2411">
        <v>0</v>
      </c>
      <c r="T87" s="2486"/>
      <c r="U87" s="2411">
        <f t="shared" si="24"/>
        <v>0</v>
      </c>
      <c r="V87" s="2375"/>
      <c r="W87" s="2382">
        <f t="shared" si="22"/>
        <v>29.287500000000001</v>
      </c>
      <c r="X87" s="2486" t="s">
        <v>103</v>
      </c>
      <c r="Y87" s="2375">
        <f t="shared" si="23"/>
        <v>1239007.1017500001</v>
      </c>
      <c r="Z87" s="2375">
        <f t="shared" si="25"/>
        <v>5.4122474377991309E-2</v>
      </c>
      <c r="AA87" s="2377" t="s">
        <v>3370</v>
      </c>
    </row>
    <row r="88" spans="1:27" s="335" customFormat="1" ht="25" customHeight="1">
      <c r="A88" s="2493" t="s">
        <v>217</v>
      </c>
      <c r="B88" s="2494" t="s">
        <v>3392</v>
      </c>
      <c r="C88" s="2495"/>
      <c r="D88" s="2496"/>
      <c r="E88" s="2497"/>
      <c r="F88" s="2498"/>
      <c r="G88" s="2499"/>
      <c r="H88" s="2500"/>
      <c r="I88" s="2501"/>
      <c r="J88" s="2502"/>
      <c r="K88" s="2503"/>
      <c r="L88" s="2504">
        <f>'Resume Analisa'!D252</f>
        <v>97140.489999999991</v>
      </c>
      <c r="M88" s="2505"/>
      <c r="N88" s="2506"/>
      <c r="O88" s="2507">
        <v>15</v>
      </c>
      <c r="P88" s="2498" t="s">
        <v>124</v>
      </c>
      <c r="Q88" s="2507">
        <f>O88*L88</f>
        <v>1457107.3499999999</v>
      </c>
      <c r="R88" s="2506">
        <f t="shared" si="19"/>
        <v>6.3649558670786532E-2</v>
      </c>
      <c r="S88" s="2506"/>
      <c r="T88" s="2498"/>
      <c r="U88" s="2506"/>
      <c r="V88" s="2375"/>
      <c r="W88" s="2402">
        <f t="shared" si="22"/>
        <v>15</v>
      </c>
      <c r="X88" s="2498" t="s">
        <v>124</v>
      </c>
      <c r="Y88" s="2411">
        <f t="shared" si="23"/>
        <v>1457107.3499999999</v>
      </c>
      <c r="Z88" s="2375">
        <f t="shared" si="25"/>
        <v>6.3649558670786532E-2</v>
      </c>
      <c r="AA88" s="2508" t="s">
        <v>3369</v>
      </c>
    </row>
    <row r="89" spans="1:27" s="335" customFormat="1" ht="25" customHeight="1">
      <c r="A89" s="2509"/>
      <c r="B89" s="2510"/>
      <c r="C89" s="2511"/>
      <c r="D89" s="2512" t="s">
        <v>376</v>
      </c>
      <c r="E89" s="2513"/>
      <c r="F89" s="2514"/>
      <c r="G89" s="2418"/>
      <c r="H89" s="2515">
        <f>SUM(H75:H87)</f>
        <v>195538326.69420001</v>
      </c>
      <c r="I89" s="2516"/>
      <c r="J89" s="2517">
        <f>SUM(J75:J87)</f>
        <v>193343673.4993</v>
      </c>
      <c r="K89" s="2419"/>
      <c r="L89" s="2422"/>
      <c r="M89" s="2423">
        <f>SUM(M75:M87)</f>
        <v>193343673.4993</v>
      </c>
      <c r="N89" s="2424">
        <f>M89/M8*100</f>
        <v>8.4456642745087329</v>
      </c>
      <c r="O89" s="2425"/>
      <c r="P89" s="2425"/>
      <c r="Q89" s="2518">
        <f>SUM(Q75:Q88)</f>
        <v>200831661.31129184</v>
      </c>
      <c r="R89" s="2519">
        <f>SUM(R75:R88)</f>
        <v>8.7727555623026667</v>
      </c>
      <c r="S89" s="2426">
        <v>0</v>
      </c>
      <c r="T89" s="2520"/>
      <c r="U89" s="2426"/>
      <c r="V89" s="2426"/>
      <c r="W89" s="2428"/>
      <c r="X89" s="2514"/>
      <c r="Y89" s="2424">
        <f>SUM(Y75:Y88)</f>
        <v>394175334.81059188</v>
      </c>
      <c r="Z89" s="2424">
        <f>SUM(Z75:Z88)</f>
        <v>17.2184198368114</v>
      </c>
      <c r="AA89" s="2429"/>
    </row>
    <row r="90" spans="1:27" s="331" customFormat="1" ht="25" customHeight="1">
      <c r="A90" s="2521" t="s">
        <v>392</v>
      </c>
      <c r="B90" s="2522" t="s">
        <v>393</v>
      </c>
      <c r="C90" s="2523"/>
      <c r="D90" s="2524"/>
      <c r="E90" s="2525"/>
      <c r="F90" s="2526"/>
      <c r="G90" s="2527"/>
      <c r="H90" s="2528"/>
      <c r="I90" s="2529"/>
      <c r="J90" s="2530"/>
      <c r="K90" s="2531"/>
      <c r="L90" s="2532"/>
      <c r="M90" s="2533"/>
      <c r="N90" s="2365"/>
      <c r="O90" s="2534"/>
      <c r="P90" s="2534"/>
      <c r="Q90" s="2534"/>
      <c r="R90" s="2534"/>
      <c r="S90" s="2535"/>
      <c r="T90" s="2536"/>
      <c r="U90" s="2365"/>
      <c r="V90" s="2365"/>
      <c r="W90" s="2445">
        <f t="shared" ref="W90:W91" si="26">(E90+O90)-S90</f>
        <v>0</v>
      </c>
      <c r="X90" s="2526"/>
      <c r="Y90" s="2365"/>
      <c r="Z90" s="2365"/>
      <c r="AA90" s="2367"/>
    </row>
    <row r="91" spans="1:27" s="331" customFormat="1" ht="25" customHeight="1">
      <c r="A91" s="2537" t="s">
        <v>394</v>
      </c>
      <c r="B91" s="2538" t="s">
        <v>395</v>
      </c>
      <c r="C91" s="2539"/>
      <c r="D91" s="2540"/>
      <c r="E91" s="2541"/>
      <c r="F91" s="2398"/>
      <c r="G91" s="2542"/>
      <c r="H91" s="2543"/>
      <c r="I91" s="2544"/>
      <c r="J91" s="2545"/>
      <c r="K91" s="2546"/>
      <c r="L91" s="2391"/>
      <c r="M91" s="2457"/>
      <c r="N91" s="2375"/>
      <c r="O91" s="2547"/>
      <c r="P91" s="2547"/>
      <c r="Q91" s="2548"/>
      <c r="R91" s="2547"/>
      <c r="S91" s="2386"/>
      <c r="T91" s="2388"/>
      <c r="U91" s="2375"/>
      <c r="V91" s="2375"/>
      <c r="W91" s="2382">
        <f t="shared" si="26"/>
        <v>0</v>
      </c>
      <c r="X91" s="2398"/>
      <c r="Y91" s="2375"/>
      <c r="Z91" s="2375"/>
      <c r="AA91" s="2377"/>
    </row>
    <row r="92" spans="1:27" s="331" customFormat="1" ht="25" customHeight="1">
      <c r="A92" s="2398">
        <v>1</v>
      </c>
      <c r="B92" s="2549" t="s">
        <v>396</v>
      </c>
      <c r="C92" s="2550"/>
      <c r="D92" s="2551"/>
      <c r="E92" s="2541">
        <f>'5. Vol Pndrtn Ikan (4x5)'!$P$12</f>
        <v>22</v>
      </c>
      <c r="F92" s="2398" t="s">
        <v>117</v>
      </c>
      <c r="G92" s="2542">
        <v>167131.79999999999</v>
      </c>
      <c r="H92" s="2464">
        <f>E92*G92</f>
        <v>3676899.5999999996</v>
      </c>
      <c r="I92" s="2480">
        <f>'Resume Analisa'!$D$9</f>
        <v>174862.27000000002</v>
      </c>
      <c r="J92" s="2552">
        <f>E92*I92</f>
        <v>3846969.9400000004</v>
      </c>
      <c r="K92" s="2378" t="e">
        <f>IF(H92=0,"",IF(J92&lt;#REF!*H92,"Timpang &lt;"&amp;TEXT(#REF!,"0%"),IF(J92&gt;#REF!*H92,"Timpang &gt;"&amp;TEXT(#REF!,"0%"),"Wajar")))</f>
        <v>#REF!</v>
      </c>
      <c r="L92" s="2391">
        <v>174862.27000000002</v>
      </c>
      <c r="M92" s="2391">
        <f>E92*L92</f>
        <v>3846969.9400000004</v>
      </c>
      <c r="N92" s="2375">
        <f t="shared" ref="N92:N123" si="27">M92/$M$8*100</f>
        <v>0.16804385682412634</v>
      </c>
      <c r="O92" s="2375">
        <v>0</v>
      </c>
      <c r="P92" s="2398"/>
      <c r="Q92" s="2375">
        <f>O92*L92</f>
        <v>0</v>
      </c>
      <c r="R92" s="2375">
        <f t="shared" ref="R92:R123" si="28">Q92/$M$8*100</f>
        <v>0</v>
      </c>
      <c r="S92" s="2375">
        <v>0</v>
      </c>
      <c r="T92" s="2398"/>
      <c r="U92" s="2375">
        <f t="shared" si="24"/>
        <v>0</v>
      </c>
      <c r="V92" s="2375"/>
      <c r="W92" s="2541">
        <f>'5. Vol Pndrtn Ikan (4x5)'!$P$12</f>
        <v>22</v>
      </c>
      <c r="X92" s="2398" t="s">
        <v>117</v>
      </c>
      <c r="Y92" s="2375">
        <f>W92*L92</f>
        <v>3846969.9400000004</v>
      </c>
      <c r="Z92" s="2375">
        <f t="shared" ref="Z92:Z123" si="29">Y92/$M$8*100</f>
        <v>0.16804385682412634</v>
      </c>
      <c r="AA92" s="2377" t="s">
        <v>3355</v>
      </c>
    </row>
    <row r="93" spans="1:27" s="331" customFormat="1" ht="25" customHeight="1">
      <c r="A93" s="2553">
        <f>A92+1</f>
        <v>2</v>
      </c>
      <c r="B93" s="2554" t="s">
        <v>397</v>
      </c>
      <c r="C93" s="2550"/>
      <c r="D93" s="2551"/>
      <c r="E93" s="2541"/>
      <c r="F93" s="2398"/>
      <c r="G93" s="2542"/>
      <c r="H93" s="2464"/>
      <c r="I93" s="2480"/>
      <c r="J93" s="2552"/>
      <c r="K93" s="2389"/>
      <c r="L93" s="2391"/>
      <c r="M93" s="2391"/>
      <c r="N93" s="2375">
        <f t="shared" si="27"/>
        <v>0</v>
      </c>
      <c r="O93" s="2375">
        <v>0</v>
      </c>
      <c r="P93" s="2398"/>
      <c r="Q93" s="2375">
        <f t="shared" ref="Q93:Q156" si="30">O93*L93</f>
        <v>0</v>
      </c>
      <c r="R93" s="2375">
        <f t="shared" si="28"/>
        <v>0</v>
      </c>
      <c r="S93" s="2375">
        <v>0</v>
      </c>
      <c r="T93" s="2398"/>
      <c r="U93" s="2375">
        <f t="shared" si="24"/>
        <v>0</v>
      </c>
      <c r="V93" s="2375"/>
      <c r="W93" s="2541"/>
      <c r="X93" s="2398"/>
      <c r="Y93" s="2375"/>
      <c r="Z93" s="2375">
        <f t="shared" si="29"/>
        <v>0</v>
      </c>
      <c r="AA93" s="2377"/>
    </row>
    <row r="94" spans="1:27" s="331" customFormat="1" ht="25" customHeight="1">
      <c r="A94" s="2555" t="s">
        <v>95</v>
      </c>
      <c r="B94" s="2554" t="s">
        <v>398</v>
      </c>
      <c r="C94" s="2550"/>
      <c r="D94" s="2551"/>
      <c r="E94" s="2541">
        <f>'5. Vol Pndrtn Ikan (4x5)'!$N$14</f>
        <v>4.8000000000000007</v>
      </c>
      <c r="F94" s="2398" t="s">
        <v>103</v>
      </c>
      <c r="G94" s="2389">
        <v>50600</v>
      </c>
      <c r="H94" s="2464">
        <f t="shared" ref="H94:H100" si="31">E94*G94</f>
        <v>242880.00000000003</v>
      </c>
      <c r="I94" s="2465">
        <f>'Resume Analisa'!$D$18</f>
        <v>49036.76</v>
      </c>
      <c r="J94" s="2552">
        <f t="shared" ref="J94:J99" si="32">E94*I94</f>
        <v>235376.44800000003</v>
      </c>
      <c r="K94" s="2378" t="e">
        <f>IF(H94=0,"",IF(J94&lt;#REF!*H94,"Timpang &lt;"&amp;TEXT(#REF!,"0%"),IF(J94&gt;#REF!*H94,"Timpang &gt;"&amp;TEXT(#REF!,"0%"),"Wajar")))</f>
        <v>#REF!</v>
      </c>
      <c r="L94" s="2391">
        <v>49036.76</v>
      </c>
      <c r="M94" s="2391">
        <f t="shared" ref="M94:M100" si="33">E94*L94</f>
        <v>235376.44800000003</v>
      </c>
      <c r="N94" s="2375">
        <f t="shared" si="27"/>
        <v>1.0281745567131576E-2</v>
      </c>
      <c r="O94" s="2375">
        <v>0</v>
      </c>
      <c r="P94" s="2398"/>
      <c r="Q94" s="2375">
        <f t="shared" si="30"/>
        <v>0</v>
      </c>
      <c r="R94" s="2375">
        <f t="shared" si="28"/>
        <v>0</v>
      </c>
      <c r="S94" s="2375">
        <v>0</v>
      </c>
      <c r="T94" s="2398"/>
      <c r="U94" s="2375">
        <f t="shared" si="24"/>
        <v>0</v>
      </c>
      <c r="V94" s="2375"/>
      <c r="W94" s="2541">
        <f>'5. Vol Pndrtn Ikan (4x5)'!$N$14</f>
        <v>4.8000000000000007</v>
      </c>
      <c r="X94" s="2398" t="s">
        <v>103</v>
      </c>
      <c r="Y94" s="2375">
        <f t="shared" ref="Y94:Y143" si="34">W94*L94</f>
        <v>235376.44800000003</v>
      </c>
      <c r="Z94" s="2375">
        <f t="shared" si="29"/>
        <v>1.0281745567131576E-2</v>
      </c>
      <c r="AA94" s="2377" t="s">
        <v>3355</v>
      </c>
    </row>
    <row r="95" spans="1:27" s="331" customFormat="1" ht="25" customHeight="1">
      <c r="A95" s="2555" t="s">
        <v>98</v>
      </c>
      <c r="B95" s="2554" t="s">
        <v>399</v>
      </c>
      <c r="C95" s="2550"/>
      <c r="D95" s="2551"/>
      <c r="E95" s="2541">
        <f>'5. Vol Pndrtn Ikan (4x5)'!$N$15</f>
        <v>0.28000000000000003</v>
      </c>
      <c r="F95" s="2398" t="s">
        <v>103</v>
      </c>
      <c r="G95" s="2389">
        <v>507759.96</v>
      </c>
      <c r="H95" s="2464">
        <f t="shared" si="31"/>
        <v>142172.78880000001</v>
      </c>
      <c r="I95" s="2480">
        <f>'Resume Analisa'!$D$26</f>
        <v>475358.64</v>
      </c>
      <c r="J95" s="2552">
        <f t="shared" si="32"/>
        <v>133100.4192</v>
      </c>
      <c r="K95" s="2378" t="e">
        <f>IF(H95=0,"",IF(J95&lt;#REF!*H95,"Timpang &lt;"&amp;TEXT(#REF!,"0%"),IF(J95&gt;#REF!*H95,"Timpang &gt;"&amp;TEXT(#REF!,"0%"),"Wajar")))</f>
        <v>#REF!</v>
      </c>
      <c r="L95" s="2391">
        <v>475358.64</v>
      </c>
      <c r="M95" s="2391">
        <f t="shared" si="33"/>
        <v>133100.4192</v>
      </c>
      <c r="N95" s="2375">
        <f t="shared" si="27"/>
        <v>5.8141103611732397E-3</v>
      </c>
      <c r="O95" s="2375">
        <v>0</v>
      </c>
      <c r="P95" s="2398"/>
      <c r="Q95" s="2375">
        <f t="shared" si="30"/>
        <v>0</v>
      </c>
      <c r="R95" s="2375">
        <f t="shared" si="28"/>
        <v>0</v>
      </c>
      <c r="S95" s="2375">
        <v>0</v>
      </c>
      <c r="T95" s="2398"/>
      <c r="U95" s="2375">
        <f t="shared" si="24"/>
        <v>0</v>
      </c>
      <c r="V95" s="2375"/>
      <c r="W95" s="2541">
        <f>'5. Vol Pndrtn Ikan (4x5)'!$N$15</f>
        <v>0.28000000000000003</v>
      </c>
      <c r="X95" s="2398" t="s">
        <v>103</v>
      </c>
      <c r="Y95" s="2375">
        <f t="shared" si="34"/>
        <v>133100.4192</v>
      </c>
      <c r="Z95" s="2375">
        <f t="shared" si="29"/>
        <v>5.8141103611732397E-3</v>
      </c>
      <c r="AA95" s="2377" t="s">
        <v>3355</v>
      </c>
    </row>
    <row r="96" spans="1:27" s="331" customFormat="1" ht="25" customHeight="1">
      <c r="A96" s="2555" t="s">
        <v>101</v>
      </c>
      <c r="B96" s="2554" t="s">
        <v>400</v>
      </c>
      <c r="C96" s="2550"/>
      <c r="D96" s="2551"/>
      <c r="E96" s="2541">
        <f>'5. Vol Pndrtn Ikan (4x5)'!$N$16</f>
        <v>0.12</v>
      </c>
      <c r="F96" s="2398" t="s">
        <v>103</v>
      </c>
      <c r="G96" s="2389">
        <v>1422226.08</v>
      </c>
      <c r="H96" s="2464">
        <f t="shared" si="31"/>
        <v>170667.12960000001</v>
      </c>
      <c r="I96" s="2465">
        <f>'Resume Analisa'!$D$54</f>
        <v>1384580.76</v>
      </c>
      <c r="J96" s="2552">
        <f t="shared" si="32"/>
        <v>166149.6912</v>
      </c>
      <c r="K96" s="2378" t="e">
        <f>IF(H96=0,"",IF(J96&lt;#REF!*H96,"Timpang &lt;"&amp;TEXT(#REF!,"0%"),IF(J96&gt;#REF!*H96,"Timpang &gt;"&amp;TEXT(#REF!,"0%"),"Wajar")))</f>
        <v>#REF!</v>
      </c>
      <c r="L96" s="2391">
        <v>1384580.76</v>
      </c>
      <c r="M96" s="2391">
        <f t="shared" si="33"/>
        <v>166149.6912</v>
      </c>
      <c r="N96" s="2375">
        <f t="shared" si="27"/>
        <v>7.2577730928112235E-3</v>
      </c>
      <c r="O96" s="2375">
        <v>0</v>
      </c>
      <c r="P96" s="2398"/>
      <c r="Q96" s="2375">
        <f t="shared" si="30"/>
        <v>0</v>
      </c>
      <c r="R96" s="2375">
        <f t="shared" si="28"/>
        <v>0</v>
      </c>
      <c r="S96" s="2375">
        <v>0</v>
      </c>
      <c r="T96" s="2398"/>
      <c r="U96" s="2375">
        <f t="shared" si="24"/>
        <v>0</v>
      </c>
      <c r="V96" s="2375"/>
      <c r="W96" s="2541">
        <f>'5. Vol Pndrtn Ikan (4x5)'!$N$16</f>
        <v>0.12</v>
      </c>
      <c r="X96" s="2398" t="s">
        <v>103</v>
      </c>
      <c r="Y96" s="2375">
        <f t="shared" si="34"/>
        <v>166149.6912</v>
      </c>
      <c r="Z96" s="2375">
        <f t="shared" si="29"/>
        <v>7.2577730928112235E-3</v>
      </c>
      <c r="AA96" s="2377" t="s">
        <v>3355</v>
      </c>
    </row>
    <row r="97" spans="1:27" s="331" customFormat="1" ht="25" customHeight="1">
      <c r="A97" s="2555" t="s">
        <v>121</v>
      </c>
      <c r="B97" s="2554" t="s">
        <v>401</v>
      </c>
      <c r="C97" s="2550"/>
      <c r="D97" s="2551"/>
      <c r="E97" s="2541">
        <f>'5. Vol Pndrtn Ikan (4x5)'!$N$17</f>
        <v>4.8000000000000025</v>
      </c>
      <c r="F97" s="2398" t="s">
        <v>103</v>
      </c>
      <c r="G97" s="2389">
        <v>188325.18000000002</v>
      </c>
      <c r="H97" s="2464">
        <f t="shared" si="31"/>
        <v>903960.86400000053</v>
      </c>
      <c r="I97" s="2465">
        <f>'Resume Analisa'!$D$68</f>
        <v>181829.52000000002</v>
      </c>
      <c r="J97" s="2552">
        <f t="shared" si="32"/>
        <v>872781.69600000058</v>
      </c>
      <c r="K97" s="2378" t="e">
        <f>IF(H97=0,"",IF(J97&lt;#REF!*H97,"Timpang &lt;"&amp;TEXT(#REF!,"0%"),IF(J97&gt;#REF!*H97,"Timpang &gt;"&amp;TEXT(#REF!,"0%"),"Wajar")))</f>
        <v>#REF!</v>
      </c>
      <c r="L97" s="2391">
        <v>181829.52000000002</v>
      </c>
      <c r="M97" s="2391">
        <f t="shared" si="33"/>
        <v>872781.69600000058</v>
      </c>
      <c r="N97" s="2375">
        <f t="shared" si="27"/>
        <v>3.8124967090681826E-2</v>
      </c>
      <c r="O97" s="2375">
        <v>0</v>
      </c>
      <c r="P97" s="2398"/>
      <c r="Q97" s="2375">
        <f t="shared" si="30"/>
        <v>0</v>
      </c>
      <c r="R97" s="2375">
        <f t="shared" si="28"/>
        <v>0</v>
      </c>
      <c r="S97" s="2386">
        <v>0</v>
      </c>
      <c r="T97" s="2398"/>
      <c r="U97" s="2375">
        <f t="shared" si="24"/>
        <v>0</v>
      </c>
      <c r="V97" s="2375"/>
      <c r="W97" s="2541">
        <f>'5. Vol Pndrtn Ikan (4x5)'!$N$17</f>
        <v>4.8000000000000025</v>
      </c>
      <c r="X97" s="2398" t="s">
        <v>103</v>
      </c>
      <c r="Y97" s="2375">
        <f t="shared" si="34"/>
        <v>872781.69600000058</v>
      </c>
      <c r="Z97" s="2375">
        <f t="shared" si="29"/>
        <v>3.8124967090681826E-2</v>
      </c>
      <c r="AA97" s="2377" t="s">
        <v>3355</v>
      </c>
    </row>
    <row r="98" spans="1:27" s="331" customFormat="1" ht="25" customHeight="1">
      <c r="A98" s="2555" t="s">
        <v>142</v>
      </c>
      <c r="B98" s="2554" t="s">
        <v>402</v>
      </c>
      <c r="C98" s="2550"/>
      <c r="D98" s="2551"/>
      <c r="E98" s="2541">
        <f>'5. Vol Pndrtn Ikan (4x5)'!$N$18</f>
        <v>68.061599999999999</v>
      </c>
      <c r="F98" s="2398" t="s">
        <v>100</v>
      </c>
      <c r="G98" s="2473">
        <v>19151.18</v>
      </c>
      <c r="H98" s="2464">
        <f t="shared" si="31"/>
        <v>1303459.9526879999</v>
      </c>
      <c r="I98" s="2474">
        <f>'Resume Analisa'!$D$48</f>
        <v>18790.969999999998</v>
      </c>
      <c r="J98" s="2552">
        <f t="shared" si="32"/>
        <v>1278943.4837519999</v>
      </c>
      <c r="K98" s="2378" t="e">
        <f>IF(H98=0,"",IF(J98&lt;#REF!*H98,"Timpang &lt;"&amp;TEXT(#REF!,"0%"),IF(J98&gt;#REF!*H98,"Timpang &gt;"&amp;TEXT(#REF!,"0%"),"Wajar")))</f>
        <v>#REF!</v>
      </c>
      <c r="L98" s="2475">
        <v>18790.969999999998</v>
      </c>
      <c r="M98" s="2391">
        <f t="shared" si="33"/>
        <v>1278943.4837519999</v>
      </c>
      <c r="N98" s="2375">
        <f t="shared" si="27"/>
        <v>5.5866980772345316E-2</v>
      </c>
      <c r="O98" s="2375">
        <v>0</v>
      </c>
      <c r="P98" s="2398"/>
      <c r="Q98" s="2375">
        <f t="shared" si="30"/>
        <v>0</v>
      </c>
      <c r="R98" s="2375">
        <f t="shared" si="28"/>
        <v>0</v>
      </c>
      <c r="S98" s="2386">
        <v>0</v>
      </c>
      <c r="T98" s="2398"/>
      <c r="U98" s="2375">
        <f t="shared" si="24"/>
        <v>0</v>
      </c>
      <c r="V98" s="2375"/>
      <c r="W98" s="2541">
        <f>'5. Vol Pndrtn Ikan (4x5)'!$N$18</f>
        <v>68.061599999999999</v>
      </c>
      <c r="X98" s="2398" t="s">
        <v>100</v>
      </c>
      <c r="Y98" s="2375">
        <f t="shared" si="34"/>
        <v>1278943.4837519999</v>
      </c>
      <c r="Z98" s="2375">
        <f t="shared" si="29"/>
        <v>5.5866980772345316E-2</v>
      </c>
      <c r="AA98" s="2377" t="s">
        <v>3355</v>
      </c>
    </row>
    <row r="99" spans="1:27" s="331" customFormat="1" ht="25" customHeight="1">
      <c r="A99" s="2555" t="s">
        <v>217</v>
      </c>
      <c r="B99" s="2549" t="s">
        <v>169</v>
      </c>
      <c r="C99" s="2550"/>
      <c r="D99" s="2551"/>
      <c r="E99" s="2541">
        <f>'5. Vol Pndrtn Ikan (4x5)'!$N$19</f>
        <v>0.76800000000000057</v>
      </c>
      <c r="F99" s="2398" t="s">
        <v>103</v>
      </c>
      <c r="G99" s="2389">
        <v>1584129.98</v>
      </c>
      <c r="H99" s="2464">
        <f t="shared" si="31"/>
        <v>1216611.8246400009</v>
      </c>
      <c r="I99" s="2465">
        <f>'Resume Analisa'!$D$55</f>
        <v>1535009.1300000001</v>
      </c>
      <c r="J99" s="2552">
        <f t="shared" si="32"/>
        <v>1178887.011840001</v>
      </c>
      <c r="K99" s="2378" t="e">
        <f>IF(H99=0,"",IF(J99&lt;#REF!*H99,"Timpang &lt;"&amp;TEXT(#REF!,"0%"),IF(J99&gt;#REF!*H99,"Timpang &gt;"&amp;TEXT(#REF!,"0%"),"Wajar")))</f>
        <v>#REF!</v>
      </c>
      <c r="L99" s="2391">
        <v>1535009.1300000001</v>
      </c>
      <c r="M99" s="2391">
        <f t="shared" si="33"/>
        <v>1178887.011840001</v>
      </c>
      <c r="N99" s="2375">
        <f t="shared" si="27"/>
        <v>5.1496300548026445E-2</v>
      </c>
      <c r="O99" s="2375">
        <v>0</v>
      </c>
      <c r="P99" s="2398"/>
      <c r="Q99" s="2375">
        <f t="shared" si="30"/>
        <v>0</v>
      </c>
      <c r="R99" s="2375">
        <f t="shared" si="28"/>
        <v>0</v>
      </c>
      <c r="S99" s="2375">
        <v>0</v>
      </c>
      <c r="T99" s="2398"/>
      <c r="U99" s="2375">
        <f t="shared" si="24"/>
        <v>0</v>
      </c>
      <c r="V99" s="2375"/>
      <c r="W99" s="2541">
        <f>'5. Vol Pndrtn Ikan (4x5)'!$N$19</f>
        <v>0.76800000000000057</v>
      </c>
      <c r="X99" s="2398" t="s">
        <v>103</v>
      </c>
      <c r="Y99" s="2375">
        <f t="shared" si="34"/>
        <v>1178887.011840001</v>
      </c>
      <c r="Z99" s="2375">
        <f t="shared" si="29"/>
        <v>5.1496300548026445E-2</v>
      </c>
      <c r="AA99" s="2377" t="s">
        <v>3355</v>
      </c>
    </row>
    <row r="100" spans="1:27" s="331" customFormat="1" ht="25" customHeight="1">
      <c r="A100" s="2555" t="s">
        <v>366</v>
      </c>
      <c r="B100" s="2554" t="s">
        <v>383</v>
      </c>
      <c r="C100" s="2550"/>
      <c r="D100" s="2551"/>
      <c r="E100" s="2541">
        <f>'5. Vol Pndrtn Ikan (4x5)'!$N$20</f>
        <v>80</v>
      </c>
      <c r="F100" s="2398" t="s">
        <v>117</v>
      </c>
      <c r="G100" s="2389">
        <v>34019.880000000005</v>
      </c>
      <c r="H100" s="2464">
        <f t="shared" si="31"/>
        <v>2721590.4000000004</v>
      </c>
      <c r="I100" s="2465">
        <f>'Resume Analisa'!$D$37</f>
        <v>33453.230000000003</v>
      </c>
      <c r="J100" s="2544">
        <f>I100*E100</f>
        <v>2676258.4000000004</v>
      </c>
      <c r="K100" s="2378" t="e">
        <f>IF(H100=0,"",IF(J100&lt;#REF!*H100,"Timpang &lt;"&amp;TEXT(#REF!,"0%"),IF(J100&gt;#REF!*H100,"Timpang &gt;"&amp;TEXT(#REF!,"0%"),"Wajar")))</f>
        <v>#REF!</v>
      </c>
      <c r="L100" s="2391">
        <v>33453.230000000003</v>
      </c>
      <c r="M100" s="2391">
        <f t="shared" si="33"/>
        <v>2676258.4000000004</v>
      </c>
      <c r="N100" s="2375">
        <f t="shared" si="27"/>
        <v>0.11690467833340165</v>
      </c>
      <c r="O100" s="2375">
        <v>0</v>
      </c>
      <c r="P100" s="2398"/>
      <c r="Q100" s="2375">
        <f t="shared" si="30"/>
        <v>0</v>
      </c>
      <c r="R100" s="2375">
        <f t="shared" si="28"/>
        <v>0</v>
      </c>
      <c r="S100" s="2375">
        <v>0</v>
      </c>
      <c r="T100" s="2398"/>
      <c r="U100" s="2375">
        <f t="shared" si="24"/>
        <v>0</v>
      </c>
      <c r="V100" s="2375"/>
      <c r="W100" s="2541">
        <f>'5. Vol Pndrtn Ikan (4x5)'!$N$20</f>
        <v>80</v>
      </c>
      <c r="X100" s="2398" t="s">
        <v>117</v>
      </c>
      <c r="Y100" s="2375">
        <f t="shared" si="34"/>
        <v>2676258.4000000004</v>
      </c>
      <c r="Z100" s="2375">
        <f t="shared" si="29"/>
        <v>0.11690467833340165</v>
      </c>
      <c r="AA100" s="2377" t="s">
        <v>3355</v>
      </c>
    </row>
    <row r="101" spans="1:27" s="331" customFormat="1" ht="25" customHeight="1">
      <c r="A101" s="2398">
        <f>A93+1</f>
        <v>3</v>
      </c>
      <c r="B101" s="2549" t="s">
        <v>403</v>
      </c>
      <c r="C101" s="2550"/>
      <c r="D101" s="2551"/>
      <c r="E101" s="2541"/>
      <c r="F101" s="2398"/>
      <c r="G101" s="2473"/>
      <c r="H101" s="2464"/>
      <c r="I101" s="2479"/>
      <c r="J101" s="2544"/>
      <c r="K101" s="2389"/>
      <c r="L101" s="2475"/>
      <c r="M101" s="2391"/>
      <c r="N101" s="2375">
        <f t="shared" si="27"/>
        <v>0</v>
      </c>
      <c r="O101" s="2375">
        <v>0</v>
      </c>
      <c r="P101" s="2398"/>
      <c r="Q101" s="2375">
        <f t="shared" si="30"/>
        <v>0</v>
      </c>
      <c r="R101" s="2375">
        <f t="shared" si="28"/>
        <v>0</v>
      </c>
      <c r="S101" s="2375">
        <v>0</v>
      </c>
      <c r="T101" s="2398"/>
      <c r="U101" s="2375">
        <f t="shared" si="24"/>
        <v>0</v>
      </c>
      <c r="V101" s="2375"/>
      <c r="W101" s="2541"/>
      <c r="X101" s="2398"/>
      <c r="Y101" s="2375"/>
      <c r="Z101" s="2375">
        <f t="shared" si="29"/>
        <v>0</v>
      </c>
      <c r="AA101" s="2377"/>
    </row>
    <row r="102" spans="1:27" s="331" customFormat="1" ht="25" customHeight="1">
      <c r="A102" s="2555" t="s">
        <v>95</v>
      </c>
      <c r="B102" s="2549" t="s">
        <v>404</v>
      </c>
      <c r="C102" s="2550"/>
      <c r="D102" s="2551"/>
      <c r="E102" s="2541">
        <f>'5. Vol Pndrtn Ikan (4x5)'!$P$25</f>
        <v>12.53</v>
      </c>
      <c r="F102" s="2398" t="s">
        <v>103</v>
      </c>
      <c r="G102" s="2389">
        <v>50600</v>
      </c>
      <c r="H102" s="2464">
        <f>E102*G102</f>
        <v>634018</v>
      </c>
      <c r="I102" s="2465">
        <f>'Resume Analisa'!$D$18</f>
        <v>49036.76</v>
      </c>
      <c r="J102" s="2544">
        <f>I102*E102</f>
        <v>614430.60279999999</v>
      </c>
      <c r="K102" s="2378" t="e">
        <f>IF(H102=0,"",IF(J102&lt;#REF!*H102,"Timpang &lt;"&amp;TEXT(#REF!,"0%"),IF(J102&gt;#REF!*H102,"Timpang &gt;"&amp;TEXT(#REF!,"0%"),"Wajar")))</f>
        <v>#REF!</v>
      </c>
      <c r="L102" s="2391">
        <v>49036.76</v>
      </c>
      <c r="M102" s="2391">
        <f>E102*L102</f>
        <v>614430.60279999999</v>
      </c>
      <c r="N102" s="2375">
        <f t="shared" si="27"/>
        <v>2.683963999086638E-2</v>
      </c>
      <c r="O102" s="2375">
        <v>0</v>
      </c>
      <c r="P102" s="2398"/>
      <c r="Q102" s="2375">
        <f t="shared" si="30"/>
        <v>0</v>
      </c>
      <c r="R102" s="2375">
        <f t="shared" si="28"/>
        <v>0</v>
      </c>
      <c r="S102" s="2375">
        <v>0</v>
      </c>
      <c r="T102" s="2398"/>
      <c r="U102" s="2375">
        <f t="shared" si="24"/>
        <v>0</v>
      </c>
      <c r="V102" s="2375"/>
      <c r="W102" s="2541">
        <f>'5. Vol Pndrtn Ikan (4x5)'!$P$25</f>
        <v>12.53</v>
      </c>
      <c r="X102" s="2398" t="s">
        <v>103</v>
      </c>
      <c r="Y102" s="2375">
        <f t="shared" si="34"/>
        <v>614430.60279999999</v>
      </c>
      <c r="Z102" s="2375">
        <f t="shared" si="29"/>
        <v>2.683963999086638E-2</v>
      </c>
      <c r="AA102" s="2377" t="s">
        <v>3355</v>
      </c>
    </row>
    <row r="103" spans="1:27" s="331" customFormat="1" ht="25" customHeight="1">
      <c r="A103" s="2555" t="s">
        <v>98</v>
      </c>
      <c r="B103" s="2556" t="s">
        <v>405</v>
      </c>
      <c r="C103" s="2557"/>
      <c r="D103" s="2558"/>
      <c r="E103" s="2559">
        <f>'5. Vol Pndrtn Ikan (4x5)'!$P$30*0</f>
        <v>0</v>
      </c>
      <c r="F103" s="2560" t="s">
        <v>117</v>
      </c>
      <c r="G103" s="2389">
        <v>34019.880000000005</v>
      </c>
      <c r="H103" s="2464">
        <f>E103*G103</f>
        <v>0</v>
      </c>
      <c r="I103" s="2465">
        <f>'Resume Analisa'!$D$37</f>
        <v>33453.230000000003</v>
      </c>
      <c r="J103" s="2544">
        <f>I103*E103</f>
        <v>0</v>
      </c>
      <c r="K103" s="2378" t="str">
        <f>IF(H103=0,"",IF(J103&lt;#REF!*H103,"Timpang &lt;"&amp;TEXT(#REF!,"0%"),IF(J103&gt;#REF!*H103,"Timpang &gt;"&amp;TEXT(#REF!,"0%"),"Wajar")))</f>
        <v/>
      </c>
      <c r="L103" s="2391">
        <v>33453.230000000003</v>
      </c>
      <c r="M103" s="2391">
        <f>E103*L103</f>
        <v>0</v>
      </c>
      <c r="N103" s="2375">
        <f t="shared" si="27"/>
        <v>0</v>
      </c>
      <c r="O103" s="2375">
        <v>0</v>
      </c>
      <c r="P103" s="2398"/>
      <c r="Q103" s="2375">
        <f t="shared" si="30"/>
        <v>0</v>
      </c>
      <c r="R103" s="2375">
        <f t="shared" si="28"/>
        <v>0</v>
      </c>
      <c r="S103" s="2375">
        <v>0</v>
      </c>
      <c r="T103" s="2560"/>
      <c r="U103" s="2375">
        <f t="shared" si="24"/>
        <v>0</v>
      </c>
      <c r="V103" s="2375"/>
      <c r="W103" s="2559">
        <f>'5. Vol Pndrtn Ikan (4x5)'!$P$30*0</f>
        <v>0</v>
      </c>
      <c r="X103" s="2560" t="s">
        <v>117</v>
      </c>
      <c r="Y103" s="2375">
        <f t="shared" si="34"/>
        <v>0</v>
      </c>
      <c r="Z103" s="2375">
        <f t="shared" si="29"/>
        <v>0</v>
      </c>
      <c r="AA103" s="2377" t="s">
        <v>3355</v>
      </c>
    </row>
    <row r="104" spans="1:27" s="331" customFormat="1" ht="25" customHeight="1">
      <c r="A104" s="2555" t="s">
        <v>101</v>
      </c>
      <c r="B104" s="2549" t="s">
        <v>406</v>
      </c>
      <c r="C104" s="2550"/>
      <c r="D104" s="2551"/>
      <c r="E104" s="2541">
        <f>'5. Vol Pndrtn Ikan (4x5)'!$P$34</f>
        <v>1.01</v>
      </c>
      <c r="F104" s="2398" t="s">
        <v>103</v>
      </c>
      <c r="G104" s="2389">
        <v>507759.96</v>
      </c>
      <c r="H104" s="2464">
        <f>E104*G104</f>
        <v>512837.55960000004</v>
      </c>
      <c r="I104" s="2480">
        <f>'Resume Analisa'!$D$26</f>
        <v>475358.64</v>
      </c>
      <c r="J104" s="2544">
        <f>I104*E104</f>
        <v>480112.22640000004</v>
      </c>
      <c r="K104" s="2378" t="e">
        <f>IF(H104=0,"",IF(J104&lt;#REF!*H104,"Timpang &lt;"&amp;TEXT(#REF!,"0%"),IF(J104&gt;#REF!*H104,"Timpang &gt;"&amp;TEXT(#REF!,"0%"),"Wajar")))</f>
        <v>#REF!</v>
      </c>
      <c r="L104" s="2391">
        <v>475358.64</v>
      </c>
      <c r="M104" s="2391">
        <f>E104*L104</f>
        <v>480112.22640000004</v>
      </c>
      <c r="N104" s="2375">
        <f t="shared" si="27"/>
        <v>2.097232665994633E-2</v>
      </c>
      <c r="O104" s="2375">
        <v>0</v>
      </c>
      <c r="P104" s="2398"/>
      <c r="Q104" s="2375">
        <f t="shared" si="30"/>
        <v>0</v>
      </c>
      <c r="R104" s="2375">
        <f t="shared" si="28"/>
        <v>0</v>
      </c>
      <c r="S104" s="2386">
        <v>0</v>
      </c>
      <c r="T104" s="2398"/>
      <c r="U104" s="2375">
        <f t="shared" si="24"/>
        <v>0</v>
      </c>
      <c r="V104" s="2375"/>
      <c r="W104" s="2541">
        <f>'5. Vol Pndrtn Ikan (4x5)'!$P$34</f>
        <v>1.01</v>
      </c>
      <c r="X104" s="2398" t="s">
        <v>103</v>
      </c>
      <c r="Y104" s="2375">
        <f t="shared" si="34"/>
        <v>480112.22640000004</v>
      </c>
      <c r="Z104" s="2375">
        <f t="shared" si="29"/>
        <v>2.097232665994633E-2</v>
      </c>
      <c r="AA104" s="2377" t="s">
        <v>3355</v>
      </c>
    </row>
    <row r="105" spans="1:27" s="331" customFormat="1" ht="25" customHeight="1">
      <c r="A105" s="2555" t="s">
        <v>121</v>
      </c>
      <c r="B105" s="2549" t="s">
        <v>407</v>
      </c>
      <c r="C105" s="2550"/>
      <c r="D105" s="2551"/>
      <c r="E105" s="2541">
        <f>'5. Vol Pndrtn Ikan (4x5)'!$P$43</f>
        <v>7.92</v>
      </c>
      <c r="F105" s="2398" t="s">
        <v>103</v>
      </c>
      <c r="G105" s="2389">
        <v>1224235.95</v>
      </c>
      <c r="H105" s="2464">
        <f>E105*G105</f>
        <v>9695948.7239999995</v>
      </c>
      <c r="I105" s="2465">
        <f>'Resume Analisa'!$D$35</f>
        <v>1193268.75</v>
      </c>
      <c r="J105" s="2544">
        <f>I105*E105</f>
        <v>9450688.5</v>
      </c>
      <c r="K105" s="2378" t="e">
        <f>IF(H105=0,"",IF(J105&lt;#REF!*H105,"Timpang &lt;"&amp;TEXT(#REF!,"0%"),IF(J105&gt;#REF!*H105,"Timpang &gt;"&amp;TEXT(#REF!,"0%"),"Wajar")))</f>
        <v>#REF!</v>
      </c>
      <c r="L105" s="2391">
        <v>1193268.75</v>
      </c>
      <c r="M105" s="2391">
        <f>E105*L105</f>
        <v>9450688.5</v>
      </c>
      <c r="N105" s="2375">
        <f t="shared" si="27"/>
        <v>0.41282624245912802</v>
      </c>
      <c r="O105" s="2375">
        <v>0</v>
      </c>
      <c r="P105" s="2398"/>
      <c r="Q105" s="2375">
        <f t="shared" si="30"/>
        <v>0</v>
      </c>
      <c r="R105" s="2375">
        <f t="shared" si="28"/>
        <v>0</v>
      </c>
      <c r="S105" s="2386">
        <v>0</v>
      </c>
      <c r="T105" s="2398"/>
      <c r="U105" s="2375">
        <f t="shared" si="24"/>
        <v>0</v>
      </c>
      <c r="V105" s="2375"/>
      <c r="W105" s="2541">
        <f>'5. Vol Pndrtn Ikan (4x5)'!$P$43</f>
        <v>7.92</v>
      </c>
      <c r="X105" s="2398" t="s">
        <v>103</v>
      </c>
      <c r="Y105" s="2375">
        <f t="shared" si="34"/>
        <v>9450688.5</v>
      </c>
      <c r="Z105" s="2375">
        <f t="shared" si="29"/>
        <v>0.41282624245912802</v>
      </c>
      <c r="AA105" s="2377" t="s">
        <v>3355</v>
      </c>
    </row>
    <row r="106" spans="1:27" s="331" customFormat="1" ht="25" customHeight="1">
      <c r="A106" s="2398">
        <f>A101+1</f>
        <v>4</v>
      </c>
      <c r="B106" s="2549" t="s">
        <v>408</v>
      </c>
      <c r="C106" s="2550"/>
      <c r="D106" s="2551"/>
      <c r="E106" s="2541">
        <f>'5. Vol Pndrtn Ikan (4x5)'!$P$48</f>
        <v>5.55</v>
      </c>
      <c r="F106" s="2398" t="s">
        <v>100</v>
      </c>
      <c r="G106" s="2473">
        <v>19151.18</v>
      </c>
      <c r="H106" s="2464">
        <f>E106*G106</f>
        <v>106289.049</v>
      </c>
      <c r="I106" s="2474">
        <f>'Resume Analisa'!$D$48</f>
        <v>18790.969999999998</v>
      </c>
      <c r="J106" s="2544">
        <f>I106*E106</f>
        <v>104289.88349999998</v>
      </c>
      <c r="K106" s="2378" t="e">
        <f>IF(H106=0,"",IF(J106&lt;#REF!*H106,"Timpang &lt;"&amp;TEXT(#REF!,"0%"),IF(J106&gt;#REF!*H106,"Timpang &gt;"&amp;TEXT(#REF!,"0%"),"Wajar")))</f>
        <v>#REF!</v>
      </c>
      <c r="L106" s="2475">
        <v>18790.969999999998</v>
      </c>
      <c r="M106" s="2391">
        <f>E106*L106</f>
        <v>104289.88349999998</v>
      </c>
      <c r="N106" s="2375">
        <f t="shared" si="27"/>
        <v>4.5556046770354576E-3</v>
      </c>
      <c r="O106" s="2375">
        <v>0</v>
      </c>
      <c r="P106" s="2398"/>
      <c r="Q106" s="2375">
        <f t="shared" si="30"/>
        <v>0</v>
      </c>
      <c r="R106" s="2375">
        <f t="shared" si="28"/>
        <v>0</v>
      </c>
      <c r="S106" s="2375">
        <v>0</v>
      </c>
      <c r="T106" s="2398"/>
      <c r="U106" s="2375">
        <f t="shared" si="24"/>
        <v>0</v>
      </c>
      <c r="V106" s="2375"/>
      <c r="W106" s="2541">
        <f>'5. Vol Pndrtn Ikan (4x5)'!$P$48</f>
        <v>5.55</v>
      </c>
      <c r="X106" s="2398" t="s">
        <v>100</v>
      </c>
      <c r="Y106" s="2375">
        <f t="shared" si="34"/>
        <v>104289.88349999998</v>
      </c>
      <c r="Z106" s="2375">
        <f t="shared" si="29"/>
        <v>4.5556046770354576E-3</v>
      </c>
      <c r="AA106" s="2377" t="s">
        <v>3355</v>
      </c>
    </row>
    <row r="107" spans="1:27" s="331" customFormat="1" ht="25" customHeight="1">
      <c r="A107" s="2398">
        <f>A106+1</f>
        <v>5</v>
      </c>
      <c r="B107" s="2549" t="s">
        <v>409</v>
      </c>
      <c r="C107" s="2550"/>
      <c r="D107" s="2551"/>
      <c r="E107" s="2541"/>
      <c r="F107" s="2398"/>
      <c r="G107" s="2473"/>
      <c r="H107" s="2464"/>
      <c r="I107" s="2479"/>
      <c r="J107" s="2544"/>
      <c r="K107" s="2389"/>
      <c r="L107" s="2475"/>
      <c r="M107" s="2391"/>
      <c r="N107" s="2375">
        <f t="shared" si="27"/>
        <v>0</v>
      </c>
      <c r="O107" s="2375">
        <v>0</v>
      </c>
      <c r="P107" s="2398"/>
      <c r="Q107" s="2375">
        <f t="shared" si="30"/>
        <v>0</v>
      </c>
      <c r="R107" s="2375">
        <f t="shared" si="28"/>
        <v>0</v>
      </c>
      <c r="S107" s="2375">
        <v>0</v>
      </c>
      <c r="T107" s="2398"/>
      <c r="U107" s="2375">
        <f t="shared" si="24"/>
        <v>0</v>
      </c>
      <c r="V107" s="2375"/>
      <c r="W107" s="2541"/>
      <c r="X107" s="2398"/>
      <c r="Y107" s="2375">
        <f t="shared" si="34"/>
        <v>0</v>
      </c>
      <c r="Z107" s="2375">
        <f t="shared" si="29"/>
        <v>0</v>
      </c>
      <c r="AA107" s="2377"/>
    </row>
    <row r="108" spans="1:27" s="331" customFormat="1" ht="25" customHeight="1">
      <c r="A108" s="2555" t="s">
        <v>95</v>
      </c>
      <c r="B108" s="2561" t="s">
        <v>221</v>
      </c>
      <c r="C108" s="2550"/>
      <c r="D108" s="2551"/>
      <c r="E108" s="2541">
        <f>'5. Vol Pndrtn Ikan (4x5)'!$P$53</f>
        <v>10.8</v>
      </c>
      <c r="F108" s="2398" t="s">
        <v>89</v>
      </c>
      <c r="G108" s="2389">
        <v>230885.5</v>
      </c>
      <c r="H108" s="2464">
        <f>E108*G108</f>
        <v>2493563.4000000004</v>
      </c>
      <c r="I108" s="2465">
        <f>'Resume Analisa'!$D$39</f>
        <v>232328.86000000002</v>
      </c>
      <c r="J108" s="2552">
        <f>E108*I108</f>
        <v>2509151.6880000005</v>
      </c>
      <c r="K108" s="2378" t="e">
        <f>IF(H108=0,"",IF(J108&lt;#REF!*H108,"Timpang &lt;"&amp;TEXT(#REF!,"0%"),IF(J108&gt;#REF!*H108,"Timpang &gt;"&amp;TEXT(#REF!,"0%"),"Wajar")))</f>
        <v>#REF!</v>
      </c>
      <c r="L108" s="2391">
        <v>232328.86000000002</v>
      </c>
      <c r="M108" s="2391">
        <f>E108*L108</f>
        <v>2509151.6880000005</v>
      </c>
      <c r="N108" s="2375">
        <f t="shared" si="27"/>
        <v>0.1096051005296618</v>
      </c>
      <c r="O108" s="2375">
        <v>0</v>
      </c>
      <c r="P108" s="2398"/>
      <c r="Q108" s="2375">
        <f t="shared" si="30"/>
        <v>0</v>
      </c>
      <c r="R108" s="2375">
        <f t="shared" si="28"/>
        <v>0</v>
      </c>
      <c r="S108" s="2375">
        <v>0</v>
      </c>
      <c r="T108" s="2398"/>
      <c r="U108" s="2375">
        <f t="shared" si="24"/>
        <v>0</v>
      </c>
      <c r="V108" s="2375"/>
      <c r="W108" s="2541">
        <f>'5. Vol Pndrtn Ikan (4x5)'!$P$53</f>
        <v>10.8</v>
      </c>
      <c r="X108" s="2398" t="s">
        <v>89</v>
      </c>
      <c r="Y108" s="2375">
        <f t="shared" si="34"/>
        <v>2509151.6880000005</v>
      </c>
      <c r="Z108" s="2375">
        <f t="shared" si="29"/>
        <v>0.1096051005296618</v>
      </c>
      <c r="AA108" s="2377" t="s">
        <v>3355</v>
      </c>
    </row>
    <row r="109" spans="1:27" s="331" customFormat="1" ht="25" customHeight="1">
      <c r="A109" s="2555" t="s">
        <v>98</v>
      </c>
      <c r="B109" s="2549" t="s">
        <v>410</v>
      </c>
      <c r="C109" s="2550"/>
      <c r="D109" s="2551"/>
      <c r="E109" s="2541">
        <f>'5. Vol Pndrtn Ikan (4x5)'!$P$57</f>
        <v>55.49</v>
      </c>
      <c r="F109" s="2398" t="s">
        <v>100</v>
      </c>
      <c r="G109" s="2473">
        <v>19151.18</v>
      </c>
      <c r="H109" s="2478">
        <f>E109*G109</f>
        <v>1062698.9782</v>
      </c>
      <c r="I109" s="2474">
        <f>'Resume Analisa'!$D$48</f>
        <v>18790.969999999998</v>
      </c>
      <c r="J109" s="2562">
        <f>+I109*E109</f>
        <v>1042710.9252999999</v>
      </c>
      <c r="K109" s="2378" t="e">
        <f>IF(H109=0,"",IF(J109&lt;#REF!*H109,"Timpang &lt;"&amp;TEXT(#REF!,"0%"),IF(J109&gt;#REF!*H109,"Timpang &gt;"&amp;TEXT(#REF!,"0%"),"Wajar")))</f>
        <v>#REF!</v>
      </c>
      <c r="L109" s="2475">
        <v>18790.969999999998</v>
      </c>
      <c r="M109" s="2475">
        <f>E109*L109</f>
        <v>1042710.9252999999</v>
      </c>
      <c r="N109" s="2375">
        <f t="shared" si="27"/>
        <v>4.5547838473639198E-2</v>
      </c>
      <c r="O109" s="2375">
        <v>0</v>
      </c>
      <c r="P109" s="2398"/>
      <c r="Q109" s="2375">
        <f t="shared" si="30"/>
        <v>0</v>
      </c>
      <c r="R109" s="2375">
        <f t="shared" si="28"/>
        <v>0</v>
      </c>
      <c r="S109" s="2375">
        <v>0</v>
      </c>
      <c r="T109" s="2398"/>
      <c r="U109" s="2375">
        <f t="shared" si="24"/>
        <v>0</v>
      </c>
      <c r="V109" s="2375"/>
      <c r="W109" s="2541">
        <f>'5. Vol Pndrtn Ikan (4x5)'!$P$57</f>
        <v>55.49</v>
      </c>
      <c r="X109" s="2398" t="s">
        <v>100</v>
      </c>
      <c r="Y109" s="2375">
        <f t="shared" si="34"/>
        <v>1042710.9252999999</v>
      </c>
      <c r="Z109" s="2375">
        <f t="shared" si="29"/>
        <v>4.5547838473639198E-2</v>
      </c>
      <c r="AA109" s="2377" t="s">
        <v>3355</v>
      </c>
    </row>
    <row r="110" spans="1:27" s="331" customFormat="1" ht="25" customHeight="1">
      <c r="A110" s="2555" t="s">
        <v>101</v>
      </c>
      <c r="B110" s="2549" t="s">
        <v>411</v>
      </c>
      <c r="C110" s="2550"/>
      <c r="D110" s="2551"/>
      <c r="E110" s="2541">
        <f>'5. Vol Pndrtn Ikan (4x5)'!$P$61</f>
        <v>50</v>
      </c>
      <c r="F110" s="2398" t="s">
        <v>100</v>
      </c>
      <c r="G110" s="2473">
        <v>19151.18</v>
      </c>
      <c r="H110" s="2478">
        <f>E110*G110</f>
        <v>957559</v>
      </c>
      <c r="I110" s="2474">
        <f>'Resume Analisa'!$D$48</f>
        <v>18790.969999999998</v>
      </c>
      <c r="J110" s="2562">
        <f>+I110*E110</f>
        <v>939548.49999999988</v>
      </c>
      <c r="K110" s="2378" t="e">
        <f>IF(H110=0,"",IF(J110&lt;#REF!*H110,"Timpang &lt;"&amp;TEXT(#REF!,"0%"),IF(J110&gt;#REF!*H110,"Timpang &gt;"&amp;TEXT(#REF!,"0%"),"Wajar")))</f>
        <v>#REF!</v>
      </c>
      <c r="L110" s="2475">
        <v>18790.969999999998</v>
      </c>
      <c r="M110" s="2475">
        <f>E110*L110</f>
        <v>939548.49999999988</v>
      </c>
      <c r="N110" s="2375">
        <f t="shared" si="27"/>
        <v>4.1041483576896014E-2</v>
      </c>
      <c r="O110" s="2375">
        <v>0</v>
      </c>
      <c r="P110" s="2398"/>
      <c r="Q110" s="2375">
        <f t="shared" si="30"/>
        <v>0</v>
      </c>
      <c r="R110" s="2375">
        <f t="shared" si="28"/>
        <v>0</v>
      </c>
      <c r="S110" s="2375">
        <v>0</v>
      </c>
      <c r="T110" s="2398"/>
      <c r="U110" s="2375">
        <f t="shared" si="24"/>
        <v>0</v>
      </c>
      <c r="V110" s="2375"/>
      <c r="W110" s="2541">
        <f>'5. Vol Pndrtn Ikan (4x5)'!$P$61</f>
        <v>50</v>
      </c>
      <c r="X110" s="2398" t="s">
        <v>100</v>
      </c>
      <c r="Y110" s="2375">
        <f t="shared" si="34"/>
        <v>939548.49999999988</v>
      </c>
      <c r="Z110" s="2375">
        <f t="shared" si="29"/>
        <v>4.1041483576896014E-2</v>
      </c>
      <c r="AA110" s="2377" t="s">
        <v>3355</v>
      </c>
    </row>
    <row r="111" spans="1:27" s="331" customFormat="1" ht="25" customHeight="1">
      <c r="A111" s="2555" t="s">
        <v>121</v>
      </c>
      <c r="B111" s="2549" t="s">
        <v>169</v>
      </c>
      <c r="C111" s="2550"/>
      <c r="D111" s="2551"/>
      <c r="E111" s="2541">
        <f>'5. Vol Pndrtn Ikan (4x5)'!$P$65</f>
        <v>1.35</v>
      </c>
      <c r="F111" s="2398" t="s">
        <v>103</v>
      </c>
      <c r="G111" s="2389">
        <v>1584129.98</v>
      </c>
      <c r="H111" s="2464">
        <f>E111*G111</f>
        <v>2138575.4730000002</v>
      </c>
      <c r="I111" s="2465">
        <f>'Resume Analisa'!$D$55</f>
        <v>1535009.1300000001</v>
      </c>
      <c r="J111" s="2552">
        <f>E111*I111</f>
        <v>2072262.3255000003</v>
      </c>
      <c r="K111" s="2378" t="e">
        <f>IF(H111=0,"",IF(J111&lt;#REF!*H111,"Timpang &lt;"&amp;TEXT(#REF!,"0%"),IF(J111&gt;#REF!*H111,"Timpang &gt;"&amp;TEXT(#REF!,"0%"),"Wajar")))</f>
        <v>#REF!</v>
      </c>
      <c r="L111" s="2391">
        <v>1535009.1300000001</v>
      </c>
      <c r="M111" s="2391">
        <f>E111*L111</f>
        <v>2072262.3255000003</v>
      </c>
      <c r="N111" s="2375">
        <f t="shared" si="27"/>
        <v>9.0520840807077674E-2</v>
      </c>
      <c r="O111" s="2375">
        <v>0</v>
      </c>
      <c r="P111" s="2398"/>
      <c r="Q111" s="2375">
        <f t="shared" si="30"/>
        <v>0</v>
      </c>
      <c r="R111" s="2375">
        <f t="shared" si="28"/>
        <v>0</v>
      </c>
      <c r="S111" s="2386">
        <v>0</v>
      </c>
      <c r="T111" s="2398"/>
      <c r="U111" s="2375">
        <f t="shared" si="24"/>
        <v>0</v>
      </c>
      <c r="V111" s="2375"/>
      <c r="W111" s="2541">
        <f>'5. Vol Pndrtn Ikan (4x5)'!$P$65</f>
        <v>1.35</v>
      </c>
      <c r="X111" s="2398" t="s">
        <v>103</v>
      </c>
      <c r="Y111" s="2375">
        <f t="shared" si="34"/>
        <v>2072262.3255000003</v>
      </c>
      <c r="Z111" s="2375">
        <f t="shared" si="29"/>
        <v>9.0520840807077674E-2</v>
      </c>
      <c r="AA111" s="2377" t="s">
        <v>3355</v>
      </c>
    </row>
    <row r="112" spans="1:27" s="331" customFormat="1" ht="25" customHeight="1">
      <c r="A112" s="2398">
        <f>A107+1</f>
        <v>6</v>
      </c>
      <c r="B112" s="2549" t="s">
        <v>412</v>
      </c>
      <c r="C112" s="2550"/>
      <c r="D112" s="2551"/>
      <c r="E112" s="2541"/>
      <c r="F112" s="2398"/>
      <c r="G112" s="2563"/>
      <c r="H112" s="2464"/>
      <c r="I112" s="2564"/>
      <c r="J112" s="2544"/>
      <c r="K112" s="2389"/>
      <c r="L112" s="2565"/>
      <c r="M112" s="2391"/>
      <c r="N112" s="2375">
        <f t="shared" si="27"/>
        <v>0</v>
      </c>
      <c r="O112" s="2375">
        <v>0</v>
      </c>
      <c r="P112" s="2398"/>
      <c r="Q112" s="2375">
        <f t="shared" si="30"/>
        <v>0</v>
      </c>
      <c r="R112" s="2375">
        <f t="shared" si="28"/>
        <v>0</v>
      </c>
      <c r="S112" s="2386">
        <v>0</v>
      </c>
      <c r="T112" s="2398"/>
      <c r="U112" s="2375">
        <f t="shared" si="24"/>
        <v>0</v>
      </c>
      <c r="V112" s="2375"/>
      <c r="W112" s="2541"/>
      <c r="X112" s="2398"/>
      <c r="Y112" s="2375">
        <f t="shared" si="34"/>
        <v>0</v>
      </c>
      <c r="Z112" s="2375">
        <f t="shared" si="29"/>
        <v>0</v>
      </c>
      <c r="AA112" s="2377"/>
    </row>
    <row r="113" spans="1:27" s="331" customFormat="1" ht="25" customHeight="1">
      <c r="A113" s="2555" t="s">
        <v>95</v>
      </c>
      <c r="B113" s="2549" t="s">
        <v>413</v>
      </c>
      <c r="C113" s="2550"/>
      <c r="D113" s="2551"/>
      <c r="E113" s="2541">
        <f>'5. Vol Pndrtn Ikan (4x5)'!$P$67</f>
        <v>3.21</v>
      </c>
      <c r="F113" s="2398" t="s">
        <v>103</v>
      </c>
      <c r="G113" s="2389">
        <v>200606.23</v>
      </c>
      <c r="H113" s="2464">
        <f>E113*G113</f>
        <v>643945.99829999998</v>
      </c>
      <c r="I113" s="2480">
        <f>'Resume Analisa'!$D$24</f>
        <v>189662.29</v>
      </c>
      <c r="J113" s="2544">
        <f>I113*E113</f>
        <v>608815.95090000005</v>
      </c>
      <c r="K113" s="2378" t="e">
        <f>IF(H113=0,"",IF(J113&lt;#REF!*H113,"Timpang &lt;"&amp;TEXT(#REF!,"0%"),IF(J113&gt;#REF!*H113,"Timpang &gt;"&amp;TEXT(#REF!,"0%"),"Wajar")))</f>
        <v>#REF!</v>
      </c>
      <c r="L113" s="2391">
        <v>189662.29</v>
      </c>
      <c r="M113" s="2391">
        <f>E113*L113</f>
        <v>608815.95090000005</v>
      </c>
      <c r="N113" s="2375">
        <f t="shared" si="27"/>
        <v>2.6594380013607269E-2</v>
      </c>
      <c r="O113" s="2375">
        <v>0</v>
      </c>
      <c r="P113" s="2398"/>
      <c r="Q113" s="2375">
        <f t="shared" si="30"/>
        <v>0</v>
      </c>
      <c r="R113" s="2375">
        <f t="shared" si="28"/>
        <v>0</v>
      </c>
      <c r="S113" s="2375">
        <v>0</v>
      </c>
      <c r="T113" s="2398"/>
      <c r="U113" s="2375">
        <f t="shared" si="24"/>
        <v>0</v>
      </c>
      <c r="V113" s="2375"/>
      <c r="W113" s="2541">
        <f>'5. Vol Pndrtn Ikan (4x5)'!$P$67</f>
        <v>3.21</v>
      </c>
      <c r="X113" s="2398" t="s">
        <v>103</v>
      </c>
      <c r="Y113" s="2375">
        <f t="shared" si="34"/>
        <v>608815.95090000005</v>
      </c>
      <c r="Z113" s="2375">
        <f t="shared" si="29"/>
        <v>2.6594380013607269E-2</v>
      </c>
      <c r="AA113" s="2377" t="s">
        <v>3355</v>
      </c>
    </row>
    <row r="114" spans="1:27" s="331" customFormat="1" ht="25" customHeight="1">
      <c r="A114" s="2555" t="s">
        <v>98</v>
      </c>
      <c r="B114" s="2549" t="s">
        <v>414</v>
      </c>
      <c r="C114" s="2550"/>
      <c r="D114" s="2551"/>
      <c r="E114" s="2541">
        <f>E113</f>
        <v>3.21</v>
      </c>
      <c r="F114" s="2398" t="s">
        <v>103</v>
      </c>
      <c r="G114" s="2389">
        <v>39847.5</v>
      </c>
      <c r="H114" s="2464">
        <f>E114*G114</f>
        <v>127910.47500000001</v>
      </c>
      <c r="I114" s="2566">
        <f>'Resume Analisa'!$D$31</f>
        <v>37946.620000000003</v>
      </c>
      <c r="J114" s="2544">
        <f>I114*E114</f>
        <v>121808.6502</v>
      </c>
      <c r="K114" s="2378" t="e">
        <f>IF(H114=0,"",IF(J114&lt;#REF!*H114,"Timpang &lt;"&amp;TEXT(#REF!,"0%"),IF(J114&gt;#REF!*H114,"Timpang &gt;"&amp;TEXT(#REF!,"0%"),"Wajar")))</f>
        <v>#REF!</v>
      </c>
      <c r="L114" s="2391">
        <v>37946.620000000003</v>
      </c>
      <c r="M114" s="2391">
        <f>E114*L114</f>
        <v>121808.6502</v>
      </c>
      <c r="N114" s="2375">
        <f t="shared" si="27"/>
        <v>5.320861793411593E-3</v>
      </c>
      <c r="O114" s="2375">
        <v>0</v>
      </c>
      <c r="P114" s="2398"/>
      <c r="Q114" s="2375">
        <f t="shared" si="30"/>
        <v>0</v>
      </c>
      <c r="R114" s="2375">
        <f t="shared" si="28"/>
        <v>0</v>
      </c>
      <c r="S114" s="2375">
        <v>0</v>
      </c>
      <c r="T114" s="2398"/>
      <c r="U114" s="2375">
        <f t="shared" si="24"/>
        <v>0</v>
      </c>
      <c r="V114" s="2375"/>
      <c r="W114" s="2541">
        <f>W113</f>
        <v>3.21</v>
      </c>
      <c r="X114" s="2398" t="s">
        <v>103</v>
      </c>
      <c r="Y114" s="2375">
        <f t="shared" si="34"/>
        <v>121808.6502</v>
      </c>
      <c r="Z114" s="2375">
        <f t="shared" si="29"/>
        <v>5.320861793411593E-3</v>
      </c>
      <c r="AA114" s="2377" t="s">
        <v>3355</v>
      </c>
    </row>
    <row r="115" spans="1:27" s="331" customFormat="1" ht="25" customHeight="1">
      <c r="A115" s="2555" t="s">
        <v>101</v>
      </c>
      <c r="B115" s="2549" t="s">
        <v>415</v>
      </c>
      <c r="C115" s="2550"/>
      <c r="D115" s="2551"/>
      <c r="E115" s="2541">
        <f>'5. Vol Pndrtn Ikan (4x5)'!$P$68</f>
        <v>0.89</v>
      </c>
      <c r="F115" s="2398" t="s">
        <v>103</v>
      </c>
      <c r="G115" s="2389">
        <v>507759.96</v>
      </c>
      <c r="H115" s="2464">
        <f>E115*G115</f>
        <v>451906.36440000002</v>
      </c>
      <c r="I115" s="2480">
        <f>'Resume Analisa'!$D$26</f>
        <v>475358.64</v>
      </c>
      <c r="J115" s="2544">
        <f>I115*E115</f>
        <v>423069.18960000004</v>
      </c>
      <c r="K115" s="2378" t="e">
        <f>IF(H115=0,"",IF(J115&lt;#REF!*H115,"Timpang &lt;"&amp;TEXT(#REF!,"0%"),IF(J115&gt;#REF!*H115,"Timpang &gt;"&amp;TEXT(#REF!,"0%"),"Wajar")))</f>
        <v>#REF!</v>
      </c>
      <c r="L115" s="2391">
        <v>475358.64</v>
      </c>
      <c r="M115" s="2391">
        <f>E115*L115</f>
        <v>423069.18960000004</v>
      </c>
      <c r="N115" s="2375">
        <f t="shared" si="27"/>
        <v>1.848056507658637E-2</v>
      </c>
      <c r="O115" s="2375">
        <v>0</v>
      </c>
      <c r="P115" s="2398"/>
      <c r="Q115" s="2375">
        <f t="shared" si="30"/>
        <v>0</v>
      </c>
      <c r="R115" s="2375">
        <f t="shared" si="28"/>
        <v>0</v>
      </c>
      <c r="S115" s="2375">
        <v>0</v>
      </c>
      <c r="T115" s="2398"/>
      <c r="U115" s="2375">
        <f t="shared" si="24"/>
        <v>0</v>
      </c>
      <c r="V115" s="2375"/>
      <c r="W115" s="2541">
        <f>'5. Vol Pndrtn Ikan (4x5)'!$P$68</f>
        <v>0.89</v>
      </c>
      <c r="X115" s="2398" t="s">
        <v>103</v>
      </c>
      <c r="Y115" s="2375">
        <f t="shared" si="34"/>
        <v>423069.18960000004</v>
      </c>
      <c r="Z115" s="2375">
        <f t="shared" si="29"/>
        <v>1.848056507658637E-2</v>
      </c>
      <c r="AA115" s="2377" t="s">
        <v>3355</v>
      </c>
    </row>
    <row r="116" spans="1:27" s="331" customFormat="1" ht="25" customHeight="1">
      <c r="A116" s="2555" t="s">
        <v>121</v>
      </c>
      <c r="B116" s="2549" t="s">
        <v>192</v>
      </c>
      <c r="C116" s="2550"/>
      <c r="D116" s="2551"/>
      <c r="E116" s="2541">
        <f>'5. Vol Pndrtn Ikan (4x5)'!$P$69</f>
        <v>1.25</v>
      </c>
      <c r="F116" s="2398" t="s">
        <v>103</v>
      </c>
      <c r="G116" s="2389">
        <v>1422226.08</v>
      </c>
      <c r="H116" s="2464">
        <f>E116*G116</f>
        <v>1777782.6</v>
      </c>
      <c r="I116" s="2465">
        <f>'Resume Analisa'!$D$54</f>
        <v>1384580.76</v>
      </c>
      <c r="J116" s="2567">
        <f>E116*I116</f>
        <v>1730725.95</v>
      </c>
      <c r="K116" s="2378" t="e">
        <f>IF(H116=0,"",IF(J116&lt;#REF!*H116,"Timpang &lt;"&amp;TEXT(#REF!,"0%"),IF(J116&gt;#REF!*H116,"Timpang &gt;"&amp;TEXT(#REF!,"0%"),"Wajar")))</f>
        <v>#REF!</v>
      </c>
      <c r="L116" s="2391">
        <v>1384580.76</v>
      </c>
      <c r="M116" s="2391">
        <f>E116*L116</f>
        <v>1730725.95</v>
      </c>
      <c r="N116" s="2375">
        <f t="shared" si="27"/>
        <v>7.5601803050116892E-2</v>
      </c>
      <c r="O116" s="2375">
        <v>0</v>
      </c>
      <c r="P116" s="2398"/>
      <c r="Q116" s="2375">
        <f t="shared" si="30"/>
        <v>0</v>
      </c>
      <c r="R116" s="2375">
        <f t="shared" si="28"/>
        <v>0</v>
      </c>
      <c r="S116" s="2375">
        <v>0</v>
      </c>
      <c r="T116" s="2398"/>
      <c r="U116" s="2375">
        <f t="shared" si="24"/>
        <v>0</v>
      </c>
      <c r="V116" s="2375"/>
      <c r="W116" s="2541">
        <f>'5. Vol Pndrtn Ikan (4x5)'!$P$69</f>
        <v>1.25</v>
      </c>
      <c r="X116" s="2398" t="s">
        <v>103</v>
      </c>
      <c r="Y116" s="2375">
        <f t="shared" si="34"/>
        <v>1730725.95</v>
      </c>
      <c r="Z116" s="2375">
        <f t="shared" si="29"/>
        <v>7.5601803050116892E-2</v>
      </c>
      <c r="AA116" s="2377" t="s">
        <v>3355</v>
      </c>
    </row>
    <row r="117" spans="1:27" s="331" customFormat="1" ht="25" customHeight="1">
      <c r="A117" s="2555" t="s">
        <v>142</v>
      </c>
      <c r="B117" s="2549" t="s">
        <v>194</v>
      </c>
      <c r="C117" s="2550"/>
      <c r="D117" s="2551"/>
      <c r="E117" s="2541">
        <f>'5. Vol Pndrtn Ikan (4x5)'!$P$75</f>
        <v>17.809999999999999</v>
      </c>
      <c r="F117" s="2560" t="s">
        <v>89</v>
      </c>
      <c r="G117" s="2389">
        <v>45612.170000000006</v>
      </c>
      <c r="H117" s="2464">
        <f>E117*G117</f>
        <v>812352.74770000007</v>
      </c>
      <c r="I117" s="2480">
        <f>'Resume Analisa'!$D$72</f>
        <v>43813.91</v>
      </c>
      <c r="J117" s="2552">
        <f>E117*I117</f>
        <v>780325.73710000003</v>
      </c>
      <c r="K117" s="2378" t="e">
        <f>IF(H117=0,"",IF(J117&lt;#REF!*H117,"Timpang &lt;"&amp;TEXT(#REF!,"0%"),IF(J117&gt;#REF!*H117,"Timpang &gt;"&amp;TEXT(#REF!,"0%"),"Wajar")))</f>
        <v>#REF!</v>
      </c>
      <c r="L117" s="2391">
        <v>43813.91</v>
      </c>
      <c r="M117" s="2391">
        <f>E117*L117</f>
        <v>780325.73710000003</v>
      </c>
      <c r="N117" s="2375">
        <f t="shared" si="27"/>
        <v>3.4086293495033983E-2</v>
      </c>
      <c r="O117" s="2375">
        <v>0</v>
      </c>
      <c r="P117" s="2398"/>
      <c r="Q117" s="2375">
        <f t="shared" si="30"/>
        <v>0</v>
      </c>
      <c r="R117" s="2375">
        <f t="shared" si="28"/>
        <v>0</v>
      </c>
      <c r="S117" s="2375">
        <v>0</v>
      </c>
      <c r="T117" s="2560"/>
      <c r="U117" s="2375">
        <f t="shared" si="24"/>
        <v>0</v>
      </c>
      <c r="V117" s="2375"/>
      <c r="W117" s="2541">
        <f>'5. Vol Pndrtn Ikan (4x5)'!$P$75</f>
        <v>17.809999999999999</v>
      </c>
      <c r="X117" s="2560" t="s">
        <v>89</v>
      </c>
      <c r="Y117" s="2375">
        <f t="shared" si="34"/>
        <v>780325.73710000003</v>
      </c>
      <c r="Z117" s="2375">
        <f t="shared" si="29"/>
        <v>3.4086293495033983E-2</v>
      </c>
      <c r="AA117" s="2377" t="s">
        <v>3355</v>
      </c>
    </row>
    <row r="118" spans="1:27" s="331" customFormat="1" ht="25" customHeight="1">
      <c r="A118" s="2398">
        <f>A112+1</f>
        <v>7</v>
      </c>
      <c r="B118" s="2549" t="s">
        <v>416</v>
      </c>
      <c r="C118" s="2550"/>
      <c r="D118" s="2551"/>
      <c r="E118" s="2541"/>
      <c r="F118" s="2560"/>
      <c r="G118" s="2389"/>
      <c r="H118" s="2464"/>
      <c r="I118" s="2480"/>
      <c r="J118" s="2552"/>
      <c r="K118" s="2389"/>
      <c r="L118" s="2391"/>
      <c r="M118" s="2391"/>
      <c r="N118" s="2375">
        <f t="shared" si="27"/>
        <v>0</v>
      </c>
      <c r="O118" s="2375">
        <v>0</v>
      </c>
      <c r="P118" s="2398"/>
      <c r="Q118" s="2375">
        <f t="shared" si="30"/>
        <v>0</v>
      </c>
      <c r="R118" s="2375">
        <f t="shared" si="28"/>
        <v>0</v>
      </c>
      <c r="S118" s="2386">
        <v>0</v>
      </c>
      <c r="T118" s="2560"/>
      <c r="U118" s="2375">
        <f t="shared" si="24"/>
        <v>0</v>
      </c>
      <c r="V118" s="2375"/>
      <c r="W118" s="2541"/>
      <c r="X118" s="2560"/>
      <c r="Y118" s="2375">
        <f t="shared" si="34"/>
        <v>0</v>
      </c>
      <c r="Z118" s="2375">
        <f t="shared" si="29"/>
        <v>0</v>
      </c>
      <c r="AA118" s="2377"/>
    </row>
    <row r="119" spans="1:27" s="331" customFormat="1" ht="25" customHeight="1">
      <c r="A119" s="2555" t="s">
        <v>95</v>
      </c>
      <c r="B119" s="2549" t="s">
        <v>417</v>
      </c>
      <c r="C119" s="2550"/>
      <c r="D119" s="2551"/>
      <c r="E119" s="2541">
        <f>'5. Vol Pndrtn Ikan (4x5)'!$P$77</f>
        <v>3.2</v>
      </c>
      <c r="F119" s="2398" t="s">
        <v>89</v>
      </c>
      <c r="G119" s="2389">
        <v>249883.29</v>
      </c>
      <c r="H119" s="2464">
        <f>E119*G119</f>
        <v>799626.52800000005</v>
      </c>
      <c r="I119" s="2480">
        <f>'Resume Analisa'!$D$40</f>
        <v>245946.97</v>
      </c>
      <c r="J119" s="2552">
        <f>E119*I119</f>
        <v>787030.304</v>
      </c>
      <c r="K119" s="2378" t="e">
        <f>IF(H119=0,"",IF(J119&lt;#REF!*H119,"Timpang &lt;"&amp;TEXT(#REF!,"0%"),IF(J119&gt;#REF!*H119,"Timpang &gt;"&amp;TEXT(#REF!,"0%"),"Wajar")))</f>
        <v>#REF!</v>
      </c>
      <c r="L119" s="2391">
        <v>245946.97</v>
      </c>
      <c r="M119" s="2391">
        <f>E119*L119</f>
        <v>787030.304</v>
      </c>
      <c r="N119" s="2375">
        <f t="shared" si="27"/>
        <v>3.4379163285488172E-2</v>
      </c>
      <c r="O119" s="2375">
        <v>0</v>
      </c>
      <c r="P119" s="2398"/>
      <c r="Q119" s="2375">
        <f t="shared" si="30"/>
        <v>0</v>
      </c>
      <c r="R119" s="2375">
        <f t="shared" si="28"/>
        <v>0</v>
      </c>
      <c r="S119" s="2386">
        <v>0</v>
      </c>
      <c r="T119" s="2398"/>
      <c r="U119" s="2375">
        <f t="shared" si="24"/>
        <v>0</v>
      </c>
      <c r="V119" s="2375"/>
      <c r="W119" s="2541">
        <f>'5. Vol Pndrtn Ikan (4x5)'!$P$77</f>
        <v>3.2</v>
      </c>
      <c r="X119" s="2398" t="s">
        <v>89</v>
      </c>
      <c r="Y119" s="2375">
        <f t="shared" si="34"/>
        <v>787030.304</v>
      </c>
      <c r="Z119" s="2375">
        <f t="shared" si="29"/>
        <v>3.4379163285488172E-2</v>
      </c>
      <c r="AA119" s="2377" t="s">
        <v>3355</v>
      </c>
    </row>
    <row r="120" spans="1:27" s="331" customFormat="1" ht="25" customHeight="1">
      <c r="A120" s="2555" t="s">
        <v>98</v>
      </c>
      <c r="B120" s="2549" t="s">
        <v>418</v>
      </c>
      <c r="C120" s="2550"/>
      <c r="D120" s="2551"/>
      <c r="E120" s="2541">
        <f>'5. Vol Pndrtn Ikan (4x5)'!$P$78</f>
        <v>20.71</v>
      </c>
      <c r="F120" s="2398" t="s">
        <v>100</v>
      </c>
      <c r="G120" s="2473">
        <v>19151.18</v>
      </c>
      <c r="H120" s="2478">
        <f>E120*G120</f>
        <v>396620.93780000001</v>
      </c>
      <c r="I120" s="2474">
        <f>'Resume Analisa'!$D$48</f>
        <v>18790.969999999998</v>
      </c>
      <c r="J120" s="2562">
        <f>+I120*E120</f>
        <v>389160.98869999999</v>
      </c>
      <c r="K120" s="2378" t="e">
        <f>IF(H120=0,"",IF(J120&lt;#REF!*H120,"Timpang &lt;"&amp;TEXT(#REF!,"0%"),IF(J120&gt;#REF!*H120,"Timpang &gt;"&amp;TEXT(#REF!,"0%"),"Wajar")))</f>
        <v>#REF!</v>
      </c>
      <c r="L120" s="2475">
        <v>18790.969999999998</v>
      </c>
      <c r="M120" s="2475">
        <f>E120*L120</f>
        <v>389160.98869999999</v>
      </c>
      <c r="N120" s="2375">
        <f t="shared" si="27"/>
        <v>1.6999382497550331E-2</v>
      </c>
      <c r="O120" s="2375">
        <v>0</v>
      </c>
      <c r="P120" s="2398"/>
      <c r="Q120" s="2375">
        <f t="shared" si="30"/>
        <v>0</v>
      </c>
      <c r="R120" s="2375">
        <f t="shared" si="28"/>
        <v>0</v>
      </c>
      <c r="S120" s="2375">
        <v>0</v>
      </c>
      <c r="T120" s="2398"/>
      <c r="U120" s="2375">
        <f t="shared" si="24"/>
        <v>0</v>
      </c>
      <c r="V120" s="2375"/>
      <c r="W120" s="2541">
        <f>'5. Vol Pndrtn Ikan (4x5)'!$P$78</f>
        <v>20.71</v>
      </c>
      <c r="X120" s="2398" t="s">
        <v>100</v>
      </c>
      <c r="Y120" s="2375">
        <f t="shared" si="34"/>
        <v>389160.98869999999</v>
      </c>
      <c r="Z120" s="2375">
        <f t="shared" si="29"/>
        <v>1.6999382497550331E-2</v>
      </c>
      <c r="AA120" s="2377" t="s">
        <v>3355</v>
      </c>
    </row>
    <row r="121" spans="1:27" s="331" customFormat="1" ht="25" customHeight="1">
      <c r="A121" s="2555" t="s">
        <v>101</v>
      </c>
      <c r="B121" s="2549" t="s">
        <v>419</v>
      </c>
      <c r="C121" s="2550"/>
      <c r="D121" s="2551"/>
      <c r="E121" s="2541">
        <f>'5. Vol Pndrtn Ikan (4x5)'!$P$79</f>
        <v>6.16</v>
      </c>
      <c r="F121" s="2398" t="s">
        <v>100</v>
      </c>
      <c r="G121" s="2473">
        <v>19151.18</v>
      </c>
      <c r="H121" s="2478">
        <f>E121*G121</f>
        <v>117971.26880000001</v>
      </c>
      <c r="I121" s="2474">
        <f>'Resume Analisa'!$D$48</f>
        <v>18790.969999999998</v>
      </c>
      <c r="J121" s="2562">
        <f>+I121*E121</f>
        <v>115752.37519999998</v>
      </c>
      <c r="K121" s="2378" t="e">
        <f>IF(H121=0,"",IF(J121&lt;#REF!*H121,"Timpang &lt;"&amp;TEXT(#REF!,"0%"),IF(J121&gt;#REF!*H121,"Timpang &gt;"&amp;TEXT(#REF!,"0%"),"Wajar")))</f>
        <v>#REF!</v>
      </c>
      <c r="L121" s="2475">
        <v>18790.969999999998</v>
      </c>
      <c r="M121" s="2475">
        <f>E121*L121</f>
        <v>115752.37519999998</v>
      </c>
      <c r="N121" s="2375">
        <f t="shared" si="27"/>
        <v>5.0563107766735888E-3</v>
      </c>
      <c r="O121" s="2375">
        <v>0</v>
      </c>
      <c r="P121" s="2398"/>
      <c r="Q121" s="2375">
        <f t="shared" si="30"/>
        <v>0</v>
      </c>
      <c r="R121" s="2375">
        <f t="shared" si="28"/>
        <v>0</v>
      </c>
      <c r="S121" s="2375">
        <v>0</v>
      </c>
      <c r="T121" s="2398"/>
      <c r="U121" s="2375">
        <f t="shared" si="24"/>
        <v>0</v>
      </c>
      <c r="V121" s="2375"/>
      <c r="W121" s="2541">
        <f>'5. Vol Pndrtn Ikan (4x5)'!$P$79</f>
        <v>6.16</v>
      </c>
      <c r="X121" s="2398" t="s">
        <v>100</v>
      </c>
      <c r="Y121" s="2375">
        <f t="shared" si="34"/>
        <v>115752.37519999998</v>
      </c>
      <c r="Z121" s="2375">
        <f t="shared" si="29"/>
        <v>5.0563107766735888E-3</v>
      </c>
      <c r="AA121" s="2377" t="s">
        <v>3355</v>
      </c>
    </row>
    <row r="122" spans="1:27" s="331" customFormat="1" ht="25" customHeight="1">
      <c r="A122" s="2555" t="s">
        <v>121</v>
      </c>
      <c r="B122" s="2549" t="s">
        <v>420</v>
      </c>
      <c r="C122" s="2550"/>
      <c r="D122" s="2551"/>
      <c r="E122" s="2541">
        <f>'5. Vol Pndrtn Ikan (4x5)'!$P$80</f>
        <v>0.2</v>
      </c>
      <c r="F122" s="2398" t="s">
        <v>103</v>
      </c>
      <c r="G122" s="2389">
        <v>1584129.98</v>
      </c>
      <c r="H122" s="2464">
        <f>E122*G122</f>
        <v>316825.99600000004</v>
      </c>
      <c r="I122" s="2465">
        <f>'Resume Analisa'!$D$55</f>
        <v>1535009.1300000001</v>
      </c>
      <c r="J122" s="2552">
        <f>E122*I122</f>
        <v>307001.82600000006</v>
      </c>
      <c r="K122" s="2378" t="e">
        <f>IF(H122=0,"",IF(J122&lt;#REF!*H122,"Timpang &lt;"&amp;TEXT(#REF!,"0%"),IF(J122&gt;#REF!*H122,"Timpang &gt;"&amp;TEXT(#REF!,"0%"),"Wajar")))</f>
        <v>#REF!</v>
      </c>
      <c r="L122" s="2391">
        <v>1535009.1300000001</v>
      </c>
      <c r="M122" s="2391">
        <f>E122*L122</f>
        <v>307001.82600000006</v>
      </c>
      <c r="N122" s="2375">
        <f t="shared" si="27"/>
        <v>1.3410494934381878E-2</v>
      </c>
      <c r="O122" s="2375">
        <v>0</v>
      </c>
      <c r="P122" s="2398"/>
      <c r="Q122" s="2375">
        <f t="shared" si="30"/>
        <v>0</v>
      </c>
      <c r="R122" s="2375">
        <f t="shared" si="28"/>
        <v>0</v>
      </c>
      <c r="S122" s="2375">
        <v>0</v>
      </c>
      <c r="T122" s="2398"/>
      <c r="U122" s="2375">
        <f t="shared" si="24"/>
        <v>0</v>
      </c>
      <c r="V122" s="2375"/>
      <c r="W122" s="2541">
        <f>'5. Vol Pndrtn Ikan (4x5)'!$P$80</f>
        <v>0.2</v>
      </c>
      <c r="X122" s="2398" t="s">
        <v>103</v>
      </c>
      <c r="Y122" s="2375">
        <f t="shared" si="34"/>
        <v>307001.82600000006</v>
      </c>
      <c r="Z122" s="2375">
        <f t="shared" si="29"/>
        <v>1.3410494934381878E-2</v>
      </c>
      <c r="AA122" s="2377" t="s">
        <v>3355</v>
      </c>
    </row>
    <row r="123" spans="1:27" s="331" customFormat="1" ht="25" customHeight="1">
      <c r="A123" s="2398">
        <f>A118+1</f>
        <v>8</v>
      </c>
      <c r="B123" s="2549" t="s">
        <v>421</v>
      </c>
      <c r="C123" s="2550"/>
      <c r="D123" s="2551"/>
      <c r="E123" s="2541"/>
      <c r="F123" s="2398"/>
      <c r="G123" s="2389"/>
      <c r="H123" s="2464"/>
      <c r="I123" s="2566"/>
      <c r="J123" s="2544"/>
      <c r="K123" s="2389"/>
      <c r="L123" s="2391"/>
      <c r="M123" s="2391"/>
      <c r="N123" s="2375">
        <f t="shared" si="27"/>
        <v>0</v>
      </c>
      <c r="O123" s="2375">
        <v>0</v>
      </c>
      <c r="P123" s="2398"/>
      <c r="Q123" s="2375">
        <f t="shared" si="30"/>
        <v>0</v>
      </c>
      <c r="R123" s="2375">
        <f t="shared" si="28"/>
        <v>0</v>
      </c>
      <c r="S123" s="2375">
        <v>0</v>
      </c>
      <c r="T123" s="2398"/>
      <c r="U123" s="2375">
        <f t="shared" si="24"/>
        <v>0</v>
      </c>
      <c r="V123" s="2375"/>
      <c r="W123" s="2541"/>
      <c r="X123" s="2398"/>
      <c r="Y123" s="2375">
        <f t="shared" si="34"/>
        <v>0</v>
      </c>
      <c r="Z123" s="2375">
        <f t="shared" si="29"/>
        <v>0</v>
      </c>
      <c r="AA123" s="2377"/>
    </row>
    <row r="124" spans="1:27" s="331" customFormat="1" ht="25" customHeight="1">
      <c r="A124" s="2555" t="s">
        <v>95</v>
      </c>
      <c r="B124" s="2549" t="s">
        <v>417</v>
      </c>
      <c r="C124" s="2550"/>
      <c r="D124" s="2551"/>
      <c r="E124" s="2541">
        <f>'5. Vol Pndrtn Ikan (4x5)'!$P$82</f>
        <v>14.32</v>
      </c>
      <c r="F124" s="2398" t="s">
        <v>89</v>
      </c>
      <c r="G124" s="2389">
        <v>249883.29</v>
      </c>
      <c r="H124" s="2464">
        <f>E124*G124</f>
        <v>3578328.7128000003</v>
      </c>
      <c r="I124" s="2465">
        <f>'Resume Analisa'!$D$40</f>
        <v>245946.97</v>
      </c>
      <c r="J124" s="2552">
        <f>E124*I124</f>
        <v>3521960.6104000001</v>
      </c>
      <c r="K124" s="2378" t="e">
        <f>IF(H124=0,"",IF(J124&lt;#REF!*H124,"Timpang &lt;"&amp;TEXT(#REF!,"0%"),IF(J124&gt;#REF!*H124,"Timpang &gt;"&amp;TEXT(#REF!,"0%"),"Wajar")))</f>
        <v>#REF!</v>
      </c>
      <c r="L124" s="2391">
        <v>245946.97</v>
      </c>
      <c r="M124" s="2391">
        <f>E124*L124</f>
        <v>3521960.6104000001</v>
      </c>
      <c r="N124" s="2375">
        <f t="shared" ref="N124:N143" si="35">M124/$M$8*100</f>
        <v>0.15384675570255954</v>
      </c>
      <c r="O124" s="2375">
        <v>0</v>
      </c>
      <c r="P124" s="2398"/>
      <c r="Q124" s="2375">
        <f t="shared" si="30"/>
        <v>0</v>
      </c>
      <c r="R124" s="2375">
        <f t="shared" ref="R124:R155" si="36">Q124/$M$8*100</f>
        <v>0</v>
      </c>
      <c r="S124" s="2375">
        <v>0</v>
      </c>
      <c r="T124" s="2398"/>
      <c r="U124" s="2375">
        <f t="shared" si="24"/>
        <v>0</v>
      </c>
      <c r="V124" s="2375"/>
      <c r="W124" s="2541">
        <f>'5. Vol Pndrtn Ikan (4x5)'!$P$82</f>
        <v>14.32</v>
      </c>
      <c r="X124" s="2398" t="s">
        <v>89</v>
      </c>
      <c r="Y124" s="2375">
        <f t="shared" si="34"/>
        <v>3521960.6104000001</v>
      </c>
      <c r="Z124" s="2375">
        <f t="shared" ref="Z124:Z143" si="37">Y124/$M$8*100</f>
        <v>0.15384675570255954</v>
      </c>
      <c r="AA124" s="2377" t="s">
        <v>3355</v>
      </c>
    </row>
    <row r="125" spans="1:27" s="331" customFormat="1" ht="25" customHeight="1">
      <c r="A125" s="2555" t="s">
        <v>98</v>
      </c>
      <c r="B125" s="2549" t="s">
        <v>418</v>
      </c>
      <c r="C125" s="2550"/>
      <c r="D125" s="2551"/>
      <c r="E125" s="2541">
        <f>'5. Vol Pndrtn Ikan (4x5)'!$P$83</f>
        <v>75.56</v>
      </c>
      <c r="F125" s="2398" t="s">
        <v>100</v>
      </c>
      <c r="G125" s="2473">
        <v>19151.18</v>
      </c>
      <c r="H125" s="2478">
        <f>E125*G125</f>
        <v>1447063.1608</v>
      </c>
      <c r="I125" s="2474">
        <f>'Resume Analisa'!$D$48</f>
        <v>18790.969999999998</v>
      </c>
      <c r="J125" s="2562">
        <f>+I125*E125</f>
        <v>1419845.6931999999</v>
      </c>
      <c r="K125" s="2378" t="e">
        <f>IF(H125=0,"",IF(J125&lt;#REF!*H125,"Timpang &lt;"&amp;TEXT(#REF!,"0%"),IF(J125&gt;#REF!*H125,"Timpang &gt;"&amp;TEXT(#REF!,"0%"),"Wajar")))</f>
        <v>#REF!</v>
      </c>
      <c r="L125" s="2475">
        <v>18790.969999999998</v>
      </c>
      <c r="M125" s="2475">
        <f>E125*L125</f>
        <v>1419845.6931999999</v>
      </c>
      <c r="N125" s="2375">
        <f t="shared" si="35"/>
        <v>6.2021889981405252E-2</v>
      </c>
      <c r="O125" s="2375">
        <v>0</v>
      </c>
      <c r="P125" s="2398"/>
      <c r="Q125" s="2375">
        <f t="shared" si="30"/>
        <v>0</v>
      </c>
      <c r="R125" s="2375">
        <f t="shared" si="36"/>
        <v>0</v>
      </c>
      <c r="S125" s="2386">
        <v>0</v>
      </c>
      <c r="T125" s="2398"/>
      <c r="U125" s="2375">
        <f t="shared" si="24"/>
        <v>0</v>
      </c>
      <c r="V125" s="2375"/>
      <c r="W125" s="2541">
        <f>'5. Vol Pndrtn Ikan (4x5)'!$P$83</f>
        <v>75.56</v>
      </c>
      <c r="X125" s="2398" t="s">
        <v>100</v>
      </c>
      <c r="Y125" s="2375">
        <f t="shared" si="34"/>
        <v>1419845.6931999999</v>
      </c>
      <c r="Z125" s="2375">
        <f t="shared" si="37"/>
        <v>6.2021889981405252E-2</v>
      </c>
      <c r="AA125" s="2377" t="s">
        <v>3355</v>
      </c>
    </row>
    <row r="126" spans="1:27" s="331" customFormat="1" ht="25" customHeight="1">
      <c r="A126" s="2555" t="s">
        <v>101</v>
      </c>
      <c r="B126" s="2549" t="s">
        <v>419</v>
      </c>
      <c r="C126" s="2550"/>
      <c r="D126" s="2551"/>
      <c r="E126" s="2541">
        <f>'5. Vol Pndrtn Ikan (4x5)'!$P$84</f>
        <v>28.31</v>
      </c>
      <c r="F126" s="2398" t="s">
        <v>100</v>
      </c>
      <c r="G126" s="2473">
        <v>19151.18</v>
      </c>
      <c r="H126" s="2478">
        <f>E126*G126</f>
        <v>542169.90579999995</v>
      </c>
      <c r="I126" s="2474">
        <f>'Resume Analisa'!$D$48</f>
        <v>18790.969999999998</v>
      </c>
      <c r="J126" s="2562">
        <f>+I126*E126</f>
        <v>531972.36069999996</v>
      </c>
      <c r="K126" s="2378" t="e">
        <f>IF(H126=0,"",IF(J126&lt;#REF!*H126,"Timpang &lt;"&amp;TEXT(#REF!,"0%"),IF(J126&gt;#REF!*H126,"Timpang &gt;"&amp;TEXT(#REF!,"0%"),"Wajar")))</f>
        <v>#REF!</v>
      </c>
      <c r="L126" s="2475">
        <v>18790.969999999998</v>
      </c>
      <c r="M126" s="2475">
        <f>E126*L126</f>
        <v>531972.36069999996</v>
      </c>
      <c r="N126" s="2375">
        <f t="shared" si="35"/>
        <v>2.3237688001238523E-2</v>
      </c>
      <c r="O126" s="2375">
        <v>0</v>
      </c>
      <c r="P126" s="2398"/>
      <c r="Q126" s="2375">
        <f t="shared" si="30"/>
        <v>0</v>
      </c>
      <c r="R126" s="2375">
        <f t="shared" si="36"/>
        <v>0</v>
      </c>
      <c r="S126" s="2386">
        <v>0</v>
      </c>
      <c r="T126" s="2398"/>
      <c r="U126" s="2375">
        <f t="shared" si="24"/>
        <v>0</v>
      </c>
      <c r="V126" s="2375"/>
      <c r="W126" s="2541">
        <f>'5. Vol Pndrtn Ikan (4x5)'!$P$84</f>
        <v>28.31</v>
      </c>
      <c r="X126" s="2398" t="s">
        <v>100</v>
      </c>
      <c r="Y126" s="2375">
        <f t="shared" si="34"/>
        <v>531972.36069999996</v>
      </c>
      <c r="Z126" s="2375">
        <f t="shared" si="37"/>
        <v>2.3237688001238523E-2</v>
      </c>
      <c r="AA126" s="2377" t="s">
        <v>3355</v>
      </c>
    </row>
    <row r="127" spans="1:27" s="331" customFormat="1" ht="25" customHeight="1">
      <c r="A127" s="2555" t="s">
        <v>121</v>
      </c>
      <c r="B127" s="2549" t="s">
        <v>169</v>
      </c>
      <c r="C127" s="2550"/>
      <c r="D127" s="2551"/>
      <c r="E127" s="2541">
        <f>'5. Vol Pndrtn Ikan (4x5)'!$P$85</f>
        <v>0.9</v>
      </c>
      <c r="F127" s="2398" t="s">
        <v>103</v>
      </c>
      <c r="G127" s="2389">
        <v>1584129.98</v>
      </c>
      <c r="H127" s="2464">
        <f>E127*G127</f>
        <v>1425716.9820000001</v>
      </c>
      <c r="I127" s="2465">
        <f>'Resume Analisa'!$D$55</f>
        <v>1535009.1300000001</v>
      </c>
      <c r="J127" s="2552">
        <f>E127*I127</f>
        <v>1381508.2170000002</v>
      </c>
      <c r="K127" s="2378" t="e">
        <f>IF(H127=0,"",IF(J127&lt;#REF!*H127,"Timpang &lt;"&amp;TEXT(#REF!,"0%"),IF(J127&gt;#REF!*H127,"Timpang &gt;"&amp;TEXT(#REF!,"0%"),"Wajar")))</f>
        <v>#REF!</v>
      </c>
      <c r="L127" s="2391">
        <v>1535009.1300000001</v>
      </c>
      <c r="M127" s="2391">
        <f>E127*L127</f>
        <v>1381508.2170000002</v>
      </c>
      <c r="N127" s="2375">
        <f t="shared" si="35"/>
        <v>6.0347227204718447E-2</v>
      </c>
      <c r="O127" s="2375">
        <v>0</v>
      </c>
      <c r="P127" s="2398"/>
      <c r="Q127" s="2375">
        <f t="shared" si="30"/>
        <v>0</v>
      </c>
      <c r="R127" s="2375">
        <f t="shared" si="36"/>
        <v>0</v>
      </c>
      <c r="S127" s="2375">
        <v>0</v>
      </c>
      <c r="T127" s="2398"/>
      <c r="U127" s="2375">
        <f t="shared" si="24"/>
        <v>0</v>
      </c>
      <c r="V127" s="2375"/>
      <c r="W127" s="2541">
        <f>'5. Vol Pndrtn Ikan (4x5)'!$P$85</f>
        <v>0.9</v>
      </c>
      <c r="X127" s="2398" t="s">
        <v>103</v>
      </c>
      <c r="Y127" s="2375">
        <f t="shared" si="34"/>
        <v>1381508.2170000002</v>
      </c>
      <c r="Z127" s="2375">
        <f t="shared" si="37"/>
        <v>6.0347227204718447E-2</v>
      </c>
      <c r="AA127" s="2377" t="s">
        <v>3355</v>
      </c>
    </row>
    <row r="128" spans="1:27" s="331" customFormat="1" ht="25" customHeight="1">
      <c r="A128" s="2398">
        <f>A123+1</f>
        <v>9</v>
      </c>
      <c r="B128" s="2549" t="s">
        <v>422</v>
      </c>
      <c r="C128" s="2550"/>
      <c r="D128" s="2551"/>
      <c r="E128" s="2541"/>
      <c r="F128" s="2398"/>
      <c r="G128" s="2563"/>
      <c r="H128" s="2464"/>
      <c r="I128" s="2564"/>
      <c r="J128" s="2544"/>
      <c r="K128" s="2389"/>
      <c r="L128" s="2565"/>
      <c r="M128" s="2391"/>
      <c r="N128" s="2375">
        <f t="shared" si="35"/>
        <v>0</v>
      </c>
      <c r="O128" s="2375">
        <v>0</v>
      </c>
      <c r="P128" s="2398"/>
      <c r="Q128" s="2375">
        <f t="shared" si="30"/>
        <v>0</v>
      </c>
      <c r="R128" s="2375">
        <f t="shared" si="36"/>
        <v>0</v>
      </c>
      <c r="S128" s="2375">
        <v>0</v>
      </c>
      <c r="T128" s="2398"/>
      <c r="U128" s="2375">
        <f t="shared" si="24"/>
        <v>0</v>
      </c>
      <c r="V128" s="2375"/>
      <c r="W128" s="2541"/>
      <c r="X128" s="2398"/>
      <c r="Y128" s="2375">
        <f t="shared" si="34"/>
        <v>0</v>
      </c>
      <c r="Z128" s="2375">
        <f t="shared" si="37"/>
        <v>0</v>
      </c>
      <c r="AA128" s="2377"/>
    </row>
    <row r="129" spans="1:27" s="331" customFormat="1" ht="25" customHeight="1">
      <c r="A129" s="2555" t="s">
        <v>95</v>
      </c>
      <c r="B129" s="2549" t="s">
        <v>423</v>
      </c>
      <c r="C129" s="2550"/>
      <c r="D129" s="2551"/>
      <c r="E129" s="2541">
        <f>'5. Vol Pndrtn Ikan (4x5)'!$P$92</f>
        <v>8.1</v>
      </c>
      <c r="F129" s="2398" t="s">
        <v>89</v>
      </c>
      <c r="G129" s="2389">
        <v>257048.94</v>
      </c>
      <c r="H129" s="2464">
        <f>E129*G129</f>
        <v>2082096.4139999999</v>
      </c>
      <c r="I129" s="2465">
        <f>'Resume Analisa'!$D$42</f>
        <v>252902.38</v>
      </c>
      <c r="J129" s="2552">
        <f>E129*I129</f>
        <v>2048509.2779999999</v>
      </c>
      <c r="K129" s="2378" t="e">
        <f>IF(H129=0,"",IF(J129&lt;#REF!*H129,"Timpang &lt;"&amp;TEXT(#REF!,"0%"),IF(J129&gt;#REF!*H129,"Timpang &gt;"&amp;TEXT(#REF!,"0%"),"Wajar")))</f>
        <v>#REF!</v>
      </c>
      <c r="L129" s="2391">
        <v>252902.38</v>
      </c>
      <c r="M129" s="2391">
        <f>E129*L129</f>
        <v>2048509.2779999999</v>
      </c>
      <c r="N129" s="2375">
        <f t="shared" si="35"/>
        <v>8.9483257000736116E-2</v>
      </c>
      <c r="O129" s="2375">
        <v>0</v>
      </c>
      <c r="P129" s="2398"/>
      <c r="Q129" s="2375">
        <f t="shared" si="30"/>
        <v>0</v>
      </c>
      <c r="R129" s="2375">
        <f t="shared" si="36"/>
        <v>0</v>
      </c>
      <c r="S129" s="2375">
        <v>0</v>
      </c>
      <c r="T129" s="2398"/>
      <c r="U129" s="2375">
        <f t="shared" si="24"/>
        <v>0</v>
      </c>
      <c r="V129" s="2375"/>
      <c r="W129" s="2541">
        <f>'5. Vol Pndrtn Ikan (4x5)'!$P$92</f>
        <v>8.1</v>
      </c>
      <c r="X129" s="2398" t="s">
        <v>89</v>
      </c>
      <c r="Y129" s="2375">
        <f t="shared" si="34"/>
        <v>2048509.2779999999</v>
      </c>
      <c r="Z129" s="2375">
        <f t="shared" si="37"/>
        <v>8.9483257000736116E-2</v>
      </c>
      <c r="AA129" s="2377" t="s">
        <v>3355</v>
      </c>
    </row>
    <row r="130" spans="1:27" s="331" customFormat="1" ht="25" customHeight="1">
      <c r="A130" s="2555" t="s">
        <v>98</v>
      </c>
      <c r="B130" s="2549" t="s">
        <v>410</v>
      </c>
      <c r="C130" s="2550"/>
      <c r="D130" s="2551"/>
      <c r="E130" s="2541">
        <f>'5. Vol Pndrtn Ikan (4x5)'!$P$96</f>
        <v>55.49</v>
      </c>
      <c r="F130" s="2398" t="s">
        <v>100</v>
      </c>
      <c r="G130" s="2473">
        <v>19151.18</v>
      </c>
      <c r="H130" s="2478">
        <f>E130*G130</f>
        <v>1062698.9782</v>
      </c>
      <c r="I130" s="2474">
        <f>'Resume Analisa'!$D$48</f>
        <v>18790.969999999998</v>
      </c>
      <c r="J130" s="2562">
        <f>+I130*E130</f>
        <v>1042710.9252999999</v>
      </c>
      <c r="K130" s="2378" t="e">
        <f>IF(H130=0,"",IF(J130&lt;#REF!*H130,"Timpang &lt;"&amp;TEXT(#REF!,"0%"),IF(J130&gt;#REF!*H130,"Timpang &gt;"&amp;TEXT(#REF!,"0%"),"Wajar")))</f>
        <v>#REF!</v>
      </c>
      <c r="L130" s="2475">
        <v>18790.969999999998</v>
      </c>
      <c r="M130" s="2475">
        <f>E130*L130</f>
        <v>1042710.9252999999</v>
      </c>
      <c r="N130" s="2375">
        <f t="shared" si="35"/>
        <v>4.5547838473639198E-2</v>
      </c>
      <c r="O130" s="2375">
        <v>0</v>
      </c>
      <c r="P130" s="2398"/>
      <c r="Q130" s="2375">
        <f t="shared" si="30"/>
        <v>0</v>
      </c>
      <c r="R130" s="2375">
        <f t="shared" si="36"/>
        <v>0</v>
      </c>
      <c r="S130" s="2375">
        <v>0</v>
      </c>
      <c r="T130" s="2398"/>
      <c r="U130" s="2375">
        <f t="shared" si="24"/>
        <v>0</v>
      </c>
      <c r="V130" s="2375"/>
      <c r="W130" s="2541">
        <f>'5. Vol Pndrtn Ikan (4x5)'!$P$96</f>
        <v>55.49</v>
      </c>
      <c r="X130" s="2398" t="s">
        <v>100</v>
      </c>
      <c r="Y130" s="2375">
        <f t="shared" si="34"/>
        <v>1042710.9252999999</v>
      </c>
      <c r="Z130" s="2375">
        <f t="shared" si="37"/>
        <v>4.5547838473639198E-2</v>
      </c>
      <c r="AA130" s="2377" t="s">
        <v>3355</v>
      </c>
    </row>
    <row r="131" spans="1:27" s="331" customFormat="1" ht="25" customHeight="1">
      <c r="A131" s="2555" t="s">
        <v>101</v>
      </c>
      <c r="B131" s="2549" t="s">
        <v>411</v>
      </c>
      <c r="C131" s="2550"/>
      <c r="D131" s="2551"/>
      <c r="E131" s="2541">
        <f>'5. Vol Pndrtn Ikan (4x5)'!$P$100</f>
        <v>50</v>
      </c>
      <c r="F131" s="2398" t="s">
        <v>100</v>
      </c>
      <c r="G131" s="2473">
        <v>19151.18</v>
      </c>
      <c r="H131" s="2478">
        <f>E131*G131</f>
        <v>957559</v>
      </c>
      <c r="I131" s="2474">
        <f>'Resume Analisa'!$D$48</f>
        <v>18790.969999999998</v>
      </c>
      <c r="J131" s="2562">
        <f>+I131*E131</f>
        <v>939548.49999999988</v>
      </c>
      <c r="K131" s="2378" t="e">
        <f>IF(H131=0,"",IF(J131&lt;#REF!*H131,"Timpang &lt;"&amp;TEXT(#REF!,"0%"),IF(J131&gt;#REF!*H131,"Timpang &gt;"&amp;TEXT(#REF!,"0%"),"Wajar")))</f>
        <v>#REF!</v>
      </c>
      <c r="L131" s="2475">
        <v>18790.969999999998</v>
      </c>
      <c r="M131" s="2475">
        <f>E131*L131</f>
        <v>939548.49999999988</v>
      </c>
      <c r="N131" s="2375">
        <f t="shared" si="35"/>
        <v>4.1041483576896014E-2</v>
      </c>
      <c r="O131" s="2375">
        <v>0</v>
      </c>
      <c r="P131" s="2398"/>
      <c r="Q131" s="2375">
        <f t="shared" si="30"/>
        <v>0</v>
      </c>
      <c r="R131" s="2375">
        <f t="shared" si="36"/>
        <v>0</v>
      </c>
      <c r="S131" s="2375">
        <v>0</v>
      </c>
      <c r="T131" s="2398"/>
      <c r="U131" s="2375">
        <f t="shared" si="24"/>
        <v>0</v>
      </c>
      <c r="V131" s="2375"/>
      <c r="W131" s="2541">
        <f>'5. Vol Pndrtn Ikan (4x5)'!$P$100</f>
        <v>50</v>
      </c>
      <c r="X131" s="2398" t="s">
        <v>100</v>
      </c>
      <c r="Y131" s="2375">
        <f t="shared" si="34"/>
        <v>939548.49999999988</v>
      </c>
      <c r="Z131" s="2375">
        <f t="shared" si="37"/>
        <v>4.1041483576896014E-2</v>
      </c>
      <c r="AA131" s="2377" t="s">
        <v>3355</v>
      </c>
    </row>
    <row r="132" spans="1:27" s="331" customFormat="1" ht="25" customHeight="1">
      <c r="A132" s="2555" t="s">
        <v>121</v>
      </c>
      <c r="B132" s="2549" t="s">
        <v>169</v>
      </c>
      <c r="C132" s="2550"/>
      <c r="D132" s="2551"/>
      <c r="E132" s="2541">
        <f>'5. Vol Pndrtn Ikan (4x5)'!$P$104</f>
        <v>1.26</v>
      </c>
      <c r="F132" s="2398" t="s">
        <v>103</v>
      </c>
      <c r="G132" s="2389">
        <v>1584129.98</v>
      </c>
      <c r="H132" s="2464">
        <f>E132*G132</f>
        <v>1996003.7748</v>
      </c>
      <c r="I132" s="2465">
        <f>'Resume Analisa'!$D$55</f>
        <v>1535009.1300000001</v>
      </c>
      <c r="J132" s="2552">
        <f>E132*I132</f>
        <v>1934111.5038000001</v>
      </c>
      <c r="K132" s="2378" t="e">
        <f>IF(H132=0,"",IF(J132&lt;#REF!*H132,"Timpang &lt;"&amp;TEXT(#REF!,"0%"),IF(J132&gt;#REF!*H132,"Timpang &gt;"&amp;TEXT(#REF!,"0%"),"Wajar")))</f>
        <v>#REF!</v>
      </c>
      <c r="L132" s="2391">
        <v>1535009.1300000001</v>
      </c>
      <c r="M132" s="2391">
        <f>E132*L132</f>
        <v>1934111.5038000001</v>
      </c>
      <c r="N132" s="2375">
        <f t="shared" si="35"/>
        <v>8.4486118086605819E-2</v>
      </c>
      <c r="O132" s="2375">
        <v>0</v>
      </c>
      <c r="P132" s="2398"/>
      <c r="Q132" s="2375">
        <f t="shared" si="30"/>
        <v>0</v>
      </c>
      <c r="R132" s="2375">
        <f t="shared" si="36"/>
        <v>0</v>
      </c>
      <c r="S132" s="2386">
        <v>0</v>
      </c>
      <c r="T132" s="2398"/>
      <c r="U132" s="2375">
        <f t="shared" si="24"/>
        <v>0</v>
      </c>
      <c r="V132" s="2375"/>
      <c r="W132" s="2541">
        <f>'5. Vol Pndrtn Ikan (4x5)'!$P$104</f>
        <v>1.26</v>
      </c>
      <c r="X132" s="2398" t="s">
        <v>103</v>
      </c>
      <c r="Y132" s="2375">
        <f t="shared" si="34"/>
        <v>1934111.5038000001</v>
      </c>
      <c r="Z132" s="2375">
        <f t="shared" si="37"/>
        <v>8.4486118086605819E-2</v>
      </c>
      <c r="AA132" s="2377" t="s">
        <v>3355</v>
      </c>
    </row>
    <row r="133" spans="1:27" s="331" customFormat="1" ht="25" customHeight="1">
      <c r="A133" s="2398">
        <f>A128+1</f>
        <v>10</v>
      </c>
      <c r="B133" s="2549" t="s">
        <v>424</v>
      </c>
      <c r="C133" s="2550"/>
      <c r="D133" s="2551"/>
      <c r="E133" s="2541"/>
      <c r="F133" s="2398"/>
      <c r="G133" s="2389"/>
      <c r="H133" s="2464"/>
      <c r="I133" s="2465"/>
      <c r="J133" s="2552"/>
      <c r="K133" s="2389"/>
      <c r="L133" s="2391"/>
      <c r="M133" s="2391"/>
      <c r="N133" s="2375">
        <f t="shared" si="35"/>
        <v>0</v>
      </c>
      <c r="O133" s="2375">
        <v>0</v>
      </c>
      <c r="P133" s="2398"/>
      <c r="Q133" s="2375">
        <f t="shared" si="30"/>
        <v>0</v>
      </c>
      <c r="R133" s="2375">
        <f t="shared" si="36"/>
        <v>0</v>
      </c>
      <c r="S133" s="2386">
        <v>0</v>
      </c>
      <c r="T133" s="2398"/>
      <c r="U133" s="2375">
        <f t="shared" si="24"/>
        <v>0</v>
      </c>
      <c r="V133" s="2375"/>
      <c r="W133" s="2541"/>
      <c r="X133" s="2398"/>
      <c r="Y133" s="2375">
        <f>W133*L133</f>
        <v>0</v>
      </c>
      <c r="Z133" s="2375">
        <f t="shared" si="37"/>
        <v>0</v>
      </c>
      <c r="AA133" s="2377"/>
    </row>
    <row r="134" spans="1:27" s="331" customFormat="1" ht="25" customHeight="1">
      <c r="A134" s="2555" t="s">
        <v>425</v>
      </c>
      <c r="B134" s="2549" t="s">
        <v>426</v>
      </c>
      <c r="C134" s="2550"/>
      <c r="D134" s="2551"/>
      <c r="E134" s="2541"/>
      <c r="F134" s="2398"/>
      <c r="G134" s="2389"/>
      <c r="H134" s="2464"/>
      <c r="I134" s="2465"/>
      <c r="J134" s="2552"/>
      <c r="K134" s="2389"/>
      <c r="L134" s="2391"/>
      <c r="M134" s="2391"/>
      <c r="N134" s="2375">
        <f t="shared" si="35"/>
        <v>0</v>
      </c>
      <c r="O134" s="2375">
        <v>0</v>
      </c>
      <c r="P134" s="2398"/>
      <c r="Q134" s="2375">
        <f t="shared" si="30"/>
        <v>0</v>
      </c>
      <c r="R134" s="2375">
        <f t="shared" si="36"/>
        <v>0</v>
      </c>
      <c r="S134" s="2375">
        <v>0</v>
      </c>
      <c r="T134" s="2398"/>
      <c r="U134" s="2375">
        <f t="shared" si="24"/>
        <v>0</v>
      </c>
      <c r="V134" s="2375"/>
      <c r="W134" s="2541"/>
      <c r="X134" s="2398"/>
      <c r="Y134" s="2375">
        <f t="shared" si="34"/>
        <v>0</v>
      </c>
      <c r="Z134" s="2375">
        <f t="shared" si="37"/>
        <v>0</v>
      </c>
      <c r="AA134" s="2377"/>
    </row>
    <row r="135" spans="1:27" s="331" customFormat="1" ht="25" customHeight="1">
      <c r="A135" s="2555" t="s">
        <v>95</v>
      </c>
      <c r="B135" s="2549" t="s">
        <v>423</v>
      </c>
      <c r="C135" s="2550"/>
      <c r="D135" s="2551"/>
      <c r="E135" s="2541">
        <f>'5. Vol Pndrtn Ikan (4x5)'!$P$136</f>
        <v>11.54</v>
      </c>
      <c r="F135" s="2398" t="s">
        <v>89</v>
      </c>
      <c r="G135" s="2389">
        <v>257048.94</v>
      </c>
      <c r="H135" s="2464">
        <f>E135*G135</f>
        <v>2966344.7675999999</v>
      </c>
      <c r="I135" s="2465">
        <f>'Resume Analisa'!$D$42</f>
        <v>252902.38</v>
      </c>
      <c r="J135" s="2552">
        <f>E135*I135</f>
        <v>2918493.4652</v>
      </c>
      <c r="K135" s="2378" t="e">
        <f>IF(H135=0,"",IF(J135&lt;#REF!*H135,"Timpang &lt;"&amp;TEXT(#REF!,"0%"),IF(J135&gt;#REF!*H135,"Timpang &gt;"&amp;TEXT(#REF!,"0%"),"Wajar")))</f>
        <v>#REF!</v>
      </c>
      <c r="L135" s="2391">
        <v>252902.38</v>
      </c>
      <c r="M135" s="2391">
        <f>E135*L135</f>
        <v>2918493.4652</v>
      </c>
      <c r="N135" s="2375">
        <f t="shared" si="35"/>
        <v>0.12748602293685121</v>
      </c>
      <c r="O135" s="2375">
        <v>0</v>
      </c>
      <c r="P135" s="2398"/>
      <c r="Q135" s="2375">
        <f t="shared" si="30"/>
        <v>0</v>
      </c>
      <c r="R135" s="2375">
        <f t="shared" si="36"/>
        <v>0</v>
      </c>
      <c r="S135" s="2375">
        <v>0</v>
      </c>
      <c r="T135" s="2398"/>
      <c r="U135" s="2375">
        <f t="shared" si="24"/>
        <v>0</v>
      </c>
      <c r="V135" s="2375"/>
      <c r="W135" s="2541">
        <f>'5. Vol Pndrtn Ikan (4x5)'!$P$136</f>
        <v>11.54</v>
      </c>
      <c r="X135" s="2398" t="s">
        <v>89</v>
      </c>
      <c r="Y135" s="2375">
        <f t="shared" si="34"/>
        <v>2918493.4652</v>
      </c>
      <c r="Z135" s="2375">
        <f t="shared" si="37"/>
        <v>0.12748602293685121</v>
      </c>
      <c r="AA135" s="2377" t="s">
        <v>3355</v>
      </c>
    </row>
    <row r="136" spans="1:27" s="331" customFormat="1" ht="25" customHeight="1">
      <c r="A136" s="2555" t="s">
        <v>98</v>
      </c>
      <c r="B136" s="2549" t="s">
        <v>427</v>
      </c>
      <c r="C136" s="2550"/>
      <c r="D136" s="2551"/>
      <c r="E136" s="2541">
        <f>'5. Vol Pndrtn Ikan (4x5)'!$P$140</f>
        <v>54.22</v>
      </c>
      <c r="F136" s="2398" t="s">
        <v>100</v>
      </c>
      <c r="G136" s="2473">
        <v>19151.18</v>
      </c>
      <c r="H136" s="2478">
        <f>E136*G136</f>
        <v>1038376.9796</v>
      </c>
      <c r="I136" s="2474">
        <f>'Resume Analisa'!$D$48</f>
        <v>18790.969999999998</v>
      </c>
      <c r="J136" s="2562">
        <f>+I136*E136</f>
        <v>1018846.3933999998</v>
      </c>
      <c r="K136" s="2378" t="e">
        <f>IF(H136=0,"",IF(J136&lt;#REF!*H136,"Timpang &lt;"&amp;TEXT(#REF!,"0%"),IF(J136&gt;#REF!*H136,"Timpang &gt;"&amp;TEXT(#REF!,"0%"),"Wajar")))</f>
        <v>#REF!</v>
      </c>
      <c r="L136" s="2475">
        <v>18790.969999999998</v>
      </c>
      <c r="M136" s="2475">
        <f>E136*L136</f>
        <v>1018846.3933999998</v>
      </c>
      <c r="N136" s="2375">
        <f t="shared" si="35"/>
        <v>4.4505384790786036E-2</v>
      </c>
      <c r="O136" s="2375">
        <v>0</v>
      </c>
      <c r="P136" s="2398"/>
      <c r="Q136" s="2375">
        <f t="shared" si="30"/>
        <v>0</v>
      </c>
      <c r="R136" s="2375">
        <f t="shared" si="36"/>
        <v>0</v>
      </c>
      <c r="S136" s="2375">
        <v>0</v>
      </c>
      <c r="T136" s="2398"/>
      <c r="U136" s="2375">
        <f t="shared" si="24"/>
        <v>0</v>
      </c>
      <c r="V136" s="2375"/>
      <c r="W136" s="2541">
        <f>'5. Vol Pndrtn Ikan (4x5)'!$P$140</f>
        <v>54.22</v>
      </c>
      <c r="X136" s="2398" t="s">
        <v>100</v>
      </c>
      <c r="Y136" s="2375">
        <f t="shared" si="34"/>
        <v>1018846.3933999998</v>
      </c>
      <c r="Z136" s="2375">
        <f t="shared" si="37"/>
        <v>4.4505384790786036E-2</v>
      </c>
      <c r="AA136" s="2377" t="s">
        <v>3355</v>
      </c>
    </row>
    <row r="137" spans="1:27" s="331" customFormat="1" ht="25" customHeight="1">
      <c r="A137" s="2555" t="s">
        <v>101</v>
      </c>
      <c r="B137" s="2549" t="s">
        <v>428</v>
      </c>
      <c r="C137" s="2550"/>
      <c r="D137" s="2551"/>
      <c r="E137" s="2541">
        <f>'5. Vol Pndrtn Ikan (4x5)'!$P$144</f>
        <v>39.299999999999997</v>
      </c>
      <c r="F137" s="2398" t="s">
        <v>100</v>
      </c>
      <c r="G137" s="2473">
        <v>19151.18</v>
      </c>
      <c r="H137" s="2478">
        <f>E137*G137</f>
        <v>752641.37399999995</v>
      </c>
      <c r="I137" s="2474">
        <f>'Resume Analisa'!$D$48</f>
        <v>18790.969999999998</v>
      </c>
      <c r="J137" s="2562">
        <f>+I137*E137</f>
        <v>738485.12099999981</v>
      </c>
      <c r="K137" s="2378" t="e">
        <f>IF(H137=0,"",IF(J137&lt;#REF!*H137,"Timpang &lt;"&amp;TEXT(#REF!,"0%"),IF(J137&gt;#REF!*H137,"Timpang &gt;"&amp;TEXT(#REF!,"0%"),"Wajar")))</f>
        <v>#REF!</v>
      </c>
      <c r="L137" s="2475">
        <v>18790.969999999998</v>
      </c>
      <c r="M137" s="2475">
        <f>E137*L137</f>
        <v>738485.12099999981</v>
      </c>
      <c r="N137" s="2375">
        <f t="shared" si="35"/>
        <v>3.225860609144026E-2</v>
      </c>
      <c r="O137" s="2375">
        <v>0</v>
      </c>
      <c r="P137" s="2398"/>
      <c r="Q137" s="2375">
        <f t="shared" si="30"/>
        <v>0</v>
      </c>
      <c r="R137" s="2375">
        <f t="shared" si="36"/>
        <v>0</v>
      </c>
      <c r="S137" s="2375">
        <v>0</v>
      </c>
      <c r="T137" s="2398"/>
      <c r="U137" s="2375">
        <f t="shared" si="24"/>
        <v>0</v>
      </c>
      <c r="V137" s="2375"/>
      <c r="W137" s="2541">
        <f>'5. Vol Pndrtn Ikan (4x5)'!$P$144</f>
        <v>39.299999999999997</v>
      </c>
      <c r="X137" s="2398" t="s">
        <v>100</v>
      </c>
      <c r="Y137" s="2375">
        <f t="shared" si="34"/>
        <v>738485.12099999981</v>
      </c>
      <c r="Z137" s="2375">
        <f t="shared" si="37"/>
        <v>3.225860609144026E-2</v>
      </c>
      <c r="AA137" s="2377" t="s">
        <v>3355</v>
      </c>
    </row>
    <row r="138" spans="1:27" s="331" customFormat="1" ht="25" customHeight="1">
      <c r="A138" s="2555" t="s">
        <v>121</v>
      </c>
      <c r="B138" s="2549" t="s">
        <v>429</v>
      </c>
      <c r="C138" s="2550"/>
      <c r="D138" s="2551"/>
      <c r="E138" s="2541">
        <f>'5. Vol Pndrtn Ikan (4x5)'!$P$148</f>
        <v>0.63</v>
      </c>
      <c r="F138" s="2398" t="s">
        <v>103</v>
      </c>
      <c r="G138" s="2389">
        <v>1584129.98</v>
      </c>
      <c r="H138" s="2464">
        <f>E138*G138</f>
        <v>998001.88740000001</v>
      </c>
      <c r="I138" s="2465">
        <f>'Resume Analisa'!$D$55</f>
        <v>1535009.1300000001</v>
      </c>
      <c r="J138" s="2552">
        <f>E138*I138</f>
        <v>967055.75190000003</v>
      </c>
      <c r="K138" s="2378" t="e">
        <f>IF(H138=0,"",IF(J138&lt;#REF!*H138,"Timpang &lt;"&amp;TEXT(#REF!,"0%"),IF(J138&gt;#REF!*H138,"Timpang &gt;"&amp;TEXT(#REF!,"0%"),"Wajar")))</f>
        <v>#REF!</v>
      </c>
      <c r="L138" s="2391">
        <v>1535009.1300000001</v>
      </c>
      <c r="M138" s="2391">
        <f>E138*L138</f>
        <v>967055.75190000003</v>
      </c>
      <c r="N138" s="2375">
        <f t="shared" si="35"/>
        <v>4.2243059043302909E-2</v>
      </c>
      <c r="O138" s="2375">
        <v>0</v>
      </c>
      <c r="P138" s="2398"/>
      <c r="Q138" s="2375">
        <f t="shared" si="30"/>
        <v>0</v>
      </c>
      <c r="R138" s="2375">
        <f t="shared" si="36"/>
        <v>0</v>
      </c>
      <c r="S138" s="2375">
        <v>0</v>
      </c>
      <c r="T138" s="2398"/>
      <c r="U138" s="2375">
        <f t="shared" si="24"/>
        <v>0</v>
      </c>
      <c r="V138" s="2375"/>
      <c r="W138" s="2541">
        <f>'5. Vol Pndrtn Ikan (4x5)'!$P$148</f>
        <v>0.63</v>
      </c>
      <c r="X138" s="2398" t="s">
        <v>103</v>
      </c>
      <c r="Y138" s="2375">
        <f t="shared" si="34"/>
        <v>967055.75190000003</v>
      </c>
      <c r="Z138" s="2375">
        <f t="shared" si="37"/>
        <v>4.2243059043302909E-2</v>
      </c>
      <c r="AA138" s="2377" t="s">
        <v>3355</v>
      </c>
    </row>
    <row r="139" spans="1:27" s="331" customFormat="1" ht="25" customHeight="1">
      <c r="A139" s="2555" t="s">
        <v>430</v>
      </c>
      <c r="B139" s="2549" t="s">
        <v>431</v>
      </c>
      <c r="C139" s="2550"/>
      <c r="D139" s="2551"/>
      <c r="E139" s="2541"/>
      <c r="F139" s="2398"/>
      <c r="G139" s="2389"/>
      <c r="H139" s="2464"/>
      <c r="I139" s="2465"/>
      <c r="J139" s="2552"/>
      <c r="K139" s="2389"/>
      <c r="L139" s="2391"/>
      <c r="M139" s="2391"/>
      <c r="N139" s="2375">
        <f t="shared" si="35"/>
        <v>0</v>
      </c>
      <c r="O139" s="2375">
        <v>0</v>
      </c>
      <c r="P139" s="2398"/>
      <c r="Q139" s="2375">
        <f t="shared" si="30"/>
        <v>0</v>
      </c>
      <c r="R139" s="2375">
        <f t="shared" si="36"/>
        <v>0</v>
      </c>
      <c r="S139" s="2386">
        <v>0</v>
      </c>
      <c r="T139" s="2398"/>
      <c r="U139" s="2375">
        <f t="shared" si="24"/>
        <v>0</v>
      </c>
      <c r="V139" s="2375"/>
      <c r="W139" s="2541"/>
      <c r="X139" s="2398"/>
      <c r="Y139" s="2375">
        <f t="shared" si="34"/>
        <v>0</v>
      </c>
      <c r="Z139" s="2375">
        <f t="shared" si="37"/>
        <v>0</v>
      </c>
      <c r="AA139" s="2377"/>
    </row>
    <row r="140" spans="1:27" s="331" customFormat="1" ht="25" customHeight="1">
      <c r="A140" s="2555" t="s">
        <v>95</v>
      </c>
      <c r="B140" s="2549" t="s">
        <v>417</v>
      </c>
      <c r="C140" s="2550"/>
      <c r="D140" s="2551"/>
      <c r="E140" s="2541">
        <f>'5. Vol Pndrtn Ikan (4x5)'!$P$153</f>
        <v>4.2</v>
      </c>
      <c r="F140" s="2398" t="s">
        <v>89</v>
      </c>
      <c r="G140" s="2389">
        <v>249883.29</v>
      </c>
      <c r="H140" s="2464">
        <f>E140*G140</f>
        <v>1049509.818</v>
      </c>
      <c r="I140" s="2465">
        <f>'Resume Analisa'!$D$40</f>
        <v>245946.97</v>
      </c>
      <c r="J140" s="2552">
        <f>E140*I140</f>
        <v>1032977.2740000001</v>
      </c>
      <c r="K140" s="2378" t="e">
        <f>IF(H140=0,"",IF(J140&lt;#REF!*H140,"Timpang &lt;"&amp;TEXT(#REF!,"0%"),IF(J140&gt;#REF!*H140,"Timpang &gt;"&amp;TEXT(#REF!,"0%"),"Wajar")))</f>
        <v>#REF!</v>
      </c>
      <c r="L140" s="2391">
        <v>245946.97</v>
      </c>
      <c r="M140" s="2391">
        <f>E140*L140</f>
        <v>1032977.2740000001</v>
      </c>
      <c r="N140" s="2375">
        <f t="shared" si="35"/>
        <v>4.5122651812203228E-2</v>
      </c>
      <c r="O140" s="2375">
        <v>0</v>
      </c>
      <c r="P140" s="2398"/>
      <c r="Q140" s="2375">
        <f t="shared" si="30"/>
        <v>0</v>
      </c>
      <c r="R140" s="2375">
        <f t="shared" si="36"/>
        <v>0</v>
      </c>
      <c r="S140" s="2386">
        <v>0</v>
      </c>
      <c r="T140" s="2398"/>
      <c r="U140" s="2375">
        <f t="shared" si="24"/>
        <v>0</v>
      </c>
      <c r="V140" s="2375"/>
      <c r="W140" s="2541">
        <f>'5. Vol Pndrtn Ikan (4x5)'!$P$153</f>
        <v>4.2</v>
      </c>
      <c r="X140" s="2398" t="s">
        <v>89</v>
      </c>
      <c r="Y140" s="2375">
        <f t="shared" si="34"/>
        <v>1032977.2740000001</v>
      </c>
      <c r="Z140" s="2375">
        <f t="shared" si="37"/>
        <v>4.5122651812203228E-2</v>
      </c>
      <c r="AA140" s="2377" t="s">
        <v>3355</v>
      </c>
    </row>
    <row r="141" spans="1:27" s="331" customFormat="1" ht="25" customHeight="1">
      <c r="A141" s="2555" t="s">
        <v>98</v>
      </c>
      <c r="B141" s="2549" t="s">
        <v>432</v>
      </c>
      <c r="C141" s="2550"/>
      <c r="D141" s="2551"/>
      <c r="E141" s="2541">
        <f>'5. Vol Pndrtn Ikan (4x5)'!$P$156</f>
        <v>16.28</v>
      </c>
      <c r="F141" s="2398" t="s">
        <v>100</v>
      </c>
      <c r="G141" s="2473">
        <v>19151.18</v>
      </c>
      <c r="H141" s="2478">
        <f>E141*G141</f>
        <v>311781.21040000004</v>
      </c>
      <c r="I141" s="2474">
        <f>'Resume Analisa'!$D$48</f>
        <v>18790.969999999998</v>
      </c>
      <c r="J141" s="2562">
        <f>+I141*E141</f>
        <v>305916.99160000001</v>
      </c>
      <c r="K141" s="2378" t="e">
        <f>IF(H141=0,"",IF(J141&lt;#REF!*H141,"Timpang &lt;"&amp;TEXT(#REF!,"0%"),IF(J141&gt;#REF!*H141,"Timpang &gt;"&amp;TEXT(#REF!,"0%"),"Wajar")))</f>
        <v>#REF!</v>
      </c>
      <c r="L141" s="2475">
        <v>18790.969999999998</v>
      </c>
      <c r="M141" s="2475">
        <f>E141*L141</f>
        <v>305916.99160000001</v>
      </c>
      <c r="N141" s="2375">
        <f t="shared" si="35"/>
        <v>1.3363107052637345E-2</v>
      </c>
      <c r="O141" s="2375">
        <v>0</v>
      </c>
      <c r="P141" s="2398"/>
      <c r="Q141" s="2375">
        <f t="shared" si="30"/>
        <v>0</v>
      </c>
      <c r="R141" s="2375">
        <f t="shared" si="36"/>
        <v>0</v>
      </c>
      <c r="S141" s="2375">
        <v>0</v>
      </c>
      <c r="T141" s="2398"/>
      <c r="U141" s="2375">
        <f t="shared" si="24"/>
        <v>0</v>
      </c>
      <c r="V141" s="2375"/>
      <c r="W141" s="2541">
        <f>'5. Vol Pndrtn Ikan (4x5)'!$P$156</f>
        <v>16.28</v>
      </c>
      <c r="X141" s="2398" t="s">
        <v>100</v>
      </c>
      <c r="Y141" s="2375">
        <f t="shared" si="34"/>
        <v>305916.99160000001</v>
      </c>
      <c r="Z141" s="2375">
        <f t="shared" si="37"/>
        <v>1.3363107052637345E-2</v>
      </c>
      <c r="AA141" s="2377" t="s">
        <v>3355</v>
      </c>
    </row>
    <row r="142" spans="1:27" s="331" customFormat="1" ht="25" customHeight="1">
      <c r="A142" s="2555" t="s">
        <v>101</v>
      </c>
      <c r="B142" s="2549" t="s">
        <v>428</v>
      </c>
      <c r="C142" s="2550"/>
      <c r="D142" s="2551"/>
      <c r="E142" s="2541">
        <f>'5. Vol Pndrtn Ikan (4x5)'!$P$159</f>
        <v>9.4700000000000006</v>
      </c>
      <c r="F142" s="2398" t="s">
        <v>100</v>
      </c>
      <c r="G142" s="2473">
        <v>19151.18</v>
      </c>
      <c r="H142" s="2478">
        <f>E142*G142</f>
        <v>181361.67460000003</v>
      </c>
      <c r="I142" s="2474">
        <f>'Resume Analisa'!$D$48</f>
        <v>18790.969999999998</v>
      </c>
      <c r="J142" s="2562">
        <f>+I142*E142</f>
        <v>177950.4859</v>
      </c>
      <c r="K142" s="2378" t="e">
        <f>IF(H142=0,"",IF(J142&lt;#REF!*H142,"Timpang &lt;"&amp;TEXT(#REF!,"0%"),IF(J142&gt;#REF!*H142,"Timpang &gt;"&amp;TEXT(#REF!,"0%"),"Wajar")))</f>
        <v>#REF!</v>
      </c>
      <c r="L142" s="2475">
        <v>18790.969999999998</v>
      </c>
      <c r="M142" s="2475">
        <f>E142*L142</f>
        <v>177950.4859</v>
      </c>
      <c r="N142" s="2375">
        <f t="shared" si="35"/>
        <v>7.7732569894641062E-3</v>
      </c>
      <c r="O142" s="2375">
        <v>0</v>
      </c>
      <c r="P142" s="2398"/>
      <c r="Q142" s="2375">
        <f t="shared" si="30"/>
        <v>0</v>
      </c>
      <c r="R142" s="2375">
        <f t="shared" si="36"/>
        <v>0</v>
      </c>
      <c r="S142" s="2375">
        <v>0</v>
      </c>
      <c r="T142" s="2398"/>
      <c r="U142" s="2375">
        <f t="shared" si="24"/>
        <v>0</v>
      </c>
      <c r="V142" s="2375"/>
      <c r="W142" s="2541">
        <f>'5. Vol Pndrtn Ikan (4x5)'!$P$159</f>
        <v>9.4700000000000006</v>
      </c>
      <c r="X142" s="2398" t="s">
        <v>100</v>
      </c>
      <c r="Y142" s="2375">
        <f t="shared" si="34"/>
        <v>177950.4859</v>
      </c>
      <c r="Z142" s="2375">
        <f t="shared" si="37"/>
        <v>7.7732569894641062E-3</v>
      </c>
      <c r="AA142" s="2377" t="s">
        <v>3355</v>
      </c>
    </row>
    <row r="143" spans="1:27" s="331" customFormat="1" ht="25" customHeight="1">
      <c r="A143" s="2568" t="s">
        <v>121</v>
      </c>
      <c r="B143" s="2569" t="s">
        <v>429</v>
      </c>
      <c r="C143" s="2570"/>
      <c r="D143" s="2571"/>
      <c r="E143" s="2572">
        <f>'5. Vol Pndrtn Ikan (4x5)'!$P$162</f>
        <v>0.18</v>
      </c>
      <c r="F143" s="2403" t="s">
        <v>103</v>
      </c>
      <c r="G143" s="2405">
        <v>1584129.98</v>
      </c>
      <c r="H143" s="2573">
        <f>E143*G143</f>
        <v>285143.39639999997</v>
      </c>
      <c r="I143" s="2574">
        <f>'Resume Analisa'!$D$55</f>
        <v>1535009.1300000001</v>
      </c>
      <c r="J143" s="2575">
        <f>E143*I143</f>
        <v>276301.6434</v>
      </c>
      <c r="K143" s="2408" t="e">
        <f>IF(H143=0,"",IF(J143&lt;#REF!*H143,"Timpang &lt;"&amp;TEXT(#REF!,"0%"),IF(J143&gt;#REF!*H143,"Timpang &gt;"&amp;TEXT(#REF!,"0%"),"Wajar")))</f>
        <v>#REF!</v>
      </c>
      <c r="L143" s="2410">
        <v>1535009.1300000001</v>
      </c>
      <c r="M143" s="2410">
        <f>E143*L143</f>
        <v>276301.6434</v>
      </c>
      <c r="N143" s="2411">
        <f t="shared" si="35"/>
        <v>1.2069445440943688E-2</v>
      </c>
      <c r="O143" s="2411">
        <v>0</v>
      </c>
      <c r="P143" s="2403"/>
      <c r="Q143" s="2411">
        <f t="shared" si="30"/>
        <v>0</v>
      </c>
      <c r="R143" s="2411">
        <f t="shared" si="36"/>
        <v>0</v>
      </c>
      <c r="S143" s="2411">
        <v>0</v>
      </c>
      <c r="T143" s="2403"/>
      <c r="U143" s="2411">
        <f t="shared" si="24"/>
        <v>0</v>
      </c>
      <c r="V143" s="2411"/>
      <c r="W143" s="2572">
        <f>'5. Vol Pndrtn Ikan (4x5)'!$P$162</f>
        <v>0.18</v>
      </c>
      <c r="X143" s="2403" t="s">
        <v>103</v>
      </c>
      <c r="Y143" s="2411">
        <f t="shared" si="34"/>
        <v>276301.6434</v>
      </c>
      <c r="Z143" s="2375">
        <f t="shared" si="37"/>
        <v>1.2069445440943688E-2</v>
      </c>
      <c r="AA143" s="2412" t="s">
        <v>3355</v>
      </c>
    </row>
    <row r="144" spans="1:27" s="331" customFormat="1" ht="25" customHeight="1">
      <c r="A144" s="2576"/>
      <c r="B144" s="2577"/>
      <c r="C144" s="2578"/>
      <c r="D144" s="2512" t="s">
        <v>376</v>
      </c>
      <c r="E144" s="2579"/>
      <c r="F144" s="2580"/>
      <c r="G144" s="2581"/>
      <c r="H144" s="2582">
        <f>SUM(H92:H143)</f>
        <v>54099473.695928007</v>
      </c>
      <c r="I144" s="2583"/>
      <c r="J144" s="2583">
        <f>SUM(J92:J143)</f>
        <v>53121546.927991986</v>
      </c>
      <c r="K144" s="2581"/>
      <c r="L144" s="2584"/>
      <c r="M144" s="2584">
        <f>SUM(M92:M143)</f>
        <v>53121546.927991986</v>
      </c>
      <c r="N144" s="2424">
        <f>M144/M8*100</f>
        <v>2.3204625368722258</v>
      </c>
      <c r="O144" s="2426">
        <v>0</v>
      </c>
      <c r="P144" s="2576"/>
      <c r="Q144" s="2426">
        <f t="shared" si="30"/>
        <v>0</v>
      </c>
      <c r="R144" s="2426">
        <f t="shared" si="36"/>
        <v>0</v>
      </c>
      <c r="S144" s="2426">
        <v>0</v>
      </c>
      <c r="T144" s="2576"/>
      <c r="U144" s="2426">
        <f t="shared" ref="U144:U207" si="38">S144*L144</f>
        <v>0</v>
      </c>
      <c r="V144" s="2426"/>
      <c r="W144" s="2428">
        <f t="shared" ref="W144:W207" si="39">(E144+O144)-S144</f>
        <v>0</v>
      </c>
      <c r="X144" s="2580"/>
      <c r="Y144" s="2424">
        <f>SUM(Y90:Y143)</f>
        <v>53121546.927991986</v>
      </c>
      <c r="Z144" s="2424">
        <f>SUM(Z92:Z143)</f>
        <v>2.3204625368722263</v>
      </c>
      <c r="AA144" s="2429"/>
    </row>
    <row r="145" spans="1:27" s="331" customFormat="1" ht="25" customHeight="1">
      <c r="A145" s="2521" t="s">
        <v>433</v>
      </c>
      <c r="B145" s="2522" t="s">
        <v>434</v>
      </c>
      <c r="C145" s="2523"/>
      <c r="D145" s="2524"/>
      <c r="E145" s="2525"/>
      <c r="F145" s="2526"/>
      <c r="G145" s="2585"/>
      <c r="H145" s="2586"/>
      <c r="I145" s="2529"/>
      <c r="J145" s="2529"/>
      <c r="K145" s="2585"/>
      <c r="L145" s="2532"/>
      <c r="M145" s="2532"/>
      <c r="N145" s="2365"/>
      <c r="O145" s="2365">
        <v>0</v>
      </c>
      <c r="P145" s="2526"/>
      <c r="Q145" s="2365">
        <f t="shared" si="30"/>
        <v>0</v>
      </c>
      <c r="R145" s="2365">
        <f t="shared" si="36"/>
        <v>0</v>
      </c>
      <c r="S145" s="2365">
        <v>0</v>
      </c>
      <c r="T145" s="2526"/>
      <c r="U145" s="2365">
        <f t="shared" si="38"/>
        <v>0</v>
      </c>
      <c r="V145" s="2365"/>
      <c r="W145" s="2445">
        <f t="shared" si="39"/>
        <v>0</v>
      </c>
      <c r="X145" s="2526"/>
      <c r="Y145" s="2365">
        <f t="shared" ref="Y145:Y207" si="40">L145</f>
        <v>0</v>
      </c>
      <c r="Z145" s="2365"/>
      <c r="AA145" s="2367"/>
    </row>
    <row r="146" spans="1:27" s="331" customFormat="1" ht="25" customHeight="1">
      <c r="A146" s="2398">
        <v>1</v>
      </c>
      <c r="B146" s="2549" t="s">
        <v>435</v>
      </c>
      <c r="C146" s="2550"/>
      <c r="D146" s="2551"/>
      <c r="E146" s="2541">
        <f>'5. Vol Pndrtn Ikan (4x5)'!$N$184</f>
        <v>42.68</v>
      </c>
      <c r="F146" s="2398" t="s">
        <v>89</v>
      </c>
      <c r="G146" s="2389">
        <v>45612.170000000006</v>
      </c>
      <c r="H146" s="2464">
        <f>E146*G146</f>
        <v>1946727.4156000002</v>
      </c>
      <c r="I146" s="2465">
        <f>'Resume Analisa'!$D$72</f>
        <v>43813.91</v>
      </c>
      <c r="J146" s="2552">
        <f>E146*I146</f>
        <v>1869977.6788000001</v>
      </c>
      <c r="K146" s="2378" t="e">
        <f>IF(H146=0,"",IF(J146&lt;#REF!*H146,"Timpang &lt;"&amp;TEXT(#REF!,"0%"),IF(J146&gt;#REF!*H146,"Timpang &gt;"&amp;TEXT(#REF!,"0%"),"Wajar")))</f>
        <v>#REF!</v>
      </c>
      <c r="L146" s="2391">
        <v>43813.91</v>
      </c>
      <c r="M146" s="2391">
        <f>E146*L146</f>
        <v>1869977.6788000001</v>
      </c>
      <c r="N146" s="2375">
        <f t="shared" ref="N146:N168" si="41">M146/$M$8*100</f>
        <v>8.1684615742170147E-2</v>
      </c>
      <c r="O146" s="2375">
        <v>0</v>
      </c>
      <c r="P146" s="2398"/>
      <c r="Q146" s="2375">
        <f t="shared" si="30"/>
        <v>0</v>
      </c>
      <c r="R146" s="2375">
        <f t="shared" si="36"/>
        <v>0</v>
      </c>
      <c r="S146" s="2386">
        <v>0</v>
      </c>
      <c r="T146" s="2398"/>
      <c r="U146" s="2375">
        <f t="shared" si="38"/>
        <v>0</v>
      </c>
      <c r="V146" s="2375"/>
      <c r="W146" s="2382">
        <f t="shared" si="39"/>
        <v>42.68</v>
      </c>
      <c r="X146" s="2398" t="s">
        <v>89</v>
      </c>
      <c r="Y146" s="2375">
        <f>W146*L146</f>
        <v>1869977.6788000001</v>
      </c>
      <c r="Z146" s="2375">
        <f t="shared" ref="Z146:Z168" si="42">Y146/$M$8*100</f>
        <v>8.1684615742170147E-2</v>
      </c>
      <c r="AA146" s="2587" t="s">
        <v>3355</v>
      </c>
    </row>
    <row r="147" spans="1:27" s="331" customFormat="1" ht="25" customHeight="1">
      <c r="A147" s="2398">
        <f>A146+1</f>
        <v>2</v>
      </c>
      <c r="B147" s="2549" t="s">
        <v>436</v>
      </c>
      <c r="C147" s="2550"/>
      <c r="D147" s="2551"/>
      <c r="E147" s="2541">
        <f>'5. Vol Pndrtn Ikan (4x5)'!$P$188</f>
        <v>8.98</v>
      </c>
      <c r="F147" s="2398" t="s">
        <v>89</v>
      </c>
      <c r="G147" s="2389">
        <v>39943.170000000006</v>
      </c>
      <c r="H147" s="2464">
        <f>E147*G147</f>
        <v>358689.66660000006</v>
      </c>
      <c r="I147" s="2465">
        <f>'Resume Analisa'!$D$229</f>
        <v>38799.550000000003</v>
      </c>
      <c r="J147" s="2552">
        <f>E147*I147</f>
        <v>348419.95900000003</v>
      </c>
      <c r="K147" s="2378" t="e">
        <f>IF(H147=0,"",IF(J147&lt;#REF!*H147,"Timpang &lt;"&amp;TEXT(#REF!,"0%"),IF(J147&gt;#REF!*H147,"Timpang &gt;"&amp;TEXT(#REF!,"0%"),"Wajar")))</f>
        <v>#REF!</v>
      </c>
      <c r="L147" s="2391">
        <v>38799.550000000003</v>
      </c>
      <c r="M147" s="2391">
        <f>E147*L147</f>
        <v>348419.95900000003</v>
      </c>
      <c r="N147" s="2375">
        <f t="shared" si="41"/>
        <v>1.5219727374543503E-2</v>
      </c>
      <c r="O147" s="2375">
        <v>0</v>
      </c>
      <c r="P147" s="2398"/>
      <c r="Q147" s="2375">
        <f t="shared" si="30"/>
        <v>0</v>
      </c>
      <c r="R147" s="2375">
        <f t="shared" si="36"/>
        <v>0</v>
      </c>
      <c r="S147" s="2386">
        <v>0</v>
      </c>
      <c r="T147" s="2398"/>
      <c r="U147" s="2375">
        <f t="shared" si="38"/>
        <v>0</v>
      </c>
      <c r="V147" s="2375"/>
      <c r="W147" s="2382">
        <f t="shared" si="39"/>
        <v>8.98</v>
      </c>
      <c r="X147" s="2398" t="s">
        <v>89</v>
      </c>
      <c r="Y147" s="2375">
        <f t="shared" ref="Y147:Y168" si="43">W147*L147</f>
        <v>348419.95900000003</v>
      </c>
      <c r="Z147" s="2375">
        <f t="shared" si="42"/>
        <v>1.5219727374543503E-2</v>
      </c>
      <c r="AA147" s="2367" t="s">
        <v>3355</v>
      </c>
    </row>
    <row r="148" spans="1:27" s="331" customFormat="1" ht="25" customHeight="1">
      <c r="A148" s="2398">
        <f>A147+1</f>
        <v>3</v>
      </c>
      <c r="B148" s="2549" t="s">
        <v>437</v>
      </c>
      <c r="C148" s="2550"/>
      <c r="D148" s="2551"/>
      <c r="E148" s="2541"/>
      <c r="F148" s="2398"/>
      <c r="G148" s="2389"/>
      <c r="H148" s="2464"/>
      <c r="I148" s="2588"/>
      <c r="J148" s="2544"/>
      <c r="K148" s="2389"/>
      <c r="L148" s="2391"/>
      <c r="M148" s="2391"/>
      <c r="N148" s="2375">
        <f t="shared" si="41"/>
        <v>0</v>
      </c>
      <c r="O148" s="2375">
        <v>0</v>
      </c>
      <c r="P148" s="2398"/>
      <c r="Q148" s="2375">
        <f t="shared" si="30"/>
        <v>0</v>
      </c>
      <c r="R148" s="2375">
        <f t="shared" si="36"/>
        <v>0</v>
      </c>
      <c r="S148" s="2375">
        <v>0</v>
      </c>
      <c r="T148" s="2398"/>
      <c r="U148" s="2375">
        <f t="shared" si="38"/>
        <v>0</v>
      </c>
      <c r="V148" s="2375"/>
      <c r="W148" s="2382">
        <f t="shared" si="39"/>
        <v>0</v>
      </c>
      <c r="X148" s="2398"/>
      <c r="Y148" s="2375">
        <f t="shared" si="43"/>
        <v>0</v>
      </c>
      <c r="Z148" s="2375">
        <f t="shared" si="42"/>
        <v>0</v>
      </c>
      <c r="AA148" s="2377"/>
    </row>
    <row r="149" spans="1:27" s="331" customFormat="1" ht="25" customHeight="1">
      <c r="A149" s="2555" t="s">
        <v>95</v>
      </c>
      <c r="B149" s="2549" t="s">
        <v>438</v>
      </c>
      <c r="C149" s="2550"/>
      <c r="D149" s="2551"/>
      <c r="E149" s="2541">
        <f>'5. Vol Pndrtn Ikan (4x5)'!$P$195</f>
        <v>1.07</v>
      </c>
      <c r="F149" s="2398" t="s">
        <v>103</v>
      </c>
      <c r="G149" s="2389">
        <v>50600</v>
      </c>
      <c r="H149" s="2464">
        <f t="shared" ref="H149:H155" si="44">E149*G149</f>
        <v>54142</v>
      </c>
      <c r="I149" s="2465">
        <f>'Resume Analisa'!$D$18</f>
        <v>49036.76</v>
      </c>
      <c r="J149" s="2544">
        <f>I149*E149</f>
        <v>52469.333200000008</v>
      </c>
      <c r="K149" s="2378" t="e">
        <f>IF(H149=0,"",IF(J149&lt;#REF!*H149,"Timpang &lt;"&amp;TEXT(#REF!,"0%"),IF(J149&gt;#REF!*H149,"Timpang &gt;"&amp;TEXT(#REF!,"0%"),"Wajar")))</f>
        <v>#REF!</v>
      </c>
      <c r="L149" s="2391">
        <v>49036.76</v>
      </c>
      <c r="M149" s="2391">
        <f t="shared" ref="M149:M155" si="45">E149*L149</f>
        <v>52469.333200000008</v>
      </c>
      <c r="N149" s="2375">
        <f t="shared" si="41"/>
        <v>2.291972449339747E-3</v>
      </c>
      <c r="O149" s="2375">
        <v>0</v>
      </c>
      <c r="P149" s="2398"/>
      <c r="Q149" s="2375">
        <f t="shared" si="30"/>
        <v>0</v>
      </c>
      <c r="R149" s="2375">
        <f t="shared" si="36"/>
        <v>0</v>
      </c>
      <c r="S149" s="2375">
        <v>0</v>
      </c>
      <c r="T149" s="2398"/>
      <c r="U149" s="2375">
        <f t="shared" si="38"/>
        <v>0</v>
      </c>
      <c r="V149" s="2375"/>
      <c r="W149" s="2382">
        <f t="shared" si="39"/>
        <v>1.07</v>
      </c>
      <c r="X149" s="2398" t="s">
        <v>103</v>
      </c>
      <c r="Y149" s="2375">
        <f t="shared" si="43"/>
        <v>52469.333200000008</v>
      </c>
      <c r="Z149" s="2375">
        <f t="shared" si="42"/>
        <v>2.291972449339747E-3</v>
      </c>
      <c r="AA149" s="2377" t="s">
        <v>3355</v>
      </c>
    </row>
    <row r="150" spans="1:27" s="331" customFormat="1" ht="25" customHeight="1">
      <c r="A150" s="2555" t="s">
        <v>98</v>
      </c>
      <c r="B150" s="2549" t="s">
        <v>439</v>
      </c>
      <c r="C150" s="2550"/>
      <c r="D150" s="2551"/>
      <c r="E150" s="2541">
        <f>'5. Vol Pndrtn Ikan (4x5)'!$P$201</f>
        <v>18.690000000000001</v>
      </c>
      <c r="F150" s="2398" t="s">
        <v>89</v>
      </c>
      <c r="G150" s="2389">
        <v>166165.41</v>
      </c>
      <c r="H150" s="2464">
        <f t="shared" si="44"/>
        <v>3105631.5129000004</v>
      </c>
      <c r="I150" s="2465">
        <f>'Resume Analisa'!$D$69</f>
        <v>161086.38</v>
      </c>
      <c r="J150" s="2544">
        <f>I150*E150</f>
        <v>3010704.4422000004</v>
      </c>
      <c r="K150" s="2378" t="e">
        <f>IF(H150=0,"",IF(J150&lt;#REF!*H150,"Timpang &lt;"&amp;TEXT(#REF!,"0%"),IF(J150&gt;#REF!*H150,"Timpang &gt;"&amp;TEXT(#REF!,"0%"),"Wajar")))</f>
        <v>#REF!</v>
      </c>
      <c r="L150" s="2391">
        <v>161086.38</v>
      </c>
      <c r="M150" s="2391">
        <f t="shared" si="45"/>
        <v>3010704.4422000004</v>
      </c>
      <c r="N150" s="2375">
        <f t="shared" si="41"/>
        <v>0.1315139952002895</v>
      </c>
      <c r="O150" s="2375">
        <v>0</v>
      </c>
      <c r="P150" s="2398"/>
      <c r="Q150" s="2375">
        <f t="shared" si="30"/>
        <v>0</v>
      </c>
      <c r="R150" s="2375">
        <f t="shared" si="36"/>
        <v>0</v>
      </c>
      <c r="S150" s="2375">
        <v>0</v>
      </c>
      <c r="T150" s="2398"/>
      <c r="U150" s="2375">
        <f t="shared" si="38"/>
        <v>0</v>
      </c>
      <c r="V150" s="2375"/>
      <c r="W150" s="2382">
        <f t="shared" si="39"/>
        <v>18.690000000000001</v>
      </c>
      <c r="X150" s="2398" t="s">
        <v>89</v>
      </c>
      <c r="Y150" s="2375">
        <f t="shared" si="43"/>
        <v>3010704.4422000004</v>
      </c>
      <c r="Z150" s="2375">
        <f t="shared" si="42"/>
        <v>0.1315139952002895</v>
      </c>
      <c r="AA150" s="2377" t="s">
        <v>3355</v>
      </c>
    </row>
    <row r="151" spans="1:27" s="331" customFormat="1" ht="25" customHeight="1">
      <c r="A151" s="2555" t="s">
        <v>101</v>
      </c>
      <c r="B151" s="2549" t="s">
        <v>440</v>
      </c>
      <c r="C151" s="2550"/>
      <c r="D151" s="2551"/>
      <c r="E151" s="2541">
        <f>'5. Vol Pndrtn Ikan (4x5)'!$P$207</f>
        <v>1.61</v>
      </c>
      <c r="F151" s="2398" t="s">
        <v>103</v>
      </c>
      <c r="G151" s="2389">
        <v>200606.23</v>
      </c>
      <c r="H151" s="2464">
        <f t="shared" si="44"/>
        <v>322976.03030000004</v>
      </c>
      <c r="I151" s="2480">
        <f>'Resume Analisa'!$D$24</f>
        <v>189662.29</v>
      </c>
      <c r="J151" s="2544">
        <f>I151*E151</f>
        <v>305356.28690000001</v>
      </c>
      <c r="K151" s="2378" t="e">
        <f>IF(H151=0,"",IF(J151&lt;#REF!*H151,"Timpang &lt;"&amp;TEXT(#REF!,"0%"),IF(J151&gt;#REF!*H151,"Timpang &gt;"&amp;TEXT(#REF!,"0%"),"Wajar")))</f>
        <v>#REF!</v>
      </c>
      <c r="L151" s="2391">
        <v>189662.29</v>
      </c>
      <c r="M151" s="2391">
        <f t="shared" si="45"/>
        <v>305356.28690000001</v>
      </c>
      <c r="N151" s="2375">
        <f t="shared" si="41"/>
        <v>1.3338614274737599E-2</v>
      </c>
      <c r="O151" s="2375">
        <v>0</v>
      </c>
      <c r="P151" s="2398"/>
      <c r="Q151" s="2375">
        <f t="shared" si="30"/>
        <v>0</v>
      </c>
      <c r="R151" s="2375">
        <f t="shared" si="36"/>
        <v>0</v>
      </c>
      <c r="S151" s="2375">
        <v>0</v>
      </c>
      <c r="T151" s="2398"/>
      <c r="U151" s="2375">
        <f t="shared" si="38"/>
        <v>0</v>
      </c>
      <c r="V151" s="2375"/>
      <c r="W151" s="2382">
        <f t="shared" si="39"/>
        <v>1.61</v>
      </c>
      <c r="X151" s="2398" t="s">
        <v>103</v>
      </c>
      <c r="Y151" s="2375">
        <f t="shared" si="43"/>
        <v>305356.28690000001</v>
      </c>
      <c r="Z151" s="2375">
        <f t="shared" si="42"/>
        <v>1.3338614274737599E-2</v>
      </c>
      <c r="AA151" s="2377" t="s">
        <v>3355</v>
      </c>
    </row>
    <row r="152" spans="1:27" s="331" customFormat="1" ht="25" customHeight="1">
      <c r="A152" s="2555" t="s">
        <v>121</v>
      </c>
      <c r="B152" s="2549" t="s">
        <v>441</v>
      </c>
      <c r="C152" s="2550"/>
      <c r="D152" s="2551"/>
      <c r="E152" s="2541">
        <f>'5. Vol Pndrtn Ikan (4x5)'!$P$213</f>
        <v>0.4</v>
      </c>
      <c r="F152" s="2398" t="s">
        <v>103</v>
      </c>
      <c r="G152" s="2389">
        <v>507759.96</v>
      </c>
      <c r="H152" s="2464">
        <f t="shared" si="44"/>
        <v>203103.98400000003</v>
      </c>
      <c r="I152" s="2480">
        <f>'Resume Analisa'!$D$26</f>
        <v>475358.64</v>
      </c>
      <c r="J152" s="2544">
        <f>I152*E152</f>
        <v>190143.45600000001</v>
      </c>
      <c r="K152" s="2378" t="e">
        <f>IF(H152=0,"",IF(J152&lt;#REF!*H152,"Timpang &lt;"&amp;TEXT(#REF!,"0%"),IF(J152&gt;#REF!*H152,"Timpang &gt;"&amp;TEXT(#REF!,"0%"),"Wajar")))</f>
        <v>#REF!</v>
      </c>
      <c r="L152" s="2391">
        <v>475358.64</v>
      </c>
      <c r="M152" s="2391">
        <f t="shared" si="45"/>
        <v>190143.45600000001</v>
      </c>
      <c r="N152" s="2375">
        <f t="shared" si="41"/>
        <v>8.3058719445331993E-3</v>
      </c>
      <c r="O152" s="2375">
        <v>0</v>
      </c>
      <c r="P152" s="2398"/>
      <c r="Q152" s="2375">
        <f t="shared" si="30"/>
        <v>0</v>
      </c>
      <c r="R152" s="2375">
        <f t="shared" si="36"/>
        <v>0</v>
      </c>
      <c r="S152" s="2375">
        <v>0</v>
      </c>
      <c r="T152" s="2398"/>
      <c r="U152" s="2375">
        <f t="shared" si="38"/>
        <v>0</v>
      </c>
      <c r="V152" s="2375"/>
      <c r="W152" s="2382">
        <f t="shared" si="39"/>
        <v>0.4</v>
      </c>
      <c r="X152" s="2398" t="s">
        <v>103</v>
      </c>
      <c r="Y152" s="2375">
        <f t="shared" si="43"/>
        <v>190143.45600000001</v>
      </c>
      <c r="Z152" s="2375">
        <f t="shared" si="42"/>
        <v>8.3058719445331993E-3</v>
      </c>
      <c r="AA152" s="2377" t="s">
        <v>3355</v>
      </c>
    </row>
    <row r="153" spans="1:27" s="331" customFormat="1" ht="25" customHeight="1">
      <c r="A153" s="2555" t="s">
        <v>142</v>
      </c>
      <c r="B153" s="2549" t="s">
        <v>192</v>
      </c>
      <c r="C153" s="2550"/>
      <c r="D153" s="2551"/>
      <c r="E153" s="2541">
        <f>'5. Vol Pndrtn Ikan (4x5)'!$P$219</f>
        <v>0.93</v>
      </c>
      <c r="F153" s="2398" t="s">
        <v>103</v>
      </c>
      <c r="G153" s="2389">
        <v>1422226.08</v>
      </c>
      <c r="H153" s="2464">
        <f t="shared" si="44"/>
        <v>1322670.2544000002</v>
      </c>
      <c r="I153" s="2465">
        <f>'Resume Analisa'!$D$54</f>
        <v>1384580.76</v>
      </c>
      <c r="J153" s="2567">
        <f>E153*I153</f>
        <v>1287660.1068000002</v>
      </c>
      <c r="K153" s="2378" t="e">
        <f>IF(H153=0,"",IF(J153&lt;#REF!*H153,"Timpang &lt;"&amp;TEXT(#REF!,"0%"),IF(J153&gt;#REF!*H153,"Timpang &gt;"&amp;TEXT(#REF!,"0%"),"Wajar")))</f>
        <v>#REF!</v>
      </c>
      <c r="L153" s="2391">
        <v>1384580.76</v>
      </c>
      <c r="M153" s="2391">
        <f t="shared" si="45"/>
        <v>1287660.1068000002</v>
      </c>
      <c r="N153" s="2375">
        <f t="shared" si="41"/>
        <v>5.6247741469286981E-2</v>
      </c>
      <c r="O153" s="2375">
        <v>0</v>
      </c>
      <c r="P153" s="2398"/>
      <c r="Q153" s="2375">
        <f t="shared" si="30"/>
        <v>0</v>
      </c>
      <c r="R153" s="2375">
        <f t="shared" si="36"/>
        <v>0</v>
      </c>
      <c r="S153" s="2386">
        <v>0</v>
      </c>
      <c r="T153" s="2398"/>
      <c r="U153" s="2375">
        <f t="shared" si="38"/>
        <v>0</v>
      </c>
      <c r="V153" s="2375"/>
      <c r="W153" s="2382">
        <f t="shared" si="39"/>
        <v>0.93</v>
      </c>
      <c r="X153" s="2398" t="s">
        <v>103</v>
      </c>
      <c r="Y153" s="2375">
        <f t="shared" si="43"/>
        <v>1287660.1068000002</v>
      </c>
      <c r="Z153" s="2375">
        <f t="shared" si="42"/>
        <v>5.6247741469286981E-2</v>
      </c>
      <c r="AA153" s="2377" t="s">
        <v>3355</v>
      </c>
    </row>
    <row r="154" spans="1:27" s="331" customFormat="1" ht="25" customHeight="1">
      <c r="A154" s="2555" t="s">
        <v>217</v>
      </c>
      <c r="B154" s="2549" t="s">
        <v>442</v>
      </c>
      <c r="C154" s="2550"/>
      <c r="D154" s="2551"/>
      <c r="E154" s="2541">
        <f>'5. Vol Pndrtn Ikan (4x5)'!$P$225</f>
        <v>6.66</v>
      </c>
      <c r="F154" s="2398" t="s">
        <v>89</v>
      </c>
      <c r="G154" s="2389">
        <v>61230.840000000004</v>
      </c>
      <c r="H154" s="2464">
        <f t="shared" si="44"/>
        <v>407797.39440000005</v>
      </c>
      <c r="I154" s="2465">
        <f>'Resume Analisa'!$D$70</f>
        <v>58648.57</v>
      </c>
      <c r="J154" s="2552">
        <f>E154*I154</f>
        <v>390599.47620000003</v>
      </c>
      <c r="K154" s="2378" t="e">
        <f>IF(H154=0,"",IF(J154&lt;#REF!*H154,"Timpang &lt;"&amp;TEXT(#REF!,"0%"),IF(J154&gt;#REF!*H154,"Timpang &gt;"&amp;TEXT(#REF!,"0%"),"Wajar")))</f>
        <v>#REF!</v>
      </c>
      <c r="L154" s="2391">
        <v>58648.57</v>
      </c>
      <c r="M154" s="2391">
        <f t="shared" si="45"/>
        <v>390599.47620000003</v>
      </c>
      <c r="N154" s="2375">
        <f t="shared" si="41"/>
        <v>1.7062218701436371E-2</v>
      </c>
      <c r="O154" s="2375">
        <v>0</v>
      </c>
      <c r="P154" s="2398"/>
      <c r="Q154" s="2375">
        <f t="shared" si="30"/>
        <v>0</v>
      </c>
      <c r="R154" s="2375">
        <f t="shared" si="36"/>
        <v>0</v>
      </c>
      <c r="S154" s="2386">
        <v>0</v>
      </c>
      <c r="T154" s="2398"/>
      <c r="U154" s="2375">
        <f t="shared" si="38"/>
        <v>0</v>
      </c>
      <c r="V154" s="2375"/>
      <c r="W154" s="2382">
        <f t="shared" si="39"/>
        <v>6.66</v>
      </c>
      <c r="X154" s="2398" t="s">
        <v>89</v>
      </c>
      <c r="Y154" s="2375">
        <f t="shared" si="43"/>
        <v>390599.47620000003</v>
      </c>
      <c r="Z154" s="2375">
        <f t="shared" si="42"/>
        <v>1.7062218701436371E-2</v>
      </c>
      <c r="AA154" s="2377" t="s">
        <v>3355</v>
      </c>
    </row>
    <row r="155" spans="1:27" s="331" customFormat="1" ht="25" customHeight="1">
      <c r="A155" s="2555" t="s">
        <v>366</v>
      </c>
      <c r="B155" s="2549" t="s">
        <v>194</v>
      </c>
      <c r="C155" s="2550"/>
      <c r="D155" s="2551"/>
      <c r="E155" s="2541">
        <f>'5. Vol Pndrtn Ikan (4x5)'!$P$232</f>
        <v>19.98</v>
      </c>
      <c r="F155" s="2398" t="s">
        <v>89</v>
      </c>
      <c r="G155" s="2389">
        <v>45612.170000000006</v>
      </c>
      <c r="H155" s="2464">
        <f t="shared" si="44"/>
        <v>911331.1566000001</v>
      </c>
      <c r="I155" s="2465">
        <f>'Resume Analisa'!$D$72</f>
        <v>43813.91</v>
      </c>
      <c r="J155" s="2552">
        <f>E155*I155</f>
        <v>875401.92180000013</v>
      </c>
      <c r="K155" s="2378" t="e">
        <f>IF(H155=0,"",IF(J155&lt;#REF!*H155,"Timpang &lt;"&amp;TEXT(#REF!,"0%"),IF(J155&gt;#REF!*H155,"Timpang &gt;"&amp;TEXT(#REF!,"0%"),"Wajar")))</f>
        <v>#REF!</v>
      </c>
      <c r="L155" s="2391">
        <v>43813.91</v>
      </c>
      <c r="M155" s="2391">
        <f t="shared" si="45"/>
        <v>875401.92180000013</v>
      </c>
      <c r="N155" s="2375">
        <f t="shared" si="41"/>
        <v>3.8239424145467653E-2</v>
      </c>
      <c r="O155" s="2375">
        <v>0</v>
      </c>
      <c r="P155" s="2398"/>
      <c r="Q155" s="2375">
        <f t="shared" si="30"/>
        <v>0</v>
      </c>
      <c r="R155" s="2375">
        <f t="shared" si="36"/>
        <v>0</v>
      </c>
      <c r="S155" s="2375">
        <v>0</v>
      </c>
      <c r="T155" s="2398"/>
      <c r="U155" s="2375">
        <f t="shared" si="38"/>
        <v>0</v>
      </c>
      <c r="V155" s="2375"/>
      <c r="W155" s="2382">
        <f t="shared" si="39"/>
        <v>19.98</v>
      </c>
      <c r="X155" s="2398" t="s">
        <v>89</v>
      </c>
      <c r="Y155" s="2375">
        <f t="shared" si="43"/>
        <v>875401.92180000013</v>
      </c>
      <c r="Z155" s="2375">
        <f t="shared" si="42"/>
        <v>3.8239424145467653E-2</v>
      </c>
      <c r="AA155" s="2377" t="str">
        <f>AA154</f>
        <v>Tetap</v>
      </c>
    </row>
    <row r="156" spans="1:27" ht="25" customHeight="1">
      <c r="A156" s="2398">
        <f>A148+1</f>
        <v>4</v>
      </c>
      <c r="B156" s="2549" t="s">
        <v>443</v>
      </c>
      <c r="C156" s="2550"/>
      <c r="D156" s="2551"/>
      <c r="E156" s="2541"/>
      <c r="F156" s="2398"/>
      <c r="G156" s="2567"/>
      <c r="H156" s="2464"/>
      <c r="I156" s="2588"/>
      <c r="J156" s="2552"/>
      <c r="K156" s="2389"/>
      <c r="L156" s="2391"/>
      <c r="M156" s="2391"/>
      <c r="N156" s="2375">
        <f t="shared" si="41"/>
        <v>0</v>
      </c>
      <c r="O156" s="2375">
        <v>0</v>
      </c>
      <c r="P156" s="2398"/>
      <c r="Q156" s="2375">
        <f t="shared" si="30"/>
        <v>0</v>
      </c>
      <c r="R156" s="2375">
        <f t="shared" ref="R156:R169" si="46">Q156/$M$8*100</f>
        <v>0</v>
      </c>
      <c r="S156" s="2375">
        <v>0</v>
      </c>
      <c r="T156" s="2398"/>
      <c r="U156" s="2375">
        <f t="shared" si="38"/>
        <v>0</v>
      </c>
      <c r="V156" s="2375"/>
      <c r="W156" s="2382">
        <f t="shared" si="39"/>
        <v>0</v>
      </c>
      <c r="X156" s="2398"/>
      <c r="Y156" s="2375">
        <f t="shared" si="43"/>
        <v>0</v>
      </c>
      <c r="Z156" s="2375">
        <f t="shared" si="42"/>
        <v>0</v>
      </c>
      <c r="AA156" s="2377"/>
    </row>
    <row r="157" spans="1:27" ht="55" customHeight="1">
      <c r="A157" s="2589" t="s">
        <v>95</v>
      </c>
      <c r="B157" s="3193" t="s">
        <v>444</v>
      </c>
      <c r="C157" s="3194"/>
      <c r="D157" s="3195"/>
      <c r="E157" s="2541">
        <f>'5. Vol Pndrtn Ikan (4x5)'!N241</f>
        <v>34.68</v>
      </c>
      <c r="F157" s="2590" t="s">
        <v>89</v>
      </c>
      <c r="G157" s="2567">
        <v>300628.27</v>
      </c>
      <c r="H157" s="2464">
        <f t="shared" ref="H157:H168" si="47">E157*G157</f>
        <v>10425788.4036</v>
      </c>
      <c r="I157" s="2588">
        <f>'Resume Analisa'!$D$224</f>
        <v>290179.7</v>
      </c>
      <c r="J157" s="2552">
        <f t="shared" ref="J157:J162" si="48">E157*I157</f>
        <v>10063431.996000001</v>
      </c>
      <c r="K157" s="2378" t="e">
        <f>IF(H157=0,"",IF(J157&lt;#REF!*H157,"Timpang &lt;"&amp;TEXT(#REF!,"0%"),IF(J157&gt;#REF!*H157,"Timpang &gt;"&amp;TEXT(#REF!,"0%"),"Wajar")))</f>
        <v>#REF!</v>
      </c>
      <c r="L157" s="2391">
        <v>290179.7</v>
      </c>
      <c r="M157" s="2391">
        <f t="shared" ref="M157:M168" si="49">E157*L157</f>
        <v>10063431.996000001</v>
      </c>
      <c r="N157" s="2375">
        <f t="shared" si="41"/>
        <v>0.43959218602450434</v>
      </c>
      <c r="O157" s="2375">
        <v>0</v>
      </c>
      <c r="P157" s="2398"/>
      <c r="Q157" s="2375">
        <f t="shared" ref="Q157:Q220" si="50">O157*L157</f>
        <v>0</v>
      </c>
      <c r="R157" s="2375">
        <f t="shared" si="46"/>
        <v>0</v>
      </c>
      <c r="S157" s="2375">
        <v>0</v>
      </c>
      <c r="T157" s="2590"/>
      <c r="U157" s="2375">
        <f t="shared" si="38"/>
        <v>0</v>
      </c>
      <c r="V157" s="2375"/>
      <c r="W157" s="2382">
        <f t="shared" si="39"/>
        <v>34.68</v>
      </c>
      <c r="X157" s="2590" t="s">
        <v>89</v>
      </c>
      <c r="Y157" s="2375">
        <f t="shared" si="43"/>
        <v>10063431.996000001</v>
      </c>
      <c r="Z157" s="2375">
        <f t="shared" si="42"/>
        <v>0.43959218602450434</v>
      </c>
      <c r="AA157" s="2377" t="s">
        <v>3355</v>
      </c>
    </row>
    <row r="158" spans="1:27" ht="56.5" customHeight="1">
      <c r="A158" s="2589" t="s">
        <v>98</v>
      </c>
      <c r="B158" s="3193" t="s">
        <v>445</v>
      </c>
      <c r="C158" s="3194"/>
      <c r="D158" s="3195"/>
      <c r="E158" s="2541">
        <f>'5. Vol Pndrtn Ikan (4x5)'!N242</f>
        <v>128.70000000000002</v>
      </c>
      <c r="F158" s="2398" t="s">
        <v>117</v>
      </c>
      <c r="G158" s="2389">
        <v>6893.1</v>
      </c>
      <c r="H158" s="2464">
        <f t="shared" si="47"/>
        <v>887141.9700000002</v>
      </c>
      <c r="I158" s="2588">
        <f>'Resume Analisa'!$D$222</f>
        <v>6849.5700000000006</v>
      </c>
      <c r="J158" s="2552">
        <f t="shared" si="48"/>
        <v>881539.65900000022</v>
      </c>
      <c r="K158" s="2378" t="e">
        <f>IF(H158=0,"",IF(J158&lt;#REF!*H158,"Timpang &lt;"&amp;TEXT(#REF!,"0%"),IF(J158&gt;#REF!*H158,"Timpang &gt;"&amp;TEXT(#REF!,"0%"),"Wajar")))</f>
        <v>#REF!</v>
      </c>
      <c r="L158" s="2391">
        <v>6849.5700000000006</v>
      </c>
      <c r="M158" s="2391">
        <f t="shared" si="49"/>
        <v>881539.65900000022</v>
      </c>
      <c r="N158" s="2375">
        <f t="shared" si="41"/>
        <v>3.8507533604950704E-2</v>
      </c>
      <c r="O158" s="2375">
        <v>0</v>
      </c>
      <c r="P158" s="2398"/>
      <c r="Q158" s="2375">
        <f t="shared" si="50"/>
        <v>0</v>
      </c>
      <c r="R158" s="2375">
        <f t="shared" si="46"/>
        <v>0</v>
      </c>
      <c r="S158" s="2375">
        <v>0</v>
      </c>
      <c r="T158" s="2398"/>
      <c r="U158" s="2375">
        <f t="shared" si="38"/>
        <v>0</v>
      </c>
      <c r="V158" s="2375"/>
      <c r="W158" s="2382">
        <f t="shared" si="39"/>
        <v>128.70000000000002</v>
      </c>
      <c r="X158" s="2398" t="s">
        <v>117</v>
      </c>
      <c r="Y158" s="2375">
        <f t="shared" si="43"/>
        <v>881539.65900000022</v>
      </c>
      <c r="Z158" s="2375">
        <f t="shared" si="42"/>
        <v>3.8507533604950704E-2</v>
      </c>
      <c r="AA158" s="2377" t="s">
        <v>3355</v>
      </c>
    </row>
    <row r="159" spans="1:27" ht="25" customHeight="1">
      <c r="A159" s="2555" t="s">
        <v>101</v>
      </c>
      <c r="B159" s="2549" t="s">
        <v>446</v>
      </c>
      <c r="C159" s="2550"/>
      <c r="D159" s="2551"/>
      <c r="E159" s="2541">
        <f>'5. Vol Pndrtn Ikan (4x5)'!N246</f>
        <v>62.306500000000007</v>
      </c>
      <c r="F159" s="2590" t="s">
        <v>89</v>
      </c>
      <c r="G159" s="2389">
        <v>232335.08000000002</v>
      </c>
      <c r="H159" s="2464">
        <f t="shared" si="47"/>
        <v>14475985.662020003</v>
      </c>
      <c r="I159" s="2588">
        <f>'Resume Analisa'!$D$64</f>
        <v>240387.47</v>
      </c>
      <c r="J159" s="2552">
        <f t="shared" si="48"/>
        <v>14977701.899555001</v>
      </c>
      <c r="K159" s="2378" t="e">
        <f>IF(H159=0,"",IF(J159&lt;#REF!*H159,"Timpang &lt;"&amp;TEXT(#REF!,"0%"),IF(J159&gt;#REF!*H159,"Timpang &gt;"&amp;TEXT(#REF!,"0%"),"Wajar")))</f>
        <v>#REF!</v>
      </c>
      <c r="L159" s="2391">
        <v>240387.47</v>
      </c>
      <c r="M159" s="2391">
        <f t="shared" si="49"/>
        <v>14977701.899555001</v>
      </c>
      <c r="N159" s="2375">
        <f t="shared" si="41"/>
        <v>0.65425798298888338</v>
      </c>
      <c r="O159" s="2375">
        <v>0</v>
      </c>
      <c r="P159" s="2398"/>
      <c r="Q159" s="2375">
        <f t="shared" si="50"/>
        <v>0</v>
      </c>
      <c r="R159" s="2375">
        <f t="shared" si="46"/>
        <v>0</v>
      </c>
      <c r="S159" s="2375">
        <v>0</v>
      </c>
      <c r="T159" s="2590"/>
      <c r="U159" s="2375">
        <f t="shared" si="38"/>
        <v>0</v>
      </c>
      <c r="V159" s="2375"/>
      <c r="W159" s="2382">
        <f t="shared" si="39"/>
        <v>62.306500000000007</v>
      </c>
      <c r="X159" s="2590" t="s">
        <v>89</v>
      </c>
      <c r="Y159" s="2375">
        <f t="shared" si="43"/>
        <v>14977701.899555001</v>
      </c>
      <c r="Z159" s="2375">
        <f t="shared" si="42"/>
        <v>0.65425798298888338</v>
      </c>
      <c r="AA159" s="2377" t="s">
        <v>3355</v>
      </c>
    </row>
    <row r="160" spans="1:27" ht="25" customHeight="1">
      <c r="A160" s="2555" t="s">
        <v>121</v>
      </c>
      <c r="B160" s="2549" t="s">
        <v>447</v>
      </c>
      <c r="C160" s="2550"/>
      <c r="D160" s="2551"/>
      <c r="E160" s="2541">
        <f>'5. Vol Pndrtn Ikan (4x5)'!N247</f>
        <v>7.25</v>
      </c>
      <c r="F160" s="2590" t="s">
        <v>117</v>
      </c>
      <c r="G160" s="2389">
        <v>180008.45</v>
      </c>
      <c r="H160" s="2464">
        <f t="shared" si="47"/>
        <v>1305061.2625000002</v>
      </c>
      <c r="I160" s="2588">
        <f>'Resume Analisa'!$D$65</f>
        <v>172082.08000000002</v>
      </c>
      <c r="J160" s="2552">
        <f t="shared" si="48"/>
        <v>1247595.08</v>
      </c>
      <c r="K160" s="2378" t="e">
        <f>IF(H160=0,"",IF(J160&lt;#REF!*H160,"Timpang &lt;"&amp;TEXT(#REF!,"0%"),IF(J160&gt;#REF!*H160,"Timpang &gt;"&amp;TEXT(#REF!,"0%"),"Wajar")))</f>
        <v>#REF!</v>
      </c>
      <c r="L160" s="2391">
        <v>172082.08000000002</v>
      </c>
      <c r="M160" s="2391">
        <f t="shared" si="49"/>
        <v>1247595.08</v>
      </c>
      <c r="N160" s="2375">
        <f t="shared" si="41"/>
        <v>5.4497615595614578E-2</v>
      </c>
      <c r="O160" s="2375">
        <v>0</v>
      </c>
      <c r="P160" s="2398"/>
      <c r="Q160" s="2375">
        <f t="shared" si="50"/>
        <v>0</v>
      </c>
      <c r="R160" s="2375">
        <f t="shared" si="46"/>
        <v>0</v>
      </c>
      <c r="S160" s="2386">
        <v>0</v>
      </c>
      <c r="T160" s="2590"/>
      <c r="U160" s="2375">
        <f t="shared" si="38"/>
        <v>0</v>
      </c>
      <c r="V160" s="2375"/>
      <c r="W160" s="2382">
        <f t="shared" si="39"/>
        <v>7.25</v>
      </c>
      <c r="X160" s="2590" t="s">
        <v>117</v>
      </c>
      <c r="Y160" s="2375">
        <f t="shared" si="43"/>
        <v>1247595.08</v>
      </c>
      <c r="Z160" s="2375">
        <f t="shared" si="42"/>
        <v>5.4497615595614578E-2</v>
      </c>
      <c r="AA160" s="2377" t="s">
        <v>3355</v>
      </c>
    </row>
    <row r="161" spans="1:27" s="331" customFormat="1" ht="54" customHeight="1">
      <c r="A161" s="2398">
        <f>A156+1</f>
        <v>5</v>
      </c>
      <c r="B161" s="3199" t="s">
        <v>448</v>
      </c>
      <c r="C161" s="3200"/>
      <c r="D161" s="3201"/>
      <c r="E161" s="2541">
        <f>'5. Vol Pndrtn Ikan (4x5)'!$P$252</f>
        <v>42.3</v>
      </c>
      <c r="F161" s="2398" t="s">
        <v>89</v>
      </c>
      <c r="G161" s="2389">
        <v>224723.54</v>
      </c>
      <c r="H161" s="2464">
        <f t="shared" si="47"/>
        <v>9505805.7420000006</v>
      </c>
      <c r="I161" s="2588">
        <f>'Resume Analisa'!$D$105</f>
        <v>220349.78</v>
      </c>
      <c r="J161" s="2552">
        <f t="shared" si="48"/>
        <v>9320795.6940000001</v>
      </c>
      <c r="K161" s="2378" t="e">
        <f>IF(H161=0,"",IF(J161&lt;#REF!*H161,"Timpang &lt;"&amp;TEXT(#REF!,"0%"),IF(J161&gt;#REF!*H161,"Timpang &gt;"&amp;TEXT(#REF!,"0%"),"Wajar")))</f>
        <v>#REF!</v>
      </c>
      <c r="L161" s="2391">
        <v>220349.78</v>
      </c>
      <c r="M161" s="2391">
        <f t="shared" si="49"/>
        <v>9320795.6940000001</v>
      </c>
      <c r="N161" s="2375">
        <f t="shared" si="41"/>
        <v>0.40715224748792012</v>
      </c>
      <c r="O161" s="2375">
        <v>0</v>
      </c>
      <c r="P161" s="2398"/>
      <c r="Q161" s="2375">
        <f t="shared" si="50"/>
        <v>0</v>
      </c>
      <c r="R161" s="2375">
        <f t="shared" si="46"/>
        <v>0</v>
      </c>
      <c r="S161" s="2386">
        <v>0</v>
      </c>
      <c r="T161" s="2398"/>
      <c r="U161" s="2375">
        <f t="shared" si="38"/>
        <v>0</v>
      </c>
      <c r="V161" s="2375"/>
      <c r="W161" s="2382">
        <f t="shared" si="39"/>
        <v>42.3</v>
      </c>
      <c r="X161" s="2398" t="s">
        <v>89</v>
      </c>
      <c r="Y161" s="2375">
        <f t="shared" si="43"/>
        <v>9320795.6940000001</v>
      </c>
      <c r="Z161" s="2375">
        <f t="shared" si="42"/>
        <v>0.40715224748792012</v>
      </c>
      <c r="AA161" s="2377" t="s">
        <v>3355</v>
      </c>
    </row>
    <row r="162" spans="1:27" s="331" customFormat="1" ht="60" customHeight="1">
      <c r="A162" s="2398">
        <f t="shared" ref="A162:A168" si="51">A161+1</f>
        <v>6</v>
      </c>
      <c r="B162" s="3193" t="s">
        <v>449</v>
      </c>
      <c r="C162" s="3194"/>
      <c r="D162" s="3195"/>
      <c r="E162" s="2541">
        <f>'5. Vol Pndrtn Ikan (4x5)'!$P$257</f>
        <v>13.44</v>
      </c>
      <c r="F162" s="2398" t="s">
        <v>89</v>
      </c>
      <c r="G162" s="2389">
        <v>436185.4</v>
      </c>
      <c r="H162" s="2464">
        <f t="shared" si="47"/>
        <v>5862331.7760000005</v>
      </c>
      <c r="I162" s="2588">
        <f>'Resume Analisa'!$D$233</f>
        <v>421901.99</v>
      </c>
      <c r="J162" s="2552">
        <f t="shared" si="48"/>
        <v>5670362.7456</v>
      </c>
      <c r="K162" s="2378" t="e">
        <f>IF(H162=0,"",IF(J162&lt;#REF!*H162,"Timpang &lt;"&amp;TEXT(#REF!,"0%"),IF(J162&gt;#REF!*H162,"Timpang &gt;"&amp;TEXT(#REF!,"0%"),"Wajar")))</f>
        <v>#REF!</v>
      </c>
      <c r="L162" s="2391">
        <v>421901.99</v>
      </c>
      <c r="M162" s="2391">
        <f t="shared" si="49"/>
        <v>5670362.7456</v>
      </c>
      <c r="N162" s="2375">
        <f t="shared" si="41"/>
        <v>0.24769354588782314</v>
      </c>
      <c r="O162" s="2375">
        <v>0</v>
      </c>
      <c r="P162" s="2398"/>
      <c r="Q162" s="2375">
        <f t="shared" si="50"/>
        <v>0</v>
      </c>
      <c r="R162" s="2375">
        <f t="shared" si="46"/>
        <v>0</v>
      </c>
      <c r="S162" s="2375">
        <v>0</v>
      </c>
      <c r="T162" s="2398"/>
      <c r="U162" s="2375">
        <f t="shared" si="38"/>
        <v>0</v>
      </c>
      <c r="V162" s="2375"/>
      <c r="W162" s="2382">
        <f t="shared" si="39"/>
        <v>13.44</v>
      </c>
      <c r="X162" s="2398" t="s">
        <v>89</v>
      </c>
      <c r="Y162" s="2375">
        <f t="shared" si="43"/>
        <v>5670362.7456</v>
      </c>
      <c r="Z162" s="2375">
        <f t="shared" si="42"/>
        <v>0.24769354588782314</v>
      </c>
      <c r="AA162" s="2377" t="s">
        <v>3355</v>
      </c>
    </row>
    <row r="163" spans="1:27" s="331" customFormat="1" ht="25" customHeight="1">
      <c r="A163" s="2398">
        <f t="shared" si="51"/>
        <v>7</v>
      </c>
      <c r="B163" s="2549" t="s">
        <v>450</v>
      </c>
      <c r="C163" s="2550"/>
      <c r="D163" s="2551"/>
      <c r="E163" s="2541">
        <f>'5. Vol Pndrtn Ikan (4x5)'!$P$262</f>
        <v>51.66</v>
      </c>
      <c r="F163" s="2398" t="s">
        <v>89</v>
      </c>
      <c r="G163" s="2389">
        <v>90295.7</v>
      </c>
      <c r="H163" s="2464">
        <f t="shared" si="47"/>
        <v>4664675.8619999997</v>
      </c>
      <c r="I163" s="2480">
        <f>'Resume Analisa'!$D$79</f>
        <v>91347.61</v>
      </c>
      <c r="J163" s="2544">
        <f>I163*E163</f>
        <v>4719017.5325999996</v>
      </c>
      <c r="K163" s="2378" t="e">
        <f>IF(H163=0,"",IF(J163&lt;#REF!*H163,"Timpang &lt;"&amp;TEXT(#REF!,"0%"),IF(J163&gt;#REF!*H163,"Timpang &gt;"&amp;TEXT(#REF!,"0%"),"Wajar")))</f>
        <v>#REF!</v>
      </c>
      <c r="L163" s="2391">
        <v>91347.61</v>
      </c>
      <c r="M163" s="2391">
        <f t="shared" si="49"/>
        <v>4719017.5325999996</v>
      </c>
      <c r="N163" s="2375">
        <f t="shared" si="41"/>
        <v>0.20613675671164103</v>
      </c>
      <c r="O163" s="2375">
        <v>0</v>
      </c>
      <c r="P163" s="2398"/>
      <c r="Q163" s="2375">
        <f t="shared" si="50"/>
        <v>0</v>
      </c>
      <c r="R163" s="2375">
        <f t="shared" si="46"/>
        <v>0</v>
      </c>
      <c r="S163" s="2375">
        <v>0</v>
      </c>
      <c r="T163" s="2398"/>
      <c r="U163" s="2375">
        <f t="shared" si="38"/>
        <v>0</v>
      </c>
      <c r="V163" s="2375"/>
      <c r="W163" s="2382">
        <f t="shared" si="39"/>
        <v>51.66</v>
      </c>
      <c r="X163" s="2398" t="s">
        <v>89</v>
      </c>
      <c r="Y163" s="2375">
        <f t="shared" si="43"/>
        <v>4719017.5325999996</v>
      </c>
      <c r="Z163" s="2375">
        <f t="shared" si="42"/>
        <v>0.20613675671164103</v>
      </c>
      <c r="AA163" s="2377" t="s">
        <v>3355</v>
      </c>
    </row>
    <row r="164" spans="1:27" s="331" customFormat="1" ht="25" customHeight="1">
      <c r="A164" s="2398">
        <f t="shared" si="51"/>
        <v>8</v>
      </c>
      <c r="B164" s="2549" t="s">
        <v>451</v>
      </c>
      <c r="C164" s="2550"/>
      <c r="D164" s="2551"/>
      <c r="E164" s="2541">
        <f>'5. Vol Pndrtn Ikan (4x5)'!P263</f>
        <v>42.3</v>
      </c>
      <c r="F164" s="2398" t="s">
        <v>89</v>
      </c>
      <c r="G164" s="2389">
        <v>36451.78</v>
      </c>
      <c r="H164" s="2464">
        <f t="shared" si="47"/>
        <v>1541910.2939999998</v>
      </c>
      <c r="I164" s="2480">
        <f>'Resume Analisa'!$D$82</f>
        <v>36706.18</v>
      </c>
      <c r="J164" s="2544">
        <f>I164*E164</f>
        <v>1552671.4139999999</v>
      </c>
      <c r="K164" s="2378" t="e">
        <f>IF(H164=0,"",IF(J164&lt;#REF!*H164,"Timpang &lt;"&amp;TEXT(#REF!,"0%"),IF(J164&gt;#REF!*H164,"Timpang &gt;"&amp;TEXT(#REF!,"0%"),"Wajar")))</f>
        <v>#REF!</v>
      </c>
      <c r="L164" s="2391">
        <v>36706.18</v>
      </c>
      <c r="M164" s="2391">
        <f t="shared" si="49"/>
        <v>1552671.4139999999</v>
      </c>
      <c r="N164" s="2375">
        <f t="shared" si="41"/>
        <v>6.7824000930230763E-2</v>
      </c>
      <c r="O164" s="2375">
        <v>0</v>
      </c>
      <c r="P164" s="2398"/>
      <c r="Q164" s="2375">
        <f t="shared" si="50"/>
        <v>0</v>
      </c>
      <c r="R164" s="2375">
        <f t="shared" si="46"/>
        <v>0</v>
      </c>
      <c r="S164" s="2375">
        <v>0</v>
      </c>
      <c r="T164" s="2398"/>
      <c r="U164" s="2375">
        <f t="shared" si="38"/>
        <v>0</v>
      </c>
      <c r="V164" s="2375"/>
      <c r="W164" s="2382">
        <f t="shared" si="39"/>
        <v>42.3</v>
      </c>
      <c r="X164" s="2398" t="s">
        <v>89</v>
      </c>
      <c r="Y164" s="2375">
        <f t="shared" si="43"/>
        <v>1552671.4139999999</v>
      </c>
      <c r="Z164" s="2375">
        <f t="shared" si="42"/>
        <v>6.7824000930230763E-2</v>
      </c>
      <c r="AA164" s="2377" t="s">
        <v>3355</v>
      </c>
    </row>
    <row r="165" spans="1:27" s="331" customFormat="1" ht="25" customHeight="1">
      <c r="A165" s="2398">
        <f t="shared" si="51"/>
        <v>9</v>
      </c>
      <c r="B165" s="2549" t="s">
        <v>452</v>
      </c>
      <c r="C165" s="2550"/>
      <c r="D165" s="2551"/>
      <c r="E165" s="2541">
        <f>'5. Vol Pndrtn Ikan (4x5)'!$P$267</f>
        <v>22.69</v>
      </c>
      <c r="F165" s="2398" t="s">
        <v>117</v>
      </c>
      <c r="G165" s="2389">
        <v>111113</v>
      </c>
      <c r="H165" s="2464">
        <f t="shared" si="47"/>
        <v>2521153.9700000002</v>
      </c>
      <c r="I165" s="2465">
        <f>'Resume Analisa'!$D$67</f>
        <v>110227.31999999999</v>
      </c>
      <c r="J165" s="2552">
        <f>E165*I165</f>
        <v>2501057.8908000002</v>
      </c>
      <c r="K165" s="2378" t="e">
        <f>IF(H165=0,"",IF(J165&lt;#REF!*H165,"Timpang &lt;"&amp;TEXT(#REF!,"0%"),IF(J165&gt;#REF!*H165,"Timpang &gt;"&amp;TEXT(#REF!,"0%"),"Wajar")))</f>
        <v>#REF!</v>
      </c>
      <c r="L165" s="2391">
        <v>110227.31999999999</v>
      </c>
      <c r="M165" s="2391">
        <f t="shared" si="49"/>
        <v>2501057.8908000002</v>
      </c>
      <c r="N165" s="2375">
        <f t="shared" si="41"/>
        <v>0.10925154619493768</v>
      </c>
      <c r="O165" s="2375">
        <v>0</v>
      </c>
      <c r="P165" s="2398"/>
      <c r="Q165" s="2375">
        <f t="shared" si="50"/>
        <v>0</v>
      </c>
      <c r="R165" s="2375">
        <f t="shared" si="46"/>
        <v>0</v>
      </c>
      <c r="S165" s="2375">
        <v>0</v>
      </c>
      <c r="T165" s="2398"/>
      <c r="U165" s="2375">
        <f t="shared" si="38"/>
        <v>0</v>
      </c>
      <c r="V165" s="2375"/>
      <c r="W165" s="2382">
        <f t="shared" si="39"/>
        <v>22.69</v>
      </c>
      <c r="X165" s="2398" t="s">
        <v>117</v>
      </c>
      <c r="Y165" s="2375">
        <f t="shared" si="43"/>
        <v>2501057.8908000002</v>
      </c>
      <c r="Z165" s="2375">
        <f t="shared" si="42"/>
        <v>0.10925154619493768</v>
      </c>
      <c r="AA165" s="2377" t="s">
        <v>3355</v>
      </c>
    </row>
    <row r="166" spans="1:27" s="331" customFormat="1" ht="25" customHeight="1">
      <c r="A166" s="2398">
        <f t="shared" si="51"/>
        <v>10</v>
      </c>
      <c r="B166" s="2549" t="s">
        <v>453</v>
      </c>
      <c r="C166" s="2550"/>
      <c r="D166" s="2551"/>
      <c r="E166" s="2541">
        <f>'5. Vol Pndrtn Ikan (4x5)'!$P$271</f>
        <v>6.81</v>
      </c>
      <c r="F166" s="2398" t="s">
        <v>89</v>
      </c>
      <c r="G166" s="2389">
        <v>90295.7</v>
      </c>
      <c r="H166" s="2464">
        <f t="shared" si="47"/>
        <v>614913.71699999995</v>
      </c>
      <c r="I166" s="2480">
        <f>'Resume Analisa'!$D$79</f>
        <v>91347.61</v>
      </c>
      <c r="J166" s="2544">
        <f>I166*E166</f>
        <v>622077.22409999999</v>
      </c>
      <c r="K166" s="2378" t="e">
        <f>IF(H166=0,"",IF(J166&lt;#REF!*H166,"Timpang &lt;"&amp;TEXT(#REF!,"0%"),IF(J166&gt;#REF!*H166,"Timpang &gt;"&amp;TEXT(#REF!,"0%"),"Wajar")))</f>
        <v>#REF!</v>
      </c>
      <c r="L166" s="2391">
        <v>91347.61</v>
      </c>
      <c r="M166" s="2391">
        <f t="shared" si="49"/>
        <v>622077.22409999999</v>
      </c>
      <c r="N166" s="2375">
        <f t="shared" si="41"/>
        <v>2.7173660727957329E-2</v>
      </c>
      <c r="O166" s="2375">
        <v>0</v>
      </c>
      <c r="P166" s="2398"/>
      <c r="Q166" s="2375">
        <f t="shared" si="50"/>
        <v>0</v>
      </c>
      <c r="R166" s="2375">
        <f t="shared" si="46"/>
        <v>0</v>
      </c>
      <c r="S166" s="2375">
        <v>0</v>
      </c>
      <c r="T166" s="2398"/>
      <c r="U166" s="2375">
        <f t="shared" si="38"/>
        <v>0</v>
      </c>
      <c r="V166" s="2375"/>
      <c r="W166" s="2382">
        <f t="shared" si="39"/>
        <v>6.81</v>
      </c>
      <c r="X166" s="2398" t="s">
        <v>89</v>
      </c>
      <c r="Y166" s="2375">
        <f t="shared" si="43"/>
        <v>622077.22409999999</v>
      </c>
      <c r="Z166" s="2375">
        <f t="shared" si="42"/>
        <v>2.7173660727957329E-2</v>
      </c>
      <c r="AA166" s="2377" t="s">
        <v>3355</v>
      </c>
    </row>
    <row r="167" spans="1:27" s="331" customFormat="1" ht="25" customHeight="1">
      <c r="A167" s="2398">
        <f t="shared" si="51"/>
        <v>11</v>
      </c>
      <c r="B167" s="2549" t="s">
        <v>454</v>
      </c>
      <c r="C167" s="2550"/>
      <c r="D167" s="2551"/>
      <c r="E167" s="2541">
        <f>'5. Vol Pndrtn Ikan (4x5)'!$P$272</f>
        <v>1</v>
      </c>
      <c r="F167" s="2398" t="s">
        <v>360</v>
      </c>
      <c r="G167" s="2389">
        <v>2176018.5</v>
      </c>
      <c r="H167" s="2464">
        <f t="shared" si="47"/>
        <v>2176018.5</v>
      </c>
      <c r="I167" s="2480">
        <f>'Resume Analisa'!$D$98</f>
        <v>2096360.01</v>
      </c>
      <c r="J167" s="2544">
        <f>I167*E167</f>
        <v>2096360.01</v>
      </c>
      <c r="K167" s="2378" t="e">
        <f>IF(H167=0,"",IF(J167&lt;#REF!*H167,"Timpang &lt;"&amp;TEXT(#REF!,"0%"),IF(J167&gt;#REF!*H167,"Timpang &gt;"&amp;TEXT(#REF!,"0%"),"Wajar")))</f>
        <v>#REF!</v>
      </c>
      <c r="L167" s="2391">
        <v>2096360.01</v>
      </c>
      <c r="M167" s="2391">
        <f t="shared" si="49"/>
        <v>2096360.01</v>
      </c>
      <c r="N167" s="2375">
        <f t="shared" si="41"/>
        <v>9.1573479093071383E-2</v>
      </c>
      <c r="O167" s="2375">
        <v>0</v>
      </c>
      <c r="P167" s="2398"/>
      <c r="Q167" s="2375">
        <f t="shared" si="50"/>
        <v>0</v>
      </c>
      <c r="R167" s="2375">
        <f t="shared" si="46"/>
        <v>0</v>
      </c>
      <c r="S167" s="2386">
        <v>0</v>
      </c>
      <c r="T167" s="2398"/>
      <c r="U167" s="2375">
        <f t="shared" si="38"/>
        <v>0</v>
      </c>
      <c r="V167" s="2375"/>
      <c r="W167" s="2382">
        <f t="shared" si="39"/>
        <v>1</v>
      </c>
      <c r="X167" s="2398" t="s">
        <v>360</v>
      </c>
      <c r="Y167" s="2375">
        <f t="shared" si="43"/>
        <v>2096360.01</v>
      </c>
      <c r="Z167" s="2375">
        <f t="shared" si="42"/>
        <v>9.1573479093071383E-2</v>
      </c>
      <c r="AA167" s="2377" t="s">
        <v>3355</v>
      </c>
    </row>
    <row r="168" spans="1:27" s="331" customFormat="1" ht="56" customHeight="1">
      <c r="A168" s="2403">
        <f t="shared" si="51"/>
        <v>12</v>
      </c>
      <c r="B168" s="3190" t="s">
        <v>455</v>
      </c>
      <c r="C168" s="3191"/>
      <c r="D168" s="3192"/>
      <c r="E168" s="2572">
        <f>'5. Vol Pndrtn Ikan (4x5)'!$P$273</f>
        <v>21</v>
      </c>
      <c r="F168" s="2403" t="s">
        <v>124</v>
      </c>
      <c r="G168" s="2405">
        <v>120750</v>
      </c>
      <c r="H168" s="2573">
        <f t="shared" si="47"/>
        <v>2535750</v>
      </c>
      <c r="I168" s="2591">
        <f>'Resume Analisa'!$D$102</f>
        <v>126569.93999999999</v>
      </c>
      <c r="J168" s="2592">
        <f>I168*E168</f>
        <v>2657968.7399999998</v>
      </c>
      <c r="K168" s="2408" t="e">
        <f>IF(H168=0,"",IF(J168&lt;#REF!*H168,"Timpang &lt;"&amp;TEXT(#REF!,"0%"),IF(J168&gt;#REF!*H168,"Timpang &gt;"&amp;TEXT(#REF!,"0%"),"Wajar")))</f>
        <v>#REF!</v>
      </c>
      <c r="L168" s="2410">
        <v>126569.93999999999</v>
      </c>
      <c r="M168" s="2410">
        <f t="shared" si="49"/>
        <v>2657968.7399999998</v>
      </c>
      <c r="N168" s="2375">
        <f t="shared" si="41"/>
        <v>0.11610574695251283</v>
      </c>
      <c r="O168" s="2411">
        <v>0</v>
      </c>
      <c r="P168" s="2403"/>
      <c r="Q168" s="2411">
        <f t="shared" si="50"/>
        <v>0</v>
      </c>
      <c r="R168" s="2411">
        <f t="shared" si="46"/>
        <v>0</v>
      </c>
      <c r="S168" s="2593">
        <v>0</v>
      </c>
      <c r="T168" s="2403"/>
      <c r="U168" s="2411">
        <f t="shared" si="38"/>
        <v>0</v>
      </c>
      <c r="V168" s="2411"/>
      <c r="W168" s="2382">
        <f t="shared" si="39"/>
        <v>21</v>
      </c>
      <c r="X168" s="2403" t="s">
        <v>124</v>
      </c>
      <c r="Y168" s="2375">
        <f t="shared" si="43"/>
        <v>2657968.7399999998</v>
      </c>
      <c r="Z168" s="2375">
        <f t="shared" si="42"/>
        <v>0.11610574695251283</v>
      </c>
      <c r="AA168" s="2412" t="s">
        <v>3355</v>
      </c>
    </row>
    <row r="169" spans="1:27" s="331" customFormat="1" ht="25" customHeight="1">
      <c r="A169" s="2576"/>
      <c r="B169" s="2577"/>
      <c r="C169" s="2578"/>
      <c r="D169" s="2512" t="s">
        <v>376</v>
      </c>
      <c r="E169" s="2579"/>
      <c r="F169" s="2580"/>
      <c r="G169" s="2581"/>
      <c r="H169" s="2582">
        <f>SUM(H146:H168)</f>
        <v>65149606.573920004</v>
      </c>
      <c r="I169" s="2583"/>
      <c r="J169" s="2583">
        <f>SUM(J146:J168)</f>
        <v>64641312.546555005</v>
      </c>
      <c r="K169" s="2581"/>
      <c r="L169" s="2584"/>
      <c r="M169" s="2584">
        <f>SUM(M146:M168)</f>
        <v>64641312.546555005</v>
      </c>
      <c r="N169" s="2424">
        <f>M169/M8*100</f>
        <v>2.8236704835018522</v>
      </c>
      <c r="O169" s="2426">
        <v>0</v>
      </c>
      <c r="P169" s="2580"/>
      <c r="Q169" s="2426">
        <f t="shared" si="50"/>
        <v>0</v>
      </c>
      <c r="R169" s="2426">
        <f t="shared" si="46"/>
        <v>0</v>
      </c>
      <c r="S169" s="2426">
        <v>0</v>
      </c>
      <c r="T169" s="2576"/>
      <c r="U169" s="2426">
        <f t="shared" si="38"/>
        <v>0</v>
      </c>
      <c r="V169" s="2426"/>
      <c r="W169" s="2382">
        <f t="shared" si="39"/>
        <v>0</v>
      </c>
      <c r="X169" s="2580"/>
      <c r="Y169" s="2594">
        <f>SUM(Y145:Y168)</f>
        <v>64641312.546555005</v>
      </c>
      <c r="Z169" s="2424">
        <f>SUM(Z146:Z168)</f>
        <v>2.8236704835018522</v>
      </c>
      <c r="AA169" s="2429"/>
    </row>
    <row r="170" spans="1:27" s="331" customFormat="1" ht="25" customHeight="1">
      <c r="A170" s="2521" t="s">
        <v>456</v>
      </c>
      <c r="B170" s="2522" t="s">
        <v>457</v>
      </c>
      <c r="C170" s="2523"/>
      <c r="D170" s="2524"/>
      <c r="E170" s="2525"/>
      <c r="F170" s="2526"/>
      <c r="G170" s="2585"/>
      <c r="H170" s="2586"/>
      <c r="I170" s="2529"/>
      <c r="J170" s="2529"/>
      <c r="K170" s="2585"/>
      <c r="L170" s="2532"/>
      <c r="M170" s="2532"/>
      <c r="N170" s="2365"/>
      <c r="O170" s="2365"/>
      <c r="P170" s="2526"/>
      <c r="Q170" s="2365"/>
      <c r="R170" s="2365"/>
      <c r="S170" s="2365"/>
      <c r="T170" s="2526"/>
      <c r="U170" s="2365">
        <f t="shared" si="38"/>
        <v>0</v>
      </c>
      <c r="V170" s="2365"/>
      <c r="W170" s="2382">
        <f t="shared" si="39"/>
        <v>0</v>
      </c>
      <c r="X170" s="2526"/>
      <c r="Y170" s="2375">
        <f t="shared" si="40"/>
        <v>0</v>
      </c>
      <c r="Z170" s="2365"/>
      <c r="AA170" s="2367"/>
    </row>
    <row r="171" spans="1:27" s="331" customFormat="1" ht="25" customHeight="1">
      <c r="A171" s="2398">
        <v>1</v>
      </c>
      <c r="B171" s="2556" t="s">
        <v>458</v>
      </c>
      <c r="C171" s="2557"/>
      <c r="D171" s="2558"/>
      <c r="E171" s="2541">
        <f>'5. Vol Pndrtn Ikan (4x5)'!$P$275</f>
        <v>4</v>
      </c>
      <c r="F171" s="2560" t="s">
        <v>357</v>
      </c>
      <c r="G171" s="2389">
        <v>464132.64</v>
      </c>
      <c r="H171" s="2464">
        <f t="shared" ref="H171:H176" si="52">E171*G171</f>
        <v>1856530.56</v>
      </c>
      <c r="I171" s="2465">
        <f>'Resume Analisa'!$D$133</f>
        <v>479653.13</v>
      </c>
      <c r="J171" s="2552">
        <f t="shared" ref="J171:J176" si="53">E171*I171</f>
        <v>1918612.52</v>
      </c>
      <c r="K171" s="2378" t="e">
        <f>IF(H171=0,"",IF(J171&lt;#REF!*H171,"Timpang &lt;"&amp;TEXT(#REF!,"0%"),IF(J171&gt;#REF!*H171,"Timpang &gt;"&amp;TEXT(#REF!,"0%"),"Wajar")))</f>
        <v>#REF!</v>
      </c>
      <c r="L171" s="2391">
        <v>479653.13</v>
      </c>
      <c r="M171" s="2391">
        <f t="shared" ref="M171:M176" si="54">E171*L171</f>
        <v>1918612.52</v>
      </c>
      <c r="N171" s="2375">
        <f t="shared" ref="N171:N176" si="55">M171/$M$8*100</f>
        <v>8.380908939773421E-2</v>
      </c>
      <c r="O171" s="2375">
        <v>0</v>
      </c>
      <c r="P171" s="2560"/>
      <c r="Q171" s="2375">
        <f t="shared" si="50"/>
        <v>0</v>
      </c>
      <c r="R171" s="2375">
        <f t="shared" ref="R171:R234" si="56">Q171/$M$8*100</f>
        <v>0</v>
      </c>
      <c r="S171" s="2375">
        <v>0</v>
      </c>
      <c r="T171" s="2560"/>
      <c r="U171" s="2375">
        <f t="shared" si="38"/>
        <v>0</v>
      </c>
      <c r="V171" s="2375"/>
      <c r="W171" s="2382">
        <f t="shared" si="39"/>
        <v>4</v>
      </c>
      <c r="X171" s="2560" t="s">
        <v>357</v>
      </c>
      <c r="Y171" s="2375">
        <f>W171*L171</f>
        <v>1918612.52</v>
      </c>
      <c r="Z171" s="2375">
        <f t="shared" ref="Z171:Z176" si="57">Y171/$M$8*100</f>
        <v>8.380908939773421E-2</v>
      </c>
      <c r="AA171" s="2377" t="s">
        <v>3355</v>
      </c>
    </row>
    <row r="172" spans="1:27" s="331" customFormat="1" ht="25" customHeight="1">
      <c r="A172" s="2398">
        <f>A171+1</f>
        <v>2</v>
      </c>
      <c r="B172" s="2595" t="s">
        <v>459</v>
      </c>
      <c r="C172" s="2557"/>
      <c r="D172" s="2558"/>
      <c r="E172" s="2541">
        <f>'5. Vol Pndrtn Ikan (4x5)'!$P$276</f>
        <v>4</v>
      </c>
      <c r="F172" s="2560" t="s">
        <v>357</v>
      </c>
      <c r="G172" s="2389">
        <v>675431.23</v>
      </c>
      <c r="H172" s="2464">
        <f t="shared" si="52"/>
        <v>2701724.92</v>
      </c>
      <c r="I172" s="2465">
        <f>'Resume Analisa'!$D$140</f>
        <v>695238.63</v>
      </c>
      <c r="J172" s="2552">
        <f t="shared" si="53"/>
        <v>2780954.52</v>
      </c>
      <c r="K172" s="2378" t="e">
        <f>IF(H172=0,"",IF(J172&lt;#REF!*H172,"Timpang &lt;"&amp;TEXT(#REF!,"0%"),IF(J172&gt;#REF!*H172,"Timpang &gt;"&amp;TEXT(#REF!,"0%"),"Wajar")))</f>
        <v>#REF!</v>
      </c>
      <c r="L172" s="2391">
        <v>695238.63</v>
      </c>
      <c r="M172" s="2391">
        <f t="shared" si="54"/>
        <v>2780954.52</v>
      </c>
      <c r="N172" s="2375">
        <f t="shared" si="55"/>
        <v>0.12147802828770922</v>
      </c>
      <c r="O172" s="2375">
        <v>0</v>
      </c>
      <c r="P172" s="2560"/>
      <c r="Q172" s="2375">
        <f t="shared" si="50"/>
        <v>0</v>
      </c>
      <c r="R172" s="2375">
        <f t="shared" si="56"/>
        <v>0</v>
      </c>
      <c r="S172" s="2375">
        <v>0</v>
      </c>
      <c r="T172" s="2560"/>
      <c r="U172" s="2375">
        <f t="shared" si="38"/>
        <v>0</v>
      </c>
      <c r="V172" s="2375"/>
      <c r="W172" s="2382">
        <f t="shared" si="39"/>
        <v>4</v>
      </c>
      <c r="X172" s="2560" t="s">
        <v>357</v>
      </c>
      <c r="Y172" s="2375">
        <f t="shared" ref="Y172:Y179" si="58">W172*L172</f>
        <v>2780954.52</v>
      </c>
      <c r="Z172" s="2375">
        <f t="shared" si="57"/>
        <v>0.12147802828770922</v>
      </c>
      <c r="AA172" s="2377" t="s">
        <v>3355</v>
      </c>
    </row>
    <row r="173" spans="1:27" s="331" customFormat="1" ht="25" customHeight="1">
      <c r="A173" s="2398">
        <f>A172+1</f>
        <v>3</v>
      </c>
      <c r="B173" s="2549" t="s">
        <v>460</v>
      </c>
      <c r="C173" s="2550"/>
      <c r="D173" s="2551"/>
      <c r="E173" s="2541">
        <f>'5. Vol Pndrtn Ikan (4x5)'!$P$277</f>
        <v>1</v>
      </c>
      <c r="F173" s="2398" t="s">
        <v>124</v>
      </c>
      <c r="G173" s="2389">
        <v>68649.25</v>
      </c>
      <c r="H173" s="2464">
        <f t="shared" si="52"/>
        <v>68649.25</v>
      </c>
      <c r="I173" s="2465">
        <f>'Resume Analisa'!$D$144</f>
        <v>67408.72</v>
      </c>
      <c r="J173" s="2552">
        <f t="shared" si="53"/>
        <v>67408.72</v>
      </c>
      <c r="K173" s="2378" t="e">
        <f>IF(H173=0,"",IF(J173&lt;#REF!*H173,"Timpang &lt;"&amp;TEXT(#REF!,"0%"),IF(J173&gt;#REF!*H173,"Timpang &gt;"&amp;TEXT(#REF!,"0%"),"Wajar")))</f>
        <v>#REF!</v>
      </c>
      <c r="L173" s="2391">
        <v>67408.72</v>
      </c>
      <c r="M173" s="2391">
        <f t="shared" si="54"/>
        <v>67408.72</v>
      </c>
      <c r="N173" s="2375">
        <f t="shared" si="55"/>
        <v>2.9445567470115512E-3</v>
      </c>
      <c r="O173" s="2375">
        <v>0</v>
      </c>
      <c r="P173" s="2560"/>
      <c r="Q173" s="2375">
        <f t="shared" si="50"/>
        <v>0</v>
      </c>
      <c r="R173" s="2375">
        <f t="shared" si="56"/>
        <v>0</v>
      </c>
      <c r="S173" s="2375">
        <v>0</v>
      </c>
      <c r="T173" s="2398"/>
      <c r="U173" s="2375">
        <f t="shared" si="38"/>
        <v>0</v>
      </c>
      <c r="V173" s="2375"/>
      <c r="W173" s="2382">
        <f t="shared" si="39"/>
        <v>1</v>
      </c>
      <c r="X173" s="2398" t="s">
        <v>124</v>
      </c>
      <c r="Y173" s="2375">
        <f t="shared" si="58"/>
        <v>67408.72</v>
      </c>
      <c r="Z173" s="2375">
        <f t="shared" si="57"/>
        <v>2.9445567470115512E-3</v>
      </c>
      <c r="AA173" s="2377" t="s">
        <v>3355</v>
      </c>
    </row>
    <row r="174" spans="1:27" s="331" customFormat="1" ht="25" customHeight="1">
      <c r="A174" s="2398">
        <f>A173+1</f>
        <v>4</v>
      </c>
      <c r="B174" s="2549" t="s">
        <v>461</v>
      </c>
      <c r="C174" s="2550"/>
      <c r="D174" s="2551"/>
      <c r="E174" s="2541">
        <f>'5. Vol Pndrtn Ikan (4x5)'!$P$278</f>
        <v>4</v>
      </c>
      <c r="F174" s="2398" t="s">
        <v>124</v>
      </c>
      <c r="G174" s="2389">
        <v>91426.5</v>
      </c>
      <c r="H174" s="2464">
        <f t="shared" si="52"/>
        <v>365706</v>
      </c>
      <c r="I174" s="2465">
        <f>'Resume Analisa'!$D$145</f>
        <v>89074.98</v>
      </c>
      <c r="J174" s="2552">
        <f t="shared" si="53"/>
        <v>356299.92</v>
      </c>
      <c r="K174" s="2378" t="e">
        <f>IF(H174=0,"",IF(J174&lt;#REF!*H174,"Timpang &lt;"&amp;TEXT(#REF!,"0%"),IF(J174&gt;#REF!*H174,"Timpang &gt;"&amp;TEXT(#REF!,"0%"),"Wajar")))</f>
        <v>#REF!</v>
      </c>
      <c r="L174" s="2391">
        <v>89074.98</v>
      </c>
      <c r="M174" s="2391">
        <f t="shared" si="54"/>
        <v>356299.92</v>
      </c>
      <c r="N174" s="2375">
        <f t="shared" si="55"/>
        <v>1.5563940887702301E-2</v>
      </c>
      <c r="O174" s="2375">
        <v>0</v>
      </c>
      <c r="P174" s="2560"/>
      <c r="Q174" s="2375">
        <f t="shared" si="50"/>
        <v>0</v>
      </c>
      <c r="R174" s="2375">
        <f t="shared" si="56"/>
        <v>0</v>
      </c>
      <c r="S174" s="2386">
        <v>0</v>
      </c>
      <c r="T174" s="2398"/>
      <c r="U174" s="2375">
        <f t="shared" si="38"/>
        <v>0</v>
      </c>
      <c r="V174" s="2375"/>
      <c r="W174" s="2382">
        <f t="shared" si="39"/>
        <v>4</v>
      </c>
      <c r="X174" s="2398" t="s">
        <v>124</v>
      </c>
      <c r="Y174" s="2375">
        <f t="shared" si="58"/>
        <v>356299.92</v>
      </c>
      <c r="Z174" s="2375">
        <f t="shared" si="57"/>
        <v>1.5563940887702301E-2</v>
      </c>
      <c r="AA174" s="2377" t="s">
        <v>3355</v>
      </c>
    </row>
    <row r="175" spans="1:27" s="331" customFormat="1" ht="25" customHeight="1">
      <c r="A175" s="2398">
        <f>A174+1</f>
        <v>5</v>
      </c>
      <c r="B175" s="2549" t="s">
        <v>462</v>
      </c>
      <c r="C175" s="2557"/>
      <c r="D175" s="2558"/>
      <c r="E175" s="2541">
        <f>'5. Vol Pndrtn Ikan (4x5)'!$P$279</f>
        <v>4</v>
      </c>
      <c r="F175" s="2560" t="s">
        <v>124</v>
      </c>
      <c r="G175" s="2389">
        <v>146579</v>
      </c>
      <c r="H175" s="2464">
        <f t="shared" si="52"/>
        <v>586316</v>
      </c>
      <c r="I175" s="2465">
        <f>'Resume Analisa'!$D$148</f>
        <v>142838.90000000002</v>
      </c>
      <c r="J175" s="2552">
        <f t="shared" si="53"/>
        <v>571355.60000000009</v>
      </c>
      <c r="K175" s="2378" t="e">
        <f>IF(H175=0,"",IF(J175&lt;#REF!*H175,"Timpang &lt;"&amp;TEXT(#REF!,"0%"),IF(J175&gt;#REF!*H175,"Timpang &gt;"&amp;TEXT(#REF!,"0%"),"Wajar")))</f>
        <v>#REF!</v>
      </c>
      <c r="L175" s="2391">
        <v>142838.90000000002</v>
      </c>
      <c r="M175" s="2391">
        <f t="shared" si="54"/>
        <v>571355.60000000009</v>
      </c>
      <c r="N175" s="2375">
        <f t="shared" si="55"/>
        <v>2.4958031941903554E-2</v>
      </c>
      <c r="O175" s="2375">
        <v>0</v>
      </c>
      <c r="P175" s="2560"/>
      <c r="Q175" s="2375">
        <f t="shared" si="50"/>
        <v>0</v>
      </c>
      <c r="R175" s="2375">
        <f t="shared" si="56"/>
        <v>0</v>
      </c>
      <c r="S175" s="2386">
        <v>0</v>
      </c>
      <c r="T175" s="2560"/>
      <c r="U175" s="2375">
        <f t="shared" si="38"/>
        <v>0</v>
      </c>
      <c r="V175" s="2375"/>
      <c r="W175" s="2382">
        <f t="shared" si="39"/>
        <v>4</v>
      </c>
      <c r="X175" s="2560" t="s">
        <v>124</v>
      </c>
      <c r="Y175" s="2375">
        <f t="shared" si="58"/>
        <v>571355.60000000009</v>
      </c>
      <c r="Z175" s="2375">
        <f t="shared" si="57"/>
        <v>2.4958031941903554E-2</v>
      </c>
      <c r="AA175" s="2377" t="s">
        <v>3355</v>
      </c>
    </row>
    <row r="176" spans="1:27" s="331" customFormat="1" ht="25" customHeight="1">
      <c r="A176" s="2398">
        <f>A175+1</f>
        <v>6</v>
      </c>
      <c r="B176" s="2549" t="s">
        <v>463</v>
      </c>
      <c r="C176" s="2550"/>
      <c r="D176" s="2551"/>
      <c r="E176" s="2541">
        <f>'5. Vol Pndrtn Ikan (4x5)'!$P$280</f>
        <v>1</v>
      </c>
      <c r="F176" s="2398" t="s">
        <v>360</v>
      </c>
      <c r="G176" s="2389">
        <v>709090</v>
      </c>
      <c r="H176" s="2464">
        <f t="shared" si="52"/>
        <v>709090</v>
      </c>
      <c r="I176" s="2465">
        <f>'Resume Analisa'!$D$156</f>
        <v>707936.42</v>
      </c>
      <c r="J176" s="2552">
        <f t="shared" si="53"/>
        <v>707936.42</v>
      </c>
      <c r="K176" s="2378" t="e">
        <f>IF(H176=0,"",IF(J176&lt;#REF!*H176,"Timpang &lt;"&amp;TEXT(#REF!,"0%"),IF(J176&gt;#REF!*H176,"Timpang &gt;"&amp;TEXT(#REF!,"0%"),"Wajar")))</f>
        <v>#REF!</v>
      </c>
      <c r="L176" s="2391">
        <v>707936.42</v>
      </c>
      <c r="M176" s="2391">
        <f t="shared" si="54"/>
        <v>707936.42</v>
      </c>
      <c r="N176" s="2375">
        <f t="shared" si="55"/>
        <v>3.0924173637568008E-2</v>
      </c>
      <c r="O176" s="2375">
        <v>0</v>
      </c>
      <c r="P176" s="2560"/>
      <c r="Q176" s="2375">
        <f t="shared" si="50"/>
        <v>0</v>
      </c>
      <c r="R176" s="2375">
        <f t="shared" si="56"/>
        <v>0</v>
      </c>
      <c r="S176" s="2375">
        <v>0</v>
      </c>
      <c r="T176" s="2398"/>
      <c r="U176" s="2375">
        <f t="shared" si="38"/>
        <v>0</v>
      </c>
      <c r="V176" s="2375"/>
      <c r="W176" s="2382">
        <f t="shared" si="39"/>
        <v>1</v>
      </c>
      <c r="X176" s="2398" t="s">
        <v>360</v>
      </c>
      <c r="Y176" s="2375">
        <f t="shared" si="58"/>
        <v>707936.42</v>
      </c>
      <c r="Z176" s="2375">
        <f t="shared" si="57"/>
        <v>3.0924173637568008E-2</v>
      </c>
      <c r="AA176" s="2377" t="s">
        <v>3355</v>
      </c>
    </row>
    <row r="177" spans="1:27" s="331" customFormat="1" ht="25" customHeight="1">
      <c r="A177" s="2398"/>
      <c r="B177" s="2549" t="s">
        <v>464</v>
      </c>
      <c r="C177" s="2557"/>
      <c r="D177" s="2558"/>
      <c r="E177" s="2541"/>
      <c r="F177" s="2560"/>
      <c r="G177" s="2389"/>
      <c r="H177" s="2389"/>
      <c r="I177" s="2465"/>
      <c r="J177" s="2552"/>
      <c r="K177" s="2389"/>
      <c r="L177" s="2391"/>
      <c r="M177" s="2391"/>
      <c r="N177" s="2375"/>
      <c r="O177" s="2375">
        <v>0</v>
      </c>
      <c r="P177" s="2560"/>
      <c r="Q177" s="2375">
        <f t="shared" si="50"/>
        <v>0</v>
      </c>
      <c r="R177" s="2375">
        <f t="shared" si="56"/>
        <v>0</v>
      </c>
      <c r="S177" s="2375">
        <v>0</v>
      </c>
      <c r="T177" s="2398"/>
      <c r="U177" s="2375">
        <f t="shared" si="38"/>
        <v>0</v>
      </c>
      <c r="V177" s="2375"/>
      <c r="W177" s="2382">
        <f t="shared" si="39"/>
        <v>0</v>
      </c>
      <c r="X177" s="2560"/>
      <c r="Y177" s="2375">
        <f>W177*L177</f>
        <v>0</v>
      </c>
      <c r="Z177" s="2375"/>
      <c r="AA177" s="2377"/>
    </row>
    <row r="178" spans="1:27" s="331" customFormat="1" ht="25" customHeight="1">
      <c r="A178" s="2398"/>
      <c r="B178" s="2549" t="s">
        <v>465</v>
      </c>
      <c r="C178" s="2557"/>
      <c r="D178" s="2558"/>
      <c r="E178" s="2541"/>
      <c r="F178" s="2560"/>
      <c r="G178" s="2389"/>
      <c r="H178" s="2389"/>
      <c r="I178" s="2465"/>
      <c r="J178" s="2552"/>
      <c r="K178" s="2389"/>
      <c r="L178" s="2391"/>
      <c r="M178" s="2391"/>
      <c r="N178" s="2375"/>
      <c r="O178" s="2375">
        <v>0</v>
      </c>
      <c r="P178" s="2560"/>
      <c r="Q178" s="2375">
        <f t="shared" si="50"/>
        <v>0</v>
      </c>
      <c r="R178" s="2375">
        <f t="shared" si="56"/>
        <v>0</v>
      </c>
      <c r="S178" s="2375">
        <v>0</v>
      </c>
      <c r="T178" s="2398"/>
      <c r="U178" s="2375">
        <f t="shared" si="38"/>
        <v>0</v>
      </c>
      <c r="V178" s="2375"/>
      <c r="W178" s="2382">
        <f t="shared" si="39"/>
        <v>0</v>
      </c>
      <c r="X178" s="2560"/>
      <c r="Y178" s="2375">
        <f t="shared" si="58"/>
        <v>0</v>
      </c>
      <c r="Z178" s="2375"/>
      <c r="AA178" s="2377"/>
    </row>
    <row r="179" spans="1:27" s="331" customFormat="1" ht="25" customHeight="1">
      <c r="A179" s="2403"/>
      <c r="B179" s="2569" t="s">
        <v>466</v>
      </c>
      <c r="C179" s="2596"/>
      <c r="D179" s="2597"/>
      <c r="E179" s="2572"/>
      <c r="F179" s="2598"/>
      <c r="G179" s="2405"/>
      <c r="H179" s="2405"/>
      <c r="I179" s="2574"/>
      <c r="J179" s="2575"/>
      <c r="K179" s="2405"/>
      <c r="L179" s="2410"/>
      <c r="M179" s="2410"/>
      <c r="N179" s="2411"/>
      <c r="O179" s="2411">
        <v>0</v>
      </c>
      <c r="P179" s="2598"/>
      <c r="Q179" s="2411">
        <f t="shared" si="50"/>
        <v>0</v>
      </c>
      <c r="R179" s="2411">
        <f t="shared" si="56"/>
        <v>0</v>
      </c>
      <c r="S179" s="2411">
        <v>0</v>
      </c>
      <c r="T179" s="2403"/>
      <c r="U179" s="2411">
        <f t="shared" si="38"/>
        <v>0</v>
      </c>
      <c r="V179" s="2411"/>
      <c r="W179" s="2402">
        <f t="shared" si="39"/>
        <v>0</v>
      </c>
      <c r="X179" s="2598"/>
      <c r="Y179" s="2411">
        <f t="shared" si="58"/>
        <v>0</v>
      </c>
      <c r="Z179" s="2411"/>
      <c r="AA179" s="2412"/>
    </row>
    <row r="180" spans="1:27" s="331" customFormat="1" ht="25" customHeight="1">
      <c r="A180" s="2576"/>
      <c r="B180" s="2577"/>
      <c r="C180" s="2578"/>
      <c r="D180" s="2512" t="s">
        <v>376</v>
      </c>
      <c r="E180" s="2579"/>
      <c r="F180" s="2580"/>
      <c r="G180" s="2599"/>
      <c r="H180" s="2581">
        <f>SUM(H171:H179)</f>
        <v>6288016.7300000004</v>
      </c>
      <c r="I180" s="2583"/>
      <c r="J180" s="2583">
        <f>SUM(J171:J179)</f>
        <v>6402567.6999999993</v>
      </c>
      <c r="K180" s="2581"/>
      <c r="L180" s="2584"/>
      <c r="M180" s="2584">
        <f>SUM(M171:M179)</f>
        <v>6402567.6999999993</v>
      </c>
      <c r="N180" s="2424">
        <f>M180/M8*100</f>
        <v>0.27967782089962878</v>
      </c>
      <c r="O180" s="2426">
        <v>0</v>
      </c>
      <c r="P180" s="2580"/>
      <c r="Q180" s="2426">
        <f t="shared" si="50"/>
        <v>0</v>
      </c>
      <c r="R180" s="2426">
        <f t="shared" si="56"/>
        <v>0</v>
      </c>
      <c r="S180" s="2426">
        <v>0</v>
      </c>
      <c r="T180" s="2576"/>
      <c r="U180" s="2426">
        <f t="shared" si="38"/>
        <v>0</v>
      </c>
      <c r="V180" s="2426"/>
      <c r="W180" s="2428">
        <f t="shared" si="39"/>
        <v>0</v>
      </c>
      <c r="X180" s="2580"/>
      <c r="Y180" s="2424">
        <f>SUM(Y170:Y179)</f>
        <v>6402567.6999999993</v>
      </c>
      <c r="Z180" s="2424">
        <f>SUM(Z171:Z179)</f>
        <v>0.27967782089962884</v>
      </c>
      <c r="AA180" s="2429"/>
    </row>
    <row r="181" spans="1:27" ht="25" hidden="1" customHeight="1">
      <c r="A181" s="3101" t="s">
        <v>467</v>
      </c>
      <c r="B181" s="3102" t="s">
        <v>468</v>
      </c>
      <c r="C181" s="2600"/>
      <c r="D181" s="2601"/>
      <c r="E181" s="2602"/>
      <c r="F181" s="2603"/>
      <c r="G181" s="2604"/>
      <c r="H181" s="2605"/>
      <c r="I181" s="2606"/>
      <c r="J181" s="2607"/>
      <c r="K181" s="2605"/>
      <c r="L181" s="2532"/>
      <c r="M181" s="2533"/>
      <c r="N181" s="2365">
        <f t="shared" ref="N181:N212" si="59">M181/$M$8</f>
        <v>0</v>
      </c>
      <c r="O181" s="2365">
        <v>0</v>
      </c>
      <c r="P181" s="2603"/>
      <c r="Q181" s="2365">
        <f t="shared" si="50"/>
        <v>0</v>
      </c>
      <c r="R181" s="2365">
        <f t="shared" si="56"/>
        <v>0</v>
      </c>
      <c r="S181" s="2535">
        <v>0</v>
      </c>
      <c r="T181" s="2526"/>
      <c r="U181" s="2365">
        <f t="shared" si="38"/>
        <v>0</v>
      </c>
      <c r="V181" s="2365"/>
      <c r="W181" s="2445">
        <f t="shared" si="39"/>
        <v>0</v>
      </c>
      <c r="X181" s="2603"/>
      <c r="Y181" s="2365">
        <f t="shared" si="40"/>
        <v>0</v>
      </c>
      <c r="Z181" s="2365"/>
      <c r="AA181" s="2367" t="s">
        <v>3355</v>
      </c>
    </row>
    <row r="182" spans="1:27" ht="25" hidden="1" customHeight="1">
      <c r="A182" s="3103" t="s">
        <v>469</v>
      </c>
      <c r="B182" s="3104" t="s">
        <v>470</v>
      </c>
      <c r="C182" s="2608"/>
      <c r="D182" s="2609"/>
      <c r="E182" s="2610"/>
      <c r="F182" s="2611"/>
      <c r="G182" s="2389"/>
      <c r="H182" s="2389"/>
      <c r="I182" s="2566"/>
      <c r="J182" s="2552"/>
      <c r="K182" s="2389"/>
      <c r="L182" s="2391"/>
      <c r="M182" s="2391"/>
      <c r="N182" s="2375">
        <f t="shared" si="59"/>
        <v>0</v>
      </c>
      <c r="O182" s="2375">
        <v>0</v>
      </c>
      <c r="P182" s="2611"/>
      <c r="Q182" s="2375">
        <f t="shared" si="50"/>
        <v>0</v>
      </c>
      <c r="R182" s="2375">
        <f t="shared" si="56"/>
        <v>0</v>
      </c>
      <c r="S182" s="2386">
        <v>0</v>
      </c>
      <c r="T182" s="2398"/>
      <c r="U182" s="2375">
        <f t="shared" si="38"/>
        <v>0</v>
      </c>
      <c r="V182" s="2375"/>
      <c r="W182" s="2382">
        <f t="shared" si="39"/>
        <v>0</v>
      </c>
      <c r="X182" s="2611"/>
      <c r="Y182" s="2375">
        <f t="shared" si="40"/>
        <v>0</v>
      </c>
      <c r="Z182" s="2375"/>
      <c r="AA182" s="2377" t="s">
        <v>3355</v>
      </c>
    </row>
    <row r="183" spans="1:27" ht="25" hidden="1" customHeight="1">
      <c r="A183" s="2612">
        <v>1</v>
      </c>
      <c r="B183" s="2613" t="s">
        <v>396</v>
      </c>
      <c r="C183" s="2614"/>
      <c r="D183" s="2615"/>
      <c r="E183" s="2616">
        <f>'6. Vol Gd Beku'!$P$15</f>
        <v>48.9</v>
      </c>
      <c r="F183" s="2612" t="s">
        <v>117</v>
      </c>
      <c r="G183" s="2389">
        <v>167131.79999999999</v>
      </c>
      <c r="H183" s="2389">
        <f>E183*G183</f>
        <v>8172745.0199999996</v>
      </c>
      <c r="I183" s="2544">
        <f>'Resume Analisa'!$D$9</f>
        <v>174862.27000000002</v>
      </c>
      <c r="J183" s="2544">
        <f>I183*E183</f>
        <v>8550765.0030000005</v>
      </c>
      <c r="K183" s="2378" t="e">
        <f>IF(H183=0,"",IF(J183&lt;#REF!*H183,"Timpang &lt;"&amp;TEXT(#REF!,"0%"),IF(J183&gt;#REF!*H183,"Timpang &gt;"&amp;TEXT(#REF!,"0%"),"Wajar")))</f>
        <v>#REF!</v>
      </c>
      <c r="L183" s="2391">
        <v>174862.27000000002</v>
      </c>
      <c r="M183" s="2391">
        <f>E183*L183</f>
        <v>8550765.0030000005</v>
      </c>
      <c r="N183" s="2375">
        <f t="shared" si="59"/>
        <v>3.7351566357726267E-3</v>
      </c>
      <c r="O183" s="2375">
        <v>0</v>
      </c>
      <c r="P183" s="2612" t="s">
        <v>117</v>
      </c>
      <c r="Q183" s="2375">
        <f t="shared" si="50"/>
        <v>0</v>
      </c>
      <c r="R183" s="2375">
        <f t="shared" si="56"/>
        <v>0</v>
      </c>
      <c r="S183" s="2375">
        <v>0</v>
      </c>
      <c r="T183" s="2398"/>
      <c r="U183" s="2375">
        <f t="shared" si="38"/>
        <v>0</v>
      </c>
      <c r="V183" s="2375"/>
      <c r="W183" s="2382">
        <f t="shared" si="39"/>
        <v>48.9</v>
      </c>
      <c r="X183" s="2612" t="s">
        <v>117</v>
      </c>
      <c r="Y183" s="2375">
        <f t="shared" si="40"/>
        <v>174862.27000000002</v>
      </c>
      <c r="Z183" s="2375"/>
      <c r="AA183" s="2377" t="s">
        <v>3355</v>
      </c>
    </row>
    <row r="184" spans="1:27" ht="25" hidden="1" customHeight="1">
      <c r="A184" s="2612">
        <f>A183+1</f>
        <v>2</v>
      </c>
      <c r="B184" s="2613" t="s">
        <v>471</v>
      </c>
      <c r="C184" s="2614"/>
      <c r="D184" s="2615"/>
      <c r="E184" s="2616"/>
      <c r="F184" s="2612"/>
      <c r="G184" s="2452"/>
      <c r="H184" s="2452"/>
      <c r="I184" s="2617"/>
      <c r="J184" s="2617"/>
      <c r="K184" s="2452"/>
      <c r="L184" s="2391"/>
      <c r="M184" s="2391"/>
      <c r="N184" s="2375">
        <f t="shared" si="59"/>
        <v>0</v>
      </c>
      <c r="O184" s="2375">
        <v>0</v>
      </c>
      <c r="P184" s="2612"/>
      <c r="Q184" s="2375">
        <f t="shared" si="50"/>
        <v>0</v>
      </c>
      <c r="R184" s="2375">
        <f t="shared" si="56"/>
        <v>0</v>
      </c>
      <c r="S184" s="2375">
        <v>0</v>
      </c>
      <c r="T184" s="2398"/>
      <c r="U184" s="2375">
        <f t="shared" si="38"/>
        <v>0</v>
      </c>
      <c r="V184" s="2375"/>
      <c r="W184" s="2382">
        <f t="shared" si="39"/>
        <v>0</v>
      </c>
      <c r="X184" s="2612"/>
      <c r="Y184" s="2375">
        <f t="shared" si="40"/>
        <v>0</v>
      </c>
      <c r="Z184" s="2375"/>
      <c r="AA184" s="2377" t="s">
        <v>3355</v>
      </c>
    </row>
    <row r="185" spans="1:27" ht="25" hidden="1" customHeight="1">
      <c r="A185" s="2618" t="s">
        <v>95</v>
      </c>
      <c r="B185" s="2613" t="s">
        <v>472</v>
      </c>
      <c r="C185" s="2614"/>
      <c r="D185" s="2615"/>
      <c r="E185" s="2616">
        <f>'6. Vol Gd Beku'!$P$33</f>
        <v>109.31</v>
      </c>
      <c r="F185" s="2612" t="s">
        <v>103</v>
      </c>
      <c r="G185" s="2389">
        <v>108675</v>
      </c>
      <c r="H185" s="2389">
        <f t="shared" ref="H185:H192" si="60">E185*G185</f>
        <v>11879264.25</v>
      </c>
      <c r="I185" s="2544">
        <f>'Resume Analisa'!$D$19</f>
        <v>105018.5</v>
      </c>
      <c r="J185" s="2544">
        <f t="shared" ref="J185:J190" si="61">I185*E185</f>
        <v>11479572.234999999</v>
      </c>
      <c r="K185" s="2378" t="e">
        <f>IF(H185=0,"",IF(J185&lt;#REF!*H185,"Timpang &lt;"&amp;TEXT(#REF!,"0%"),IF(J185&gt;#REF!*H185,"Timpang &gt;"&amp;TEXT(#REF!,"0%"),"Wajar")))</f>
        <v>#REF!</v>
      </c>
      <c r="L185" s="2391">
        <v>105018.5</v>
      </c>
      <c r="M185" s="2391">
        <f t="shared" ref="M185:M192" si="62">E185*L185</f>
        <v>11479572.234999999</v>
      </c>
      <c r="N185" s="2375">
        <f t="shared" si="59"/>
        <v>5.0145221385861829E-3</v>
      </c>
      <c r="O185" s="2375">
        <v>0</v>
      </c>
      <c r="P185" s="2612" t="s">
        <v>103</v>
      </c>
      <c r="Q185" s="2375">
        <f t="shared" si="50"/>
        <v>0</v>
      </c>
      <c r="R185" s="2375">
        <f t="shared" si="56"/>
        <v>0</v>
      </c>
      <c r="S185" s="2375">
        <v>0</v>
      </c>
      <c r="T185" s="2398"/>
      <c r="U185" s="2375">
        <f t="shared" si="38"/>
        <v>0</v>
      </c>
      <c r="V185" s="2375"/>
      <c r="W185" s="2382">
        <f t="shared" si="39"/>
        <v>109.31</v>
      </c>
      <c r="X185" s="2612" t="s">
        <v>103</v>
      </c>
      <c r="Y185" s="2375">
        <f t="shared" si="40"/>
        <v>105018.5</v>
      </c>
      <c r="Z185" s="2375"/>
      <c r="AA185" s="2377" t="s">
        <v>3355</v>
      </c>
    </row>
    <row r="186" spans="1:27" ht="25" hidden="1" customHeight="1">
      <c r="A186" s="2618" t="s">
        <v>98</v>
      </c>
      <c r="B186" s="2556" t="s">
        <v>405</v>
      </c>
      <c r="C186" s="2619"/>
      <c r="D186" s="2620"/>
      <c r="E186" s="2616">
        <f>'6. Vol Gd Beku'!$P$38</f>
        <v>1596</v>
      </c>
      <c r="F186" s="2621" t="s">
        <v>117</v>
      </c>
      <c r="G186" s="2389">
        <v>34019.880000000005</v>
      </c>
      <c r="H186" s="2389">
        <f t="shared" si="60"/>
        <v>54295728.480000004</v>
      </c>
      <c r="I186" s="2622">
        <f>'Resume Analisa'!$D$37</f>
        <v>33453.230000000003</v>
      </c>
      <c r="J186" s="2544">
        <f t="shared" si="61"/>
        <v>53391355.080000006</v>
      </c>
      <c r="K186" s="2378" t="e">
        <f>IF(H186=0,"",IF(J186&lt;#REF!*H186,"Timpang &lt;"&amp;TEXT(#REF!,"0%"),IF(J186&gt;#REF!*H186,"Timpang &gt;"&amp;TEXT(#REF!,"0%"),"Wajar")))</f>
        <v>#REF!</v>
      </c>
      <c r="L186" s="2391">
        <v>33453.230000000003</v>
      </c>
      <c r="M186" s="2391">
        <f t="shared" si="62"/>
        <v>53391355.080000006</v>
      </c>
      <c r="N186" s="2375">
        <f t="shared" si="59"/>
        <v>2.3322483327513632E-2</v>
      </c>
      <c r="O186" s="2375">
        <v>0</v>
      </c>
      <c r="P186" s="2621" t="s">
        <v>117</v>
      </c>
      <c r="Q186" s="2375">
        <f t="shared" si="50"/>
        <v>0</v>
      </c>
      <c r="R186" s="2375">
        <f t="shared" si="56"/>
        <v>0</v>
      </c>
      <c r="S186" s="2375">
        <v>0</v>
      </c>
      <c r="T186" s="2398"/>
      <c r="U186" s="2375">
        <f t="shared" si="38"/>
        <v>0</v>
      </c>
      <c r="V186" s="2375"/>
      <c r="W186" s="2382">
        <f t="shared" si="39"/>
        <v>1596</v>
      </c>
      <c r="X186" s="2621" t="s">
        <v>117</v>
      </c>
      <c r="Y186" s="2375">
        <f t="shared" si="40"/>
        <v>33453.230000000003</v>
      </c>
      <c r="Z186" s="2375"/>
      <c r="AA186" s="2377" t="s">
        <v>3355</v>
      </c>
    </row>
    <row r="187" spans="1:27" ht="25" hidden="1" customHeight="1">
      <c r="A187" s="2618" t="s">
        <v>101</v>
      </c>
      <c r="B187" s="2613" t="s">
        <v>473</v>
      </c>
      <c r="C187" s="2614"/>
      <c r="D187" s="2615"/>
      <c r="E187" s="2616">
        <f>'6. Vol Gd Beku'!$P$42</f>
        <v>14.58</v>
      </c>
      <c r="F187" s="2612" t="s">
        <v>103</v>
      </c>
      <c r="G187" s="2389">
        <v>836974.6</v>
      </c>
      <c r="H187" s="2389">
        <f t="shared" si="60"/>
        <v>12203089.668</v>
      </c>
      <c r="I187" s="2623">
        <f>'Resume Analisa'!$D$34</f>
        <v>824806.04</v>
      </c>
      <c r="J187" s="2544">
        <f t="shared" si="61"/>
        <v>12025672.063200001</v>
      </c>
      <c r="K187" s="2378" t="e">
        <f>IF(H187=0,"",IF(J187&lt;#REF!*H187,"Timpang &lt;"&amp;TEXT(#REF!,"0%"),IF(J187&gt;#REF!*H187,"Timpang &gt;"&amp;TEXT(#REF!,"0%"),"Wajar")))</f>
        <v>#REF!</v>
      </c>
      <c r="L187" s="2391">
        <v>824806.04</v>
      </c>
      <c r="M187" s="2391">
        <f t="shared" si="62"/>
        <v>12025672.063200001</v>
      </c>
      <c r="N187" s="2375">
        <f t="shared" si="59"/>
        <v>5.2530701978978208E-3</v>
      </c>
      <c r="O187" s="2375">
        <v>0</v>
      </c>
      <c r="P187" s="2612" t="s">
        <v>103</v>
      </c>
      <c r="Q187" s="2375">
        <f t="shared" si="50"/>
        <v>0</v>
      </c>
      <c r="R187" s="2375">
        <f t="shared" si="56"/>
        <v>0</v>
      </c>
      <c r="S187" s="2375">
        <v>0</v>
      </c>
      <c r="T187" s="2537"/>
      <c r="U187" s="2375">
        <f t="shared" si="38"/>
        <v>0</v>
      </c>
      <c r="V187" s="2375"/>
      <c r="W187" s="2382">
        <f t="shared" si="39"/>
        <v>14.58</v>
      </c>
      <c r="X187" s="2612" t="s">
        <v>103</v>
      </c>
      <c r="Y187" s="2375">
        <f t="shared" si="40"/>
        <v>824806.04</v>
      </c>
      <c r="Z187" s="2375"/>
      <c r="AA187" s="2377" t="s">
        <v>3355</v>
      </c>
    </row>
    <row r="188" spans="1:27" ht="25" hidden="1" customHeight="1">
      <c r="A188" s="2618" t="s">
        <v>121</v>
      </c>
      <c r="B188" s="2613" t="s">
        <v>407</v>
      </c>
      <c r="C188" s="2614"/>
      <c r="D188" s="2615"/>
      <c r="E188" s="2616">
        <f>'6. Vol Gd Beku'!$P$46</f>
        <v>60.29</v>
      </c>
      <c r="F188" s="2612" t="s">
        <v>103</v>
      </c>
      <c r="G188" s="2389">
        <v>1224235.95</v>
      </c>
      <c r="H188" s="2389">
        <f t="shared" si="60"/>
        <v>73809185.425499991</v>
      </c>
      <c r="I188" s="2544">
        <f>'Resume Analisa'!$D$35</f>
        <v>1193268.75</v>
      </c>
      <c r="J188" s="2544">
        <f t="shared" si="61"/>
        <v>71942172.9375</v>
      </c>
      <c r="K188" s="2378" t="e">
        <f>IF(H188=0,"",IF(J188&lt;#REF!*H188,"Timpang &lt;"&amp;TEXT(#REF!,"0%"),IF(J188&gt;#REF!*H188,"Timpang &gt;"&amp;TEXT(#REF!,"0%"),"Wajar")))</f>
        <v>#REF!</v>
      </c>
      <c r="L188" s="2391">
        <v>1193268.75</v>
      </c>
      <c r="M188" s="2391">
        <f t="shared" si="62"/>
        <v>71942172.9375</v>
      </c>
      <c r="N188" s="2375">
        <f t="shared" si="59"/>
        <v>3.1425876461945494E-2</v>
      </c>
      <c r="O188" s="2375">
        <v>0</v>
      </c>
      <c r="P188" s="2612" t="s">
        <v>103</v>
      </c>
      <c r="Q188" s="2375">
        <f t="shared" si="50"/>
        <v>0</v>
      </c>
      <c r="R188" s="2375">
        <f t="shared" si="56"/>
        <v>0</v>
      </c>
      <c r="S188" s="2386">
        <v>0</v>
      </c>
      <c r="T188" s="2398"/>
      <c r="U188" s="2375">
        <f t="shared" si="38"/>
        <v>0</v>
      </c>
      <c r="V188" s="2375"/>
      <c r="W188" s="2382">
        <f t="shared" si="39"/>
        <v>60.29</v>
      </c>
      <c r="X188" s="2612" t="s">
        <v>103</v>
      </c>
      <c r="Y188" s="2375">
        <f t="shared" si="40"/>
        <v>1193268.75</v>
      </c>
      <c r="Z188" s="2375"/>
      <c r="AA188" s="2377" t="s">
        <v>3355</v>
      </c>
    </row>
    <row r="189" spans="1:27" ht="25" hidden="1" customHeight="1">
      <c r="A189" s="2618" t="s">
        <v>142</v>
      </c>
      <c r="B189" s="2613" t="s">
        <v>474</v>
      </c>
      <c r="C189" s="2614"/>
      <c r="D189" s="2615"/>
      <c r="E189" s="2616">
        <f>1/3*E185</f>
        <v>36.436666666666667</v>
      </c>
      <c r="F189" s="2612" t="s">
        <v>103</v>
      </c>
      <c r="G189" s="2389">
        <v>60375</v>
      </c>
      <c r="H189" s="2389">
        <f t="shared" si="60"/>
        <v>2199863.75</v>
      </c>
      <c r="I189" s="2544">
        <f>'Resume Analisa'!$D$230</f>
        <v>58343.61</v>
      </c>
      <c r="J189" s="2544">
        <f t="shared" si="61"/>
        <v>2125846.6697</v>
      </c>
      <c r="K189" s="2378" t="e">
        <f>IF(H189=0,"",IF(J189&lt;#REF!*H189,"Timpang &lt;"&amp;TEXT(#REF!,"0%"),IF(J189&gt;#REF!*H189,"Timpang &gt;"&amp;TEXT(#REF!,"0%"),"Wajar")))</f>
        <v>#REF!</v>
      </c>
      <c r="L189" s="2391">
        <v>58343.61</v>
      </c>
      <c r="M189" s="2391">
        <f t="shared" si="62"/>
        <v>2125846.6697</v>
      </c>
      <c r="N189" s="2375">
        <f t="shared" si="59"/>
        <v>9.2861519316450028E-4</v>
      </c>
      <c r="O189" s="2375">
        <v>0</v>
      </c>
      <c r="P189" s="2612" t="s">
        <v>103</v>
      </c>
      <c r="Q189" s="2375">
        <f t="shared" si="50"/>
        <v>0</v>
      </c>
      <c r="R189" s="2375">
        <f t="shared" si="56"/>
        <v>0</v>
      </c>
      <c r="S189" s="2386">
        <v>0</v>
      </c>
      <c r="T189" s="2398"/>
      <c r="U189" s="2375">
        <f t="shared" si="38"/>
        <v>0</v>
      </c>
      <c r="V189" s="2375"/>
      <c r="W189" s="2382">
        <f t="shared" si="39"/>
        <v>36.436666666666667</v>
      </c>
      <c r="X189" s="2612" t="s">
        <v>103</v>
      </c>
      <c r="Y189" s="2375">
        <f t="shared" si="40"/>
        <v>58343.61</v>
      </c>
      <c r="Z189" s="2375"/>
      <c r="AA189" s="2377" t="s">
        <v>3355</v>
      </c>
    </row>
    <row r="190" spans="1:27" ht="25" hidden="1" customHeight="1">
      <c r="A190" s="2618" t="s">
        <v>217</v>
      </c>
      <c r="B190" s="2613" t="s">
        <v>475</v>
      </c>
      <c r="C190" s="2614"/>
      <c r="D190" s="2615"/>
      <c r="E190" s="2616">
        <f>E189</f>
        <v>36.436666666666667</v>
      </c>
      <c r="F190" s="2624" t="s">
        <v>103</v>
      </c>
      <c r="G190" s="2389">
        <v>39847.5</v>
      </c>
      <c r="H190" s="2389">
        <f t="shared" si="60"/>
        <v>1451910.075</v>
      </c>
      <c r="I190" s="2566">
        <f>'Resume Analisa'!$D$31</f>
        <v>37946.620000000003</v>
      </c>
      <c r="J190" s="2544">
        <f t="shared" si="61"/>
        <v>1382648.3440666669</v>
      </c>
      <c r="K190" s="2378" t="e">
        <f>IF(H190=0,"",IF(J190&lt;#REF!*H190,"Timpang &lt;"&amp;TEXT(#REF!,"0%"),IF(J190&gt;#REF!*H190,"Timpang &gt;"&amp;TEXT(#REF!,"0%"),"Wajar")))</f>
        <v>#REF!</v>
      </c>
      <c r="L190" s="2391">
        <v>37946.620000000003</v>
      </c>
      <c r="M190" s="2391">
        <f t="shared" si="62"/>
        <v>1382648.3440666669</v>
      </c>
      <c r="N190" s="2375">
        <f t="shared" si="59"/>
        <v>6.0397030388143434E-4</v>
      </c>
      <c r="O190" s="2375">
        <v>0</v>
      </c>
      <c r="P190" s="2624" t="s">
        <v>103</v>
      </c>
      <c r="Q190" s="2375">
        <f t="shared" si="50"/>
        <v>0</v>
      </c>
      <c r="R190" s="2375">
        <f t="shared" si="56"/>
        <v>0</v>
      </c>
      <c r="S190" s="2375">
        <v>0</v>
      </c>
      <c r="T190" s="2398"/>
      <c r="U190" s="2375">
        <f t="shared" si="38"/>
        <v>0</v>
      </c>
      <c r="V190" s="2375"/>
      <c r="W190" s="2382">
        <f t="shared" si="39"/>
        <v>36.436666666666667</v>
      </c>
      <c r="X190" s="2624" t="s">
        <v>103</v>
      </c>
      <c r="Y190" s="2375">
        <f t="shared" si="40"/>
        <v>37946.620000000003</v>
      </c>
      <c r="Z190" s="2375"/>
      <c r="AA190" s="2377" t="s">
        <v>3355</v>
      </c>
    </row>
    <row r="191" spans="1:27" ht="25" hidden="1" customHeight="1">
      <c r="A191" s="2618" t="s">
        <v>366</v>
      </c>
      <c r="B191" s="2613" t="s">
        <v>193</v>
      </c>
      <c r="C191" s="2614"/>
      <c r="D191" s="2615"/>
      <c r="E191" s="2616">
        <f>'6. Vol Gd Beku'!$P$50</f>
        <v>32.72</v>
      </c>
      <c r="F191" s="2611" t="s">
        <v>89</v>
      </c>
      <c r="G191" s="2389">
        <v>61230.840000000004</v>
      </c>
      <c r="H191" s="2389">
        <f t="shared" si="60"/>
        <v>2003473.0848000001</v>
      </c>
      <c r="I191" s="2566">
        <f>'Resume Analisa'!$D$70</f>
        <v>58648.57</v>
      </c>
      <c r="J191" s="2625">
        <f>E191*I191</f>
        <v>1918981.2104</v>
      </c>
      <c r="K191" s="2378" t="e">
        <f>IF(H191=0,"",IF(J191&lt;#REF!*H191,"Timpang &lt;"&amp;TEXT(#REF!,"0%"),IF(J191&gt;#REF!*H191,"Timpang &gt;"&amp;TEXT(#REF!,"0%"),"Wajar")))</f>
        <v>#REF!</v>
      </c>
      <c r="L191" s="2391">
        <v>58648.57</v>
      </c>
      <c r="M191" s="2391">
        <f t="shared" si="62"/>
        <v>1918981.2104</v>
      </c>
      <c r="N191" s="2375">
        <f t="shared" si="59"/>
        <v>8.3825194581230926E-4</v>
      </c>
      <c r="O191" s="2375">
        <v>0</v>
      </c>
      <c r="P191" s="2611" t="s">
        <v>89</v>
      </c>
      <c r="Q191" s="2375">
        <f t="shared" si="50"/>
        <v>0</v>
      </c>
      <c r="R191" s="2375">
        <f t="shared" si="56"/>
        <v>0</v>
      </c>
      <c r="S191" s="2375">
        <v>0</v>
      </c>
      <c r="T191" s="2398"/>
      <c r="U191" s="2375">
        <f t="shared" si="38"/>
        <v>0</v>
      </c>
      <c r="V191" s="2375"/>
      <c r="W191" s="2382">
        <f t="shared" si="39"/>
        <v>32.72</v>
      </c>
      <c r="X191" s="2611" t="s">
        <v>89</v>
      </c>
      <c r="Y191" s="2375">
        <f t="shared" si="40"/>
        <v>58648.57</v>
      </c>
      <c r="Z191" s="2375"/>
      <c r="AA191" s="2377" t="s">
        <v>3355</v>
      </c>
    </row>
    <row r="192" spans="1:27" ht="25" hidden="1" customHeight="1">
      <c r="A192" s="2618" t="s">
        <v>476</v>
      </c>
      <c r="B192" s="2613" t="s">
        <v>194</v>
      </c>
      <c r="C192" s="2614"/>
      <c r="D192" s="2615"/>
      <c r="E192" s="2616">
        <f>'6. Vol Gd Beku'!$P$51</f>
        <v>32.72</v>
      </c>
      <c r="F192" s="2611" t="s">
        <v>89</v>
      </c>
      <c r="G192" s="2389">
        <v>45612.170000000006</v>
      </c>
      <c r="H192" s="2389">
        <f t="shared" si="60"/>
        <v>1492430.2024000001</v>
      </c>
      <c r="I192" s="2566">
        <f>'Resume Analisa'!$D$72</f>
        <v>43813.91</v>
      </c>
      <c r="J192" s="2625">
        <f>E192*I192</f>
        <v>1433591.1352000001</v>
      </c>
      <c r="K192" s="2378" t="e">
        <f>IF(H192=0,"",IF(J192&lt;#REF!*H192,"Timpang &lt;"&amp;TEXT(#REF!,"0%"),IF(J192&gt;#REF!*H192,"Timpang &gt;"&amp;TEXT(#REF!,"0%"),"Wajar")))</f>
        <v>#REF!</v>
      </c>
      <c r="L192" s="2391">
        <v>43813.91</v>
      </c>
      <c r="M192" s="2391">
        <f t="shared" si="62"/>
        <v>1433591.1352000001</v>
      </c>
      <c r="N192" s="2375">
        <f t="shared" si="59"/>
        <v>6.2622320222207293E-4</v>
      </c>
      <c r="O192" s="2375">
        <v>0</v>
      </c>
      <c r="P192" s="2611" t="s">
        <v>89</v>
      </c>
      <c r="Q192" s="2375">
        <f t="shared" si="50"/>
        <v>0</v>
      </c>
      <c r="R192" s="2375">
        <f t="shared" si="56"/>
        <v>0</v>
      </c>
      <c r="S192" s="2375">
        <v>0</v>
      </c>
      <c r="T192" s="2398"/>
      <c r="U192" s="2375">
        <f t="shared" si="38"/>
        <v>0</v>
      </c>
      <c r="V192" s="2375"/>
      <c r="W192" s="2382">
        <f t="shared" si="39"/>
        <v>32.72</v>
      </c>
      <c r="X192" s="2611" t="s">
        <v>89</v>
      </c>
      <c r="Y192" s="2375">
        <f t="shared" si="40"/>
        <v>43813.91</v>
      </c>
      <c r="Z192" s="2375"/>
      <c r="AA192" s="2377" t="s">
        <v>3355</v>
      </c>
    </row>
    <row r="193" spans="1:27" ht="25" hidden="1" customHeight="1">
      <c r="A193" s="2612">
        <f>A184+1</f>
        <v>3</v>
      </c>
      <c r="B193" s="2613" t="s">
        <v>477</v>
      </c>
      <c r="C193" s="2614"/>
      <c r="D193" s="2615"/>
      <c r="E193" s="2616"/>
      <c r="F193" s="2612"/>
      <c r="G193" s="2452"/>
      <c r="H193" s="2452"/>
      <c r="I193" s="2617"/>
      <c r="J193" s="2617"/>
      <c r="K193" s="2452"/>
      <c r="L193" s="2391"/>
      <c r="M193" s="2391"/>
      <c r="N193" s="2375">
        <f t="shared" si="59"/>
        <v>0</v>
      </c>
      <c r="O193" s="2375">
        <v>0</v>
      </c>
      <c r="P193" s="2612"/>
      <c r="Q193" s="2375">
        <f t="shared" si="50"/>
        <v>0</v>
      </c>
      <c r="R193" s="2375">
        <f t="shared" si="56"/>
        <v>0</v>
      </c>
      <c r="S193" s="2375">
        <v>0</v>
      </c>
      <c r="T193" s="2398"/>
      <c r="U193" s="2375">
        <f t="shared" si="38"/>
        <v>0</v>
      </c>
      <c r="V193" s="2375"/>
      <c r="W193" s="2382">
        <f t="shared" si="39"/>
        <v>0</v>
      </c>
      <c r="X193" s="2612"/>
      <c r="Y193" s="2375">
        <f t="shared" si="40"/>
        <v>0</v>
      </c>
      <c r="Z193" s="2375"/>
      <c r="AA193" s="2377" t="s">
        <v>3355</v>
      </c>
    </row>
    <row r="194" spans="1:27" ht="25" hidden="1" customHeight="1">
      <c r="A194" s="2618" t="s">
        <v>95</v>
      </c>
      <c r="B194" s="2613" t="s">
        <v>478</v>
      </c>
      <c r="C194" s="2614"/>
      <c r="D194" s="2615"/>
      <c r="E194" s="2616">
        <f>'6. Vol Gd Beku'!$P$56</f>
        <v>2.96</v>
      </c>
      <c r="F194" s="2612" t="s">
        <v>103</v>
      </c>
      <c r="G194" s="2389">
        <v>50600</v>
      </c>
      <c r="H194" s="2389">
        <f t="shared" ref="H194:H199" si="63">E194*G194</f>
        <v>149776</v>
      </c>
      <c r="I194" s="2544">
        <f>'Resume Analisa'!$D$18</f>
        <v>49036.76</v>
      </c>
      <c r="J194" s="2544">
        <f t="shared" ref="J194:J199" si="64">I194*E194</f>
        <v>145148.80960000001</v>
      </c>
      <c r="K194" s="2378" t="e">
        <f>IF(H194=0,"",IF(J194&lt;#REF!*H194,"Timpang &lt;"&amp;TEXT(#REF!,"0%"),IF(J194&gt;#REF!*H194,"Timpang &gt;"&amp;TEXT(#REF!,"0%"),"Wajar")))</f>
        <v>#REF!</v>
      </c>
      <c r="L194" s="2391">
        <v>49036.76</v>
      </c>
      <c r="M194" s="2391">
        <f t="shared" ref="M194:M199" si="65">E194*L194</f>
        <v>145148.80960000001</v>
      </c>
      <c r="N194" s="2375">
        <f t="shared" si="59"/>
        <v>6.3404097663978038E-5</v>
      </c>
      <c r="O194" s="2375">
        <v>0</v>
      </c>
      <c r="P194" s="2612" t="s">
        <v>103</v>
      </c>
      <c r="Q194" s="2375">
        <f t="shared" si="50"/>
        <v>0</v>
      </c>
      <c r="R194" s="2375">
        <f t="shared" si="56"/>
        <v>0</v>
      </c>
      <c r="S194" s="2375">
        <v>0</v>
      </c>
      <c r="T194" s="2398"/>
      <c r="U194" s="2375">
        <f t="shared" si="38"/>
        <v>0</v>
      </c>
      <c r="V194" s="2375"/>
      <c r="W194" s="2382">
        <f t="shared" si="39"/>
        <v>2.96</v>
      </c>
      <c r="X194" s="2612" t="s">
        <v>103</v>
      </c>
      <c r="Y194" s="2375">
        <f t="shared" si="40"/>
        <v>49036.76</v>
      </c>
      <c r="Z194" s="2375"/>
      <c r="AA194" s="2377" t="s">
        <v>3355</v>
      </c>
    </row>
    <row r="195" spans="1:27" ht="25" hidden="1" customHeight="1">
      <c r="A195" s="2618" t="s">
        <v>98</v>
      </c>
      <c r="B195" s="2556" t="s">
        <v>405</v>
      </c>
      <c r="C195" s="2619"/>
      <c r="D195" s="2620"/>
      <c r="E195" s="2616">
        <f>'6. Vol Gd Beku'!$P$61</f>
        <v>264</v>
      </c>
      <c r="F195" s="2621" t="s">
        <v>117</v>
      </c>
      <c r="G195" s="2389">
        <v>34019.880000000005</v>
      </c>
      <c r="H195" s="2389">
        <f t="shared" si="63"/>
        <v>8981248.3200000003</v>
      </c>
      <c r="I195" s="2622">
        <f>'Resume Analisa'!$D$37</f>
        <v>33453.230000000003</v>
      </c>
      <c r="J195" s="2544">
        <f t="shared" si="64"/>
        <v>8831652.7200000007</v>
      </c>
      <c r="K195" s="2378" t="e">
        <f>IF(H195=0,"",IF(J195&lt;#REF!*H195,"Timpang &lt;"&amp;TEXT(#REF!,"0%"),IF(J195&gt;#REF!*H195,"Timpang &gt;"&amp;TEXT(#REF!,"0%"),"Wajar")))</f>
        <v>#REF!</v>
      </c>
      <c r="L195" s="2391">
        <v>33453.230000000003</v>
      </c>
      <c r="M195" s="2391">
        <f t="shared" si="65"/>
        <v>8831652.7200000007</v>
      </c>
      <c r="N195" s="2375">
        <f t="shared" si="59"/>
        <v>3.8578543850022544E-3</v>
      </c>
      <c r="O195" s="2375">
        <v>0</v>
      </c>
      <c r="P195" s="2621" t="s">
        <v>117</v>
      </c>
      <c r="Q195" s="2375">
        <f t="shared" si="50"/>
        <v>0</v>
      </c>
      <c r="R195" s="2375">
        <f t="shared" si="56"/>
        <v>0</v>
      </c>
      <c r="S195" s="2386">
        <v>0</v>
      </c>
      <c r="T195" s="2398"/>
      <c r="U195" s="2375">
        <f t="shared" si="38"/>
        <v>0</v>
      </c>
      <c r="V195" s="2375"/>
      <c r="W195" s="2382">
        <f t="shared" si="39"/>
        <v>264</v>
      </c>
      <c r="X195" s="2621" t="s">
        <v>117</v>
      </c>
      <c r="Y195" s="2375">
        <f t="shared" si="40"/>
        <v>33453.230000000003</v>
      </c>
      <c r="Z195" s="2375"/>
      <c r="AA195" s="2377" t="s">
        <v>3355</v>
      </c>
    </row>
    <row r="196" spans="1:27" ht="25" hidden="1" customHeight="1">
      <c r="A196" s="2618" t="s">
        <v>101</v>
      </c>
      <c r="B196" s="2613" t="s">
        <v>407</v>
      </c>
      <c r="C196" s="2614"/>
      <c r="D196" s="2615"/>
      <c r="E196" s="2616">
        <f>'6. Vol Gd Beku'!$P$65</f>
        <v>6.66</v>
      </c>
      <c r="F196" s="2612" t="s">
        <v>103</v>
      </c>
      <c r="G196" s="2389">
        <v>1224235.95</v>
      </c>
      <c r="H196" s="2389">
        <f t="shared" si="63"/>
        <v>8153411.4270000001</v>
      </c>
      <c r="I196" s="2544">
        <f>'Resume Analisa'!$D$35</f>
        <v>1193268.75</v>
      </c>
      <c r="J196" s="2544">
        <f t="shared" si="64"/>
        <v>7947169.875</v>
      </c>
      <c r="K196" s="2378" t="e">
        <f>IF(H196=0,"",IF(J196&lt;#REF!*H196,"Timpang &lt;"&amp;TEXT(#REF!,"0%"),IF(J196&gt;#REF!*H196,"Timpang &gt;"&amp;TEXT(#REF!,"0%"),"Wajar")))</f>
        <v>#REF!</v>
      </c>
      <c r="L196" s="2391">
        <v>1193268.75</v>
      </c>
      <c r="M196" s="2391">
        <f t="shared" si="65"/>
        <v>7947169.875</v>
      </c>
      <c r="N196" s="2375">
        <f t="shared" si="59"/>
        <v>3.4714934024972131E-3</v>
      </c>
      <c r="O196" s="2375">
        <v>0</v>
      </c>
      <c r="P196" s="2612" t="s">
        <v>103</v>
      </c>
      <c r="Q196" s="2375">
        <f t="shared" si="50"/>
        <v>0</v>
      </c>
      <c r="R196" s="2375">
        <f t="shared" si="56"/>
        <v>0</v>
      </c>
      <c r="S196" s="2386">
        <v>0</v>
      </c>
      <c r="T196" s="2398"/>
      <c r="U196" s="2375">
        <f t="shared" si="38"/>
        <v>0</v>
      </c>
      <c r="V196" s="2375"/>
      <c r="W196" s="2382">
        <f t="shared" si="39"/>
        <v>6.66</v>
      </c>
      <c r="X196" s="2612" t="s">
        <v>103</v>
      </c>
      <c r="Y196" s="2375">
        <f t="shared" si="40"/>
        <v>1193268.75</v>
      </c>
      <c r="Z196" s="2375"/>
      <c r="AA196" s="2377" t="s">
        <v>3355</v>
      </c>
    </row>
    <row r="197" spans="1:27" ht="25" hidden="1" customHeight="1">
      <c r="A197" s="2618" t="s">
        <v>121</v>
      </c>
      <c r="B197" s="2613" t="s">
        <v>474</v>
      </c>
      <c r="C197" s="2614"/>
      <c r="D197" s="2615"/>
      <c r="E197" s="2616">
        <f>1/3*E194</f>
        <v>0.98666666666666658</v>
      </c>
      <c r="F197" s="2612" t="s">
        <v>103</v>
      </c>
      <c r="G197" s="2389">
        <v>60375</v>
      </c>
      <c r="H197" s="2389">
        <f t="shared" si="63"/>
        <v>59569.999999999993</v>
      </c>
      <c r="I197" s="2544">
        <f>'Resume Analisa'!$D$230</f>
        <v>58343.61</v>
      </c>
      <c r="J197" s="2544">
        <f t="shared" si="64"/>
        <v>57565.695199999995</v>
      </c>
      <c r="K197" s="2378" t="e">
        <f>IF(H197=0,"",IF(J197&lt;#REF!*H197,"Timpang &lt;"&amp;TEXT(#REF!,"0%"),IF(J197&gt;#REF!*H197,"Timpang &gt;"&amp;TEXT(#REF!,"0%"),"Wajar")))</f>
        <v>#REF!</v>
      </c>
      <c r="L197" s="2391">
        <v>58343.61</v>
      </c>
      <c r="M197" s="2391">
        <f t="shared" si="65"/>
        <v>57565.695199999995</v>
      </c>
      <c r="N197" s="2375">
        <f t="shared" si="59"/>
        <v>2.5145924176808348E-5</v>
      </c>
      <c r="O197" s="2375">
        <v>0</v>
      </c>
      <c r="P197" s="2612" t="s">
        <v>103</v>
      </c>
      <c r="Q197" s="2375">
        <f t="shared" si="50"/>
        <v>0</v>
      </c>
      <c r="R197" s="2375">
        <f t="shared" si="56"/>
        <v>0</v>
      </c>
      <c r="S197" s="2375">
        <v>0</v>
      </c>
      <c r="T197" s="2398"/>
      <c r="U197" s="2375">
        <f t="shared" si="38"/>
        <v>0</v>
      </c>
      <c r="V197" s="2375"/>
      <c r="W197" s="2382">
        <f t="shared" si="39"/>
        <v>0.98666666666666658</v>
      </c>
      <c r="X197" s="2612" t="s">
        <v>103</v>
      </c>
      <c r="Y197" s="2375">
        <f t="shared" si="40"/>
        <v>58343.61</v>
      </c>
      <c r="Z197" s="2375"/>
      <c r="AA197" s="2377" t="s">
        <v>3355</v>
      </c>
    </row>
    <row r="198" spans="1:27" ht="25" hidden="1" customHeight="1">
      <c r="A198" s="2618" t="s">
        <v>142</v>
      </c>
      <c r="B198" s="2613" t="s">
        <v>475</v>
      </c>
      <c r="C198" s="2614"/>
      <c r="D198" s="2615"/>
      <c r="E198" s="2616">
        <f>E197</f>
        <v>0.98666666666666658</v>
      </c>
      <c r="F198" s="2624" t="s">
        <v>103</v>
      </c>
      <c r="G198" s="2389">
        <v>39847.5</v>
      </c>
      <c r="H198" s="2389">
        <f t="shared" si="63"/>
        <v>39316.199999999997</v>
      </c>
      <c r="I198" s="2566">
        <f>'Resume Analisa'!$D$31</f>
        <v>37946.620000000003</v>
      </c>
      <c r="J198" s="2544">
        <f t="shared" si="64"/>
        <v>37440.665066666668</v>
      </c>
      <c r="K198" s="2378" t="e">
        <f>IF(H198=0,"",IF(J198&lt;#REF!*H198,"Timpang &lt;"&amp;TEXT(#REF!,"0%"),IF(J198&gt;#REF!*H198,"Timpang &gt;"&amp;TEXT(#REF!,"0%"),"Wajar")))</f>
        <v>#REF!</v>
      </c>
      <c r="L198" s="2391">
        <v>37946.620000000003</v>
      </c>
      <c r="M198" s="2391">
        <f t="shared" si="65"/>
        <v>37440.665066666668</v>
      </c>
      <c r="N198" s="2375">
        <f t="shared" si="59"/>
        <v>1.6354881524920368E-5</v>
      </c>
      <c r="O198" s="2375">
        <v>0</v>
      </c>
      <c r="P198" s="2624" t="s">
        <v>103</v>
      </c>
      <c r="Q198" s="2375">
        <f t="shared" si="50"/>
        <v>0</v>
      </c>
      <c r="R198" s="2375">
        <f t="shared" si="56"/>
        <v>0</v>
      </c>
      <c r="S198" s="2375">
        <v>0</v>
      </c>
      <c r="T198" s="2398"/>
      <c r="U198" s="2375">
        <f t="shared" si="38"/>
        <v>0</v>
      </c>
      <c r="V198" s="2375"/>
      <c r="W198" s="2382">
        <f t="shared" si="39"/>
        <v>0.98666666666666658</v>
      </c>
      <c r="X198" s="2624" t="s">
        <v>103</v>
      </c>
      <c r="Y198" s="2375">
        <f t="shared" si="40"/>
        <v>37946.620000000003</v>
      </c>
      <c r="Z198" s="2375"/>
      <c r="AA198" s="2377" t="s">
        <v>3355</v>
      </c>
    </row>
    <row r="199" spans="1:27" ht="25" hidden="1" customHeight="1">
      <c r="A199" s="2612">
        <f>A193+1</f>
        <v>4</v>
      </c>
      <c r="B199" s="2549" t="s">
        <v>408</v>
      </c>
      <c r="C199" s="2550"/>
      <c r="D199" s="2551"/>
      <c r="E199" s="2541">
        <f>'6. Vol Gd Beku'!$P$72</f>
        <v>25.89</v>
      </c>
      <c r="F199" s="2398" t="s">
        <v>100</v>
      </c>
      <c r="G199" s="2473">
        <v>19151.18</v>
      </c>
      <c r="H199" s="2389">
        <f t="shared" si="63"/>
        <v>495824.0502</v>
      </c>
      <c r="I199" s="2474">
        <f>'Resume Analisa'!$D$48</f>
        <v>18790.969999999998</v>
      </c>
      <c r="J199" s="2544">
        <f t="shared" si="64"/>
        <v>486498.21329999994</v>
      </c>
      <c r="K199" s="2378" t="e">
        <f>IF(H199=0,"",IF(J199&lt;#REF!*H199,"Timpang &lt;"&amp;TEXT(#REF!,"0%"),IF(J199&gt;#REF!*H199,"Timpang &gt;"&amp;TEXT(#REF!,"0%"),"Wajar")))</f>
        <v>#REF!</v>
      </c>
      <c r="L199" s="2475">
        <v>18790.969999999998</v>
      </c>
      <c r="M199" s="2391">
        <f t="shared" si="65"/>
        <v>486498.21329999994</v>
      </c>
      <c r="N199" s="2375">
        <f t="shared" si="59"/>
        <v>2.1251280196116757E-4</v>
      </c>
      <c r="O199" s="2375">
        <v>0</v>
      </c>
      <c r="P199" s="2398" t="s">
        <v>100</v>
      </c>
      <c r="Q199" s="2375">
        <f t="shared" si="50"/>
        <v>0</v>
      </c>
      <c r="R199" s="2375">
        <f t="shared" si="56"/>
        <v>0</v>
      </c>
      <c r="S199" s="2375">
        <v>0</v>
      </c>
      <c r="T199" s="2398"/>
      <c r="U199" s="2375">
        <f t="shared" si="38"/>
        <v>0</v>
      </c>
      <c r="V199" s="2375"/>
      <c r="W199" s="2382">
        <f t="shared" si="39"/>
        <v>25.89</v>
      </c>
      <c r="X199" s="2398" t="s">
        <v>100</v>
      </c>
      <c r="Y199" s="2375">
        <f t="shared" si="40"/>
        <v>18790.969999999998</v>
      </c>
      <c r="Z199" s="2375"/>
      <c r="AA199" s="2377" t="s">
        <v>3355</v>
      </c>
    </row>
    <row r="200" spans="1:27" ht="25" hidden="1" customHeight="1">
      <c r="A200" s="2612">
        <f>A199+1</f>
        <v>5</v>
      </c>
      <c r="B200" s="2613" t="s">
        <v>479</v>
      </c>
      <c r="C200" s="2614"/>
      <c r="D200" s="2615"/>
      <c r="E200" s="2616"/>
      <c r="F200" s="2611"/>
      <c r="G200" s="2389"/>
      <c r="H200" s="2389"/>
      <c r="I200" s="2566"/>
      <c r="J200" s="2625"/>
      <c r="K200" s="2389"/>
      <c r="L200" s="2391"/>
      <c r="M200" s="2391"/>
      <c r="N200" s="2375">
        <f t="shared" si="59"/>
        <v>0</v>
      </c>
      <c r="O200" s="2375">
        <v>0</v>
      </c>
      <c r="P200" s="2611"/>
      <c r="Q200" s="2375">
        <f t="shared" si="50"/>
        <v>0</v>
      </c>
      <c r="R200" s="2375">
        <f t="shared" si="56"/>
        <v>0</v>
      </c>
      <c r="S200" s="2375">
        <v>0</v>
      </c>
      <c r="T200" s="2590"/>
      <c r="U200" s="2375">
        <f t="shared" si="38"/>
        <v>0</v>
      </c>
      <c r="V200" s="2375"/>
      <c r="W200" s="2382">
        <f t="shared" si="39"/>
        <v>0</v>
      </c>
      <c r="X200" s="2611"/>
      <c r="Y200" s="2375">
        <f t="shared" si="40"/>
        <v>0</v>
      </c>
      <c r="Z200" s="2375"/>
      <c r="AA200" s="2377" t="s">
        <v>3355</v>
      </c>
    </row>
    <row r="201" spans="1:27" ht="25" hidden="1" customHeight="1">
      <c r="A201" s="2618" t="s">
        <v>95</v>
      </c>
      <c r="B201" s="2561" t="s">
        <v>221</v>
      </c>
      <c r="C201" s="2614"/>
      <c r="D201" s="2615"/>
      <c r="E201" s="2616">
        <f>'6. Vol Gd Beku'!$P$77</f>
        <v>39.75</v>
      </c>
      <c r="F201" s="2612" t="s">
        <v>89</v>
      </c>
      <c r="G201" s="2389">
        <v>230885.5</v>
      </c>
      <c r="H201" s="2389">
        <f>E201*G201</f>
        <v>9177698.625</v>
      </c>
      <c r="I201" s="2566">
        <f>'Resume Analisa'!$D$39</f>
        <v>232328.86000000002</v>
      </c>
      <c r="J201" s="2552">
        <f>E201*I201</f>
        <v>9235072.1850000005</v>
      </c>
      <c r="K201" s="2378" t="e">
        <f>IF(H201=0,"",IF(J201&lt;#REF!*H201,"Timpang &lt;"&amp;TEXT(#REF!,"0%"),IF(J201&gt;#REF!*H201,"Timpang &gt;"&amp;TEXT(#REF!,"0%"),"Wajar")))</f>
        <v>#REF!</v>
      </c>
      <c r="L201" s="2391">
        <v>232328.86000000002</v>
      </c>
      <c r="M201" s="2391">
        <f>E201*L201</f>
        <v>9235072.1850000005</v>
      </c>
      <c r="N201" s="2375">
        <f t="shared" si="59"/>
        <v>4.0340766167167186E-3</v>
      </c>
      <c r="O201" s="2375">
        <v>0</v>
      </c>
      <c r="P201" s="2612" t="s">
        <v>89</v>
      </c>
      <c r="Q201" s="2375">
        <f t="shared" si="50"/>
        <v>0</v>
      </c>
      <c r="R201" s="2375">
        <f t="shared" si="56"/>
        <v>0</v>
      </c>
      <c r="S201" s="2375">
        <v>0</v>
      </c>
      <c r="T201" s="2398"/>
      <c r="U201" s="2375">
        <f t="shared" si="38"/>
        <v>0</v>
      </c>
      <c r="V201" s="2375"/>
      <c r="W201" s="2382">
        <f t="shared" si="39"/>
        <v>39.75</v>
      </c>
      <c r="X201" s="2612" t="s">
        <v>89</v>
      </c>
      <c r="Y201" s="2375">
        <f t="shared" si="40"/>
        <v>232328.86000000002</v>
      </c>
      <c r="Z201" s="2375"/>
      <c r="AA201" s="2377" t="s">
        <v>3355</v>
      </c>
    </row>
    <row r="202" spans="1:27" ht="25" hidden="1" customHeight="1">
      <c r="A202" s="2618" t="s">
        <v>98</v>
      </c>
      <c r="B202" s="2626" t="s">
        <v>480</v>
      </c>
      <c r="C202" s="2614"/>
      <c r="D202" s="2615"/>
      <c r="E202" s="2616">
        <f>'6. Vol Gd Beku'!$P$81</f>
        <v>449.27</v>
      </c>
      <c r="F202" s="2612" t="s">
        <v>100</v>
      </c>
      <c r="G202" s="2473">
        <v>19151.18</v>
      </c>
      <c r="H202" s="2473">
        <f>E202*G202</f>
        <v>8604050.6385999992</v>
      </c>
      <c r="I202" s="2562">
        <f>'Resume Analisa'!$D$48</f>
        <v>18790.969999999998</v>
      </c>
      <c r="J202" s="2562">
        <f>+I202*E202</f>
        <v>8442219.0918999985</v>
      </c>
      <c r="K202" s="2378" t="e">
        <f>IF(H202=0,"",IF(J202&lt;#REF!*H202,"Timpang &lt;"&amp;TEXT(#REF!,"0%"),IF(J202&gt;#REF!*H202,"Timpang &gt;"&amp;TEXT(#REF!,"0%"),"Wajar")))</f>
        <v>#REF!</v>
      </c>
      <c r="L202" s="2475">
        <v>18790.969999999998</v>
      </c>
      <c r="M202" s="2475">
        <f>E202*L202</f>
        <v>8442219.0918999985</v>
      </c>
      <c r="N202" s="2375">
        <f t="shared" si="59"/>
        <v>3.687741465318414E-3</v>
      </c>
      <c r="O202" s="2375">
        <v>0</v>
      </c>
      <c r="P202" s="2612" t="s">
        <v>100</v>
      </c>
      <c r="Q202" s="2375">
        <f t="shared" si="50"/>
        <v>0</v>
      </c>
      <c r="R202" s="2375">
        <f t="shared" si="56"/>
        <v>0</v>
      </c>
      <c r="S202" s="2386">
        <v>0</v>
      </c>
      <c r="T202" s="2590"/>
      <c r="U202" s="2375">
        <f t="shared" si="38"/>
        <v>0</v>
      </c>
      <c r="V202" s="2375"/>
      <c r="W202" s="2382">
        <f t="shared" si="39"/>
        <v>449.27</v>
      </c>
      <c r="X202" s="2612" t="s">
        <v>100</v>
      </c>
      <c r="Y202" s="2375">
        <f t="shared" si="40"/>
        <v>18790.969999999998</v>
      </c>
      <c r="Z202" s="2375"/>
      <c r="AA202" s="2377" t="s">
        <v>3355</v>
      </c>
    </row>
    <row r="203" spans="1:27" ht="25" hidden="1" customHeight="1">
      <c r="A203" s="2618" t="s">
        <v>101</v>
      </c>
      <c r="B203" s="2613" t="s">
        <v>481</v>
      </c>
      <c r="C203" s="2614"/>
      <c r="D203" s="2615"/>
      <c r="E203" s="2616">
        <f>'6. Vol Gd Beku'!$P$85</f>
        <v>230.45</v>
      </c>
      <c r="F203" s="2612" t="s">
        <v>100</v>
      </c>
      <c r="G203" s="2473">
        <v>19151.18</v>
      </c>
      <c r="H203" s="2473">
        <f>E203*G203</f>
        <v>4413389.4309999999</v>
      </c>
      <c r="I203" s="2562">
        <f>'Resume Analisa'!$D$48</f>
        <v>18790.969999999998</v>
      </c>
      <c r="J203" s="2562">
        <f>+I203*E203</f>
        <v>4330379.0364999995</v>
      </c>
      <c r="K203" s="2378" t="e">
        <f>IF(H203=0,"",IF(J203&lt;#REF!*H203,"Timpang &lt;"&amp;TEXT(#REF!,"0%"),IF(J203&gt;#REF!*H203,"Timpang &gt;"&amp;TEXT(#REF!,"0%"),"Wajar")))</f>
        <v>#REF!</v>
      </c>
      <c r="L203" s="2475">
        <v>18790.969999999998</v>
      </c>
      <c r="M203" s="2475">
        <f>E203*L203</f>
        <v>4330379.0364999995</v>
      </c>
      <c r="N203" s="2375">
        <f t="shared" si="59"/>
        <v>1.8916019780591373E-3</v>
      </c>
      <c r="O203" s="2375">
        <v>0</v>
      </c>
      <c r="P203" s="2612" t="s">
        <v>100</v>
      </c>
      <c r="Q203" s="2375">
        <f t="shared" si="50"/>
        <v>0</v>
      </c>
      <c r="R203" s="2375">
        <f t="shared" si="56"/>
        <v>0</v>
      </c>
      <c r="S203" s="2386">
        <v>0</v>
      </c>
      <c r="T203" s="2590"/>
      <c r="U203" s="2375">
        <f t="shared" si="38"/>
        <v>0</v>
      </c>
      <c r="V203" s="2375"/>
      <c r="W203" s="2382">
        <f t="shared" si="39"/>
        <v>230.45</v>
      </c>
      <c r="X203" s="2612" t="s">
        <v>100</v>
      </c>
      <c r="Y203" s="2375">
        <f t="shared" si="40"/>
        <v>18790.969999999998</v>
      </c>
      <c r="Z203" s="2375"/>
      <c r="AA203" s="2377" t="s">
        <v>3355</v>
      </c>
    </row>
    <row r="204" spans="1:27" ht="25" hidden="1" customHeight="1">
      <c r="A204" s="2618" t="s">
        <v>142</v>
      </c>
      <c r="B204" s="2613" t="s">
        <v>169</v>
      </c>
      <c r="C204" s="2614"/>
      <c r="D204" s="2615"/>
      <c r="E204" s="2616">
        <f>'6. Vol Gd Beku'!$P$89</f>
        <v>5.96</v>
      </c>
      <c r="F204" s="2612" t="s">
        <v>103</v>
      </c>
      <c r="G204" s="2389">
        <v>1584129.98</v>
      </c>
      <c r="H204" s="2389">
        <f>E204*G204</f>
        <v>9441414.6808000002</v>
      </c>
      <c r="I204" s="2566">
        <f>'Resume Analisa'!$D$55</f>
        <v>1535009.1300000001</v>
      </c>
      <c r="J204" s="2552">
        <f>E204*I204</f>
        <v>9148654.4148000013</v>
      </c>
      <c r="K204" s="2378" t="e">
        <f>IF(H204=0,"",IF(J204&lt;#REF!*H204,"Timpang &lt;"&amp;TEXT(#REF!,"0%"),IF(J204&gt;#REF!*H204,"Timpang &gt;"&amp;TEXT(#REF!,"0%"),"Wajar")))</f>
        <v>#REF!</v>
      </c>
      <c r="L204" s="2391">
        <v>1535009.1300000001</v>
      </c>
      <c r="M204" s="2391">
        <f>E204*L204</f>
        <v>9148654.4148000013</v>
      </c>
      <c r="N204" s="2375">
        <f t="shared" si="59"/>
        <v>3.9963274904457995E-3</v>
      </c>
      <c r="O204" s="2375">
        <v>0</v>
      </c>
      <c r="P204" s="2612" t="s">
        <v>103</v>
      </c>
      <c r="Q204" s="2375">
        <f t="shared" si="50"/>
        <v>0</v>
      </c>
      <c r="R204" s="2375">
        <f t="shared" si="56"/>
        <v>0</v>
      </c>
      <c r="S204" s="2375">
        <v>0</v>
      </c>
      <c r="T204" s="2398"/>
      <c r="U204" s="2375">
        <f t="shared" si="38"/>
        <v>0</v>
      </c>
      <c r="V204" s="2375"/>
      <c r="W204" s="2382">
        <f t="shared" si="39"/>
        <v>5.96</v>
      </c>
      <c r="X204" s="2612" t="s">
        <v>103</v>
      </c>
      <c r="Y204" s="2375">
        <f t="shared" si="40"/>
        <v>1535009.1300000001</v>
      </c>
      <c r="Z204" s="2375"/>
      <c r="AA204" s="2377" t="s">
        <v>3355</v>
      </c>
    </row>
    <row r="205" spans="1:27" ht="25" hidden="1" customHeight="1">
      <c r="A205" s="2612">
        <f>A200+1</f>
        <v>6</v>
      </c>
      <c r="B205" s="2613" t="s">
        <v>482</v>
      </c>
      <c r="C205" s="2614"/>
      <c r="D205" s="2615"/>
      <c r="E205" s="2616"/>
      <c r="F205" s="2611"/>
      <c r="G205" s="2389"/>
      <c r="H205" s="2389"/>
      <c r="I205" s="2566"/>
      <c r="J205" s="2625"/>
      <c r="K205" s="2389"/>
      <c r="L205" s="2391"/>
      <c r="M205" s="2391"/>
      <c r="N205" s="2375">
        <f t="shared" si="59"/>
        <v>0</v>
      </c>
      <c r="O205" s="2375">
        <v>0</v>
      </c>
      <c r="P205" s="2611"/>
      <c r="Q205" s="2375">
        <f t="shared" si="50"/>
        <v>0</v>
      </c>
      <c r="R205" s="2375">
        <f t="shared" si="56"/>
        <v>0</v>
      </c>
      <c r="S205" s="2375">
        <v>0</v>
      </c>
      <c r="T205" s="2398"/>
      <c r="U205" s="2375">
        <f t="shared" si="38"/>
        <v>0</v>
      </c>
      <c r="V205" s="2375"/>
      <c r="W205" s="2382">
        <f t="shared" si="39"/>
        <v>0</v>
      </c>
      <c r="X205" s="2611"/>
      <c r="Y205" s="2375">
        <f t="shared" si="40"/>
        <v>0</v>
      </c>
      <c r="Z205" s="2375"/>
      <c r="AA205" s="2377" t="s">
        <v>3355</v>
      </c>
    </row>
    <row r="206" spans="1:27" ht="25" hidden="1" customHeight="1">
      <c r="A206" s="2618" t="s">
        <v>95</v>
      </c>
      <c r="B206" s="2561" t="s">
        <v>221</v>
      </c>
      <c r="C206" s="2614"/>
      <c r="D206" s="2615"/>
      <c r="E206" s="2616">
        <f>'6. Vol Gd Beku'!$P$94</f>
        <v>6.58</v>
      </c>
      <c r="F206" s="2612" t="s">
        <v>89</v>
      </c>
      <c r="G206" s="2389">
        <v>230885.5</v>
      </c>
      <c r="H206" s="2389">
        <f>E206*G206</f>
        <v>1519226.59</v>
      </c>
      <c r="I206" s="2566">
        <f>'Resume Analisa'!$D$39</f>
        <v>232328.86000000002</v>
      </c>
      <c r="J206" s="2552">
        <f>E206*I206</f>
        <v>1528723.8988000001</v>
      </c>
      <c r="K206" s="2378" t="e">
        <f>IF(H206=0,"",IF(J206&lt;#REF!*H206,"Timpang &lt;"&amp;TEXT(#REF!,"0%"),IF(J206&gt;#REF!*H206,"Timpang &gt;"&amp;TEXT(#REF!,"0%"),"Wajar")))</f>
        <v>#REF!</v>
      </c>
      <c r="L206" s="2391">
        <v>232328.86000000002</v>
      </c>
      <c r="M206" s="2391">
        <f>E206*L206</f>
        <v>1528723.8988000001</v>
      </c>
      <c r="N206" s="2375">
        <f t="shared" si="59"/>
        <v>6.6777922359738384E-4</v>
      </c>
      <c r="O206" s="2375">
        <v>0</v>
      </c>
      <c r="P206" s="2612" t="s">
        <v>89</v>
      </c>
      <c r="Q206" s="2375">
        <f t="shared" si="50"/>
        <v>0</v>
      </c>
      <c r="R206" s="2375">
        <f t="shared" si="56"/>
        <v>0</v>
      </c>
      <c r="S206" s="2375">
        <v>0</v>
      </c>
      <c r="T206" s="2398"/>
      <c r="U206" s="2375">
        <f t="shared" si="38"/>
        <v>0</v>
      </c>
      <c r="V206" s="2375"/>
      <c r="W206" s="2382">
        <f t="shared" si="39"/>
        <v>6.58</v>
      </c>
      <c r="X206" s="2612" t="s">
        <v>89</v>
      </c>
      <c r="Y206" s="2375">
        <f t="shared" si="40"/>
        <v>232328.86000000002</v>
      </c>
      <c r="Z206" s="2375"/>
      <c r="AA206" s="2377" t="s">
        <v>3355</v>
      </c>
    </row>
    <row r="207" spans="1:27" ht="25" hidden="1" customHeight="1">
      <c r="A207" s="2618" t="s">
        <v>98</v>
      </c>
      <c r="B207" s="2626" t="s">
        <v>480</v>
      </c>
      <c r="C207" s="2614"/>
      <c r="D207" s="2615"/>
      <c r="E207" s="2616">
        <f>'6. Vol Gd Beku'!$P$98</f>
        <v>40.57</v>
      </c>
      <c r="F207" s="2612" t="s">
        <v>100</v>
      </c>
      <c r="G207" s="2473">
        <v>19151.18</v>
      </c>
      <c r="H207" s="2473">
        <f>E207*G207</f>
        <v>776963.3726</v>
      </c>
      <c r="I207" s="2562">
        <f>'Resume Analisa'!$D$48</f>
        <v>18790.969999999998</v>
      </c>
      <c r="J207" s="2562">
        <f>+I207*E207</f>
        <v>762349.65289999987</v>
      </c>
      <c r="K207" s="2378" t="e">
        <f>IF(H207=0,"",IF(J207&lt;#REF!*H207,"Timpang &lt;"&amp;TEXT(#REF!,"0%"),IF(J207&gt;#REF!*H207,"Timpang &gt;"&amp;TEXT(#REF!,"0%"),"Wajar")))</f>
        <v>#REF!</v>
      </c>
      <c r="L207" s="2475">
        <v>18790.969999999998</v>
      </c>
      <c r="M207" s="2475">
        <f>E207*L207</f>
        <v>762349.65289999987</v>
      </c>
      <c r="N207" s="2375">
        <f t="shared" si="59"/>
        <v>3.3301059774293426E-4</v>
      </c>
      <c r="O207" s="2375">
        <v>0</v>
      </c>
      <c r="P207" s="2612" t="s">
        <v>100</v>
      </c>
      <c r="Q207" s="2375">
        <f t="shared" si="50"/>
        <v>0</v>
      </c>
      <c r="R207" s="2375">
        <f t="shared" si="56"/>
        <v>0</v>
      </c>
      <c r="S207" s="2375">
        <v>0</v>
      </c>
      <c r="T207" s="2398"/>
      <c r="U207" s="2375">
        <f t="shared" si="38"/>
        <v>0</v>
      </c>
      <c r="V207" s="2375"/>
      <c r="W207" s="2382">
        <f t="shared" si="39"/>
        <v>40.57</v>
      </c>
      <c r="X207" s="2612" t="s">
        <v>100</v>
      </c>
      <c r="Y207" s="2375">
        <f t="shared" si="40"/>
        <v>18790.969999999998</v>
      </c>
      <c r="Z207" s="2375"/>
      <c r="AA207" s="2377" t="s">
        <v>3355</v>
      </c>
    </row>
    <row r="208" spans="1:27" ht="25" hidden="1" customHeight="1">
      <c r="A208" s="2618" t="s">
        <v>101</v>
      </c>
      <c r="B208" s="2613" t="s">
        <v>481</v>
      </c>
      <c r="C208" s="2614"/>
      <c r="D208" s="2615"/>
      <c r="E208" s="2616">
        <f>'6. Vol Gd Beku'!$P$102</f>
        <v>32.200000000000003</v>
      </c>
      <c r="F208" s="2612" t="s">
        <v>100</v>
      </c>
      <c r="G208" s="2473">
        <v>19151.18</v>
      </c>
      <c r="H208" s="2473">
        <f>E208*G208</f>
        <v>616667.99600000004</v>
      </c>
      <c r="I208" s="2562">
        <f>'Resume Analisa'!$D$48</f>
        <v>18790.969999999998</v>
      </c>
      <c r="J208" s="2562">
        <f>+I208*E208</f>
        <v>605069.23399999994</v>
      </c>
      <c r="K208" s="2378" t="e">
        <f>IF(H208=0,"",IF(J208&lt;#REF!*H208,"Timpang &lt;"&amp;TEXT(#REF!,"0%"),IF(J208&gt;#REF!*H208,"Timpang &gt;"&amp;TEXT(#REF!,"0%"),"Wajar")))</f>
        <v>#REF!</v>
      </c>
      <c r="L208" s="2475">
        <v>18790.969999999998</v>
      </c>
      <c r="M208" s="2475">
        <f>E208*L208</f>
        <v>605069.23399999994</v>
      </c>
      <c r="N208" s="2375">
        <f t="shared" si="59"/>
        <v>2.6430715423521035E-4</v>
      </c>
      <c r="O208" s="2375">
        <v>0</v>
      </c>
      <c r="P208" s="2612" t="s">
        <v>100</v>
      </c>
      <c r="Q208" s="2375">
        <f t="shared" si="50"/>
        <v>0</v>
      </c>
      <c r="R208" s="2375">
        <f t="shared" si="56"/>
        <v>0</v>
      </c>
      <c r="S208" s="2375">
        <v>0</v>
      </c>
      <c r="T208" s="2398"/>
      <c r="U208" s="2375">
        <f t="shared" ref="U208:U271" si="66">S208*L208</f>
        <v>0</v>
      </c>
      <c r="V208" s="2375"/>
      <c r="W208" s="2382">
        <f t="shared" ref="W208:W271" si="67">(E208+O208)-S208</f>
        <v>32.200000000000003</v>
      </c>
      <c r="X208" s="2612" t="s">
        <v>100</v>
      </c>
      <c r="Y208" s="2375">
        <f t="shared" ref="Y208:Y233" si="68">L208</f>
        <v>18790.969999999998</v>
      </c>
      <c r="Z208" s="2375"/>
      <c r="AA208" s="2377" t="s">
        <v>3355</v>
      </c>
    </row>
    <row r="209" spans="1:27" ht="25" hidden="1" customHeight="1">
      <c r="A209" s="2618" t="s">
        <v>142</v>
      </c>
      <c r="B209" s="2613" t="s">
        <v>169</v>
      </c>
      <c r="C209" s="2614"/>
      <c r="D209" s="2615"/>
      <c r="E209" s="2616">
        <f>'6. Vol Gd Beku'!P106</f>
        <v>0.49</v>
      </c>
      <c r="F209" s="2612" t="s">
        <v>103</v>
      </c>
      <c r="G209" s="2389">
        <v>1584129.98</v>
      </c>
      <c r="H209" s="2389">
        <f>E209*G209</f>
        <v>776223.69019999995</v>
      </c>
      <c r="I209" s="2566">
        <f>'Resume Analisa'!$D$55</f>
        <v>1535009.1300000001</v>
      </c>
      <c r="J209" s="2552">
        <f>E209*I209</f>
        <v>752154.47370000009</v>
      </c>
      <c r="K209" s="2378" t="e">
        <f>IF(H209=0,"",IF(J209&lt;#REF!*H209,"Timpang &lt;"&amp;TEXT(#REF!,"0%"),IF(J209&gt;#REF!*H209,"Timpang &gt;"&amp;TEXT(#REF!,"0%"),"Wajar")))</f>
        <v>#REF!</v>
      </c>
      <c r="L209" s="2391">
        <v>1535009.1300000001</v>
      </c>
      <c r="M209" s="2391">
        <f>E209*L209</f>
        <v>752154.47370000009</v>
      </c>
      <c r="N209" s="2375">
        <f t="shared" si="59"/>
        <v>3.2855712589235599E-4</v>
      </c>
      <c r="O209" s="2375">
        <v>0</v>
      </c>
      <c r="P209" s="2612" t="s">
        <v>103</v>
      </c>
      <c r="Q209" s="2375">
        <f t="shared" si="50"/>
        <v>0</v>
      </c>
      <c r="R209" s="2375">
        <f t="shared" si="56"/>
        <v>0</v>
      </c>
      <c r="S209" s="2386">
        <v>0</v>
      </c>
      <c r="T209" s="2398"/>
      <c r="U209" s="2375">
        <f t="shared" si="66"/>
        <v>0</v>
      </c>
      <c r="V209" s="2375"/>
      <c r="W209" s="2382">
        <f t="shared" si="67"/>
        <v>0.49</v>
      </c>
      <c r="X209" s="2612" t="s">
        <v>103</v>
      </c>
      <c r="Y209" s="2375">
        <f t="shared" si="68"/>
        <v>1535009.1300000001</v>
      </c>
      <c r="Z209" s="2375"/>
      <c r="AA209" s="2377" t="s">
        <v>3355</v>
      </c>
    </row>
    <row r="210" spans="1:27" ht="25" hidden="1" customHeight="1">
      <c r="A210" s="2612">
        <f>A205+1</f>
        <v>7</v>
      </c>
      <c r="B210" s="2613" t="s">
        <v>483</v>
      </c>
      <c r="C210" s="2614"/>
      <c r="D210" s="2615"/>
      <c r="E210" s="2616"/>
      <c r="F210" s="2612"/>
      <c r="G210" s="2389"/>
      <c r="H210" s="2389"/>
      <c r="I210" s="2544"/>
      <c r="J210" s="2544"/>
      <c r="K210" s="2389"/>
      <c r="L210" s="2391"/>
      <c r="M210" s="2391"/>
      <c r="N210" s="2375">
        <f t="shared" si="59"/>
        <v>0</v>
      </c>
      <c r="O210" s="2375">
        <v>0</v>
      </c>
      <c r="P210" s="2612"/>
      <c r="Q210" s="2375">
        <f t="shared" si="50"/>
        <v>0</v>
      </c>
      <c r="R210" s="2375">
        <f t="shared" si="56"/>
        <v>0</v>
      </c>
      <c r="S210" s="2386">
        <v>0</v>
      </c>
      <c r="T210" s="2398"/>
      <c r="U210" s="2375">
        <f t="shared" si="66"/>
        <v>0</v>
      </c>
      <c r="V210" s="2375"/>
      <c r="W210" s="2382">
        <f t="shared" si="67"/>
        <v>0</v>
      </c>
      <c r="X210" s="2612"/>
      <c r="Y210" s="2375">
        <f t="shared" si="68"/>
        <v>0</v>
      </c>
      <c r="Z210" s="2375"/>
      <c r="AA210" s="2377" t="s">
        <v>3355</v>
      </c>
    </row>
    <row r="211" spans="1:27" ht="25" hidden="1" customHeight="1">
      <c r="A211" s="2618" t="s">
        <v>95</v>
      </c>
      <c r="B211" s="2613" t="s">
        <v>474</v>
      </c>
      <c r="C211" s="2614"/>
      <c r="D211" s="2615"/>
      <c r="E211" s="2616">
        <f>'6. Vol Gd Beku'!$P$108</f>
        <v>40.56</v>
      </c>
      <c r="F211" s="2612" t="s">
        <v>103</v>
      </c>
      <c r="G211" s="2389">
        <v>60375</v>
      </c>
      <c r="H211" s="2389">
        <f t="shared" ref="H211:H217" si="69">E211*G211</f>
        <v>2448810</v>
      </c>
      <c r="I211" s="2544">
        <f>'Resume Analisa'!$D$230</f>
        <v>58343.61</v>
      </c>
      <c r="J211" s="2544">
        <f t="shared" ref="J211:J216" si="70">I211*E211</f>
        <v>2366416.8216000004</v>
      </c>
      <c r="K211" s="2378" t="e">
        <f>IF(H211=0,"",IF(J211&lt;#REF!*H211,"Timpang &lt;"&amp;TEXT(#REF!,"0%"),IF(J211&gt;#REF!*H211,"Timpang &gt;"&amp;TEXT(#REF!,"0%"),"Wajar")))</f>
        <v>#REF!</v>
      </c>
      <c r="L211" s="2391">
        <v>58343.61</v>
      </c>
      <c r="M211" s="2391">
        <f t="shared" ref="M211:M217" si="71">E211*L211</f>
        <v>2366416.8216000004</v>
      </c>
      <c r="N211" s="2375">
        <f t="shared" si="59"/>
        <v>1.0337013695385271E-3</v>
      </c>
      <c r="O211" s="2375">
        <v>0</v>
      </c>
      <c r="P211" s="2612" t="s">
        <v>103</v>
      </c>
      <c r="Q211" s="2375">
        <f t="shared" si="50"/>
        <v>0</v>
      </c>
      <c r="R211" s="2375">
        <f t="shared" si="56"/>
        <v>0</v>
      </c>
      <c r="S211" s="2375">
        <v>0</v>
      </c>
      <c r="T211" s="2398"/>
      <c r="U211" s="2375">
        <f t="shared" si="66"/>
        <v>0</v>
      </c>
      <c r="V211" s="2375"/>
      <c r="W211" s="2382">
        <f t="shared" si="67"/>
        <v>40.56</v>
      </c>
      <c r="X211" s="2612" t="s">
        <v>103</v>
      </c>
      <c r="Y211" s="2375">
        <f t="shared" si="68"/>
        <v>58343.61</v>
      </c>
      <c r="Z211" s="2375"/>
      <c r="AA211" s="2377" t="s">
        <v>3355</v>
      </c>
    </row>
    <row r="212" spans="1:27" ht="25" hidden="1" customHeight="1">
      <c r="A212" s="2618" t="s">
        <v>98</v>
      </c>
      <c r="B212" s="2613" t="s">
        <v>475</v>
      </c>
      <c r="C212" s="2614"/>
      <c r="D212" s="2615"/>
      <c r="E212" s="2616">
        <f>'6. Vol Gd Beku'!$P$109</f>
        <v>40.56</v>
      </c>
      <c r="F212" s="2624" t="s">
        <v>103</v>
      </c>
      <c r="G212" s="2389">
        <v>39847.5</v>
      </c>
      <c r="H212" s="2389">
        <f t="shared" si="69"/>
        <v>1616214.6</v>
      </c>
      <c r="I212" s="2566">
        <f>'Resume Analisa'!$D$31</f>
        <v>37946.620000000003</v>
      </c>
      <c r="J212" s="2544">
        <f t="shared" si="70"/>
        <v>1539114.9072000002</v>
      </c>
      <c r="K212" s="2378" t="e">
        <f>IF(H212=0,"",IF(J212&lt;#REF!*H212,"Timpang &lt;"&amp;TEXT(#REF!,"0%"),IF(J212&gt;#REF!*H212,"Timpang &gt;"&amp;TEXT(#REF!,"0%"),"Wajar")))</f>
        <v>#REF!</v>
      </c>
      <c r="L212" s="2391">
        <v>37946.620000000003</v>
      </c>
      <c r="M212" s="2391">
        <f t="shared" si="71"/>
        <v>1539114.9072000002</v>
      </c>
      <c r="N212" s="2375">
        <f t="shared" si="59"/>
        <v>6.723182378217266E-4</v>
      </c>
      <c r="O212" s="2375">
        <v>0</v>
      </c>
      <c r="P212" s="2624" t="s">
        <v>103</v>
      </c>
      <c r="Q212" s="2375">
        <f t="shared" si="50"/>
        <v>0</v>
      </c>
      <c r="R212" s="2375">
        <f t="shared" si="56"/>
        <v>0</v>
      </c>
      <c r="S212" s="2375">
        <v>0</v>
      </c>
      <c r="T212" s="2537"/>
      <c r="U212" s="2375">
        <f t="shared" si="66"/>
        <v>0</v>
      </c>
      <c r="V212" s="2375"/>
      <c r="W212" s="2382">
        <f t="shared" si="67"/>
        <v>40.56</v>
      </c>
      <c r="X212" s="2624" t="s">
        <v>103</v>
      </c>
      <c r="Y212" s="2375">
        <f t="shared" si="68"/>
        <v>37946.620000000003</v>
      </c>
      <c r="Z212" s="2375"/>
      <c r="AA212" s="2377" t="s">
        <v>3355</v>
      </c>
    </row>
    <row r="213" spans="1:27" ht="25" hidden="1" customHeight="1">
      <c r="A213" s="2618" t="s">
        <v>101</v>
      </c>
      <c r="B213" s="2613" t="s">
        <v>484</v>
      </c>
      <c r="C213" s="2614"/>
      <c r="D213" s="2615"/>
      <c r="E213" s="2616">
        <f>'6. Vol Gd Beku'!$P$110</f>
        <v>10.14</v>
      </c>
      <c r="F213" s="2612" t="s">
        <v>103</v>
      </c>
      <c r="G213" s="2389">
        <v>507759.96</v>
      </c>
      <c r="H213" s="2389">
        <f t="shared" si="69"/>
        <v>5148685.9944000002</v>
      </c>
      <c r="I213" s="2623">
        <f>'Resume Analisa'!$D$26</f>
        <v>475358.64</v>
      </c>
      <c r="J213" s="2544">
        <f t="shared" si="70"/>
        <v>4820136.6096000001</v>
      </c>
      <c r="K213" s="2378" t="e">
        <f>IF(H213=0,"",IF(J213&lt;#REF!*H213,"Timpang &lt;"&amp;TEXT(#REF!,"0%"),IF(J213&gt;#REF!*H213,"Timpang &gt;"&amp;TEXT(#REF!,"0%"),"Wajar")))</f>
        <v>#REF!</v>
      </c>
      <c r="L213" s="2391">
        <v>475358.64</v>
      </c>
      <c r="M213" s="2391">
        <f t="shared" si="71"/>
        <v>4820136.6096000001</v>
      </c>
      <c r="N213" s="2375">
        <f t="shared" ref="N213:N231" si="72">M213/$M$8</f>
        <v>2.105538537939166E-3</v>
      </c>
      <c r="O213" s="2375">
        <v>0</v>
      </c>
      <c r="P213" s="2612" t="s">
        <v>103</v>
      </c>
      <c r="Q213" s="2375">
        <f t="shared" si="50"/>
        <v>0</v>
      </c>
      <c r="R213" s="2375">
        <f t="shared" si="56"/>
        <v>0</v>
      </c>
      <c r="S213" s="2375">
        <v>0</v>
      </c>
      <c r="T213" s="2398"/>
      <c r="U213" s="2375">
        <f t="shared" si="66"/>
        <v>0</v>
      </c>
      <c r="V213" s="2375"/>
      <c r="W213" s="2382">
        <f t="shared" si="67"/>
        <v>10.14</v>
      </c>
      <c r="X213" s="2612" t="s">
        <v>103</v>
      </c>
      <c r="Y213" s="2375">
        <f t="shared" si="68"/>
        <v>475358.64</v>
      </c>
      <c r="Z213" s="2375"/>
      <c r="AA213" s="2377" t="s">
        <v>3355</v>
      </c>
    </row>
    <row r="214" spans="1:27" ht="25" hidden="1" customHeight="1">
      <c r="A214" s="2618" t="s">
        <v>121</v>
      </c>
      <c r="B214" s="2613" t="s">
        <v>485</v>
      </c>
      <c r="C214" s="2614"/>
      <c r="D214" s="2615"/>
      <c r="E214" s="2616">
        <f>'6. Vol Gd Beku'!$P$111</f>
        <v>5.07</v>
      </c>
      <c r="F214" s="2612" t="s">
        <v>103</v>
      </c>
      <c r="G214" s="2389">
        <v>1422226.08</v>
      </c>
      <c r="H214" s="2389">
        <f t="shared" si="69"/>
        <v>7210686.2256000005</v>
      </c>
      <c r="I214" s="2465">
        <f>'Resume Analisa'!$D$54</f>
        <v>1384580.76</v>
      </c>
      <c r="J214" s="2544">
        <f t="shared" si="70"/>
        <v>7019824.4532000003</v>
      </c>
      <c r="K214" s="2378" t="e">
        <f>IF(H214=0,"",IF(J214&lt;#REF!*H214,"Timpang &lt;"&amp;TEXT(#REF!,"0%"),IF(J214&gt;#REF!*H214,"Timpang &gt;"&amp;TEXT(#REF!,"0%"),"Wajar")))</f>
        <v>#REF!</v>
      </c>
      <c r="L214" s="2391">
        <v>1384580.76</v>
      </c>
      <c r="M214" s="2391">
        <f t="shared" si="71"/>
        <v>7019824.4532000003</v>
      </c>
      <c r="N214" s="2375">
        <f t="shared" si="72"/>
        <v>3.0664091317127418E-3</v>
      </c>
      <c r="O214" s="2375">
        <v>0</v>
      </c>
      <c r="P214" s="2612" t="s">
        <v>103</v>
      </c>
      <c r="Q214" s="2375">
        <f t="shared" si="50"/>
        <v>0</v>
      </c>
      <c r="R214" s="2375">
        <f t="shared" si="56"/>
        <v>0</v>
      </c>
      <c r="S214" s="2375">
        <v>0</v>
      </c>
      <c r="T214" s="2560"/>
      <c r="U214" s="2375">
        <f t="shared" si="66"/>
        <v>0</v>
      </c>
      <c r="V214" s="2375"/>
      <c r="W214" s="2382">
        <f t="shared" si="67"/>
        <v>5.07</v>
      </c>
      <c r="X214" s="2612" t="s">
        <v>103</v>
      </c>
      <c r="Y214" s="2375">
        <f t="shared" si="68"/>
        <v>1384580.76</v>
      </c>
      <c r="Z214" s="2375"/>
      <c r="AA214" s="2377" t="s">
        <v>3355</v>
      </c>
    </row>
    <row r="215" spans="1:27" ht="25" hidden="1" customHeight="1">
      <c r="A215" s="2618" t="s">
        <v>142</v>
      </c>
      <c r="B215" s="2561" t="s">
        <v>221</v>
      </c>
      <c r="C215" s="2608"/>
      <c r="D215" s="2609"/>
      <c r="E215" s="2610">
        <f>'6. Vol Gd Beku'!$P$115</f>
        <v>6.14</v>
      </c>
      <c r="F215" s="2611" t="s">
        <v>89</v>
      </c>
      <c r="G215" s="2389">
        <v>230885.5</v>
      </c>
      <c r="H215" s="2389">
        <f t="shared" si="69"/>
        <v>1417636.97</v>
      </c>
      <c r="I215" s="2544">
        <f>'Resume Analisa'!$D$39</f>
        <v>232328.86000000002</v>
      </c>
      <c r="J215" s="2544">
        <f t="shared" si="70"/>
        <v>1426499.2004</v>
      </c>
      <c r="K215" s="2378" t="e">
        <f>IF(H215=0,"",IF(J215&lt;#REF!*H215,"Timpang &lt;"&amp;TEXT(#REF!,"0%"),IF(J215&gt;#REF!*H215,"Timpang &gt;"&amp;TEXT(#REF!,"0%"),"Wajar")))</f>
        <v>#REF!</v>
      </c>
      <c r="L215" s="2391">
        <v>232328.86000000002</v>
      </c>
      <c r="M215" s="2391">
        <f t="shared" si="71"/>
        <v>1426499.2004</v>
      </c>
      <c r="N215" s="2375">
        <f t="shared" si="72"/>
        <v>6.2312529375196598E-4</v>
      </c>
      <c r="O215" s="2375">
        <v>0</v>
      </c>
      <c r="P215" s="2611" t="s">
        <v>89</v>
      </c>
      <c r="Q215" s="2375">
        <f t="shared" si="50"/>
        <v>0</v>
      </c>
      <c r="R215" s="2375">
        <f t="shared" si="56"/>
        <v>0</v>
      </c>
      <c r="S215" s="2375">
        <v>0</v>
      </c>
      <c r="T215" s="2560"/>
      <c r="U215" s="2375">
        <f t="shared" si="66"/>
        <v>0</v>
      </c>
      <c r="V215" s="2375"/>
      <c r="W215" s="2382">
        <f t="shared" si="67"/>
        <v>6.14</v>
      </c>
      <c r="X215" s="2611" t="s">
        <v>89</v>
      </c>
      <c r="Y215" s="2375">
        <f t="shared" si="68"/>
        <v>232328.86000000002</v>
      </c>
      <c r="Z215" s="2375"/>
      <c r="AA215" s="2377" t="s">
        <v>3355</v>
      </c>
    </row>
    <row r="216" spans="1:27" ht="25" hidden="1" customHeight="1">
      <c r="A216" s="2618" t="s">
        <v>217</v>
      </c>
      <c r="B216" s="2561" t="s">
        <v>486</v>
      </c>
      <c r="C216" s="2608"/>
      <c r="D216" s="2609"/>
      <c r="E216" s="2610">
        <f>'6. Vol Gd Beku'!$P$119</f>
        <v>1651.54</v>
      </c>
      <c r="F216" s="2611" t="s">
        <v>100</v>
      </c>
      <c r="G216" s="2389">
        <v>19151.18</v>
      </c>
      <c r="H216" s="2389">
        <f t="shared" si="69"/>
        <v>31628939.817200001</v>
      </c>
      <c r="I216" s="2544">
        <f>'Resume Analisa'!$D$48</f>
        <v>18790.969999999998</v>
      </c>
      <c r="J216" s="2544">
        <f t="shared" si="70"/>
        <v>31034038.593799993</v>
      </c>
      <c r="K216" s="2378" t="e">
        <f>IF(H216=0,"",IF(J216&lt;#REF!*H216,"Timpang &lt;"&amp;TEXT(#REF!,"0%"),IF(J216&gt;#REF!*H216,"Timpang &gt;"&amp;TEXT(#REF!,"0%"),"Wajar")))</f>
        <v>#REF!</v>
      </c>
      <c r="L216" s="2391">
        <v>18790.969999999998</v>
      </c>
      <c r="M216" s="2391">
        <f t="shared" si="71"/>
        <v>31034038.593799993</v>
      </c>
      <c r="N216" s="2375">
        <f t="shared" si="72"/>
        <v>1.3556330357317367E-2</v>
      </c>
      <c r="O216" s="2375">
        <v>0</v>
      </c>
      <c r="P216" s="2611" t="s">
        <v>100</v>
      </c>
      <c r="Q216" s="2375">
        <f t="shared" si="50"/>
        <v>0</v>
      </c>
      <c r="R216" s="2375">
        <f t="shared" si="56"/>
        <v>0</v>
      </c>
      <c r="S216" s="2386">
        <v>0</v>
      </c>
      <c r="T216" s="2398"/>
      <c r="U216" s="2375">
        <f t="shared" si="66"/>
        <v>0</v>
      </c>
      <c r="V216" s="2375"/>
      <c r="W216" s="2382">
        <f t="shared" si="67"/>
        <v>1651.54</v>
      </c>
      <c r="X216" s="2611" t="s">
        <v>100</v>
      </c>
      <c r="Y216" s="2375">
        <f t="shared" si="68"/>
        <v>18790.969999999998</v>
      </c>
      <c r="Z216" s="2375"/>
      <c r="AA216" s="2377" t="s">
        <v>3355</v>
      </c>
    </row>
    <row r="217" spans="1:27" ht="25" hidden="1" customHeight="1">
      <c r="A217" s="2618" t="s">
        <v>366</v>
      </c>
      <c r="B217" s="2613" t="s">
        <v>420</v>
      </c>
      <c r="C217" s="2608"/>
      <c r="D217" s="2609"/>
      <c r="E217" s="2610">
        <f>'6. Vol Gd Beku'!$P$120</f>
        <v>14.4</v>
      </c>
      <c r="F217" s="2611" t="s">
        <v>103</v>
      </c>
      <c r="G217" s="2389">
        <v>1584129.98</v>
      </c>
      <c r="H217" s="2389">
        <f t="shared" si="69"/>
        <v>22811471.712000001</v>
      </c>
      <c r="I217" s="2566">
        <f>'Resume Analisa'!$D$55</f>
        <v>1535009.1300000001</v>
      </c>
      <c r="J217" s="2552">
        <f>E217*I217</f>
        <v>22104131.472000003</v>
      </c>
      <c r="K217" s="2378" t="e">
        <f>IF(H217=0,"",IF(J217&lt;#REF!*H217,"Timpang &lt;"&amp;TEXT(#REF!,"0%"),IF(J217&gt;#REF!*H217,"Timpang &gt;"&amp;TEXT(#REF!,"0%"),"Wajar")))</f>
        <v>#REF!</v>
      </c>
      <c r="L217" s="2391">
        <v>1535009.1300000001</v>
      </c>
      <c r="M217" s="2391">
        <f t="shared" si="71"/>
        <v>22104131.472000003</v>
      </c>
      <c r="N217" s="2375">
        <f t="shared" si="72"/>
        <v>9.6555563527549512E-3</v>
      </c>
      <c r="O217" s="2375">
        <v>0</v>
      </c>
      <c r="P217" s="2611" t="s">
        <v>103</v>
      </c>
      <c r="Q217" s="2375">
        <f t="shared" si="50"/>
        <v>0</v>
      </c>
      <c r="R217" s="2375">
        <f t="shared" si="56"/>
        <v>0</v>
      </c>
      <c r="S217" s="2386">
        <v>0</v>
      </c>
      <c r="T217" s="2398"/>
      <c r="U217" s="2375">
        <f t="shared" si="66"/>
        <v>0</v>
      </c>
      <c r="V217" s="2375"/>
      <c r="W217" s="2382">
        <f t="shared" si="67"/>
        <v>14.4</v>
      </c>
      <c r="X217" s="2611" t="s">
        <v>103</v>
      </c>
      <c r="Y217" s="2375">
        <f t="shared" si="68"/>
        <v>1535009.1300000001</v>
      </c>
      <c r="Z217" s="2375"/>
      <c r="AA217" s="2377" t="s">
        <v>3355</v>
      </c>
    </row>
    <row r="218" spans="1:27" ht="25" hidden="1" customHeight="1">
      <c r="A218" s="2627">
        <f>A210+1</f>
        <v>8</v>
      </c>
      <c r="B218" s="2549" t="s">
        <v>437</v>
      </c>
      <c r="C218" s="2550"/>
      <c r="D218" s="2551"/>
      <c r="E218" s="2541"/>
      <c r="F218" s="2398"/>
      <c r="G218" s="2389"/>
      <c r="H218" s="2389"/>
      <c r="I218" s="2588"/>
      <c r="J218" s="2544"/>
      <c r="K218" s="2389"/>
      <c r="L218" s="2391"/>
      <c r="M218" s="2391"/>
      <c r="N218" s="2375">
        <f t="shared" si="72"/>
        <v>0</v>
      </c>
      <c r="O218" s="2375">
        <v>0</v>
      </c>
      <c r="P218" s="2398"/>
      <c r="Q218" s="2375">
        <f t="shared" si="50"/>
        <v>0</v>
      </c>
      <c r="R218" s="2375">
        <f t="shared" si="56"/>
        <v>0</v>
      </c>
      <c r="S218" s="2375">
        <v>0</v>
      </c>
      <c r="T218" s="2560"/>
      <c r="U218" s="2375">
        <f t="shared" si="66"/>
        <v>0</v>
      </c>
      <c r="V218" s="2375"/>
      <c r="W218" s="2382">
        <f t="shared" si="67"/>
        <v>0</v>
      </c>
      <c r="X218" s="2398"/>
      <c r="Y218" s="2375">
        <f t="shared" si="68"/>
        <v>0</v>
      </c>
      <c r="Z218" s="2375"/>
      <c r="AA218" s="2377" t="s">
        <v>3355</v>
      </c>
    </row>
    <row r="219" spans="1:27" ht="25" hidden="1" customHeight="1">
      <c r="A219" s="2555" t="s">
        <v>95</v>
      </c>
      <c r="B219" s="2549" t="s">
        <v>438</v>
      </c>
      <c r="C219" s="2550"/>
      <c r="D219" s="2551"/>
      <c r="E219" s="2541">
        <f>'6. Vol Gd Beku'!$P$126</f>
        <v>0.42</v>
      </c>
      <c r="F219" s="2398" t="s">
        <v>103</v>
      </c>
      <c r="G219" s="2389">
        <v>50600</v>
      </c>
      <c r="H219" s="2389">
        <f t="shared" ref="H219:H225" si="73">E219*G219</f>
        <v>21252</v>
      </c>
      <c r="I219" s="2465">
        <f>'Resume Analisa'!$D$18</f>
        <v>49036.76</v>
      </c>
      <c r="J219" s="2544">
        <f>I219*E219</f>
        <v>20595.439200000001</v>
      </c>
      <c r="K219" s="2378" t="e">
        <f>IF(H219=0,"",IF(J219&lt;#REF!*H219,"Timpang &lt;"&amp;TEXT(#REF!,"0%"),IF(J219&gt;#REF!*H219,"Timpang &gt;"&amp;TEXT(#REF!,"0%"),"Wajar")))</f>
        <v>#REF!</v>
      </c>
      <c r="L219" s="2391">
        <v>49036.76</v>
      </c>
      <c r="M219" s="2391">
        <f t="shared" ref="M219:M225" si="74">E219*L219</f>
        <v>20595.439200000001</v>
      </c>
      <c r="N219" s="2375">
        <f t="shared" si="72"/>
        <v>8.9965273712401275E-6</v>
      </c>
      <c r="O219" s="2375">
        <v>0</v>
      </c>
      <c r="P219" s="2398" t="s">
        <v>103</v>
      </c>
      <c r="Q219" s="2375">
        <f t="shared" si="50"/>
        <v>0</v>
      </c>
      <c r="R219" s="2375">
        <f t="shared" si="56"/>
        <v>0</v>
      </c>
      <c r="S219" s="2375">
        <v>0</v>
      </c>
      <c r="T219" s="2398"/>
      <c r="U219" s="2375">
        <f t="shared" si="66"/>
        <v>0</v>
      </c>
      <c r="V219" s="2375"/>
      <c r="W219" s="2382">
        <f t="shared" si="67"/>
        <v>0.42</v>
      </c>
      <c r="X219" s="2398" t="s">
        <v>103</v>
      </c>
      <c r="Y219" s="2375">
        <f t="shared" si="68"/>
        <v>49036.76</v>
      </c>
      <c r="Z219" s="2375"/>
      <c r="AA219" s="2377" t="s">
        <v>3355</v>
      </c>
    </row>
    <row r="220" spans="1:27" ht="25" hidden="1" customHeight="1">
      <c r="A220" s="2555" t="s">
        <v>98</v>
      </c>
      <c r="B220" s="2549" t="s">
        <v>439</v>
      </c>
      <c r="C220" s="2550"/>
      <c r="D220" s="2551"/>
      <c r="E220" s="2541">
        <f>'6. Vol Gd Beku'!$P$131</f>
        <v>10.62</v>
      </c>
      <c r="F220" s="2398" t="s">
        <v>89</v>
      </c>
      <c r="G220" s="2389">
        <v>166165.41</v>
      </c>
      <c r="H220" s="2389">
        <f t="shared" si="73"/>
        <v>1764676.6542</v>
      </c>
      <c r="I220" s="2465">
        <f>'Resume Analisa'!$D$69</f>
        <v>161086.38</v>
      </c>
      <c r="J220" s="2544">
        <f>I220*E220</f>
        <v>1710737.3555999999</v>
      </c>
      <c r="K220" s="2378" t="e">
        <f>IF(H220=0,"",IF(J220&lt;#REF!*H220,"Timpang &lt;"&amp;TEXT(#REF!,"0%"),IF(J220&gt;#REF!*H220,"Timpang &gt;"&amp;TEXT(#REF!,"0%"),"Wajar")))</f>
        <v>#REF!</v>
      </c>
      <c r="L220" s="2391">
        <v>161086.38</v>
      </c>
      <c r="M220" s="2391">
        <f t="shared" si="74"/>
        <v>1710737.3555999999</v>
      </c>
      <c r="N220" s="2375">
        <f t="shared" si="72"/>
        <v>7.4728658588928533E-4</v>
      </c>
      <c r="O220" s="2375">
        <v>0</v>
      </c>
      <c r="P220" s="2398" t="s">
        <v>89</v>
      </c>
      <c r="Q220" s="2375">
        <f t="shared" si="50"/>
        <v>0</v>
      </c>
      <c r="R220" s="2375">
        <f t="shared" si="56"/>
        <v>0</v>
      </c>
      <c r="S220" s="2375">
        <v>0</v>
      </c>
      <c r="T220" s="2560"/>
      <c r="U220" s="2375">
        <f t="shared" si="66"/>
        <v>0</v>
      </c>
      <c r="V220" s="2375"/>
      <c r="W220" s="2382">
        <f t="shared" si="67"/>
        <v>10.62</v>
      </c>
      <c r="X220" s="2398" t="s">
        <v>89</v>
      </c>
      <c r="Y220" s="2375">
        <f t="shared" si="68"/>
        <v>161086.38</v>
      </c>
      <c r="Z220" s="2375"/>
      <c r="AA220" s="2377" t="s">
        <v>3355</v>
      </c>
    </row>
    <row r="221" spans="1:27" ht="25" hidden="1" customHeight="1">
      <c r="A221" s="2555" t="s">
        <v>101</v>
      </c>
      <c r="B221" s="2549" t="s">
        <v>440</v>
      </c>
      <c r="C221" s="2550"/>
      <c r="D221" s="2551"/>
      <c r="E221" s="2541">
        <f>'6. Vol Gd Beku'!$P$136</f>
        <v>1.27</v>
      </c>
      <c r="F221" s="2398" t="s">
        <v>103</v>
      </c>
      <c r="G221" s="2389">
        <v>200606.23</v>
      </c>
      <c r="H221" s="2389">
        <f t="shared" si="73"/>
        <v>254769.91210000002</v>
      </c>
      <c r="I221" s="2480">
        <f>'Resume Analisa'!$D$24</f>
        <v>189662.29</v>
      </c>
      <c r="J221" s="2544">
        <f>I221*E221</f>
        <v>240871.10830000002</v>
      </c>
      <c r="K221" s="2378" t="e">
        <f>IF(H221=0,"",IF(J221&lt;#REF!*H221,"Timpang &lt;"&amp;TEXT(#REF!,"0%"),IF(J221&gt;#REF!*H221,"Timpang &gt;"&amp;TEXT(#REF!,"0%"),"Wajar")))</f>
        <v>#REF!</v>
      </c>
      <c r="L221" s="2391">
        <v>189662.29</v>
      </c>
      <c r="M221" s="2391">
        <f t="shared" si="74"/>
        <v>240871.10830000002</v>
      </c>
      <c r="N221" s="2375">
        <f t="shared" si="72"/>
        <v>1.0521764055227796E-4</v>
      </c>
      <c r="O221" s="2375">
        <v>0</v>
      </c>
      <c r="P221" s="2398" t="s">
        <v>103</v>
      </c>
      <c r="Q221" s="2375">
        <f t="shared" ref="Q221:Q284" si="75">O221*L221</f>
        <v>0</v>
      </c>
      <c r="R221" s="2375">
        <f t="shared" si="56"/>
        <v>0</v>
      </c>
      <c r="S221" s="2375">
        <v>0</v>
      </c>
      <c r="T221" s="2560"/>
      <c r="U221" s="2375">
        <f t="shared" si="66"/>
        <v>0</v>
      </c>
      <c r="V221" s="2375"/>
      <c r="W221" s="2382">
        <f t="shared" si="67"/>
        <v>1.27</v>
      </c>
      <c r="X221" s="2398" t="s">
        <v>103</v>
      </c>
      <c r="Y221" s="2375">
        <f t="shared" si="68"/>
        <v>189662.29</v>
      </c>
      <c r="Z221" s="2375"/>
      <c r="AA221" s="2377" t="s">
        <v>3355</v>
      </c>
    </row>
    <row r="222" spans="1:27" ht="25" hidden="1" customHeight="1">
      <c r="A222" s="2555" t="s">
        <v>121</v>
      </c>
      <c r="B222" s="2549" t="s">
        <v>441</v>
      </c>
      <c r="C222" s="2550"/>
      <c r="D222" s="2551"/>
      <c r="E222" s="2541">
        <f>'6. Vol Gd Beku'!$P$141</f>
        <v>0.13</v>
      </c>
      <c r="F222" s="2398" t="s">
        <v>103</v>
      </c>
      <c r="G222" s="2389">
        <v>507759.96</v>
      </c>
      <c r="H222" s="2389">
        <f t="shared" si="73"/>
        <v>66008.794800000003</v>
      </c>
      <c r="I222" s="2480">
        <f>'Resume Analisa'!$D$26</f>
        <v>475358.64</v>
      </c>
      <c r="J222" s="2544">
        <f>I222*E222</f>
        <v>61796.623200000002</v>
      </c>
      <c r="K222" s="2378" t="e">
        <f>IF(H222=0,"",IF(J222&lt;#REF!*H222,"Timpang &lt;"&amp;TEXT(#REF!,"0%"),IF(J222&gt;#REF!*H222,"Timpang &gt;"&amp;TEXT(#REF!,"0%"),"Wajar")))</f>
        <v>#REF!</v>
      </c>
      <c r="L222" s="2391">
        <v>475358.64</v>
      </c>
      <c r="M222" s="2391">
        <f t="shared" si="74"/>
        <v>61796.623200000002</v>
      </c>
      <c r="N222" s="2375">
        <f t="shared" si="72"/>
        <v>2.6994083819732899E-5</v>
      </c>
      <c r="O222" s="2375">
        <v>0</v>
      </c>
      <c r="P222" s="2398" t="s">
        <v>103</v>
      </c>
      <c r="Q222" s="2375">
        <f t="shared" si="75"/>
        <v>0</v>
      </c>
      <c r="R222" s="2375">
        <f t="shared" si="56"/>
        <v>0</v>
      </c>
      <c r="S222" s="2375">
        <v>0</v>
      </c>
      <c r="T222" s="2560"/>
      <c r="U222" s="2375">
        <f t="shared" si="66"/>
        <v>0</v>
      </c>
      <c r="V222" s="2375"/>
      <c r="W222" s="2382">
        <f t="shared" si="67"/>
        <v>0.13</v>
      </c>
      <c r="X222" s="2398" t="s">
        <v>103</v>
      </c>
      <c r="Y222" s="2375">
        <f t="shared" si="68"/>
        <v>475358.64</v>
      </c>
      <c r="Z222" s="2375"/>
      <c r="AA222" s="2377" t="s">
        <v>3355</v>
      </c>
    </row>
    <row r="223" spans="1:27" ht="25" hidden="1" customHeight="1">
      <c r="A223" s="2555" t="s">
        <v>142</v>
      </c>
      <c r="B223" s="2549" t="s">
        <v>192</v>
      </c>
      <c r="C223" s="2550"/>
      <c r="D223" s="2551"/>
      <c r="E223" s="2541">
        <f>'6. Vol Gd Beku'!$P$146</f>
        <v>0.3</v>
      </c>
      <c r="F223" s="2398" t="s">
        <v>103</v>
      </c>
      <c r="G223" s="2389">
        <v>1422226.08</v>
      </c>
      <c r="H223" s="2389">
        <f t="shared" si="73"/>
        <v>426667.82400000002</v>
      </c>
      <c r="I223" s="2465">
        <f>'Resume Analisa'!$D$54</f>
        <v>1384580.76</v>
      </c>
      <c r="J223" s="2567">
        <f>E223*I223</f>
        <v>415374.228</v>
      </c>
      <c r="K223" s="2378" t="e">
        <f>IF(H223=0,"",IF(J223&lt;#REF!*H223,"Timpang &lt;"&amp;TEXT(#REF!,"0%"),IF(J223&gt;#REF!*H223,"Timpang &gt;"&amp;TEXT(#REF!,"0%"),"Wajar")))</f>
        <v>#REF!</v>
      </c>
      <c r="L223" s="2391">
        <v>1384580.76</v>
      </c>
      <c r="M223" s="2391">
        <f t="shared" si="74"/>
        <v>415374.228</v>
      </c>
      <c r="N223" s="2375">
        <f t="shared" si="72"/>
        <v>1.8144432732028056E-4</v>
      </c>
      <c r="O223" s="2375">
        <v>0</v>
      </c>
      <c r="P223" s="2398" t="s">
        <v>103</v>
      </c>
      <c r="Q223" s="2375">
        <f t="shared" si="75"/>
        <v>0</v>
      </c>
      <c r="R223" s="2375">
        <f t="shared" si="56"/>
        <v>0</v>
      </c>
      <c r="S223" s="2386">
        <v>0</v>
      </c>
      <c r="T223" s="2537"/>
      <c r="U223" s="2375">
        <f t="shared" si="66"/>
        <v>0</v>
      </c>
      <c r="V223" s="2375"/>
      <c r="W223" s="2382">
        <f t="shared" si="67"/>
        <v>0.3</v>
      </c>
      <c r="X223" s="2398" t="s">
        <v>103</v>
      </c>
      <c r="Y223" s="2375">
        <f t="shared" si="68"/>
        <v>1384580.76</v>
      </c>
      <c r="Z223" s="2375"/>
      <c r="AA223" s="2377" t="s">
        <v>3355</v>
      </c>
    </row>
    <row r="224" spans="1:27" ht="25" hidden="1" customHeight="1">
      <c r="A224" s="2555" t="s">
        <v>217</v>
      </c>
      <c r="B224" s="2549" t="s">
        <v>442</v>
      </c>
      <c r="C224" s="2550"/>
      <c r="D224" s="2551"/>
      <c r="E224" s="2541">
        <f>'6. Vol Gd Beku'!$P$152</f>
        <v>4.26</v>
      </c>
      <c r="F224" s="2398" t="s">
        <v>89</v>
      </c>
      <c r="G224" s="2389">
        <v>61230.840000000004</v>
      </c>
      <c r="H224" s="2389">
        <f t="shared" si="73"/>
        <v>260843.37840000002</v>
      </c>
      <c r="I224" s="2465">
        <f>'Resume Analisa'!$D$70</f>
        <v>58648.57</v>
      </c>
      <c r="J224" s="2552">
        <f>E224*I224</f>
        <v>249842.90819999998</v>
      </c>
      <c r="K224" s="2378" t="e">
        <f>IF(H224=0,"",IF(J224&lt;#REF!*H224,"Timpang &lt;"&amp;TEXT(#REF!,"0%"),IF(J224&gt;#REF!*H224,"Timpang &gt;"&amp;TEXT(#REF!,"0%"),"Wajar")))</f>
        <v>#REF!</v>
      </c>
      <c r="L224" s="2391">
        <v>58648.57</v>
      </c>
      <c r="M224" s="2391">
        <f t="shared" si="74"/>
        <v>249842.90819999998</v>
      </c>
      <c r="N224" s="2375">
        <f t="shared" si="72"/>
        <v>1.0913671421639477E-4</v>
      </c>
      <c r="O224" s="2375">
        <v>0</v>
      </c>
      <c r="P224" s="2398" t="s">
        <v>89</v>
      </c>
      <c r="Q224" s="2375">
        <f t="shared" si="75"/>
        <v>0</v>
      </c>
      <c r="R224" s="2375">
        <f t="shared" si="56"/>
        <v>0</v>
      </c>
      <c r="S224" s="2386">
        <v>0</v>
      </c>
      <c r="T224" s="2612"/>
      <c r="U224" s="2375">
        <f t="shared" si="66"/>
        <v>0</v>
      </c>
      <c r="V224" s="2375"/>
      <c r="W224" s="2382">
        <f t="shared" si="67"/>
        <v>4.26</v>
      </c>
      <c r="X224" s="2398" t="s">
        <v>89</v>
      </c>
      <c r="Y224" s="2375">
        <f t="shared" si="68"/>
        <v>58648.57</v>
      </c>
      <c r="Z224" s="2375"/>
      <c r="AA224" s="2377" t="s">
        <v>3355</v>
      </c>
    </row>
    <row r="225" spans="1:27" ht="25" hidden="1" customHeight="1">
      <c r="A225" s="2555" t="s">
        <v>366</v>
      </c>
      <c r="B225" s="2549" t="s">
        <v>194</v>
      </c>
      <c r="C225" s="2550"/>
      <c r="D225" s="2551"/>
      <c r="E225" s="2541">
        <f>'6. Vol Gd Beku'!$P$156</f>
        <v>8.49</v>
      </c>
      <c r="F225" s="2398" t="s">
        <v>89</v>
      </c>
      <c r="G225" s="2389">
        <v>45612.170000000006</v>
      </c>
      <c r="H225" s="2389">
        <f t="shared" si="73"/>
        <v>387247.32330000005</v>
      </c>
      <c r="I225" s="2465">
        <f>'Resume Analisa'!$D$72</f>
        <v>43813.91</v>
      </c>
      <c r="J225" s="2552">
        <f>E225*I225</f>
        <v>371980.09590000001</v>
      </c>
      <c r="K225" s="2378" t="e">
        <f>IF(H225=0,"",IF(J225&lt;#REF!*H225,"Timpang &lt;"&amp;TEXT(#REF!,"0%"),IF(J225&gt;#REF!*H225,"Timpang &gt;"&amp;TEXT(#REF!,"0%"),"Wajar")))</f>
        <v>#REF!</v>
      </c>
      <c r="L225" s="2391">
        <v>43813.91</v>
      </c>
      <c r="M225" s="2391">
        <f t="shared" si="74"/>
        <v>371980.09590000001</v>
      </c>
      <c r="N225" s="2375">
        <f t="shared" si="72"/>
        <v>1.6248884434185204E-4</v>
      </c>
      <c r="O225" s="2375">
        <v>0</v>
      </c>
      <c r="P225" s="2398" t="s">
        <v>89</v>
      </c>
      <c r="Q225" s="2375">
        <f t="shared" si="75"/>
        <v>0</v>
      </c>
      <c r="R225" s="2375">
        <f t="shared" si="56"/>
        <v>0</v>
      </c>
      <c r="S225" s="2375">
        <v>0</v>
      </c>
      <c r="T225" s="2611"/>
      <c r="U225" s="2375">
        <f t="shared" si="66"/>
        <v>0</v>
      </c>
      <c r="V225" s="2375"/>
      <c r="W225" s="2382">
        <f t="shared" si="67"/>
        <v>8.49</v>
      </c>
      <c r="X225" s="2398" t="s">
        <v>89</v>
      </c>
      <c r="Y225" s="2375">
        <f t="shared" si="68"/>
        <v>43813.91</v>
      </c>
      <c r="Z225" s="2375"/>
      <c r="AA225" s="2377" t="s">
        <v>3355</v>
      </c>
    </row>
    <row r="226" spans="1:27" ht="25" hidden="1" customHeight="1">
      <c r="A226" s="2628">
        <f>A218+1</f>
        <v>9</v>
      </c>
      <c r="B226" s="2629" t="s">
        <v>487</v>
      </c>
      <c r="C226" s="2608"/>
      <c r="D226" s="2609"/>
      <c r="E226" s="2610"/>
      <c r="F226" s="2611"/>
      <c r="G226" s="2473"/>
      <c r="H226" s="2389"/>
      <c r="I226" s="2562"/>
      <c r="J226" s="2552"/>
      <c r="K226" s="2389"/>
      <c r="L226" s="2475"/>
      <c r="M226" s="2391"/>
      <c r="N226" s="2375">
        <f t="shared" si="72"/>
        <v>0</v>
      </c>
      <c r="O226" s="2375">
        <v>0</v>
      </c>
      <c r="P226" s="2611"/>
      <c r="Q226" s="2375">
        <f t="shared" si="75"/>
        <v>0</v>
      </c>
      <c r="R226" s="2375">
        <f t="shared" si="56"/>
        <v>0</v>
      </c>
      <c r="S226" s="2375">
        <v>0</v>
      </c>
      <c r="T226" s="2612"/>
      <c r="U226" s="2375">
        <f t="shared" si="66"/>
        <v>0</v>
      </c>
      <c r="V226" s="2375"/>
      <c r="W226" s="2382">
        <f t="shared" si="67"/>
        <v>0</v>
      </c>
      <c r="X226" s="2611"/>
      <c r="Y226" s="2375">
        <f t="shared" si="68"/>
        <v>0</v>
      </c>
      <c r="Z226" s="2375"/>
      <c r="AA226" s="2377" t="s">
        <v>3355</v>
      </c>
    </row>
    <row r="227" spans="1:27" ht="25" hidden="1" customHeight="1">
      <c r="A227" s="2630" t="s">
        <v>95</v>
      </c>
      <c r="B227" s="2629" t="s">
        <v>488</v>
      </c>
      <c r="C227" s="2608"/>
      <c r="D227" s="2609"/>
      <c r="E227" s="2610">
        <f>'6. Vol Gd Beku'!$P$160</f>
        <v>4.0999999999999996</v>
      </c>
      <c r="F227" s="2611" t="s">
        <v>89</v>
      </c>
      <c r="G227" s="2389">
        <v>166165.41</v>
      </c>
      <c r="H227" s="2389">
        <f>E227*G227</f>
        <v>681278.18099999998</v>
      </c>
      <c r="I227" s="2465">
        <f>'Resume Analisa'!$D$69</f>
        <v>161086.38</v>
      </c>
      <c r="J227" s="2552">
        <f>E227*I227</f>
        <v>660454.15799999994</v>
      </c>
      <c r="K227" s="2378" t="e">
        <f>IF(H227=0,"",IF(J227&lt;#REF!*H227,"Timpang &lt;"&amp;TEXT(#REF!,"0%"),IF(J227&gt;#REF!*H227,"Timpang &gt;"&amp;TEXT(#REF!,"0%"),"Wajar")))</f>
        <v>#REF!</v>
      </c>
      <c r="L227" s="2391">
        <v>161086.38</v>
      </c>
      <c r="M227" s="2391">
        <f>E227*L227</f>
        <v>660454.15799999994</v>
      </c>
      <c r="N227" s="2375">
        <f t="shared" si="72"/>
        <v>2.8850047101187096E-4</v>
      </c>
      <c r="O227" s="2375">
        <v>0</v>
      </c>
      <c r="P227" s="2611" t="s">
        <v>89</v>
      </c>
      <c r="Q227" s="2375">
        <f t="shared" si="75"/>
        <v>0</v>
      </c>
      <c r="R227" s="2375">
        <f t="shared" si="56"/>
        <v>0</v>
      </c>
      <c r="S227" s="2375">
        <v>0</v>
      </c>
      <c r="T227" s="2612"/>
      <c r="U227" s="2375">
        <f t="shared" si="66"/>
        <v>0</v>
      </c>
      <c r="V227" s="2375"/>
      <c r="W227" s="2382">
        <f t="shared" si="67"/>
        <v>4.0999999999999996</v>
      </c>
      <c r="X227" s="2611" t="s">
        <v>89</v>
      </c>
      <c r="Y227" s="2375">
        <f t="shared" si="68"/>
        <v>161086.38</v>
      </c>
      <c r="Z227" s="2375"/>
      <c r="AA227" s="2377" t="s">
        <v>3355</v>
      </c>
    </row>
    <row r="228" spans="1:27" ht="25" hidden="1" customHeight="1">
      <c r="A228" s="2630" t="s">
        <v>98</v>
      </c>
      <c r="B228" s="2629" t="s">
        <v>193</v>
      </c>
      <c r="C228" s="2608"/>
      <c r="D228" s="2609"/>
      <c r="E228" s="2610">
        <f>'6. Vol Gd Beku'!$P$164</f>
        <v>4.0999999999999996</v>
      </c>
      <c r="F228" s="2611" t="s">
        <v>89</v>
      </c>
      <c r="G228" s="2389">
        <v>61230.840000000004</v>
      </c>
      <c r="H228" s="2389">
        <f>E228*G228</f>
        <v>251046.44399999999</v>
      </c>
      <c r="I228" s="2465">
        <f>'Resume Analisa'!$D$70</f>
        <v>58648.57</v>
      </c>
      <c r="J228" s="2552">
        <f>E228*I228</f>
        <v>240459.13699999999</v>
      </c>
      <c r="K228" s="2378" t="e">
        <f>IF(H228=0,"",IF(J228&lt;#REF!*H228,"Timpang &lt;"&amp;TEXT(#REF!,"0%"),IF(J228&gt;#REF!*H228,"Timpang &gt;"&amp;TEXT(#REF!,"0%"),"Wajar")))</f>
        <v>#REF!</v>
      </c>
      <c r="L228" s="2391">
        <v>58648.57</v>
      </c>
      <c r="M228" s="2391">
        <f>E228*L228</f>
        <v>240459.13699999999</v>
      </c>
      <c r="N228" s="2375">
        <f t="shared" si="72"/>
        <v>1.0503768269653018E-4</v>
      </c>
      <c r="O228" s="2375">
        <v>0</v>
      </c>
      <c r="P228" s="2611" t="s">
        <v>89</v>
      </c>
      <c r="Q228" s="2375">
        <f t="shared" si="75"/>
        <v>0</v>
      </c>
      <c r="R228" s="2375">
        <f t="shared" si="56"/>
        <v>0</v>
      </c>
      <c r="S228" s="2375">
        <v>0</v>
      </c>
      <c r="T228" s="2612"/>
      <c r="U228" s="2375">
        <f t="shared" si="66"/>
        <v>0</v>
      </c>
      <c r="V228" s="2375"/>
      <c r="W228" s="2382">
        <f t="shared" si="67"/>
        <v>4.0999999999999996</v>
      </c>
      <c r="X228" s="2611" t="s">
        <v>89</v>
      </c>
      <c r="Y228" s="2375">
        <f t="shared" si="68"/>
        <v>58648.57</v>
      </c>
      <c r="Z228" s="2375"/>
      <c r="AA228" s="2377" t="s">
        <v>3355</v>
      </c>
    </row>
    <row r="229" spans="1:27" ht="25" hidden="1" customHeight="1">
      <c r="A229" s="2630" t="s">
        <v>101</v>
      </c>
      <c r="B229" s="2629" t="s">
        <v>194</v>
      </c>
      <c r="C229" s="2608"/>
      <c r="D229" s="2609"/>
      <c r="E229" s="2610">
        <f>'6. Vol Gd Beku'!$P$165</f>
        <v>4.0999999999999996</v>
      </c>
      <c r="F229" s="2611" t="s">
        <v>89</v>
      </c>
      <c r="G229" s="2389">
        <v>45612.170000000006</v>
      </c>
      <c r="H229" s="2389">
        <f>E229*G229</f>
        <v>187009.897</v>
      </c>
      <c r="I229" s="2465">
        <f>'Resume Analisa'!$D$72</f>
        <v>43813.91</v>
      </c>
      <c r="J229" s="2552">
        <f>E229*I229</f>
        <v>179637.03099999999</v>
      </c>
      <c r="K229" s="2378" t="e">
        <f>IF(H229=0,"",IF(J229&lt;#REF!*H229,"Timpang &lt;"&amp;TEXT(#REF!,"0%"),IF(J229&gt;#REF!*H229,"Timpang &gt;"&amp;TEXT(#REF!,"0%"),"Wajar")))</f>
        <v>#REF!</v>
      </c>
      <c r="L229" s="2391">
        <v>43813.91</v>
      </c>
      <c r="M229" s="2391">
        <f>E229*L229</f>
        <v>179637.03099999999</v>
      </c>
      <c r="N229" s="2375">
        <f t="shared" si="72"/>
        <v>7.846928878699567E-5</v>
      </c>
      <c r="O229" s="2375">
        <v>0</v>
      </c>
      <c r="P229" s="2611" t="s">
        <v>89</v>
      </c>
      <c r="Q229" s="2375">
        <f t="shared" si="75"/>
        <v>0</v>
      </c>
      <c r="R229" s="2375">
        <f t="shared" si="56"/>
        <v>0</v>
      </c>
      <c r="S229" s="2375">
        <v>0</v>
      </c>
      <c r="T229" s="2621"/>
      <c r="U229" s="2375">
        <f t="shared" si="66"/>
        <v>0</v>
      </c>
      <c r="V229" s="2375"/>
      <c r="W229" s="2382">
        <f t="shared" si="67"/>
        <v>4.0999999999999996</v>
      </c>
      <c r="X229" s="2611" t="s">
        <v>89</v>
      </c>
      <c r="Y229" s="2375">
        <f t="shared" si="68"/>
        <v>43813.91</v>
      </c>
      <c r="Z229" s="2375"/>
      <c r="AA229" s="2377" t="s">
        <v>3355</v>
      </c>
    </row>
    <row r="230" spans="1:27" ht="25" hidden="1" customHeight="1">
      <c r="A230" s="2631">
        <f>A226+1</f>
        <v>10</v>
      </c>
      <c r="B230" s="2629" t="s">
        <v>489</v>
      </c>
      <c r="C230" s="2608"/>
      <c r="D230" s="2609"/>
      <c r="E230" s="2610">
        <f>'6. Vol Gd Beku'!$P$166</f>
        <v>102</v>
      </c>
      <c r="F230" s="2611" t="s">
        <v>89</v>
      </c>
      <c r="G230" s="2473">
        <v>61230.840000000004</v>
      </c>
      <c r="H230" s="2389">
        <f>E230*G230</f>
        <v>6245545.6800000006</v>
      </c>
      <c r="I230" s="2562">
        <f>'Resume Analisa'!$D$70</f>
        <v>58648.57</v>
      </c>
      <c r="J230" s="2480">
        <f>I230*E230</f>
        <v>5982154.1399999997</v>
      </c>
      <c r="K230" s="2378" t="e">
        <f>IF(H230=0,"",IF(J230&lt;#REF!*H230,"Timpang &lt;"&amp;TEXT(#REF!,"0%"),IF(J230&gt;#REF!*H230,"Timpang &gt;"&amp;TEXT(#REF!,"0%"),"Wajar")))</f>
        <v>#REF!</v>
      </c>
      <c r="L230" s="2475">
        <v>58648.57</v>
      </c>
      <c r="M230" s="2391">
        <f>E230*L230</f>
        <v>5982154.1399999997</v>
      </c>
      <c r="N230" s="2375">
        <f t="shared" si="72"/>
        <v>2.613132593913678E-3</v>
      </c>
      <c r="O230" s="2375">
        <v>0</v>
      </c>
      <c r="P230" s="2611" t="s">
        <v>89</v>
      </c>
      <c r="Q230" s="2375">
        <f t="shared" si="75"/>
        <v>0</v>
      </c>
      <c r="R230" s="2375">
        <f t="shared" si="56"/>
        <v>0</v>
      </c>
      <c r="S230" s="2386">
        <v>0</v>
      </c>
      <c r="T230" s="2612"/>
      <c r="U230" s="2375">
        <f t="shared" si="66"/>
        <v>0</v>
      </c>
      <c r="V230" s="2375"/>
      <c r="W230" s="2382">
        <f t="shared" si="67"/>
        <v>102</v>
      </c>
      <c r="X230" s="2611" t="s">
        <v>89</v>
      </c>
      <c r="Y230" s="2375">
        <f t="shared" si="68"/>
        <v>58648.57</v>
      </c>
      <c r="Z230" s="2375"/>
      <c r="AA230" s="2377" t="s">
        <v>3355</v>
      </c>
    </row>
    <row r="231" spans="1:27" ht="25" hidden="1" customHeight="1">
      <c r="A231" s="2618"/>
      <c r="B231" s="2613"/>
      <c r="C231" s="2614"/>
      <c r="D231" s="2632" t="s">
        <v>376</v>
      </c>
      <c r="E231" s="2633"/>
      <c r="F231" s="2634"/>
      <c r="G231" s="2546"/>
      <c r="H231" s="2546">
        <f>SUM(H183:H230)</f>
        <v>303541262.38509995</v>
      </c>
      <c r="I231" s="2545"/>
      <c r="J231" s="2545">
        <f>SUM(J183:J230)</f>
        <v>297004766.92603326</v>
      </c>
      <c r="K231" s="2546"/>
      <c r="L231" s="2457"/>
      <c r="M231" s="2457">
        <f>SUM(M183:M230)</f>
        <v>297004766.92603326</v>
      </c>
      <c r="N231" s="2375">
        <f t="shared" si="72"/>
        <v>0.12973802059238693</v>
      </c>
      <c r="O231" s="2375">
        <v>0</v>
      </c>
      <c r="P231" s="2634"/>
      <c r="Q231" s="2375">
        <f t="shared" si="75"/>
        <v>0</v>
      </c>
      <c r="R231" s="2375">
        <f t="shared" si="56"/>
        <v>0</v>
      </c>
      <c r="S231" s="2386">
        <v>0</v>
      </c>
      <c r="T231" s="2612"/>
      <c r="U231" s="2375">
        <f t="shared" si="66"/>
        <v>0</v>
      </c>
      <c r="V231" s="2375"/>
      <c r="W231" s="2382">
        <f t="shared" si="67"/>
        <v>0</v>
      </c>
      <c r="X231" s="2634"/>
      <c r="Y231" s="2375">
        <f t="shared" si="68"/>
        <v>0</v>
      </c>
      <c r="Z231" s="2375"/>
      <c r="AA231" s="2377" t="s">
        <v>3355</v>
      </c>
    </row>
    <row r="232" spans="1:27" ht="25" customHeight="1">
      <c r="A232" s="2635" t="s">
        <v>467</v>
      </c>
      <c r="B232" s="2636" t="s">
        <v>490</v>
      </c>
      <c r="C232" s="2619"/>
      <c r="D232" s="2620"/>
      <c r="E232" s="2637"/>
      <c r="F232" s="2637"/>
      <c r="G232" s="2372"/>
      <c r="H232" s="2372"/>
      <c r="I232" s="2637"/>
      <c r="J232" s="2637"/>
      <c r="K232" s="2372"/>
      <c r="L232" s="2391"/>
      <c r="M232" s="2391"/>
      <c r="N232" s="2375"/>
      <c r="O232" s="2375"/>
      <c r="P232" s="2637"/>
      <c r="Q232" s="2375">
        <f t="shared" si="75"/>
        <v>0</v>
      </c>
      <c r="R232" s="2375">
        <f t="shared" si="56"/>
        <v>0</v>
      </c>
      <c r="S232" s="2375">
        <v>0</v>
      </c>
      <c r="T232" s="2612"/>
      <c r="U232" s="2375">
        <f t="shared" si="66"/>
        <v>0</v>
      </c>
      <c r="V232" s="2375"/>
      <c r="W232" s="2382">
        <f t="shared" si="67"/>
        <v>0</v>
      </c>
      <c r="X232" s="2637"/>
      <c r="Y232" s="2375">
        <f t="shared" si="68"/>
        <v>0</v>
      </c>
      <c r="Z232" s="2375"/>
      <c r="AA232" s="2377"/>
    </row>
    <row r="233" spans="1:27" ht="25" customHeight="1">
      <c r="A233" s="2635" t="s">
        <v>469</v>
      </c>
      <c r="B233" s="2636" t="s">
        <v>470</v>
      </c>
      <c r="C233" s="2619"/>
      <c r="D233" s="2620"/>
      <c r="E233" s="2638"/>
      <c r="F233" s="2627"/>
      <c r="G233" s="2389"/>
      <c r="H233" s="2389"/>
      <c r="I233" s="2623"/>
      <c r="J233" s="2639"/>
      <c r="K233" s="2389"/>
      <c r="L233" s="2391"/>
      <c r="M233" s="2391"/>
      <c r="N233" s="2375"/>
      <c r="O233" s="2375"/>
      <c r="P233" s="2627"/>
      <c r="Q233" s="2375">
        <f t="shared" si="75"/>
        <v>0</v>
      </c>
      <c r="R233" s="2375">
        <f t="shared" si="56"/>
        <v>0</v>
      </c>
      <c r="S233" s="2375">
        <v>0</v>
      </c>
      <c r="T233" s="2624"/>
      <c r="U233" s="2375">
        <f t="shared" si="66"/>
        <v>0</v>
      </c>
      <c r="V233" s="2375"/>
      <c r="W233" s="2382">
        <f t="shared" si="67"/>
        <v>0</v>
      </c>
      <c r="X233" s="2627"/>
      <c r="Y233" s="2375">
        <f t="shared" si="68"/>
        <v>0</v>
      </c>
      <c r="Z233" s="2375"/>
      <c r="AA233" s="2377"/>
    </row>
    <row r="234" spans="1:27" ht="25" customHeight="1">
      <c r="A234" s="2627">
        <v>1</v>
      </c>
      <c r="B234" s="2595" t="s">
        <v>396</v>
      </c>
      <c r="C234" s="2619"/>
      <c r="D234" s="2620"/>
      <c r="E234" s="2638">
        <f>'6. Vol Pabrik ES'!$P$10</f>
        <v>40</v>
      </c>
      <c r="F234" s="2627" t="s">
        <v>117</v>
      </c>
      <c r="G234" s="2389">
        <v>167131.79999999999</v>
      </c>
      <c r="H234" s="2389">
        <f>E234*G234</f>
        <v>6685272</v>
      </c>
      <c r="I234" s="2544">
        <f>'Resume Analisa'!$D$9</f>
        <v>174862.27000000002</v>
      </c>
      <c r="J234" s="2544">
        <f>I234*E234</f>
        <v>6994490.8000000007</v>
      </c>
      <c r="K234" s="2378" t="e">
        <f>IF(H234=0,"",IF(J234&lt;#REF!*H234,"Timpang &lt;"&amp;TEXT(#REF!,"0%"),IF(J234&gt;#REF!*H234,"Timpang &gt;"&amp;TEXT(#REF!,"0%"),"Wajar")))</f>
        <v>#REF!</v>
      </c>
      <c r="L234" s="2391">
        <v>174862.27000000002</v>
      </c>
      <c r="M234" s="2391">
        <f>E234*L234</f>
        <v>6994490.8000000007</v>
      </c>
      <c r="N234" s="2375">
        <f t="shared" ref="N234:N270" si="76">M234/$M$8*100</f>
        <v>0.30553428513477521</v>
      </c>
      <c r="O234" s="2375">
        <v>0</v>
      </c>
      <c r="P234" s="2627"/>
      <c r="Q234" s="2375">
        <f t="shared" si="75"/>
        <v>0</v>
      </c>
      <c r="R234" s="2375">
        <f t="shared" si="56"/>
        <v>0</v>
      </c>
      <c r="S234" s="2375">
        <v>0</v>
      </c>
      <c r="T234" s="2627"/>
      <c r="U234" s="2375">
        <f t="shared" si="66"/>
        <v>0</v>
      </c>
      <c r="V234" s="2375"/>
      <c r="W234" s="2382">
        <f t="shared" si="67"/>
        <v>40</v>
      </c>
      <c r="X234" s="2627" t="s">
        <v>117</v>
      </c>
      <c r="Y234" s="2375">
        <f>W234*L234</f>
        <v>6994490.8000000007</v>
      </c>
      <c r="Z234" s="2375">
        <f t="shared" ref="Z234:Z270" si="77">Y234/$M$8*100</f>
        <v>0.30553428513477521</v>
      </c>
      <c r="AA234" s="2377" t="s">
        <v>3355</v>
      </c>
    </row>
    <row r="235" spans="1:27" ht="25" customHeight="1">
      <c r="A235" s="2627">
        <f>A234+1</f>
        <v>2</v>
      </c>
      <c r="B235" s="2613" t="s">
        <v>403</v>
      </c>
      <c r="C235" s="2619"/>
      <c r="D235" s="2620"/>
      <c r="E235" s="2638"/>
      <c r="F235" s="2627"/>
      <c r="G235" s="2452"/>
      <c r="H235" s="2452"/>
      <c r="I235" s="2617"/>
      <c r="J235" s="2617"/>
      <c r="K235" s="2452"/>
      <c r="L235" s="2391"/>
      <c r="M235" s="2391"/>
      <c r="N235" s="2375">
        <f t="shared" si="76"/>
        <v>0</v>
      </c>
      <c r="O235" s="2375"/>
      <c r="P235" s="2627"/>
      <c r="Q235" s="2375">
        <f t="shared" si="75"/>
        <v>0</v>
      </c>
      <c r="R235" s="2375">
        <f t="shared" ref="R235:R298" si="78">Q235/$M$8*100</f>
        <v>0</v>
      </c>
      <c r="S235" s="2375">
        <v>0</v>
      </c>
      <c r="T235" s="2627"/>
      <c r="U235" s="2375">
        <f t="shared" si="66"/>
        <v>0</v>
      </c>
      <c r="V235" s="2375"/>
      <c r="W235" s="2382">
        <f t="shared" si="67"/>
        <v>0</v>
      </c>
      <c r="X235" s="2627"/>
      <c r="Y235" s="2375">
        <f t="shared" ref="Y235:Y270" si="79">W235*L235</f>
        <v>0</v>
      </c>
      <c r="Z235" s="2375">
        <f t="shared" si="77"/>
        <v>0</v>
      </c>
      <c r="AA235" s="2377"/>
    </row>
    <row r="236" spans="1:27" ht="25" customHeight="1">
      <c r="A236" s="2640" t="s">
        <v>95</v>
      </c>
      <c r="B236" s="2595" t="s">
        <v>491</v>
      </c>
      <c r="C236" s="2619"/>
      <c r="D236" s="2620"/>
      <c r="E236" s="2638">
        <f>'6. Vol Pabrik ES'!$P$15</f>
        <v>57.09</v>
      </c>
      <c r="F236" s="2627" t="s">
        <v>103</v>
      </c>
      <c r="G236" s="2389">
        <v>50600</v>
      </c>
      <c r="H236" s="2389">
        <f t="shared" ref="H236:H244" si="80">E236*G236</f>
        <v>2888754</v>
      </c>
      <c r="I236" s="2465">
        <f>'Resume Analisa'!$D$18</f>
        <v>49036.76</v>
      </c>
      <c r="J236" s="2544">
        <f t="shared" ref="J236:J241" si="81">I236*E236</f>
        <v>2799508.6284000003</v>
      </c>
      <c r="K236" s="2378" t="e">
        <f>IF(H236=0,"",IF(J236&lt;#REF!*H236,"Timpang &lt;"&amp;TEXT(#REF!,"0%"),IF(J236&gt;#REF!*H236,"Timpang &gt;"&amp;TEXT(#REF!,"0%"),"Wajar")))</f>
        <v>#REF!</v>
      </c>
      <c r="L236" s="2391">
        <v>49036.76</v>
      </c>
      <c r="M236" s="2391">
        <f t="shared" ref="M236:M244" si="82">E236*L236</f>
        <v>2799508.6284000003</v>
      </c>
      <c r="N236" s="2375">
        <f t="shared" si="76"/>
        <v>0.12228851133907118</v>
      </c>
      <c r="O236" s="2375">
        <v>0</v>
      </c>
      <c r="P236" s="2627"/>
      <c r="Q236" s="2375">
        <f t="shared" si="75"/>
        <v>0</v>
      </c>
      <c r="R236" s="2375">
        <f t="shared" si="78"/>
        <v>0</v>
      </c>
      <c r="S236" s="2375">
        <v>0</v>
      </c>
      <c r="T236" s="2627"/>
      <c r="U236" s="2375">
        <f t="shared" si="66"/>
        <v>0</v>
      </c>
      <c r="V236" s="2375"/>
      <c r="W236" s="2382">
        <f t="shared" si="67"/>
        <v>57.09</v>
      </c>
      <c r="X236" s="2627" t="s">
        <v>103</v>
      </c>
      <c r="Y236" s="2375">
        <f t="shared" si="79"/>
        <v>2799508.6284000003</v>
      </c>
      <c r="Z236" s="2375">
        <f t="shared" si="77"/>
        <v>0.12228851133907118</v>
      </c>
      <c r="AA236" s="2377" t="s">
        <v>3355</v>
      </c>
    </row>
    <row r="237" spans="1:27" ht="25" customHeight="1">
      <c r="A237" s="2640" t="s">
        <v>98</v>
      </c>
      <c r="B237" s="2556" t="s">
        <v>405</v>
      </c>
      <c r="C237" s="2619"/>
      <c r="D237" s="2620"/>
      <c r="E237" s="2638">
        <f>'6. Vol Pabrik ES'!$P$20</f>
        <v>1248</v>
      </c>
      <c r="F237" s="2621" t="s">
        <v>117</v>
      </c>
      <c r="G237" s="2389">
        <v>34019.880000000005</v>
      </c>
      <c r="H237" s="2389">
        <f t="shared" si="80"/>
        <v>42456810.24000001</v>
      </c>
      <c r="I237" s="2622">
        <f>'Resume Analisa'!$D$37</f>
        <v>33453.230000000003</v>
      </c>
      <c r="J237" s="2544">
        <f t="shared" si="81"/>
        <v>41749631.040000007</v>
      </c>
      <c r="K237" s="2378" t="e">
        <f>IF(H237=0,"",IF(J237&lt;#REF!*H237,"Timpang &lt;"&amp;TEXT(#REF!,"0%"),IF(J237&gt;#REF!*H237,"Timpang &gt;"&amp;TEXT(#REF!,"0%"),"Wajar")))</f>
        <v>#REF!</v>
      </c>
      <c r="L237" s="2391">
        <v>33453.230000000003</v>
      </c>
      <c r="M237" s="2391">
        <f t="shared" si="82"/>
        <v>41749631.040000007</v>
      </c>
      <c r="N237" s="2375">
        <f t="shared" si="76"/>
        <v>1.8237129820010662</v>
      </c>
      <c r="O237" s="2375">
        <v>0</v>
      </c>
      <c r="P237" s="2627"/>
      <c r="Q237" s="2375">
        <f t="shared" si="75"/>
        <v>0</v>
      </c>
      <c r="R237" s="2375">
        <f t="shared" si="78"/>
        <v>0</v>
      </c>
      <c r="S237" s="2386">
        <v>0</v>
      </c>
      <c r="T237" s="2621"/>
      <c r="U237" s="2375">
        <f t="shared" si="66"/>
        <v>0</v>
      </c>
      <c r="V237" s="2375"/>
      <c r="W237" s="2382">
        <f t="shared" si="67"/>
        <v>1248</v>
      </c>
      <c r="X237" s="2621" t="s">
        <v>117</v>
      </c>
      <c r="Y237" s="2375">
        <f t="shared" si="79"/>
        <v>41749631.040000007</v>
      </c>
      <c r="Z237" s="2375">
        <f t="shared" si="77"/>
        <v>1.8237129820010662</v>
      </c>
      <c r="AA237" s="2377" t="s">
        <v>3355</v>
      </c>
    </row>
    <row r="238" spans="1:27" ht="25" customHeight="1">
      <c r="A238" s="2640" t="s">
        <v>101</v>
      </c>
      <c r="B238" s="2613" t="s">
        <v>473</v>
      </c>
      <c r="C238" s="2619"/>
      <c r="D238" s="2620"/>
      <c r="E238" s="2638">
        <f>'6. Vol Pabrik ES'!$P$24</f>
        <v>11.42</v>
      </c>
      <c r="F238" s="2627" t="s">
        <v>103</v>
      </c>
      <c r="G238" s="2389">
        <v>836974.6</v>
      </c>
      <c r="H238" s="2389">
        <f t="shared" si="80"/>
        <v>9558249.932</v>
      </c>
      <c r="I238" s="2623">
        <f>'Resume Analisa'!$D$34</f>
        <v>824806.04</v>
      </c>
      <c r="J238" s="2544">
        <f t="shared" si="81"/>
        <v>9419284.9768000003</v>
      </c>
      <c r="K238" s="2378" t="e">
        <f>IF(H238=0,"",IF(J238&lt;#REF!*H238,"Timpang &lt;"&amp;TEXT(#REF!,"0%"),IF(J238&gt;#REF!*H238,"Timpang &gt;"&amp;TEXT(#REF!,"0%"),"Wajar")))</f>
        <v>#REF!</v>
      </c>
      <c r="L238" s="2391">
        <v>824806.04</v>
      </c>
      <c r="M238" s="2391">
        <f t="shared" si="82"/>
        <v>9419284.9768000003</v>
      </c>
      <c r="N238" s="2375">
        <f t="shared" si="76"/>
        <v>0.41145446954727788</v>
      </c>
      <c r="O238" s="2375">
        <v>0</v>
      </c>
      <c r="P238" s="2627"/>
      <c r="Q238" s="2375">
        <f t="shared" si="75"/>
        <v>0</v>
      </c>
      <c r="R238" s="2375">
        <f t="shared" si="78"/>
        <v>0</v>
      </c>
      <c r="S238" s="2386">
        <v>0</v>
      </c>
      <c r="T238" s="2627"/>
      <c r="U238" s="2375">
        <f t="shared" si="66"/>
        <v>0</v>
      </c>
      <c r="V238" s="2375"/>
      <c r="W238" s="2382">
        <f t="shared" si="67"/>
        <v>11.42</v>
      </c>
      <c r="X238" s="2627" t="s">
        <v>103</v>
      </c>
      <c r="Y238" s="2375">
        <f t="shared" si="79"/>
        <v>9419284.9768000003</v>
      </c>
      <c r="Z238" s="2375">
        <f t="shared" si="77"/>
        <v>0.41145446954727788</v>
      </c>
      <c r="AA238" s="2377" t="s">
        <v>3355</v>
      </c>
    </row>
    <row r="239" spans="1:27" ht="25" customHeight="1">
      <c r="A239" s="2640" t="s">
        <v>121</v>
      </c>
      <c r="B239" s="2595" t="s">
        <v>407</v>
      </c>
      <c r="C239" s="2619"/>
      <c r="D239" s="2620"/>
      <c r="E239" s="2638">
        <f>'6. Vol Pabrik ES'!$P$28</f>
        <v>16.38</v>
      </c>
      <c r="F239" s="2627" t="s">
        <v>103</v>
      </c>
      <c r="G239" s="2389">
        <v>1224235.95</v>
      </c>
      <c r="H239" s="2389">
        <f t="shared" si="80"/>
        <v>20052984.860999998</v>
      </c>
      <c r="I239" s="2544">
        <f>'Resume Analisa'!$D$35</f>
        <v>1193268.75</v>
      </c>
      <c r="J239" s="2544">
        <f t="shared" si="81"/>
        <v>19545742.125</v>
      </c>
      <c r="K239" s="2378" t="e">
        <f>IF(H239=0,"",IF(J239&lt;#REF!*H239,"Timpang &lt;"&amp;TEXT(#REF!,"0%"),IF(J239&gt;#REF!*H239,"Timpang &gt;"&amp;TEXT(#REF!,"0%"),"Wajar")))</f>
        <v>#REF!</v>
      </c>
      <c r="L239" s="2391">
        <v>1193268.75</v>
      </c>
      <c r="M239" s="2391">
        <f t="shared" si="82"/>
        <v>19545742.125</v>
      </c>
      <c r="N239" s="2375">
        <f t="shared" si="76"/>
        <v>0.8537997287222876</v>
      </c>
      <c r="O239" s="2375">
        <v>0</v>
      </c>
      <c r="P239" s="2627"/>
      <c r="Q239" s="2375">
        <f t="shared" si="75"/>
        <v>0</v>
      </c>
      <c r="R239" s="2375">
        <f t="shared" si="78"/>
        <v>0</v>
      </c>
      <c r="S239" s="2375">
        <v>0</v>
      </c>
      <c r="T239" s="2627"/>
      <c r="U239" s="2375">
        <f t="shared" si="66"/>
        <v>0</v>
      </c>
      <c r="V239" s="2375"/>
      <c r="W239" s="2382">
        <f t="shared" si="67"/>
        <v>16.38</v>
      </c>
      <c r="X239" s="2627" t="s">
        <v>103</v>
      </c>
      <c r="Y239" s="2375">
        <f t="shared" si="79"/>
        <v>19545742.125</v>
      </c>
      <c r="Z239" s="2375">
        <f t="shared" si="77"/>
        <v>0.8537997287222876</v>
      </c>
      <c r="AA239" s="2377" t="s">
        <v>3355</v>
      </c>
    </row>
    <row r="240" spans="1:27" ht="25" customHeight="1">
      <c r="A240" s="2618" t="s">
        <v>142</v>
      </c>
      <c r="B240" s="2613" t="s">
        <v>474</v>
      </c>
      <c r="C240" s="2619"/>
      <c r="D240" s="2620"/>
      <c r="E240" s="2616">
        <f>1/3*E236</f>
        <v>19.03</v>
      </c>
      <c r="F240" s="2612" t="s">
        <v>103</v>
      </c>
      <c r="G240" s="2389">
        <v>60375</v>
      </c>
      <c r="H240" s="2389">
        <f t="shared" si="80"/>
        <v>1148936.25</v>
      </c>
      <c r="I240" s="2544">
        <f>'Resume Analisa'!$D$230</f>
        <v>58343.61</v>
      </c>
      <c r="J240" s="2544">
        <f t="shared" si="81"/>
        <v>1110278.8983</v>
      </c>
      <c r="K240" s="2378" t="e">
        <f>IF(H240=0,"",IF(J240&lt;#REF!*H240,"Timpang &lt;"&amp;TEXT(#REF!,"0%"),IF(J240&gt;#REF!*H240,"Timpang &gt;"&amp;TEXT(#REF!,"0%"),"Wajar")))</f>
        <v>#REF!</v>
      </c>
      <c r="L240" s="2391">
        <v>58343.61</v>
      </c>
      <c r="M240" s="2391">
        <f t="shared" si="82"/>
        <v>1110278.8983</v>
      </c>
      <c r="N240" s="2375">
        <f t="shared" si="76"/>
        <v>4.8499351731553675E-2</v>
      </c>
      <c r="O240" s="2375">
        <v>0</v>
      </c>
      <c r="P240" s="2627"/>
      <c r="Q240" s="2375">
        <f t="shared" si="75"/>
        <v>0</v>
      </c>
      <c r="R240" s="2375">
        <f t="shared" si="78"/>
        <v>0</v>
      </c>
      <c r="S240" s="2375">
        <v>0</v>
      </c>
      <c r="T240" s="2612"/>
      <c r="U240" s="2375">
        <f t="shared" si="66"/>
        <v>0</v>
      </c>
      <c r="V240" s="2375"/>
      <c r="W240" s="2382">
        <f t="shared" si="67"/>
        <v>19.03</v>
      </c>
      <c r="X240" s="2612" t="s">
        <v>103</v>
      </c>
      <c r="Y240" s="2375">
        <f t="shared" si="79"/>
        <v>1110278.8983</v>
      </c>
      <c r="Z240" s="2375">
        <f t="shared" si="77"/>
        <v>4.8499351731553675E-2</v>
      </c>
      <c r="AA240" s="2377" t="s">
        <v>3355</v>
      </c>
    </row>
    <row r="241" spans="1:27" ht="25" customHeight="1">
      <c r="A241" s="2618" t="s">
        <v>217</v>
      </c>
      <c r="B241" s="2613" t="s">
        <v>475</v>
      </c>
      <c r="C241" s="2619"/>
      <c r="D241" s="2620"/>
      <c r="E241" s="2616">
        <f>E240</f>
        <v>19.03</v>
      </c>
      <c r="F241" s="2624" t="s">
        <v>103</v>
      </c>
      <c r="G241" s="2389">
        <v>39847.5</v>
      </c>
      <c r="H241" s="2389">
        <f t="shared" si="80"/>
        <v>758297.92500000005</v>
      </c>
      <c r="I241" s="2566">
        <f>'Resume Analisa'!$D$31</f>
        <v>37946.620000000003</v>
      </c>
      <c r="J241" s="2544">
        <f t="shared" si="81"/>
        <v>722124.1786000001</v>
      </c>
      <c r="K241" s="2378" t="e">
        <f>IF(H241=0,"",IF(J241&lt;#REF!*H241,"Timpang &lt;"&amp;TEXT(#REF!,"0%"),IF(J241&gt;#REF!*H241,"Timpang &gt;"&amp;TEXT(#REF!,"0%"),"Wajar")))</f>
        <v>#REF!</v>
      </c>
      <c r="L241" s="2391">
        <v>37946.620000000003</v>
      </c>
      <c r="M241" s="2391">
        <f t="shared" si="82"/>
        <v>722124.1786000001</v>
      </c>
      <c r="N241" s="2375">
        <f t="shared" si="76"/>
        <v>3.1543925211408919E-2</v>
      </c>
      <c r="O241" s="2375">
        <v>0</v>
      </c>
      <c r="P241" s="2627"/>
      <c r="Q241" s="2375">
        <f t="shared" si="75"/>
        <v>0</v>
      </c>
      <c r="R241" s="2375">
        <f t="shared" si="78"/>
        <v>0</v>
      </c>
      <c r="S241" s="2375">
        <v>0</v>
      </c>
      <c r="T241" s="2624"/>
      <c r="U241" s="2375">
        <f t="shared" si="66"/>
        <v>0</v>
      </c>
      <c r="V241" s="2375"/>
      <c r="W241" s="2382">
        <f t="shared" si="67"/>
        <v>19.03</v>
      </c>
      <c r="X241" s="2624" t="s">
        <v>103</v>
      </c>
      <c r="Y241" s="2375">
        <f t="shared" si="79"/>
        <v>722124.1786000001</v>
      </c>
      <c r="Z241" s="2375">
        <f t="shared" si="77"/>
        <v>3.1543925211408919E-2</v>
      </c>
      <c r="AA241" s="2377" t="s">
        <v>3355</v>
      </c>
    </row>
    <row r="242" spans="1:27" ht="25" customHeight="1">
      <c r="A242" s="2618" t="s">
        <v>366</v>
      </c>
      <c r="B242" s="2613" t="s">
        <v>193</v>
      </c>
      <c r="C242" s="2619"/>
      <c r="D242" s="2620"/>
      <c r="E242" s="2638">
        <f>'6. Vol Pabrik ES'!$P$32</f>
        <v>17.399999999999999</v>
      </c>
      <c r="F242" s="2611" t="s">
        <v>89</v>
      </c>
      <c r="G242" s="2389">
        <v>61230.840000000004</v>
      </c>
      <c r="H242" s="2389">
        <f t="shared" si="80"/>
        <v>1065416.6159999999</v>
      </c>
      <c r="I242" s="2566">
        <f>'Resume Analisa'!$D$70</f>
        <v>58648.57</v>
      </c>
      <c r="J242" s="2625">
        <f>E242*I242</f>
        <v>1020485.1179999999</v>
      </c>
      <c r="K242" s="2378" t="e">
        <f>IF(H242=0,"",IF(J242&lt;#REF!*H242,"Timpang &lt;"&amp;TEXT(#REF!,"0%"),IF(J242&gt;#REF!*H242,"Timpang &gt;"&amp;TEXT(#REF!,"0%"),"Wajar")))</f>
        <v>#REF!</v>
      </c>
      <c r="L242" s="2391">
        <v>58648.57</v>
      </c>
      <c r="M242" s="2391">
        <f t="shared" si="82"/>
        <v>1020485.1179999999</v>
      </c>
      <c r="N242" s="2375">
        <f t="shared" si="76"/>
        <v>4.4576967778527446E-2</v>
      </c>
      <c r="O242" s="2375">
        <v>0</v>
      </c>
      <c r="P242" s="2627"/>
      <c r="Q242" s="2375">
        <f t="shared" si="75"/>
        <v>0</v>
      </c>
      <c r="R242" s="2375">
        <f t="shared" si="78"/>
        <v>0</v>
      </c>
      <c r="S242" s="2375">
        <v>0</v>
      </c>
      <c r="T242" s="2611"/>
      <c r="U242" s="2375">
        <f t="shared" si="66"/>
        <v>0</v>
      </c>
      <c r="V242" s="2375"/>
      <c r="W242" s="2382">
        <f t="shared" si="67"/>
        <v>17.399999999999999</v>
      </c>
      <c r="X242" s="2611" t="s">
        <v>89</v>
      </c>
      <c r="Y242" s="2375">
        <f t="shared" si="79"/>
        <v>1020485.1179999999</v>
      </c>
      <c r="Z242" s="2375">
        <f t="shared" si="77"/>
        <v>4.4576967778527446E-2</v>
      </c>
      <c r="AA242" s="2377" t="s">
        <v>3355</v>
      </c>
    </row>
    <row r="243" spans="1:27" ht="25" customHeight="1">
      <c r="A243" s="2618" t="s">
        <v>476</v>
      </c>
      <c r="B243" s="2613" t="s">
        <v>194</v>
      </c>
      <c r="C243" s="2619"/>
      <c r="D243" s="2620"/>
      <c r="E243" s="2638">
        <f>'6. Vol Pabrik ES'!$P$33</f>
        <v>17.399999999999999</v>
      </c>
      <c r="F243" s="2611" t="s">
        <v>89</v>
      </c>
      <c r="G243" s="2389">
        <v>45612.170000000006</v>
      </c>
      <c r="H243" s="2389">
        <f t="shared" si="80"/>
        <v>793651.75800000003</v>
      </c>
      <c r="I243" s="2566">
        <f>'Resume Analisa'!$D$72</f>
        <v>43813.91</v>
      </c>
      <c r="J243" s="2625">
        <f>E243*I243</f>
        <v>762362.03399999999</v>
      </c>
      <c r="K243" s="2378" t="e">
        <f>IF(H243=0,"",IF(J243&lt;#REF!*H243,"Timpang &lt;"&amp;TEXT(#REF!,"0%"),IF(J243&gt;#REF!*H243,"Timpang &gt;"&amp;TEXT(#REF!,"0%"),"Wajar")))</f>
        <v>#REF!</v>
      </c>
      <c r="L243" s="2391">
        <v>43813.91</v>
      </c>
      <c r="M243" s="2391">
        <f t="shared" si="82"/>
        <v>762362.03399999999</v>
      </c>
      <c r="N243" s="2375">
        <f t="shared" si="76"/>
        <v>3.3301600607164021E-2</v>
      </c>
      <c r="O243" s="2375">
        <v>0</v>
      </c>
      <c r="P243" s="2627"/>
      <c r="Q243" s="2375">
        <f t="shared" si="75"/>
        <v>0</v>
      </c>
      <c r="R243" s="2375">
        <f t="shared" si="78"/>
        <v>0</v>
      </c>
      <c r="S243" s="2375">
        <v>0</v>
      </c>
      <c r="T243" s="2611"/>
      <c r="U243" s="2375">
        <f t="shared" si="66"/>
        <v>0</v>
      </c>
      <c r="V243" s="2375"/>
      <c r="W243" s="2382">
        <f t="shared" si="67"/>
        <v>17.399999999999999</v>
      </c>
      <c r="X243" s="2611" t="s">
        <v>89</v>
      </c>
      <c r="Y243" s="2375">
        <f t="shared" si="79"/>
        <v>762362.03399999999</v>
      </c>
      <c r="Z243" s="2375">
        <f t="shared" si="77"/>
        <v>3.3301600607164021E-2</v>
      </c>
      <c r="AA243" s="2377" t="s">
        <v>3355</v>
      </c>
    </row>
    <row r="244" spans="1:27" ht="25" customHeight="1">
      <c r="A244" s="2627">
        <f>A235+1</f>
        <v>3</v>
      </c>
      <c r="B244" s="2549" t="s">
        <v>408</v>
      </c>
      <c r="C244" s="2550"/>
      <c r="D244" s="2551"/>
      <c r="E244" s="2541">
        <f>'6. Vol Pabrik ES'!$P$62</f>
        <v>16.34</v>
      </c>
      <c r="F244" s="2398" t="s">
        <v>100</v>
      </c>
      <c r="G244" s="2473">
        <v>19151.18</v>
      </c>
      <c r="H244" s="2389">
        <f t="shared" si="80"/>
        <v>312930.28120000003</v>
      </c>
      <c r="I244" s="2474">
        <f>'Resume Analisa'!$D$48</f>
        <v>18790.969999999998</v>
      </c>
      <c r="J244" s="2544">
        <f>I244*E244</f>
        <v>307044.44979999994</v>
      </c>
      <c r="K244" s="2378" t="e">
        <f>IF(H244=0,"",IF(J244&lt;#REF!*H244,"Timpang &lt;"&amp;TEXT(#REF!,"0%"),IF(J244&gt;#REF!*H244,"Timpang &gt;"&amp;TEXT(#REF!,"0%"),"Wajar")))</f>
        <v>#REF!</v>
      </c>
      <c r="L244" s="2475">
        <v>18790.969999999998</v>
      </c>
      <c r="M244" s="2391">
        <f t="shared" si="82"/>
        <v>307044.44979999994</v>
      </c>
      <c r="N244" s="2375">
        <f t="shared" si="76"/>
        <v>1.3412356832929616E-2</v>
      </c>
      <c r="O244" s="2375">
        <v>0</v>
      </c>
      <c r="P244" s="2627"/>
      <c r="Q244" s="2375">
        <f t="shared" si="75"/>
        <v>0</v>
      </c>
      <c r="R244" s="2375">
        <f t="shared" si="78"/>
        <v>0</v>
      </c>
      <c r="S244" s="2386">
        <v>0</v>
      </c>
      <c r="T244" s="2398"/>
      <c r="U244" s="2375">
        <f t="shared" si="66"/>
        <v>0</v>
      </c>
      <c r="V244" s="2375"/>
      <c r="W244" s="2382">
        <f t="shared" si="67"/>
        <v>16.34</v>
      </c>
      <c r="X244" s="2398" t="s">
        <v>100</v>
      </c>
      <c r="Y244" s="2375">
        <f t="shared" si="79"/>
        <v>307044.44979999994</v>
      </c>
      <c r="Z244" s="2375">
        <f t="shared" si="77"/>
        <v>1.3412356832929616E-2</v>
      </c>
      <c r="AA244" s="2377" t="s">
        <v>3355</v>
      </c>
    </row>
    <row r="245" spans="1:27" ht="25" customHeight="1">
      <c r="A245" s="2627">
        <f>A244+1</f>
        <v>4</v>
      </c>
      <c r="B245" s="2595" t="s">
        <v>479</v>
      </c>
      <c r="C245" s="2619"/>
      <c r="D245" s="2620"/>
      <c r="E245" s="2638"/>
      <c r="F245" s="2627"/>
      <c r="G245" s="2389"/>
      <c r="H245" s="2389"/>
      <c r="I245" s="2544"/>
      <c r="J245" s="2544"/>
      <c r="K245" s="2389"/>
      <c r="L245" s="2391"/>
      <c r="M245" s="2391"/>
      <c r="N245" s="2375">
        <f t="shared" si="76"/>
        <v>0</v>
      </c>
      <c r="O245" s="2375">
        <v>0</v>
      </c>
      <c r="P245" s="2627"/>
      <c r="Q245" s="2375">
        <f t="shared" si="75"/>
        <v>0</v>
      </c>
      <c r="R245" s="2375">
        <f t="shared" si="78"/>
        <v>0</v>
      </c>
      <c r="S245" s="2386">
        <v>0</v>
      </c>
      <c r="T245" s="2627"/>
      <c r="U245" s="2375">
        <f t="shared" si="66"/>
        <v>0</v>
      </c>
      <c r="V245" s="2375"/>
      <c r="W245" s="2382">
        <f t="shared" si="67"/>
        <v>0</v>
      </c>
      <c r="X245" s="2627"/>
      <c r="Y245" s="2375">
        <f t="shared" si="79"/>
        <v>0</v>
      </c>
      <c r="Z245" s="2375">
        <f t="shared" si="77"/>
        <v>0</v>
      </c>
      <c r="AA245" s="2377"/>
    </row>
    <row r="246" spans="1:27" ht="25" customHeight="1">
      <c r="A246" s="2640" t="s">
        <v>95</v>
      </c>
      <c r="B246" s="2561" t="s">
        <v>221</v>
      </c>
      <c r="C246" s="2619"/>
      <c r="D246" s="2620"/>
      <c r="E246" s="2638">
        <f>'6. Vol Pabrik ES'!$P$67</f>
        <v>31.14</v>
      </c>
      <c r="F246" s="2627" t="s">
        <v>89</v>
      </c>
      <c r="G246" s="2389">
        <v>230885.5</v>
      </c>
      <c r="H246" s="2389">
        <f>E246*G246</f>
        <v>7189774.4699999997</v>
      </c>
      <c r="I246" s="2623">
        <f>'Resume Analisa'!$D$39</f>
        <v>232328.86000000002</v>
      </c>
      <c r="J246" s="2552">
        <f>E246*I246</f>
        <v>7234720.7004000004</v>
      </c>
      <c r="K246" s="2378" t="e">
        <f>IF(H246=0,"",IF(J246&lt;#REF!*H246,"Timpang &lt;"&amp;TEXT(#REF!,"0%"),IF(J246&gt;#REF!*H246,"Timpang &gt;"&amp;TEXT(#REF!,"0%"),"Wajar")))</f>
        <v>#REF!</v>
      </c>
      <c r="L246" s="2391">
        <v>232328.86000000002</v>
      </c>
      <c r="M246" s="2391">
        <f>E246*L246</f>
        <v>7234720.7004000004</v>
      </c>
      <c r="N246" s="2375">
        <f t="shared" si="76"/>
        <v>0.3160280398605248</v>
      </c>
      <c r="O246" s="2375">
        <v>0</v>
      </c>
      <c r="P246" s="2627"/>
      <c r="Q246" s="2375">
        <f t="shared" si="75"/>
        <v>0</v>
      </c>
      <c r="R246" s="2375">
        <f t="shared" si="78"/>
        <v>0</v>
      </c>
      <c r="S246" s="2375">
        <v>0</v>
      </c>
      <c r="T246" s="2627"/>
      <c r="U246" s="2375">
        <f t="shared" si="66"/>
        <v>0</v>
      </c>
      <c r="V246" s="2375"/>
      <c r="W246" s="2382">
        <f t="shared" si="67"/>
        <v>31.14</v>
      </c>
      <c r="X246" s="2627" t="s">
        <v>89</v>
      </c>
      <c r="Y246" s="2375">
        <f t="shared" si="79"/>
        <v>7234720.7004000004</v>
      </c>
      <c r="Z246" s="2375">
        <f t="shared" si="77"/>
        <v>0.3160280398605248</v>
      </c>
      <c r="AA246" s="2377" t="s">
        <v>3355</v>
      </c>
    </row>
    <row r="247" spans="1:27" ht="25" customHeight="1">
      <c r="A247" s="2640" t="s">
        <v>98</v>
      </c>
      <c r="B247" s="2626" t="s">
        <v>480</v>
      </c>
      <c r="C247" s="2619"/>
      <c r="D247" s="2620"/>
      <c r="E247" s="2638">
        <f>'6. Vol Pabrik ES'!$P$71</f>
        <v>351.96</v>
      </c>
      <c r="F247" s="2627" t="s">
        <v>100</v>
      </c>
      <c r="G247" s="2473">
        <v>19151.18</v>
      </c>
      <c r="H247" s="2473">
        <f>E247*G247</f>
        <v>6740449.3127999995</v>
      </c>
      <c r="I247" s="2562">
        <f>'Resume Analisa'!$D$48</f>
        <v>18790.969999999998</v>
      </c>
      <c r="J247" s="2562">
        <f>+I247*E247</f>
        <v>6613669.8011999987</v>
      </c>
      <c r="K247" s="2378" t="e">
        <f>IF(H247=0,"",IF(J247&lt;#REF!*H247,"Timpang &lt;"&amp;TEXT(#REF!,"0%"),IF(J247&gt;#REF!*H247,"Timpang &gt;"&amp;TEXT(#REF!,"0%"),"Wajar")))</f>
        <v>#REF!</v>
      </c>
      <c r="L247" s="2475">
        <v>18790.969999999998</v>
      </c>
      <c r="M247" s="2475">
        <f>E247*L247</f>
        <v>6613669.8011999987</v>
      </c>
      <c r="N247" s="2375">
        <f t="shared" si="76"/>
        <v>0.28889921119448642</v>
      </c>
      <c r="O247" s="2375">
        <v>0</v>
      </c>
      <c r="P247" s="2627"/>
      <c r="Q247" s="2375">
        <f t="shared" si="75"/>
        <v>0</v>
      </c>
      <c r="R247" s="2375">
        <f t="shared" si="78"/>
        <v>0</v>
      </c>
      <c r="S247" s="2375">
        <v>0</v>
      </c>
      <c r="T247" s="2627"/>
      <c r="U247" s="2375">
        <f t="shared" si="66"/>
        <v>0</v>
      </c>
      <c r="V247" s="2375"/>
      <c r="W247" s="2382">
        <f t="shared" si="67"/>
        <v>351.96</v>
      </c>
      <c r="X247" s="2627" t="s">
        <v>100</v>
      </c>
      <c r="Y247" s="2375">
        <f t="shared" si="79"/>
        <v>6613669.8011999987</v>
      </c>
      <c r="Z247" s="2375">
        <f t="shared" si="77"/>
        <v>0.28889921119448642</v>
      </c>
      <c r="AA247" s="2377" t="s">
        <v>3355</v>
      </c>
    </row>
    <row r="248" spans="1:27" ht="25" customHeight="1">
      <c r="A248" s="2640" t="s">
        <v>101</v>
      </c>
      <c r="B248" s="2613" t="s">
        <v>481</v>
      </c>
      <c r="C248" s="2619"/>
      <c r="D248" s="2620"/>
      <c r="E248" s="2638">
        <f>'6. Vol Pabrik ES'!$P$75</f>
        <v>87.83</v>
      </c>
      <c r="F248" s="2627" t="s">
        <v>100</v>
      </c>
      <c r="G248" s="2473">
        <v>19151.18</v>
      </c>
      <c r="H248" s="2473">
        <f>E248*G248</f>
        <v>1682048.1394</v>
      </c>
      <c r="I248" s="2562">
        <f>'Resume Analisa'!$D$48</f>
        <v>18790.969999999998</v>
      </c>
      <c r="J248" s="2562">
        <f>+I248*E248</f>
        <v>1650410.8950999998</v>
      </c>
      <c r="K248" s="2378" t="e">
        <f>IF(H248=0,"",IF(J248&lt;#REF!*H248,"Timpang &lt;"&amp;TEXT(#REF!,"0%"),IF(J248&gt;#REF!*H248,"Timpang &gt;"&amp;TEXT(#REF!,"0%"),"Wajar")))</f>
        <v>#REF!</v>
      </c>
      <c r="L248" s="2475">
        <v>18790.969999999998</v>
      </c>
      <c r="M248" s="2475">
        <f>E248*L248</f>
        <v>1650410.8950999998</v>
      </c>
      <c r="N248" s="2375">
        <f t="shared" si="76"/>
        <v>7.2093470051175543E-2</v>
      </c>
      <c r="O248" s="2375">
        <v>0</v>
      </c>
      <c r="P248" s="2627"/>
      <c r="Q248" s="2375">
        <f t="shared" si="75"/>
        <v>0</v>
      </c>
      <c r="R248" s="2375">
        <f t="shared" si="78"/>
        <v>0</v>
      </c>
      <c r="S248" s="2375">
        <v>0</v>
      </c>
      <c r="T248" s="2627"/>
      <c r="U248" s="2375">
        <f t="shared" si="66"/>
        <v>0</v>
      </c>
      <c r="V248" s="2375"/>
      <c r="W248" s="2382">
        <f t="shared" si="67"/>
        <v>87.83</v>
      </c>
      <c r="X248" s="2627" t="s">
        <v>100</v>
      </c>
      <c r="Y248" s="2375">
        <f t="shared" si="79"/>
        <v>1650410.8950999998</v>
      </c>
      <c r="Z248" s="2375">
        <f t="shared" si="77"/>
        <v>7.2093470051175543E-2</v>
      </c>
      <c r="AA248" s="2377" t="s">
        <v>3355</v>
      </c>
    </row>
    <row r="249" spans="1:27" ht="25" customHeight="1">
      <c r="A249" s="2640" t="s">
        <v>142</v>
      </c>
      <c r="B249" s="2595" t="s">
        <v>420</v>
      </c>
      <c r="C249" s="2619"/>
      <c r="D249" s="2620"/>
      <c r="E249" s="2638">
        <f>'6. Vol Pabrik ES'!$P$79</f>
        <v>4.67</v>
      </c>
      <c r="F249" s="2627" t="s">
        <v>103</v>
      </c>
      <c r="G249" s="2389">
        <v>1584129.98</v>
      </c>
      <c r="H249" s="2389">
        <f>E249*G249</f>
        <v>7397887.0066</v>
      </c>
      <c r="I249" s="2623">
        <f>'Resume Analisa'!$D$55</f>
        <v>1535009.1300000001</v>
      </c>
      <c r="J249" s="2552">
        <f>E249*I249</f>
        <v>7168492.6371000009</v>
      </c>
      <c r="K249" s="2378" t="e">
        <f>IF(H249=0,"",IF(J249&lt;#REF!*H249,"Timpang &lt;"&amp;TEXT(#REF!,"0%"),IF(J249&gt;#REF!*H249,"Timpang &gt;"&amp;TEXT(#REF!,"0%"),"Wajar")))</f>
        <v>#REF!</v>
      </c>
      <c r="L249" s="2391">
        <v>1535009.1300000001</v>
      </c>
      <c r="M249" s="2391">
        <f>E249*L249</f>
        <v>7168492.6371000009</v>
      </c>
      <c r="N249" s="2375">
        <f t="shared" si="76"/>
        <v>0.31313505671781683</v>
      </c>
      <c r="O249" s="2375">
        <v>0</v>
      </c>
      <c r="P249" s="2627"/>
      <c r="Q249" s="2375">
        <f t="shared" si="75"/>
        <v>0</v>
      </c>
      <c r="R249" s="2375">
        <f t="shared" si="78"/>
        <v>0</v>
      </c>
      <c r="S249" s="2375">
        <v>0</v>
      </c>
      <c r="T249" s="2627"/>
      <c r="U249" s="2375">
        <f t="shared" si="66"/>
        <v>0</v>
      </c>
      <c r="V249" s="2375"/>
      <c r="W249" s="2382">
        <f t="shared" si="67"/>
        <v>4.67</v>
      </c>
      <c r="X249" s="2627" t="s">
        <v>103</v>
      </c>
      <c r="Y249" s="2375">
        <f t="shared" si="79"/>
        <v>7168492.6371000009</v>
      </c>
      <c r="Z249" s="2375">
        <f t="shared" si="77"/>
        <v>0.31313505671781683</v>
      </c>
      <c r="AA249" s="2377" t="s">
        <v>3355</v>
      </c>
    </row>
    <row r="250" spans="1:27" ht="25" customHeight="1">
      <c r="A250" s="2627">
        <f>A245+1</f>
        <v>5</v>
      </c>
      <c r="B250" s="2595" t="s">
        <v>483</v>
      </c>
      <c r="C250" s="2619"/>
      <c r="D250" s="2620"/>
      <c r="E250" s="2638"/>
      <c r="F250" s="2627"/>
      <c r="G250" s="2389"/>
      <c r="H250" s="2389"/>
      <c r="I250" s="2544"/>
      <c r="J250" s="2544"/>
      <c r="K250" s="2389"/>
      <c r="L250" s="2391"/>
      <c r="M250" s="2391"/>
      <c r="N250" s="2375">
        <f t="shared" si="76"/>
        <v>0</v>
      </c>
      <c r="O250" s="2375">
        <v>0</v>
      </c>
      <c r="P250" s="2627"/>
      <c r="Q250" s="2375">
        <f t="shared" si="75"/>
        <v>0</v>
      </c>
      <c r="R250" s="2375">
        <f t="shared" si="78"/>
        <v>0</v>
      </c>
      <c r="S250" s="2375">
        <v>0</v>
      </c>
      <c r="T250" s="2627"/>
      <c r="U250" s="2375">
        <f t="shared" si="66"/>
        <v>0</v>
      </c>
      <c r="V250" s="2375"/>
      <c r="W250" s="2382">
        <f t="shared" si="67"/>
        <v>0</v>
      </c>
      <c r="X250" s="2627"/>
      <c r="Y250" s="2375">
        <f t="shared" si="79"/>
        <v>0</v>
      </c>
      <c r="Z250" s="2375">
        <f t="shared" si="77"/>
        <v>0</v>
      </c>
      <c r="AA250" s="2377"/>
    </row>
    <row r="251" spans="1:27" ht="25" customHeight="1">
      <c r="A251" s="2640" t="s">
        <v>95</v>
      </c>
      <c r="B251" s="2613" t="s">
        <v>474</v>
      </c>
      <c r="C251" s="2619"/>
      <c r="D251" s="2620"/>
      <c r="E251" s="2638">
        <f>'6. Vol Pabrik ES'!$P$86</f>
        <v>5.93</v>
      </c>
      <c r="F251" s="2627" t="s">
        <v>103</v>
      </c>
      <c r="G251" s="2389">
        <v>200606.23</v>
      </c>
      <c r="H251" s="2389">
        <f t="shared" ref="H251:H257" si="83">E251*G251</f>
        <v>1189594.9439000001</v>
      </c>
      <c r="I251" s="2544">
        <f>'Resume Analisa'!$D$24</f>
        <v>189662.29</v>
      </c>
      <c r="J251" s="2544">
        <f t="shared" ref="J251:J256" si="84">I251*E251</f>
        <v>1124697.3796999999</v>
      </c>
      <c r="K251" s="2378" t="e">
        <f>IF(H251=0,"",IF(J251&lt;#REF!*H251,"Timpang &lt;"&amp;TEXT(#REF!,"0%"),IF(J251&gt;#REF!*H251,"Timpang &gt;"&amp;TEXT(#REF!,"0%"),"Wajar")))</f>
        <v>#REF!</v>
      </c>
      <c r="L251" s="2391">
        <v>189662.29</v>
      </c>
      <c r="M251" s="2391">
        <f t="shared" ref="M251:M257" si="85">E251*L251</f>
        <v>1124697.3796999999</v>
      </c>
      <c r="N251" s="2375">
        <f t="shared" si="76"/>
        <v>4.9129181769685684E-2</v>
      </c>
      <c r="O251" s="2375">
        <v>0</v>
      </c>
      <c r="P251" s="2627"/>
      <c r="Q251" s="2375">
        <f t="shared" si="75"/>
        <v>0</v>
      </c>
      <c r="R251" s="2375">
        <f t="shared" si="78"/>
        <v>0</v>
      </c>
      <c r="S251" s="2386">
        <v>0</v>
      </c>
      <c r="T251" s="2627"/>
      <c r="U251" s="2375">
        <f t="shared" si="66"/>
        <v>0</v>
      </c>
      <c r="V251" s="2375"/>
      <c r="W251" s="2382">
        <f t="shared" si="67"/>
        <v>5.93</v>
      </c>
      <c r="X251" s="2627" t="s">
        <v>103</v>
      </c>
      <c r="Y251" s="2375">
        <f t="shared" si="79"/>
        <v>1124697.3796999999</v>
      </c>
      <c r="Z251" s="2375">
        <f t="shared" si="77"/>
        <v>4.9129181769685684E-2</v>
      </c>
      <c r="AA251" s="2377" t="s">
        <v>3355</v>
      </c>
    </row>
    <row r="252" spans="1:27" ht="25" customHeight="1">
      <c r="A252" s="2640" t="s">
        <v>98</v>
      </c>
      <c r="B252" s="2613" t="s">
        <v>475</v>
      </c>
      <c r="C252" s="2619"/>
      <c r="D252" s="2620"/>
      <c r="E252" s="2638">
        <f>'6. Vol Pabrik ES'!$P$87</f>
        <v>5.93</v>
      </c>
      <c r="F252" s="2624" t="s">
        <v>103</v>
      </c>
      <c r="G252" s="2389">
        <v>39847.5</v>
      </c>
      <c r="H252" s="2389">
        <f t="shared" si="83"/>
        <v>236295.67499999999</v>
      </c>
      <c r="I252" s="2623">
        <f>'Resume Analisa'!$D$31</f>
        <v>37946.620000000003</v>
      </c>
      <c r="J252" s="2544">
        <f t="shared" si="84"/>
        <v>225023.4566</v>
      </c>
      <c r="K252" s="2378" t="e">
        <f>IF(H252=0,"",IF(J252&lt;#REF!*H252,"Timpang &lt;"&amp;TEXT(#REF!,"0%"),IF(J252&gt;#REF!*H252,"Timpang &gt;"&amp;TEXT(#REF!,"0%"),"Wajar")))</f>
        <v>#REF!</v>
      </c>
      <c r="L252" s="2391">
        <v>37946.620000000003</v>
      </c>
      <c r="M252" s="2391">
        <f t="shared" si="85"/>
        <v>225023.4566</v>
      </c>
      <c r="N252" s="2375">
        <f t="shared" si="76"/>
        <v>9.829504808389641E-3</v>
      </c>
      <c r="O252" s="2375">
        <v>0</v>
      </c>
      <c r="P252" s="2627"/>
      <c r="Q252" s="2375">
        <f t="shared" si="75"/>
        <v>0</v>
      </c>
      <c r="R252" s="2375">
        <f t="shared" si="78"/>
        <v>0</v>
      </c>
      <c r="S252" s="2386">
        <v>0</v>
      </c>
      <c r="T252" s="2624"/>
      <c r="U252" s="2375">
        <f t="shared" si="66"/>
        <v>0</v>
      </c>
      <c r="V252" s="2375"/>
      <c r="W252" s="2382">
        <f t="shared" si="67"/>
        <v>5.93</v>
      </c>
      <c r="X252" s="2624" t="s">
        <v>103</v>
      </c>
      <c r="Y252" s="2375">
        <f t="shared" si="79"/>
        <v>225023.4566</v>
      </c>
      <c r="Z252" s="2375">
        <f t="shared" si="77"/>
        <v>9.829504808389641E-3</v>
      </c>
      <c r="AA252" s="2377" t="s">
        <v>3355</v>
      </c>
    </row>
    <row r="253" spans="1:27" ht="25" customHeight="1">
      <c r="A253" s="2640" t="s">
        <v>101</v>
      </c>
      <c r="B253" s="2595" t="s">
        <v>484</v>
      </c>
      <c r="C253" s="2619"/>
      <c r="D253" s="2620"/>
      <c r="E253" s="2638">
        <f>'6. Vol Pabrik ES'!$P$88</f>
        <v>6.67</v>
      </c>
      <c r="F253" s="2627" t="s">
        <v>103</v>
      </c>
      <c r="G253" s="2389">
        <v>507759.96</v>
      </c>
      <c r="H253" s="2389">
        <f t="shared" si="83"/>
        <v>3386758.9332000003</v>
      </c>
      <c r="I253" s="2623">
        <f>'Resume Analisa'!$D$26</f>
        <v>475358.64</v>
      </c>
      <c r="J253" s="2544">
        <f t="shared" si="84"/>
        <v>3170642.1288000001</v>
      </c>
      <c r="K253" s="2378" t="e">
        <f>IF(H253=0,"",IF(J253&lt;#REF!*H253,"Timpang &lt;"&amp;TEXT(#REF!,"0%"),IF(J253&gt;#REF!*H253,"Timpang &gt;"&amp;TEXT(#REF!,"0%"),"Wajar")))</f>
        <v>#REF!</v>
      </c>
      <c r="L253" s="2391">
        <v>475358.64</v>
      </c>
      <c r="M253" s="2391">
        <f t="shared" si="85"/>
        <v>3170642.1288000001</v>
      </c>
      <c r="N253" s="2375">
        <f t="shared" si="76"/>
        <v>0.13850041467509111</v>
      </c>
      <c r="O253" s="2375">
        <v>0</v>
      </c>
      <c r="P253" s="2627"/>
      <c r="Q253" s="2375">
        <f t="shared" si="75"/>
        <v>0</v>
      </c>
      <c r="R253" s="2375">
        <f t="shared" si="78"/>
        <v>0</v>
      </c>
      <c r="S253" s="2375">
        <v>0</v>
      </c>
      <c r="T253" s="2627"/>
      <c r="U253" s="2375">
        <f t="shared" si="66"/>
        <v>0</v>
      </c>
      <c r="V253" s="2375"/>
      <c r="W253" s="2382">
        <f t="shared" si="67"/>
        <v>6.67</v>
      </c>
      <c r="X253" s="2627" t="s">
        <v>103</v>
      </c>
      <c r="Y253" s="2375">
        <f t="shared" si="79"/>
        <v>3170642.1288000001</v>
      </c>
      <c r="Z253" s="2375">
        <f t="shared" si="77"/>
        <v>0.13850041467509111</v>
      </c>
      <c r="AA253" s="2377" t="s">
        <v>3355</v>
      </c>
    </row>
    <row r="254" spans="1:27" ht="25" customHeight="1">
      <c r="A254" s="2640" t="s">
        <v>121</v>
      </c>
      <c r="B254" s="2595" t="s">
        <v>485</v>
      </c>
      <c r="C254" s="2619"/>
      <c r="D254" s="2620"/>
      <c r="E254" s="2638">
        <f>'6. Vol Pabrik ES'!$P$89</f>
        <v>3.33</v>
      </c>
      <c r="F254" s="2612" t="s">
        <v>103</v>
      </c>
      <c r="G254" s="2389">
        <v>1422226.08</v>
      </c>
      <c r="H254" s="2389">
        <f t="shared" si="83"/>
        <v>4736012.8464000002</v>
      </c>
      <c r="I254" s="2465">
        <f>'Resume Analisa'!$D$54</f>
        <v>1384580.76</v>
      </c>
      <c r="J254" s="2544">
        <f t="shared" si="84"/>
        <v>4610653.9308000002</v>
      </c>
      <c r="K254" s="2378" t="e">
        <f>IF(H254=0,"",IF(J254&lt;#REF!*H254,"Timpang &lt;"&amp;TEXT(#REF!,"0%"),IF(J254&gt;#REF!*H254,"Timpang &gt;"&amp;TEXT(#REF!,"0%"),"Wajar")))</f>
        <v>#REF!</v>
      </c>
      <c r="L254" s="2391">
        <v>1384580.76</v>
      </c>
      <c r="M254" s="2391">
        <f t="shared" si="85"/>
        <v>4610653.9308000002</v>
      </c>
      <c r="N254" s="2375">
        <f t="shared" si="76"/>
        <v>0.20140320332551143</v>
      </c>
      <c r="O254" s="2375">
        <v>0</v>
      </c>
      <c r="P254" s="2627"/>
      <c r="Q254" s="2375">
        <f t="shared" si="75"/>
        <v>0</v>
      </c>
      <c r="R254" s="2375">
        <f t="shared" si="78"/>
        <v>0</v>
      </c>
      <c r="S254" s="2375">
        <v>0</v>
      </c>
      <c r="T254" s="2612"/>
      <c r="U254" s="2375">
        <f t="shared" si="66"/>
        <v>0</v>
      </c>
      <c r="V254" s="2375"/>
      <c r="W254" s="2382">
        <f t="shared" si="67"/>
        <v>3.33</v>
      </c>
      <c r="X254" s="2612" t="s">
        <v>103</v>
      </c>
      <c r="Y254" s="2375">
        <f t="shared" si="79"/>
        <v>4610653.9308000002</v>
      </c>
      <c r="Z254" s="2375">
        <f t="shared" si="77"/>
        <v>0.20140320332551143</v>
      </c>
      <c r="AA254" s="2377" t="s">
        <v>3355</v>
      </c>
    </row>
    <row r="255" spans="1:27" ht="25" customHeight="1">
      <c r="A255" s="2640" t="s">
        <v>142</v>
      </c>
      <c r="B255" s="2561" t="s">
        <v>221</v>
      </c>
      <c r="C255" s="2641"/>
      <c r="D255" s="2642"/>
      <c r="E255" s="2643">
        <f>'6. Vol Pabrik ES'!$P$93</f>
        <v>5.22</v>
      </c>
      <c r="F255" s="2611" t="s">
        <v>89</v>
      </c>
      <c r="G255" s="2389">
        <v>230885.5</v>
      </c>
      <c r="H255" s="2389">
        <f t="shared" si="83"/>
        <v>1205222.31</v>
      </c>
      <c r="I255" s="2544">
        <f>'Resume Analisa'!$D$39</f>
        <v>232328.86000000002</v>
      </c>
      <c r="J255" s="2544">
        <f t="shared" si="84"/>
        <v>1212756.6492000001</v>
      </c>
      <c r="K255" s="2378" t="e">
        <f>IF(H255=0,"",IF(J255&lt;#REF!*H255,"Timpang &lt;"&amp;TEXT(#REF!,"0%"),IF(J255&gt;#REF!*H255,"Timpang &gt;"&amp;TEXT(#REF!,"0%"),"Wajar")))</f>
        <v>#REF!</v>
      </c>
      <c r="L255" s="2391">
        <v>232328.86000000002</v>
      </c>
      <c r="M255" s="2391">
        <f t="shared" si="85"/>
        <v>1212756.6492000001</v>
      </c>
      <c r="N255" s="2375">
        <f t="shared" si="76"/>
        <v>5.2975798589336529E-2</v>
      </c>
      <c r="O255" s="2375">
        <v>0</v>
      </c>
      <c r="P255" s="2627"/>
      <c r="Q255" s="2375">
        <f t="shared" si="75"/>
        <v>0</v>
      </c>
      <c r="R255" s="2375">
        <f t="shared" si="78"/>
        <v>0</v>
      </c>
      <c r="S255" s="2375">
        <v>0</v>
      </c>
      <c r="T255" s="2611"/>
      <c r="U255" s="2375">
        <f t="shared" si="66"/>
        <v>0</v>
      </c>
      <c r="V255" s="2375"/>
      <c r="W255" s="2382">
        <f t="shared" si="67"/>
        <v>5.22</v>
      </c>
      <c r="X255" s="2611" t="s">
        <v>89</v>
      </c>
      <c r="Y255" s="2375">
        <f t="shared" si="79"/>
        <v>1212756.6492000001</v>
      </c>
      <c r="Z255" s="2375">
        <f t="shared" si="77"/>
        <v>5.2975798589336529E-2</v>
      </c>
      <c r="AA255" s="2377" t="s">
        <v>3355</v>
      </c>
    </row>
    <row r="256" spans="1:27" ht="25" customHeight="1">
      <c r="A256" s="2640" t="s">
        <v>217</v>
      </c>
      <c r="B256" s="2595" t="s">
        <v>492</v>
      </c>
      <c r="C256" s="2641"/>
      <c r="D256" s="2642"/>
      <c r="E256" s="2643">
        <f>'6. Vol Pabrik ES'!$P$97</f>
        <v>816.74</v>
      </c>
      <c r="F256" s="2611" t="s">
        <v>100</v>
      </c>
      <c r="G256" s="2389">
        <v>19151.18</v>
      </c>
      <c r="H256" s="2389">
        <f t="shared" si="83"/>
        <v>15641534.7532</v>
      </c>
      <c r="I256" s="2544">
        <f>'Resume Analisa'!$D$48</f>
        <v>18790.969999999998</v>
      </c>
      <c r="J256" s="2544">
        <f t="shared" si="84"/>
        <v>15347336.837799998</v>
      </c>
      <c r="K256" s="2378" t="e">
        <f>IF(H256=0,"",IF(J256&lt;#REF!*H256,"Timpang &lt;"&amp;TEXT(#REF!,"0%"),IF(J256&gt;#REF!*H256,"Timpang &gt;"&amp;TEXT(#REF!,"0%"),"Wajar")))</f>
        <v>#REF!</v>
      </c>
      <c r="L256" s="2391">
        <v>18790.969999999998</v>
      </c>
      <c r="M256" s="2391">
        <f t="shared" si="85"/>
        <v>15347336.837799998</v>
      </c>
      <c r="N256" s="2375">
        <f t="shared" si="76"/>
        <v>0.67040442593188099</v>
      </c>
      <c r="O256" s="2375">
        <v>0</v>
      </c>
      <c r="P256" s="2627"/>
      <c r="Q256" s="2375">
        <f t="shared" si="75"/>
        <v>0</v>
      </c>
      <c r="R256" s="2375">
        <f t="shared" si="78"/>
        <v>0</v>
      </c>
      <c r="S256" s="2375">
        <v>0</v>
      </c>
      <c r="T256" s="2611"/>
      <c r="U256" s="2375">
        <f t="shared" si="66"/>
        <v>0</v>
      </c>
      <c r="V256" s="2375"/>
      <c r="W256" s="2382">
        <f t="shared" si="67"/>
        <v>816.74</v>
      </c>
      <c r="X256" s="2611" t="s">
        <v>100</v>
      </c>
      <c r="Y256" s="2375">
        <f t="shared" si="79"/>
        <v>15347336.837799998</v>
      </c>
      <c r="Z256" s="2375">
        <f t="shared" si="77"/>
        <v>0.67040442593188099</v>
      </c>
      <c r="AA256" s="2377" t="s">
        <v>3355</v>
      </c>
    </row>
    <row r="257" spans="1:27" ht="25" customHeight="1">
      <c r="A257" s="2640" t="s">
        <v>366</v>
      </c>
      <c r="B257" s="2595" t="s">
        <v>420</v>
      </c>
      <c r="C257" s="2641"/>
      <c r="D257" s="2642"/>
      <c r="E257" s="2643">
        <f>'6. Vol Pabrik ES'!$P$98</f>
        <v>10</v>
      </c>
      <c r="F257" s="2611" t="s">
        <v>103</v>
      </c>
      <c r="G257" s="2389">
        <v>1584129.98</v>
      </c>
      <c r="H257" s="2389">
        <f t="shared" si="83"/>
        <v>15841299.800000001</v>
      </c>
      <c r="I257" s="2623">
        <f>'Resume Analisa'!$D$55</f>
        <v>1535009.1300000001</v>
      </c>
      <c r="J257" s="2552">
        <f>E257*I257</f>
        <v>15350091.300000001</v>
      </c>
      <c r="K257" s="2378" t="e">
        <f>IF(H257=0,"",IF(J257&lt;#REF!*H257,"Timpang &lt;"&amp;TEXT(#REF!,"0%"),IF(J257&gt;#REF!*H257,"Timpang &gt;"&amp;TEXT(#REF!,"0%"),"Wajar")))</f>
        <v>#REF!</v>
      </c>
      <c r="L257" s="2391">
        <v>1535009.1300000001</v>
      </c>
      <c r="M257" s="2391">
        <f t="shared" si="85"/>
        <v>15350091.300000001</v>
      </c>
      <c r="N257" s="2375">
        <f t="shared" si="76"/>
        <v>0.67052474671909379</v>
      </c>
      <c r="O257" s="2375">
        <v>0</v>
      </c>
      <c r="P257" s="2627"/>
      <c r="Q257" s="2375">
        <f t="shared" si="75"/>
        <v>0</v>
      </c>
      <c r="R257" s="2375">
        <f t="shared" si="78"/>
        <v>0</v>
      </c>
      <c r="S257" s="2375">
        <v>0</v>
      </c>
      <c r="T257" s="2611"/>
      <c r="U257" s="2375">
        <f t="shared" si="66"/>
        <v>0</v>
      </c>
      <c r="V257" s="2375"/>
      <c r="W257" s="2382">
        <f t="shared" si="67"/>
        <v>10</v>
      </c>
      <c r="X257" s="2611" t="s">
        <v>103</v>
      </c>
      <c r="Y257" s="2375">
        <f t="shared" si="79"/>
        <v>15350091.300000001</v>
      </c>
      <c r="Z257" s="2375">
        <f t="shared" si="77"/>
        <v>0.67052474671909379</v>
      </c>
      <c r="AA257" s="2377" t="s">
        <v>3355</v>
      </c>
    </row>
    <row r="258" spans="1:27" ht="25" customHeight="1">
      <c r="A258" s="2627">
        <f>A250+1</f>
        <v>6</v>
      </c>
      <c r="B258" s="2549" t="s">
        <v>437</v>
      </c>
      <c r="C258" s="2550"/>
      <c r="D258" s="2551"/>
      <c r="E258" s="2541"/>
      <c r="F258" s="2398"/>
      <c r="G258" s="2389"/>
      <c r="H258" s="2389"/>
      <c r="I258" s="2588"/>
      <c r="J258" s="2544"/>
      <c r="K258" s="2389"/>
      <c r="L258" s="2391"/>
      <c r="M258" s="2391"/>
      <c r="N258" s="2375">
        <f t="shared" si="76"/>
        <v>0</v>
      </c>
      <c r="O258" s="2375">
        <v>0</v>
      </c>
      <c r="P258" s="2627"/>
      <c r="Q258" s="2375">
        <f t="shared" si="75"/>
        <v>0</v>
      </c>
      <c r="R258" s="2375">
        <f t="shared" si="78"/>
        <v>0</v>
      </c>
      <c r="S258" s="2386">
        <v>0</v>
      </c>
      <c r="T258" s="2398"/>
      <c r="U258" s="2375">
        <f t="shared" si="66"/>
        <v>0</v>
      </c>
      <c r="V258" s="2375"/>
      <c r="W258" s="2382">
        <f t="shared" si="67"/>
        <v>0</v>
      </c>
      <c r="X258" s="2398"/>
      <c r="Y258" s="2375">
        <f t="shared" si="79"/>
        <v>0</v>
      </c>
      <c r="Z258" s="2375">
        <f t="shared" si="77"/>
        <v>0</v>
      </c>
      <c r="AA258" s="2377"/>
    </row>
    <row r="259" spans="1:27" ht="25" customHeight="1">
      <c r="A259" s="2555" t="s">
        <v>95</v>
      </c>
      <c r="B259" s="2549" t="s">
        <v>438</v>
      </c>
      <c r="C259" s="2550"/>
      <c r="D259" s="2551"/>
      <c r="E259" s="2541">
        <f>'6. Vol Pabrik ES'!$P$108</f>
        <v>0.12</v>
      </c>
      <c r="F259" s="2398" t="s">
        <v>103</v>
      </c>
      <c r="G259" s="2389">
        <v>50600</v>
      </c>
      <c r="H259" s="2389">
        <f t="shared" ref="H259:H265" si="86">E259*G259</f>
        <v>6072</v>
      </c>
      <c r="I259" s="2465">
        <f>'Resume Analisa'!$D$18</f>
        <v>49036.76</v>
      </c>
      <c r="J259" s="2544">
        <f>I259*E259</f>
        <v>5884.4112000000005</v>
      </c>
      <c r="K259" s="2378" t="e">
        <f>IF(H259=0,"",IF(J259&lt;#REF!*H259,"Timpang &lt;"&amp;TEXT(#REF!,"0%"),IF(J259&gt;#REF!*H259,"Timpang &gt;"&amp;TEXT(#REF!,"0%"),"Wajar")))</f>
        <v>#REF!</v>
      </c>
      <c r="L259" s="2391">
        <v>49036.76</v>
      </c>
      <c r="M259" s="2391">
        <f t="shared" ref="M259:M265" si="87">E259*L259</f>
        <v>5884.4112000000005</v>
      </c>
      <c r="N259" s="2375">
        <f t="shared" si="76"/>
        <v>2.5704363917828938E-4</v>
      </c>
      <c r="O259" s="2375">
        <v>0</v>
      </c>
      <c r="P259" s="2627"/>
      <c r="Q259" s="2375">
        <f t="shared" si="75"/>
        <v>0</v>
      </c>
      <c r="R259" s="2375">
        <f t="shared" si="78"/>
        <v>0</v>
      </c>
      <c r="S259" s="2386">
        <v>0</v>
      </c>
      <c r="T259" s="2398"/>
      <c r="U259" s="2375">
        <f t="shared" si="66"/>
        <v>0</v>
      </c>
      <c r="V259" s="2375"/>
      <c r="W259" s="2382">
        <f t="shared" si="67"/>
        <v>0.12</v>
      </c>
      <c r="X259" s="2398" t="s">
        <v>103</v>
      </c>
      <c r="Y259" s="2375">
        <f t="shared" si="79"/>
        <v>5884.4112000000005</v>
      </c>
      <c r="Z259" s="2375">
        <f t="shared" si="77"/>
        <v>2.5704363917828938E-4</v>
      </c>
      <c r="AA259" s="2377" t="s">
        <v>3355</v>
      </c>
    </row>
    <row r="260" spans="1:27" ht="25" customHeight="1">
      <c r="A260" s="2555" t="s">
        <v>98</v>
      </c>
      <c r="B260" s="2549" t="s">
        <v>439</v>
      </c>
      <c r="C260" s="2550"/>
      <c r="D260" s="2551"/>
      <c r="E260" s="2541">
        <f>'6. Vol Pabrik ES'!$P$112</f>
        <v>2.33</v>
      </c>
      <c r="F260" s="2398" t="s">
        <v>89</v>
      </c>
      <c r="G260" s="2389">
        <v>166165.41</v>
      </c>
      <c r="H260" s="2389">
        <f t="shared" si="86"/>
        <v>387165.40530000004</v>
      </c>
      <c r="I260" s="2465">
        <f>'Resume Analisa'!$D$69</f>
        <v>161086.38</v>
      </c>
      <c r="J260" s="2544">
        <f>I260*E260</f>
        <v>375331.26540000003</v>
      </c>
      <c r="K260" s="2378" t="e">
        <f>IF(H260=0,"",IF(J260&lt;#REF!*H260,"Timpang &lt;"&amp;TEXT(#REF!,"0%"),IF(J260&gt;#REF!*H260,"Timpang &gt;"&amp;TEXT(#REF!,"0%"),"Wajar")))</f>
        <v>#REF!</v>
      </c>
      <c r="L260" s="2391">
        <v>161086.38</v>
      </c>
      <c r="M260" s="2391">
        <f t="shared" si="87"/>
        <v>375331.26540000003</v>
      </c>
      <c r="N260" s="2375">
        <f t="shared" si="76"/>
        <v>1.6395270669699012E-2</v>
      </c>
      <c r="O260" s="2375">
        <v>0</v>
      </c>
      <c r="P260" s="2627"/>
      <c r="Q260" s="2375">
        <f t="shared" si="75"/>
        <v>0</v>
      </c>
      <c r="R260" s="2375">
        <f t="shared" si="78"/>
        <v>0</v>
      </c>
      <c r="S260" s="2375">
        <v>0</v>
      </c>
      <c r="T260" s="2398"/>
      <c r="U260" s="2375">
        <f t="shared" si="66"/>
        <v>0</v>
      </c>
      <c r="V260" s="2375"/>
      <c r="W260" s="2382">
        <f t="shared" si="67"/>
        <v>2.33</v>
      </c>
      <c r="X260" s="2398" t="s">
        <v>89</v>
      </c>
      <c r="Y260" s="2375">
        <f t="shared" si="79"/>
        <v>375331.26540000003</v>
      </c>
      <c r="Z260" s="2375">
        <f t="shared" si="77"/>
        <v>1.6395270669699012E-2</v>
      </c>
      <c r="AA260" s="2377" t="s">
        <v>3355</v>
      </c>
    </row>
    <row r="261" spans="1:27" ht="25" customHeight="1">
      <c r="A261" s="2555" t="s">
        <v>101</v>
      </c>
      <c r="B261" s="2549" t="s">
        <v>440</v>
      </c>
      <c r="C261" s="2550"/>
      <c r="D261" s="2551"/>
      <c r="E261" s="2541">
        <f>'6. Vol Pabrik ES'!$P$116</f>
        <v>0.18</v>
      </c>
      <c r="F261" s="2398" t="s">
        <v>103</v>
      </c>
      <c r="G261" s="2389">
        <v>200606.23</v>
      </c>
      <c r="H261" s="2389">
        <f t="shared" si="86"/>
        <v>36109.121400000004</v>
      </c>
      <c r="I261" s="2480">
        <f>'Resume Analisa'!$D$24</f>
        <v>189662.29</v>
      </c>
      <c r="J261" s="2544">
        <f>I261*E261</f>
        <v>34139.212200000002</v>
      </c>
      <c r="K261" s="2378" t="e">
        <f>IF(H261=0,"",IF(J261&lt;#REF!*H261,"Timpang &lt;"&amp;TEXT(#REF!,"0%"),IF(J261&gt;#REF!*H261,"Timpang &gt;"&amp;TEXT(#REF!,"0%"),"Wajar")))</f>
        <v>#REF!</v>
      </c>
      <c r="L261" s="2391">
        <v>189662.29</v>
      </c>
      <c r="M261" s="2391">
        <f t="shared" si="87"/>
        <v>34139.212200000002</v>
      </c>
      <c r="N261" s="2375">
        <f t="shared" si="76"/>
        <v>1.4912736456228371E-3</v>
      </c>
      <c r="O261" s="2375">
        <v>0</v>
      </c>
      <c r="P261" s="2627"/>
      <c r="Q261" s="2375">
        <f t="shared" si="75"/>
        <v>0</v>
      </c>
      <c r="R261" s="2375">
        <f t="shared" si="78"/>
        <v>0</v>
      </c>
      <c r="S261" s="2375">
        <v>0</v>
      </c>
      <c r="T261" s="2398"/>
      <c r="U261" s="2375">
        <f t="shared" si="66"/>
        <v>0</v>
      </c>
      <c r="V261" s="2375"/>
      <c r="W261" s="2382">
        <f t="shared" si="67"/>
        <v>0.18</v>
      </c>
      <c r="X261" s="2398" t="s">
        <v>103</v>
      </c>
      <c r="Y261" s="2375">
        <f t="shared" si="79"/>
        <v>34139.212200000002</v>
      </c>
      <c r="Z261" s="2375">
        <f t="shared" si="77"/>
        <v>1.4912736456228371E-3</v>
      </c>
      <c r="AA261" s="2377" t="s">
        <v>3355</v>
      </c>
    </row>
    <row r="262" spans="1:27" ht="25" customHeight="1">
      <c r="A262" s="2555" t="s">
        <v>121</v>
      </c>
      <c r="B262" s="2549" t="s">
        <v>441</v>
      </c>
      <c r="C262" s="2550"/>
      <c r="D262" s="2551"/>
      <c r="E262" s="2541">
        <f>'6. Vol Pabrik ES'!$P$120</f>
        <v>0.04</v>
      </c>
      <c r="F262" s="2398" t="s">
        <v>103</v>
      </c>
      <c r="G262" s="2389">
        <v>507759.96</v>
      </c>
      <c r="H262" s="2389">
        <f t="shared" si="86"/>
        <v>20310.398400000002</v>
      </c>
      <c r="I262" s="2480">
        <f>'Resume Analisa'!$D$26</f>
        <v>475358.64</v>
      </c>
      <c r="J262" s="2544">
        <f>I262*E262</f>
        <v>19014.345600000001</v>
      </c>
      <c r="K262" s="2378" t="e">
        <f>IF(H262=0,"",IF(J262&lt;#REF!*H262,"Timpang &lt;"&amp;TEXT(#REF!,"0%"),IF(J262&gt;#REF!*H262,"Timpang &gt;"&amp;TEXT(#REF!,"0%"),"Wajar")))</f>
        <v>#REF!</v>
      </c>
      <c r="L262" s="2391">
        <v>475358.64</v>
      </c>
      <c r="M262" s="2391">
        <f t="shared" si="87"/>
        <v>19014.345600000001</v>
      </c>
      <c r="N262" s="2375">
        <f t="shared" si="76"/>
        <v>8.3058719445331991E-4</v>
      </c>
      <c r="O262" s="2375">
        <v>0</v>
      </c>
      <c r="P262" s="2627"/>
      <c r="Q262" s="2375">
        <f t="shared" si="75"/>
        <v>0</v>
      </c>
      <c r="R262" s="2375">
        <f t="shared" si="78"/>
        <v>0</v>
      </c>
      <c r="S262" s="2375">
        <v>0</v>
      </c>
      <c r="T262" s="2398"/>
      <c r="U262" s="2375">
        <f t="shared" si="66"/>
        <v>0</v>
      </c>
      <c r="V262" s="2375"/>
      <c r="W262" s="2382">
        <f t="shared" si="67"/>
        <v>0.04</v>
      </c>
      <c r="X262" s="2398" t="s">
        <v>103</v>
      </c>
      <c r="Y262" s="2375">
        <f t="shared" si="79"/>
        <v>19014.345600000001</v>
      </c>
      <c r="Z262" s="2375">
        <f t="shared" si="77"/>
        <v>8.3058719445331991E-4</v>
      </c>
      <c r="AA262" s="2377" t="s">
        <v>3355</v>
      </c>
    </row>
    <row r="263" spans="1:27" ht="25" customHeight="1">
      <c r="A263" s="2555" t="s">
        <v>142</v>
      </c>
      <c r="B263" s="2549" t="s">
        <v>192</v>
      </c>
      <c r="C263" s="2550"/>
      <c r="D263" s="2551"/>
      <c r="E263" s="2541">
        <f>'6. Vol Pabrik ES'!$P$124</f>
        <v>0.08</v>
      </c>
      <c r="F263" s="2398" t="s">
        <v>103</v>
      </c>
      <c r="G263" s="2389">
        <v>1422226.08</v>
      </c>
      <c r="H263" s="2389">
        <f t="shared" si="86"/>
        <v>113778.08640000001</v>
      </c>
      <c r="I263" s="2465">
        <f>'Resume Analisa'!$D$54</f>
        <v>1384580.76</v>
      </c>
      <c r="J263" s="2567">
        <f>E263*I263</f>
        <v>110766.4608</v>
      </c>
      <c r="K263" s="2378" t="e">
        <f>IF(H263=0,"",IF(J263&lt;#REF!*H263,"Timpang &lt;"&amp;TEXT(#REF!,"0%"),IF(J263&gt;#REF!*H263,"Timpang &gt;"&amp;TEXT(#REF!,"0%"),"Wajar")))</f>
        <v>#REF!</v>
      </c>
      <c r="L263" s="2391">
        <v>1384580.76</v>
      </c>
      <c r="M263" s="2391">
        <f t="shared" si="87"/>
        <v>110766.4608</v>
      </c>
      <c r="N263" s="2375">
        <f t="shared" si="76"/>
        <v>4.8385153952074812E-3</v>
      </c>
      <c r="O263" s="2375">
        <v>0</v>
      </c>
      <c r="P263" s="2627"/>
      <c r="Q263" s="2375">
        <f t="shared" si="75"/>
        <v>0</v>
      </c>
      <c r="R263" s="2375">
        <f t="shared" si="78"/>
        <v>0</v>
      </c>
      <c r="S263" s="2375">
        <v>0</v>
      </c>
      <c r="T263" s="2398"/>
      <c r="U263" s="2375">
        <f t="shared" si="66"/>
        <v>0</v>
      </c>
      <c r="V263" s="2375"/>
      <c r="W263" s="2382">
        <f t="shared" si="67"/>
        <v>0.08</v>
      </c>
      <c r="X263" s="2398" t="s">
        <v>103</v>
      </c>
      <c r="Y263" s="2375">
        <f t="shared" si="79"/>
        <v>110766.4608</v>
      </c>
      <c r="Z263" s="2375">
        <f t="shared" si="77"/>
        <v>4.8385153952074812E-3</v>
      </c>
      <c r="AA263" s="2377" t="s">
        <v>3355</v>
      </c>
    </row>
    <row r="264" spans="1:27" ht="25" customHeight="1">
      <c r="A264" s="2555" t="s">
        <v>217</v>
      </c>
      <c r="B264" s="2549" t="s">
        <v>442</v>
      </c>
      <c r="C264" s="2550"/>
      <c r="D264" s="2551"/>
      <c r="E264" s="2541">
        <f>'6. Vol Pabrik ES'!$P$129</f>
        <v>0.96</v>
      </c>
      <c r="F264" s="2398" t="s">
        <v>89</v>
      </c>
      <c r="G264" s="2389">
        <v>61230.840000000004</v>
      </c>
      <c r="H264" s="2389">
        <f t="shared" si="86"/>
        <v>58781.606400000004</v>
      </c>
      <c r="I264" s="2465">
        <f>'Resume Analisa'!$D$70</f>
        <v>58648.57</v>
      </c>
      <c r="J264" s="2552">
        <f>E264*I264</f>
        <v>56302.627199999995</v>
      </c>
      <c r="K264" s="2378" t="e">
        <f>IF(H264=0,"",IF(J264&lt;#REF!*H264,"Timpang &lt;"&amp;TEXT(#REF!,"0%"),IF(J264&gt;#REF!*H264,"Timpang &gt;"&amp;TEXT(#REF!,"0%"),"Wajar")))</f>
        <v>#REF!</v>
      </c>
      <c r="L264" s="2391">
        <v>58648.57</v>
      </c>
      <c r="M264" s="2391">
        <f t="shared" si="87"/>
        <v>56302.627199999995</v>
      </c>
      <c r="N264" s="2375">
        <f t="shared" si="76"/>
        <v>2.4594189119187555E-3</v>
      </c>
      <c r="O264" s="2375">
        <v>0</v>
      </c>
      <c r="P264" s="2627"/>
      <c r="Q264" s="2375">
        <f t="shared" si="75"/>
        <v>0</v>
      </c>
      <c r="R264" s="2375">
        <f t="shared" si="78"/>
        <v>0</v>
      </c>
      <c r="S264" s="2375">
        <v>0</v>
      </c>
      <c r="T264" s="2398"/>
      <c r="U264" s="2375">
        <f t="shared" si="66"/>
        <v>0</v>
      </c>
      <c r="V264" s="2375"/>
      <c r="W264" s="2382">
        <f t="shared" si="67"/>
        <v>0.96</v>
      </c>
      <c r="X264" s="2398" t="s">
        <v>89</v>
      </c>
      <c r="Y264" s="2375">
        <f t="shared" si="79"/>
        <v>56302.627199999995</v>
      </c>
      <c r="Z264" s="2375">
        <f t="shared" si="77"/>
        <v>2.4594189119187555E-3</v>
      </c>
      <c r="AA264" s="2377" t="s">
        <v>3355</v>
      </c>
    </row>
    <row r="265" spans="1:27" ht="25" customHeight="1">
      <c r="A265" s="2555" t="s">
        <v>366</v>
      </c>
      <c r="B265" s="2549" t="s">
        <v>194</v>
      </c>
      <c r="C265" s="2550"/>
      <c r="D265" s="2551"/>
      <c r="E265" s="2541">
        <f>'6. Vol Pabrik ES'!$P$133</f>
        <v>2.16</v>
      </c>
      <c r="F265" s="2398" t="s">
        <v>89</v>
      </c>
      <c r="G265" s="2389">
        <v>45612.170000000006</v>
      </c>
      <c r="H265" s="2389">
        <f t="shared" si="86"/>
        <v>98522.287200000021</v>
      </c>
      <c r="I265" s="2465">
        <f>'Resume Analisa'!$D$72</f>
        <v>43813.91</v>
      </c>
      <c r="J265" s="2552">
        <f>E265*I265</f>
        <v>94638.045600000012</v>
      </c>
      <c r="K265" s="2378" t="e">
        <f>IF(H265=0,"",IF(J265&lt;#REF!*H265,"Timpang &lt;"&amp;TEXT(#REF!,"0%"),IF(J265&gt;#REF!*H265,"Timpang &gt;"&amp;TEXT(#REF!,"0%"),"Wajar")))</f>
        <v>#REF!</v>
      </c>
      <c r="L265" s="2391">
        <v>43813.91</v>
      </c>
      <c r="M265" s="2391">
        <f t="shared" si="87"/>
        <v>94638.045600000012</v>
      </c>
      <c r="N265" s="2375">
        <f t="shared" si="76"/>
        <v>4.1339917995100164E-3</v>
      </c>
      <c r="O265" s="2375">
        <v>0</v>
      </c>
      <c r="P265" s="2627"/>
      <c r="Q265" s="2375">
        <f t="shared" si="75"/>
        <v>0</v>
      </c>
      <c r="R265" s="2375">
        <f t="shared" si="78"/>
        <v>0</v>
      </c>
      <c r="S265" s="2386">
        <v>0</v>
      </c>
      <c r="T265" s="2398"/>
      <c r="U265" s="2375">
        <f t="shared" si="66"/>
        <v>0</v>
      </c>
      <c r="V265" s="2375"/>
      <c r="W265" s="2382">
        <f t="shared" si="67"/>
        <v>2.16</v>
      </c>
      <c r="X265" s="2398" t="s">
        <v>89</v>
      </c>
      <c r="Y265" s="2375">
        <f t="shared" si="79"/>
        <v>94638.045600000012</v>
      </c>
      <c r="Z265" s="2375">
        <f t="shared" si="77"/>
        <v>4.1339917995100164E-3</v>
      </c>
      <c r="AA265" s="2377" t="s">
        <v>3355</v>
      </c>
    </row>
    <row r="266" spans="1:27" ht="25" customHeight="1">
      <c r="A266" s="2628">
        <f>A258+1</f>
        <v>7</v>
      </c>
      <c r="B266" s="2629" t="s">
        <v>487</v>
      </c>
      <c r="C266" s="2641"/>
      <c r="D266" s="2642"/>
      <c r="E266" s="2643"/>
      <c r="F266" s="2611"/>
      <c r="G266" s="2389"/>
      <c r="H266" s="2389"/>
      <c r="I266" s="2465"/>
      <c r="J266" s="2567"/>
      <c r="K266" s="2389"/>
      <c r="L266" s="2391"/>
      <c r="M266" s="2391"/>
      <c r="N266" s="2375">
        <f t="shared" si="76"/>
        <v>0</v>
      </c>
      <c r="O266" s="2375">
        <v>0</v>
      </c>
      <c r="P266" s="2627"/>
      <c r="Q266" s="2375">
        <f t="shared" si="75"/>
        <v>0</v>
      </c>
      <c r="R266" s="2375">
        <f t="shared" si="78"/>
        <v>0</v>
      </c>
      <c r="S266" s="2386">
        <v>0</v>
      </c>
      <c r="T266" s="2611"/>
      <c r="U266" s="2375">
        <f t="shared" si="66"/>
        <v>0</v>
      </c>
      <c r="V266" s="2375"/>
      <c r="W266" s="2382">
        <f t="shared" si="67"/>
        <v>0</v>
      </c>
      <c r="X266" s="2611"/>
      <c r="Y266" s="2375">
        <f t="shared" si="79"/>
        <v>0</v>
      </c>
      <c r="Z266" s="2375">
        <f t="shared" si="77"/>
        <v>0</v>
      </c>
      <c r="AA266" s="2377"/>
    </row>
    <row r="267" spans="1:27" ht="25" customHeight="1">
      <c r="A267" s="2630" t="s">
        <v>95</v>
      </c>
      <c r="B267" s="2629" t="s">
        <v>488</v>
      </c>
      <c r="C267" s="2641"/>
      <c r="D267" s="2642"/>
      <c r="E267" s="2610">
        <f>'6. Vol Pabrik ES'!$P$137</f>
        <v>3</v>
      </c>
      <c r="F267" s="2611" t="s">
        <v>89</v>
      </c>
      <c r="G267" s="2389">
        <v>166165.41</v>
      </c>
      <c r="H267" s="2389">
        <f>E267*G267</f>
        <v>498496.23</v>
      </c>
      <c r="I267" s="2465">
        <f>'Resume Analisa'!$D$69</f>
        <v>161086.38</v>
      </c>
      <c r="J267" s="2552">
        <f>E267*I267</f>
        <v>483259.14</v>
      </c>
      <c r="K267" s="2378" t="e">
        <f>IF(H267=0,"",IF(J267&lt;#REF!*H267,"Timpang &lt;"&amp;TEXT(#REF!,"0%"),IF(J267&gt;#REF!*H267,"Timpang &gt;"&amp;TEXT(#REF!,"0%"),"Wajar")))</f>
        <v>#REF!</v>
      </c>
      <c r="L267" s="2391">
        <v>161086.38</v>
      </c>
      <c r="M267" s="2391">
        <f>E267*L267</f>
        <v>483259.14</v>
      </c>
      <c r="N267" s="2375">
        <f t="shared" si="76"/>
        <v>2.110979056184422E-2</v>
      </c>
      <c r="O267" s="2375">
        <v>0</v>
      </c>
      <c r="P267" s="2627"/>
      <c r="Q267" s="2375">
        <f t="shared" si="75"/>
        <v>0</v>
      </c>
      <c r="R267" s="2375">
        <f t="shared" si="78"/>
        <v>0</v>
      </c>
      <c r="S267" s="2375">
        <v>0</v>
      </c>
      <c r="T267" s="2611"/>
      <c r="U267" s="2375">
        <f t="shared" si="66"/>
        <v>0</v>
      </c>
      <c r="V267" s="2375"/>
      <c r="W267" s="2382">
        <f t="shared" si="67"/>
        <v>3</v>
      </c>
      <c r="X267" s="2611" t="s">
        <v>89</v>
      </c>
      <c r="Y267" s="2375">
        <f t="shared" si="79"/>
        <v>483259.14</v>
      </c>
      <c r="Z267" s="2375">
        <f t="shared" si="77"/>
        <v>2.110979056184422E-2</v>
      </c>
      <c r="AA267" s="2377" t="s">
        <v>3355</v>
      </c>
    </row>
    <row r="268" spans="1:27" ht="25" customHeight="1">
      <c r="A268" s="2630" t="s">
        <v>98</v>
      </c>
      <c r="B268" s="2629" t="s">
        <v>193</v>
      </c>
      <c r="C268" s="2641"/>
      <c r="D268" s="2642"/>
      <c r="E268" s="2610">
        <f>'6. Vol Pabrik ES'!$P$141</f>
        <v>3</v>
      </c>
      <c r="F268" s="2611" t="s">
        <v>89</v>
      </c>
      <c r="G268" s="2389">
        <v>61230.840000000004</v>
      </c>
      <c r="H268" s="2389">
        <f>E268*G268</f>
        <v>183692.52000000002</v>
      </c>
      <c r="I268" s="2465">
        <f>'Resume Analisa'!$D$70</f>
        <v>58648.57</v>
      </c>
      <c r="J268" s="2552">
        <f>E268*I268</f>
        <v>175945.71</v>
      </c>
      <c r="K268" s="2378" t="e">
        <f>IF(H268=0,"",IF(J268&lt;#REF!*H268,"Timpang &lt;"&amp;TEXT(#REF!,"0%"),IF(J268&gt;#REF!*H268,"Timpang &gt;"&amp;TEXT(#REF!,"0%"),"Wajar")))</f>
        <v>#REF!</v>
      </c>
      <c r="L268" s="2391">
        <v>58648.57</v>
      </c>
      <c r="M268" s="2391">
        <f>E268*L268</f>
        <v>175945.71</v>
      </c>
      <c r="N268" s="2375">
        <f t="shared" si="76"/>
        <v>7.6856840997461106E-3</v>
      </c>
      <c r="O268" s="2375">
        <v>0</v>
      </c>
      <c r="P268" s="2627"/>
      <c r="Q268" s="2375">
        <f t="shared" si="75"/>
        <v>0</v>
      </c>
      <c r="R268" s="2375">
        <f t="shared" si="78"/>
        <v>0</v>
      </c>
      <c r="S268" s="2375">
        <v>0</v>
      </c>
      <c r="T268" s="2611"/>
      <c r="U268" s="2375">
        <f t="shared" si="66"/>
        <v>0</v>
      </c>
      <c r="V268" s="2375"/>
      <c r="W268" s="2382">
        <f t="shared" si="67"/>
        <v>3</v>
      </c>
      <c r="X268" s="2611" t="s">
        <v>89</v>
      </c>
      <c r="Y268" s="2375">
        <f t="shared" si="79"/>
        <v>175945.71</v>
      </c>
      <c r="Z268" s="2375">
        <f t="shared" si="77"/>
        <v>7.6856840997461106E-3</v>
      </c>
      <c r="AA268" s="2377" t="s">
        <v>3355</v>
      </c>
    </row>
    <row r="269" spans="1:27" ht="25" customHeight="1">
      <c r="A269" s="2630" t="s">
        <v>101</v>
      </c>
      <c r="B269" s="2629" t="s">
        <v>194</v>
      </c>
      <c r="C269" s="2641"/>
      <c r="D269" s="2642"/>
      <c r="E269" s="2610">
        <f>'6. Vol Pabrik ES'!$P$142</f>
        <v>3</v>
      </c>
      <c r="F269" s="2611" t="s">
        <v>89</v>
      </c>
      <c r="G269" s="2389">
        <v>45612.170000000006</v>
      </c>
      <c r="H269" s="2389">
        <f>E269*G269</f>
        <v>136836.51</v>
      </c>
      <c r="I269" s="2465">
        <f>'Resume Analisa'!$D$72</f>
        <v>43813.91</v>
      </c>
      <c r="J269" s="2552">
        <f>E269*I269</f>
        <v>131441.73000000001</v>
      </c>
      <c r="K269" s="2378" t="e">
        <f>IF(H269=0,"",IF(J269&lt;#REF!*H269,"Timpang &lt;"&amp;TEXT(#REF!,"0%"),IF(J269&gt;#REF!*H269,"Timpang &gt;"&amp;TEXT(#REF!,"0%"),"Wajar")))</f>
        <v>#REF!</v>
      </c>
      <c r="L269" s="2391">
        <v>43813.91</v>
      </c>
      <c r="M269" s="2391">
        <f>E269*L269</f>
        <v>131441.73000000001</v>
      </c>
      <c r="N269" s="2375">
        <f t="shared" si="76"/>
        <v>5.7416552770972453E-3</v>
      </c>
      <c r="O269" s="2375">
        <v>0</v>
      </c>
      <c r="P269" s="2627"/>
      <c r="Q269" s="2375">
        <f t="shared" si="75"/>
        <v>0</v>
      </c>
      <c r="R269" s="2375">
        <f t="shared" si="78"/>
        <v>0</v>
      </c>
      <c r="S269" s="2375">
        <v>0</v>
      </c>
      <c r="T269" s="2611"/>
      <c r="U269" s="2375">
        <f t="shared" si="66"/>
        <v>0</v>
      </c>
      <c r="V269" s="2375"/>
      <c r="W269" s="2382">
        <f t="shared" si="67"/>
        <v>3</v>
      </c>
      <c r="X269" s="2611" t="s">
        <v>89</v>
      </c>
      <c r="Y269" s="2375">
        <f t="shared" si="79"/>
        <v>131441.73000000001</v>
      </c>
      <c r="Z269" s="2375">
        <f t="shared" si="77"/>
        <v>5.7416552770972453E-3</v>
      </c>
      <c r="AA269" s="2377" t="s">
        <v>3355</v>
      </c>
    </row>
    <row r="270" spans="1:27" ht="25" customHeight="1">
      <c r="A270" s="2644">
        <f>A266+1</f>
        <v>8</v>
      </c>
      <c r="B270" s="2645" t="s">
        <v>489</v>
      </c>
      <c r="C270" s="2646"/>
      <c r="D270" s="2647"/>
      <c r="E270" s="2648">
        <f>'6. Vol Pabrik ES'!$P$143</f>
        <v>50</v>
      </c>
      <c r="F270" s="2649" t="s">
        <v>89</v>
      </c>
      <c r="G270" s="2487">
        <v>61230.840000000004</v>
      </c>
      <c r="H270" s="2405">
        <f>E270*G270</f>
        <v>3061542</v>
      </c>
      <c r="I270" s="2650">
        <f>'Resume Analisa'!$D$70</f>
        <v>58648.57</v>
      </c>
      <c r="J270" s="2591">
        <f>I270*E270</f>
        <v>2932428.5</v>
      </c>
      <c r="K270" s="2408" t="e">
        <f>IF(H270=0,"",IF(J270&lt;#REF!*H270,"Timpang &lt;"&amp;TEXT(#REF!,"0%"),IF(J270&gt;#REF!*H270,"Timpang &gt;"&amp;TEXT(#REF!,"0%"),"Wajar")))</f>
        <v>#REF!</v>
      </c>
      <c r="L270" s="2491">
        <v>58648.57</v>
      </c>
      <c r="M270" s="2410">
        <f>E270*L270</f>
        <v>2932428.5</v>
      </c>
      <c r="N270" s="2411">
        <f t="shared" si="76"/>
        <v>0.12809473499576854</v>
      </c>
      <c r="O270" s="2411">
        <v>0</v>
      </c>
      <c r="P270" s="2651"/>
      <c r="Q270" s="2411">
        <f t="shared" si="75"/>
        <v>0</v>
      </c>
      <c r="R270" s="2411">
        <f t="shared" si="78"/>
        <v>0</v>
      </c>
      <c r="S270" s="2411">
        <v>0</v>
      </c>
      <c r="T270" s="2649"/>
      <c r="U270" s="2411">
        <f t="shared" si="66"/>
        <v>0</v>
      </c>
      <c r="V270" s="2411"/>
      <c r="W270" s="2402">
        <f t="shared" si="67"/>
        <v>50</v>
      </c>
      <c r="X270" s="2649" t="s">
        <v>89</v>
      </c>
      <c r="Y270" s="2411">
        <f t="shared" si="79"/>
        <v>2932428.5</v>
      </c>
      <c r="Z270" s="2375">
        <f t="shared" si="77"/>
        <v>0.12809473499576854</v>
      </c>
      <c r="AA270" s="2412" t="s">
        <v>3355</v>
      </c>
    </row>
    <row r="271" spans="1:27" ht="25" customHeight="1">
      <c r="A271" s="2652"/>
      <c r="B271" s="2653"/>
      <c r="C271" s="2654"/>
      <c r="D271" s="2512" t="s">
        <v>376</v>
      </c>
      <c r="E271" s="2655"/>
      <c r="F271" s="2656"/>
      <c r="G271" s="2581"/>
      <c r="H271" s="2581">
        <f>SUM(H234:H270)</f>
        <v>155569488.21880004</v>
      </c>
      <c r="I271" s="2657"/>
      <c r="J271" s="2658">
        <f>SUM(J234:J270)</f>
        <v>152558599.41359997</v>
      </c>
      <c r="K271" s="2581"/>
      <c r="L271" s="2584"/>
      <c r="M271" s="2584">
        <f>SUM(M234:M270)</f>
        <v>152558599.41359997</v>
      </c>
      <c r="N271" s="2424">
        <f>M271/M8*100</f>
        <v>6.664085198739099</v>
      </c>
      <c r="O271" s="2426">
        <v>0</v>
      </c>
      <c r="P271" s="2659"/>
      <c r="Q271" s="2426">
        <f t="shared" si="75"/>
        <v>0</v>
      </c>
      <c r="R271" s="2426">
        <f t="shared" si="78"/>
        <v>0</v>
      </c>
      <c r="S271" s="2426">
        <v>0</v>
      </c>
      <c r="T271" s="2660"/>
      <c r="U271" s="2426">
        <f t="shared" si="66"/>
        <v>0</v>
      </c>
      <c r="V271" s="2426"/>
      <c r="W271" s="2428">
        <f t="shared" si="67"/>
        <v>0</v>
      </c>
      <c r="X271" s="2656"/>
      <c r="Y271" s="2424">
        <f>SUM(Y234:Y270)</f>
        <v>152558599.41359997</v>
      </c>
      <c r="Z271" s="2424">
        <f>SUM(Z234:Z270)</f>
        <v>6.6640851987391008</v>
      </c>
      <c r="AA271" s="2429"/>
    </row>
    <row r="272" spans="1:27" ht="25" customHeight="1">
      <c r="A272" s="2661" t="s">
        <v>493</v>
      </c>
      <c r="B272" s="2662" t="s">
        <v>494</v>
      </c>
      <c r="C272" s="2663"/>
      <c r="D272" s="2664"/>
      <c r="E272" s="2665"/>
      <c r="F272" s="2661"/>
      <c r="G272" s="2531"/>
      <c r="H272" s="2531"/>
      <c r="I272" s="2666"/>
      <c r="J272" s="2667"/>
      <c r="K272" s="2531"/>
      <c r="L272" s="2533"/>
      <c r="M272" s="2533"/>
      <c r="N272" s="2365"/>
      <c r="O272" s="2365">
        <v>0</v>
      </c>
      <c r="P272" s="2668"/>
      <c r="Q272" s="2365">
        <f t="shared" si="75"/>
        <v>0</v>
      </c>
      <c r="R272" s="2365">
        <f t="shared" si="78"/>
        <v>0</v>
      </c>
      <c r="S272" s="2535">
        <v>0</v>
      </c>
      <c r="T272" s="2669"/>
      <c r="U272" s="2365">
        <f t="shared" ref="U272:U335" si="88">S272*L272</f>
        <v>0</v>
      </c>
      <c r="V272" s="2365"/>
      <c r="W272" s="2445">
        <f t="shared" ref="W272:W335" si="89">(E272+O272)-S272</f>
        <v>0</v>
      </c>
      <c r="X272" s="2661"/>
      <c r="Y272" s="2365">
        <f t="shared" ref="Y272:Y335" si="90">L272</f>
        <v>0</v>
      </c>
      <c r="Z272" s="2365"/>
      <c r="AA272" s="2367"/>
    </row>
    <row r="273" spans="1:27" ht="25" customHeight="1">
      <c r="A273" s="2628">
        <v>1</v>
      </c>
      <c r="B273" s="2595" t="s">
        <v>396</v>
      </c>
      <c r="C273" s="2619"/>
      <c r="D273" s="2670"/>
      <c r="E273" s="2638">
        <f>'6. Vol Pabrik ES'!$P$188</f>
        <v>12</v>
      </c>
      <c r="F273" s="2627" t="s">
        <v>117</v>
      </c>
      <c r="G273" s="2389">
        <v>167131.79999999999</v>
      </c>
      <c r="H273" s="2389">
        <f>E273*G273</f>
        <v>2005581.5999999999</v>
      </c>
      <c r="I273" s="2544">
        <f>'Resume Analisa'!$D$9</f>
        <v>174862.27000000002</v>
      </c>
      <c r="J273" s="2544">
        <f>I273*E273</f>
        <v>2098347.2400000002</v>
      </c>
      <c r="K273" s="2378" t="e">
        <f>IF(H273=0,"",IF(J273&lt;#REF!*H273,"Timpang &lt;"&amp;TEXT(#REF!,"0%"),IF(J273&gt;#REF!*H273,"Timpang &gt;"&amp;TEXT(#REF!,"0%"),"Wajar")))</f>
        <v>#REF!</v>
      </c>
      <c r="L273" s="2391">
        <v>174862.27000000002</v>
      </c>
      <c r="M273" s="2391">
        <f>E273*L273</f>
        <v>2098347.2400000002</v>
      </c>
      <c r="N273" s="2375">
        <f t="shared" ref="N273:N308" si="91">M273/$M$8*100</f>
        <v>9.1660285540432554E-2</v>
      </c>
      <c r="O273" s="2375">
        <v>0</v>
      </c>
      <c r="P273" s="2627"/>
      <c r="Q273" s="2375">
        <f t="shared" si="75"/>
        <v>0</v>
      </c>
      <c r="R273" s="2375">
        <f t="shared" si="78"/>
        <v>0</v>
      </c>
      <c r="S273" s="2386">
        <v>0</v>
      </c>
      <c r="T273" s="2627"/>
      <c r="U273" s="2375">
        <f t="shared" si="88"/>
        <v>0</v>
      </c>
      <c r="V273" s="2375"/>
      <c r="W273" s="2382">
        <f t="shared" si="89"/>
        <v>12</v>
      </c>
      <c r="X273" s="2627" t="s">
        <v>117</v>
      </c>
      <c r="Y273" s="2375">
        <f>W273*L273</f>
        <v>2098347.2400000002</v>
      </c>
      <c r="Z273" s="2375">
        <f t="shared" ref="Z273:Z308" si="92">Y273/$M$8*100</f>
        <v>9.1660285540432554E-2</v>
      </c>
      <c r="AA273" s="2377" t="s">
        <v>3355</v>
      </c>
    </row>
    <row r="274" spans="1:27" ht="25" customHeight="1">
      <c r="A274" s="2628">
        <f>A273+1</f>
        <v>2</v>
      </c>
      <c r="B274" s="2554" t="s">
        <v>495</v>
      </c>
      <c r="C274" s="2550"/>
      <c r="D274" s="2551"/>
      <c r="E274" s="2638">
        <f>'6. Vol Pabrik ES'!$P$189</f>
        <v>13.42</v>
      </c>
      <c r="F274" s="2398" t="s">
        <v>103</v>
      </c>
      <c r="G274" s="2389">
        <v>108675</v>
      </c>
      <c r="H274" s="2389">
        <f>E274*G274</f>
        <v>1458418.5</v>
      </c>
      <c r="I274" s="2465">
        <f>'Resume Analisa'!$D$19</f>
        <v>105018.5</v>
      </c>
      <c r="J274" s="2552">
        <f>E274*I274</f>
        <v>1409348.27</v>
      </c>
      <c r="K274" s="2378" t="e">
        <f>IF(H274=0,"",IF(J274&lt;#REF!*H274,"Timpang &lt;"&amp;TEXT(#REF!,"0%"),IF(J274&gt;#REF!*H274,"Timpang &gt;"&amp;TEXT(#REF!,"0%"),"Wajar")))</f>
        <v>#REF!</v>
      </c>
      <c r="L274" s="2391">
        <v>105018.5</v>
      </c>
      <c r="M274" s="2391">
        <f>E274*L274</f>
        <v>1409348.27</v>
      </c>
      <c r="N274" s="2375">
        <f t="shared" si="91"/>
        <v>6.156334013340644E-2</v>
      </c>
      <c r="O274" s="2375">
        <v>0</v>
      </c>
      <c r="P274" s="2627"/>
      <c r="Q274" s="2375">
        <f t="shared" si="75"/>
        <v>0</v>
      </c>
      <c r="R274" s="2375">
        <f t="shared" si="78"/>
        <v>0</v>
      </c>
      <c r="S274" s="2375">
        <v>0</v>
      </c>
      <c r="T274" s="2398"/>
      <c r="U274" s="2375">
        <f t="shared" si="88"/>
        <v>0</v>
      </c>
      <c r="V274" s="2375"/>
      <c r="W274" s="2382">
        <f t="shared" si="89"/>
        <v>13.42</v>
      </c>
      <c r="X274" s="2398" t="s">
        <v>103</v>
      </c>
      <c r="Y274" s="2375">
        <f t="shared" ref="Y274:Y308" si="93">W274*L274</f>
        <v>1409348.27</v>
      </c>
      <c r="Z274" s="2375">
        <f t="shared" si="92"/>
        <v>6.156334013340644E-2</v>
      </c>
      <c r="AA274" s="2377" t="s">
        <v>3355</v>
      </c>
    </row>
    <row r="275" spans="1:27" ht="25" customHeight="1">
      <c r="A275" s="2628">
        <f>A274+1</f>
        <v>3</v>
      </c>
      <c r="B275" s="2554" t="s">
        <v>415</v>
      </c>
      <c r="C275" s="2671"/>
      <c r="D275" s="2672"/>
      <c r="E275" s="2638">
        <f>'6. Vol Pabrik ES'!$P$190</f>
        <v>0.38</v>
      </c>
      <c r="F275" s="2398" t="s">
        <v>103</v>
      </c>
      <c r="G275" s="2389">
        <v>507759.96</v>
      </c>
      <c r="H275" s="2389">
        <f>E275*G275</f>
        <v>192948.78480000002</v>
      </c>
      <c r="I275" s="2480">
        <f>'Resume Analisa'!$D$26</f>
        <v>475358.64</v>
      </c>
      <c r="J275" s="2552">
        <f>E275*I275</f>
        <v>180636.28320000001</v>
      </c>
      <c r="K275" s="2378" t="e">
        <f>IF(H275=0,"",IF(J275&lt;#REF!*H275,"Timpang &lt;"&amp;TEXT(#REF!,"0%"),IF(J275&gt;#REF!*H275,"Timpang &gt;"&amp;TEXT(#REF!,"0%"),"Wajar")))</f>
        <v>#REF!</v>
      </c>
      <c r="L275" s="2391">
        <v>475358.64</v>
      </c>
      <c r="M275" s="2391">
        <f>E275*L275</f>
        <v>180636.28320000001</v>
      </c>
      <c r="N275" s="2375">
        <f t="shared" si="91"/>
        <v>7.89057834730654E-3</v>
      </c>
      <c r="O275" s="2375">
        <v>0</v>
      </c>
      <c r="P275" s="2627"/>
      <c r="Q275" s="2375">
        <f t="shared" si="75"/>
        <v>0</v>
      </c>
      <c r="R275" s="2375">
        <f t="shared" si="78"/>
        <v>0</v>
      </c>
      <c r="S275" s="2375">
        <v>0</v>
      </c>
      <c r="T275" s="2398"/>
      <c r="U275" s="2375">
        <f t="shared" si="88"/>
        <v>0</v>
      </c>
      <c r="V275" s="2375"/>
      <c r="W275" s="2382">
        <f t="shared" si="89"/>
        <v>0.38</v>
      </c>
      <c r="X275" s="2398" t="s">
        <v>103</v>
      </c>
      <c r="Y275" s="2375">
        <f t="shared" si="93"/>
        <v>180636.28320000001</v>
      </c>
      <c r="Z275" s="2375">
        <f t="shared" si="92"/>
        <v>7.89057834730654E-3</v>
      </c>
      <c r="AA275" s="2377" t="s">
        <v>3355</v>
      </c>
    </row>
    <row r="276" spans="1:27" ht="25" customHeight="1">
      <c r="A276" s="2628">
        <f>A275+1</f>
        <v>4</v>
      </c>
      <c r="B276" s="2554" t="s">
        <v>496</v>
      </c>
      <c r="C276" s="2671"/>
      <c r="D276" s="2672"/>
      <c r="E276" s="2638">
        <f>'6. Vol Pabrik ES'!$P$191</f>
        <v>0.38</v>
      </c>
      <c r="F276" s="2398" t="s">
        <v>103</v>
      </c>
      <c r="G276" s="2389">
        <v>1422226.08</v>
      </c>
      <c r="H276" s="2389">
        <f>E276*G276</f>
        <v>540445.91040000005</v>
      </c>
      <c r="I276" s="2465">
        <f>'Resume Analisa'!$D$54</f>
        <v>1384580.76</v>
      </c>
      <c r="J276" s="2552">
        <f>E276*I276</f>
        <v>526140.6888</v>
      </c>
      <c r="K276" s="2378" t="e">
        <f>IF(H276=0,"",IF(J276&lt;#REF!*H276,"Timpang &lt;"&amp;TEXT(#REF!,"0%"),IF(J276&gt;#REF!*H276,"Timpang &gt;"&amp;TEXT(#REF!,"0%"),"Wajar")))</f>
        <v>#REF!</v>
      </c>
      <c r="L276" s="2391">
        <v>1384580.76</v>
      </c>
      <c r="M276" s="2391">
        <f>E276*L276</f>
        <v>526140.6888</v>
      </c>
      <c r="N276" s="2375">
        <f t="shared" si="91"/>
        <v>2.2982948127235538E-2</v>
      </c>
      <c r="O276" s="2375">
        <v>0</v>
      </c>
      <c r="P276" s="2627"/>
      <c r="Q276" s="2375">
        <f t="shared" si="75"/>
        <v>0</v>
      </c>
      <c r="R276" s="2375">
        <f t="shared" si="78"/>
        <v>0</v>
      </c>
      <c r="S276" s="2375">
        <v>0</v>
      </c>
      <c r="T276" s="2398"/>
      <c r="U276" s="2375">
        <f t="shared" si="88"/>
        <v>0</v>
      </c>
      <c r="V276" s="2375"/>
      <c r="W276" s="2382">
        <f t="shared" si="89"/>
        <v>0.38</v>
      </c>
      <c r="X276" s="2398" t="s">
        <v>103</v>
      </c>
      <c r="Y276" s="2375">
        <f t="shared" si="93"/>
        <v>526140.6888</v>
      </c>
      <c r="Z276" s="2375">
        <f t="shared" si="92"/>
        <v>2.2982948127235538E-2</v>
      </c>
      <c r="AA276" s="2377" t="s">
        <v>3355</v>
      </c>
    </row>
    <row r="277" spans="1:27" ht="25" customHeight="1">
      <c r="A277" s="2628">
        <f>A276+1</f>
        <v>5</v>
      </c>
      <c r="B277" s="2613" t="s">
        <v>474</v>
      </c>
      <c r="C277" s="2619"/>
      <c r="D277" s="2620"/>
      <c r="E277" s="2638">
        <f>'6. Vol Pabrik ES'!$P$192</f>
        <v>5.25</v>
      </c>
      <c r="F277" s="2612" t="s">
        <v>103</v>
      </c>
      <c r="G277" s="2389">
        <v>60375</v>
      </c>
      <c r="H277" s="2389">
        <f>E277*G277</f>
        <v>316968.75</v>
      </c>
      <c r="I277" s="2544">
        <f>'Resume Analisa'!$D$230</f>
        <v>58343.61</v>
      </c>
      <c r="J277" s="2544">
        <f>I277*E277</f>
        <v>306303.95250000001</v>
      </c>
      <c r="K277" s="2378" t="e">
        <f>IF(H277=0,"",IF(J277&lt;#REF!*H277,"Timpang &lt;"&amp;TEXT(#REF!,"0%"),IF(J277&gt;#REF!*H277,"Timpang &gt;"&amp;TEXT(#REF!,"0%"),"Wajar")))</f>
        <v>#REF!</v>
      </c>
      <c r="L277" s="2391">
        <v>58343.61</v>
      </c>
      <c r="M277" s="2391">
        <f>E277*L277</f>
        <v>306303.95250000001</v>
      </c>
      <c r="N277" s="2375">
        <f t="shared" si="91"/>
        <v>1.3380010330565255E-2</v>
      </c>
      <c r="O277" s="2375">
        <v>0</v>
      </c>
      <c r="P277" s="2627"/>
      <c r="Q277" s="2375">
        <f t="shared" si="75"/>
        <v>0</v>
      </c>
      <c r="R277" s="2375">
        <f t="shared" si="78"/>
        <v>0</v>
      </c>
      <c r="S277" s="2375">
        <v>0</v>
      </c>
      <c r="T277" s="2612"/>
      <c r="U277" s="2375">
        <f t="shared" si="88"/>
        <v>0</v>
      </c>
      <c r="V277" s="2375"/>
      <c r="W277" s="2382">
        <f t="shared" si="89"/>
        <v>5.25</v>
      </c>
      <c r="X277" s="2612" t="s">
        <v>103</v>
      </c>
      <c r="Y277" s="2375">
        <f t="shared" si="93"/>
        <v>306303.95250000001</v>
      </c>
      <c r="Z277" s="2375">
        <f t="shared" si="92"/>
        <v>1.3380010330565255E-2</v>
      </c>
      <c r="AA277" s="2377" t="s">
        <v>3355</v>
      </c>
    </row>
    <row r="278" spans="1:27" ht="25" customHeight="1">
      <c r="A278" s="2628">
        <f>A277+1</f>
        <v>6</v>
      </c>
      <c r="B278" s="2554" t="s">
        <v>497</v>
      </c>
      <c r="C278" s="2671"/>
      <c r="D278" s="2672"/>
      <c r="E278" s="2638"/>
      <c r="F278" s="2398"/>
      <c r="G278" s="2389"/>
      <c r="H278" s="2389"/>
      <c r="I278" s="2465"/>
      <c r="J278" s="2552"/>
      <c r="K278" s="2389"/>
      <c r="L278" s="2391"/>
      <c r="M278" s="2391"/>
      <c r="N278" s="2375">
        <f t="shared" si="91"/>
        <v>0</v>
      </c>
      <c r="O278" s="2375">
        <v>0</v>
      </c>
      <c r="P278" s="2627"/>
      <c r="Q278" s="2375">
        <f t="shared" si="75"/>
        <v>0</v>
      </c>
      <c r="R278" s="2375">
        <f t="shared" si="78"/>
        <v>0</v>
      </c>
      <c r="S278" s="2375">
        <v>0</v>
      </c>
      <c r="T278" s="2398"/>
      <c r="U278" s="2375">
        <f t="shared" si="88"/>
        <v>0</v>
      </c>
      <c r="V278" s="2375"/>
      <c r="W278" s="2382">
        <f t="shared" si="89"/>
        <v>0</v>
      </c>
      <c r="X278" s="2398"/>
      <c r="Y278" s="2375">
        <f t="shared" si="93"/>
        <v>0</v>
      </c>
      <c r="Z278" s="2375">
        <f t="shared" si="92"/>
        <v>0</v>
      </c>
      <c r="AA278" s="2377"/>
    </row>
    <row r="279" spans="1:27" ht="25" customHeight="1">
      <c r="A279" s="2630" t="s">
        <v>95</v>
      </c>
      <c r="B279" s="2554" t="s">
        <v>423</v>
      </c>
      <c r="C279" s="2671"/>
      <c r="D279" s="2672"/>
      <c r="E279" s="2638">
        <f>'6. Vol Pabrik ES'!$P$194</f>
        <v>3.2</v>
      </c>
      <c r="F279" s="2611" t="s">
        <v>89</v>
      </c>
      <c r="G279" s="2389">
        <v>230885.5</v>
      </c>
      <c r="H279" s="2389">
        <f>E279*G279</f>
        <v>738833.60000000009</v>
      </c>
      <c r="I279" s="2544">
        <f>'Resume Analisa'!$D$39</f>
        <v>232328.86000000002</v>
      </c>
      <c r="J279" s="2544">
        <f>I279*E279</f>
        <v>743452.35200000007</v>
      </c>
      <c r="K279" s="2378" t="e">
        <f>IF(H279=0,"",IF(J279&lt;#REF!*H279,"Timpang &lt;"&amp;TEXT(#REF!,"0%"),IF(J279&gt;#REF!*H279,"Timpang &gt;"&amp;TEXT(#REF!,"0%"),"Wajar")))</f>
        <v>#REF!</v>
      </c>
      <c r="L279" s="2391">
        <v>232328.86000000002</v>
      </c>
      <c r="M279" s="2391">
        <f>E279*L279</f>
        <v>743452.35200000007</v>
      </c>
      <c r="N279" s="2375">
        <f t="shared" si="91"/>
        <v>3.2475585342122013E-2</v>
      </c>
      <c r="O279" s="2375">
        <v>0</v>
      </c>
      <c r="P279" s="2627"/>
      <c r="Q279" s="2375">
        <f t="shared" si="75"/>
        <v>0</v>
      </c>
      <c r="R279" s="2375">
        <f t="shared" si="78"/>
        <v>0</v>
      </c>
      <c r="S279" s="2386">
        <v>0</v>
      </c>
      <c r="T279" s="2611"/>
      <c r="U279" s="2375">
        <f t="shared" si="88"/>
        <v>0</v>
      </c>
      <c r="V279" s="2375"/>
      <c r="W279" s="2382">
        <f t="shared" si="89"/>
        <v>3.2</v>
      </c>
      <c r="X279" s="2611" t="s">
        <v>89</v>
      </c>
      <c r="Y279" s="2375">
        <f t="shared" si="93"/>
        <v>743452.35200000007</v>
      </c>
      <c r="Z279" s="2375">
        <f t="shared" si="92"/>
        <v>3.2475585342122013E-2</v>
      </c>
      <c r="AA279" s="2377" t="s">
        <v>3355</v>
      </c>
    </row>
    <row r="280" spans="1:27" ht="25" customHeight="1">
      <c r="A280" s="2630" t="s">
        <v>98</v>
      </c>
      <c r="B280" s="2673" t="s">
        <v>432</v>
      </c>
      <c r="C280" s="2671"/>
      <c r="D280" s="2672"/>
      <c r="E280" s="2638">
        <f>'6. Vol Pabrik ES'!$P$195</f>
        <v>19.73</v>
      </c>
      <c r="F280" s="2611" t="s">
        <v>100</v>
      </c>
      <c r="G280" s="2389">
        <v>19151.18</v>
      </c>
      <c r="H280" s="2389">
        <f>E280*G280</f>
        <v>377852.78140000004</v>
      </c>
      <c r="I280" s="2544">
        <f>'Resume Analisa'!$D$48</f>
        <v>18790.969999999998</v>
      </c>
      <c r="J280" s="2544">
        <f>I280*E280</f>
        <v>370745.83809999994</v>
      </c>
      <c r="K280" s="2378" t="e">
        <f>IF(H280=0,"",IF(J280&lt;#REF!*H280,"Timpang &lt;"&amp;TEXT(#REF!,"0%"),IF(J280&gt;#REF!*H280,"Timpang &gt;"&amp;TEXT(#REF!,"0%"),"Wajar")))</f>
        <v>#REF!</v>
      </c>
      <c r="L280" s="2391">
        <v>18790.969999999998</v>
      </c>
      <c r="M280" s="2391">
        <f>E280*L280</f>
        <v>370745.83809999994</v>
      </c>
      <c r="N280" s="2375">
        <f t="shared" si="91"/>
        <v>1.6194969419443168E-2</v>
      </c>
      <c r="O280" s="2375">
        <v>0</v>
      </c>
      <c r="P280" s="2627"/>
      <c r="Q280" s="2375">
        <f t="shared" si="75"/>
        <v>0</v>
      </c>
      <c r="R280" s="2375">
        <f t="shared" si="78"/>
        <v>0</v>
      </c>
      <c r="S280" s="2386">
        <v>0</v>
      </c>
      <c r="T280" s="2611"/>
      <c r="U280" s="2375">
        <f t="shared" si="88"/>
        <v>0</v>
      </c>
      <c r="V280" s="2375"/>
      <c r="W280" s="2382">
        <f t="shared" si="89"/>
        <v>19.73</v>
      </c>
      <c r="X280" s="2611" t="s">
        <v>100</v>
      </c>
      <c r="Y280" s="2375">
        <f t="shared" si="93"/>
        <v>370745.83809999994</v>
      </c>
      <c r="Z280" s="2375">
        <f t="shared" si="92"/>
        <v>1.6194969419443168E-2</v>
      </c>
      <c r="AA280" s="2377" t="s">
        <v>3355</v>
      </c>
    </row>
    <row r="281" spans="1:27" ht="25" customHeight="1">
      <c r="A281" s="2630" t="s">
        <v>101</v>
      </c>
      <c r="B281" s="2673" t="s">
        <v>498</v>
      </c>
      <c r="C281" s="2671"/>
      <c r="D281" s="2672"/>
      <c r="E281" s="2638">
        <f>'6. Vol Pabrik ES'!$P$196</f>
        <v>5.54</v>
      </c>
      <c r="F281" s="2611" t="s">
        <v>100</v>
      </c>
      <c r="G281" s="2389">
        <v>19151.18</v>
      </c>
      <c r="H281" s="2389">
        <f>E281*G281</f>
        <v>106097.53720000001</v>
      </c>
      <c r="I281" s="2544">
        <f>'Resume Analisa'!$D$48</f>
        <v>18790.969999999998</v>
      </c>
      <c r="J281" s="2544">
        <f>I281*E281</f>
        <v>104101.97379999999</v>
      </c>
      <c r="K281" s="2378" t="e">
        <f>IF(H281=0,"",IF(J281&lt;#REF!*H281,"Timpang &lt;"&amp;TEXT(#REF!,"0%"),IF(J281&gt;#REF!*H281,"Timpang &gt;"&amp;TEXT(#REF!,"0%"),"Wajar")))</f>
        <v>#REF!</v>
      </c>
      <c r="L281" s="2391">
        <v>18790.969999999998</v>
      </c>
      <c r="M281" s="2391">
        <f>E281*L281</f>
        <v>104101.97379999999</v>
      </c>
      <c r="N281" s="2375">
        <f t="shared" si="91"/>
        <v>4.5473963803200788E-3</v>
      </c>
      <c r="O281" s="2375">
        <v>0</v>
      </c>
      <c r="P281" s="2627"/>
      <c r="Q281" s="2375">
        <f t="shared" si="75"/>
        <v>0</v>
      </c>
      <c r="R281" s="2375">
        <f t="shared" si="78"/>
        <v>0</v>
      </c>
      <c r="S281" s="2375">
        <v>0</v>
      </c>
      <c r="T281" s="2611"/>
      <c r="U281" s="2375">
        <f t="shared" si="88"/>
        <v>0</v>
      </c>
      <c r="V281" s="2375"/>
      <c r="W281" s="2382">
        <f t="shared" si="89"/>
        <v>5.54</v>
      </c>
      <c r="X281" s="2611" t="s">
        <v>100</v>
      </c>
      <c r="Y281" s="2375">
        <f t="shared" si="93"/>
        <v>104101.97379999999</v>
      </c>
      <c r="Z281" s="2375">
        <f t="shared" si="92"/>
        <v>4.5473963803200788E-3</v>
      </c>
      <c r="AA281" s="2377" t="s">
        <v>3355</v>
      </c>
    </row>
    <row r="282" spans="1:27" ht="25" customHeight="1">
      <c r="A282" s="2630" t="s">
        <v>121</v>
      </c>
      <c r="B282" s="2613" t="s">
        <v>499</v>
      </c>
      <c r="C282" s="2608"/>
      <c r="D282" s="2609"/>
      <c r="E282" s="2638">
        <f>'6. Vol Pabrik ES'!$P$197</f>
        <v>0.24</v>
      </c>
      <c r="F282" s="2611" t="s">
        <v>103</v>
      </c>
      <c r="G282" s="2389">
        <v>1691953.32</v>
      </c>
      <c r="H282" s="2389">
        <f>E282*G282</f>
        <v>406068.79680000001</v>
      </c>
      <c r="I282" s="2566">
        <f>'Resume Analisa'!$D$56</f>
        <v>1635953.06</v>
      </c>
      <c r="J282" s="2552">
        <f>E282*I282</f>
        <v>392628.73440000002</v>
      </c>
      <c r="K282" s="2378" t="e">
        <f>IF(H282=0,"",IF(J282&lt;#REF!*H282,"Timpang &lt;"&amp;TEXT(#REF!,"0%"),IF(J282&gt;#REF!*H282,"Timpang &gt;"&amp;TEXT(#REF!,"0%"),"Wajar")))</f>
        <v>#REF!</v>
      </c>
      <c r="L282" s="2391">
        <v>1635953.06</v>
      </c>
      <c r="M282" s="2391">
        <f>E282*L282</f>
        <v>392628.73440000002</v>
      </c>
      <c r="N282" s="2375">
        <f t="shared" si="91"/>
        <v>1.7150861030266206E-2</v>
      </c>
      <c r="O282" s="2375">
        <v>0</v>
      </c>
      <c r="P282" s="2627"/>
      <c r="Q282" s="2375">
        <f t="shared" si="75"/>
        <v>0</v>
      </c>
      <c r="R282" s="2375">
        <f t="shared" si="78"/>
        <v>0</v>
      </c>
      <c r="S282" s="2375">
        <v>0</v>
      </c>
      <c r="T282" s="2611"/>
      <c r="U282" s="2375">
        <f t="shared" si="88"/>
        <v>0</v>
      </c>
      <c r="V282" s="2375"/>
      <c r="W282" s="2382">
        <f t="shared" si="89"/>
        <v>0.24</v>
      </c>
      <c r="X282" s="2611" t="s">
        <v>103</v>
      </c>
      <c r="Y282" s="2375">
        <f t="shared" si="93"/>
        <v>392628.73440000002</v>
      </c>
      <c r="Z282" s="2375">
        <f t="shared" si="92"/>
        <v>1.7150861030266206E-2</v>
      </c>
      <c r="AA282" s="2377" t="s">
        <v>3355</v>
      </c>
    </row>
    <row r="283" spans="1:27" ht="25" customHeight="1">
      <c r="A283" s="2628">
        <f>A278+1</f>
        <v>7</v>
      </c>
      <c r="B283" s="2554" t="s">
        <v>500</v>
      </c>
      <c r="C283" s="2671"/>
      <c r="D283" s="2672"/>
      <c r="E283" s="2638"/>
      <c r="F283" s="2398"/>
      <c r="G283" s="2389"/>
      <c r="H283" s="2389"/>
      <c r="I283" s="2465"/>
      <c r="J283" s="2552"/>
      <c r="K283" s="2389"/>
      <c r="L283" s="2391"/>
      <c r="M283" s="2391"/>
      <c r="N283" s="2375">
        <f t="shared" si="91"/>
        <v>0</v>
      </c>
      <c r="O283" s="2375">
        <v>0</v>
      </c>
      <c r="P283" s="2627"/>
      <c r="Q283" s="2375">
        <f t="shared" si="75"/>
        <v>0</v>
      </c>
      <c r="R283" s="2375">
        <f t="shared" si="78"/>
        <v>0</v>
      </c>
      <c r="S283" s="2375">
        <v>0</v>
      </c>
      <c r="T283" s="2398"/>
      <c r="U283" s="2375">
        <f t="shared" si="88"/>
        <v>0</v>
      </c>
      <c r="V283" s="2375"/>
      <c r="W283" s="2382">
        <f t="shared" si="89"/>
        <v>0</v>
      </c>
      <c r="X283" s="2398"/>
      <c r="Y283" s="2375">
        <f t="shared" si="93"/>
        <v>0</v>
      </c>
      <c r="Z283" s="2375">
        <f t="shared" si="92"/>
        <v>0</v>
      </c>
      <c r="AA283" s="2377"/>
    </row>
    <row r="284" spans="1:27" ht="25" customHeight="1">
      <c r="A284" s="2630" t="s">
        <v>95</v>
      </c>
      <c r="B284" s="2554" t="s">
        <v>423</v>
      </c>
      <c r="C284" s="2671"/>
      <c r="D284" s="2672"/>
      <c r="E284" s="2638">
        <f>'6. Vol Pabrik ES'!$P$202</f>
        <v>6</v>
      </c>
      <c r="F284" s="2611" t="s">
        <v>89</v>
      </c>
      <c r="G284" s="2389">
        <v>230885.5</v>
      </c>
      <c r="H284" s="2389">
        <f>E284*G284</f>
        <v>1385313</v>
      </c>
      <c r="I284" s="2544">
        <f>'Resume Analisa'!$D$39</f>
        <v>232328.86000000002</v>
      </c>
      <c r="J284" s="2544">
        <f>I284*E284</f>
        <v>1393973.1600000001</v>
      </c>
      <c r="K284" s="2378" t="e">
        <f>IF(H284=0,"",IF(J284&lt;#REF!*H284,"Timpang &lt;"&amp;TEXT(#REF!,"0%"),IF(J284&gt;#REF!*H284,"Timpang &gt;"&amp;TEXT(#REF!,"0%"),"Wajar")))</f>
        <v>#REF!</v>
      </c>
      <c r="L284" s="2391">
        <v>232328.86000000002</v>
      </c>
      <c r="M284" s="2391">
        <f>E284*L284</f>
        <v>1393973.1600000001</v>
      </c>
      <c r="N284" s="2375">
        <f t="shared" si="91"/>
        <v>6.0891722516478772E-2</v>
      </c>
      <c r="O284" s="2375">
        <v>0</v>
      </c>
      <c r="P284" s="2627"/>
      <c r="Q284" s="2375">
        <f t="shared" si="75"/>
        <v>0</v>
      </c>
      <c r="R284" s="2375">
        <f t="shared" si="78"/>
        <v>0</v>
      </c>
      <c r="S284" s="2375">
        <v>0</v>
      </c>
      <c r="T284" s="2611"/>
      <c r="U284" s="2375">
        <f t="shared" si="88"/>
        <v>0</v>
      </c>
      <c r="V284" s="2375"/>
      <c r="W284" s="2382">
        <f t="shared" si="89"/>
        <v>6</v>
      </c>
      <c r="X284" s="2611" t="s">
        <v>89</v>
      </c>
      <c r="Y284" s="2375">
        <f t="shared" si="93"/>
        <v>1393973.1600000001</v>
      </c>
      <c r="Z284" s="2375">
        <f t="shared" si="92"/>
        <v>6.0891722516478772E-2</v>
      </c>
      <c r="AA284" s="2377" t="s">
        <v>3355</v>
      </c>
    </row>
    <row r="285" spans="1:27" ht="25" customHeight="1">
      <c r="A285" s="2630" t="s">
        <v>98</v>
      </c>
      <c r="B285" s="2673" t="s">
        <v>432</v>
      </c>
      <c r="C285" s="2671"/>
      <c r="D285" s="2672"/>
      <c r="E285" s="2638">
        <f>'6. Vol Pabrik ES'!$P$206</f>
        <v>36.25</v>
      </c>
      <c r="F285" s="2611" t="s">
        <v>100</v>
      </c>
      <c r="G285" s="2389">
        <v>19151.18</v>
      </c>
      <c r="H285" s="2389">
        <f>E285*G285</f>
        <v>694230.27500000002</v>
      </c>
      <c r="I285" s="2544">
        <f>'Resume Analisa'!$D$48</f>
        <v>18790.969999999998</v>
      </c>
      <c r="J285" s="2544">
        <f>I285*E285</f>
        <v>681172.66249999986</v>
      </c>
      <c r="K285" s="2378" t="e">
        <f>IF(H285=0,"",IF(J285&lt;#REF!*H285,"Timpang &lt;"&amp;TEXT(#REF!,"0%"),IF(J285&gt;#REF!*H285,"Timpang &gt;"&amp;TEXT(#REF!,"0%"),"Wajar")))</f>
        <v>#REF!</v>
      </c>
      <c r="L285" s="2391">
        <v>18790.969999999998</v>
      </c>
      <c r="M285" s="2391">
        <f>E285*L285</f>
        <v>681172.66249999986</v>
      </c>
      <c r="N285" s="2375">
        <f t="shared" si="91"/>
        <v>2.9755075593249608E-2</v>
      </c>
      <c r="O285" s="2375">
        <v>0</v>
      </c>
      <c r="P285" s="2627"/>
      <c r="Q285" s="2375">
        <f t="shared" ref="Q285:Q348" si="94">O285*L285</f>
        <v>0</v>
      </c>
      <c r="R285" s="2375">
        <f t="shared" si="78"/>
        <v>0</v>
      </c>
      <c r="S285" s="2375">
        <v>0</v>
      </c>
      <c r="T285" s="2611"/>
      <c r="U285" s="2375">
        <f t="shared" si="88"/>
        <v>0</v>
      </c>
      <c r="V285" s="2375"/>
      <c r="W285" s="2382">
        <f t="shared" si="89"/>
        <v>36.25</v>
      </c>
      <c r="X285" s="2611" t="s">
        <v>100</v>
      </c>
      <c r="Y285" s="2375">
        <f t="shared" si="93"/>
        <v>681172.66249999986</v>
      </c>
      <c r="Z285" s="2375">
        <f t="shared" si="92"/>
        <v>2.9755075593249608E-2</v>
      </c>
      <c r="AA285" s="2377" t="s">
        <v>3355</v>
      </c>
    </row>
    <row r="286" spans="1:27" ht="25" customHeight="1">
      <c r="A286" s="2630" t="s">
        <v>101</v>
      </c>
      <c r="B286" s="2673" t="s">
        <v>498</v>
      </c>
      <c r="C286" s="2671"/>
      <c r="D286" s="2672"/>
      <c r="E286" s="2638">
        <f>'6. Vol Pabrik ES'!$P$210</f>
        <v>7.76</v>
      </c>
      <c r="F286" s="2611" t="s">
        <v>100</v>
      </c>
      <c r="G286" s="2389">
        <v>19151.18</v>
      </c>
      <c r="H286" s="2389">
        <f>E286*G286</f>
        <v>148613.1568</v>
      </c>
      <c r="I286" s="2544">
        <f>'Resume Analisa'!$D$48</f>
        <v>18790.969999999998</v>
      </c>
      <c r="J286" s="2544">
        <f>I286*E286</f>
        <v>145817.92719999998</v>
      </c>
      <c r="K286" s="2378" t="e">
        <f>IF(H286=0,"",IF(J286&lt;#REF!*H286,"Timpang &lt;"&amp;TEXT(#REF!,"0%"),IF(J286&gt;#REF!*H286,"Timpang &gt;"&amp;TEXT(#REF!,"0%"),"Wajar")))</f>
        <v>#REF!</v>
      </c>
      <c r="L286" s="2391">
        <v>18790.969999999998</v>
      </c>
      <c r="M286" s="2391">
        <f>E286*L286</f>
        <v>145817.92719999998</v>
      </c>
      <c r="N286" s="2375">
        <f t="shared" si="91"/>
        <v>6.3696382511342613E-3</v>
      </c>
      <c r="O286" s="2375">
        <v>0</v>
      </c>
      <c r="P286" s="2627"/>
      <c r="Q286" s="2375">
        <f t="shared" si="94"/>
        <v>0</v>
      </c>
      <c r="R286" s="2375">
        <f t="shared" si="78"/>
        <v>0</v>
      </c>
      <c r="S286" s="2386">
        <v>0</v>
      </c>
      <c r="T286" s="2611"/>
      <c r="U286" s="2375">
        <f t="shared" si="88"/>
        <v>0</v>
      </c>
      <c r="V286" s="2375"/>
      <c r="W286" s="2382">
        <f t="shared" si="89"/>
        <v>7.76</v>
      </c>
      <c r="X286" s="2611" t="s">
        <v>100</v>
      </c>
      <c r="Y286" s="2375">
        <f t="shared" si="93"/>
        <v>145817.92719999998</v>
      </c>
      <c r="Z286" s="2375">
        <f t="shared" si="92"/>
        <v>6.3696382511342613E-3</v>
      </c>
      <c r="AA286" s="2377" t="s">
        <v>3355</v>
      </c>
    </row>
    <row r="287" spans="1:27" ht="25" customHeight="1">
      <c r="A287" s="2630" t="s">
        <v>121</v>
      </c>
      <c r="B287" s="2613" t="s">
        <v>499</v>
      </c>
      <c r="C287" s="2608"/>
      <c r="D287" s="2609"/>
      <c r="E287" s="2610">
        <f>'6. Vol Pabrik ES'!$P$214</f>
        <v>0.32</v>
      </c>
      <c r="F287" s="2611" t="s">
        <v>103</v>
      </c>
      <c r="G287" s="2389">
        <v>1691953.32</v>
      </c>
      <c r="H287" s="2389">
        <f>E287*G287</f>
        <v>541425.06240000005</v>
      </c>
      <c r="I287" s="2566">
        <f>'Resume Analisa'!$D$56</f>
        <v>1635953.06</v>
      </c>
      <c r="J287" s="2552">
        <f>E287*I287</f>
        <v>523504.9792</v>
      </c>
      <c r="K287" s="2378" t="e">
        <f>IF(H287=0,"",IF(J287&lt;#REF!*H287,"Timpang &lt;"&amp;TEXT(#REF!,"0%"),IF(J287&gt;#REF!*H287,"Timpang &gt;"&amp;TEXT(#REF!,"0%"),"Wajar")))</f>
        <v>#REF!</v>
      </c>
      <c r="L287" s="2391">
        <v>1635953.06</v>
      </c>
      <c r="M287" s="2391">
        <f>E287*L287</f>
        <v>523504.9792</v>
      </c>
      <c r="N287" s="2375">
        <f t="shared" si="91"/>
        <v>2.2867814707021608E-2</v>
      </c>
      <c r="O287" s="2375">
        <v>0</v>
      </c>
      <c r="P287" s="2627"/>
      <c r="Q287" s="2375">
        <f t="shared" si="94"/>
        <v>0</v>
      </c>
      <c r="R287" s="2375">
        <f t="shared" si="78"/>
        <v>0</v>
      </c>
      <c r="S287" s="2386">
        <v>0</v>
      </c>
      <c r="T287" s="2611"/>
      <c r="U287" s="2375">
        <f t="shared" si="88"/>
        <v>0</v>
      </c>
      <c r="V287" s="2375"/>
      <c r="W287" s="2382">
        <f t="shared" si="89"/>
        <v>0.32</v>
      </c>
      <c r="X287" s="2611" t="s">
        <v>103</v>
      </c>
      <c r="Y287" s="2375">
        <f t="shared" si="93"/>
        <v>523504.9792</v>
      </c>
      <c r="Z287" s="2375">
        <f t="shared" si="92"/>
        <v>2.2867814707021608E-2</v>
      </c>
      <c r="AA287" s="2377" t="s">
        <v>3355</v>
      </c>
    </row>
    <row r="288" spans="1:27" ht="25" customHeight="1">
      <c r="A288" s="2628">
        <f>A283+1</f>
        <v>8</v>
      </c>
      <c r="B288" s="2595" t="s">
        <v>501</v>
      </c>
      <c r="C288" s="2671"/>
      <c r="D288" s="2672"/>
      <c r="E288" s="2638"/>
      <c r="F288" s="2627"/>
      <c r="G288" s="2389"/>
      <c r="H288" s="2389"/>
      <c r="I288" s="2544"/>
      <c r="J288" s="2544"/>
      <c r="K288" s="2389"/>
      <c r="L288" s="2391"/>
      <c r="M288" s="2391"/>
      <c r="N288" s="2375">
        <f t="shared" si="91"/>
        <v>0</v>
      </c>
      <c r="O288" s="2375">
        <v>0</v>
      </c>
      <c r="P288" s="2627"/>
      <c r="Q288" s="2375">
        <f t="shared" si="94"/>
        <v>0</v>
      </c>
      <c r="R288" s="2375">
        <f t="shared" si="78"/>
        <v>0</v>
      </c>
      <c r="S288" s="2375">
        <v>0</v>
      </c>
      <c r="T288" s="2627"/>
      <c r="U288" s="2375">
        <f t="shared" si="88"/>
        <v>0</v>
      </c>
      <c r="V288" s="2375"/>
      <c r="W288" s="2382">
        <f t="shared" si="89"/>
        <v>0</v>
      </c>
      <c r="X288" s="2627"/>
      <c r="Y288" s="2375">
        <f t="shared" si="93"/>
        <v>0</v>
      </c>
      <c r="Z288" s="2375">
        <f t="shared" si="92"/>
        <v>0</v>
      </c>
      <c r="AA288" s="2377"/>
    </row>
    <row r="289" spans="1:27" ht="25" customHeight="1">
      <c r="A289" s="2630" t="s">
        <v>95</v>
      </c>
      <c r="B289" s="2561" t="s">
        <v>221</v>
      </c>
      <c r="C289" s="2608"/>
      <c r="D289" s="2609"/>
      <c r="E289" s="2610">
        <f>'6. Vol Pabrik ES'!$P$216</f>
        <v>2.2000000000000002</v>
      </c>
      <c r="F289" s="2611" t="s">
        <v>89</v>
      </c>
      <c r="G289" s="2389">
        <v>230885.5</v>
      </c>
      <c r="H289" s="2389">
        <f>E289*G289</f>
        <v>507948.10000000003</v>
      </c>
      <c r="I289" s="2544">
        <f>'Resume Analisa'!$D$39</f>
        <v>232328.86000000002</v>
      </c>
      <c r="J289" s="2544">
        <f>I289*E289</f>
        <v>511123.49200000009</v>
      </c>
      <c r="K289" s="2378" t="e">
        <f>IF(H289=0,"",IF(J289&lt;#REF!*H289,"Timpang &lt;"&amp;TEXT(#REF!,"0%"),IF(J289&gt;#REF!*H289,"Timpang &gt;"&amp;TEXT(#REF!,"0%"),"Wajar")))</f>
        <v>#REF!</v>
      </c>
      <c r="L289" s="2391">
        <v>232328.86000000002</v>
      </c>
      <c r="M289" s="2391">
        <f>E289*L289</f>
        <v>511123.49200000009</v>
      </c>
      <c r="N289" s="2375">
        <f t="shared" si="91"/>
        <v>2.2326964922708883E-2</v>
      </c>
      <c r="O289" s="2375">
        <v>0</v>
      </c>
      <c r="P289" s="2627"/>
      <c r="Q289" s="2375">
        <f t="shared" si="94"/>
        <v>0</v>
      </c>
      <c r="R289" s="2375">
        <f t="shared" si="78"/>
        <v>0</v>
      </c>
      <c r="S289" s="2375">
        <v>0</v>
      </c>
      <c r="T289" s="2611"/>
      <c r="U289" s="2375">
        <f t="shared" si="88"/>
        <v>0</v>
      </c>
      <c r="V289" s="2375"/>
      <c r="W289" s="2382">
        <f t="shared" si="89"/>
        <v>2.2000000000000002</v>
      </c>
      <c r="X289" s="2611" t="s">
        <v>89</v>
      </c>
      <c r="Y289" s="2375">
        <f t="shared" si="93"/>
        <v>511123.49200000009</v>
      </c>
      <c r="Z289" s="2375">
        <f t="shared" si="92"/>
        <v>2.2326964922708883E-2</v>
      </c>
      <c r="AA289" s="2377" t="s">
        <v>3355</v>
      </c>
    </row>
    <row r="290" spans="1:27" ht="25" customHeight="1">
      <c r="A290" s="2630" t="s">
        <v>98</v>
      </c>
      <c r="B290" s="2561" t="s">
        <v>486</v>
      </c>
      <c r="C290" s="2608"/>
      <c r="D290" s="2609"/>
      <c r="E290" s="2610">
        <f>'6. Vol Pabrik ES'!$P$217</f>
        <v>63.7</v>
      </c>
      <c r="F290" s="2611" t="s">
        <v>100</v>
      </c>
      <c r="G290" s="2389">
        <v>19151.18</v>
      </c>
      <c r="H290" s="2389">
        <f>E290*G290</f>
        <v>1219930.166</v>
      </c>
      <c r="I290" s="2544">
        <f>'Resume Analisa'!$D$48</f>
        <v>18790.969999999998</v>
      </c>
      <c r="J290" s="2544">
        <f>I290*E290</f>
        <v>1196984.7889999999</v>
      </c>
      <c r="K290" s="2378" t="e">
        <f>IF(H290=0,"",IF(J290&lt;#REF!*H290,"Timpang &lt;"&amp;TEXT(#REF!,"0%"),IF(J290&gt;#REF!*H290,"Timpang &gt;"&amp;TEXT(#REF!,"0%"),"Wajar")))</f>
        <v>#REF!</v>
      </c>
      <c r="L290" s="2391">
        <v>18790.969999999998</v>
      </c>
      <c r="M290" s="2391">
        <f>E290*L290</f>
        <v>1196984.7889999999</v>
      </c>
      <c r="N290" s="2375">
        <f t="shared" si="91"/>
        <v>5.2286850076965527E-2</v>
      </c>
      <c r="O290" s="2375">
        <v>0</v>
      </c>
      <c r="P290" s="2627"/>
      <c r="Q290" s="2375">
        <f t="shared" si="94"/>
        <v>0</v>
      </c>
      <c r="R290" s="2375">
        <f t="shared" si="78"/>
        <v>0</v>
      </c>
      <c r="S290" s="2375">
        <v>0</v>
      </c>
      <c r="T290" s="2611"/>
      <c r="U290" s="2375">
        <f t="shared" si="88"/>
        <v>0</v>
      </c>
      <c r="V290" s="2375"/>
      <c r="W290" s="2382">
        <f t="shared" si="89"/>
        <v>63.7</v>
      </c>
      <c r="X290" s="2611" t="s">
        <v>100</v>
      </c>
      <c r="Y290" s="2375">
        <f t="shared" si="93"/>
        <v>1196984.7889999999</v>
      </c>
      <c r="Z290" s="2375">
        <f t="shared" si="92"/>
        <v>5.2286850076965527E-2</v>
      </c>
      <c r="AA290" s="2377" t="s">
        <v>3355</v>
      </c>
    </row>
    <row r="291" spans="1:27" ht="25" customHeight="1">
      <c r="A291" s="2630" t="s">
        <v>101</v>
      </c>
      <c r="B291" s="2613" t="s">
        <v>499</v>
      </c>
      <c r="C291" s="2608"/>
      <c r="D291" s="2609"/>
      <c r="E291" s="2610">
        <f>'6. Vol Pabrik ES'!$P$218</f>
        <v>1.51</v>
      </c>
      <c r="F291" s="2611" t="s">
        <v>103</v>
      </c>
      <c r="G291" s="2389">
        <v>1691953.32</v>
      </c>
      <c r="H291" s="2389">
        <f>E291*G291</f>
        <v>2554849.5131999999</v>
      </c>
      <c r="I291" s="2566">
        <f>'Resume Analisa'!$D$56</f>
        <v>1635953.06</v>
      </c>
      <c r="J291" s="2552">
        <f>E291*I291</f>
        <v>2470289.1206</v>
      </c>
      <c r="K291" s="2378" t="e">
        <f>IF(H291=0,"",IF(J291&lt;#REF!*H291,"Timpang &lt;"&amp;TEXT(#REF!,"0%"),IF(J291&gt;#REF!*H291,"Timpang &gt;"&amp;TEXT(#REF!,"0%"),"Wajar")))</f>
        <v>#REF!</v>
      </c>
      <c r="L291" s="2391">
        <v>1635953.06</v>
      </c>
      <c r="M291" s="2391">
        <f>E291*L291</f>
        <v>2470289.1206</v>
      </c>
      <c r="N291" s="2375">
        <f t="shared" si="91"/>
        <v>0.10790750064875823</v>
      </c>
      <c r="O291" s="2375">
        <v>0</v>
      </c>
      <c r="P291" s="2627"/>
      <c r="Q291" s="2375">
        <f t="shared" si="94"/>
        <v>0</v>
      </c>
      <c r="R291" s="2375">
        <f t="shared" si="78"/>
        <v>0</v>
      </c>
      <c r="S291" s="2375">
        <v>0</v>
      </c>
      <c r="T291" s="2611"/>
      <c r="U291" s="2375">
        <f t="shared" si="88"/>
        <v>0</v>
      </c>
      <c r="V291" s="2375"/>
      <c r="W291" s="2382">
        <f t="shared" si="89"/>
        <v>1.51</v>
      </c>
      <c r="X291" s="2611" t="s">
        <v>103</v>
      </c>
      <c r="Y291" s="2375">
        <f t="shared" si="93"/>
        <v>2470289.1206</v>
      </c>
      <c r="Z291" s="2375">
        <f t="shared" si="92"/>
        <v>0.10790750064875823</v>
      </c>
      <c r="AA291" s="2377" t="s">
        <v>3355</v>
      </c>
    </row>
    <row r="292" spans="1:27" ht="25" customHeight="1">
      <c r="A292" s="2628">
        <f>A288+1</f>
        <v>9</v>
      </c>
      <c r="B292" s="2595" t="s">
        <v>502</v>
      </c>
      <c r="C292" s="2671"/>
      <c r="D292" s="2672"/>
      <c r="E292" s="2638"/>
      <c r="F292" s="2627"/>
      <c r="G292" s="2389"/>
      <c r="H292" s="2389"/>
      <c r="I292" s="2544"/>
      <c r="J292" s="2544"/>
      <c r="K292" s="2389"/>
      <c r="L292" s="2391"/>
      <c r="M292" s="2391"/>
      <c r="N292" s="2375">
        <f t="shared" si="91"/>
        <v>0</v>
      </c>
      <c r="O292" s="2375">
        <v>0</v>
      </c>
      <c r="P292" s="2627"/>
      <c r="Q292" s="2375">
        <f t="shared" si="94"/>
        <v>0</v>
      </c>
      <c r="R292" s="2375">
        <f t="shared" si="78"/>
        <v>0</v>
      </c>
      <c r="S292" s="2375">
        <v>0</v>
      </c>
      <c r="T292" s="2627"/>
      <c r="U292" s="2375">
        <f t="shared" si="88"/>
        <v>0</v>
      </c>
      <c r="V292" s="2375"/>
      <c r="W292" s="2382">
        <f t="shared" si="89"/>
        <v>0</v>
      </c>
      <c r="X292" s="2627"/>
      <c r="Y292" s="2375">
        <f t="shared" si="93"/>
        <v>0</v>
      </c>
      <c r="Z292" s="2375">
        <f t="shared" si="92"/>
        <v>0</v>
      </c>
      <c r="AA292" s="2377"/>
    </row>
    <row r="293" spans="1:27" ht="25" customHeight="1">
      <c r="A293" s="2630" t="s">
        <v>95</v>
      </c>
      <c r="B293" s="2595" t="s">
        <v>503</v>
      </c>
      <c r="C293" s="2671"/>
      <c r="D293" s="2672"/>
      <c r="E293" s="2638">
        <f>'6. Vol Pabrik ES'!$P$220</f>
        <v>24</v>
      </c>
      <c r="F293" s="2611" t="s">
        <v>89</v>
      </c>
      <c r="G293" s="2389">
        <v>487682.11</v>
      </c>
      <c r="H293" s="2389">
        <f>E293*G293</f>
        <v>11704370.640000001</v>
      </c>
      <c r="I293" s="2544">
        <f>'Resume Analisa'!$D$43</f>
        <v>477633.36</v>
      </c>
      <c r="J293" s="2544">
        <f>I293*E293</f>
        <v>11463200.640000001</v>
      </c>
      <c r="K293" s="2378" t="e">
        <f>IF(H293=0,"",IF(J293&lt;#REF!*H293,"Timpang &lt;"&amp;TEXT(#REF!,"0%"),IF(J293&gt;#REF!*H293,"Timpang &gt;"&amp;TEXT(#REF!,"0%"),"Wajar")))</f>
        <v>#REF!</v>
      </c>
      <c r="L293" s="2391">
        <v>477633.36</v>
      </c>
      <c r="M293" s="2391">
        <f>E293*L293</f>
        <v>11463200.640000001</v>
      </c>
      <c r="N293" s="2375">
        <f t="shared" si="91"/>
        <v>0.50073706765028514</v>
      </c>
      <c r="O293" s="2375">
        <v>0</v>
      </c>
      <c r="P293" s="2627"/>
      <c r="Q293" s="2375">
        <f t="shared" si="94"/>
        <v>0</v>
      </c>
      <c r="R293" s="2375">
        <f t="shared" si="78"/>
        <v>0</v>
      </c>
      <c r="S293" s="2386">
        <v>0</v>
      </c>
      <c r="T293" s="2611"/>
      <c r="U293" s="2375">
        <f t="shared" si="88"/>
        <v>0</v>
      </c>
      <c r="V293" s="2375"/>
      <c r="W293" s="2382">
        <f t="shared" si="89"/>
        <v>24</v>
      </c>
      <c r="X293" s="2611" t="s">
        <v>89</v>
      </c>
      <c r="Y293" s="2375">
        <f t="shared" si="93"/>
        <v>11463200.640000001</v>
      </c>
      <c r="Z293" s="2375">
        <f t="shared" si="92"/>
        <v>0.50073706765028514</v>
      </c>
      <c r="AA293" s="2377" t="s">
        <v>3355</v>
      </c>
    </row>
    <row r="294" spans="1:27" ht="25" customHeight="1">
      <c r="A294" s="2630" t="s">
        <v>98</v>
      </c>
      <c r="B294" s="2561" t="s">
        <v>504</v>
      </c>
      <c r="C294" s="2671"/>
      <c r="D294" s="2672"/>
      <c r="E294" s="2638">
        <f>'6. Vol Pabrik ES'!$P$224</f>
        <v>15.91</v>
      </c>
      <c r="F294" s="2611" t="s">
        <v>100</v>
      </c>
      <c r="G294" s="2389">
        <v>19151.18</v>
      </c>
      <c r="H294" s="2389">
        <f>E294*G294</f>
        <v>304695.27380000002</v>
      </c>
      <c r="I294" s="2544">
        <f>'Resume Analisa'!$D$48</f>
        <v>18790.969999999998</v>
      </c>
      <c r="J294" s="2544">
        <f>I294*E294</f>
        <v>298964.33269999997</v>
      </c>
      <c r="K294" s="2378" t="e">
        <f>IF(H294=0,"",IF(J294&lt;#REF!*H294,"Timpang &lt;"&amp;TEXT(#REF!,"0%"),IF(J294&gt;#REF!*H294,"Timpang &gt;"&amp;TEXT(#REF!,"0%"),"Wajar")))</f>
        <v>#REF!</v>
      </c>
      <c r="L294" s="2391">
        <v>18790.969999999998</v>
      </c>
      <c r="M294" s="2391">
        <f>E294*L294</f>
        <v>298964.33269999997</v>
      </c>
      <c r="N294" s="2375">
        <f t="shared" si="91"/>
        <v>1.3059400074168313E-2</v>
      </c>
      <c r="O294" s="2375">
        <v>0</v>
      </c>
      <c r="P294" s="2627"/>
      <c r="Q294" s="2375">
        <f t="shared" si="94"/>
        <v>0</v>
      </c>
      <c r="R294" s="2375">
        <f t="shared" si="78"/>
        <v>0</v>
      </c>
      <c r="S294" s="2386">
        <v>0</v>
      </c>
      <c r="T294" s="2611"/>
      <c r="U294" s="2375">
        <f t="shared" si="88"/>
        <v>0</v>
      </c>
      <c r="V294" s="2375"/>
      <c r="W294" s="2382">
        <f t="shared" si="89"/>
        <v>15.91</v>
      </c>
      <c r="X294" s="2611" t="s">
        <v>100</v>
      </c>
      <c r="Y294" s="2375">
        <f t="shared" si="93"/>
        <v>298964.33269999997</v>
      </c>
      <c r="Z294" s="2375">
        <f t="shared" si="92"/>
        <v>1.3059400074168313E-2</v>
      </c>
      <c r="AA294" s="2377" t="s">
        <v>3355</v>
      </c>
    </row>
    <row r="295" spans="1:27" ht="25" customHeight="1">
      <c r="A295" s="2630" t="s">
        <v>101</v>
      </c>
      <c r="B295" s="2613" t="s">
        <v>499</v>
      </c>
      <c r="C295" s="2608"/>
      <c r="D295" s="2609"/>
      <c r="E295" s="2610">
        <f>'6. Vol Pabrik ES'!$P$225</f>
        <v>1.8</v>
      </c>
      <c r="F295" s="2611" t="s">
        <v>103</v>
      </c>
      <c r="G295" s="2389">
        <v>1691953.32</v>
      </c>
      <c r="H295" s="2389">
        <f>E295*G295</f>
        <v>3045515.9760000003</v>
      </c>
      <c r="I295" s="2566">
        <f>'Resume Analisa'!$D$56</f>
        <v>1635953.06</v>
      </c>
      <c r="J295" s="2552">
        <f>E295*I295</f>
        <v>2944715.5080000004</v>
      </c>
      <c r="K295" s="2378" t="e">
        <f>IF(H295=0,"",IF(J295&lt;#REF!*H295,"Timpang &lt;"&amp;TEXT(#REF!,"0%"),IF(J295&gt;#REF!*H295,"Timpang &gt;"&amp;TEXT(#REF!,"0%"),"Wajar")))</f>
        <v>#REF!</v>
      </c>
      <c r="L295" s="2391">
        <v>1635953.06</v>
      </c>
      <c r="M295" s="2391">
        <f>E295*L295</f>
        <v>2944715.5080000004</v>
      </c>
      <c r="N295" s="2375">
        <f t="shared" si="91"/>
        <v>0.12863145772699658</v>
      </c>
      <c r="O295" s="2375">
        <v>0</v>
      </c>
      <c r="P295" s="2627"/>
      <c r="Q295" s="2375">
        <f t="shared" si="94"/>
        <v>0</v>
      </c>
      <c r="R295" s="2375">
        <f t="shared" si="78"/>
        <v>0</v>
      </c>
      <c r="S295" s="2375">
        <v>0</v>
      </c>
      <c r="T295" s="2611"/>
      <c r="U295" s="2375">
        <f t="shared" si="88"/>
        <v>0</v>
      </c>
      <c r="V295" s="2375"/>
      <c r="W295" s="2382">
        <f t="shared" si="89"/>
        <v>1.8</v>
      </c>
      <c r="X295" s="2611" t="s">
        <v>103</v>
      </c>
      <c r="Y295" s="2375">
        <f t="shared" si="93"/>
        <v>2944715.5080000004</v>
      </c>
      <c r="Z295" s="2375">
        <f t="shared" si="92"/>
        <v>0.12863145772699658</v>
      </c>
      <c r="AA295" s="2377" t="s">
        <v>3355</v>
      </c>
    </row>
    <row r="296" spans="1:27" ht="25" customHeight="1">
      <c r="A296" s="2628">
        <f>A292+1</f>
        <v>10</v>
      </c>
      <c r="B296" s="2595" t="s">
        <v>505</v>
      </c>
      <c r="C296" s="2671"/>
      <c r="D296" s="2672"/>
      <c r="E296" s="2638"/>
      <c r="F296" s="2627"/>
      <c r="G296" s="2389"/>
      <c r="H296" s="2389"/>
      <c r="I296" s="2544"/>
      <c r="J296" s="2544"/>
      <c r="K296" s="2389"/>
      <c r="L296" s="2391"/>
      <c r="M296" s="2391"/>
      <c r="N296" s="2375">
        <f t="shared" si="91"/>
        <v>0</v>
      </c>
      <c r="O296" s="2375">
        <v>0</v>
      </c>
      <c r="P296" s="2627"/>
      <c r="Q296" s="2375">
        <f t="shared" si="94"/>
        <v>0</v>
      </c>
      <c r="R296" s="2375">
        <f t="shared" si="78"/>
        <v>0</v>
      </c>
      <c r="S296" s="2375">
        <v>0</v>
      </c>
      <c r="T296" s="2627"/>
      <c r="U296" s="2375">
        <f t="shared" si="88"/>
        <v>0</v>
      </c>
      <c r="V296" s="2375"/>
      <c r="W296" s="2382">
        <f t="shared" si="89"/>
        <v>0</v>
      </c>
      <c r="X296" s="2627"/>
      <c r="Y296" s="2375">
        <f t="shared" si="93"/>
        <v>0</v>
      </c>
      <c r="Z296" s="2375">
        <f t="shared" si="92"/>
        <v>0</v>
      </c>
      <c r="AA296" s="2377"/>
    </row>
    <row r="297" spans="1:27" ht="25" customHeight="1">
      <c r="A297" s="2630" t="s">
        <v>95</v>
      </c>
      <c r="B297" s="2595" t="s">
        <v>148</v>
      </c>
      <c r="C297" s="2671"/>
      <c r="D297" s="2672"/>
      <c r="E297" s="2638">
        <f>'6. Vol Pabrik ES'!$P$231</f>
        <v>4.84</v>
      </c>
      <c r="F297" s="2611" t="s">
        <v>89</v>
      </c>
      <c r="G297" s="2389">
        <v>294733.29000000004</v>
      </c>
      <c r="H297" s="2389">
        <f>E297*G297</f>
        <v>1426509.1236</v>
      </c>
      <c r="I297" s="2544">
        <f>'Resume Analisa'!$D$41</f>
        <v>290443.69</v>
      </c>
      <c r="J297" s="2544">
        <f>I297*E297</f>
        <v>1405747.4595999999</v>
      </c>
      <c r="K297" s="2378" t="e">
        <f>IF(H297=0,"",IF(J297&lt;#REF!*H297,"Timpang &lt;"&amp;TEXT(#REF!,"0%"),IF(J297&gt;#REF!*H297,"Timpang &gt;"&amp;TEXT(#REF!,"0%"),"Wajar")))</f>
        <v>#REF!</v>
      </c>
      <c r="L297" s="2391">
        <v>290443.69</v>
      </c>
      <c r="M297" s="2391">
        <f>E297*L297</f>
        <v>1405747.4595999999</v>
      </c>
      <c r="N297" s="2375">
        <f t="shared" si="91"/>
        <v>6.1406049050620262E-2</v>
      </c>
      <c r="O297" s="2375">
        <v>0</v>
      </c>
      <c r="P297" s="2627"/>
      <c r="Q297" s="2375">
        <f t="shared" si="94"/>
        <v>0</v>
      </c>
      <c r="R297" s="2375">
        <f t="shared" si="78"/>
        <v>0</v>
      </c>
      <c r="S297" s="2375">
        <v>0</v>
      </c>
      <c r="T297" s="2611"/>
      <c r="U297" s="2375">
        <f t="shared" si="88"/>
        <v>0</v>
      </c>
      <c r="V297" s="2375"/>
      <c r="W297" s="2382">
        <f t="shared" si="89"/>
        <v>4.84</v>
      </c>
      <c r="X297" s="2611" t="s">
        <v>89</v>
      </c>
      <c r="Y297" s="2375">
        <f t="shared" si="93"/>
        <v>1405747.4595999999</v>
      </c>
      <c r="Z297" s="2375">
        <f t="shared" si="92"/>
        <v>6.1406049050620262E-2</v>
      </c>
      <c r="AA297" s="2377" t="s">
        <v>3355</v>
      </c>
    </row>
    <row r="298" spans="1:27" ht="25" customHeight="1">
      <c r="A298" s="2630" t="s">
        <v>98</v>
      </c>
      <c r="B298" s="2561" t="s">
        <v>504</v>
      </c>
      <c r="C298" s="2674"/>
      <c r="D298" s="2675"/>
      <c r="E298" s="2676">
        <f>'6. Vol Pabrik ES'!$P$235</f>
        <v>35.14</v>
      </c>
      <c r="F298" s="2611" t="s">
        <v>100</v>
      </c>
      <c r="G298" s="2389">
        <v>19151.18</v>
      </c>
      <c r="H298" s="2389">
        <f>E298*G298</f>
        <v>672972.46519999998</v>
      </c>
      <c r="I298" s="2544">
        <f>'Resume Analisa'!$D$48</f>
        <v>18790.969999999998</v>
      </c>
      <c r="J298" s="2544">
        <f>I298*E298</f>
        <v>660314.68579999998</v>
      </c>
      <c r="K298" s="2378" t="e">
        <f>IF(H298=0,"",IF(J298&lt;#REF!*H298,"Timpang &lt;"&amp;TEXT(#REF!,"0%"),IF(J298&gt;#REF!*H298,"Timpang &gt;"&amp;TEXT(#REF!,"0%"),"Wajar")))</f>
        <v>#REF!</v>
      </c>
      <c r="L298" s="2391">
        <v>18790.969999999998</v>
      </c>
      <c r="M298" s="2391">
        <f>E298*L298</f>
        <v>660314.68579999998</v>
      </c>
      <c r="N298" s="2375">
        <f t="shared" si="91"/>
        <v>2.8843954657842518E-2</v>
      </c>
      <c r="O298" s="2375">
        <v>0</v>
      </c>
      <c r="P298" s="2627"/>
      <c r="Q298" s="2375">
        <f t="shared" si="94"/>
        <v>0</v>
      </c>
      <c r="R298" s="2375">
        <f t="shared" si="78"/>
        <v>0</v>
      </c>
      <c r="S298" s="2375">
        <v>0</v>
      </c>
      <c r="T298" s="2611"/>
      <c r="U298" s="2375">
        <f t="shared" si="88"/>
        <v>0</v>
      </c>
      <c r="V298" s="2375"/>
      <c r="W298" s="2382">
        <f t="shared" si="89"/>
        <v>35.14</v>
      </c>
      <c r="X298" s="2611" t="s">
        <v>100</v>
      </c>
      <c r="Y298" s="2375">
        <f t="shared" si="93"/>
        <v>660314.68579999998</v>
      </c>
      <c r="Z298" s="2375">
        <f t="shared" si="92"/>
        <v>2.8843954657842518E-2</v>
      </c>
      <c r="AA298" s="2377" t="s">
        <v>3355</v>
      </c>
    </row>
    <row r="299" spans="1:27" ht="25" customHeight="1">
      <c r="A299" s="2630" t="s">
        <v>101</v>
      </c>
      <c r="B299" s="2613" t="s">
        <v>420</v>
      </c>
      <c r="C299" s="2608"/>
      <c r="D299" s="2609"/>
      <c r="E299" s="2610">
        <f>'6. Vol Pabrik ES'!$P$240</f>
        <v>0.56999999999999995</v>
      </c>
      <c r="F299" s="2611" t="s">
        <v>103</v>
      </c>
      <c r="G299" s="2389">
        <v>1584129.98</v>
      </c>
      <c r="H299" s="2389">
        <f>E299*G299</f>
        <v>902954.0885999999</v>
      </c>
      <c r="I299" s="2566">
        <f>'Resume Analisa'!$D$55</f>
        <v>1535009.1300000001</v>
      </c>
      <c r="J299" s="2552">
        <f>E299*I299</f>
        <v>874955.20409999997</v>
      </c>
      <c r="K299" s="2378" t="e">
        <f>IF(H299=0,"",IF(J299&lt;#REF!*H299,"Timpang &lt;"&amp;TEXT(#REF!,"0%"),IF(J299&gt;#REF!*H299,"Timpang &gt;"&amp;TEXT(#REF!,"0%"),"Wajar")))</f>
        <v>#REF!</v>
      </c>
      <c r="L299" s="2391">
        <v>1535009.1300000001</v>
      </c>
      <c r="M299" s="2391">
        <f>E299*L299</f>
        <v>874955.20409999997</v>
      </c>
      <c r="N299" s="2375">
        <f t="shared" si="91"/>
        <v>3.8219910562988339E-2</v>
      </c>
      <c r="O299" s="2375">
        <v>0</v>
      </c>
      <c r="P299" s="2627"/>
      <c r="Q299" s="2375">
        <f t="shared" si="94"/>
        <v>0</v>
      </c>
      <c r="R299" s="2375">
        <f t="shared" ref="R299:R362" si="95">Q299/$M$8*100</f>
        <v>0</v>
      </c>
      <c r="S299" s="2375">
        <v>0</v>
      </c>
      <c r="T299" s="2611"/>
      <c r="U299" s="2375">
        <f t="shared" si="88"/>
        <v>0</v>
      </c>
      <c r="V299" s="2375"/>
      <c r="W299" s="2382">
        <f t="shared" si="89"/>
        <v>0.56999999999999995</v>
      </c>
      <c r="X299" s="2611" t="s">
        <v>103</v>
      </c>
      <c r="Y299" s="2375">
        <f t="shared" si="93"/>
        <v>874955.20409999997</v>
      </c>
      <c r="Z299" s="2375">
        <f t="shared" si="92"/>
        <v>3.8219910562988339E-2</v>
      </c>
      <c r="AA299" s="2377" t="s">
        <v>3355</v>
      </c>
    </row>
    <row r="300" spans="1:27" ht="25" customHeight="1">
      <c r="A300" s="2628">
        <f>A296+1</f>
        <v>11</v>
      </c>
      <c r="B300" s="2613" t="s">
        <v>506</v>
      </c>
      <c r="C300" s="2608"/>
      <c r="D300" s="2609"/>
      <c r="E300" s="2610"/>
      <c r="F300" s="2611"/>
      <c r="G300" s="2389"/>
      <c r="H300" s="2389"/>
      <c r="I300" s="2566"/>
      <c r="J300" s="2552"/>
      <c r="K300" s="2389"/>
      <c r="L300" s="2391"/>
      <c r="M300" s="2391"/>
      <c r="N300" s="2375">
        <f t="shared" si="91"/>
        <v>0</v>
      </c>
      <c r="O300" s="2375">
        <v>0</v>
      </c>
      <c r="P300" s="2627"/>
      <c r="Q300" s="2375">
        <f t="shared" si="94"/>
        <v>0</v>
      </c>
      <c r="R300" s="2375">
        <f t="shared" si="95"/>
        <v>0</v>
      </c>
      <c r="S300" s="2386">
        <v>0</v>
      </c>
      <c r="T300" s="2611"/>
      <c r="U300" s="2375">
        <f t="shared" si="88"/>
        <v>0</v>
      </c>
      <c r="V300" s="2375"/>
      <c r="W300" s="2382">
        <f t="shared" si="89"/>
        <v>0</v>
      </c>
      <c r="X300" s="2611"/>
      <c r="Y300" s="2375">
        <f t="shared" si="93"/>
        <v>0</v>
      </c>
      <c r="Z300" s="2375">
        <f t="shared" si="92"/>
        <v>0</v>
      </c>
      <c r="AA300" s="2377"/>
    </row>
    <row r="301" spans="1:27" ht="25" customHeight="1">
      <c r="A301" s="2630" t="s">
        <v>95</v>
      </c>
      <c r="B301" s="2595" t="s">
        <v>148</v>
      </c>
      <c r="C301" s="2671"/>
      <c r="D301" s="2672"/>
      <c r="E301" s="2638">
        <f>'6. Vol Pabrik ES'!$P$245</f>
        <v>0.6</v>
      </c>
      <c r="F301" s="2611" t="s">
        <v>89</v>
      </c>
      <c r="G301" s="2389">
        <v>294733.29000000004</v>
      </c>
      <c r="H301" s="2389">
        <f t="shared" ref="H301:H308" si="96">E301*G301</f>
        <v>176839.97400000002</v>
      </c>
      <c r="I301" s="2544">
        <f>'Resume Analisa'!$D$41</f>
        <v>290443.69</v>
      </c>
      <c r="J301" s="2544">
        <f>I301*E301</f>
        <v>174266.21400000001</v>
      </c>
      <c r="K301" s="2378" t="e">
        <f>IF(H301=0,"",IF(J301&lt;#REF!*H301,"Timpang &lt;"&amp;TEXT(#REF!,"0%"),IF(J301&gt;#REF!*H301,"Timpang &gt;"&amp;TEXT(#REF!,"0%"),"Wajar")))</f>
        <v>#REF!</v>
      </c>
      <c r="L301" s="2391">
        <v>290443.69</v>
      </c>
      <c r="M301" s="2391">
        <f t="shared" ref="M301:M308" si="97">E301*L301</f>
        <v>174266.21400000001</v>
      </c>
      <c r="N301" s="2375">
        <f t="shared" si="91"/>
        <v>7.6123201302421822E-3</v>
      </c>
      <c r="O301" s="2375">
        <v>0</v>
      </c>
      <c r="P301" s="2627"/>
      <c r="Q301" s="2375">
        <f t="shared" si="94"/>
        <v>0</v>
      </c>
      <c r="R301" s="2375">
        <f t="shared" si="95"/>
        <v>0</v>
      </c>
      <c r="S301" s="2386">
        <v>0</v>
      </c>
      <c r="T301" s="2611"/>
      <c r="U301" s="2375">
        <f t="shared" si="88"/>
        <v>0</v>
      </c>
      <c r="V301" s="2375"/>
      <c r="W301" s="2382">
        <f t="shared" si="89"/>
        <v>0.6</v>
      </c>
      <c r="X301" s="2611" t="s">
        <v>89</v>
      </c>
      <c r="Y301" s="2375">
        <f t="shared" si="93"/>
        <v>174266.21400000001</v>
      </c>
      <c r="Z301" s="2375">
        <f t="shared" si="92"/>
        <v>7.6123201302421822E-3</v>
      </c>
      <c r="AA301" s="2377" t="s">
        <v>3355</v>
      </c>
    </row>
    <row r="302" spans="1:27" ht="25" customHeight="1">
      <c r="A302" s="2630" t="s">
        <v>98</v>
      </c>
      <c r="B302" s="2561" t="s">
        <v>498</v>
      </c>
      <c r="C302" s="2674"/>
      <c r="D302" s="2675"/>
      <c r="E302" s="2638">
        <f>'6. Vol Pabrik ES'!$P$246</f>
        <v>4.32</v>
      </c>
      <c r="F302" s="2611" t="s">
        <v>100</v>
      </c>
      <c r="G302" s="2389">
        <v>19151.18</v>
      </c>
      <c r="H302" s="2389">
        <f t="shared" si="96"/>
        <v>82733.097600000008</v>
      </c>
      <c r="I302" s="2544">
        <f>'Resume Analisa'!$D$48</f>
        <v>18790.969999999998</v>
      </c>
      <c r="J302" s="2544">
        <f>I302*E302</f>
        <v>81176.990399999995</v>
      </c>
      <c r="K302" s="2378" t="e">
        <f>IF(H302=0,"",IF(J302&lt;#REF!*H302,"Timpang &lt;"&amp;TEXT(#REF!,"0%"),IF(J302&gt;#REF!*H302,"Timpang &gt;"&amp;TEXT(#REF!,"0%"),"Wajar")))</f>
        <v>#REF!</v>
      </c>
      <c r="L302" s="2391">
        <v>18790.969999999998</v>
      </c>
      <c r="M302" s="2391">
        <f t="shared" si="97"/>
        <v>81176.990399999995</v>
      </c>
      <c r="N302" s="2375">
        <f t="shared" si="91"/>
        <v>3.5459841810438156E-3</v>
      </c>
      <c r="O302" s="2375">
        <v>0</v>
      </c>
      <c r="P302" s="2627"/>
      <c r="Q302" s="2375">
        <f t="shared" si="94"/>
        <v>0</v>
      </c>
      <c r="R302" s="2375">
        <f t="shared" si="95"/>
        <v>0</v>
      </c>
      <c r="S302" s="2375">
        <v>0</v>
      </c>
      <c r="T302" s="2611"/>
      <c r="U302" s="2375">
        <f t="shared" si="88"/>
        <v>0</v>
      </c>
      <c r="V302" s="2375"/>
      <c r="W302" s="2382">
        <f t="shared" si="89"/>
        <v>4.32</v>
      </c>
      <c r="X302" s="2611" t="s">
        <v>100</v>
      </c>
      <c r="Y302" s="2375">
        <f t="shared" si="93"/>
        <v>81176.990399999995</v>
      </c>
      <c r="Z302" s="2375">
        <f t="shared" si="92"/>
        <v>3.5459841810438156E-3</v>
      </c>
      <c r="AA302" s="2377" t="s">
        <v>3355</v>
      </c>
    </row>
    <row r="303" spans="1:27" ht="25" customHeight="1">
      <c r="A303" s="2630" t="s">
        <v>101</v>
      </c>
      <c r="B303" s="2561" t="s">
        <v>507</v>
      </c>
      <c r="C303" s="2674"/>
      <c r="D303" s="2675"/>
      <c r="E303" s="2638">
        <f>'6. Vol Pabrik ES'!$P$247</f>
        <v>0.24</v>
      </c>
      <c r="F303" s="2611" t="s">
        <v>100</v>
      </c>
      <c r="G303" s="2389">
        <v>19151.18</v>
      </c>
      <c r="H303" s="2389">
        <f t="shared" si="96"/>
        <v>4596.2831999999999</v>
      </c>
      <c r="I303" s="2544">
        <f>'Resume Analisa'!$D$48</f>
        <v>18790.969999999998</v>
      </c>
      <c r="J303" s="2544">
        <f>I303*E303</f>
        <v>4509.8327999999992</v>
      </c>
      <c r="K303" s="2378" t="e">
        <f>IF(H303=0,"",IF(J303&lt;#REF!*H303,"Timpang &lt;"&amp;TEXT(#REF!,"0%"),IF(J303&gt;#REF!*H303,"Timpang &gt;"&amp;TEXT(#REF!,"0%"),"Wajar")))</f>
        <v>#REF!</v>
      </c>
      <c r="L303" s="2391">
        <v>18790.969999999998</v>
      </c>
      <c r="M303" s="2391">
        <f t="shared" si="97"/>
        <v>4509.8327999999992</v>
      </c>
      <c r="N303" s="2375">
        <f t="shared" si="91"/>
        <v>1.9699912116910085E-4</v>
      </c>
      <c r="O303" s="2375">
        <v>0</v>
      </c>
      <c r="P303" s="2627"/>
      <c r="Q303" s="2375">
        <f t="shared" si="94"/>
        <v>0</v>
      </c>
      <c r="R303" s="2375">
        <f t="shared" si="95"/>
        <v>0</v>
      </c>
      <c r="S303" s="2375">
        <v>0</v>
      </c>
      <c r="T303" s="2611"/>
      <c r="U303" s="2375">
        <f t="shared" si="88"/>
        <v>0</v>
      </c>
      <c r="V303" s="2375"/>
      <c r="W303" s="2382">
        <f t="shared" si="89"/>
        <v>0.24</v>
      </c>
      <c r="X303" s="2611" t="s">
        <v>100</v>
      </c>
      <c r="Y303" s="2375">
        <f t="shared" si="93"/>
        <v>4509.8327999999992</v>
      </c>
      <c r="Z303" s="2375">
        <f t="shared" si="92"/>
        <v>1.9699912116910085E-4</v>
      </c>
      <c r="AA303" s="2377" t="s">
        <v>3355</v>
      </c>
    </row>
    <row r="304" spans="1:27" ht="25" customHeight="1">
      <c r="A304" s="2630" t="s">
        <v>121</v>
      </c>
      <c r="B304" s="2613" t="s">
        <v>420</v>
      </c>
      <c r="C304" s="2608"/>
      <c r="D304" s="2609"/>
      <c r="E304" s="2638">
        <f>'6. Vol Pabrik ES'!$P$248</f>
        <v>0.04</v>
      </c>
      <c r="F304" s="2611" t="s">
        <v>103</v>
      </c>
      <c r="G304" s="2389">
        <v>1584129.98</v>
      </c>
      <c r="H304" s="2389">
        <f t="shared" si="96"/>
        <v>63365.199200000003</v>
      </c>
      <c r="I304" s="2566">
        <f>'Resume Analisa'!$D$55</f>
        <v>1535009.1300000001</v>
      </c>
      <c r="J304" s="2552">
        <f>E304*I304</f>
        <v>61400.365200000007</v>
      </c>
      <c r="K304" s="2378" t="e">
        <f>IF(H304=0,"",IF(J304&lt;#REF!*H304,"Timpang &lt;"&amp;TEXT(#REF!,"0%"),IF(J304&gt;#REF!*H304,"Timpang &gt;"&amp;TEXT(#REF!,"0%"),"Wajar")))</f>
        <v>#REF!</v>
      </c>
      <c r="L304" s="2391">
        <v>1535009.1300000001</v>
      </c>
      <c r="M304" s="2391">
        <f t="shared" si="97"/>
        <v>61400.365200000007</v>
      </c>
      <c r="N304" s="2375">
        <f t="shared" si="91"/>
        <v>2.6820989868763753E-3</v>
      </c>
      <c r="O304" s="2375">
        <v>0</v>
      </c>
      <c r="P304" s="2627"/>
      <c r="Q304" s="2375">
        <f t="shared" si="94"/>
        <v>0</v>
      </c>
      <c r="R304" s="2375">
        <f t="shared" si="95"/>
        <v>0</v>
      </c>
      <c r="S304" s="2375">
        <v>0</v>
      </c>
      <c r="T304" s="2611"/>
      <c r="U304" s="2375">
        <f t="shared" si="88"/>
        <v>0</v>
      </c>
      <c r="V304" s="2375"/>
      <c r="W304" s="2382">
        <f t="shared" si="89"/>
        <v>0.04</v>
      </c>
      <c r="X304" s="2611" t="s">
        <v>103</v>
      </c>
      <c r="Y304" s="2375">
        <f t="shared" si="93"/>
        <v>61400.365200000007</v>
      </c>
      <c r="Z304" s="2375">
        <f t="shared" si="92"/>
        <v>2.6820989868763753E-3</v>
      </c>
      <c r="AA304" s="2377" t="s">
        <v>3355</v>
      </c>
    </row>
    <row r="305" spans="1:27" ht="25" customHeight="1">
      <c r="A305" s="2628">
        <f>A300+1</f>
        <v>12</v>
      </c>
      <c r="B305" s="2613" t="s">
        <v>508</v>
      </c>
      <c r="C305" s="2608"/>
      <c r="D305" s="2609"/>
      <c r="E305" s="2638">
        <f>'6. Vol Pabrik ES'!$P$253</f>
        <v>23.56</v>
      </c>
      <c r="F305" s="2590" t="s">
        <v>89</v>
      </c>
      <c r="G305" s="2389">
        <v>146860.75</v>
      </c>
      <c r="H305" s="2389">
        <f t="shared" si="96"/>
        <v>3460039.27</v>
      </c>
      <c r="I305" s="2566">
        <f>'Resume Analisa'!$D$86</f>
        <v>149703.27000000002</v>
      </c>
      <c r="J305" s="2552">
        <f>E305*I305</f>
        <v>3527009.0412000003</v>
      </c>
      <c r="K305" s="2378" t="e">
        <f>IF(H305=0,"",IF(J305&lt;#REF!*H305,"Timpang &lt;"&amp;TEXT(#REF!,"0%"),IF(J305&gt;#REF!*H305,"Timpang &gt;"&amp;TEXT(#REF!,"0%"),"Wajar")))</f>
        <v>#REF!</v>
      </c>
      <c r="L305" s="2391">
        <v>149703.27000000002</v>
      </c>
      <c r="M305" s="2391">
        <f t="shared" si="97"/>
        <v>3527009.0412000003</v>
      </c>
      <c r="N305" s="2375">
        <f t="shared" si="91"/>
        <v>0.15406728193379435</v>
      </c>
      <c r="O305" s="2375">
        <v>0</v>
      </c>
      <c r="P305" s="2627"/>
      <c r="Q305" s="2375">
        <f t="shared" si="94"/>
        <v>0</v>
      </c>
      <c r="R305" s="2375">
        <f t="shared" si="95"/>
        <v>0</v>
      </c>
      <c r="S305" s="2375">
        <v>0</v>
      </c>
      <c r="T305" s="2590"/>
      <c r="U305" s="2375">
        <f t="shared" si="88"/>
        <v>0</v>
      </c>
      <c r="V305" s="2375"/>
      <c r="W305" s="2382">
        <f t="shared" si="89"/>
        <v>23.56</v>
      </c>
      <c r="X305" s="2590" t="s">
        <v>89</v>
      </c>
      <c r="Y305" s="2375">
        <f t="shared" si="93"/>
        <v>3527009.0412000003</v>
      </c>
      <c r="Z305" s="2375">
        <f t="shared" si="92"/>
        <v>0.15406728193379435</v>
      </c>
      <c r="AA305" s="2377" t="s">
        <v>3355</v>
      </c>
    </row>
    <row r="306" spans="1:27" ht="25" customHeight="1">
      <c r="A306" s="2628">
        <f>A305+1</f>
        <v>13</v>
      </c>
      <c r="B306" s="2613" t="s">
        <v>509</v>
      </c>
      <c r="C306" s="2608"/>
      <c r="D306" s="2609"/>
      <c r="E306" s="2638">
        <f>'6. Vol Pabrik ES'!$P$259</f>
        <v>22</v>
      </c>
      <c r="F306" s="2627" t="s">
        <v>117</v>
      </c>
      <c r="G306" s="2389">
        <v>122215.97</v>
      </c>
      <c r="H306" s="2389">
        <f t="shared" si="96"/>
        <v>2688751.34</v>
      </c>
      <c r="I306" s="2566">
        <f>'Resume Analisa'!$D$241</f>
        <v>121306.53</v>
      </c>
      <c r="J306" s="2552">
        <f>E306*I306</f>
        <v>2668743.66</v>
      </c>
      <c r="K306" s="2378" t="e">
        <f>IF(H306=0,"",IF(J306&lt;#REF!*H306,"Timpang &lt;"&amp;TEXT(#REF!,"0%"),IF(J306&gt;#REF!*H306,"Timpang &gt;"&amp;TEXT(#REF!,"0%"),"Wajar")))</f>
        <v>#REF!</v>
      </c>
      <c r="L306" s="2391">
        <v>121306.53</v>
      </c>
      <c r="M306" s="2391">
        <f t="shared" si="97"/>
        <v>2668743.66</v>
      </c>
      <c r="N306" s="2375">
        <f t="shared" si="91"/>
        <v>0.11657641845294348</v>
      </c>
      <c r="O306" s="2375">
        <v>0</v>
      </c>
      <c r="P306" s="2627"/>
      <c r="Q306" s="2375">
        <f t="shared" si="94"/>
        <v>0</v>
      </c>
      <c r="R306" s="2375">
        <f t="shared" si="95"/>
        <v>0</v>
      </c>
      <c r="S306" s="2375">
        <v>0</v>
      </c>
      <c r="T306" s="2627"/>
      <c r="U306" s="2375">
        <f t="shared" si="88"/>
        <v>0</v>
      </c>
      <c r="V306" s="2375"/>
      <c r="W306" s="2382">
        <f t="shared" si="89"/>
        <v>22</v>
      </c>
      <c r="X306" s="2627" t="s">
        <v>117</v>
      </c>
      <c r="Y306" s="2375">
        <f t="shared" si="93"/>
        <v>2668743.66</v>
      </c>
      <c r="Z306" s="2375">
        <f t="shared" si="92"/>
        <v>0.11657641845294348</v>
      </c>
      <c r="AA306" s="2377" t="s">
        <v>3355</v>
      </c>
    </row>
    <row r="307" spans="1:27" ht="25" customHeight="1">
      <c r="A307" s="2628">
        <f>A306+1</f>
        <v>14</v>
      </c>
      <c r="B307" s="2549" t="s">
        <v>510</v>
      </c>
      <c r="C307" s="2608"/>
      <c r="D307" s="2609"/>
      <c r="E307" s="2638">
        <f>'6. Vol Pabrik ES'!$P$260</f>
        <v>1</v>
      </c>
      <c r="F307" s="2398" t="s">
        <v>360</v>
      </c>
      <c r="G307" s="2389">
        <v>10390963</v>
      </c>
      <c r="H307" s="2389">
        <f t="shared" si="96"/>
        <v>10390963</v>
      </c>
      <c r="I307" s="2390">
        <f>'Resume Analisa'!$D$242</f>
        <v>10976234.51</v>
      </c>
      <c r="J307" s="2552">
        <f>E307*I307</f>
        <v>10976234.51</v>
      </c>
      <c r="K307" s="2378" t="e">
        <f>IF(H307=0,"",IF(J307&lt;#REF!*H307,"Timpang &lt;"&amp;TEXT(#REF!,"0%"),IF(J307&gt;#REF!*H307,"Timpang &gt;"&amp;TEXT(#REF!,"0%"),"Wajar")))</f>
        <v>#REF!</v>
      </c>
      <c r="L307" s="2391">
        <v>10976234.51</v>
      </c>
      <c r="M307" s="2391">
        <f t="shared" si="97"/>
        <v>10976234.51</v>
      </c>
      <c r="N307" s="2375">
        <f t="shared" si="91"/>
        <v>0.47946534785412814</v>
      </c>
      <c r="O307" s="2375">
        <v>0</v>
      </c>
      <c r="P307" s="2398"/>
      <c r="Q307" s="2375">
        <f t="shared" si="94"/>
        <v>0</v>
      </c>
      <c r="R307" s="2375">
        <f t="shared" si="95"/>
        <v>0</v>
      </c>
      <c r="S307" s="2386">
        <v>0</v>
      </c>
      <c r="T307" s="2398"/>
      <c r="U307" s="2375">
        <f t="shared" si="88"/>
        <v>0</v>
      </c>
      <c r="V307" s="2375"/>
      <c r="W307" s="2382">
        <f t="shared" si="89"/>
        <v>1</v>
      </c>
      <c r="X307" s="2398" t="s">
        <v>360</v>
      </c>
      <c r="Y307" s="2375">
        <f t="shared" si="93"/>
        <v>10976234.51</v>
      </c>
      <c r="Z307" s="2375">
        <f t="shared" si="92"/>
        <v>0.47946534785412814</v>
      </c>
      <c r="AA307" s="2377" t="s">
        <v>3355</v>
      </c>
    </row>
    <row r="308" spans="1:27" ht="25" customHeight="1">
      <c r="A308" s="2677">
        <f>A307+1</f>
        <v>15</v>
      </c>
      <c r="B308" s="2678" t="s">
        <v>511</v>
      </c>
      <c r="C308" s="2679"/>
      <c r="D308" s="2680"/>
      <c r="E308" s="2681">
        <f>'6. Vol Pabrik ES'!$P$261</f>
        <v>10</v>
      </c>
      <c r="F308" s="2651" t="s">
        <v>117</v>
      </c>
      <c r="G308" s="2405">
        <v>167716</v>
      </c>
      <c r="H308" s="2405">
        <f t="shared" si="96"/>
        <v>1677160</v>
      </c>
      <c r="I308" s="2682">
        <f>'Resume Analisa'!$D$177</f>
        <v>164684.22</v>
      </c>
      <c r="J308" s="2575">
        <f>E308*I308</f>
        <v>1646842.2</v>
      </c>
      <c r="K308" s="2408" t="e">
        <f>IF(H308=0,"",IF(J308&lt;#REF!*H308,"Timpang &lt;"&amp;TEXT(#REF!,"0%"),IF(J308&gt;#REF!*H308,"Timpang &gt;"&amp;TEXT(#REF!,"0%"),"Wajar")))</f>
        <v>#REF!</v>
      </c>
      <c r="L308" s="2410">
        <v>164684.22</v>
      </c>
      <c r="M308" s="2410">
        <f t="shared" si="97"/>
        <v>1646842.2</v>
      </c>
      <c r="N308" s="2375">
        <f t="shared" si="91"/>
        <v>7.1937581833230874E-2</v>
      </c>
      <c r="O308" s="2411">
        <v>0</v>
      </c>
      <c r="P308" s="2651"/>
      <c r="Q308" s="2411">
        <f t="shared" si="94"/>
        <v>0</v>
      </c>
      <c r="R308" s="2411">
        <f t="shared" si="95"/>
        <v>0</v>
      </c>
      <c r="S308" s="2593">
        <v>0</v>
      </c>
      <c r="T308" s="2651"/>
      <c r="U308" s="2411">
        <f t="shared" si="88"/>
        <v>0</v>
      </c>
      <c r="V308" s="2411"/>
      <c r="W308" s="2402">
        <f t="shared" si="89"/>
        <v>10</v>
      </c>
      <c r="X308" s="2651" t="s">
        <v>117</v>
      </c>
      <c r="Y308" s="2411">
        <f t="shared" si="93"/>
        <v>1646842.2</v>
      </c>
      <c r="Z308" s="2375">
        <f t="shared" si="92"/>
        <v>7.1937581833230874E-2</v>
      </c>
      <c r="AA308" s="2412" t="s">
        <v>3355</v>
      </c>
    </row>
    <row r="309" spans="1:27" ht="25" customHeight="1">
      <c r="A309" s="3105"/>
      <c r="B309" s="3106"/>
      <c r="C309" s="3107"/>
      <c r="D309" s="3108" t="s">
        <v>376</v>
      </c>
      <c r="E309" s="2655"/>
      <c r="F309" s="2656"/>
      <c r="G309" s="2581"/>
      <c r="H309" s="2581">
        <f>SUM(H273:H308)</f>
        <v>49796991.265200004</v>
      </c>
      <c r="I309" s="2657"/>
      <c r="J309" s="2658">
        <f>SUM(J273:J308)</f>
        <v>49842652.107100017</v>
      </c>
      <c r="K309" s="2581"/>
      <c r="L309" s="2584"/>
      <c r="M309" s="2584">
        <f>SUM(M273:M308)</f>
        <v>49842652.107100017</v>
      </c>
      <c r="N309" s="2424">
        <f>M309/M8*100</f>
        <v>2.1772334135837448</v>
      </c>
      <c r="O309" s="2426">
        <v>0</v>
      </c>
      <c r="P309" s="2656"/>
      <c r="Q309" s="2426">
        <f t="shared" si="94"/>
        <v>0</v>
      </c>
      <c r="R309" s="2426">
        <f t="shared" si="95"/>
        <v>0</v>
      </c>
      <c r="S309" s="2426">
        <v>0</v>
      </c>
      <c r="T309" s="2660"/>
      <c r="U309" s="2426">
        <f t="shared" si="88"/>
        <v>0</v>
      </c>
      <c r="V309" s="2426"/>
      <c r="W309" s="2428">
        <f t="shared" si="89"/>
        <v>0</v>
      </c>
      <c r="X309" s="2656"/>
      <c r="Y309" s="2424">
        <f>SUM(Y272:Y308)</f>
        <v>49842652.107100017</v>
      </c>
      <c r="Z309" s="2424">
        <f>SUM(Z273:Z308)</f>
        <v>2.1772334135837439</v>
      </c>
      <c r="AA309" s="2429"/>
    </row>
    <row r="310" spans="1:27" ht="25" hidden="1" customHeight="1">
      <c r="A310" s="3111" t="s">
        <v>512</v>
      </c>
      <c r="B310" s="3112" t="s">
        <v>513</v>
      </c>
      <c r="C310" s="3109"/>
      <c r="D310" s="3110"/>
      <c r="E310" s="2683"/>
      <c r="F310" s="2684"/>
      <c r="G310" s="2585"/>
      <c r="H310" s="2585"/>
      <c r="I310" s="2685"/>
      <c r="J310" s="2686"/>
      <c r="K310" s="2585"/>
      <c r="L310" s="2532"/>
      <c r="M310" s="2532"/>
      <c r="N310" s="2365">
        <f t="shared" ref="N310:N341" si="98">M310/$M$8</f>
        <v>0</v>
      </c>
      <c r="O310" s="2365">
        <v>0</v>
      </c>
      <c r="P310" s="2684"/>
      <c r="Q310" s="2365">
        <f t="shared" si="94"/>
        <v>0</v>
      </c>
      <c r="R310" s="2365">
        <f t="shared" si="95"/>
        <v>0</v>
      </c>
      <c r="S310" s="2365">
        <v>0</v>
      </c>
      <c r="T310" s="2669"/>
      <c r="U310" s="2365">
        <f t="shared" si="88"/>
        <v>0</v>
      </c>
      <c r="V310" s="2365"/>
      <c r="W310" s="2445">
        <f t="shared" si="89"/>
        <v>0</v>
      </c>
      <c r="X310" s="2684"/>
      <c r="Y310" s="2365">
        <f t="shared" si="90"/>
        <v>0</v>
      </c>
      <c r="Z310" s="2365"/>
      <c r="AA310" s="2367" t="s">
        <v>3355</v>
      </c>
    </row>
    <row r="311" spans="1:27" ht="25" hidden="1" customHeight="1">
      <c r="A311" s="2590">
        <v>1</v>
      </c>
      <c r="B311" s="2673" t="s">
        <v>514</v>
      </c>
      <c r="C311" s="2687"/>
      <c r="D311" s="2688"/>
      <c r="E311" s="2689">
        <f>'8. Vol Area Parkir'!P11</f>
        <v>30</v>
      </c>
      <c r="F311" s="2690" t="s">
        <v>103</v>
      </c>
      <c r="G311" s="2389">
        <v>490599.08</v>
      </c>
      <c r="H311" s="2389">
        <f t="shared" ref="H311:H317" si="99">E311*G311</f>
        <v>14717972.4</v>
      </c>
      <c r="I311" s="2691">
        <f>'Resume Analisa'!$D$27</f>
        <v>507538.31</v>
      </c>
      <c r="J311" s="2692">
        <f t="shared" ref="J311:J317" si="100">I311*E311</f>
        <v>15226149.300000001</v>
      </c>
      <c r="K311" s="2378" t="e">
        <f>IF(H311=0,"",IF(J311&lt;#REF!*H311,"Timpang &lt;"&amp;TEXT(#REF!,"0%"),IF(J311&gt;#REF!*H311,"Timpang &gt;"&amp;TEXT(#REF!,"0%"),"Wajar")))</f>
        <v>#REF!</v>
      </c>
      <c r="L311" s="2391">
        <v>507538.31</v>
      </c>
      <c r="M311" s="2391">
        <f t="shared" ref="M311:M317" si="101">E311*L311</f>
        <v>15226149.300000001</v>
      </c>
      <c r="N311" s="2375">
        <f t="shared" si="98"/>
        <v>6.6511069565362178E-3</v>
      </c>
      <c r="O311" s="2375">
        <v>0</v>
      </c>
      <c r="P311" s="2690" t="s">
        <v>103</v>
      </c>
      <c r="Q311" s="2375">
        <f t="shared" si="94"/>
        <v>0</v>
      </c>
      <c r="R311" s="2375">
        <f t="shared" si="95"/>
        <v>0</v>
      </c>
      <c r="S311" s="2375">
        <v>0</v>
      </c>
      <c r="T311" s="2611"/>
      <c r="U311" s="2375">
        <f t="shared" si="88"/>
        <v>0</v>
      </c>
      <c r="V311" s="2375"/>
      <c r="W311" s="2382">
        <f t="shared" si="89"/>
        <v>30</v>
      </c>
      <c r="X311" s="2690" t="s">
        <v>103</v>
      </c>
      <c r="Y311" s="2375">
        <f t="shared" si="90"/>
        <v>507538.31</v>
      </c>
      <c r="Z311" s="2375"/>
      <c r="AA311" s="2377" t="s">
        <v>3355</v>
      </c>
    </row>
    <row r="312" spans="1:27" ht="25" hidden="1" customHeight="1">
      <c r="A312" s="2590">
        <f t="shared" ref="A312:A317" si="102">A311+1</f>
        <v>2</v>
      </c>
      <c r="B312" s="2673" t="s">
        <v>515</v>
      </c>
      <c r="C312" s="2687"/>
      <c r="D312" s="2688"/>
      <c r="E312" s="2689">
        <f>'8. Vol Area Parkir'!P15</f>
        <v>30</v>
      </c>
      <c r="F312" s="2690" t="s">
        <v>103</v>
      </c>
      <c r="G312" s="2389">
        <v>39847.5</v>
      </c>
      <c r="H312" s="2389">
        <f t="shared" si="99"/>
        <v>1195425</v>
      </c>
      <c r="I312" s="2691">
        <f>'Resume Analisa'!$D$31</f>
        <v>37946.620000000003</v>
      </c>
      <c r="J312" s="2692">
        <f t="shared" si="100"/>
        <v>1138398.6000000001</v>
      </c>
      <c r="K312" s="2378" t="e">
        <f>IF(H312=0,"",IF(J312&lt;#REF!*H312,"Timpang &lt;"&amp;TEXT(#REF!,"0%"),IF(J312&gt;#REF!*H312,"Timpang &gt;"&amp;TEXT(#REF!,"0%"),"Wajar")))</f>
        <v>#REF!</v>
      </c>
      <c r="L312" s="2391">
        <v>37946.620000000003</v>
      </c>
      <c r="M312" s="2391">
        <f t="shared" si="101"/>
        <v>1138398.6000000001</v>
      </c>
      <c r="N312" s="2375">
        <f t="shared" si="98"/>
        <v>4.972768031225788E-4</v>
      </c>
      <c r="O312" s="2375">
        <v>0</v>
      </c>
      <c r="P312" s="2690" t="s">
        <v>103</v>
      </c>
      <c r="Q312" s="2375">
        <f t="shared" si="94"/>
        <v>0</v>
      </c>
      <c r="R312" s="2375">
        <f t="shared" si="95"/>
        <v>0</v>
      </c>
      <c r="S312" s="2375">
        <v>0</v>
      </c>
      <c r="T312" s="2611"/>
      <c r="U312" s="2375">
        <f t="shared" si="88"/>
        <v>0</v>
      </c>
      <c r="V312" s="2375"/>
      <c r="W312" s="2382">
        <f t="shared" si="89"/>
        <v>30</v>
      </c>
      <c r="X312" s="2690" t="s">
        <v>103</v>
      </c>
      <c r="Y312" s="2375">
        <f t="shared" si="90"/>
        <v>37946.620000000003</v>
      </c>
      <c r="Z312" s="2375"/>
      <c r="AA312" s="2377" t="s">
        <v>3355</v>
      </c>
    </row>
    <row r="313" spans="1:27" ht="25" hidden="1" customHeight="1">
      <c r="A313" s="2590">
        <f t="shared" si="102"/>
        <v>3</v>
      </c>
      <c r="B313" s="2673" t="s">
        <v>516</v>
      </c>
      <c r="C313" s="2687"/>
      <c r="D313" s="2688"/>
      <c r="E313" s="2689">
        <f>'8. Vol Area Parkir'!P19</f>
        <v>15</v>
      </c>
      <c r="F313" s="2690" t="s">
        <v>103</v>
      </c>
      <c r="G313" s="2389">
        <v>442578.65</v>
      </c>
      <c r="H313" s="2389">
        <f t="shared" si="99"/>
        <v>6638679.75</v>
      </c>
      <c r="I313" s="2691">
        <f>'Resume Analisa'!$D$28</f>
        <v>438737.73</v>
      </c>
      <c r="J313" s="2692">
        <f t="shared" si="100"/>
        <v>6581065.9499999993</v>
      </c>
      <c r="K313" s="2378" t="e">
        <f>IF(H313=0,"",IF(J313&lt;#REF!*H313,"Timpang &lt;"&amp;TEXT(#REF!,"0%"),IF(J313&gt;#REF!*H313,"Timpang &gt;"&amp;TEXT(#REF!,"0%"),"Wajar")))</f>
        <v>#REF!</v>
      </c>
      <c r="L313" s="2391">
        <v>438737.73</v>
      </c>
      <c r="M313" s="2391">
        <f t="shared" si="101"/>
        <v>6581065.9499999993</v>
      </c>
      <c r="N313" s="2375">
        <f t="shared" si="98"/>
        <v>2.8747500539396801E-3</v>
      </c>
      <c r="O313" s="2375">
        <v>0</v>
      </c>
      <c r="P313" s="2690" t="s">
        <v>103</v>
      </c>
      <c r="Q313" s="2375">
        <f t="shared" si="94"/>
        <v>0</v>
      </c>
      <c r="R313" s="2375">
        <f t="shared" si="95"/>
        <v>0</v>
      </c>
      <c r="S313" s="2375">
        <v>0</v>
      </c>
      <c r="T313" s="2611"/>
      <c r="U313" s="2375">
        <f t="shared" si="88"/>
        <v>0</v>
      </c>
      <c r="V313" s="2375"/>
      <c r="W313" s="2382">
        <f t="shared" si="89"/>
        <v>15</v>
      </c>
      <c r="X313" s="2690" t="s">
        <v>103</v>
      </c>
      <c r="Y313" s="2375">
        <f t="shared" si="90"/>
        <v>438737.73</v>
      </c>
      <c r="Z313" s="2375"/>
      <c r="AA313" s="2377" t="s">
        <v>3355</v>
      </c>
    </row>
    <row r="314" spans="1:27" ht="25" hidden="1" customHeight="1">
      <c r="A314" s="2590">
        <f t="shared" si="102"/>
        <v>4</v>
      </c>
      <c r="B314" s="2673" t="s">
        <v>517</v>
      </c>
      <c r="C314" s="2687"/>
      <c r="D314" s="2688"/>
      <c r="E314" s="2689">
        <f>'8. Vol Area Parkir'!P23</f>
        <v>15</v>
      </c>
      <c r="F314" s="2690" t="s">
        <v>103</v>
      </c>
      <c r="G314" s="2389">
        <v>39847.5</v>
      </c>
      <c r="H314" s="2389">
        <f t="shared" si="99"/>
        <v>597712.5</v>
      </c>
      <c r="I314" s="2691">
        <f>'Resume Analisa'!$D$31</f>
        <v>37946.620000000003</v>
      </c>
      <c r="J314" s="2692">
        <f t="shared" si="100"/>
        <v>569199.30000000005</v>
      </c>
      <c r="K314" s="2378" t="e">
        <f>IF(H314=0,"",IF(J314&lt;#REF!*H314,"Timpang &lt;"&amp;TEXT(#REF!,"0%"),IF(J314&gt;#REF!*H314,"Timpang &gt;"&amp;TEXT(#REF!,"0%"),"Wajar")))</f>
        <v>#REF!</v>
      </c>
      <c r="L314" s="2391">
        <v>37946.620000000003</v>
      </c>
      <c r="M314" s="2391">
        <f t="shared" si="101"/>
        <v>569199.30000000005</v>
      </c>
      <c r="N314" s="2375">
        <f t="shared" si="98"/>
        <v>2.486384015612894E-4</v>
      </c>
      <c r="O314" s="2375">
        <v>0</v>
      </c>
      <c r="P314" s="2690" t="s">
        <v>103</v>
      </c>
      <c r="Q314" s="2375">
        <f t="shared" si="94"/>
        <v>0</v>
      </c>
      <c r="R314" s="2375">
        <f t="shared" si="95"/>
        <v>0</v>
      </c>
      <c r="S314" s="2386">
        <v>0</v>
      </c>
      <c r="T314" s="2635"/>
      <c r="U314" s="2375">
        <f t="shared" si="88"/>
        <v>0</v>
      </c>
      <c r="V314" s="2375"/>
      <c r="W314" s="2382">
        <f t="shared" si="89"/>
        <v>15</v>
      </c>
      <c r="X314" s="2690" t="s">
        <v>103</v>
      </c>
      <c r="Y314" s="2375">
        <f t="shared" si="90"/>
        <v>37946.620000000003</v>
      </c>
      <c r="Z314" s="2375"/>
      <c r="AA314" s="2377" t="s">
        <v>3355</v>
      </c>
    </row>
    <row r="315" spans="1:27" ht="25" hidden="1" customHeight="1">
      <c r="A315" s="2590">
        <f t="shared" si="102"/>
        <v>5</v>
      </c>
      <c r="B315" s="2549" t="s">
        <v>415</v>
      </c>
      <c r="C315" s="2550"/>
      <c r="D315" s="2551"/>
      <c r="E315" s="2541">
        <f>'8. Vol Area Parkir'!P27</f>
        <v>7.5</v>
      </c>
      <c r="F315" s="2398" t="s">
        <v>103</v>
      </c>
      <c r="G315" s="2389">
        <v>507759.96</v>
      </c>
      <c r="H315" s="2389">
        <f t="shared" si="99"/>
        <v>3808199.7</v>
      </c>
      <c r="I315" s="2480">
        <f>'Resume Analisa'!$D$26</f>
        <v>475358.64</v>
      </c>
      <c r="J315" s="2544">
        <f t="shared" si="100"/>
        <v>3565189.8000000003</v>
      </c>
      <c r="K315" s="2378" t="e">
        <f>IF(H315=0,"",IF(J315&lt;#REF!*H315,"Timpang &lt;"&amp;TEXT(#REF!,"0%"),IF(J315&gt;#REF!*H315,"Timpang &gt;"&amp;TEXT(#REF!,"0%"),"Wajar")))</f>
        <v>#REF!</v>
      </c>
      <c r="L315" s="2391">
        <v>475358.64</v>
      </c>
      <c r="M315" s="2391">
        <f t="shared" si="101"/>
        <v>3565189.8000000003</v>
      </c>
      <c r="N315" s="2375">
        <f t="shared" si="98"/>
        <v>1.557350989599975E-3</v>
      </c>
      <c r="O315" s="2375">
        <v>0</v>
      </c>
      <c r="P315" s="2398" t="s">
        <v>103</v>
      </c>
      <c r="Q315" s="2375">
        <f t="shared" si="94"/>
        <v>0</v>
      </c>
      <c r="R315" s="2375">
        <f t="shared" si="95"/>
        <v>0</v>
      </c>
      <c r="S315" s="2386">
        <v>0</v>
      </c>
      <c r="T315" s="2635"/>
      <c r="U315" s="2375">
        <f t="shared" si="88"/>
        <v>0</v>
      </c>
      <c r="V315" s="2375"/>
      <c r="W315" s="2382">
        <f t="shared" si="89"/>
        <v>7.5</v>
      </c>
      <c r="X315" s="2398" t="s">
        <v>103</v>
      </c>
      <c r="Y315" s="2375">
        <f t="shared" si="90"/>
        <v>475358.64</v>
      </c>
      <c r="Z315" s="2375"/>
      <c r="AA315" s="2377" t="s">
        <v>3355</v>
      </c>
    </row>
    <row r="316" spans="1:27" ht="25" hidden="1" customHeight="1">
      <c r="A316" s="2590">
        <f t="shared" si="102"/>
        <v>6</v>
      </c>
      <c r="B316" s="2673" t="s">
        <v>518</v>
      </c>
      <c r="C316" s="2687"/>
      <c r="D316" s="2688"/>
      <c r="E316" s="2689">
        <f>'8. Vol Area Parkir'!P31</f>
        <v>150</v>
      </c>
      <c r="F316" s="2690" t="s">
        <v>89</v>
      </c>
      <c r="G316" s="2389">
        <v>186922.93000000002</v>
      </c>
      <c r="H316" s="2389">
        <f t="shared" si="99"/>
        <v>28038439.500000004</v>
      </c>
      <c r="I316" s="2691">
        <f>'Resume Analisa'!$D$97</f>
        <v>193799.55000000002</v>
      </c>
      <c r="J316" s="2692">
        <f t="shared" si="100"/>
        <v>29069932.500000004</v>
      </c>
      <c r="K316" s="2378" t="e">
        <f>IF(H316=0,"",IF(J316&lt;#REF!*H316,"Timpang &lt;"&amp;TEXT(#REF!,"0%"),IF(J316&gt;#REF!*H316,"Timpang &gt;"&amp;TEXT(#REF!,"0%"),"Wajar")))</f>
        <v>#REF!</v>
      </c>
      <c r="L316" s="2391">
        <v>193799.55000000002</v>
      </c>
      <c r="M316" s="2391">
        <f t="shared" si="101"/>
        <v>29069932.500000004</v>
      </c>
      <c r="N316" s="2375">
        <f t="shared" si="98"/>
        <v>1.2698366899422713E-2</v>
      </c>
      <c r="O316" s="2375">
        <v>0</v>
      </c>
      <c r="P316" s="2690" t="s">
        <v>89</v>
      </c>
      <c r="Q316" s="2375">
        <f t="shared" si="94"/>
        <v>0</v>
      </c>
      <c r="R316" s="2375">
        <f t="shared" si="95"/>
        <v>0</v>
      </c>
      <c r="S316" s="2375">
        <v>0</v>
      </c>
      <c r="T316" s="2627"/>
      <c r="U316" s="2375">
        <f t="shared" si="88"/>
        <v>0</v>
      </c>
      <c r="V316" s="2375"/>
      <c r="W316" s="2382">
        <f t="shared" si="89"/>
        <v>150</v>
      </c>
      <c r="X316" s="2690" t="s">
        <v>89</v>
      </c>
      <c r="Y316" s="2375">
        <f t="shared" si="90"/>
        <v>193799.55000000002</v>
      </c>
      <c r="Z316" s="2375"/>
      <c r="AA316" s="2377" t="s">
        <v>3355</v>
      </c>
    </row>
    <row r="317" spans="1:27" ht="25" hidden="1" customHeight="1">
      <c r="A317" s="2590">
        <f t="shared" si="102"/>
        <v>7</v>
      </c>
      <c r="B317" s="2673" t="s">
        <v>519</v>
      </c>
      <c r="C317" s="2687"/>
      <c r="D317" s="2688"/>
      <c r="E317" s="2689">
        <f>'8. Vol Area Parkir'!P35</f>
        <v>50</v>
      </c>
      <c r="F317" s="2690" t="s">
        <v>117</v>
      </c>
      <c r="G317" s="2389">
        <v>152552.84</v>
      </c>
      <c r="H317" s="2389">
        <f t="shared" si="99"/>
        <v>7627642</v>
      </c>
      <c r="I317" s="2691">
        <f>'Resume Analisa'!$D$96</f>
        <v>154643.40000000002</v>
      </c>
      <c r="J317" s="2692">
        <f t="shared" si="100"/>
        <v>7732170.0000000009</v>
      </c>
      <c r="K317" s="2378" t="e">
        <f>IF(H317=0,"",IF(J317&lt;#REF!*H317,"Timpang &lt;"&amp;TEXT(#REF!,"0%"),IF(J317&gt;#REF!*H317,"Timpang &gt;"&amp;TEXT(#REF!,"0%"),"Wajar")))</f>
        <v>#REF!</v>
      </c>
      <c r="L317" s="2391">
        <v>154643.40000000002</v>
      </c>
      <c r="M317" s="2391">
        <f t="shared" si="101"/>
        <v>7732170.0000000009</v>
      </c>
      <c r="N317" s="2375">
        <f t="shared" si="98"/>
        <v>3.3775768687701394E-3</v>
      </c>
      <c r="O317" s="2375">
        <v>0</v>
      </c>
      <c r="P317" s="2690" t="s">
        <v>117</v>
      </c>
      <c r="Q317" s="2375">
        <f t="shared" si="94"/>
        <v>0</v>
      </c>
      <c r="R317" s="2375">
        <f t="shared" si="95"/>
        <v>0</v>
      </c>
      <c r="S317" s="2375">
        <v>0</v>
      </c>
      <c r="T317" s="2398"/>
      <c r="U317" s="2375">
        <f t="shared" si="88"/>
        <v>0</v>
      </c>
      <c r="V317" s="2375"/>
      <c r="W317" s="2382">
        <f t="shared" si="89"/>
        <v>50</v>
      </c>
      <c r="X317" s="2690" t="s">
        <v>117</v>
      </c>
      <c r="Y317" s="2375">
        <f t="shared" si="90"/>
        <v>154643.40000000002</v>
      </c>
      <c r="Z317" s="2375"/>
      <c r="AA317" s="2377" t="s">
        <v>3355</v>
      </c>
    </row>
    <row r="318" spans="1:27" ht="25" hidden="1" customHeight="1">
      <c r="A318" s="2693"/>
      <c r="B318" s="2694"/>
      <c r="C318" s="2695"/>
      <c r="D318" s="2632" t="s">
        <v>376</v>
      </c>
      <c r="E318" s="2696"/>
      <c r="F318" s="2697"/>
      <c r="G318" s="2546"/>
      <c r="H318" s="2546">
        <f>SUM(H311:H317)</f>
        <v>62624070.850000001</v>
      </c>
      <c r="I318" s="2698"/>
      <c r="J318" s="2698">
        <f>SUM(J311:J317)</f>
        <v>63882105.450000003</v>
      </c>
      <c r="K318" s="2546"/>
      <c r="L318" s="2457"/>
      <c r="M318" s="2457">
        <f>SUM(M311:M317)</f>
        <v>63882105.450000003</v>
      </c>
      <c r="N318" s="2375">
        <f t="shared" si="98"/>
        <v>2.7905066972952593E-2</v>
      </c>
      <c r="O318" s="2375">
        <v>0</v>
      </c>
      <c r="P318" s="2697"/>
      <c r="Q318" s="2375">
        <f t="shared" si="94"/>
        <v>0</v>
      </c>
      <c r="R318" s="2375">
        <f t="shared" si="95"/>
        <v>0</v>
      </c>
      <c r="S318" s="2375">
        <v>0</v>
      </c>
      <c r="T318" s="2398"/>
      <c r="U318" s="2375">
        <f t="shared" si="88"/>
        <v>0</v>
      </c>
      <c r="V318" s="2375"/>
      <c r="W318" s="2382">
        <f t="shared" si="89"/>
        <v>0</v>
      </c>
      <c r="X318" s="2697"/>
      <c r="Y318" s="2375">
        <f t="shared" si="90"/>
        <v>0</v>
      </c>
      <c r="Z318" s="2375"/>
      <c r="AA318" s="2377" t="s">
        <v>3355</v>
      </c>
    </row>
    <row r="319" spans="1:27" s="331" customFormat="1" ht="25" hidden="1" customHeight="1">
      <c r="A319" s="2537" t="s">
        <v>520</v>
      </c>
      <c r="B319" s="2538" t="s">
        <v>521</v>
      </c>
      <c r="C319" s="2539"/>
      <c r="D319" s="2540"/>
      <c r="E319" s="2541"/>
      <c r="F319" s="2398"/>
      <c r="G319" s="2389"/>
      <c r="H319" s="2546"/>
      <c r="I319" s="2544"/>
      <c r="J319" s="2545"/>
      <c r="K319" s="2546"/>
      <c r="L319" s="2391"/>
      <c r="M319" s="2457"/>
      <c r="N319" s="2375">
        <f t="shared" si="98"/>
        <v>0</v>
      </c>
      <c r="O319" s="2375">
        <v>0</v>
      </c>
      <c r="P319" s="2398"/>
      <c r="Q319" s="2375">
        <f t="shared" si="94"/>
        <v>0</v>
      </c>
      <c r="R319" s="2375">
        <f t="shared" si="95"/>
        <v>0</v>
      </c>
      <c r="S319" s="2375">
        <v>0</v>
      </c>
      <c r="T319" s="2398"/>
      <c r="U319" s="2375">
        <f t="shared" si="88"/>
        <v>0</v>
      </c>
      <c r="V319" s="2375"/>
      <c r="W319" s="2382">
        <f t="shared" si="89"/>
        <v>0</v>
      </c>
      <c r="X319" s="2398"/>
      <c r="Y319" s="2375">
        <f t="shared" si="90"/>
        <v>0</v>
      </c>
      <c r="Z319" s="2375"/>
      <c r="AA319" s="2377" t="s">
        <v>3355</v>
      </c>
    </row>
    <row r="320" spans="1:27" s="331" customFormat="1" ht="25" hidden="1" customHeight="1">
      <c r="A320" s="2537" t="s">
        <v>522</v>
      </c>
      <c r="B320" s="2538" t="s">
        <v>395</v>
      </c>
      <c r="C320" s="2539"/>
      <c r="D320" s="2540"/>
      <c r="E320" s="2541"/>
      <c r="F320" s="2398"/>
      <c r="G320" s="2389"/>
      <c r="H320" s="2546"/>
      <c r="I320" s="2544"/>
      <c r="J320" s="2545"/>
      <c r="K320" s="2546"/>
      <c r="L320" s="2391"/>
      <c r="M320" s="2457"/>
      <c r="N320" s="2375">
        <f t="shared" si="98"/>
        <v>0</v>
      </c>
      <c r="O320" s="2375">
        <v>0</v>
      </c>
      <c r="P320" s="2398"/>
      <c r="Q320" s="2375">
        <f t="shared" si="94"/>
        <v>0</v>
      </c>
      <c r="R320" s="2375">
        <f t="shared" si="95"/>
        <v>0</v>
      </c>
      <c r="S320" s="2375">
        <v>0</v>
      </c>
      <c r="T320" s="2612"/>
      <c r="U320" s="2375">
        <f t="shared" si="88"/>
        <v>0</v>
      </c>
      <c r="V320" s="2375"/>
      <c r="W320" s="2382">
        <f t="shared" si="89"/>
        <v>0</v>
      </c>
      <c r="X320" s="2398"/>
      <c r="Y320" s="2375">
        <f t="shared" si="90"/>
        <v>0</v>
      </c>
      <c r="Z320" s="2375"/>
      <c r="AA320" s="2377" t="s">
        <v>3355</v>
      </c>
    </row>
    <row r="321" spans="1:27" s="331" customFormat="1" ht="25" hidden="1" customHeight="1">
      <c r="A321" s="2398">
        <v>1</v>
      </c>
      <c r="B321" s="2549" t="s">
        <v>396</v>
      </c>
      <c r="C321" s="2550"/>
      <c r="D321" s="2551"/>
      <c r="E321" s="2541">
        <f>'9. Vol Cool Box G'!$P$12</f>
        <v>30</v>
      </c>
      <c r="F321" s="2398" t="s">
        <v>117</v>
      </c>
      <c r="G321" s="2389">
        <v>167131.79999999999</v>
      </c>
      <c r="H321" s="2389">
        <f>E321*G321</f>
        <v>5013954</v>
      </c>
      <c r="I321" s="2480">
        <f>'Resume Analisa'!$D$9</f>
        <v>174862.27000000002</v>
      </c>
      <c r="J321" s="2544">
        <f>I321*E321</f>
        <v>5245868.1000000006</v>
      </c>
      <c r="K321" s="2378" t="e">
        <f>IF(H321=0,"",IF(J321&lt;#REF!*H321,"Timpang &lt;"&amp;TEXT(#REF!,"0%"),IF(J321&gt;#REF!*H321,"Timpang &gt;"&amp;TEXT(#REF!,"0%"),"Wajar")))</f>
        <v>#REF!</v>
      </c>
      <c r="L321" s="2391">
        <v>174862.27000000002</v>
      </c>
      <c r="M321" s="2391">
        <f>E321*L321</f>
        <v>5245868.1000000006</v>
      </c>
      <c r="N321" s="2375">
        <f t="shared" si="98"/>
        <v>2.2915071385108138E-3</v>
      </c>
      <c r="O321" s="2375">
        <v>0</v>
      </c>
      <c r="P321" s="2398" t="s">
        <v>117</v>
      </c>
      <c r="Q321" s="2375">
        <f t="shared" si="94"/>
        <v>0</v>
      </c>
      <c r="R321" s="2375">
        <f t="shared" si="95"/>
        <v>0</v>
      </c>
      <c r="S321" s="2386">
        <v>0</v>
      </c>
      <c r="T321" s="2398"/>
      <c r="U321" s="2375">
        <f t="shared" si="88"/>
        <v>0</v>
      </c>
      <c r="V321" s="2375"/>
      <c r="W321" s="2382">
        <f t="shared" si="89"/>
        <v>30</v>
      </c>
      <c r="X321" s="2398" t="s">
        <v>117</v>
      </c>
      <c r="Y321" s="2375">
        <f t="shared" si="90"/>
        <v>174862.27000000002</v>
      </c>
      <c r="Z321" s="2375"/>
      <c r="AA321" s="2377" t="s">
        <v>3355</v>
      </c>
    </row>
    <row r="322" spans="1:27" s="331" customFormat="1" ht="25" hidden="1" customHeight="1">
      <c r="A322" s="2553">
        <f>A321+1</f>
        <v>2</v>
      </c>
      <c r="B322" s="2554" t="s">
        <v>523</v>
      </c>
      <c r="C322" s="2550"/>
      <c r="D322" s="2551"/>
      <c r="E322" s="2541"/>
      <c r="F322" s="2398"/>
      <c r="G322" s="2389"/>
      <c r="H322" s="2389"/>
      <c r="I322" s="2480"/>
      <c r="J322" s="2552"/>
      <c r="K322" s="2389"/>
      <c r="L322" s="2391"/>
      <c r="M322" s="2391"/>
      <c r="N322" s="2375">
        <f t="shared" si="98"/>
        <v>0</v>
      </c>
      <c r="O322" s="2375">
        <v>0</v>
      </c>
      <c r="P322" s="2398"/>
      <c r="Q322" s="2375">
        <f t="shared" si="94"/>
        <v>0</v>
      </c>
      <c r="R322" s="2375">
        <f t="shared" si="95"/>
        <v>0</v>
      </c>
      <c r="S322" s="2386">
        <v>0</v>
      </c>
      <c r="T322" s="2611"/>
      <c r="U322" s="2375">
        <f t="shared" si="88"/>
        <v>0</v>
      </c>
      <c r="V322" s="2375"/>
      <c r="W322" s="2382">
        <f t="shared" si="89"/>
        <v>0</v>
      </c>
      <c r="X322" s="2398"/>
      <c r="Y322" s="2375">
        <f t="shared" si="90"/>
        <v>0</v>
      </c>
      <c r="Z322" s="2375"/>
      <c r="AA322" s="2377" t="s">
        <v>3355</v>
      </c>
    </row>
    <row r="323" spans="1:27" s="331" customFormat="1" ht="25" hidden="1" customHeight="1">
      <c r="A323" s="2555" t="s">
        <v>95</v>
      </c>
      <c r="B323" s="2554" t="s">
        <v>398</v>
      </c>
      <c r="C323" s="2550"/>
      <c r="D323" s="2551"/>
      <c r="E323" s="2541">
        <f>'9. Vol Cool Box G'!$N$14</f>
        <v>3.2639999999999993</v>
      </c>
      <c r="F323" s="2398" t="s">
        <v>103</v>
      </c>
      <c r="G323" s="2389">
        <v>50600</v>
      </c>
      <c r="H323" s="2389">
        <f t="shared" ref="H323:H329" si="103">E323*G323</f>
        <v>165158.39999999997</v>
      </c>
      <c r="I323" s="2465">
        <f>'Resume Analisa'!$D$18</f>
        <v>49036.76</v>
      </c>
      <c r="J323" s="2552">
        <f>E323*I323</f>
        <v>160055.98463999998</v>
      </c>
      <c r="K323" s="2378" t="e">
        <f>IF(H323=0,"",IF(J323&lt;#REF!*H323,"Timpang &lt;"&amp;TEXT(#REF!,"0%"),IF(J323&gt;#REF!*H323,"Timpang &gt;"&amp;TEXT(#REF!,"0%"),"Wajar")))</f>
        <v>#REF!</v>
      </c>
      <c r="L323" s="2391">
        <v>49036.76</v>
      </c>
      <c r="M323" s="2391">
        <f t="shared" ref="M323:M329" si="104">E323*L323</f>
        <v>160055.98463999998</v>
      </c>
      <c r="N323" s="2375">
        <f t="shared" si="98"/>
        <v>6.9915869856494693E-5</v>
      </c>
      <c r="O323" s="2375">
        <v>0</v>
      </c>
      <c r="P323" s="2398" t="s">
        <v>103</v>
      </c>
      <c r="Q323" s="2375">
        <f t="shared" si="94"/>
        <v>0</v>
      </c>
      <c r="R323" s="2375">
        <f t="shared" si="95"/>
        <v>0</v>
      </c>
      <c r="S323" s="2375">
        <v>0</v>
      </c>
      <c r="T323" s="2611"/>
      <c r="U323" s="2375">
        <f t="shared" si="88"/>
        <v>0</v>
      </c>
      <c r="V323" s="2375"/>
      <c r="W323" s="2382">
        <f t="shared" si="89"/>
        <v>3.2639999999999993</v>
      </c>
      <c r="X323" s="2398" t="s">
        <v>103</v>
      </c>
      <c r="Y323" s="2375">
        <f t="shared" si="90"/>
        <v>49036.76</v>
      </c>
      <c r="Z323" s="2375"/>
      <c r="AA323" s="2377" t="s">
        <v>3355</v>
      </c>
    </row>
    <row r="324" spans="1:27" s="331" customFormat="1" ht="25" hidden="1" customHeight="1">
      <c r="A324" s="2555" t="s">
        <v>98</v>
      </c>
      <c r="B324" s="2554" t="s">
        <v>399</v>
      </c>
      <c r="C324" s="2550"/>
      <c r="D324" s="2551"/>
      <c r="E324" s="2541">
        <f>'9. Vol Cool Box G'!$N$15</f>
        <v>0.26880000000000009</v>
      </c>
      <c r="F324" s="2398" t="s">
        <v>103</v>
      </c>
      <c r="G324" s="2389">
        <v>507759.96</v>
      </c>
      <c r="H324" s="2389">
        <f t="shared" si="103"/>
        <v>136485.87724800006</v>
      </c>
      <c r="I324" s="2480">
        <f>'Resume Analisa'!$D$26</f>
        <v>475358.64</v>
      </c>
      <c r="J324" s="2544">
        <f>I324*E324</f>
        <v>127776.40243200005</v>
      </c>
      <c r="K324" s="2378" t="e">
        <f>IF(H324=0,"",IF(J324&lt;#REF!*H324,"Timpang &lt;"&amp;TEXT(#REF!,"0%"),IF(J324&gt;#REF!*H324,"Timpang &gt;"&amp;TEXT(#REF!,"0%"),"Wajar")))</f>
        <v>#REF!</v>
      </c>
      <c r="L324" s="2391">
        <v>475358.64</v>
      </c>
      <c r="M324" s="2391">
        <f t="shared" si="104"/>
        <v>127776.40243200005</v>
      </c>
      <c r="N324" s="2375">
        <f t="shared" si="98"/>
        <v>5.5815459467263119E-5</v>
      </c>
      <c r="O324" s="2375">
        <v>0</v>
      </c>
      <c r="P324" s="2398" t="s">
        <v>103</v>
      </c>
      <c r="Q324" s="2375">
        <f t="shared" si="94"/>
        <v>0</v>
      </c>
      <c r="R324" s="2375">
        <f t="shared" si="95"/>
        <v>0</v>
      </c>
      <c r="S324" s="2375">
        <v>0</v>
      </c>
      <c r="T324" s="2611"/>
      <c r="U324" s="2375">
        <f t="shared" si="88"/>
        <v>0</v>
      </c>
      <c r="V324" s="2375"/>
      <c r="W324" s="2382">
        <f t="shared" si="89"/>
        <v>0.26880000000000009</v>
      </c>
      <c r="X324" s="2398" t="s">
        <v>103</v>
      </c>
      <c r="Y324" s="2375">
        <f t="shared" si="90"/>
        <v>475358.64</v>
      </c>
      <c r="Z324" s="2375"/>
      <c r="AA324" s="2377" t="s">
        <v>3355</v>
      </c>
    </row>
    <row r="325" spans="1:27" s="331" customFormat="1" ht="25" hidden="1" customHeight="1">
      <c r="A325" s="2555" t="s">
        <v>101</v>
      </c>
      <c r="B325" s="2554" t="s">
        <v>400</v>
      </c>
      <c r="C325" s="2550"/>
      <c r="D325" s="2551"/>
      <c r="E325" s="2541">
        <f>'9. Vol Cool Box G'!$N$16</f>
        <v>0.11520000000000001</v>
      </c>
      <c r="F325" s="2398" t="s">
        <v>103</v>
      </c>
      <c r="G325" s="2389">
        <v>1422226.08</v>
      </c>
      <c r="H325" s="2389">
        <f t="shared" si="103"/>
        <v>163840.44441600001</v>
      </c>
      <c r="I325" s="2465">
        <f>'Resume Analisa'!$D$54</f>
        <v>1384580.76</v>
      </c>
      <c r="J325" s="2567">
        <f>E325*I325</f>
        <v>159503.70355200002</v>
      </c>
      <c r="K325" s="2378" t="e">
        <f>IF(H325=0,"",IF(J325&lt;#REF!*H325,"Timpang &lt;"&amp;TEXT(#REF!,"0%"),IF(J325&gt;#REF!*H325,"Timpang &gt;"&amp;TEXT(#REF!,"0%"),"Wajar")))</f>
        <v>#REF!</v>
      </c>
      <c r="L325" s="2391">
        <v>1384580.76</v>
      </c>
      <c r="M325" s="2391">
        <f t="shared" si="104"/>
        <v>159503.70355200002</v>
      </c>
      <c r="N325" s="2375">
        <f t="shared" si="98"/>
        <v>6.967462169098775E-5</v>
      </c>
      <c r="O325" s="2375">
        <v>0</v>
      </c>
      <c r="P325" s="2398" t="s">
        <v>103</v>
      </c>
      <c r="Q325" s="2375">
        <f t="shared" si="94"/>
        <v>0</v>
      </c>
      <c r="R325" s="2375">
        <f t="shared" si="95"/>
        <v>0</v>
      </c>
      <c r="S325" s="2375">
        <v>0</v>
      </c>
      <c r="T325" s="2611"/>
      <c r="U325" s="2375">
        <f t="shared" si="88"/>
        <v>0</v>
      </c>
      <c r="V325" s="2375"/>
      <c r="W325" s="2382">
        <f t="shared" si="89"/>
        <v>0.11520000000000001</v>
      </c>
      <c r="X325" s="2398" t="s">
        <v>103</v>
      </c>
      <c r="Y325" s="2375">
        <f t="shared" si="90"/>
        <v>1384580.76</v>
      </c>
      <c r="Z325" s="2375"/>
      <c r="AA325" s="2377" t="s">
        <v>3355</v>
      </c>
    </row>
    <row r="326" spans="1:27" s="331" customFormat="1" ht="25" hidden="1" customHeight="1">
      <c r="A326" s="2555" t="s">
        <v>121</v>
      </c>
      <c r="B326" s="2554" t="s">
        <v>401</v>
      </c>
      <c r="C326" s="2550"/>
      <c r="D326" s="2551"/>
      <c r="E326" s="2541">
        <f>'9. Vol Cool Box G'!$N$17</f>
        <v>2.8800000000000021</v>
      </c>
      <c r="F326" s="2398" t="s">
        <v>103</v>
      </c>
      <c r="G326" s="2389">
        <v>188325.18000000002</v>
      </c>
      <c r="H326" s="2389">
        <f t="shared" si="103"/>
        <v>542376.51840000041</v>
      </c>
      <c r="I326" s="2465">
        <f>'Resume Analisa'!$D$68</f>
        <v>181829.52000000002</v>
      </c>
      <c r="J326" s="2567">
        <f>E326*I326</f>
        <v>523669.01760000043</v>
      </c>
      <c r="K326" s="2378" t="e">
        <f>IF(H326=0,"",IF(J326&lt;#REF!*H326,"Timpang &lt;"&amp;TEXT(#REF!,"0%"),IF(J326&gt;#REF!*H326,"Timpang &gt;"&amp;TEXT(#REF!,"0%"),"Wajar")))</f>
        <v>#REF!</v>
      </c>
      <c r="L326" s="2391">
        <v>181829.52000000002</v>
      </c>
      <c r="M326" s="2391">
        <f t="shared" si="104"/>
        <v>523669.01760000043</v>
      </c>
      <c r="N326" s="2375">
        <f t="shared" si="98"/>
        <v>2.2874980254409101E-4</v>
      </c>
      <c r="O326" s="2375">
        <v>0</v>
      </c>
      <c r="P326" s="2398" t="s">
        <v>103</v>
      </c>
      <c r="Q326" s="2375">
        <f t="shared" si="94"/>
        <v>0</v>
      </c>
      <c r="R326" s="2375">
        <f t="shared" si="95"/>
        <v>0</v>
      </c>
      <c r="S326" s="2375">
        <v>0</v>
      </c>
      <c r="T326" s="2398"/>
      <c r="U326" s="2375">
        <f t="shared" si="88"/>
        <v>0</v>
      </c>
      <c r="V326" s="2375"/>
      <c r="W326" s="2382">
        <f t="shared" si="89"/>
        <v>2.8800000000000021</v>
      </c>
      <c r="X326" s="2398" t="s">
        <v>103</v>
      </c>
      <c r="Y326" s="2375">
        <f t="shared" si="90"/>
        <v>181829.52000000002</v>
      </c>
      <c r="Z326" s="2375"/>
      <c r="AA326" s="2377" t="s">
        <v>3355</v>
      </c>
    </row>
    <row r="327" spans="1:27" s="331" customFormat="1" ht="25" hidden="1" customHeight="1">
      <c r="A327" s="2555" t="s">
        <v>142</v>
      </c>
      <c r="B327" s="2554" t="s">
        <v>504</v>
      </c>
      <c r="C327" s="2550"/>
      <c r="D327" s="2551"/>
      <c r="E327" s="2541">
        <f>'9. Vol Cool Box G'!$N$18</f>
        <v>33.291000000000004</v>
      </c>
      <c r="F327" s="2398" t="s">
        <v>100</v>
      </c>
      <c r="G327" s="2389">
        <v>19151.18</v>
      </c>
      <c r="H327" s="2473">
        <f t="shared" si="103"/>
        <v>637561.93338000006</v>
      </c>
      <c r="I327" s="2699">
        <f>'Resume Analisa'!$D$48</f>
        <v>18790.969999999998</v>
      </c>
      <c r="J327" s="2562">
        <f>+I327*E327</f>
        <v>625570.18226999999</v>
      </c>
      <c r="K327" s="2378" t="e">
        <f>IF(H327=0,"",IF(J327&lt;#REF!*H327,"Timpang &lt;"&amp;TEXT(#REF!,"0%"),IF(J327&gt;#REF!*H327,"Timpang &gt;"&amp;TEXT(#REF!,"0%"),"Wajar")))</f>
        <v>#REF!</v>
      </c>
      <c r="L327" s="2391">
        <v>18790.969999999998</v>
      </c>
      <c r="M327" s="2475">
        <f t="shared" si="104"/>
        <v>625570.18226999999</v>
      </c>
      <c r="N327" s="2375">
        <f t="shared" si="98"/>
        <v>2.7326240595168907E-4</v>
      </c>
      <c r="O327" s="2375">
        <v>0</v>
      </c>
      <c r="P327" s="2398" t="s">
        <v>100</v>
      </c>
      <c r="Q327" s="2375">
        <f t="shared" si="94"/>
        <v>0</v>
      </c>
      <c r="R327" s="2375">
        <f t="shared" si="95"/>
        <v>0</v>
      </c>
      <c r="S327" s="2375">
        <v>0</v>
      </c>
      <c r="T327" s="2611"/>
      <c r="U327" s="2375">
        <f t="shared" si="88"/>
        <v>0</v>
      </c>
      <c r="V327" s="2375"/>
      <c r="W327" s="2382">
        <f t="shared" si="89"/>
        <v>33.291000000000004</v>
      </c>
      <c r="X327" s="2398" t="s">
        <v>100</v>
      </c>
      <c r="Y327" s="2375">
        <f t="shared" si="90"/>
        <v>18790.969999999998</v>
      </c>
      <c r="Z327" s="2375"/>
      <c r="AA327" s="2377" t="s">
        <v>3355</v>
      </c>
    </row>
    <row r="328" spans="1:27" s="331" customFormat="1" ht="25" hidden="1" customHeight="1">
      <c r="A328" s="2555" t="s">
        <v>217</v>
      </c>
      <c r="B328" s="2549" t="s">
        <v>169</v>
      </c>
      <c r="C328" s="2550"/>
      <c r="D328" s="2551"/>
      <c r="E328" s="2541">
        <f>'9. Vol Cool Box G'!$N$19</f>
        <v>0.32400000000000007</v>
      </c>
      <c r="F328" s="2398" t="s">
        <v>103</v>
      </c>
      <c r="G328" s="2389">
        <v>1584129.98</v>
      </c>
      <c r="H328" s="2389">
        <f t="shared" si="103"/>
        <v>513258.11352000007</v>
      </c>
      <c r="I328" s="2465">
        <f>'Resume Analisa'!$D$55</f>
        <v>1535009.1300000001</v>
      </c>
      <c r="J328" s="2552">
        <f>E328*I328</f>
        <v>497342.95812000014</v>
      </c>
      <c r="K328" s="2378" t="e">
        <f>IF(H328=0,"",IF(J328&lt;#REF!*H328,"Timpang &lt;"&amp;TEXT(#REF!,"0%"),IF(J328&gt;#REF!*H328,"Timpang &gt;"&amp;TEXT(#REF!,"0%"),"Wajar")))</f>
        <v>#REF!</v>
      </c>
      <c r="L328" s="2391">
        <v>1535009.1300000001</v>
      </c>
      <c r="M328" s="2391">
        <f t="shared" si="104"/>
        <v>497342.95812000014</v>
      </c>
      <c r="N328" s="2375">
        <f t="shared" si="98"/>
        <v>2.1725001793698645E-4</v>
      </c>
      <c r="O328" s="2375">
        <v>0</v>
      </c>
      <c r="P328" s="2398" t="s">
        <v>103</v>
      </c>
      <c r="Q328" s="2375">
        <f t="shared" si="94"/>
        <v>0</v>
      </c>
      <c r="R328" s="2375">
        <f t="shared" si="95"/>
        <v>0</v>
      </c>
      <c r="S328" s="2386">
        <v>0</v>
      </c>
      <c r="T328" s="2611"/>
      <c r="U328" s="2375">
        <f t="shared" si="88"/>
        <v>0</v>
      </c>
      <c r="V328" s="2375"/>
      <c r="W328" s="2382">
        <f t="shared" si="89"/>
        <v>0.32400000000000007</v>
      </c>
      <c r="X328" s="2398" t="s">
        <v>103</v>
      </c>
      <c r="Y328" s="2375">
        <f t="shared" si="90"/>
        <v>1535009.1300000001</v>
      </c>
      <c r="Z328" s="2375"/>
      <c r="AA328" s="2377" t="s">
        <v>3355</v>
      </c>
    </row>
    <row r="329" spans="1:27" s="331" customFormat="1" ht="25" hidden="1" customHeight="1">
      <c r="A329" s="2555" t="s">
        <v>366</v>
      </c>
      <c r="B329" s="2554" t="s">
        <v>383</v>
      </c>
      <c r="C329" s="2550"/>
      <c r="D329" s="2551"/>
      <c r="E329" s="2541">
        <f>'9. Vol Cool Box G'!$N$20</f>
        <v>96</v>
      </c>
      <c r="F329" s="2398" t="s">
        <v>117</v>
      </c>
      <c r="G329" s="2389">
        <v>34019.880000000005</v>
      </c>
      <c r="H329" s="2389">
        <f t="shared" si="103"/>
        <v>3265908.4800000004</v>
      </c>
      <c r="I329" s="2465">
        <f>'Resume Analisa'!$D$37</f>
        <v>33453.230000000003</v>
      </c>
      <c r="J329" s="2544">
        <f>I329*E329</f>
        <v>3211510.08</v>
      </c>
      <c r="K329" s="2378" t="e">
        <f>IF(H329=0,"",IF(J329&lt;#REF!*H329,"Timpang &lt;"&amp;TEXT(#REF!,"0%"),IF(J329&gt;#REF!*H329,"Timpang &gt;"&amp;TEXT(#REF!,"0%"),"Wajar")))</f>
        <v>#REF!</v>
      </c>
      <c r="L329" s="2391">
        <v>33453.230000000003</v>
      </c>
      <c r="M329" s="2391">
        <f t="shared" si="104"/>
        <v>3211510.08</v>
      </c>
      <c r="N329" s="2375">
        <f t="shared" si="98"/>
        <v>1.4028561400008198E-3</v>
      </c>
      <c r="O329" s="2375">
        <v>0</v>
      </c>
      <c r="P329" s="2398" t="s">
        <v>117</v>
      </c>
      <c r="Q329" s="2375">
        <f t="shared" si="94"/>
        <v>0</v>
      </c>
      <c r="R329" s="2375">
        <f t="shared" si="95"/>
        <v>0</v>
      </c>
      <c r="S329" s="2386">
        <v>0</v>
      </c>
      <c r="T329" s="2611"/>
      <c r="U329" s="2375">
        <f t="shared" si="88"/>
        <v>0</v>
      </c>
      <c r="V329" s="2375"/>
      <c r="W329" s="2382">
        <f t="shared" si="89"/>
        <v>96</v>
      </c>
      <c r="X329" s="2398" t="s">
        <v>117</v>
      </c>
      <c r="Y329" s="2375">
        <f t="shared" si="90"/>
        <v>33453.230000000003</v>
      </c>
      <c r="Z329" s="2375"/>
      <c r="AA329" s="2377" t="s">
        <v>3355</v>
      </c>
    </row>
    <row r="330" spans="1:27" s="331" customFormat="1" ht="25" hidden="1" customHeight="1">
      <c r="A330" s="2398">
        <f>A322+1</f>
        <v>3</v>
      </c>
      <c r="B330" s="2549" t="s">
        <v>403</v>
      </c>
      <c r="C330" s="2550"/>
      <c r="D330" s="2551"/>
      <c r="E330" s="2541"/>
      <c r="F330" s="2398"/>
      <c r="G330" s="2389"/>
      <c r="H330" s="2389"/>
      <c r="I330" s="2544"/>
      <c r="J330" s="2544"/>
      <c r="K330" s="2389"/>
      <c r="L330" s="2391"/>
      <c r="M330" s="2391"/>
      <c r="N330" s="2375">
        <f t="shared" si="98"/>
        <v>0</v>
      </c>
      <c r="O330" s="2375">
        <v>0</v>
      </c>
      <c r="P330" s="2398"/>
      <c r="Q330" s="2375">
        <f t="shared" si="94"/>
        <v>0</v>
      </c>
      <c r="R330" s="2375">
        <f t="shared" si="95"/>
        <v>0</v>
      </c>
      <c r="S330" s="2375">
        <v>0</v>
      </c>
      <c r="T330" s="2611"/>
      <c r="U330" s="2375">
        <f t="shared" si="88"/>
        <v>0</v>
      </c>
      <c r="V330" s="2375"/>
      <c r="W330" s="2382">
        <f t="shared" si="89"/>
        <v>0</v>
      </c>
      <c r="X330" s="2398"/>
      <c r="Y330" s="2375">
        <f t="shared" si="90"/>
        <v>0</v>
      </c>
      <c r="Z330" s="2375"/>
      <c r="AA330" s="2377" t="s">
        <v>3355</v>
      </c>
    </row>
    <row r="331" spans="1:27" s="331" customFormat="1" ht="25" hidden="1" customHeight="1">
      <c r="A331" s="2555" t="s">
        <v>95</v>
      </c>
      <c r="B331" s="2549" t="s">
        <v>404</v>
      </c>
      <c r="C331" s="2550"/>
      <c r="D331" s="2551"/>
      <c r="E331" s="2541">
        <f>'9. Vol Cool Box G'!$P$25</f>
        <v>15.68</v>
      </c>
      <c r="F331" s="2398" t="s">
        <v>103</v>
      </c>
      <c r="G331" s="2389">
        <v>50600</v>
      </c>
      <c r="H331" s="2389">
        <f>E331*G331</f>
        <v>793408</v>
      </c>
      <c r="I331" s="2465">
        <f>'Resume Analisa'!$D$18</f>
        <v>49036.76</v>
      </c>
      <c r="J331" s="2552">
        <f>E331*I331</f>
        <v>768896.39679999999</v>
      </c>
      <c r="K331" s="2378" t="e">
        <f>IF(H331=0,"",IF(J331&lt;#REF!*H331,"Timpang &lt;"&amp;TEXT(#REF!,"0%"),IF(J331&gt;#REF!*H331,"Timpang &gt;"&amp;TEXT(#REF!,"0%"),"Wajar")))</f>
        <v>#REF!</v>
      </c>
      <c r="L331" s="2391">
        <v>49036.76</v>
      </c>
      <c r="M331" s="2391">
        <f>E331*L331</f>
        <v>768896.39679999999</v>
      </c>
      <c r="N331" s="2375">
        <f t="shared" si="98"/>
        <v>3.3587035519296477E-4</v>
      </c>
      <c r="O331" s="2375">
        <v>0</v>
      </c>
      <c r="P331" s="2398" t="s">
        <v>103</v>
      </c>
      <c r="Q331" s="2375">
        <f t="shared" si="94"/>
        <v>0</v>
      </c>
      <c r="R331" s="2375">
        <f t="shared" si="95"/>
        <v>0</v>
      </c>
      <c r="S331" s="2375">
        <v>0</v>
      </c>
      <c r="T331" s="2627"/>
      <c r="U331" s="2375">
        <f t="shared" si="88"/>
        <v>0</v>
      </c>
      <c r="V331" s="2375"/>
      <c r="W331" s="2382">
        <f t="shared" si="89"/>
        <v>15.68</v>
      </c>
      <c r="X331" s="2398" t="s">
        <v>103</v>
      </c>
      <c r="Y331" s="2375">
        <f t="shared" si="90"/>
        <v>49036.76</v>
      </c>
      <c r="Z331" s="2375"/>
      <c r="AA331" s="2377" t="s">
        <v>3355</v>
      </c>
    </row>
    <row r="332" spans="1:27" s="331" customFormat="1" ht="25" hidden="1" customHeight="1">
      <c r="A332" s="2555" t="s">
        <v>98</v>
      </c>
      <c r="B332" s="2556" t="s">
        <v>405</v>
      </c>
      <c r="C332" s="2550"/>
      <c r="D332" s="2551"/>
      <c r="E332" s="2541">
        <f>'9. Vol Cool Box G'!$P$30*0</f>
        <v>0</v>
      </c>
      <c r="F332" s="2560" t="s">
        <v>117</v>
      </c>
      <c r="G332" s="2389">
        <v>34019.880000000005</v>
      </c>
      <c r="H332" s="2389">
        <f>E332*G332</f>
        <v>0</v>
      </c>
      <c r="I332" s="2465">
        <f>'Resume Analisa'!$D$37</f>
        <v>33453.230000000003</v>
      </c>
      <c r="J332" s="2544">
        <f>I332*E332</f>
        <v>0</v>
      </c>
      <c r="K332" s="2378" t="str">
        <f>IF(H332=0,"",IF(J332&lt;#REF!*H332,"Timpang &lt;"&amp;TEXT(#REF!,"0%"),IF(J332&gt;#REF!*H332,"Timpang &gt;"&amp;TEXT(#REF!,"0%"),"Wajar")))</f>
        <v/>
      </c>
      <c r="L332" s="2391">
        <v>33453.230000000003</v>
      </c>
      <c r="M332" s="2391">
        <f>E332*L332</f>
        <v>0</v>
      </c>
      <c r="N332" s="2375">
        <f t="shared" si="98"/>
        <v>0</v>
      </c>
      <c r="O332" s="2375">
        <v>0</v>
      </c>
      <c r="P332" s="2560" t="s">
        <v>117</v>
      </c>
      <c r="Q332" s="2375">
        <f t="shared" si="94"/>
        <v>0</v>
      </c>
      <c r="R332" s="2375">
        <f t="shared" si="95"/>
        <v>0</v>
      </c>
      <c r="S332" s="2375">
        <v>0</v>
      </c>
      <c r="T332" s="2611"/>
      <c r="U332" s="2375">
        <f t="shared" si="88"/>
        <v>0</v>
      </c>
      <c r="V332" s="2375"/>
      <c r="W332" s="2382">
        <f t="shared" si="89"/>
        <v>0</v>
      </c>
      <c r="X332" s="2560" t="s">
        <v>117</v>
      </c>
      <c r="Y332" s="2375">
        <f t="shared" si="90"/>
        <v>33453.230000000003</v>
      </c>
      <c r="Z332" s="2375"/>
      <c r="AA332" s="2377" t="s">
        <v>3355</v>
      </c>
    </row>
    <row r="333" spans="1:27" s="331" customFormat="1" ht="25" hidden="1" customHeight="1">
      <c r="A333" s="2555" t="s">
        <v>101</v>
      </c>
      <c r="B333" s="2549" t="s">
        <v>406</v>
      </c>
      <c r="C333" s="2550"/>
      <c r="D333" s="2551"/>
      <c r="E333" s="2541">
        <f>'9. Vol Cool Box G'!$P$34</f>
        <v>1.64</v>
      </c>
      <c r="F333" s="2398" t="s">
        <v>103</v>
      </c>
      <c r="G333" s="2389">
        <v>507759.96</v>
      </c>
      <c r="H333" s="2389">
        <f>E333*G333</f>
        <v>832726.33439999993</v>
      </c>
      <c r="I333" s="2480">
        <f>'Resume Analisa'!$D$26</f>
        <v>475358.64</v>
      </c>
      <c r="J333" s="2552">
        <f>E333*I333</f>
        <v>779588.16960000002</v>
      </c>
      <c r="K333" s="2378" t="e">
        <f>IF(H333=0,"",IF(J333&lt;#REF!*H333,"Timpang &lt;"&amp;TEXT(#REF!,"0%"),IF(J333&gt;#REF!*H333,"Timpang &gt;"&amp;TEXT(#REF!,"0%"),"Wajar")))</f>
        <v>#REF!</v>
      </c>
      <c r="L333" s="2391">
        <v>475358.64</v>
      </c>
      <c r="M333" s="2391">
        <f>E333*L333</f>
        <v>779588.16960000002</v>
      </c>
      <c r="N333" s="2375">
        <f t="shared" si="98"/>
        <v>3.4054074972586116E-4</v>
      </c>
      <c r="O333" s="2375">
        <v>0</v>
      </c>
      <c r="P333" s="2398" t="s">
        <v>103</v>
      </c>
      <c r="Q333" s="2375">
        <f t="shared" si="94"/>
        <v>0</v>
      </c>
      <c r="R333" s="2375">
        <f t="shared" si="95"/>
        <v>0</v>
      </c>
      <c r="S333" s="2375">
        <v>0</v>
      </c>
      <c r="T333" s="2611"/>
      <c r="U333" s="2375">
        <f t="shared" si="88"/>
        <v>0</v>
      </c>
      <c r="V333" s="2375"/>
      <c r="W333" s="2382">
        <f t="shared" si="89"/>
        <v>1.64</v>
      </c>
      <c r="X333" s="2398" t="s">
        <v>103</v>
      </c>
      <c r="Y333" s="2375">
        <f t="shared" si="90"/>
        <v>475358.64</v>
      </c>
      <c r="Z333" s="2375"/>
      <c r="AA333" s="2377" t="s">
        <v>3355</v>
      </c>
    </row>
    <row r="334" spans="1:27" s="331" customFormat="1" ht="25" hidden="1" customHeight="1">
      <c r="A334" s="2555" t="s">
        <v>121</v>
      </c>
      <c r="B334" s="2549" t="s">
        <v>407</v>
      </c>
      <c r="C334" s="2550"/>
      <c r="D334" s="2551"/>
      <c r="E334" s="2541">
        <f>'9. Vol Cool Box G'!$P$43</f>
        <v>9.36</v>
      </c>
      <c r="F334" s="2398" t="s">
        <v>103</v>
      </c>
      <c r="G334" s="2389">
        <v>1224235.95</v>
      </c>
      <c r="H334" s="2389">
        <f>E334*G334</f>
        <v>11458848.491999999</v>
      </c>
      <c r="I334" s="2465">
        <f>'Resume Analisa'!$D$35</f>
        <v>1193268.75</v>
      </c>
      <c r="J334" s="2544">
        <f>I334*E334</f>
        <v>11168995.5</v>
      </c>
      <c r="K334" s="2378" t="e">
        <f>IF(H334=0,"",IF(J334&lt;#REF!*H334,"Timpang &lt;"&amp;TEXT(#REF!,"0%"),IF(J334&gt;#REF!*H334,"Timpang &gt;"&amp;TEXT(#REF!,"0%"),"Wajar")))</f>
        <v>#REF!</v>
      </c>
      <c r="L334" s="2391">
        <v>1193268.75</v>
      </c>
      <c r="M334" s="2391">
        <f>E334*L334</f>
        <v>11168995.5</v>
      </c>
      <c r="N334" s="2375">
        <f t="shared" si="98"/>
        <v>4.8788555926987864E-3</v>
      </c>
      <c r="O334" s="2375">
        <v>0</v>
      </c>
      <c r="P334" s="2398" t="s">
        <v>103</v>
      </c>
      <c r="Q334" s="2375">
        <f t="shared" si="94"/>
        <v>0</v>
      </c>
      <c r="R334" s="2375">
        <f t="shared" si="95"/>
        <v>0</v>
      </c>
      <c r="S334" s="2375">
        <v>0</v>
      </c>
      <c r="T334" s="2611"/>
      <c r="U334" s="2375">
        <f t="shared" si="88"/>
        <v>0</v>
      </c>
      <c r="V334" s="2375"/>
      <c r="W334" s="2382">
        <f t="shared" si="89"/>
        <v>9.36</v>
      </c>
      <c r="X334" s="2398" t="s">
        <v>103</v>
      </c>
      <c r="Y334" s="2375">
        <f t="shared" si="90"/>
        <v>1193268.75</v>
      </c>
      <c r="Z334" s="2375"/>
      <c r="AA334" s="2377" t="s">
        <v>3355</v>
      </c>
    </row>
    <row r="335" spans="1:27" s="331" customFormat="1" ht="25" hidden="1" customHeight="1">
      <c r="A335" s="2398">
        <f>A330+1</f>
        <v>4</v>
      </c>
      <c r="B335" s="2549" t="s">
        <v>408</v>
      </c>
      <c r="C335" s="2550"/>
      <c r="D335" s="2551"/>
      <c r="E335" s="2541">
        <f>'9. Vol Cool Box G'!$P$48</f>
        <v>20.32</v>
      </c>
      <c r="F335" s="2398" t="s">
        <v>100</v>
      </c>
      <c r="G335" s="2473">
        <v>25591.18</v>
      </c>
      <c r="H335" s="2473">
        <f>E335*G335</f>
        <v>520012.77760000003</v>
      </c>
      <c r="I335" s="2474">
        <f>'Resume Analisa'!$D$47</f>
        <v>26179.679999999997</v>
      </c>
      <c r="J335" s="2562">
        <f>+I335*E335</f>
        <v>531971.09759999998</v>
      </c>
      <c r="K335" s="2378" t="e">
        <f>IF(H335=0,"",IF(J335&lt;#REF!*H335,"Timpang &lt;"&amp;TEXT(#REF!,"0%"),IF(J335&gt;#REF!*H335,"Timpang &gt;"&amp;TEXT(#REF!,"0%"),"Wajar")))</f>
        <v>#REF!</v>
      </c>
      <c r="L335" s="2475">
        <v>26179.679999999997</v>
      </c>
      <c r="M335" s="2475">
        <f>E335*L335</f>
        <v>531971.09759999998</v>
      </c>
      <c r="N335" s="2375">
        <f t="shared" si="98"/>
        <v>2.3237632826334935E-4</v>
      </c>
      <c r="O335" s="2375">
        <v>0</v>
      </c>
      <c r="P335" s="2398" t="s">
        <v>100</v>
      </c>
      <c r="Q335" s="2375">
        <f t="shared" si="94"/>
        <v>0</v>
      </c>
      <c r="R335" s="2375">
        <f t="shared" si="95"/>
        <v>0</v>
      </c>
      <c r="S335" s="2386">
        <v>0</v>
      </c>
      <c r="T335" s="2627"/>
      <c r="U335" s="2375">
        <f t="shared" si="88"/>
        <v>0</v>
      </c>
      <c r="V335" s="2375"/>
      <c r="W335" s="2382">
        <f t="shared" si="89"/>
        <v>20.32</v>
      </c>
      <c r="X335" s="2398" t="s">
        <v>100</v>
      </c>
      <c r="Y335" s="2375">
        <f t="shared" si="90"/>
        <v>26179.679999999997</v>
      </c>
      <c r="Z335" s="2375"/>
      <c r="AA335" s="2377" t="s">
        <v>3355</v>
      </c>
    </row>
    <row r="336" spans="1:27" s="331" customFormat="1" ht="25" hidden="1" customHeight="1">
      <c r="A336" s="2398">
        <f>A335+1</f>
        <v>5</v>
      </c>
      <c r="B336" s="2549" t="s">
        <v>524</v>
      </c>
      <c r="C336" s="2550"/>
      <c r="D336" s="2551"/>
      <c r="E336" s="2541"/>
      <c r="F336" s="2398"/>
      <c r="G336" s="2563"/>
      <c r="H336" s="2389"/>
      <c r="I336" s="2564"/>
      <c r="J336" s="2544"/>
      <c r="K336" s="2389"/>
      <c r="L336" s="2565"/>
      <c r="M336" s="2391"/>
      <c r="N336" s="2375">
        <f t="shared" si="98"/>
        <v>0</v>
      </c>
      <c r="O336" s="2375">
        <v>0</v>
      </c>
      <c r="P336" s="2398"/>
      <c r="Q336" s="2375">
        <f t="shared" si="94"/>
        <v>0</v>
      </c>
      <c r="R336" s="2375">
        <f t="shared" si="95"/>
        <v>0</v>
      </c>
      <c r="S336" s="2386">
        <v>0</v>
      </c>
      <c r="T336" s="2611"/>
      <c r="U336" s="2375">
        <f t="shared" ref="U336:U399" si="105">S336*L336</f>
        <v>0</v>
      </c>
      <c r="V336" s="2375"/>
      <c r="W336" s="2382">
        <f t="shared" ref="W336:W399" si="106">(E336+O336)-S336</f>
        <v>0</v>
      </c>
      <c r="X336" s="2398"/>
      <c r="Y336" s="2375">
        <f t="shared" ref="Y336:Y399" si="107">L336</f>
        <v>0</v>
      </c>
      <c r="Z336" s="2375"/>
      <c r="AA336" s="2377" t="s">
        <v>3355</v>
      </c>
    </row>
    <row r="337" spans="1:27" s="331" customFormat="1" ht="25" hidden="1" customHeight="1">
      <c r="A337" s="2555" t="s">
        <v>95</v>
      </c>
      <c r="B337" s="2561" t="s">
        <v>221</v>
      </c>
      <c r="C337" s="2550"/>
      <c r="D337" s="2551"/>
      <c r="E337" s="2541">
        <f>'9. Vol Cool Box G'!$P$53</f>
        <v>23.4</v>
      </c>
      <c r="F337" s="2398" t="s">
        <v>89</v>
      </c>
      <c r="G337" s="2389">
        <v>230885.5</v>
      </c>
      <c r="H337" s="2389">
        <f>E337*G337</f>
        <v>5402720.6999999993</v>
      </c>
      <c r="I337" s="2699">
        <f>'Resume Analisa'!$D$39</f>
        <v>232328.86000000002</v>
      </c>
      <c r="J337" s="2552">
        <f>E337*I337</f>
        <v>5436495.324</v>
      </c>
      <c r="K337" s="2378" t="e">
        <f>IF(H337=0,"",IF(J337&lt;#REF!*H337,"Timpang &lt;"&amp;TEXT(#REF!,"0%"),IF(J337&gt;#REF!*H337,"Timpang &gt;"&amp;TEXT(#REF!,"0%"),"Wajar")))</f>
        <v>#REF!</v>
      </c>
      <c r="L337" s="2391">
        <v>232328.86000000002</v>
      </c>
      <c r="M337" s="2391">
        <f>E337*L337</f>
        <v>5436495.324</v>
      </c>
      <c r="N337" s="2375">
        <f t="shared" si="98"/>
        <v>2.3747771781426718E-3</v>
      </c>
      <c r="O337" s="2375">
        <v>0</v>
      </c>
      <c r="P337" s="2398" t="s">
        <v>89</v>
      </c>
      <c r="Q337" s="2375">
        <f t="shared" si="94"/>
        <v>0</v>
      </c>
      <c r="R337" s="2375">
        <f t="shared" si="95"/>
        <v>0</v>
      </c>
      <c r="S337" s="2375">
        <v>0</v>
      </c>
      <c r="T337" s="2611"/>
      <c r="U337" s="2375">
        <f t="shared" si="105"/>
        <v>0</v>
      </c>
      <c r="V337" s="2375"/>
      <c r="W337" s="2382">
        <f t="shared" si="106"/>
        <v>23.4</v>
      </c>
      <c r="X337" s="2398" t="s">
        <v>89</v>
      </c>
      <c r="Y337" s="2375">
        <f t="shared" si="107"/>
        <v>232328.86000000002</v>
      </c>
      <c r="Z337" s="2375"/>
      <c r="AA337" s="2377" t="s">
        <v>3355</v>
      </c>
    </row>
    <row r="338" spans="1:27" s="331" customFormat="1" ht="25" hidden="1" customHeight="1">
      <c r="A338" s="2555" t="s">
        <v>98</v>
      </c>
      <c r="B338" s="2549" t="s">
        <v>410</v>
      </c>
      <c r="C338" s="2550"/>
      <c r="D338" s="2551"/>
      <c r="E338" s="2541">
        <f>'9. Vol Cool Box G'!$P$57</f>
        <v>120.22</v>
      </c>
      <c r="F338" s="2398" t="s">
        <v>100</v>
      </c>
      <c r="G338" s="2389">
        <v>19151.18</v>
      </c>
      <c r="H338" s="2473">
        <f>E338*G338</f>
        <v>2302354.8596000001</v>
      </c>
      <c r="I338" s="2699">
        <f>'Resume Analisa'!$D$48</f>
        <v>18790.969999999998</v>
      </c>
      <c r="J338" s="2562">
        <f>+I338*E338</f>
        <v>2259050.4133999995</v>
      </c>
      <c r="K338" s="2378" t="e">
        <f>IF(H338=0,"",IF(J338&lt;#REF!*H338,"Timpang &lt;"&amp;TEXT(#REF!,"0%"),IF(J338&gt;#REF!*H338,"Timpang &gt;"&amp;TEXT(#REF!,"0%"),"Wajar")))</f>
        <v>#REF!</v>
      </c>
      <c r="L338" s="2391">
        <v>18790.969999999998</v>
      </c>
      <c r="M338" s="2475">
        <f>E338*L338</f>
        <v>2259050.4133999995</v>
      </c>
      <c r="N338" s="2375">
        <f t="shared" si="98"/>
        <v>9.8680143112288765E-4</v>
      </c>
      <c r="O338" s="2375">
        <v>0</v>
      </c>
      <c r="P338" s="2398" t="s">
        <v>100</v>
      </c>
      <c r="Q338" s="2375">
        <f t="shared" si="94"/>
        <v>0</v>
      </c>
      <c r="R338" s="2375">
        <f t="shared" si="95"/>
        <v>0</v>
      </c>
      <c r="S338" s="2375">
        <v>0</v>
      </c>
      <c r="T338" s="2611"/>
      <c r="U338" s="2375">
        <f t="shared" si="105"/>
        <v>0</v>
      </c>
      <c r="V338" s="2375"/>
      <c r="W338" s="2382">
        <f t="shared" si="106"/>
        <v>120.22</v>
      </c>
      <c r="X338" s="2398" t="s">
        <v>100</v>
      </c>
      <c r="Y338" s="2375">
        <f t="shared" si="107"/>
        <v>18790.969999999998</v>
      </c>
      <c r="Z338" s="2375"/>
      <c r="AA338" s="2377" t="s">
        <v>3355</v>
      </c>
    </row>
    <row r="339" spans="1:27" s="331" customFormat="1" ht="25" hidden="1" customHeight="1">
      <c r="A339" s="2555" t="s">
        <v>101</v>
      </c>
      <c r="B339" s="2549" t="s">
        <v>525</v>
      </c>
      <c r="C339" s="2550"/>
      <c r="D339" s="2551"/>
      <c r="E339" s="2541">
        <f>'9. Vol Cool Box G'!$P$61</f>
        <v>47.09</v>
      </c>
      <c r="F339" s="2398" t="s">
        <v>100</v>
      </c>
      <c r="G339" s="2389">
        <v>19151.18</v>
      </c>
      <c r="H339" s="2389">
        <f>E339*G339</f>
        <v>901829.06620000012</v>
      </c>
      <c r="I339" s="2699">
        <f>'Resume Analisa'!$D$48</f>
        <v>18790.969999999998</v>
      </c>
      <c r="J339" s="2552">
        <f>E339*I339</f>
        <v>884866.77729999996</v>
      </c>
      <c r="K339" s="2378" t="e">
        <f>IF(H339=0,"",IF(J339&lt;#REF!*H339,"Timpang &lt;"&amp;TEXT(#REF!,"0%"),IF(J339&gt;#REF!*H339,"Timpang &gt;"&amp;TEXT(#REF!,"0%"),"Wajar")))</f>
        <v>#REF!</v>
      </c>
      <c r="L339" s="2391">
        <v>18790.969999999998</v>
      </c>
      <c r="M339" s="2391">
        <f>E339*L339</f>
        <v>884866.77729999996</v>
      </c>
      <c r="N339" s="2375">
        <f t="shared" si="98"/>
        <v>3.8652869232720671E-4</v>
      </c>
      <c r="O339" s="2375">
        <v>0</v>
      </c>
      <c r="P339" s="2398" t="s">
        <v>100</v>
      </c>
      <c r="Q339" s="2375">
        <f t="shared" si="94"/>
        <v>0</v>
      </c>
      <c r="R339" s="2375">
        <f t="shared" si="95"/>
        <v>0</v>
      </c>
      <c r="S339" s="2375">
        <v>0</v>
      </c>
      <c r="T339" s="2627"/>
      <c r="U339" s="2375">
        <f t="shared" si="105"/>
        <v>0</v>
      </c>
      <c r="V339" s="2375"/>
      <c r="W339" s="2382">
        <f t="shared" si="106"/>
        <v>47.09</v>
      </c>
      <c r="X339" s="2398" t="s">
        <v>100</v>
      </c>
      <c r="Y339" s="2375">
        <f t="shared" si="107"/>
        <v>18790.969999999998</v>
      </c>
      <c r="Z339" s="2375"/>
      <c r="AA339" s="2377" t="s">
        <v>3355</v>
      </c>
    </row>
    <row r="340" spans="1:27" s="331" customFormat="1" ht="25" hidden="1" customHeight="1">
      <c r="A340" s="2555" t="s">
        <v>121</v>
      </c>
      <c r="B340" s="2549" t="s">
        <v>169</v>
      </c>
      <c r="C340" s="2550"/>
      <c r="D340" s="2551"/>
      <c r="E340" s="2541">
        <f>'9. Vol Cool Box G'!$P$65</f>
        <v>1.76</v>
      </c>
      <c r="F340" s="2398" t="s">
        <v>103</v>
      </c>
      <c r="G340" s="2389">
        <v>1584129.98</v>
      </c>
      <c r="H340" s="2389">
        <f>E340*G340</f>
        <v>2788068.7648</v>
      </c>
      <c r="I340" s="2465">
        <f>'Resume Analisa'!$D$55</f>
        <v>1535009.1300000001</v>
      </c>
      <c r="J340" s="2552">
        <f>E340*I340</f>
        <v>2701616.0688</v>
      </c>
      <c r="K340" s="2378" t="e">
        <f>IF(H340=0,"",IF(J340&lt;#REF!*H340,"Timpang &lt;"&amp;TEXT(#REF!,"0%"),IF(J340&gt;#REF!*H340,"Timpang &gt;"&amp;TEXT(#REF!,"0%"),"Wajar")))</f>
        <v>#REF!</v>
      </c>
      <c r="L340" s="2391">
        <v>1535009.1300000001</v>
      </c>
      <c r="M340" s="2391">
        <f>E340*L340</f>
        <v>2701616.0688</v>
      </c>
      <c r="N340" s="2375">
        <f t="shared" si="98"/>
        <v>1.180123554225605E-3</v>
      </c>
      <c r="O340" s="2375">
        <v>0</v>
      </c>
      <c r="P340" s="2398" t="s">
        <v>103</v>
      </c>
      <c r="Q340" s="2375">
        <f t="shared" si="94"/>
        <v>0</v>
      </c>
      <c r="R340" s="2375">
        <f t="shared" si="95"/>
        <v>0</v>
      </c>
      <c r="S340" s="2375">
        <v>0</v>
      </c>
      <c r="T340" s="2611"/>
      <c r="U340" s="2375">
        <f t="shared" si="105"/>
        <v>0</v>
      </c>
      <c r="V340" s="2375"/>
      <c r="W340" s="2382">
        <f t="shared" si="106"/>
        <v>1.76</v>
      </c>
      <c r="X340" s="2398" t="s">
        <v>103</v>
      </c>
      <c r="Y340" s="2375">
        <f t="shared" si="107"/>
        <v>1535009.1300000001</v>
      </c>
      <c r="Z340" s="2375"/>
      <c r="AA340" s="2377" t="s">
        <v>3355</v>
      </c>
    </row>
    <row r="341" spans="1:27" s="331" customFormat="1" ht="25" hidden="1" customHeight="1">
      <c r="A341" s="2398">
        <f>A336+1</f>
        <v>6</v>
      </c>
      <c r="B341" s="2549" t="s">
        <v>412</v>
      </c>
      <c r="C341" s="2550"/>
      <c r="D341" s="2551"/>
      <c r="E341" s="2541"/>
      <c r="F341" s="2398"/>
      <c r="G341" s="2389"/>
      <c r="H341" s="2389"/>
      <c r="I341" s="2700"/>
      <c r="J341" s="2544"/>
      <c r="K341" s="2389"/>
      <c r="L341" s="2391"/>
      <c r="M341" s="2391"/>
      <c r="N341" s="2375">
        <f t="shared" si="98"/>
        <v>0</v>
      </c>
      <c r="O341" s="2375">
        <v>0</v>
      </c>
      <c r="P341" s="2398"/>
      <c r="Q341" s="2375">
        <f t="shared" si="94"/>
        <v>0</v>
      </c>
      <c r="R341" s="2375">
        <f t="shared" si="95"/>
        <v>0</v>
      </c>
      <c r="S341" s="2375">
        <v>0</v>
      </c>
      <c r="T341" s="2611"/>
      <c r="U341" s="2375">
        <f t="shared" si="105"/>
        <v>0</v>
      </c>
      <c r="V341" s="2375"/>
      <c r="W341" s="2382">
        <f t="shared" si="106"/>
        <v>0</v>
      </c>
      <c r="X341" s="2398"/>
      <c r="Y341" s="2375">
        <f t="shared" si="107"/>
        <v>0</v>
      </c>
      <c r="Z341" s="2375"/>
      <c r="AA341" s="2377" t="s">
        <v>3355</v>
      </c>
    </row>
    <row r="342" spans="1:27" s="331" customFormat="1" ht="25" hidden="1" customHeight="1">
      <c r="A342" s="2555" t="s">
        <v>95</v>
      </c>
      <c r="B342" s="2549" t="s">
        <v>413</v>
      </c>
      <c r="C342" s="2550"/>
      <c r="D342" s="2551"/>
      <c r="E342" s="2541">
        <f>'9. Vol Cool Box G'!$P$67</f>
        <v>6.29</v>
      </c>
      <c r="F342" s="2398" t="s">
        <v>103</v>
      </c>
      <c r="G342" s="2389">
        <v>200606.23</v>
      </c>
      <c r="H342" s="2389">
        <f>E342*G342</f>
        <v>1261813.1867</v>
      </c>
      <c r="I342" s="2480">
        <f>'Resume Analisa'!$D$24</f>
        <v>189662.29</v>
      </c>
      <c r="J342" s="2544">
        <f>I342*E342</f>
        <v>1192975.8041000001</v>
      </c>
      <c r="K342" s="2378" t="e">
        <f>IF(H342=0,"",IF(J342&lt;#REF!*H342,"Timpang &lt;"&amp;TEXT(#REF!,"0%"),IF(J342&gt;#REF!*H342,"Timpang &gt;"&amp;TEXT(#REF!,"0%"),"Wajar")))</f>
        <v>#REF!</v>
      </c>
      <c r="L342" s="2391">
        <v>189662.29</v>
      </c>
      <c r="M342" s="2391">
        <f>E342*L342</f>
        <v>1192975.8041000001</v>
      </c>
      <c r="N342" s="2375">
        <f t="shared" ref="N342:N373" si="108">M342/$M$8</f>
        <v>5.2111729060931372E-4</v>
      </c>
      <c r="O342" s="2375">
        <v>0</v>
      </c>
      <c r="P342" s="2398" t="s">
        <v>103</v>
      </c>
      <c r="Q342" s="2375">
        <f t="shared" si="94"/>
        <v>0</v>
      </c>
      <c r="R342" s="2375">
        <f t="shared" si="95"/>
        <v>0</v>
      </c>
      <c r="S342" s="2386">
        <v>0</v>
      </c>
      <c r="T342" s="2611"/>
      <c r="U342" s="2375">
        <f t="shared" si="105"/>
        <v>0</v>
      </c>
      <c r="V342" s="2375"/>
      <c r="W342" s="2382">
        <f t="shared" si="106"/>
        <v>6.29</v>
      </c>
      <c r="X342" s="2398" t="s">
        <v>103</v>
      </c>
      <c r="Y342" s="2375">
        <f t="shared" si="107"/>
        <v>189662.29</v>
      </c>
      <c r="Z342" s="2375"/>
      <c r="AA342" s="2377" t="s">
        <v>3355</v>
      </c>
    </row>
    <row r="343" spans="1:27" s="331" customFormat="1" ht="25" hidden="1" customHeight="1">
      <c r="A343" s="2555" t="s">
        <v>98</v>
      </c>
      <c r="B343" s="2549" t="s">
        <v>526</v>
      </c>
      <c r="C343" s="2550"/>
      <c r="D343" s="2551"/>
      <c r="E343" s="2541">
        <f>E342</f>
        <v>6.29</v>
      </c>
      <c r="F343" s="2398" t="s">
        <v>103</v>
      </c>
      <c r="G343" s="2389">
        <v>39847.5</v>
      </c>
      <c r="H343" s="2389">
        <f>E343*G343</f>
        <v>250640.77499999999</v>
      </c>
      <c r="I343" s="2480">
        <f>'Resume Analisa'!$D$31</f>
        <v>37946.620000000003</v>
      </c>
      <c r="J343" s="2544">
        <f>I343*E343</f>
        <v>238684.23980000001</v>
      </c>
      <c r="K343" s="2378" t="e">
        <f>IF(H343=0,"",IF(J343&lt;#REF!*H343,"Timpang &lt;"&amp;TEXT(#REF!,"0%"),IF(J343&gt;#REF!*H343,"Timpang &gt;"&amp;TEXT(#REF!,"0%"),"Wajar")))</f>
        <v>#REF!</v>
      </c>
      <c r="L343" s="2391">
        <v>37946.620000000003</v>
      </c>
      <c r="M343" s="2391">
        <f>E343*L343</f>
        <v>238684.23980000001</v>
      </c>
      <c r="N343" s="2375">
        <f t="shared" si="108"/>
        <v>1.0426236972136736E-4</v>
      </c>
      <c r="O343" s="2375">
        <v>0</v>
      </c>
      <c r="P343" s="2398" t="s">
        <v>103</v>
      </c>
      <c r="Q343" s="2375">
        <f t="shared" si="94"/>
        <v>0</v>
      </c>
      <c r="R343" s="2375">
        <f t="shared" si="95"/>
        <v>0</v>
      </c>
      <c r="S343" s="2386">
        <v>0</v>
      </c>
      <c r="T343" s="2611"/>
      <c r="U343" s="2375">
        <f t="shared" si="105"/>
        <v>0</v>
      </c>
      <c r="V343" s="2375"/>
      <c r="W343" s="2382">
        <f t="shared" si="106"/>
        <v>6.29</v>
      </c>
      <c r="X343" s="2398" t="s">
        <v>103</v>
      </c>
      <c r="Y343" s="2375">
        <f t="shared" si="107"/>
        <v>37946.620000000003</v>
      </c>
      <c r="Z343" s="2375"/>
      <c r="AA343" s="2377" t="s">
        <v>3355</v>
      </c>
    </row>
    <row r="344" spans="1:27" s="331" customFormat="1" ht="25" hidden="1" customHeight="1">
      <c r="A344" s="2555" t="s">
        <v>101</v>
      </c>
      <c r="B344" s="2549" t="s">
        <v>415</v>
      </c>
      <c r="C344" s="2550"/>
      <c r="D344" s="2551"/>
      <c r="E344" s="2541">
        <f>'9. Vol Cool Box G'!$P$68</f>
        <v>1.75</v>
      </c>
      <c r="F344" s="2398" t="s">
        <v>103</v>
      </c>
      <c r="G344" s="2389">
        <v>507759.96</v>
      </c>
      <c r="H344" s="2389">
        <f>E344*G344</f>
        <v>888579.93</v>
      </c>
      <c r="I344" s="2480">
        <f>'Resume Analisa'!$D$26</f>
        <v>475358.64</v>
      </c>
      <c r="J344" s="2544">
        <f>I344*E344</f>
        <v>831877.62</v>
      </c>
      <c r="K344" s="2378" t="e">
        <f>IF(H344=0,"",IF(J344&lt;#REF!*H344,"Timpang &lt;"&amp;TEXT(#REF!,"0%"),IF(J344&gt;#REF!*H344,"Timpang &gt;"&amp;TEXT(#REF!,"0%"),"Wajar")))</f>
        <v>#REF!</v>
      </c>
      <c r="L344" s="2391">
        <v>475358.64</v>
      </c>
      <c r="M344" s="2391">
        <f>E344*L344</f>
        <v>831877.62</v>
      </c>
      <c r="N344" s="2375">
        <f t="shared" si="108"/>
        <v>3.6338189757332748E-4</v>
      </c>
      <c r="O344" s="2375">
        <v>0</v>
      </c>
      <c r="P344" s="2398" t="s">
        <v>103</v>
      </c>
      <c r="Q344" s="2375">
        <f t="shared" si="94"/>
        <v>0</v>
      </c>
      <c r="R344" s="2375">
        <f t="shared" si="95"/>
        <v>0</v>
      </c>
      <c r="S344" s="2375">
        <v>0</v>
      </c>
      <c r="T344" s="2611"/>
      <c r="U344" s="2375">
        <f t="shared" si="105"/>
        <v>0</v>
      </c>
      <c r="V344" s="2375"/>
      <c r="W344" s="2382">
        <f t="shared" si="106"/>
        <v>1.75</v>
      </c>
      <c r="X344" s="2398" t="s">
        <v>103</v>
      </c>
      <c r="Y344" s="2375">
        <f t="shared" si="107"/>
        <v>475358.64</v>
      </c>
      <c r="Z344" s="2375"/>
      <c r="AA344" s="2377" t="s">
        <v>3355</v>
      </c>
    </row>
    <row r="345" spans="1:27" s="331" customFormat="1" ht="25" hidden="1" customHeight="1">
      <c r="A345" s="2555" t="s">
        <v>121</v>
      </c>
      <c r="B345" s="2549" t="s">
        <v>192</v>
      </c>
      <c r="C345" s="2550"/>
      <c r="D345" s="2551"/>
      <c r="E345" s="2541">
        <f>'9. Vol Cool Box G'!$P$69</f>
        <v>2.4500000000000002</v>
      </c>
      <c r="F345" s="2398" t="s">
        <v>103</v>
      </c>
      <c r="G345" s="2389">
        <v>1422226.08</v>
      </c>
      <c r="H345" s="2389">
        <f>E345*G345</f>
        <v>3484453.8960000006</v>
      </c>
      <c r="I345" s="2480">
        <f>'Resume Analisa'!$D$54</f>
        <v>1384580.76</v>
      </c>
      <c r="J345" s="2544">
        <f>I345*E345</f>
        <v>3392222.8620000002</v>
      </c>
      <c r="K345" s="2378" t="e">
        <f>IF(H345=0,"",IF(J345&lt;#REF!*H345,"Timpang &lt;"&amp;TEXT(#REF!,"0%"),IF(J345&gt;#REF!*H345,"Timpang &gt;"&amp;TEXT(#REF!,"0%"),"Wajar")))</f>
        <v>#REF!</v>
      </c>
      <c r="L345" s="2391">
        <v>1384580.76</v>
      </c>
      <c r="M345" s="2391">
        <f>E345*L345</f>
        <v>3392222.8620000002</v>
      </c>
      <c r="N345" s="2375">
        <f t="shared" si="108"/>
        <v>1.4817953397822914E-3</v>
      </c>
      <c r="O345" s="2375">
        <v>0</v>
      </c>
      <c r="P345" s="2398" t="s">
        <v>103</v>
      </c>
      <c r="Q345" s="2375">
        <f t="shared" si="94"/>
        <v>0</v>
      </c>
      <c r="R345" s="2375">
        <f t="shared" si="95"/>
        <v>0</v>
      </c>
      <c r="S345" s="2375">
        <v>0</v>
      </c>
      <c r="T345" s="2611"/>
      <c r="U345" s="2375">
        <f t="shared" si="105"/>
        <v>0</v>
      </c>
      <c r="V345" s="2375"/>
      <c r="W345" s="2382">
        <f t="shared" si="106"/>
        <v>2.4500000000000002</v>
      </c>
      <c r="X345" s="2398" t="s">
        <v>103</v>
      </c>
      <c r="Y345" s="2375">
        <f t="shared" si="107"/>
        <v>1384580.76</v>
      </c>
      <c r="Z345" s="2375"/>
      <c r="AA345" s="2377" t="s">
        <v>3355</v>
      </c>
    </row>
    <row r="346" spans="1:27" s="331" customFormat="1" ht="25" hidden="1" customHeight="1">
      <c r="A346" s="2555" t="s">
        <v>142</v>
      </c>
      <c r="B346" s="2549" t="s">
        <v>194</v>
      </c>
      <c r="C346" s="2550"/>
      <c r="D346" s="2551"/>
      <c r="E346" s="2541">
        <f>'9. Vol Cool Box G'!$P$70</f>
        <v>34.96</v>
      </c>
      <c r="F346" s="2398" t="s">
        <v>89</v>
      </c>
      <c r="G346" s="2389">
        <v>45612.170000000006</v>
      </c>
      <c r="H346" s="2389">
        <f>E346*G346</f>
        <v>1594601.4632000003</v>
      </c>
      <c r="I346" s="2465">
        <f>'Resume Analisa'!$D$72</f>
        <v>43813.91</v>
      </c>
      <c r="J346" s="2552">
        <f>E346*I346</f>
        <v>1531734.2936000002</v>
      </c>
      <c r="K346" s="2378" t="e">
        <f>IF(H346=0,"",IF(J346&lt;#REF!*H346,"Timpang &lt;"&amp;TEXT(#REF!,"0%"),IF(J346&gt;#REF!*H346,"Timpang &gt;"&amp;TEXT(#REF!,"0%"),"Wajar")))</f>
        <v>#REF!</v>
      </c>
      <c r="L346" s="2391">
        <v>43813.91</v>
      </c>
      <c r="M346" s="2391">
        <f>E346*L346</f>
        <v>1531734.2936000002</v>
      </c>
      <c r="N346" s="2375">
        <f t="shared" si="108"/>
        <v>6.690942282910657E-4</v>
      </c>
      <c r="O346" s="2375">
        <v>0</v>
      </c>
      <c r="P346" s="2398" t="s">
        <v>89</v>
      </c>
      <c r="Q346" s="2375">
        <f t="shared" si="94"/>
        <v>0</v>
      </c>
      <c r="R346" s="2375">
        <f t="shared" si="95"/>
        <v>0</v>
      </c>
      <c r="S346" s="2375">
        <v>0</v>
      </c>
      <c r="T346" s="2611"/>
      <c r="U346" s="2375">
        <f t="shared" si="105"/>
        <v>0</v>
      </c>
      <c r="V346" s="2375"/>
      <c r="W346" s="2382">
        <f t="shared" si="106"/>
        <v>34.96</v>
      </c>
      <c r="X346" s="2398" t="s">
        <v>89</v>
      </c>
      <c r="Y346" s="2375">
        <f t="shared" si="107"/>
        <v>43813.91</v>
      </c>
      <c r="Z346" s="2375"/>
      <c r="AA346" s="2377" t="s">
        <v>3355</v>
      </c>
    </row>
    <row r="347" spans="1:27" s="331" customFormat="1" ht="25" hidden="1" customHeight="1">
      <c r="A347" s="2398">
        <f>A341+1</f>
        <v>7</v>
      </c>
      <c r="B347" s="2549" t="s">
        <v>527</v>
      </c>
      <c r="C347" s="2550"/>
      <c r="D347" s="2551"/>
      <c r="E347" s="2541"/>
      <c r="F347" s="2560"/>
      <c r="G347" s="2389"/>
      <c r="H347" s="2389"/>
      <c r="I347" s="2588"/>
      <c r="J347" s="2552"/>
      <c r="K347" s="2389"/>
      <c r="L347" s="2391"/>
      <c r="M347" s="2391"/>
      <c r="N347" s="2375">
        <f t="shared" si="108"/>
        <v>0</v>
      </c>
      <c r="O347" s="2375">
        <v>0</v>
      </c>
      <c r="P347" s="2560"/>
      <c r="Q347" s="2375">
        <f t="shared" si="94"/>
        <v>0</v>
      </c>
      <c r="R347" s="2375">
        <f t="shared" si="95"/>
        <v>0</v>
      </c>
      <c r="S347" s="2375">
        <v>0</v>
      </c>
      <c r="T347" s="2611"/>
      <c r="U347" s="2375">
        <f t="shared" si="105"/>
        <v>0</v>
      </c>
      <c r="V347" s="2375"/>
      <c r="W347" s="2382">
        <f t="shared" si="106"/>
        <v>0</v>
      </c>
      <c r="X347" s="2560"/>
      <c r="Y347" s="2375">
        <f t="shared" si="107"/>
        <v>0</v>
      </c>
      <c r="Z347" s="2375"/>
      <c r="AA347" s="2377" t="s">
        <v>3355</v>
      </c>
    </row>
    <row r="348" spans="1:27" s="331" customFormat="1" ht="25" hidden="1" customHeight="1">
      <c r="A348" s="2555" t="s">
        <v>95</v>
      </c>
      <c r="B348" s="2549" t="s">
        <v>417</v>
      </c>
      <c r="C348" s="2550"/>
      <c r="D348" s="2551"/>
      <c r="E348" s="2541">
        <f>'9. Vol Cool Box G'!$P$72</f>
        <v>2.52</v>
      </c>
      <c r="F348" s="2398" t="s">
        <v>89</v>
      </c>
      <c r="G348" s="2389">
        <v>249883.29</v>
      </c>
      <c r="H348" s="2389">
        <f>E348*G348</f>
        <v>629705.89080000005</v>
      </c>
      <c r="I348" s="2465">
        <f>'Resume Analisa'!$D$40</f>
        <v>245946.97</v>
      </c>
      <c r="J348" s="2552">
        <f>E348*I348</f>
        <v>619786.36439999996</v>
      </c>
      <c r="K348" s="2378" t="e">
        <f>IF(H348=0,"",IF(J348&lt;#REF!*H348,"Timpang &lt;"&amp;TEXT(#REF!,"0%"),IF(J348&gt;#REF!*H348,"Timpang &gt;"&amp;TEXT(#REF!,"0%"),"Wajar")))</f>
        <v>#REF!</v>
      </c>
      <c r="L348" s="2391">
        <v>245946.97</v>
      </c>
      <c r="M348" s="2391">
        <f>E348*L348</f>
        <v>619786.36439999996</v>
      </c>
      <c r="N348" s="2375">
        <f t="shared" si="108"/>
        <v>2.7073591087321933E-4</v>
      </c>
      <c r="O348" s="2375">
        <v>0</v>
      </c>
      <c r="P348" s="2398" t="s">
        <v>89</v>
      </c>
      <c r="Q348" s="2375">
        <f t="shared" si="94"/>
        <v>0</v>
      </c>
      <c r="R348" s="2375">
        <f t="shared" si="95"/>
        <v>0</v>
      </c>
      <c r="S348" s="2375">
        <v>0</v>
      </c>
      <c r="T348" s="2590"/>
      <c r="U348" s="2375">
        <f t="shared" si="105"/>
        <v>0</v>
      </c>
      <c r="V348" s="2375"/>
      <c r="W348" s="2382">
        <f t="shared" si="106"/>
        <v>2.52</v>
      </c>
      <c r="X348" s="2398" t="s">
        <v>89</v>
      </c>
      <c r="Y348" s="2375">
        <f t="shared" si="107"/>
        <v>245946.97</v>
      </c>
      <c r="Z348" s="2375"/>
      <c r="AA348" s="2377" t="s">
        <v>3355</v>
      </c>
    </row>
    <row r="349" spans="1:27" s="331" customFormat="1" ht="25" hidden="1" customHeight="1">
      <c r="A349" s="2555" t="s">
        <v>98</v>
      </c>
      <c r="B349" s="2549" t="s">
        <v>528</v>
      </c>
      <c r="C349" s="2550"/>
      <c r="D349" s="2551"/>
      <c r="E349" s="2541">
        <f>'9. Vol Cool Box G'!$P$73</f>
        <v>21.08</v>
      </c>
      <c r="F349" s="2398" t="s">
        <v>100</v>
      </c>
      <c r="G349" s="2389">
        <v>19151.18</v>
      </c>
      <c r="H349" s="2473">
        <f>E349*G349</f>
        <v>403706.87439999997</v>
      </c>
      <c r="I349" s="2699">
        <f>'Resume Analisa'!$D$48</f>
        <v>18790.969999999998</v>
      </c>
      <c r="J349" s="2562">
        <f>+I349*E349</f>
        <v>396113.64759999991</v>
      </c>
      <c r="K349" s="2378" t="e">
        <f>IF(H349=0,"",IF(J349&lt;#REF!*H349,"Timpang &lt;"&amp;TEXT(#REF!,"0%"),IF(J349&gt;#REF!*H349,"Timpang &gt;"&amp;TEXT(#REF!,"0%"),"Wajar")))</f>
        <v>#REF!</v>
      </c>
      <c r="L349" s="2391">
        <v>18790.969999999998</v>
      </c>
      <c r="M349" s="2475">
        <f>E349*L349</f>
        <v>396113.64759999991</v>
      </c>
      <c r="N349" s="2375">
        <f t="shared" si="108"/>
        <v>1.7303089476019358E-4</v>
      </c>
      <c r="O349" s="2375">
        <v>0</v>
      </c>
      <c r="P349" s="2398" t="s">
        <v>100</v>
      </c>
      <c r="Q349" s="2375">
        <f t="shared" ref="Q349:Q412" si="109">O349*L349</f>
        <v>0</v>
      </c>
      <c r="R349" s="2375">
        <f t="shared" si="95"/>
        <v>0</v>
      </c>
      <c r="S349" s="2386">
        <v>0</v>
      </c>
      <c r="T349" s="2627"/>
      <c r="U349" s="2375">
        <f t="shared" si="105"/>
        <v>0</v>
      </c>
      <c r="V349" s="2375"/>
      <c r="W349" s="2382">
        <f t="shared" si="106"/>
        <v>21.08</v>
      </c>
      <c r="X349" s="2398" t="s">
        <v>100</v>
      </c>
      <c r="Y349" s="2375">
        <f t="shared" si="107"/>
        <v>18790.969999999998</v>
      </c>
      <c r="Z349" s="2375"/>
      <c r="AA349" s="2377" t="s">
        <v>3355</v>
      </c>
    </row>
    <row r="350" spans="1:27" s="331" customFormat="1" ht="25" hidden="1" customHeight="1">
      <c r="A350" s="2555" t="s">
        <v>101</v>
      </c>
      <c r="B350" s="2549" t="s">
        <v>529</v>
      </c>
      <c r="C350" s="2550"/>
      <c r="D350" s="2551"/>
      <c r="E350" s="2541">
        <f>'9. Vol Cool Box G'!$P$74</f>
        <v>2.5299999999999998</v>
      </c>
      <c r="F350" s="2398" t="s">
        <v>100</v>
      </c>
      <c r="G350" s="2473">
        <v>19151.18</v>
      </c>
      <c r="H350" s="2473">
        <f>E350*G350</f>
        <v>48452.485399999998</v>
      </c>
      <c r="I350" s="2474">
        <f>'Resume Analisa'!$D$48</f>
        <v>18790.969999999998</v>
      </c>
      <c r="J350" s="2562">
        <f>+I350*E350</f>
        <v>47541.154099999992</v>
      </c>
      <c r="K350" s="2378" t="e">
        <f>IF(H350=0,"",IF(J350&lt;#REF!*H350,"Timpang &lt;"&amp;TEXT(#REF!,"0%"),IF(J350&gt;#REF!*H350,"Timpang &gt;"&amp;TEXT(#REF!,"0%"),"Wajar")))</f>
        <v>#REF!</v>
      </c>
      <c r="L350" s="2475">
        <v>18790.969999999998</v>
      </c>
      <c r="M350" s="2475">
        <f>E350*L350</f>
        <v>47541.154099999992</v>
      </c>
      <c r="N350" s="2375">
        <f t="shared" si="108"/>
        <v>2.0766990689909381E-5</v>
      </c>
      <c r="O350" s="2375">
        <v>0</v>
      </c>
      <c r="P350" s="2398" t="s">
        <v>100</v>
      </c>
      <c r="Q350" s="2375">
        <f t="shared" si="109"/>
        <v>0</v>
      </c>
      <c r="R350" s="2375">
        <f t="shared" si="95"/>
        <v>0</v>
      </c>
      <c r="S350" s="2386">
        <v>0</v>
      </c>
      <c r="T350" s="2398"/>
      <c r="U350" s="2375">
        <f t="shared" si="105"/>
        <v>0</v>
      </c>
      <c r="V350" s="2375"/>
      <c r="W350" s="2382">
        <f t="shared" si="106"/>
        <v>2.5299999999999998</v>
      </c>
      <c r="X350" s="2398" t="s">
        <v>100</v>
      </c>
      <c r="Y350" s="2375">
        <f t="shared" si="107"/>
        <v>18790.969999999998</v>
      </c>
      <c r="Z350" s="2375"/>
      <c r="AA350" s="2377" t="s">
        <v>3355</v>
      </c>
    </row>
    <row r="351" spans="1:27" s="331" customFormat="1" ht="25" hidden="1" customHeight="1">
      <c r="A351" s="2555" t="s">
        <v>121</v>
      </c>
      <c r="B351" s="2549" t="s">
        <v>420</v>
      </c>
      <c r="C351" s="2550"/>
      <c r="D351" s="2551"/>
      <c r="E351" s="2541">
        <f>'9. Vol Cool Box G'!$P$75</f>
        <v>0.09</v>
      </c>
      <c r="F351" s="2398" t="s">
        <v>103</v>
      </c>
      <c r="G351" s="2389">
        <v>1584129.98</v>
      </c>
      <c r="H351" s="2389">
        <f>E351*G351</f>
        <v>142571.69819999998</v>
      </c>
      <c r="I351" s="2465">
        <f>'Resume Analisa'!$D$55</f>
        <v>1535009.1300000001</v>
      </c>
      <c r="J351" s="2552">
        <f>E351*I351</f>
        <v>138150.8217</v>
      </c>
      <c r="K351" s="2378" t="e">
        <f>IF(H351=0,"",IF(J351&lt;#REF!*H351,"Timpang &lt;"&amp;TEXT(#REF!,"0%"),IF(J351&gt;#REF!*H351,"Timpang &gt;"&amp;TEXT(#REF!,"0%"),"Wajar")))</f>
        <v>#REF!</v>
      </c>
      <c r="L351" s="2391">
        <v>1535009.1300000001</v>
      </c>
      <c r="M351" s="2391">
        <f>E351*L351</f>
        <v>138150.8217</v>
      </c>
      <c r="N351" s="2375">
        <f t="shared" si="108"/>
        <v>6.0347227204718435E-5</v>
      </c>
      <c r="O351" s="2375">
        <v>0</v>
      </c>
      <c r="P351" s="2398" t="s">
        <v>103</v>
      </c>
      <c r="Q351" s="2375">
        <f t="shared" si="109"/>
        <v>0</v>
      </c>
      <c r="R351" s="2375">
        <f t="shared" si="95"/>
        <v>0</v>
      </c>
      <c r="S351" s="2375">
        <v>0</v>
      </c>
      <c r="T351" s="2627"/>
      <c r="U351" s="2375">
        <f t="shared" si="105"/>
        <v>0</v>
      </c>
      <c r="V351" s="2375"/>
      <c r="W351" s="2382">
        <f t="shared" si="106"/>
        <v>0.09</v>
      </c>
      <c r="X351" s="2398" t="s">
        <v>103</v>
      </c>
      <c r="Y351" s="2375">
        <f t="shared" si="107"/>
        <v>1535009.1300000001</v>
      </c>
      <c r="Z351" s="2375"/>
      <c r="AA351" s="2377" t="s">
        <v>3355</v>
      </c>
    </row>
    <row r="352" spans="1:27" s="331" customFormat="1" ht="25" hidden="1" customHeight="1">
      <c r="A352" s="2398">
        <f>A341+1</f>
        <v>7</v>
      </c>
      <c r="B352" s="2549" t="s">
        <v>530</v>
      </c>
      <c r="C352" s="2550"/>
      <c r="D352" s="2551"/>
      <c r="E352" s="2541"/>
      <c r="F352" s="2398"/>
      <c r="G352" s="2389"/>
      <c r="H352" s="2389"/>
      <c r="I352" s="2700"/>
      <c r="J352" s="2544"/>
      <c r="K352" s="2389"/>
      <c r="L352" s="2391"/>
      <c r="M352" s="2391"/>
      <c r="N352" s="2375">
        <f t="shared" si="108"/>
        <v>0</v>
      </c>
      <c r="O352" s="2375">
        <v>0</v>
      </c>
      <c r="P352" s="2398"/>
      <c r="Q352" s="2375">
        <f t="shared" si="109"/>
        <v>0</v>
      </c>
      <c r="R352" s="2375">
        <f t="shared" si="95"/>
        <v>0</v>
      </c>
      <c r="S352" s="2375">
        <v>0</v>
      </c>
      <c r="T352" s="2635"/>
      <c r="U352" s="2375">
        <f t="shared" si="105"/>
        <v>0</v>
      </c>
      <c r="V352" s="2375"/>
      <c r="W352" s="2382">
        <f t="shared" si="106"/>
        <v>0</v>
      </c>
      <c r="X352" s="2398"/>
      <c r="Y352" s="2375">
        <f t="shared" si="107"/>
        <v>0</v>
      </c>
      <c r="Z352" s="2375"/>
      <c r="AA352" s="2377" t="s">
        <v>3355</v>
      </c>
    </row>
    <row r="353" spans="1:27" s="331" customFormat="1" ht="25" hidden="1" customHeight="1">
      <c r="A353" s="2555" t="s">
        <v>95</v>
      </c>
      <c r="B353" s="2549" t="s">
        <v>417</v>
      </c>
      <c r="C353" s="2550"/>
      <c r="D353" s="2551"/>
      <c r="E353" s="2541">
        <f>'9. Vol Cool Box G'!$P$77</f>
        <v>16.2</v>
      </c>
      <c r="F353" s="2398" t="s">
        <v>89</v>
      </c>
      <c r="G353" s="2389">
        <v>249883.29</v>
      </c>
      <c r="H353" s="2389">
        <f>E353*G353</f>
        <v>4048109.298</v>
      </c>
      <c r="I353" s="2465">
        <f>'Resume Analisa'!$D$40</f>
        <v>245946.97</v>
      </c>
      <c r="J353" s="2552">
        <f>E353*I353</f>
        <v>3984340.9139999999</v>
      </c>
      <c r="K353" s="2378" t="e">
        <f>IF(H353=0,"",IF(J353&lt;#REF!*H353,"Timpang &lt;"&amp;TEXT(#REF!,"0%"),IF(J353&gt;#REF!*H353,"Timpang &gt;"&amp;TEXT(#REF!,"0%"),"Wajar")))</f>
        <v>#REF!</v>
      </c>
      <c r="L353" s="2391">
        <v>245946.97</v>
      </c>
      <c r="M353" s="2391">
        <f>E353*L353</f>
        <v>3984340.9139999999</v>
      </c>
      <c r="N353" s="2375">
        <f t="shared" si="108"/>
        <v>1.7404451413278385E-3</v>
      </c>
      <c r="O353" s="2375">
        <v>0</v>
      </c>
      <c r="P353" s="2398" t="s">
        <v>89</v>
      </c>
      <c r="Q353" s="2375">
        <f t="shared" si="109"/>
        <v>0</v>
      </c>
      <c r="R353" s="2375">
        <f t="shared" si="95"/>
        <v>0</v>
      </c>
      <c r="S353" s="2375">
        <v>0</v>
      </c>
      <c r="T353" s="2690"/>
      <c r="U353" s="2375">
        <f t="shared" si="105"/>
        <v>0</v>
      </c>
      <c r="V353" s="2375"/>
      <c r="W353" s="2382">
        <f t="shared" si="106"/>
        <v>16.2</v>
      </c>
      <c r="X353" s="2398" t="s">
        <v>89</v>
      </c>
      <c r="Y353" s="2375">
        <f t="shared" si="107"/>
        <v>245946.97</v>
      </c>
      <c r="Z353" s="2375"/>
      <c r="AA353" s="2377" t="s">
        <v>3355</v>
      </c>
    </row>
    <row r="354" spans="1:27" s="331" customFormat="1" ht="25" hidden="1" customHeight="1">
      <c r="A354" s="2555" t="s">
        <v>98</v>
      </c>
      <c r="B354" s="2549" t="s">
        <v>528</v>
      </c>
      <c r="C354" s="2550"/>
      <c r="D354" s="2551"/>
      <c r="E354" s="2541">
        <f>'9. Vol Cool Box G'!$P$78</f>
        <v>108.2</v>
      </c>
      <c r="F354" s="2398" t="s">
        <v>100</v>
      </c>
      <c r="G354" s="2389">
        <v>19151.18</v>
      </c>
      <c r="H354" s="2473">
        <f>E354*G354</f>
        <v>2072157.676</v>
      </c>
      <c r="I354" s="2699">
        <f>'Resume Analisa'!$D$48</f>
        <v>18790.969999999998</v>
      </c>
      <c r="J354" s="2562">
        <f>+I354*E354</f>
        <v>2033182.9539999997</v>
      </c>
      <c r="K354" s="2378" t="e">
        <f>IF(H354=0,"",IF(J354&lt;#REF!*H354,"Timpang &lt;"&amp;TEXT(#REF!,"0%"),IF(J354&gt;#REF!*H354,"Timpang &gt;"&amp;TEXT(#REF!,"0%"),"Wajar")))</f>
        <v>#REF!</v>
      </c>
      <c r="L354" s="2391">
        <v>18790.969999999998</v>
      </c>
      <c r="M354" s="2475">
        <f>E354*L354</f>
        <v>2033182.9539999997</v>
      </c>
      <c r="N354" s="2375">
        <f t="shared" si="108"/>
        <v>8.8813770460402974E-4</v>
      </c>
      <c r="O354" s="2375">
        <v>0</v>
      </c>
      <c r="P354" s="2398" t="s">
        <v>100</v>
      </c>
      <c r="Q354" s="2375">
        <f t="shared" si="109"/>
        <v>0</v>
      </c>
      <c r="R354" s="2375">
        <f t="shared" si="95"/>
        <v>0</v>
      </c>
      <c r="S354" s="2375">
        <v>0</v>
      </c>
      <c r="T354" s="2690"/>
      <c r="U354" s="2375">
        <f t="shared" si="105"/>
        <v>0</v>
      </c>
      <c r="V354" s="2375"/>
      <c r="W354" s="2382">
        <f t="shared" si="106"/>
        <v>108.2</v>
      </c>
      <c r="X354" s="2398" t="s">
        <v>100</v>
      </c>
      <c r="Y354" s="2375">
        <f t="shared" si="107"/>
        <v>18790.969999999998</v>
      </c>
      <c r="Z354" s="2375"/>
      <c r="AA354" s="2377" t="s">
        <v>3355</v>
      </c>
    </row>
    <row r="355" spans="1:27" s="331" customFormat="1" ht="25" hidden="1" customHeight="1">
      <c r="A355" s="2555" t="s">
        <v>101</v>
      </c>
      <c r="B355" s="2549" t="s">
        <v>529</v>
      </c>
      <c r="C355" s="2550"/>
      <c r="D355" s="2551"/>
      <c r="E355" s="2541">
        <f>'9. Vol Cool Box G'!$P$79</f>
        <v>18.22</v>
      </c>
      <c r="F355" s="2398" t="s">
        <v>100</v>
      </c>
      <c r="G355" s="2473">
        <v>19151.18</v>
      </c>
      <c r="H355" s="2389">
        <f>E355*G355</f>
        <v>348934.49959999998</v>
      </c>
      <c r="I355" s="2474">
        <f>'Resume Analisa'!$D$48</f>
        <v>18790.969999999998</v>
      </c>
      <c r="J355" s="2552">
        <f>E355*I355</f>
        <v>342371.47339999996</v>
      </c>
      <c r="K355" s="2378" t="e">
        <f>IF(H355=0,"",IF(J355&lt;#REF!*H355,"Timpang &lt;"&amp;TEXT(#REF!,"0%"),IF(J355&gt;#REF!*H355,"Timpang &gt;"&amp;TEXT(#REF!,"0%"),"Wajar")))</f>
        <v>#REF!</v>
      </c>
      <c r="L355" s="2475">
        <v>18790.969999999998</v>
      </c>
      <c r="M355" s="2391">
        <f>E355*L355</f>
        <v>342371.47339999996</v>
      </c>
      <c r="N355" s="2375">
        <f t="shared" si="108"/>
        <v>1.4955516615420907E-4</v>
      </c>
      <c r="O355" s="2375">
        <v>0</v>
      </c>
      <c r="P355" s="2398" t="s">
        <v>100</v>
      </c>
      <c r="Q355" s="2375">
        <f t="shared" si="109"/>
        <v>0</v>
      </c>
      <c r="R355" s="2375">
        <f t="shared" si="95"/>
        <v>0</v>
      </c>
      <c r="S355" s="2375">
        <v>0</v>
      </c>
      <c r="T355" s="2690"/>
      <c r="U355" s="2375">
        <f t="shared" si="105"/>
        <v>0</v>
      </c>
      <c r="V355" s="2375"/>
      <c r="W355" s="2382">
        <f t="shared" si="106"/>
        <v>18.22</v>
      </c>
      <c r="X355" s="2398" t="s">
        <v>100</v>
      </c>
      <c r="Y355" s="2375">
        <f t="shared" si="107"/>
        <v>18790.969999999998</v>
      </c>
      <c r="Z355" s="2375"/>
      <c r="AA355" s="2377" t="s">
        <v>3355</v>
      </c>
    </row>
    <row r="356" spans="1:27" s="331" customFormat="1" ht="25" hidden="1" customHeight="1">
      <c r="A356" s="2555" t="s">
        <v>121</v>
      </c>
      <c r="B356" s="2549" t="s">
        <v>169</v>
      </c>
      <c r="C356" s="2550"/>
      <c r="D356" s="2551"/>
      <c r="E356" s="2541">
        <f>'9. Vol Cool Box G'!$P$80</f>
        <v>0.61</v>
      </c>
      <c r="F356" s="2398" t="s">
        <v>103</v>
      </c>
      <c r="G356" s="2389">
        <v>1584129.98</v>
      </c>
      <c r="H356" s="2389">
        <f>E356*G356</f>
        <v>966319.28779999993</v>
      </c>
      <c r="I356" s="2465">
        <f>'Resume Analisa'!$D$55</f>
        <v>1535009.1300000001</v>
      </c>
      <c r="J356" s="2552">
        <f>E356*I356</f>
        <v>936355.56930000009</v>
      </c>
      <c r="K356" s="2378" t="e">
        <f>IF(H356=0,"",IF(J356&lt;#REF!*H356,"Timpang &lt;"&amp;TEXT(#REF!,"0%"),IF(J356&gt;#REF!*H356,"Timpang &gt;"&amp;TEXT(#REF!,"0%"),"Wajar")))</f>
        <v>#REF!</v>
      </c>
      <c r="L356" s="2391">
        <v>1535009.1300000001</v>
      </c>
      <c r="M356" s="2391">
        <f>E356*L356</f>
        <v>936355.56930000009</v>
      </c>
      <c r="N356" s="2375">
        <f t="shared" si="108"/>
        <v>4.0902009549864725E-4</v>
      </c>
      <c r="O356" s="2375">
        <v>0</v>
      </c>
      <c r="P356" s="2398" t="s">
        <v>103</v>
      </c>
      <c r="Q356" s="2375">
        <f t="shared" si="109"/>
        <v>0</v>
      </c>
      <c r="R356" s="2375">
        <f t="shared" si="95"/>
        <v>0</v>
      </c>
      <c r="S356" s="2386">
        <v>0</v>
      </c>
      <c r="T356" s="2690"/>
      <c r="U356" s="2375">
        <f t="shared" si="105"/>
        <v>0</v>
      </c>
      <c r="V356" s="2375"/>
      <c r="W356" s="2382">
        <f t="shared" si="106"/>
        <v>0.61</v>
      </c>
      <c r="X356" s="2398" t="s">
        <v>103</v>
      </c>
      <c r="Y356" s="2375">
        <f t="shared" si="107"/>
        <v>1535009.1300000001</v>
      </c>
      <c r="Z356" s="2375"/>
      <c r="AA356" s="2377" t="s">
        <v>3355</v>
      </c>
    </row>
    <row r="357" spans="1:27" s="331" customFormat="1" ht="25" hidden="1" customHeight="1">
      <c r="A357" s="2398">
        <f>A352+1</f>
        <v>8</v>
      </c>
      <c r="B357" s="2549" t="s">
        <v>531</v>
      </c>
      <c r="C357" s="2550"/>
      <c r="D357" s="2551"/>
      <c r="E357" s="2541"/>
      <c r="F357" s="2398"/>
      <c r="G357" s="2563"/>
      <c r="H357" s="2389"/>
      <c r="I357" s="2564"/>
      <c r="J357" s="2544"/>
      <c r="K357" s="2389"/>
      <c r="L357" s="2565"/>
      <c r="M357" s="2391"/>
      <c r="N357" s="2375">
        <f t="shared" si="108"/>
        <v>0</v>
      </c>
      <c r="O357" s="2375">
        <v>0</v>
      </c>
      <c r="P357" s="2398"/>
      <c r="Q357" s="2375">
        <f t="shared" si="109"/>
        <v>0</v>
      </c>
      <c r="R357" s="2375">
        <f t="shared" si="95"/>
        <v>0</v>
      </c>
      <c r="S357" s="2386">
        <v>0</v>
      </c>
      <c r="T357" s="2690"/>
      <c r="U357" s="2375">
        <f t="shared" si="105"/>
        <v>0</v>
      </c>
      <c r="V357" s="2375"/>
      <c r="W357" s="2382">
        <f t="shared" si="106"/>
        <v>0</v>
      </c>
      <c r="X357" s="2398"/>
      <c r="Y357" s="2375">
        <f t="shared" si="107"/>
        <v>0</v>
      </c>
      <c r="Z357" s="2375"/>
      <c r="AA357" s="2377" t="s">
        <v>3355</v>
      </c>
    </row>
    <row r="358" spans="1:27" s="331" customFormat="1" ht="25" hidden="1" customHeight="1">
      <c r="A358" s="2555" t="s">
        <v>95</v>
      </c>
      <c r="B358" s="2549" t="s">
        <v>423</v>
      </c>
      <c r="C358" s="2550"/>
      <c r="D358" s="2551"/>
      <c r="E358" s="2541">
        <f>'9. Vol Cool Box G'!$P$87</f>
        <v>19.5</v>
      </c>
      <c r="F358" s="2398" t="s">
        <v>89</v>
      </c>
      <c r="G358" s="2389">
        <v>249883.29</v>
      </c>
      <c r="H358" s="2389">
        <f>E358*G358</f>
        <v>4872724.1550000003</v>
      </c>
      <c r="I358" s="2699">
        <f>'Resume Analisa'!$D$40</f>
        <v>245946.97</v>
      </c>
      <c r="J358" s="2552">
        <f>E358*I358</f>
        <v>4795965.915</v>
      </c>
      <c r="K358" s="2378" t="e">
        <f>IF(H358=0,"",IF(J358&lt;#REF!*H358,"Timpang &lt;"&amp;TEXT(#REF!,"0%"),IF(J358&gt;#REF!*H358,"Timpang &gt;"&amp;TEXT(#REF!,"0%"),"Wajar")))</f>
        <v>#REF!</v>
      </c>
      <c r="L358" s="2391">
        <v>245946.97</v>
      </c>
      <c r="M358" s="2391">
        <f>E358*L358</f>
        <v>4795965.915</v>
      </c>
      <c r="N358" s="2375">
        <f t="shared" si="108"/>
        <v>2.0949802627094351E-3</v>
      </c>
      <c r="O358" s="2375">
        <v>0</v>
      </c>
      <c r="P358" s="2398" t="s">
        <v>89</v>
      </c>
      <c r="Q358" s="2375">
        <f t="shared" si="109"/>
        <v>0</v>
      </c>
      <c r="R358" s="2375">
        <f t="shared" si="95"/>
        <v>0</v>
      </c>
      <c r="S358" s="2375">
        <v>0</v>
      </c>
      <c r="T358" s="2398"/>
      <c r="U358" s="2375">
        <f t="shared" si="105"/>
        <v>0</v>
      </c>
      <c r="V358" s="2375"/>
      <c r="W358" s="2382">
        <f t="shared" si="106"/>
        <v>19.5</v>
      </c>
      <c r="X358" s="2398" t="s">
        <v>89</v>
      </c>
      <c r="Y358" s="2375">
        <f t="shared" si="107"/>
        <v>245946.97</v>
      </c>
      <c r="Z358" s="2375"/>
      <c r="AA358" s="2377" t="s">
        <v>3355</v>
      </c>
    </row>
    <row r="359" spans="1:27" s="331" customFormat="1" ht="25" hidden="1" customHeight="1">
      <c r="A359" s="2555" t="s">
        <v>98</v>
      </c>
      <c r="B359" s="2549" t="s">
        <v>410</v>
      </c>
      <c r="C359" s="2550"/>
      <c r="D359" s="2551"/>
      <c r="E359" s="2541">
        <f>'9. Vol Cool Box G'!$P$91</f>
        <v>80.150000000000006</v>
      </c>
      <c r="F359" s="2398" t="s">
        <v>100</v>
      </c>
      <c r="G359" s="2389">
        <v>19151.18</v>
      </c>
      <c r="H359" s="2473">
        <f>E359*G359</f>
        <v>1534967.077</v>
      </c>
      <c r="I359" s="2699">
        <f>'Resume Analisa'!$D$48</f>
        <v>18790.969999999998</v>
      </c>
      <c r="J359" s="2562">
        <f>+I359*E359</f>
        <v>1506096.2455</v>
      </c>
      <c r="K359" s="2378" t="e">
        <f>IF(H359=0,"",IF(J359&lt;#REF!*H359,"Timpang &lt;"&amp;TEXT(#REF!,"0%"),IF(J359&gt;#REF!*H359,"Timpang &gt;"&amp;TEXT(#REF!,"0%"),"Wajar")))</f>
        <v>#REF!</v>
      </c>
      <c r="L359" s="2391">
        <v>18790.969999999998</v>
      </c>
      <c r="M359" s="2475">
        <f>E359*L359</f>
        <v>1506096.2455</v>
      </c>
      <c r="N359" s="2375">
        <f t="shared" si="108"/>
        <v>6.5789498173764312E-4</v>
      </c>
      <c r="O359" s="2375">
        <v>0</v>
      </c>
      <c r="P359" s="2398" t="s">
        <v>100</v>
      </c>
      <c r="Q359" s="2375">
        <f t="shared" si="109"/>
        <v>0</v>
      </c>
      <c r="R359" s="2375">
        <f t="shared" si="95"/>
        <v>0</v>
      </c>
      <c r="S359" s="2375">
        <v>0</v>
      </c>
      <c r="T359" s="2690"/>
      <c r="U359" s="2375">
        <f t="shared" si="105"/>
        <v>0</v>
      </c>
      <c r="V359" s="2375"/>
      <c r="W359" s="2382">
        <f t="shared" si="106"/>
        <v>80.150000000000006</v>
      </c>
      <c r="X359" s="2398" t="s">
        <v>100</v>
      </c>
      <c r="Y359" s="2375">
        <f t="shared" si="107"/>
        <v>18790.969999999998</v>
      </c>
      <c r="Z359" s="2375"/>
      <c r="AA359" s="2377" t="s">
        <v>3355</v>
      </c>
    </row>
    <row r="360" spans="1:27" s="331" customFormat="1" ht="25" hidden="1" customHeight="1">
      <c r="A360" s="2555" t="s">
        <v>101</v>
      </c>
      <c r="B360" s="2549" t="s">
        <v>529</v>
      </c>
      <c r="C360" s="2550"/>
      <c r="D360" s="2551"/>
      <c r="E360" s="2541">
        <f>'9. Vol Cool Box G'!$P$95</f>
        <v>31.39</v>
      </c>
      <c r="F360" s="2398" t="s">
        <v>100</v>
      </c>
      <c r="G360" s="2389">
        <v>19151.18</v>
      </c>
      <c r="H360" s="2389">
        <f>E360*G360</f>
        <v>601155.54020000005</v>
      </c>
      <c r="I360" s="2699">
        <f>'Resume Analisa'!$D$48</f>
        <v>18790.969999999998</v>
      </c>
      <c r="J360" s="2552">
        <f>E360*I360</f>
        <v>589848.54829999991</v>
      </c>
      <c r="K360" s="2378" t="e">
        <f>IF(H360=0,"",IF(J360&lt;#REF!*H360,"Timpang &lt;"&amp;TEXT(#REF!,"0%"),IF(J360&gt;#REF!*H360,"Timpang &gt;"&amp;TEXT(#REF!,"0%"),"Wajar")))</f>
        <v>#REF!</v>
      </c>
      <c r="L360" s="2391">
        <v>18790.969999999998</v>
      </c>
      <c r="M360" s="2391">
        <f>E360*L360</f>
        <v>589848.54829999991</v>
      </c>
      <c r="N360" s="2375">
        <f t="shared" si="108"/>
        <v>2.5765843389575317E-4</v>
      </c>
      <c r="O360" s="2375">
        <v>0</v>
      </c>
      <c r="P360" s="2398" t="s">
        <v>100</v>
      </c>
      <c r="Q360" s="2375">
        <f t="shared" si="109"/>
        <v>0</v>
      </c>
      <c r="R360" s="2375">
        <f t="shared" si="95"/>
        <v>0</v>
      </c>
      <c r="S360" s="2375">
        <v>0</v>
      </c>
      <c r="T360" s="2690"/>
      <c r="U360" s="2375">
        <f t="shared" si="105"/>
        <v>0</v>
      </c>
      <c r="V360" s="2375"/>
      <c r="W360" s="2382">
        <f t="shared" si="106"/>
        <v>31.39</v>
      </c>
      <c r="X360" s="2398" t="s">
        <v>100</v>
      </c>
      <c r="Y360" s="2375">
        <f t="shared" si="107"/>
        <v>18790.969999999998</v>
      </c>
      <c r="Z360" s="2375"/>
      <c r="AA360" s="2377" t="s">
        <v>3355</v>
      </c>
    </row>
    <row r="361" spans="1:27" s="331" customFormat="1" ht="25" hidden="1" customHeight="1">
      <c r="A361" s="2555" t="s">
        <v>121</v>
      </c>
      <c r="B361" s="2549" t="s">
        <v>169</v>
      </c>
      <c r="C361" s="2550"/>
      <c r="D361" s="2551"/>
      <c r="E361" s="2541">
        <f>'9. Vol Cool Box G'!$P$99</f>
        <v>1.17</v>
      </c>
      <c r="F361" s="2398" t="s">
        <v>103</v>
      </c>
      <c r="G361" s="2389">
        <v>1584129.98</v>
      </c>
      <c r="H361" s="2389">
        <f>E361*G361</f>
        <v>1853432.0765999998</v>
      </c>
      <c r="I361" s="2465">
        <f>'Resume Analisa'!$D$55</f>
        <v>1535009.1300000001</v>
      </c>
      <c r="J361" s="2552">
        <f>E361*I361</f>
        <v>1795960.6821000001</v>
      </c>
      <c r="K361" s="2378" t="e">
        <f>IF(H361=0,"",IF(J361&lt;#REF!*H361,"Timpang &lt;"&amp;TEXT(#REF!,"0%"),IF(J361&gt;#REF!*H361,"Timpang &gt;"&amp;TEXT(#REF!,"0%"),"Wajar")))</f>
        <v>#REF!</v>
      </c>
      <c r="L361" s="2391">
        <v>1535009.1300000001</v>
      </c>
      <c r="M361" s="2391">
        <f>E361*L361</f>
        <v>1795960.6821000001</v>
      </c>
      <c r="N361" s="2375">
        <f t="shared" si="108"/>
        <v>7.8451395366133971E-4</v>
      </c>
      <c r="O361" s="2375">
        <v>0</v>
      </c>
      <c r="P361" s="2398" t="s">
        <v>103</v>
      </c>
      <c r="Q361" s="2375">
        <f t="shared" si="109"/>
        <v>0</v>
      </c>
      <c r="R361" s="2375">
        <f t="shared" si="95"/>
        <v>0</v>
      </c>
      <c r="S361" s="2375">
        <v>0</v>
      </c>
      <c r="T361" s="2697"/>
      <c r="U361" s="2375">
        <f t="shared" si="105"/>
        <v>0</v>
      </c>
      <c r="V361" s="2375"/>
      <c r="W361" s="2382">
        <f t="shared" si="106"/>
        <v>1.17</v>
      </c>
      <c r="X361" s="2398" t="s">
        <v>103</v>
      </c>
      <c r="Y361" s="2375">
        <f t="shared" si="107"/>
        <v>1535009.1300000001</v>
      </c>
      <c r="Z361" s="2375"/>
      <c r="AA361" s="2377" t="s">
        <v>3355</v>
      </c>
    </row>
    <row r="362" spans="1:27" s="331" customFormat="1" ht="25" hidden="1" customHeight="1">
      <c r="A362" s="2398">
        <f>A357+1</f>
        <v>9</v>
      </c>
      <c r="B362" s="2549" t="s">
        <v>532</v>
      </c>
      <c r="C362" s="2550"/>
      <c r="D362" s="2551"/>
      <c r="E362" s="2541"/>
      <c r="F362" s="2398"/>
      <c r="G362" s="2389"/>
      <c r="H362" s="2389"/>
      <c r="I362" s="2465"/>
      <c r="J362" s="2552"/>
      <c r="K362" s="2389"/>
      <c r="L362" s="2391"/>
      <c r="M362" s="2391"/>
      <c r="N362" s="2375">
        <f t="shared" si="108"/>
        <v>0</v>
      </c>
      <c r="O362" s="2375">
        <v>0</v>
      </c>
      <c r="P362" s="2398"/>
      <c r="Q362" s="2375">
        <f t="shared" si="109"/>
        <v>0</v>
      </c>
      <c r="R362" s="2375">
        <f t="shared" si="95"/>
        <v>0</v>
      </c>
      <c r="S362" s="2375">
        <v>0</v>
      </c>
      <c r="T362" s="2398"/>
      <c r="U362" s="2375">
        <f t="shared" si="105"/>
        <v>0</v>
      </c>
      <c r="V362" s="2375"/>
      <c r="W362" s="2382">
        <f t="shared" si="106"/>
        <v>0</v>
      </c>
      <c r="X362" s="2398"/>
      <c r="Y362" s="2375">
        <f t="shared" si="107"/>
        <v>0</v>
      </c>
      <c r="Z362" s="2375"/>
      <c r="AA362" s="2377" t="s">
        <v>3355</v>
      </c>
    </row>
    <row r="363" spans="1:27" s="331" customFormat="1" ht="25" hidden="1" customHeight="1">
      <c r="A363" s="2555" t="s">
        <v>95</v>
      </c>
      <c r="B363" s="2549" t="s">
        <v>423</v>
      </c>
      <c r="C363" s="2550"/>
      <c r="D363" s="2551"/>
      <c r="E363" s="2541">
        <f>'9. Vol Cool Box G'!$P$101</f>
        <v>1.8</v>
      </c>
      <c r="F363" s="2398" t="s">
        <v>89</v>
      </c>
      <c r="G363" s="2389">
        <v>257048.94</v>
      </c>
      <c r="H363" s="2389">
        <f>E363*G363</f>
        <v>462688.092</v>
      </c>
      <c r="I363" s="2465">
        <f>'Resume Analisa'!$D$42</f>
        <v>252902.38</v>
      </c>
      <c r="J363" s="2552">
        <f>E363*I363</f>
        <v>455224.28400000004</v>
      </c>
      <c r="K363" s="2378" t="e">
        <f>IF(H363=0,"",IF(J363&lt;#REF!*H363,"Timpang &lt;"&amp;TEXT(#REF!,"0%"),IF(J363&gt;#REF!*H363,"Timpang &gt;"&amp;TEXT(#REF!,"0%"),"Wajar")))</f>
        <v>#REF!</v>
      </c>
      <c r="L363" s="2391">
        <v>252902.38</v>
      </c>
      <c r="M363" s="2391">
        <f>E363*L363</f>
        <v>455224.28400000004</v>
      </c>
      <c r="N363" s="2375">
        <f t="shared" si="108"/>
        <v>1.9885168222385805E-4</v>
      </c>
      <c r="O363" s="2375">
        <v>0</v>
      </c>
      <c r="P363" s="2398" t="s">
        <v>89</v>
      </c>
      <c r="Q363" s="2375">
        <f t="shared" si="109"/>
        <v>0</v>
      </c>
      <c r="R363" s="2375">
        <f t="shared" ref="R363:R426" si="110">Q363/$M$8*100</f>
        <v>0</v>
      </c>
      <c r="S363" s="2386">
        <v>0</v>
      </c>
      <c r="T363" s="2398"/>
      <c r="U363" s="2375">
        <f t="shared" si="105"/>
        <v>0</v>
      </c>
      <c r="V363" s="2375"/>
      <c r="W363" s="2382">
        <f t="shared" si="106"/>
        <v>1.8</v>
      </c>
      <c r="X363" s="2398" t="s">
        <v>89</v>
      </c>
      <c r="Y363" s="2375">
        <f t="shared" si="107"/>
        <v>252902.38</v>
      </c>
      <c r="Z363" s="2375"/>
      <c r="AA363" s="2377" t="s">
        <v>3355</v>
      </c>
    </row>
    <row r="364" spans="1:27" s="331" customFormat="1" ht="25" hidden="1" customHeight="1">
      <c r="A364" s="2555" t="s">
        <v>98</v>
      </c>
      <c r="B364" s="2549" t="s">
        <v>410</v>
      </c>
      <c r="C364" s="2550"/>
      <c r="D364" s="2551"/>
      <c r="E364" s="2541">
        <f>'9. Vol Cool Box G'!$P$102</f>
        <v>18.25</v>
      </c>
      <c r="F364" s="2398" t="s">
        <v>100</v>
      </c>
      <c r="G364" s="2389">
        <v>19151.18</v>
      </c>
      <c r="H364" s="2473">
        <f>E364*G364</f>
        <v>349509.03500000003</v>
      </c>
      <c r="I364" s="2699">
        <f>'Resume Analisa'!$D$48</f>
        <v>18790.969999999998</v>
      </c>
      <c r="J364" s="2562">
        <f>+I364*E364</f>
        <v>342935.20249999996</v>
      </c>
      <c r="K364" s="2378" t="e">
        <f>IF(H364=0,"",IF(J364&lt;#REF!*H364,"Timpang &lt;"&amp;TEXT(#REF!,"0%"),IF(J364&gt;#REF!*H364,"Timpang &gt;"&amp;TEXT(#REF!,"0%"),"Wajar")))</f>
        <v>#REF!</v>
      </c>
      <c r="L364" s="2391">
        <v>18790.969999999998</v>
      </c>
      <c r="M364" s="2475">
        <f>E364*L364</f>
        <v>342935.20249999996</v>
      </c>
      <c r="N364" s="2375">
        <f t="shared" si="108"/>
        <v>1.4980141505567044E-4</v>
      </c>
      <c r="O364" s="2375">
        <v>0</v>
      </c>
      <c r="P364" s="2398" t="s">
        <v>100</v>
      </c>
      <c r="Q364" s="2375">
        <f t="shared" si="109"/>
        <v>0</v>
      </c>
      <c r="R364" s="2375">
        <f t="shared" si="110"/>
        <v>0</v>
      </c>
      <c r="S364" s="2386">
        <v>0</v>
      </c>
      <c r="T364" s="2398"/>
      <c r="U364" s="2375">
        <f t="shared" si="105"/>
        <v>0</v>
      </c>
      <c r="V364" s="2375"/>
      <c r="W364" s="2382">
        <f t="shared" si="106"/>
        <v>18.25</v>
      </c>
      <c r="X364" s="2398" t="s">
        <v>100</v>
      </c>
      <c r="Y364" s="2375">
        <f t="shared" si="107"/>
        <v>18790.969999999998</v>
      </c>
      <c r="Z364" s="2375"/>
      <c r="AA364" s="2377" t="s">
        <v>3355</v>
      </c>
    </row>
    <row r="365" spans="1:27" s="331" customFormat="1" ht="25" hidden="1" customHeight="1">
      <c r="A365" s="2555" t="s">
        <v>101</v>
      </c>
      <c r="B365" s="2549" t="s">
        <v>529</v>
      </c>
      <c r="C365" s="2550"/>
      <c r="D365" s="2551"/>
      <c r="E365" s="2541">
        <f>'9. Vol Cool Box G'!$P$103</f>
        <v>2.7</v>
      </c>
      <c r="F365" s="2398" t="s">
        <v>100</v>
      </c>
      <c r="G365" s="2473">
        <v>19151.18</v>
      </c>
      <c r="H365" s="2473">
        <f>E365*G365</f>
        <v>51708.186000000002</v>
      </c>
      <c r="I365" s="2474">
        <f>'Resume Analisa'!$D$48</f>
        <v>18790.969999999998</v>
      </c>
      <c r="J365" s="2562">
        <f>+I365*E365</f>
        <v>50735.618999999999</v>
      </c>
      <c r="K365" s="2378" t="e">
        <f>IF(H365=0,"",IF(J365&lt;#REF!*H365,"Timpang &lt;"&amp;TEXT(#REF!,"0%"),IF(J365&gt;#REF!*H365,"Timpang &gt;"&amp;TEXT(#REF!,"0%"),"Wajar")))</f>
        <v>#REF!</v>
      </c>
      <c r="L365" s="2475">
        <v>18790.969999999998</v>
      </c>
      <c r="M365" s="2475">
        <f>E365*L365</f>
        <v>50735.618999999999</v>
      </c>
      <c r="N365" s="2375">
        <f t="shared" si="108"/>
        <v>2.216240113152385E-5</v>
      </c>
      <c r="O365" s="2375">
        <v>0</v>
      </c>
      <c r="P365" s="2398" t="s">
        <v>100</v>
      </c>
      <c r="Q365" s="2375">
        <f t="shared" si="109"/>
        <v>0</v>
      </c>
      <c r="R365" s="2375">
        <f t="shared" si="110"/>
        <v>0</v>
      </c>
      <c r="S365" s="2375">
        <v>0</v>
      </c>
      <c r="T365" s="2398"/>
      <c r="U365" s="2375">
        <f t="shared" si="105"/>
        <v>0</v>
      </c>
      <c r="V365" s="2375"/>
      <c r="W365" s="2382">
        <f t="shared" si="106"/>
        <v>2.7</v>
      </c>
      <c r="X365" s="2398" t="s">
        <v>100</v>
      </c>
      <c r="Y365" s="2375">
        <f t="shared" si="107"/>
        <v>18790.969999999998</v>
      </c>
      <c r="Z365" s="2375"/>
      <c r="AA365" s="2377" t="s">
        <v>3355</v>
      </c>
    </row>
    <row r="366" spans="1:27" s="331" customFormat="1" ht="25" hidden="1" customHeight="1">
      <c r="A366" s="2555" t="s">
        <v>121</v>
      </c>
      <c r="B366" s="2549" t="s">
        <v>169</v>
      </c>
      <c r="C366" s="2550"/>
      <c r="D366" s="2551"/>
      <c r="E366" s="2541">
        <f>'9. Vol Cool Box G'!$P$104</f>
        <v>0.09</v>
      </c>
      <c r="F366" s="2398" t="s">
        <v>103</v>
      </c>
      <c r="G366" s="2389">
        <v>1584129.98</v>
      </c>
      <c r="H366" s="2389">
        <f>E366*G366</f>
        <v>142571.69819999998</v>
      </c>
      <c r="I366" s="2465">
        <f>'Resume Analisa'!$D$55</f>
        <v>1535009.1300000001</v>
      </c>
      <c r="J366" s="2552">
        <f>E366*I366</f>
        <v>138150.8217</v>
      </c>
      <c r="K366" s="2378" t="e">
        <f>IF(H366=0,"",IF(J366&lt;#REF!*H366,"Timpang &lt;"&amp;TEXT(#REF!,"0%"),IF(J366&gt;#REF!*H366,"Timpang &gt;"&amp;TEXT(#REF!,"0%"),"Wajar")))</f>
        <v>#REF!</v>
      </c>
      <c r="L366" s="2391">
        <v>1535009.1300000001</v>
      </c>
      <c r="M366" s="2391">
        <f>E366*L366</f>
        <v>138150.8217</v>
      </c>
      <c r="N366" s="2375">
        <f t="shared" si="108"/>
        <v>6.0347227204718435E-5</v>
      </c>
      <c r="O366" s="2375">
        <v>0</v>
      </c>
      <c r="P366" s="2398" t="s">
        <v>103</v>
      </c>
      <c r="Q366" s="2375">
        <f t="shared" si="109"/>
        <v>0</v>
      </c>
      <c r="R366" s="2375">
        <f t="shared" si="110"/>
        <v>0</v>
      </c>
      <c r="S366" s="2375">
        <v>0</v>
      </c>
      <c r="T366" s="2398"/>
      <c r="U366" s="2375">
        <f t="shared" si="105"/>
        <v>0</v>
      </c>
      <c r="V366" s="2375"/>
      <c r="W366" s="2382">
        <f t="shared" si="106"/>
        <v>0.09</v>
      </c>
      <c r="X366" s="2398" t="s">
        <v>103</v>
      </c>
      <c r="Y366" s="2375">
        <f t="shared" si="107"/>
        <v>1535009.1300000001</v>
      </c>
      <c r="Z366" s="2375"/>
      <c r="AA366" s="2377" t="s">
        <v>3355</v>
      </c>
    </row>
    <row r="367" spans="1:27" s="331" customFormat="1" ht="25" hidden="1" customHeight="1">
      <c r="A367" s="2398">
        <f>A362+1</f>
        <v>10</v>
      </c>
      <c r="B367" s="2549" t="s">
        <v>533</v>
      </c>
      <c r="C367" s="2550"/>
      <c r="D367" s="2551"/>
      <c r="E367" s="2541"/>
      <c r="F367" s="2398"/>
      <c r="G367" s="2563"/>
      <c r="H367" s="2389"/>
      <c r="I367" s="2564"/>
      <c r="J367" s="2544"/>
      <c r="K367" s="2389"/>
      <c r="L367" s="2565"/>
      <c r="M367" s="2391"/>
      <c r="N367" s="2375">
        <f t="shared" si="108"/>
        <v>0</v>
      </c>
      <c r="O367" s="2375">
        <v>0</v>
      </c>
      <c r="P367" s="2398"/>
      <c r="Q367" s="2375">
        <f t="shared" si="109"/>
        <v>0</v>
      </c>
      <c r="R367" s="2375">
        <f t="shared" si="110"/>
        <v>0</v>
      </c>
      <c r="S367" s="2375">
        <v>0</v>
      </c>
      <c r="T367" s="2398"/>
      <c r="U367" s="2375">
        <f t="shared" si="105"/>
        <v>0</v>
      </c>
      <c r="V367" s="2375"/>
      <c r="W367" s="2382">
        <f t="shared" si="106"/>
        <v>0</v>
      </c>
      <c r="X367" s="2398"/>
      <c r="Y367" s="2375">
        <f t="shared" si="107"/>
        <v>0</v>
      </c>
      <c r="Z367" s="2375"/>
      <c r="AA367" s="2377" t="s">
        <v>3355</v>
      </c>
    </row>
    <row r="368" spans="1:27" s="331" customFormat="1" ht="25" hidden="1" customHeight="1">
      <c r="A368" s="2555" t="s">
        <v>95</v>
      </c>
      <c r="B368" s="2549" t="s">
        <v>423</v>
      </c>
      <c r="C368" s="2550"/>
      <c r="D368" s="2551"/>
      <c r="E368" s="2541">
        <f>'9. Vol Cool Box G'!P109</f>
        <v>3.75</v>
      </c>
      <c r="F368" s="2398" t="s">
        <v>89</v>
      </c>
      <c r="G368" s="2389">
        <v>249883.29</v>
      </c>
      <c r="H368" s="2389">
        <f>E368*G368</f>
        <v>937062.33750000002</v>
      </c>
      <c r="I368" s="2699">
        <f>'Resume Analisa'!$D$40</f>
        <v>245946.97</v>
      </c>
      <c r="J368" s="2552">
        <f>E368*I368</f>
        <v>922301.13749999995</v>
      </c>
      <c r="K368" s="2378" t="e">
        <f>IF(H368=0,"",IF(J368&lt;#REF!*H368,"Timpang &lt;"&amp;TEXT(#REF!,"0%"),IF(J368&gt;#REF!*H368,"Timpang &gt;"&amp;TEXT(#REF!,"0%"),"Wajar")))</f>
        <v>#REF!</v>
      </c>
      <c r="L368" s="2391">
        <v>245946.97</v>
      </c>
      <c r="M368" s="2391">
        <f>E368*L368</f>
        <v>922301.13749999995</v>
      </c>
      <c r="N368" s="2375">
        <f t="shared" si="108"/>
        <v>4.0288081975181444E-4</v>
      </c>
      <c r="O368" s="2375">
        <v>0</v>
      </c>
      <c r="P368" s="2398" t="s">
        <v>89</v>
      </c>
      <c r="Q368" s="2375">
        <f t="shared" si="109"/>
        <v>0</v>
      </c>
      <c r="R368" s="2375">
        <f t="shared" si="110"/>
        <v>0</v>
      </c>
      <c r="S368" s="2375">
        <v>0</v>
      </c>
      <c r="T368" s="2398"/>
      <c r="U368" s="2375">
        <f t="shared" si="105"/>
        <v>0</v>
      </c>
      <c r="V368" s="2375"/>
      <c r="W368" s="2382">
        <f t="shared" si="106"/>
        <v>3.75</v>
      </c>
      <c r="X368" s="2398" t="s">
        <v>89</v>
      </c>
      <c r="Y368" s="2375">
        <f t="shared" si="107"/>
        <v>245946.97</v>
      </c>
      <c r="Z368" s="2375"/>
      <c r="AA368" s="2377" t="s">
        <v>3355</v>
      </c>
    </row>
    <row r="369" spans="1:27" s="331" customFormat="1" ht="25" hidden="1" customHeight="1">
      <c r="A369" s="2555" t="s">
        <v>98</v>
      </c>
      <c r="B369" s="2549" t="s">
        <v>410</v>
      </c>
      <c r="C369" s="2550"/>
      <c r="D369" s="2551"/>
      <c r="E369" s="2541">
        <f>'9. Vol Cool Box G'!P112</f>
        <v>15.41</v>
      </c>
      <c r="F369" s="2398" t="s">
        <v>100</v>
      </c>
      <c r="G369" s="2389">
        <v>19151.18</v>
      </c>
      <c r="H369" s="2473">
        <f>E369*G369</f>
        <v>295119.6838</v>
      </c>
      <c r="I369" s="2699">
        <f>'Resume Analisa'!$D$48</f>
        <v>18790.969999999998</v>
      </c>
      <c r="J369" s="2562">
        <f>+I369*E369</f>
        <v>289568.84769999998</v>
      </c>
      <c r="K369" s="2378" t="e">
        <f>IF(H369=0,"",IF(J369&lt;#REF!*H369,"Timpang &lt;"&amp;TEXT(#REF!,"0%"),IF(J369&gt;#REF!*H369,"Timpang &gt;"&amp;TEXT(#REF!,"0%"),"Wajar")))</f>
        <v>#REF!</v>
      </c>
      <c r="L369" s="2391">
        <v>18790.969999999998</v>
      </c>
      <c r="M369" s="2475">
        <f>E369*L369</f>
        <v>289568.84769999998</v>
      </c>
      <c r="N369" s="2375">
        <f t="shared" si="108"/>
        <v>1.2648985238399352E-4</v>
      </c>
      <c r="O369" s="2375">
        <v>0</v>
      </c>
      <c r="P369" s="2398" t="s">
        <v>100</v>
      </c>
      <c r="Q369" s="2375">
        <f t="shared" si="109"/>
        <v>0</v>
      </c>
      <c r="R369" s="2375">
        <f t="shared" si="110"/>
        <v>0</v>
      </c>
      <c r="S369" s="2375">
        <v>0</v>
      </c>
      <c r="T369" s="2398"/>
      <c r="U369" s="2375">
        <f t="shared" si="105"/>
        <v>0</v>
      </c>
      <c r="V369" s="2375"/>
      <c r="W369" s="2382">
        <f t="shared" si="106"/>
        <v>15.41</v>
      </c>
      <c r="X369" s="2398" t="s">
        <v>100</v>
      </c>
      <c r="Y369" s="2375">
        <f t="shared" si="107"/>
        <v>18790.969999999998</v>
      </c>
      <c r="Z369" s="2375"/>
      <c r="AA369" s="2377" t="s">
        <v>3355</v>
      </c>
    </row>
    <row r="370" spans="1:27" s="331" customFormat="1" ht="25" hidden="1" customHeight="1">
      <c r="A370" s="2555" t="s">
        <v>101</v>
      </c>
      <c r="B370" s="2549" t="s">
        <v>529</v>
      </c>
      <c r="C370" s="2550"/>
      <c r="D370" s="2551"/>
      <c r="E370" s="2541">
        <f>'9. Vol Cool Box G'!P115</f>
        <v>6.04</v>
      </c>
      <c r="F370" s="2398" t="s">
        <v>100</v>
      </c>
      <c r="G370" s="2389">
        <v>19151.18</v>
      </c>
      <c r="H370" s="2389">
        <f>E370*G370</f>
        <v>115673.1272</v>
      </c>
      <c r="I370" s="2699">
        <f>'Resume Analisa'!$D$48</f>
        <v>18790.969999999998</v>
      </c>
      <c r="J370" s="2552">
        <f>E370*I370</f>
        <v>113497.45879999998</v>
      </c>
      <c r="K370" s="2378" t="e">
        <f>IF(H370=0,"",IF(J370&lt;#REF!*H370,"Timpang &lt;"&amp;TEXT(#REF!,"0%"),IF(J370&gt;#REF!*H370,"Timpang &gt;"&amp;TEXT(#REF!,"0%"),"Wajar")))</f>
        <v>#REF!</v>
      </c>
      <c r="L370" s="2391">
        <v>18790.969999999998</v>
      </c>
      <c r="M370" s="2391">
        <f>E370*L370</f>
        <v>113497.45879999998</v>
      </c>
      <c r="N370" s="2375">
        <f t="shared" si="108"/>
        <v>4.9578112160890383E-5</v>
      </c>
      <c r="O370" s="2375">
        <v>0</v>
      </c>
      <c r="P370" s="2398" t="s">
        <v>100</v>
      </c>
      <c r="Q370" s="2375">
        <f t="shared" si="109"/>
        <v>0</v>
      </c>
      <c r="R370" s="2375">
        <f t="shared" si="110"/>
        <v>0</v>
      </c>
      <c r="S370" s="2386">
        <v>0</v>
      </c>
      <c r="T370" s="2398"/>
      <c r="U370" s="2375">
        <f t="shared" si="105"/>
        <v>0</v>
      </c>
      <c r="V370" s="2375"/>
      <c r="W370" s="2382">
        <f t="shared" si="106"/>
        <v>6.04</v>
      </c>
      <c r="X370" s="2398" t="s">
        <v>100</v>
      </c>
      <c r="Y370" s="2375">
        <f t="shared" si="107"/>
        <v>18790.969999999998</v>
      </c>
      <c r="Z370" s="2375"/>
      <c r="AA370" s="2377" t="s">
        <v>3355</v>
      </c>
    </row>
    <row r="371" spans="1:27" s="331" customFormat="1" ht="25" hidden="1" customHeight="1">
      <c r="A371" s="2555" t="s">
        <v>121</v>
      </c>
      <c r="B371" s="2549" t="s">
        <v>169</v>
      </c>
      <c r="C371" s="2550"/>
      <c r="D371" s="2551"/>
      <c r="E371" s="2541">
        <f>'9. Vol Cool Box G'!N117</f>
        <v>0.22499999999999998</v>
      </c>
      <c r="F371" s="2398" t="s">
        <v>103</v>
      </c>
      <c r="G371" s="2389">
        <v>1584129.98</v>
      </c>
      <c r="H371" s="2389">
        <f>E371*G371</f>
        <v>356429.24549999996</v>
      </c>
      <c r="I371" s="2465">
        <f>'Resume Analisa'!$D$55</f>
        <v>1535009.1300000001</v>
      </c>
      <c r="J371" s="2552">
        <f>E371*I371</f>
        <v>345377.05424999999</v>
      </c>
      <c r="K371" s="2378" t="e">
        <f>IF(H371=0,"",IF(J371&lt;#REF!*H371,"Timpang &lt;"&amp;TEXT(#REF!,"0%"),IF(J371&gt;#REF!*H371,"Timpang &gt;"&amp;TEXT(#REF!,"0%"),"Wajar")))</f>
        <v>#REF!</v>
      </c>
      <c r="L371" s="2391">
        <v>1535009.1300000001</v>
      </c>
      <c r="M371" s="2391">
        <f>E371*L371</f>
        <v>345377.05424999999</v>
      </c>
      <c r="N371" s="2375">
        <f t="shared" si="108"/>
        <v>1.5086806801179608E-4</v>
      </c>
      <c r="O371" s="2375">
        <v>0</v>
      </c>
      <c r="P371" s="2398" t="s">
        <v>103</v>
      </c>
      <c r="Q371" s="2375">
        <f t="shared" si="109"/>
        <v>0</v>
      </c>
      <c r="R371" s="2375">
        <f t="shared" si="110"/>
        <v>0</v>
      </c>
      <c r="S371" s="2386">
        <v>0</v>
      </c>
      <c r="T371" s="2398"/>
      <c r="U371" s="2375">
        <f t="shared" si="105"/>
        <v>0</v>
      </c>
      <c r="V371" s="2375"/>
      <c r="W371" s="2382">
        <f t="shared" si="106"/>
        <v>0.22499999999999998</v>
      </c>
      <c r="X371" s="2398" t="s">
        <v>103</v>
      </c>
      <c r="Y371" s="2375">
        <f t="shared" si="107"/>
        <v>1535009.1300000001</v>
      </c>
      <c r="Z371" s="2375"/>
      <c r="AA371" s="2377" t="s">
        <v>3355</v>
      </c>
    </row>
    <row r="372" spans="1:27" s="331" customFormat="1" ht="25" hidden="1" customHeight="1">
      <c r="A372" s="2398">
        <f>A367+1</f>
        <v>11</v>
      </c>
      <c r="B372" s="2549" t="s">
        <v>534</v>
      </c>
      <c r="C372" s="2550"/>
      <c r="D372" s="2551"/>
      <c r="E372" s="2541"/>
      <c r="F372" s="2398"/>
      <c r="G372" s="2701"/>
      <c r="H372" s="2473"/>
      <c r="I372" s="2702"/>
      <c r="J372" s="2562"/>
      <c r="K372" s="2473"/>
      <c r="L372" s="2703"/>
      <c r="M372" s="2475"/>
      <c r="N372" s="2375">
        <f t="shared" si="108"/>
        <v>0</v>
      </c>
      <c r="O372" s="2375">
        <v>0</v>
      </c>
      <c r="P372" s="2398"/>
      <c r="Q372" s="2375">
        <f t="shared" si="109"/>
        <v>0</v>
      </c>
      <c r="R372" s="2375">
        <f t="shared" si="110"/>
        <v>0</v>
      </c>
      <c r="S372" s="2375">
        <v>0</v>
      </c>
      <c r="T372" s="2398"/>
      <c r="U372" s="2375">
        <f t="shared" si="105"/>
        <v>0</v>
      </c>
      <c r="V372" s="2375"/>
      <c r="W372" s="2382">
        <f t="shared" si="106"/>
        <v>0</v>
      </c>
      <c r="X372" s="2398"/>
      <c r="Y372" s="2375">
        <f t="shared" si="107"/>
        <v>0</v>
      </c>
      <c r="Z372" s="2375"/>
      <c r="AA372" s="2377" t="s">
        <v>3355</v>
      </c>
    </row>
    <row r="373" spans="1:27" s="331" customFormat="1" ht="25" hidden="1" customHeight="1">
      <c r="A373" s="2555" t="s">
        <v>95</v>
      </c>
      <c r="B373" s="2549" t="s">
        <v>423</v>
      </c>
      <c r="C373" s="2550"/>
      <c r="D373" s="2551"/>
      <c r="E373" s="2541">
        <f>'9. Vol Cool Box G'!$P$153</f>
        <v>2.25</v>
      </c>
      <c r="F373" s="2398" t="s">
        <v>89</v>
      </c>
      <c r="G373" s="2389">
        <v>249883.29</v>
      </c>
      <c r="H373" s="2389">
        <f>E373*G373</f>
        <v>562237.40249999997</v>
      </c>
      <c r="I373" s="2699">
        <f>'Resume Analisa'!$D$40</f>
        <v>245946.97</v>
      </c>
      <c r="J373" s="2552">
        <f>E373*I373</f>
        <v>553380.6825</v>
      </c>
      <c r="K373" s="2378" t="e">
        <f>IF(H373=0,"",IF(J373&lt;#REF!*H373,"Timpang &lt;"&amp;TEXT(#REF!,"0%"),IF(J373&gt;#REF!*H373,"Timpang &gt;"&amp;TEXT(#REF!,"0%"),"Wajar")))</f>
        <v>#REF!</v>
      </c>
      <c r="L373" s="2391">
        <v>245946.97</v>
      </c>
      <c r="M373" s="2391">
        <f>E373*L373</f>
        <v>553380.6825</v>
      </c>
      <c r="N373" s="2375">
        <f t="shared" si="108"/>
        <v>2.4172849185108869E-4</v>
      </c>
      <c r="O373" s="2375">
        <v>0</v>
      </c>
      <c r="P373" s="2398" t="s">
        <v>89</v>
      </c>
      <c r="Q373" s="2375">
        <f t="shared" si="109"/>
        <v>0</v>
      </c>
      <c r="R373" s="2375">
        <f t="shared" si="110"/>
        <v>0</v>
      </c>
      <c r="S373" s="2375">
        <v>0</v>
      </c>
      <c r="T373" s="2398"/>
      <c r="U373" s="2375">
        <f t="shared" si="105"/>
        <v>0</v>
      </c>
      <c r="V373" s="2375"/>
      <c r="W373" s="2382">
        <f t="shared" si="106"/>
        <v>2.25</v>
      </c>
      <c r="X373" s="2398" t="s">
        <v>89</v>
      </c>
      <c r="Y373" s="2375">
        <f t="shared" si="107"/>
        <v>245946.97</v>
      </c>
      <c r="Z373" s="2375"/>
      <c r="AA373" s="2377" t="s">
        <v>3355</v>
      </c>
    </row>
    <row r="374" spans="1:27" s="331" customFormat="1" ht="25" hidden="1" customHeight="1">
      <c r="A374" s="2555" t="s">
        <v>98</v>
      </c>
      <c r="B374" s="2549" t="s">
        <v>432</v>
      </c>
      <c r="C374" s="2550"/>
      <c r="D374" s="2551"/>
      <c r="E374" s="2541">
        <f>'9. Vol Cool Box G'!$P$154</f>
        <v>12.33</v>
      </c>
      <c r="F374" s="2398" t="s">
        <v>100</v>
      </c>
      <c r="G374" s="2389">
        <v>19151.18</v>
      </c>
      <c r="H374" s="2473">
        <f>E374*G374</f>
        <v>236134.04940000002</v>
      </c>
      <c r="I374" s="2699">
        <f>'Resume Analisa'!$D$48</f>
        <v>18790.969999999998</v>
      </c>
      <c r="J374" s="2562">
        <f>+I374*E374</f>
        <v>231692.66009999998</v>
      </c>
      <c r="K374" s="2378" t="e">
        <f>IF(H374=0,"",IF(J374&lt;#REF!*H374,"Timpang &lt;"&amp;TEXT(#REF!,"0%"),IF(J374&gt;#REF!*H374,"Timpang &gt;"&amp;TEXT(#REF!,"0%"),"Wajar")))</f>
        <v>#REF!</v>
      </c>
      <c r="L374" s="2391">
        <v>18790.969999999998</v>
      </c>
      <c r="M374" s="2475">
        <f>E374*L374</f>
        <v>231692.66009999998</v>
      </c>
      <c r="N374" s="2375">
        <f t="shared" ref="N374:N405" si="111">M374/$M$8</f>
        <v>1.0120829850062557E-4</v>
      </c>
      <c r="O374" s="2375">
        <v>0</v>
      </c>
      <c r="P374" s="2398" t="s">
        <v>100</v>
      </c>
      <c r="Q374" s="2375">
        <f t="shared" si="109"/>
        <v>0</v>
      </c>
      <c r="R374" s="2375">
        <f t="shared" si="110"/>
        <v>0</v>
      </c>
      <c r="S374" s="2375">
        <v>0</v>
      </c>
      <c r="T374" s="2398"/>
      <c r="U374" s="2375">
        <f t="shared" si="105"/>
        <v>0</v>
      </c>
      <c r="V374" s="2375"/>
      <c r="W374" s="2382">
        <f t="shared" si="106"/>
        <v>12.33</v>
      </c>
      <c r="X374" s="2398" t="s">
        <v>100</v>
      </c>
      <c r="Y374" s="2375">
        <f t="shared" si="107"/>
        <v>18790.969999999998</v>
      </c>
      <c r="Z374" s="2375"/>
      <c r="AA374" s="2377" t="s">
        <v>3355</v>
      </c>
    </row>
    <row r="375" spans="1:27" s="331" customFormat="1" ht="25" hidden="1" customHeight="1">
      <c r="A375" s="2555" t="s">
        <v>101</v>
      </c>
      <c r="B375" s="2549" t="s">
        <v>498</v>
      </c>
      <c r="C375" s="2550"/>
      <c r="D375" s="2551"/>
      <c r="E375" s="2541">
        <f>'9. Vol Cool Box G'!$P$155</f>
        <v>2.78</v>
      </c>
      <c r="F375" s="2398" t="s">
        <v>100</v>
      </c>
      <c r="G375" s="2389">
        <v>19151.18</v>
      </c>
      <c r="H375" s="2473">
        <f>E375*G375</f>
        <v>53240.280399999996</v>
      </c>
      <c r="I375" s="2699">
        <f>'Resume Analisa'!$D$48</f>
        <v>18790.969999999998</v>
      </c>
      <c r="J375" s="2562">
        <f>+I375*E375</f>
        <v>52238.896599999993</v>
      </c>
      <c r="K375" s="2378" t="e">
        <f>IF(H375=0,"",IF(J375&lt;#REF!*H375,"Timpang &lt;"&amp;TEXT(#REF!,"0%"),IF(J375&gt;#REF!*H375,"Timpang &gt;"&amp;TEXT(#REF!,"0%"),"Wajar")))</f>
        <v>#REF!</v>
      </c>
      <c r="L375" s="2391">
        <v>18790.969999999998</v>
      </c>
      <c r="M375" s="2475">
        <f>E375*L375</f>
        <v>52238.896599999993</v>
      </c>
      <c r="N375" s="2375">
        <f t="shared" si="111"/>
        <v>2.2819064868754184E-5</v>
      </c>
      <c r="O375" s="2375">
        <v>0</v>
      </c>
      <c r="P375" s="2398" t="s">
        <v>100</v>
      </c>
      <c r="Q375" s="2375">
        <f t="shared" si="109"/>
        <v>0</v>
      </c>
      <c r="R375" s="2375">
        <f t="shared" si="110"/>
        <v>0</v>
      </c>
      <c r="S375" s="2375">
        <v>0</v>
      </c>
      <c r="T375" s="2560"/>
      <c r="U375" s="2375">
        <f t="shared" si="105"/>
        <v>0</v>
      </c>
      <c r="V375" s="2375"/>
      <c r="W375" s="2382">
        <f t="shared" si="106"/>
        <v>2.78</v>
      </c>
      <c r="X375" s="2398" t="s">
        <v>100</v>
      </c>
      <c r="Y375" s="2375">
        <f t="shared" si="107"/>
        <v>18790.969999999998</v>
      </c>
      <c r="Z375" s="2375"/>
      <c r="AA375" s="2377" t="s">
        <v>3355</v>
      </c>
    </row>
    <row r="376" spans="1:27" s="331" customFormat="1" ht="25" hidden="1" customHeight="1">
      <c r="A376" s="2555" t="s">
        <v>121</v>
      </c>
      <c r="B376" s="2549" t="s">
        <v>169</v>
      </c>
      <c r="C376" s="2550"/>
      <c r="D376" s="2551"/>
      <c r="E376" s="2541">
        <f>'9. Vol Cool Box G'!$P$156</f>
        <v>0.11</v>
      </c>
      <c r="F376" s="2398" t="s">
        <v>103</v>
      </c>
      <c r="G376" s="2389">
        <v>1584129.98</v>
      </c>
      <c r="H376" s="2389">
        <f>E376*G376</f>
        <v>174254.2978</v>
      </c>
      <c r="I376" s="2465">
        <f>'Resume Analisa'!$D$55</f>
        <v>1535009.1300000001</v>
      </c>
      <c r="J376" s="2552">
        <f>E376*I376</f>
        <v>168851.0043</v>
      </c>
      <c r="K376" s="2378" t="e">
        <f>IF(H376=0,"",IF(J376&lt;#REF!*H376,"Timpang &lt;"&amp;TEXT(#REF!,"0%"),IF(J376&gt;#REF!*H376,"Timpang &gt;"&amp;TEXT(#REF!,"0%"),"Wajar")))</f>
        <v>#REF!</v>
      </c>
      <c r="L376" s="2391">
        <v>1535009.1300000001</v>
      </c>
      <c r="M376" s="2391">
        <f>E376*L376</f>
        <v>168851.0043</v>
      </c>
      <c r="N376" s="2375">
        <f t="shared" si="111"/>
        <v>7.3757722139100313E-5</v>
      </c>
      <c r="O376" s="2375">
        <v>0</v>
      </c>
      <c r="P376" s="2398" t="s">
        <v>103</v>
      </c>
      <c r="Q376" s="2375">
        <f t="shared" si="109"/>
        <v>0</v>
      </c>
      <c r="R376" s="2375">
        <f t="shared" si="110"/>
        <v>0</v>
      </c>
      <c r="S376" s="2375">
        <v>0</v>
      </c>
      <c r="T376" s="2398"/>
      <c r="U376" s="2375">
        <f t="shared" si="105"/>
        <v>0</v>
      </c>
      <c r="V376" s="2375"/>
      <c r="W376" s="2382">
        <f t="shared" si="106"/>
        <v>0.11</v>
      </c>
      <c r="X376" s="2398" t="s">
        <v>103</v>
      </c>
      <c r="Y376" s="2375">
        <f t="shared" si="107"/>
        <v>1535009.1300000001</v>
      </c>
      <c r="Z376" s="2375"/>
      <c r="AA376" s="2377" t="s">
        <v>3355</v>
      </c>
    </row>
    <row r="377" spans="1:27" s="331" customFormat="1" ht="25" hidden="1" customHeight="1">
      <c r="A377" s="2398"/>
      <c r="B377" s="2704"/>
      <c r="C377" s="2705"/>
      <c r="D377" s="2632" t="s">
        <v>376</v>
      </c>
      <c r="E377" s="2706"/>
      <c r="F377" s="2537"/>
      <c r="G377" s="2546"/>
      <c r="H377" s="2546">
        <f>SUM(H321:H376)</f>
        <v>64177466.006763995</v>
      </c>
      <c r="I377" s="2545"/>
      <c r="J377" s="2545">
        <f>SUM(J321:J376)</f>
        <v>63119938.953963995</v>
      </c>
      <c r="K377" s="2546"/>
      <c r="L377" s="2457"/>
      <c r="M377" s="2457">
        <f>SUM(M321:M376)</f>
        <v>63119938.953963995</v>
      </c>
      <c r="N377" s="2375">
        <f t="shared" si="111"/>
        <v>2.7572136382036611E-2</v>
      </c>
      <c r="O377" s="2375">
        <v>0</v>
      </c>
      <c r="P377" s="2537"/>
      <c r="Q377" s="2375">
        <f t="shared" si="109"/>
        <v>0</v>
      </c>
      <c r="R377" s="2375">
        <f t="shared" si="110"/>
        <v>0</v>
      </c>
      <c r="S377" s="2386">
        <v>0</v>
      </c>
      <c r="T377" s="2398"/>
      <c r="U377" s="2375">
        <f t="shared" si="105"/>
        <v>0</v>
      </c>
      <c r="V377" s="2375"/>
      <c r="W377" s="2382">
        <f t="shared" si="106"/>
        <v>0</v>
      </c>
      <c r="X377" s="2537"/>
      <c r="Y377" s="2375">
        <f t="shared" si="107"/>
        <v>0</v>
      </c>
      <c r="Z377" s="2375"/>
      <c r="AA377" s="2377" t="s">
        <v>3355</v>
      </c>
    </row>
    <row r="378" spans="1:27" s="331" customFormat="1" ht="25" hidden="1" customHeight="1">
      <c r="A378" s="3115" t="s">
        <v>535</v>
      </c>
      <c r="B378" s="3116" t="s">
        <v>434</v>
      </c>
      <c r="C378" s="3113"/>
      <c r="D378" s="3114"/>
      <c r="E378" s="2541"/>
      <c r="F378" s="2398"/>
      <c r="G378" s="2389"/>
      <c r="H378" s="2389"/>
      <c r="I378" s="2544"/>
      <c r="J378" s="2544"/>
      <c r="K378" s="2389"/>
      <c r="L378" s="2391"/>
      <c r="M378" s="2391"/>
      <c r="N378" s="2375">
        <f t="shared" si="111"/>
        <v>0</v>
      </c>
      <c r="O378" s="2375">
        <v>0</v>
      </c>
      <c r="P378" s="2398"/>
      <c r="Q378" s="2375">
        <f t="shared" si="109"/>
        <v>0</v>
      </c>
      <c r="R378" s="2375">
        <f t="shared" si="110"/>
        <v>0</v>
      </c>
      <c r="S378" s="2386">
        <v>0</v>
      </c>
      <c r="T378" s="2398"/>
      <c r="U378" s="2375">
        <f t="shared" si="105"/>
        <v>0</v>
      </c>
      <c r="V378" s="2375"/>
      <c r="W378" s="2382">
        <f t="shared" si="106"/>
        <v>0</v>
      </c>
      <c r="X378" s="2398"/>
      <c r="Y378" s="2375">
        <f t="shared" si="107"/>
        <v>0</v>
      </c>
      <c r="Z378" s="2375"/>
      <c r="AA378" s="2377" t="s">
        <v>3355</v>
      </c>
    </row>
    <row r="379" spans="1:27" s="331" customFormat="1" ht="25" hidden="1" customHeight="1">
      <c r="A379" s="2398">
        <v>1</v>
      </c>
      <c r="B379" s="2549" t="s">
        <v>536</v>
      </c>
      <c r="C379" s="2550"/>
      <c r="D379" s="2551"/>
      <c r="E379" s="2541">
        <f>'9. Vol Cool Box G'!$P$182</f>
        <v>7.45</v>
      </c>
      <c r="F379" s="2398" t="s">
        <v>89</v>
      </c>
      <c r="G379" s="2389">
        <v>166165.41</v>
      </c>
      <c r="H379" s="2389">
        <f>E379*G379</f>
        <v>1237932.3045000001</v>
      </c>
      <c r="I379" s="2465">
        <f>'Resume Analisa'!$D$69</f>
        <v>161086.38</v>
      </c>
      <c r="J379" s="2552">
        <f>E379*I379</f>
        <v>1200093.531</v>
      </c>
      <c r="K379" s="2378" t="e">
        <f>IF(H379=0,"",IF(J379&lt;#REF!*H379,"Timpang &lt;"&amp;TEXT(#REF!,"0%"),IF(J379&gt;#REF!*H379,"Timpang &gt;"&amp;TEXT(#REF!,"0%"),"Wajar")))</f>
        <v>#REF!</v>
      </c>
      <c r="L379" s="2391">
        <v>161086.38</v>
      </c>
      <c r="M379" s="2391">
        <f>E379*L379</f>
        <v>1200093.531</v>
      </c>
      <c r="N379" s="2375">
        <f t="shared" si="111"/>
        <v>5.2422646561913139E-4</v>
      </c>
      <c r="O379" s="2375">
        <v>0</v>
      </c>
      <c r="P379" s="2398" t="s">
        <v>89</v>
      </c>
      <c r="Q379" s="2375">
        <f t="shared" si="109"/>
        <v>0</v>
      </c>
      <c r="R379" s="2375">
        <f t="shared" si="110"/>
        <v>0</v>
      </c>
      <c r="S379" s="2375">
        <v>0</v>
      </c>
      <c r="T379" s="2398"/>
      <c r="U379" s="2375">
        <f t="shared" si="105"/>
        <v>0</v>
      </c>
      <c r="V379" s="2375"/>
      <c r="W379" s="2382">
        <f t="shared" si="106"/>
        <v>7.45</v>
      </c>
      <c r="X379" s="2398" t="s">
        <v>89</v>
      </c>
      <c r="Y379" s="2375">
        <f t="shared" si="107"/>
        <v>161086.38</v>
      </c>
      <c r="Z379" s="2375"/>
      <c r="AA379" s="2377" t="s">
        <v>3355</v>
      </c>
    </row>
    <row r="380" spans="1:27" s="331" customFormat="1" ht="25" hidden="1" customHeight="1">
      <c r="A380" s="2398">
        <f>A379+1</f>
        <v>2</v>
      </c>
      <c r="B380" s="2549" t="s">
        <v>193</v>
      </c>
      <c r="C380" s="2550"/>
      <c r="D380" s="2551"/>
      <c r="E380" s="2541">
        <f>'9. Vol Cool Box G'!$P$183</f>
        <v>14.9</v>
      </c>
      <c r="F380" s="2398" t="s">
        <v>89</v>
      </c>
      <c r="G380" s="2389">
        <v>61230.840000000004</v>
      </c>
      <c r="H380" s="2389">
        <f>E380*G380</f>
        <v>912339.51600000006</v>
      </c>
      <c r="I380" s="2465">
        <f>'Resume Analisa'!$D$70</f>
        <v>58648.57</v>
      </c>
      <c r="J380" s="2552">
        <f>E380*I380</f>
        <v>873863.69299999997</v>
      </c>
      <c r="K380" s="2378" t="e">
        <f>IF(H380=0,"",IF(J380&lt;#REF!*H380,"Timpang &lt;"&amp;TEXT(#REF!,"0%"),IF(J380&gt;#REF!*H380,"Timpang &gt;"&amp;TEXT(#REF!,"0%"),"Wajar")))</f>
        <v>#REF!</v>
      </c>
      <c r="L380" s="2391">
        <v>58648.57</v>
      </c>
      <c r="M380" s="2391">
        <f>E380*L380</f>
        <v>873863.69299999997</v>
      </c>
      <c r="N380" s="2375">
        <f t="shared" si="111"/>
        <v>3.8172231028739021E-4</v>
      </c>
      <c r="O380" s="2375">
        <v>0</v>
      </c>
      <c r="P380" s="2398" t="s">
        <v>89</v>
      </c>
      <c r="Q380" s="2375">
        <f t="shared" si="109"/>
        <v>0</v>
      </c>
      <c r="R380" s="2375">
        <f t="shared" si="110"/>
        <v>0</v>
      </c>
      <c r="S380" s="2375">
        <v>0</v>
      </c>
      <c r="T380" s="2398"/>
      <c r="U380" s="2375">
        <f t="shared" si="105"/>
        <v>0</v>
      </c>
      <c r="V380" s="2375"/>
      <c r="W380" s="2382">
        <f t="shared" si="106"/>
        <v>14.9</v>
      </c>
      <c r="X380" s="2398" t="s">
        <v>89</v>
      </c>
      <c r="Y380" s="2375">
        <f t="shared" si="107"/>
        <v>58648.57</v>
      </c>
      <c r="Z380" s="2375"/>
      <c r="AA380" s="2377" t="s">
        <v>3355</v>
      </c>
    </row>
    <row r="381" spans="1:27" s="331" customFormat="1" ht="25" hidden="1" customHeight="1">
      <c r="A381" s="2398">
        <f>A380+1</f>
        <v>3</v>
      </c>
      <c r="B381" s="2549" t="s">
        <v>194</v>
      </c>
      <c r="C381" s="2550"/>
      <c r="D381" s="2551"/>
      <c r="E381" s="2541">
        <f>'9. Vol Cool Box G'!$P$184</f>
        <v>14.9</v>
      </c>
      <c r="F381" s="2398" t="s">
        <v>89</v>
      </c>
      <c r="G381" s="2389">
        <v>45612.170000000006</v>
      </c>
      <c r="H381" s="2389">
        <f>E381*G381</f>
        <v>679621.3330000001</v>
      </c>
      <c r="I381" s="2465">
        <f>'Resume Analisa'!$D$72</f>
        <v>43813.91</v>
      </c>
      <c r="J381" s="2552">
        <f>E381*I381</f>
        <v>652827.25900000008</v>
      </c>
      <c r="K381" s="2378" t="e">
        <f>IF(H381=0,"",IF(J381&lt;#REF!*H381,"Timpang &lt;"&amp;TEXT(#REF!,"0%"),IF(J381&gt;#REF!*H381,"Timpang &gt;"&amp;TEXT(#REF!,"0%"),"Wajar")))</f>
        <v>#REF!</v>
      </c>
      <c r="L381" s="2391">
        <v>43813.91</v>
      </c>
      <c r="M381" s="2391">
        <f>E381*L381</f>
        <v>652827.25900000008</v>
      </c>
      <c r="N381" s="2375">
        <f t="shared" si="111"/>
        <v>2.851688787624965E-4</v>
      </c>
      <c r="O381" s="2375">
        <v>0</v>
      </c>
      <c r="P381" s="2398" t="s">
        <v>89</v>
      </c>
      <c r="Q381" s="2375">
        <f t="shared" si="109"/>
        <v>0</v>
      </c>
      <c r="R381" s="2375">
        <f t="shared" si="110"/>
        <v>0</v>
      </c>
      <c r="S381" s="2375">
        <v>0</v>
      </c>
      <c r="T381" s="2398"/>
      <c r="U381" s="2375">
        <f t="shared" si="105"/>
        <v>0</v>
      </c>
      <c r="V381" s="2375"/>
      <c r="W381" s="2382">
        <f t="shared" si="106"/>
        <v>14.9</v>
      </c>
      <c r="X381" s="2398" t="s">
        <v>89</v>
      </c>
      <c r="Y381" s="2375">
        <f t="shared" si="107"/>
        <v>43813.91</v>
      </c>
      <c r="Z381" s="2375"/>
      <c r="AA381" s="2377" t="s">
        <v>3355</v>
      </c>
    </row>
    <row r="382" spans="1:27" s="331" customFormat="1" ht="25" hidden="1" customHeight="1">
      <c r="A382" s="2398">
        <f>A381+1</f>
        <v>4</v>
      </c>
      <c r="B382" s="2549" t="s">
        <v>435</v>
      </c>
      <c r="C382" s="2550"/>
      <c r="D382" s="2551"/>
      <c r="E382" s="2541">
        <f>'9. Vol Cool Box G'!$P$195</f>
        <v>30.86</v>
      </c>
      <c r="F382" s="2398" t="s">
        <v>89</v>
      </c>
      <c r="G382" s="2389">
        <v>45612.170000000006</v>
      </c>
      <c r="H382" s="2389">
        <f>E382*G382</f>
        <v>1407591.5662000002</v>
      </c>
      <c r="I382" s="2465">
        <f>'Resume Analisa'!$D$72</f>
        <v>43813.91</v>
      </c>
      <c r="J382" s="2552">
        <f>E382*I382</f>
        <v>1352097.2626</v>
      </c>
      <c r="K382" s="2378" t="e">
        <f>IF(H382=0,"",IF(J382&lt;#REF!*H382,"Timpang &lt;"&amp;TEXT(#REF!,"0%"),IF(J382&gt;#REF!*H382,"Timpang &gt;"&amp;TEXT(#REF!,"0%"),"Wajar")))</f>
        <v>#REF!</v>
      </c>
      <c r="L382" s="2391">
        <v>43813.91</v>
      </c>
      <c r="M382" s="2391">
        <f>E382*L382</f>
        <v>1352097.2626</v>
      </c>
      <c r="N382" s="2375">
        <f t="shared" si="111"/>
        <v>5.9062493950406991E-4</v>
      </c>
      <c r="O382" s="2375">
        <v>0</v>
      </c>
      <c r="P382" s="2398" t="s">
        <v>89</v>
      </c>
      <c r="Q382" s="2375">
        <f t="shared" si="109"/>
        <v>0</v>
      </c>
      <c r="R382" s="2375">
        <f t="shared" si="110"/>
        <v>0</v>
      </c>
      <c r="S382" s="2375">
        <v>0</v>
      </c>
      <c r="T382" s="2398"/>
      <c r="U382" s="2375">
        <f t="shared" si="105"/>
        <v>0</v>
      </c>
      <c r="V382" s="2375"/>
      <c r="W382" s="2382">
        <f t="shared" si="106"/>
        <v>30.86</v>
      </c>
      <c r="X382" s="2398" t="s">
        <v>89</v>
      </c>
      <c r="Y382" s="2375">
        <f t="shared" si="107"/>
        <v>43813.91</v>
      </c>
      <c r="Z382" s="2375"/>
      <c r="AA382" s="2377" t="s">
        <v>3355</v>
      </c>
    </row>
    <row r="383" spans="1:27" s="331" customFormat="1" ht="25" hidden="1" customHeight="1">
      <c r="A383" s="2398">
        <f>A382+1</f>
        <v>5</v>
      </c>
      <c r="B383" s="2549" t="s">
        <v>436</v>
      </c>
      <c r="C383" s="2550"/>
      <c r="D383" s="2551"/>
      <c r="E383" s="2541">
        <f>'9. Vol Cool Box G'!P200</f>
        <v>13.11</v>
      </c>
      <c r="F383" s="2398" t="s">
        <v>89</v>
      </c>
      <c r="G383" s="2389">
        <v>39943.170000000006</v>
      </c>
      <c r="H383" s="2389">
        <f>E383*G383</f>
        <v>523654.95870000008</v>
      </c>
      <c r="I383" s="2465">
        <f>'Resume Analisa'!$D$229</f>
        <v>38799.550000000003</v>
      </c>
      <c r="J383" s="2552">
        <f>E383*I383</f>
        <v>508662.1005</v>
      </c>
      <c r="K383" s="2378" t="e">
        <f>IF(H383=0,"",IF(J383&lt;#REF!*H383,"Timpang &lt;"&amp;TEXT(#REF!,"0%"),IF(J383&gt;#REF!*H383,"Timpang &gt;"&amp;TEXT(#REF!,"0%"),"Wajar")))</f>
        <v>#REF!</v>
      </c>
      <c r="L383" s="2391">
        <v>38799.550000000003</v>
      </c>
      <c r="M383" s="2391">
        <f>E383*L383</f>
        <v>508662.1005</v>
      </c>
      <c r="N383" s="2375">
        <f t="shared" si="111"/>
        <v>2.2219446089116401E-4</v>
      </c>
      <c r="O383" s="2375">
        <v>0</v>
      </c>
      <c r="P383" s="2398" t="s">
        <v>89</v>
      </c>
      <c r="Q383" s="2375">
        <f t="shared" si="109"/>
        <v>0</v>
      </c>
      <c r="R383" s="2375">
        <f t="shared" si="110"/>
        <v>0</v>
      </c>
      <c r="S383" s="2375">
        <v>0</v>
      </c>
      <c r="T383" s="2398"/>
      <c r="U383" s="2375">
        <f t="shared" si="105"/>
        <v>0</v>
      </c>
      <c r="V383" s="2375"/>
      <c r="W383" s="2382">
        <f t="shared" si="106"/>
        <v>13.11</v>
      </c>
      <c r="X383" s="2398" t="s">
        <v>89</v>
      </c>
      <c r="Y383" s="2375">
        <f t="shared" si="107"/>
        <v>38799.550000000003</v>
      </c>
      <c r="Z383" s="2375"/>
      <c r="AA383" s="2377" t="s">
        <v>3355</v>
      </c>
    </row>
    <row r="384" spans="1:27" s="331" customFormat="1" ht="25" hidden="1" customHeight="1">
      <c r="A384" s="2398">
        <f>A383+1</f>
        <v>6</v>
      </c>
      <c r="B384" s="2549" t="s">
        <v>437</v>
      </c>
      <c r="C384" s="2550"/>
      <c r="D384" s="2551"/>
      <c r="E384" s="2541"/>
      <c r="F384" s="2398"/>
      <c r="G384" s="2389"/>
      <c r="H384" s="2389"/>
      <c r="I384" s="2588"/>
      <c r="J384" s="2544"/>
      <c r="K384" s="2389"/>
      <c r="L384" s="2391"/>
      <c r="M384" s="2391"/>
      <c r="N384" s="2375">
        <f t="shared" si="111"/>
        <v>0</v>
      </c>
      <c r="O384" s="2375">
        <v>0</v>
      </c>
      <c r="P384" s="2398"/>
      <c r="Q384" s="2375">
        <f t="shared" si="109"/>
        <v>0</v>
      </c>
      <c r="R384" s="2375">
        <f t="shared" si="110"/>
        <v>0</v>
      </c>
      <c r="S384" s="2386">
        <v>0</v>
      </c>
      <c r="T384" s="2398"/>
      <c r="U384" s="2375">
        <f t="shared" si="105"/>
        <v>0</v>
      </c>
      <c r="V384" s="2375"/>
      <c r="W384" s="2382">
        <f t="shared" si="106"/>
        <v>0</v>
      </c>
      <c r="X384" s="2398"/>
      <c r="Y384" s="2375">
        <f t="shared" si="107"/>
        <v>0</v>
      </c>
      <c r="Z384" s="2375"/>
      <c r="AA384" s="2377" t="s">
        <v>3355</v>
      </c>
    </row>
    <row r="385" spans="1:27" s="331" customFormat="1" ht="25" hidden="1" customHeight="1">
      <c r="A385" s="2555" t="s">
        <v>95</v>
      </c>
      <c r="B385" s="2549" t="s">
        <v>438</v>
      </c>
      <c r="C385" s="2550"/>
      <c r="D385" s="2551"/>
      <c r="E385" s="2541">
        <f>'9. Vol Cool Box G'!$P$205</f>
        <v>0.24</v>
      </c>
      <c r="F385" s="2398" t="s">
        <v>103</v>
      </c>
      <c r="G385" s="2389">
        <v>50600</v>
      </c>
      <c r="H385" s="2389">
        <f t="shared" ref="H385:H391" si="112">E385*G385</f>
        <v>12144</v>
      </c>
      <c r="I385" s="2465">
        <f>'Resume Analisa'!$D$18</f>
        <v>49036.76</v>
      </c>
      <c r="J385" s="2544">
        <f>I385*E385</f>
        <v>11768.822400000001</v>
      </c>
      <c r="K385" s="2378" t="e">
        <f>IF(H385=0,"",IF(J385&lt;#REF!*H385,"Timpang &lt;"&amp;TEXT(#REF!,"0%"),IF(J385&gt;#REF!*H385,"Timpang &gt;"&amp;TEXT(#REF!,"0%"),"Wajar")))</f>
        <v>#REF!</v>
      </c>
      <c r="L385" s="2391">
        <v>49036.76</v>
      </c>
      <c r="M385" s="2391">
        <f t="shared" ref="M385:M391" si="113">E385*L385</f>
        <v>11768.822400000001</v>
      </c>
      <c r="N385" s="2375">
        <f t="shared" si="111"/>
        <v>5.1408727835657878E-6</v>
      </c>
      <c r="O385" s="2375">
        <v>0</v>
      </c>
      <c r="P385" s="2398" t="s">
        <v>103</v>
      </c>
      <c r="Q385" s="2375">
        <f t="shared" si="109"/>
        <v>0</v>
      </c>
      <c r="R385" s="2375">
        <f t="shared" si="110"/>
        <v>0</v>
      </c>
      <c r="S385" s="2386">
        <v>0</v>
      </c>
      <c r="T385" s="2398"/>
      <c r="U385" s="2375">
        <f t="shared" si="105"/>
        <v>0</v>
      </c>
      <c r="V385" s="2375"/>
      <c r="W385" s="2382">
        <f t="shared" si="106"/>
        <v>0.24</v>
      </c>
      <c r="X385" s="2398" t="s">
        <v>103</v>
      </c>
      <c r="Y385" s="2375">
        <f t="shared" si="107"/>
        <v>49036.76</v>
      </c>
      <c r="Z385" s="2375"/>
      <c r="AA385" s="2377" t="s">
        <v>3355</v>
      </c>
    </row>
    <row r="386" spans="1:27" s="331" customFormat="1" ht="25" hidden="1" customHeight="1">
      <c r="A386" s="2555" t="s">
        <v>98</v>
      </c>
      <c r="B386" s="2549" t="s">
        <v>439</v>
      </c>
      <c r="C386" s="2550"/>
      <c r="D386" s="2551"/>
      <c r="E386" s="2541">
        <f>'9. Vol Cool Box G'!$P$209</f>
        <v>3.5</v>
      </c>
      <c r="F386" s="2398" t="s">
        <v>89</v>
      </c>
      <c r="G386" s="2389">
        <v>166165.41</v>
      </c>
      <c r="H386" s="2389">
        <f t="shared" si="112"/>
        <v>581578.93500000006</v>
      </c>
      <c r="I386" s="2465">
        <f>'Resume Analisa'!$D$69</f>
        <v>161086.38</v>
      </c>
      <c r="J386" s="2552">
        <f>E386*I386</f>
        <v>563802.33000000007</v>
      </c>
      <c r="K386" s="2378" t="e">
        <f>IF(H386=0,"",IF(J386&lt;#REF!*H386,"Timpang &lt;"&amp;TEXT(#REF!,"0%"),IF(J386&gt;#REF!*H386,"Timpang &gt;"&amp;TEXT(#REF!,"0%"),"Wajar")))</f>
        <v>#REF!</v>
      </c>
      <c r="L386" s="2391">
        <v>161086.38</v>
      </c>
      <c r="M386" s="2391">
        <f t="shared" si="113"/>
        <v>563802.33000000007</v>
      </c>
      <c r="N386" s="2375">
        <f t="shared" si="111"/>
        <v>2.462808898881826E-4</v>
      </c>
      <c r="O386" s="2375">
        <v>0</v>
      </c>
      <c r="P386" s="2398" t="s">
        <v>89</v>
      </c>
      <c r="Q386" s="2375">
        <f t="shared" si="109"/>
        <v>0</v>
      </c>
      <c r="R386" s="2375">
        <f t="shared" si="110"/>
        <v>0</v>
      </c>
      <c r="S386" s="2375">
        <v>0</v>
      </c>
      <c r="T386" s="2398"/>
      <c r="U386" s="2375">
        <f t="shared" si="105"/>
        <v>0</v>
      </c>
      <c r="V386" s="2375"/>
      <c r="W386" s="2382">
        <f t="shared" si="106"/>
        <v>3.5</v>
      </c>
      <c r="X386" s="2398" t="s">
        <v>89</v>
      </c>
      <c r="Y386" s="2375">
        <f t="shared" si="107"/>
        <v>161086.38</v>
      </c>
      <c r="Z386" s="2375"/>
      <c r="AA386" s="2377" t="s">
        <v>3355</v>
      </c>
    </row>
    <row r="387" spans="1:27" s="331" customFormat="1" ht="25" hidden="1" customHeight="1">
      <c r="A387" s="2555" t="s">
        <v>101</v>
      </c>
      <c r="B387" s="2549" t="s">
        <v>440</v>
      </c>
      <c r="C387" s="2550"/>
      <c r="D387" s="2551"/>
      <c r="E387" s="2541">
        <f>'9. Vol Cool Box G'!$P$213</f>
        <v>0.15</v>
      </c>
      <c r="F387" s="2398" t="s">
        <v>103</v>
      </c>
      <c r="G387" s="2389">
        <v>200606.23</v>
      </c>
      <c r="H387" s="2389">
        <f t="shared" si="112"/>
        <v>30090.934499999999</v>
      </c>
      <c r="I387" s="2480">
        <f>'Resume Analisa'!$D$24</f>
        <v>189662.29</v>
      </c>
      <c r="J387" s="2544">
        <f>I387*E387</f>
        <v>28449.343499999999</v>
      </c>
      <c r="K387" s="2378" t="e">
        <f>IF(H387=0,"",IF(J387&lt;#REF!*H387,"Timpang &lt;"&amp;TEXT(#REF!,"0%"),IF(J387&gt;#REF!*H387,"Timpang &gt;"&amp;TEXT(#REF!,"0%"),"Wajar")))</f>
        <v>#REF!</v>
      </c>
      <c r="L387" s="2391">
        <v>189662.29</v>
      </c>
      <c r="M387" s="2391">
        <f t="shared" si="113"/>
        <v>28449.343499999999</v>
      </c>
      <c r="N387" s="2375">
        <f t="shared" si="111"/>
        <v>1.2427280380190309E-5</v>
      </c>
      <c r="O387" s="2375">
        <v>0</v>
      </c>
      <c r="P387" s="2398" t="s">
        <v>103</v>
      </c>
      <c r="Q387" s="2375">
        <f t="shared" si="109"/>
        <v>0</v>
      </c>
      <c r="R387" s="2375">
        <f t="shared" si="110"/>
        <v>0</v>
      </c>
      <c r="S387" s="2375">
        <v>0</v>
      </c>
      <c r="T387" s="2398"/>
      <c r="U387" s="2375">
        <f t="shared" si="105"/>
        <v>0</v>
      </c>
      <c r="V387" s="2375"/>
      <c r="W387" s="2382">
        <f t="shared" si="106"/>
        <v>0.15</v>
      </c>
      <c r="X387" s="2398" t="s">
        <v>103</v>
      </c>
      <c r="Y387" s="2375">
        <f t="shared" si="107"/>
        <v>189662.29</v>
      </c>
      <c r="Z387" s="2375"/>
      <c r="AA387" s="2377" t="s">
        <v>3355</v>
      </c>
    </row>
    <row r="388" spans="1:27" s="331" customFormat="1" ht="25" hidden="1" customHeight="1">
      <c r="A388" s="2555" t="s">
        <v>121</v>
      </c>
      <c r="B388" s="2549" t="s">
        <v>441</v>
      </c>
      <c r="C388" s="2550"/>
      <c r="D388" s="2551"/>
      <c r="E388" s="2541">
        <f>'9. Vol Cool Box G'!$P$217</f>
        <v>0.09</v>
      </c>
      <c r="F388" s="2398" t="s">
        <v>103</v>
      </c>
      <c r="G388" s="2389">
        <v>507759.96</v>
      </c>
      <c r="H388" s="2389">
        <f t="shared" si="112"/>
        <v>45698.396399999998</v>
      </c>
      <c r="I388" s="2480">
        <f>'Resume Analisa'!$D$26</f>
        <v>475358.64</v>
      </c>
      <c r="J388" s="2544">
        <f>I388*E388</f>
        <v>42782.277600000001</v>
      </c>
      <c r="K388" s="2378" t="e">
        <f>IF(H388=0,"",IF(J388&lt;#REF!*H388,"Timpang &lt;"&amp;TEXT(#REF!,"0%"),IF(J388&gt;#REF!*H388,"Timpang &gt;"&amp;TEXT(#REF!,"0%"),"Wajar")))</f>
        <v>#REF!</v>
      </c>
      <c r="L388" s="2391">
        <v>475358.64</v>
      </c>
      <c r="M388" s="2391">
        <f t="shared" si="113"/>
        <v>42782.277600000001</v>
      </c>
      <c r="N388" s="2375">
        <f t="shared" si="111"/>
        <v>1.8688211875199698E-5</v>
      </c>
      <c r="O388" s="2375">
        <v>0</v>
      </c>
      <c r="P388" s="2398" t="s">
        <v>103</v>
      </c>
      <c r="Q388" s="2375">
        <f t="shared" si="109"/>
        <v>0</v>
      </c>
      <c r="R388" s="2375">
        <f t="shared" si="110"/>
        <v>0</v>
      </c>
      <c r="S388" s="2375">
        <v>0</v>
      </c>
      <c r="T388" s="2398"/>
      <c r="U388" s="2375">
        <f t="shared" si="105"/>
        <v>0</v>
      </c>
      <c r="V388" s="2375"/>
      <c r="W388" s="2382">
        <f t="shared" si="106"/>
        <v>0.09</v>
      </c>
      <c r="X388" s="2398" t="s">
        <v>103</v>
      </c>
      <c r="Y388" s="2375">
        <f t="shared" si="107"/>
        <v>475358.64</v>
      </c>
      <c r="Z388" s="2375"/>
      <c r="AA388" s="2377" t="s">
        <v>3355</v>
      </c>
    </row>
    <row r="389" spans="1:27" s="331" customFormat="1" ht="25" hidden="1" customHeight="1">
      <c r="A389" s="2555" t="s">
        <v>142</v>
      </c>
      <c r="B389" s="2549" t="s">
        <v>192</v>
      </c>
      <c r="C389" s="2550"/>
      <c r="D389" s="2551"/>
      <c r="E389" s="2541">
        <f>'9. Vol Cool Box G'!$P$221</f>
        <v>0.21</v>
      </c>
      <c r="F389" s="2398" t="s">
        <v>103</v>
      </c>
      <c r="G389" s="2389">
        <v>1422226.08</v>
      </c>
      <c r="H389" s="2389">
        <f t="shared" si="112"/>
        <v>298667.4768</v>
      </c>
      <c r="I389" s="2465">
        <f>'Resume Analisa'!$D$54</f>
        <v>1384580.76</v>
      </c>
      <c r="J389" s="2544">
        <f>I389*E389</f>
        <v>290761.9596</v>
      </c>
      <c r="K389" s="2378" t="e">
        <f>IF(H389=0,"",IF(J389&lt;#REF!*H389,"Timpang &lt;"&amp;TEXT(#REF!,"0%"),IF(J389&gt;#REF!*H389,"Timpang &gt;"&amp;TEXT(#REF!,"0%"),"Wajar")))</f>
        <v>#REF!</v>
      </c>
      <c r="L389" s="2391">
        <v>1384580.76</v>
      </c>
      <c r="M389" s="2391">
        <f t="shared" si="113"/>
        <v>290761.9596</v>
      </c>
      <c r="N389" s="2375">
        <f t="shared" si="111"/>
        <v>1.2701102912419639E-4</v>
      </c>
      <c r="O389" s="2375">
        <v>0</v>
      </c>
      <c r="P389" s="2398" t="s">
        <v>103</v>
      </c>
      <c r="Q389" s="2375">
        <f t="shared" si="109"/>
        <v>0</v>
      </c>
      <c r="R389" s="2375">
        <f t="shared" si="110"/>
        <v>0</v>
      </c>
      <c r="S389" s="2375">
        <v>0</v>
      </c>
      <c r="T389" s="2398"/>
      <c r="U389" s="2375">
        <f t="shared" si="105"/>
        <v>0</v>
      </c>
      <c r="V389" s="2375"/>
      <c r="W389" s="2382">
        <f t="shared" si="106"/>
        <v>0.21</v>
      </c>
      <c r="X389" s="2398" t="s">
        <v>103</v>
      </c>
      <c r="Y389" s="2375">
        <f t="shared" si="107"/>
        <v>1384580.76</v>
      </c>
      <c r="Z389" s="2375"/>
      <c r="AA389" s="2377" t="s">
        <v>3355</v>
      </c>
    </row>
    <row r="390" spans="1:27" s="331" customFormat="1" ht="25" hidden="1" customHeight="1">
      <c r="A390" s="2555" t="s">
        <v>217</v>
      </c>
      <c r="B390" s="2549" t="s">
        <v>442</v>
      </c>
      <c r="C390" s="2550"/>
      <c r="D390" s="2551"/>
      <c r="E390" s="2541">
        <f>'9. Vol Cool Box G'!P225</f>
        <v>1</v>
      </c>
      <c r="F390" s="2398" t="s">
        <v>89</v>
      </c>
      <c r="G390" s="2389">
        <v>61230.840000000004</v>
      </c>
      <c r="H390" s="2389">
        <f t="shared" si="112"/>
        <v>61230.840000000004</v>
      </c>
      <c r="I390" s="2465">
        <f>'Resume Analisa'!$D$70</f>
        <v>58648.57</v>
      </c>
      <c r="J390" s="2552">
        <f>E390*I390</f>
        <v>58648.57</v>
      </c>
      <c r="K390" s="2378" t="e">
        <f>IF(H390=0,"",IF(J390&lt;#REF!*H390,"Timpang &lt;"&amp;TEXT(#REF!,"0%"),IF(J390&gt;#REF!*H390,"Timpang &gt;"&amp;TEXT(#REF!,"0%"),"Wajar")))</f>
        <v>#REF!</v>
      </c>
      <c r="L390" s="2391">
        <v>58648.57</v>
      </c>
      <c r="M390" s="2391">
        <f t="shared" si="113"/>
        <v>58648.57</v>
      </c>
      <c r="N390" s="2375">
        <f t="shared" si="111"/>
        <v>2.5618946999153704E-5</v>
      </c>
      <c r="O390" s="2375">
        <v>0</v>
      </c>
      <c r="P390" s="2398" t="s">
        <v>89</v>
      </c>
      <c r="Q390" s="2375">
        <f t="shared" si="109"/>
        <v>0</v>
      </c>
      <c r="R390" s="2375">
        <f t="shared" si="110"/>
        <v>0</v>
      </c>
      <c r="S390" s="2375">
        <v>0</v>
      </c>
      <c r="T390" s="2560"/>
      <c r="U390" s="2375">
        <f t="shared" si="105"/>
        <v>0</v>
      </c>
      <c r="V390" s="2375"/>
      <c r="W390" s="2382">
        <f t="shared" si="106"/>
        <v>1</v>
      </c>
      <c r="X390" s="2398" t="s">
        <v>89</v>
      </c>
      <c r="Y390" s="2375">
        <f t="shared" si="107"/>
        <v>58648.57</v>
      </c>
      <c r="Z390" s="2375"/>
      <c r="AA390" s="2377" t="s">
        <v>3355</v>
      </c>
    </row>
    <row r="391" spans="1:27" s="331" customFormat="1" ht="25" hidden="1" customHeight="1">
      <c r="A391" s="2555" t="s">
        <v>366</v>
      </c>
      <c r="B391" s="2549" t="s">
        <v>194</v>
      </c>
      <c r="C391" s="2550"/>
      <c r="D391" s="2551"/>
      <c r="E391" s="2541">
        <f>'9. Vol Cool Box G'!P230</f>
        <v>4</v>
      </c>
      <c r="F391" s="2398" t="s">
        <v>89</v>
      </c>
      <c r="G391" s="2389">
        <v>45612.170000000006</v>
      </c>
      <c r="H391" s="2389">
        <f t="shared" si="112"/>
        <v>182448.68000000002</v>
      </c>
      <c r="I391" s="2465">
        <f>'Resume Analisa'!$D$72</f>
        <v>43813.91</v>
      </c>
      <c r="J391" s="2552">
        <f>E391*I391</f>
        <v>175255.64</v>
      </c>
      <c r="K391" s="2378" t="e">
        <f>IF(H391=0,"",IF(J391&lt;#REF!*H391,"Timpang &lt;"&amp;TEXT(#REF!,"0%"),IF(J391&gt;#REF!*H391,"Timpang &gt;"&amp;TEXT(#REF!,"0%"),"Wajar")))</f>
        <v>#REF!</v>
      </c>
      <c r="L391" s="2391">
        <v>43813.91</v>
      </c>
      <c r="M391" s="2391">
        <f t="shared" si="113"/>
        <v>175255.64</v>
      </c>
      <c r="N391" s="2375">
        <f t="shared" si="111"/>
        <v>7.6555403694629931E-5</v>
      </c>
      <c r="O391" s="2375">
        <v>0</v>
      </c>
      <c r="P391" s="2398" t="s">
        <v>89</v>
      </c>
      <c r="Q391" s="2375">
        <f t="shared" si="109"/>
        <v>0</v>
      </c>
      <c r="R391" s="2375">
        <f t="shared" si="110"/>
        <v>0</v>
      </c>
      <c r="S391" s="2386">
        <v>0</v>
      </c>
      <c r="T391" s="2398"/>
      <c r="U391" s="2375">
        <f t="shared" si="105"/>
        <v>0</v>
      </c>
      <c r="V391" s="2375"/>
      <c r="W391" s="2382">
        <f t="shared" si="106"/>
        <v>4</v>
      </c>
      <c r="X391" s="2398" t="s">
        <v>89</v>
      </c>
      <c r="Y391" s="2375">
        <f t="shared" si="107"/>
        <v>43813.91</v>
      </c>
      <c r="Z391" s="2375"/>
      <c r="AA391" s="2377" t="s">
        <v>3355</v>
      </c>
    </row>
    <row r="392" spans="1:27" ht="25" hidden="1" customHeight="1">
      <c r="A392" s="2398">
        <f>A384+1</f>
        <v>7</v>
      </c>
      <c r="B392" s="2549" t="s">
        <v>443</v>
      </c>
      <c r="C392" s="2550"/>
      <c r="D392" s="2551"/>
      <c r="E392" s="2541"/>
      <c r="F392" s="2398"/>
      <c r="G392" s="2389"/>
      <c r="H392" s="2389"/>
      <c r="I392" s="2692"/>
      <c r="J392" s="2552"/>
      <c r="K392" s="2389"/>
      <c r="L392" s="2391"/>
      <c r="M392" s="2391"/>
      <c r="N392" s="2375">
        <f t="shared" si="111"/>
        <v>0</v>
      </c>
      <c r="O392" s="2375">
        <v>0</v>
      </c>
      <c r="P392" s="2398"/>
      <c r="Q392" s="2375">
        <f t="shared" si="109"/>
        <v>0</v>
      </c>
      <c r="R392" s="2375">
        <f t="shared" si="110"/>
        <v>0</v>
      </c>
      <c r="S392" s="2386">
        <v>0</v>
      </c>
      <c r="T392" s="2398"/>
      <c r="U392" s="2375">
        <f t="shared" si="105"/>
        <v>0</v>
      </c>
      <c r="V392" s="2375"/>
      <c r="W392" s="2382">
        <f t="shared" si="106"/>
        <v>0</v>
      </c>
      <c r="X392" s="2398"/>
      <c r="Y392" s="2375">
        <f t="shared" si="107"/>
        <v>0</v>
      </c>
      <c r="Z392" s="2375"/>
      <c r="AA392" s="2377" t="s">
        <v>3355</v>
      </c>
    </row>
    <row r="393" spans="1:27" ht="47" hidden="1" customHeight="1">
      <c r="A393" s="2589" t="s">
        <v>95</v>
      </c>
      <c r="B393" s="3193" t="s">
        <v>537</v>
      </c>
      <c r="C393" s="3194"/>
      <c r="D393" s="3195"/>
      <c r="E393" s="2541">
        <f>'9. Vol Cool Box G'!$N$238</f>
        <v>70.11</v>
      </c>
      <c r="F393" s="2590" t="s">
        <v>89</v>
      </c>
      <c r="G393" s="2389">
        <v>300628.27</v>
      </c>
      <c r="H393" s="2389">
        <f t="shared" ref="H393:H405" si="114">E393*G393</f>
        <v>21077048.0097</v>
      </c>
      <c r="I393" s="2588">
        <f>'Resume Analisa'!$D$224</f>
        <v>290179.7</v>
      </c>
      <c r="J393" s="2552">
        <f t="shared" ref="J393:J398" si="115">E393*I393</f>
        <v>20344498.767000001</v>
      </c>
      <c r="K393" s="2378" t="e">
        <f>IF(H393=0,"",IF(J393&lt;#REF!*H393,"Timpang &lt;"&amp;TEXT(#REF!,"0%"),IF(J393&gt;#REF!*H393,"Timpang &gt;"&amp;TEXT(#REF!,"0%"),"Wajar")))</f>
        <v>#REF!</v>
      </c>
      <c r="L393" s="2391">
        <v>290179.7</v>
      </c>
      <c r="M393" s="2391">
        <f t="shared" ref="M393:M405" si="116">E393*L393</f>
        <v>20344498.767000001</v>
      </c>
      <c r="N393" s="2375">
        <f t="shared" si="111"/>
        <v>8.8869112347687417E-3</v>
      </c>
      <c r="O393" s="2375">
        <v>0</v>
      </c>
      <c r="P393" s="2590" t="s">
        <v>89</v>
      </c>
      <c r="Q393" s="2375">
        <f t="shared" si="109"/>
        <v>0</v>
      </c>
      <c r="R393" s="2375">
        <f t="shared" si="110"/>
        <v>0</v>
      </c>
      <c r="S393" s="2375">
        <v>0</v>
      </c>
      <c r="T393" s="2398"/>
      <c r="U393" s="2375">
        <f t="shared" si="105"/>
        <v>0</v>
      </c>
      <c r="V393" s="2375"/>
      <c r="W393" s="2382">
        <f t="shared" si="106"/>
        <v>70.11</v>
      </c>
      <c r="X393" s="2590" t="s">
        <v>89</v>
      </c>
      <c r="Y393" s="2375">
        <f t="shared" si="107"/>
        <v>290179.7</v>
      </c>
      <c r="Z393" s="2375"/>
      <c r="AA393" s="2377" t="s">
        <v>3355</v>
      </c>
    </row>
    <row r="394" spans="1:27" ht="48.5" hidden="1" customHeight="1">
      <c r="A394" s="2589" t="s">
        <v>98</v>
      </c>
      <c r="B394" s="3193" t="s">
        <v>538</v>
      </c>
      <c r="C394" s="3194"/>
      <c r="D394" s="3195"/>
      <c r="E394" s="2541">
        <f>'9. Vol Cool Box G'!$N$239</f>
        <v>173.70000000000002</v>
      </c>
      <c r="F394" s="2398" t="s">
        <v>117</v>
      </c>
      <c r="G394" s="2389">
        <v>6893.1</v>
      </c>
      <c r="H394" s="2389">
        <f t="shared" si="114"/>
        <v>1197331.4700000002</v>
      </c>
      <c r="I394" s="2588">
        <f>'Resume Analisa'!$D$222</f>
        <v>6849.5700000000006</v>
      </c>
      <c r="J394" s="2552">
        <f t="shared" si="115"/>
        <v>1189770.3090000001</v>
      </c>
      <c r="K394" s="2378" t="e">
        <f>IF(H394=0,"",IF(J394&lt;#REF!*H394,"Timpang &lt;"&amp;TEXT(#REF!,"0%"),IF(J394&gt;#REF!*H394,"Timpang &gt;"&amp;TEXT(#REF!,"0%"),"Wajar")))</f>
        <v>#REF!</v>
      </c>
      <c r="L394" s="2391">
        <v>6849.5700000000006</v>
      </c>
      <c r="M394" s="2391">
        <f t="shared" si="116"/>
        <v>1189770.3090000001</v>
      </c>
      <c r="N394" s="2375">
        <f t="shared" si="111"/>
        <v>5.1971706194094299E-4</v>
      </c>
      <c r="O394" s="2375">
        <v>0</v>
      </c>
      <c r="P394" s="2398" t="s">
        <v>117</v>
      </c>
      <c r="Q394" s="2375">
        <f t="shared" si="109"/>
        <v>0</v>
      </c>
      <c r="R394" s="2375">
        <f t="shared" si="110"/>
        <v>0</v>
      </c>
      <c r="S394" s="2375">
        <v>0</v>
      </c>
      <c r="T394" s="2398"/>
      <c r="U394" s="2375">
        <f t="shared" si="105"/>
        <v>0</v>
      </c>
      <c r="V394" s="2375"/>
      <c r="W394" s="2382">
        <f t="shared" si="106"/>
        <v>173.70000000000002</v>
      </c>
      <c r="X394" s="2398" t="s">
        <v>117</v>
      </c>
      <c r="Y394" s="2375">
        <f t="shared" si="107"/>
        <v>6849.5700000000006</v>
      </c>
      <c r="Z394" s="2375"/>
      <c r="AA394" s="2377" t="s">
        <v>3355</v>
      </c>
    </row>
    <row r="395" spans="1:27" ht="25" hidden="1" customHeight="1">
      <c r="A395" s="2555" t="s">
        <v>101</v>
      </c>
      <c r="B395" s="2549" t="s">
        <v>539</v>
      </c>
      <c r="C395" s="2550"/>
      <c r="D395" s="2551"/>
      <c r="E395" s="2541">
        <f>'9. Vol Cool Box G'!$N$243</f>
        <v>80.673999999999992</v>
      </c>
      <c r="F395" s="2590" t="s">
        <v>89</v>
      </c>
      <c r="G395" s="2389">
        <v>232335.08000000002</v>
      </c>
      <c r="H395" s="2389">
        <f t="shared" si="114"/>
        <v>18743400.243919998</v>
      </c>
      <c r="I395" s="2588">
        <f>'Resume Analisa'!$D$64</f>
        <v>240387.47</v>
      </c>
      <c r="J395" s="2552">
        <f t="shared" si="115"/>
        <v>19393018.754779998</v>
      </c>
      <c r="K395" s="2378" t="e">
        <f>IF(H395=0,"",IF(J395&lt;#REF!*H395,"Timpang &lt;"&amp;TEXT(#REF!,"0%"),IF(J395&gt;#REF!*H395,"Timpang &gt;"&amp;TEXT(#REF!,"0%"),"Wajar")))</f>
        <v>#REF!</v>
      </c>
      <c r="L395" s="2391">
        <v>240387.47</v>
      </c>
      <c r="M395" s="2391">
        <f t="shared" si="116"/>
        <v>19393018.754779998</v>
      </c>
      <c r="N395" s="2375">
        <f t="shared" si="111"/>
        <v>8.4712844598308634E-3</v>
      </c>
      <c r="O395" s="2375">
        <v>0</v>
      </c>
      <c r="P395" s="2590" t="s">
        <v>89</v>
      </c>
      <c r="Q395" s="2375">
        <f t="shared" si="109"/>
        <v>0</v>
      </c>
      <c r="R395" s="2375">
        <f t="shared" si="110"/>
        <v>0</v>
      </c>
      <c r="S395" s="2375">
        <v>0</v>
      </c>
      <c r="T395" s="2398"/>
      <c r="U395" s="2375">
        <f t="shared" si="105"/>
        <v>0</v>
      </c>
      <c r="V395" s="2375"/>
      <c r="W395" s="2382">
        <f t="shared" si="106"/>
        <v>80.673999999999992</v>
      </c>
      <c r="X395" s="2590" t="s">
        <v>89</v>
      </c>
      <c r="Y395" s="2375">
        <f t="shared" si="107"/>
        <v>240387.47</v>
      </c>
      <c r="Z395" s="2375"/>
      <c r="AA395" s="2377" t="s">
        <v>3355</v>
      </c>
    </row>
    <row r="396" spans="1:27" ht="25" hidden="1" customHeight="1">
      <c r="A396" s="2555" t="s">
        <v>121</v>
      </c>
      <c r="B396" s="2549" t="s">
        <v>540</v>
      </c>
      <c r="C396" s="2550"/>
      <c r="D396" s="2551"/>
      <c r="E396" s="2541">
        <f>'9. Vol Cool Box G'!$N$244</f>
        <v>9.65</v>
      </c>
      <c r="F396" s="2590" t="s">
        <v>117</v>
      </c>
      <c r="G396" s="2389">
        <v>180008.45</v>
      </c>
      <c r="H396" s="2389">
        <f t="shared" si="114"/>
        <v>1737081.5425000002</v>
      </c>
      <c r="I396" s="2588">
        <f>'Resume Analisa'!$D$65</f>
        <v>172082.08000000002</v>
      </c>
      <c r="J396" s="2552">
        <f t="shared" si="115"/>
        <v>1660592.0720000002</v>
      </c>
      <c r="K396" s="2398" t="e">
        <f>IF(H396=0,"",IF(J396&lt;#REF!*H396,"Timpang &lt;"&amp;TEXT(#REF!,"0%"),IF(J396&gt;#REF!*H396,"Timpang &gt;"&amp;TEXT(#REF!,"0%"),"Wajar")))</f>
        <v>#REF!</v>
      </c>
      <c r="L396" s="2391">
        <v>172082.08000000002</v>
      </c>
      <c r="M396" s="2391">
        <f t="shared" si="116"/>
        <v>1660592.0720000002</v>
      </c>
      <c r="N396" s="2375">
        <f t="shared" si="111"/>
        <v>7.2538205585886983E-4</v>
      </c>
      <c r="O396" s="2375">
        <v>0</v>
      </c>
      <c r="P396" s="2590" t="s">
        <v>117</v>
      </c>
      <c r="Q396" s="2375">
        <f t="shared" si="109"/>
        <v>0</v>
      </c>
      <c r="R396" s="2375">
        <f t="shared" si="110"/>
        <v>0</v>
      </c>
      <c r="S396" s="2375">
        <v>0</v>
      </c>
      <c r="T396" s="2398"/>
      <c r="U396" s="2375">
        <f t="shared" si="105"/>
        <v>0</v>
      </c>
      <c r="V396" s="2375"/>
      <c r="W396" s="2382">
        <f t="shared" si="106"/>
        <v>9.65</v>
      </c>
      <c r="X396" s="2590" t="s">
        <v>117</v>
      </c>
      <c r="Y396" s="2375">
        <f t="shared" si="107"/>
        <v>172082.08000000002</v>
      </c>
      <c r="Z396" s="2375"/>
      <c r="AA396" s="2377" t="s">
        <v>3355</v>
      </c>
    </row>
    <row r="397" spans="1:27" s="331" customFormat="1" ht="52.5" hidden="1" customHeight="1">
      <c r="A397" s="2398">
        <f>A392+1</f>
        <v>8</v>
      </c>
      <c r="B397" s="3199" t="s">
        <v>541</v>
      </c>
      <c r="C397" s="3200"/>
      <c r="D397" s="3201"/>
      <c r="E397" s="2541">
        <f>'9. Vol Cool Box G'!$P$249</f>
        <v>47.15</v>
      </c>
      <c r="F397" s="2398" t="s">
        <v>89</v>
      </c>
      <c r="G397" s="2389">
        <v>224723.54</v>
      </c>
      <c r="H397" s="2389">
        <f t="shared" si="114"/>
        <v>10595714.911</v>
      </c>
      <c r="I397" s="2588">
        <f>'Resume Analisa'!$D$105</f>
        <v>220349.78</v>
      </c>
      <c r="J397" s="2552">
        <f t="shared" si="115"/>
        <v>10389492.127</v>
      </c>
      <c r="K397" s="2378" t="e">
        <f>IF(H397=0,"",IF(J397&lt;#REF!*H397,"Timpang &lt;"&amp;TEXT(#REF!,"0%"),IF(J397&gt;#REF!*H397,"Timpang &gt;"&amp;TEXT(#REF!,"0%"),"Wajar")))</f>
        <v>#REF!</v>
      </c>
      <c r="L397" s="2391">
        <v>220349.78</v>
      </c>
      <c r="M397" s="2391">
        <f t="shared" si="116"/>
        <v>10389492.127</v>
      </c>
      <c r="N397" s="2375">
        <f t="shared" si="111"/>
        <v>4.5383518839374548E-3</v>
      </c>
      <c r="O397" s="2375">
        <v>0</v>
      </c>
      <c r="P397" s="2398" t="s">
        <v>89</v>
      </c>
      <c r="Q397" s="2375">
        <f t="shared" si="109"/>
        <v>0</v>
      </c>
      <c r="R397" s="2375">
        <f t="shared" si="110"/>
        <v>0</v>
      </c>
      <c r="S397" s="2375">
        <v>0</v>
      </c>
      <c r="T397" s="2398"/>
      <c r="U397" s="2375">
        <f t="shared" si="105"/>
        <v>0</v>
      </c>
      <c r="V397" s="2375"/>
      <c r="W397" s="2382">
        <f t="shared" si="106"/>
        <v>47.15</v>
      </c>
      <c r="X397" s="2398" t="s">
        <v>89</v>
      </c>
      <c r="Y397" s="2375">
        <f t="shared" si="107"/>
        <v>220349.78</v>
      </c>
      <c r="Z397" s="2375"/>
      <c r="AA397" s="2377" t="s">
        <v>3355</v>
      </c>
    </row>
    <row r="398" spans="1:27" s="331" customFormat="1" ht="64.5" hidden="1" customHeight="1">
      <c r="A398" s="2398">
        <f t="shared" ref="A398:A405" si="117">A397+1</f>
        <v>9</v>
      </c>
      <c r="B398" s="3193" t="s">
        <v>449</v>
      </c>
      <c r="C398" s="3194"/>
      <c r="D398" s="3195"/>
      <c r="E398" s="2541">
        <f>'9. Vol Cool Box G'!$P$253</f>
        <v>15.6</v>
      </c>
      <c r="F398" s="2398" t="s">
        <v>89</v>
      </c>
      <c r="G398" s="2389">
        <v>844895.8</v>
      </c>
      <c r="H398" s="2389">
        <f t="shared" si="114"/>
        <v>13180374.48</v>
      </c>
      <c r="I398" s="2588">
        <f>'Resume Analisa'!$D$77</f>
        <v>842796.62</v>
      </c>
      <c r="J398" s="2552">
        <f t="shared" si="115"/>
        <v>13147627.272</v>
      </c>
      <c r="K398" s="2378" t="e">
        <f>IF(H398=0,"",IF(J398&lt;#REF!*H398,"Timpang &lt;"&amp;TEXT(#REF!,"0%"),IF(J398&gt;#REF!*H398,"Timpang &gt;"&amp;TEXT(#REF!,"0%"),"Wajar")))</f>
        <v>#REF!</v>
      </c>
      <c r="L398" s="2391">
        <v>842796.62</v>
      </c>
      <c r="M398" s="2391">
        <f t="shared" si="116"/>
        <v>13147627.272</v>
      </c>
      <c r="N398" s="2375">
        <f t="shared" si="111"/>
        <v>5.7431641768247001E-3</v>
      </c>
      <c r="O398" s="2375">
        <v>0</v>
      </c>
      <c r="P398" s="2398" t="s">
        <v>89</v>
      </c>
      <c r="Q398" s="2375">
        <f t="shared" si="109"/>
        <v>0</v>
      </c>
      <c r="R398" s="2375">
        <f t="shared" si="110"/>
        <v>0</v>
      </c>
      <c r="S398" s="2386">
        <v>0</v>
      </c>
      <c r="T398" s="2398"/>
      <c r="U398" s="2375">
        <f t="shared" si="105"/>
        <v>0</v>
      </c>
      <c r="V398" s="2375"/>
      <c r="W398" s="2382">
        <f t="shared" si="106"/>
        <v>15.6</v>
      </c>
      <c r="X398" s="2398" t="s">
        <v>89</v>
      </c>
      <c r="Y398" s="2375">
        <f t="shared" si="107"/>
        <v>842796.62</v>
      </c>
      <c r="Z398" s="2375"/>
      <c r="AA398" s="2377" t="s">
        <v>3355</v>
      </c>
    </row>
    <row r="399" spans="1:27" s="331" customFormat="1" ht="25" hidden="1" customHeight="1">
      <c r="A399" s="2398">
        <f t="shared" si="117"/>
        <v>10</v>
      </c>
      <c r="B399" s="2549" t="s">
        <v>450</v>
      </c>
      <c r="C399" s="2550"/>
      <c r="D399" s="2551"/>
      <c r="E399" s="2541">
        <f>'9. Vol Cool Box G'!$P$257</f>
        <v>45.76</v>
      </c>
      <c r="F399" s="2398" t="s">
        <v>89</v>
      </c>
      <c r="G399" s="2389">
        <v>90295.7</v>
      </c>
      <c r="H399" s="2389">
        <f t="shared" si="114"/>
        <v>4131931.2319999998</v>
      </c>
      <c r="I399" s="2480">
        <f>'Resume Analisa'!$D$79</f>
        <v>91347.61</v>
      </c>
      <c r="J399" s="2544">
        <f>I399*E399</f>
        <v>4180066.6335999998</v>
      </c>
      <c r="K399" s="2378" t="e">
        <f>IF(H399=0,"",IF(J399&lt;#REF!*H399,"Timpang &lt;"&amp;TEXT(#REF!,"0%"),IF(J399&gt;#REF!*H399,"Timpang &gt;"&amp;TEXT(#REF!,"0%"),"Wajar")))</f>
        <v>#REF!</v>
      </c>
      <c r="L399" s="2391">
        <v>91347.61</v>
      </c>
      <c r="M399" s="2391">
        <f t="shared" si="116"/>
        <v>4180066.6335999998</v>
      </c>
      <c r="N399" s="2375">
        <f t="shared" si="111"/>
        <v>1.8259423126451208E-3</v>
      </c>
      <c r="O399" s="2375">
        <v>0</v>
      </c>
      <c r="P399" s="2398" t="s">
        <v>89</v>
      </c>
      <c r="Q399" s="2375">
        <f t="shared" si="109"/>
        <v>0</v>
      </c>
      <c r="R399" s="2375">
        <f t="shared" si="110"/>
        <v>0</v>
      </c>
      <c r="S399" s="2386">
        <v>0</v>
      </c>
      <c r="T399" s="2398"/>
      <c r="U399" s="2375">
        <f t="shared" si="105"/>
        <v>0</v>
      </c>
      <c r="V399" s="2375"/>
      <c r="W399" s="2382">
        <f t="shared" si="106"/>
        <v>45.76</v>
      </c>
      <c r="X399" s="2398" t="s">
        <v>89</v>
      </c>
      <c r="Y399" s="2375">
        <f t="shared" si="107"/>
        <v>91347.61</v>
      </c>
      <c r="Z399" s="2375"/>
      <c r="AA399" s="2377" t="s">
        <v>3355</v>
      </c>
    </row>
    <row r="400" spans="1:27" s="331" customFormat="1" ht="25" hidden="1" customHeight="1">
      <c r="A400" s="2398">
        <f t="shared" si="117"/>
        <v>11</v>
      </c>
      <c r="B400" s="2549" t="s">
        <v>451</v>
      </c>
      <c r="C400" s="2550"/>
      <c r="D400" s="2551"/>
      <c r="E400" s="2541">
        <f>'9. Vol Cool Box G'!$P$258</f>
        <v>47.15</v>
      </c>
      <c r="F400" s="2398" t="s">
        <v>89</v>
      </c>
      <c r="G400" s="2389">
        <v>36451.78</v>
      </c>
      <c r="H400" s="2389">
        <f t="shared" si="114"/>
        <v>1718701.4269999999</v>
      </c>
      <c r="I400" s="2480">
        <f>'Resume Analisa'!$D$82</f>
        <v>36706.18</v>
      </c>
      <c r="J400" s="2544">
        <f>I400*E400</f>
        <v>1730696.3869999999</v>
      </c>
      <c r="K400" s="2378" t="e">
        <f>IF(H400=0,"",IF(J400&lt;#REF!*H400,"Timpang &lt;"&amp;TEXT(#REF!,"0%"),IF(J400&gt;#REF!*H400,"Timpang &gt;"&amp;TEXT(#REF!,"0%"),"Wajar")))</f>
        <v>#REF!</v>
      </c>
      <c r="L400" s="2391">
        <v>36706.18</v>
      </c>
      <c r="M400" s="2391">
        <f t="shared" si="116"/>
        <v>1730696.3869999999</v>
      </c>
      <c r="N400" s="2375">
        <f t="shared" si="111"/>
        <v>7.5600511675186298E-4</v>
      </c>
      <c r="O400" s="2375">
        <v>0</v>
      </c>
      <c r="P400" s="2398" t="s">
        <v>89</v>
      </c>
      <c r="Q400" s="2375">
        <f t="shared" si="109"/>
        <v>0</v>
      </c>
      <c r="R400" s="2375">
        <f t="shared" si="110"/>
        <v>0</v>
      </c>
      <c r="S400" s="2375">
        <v>0</v>
      </c>
      <c r="T400" s="2398"/>
      <c r="U400" s="2375">
        <f t="shared" ref="U400:U463" si="118">S400*L400</f>
        <v>0</v>
      </c>
      <c r="V400" s="2375"/>
      <c r="W400" s="2382">
        <f t="shared" ref="W400:W463" si="119">(E400+O400)-S400</f>
        <v>47.15</v>
      </c>
      <c r="X400" s="2398" t="s">
        <v>89</v>
      </c>
      <c r="Y400" s="2375">
        <f t="shared" ref="Y400:Y419" si="120">L400</f>
        <v>36706.18</v>
      </c>
      <c r="Z400" s="2375"/>
      <c r="AA400" s="2377" t="s">
        <v>3355</v>
      </c>
    </row>
    <row r="401" spans="1:27" s="331" customFormat="1" ht="25" hidden="1" customHeight="1">
      <c r="A401" s="2398">
        <f t="shared" si="117"/>
        <v>12</v>
      </c>
      <c r="B401" s="2549" t="s">
        <v>452</v>
      </c>
      <c r="C401" s="2550"/>
      <c r="D401" s="2551"/>
      <c r="E401" s="2541">
        <f>'9. Vol Cool Box G'!$P$262</f>
        <v>27.29</v>
      </c>
      <c r="F401" s="2398" t="s">
        <v>117</v>
      </c>
      <c r="G401" s="2389">
        <v>111113</v>
      </c>
      <c r="H401" s="2389">
        <f t="shared" si="114"/>
        <v>3032273.77</v>
      </c>
      <c r="I401" s="2465">
        <f>'Resume Analisa'!$D$67</f>
        <v>110227.31999999999</v>
      </c>
      <c r="J401" s="2552">
        <f>E401*I401</f>
        <v>3008103.5627999995</v>
      </c>
      <c r="K401" s="2378" t="e">
        <f>IF(H401=0,"",IF(J401&lt;#REF!*H401,"Timpang &lt;"&amp;TEXT(#REF!,"0%"),IF(J401&gt;#REF!*H401,"Timpang &gt;"&amp;TEXT(#REF!,"0%"),"Wajar")))</f>
        <v>#REF!</v>
      </c>
      <c r="L401" s="2391">
        <v>110227.31999999999</v>
      </c>
      <c r="M401" s="2391">
        <f t="shared" si="116"/>
        <v>3008103.5627999995</v>
      </c>
      <c r="N401" s="2375">
        <f t="shared" si="111"/>
        <v>1.314003832375429E-3</v>
      </c>
      <c r="O401" s="2375">
        <v>0</v>
      </c>
      <c r="P401" s="2398" t="s">
        <v>117</v>
      </c>
      <c r="Q401" s="2375">
        <f t="shared" si="109"/>
        <v>0</v>
      </c>
      <c r="R401" s="2375">
        <f t="shared" si="110"/>
        <v>0</v>
      </c>
      <c r="S401" s="2375">
        <v>0</v>
      </c>
      <c r="T401" s="2398"/>
      <c r="U401" s="2375">
        <f t="shared" si="118"/>
        <v>0</v>
      </c>
      <c r="V401" s="2375"/>
      <c r="W401" s="2382">
        <f t="shared" si="119"/>
        <v>27.29</v>
      </c>
      <c r="X401" s="2398" t="s">
        <v>117</v>
      </c>
      <c r="Y401" s="2375">
        <f t="shared" si="120"/>
        <v>110227.31999999999</v>
      </c>
      <c r="Z401" s="2375"/>
      <c r="AA401" s="2377" t="s">
        <v>3355</v>
      </c>
    </row>
    <row r="402" spans="1:27" s="331" customFormat="1" ht="25" hidden="1" customHeight="1">
      <c r="A402" s="2398">
        <f t="shared" si="117"/>
        <v>13</v>
      </c>
      <c r="B402" s="2549" t="s">
        <v>453</v>
      </c>
      <c r="C402" s="2550"/>
      <c r="D402" s="2551"/>
      <c r="E402" s="2541">
        <f>'9. Vol Cool Box G'!$P$263</f>
        <v>8.19</v>
      </c>
      <c r="F402" s="2398" t="s">
        <v>89</v>
      </c>
      <c r="G402" s="2389">
        <v>90295.7</v>
      </c>
      <c r="H402" s="2389">
        <f t="shared" si="114"/>
        <v>739521.78299999994</v>
      </c>
      <c r="I402" s="2480">
        <f>'Resume Analisa'!$D$79</f>
        <v>91347.61</v>
      </c>
      <c r="J402" s="2544">
        <f>I402*E402</f>
        <v>748136.92589999991</v>
      </c>
      <c r="K402" s="2378" t="e">
        <f>IF(H402=0,"",IF(J402&lt;#REF!*H402,"Timpang &lt;"&amp;TEXT(#REF!,"0%"),IF(J402&gt;#REF!*H402,"Timpang &gt;"&amp;TEXT(#REF!,"0%"),"Wajar")))</f>
        <v>#REF!</v>
      </c>
      <c r="L402" s="2391">
        <v>91347.61</v>
      </c>
      <c r="M402" s="2391">
        <f t="shared" si="116"/>
        <v>748136.92589999991</v>
      </c>
      <c r="N402" s="2375">
        <f t="shared" si="111"/>
        <v>3.2680217527455285E-4</v>
      </c>
      <c r="O402" s="2375">
        <v>0</v>
      </c>
      <c r="P402" s="2398" t="s">
        <v>89</v>
      </c>
      <c r="Q402" s="2375">
        <f t="shared" si="109"/>
        <v>0</v>
      </c>
      <c r="R402" s="2375">
        <f t="shared" si="110"/>
        <v>0</v>
      </c>
      <c r="S402" s="2375">
        <v>0</v>
      </c>
      <c r="T402" s="2398"/>
      <c r="U402" s="2375">
        <f t="shared" si="118"/>
        <v>0</v>
      </c>
      <c r="V402" s="2375"/>
      <c r="W402" s="2382">
        <f t="shared" si="119"/>
        <v>8.19</v>
      </c>
      <c r="X402" s="2398" t="s">
        <v>89</v>
      </c>
      <c r="Y402" s="2375">
        <f t="shared" si="120"/>
        <v>91347.61</v>
      </c>
      <c r="Z402" s="2375"/>
      <c r="AA402" s="2377" t="s">
        <v>3355</v>
      </c>
    </row>
    <row r="403" spans="1:27" s="331" customFormat="1" ht="81.5" hidden="1" customHeight="1">
      <c r="A403" s="2398">
        <f t="shared" si="117"/>
        <v>14</v>
      </c>
      <c r="B403" s="3193" t="s">
        <v>542</v>
      </c>
      <c r="C403" s="3194"/>
      <c r="D403" s="3195"/>
      <c r="E403" s="2541">
        <f>'9. Vol Cool Box G'!$P$267</f>
        <v>23.4</v>
      </c>
      <c r="F403" s="2398" t="s">
        <v>89</v>
      </c>
      <c r="G403" s="2389">
        <v>454793.06</v>
      </c>
      <c r="H403" s="2389">
        <f t="shared" si="114"/>
        <v>10642157.603999998</v>
      </c>
      <c r="I403" s="2707">
        <f>'Resume Analisa'!$D$132</f>
        <v>440187.41000000003</v>
      </c>
      <c r="J403" s="2708">
        <f>I403*E403</f>
        <v>10300385.393999999</v>
      </c>
      <c r="K403" s="2378" t="e">
        <f>IF(H403=0,"",IF(J403&lt;#REF!*H403,"Timpang &lt;"&amp;TEXT(#REF!,"0%"),IF(J403&gt;#REF!*H403,"Timpang &gt;"&amp;TEXT(#REF!,"0%"),"Wajar")))</f>
        <v>#REF!</v>
      </c>
      <c r="L403" s="2391">
        <v>440187.41000000003</v>
      </c>
      <c r="M403" s="2391">
        <f t="shared" si="116"/>
        <v>10300385.393999999</v>
      </c>
      <c r="N403" s="2375">
        <f t="shared" si="111"/>
        <v>4.4994281613301556E-3</v>
      </c>
      <c r="O403" s="2375">
        <v>0</v>
      </c>
      <c r="P403" s="2398" t="s">
        <v>89</v>
      </c>
      <c r="Q403" s="2375">
        <f t="shared" si="109"/>
        <v>0</v>
      </c>
      <c r="R403" s="2375">
        <f t="shared" si="110"/>
        <v>0</v>
      </c>
      <c r="S403" s="2375">
        <v>0</v>
      </c>
      <c r="T403" s="2398"/>
      <c r="U403" s="2375">
        <f t="shared" si="118"/>
        <v>0</v>
      </c>
      <c r="V403" s="2375"/>
      <c r="W403" s="2382">
        <f t="shared" si="119"/>
        <v>23.4</v>
      </c>
      <c r="X403" s="2398" t="s">
        <v>89</v>
      </c>
      <c r="Y403" s="2375">
        <f t="shared" si="120"/>
        <v>440187.41000000003</v>
      </c>
      <c r="Z403" s="2375"/>
      <c r="AA403" s="2377" t="s">
        <v>3355</v>
      </c>
    </row>
    <row r="404" spans="1:27" s="331" customFormat="1" ht="25" hidden="1" customHeight="1">
      <c r="A404" s="2398">
        <f t="shared" si="117"/>
        <v>15</v>
      </c>
      <c r="B404" s="2549" t="s">
        <v>454</v>
      </c>
      <c r="C404" s="2550"/>
      <c r="D404" s="2551"/>
      <c r="E404" s="2541">
        <f>'9. Vol Cool Box G'!$P$268</f>
        <v>1</v>
      </c>
      <c r="F404" s="2398" t="s">
        <v>360</v>
      </c>
      <c r="G404" s="2389">
        <v>2176018.5</v>
      </c>
      <c r="H404" s="2389">
        <f t="shared" si="114"/>
        <v>2176018.5</v>
      </c>
      <c r="I404" s="2480">
        <f>'Resume Analisa'!$D$98</f>
        <v>2096360.01</v>
      </c>
      <c r="J404" s="2544">
        <f>I404*E404</f>
        <v>2096360.01</v>
      </c>
      <c r="K404" s="2378" t="e">
        <f>IF(H404=0,"",IF(J404&lt;#REF!*H404,"Timpang &lt;"&amp;TEXT(#REF!,"0%"),IF(J404&gt;#REF!*H404,"Timpang &gt;"&amp;TEXT(#REF!,"0%"),"Wajar")))</f>
        <v>#REF!</v>
      </c>
      <c r="L404" s="2391">
        <v>2096360.01</v>
      </c>
      <c r="M404" s="2391">
        <f t="shared" si="116"/>
        <v>2096360.01</v>
      </c>
      <c r="N404" s="2375">
        <f t="shared" si="111"/>
        <v>9.157347909307138E-4</v>
      </c>
      <c r="O404" s="2375">
        <v>0</v>
      </c>
      <c r="P404" s="2398" t="s">
        <v>360</v>
      </c>
      <c r="Q404" s="2375">
        <f t="shared" si="109"/>
        <v>0</v>
      </c>
      <c r="R404" s="2375">
        <f t="shared" si="110"/>
        <v>0</v>
      </c>
      <c r="S404" s="2375">
        <v>0</v>
      </c>
      <c r="T404" s="2398"/>
      <c r="U404" s="2375">
        <f t="shared" si="118"/>
        <v>0</v>
      </c>
      <c r="V404" s="2375"/>
      <c r="W404" s="2382">
        <f t="shared" si="119"/>
        <v>1</v>
      </c>
      <c r="X404" s="2398" t="s">
        <v>360</v>
      </c>
      <c r="Y404" s="2375">
        <f t="shared" si="120"/>
        <v>2096360.01</v>
      </c>
      <c r="Z404" s="2375"/>
      <c r="AA404" s="2377" t="s">
        <v>3355</v>
      </c>
    </row>
    <row r="405" spans="1:27" s="331" customFormat="1" ht="48.5" hidden="1" customHeight="1">
      <c r="A405" s="2398">
        <f t="shared" si="117"/>
        <v>16</v>
      </c>
      <c r="B405" s="3202" t="s">
        <v>543</v>
      </c>
      <c r="C405" s="3203"/>
      <c r="D405" s="3204"/>
      <c r="E405" s="2541">
        <f>'9. Vol Cool Box G'!$P$269</f>
        <v>11</v>
      </c>
      <c r="F405" s="2398" t="s">
        <v>124</v>
      </c>
      <c r="G405" s="2389">
        <v>120750</v>
      </c>
      <c r="H405" s="2389">
        <f t="shared" si="114"/>
        <v>1328250</v>
      </c>
      <c r="I405" s="2480">
        <f>'Resume Analisa'!$D$102</f>
        <v>126569.93999999999</v>
      </c>
      <c r="J405" s="2544">
        <f>I405*E405</f>
        <v>1392269.3399999999</v>
      </c>
      <c r="K405" s="2378" t="e">
        <f>IF(H405=0,"",IF(J405&lt;#REF!*H405,"Timpang &lt;"&amp;TEXT(#REF!,"0%"),IF(J405&gt;#REF!*H405,"Timpang &gt;"&amp;TEXT(#REF!,"0%"),"Wajar")))</f>
        <v>#REF!</v>
      </c>
      <c r="L405" s="2391">
        <v>126569.93999999999</v>
      </c>
      <c r="M405" s="2391">
        <f t="shared" si="116"/>
        <v>1392269.3399999999</v>
      </c>
      <c r="N405" s="2375">
        <f t="shared" si="111"/>
        <v>6.0817296022744815E-4</v>
      </c>
      <c r="O405" s="2375">
        <v>0</v>
      </c>
      <c r="P405" s="2398" t="s">
        <v>124</v>
      </c>
      <c r="Q405" s="2375">
        <f t="shared" si="109"/>
        <v>0</v>
      </c>
      <c r="R405" s="2375">
        <f t="shared" si="110"/>
        <v>0</v>
      </c>
      <c r="S405" s="2386">
        <v>0</v>
      </c>
      <c r="T405" s="2398"/>
      <c r="U405" s="2375">
        <f t="shared" si="118"/>
        <v>0</v>
      </c>
      <c r="V405" s="2375"/>
      <c r="W405" s="2382">
        <f t="shared" si="119"/>
        <v>11</v>
      </c>
      <c r="X405" s="2398" t="s">
        <v>124</v>
      </c>
      <c r="Y405" s="2375">
        <f t="shared" si="120"/>
        <v>126569.93999999999</v>
      </c>
      <c r="Z405" s="2375"/>
      <c r="AA405" s="2377" t="s">
        <v>3355</v>
      </c>
    </row>
    <row r="406" spans="1:27" s="331" customFormat="1" ht="25" hidden="1" customHeight="1">
      <c r="A406" s="2398"/>
      <c r="B406" s="2704"/>
      <c r="C406" s="2705"/>
      <c r="D406" s="2632" t="s">
        <v>376</v>
      </c>
      <c r="E406" s="2706"/>
      <c r="F406" s="2537"/>
      <c r="G406" s="2546"/>
      <c r="H406" s="2546">
        <f>SUM(H379:H405)</f>
        <v>96272803.91421999</v>
      </c>
      <c r="I406" s="2545"/>
      <c r="J406" s="2545">
        <f>SUM(J379:J405)</f>
        <v>95340030.34427999</v>
      </c>
      <c r="K406" s="2546"/>
      <c r="L406" s="2457"/>
      <c r="M406" s="2457">
        <f>SUM(M379:M405)</f>
        <v>95340030.34427999</v>
      </c>
      <c r="N406" s="2375">
        <f t="shared" ref="N406:N417" si="121">M406/$M$8</f>
        <v>4.1646559912506223E-2</v>
      </c>
      <c r="O406" s="2375">
        <v>0</v>
      </c>
      <c r="P406" s="2537"/>
      <c r="Q406" s="2375">
        <f t="shared" si="109"/>
        <v>0</v>
      </c>
      <c r="R406" s="2375">
        <f t="shared" si="110"/>
        <v>0</v>
      </c>
      <c r="S406" s="2386">
        <v>0</v>
      </c>
      <c r="T406" s="2398"/>
      <c r="U406" s="2375">
        <f t="shared" si="118"/>
        <v>0</v>
      </c>
      <c r="V406" s="2375"/>
      <c r="W406" s="2382">
        <f t="shared" si="119"/>
        <v>0</v>
      </c>
      <c r="X406" s="2537"/>
      <c r="Y406" s="2375">
        <f t="shared" si="120"/>
        <v>0</v>
      </c>
      <c r="Z406" s="2375"/>
      <c r="AA406" s="2377" t="s">
        <v>3355</v>
      </c>
    </row>
    <row r="407" spans="1:27" s="331" customFormat="1" ht="25" hidden="1" customHeight="1">
      <c r="A407" s="2537" t="s">
        <v>544</v>
      </c>
      <c r="B407" s="2538" t="s">
        <v>457</v>
      </c>
      <c r="C407" s="2539"/>
      <c r="D407" s="2540"/>
      <c r="E407" s="2541"/>
      <c r="F407" s="2398"/>
      <c r="G407" s="2389"/>
      <c r="H407" s="2389"/>
      <c r="I407" s="2544"/>
      <c r="J407" s="2544"/>
      <c r="K407" s="2389"/>
      <c r="L407" s="2391"/>
      <c r="M407" s="2391"/>
      <c r="N407" s="2375">
        <f t="shared" si="121"/>
        <v>0</v>
      </c>
      <c r="O407" s="2375">
        <v>0</v>
      </c>
      <c r="P407" s="2398"/>
      <c r="Q407" s="2375">
        <f t="shared" si="109"/>
        <v>0</v>
      </c>
      <c r="R407" s="2375">
        <f t="shared" si="110"/>
        <v>0</v>
      </c>
      <c r="S407" s="2375">
        <v>0</v>
      </c>
      <c r="T407" s="2398"/>
      <c r="U407" s="2375">
        <f t="shared" si="118"/>
        <v>0</v>
      </c>
      <c r="V407" s="2375"/>
      <c r="W407" s="2382">
        <f t="shared" si="119"/>
        <v>0</v>
      </c>
      <c r="X407" s="2398"/>
      <c r="Y407" s="2375">
        <f t="shared" si="120"/>
        <v>0</v>
      </c>
      <c r="Z407" s="2375"/>
      <c r="AA407" s="2377" t="s">
        <v>3355</v>
      </c>
    </row>
    <row r="408" spans="1:27" s="331" customFormat="1" ht="25" hidden="1" customHeight="1">
      <c r="A408" s="2398">
        <v>1</v>
      </c>
      <c r="B408" s="2549" t="s">
        <v>545</v>
      </c>
      <c r="C408" s="2550"/>
      <c r="D408" s="2551"/>
      <c r="E408" s="2541">
        <f>'9. Vol Cool Box G'!P271</f>
        <v>8</v>
      </c>
      <c r="F408" s="2398" t="s">
        <v>357</v>
      </c>
      <c r="G408" s="2389">
        <v>464132.64</v>
      </c>
      <c r="H408" s="2389">
        <f t="shared" ref="H408:H413" si="122">E408*G408</f>
        <v>3713061.12</v>
      </c>
      <c r="I408" s="2465">
        <f>'Resume Analisa'!$D$133</f>
        <v>479653.13</v>
      </c>
      <c r="J408" s="2567">
        <f t="shared" ref="J408:J413" si="123">E408*I408</f>
        <v>3837225.04</v>
      </c>
      <c r="K408" s="2378" t="e">
        <f>IF(H408=0,"",IF(J408&lt;#REF!*H408,"Timpang &lt;"&amp;TEXT(#REF!,"0%"),IF(J408&gt;#REF!*H408,"Timpang &gt;"&amp;TEXT(#REF!,"0%"),"Wajar")))</f>
        <v>#REF!</v>
      </c>
      <c r="L408" s="2391">
        <v>479653.13</v>
      </c>
      <c r="M408" s="2391">
        <f t="shared" ref="M408:M413" si="124">E408*L408</f>
        <v>3837225.04</v>
      </c>
      <c r="N408" s="2375">
        <f t="shared" si="121"/>
        <v>1.6761817879546843E-3</v>
      </c>
      <c r="O408" s="2375">
        <v>0</v>
      </c>
      <c r="P408" s="2398" t="s">
        <v>357</v>
      </c>
      <c r="Q408" s="2375">
        <f t="shared" si="109"/>
        <v>0</v>
      </c>
      <c r="R408" s="2375">
        <f t="shared" si="110"/>
        <v>0</v>
      </c>
      <c r="S408" s="2375">
        <v>0</v>
      </c>
      <c r="T408" s="2398"/>
      <c r="U408" s="2375">
        <f t="shared" si="118"/>
        <v>0</v>
      </c>
      <c r="V408" s="2375"/>
      <c r="W408" s="2382">
        <f t="shared" si="119"/>
        <v>8</v>
      </c>
      <c r="X408" s="2398" t="s">
        <v>357</v>
      </c>
      <c r="Y408" s="2375">
        <f t="shared" si="120"/>
        <v>479653.13</v>
      </c>
      <c r="Z408" s="2375"/>
      <c r="AA408" s="2377" t="s">
        <v>3355</v>
      </c>
    </row>
    <row r="409" spans="1:27" s="331" customFormat="1" ht="25" hidden="1" customHeight="1">
      <c r="A409" s="2398">
        <f>A408+1</f>
        <v>2</v>
      </c>
      <c r="B409" s="2595" t="s">
        <v>459</v>
      </c>
      <c r="C409" s="2550"/>
      <c r="D409" s="2551"/>
      <c r="E409" s="2541">
        <v>2</v>
      </c>
      <c r="F409" s="2398" t="s">
        <v>124</v>
      </c>
      <c r="G409" s="2389">
        <v>675431.23</v>
      </c>
      <c r="H409" s="2389">
        <f t="shared" si="122"/>
        <v>1350862.46</v>
      </c>
      <c r="I409" s="2465">
        <f>'Resume Analisa'!$D$140</f>
        <v>695238.63</v>
      </c>
      <c r="J409" s="2567">
        <f t="shared" si="123"/>
        <v>1390477.26</v>
      </c>
      <c r="K409" s="2378" t="e">
        <f>IF(H409=0,"",IF(J409&lt;#REF!*H409,"Timpang &lt;"&amp;TEXT(#REF!,"0%"),IF(J409&gt;#REF!*H409,"Timpang &gt;"&amp;TEXT(#REF!,"0%"),"Wajar")))</f>
        <v>#REF!</v>
      </c>
      <c r="L409" s="2391">
        <v>695238.63</v>
      </c>
      <c r="M409" s="2391">
        <f t="shared" si="124"/>
        <v>1390477.26</v>
      </c>
      <c r="N409" s="2375">
        <f t="shared" si="121"/>
        <v>6.0739014143854607E-4</v>
      </c>
      <c r="O409" s="2375">
        <v>0</v>
      </c>
      <c r="P409" s="2398" t="s">
        <v>124</v>
      </c>
      <c r="Q409" s="2375">
        <f t="shared" si="109"/>
        <v>0</v>
      </c>
      <c r="R409" s="2375">
        <f t="shared" si="110"/>
        <v>0</v>
      </c>
      <c r="S409" s="2375">
        <v>0</v>
      </c>
      <c r="T409" s="2398"/>
      <c r="U409" s="2375">
        <f t="shared" si="118"/>
        <v>0</v>
      </c>
      <c r="V409" s="2375"/>
      <c r="W409" s="2382">
        <f t="shared" si="119"/>
        <v>2</v>
      </c>
      <c r="X409" s="2398" t="s">
        <v>124</v>
      </c>
      <c r="Y409" s="2375">
        <f t="shared" si="120"/>
        <v>695238.63</v>
      </c>
      <c r="Z409" s="2375"/>
      <c r="AA409" s="2377" t="s">
        <v>3355</v>
      </c>
    </row>
    <row r="410" spans="1:27" s="331" customFormat="1" ht="25" hidden="1" customHeight="1">
      <c r="A410" s="2398">
        <f>A409+1</f>
        <v>3</v>
      </c>
      <c r="B410" s="2549" t="s">
        <v>546</v>
      </c>
      <c r="C410" s="2550"/>
      <c r="D410" s="2551"/>
      <c r="E410" s="2541">
        <v>1</v>
      </c>
      <c r="F410" s="2398" t="s">
        <v>124</v>
      </c>
      <c r="G410" s="2389">
        <v>68649.25</v>
      </c>
      <c r="H410" s="2389">
        <f t="shared" si="122"/>
        <v>68649.25</v>
      </c>
      <c r="I410" s="2465">
        <f>'Resume Analisa'!$D$144</f>
        <v>67408.72</v>
      </c>
      <c r="J410" s="2567">
        <f t="shared" si="123"/>
        <v>67408.72</v>
      </c>
      <c r="K410" s="2378" t="e">
        <f>IF(H410=0,"",IF(J410&lt;#REF!*H410,"Timpang &lt;"&amp;TEXT(#REF!,"0%"),IF(J410&gt;#REF!*H410,"Timpang &gt;"&amp;TEXT(#REF!,"0%"),"Wajar")))</f>
        <v>#REF!</v>
      </c>
      <c r="L410" s="2391">
        <v>67408.72</v>
      </c>
      <c r="M410" s="2391">
        <f t="shared" si="124"/>
        <v>67408.72</v>
      </c>
      <c r="N410" s="2375">
        <f t="shared" si="121"/>
        <v>2.9445567470115511E-5</v>
      </c>
      <c r="O410" s="2375">
        <v>0</v>
      </c>
      <c r="P410" s="2398" t="s">
        <v>124</v>
      </c>
      <c r="Q410" s="2375">
        <f t="shared" si="109"/>
        <v>0</v>
      </c>
      <c r="R410" s="2375">
        <f t="shared" si="110"/>
        <v>0</v>
      </c>
      <c r="S410" s="2375">
        <v>0</v>
      </c>
      <c r="T410" s="2398"/>
      <c r="U410" s="2375">
        <f t="shared" si="118"/>
        <v>0</v>
      </c>
      <c r="V410" s="2375"/>
      <c r="W410" s="2382">
        <f t="shared" si="119"/>
        <v>1</v>
      </c>
      <c r="X410" s="2398" t="s">
        <v>124</v>
      </c>
      <c r="Y410" s="2375">
        <f t="shared" si="120"/>
        <v>67408.72</v>
      </c>
      <c r="Z410" s="2375"/>
      <c r="AA410" s="2377" t="s">
        <v>3355</v>
      </c>
    </row>
    <row r="411" spans="1:27" s="331" customFormat="1" ht="25" hidden="1" customHeight="1">
      <c r="A411" s="2398">
        <f>A410+1</f>
        <v>4</v>
      </c>
      <c r="B411" s="2549" t="s">
        <v>461</v>
      </c>
      <c r="C411" s="2550"/>
      <c r="D411" s="2551"/>
      <c r="E411" s="2541">
        <f>E409</f>
        <v>2</v>
      </c>
      <c r="F411" s="2398" t="s">
        <v>124</v>
      </c>
      <c r="G411" s="2389">
        <v>91426.5</v>
      </c>
      <c r="H411" s="2389">
        <f t="shared" si="122"/>
        <v>182853</v>
      </c>
      <c r="I411" s="2465">
        <f>'Resume Analisa'!$D$145</f>
        <v>89074.98</v>
      </c>
      <c r="J411" s="2567">
        <f t="shared" si="123"/>
        <v>178149.96</v>
      </c>
      <c r="K411" s="2378" t="e">
        <f>IF(H411=0,"",IF(J411&lt;#REF!*H411,"Timpang &lt;"&amp;TEXT(#REF!,"0%"),IF(J411&gt;#REF!*H411,"Timpang &gt;"&amp;TEXT(#REF!,"0%"),"Wajar")))</f>
        <v>#REF!</v>
      </c>
      <c r="L411" s="2391">
        <v>89074.98</v>
      </c>
      <c r="M411" s="2391">
        <f t="shared" si="124"/>
        <v>178149.96</v>
      </c>
      <c r="N411" s="2375">
        <f t="shared" si="121"/>
        <v>7.7819704438511505E-5</v>
      </c>
      <c r="O411" s="2375">
        <v>0</v>
      </c>
      <c r="P411" s="2398" t="s">
        <v>124</v>
      </c>
      <c r="Q411" s="2375">
        <f t="shared" si="109"/>
        <v>0</v>
      </c>
      <c r="R411" s="2375">
        <f t="shared" si="110"/>
        <v>0</v>
      </c>
      <c r="S411" s="2375">
        <v>0</v>
      </c>
      <c r="T411" s="2398"/>
      <c r="U411" s="2375">
        <f t="shared" si="118"/>
        <v>0</v>
      </c>
      <c r="V411" s="2375"/>
      <c r="W411" s="2382">
        <f t="shared" si="119"/>
        <v>2</v>
      </c>
      <c r="X411" s="2398" t="s">
        <v>124</v>
      </c>
      <c r="Y411" s="2375">
        <f t="shared" si="120"/>
        <v>89074.98</v>
      </c>
      <c r="Z411" s="2375"/>
      <c r="AA411" s="2377" t="s">
        <v>3355</v>
      </c>
    </row>
    <row r="412" spans="1:27" s="331" customFormat="1" ht="25" hidden="1" customHeight="1">
      <c r="A412" s="2398">
        <f>A411+1</f>
        <v>5</v>
      </c>
      <c r="B412" s="2549" t="s">
        <v>547</v>
      </c>
      <c r="C412" s="2550"/>
      <c r="D412" s="2551"/>
      <c r="E412" s="2541">
        <f>E408</f>
        <v>8</v>
      </c>
      <c r="F412" s="2398" t="s">
        <v>124</v>
      </c>
      <c r="G412" s="2389">
        <v>146579</v>
      </c>
      <c r="H412" s="2389">
        <f t="shared" si="122"/>
        <v>1172632</v>
      </c>
      <c r="I412" s="2465">
        <f>'Resume Analisa'!$D$148</f>
        <v>142838.90000000002</v>
      </c>
      <c r="J412" s="2567">
        <f t="shared" si="123"/>
        <v>1142711.2000000002</v>
      </c>
      <c r="K412" s="2378" t="e">
        <f>IF(H412=0,"",IF(J412&lt;#REF!*H412,"Timpang &lt;"&amp;TEXT(#REF!,"0%"),IF(J412&gt;#REF!*H412,"Timpang &gt;"&amp;TEXT(#REF!,"0%"),"Wajar")))</f>
        <v>#REF!</v>
      </c>
      <c r="L412" s="2391">
        <v>142838.90000000002</v>
      </c>
      <c r="M412" s="2391">
        <f t="shared" si="124"/>
        <v>1142711.2000000002</v>
      </c>
      <c r="N412" s="2375">
        <f t="shared" si="121"/>
        <v>4.991606388380711E-4</v>
      </c>
      <c r="O412" s="2375">
        <v>0</v>
      </c>
      <c r="P412" s="2398" t="s">
        <v>124</v>
      </c>
      <c r="Q412" s="2375">
        <f t="shared" si="109"/>
        <v>0</v>
      </c>
      <c r="R412" s="2375">
        <f t="shared" si="110"/>
        <v>0</v>
      </c>
      <c r="S412" s="2386">
        <v>0</v>
      </c>
      <c r="T412" s="2398"/>
      <c r="U412" s="2375">
        <f t="shared" si="118"/>
        <v>0</v>
      </c>
      <c r="V412" s="2375"/>
      <c r="W412" s="2382">
        <f t="shared" si="119"/>
        <v>8</v>
      </c>
      <c r="X412" s="2398" t="s">
        <v>124</v>
      </c>
      <c r="Y412" s="2375">
        <f t="shared" si="120"/>
        <v>142838.90000000002</v>
      </c>
      <c r="Z412" s="2375"/>
      <c r="AA412" s="2377" t="s">
        <v>3355</v>
      </c>
    </row>
    <row r="413" spans="1:27" s="331" customFormat="1" ht="25" hidden="1" customHeight="1">
      <c r="A413" s="2398">
        <f>A412+1</f>
        <v>6</v>
      </c>
      <c r="B413" s="2549" t="s">
        <v>463</v>
      </c>
      <c r="C413" s="2550"/>
      <c r="D413" s="2551"/>
      <c r="E413" s="2541">
        <v>1</v>
      </c>
      <c r="F413" s="2398" t="s">
        <v>360</v>
      </c>
      <c r="G413" s="2389">
        <v>709090</v>
      </c>
      <c r="H413" s="2389">
        <f t="shared" si="122"/>
        <v>709090</v>
      </c>
      <c r="I413" s="2465">
        <f>'Resume Analisa'!$D$156</f>
        <v>707936.42</v>
      </c>
      <c r="J413" s="2552">
        <f t="shared" si="123"/>
        <v>707936.42</v>
      </c>
      <c r="K413" s="2378" t="e">
        <f>IF(H413=0,"",IF(J413&lt;#REF!*H413,"Timpang &lt;"&amp;TEXT(#REF!,"0%"),IF(J413&gt;#REF!*H413,"Timpang &gt;"&amp;TEXT(#REF!,"0%"),"Wajar")))</f>
        <v>#REF!</v>
      </c>
      <c r="L413" s="2391">
        <v>707936.42</v>
      </c>
      <c r="M413" s="2391">
        <f t="shared" si="124"/>
        <v>707936.42</v>
      </c>
      <c r="N413" s="2375">
        <f t="shared" si="121"/>
        <v>3.0924173637568008E-4</v>
      </c>
      <c r="O413" s="2375">
        <v>0</v>
      </c>
      <c r="P413" s="2398" t="s">
        <v>360</v>
      </c>
      <c r="Q413" s="2375">
        <f t="shared" ref="Q413:Q476" si="125">O413*L413</f>
        <v>0</v>
      </c>
      <c r="R413" s="2375">
        <f t="shared" si="110"/>
        <v>0</v>
      </c>
      <c r="S413" s="2386">
        <v>0</v>
      </c>
      <c r="T413" s="2398"/>
      <c r="U413" s="2375">
        <f t="shared" si="118"/>
        <v>0</v>
      </c>
      <c r="V413" s="2375"/>
      <c r="W413" s="2382">
        <f t="shared" si="119"/>
        <v>1</v>
      </c>
      <c r="X413" s="2398" t="s">
        <v>360</v>
      </c>
      <c r="Y413" s="2375">
        <f t="shared" si="120"/>
        <v>707936.42</v>
      </c>
      <c r="Z413" s="2375"/>
      <c r="AA413" s="2377" t="s">
        <v>3355</v>
      </c>
    </row>
    <row r="414" spans="1:27" s="331" customFormat="1" ht="25" hidden="1" customHeight="1">
      <c r="A414" s="2398"/>
      <c r="B414" s="2549" t="s">
        <v>464</v>
      </c>
      <c r="C414" s="2550"/>
      <c r="D414" s="2551"/>
      <c r="E414" s="2541"/>
      <c r="F414" s="2398"/>
      <c r="G414" s="2389"/>
      <c r="H414" s="2389"/>
      <c r="I414" s="2465"/>
      <c r="J414" s="2567"/>
      <c r="K414" s="2389"/>
      <c r="L414" s="2391"/>
      <c r="M414" s="2391"/>
      <c r="N414" s="2375">
        <f t="shared" si="121"/>
        <v>0</v>
      </c>
      <c r="O414" s="2375">
        <v>0</v>
      </c>
      <c r="P414" s="2398"/>
      <c r="Q414" s="2375">
        <f t="shared" si="125"/>
        <v>0</v>
      </c>
      <c r="R414" s="2375">
        <f t="shared" si="110"/>
        <v>0</v>
      </c>
      <c r="S414" s="2375">
        <v>0</v>
      </c>
      <c r="T414" s="2398"/>
      <c r="U414" s="2375">
        <f t="shared" si="118"/>
        <v>0</v>
      </c>
      <c r="V414" s="2375"/>
      <c r="W414" s="2382">
        <f t="shared" si="119"/>
        <v>0</v>
      </c>
      <c r="X414" s="2398"/>
      <c r="Y414" s="2375">
        <f t="shared" si="120"/>
        <v>0</v>
      </c>
      <c r="Z414" s="2375"/>
      <c r="AA414" s="2377" t="s">
        <v>3355</v>
      </c>
    </row>
    <row r="415" spans="1:27" s="331" customFormat="1" ht="25" hidden="1" customHeight="1">
      <c r="A415" s="2398"/>
      <c r="B415" s="2549" t="s">
        <v>465</v>
      </c>
      <c r="C415" s="2550"/>
      <c r="D415" s="2551"/>
      <c r="E415" s="2541"/>
      <c r="F415" s="2398"/>
      <c r="G415" s="2389"/>
      <c r="H415" s="2389"/>
      <c r="I415" s="2465"/>
      <c r="J415" s="2567"/>
      <c r="K415" s="2389"/>
      <c r="L415" s="2391"/>
      <c r="M415" s="2391"/>
      <c r="N415" s="2375">
        <f t="shared" si="121"/>
        <v>0</v>
      </c>
      <c r="O415" s="2375">
        <v>0</v>
      </c>
      <c r="P415" s="2398"/>
      <c r="Q415" s="2375">
        <f t="shared" si="125"/>
        <v>0</v>
      </c>
      <c r="R415" s="2375">
        <f t="shared" si="110"/>
        <v>0</v>
      </c>
      <c r="S415" s="2375">
        <v>0</v>
      </c>
      <c r="T415" s="2398"/>
      <c r="U415" s="2375">
        <f t="shared" si="118"/>
        <v>0</v>
      </c>
      <c r="V415" s="2375"/>
      <c r="W415" s="2382">
        <f t="shared" si="119"/>
        <v>0</v>
      </c>
      <c r="X415" s="2398"/>
      <c r="Y415" s="2375">
        <f t="shared" si="120"/>
        <v>0</v>
      </c>
      <c r="Z415" s="2375"/>
      <c r="AA415" s="2377" t="s">
        <v>3355</v>
      </c>
    </row>
    <row r="416" spans="1:27" s="331" customFormat="1" ht="25" hidden="1" customHeight="1">
      <c r="A416" s="2398"/>
      <c r="B416" s="2549" t="s">
        <v>466</v>
      </c>
      <c r="C416" s="2550"/>
      <c r="D416" s="2551"/>
      <c r="E416" s="2541"/>
      <c r="F416" s="2398"/>
      <c r="G416" s="2389"/>
      <c r="H416" s="2389"/>
      <c r="I416" s="2465"/>
      <c r="J416" s="2567"/>
      <c r="K416" s="2389"/>
      <c r="L416" s="2391"/>
      <c r="M416" s="2391"/>
      <c r="N416" s="2375">
        <f t="shared" si="121"/>
        <v>0</v>
      </c>
      <c r="O416" s="2375">
        <v>0</v>
      </c>
      <c r="P416" s="2398"/>
      <c r="Q416" s="2375">
        <f t="shared" si="125"/>
        <v>0</v>
      </c>
      <c r="R416" s="2375">
        <f t="shared" si="110"/>
        <v>0</v>
      </c>
      <c r="S416" s="2375">
        <v>0</v>
      </c>
      <c r="T416" s="2398"/>
      <c r="U416" s="2375">
        <f t="shared" si="118"/>
        <v>0</v>
      </c>
      <c r="V416" s="2375"/>
      <c r="W416" s="2382">
        <f t="shared" si="119"/>
        <v>0</v>
      </c>
      <c r="X416" s="2398"/>
      <c r="Y416" s="2375">
        <f t="shared" si="120"/>
        <v>0</v>
      </c>
      <c r="Z416" s="2375"/>
      <c r="AA416" s="2377" t="s">
        <v>3355</v>
      </c>
    </row>
    <row r="417" spans="1:27" s="331" customFormat="1" ht="25" hidden="1" customHeight="1">
      <c r="A417" s="2398"/>
      <c r="B417" s="2704"/>
      <c r="C417" s="2705"/>
      <c r="D417" s="2632" t="s">
        <v>376</v>
      </c>
      <c r="E417" s="2706"/>
      <c r="F417" s="2537"/>
      <c r="G417" s="2546"/>
      <c r="H417" s="2546">
        <f>SUM(H408:H416)</f>
        <v>7197147.8300000001</v>
      </c>
      <c r="I417" s="2545"/>
      <c r="J417" s="2545">
        <f>SUM(J408:J416)</f>
        <v>7323908.5999999996</v>
      </c>
      <c r="K417" s="2709"/>
      <c r="L417" s="2457"/>
      <c r="M417" s="2457">
        <f>SUM(M408:M416)</f>
        <v>7323908.5999999996</v>
      </c>
      <c r="N417" s="2375">
        <f t="shared" si="121"/>
        <v>3.1992395765156082E-3</v>
      </c>
      <c r="O417" s="2375">
        <v>0</v>
      </c>
      <c r="P417" s="2537"/>
      <c r="Q417" s="2375">
        <f t="shared" si="125"/>
        <v>0</v>
      </c>
      <c r="R417" s="2375">
        <f t="shared" si="110"/>
        <v>0</v>
      </c>
      <c r="S417" s="2375">
        <v>0</v>
      </c>
      <c r="T417" s="2398"/>
      <c r="U417" s="2375">
        <f t="shared" si="118"/>
        <v>0</v>
      </c>
      <c r="V417" s="2375"/>
      <c r="W417" s="2382">
        <f t="shared" si="119"/>
        <v>0</v>
      </c>
      <c r="X417" s="2537"/>
      <c r="Y417" s="2375">
        <f t="shared" si="120"/>
        <v>0</v>
      </c>
      <c r="Z417" s="2375"/>
      <c r="AA417" s="2377" t="s">
        <v>3355</v>
      </c>
    </row>
    <row r="418" spans="1:27" s="399" customFormat="1" ht="25" customHeight="1">
      <c r="A418" s="2693" t="s">
        <v>548</v>
      </c>
      <c r="B418" s="2538" t="s">
        <v>549</v>
      </c>
      <c r="C418" s="2550"/>
      <c r="D418" s="2551"/>
      <c r="E418" s="2710"/>
      <c r="F418" s="2710"/>
      <c r="G418" s="2710"/>
      <c r="H418" s="2710"/>
      <c r="I418" s="2710"/>
      <c r="J418" s="2710"/>
      <c r="K418" s="2372"/>
      <c r="L418" s="2391"/>
      <c r="M418" s="2391"/>
      <c r="N418" s="2375"/>
      <c r="O418" s="2375"/>
      <c r="P418" s="2710"/>
      <c r="Q418" s="2375"/>
      <c r="R418" s="2375">
        <f t="shared" si="110"/>
        <v>0</v>
      </c>
      <c r="S418" s="2375"/>
      <c r="T418" s="2398"/>
      <c r="U418" s="2375"/>
      <c r="V418" s="2375"/>
      <c r="W418" s="2382">
        <f t="shared" si="119"/>
        <v>0</v>
      </c>
      <c r="X418" s="2710"/>
      <c r="Y418" s="2375">
        <f t="shared" si="120"/>
        <v>0</v>
      </c>
      <c r="Z418" s="2375"/>
      <c r="AA418" s="2377"/>
    </row>
    <row r="419" spans="1:27" s="399" customFormat="1" ht="25" customHeight="1">
      <c r="A419" s="2537" t="s">
        <v>550</v>
      </c>
      <c r="B419" s="2538" t="s">
        <v>395</v>
      </c>
      <c r="C419" s="2550"/>
      <c r="D419" s="2551"/>
      <c r="E419" s="2397"/>
      <c r="F419" s="2398"/>
      <c r="G419" s="2567"/>
      <c r="H419" s="2567"/>
      <c r="I419" s="2465"/>
      <c r="J419" s="2567"/>
      <c r="K419" s="2389"/>
      <c r="L419" s="2391"/>
      <c r="M419" s="2391"/>
      <c r="N419" s="2375"/>
      <c r="O419" s="2375"/>
      <c r="P419" s="2398"/>
      <c r="Q419" s="2375"/>
      <c r="R419" s="2375">
        <f t="shared" si="110"/>
        <v>0</v>
      </c>
      <c r="S419" s="2386"/>
      <c r="T419" s="2398"/>
      <c r="U419" s="2375"/>
      <c r="V419" s="2375"/>
      <c r="W419" s="2382">
        <f t="shared" si="119"/>
        <v>0</v>
      </c>
      <c r="X419" s="2398"/>
      <c r="Y419" s="2375">
        <f t="shared" si="120"/>
        <v>0</v>
      </c>
      <c r="Z419" s="2375"/>
      <c r="AA419" s="2377"/>
    </row>
    <row r="420" spans="1:27" s="399" customFormat="1" ht="25" customHeight="1">
      <c r="A420" s="2398">
        <v>1</v>
      </c>
      <c r="B420" s="2549" t="s">
        <v>396</v>
      </c>
      <c r="C420" s="2550"/>
      <c r="D420" s="2551"/>
      <c r="E420" s="2397">
        <f>'7. Vol Kios 3x4'!$M$15</f>
        <v>18</v>
      </c>
      <c r="F420" s="2398" t="s">
        <v>117</v>
      </c>
      <c r="G420" s="2567">
        <v>167131.79999999999</v>
      </c>
      <c r="H420" s="2567">
        <f>E420*G420</f>
        <v>3008372.4</v>
      </c>
      <c r="I420" s="2465">
        <f>'Resume Analisa'!$D$9</f>
        <v>174862.27000000002</v>
      </c>
      <c r="J420" s="2567">
        <f>E420*I420</f>
        <v>3147520.8600000003</v>
      </c>
      <c r="K420" s="2378" t="e">
        <f>IF(H420=0,"",IF(J420&lt;#REF!*H420,"Timpang &lt;"&amp;TEXT(#REF!,"0%"),IF(J420&gt;#REF!*H420,"Timpang &gt;"&amp;TEXT(#REF!,"0%"),"Wajar")))</f>
        <v>#REF!</v>
      </c>
      <c r="L420" s="2391">
        <v>174862.27000000002</v>
      </c>
      <c r="M420" s="2391">
        <f>E420*L420</f>
        <v>3147520.8600000003</v>
      </c>
      <c r="N420" s="2375">
        <f t="shared" ref="N420:N451" si="126">M420/$M$8*100</f>
        <v>0.13749042831064884</v>
      </c>
      <c r="O420" s="2375">
        <v>0</v>
      </c>
      <c r="P420" s="2398"/>
      <c r="Q420" s="2375">
        <f t="shared" si="125"/>
        <v>0</v>
      </c>
      <c r="R420" s="2375">
        <f t="shared" si="110"/>
        <v>0</v>
      </c>
      <c r="S420" s="2386">
        <v>0</v>
      </c>
      <c r="T420" s="2398"/>
      <c r="U420" s="2375">
        <f t="shared" si="118"/>
        <v>0</v>
      </c>
      <c r="V420" s="2375"/>
      <c r="W420" s="2382">
        <f t="shared" si="119"/>
        <v>18</v>
      </c>
      <c r="X420" s="2398" t="s">
        <v>117</v>
      </c>
      <c r="Y420" s="2375">
        <f>W420*L420</f>
        <v>3147520.8600000003</v>
      </c>
      <c r="Z420" s="2375">
        <f t="shared" ref="Z420:Z451" si="127">Y420/$M$8*100</f>
        <v>0.13749042831064884</v>
      </c>
      <c r="AA420" s="2377" t="s">
        <v>3355</v>
      </c>
    </row>
    <row r="421" spans="1:27" s="399" customFormat="1" ht="25" customHeight="1">
      <c r="A421" s="2553">
        <f>A420+1</f>
        <v>2</v>
      </c>
      <c r="B421" s="2554" t="s">
        <v>397</v>
      </c>
      <c r="C421" s="2550"/>
      <c r="D421" s="2551"/>
      <c r="E421" s="2397"/>
      <c r="F421" s="2398"/>
      <c r="G421" s="2567"/>
      <c r="H421" s="2567"/>
      <c r="I421" s="2480"/>
      <c r="J421" s="2552"/>
      <c r="K421" s="2389"/>
      <c r="L421" s="2391"/>
      <c r="M421" s="2391"/>
      <c r="N421" s="2375">
        <f t="shared" si="126"/>
        <v>0</v>
      </c>
      <c r="O421" s="2375">
        <v>0</v>
      </c>
      <c r="P421" s="2398"/>
      <c r="Q421" s="2375">
        <f t="shared" si="125"/>
        <v>0</v>
      </c>
      <c r="R421" s="2375">
        <f t="shared" si="110"/>
        <v>0</v>
      </c>
      <c r="S421" s="2375">
        <v>0</v>
      </c>
      <c r="T421" s="2398"/>
      <c r="U421" s="2375">
        <f t="shared" si="118"/>
        <v>0</v>
      </c>
      <c r="V421" s="2375"/>
      <c r="W421" s="2382">
        <f t="shared" si="119"/>
        <v>0</v>
      </c>
      <c r="X421" s="2398"/>
      <c r="Y421" s="2375">
        <f t="shared" ref="Y421:Y484" si="128">W421*L421</f>
        <v>0</v>
      </c>
      <c r="Z421" s="2375">
        <f t="shared" si="127"/>
        <v>0</v>
      </c>
      <c r="AA421" s="2377"/>
    </row>
    <row r="422" spans="1:27" s="399" customFormat="1" ht="25" customHeight="1">
      <c r="A422" s="2711" t="s">
        <v>95</v>
      </c>
      <c r="B422" s="2554" t="s">
        <v>398</v>
      </c>
      <c r="C422" s="2550"/>
      <c r="D422" s="2551"/>
      <c r="E422" s="2397">
        <f>'7. Vol Kios 3x4'!$M$17</f>
        <v>4.8000000000000007</v>
      </c>
      <c r="F422" s="2398" t="s">
        <v>103</v>
      </c>
      <c r="G422" s="2567">
        <v>50600</v>
      </c>
      <c r="H422" s="2567">
        <f t="shared" ref="H422:H428" si="129">E422*G422</f>
        <v>242880.00000000003</v>
      </c>
      <c r="I422" s="2465">
        <f>'Resume Analisa'!$D$18</f>
        <v>49036.76</v>
      </c>
      <c r="J422" s="2552">
        <f t="shared" ref="J422:J427" si="130">E422*I422</f>
        <v>235376.44800000003</v>
      </c>
      <c r="K422" s="2378" t="e">
        <f>IF(H422=0,"",IF(J422&lt;#REF!*H422,"Timpang &lt;"&amp;TEXT(#REF!,"0%"),IF(J422&gt;#REF!*H422,"Timpang &gt;"&amp;TEXT(#REF!,"0%"),"Wajar")))</f>
        <v>#REF!</v>
      </c>
      <c r="L422" s="2391">
        <v>49036.76</v>
      </c>
      <c r="M422" s="2391">
        <f t="shared" ref="M422:M428" si="131">E422*L422</f>
        <v>235376.44800000003</v>
      </c>
      <c r="N422" s="2375">
        <f t="shared" si="126"/>
        <v>1.0281745567131576E-2</v>
      </c>
      <c r="O422" s="2375">
        <v>0</v>
      </c>
      <c r="P422" s="2398"/>
      <c r="Q422" s="2375">
        <f t="shared" si="125"/>
        <v>0</v>
      </c>
      <c r="R422" s="2375">
        <f t="shared" si="110"/>
        <v>0</v>
      </c>
      <c r="S422" s="2375">
        <v>0</v>
      </c>
      <c r="T422" s="2398"/>
      <c r="U422" s="2375">
        <f t="shared" si="118"/>
        <v>0</v>
      </c>
      <c r="V422" s="2375"/>
      <c r="W422" s="2382">
        <f t="shared" si="119"/>
        <v>4.8000000000000007</v>
      </c>
      <c r="X422" s="2398" t="s">
        <v>103</v>
      </c>
      <c r="Y422" s="2375">
        <f t="shared" si="128"/>
        <v>235376.44800000003</v>
      </c>
      <c r="Z422" s="2375">
        <f t="shared" si="127"/>
        <v>1.0281745567131576E-2</v>
      </c>
      <c r="AA422" s="2377" t="s">
        <v>3355</v>
      </c>
    </row>
    <row r="423" spans="1:27" s="399" customFormat="1" ht="25" customHeight="1">
      <c r="A423" s="2711" t="s">
        <v>98</v>
      </c>
      <c r="B423" s="2554" t="s">
        <v>399</v>
      </c>
      <c r="C423" s="2550"/>
      <c r="D423" s="2551"/>
      <c r="E423" s="2397">
        <f>'7. Vol Kios 3x4'!$M$18</f>
        <v>0.28000000000000003</v>
      </c>
      <c r="F423" s="2398" t="s">
        <v>103</v>
      </c>
      <c r="G423" s="2567">
        <v>507759.96</v>
      </c>
      <c r="H423" s="2567">
        <f t="shared" si="129"/>
        <v>142172.78880000001</v>
      </c>
      <c r="I423" s="2480">
        <f>'Resume Analisa'!$D$26</f>
        <v>475358.64</v>
      </c>
      <c r="J423" s="2552">
        <f t="shared" si="130"/>
        <v>133100.4192</v>
      </c>
      <c r="K423" s="2378" t="e">
        <f>IF(H423=0,"",IF(J423&lt;#REF!*H423,"Timpang &lt;"&amp;TEXT(#REF!,"0%"),IF(J423&gt;#REF!*H423,"Timpang &gt;"&amp;TEXT(#REF!,"0%"),"Wajar")))</f>
        <v>#REF!</v>
      </c>
      <c r="L423" s="2391">
        <v>475358.64</v>
      </c>
      <c r="M423" s="2391">
        <f t="shared" si="131"/>
        <v>133100.4192</v>
      </c>
      <c r="N423" s="2375">
        <f t="shared" si="126"/>
        <v>5.8141103611732397E-3</v>
      </c>
      <c r="O423" s="2375">
        <v>0</v>
      </c>
      <c r="P423" s="2398"/>
      <c r="Q423" s="2375">
        <f t="shared" si="125"/>
        <v>0</v>
      </c>
      <c r="R423" s="2375">
        <f t="shared" si="110"/>
        <v>0</v>
      </c>
      <c r="S423" s="2375">
        <v>0</v>
      </c>
      <c r="T423" s="2398"/>
      <c r="U423" s="2375">
        <f t="shared" si="118"/>
        <v>0</v>
      </c>
      <c r="V423" s="2375"/>
      <c r="W423" s="2382">
        <f t="shared" si="119"/>
        <v>0.28000000000000003</v>
      </c>
      <c r="X423" s="2398" t="s">
        <v>103</v>
      </c>
      <c r="Y423" s="2375">
        <f t="shared" si="128"/>
        <v>133100.4192</v>
      </c>
      <c r="Z423" s="2375">
        <f t="shared" si="127"/>
        <v>5.8141103611732397E-3</v>
      </c>
      <c r="AA423" s="2377" t="s">
        <v>3355</v>
      </c>
    </row>
    <row r="424" spans="1:27" s="399" customFormat="1" ht="25" customHeight="1">
      <c r="A424" s="2711" t="s">
        <v>101</v>
      </c>
      <c r="B424" s="2554" t="s">
        <v>400</v>
      </c>
      <c r="C424" s="2550"/>
      <c r="D424" s="2551"/>
      <c r="E424" s="2397">
        <f>'7. Vol Kios 3x4'!$M$19</f>
        <v>0.12</v>
      </c>
      <c r="F424" s="2398" t="s">
        <v>103</v>
      </c>
      <c r="G424" s="2567">
        <v>1422226.08</v>
      </c>
      <c r="H424" s="2567">
        <f t="shared" si="129"/>
        <v>170667.12960000001</v>
      </c>
      <c r="I424" s="2465">
        <f>'Resume Analisa'!$D$54</f>
        <v>1384580.76</v>
      </c>
      <c r="J424" s="2552">
        <f t="shared" si="130"/>
        <v>166149.6912</v>
      </c>
      <c r="K424" s="2378" t="e">
        <f>IF(H424=0,"",IF(J424&lt;#REF!*H424,"Timpang &lt;"&amp;TEXT(#REF!,"0%"),IF(J424&gt;#REF!*H424,"Timpang &gt;"&amp;TEXT(#REF!,"0%"),"Wajar")))</f>
        <v>#REF!</v>
      </c>
      <c r="L424" s="2391">
        <v>1384580.76</v>
      </c>
      <c r="M424" s="2391">
        <f t="shared" si="131"/>
        <v>166149.6912</v>
      </c>
      <c r="N424" s="2375">
        <f t="shared" si="126"/>
        <v>7.2577730928112235E-3</v>
      </c>
      <c r="O424" s="2375">
        <v>0</v>
      </c>
      <c r="P424" s="2398"/>
      <c r="Q424" s="2375">
        <f t="shared" si="125"/>
        <v>0</v>
      </c>
      <c r="R424" s="2375">
        <f t="shared" si="110"/>
        <v>0</v>
      </c>
      <c r="S424" s="2375">
        <v>0</v>
      </c>
      <c r="T424" s="2398"/>
      <c r="U424" s="2375">
        <f t="shared" si="118"/>
        <v>0</v>
      </c>
      <c r="V424" s="2375"/>
      <c r="W424" s="2382">
        <f t="shared" si="119"/>
        <v>0.12</v>
      </c>
      <c r="X424" s="2398" t="s">
        <v>103</v>
      </c>
      <c r="Y424" s="2375">
        <f t="shared" si="128"/>
        <v>166149.6912</v>
      </c>
      <c r="Z424" s="2375">
        <f t="shared" si="127"/>
        <v>7.2577730928112235E-3</v>
      </c>
      <c r="AA424" s="2377" t="s">
        <v>3355</v>
      </c>
    </row>
    <row r="425" spans="1:27" s="399" customFormat="1" ht="25" customHeight="1">
      <c r="A425" s="2711" t="s">
        <v>121</v>
      </c>
      <c r="B425" s="2554" t="s">
        <v>401</v>
      </c>
      <c r="C425" s="2550"/>
      <c r="D425" s="2551"/>
      <c r="E425" s="2397">
        <f>'7. Vol Kios 3x4'!$M$20</f>
        <v>4.8000000000000025</v>
      </c>
      <c r="F425" s="2398" t="s">
        <v>103</v>
      </c>
      <c r="G425" s="2567">
        <v>188325.18000000002</v>
      </c>
      <c r="H425" s="2567">
        <f t="shared" si="129"/>
        <v>903960.86400000053</v>
      </c>
      <c r="I425" s="2465">
        <f>'Resume Analisa'!$D$68</f>
        <v>181829.52000000002</v>
      </c>
      <c r="J425" s="2552">
        <f t="shared" si="130"/>
        <v>872781.69600000058</v>
      </c>
      <c r="K425" s="2378" t="e">
        <f>IF(H425=0,"",IF(J425&lt;#REF!*H425,"Timpang &lt;"&amp;TEXT(#REF!,"0%"),IF(J425&gt;#REF!*H425,"Timpang &gt;"&amp;TEXT(#REF!,"0%"),"Wajar")))</f>
        <v>#REF!</v>
      </c>
      <c r="L425" s="2391">
        <v>181829.52000000002</v>
      </c>
      <c r="M425" s="2391">
        <f t="shared" si="131"/>
        <v>872781.69600000058</v>
      </c>
      <c r="N425" s="2375">
        <f t="shared" si="126"/>
        <v>3.8124967090681826E-2</v>
      </c>
      <c r="O425" s="2375">
        <v>0</v>
      </c>
      <c r="P425" s="2398"/>
      <c r="Q425" s="2375">
        <f t="shared" si="125"/>
        <v>0</v>
      </c>
      <c r="R425" s="2375">
        <f t="shared" si="110"/>
        <v>0</v>
      </c>
      <c r="S425" s="2375">
        <v>0</v>
      </c>
      <c r="T425" s="2398"/>
      <c r="U425" s="2375">
        <f t="shared" si="118"/>
        <v>0</v>
      </c>
      <c r="V425" s="2375"/>
      <c r="W425" s="2382">
        <f t="shared" si="119"/>
        <v>4.8000000000000025</v>
      </c>
      <c r="X425" s="2398" t="s">
        <v>103</v>
      </c>
      <c r="Y425" s="2375">
        <f t="shared" si="128"/>
        <v>872781.69600000058</v>
      </c>
      <c r="Z425" s="2375">
        <f t="shared" si="127"/>
        <v>3.8124967090681826E-2</v>
      </c>
      <c r="AA425" s="2377" t="s">
        <v>3355</v>
      </c>
    </row>
    <row r="426" spans="1:27" s="399" customFormat="1" ht="25" customHeight="1">
      <c r="A426" s="2711" t="s">
        <v>142</v>
      </c>
      <c r="B426" s="2554" t="s">
        <v>386</v>
      </c>
      <c r="C426" s="2550"/>
      <c r="D426" s="2551"/>
      <c r="E426" s="2397">
        <f>'7. Vol Kios 3x4'!$M$21</f>
        <v>22.194000000000003</v>
      </c>
      <c r="F426" s="2398" t="s">
        <v>100</v>
      </c>
      <c r="G426" s="2712">
        <v>19151.18</v>
      </c>
      <c r="H426" s="2567">
        <f t="shared" si="129"/>
        <v>425041.28892000008</v>
      </c>
      <c r="I426" s="2474">
        <f>'Resume Analisa'!$D$48</f>
        <v>18790.969999999998</v>
      </c>
      <c r="J426" s="2552">
        <f t="shared" si="130"/>
        <v>417046.78817999997</v>
      </c>
      <c r="K426" s="2378" t="e">
        <f>IF(H426=0,"",IF(J426&lt;#REF!*H426,"Timpang &lt;"&amp;TEXT(#REF!,"0%"),IF(J426&gt;#REF!*H426,"Timpang &gt;"&amp;TEXT(#REF!,"0%"),"Wajar")))</f>
        <v>#REF!</v>
      </c>
      <c r="L426" s="2475">
        <v>18790.969999999998</v>
      </c>
      <c r="M426" s="2391">
        <f t="shared" si="131"/>
        <v>417046.78817999997</v>
      </c>
      <c r="N426" s="2375">
        <f t="shared" si="126"/>
        <v>1.8217493730112604E-2</v>
      </c>
      <c r="O426" s="2375">
        <v>0</v>
      </c>
      <c r="P426" s="2398"/>
      <c r="Q426" s="2375">
        <f t="shared" si="125"/>
        <v>0</v>
      </c>
      <c r="R426" s="2375">
        <f t="shared" si="110"/>
        <v>0</v>
      </c>
      <c r="S426" s="2386">
        <v>0</v>
      </c>
      <c r="T426" s="2398"/>
      <c r="U426" s="2375">
        <f t="shared" si="118"/>
        <v>0</v>
      </c>
      <c r="V426" s="2375"/>
      <c r="W426" s="2382">
        <f t="shared" si="119"/>
        <v>22.194000000000003</v>
      </c>
      <c r="X426" s="2398" t="s">
        <v>100</v>
      </c>
      <c r="Y426" s="2375">
        <f t="shared" si="128"/>
        <v>417046.78817999997</v>
      </c>
      <c r="Z426" s="2375">
        <f t="shared" si="127"/>
        <v>1.8217493730112604E-2</v>
      </c>
      <c r="AA426" s="2377" t="s">
        <v>3355</v>
      </c>
    </row>
    <row r="427" spans="1:27" s="399" customFormat="1" ht="25" customHeight="1">
      <c r="A427" s="2711" t="s">
        <v>217</v>
      </c>
      <c r="B427" s="2549" t="s">
        <v>169</v>
      </c>
      <c r="C427" s="2550"/>
      <c r="D427" s="2551"/>
      <c r="E427" s="2397">
        <f>'7. Vol Kios 3x4'!$M$22</f>
        <v>0.76800000000000057</v>
      </c>
      <c r="F427" s="2398" t="s">
        <v>103</v>
      </c>
      <c r="G427" s="2567">
        <v>1584129.98</v>
      </c>
      <c r="H427" s="2567">
        <f t="shared" si="129"/>
        <v>1216611.8246400009</v>
      </c>
      <c r="I427" s="2465">
        <f>'Resume Analisa'!$D$55</f>
        <v>1535009.1300000001</v>
      </c>
      <c r="J427" s="2552">
        <f t="shared" si="130"/>
        <v>1178887.011840001</v>
      </c>
      <c r="K427" s="2378" t="e">
        <f>IF(H427=0,"",IF(J427&lt;#REF!*H427,"Timpang &lt;"&amp;TEXT(#REF!,"0%"),IF(J427&gt;#REF!*H427,"Timpang &gt;"&amp;TEXT(#REF!,"0%"),"Wajar")))</f>
        <v>#REF!</v>
      </c>
      <c r="L427" s="2391">
        <v>1535009.1300000001</v>
      </c>
      <c r="M427" s="2391">
        <f t="shared" si="131"/>
        <v>1178887.011840001</v>
      </c>
      <c r="N427" s="2375">
        <f t="shared" si="126"/>
        <v>5.1496300548026445E-2</v>
      </c>
      <c r="O427" s="2375">
        <v>0</v>
      </c>
      <c r="P427" s="2398"/>
      <c r="Q427" s="2375">
        <f t="shared" si="125"/>
        <v>0</v>
      </c>
      <c r="R427" s="2375">
        <f t="shared" ref="R427:R490" si="132">Q427/$M$8*100</f>
        <v>0</v>
      </c>
      <c r="S427" s="2386">
        <v>0</v>
      </c>
      <c r="T427" s="2398"/>
      <c r="U427" s="2375">
        <f t="shared" si="118"/>
        <v>0</v>
      </c>
      <c r="V427" s="2375"/>
      <c r="W427" s="2382">
        <f t="shared" si="119"/>
        <v>0.76800000000000057</v>
      </c>
      <c r="X427" s="2398" t="s">
        <v>103</v>
      </c>
      <c r="Y427" s="2375">
        <f t="shared" si="128"/>
        <v>1178887.011840001</v>
      </c>
      <c r="Z427" s="2375">
        <f t="shared" si="127"/>
        <v>5.1496300548026445E-2</v>
      </c>
      <c r="AA427" s="2377" t="s">
        <v>3355</v>
      </c>
    </row>
    <row r="428" spans="1:27" s="399" customFormat="1" ht="25" customHeight="1">
      <c r="A428" s="2711" t="s">
        <v>366</v>
      </c>
      <c r="B428" s="2554" t="s">
        <v>383</v>
      </c>
      <c r="C428" s="2550"/>
      <c r="D428" s="2551"/>
      <c r="E428" s="2397">
        <f>'7. Vol Kios 3x4'!$M$23</f>
        <v>80</v>
      </c>
      <c r="F428" s="2398" t="s">
        <v>117</v>
      </c>
      <c r="G428" s="2567">
        <v>34019.880000000005</v>
      </c>
      <c r="H428" s="2567">
        <f t="shared" si="129"/>
        <v>2721590.4000000004</v>
      </c>
      <c r="I428" s="2465">
        <f>'Resume Analisa'!$D$37</f>
        <v>33453.230000000003</v>
      </c>
      <c r="J428" s="2480">
        <f>I428*E428</f>
        <v>2676258.4000000004</v>
      </c>
      <c r="K428" s="2378" t="e">
        <f>IF(H428=0,"",IF(J428&lt;#REF!*H428,"Timpang &lt;"&amp;TEXT(#REF!,"0%"),IF(J428&gt;#REF!*H428,"Timpang &gt;"&amp;TEXT(#REF!,"0%"),"Wajar")))</f>
        <v>#REF!</v>
      </c>
      <c r="L428" s="2391">
        <v>33453.230000000003</v>
      </c>
      <c r="M428" s="2391">
        <f t="shared" si="131"/>
        <v>2676258.4000000004</v>
      </c>
      <c r="N428" s="2375">
        <f t="shared" si="126"/>
        <v>0.11690467833340165</v>
      </c>
      <c r="O428" s="2375">
        <v>0</v>
      </c>
      <c r="P428" s="2398"/>
      <c r="Q428" s="2375">
        <f t="shared" si="125"/>
        <v>0</v>
      </c>
      <c r="R428" s="2375">
        <f t="shared" si="132"/>
        <v>0</v>
      </c>
      <c r="S428" s="2375">
        <v>0</v>
      </c>
      <c r="T428" s="2398"/>
      <c r="U428" s="2375">
        <f t="shared" si="118"/>
        <v>0</v>
      </c>
      <c r="V428" s="2375"/>
      <c r="W428" s="2382">
        <f t="shared" si="119"/>
        <v>80</v>
      </c>
      <c r="X428" s="2398" t="s">
        <v>117</v>
      </c>
      <c r="Y428" s="2375">
        <f t="shared" si="128"/>
        <v>2676258.4000000004</v>
      </c>
      <c r="Z428" s="2375">
        <f t="shared" si="127"/>
        <v>0.11690467833340165</v>
      </c>
      <c r="AA428" s="2377" t="s">
        <v>3355</v>
      </c>
    </row>
    <row r="429" spans="1:27" s="399" customFormat="1" ht="25" customHeight="1">
      <c r="A429" s="2398">
        <f>A421+1</f>
        <v>3</v>
      </c>
      <c r="B429" s="2549" t="s">
        <v>551</v>
      </c>
      <c r="C429" s="2550"/>
      <c r="D429" s="2551"/>
      <c r="E429" s="2397"/>
      <c r="F429" s="2398"/>
      <c r="G429" s="2567"/>
      <c r="H429" s="2567"/>
      <c r="I429" s="2465"/>
      <c r="J429" s="2567"/>
      <c r="K429" s="2389"/>
      <c r="L429" s="2391"/>
      <c r="M429" s="2391"/>
      <c r="N429" s="2375">
        <f t="shared" si="126"/>
        <v>0</v>
      </c>
      <c r="O429" s="2375">
        <v>0</v>
      </c>
      <c r="P429" s="2398"/>
      <c r="Q429" s="2375">
        <f t="shared" si="125"/>
        <v>0</v>
      </c>
      <c r="R429" s="2375">
        <f t="shared" si="132"/>
        <v>0</v>
      </c>
      <c r="S429" s="2375">
        <v>0</v>
      </c>
      <c r="T429" s="2398"/>
      <c r="U429" s="2375">
        <f t="shared" si="118"/>
        <v>0</v>
      </c>
      <c r="V429" s="2375"/>
      <c r="W429" s="2382">
        <f t="shared" si="119"/>
        <v>0</v>
      </c>
      <c r="X429" s="2398"/>
      <c r="Y429" s="2375">
        <f t="shared" si="128"/>
        <v>0</v>
      </c>
      <c r="Z429" s="2375">
        <f t="shared" si="127"/>
        <v>0</v>
      </c>
      <c r="AA429" s="2377"/>
    </row>
    <row r="430" spans="1:27" s="399" customFormat="1" ht="25" customHeight="1">
      <c r="A430" s="2555" t="s">
        <v>95</v>
      </c>
      <c r="B430" s="2549" t="s">
        <v>382</v>
      </c>
      <c r="C430" s="2550"/>
      <c r="D430" s="2551"/>
      <c r="E430" s="2397">
        <f>'7. Vol Kios 3x4'!$M$30</f>
        <v>11.832000000000004</v>
      </c>
      <c r="F430" s="2398" t="s">
        <v>103</v>
      </c>
      <c r="G430" s="2567">
        <v>50600</v>
      </c>
      <c r="H430" s="2567">
        <f>E430*G430</f>
        <v>598699.20000000019</v>
      </c>
      <c r="I430" s="2465">
        <f>'Resume Analisa'!$D$18</f>
        <v>49036.76</v>
      </c>
      <c r="J430" s="2480">
        <f>I430*E430</f>
        <v>580202.94432000024</v>
      </c>
      <c r="K430" s="2378" t="e">
        <f>IF(H430=0,"",IF(J430&lt;#REF!*H430,"Timpang &lt;"&amp;TEXT(#REF!,"0%"),IF(J430&gt;#REF!*H430,"Timpang &gt;"&amp;TEXT(#REF!,"0%"),"Wajar")))</f>
        <v>#REF!</v>
      </c>
      <c r="L430" s="2391">
        <v>49036.76</v>
      </c>
      <c r="M430" s="2391">
        <f>E430*L430</f>
        <v>580202.94432000024</v>
      </c>
      <c r="N430" s="2375">
        <f t="shared" si="126"/>
        <v>2.5344502822979342E-2</v>
      </c>
      <c r="O430" s="2375">
        <v>0</v>
      </c>
      <c r="P430" s="2398"/>
      <c r="Q430" s="2375">
        <f t="shared" si="125"/>
        <v>0</v>
      </c>
      <c r="R430" s="2375">
        <f t="shared" si="132"/>
        <v>0</v>
      </c>
      <c r="S430" s="2375">
        <v>0</v>
      </c>
      <c r="T430" s="2398"/>
      <c r="U430" s="2375">
        <f t="shared" si="118"/>
        <v>0</v>
      </c>
      <c r="V430" s="2375"/>
      <c r="W430" s="2382">
        <f t="shared" si="119"/>
        <v>11.832000000000004</v>
      </c>
      <c r="X430" s="2398" t="s">
        <v>103</v>
      </c>
      <c r="Y430" s="2375">
        <f t="shared" si="128"/>
        <v>580202.94432000024</v>
      </c>
      <c r="Z430" s="2375">
        <f t="shared" si="127"/>
        <v>2.5344502822979342E-2</v>
      </c>
      <c r="AA430" s="2377" t="s">
        <v>3355</v>
      </c>
    </row>
    <row r="431" spans="1:27" s="399" customFormat="1" ht="25" customHeight="1">
      <c r="A431" s="2555" t="s">
        <v>98</v>
      </c>
      <c r="B431" s="2556" t="s">
        <v>405</v>
      </c>
      <c r="C431" s="2557"/>
      <c r="D431" s="2558"/>
      <c r="E431" s="2559">
        <f>'7. Vol Kios 3x4'!$M$37*0</f>
        <v>0</v>
      </c>
      <c r="F431" s="2560" t="s">
        <v>117</v>
      </c>
      <c r="G431" s="2567">
        <v>34019.880000000005</v>
      </c>
      <c r="H431" s="2567">
        <f>E431*G431</f>
        <v>0</v>
      </c>
      <c r="I431" s="2465">
        <f>'Resume Analisa'!$D$37</f>
        <v>33453.230000000003</v>
      </c>
      <c r="J431" s="2480">
        <f>I431*E431</f>
        <v>0</v>
      </c>
      <c r="K431" s="2378" t="str">
        <f>IF(H431=0,"",IF(J431&lt;#REF!*H431,"Timpang &lt;"&amp;TEXT(#REF!,"0%"),IF(J431&gt;#REF!*H431,"Timpang &gt;"&amp;TEXT(#REF!,"0%"),"Wajar")))</f>
        <v/>
      </c>
      <c r="L431" s="2391">
        <v>33453.230000000003</v>
      </c>
      <c r="M431" s="2391">
        <f>E431*L431</f>
        <v>0</v>
      </c>
      <c r="N431" s="2375">
        <f t="shared" si="126"/>
        <v>0</v>
      </c>
      <c r="O431" s="2375">
        <v>0</v>
      </c>
      <c r="P431" s="2398"/>
      <c r="Q431" s="2375">
        <f t="shared" si="125"/>
        <v>0</v>
      </c>
      <c r="R431" s="2375">
        <f t="shared" si="132"/>
        <v>0</v>
      </c>
      <c r="S431" s="2375">
        <v>0</v>
      </c>
      <c r="T431" s="2560"/>
      <c r="U431" s="2375">
        <f t="shared" si="118"/>
        <v>0</v>
      </c>
      <c r="V431" s="2375"/>
      <c r="W431" s="2382">
        <f t="shared" si="119"/>
        <v>0</v>
      </c>
      <c r="X431" s="2560" t="s">
        <v>117</v>
      </c>
      <c r="Y431" s="2375">
        <f t="shared" si="128"/>
        <v>0</v>
      </c>
      <c r="Z431" s="2375">
        <f t="shared" si="127"/>
        <v>0</v>
      </c>
      <c r="AA431" s="2377" t="s">
        <v>3355</v>
      </c>
    </row>
    <row r="432" spans="1:27" s="399" customFormat="1" ht="25" customHeight="1">
      <c r="A432" s="2555" t="s">
        <v>101</v>
      </c>
      <c r="B432" s="2549" t="s">
        <v>406</v>
      </c>
      <c r="C432" s="2550"/>
      <c r="D432" s="2551"/>
      <c r="E432" s="2397">
        <f>'7. Vol Kios 3x4'!$M$43</f>
        <v>0.95200000000000085</v>
      </c>
      <c r="F432" s="2398" t="s">
        <v>103</v>
      </c>
      <c r="G432" s="2567">
        <v>507759.96</v>
      </c>
      <c r="H432" s="2567">
        <f>E432*G432</f>
        <v>483387.48192000046</v>
      </c>
      <c r="I432" s="2480">
        <f>'Resume Analisa'!$D$26</f>
        <v>475358.64</v>
      </c>
      <c r="J432" s="2480">
        <f>I432*E432</f>
        <v>452541.42528000043</v>
      </c>
      <c r="K432" s="2378" t="e">
        <f>IF(H432=0,"",IF(J432&lt;#REF!*H432,"Timpang &lt;"&amp;TEXT(#REF!,"0%"),IF(J432&gt;#REF!*H432,"Timpang &gt;"&amp;TEXT(#REF!,"0%"),"Wajar")))</f>
        <v>#REF!</v>
      </c>
      <c r="L432" s="2391">
        <v>475358.64</v>
      </c>
      <c r="M432" s="2391">
        <f>E432*L432</f>
        <v>452541.42528000043</v>
      </c>
      <c r="N432" s="2375">
        <f t="shared" si="126"/>
        <v>1.9767975227989034E-2</v>
      </c>
      <c r="O432" s="2375">
        <v>0</v>
      </c>
      <c r="P432" s="2398"/>
      <c r="Q432" s="2375">
        <f t="shared" si="125"/>
        <v>0</v>
      </c>
      <c r="R432" s="2375">
        <f t="shared" si="132"/>
        <v>0</v>
      </c>
      <c r="S432" s="2375">
        <v>0</v>
      </c>
      <c r="T432" s="2398"/>
      <c r="U432" s="2375">
        <f t="shared" si="118"/>
        <v>0</v>
      </c>
      <c r="V432" s="2375"/>
      <c r="W432" s="2382">
        <f t="shared" si="119"/>
        <v>0.95200000000000085</v>
      </c>
      <c r="X432" s="2398" t="s">
        <v>103</v>
      </c>
      <c r="Y432" s="2375">
        <f t="shared" si="128"/>
        <v>452541.42528000043</v>
      </c>
      <c r="Z432" s="2375">
        <f t="shared" si="127"/>
        <v>1.9767975227989034E-2</v>
      </c>
      <c r="AA432" s="2377" t="s">
        <v>3355</v>
      </c>
    </row>
    <row r="433" spans="1:27" s="399" customFormat="1" ht="25" customHeight="1">
      <c r="A433" s="2555" t="s">
        <v>121</v>
      </c>
      <c r="B433" s="2549" t="s">
        <v>403</v>
      </c>
      <c r="C433" s="2550"/>
      <c r="D433" s="2551"/>
      <c r="E433" s="2397">
        <f>'7. Vol Kios 3x4'!$M$53</f>
        <v>7.4800000000000013</v>
      </c>
      <c r="F433" s="2398" t="s">
        <v>103</v>
      </c>
      <c r="G433" s="2567">
        <v>1224235.95</v>
      </c>
      <c r="H433" s="2567">
        <f>E433*G433</f>
        <v>9157284.9060000014</v>
      </c>
      <c r="I433" s="2465">
        <f>'Resume Analisa'!$D$35</f>
        <v>1193268.75</v>
      </c>
      <c r="J433" s="2480">
        <f>I433*E433</f>
        <v>8925650.2500000019</v>
      </c>
      <c r="K433" s="2378" t="e">
        <f>IF(H433=0,"",IF(J433&lt;#REF!*H433,"Timpang &lt;"&amp;TEXT(#REF!,"0%"),IF(J433&gt;#REF!*H433,"Timpang &gt;"&amp;TEXT(#REF!,"0%"),"Wajar")))</f>
        <v>#REF!</v>
      </c>
      <c r="L433" s="2391">
        <v>1193268.75</v>
      </c>
      <c r="M433" s="2391">
        <f>E433*L433</f>
        <v>8925650.2500000019</v>
      </c>
      <c r="N433" s="2375">
        <f t="shared" si="126"/>
        <v>0.38989145121139879</v>
      </c>
      <c r="O433" s="2375">
        <v>0</v>
      </c>
      <c r="P433" s="2398"/>
      <c r="Q433" s="2375">
        <f t="shared" si="125"/>
        <v>0</v>
      </c>
      <c r="R433" s="2375">
        <f t="shared" si="132"/>
        <v>0</v>
      </c>
      <c r="S433" s="2386">
        <v>0</v>
      </c>
      <c r="T433" s="2398"/>
      <c r="U433" s="2375">
        <f t="shared" si="118"/>
        <v>0</v>
      </c>
      <c r="V433" s="2375"/>
      <c r="W433" s="2382">
        <f t="shared" si="119"/>
        <v>7.4800000000000013</v>
      </c>
      <c r="X433" s="2398" t="s">
        <v>103</v>
      </c>
      <c r="Y433" s="2375">
        <f t="shared" si="128"/>
        <v>8925650.2500000019</v>
      </c>
      <c r="Z433" s="2375">
        <f t="shared" si="127"/>
        <v>0.38989145121139879</v>
      </c>
      <c r="AA433" s="2377" t="s">
        <v>3355</v>
      </c>
    </row>
    <row r="434" spans="1:27" s="399" customFormat="1" ht="25" customHeight="1">
      <c r="A434" s="2398">
        <f>A429+1</f>
        <v>4</v>
      </c>
      <c r="B434" s="2549" t="s">
        <v>408</v>
      </c>
      <c r="C434" s="2550"/>
      <c r="D434" s="2551"/>
      <c r="E434" s="2397">
        <f>'7. Vol Kios 3x4'!$M$61</f>
        <v>5.2402500000000005</v>
      </c>
      <c r="F434" s="2398" t="s">
        <v>100</v>
      </c>
      <c r="G434" s="2712">
        <v>19151.18</v>
      </c>
      <c r="H434" s="2712">
        <f>E434*G434</f>
        <v>100356.97099500001</v>
      </c>
      <c r="I434" s="2474">
        <f>'Resume Analisa'!$D$48</f>
        <v>18790.969999999998</v>
      </c>
      <c r="J434" s="2474">
        <f>+I434*E434</f>
        <v>98469.380542500003</v>
      </c>
      <c r="K434" s="2378" t="e">
        <f>IF(H434=0,"",IF(J434&lt;#REF!*H434,"Timpang &lt;"&amp;TEXT(#REF!,"0%"),IF(J434&gt;#REF!*H434,"Timpang &gt;"&amp;TEXT(#REF!,"0%"),"Wajar")))</f>
        <v>#REF!</v>
      </c>
      <c r="L434" s="2475">
        <v>18790.969999999998</v>
      </c>
      <c r="M434" s="2475">
        <f>E434*L434</f>
        <v>98469.380542500003</v>
      </c>
      <c r="N434" s="2375">
        <f t="shared" si="126"/>
        <v>4.3013526862765872E-3</v>
      </c>
      <c r="O434" s="2375">
        <v>0</v>
      </c>
      <c r="P434" s="2398"/>
      <c r="Q434" s="2375">
        <f t="shared" si="125"/>
        <v>0</v>
      </c>
      <c r="R434" s="2375">
        <f t="shared" si="132"/>
        <v>0</v>
      </c>
      <c r="S434" s="2386">
        <v>0</v>
      </c>
      <c r="T434" s="2398"/>
      <c r="U434" s="2375">
        <f t="shared" si="118"/>
        <v>0</v>
      </c>
      <c r="V434" s="2375"/>
      <c r="W434" s="2382">
        <f t="shared" si="119"/>
        <v>5.2402500000000005</v>
      </c>
      <c r="X434" s="2398" t="s">
        <v>100</v>
      </c>
      <c r="Y434" s="2375">
        <f t="shared" si="128"/>
        <v>98469.380542500003</v>
      </c>
      <c r="Z434" s="2375">
        <f t="shared" si="127"/>
        <v>4.3013526862765872E-3</v>
      </c>
      <c r="AA434" s="2377" t="s">
        <v>3355</v>
      </c>
    </row>
    <row r="435" spans="1:27" s="399" customFormat="1" ht="25" customHeight="1">
      <c r="A435" s="2398">
        <f>A434+1</f>
        <v>5</v>
      </c>
      <c r="B435" s="2549" t="s">
        <v>409</v>
      </c>
      <c r="C435" s="2550"/>
      <c r="D435" s="2551"/>
      <c r="E435" s="2397"/>
      <c r="F435" s="2398"/>
      <c r="G435" s="2713"/>
      <c r="H435" s="2567"/>
      <c r="I435" s="2714"/>
      <c r="J435" s="2567"/>
      <c r="K435" s="2389"/>
      <c r="L435" s="2565"/>
      <c r="M435" s="2391"/>
      <c r="N435" s="2375">
        <f t="shared" si="126"/>
        <v>0</v>
      </c>
      <c r="O435" s="2375">
        <v>0</v>
      </c>
      <c r="P435" s="2398"/>
      <c r="Q435" s="2375">
        <f t="shared" si="125"/>
        <v>0</v>
      </c>
      <c r="R435" s="2375">
        <f t="shared" si="132"/>
        <v>0</v>
      </c>
      <c r="S435" s="2375">
        <v>0</v>
      </c>
      <c r="T435" s="2398"/>
      <c r="U435" s="2375">
        <f t="shared" si="118"/>
        <v>0</v>
      </c>
      <c r="V435" s="2375"/>
      <c r="W435" s="2382">
        <f t="shared" si="119"/>
        <v>0</v>
      </c>
      <c r="X435" s="2398"/>
      <c r="Y435" s="2375">
        <f t="shared" si="128"/>
        <v>0</v>
      </c>
      <c r="Z435" s="2375">
        <f t="shared" si="127"/>
        <v>0</v>
      </c>
      <c r="AA435" s="2377"/>
    </row>
    <row r="436" spans="1:27" s="399" customFormat="1" ht="25" customHeight="1">
      <c r="A436" s="2555" t="s">
        <v>95</v>
      </c>
      <c r="B436" s="2561" t="s">
        <v>221</v>
      </c>
      <c r="C436" s="2550"/>
      <c r="D436" s="2551"/>
      <c r="E436" s="2397">
        <f>'7. Vol Kios 3x4'!$M$68</f>
        <v>3.1</v>
      </c>
      <c r="F436" s="2398" t="s">
        <v>89</v>
      </c>
      <c r="G436" s="2567">
        <v>230885.5</v>
      </c>
      <c r="H436" s="2567">
        <f>E436*G436</f>
        <v>715745.05</v>
      </c>
      <c r="I436" s="2480">
        <f>'Resume Analisa'!$D$39</f>
        <v>232328.86000000002</v>
      </c>
      <c r="J436" s="2480">
        <f>I436*E436</f>
        <v>720219.46600000001</v>
      </c>
      <c r="K436" s="2378" t="e">
        <f>IF(H436=0,"",IF(J436&lt;#REF!*H436,"Timpang &lt;"&amp;TEXT(#REF!,"0%"),IF(J436&gt;#REF!*H436,"Timpang &gt;"&amp;TEXT(#REF!,"0%"),"Wajar")))</f>
        <v>#REF!</v>
      </c>
      <c r="L436" s="2391">
        <v>232328.86000000002</v>
      </c>
      <c r="M436" s="2391">
        <f>E436*L436</f>
        <v>720219.46600000001</v>
      </c>
      <c r="N436" s="2375">
        <f t="shared" si="126"/>
        <v>3.1460723300180696E-2</v>
      </c>
      <c r="O436" s="2375">
        <v>0</v>
      </c>
      <c r="P436" s="2398"/>
      <c r="Q436" s="2375">
        <f t="shared" si="125"/>
        <v>0</v>
      </c>
      <c r="R436" s="2375">
        <f t="shared" si="132"/>
        <v>0</v>
      </c>
      <c r="S436" s="2375">
        <v>0</v>
      </c>
      <c r="T436" s="2398"/>
      <c r="U436" s="2375">
        <f t="shared" si="118"/>
        <v>0</v>
      </c>
      <c r="V436" s="2375"/>
      <c r="W436" s="2382">
        <f t="shared" si="119"/>
        <v>3.1</v>
      </c>
      <c r="X436" s="2398" t="s">
        <v>89</v>
      </c>
      <c r="Y436" s="2375">
        <f t="shared" si="128"/>
        <v>720219.46600000001</v>
      </c>
      <c r="Z436" s="2375">
        <f t="shared" si="127"/>
        <v>3.1460723300180696E-2</v>
      </c>
      <c r="AA436" s="2377" t="s">
        <v>3355</v>
      </c>
    </row>
    <row r="437" spans="1:27" s="399" customFormat="1" ht="25" customHeight="1">
      <c r="A437" s="2555" t="s">
        <v>98</v>
      </c>
      <c r="B437" s="2549" t="s">
        <v>410</v>
      </c>
      <c r="C437" s="2550"/>
      <c r="D437" s="2551"/>
      <c r="E437" s="2397">
        <f>'7. Vol Kios 3x4'!$M$74</f>
        <v>47.778750000000002</v>
      </c>
      <c r="F437" s="2398" t="s">
        <v>100</v>
      </c>
      <c r="G437" s="2712">
        <v>19151.18</v>
      </c>
      <c r="H437" s="2712">
        <f>E437*G437</f>
        <v>915019.44142500008</v>
      </c>
      <c r="I437" s="2474">
        <f>'Resume Analisa'!$D$48</f>
        <v>18790.969999999998</v>
      </c>
      <c r="J437" s="2474">
        <f>+I437*E437</f>
        <v>897809.05788749992</v>
      </c>
      <c r="K437" s="2378" t="e">
        <f>IF(H437=0,"",IF(J437&lt;#REF!*H437,"Timpang &lt;"&amp;TEXT(#REF!,"0%"),IF(J437&gt;#REF!*H437,"Timpang &gt;"&amp;TEXT(#REF!,"0%"),"Wajar")))</f>
        <v>#REF!</v>
      </c>
      <c r="L437" s="2475">
        <v>18790.969999999998</v>
      </c>
      <c r="M437" s="2475">
        <f>E437*L437</f>
        <v>897809.05788749992</v>
      </c>
      <c r="N437" s="2375">
        <f t="shared" si="126"/>
        <v>3.9218215668992411E-2</v>
      </c>
      <c r="O437" s="2375">
        <v>0</v>
      </c>
      <c r="P437" s="2398"/>
      <c r="Q437" s="2375">
        <f t="shared" si="125"/>
        <v>0</v>
      </c>
      <c r="R437" s="2375">
        <f t="shared" si="132"/>
        <v>0</v>
      </c>
      <c r="S437" s="2375">
        <v>0</v>
      </c>
      <c r="T437" s="2398"/>
      <c r="U437" s="2375">
        <f t="shared" si="118"/>
        <v>0</v>
      </c>
      <c r="V437" s="2375"/>
      <c r="W437" s="2382">
        <f t="shared" si="119"/>
        <v>47.778750000000002</v>
      </c>
      <c r="X437" s="2398" t="s">
        <v>100</v>
      </c>
      <c r="Y437" s="2375">
        <f t="shared" si="128"/>
        <v>897809.05788749992</v>
      </c>
      <c r="Z437" s="2375">
        <f t="shared" si="127"/>
        <v>3.9218215668992411E-2</v>
      </c>
      <c r="AA437" s="2377" t="s">
        <v>3355</v>
      </c>
    </row>
    <row r="438" spans="1:27" s="399" customFormat="1" ht="25" customHeight="1">
      <c r="A438" s="2555" t="s">
        <v>101</v>
      </c>
      <c r="B438" s="2549" t="s">
        <v>411</v>
      </c>
      <c r="C438" s="2550"/>
      <c r="D438" s="2551"/>
      <c r="E438" s="2397">
        <f>'7. Vol Kios 3x4'!$M$80</f>
        <v>43.054387200000008</v>
      </c>
      <c r="F438" s="2398" t="s">
        <v>100</v>
      </c>
      <c r="G438" s="2712">
        <v>19151.18</v>
      </c>
      <c r="H438" s="2712">
        <f>E438*G438</f>
        <v>824542.31905689614</v>
      </c>
      <c r="I438" s="2474">
        <f>'Resume Analisa'!$D$48</f>
        <v>18790.969999999998</v>
      </c>
      <c r="J438" s="2474">
        <f>+I438*E438</f>
        <v>809033.69824358402</v>
      </c>
      <c r="K438" s="2378" t="e">
        <f>IF(H438=0,"",IF(J438&lt;#REF!*H438,"Timpang &lt;"&amp;TEXT(#REF!,"0%"),IF(J438&gt;#REF!*H438,"Timpang &gt;"&amp;TEXT(#REF!,"0%"),"Wajar")))</f>
        <v>#REF!</v>
      </c>
      <c r="L438" s="2475">
        <v>18790.969999999998</v>
      </c>
      <c r="M438" s="2475">
        <f>E438*L438</f>
        <v>809033.69824358402</v>
      </c>
      <c r="N438" s="2375">
        <f t="shared" si="126"/>
        <v>3.5340318503642443E-2</v>
      </c>
      <c r="O438" s="2375">
        <v>0</v>
      </c>
      <c r="P438" s="2398"/>
      <c r="Q438" s="2375">
        <f t="shared" si="125"/>
        <v>0</v>
      </c>
      <c r="R438" s="2375">
        <f t="shared" si="132"/>
        <v>0</v>
      </c>
      <c r="S438" s="2375">
        <v>0</v>
      </c>
      <c r="T438" s="2398"/>
      <c r="U438" s="2375">
        <f t="shared" si="118"/>
        <v>0</v>
      </c>
      <c r="V438" s="2375"/>
      <c r="W438" s="2382">
        <f t="shared" si="119"/>
        <v>43.054387200000008</v>
      </c>
      <c r="X438" s="2398" t="s">
        <v>100</v>
      </c>
      <c r="Y438" s="2375">
        <f t="shared" si="128"/>
        <v>809033.69824358402</v>
      </c>
      <c r="Z438" s="2375">
        <f t="shared" si="127"/>
        <v>3.5340318503642443E-2</v>
      </c>
      <c r="AA438" s="2377" t="s">
        <v>3355</v>
      </c>
    </row>
    <row r="439" spans="1:27" s="399" customFormat="1" ht="25" customHeight="1">
      <c r="A439" s="2555" t="s">
        <v>121</v>
      </c>
      <c r="B439" s="2549" t="s">
        <v>429</v>
      </c>
      <c r="C439" s="2550"/>
      <c r="D439" s="2551"/>
      <c r="E439" s="2397">
        <f>'7. Vol Kios 3x4'!$M$86</f>
        <v>0.63749999999999996</v>
      </c>
      <c r="F439" s="2398" t="s">
        <v>103</v>
      </c>
      <c r="G439" s="2567">
        <v>1584129.98</v>
      </c>
      <c r="H439" s="2567">
        <f>E439*G439</f>
        <v>1009882.8622499999</v>
      </c>
      <c r="I439" s="2465">
        <f>'Resume Analisa'!$D$55</f>
        <v>1535009.1300000001</v>
      </c>
      <c r="J439" s="2552">
        <f>E439*I439</f>
        <v>978568.32037500001</v>
      </c>
      <c r="K439" s="2378" t="e">
        <f>IF(H439=0,"",IF(J439&lt;#REF!*H439,"Timpang &lt;"&amp;TEXT(#REF!,"0%"),IF(J439&gt;#REF!*H439,"Timpang &gt;"&amp;TEXT(#REF!,"0%"),"Wajar")))</f>
        <v>#REF!</v>
      </c>
      <c r="L439" s="2391">
        <v>1535009.1300000001</v>
      </c>
      <c r="M439" s="2391">
        <f>E439*L439</f>
        <v>978568.32037500001</v>
      </c>
      <c r="N439" s="2375">
        <f t="shared" si="126"/>
        <v>4.2745952603342227E-2</v>
      </c>
      <c r="O439" s="2375">
        <v>0</v>
      </c>
      <c r="P439" s="2398"/>
      <c r="Q439" s="2375">
        <f t="shared" si="125"/>
        <v>0</v>
      </c>
      <c r="R439" s="2375">
        <f t="shared" si="132"/>
        <v>0</v>
      </c>
      <c r="S439" s="2375">
        <v>0</v>
      </c>
      <c r="T439" s="2398"/>
      <c r="U439" s="2375">
        <f t="shared" si="118"/>
        <v>0</v>
      </c>
      <c r="V439" s="2375"/>
      <c r="W439" s="2382">
        <f t="shared" si="119"/>
        <v>0.63749999999999996</v>
      </c>
      <c r="X439" s="2398" t="s">
        <v>103</v>
      </c>
      <c r="Y439" s="2375">
        <f t="shared" si="128"/>
        <v>978568.32037500001</v>
      </c>
      <c r="Z439" s="2375">
        <f t="shared" si="127"/>
        <v>4.2745952603342227E-2</v>
      </c>
      <c r="AA439" s="2377" t="s">
        <v>3355</v>
      </c>
    </row>
    <row r="440" spans="1:27" s="399" customFormat="1" ht="25" customHeight="1">
      <c r="A440" s="2398">
        <f>A435+1</f>
        <v>6</v>
      </c>
      <c r="B440" s="2549" t="s">
        <v>416</v>
      </c>
      <c r="C440" s="2550"/>
      <c r="D440" s="2551"/>
      <c r="E440" s="2397"/>
      <c r="F440" s="2560"/>
      <c r="G440" s="2567"/>
      <c r="H440" s="2567"/>
      <c r="I440" s="2700"/>
      <c r="J440" s="2552"/>
      <c r="K440" s="2389"/>
      <c r="L440" s="2391"/>
      <c r="M440" s="2391"/>
      <c r="N440" s="2375">
        <f t="shared" si="126"/>
        <v>0</v>
      </c>
      <c r="O440" s="2375">
        <v>0</v>
      </c>
      <c r="P440" s="2398"/>
      <c r="Q440" s="2375">
        <f t="shared" si="125"/>
        <v>0</v>
      </c>
      <c r="R440" s="2375">
        <f t="shared" si="132"/>
        <v>0</v>
      </c>
      <c r="S440" s="2386">
        <v>0</v>
      </c>
      <c r="T440" s="2560"/>
      <c r="U440" s="2375">
        <f t="shared" si="118"/>
        <v>0</v>
      </c>
      <c r="V440" s="2375"/>
      <c r="W440" s="2382">
        <f t="shared" si="119"/>
        <v>0</v>
      </c>
      <c r="X440" s="2560"/>
      <c r="Y440" s="2375">
        <f t="shared" si="128"/>
        <v>0</v>
      </c>
      <c r="Z440" s="2375">
        <f t="shared" si="127"/>
        <v>0</v>
      </c>
      <c r="AA440" s="2377"/>
    </row>
    <row r="441" spans="1:27" s="399" customFormat="1" ht="25" customHeight="1">
      <c r="A441" s="2555" t="s">
        <v>95</v>
      </c>
      <c r="B441" s="2549" t="s">
        <v>417</v>
      </c>
      <c r="C441" s="2550"/>
      <c r="D441" s="2551"/>
      <c r="E441" s="2397">
        <f>'7. Vol Kios 3x4'!$M$88</f>
        <v>3.2</v>
      </c>
      <c r="F441" s="2398" t="s">
        <v>89</v>
      </c>
      <c r="G441" s="2567">
        <v>249883.29</v>
      </c>
      <c r="H441" s="2567">
        <f>E441*G441</f>
        <v>799626.52800000005</v>
      </c>
      <c r="I441" s="2465">
        <f>'Resume Analisa'!$D$40</f>
        <v>245946.97</v>
      </c>
      <c r="J441" s="2552">
        <f>E441*I441</f>
        <v>787030.304</v>
      </c>
      <c r="K441" s="2378" t="e">
        <f>IF(H441=0,"",IF(J441&lt;#REF!*H441,"Timpang &lt;"&amp;TEXT(#REF!,"0%"),IF(J441&gt;#REF!*H441,"Timpang &gt;"&amp;TEXT(#REF!,"0%"),"Wajar")))</f>
        <v>#REF!</v>
      </c>
      <c r="L441" s="2391">
        <v>245946.97</v>
      </c>
      <c r="M441" s="2391">
        <f>E441*L441</f>
        <v>787030.304</v>
      </c>
      <c r="N441" s="2375">
        <f t="shared" si="126"/>
        <v>3.4379163285488172E-2</v>
      </c>
      <c r="O441" s="2375">
        <v>0</v>
      </c>
      <c r="P441" s="2398"/>
      <c r="Q441" s="2375">
        <f t="shared" si="125"/>
        <v>0</v>
      </c>
      <c r="R441" s="2375">
        <f t="shared" si="132"/>
        <v>0</v>
      </c>
      <c r="S441" s="2386">
        <v>0</v>
      </c>
      <c r="T441" s="2398"/>
      <c r="U441" s="2375">
        <f t="shared" si="118"/>
        <v>0</v>
      </c>
      <c r="V441" s="2375"/>
      <c r="W441" s="2382">
        <f t="shared" si="119"/>
        <v>3.2</v>
      </c>
      <c r="X441" s="2398" t="s">
        <v>89</v>
      </c>
      <c r="Y441" s="2375">
        <f t="shared" si="128"/>
        <v>787030.304</v>
      </c>
      <c r="Z441" s="2375">
        <f t="shared" si="127"/>
        <v>3.4379163285488172E-2</v>
      </c>
      <c r="AA441" s="2377" t="s">
        <v>3355</v>
      </c>
    </row>
    <row r="442" spans="1:27" s="399" customFormat="1" ht="25" customHeight="1">
      <c r="A442" s="2555" t="s">
        <v>98</v>
      </c>
      <c r="B442" s="2549" t="s">
        <v>418</v>
      </c>
      <c r="C442" s="2550"/>
      <c r="D442" s="2551"/>
      <c r="E442" s="2397">
        <f>'7. Vol Kios 3x4'!$M$89</f>
        <v>20.714400000000001</v>
      </c>
      <c r="F442" s="2398" t="s">
        <v>100</v>
      </c>
      <c r="G442" s="2712">
        <v>19151.18</v>
      </c>
      <c r="H442" s="2712">
        <f>E442*G442</f>
        <v>396705.20299200004</v>
      </c>
      <c r="I442" s="2474">
        <f>'Resume Analisa'!$D$48</f>
        <v>18790.969999999998</v>
      </c>
      <c r="J442" s="2474">
        <f>+I442*E442</f>
        <v>389243.66896799998</v>
      </c>
      <c r="K442" s="2378" t="e">
        <f>IF(H442=0,"",IF(J442&lt;#REF!*H442,"Timpang &lt;"&amp;TEXT(#REF!,"0%"),IF(J442&gt;#REF!*H442,"Timpang &gt;"&amp;TEXT(#REF!,"0%"),"Wajar")))</f>
        <v>#REF!</v>
      </c>
      <c r="L442" s="2475">
        <v>18790.969999999998</v>
      </c>
      <c r="M442" s="2475">
        <f>E442*L442</f>
        <v>389243.66896799998</v>
      </c>
      <c r="N442" s="2375">
        <f t="shared" si="126"/>
        <v>1.7002994148105098E-2</v>
      </c>
      <c r="O442" s="2375">
        <v>0</v>
      </c>
      <c r="P442" s="2398"/>
      <c r="Q442" s="2375">
        <f t="shared" si="125"/>
        <v>0</v>
      </c>
      <c r="R442" s="2375">
        <f t="shared" si="132"/>
        <v>0</v>
      </c>
      <c r="S442" s="2375">
        <v>0</v>
      </c>
      <c r="T442" s="2398"/>
      <c r="U442" s="2375">
        <f t="shared" si="118"/>
        <v>0</v>
      </c>
      <c r="V442" s="2375"/>
      <c r="W442" s="2382">
        <f t="shared" si="119"/>
        <v>20.714400000000001</v>
      </c>
      <c r="X442" s="2398" t="s">
        <v>100</v>
      </c>
      <c r="Y442" s="2375">
        <f t="shared" si="128"/>
        <v>389243.66896799998</v>
      </c>
      <c r="Z442" s="2375">
        <f t="shared" si="127"/>
        <v>1.7002994148105098E-2</v>
      </c>
      <c r="AA442" s="2377" t="s">
        <v>3355</v>
      </c>
    </row>
    <row r="443" spans="1:27" s="399" customFormat="1" ht="25" customHeight="1">
      <c r="A443" s="2555" t="s">
        <v>101</v>
      </c>
      <c r="B443" s="2549" t="s">
        <v>419</v>
      </c>
      <c r="C443" s="2550"/>
      <c r="D443" s="2551"/>
      <c r="E443" s="2397">
        <f>'7. Vol Kios 3x4'!$M$90</f>
        <v>6.1551360000000006</v>
      </c>
      <c r="F443" s="2398" t="s">
        <v>100</v>
      </c>
      <c r="G443" s="2712">
        <v>19151.18</v>
      </c>
      <c r="H443" s="2712">
        <f>E443*G443</f>
        <v>117878.11746048002</v>
      </c>
      <c r="I443" s="2474">
        <f>'Resume Analisa'!$D$48</f>
        <v>18790.969999999998</v>
      </c>
      <c r="J443" s="2474">
        <f>+I443*E443</f>
        <v>115660.97592191999</v>
      </c>
      <c r="K443" s="2378" t="e">
        <f>IF(H443=0,"",IF(J443&lt;#REF!*H443,"Timpang &lt;"&amp;TEXT(#REF!,"0%"),IF(J443&gt;#REF!*H443,"Timpang &gt;"&amp;TEXT(#REF!,"0%"),"Wajar")))</f>
        <v>#REF!</v>
      </c>
      <c r="L443" s="2475">
        <v>18790.969999999998</v>
      </c>
      <c r="M443" s="2475">
        <f>E443*L443</f>
        <v>115660.97592191999</v>
      </c>
      <c r="N443" s="2375">
        <f t="shared" si="126"/>
        <v>5.0523182611512283E-3</v>
      </c>
      <c r="O443" s="2375">
        <v>0</v>
      </c>
      <c r="P443" s="2398"/>
      <c r="Q443" s="2375">
        <f t="shared" si="125"/>
        <v>0</v>
      </c>
      <c r="R443" s="2375">
        <f t="shared" si="132"/>
        <v>0</v>
      </c>
      <c r="S443" s="2375">
        <v>0</v>
      </c>
      <c r="T443" s="2398"/>
      <c r="U443" s="2375">
        <f t="shared" si="118"/>
        <v>0</v>
      </c>
      <c r="V443" s="2375"/>
      <c r="W443" s="2382">
        <f t="shared" si="119"/>
        <v>6.1551360000000006</v>
      </c>
      <c r="X443" s="2398" t="s">
        <v>100</v>
      </c>
      <c r="Y443" s="2375">
        <f t="shared" si="128"/>
        <v>115660.97592191999</v>
      </c>
      <c r="Z443" s="2375">
        <f t="shared" si="127"/>
        <v>5.0523182611512283E-3</v>
      </c>
      <c r="AA443" s="2377" t="s">
        <v>3355</v>
      </c>
    </row>
    <row r="444" spans="1:27" s="399" customFormat="1" ht="25" customHeight="1">
      <c r="A444" s="2555" t="s">
        <v>121</v>
      </c>
      <c r="B444" s="2549" t="s">
        <v>420</v>
      </c>
      <c r="C444" s="2550"/>
      <c r="D444" s="2551"/>
      <c r="E444" s="2397">
        <f>'7. Vol Kios 3x4'!$M$91</f>
        <v>0.2</v>
      </c>
      <c r="F444" s="2398" t="s">
        <v>103</v>
      </c>
      <c r="G444" s="2567">
        <v>1584129.98</v>
      </c>
      <c r="H444" s="2567">
        <f>E444*G444</f>
        <v>316825.99600000004</v>
      </c>
      <c r="I444" s="2465">
        <f>'Resume Analisa'!$D$55</f>
        <v>1535009.1300000001</v>
      </c>
      <c r="J444" s="2552">
        <f>E444*I444</f>
        <v>307001.82600000006</v>
      </c>
      <c r="K444" s="2378" t="e">
        <f>IF(H444=0,"",IF(J444&lt;#REF!*H444,"Timpang &lt;"&amp;TEXT(#REF!,"0%"),IF(J444&gt;#REF!*H444,"Timpang &gt;"&amp;TEXT(#REF!,"0%"),"Wajar")))</f>
        <v>#REF!</v>
      </c>
      <c r="L444" s="2391">
        <v>1535009.1300000001</v>
      </c>
      <c r="M444" s="2391">
        <f>E444*L444</f>
        <v>307001.82600000006</v>
      </c>
      <c r="N444" s="2375">
        <f t="shared" si="126"/>
        <v>1.3410494934381878E-2</v>
      </c>
      <c r="O444" s="2375">
        <v>0</v>
      </c>
      <c r="P444" s="2398"/>
      <c r="Q444" s="2375">
        <f t="shared" si="125"/>
        <v>0</v>
      </c>
      <c r="R444" s="2375">
        <f t="shared" si="132"/>
        <v>0</v>
      </c>
      <c r="S444" s="2375">
        <v>0</v>
      </c>
      <c r="T444" s="2398"/>
      <c r="U444" s="2375">
        <f t="shared" si="118"/>
        <v>0</v>
      </c>
      <c r="V444" s="2375"/>
      <c r="W444" s="2382">
        <f t="shared" si="119"/>
        <v>0.2</v>
      </c>
      <c r="X444" s="2398" t="s">
        <v>103</v>
      </c>
      <c r="Y444" s="2375">
        <f t="shared" si="128"/>
        <v>307001.82600000006</v>
      </c>
      <c r="Z444" s="2375">
        <f t="shared" si="127"/>
        <v>1.3410494934381878E-2</v>
      </c>
      <c r="AA444" s="2377" t="s">
        <v>3355</v>
      </c>
    </row>
    <row r="445" spans="1:27" s="399" customFormat="1" ht="25" customHeight="1">
      <c r="A445" s="2398">
        <f>A440+1</f>
        <v>7</v>
      </c>
      <c r="B445" s="2549" t="s">
        <v>421</v>
      </c>
      <c r="C445" s="2550"/>
      <c r="D445" s="2551"/>
      <c r="E445" s="2397"/>
      <c r="F445" s="2398"/>
      <c r="G445" s="2567"/>
      <c r="H445" s="2567"/>
      <c r="I445" s="2465"/>
      <c r="J445" s="2567"/>
      <c r="K445" s="2389"/>
      <c r="L445" s="2391"/>
      <c r="M445" s="2391"/>
      <c r="N445" s="2375">
        <f t="shared" si="126"/>
        <v>0</v>
      </c>
      <c r="O445" s="2375">
        <v>0</v>
      </c>
      <c r="P445" s="2398"/>
      <c r="Q445" s="2375">
        <f t="shared" si="125"/>
        <v>0</v>
      </c>
      <c r="R445" s="2375">
        <f t="shared" si="132"/>
        <v>0</v>
      </c>
      <c r="S445" s="2375">
        <v>0</v>
      </c>
      <c r="T445" s="2398"/>
      <c r="U445" s="2375">
        <f t="shared" si="118"/>
        <v>0</v>
      </c>
      <c r="V445" s="2375"/>
      <c r="W445" s="2382">
        <f t="shared" si="119"/>
        <v>0</v>
      </c>
      <c r="X445" s="2398"/>
      <c r="Y445" s="2375">
        <f t="shared" si="128"/>
        <v>0</v>
      </c>
      <c r="Z445" s="2375">
        <f t="shared" si="127"/>
        <v>0</v>
      </c>
      <c r="AA445" s="2377"/>
    </row>
    <row r="446" spans="1:27" s="399" customFormat="1" ht="25" customHeight="1">
      <c r="A446" s="2555" t="s">
        <v>95</v>
      </c>
      <c r="B446" s="2549" t="s">
        <v>106</v>
      </c>
      <c r="C446" s="2550"/>
      <c r="D446" s="2551"/>
      <c r="E446" s="2397">
        <f>'7. Vol Kios 3x4'!$M$93</f>
        <v>14.32</v>
      </c>
      <c r="F446" s="2398" t="s">
        <v>89</v>
      </c>
      <c r="G446" s="2567">
        <v>249883.29</v>
      </c>
      <c r="H446" s="2567">
        <f>E446*G446</f>
        <v>3578328.7128000003</v>
      </c>
      <c r="I446" s="2480">
        <f>'Resume Analisa'!$D$40</f>
        <v>245946.97</v>
      </c>
      <c r="J446" s="2480">
        <f>I446*E446</f>
        <v>3521960.6104000001</v>
      </c>
      <c r="K446" s="2378" t="e">
        <f>IF(H446=0,"",IF(J446&lt;#REF!*H446,"Timpang &lt;"&amp;TEXT(#REF!,"0%"),IF(J446&gt;#REF!*H446,"Timpang &gt;"&amp;TEXT(#REF!,"0%"),"Wajar")))</f>
        <v>#REF!</v>
      </c>
      <c r="L446" s="2391">
        <v>245946.97</v>
      </c>
      <c r="M446" s="2391">
        <f>E446*L446</f>
        <v>3521960.6104000001</v>
      </c>
      <c r="N446" s="2375">
        <f t="shared" si="126"/>
        <v>0.15384675570255954</v>
      </c>
      <c r="O446" s="2375">
        <v>0</v>
      </c>
      <c r="P446" s="2398"/>
      <c r="Q446" s="2375">
        <f t="shared" si="125"/>
        <v>0</v>
      </c>
      <c r="R446" s="2375">
        <f t="shared" si="132"/>
        <v>0</v>
      </c>
      <c r="S446" s="2375">
        <v>0</v>
      </c>
      <c r="T446" s="2398"/>
      <c r="U446" s="2375">
        <f t="shared" si="118"/>
        <v>0</v>
      </c>
      <c r="V446" s="2375"/>
      <c r="W446" s="2382">
        <f t="shared" si="119"/>
        <v>14.32</v>
      </c>
      <c r="X446" s="2398" t="s">
        <v>89</v>
      </c>
      <c r="Y446" s="2375">
        <f t="shared" si="128"/>
        <v>3521960.6104000001</v>
      </c>
      <c r="Z446" s="2375">
        <f t="shared" si="127"/>
        <v>0.15384675570255954</v>
      </c>
      <c r="AA446" s="2377" t="s">
        <v>3355</v>
      </c>
    </row>
    <row r="447" spans="1:27" s="399" customFormat="1" ht="25" customHeight="1">
      <c r="A447" s="2555" t="s">
        <v>98</v>
      </c>
      <c r="B447" s="2549" t="s">
        <v>418</v>
      </c>
      <c r="C447" s="2550"/>
      <c r="D447" s="2551"/>
      <c r="E447" s="2397">
        <f>'7. Vol Kios 3x4'!$M$94</f>
        <v>75.558240000000012</v>
      </c>
      <c r="F447" s="2398" t="s">
        <v>100</v>
      </c>
      <c r="G447" s="2712">
        <v>19151.18</v>
      </c>
      <c r="H447" s="2712">
        <f>E447*G447</f>
        <v>1447029.4547232003</v>
      </c>
      <c r="I447" s="2474">
        <f>'Resume Analisa'!$D$48</f>
        <v>18790.969999999998</v>
      </c>
      <c r="J447" s="2474">
        <f>+I447*E447</f>
        <v>1419812.6210928001</v>
      </c>
      <c r="K447" s="2378" t="e">
        <f>IF(H447=0,"",IF(J447&lt;#REF!*H447,"Timpang &lt;"&amp;TEXT(#REF!,"0%"),IF(J447&gt;#REF!*H447,"Timpang &gt;"&amp;TEXT(#REF!,"0%"),"Wajar")))</f>
        <v>#REF!</v>
      </c>
      <c r="L447" s="2475">
        <v>18790.969999999998</v>
      </c>
      <c r="M447" s="2475">
        <f>E447*L447</f>
        <v>1419812.6210928001</v>
      </c>
      <c r="N447" s="2375">
        <f t="shared" si="126"/>
        <v>6.2020445321183358E-2</v>
      </c>
      <c r="O447" s="2375">
        <v>0</v>
      </c>
      <c r="P447" s="2398"/>
      <c r="Q447" s="2375">
        <f t="shared" si="125"/>
        <v>0</v>
      </c>
      <c r="R447" s="2375">
        <f t="shared" si="132"/>
        <v>0</v>
      </c>
      <c r="S447" s="2386">
        <v>0</v>
      </c>
      <c r="T447" s="2398"/>
      <c r="U447" s="2375">
        <f t="shared" si="118"/>
        <v>0</v>
      </c>
      <c r="V447" s="2375"/>
      <c r="W447" s="2382">
        <f t="shared" si="119"/>
        <v>75.558240000000012</v>
      </c>
      <c r="X447" s="2398" t="s">
        <v>100</v>
      </c>
      <c r="Y447" s="2375">
        <f t="shared" si="128"/>
        <v>1419812.6210928001</v>
      </c>
      <c r="Z447" s="2375">
        <f t="shared" si="127"/>
        <v>6.2020445321183358E-2</v>
      </c>
      <c r="AA447" s="2377" t="s">
        <v>3355</v>
      </c>
    </row>
    <row r="448" spans="1:27" s="399" customFormat="1" ht="25" customHeight="1">
      <c r="A448" s="2555" t="s">
        <v>101</v>
      </c>
      <c r="B448" s="2549" t="s">
        <v>419</v>
      </c>
      <c r="C448" s="2550"/>
      <c r="D448" s="2551"/>
      <c r="E448" s="2397">
        <f>'7. Vol Kios 3x4'!$M$95</f>
        <v>28.313625600000005</v>
      </c>
      <c r="F448" s="2398" t="s">
        <v>100</v>
      </c>
      <c r="G448" s="2712">
        <v>19151.18</v>
      </c>
      <c r="H448" s="2712">
        <f>E448*G448</f>
        <v>542239.34031820809</v>
      </c>
      <c r="I448" s="2474">
        <f>'Resume Analisa'!$D$48</f>
        <v>18790.969999999998</v>
      </c>
      <c r="J448" s="2474">
        <f>+I448*E448</f>
        <v>532040.48924083204</v>
      </c>
      <c r="K448" s="2378" t="e">
        <f>IF(H448=0,"",IF(J448&lt;#REF!*H448,"Timpang &lt;"&amp;TEXT(#REF!,"0%"),IF(J448&gt;#REF!*H448,"Timpang &gt;"&amp;TEXT(#REF!,"0%"),"Wajar")))</f>
        <v>#REF!</v>
      </c>
      <c r="L448" s="2475">
        <v>18790.969999999998</v>
      </c>
      <c r="M448" s="2475">
        <f>E448*L448</f>
        <v>532040.48924083204</v>
      </c>
      <c r="N448" s="2375">
        <f t="shared" si="126"/>
        <v>2.3240664001295656E-2</v>
      </c>
      <c r="O448" s="2375">
        <v>0</v>
      </c>
      <c r="P448" s="2398"/>
      <c r="Q448" s="2375">
        <f t="shared" si="125"/>
        <v>0</v>
      </c>
      <c r="R448" s="2375">
        <f t="shared" si="132"/>
        <v>0</v>
      </c>
      <c r="S448" s="2386">
        <v>0</v>
      </c>
      <c r="T448" s="2398"/>
      <c r="U448" s="2375">
        <f t="shared" si="118"/>
        <v>0</v>
      </c>
      <c r="V448" s="2375"/>
      <c r="W448" s="2382">
        <f t="shared" si="119"/>
        <v>28.313625600000005</v>
      </c>
      <c r="X448" s="2398" t="s">
        <v>100</v>
      </c>
      <c r="Y448" s="2375">
        <f t="shared" si="128"/>
        <v>532040.48924083204</v>
      </c>
      <c r="Z448" s="2375">
        <f t="shared" si="127"/>
        <v>2.3240664001295656E-2</v>
      </c>
      <c r="AA448" s="2377" t="s">
        <v>3355</v>
      </c>
    </row>
    <row r="449" spans="1:27" s="399" customFormat="1" ht="25" customHeight="1">
      <c r="A449" s="2555" t="s">
        <v>121</v>
      </c>
      <c r="B449" s="2549" t="s">
        <v>429</v>
      </c>
      <c r="C449" s="2715"/>
      <c r="D449" s="2716"/>
      <c r="E449" s="2397">
        <f>'7. Vol Kios 3x4'!$M$96</f>
        <v>0.89500000000000002</v>
      </c>
      <c r="F449" s="2398" t="s">
        <v>103</v>
      </c>
      <c r="G449" s="2567">
        <v>1584129.98</v>
      </c>
      <c r="H449" s="2567">
        <f>E449*G449</f>
        <v>1417796.3321</v>
      </c>
      <c r="I449" s="2465">
        <f>'Resume Analisa'!$D$55</f>
        <v>1535009.1300000001</v>
      </c>
      <c r="J449" s="2552">
        <f>E449*I449</f>
        <v>1373833.1713500002</v>
      </c>
      <c r="K449" s="2378" t="e">
        <f>IF(H449=0,"",IF(J449&lt;#REF!*H449,"Timpang &lt;"&amp;TEXT(#REF!,"0%"),IF(J449&gt;#REF!*H449,"Timpang &gt;"&amp;TEXT(#REF!,"0%"),"Wajar")))</f>
        <v>#REF!</v>
      </c>
      <c r="L449" s="2391">
        <v>1535009.1300000001</v>
      </c>
      <c r="M449" s="2391">
        <f>E449*L449</f>
        <v>1373833.1713500002</v>
      </c>
      <c r="N449" s="2375">
        <f t="shared" si="126"/>
        <v>6.0011964831358899E-2</v>
      </c>
      <c r="O449" s="2375">
        <v>0</v>
      </c>
      <c r="P449" s="2398"/>
      <c r="Q449" s="2375">
        <f t="shared" si="125"/>
        <v>0</v>
      </c>
      <c r="R449" s="2375">
        <f t="shared" si="132"/>
        <v>0</v>
      </c>
      <c r="S449" s="2375">
        <v>0</v>
      </c>
      <c r="T449" s="2398"/>
      <c r="U449" s="2375">
        <f t="shared" si="118"/>
        <v>0</v>
      </c>
      <c r="V449" s="2375"/>
      <c r="W449" s="2382">
        <f t="shared" si="119"/>
        <v>0.89500000000000002</v>
      </c>
      <c r="X449" s="2398" t="s">
        <v>103</v>
      </c>
      <c r="Y449" s="2375">
        <f t="shared" si="128"/>
        <v>1373833.1713500002</v>
      </c>
      <c r="Z449" s="2375">
        <f t="shared" si="127"/>
        <v>6.0011964831358899E-2</v>
      </c>
      <c r="AA449" s="2377" t="s">
        <v>3355</v>
      </c>
    </row>
    <row r="450" spans="1:27" s="399" customFormat="1" ht="25" customHeight="1">
      <c r="A450" s="2398">
        <f>A445+1</f>
        <v>8</v>
      </c>
      <c r="B450" s="2549" t="s">
        <v>552</v>
      </c>
      <c r="C450" s="2550"/>
      <c r="D450" s="2551"/>
      <c r="E450" s="2397"/>
      <c r="F450" s="2398"/>
      <c r="G450" s="2713"/>
      <c r="H450" s="2567"/>
      <c r="I450" s="2714"/>
      <c r="J450" s="2567"/>
      <c r="K450" s="2389"/>
      <c r="L450" s="2565"/>
      <c r="M450" s="2391"/>
      <c r="N450" s="2375">
        <f t="shared" si="126"/>
        <v>0</v>
      </c>
      <c r="O450" s="2375">
        <v>0</v>
      </c>
      <c r="P450" s="2398"/>
      <c r="Q450" s="2375">
        <f t="shared" si="125"/>
        <v>0</v>
      </c>
      <c r="R450" s="2375">
        <f t="shared" si="132"/>
        <v>0</v>
      </c>
      <c r="S450" s="2375">
        <v>0</v>
      </c>
      <c r="T450" s="2398"/>
      <c r="U450" s="2375">
        <f t="shared" si="118"/>
        <v>0</v>
      </c>
      <c r="V450" s="2375"/>
      <c r="W450" s="2382">
        <f t="shared" si="119"/>
        <v>0</v>
      </c>
      <c r="X450" s="2398"/>
      <c r="Y450" s="2375">
        <f t="shared" si="128"/>
        <v>0</v>
      </c>
      <c r="Z450" s="2375">
        <f t="shared" si="127"/>
        <v>0</v>
      </c>
      <c r="AA450" s="2377"/>
    </row>
    <row r="451" spans="1:27" s="399" customFormat="1" ht="25" customHeight="1">
      <c r="A451" s="2555" t="s">
        <v>95</v>
      </c>
      <c r="B451" s="2549" t="s">
        <v>106</v>
      </c>
      <c r="C451" s="2550"/>
      <c r="D451" s="2551"/>
      <c r="E451" s="2397">
        <f>'7. Vol Kios 3x4'!$M$98</f>
        <v>3.2220000000000004</v>
      </c>
      <c r="F451" s="2398" t="s">
        <v>89</v>
      </c>
      <c r="G451" s="2567">
        <v>249883.29</v>
      </c>
      <c r="H451" s="2567">
        <f>E451*G451</f>
        <v>805123.96038000018</v>
      </c>
      <c r="I451" s="2480">
        <f>'Resume Analisa'!$D$40</f>
        <v>245946.97</v>
      </c>
      <c r="J451" s="2480">
        <f>I451*E451</f>
        <v>792441.13734000013</v>
      </c>
      <c r="K451" s="2378" t="e">
        <f>IF(H451=0,"",IF(J451&lt;#REF!*H451,"Timpang &lt;"&amp;TEXT(#REF!,"0%"),IF(J451&gt;#REF!*H451,"Timpang &gt;"&amp;TEXT(#REF!,"0%"),"Wajar")))</f>
        <v>#REF!</v>
      </c>
      <c r="L451" s="2391">
        <v>245946.97</v>
      </c>
      <c r="M451" s="2391">
        <f>E451*L451</f>
        <v>792441.13734000013</v>
      </c>
      <c r="N451" s="2375">
        <f t="shared" si="126"/>
        <v>3.4615520033075907E-2</v>
      </c>
      <c r="O451" s="2375">
        <v>0</v>
      </c>
      <c r="P451" s="2398"/>
      <c r="Q451" s="2375">
        <f t="shared" si="125"/>
        <v>0</v>
      </c>
      <c r="R451" s="2375">
        <f t="shared" si="132"/>
        <v>0</v>
      </c>
      <c r="S451" s="2375">
        <v>0</v>
      </c>
      <c r="T451" s="2398"/>
      <c r="U451" s="2375">
        <f t="shared" si="118"/>
        <v>0</v>
      </c>
      <c r="V451" s="2375"/>
      <c r="W451" s="2382">
        <f t="shared" si="119"/>
        <v>3.2220000000000004</v>
      </c>
      <c r="X451" s="2398" t="s">
        <v>89</v>
      </c>
      <c r="Y451" s="2375">
        <f t="shared" si="128"/>
        <v>792441.13734000013</v>
      </c>
      <c r="Z451" s="2375">
        <f t="shared" si="127"/>
        <v>3.4615520033075907E-2</v>
      </c>
      <c r="AA451" s="2377" t="s">
        <v>3355</v>
      </c>
    </row>
    <row r="452" spans="1:27" s="399" customFormat="1" ht="25" customHeight="1">
      <c r="A452" s="2555" t="s">
        <v>98</v>
      </c>
      <c r="B452" s="2549" t="s">
        <v>432</v>
      </c>
      <c r="C452" s="2550"/>
      <c r="D452" s="2551"/>
      <c r="E452" s="2397">
        <f>'7. Vol Kios 3x4'!$M$99</f>
        <v>28.334340000000005</v>
      </c>
      <c r="F452" s="2398" t="s">
        <v>100</v>
      </c>
      <c r="G452" s="2712">
        <v>19151.18</v>
      </c>
      <c r="H452" s="2567">
        <f>E452*G452</f>
        <v>542636.04552120005</v>
      </c>
      <c r="I452" s="2474">
        <f>'Resume Analisa'!$D$48</f>
        <v>18790.969999999998</v>
      </c>
      <c r="J452" s="2480">
        <f>I452*E452</f>
        <v>532429.73290980002</v>
      </c>
      <c r="K452" s="2378" t="e">
        <f>IF(H452=0,"",IF(J452&lt;#REF!*H452,"Timpang &lt;"&amp;TEXT(#REF!,"0%"),IF(J452&gt;#REF!*H452,"Timpang &gt;"&amp;TEXT(#REF!,"0%"),"Wajar")))</f>
        <v>#REF!</v>
      </c>
      <c r="L452" s="2475">
        <v>18790.969999999998</v>
      </c>
      <c r="M452" s="2391">
        <f>E452*L452</f>
        <v>532429.73290980002</v>
      </c>
      <c r="N452" s="2375">
        <f t="shared" ref="N452:N483" si="133">M452/$M$8*100</f>
        <v>2.3257666995443758E-2</v>
      </c>
      <c r="O452" s="2375">
        <v>0</v>
      </c>
      <c r="P452" s="2398"/>
      <c r="Q452" s="2375">
        <f t="shared" si="125"/>
        <v>0</v>
      </c>
      <c r="R452" s="2375">
        <f t="shared" si="132"/>
        <v>0</v>
      </c>
      <c r="S452" s="2375">
        <v>0</v>
      </c>
      <c r="T452" s="2398"/>
      <c r="U452" s="2375">
        <f t="shared" si="118"/>
        <v>0</v>
      </c>
      <c r="V452" s="2375"/>
      <c r="W452" s="2382">
        <f t="shared" si="119"/>
        <v>28.334340000000005</v>
      </c>
      <c r="X452" s="2398" t="s">
        <v>100</v>
      </c>
      <c r="Y452" s="2375">
        <f t="shared" si="128"/>
        <v>532429.73290980002</v>
      </c>
      <c r="Z452" s="2375">
        <f t="shared" ref="Z452:Z483" si="134">Y452/$M$8*100</f>
        <v>2.3257666995443758E-2</v>
      </c>
      <c r="AA452" s="2377" t="s">
        <v>3355</v>
      </c>
    </row>
    <row r="453" spans="1:27" s="399" customFormat="1" ht="25" customHeight="1">
      <c r="A453" s="2555" t="s">
        <v>101</v>
      </c>
      <c r="B453" s="2549" t="s">
        <v>411</v>
      </c>
      <c r="C453" s="2550"/>
      <c r="D453" s="2551"/>
      <c r="E453" s="2397">
        <f>'7. Vol Kios 3x4'!$M$100</f>
        <v>16.57152</v>
      </c>
      <c r="F453" s="2398" t="s">
        <v>100</v>
      </c>
      <c r="G453" s="2712">
        <v>19151.18</v>
      </c>
      <c r="H453" s="2567">
        <f>E453*G453</f>
        <v>317364.16239359998</v>
      </c>
      <c r="I453" s="2474">
        <f>'Resume Analisa'!$D$48</f>
        <v>18790.969999999998</v>
      </c>
      <c r="J453" s="2480">
        <f>I453*E453</f>
        <v>311394.93517439993</v>
      </c>
      <c r="K453" s="2378" t="e">
        <f>IF(H453=0,"",IF(J453&lt;#REF!*H453,"Timpang &lt;"&amp;TEXT(#REF!,"0%"),IF(J453&gt;#REF!*H453,"Timpang &gt;"&amp;TEXT(#REF!,"0%"),"Wajar")))</f>
        <v>#REF!</v>
      </c>
      <c r="L453" s="2475">
        <v>18790.969999999998</v>
      </c>
      <c r="M453" s="2391">
        <f>E453*L453</f>
        <v>311394.93517439993</v>
      </c>
      <c r="N453" s="2375">
        <f t="shared" si="133"/>
        <v>1.3602395318484074E-2</v>
      </c>
      <c r="O453" s="2375">
        <v>0</v>
      </c>
      <c r="P453" s="2398"/>
      <c r="Q453" s="2375">
        <f t="shared" si="125"/>
        <v>0</v>
      </c>
      <c r="R453" s="2375">
        <f t="shared" si="132"/>
        <v>0</v>
      </c>
      <c r="S453" s="2375">
        <v>0</v>
      </c>
      <c r="T453" s="2398"/>
      <c r="U453" s="2375">
        <f t="shared" si="118"/>
        <v>0</v>
      </c>
      <c r="V453" s="2375"/>
      <c r="W453" s="2382">
        <f t="shared" si="119"/>
        <v>16.57152</v>
      </c>
      <c r="X453" s="2398" t="s">
        <v>100</v>
      </c>
      <c r="Y453" s="2375">
        <f t="shared" si="128"/>
        <v>311394.93517439993</v>
      </c>
      <c r="Z453" s="2375">
        <f t="shared" si="134"/>
        <v>1.3602395318484074E-2</v>
      </c>
      <c r="AA453" s="2377" t="s">
        <v>3355</v>
      </c>
    </row>
    <row r="454" spans="1:27" s="399" customFormat="1" ht="25" customHeight="1">
      <c r="A454" s="2555" t="s">
        <v>121</v>
      </c>
      <c r="B454" s="2549" t="s">
        <v>429</v>
      </c>
      <c r="C454" s="2715"/>
      <c r="D454" s="2716"/>
      <c r="E454" s="2397">
        <f>'7. Vol Kios 3x4'!$M$101</f>
        <v>0.24164999999999998</v>
      </c>
      <c r="F454" s="2398" t="s">
        <v>103</v>
      </c>
      <c r="G454" s="2567">
        <v>1584129.98</v>
      </c>
      <c r="H454" s="2567">
        <f>E454*G454</f>
        <v>382805.00966699998</v>
      </c>
      <c r="I454" s="2465">
        <f>'Resume Analisa'!$D$55</f>
        <v>1535009.1300000001</v>
      </c>
      <c r="J454" s="2480">
        <f>I454*E454</f>
        <v>370934.95626449998</v>
      </c>
      <c r="K454" s="2378" t="e">
        <f>IF(H454=0,"",IF(J454&lt;#REF!*H454,"Timpang &lt;"&amp;TEXT(#REF!,"0%"),IF(J454&gt;#REF!*H454,"Timpang &gt;"&amp;TEXT(#REF!,"0%"),"Wajar")))</f>
        <v>#REF!</v>
      </c>
      <c r="L454" s="2391">
        <v>1535009.1300000001</v>
      </c>
      <c r="M454" s="2391">
        <f>E454*L454</f>
        <v>370934.95626449998</v>
      </c>
      <c r="N454" s="2375">
        <f t="shared" si="133"/>
        <v>1.6203230504466898E-2</v>
      </c>
      <c r="O454" s="2375">
        <v>0</v>
      </c>
      <c r="P454" s="2398"/>
      <c r="Q454" s="2375">
        <f t="shared" si="125"/>
        <v>0</v>
      </c>
      <c r="R454" s="2375">
        <f t="shared" si="132"/>
        <v>0</v>
      </c>
      <c r="S454" s="2386">
        <v>0</v>
      </c>
      <c r="T454" s="2398"/>
      <c r="U454" s="2375">
        <f t="shared" si="118"/>
        <v>0</v>
      </c>
      <c r="V454" s="2375"/>
      <c r="W454" s="2382">
        <f t="shared" si="119"/>
        <v>0.24164999999999998</v>
      </c>
      <c r="X454" s="2398" t="s">
        <v>103</v>
      </c>
      <c r="Y454" s="2375">
        <f t="shared" si="128"/>
        <v>370934.95626449998</v>
      </c>
      <c r="Z454" s="2375">
        <f t="shared" si="134"/>
        <v>1.6203230504466898E-2</v>
      </c>
      <c r="AA454" s="2377" t="s">
        <v>3355</v>
      </c>
    </row>
    <row r="455" spans="1:27" s="399" customFormat="1" ht="25" customHeight="1">
      <c r="A455" s="2398">
        <f>A450+1</f>
        <v>9</v>
      </c>
      <c r="B455" s="2549" t="s">
        <v>422</v>
      </c>
      <c r="C455" s="2550"/>
      <c r="D455" s="2551"/>
      <c r="E455" s="2397"/>
      <c r="F455" s="2398"/>
      <c r="G455" s="2713"/>
      <c r="H455" s="2567"/>
      <c r="I455" s="2714"/>
      <c r="J455" s="2567"/>
      <c r="K455" s="2389"/>
      <c r="L455" s="2565"/>
      <c r="M455" s="2391"/>
      <c r="N455" s="2375">
        <f t="shared" si="133"/>
        <v>0</v>
      </c>
      <c r="O455" s="2375">
        <v>0</v>
      </c>
      <c r="P455" s="2398"/>
      <c r="Q455" s="2375">
        <f t="shared" si="125"/>
        <v>0</v>
      </c>
      <c r="R455" s="2375">
        <f t="shared" si="132"/>
        <v>0</v>
      </c>
      <c r="S455" s="2386">
        <v>0</v>
      </c>
      <c r="T455" s="2398"/>
      <c r="U455" s="2375">
        <f t="shared" si="118"/>
        <v>0</v>
      </c>
      <c r="V455" s="2375"/>
      <c r="W455" s="2382">
        <f t="shared" si="119"/>
        <v>0</v>
      </c>
      <c r="X455" s="2398"/>
      <c r="Y455" s="2375">
        <f t="shared" si="128"/>
        <v>0</v>
      </c>
      <c r="Z455" s="2375">
        <f t="shared" si="134"/>
        <v>0</v>
      </c>
      <c r="AA455" s="2377"/>
    </row>
    <row r="456" spans="1:27" s="399" customFormat="1" ht="25" customHeight="1">
      <c r="A456" s="2555" t="s">
        <v>95</v>
      </c>
      <c r="B456" s="2549" t="s">
        <v>126</v>
      </c>
      <c r="C456" s="2550"/>
      <c r="D456" s="2551"/>
      <c r="E456" s="2397">
        <f>'7. Vol Kios 3x4'!$M$108</f>
        <v>6.3</v>
      </c>
      <c r="F456" s="2398" t="s">
        <v>89</v>
      </c>
      <c r="G456" s="2567">
        <v>257048.94</v>
      </c>
      <c r="H456" s="2567">
        <f>E456*G456</f>
        <v>1619408.3219999999</v>
      </c>
      <c r="I456" s="2480">
        <f>'Resume Analisa'!$D$42</f>
        <v>252902.38</v>
      </c>
      <c r="J456" s="2480">
        <f>I456*E456</f>
        <v>1593284.9939999999</v>
      </c>
      <c r="K456" s="2378" t="e">
        <f>IF(H456=0,"",IF(J456&lt;#REF!*H456,"Timpang &lt;"&amp;TEXT(#REF!,"0%"),IF(J456&gt;#REF!*H456,"Timpang &gt;"&amp;TEXT(#REF!,"0%"),"Wajar")))</f>
        <v>#REF!</v>
      </c>
      <c r="L456" s="2391">
        <v>252902.38</v>
      </c>
      <c r="M456" s="2391">
        <f>E456*L456</f>
        <v>1593284.9939999999</v>
      </c>
      <c r="N456" s="2375">
        <f t="shared" si="133"/>
        <v>6.9598088778350303E-2</v>
      </c>
      <c r="O456" s="2375">
        <v>0</v>
      </c>
      <c r="P456" s="2398"/>
      <c r="Q456" s="2375">
        <f t="shared" si="125"/>
        <v>0</v>
      </c>
      <c r="R456" s="2375">
        <f t="shared" si="132"/>
        <v>0</v>
      </c>
      <c r="S456" s="2375">
        <v>0</v>
      </c>
      <c r="T456" s="2398"/>
      <c r="U456" s="2375">
        <f t="shared" si="118"/>
        <v>0</v>
      </c>
      <c r="V456" s="2375"/>
      <c r="W456" s="2382">
        <f t="shared" si="119"/>
        <v>6.3</v>
      </c>
      <c r="X456" s="2398" t="s">
        <v>89</v>
      </c>
      <c r="Y456" s="2375">
        <f t="shared" si="128"/>
        <v>1593284.9939999999</v>
      </c>
      <c r="Z456" s="2375">
        <f t="shared" si="134"/>
        <v>6.9598088778350303E-2</v>
      </c>
      <c r="AA456" s="2377" t="s">
        <v>3355</v>
      </c>
    </row>
    <row r="457" spans="1:27" s="399" customFormat="1" ht="25" customHeight="1">
      <c r="A457" s="2555" t="s">
        <v>98</v>
      </c>
      <c r="B457" s="2549" t="s">
        <v>410</v>
      </c>
      <c r="C457" s="2550"/>
      <c r="D457" s="2551"/>
      <c r="E457" s="2397">
        <f>'7. Vol Kios 3x4'!$M$112</f>
        <v>43.155000000000001</v>
      </c>
      <c r="F457" s="2398" t="s">
        <v>100</v>
      </c>
      <c r="G457" s="2712">
        <v>19151.18</v>
      </c>
      <c r="H457" s="2567">
        <f>E457*G457</f>
        <v>826469.17290000001</v>
      </c>
      <c r="I457" s="2474">
        <f>'Resume Analisa'!$D$48</f>
        <v>18790.969999999998</v>
      </c>
      <c r="J457" s="2480">
        <f>I457*E457</f>
        <v>810924.31034999993</v>
      </c>
      <c r="K457" s="2378" t="e">
        <f>IF(H457=0,"",IF(J457&lt;#REF!*H457,"Timpang &lt;"&amp;TEXT(#REF!,"0%"),IF(J457&gt;#REF!*H457,"Timpang &gt;"&amp;TEXT(#REF!,"0%"),"Wajar")))</f>
        <v>#REF!</v>
      </c>
      <c r="L457" s="2475">
        <v>18790.969999999998</v>
      </c>
      <c r="M457" s="2391">
        <f>E457*L457</f>
        <v>810924.31034999993</v>
      </c>
      <c r="N457" s="2375">
        <f t="shared" si="133"/>
        <v>3.5422904475218946E-2</v>
      </c>
      <c r="O457" s="2375">
        <v>0</v>
      </c>
      <c r="P457" s="2398"/>
      <c r="Q457" s="2375">
        <f t="shared" si="125"/>
        <v>0</v>
      </c>
      <c r="R457" s="2375">
        <f t="shared" si="132"/>
        <v>0</v>
      </c>
      <c r="S457" s="2375">
        <v>0</v>
      </c>
      <c r="T457" s="2398"/>
      <c r="U457" s="2375">
        <f t="shared" si="118"/>
        <v>0</v>
      </c>
      <c r="V457" s="2375"/>
      <c r="W457" s="2382">
        <f t="shared" si="119"/>
        <v>43.155000000000001</v>
      </c>
      <c r="X457" s="2398" t="s">
        <v>100</v>
      </c>
      <c r="Y457" s="2375">
        <f t="shared" si="128"/>
        <v>810924.31034999993</v>
      </c>
      <c r="Z457" s="2375">
        <f t="shared" si="134"/>
        <v>3.5422904475218946E-2</v>
      </c>
      <c r="AA457" s="2377" t="s">
        <v>3355</v>
      </c>
    </row>
    <row r="458" spans="1:27" s="399" customFormat="1" ht="25" customHeight="1">
      <c r="A458" s="2555" t="s">
        <v>101</v>
      </c>
      <c r="B458" s="2549" t="s">
        <v>411</v>
      </c>
      <c r="C458" s="2550"/>
      <c r="D458" s="2551"/>
      <c r="E458" s="2397">
        <f>'7. Vol Kios 3x4'!$M$116</f>
        <v>38.887833600000008</v>
      </c>
      <c r="F458" s="2398" t="s">
        <v>100</v>
      </c>
      <c r="G458" s="2712">
        <v>19151.18</v>
      </c>
      <c r="H458" s="2567">
        <f>E458*G458</f>
        <v>744747.9010836482</v>
      </c>
      <c r="I458" s="2474">
        <f>'Resume Analisa'!$D$48</f>
        <v>18790.969999999998</v>
      </c>
      <c r="J458" s="2480">
        <f>I458*E458</f>
        <v>730740.11454259208</v>
      </c>
      <c r="K458" s="2378" t="e">
        <f>IF(H458=0,"",IF(J458&lt;#REF!*H458,"Timpang &lt;"&amp;TEXT(#REF!,"0%"),IF(J458&gt;#REF!*H458,"Timpang &gt;"&amp;TEXT(#REF!,"0%"),"Wajar")))</f>
        <v>#REF!</v>
      </c>
      <c r="L458" s="2475">
        <v>18790.969999999998</v>
      </c>
      <c r="M458" s="2391">
        <f>E458*L458</f>
        <v>730740.11454259208</v>
      </c>
      <c r="N458" s="2375">
        <f t="shared" si="133"/>
        <v>3.1920287680709307E-2</v>
      </c>
      <c r="O458" s="2375">
        <v>0</v>
      </c>
      <c r="P458" s="2398"/>
      <c r="Q458" s="2375">
        <f t="shared" si="125"/>
        <v>0</v>
      </c>
      <c r="R458" s="2375">
        <f t="shared" si="132"/>
        <v>0</v>
      </c>
      <c r="S458" s="2375">
        <v>0</v>
      </c>
      <c r="T458" s="2398"/>
      <c r="U458" s="2375">
        <f t="shared" si="118"/>
        <v>0</v>
      </c>
      <c r="V458" s="2375"/>
      <c r="W458" s="2382">
        <f t="shared" si="119"/>
        <v>38.887833600000008</v>
      </c>
      <c r="X458" s="2398" t="s">
        <v>100</v>
      </c>
      <c r="Y458" s="2375">
        <f t="shared" si="128"/>
        <v>730740.11454259208</v>
      </c>
      <c r="Z458" s="2375">
        <f t="shared" si="134"/>
        <v>3.1920287680709307E-2</v>
      </c>
      <c r="AA458" s="2377" t="s">
        <v>3355</v>
      </c>
    </row>
    <row r="459" spans="1:27" s="399" customFormat="1" ht="25" customHeight="1">
      <c r="A459" s="2555" t="s">
        <v>121</v>
      </c>
      <c r="B459" s="2549" t="s">
        <v>429</v>
      </c>
      <c r="C459" s="2715"/>
      <c r="D459" s="2716"/>
      <c r="E459" s="2397">
        <f>'7. Vol Kios 3x4'!$M$120</f>
        <v>0.98</v>
      </c>
      <c r="F459" s="2398" t="s">
        <v>103</v>
      </c>
      <c r="G459" s="2567">
        <v>1584129.98</v>
      </c>
      <c r="H459" s="2567">
        <f>E459*G459</f>
        <v>1552447.3803999999</v>
      </c>
      <c r="I459" s="2465">
        <f>'Resume Analisa'!$D$55</f>
        <v>1535009.1300000001</v>
      </c>
      <c r="J459" s="2480">
        <f>I459*E459</f>
        <v>1504308.9474000002</v>
      </c>
      <c r="K459" s="2378" t="e">
        <f>IF(H459=0,"",IF(J459&lt;#REF!*H459,"Timpang &lt;"&amp;TEXT(#REF!,"0%"),IF(J459&gt;#REF!*H459,"Timpang &gt;"&amp;TEXT(#REF!,"0%"),"Wajar")))</f>
        <v>#REF!</v>
      </c>
      <c r="L459" s="2391">
        <v>1535009.1300000001</v>
      </c>
      <c r="M459" s="2391">
        <f>E459*L459</f>
        <v>1504308.9474000002</v>
      </c>
      <c r="N459" s="2375">
        <f t="shared" si="133"/>
        <v>6.57114251784712E-2</v>
      </c>
      <c r="O459" s="2375">
        <v>0</v>
      </c>
      <c r="P459" s="2398"/>
      <c r="Q459" s="2375">
        <f t="shared" si="125"/>
        <v>0</v>
      </c>
      <c r="R459" s="2375">
        <f t="shared" si="132"/>
        <v>0</v>
      </c>
      <c r="S459" s="2375">
        <v>0</v>
      </c>
      <c r="T459" s="2398"/>
      <c r="U459" s="2375">
        <f t="shared" si="118"/>
        <v>0</v>
      </c>
      <c r="V459" s="2375"/>
      <c r="W459" s="2382">
        <f t="shared" si="119"/>
        <v>0.98</v>
      </c>
      <c r="X459" s="2398" t="s">
        <v>103</v>
      </c>
      <c r="Y459" s="2375">
        <f t="shared" si="128"/>
        <v>1504308.9474000002</v>
      </c>
      <c r="Z459" s="2375">
        <f t="shared" si="134"/>
        <v>6.57114251784712E-2</v>
      </c>
      <c r="AA459" s="2377" t="s">
        <v>3355</v>
      </c>
    </row>
    <row r="460" spans="1:27" s="399" customFormat="1" ht="25" customHeight="1">
      <c r="A460" s="2398">
        <f>A455+1</f>
        <v>10</v>
      </c>
      <c r="B460" s="2549" t="s">
        <v>553</v>
      </c>
      <c r="C460" s="2550"/>
      <c r="D460" s="2551"/>
      <c r="E460" s="2397"/>
      <c r="F460" s="2398"/>
      <c r="G460" s="2567"/>
      <c r="H460" s="2567"/>
      <c r="I460" s="2465"/>
      <c r="J460" s="2567"/>
      <c r="K460" s="2389"/>
      <c r="L460" s="2391"/>
      <c r="M460" s="2391"/>
      <c r="N460" s="2375">
        <f t="shared" si="133"/>
        <v>0</v>
      </c>
      <c r="O460" s="2375">
        <v>0</v>
      </c>
      <c r="P460" s="2398"/>
      <c r="Q460" s="2375">
        <f t="shared" si="125"/>
        <v>0</v>
      </c>
      <c r="R460" s="2375">
        <f t="shared" si="132"/>
        <v>0</v>
      </c>
      <c r="S460" s="2375">
        <v>0</v>
      </c>
      <c r="T460" s="2398"/>
      <c r="U460" s="2375">
        <f t="shared" si="118"/>
        <v>0</v>
      </c>
      <c r="V460" s="2375"/>
      <c r="W460" s="2382">
        <f t="shared" si="119"/>
        <v>0</v>
      </c>
      <c r="X460" s="2398"/>
      <c r="Y460" s="2375">
        <f t="shared" si="128"/>
        <v>0</v>
      </c>
      <c r="Z460" s="2375">
        <f t="shared" si="134"/>
        <v>0</v>
      </c>
      <c r="AA460" s="2377"/>
    </row>
    <row r="461" spans="1:27" s="399" customFormat="1" ht="25" customHeight="1">
      <c r="A461" s="2555" t="s">
        <v>95</v>
      </c>
      <c r="B461" s="2549" t="s">
        <v>126</v>
      </c>
      <c r="C461" s="2550"/>
      <c r="D461" s="2551"/>
      <c r="E461" s="2397">
        <f>'7. Vol Kios 3x4'!$M$130</f>
        <v>1.3499999999999999</v>
      </c>
      <c r="F461" s="2398" t="s">
        <v>89</v>
      </c>
      <c r="G461" s="2567">
        <v>257048.94</v>
      </c>
      <c r="H461" s="2567">
        <f>E461*G461</f>
        <v>347016.06899999996</v>
      </c>
      <c r="I461" s="2480">
        <f>'Resume Analisa'!$D$42</f>
        <v>252902.38</v>
      </c>
      <c r="J461" s="2480">
        <f>I461*E461</f>
        <v>341418.21299999999</v>
      </c>
      <c r="K461" s="2378" t="e">
        <f>IF(H461=0,"",IF(J461&lt;#REF!*H461,"Timpang &lt;"&amp;TEXT(#REF!,"0%"),IF(J461&gt;#REF!*H461,"Timpang &gt;"&amp;TEXT(#REF!,"0%"),"Wajar")))</f>
        <v>#REF!</v>
      </c>
      <c r="L461" s="2391">
        <v>252902.38</v>
      </c>
      <c r="M461" s="2391">
        <f>E461*L461</f>
        <v>341418.21299999999</v>
      </c>
      <c r="N461" s="2375">
        <f t="shared" si="133"/>
        <v>1.4913876166789353E-2</v>
      </c>
      <c r="O461" s="2375">
        <v>0</v>
      </c>
      <c r="P461" s="2398"/>
      <c r="Q461" s="2375">
        <f t="shared" si="125"/>
        <v>0</v>
      </c>
      <c r="R461" s="2375">
        <f t="shared" si="132"/>
        <v>0</v>
      </c>
      <c r="S461" s="2386">
        <v>0</v>
      </c>
      <c r="T461" s="2398"/>
      <c r="U461" s="2375">
        <f t="shared" si="118"/>
        <v>0</v>
      </c>
      <c r="V461" s="2375"/>
      <c r="W461" s="2382">
        <f t="shared" si="119"/>
        <v>1.3499999999999999</v>
      </c>
      <c r="X461" s="2398" t="s">
        <v>89</v>
      </c>
      <c r="Y461" s="2375">
        <f t="shared" si="128"/>
        <v>341418.21299999999</v>
      </c>
      <c r="Z461" s="2375">
        <f t="shared" si="134"/>
        <v>1.4913876166789353E-2</v>
      </c>
      <c r="AA461" s="2377" t="s">
        <v>3355</v>
      </c>
    </row>
    <row r="462" spans="1:27" s="399" customFormat="1" ht="25" customHeight="1">
      <c r="A462" s="2555" t="s">
        <v>98</v>
      </c>
      <c r="B462" s="2549" t="s">
        <v>410</v>
      </c>
      <c r="C462" s="2550"/>
      <c r="D462" s="2551"/>
      <c r="E462" s="2397">
        <f>'7. Vol Kios 3x4'!$M$131</f>
        <v>9.2475000000000005</v>
      </c>
      <c r="F462" s="2398" t="s">
        <v>100</v>
      </c>
      <c r="G462" s="2712">
        <v>19151.18</v>
      </c>
      <c r="H462" s="2567">
        <f>E462*G462</f>
        <v>177100.53705000001</v>
      </c>
      <c r="I462" s="2474">
        <f>'Resume Analisa'!$D$48</f>
        <v>18790.969999999998</v>
      </c>
      <c r="J462" s="2480">
        <f>I462*E462</f>
        <v>173769.49507499998</v>
      </c>
      <c r="K462" s="2378" t="e">
        <f>IF(H462=0,"",IF(J462&lt;#REF!*H462,"Timpang &lt;"&amp;TEXT(#REF!,"0%"),IF(J462&gt;#REF!*H462,"Timpang &gt;"&amp;TEXT(#REF!,"0%"),"Wajar")))</f>
        <v>#REF!</v>
      </c>
      <c r="L462" s="2475">
        <v>18790.969999999998</v>
      </c>
      <c r="M462" s="2391">
        <f>E462*L462</f>
        <v>173769.49507499998</v>
      </c>
      <c r="N462" s="2375">
        <f t="shared" si="133"/>
        <v>7.5906223875469173E-3</v>
      </c>
      <c r="O462" s="2375">
        <v>0</v>
      </c>
      <c r="P462" s="2398"/>
      <c r="Q462" s="2375">
        <f t="shared" si="125"/>
        <v>0</v>
      </c>
      <c r="R462" s="2375">
        <f t="shared" si="132"/>
        <v>0</v>
      </c>
      <c r="S462" s="2386">
        <v>0</v>
      </c>
      <c r="T462" s="2398"/>
      <c r="U462" s="2375">
        <f t="shared" si="118"/>
        <v>0</v>
      </c>
      <c r="V462" s="2375"/>
      <c r="W462" s="2382">
        <f t="shared" si="119"/>
        <v>9.2475000000000005</v>
      </c>
      <c r="X462" s="2398" t="s">
        <v>100</v>
      </c>
      <c r="Y462" s="2375">
        <f t="shared" si="128"/>
        <v>173769.49507499998</v>
      </c>
      <c r="Z462" s="2375">
        <f t="shared" si="134"/>
        <v>7.5906223875469173E-3</v>
      </c>
      <c r="AA462" s="2377" t="s">
        <v>3355</v>
      </c>
    </row>
    <row r="463" spans="1:27" s="399" customFormat="1" ht="25" customHeight="1">
      <c r="A463" s="2555" t="s">
        <v>101</v>
      </c>
      <c r="B463" s="2549" t="s">
        <v>411</v>
      </c>
      <c r="C463" s="2550"/>
      <c r="D463" s="2551"/>
      <c r="E463" s="2397">
        <f>'7. Vol Kios 3x4'!$M$132</f>
        <v>8.3331072000000006</v>
      </c>
      <c r="F463" s="2398" t="s">
        <v>100</v>
      </c>
      <c r="G463" s="2712">
        <v>19151.18</v>
      </c>
      <c r="H463" s="2567">
        <f>E463*G463</f>
        <v>159588.83594649602</v>
      </c>
      <c r="I463" s="2474">
        <f>'Resume Analisa'!$D$48</f>
        <v>18790.969999999998</v>
      </c>
      <c r="J463" s="2480">
        <f>I463*E463</f>
        <v>156587.16740198398</v>
      </c>
      <c r="K463" s="2378" t="e">
        <f>IF(H463=0,"",IF(J463&lt;#REF!*H463,"Timpang &lt;"&amp;TEXT(#REF!,"0%"),IF(J463&gt;#REF!*H463,"Timpang &gt;"&amp;TEXT(#REF!,"0%"),"Wajar")))</f>
        <v>#REF!</v>
      </c>
      <c r="L463" s="2475">
        <v>18790.969999999998</v>
      </c>
      <c r="M463" s="2391">
        <f>E463*L463</f>
        <v>156587.16740198398</v>
      </c>
      <c r="N463" s="2375">
        <f t="shared" si="133"/>
        <v>6.8400616458662786E-3</v>
      </c>
      <c r="O463" s="2375">
        <v>0</v>
      </c>
      <c r="P463" s="2398"/>
      <c r="Q463" s="2375">
        <f t="shared" si="125"/>
        <v>0</v>
      </c>
      <c r="R463" s="2375">
        <f t="shared" si="132"/>
        <v>0</v>
      </c>
      <c r="S463" s="2375">
        <v>0</v>
      </c>
      <c r="T463" s="2398"/>
      <c r="U463" s="2375">
        <f t="shared" si="118"/>
        <v>0</v>
      </c>
      <c r="V463" s="2375"/>
      <c r="W463" s="2382">
        <f t="shared" si="119"/>
        <v>8.3331072000000006</v>
      </c>
      <c r="X463" s="2398" t="s">
        <v>100</v>
      </c>
      <c r="Y463" s="2375">
        <f t="shared" si="128"/>
        <v>156587.16740198398</v>
      </c>
      <c r="Z463" s="2375">
        <f t="shared" si="134"/>
        <v>6.8400616458662786E-3</v>
      </c>
      <c r="AA463" s="2377" t="s">
        <v>3355</v>
      </c>
    </row>
    <row r="464" spans="1:27" s="399" customFormat="1" ht="25" customHeight="1">
      <c r="A464" s="2555" t="s">
        <v>121</v>
      </c>
      <c r="B464" s="2549" t="s">
        <v>429</v>
      </c>
      <c r="C464" s="2715"/>
      <c r="D464" s="2716"/>
      <c r="E464" s="2397">
        <f>'7. Vol Kios 3x4'!$M$133</f>
        <v>0.21000000000000002</v>
      </c>
      <c r="F464" s="2398" t="s">
        <v>103</v>
      </c>
      <c r="G464" s="2567">
        <v>1584129.98</v>
      </c>
      <c r="H464" s="2567">
        <f>E464*G464</f>
        <v>332667.29580000002</v>
      </c>
      <c r="I464" s="2465">
        <f>'Resume Analisa'!$D$55</f>
        <v>1535009.1300000001</v>
      </c>
      <c r="J464" s="2480">
        <f>I464*E464</f>
        <v>322351.91730000003</v>
      </c>
      <c r="K464" s="2378" t="e">
        <f>IF(H464=0,"",IF(J464&lt;#REF!*H464,"Timpang &lt;"&amp;TEXT(#REF!,"0%"),IF(J464&gt;#REF!*H464,"Timpang &gt;"&amp;TEXT(#REF!,"0%"),"Wajar")))</f>
        <v>#REF!</v>
      </c>
      <c r="L464" s="2391">
        <v>1535009.1300000001</v>
      </c>
      <c r="M464" s="2391">
        <f>E464*L464</f>
        <v>322351.91730000003</v>
      </c>
      <c r="N464" s="2375">
        <f t="shared" si="133"/>
        <v>1.4081019681100971E-2</v>
      </c>
      <c r="O464" s="2375">
        <v>0</v>
      </c>
      <c r="P464" s="2398"/>
      <c r="Q464" s="2375">
        <f t="shared" si="125"/>
        <v>0</v>
      </c>
      <c r="R464" s="2375">
        <f t="shared" si="132"/>
        <v>0</v>
      </c>
      <c r="S464" s="2375">
        <v>0</v>
      </c>
      <c r="T464" s="2398"/>
      <c r="U464" s="2375">
        <f t="shared" ref="U464:U527" si="135">S464*L464</f>
        <v>0</v>
      </c>
      <c r="V464" s="2375"/>
      <c r="W464" s="2382">
        <f t="shared" ref="W464:W527" si="136">(E464+O464)-S464</f>
        <v>0.21000000000000002</v>
      </c>
      <c r="X464" s="2398" t="s">
        <v>103</v>
      </c>
      <c r="Y464" s="2375">
        <f t="shared" si="128"/>
        <v>322351.91730000003</v>
      </c>
      <c r="Z464" s="2375">
        <f t="shared" si="134"/>
        <v>1.4081019681100971E-2</v>
      </c>
      <c r="AA464" s="2377" t="s">
        <v>3355</v>
      </c>
    </row>
    <row r="465" spans="1:27" s="399" customFormat="1" ht="25" customHeight="1">
      <c r="A465" s="2398">
        <f>A460+1</f>
        <v>11</v>
      </c>
      <c r="B465" s="2549" t="s">
        <v>534</v>
      </c>
      <c r="C465" s="2550"/>
      <c r="D465" s="2551"/>
      <c r="E465" s="2397"/>
      <c r="F465" s="2398"/>
      <c r="G465" s="2713"/>
      <c r="H465" s="2567"/>
      <c r="I465" s="2714"/>
      <c r="J465" s="2567"/>
      <c r="K465" s="2389"/>
      <c r="L465" s="2565"/>
      <c r="M465" s="2391"/>
      <c r="N465" s="2375">
        <f t="shared" si="133"/>
        <v>0</v>
      </c>
      <c r="O465" s="2375">
        <v>0</v>
      </c>
      <c r="P465" s="2398"/>
      <c r="Q465" s="2375">
        <f t="shared" si="125"/>
        <v>0</v>
      </c>
      <c r="R465" s="2375">
        <f t="shared" si="132"/>
        <v>0</v>
      </c>
      <c r="S465" s="2375">
        <v>0</v>
      </c>
      <c r="T465" s="2398"/>
      <c r="U465" s="2375">
        <f t="shared" si="135"/>
        <v>0</v>
      </c>
      <c r="V465" s="2375"/>
      <c r="W465" s="2382">
        <f t="shared" si="136"/>
        <v>0</v>
      </c>
      <c r="X465" s="2398"/>
      <c r="Y465" s="2375">
        <f t="shared" si="128"/>
        <v>0</v>
      </c>
      <c r="Z465" s="2375">
        <f t="shared" si="134"/>
        <v>0</v>
      </c>
      <c r="AA465" s="2377"/>
    </row>
    <row r="466" spans="1:27" s="399" customFormat="1" ht="25" customHeight="1">
      <c r="A466" s="2555" t="s">
        <v>95</v>
      </c>
      <c r="B466" s="2549" t="s">
        <v>126</v>
      </c>
      <c r="C466" s="2550"/>
      <c r="D466" s="2551"/>
      <c r="E466" s="2397">
        <f>'7. Vol Kios 3x4'!$M$135</f>
        <v>0.67499999999999993</v>
      </c>
      <c r="F466" s="2398" t="s">
        <v>89</v>
      </c>
      <c r="G466" s="2567">
        <v>257048.94</v>
      </c>
      <c r="H466" s="2567">
        <f>E466*G466</f>
        <v>173508.03449999998</v>
      </c>
      <c r="I466" s="2480">
        <f>'Resume Analisa'!$D$42</f>
        <v>252902.38</v>
      </c>
      <c r="J466" s="2480">
        <f>I466*E466</f>
        <v>170709.10649999999</v>
      </c>
      <c r="K466" s="2378" t="e">
        <f>IF(H466=0,"",IF(J466&lt;#REF!*H466,"Timpang &lt;"&amp;TEXT(#REF!,"0%"),IF(J466&gt;#REF!*H466,"Timpang &gt;"&amp;TEXT(#REF!,"0%"),"Wajar")))</f>
        <v>#REF!</v>
      </c>
      <c r="L466" s="2391">
        <v>252902.38</v>
      </c>
      <c r="M466" s="2391">
        <f>E466*L466</f>
        <v>170709.10649999999</v>
      </c>
      <c r="N466" s="2375">
        <f t="shared" si="133"/>
        <v>7.4569380833946763E-3</v>
      </c>
      <c r="O466" s="2375">
        <v>0</v>
      </c>
      <c r="P466" s="2398"/>
      <c r="Q466" s="2375">
        <f t="shared" si="125"/>
        <v>0</v>
      </c>
      <c r="R466" s="2375">
        <f t="shared" si="132"/>
        <v>0</v>
      </c>
      <c r="S466" s="2375">
        <v>0</v>
      </c>
      <c r="T466" s="2398"/>
      <c r="U466" s="2375">
        <f t="shared" si="135"/>
        <v>0</v>
      </c>
      <c r="V466" s="2375"/>
      <c r="W466" s="2382">
        <f t="shared" si="136"/>
        <v>0.67499999999999993</v>
      </c>
      <c r="X466" s="2398" t="s">
        <v>89</v>
      </c>
      <c r="Y466" s="2375">
        <f t="shared" si="128"/>
        <v>170709.10649999999</v>
      </c>
      <c r="Z466" s="2375">
        <f t="shared" si="134"/>
        <v>7.4569380833946763E-3</v>
      </c>
      <c r="AA466" s="2377" t="s">
        <v>3355</v>
      </c>
    </row>
    <row r="467" spans="1:27" s="399" customFormat="1" ht="25" customHeight="1">
      <c r="A467" s="2555" t="s">
        <v>98</v>
      </c>
      <c r="B467" s="2549" t="s">
        <v>432</v>
      </c>
      <c r="C467" s="2550"/>
      <c r="D467" s="2551"/>
      <c r="E467" s="2397">
        <f>'7. Vol Kios 3x4'!$M$136</f>
        <v>7.3980000000000006</v>
      </c>
      <c r="F467" s="2398" t="s">
        <v>100</v>
      </c>
      <c r="G467" s="2712">
        <v>19151.18</v>
      </c>
      <c r="H467" s="2567">
        <f>E467*G467</f>
        <v>141680.42964000002</v>
      </c>
      <c r="I467" s="2474">
        <f>'Resume Analisa'!$D$48</f>
        <v>18790.969999999998</v>
      </c>
      <c r="J467" s="2480">
        <f>I467*E467</f>
        <v>139015.59605999998</v>
      </c>
      <c r="K467" s="2378" t="e">
        <f>IF(H467=0,"",IF(J467&lt;#REF!*H467,"Timpang &lt;"&amp;TEXT(#REF!,"0%"),IF(J467&gt;#REF!*H467,"Timpang &gt;"&amp;TEXT(#REF!,"0%"),"Wajar")))</f>
        <v>#REF!</v>
      </c>
      <c r="L467" s="2475">
        <v>18790.969999999998</v>
      </c>
      <c r="M467" s="2391">
        <f>E467*L467</f>
        <v>139015.59605999998</v>
      </c>
      <c r="N467" s="2375">
        <f t="shared" si="133"/>
        <v>6.0724979100375345E-3</v>
      </c>
      <c r="O467" s="2375">
        <v>0</v>
      </c>
      <c r="P467" s="2398"/>
      <c r="Q467" s="2375">
        <f t="shared" si="125"/>
        <v>0</v>
      </c>
      <c r="R467" s="2375">
        <f t="shared" si="132"/>
        <v>0</v>
      </c>
      <c r="S467" s="2375">
        <v>0</v>
      </c>
      <c r="T467" s="2398"/>
      <c r="U467" s="2375">
        <f t="shared" si="135"/>
        <v>0</v>
      </c>
      <c r="V467" s="2375"/>
      <c r="W467" s="2382">
        <f t="shared" si="136"/>
        <v>7.3980000000000006</v>
      </c>
      <c r="X467" s="2398" t="s">
        <v>100</v>
      </c>
      <c r="Y467" s="2375">
        <f t="shared" si="128"/>
        <v>139015.59605999998</v>
      </c>
      <c r="Z467" s="2375">
        <f t="shared" si="134"/>
        <v>6.0724979100375345E-3</v>
      </c>
      <c r="AA467" s="2377" t="s">
        <v>3355</v>
      </c>
    </row>
    <row r="468" spans="1:27" s="399" customFormat="1" ht="25" customHeight="1">
      <c r="A468" s="2555" t="s">
        <v>101</v>
      </c>
      <c r="B468" s="2549" t="s">
        <v>411</v>
      </c>
      <c r="C468" s="2550"/>
      <c r="D468" s="2551"/>
      <c r="E468" s="2397">
        <f>'7. Vol Kios 3x4'!$M$137</f>
        <v>4.7347200000000003</v>
      </c>
      <c r="F468" s="2398" t="s">
        <v>100</v>
      </c>
      <c r="G468" s="2712">
        <v>19151.18</v>
      </c>
      <c r="H468" s="2567">
        <f>E468*G468</f>
        <v>90675.474969600007</v>
      </c>
      <c r="I468" s="2474">
        <f>'Resume Analisa'!$D$48</f>
        <v>18790.969999999998</v>
      </c>
      <c r="J468" s="2480">
        <f>I468*E468</f>
        <v>88969.98147839999</v>
      </c>
      <c r="K468" s="2378" t="e">
        <f>IF(H468=0,"",IF(J468&lt;#REF!*H468,"Timpang &lt;"&amp;TEXT(#REF!,"0%"),IF(J468&gt;#REF!*H468,"Timpang &gt;"&amp;TEXT(#REF!,"0%"),"Wajar")))</f>
        <v>#REF!</v>
      </c>
      <c r="L468" s="2475">
        <v>18790.969999999998</v>
      </c>
      <c r="M468" s="2391">
        <f>E468*L468</f>
        <v>88969.98147839999</v>
      </c>
      <c r="N468" s="2375">
        <f t="shared" si="133"/>
        <v>3.8863986624240216E-3</v>
      </c>
      <c r="O468" s="2375">
        <v>0</v>
      </c>
      <c r="P468" s="2398"/>
      <c r="Q468" s="2375">
        <f t="shared" si="125"/>
        <v>0</v>
      </c>
      <c r="R468" s="2375">
        <f t="shared" si="132"/>
        <v>0</v>
      </c>
      <c r="S468" s="2386">
        <v>0</v>
      </c>
      <c r="T468" s="2398"/>
      <c r="U468" s="2375">
        <f t="shared" si="135"/>
        <v>0</v>
      </c>
      <c r="V468" s="2375"/>
      <c r="W468" s="2382">
        <f t="shared" si="136"/>
        <v>4.7347200000000003</v>
      </c>
      <c r="X468" s="2398" t="s">
        <v>100</v>
      </c>
      <c r="Y468" s="2375">
        <f t="shared" si="128"/>
        <v>88969.98147839999</v>
      </c>
      <c r="Z468" s="2375">
        <f t="shared" si="134"/>
        <v>3.8863986624240216E-3</v>
      </c>
      <c r="AA468" s="2377" t="s">
        <v>3355</v>
      </c>
    </row>
    <row r="469" spans="1:27" s="399" customFormat="1" ht="25" customHeight="1">
      <c r="A469" s="2555" t="s">
        <v>121</v>
      </c>
      <c r="B469" s="2549" t="s">
        <v>429</v>
      </c>
      <c r="C469" s="2715"/>
      <c r="D469" s="2716"/>
      <c r="E469" s="2397">
        <f>'7. Vol Kios 3x4'!$M$138</f>
        <v>6.7499999999999991E-2</v>
      </c>
      <c r="F469" s="2398" t="s">
        <v>103</v>
      </c>
      <c r="G469" s="2567">
        <v>1584129.98</v>
      </c>
      <c r="H469" s="2567">
        <f>E469*G469</f>
        <v>106928.77364999999</v>
      </c>
      <c r="I469" s="2465">
        <f>'Resume Analisa'!$D$55</f>
        <v>1535009.1300000001</v>
      </c>
      <c r="J469" s="2480">
        <f>I469*E469</f>
        <v>103613.11627499999</v>
      </c>
      <c r="K469" s="2378" t="e">
        <f>IF(H469=0,"",IF(J469&lt;#REF!*H469,"Timpang &lt;"&amp;TEXT(#REF!,"0%"),IF(J469&gt;#REF!*H469,"Timpang &gt;"&amp;TEXT(#REF!,"0%"),"Wajar")))</f>
        <v>#REF!</v>
      </c>
      <c r="L469" s="2391">
        <v>1535009.1300000001</v>
      </c>
      <c r="M469" s="2391">
        <f>E469*L469</f>
        <v>103613.11627499999</v>
      </c>
      <c r="N469" s="2375">
        <f t="shared" si="133"/>
        <v>4.5260420403538826E-3</v>
      </c>
      <c r="O469" s="2375">
        <v>0</v>
      </c>
      <c r="P469" s="2398"/>
      <c r="Q469" s="2375">
        <f t="shared" si="125"/>
        <v>0</v>
      </c>
      <c r="R469" s="2375">
        <f t="shared" si="132"/>
        <v>0</v>
      </c>
      <c r="S469" s="2386">
        <v>0</v>
      </c>
      <c r="T469" s="2398"/>
      <c r="U469" s="2375">
        <f t="shared" si="135"/>
        <v>0</v>
      </c>
      <c r="V469" s="2375"/>
      <c r="W469" s="2382">
        <f t="shared" si="136"/>
        <v>6.7499999999999991E-2</v>
      </c>
      <c r="X469" s="2398" t="s">
        <v>103</v>
      </c>
      <c r="Y469" s="2375">
        <f t="shared" si="128"/>
        <v>103613.11627499999</v>
      </c>
      <c r="Z469" s="2375">
        <f t="shared" si="134"/>
        <v>4.5260420403538826E-3</v>
      </c>
      <c r="AA469" s="2377" t="s">
        <v>3355</v>
      </c>
    </row>
    <row r="470" spans="1:27" s="331" customFormat="1" ht="25" customHeight="1">
      <c r="A470" s="2398">
        <f>A465+1</f>
        <v>12</v>
      </c>
      <c r="B470" s="2549" t="s">
        <v>424</v>
      </c>
      <c r="C470" s="2550"/>
      <c r="D470" s="2551"/>
      <c r="E470" s="2541"/>
      <c r="F470" s="2398"/>
      <c r="G470" s="2389"/>
      <c r="H470" s="2389"/>
      <c r="I470" s="2465"/>
      <c r="J470" s="2552"/>
      <c r="K470" s="2389"/>
      <c r="L470" s="2391"/>
      <c r="M470" s="2391"/>
      <c r="N470" s="2375">
        <f t="shared" si="133"/>
        <v>0</v>
      </c>
      <c r="O470" s="2375">
        <v>0</v>
      </c>
      <c r="P470" s="2398"/>
      <c r="Q470" s="2375">
        <f t="shared" si="125"/>
        <v>0</v>
      </c>
      <c r="R470" s="2375">
        <f t="shared" si="132"/>
        <v>0</v>
      </c>
      <c r="S470" s="2375">
        <v>0</v>
      </c>
      <c r="T470" s="2398"/>
      <c r="U470" s="2375">
        <f t="shared" si="135"/>
        <v>0</v>
      </c>
      <c r="V470" s="2375"/>
      <c r="W470" s="2382">
        <f t="shared" si="136"/>
        <v>0</v>
      </c>
      <c r="X470" s="2398"/>
      <c r="Y470" s="2375">
        <f t="shared" si="128"/>
        <v>0</v>
      </c>
      <c r="Z470" s="2375">
        <f t="shared" si="134"/>
        <v>0</v>
      </c>
      <c r="AA470" s="2377"/>
    </row>
    <row r="471" spans="1:27" s="331" customFormat="1" ht="25" customHeight="1">
      <c r="A471" s="2555" t="s">
        <v>554</v>
      </c>
      <c r="B471" s="2549" t="s">
        <v>426</v>
      </c>
      <c r="C471" s="2550"/>
      <c r="D471" s="2551"/>
      <c r="E471" s="2541"/>
      <c r="F471" s="2398"/>
      <c r="G471" s="2389"/>
      <c r="H471" s="2389"/>
      <c r="I471" s="2465"/>
      <c r="J471" s="2552"/>
      <c r="K471" s="2389"/>
      <c r="L471" s="2391"/>
      <c r="M471" s="2391"/>
      <c r="N471" s="2375">
        <f t="shared" si="133"/>
        <v>0</v>
      </c>
      <c r="O471" s="2375">
        <v>0</v>
      </c>
      <c r="P471" s="2398"/>
      <c r="Q471" s="2375">
        <f t="shared" si="125"/>
        <v>0</v>
      </c>
      <c r="R471" s="2375">
        <f t="shared" si="132"/>
        <v>0</v>
      </c>
      <c r="S471" s="2375">
        <v>0</v>
      </c>
      <c r="T471" s="2398"/>
      <c r="U471" s="2375">
        <f t="shared" si="135"/>
        <v>0</v>
      </c>
      <c r="V471" s="2375"/>
      <c r="W471" s="2382">
        <f t="shared" si="136"/>
        <v>0</v>
      </c>
      <c r="X471" s="2398"/>
      <c r="Y471" s="2375">
        <f t="shared" si="128"/>
        <v>0</v>
      </c>
      <c r="Z471" s="2375">
        <f t="shared" si="134"/>
        <v>0</v>
      </c>
      <c r="AA471" s="2377"/>
    </row>
    <row r="472" spans="1:27" s="331" customFormat="1" ht="25" customHeight="1">
      <c r="A472" s="2555" t="s">
        <v>95</v>
      </c>
      <c r="B472" s="2549" t="s">
        <v>423</v>
      </c>
      <c r="C472" s="2550"/>
      <c r="D472" s="2551"/>
      <c r="E472" s="2541">
        <f>'7. Vol Kios 3x4'!$M$154</f>
        <v>10.117799999999999</v>
      </c>
      <c r="F472" s="2398" t="s">
        <v>89</v>
      </c>
      <c r="G472" s="2389">
        <v>257048.94</v>
      </c>
      <c r="H472" s="2389">
        <f>E472*G472</f>
        <v>2600769.7651319997</v>
      </c>
      <c r="I472" s="2465">
        <f>'Resume Analisa'!$D$42</f>
        <v>252902.38</v>
      </c>
      <c r="J472" s="2552">
        <f>E472*I472</f>
        <v>2558815.7003639997</v>
      </c>
      <c r="K472" s="2378" t="e">
        <f>IF(H472=0,"",IF(J472&lt;#REF!*H472,"Timpang &lt;"&amp;TEXT(#REF!,"0%"),IF(J472&gt;#REF!*H472,"Timpang &gt;"&amp;TEXT(#REF!,"0%"),"Wajar")))</f>
        <v>#REF!</v>
      </c>
      <c r="L472" s="2391">
        <v>252902.38</v>
      </c>
      <c r="M472" s="2391">
        <f>E472*L472</f>
        <v>2558815.7003639997</v>
      </c>
      <c r="N472" s="2375">
        <f t="shared" si="133"/>
        <v>0.11177453057803059</v>
      </c>
      <c r="O472" s="2375">
        <v>0</v>
      </c>
      <c r="P472" s="2398"/>
      <c r="Q472" s="2375">
        <f t="shared" si="125"/>
        <v>0</v>
      </c>
      <c r="R472" s="2375">
        <f t="shared" si="132"/>
        <v>0</v>
      </c>
      <c r="S472" s="2375">
        <v>0</v>
      </c>
      <c r="T472" s="2398"/>
      <c r="U472" s="2375">
        <f t="shared" si="135"/>
        <v>0</v>
      </c>
      <c r="V472" s="2375"/>
      <c r="W472" s="2382">
        <f t="shared" si="136"/>
        <v>10.117799999999999</v>
      </c>
      <c r="X472" s="2398" t="s">
        <v>89</v>
      </c>
      <c r="Y472" s="2375">
        <f t="shared" si="128"/>
        <v>2558815.7003639997</v>
      </c>
      <c r="Z472" s="2375">
        <f t="shared" si="134"/>
        <v>0.11177453057803059</v>
      </c>
      <c r="AA472" s="2377" t="s">
        <v>3355</v>
      </c>
    </row>
    <row r="473" spans="1:27" s="331" customFormat="1" ht="25" customHeight="1">
      <c r="A473" s="2555" t="s">
        <v>98</v>
      </c>
      <c r="B473" s="2549" t="s">
        <v>427</v>
      </c>
      <c r="C473" s="2550"/>
      <c r="D473" s="2551"/>
      <c r="E473" s="2541">
        <f>'7. Vol Kios 3x4'!$M$158</f>
        <v>46.844136000000006</v>
      </c>
      <c r="F473" s="2398" t="s">
        <v>100</v>
      </c>
      <c r="G473" s="2473">
        <v>19151.18</v>
      </c>
      <c r="H473" s="2473">
        <f>E473*G473</f>
        <v>897120.48048048012</v>
      </c>
      <c r="I473" s="2474">
        <f>'Resume Analisa'!$D$48</f>
        <v>18790.969999999998</v>
      </c>
      <c r="J473" s="2562">
        <f>+I473*E473</f>
        <v>880246.75425192004</v>
      </c>
      <c r="K473" s="2378" t="e">
        <f>IF(H473=0,"",IF(J473&lt;#REF!*H473,"Timpang &lt;"&amp;TEXT(#REF!,"0%"),IF(J473&gt;#REF!*H473,"Timpang &gt;"&amp;TEXT(#REF!,"0%"),"Wajar")))</f>
        <v>#REF!</v>
      </c>
      <c r="L473" s="2475">
        <v>18790.969999999998</v>
      </c>
      <c r="M473" s="2475">
        <f>E473*L473</f>
        <v>880246.75425192004</v>
      </c>
      <c r="N473" s="2375">
        <f t="shared" si="133"/>
        <v>3.8451056766357676E-2</v>
      </c>
      <c r="O473" s="2375">
        <v>0</v>
      </c>
      <c r="P473" s="2398"/>
      <c r="Q473" s="2375">
        <f t="shared" si="125"/>
        <v>0</v>
      </c>
      <c r="R473" s="2375">
        <f t="shared" si="132"/>
        <v>0</v>
      </c>
      <c r="S473" s="2375">
        <v>0</v>
      </c>
      <c r="T473" s="2398"/>
      <c r="U473" s="2375">
        <f t="shared" si="135"/>
        <v>0</v>
      </c>
      <c r="V473" s="2375"/>
      <c r="W473" s="2382">
        <f t="shared" si="136"/>
        <v>46.844136000000006</v>
      </c>
      <c r="X473" s="2398" t="s">
        <v>100</v>
      </c>
      <c r="Y473" s="2375">
        <f t="shared" si="128"/>
        <v>880246.75425192004</v>
      </c>
      <c r="Z473" s="2375">
        <f t="shared" si="134"/>
        <v>3.8451056766357676E-2</v>
      </c>
      <c r="AA473" s="2377" t="s">
        <v>3355</v>
      </c>
    </row>
    <row r="474" spans="1:27" s="331" customFormat="1" ht="25" customHeight="1">
      <c r="A474" s="2555" t="s">
        <v>101</v>
      </c>
      <c r="B474" s="2549" t="s">
        <v>428</v>
      </c>
      <c r="C474" s="2550"/>
      <c r="D474" s="2551"/>
      <c r="E474" s="2541">
        <f>'7. Vol Kios 3x4'!$M$162</f>
        <v>87.6</v>
      </c>
      <c r="F474" s="2398" t="s">
        <v>100</v>
      </c>
      <c r="G474" s="2473">
        <v>19151.18</v>
      </c>
      <c r="H474" s="2473">
        <f>E474*G474</f>
        <v>1677643.368</v>
      </c>
      <c r="I474" s="2474">
        <f>'Resume Analisa'!$D$48</f>
        <v>18790.969999999998</v>
      </c>
      <c r="J474" s="2562">
        <f>+I474*E474</f>
        <v>1646088.9719999996</v>
      </c>
      <c r="K474" s="2378" t="e">
        <f>IF(H474=0,"",IF(J474&lt;#REF!*H474,"Timpang &lt;"&amp;TEXT(#REF!,"0%"),IF(J474&gt;#REF!*H474,"Timpang &gt;"&amp;TEXT(#REF!,"0%"),"Wajar")))</f>
        <v>#REF!</v>
      </c>
      <c r="L474" s="2475">
        <v>18790.969999999998</v>
      </c>
      <c r="M474" s="2475">
        <f>E474*L474</f>
        <v>1646088.9719999996</v>
      </c>
      <c r="N474" s="2375">
        <f t="shared" si="133"/>
        <v>7.1904679226721807E-2</v>
      </c>
      <c r="O474" s="2375">
        <v>0</v>
      </c>
      <c r="P474" s="2398"/>
      <c r="Q474" s="2375">
        <f t="shared" si="125"/>
        <v>0</v>
      </c>
      <c r="R474" s="2375">
        <f t="shared" si="132"/>
        <v>0</v>
      </c>
      <c r="S474" s="2375">
        <v>0</v>
      </c>
      <c r="T474" s="2398"/>
      <c r="U474" s="2375">
        <f t="shared" si="135"/>
        <v>0</v>
      </c>
      <c r="V474" s="2375"/>
      <c r="W474" s="2382">
        <f t="shared" si="136"/>
        <v>87.6</v>
      </c>
      <c r="X474" s="2398" t="s">
        <v>100</v>
      </c>
      <c r="Y474" s="2375">
        <f t="shared" si="128"/>
        <v>1646088.9719999996</v>
      </c>
      <c r="Z474" s="2375">
        <f t="shared" si="134"/>
        <v>7.1904679226721807E-2</v>
      </c>
      <c r="AA474" s="2377" t="s">
        <v>3355</v>
      </c>
    </row>
    <row r="475" spans="1:27" s="331" customFormat="1" ht="25" customHeight="1">
      <c r="A475" s="2555" t="s">
        <v>121</v>
      </c>
      <c r="B475" s="2549" t="s">
        <v>429</v>
      </c>
      <c r="C475" s="2550"/>
      <c r="D475" s="2551"/>
      <c r="E475" s="2541">
        <f>'7. Vol Kios 3x4'!$M$166</f>
        <v>0.55187999999999993</v>
      </c>
      <c r="F475" s="2398" t="s">
        <v>103</v>
      </c>
      <c r="G475" s="2389">
        <v>1584129.98</v>
      </c>
      <c r="H475" s="2389">
        <f>E475*G475</f>
        <v>874249.6533623999</v>
      </c>
      <c r="I475" s="2465">
        <f>'Resume Analisa'!$D$55</f>
        <v>1535009.1300000001</v>
      </c>
      <c r="J475" s="2552">
        <f>E475*I475</f>
        <v>847140.83866439993</v>
      </c>
      <c r="K475" s="2378" t="e">
        <f>IF(H475=0,"",IF(J475&lt;#REF!*H475,"Timpang &lt;"&amp;TEXT(#REF!,"0%"),IF(J475&gt;#REF!*H475,"Timpang &gt;"&amp;TEXT(#REF!,"0%"),"Wajar")))</f>
        <v>#REF!</v>
      </c>
      <c r="L475" s="2391">
        <v>1535009.1300000001</v>
      </c>
      <c r="M475" s="2391">
        <f>E475*L475</f>
        <v>847140.83866439993</v>
      </c>
      <c r="N475" s="2375">
        <f t="shared" si="133"/>
        <v>3.7004919721933344E-2</v>
      </c>
      <c r="O475" s="2375">
        <v>0</v>
      </c>
      <c r="P475" s="2398"/>
      <c r="Q475" s="2375">
        <f t="shared" si="125"/>
        <v>0</v>
      </c>
      <c r="R475" s="2375">
        <f t="shared" si="132"/>
        <v>0</v>
      </c>
      <c r="S475" s="2386">
        <v>0</v>
      </c>
      <c r="T475" s="2398"/>
      <c r="U475" s="2375">
        <f t="shared" si="135"/>
        <v>0</v>
      </c>
      <c r="V475" s="2375"/>
      <c r="W475" s="2382">
        <f t="shared" si="136"/>
        <v>0.55187999999999993</v>
      </c>
      <c r="X475" s="2398" t="s">
        <v>103</v>
      </c>
      <c r="Y475" s="2375">
        <f t="shared" si="128"/>
        <v>847140.83866439993</v>
      </c>
      <c r="Z475" s="2375">
        <f t="shared" si="134"/>
        <v>3.7004919721933344E-2</v>
      </c>
      <c r="AA475" s="2377" t="s">
        <v>3355</v>
      </c>
    </row>
    <row r="476" spans="1:27" s="331" customFormat="1" ht="25" customHeight="1">
      <c r="A476" s="2555" t="s">
        <v>555</v>
      </c>
      <c r="B476" s="2549" t="s">
        <v>431</v>
      </c>
      <c r="C476" s="2550"/>
      <c r="D476" s="2551"/>
      <c r="E476" s="2541"/>
      <c r="F476" s="2398"/>
      <c r="G476" s="2389"/>
      <c r="H476" s="2389"/>
      <c r="I476" s="2465"/>
      <c r="J476" s="2552"/>
      <c r="K476" s="2389"/>
      <c r="L476" s="2391"/>
      <c r="M476" s="2391"/>
      <c r="N476" s="2375">
        <f t="shared" si="133"/>
        <v>0</v>
      </c>
      <c r="O476" s="2375">
        <v>0</v>
      </c>
      <c r="P476" s="2398"/>
      <c r="Q476" s="2375">
        <f t="shared" si="125"/>
        <v>0</v>
      </c>
      <c r="R476" s="2375">
        <f t="shared" si="132"/>
        <v>0</v>
      </c>
      <c r="S476" s="2386">
        <v>0</v>
      </c>
      <c r="T476" s="2398"/>
      <c r="U476" s="2375">
        <f t="shared" si="135"/>
        <v>0</v>
      </c>
      <c r="V476" s="2375"/>
      <c r="W476" s="2382">
        <f t="shared" si="136"/>
        <v>0</v>
      </c>
      <c r="X476" s="2398"/>
      <c r="Y476" s="2375">
        <f t="shared" si="128"/>
        <v>0</v>
      </c>
      <c r="Z476" s="2375">
        <f t="shared" si="134"/>
        <v>0</v>
      </c>
      <c r="AA476" s="2377"/>
    </row>
    <row r="477" spans="1:27" s="331" customFormat="1" ht="25" customHeight="1">
      <c r="A477" s="2555" t="s">
        <v>95</v>
      </c>
      <c r="B477" s="2549" t="s">
        <v>417</v>
      </c>
      <c r="C477" s="2550"/>
      <c r="D477" s="2551"/>
      <c r="E477" s="2541">
        <f>'7. Vol Kios 3x4'!$M$171</f>
        <v>2.8</v>
      </c>
      <c r="F477" s="2398" t="s">
        <v>89</v>
      </c>
      <c r="G477" s="2389">
        <v>249883.29</v>
      </c>
      <c r="H477" s="2389">
        <f>E477*G477</f>
        <v>699673.21199999994</v>
      </c>
      <c r="I477" s="2465">
        <f>'Resume Analisa'!$D$40</f>
        <v>245946.97</v>
      </c>
      <c r="J477" s="2552">
        <f>E477*I477</f>
        <v>688651.51599999995</v>
      </c>
      <c r="K477" s="2378" t="e">
        <f>IF(H477=0,"",IF(J477&lt;#REF!*H477,"Timpang &lt;"&amp;TEXT(#REF!,"0%"),IF(J477&gt;#REF!*H477,"Timpang &gt;"&amp;TEXT(#REF!,"0%"),"Wajar")))</f>
        <v>#REF!</v>
      </c>
      <c r="L477" s="2391">
        <v>245946.97</v>
      </c>
      <c r="M477" s="2391">
        <f>E477*L477</f>
        <v>688651.51599999995</v>
      </c>
      <c r="N477" s="2375">
        <f t="shared" si="133"/>
        <v>3.008176787480215E-2</v>
      </c>
      <c r="O477" s="2375">
        <v>0</v>
      </c>
      <c r="P477" s="2398"/>
      <c r="Q477" s="2375">
        <f t="shared" ref="Q477:Q540" si="137">O477*L477</f>
        <v>0</v>
      </c>
      <c r="R477" s="2375">
        <f t="shared" si="132"/>
        <v>0</v>
      </c>
      <c r="S477" s="2375">
        <v>0</v>
      </c>
      <c r="T477" s="2398"/>
      <c r="U477" s="2375">
        <f t="shared" si="135"/>
        <v>0</v>
      </c>
      <c r="V477" s="2375"/>
      <c r="W477" s="2382">
        <f t="shared" si="136"/>
        <v>2.8</v>
      </c>
      <c r="X477" s="2398" t="s">
        <v>89</v>
      </c>
      <c r="Y477" s="2375">
        <f t="shared" si="128"/>
        <v>688651.51599999995</v>
      </c>
      <c r="Z477" s="2375">
        <f t="shared" si="134"/>
        <v>3.008176787480215E-2</v>
      </c>
      <c r="AA477" s="2377" t="s">
        <v>3355</v>
      </c>
    </row>
    <row r="478" spans="1:27" s="331" customFormat="1" ht="25" customHeight="1">
      <c r="A478" s="2555" t="s">
        <v>98</v>
      </c>
      <c r="B478" s="2549" t="s">
        <v>427</v>
      </c>
      <c r="C478" s="2550"/>
      <c r="D478" s="2551"/>
      <c r="E478" s="2541">
        <f>'7. Vol Kios 3x4'!$M$174</f>
        <v>10.850400000000002</v>
      </c>
      <c r="F478" s="2398" t="s">
        <v>100</v>
      </c>
      <c r="G478" s="2473">
        <v>19151.18</v>
      </c>
      <c r="H478" s="2473">
        <f>E478*G478</f>
        <v>207797.96347200003</v>
      </c>
      <c r="I478" s="2474">
        <f>'Resume Analisa'!$D$48</f>
        <v>18790.969999999998</v>
      </c>
      <c r="J478" s="2562">
        <f>+I478*E478</f>
        <v>203889.54088800002</v>
      </c>
      <c r="K478" s="2378" t="e">
        <f>IF(H478=0,"",IF(J478&lt;#REF!*H478,"Timpang &lt;"&amp;TEXT(#REF!,"0%"),IF(J478&gt;#REF!*H478,"Timpang &gt;"&amp;TEXT(#REF!,"0%"),"Wajar")))</f>
        <v>#REF!</v>
      </c>
      <c r="L478" s="2475">
        <v>18790.969999999998</v>
      </c>
      <c r="M478" s="2475">
        <f>E478*L478</f>
        <v>203889.54088800002</v>
      </c>
      <c r="N478" s="2375">
        <f t="shared" si="133"/>
        <v>8.9063302680550509E-3</v>
      </c>
      <c r="O478" s="2375">
        <v>0</v>
      </c>
      <c r="P478" s="2398"/>
      <c r="Q478" s="2375">
        <f t="shared" si="137"/>
        <v>0</v>
      </c>
      <c r="R478" s="2375">
        <f t="shared" si="132"/>
        <v>0</v>
      </c>
      <c r="S478" s="2375">
        <v>0</v>
      </c>
      <c r="T478" s="2398"/>
      <c r="U478" s="2375">
        <f t="shared" si="135"/>
        <v>0</v>
      </c>
      <c r="V478" s="2375"/>
      <c r="W478" s="2382">
        <f t="shared" si="136"/>
        <v>10.850400000000002</v>
      </c>
      <c r="X478" s="2398" t="s">
        <v>100</v>
      </c>
      <c r="Y478" s="2375">
        <f t="shared" si="128"/>
        <v>203889.54088800002</v>
      </c>
      <c r="Z478" s="2375">
        <f t="shared" si="134"/>
        <v>8.9063302680550509E-3</v>
      </c>
      <c r="AA478" s="2377" t="s">
        <v>3355</v>
      </c>
    </row>
    <row r="479" spans="1:27" s="331" customFormat="1" ht="25" customHeight="1">
      <c r="A479" s="2555" t="s">
        <v>101</v>
      </c>
      <c r="B479" s="2549" t="s">
        <v>428</v>
      </c>
      <c r="C479" s="2550"/>
      <c r="D479" s="2551"/>
      <c r="E479" s="2541">
        <f>'7. Vol Kios 3x4'!$M$177</f>
        <v>7.5755520000000001</v>
      </c>
      <c r="F479" s="2398" t="s">
        <v>100</v>
      </c>
      <c r="G479" s="2473">
        <v>19151.18</v>
      </c>
      <c r="H479" s="2473">
        <f>E479*G479</f>
        <v>145080.75995136</v>
      </c>
      <c r="I479" s="2474">
        <f>'Resume Analisa'!$D$48</f>
        <v>18790.969999999998</v>
      </c>
      <c r="J479" s="2562">
        <f>+I479*E479</f>
        <v>142351.97036543998</v>
      </c>
      <c r="K479" s="2378" t="e">
        <f>IF(H479=0,"",IF(J479&lt;#REF!*H479,"Timpang &lt;"&amp;TEXT(#REF!,"0%"),IF(J479&gt;#REF!*H479,"Timpang &gt;"&amp;TEXT(#REF!,"0%"),"Wajar")))</f>
        <v>#REF!</v>
      </c>
      <c r="L479" s="2475">
        <v>18790.969999999998</v>
      </c>
      <c r="M479" s="2475">
        <f>E479*L479</f>
        <v>142351.97036543998</v>
      </c>
      <c r="N479" s="2375">
        <f t="shared" si="133"/>
        <v>6.2182378598784347E-3</v>
      </c>
      <c r="O479" s="2375">
        <v>0</v>
      </c>
      <c r="P479" s="2398"/>
      <c r="Q479" s="2375">
        <f t="shared" si="137"/>
        <v>0</v>
      </c>
      <c r="R479" s="2375">
        <f t="shared" si="132"/>
        <v>0</v>
      </c>
      <c r="S479" s="2375">
        <v>0</v>
      </c>
      <c r="T479" s="2398"/>
      <c r="U479" s="2375">
        <f t="shared" si="135"/>
        <v>0</v>
      </c>
      <c r="V479" s="2375"/>
      <c r="W479" s="2382">
        <f t="shared" si="136"/>
        <v>7.5755520000000001</v>
      </c>
      <c r="X479" s="2398" t="s">
        <v>100</v>
      </c>
      <c r="Y479" s="2375">
        <f t="shared" si="128"/>
        <v>142351.97036543998</v>
      </c>
      <c r="Z479" s="2375">
        <f t="shared" si="134"/>
        <v>6.2182378598784347E-3</v>
      </c>
      <c r="AA479" s="2377" t="s">
        <v>3355</v>
      </c>
    </row>
    <row r="480" spans="1:27" s="331" customFormat="1" ht="25" customHeight="1">
      <c r="A480" s="2555" t="s">
        <v>121</v>
      </c>
      <c r="B480" s="2549" t="s">
        <v>429</v>
      </c>
      <c r="C480" s="2550"/>
      <c r="D480" s="2551"/>
      <c r="E480" s="2541">
        <f>'7. Vol Kios 3x4'!$M$180</f>
        <v>0.12</v>
      </c>
      <c r="F480" s="2398" t="s">
        <v>103</v>
      </c>
      <c r="G480" s="2389">
        <v>1584129.98</v>
      </c>
      <c r="H480" s="2389">
        <f>E480*G480</f>
        <v>190095.59759999998</v>
      </c>
      <c r="I480" s="2465">
        <f>'Resume Analisa'!$D$55</f>
        <v>1535009.1300000001</v>
      </c>
      <c r="J480" s="2552">
        <f>E480*I480</f>
        <v>184201.0956</v>
      </c>
      <c r="K480" s="2378" t="e">
        <f>IF(H480=0,"",IF(J480&lt;#REF!*H480,"Timpang &lt;"&amp;TEXT(#REF!,"0%"),IF(J480&gt;#REF!*H480,"Timpang &gt;"&amp;TEXT(#REF!,"0%"),"Wajar")))</f>
        <v>#REF!</v>
      </c>
      <c r="L480" s="2391">
        <v>1535009.1300000001</v>
      </c>
      <c r="M480" s="2391">
        <f>E480*L480</f>
        <v>184201.0956</v>
      </c>
      <c r="N480" s="2375">
        <f t="shared" si="133"/>
        <v>8.0462969606291262E-3</v>
      </c>
      <c r="O480" s="2375">
        <v>0</v>
      </c>
      <c r="P480" s="2398"/>
      <c r="Q480" s="2375">
        <f t="shared" si="137"/>
        <v>0</v>
      </c>
      <c r="R480" s="2375">
        <f t="shared" si="132"/>
        <v>0</v>
      </c>
      <c r="S480" s="2375">
        <v>0</v>
      </c>
      <c r="T480" s="2398"/>
      <c r="U480" s="2375">
        <f t="shared" si="135"/>
        <v>0</v>
      </c>
      <c r="V480" s="2375"/>
      <c r="W480" s="2382">
        <f t="shared" si="136"/>
        <v>0.12</v>
      </c>
      <c r="X480" s="2398" t="s">
        <v>103</v>
      </c>
      <c r="Y480" s="2375">
        <f t="shared" si="128"/>
        <v>184201.0956</v>
      </c>
      <c r="Z480" s="2375">
        <f t="shared" si="134"/>
        <v>8.0462969606291262E-3</v>
      </c>
      <c r="AA480" s="2377" t="s">
        <v>3355</v>
      </c>
    </row>
    <row r="481" spans="1:27" s="399" customFormat="1" ht="25" customHeight="1">
      <c r="A481" s="2398">
        <f>A470+1</f>
        <v>13</v>
      </c>
      <c r="B481" s="2549" t="s">
        <v>556</v>
      </c>
      <c r="C481" s="2550"/>
      <c r="D481" s="2551"/>
      <c r="E481" s="2397"/>
      <c r="F481" s="2398"/>
      <c r="G481" s="2567"/>
      <c r="H481" s="2567"/>
      <c r="I481" s="2588"/>
      <c r="J481" s="2552"/>
      <c r="K481" s="2389"/>
      <c r="L481" s="2391"/>
      <c r="M481" s="2391"/>
      <c r="N481" s="2375">
        <f t="shared" si="133"/>
        <v>0</v>
      </c>
      <c r="O481" s="2375">
        <v>0</v>
      </c>
      <c r="P481" s="2398"/>
      <c r="Q481" s="2375">
        <f t="shared" si="137"/>
        <v>0</v>
      </c>
      <c r="R481" s="2375">
        <f t="shared" si="132"/>
        <v>0</v>
      </c>
      <c r="S481" s="2375">
        <v>0</v>
      </c>
      <c r="T481" s="2398"/>
      <c r="U481" s="2375">
        <f t="shared" si="135"/>
        <v>0</v>
      </c>
      <c r="V481" s="2375"/>
      <c r="W481" s="2382">
        <f t="shared" si="136"/>
        <v>0</v>
      </c>
      <c r="X481" s="2398"/>
      <c r="Y481" s="2375">
        <f t="shared" si="128"/>
        <v>0</v>
      </c>
      <c r="Z481" s="2375">
        <f t="shared" si="134"/>
        <v>0</v>
      </c>
      <c r="AA481" s="2377"/>
    </row>
    <row r="482" spans="1:27" s="399" customFormat="1" ht="25" customHeight="1">
      <c r="A482" s="2555" t="s">
        <v>95</v>
      </c>
      <c r="B482" s="2549" t="s">
        <v>557</v>
      </c>
      <c r="C482" s="2550"/>
      <c r="D482" s="2551"/>
      <c r="E482" s="2541">
        <f>'7. Vol Kios 3x4'!$M$195</f>
        <v>0.1236</v>
      </c>
      <c r="F482" s="2398" t="s">
        <v>103</v>
      </c>
      <c r="G482" s="2567">
        <v>50600</v>
      </c>
      <c r="H482" s="2567">
        <f t="shared" ref="H482:H487" si="138">E482*G482</f>
        <v>6254.16</v>
      </c>
      <c r="I482" s="2465">
        <f>'Resume Analisa'!$D$18</f>
        <v>49036.76</v>
      </c>
      <c r="J482" s="2544">
        <f t="shared" ref="J482:J487" si="139">I482*E482</f>
        <v>6060.9435360000007</v>
      </c>
      <c r="K482" s="2378" t="e">
        <f>IF(H482=0,"",IF(J482&lt;#REF!*H482,"Timpang &lt;"&amp;TEXT(#REF!,"0%"),IF(J482&gt;#REF!*H482,"Timpang &gt;"&amp;TEXT(#REF!,"0%"),"Wajar")))</f>
        <v>#REF!</v>
      </c>
      <c r="L482" s="2391">
        <v>49036.76</v>
      </c>
      <c r="M482" s="2391">
        <f t="shared" ref="M482:M487" si="140">E482*L482</f>
        <v>6060.9435360000007</v>
      </c>
      <c r="N482" s="2375">
        <f t="shared" si="133"/>
        <v>2.647549483536381E-4</v>
      </c>
      <c r="O482" s="2375">
        <v>0</v>
      </c>
      <c r="P482" s="2398"/>
      <c r="Q482" s="2375">
        <f t="shared" si="137"/>
        <v>0</v>
      </c>
      <c r="R482" s="2375">
        <f t="shared" si="132"/>
        <v>0</v>
      </c>
      <c r="S482" s="2386">
        <v>0</v>
      </c>
      <c r="T482" s="2398"/>
      <c r="U482" s="2375">
        <f t="shared" si="135"/>
        <v>0</v>
      </c>
      <c r="V482" s="2375"/>
      <c r="W482" s="2382">
        <f t="shared" si="136"/>
        <v>0.1236</v>
      </c>
      <c r="X482" s="2398" t="s">
        <v>103</v>
      </c>
      <c r="Y482" s="2375">
        <f t="shared" si="128"/>
        <v>6060.9435360000007</v>
      </c>
      <c r="Z482" s="2375">
        <f t="shared" si="134"/>
        <v>2.647549483536381E-4</v>
      </c>
      <c r="AA482" s="2377" t="s">
        <v>3355</v>
      </c>
    </row>
    <row r="483" spans="1:27" s="399" customFormat="1" ht="25" customHeight="1">
      <c r="A483" s="2555" t="s">
        <v>98</v>
      </c>
      <c r="B483" s="2549" t="s">
        <v>558</v>
      </c>
      <c r="C483" s="2550"/>
      <c r="D483" s="2551"/>
      <c r="E483" s="2541">
        <f>'7. Vol Kios 3x4'!$M$196</f>
        <v>2.3175000000000003</v>
      </c>
      <c r="F483" s="2398" t="s">
        <v>89</v>
      </c>
      <c r="G483" s="2567">
        <v>166165.41</v>
      </c>
      <c r="H483" s="2567">
        <f t="shared" si="138"/>
        <v>385088.33767500008</v>
      </c>
      <c r="I483" s="2465">
        <f>'Resume Analisa'!$D$69</f>
        <v>161086.38</v>
      </c>
      <c r="J483" s="2544">
        <f t="shared" si="139"/>
        <v>373317.68565000006</v>
      </c>
      <c r="K483" s="2378" t="e">
        <f>IF(H483=0,"",IF(J483&lt;#REF!*H483,"Timpang &lt;"&amp;TEXT(#REF!,"0%"),IF(J483&gt;#REF!*H483,"Timpang &gt;"&amp;TEXT(#REF!,"0%"),"Wajar")))</f>
        <v>#REF!</v>
      </c>
      <c r="L483" s="2391">
        <v>161086.38</v>
      </c>
      <c r="M483" s="2391">
        <f t="shared" si="140"/>
        <v>373317.68565000006</v>
      </c>
      <c r="N483" s="2375">
        <f t="shared" si="133"/>
        <v>1.6307313209024663E-2</v>
      </c>
      <c r="O483" s="2375">
        <v>0</v>
      </c>
      <c r="P483" s="2398"/>
      <c r="Q483" s="2375">
        <f t="shared" si="137"/>
        <v>0</v>
      </c>
      <c r="R483" s="2375">
        <f t="shared" si="132"/>
        <v>0</v>
      </c>
      <c r="S483" s="2386">
        <v>0</v>
      </c>
      <c r="T483" s="2398"/>
      <c r="U483" s="2375">
        <f t="shared" si="135"/>
        <v>0</v>
      </c>
      <c r="V483" s="2375"/>
      <c r="W483" s="2382">
        <f t="shared" si="136"/>
        <v>2.3175000000000003</v>
      </c>
      <c r="X483" s="2398" t="s">
        <v>89</v>
      </c>
      <c r="Y483" s="2375">
        <f t="shared" si="128"/>
        <v>373317.68565000006</v>
      </c>
      <c r="Z483" s="2375">
        <f t="shared" si="134"/>
        <v>1.6307313209024663E-2</v>
      </c>
      <c r="AA483" s="2377" t="s">
        <v>3355</v>
      </c>
    </row>
    <row r="484" spans="1:27" s="399" customFormat="1" ht="25" customHeight="1">
      <c r="A484" s="2555" t="s">
        <v>101</v>
      </c>
      <c r="B484" s="2549" t="s">
        <v>413</v>
      </c>
      <c r="C484" s="2550"/>
      <c r="D484" s="2551"/>
      <c r="E484" s="2397">
        <f>'7. Vol Kios 3x4'!$M$197</f>
        <v>2.0100000000000002</v>
      </c>
      <c r="F484" s="2398" t="s">
        <v>103</v>
      </c>
      <c r="G484" s="2567">
        <v>200606.23</v>
      </c>
      <c r="H484" s="2567">
        <f t="shared" si="138"/>
        <v>403218.52230000007</v>
      </c>
      <c r="I484" s="2480">
        <f>'Resume Analisa'!$D$24</f>
        <v>189662.29</v>
      </c>
      <c r="J484" s="2544">
        <f t="shared" si="139"/>
        <v>381221.20290000003</v>
      </c>
      <c r="K484" s="2378" t="e">
        <f>IF(H484=0,"",IF(J484&lt;#REF!*H484,"Timpang &lt;"&amp;TEXT(#REF!,"0%"),IF(J484&gt;#REF!*H484,"Timpang &gt;"&amp;TEXT(#REF!,"0%"),"Wajar")))</f>
        <v>#REF!</v>
      </c>
      <c r="L484" s="2391">
        <v>189662.29</v>
      </c>
      <c r="M484" s="2391">
        <f t="shared" si="140"/>
        <v>381221.20290000003</v>
      </c>
      <c r="N484" s="2375">
        <f t="shared" ref="N484:N487" si="141">M484/$M$8*100</f>
        <v>1.6652555709455018E-2</v>
      </c>
      <c r="O484" s="2375">
        <v>0</v>
      </c>
      <c r="P484" s="2398"/>
      <c r="Q484" s="2375">
        <f t="shared" si="137"/>
        <v>0</v>
      </c>
      <c r="R484" s="2375">
        <f t="shared" si="132"/>
        <v>0</v>
      </c>
      <c r="S484" s="2375">
        <v>0</v>
      </c>
      <c r="T484" s="2398"/>
      <c r="U484" s="2375">
        <f t="shared" si="135"/>
        <v>0</v>
      </c>
      <c r="V484" s="2375"/>
      <c r="W484" s="2382">
        <f t="shared" si="136"/>
        <v>2.0100000000000002</v>
      </c>
      <c r="X484" s="2398" t="s">
        <v>103</v>
      </c>
      <c r="Y484" s="2375">
        <f t="shared" si="128"/>
        <v>381221.20290000003</v>
      </c>
      <c r="Z484" s="2375">
        <f t="shared" ref="Z484:Z487" si="142">Y484/$M$8*100</f>
        <v>1.6652555709455018E-2</v>
      </c>
      <c r="AA484" s="2377" t="s">
        <v>3355</v>
      </c>
    </row>
    <row r="485" spans="1:27" s="399" customFormat="1" ht="25" customHeight="1">
      <c r="A485" s="2555" t="s">
        <v>121</v>
      </c>
      <c r="B485" s="2549" t="s">
        <v>414</v>
      </c>
      <c r="C485" s="2550"/>
      <c r="D485" s="2551"/>
      <c r="E485" s="2397">
        <f>'7. Vol Kios 3x4'!$M$202</f>
        <v>2.0100000000000002</v>
      </c>
      <c r="F485" s="2398" t="s">
        <v>103</v>
      </c>
      <c r="G485" s="2567">
        <v>39847.5</v>
      </c>
      <c r="H485" s="2567">
        <f t="shared" si="138"/>
        <v>80093.475000000006</v>
      </c>
      <c r="I485" s="2480">
        <f>'Resume Analisa'!$D$31</f>
        <v>37946.620000000003</v>
      </c>
      <c r="J485" s="2544">
        <f t="shared" si="139"/>
        <v>76272.706200000015</v>
      </c>
      <c r="K485" s="2378" t="e">
        <f>IF(H485=0,"",IF(J485&lt;#REF!*H485,"Timpang &lt;"&amp;TEXT(#REF!,"0%"),IF(J485&gt;#REF!*H485,"Timpang &gt;"&amp;TEXT(#REF!,"0%"),"Wajar")))</f>
        <v>#REF!</v>
      </c>
      <c r="L485" s="2391">
        <v>37946.620000000003</v>
      </c>
      <c r="M485" s="2391">
        <f t="shared" si="140"/>
        <v>76272.706200000015</v>
      </c>
      <c r="N485" s="2375">
        <f t="shared" si="141"/>
        <v>3.3317545809212782E-3</v>
      </c>
      <c r="O485" s="2375">
        <v>0</v>
      </c>
      <c r="P485" s="2398"/>
      <c r="Q485" s="2375">
        <f t="shared" si="137"/>
        <v>0</v>
      </c>
      <c r="R485" s="2375">
        <f t="shared" si="132"/>
        <v>0</v>
      </c>
      <c r="S485" s="2375">
        <v>0</v>
      </c>
      <c r="T485" s="2398"/>
      <c r="U485" s="2375">
        <f t="shared" si="135"/>
        <v>0</v>
      </c>
      <c r="V485" s="2375"/>
      <c r="W485" s="2382">
        <f t="shared" si="136"/>
        <v>2.0100000000000002</v>
      </c>
      <c r="X485" s="2398" t="s">
        <v>103</v>
      </c>
      <c r="Y485" s="2375">
        <f t="shared" ref="Y485:Y487" si="143">W485*L485</f>
        <v>76272.706200000015</v>
      </c>
      <c r="Z485" s="2375">
        <f t="shared" si="142"/>
        <v>3.3317545809212782E-3</v>
      </c>
      <c r="AA485" s="2377" t="s">
        <v>3355</v>
      </c>
    </row>
    <row r="486" spans="1:27" s="399" customFormat="1" ht="25" customHeight="1">
      <c r="A486" s="2555" t="s">
        <v>142</v>
      </c>
      <c r="B486" s="2549" t="s">
        <v>415</v>
      </c>
      <c r="C486" s="2550"/>
      <c r="D486" s="2551"/>
      <c r="E486" s="2397">
        <f>'7. Vol Kios 3x4'!$M$203</f>
        <v>0.76125000000000009</v>
      </c>
      <c r="F486" s="2398" t="s">
        <v>103</v>
      </c>
      <c r="G486" s="2567">
        <v>507759.96</v>
      </c>
      <c r="H486" s="2567">
        <f t="shared" si="138"/>
        <v>386532.26955000008</v>
      </c>
      <c r="I486" s="2480">
        <f>'Resume Analisa'!$D$26</f>
        <v>475358.64</v>
      </c>
      <c r="J486" s="2544">
        <f t="shared" si="139"/>
        <v>361866.76470000006</v>
      </c>
      <c r="K486" s="2378" t="e">
        <f>IF(H486=0,"",IF(J486&lt;#REF!*H486,"Timpang &lt;"&amp;TEXT(#REF!,"0%"),IF(J486&gt;#REF!*H486,"Timpang &gt;"&amp;TEXT(#REF!,"0%"),"Wajar")))</f>
        <v>#REF!</v>
      </c>
      <c r="L486" s="2391">
        <v>475358.64</v>
      </c>
      <c r="M486" s="2391">
        <f t="shared" si="140"/>
        <v>361866.76470000006</v>
      </c>
      <c r="N486" s="2375">
        <f t="shared" si="141"/>
        <v>1.5807112544439748E-2</v>
      </c>
      <c r="O486" s="2375">
        <v>0</v>
      </c>
      <c r="P486" s="2398"/>
      <c r="Q486" s="2375">
        <f t="shared" si="137"/>
        <v>0</v>
      </c>
      <c r="R486" s="2375">
        <f t="shared" si="132"/>
        <v>0</v>
      </c>
      <c r="S486" s="2375">
        <v>0</v>
      </c>
      <c r="T486" s="2398"/>
      <c r="U486" s="2375">
        <f t="shared" si="135"/>
        <v>0</v>
      </c>
      <c r="V486" s="2375"/>
      <c r="W486" s="2382">
        <f t="shared" si="136"/>
        <v>0.76125000000000009</v>
      </c>
      <c r="X486" s="2398" t="s">
        <v>103</v>
      </c>
      <c r="Y486" s="2375">
        <f t="shared" si="143"/>
        <v>361866.76470000006</v>
      </c>
      <c r="Z486" s="2375">
        <f t="shared" si="142"/>
        <v>1.5807112544439748E-2</v>
      </c>
      <c r="AA486" s="2377" t="s">
        <v>3355</v>
      </c>
    </row>
    <row r="487" spans="1:27" s="399" customFormat="1" ht="25" customHeight="1">
      <c r="A487" s="2568" t="s">
        <v>217</v>
      </c>
      <c r="B487" s="2569" t="s">
        <v>559</v>
      </c>
      <c r="C487" s="2570"/>
      <c r="D487" s="2571"/>
      <c r="E487" s="2717">
        <f>'7. Vol Kios 3x4'!$M$208</f>
        <v>0.76125000000000009</v>
      </c>
      <c r="F487" s="2403" t="s">
        <v>103</v>
      </c>
      <c r="G487" s="2718">
        <v>1422226.08</v>
      </c>
      <c r="H487" s="2718">
        <f t="shared" si="138"/>
        <v>1082669.6034000001</v>
      </c>
      <c r="I487" s="2574">
        <f>'Resume Analisa'!$D$54</f>
        <v>1384580.76</v>
      </c>
      <c r="J487" s="2591">
        <f t="shared" si="139"/>
        <v>1054012.1035500001</v>
      </c>
      <c r="K487" s="2408" t="e">
        <f>IF(H487=0,"",IF(J487&lt;#REF!*H487,"Timpang &lt;"&amp;TEXT(#REF!,"0%"),IF(J487&gt;#REF!*H487,"Timpang &gt;"&amp;TEXT(#REF!,"0%"),"Wajar")))</f>
        <v>#REF!</v>
      </c>
      <c r="L487" s="2410">
        <v>1384580.76</v>
      </c>
      <c r="M487" s="2410">
        <f t="shared" si="140"/>
        <v>1054012.1035500001</v>
      </c>
      <c r="N487" s="2375">
        <f t="shared" si="141"/>
        <v>4.6041498057521196E-2</v>
      </c>
      <c r="O487" s="2411">
        <v>0</v>
      </c>
      <c r="P487" s="2403"/>
      <c r="Q487" s="2411">
        <f t="shared" si="137"/>
        <v>0</v>
      </c>
      <c r="R487" s="2411">
        <f t="shared" si="132"/>
        <v>0</v>
      </c>
      <c r="S487" s="2411">
        <v>0</v>
      </c>
      <c r="T487" s="2403"/>
      <c r="U487" s="2411">
        <f t="shared" si="135"/>
        <v>0</v>
      </c>
      <c r="V487" s="2411"/>
      <c r="W487" s="2402">
        <f t="shared" si="136"/>
        <v>0.76125000000000009</v>
      </c>
      <c r="X487" s="2403" t="s">
        <v>103</v>
      </c>
      <c r="Y487" s="2411">
        <f t="shared" si="143"/>
        <v>1054012.1035500001</v>
      </c>
      <c r="Z487" s="2411">
        <f t="shared" si="142"/>
        <v>4.6041498057521196E-2</v>
      </c>
      <c r="AA487" s="2412" t="s">
        <v>3355</v>
      </c>
    </row>
    <row r="488" spans="1:27" s="399" customFormat="1" ht="25" customHeight="1">
      <c r="A488" s="2576"/>
      <c r="B488" s="2719"/>
      <c r="C488" s="2720"/>
      <c r="D488" s="2512" t="s">
        <v>376</v>
      </c>
      <c r="E488" s="2721"/>
      <c r="F488" s="2580"/>
      <c r="G488" s="2599"/>
      <c r="H488" s="2599">
        <f>SUM(H420:H487)</f>
        <v>49209099.184825569</v>
      </c>
      <c r="I488" s="2722"/>
      <c r="J488" s="2599">
        <f>SUM(J420:J487)</f>
        <v>48283231.03978359</v>
      </c>
      <c r="K488" s="2581"/>
      <c r="L488" s="2584"/>
      <c r="M488" s="2584">
        <f>SUM(M420:M487)</f>
        <v>48283231.03978359</v>
      </c>
      <c r="N488" s="2424">
        <f>M488/M8*100</f>
        <v>2.109114573392171</v>
      </c>
      <c r="O488" s="2426">
        <v>0</v>
      </c>
      <c r="P488" s="2580"/>
      <c r="Q488" s="2426">
        <f t="shared" si="137"/>
        <v>0</v>
      </c>
      <c r="R488" s="2426">
        <f t="shared" si="132"/>
        <v>0</v>
      </c>
      <c r="S488" s="2426">
        <v>0</v>
      </c>
      <c r="T488" s="2576"/>
      <c r="U488" s="2426">
        <f t="shared" si="135"/>
        <v>0</v>
      </c>
      <c r="V488" s="2426"/>
      <c r="W488" s="2428">
        <f t="shared" si="136"/>
        <v>0</v>
      </c>
      <c r="X488" s="2580"/>
      <c r="Y488" s="2424">
        <f>SUM(Y420:Y487)</f>
        <v>48283231.03978359</v>
      </c>
      <c r="Z488" s="2424">
        <f>SUM(Z420:Z487)</f>
        <v>2.1091145733921706</v>
      </c>
      <c r="AA488" s="2429"/>
    </row>
    <row r="489" spans="1:27" s="399" customFormat="1" ht="25" customHeight="1">
      <c r="A489" s="2521" t="s">
        <v>560</v>
      </c>
      <c r="B489" s="2522" t="s">
        <v>434</v>
      </c>
      <c r="C489" s="2723"/>
      <c r="D489" s="2724"/>
      <c r="E489" s="2725"/>
      <c r="F489" s="2526"/>
      <c r="G489" s="2726"/>
      <c r="H489" s="2726"/>
      <c r="I489" s="2727"/>
      <c r="J489" s="2726"/>
      <c r="K489" s="2585"/>
      <c r="L489" s="2532"/>
      <c r="M489" s="2532"/>
      <c r="N489" s="2365"/>
      <c r="O489" s="2365"/>
      <c r="P489" s="2526"/>
      <c r="Q489" s="2365"/>
      <c r="R489" s="2365">
        <f t="shared" si="132"/>
        <v>0</v>
      </c>
      <c r="S489" s="2535"/>
      <c r="T489" s="2526"/>
      <c r="U489" s="2365"/>
      <c r="V489" s="2365"/>
      <c r="W489" s="2445">
        <f t="shared" si="136"/>
        <v>0</v>
      </c>
      <c r="X489" s="2526"/>
      <c r="Y489" s="2365">
        <f t="shared" ref="Y489" si="144">L489</f>
        <v>0</v>
      </c>
      <c r="Z489" s="2365"/>
      <c r="AA489" s="2367"/>
    </row>
    <row r="490" spans="1:27" s="399" customFormat="1" ht="25" customHeight="1">
      <c r="A490" s="2398">
        <v>1</v>
      </c>
      <c r="B490" s="2549" t="s">
        <v>561</v>
      </c>
      <c r="C490" s="2550"/>
      <c r="D490" s="2551"/>
      <c r="E490" s="2397">
        <f>'7. Vol Kios 3x4'!$M$223</f>
        <v>53.409600000000012</v>
      </c>
      <c r="F490" s="2398" t="s">
        <v>89</v>
      </c>
      <c r="G490" s="2567">
        <v>166165.41</v>
      </c>
      <c r="H490" s="2567">
        <f t="shared" ref="H490:H496" si="145">E490*G490</f>
        <v>8874828.0819360018</v>
      </c>
      <c r="I490" s="2480">
        <f>'Resume Analisa'!$D$69</f>
        <v>161086.38</v>
      </c>
      <c r="J490" s="2480">
        <f>I490*E490</f>
        <v>8603559.1212480012</v>
      </c>
      <c r="K490" s="2378" t="e">
        <f>IF(H490=0,"",IF(J490&lt;#REF!*H490,"Timpang &lt;"&amp;TEXT(#REF!,"0%"),IF(J490&gt;#REF!*H490,"Timpang &gt;"&amp;TEXT(#REF!,"0%"),"Wajar")))</f>
        <v>#REF!</v>
      </c>
      <c r="L490" s="2391">
        <v>161086.38</v>
      </c>
      <c r="M490" s="2391">
        <f t="shared" ref="M490:M496" si="146">E490*L490</f>
        <v>8603559.1212480012</v>
      </c>
      <c r="N490" s="2375">
        <f t="shared" ref="N490:N529" si="147">M490/$M$8*100</f>
        <v>0.37582182333062508</v>
      </c>
      <c r="O490" s="2375">
        <v>0</v>
      </c>
      <c r="P490" s="2398"/>
      <c r="Q490" s="2375">
        <f t="shared" si="137"/>
        <v>0</v>
      </c>
      <c r="R490" s="2375">
        <f t="shared" si="132"/>
        <v>0</v>
      </c>
      <c r="S490" s="2386">
        <v>0</v>
      </c>
      <c r="T490" s="2398"/>
      <c r="U490" s="2375">
        <f t="shared" si="135"/>
        <v>0</v>
      </c>
      <c r="V490" s="2375"/>
      <c r="W490" s="2382">
        <f t="shared" si="136"/>
        <v>53.409600000000012</v>
      </c>
      <c r="X490" s="2398" t="s">
        <v>89</v>
      </c>
      <c r="Y490" s="2375">
        <f>W490*L490</f>
        <v>8603559.1212480012</v>
      </c>
      <c r="Z490" s="2375">
        <f t="shared" ref="Z490:Z529" si="148">Y490/$M$8*100</f>
        <v>0.37582182333062508</v>
      </c>
      <c r="AA490" s="2377" t="s">
        <v>3355</v>
      </c>
    </row>
    <row r="491" spans="1:27" s="399" customFormat="1" ht="25" customHeight="1">
      <c r="A491" s="2398">
        <f t="shared" ref="A491:A497" si="149">A490+1</f>
        <v>2</v>
      </c>
      <c r="B491" s="2549" t="s">
        <v>193</v>
      </c>
      <c r="C491" s="2550"/>
      <c r="D491" s="2551"/>
      <c r="E491" s="2397">
        <f>'7. Vol Kios 3x4'!$M$224</f>
        <v>106.81920000000002</v>
      </c>
      <c r="F491" s="2398" t="s">
        <v>89</v>
      </c>
      <c r="G491" s="2567">
        <v>61230.840000000004</v>
      </c>
      <c r="H491" s="2567">
        <f t="shared" si="145"/>
        <v>6540629.3441280015</v>
      </c>
      <c r="I491" s="2480">
        <f>'Resume Analisa'!$D$70</f>
        <v>58648.57</v>
      </c>
      <c r="J491" s="2480">
        <f>I491*E491</f>
        <v>6264793.3285440011</v>
      </c>
      <c r="K491" s="2378" t="e">
        <f>IF(H491=0,"",IF(J491&lt;#REF!*H491,"Timpang &lt;"&amp;TEXT(#REF!,"0%"),IF(J491&gt;#REF!*H491,"Timpang &gt;"&amp;TEXT(#REF!,"0%"),"Wajar")))</f>
        <v>#REF!</v>
      </c>
      <c r="L491" s="2391">
        <v>58648.57</v>
      </c>
      <c r="M491" s="2391">
        <f t="shared" si="146"/>
        <v>6264793.3285440011</v>
      </c>
      <c r="N491" s="2375">
        <f t="shared" si="147"/>
        <v>0.27365954232919998</v>
      </c>
      <c r="O491" s="2375">
        <v>0</v>
      </c>
      <c r="P491" s="2398"/>
      <c r="Q491" s="2375">
        <f t="shared" si="137"/>
        <v>0</v>
      </c>
      <c r="R491" s="2375">
        <f t="shared" ref="R491:R554" si="150">Q491/$M$8*100</f>
        <v>0</v>
      </c>
      <c r="S491" s="2375">
        <v>0</v>
      </c>
      <c r="T491" s="2398"/>
      <c r="U491" s="2375">
        <f t="shared" si="135"/>
        <v>0</v>
      </c>
      <c r="V491" s="2375"/>
      <c r="W491" s="2382">
        <f t="shared" si="136"/>
        <v>106.81920000000002</v>
      </c>
      <c r="X491" s="2398" t="s">
        <v>89</v>
      </c>
      <c r="Y491" s="2375">
        <f t="shared" ref="Y491:Y529" si="151">W491*L491</f>
        <v>6264793.3285440011</v>
      </c>
      <c r="Z491" s="2375">
        <f t="shared" si="148"/>
        <v>0.27365954232919998</v>
      </c>
      <c r="AA491" s="2377" t="s">
        <v>3355</v>
      </c>
    </row>
    <row r="492" spans="1:27" s="399" customFormat="1" ht="25" customHeight="1">
      <c r="A492" s="2398">
        <f t="shared" si="149"/>
        <v>3</v>
      </c>
      <c r="B492" s="2549" t="s">
        <v>194</v>
      </c>
      <c r="C492" s="2550"/>
      <c r="D492" s="2551"/>
      <c r="E492" s="2397">
        <f>'7. Vol Kios 3x4'!$M$227</f>
        <v>106.81920000000002</v>
      </c>
      <c r="F492" s="2398" t="s">
        <v>89</v>
      </c>
      <c r="G492" s="2567">
        <v>45612.170000000006</v>
      </c>
      <c r="H492" s="2567">
        <f t="shared" si="145"/>
        <v>4872255.5096640019</v>
      </c>
      <c r="I492" s="2480">
        <f>'Resume Analisa'!$D$72</f>
        <v>43813.91</v>
      </c>
      <c r="J492" s="2480">
        <f>I492*E492</f>
        <v>4680166.815072001</v>
      </c>
      <c r="K492" s="2378" t="e">
        <f>IF(H492=0,"",IF(J492&lt;#REF!*H492,"Timpang &lt;"&amp;TEXT(#REF!,"0%"),IF(J492&gt;#REF!*H492,"Timpang &gt;"&amp;TEXT(#REF!,"0%"),"Wajar")))</f>
        <v>#REF!</v>
      </c>
      <c r="L492" s="2391">
        <v>43813.91</v>
      </c>
      <c r="M492" s="2391">
        <f t="shared" si="146"/>
        <v>4680166.815072001</v>
      </c>
      <c r="N492" s="2375">
        <f t="shared" si="147"/>
        <v>0.20443967445843539</v>
      </c>
      <c r="O492" s="2375">
        <v>0</v>
      </c>
      <c r="P492" s="2398"/>
      <c r="Q492" s="2375">
        <f t="shared" si="137"/>
        <v>0</v>
      </c>
      <c r="R492" s="2375">
        <f t="shared" si="150"/>
        <v>0</v>
      </c>
      <c r="S492" s="2375">
        <v>0</v>
      </c>
      <c r="T492" s="2398"/>
      <c r="U492" s="2375">
        <f t="shared" si="135"/>
        <v>0</v>
      </c>
      <c r="V492" s="2375"/>
      <c r="W492" s="2382">
        <f t="shared" si="136"/>
        <v>106.81920000000002</v>
      </c>
      <c r="X492" s="2398" t="s">
        <v>89</v>
      </c>
      <c r="Y492" s="2375">
        <f t="shared" si="151"/>
        <v>4680166.815072001</v>
      </c>
      <c r="Z492" s="2375">
        <f t="shared" si="148"/>
        <v>0.20443967445843539</v>
      </c>
      <c r="AA492" s="2377" t="s">
        <v>3355</v>
      </c>
    </row>
    <row r="493" spans="1:27" s="399" customFormat="1" ht="25" customHeight="1">
      <c r="A493" s="2398">
        <f t="shared" si="149"/>
        <v>4</v>
      </c>
      <c r="B493" s="2549" t="s">
        <v>436</v>
      </c>
      <c r="C493" s="2550"/>
      <c r="D493" s="2551"/>
      <c r="E493" s="2397">
        <f>'7. Vol Kios 3x4'!$M$232</f>
        <v>4.5685060000000002</v>
      </c>
      <c r="F493" s="2398" t="s">
        <v>89</v>
      </c>
      <c r="G493" s="2567">
        <v>39943.170000000006</v>
      </c>
      <c r="H493" s="2567">
        <f t="shared" si="145"/>
        <v>182480.61180402004</v>
      </c>
      <c r="I493" s="2465">
        <f>'Resume Analisa'!$D$229</f>
        <v>38799.550000000003</v>
      </c>
      <c r="J493" s="2552">
        <f>E493*I493</f>
        <v>177255.97697230001</v>
      </c>
      <c r="K493" s="2378" t="e">
        <f>IF(H493=0,"",IF(J493&lt;#REF!*H493,"Timpang &lt;"&amp;TEXT(#REF!,"0%"),IF(J493&gt;#REF!*H493,"Timpang &gt;"&amp;TEXT(#REF!,"0%"),"Wajar")))</f>
        <v>#REF!</v>
      </c>
      <c r="L493" s="2391">
        <v>38799.550000000003</v>
      </c>
      <c r="M493" s="2391">
        <f t="shared" si="146"/>
        <v>177255.97697230001</v>
      </c>
      <c r="N493" s="2375">
        <f t="shared" si="147"/>
        <v>7.7429193573459055E-3</v>
      </c>
      <c r="O493" s="2375">
        <v>0</v>
      </c>
      <c r="P493" s="2398"/>
      <c r="Q493" s="2375">
        <f t="shared" si="137"/>
        <v>0</v>
      </c>
      <c r="R493" s="2375">
        <f t="shared" si="150"/>
        <v>0</v>
      </c>
      <c r="S493" s="2375">
        <v>0</v>
      </c>
      <c r="T493" s="2398"/>
      <c r="U493" s="2375">
        <f t="shared" si="135"/>
        <v>0</v>
      </c>
      <c r="V493" s="2375"/>
      <c r="W493" s="2382">
        <f t="shared" si="136"/>
        <v>4.5685060000000002</v>
      </c>
      <c r="X493" s="2398" t="s">
        <v>89</v>
      </c>
      <c r="Y493" s="2375">
        <f t="shared" si="151"/>
        <v>177255.97697230001</v>
      </c>
      <c r="Z493" s="2375">
        <f t="shared" si="148"/>
        <v>7.7429193573459055E-3</v>
      </c>
      <c r="AA493" s="2377" t="s">
        <v>3355</v>
      </c>
    </row>
    <row r="494" spans="1:27" s="399" customFormat="1" ht="25" customHeight="1">
      <c r="A494" s="2398">
        <f t="shared" si="149"/>
        <v>5</v>
      </c>
      <c r="B494" s="2549" t="s">
        <v>562</v>
      </c>
      <c r="C494" s="2550"/>
      <c r="D494" s="2551"/>
      <c r="E494" s="2397">
        <f>'7. Vol Kios 3x4'!$M$240</f>
        <v>29.88</v>
      </c>
      <c r="F494" s="2398" t="s">
        <v>117</v>
      </c>
      <c r="G494" s="2567">
        <v>55136.41</v>
      </c>
      <c r="H494" s="2567">
        <f t="shared" si="145"/>
        <v>1647475.9308</v>
      </c>
      <c r="I494" s="2465">
        <f>'Resume Analisa'!$D$74</f>
        <v>52968.270000000004</v>
      </c>
      <c r="J494" s="2567">
        <f>E494*I494</f>
        <v>1582691.9076</v>
      </c>
      <c r="K494" s="2378" t="e">
        <f>IF(H494=0,"",IF(J494&lt;#REF!*H494,"Timpang &lt;"&amp;TEXT(#REF!,"0%"),IF(J494&gt;#REF!*H494,"Timpang &gt;"&amp;TEXT(#REF!,"0%"),"Wajar")))</f>
        <v>#REF!</v>
      </c>
      <c r="L494" s="2391">
        <v>52968.270000000004</v>
      </c>
      <c r="M494" s="2391">
        <f t="shared" si="146"/>
        <v>1582691.9076</v>
      </c>
      <c r="N494" s="2375">
        <f t="shared" si="147"/>
        <v>6.9135360157620007E-2</v>
      </c>
      <c r="O494" s="2375">
        <v>0</v>
      </c>
      <c r="P494" s="2398"/>
      <c r="Q494" s="2375">
        <f t="shared" si="137"/>
        <v>0</v>
      </c>
      <c r="R494" s="2375">
        <f t="shared" si="150"/>
        <v>0</v>
      </c>
      <c r="S494" s="2375">
        <v>0</v>
      </c>
      <c r="T494" s="2398"/>
      <c r="U494" s="2375">
        <f t="shared" si="135"/>
        <v>0</v>
      </c>
      <c r="V494" s="2375"/>
      <c r="W494" s="2382">
        <f t="shared" si="136"/>
        <v>29.88</v>
      </c>
      <c r="X494" s="2398" t="s">
        <v>117</v>
      </c>
      <c r="Y494" s="2375">
        <f t="shared" si="151"/>
        <v>1582691.9076</v>
      </c>
      <c r="Z494" s="2375">
        <f t="shared" si="148"/>
        <v>6.9135360157620007E-2</v>
      </c>
      <c r="AA494" s="2377" t="s">
        <v>3355</v>
      </c>
    </row>
    <row r="495" spans="1:27" s="399" customFormat="1" ht="25" customHeight="1">
      <c r="A495" s="2398">
        <f t="shared" si="149"/>
        <v>6</v>
      </c>
      <c r="B495" s="3193" t="s">
        <v>563</v>
      </c>
      <c r="C495" s="3194"/>
      <c r="D495" s="3195"/>
      <c r="E495" s="2397">
        <f>'7. Vol Kios 3x4'!$M$241</f>
        <v>5</v>
      </c>
      <c r="F495" s="2398" t="s">
        <v>89</v>
      </c>
      <c r="G495" s="2567">
        <v>820295</v>
      </c>
      <c r="H495" s="2567">
        <f t="shared" si="145"/>
        <v>4101475</v>
      </c>
      <c r="I495" s="2465">
        <f>'Resume Analisa'!$D$129</f>
        <v>809530.76</v>
      </c>
      <c r="J495" s="2567">
        <f>E495*I495</f>
        <v>4047653.8</v>
      </c>
      <c r="K495" s="2378" t="e">
        <f>IF(H495=0,"",IF(J495&lt;#REF!*H495,"Timpang &lt;"&amp;TEXT(#REF!,"0%"),IF(J495&gt;#REF!*H495,"Timpang &gt;"&amp;TEXT(#REF!,"0%"),"Wajar")))</f>
        <v>#REF!</v>
      </c>
      <c r="L495" s="2391">
        <v>809530.76</v>
      </c>
      <c r="M495" s="2391">
        <f t="shared" si="146"/>
        <v>4047653.8</v>
      </c>
      <c r="N495" s="2375">
        <f t="shared" si="147"/>
        <v>0.17681015610972797</v>
      </c>
      <c r="O495" s="2375">
        <v>0</v>
      </c>
      <c r="P495" s="2398"/>
      <c r="Q495" s="2375">
        <f t="shared" si="137"/>
        <v>0</v>
      </c>
      <c r="R495" s="2375">
        <f t="shared" si="150"/>
        <v>0</v>
      </c>
      <c r="S495" s="2375">
        <v>0</v>
      </c>
      <c r="T495" s="2398"/>
      <c r="U495" s="2375">
        <f t="shared" si="135"/>
        <v>0</v>
      </c>
      <c r="V495" s="2375"/>
      <c r="W495" s="2382">
        <f t="shared" si="136"/>
        <v>5</v>
      </c>
      <c r="X495" s="2398" t="s">
        <v>89</v>
      </c>
      <c r="Y495" s="2375">
        <f t="shared" si="151"/>
        <v>4047653.8</v>
      </c>
      <c r="Z495" s="2375">
        <f t="shared" si="148"/>
        <v>0.17681015610972797</v>
      </c>
      <c r="AA495" s="2377" t="s">
        <v>3355</v>
      </c>
    </row>
    <row r="496" spans="1:27" s="331" customFormat="1" ht="25" customHeight="1">
      <c r="A496" s="2398">
        <f t="shared" si="149"/>
        <v>7</v>
      </c>
      <c r="B496" s="3193" t="s">
        <v>564</v>
      </c>
      <c r="C496" s="3194"/>
      <c r="D496" s="3195"/>
      <c r="E496" s="2397">
        <f>'7. Vol Kios 3x4'!M242</f>
        <v>1</v>
      </c>
      <c r="F496" s="2398" t="s">
        <v>360</v>
      </c>
      <c r="G496" s="2389">
        <v>1858497.98</v>
      </c>
      <c r="H496" s="2389">
        <f t="shared" si="145"/>
        <v>1858497.98</v>
      </c>
      <c r="I496" s="2480">
        <f>'Resume Analisa'!$D$116</f>
        <v>1877988.81</v>
      </c>
      <c r="J496" s="2480">
        <f>I496*E496</f>
        <v>1877988.81</v>
      </c>
      <c r="K496" s="2378" t="e">
        <f>IF(H496=0,"",IF(J496&lt;#REF!*H496,"Timpang &lt;"&amp;TEXT(#REF!,"0%"),IF(J496&gt;#REF!*H496,"Timpang &gt;"&amp;TEXT(#REF!,"0%"),"Wajar")))</f>
        <v>#REF!</v>
      </c>
      <c r="L496" s="2391">
        <v>1877988.81</v>
      </c>
      <c r="M496" s="2391">
        <f t="shared" si="146"/>
        <v>1877988.81</v>
      </c>
      <c r="N496" s="2375">
        <f t="shared" si="147"/>
        <v>8.2034559049596154E-2</v>
      </c>
      <c r="O496" s="2375">
        <v>0</v>
      </c>
      <c r="P496" s="2398"/>
      <c r="Q496" s="2375">
        <f t="shared" si="137"/>
        <v>0</v>
      </c>
      <c r="R496" s="2375">
        <f t="shared" si="150"/>
        <v>0</v>
      </c>
      <c r="S496" s="2386">
        <v>0</v>
      </c>
      <c r="T496" s="2398"/>
      <c r="U496" s="2375">
        <f t="shared" si="135"/>
        <v>0</v>
      </c>
      <c r="V496" s="2375"/>
      <c r="W496" s="2382">
        <f t="shared" si="136"/>
        <v>1</v>
      </c>
      <c r="X496" s="2398" t="s">
        <v>360</v>
      </c>
      <c r="Y496" s="2375">
        <f t="shared" si="151"/>
        <v>1877988.81</v>
      </c>
      <c r="Z496" s="2375">
        <f t="shared" si="148"/>
        <v>8.2034559049596154E-2</v>
      </c>
      <c r="AA496" s="2377" t="s">
        <v>3355</v>
      </c>
    </row>
    <row r="497" spans="1:27" s="399" customFormat="1" ht="25" customHeight="1">
      <c r="A497" s="2398">
        <f t="shared" si="149"/>
        <v>8</v>
      </c>
      <c r="B497" s="2549" t="s">
        <v>565</v>
      </c>
      <c r="C497" s="2550"/>
      <c r="D497" s="2551"/>
      <c r="E497" s="2397"/>
      <c r="F497" s="2398"/>
      <c r="G497" s="2713"/>
      <c r="H497" s="2567"/>
      <c r="I497" s="2714"/>
      <c r="J497" s="2567"/>
      <c r="K497" s="2389"/>
      <c r="L497" s="2565"/>
      <c r="M497" s="2391"/>
      <c r="N497" s="2375">
        <f t="shared" si="147"/>
        <v>0</v>
      </c>
      <c r="O497" s="2375">
        <v>0</v>
      </c>
      <c r="P497" s="2398"/>
      <c r="Q497" s="2375">
        <f t="shared" si="137"/>
        <v>0</v>
      </c>
      <c r="R497" s="2375">
        <f t="shared" si="150"/>
        <v>0</v>
      </c>
      <c r="S497" s="2386">
        <v>0</v>
      </c>
      <c r="T497" s="2398"/>
      <c r="U497" s="2375">
        <f t="shared" si="135"/>
        <v>0</v>
      </c>
      <c r="V497" s="2375"/>
      <c r="W497" s="2382">
        <f t="shared" si="136"/>
        <v>0</v>
      </c>
      <c r="X497" s="2398"/>
      <c r="Y497" s="2375">
        <f t="shared" si="151"/>
        <v>0</v>
      </c>
      <c r="Z497" s="2375">
        <f t="shared" si="148"/>
        <v>0</v>
      </c>
      <c r="AA497" s="2377"/>
    </row>
    <row r="498" spans="1:27" s="399" customFormat="1" ht="25" customHeight="1">
      <c r="A498" s="2555" t="s">
        <v>95</v>
      </c>
      <c r="B498" s="2549" t="s">
        <v>566</v>
      </c>
      <c r="C498" s="2550"/>
      <c r="D498" s="2551"/>
      <c r="E498" s="2397">
        <f>'7. Vol Kios 3x4'!$M$247</f>
        <v>2.09</v>
      </c>
      <c r="F498" s="2398" t="s">
        <v>117</v>
      </c>
      <c r="G498" s="2567">
        <v>313139.25</v>
      </c>
      <c r="H498" s="2567">
        <f>E498*G498</f>
        <v>654461.03249999997</v>
      </c>
      <c r="I498" s="2465">
        <f>'Resume Analisa'!$D$109</f>
        <v>325586.65000000002</v>
      </c>
      <c r="J498" s="2567">
        <f>E498*I498</f>
        <v>680476.09849999996</v>
      </c>
      <c r="K498" s="2378" t="e">
        <f>IF(H498=0,"",IF(J498&lt;#REF!*H498,"Timpang &lt;"&amp;TEXT(#REF!,"0%"),IF(J498&gt;#REF!*H498,"Timpang &gt;"&amp;TEXT(#REF!,"0%"),"Wajar")))</f>
        <v>#REF!</v>
      </c>
      <c r="L498" s="2391">
        <v>325586.65000000002</v>
      </c>
      <c r="M498" s="2391">
        <f>E498*L498</f>
        <v>680476.09849999996</v>
      </c>
      <c r="N498" s="2375">
        <f t="shared" si="147"/>
        <v>2.9724648191187607E-2</v>
      </c>
      <c r="O498" s="2375">
        <v>0</v>
      </c>
      <c r="P498" s="2398"/>
      <c r="Q498" s="2375">
        <f t="shared" si="137"/>
        <v>0</v>
      </c>
      <c r="R498" s="2375">
        <f t="shared" si="150"/>
        <v>0</v>
      </c>
      <c r="S498" s="2375">
        <v>0</v>
      </c>
      <c r="T498" s="2398"/>
      <c r="U498" s="2375">
        <f t="shared" si="135"/>
        <v>0</v>
      </c>
      <c r="V498" s="2375"/>
      <c r="W498" s="2382">
        <f t="shared" si="136"/>
        <v>2.09</v>
      </c>
      <c r="X498" s="2398" t="s">
        <v>117</v>
      </c>
      <c r="Y498" s="2375">
        <f t="shared" si="151"/>
        <v>680476.09849999996</v>
      </c>
      <c r="Z498" s="2375">
        <f t="shared" si="148"/>
        <v>2.9724648191187607E-2</v>
      </c>
      <c r="AA498" s="2377" t="s">
        <v>3355</v>
      </c>
    </row>
    <row r="499" spans="1:27" s="399" customFormat="1" ht="25" customHeight="1">
      <c r="A499" s="2555" t="s">
        <v>98</v>
      </c>
      <c r="B499" s="2549" t="s">
        <v>567</v>
      </c>
      <c r="C499" s="2550"/>
      <c r="D499" s="2551"/>
      <c r="E499" s="2397">
        <f>'7. Vol Kios 3x4'!$M$248</f>
        <v>0.21470000000000003</v>
      </c>
      <c r="F499" s="2398" t="s">
        <v>89</v>
      </c>
      <c r="G499" s="2567">
        <v>454480</v>
      </c>
      <c r="H499" s="2567">
        <f>E499*G499</f>
        <v>97576.856000000014</v>
      </c>
      <c r="I499" s="2465">
        <f>'Resume Analisa'!$D$119</f>
        <v>435404.45</v>
      </c>
      <c r="J499" s="2567">
        <f>E499*I499</f>
        <v>93481.335415000009</v>
      </c>
      <c r="K499" s="2378" t="e">
        <f>IF(H499=0,"",IF(J499&lt;#REF!*H499,"Timpang &lt;"&amp;TEXT(#REF!,"0%"),IF(J499&gt;#REF!*H499,"Timpang &gt;"&amp;TEXT(#REF!,"0%"),"Wajar")))</f>
        <v>#REF!</v>
      </c>
      <c r="L499" s="2391">
        <v>435404.45</v>
      </c>
      <c r="M499" s="2391">
        <f>E499*L499</f>
        <v>93481.335415000009</v>
      </c>
      <c r="N499" s="2375">
        <f t="shared" si="147"/>
        <v>4.0834642300860797E-3</v>
      </c>
      <c r="O499" s="2375">
        <v>0</v>
      </c>
      <c r="P499" s="2398"/>
      <c r="Q499" s="2375">
        <f t="shared" si="137"/>
        <v>0</v>
      </c>
      <c r="R499" s="2375">
        <f t="shared" si="150"/>
        <v>0</v>
      </c>
      <c r="S499" s="2375">
        <v>0</v>
      </c>
      <c r="T499" s="2398"/>
      <c r="U499" s="2375">
        <f t="shared" si="135"/>
        <v>0</v>
      </c>
      <c r="V499" s="2375"/>
      <c r="W499" s="2382">
        <f t="shared" si="136"/>
        <v>0.21470000000000003</v>
      </c>
      <c r="X499" s="2398" t="s">
        <v>89</v>
      </c>
      <c r="Y499" s="2375">
        <f t="shared" si="151"/>
        <v>93481.335415000009</v>
      </c>
      <c r="Z499" s="2375">
        <f t="shared" si="148"/>
        <v>4.0834642300860797E-3</v>
      </c>
      <c r="AA499" s="2377" t="s">
        <v>3355</v>
      </c>
    </row>
    <row r="500" spans="1:27" s="399" customFormat="1" ht="25" customHeight="1">
      <c r="A500" s="2398">
        <f>A497+1</f>
        <v>9</v>
      </c>
      <c r="B500" s="2549" t="s">
        <v>437</v>
      </c>
      <c r="C500" s="2550"/>
      <c r="D500" s="2551"/>
      <c r="E500" s="2541"/>
      <c r="F500" s="2398"/>
      <c r="G500" s="2567"/>
      <c r="H500" s="2567"/>
      <c r="I500" s="2588"/>
      <c r="J500" s="2544"/>
      <c r="K500" s="2389"/>
      <c r="L500" s="2391"/>
      <c r="M500" s="2391"/>
      <c r="N500" s="2375">
        <f t="shared" si="147"/>
        <v>0</v>
      </c>
      <c r="O500" s="2375">
        <v>0</v>
      </c>
      <c r="P500" s="2398"/>
      <c r="Q500" s="2375">
        <f t="shared" si="137"/>
        <v>0</v>
      </c>
      <c r="R500" s="2375">
        <f t="shared" si="150"/>
        <v>0</v>
      </c>
      <c r="S500" s="2375">
        <v>0</v>
      </c>
      <c r="T500" s="2398"/>
      <c r="U500" s="2375">
        <f t="shared" si="135"/>
        <v>0</v>
      </c>
      <c r="V500" s="2375"/>
      <c r="W500" s="2382">
        <f t="shared" si="136"/>
        <v>0</v>
      </c>
      <c r="X500" s="2398"/>
      <c r="Y500" s="2375">
        <f t="shared" si="151"/>
        <v>0</v>
      </c>
      <c r="Z500" s="2375">
        <f t="shared" si="148"/>
        <v>0</v>
      </c>
      <c r="AA500" s="2377"/>
    </row>
    <row r="501" spans="1:27" s="399" customFormat="1" ht="25" customHeight="1">
      <c r="A501" s="2555" t="s">
        <v>95</v>
      </c>
      <c r="B501" s="2549" t="s">
        <v>438</v>
      </c>
      <c r="C501" s="2550"/>
      <c r="D501" s="2551"/>
      <c r="E501" s="2541">
        <f>'7. Vol Kios 3x4'!$M$253</f>
        <v>0.1368</v>
      </c>
      <c r="F501" s="2398" t="s">
        <v>103</v>
      </c>
      <c r="G501" s="2567">
        <v>50600</v>
      </c>
      <c r="H501" s="2567">
        <f t="shared" ref="H501:H509" si="152">E501*G501</f>
        <v>6922.08</v>
      </c>
      <c r="I501" s="2465">
        <f>'Resume Analisa'!$D$18</f>
        <v>49036.76</v>
      </c>
      <c r="J501" s="2544">
        <f>I501*E501</f>
        <v>6708.2287680000009</v>
      </c>
      <c r="K501" s="2378" t="e">
        <f>IF(H501=0,"",IF(J501&lt;#REF!*H501,"Timpang &lt;"&amp;TEXT(#REF!,"0%"),IF(J501&gt;#REF!*H501,"Timpang &gt;"&amp;TEXT(#REF!,"0%"),"Wajar")))</f>
        <v>#REF!</v>
      </c>
      <c r="L501" s="2391">
        <v>49036.76</v>
      </c>
      <c r="M501" s="2391">
        <f t="shared" ref="M501:M509" si="153">E501*L501</f>
        <v>6708.2287680000009</v>
      </c>
      <c r="N501" s="2375">
        <f t="shared" si="147"/>
        <v>2.9302974866324993E-4</v>
      </c>
      <c r="O501" s="2375">
        <v>0</v>
      </c>
      <c r="P501" s="2398"/>
      <c r="Q501" s="2375">
        <f t="shared" si="137"/>
        <v>0</v>
      </c>
      <c r="R501" s="2375">
        <f t="shared" si="150"/>
        <v>0</v>
      </c>
      <c r="S501" s="2375">
        <v>0</v>
      </c>
      <c r="T501" s="2398"/>
      <c r="U501" s="2375">
        <f t="shared" si="135"/>
        <v>0</v>
      </c>
      <c r="V501" s="2375"/>
      <c r="W501" s="2382">
        <f t="shared" si="136"/>
        <v>0.1368</v>
      </c>
      <c r="X501" s="2398" t="s">
        <v>103</v>
      </c>
      <c r="Y501" s="2375">
        <f t="shared" si="151"/>
        <v>6708.2287680000009</v>
      </c>
      <c r="Z501" s="2375">
        <f t="shared" si="148"/>
        <v>2.9302974866324993E-4</v>
      </c>
      <c r="AA501" s="2377" t="s">
        <v>3355</v>
      </c>
    </row>
    <row r="502" spans="1:27" s="399" customFormat="1" ht="25" customHeight="1">
      <c r="A502" s="2555" t="s">
        <v>98</v>
      </c>
      <c r="B502" s="2549" t="s">
        <v>439</v>
      </c>
      <c r="C502" s="2550"/>
      <c r="D502" s="2551"/>
      <c r="E502" s="2541">
        <f>'7. Vol Kios 3x4'!$M$257</f>
        <v>2.1300000000000003</v>
      </c>
      <c r="F502" s="2398" t="s">
        <v>89</v>
      </c>
      <c r="G502" s="2567">
        <v>166165.41</v>
      </c>
      <c r="H502" s="2567">
        <f t="shared" si="152"/>
        <v>353932.32330000005</v>
      </c>
      <c r="I502" s="2465">
        <f>'Resume Analisa'!$D$69</f>
        <v>161086.38</v>
      </c>
      <c r="J502" s="2544">
        <f>I502*E502</f>
        <v>343113.98940000008</v>
      </c>
      <c r="K502" s="2378" t="e">
        <f>IF(H502=0,"",IF(J502&lt;#REF!*H502,"Timpang &lt;"&amp;TEXT(#REF!,"0%"),IF(J502&gt;#REF!*H502,"Timpang &gt;"&amp;TEXT(#REF!,"0%"),"Wajar")))</f>
        <v>#REF!</v>
      </c>
      <c r="L502" s="2391">
        <v>161086.38</v>
      </c>
      <c r="M502" s="2391">
        <f t="shared" si="153"/>
        <v>343113.98940000008</v>
      </c>
      <c r="N502" s="2375">
        <f t="shared" si="147"/>
        <v>1.49879512989094E-2</v>
      </c>
      <c r="O502" s="2375">
        <v>0</v>
      </c>
      <c r="P502" s="2398"/>
      <c r="Q502" s="2375">
        <f t="shared" si="137"/>
        <v>0</v>
      </c>
      <c r="R502" s="2375">
        <f t="shared" si="150"/>
        <v>0</v>
      </c>
      <c r="S502" s="2375">
        <v>0</v>
      </c>
      <c r="T502" s="2398"/>
      <c r="U502" s="2375">
        <f t="shared" si="135"/>
        <v>0</v>
      </c>
      <c r="V502" s="2375"/>
      <c r="W502" s="2382">
        <f t="shared" si="136"/>
        <v>2.1300000000000003</v>
      </c>
      <c r="X502" s="2398" t="s">
        <v>89</v>
      </c>
      <c r="Y502" s="2375">
        <f t="shared" si="151"/>
        <v>343113.98940000008</v>
      </c>
      <c r="Z502" s="2375">
        <f t="shared" si="148"/>
        <v>1.49879512989094E-2</v>
      </c>
      <c r="AA502" s="2377" t="s">
        <v>3355</v>
      </c>
    </row>
    <row r="503" spans="1:27" s="399" customFormat="1" ht="25" customHeight="1">
      <c r="A503" s="2555" t="s">
        <v>101</v>
      </c>
      <c r="B503" s="2549" t="s">
        <v>441</v>
      </c>
      <c r="C503" s="2550"/>
      <c r="D503" s="2551"/>
      <c r="E503" s="2541">
        <f>'7. Vol Kios 3x4'!$M$261</f>
        <v>4.0500000000000001E-2</v>
      </c>
      <c r="F503" s="2398" t="s">
        <v>103</v>
      </c>
      <c r="G503" s="2567">
        <v>507759.96</v>
      </c>
      <c r="H503" s="2567">
        <f t="shared" si="152"/>
        <v>20564.27838</v>
      </c>
      <c r="I503" s="2480">
        <f>'Resume Analisa'!$D$26</f>
        <v>475358.64</v>
      </c>
      <c r="J503" s="2544">
        <f>I503*E503</f>
        <v>19252.02492</v>
      </c>
      <c r="K503" s="2378" t="e">
        <f>IF(H503=0,"",IF(J503&lt;#REF!*H503,"Timpang &lt;"&amp;TEXT(#REF!,"0%"),IF(J503&gt;#REF!*H503,"Timpang &gt;"&amp;TEXT(#REF!,"0%"),"Wajar")))</f>
        <v>#REF!</v>
      </c>
      <c r="L503" s="2391">
        <v>475358.64</v>
      </c>
      <c r="M503" s="2391">
        <f t="shared" si="153"/>
        <v>19252.02492</v>
      </c>
      <c r="N503" s="2375">
        <f t="shared" si="147"/>
        <v>8.409695343839865E-4</v>
      </c>
      <c r="O503" s="2375">
        <v>0</v>
      </c>
      <c r="P503" s="2398"/>
      <c r="Q503" s="2375">
        <f t="shared" si="137"/>
        <v>0</v>
      </c>
      <c r="R503" s="2375">
        <f t="shared" si="150"/>
        <v>0</v>
      </c>
      <c r="S503" s="2386">
        <v>0</v>
      </c>
      <c r="T503" s="2398"/>
      <c r="U503" s="2375">
        <f t="shared" si="135"/>
        <v>0</v>
      </c>
      <c r="V503" s="2375"/>
      <c r="W503" s="2382">
        <f t="shared" si="136"/>
        <v>4.0500000000000001E-2</v>
      </c>
      <c r="X503" s="2398" t="s">
        <v>103</v>
      </c>
      <c r="Y503" s="2375">
        <f t="shared" si="151"/>
        <v>19252.02492</v>
      </c>
      <c r="Z503" s="2375">
        <f t="shared" si="148"/>
        <v>8.409695343839865E-4</v>
      </c>
      <c r="AA503" s="2377" t="s">
        <v>3355</v>
      </c>
    </row>
    <row r="504" spans="1:27" s="399" customFormat="1" ht="25" customHeight="1">
      <c r="A504" s="2555" t="s">
        <v>121</v>
      </c>
      <c r="B504" s="2549" t="s">
        <v>192</v>
      </c>
      <c r="C504" s="2550"/>
      <c r="D504" s="2551"/>
      <c r="E504" s="2541">
        <f>'7. Vol Kios 3x4'!$M$265</f>
        <v>9.4500000000000001E-2</v>
      </c>
      <c r="F504" s="2398" t="s">
        <v>103</v>
      </c>
      <c r="G504" s="2567">
        <v>1422226.08</v>
      </c>
      <c r="H504" s="2567">
        <f t="shared" si="152"/>
        <v>134400.36456000002</v>
      </c>
      <c r="I504" s="2465">
        <f>'Resume Analisa'!$D$54</f>
        <v>1384580.76</v>
      </c>
      <c r="J504" s="2544">
        <f>I504*E504</f>
        <v>130842.88182</v>
      </c>
      <c r="K504" s="2378" t="e">
        <f>IF(H504=0,"",IF(J504&lt;#REF!*H504,"Timpang &lt;"&amp;TEXT(#REF!,"0%"),IF(J504&gt;#REF!*H504,"Timpang &gt;"&amp;TEXT(#REF!,"0%"),"Wajar")))</f>
        <v>#REF!</v>
      </c>
      <c r="L504" s="2391">
        <v>1384580.76</v>
      </c>
      <c r="M504" s="2391">
        <f t="shared" si="153"/>
        <v>130842.88182</v>
      </c>
      <c r="N504" s="2375">
        <f t="shared" si="147"/>
        <v>5.7154963105888381E-3</v>
      </c>
      <c r="O504" s="2375">
        <v>0</v>
      </c>
      <c r="P504" s="2398"/>
      <c r="Q504" s="2375">
        <f t="shared" si="137"/>
        <v>0</v>
      </c>
      <c r="R504" s="2375">
        <f t="shared" si="150"/>
        <v>0</v>
      </c>
      <c r="S504" s="2386">
        <v>0</v>
      </c>
      <c r="T504" s="2398"/>
      <c r="U504" s="2375">
        <f t="shared" si="135"/>
        <v>0</v>
      </c>
      <c r="V504" s="2375"/>
      <c r="W504" s="2382">
        <f t="shared" si="136"/>
        <v>9.4500000000000001E-2</v>
      </c>
      <c r="X504" s="2398" t="s">
        <v>103</v>
      </c>
      <c r="Y504" s="2375">
        <f t="shared" si="151"/>
        <v>130842.88182</v>
      </c>
      <c r="Z504" s="2375">
        <f t="shared" si="148"/>
        <v>5.7154963105888381E-3</v>
      </c>
      <c r="AA504" s="2377" t="s">
        <v>3355</v>
      </c>
    </row>
    <row r="505" spans="1:27" s="399" customFormat="1" ht="25" customHeight="1">
      <c r="A505" s="2555" t="s">
        <v>142</v>
      </c>
      <c r="B505" s="2549" t="s">
        <v>442</v>
      </c>
      <c r="C505" s="2550"/>
      <c r="D505" s="2551"/>
      <c r="E505" s="2541">
        <f>'7. Vol Kios 3x4'!$M$269</f>
        <v>0.67499999999999993</v>
      </c>
      <c r="F505" s="2398" t="s">
        <v>89</v>
      </c>
      <c r="G505" s="2567">
        <v>61230.840000000004</v>
      </c>
      <c r="H505" s="2567">
        <f t="shared" si="152"/>
        <v>41330.816999999995</v>
      </c>
      <c r="I505" s="2465">
        <f>'Resume Analisa'!$D$70</f>
        <v>58648.57</v>
      </c>
      <c r="J505" s="2552">
        <f>E505*I505</f>
        <v>39587.784749999999</v>
      </c>
      <c r="K505" s="2378" t="e">
        <f>IF(H505=0,"",IF(J505&lt;#REF!*H505,"Timpang &lt;"&amp;TEXT(#REF!,"0%"),IF(J505&gt;#REF!*H505,"Timpang &gt;"&amp;TEXT(#REF!,"0%"),"Wajar")))</f>
        <v>#REF!</v>
      </c>
      <c r="L505" s="2391">
        <v>58648.57</v>
      </c>
      <c r="M505" s="2391">
        <f t="shared" si="153"/>
        <v>39587.784749999999</v>
      </c>
      <c r="N505" s="2375">
        <f t="shared" si="147"/>
        <v>1.729278922442875E-3</v>
      </c>
      <c r="O505" s="2375">
        <v>0</v>
      </c>
      <c r="P505" s="2398"/>
      <c r="Q505" s="2375">
        <f t="shared" si="137"/>
        <v>0</v>
      </c>
      <c r="R505" s="2375">
        <f t="shared" si="150"/>
        <v>0</v>
      </c>
      <c r="S505" s="2375">
        <v>0</v>
      </c>
      <c r="T505" s="2398"/>
      <c r="U505" s="2375">
        <f t="shared" si="135"/>
        <v>0</v>
      </c>
      <c r="V505" s="2375"/>
      <c r="W505" s="2382">
        <f t="shared" si="136"/>
        <v>0.67499999999999993</v>
      </c>
      <c r="X505" s="2398" t="s">
        <v>89</v>
      </c>
      <c r="Y505" s="2375">
        <f t="shared" si="151"/>
        <v>39587.784749999999</v>
      </c>
      <c r="Z505" s="2375">
        <f t="shared" si="148"/>
        <v>1.729278922442875E-3</v>
      </c>
      <c r="AA505" s="2377" t="s">
        <v>3355</v>
      </c>
    </row>
    <row r="506" spans="1:27" s="399" customFormat="1" ht="25" customHeight="1">
      <c r="A506" s="2555" t="s">
        <v>217</v>
      </c>
      <c r="B506" s="2549" t="s">
        <v>194</v>
      </c>
      <c r="C506" s="2550"/>
      <c r="D506" s="2551"/>
      <c r="E506" s="2541">
        <f>'7. Vol Kios 3x4'!$M$271</f>
        <v>0.67499999999999993</v>
      </c>
      <c r="F506" s="2398" t="s">
        <v>89</v>
      </c>
      <c r="G506" s="2567">
        <v>45612.170000000006</v>
      </c>
      <c r="H506" s="2567">
        <f t="shared" si="152"/>
        <v>30788.214749999999</v>
      </c>
      <c r="I506" s="2465">
        <f>'Resume Analisa'!$D$72</f>
        <v>43813.91</v>
      </c>
      <c r="J506" s="2552">
        <f>E506*I506</f>
        <v>29574.38925</v>
      </c>
      <c r="K506" s="2378" t="e">
        <f>IF(H506=0,"",IF(J506&lt;#REF!*H506,"Timpang &lt;"&amp;TEXT(#REF!,"0%"),IF(J506&gt;#REF!*H506,"Timpang &gt;"&amp;TEXT(#REF!,"0%"),"Wajar")))</f>
        <v>#REF!</v>
      </c>
      <c r="L506" s="2391">
        <v>43813.91</v>
      </c>
      <c r="M506" s="2391">
        <f t="shared" si="153"/>
        <v>29574.38925</v>
      </c>
      <c r="N506" s="2375">
        <f t="shared" si="147"/>
        <v>1.2918724373468802E-3</v>
      </c>
      <c r="O506" s="2375">
        <v>0</v>
      </c>
      <c r="P506" s="2398"/>
      <c r="Q506" s="2375">
        <f t="shared" si="137"/>
        <v>0</v>
      </c>
      <c r="R506" s="2375">
        <f t="shared" si="150"/>
        <v>0</v>
      </c>
      <c r="S506" s="2375">
        <v>0</v>
      </c>
      <c r="T506" s="2398"/>
      <c r="U506" s="2375">
        <f t="shared" si="135"/>
        <v>0</v>
      </c>
      <c r="V506" s="2375"/>
      <c r="W506" s="2382">
        <f t="shared" si="136"/>
        <v>0.67499999999999993</v>
      </c>
      <c r="X506" s="2398" t="s">
        <v>89</v>
      </c>
      <c r="Y506" s="2375">
        <f t="shared" si="151"/>
        <v>29574.38925</v>
      </c>
      <c r="Z506" s="2375">
        <f t="shared" si="148"/>
        <v>1.2918724373468802E-3</v>
      </c>
      <c r="AA506" s="2377" t="s">
        <v>3355</v>
      </c>
    </row>
    <row r="507" spans="1:27" s="399" customFormat="1" ht="25" customHeight="1">
      <c r="A507" s="2398">
        <f>A497+1</f>
        <v>9</v>
      </c>
      <c r="B507" s="2549" t="s">
        <v>568</v>
      </c>
      <c r="C507" s="2550"/>
      <c r="D507" s="2551"/>
      <c r="E507" s="2397">
        <f>'7. Vol Kios 3x4'!$M$272</f>
        <v>9.75</v>
      </c>
      <c r="F507" s="2398" t="s">
        <v>89</v>
      </c>
      <c r="G507" s="2567">
        <v>362431.23</v>
      </c>
      <c r="H507" s="2567">
        <f t="shared" si="152"/>
        <v>3533704.4924999997</v>
      </c>
      <c r="I507" s="2465">
        <f>'Resume Analisa'!$D$89</f>
        <v>344417.19</v>
      </c>
      <c r="J507" s="2567">
        <f>E507*I507</f>
        <v>3358067.6025</v>
      </c>
      <c r="K507" s="2378" t="e">
        <f>IF(H507=0,"",IF(J507&lt;#REF!*H507,"Timpang &lt;"&amp;TEXT(#REF!,"0%"),IF(J507&gt;#REF!*H507,"Timpang &gt;"&amp;TEXT(#REF!,"0%"),"Wajar")))</f>
        <v>#REF!</v>
      </c>
      <c r="L507" s="2391">
        <v>344417.19</v>
      </c>
      <c r="M507" s="2391">
        <f t="shared" si="153"/>
        <v>3358067.6025</v>
      </c>
      <c r="N507" s="2375">
        <f t="shared" si="147"/>
        <v>0.14668755935229563</v>
      </c>
      <c r="O507" s="2375">
        <v>0</v>
      </c>
      <c r="P507" s="2398"/>
      <c r="Q507" s="2375">
        <f t="shared" si="137"/>
        <v>0</v>
      </c>
      <c r="R507" s="2375">
        <f t="shared" si="150"/>
        <v>0</v>
      </c>
      <c r="S507" s="2375">
        <v>0</v>
      </c>
      <c r="T507" s="2398"/>
      <c r="U507" s="2375">
        <f t="shared" si="135"/>
        <v>0</v>
      </c>
      <c r="V507" s="2375"/>
      <c r="W507" s="2382">
        <f t="shared" si="136"/>
        <v>9.75</v>
      </c>
      <c r="X507" s="2398" t="s">
        <v>89</v>
      </c>
      <c r="Y507" s="2375">
        <f t="shared" si="151"/>
        <v>3358067.6025</v>
      </c>
      <c r="Z507" s="2375">
        <f t="shared" si="148"/>
        <v>0.14668755935229563</v>
      </c>
      <c r="AA507" s="2377" t="s">
        <v>3355</v>
      </c>
    </row>
    <row r="508" spans="1:27" s="399" customFormat="1" ht="25" customHeight="1">
      <c r="A508" s="2398">
        <f>A507+1</f>
        <v>10</v>
      </c>
      <c r="B508" s="2549" t="s">
        <v>569</v>
      </c>
      <c r="C508" s="2550"/>
      <c r="D508" s="2551"/>
      <c r="E508" s="2397">
        <f>'7. Vol Kios 3x4'!$M$274</f>
        <v>5.4749999999999996</v>
      </c>
      <c r="F508" s="2398" t="s">
        <v>89</v>
      </c>
      <c r="G508" s="2567">
        <v>362431.23</v>
      </c>
      <c r="H508" s="2567">
        <f t="shared" si="152"/>
        <v>1984310.9842499997</v>
      </c>
      <c r="I508" s="2465">
        <f>'Resume Analisa'!$D$89</f>
        <v>344417.19</v>
      </c>
      <c r="J508" s="2567">
        <f>E508*I508</f>
        <v>1885684.1152499998</v>
      </c>
      <c r="K508" s="2378" t="e">
        <f>IF(H508=0,"",IF(J508&lt;#REF!*H508,"Timpang &lt;"&amp;TEXT(#REF!,"0%"),IF(J508&gt;#REF!*H508,"Timpang &gt;"&amp;TEXT(#REF!,"0%"),"Wajar")))</f>
        <v>#REF!</v>
      </c>
      <c r="L508" s="2391">
        <v>344417.19</v>
      </c>
      <c r="M508" s="2391">
        <f t="shared" si="153"/>
        <v>1885684.1152499998</v>
      </c>
      <c r="N508" s="2375">
        <f t="shared" si="147"/>
        <v>8.2370706405519842E-2</v>
      </c>
      <c r="O508" s="2375">
        <v>0</v>
      </c>
      <c r="P508" s="2398"/>
      <c r="Q508" s="2375">
        <f t="shared" si="137"/>
        <v>0</v>
      </c>
      <c r="R508" s="2375">
        <f t="shared" si="150"/>
        <v>0</v>
      </c>
      <c r="S508" s="2375">
        <v>0</v>
      </c>
      <c r="T508" s="2398"/>
      <c r="U508" s="2375">
        <f t="shared" si="135"/>
        <v>0</v>
      </c>
      <c r="V508" s="2375"/>
      <c r="W508" s="2382">
        <f t="shared" si="136"/>
        <v>5.4749999999999996</v>
      </c>
      <c r="X508" s="2398" t="s">
        <v>89</v>
      </c>
      <c r="Y508" s="2375">
        <f t="shared" si="151"/>
        <v>1885684.1152499998</v>
      </c>
      <c r="Z508" s="2375">
        <f t="shared" si="148"/>
        <v>8.2370706405519842E-2</v>
      </c>
      <c r="AA508" s="2377" t="s">
        <v>3355</v>
      </c>
    </row>
    <row r="509" spans="1:27" s="399" customFormat="1" ht="25" customHeight="1">
      <c r="A509" s="2398">
        <f>A508+1</f>
        <v>11</v>
      </c>
      <c r="B509" s="2549" t="s">
        <v>570</v>
      </c>
      <c r="C509" s="2550"/>
      <c r="D509" s="2551"/>
      <c r="E509" s="2397">
        <f>'7. Vol Kios 3x4'!$M$279</f>
        <v>5.1875999999999989</v>
      </c>
      <c r="F509" s="2398" t="s">
        <v>117</v>
      </c>
      <c r="G509" s="2567">
        <v>417766.37</v>
      </c>
      <c r="H509" s="2567">
        <f t="shared" si="152"/>
        <v>2167204.8210119996</v>
      </c>
      <c r="I509" s="2465">
        <f>'Resume Analisa'!$D$93</f>
        <v>397154.38</v>
      </c>
      <c r="J509" s="2567">
        <f>E509*I509</f>
        <v>2060278.0616879996</v>
      </c>
      <c r="K509" s="2378" t="e">
        <f>IF(H509=0,"",IF(J509&lt;#REF!*H509,"Timpang &lt;"&amp;TEXT(#REF!,"0%"),IF(J509&gt;#REF!*H509,"Timpang &gt;"&amp;TEXT(#REF!,"0%"),"Wajar")))</f>
        <v>#REF!</v>
      </c>
      <c r="L509" s="2391">
        <v>397154.38</v>
      </c>
      <c r="M509" s="2391">
        <f t="shared" si="153"/>
        <v>2060278.0616879996</v>
      </c>
      <c r="N509" s="2375">
        <f t="shared" si="147"/>
        <v>8.9997342588069906E-2</v>
      </c>
      <c r="O509" s="2375">
        <v>0</v>
      </c>
      <c r="P509" s="2398"/>
      <c r="Q509" s="2375">
        <f t="shared" si="137"/>
        <v>0</v>
      </c>
      <c r="R509" s="2375">
        <f t="shared" si="150"/>
        <v>0</v>
      </c>
      <c r="S509" s="2375">
        <v>0</v>
      </c>
      <c r="T509" s="2398"/>
      <c r="U509" s="2375">
        <f t="shared" si="135"/>
        <v>0</v>
      </c>
      <c r="V509" s="2375"/>
      <c r="W509" s="2382">
        <f t="shared" si="136"/>
        <v>5.1875999999999989</v>
      </c>
      <c r="X509" s="2398" t="s">
        <v>117</v>
      </c>
      <c r="Y509" s="2375">
        <f t="shared" si="151"/>
        <v>2060278.0616879996</v>
      </c>
      <c r="Z509" s="2375">
        <f t="shared" si="148"/>
        <v>8.9997342588069906E-2</v>
      </c>
      <c r="AA509" s="2377" t="s">
        <v>3355</v>
      </c>
    </row>
    <row r="510" spans="1:27" ht="25" customHeight="1">
      <c r="A510" s="2398">
        <f>A509+1</f>
        <v>12</v>
      </c>
      <c r="B510" s="2549" t="s">
        <v>443</v>
      </c>
      <c r="C510" s="2550"/>
      <c r="D510" s="2551"/>
      <c r="E510" s="2541"/>
      <c r="F510" s="2398"/>
      <c r="G510" s="2389"/>
      <c r="H510" s="2389"/>
      <c r="I510" s="2692"/>
      <c r="J510" s="2552"/>
      <c r="K510" s="2389"/>
      <c r="L510" s="2391"/>
      <c r="M510" s="2391"/>
      <c r="N510" s="2375">
        <f t="shared" si="147"/>
        <v>0</v>
      </c>
      <c r="O510" s="2375">
        <v>0</v>
      </c>
      <c r="P510" s="2398"/>
      <c r="Q510" s="2375">
        <f t="shared" si="137"/>
        <v>0</v>
      </c>
      <c r="R510" s="2375">
        <f t="shared" si="150"/>
        <v>0</v>
      </c>
      <c r="S510" s="2386">
        <v>0</v>
      </c>
      <c r="T510" s="2398"/>
      <c r="U510" s="2375">
        <f t="shared" si="135"/>
        <v>0</v>
      </c>
      <c r="V510" s="2375"/>
      <c r="W510" s="2382">
        <f t="shared" si="136"/>
        <v>0</v>
      </c>
      <c r="X510" s="2398"/>
      <c r="Y510" s="2375">
        <f t="shared" si="151"/>
        <v>0</v>
      </c>
      <c r="Z510" s="2375">
        <f t="shared" si="148"/>
        <v>0</v>
      </c>
      <c r="AA510" s="2377"/>
    </row>
    <row r="511" spans="1:27" ht="51" customHeight="1">
      <c r="A511" s="2589" t="s">
        <v>95</v>
      </c>
      <c r="B511" s="3193" t="s">
        <v>444</v>
      </c>
      <c r="C511" s="3194"/>
      <c r="D511" s="3195"/>
      <c r="E511" s="2541">
        <f>'7. Vol Kios 3x4'!$M$296</f>
        <v>23.1</v>
      </c>
      <c r="F511" s="2590" t="s">
        <v>89</v>
      </c>
      <c r="G511" s="2389">
        <v>300628.27</v>
      </c>
      <c r="H511" s="2389">
        <f>E511*G511</f>
        <v>6944513.0370000005</v>
      </c>
      <c r="I511" s="2588">
        <f>'Resume Analisa'!$D$224</f>
        <v>290179.7</v>
      </c>
      <c r="J511" s="2552">
        <f>E511*I511</f>
        <v>6703151.0700000003</v>
      </c>
      <c r="K511" s="2378" t="e">
        <f>IF(H511=0,"",IF(J511&lt;#REF!*H511,"Timpang &lt;"&amp;TEXT(#REF!,"0%"),IF(J511&gt;#REF!*H511,"Timpang &gt;"&amp;TEXT(#REF!,"0%"),"Wajar")))</f>
        <v>#REF!</v>
      </c>
      <c r="L511" s="2391">
        <v>290179.7</v>
      </c>
      <c r="M511" s="2391">
        <f>E511*L511</f>
        <v>6703151.0700000003</v>
      </c>
      <c r="N511" s="2375">
        <f t="shared" si="147"/>
        <v>0.29280794397825977</v>
      </c>
      <c r="O511" s="2375">
        <v>0</v>
      </c>
      <c r="P511" s="2398"/>
      <c r="Q511" s="2375">
        <f t="shared" si="137"/>
        <v>0</v>
      </c>
      <c r="R511" s="2375">
        <f t="shared" si="150"/>
        <v>0</v>
      </c>
      <c r="S511" s="2386">
        <v>0</v>
      </c>
      <c r="T511" s="2590"/>
      <c r="U511" s="2375">
        <f t="shared" si="135"/>
        <v>0</v>
      </c>
      <c r="V511" s="2375"/>
      <c r="W511" s="2382">
        <f t="shared" si="136"/>
        <v>23.1</v>
      </c>
      <c r="X511" s="2590" t="s">
        <v>89</v>
      </c>
      <c r="Y511" s="2375">
        <f t="shared" si="151"/>
        <v>6703151.0700000003</v>
      </c>
      <c r="Z511" s="2375">
        <f t="shared" si="148"/>
        <v>0.29280794397825977</v>
      </c>
      <c r="AA511" s="2377" t="s">
        <v>3355</v>
      </c>
    </row>
    <row r="512" spans="1:27" ht="46" customHeight="1">
      <c r="A512" s="2589" t="s">
        <v>98</v>
      </c>
      <c r="B512" s="3193" t="s">
        <v>445</v>
      </c>
      <c r="C512" s="3194"/>
      <c r="D512" s="3195"/>
      <c r="E512" s="2541">
        <f>'7. Vol Kios 3x4'!$M$297</f>
        <v>98.4</v>
      </c>
      <c r="F512" s="2398" t="s">
        <v>117</v>
      </c>
      <c r="G512" s="2389">
        <v>6893.1</v>
      </c>
      <c r="H512" s="2389">
        <f>E512*G512</f>
        <v>678281.04</v>
      </c>
      <c r="I512" s="2588">
        <f>'Resume Analisa'!$D$222</f>
        <v>6849.5700000000006</v>
      </c>
      <c r="J512" s="2552">
        <f>E512*I512</f>
        <v>673997.68800000008</v>
      </c>
      <c r="K512" s="2378" t="e">
        <f>IF(H512=0,"",IF(J512&lt;#REF!*H512,"Timpang &lt;"&amp;TEXT(#REF!,"0%"),IF(J512&gt;#REF!*H512,"Timpang &gt;"&amp;TEXT(#REF!,"0%"),"Wajar")))</f>
        <v>#REF!</v>
      </c>
      <c r="L512" s="2391">
        <v>6849.5700000000006</v>
      </c>
      <c r="M512" s="2391">
        <f>E512*L512</f>
        <v>673997.68800000008</v>
      </c>
      <c r="N512" s="2375">
        <f t="shared" si="147"/>
        <v>2.944165739492734E-2</v>
      </c>
      <c r="O512" s="2375">
        <v>0</v>
      </c>
      <c r="P512" s="2398"/>
      <c r="Q512" s="2375">
        <f t="shared" si="137"/>
        <v>0</v>
      </c>
      <c r="R512" s="2375">
        <f t="shared" si="150"/>
        <v>0</v>
      </c>
      <c r="S512" s="2375">
        <v>0</v>
      </c>
      <c r="T512" s="2398"/>
      <c r="U512" s="2375">
        <f t="shared" si="135"/>
        <v>0</v>
      </c>
      <c r="V512" s="2375"/>
      <c r="W512" s="2382">
        <f t="shared" si="136"/>
        <v>98.4</v>
      </c>
      <c r="X512" s="2398" t="s">
        <v>117</v>
      </c>
      <c r="Y512" s="2375">
        <f t="shared" si="151"/>
        <v>673997.68800000008</v>
      </c>
      <c r="Z512" s="2375">
        <f t="shared" si="148"/>
        <v>2.944165739492734E-2</v>
      </c>
      <c r="AA512" s="2377" t="s">
        <v>3355</v>
      </c>
    </row>
    <row r="513" spans="1:27" ht="25" customHeight="1">
      <c r="A513" s="2555" t="s">
        <v>101</v>
      </c>
      <c r="B513" s="2549" t="s">
        <v>571</v>
      </c>
      <c r="C513" s="2550"/>
      <c r="D513" s="2551"/>
      <c r="E513" s="2541">
        <f>'7. Vol Kios 3x4'!$M$301</f>
        <v>49.362499999999997</v>
      </c>
      <c r="F513" s="2590" t="s">
        <v>89</v>
      </c>
      <c r="G513" s="2389">
        <v>232335.08000000002</v>
      </c>
      <c r="H513" s="2389">
        <f>E513*G513</f>
        <v>11468640.386500001</v>
      </c>
      <c r="I513" s="2588">
        <f>'Resume Analisa'!$D$64</f>
        <v>240387.47</v>
      </c>
      <c r="J513" s="2552">
        <f>E513*I513</f>
        <v>11866126.487875</v>
      </c>
      <c r="K513" s="2378" t="e">
        <f>IF(H513=0,"",IF(J513&lt;#REF!*H513,"Timpang &lt;"&amp;TEXT(#REF!,"0%"),IF(J513&gt;#REF!*H513,"Timpang &gt;"&amp;TEXT(#REF!,"0%"),"Wajar")))</f>
        <v>#REF!</v>
      </c>
      <c r="L513" s="2391">
        <v>240387.47</v>
      </c>
      <c r="M513" s="2391">
        <f>E513*L513</f>
        <v>11866126.487875</v>
      </c>
      <c r="N513" s="2375">
        <f t="shared" si="147"/>
        <v>0.51833772857227978</v>
      </c>
      <c r="O513" s="2375">
        <v>0</v>
      </c>
      <c r="P513" s="2398"/>
      <c r="Q513" s="2375">
        <f t="shared" si="137"/>
        <v>0</v>
      </c>
      <c r="R513" s="2375">
        <f t="shared" si="150"/>
        <v>0</v>
      </c>
      <c r="S513" s="2375">
        <v>0</v>
      </c>
      <c r="T513" s="2590"/>
      <c r="U513" s="2375">
        <f t="shared" si="135"/>
        <v>0</v>
      </c>
      <c r="V513" s="2375"/>
      <c r="W513" s="2382">
        <f t="shared" si="136"/>
        <v>49.362499999999997</v>
      </c>
      <c r="X513" s="2590" t="s">
        <v>89</v>
      </c>
      <c r="Y513" s="2375">
        <f t="shared" si="151"/>
        <v>11866126.487875</v>
      </c>
      <c r="Z513" s="2375">
        <f t="shared" si="148"/>
        <v>0.51833772857227978</v>
      </c>
      <c r="AA513" s="2377" t="s">
        <v>3355</v>
      </c>
    </row>
    <row r="514" spans="1:27" ht="25" customHeight="1">
      <c r="A514" s="2555" t="s">
        <v>121</v>
      </c>
      <c r="B514" s="2549" t="s">
        <v>447</v>
      </c>
      <c r="C514" s="2550"/>
      <c r="D514" s="2551"/>
      <c r="E514" s="2541">
        <f>'7. Vol Kios 3x4'!$M$302</f>
        <v>6.25</v>
      </c>
      <c r="F514" s="2590" t="s">
        <v>117</v>
      </c>
      <c r="G514" s="2389">
        <v>180008.45</v>
      </c>
      <c r="H514" s="2389">
        <f>E514*G514</f>
        <v>1125052.8125</v>
      </c>
      <c r="I514" s="2588">
        <f>'Resume Analisa'!$D$65</f>
        <v>172082.08000000002</v>
      </c>
      <c r="J514" s="2552">
        <f>E514*I514</f>
        <v>1075513</v>
      </c>
      <c r="K514" s="2398" t="e">
        <f>IF(H514=0,"",IF(J514&lt;#REF!*H514,"Timpang &lt;"&amp;TEXT(#REF!,"0%"),IF(J514&gt;#REF!*H514,"Timpang &gt;"&amp;TEXT(#REF!,"0%"),"Wajar")))</f>
        <v>#REF!</v>
      </c>
      <c r="L514" s="2391">
        <v>172082.08000000002</v>
      </c>
      <c r="M514" s="2391">
        <f>E514*L514</f>
        <v>1075513</v>
      </c>
      <c r="N514" s="2375">
        <f t="shared" si="147"/>
        <v>4.6980703099667731E-2</v>
      </c>
      <c r="O514" s="2375">
        <v>0</v>
      </c>
      <c r="P514" s="2398"/>
      <c r="Q514" s="2375">
        <f t="shared" si="137"/>
        <v>0</v>
      </c>
      <c r="R514" s="2375">
        <f t="shared" si="150"/>
        <v>0</v>
      </c>
      <c r="S514" s="2375">
        <v>0</v>
      </c>
      <c r="T514" s="2590"/>
      <c r="U514" s="2375">
        <f t="shared" si="135"/>
        <v>0</v>
      </c>
      <c r="V514" s="2375"/>
      <c r="W514" s="2382">
        <f t="shared" si="136"/>
        <v>6.25</v>
      </c>
      <c r="X514" s="2590" t="s">
        <v>117</v>
      </c>
      <c r="Y514" s="2375">
        <f t="shared" si="151"/>
        <v>1075513</v>
      </c>
      <c r="Z514" s="2375">
        <f t="shared" si="148"/>
        <v>4.6980703099667731E-2</v>
      </c>
      <c r="AA514" s="2377" t="s">
        <v>3355</v>
      </c>
    </row>
    <row r="515" spans="1:27" s="399" customFormat="1" ht="74.5" customHeight="1">
      <c r="A515" s="2398">
        <f>A510+1</f>
        <v>13</v>
      </c>
      <c r="B515" s="3199" t="s">
        <v>448</v>
      </c>
      <c r="C515" s="3200"/>
      <c r="D515" s="3201"/>
      <c r="E515" s="2397">
        <f>'7. Vol Kios 3x4'!$M$280</f>
        <v>15.225</v>
      </c>
      <c r="F515" s="2398" t="s">
        <v>89</v>
      </c>
      <c r="G515" s="2567">
        <v>224723.54</v>
      </c>
      <c r="H515" s="2567">
        <f>E515*G515</f>
        <v>3421415.8965000003</v>
      </c>
      <c r="I515" s="2465">
        <f>'Resume Analisa'!$D$105</f>
        <v>220349.78</v>
      </c>
      <c r="J515" s="2567">
        <f>E515*I515</f>
        <v>3354825.4005</v>
      </c>
      <c r="K515" s="2378" t="e">
        <f>IF(H515=0,"",IF(J515&lt;#REF!*H515,"Timpang &lt;"&amp;TEXT(#REF!,"0%"),IF(J515&gt;#REF!*H515,"Timpang &gt;"&amp;TEXT(#REF!,"0%"),"Wajar")))</f>
        <v>#REF!</v>
      </c>
      <c r="L515" s="2391">
        <v>220349.78</v>
      </c>
      <c r="M515" s="2391">
        <f>E515*L515</f>
        <v>3354825.4005</v>
      </c>
      <c r="N515" s="2375">
        <f t="shared" si="147"/>
        <v>0.1465459330497301</v>
      </c>
      <c r="O515" s="2375">
        <v>0</v>
      </c>
      <c r="P515" s="2398"/>
      <c r="Q515" s="2375">
        <f t="shared" si="137"/>
        <v>0</v>
      </c>
      <c r="R515" s="2375">
        <f t="shared" si="150"/>
        <v>0</v>
      </c>
      <c r="S515" s="2375">
        <v>0</v>
      </c>
      <c r="T515" s="2398"/>
      <c r="U515" s="2375">
        <f t="shared" si="135"/>
        <v>0</v>
      </c>
      <c r="V515" s="2375"/>
      <c r="W515" s="2382">
        <f t="shared" si="136"/>
        <v>15.225</v>
      </c>
      <c r="X515" s="2398" t="s">
        <v>89</v>
      </c>
      <c r="Y515" s="2375">
        <f t="shared" si="151"/>
        <v>3354825.4005</v>
      </c>
      <c r="Z515" s="2375">
        <f t="shared" si="148"/>
        <v>0.1465459330497301</v>
      </c>
      <c r="AA515" s="2377" t="s">
        <v>3355</v>
      </c>
    </row>
    <row r="516" spans="1:27" s="399" customFormat="1" ht="25" customHeight="1">
      <c r="A516" s="2398">
        <f>A515+1</f>
        <v>14</v>
      </c>
      <c r="B516" s="2728" t="s">
        <v>572</v>
      </c>
      <c r="C516" s="2729"/>
      <c r="D516" s="2730"/>
      <c r="E516" s="2397"/>
      <c r="F516" s="2398"/>
      <c r="G516" s="2567"/>
      <c r="H516" s="2567"/>
      <c r="I516" s="2465"/>
      <c r="J516" s="2567"/>
      <c r="K516" s="2389"/>
      <c r="L516" s="2391"/>
      <c r="M516" s="2391"/>
      <c r="N516" s="2375">
        <f t="shared" si="147"/>
        <v>0</v>
      </c>
      <c r="O516" s="2375">
        <v>0</v>
      </c>
      <c r="P516" s="2398"/>
      <c r="Q516" s="2375">
        <f t="shared" si="137"/>
        <v>0</v>
      </c>
      <c r="R516" s="2375">
        <f t="shared" si="150"/>
        <v>0</v>
      </c>
      <c r="S516" s="2375">
        <v>0</v>
      </c>
      <c r="T516" s="2398"/>
      <c r="U516" s="2375">
        <f t="shared" si="135"/>
        <v>0</v>
      </c>
      <c r="V516" s="2375"/>
      <c r="W516" s="2382">
        <f t="shared" si="136"/>
        <v>0</v>
      </c>
      <c r="X516" s="2398"/>
      <c r="Y516" s="2375">
        <f t="shared" si="151"/>
        <v>0</v>
      </c>
      <c r="Z516" s="2375">
        <f t="shared" si="148"/>
        <v>0</v>
      </c>
      <c r="AA516" s="2377"/>
    </row>
    <row r="517" spans="1:27" s="399" customFormat="1" ht="25" customHeight="1">
      <c r="A517" s="2555" t="s">
        <v>95</v>
      </c>
      <c r="B517" s="2549" t="s">
        <v>573</v>
      </c>
      <c r="C517" s="2550"/>
      <c r="D517" s="2551"/>
      <c r="E517" s="2397"/>
      <c r="F517" s="2398"/>
      <c r="G517" s="2567"/>
      <c r="H517" s="2567"/>
      <c r="I517" s="2465"/>
      <c r="J517" s="2567"/>
      <c r="K517" s="2389"/>
      <c r="L517" s="2391"/>
      <c r="M517" s="2391"/>
      <c r="N517" s="2375">
        <f t="shared" si="147"/>
        <v>0</v>
      </c>
      <c r="O517" s="2375">
        <v>0</v>
      </c>
      <c r="P517" s="2398"/>
      <c r="Q517" s="2375">
        <f t="shared" si="137"/>
        <v>0</v>
      </c>
      <c r="R517" s="2375">
        <f t="shared" si="150"/>
        <v>0</v>
      </c>
      <c r="S517" s="2386">
        <v>0</v>
      </c>
      <c r="T517" s="2398"/>
      <c r="U517" s="2375">
        <f t="shared" si="135"/>
        <v>0</v>
      </c>
      <c r="V517" s="2375"/>
      <c r="W517" s="2382">
        <f t="shared" si="136"/>
        <v>0</v>
      </c>
      <c r="X517" s="2398"/>
      <c r="Y517" s="2375">
        <f t="shared" si="151"/>
        <v>0</v>
      </c>
      <c r="Z517" s="2375">
        <f t="shared" si="148"/>
        <v>0</v>
      </c>
      <c r="AA517" s="2377"/>
    </row>
    <row r="518" spans="1:27" s="399" customFormat="1" ht="25" customHeight="1">
      <c r="A518" s="2555"/>
      <c r="B518" s="2549" t="s">
        <v>574</v>
      </c>
      <c r="C518" s="2729"/>
      <c r="D518" s="2730"/>
      <c r="E518" s="2397">
        <f>'7. Vol Kios 3x4'!$M$283</f>
        <v>2.0999999999999998E-2</v>
      </c>
      <c r="F518" s="2398" t="s">
        <v>89</v>
      </c>
      <c r="G518" s="2567">
        <v>50600</v>
      </c>
      <c r="H518" s="2567">
        <f t="shared" ref="H518:H529" si="154">E518*G518</f>
        <v>1062.5999999999999</v>
      </c>
      <c r="I518" s="2465">
        <f>'Resume Analisa'!$D$18</f>
        <v>49036.76</v>
      </c>
      <c r="J518" s="2552">
        <f>E518*I518</f>
        <v>1029.77196</v>
      </c>
      <c r="K518" s="2378" t="e">
        <f>IF(H518=0,"",IF(J518&lt;#REF!*H518,"Timpang &lt;"&amp;TEXT(#REF!,"0%"),IF(J518&gt;#REF!*H518,"Timpang &gt;"&amp;TEXT(#REF!,"0%"),"Wajar")))</f>
        <v>#REF!</v>
      </c>
      <c r="L518" s="2391">
        <v>49036.76</v>
      </c>
      <c r="M518" s="2391">
        <f t="shared" ref="M518:M529" si="155">E518*L518</f>
        <v>1029.77196</v>
      </c>
      <c r="N518" s="2375">
        <f t="shared" si="147"/>
        <v>4.4982636856200639E-5</v>
      </c>
      <c r="O518" s="2375">
        <v>0</v>
      </c>
      <c r="P518" s="2398"/>
      <c r="Q518" s="2375">
        <f t="shared" si="137"/>
        <v>0</v>
      </c>
      <c r="R518" s="2375">
        <f t="shared" si="150"/>
        <v>0</v>
      </c>
      <c r="S518" s="2386">
        <v>0</v>
      </c>
      <c r="T518" s="2398"/>
      <c r="U518" s="2375">
        <f t="shared" si="135"/>
        <v>0</v>
      </c>
      <c r="V518" s="2375"/>
      <c r="W518" s="2382">
        <f t="shared" si="136"/>
        <v>2.0999999999999998E-2</v>
      </c>
      <c r="X518" s="2398" t="s">
        <v>89</v>
      </c>
      <c r="Y518" s="2375">
        <f t="shared" si="151"/>
        <v>1029.77196</v>
      </c>
      <c r="Z518" s="2375">
        <f t="shared" si="148"/>
        <v>4.4982636856200639E-5</v>
      </c>
      <c r="AA518" s="2377" t="s">
        <v>3355</v>
      </c>
    </row>
    <row r="519" spans="1:27" s="399" customFormat="1" ht="25" customHeight="1">
      <c r="A519" s="2555"/>
      <c r="B519" s="2549" t="s">
        <v>575</v>
      </c>
      <c r="C519" s="2729"/>
      <c r="D519" s="2730"/>
      <c r="E519" s="2397">
        <f>'7. Vol Kios 3x4'!$M$286</f>
        <v>0.44</v>
      </c>
      <c r="F519" s="2398" t="s">
        <v>89</v>
      </c>
      <c r="G519" s="2567">
        <v>249883.29</v>
      </c>
      <c r="H519" s="2567">
        <f t="shared" si="154"/>
        <v>109948.64760000001</v>
      </c>
      <c r="I519" s="2465">
        <f>'Resume Analisa'!$D$40</f>
        <v>245946.97</v>
      </c>
      <c r="J519" s="2552">
        <f>E519*I519</f>
        <v>108216.66680000001</v>
      </c>
      <c r="K519" s="2378" t="e">
        <f>IF(H519=0,"",IF(J519&lt;#REF!*H519,"Timpang &lt;"&amp;TEXT(#REF!,"0%"),IF(J519&gt;#REF!*H519,"Timpang &gt;"&amp;TEXT(#REF!,"0%"),"Wajar")))</f>
        <v>#REF!</v>
      </c>
      <c r="L519" s="2391">
        <v>245946.97</v>
      </c>
      <c r="M519" s="2391">
        <f t="shared" si="155"/>
        <v>108216.66680000001</v>
      </c>
      <c r="N519" s="2375">
        <f t="shared" si="147"/>
        <v>4.7271349517546231E-3</v>
      </c>
      <c r="O519" s="2375">
        <v>0</v>
      </c>
      <c r="P519" s="2398"/>
      <c r="Q519" s="2375">
        <f t="shared" si="137"/>
        <v>0</v>
      </c>
      <c r="R519" s="2375">
        <f t="shared" si="150"/>
        <v>0</v>
      </c>
      <c r="S519" s="2375">
        <v>0</v>
      </c>
      <c r="T519" s="2398"/>
      <c r="U519" s="2375">
        <f t="shared" si="135"/>
        <v>0</v>
      </c>
      <c r="V519" s="2375"/>
      <c r="W519" s="2382">
        <f t="shared" si="136"/>
        <v>0.44</v>
      </c>
      <c r="X519" s="2398" t="s">
        <v>89</v>
      </c>
      <c r="Y519" s="2375">
        <f t="shared" si="151"/>
        <v>108216.66680000001</v>
      </c>
      <c r="Z519" s="2375">
        <f t="shared" si="148"/>
        <v>4.7271349517546231E-3</v>
      </c>
      <c r="AA519" s="2377" t="s">
        <v>3355</v>
      </c>
    </row>
    <row r="520" spans="1:27" s="399" customFormat="1" ht="25" customHeight="1">
      <c r="A520" s="2555"/>
      <c r="B520" s="2549" t="s">
        <v>576</v>
      </c>
      <c r="C520" s="2729"/>
      <c r="D520" s="2730"/>
      <c r="E520" s="2397">
        <f>'7. Vol Kios 3x4'!$M$287</f>
        <v>2.7999999999999997E-2</v>
      </c>
      <c r="F520" s="2398" t="s">
        <v>103</v>
      </c>
      <c r="G520" s="2567">
        <v>1584129.98</v>
      </c>
      <c r="H520" s="2567">
        <f t="shared" si="154"/>
        <v>44355.639439999992</v>
      </c>
      <c r="I520" s="2465">
        <f>'Resume Analisa'!$D$55</f>
        <v>1535009.1300000001</v>
      </c>
      <c r="J520" s="2480">
        <f>I520*E520</f>
        <v>42980.255639999996</v>
      </c>
      <c r="K520" s="2378" t="e">
        <f>IF(H520=0,"",IF(J520&lt;#REF!*H520,"Timpang &lt;"&amp;TEXT(#REF!,"0%"),IF(J520&gt;#REF!*H520,"Timpang &gt;"&amp;TEXT(#REF!,"0%"),"Wajar")))</f>
        <v>#REF!</v>
      </c>
      <c r="L520" s="2391">
        <v>1535009.1300000001</v>
      </c>
      <c r="M520" s="2391">
        <f t="shared" si="155"/>
        <v>42980.255639999996</v>
      </c>
      <c r="N520" s="2375">
        <f t="shared" si="147"/>
        <v>1.8774692908134624E-3</v>
      </c>
      <c r="O520" s="2375">
        <v>0</v>
      </c>
      <c r="P520" s="2398"/>
      <c r="Q520" s="2375">
        <f t="shared" si="137"/>
        <v>0</v>
      </c>
      <c r="R520" s="2375">
        <f t="shared" si="150"/>
        <v>0</v>
      </c>
      <c r="S520" s="2375">
        <v>0</v>
      </c>
      <c r="T520" s="2398"/>
      <c r="U520" s="2375">
        <f t="shared" si="135"/>
        <v>0</v>
      </c>
      <c r="V520" s="2375"/>
      <c r="W520" s="2382">
        <f t="shared" si="136"/>
        <v>2.7999999999999997E-2</v>
      </c>
      <c r="X520" s="2398" t="s">
        <v>103</v>
      </c>
      <c r="Y520" s="2375">
        <f t="shared" si="151"/>
        <v>42980.255639999996</v>
      </c>
      <c r="Z520" s="2375">
        <f t="shared" si="148"/>
        <v>1.8774692908134624E-3</v>
      </c>
      <c r="AA520" s="2377" t="s">
        <v>3355</v>
      </c>
    </row>
    <row r="521" spans="1:27" s="399" customFormat="1" ht="25" customHeight="1">
      <c r="A521" s="2555"/>
      <c r="B521" s="2549" t="s">
        <v>577</v>
      </c>
      <c r="C521" s="2729"/>
      <c r="D521" s="2730"/>
      <c r="E521" s="2397">
        <f>'7. Vol Kios 3x4'!$M$288</f>
        <v>8</v>
      </c>
      <c r="F521" s="2398" t="s">
        <v>124</v>
      </c>
      <c r="G521" s="2567">
        <v>6500</v>
      </c>
      <c r="H521" s="2567">
        <f t="shared" si="154"/>
        <v>52000</v>
      </c>
      <c r="I521" s="2465">
        <f>'Bahan &amp; Upah'!C$71</f>
        <v>6125.43</v>
      </c>
      <c r="J521" s="2480">
        <f>I521*E521</f>
        <v>49003.44</v>
      </c>
      <c r="K521" s="2378" t="e">
        <f>IF(H521=0,"",IF(J521&lt;#REF!*H521,"Timpang &lt;"&amp;TEXT(#REF!,"0%"),IF(J521&gt;#REF!*H521,"Timpang &gt;"&amp;TEXT(#REF!,"0%"),"Wajar")))</f>
        <v>#REF!</v>
      </c>
      <c r="L521" s="2391">
        <v>6125.43</v>
      </c>
      <c r="M521" s="2391">
        <f t="shared" si="155"/>
        <v>49003.44</v>
      </c>
      <c r="N521" s="2375">
        <f t="shared" si="147"/>
        <v>2.1405748377773042E-3</v>
      </c>
      <c r="O521" s="2375">
        <v>0</v>
      </c>
      <c r="P521" s="2398"/>
      <c r="Q521" s="2375">
        <f t="shared" si="137"/>
        <v>0</v>
      </c>
      <c r="R521" s="2375">
        <f t="shared" si="150"/>
        <v>0</v>
      </c>
      <c r="S521" s="2375">
        <v>0</v>
      </c>
      <c r="T521" s="2398"/>
      <c r="U521" s="2375">
        <f t="shared" si="135"/>
        <v>0</v>
      </c>
      <c r="V521" s="2375"/>
      <c r="W521" s="2382">
        <f t="shared" si="136"/>
        <v>8</v>
      </c>
      <c r="X521" s="2398" t="s">
        <v>124</v>
      </c>
      <c r="Y521" s="2375">
        <f t="shared" si="151"/>
        <v>49003.44</v>
      </c>
      <c r="Z521" s="2375">
        <f t="shared" si="148"/>
        <v>2.1405748377773042E-3</v>
      </c>
      <c r="AA521" s="2377" t="s">
        <v>3355</v>
      </c>
    </row>
    <row r="522" spans="1:27" s="399" customFormat="1" ht="56" customHeight="1">
      <c r="A522" s="2555" t="s">
        <v>98</v>
      </c>
      <c r="B522" s="3193" t="s">
        <v>578</v>
      </c>
      <c r="C522" s="3194"/>
      <c r="D522" s="3195"/>
      <c r="E522" s="2397">
        <f>'7. Vol Kios 3x4'!$M$289</f>
        <v>7.0559999999999992</v>
      </c>
      <c r="F522" s="2398" t="s">
        <v>89</v>
      </c>
      <c r="G522" s="2567">
        <v>1084392.5</v>
      </c>
      <c r="H522" s="2567">
        <f t="shared" si="154"/>
        <v>7651473.4799999995</v>
      </c>
      <c r="I522" s="2465">
        <f>'Resume Analisa'!$D$240</f>
        <v>1071473.1100000001</v>
      </c>
      <c r="J522" s="2567">
        <f>E522*I522</f>
        <v>7560314.2641599998</v>
      </c>
      <c r="K522" s="2378" t="e">
        <f>IF(H522=0,"",IF(J522&lt;#REF!*H522,"Timpang &lt;"&amp;TEXT(#REF!,"0%"),IF(J522&gt;#REF!*H522,"Timpang &gt;"&amp;TEXT(#REF!,"0%"),"Wajar")))</f>
        <v>#REF!</v>
      </c>
      <c r="L522" s="2391">
        <v>1071473.1100000001</v>
      </c>
      <c r="M522" s="2391">
        <f t="shared" si="155"/>
        <v>7560314.2641599998</v>
      </c>
      <c r="N522" s="2375">
        <f t="shared" si="147"/>
        <v>0.33025066157701843</v>
      </c>
      <c r="O522" s="2375">
        <v>0</v>
      </c>
      <c r="P522" s="2398"/>
      <c r="Q522" s="2375">
        <f t="shared" si="137"/>
        <v>0</v>
      </c>
      <c r="R522" s="2375">
        <f t="shared" si="150"/>
        <v>0</v>
      </c>
      <c r="S522" s="2375">
        <v>0</v>
      </c>
      <c r="T522" s="2398"/>
      <c r="U522" s="2375">
        <f t="shared" si="135"/>
        <v>0</v>
      </c>
      <c r="V522" s="2375"/>
      <c r="W522" s="2382">
        <f t="shared" si="136"/>
        <v>7.0559999999999992</v>
      </c>
      <c r="X522" s="2398" t="s">
        <v>89</v>
      </c>
      <c r="Y522" s="2375">
        <f t="shared" si="151"/>
        <v>7560314.2641599998</v>
      </c>
      <c r="Z522" s="2375">
        <f t="shared" si="148"/>
        <v>0.33025066157701843</v>
      </c>
      <c r="AA522" s="2377" t="s">
        <v>3355</v>
      </c>
    </row>
    <row r="523" spans="1:27" s="399" customFormat="1" ht="25" customHeight="1">
      <c r="A523" s="2555" t="s">
        <v>101</v>
      </c>
      <c r="B523" s="2549" t="s">
        <v>579</v>
      </c>
      <c r="C523" s="2729"/>
      <c r="D523" s="2730"/>
      <c r="E523" s="2397">
        <f>'7. Vol Kios 3x4'!$M$290</f>
        <v>8.4168000000000003</v>
      </c>
      <c r="F523" s="2590" t="s">
        <v>89</v>
      </c>
      <c r="G523" s="2567">
        <v>232335.08000000002</v>
      </c>
      <c r="H523" s="2567">
        <f t="shared" si="154"/>
        <v>1955517.9013440001</v>
      </c>
      <c r="I523" s="2588">
        <f>'Resume Analisa'!$D$64</f>
        <v>240387.47</v>
      </c>
      <c r="J523" s="2552">
        <f>E523*I523</f>
        <v>2023293.257496</v>
      </c>
      <c r="K523" s="2378" t="e">
        <f>IF(H523=0,"",IF(J523&lt;#REF!*H523,"Timpang &lt;"&amp;TEXT(#REF!,"0%"),IF(J523&gt;#REF!*H523,"Timpang &gt;"&amp;TEXT(#REF!,"0%"),"Wajar")))</f>
        <v>#REF!</v>
      </c>
      <c r="L523" s="2391">
        <v>240387.47</v>
      </c>
      <c r="M523" s="2391">
        <f t="shared" si="155"/>
        <v>2023293.257496</v>
      </c>
      <c r="N523" s="2375">
        <f t="shared" si="147"/>
        <v>8.8381767411439147E-2</v>
      </c>
      <c r="O523" s="2375">
        <v>0</v>
      </c>
      <c r="P523" s="2398"/>
      <c r="Q523" s="2375">
        <f t="shared" si="137"/>
        <v>0</v>
      </c>
      <c r="R523" s="2375">
        <f t="shared" si="150"/>
        <v>0</v>
      </c>
      <c r="S523" s="2375">
        <v>0</v>
      </c>
      <c r="T523" s="2590"/>
      <c r="U523" s="2375">
        <f t="shared" si="135"/>
        <v>0</v>
      </c>
      <c r="V523" s="2375"/>
      <c r="W523" s="2382">
        <f t="shared" si="136"/>
        <v>8.4168000000000003</v>
      </c>
      <c r="X523" s="2590" t="s">
        <v>89</v>
      </c>
      <c r="Y523" s="2375">
        <f t="shared" si="151"/>
        <v>2023293.257496</v>
      </c>
      <c r="Z523" s="2375">
        <f t="shared" si="148"/>
        <v>8.8381767411439147E-2</v>
      </c>
      <c r="AA523" s="2377" t="s">
        <v>3355</v>
      </c>
    </row>
    <row r="524" spans="1:27" s="399" customFormat="1" ht="25" customHeight="1">
      <c r="A524" s="2398">
        <f>A516+1</f>
        <v>15</v>
      </c>
      <c r="B524" s="2549" t="s">
        <v>580</v>
      </c>
      <c r="C524" s="2550"/>
      <c r="D524" s="2551"/>
      <c r="E524" s="2397">
        <f>'7. Vol Kios 3x4'!$M$291</f>
        <v>106.81920000000002</v>
      </c>
      <c r="F524" s="2398" t="s">
        <v>89</v>
      </c>
      <c r="G524" s="2567">
        <v>90295.7</v>
      </c>
      <c r="H524" s="2567">
        <f t="shared" si="154"/>
        <v>9645314.4374400023</v>
      </c>
      <c r="I524" s="2465">
        <f>'Resume Analisa'!$D$79</f>
        <v>91347.61</v>
      </c>
      <c r="J524" s="2567">
        <f>E524*I524</f>
        <v>9757678.6221120022</v>
      </c>
      <c r="K524" s="2378" t="e">
        <f>IF(H524=0,"",IF(J524&lt;#REF!*H524,"Timpang &lt;"&amp;TEXT(#REF!,"0%"),IF(J524&gt;#REF!*H524,"Timpang &gt;"&amp;TEXT(#REF!,"0%"),"Wajar")))</f>
        <v>#REF!</v>
      </c>
      <c r="L524" s="2391">
        <v>91347.61</v>
      </c>
      <c r="M524" s="2391">
        <f t="shared" si="155"/>
        <v>9757678.6221120022</v>
      </c>
      <c r="N524" s="2375">
        <f t="shared" si="147"/>
        <v>0.42623622614270479</v>
      </c>
      <c r="O524" s="2375">
        <v>0</v>
      </c>
      <c r="P524" s="2398"/>
      <c r="Q524" s="2375">
        <f t="shared" si="137"/>
        <v>0</v>
      </c>
      <c r="R524" s="2375">
        <f t="shared" si="150"/>
        <v>0</v>
      </c>
      <c r="S524" s="2386">
        <v>0</v>
      </c>
      <c r="T524" s="2398"/>
      <c r="U524" s="2375">
        <f t="shared" si="135"/>
        <v>0</v>
      </c>
      <c r="V524" s="2375"/>
      <c r="W524" s="2382">
        <f t="shared" si="136"/>
        <v>106.81920000000002</v>
      </c>
      <c r="X524" s="2398" t="s">
        <v>89</v>
      </c>
      <c r="Y524" s="2375">
        <f t="shared" si="151"/>
        <v>9757678.6221120022</v>
      </c>
      <c r="Z524" s="2375">
        <f t="shared" si="148"/>
        <v>0.42623622614270479</v>
      </c>
      <c r="AA524" s="2377" t="s">
        <v>3355</v>
      </c>
    </row>
    <row r="525" spans="1:27" s="399" customFormat="1" ht="25" customHeight="1">
      <c r="A525" s="2398">
        <f>A524+1</f>
        <v>16</v>
      </c>
      <c r="B525" s="2549" t="s">
        <v>581</v>
      </c>
      <c r="C525" s="2550"/>
      <c r="D525" s="2551"/>
      <c r="E525" s="2397">
        <f>'7. Vol Kios 3x4'!$M$292</f>
        <v>15.225</v>
      </c>
      <c r="F525" s="2398" t="s">
        <v>89</v>
      </c>
      <c r="G525" s="2567">
        <v>36451.78</v>
      </c>
      <c r="H525" s="2567">
        <f t="shared" si="154"/>
        <v>554978.35049999994</v>
      </c>
      <c r="I525" s="2465">
        <f>'Resume Analisa'!$D$82</f>
        <v>36706.18</v>
      </c>
      <c r="J525" s="2567">
        <f>E525*I525</f>
        <v>558851.59050000005</v>
      </c>
      <c r="K525" s="2378" t="e">
        <f>IF(H525=0,"",IF(J525&lt;#REF!*H525,"Timpang &lt;"&amp;TEXT(#REF!,"0%"),IF(J525&gt;#REF!*H525,"Timpang &gt;"&amp;TEXT(#REF!,"0%"),"Wajar")))</f>
        <v>#REF!</v>
      </c>
      <c r="L525" s="2391">
        <v>36706.18</v>
      </c>
      <c r="M525" s="2391">
        <f t="shared" si="155"/>
        <v>558851.59050000005</v>
      </c>
      <c r="N525" s="2375">
        <f t="shared" si="147"/>
        <v>2.4411830122051146E-2</v>
      </c>
      <c r="O525" s="2375">
        <v>0</v>
      </c>
      <c r="P525" s="2398"/>
      <c r="Q525" s="2375">
        <f t="shared" si="137"/>
        <v>0</v>
      </c>
      <c r="R525" s="2375">
        <f t="shared" si="150"/>
        <v>0</v>
      </c>
      <c r="S525" s="2386">
        <v>0</v>
      </c>
      <c r="T525" s="2398"/>
      <c r="U525" s="2375">
        <f t="shared" si="135"/>
        <v>0</v>
      </c>
      <c r="V525" s="2375"/>
      <c r="W525" s="2382">
        <f t="shared" si="136"/>
        <v>15.225</v>
      </c>
      <c r="X525" s="2398" t="s">
        <v>89</v>
      </c>
      <c r="Y525" s="2375">
        <f t="shared" si="151"/>
        <v>558851.59050000005</v>
      </c>
      <c r="Z525" s="2375">
        <f t="shared" si="148"/>
        <v>2.4411830122051146E-2</v>
      </c>
      <c r="AA525" s="2377" t="s">
        <v>3355</v>
      </c>
    </row>
    <row r="526" spans="1:27" s="399" customFormat="1" ht="25" customHeight="1">
      <c r="A526" s="2398">
        <f>A525+1</f>
        <v>17</v>
      </c>
      <c r="B526" s="2549" t="s">
        <v>452</v>
      </c>
      <c r="C526" s="2550"/>
      <c r="D526" s="2551"/>
      <c r="E526" s="2397">
        <f>'7. Vol Kios 3x4'!$M$307</f>
        <v>19.998000000000001</v>
      </c>
      <c r="F526" s="2398" t="s">
        <v>117</v>
      </c>
      <c r="G526" s="2567">
        <v>111113</v>
      </c>
      <c r="H526" s="2567">
        <f t="shared" si="154"/>
        <v>2222037.7740000002</v>
      </c>
      <c r="I526" s="2480">
        <f>'Resume Analisa'!$D$67</f>
        <v>110227.31999999999</v>
      </c>
      <c r="J526" s="2480">
        <f>I526*E526</f>
        <v>2204325.9453599998</v>
      </c>
      <c r="K526" s="2378" t="e">
        <f>IF(H526=0,"",IF(J526&lt;#REF!*H526,"Timpang &lt;"&amp;TEXT(#REF!,"0%"),IF(J526&gt;#REF!*H526,"Timpang &gt;"&amp;TEXT(#REF!,"0%"),"Wajar")))</f>
        <v>#REF!</v>
      </c>
      <c r="L526" s="2391">
        <v>110227.31999999999</v>
      </c>
      <c r="M526" s="2391">
        <f t="shared" si="155"/>
        <v>2204325.9453599998</v>
      </c>
      <c r="N526" s="2375">
        <f t="shared" si="147"/>
        <v>9.628966156043911E-2</v>
      </c>
      <c r="O526" s="2375">
        <v>0</v>
      </c>
      <c r="P526" s="2398"/>
      <c r="Q526" s="2375">
        <f t="shared" si="137"/>
        <v>0</v>
      </c>
      <c r="R526" s="2375">
        <f t="shared" si="150"/>
        <v>0</v>
      </c>
      <c r="S526" s="2375">
        <v>0</v>
      </c>
      <c r="T526" s="2398"/>
      <c r="U526" s="2375">
        <f t="shared" si="135"/>
        <v>0</v>
      </c>
      <c r="V526" s="2375"/>
      <c r="W526" s="2382">
        <f t="shared" si="136"/>
        <v>19.998000000000001</v>
      </c>
      <c r="X526" s="2398" t="s">
        <v>117</v>
      </c>
      <c r="Y526" s="2375">
        <f t="shared" si="151"/>
        <v>2204325.9453599998</v>
      </c>
      <c r="Z526" s="2375">
        <f t="shared" si="148"/>
        <v>9.628966156043911E-2</v>
      </c>
      <c r="AA526" s="2377" t="s">
        <v>3355</v>
      </c>
    </row>
    <row r="527" spans="1:27" s="399" customFormat="1" ht="25" customHeight="1">
      <c r="A527" s="2398">
        <f>A526+1</f>
        <v>18</v>
      </c>
      <c r="B527" s="2549" t="s">
        <v>453</v>
      </c>
      <c r="C527" s="2550"/>
      <c r="D527" s="2551"/>
      <c r="E527" s="2397">
        <f>'7. Vol Kios 3x4'!$M$308</f>
        <v>5.9994000000000005</v>
      </c>
      <c r="F527" s="2398" t="s">
        <v>89</v>
      </c>
      <c r="G527" s="2567">
        <v>90295.7</v>
      </c>
      <c r="H527" s="2567">
        <f t="shared" si="154"/>
        <v>541720.02257999999</v>
      </c>
      <c r="I527" s="2480">
        <f>'Resume Analisa'!$D$79</f>
        <v>91347.61</v>
      </c>
      <c r="J527" s="2480">
        <f>I527*E527</f>
        <v>548030.85143400007</v>
      </c>
      <c r="K527" s="2378" t="e">
        <f>IF(H527=0,"",IF(J527&lt;#REF!*H527,"Timpang &lt;"&amp;TEXT(#REF!,"0%"),IF(J527&gt;#REF!*H527,"Timpang &gt;"&amp;TEXT(#REF!,"0%"),"Wajar")))</f>
        <v>#REF!</v>
      </c>
      <c r="L527" s="2391">
        <v>91347.61</v>
      </c>
      <c r="M527" s="2391">
        <f t="shared" si="155"/>
        <v>548030.85143400007</v>
      </c>
      <c r="N527" s="2375">
        <f t="shared" si="147"/>
        <v>2.3939157147034831E-2</v>
      </c>
      <c r="O527" s="2375">
        <v>0</v>
      </c>
      <c r="P527" s="2398"/>
      <c r="Q527" s="2375">
        <f t="shared" si="137"/>
        <v>0</v>
      </c>
      <c r="R527" s="2375">
        <f t="shared" si="150"/>
        <v>0</v>
      </c>
      <c r="S527" s="2375">
        <v>0</v>
      </c>
      <c r="T527" s="2398"/>
      <c r="U527" s="2375">
        <f t="shared" si="135"/>
        <v>0</v>
      </c>
      <c r="V527" s="2375"/>
      <c r="W527" s="2382">
        <f t="shared" si="136"/>
        <v>5.9994000000000005</v>
      </c>
      <c r="X527" s="2398" t="s">
        <v>89</v>
      </c>
      <c r="Y527" s="2375">
        <f t="shared" si="151"/>
        <v>548030.85143400007</v>
      </c>
      <c r="Z527" s="2375">
        <f t="shared" si="148"/>
        <v>2.3939157147034831E-2</v>
      </c>
      <c r="AA527" s="2377" t="s">
        <v>3355</v>
      </c>
    </row>
    <row r="528" spans="1:27" s="399" customFormat="1" ht="25" customHeight="1">
      <c r="A528" s="2398">
        <f>A525+1</f>
        <v>17</v>
      </c>
      <c r="B528" s="2549" t="s">
        <v>582</v>
      </c>
      <c r="C528" s="2550"/>
      <c r="D528" s="2551"/>
      <c r="E528" s="2397">
        <f>'7. Vol Kios 3x4'!$M$293</f>
        <v>1</v>
      </c>
      <c r="F528" s="2398" t="s">
        <v>360</v>
      </c>
      <c r="G528" s="2567">
        <v>2176018.5</v>
      </c>
      <c r="H528" s="2567">
        <f t="shared" si="154"/>
        <v>2176018.5</v>
      </c>
      <c r="I528" s="2480">
        <f>'Resume Analisa'!$D$98</f>
        <v>2096360.01</v>
      </c>
      <c r="J528" s="2480">
        <f>I528*E528</f>
        <v>2096360.01</v>
      </c>
      <c r="K528" s="2378" t="e">
        <f>IF(H528=0,"",IF(J528&lt;#REF!*H528,"Timpang &lt;"&amp;TEXT(#REF!,"0%"),IF(J528&gt;#REF!*H528,"Timpang &gt;"&amp;TEXT(#REF!,"0%"),"Wajar")))</f>
        <v>#REF!</v>
      </c>
      <c r="L528" s="2391">
        <v>2096360.01</v>
      </c>
      <c r="M528" s="2391">
        <f t="shared" si="155"/>
        <v>2096360.01</v>
      </c>
      <c r="N528" s="2375">
        <f t="shared" si="147"/>
        <v>9.1573479093071383E-2</v>
      </c>
      <c r="O528" s="2375">
        <v>0</v>
      </c>
      <c r="P528" s="2398"/>
      <c r="Q528" s="2375">
        <f t="shared" si="137"/>
        <v>0</v>
      </c>
      <c r="R528" s="2375">
        <f t="shared" si="150"/>
        <v>0</v>
      </c>
      <c r="S528" s="2375">
        <v>0</v>
      </c>
      <c r="T528" s="2398"/>
      <c r="U528" s="2375">
        <f t="shared" ref="U528:U591" si="156">S528*L528</f>
        <v>0</v>
      </c>
      <c r="V528" s="2375"/>
      <c r="W528" s="2382">
        <f t="shared" ref="W528:W591" si="157">(E528+O528)-S528</f>
        <v>1</v>
      </c>
      <c r="X528" s="2398" t="s">
        <v>360</v>
      </c>
      <c r="Y528" s="2375">
        <f t="shared" si="151"/>
        <v>2096360.01</v>
      </c>
      <c r="Z528" s="2375">
        <f t="shared" si="148"/>
        <v>9.1573479093071383E-2</v>
      </c>
      <c r="AA528" s="2377" t="s">
        <v>3355</v>
      </c>
    </row>
    <row r="529" spans="1:27" s="399" customFormat="1" ht="65" customHeight="1">
      <c r="A529" s="2403">
        <f>A528+1</f>
        <v>18</v>
      </c>
      <c r="B529" s="3190" t="s">
        <v>583</v>
      </c>
      <c r="C529" s="3191"/>
      <c r="D529" s="3192"/>
      <c r="E529" s="2717">
        <f>'7. Vol Kios 3x4'!$M$294</f>
        <v>14</v>
      </c>
      <c r="F529" s="2403" t="s">
        <v>124</v>
      </c>
      <c r="G529" s="2718">
        <v>276000</v>
      </c>
      <c r="H529" s="2718">
        <f t="shared" si="154"/>
        <v>3864000</v>
      </c>
      <c r="I529" s="2591">
        <f>'Resume Analisa'!$D$101</f>
        <v>279522.94</v>
      </c>
      <c r="J529" s="2591">
        <f>I529*E529</f>
        <v>3913321.16</v>
      </c>
      <c r="K529" s="2408" t="e">
        <f>IF(H529=0,"",IF(J529&lt;#REF!*H529,"Timpang &lt;"&amp;TEXT(#REF!,"0%"),IF(J529&gt;#REF!*H529,"Timpang &gt;"&amp;TEXT(#REF!,"0%"),"Wajar")))</f>
        <v>#REF!</v>
      </c>
      <c r="L529" s="2410">
        <v>279522.94</v>
      </c>
      <c r="M529" s="2410">
        <f t="shared" si="155"/>
        <v>3913321.16</v>
      </c>
      <c r="N529" s="2375">
        <f t="shared" si="147"/>
        <v>0.17094221971431989</v>
      </c>
      <c r="O529" s="2411">
        <v>0</v>
      </c>
      <c r="P529" s="2398"/>
      <c r="Q529" s="2411">
        <f t="shared" si="137"/>
        <v>0</v>
      </c>
      <c r="R529" s="2411">
        <f t="shared" si="150"/>
        <v>0</v>
      </c>
      <c r="S529" s="2411">
        <v>0</v>
      </c>
      <c r="T529" s="2403"/>
      <c r="U529" s="2411">
        <f t="shared" si="156"/>
        <v>0</v>
      </c>
      <c r="V529" s="2411"/>
      <c r="W529" s="2402">
        <f t="shared" si="157"/>
        <v>14</v>
      </c>
      <c r="X529" s="2403" t="s">
        <v>124</v>
      </c>
      <c r="Y529" s="2411">
        <f t="shared" si="151"/>
        <v>3913321.16</v>
      </c>
      <c r="Z529" s="2411">
        <f t="shared" si="148"/>
        <v>0.17094221971431989</v>
      </c>
      <c r="AA529" s="2412" t="s">
        <v>3355</v>
      </c>
    </row>
    <row r="530" spans="1:27" s="399" customFormat="1" ht="25" customHeight="1">
      <c r="A530" s="2576"/>
      <c r="B530" s="2719"/>
      <c r="C530" s="2720"/>
      <c r="D530" s="2512" t="s">
        <v>376</v>
      </c>
      <c r="E530" s="2721"/>
      <c r="F530" s="2580"/>
      <c r="G530" s="2599"/>
      <c r="H530" s="2599">
        <f>SUM(H490:H529)</f>
        <v>89559169.24798803</v>
      </c>
      <c r="I530" s="2722"/>
      <c r="J530" s="2599">
        <f>SUM(J490:J529)</f>
        <v>88418195.753534317</v>
      </c>
      <c r="K530" s="2581"/>
      <c r="L530" s="2584"/>
      <c r="M530" s="2584">
        <f>SUM(M490:M529)</f>
        <v>88418195.753534317</v>
      </c>
      <c r="N530" s="2424">
        <f>M530/M8*100</f>
        <v>3.8622954843921904</v>
      </c>
      <c r="O530" s="2426">
        <v>0</v>
      </c>
      <c r="P530" s="2580"/>
      <c r="Q530" s="2426">
        <f t="shared" si="137"/>
        <v>0</v>
      </c>
      <c r="R530" s="2426">
        <f t="shared" si="150"/>
        <v>0</v>
      </c>
      <c r="S530" s="2426">
        <v>0</v>
      </c>
      <c r="T530" s="2576"/>
      <c r="U530" s="2426">
        <f t="shared" si="156"/>
        <v>0</v>
      </c>
      <c r="V530" s="2426"/>
      <c r="W530" s="2428">
        <f t="shared" si="157"/>
        <v>0</v>
      </c>
      <c r="X530" s="2580"/>
      <c r="Y530" s="2424">
        <f>SUM(Y489:Y529)</f>
        <v>88418195.753534317</v>
      </c>
      <c r="Z530" s="2424">
        <f>SUM(Z490:Z529)</f>
        <v>3.8622954843921904</v>
      </c>
      <c r="AA530" s="2429"/>
    </row>
    <row r="531" spans="1:27" s="399" customFormat="1" ht="25" customHeight="1">
      <c r="A531" s="2521" t="s">
        <v>584</v>
      </c>
      <c r="B531" s="2522" t="s">
        <v>585</v>
      </c>
      <c r="C531" s="2723"/>
      <c r="D531" s="2724"/>
      <c r="E531" s="2725"/>
      <c r="F531" s="2526"/>
      <c r="G531" s="2726"/>
      <c r="H531" s="2726"/>
      <c r="I531" s="2727"/>
      <c r="J531" s="2726"/>
      <c r="K531" s="2585"/>
      <c r="L531" s="2532"/>
      <c r="M531" s="2532"/>
      <c r="N531" s="2365"/>
      <c r="O531" s="2365"/>
      <c r="P531" s="2526"/>
      <c r="Q531" s="2365"/>
      <c r="R531" s="2365">
        <f t="shared" si="150"/>
        <v>0</v>
      </c>
      <c r="S531" s="2535"/>
      <c r="T531" s="2521"/>
      <c r="U531" s="2365"/>
      <c r="V531" s="2365"/>
      <c r="W531" s="2445">
        <f t="shared" si="157"/>
        <v>0</v>
      </c>
      <c r="X531" s="2526"/>
      <c r="Y531" s="2365">
        <f t="shared" ref="Y531:Y591" si="158">L531</f>
        <v>0</v>
      </c>
      <c r="Z531" s="2365"/>
      <c r="AA531" s="2367"/>
    </row>
    <row r="532" spans="1:27" ht="25" customHeight="1">
      <c r="A532" s="2398">
        <v>1</v>
      </c>
      <c r="B532" s="2549" t="s">
        <v>586</v>
      </c>
      <c r="C532" s="2550"/>
      <c r="D532" s="2551"/>
      <c r="E532" s="2397">
        <f>'7. Vol Kios 3x4'!$M$310</f>
        <v>2</v>
      </c>
      <c r="F532" s="2398" t="s">
        <v>117</v>
      </c>
      <c r="G532" s="2731">
        <v>32056.25</v>
      </c>
      <c r="H532" s="2389">
        <f t="shared" ref="H532:H540" si="159">E532*G532</f>
        <v>64112.5</v>
      </c>
      <c r="I532" s="2390">
        <f>'Resume Analisa'!$D$176</f>
        <v>30989.129999999997</v>
      </c>
      <c r="J532" s="2480">
        <f t="shared" ref="J532:J540" si="160">I532*E532</f>
        <v>61978.259999999995</v>
      </c>
      <c r="K532" s="2378" t="e">
        <f>IF(H532=0,"",IF(J532&lt;#REF!*H532,"Timpang &lt;"&amp;TEXT(#REF!,"0%"),IF(J532&gt;#REF!*H532,"Timpang &gt;"&amp;TEXT(#REF!,"0%"),"Wajar")))</f>
        <v>#REF!</v>
      </c>
      <c r="L532" s="2391">
        <v>30989.129999999997</v>
      </c>
      <c r="M532" s="2391">
        <f t="shared" ref="M532:M540" si="161">E532*L532</f>
        <v>61978.259999999995</v>
      </c>
      <c r="N532" s="2375">
        <f t="shared" ref="N532:N568" si="162">M532/$M$8*100</f>
        <v>2.7073426650296301E-3</v>
      </c>
      <c r="O532" s="2375">
        <v>0</v>
      </c>
      <c r="P532" s="2398"/>
      <c r="Q532" s="2375">
        <f t="shared" si="137"/>
        <v>0</v>
      </c>
      <c r="R532" s="2375">
        <f t="shared" si="150"/>
        <v>0</v>
      </c>
      <c r="S532" s="2386">
        <v>0</v>
      </c>
      <c r="T532" s="2398"/>
      <c r="U532" s="2375">
        <f t="shared" si="156"/>
        <v>0</v>
      </c>
      <c r="V532" s="2375"/>
      <c r="W532" s="2382">
        <f t="shared" si="157"/>
        <v>2</v>
      </c>
      <c r="X532" s="2398" t="s">
        <v>117</v>
      </c>
      <c r="Y532" s="2375">
        <f>W532*L532</f>
        <v>61978.259999999995</v>
      </c>
      <c r="Z532" s="2375">
        <f t="shared" ref="Z532:Z568" si="163">Y532/$M$8*100</f>
        <v>2.7073426650296301E-3</v>
      </c>
      <c r="AA532" s="2377" t="s">
        <v>3355</v>
      </c>
    </row>
    <row r="533" spans="1:27" ht="25" customHeight="1">
      <c r="A533" s="2398">
        <f t="shared" ref="A533:A541" si="164">A532+1</f>
        <v>2</v>
      </c>
      <c r="B533" s="2549" t="s">
        <v>587</v>
      </c>
      <c r="C533" s="2550"/>
      <c r="D533" s="2551"/>
      <c r="E533" s="2397">
        <f>'7. Vol Kios 3x4'!$M$311</f>
        <v>5</v>
      </c>
      <c r="F533" s="2398" t="s">
        <v>117</v>
      </c>
      <c r="G533" s="2731">
        <v>55654.25</v>
      </c>
      <c r="H533" s="2389">
        <f t="shared" si="159"/>
        <v>278271.25</v>
      </c>
      <c r="I533" s="2390">
        <f>'Resume Analisa'!$D$174</f>
        <v>55200.46</v>
      </c>
      <c r="J533" s="2480">
        <f t="shared" si="160"/>
        <v>276002.3</v>
      </c>
      <c r="K533" s="2378" t="e">
        <f>IF(H533=0,"",IF(J533&lt;#REF!*H533,"Timpang &lt;"&amp;TEXT(#REF!,"0%"),IF(J533&gt;#REF!*H533,"Timpang &gt;"&amp;TEXT(#REF!,"0%"),"Wajar")))</f>
        <v>#REF!</v>
      </c>
      <c r="L533" s="2391">
        <v>55200.46</v>
      </c>
      <c r="M533" s="2391">
        <f t="shared" si="161"/>
        <v>276002.3</v>
      </c>
      <c r="N533" s="2375">
        <f t="shared" si="162"/>
        <v>1.2056369482400886E-2</v>
      </c>
      <c r="O533" s="2375">
        <v>0</v>
      </c>
      <c r="P533" s="2398"/>
      <c r="Q533" s="2375">
        <f t="shared" si="137"/>
        <v>0</v>
      </c>
      <c r="R533" s="2375">
        <f t="shared" si="150"/>
        <v>0</v>
      </c>
      <c r="S533" s="2375">
        <v>0</v>
      </c>
      <c r="T533" s="2398"/>
      <c r="U533" s="2375">
        <f t="shared" si="156"/>
        <v>0</v>
      </c>
      <c r="V533" s="2375"/>
      <c r="W533" s="2382">
        <f t="shared" si="157"/>
        <v>5</v>
      </c>
      <c r="X533" s="2398" t="s">
        <v>117</v>
      </c>
      <c r="Y533" s="2375">
        <f t="shared" ref="Y533:Y568" si="165">W533*L533</f>
        <v>276002.3</v>
      </c>
      <c r="Z533" s="2375">
        <f t="shared" si="163"/>
        <v>1.2056369482400886E-2</v>
      </c>
      <c r="AA533" s="2377" t="s">
        <v>3355</v>
      </c>
    </row>
    <row r="534" spans="1:27" ht="25" customHeight="1">
      <c r="A534" s="2398">
        <f t="shared" si="164"/>
        <v>3</v>
      </c>
      <c r="B534" s="2549" t="s">
        <v>588</v>
      </c>
      <c r="C534" s="2550"/>
      <c r="D534" s="2551"/>
      <c r="E534" s="2397">
        <f>'7. Vol Kios 3x4'!$M$312</f>
        <v>3.5</v>
      </c>
      <c r="F534" s="2398" t="s">
        <v>117</v>
      </c>
      <c r="G534" s="2731">
        <v>191759.63</v>
      </c>
      <c r="H534" s="2389">
        <f t="shared" si="159"/>
        <v>671158.70500000007</v>
      </c>
      <c r="I534" s="2390">
        <f>'Resume Analisa'!$D$173</f>
        <v>183232.97</v>
      </c>
      <c r="J534" s="2480">
        <f t="shared" si="160"/>
        <v>641315.39500000002</v>
      </c>
      <c r="K534" s="2378" t="e">
        <f>IF(H534=0,"",IF(J534&lt;#REF!*H534,"Timpang &lt;"&amp;TEXT(#REF!,"0%"),IF(J534&gt;#REF!*H534,"Timpang &gt;"&amp;TEXT(#REF!,"0%"),"Wajar")))</f>
        <v>#REF!</v>
      </c>
      <c r="L534" s="2391">
        <v>183232.97</v>
      </c>
      <c r="M534" s="2391">
        <f t="shared" si="161"/>
        <v>641315.39500000002</v>
      </c>
      <c r="N534" s="2375">
        <f t="shared" si="162"/>
        <v>2.8014025089181754E-2</v>
      </c>
      <c r="O534" s="2375">
        <v>0</v>
      </c>
      <c r="P534" s="2398"/>
      <c r="Q534" s="2375">
        <f t="shared" si="137"/>
        <v>0</v>
      </c>
      <c r="R534" s="2375">
        <f t="shared" si="150"/>
        <v>0</v>
      </c>
      <c r="S534" s="2375">
        <v>0</v>
      </c>
      <c r="T534" s="2398"/>
      <c r="U534" s="2375">
        <f t="shared" si="156"/>
        <v>0</v>
      </c>
      <c r="V534" s="2375"/>
      <c r="W534" s="2382">
        <f t="shared" si="157"/>
        <v>3.5</v>
      </c>
      <c r="X534" s="2398" t="s">
        <v>117</v>
      </c>
      <c r="Y534" s="2375">
        <f t="shared" si="165"/>
        <v>641315.39500000002</v>
      </c>
      <c r="Z534" s="2375">
        <f t="shared" si="163"/>
        <v>2.8014025089181754E-2</v>
      </c>
      <c r="AA534" s="2377" t="s">
        <v>3355</v>
      </c>
    </row>
    <row r="535" spans="1:27" ht="25" customHeight="1">
      <c r="A535" s="2398">
        <f t="shared" si="164"/>
        <v>4</v>
      </c>
      <c r="B535" s="2549" t="s">
        <v>589</v>
      </c>
      <c r="C535" s="2550"/>
      <c r="D535" s="2551"/>
      <c r="E535" s="2397">
        <f>'7. Vol Kios 3x4'!$M$313</f>
        <v>2.5</v>
      </c>
      <c r="F535" s="2398" t="s">
        <v>117</v>
      </c>
      <c r="G535" s="2731">
        <v>308539.25</v>
      </c>
      <c r="H535" s="2389">
        <f t="shared" si="159"/>
        <v>771348.125</v>
      </c>
      <c r="I535" s="2390">
        <f>'Resume Analisa'!$D$172</f>
        <v>314523.2</v>
      </c>
      <c r="J535" s="2480">
        <f t="shared" si="160"/>
        <v>786308</v>
      </c>
      <c r="K535" s="2378" t="e">
        <f>IF(H535=0,"",IF(J535&lt;#REF!*H535,"Timpang &lt;"&amp;TEXT(#REF!,"0%"),IF(J535&gt;#REF!*H535,"Timpang &gt;"&amp;TEXT(#REF!,"0%"),"Wajar")))</f>
        <v>#REF!</v>
      </c>
      <c r="L535" s="2391">
        <v>314523.2</v>
      </c>
      <c r="M535" s="2391">
        <f t="shared" si="161"/>
        <v>786308</v>
      </c>
      <c r="N535" s="2375">
        <f t="shared" si="162"/>
        <v>3.4347611505294251E-2</v>
      </c>
      <c r="O535" s="2375">
        <v>0</v>
      </c>
      <c r="P535" s="2398"/>
      <c r="Q535" s="2375">
        <f t="shared" si="137"/>
        <v>0</v>
      </c>
      <c r="R535" s="2375">
        <f t="shared" si="150"/>
        <v>0</v>
      </c>
      <c r="S535" s="2375">
        <v>0</v>
      </c>
      <c r="T535" s="2398"/>
      <c r="U535" s="2375">
        <f t="shared" si="156"/>
        <v>0</v>
      </c>
      <c r="V535" s="2375"/>
      <c r="W535" s="2382">
        <f t="shared" si="157"/>
        <v>2.5</v>
      </c>
      <c r="X535" s="2398" t="s">
        <v>117</v>
      </c>
      <c r="Y535" s="2375">
        <f t="shared" si="165"/>
        <v>786308</v>
      </c>
      <c r="Z535" s="2375">
        <f t="shared" si="163"/>
        <v>3.4347611505294251E-2</v>
      </c>
      <c r="AA535" s="2377" t="s">
        <v>3355</v>
      </c>
    </row>
    <row r="536" spans="1:27" ht="25" customHeight="1">
      <c r="A536" s="2398">
        <f t="shared" si="164"/>
        <v>5</v>
      </c>
      <c r="B536" s="2549" t="s">
        <v>590</v>
      </c>
      <c r="C536" s="2550"/>
      <c r="D536" s="2551"/>
      <c r="E536" s="2397">
        <f>'7. Vol Kios 3x4'!$M$314</f>
        <v>1</v>
      </c>
      <c r="F536" s="2398" t="s">
        <v>124</v>
      </c>
      <c r="G536" s="2731">
        <v>1937827.05</v>
      </c>
      <c r="H536" s="2389">
        <f t="shared" si="159"/>
        <v>1937827.05</v>
      </c>
      <c r="I536" s="2480">
        <f>'Resume Analisa'!$D$179</f>
        <v>1952191.02</v>
      </c>
      <c r="J536" s="2480">
        <f t="shared" si="160"/>
        <v>1952191.02</v>
      </c>
      <c r="K536" s="2378" t="e">
        <f>IF(H536=0,"",IF(J536&lt;#REF!*H536,"Timpang &lt;"&amp;TEXT(#REF!,"0%"),IF(J536&gt;#REF!*H536,"Timpang &gt;"&amp;TEXT(#REF!,"0%"),"Wajar")))</f>
        <v>#REF!</v>
      </c>
      <c r="L536" s="2391">
        <v>1952191.02</v>
      </c>
      <c r="M536" s="2391">
        <f t="shared" si="161"/>
        <v>1952191.02</v>
      </c>
      <c r="N536" s="2375">
        <f t="shared" si="162"/>
        <v>8.5275869937841309E-2</v>
      </c>
      <c r="O536" s="2375">
        <v>0</v>
      </c>
      <c r="P536" s="2398"/>
      <c r="Q536" s="2375">
        <f t="shared" si="137"/>
        <v>0</v>
      </c>
      <c r="R536" s="2375">
        <f t="shared" si="150"/>
        <v>0</v>
      </c>
      <c r="S536" s="2375">
        <v>0</v>
      </c>
      <c r="T536" s="2398"/>
      <c r="U536" s="2375">
        <f t="shared" si="156"/>
        <v>0</v>
      </c>
      <c r="V536" s="2375"/>
      <c r="W536" s="2382">
        <f t="shared" si="157"/>
        <v>1</v>
      </c>
      <c r="X536" s="2398" t="s">
        <v>124</v>
      </c>
      <c r="Y536" s="2375">
        <f t="shared" si="165"/>
        <v>1952191.02</v>
      </c>
      <c r="Z536" s="2375">
        <f t="shared" si="163"/>
        <v>8.5275869937841309E-2</v>
      </c>
      <c r="AA536" s="2377" t="s">
        <v>3355</v>
      </c>
    </row>
    <row r="537" spans="1:27" ht="25" customHeight="1">
      <c r="A537" s="2398">
        <f t="shared" si="164"/>
        <v>6</v>
      </c>
      <c r="B537" s="2549" t="s">
        <v>591</v>
      </c>
      <c r="C537" s="2550"/>
      <c r="D537" s="2551"/>
      <c r="E537" s="2397">
        <f>'7. Vol Kios 3x4'!$M$315</f>
        <v>1</v>
      </c>
      <c r="F537" s="2398" t="s">
        <v>124</v>
      </c>
      <c r="G537" s="2731">
        <v>649295.61</v>
      </c>
      <c r="H537" s="2389">
        <f t="shared" si="159"/>
        <v>649295.61</v>
      </c>
      <c r="I537" s="2480">
        <f>'Resume Analisa'!$D$180</f>
        <v>646016.32999999996</v>
      </c>
      <c r="J537" s="2480">
        <f t="shared" si="160"/>
        <v>646016.32999999996</v>
      </c>
      <c r="K537" s="2378" t="e">
        <f>IF(H537=0,"",IF(J537&lt;#REF!*H537,"Timpang &lt;"&amp;TEXT(#REF!,"0%"),IF(J537&gt;#REF!*H537,"Timpang &gt;"&amp;TEXT(#REF!,"0%"),"Wajar")))</f>
        <v>#REF!</v>
      </c>
      <c r="L537" s="2391">
        <v>646016.32999999996</v>
      </c>
      <c r="M537" s="2391">
        <f t="shared" si="161"/>
        <v>646016.32999999996</v>
      </c>
      <c r="N537" s="2375">
        <f t="shared" si="162"/>
        <v>2.8219371962279367E-2</v>
      </c>
      <c r="O537" s="2375">
        <v>0</v>
      </c>
      <c r="P537" s="2398"/>
      <c r="Q537" s="2375">
        <f t="shared" si="137"/>
        <v>0</v>
      </c>
      <c r="R537" s="2375">
        <f t="shared" si="150"/>
        <v>0</v>
      </c>
      <c r="S537" s="2375">
        <v>0</v>
      </c>
      <c r="T537" s="2398"/>
      <c r="U537" s="2375">
        <f t="shared" si="156"/>
        <v>0</v>
      </c>
      <c r="V537" s="2375"/>
      <c r="W537" s="2382">
        <f t="shared" si="157"/>
        <v>1</v>
      </c>
      <c r="X537" s="2398" t="s">
        <v>124</v>
      </c>
      <c r="Y537" s="2375">
        <f t="shared" si="165"/>
        <v>646016.32999999996</v>
      </c>
      <c r="Z537" s="2375">
        <f t="shared" si="163"/>
        <v>2.8219371962279367E-2</v>
      </c>
      <c r="AA537" s="2377" t="s">
        <v>3355</v>
      </c>
    </row>
    <row r="538" spans="1:27" ht="25" customHeight="1">
      <c r="A538" s="2398">
        <f t="shared" si="164"/>
        <v>7</v>
      </c>
      <c r="B538" s="2549" t="s">
        <v>592</v>
      </c>
      <c r="C538" s="2550"/>
      <c r="D538" s="2732"/>
      <c r="E538" s="2397">
        <f>'7. Vol Kios 3x4'!$M$316</f>
        <v>1</v>
      </c>
      <c r="F538" s="2398" t="s">
        <v>124</v>
      </c>
      <c r="G538" s="2731">
        <v>105920.61</v>
      </c>
      <c r="H538" s="2389">
        <f t="shared" si="159"/>
        <v>105920.61</v>
      </c>
      <c r="I538" s="2480">
        <f>'Resume Analisa'!$D$181</f>
        <v>101518.73999999999</v>
      </c>
      <c r="J538" s="2480">
        <f t="shared" si="160"/>
        <v>101518.73999999999</v>
      </c>
      <c r="K538" s="2378" t="e">
        <f>IF(H538=0,"",IF(J538&lt;#REF!*H538,"Timpang &lt;"&amp;TEXT(#REF!,"0%"),IF(J538&gt;#REF!*H538,"Timpang &gt;"&amp;TEXT(#REF!,"0%"),"Wajar")))</f>
        <v>#REF!</v>
      </c>
      <c r="L538" s="2391">
        <v>101518.73999999999</v>
      </c>
      <c r="M538" s="2391">
        <f t="shared" si="161"/>
        <v>101518.73999999999</v>
      </c>
      <c r="N538" s="2375">
        <f t="shared" si="162"/>
        <v>4.434555215039113E-3</v>
      </c>
      <c r="O538" s="2375">
        <v>0</v>
      </c>
      <c r="P538" s="2398"/>
      <c r="Q538" s="2375">
        <f t="shared" si="137"/>
        <v>0</v>
      </c>
      <c r="R538" s="2375">
        <f t="shared" si="150"/>
        <v>0</v>
      </c>
      <c r="S538" s="2386">
        <v>0</v>
      </c>
      <c r="T538" s="2398"/>
      <c r="U538" s="2375">
        <f t="shared" si="156"/>
        <v>0</v>
      </c>
      <c r="V538" s="2375"/>
      <c r="W538" s="2382">
        <f t="shared" si="157"/>
        <v>1</v>
      </c>
      <c r="X538" s="2398" t="s">
        <v>124</v>
      </c>
      <c r="Y538" s="2375">
        <f t="shared" si="165"/>
        <v>101518.73999999999</v>
      </c>
      <c r="Z538" s="2375">
        <f t="shared" si="163"/>
        <v>4.434555215039113E-3</v>
      </c>
      <c r="AA538" s="2377" t="s">
        <v>3355</v>
      </c>
    </row>
    <row r="539" spans="1:27" ht="25" customHeight="1">
      <c r="A539" s="2398">
        <f t="shared" si="164"/>
        <v>8</v>
      </c>
      <c r="B539" s="2549" t="s">
        <v>593</v>
      </c>
      <c r="C539" s="2550"/>
      <c r="D539" s="2551"/>
      <c r="E539" s="2397">
        <f>'7. Vol Kios 3x4'!$M$317</f>
        <v>1</v>
      </c>
      <c r="F539" s="2398" t="s">
        <v>124</v>
      </c>
      <c r="G539" s="2731">
        <v>100567.5</v>
      </c>
      <c r="H539" s="2389">
        <f t="shared" si="159"/>
        <v>100567.5</v>
      </c>
      <c r="I539" s="2480">
        <f>'Resume Analisa'!$D$189</f>
        <v>98867.86</v>
      </c>
      <c r="J539" s="2480">
        <f t="shared" si="160"/>
        <v>98867.86</v>
      </c>
      <c r="K539" s="2378" t="e">
        <f>IF(H539=0,"",IF(J539&lt;#REF!*H539,"Timpang &lt;"&amp;TEXT(#REF!,"0%"),IF(J539&gt;#REF!*H539,"Timpang &gt;"&amp;TEXT(#REF!,"0%"),"Wajar")))</f>
        <v>#REF!</v>
      </c>
      <c r="L539" s="2391">
        <v>98867.86</v>
      </c>
      <c r="M539" s="2391">
        <f t="shared" si="161"/>
        <v>98867.86</v>
      </c>
      <c r="N539" s="2375">
        <f t="shared" si="162"/>
        <v>4.3187591193779304E-3</v>
      </c>
      <c r="O539" s="2375">
        <v>0</v>
      </c>
      <c r="P539" s="2398"/>
      <c r="Q539" s="2375">
        <f t="shared" si="137"/>
        <v>0</v>
      </c>
      <c r="R539" s="2375">
        <f t="shared" si="150"/>
        <v>0</v>
      </c>
      <c r="S539" s="2386">
        <v>0</v>
      </c>
      <c r="T539" s="2398"/>
      <c r="U539" s="2375">
        <f t="shared" si="156"/>
        <v>0</v>
      </c>
      <c r="V539" s="2375"/>
      <c r="W539" s="2382">
        <f t="shared" si="157"/>
        <v>1</v>
      </c>
      <c r="X539" s="2398" t="s">
        <v>124</v>
      </c>
      <c r="Y539" s="2375">
        <f t="shared" si="165"/>
        <v>98867.86</v>
      </c>
      <c r="Z539" s="2375">
        <f t="shared" si="163"/>
        <v>4.3187591193779304E-3</v>
      </c>
      <c r="AA539" s="2377" t="s">
        <v>3355</v>
      </c>
    </row>
    <row r="540" spans="1:27" ht="25" customHeight="1">
      <c r="A540" s="2398">
        <f t="shared" si="164"/>
        <v>9</v>
      </c>
      <c r="B540" s="2549" t="s">
        <v>594</v>
      </c>
      <c r="C540" s="2550"/>
      <c r="D540" s="2733"/>
      <c r="E540" s="2397">
        <f>'7. Vol Kios 3x4'!$M$318</f>
        <v>1</v>
      </c>
      <c r="F540" s="2398" t="s">
        <v>360</v>
      </c>
      <c r="G540" s="2731">
        <v>1277328</v>
      </c>
      <c r="H540" s="2389">
        <f t="shared" si="159"/>
        <v>1277328</v>
      </c>
      <c r="I540" s="2390">
        <f>'Resume Analisa'!$D$191</f>
        <v>1209261.8700000001</v>
      </c>
      <c r="J540" s="2480">
        <f t="shared" si="160"/>
        <v>1209261.8700000001</v>
      </c>
      <c r="K540" s="2378" t="e">
        <f>IF(H540=0,"",IF(J540&lt;#REF!*H540,"Timpang &lt;"&amp;TEXT(#REF!,"0%"),IF(J540&gt;#REF!*H540,"Timpang &gt;"&amp;TEXT(#REF!,"0%"),"Wajar")))</f>
        <v>#REF!</v>
      </c>
      <c r="L540" s="2391">
        <v>1209261.8700000001</v>
      </c>
      <c r="M540" s="2391">
        <f t="shared" si="161"/>
        <v>1209261.8700000001</v>
      </c>
      <c r="N540" s="2375">
        <f t="shared" si="162"/>
        <v>5.2823139175648272E-2</v>
      </c>
      <c r="O540" s="2375">
        <v>0</v>
      </c>
      <c r="P540" s="2398"/>
      <c r="Q540" s="2375">
        <f t="shared" si="137"/>
        <v>0</v>
      </c>
      <c r="R540" s="2375">
        <f t="shared" si="150"/>
        <v>0</v>
      </c>
      <c r="S540" s="2375">
        <v>0</v>
      </c>
      <c r="T540" s="2398"/>
      <c r="U540" s="2375">
        <f t="shared" si="156"/>
        <v>0</v>
      </c>
      <c r="V540" s="2375"/>
      <c r="W540" s="2382">
        <f t="shared" si="157"/>
        <v>1</v>
      </c>
      <c r="X540" s="2398" t="s">
        <v>360</v>
      </c>
      <c r="Y540" s="2375">
        <f t="shared" si="165"/>
        <v>1209261.8700000001</v>
      </c>
      <c r="Z540" s="2375">
        <f t="shared" si="163"/>
        <v>5.2823139175648272E-2</v>
      </c>
      <c r="AA540" s="2377" t="s">
        <v>3355</v>
      </c>
    </row>
    <row r="541" spans="1:27" ht="25" customHeight="1">
      <c r="A541" s="2398">
        <f t="shared" si="164"/>
        <v>10</v>
      </c>
      <c r="B541" s="2549" t="s">
        <v>595</v>
      </c>
      <c r="C541" s="2550"/>
      <c r="D541" s="2551"/>
      <c r="E541" s="2397"/>
      <c r="F541" s="2398"/>
      <c r="G541" s="2731"/>
      <c r="H541" s="2389"/>
      <c r="I541" s="2465"/>
      <c r="J541" s="2567"/>
      <c r="K541" s="2389"/>
      <c r="L541" s="2391"/>
      <c r="M541" s="2391"/>
      <c r="N541" s="2375">
        <f t="shared" si="162"/>
        <v>0</v>
      </c>
      <c r="O541" s="2375">
        <v>0</v>
      </c>
      <c r="P541" s="2398"/>
      <c r="Q541" s="2375">
        <f t="shared" ref="Q541:Q604" si="166">O541*L541</f>
        <v>0</v>
      </c>
      <c r="R541" s="2375">
        <f t="shared" si="150"/>
        <v>0</v>
      </c>
      <c r="S541" s="2375">
        <v>0</v>
      </c>
      <c r="T541" s="2398"/>
      <c r="U541" s="2375">
        <f t="shared" si="156"/>
        <v>0</v>
      </c>
      <c r="V541" s="2375"/>
      <c r="W541" s="2382">
        <f t="shared" si="157"/>
        <v>0</v>
      </c>
      <c r="X541" s="2398"/>
      <c r="Y541" s="2375">
        <f t="shared" si="165"/>
        <v>0</v>
      </c>
      <c r="Z541" s="2375">
        <f t="shared" si="163"/>
        <v>0</v>
      </c>
      <c r="AA541" s="2377"/>
    </row>
    <row r="542" spans="1:27" ht="25" customHeight="1">
      <c r="A542" s="2555" t="s">
        <v>95</v>
      </c>
      <c r="B542" s="2728" t="s">
        <v>596</v>
      </c>
      <c r="C542" s="2734"/>
      <c r="D542" s="2735"/>
      <c r="E542" s="2397">
        <f>'7. Vol Kios 3x4'!$M$320</f>
        <v>1</v>
      </c>
      <c r="F542" s="2398" t="s">
        <v>360</v>
      </c>
      <c r="G542" s="2731">
        <v>5655000</v>
      </c>
      <c r="H542" s="2389">
        <f>E542*G542</f>
        <v>5655000</v>
      </c>
      <c r="I542" s="2480">
        <f>'Bahan &amp; Upah'!C$378</f>
        <v>5659423.25</v>
      </c>
      <c r="J542" s="2390">
        <f>E542*I542</f>
        <v>5659423.25</v>
      </c>
      <c r="K542" s="2378" t="e">
        <f>IF(H542=0,"",IF(J542&lt;#REF!*H542,"Timpang &lt;"&amp;TEXT(#REF!,"0%"),IF(J542&gt;#REF!*H542,"Timpang &gt;"&amp;TEXT(#REF!,"0%"),"Wajar")))</f>
        <v>#REF!</v>
      </c>
      <c r="L542" s="2391">
        <v>5659423.25</v>
      </c>
      <c r="M542" s="2391">
        <f>E542*L542</f>
        <v>5659423.25</v>
      </c>
      <c r="N542" s="2375">
        <f t="shared" si="162"/>
        <v>0.2472156853739626</v>
      </c>
      <c r="O542" s="2375">
        <v>0</v>
      </c>
      <c r="P542" s="2398"/>
      <c r="Q542" s="2375">
        <f t="shared" si="166"/>
        <v>0</v>
      </c>
      <c r="R542" s="2375">
        <f t="shared" si="150"/>
        <v>0</v>
      </c>
      <c r="S542" s="2375">
        <v>0</v>
      </c>
      <c r="T542" s="2398"/>
      <c r="U542" s="2375">
        <f t="shared" si="156"/>
        <v>0</v>
      </c>
      <c r="V542" s="2375"/>
      <c r="W542" s="2382">
        <f t="shared" si="157"/>
        <v>1</v>
      </c>
      <c r="X542" s="2398" t="s">
        <v>360</v>
      </c>
      <c r="Y542" s="2375">
        <f t="shared" si="165"/>
        <v>5659423.25</v>
      </c>
      <c r="Z542" s="2375">
        <f t="shared" si="163"/>
        <v>0.2472156853739626</v>
      </c>
      <c r="AA542" s="2377" t="s">
        <v>3355</v>
      </c>
    </row>
    <row r="543" spans="1:27" ht="25" customHeight="1">
      <c r="A543" s="2555" t="s">
        <v>98</v>
      </c>
      <c r="B543" s="2728" t="s">
        <v>597</v>
      </c>
      <c r="C543" s="2734"/>
      <c r="D543" s="2735"/>
      <c r="E543" s="2397">
        <f>'7. Vol Kios 3x4'!$M$321</f>
        <v>1</v>
      </c>
      <c r="F543" s="2398" t="s">
        <v>360</v>
      </c>
      <c r="G543" s="2731">
        <v>750000</v>
      </c>
      <c r="H543" s="2389">
        <f>E543*G543</f>
        <v>750000</v>
      </c>
      <c r="I543" s="2480">
        <v>780127.4</v>
      </c>
      <c r="J543" s="2390">
        <f>E543*I543</f>
        <v>780127.4</v>
      </c>
      <c r="K543" s="2378" t="e">
        <f>IF(H543=0,"",IF(J543&lt;#REF!*H543,"Timpang &lt;"&amp;TEXT(#REF!,"0%"),IF(J543&gt;#REF!*H543,"Timpang &gt;"&amp;TEXT(#REF!,"0%"),"Wajar")))</f>
        <v>#REF!</v>
      </c>
      <c r="L543" s="2391">
        <v>780127.4</v>
      </c>
      <c r="M543" s="2391">
        <f>E543*L543</f>
        <v>780127.4</v>
      </c>
      <c r="N543" s="2375">
        <f t="shared" si="162"/>
        <v>3.4077629707233409E-2</v>
      </c>
      <c r="O543" s="2375">
        <v>0</v>
      </c>
      <c r="P543" s="2398"/>
      <c r="Q543" s="2375">
        <f t="shared" si="166"/>
        <v>0</v>
      </c>
      <c r="R543" s="2375">
        <f t="shared" si="150"/>
        <v>0</v>
      </c>
      <c r="S543" s="2375">
        <v>0</v>
      </c>
      <c r="T543" s="2398"/>
      <c r="U543" s="2375">
        <f t="shared" si="156"/>
        <v>0</v>
      </c>
      <c r="V543" s="2375"/>
      <c r="W543" s="2382">
        <f t="shared" si="157"/>
        <v>1</v>
      </c>
      <c r="X543" s="2398" t="s">
        <v>360</v>
      </c>
      <c r="Y543" s="2375">
        <f t="shared" si="165"/>
        <v>780127.4</v>
      </c>
      <c r="Z543" s="2375">
        <f t="shared" si="163"/>
        <v>3.4077629707233409E-2</v>
      </c>
      <c r="AA543" s="2377" t="s">
        <v>3355</v>
      </c>
    </row>
    <row r="544" spans="1:27" ht="25" customHeight="1">
      <c r="A544" s="2555" t="s">
        <v>101</v>
      </c>
      <c r="B544" s="2728" t="s">
        <v>598</v>
      </c>
      <c r="C544" s="2729"/>
      <c r="D544" s="2730"/>
      <c r="E544" s="2397"/>
      <c r="F544" s="2398"/>
      <c r="G544" s="2731"/>
      <c r="H544" s="2389"/>
      <c r="I544" s="2480"/>
      <c r="J544" s="2480"/>
      <c r="K544" s="2389"/>
      <c r="L544" s="2391"/>
      <c r="M544" s="2391"/>
      <c r="N544" s="2375">
        <f t="shared" si="162"/>
        <v>0</v>
      </c>
      <c r="O544" s="2375">
        <v>0</v>
      </c>
      <c r="P544" s="2398"/>
      <c r="Q544" s="2375">
        <f t="shared" si="166"/>
        <v>0</v>
      </c>
      <c r="R544" s="2375">
        <f t="shared" si="150"/>
        <v>0</v>
      </c>
      <c r="S544" s="2375">
        <v>0</v>
      </c>
      <c r="T544" s="2398"/>
      <c r="U544" s="2375">
        <f t="shared" si="156"/>
        <v>0</v>
      </c>
      <c r="V544" s="2375"/>
      <c r="W544" s="2382">
        <f t="shared" si="157"/>
        <v>0</v>
      </c>
      <c r="X544" s="2398"/>
      <c r="Y544" s="2375">
        <f t="shared" si="165"/>
        <v>0</v>
      </c>
      <c r="Z544" s="2375">
        <f t="shared" si="163"/>
        <v>0</v>
      </c>
      <c r="AA544" s="2377"/>
    </row>
    <row r="545" spans="1:27" ht="25" customHeight="1">
      <c r="A545" s="2555"/>
      <c r="B545" s="2728" t="s">
        <v>599</v>
      </c>
      <c r="C545" s="2729"/>
      <c r="D545" s="2730"/>
      <c r="E545" s="2397">
        <f>'7. Vol Kios 3x4'!$M$323</f>
        <v>2.3040000000000007</v>
      </c>
      <c r="F545" s="2398" t="s">
        <v>103</v>
      </c>
      <c r="G545" s="2731">
        <v>108675</v>
      </c>
      <c r="H545" s="2389">
        <f>E545*G545</f>
        <v>250387.20000000007</v>
      </c>
      <c r="I545" s="2480">
        <f>'Resume Analisa'!$D$19</f>
        <v>105018.5</v>
      </c>
      <c r="J545" s="2480">
        <f>I545*E545</f>
        <v>241962.62400000007</v>
      </c>
      <c r="K545" s="2378" t="e">
        <f>IF(H545=0,"",IF(J545&lt;#REF!*H545,"Timpang &lt;"&amp;TEXT(#REF!,"0%"),IF(J545&gt;#REF!*H545,"Timpang &gt;"&amp;TEXT(#REF!,"0%"),"Wajar")))</f>
        <v>#REF!</v>
      </c>
      <c r="L545" s="2391">
        <v>105018.5</v>
      </c>
      <c r="M545" s="2391">
        <f>E545*L545</f>
        <v>241962.62400000007</v>
      </c>
      <c r="N545" s="2375">
        <f t="shared" si="162"/>
        <v>1.0569443790414938E-2</v>
      </c>
      <c r="O545" s="2375">
        <v>0</v>
      </c>
      <c r="P545" s="2398"/>
      <c r="Q545" s="2375">
        <f t="shared" si="166"/>
        <v>0</v>
      </c>
      <c r="R545" s="2375">
        <f t="shared" si="150"/>
        <v>0</v>
      </c>
      <c r="S545" s="2386">
        <v>0</v>
      </c>
      <c r="T545" s="2398"/>
      <c r="U545" s="2375">
        <f t="shared" si="156"/>
        <v>0</v>
      </c>
      <c r="V545" s="2375"/>
      <c r="W545" s="2382">
        <f t="shared" si="157"/>
        <v>2.3040000000000007</v>
      </c>
      <c r="X545" s="2398" t="s">
        <v>103</v>
      </c>
      <c r="Y545" s="2375">
        <f t="shared" si="165"/>
        <v>241962.62400000007</v>
      </c>
      <c r="Z545" s="2375">
        <f t="shared" si="163"/>
        <v>1.0569443790414938E-2</v>
      </c>
      <c r="AA545" s="2377" t="s">
        <v>3355</v>
      </c>
    </row>
    <row r="546" spans="1:27" ht="25" customHeight="1">
      <c r="A546" s="2555"/>
      <c r="B546" s="2728" t="s">
        <v>600</v>
      </c>
      <c r="C546" s="2729"/>
      <c r="D546" s="2730"/>
      <c r="E546" s="2397">
        <f>'7. Vol Kios 3x4'!$M$324</f>
        <v>2.88</v>
      </c>
      <c r="F546" s="2398" t="s">
        <v>89</v>
      </c>
      <c r="G546" s="2731">
        <v>188325.18000000002</v>
      </c>
      <c r="H546" s="2389">
        <f>E546*G546</f>
        <v>542376.51840000006</v>
      </c>
      <c r="I546" s="2465">
        <f>'Resume Analisa'!$D$68</f>
        <v>181829.52000000002</v>
      </c>
      <c r="J546" s="2480">
        <f>I546*E546</f>
        <v>523669.01760000002</v>
      </c>
      <c r="K546" s="2378" t="e">
        <f>IF(H546=0,"",IF(J546&lt;#REF!*H546,"Timpang &lt;"&amp;TEXT(#REF!,"0%"),IF(J546&gt;#REF!*H546,"Timpang &gt;"&amp;TEXT(#REF!,"0%"),"Wajar")))</f>
        <v>#REF!</v>
      </c>
      <c r="L546" s="2391">
        <v>181829.52000000002</v>
      </c>
      <c r="M546" s="2391">
        <f>E546*L546</f>
        <v>523669.01760000002</v>
      </c>
      <c r="N546" s="2375">
        <f t="shared" si="162"/>
        <v>2.2874980254409084E-2</v>
      </c>
      <c r="O546" s="2375">
        <v>0</v>
      </c>
      <c r="P546" s="2398"/>
      <c r="Q546" s="2375">
        <f t="shared" si="166"/>
        <v>0</v>
      </c>
      <c r="R546" s="2375">
        <f t="shared" si="150"/>
        <v>0</v>
      </c>
      <c r="S546" s="2386">
        <v>0</v>
      </c>
      <c r="T546" s="2398"/>
      <c r="U546" s="2375">
        <f t="shared" si="156"/>
        <v>0</v>
      </c>
      <c r="V546" s="2375"/>
      <c r="W546" s="2382">
        <f t="shared" si="157"/>
        <v>2.88</v>
      </c>
      <c r="X546" s="2398" t="s">
        <v>89</v>
      </c>
      <c r="Y546" s="2375">
        <f t="shared" si="165"/>
        <v>523669.01760000002</v>
      </c>
      <c r="Z546" s="2375">
        <f t="shared" si="163"/>
        <v>2.2874980254409084E-2</v>
      </c>
      <c r="AA546" s="2377" t="s">
        <v>3355</v>
      </c>
    </row>
    <row r="547" spans="1:27" ht="25" customHeight="1">
      <c r="A547" s="2555"/>
      <c r="B547" s="2728" t="s">
        <v>601</v>
      </c>
      <c r="C547" s="2729"/>
      <c r="D547" s="2730"/>
      <c r="E547" s="2397">
        <f>'7. Vol Kios 3x4'!$M$325</f>
        <v>12.50262</v>
      </c>
      <c r="F547" s="2398" t="s">
        <v>100</v>
      </c>
      <c r="G547" s="2731">
        <v>25591.18</v>
      </c>
      <c r="H547" s="2389">
        <f>E547*G547</f>
        <v>319956.79889159999</v>
      </c>
      <c r="I547" s="2480">
        <f>'Resume Analisa'!$D$47</f>
        <v>26179.679999999997</v>
      </c>
      <c r="J547" s="2480">
        <f>I547*E547</f>
        <v>327314.59076159995</v>
      </c>
      <c r="K547" s="2378" t="e">
        <f>IF(H547=0,"",IF(J547&lt;#REF!*H547,"Timpang &lt;"&amp;TEXT(#REF!,"0%"),IF(J547&gt;#REF!*H547,"Timpang &gt;"&amp;TEXT(#REF!,"0%"),"Wajar")))</f>
        <v>#REF!</v>
      </c>
      <c r="L547" s="2391">
        <v>26179.679999999997</v>
      </c>
      <c r="M547" s="2391">
        <f>E547*L547</f>
        <v>327314.59076159995</v>
      </c>
      <c r="N547" s="2375">
        <f t="shared" si="162"/>
        <v>1.4297799848779116E-2</v>
      </c>
      <c r="O547" s="2375">
        <v>0</v>
      </c>
      <c r="P547" s="2398"/>
      <c r="Q547" s="2375">
        <f t="shared" si="166"/>
        <v>0</v>
      </c>
      <c r="R547" s="2375">
        <f t="shared" si="150"/>
        <v>0</v>
      </c>
      <c r="S547" s="2375">
        <v>0</v>
      </c>
      <c r="T547" s="2398"/>
      <c r="U547" s="2375">
        <f t="shared" si="156"/>
        <v>0</v>
      </c>
      <c r="V547" s="2375"/>
      <c r="W547" s="2382">
        <f t="shared" si="157"/>
        <v>12.50262</v>
      </c>
      <c r="X547" s="2398" t="s">
        <v>100</v>
      </c>
      <c r="Y547" s="2375">
        <f t="shared" si="165"/>
        <v>327314.59076159995</v>
      </c>
      <c r="Z547" s="2375">
        <f t="shared" si="163"/>
        <v>1.4297799848779116E-2</v>
      </c>
      <c r="AA547" s="2377" t="s">
        <v>3355</v>
      </c>
    </row>
    <row r="548" spans="1:27" ht="25" customHeight="1">
      <c r="A548" s="2555"/>
      <c r="B548" s="2728" t="s">
        <v>602</v>
      </c>
      <c r="C548" s="2729"/>
      <c r="D548" s="2730"/>
      <c r="E548" s="2397">
        <f>'7. Vol Kios 3x4'!$M$326</f>
        <v>0.432</v>
      </c>
      <c r="F548" s="2398" t="s">
        <v>103</v>
      </c>
      <c r="G548" s="2731">
        <v>1584129.98</v>
      </c>
      <c r="H548" s="2389">
        <f>E548*G548</f>
        <v>684344.15136000002</v>
      </c>
      <c r="I548" s="2465">
        <f>'Resume Analisa'!$D$55</f>
        <v>1535009.1300000001</v>
      </c>
      <c r="J548" s="2480">
        <f>I548*E548</f>
        <v>663123.94416000007</v>
      </c>
      <c r="K548" s="2378" t="e">
        <f>IF(H548=0,"",IF(J548&lt;#REF!*H548,"Timpang &lt;"&amp;TEXT(#REF!,"0%"),IF(J548&gt;#REF!*H548,"Timpang &gt;"&amp;TEXT(#REF!,"0%"),"Wajar")))</f>
        <v>#REF!</v>
      </c>
      <c r="L548" s="2391">
        <v>1535009.1300000001</v>
      </c>
      <c r="M548" s="2391">
        <f>E548*L548</f>
        <v>663123.94416000007</v>
      </c>
      <c r="N548" s="2375">
        <f t="shared" si="162"/>
        <v>2.8966669058264852E-2</v>
      </c>
      <c r="O548" s="2375">
        <v>0</v>
      </c>
      <c r="P548" s="2398"/>
      <c r="Q548" s="2375">
        <f t="shared" si="166"/>
        <v>0</v>
      </c>
      <c r="R548" s="2375">
        <f t="shared" si="150"/>
        <v>0</v>
      </c>
      <c r="S548" s="2375">
        <v>0</v>
      </c>
      <c r="T548" s="2398"/>
      <c r="U548" s="2375">
        <f t="shared" si="156"/>
        <v>0</v>
      </c>
      <c r="V548" s="2375"/>
      <c r="W548" s="2382">
        <f t="shared" si="157"/>
        <v>0.432</v>
      </c>
      <c r="X548" s="2398" t="s">
        <v>103</v>
      </c>
      <c r="Y548" s="2375">
        <f t="shared" si="165"/>
        <v>663123.94416000007</v>
      </c>
      <c r="Z548" s="2375">
        <f t="shared" si="163"/>
        <v>2.8966669058264852E-2</v>
      </c>
      <c r="AA548" s="2377" t="s">
        <v>3355</v>
      </c>
    </row>
    <row r="549" spans="1:27" ht="25" customHeight="1">
      <c r="A549" s="2555" t="s">
        <v>121</v>
      </c>
      <c r="B549" s="2728" t="s">
        <v>603</v>
      </c>
      <c r="C549" s="2729"/>
      <c r="D549" s="2730"/>
      <c r="E549" s="2397"/>
      <c r="F549" s="2398"/>
      <c r="G549" s="2731"/>
      <c r="H549" s="2389"/>
      <c r="I549" s="2480"/>
      <c r="J549" s="2390"/>
      <c r="K549" s="2389"/>
      <c r="L549" s="2391"/>
      <c r="M549" s="2391"/>
      <c r="N549" s="2375">
        <f t="shared" si="162"/>
        <v>0</v>
      </c>
      <c r="O549" s="2375">
        <v>0</v>
      </c>
      <c r="P549" s="2398"/>
      <c r="Q549" s="2375">
        <f t="shared" si="166"/>
        <v>0</v>
      </c>
      <c r="R549" s="2375">
        <f t="shared" si="150"/>
        <v>0</v>
      </c>
      <c r="S549" s="2375">
        <v>0</v>
      </c>
      <c r="T549" s="2398"/>
      <c r="U549" s="2375">
        <f t="shared" si="156"/>
        <v>0</v>
      </c>
      <c r="V549" s="2375"/>
      <c r="W549" s="2382">
        <f t="shared" si="157"/>
        <v>0</v>
      </c>
      <c r="X549" s="2398"/>
      <c r="Y549" s="2375">
        <f t="shared" si="165"/>
        <v>0</v>
      </c>
      <c r="Z549" s="2375">
        <f t="shared" si="163"/>
        <v>0</v>
      </c>
      <c r="AA549" s="2377"/>
    </row>
    <row r="550" spans="1:27" ht="25" customHeight="1">
      <c r="A550" s="2555"/>
      <c r="B550" s="2728" t="s">
        <v>604</v>
      </c>
      <c r="C550" s="2729"/>
      <c r="D550" s="2730"/>
      <c r="E550" s="2397">
        <f>'7. Vol Kios 3x4'!$M$328</f>
        <v>3.2</v>
      </c>
      <c r="F550" s="2398" t="s">
        <v>89</v>
      </c>
      <c r="G550" s="2731">
        <v>249883.29</v>
      </c>
      <c r="H550" s="2389">
        <f t="shared" ref="H550:H555" si="167">E550*G550</f>
        <v>799626.52800000005</v>
      </c>
      <c r="I550" s="2480">
        <f>'Resume Analisa'!$D$40</f>
        <v>245946.97</v>
      </c>
      <c r="J550" s="2480">
        <f>I550*E550</f>
        <v>787030.304</v>
      </c>
      <c r="K550" s="2378" t="e">
        <f>IF(H550=0,"",IF(J550&lt;#REF!*H550,"Timpang &lt;"&amp;TEXT(#REF!,"0%"),IF(J550&gt;#REF!*H550,"Timpang &gt;"&amp;TEXT(#REF!,"0%"),"Wajar")))</f>
        <v>#REF!</v>
      </c>
      <c r="L550" s="2391">
        <v>245946.97</v>
      </c>
      <c r="M550" s="2391">
        <f t="shared" ref="M550:M555" si="168">E550*L550</f>
        <v>787030.304</v>
      </c>
      <c r="N550" s="2375">
        <f t="shared" si="162"/>
        <v>3.4379163285488172E-2</v>
      </c>
      <c r="O550" s="2375">
        <v>0</v>
      </c>
      <c r="P550" s="2398"/>
      <c r="Q550" s="2375">
        <f t="shared" si="166"/>
        <v>0</v>
      </c>
      <c r="R550" s="2375">
        <f t="shared" si="150"/>
        <v>0</v>
      </c>
      <c r="S550" s="2375">
        <v>0</v>
      </c>
      <c r="T550" s="2398"/>
      <c r="U550" s="2375">
        <f t="shared" si="156"/>
        <v>0</v>
      </c>
      <c r="V550" s="2375"/>
      <c r="W550" s="2382">
        <f t="shared" si="157"/>
        <v>3.2</v>
      </c>
      <c r="X550" s="2398" t="s">
        <v>89</v>
      </c>
      <c r="Y550" s="2375">
        <f t="shared" si="165"/>
        <v>787030.304</v>
      </c>
      <c r="Z550" s="2375">
        <f t="shared" si="163"/>
        <v>3.4379163285488172E-2</v>
      </c>
      <c r="AA550" s="2377" t="s">
        <v>3355</v>
      </c>
    </row>
    <row r="551" spans="1:27" ht="25" customHeight="1">
      <c r="A551" s="2555"/>
      <c r="B551" s="2728" t="s">
        <v>605</v>
      </c>
      <c r="C551" s="2729"/>
      <c r="D551" s="2730"/>
      <c r="E551" s="2397">
        <f>'7. Vol Kios 3x4'!$M$329</f>
        <v>22.504716000000002</v>
      </c>
      <c r="F551" s="2398" t="s">
        <v>100</v>
      </c>
      <c r="G551" s="2736">
        <v>25591.18</v>
      </c>
      <c r="H551" s="2389">
        <f t="shared" si="167"/>
        <v>575922.23800488003</v>
      </c>
      <c r="I551" s="2474">
        <f>'Resume Analisa'!$D$47</f>
        <v>26179.679999999997</v>
      </c>
      <c r="J551" s="2480">
        <f>I551*E551</f>
        <v>589166.26337087993</v>
      </c>
      <c r="K551" s="2378" t="e">
        <f>IF(H551=0,"",IF(J551&lt;#REF!*H551,"Timpang &lt;"&amp;TEXT(#REF!,"0%"),IF(J551&gt;#REF!*H551,"Timpang &gt;"&amp;TEXT(#REF!,"0%"),"Wajar")))</f>
        <v>#REF!</v>
      </c>
      <c r="L551" s="2475">
        <v>26179.679999999997</v>
      </c>
      <c r="M551" s="2391">
        <f t="shared" si="168"/>
        <v>589166.26337087993</v>
      </c>
      <c r="N551" s="2375">
        <f t="shared" si="162"/>
        <v>2.5736039727802411E-2</v>
      </c>
      <c r="O551" s="2375">
        <v>0</v>
      </c>
      <c r="P551" s="2398"/>
      <c r="Q551" s="2375">
        <f t="shared" si="166"/>
        <v>0</v>
      </c>
      <c r="R551" s="2375">
        <f t="shared" si="150"/>
        <v>0</v>
      </c>
      <c r="S551" s="2375">
        <v>0</v>
      </c>
      <c r="T551" s="2398"/>
      <c r="U551" s="2375">
        <f t="shared" si="156"/>
        <v>0</v>
      </c>
      <c r="V551" s="2375"/>
      <c r="W551" s="2382">
        <f t="shared" si="157"/>
        <v>22.504716000000002</v>
      </c>
      <c r="X551" s="2398" t="s">
        <v>100</v>
      </c>
      <c r="Y551" s="2375">
        <f t="shared" si="165"/>
        <v>589166.26337087993</v>
      </c>
      <c r="Z551" s="2375">
        <f t="shared" si="163"/>
        <v>2.5736039727802411E-2</v>
      </c>
      <c r="AA551" s="2377" t="s">
        <v>3355</v>
      </c>
    </row>
    <row r="552" spans="1:27" ht="25" customHeight="1">
      <c r="A552" s="2555"/>
      <c r="B552" s="2728" t="s">
        <v>606</v>
      </c>
      <c r="C552" s="2729"/>
      <c r="D552" s="2730"/>
      <c r="E552" s="2397">
        <f>'7. Vol Kios 3x4'!$M$330</f>
        <v>9.8482176000000017</v>
      </c>
      <c r="F552" s="2398" t="s">
        <v>100</v>
      </c>
      <c r="G552" s="2731">
        <v>19151.18</v>
      </c>
      <c r="H552" s="2389">
        <f t="shared" si="167"/>
        <v>188604.98793676804</v>
      </c>
      <c r="I552" s="2480">
        <f>'Resume Analisa'!$D$48</f>
        <v>18790.969999999998</v>
      </c>
      <c r="J552" s="2480">
        <f>I552*E552</f>
        <v>185057.561475072</v>
      </c>
      <c r="K552" s="2378" t="e">
        <f>IF(H552=0,"",IF(J552&lt;#REF!*H552,"Timpang &lt;"&amp;TEXT(#REF!,"0%"),IF(J552&gt;#REF!*H552,"Timpang &gt;"&amp;TEXT(#REF!,"0%"),"Wajar")))</f>
        <v>#REF!</v>
      </c>
      <c r="L552" s="2391">
        <v>18790.969999999998</v>
      </c>
      <c r="M552" s="2391">
        <f t="shared" si="168"/>
        <v>185057.561475072</v>
      </c>
      <c r="N552" s="2375">
        <f t="shared" si="162"/>
        <v>8.0837092178419664E-3</v>
      </c>
      <c r="O552" s="2375">
        <v>0</v>
      </c>
      <c r="P552" s="2398"/>
      <c r="Q552" s="2375">
        <f t="shared" si="166"/>
        <v>0</v>
      </c>
      <c r="R552" s="2375">
        <f t="shared" si="150"/>
        <v>0</v>
      </c>
      <c r="S552" s="2386">
        <v>0</v>
      </c>
      <c r="T552" s="2398"/>
      <c r="U552" s="2375">
        <f t="shared" si="156"/>
        <v>0</v>
      </c>
      <c r="V552" s="2375"/>
      <c r="W552" s="2382">
        <f t="shared" si="157"/>
        <v>9.8482176000000017</v>
      </c>
      <c r="X552" s="2398" t="s">
        <v>100</v>
      </c>
      <c r="Y552" s="2375">
        <f t="shared" si="165"/>
        <v>185057.561475072</v>
      </c>
      <c r="Z552" s="2375">
        <f t="shared" si="163"/>
        <v>8.0837092178419664E-3</v>
      </c>
      <c r="AA552" s="2377" t="s">
        <v>3355</v>
      </c>
    </row>
    <row r="553" spans="1:27" ht="25" customHeight="1">
      <c r="A553" s="2555"/>
      <c r="B553" s="2728" t="s">
        <v>602</v>
      </c>
      <c r="C553" s="2729"/>
      <c r="D553" s="2730"/>
      <c r="E553" s="2397">
        <f>'7. Vol Kios 3x4'!$M$331</f>
        <v>0.2</v>
      </c>
      <c r="F553" s="2398" t="s">
        <v>103</v>
      </c>
      <c r="G553" s="2731">
        <v>1584129.98</v>
      </c>
      <c r="H553" s="2389">
        <f t="shared" si="167"/>
        <v>316825.99600000004</v>
      </c>
      <c r="I553" s="2465">
        <f>'Resume Analisa'!$D$55</f>
        <v>1535009.1300000001</v>
      </c>
      <c r="J553" s="2480">
        <f>I553*E553</f>
        <v>307001.82600000006</v>
      </c>
      <c r="K553" s="2378" t="e">
        <f>IF(H553=0,"",IF(J553&lt;#REF!*H553,"Timpang &lt;"&amp;TEXT(#REF!,"0%"),IF(J553&gt;#REF!*H553,"Timpang &gt;"&amp;TEXT(#REF!,"0%"),"Wajar")))</f>
        <v>#REF!</v>
      </c>
      <c r="L553" s="2391">
        <v>1535009.1300000001</v>
      </c>
      <c r="M553" s="2391">
        <f t="shared" si="168"/>
        <v>307001.82600000006</v>
      </c>
      <c r="N553" s="2375">
        <f t="shared" si="162"/>
        <v>1.3410494934381878E-2</v>
      </c>
      <c r="O553" s="2375">
        <v>0</v>
      </c>
      <c r="P553" s="2398"/>
      <c r="Q553" s="2375">
        <f t="shared" si="166"/>
        <v>0</v>
      </c>
      <c r="R553" s="2375">
        <f t="shared" si="150"/>
        <v>0</v>
      </c>
      <c r="S553" s="2386">
        <v>0</v>
      </c>
      <c r="T553" s="2398"/>
      <c r="U553" s="2375">
        <f t="shared" si="156"/>
        <v>0</v>
      </c>
      <c r="V553" s="2375"/>
      <c r="W553" s="2382">
        <f t="shared" si="157"/>
        <v>0.2</v>
      </c>
      <c r="X553" s="2398" t="s">
        <v>103</v>
      </c>
      <c r="Y553" s="2375">
        <f t="shared" si="165"/>
        <v>307001.82600000006</v>
      </c>
      <c r="Z553" s="2375">
        <f t="shared" si="163"/>
        <v>1.3410494934381878E-2</v>
      </c>
      <c r="AA553" s="2377" t="s">
        <v>3355</v>
      </c>
    </row>
    <row r="554" spans="1:27" ht="25" customHeight="1">
      <c r="A554" s="2555"/>
      <c r="B554" s="2728" t="s">
        <v>607</v>
      </c>
      <c r="C554" s="2729"/>
      <c r="D554" s="2730"/>
      <c r="E554" s="2397">
        <f>'7. Vol Kios 3x4'!$M$332</f>
        <v>11.2</v>
      </c>
      <c r="F554" s="2398" t="s">
        <v>100</v>
      </c>
      <c r="G554" s="2736">
        <v>25591.18</v>
      </c>
      <c r="H554" s="2389">
        <f t="shared" si="167"/>
        <v>286621.21599999996</v>
      </c>
      <c r="I554" s="2474">
        <f>'Resume Analisa'!$D$47</f>
        <v>26179.679999999997</v>
      </c>
      <c r="J554" s="2480">
        <f>I554*E554</f>
        <v>293212.41599999997</v>
      </c>
      <c r="K554" s="2378" t="e">
        <f>IF(H554=0,"",IF(J554&lt;#REF!*H554,"Timpang &lt;"&amp;TEXT(#REF!,"0%"),IF(J554&gt;#REF!*H554,"Timpang &gt;"&amp;TEXT(#REF!,"0%"),"Wajar")))</f>
        <v>#REF!</v>
      </c>
      <c r="L554" s="2475">
        <v>26179.679999999997</v>
      </c>
      <c r="M554" s="2391">
        <f t="shared" si="168"/>
        <v>293212.41599999997</v>
      </c>
      <c r="N554" s="2375">
        <f t="shared" si="162"/>
        <v>1.2808144077507442E-2</v>
      </c>
      <c r="O554" s="2375">
        <v>0</v>
      </c>
      <c r="P554" s="2398"/>
      <c r="Q554" s="2375">
        <f t="shared" si="166"/>
        <v>0</v>
      </c>
      <c r="R554" s="2375">
        <f t="shared" si="150"/>
        <v>0</v>
      </c>
      <c r="S554" s="2375">
        <v>0</v>
      </c>
      <c r="T554" s="2398"/>
      <c r="U554" s="2375">
        <f t="shared" si="156"/>
        <v>0</v>
      </c>
      <c r="V554" s="2375"/>
      <c r="W554" s="2382">
        <f t="shared" si="157"/>
        <v>11.2</v>
      </c>
      <c r="X554" s="2398" t="s">
        <v>100</v>
      </c>
      <c r="Y554" s="2375">
        <f t="shared" si="165"/>
        <v>293212.41599999997</v>
      </c>
      <c r="Z554" s="2375">
        <f t="shared" si="163"/>
        <v>1.2808144077507442E-2</v>
      </c>
      <c r="AA554" s="2377" t="s">
        <v>3355</v>
      </c>
    </row>
    <row r="555" spans="1:27" ht="53.5" customHeight="1">
      <c r="A555" s="2398">
        <f>A541+1</f>
        <v>11</v>
      </c>
      <c r="B555" s="3193" t="s">
        <v>608</v>
      </c>
      <c r="C555" s="3194"/>
      <c r="D555" s="3195"/>
      <c r="E555" s="2397">
        <f>'7. Vol Kios 3x4'!$M$333</f>
        <v>1</v>
      </c>
      <c r="F555" s="2398" t="s">
        <v>360</v>
      </c>
      <c r="G555" s="2731">
        <v>6676457.25</v>
      </c>
      <c r="H555" s="2389">
        <f t="shared" si="167"/>
        <v>6676457.25</v>
      </c>
      <c r="I555" s="2390">
        <f>'Resume Analisa'!$D$250</f>
        <v>7070515.5599999996</v>
      </c>
      <c r="J555" s="2390">
        <f>E555*I555</f>
        <v>7070515.5599999996</v>
      </c>
      <c r="K555" s="2378" t="e">
        <f>IF(H555=0,"",IF(J555&lt;#REF!*H555,"Timpang &lt;"&amp;TEXT(#REF!,"0%"),IF(J555&gt;#REF!*H555,"Timpang &gt;"&amp;TEXT(#REF!,"0%"),"Wajar")))</f>
        <v>#REF!</v>
      </c>
      <c r="L555" s="2391">
        <v>7070515.5599999996</v>
      </c>
      <c r="M555" s="2391">
        <f t="shared" si="168"/>
        <v>7070515.5599999996</v>
      </c>
      <c r="N555" s="2375">
        <f t="shared" si="162"/>
        <v>0.30885520889653673</v>
      </c>
      <c r="O555" s="2375">
        <v>0</v>
      </c>
      <c r="P555" s="2398"/>
      <c r="Q555" s="2375">
        <f t="shared" si="166"/>
        <v>0</v>
      </c>
      <c r="R555" s="2375">
        <f t="shared" ref="R555:R618" si="169">Q555/$M$8*100</f>
        <v>0</v>
      </c>
      <c r="S555" s="2375">
        <v>0</v>
      </c>
      <c r="T555" s="2398"/>
      <c r="U555" s="2375">
        <f t="shared" si="156"/>
        <v>0</v>
      </c>
      <c r="V555" s="2375"/>
      <c r="W555" s="2382">
        <f t="shared" si="157"/>
        <v>1</v>
      </c>
      <c r="X555" s="2398" t="s">
        <v>360</v>
      </c>
      <c r="Y555" s="2375">
        <f t="shared" si="165"/>
        <v>7070515.5599999996</v>
      </c>
      <c r="Z555" s="2375">
        <f t="shared" si="163"/>
        <v>0.30885520889653673</v>
      </c>
      <c r="AA555" s="2377" t="s">
        <v>3355</v>
      </c>
    </row>
    <row r="556" spans="1:27" ht="25" customHeight="1">
      <c r="A556" s="2398">
        <f>A555+1</f>
        <v>12</v>
      </c>
      <c r="B556" s="2549" t="s">
        <v>609</v>
      </c>
      <c r="C556" s="2550"/>
      <c r="D556" s="2733"/>
      <c r="E556" s="2397"/>
      <c r="F556" s="2398"/>
      <c r="G556" s="2731"/>
      <c r="H556" s="2389"/>
      <c r="I556" s="2390"/>
      <c r="J556" s="2390"/>
      <c r="K556" s="2389"/>
      <c r="L556" s="2391"/>
      <c r="M556" s="2391"/>
      <c r="N556" s="2375">
        <f t="shared" si="162"/>
        <v>0</v>
      </c>
      <c r="O556" s="2375">
        <v>0</v>
      </c>
      <c r="P556" s="2398"/>
      <c r="Q556" s="2375">
        <f t="shared" si="166"/>
        <v>0</v>
      </c>
      <c r="R556" s="2375">
        <f t="shared" si="169"/>
        <v>0</v>
      </c>
      <c r="S556" s="2375">
        <v>0</v>
      </c>
      <c r="T556" s="2398"/>
      <c r="U556" s="2375">
        <f t="shared" si="156"/>
        <v>0</v>
      </c>
      <c r="V556" s="2375"/>
      <c r="W556" s="2382">
        <f t="shared" si="157"/>
        <v>0</v>
      </c>
      <c r="X556" s="2398"/>
      <c r="Y556" s="2375">
        <f t="shared" si="165"/>
        <v>0</v>
      </c>
      <c r="Z556" s="2375">
        <f t="shared" si="163"/>
        <v>0</v>
      </c>
      <c r="AA556" s="2377"/>
    </row>
    <row r="557" spans="1:27" ht="25" customHeight="1">
      <c r="A557" s="2555" t="s">
        <v>95</v>
      </c>
      <c r="B557" s="2549" t="s">
        <v>610</v>
      </c>
      <c r="C557" s="2550"/>
      <c r="D557" s="2733"/>
      <c r="E557" s="2397">
        <f>'7. Vol Kios 3x4'!$M$335</f>
        <v>3.9375000000000004</v>
      </c>
      <c r="F557" s="2398" t="s">
        <v>103</v>
      </c>
      <c r="G557" s="2731">
        <v>102206.25</v>
      </c>
      <c r="H557" s="2389">
        <f t="shared" ref="H557:H568" si="170">E557*G557</f>
        <v>402437.10937500006</v>
      </c>
      <c r="I557" s="2465">
        <f>'Resume Analisa'!$D$22</f>
        <v>102740.72</v>
      </c>
      <c r="J557" s="2390">
        <f t="shared" ref="J557:J568" si="171">E557*I557</f>
        <v>404541.58500000008</v>
      </c>
      <c r="K557" s="2378" t="e">
        <f>IF(H557=0,"",IF(J557&lt;#REF!*H557,"Timpang &lt;"&amp;TEXT(#REF!,"0%"),IF(J557&gt;#REF!*H557,"Timpang &gt;"&amp;TEXT(#REF!,"0%"),"Wajar")))</f>
        <v>#REF!</v>
      </c>
      <c r="L557" s="2391">
        <v>102740.72</v>
      </c>
      <c r="M557" s="2391">
        <f t="shared" ref="M557:M568" si="172">E557*L557</f>
        <v>404541.58500000008</v>
      </c>
      <c r="N557" s="2375">
        <f t="shared" si="162"/>
        <v>1.7671239767770359E-2</v>
      </c>
      <c r="O557" s="2375">
        <v>0</v>
      </c>
      <c r="P557" s="2398"/>
      <c r="Q557" s="2375">
        <f t="shared" si="166"/>
        <v>0</v>
      </c>
      <c r="R557" s="2375">
        <f t="shared" si="169"/>
        <v>0</v>
      </c>
      <c r="S557" s="2375">
        <v>0</v>
      </c>
      <c r="T557" s="2398"/>
      <c r="U557" s="2375">
        <f t="shared" si="156"/>
        <v>0</v>
      </c>
      <c r="V557" s="2375"/>
      <c r="W557" s="2382">
        <f t="shared" si="157"/>
        <v>3.9375000000000004</v>
      </c>
      <c r="X557" s="2398" t="s">
        <v>103</v>
      </c>
      <c r="Y557" s="2375">
        <f t="shared" si="165"/>
        <v>404541.58500000008</v>
      </c>
      <c r="Z557" s="2375">
        <f t="shared" si="163"/>
        <v>1.7671239767770359E-2</v>
      </c>
      <c r="AA557" s="2377" t="s">
        <v>3355</v>
      </c>
    </row>
    <row r="558" spans="1:27" ht="25" customHeight="1">
      <c r="A558" s="2555" t="s">
        <v>98</v>
      </c>
      <c r="B558" s="2549" t="s">
        <v>611</v>
      </c>
      <c r="C558" s="2550"/>
      <c r="D558" s="2733"/>
      <c r="E558" s="2397">
        <f>'7. Vol Kios 3x4'!$M$336</f>
        <v>0.22500000000000001</v>
      </c>
      <c r="F558" s="2398" t="s">
        <v>103</v>
      </c>
      <c r="G558" s="2731">
        <v>507759.96</v>
      </c>
      <c r="H558" s="2389">
        <f t="shared" si="170"/>
        <v>114245.99100000001</v>
      </c>
      <c r="I558" s="2480">
        <f>'Resume Analisa'!$D$26</f>
        <v>475358.64</v>
      </c>
      <c r="J558" s="2390">
        <f t="shared" si="171"/>
        <v>106955.694</v>
      </c>
      <c r="K558" s="2378" t="e">
        <f>IF(H558=0,"",IF(J558&lt;#REF!*H558,"Timpang &lt;"&amp;TEXT(#REF!,"0%"),IF(J558&gt;#REF!*H558,"Timpang &gt;"&amp;TEXT(#REF!,"0%"),"Wajar")))</f>
        <v>#REF!</v>
      </c>
      <c r="L558" s="2391">
        <v>475358.64</v>
      </c>
      <c r="M558" s="2391">
        <f t="shared" si="172"/>
        <v>106955.694</v>
      </c>
      <c r="N558" s="2375">
        <f t="shared" si="162"/>
        <v>4.6720529687999243E-3</v>
      </c>
      <c r="O558" s="2375">
        <v>0</v>
      </c>
      <c r="P558" s="2398"/>
      <c r="Q558" s="2375">
        <f t="shared" si="166"/>
        <v>0</v>
      </c>
      <c r="R558" s="2375">
        <f t="shared" si="169"/>
        <v>0</v>
      </c>
      <c r="S558" s="2375">
        <v>0</v>
      </c>
      <c r="T558" s="2398"/>
      <c r="U558" s="2375">
        <f t="shared" si="156"/>
        <v>0</v>
      </c>
      <c r="V558" s="2375"/>
      <c r="W558" s="2382">
        <f t="shared" si="157"/>
        <v>0.22500000000000001</v>
      </c>
      <c r="X558" s="2398" t="s">
        <v>103</v>
      </c>
      <c r="Y558" s="2375">
        <f t="shared" si="165"/>
        <v>106955.694</v>
      </c>
      <c r="Z558" s="2375">
        <f t="shared" si="163"/>
        <v>4.6720529687999243E-3</v>
      </c>
      <c r="AA558" s="2377" t="s">
        <v>3355</v>
      </c>
    </row>
    <row r="559" spans="1:27" ht="25" customHeight="1">
      <c r="A559" s="2555" t="s">
        <v>101</v>
      </c>
      <c r="B559" s="2549" t="s">
        <v>496</v>
      </c>
      <c r="C559" s="2550"/>
      <c r="D559" s="2733"/>
      <c r="E559" s="2397">
        <f>'7. Vol Kios 3x4'!$M$337</f>
        <v>0.1125</v>
      </c>
      <c r="F559" s="2398" t="s">
        <v>103</v>
      </c>
      <c r="G559" s="2731">
        <v>1422226.08</v>
      </c>
      <c r="H559" s="2389">
        <f t="shared" si="170"/>
        <v>160000.43400000001</v>
      </c>
      <c r="I559" s="2480">
        <f>'Resume Analisa'!$D$54</f>
        <v>1384580.76</v>
      </c>
      <c r="J559" s="2390">
        <f t="shared" si="171"/>
        <v>155765.33550000002</v>
      </c>
      <c r="K559" s="2378" t="e">
        <f>IF(H559=0,"",IF(J559&lt;#REF!*H559,"Timpang &lt;"&amp;TEXT(#REF!,"0%"),IF(J559&gt;#REF!*H559,"Timpang &gt;"&amp;TEXT(#REF!,"0%"),"Wajar")))</f>
        <v>#REF!</v>
      </c>
      <c r="L559" s="2391">
        <v>1384580.76</v>
      </c>
      <c r="M559" s="2391">
        <f t="shared" si="172"/>
        <v>155765.33550000002</v>
      </c>
      <c r="N559" s="2375">
        <f t="shared" si="162"/>
        <v>6.8041622745105218E-3</v>
      </c>
      <c r="O559" s="2375">
        <v>0</v>
      </c>
      <c r="P559" s="2398"/>
      <c r="Q559" s="2375">
        <f t="shared" si="166"/>
        <v>0</v>
      </c>
      <c r="R559" s="2375">
        <f t="shared" si="169"/>
        <v>0</v>
      </c>
      <c r="S559" s="2386">
        <v>0</v>
      </c>
      <c r="T559" s="2398"/>
      <c r="U559" s="2375">
        <f t="shared" si="156"/>
        <v>0</v>
      </c>
      <c r="V559" s="2375"/>
      <c r="W559" s="2382">
        <f t="shared" si="157"/>
        <v>0.1125</v>
      </c>
      <c r="X559" s="2398" t="s">
        <v>103</v>
      </c>
      <c r="Y559" s="2375">
        <f t="shared" si="165"/>
        <v>155765.33550000002</v>
      </c>
      <c r="Z559" s="2375">
        <f t="shared" si="163"/>
        <v>6.8041622745105218E-3</v>
      </c>
      <c r="AA559" s="2377" t="s">
        <v>3355</v>
      </c>
    </row>
    <row r="560" spans="1:27" ht="55" customHeight="1">
      <c r="A560" s="2555" t="s">
        <v>121</v>
      </c>
      <c r="B560" s="3193" t="s">
        <v>612</v>
      </c>
      <c r="C560" s="3194"/>
      <c r="D560" s="3195"/>
      <c r="E560" s="2397">
        <f>'7. Vol Kios 3x4'!M$338</f>
        <v>1</v>
      </c>
      <c r="F560" s="2398" t="s">
        <v>360</v>
      </c>
      <c r="G560" s="2731">
        <v>8169600</v>
      </c>
      <c r="H560" s="2389">
        <f t="shared" si="170"/>
        <v>8169600</v>
      </c>
      <c r="I560" s="2390">
        <f>'Resume Analisa'!$D$195</f>
        <v>8240042.7000000002</v>
      </c>
      <c r="J560" s="2390">
        <f t="shared" si="171"/>
        <v>8240042.7000000002</v>
      </c>
      <c r="K560" s="2378" t="e">
        <f>IF(H560=0,"",IF(J560&lt;#REF!*H560,"Timpang &lt;"&amp;TEXT(#REF!,"0%"),IF(J560&gt;#REF!*H560,"Timpang &gt;"&amp;TEXT(#REF!,"0%"),"Wajar")))</f>
        <v>#REF!</v>
      </c>
      <c r="L560" s="2391">
        <v>8240042.7000000002</v>
      </c>
      <c r="M560" s="2391">
        <f t="shared" si="172"/>
        <v>8240042.7000000002</v>
      </c>
      <c r="N560" s="2375">
        <f t="shared" si="162"/>
        <v>0.35994265026762529</v>
      </c>
      <c r="O560" s="2375">
        <v>0</v>
      </c>
      <c r="P560" s="2398"/>
      <c r="Q560" s="2375">
        <f t="shared" si="166"/>
        <v>0</v>
      </c>
      <c r="R560" s="2375">
        <f t="shared" si="169"/>
        <v>0</v>
      </c>
      <c r="S560" s="2386">
        <v>0</v>
      </c>
      <c r="T560" s="2398"/>
      <c r="U560" s="2375">
        <f t="shared" si="156"/>
        <v>0</v>
      </c>
      <c r="V560" s="2375"/>
      <c r="W560" s="2382">
        <f t="shared" si="157"/>
        <v>1</v>
      </c>
      <c r="X560" s="2398" t="s">
        <v>360</v>
      </c>
      <c r="Y560" s="2375">
        <f t="shared" si="165"/>
        <v>8240042.7000000002</v>
      </c>
      <c r="Z560" s="2375">
        <f t="shared" si="163"/>
        <v>0.35994265026762529</v>
      </c>
      <c r="AA560" s="2377" t="s">
        <v>3355</v>
      </c>
    </row>
    <row r="561" spans="1:27" s="399" customFormat="1" ht="25" customHeight="1">
      <c r="A561" s="2398">
        <f>A556+1</f>
        <v>13</v>
      </c>
      <c r="B561" s="2549" t="s">
        <v>545</v>
      </c>
      <c r="C561" s="2550"/>
      <c r="D561" s="2551"/>
      <c r="E561" s="2397">
        <f>'7. Vol Kios 3x4'!$M$339</f>
        <v>4</v>
      </c>
      <c r="F561" s="2398" t="s">
        <v>357</v>
      </c>
      <c r="G561" s="2567">
        <v>464132.64</v>
      </c>
      <c r="H561" s="2567">
        <f t="shared" si="170"/>
        <v>1856530.56</v>
      </c>
      <c r="I561" s="2465">
        <f>'Resume Analisa'!$D$133</f>
        <v>479653.13</v>
      </c>
      <c r="J561" s="2567">
        <f t="shared" si="171"/>
        <v>1918612.52</v>
      </c>
      <c r="K561" s="2378" t="e">
        <f>IF(H561=0,"",IF(J561&lt;#REF!*H561,"Timpang &lt;"&amp;TEXT(#REF!,"0%"),IF(J561&gt;#REF!*H561,"Timpang &gt;"&amp;TEXT(#REF!,"0%"),"Wajar")))</f>
        <v>#REF!</v>
      </c>
      <c r="L561" s="2391">
        <v>479653.13</v>
      </c>
      <c r="M561" s="2391">
        <f t="shared" si="172"/>
        <v>1918612.52</v>
      </c>
      <c r="N561" s="2375">
        <f t="shared" si="162"/>
        <v>8.380908939773421E-2</v>
      </c>
      <c r="O561" s="2375">
        <v>0</v>
      </c>
      <c r="P561" s="2398"/>
      <c r="Q561" s="2375">
        <f t="shared" si="166"/>
        <v>0</v>
      </c>
      <c r="R561" s="2375">
        <f t="shared" si="169"/>
        <v>0</v>
      </c>
      <c r="S561" s="2375">
        <v>0</v>
      </c>
      <c r="T561" s="2398"/>
      <c r="U561" s="2375">
        <f t="shared" si="156"/>
        <v>0</v>
      </c>
      <c r="V561" s="2375"/>
      <c r="W561" s="2382">
        <f t="shared" si="157"/>
        <v>4</v>
      </c>
      <c r="X561" s="2398" t="s">
        <v>357</v>
      </c>
      <c r="Y561" s="2375">
        <f t="shared" si="165"/>
        <v>1918612.52</v>
      </c>
      <c r="Z561" s="2375">
        <f t="shared" si="163"/>
        <v>8.380908939773421E-2</v>
      </c>
      <c r="AA561" s="2377" t="s">
        <v>3355</v>
      </c>
    </row>
    <row r="562" spans="1:27" s="399" customFormat="1" ht="25" customHeight="1">
      <c r="A562" s="2398">
        <f t="shared" ref="A562:A568" si="173">A561+1</f>
        <v>14</v>
      </c>
      <c r="B562" s="2595" t="s">
        <v>459</v>
      </c>
      <c r="C562" s="2550"/>
      <c r="D562" s="2551"/>
      <c r="E562" s="2397">
        <f>'7. Vol Kios 3x4'!$M$340</f>
        <v>2</v>
      </c>
      <c r="F562" s="2398" t="s">
        <v>357</v>
      </c>
      <c r="G562" s="2567">
        <v>675431.23</v>
      </c>
      <c r="H562" s="2567">
        <f t="shared" si="170"/>
        <v>1350862.46</v>
      </c>
      <c r="I562" s="2465">
        <f>'Resume Analisa'!$D$140</f>
        <v>695238.63</v>
      </c>
      <c r="J562" s="2567">
        <f t="shared" si="171"/>
        <v>1390477.26</v>
      </c>
      <c r="K562" s="2378" t="e">
        <f>IF(H562=0,"",IF(J562&lt;#REF!*H562,"Timpang &lt;"&amp;TEXT(#REF!,"0%"),IF(J562&gt;#REF!*H562,"Timpang &gt;"&amp;TEXT(#REF!,"0%"),"Wajar")))</f>
        <v>#REF!</v>
      </c>
      <c r="L562" s="2391">
        <v>695238.63</v>
      </c>
      <c r="M562" s="2391">
        <f t="shared" si="172"/>
        <v>1390477.26</v>
      </c>
      <c r="N562" s="2375">
        <f t="shared" si="162"/>
        <v>6.073901414385461E-2</v>
      </c>
      <c r="O562" s="2375">
        <v>0</v>
      </c>
      <c r="P562" s="2398"/>
      <c r="Q562" s="2375">
        <f t="shared" si="166"/>
        <v>0</v>
      </c>
      <c r="R562" s="2375">
        <f t="shared" si="169"/>
        <v>0</v>
      </c>
      <c r="S562" s="2375">
        <v>0</v>
      </c>
      <c r="T562" s="2398"/>
      <c r="U562" s="2375">
        <f t="shared" si="156"/>
        <v>0</v>
      </c>
      <c r="V562" s="2375"/>
      <c r="W562" s="2382">
        <f t="shared" si="157"/>
        <v>2</v>
      </c>
      <c r="X562" s="2398" t="s">
        <v>357</v>
      </c>
      <c r="Y562" s="2375">
        <f t="shared" si="165"/>
        <v>1390477.26</v>
      </c>
      <c r="Z562" s="2375">
        <f t="shared" si="163"/>
        <v>6.073901414385461E-2</v>
      </c>
      <c r="AA562" s="2377" t="s">
        <v>3355</v>
      </c>
    </row>
    <row r="563" spans="1:27" s="399" customFormat="1" ht="25" customHeight="1">
      <c r="A563" s="2398">
        <f t="shared" si="173"/>
        <v>15</v>
      </c>
      <c r="B563" s="2549" t="s">
        <v>547</v>
      </c>
      <c r="C563" s="2550"/>
      <c r="D563" s="2551"/>
      <c r="E563" s="2397">
        <f>'7. Vol Kios 3x4'!$M$341</f>
        <v>4</v>
      </c>
      <c r="F563" s="2398" t="s">
        <v>124</v>
      </c>
      <c r="G563" s="2567">
        <v>146579</v>
      </c>
      <c r="H563" s="2567">
        <f t="shared" si="170"/>
        <v>586316</v>
      </c>
      <c r="I563" s="2465">
        <f>'Resume Analisa'!$D$148</f>
        <v>142838.90000000002</v>
      </c>
      <c r="J563" s="2567">
        <f t="shared" si="171"/>
        <v>571355.60000000009</v>
      </c>
      <c r="K563" s="2378" t="e">
        <f>IF(H563=0,"",IF(J563&lt;#REF!*H563,"Timpang &lt;"&amp;TEXT(#REF!,"0%"),IF(J563&gt;#REF!*H563,"Timpang &gt;"&amp;TEXT(#REF!,"0%"),"Wajar")))</f>
        <v>#REF!</v>
      </c>
      <c r="L563" s="2391">
        <v>142838.90000000002</v>
      </c>
      <c r="M563" s="2391">
        <f t="shared" si="172"/>
        <v>571355.60000000009</v>
      </c>
      <c r="N563" s="2375">
        <f t="shared" si="162"/>
        <v>2.4958031941903554E-2</v>
      </c>
      <c r="O563" s="2375">
        <v>0</v>
      </c>
      <c r="P563" s="2398"/>
      <c r="Q563" s="2375">
        <f t="shared" si="166"/>
        <v>0</v>
      </c>
      <c r="R563" s="2375">
        <f t="shared" si="169"/>
        <v>0</v>
      </c>
      <c r="S563" s="2375">
        <v>0</v>
      </c>
      <c r="T563" s="2398"/>
      <c r="U563" s="2375">
        <f t="shared" si="156"/>
        <v>0</v>
      </c>
      <c r="V563" s="2375"/>
      <c r="W563" s="2382">
        <f t="shared" si="157"/>
        <v>4</v>
      </c>
      <c r="X563" s="2398" t="s">
        <v>124</v>
      </c>
      <c r="Y563" s="2375">
        <f t="shared" si="165"/>
        <v>571355.60000000009</v>
      </c>
      <c r="Z563" s="2375">
        <f t="shared" si="163"/>
        <v>2.4958031941903554E-2</v>
      </c>
      <c r="AA563" s="2377" t="s">
        <v>3355</v>
      </c>
    </row>
    <row r="564" spans="1:27" s="399" customFormat="1" ht="25" customHeight="1">
      <c r="A564" s="2398">
        <f t="shared" si="173"/>
        <v>16</v>
      </c>
      <c r="B564" s="2549" t="s">
        <v>613</v>
      </c>
      <c r="C564" s="2550"/>
      <c r="D564" s="2551"/>
      <c r="E564" s="2397">
        <f>'7. Vol Kios 3x4'!$M$342</f>
        <v>1</v>
      </c>
      <c r="F564" s="2398" t="s">
        <v>124</v>
      </c>
      <c r="G564" s="2567">
        <v>68649.25</v>
      </c>
      <c r="H564" s="2567">
        <f t="shared" si="170"/>
        <v>68649.25</v>
      </c>
      <c r="I564" s="2465">
        <f>'Resume Analisa'!$D$144</f>
        <v>67408.72</v>
      </c>
      <c r="J564" s="2567">
        <f t="shared" si="171"/>
        <v>67408.72</v>
      </c>
      <c r="K564" s="2378" t="e">
        <f>IF(H564=0,"",IF(J564&lt;#REF!*H564,"Timpang &lt;"&amp;TEXT(#REF!,"0%"),IF(J564&gt;#REF!*H564,"Timpang &gt;"&amp;TEXT(#REF!,"0%"),"Wajar")))</f>
        <v>#REF!</v>
      </c>
      <c r="L564" s="2391">
        <v>67408.72</v>
      </c>
      <c r="M564" s="2391">
        <f t="shared" si="172"/>
        <v>67408.72</v>
      </c>
      <c r="N564" s="2375">
        <f t="shared" si="162"/>
        <v>2.9445567470115512E-3</v>
      </c>
      <c r="O564" s="2375">
        <v>0</v>
      </c>
      <c r="P564" s="2398"/>
      <c r="Q564" s="2375">
        <f t="shared" si="166"/>
        <v>0</v>
      </c>
      <c r="R564" s="2375">
        <f t="shared" si="169"/>
        <v>0</v>
      </c>
      <c r="S564" s="2375">
        <v>0</v>
      </c>
      <c r="T564" s="2398"/>
      <c r="U564" s="2375">
        <f t="shared" si="156"/>
        <v>0</v>
      </c>
      <c r="V564" s="2375"/>
      <c r="W564" s="2382">
        <f t="shared" si="157"/>
        <v>1</v>
      </c>
      <c r="X564" s="2398" t="s">
        <v>124</v>
      </c>
      <c r="Y564" s="2375">
        <f t="shared" si="165"/>
        <v>67408.72</v>
      </c>
      <c r="Z564" s="2375">
        <f t="shared" si="163"/>
        <v>2.9445567470115512E-3</v>
      </c>
      <c r="AA564" s="2377" t="s">
        <v>3355</v>
      </c>
    </row>
    <row r="565" spans="1:27" s="399" customFormat="1" ht="25" customHeight="1">
      <c r="A565" s="2398">
        <f t="shared" si="173"/>
        <v>17</v>
      </c>
      <c r="B565" s="2549" t="s">
        <v>614</v>
      </c>
      <c r="C565" s="2550"/>
      <c r="D565" s="2551"/>
      <c r="E565" s="2397">
        <f>'7. Vol Kios 3x4'!$M$343</f>
        <v>1</v>
      </c>
      <c r="F565" s="2398" t="s">
        <v>124</v>
      </c>
      <c r="G565" s="2567">
        <v>49705.880000000005</v>
      </c>
      <c r="H565" s="2567">
        <f t="shared" si="170"/>
        <v>49705.880000000005</v>
      </c>
      <c r="I565" s="2465">
        <f>'Resume Analisa'!$D$143</f>
        <v>47082.47</v>
      </c>
      <c r="J565" s="2567">
        <f t="shared" si="171"/>
        <v>47082.47</v>
      </c>
      <c r="K565" s="2378" t="e">
        <f>IF(H565=0,"",IF(J565&lt;#REF!*H565,"Timpang &lt;"&amp;TEXT(#REF!,"0%"),IF(J565&gt;#REF!*H565,"Timpang &gt;"&amp;TEXT(#REF!,"0%"),"Wajar")))</f>
        <v>#REF!</v>
      </c>
      <c r="L565" s="2391">
        <v>47082.47</v>
      </c>
      <c r="M565" s="2391">
        <f t="shared" si="172"/>
        <v>47082.47</v>
      </c>
      <c r="N565" s="2375">
        <f t="shared" si="162"/>
        <v>2.0566627686220557E-3</v>
      </c>
      <c r="O565" s="2375">
        <v>0</v>
      </c>
      <c r="P565" s="2398"/>
      <c r="Q565" s="2375">
        <f t="shared" si="166"/>
        <v>0</v>
      </c>
      <c r="R565" s="2375">
        <f t="shared" si="169"/>
        <v>0</v>
      </c>
      <c r="S565" s="2375">
        <v>0</v>
      </c>
      <c r="T565" s="2398"/>
      <c r="U565" s="2375">
        <f t="shared" si="156"/>
        <v>0</v>
      </c>
      <c r="V565" s="2375"/>
      <c r="W565" s="2382">
        <f t="shared" si="157"/>
        <v>1</v>
      </c>
      <c r="X565" s="2398" t="s">
        <v>124</v>
      </c>
      <c r="Y565" s="2375">
        <f t="shared" si="165"/>
        <v>47082.47</v>
      </c>
      <c r="Z565" s="2375">
        <f t="shared" si="163"/>
        <v>2.0566627686220557E-3</v>
      </c>
      <c r="AA565" s="2377" t="s">
        <v>3355</v>
      </c>
    </row>
    <row r="566" spans="1:27" s="399" customFormat="1" ht="25" customHeight="1">
      <c r="A566" s="2398">
        <f t="shared" si="173"/>
        <v>18</v>
      </c>
      <c r="B566" s="2549" t="s">
        <v>615</v>
      </c>
      <c r="C566" s="2550"/>
      <c r="D566" s="2551"/>
      <c r="E566" s="2397">
        <f>'7. Vol Kios 3x4'!$M$344</f>
        <v>2</v>
      </c>
      <c r="F566" s="2398" t="s">
        <v>124</v>
      </c>
      <c r="G566" s="2567">
        <v>91426.5</v>
      </c>
      <c r="H566" s="2567">
        <f t="shared" si="170"/>
        <v>182853</v>
      </c>
      <c r="I566" s="2465">
        <f>'Resume Analisa'!$D$145</f>
        <v>89074.98</v>
      </c>
      <c r="J566" s="2567">
        <f t="shared" si="171"/>
        <v>178149.96</v>
      </c>
      <c r="K566" s="2378" t="e">
        <f>IF(H566=0,"",IF(J566&lt;#REF!*H566,"Timpang &lt;"&amp;TEXT(#REF!,"0%"),IF(J566&gt;#REF!*H566,"Timpang &gt;"&amp;TEXT(#REF!,"0%"),"Wajar")))</f>
        <v>#REF!</v>
      </c>
      <c r="L566" s="2391">
        <v>89074.98</v>
      </c>
      <c r="M566" s="2391">
        <f t="shared" si="172"/>
        <v>178149.96</v>
      </c>
      <c r="N566" s="2375">
        <f t="shared" si="162"/>
        <v>7.7819704438511503E-3</v>
      </c>
      <c r="O566" s="2375">
        <v>0</v>
      </c>
      <c r="P566" s="2398"/>
      <c r="Q566" s="2375">
        <f t="shared" si="166"/>
        <v>0</v>
      </c>
      <c r="R566" s="2375">
        <f t="shared" si="169"/>
        <v>0</v>
      </c>
      <c r="S566" s="2386">
        <v>0</v>
      </c>
      <c r="T566" s="2398"/>
      <c r="U566" s="2375">
        <f t="shared" si="156"/>
        <v>0</v>
      </c>
      <c r="V566" s="2375"/>
      <c r="W566" s="2382">
        <f t="shared" si="157"/>
        <v>2</v>
      </c>
      <c r="X566" s="2398" t="s">
        <v>124</v>
      </c>
      <c r="Y566" s="2375">
        <f t="shared" si="165"/>
        <v>178149.96</v>
      </c>
      <c r="Z566" s="2375">
        <f t="shared" si="163"/>
        <v>7.7819704438511503E-3</v>
      </c>
      <c r="AA566" s="2377" t="s">
        <v>3355</v>
      </c>
    </row>
    <row r="567" spans="1:27" s="399" customFormat="1" ht="25" customHeight="1">
      <c r="A567" s="2398">
        <f t="shared" si="173"/>
        <v>19</v>
      </c>
      <c r="B567" s="2549" t="s">
        <v>616</v>
      </c>
      <c r="C567" s="2550"/>
      <c r="D567" s="2551"/>
      <c r="E567" s="2397">
        <f>'7. Vol Kios 3x4'!$M$345</f>
        <v>1</v>
      </c>
      <c r="F567" s="2398" t="s">
        <v>124</v>
      </c>
      <c r="G567" s="2567">
        <v>1149908</v>
      </c>
      <c r="H567" s="2567">
        <f t="shared" si="170"/>
        <v>1149908</v>
      </c>
      <c r="I567" s="2465">
        <f>'Resume Analisa'!$D$152</f>
        <v>1177526.19</v>
      </c>
      <c r="J567" s="2567">
        <f t="shared" si="171"/>
        <v>1177526.19</v>
      </c>
      <c r="K567" s="2378" t="e">
        <f>IF(H567=0,"",IF(J567&lt;#REF!*H567,"Timpang &lt;"&amp;TEXT(#REF!,"0%"),IF(J567&gt;#REF!*H567,"Timpang &gt;"&amp;TEXT(#REF!,"0%"),"Wajar")))</f>
        <v>#REF!</v>
      </c>
      <c r="L567" s="2391">
        <v>1177526.19</v>
      </c>
      <c r="M567" s="2391">
        <f t="shared" si="172"/>
        <v>1177526.19</v>
      </c>
      <c r="N567" s="2375">
        <f t="shared" si="162"/>
        <v>5.1436856945915981E-2</v>
      </c>
      <c r="O567" s="2375">
        <v>0</v>
      </c>
      <c r="P567" s="2398"/>
      <c r="Q567" s="2375">
        <f t="shared" si="166"/>
        <v>0</v>
      </c>
      <c r="R567" s="2375">
        <f t="shared" si="169"/>
        <v>0</v>
      </c>
      <c r="S567" s="2386">
        <v>0</v>
      </c>
      <c r="T567" s="2398"/>
      <c r="U567" s="2375">
        <f t="shared" si="156"/>
        <v>0</v>
      </c>
      <c r="V567" s="2375"/>
      <c r="W567" s="2382">
        <f t="shared" si="157"/>
        <v>1</v>
      </c>
      <c r="X567" s="2398" t="s">
        <v>124</v>
      </c>
      <c r="Y567" s="2375">
        <f t="shared" si="165"/>
        <v>1177526.19</v>
      </c>
      <c r="Z567" s="2375">
        <f t="shared" si="163"/>
        <v>5.1436856945915981E-2</v>
      </c>
      <c r="AA567" s="2377" t="s">
        <v>3355</v>
      </c>
    </row>
    <row r="568" spans="1:27" s="399" customFormat="1" ht="25" customHeight="1">
      <c r="A568" s="2398">
        <f t="shared" si="173"/>
        <v>20</v>
      </c>
      <c r="B568" s="2549" t="s">
        <v>463</v>
      </c>
      <c r="C568" s="2550"/>
      <c r="D568" s="2551"/>
      <c r="E568" s="2541">
        <v>1</v>
      </c>
      <c r="F568" s="2398" t="s">
        <v>360</v>
      </c>
      <c r="G568" s="2567">
        <v>709090</v>
      </c>
      <c r="H568" s="2567">
        <f t="shared" si="170"/>
        <v>709090</v>
      </c>
      <c r="I568" s="2465">
        <f>'Resume Analisa'!$D$156</f>
        <v>707936.42</v>
      </c>
      <c r="J568" s="2552">
        <f t="shared" si="171"/>
        <v>707936.42</v>
      </c>
      <c r="K568" s="2378" t="e">
        <f>IF(H568=0,"",IF(J568&lt;#REF!*H568,"Timpang &lt;"&amp;TEXT(#REF!,"0%"),IF(J568&gt;#REF!*H568,"Timpang &gt;"&amp;TEXT(#REF!,"0%"),"Wajar")))</f>
        <v>#REF!</v>
      </c>
      <c r="L568" s="2391">
        <v>707936.42</v>
      </c>
      <c r="M568" s="2391">
        <f t="shared" si="172"/>
        <v>707936.42</v>
      </c>
      <c r="N568" s="2375">
        <f t="shared" si="162"/>
        <v>3.0924173637568008E-2</v>
      </c>
      <c r="O568" s="2375">
        <v>0</v>
      </c>
      <c r="P568" s="2398"/>
      <c r="Q568" s="2375">
        <f t="shared" si="166"/>
        <v>0</v>
      </c>
      <c r="R568" s="2375">
        <f t="shared" si="169"/>
        <v>0</v>
      </c>
      <c r="S568" s="2375">
        <v>0</v>
      </c>
      <c r="T568" s="2398"/>
      <c r="U568" s="2375">
        <f t="shared" si="156"/>
        <v>0</v>
      </c>
      <c r="V568" s="2375"/>
      <c r="W568" s="2382">
        <f t="shared" si="157"/>
        <v>1</v>
      </c>
      <c r="X568" s="2398" t="s">
        <v>360</v>
      </c>
      <c r="Y568" s="2375">
        <f t="shared" si="165"/>
        <v>707936.42</v>
      </c>
      <c r="Z568" s="2375">
        <f t="shared" si="163"/>
        <v>3.0924173637568008E-2</v>
      </c>
      <c r="AA568" s="2377" t="s">
        <v>3355</v>
      </c>
    </row>
    <row r="569" spans="1:27" s="399" customFormat="1" ht="25" customHeight="1">
      <c r="A569" s="2398"/>
      <c r="B569" s="2549" t="s">
        <v>464</v>
      </c>
      <c r="C569" s="2550"/>
      <c r="D569" s="2551"/>
      <c r="E569" s="2541"/>
      <c r="F569" s="2398"/>
      <c r="G569" s="2567"/>
      <c r="H569" s="2567"/>
      <c r="I569" s="2465"/>
      <c r="J569" s="2552"/>
      <c r="K569" s="2389"/>
      <c r="L569" s="2391"/>
      <c r="M569" s="2391"/>
      <c r="N569" s="2375"/>
      <c r="O569" s="2375"/>
      <c r="P569" s="2398"/>
      <c r="Q569" s="2375">
        <f t="shared" si="166"/>
        <v>0</v>
      </c>
      <c r="R569" s="2375">
        <f t="shared" si="169"/>
        <v>0</v>
      </c>
      <c r="S569" s="2375">
        <v>0</v>
      </c>
      <c r="T569" s="2398"/>
      <c r="U569" s="2375"/>
      <c r="V569" s="2375"/>
      <c r="W569" s="2382"/>
      <c r="X569" s="2398"/>
      <c r="Y569" s="2375"/>
      <c r="Z569" s="2375"/>
      <c r="AA569" s="2377"/>
    </row>
    <row r="570" spans="1:27" s="399" customFormat="1" ht="25" customHeight="1">
      <c r="A570" s="2398"/>
      <c r="B570" s="2549" t="s">
        <v>465</v>
      </c>
      <c r="C570" s="2550"/>
      <c r="D570" s="2551"/>
      <c r="E570" s="2541"/>
      <c r="F570" s="2398"/>
      <c r="G570" s="2567"/>
      <c r="H570" s="2567"/>
      <c r="I570" s="2465"/>
      <c r="J570" s="2552"/>
      <c r="K570" s="2389"/>
      <c r="L570" s="2391"/>
      <c r="M570" s="2391"/>
      <c r="N570" s="2375"/>
      <c r="O570" s="2375"/>
      <c r="P570" s="2398"/>
      <c r="Q570" s="2375">
        <f t="shared" si="166"/>
        <v>0</v>
      </c>
      <c r="R570" s="2375">
        <f t="shared" si="169"/>
        <v>0</v>
      </c>
      <c r="S570" s="2375">
        <v>0</v>
      </c>
      <c r="T570" s="2398"/>
      <c r="U570" s="2375"/>
      <c r="V570" s="2375"/>
      <c r="W570" s="2382"/>
      <c r="X570" s="2398"/>
      <c r="Y570" s="2375"/>
      <c r="Z570" s="2375"/>
      <c r="AA570" s="2377"/>
    </row>
    <row r="571" spans="1:27" s="399" customFormat="1" ht="25" customHeight="1">
      <c r="A571" s="2403"/>
      <c r="B571" s="2569" t="s">
        <v>466</v>
      </c>
      <c r="C571" s="2570"/>
      <c r="D571" s="2571"/>
      <c r="E571" s="2572"/>
      <c r="F571" s="2403"/>
      <c r="G571" s="2718"/>
      <c r="H571" s="2718"/>
      <c r="I571" s="2574"/>
      <c r="J571" s="2575"/>
      <c r="K571" s="2405"/>
      <c r="L571" s="2410"/>
      <c r="M571" s="2410"/>
      <c r="N571" s="2411"/>
      <c r="O571" s="2411"/>
      <c r="P571" s="2403"/>
      <c r="Q571" s="2411">
        <f t="shared" si="166"/>
        <v>0</v>
      </c>
      <c r="R571" s="2411">
        <f t="shared" si="169"/>
        <v>0</v>
      </c>
      <c r="S571" s="2411">
        <v>0</v>
      </c>
      <c r="T571" s="2403"/>
      <c r="U571" s="2411"/>
      <c r="V571" s="2411"/>
      <c r="W571" s="2402"/>
      <c r="X571" s="2403"/>
      <c r="Y571" s="2411"/>
      <c r="Z571" s="2411"/>
      <c r="AA571" s="2412"/>
    </row>
    <row r="572" spans="1:27" s="399" customFormat="1" ht="25" customHeight="1">
      <c r="A572" s="2576"/>
      <c r="B572" s="2719"/>
      <c r="C572" s="2720"/>
      <c r="D572" s="2512" t="s">
        <v>376</v>
      </c>
      <c r="E572" s="2721"/>
      <c r="F572" s="2580"/>
      <c r="G572" s="2581"/>
      <c r="H572" s="2581">
        <f>SUM(H532:H568)</f>
        <v>37702150.918968253</v>
      </c>
      <c r="I572" s="2722"/>
      <c r="J572" s="2599">
        <f>SUM(J532:J568)</f>
        <v>38166918.986867547</v>
      </c>
      <c r="K572" s="2737"/>
      <c r="L572" s="2584"/>
      <c r="M572" s="2584">
        <f>SUM(M532:M568)</f>
        <v>38166918.986867547</v>
      </c>
      <c r="N572" s="2424">
        <f>M572/M8*100</f>
        <v>1.6672124736298821</v>
      </c>
      <c r="O572" s="2426"/>
      <c r="P572" s="2580"/>
      <c r="Q572" s="2426">
        <f t="shared" si="166"/>
        <v>0</v>
      </c>
      <c r="R572" s="2426">
        <f t="shared" si="169"/>
        <v>0</v>
      </c>
      <c r="S572" s="2426">
        <v>0</v>
      </c>
      <c r="T572" s="2576"/>
      <c r="U572" s="2426">
        <f t="shared" si="156"/>
        <v>0</v>
      </c>
      <c r="V572" s="2426"/>
      <c r="W572" s="2428">
        <f t="shared" si="157"/>
        <v>0</v>
      </c>
      <c r="X572" s="2580"/>
      <c r="Y572" s="2424">
        <f>SUM(Y532:Y571)</f>
        <v>38166918.986867547</v>
      </c>
      <c r="Z572" s="2424">
        <f>SUM(Z532:Z571)</f>
        <v>1.6672124736298821</v>
      </c>
      <c r="AA572" s="2738">
        <f t="shared" ref="AA572" si="174">SUM(AA532:AA571)</f>
        <v>0</v>
      </c>
    </row>
    <row r="573" spans="1:27" s="406" customFormat="1" ht="25" hidden="1" customHeight="1">
      <c r="A573" s="3117" t="s">
        <v>617</v>
      </c>
      <c r="B573" s="3118" t="s">
        <v>618</v>
      </c>
      <c r="C573" s="2739"/>
      <c r="D573" s="2740"/>
      <c r="E573" s="2741"/>
      <c r="F573" s="2742"/>
      <c r="G573" s="2743"/>
      <c r="H573" s="2742"/>
      <c r="I573" s="2741"/>
      <c r="J573" s="2742"/>
      <c r="K573" s="2362"/>
      <c r="L573" s="2532"/>
      <c r="M573" s="2532"/>
      <c r="N573" s="2365">
        <f t="shared" ref="N573:N636" si="175">M573/$M$8</f>
        <v>0</v>
      </c>
      <c r="O573" s="2365">
        <v>0</v>
      </c>
      <c r="P573" s="2742"/>
      <c r="Q573" s="2365">
        <f t="shared" si="166"/>
        <v>0</v>
      </c>
      <c r="R573" s="2365">
        <f t="shared" si="169"/>
        <v>0</v>
      </c>
      <c r="S573" s="2535">
        <v>0</v>
      </c>
      <c r="T573" s="2521"/>
      <c r="U573" s="2365">
        <f t="shared" si="156"/>
        <v>0</v>
      </c>
      <c r="V573" s="2365"/>
      <c r="W573" s="2445">
        <f t="shared" si="157"/>
        <v>0</v>
      </c>
      <c r="X573" s="2742"/>
      <c r="Y573" s="2365">
        <f t="shared" si="158"/>
        <v>0</v>
      </c>
      <c r="Z573" s="2365"/>
      <c r="AA573" s="2367" t="s">
        <v>3355</v>
      </c>
    </row>
    <row r="574" spans="1:27" s="406" customFormat="1" ht="25" hidden="1" customHeight="1">
      <c r="A574" s="2764" t="s">
        <v>619</v>
      </c>
      <c r="B574" s="3119" t="s">
        <v>395</v>
      </c>
      <c r="C574" s="2744"/>
      <c r="D574" s="2745"/>
      <c r="E574" s="2541"/>
      <c r="F574" s="2611"/>
      <c r="G574" s="2746"/>
      <c r="H574" s="2746"/>
      <c r="I574" s="2588"/>
      <c r="J574" s="2746"/>
      <c r="K574" s="2389"/>
      <c r="L574" s="2391"/>
      <c r="M574" s="2391"/>
      <c r="N574" s="2375">
        <f t="shared" si="175"/>
        <v>0</v>
      </c>
      <c r="O574" s="2375">
        <v>0</v>
      </c>
      <c r="P574" s="2611"/>
      <c r="Q574" s="2375">
        <f t="shared" si="166"/>
        <v>0</v>
      </c>
      <c r="R574" s="2375">
        <f t="shared" si="169"/>
        <v>0</v>
      </c>
      <c r="S574" s="2386">
        <v>0</v>
      </c>
      <c r="T574" s="2398"/>
      <c r="U574" s="2375">
        <f t="shared" si="156"/>
        <v>0</v>
      </c>
      <c r="V574" s="2375"/>
      <c r="W574" s="2382">
        <f t="shared" si="157"/>
        <v>0</v>
      </c>
      <c r="X574" s="2611"/>
      <c r="Y574" s="2375">
        <f t="shared" si="158"/>
        <v>0</v>
      </c>
      <c r="Z574" s="2375"/>
      <c r="AA574" s="2377" t="s">
        <v>3355</v>
      </c>
    </row>
    <row r="575" spans="1:27" s="406" customFormat="1" ht="25" hidden="1" customHeight="1">
      <c r="A575" s="2611">
        <v>1</v>
      </c>
      <c r="B575" s="2747" t="s">
        <v>396</v>
      </c>
      <c r="C575" s="2744"/>
      <c r="D575" s="2745"/>
      <c r="E575" s="2541">
        <f>'11. Vol Bengkel G'!$M$15</f>
        <v>22</v>
      </c>
      <c r="F575" s="2611" t="s">
        <v>117</v>
      </c>
      <c r="G575" s="2746">
        <v>167131.79999999999</v>
      </c>
      <c r="H575" s="2746">
        <f>E575*G575</f>
        <v>3676899.5999999996</v>
      </c>
      <c r="I575" s="2480">
        <f>'Resume Analisa'!$D$9</f>
        <v>174862.27000000002</v>
      </c>
      <c r="J575" s="2480">
        <f>I575*E575</f>
        <v>3846969.9400000004</v>
      </c>
      <c r="K575" s="2378" t="e">
        <f>IF(H575=0,"",IF(J575&lt;#REF!*H575,"Timpang &lt;"&amp;TEXT(#REF!,"0%"),IF(J575&gt;#REF!*H575,"Timpang &gt;"&amp;TEXT(#REF!,"0%"),"Wajar")))</f>
        <v>#REF!</v>
      </c>
      <c r="L575" s="2391">
        <v>174862.27000000002</v>
      </c>
      <c r="M575" s="2391">
        <f>E575*L575</f>
        <v>3846969.9400000004</v>
      </c>
      <c r="N575" s="2375">
        <f t="shared" si="175"/>
        <v>1.6804385682412635E-3</v>
      </c>
      <c r="O575" s="2375">
        <v>0</v>
      </c>
      <c r="P575" s="2611" t="s">
        <v>117</v>
      </c>
      <c r="Q575" s="2375">
        <f t="shared" si="166"/>
        <v>0</v>
      </c>
      <c r="R575" s="2375">
        <f t="shared" si="169"/>
        <v>0</v>
      </c>
      <c r="S575" s="2375">
        <v>0</v>
      </c>
      <c r="T575" s="2398"/>
      <c r="U575" s="2375">
        <f t="shared" si="156"/>
        <v>0</v>
      </c>
      <c r="V575" s="2375"/>
      <c r="W575" s="2382">
        <f t="shared" si="157"/>
        <v>22</v>
      </c>
      <c r="X575" s="2611" t="s">
        <v>117</v>
      </c>
      <c r="Y575" s="2375">
        <f t="shared" si="158"/>
        <v>174862.27000000002</v>
      </c>
      <c r="Z575" s="2375"/>
      <c r="AA575" s="2377" t="s">
        <v>3355</v>
      </c>
    </row>
    <row r="576" spans="1:27" s="406" customFormat="1" ht="25" hidden="1" customHeight="1">
      <c r="A576" s="2553">
        <f>A575+1</f>
        <v>2</v>
      </c>
      <c r="B576" s="2554" t="s">
        <v>523</v>
      </c>
      <c r="C576" s="2550"/>
      <c r="D576" s="2551"/>
      <c r="E576" s="2397"/>
      <c r="F576" s="2398"/>
      <c r="G576" s="2746"/>
      <c r="H576" s="2746"/>
      <c r="I576" s="2480"/>
      <c r="J576" s="2748"/>
      <c r="K576" s="2389"/>
      <c r="L576" s="2391"/>
      <c r="M576" s="2391"/>
      <c r="N576" s="2375">
        <f t="shared" si="175"/>
        <v>0</v>
      </c>
      <c r="O576" s="2375">
        <v>0</v>
      </c>
      <c r="P576" s="2398"/>
      <c r="Q576" s="2375">
        <f t="shared" si="166"/>
        <v>0</v>
      </c>
      <c r="R576" s="2375">
        <f t="shared" si="169"/>
        <v>0</v>
      </c>
      <c r="S576" s="2375">
        <v>0</v>
      </c>
      <c r="T576" s="2398"/>
      <c r="U576" s="2375">
        <f t="shared" si="156"/>
        <v>0</v>
      </c>
      <c r="V576" s="2375"/>
      <c r="W576" s="2382">
        <f t="shared" si="157"/>
        <v>0</v>
      </c>
      <c r="X576" s="2398"/>
      <c r="Y576" s="2375">
        <f t="shared" si="158"/>
        <v>0</v>
      </c>
      <c r="Z576" s="2375"/>
      <c r="AA576" s="2377" t="s">
        <v>3355</v>
      </c>
    </row>
    <row r="577" spans="1:27" s="406" customFormat="1" ht="25" hidden="1" customHeight="1">
      <c r="A577" s="2749" t="s">
        <v>95</v>
      </c>
      <c r="B577" s="2554" t="s">
        <v>398</v>
      </c>
      <c r="C577" s="2550"/>
      <c r="D577" s="2551"/>
      <c r="E577" s="2397">
        <f>'11. Vol Bengkel G'!$M$17</f>
        <v>3.2639999999999993</v>
      </c>
      <c r="F577" s="2398" t="s">
        <v>103</v>
      </c>
      <c r="G577" s="2746">
        <v>50600</v>
      </c>
      <c r="H577" s="2746">
        <f t="shared" ref="H577:H583" si="176">E577*G577</f>
        <v>165158.39999999997</v>
      </c>
      <c r="I577" s="2465">
        <f>'Resume Analisa'!$D$18</f>
        <v>49036.76</v>
      </c>
      <c r="J577" s="2748">
        <f>E577*I577</f>
        <v>160055.98463999998</v>
      </c>
      <c r="K577" s="2378" t="e">
        <f>IF(H577=0,"",IF(J577&lt;#REF!*H577,"Timpang &lt;"&amp;TEXT(#REF!,"0%"),IF(J577&gt;#REF!*H577,"Timpang &gt;"&amp;TEXT(#REF!,"0%"),"Wajar")))</f>
        <v>#REF!</v>
      </c>
      <c r="L577" s="2391">
        <v>49036.76</v>
      </c>
      <c r="M577" s="2391">
        <f t="shared" ref="M577:M583" si="177">E577*L577</f>
        <v>160055.98463999998</v>
      </c>
      <c r="N577" s="2375">
        <f t="shared" si="175"/>
        <v>6.9915869856494693E-5</v>
      </c>
      <c r="O577" s="2375">
        <v>0</v>
      </c>
      <c r="P577" s="2398" t="s">
        <v>103</v>
      </c>
      <c r="Q577" s="2375">
        <f t="shared" si="166"/>
        <v>0</v>
      </c>
      <c r="R577" s="2375">
        <f t="shared" si="169"/>
        <v>0</v>
      </c>
      <c r="S577" s="2375">
        <v>0</v>
      </c>
      <c r="T577" s="2398"/>
      <c r="U577" s="2375">
        <f t="shared" si="156"/>
        <v>0</v>
      </c>
      <c r="V577" s="2375"/>
      <c r="W577" s="2382">
        <f t="shared" si="157"/>
        <v>3.2639999999999993</v>
      </c>
      <c r="X577" s="2398" t="s">
        <v>103</v>
      </c>
      <c r="Y577" s="2375">
        <f t="shared" si="158"/>
        <v>49036.76</v>
      </c>
      <c r="Z577" s="2375"/>
      <c r="AA577" s="2377" t="s">
        <v>3355</v>
      </c>
    </row>
    <row r="578" spans="1:27" s="406" customFormat="1" ht="25" hidden="1" customHeight="1">
      <c r="A578" s="2749" t="s">
        <v>98</v>
      </c>
      <c r="B578" s="2554" t="s">
        <v>399</v>
      </c>
      <c r="C578" s="2550"/>
      <c r="D578" s="2551"/>
      <c r="E578" s="2397">
        <f>'11. Vol Bengkel G'!$M$18</f>
        <v>0.26880000000000009</v>
      </c>
      <c r="F578" s="2398" t="s">
        <v>103</v>
      </c>
      <c r="G578" s="2746">
        <v>507759.96</v>
      </c>
      <c r="H578" s="2746">
        <f t="shared" si="176"/>
        <v>136485.87724800006</v>
      </c>
      <c r="I578" s="2480">
        <f>'Resume Analisa'!$D$26</f>
        <v>475358.64</v>
      </c>
      <c r="J578" s="2480">
        <f>I578*E578</f>
        <v>127776.40243200005</v>
      </c>
      <c r="K578" s="2378" t="e">
        <f>IF(H578=0,"",IF(J578&lt;#REF!*H578,"Timpang &lt;"&amp;TEXT(#REF!,"0%"),IF(J578&gt;#REF!*H578,"Timpang &gt;"&amp;TEXT(#REF!,"0%"),"Wajar")))</f>
        <v>#REF!</v>
      </c>
      <c r="L578" s="2391">
        <v>475358.64</v>
      </c>
      <c r="M578" s="2391">
        <f t="shared" si="177"/>
        <v>127776.40243200005</v>
      </c>
      <c r="N578" s="2375">
        <f t="shared" si="175"/>
        <v>5.5815459467263119E-5</v>
      </c>
      <c r="O578" s="2375">
        <v>0</v>
      </c>
      <c r="P578" s="2398" t="s">
        <v>103</v>
      </c>
      <c r="Q578" s="2375">
        <f t="shared" si="166"/>
        <v>0</v>
      </c>
      <c r="R578" s="2375">
        <f t="shared" si="169"/>
        <v>0</v>
      </c>
      <c r="S578" s="2375">
        <v>0</v>
      </c>
      <c r="T578" s="2398"/>
      <c r="U578" s="2375">
        <f t="shared" si="156"/>
        <v>0</v>
      </c>
      <c r="V578" s="2375"/>
      <c r="W578" s="2382">
        <f t="shared" si="157"/>
        <v>0.26880000000000009</v>
      </c>
      <c r="X578" s="2398" t="s">
        <v>103</v>
      </c>
      <c r="Y578" s="2375">
        <f t="shared" si="158"/>
        <v>475358.64</v>
      </c>
      <c r="Z578" s="2375"/>
      <c r="AA578" s="2377" t="s">
        <v>3355</v>
      </c>
    </row>
    <row r="579" spans="1:27" s="406" customFormat="1" ht="25" hidden="1" customHeight="1">
      <c r="A579" s="2749" t="s">
        <v>101</v>
      </c>
      <c r="B579" s="2554" t="s">
        <v>400</v>
      </c>
      <c r="C579" s="2550"/>
      <c r="D579" s="2551"/>
      <c r="E579" s="2397">
        <f>'11. Vol Bengkel G'!$M$19</f>
        <v>0.11520000000000001</v>
      </c>
      <c r="F579" s="2398" t="s">
        <v>103</v>
      </c>
      <c r="G579" s="2746">
        <v>1422226.08</v>
      </c>
      <c r="H579" s="2746">
        <f t="shared" si="176"/>
        <v>163840.44441600001</v>
      </c>
      <c r="I579" s="2465">
        <f>'Resume Analisa'!$D$54</f>
        <v>1384580.76</v>
      </c>
      <c r="J579" s="2567">
        <f>E579*I579</f>
        <v>159503.70355200002</v>
      </c>
      <c r="K579" s="2378" t="e">
        <f>IF(H579=0,"",IF(J579&lt;#REF!*H579,"Timpang &lt;"&amp;TEXT(#REF!,"0%"),IF(J579&gt;#REF!*H579,"Timpang &gt;"&amp;TEXT(#REF!,"0%"),"Wajar")))</f>
        <v>#REF!</v>
      </c>
      <c r="L579" s="2391">
        <v>1384580.76</v>
      </c>
      <c r="M579" s="2391">
        <f t="shared" si="177"/>
        <v>159503.70355200002</v>
      </c>
      <c r="N579" s="2375">
        <f t="shared" si="175"/>
        <v>6.967462169098775E-5</v>
      </c>
      <c r="O579" s="2375">
        <v>0</v>
      </c>
      <c r="P579" s="2398" t="s">
        <v>103</v>
      </c>
      <c r="Q579" s="2375">
        <f t="shared" si="166"/>
        <v>0</v>
      </c>
      <c r="R579" s="2375">
        <f t="shared" si="169"/>
        <v>0</v>
      </c>
      <c r="S579" s="2375">
        <v>0</v>
      </c>
      <c r="T579" s="2398"/>
      <c r="U579" s="2375">
        <f t="shared" si="156"/>
        <v>0</v>
      </c>
      <c r="V579" s="2375"/>
      <c r="W579" s="2382">
        <f t="shared" si="157"/>
        <v>0.11520000000000001</v>
      </c>
      <c r="X579" s="2398" t="s">
        <v>103</v>
      </c>
      <c r="Y579" s="2375">
        <f t="shared" si="158"/>
        <v>1384580.76</v>
      </c>
      <c r="Z579" s="2375"/>
      <c r="AA579" s="2377" t="s">
        <v>3355</v>
      </c>
    </row>
    <row r="580" spans="1:27" s="406" customFormat="1" ht="25" hidden="1" customHeight="1">
      <c r="A580" s="2749" t="s">
        <v>121</v>
      </c>
      <c r="B580" s="2554" t="s">
        <v>401</v>
      </c>
      <c r="C580" s="2550"/>
      <c r="D580" s="2551"/>
      <c r="E580" s="2397">
        <f>'11. Vol Bengkel G'!$M$20</f>
        <v>2.8800000000000021</v>
      </c>
      <c r="F580" s="2398" t="s">
        <v>103</v>
      </c>
      <c r="G580" s="2746">
        <v>188325.18000000002</v>
      </c>
      <c r="H580" s="2746">
        <f t="shared" si="176"/>
        <v>542376.51840000041</v>
      </c>
      <c r="I580" s="2465">
        <f>'Resume Analisa'!$D$68</f>
        <v>181829.52000000002</v>
      </c>
      <c r="J580" s="2567">
        <f>E580*I580</f>
        <v>523669.01760000043</v>
      </c>
      <c r="K580" s="2378" t="e">
        <f>IF(H580=0,"",IF(J580&lt;#REF!*H580,"Timpang &lt;"&amp;TEXT(#REF!,"0%"),IF(J580&gt;#REF!*H580,"Timpang &gt;"&amp;TEXT(#REF!,"0%"),"Wajar")))</f>
        <v>#REF!</v>
      </c>
      <c r="L580" s="2391">
        <v>181829.52000000002</v>
      </c>
      <c r="M580" s="2391">
        <f t="shared" si="177"/>
        <v>523669.01760000043</v>
      </c>
      <c r="N580" s="2375">
        <f t="shared" si="175"/>
        <v>2.2874980254409101E-4</v>
      </c>
      <c r="O580" s="2375">
        <v>0</v>
      </c>
      <c r="P580" s="2398" t="s">
        <v>103</v>
      </c>
      <c r="Q580" s="2375">
        <f t="shared" si="166"/>
        <v>0</v>
      </c>
      <c r="R580" s="2375">
        <f t="shared" si="169"/>
        <v>0</v>
      </c>
      <c r="S580" s="2386">
        <v>0</v>
      </c>
      <c r="T580" s="2398"/>
      <c r="U580" s="2375">
        <f t="shared" si="156"/>
        <v>0</v>
      </c>
      <c r="V580" s="2375"/>
      <c r="W580" s="2382">
        <f t="shared" si="157"/>
        <v>2.8800000000000021</v>
      </c>
      <c r="X580" s="2398" t="s">
        <v>103</v>
      </c>
      <c r="Y580" s="2375">
        <f t="shared" si="158"/>
        <v>181829.52000000002</v>
      </c>
      <c r="Z580" s="2375"/>
      <c r="AA580" s="2377" t="s">
        <v>3355</v>
      </c>
    </row>
    <row r="581" spans="1:27" s="406" customFormat="1" ht="25" hidden="1" customHeight="1">
      <c r="A581" s="2749" t="s">
        <v>142</v>
      </c>
      <c r="B581" s="2554" t="s">
        <v>402</v>
      </c>
      <c r="C581" s="2550"/>
      <c r="D581" s="2551"/>
      <c r="E581" s="2397">
        <f>'11. Vol Bengkel G'!$M$21</f>
        <v>33.291000000000004</v>
      </c>
      <c r="F581" s="2398" t="s">
        <v>100</v>
      </c>
      <c r="G581" s="2746">
        <v>19151.18</v>
      </c>
      <c r="H581" s="2750">
        <f t="shared" si="176"/>
        <v>637561.93338000006</v>
      </c>
      <c r="I581" s="2465">
        <f>'Resume Analisa'!$D$48</f>
        <v>18790.969999999998</v>
      </c>
      <c r="J581" s="2474">
        <f>+I581*E581</f>
        <v>625570.18226999999</v>
      </c>
      <c r="K581" s="2378" t="e">
        <f>IF(H581=0,"",IF(J581&lt;#REF!*H581,"Timpang &lt;"&amp;TEXT(#REF!,"0%"),IF(J581&gt;#REF!*H581,"Timpang &gt;"&amp;TEXT(#REF!,"0%"),"Wajar")))</f>
        <v>#REF!</v>
      </c>
      <c r="L581" s="2391">
        <v>18790.969999999998</v>
      </c>
      <c r="M581" s="2475">
        <f t="shared" si="177"/>
        <v>625570.18226999999</v>
      </c>
      <c r="N581" s="2375">
        <f t="shared" si="175"/>
        <v>2.7326240595168907E-4</v>
      </c>
      <c r="O581" s="2375">
        <v>0</v>
      </c>
      <c r="P581" s="2398" t="s">
        <v>100</v>
      </c>
      <c r="Q581" s="2375">
        <f t="shared" si="166"/>
        <v>0</v>
      </c>
      <c r="R581" s="2375">
        <f t="shared" si="169"/>
        <v>0</v>
      </c>
      <c r="S581" s="2386">
        <v>0</v>
      </c>
      <c r="T581" s="2398"/>
      <c r="U581" s="2375">
        <f t="shared" si="156"/>
        <v>0</v>
      </c>
      <c r="V581" s="2375"/>
      <c r="W581" s="2382">
        <f t="shared" si="157"/>
        <v>33.291000000000004</v>
      </c>
      <c r="X581" s="2398" t="s">
        <v>100</v>
      </c>
      <c r="Y581" s="2375">
        <f t="shared" si="158"/>
        <v>18790.969999999998</v>
      </c>
      <c r="Z581" s="2375"/>
      <c r="AA581" s="2377" t="s">
        <v>3355</v>
      </c>
    </row>
    <row r="582" spans="1:27" s="406" customFormat="1" ht="25" hidden="1" customHeight="1">
      <c r="A582" s="2749" t="s">
        <v>217</v>
      </c>
      <c r="B582" s="2549" t="s">
        <v>169</v>
      </c>
      <c r="C582" s="2550"/>
      <c r="D582" s="2551"/>
      <c r="E582" s="2397">
        <f>'11. Vol Bengkel G'!$M$22</f>
        <v>0.32400000000000007</v>
      </c>
      <c r="F582" s="2398" t="s">
        <v>103</v>
      </c>
      <c r="G582" s="2746">
        <v>1584129.98</v>
      </c>
      <c r="H582" s="2746">
        <f t="shared" si="176"/>
        <v>513258.11352000007</v>
      </c>
      <c r="I582" s="2465">
        <f>'Resume Analisa'!$D$55</f>
        <v>1535009.1300000001</v>
      </c>
      <c r="J582" s="2748">
        <f>E582*I582</f>
        <v>497342.95812000014</v>
      </c>
      <c r="K582" s="2378" t="e">
        <f>IF(H582=0,"",IF(J582&lt;#REF!*H582,"Timpang &lt;"&amp;TEXT(#REF!,"0%"),IF(J582&gt;#REF!*H582,"Timpang &gt;"&amp;TEXT(#REF!,"0%"),"Wajar")))</f>
        <v>#REF!</v>
      </c>
      <c r="L582" s="2391">
        <v>1535009.1300000001</v>
      </c>
      <c r="M582" s="2391">
        <f t="shared" si="177"/>
        <v>497342.95812000014</v>
      </c>
      <c r="N582" s="2375">
        <f t="shared" si="175"/>
        <v>2.1725001793698645E-4</v>
      </c>
      <c r="O582" s="2375">
        <v>0</v>
      </c>
      <c r="P582" s="2398" t="s">
        <v>103</v>
      </c>
      <c r="Q582" s="2375">
        <f t="shared" si="166"/>
        <v>0</v>
      </c>
      <c r="R582" s="2375">
        <f t="shared" si="169"/>
        <v>0</v>
      </c>
      <c r="S582" s="2375">
        <v>0</v>
      </c>
      <c r="T582" s="2398"/>
      <c r="U582" s="2375">
        <f t="shared" si="156"/>
        <v>0</v>
      </c>
      <c r="V582" s="2375"/>
      <c r="W582" s="2382">
        <f t="shared" si="157"/>
        <v>0.32400000000000007</v>
      </c>
      <c r="X582" s="2398" t="s">
        <v>103</v>
      </c>
      <c r="Y582" s="2375">
        <f t="shared" si="158"/>
        <v>1535009.1300000001</v>
      </c>
      <c r="Z582" s="2375"/>
      <c r="AA582" s="2377" t="s">
        <v>3355</v>
      </c>
    </row>
    <row r="583" spans="1:27" s="406" customFormat="1" ht="25" hidden="1" customHeight="1">
      <c r="A583" s="2749" t="s">
        <v>366</v>
      </c>
      <c r="B583" s="2554" t="s">
        <v>383</v>
      </c>
      <c r="C583" s="2550"/>
      <c r="D583" s="2551"/>
      <c r="E583" s="2397">
        <f>'11. Vol Bengkel G'!$M$23</f>
        <v>96</v>
      </c>
      <c r="F583" s="2398" t="s">
        <v>117</v>
      </c>
      <c r="G583" s="2746">
        <v>34019.880000000005</v>
      </c>
      <c r="H583" s="2746">
        <f t="shared" si="176"/>
        <v>3265908.4800000004</v>
      </c>
      <c r="I583" s="2465">
        <f>'Resume Analisa'!$D$37</f>
        <v>33453.230000000003</v>
      </c>
      <c r="J583" s="2480">
        <f>I583*E583</f>
        <v>3211510.08</v>
      </c>
      <c r="K583" s="2378" t="e">
        <f>IF(H583=0,"",IF(J583&lt;#REF!*H583,"Timpang &lt;"&amp;TEXT(#REF!,"0%"),IF(J583&gt;#REF!*H583,"Timpang &gt;"&amp;TEXT(#REF!,"0%"),"Wajar")))</f>
        <v>#REF!</v>
      </c>
      <c r="L583" s="2391">
        <v>33453.230000000003</v>
      </c>
      <c r="M583" s="2391">
        <f t="shared" si="177"/>
        <v>3211510.08</v>
      </c>
      <c r="N583" s="2375">
        <f t="shared" si="175"/>
        <v>1.4028561400008198E-3</v>
      </c>
      <c r="O583" s="2375">
        <v>0</v>
      </c>
      <c r="P583" s="2398" t="s">
        <v>117</v>
      </c>
      <c r="Q583" s="2375">
        <f t="shared" si="166"/>
        <v>0</v>
      </c>
      <c r="R583" s="2375">
        <f t="shared" si="169"/>
        <v>0</v>
      </c>
      <c r="S583" s="2375">
        <v>0</v>
      </c>
      <c r="T583" s="2398"/>
      <c r="U583" s="2375">
        <f t="shared" si="156"/>
        <v>0</v>
      </c>
      <c r="V583" s="2375"/>
      <c r="W583" s="2382">
        <f t="shared" si="157"/>
        <v>96</v>
      </c>
      <c r="X583" s="2398" t="s">
        <v>117</v>
      </c>
      <c r="Y583" s="2375">
        <f t="shared" si="158"/>
        <v>33453.230000000003</v>
      </c>
      <c r="Z583" s="2375"/>
      <c r="AA583" s="2377" t="s">
        <v>3355</v>
      </c>
    </row>
    <row r="584" spans="1:27" s="406" customFormat="1" ht="25" hidden="1" customHeight="1">
      <c r="A584" s="2611">
        <f>A576+1</f>
        <v>3</v>
      </c>
      <c r="B584" s="2747" t="s">
        <v>551</v>
      </c>
      <c r="C584" s="2744"/>
      <c r="D584" s="2745"/>
      <c r="E584" s="2541"/>
      <c r="F584" s="2611"/>
      <c r="G584" s="2746"/>
      <c r="H584" s="2746"/>
      <c r="I584" s="2588"/>
      <c r="J584" s="2746"/>
      <c r="K584" s="2389"/>
      <c r="L584" s="2391"/>
      <c r="M584" s="2391"/>
      <c r="N584" s="2375">
        <f t="shared" si="175"/>
        <v>0</v>
      </c>
      <c r="O584" s="2375">
        <v>0</v>
      </c>
      <c r="P584" s="2611"/>
      <c r="Q584" s="2375">
        <f t="shared" si="166"/>
        <v>0</v>
      </c>
      <c r="R584" s="2375">
        <f t="shared" si="169"/>
        <v>0</v>
      </c>
      <c r="S584" s="2375">
        <v>0</v>
      </c>
      <c r="T584" s="2398"/>
      <c r="U584" s="2375">
        <f t="shared" si="156"/>
        <v>0</v>
      </c>
      <c r="V584" s="2375"/>
      <c r="W584" s="2382">
        <f t="shared" si="157"/>
        <v>0</v>
      </c>
      <c r="X584" s="2611"/>
      <c r="Y584" s="2375">
        <f t="shared" si="158"/>
        <v>0</v>
      </c>
      <c r="Z584" s="2375"/>
      <c r="AA584" s="2377" t="s">
        <v>3355</v>
      </c>
    </row>
    <row r="585" spans="1:27" s="406" customFormat="1" ht="25" hidden="1" customHeight="1">
      <c r="A585" s="2749" t="s">
        <v>95</v>
      </c>
      <c r="B585" s="2747" t="s">
        <v>382</v>
      </c>
      <c r="C585" s="2744"/>
      <c r="D585" s="2745"/>
      <c r="E585" s="2541">
        <f>'11. Vol Bengkel G'!$M$28</f>
        <v>8.4419999999999984</v>
      </c>
      <c r="F585" s="2611" t="s">
        <v>103</v>
      </c>
      <c r="G585" s="2746">
        <v>50600</v>
      </c>
      <c r="H585" s="2746">
        <f>E585*G585</f>
        <v>427165.1999999999</v>
      </c>
      <c r="I585" s="2465">
        <f>'Resume Analisa'!$D$18</f>
        <v>49036.76</v>
      </c>
      <c r="J585" s="2480">
        <f>I585*E585</f>
        <v>413968.32791999995</v>
      </c>
      <c r="K585" s="2378" t="e">
        <f>IF(H585=0,"",IF(J585&lt;#REF!*H585,"Timpang &lt;"&amp;TEXT(#REF!,"0%"),IF(J585&gt;#REF!*H585,"Timpang &gt;"&amp;TEXT(#REF!,"0%"),"Wajar")))</f>
        <v>#REF!</v>
      </c>
      <c r="L585" s="2391">
        <v>49036.76</v>
      </c>
      <c r="M585" s="2391">
        <f>E585*L585</f>
        <v>413968.32791999995</v>
      </c>
      <c r="N585" s="2375">
        <f t="shared" si="175"/>
        <v>1.8083020016192655E-4</v>
      </c>
      <c r="O585" s="2375">
        <v>0</v>
      </c>
      <c r="P585" s="2611" t="s">
        <v>103</v>
      </c>
      <c r="Q585" s="2375">
        <f t="shared" si="166"/>
        <v>0</v>
      </c>
      <c r="R585" s="2375">
        <f t="shared" si="169"/>
        <v>0</v>
      </c>
      <c r="S585" s="2375">
        <v>0</v>
      </c>
      <c r="T585" s="2398"/>
      <c r="U585" s="2375">
        <f t="shared" si="156"/>
        <v>0</v>
      </c>
      <c r="V585" s="2375"/>
      <c r="W585" s="2382">
        <f t="shared" si="157"/>
        <v>8.4419999999999984</v>
      </c>
      <c r="X585" s="2611" t="s">
        <v>103</v>
      </c>
      <c r="Y585" s="2375">
        <f t="shared" si="158"/>
        <v>49036.76</v>
      </c>
      <c r="Z585" s="2375"/>
      <c r="AA585" s="2377" t="s">
        <v>3355</v>
      </c>
    </row>
    <row r="586" spans="1:27" s="406" customFormat="1" ht="25" hidden="1" customHeight="1">
      <c r="A586" s="2749" t="s">
        <v>98</v>
      </c>
      <c r="B586" s="2751" t="s">
        <v>405</v>
      </c>
      <c r="C586" s="2752"/>
      <c r="D586" s="2753"/>
      <c r="E586" s="2754">
        <f>'11. Vol Bengkel G'!$M$29*0</f>
        <v>0</v>
      </c>
      <c r="F586" s="2755" t="s">
        <v>117</v>
      </c>
      <c r="G586" s="2746">
        <v>34019.880000000005</v>
      </c>
      <c r="H586" s="2746">
        <f>E586*G586</f>
        <v>0</v>
      </c>
      <c r="I586" s="2465">
        <f>'Resume Analisa'!$D$37</f>
        <v>33453.230000000003</v>
      </c>
      <c r="J586" s="2480">
        <f>I586*E586</f>
        <v>0</v>
      </c>
      <c r="K586" s="2378" t="str">
        <f>IF(H586=0,"",IF(J586&lt;#REF!*H586,"Timpang &lt;"&amp;TEXT(#REF!,"0%"),IF(J586&gt;#REF!*H586,"Timpang &gt;"&amp;TEXT(#REF!,"0%"),"Wajar")))</f>
        <v/>
      </c>
      <c r="L586" s="2391">
        <v>33453.230000000003</v>
      </c>
      <c r="M586" s="2391">
        <f>E586*L586</f>
        <v>0</v>
      </c>
      <c r="N586" s="2375">
        <f t="shared" si="175"/>
        <v>0</v>
      </c>
      <c r="O586" s="2375">
        <v>0</v>
      </c>
      <c r="P586" s="2755" t="s">
        <v>117</v>
      </c>
      <c r="Q586" s="2375">
        <f t="shared" si="166"/>
        <v>0</v>
      </c>
      <c r="R586" s="2375">
        <f t="shared" si="169"/>
        <v>0</v>
      </c>
      <c r="S586" s="2375">
        <v>0</v>
      </c>
      <c r="T586" s="2398"/>
      <c r="U586" s="2375">
        <f t="shared" si="156"/>
        <v>0</v>
      </c>
      <c r="V586" s="2375"/>
      <c r="W586" s="2382">
        <f t="shared" si="157"/>
        <v>0</v>
      </c>
      <c r="X586" s="2755" t="s">
        <v>117</v>
      </c>
      <c r="Y586" s="2375">
        <f t="shared" si="158"/>
        <v>33453.230000000003</v>
      </c>
      <c r="Z586" s="2375"/>
      <c r="AA586" s="2377" t="s">
        <v>3355</v>
      </c>
    </row>
    <row r="587" spans="1:27" s="406" customFormat="1" ht="25" hidden="1" customHeight="1">
      <c r="A587" s="2749" t="s">
        <v>101</v>
      </c>
      <c r="B587" s="2751" t="s">
        <v>620</v>
      </c>
      <c r="C587" s="2752"/>
      <c r="D587" s="2753"/>
      <c r="E587" s="2754">
        <f>'11. Vol Bengkel G'!$M$36</f>
        <v>0.88200000000000001</v>
      </c>
      <c r="F587" s="2611" t="s">
        <v>103</v>
      </c>
      <c r="G587" s="2746">
        <v>507759.96</v>
      </c>
      <c r="H587" s="2746">
        <f>E587*G587</f>
        <v>447844.28472</v>
      </c>
      <c r="I587" s="2480">
        <f>'Resume Analisa'!$D$26</f>
        <v>475358.64</v>
      </c>
      <c r="J587" s="2480">
        <f>I587*E587</f>
        <v>419266.32047999999</v>
      </c>
      <c r="K587" s="2378" t="e">
        <f>IF(H587=0,"",IF(J587&lt;#REF!*H587,"Timpang &lt;"&amp;TEXT(#REF!,"0%"),IF(J587&gt;#REF!*H587,"Timpang &gt;"&amp;TEXT(#REF!,"0%"),"Wajar")))</f>
        <v>#REF!</v>
      </c>
      <c r="L587" s="2391">
        <v>475358.64</v>
      </c>
      <c r="M587" s="2391">
        <f>E587*L587</f>
        <v>419266.32047999999</v>
      </c>
      <c r="N587" s="2375">
        <f t="shared" si="175"/>
        <v>1.8314447637695705E-4</v>
      </c>
      <c r="O587" s="2375">
        <v>0</v>
      </c>
      <c r="P587" s="2611" t="s">
        <v>103</v>
      </c>
      <c r="Q587" s="2375">
        <f t="shared" si="166"/>
        <v>0</v>
      </c>
      <c r="R587" s="2375">
        <f t="shared" si="169"/>
        <v>0</v>
      </c>
      <c r="S587" s="2386">
        <v>0</v>
      </c>
      <c r="T587" s="2398"/>
      <c r="U587" s="2375">
        <f t="shared" si="156"/>
        <v>0</v>
      </c>
      <c r="V587" s="2375"/>
      <c r="W587" s="2382">
        <f t="shared" si="157"/>
        <v>0.88200000000000001</v>
      </c>
      <c r="X587" s="2611" t="s">
        <v>103</v>
      </c>
      <c r="Y587" s="2375">
        <f t="shared" si="158"/>
        <v>475358.64</v>
      </c>
      <c r="Z587" s="2375"/>
      <c r="AA587" s="2377" t="s">
        <v>3355</v>
      </c>
    </row>
    <row r="588" spans="1:27" s="406" customFormat="1" ht="25" hidden="1" customHeight="1">
      <c r="A588" s="2749" t="s">
        <v>121</v>
      </c>
      <c r="B588" s="2747" t="s">
        <v>403</v>
      </c>
      <c r="C588" s="2744"/>
      <c r="D588" s="2745"/>
      <c r="E588" s="2541">
        <f>'11. Vol Bengkel G'!$M$44</f>
        <v>5.04</v>
      </c>
      <c r="F588" s="2611" t="s">
        <v>103</v>
      </c>
      <c r="G588" s="2746">
        <v>1224235.95</v>
      </c>
      <c r="H588" s="2746">
        <f>E588*G588</f>
        <v>6170149.1880000001</v>
      </c>
      <c r="I588" s="2465">
        <f>'Resume Analisa'!$D$35</f>
        <v>1193268.75</v>
      </c>
      <c r="J588" s="2480">
        <f>I588*E588</f>
        <v>6014074.5</v>
      </c>
      <c r="K588" s="2378" t="e">
        <f>IF(H588=0,"",IF(J588&lt;#REF!*H588,"Timpang &lt;"&amp;TEXT(#REF!,"0%"),IF(J588&gt;#REF!*H588,"Timpang &gt;"&amp;TEXT(#REF!,"0%"),"Wajar")))</f>
        <v>#REF!</v>
      </c>
      <c r="L588" s="2391">
        <v>1193268.75</v>
      </c>
      <c r="M588" s="2391">
        <f>E588*L588</f>
        <v>6014074.5</v>
      </c>
      <c r="N588" s="2375">
        <f t="shared" si="175"/>
        <v>2.6270760883762693E-3</v>
      </c>
      <c r="O588" s="2375">
        <v>0</v>
      </c>
      <c r="P588" s="2611" t="s">
        <v>103</v>
      </c>
      <c r="Q588" s="2375">
        <f t="shared" si="166"/>
        <v>0</v>
      </c>
      <c r="R588" s="2375">
        <f t="shared" si="169"/>
        <v>0</v>
      </c>
      <c r="S588" s="2386">
        <v>0</v>
      </c>
      <c r="T588" s="2398"/>
      <c r="U588" s="2375">
        <f t="shared" si="156"/>
        <v>0</v>
      </c>
      <c r="V588" s="2375"/>
      <c r="W588" s="2382">
        <f t="shared" si="157"/>
        <v>5.04</v>
      </c>
      <c r="X588" s="2611" t="s">
        <v>103</v>
      </c>
      <c r="Y588" s="2375">
        <f t="shared" si="158"/>
        <v>1193268.75</v>
      </c>
      <c r="Z588" s="2375"/>
      <c r="AA588" s="2377" t="s">
        <v>3355</v>
      </c>
    </row>
    <row r="589" spans="1:27" s="406" customFormat="1" ht="25" hidden="1" customHeight="1">
      <c r="A589" s="2398">
        <f>A584+1</f>
        <v>4</v>
      </c>
      <c r="B589" s="2549" t="s">
        <v>408</v>
      </c>
      <c r="C589" s="2550"/>
      <c r="D589" s="2551"/>
      <c r="E589" s="2541">
        <f>'11. Vol Bengkel G'!$M$50</f>
        <v>10.939792499999999</v>
      </c>
      <c r="F589" s="2611" t="s">
        <v>100</v>
      </c>
      <c r="G589" s="2750">
        <v>25591.18</v>
      </c>
      <c r="H589" s="2746">
        <f>E589*G589</f>
        <v>279962.19903014996</v>
      </c>
      <c r="I589" s="2474">
        <f>'Resume Analisa'!$D$47</f>
        <v>26179.679999999997</v>
      </c>
      <c r="J589" s="2480">
        <f>I589*E589</f>
        <v>286400.26691639994</v>
      </c>
      <c r="K589" s="2378" t="e">
        <f>IF(H589=0,"",IF(J589&lt;#REF!*H589,"Timpang &lt;"&amp;TEXT(#REF!,"0%"),IF(J589&gt;#REF!*H589,"Timpang &gt;"&amp;TEXT(#REF!,"0%"),"Wajar")))</f>
        <v>#REF!</v>
      </c>
      <c r="L589" s="2475">
        <v>26179.679999999997</v>
      </c>
      <c r="M589" s="2391">
        <f>E589*L589</f>
        <v>286400.26691639994</v>
      </c>
      <c r="N589" s="2375">
        <f t="shared" si="175"/>
        <v>1.2510574867681727E-4</v>
      </c>
      <c r="O589" s="2375">
        <v>0</v>
      </c>
      <c r="P589" s="2611" t="s">
        <v>100</v>
      </c>
      <c r="Q589" s="2375">
        <f t="shared" si="166"/>
        <v>0</v>
      </c>
      <c r="R589" s="2375">
        <f t="shared" si="169"/>
        <v>0</v>
      </c>
      <c r="S589" s="2375">
        <v>0</v>
      </c>
      <c r="T589" s="2398"/>
      <c r="U589" s="2375">
        <f t="shared" si="156"/>
        <v>0</v>
      </c>
      <c r="V589" s="2375"/>
      <c r="W589" s="2382">
        <f t="shared" si="157"/>
        <v>10.939792499999999</v>
      </c>
      <c r="X589" s="2611" t="s">
        <v>100</v>
      </c>
      <c r="Y589" s="2375">
        <f t="shared" si="158"/>
        <v>26179.679999999997</v>
      </c>
      <c r="Z589" s="2375"/>
      <c r="AA589" s="2377" t="s">
        <v>3355</v>
      </c>
    </row>
    <row r="590" spans="1:27" s="406" customFormat="1" ht="25" hidden="1" customHeight="1">
      <c r="A590" s="2611">
        <f>A589+1</f>
        <v>5</v>
      </c>
      <c r="B590" s="2747" t="s">
        <v>437</v>
      </c>
      <c r="C590" s="2744"/>
      <c r="D590" s="2745"/>
      <c r="E590" s="2541"/>
      <c r="F590" s="2611"/>
      <c r="G590" s="2756"/>
      <c r="H590" s="2746"/>
      <c r="I590" s="2757"/>
      <c r="J590" s="2480"/>
      <c r="K590" s="2389"/>
      <c r="L590" s="2565"/>
      <c r="M590" s="2391"/>
      <c r="N590" s="2375">
        <f t="shared" si="175"/>
        <v>0</v>
      </c>
      <c r="O590" s="2375">
        <v>0</v>
      </c>
      <c r="P590" s="2611"/>
      <c r="Q590" s="2375">
        <f t="shared" si="166"/>
        <v>0</v>
      </c>
      <c r="R590" s="2375">
        <f t="shared" si="169"/>
        <v>0</v>
      </c>
      <c r="S590" s="2375">
        <v>0</v>
      </c>
      <c r="T590" s="2398"/>
      <c r="U590" s="2375">
        <f t="shared" si="156"/>
        <v>0</v>
      </c>
      <c r="V590" s="2375"/>
      <c r="W590" s="2382">
        <f t="shared" si="157"/>
        <v>0</v>
      </c>
      <c r="X590" s="2611"/>
      <c r="Y590" s="2375">
        <f t="shared" si="158"/>
        <v>0</v>
      </c>
      <c r="Z590" s="2375"/>
      <c r="AA590" s="2377" t="s">
        <v>3355</v>
      </c>
    </row>
    <row r="591" spans="1:27" s="406" customFormat="1" ht="25" hidden="1" customHeight="1">
      <c r="A591" s="2749" t="s">
        <v>95</v>
      </c>
      <c r="B591" s="2549" t="s">
        <v>438</v>
      </c>
      <c r="C591" s="2744"/>
      <c r="D591" s="2745"/>
      <c r="E591" s="2541">
        <f>'11. Vol Bengkel G'!$M$55</f>
        <v>0.17280000000000001</v>
      </c>
      <c r="F591" s="2611" t="s">
        <v>103</v>
      </c>
      <c r="G591" s="2746">
        <v>50600</v>
      </c>
      <c r="H591" s="2746">
        <f t="shared" ref="H591:H597" si="178">E591*G591</f>
        <v>8743.68</v>
      </c>
      <c r="I591" s="2465">
        <f>'Resume Analisa'!$D$18</f>
        <v>49036.76</v>
      </c>
      <c r="J591" s="2480">
        <f>I591*E591</f>
        <v>8473.5521280000012</v>
      </c>
      <c r="K591" s="2378" t="e">
        <f>IF(H591=0,"",IF(J591&lt;#REF!*H591,"Timpang &lt;"&amp;TEXT(#REF!,"0%"),IF(J591&gt;#REF!*H591,"Timpang &gt;"&amp;TEXT(#REF!,"0%"),"Wajar")))</f>
        <v>#REF!</v>
      </c>
      <c r="L591" s="2391">
        <v>49036.76</v>
      </c>
      <c r="M591" s="2391">
        <f t="shared" ref="M591:M597" si="179">E591*L591</f>
        <v>8473.5521280000012</v>
      </c>
      <c r="N591" s="2375">
        <f t="shared" si="175"/>
        <v>3.7014284041673673E-6</v>
      </c>
      <c r="O591" s="2375">
        <v>0</v>
      </c>
      <c r="P591" s="2611" t="s">
        <v>103</v>
      </c>
      <c r="Q591" s="2375">
        <f t="shared" si="166"/>
        <v>0</v>
      </c>
      <c r="R591" s="2375">
        <f t="shared" si="169"/>
        <v>0</v>
      </c>
      <c r="S591" s="2375">
        <v>0</v>
      </c>
      <c r="T591" s="2398"/>
      <c r="U591" s="2375">
        <f t="shared" si="156"/>
        <v>0</v>
      </c>
      <c r="V591" s="2375"/>
      <c r="W591" s="2382">
        <f t="shared" si="157"/>
        <v>0.17280000000000001</v>
      </c>
      <c r="X591" s="2611" t="s">
        <v>103</v>
      </c>
      <c r="Y591" s="2375">
        <f t="shared" si="158"/>
        <v>49036.76</v>
      </c>
      <c r="Z591" s="2375"/>
      <c r="AA591" s="2377" t="s">
        <v>3355</v>
      </c>
    </row>
    <row r="592" spans="1:27" s="406" customFormat="1" ht="25" hidden="1" customHeight="1">
      <c r="A592" s="2749" t="s">
        <v>98</v>
      </c>
      <c r="B592" s="2549" t="s">
        <v>439</v>
      </c>
      <c r="C592" s="2744"/>
      <c r="D592" s="2745"/>
      <c r="E592" s="2541">
        <f>'11. Vol Bengkel G'!$M$59</f>
        <v>2.7</v>
      </c>
      <c r="F592" s="2611" t="s">
        <v>89</v>
      </c>
      <c r="G592" s="2746">
        <v>166165.41</v>
      </c>
      <c r="H592" s="2746">
        <f t="shared" si="178"/>
        <v>448646.60700000002</v>
      </c>
      <c r="I592" s="2480">
        <f>'Resume Analisa'!$D$69</f>
        <v>161086.38</v>
      </c>
      <c r="J592" s="2567">
        <f>E592*I592</f>
        <v>434933.22600000002</v>
      </c>
      <c r="K592" s="2378" t="e">
        <f>IF(H592=0,"",IF(J592&lt;#REF!*H592,"Timpang &lt;"&amp;TEXT(#REF!,"0%"),IF(J592&gt;#REF!*H592,"Timpang &gt;"&amp;TEXT(#REF!,"0%"),"Wajar")))</f>
        <v>#REF!</v>
      </c>
      <c r="L592" s="2391">
        <v>161086.38</v>
      </c>
      <c r="M592" s="2391">
        <f t="shared" si="179"/>
        <v>434933.22600000002</v>
      </c>
      <c r="N592" s="2375">
        <f t="shared" si="175"/>
        <v>1.89988115056598E-4</v>
      </c>
      <c r="O592" s="2375">
        <v>0</v>
      </c>
      <c r="P592" s="2611" t="s">
        <v>89</v>
      </c>
      <c r="Q592" s="2375">
        <f t="shared" si="166"/>
        <v>0</v>
      </c>
      <c r="R592" s="2375">
        <f t="shared" si="169"/>
        <v>0</v>
      </c>
      <c r="S592" s="2375">
        <v>0</v>
      </c>
      <c r="T592" s="2398"/>
      <c r="U592" s="2375">
        <f t="shared" ref="U592:U655" si="180">S592*L592</f>
        <v>0</v>
      </c>
      <c r="V592" s="2375"/>
      <c r="W592" s="2382">
        <f t="shared" ref="W592:W655" si="181">(E592+O592)-S592</f>
        <v>2.7</v>
      </c>
      <c r="X592" s="2611" t="s">
        <v>89</v>
      </c>
      <c r="Y592" s="2375">
        <f t="shared" ref="Y592:Y655" si="182">L592</f>
        <v>161086.38</v>
      </c>
      <c r="Z592" s="2375"/>
      <c r="AA592" s="2377" t="s">
        <v>3355</v>
      </c>
    </row>
    <row r="593" spans="1:27" s="406" customFormat="1" ht="25" hidden="1" customHeight="1">
      <c r="A593" s="2749" t="s">
        <v>101</v>
      </c>
      <c r="B593" s="2549" t="s">
        <v>440</v>
      </c>
      <c r="C593" s="2744"/>
      <c r="D593" s="2745"/>
      <c r="E593" s="2541">
        <f>'11. Vol Bengkel G'!$M$63</f>
        <v>0.09</v>
      </c>
      <c r="F593" s="2611" t="s">
        <v>103</v>
      </c>
      <c r="G593" s="2746">
        <v>200606.23</v>
      </c>
      <c r="H593" s="2746">
        <f t="shared" si="178"/>
        <v>18054.560700000002</v>
      </c>
      <c r="I593" s="2480">
        <f>'Resume Analisa'!$D$24</f>
        <v>189662.29</v>
      </c>
      <c r="J593" s="2567">
        <f>E593*I593</f>
        <v>17069.606100000001</v>
      </c>
      <c r="K593" s="2378" t="e">
        <f>IF(H593=0,"",IF(J593&lt;#REF!*H593,"Timpang &lt;"&amp;TEXT(#REF!,"0%"),IF(J593&gt;#REF!*H593,"Timpang &gt;"&amp;TEXT(#REF!,"0%"),"Wajar")))</f>
        <v>#REF!</v>
      </c>
      <c r="L593" s="2391">
        <v>189662.29</v>
      </c>
      <c r="M593" s="2391">
        <f t="shared" si="179"/>
        <v>17069.606100000001</v>
      </c>
      <c r="N593" s="2375">
        <f t="shared" si="175"/>
        <v>7.4563682281141858E-6</v>
      </c>
      <c r="O593" s="2375">
        <v>0</v>
      </c>
      <c r="P593" s="2611" t="s">
        <v>103</v>
      </c>
      <c r="Q593" s="2375">
        <f t="shared" si="166"/>
        <v>0</v>
      </c>
      <c r="R593" s="2375">
        <f t="shared" si="169"/>
        <v>0</v>
      </c>
      <c r="S593" s="2375">
        <v>0</v>
      </c>
      <c r="T593" s="2398"/>
      <c r="U593" s="2375">
        <f t="shared" si="180"/>
        <v>0</v>
      </c>
      <c r="V593" s="2375"/>
      <c r="W593" s="2382">
        <f t="shared" si="181"/>
        <v>0.09</v>
      </c>
      <c r="X593" s="2611" t="s">
        <v>103</v>
      </c>
      <c r="Y593" s="2375">
        <f t="shared" si="182"/>
        <v>189662.29</v>
      </c>
      <c r="Z593" s="2375"/>
      <c r="AA593" s="2377" t="s">
        <v>3355</v>
      </c>
    </row>
    <row r="594" spans="1:27" s="406" customFormat="1" ht="25" hidden="1" customHeight="1">
      <c r="A594" s="2749" t="s">
        <v>121</v>
      </c>
      <c r="B594" s="2549" t="s">
        <v>441</v>
      </c>
      <c r="C594" s="2550"/>
      <c r="D594" s="2551"/>
      <c r="E594" s="2541">
        <f>'11. Vol Bengkel G'!$M$67</f>
        <v>5.3999999999999992E-2</v>
      </c>
      <c r="F594" s="2398" t="s">
        <v>103</v>
      </c>
      <c r="G594" s="2746">
        <v>507759.96</v>
      </c>
      <c r="H594" s="2746">
        <f t="shared" si="178"/>
        <v>27419.037839999997</v>
      </c>
      <c r="I594" s="2480">
        <f>'Resume Analisa'!$D$26</f>
        <v>475358.64</v>
      </c>
      <c r="J594" s="2748">
        <f>E594*I594</f>
        <v>25669.366559999999</v>
      </c>
      <c r="K594" s="2378" t="e">
        <f>IF(H594=0,"",IF(J594&lt;#REF!*H594,"Timpang &lt;"&amp;TEXT(#REF!,"0%"),IF(J594&gt;#REF!*H594,"Timpang &gt;"&amp;TEXT(#REF!,"0%"),"Wajar")))</f>
        <v>#REF!</v>
      </c>
      <c r="L594" s="2391">
        <v>475358.64</v>
      </c>
      <c r="M594" s="2391">
        <f t="shared" si="179"/>
        <v>25669.366559999999</v>
      </c>
      <c r="N594" s="2375">
        <f t="shared" si="175"/>
        <v>1.1212927125119819E-5</v>
      </c>
      <c r="O594" s="2375">
        <v>0</v>
      </c>
      <c r="P594" s="2398" t="s">
        <v>103</v>
      </c>
      <c r="Q594" s="2375">
        <f t="shared" si="166"/>
        <v>0</v>
      </c>
      <c r="R594" s="2375">
        <f t="shared" si="169"/>
        <v>0</v>
      </c>
      <c r="S594" s="2386">
        <v>0</v>
      </c>
      <c r="T594" s="2398"/>
      <c r="U594" s="2375">
        <f t="shared" si="180"/>
        <v>0</v>
      </c>
      <c r="V594" s="2375"/>
      <c r="W594" s="2382">
        <f t="shared" si="181"/>
        <v>5.3999999999999992E-2</v>
      </c>
      <c r="X594" s="2398" t="s">
        <v>103</v>
      </c>
      <c r="Y594" s="2375">
        <f t="shared" si="182"/>
        <v>475358.64</v>
      </c>
      <c r="Z594" s="2375"/>
      <c r="AA594" s="2377" t="s">
        <v>3355</v>
      </c>
    </row>
    <row r="595" spans="1:27" s="406" customFormat="1" ht="25" hidden="1" customHeight="1">
      <c r="A595" s="2749" t="s">
        <v>142</v>
      </c>
      <c r="B595" s="2549" t="s">
        <v>192</v>
      </c>
      <c r="C595" s="2550"/>
      <c r="D595" s="2551"/>
      <c r="E595" s="2541">
        <f>'11. Vol Bengkel G'!$M$71</f>
        <v>0.126</v>
      </c>
      <c r="F595" s="2398" t="s">
        <v>103</v>
      </c>
      <c r="G595" s="2746">
        <v>1422226.08</v>
      </c>
      <c r="H595" s="2746">
        <f t="shared" si="178"/>
        <v>179200.48608</v>
      </c>
      <c r="I595" s="2465">
        <f>'Resume Analisa'!$D$54</f>
        <v>1384580.76</v>
      </c>
      <c r="J595" s="2480">
        <f>I595*E595</f>
        <v>174457.17576000001</v>
      </c>
      <c r="K595" s="2378" t="e">
        <f>IF(H595=0,"",IF(J595&lt;#REF!*H595,"Timpang &lt;"&amp;TEXT(#REF!,"0%"),IF(J595&gt;#REF!*H595,"Timpang &gt;"&amp;TEXT(#REF!,"0%"),"Wajar")))</f>
        <v>#REF!</v>
      </c>
      <c r="L595" s="2391">
        <v>1384580.76</v>
      </c>
      <c r="M595" s="2391">
        <f t="shared" si="179"/>
        <v>174457.17576000001</v>
      </c>
      <c r="N595" s="2375">
        <f t="shared" si="175"/>
        <v>7.6206617474517842E-5</v>
      </c>
      <c r="O595" s="2375">
        <v>0</v>
      </c>
      <c r="P595" s="2398" t="s">
        <v>103</v>
      </c>
      <c r="Q595" s="2375">
        <f t="shared" si="166"/>
        <v>0</v>
      </c>
      <c r="R595" s="2375">
        <f t="shared" si="169"/>
        <v>0</v>
      </c>
      <c r="S595" s="2386">
        <v>0</v>
      </c>
      <c r="T595" s="2398"/>
      <c r="U595" s="2375">
        <f t="shared" si="180"/>
        <v>0</v>
      </c>
      <c r="V595" s="2375"/>
      <c r="W595" s="2382">
        <f t="shared" si="181"/>
        <v>0.126</v>
      </c>
      <c r="X595" s="2398" t="s">
        <v>103</v>
      </c>
      <c r="Y595" s="2375">
        <f t="shared" si="182"/>
        <v>1384580.76</v>
      </c>
      <c r="Z595" s="2375"/>
      <c r="AA595" s="2377" t="s">
        <v>3355</v>
      </c>
    </row>
    <row r="596" spans="1:27" s="406" customFormat="1" ht="25" hidden="1" customHeight="1">
      <c r="A596" s="2749" t="s">
        <v>217</v>
      </c>
      <c r="B596" s="2549" t="s">
        <v>442</v>
      </c>
      <c r="C596" s="2744"/>
      <c r="D596" s="2745"/>
      <c r="E596" s="2541">
        <f>'11. Vol Bengkel G'!$M$77</f>
        <v>1.08</v>
      </c>
      <c r="F596" s="2611" t="s">
        <v>89</v>
      </c>
      <c r="G596" s="2746">
        <v>61230.840000000004</v>
      </c>
      <c r="H596" s="2746">
        <f t="shared" si="178"/>
        <v>66129.30720000001</v>
      </c>
      <c r="I596" s="2465">
        <f>'Resume Analisa'!$D$70</f>
        <v>58648.57</v>
      </c>
      <c r="J596" s="2567">
        <f>E596*I596</f>
        <v>63340.455600000001</v>
      </c>
      <c r="K596" s="2378" t="e">
        <f>IF(H596=0,"",IF(J596&lt;#REF!*H596,"Timpang &lt;"&amp;TEXT(#REF!,"0%"),IF(J596&gt;#REF!*H596,"Timpang &gt;"&amp;TEXT(#REF!,"0%"),"Wajar")))</f>
        <v>#REF!</v>
      </c>
      <c r="L596" s="2391">
        <v>58648.57</v>
      </c>
      <c r="M596" s="2391">
        <f t="shared" si="179"/>
        <v>63340.455600000001</v>
      </c>
      <c r="N596" s="2375">
        <f t="shared" si="175"/>
        <v>2.7668462759086001E-5</v>
      </c>
      <c r="O596" s="2375">
        <v>0</v>
      </c>
      <c r="P596" s="2611" t="s">
        <v>89</v>
      </c>
      <c r="Q596" s="2375">
        <f t="shared" si="166"/>
        <v>0</v>
      </c>
      <c r="R596" s="2375">
        <f t="shared" si="169"/>
        <v>0</v>
      </c>
      <c r="S596" s="2375">
        <v>0</v>
      </c>
      <c r="T596" s="2398"/>
      <c r="U596" s="2375">
        <f t="shared" si="180"/>
        <v>0</v>
      </c>
      <c r="V596" s="2375"/>
      <c r="W596" s="2382">
        <f t="shared" si="181"/>
        <v>1.08</v>
      </c>
      <c r="X596" s="2611" t="s">
        <v>89</v>
      </c>
      <c r="Y596" s="2375">
        <f t="shared" si="182"/>
        <v>58648.57</v>
      </c>
      <c r="Z596" s="2375"/>
      <c r="AA596" s="2377" t="s">
        <v>3355</v>
      </c>
    </row>
    <row r="597" spans="1:27" s="406" customFormat="1" ht="25" hidden="1" customHeight="1">
      <c r="A597" s="2749" t="s">
        <v>366</v>
      </c>
      <c r="B597" s="2549" t="s">
        <v>194</v>
      </c>
      <c r="C597" s="2744"/>
      <c r="D597" s="2745"/>
      <c r="E597" s="2541">
        <f>'11. Vol Bengkel G'!$M$83</f>
        <v>2.88</v>
      </c>
      <c r="F597" s="2611" t="s">
        <v>89</v>
      </c>
      <c r="G597" s="2746">
        <v>45612.170000000006</v>
      </c>
      <c r="H597" s="2746">
        <f t="shared" si="178"/>
        <v>131363.0496</v>
      </c>
      <c r="I597" s="2465">
        <f>'Resume Analisa'!$D$72</f>
        <v>43813.91</v>
      </c>
      <c r="J597" s="2567">
        <f>E597*I597</f>
        <v>126184.06080000001</v>
      </c>
      <c r="K597" s="2378" t="e">
        <f>IF(H597=0,"",IF(J597&lt;#REF!*H597,"Timpang &lt;"&amp;TEXT(#REF!,"0%"),IF(J597&gt;#REF!*H597,"Timpang &gt;"&amp;TEXT(#REF!,"0%"),"Wajar")))</f>
        <v>#REF!</v>
      </c>
      <c r="L597" s="2391">
        <v>43813.91</v>
      </c>
      <c r="M597" s="2391">
        <f t="shared" si="179"/>
        <v>126184.06080000001</v>
      </c>
      <c r="N597" s="2375">
        <f t="shared" si="175"/>
        <v>5.5119890660133555E-5</v>
      </c>
      <c r="O597" s="2375">
        <v>0</v>
      </c>
      <c r="P597" s="2611" t="s">
        <v>89</v>
      </c>
      <c r="Q597" s="2375">
        <f t="shared" si="166"/>
        <v>0</v>
      </c>
      <c r="R597" s="2375">
        <f t="shared" si="169"/>
        <v>0</v>
      </c>
      <c r="S597" s="2375">
        <v>0</v>
      </c>
      <c r="T597" s="2398"/>
      <c r="U597" s="2375">
        <f t="shared" si="180"/>
        <v>0</v>
      </c>
      <c r="V597" s="2375"/>
      <c r="W597" s="2382">
        <f t="shared" si="181"/>
        <v>2.88</v>
      </c>
      <c r="X597" s="2611" t="s">
        <v>89</v>
      </c>
      <c r="Y597" s="2375">
        <f t="shared" si="182"/>
        <v>43813.91</v>
      </c>
      <c r="Z597" s="2375"/>
      <c r="AA597" s="2377" t="s">
        <v>3355</v>
      </c>
    </row>
    <row r="598" spans="1:27" s="406" customFormat="1" ht="25" hidden="1" customHeight="1">
      <c r="A598" s="2611">
        <f>A590+1</f>
        <v>6</v>
      </c>
      <c r="B598" s="2549" t="s">
        <v>524</v>
      </c>
      <c r="C598" s="2744"/>
      <c r="D598" s="2745"/>
      <c r="E598" s="2541"/>
      <c r="F598" s="2611"/>
      <c r="G598" s="2746"/>
      <c r="H598" s="2746"/>
      <c r="I598" s="2588"/>
      <c r="J598" s="2746"/>
      <c r="K598" s="2389"/>
      <c r="L598" s="2391"/>
      <c r="M598" s="2391"/>
      <c r="N598" s="2375">
        <f t="shared" si="175"/>
        <v>0</v>
      </c>
      <c r="O598" s="2375">
        <v>0</v>
      </c>
      <c r="P598" s="2611"/>
      <c r="Q598" s="2375">
        <f t="shared" si="166"/>
        <v>0</v>
      </c>
      <c r="R598" s="2375">
        <f t="shared" si="169"/>
        <v>0</v>
      </c>
      <c r="S598" s="2375">
        <v>0</v>
      </c>
      <c r="T598" s="2398"/>
      <c r="U598" s="2375">
        <f t="shared" si="180"/>
        <v>0</v>
      </c>
      <c r="V598" s="2375"/>
      <c r="W598" s="2382">
        <f t="shared" si="181"/>
        <v>0</v>
      </c>
      <c r="X598" s="2611"/>
      <c r="Y598" s="2375">
        <f t="shared" si="182"/>
        <v>0</v>
      </c>
      <c r="Z598" s="2375"/>
      <c r="AA598" s="2377" t="s">
        <v>3355</v>
      </c>
    </row>
    <row r="599" spans="1:27" s="406" customFormat="1" ht="25" hidden="1" customHeight="1">
      <c r="A599" s="2749" t="s">
        <v>95</v>
      </c>
      <c r="B599" s="2561" t="s">
        <v>221</v>
      </c>
      <c r="C599" s="2744"/>
      <c r="D599" s="2745"/>
      <c r="E599" s="2541">
        <f>'11. Vol Bengkel G'!$M$88</f>
        <v>12.599999999999998</v>
      </c>
      <c r="F599" s="2611" t="s">
        <v>89</v>
      </c>
      <c r="G599" s="2746">
        <v>230885.5</v>
      </c>
      <c r="H599" s="2746">
        <f>E599*G599</f>
        <v>2909157.2999999993</v>
      </c>
      <c r="I599" s="2480">
        <f>'Resume Analisa'!$D$39</f>
        <v>232328.86000000002</v>
      </c>
      <c r="J599" s="2480">
        <f>I599*E599</f>
        <v>2927343.6359999995</v>
      </c>
      <c r="K599" s="2378" t="e">
        <f>IF(H599=0,"",IF(J599&lt;#REF!*H599,"Timpang &lt;"&amp;TEXT(#REF!,"0%"),IF(J599&gt;#REF!*H599,"Timpang &gt;"&amp;TEXT(#REF!,"0%"),"Wajar")))</f>
        <v>#REF!</v>
      </c>
      <c r="L599" s="2391">
        <v>232328.86000000002</v>
      </c>
      <c r="M599" s="2391">
        <f>E599*L599</f>
        <v>2927343.6359999995</v>
      </c>
      <c r="N599" s="2375">
        <f t="shared" si="175"/>
        <v>1.2787261728460539E-3</v>
      </c>
      <c r="O599" s="2375">
        <v>0</v>
      </c>
      <c r="P599" s="2611" t="s">
        <v>89</v>
      </c>
      <c r="Q599" s="2375">
        <f t="shared" si="166"/>
        <v>0</v>
      </c>
      <c r="R599" s="2375">
        <f t="shared" si="169"/>
        <v>0</v>
      </c>
      <c r="S599" s="2375">
        <v>0</v>
      </c>
      <c r="T599" s="2398"/>
      <c r="U599" s="2375">
        <f t="shared" si="180"/>
        <v>0</v>
      </c>
      <c r="V599" s="2375"/>
      <c r="W599" s="2382">
        <f t="shared" si="181"/>
        <v>12.599999999999998</v>
      </c>
      <c r="X599" s="2611" t="s">
        <v>89</v>
      </c>
      <c r="Y599" s="2375">
        <f t="shared" si="182"/>
        <v>232328.86000000002</v>
      </c>
      <c r="Z599" s="2375"/>
      <c r="AA599" s="2377" t="s">
        <v>3355</v>
      </c>
    </row>
    <row r="600" spans="1:27" s="406" customFormat="1" ht="25" hidden="1" customHeight="1">
      <c r="A600" s="2749" t="s">
        <v>98</v>
      </c>
      <c r="B600" s="2549" t="s">
        <v>410</v>
      </c>
      <c r="C600" s="2744"/>
      <c r="D600" s="2745"/>
      <c r="E600" s="2541">
        <f>'11. Vol Bengkel G'!$M$92</f>
        <v>64.732500000000002</v>
      </c>
      <c r="F600" s="2611" t="s">
        <v>100</v>
      </c>
      <c r="G600" s="2746">
        <v>19151.18</v>
      </c>
      <c r="H600" s="2746">
        <f>E600*G600</f>
        <v>1239703.7593499999</v>
      </c>
      <c r="I600" s="2465">
        <f>'Resume Analisa'!$D$48</f>
        <v>18790.969999999998</v>
      </c>
      <c r="J600" s="2480">
        <f>I600*E600</f>
        <v>1216386.4655249999</v>
      </c>
      <c r="K600" s="2378" t="e">
        <f>IF(H600=0,"",IF(J600&lt;#REF!*H600,"Timpang &lt;"&amp;TEXT(#REF!,"0%"),IF(J600&gt;#REF!*H600,"Timpang &gt;"&amp;TEXT(#REF!,"0%"),"Wajar")))</f>
        <v>#REF!</v>
      </c>
      <c r="L600" s="2391">
        <v>18790.969999999998</v>
      </c>
      <c r="M600" s="2391">
        <f>E600*L600</f>
        <v>1216386.4655249999</v>
      </c>
      <c r="N600" s="2375">
        <f t="shared" si="175"/>
        <v>5.3134356712828421E-4</v>
      </c>
      <c r="O600" s="2375">
        <v>0</v>
      </c>
      <c r="P600" s="2611" t="s">
        <v>100</v>
      </c>
      <c r="Q600" s="2375">
        <f t="shared" si="166"/>
        <v>0</v>
      </c>
      <c r="R600" s="2375">
        <f t="shared" si="169"/>
        <v>0</v>
      </c>
      <c r="S600" s="2375">
        <v>0</v>
      </c>
      <c r="T600" s="2398"/>
      <c r="U600" s="2375">
        <f t="shared" si="180"/>
        <v>0</v>
      </c>
      <c r="V600" s="2375"/>
      <c r="W600" s="2382">
        <f t="shared" si="181"/>
        <v>64.732500000000002</v>
      </c>
      <c r="X600" s="2611" t="s">
        <v>100</v>
      </c>
      <c r="Y600" s="2375">
        <f t="shared" si="182"/>
        <v>18790.969999999998</v>
      </c>
      <c r="Z600" s="2375"/>
      <c r="AA600" s="2377" t="s">
        <v>3355</v>
      </c>
    </row>
    <row r="601" spans="1:27" s="406" customFormat="1" ht="25" hidden="1" customHeight="1">
      <c r="A601" s="2749" t="s">
        <v>101</v>
      </c>
      <c r="B601" s="2549" t="s">
        <v>529</v>
      </c>
      <c r="C601" s="2744"/>
      <c r="D601" s="2745"/>
      <c r="E601" s="2541">
        <f>'11. Vol Bengkel G'!$M$96</f>
        <v>25.354425600000006</v>
      </c>
      <c r="F601" s="2611" t="s">
        <v>100</v>
      </c>
      <c r="G601" s="2746">
        <v>19151.18</v>
      </c>
      <c r="H601" s="2746">
        <f>E601*G601</f>
        <v>485567.16846220812</v>
      </c>
      <c r="I601" s="2480">
        <f>'Resume Analisa'!$D$48</f>
        <v>18790.969999999998</v>
      </c>
      <c r="J601" s="2480">
        <f>I601*E601</f>
        <v>476434.25081683206</v>
      </c>
      <c r="K601" s="2378" t="e">
        <f>IF(H601=0,"",IF(J601&lt;#REF!*H601,"Timpang &lt;"&amp;TEXT(#REF!,"0%"),IF(J601&gt;#REF!*H601,"Timpang &gt;"&amp;TEXT(#REF!,"0%"),"Wajar")))</f>
        <v>#REF!</v>
      </c>
      <c r="L601" s="2391">
        <v>18790.969999999998</v>
      </c>
      <c r="M601" s="2391">
        <f>E601*L601</f>
        <v>476434.25081683206</v>
      </c>
      <c r="N601" s="2375">
        <f t="shared" si="175"/>
        <v>2.0811664837280642E-4</v>
      </c>
      <c r="O601" s="2375">
        <v>0</v>
      </c>
      <c r="P601" s="2611" t="s">
        <v>100</v>
      </c>
      <c r="Q601" s="2375">
        <f t="shared" si="166"/>
        <v>0</v>
      </c>
      <c r="R601" s="2375">
        <f t="shared" si="169"/>
        <v>0</v>
      </c>
      <c r="S601" s="2386">
        <v>0</v>
      </c>
      <c r="T601" s="2398"/>
      <c r="U601" s="2375">
        <f t="shared" si="180"/>
        <v>0</v>
      </c>
      <c r="V601" s="2375"/>
      <c r="W601" s="2382">
        <f t="shared" si="181"/>
        <v>25.354425600000006</v>
      </c>
      <c r="X601" s="2611" t="s">
        <v>100</v>
      </c>
      <c r="Y601" s="2375">
        <f t="shared" si="182"/>
        <v>18790.969999999998</v>
      </c>
      <c r="Z601" s="2375"/>
      <c r="AA601" s="2377" t="s">
        <v>3355</v>
      </c>
    </row>
    <row r="602" spans="1:27" s="406" customFormat="1" ht="25" hidden="1" customHeight="1">
      <c r="A602" s="2749" t="s">
        <v>121</v>
      </c>
      <c r="B602" s="2549" t="s">
        <v>429</v>
      </c>
      <c r="C602" s="2744"/>
      <c r="D602" s="2745"/>
      <c r="E602" s="2541">
        <f>'11. Vol Bengkel G'!$M$100</f>
        <v>0.94499999999999984</v>
      </c>
      <c r="F602" s="2611" t="s">
        <v>103</v>
      </c>
      <c r="G602" s="2746">
        <v>1584129.98</v>
      </c>
      <c r="H602" s="2746">
        <f>E602*G602</f>
        <v>1497002.8310999998</v>
      </c>
      <c r="I602" s="2465">
        <f>'Resume Analisa'!$D$55</f>
        <v>1535009.1300000001</v>
      </c>
      <c r="J602" s="2748">
        <f>E602*I602</f>
        <v>1450583.6278499998</v>
      </c>
      <c r="K602" s="2378" t="e">
        <f>IF(H602=0,"",IF(J602&lt;#REF!*H602,"Timpang &lt;"&amp;TEXT(#REF!,"0%"),IF(J602&gt;#REF!*H602,"Timpang &gt;"&amp;TEXT(#REF!,"0%"),"Wajar")))</f>
        <v>#REF!</v>
      </c>
      <c r="L602" s="2391">
        <v>1535009.1300000001</v>
      </c>
      <c r="M602" s="2391">
        <f>E602*L602</f>
        <v>1450583.6278499998</v>
      </c>
      <c r="N602" s="2375">
        <f t="shared" si="175"/>
        <v>6.3364588564954357E-4</v>
      </c>
      <c r="O602" s="2375">
        <v>0</v>
      </c>
      <c r="P602" s="2611" t="s">
        <v>103</v>
      </c>
      <c r="Q602" s="2375">
        <f t="shared" si="166"/>
        <v>0</v>
      </c>
      <c r="R602" s="2375">
        <f t="shared" si="169"/>
        <v>0</v>
      </c>
      <c r="S602" s="2386">
        <v>0</v>
      </c>
      <c r="T602" s="2398"/>
      <c r="U602" s="2375">
        <f t="shared" si="180"/>
        <v>0</v>
      </c>
      <c r="V602" s="2375"/>
      <c r="W602" s="2382">
        <f t="shared" si="181"/>
        <v>0.94499999999999984</v>
      </c>
      <c r="X602" s="2611" t="s">
        <v>103</v>
      </c>
      <c r="Y602" s="2375">
        <f t="shared" si="182"/>
        <v>1535009.1300000001</v>
      </c>
      <c r="Z602" s="2375"/>
      <c r="AA602" s="2377" t="s">
        <v>3355</v>
      </c>
    </row>
    <row r="603" spans="1:27" s="406" customFormat="1" ht="25" hidden="1" customHeight="1">
      <c r="A603" s="2398">
        <f>A598+1</f>
        <v>7</v>
      </c>
      <c r="B603" s="2549" t="s">
        <v>527</v>
      </c>
      <c r="C603" s="2550"/>
      <c r="D603" s="2551"/>
      <c r="E603" s="2397"/>
      <c r="F603" s="2758"/>
      <c r="G603" s="2746"/>
      <c r="H603" s="2746"/>
      <c r="I603" s="2465"/>
      <c r="J603" s="2748"/>
      <c r="K603" s="2389"/>
      <c r="L603" s="2391"/>
      <c r="M603" s="2391"/>
      <c r="N603" s="2375">
        <f t="shared" si="175"/>
        <v>0</v>
      </c>
      <c r="O603" s="2375">
        <v>0</v>
      </c>
      <c r="P603" s="2758"/>
      <c r="Q603" s="2375">
        <f t="shared" si="166"/>
        <v>0</v>
      </c>
      <c r="R603" s="2375">
        <f t="shared" si="169"/>
        <v>0</v>
      </c>
      <c r="S603" s="2375">
        <v>0</v>
      </c>
      <c r="T603" s="2398"/>
      <c r="U603" s="2375">
        <f t="shared" si="180"/>
        <v>0</v>
      </c>
      <c r="V603" s="2375"/>
      <c r="W603" s="2382">
        <f t="shared" si="181"/>
        <v>0</v>
      </c>
      <c r="X603" s="2758"/>
      <c r="Y603" s="2375">
        <f t="shared" si="182"/>
        <v>0</v>
      </c>
      <c r="Z603" s="2375"/>
      <c r="AA603" s="2377" t="s">
        <v>3355</v>
      </c>
    </row>
    <row r="604" spans="1:27" s="406" customFormat="1" ht="25" hidden="1" customHeight="1">
      <c r="A604" s="2555" t="s">
        <v>95</v>
      </c>
      <c r="B604" s="2549" t="s">
        <v>417</v>
      </c>
      <c r="C604" s="2550"/>
      <c r="D604" s="2551"/>
      <c r="E604" s="2397">
        <f>'11. Vol Bengkel G'!$M$102</f>
        <v>2.52</v>
      </c>
      <c r="F604" s="2398" t="s">
        <v>89</v>
      </c>
      <c r="G604" s="2746">
        <v>249883.29</v>
      </c>
      <c r="H604" s="2746">
        <f>E604*G604</f>
        <v>629705.89080000005</v>
      </c>
      <c r="I604" s="2465">
        <f>'Resume Analisa'!$D$40</f>
        <v>245946.97</v>
      </c>
      <c r="J604" s="2748">
        <f>E604*I604</f>
        <v>619786.36439999996</v>
      </c>
      <c r="K604" s="2378" t="e">
        <f>IF(H604=0,"",IF(J604&lt;#REF!*H604,"Timpang &lt;"&amp;TEXT(#REF!,"0%"),IF(J604&gt;#REF!*H604,"Timpang &gt;"&amp;TEXT(#REF!,"0%"),"Wajar")))</f>
        <v>#REF!</v>
      </c>
      <c r="L604" s="2391">
        <v>245946.97</v>
      </c>
      <c r="M604" s="2391">
        <f>E604*L604</f>
        <v>619786.36439999996</v>
      </c>
      <c r="N604" s="2375">
        <f t="shared" si="175"/>
        <v>2.7073591087321933E-4</v>
      </c>
      <c r="O604" s="2375">
        <v>0</v>
      </c>
      <c r="P604" s="2398" t="s">
        <v>89</v>
      </c>
      <c r="Q604" s="2375">
        <f t="shared" si="166"/>
        <v>0</v>
      </c>
      <c r="R604" s="2375">
        <f t="shared" si="169"/>
        <v>0</v>
      </c>
      <c r="S604" s="2375">
        <v>0</v>
      </c>
      <c r="T604" s="2398"/>
      <c r="U604" s="2375">
        <f t="shared" si="180"/>
        <v>0</v>
      </c>
      <c r="V604" s="2375"/>
      <c r="W604" s="2382">
        <f t="shared" si="181"/>
        <v>2.52</v>
      </c>
      <c r="X604" s="2398" t="s">
        <v>89</v>
      </c>
      <c r="Y604" s="2375">
        <f t="shared" si="182"/>
        <v>245946.97</v>
      </c>
      <c r="Z604" s="2375"/>
      <c r="AA604" s="2377" t="s">
        <v>3355</v>
      </c>
    </row>
    <row r="605" spans="1:27" s="406" customFormat="1" ht="25" hidden="1" customHeight="1">
      <c r="A605" s="2555" t="s">
        <v>98</v>
      </c>
      <c r="B605" s="2549" t="s">
        <v>528</v>
      </c>
      <c r="C605" s="2550"/>
      <c r="D605" s="2551"/>
      <c r="E605" s="2397">
        <f>'11. Vol Bengkel G'!$M$103</f>
        <v>21.084299999999999</v>
      </c>
      <c r="F605" s="2398" t="s">
        <v>100</v>
      </c>
      <c r="G605" s="2746">
        <v>19151.18</v>
      </c>
      <c r="H605" s="2750">
        <f>E605*G605</f>
        <v>403789.22447399999</v>
      </c>
      <c r="I605" s="2465">
        <f>'Resume Analisa'!$D$48</f>
        <v>18790.969999999998</v>
      </c>
      <c r="J605" s="2474">
        <f>+I605*E605</f>
        <v>396194.44877099991</v>
      </c>
      <c r="K605" s="2378" t="e">
        <f>IF(H605=0,"",IF(J605&lt;#REF!*H605,"Timpang &lt;"&amp;TEXT(#REF!,"0%"),IF(J605&gt;#REF!*H605,"Timpang &gt;"&amp;TEXT(#REF!,"0%"),"Wajar")))</f>
        <v>#REF!</v>
      </c>
      <c r="L605" s="2391">
        <v>18790.969999999998</v>
      </c>
      <c r="M605" s="2475">
        <f>E605*L605</f>
        <v>396194.44877099991</v>
      </c>
      <c r="N605" s="2375">
        <f t="shared" si="175"/>
        <v>1.730661904360697E-4</v>
      </c>
      <c r="O605" s="2375">
        <v>0</v>
      </c>
      <c r="P605" s="2398" t="s">
        <v>100</v>
      </c>
      <c r="Q605" s="2375">
        <f t="shared" ref="Q605:Q668" si="183">O605*L605</f>
        <v>0</v>
      </c>
      <c r="R605" s="2375">
        <f t="shared" si="169"/>
        <v>0</v>
      </c>
      <c r="S605" s="2375">
        <v>0</v>
      </c>
      <c r="T605" s="2398"/>
      <c r="U605" s="2375">
        <f t="shared" si="180"/>
        <v>0</v>
      </c>
      <c r="V605" s="2375"/>
      <c r="W605" s="2382">
        <f t="shared" si="181"/>
        <v>21.084299999999999</v>
      </c>
      <c r="X605" s="2398" t="s">
        <v>100</v>
      </c>
      <c r="Y605" s="2375">
        <f t="shared" si="182"/>
        <v>18790.969999999998</v>
      </c>
      <c r="Z605" s="2375"/>
      <c r="AA605" s="2377" t="s">
        <v>3355</v>
      </c>
    </row>
    <row r="606" spans="1:27" s="406" customFormat="1" ht="25" hidden="1" customHeight="1">
      <c r="A606" s="2555" t="s">
        <v>101</v>
      </c>
      <c r="B606" s="2549" t="s">
        <v>529</v>
      </c>
      <c r="C606" s="2550"/>
      <c r="D606" s="2551"/>
      <c r="E606" s="2397">
        <f>'11. Vol Bengkel G'!$M$104</f>
        <v>2.5301160000000005</v>
      </c>
      <c r="F606" s="2398" t="s">
        <v>100</v>
      </c>
      <c r="G606" s="2750">
        <v>19151.18</v>
      </c>
      <c r="H606" s="2750">
        <f>E606*G606</f>
        <v>48454.706936880008</v>
      </c>
      <c r="I606" s="2474">
        <f>'Resume Analisa'!$D$48</f>
        <v>18790.969999999998</v>
      </c>
      <c r="J606" s="2474">
        <f>+I606*E606</f>
        <v>47543.333852520002</v>
      </c>
      <c r="K606" s="2378" t="e">
        <f>IF(H606=0,"",IF(J606&lt;#REF!*H606,"Timpang &lt;"&amp;TEXT(#REF!,"0%"),IF(J606&gt;#REF!*H606,"Timpang &gt;"&amp;TEXT(#REF!,"0%"),"Wajar")))</f>
        <v>#REF!</v>
      </c>
      <c r="L606" s="2475">
        <v>18790.969999999998</v>
      </c>
      <c r="M606" s="2475">
        <f>E606*L606</f>
        <v>47543.333852520002</v>
      </c>
      <c r="N606" s="2375">
        <f t="shared" si="175"/>
        <v>2.076794285232837E-5</v>
      </c>
      <c r="O606" s="2375">
        <v>0</v>
      </c>
      <c r="P606" s="2398" t="s">
        <v>100</v>
      </c>
      <c r="Q606" s="2375">
        <f t="shared" si="183"/>
        <v>0</v>
      </c>
      <c r="R606" s="2375">
        <f t="shared" si="169"/>
        <v>0</v>
      </c>
      <c r="S606" s="2375">
        <v>0</v>
      </c>
      <c r="T606" s="2398"/>
      <c r="U606" s="2375">
        <f t="shared" si="180"/>
        <v>0</v>
      </c>
      <c r="V606" s="2375"/>
      <c r="W606" s="2382">
        <f t="shared" si="181"/>
        <v>2.5301160000000005</v>
      </c>
      <c r="X606" s="2398" t="s">
        <v>100</v>
      </c>
      <c r="Y606" s="2375">
        <f t="shared" si="182"/>
        <v>18790.969999999998</v>
      </c>
      <c r="Z606" s="2375"/>
      <c r="AA606" s="2377" t="s">
        <v>3355</v>
      </c>
    </row>
    <row r="607" spans="1:27" s="406" customFormat="1" ht="25" hidden="1" customHeight="1">
      <c r="A607" s="2555" t="s">
        <v>121</v>
      </c>
      <c r="B607" s="2549" t="s">
        <v>420</v>
      </c>
      <c r="C607" s="2550"/>
      <c r="D607" s="2551"/>
      <c r="E607" s="2397">
        <f>'11. Vol Bengkel G'!$M$105</f>
        <v>1.575E-2</v>
      </c>
      <c r="F607" s="2398" t="s">
        <v>103</v>
      </c>
      <c r="G607" s="2746">
        <v>1584129.98</v>
      </c>
      <c r="H607" s="2746">
        <f>E607*G607</f>
        <v>24950.047184999999</v>
      </c>
      <c r="I607" s="2465">
        <f>'Resume Analisa'!$D$55</f>
        <v>1535009.1300000001</v>
      </c>
      <c r="J607" s="2748">
        <f>E607*I607</f>
        <v>24176.393797500001</v>
      </c>
      <c r="K607" s="2378" t="e">
        <f>IF(H607=0,"",IF(J607&lt;#REF!*H607,"Timpang &lt;"&amp;TEXT(#REF!,"0%"),IF(J607&gt;#REF!*H607,"Timpang &gt;"&amp;TEXT(#REF!,"0%"),"Wajar")))</f>
        <v>#REF!</v>
      </c>
      <c r="L607" s="2391">
        <v>1535009.1300000001</v>
      </c>
      <c r="M607" s="2391">
        <f>E607*L607</f>
        <v>24176.393797500001</v>
      </c>
      <c r="N607" s="2375">
        <f t="shared" si="175"/>
        <v>1.0560764760825727E-5</v>
      </c>
      <c r="O607" s="2375">
        <v>0</v>
      </c>
      <c r="P607" s="2398" t="s">
        <v>103</v>
      </c>
      <c r="Q607" s="2375">
        <f t="shared" si="183"/>
        <v>0</v>
      </c>
      <c r="R607" s="2375">
        <f t="shared" si="169"/>
        <v>0</v>
      </c>
      <c r="S607" s="2375">
        <v>0</v>
      </c>
      <c r="T607" s="2398"/>
      <c r="U607" s="2375">
        <f t="shared" si="180"/>
        <v>0</v>
      </c>
      <c r="V607" s="2375"/>
      <c r="W607" s="2382">
        <f t="shared" si="181"/>
        <v>1.575E-2</v>
      </c>
      <c r="X607" s="2398" t="s">
        <v>103</v>
      </c>
      <c r="Y607" s="2375">
        <f t="shared" si="182"/>
        <v>1535009.1300000001</v>
      </c>
      <c r="Z607" s="2375"/>
      <c r="AA607" s="2377" t="s">
        <v>3355</v>
      </c>
    </row>
    <row r="608" spans="1:27" s="406" customFormat="1" ht="25" hidden="1" customHeight="1">
      <c r="A608" s="2611">
        <f>A603+1</f>
        <v>8</v>
      </c>
      <c r="B608" s="2747" t="s">
        <v>530</v>
      </c>
      <c r="C608" s="2744"/>
      <c r="D608" s="2745"/>
      <c r="E608" s="2397"/>
      <c r="F608" s="2611"/>
      <c r="G608" s="2746"/>
      <c r="H608" s="2746"/>
      <c r="I608" s="2699"/>
      <c r="J608" s="2746"/>
      <c r="K608" s="2389"/>
      <c r="L608" s="2391"/>
      <c r="M608" s="2391"/>
      <c r="N608" s="2375">
        <f t="shared" si="175"/>
        <v>0</v>
      </c>
      <c r="O608" s="2375">
        <v>0</v>
      </c>
      <c r="P608" s="2611"/>
      <c r="Q608" s="2375">
        <f t="shared" si="183"/>
        <v>0</v>
      </c>
      <c r="R608" s="2375">
        <f t="shared" si="169"/>
        <v>0</v>
      </c>
      <c r="S608" s="2386">
        <v>0</v>
      </c>
      <c r="T608" s="2398"/>
      <c r="U608" s="2375">
        <f t="shared" si="180"/>
        <v>0</v>
      </c>
      <c r="V608" s="2375"/>
      <c r="W608" s="2382">
        <f t="shared" si="181"/>
        <v>0</v>
      </c>
      <c r="X608" s="2611"/>
      <c r="Y608" s="2375">
        <f t="shared" si="182"/>
        <v>0</v>
      </c>
      <c r="Z608" s="2375"/>
      <c r="AA608" s="2377" t="s">
        <v>3355</v>
      </c>
    </row>
    <row r="609" spans="1:27" s="406" customFormat="1" ht="25" hidden="1" customHeight="1">
      <c r="A609" s="2749" t="s">
        <v>95</v>
      </c>
      <c r="B609" s="2549" t="s">
        <v>417</v>
      </c>
      <c r="C609" s="2744"/>
      <c r="D609" s="2745"/>
      <c r="E609" s="2397">
        <f>'11. Vol Bengkel G'!$M$107</f>
        <v>7.1999999999999993</v>
      </c>
      <c r="F609" s="2611" t="s">
        <v>89</v>
      </c>
      <c r="G609" s="2746">
        <v>249883.29</v>
      </c>
      <c r="H609" s="2746">
        <f>E609*G609</f>
        <v>1799159.6879999998</v>
      </c>
      <c r="I609" s="2480">
        <f>'Resume Analisa'!$D$40</f>
        <v>245946.97</v>
      </c>
      <c r="J609" s="2480">
        <f>I609*E609</f>
        <v>1770818.1839999999</v>
      </c>
      <c r="K609" s="2378" t="e">
        <f>IF(H609=0,"",IF(J609&lt;#REF!*H609,"Timpang &lt;"&amp;TEXT(#REF!,"0%"),IF(J609&gt;#REF!*H609,"Timpang &gt;"&amp;TEXT(#REF!,"0%"),"Wajar")))</f>
        <v>#REF!</v>
      </c>
      <c r="L609" s="2391">
        <v>245946.97</v>
      </c>
      <c r="M609" s="2391">
        <f>E609*L609</f>
        <v>1770818.1839999999</v>
      </c>
      <c r="N609" s="2375">
        <f t="shared" si="175"/>
        <v>7.7353117392348373E-4</v>
      </c>
      <c r="O609" s="2375">
        <v>0</v>
      </c>
      <c r="P609" s="2611" t="s">
        <v>89</v>
      </c>
      <c r="Q609" s="2375">
        <f t="shared" si="183"/>
        <v>0</v>
      </c>
      <c r="R609" s="2375">
        <f t="shared" si="169"/>
        <v>0</v>
      </c>
      <c r="S609" s="2386">
        <v>0</v>
      </c>
      <c r="T609" s="2398"/>
      <c r="U609" s="2375">
        <f t="shared" si="180"/>
        <v>0</v>
      </c>
      <c r="V609" s="2375"/>
      <c r="W609" s="2382">
        <f t="shared" si="181"/>
        <v>7.1999999999999993</v>
      </c>
      <c r="X609" s="2611" t="s">
        <v>89</v>
      </c>
      <c r="Y609" s="2375">
        <f t="shared" si="182"/>
        <v>245946.97</v>
      </c>
      <c r="Z609" s="2375"/>
      <c r="AA609" s="2377" t="s">
        <v>3355</v>
      </c>
    </row>
    <row r="610" spans="1:27" s="406" customFormat="1" ht="25" hidden="1" customHeight="1">
      <c r="A610" s="2749" t="s">
        <v>98</v>
      </c>
      <c r="B610" s="2549" t="s">
        <v>528</v>
      </c>
      <c r="C610" s="2744"/>
      <c r="D610" s="2745"/>
      <c r="E610" s="2397">
        <f>'11. Vol Bengkel G'!$M$108</f>
        <v>48.087000000000003</v>
      </c>
      <c r="F610" s="2611" t="s">
        <v>100</v>
      </c>
      <c r="G610" s="2746">
        <v>19151.18</v>
      </c>
      <c r="H610" s="2746">
        <f>E610*G610</f>
        <v>920922.79266000004</v>
      </c>
      <c r="I610" s="2465">
        <f>'Resume Analisa'!$D$48</f>
        <v>18790.969999999998</v>
      </c>
      <c r="J610" s="2480">
        <f>I610*E610</f>
        <v>903601.3743899999</v>
      </c>
      <c r="K610" s="2378" t="e">
        <f>IF(H610=0,"",IF(J610&lt;#REF!*H610,"Timpang &lt;"&amp;TEXT(#REF!,"0%"),IF(J610&gt;#REF!*H610,"Timpang &gt;"&amp;TEXT(#REF!,"0%"),"Wajar")))</f>
        <v>#REF!</v>
      </c>
      <c r="L610" s="2391">
        <v>18790.969999999998</v>
      </c>
      <c r="M610" s="2391">
        <f>E610*L610</f>
        <v>903601.3743899999</v>
      </c>
      <c r="N610" s="2375">
        <f t="shared" si="175"/>
        <v>3.9471236415243973E-4</v>
      </c>
      <c r="O610" s="2375">
        <v>0</v>
      </c>
      <c r="P610" s="2611" t="s">
        <v>100</v>
      </c>
      <c r="Q610" s="2375">
        <f t="shared" si="183"/>
        <v>0</v>
      </c>
      <c r="R610" s="2375">
        <f t="shared" si="169"/>
        <v>0</v>
      </c>
      <c r="S610" s="2375">
        <v>0</v>
      </c>
      <c r="T610" s="2398"/>
      <c r="U610" s="2375">
        <f t="shared" si="180"/>
        <v>0</v>
      </c>
      <c r="V610" s="2375"/>
      <c r="W610" s="2382">
        <f t="shared" si="181"/>
        <v>48.087000000000003</v>
      </c>
      <c r="X610" s="2611" t="s">
        <v>100</v>
      </c>
      <c r="Y610" s="2375">
        <f t="shared" si="182"/>
        <v>18790.969999999998</v>
      </c>
      <c r="Z610" s="2375"/>
      <c r="AA610" s="2377" t="s">
        <v>3355</v>
      </c>
    </row>
    <row r="611" spans="1:27" s="406" customFormat="1" ht="25" hidden="1" customHeight="1">
      <c r="A611" s="2749" t="s">
        <v>101</v>
      </c>
      <c r="B611" s="2549" t="s">
        <v>529</v>
      </c>
      <c r="C611" s="2744"/>
      <c r="D611" s="2745"/>
      <c r="E611" s="2397">
        <f>'11. Vol Bengkel G'!$M$109</f>
        <v>8.0963712000000019</v>
      </c>
      <c r="F611" s="2611" t="s">
        <v>100</v>
      </c>
      <c r="G611" s="2746">
        <v>19151.18</v>
      </c>
      <c r="H611" s="2746">
        <f>E611*G611</f>
        <v>155055.06219801604</v>
      </c>
      <c r="I611" s="2480">
        <f>'Resume Analisa'!$D$48</f>
        <v>18790.969999999998</v>
      </c>
      <c r="J611" s="2480">
        <f>I611*E611</f>
        <v>152138.66832806403</v>
      </c>
      <c r="K611" s="2378" t="e">
        <f>IF(H611=0,"",IF(J611&lt;#REF!*H611,"Timpang &lt;"&amp;TEXT(#REF!,"0%"),IF(J611&gt;#REF!*H611,"Timpang &gt;"&amp;TEXT(#REF!,"0%"),"Wajar")))</f>
        <v>#REF!</v>
      </c>
      <c r="L611" s="2391">
        <v>18790.969999999998</v>
      </c>
      <c r="M611" s="2391">
        <f>E611*L611</f>
        <v>152138.66832806403</v>
      </c>
      <c r="N611" s="2375">
        <f t="shared" si="175"/>
        <v>6.6457417127450789E-5</v>
      </c>
      <c r="O611" s="2375">
        <v>0</v>
      </c>
      <c r="P611" s="2611" t="s">
        <v>100</v>
      </c>
      <c r="Q611" s="2375">
        <f t="shared" si="183"/>
        <v>0</v>
      </c>
      <c r="R611" s="2375">
        <f t="shared" si="169"/>
        <v>0</v>
      </c>
      <c r="S611" s="2375">
        <v>0</v>
      </c>
      <c r="T611" s="2398"/>
      <c r="U611" s="2375">
        <f t="shared" si="180"/>
        <v>0</v>
      </c>
      <c r="V611" s="2375"/>
      <c r="W611" s="2382">
        <f t="shared" si="181"/>
        <v>8.0963712000000019</v>
      </c>
      <c r="X611" s="2611" t="s">
        <v>100</v>
      </c>
      <c r="Y611" s="2375">
        <f t="shared" si="182"/>
        <v>18790.969999999998</v>
      </c>
      <c r="Z611" s="2375"/>
      <c r="AA611" s="2377" t="s">
        <v>3355</v>
      </c>
    </row>
    <row r="612" spans="1:27" s="406" customFormat="1" ht="25" hidden="1" customHeight="1">
      <c r="A612" s="2749" t="s">
        <v>121</v>
      </c>
      <c r="B612" s="2549" t="s">
        <v>429</v>
      </c>
      <c r="C612" s="2759"/>
      <c r="D612" s="2760"/>
      <c r="E612" s="2397">
        <f>'11. Vol Bengkel G'!$M$110</f>
        <v>6.7500000000000004E-2</v>
      </c>
      <c r="F612" s="2611" t="s">
        <v>103</v>
      </c>
      <c r="G612" s="2746">
        <v>1584129.98</v>
      </c>
      <c r="H612" s="2746">
        <f>E612*G612</f>
        <v>106928.77365</v>
      </c>
      <c r="I612" s="2465">
        <f>'Resume Analisa'!$D$55</f>
        <v>1535009.1300000001</v>
      </c>
      <c r="J612" s="2748">
        <f>E612*I612</f>
        <v>103613.11627500002</v>
      </c>
      <c r="K612" s="2378" t="e">
        <f>IF(H612=0,"",IF(J612&lt;#REF!*H612,"Timpang &lt;"&amp;TEXT(#REF!,"0%"),IF(J612&gt;#REF!*H612,"Timpang &gt;"&amp;TEXT(#REF!,"0%"),"Wajar")))</f>
        <v>#REF!</v>
      </c>
      <c r="L612" s="2391">
        <v>1535009.1300000001</v>
      </c>
      <c r="M612" s="2391">
        <f>E612*L612</f>
        <v>103613.11627500002</v>
      </c>
      <c r="N612" s="2375">
        <f t="shared" si="175"/>
        <v>4.5260420403538835E-5</v>
      </c>
      <c r="O612" s="2375">
        <v>0</v>
      </c>
      <c r="P612" s="2611" t="s">
        <v>103</v>
      </c>
      <c r="Q612" s="2375">
        <f t="shared" si="183"/>
        <v>0</v>
      </c>
      <c r="R612" s="2375">
        <f t="shared" si="169"/>
        <v>0</v>
      </c>
      <c r="S612" s="2375">
        <v>0</v>
      </c>
      <c r="T612" s="2398"/>
      <c r="U612" s="2375">
        <f t="shared" si="180"/>
        <v>0</v>
      </c>
      <c r="V612" s="2375"/>
      <c r="W612" s="2382">
        <f t="shared" si="181"/>
        <v>6.7500000000000004E-2</v>
      </c>
      <c r="X612" s="2611" t="s">
        <v>103</v>
      </c>
      <c r="Y612" s="2375">
        <f t="shared" si="182"/>
        <v>1535009.1300000001</v>
      </c>
      <c r="Z612" s="2375"/>
      <c r="AA612" s="2377" t="s">
        <v>3355</v>
      </c>
    </row>
    <row r="613" spans="1:27" s="406" customFormat="1" ht="25" hidden="1" customHeight="1">
      <c r="A613" s="2611">
        <f>A608+1</f>
        <v>9</v>
      </c>
      <c r="B613" s="2549" t="s">
        <v>552</v>
      </c>
      <c r="C613" s="2744"/>
      <c r="D613" s="2745"/>
      <c r="E613" s="2397"/>
      <c r="F613" s="2611"/>
      <c r="G613" s="2746"/>
      <c r="H613" s="2746"/>
      <c r="I613" s="2699"/>
      <c r="J613" s="2746"/>
      <c r="K613" s="2389"/>
      <c r="L613" s="2391"/>
      <c r="M613" s="2391"/>
      <c r="N613" s="2375">
        <f t="shared" si="175"/>
        <v>0</v>
      </c>
      <c r="O613" s="2375">
        <v>0</v>
      </c>
      <c r="P613" s="2611"/>
      <c r="Q613" s="2375">
        <f t="shared" si="183"/>
        <v>0</v>
      </c>
      <c r="R613" s="2375">
        <f t="shared" si="169"/>
        <v>0</v>
      </c>
      <c r="S613" s="2375">
        <v>0</v>
      </c>
      <c r="T613" s="2398"/>
      <c r="U613" s="2375">
        <f t="shared" si="180"/>
        <v>0</v>
      </c>
      <c r="V613" s="2375"/>
      <c r="W613" s="2382">
        <f t="shared" si="181"/>
        <v>0</v>
      </c>
      <c r="X613" s="2611"/>
      <c r="Y613" s="2375">
        <f t="shared" si="182"/>
        <v>0</v>
      </c>
      <c r="Z613" s="2375"/>
      <c r="AA613" s="2377" t="s">
        <v>3355</v>
      </c>
    </row>
    <row r="614" spans="1:27" s="406" customFormat="1" ht="25" hidden="1" customHeight="1">
      <c r="A614" s="2749" t="s">
        <v>95</v>
      </c>
      <c r="B614" s="2549" t="s">
        <v>417</v>
      </c>
      <c r="C614" s="2744"/>
      <c r="D614" s="2745"/>
      <c r="E614" s="2397">
        <f>'11. Vol Bengkel G'!$M$112</f>
        <v>3.5999999999999996</v>
      </c>
      <c r="F614" s="2611" t="s">
        <v>89</v>
      </c>
      <c r="G614" s="2746">
        <v>249883.29</v>
      </c>
      <c r="H614" s="2746">
        <f>E614*G614</f>
        <v>899579.84399999992</v>
      </c>
      <c r="I614" s="2480">
        <f>'Resume Analisa'!$D$40</f>
        <v>245946.97</v>
      </c>
      <c r="J614" s="2480">
        <f>I614*E614</f>
        <v>885409.09199999995</v>
      </c>
      <c r="K614" s="2378" t="e">
        <f>IF(H614=0,"",IF(J614&lt;#REF!*H614,"Timpang &lt;"&amp;TEXT(#REF!,"0%"),IF(J614&gt;#REF!*H614,"Timpang &gt;"&amp;TEXT(#REF!,"0%"),"Wajar")))</f>
        <v>#REF!</v>
      </c>
      <c r="L614" s="2391">
        <v>245946.97</v>
      </c>
      <c r="M614" s="2391">
        <f>E614*L614</f>
        <v>885409.09199999995</v>
      </c>
      <c r="N614" s="2375">
        <f t="shared" si="175"/>
        <v>3.8676558696174187E-4</v>
      </c>
      <c r="O614" s="2375">
        <v>0</v>
      </c>
      <c r="P614" s="2611" t="s">
        <v>89</v>
      </c>
      <c r="Q614" s="2375">
        <f t="shared" si="183"/>
        <v>0</v>
      </c>
      <c r="R614" s="2375">
        <f t="shared" si="169"/>
        <v>0</v>
      </c>
      <c r="S614" s="2375">
        <v>0</v>
      </c>
      <c r="T614" s="2398"/>
      <c r="U614" s="2375">
        <f t="shared" si="180"/>
        <v>0</v>
      </c>
      <c r="V614" s="2375"/>
      <c r="W614" s="2382">
        <f t="shared" si="181"/>
        <v>3.5999999999999996</v>
      </c>
      <c r="X614" s="2611" t="s">
        <v>89</v>
      </c>
      <c r="Y614" s="2375">
        <f t="shared" si="182"/>
        <v>245946.97</v>
      </c>
      <c r="Z614" s="2375"/>
      <c r="AA614" s="2377" t="s">
        <v>3355</v>
      </c>
    </row>
    <row r="615" spans="1:27" s="406" customFormat="1" ht="25" hidden="1" customHeight="1">
      <c r="A615" s="2749" t="s">
        <v>98</v>
      </c>
      <c r="B615" s="2549" t="s">
        <v>432</v>
      </c>
      <c r="C615" s="2744"/>
      <c r="D615" s="2745"/>
      <c r="E615" s="2397">
        <f>'11. Vol Bengkel G'!$M$113</f>
        <v>15.289200000000001</v>
      </c>
      <c r="F615" s="2611" t="s">
        <v>100</v>
      </c>
      <c r="G615" s="2746">
        <v>19151.18</v>
      </c>
      <c r="H615" s="2746">
        <f>E615*G615</f>
        <v>292806.22125600005</v>
      </c>
      <c r="I615" s="2465">
        <f>'Resume Analisa'!$D$48</f>
        <v>18790.969999999998</v>
      </c>
      <c r="J615" s="2480">
        <f>I615*E615</f>
        <v>287298.89852399996</v>
      </c>
      <c r="K615" s="2378" t="e">
        <f>IF(H615=0,"",IF(J615&lt;#REF!*H615,"Timpang &lt;"&amp;TEXT(#REF!,"0%"),IF(J615&gt;#REF!*H615,"Timpang &gt;"&amp;TEXT(#REF!,"0%"),"Wajar")))</f>
        <v>#REF!</v>
      </c>
      <c r="L615" s="2391">
        <v>18790.969999999998</v>
      </c>
      <c r="M615" s="2391">
        <f>E615*L615</f>
        <v>287298.89852399996</v>
      </c>
      <c r="N615" s="2375">
        <f t="shared" si="175"/>
        <v>1.254982901407757E-4</v>
      </c>
      <c r="O615" s="2375">
        <v>0</v>
      </c>
      <c r="P615" s="2611" t="s">
        <v>100</v>
      </c>
      <c r="Q615" s="2375">
        <f t="shared" si="183"/>
        <v>0</v>
      </c>
      <c r="R615" s="2375">
        <f t="shared" si="169"/>
        <v>0</v>
      </c>
      <c r="S615" s="2386">
        <v>0</v>
      </c>
      <c r="T615" s="2537"/>
      <c r="U615" s="2375">
        <f t="shared" si="180"/>
        <v>0</v>
      </c>
      <c r="V615" s="2375"/>
      <c r="W615" s="2382">
        <f t="shared" si="181"/>
        <v>15.289200000000001</v>
      </c>
      <c r="X615" s="2611" t="s">
        <v>100</v>
      </c>
      <c r="Y615" s="2375">
        <f t="shared" si="182"/>
        <v>18790.969999999998</v>
      </c>
      <c r="Z615" s="2375"/>
      <c r="AA615" s="2377" t="s">
        <v>3355</v>
      </c>
    </row>
    <row r="616" spans="1:27" s="406" customFormat="1" ht="25" hidden="1" customHeight="1">
      <c r="A616" s="2749" t="s">
        <v>101</v>
      </c>
      <c r="B616" s="2549" t="s">
        <v>621</v>
      </c>
      <c r="C616" s="2744"/>
      <c r="D616" s="2745"/>
      <c r="E616" s="2397">
        <f>'11. Vol Bengkel G'!$M$114</f>
        <v>3.3734880000000005</v>
      </c>
      <c r="F616" s="2611" t="s">
        <v>100</v>
      </c>
      <c r="G616" s="2746">
        <v>19151.18</v>
      </c>
      <c r="H616" s="2746">
        <f>E616*G616</f>
        <v>64606.275915840008</v>
      </c>
      <c r="I616" s="2480">
        <f>'Resume Analisa'!$D$48</f>
        <v>18790.969999999998</v>
      </c>
      <c r="J616" s="2480">
        <f>I616*E616</f>
        <v>63391.11180336</v>
      </c>
      <c r="K616" s="2378" t="e">
        <f>IF(H616=0,"",IF(J616&lt;#REF!*H616,"Timpang &lt;"&amp;TEXT(#REF!,"0%"),IF(J616&gt;#REF!*H616,"Timpang &gt;"&amp;TEXT(#REF!,"0%"),"Wajar")))</f>
        <v>#REF!</v>
      </c>
      <c r="L616" s="2391">
        <v>18790.969999999998</v>
      </c>
      <c r="M616" s="2391">
        <f>E616*L616</f>
        <v>63391.11180336</v>
      </c>
      <c r="N616" s="2375">
        <f t="shared" si="175"/>
        <v>2.7690590469771159E-5</v>
      </c>
      <c r="O616" s="2375">
        <v>0</v>
      </c>
      <c r="P616" s="2611" t="s">
        <v>100</v>
      </c>
      <c r="Q616" s="2375">
        <f t="shared" si="183"/>
        <v>0</v>
      </c>
      <c r="R616" s="2375">
        <f t="shared" si="169"/>
        <v>0</v>
      </c>
      <c r="S616" s="2386">
        <v>0</v>
      </c>
      <c r="T616" s="2761"/>
      <c r="U616" s="2375">
        <f t="shared" si="180"/>
        <v>0</v>
      </c>
      <c r="V616" s="2375"/>
      <c r="W616" s="2382">
        <f t="shared" si="181"/>
        <v>3.3734880000000005</v>
      </c>
      <c r="X616" s="2611" t="s">
        <v>100</v>
      </c>
      <c r="Y616" s="2375">
        <f t="shared" si="182"/>
        <v>18790.969999999998</v>
      </c>
      <c r="Z616" s="2375"/>
      <c r="AA616" s="2377" t="s">
        <v>3355</v>
      </c>
    </row>
    <row r="617" spans="1:27" s="406" customFormat="1" ht="25" hidden="1" customHeight="1">
      <c r="A617" s="2749" t="s">
        <v>121</v>
      </c>
      <c r="B617" s="2549" t="s">
        <v>429</v>
      </c>
      <c r="C617" s="2759"/>
      <c r="D617" s="2760"/>
      <c r="E617" s="2397">
        <f>'11. Vol Bengkel G'!$M$115</f>
        <v>6.7500000000000004E-2</v>
      </c>
      <c r="F617" s="2611" t="s">
        <v>103</v>
      </c>
      <c r="G617" s="2746">
        <v>1584129.98</v>
      </c>
      <c r="H617" s="2746">
        <f>E617*G617</f>
        <v>106928.77365</v>
      </c>
      <c r="I617" s="2465">
        <f>'Resume Analisa'!$D$55</f>
        <v>1535009.1300000001</v>
      </c>
      <c r="J617" s="2748">
        <f>E617*I617</f>
        <v>103613.11627500002</v>
      </c>
      <c r="K617" s="2378" t="e">
        <f>IF(H617=0,"",IF(J617&lt;#REF!*H617,"Timpang &lt;"&amp;TEXT(#REF!,"0%"),IF(J617&gt;#REF!*H617,"Timpang &gt;"&amp;TEXT(#REF!,"0%"),"Wajar")))</f>
        <v>#REF!</v>
      </c>
      <c r="L617" s="2391">
        <v>1535009.1300000001</v>
      </c>
      <c r="M617" s="2391">
        <f>E617*L617</f>
        <v>103613.11627500002</v>
      </c>
      <c r="N617" s="2375">
        <f t="shared" si="175"/>
        <v>4.5260420403538835E-5</v>
      </c>
      <c r="O617" s="2375">
        <v>0</v>
      </c>
      <c r="P617" s="2611" t="s">
        <v>103</v>
      </c>
      <c r="Q617" s="2375">
        <f t="shared" si="183"/>
        <v>0</v>
      </c>
      <c r="R617" s="2375">
        <f t="shared" si="169"/>
        <v>0</v>
      </c>
      <c r="S617" s="2375">
        <v>0</v>
      </c>
      <c r="T617" s="2611"/>
      <c r="U617" s="2375">
        <f t="shared" si="180"/>
        <v>0</v>
      </c>
      <c r="V617" s="2375"/>
      <c r="W617" s="2382">
        <f t="shared" si="181"/>
        <v>6.7500000000000004E-2</v>
      </c>
      <c r="X617" s="2611" t="s">
        <v>103</v>
      </c>
      <c r="Y617" s="2375">
        <f t="shared" si="182"/>
        <v>1535009.1300000001</v>
      </c>
      <c r="Z617" s="2375"/>
      <c r="AA617" s="2377" t="s">
        <v>3355</v>
      </c>
    </row>
    <row r="618" spans="1:27" s="406" customFormat="1" ht="25" hidden="1" customHeight="1">
      <c r="A618" s="2611">
        <f>A613+1</f>
        <v>10</v>
      </c>
      <c r="B618" s="2549" t="s">
        <v>531</v>
      </c>
      <c r="C618" s="2744"/>
      <c r="D618" s="2745"/>
      <c r="E618" s="2541"/>
      <c r="F618" s="2611"/>
      <c r="G618" s="2746"/>
      <c r="H618" s="2746"/>
      <c r="I618" s="2762"/>
      <c r="J618" s="2746"/>
      <c r="K618" s="2389"/>
      <c r="L618" s="2391"/>
      <c r="M618" s="2391"/>
      <c r="N618" s="2375">
        <f t="shared" si="175"/>
        <v>0</v>
      </c>
      <c r="O618" s="2375">
        <v>0</v>
      </c>
      <c r="P618" s="2611"/>
      <c r="Q618" s="2375">
        <f t="shared" si="183"/>
        <v>0</v>
      </c>
      <c r="R618" s="2375">
        <f t="shared" si="169"/>
        <v>0</v>
      </c>
      <c r="S618" s="2375">
        <v>0</v>
      </c>
      <c r="T618" s="2611"/>
      <c r="U618" s="2375">
        <f t="shared" si="180"/>
        <v>0</v>
      </c>
      <c r="V618" s="2375"/>
      <c r="W618" s="2382">
        <f t="shared" si="181"/>
        <v>0</v>
      </c>
      <c r="X618" s="2611"/>
      <c r="Y618" s="2375">
        <f t="shared" si="182"/>
        <v>0</v>
      </c>
      <c r="Z618" s="2375"/>
      <c r="AA618" s="2377" t="s">
        <v>3355</v>
      </c>
    </row>
    <row r="619" spans="1:27" s="406" customFormat="1" ht="25" hidden="1" customHeight="1">
      <c r="A619" s="2749" t="s">
        <v>95</v>
      </c>
      <c r="B619" s="2549" t="s">
        <v>126</v>
      </c>
      <c r="C619" s="2744"/>
      <c r="D619" s="2745"/>
      <c r="E619" s="2541">
        <f>'11. Vol Bengkel G'!$M$122</f>
        <v>10.5</v>
      </c>
      <c r="F619" s="2611" t="s">
        <v>89</v>
      </c>
      <c r="G619" s="2746">
        <v>257048.94</v>
      </c>
      <c r="H619" s="2746">
        <f>E619*G619</f>
        <v>2699013.87</v>
      </c>
      <c r="I619" s="2465">
        <f>'Resume Analisa'!$D$42</f>
        <v>252902.38</v>
      </c>
      <c r="J619" s="2567">
        <f>E619*I619</f>
        <v>2655474.9900000002</v>
      </c>
      <c r="K619" s="2378" t="e">
        <f>IF(H619=0,"",IF(J619&lt;#REF!*H619,"Timpang &lt;"&amp;TEXT(#REF!,"0%"),IF(J619&gt;#REF!*H619,"Timpang &gt;"&amp;TEXT(#REF!,"0%"),"Wajar")))</f>
        <v>#REF!</v>
      </c>
      <c r="L619" s="2391">
        <v>252902.38</v>
      </c>
      <c r="M619" s="2391">
        <f>E619*L619</f>
        <v>2655474.9900000002</v>
      </c>
      <c r="N619" s="2375">
        <f t="shared" si="175"/>
        <v>1.1599681463058387E-3</v>
      </c>
      <c r="O619" s="2375">
        <v>0</v>
      </c>
      <c r="P619" s="2611" t="s">
        <v>89</v>
      </c>
      <c r="Q619" s="2375">
        <f t="shared" si="183"/>
        <v>0</v>
      </c>
      <c r="R619" s="2375">
        <f t="shared" ref="R619:R682" si="184">Q619/$M$8*100</f>
        <v>0</v>
      </c>
      <c r="S619" s="2375">
        <v>0</v>
      </c>
      <c r="T619" s="2398"/>
      <c r="U619" s="2375">
        <f t="shared" si="180"/>
        <v>0</v>
      </c>
      <c r="V619" s="2375"/>
      <c r="W619" s="2382">
        <f t="shared" si="181"/>
        <v>10.5</v>
      </c>
      <c r="X619" s="2611" t="s">
        <v>89</v>
      </c>
      <c r="Y619" s="2375">
        <f t="shared" si="182"/>
        <v>252902.38</v>
      </c>
      <c r="Z619" s="2375"/>
      <c r="AA619" s="2377" t="s">
        <v>3355</v>
      </c>
    </row>
    <row r="620" spans="1:27" s="406" customFormat="1" ht="25" hidden="1" customHeight="1">
      <c r="A620" s="2749" t="s">
        <v>98</v>
      </c>
      <c r="B620" s="2549" t="s">
        <v>410</v>
      </c>
      <c r="C620" s="2744"/>
      <c r="D620" s="2745"/>
      <c r="E620" s="2541">
        <f>'11. Vol Bengkel G'!$M$126</f>
        <v>43.155000000000001</v>
      </c>
      <c r="F620" s="2611" t="s">
        <v>100</v>
      </c>
      <c r="G620" s="2746">
        <v>19151.18</v>
      </c>
      <c r="H620" s="2746">
        <f>E620*G620</f>
        <v>826469.17290000001</v>
      </c>
      <c r="I620" s="2465">
        <f>'Resume Analisa'!$D$48</f>
        <v>18790.969999999998</v>
      </c>
      <c r="J620" s="2480">
        <f>I620*E620</f>
        <v>810924.31034999993</v>
      </c>
      <c r="K620" s="2378" t="e">
        <f>IF(H620=0,"",IF(J620&lt;#REF!*H620,"Timpang &lt;"&amp;TEXT(#REF!,"0%"),IF(J620&gt;#REF!*H620,"Timpang &gt;"&amp;TEXT(#REF!,"0%"),"Wajar")))</f>
        <v>#REF!</v>
      </c>
      <c r="L620" s="2391">
        <v>18790.969999999998</v>
      </c>
      <c r="M620" s="2391">
        <f>E620*L620</f>
        <v>810924.31034999993</v>
      </c>
      <c r="N620" s="2375">
        <f t="shared" si="175"/>
        <v>3.5422904475218949E-4</v>
      </c>
      <c r="O620" s="2375">
        <v>0</v>
      </c>
      <c r="P620" s="2611" t="s">
        <v>100</v>
      </c>
      <c r="Q620" s="2375">
        <f t="shared" si="183"/>
        <v>0</v>
      </c>
      <c r="R620" s="2375">
        <f t="shared" si="184"/>
        <v>0</v>
      </c>
      <c r="S620" s="2375">
        <v>0</v>
      </c>
      <c r="T620" s="2398"/>
      <c r="U620" s="2375">
        <f t="shared" si="180"/>
        <v>0</v>
      </c>
      <c r="V620" s="2375"/>
      <c r="W620" s="2382">
        <f t="shared" si="181"/>
        <v>43.155000000000001</v>
      </c>
      <c r="X620" s="2611" t="s">
        <v>100</v>
      </c>
      <c r="Y620" s="2375">
        <f t="shared" si="182"/>
        <v>18790.969999999998</v>
      </c>
      <c r="Z620" s="2375"/>
      <c r="AA620" s="2377" t="s">
        <v>3355</v>
      </c>
    </row>
    <row r="621" spans="1:27" s="406" customFormat="1" ht="25" hidden="1" customHeight="1">
      <c r="A621" s="2749" t="s">
        <v>101</v>
      </c>
      <c r="B621" s="2549" t="s">
        <v>529</v>
      </c>
      <c r="C621" s="2744"/>
      <c r="D621" s="2745"/>
      <c r="E621" s="2541">
        <f>'11. Vol Bengkel G'!$M$130</f>
        <v>16.902950400000002</v>
      </c>
      <c r="F621" s="2611" t="s">
        <v>100</v>
      </c>
      <c r="G621" s="2746">
        <v>19151.18</v>
      </c>
      <c r="H621" s="2746">
        <f>E621*G621</f>
        <v>323711.44564147206</v>
      </c>
      <c r="I621" s="2465">
        <f>'Resume Analisa'!$D$48</f>
        <v>18790.969999999998</v>
      </c>
      <c r="J621" s="2567">
        <f>E621*I621</f>
        <v>317622.83387788798</v>
      </c>
      <c r="K621" s="2378" t="e">
        <f>IF(H621=0,"",IF(J621&lt;#REF!*H621,"Timpang &lt;"&amp;TEXT(#REF!,"0%"),IF(J621&gt;#REF!*H621,"Timpang &gt;"&amp;TEXT(#REF!,"0%"),"Wajar")))</f>
        <v>#REF!</v>
      </c>
      <c r="L621" s="2391">
        <v>18790.969999999998</v>
      </c>
      <c r="M621" s="2391">
        <f>E621*L621</f>
        <v>317622.83387788798</v>
      </c>
      <c r="N621" s="2375">
        <f t="shared" si="175"/>
        <v>1.3874443224853758E-4</v>
      </c>
      <c r="O621" s="2375">
        <v>0</v>
      </c>
      <c r="P621" s="2611" t="s">
        <v>100</v>
      </c>
      <c r="Q621" s="2375">
        <f t="shared" si="183"/>
        <v>0</v>
      </c>
      <c r="R621" s="2375">
        <f t="shared" si="184"/>
        <v>0</v>
      </c>
      <c r="S621" s="2375">
        <v>0</v>
      </c>
      <c r="T621" s="2398"/>
      <c r="U621" s="2375">
        <f t="shared" si="180"/>
        <v>0</v>
      </c>
      <c r="V621" s="2375"/>
      <c r="W621" s="2382">
        <f t="shared" si="181"/>
        <v>16.902950400000002</v>
      </c>
      <c r="X621" s="2611" t="s">
        <v>100</v>
      </c>
      <c r="Y621" s="2375">
        <f t="shared" si="182"/>
        <v>18790.969999999998</v>
      </c>
      <c r="Z621" s="2375"/>
      <c r="AA621" s="2377" t="s">
        <v>3355</v>
      </c>
    </row>
    <row r="622" spans="1:27" s="406" customFormat="1" ht="25" hidden="1" customHeight="1">
      <c r="A622" s="2749" t="s">
        <v>121</v>
      </c>
      <c r="B622" s="2549" t="s">
        <v>429</v>
      </c>
      <c r="C622" s="2759"/>
      <c r="D622" s="2760"/>
      <c r="E622" s="2541">
        <f>'11. Vol Bengkel G'!$M$134</f>
        <v>0.98</v>
      </c>
      <c r="F622" s="2611" t="s">
        <v>103</v>
      </c>
      <c r="G622" s="2746">
        <v>1584129.98</v>
      </c>
      <c r="H622" s="2746">
        <f>E622*G622</f>
        <v>1552447.3803999999</v>
      </c>
      <c r="I622" s="2465">
        <f>'Resume Analisa'!$D$55</f>
        <v>1535009.1300000001</v>
      </c>
      <c r="J622" s="2748">
        <f>E622*I622</f>
        <v>1504308.9474000002</v>
      </c>
      <c r="K622" s="2378" t="e">
        <f>IF(H622=0,"",IF(J622&lt;#REF!*H622,"Timpang &lt;"&amp;TEXT(#REF!,"0%"),IF(J622&gt;#REF!*H622,"Timpang &gt;"&amp;TEXT(#REF!,"0%"),"Wajar")))</f>
        <v>#REF!</v>
      </c>
      <c r="L622" s="2391">
        <v>1535009.1300000001</v>
      </c>
      <c r="M622" s="2391">
        <f>E622*L622</f>
        <v>1504308.9474000002</v>
      </c>
      <c r="N622" s="2375">
        <f t="shared" si="175"/>
        <v>6.5711425178471199E-4</v>
      </c>
      <c r="O622" s="2375">
        <v>0</v>
      </c>
      <c r="P622" s="2611" t="s">
        <v>103</v>
      </c>
      <c r="Q622" s="2375">
        <f t="shared" si="183"/>
        <v>0</v>
      </c>
      <c r="R622" s="2375">
        <f t="shared" si="184"/>
        <v>0</v>
      </c>
      <c r="S622" s="2386">
        <v>0</v>
      </c>
      <c r="T622" s="2398"/>
      <c r="U622" s="2375">
        <f t="shared" si="180"/>
        <v>0</v>
      </c>
      <c r="V622" s="2375"/>
      <c r="W622" s="2382">
        <f t="shared" si="181"/>
        <v>0.98</v>
      </c>
      <c r="X622" s="2611" t="s">
        <v>103</v>
      </c>
      <c r="Y622" s="2375">
        <f t="shared" si="182"/>
        <v>1535009.1300000001</v>
      </c>
      <c r="Z622" s="2375"/>
      <c r="AA622" s="2377" t="s">
        <v>3355</v>
      </c>
    </row>
    <row r="623" spans="1:27" s="406" customFormat="1" ht="25" hidden="1" customHeight="1">
      <c r="A623" s="2611">
        <f>A618+1</f>
        <v>11</v>
      </c>
      <c r="B623" s="2549" t="s">
        <v>532</v>
      </c>
      <c r="C623" s="2550"/>
      <c r="D623" s="2551"/>
      <c r="E623" s="2541"/>
      <c r="F623" s="2398"/>
      <c r="G623" s="2746"/>
      <c r="H623" s="2746"/>
      <c r="I623" s="2465"/>
      <c r="J623" s="2552"/>
      <c r="K623" s="2389"/>
      <c r="L623" s="2391"/>
      <c r="M623" s="2391"/>
      <c r="N623" s="2375">
        <f t="shared" si="175"/>
        <v>0</v>
      </c>
      <c r="O623" s="2375">
        <v>0</v>
      </c>
      <c r="P623" s="2398"/>
      <c r="Q623" s="2375">
        <f t="shared" si="183"/>
        <v>0</v>
      </c>
      <c r="R623" s="2375">
        <f t="shared" si="184"/>
        <v>0</v>
      </c>
      <c r="S623" s="2386">
        <v>0</v>
      </c>
      <c r="T623" s="2398"/>
      <c r="U623" s="2375">
        <f t="shared" si="180"/>
        <v>0</v>
      </c>
      <c r="V623" s="2375"/>
      <c r="W623" s="2382">
        <f t="shared" si="181"/>
        <v>0</v>
      </c>
      <c r="X623" s="2398"/>
      <c r="Y623" s="2375">
        <f t="shared" si="182"/>
        <v>0</v>
      </c>
      <c r="Z623" s="2375"/>
      <c r="AA623" s="2377" t="s">
        <v>3355</v>
      </c>
    </row>
    <row r="624" spans="1:27" s="406" customFormat="1" ht="25" hidden="1" customHeight="1">
      <c r="A624" s="2749" t="s">
        <v>95</v>
      </c>
      <c r="B624" s="2549" t="s">
        <v>423</v>
      </c>
      <c r="C624" s="2550"/>
      <c r="D624" s="2551"/>
      <c r="E624" s="2541">
        <f>'11. Vol Bengkel G'!$M$136</f>
        <v>0.89999999999999991</v>
      </c>
      <c r="F624" s="2398" t="s">
        <v>89</v>
      </c>
      <c r="G624" s="2746">
        <v>257048.94</v>
      </c>
      <c r="H624" s="2746">
        <f>E624*G624</f>
        <v>231344.04599999997</v>
      </c>
      <c r="I624" s="2465">
        <f>'Resume Analisa'!$D$42</f>
        <v>252902.38</v>
      </c>
      <c r="J624" s="2567">
        <f>E624*I624</f>
        <v>227612.14199999999</v>
      </c>
      <c r="K624" s="2378" t="e">
        <f>IF(H624=0,"",IF(J624&lt;#REF!*H624,"Timpang &lt;"&amp;TEXT(#REF!,"0%"),IF(J624&gt;#REF!*H624,"Timpang &gt;"&amp;TEXT(#REF!,"0%"),"Wajar")))</f>
        <v>#REF!</v>
      </c>
      <c r="L624" s="2391">
        <v>252902.38</v>
      </c>
      <c r="M624" s="2391">
        <f>E624*L624</f>
        <v>227612.14199999999</v>
      </c>
      <c r="N624" s="2375">
        <f t="shared" si="175"/>
        <v>9.9425841111929026E-5</v>
      </c>
      <c r="O624" s="2375">
        <v>0</v>
      </c>
      <c r="P624" s="2398" t="s">
        <v>89</v>
      </c>
      <c r="Q624" s="2375">
        <f t="shared" si="183"/>
        <v>0</v>
      </c>
      <c r="R624" s="2375">
        <f t="shared" si="184"/>
        <v>0</v>
      </c>
      <c r="S624" s="2375">
        <v>0</v>
      </c>
      <c r="T624" s="2398"/>
      <c r="U624" s="2375">
        <f t="shared" si="180"/>
        <v>0</v>
      </c>
      <c r="V624" s="2375"/>
      <c r="W624" s="2382">
        <f t="shared" si="181"/>
        <v>0.89999999999999991</v>
      </c>
      <c r="X624" s="2398" t="s">
        <v>89</v>
      </c>
      <c r="Y624" s="2375">
        <f t="shared" si="182"/>
        <v>252902.38</v>
      </c>
      <c r="Z624" s="2375"/>
      <c r="AA624" s="2377" t="s">
        <v>3355</v>
      </c>
    </row>
    <row r="625" spans="1:27" s="406" customFormat="1" ht="25" hidden="1" customHeight="1">
      <c r="A625" s="2749" t="s">
        <v>98</v>
      </c>
      <c r="B625" s="2549" t="s">
        <v>410</v>
      </c>
      <c r="C625" s="2550"/>
      <c r="D625" s="2551"/>
      <c r="E625" s="2541">
        <f>'11. Vol Bengkel G'!$M$137</f>
        <v>9.1242000000000019</v>
      </c>
      <c r="F625" s="2398" t="s">
        <v>100</v>
      </c>
      <c r="G625" s="2746">
        <v>19151.18</v>
      </c>
      <c r="H625" s="2746">
        <f>E625*G625</f>
        <v>174739.19655600004</v>
      </c>
      <c r="I625" s="2699">
        <f>'Resume Analisa'!$D$48</f>
        <v>18790.969999999998</v>
      </c>
      <c r="J625" s="2567">
        <f>E625*I625</f>
        <v>171452.568474</v>
      </c>
      <c r="K625" s="2378" t="e">
        <f>IF(H625=0,"",IF(J625&lt;#REF!*H625,"Timpang &lt;"&amp;TEXT(#REF!,"0%"),IF(J625&gt;#REF!*H625,"Timpang &gt;"&amp;TEXT(#REF!,"0%"),"Wajar")))</f>
        <v>#REF!</v>
      </c>
      <c r="L625" s="2391">
        <v>18790.969999999998</v>
      </c>
      <c r="M625" s="2391">
        <f>E625*L625</f>
        <v>171452.568474</v>
      </c>
      <c r="N625" s="2375">
        <f t="shared" si="175"/>
        <v>7.489414089046293E-5</v>
      </c>
      <c r="O625" s="2375">
        <v>0</v>
      </c>
      <c r="P625" s="2398" t="s">
        <v>100</v>
      </c>
      <c r="Q625" s="2375">
        <f t="shared" si="183"/>
        <v>0</v>
      </c>
      <c r="R625" s="2375">
        <f t="shared" si="184"/>
        <v>0</v>
      </c>
      <c r="S625" s="2375">
        <v>0</v>
      </c>
      <c r="T625" s="2398"/>
      <c r="U625" s="2375">
        <f t="shared" si="180"/>
        <v>0</v>
      </c>
      <c r="V625" s="2375"/>
      <c r="W625" s="2382">
        <f t="shared" si="181"/>
        <v>9.1242000000000019</v>
      </c>
      <c r="X625" s="2398" t="s">
        <v>100</v>
      </c>
      <c r="Y625" s="2375">
        <f t="shared" si="182"/>
        <v>18790.969999999998</v>
      </c>
      <c r="Z625" s="2375"/>
      <c r="AA625" s="2377" t="s">
        <v>3355</v>
      </c>
    </row>
    <row r="626" spans="1:27" s="406" customFormat="1" ht="25" hidden="1" customHeight="1">
      <c r="A626" s="2749" t="s">
        <v>101</v>
      </c>
      <c r="B626" s="2549" t="s">
        <v>529</v>
      </c>
      <c r="C626" s="2550"/>
      <c r="D626" s="2551"/>
      <c r="E626" s="2541">
        <f>'11. Vol Bengkel G'!$M$138</f>
        <v>1.3493952000000002</v>
      </c>
      <c r="F626" s="2398" t="s">
        <v>100</v>
      </c>
      <c r="G626" s="2750">
        <v>19151.18</v>
      </c>
      <c r="H626" s="2746">
        <f>E626*G626</f>
        <v>25842.510366336006</v>
      </c>
      <c r="I626" s="2474">
        <f>'Resume Analisa'!$D$48</f>
        <v>18790.969999999998</v>
      </c>
      <c r="J626" s="2567">
        <f>E626*I626</f>
        <v>25356.444721344</v>
      </c>
      <c r="K626" s="2378" t="e">
        <f>IF(H626=0,"",IF(J626&lt;#REF!*H626,"Timpang &lt;"&amp;TEXT(#REF!,"0%"),IF(J626&gt;#REF!*H626,"Timpang &gt;"&amp;TEXT(#REF!,"0%"),"Wajar")))</f>
        <v>#REF!</v>
      </c>
      <c r="L626" s="2475">
        <v>18790.969999999998</v>
      </c>
      <c r="M626" s="2391">
        <f>E626*L626</f>
        <v>25356.444721344</v>
      </c>
      <c r="N626" s="2375">
        <f t="shared" si="175"/>
        <v>1.1076236187908463E-5</v>
      </c>
      <c r="O626" s="2375">
        <v>0</v>
      </c>
      <c r="P626" s="2398" t="s">
        <v>100</v>
      </c>
      <c r="Q626" s="2375">
        <f t="shared" si="183"/>
        <v>0</v>
      </c>
      <c r="R626" s="2375">
        <f t="shared" si="184"/>
        <v>0</v>
      </c>
      <c r="S626" s="2375">
        <v>0</v>
      </c>
      <c r="T626" s="2398"/>
      <c r="U626" s="2375">
        <f t="shared" si="180"/>
        <v>0</v>
      </c>
      <c r="V626" s="2375"/>
      <c r="W626" s="2382">
        <f t="shared" si="181"/>
        <v>1.3493952000000002</v>
      </c>
      <c r="X626" s="2398" t="s">
        <v>100</v>
      </c>
      <c r="Y626" s="2375">
        <f t="shared" si="182"/>
        <v>18790.969999999998</v>
      </c>
      <c r="Z626" s="2375"/>
      <c r="AA626" s="2377" t="s">
        <v>3355</v>
      </c>
    </row>
    <row r="627" spans="1:27" s="406" customFormat="1" ht="25" hidden="1" customHeight="1">
      <c r="A627" s="2749" t="s">
        <v>121</v>
      </c>
      <c r="B627" s="2549" t="s">
        <v>169</v>
      </c>
      <c r="C627" s="2550"/>
      <c r="D627" s="2551"/>
      <c r="E627" s="2541">
        <f>'11. Vol Bengkel G'!$M$139</f>
        <v>4.4999999999999998E-2</v>
      </c>
      <c r="F627" s="2398" t="s">
        <v>103</v>
      </c>
      <c r="G627" s="2746">
        <v>1584129.98</v>
      </c>
      <c r="H627" s="2746">
        <f>E627*G627</f>
        <v>71285.849099999992</v>
      </c>
      <c r="I627" s="2465">
        <f>'Resume Analisa'!$D$55</f>
        <v>1535009.1300000001</v>
      </c>
      <c r="J627" s="2567">
        <f>E627*I627</f>
        <v>69075.41085</v>
      </c>
      <c r="K627" s="2378" t="e">
        <f>IF(H627=0,"",IF(J627&lt;#REF!*H627,"Timpang &lt;"&amp;TEXT(#REF!,"0%"),IF(J627&gt;#REF!*H627,"Timpang &gt;"&amp;TEXT(#REF!,"0%"),"Wajar")))</f>
        <v>#REF!</v>
      </c>
      <c r="L627" s="2391">
        <v>1535009.1300000001</v>
      </c>
      <c r="M627" s="2391">
        <f>E627*L627</f>
        <v>69075.41085</v>
      </c>
      <c r="N627" s="2375">
        <f t="shared" si="175"/>
        <v>3.0173613602359218E-5</v>
      </c>
      <c r="O627" s="2375">
        <v>0</v>
      </c>
      <c r="P627" s="2398" t="s">
        <v>103</v>
      </c>
      <c r="Q627" s="2375">
        <f t="shared" si="183"/>
        <v>0</v>
      </c>
      <c r="R627" s="2375">
        <f t="shared" si="184"/>
        <v>0</v>
      </c>
      <c r="S627" s="2375">
        <v>0</v>
      </c>
      <c r="T627" s="2611"/>
      <c r="U627" s="2375">
        <f t="shared" si="180"/>
        <v>0</v>
      </c>
      <c r="V627" s="2375"/>
      <c r="W627" s="2382">
        <f t="shared" si="181"/>
        <v>4.4999999999999998E-2</v>
      </c>
      <c r="X627" s="2398" t="s">
        <v>103</v>
      </c>
      <c r="Y627" s="2375">
        <f t="shared" si="182"/>
        <v>1535009.1300000001</v>
      </c>
      <c r="Z627" s="2375"/>
      <c r="AA627" s="2377" t="s">
        <v>3355</v>
      </c>
    </row>
    <row r="628" spans="1:27" s="406" customFormat="1" ht="25" hidden="1" customHeight="1">
      <c r="A628" s="2611">
        <f>A623+1</f>
        <v>12</v>
      </c>
      <c r="B628" s="2747" t="s">
        <v>534</v>
      </c>
      <c r="C628" s="2744"/>
      <c r="D628" s="2745"/>
      <c r="E628" s="2541"/>
      <c r="F628" s="2611"/>
      <c r="G628" s="2746"/>
      <c r="H628" s="2746"/>
      <c r="I628" s="2762"/>
      <c r="J628" s="2746"/>
      <c r="K628" s="2389"/>
      <c r="L628" s="2391"/>
      <c r="M628" s="2391"/>
      <c r="N628" s="2375">
        <f t="shared" si="175"/>
        <v>0</v>
      </c>
      <c r="O628" s="2375">
        <v>0</v>
      </c>
      <c r="P628" s="2611"/>
      <c r="Q628" s="2375">
        <f t="shared" si="183"/>
        <v>0</v>
      </c>
      <c r="R628" s="2375">
        <f t="shared" si="184"/>
        <v>0</v>
      </c>
      <c r="S628" s="2375">
        <v>0</v>
      </c>
      <c r="T628" s="2611"/>
      <c r="U628" s="2375">
        <f t="shared" si="180"/>
        <v>0</v>
      </c>
      <c r="V628" s="2375"/>
      <c r="W628" s="2382">
        <f t="shared" si="181"/>
        <v>0</v>
      </c>
      <c r="X628" s="2611"/>
      <c r="Y628" s="2375">
        <f t="shared" si="182"/>
        <v>0</v>
      </c>
      <c r="Z628" s="2375"/>
      <c r="AA628" s="2377" t="s">
        <v>3355</v>
      </c>
    </row>
    <row r="629" spans="1:27" s="406" customFormat="1" ht="25" hidden="1" customHeight="1">
      <c r="A629" s="2749" t="s">
        <v>95</v>
      </c>
      <c r="B629" s="2549" t="s">
        <v>126</v>
      </c>
      <c r="C629" s="2744"/>
      <c r="D629" s="2745"/>
      <c r="E629" s="2541">
        <f>'11. Vol Bengkel G'!$M$145</f>
        <v>5.7824999999999998</v>
      </c>
      <c r="F629" s="2611" t="s">
        <v>89</v>
      </c>
      <c r="G629" s="2746">
        <v>257048.94</v>
      </c>
      <c r="H629" s="2746">
        <f>E629*G629</f>
        <v>1486385.4955499999</v>
      </c>
      <c r="I629" s="2465">
        <f>'Resume Analisa'!$D$42</f>
        <v>252902.38</v>
      </c>
      <c r="J629" s="2567">
        <f>E629*I629</f>
        <v>1462408.01235</v>
      </c>
      <c r="K629" s="2378" t="e">
        <f>IF(H629=0,"",IF(J629&lt;#REF!*H629,"Timpang &lt;"&amp;TEXT(#REF!,"0%"),IF(J629&gt;#REF!*H629,"Timpang &gt;"&amp;TEXT(#REF!,"0%"),"Wajar")))</f>
        <v>#REF!</v>
      </c>
      <c r="L629" s="2391">
        <v>252902.38</v>
      </c>
      <c r="M629" s="2391">
        <f>E629*L629</f>
        <v>1462408.01235</v>
      </c>
      <c r="N629" s="2375">
        <f t="shared" si="175"/>
        <v>6.38811029144144E-4</v>
      </c>
      <c r="O629" s="2375">
        <v>0</v>
      </c>
      <c r="P629" s="2611" t="s">
        <v>89</v>
      </c>
      <c r="Q629" s="2375">
        <f t="shared" si="183"/>
        <v>0</v>
      </c>
      <c r="R629" s="2375">
        <f t="shared" si="184"/>
        <v>0</v>
      </c>
      <c r="S629" s="2386">
        <v>0</v>
      </c>
      <c r="T629" s="2755"/>
      <c r="U629" s="2375">
        <f t="shared" si="180"/>
        <v>0</v>
      </c>
      <c r="V629" s="2375"/>
      <c r="W629" s="2382">
        <f t="shared" si="181"/>
        <v>5.7824999999999998</v>
      </c>
      <c r="X629" s="2611" t="s">
        <v>89</v>
      </c>
      <c r="Y629" s="2375">
        <f t="shared" si="182"/>
        <v>252902.38</v>
      </c>
      <c r="Z629" s="2375"/>
      <c r="AA629" s="2377" t="s">
        <v>3355</v>
      </c>
    </row>
    <row r="630" spans="1:27" s="406" customFormat="1" ht="25" hidden="1" customHeight="1">
      <c r="A630" s="2749" t="s">
        <v>98</v>
      </c>
      <c r="B630" s="2549" t="s">
        <v>432</v>
      </c>
      <c r="C630" s="2744"/>
      <c r="D630" s="2745"/>
      <c r="E630" s="2541">
        <f>'11. Vol Bengkel G'!$M$150</f>
        <v>31.688100000000006</v>
      </c>
      <c r="F630" s="2611" t="s">
        <v>100</v>
      </c>
      <c r="G630" s="2746">
        <v>19151.18</v>
      </c>
      <c r="H630" s="2746">
        <f>E630*G630</f>
        <v>606864.50695800013</v>
      </c>
      <c r="I630" s="2465">
        <f>'Resume Analisa'!$D$48</f>
        <v>18790.969999999998</v>
      </c>
      <c r="J630" s="2480">
        <f>I630*E630</f>
        <v>595450.13645700004</v>
      </c>
      <c r="K630" s="2378" t="e">
        <f>IF(H630=0,"",IF(J630&lt;#REF!*H630,"Timpang &lt;"&amp;TEXT(#REF!,"0%"),IF(J630&gt;#REF!*H630,"Timpang &gt;"&amp;TEXT(#REF!,"0%"),"Wajar")))</f>
        <v>#REF!</v>
      </c>
      <c r="L630" s="2391">
        <v>18790.969999999998</v>
      </c>
      <c r="M630" s="2391">
        <f>E630*L630</f>
        <v>595450.13645700004</v>
      </c>
      <c r="N630" s="2375">
        <f t="shared" si="175"/>
        <v>2.6010532714660777E-4</v>
      </c>
      <c r="O630" s="2375">
        <v>0</v>
      </c>
      <c r="P630" s="2611" t="s">
        <v>100</v>
      </c>
      <c r="Q630" s="2375">
        <f t="shared" si="183"/>
        <v>0</v>
      </c>
      <c r="R630" s="2375">
        <f t="shared" si="184"/>
        <v>0</v>
      </c>
      <c r="S630" s="2386">
        <v>0</v>
      </c>
      <c r="T630" s="2611"/>
      <c r="U630" s="2375">
        <f t="shared" si="180"/>
        <v>0</v>
      </c>
      <c r="V630" s="2375"/>
      <c r="W630" s="2382">
        <f t="shared" si="181"/>
        <v>31.688100000000006</v>
      </c>
      <c r="X630" s="2611" t="s">
        <v>100</v>
      </c>
      <c r="Y630" s="2375">
        <f t="shared" si="182"/>
        <v>18790.969999999998</v>
      </c>
      <c r="Z630" s="2375"/>
      <c r="AA630" s="2377" t="s">
        <v>3355</v>
      </c>
    </row>
    <row r="631" spans="1:27" s="406" customFormat="1" ht="25" hidden="1" customHeight="1">
      <c r="A631" s="2749" t="s">
        <v>101</v>
      </c>
      <c r="B631" s="2549" t="s">
        <v>621</v>
      </c>
      <c r="C631" s="2744"/>
      <c r="D631" s="2745"/>
      <c r="E631" s="2541">
        <f>'11. Vol Bengkel G'!$M$155</f>
        <v>7.2529992000000014</v>
      </c>
      <c r="F631" s="2611" t="s">
        <v>100</v>
      </c>
      <c r="G631" s="2746">
        <v>19151.18</v>
      </c>
      <c r="H631" s="2746">
        <f>E631*G631</f>
        <v>138903.49321905602</v>
      </c>
      <c r="I631" s="2465">
        <f>'Resume Analisa'!$D$48</f>
        <v>18790.969999999998</v>
      </c>
      <c r="J631" s="2567">
        <f>E631*I631</f>
        <v>136290.89037722402</v>
      </c>
      <c r="K631" s="2378" t="e">
        <f>IF(H631=0,"",IF(J631&lt;#REF!*H631,"Timpang &lt;"&amp;TEXT(#REF!,"0%"),IF(J631&gt;#REF!*H631,"Timpang &gt;"&amp;TEXT(#REF!,"0%"),"Wajar")))</f>
        <v>#REF!</v>
      </c>
      <c r="L631" s="2391">
        <v>18790.969999999998</v>
      </c>
      <c r="M631" s="2391">
        <f>E631*L631</f>
        <v>136290.89037722402</v>
      </c>
      <c r="N631" s="2375">
        <f t="shared" si="175"/>
        <v>5.9534769510007997E-5</v>
      </c>
      <c r="O631" s="2375">
        <v>0</v>
      </c>
      <c r="P631" s="2611" t="s">
        <v>100</v>
      </c>
      <c r="Q631" s="2375">
        <f t="shared" si="183"/>
        <v>0</v>
      </c>
      <c r="R631" s="2375">
        <f t="shared" si="184"/>
        <v>0</v>
      </c>
      <c r="S631" s="2375">
        <v>0</v>
      </c>
      <c r="T631" s="2611"/>
      <c r="U631" s="2375">
        <f t="shared" si="180"/>
        <v>0</v>
      </c>
      <c r="V631" s="2375"/>
      <c r="W631" s="2382">
        <f t="shared" si="181"/>
        <v>7.2529992000000014</v>
      </c>
      <c r="X631" s="2611" t="s">
        <v>100</v>
      </c>
      <c r="Y631" s="2375">
        <f t="shared" si="182"/>
        <v>18790.969999999998</v>
      </c>
      <c r="Z631" s="2375"/>
      <c r="AA631" s="2377" t="s">
        <v>3355</v>
      </c>
    </row>
    <row r="632" spans="1:27" s="406" customFormat="1" ht="25" hidden="1" customHeight="1">
      <c r="A632" s="2749" t="s">
        <v>121</v>
      </c>
      <c r="B632" s="2549" t="s">
        <v>429</v>
      </c>
      <c r="C632" s="2759"/>
      <c r="D632" s="2760"/>
      <c r="E632" s="2541">
        <f>'11. Vol Bengkel G'!$M$160</f>
        <v>0.28912499999999997</v>
      </c>
      <c r="F632" s="2611" t="s">
        <v>103</v>
      </c>
      <c r="G632" s="2746">
        <v>1584129.98</v>
      </c>
      <c r="H632" s="2746">
        <f>E632*G632</f>
        <v>458011.58046749997</v>
      </c>
      <c r="I632" s="2465">
        <f>'Resume Analisa'!$D$55</f>
        <v>1535009.1300000001</v>
      </c>
      <c r="J632" s="2567">
        <f>E632*I632</f>
        <v>443809.51471124997</v>
      </c>
      <c r="K632" s="2378" t="e">
        <f>IF(H632=0,"",IF(J632&lt;#REF!*H632,"Timpang &lt;"&amp;TEXT(#REF!,"0%"),IF(J632&gt;#REF!*H632,"Timpang &gt;"&amp;TEXT(#REF!,"0%"),"Wajar")))</f>
        <v>#REF!</v>
      </c>
      <c r="L632" s="2391">
        <v>1535009.1300000001</v>
      </c>
      <c r="M632" s="2391">
        <f>E632*L632</f>
        <v>443809.51471124997</v>
      </c>
      <c r="N632" s="2375">
        <f t="shared" si="175"/>
        <v>1.9386546739515797E-4</v>
      </c>
      <c r="O632" s="2375">
        <v>0</v>
      </c>
      <c r="P632" s="2611" t="s">
        <v>103</v>
      </c>
      <c r="Q632" s="2375">
        <f t="shared" si="183"/>
        <v>0</v>
      </c>
      <c r="R632" s="2375">
        <f t="shared" si="184"/>
        <v>0</v>
      </c>
      <c r="S632" s="2375">
        <v>0</v>
      </c>
      <c r="T632" s="2611"/>
      <c r="U632" s="2375">
        <f t="shared" si="180"/>
        <v>0</v>
      </c>
      <c r="V632" s="2375"/>
      <c r="W632" s="2382">
        <f t="shared" si="181"/>
        <v>0.28912499999999997</v>
      </c>
      <c r="X632" s="2611" t="s">
        <v>103</v>
      </c>
      <c r="Y632" s="2375">
        <f t="shared" si="182"/>
        <v>1535009.1300000001</v>
      </c>
      <c r="Z632" s="2375"/>
      <c r="AA632" s="2377" t="s">
        <v>3355</v>
      </c>
    </row>
    <row r="633" spans="1:27" s="406" customFormat="1" ht="25" hidden="1" customHeight="1">
      <c r="A633" s="2611">
        <f>A628+1</f>
        <v>13</v>
      </c>
      <c r="B633" s="2549" t="s">
        <v>622</v>
      </c>
      <c r="C633" s="2759"/>
      <c r="D633" s="2760"/>
      <c r="E633" s="2541"/>
      <c r="F633" s="2611"/>
      <c r="G633" s="2746"/>
      <c r="H633" s="2746"/>
      <c r="I633" s="2465"/>
      <c r="J633" s="2567"/>
      <c r="K633" s="2389"/>
      <c r="L633" s="2391"/>
      <c r="M633" s="2391"/>
      <c r="N633" s="2375">
        <f t="shared" si="175"/>
        <v>0</v>
      </c>
      <c r="O633" s="2375">
        <v>0</v>
      </c>
      <c r="P633" s="2611"/>
      <c r="Q633" s="2375">
        <f t="shared" si="183"/>
        <v>0</v>
      </c>
      <c r="R633" s="2375">
        <f t="shared" si="184"/>
        <v>0</v>
      </c>
      <c r="S633" s="2375">
        <v>0</v>
      </c>
      <c r="T633" s="2611"/>
      <c r="U633" s="2375">
        <f t="shared" si="180"/>
        <v>0</v>
      </c>
      <c r="V633" s="2375"/>
      <c r="W633" s="2382">
        <f t="shared" si="181"/>
        <v>0</v>
      </c>
      <c r="X633" s="2611"/>
      <c r="Y633" s="2375">
        <f t="shared" si="182"/>
        <v>0</v>
      </c>
      <c r="Z633" s="2375"/>
      <c r="AA633" s="2377" t="s">
        <v>3355</v>
      </c>
    </row>
    <row r="634" spans="1:27" s="406" customFormat="1" ht="25" hidden="1" customHeight="1">
      <c r="A634" s="2749" t="s">
        <v>95</v>
      </c>
      <c r="B634" s="2747" t="s">
        <v>148</v>
      </c>
      <c r="C634" s="2759"/>
      <c r="D634" s="2760"/>
      <c r="E634" s="2541">
        <f>'11. Vol Bengkel G'!$M$199</f>
        <v>7.1</v>
      </c>
      <c r="F634" s="2611" t="s">
        <v>89</v>
      </c>
      <c r="G634" s="2746">
        <v>294733.29000000004</v>
      </c>
      <c r="H634" s="2746">
        <f>E634*G634</f>
        <v>2092606.3590000002</v>
      </c>
      <c r="I634" s="2465">
        <f>'Resume Analisa'!$D$41</f>
        <v>290443.69</v>
      </c>
      <c r="J634" s="2567">
        <f>E634*I634</f>
        <v>2062150.199</v>
      </c>
      <c r="K634" s="2378" t="e">
        <f>IF(H634=0,"",IF(J634&lt;#REF!*H634,"Timpang &lt;"&amp;TEXT(#REF!,"0%"),IF(J634&gt;#REF!*H634,"Timpang &gt;"&amp;TEXT(#REF!,"0%"),"Wajar")))</f>
        <v>#REF!</v>
      </c>
      <c r="L634" s="2391">
        <v>290443.69</v>
      </c>
      <c r="M634" s="2391">
        <f>E634*L634</f>
        <v>2062150.199</v>
      </c>
      <c r="N634" s="2375">
        <f t="shared" si="175"/>
        <v>9.0079121541199159E-4</v>
      </c>
      <c r="O634" s="2375">
        <v>0</v>
      </c>
      <c r="P634" s="2611" t="s">
        <v>89</v>
      </c>
      <c r="Q634" s="2375">
        <f t="shared" si="183"/>
        <v>0</v>
      </c>
      <c r="R634" s="2375">
        <f t="shared" si="184"/>
        <v>0</v>
      </c>
      <c r="S634" s="2375">
        <v>0</v>
      </c>
      <c r="T634" s="2611"/>
      <c r="U634" s="2375">
        <f t="shared" si="180"/>
        <v>0</v>
      </c>
      <c r="V634" s="2375"/>
      <c r="W634" s="2382">
        <f t="shared" si="181"/>
        <v>7.1</v>
      </c>
      <c r="X634" s="2611" t="s">
        <v>89</v>
      </c>
      <c r="Y634" s="2375">
        <f t="shared" si="182"/>
        <v>290443.69</v>
      </c>
      <c r="Z634" s="2375"/>
      <c r="AA634" s="2377" t="s">
        <v>3355</v>
      </c>
    </row>
    <row r="635" spans="1:27" s="406" customFormat="1" ht="25" hidden="1" customHeight="1">
      <c r="A635" s="2749" t="s">
        <v>98</v>
      </c>
      <c r="B635" s="2549" t="s">
        <v>623</v>
      </c>
      <c r="C635" s="2759"/>
      <c r="D635" s="2760"/>
      <c r="E635" s="2541">
        <f>'11. Vol Bengkel G'!$M$203</f>
        <v>24.857280000000006</v>
      </c>
      <c r="F635" s="2611" t="s">
        <v>100</v>
      </c>
      <c r="G635" s="2746">
        <v>19151.18</v>
      </c>
      <c r="H635" s="2746">
        <f>E635*G635</f>
        <v>476046.24359040015</v>
      </c>
      <c r="I635" s="2465">
        <f>'Resume Analisa'!$D$48</f>
        <v>18790.969999999998</v>
      </c>
      <c r="J635" s="2567">
        <f>E635*I635</f>
        <v>467092.40276160004</v>
      </c>
      <c r="K635" s="2378" t="e">
        <f>IF(H635=0,"",IF(J635&lt;#REF!*H635,"Timpang &lt;"&amp;TEXT(#REF!,"0%"),IF(J635&gt;#REF!*H635,"Timpang &gt;"&amp;TEXT(#REF!,"0%"),"Wajar")))</f>
        <v>#REF!</v>
      </c>
      <c r="L635" s="2391">
        <v>18790.969999999998</v>
      </c>
      <c r="M635" s="2391">
        <f>E635*L635</f>
        <v>467092.40276160004</v>
      </c>
      <c r="N635" s="2375">
        <f t="shared" si="175"/>
        <v>2.0403592977726119E-4</v>
      </c>
      <c r="O635" s="2375">
        <v>0</v>
      </c>
      <c r="P635" s="2611" t="s">
        <v>100</v>
      </c>
      <c r="Q635" s="2375">
        <f t="shared" si="183"/>
        <v>0</v>
      </c>
      <c r="R635" s="2375">
        <f t="shared" si="184"/>
        <v>0</v>
      </c>
      <c r="S635" s="2375">
        <v>0</v>
      </c>
      <c r="T635" s="2611"/>
      <c r="U635" s="2375">
        <f t="shared" si="180"/>
        <v>0</v>
      </c>
      <c r="V635" s="2375"/>
      <c r="W635" s="2382">
        <f t="shared" si="181"/>
        <v>24.857280000000006</v>
      </c>
      <c r="X635" s="2611" t="s">
        <v>100</v>
      </c>
      <c r="Y635" s="2375">
        <f t="shared" si="182"/>
        <v>18790.969999999998</v>
      </c>
      <c r="Z635" s="2375"/>
      <c r="AA635" s="2377" t="s">
        <v>3355</v>
      </c>
    </row>
    <row r="636" spans="1:27" s="406" customFormat="1" ht="25" hidden="1" customHeight="1">
      <c r="A636" s="2749" t="s">
        <v>101</v>
      </c>
      <c r="B636" s="2549" t="s">
        <v>429</v>
      </c>
      <c r="C636" s="2759"/>
      <c r="D636" s="2760"/>
      <c r="E636" s="2541">
        <f>'11. Vol Bengkel G'!$M$204</f>
        <v>0.63750000000000007</v>
      </c>
      <c r="F636" s="2611" t="s">
        <v>103</v>
      </c>
      <c r="G636" s="2746">
        <v>1584129.98</v>
      </c>
      <c r="H636" s="2746">
        <f>E636*G636</f>
        <v>1009882.8622500001</v>
      </c>
      <c r="I636" s="2465">
        <f>'Resume Analisa'!$D$55</f>
        <v>1535009.1300000001</v>
      </c>
      <c r="J636" s="2567">
        <f>E636*I636</f>
        <v>978568.32037500013</v>
      </c>
      <c r="K636" s="2378" t="e">
        <f>IF(H636=0,"",IF(J636&lt;#REF!*H636,"Timpang &lt;"&amp;TEXT(#REF!,"0%"),IF(J636&gt;#REF!*H636,"Timpang &gt;"&amp;TEXT(#REF!,"0%"),"Wajar")))</f>
        <v>#REF!</v>
      </c>
      <c r="L636" s="2391">
        <v>1535009.1300000001</v>
      </c>
      <c r="M636" s="2391">
        <f>E636*L636</f>
        <v>978568.32037500013</v>
      </c>
      <c r="N636" s="2375">
        <f t="shared" si="175"/>
        <v>4.2745952603342232E-4</v>
      </c>
      <c r="O636" s="2375">
        <v>0</v>
      </c>
      <c r="P636" s="2611" t="s">
        <v>103</v>
      </c>
      <c r="Q636" s="2375">
        <f t="shared" si="183"/>
        <v>0</v>
      </c>
      <c r="R636" s="2375">
        <f t="shared" si="184"/>
        <v>0</v>
      </c>
      <c r="S636" s="2386">
        <v>0</v>
      </c>
      <c r="T636" s="2611"/>
      <c r="U636" s="2375">
        <f t="shared" si="180"/>
        <v>0</v>
      </c>
      <c r="V636" s="2375"/>
      <c r="W636" s="2382">
        <f t="shared" si="181"/>
        <v>0.63750000000000007</v>
      </c>
      <c r="X636" s="2611" t="s">
        <v>103</v>
      </c>
      <c r="Y636" s="2375">
        <f t="shared" si="182"/>
        <v>1535009.1300000001</v>
      </c>
      <c r="Z636" s="2375"/>
      <c r="AA636" s="2377" t="s">
        <v>3355</v>
      </c>
    </row>
    <row r="637" spans="1:27" s="406" customFormat="1" ht="25" hidden="1" customHeight="1">
      <c r="A637" s="2611">
        <f>A633+1</f>
        <v>14</v>
      </c>
      <c r="B637" s="2549" t="s">
        <v>483</v>
      </c>
      <c r="C637" s="2744"/>
      <c r="D637" s="2745"/>
      <c r="E637" s="2541"/>
      <c r="F637" s="2611"/>
      <c r="G637" s="2746"/>
      <c r="H637" s="2746"/>
      <c r="I637" s="2465"/>
      <c r="J637" s="2567"/>
      <c r="K637" s="2389"/>
      <c r="L637" s="2391"/>
      <c r="M637" s="2391"/>
      <c r="N637" s="2375">
        <f t="shared" ref="N637:N700" si="185">M637/$M$8</f>
        <v>0</v>
      </c>
      <c r="O637" s="2375">
        <v>0</v>
      </c>
      <c r="P637" s="2611"/>
      <c r="Q637" s="2375">
        <f t="shared" si="183"/>
        <v>0</v>
      </c>
      <c r="R637" s="2375">
        <f t="shared" si="184"/>
        <v>0</v>
      </c>
      <c r="S637" s="2386">
        <v>0</v>
      </c>
      <c r="T637" s="2398"/>
      <c r="U637" s="2375">
        <f t="shared" si="180"/>
        <v>0</v>
      </c>
      <c r="V637" s="2375"/>
      <c r="W637" s="2382">
        <f t="shared" si="181"/>
        <v>0</v>
      </c>
      <c r="X637" s="2611"/>
      <c r="Y637" s="2375">
        <f t="shared" si="182"/>
        <v>0</v>
      </c>
      <c r="Z637" s="2375"/>
      <c r="AA637" s="2377" t="s">
        <v>3355</v>
      </c>
    </row>
    <row r="638" spans="1:27" s="406" customFormat="1" ht="25" hidden="1" customHeight="1">
      <c r="A638" s="2749" t="s">
        <v>95</v>
      </c>
      <c r="B638" s="2549" t="s">
        <v>624</v>
      </c>
      <c r="C638" s="2744"/>
      <c r="D638" s="2745"/>
      <c r="E638" s="2541">
        <f>'11. Vol Bengkel G'!$M$209</f>
        <v>0.90000000000000013</v>
      </c>
      <c r="F638" s="2611" t="s">
        <v>103</v>
      </c>
      <c r="G638" s="2746">
        <v>200606.23</v>
      </c>
      <c r="H638" s="2746">
        <f t="shared" ref="H638:H645" si="186">E638*G638</f>
        <v>180545.60700000005</v>
      </c>
      <c r="I638" s="2480">
        <f>'Resume Analisa'!$D$24</f>
        <v>189662.29</v>
      </c>
      <c r="J638" s="2567">
        <f>E638*I638</f>
        <v>170696.06100000005</v>
      </c>
      <c r="K638" s="2378" t="e">
        <f>IF(H638=0,"",IF(J638&lt;#REF!*H638,"Timpang &lt;"&amp;TEXT(#REF!,"0%"),IF(J638&gt;#REF!*H638,"Timpang &gt;"&amp;TEXT(#REF!,"0%"),"Wajar")))</f>
        <v>#REF!</v>
      </c>
      <c r="L638" s="2391">
        <v>189662.29</v>
      </c>
      <c r="M638" s="2391">
        <f t="shared" ref="M638:M645" si="187">E638*L638</f>
        <v>170696.06100000005</v>
      </c>
      <c r="N638" s="2375">
        <f t="shared" si="185"/>
        <v>7.4563682281141873E-5</v>
      </c>
      <c r="O638" s="2375">
        <v>0</v>
      </c>
      <c r="P638" s="2611" t="s">
        <v>103</v>
      </c>
      <c r="Q638" s="2375">
        <f t="shared" si="183"/>
        <v>0</v>
      </c>
      <c r="R638" s="2375">
        <f t="shared" si="184"/>
        <v>0</v>
      </c>
      <c r="S638" s="2375">
        <v>0</v>
      </c>
      <c r="T638" s="2398"/>
      <c r="U638" s="2375">
        <f t="shared" si="180"/>
        <v>0</v>
      </c>
      <c r="V638" s="2375"/>
      <c r="W638" s="2382">
        <f t="shared" si="181"/>
        <v>0.90000000000000013</v>
      </c>
      <c r="X638" s="2611" t="s">
        <v>103</v>
      </c>
      <c r="Y638" s="2375">
        <f t="shared" si="182"/>
        <v>189662.29</v>
      </c>
      <c r="Z638" s="2375"/>
      <c r="AA638" s="2377" t="s">
        <v>3355</v>
      </c>
    </row>
    <row r="639" spans="1:27" s="406" customFormat="1" ht="25" hidden="1" customHeight="1">
      <c r="A639" s="2749" t="s">
        <v>98</v>
      </c>
      <c r="B639" s="2549" t="s">
        <v>625</v>
      </c>
      <c r="C639" s="2744"/>
      <c r="D639" s="2745"/>
      <c r="E639" s="2541">
        <f>'11. Vol Bengkel G'!$M$210</f>
        <v>0.90000000000000013</v>
      </c>
      <c r="F639" s="2611" t="s">
        <v>103</v>
      </c>
      <c r="G639" s="2746">
        <v>39847.5</v>
      </c>
      <c r="H639" s="2746">
        <f t="shared" si="186"/>
        <v>35862.750000000007</v>
      </c>
      <c r="I639" s="2480">
        <f>'Resume Analisa'!$D$31</f>
        <v>37946.620000000003</v>
      </c>
      <c r="J639" s="2567">
        <f>E639*I639</f>
        <v>34151.958000000006</v>
      </c>
      <c r="K639" s="2378" t="e">
        <f>IF(H639=0,"",IF(J639&lt;#REF!*H639,"Timpang &lt;"&amp;TEXT(#REF!,"0%"),IF(J639&gt;#REF!*H639,"Timpang &gt;"&amp;TEXT(#REF!,"0%"),"Wajar")))</f>
        <v>#REF!</v>
      </c>
      <c r="L639" s="2391">
        <v>37946.620000000003</v>
      </c>
      <c r="M639" s="2391">
        <f t="shared" si="187"/>
        <v>34151.958000000006</v>
      </c>
      <c r="N639" s="2375">
        <f t="shared" si="185"/>
        <v>1.4918304093677367E-5</v>
      </c>
      <c r="O639" s="2375">
        <v>0</v>
      </c>
      <c r="P639" s="2611" t="s">
        <v>103</v>
      </c>
      <c r="Q639" s="2375">
        <f t="shared" si="183"/>
        <v>0</v>
      </c>
      <c r="R639" s="2375">
        <f t="shared" si="184"/>
        <v>0</v>
      </c>
      <c r="S639" s="2375">
        <v>0</v>
      </c>
      <c r="T639" s="2611"/>
      <c r="U639" s="2375">
        <f t="shared" si="180"/>
        <v>0</v>
      </c>
      <c r="V639" s="2375"/>
      <c r="W639" s="2382">
        <f t="shared" si="181"/>
        <v>0.90000000000000013</v>
      </c>
      <c r="X639" s="2611" t="s">
        <v>103</v>
      </c>
      <c r="Y639" s="2375">
        <f t="shared" si="182"/>
        <v>37946.620000000003</v>
      </c>
      <c r="Z639" s="2375"/>
      <c r="AA639" s="2377" t="s">
        <v>3355</v>
      </c>
    </row>
    <row r="640" spans="1:27" s="406" customFormat="1" ht="25" hidden="1" customHeight="1">
      <c r="A640" s="2749" t="s">
        <v>101</v>
      </c>
      <c r="B640" s="2549" t="s">
        <v>415</v>
      </c>
      <c r="C640" s="2744"/>
      <c r="D640" s="2745"/>
      <c r="E640" s="2541">
        <f>'11. Vol Bengkel G'!$M$214</f>
        <v>0.90000000000000013</v>
      </c>
      <c r="F640" s="2611" t="s">
        <v>103</v>
      </c>
      <c r="G640" s="2746">
        <v>507759.96</v>
      </c>
      <c r="H640" s="2746">
        <f t="shared" si="186"/>
        <v>456983.96400000009</v>
      </c>
      <c r="I640" s="2480">
        <f>'Resume Analisa'!$D$26</f>
        <v>475358.64</v>
      </c>
      <c r="J640" s="2748">
        <f>E640*I640</f>
        <v>427822.77600000007</v>
      </c>
      <c r="K640" s="2378" t="e">
        <f>IF(H640=0,"",IF(J640&lt;#REF!*H640,"Timpang &lt;"&amp;TEXT(#REF!,"0%"),IF(J640&gt;#REF!*H640,"Timpang &gt;"&amp;TEXT(#REF!,"0%"),"Wajar")))</f>
        <v>#REF!</v>
      </c>
      <c r="L640" s="2391">
        <v>475358.64</v>
      </c>
      <c r="M640" s="2391">
        <f t="shared" si="187"/>
        <v>427822.77600000007</v>
      </c>
      <c r="N640" s="2375">
        <f t="shared" si="185"/>
        <v>1.8688211875199701E-4</v>
      </c>
      <c r="O640" s="2375">
        <v>0</v>
      </c>
      <c r="P640" s="2611" t="s">
        <v>103</v>
      </c>
      <c r="Q640" s="2375">
        <f t="shared" si="183"/>
        <v>0</v>
      </c>
      <c r="R640" s="2375">
        <f t="shared" si="184"/>
        <v>0</v>
      </c>
      <c r="S640" s="2375">
        <v>0</v>
      </c>
      <c r="T640" s="2611"/>
      <c r="U640" s="2375">
        <f t="shared" si="180"/>
        <v>0</v>
      </c>
      <c r="V640" s="2375"/>
      <c r="W640" s="2382">
        <f t="shared" si="181"/>
        <v>0.90000000000000013</v>
      </c>
      <c r="X640" s="2611" t="s">
        <v>103</v>
      </c>
      <c r="Y640" s="2375">
        <f t="shared" si="182"/>
        <v>475358.64</v>
      </c>
      <c r="Z640" s="2375"/>
      <c r="AA640" s="2377" t="s">
        <v>3355</v>
      </c>
    </row>
    <row r="641" spans="1:27" s="406" customFormat="1" ht="25" hidden="1" customHeight="1">
      <c r="A641" s="2749" t="s">
        <v>121</v>
      </c>
      <c r="B641" s="2549" t="s">
        <v>496</v>
      </c>
      <c r="C641" s="2744"/>
      <c r="D641" s="2745"/>
      <c r="E641" s="2541">
        <f>'11. Vol Bengkel G'!$M$218</f>
        <v>0.90000000000000013</v>
      </c>
      <c r="F641" s="2611" t="s">
        <v>103</v>
      </c>
      <c r="G641" s="2746">
        <v>1422226.08</v>
      </c>
      <c r="H641" s="2746">
        <f t="shared" si="186"/>
        <v>1280003.4720000003</v>
      </c>
      <c r="I641" s="2465">
        <f>'Resume Analisa'!$D$54</f>
        <v>1384580.76</v>
      </c>
      <c r="J641" s="2480">
        <f>I641*E641</f>
        <v>1246122.6840000001</v>
      </c>
      <c r="K641" s="2378" t="e">
        <f>IF(H641=0,"",IF(J641&lt;#REF!*H641,"Timpang &lt;"&amp;TEXT(#REF!,"0%"),IF(J641&gt;#REF!*H641,"Timpang &gt;"&amp;TEXT(#REF!,"0%"),"Wajar")))</f>
        <v>#REF!</v>
      </c>
      <c r="L641" s="2391">
        <v>1384580.76</v>
      </c>
      <c r="M641" s="2391">
        <f t="shared" si="187"/>
        <v>1246122.6840000001</v>
      </c>
      <c r="N641" s="2375">
        <f t="shared" si="185"/>
        <v>5.4433298196084176E-4</v>
      </c>
      <c r="O641" s="2375">
        <v>0</v>
      </c>
      <c r="P641" s="2611" t="s">
        <v>103</v>
      </c>
      <c r="Q641" s="2375">
        <f t="shared" si="183"/>
        <v>0</v>
      </c>
      <c r="R641" s="2375">
        <f t="shared" si="184"/>
        <v>0</v>
      </c>
      <c r="S641" s="2375">
        <v>0</v>
      </c>
      <c r="T641" s="2611"/>
      <c r="U641" s="2375">
        <f t="shared" si="180"/>
        <v>0</v>
      </c>
      <c r="V641" s="2375"/>
      <c r="W641" s="2382">
        <f t="shared" si="181"/>
        <v>0.90000000000000013</v>
      </c>
      <c r="X641" s="2611" t="s">
        <v>103</v>
      </c>
      <c r="Y641" s="2375">
        <f t="shared" si="182"/>
        <v>1384580.76</v>
      </c>
      <c r="Z641" s="2375"/>
      <c r="AA641" s="2377" t="s">
        <v>3355</v>
      </c>
    </row>
    <row r="642" spans="1:27" s="406" customFormat="1" ht="25" hidden="1" customHeight="1">
      <c r="A642" s="2749" t="s">
        <v>142</v>
      </c>
      <c r="B642" s="2561" t="s">
        <v>221</v>
      </c>
      <c r="C642" s="2744"/>
      <c r="D642" s="2745"/>
      <c r="E642" s="2541">
        <f>'11. Vol Bengkel G'!$M$222</f>
        <v>2.6999999999999997</v>
      </c>
      <c r="F642" s="2611" t="s">
        <v>89</v>
      </c>
      <c r="G642" s="2746">
        <v>230885.5</v>
      </c>
      <c r="H642" s="2746">
        <f t="shared" si="186"/>
        <v>623390.85</v>
      </c>
      <c r="I642" s="2480">
        <f>'Resume Analisa'!$D$39</f>
        <v>232328.86000000002</v>
      </c>
      <c r="J642" s="2480">
        <f>I642*E642</f>
        <v>627287.92200000002</v>
      </c>
      <c r="K642" s="2378" t="e">
        <f>IF(H642=0,"",IF(J642&lt;#REF!*H642,"Timpang &lt;"&amp;TEXT(#REF!,"0%"),IF(J642&gt;#REF!*H642,"Timpang &gt;"&amp;TEXT(#REF!,"0%"),"Wajar")))</f>
        <v>#REF!</v>
      </c>
      <c r="L642" s="2391">
        <v>232328.86000000002</v>
      </c>
      <c r="M642" s="2391">
        <f t="shared" si="187"/>
        <v>627287.92200000002</v>
      </c>
      <c r="N642" s="2375">
        <f t="shared" si="185"/>
        <v>2.7401275132415444E-4</v>
      </c>
      <c r="O642" s="2375">
        <v>0</v>
      </c>
      <c r="P642" s="2611" t="s">
        <v>89</v>
      </c>
      <c r="Q642" s="2375">
        <f t="shared" si="183"/>
        <v>0</v>
      </c>
      <c r="R642" s="2375">
        <f t="shared" si="184"/>
        <v>0</v>
      </c>
      <c r="S642" s="2375">
        <v>0</v>
      </c>
      <c r="T642" s="2611"/>
      <c r="U642" s="2375">
        <f t="shared" si="180"/>
        <v>0</v>
      </c>
      <c r="V642" s="2375"/>
      <c r="W642" s="2382">
        <f t="shared" si="181"/>
        <v>2.6999999999999997</v>
      </c>
      <c r="X642" s="2611" t="s">
        <v>89</v>
      </c>
      <c r="Y642" s="2375">
        <f t="shared" si="182"/>
        <v>232328.86000000002</v>
      </c>
      <c r="Z642" s="2375"/>
      <c r="AA642" s="2377" t="s">
        <v>3355</v>
      </c>
    </row>
    <row r="643" spans="1:27" s="406" customFormat="1" ht="25" hidden="1" customHeight="1">
      <c r="A643" s="2749" t="s">
        <v>217</v>
      </c>
      <c r="B643" s="2549" t="s">
        <v>626</v>
      </c>
      <c r="C643" s="2744"/>
      <c r="D643" s="2745"/>
      <c r="E643" s="2541">
        <f>'11. Vol Bengkel G'!$M$226</f>
        <v>36</v>
      </c>
      <c r="F643" s="2611" t="s">
        <v>89</v>
      </c>
      <c r="G643" s="2746">
        <v>76182.909999999989</v>
      </c>
      <c r="H643" s="2746">
        <f t="shared" si="186"/>
        <v>2742584.76</v>
      </c>
      <c r="I643" s="2465">
        <f>'Resume Analisa'!$D$51</f>
        <v>78144.03</v>
      </c>
      <c r="J643" s="2567">
        <f>E643*I643</f>
        <v>2813185.08</v>
      </c>
      <c r="K643" s="2378" t="e">
        <f>IF(H643=0,"",IF(J643&lt;#REF!*H643,"Timpang &lt;"&amp;TEXT(#REF!,"0%"),IF(J643&gt;#REF!*H643,"Timpang &gt;"&amp;TEXT(#REF!,"0%"),"Wajar")))</f>
        <v>#REF!</v>
      </c>
      <c r="L643" s="2391">
        <v>78144.03</v>
      </c>
      <c r="M643" s="2391">
        <f t="shared" si="187"/>
        <v>2813185.08</v>
      </c>
      <c r="N643" s="2375">
        <f t="shared" si="185"/>
        <v>1.2288592793196829E-3</v>
      </c>
      <c r="O643" s="2375">
        <v>0</v>
      </c>
      <c r="P643" s="2611" t="s">
        <v>89</v>
      </c>
      <c r="Q643" s="2375">
        <f t="shared" si="183"/>
        <v>0</v>
      </c>
      <c r="R643" s="2375">
        <f t="shared" si="184"/>
        <v>0</v>
      </c>
      <c r="S643" s="2386">
        <v>0</v>
      </c>
      <c r="T643" s="2611"/>
      <c r="U643" s="2375">
        <f t="shared" si="180"/>
        <v>0</v>
      </c>
      <c r="V643" s="2375"/>
      <c r="W643" s="2382">
        <f t="shared" si="181"/>
        <v>36</v>
      </c>
      <c r="X643" s="2611" t="s">
        <v>89</v>
      </c>
      <c r="Y643" s="2375">
        <f t="shared" si="182"/>
        <v>78144.03</v>
      </c>
      <c r="Z643" s="2375"/>
      <c r="AA643" s="2377" t="s">
        <v>3355</v>
      </c>
    </row>
    <row r="644" spans="1:27" s="406" customFormat="1" ht="25" hidden="1" customHeight="1">
      <c r="A644" s="2749" t="s">
        <v>366</v>
      </c>
      <c r="B644" s="2549" t="s">
        <v>429</v>
      </c>
      <c r="C644" s="2744"/>
      <c r="D644" s="2745"/>
      <c r="E644" s="2541">
        <f>'11. Vol Bengkel G'!$M$230</f>
        <v>2.6999999999999997</v>
      </c>
      <c r="F644" s="2611" t="s">
        <v>103</v>
      </c>
      <c r="G644" s="2746">
        <v>1584129.98</v>
      </c>
      <c r="H644" s="2746">
        <f t="shared" si="186"/>
        <v>4277150.9459999995</v>
      </c>
      <c r="I644" s="2465">
        <f>'Resume Analisa'!$D$55</f>
        <v>1535009.1300000001</v>
      </c>
      <c r="J644" s="2567">
        <f>E644*I644</f>
        <v>4144524.6510000001</v>
      </c>
      <c r="K644" s="2378" t="e">
        <f>IF(H644=0,"",IF(J644&lt;#REF!*H644,"Timpang &lt;"&amp;TEXT(#REF!,"0%"),IF(J644&gt;#REF!*H644,"Timpang &gt;"&amp;TEXT(#REF!,"0%"),"Wajar")))</f>
        <v>#REF!</v>
      </c>
      <c r="L644" s="2391">
        <v>1535009.1300000001</v>
      </c>
      <c r="M644" s="2391">
        <f t="shared" si="187"/>
        <v>4144524.6510000001</v>
      </c>
      <c r="N644" s="2375">
        <f t="shared" si="185"/>
        <v>1.8104168161415532E-3</v>
      </c>
      <c r="O644" s="2375">
        <v>0</v>
      </c>
      <c r="P644" s="2611" t="s">
        <v>103</v>
      </c>
      <c r="Q644" s="2375">
        <f t="shared" si="183"/>
        <v>0</v>
      </c>
      <c r="R644" s="2375">
        <f t="shared" si="184"/>
        <v>0</v>
      </c>
      <c r="S644" s="2386">
        <v>0</v>
      </c>
      <c r="T644" s="2611"/>
      <c r="U644" s="2375">
        <f t="shared" si="180"/>
        <v>0</v>
      </c>
      <c r="V644" s="2375"/>
      <c r="W644" s="2382">
        <f t="shared" si="181"/>
        <v>2.6999999999999997</v>
      </c>
      <c r="X644" s="2611" t="s">
        <v>103</v>
      </c>
      <c r="Y644" s="2375">
        <f t="shared" si="182"/>
        <v>1535009.1300000001</v>
      </c>
      <c r="Z644" s="2375"/>
      <c r="AA644" s="2377" t="s">
        <v>3355</v>
      </c>
    </row>
    <row r="645" spans="1:27" s="406" customFormat="1" ht="25" hidden="1" customHeight="1">
      <c r="A645" s="2749" t="s">
        <v>476</v>
      </c>
      <c r="B645" s="2549" t="s">
        <v>627</v>
      </c>
      <c r="C645" s="2744"/>
      <c r="D645" s="2745"/>
      <c r="E645" s="2541">
        <f>'11. Vol Bengkel G'!$M$234</f>
        <v>18</v>
      </c>
      <c r="F645" s="2611" t="s">
        <v>103</v>
      </c>
      <c r="G645" s="2746">
        <v>60812</v>
      </c>
      <c r="H645" s="2746">
        <f t="shared" si="186"/>
        <v>1094616</v>
      </c>
      <c r="I645" s="2465">
        <f>'Resume Analisa'!$D$85</f>
        <v>58413.14</v>
      </c>
      <c r="J645" s="2567">
        <f>E645*I645</f>
        <v>1051436.52</v>
      </c>
      <c r="K645" s="2378" t="e">
        <f>IF(H645=0,"",IF(J645&lt;#REF!*H645,"Timpang &lt;"&amp;TEXT(#REF!,"0%"),IF(J645&gt;#REF!*H645,"Timpang &gt;"&amp;TEXT(#REF!,"0%"),"Wajar")))</f>
        <v>#REF!</v>
      </c>
      <c r="L645" s="2391">
        <v>58413.14</v>
      </c>
      <c r="M645" s="2391">
        <f t="shared" si="187"/>
        <v>1051436.52</v>
      </c>
      <c r="N645" s="2375">
        <f t="shared" si="185"/>
        <v>4.5928991071486679E-4</v>
      </c>
      <c r="O645" s="2375">
        <v>0</v>
      </c>
      <c r="P645" s="2611" t="s">
        <v>103</v>
      </c>
      <c r="Q645" s="2375">
        <f t="shared" si="183"/>
        <v>0</v>
      </c>
      <c r="R645" s="2375">
        <f t="shared" si="184"/>
        <v>0</v>
      </c>
      <c r="S645" s="2375">
        <v>0</v>
      </c>
      <c r="T645" s="2611"/>
      <c r="U645" s="2375">
        <f t="shared" si="180"/>
        <v>0</v>
      </c>
      <c r="V645" s="2375"/>
      <c r="W645" s="2382">
        <f t="shared" si="181"/>
        <v>18</v>
      </c>
      <c r="X645" s="2611" t="s">
        <v>103</v>
      </c>
      <c r="Y645" s="2375">
        <f t="shared" si="182"/>
        <v>58413.14</v>
      </c>
      <c r="Z645" s="2375"/>
      <c r="AA645" s="2377" t="s">
        <v>3355</v>
      </c>
    </row>
    <row r="646" spans="1:27" s="406" customFormat="1" ht="25" hidden="1" customHeight="1">
      <c r="A646" s="2611"/>
      <c r="B646" s="2747"/>
      <c r="C646" s="2744"/>
      <c r="D646" s="2763" t="s">
        <v>376</v>
      </c>
      <c r="E646" s="2706"/>
      <c r="F646" s="2764"/>
      <c r="G646" s="2765"/>
      <c r="H646" s="2765">
        <f>SUM(H575:H645)</f>
        <v>51755177.687770873</v>
      </c>
      <c r="I646" s="2766"/>
      <c r="J646" s="2765">
        <f>SUM(J575:J645)</f>
        <v>51007391.985191993</v>
      </c>
      <c r="K646" s="2546"/>
      <c r="L646" s="2457"/>
      <c r="M646" s="2457">
        <f>SUM(M575:M645)</f>
        <v>51007391.985191993</v>
      </c>
      <c r="N646" s="2375">
        <f t="shared" si="185"/>
        <v>2.2281117371381623E-2</v>
      </c>
      <c r="O646" s="2375">
        <v>0</v>
      </c>
      <c r="P646" s="2764"/>
      <c r="Q646" s="2375">
        <f t="shared" si="183"/>
        <v>0</v>
      </c>
      <c r="R646" s="2375">
        <f t="shared" si="184"/>
        <v>0</v>
      </c>
      <c r="S646" s="2375">
        <v>0</v>
      </c>
      <c r="T646" s="2758"/>
      <c r="U646" s="2375">
        <f t="shared" si="180"/>
        <v>0</v>
      </c>
      <c r="V646" s="2375"/>
      <c r="W646" s="2382">
        <f t="shared" si="181"/>
        <v>0</v>
      </c>
      <c r="X646" s="2764"/>
      <c r="Y646" s="2375">
        <f t="shared" si="182"/>
        <v>0</v>
      </c>
      <c r="Z646" s="2375"/>
      <c r="AA646" s="2377" t="s">
        <v>3355</v>
      </c>
    </row>
    <row r="647" spans="1:27" s="406" customFormat="1" ht="25" hidden="1" customHeight="1">
      <c r="A647" s="2764" t="s">
        <v>628</v>
      </c>
      <c r="B647" s="3119" t="s">
        <v>434</v>
      </c>
      <c r="C647" s="2744"/>
      <c r="D647" s="2745"/>
      <c r="E647" s="2541"/>
      <c r="F647" s="2611"/>
      <c r="G647" s="2746"/>
      <c r="H647" s="2746"/>
      <c r="I647" s="2588"/>
      <c r="J647" s="2746"/>
      <c r="K647" s="2389"/>
      <c r="L647" s="2391"/>
      <c r="M647" s="2391"/>
      <c r="N647" s="2375">
        <f t="shared" si="185"/>
        <v>0</v>
      </c>
      <c r="O647" s="2375">
        <v>0</v>
      </c>
      <c r="P647" s="2611"/>
      <c r="Q647" s="2375">
        <f t="shared" si="183"/>
        <v>0</v>
      </c>
      <c r="R647" s="2375">
        <f t="shared" si="184"/>
        <v>0</v>
      </c>
      <c r="S647" s="2375">
        <v>0</v>
      </c>
      <c r="T647" s="2398"/>
      <c r="U647" s="2375">
        <f t="shared" si="180"/>
        <v>0</v>
      </c>
      <c r="V647" s="2375"/>
      <c r="W647" s="2382">
        <f t="shared" si="181"/>
        <v>0</v>
      </c>
      <c r="X647" s="2611"/>
      <c r="Y647" s="2375">
        <f t="shared" si="182"/>
        <v>0</v>
      </c>
      <c r="Z647" s="2375"/>
      <c r="AA647" s="2377" t="s">
        <v>3355</v>
      </c>
    </row>
    <row r="648" spans="1:27" s="406" customFormat="1" ht="25" hidden="1" customHeight="1">
      <c r="A648" s="2611">
        <v>1</v>
      </c>
      <c r="B648" s="2747" t="s">
        <v>629</v>
      </c>
      <c r="C648" s="2744"/>
      <c r="D648" s="2745"/>
      <c r="E648" s="2541">
        <f>'11. Vol Bengkel G'!$M$247</f>
        <v>43.7376</v>
      </c>
      <c r="F648" s="2611" t="s">
        <v>89</v>
      </c>
      <c r="G648" s="2746">
        <v>166165.41</v>
      </c>
      <c r="H648" s="2746">
        <f t="shared" ref="H648:H653" si="188">E648*G648</f>
        <v>7267676.2364159999</v>
      </c>
      <c r="I648" s="2465">
        <f>'Resume Analisa'!$D$69</f>
        <v>161086.38</v>
      </c>
      <c r="J648" s="2567">
        <f t="shared" ref="J648:J653" si="189">E648*I648</f>
        <v>7045531.6538880002</v>
      </c>
      <c r="K648" s="2378" t="e">
        <f>IF(H648=0,"",IF(J648&lt;#REF!*H648,"Timpang &lt;"&amp;TEXT(#REF!,"0%"),IF(J648&gt;#REF!*H648,"Timpang &gt;"&amp;TEXT(#REF!,"0%"),"Wajar")))</f>
        <v>#REF!</v>
      </c>
      <c r="L648" s="2391">
        <v>161086.38</v>
      </c>
      <c r="M648" s="2391">
        <f t="shared" ref="M648:M653" si="190">E648*L648</f>
        <v>7045531.6538880002</v>
      </c>
      <c r="N648" s="2375">
        <f t="shared" si="185"/>
        <v>3.0776385855923924E-3</v>
      </c>
      <c r="O648" s="2375">
        <v>0</v>
      </c>
      <c r="P648" s="2611" t="s">
        <v>89</v>
      </c>
      <c r="Q648" s="2375">
        <f t="shared" si="183"/>
        <v>0</v>
      </c>
      <c r="R648" s="2375">
        <f t="shared" si="184"/>
        <v>0</v>
      </c>
      <c r="S648" s="2375">
        <v>0</v>
      </c>
      <c r="T648" s="2398"/>
      <c r="U648" s="2375">
        <f t="shared" si="180"/>
        <v>0</v>
      </c>
      <c r="V648" s="2375"/>
      <c r="W648" s="2382">
        <f t="shared" si="181"/>
        <v>43.7376</v>
      </c>
      <c r="X648" s="2611" t="s">
        <v>89</v>
      </c>
      <c r="Y648" s="2375">
        <f t="shared" si="182"/>
        <v>161086.38</v>
      </c>
      <c r="Z648" s="2375"/>
      <c r="AA648" s="2377" t="s">
        <v>3355</v>
      </c>
    </row>
    <row r="649" spans="1:27" s="406" customFormat="1" ht="25" hidden="1" customHeight="1">
      <c r="A649" s="2611">
        <f t="shared" ref="A649:A654" si="191">A648+1</f>
        <v>2</v>
      </c>
      <c r="B649" s="2747" t="s">
        <v>630</v>
      </c>
      <c r="C649" s="2744"/>
      <c r="D649" s="2745"/>
      <c r="E649" s="2541">
        <f>'11. Vol Bengkel G'!$M$248</f>
        <v>87.475200000000001</v>
      </c>
      <c r="F649" s="2611" t="s">
        <v>89</v>
      </c>
      <c r="G649" s="2746">
        <v>61230.840000000004</v>
      </c>
      <c r="H649" s="2746">
        <f t="shared" si="188"/>
        <v>5356179.975168</v>
      </c>
      <c r="I649" s="2465">
        <f>'Resume Analisa'!$D$70</f>
        <v>58648.57</v>
      </c>
      <c r="J649" s="2567">
        <f t="shared" si="189"/>
        <v>5130295.3904640004</v>
      </c>
      <c r="K649" s="2378" t="e">
        <f>IF(H649=0,"",IF(J649&lt;#REF!*H649,"Timpang &lt;"&amp;TEXT(#REF!,"0%"),IF(J649&gt;#REF!*H649,"Timpang &gt;"&amp;TEXT(#REF!,"0%"),"Wajar")))</f>
        <v>#REF!</v>
      </c>
      <c r="L649" s="2391">
        <v>58648.57</v>
      </c>
      <c r="M649" s="2391">
        <f t="shared" si="190"/>
        <v>5130295.3904640004</v>
      </c>
      <c r="N649" s="2375">
        <f t="shared" si="185"/>
        <v>2.2410225125403705E-3</v>
      </c>
      <c r="O649" s="2375">
        <v>0</v>
      </c>
      <c r="P649" s="2611" t="s">
        <v>89</v>
      </c>
      <c r="Q649" s="2375">
        <f t="shared" si="183"/>
        <v>0</v>
      </c>
      <c r="R649" s="2375">
        <f t="shared" si="184"/>
        <v>0</v>
      </c>
      <c r="S649" s="2375">
        <v>0</v>
      </c>
      <c r="T649" s="2398"/>
      <c r="U649" s="2375">
        <f t="shared" si="180"/>
        <v>0</v>
      </c>
      <c r="V649" s="2375"/>
      <c r="W649" s="2382">
        <f t="shared" si="181"/>
        <v>87.475200000000001</v>
      </c>
      <c r="X649" s="2611" t="s">
        <v>89</v>
      </c>
      <c r="Y649" s="2375">
        <f t="shared" si="182"/>
        <v>58648.57</v>
      </c>
      <c r="Z649" s="2375"/>
      <c r="AA649" s="2377" t="s">
        <v>3355</v>
      </c>
    </row>
    <row r="650" spans="1:27" s="406" customFormat="1" ht="25" hidden="1" customHeight="1">
      <c r="A650" s="2611">
        <f t="shared" si="191"/>
        <v>3</v>
      </c>
      <c r="B650" s="2747" t="s">
        <v>631</v>
      </c>
      <c r="C650" s="2744"/>
      <c r="D650" s="2745"/>
      <c r="E650" s="2541">
        <f>'11. Vol Bengkel G'!$M$252</f>
        <v>101.79519999999999</v>
      </c>
      <c r="F650" s="2611" t="s">
        <v>89</v>
      </c>
      <c r="G650" s="2746">
        <v>45612.170000000006</v>
      </c>
      <c r="H650" s="2746">
        <f t="shared" si="188"/>
        <v>4643099.967584</v>
      </c>
      <c r="I650" s="2465">
        <f>'Resume Analisa'!$D$72</f>
        <v>43813.91</v>
      </c>
      <c r="J650" s="2567">
        <f t="shared" si="189"/>
        <v>4460045.7312320005</v>
      </c>
      <c r="K650" s="2378" t="e">
        <f>IF(H650=0,"",IF(J650&lt;#REF!*H650,"Timpang &lt;"&amp;TEXT(#REF!,"0%"),IF(J650&gt;#REF!*H650,"Timpang &gt;"&amp;TEXT(#REF!,"0%"),"Wajar")))</f>
        <v>#REF!</v>
      </c>
      <c r="L650" s="2391">
        <v>43813.91</v>
      </c>
      <c r="M650" s="2391">
        <f t="shared" si="190"/>
        <v>4460045.7312320005</v>
      </c>
      <c r="N650" s="2375">
        <f t="shared" si="185"/>
        <v>1.9482431575438984E-3</v>
      </c>
      <c r="O650" s="2375">
        <v>0</v>
      </c>
      <c r="P650" s="2611" t="s">
        <v>89</v>
      </c>
      <c r="Q650" s="2375">
        <f t="shared" si="183"/>
        <v>0</v>
      </c>
      <c r="R650" s="2375">
        <f t="shared" si="184"/>
        <v>0</v>
      </c>
      <c r="S650" s="2386">
        <v>0</v>
      </c>
      <c r="T650" s="2398"/>
      <c r="U650" s="2375">
        <f t="shared" si="180"/>
        <v>0</v>
      </c>
      <c r="V650" s="2375"/>
      <c r="W650" s="2382">
        <f t="shared" si="181"/>
        <v>101.79519999999999</v>
      </c>
      <c r="X650" s="2611" t="s">
        <v>89</v>
      </c>
      <c r="Y650" s="2375">
        <f t="shared" si="182"/>
        <v>43813.91</v>
      </c>
      <c r="Z650" s="2375"/>
      <c r="AA650" s="2377" t="s">
        <v>3355</v>
      </c>
    </row>
    <row r="651" spans="1:27" s="406" customFormat="1" ht="25" hidden="1" customHeight="1">
      <c r="A651" s="2611">
        <f t="shared" si="191"/>
        <v>4</v>
      </c>
      <c r="B651" s="2747" t="s">
        <v>562</v>
      </c>
      <c r="C651" s="2744"/>
      <c r="D651" s="2745"/>
      <c r="E651" s="2541">
        <f>'11. Vol Bengkel G'!$M$258</f>
        <v>23.1</v>
      </c>
      <c r="F651" s="2611" t="s">
        <v>117</v>
      </c>
      <c r="G651" s="2746">
        <v>55136.41</v>
      </c>
      <c r="H651" s="2746">
        <f t="shared" si="188"/>
        <v>1273651.0710000002</v>
      </c>
      <c r="I651" s="2465">
        <f>'Resume Analisa'!$D$74</f>
        <v>52968.270000000004</v>
      </c>
      <c r="J651" s="2567">
        <f t="shared" si="189"/>
        <v>1223567.0370000002</v>
      </c>
      <c r="K651" s="2378" t="e">
        <f>IF(H651=0,"",IF(J651&lt;#REF!*H651,"Timpang &lt;"&amp;TEXT(#REF!,"0%"),IF(J651&gt;#REF!*H651,"Timpang &gt;"&amp;TEXT(#REF!,"0%"),"Wajar")))</f>
        <v>#REF!</v>
      </c>
      <c r="L651" s="2391">
        <v>52968.270000000004</v>
      </c>
      <c r="M651" s="2391">
        <f t="shared" si="190"/>
        <v>1223567.0370000002</v>
      </c>
      <c r="N651" s="2375">
        <f t="shared" si="185"/>
        <v>5.3448019398963256E-4</v>
      </c>
      <c r="O651" s="2375">
        <v>0</v>
      </c>
      <c r="P651" s="2611" t="s">
        <v>117</v>
      </c>
      <c r="Q651" s="2375">
        <f t="shared" si="183"/>
        <v>0</v>
      </c>
      <c r="R651" s="2375">
        <f t="shared" si="184"/>
        <v>0</v>
      </c>
      <c r="S651" s="2386">
        <v>0</v>
      </c>
      <c r="T651" s="2611"/>
      <c r="U651" s="2375">
        <f t="shared" si="180"/>
        <v>0</v>
      </c>
      <c r="V651" s="2375"/>
      <c r="W651" s="2382">
        <f t="shared" si="181"/>
        <v>23.1</v>
      </c>
      <c r="X651" s="2611" t="s">
        <v>117</v>
      </c>
      <c r="Y651" s="2375">
        <f t="shared" si="182"/>
        <v>52968.270000000004</v>
      </c>
      <c r="Z651" s="2375"/>
      <c r="AA651" s="2377" t="s">
        <v>3355</v>
      </c>
    </row>
    <row r="652" spans="1:27" s="406" customFormat="1" ht="25" hidden="1" customHeight="1">
      <c r="A652" s="2611">
        <f t="shared" si="191"/>
        <v>5</v>
      </c>
      <c r="B652" s="2549" t="s">
        <v>436</v>
      </c>
      <c r="C652" s="2550"/>
      <c r="D652" s="2551"/>
      <c r="E652" s="2397">
        <f>'11. Vol Bengkel G'!$M$263</f>
        <v>3.5252119999999998</v>
      </c>
      <c r="F652" s="2398" t="s">
        <v>89</v>
      </c>
      <c r="G652" s="2746">
        <v>39943.170000000006</v>
      </c>
      <c r="H652" s="2746">
        <f t="shared" si="188"/>
        <v>140808.14220204001</v>
      </c>
      <c r="I652" s="2465">
        <f>'Resume Analisa'!$D$229</f>
        <v>38799.550000000003</v>
      </c>
      <c r="J652" s="2552">
        <f t="shared" si="189"/>
        <v>136776.63925460001</v>
      </c>
      <c r="K652" s="2378" t="e">
        <f>IF(H652=0,"",IF(J652&lt;#REF!*H652,"Timpang &lt;"&amp;TEXT(#REF!,"0%"),IF(J652&gt;#REF!*H652,"Timpang &gt;"&amp;TEXT(#REF!,"0%"),"Wajar")))</f>
        <v>#REF!</v>
      </c>
      <c r="L652" s="2391">
        <v>38799.550000000003</v>
      </c>
      <c r="M652" s="2391">
        <f t="shared" si="190"/>
        <v>136776.63925460001</v>
      </c>
      <c r="N652" s="2375">
        <f t="shared" si="185"/>
        <v>5.9746954986045931E-5</v>
      </c>
      <c r="O652" s="2375">
        <v>0</v>
      </c>
      <c r="P652" s="2398" t="s">
        <v>89</v>
      </c>
      <c r="Q652" s="2375">
        <f t="shared" si="183"/>
        <v>0</v>
      </c>
      <c r="R652" s="2375">
        <f t="shared" si="184"/>
        <v>0</v>
      </c>
      <c r="S652" s="2375">
        <v>0</v>
      </c>
      <c r="T652" s="2611"/>
      <c r="U652" s="2375">
        <f t="shared" si="180"/>
        <v>0</v>
      </c>
      <c r="V652" s="2375"/>
      <c r="W652" s="2382">
        <f t="shared" si="181"/>
        <v>3.5252119999999998</v>
      </c>
      <c r="X652" s="2398" t="s">
        <v>89</v>
      </c>
      <c r="Y652" s="2375">
        <f t="shared" si="182"/>
        <v>38799.550000000003</v>
      </c>
      <c r="Z652" s="2375"/>
      <c r="AA652" s="2377" t="s">
        <v>3355</v>
      </c>
    </row>
    <row r="653" spans="1:27" s="406" customFormat="1" ht="25" hidden="1" customHeight="1">
      <c r="A653" s="2611">
        <f t="shared" si="191"/>
        <v>6</v>
      </c>
      <c r="B653" s="2747" t="s">
        <v>632</v>
      </c>
      <c r="C653" s="2767"/>
      <c r="D653" s="2768"/>
      <c r="E653" s="2541">
        <f>'11. Vol Bengkel G'!$M$265</f>
        <v>0.20000000000000004</v>
      </c>
      <c r="F653" s="2611" t="s">
        <v>89</v>
      </c>
      <c r="G653" s="2746">
        <v>620335.30000000005</v>
      </c>
      <c r="H653" s="2746">
        <f t="shared" si="188"/>
        <v>124067.06000000003</v>
      </c>
      <c r="I653" s="2699">
        <f>'Resume Analisa'!$D$76</f>
        <v>641872.44000000006</v>
      </c>
      <c r="J653" s="2746">
        <f t="shared" si="189"/>
        <v>128374.48800000004</v>
      </c>
      <c r="K653" s="2378" t="e">
        <f>IF(H653=0,"",IF(J653&lt;#REF!*H653,"Timpang &lt;"&amp;TEXT(#REF!,"0%"),IF(J653&gt;#REF!*H653,"Timpang &gt;"&amp;TEXT(#REF!,"0%"),"Wajar")))</f>
        <v>#REF!</v>
      </c>
      <c r="L653" s="2391">
        <v>641872.44000000006</v>
      </c>
      <c r="M653" s="2391">
        <f t="shared" si="190"/>
        <v>128374.48800000004</v>
      </c>
      <c r="N653" s="2375">
        <f t="shared" si="185"/>
        <v>5.6076716007150634E-5</v>
      </c>
      <c r="O653" s="2375">
        <v>0</v>
      </c>
      <c r="P653" s="2611" t="s">
        <v>89</v>
      </c>
      <c r="Q653" s="2375">
        <f t="shared" si="183"/>
        <v>0</v>
      </c>
      <c r="R653" s="2375">
        <f t="shared" si="184"/>
        <v>0</v>
      </c>
      <c r="S653" s="2375">
        <v>0</v>
      </c>
      <c r="T653" s="2611"/>
      <c r="U653" s="2375">
        <f t="shared" si="180"/>
        <v>0</v>
      </c>
      <c r="V653" s="2375"/>
      <c r="W653" s="2382">
        <f t="shared" si="181"/>
        <v>0.20000000000000004</v>
      </c>
      <c r="X653" s="2611" t="s">
        <v>89</v>
      </c>
      <c r="Y653" s="2375">
        <f t="shared" si="182"/>
        <v>641872.44000000006</v>
      </c>
      <c r="Z653" s="2375"/>
      <c r="AA653" s="2377" t="s">
        <v>3355</v>
      </c>
    </row>
    <row r="654" spans="1:27" s="406" customFormat="1" ht="25" hidden="1" customHeight="1">
      <c r="A654" s="2611">
        <f t="shared" si="191"/>
        <v>7</v>
      </c>
      <c r="B654" s="2549" t="s">
        <v>633</v>
      </c>
      <c r="C654" s="2550"/>
      <c r="D654" s="2551"/>
      <c r="E654" s="2541"/>
      <c r="F654" s="2611"/>
      <c r="G654" s="2756"/>
      <c r="H654" s="2746"/>
      <c r="I654" s="2714"/>
      <c r="J654" s="2748"/>
      <c r="K654" s="2389"/>
      <c r="L654" s="2565"/>
      <c r="M654" s="2391"/>
      <c r="N654" s="2375">
        <f t="shared" si="185"/>
        <v>0</v>
      </c>
      <c r="O654" s="2375">
        <v>0</v>
      </c>
      <c r="P654" s="2611"/>
      <c r="Q654" s="2375">
        <f t="shared" si="183"/>
        <v>0</v>
      </c>
      <c r="R654" s="2375">
        <f t="shared" si="184"/>
        <v>0</v>
      </c>
      <c r="S654" s="2375">
        <v>0</v>
      </c>
      <c r="T654" s="2611"/>
      <c r="U654" s="2375">
        <f t="shared" si="180"/>
        <v>0</v>
      </c>
      <c r="V654" s="2375"/>
      <c r="W654" s="2382">
        <f t="shared" si="181"/>
        <v>0</v>
      </c>
      <c r="X654" s="2611"/>
      <c r="Y654" s="2375">
        <f t="shared" si="182"/>
        <v>0</v>
      </c>
      <c r="Z654" s="2375"/>
      <c r="AA654" s="2377" t="s">
        <v>3355</v>
      </c>
    </row>
    <row r="655" spans="1:27" s="406" customFormat="1" ht="25" hidden="1" customHeight="1">
      <c r="A655" s="2555" t="s">
        <v>95</v>
      </c>
      <c r="B655" s="2549" t="s">
        <v>566</v>
      </c>
      <c r="C655" s="2550"/>
      <c r="D655" s="2551"/>
      <c r="E655" s="2541">
        <f>'10. Vol Kantor 6x6'!$O$339</f>
        <v>3.52</v>
      </c>
      <c r="F655" s="2611" t="s">
        <v>117</v>
      </c>
      <c r="G655" s="2746">
        <v>313139.25</v>
      </c>
      <c r="H655" s="2746">
        <f>E655*G655</f>
        <v>1102250.1599999999</v>
      </c>
      <c r="I655" s="2480">
        <f>'Resume Analisa'!$D$109</f>
        <v>325586.65000000002</v>
      </c>
      <c r="J655" s="2748">
        <f>E655*I655</f>
        <v>1146065.0080000001</v>
      </c>
      <c r="K655" s="2378" t="e">
        <f>IF(H655=0,"",IF(J655&lt;#REF!*H655,"Timpang &lt;"&amp;TEXT(#REF!,"0%"),IF(J655&gt;#REF!*H655,"Timpang &gt;"&amp;TEXT(#REF!,"0%"),"Wajar")))</f>
        <v>#REF!</v>
      </c>
      <c r="L655" s="2391">
        <v>325586.65000000002</v>
      </c>
      <c r="M655" s="2391">
        <f>E655*L655</f>
        <v>1146065.0080000001</v>
      </c>
      <c r="N655" s="2375">
        <f t="shared" si="185"/>
        <v>5.0062565374631759E-4</v>
      </c>
      <c r="O655" s="2375">
        <v>0</v>
      </c>
      <c r="P655" s="2611" t="s">
        <v>117</v>
      </c>
      <c r="Q655" s="2375">
        <f t="shared" si="183"/>
        <v>0</v>
      </c>
      <c r="R655" s="2375">
        <f t="shared" si="184"/>
        <v>0</v>
      </c>
      <c r="S655" s="2375">
        <v>0</v>
      </c>
      <c r="T655" s="2611"/>
      <c r="U655" s="2375">
        <f t="shared" si="180"/>
        <v>0</v>
      </c>
      <c r="V655" s="2375"/>
      <c r="W655" s="2382">
        <f t="shared" si="181"/>
        <v>3.52</v>
      </c>
      <c r="X655" s="2611" t="s">
        <v>117</v>
      </c>
      <c r="Y655" s="2375">
        <f t="shared" si="182"/>
        <v>325586.65000000002</v>
      </c>
      <c r="Z655" s="2375"/>
      <c r="AA655" s="2377" t="s">
        <v>3355</v>
      </c>
    </row>
    <row r="656" spans="1:27" s="406" customFormat="1" ht="25" hidden="1" customHeight="1">
      <c r="A656" s="2555" t="s">
        <v>98</v>
      </c>
      <c r="B656" s="2549" t="s">
        <v>567</v>
      </c>
      <c r="C656" s="2550"/>
      <c r="D656" s="2551"/>
      <c r="E656" s="2541">
        <f>'10. Vol Kantor 6x6'!$O$341</f>
        <v>0.65</v>
      </c>
      <c r="F656" s="2611" t="s">
        <v>89</v>
      </c>
      <c r="G656" s="2746">
        <v>454480</v>
      </c>
      <c r="H656" s="2746">
        <f>E656*G656</f>
        <v>295412</v>
      </c>
      <c r="I656" s="2480">
        <f>'Resume Analisa'!$D$119</f>
        <v>435404.45</v>
      </c>
      <c r="J656" s="2748">
        <f>E656*I656</f>
        <v>283012.89250000002</v>
      </c>
      <c r="K656" s="2378" t="e">
        <f>IF(H656=0,"",IF(J656&lt;#REF!*H656,"Timpang &lt;"&amp;TEXT(#REF!,"0%"),IF(J656&gt;#REF!*H656,"Timpang &gt;"&amp;TEXT(#REF!,"0%"),"Wajar")))</f>
        <v>#REF!</v>
      </c>
      <c r="L656" s="2391">
        <v>435404.45</v>
      </c>
      <c r="M656" s="2391">
        <f>E656*L656</f>
        <v>283012.89250000002</v>
      </c>
      <c r="N656" s="2375">
        <f t="shared" si="185"/>
        <v>1.236260712415441E-4</v>
      </c>
      <c r="O656" s="2375">
        <v>0</v>
      </c>
      <c r="P656" s="2611" t="s">
        <v>89</v>
      </c>
      <c r="Q656" s="2375">
        <f t="shared" si="183"/>
        <v>0</v>
      </c>
      <c r="R656" s="2375">
        <f t="shared" si="184"/>
        <v>0</v>
      </c>
      <c r="S656" s="2375">
        <v>0</v>
      </c>
      <c r="T656" s="2611"/>
      <c r="U656" s="2375">
        <f t="shared" ref="U656:U719" si="192">S656*L656</f>
        <v>0</v>
      </c>
      <c r="V656" s="2375"/>
      <c r="W656" s="2382">
        <f t="shared" ref="W656:W719" si="193">(E656+O656)-S656</f>
        <v>0.65</v>
      </c>
      <c r="X656" s="2611" t="s">
        <v>89</v>
      </c>
      <c r="Y656" s="2375">
        <f t="shared" ref="Y656:Y719" si="194">L656</f>
        <v>435404.45</v>
      </c>
      <c r="Z656" s="2375"/>
      <c r="AA656" s="2377" t="s">
        <v>3355</v>
      </c>
    </row>
    <row r="657" spans="1:27" ht="25" hidden="1" customHeight="1">
      <c r="A657" s="2398">
        <f>A654+1</f>
        <v>8</v>
      </c>
      <c r="B657" s="2549" t="s">
        <v>443</v>
      </c>
      <c r="C657" s="2550"/>
      <c r="D657" s="2551"/>
      <c r="E657" s="2541"/>
      <c r="F657" s="2398"/>
      <c r="G657" s="2389"/>
      <c r="H657" s="2389"/>
      <c r="I657" s="2692"/>
      <c r="J657" s="2552"/>
      <c r="K657" s="2389"/>
      <c r="L657" s="2391"/>
      <c r="M657" s="2391"/>
      <c r="N657" s="2375">
        <f t="shared" si="185"/>
        <v>0</v>
      </c>
      <c r="O657" s="2375">
        <v>0</v>
      </c>
      <c r="P657" s="2398"/>
      <c r="Q657" s="2375">
        <f t="shared" si="183"/>
        <v>0</v>
      </c>
      <c r="R657" s="2375">
        <f t="shared" si="184"/>
        <v>0</v>
      </c>
      <c r="S657" s="2386">
        <v>0</v>
      </c>
      <c r="T657" s="2611"/>
      <c r="U657" s="2375">
        <f t="shared" si="192"/>
        <v>0</v>
      </c>
      <c r="V657" s="2375"/>
      <c r="W657" s="2382">
        <f t="shared" si="193"/>
        <v>0</v>
      </c>
      <c r="X657" s="2398"/>
      <c r="Y657" s="2375">
        <f t="shared" si="194"/>
        <v>0</v>
      </c>
      <c r="Z657" s="2375"/>
      <c r="AA657" s="2377" t="s">
        <v>3355</v>
      </c>
    </row>
    <row r="658" spans="1:27" ht="68" hidden="1" customHeight="1">
      <c r="A658" s="2589" t="s">
        <v>95</v>
      </c>
      <c r="B658" s="3193" t="s">
        <v>537</v>
      </c>
      <c r="C658" s="3194"/>
      <c r="D658" s="3195"/>
      <c r="E658" s="2541">
        <f>'11. Vol Bengkel G'!$M$279</f>
        <v>39.131999999999998</v>
      </c>
      <c r="F658" s="2590" t="s">
        <v>89</v>
      </c>
      <c r="G658" s="2389">
        <v>300628.27</v>
      </c>
      <c r="H658" s="2389">
        <f t="shared" ref="H658:H670" si="195">E658*G658</f>
        <v>11764185.46164</v>
      </c>
      <c r="I658" s="2588">
        <f>'Resume Analisa'!$D$224</f>
        <v>290179.7</v>
      </c>
      <c r="J658" s="2552">
        <f t="shared" ref="J658:J668" si="196">E658*I658</f>
        <v>11355312.020400001</v>
      </c>
      <c r="K658" s="2378" t="e">
        <f>IF(H658=0,"",IF(J658&lt;#REF!*H658,"Timpang &lt;"&amp;TEXT(#REF!,"0%"),IF(J658&gt;#REF!*H658,"Timpang &gt;"&amp;TEXT(#REF!,"0%"),"Wajar")))</f>
        <v>#REF!</v>
      </c>
      <c r="L658" s="2391">
        <v>290179.7</v>
      </c>
      <c r="M658" s="2391">
        <f t="shared" ref="M658:M670" si="197">E658*L658</f>
        <v>11355312.020400001</v>
      </c>
      <c r="N658" s="2375">
        <f t="shared" si="185"/>
        <v>4.9602426250031431E-3</v>
      </c>
      <c r="O658" s="2375">
        <v>0</v>
      </c>
      <c r="P658" s="2590" t="s">
        <v>89</v>
      </c>
      <c r="Q658" s="2375">
        <f t="shared" si="183"/>
        <v>0</v>
      </c>
      <c r="R658" s="2375">
        <f t="shared" si="184"/>
        <v>0</v>
      </c>
      <c r="S658" s="2386">
        <v>0</v>
      </c>
      <c r="T658" s="2611"/>
      <c r="U658" s="2375">
        <f t="shared" si="192"/>
        <v>0</v>
      </c>
      <c r="V658" s="2375"/>
      <c r="W658" s="2382">
        <f t="shared" si="193"/>
        <v>39.131999999999998</v>
      </c>
      <c r="X658" s="2590" t="s">
        <v>89</v>
      </c>
      <c r="Y658" s="2375">
        <f t="shared" si="194"/>
        <v>290179.7</v>
      </c>
      <c r="Z658" s="2375"/>
      <c r="AA658" s="2377" t="s">
        <v>3355</v>
      </c>
    </row>
    <row r="659" spans="1:27" ht="51.5" hidden="1" customHeight="1">
      <c r="A659" s="2589" t="s">
        <v>98</v>
      </c>
      <c r="B659" s="3193" t="s">
        <v>538</v>
      </c>
      <c r="C659" s="3194"/>
      <c r="D659" s="3195"/>
      <c r="E659" s="2541">
        <f>'11. Vol Bengkel G'!$M$280</f>
        <v>91.2</v>
      </c>
      <c r="F659" s="2398" t="s">
        <v>117</v>
      </c>
      <c r="G659" s="2389">
        <v>6893.1</v>
      </c>
      <c r="H659" s="2389">
        <f t="shared" si="195"/>
        <v>628650.72000000009</v>
      </c>
      <c r="I659" s="2588">
        <f>'Resume Analisa'!$D$222</f>
        <v>6849.5700000000006</v>
      </c>
      <c r="J659" s="2552">
        <f t="shared" si="196"/>
        <v>624680.7840000001</v>
      </c>
      <c r="K659" s="2378" t="e">
        <f>IF(H659=0,"",IF(J659&lt;#REF!*H659,"Timpang &lt;"&amp;TEXT(#REF!,"0%"),IF(J659&gt;#REF!*H659,"Timpang &gt;"&amp;TEXT(#REF!,"0%"),"Wajar")))</f>
        <v>#REF!</v>
      </c>
      <c r="L659" s="2391">
        <v>6849.5700000000006</v>
      </c>
      <c r="M659" s="2391">
        <f t="shared" si="197"/>
        <v>624680.7840000001</v>
      </c>
      <c r="N659" s="2375">
        <f t="shared" si="185"/>
        <v>2.7287389780664367E-4</v>
      </c>
      <c r="O659" s="2375">
        <v>0</v>
      </c>
      <c r="P659" s="2398" t="s">
        <v>117</v>
      </c>
      <c r="Q659" s="2375">
        <f t="shared" si="183"/>
        <v>0</v>
      </c>
      <c r="R659" s="2375">
        <f t="shared" si="184"/>
        <v>0</v>
      </c>
      <c r="S659" s="2375">
        <v>0</v>
      </c>
      <c r="T659" s="2611"/>
      <c r="U659" s="2375">
        <f t="shared" si="192"/>
        <v>0</v>
      </c>
      <c r="V659" s="2375"/>
      <c r="W659" s="2382">
        <f t="shared" si="193"/>
        <v>91.2</v>
      </c>
      <c r="X659" s="2398" t="s">
        <v>117</v>
      </c>
      <c r="Y659" s="2375">
        <f t="shared" si="194"/>
        <v>6849.5700000000006</v>
      </c>
      <c r="Z659" s="2375"/>
      <c r="AA659" s="2377" t="s">
        <v>3355</v>
      </c>
    </row>
    <row r="660" spans="1:27" ht="25" hidden="1" customHeight="1">
      <c r="A660" s="2555" t="s">
        <v>101</v>
      </c>
      <c r="B660" s="2549" t="s">
        <v>539</v>
      </c>
      <c r="C660" s="2550"/>
      <c r="D660" s="2551"/>
      <c r="E660" s="2541">
        <f>'11. Vol Bengkel G'!$M$284</f>
        <v>42.145800000000001</v>
      </c>
      <c r="F660" s="2590" t="s">
        <v>89</v>
      </c>
      <c r="G660" s="2389">
        <v>232335.08000000002</v>
      </c>
      <c r="H660" s="2389">
        <f t="shared" si="195"/>
        <v>9791947.8146640006</v>
      </c>
      <c r="I660" s="2588">
        <f>'Resume Analisa'!$D$64</f>
        <v>240387.47</v>
      </c>
      <c r="J660" s="2552">
        <f t="shared" si="196"/>
        <v>10131322.233126</v>
      </c>
      <c r="K660" s="2378" t="e">
        <f>IF(H660=0,"",IF(J660&lt;#REF!*H660,"Timpang &lt;"&amp;TEXT(#REF!,"0%"),IF(J660&gt;#REF!*H660,"Timpang &gt;"&amp;TEXT(#REF!,"0%"),"Wajar")))</f>
        <v>#REF!</v>
      </c>
      <c r="L660" s="2391">
        <v>240387.47</v>
      </c>
      <c r="M660" s="2391">
        <f t="shared" si="197"/>
        <v>10131322.233126</v>
      </c>
      <c r="N660" s="2375">
        <f t="shared" si="185"/>
        <v>4.4255777646718848E-3</v>
      </c>
      <c r="O660" s="2375">
        <v>0</v>
      </c>
      <c r="P660" s="2590" t="s">
        <v>89</v>
      </c>
      <c r="Q660" s="2375">
        <f t="shared" si="183"/>
        <v>0</v>
      </c>
      <c r="R660" s="2375">
        <f t="shared" si="184"/>
        <v>0</v>
      </c>
      <c r="S660" s="2375">
        <v>0</v>
      </c>
      <c r="T660" s="2611"/>
      <c r="U660" s="2375">
        <f t="shared" si="192"/>
        <v>0</v>
      </c>
      <c r="V660" s="2375"/>
      <c r="W660" s="2382">
        <f t="shared" si="193"/>
        <v>42.145800000000001</v>
      </c>
      <c r="X660" s="2590" t="s">
        <v>89</v>
      </c>
      <c r="Y660" s="2375">
        <f t="shared" si="194"/>
        <v>240387.47</v>
      </c>
      <c r="Z660" s="2375"/>
      <c r="AA660" s="2377" t="s">
        <v>3355</v>
      </c>
    </row>
    <row r="661" spans="1:27" ht="25" hidden="1" customHeight="1">
      <c r="A661" s="2555" t="s">
        <v>121</v>
      </c>
      <c r="B661" s="2549" t="s">
        <v>540</v>
      </c>
      <c r="C661" s="2550"/>
      <c r="D661" s="2551"/>
      <c r="E661" s="2541">
        <f>'11. Vol Bengkel G'!$M$285</f>
        <v>5.7</v>
      </c>
      <c r="F661" s="2590" t="s">
        <v>117</v>
      </c>
      <c r="G661" s="2389">
        <v>180008.45</v>
      </c>
      <c r="H661" s="2389">
        <f t="shared" si="195"/>
        <v>1026048.1650000002</v>
      </c>
      <c r="I661" s="2588">
        <f>'Resume Analisa'!$D$65</f>
        <v>172082.08000000002</v>
      </c>
      <c r="J661" s="2552">
        <f t="shared" si="196"/>
        <v>980867.85600000015</v>
      </c>
      <c r="K661" s="2611" t="e">
        <f>IF(H661=0,"",IF(J661&lt;#REF!*H661,"Timpang &lt;"&amp;TEXT(#REF!,"0%"),IF(J661&gt;#REF!*H661,"Timpang &gt;"&amp;TEXT(#REF!,"0%"),"Wajar")))</f>
        <v>#REF!</v>
      </c>
      <c r="L661" s="2391">
        <v>172082.08000000002</v>
      </c>
      <c r="M661" s="2391">
        <f t="shared" si="197"/>
        <v>980867.85600000015</v>
      </c>
      <c r="N661" s="2375">
        <f t="shared" si="185"/>
        <v>4.2846401226896979E-4</v>
      </c>
      <c r="O661" s="2375">
        <v>0</v>
      </c>
      <c r="P661" s="2590" t="s">
        <v>117</v>
      </c>
      <c r="Q661" s="2375">
        <f t="shared" si="183"/>
        <v>0</v>
      </c>
      <c r="R661" s="2375">
        <f t="shared" si="184"/>
        <v>0</v>
      </c>
      <c r="S661" s="2375">
        <v>0</v>
      </c>
      <c r="T661" s="2611"/>
      <c r="U661" s="2375">
        <f t="shared" si="192"/>
        <v>0</v>
      </c>
      <c r="V661" s="2375"/>
      <c r="W661" s="2382">
        <f t="shared" si="193"/>
        <v>5.7</v>
      </c>
      <c r="X661" s="2590" t="s">
        <v>117</v>
      </c>
      <c r="Y661" s="2375">
        <f t="shared" si="194"/>
        <v>172082.08000000002</v>
      </c>
      <c r="Z661" s="2375"/>
      <c r="AA661" s="2377" t="s">
        <v>3355</v>
      </c>
    </row>
    <row r="662" spans="1:27" s="406" customFormat="1" ht="54" hidden="1" customHeight="1">
      <c r="A662" s="2611">
        <f>A657+1</f>
        <v>9</v>
      </c>
      <c r="B662" s="3193" t="s">
        <v>634</v>
      </c>
      <c r="C662" s="3194"/>
      <c r="D662" s="3195"/>
      <c r="E662" s="2541">
        <f>'11. Vol Bengkel G'!$M$267</f>
        <v>19.7</v>
      </c>
      <c r="F662" s="2611" t="s">
        <v>89</v>
      </c>
      <c r="G662" s="2746">
        <v>264753.33</v>
      </c>
      <c r="H662" s="2746">
        <f t="shared" si="195"/>
        <v>5215640.6009999998</v>
      </c>
      <c r="I662" s="2465">
        <f>'Resume Analisa'!$D$107</f>
        <v>254151.64</v>
      </c>
      <c r="J662" s="2748">
        <f t="shared" si="196"/>
        <v>5006787.3080000002</v>
      </c>
      <c r="K662" s="2378" t="e">
        <f>IF(H662=0,"",IF(J662&lt;#REF!*H662,"Timpang &lt;"&amp;TEXT(#REF!,"0%"),IF(J662&gt;#REF!*H662,"Timpang &gt;"&amp;TEXT(#REF!,"0%"),"Wajar")))</f>
        <v>#REF!</v>
      </c>
      <c r="L662" s="2391">
        <v>254151.64</v>
      </c>
      <c r="M662" s="2391">
        <f t="shared" si="197"/>
        <v>5006787.3080000002</v>
      </c>
      <c r="N662" s="2375">
        <f t="shared" si="185"/>
        <v>2.1870715463256389E-3</v>
      </c>
      <c r="O662" s="2375">
        <v>0</v>
      </c>
      <c r="P662" s="2611" t="s">
        <v>89</v>
      </c>
      <c r="Q662" s="2375">
        <f t="shared" si="183"/>
        <v>0</v>
      </c>
      <c r="R662" s="2375">
        <f t="shared" si="184"/>
        <v>0</v>
      </c>
      <c r="S662" s="2375">
        <v>0</v>
      </c>
      <c r="T662" s="2611"/>
      <c r="U662" s="2375">
        <f t="shared" si="192"/>
        <v>0</v>
      </c>
      <c r="V662" s="2375"/>
      <c r="W662" s="2382">
        <f t="shared" si="193"/>
        <v>19.7</v>
      </c>
      <c r="X662" s="2611" t="s">
        <v>89</v>
      </c>
      <c r="Y662" s="2375">
        <f t="shared" si="194"/>
        <v>254151.64</v>
      </c>
      <c r="Z662" s="2375"/>
      <c r="AA662" s="2377" t="s">
        <v>3355</v>
      </c>
    </row>
    <row r="663" spans="1:27" s="406" customFormat="1" ht="54" hidden="1" customHeight="1">
      <c r="A663" s="2611">
        <f t="shared" ref="A663:A670" si="198">A662+1</f>
        <v>10</v>
      </c>
      <c r="B663" s="3193" t="s">
        <v>449</v>
      </c>
      <c r="C663" s="3194"/>
      <c r="D663" s="3195"/>
      <c r="E663" s="2541">
        <f>'11. Vol Bengkel G'!$M$270</f>
        <v>1.75</v>
      </c>
      <c r="F663" s="2398" t="s">
        <v>89</v>
      </c>
      <c r="G663" s="2746">
        <v>844895.8</v>
      </c>
      <c r="H663" s="2746">
        <f t="shared" si="195"/>
        <v>1478567.6500000001</v>
      </c>
      <c r="I663" s="2588">
        <f>'Resume Analisa'!$D$77</f>
        <v>842796.62</v>
      </c>
      <c r="J663" s="2552">
        <f t="shared" si="196"/>
        <v>1474894.085</v>
      </c>
      <c r="K663" s="2378" t="e">
        <f>IF(H663=0,"",IF(J663&lt;#REF!*H663,"Timpang &lt;"&amp;TEXT(#REF!,"0%"),IF(J663&gt;#REF!*H663,"Timpang &gt;"&amp;TEXT(#REF!,"0%"),"Wajar")))</f>
        <v>#REF!</v>
      </c>
      <c r="L663" s="2391">
        <v>842796.62</v>
      </c>
      <c r="M663" s="2391">
        <f t="shared" si="197"/>
        <v>1474894.085</v>
      </c>
      <c r="N663" s="2375">
        <f t="shared" si="185"/>
        <v>6.4426521214379655E-4</v>
      </c>
      <c r="O663" s="2375">
        <v>0</v>
      </c>
      <c r="P663" s="2398" t="s">
        <v>89</v>
      </c>
      <c r="Q663" s="2375">
        <f t="shared" si="183"/>
        <v>0</v>
      </c>
      <c r="R663" s="2375">
        <f t="shared" si="184"/>
        <v>0</v>
      </c>
      <c r="S663" s="2375">
        <v>0</v>
      </c>
      <c r="T663" s="2611"/>
      <c r="U663" s="2375">
        <f t="shared" si="192"/>
        <v>0</v>
      </c>
      <c r="V663" s="2375"/>
      <c r="W663" s="2382">
        <f t="shared" si="193"/>
        <v>1.75</v>
      </c>
      <c r="X663" s="2398" t="s">
        <v>89</v>
      </c>
      <c r="Y663" s="2375">
        <f t="shared" si="194"/>
        <v>842796.62</v>
      </c>
      <c r="Z663" s="2375"/>
      <c r="AA663" s="2377" t="s">
        <v>3355</v>
      </c>
    </row>
    <row r="664" spans="1:27" s="406" customFormat="1" ht="25" hidden="1" customHeight="1">
      <c r="A664" s="2611">
        <f t="shared" si="198"/>
        <v>11</v>
      </c>
      <c r="B664" s="2747" t="s">
        <v>580</v>
      </c>
      <c r="C664" s="2744"/>
      <c r="D664" s="2745"/>
      <c r="E664" s="2541">
        <f>'11. Vol Bengkel G'!$M$276</f>
        <v>101.79519999999999</v>
      </c>
      <c r="F664" s="2611" t="s">
        <v>89</v>
      </c>
      <c r="G664" s="2746">
        <v>90295.7</v>
      </c>
      <c r="H664" s="2746">
        <f t="shared" si="195"/>
        <v>9191668.8406399991</v>
      </c>
      <c r="I664" s="2699">
        <f>'Resume Analisa'!$D$79</f>
        <v>91347.61</v>
      </c>
      <c r="J664" s="2746">
        <f t="shared" si="196"/>
        <v>9298748.2294720002</v>
      </c>
      <c r="K664" s="2378" t="e">
        <f>IF(H664=0,"",IF(J664&lt;#REF!*H664,"Timpang &lt;"&amp;TEXT(#REF!,"0%"),IF(J664&gt;#REF!*H664,"Timpang &gt;"&amp;TEXT(#REF!,"0%"),"Wajar")))</f>
        <v>#REF!</v>
      </c>
      <c r="L664" s="2391">
        <v>91347.61</v>
      </c>
      <c r="M664" s="2391">
        <f t="shared" si="197"/>
        <v>9298748.2294720002</v>
      </c>
      <c r="N664" s="2375">
        <f t="shared" si="185"/>
        <v>4.0618916718569188E-3</v>
      </c>
      <c r="O664" s="2375">
        <v>0</v>
      </c>
      <c r="P664" s="2611" t="s">
        <v>89</v>
      </c>
      <c r="Q664" s="2375">
        <f t="shared" si="183"/>
        <v>0</v>
      </c>
      <c r="R664" s="2375">
        <f t="shared" si="184"/>
        <v>0</v>
      </c>
      <c r="S664" s="2386">
        <v>0</v>
      </c>
      <c r="T664" s="2611"/>
      <c r="U664" s="2375">
        <f t="shared" si="192"/>
        <v>0</v>
      </c>
      <c r="V664" s="2375"/>
      <c r="W664" s="2382">
        <f t="shared" si="193"/>
        <v>101.79519999999999</v>
      </c>
      <c r="X664" s="2611" t="s">
        <v>89</v>
      </c>
      <c r="Y664" s="2375">
        <f t="shared" si="194"/>
        <v>91347.61</v>
      </c>
      <c r="Z664" s="2375"/>
      <c r="AA664" s="2377" t="s">
        <v>3355</v>
      </c>
    </row>
    <row r="665" spans="1:27" s="406" customFormat="1" ht="25" hidden="1" customHeight="1">
      <c r="A665" s="2611">
        <f t="shared" si="198"/>
        <v>12</v>
      </c>
      <c r="B665" s="2747" t="s">
        <v>581</v>
      </c>
      <c r="C665" s="2744"/>
      <c r="D665" s="2745"/>
      <c r="E665" s="2541">
        <f>'11. Vol Bengkel G'!$M$277</f>
        <v>19.7</v>
      </c>
      <c r="F665" s="2611" t="s">
        <v>89</v>
      </c>
      <c r="G665" s="2746">
        <v>36451.78</v>
      </c>
      <c r="H665" s="2746">
        <f t="shared" si="195"/>
        <v>718100.06599999999</v>
      </c>
      <c r="I665" s="2699">
        <f>'Resume Analisa'!$D$82</f>
        <v>36706.18</v>
      </c>
      <c r="J665" s="2746">
        <f t="shared" si="196"/>
        <v>723111.74599999993</v>
      </c>
      <c r="K665" s="2378" t="e">
        <f>IF(H665=0,"",IF(J665&lt;#REF!*H665,"Timpang &lt;"&amp;TEXT(#REF!,"0%"),IF(J665&gt;#REF!*H665,"Timpang &gt;"&amp;TEXT(#REF!,"0%"),"Wajar")))</f>
        <v>#REF!</v>
      </c>
      <c r="L665" s="2391">
        <v>36706.18</v>
      </c>
      <c r="M665" s="2391">
        <f t="shared" si="197"/>
        <v>723111.74599999993</v>
      </c>
      <c r="N665" s="2375">
        <f t="shared" si="185"/>
        <v>3.158706426301527E-4</v>
      </c>
      <c r="O665" s="2375">
        <v>0</v>
      </c>
      <c r="P665" s="2611" t="s">
        <v>89</v>
      </c>
      <c r="Q665" s="2375">
        <f t="shared" si="183"/>
        <v>0</v>
      </c>
      <c r="R665" s="2375">
        <f t="shared" si="184"/>
        <v>0</v>
      </c>
      <c r="S665" s="2386">
        <v>0</v>
      </c>
      <c r="T665" s="2611"/>
      <c r="U665" s="2375">
        <f t="shared" si="192"/>
        <v>0</v>
      </c>
      <c r="V665" s="2375"/>
      <c r="W665" s="2382">
        <f t="shared" si="193"/>
        <v>19.7</v>
      </c>
      <c r="X665" s="2611" t="s">
        <v>89</v>
      </c>
      <c r="Y665" s="2375">
        <f t="shared" si="194"/>
        <v>36706.18</v>
      </c>
      <c r="Z665" s="2375"/>
      <c r="AA665" s="2377" t="s">
        <v>3355</v>
      </c>
    </row>
    <row r="666" spans="1:27" s="406" customFormat="1" ht="25" hidden="1" customHeight="1">
      <c r="A666" s="2611">
        <f t="shared" si="198"/>
        <v>13</v>
      </c>
      <c r="B666" s="2549" t="s">
        <v>452</v>
      </c>
      <c r="C666" s="2744"/>
      <c r="D666" s="2745"/>
      <c r="E666" s="2541">
        <f>'11. Vol Bengkel G'!$M$290</f>
        <v>26.188000000000002</v>
      </c>
      <c r="F666" s="2611" t="s">
        <v>89</v>
      </c>
      <c r="G666" s="2746">
        <v>111113</v>
      </c>
      <c r="H666" s="2746">
        <f t="shared" si="195"/>
        <v>2909827.2440000004</v>
      </c>
      <c r="I666" s="2769">
        <f>'Resume Analisa'!$D$67</f>
        <v>110227.31999999999</v>
      </c>
      <c r="J666" s="2567">
        <f t="shared" si="196"/>
        <v>2886633.0561600002</v>
      </c>
      <c r="K666" s="2378" t="e">
        <f>IF(H666=0,"",IF(J666&lt;#REF!*H666,"Timpang &lt;"&amp;TEXT(#REF!,"0%"),IF(J666&gt;#REF!*H666,"Timpang &gt;"&amp;TEXT(#REF!,"0%"),"Wajar")))</f>
        <v>#REF!</v>
      </c>
      <c r="L666" s="2391">
        <v>110227.31999999999</v>
      </c>
      <c r="M666" s="2391">
        <f t="shared" si="197"/>
        <v>2886633.0561600002</v>
      </c>
      <c r="N666" s="2375">
        <f t="shared" si="185"/>
        <v>1.2609429227646662E-3</v>
      </c>
      <c r="O666" s="2375">
        <v>0</v>
      </c>
      <c r="P666" s="2611" t="s">
        <v>89</v>
      </c>
      <c r="Q666" s="2375">
        <f t="shared" si="183"/>
        <v>0</v>
      </c>
      <c r="R666" s="2375">
        <f t="shared" si="184"/>
        <v>0</v>
      </c>
      <c r="S666" s="2375">
        <v>0</v>
      </c>
      <c r="T666" s="2398"/>
      <c r="U666" s="2375">
        <f t="shared" si="192"/>
        <v>0</v>
      </c>
      <c r="V666" s="2375"/>
      <c r="W666" s="2382">
        <f t="shared" si="193"/>
        <v>26.188000000000002</v>
      </c>
      <c r="X666" s="2611" t="s">
        <v>89</v>
      </c>
      <c r="Y666" s="2375">
        <f t="shared" si="194"/>
        <v>110227.31999999999</v>
      </c>
      <c r="Z666" s="2375"/>
      <c r="AA666" s="2377" t="s">
        <v>3355</v>
      </c>
    </row>
    <row r="667" spans="1:27" s="406" customFormat="1" ht="25" hidden="1" customHeight="1">
      <c r="A667" s="2611">
        <f t="shared" si="198"/>
        <v>14</v>
      </c>
      <c r="B667" s="2747" t="s">
        <v>453</v>
      </c>
      <c r="C667" s="2744"/>
      <c r="D667" s="2745"/>
      <c r="E667" s="2541">
        <f>'11. Vol Bengkel G'!$M$291</f>
        <v>7.8564000000000007</v>
      </c>
      <c r="F667" s="2611" t="s">
        <v>89</v>
      </c>
      <c r="G667" s="2746">
        <v>90295.7</v>
      </c>
      <c r="H667" s="2746">
        <f t="shared" si="195"/>
        <v>709399.13748000003</v>
      </c>
      <c r="I667" s="2699">
        <f>'Resume Analisa'!$D$79</f>
        <v>91347.61</v>
      </c>
      <c r="J667" s="2567">
        <f t="shared" si="196"/>
        <v>717663.36320400005</v>
      </c>
      <c r="K667" s="2378" t="e">
        <f>IF(H667=0,"",IF(J667&lt;#REF!*H667,"Timpang &lt;"&amp;TEXT(#REF!,"0%"),IF(J667&gt;#REF!*H667,"Timpang &gt;"&amp;TEXT(#REF!,"0%"),"Wajar")))</f>
        <v>#REF!</v>
      </c>
      <c r="L667" s="2391">
        <v>91347.61</v>
      </c>
      <c r="M667" s="2391">
        <f t="shared" si="197"/>
        <v>717663.36320400005</v>
      </c>
      <c r="N667" s="2375">
        <f t="shared" si="185"/>
        <v>3.1349067275054915E-4</v>
      </c>
      <c r="O667" s="2375">
        <v>0</v>
      </c>
      <c r="P667" s="2611" t="s">
        <v>89</v>
      </c>
      <c r="Q667" s="2375">
        <f t="shared" si="183"/>
        <v>0</v>
      </c>
      <c r="R667" s="2375">
        <f t="shared" si="184"/>
        <v>0</v>
      </c>
      <c r="S667" s="2375">
        <v>0</v>
      </c>
      <c r="T667" s="2398"/>
      <c r="U667" s="2375">
        <f t="shared" si="192"/>
        <v>0</v>
      </c>
      <c r="V667" s="2375"/>
      <c r="W667" s="2382">
        <f t="shared" si="193"/>
        <v>7.8564000000000007</v>
      </c>
      <c r="X667" s="2611" t="s">
        <v>89</v>
      </c>
      <c r="Y667" s="2375">
        <f t="shared" si="194"/>
        <v>91347.61</v>
      </c>
      <c r="Z667" s="2375"/>
      <c r="AA667" s="2377" t="s">
        <v>3355</v>
      </c>
    </row>
    <row r="668" spans="1:27" s="406" customFormat="1" ht="48.5" hidden="1" customHeight="1">
      <c r="A668" s="2611">
        <f t="shared" si="198"/>
        <v>15</v>
      </c>
      <c r="B668" s="3211" t="s">
        <v>635</v>
      </c>
      <c r="C668" s="3212"/>
      <c r="D668" s="3213"/>
      <c r="E668" s="2541">
        <f>'11. Vol Bengkel G'!$M$264</f>
        <v>5.64</v>
      </c>
      <c r="F668" s="2611" t="s">
        <v>89</v>
      </c>
      <c r="G668" s="2746">
        <v>820295</v>
      </c>
      <c r="H668" s="2746">
        <f t="shared" si="195"/>
        <v>4626463.8</v>
      </c>
      <c r="I668" s="2699">
        <f>'Resume Analisa'!$D$129</f>
        <v>809530.76</v>
      </c>
      <c r="J668" s="2746">
        <f t="shared" si="196"/>
        <v>4565753.4863999998</v>
      </c>
      <c r="K668" s="2378" t="e">
        <f>IF(H668=0,"",IF(J668&lt;#REF!*H668,"Timpang &lt;"&amp;TEXT(#REF!,"0%"),IF(J668&gt;#REF!*H668,"Timpang &gt;"&amp;TEXT(#REF!,"0%"),"Wajar")))</f>
        <v>#REF!</v>
      </c>
      <c r="L668" s="2391">
        <v>809530.76</v>
      </c>
      <c r="M668" s="2391">
        <f t="shared" si="197"/>
        <v>4565753.4863999998</v>
      </c>
      <c r="N668" s="2375">
        <f t="shared" si="185"/>
        <v>1.9944185609177315E-3</v>
      </c>
      <c r="O668" s="2375">
        <v>0</v>
      </c>
      <c r="P668" s="2611" t="s">
        <v>89</v>
      </c>
      <c r="Q668" s="2375">
        <f t="shared" si="183"/>
        <v>0</v>
      </c>
      <c r="R668" s="2375">
        <f t="shared" si="184"/>
        <v>0</v>
      </c>
      <c r="S668" s="2375">
        <v>0</v>
      </c>
      <c r="T668" s="2398"/>
      <c r="U668" s="2375">
        <f t="shared" si="192"/>
        <v>0</v>
      </c>
      <c r="V668" s="2375"/>
      <c r="W668" s="2382">
        <f t="shared" si="193"/>
        <v>5.64</v>
      </c>
      <c r="X668" s="2611" t="s">
        <v>89</v>
      </c>
      <c r="Y668" s="2375">
        <f t="shared" si="194"/>
        <v>809530.76</v>
      </c>
      <c r="Z668" s="2375"/>
      <c r="AA668" s="2377" t="s">
        <v>3355</v>
      </c>
    </row>
    <row r="669" spans="1:27" s="406" customFormat="1" ht="25" hidden="1" customHeight="1">
      <c r="A669" s="2611">
        <f t="shared" si="198"/>
        <v>16</v>
      </c>
      <c r="B669" s="2747" t="s">
        <v>454</v>
      </c>
      <c r="C669" s="2744"/>
      <c r="D669" s="2745"/>
      <c r="E669" s="2541">
        <f>'11. Vol Bengkel G'!$M$292</f>
        <v>1</v>
      </c>
      <c r="F669" s="2611" t="s">
        <v>360</v>
      </c>
      <c r="G669" s="2746">
        <v>2176018.5</v>
      </c>
      <c r="H669" s="2746">
        <f t="shared" si="195"/>
        <v>2176018.5</v>
      </c>
      <c r="I669" s="2769">
        <f>'Resume Analisa'!$D$98</f>
        <v>2096360.01</v>
      </c>
      <c r="J669" s="2769">
        <f>I669*E669</f>
        <v>2096360.01</v>
      </c>
      <c r="K669" s="2378" t="e">
        <f>IF(H669=0,"",IF(J669&lt;#REF!*H669,"Timpang &lt;"&amp;TEXT(#REF!,"0%"),IF(J669&gt;#REF!*H669,"Timpang &gt;"&amp;TEXT(#REF!,"0%"),"Wajar")))</f>
        <v>#REF!</v>
      </c>
      <c r="L669" s="2391">
        <v>2096360.01</v>
      </c>
      <c r="M669" s="2391">
        <f t="shared" si="197"/>
        <v>2096360.01</v>
      </c>
      <c r="N669" s="2375">
        <f t="shared" si="185"/>
        <v>9.157347909307138E-4</v>
      </c>
      <c r="O669" s="2375">
        <v>0</v>
      </c>
      <c r="P669" s="2611" t="s">
        <v>360</v>
      </c>
      <c r="Q669" s="2375">
        <f t="shared" ref="Q669:Q732" si="199">O669*L669</f>
        <v>0</v>
      </c>
      <c r="R669" s="2375">
        <f t="shared" si="184"/>
        <v>0</v>
      </c>
      <c r="S669" s="2375">
        <v>0</v>
      </c>
      <c r="T669" s="2398"/>
      <c r="U669" s="2375">
        <f t="shared" si="192"/>
        <v>0</v>
      </c>
      <c r="V669" s="2375"/>
      <c r="W669" s="2382">
        <f t="shared" si="193"/>
        <v>1</v>
      </c>
      <c r="X669" s="2611" t="s">
        <v>360</v>
      </c>
      <c r="Y669" s="2375">
        <f t="shared" si="194"/>
        <v>2096360.01</v>
      </c>
      <c r="Z669" s="2375"/>
      <c r="AA669" s="2377" t="s">
        <v>3355</v>
      </c>
    </row>
    <row r="670" spans="1:27" s="406" customFormat="1" ht="51" hidden="1" customHeight="1">
      <c r="A670" s="2611">
        <f t="shared" si="198"/>
        <v>17</v>
      </c>
      <c r="B670" s="3211" t="s">
        <v>636</v>
      </c>
      <c r="C670" s="3212"/>
      <c r="D670" s="3213"/>
      <c r="E670" s="2541">
        <f>'11. Vol Bengkel G'!$M$293</f>
        <v>14</v>
      </c>
      <c r="F670" s="2611" t="s">
        <v>124</v>
      </c>
      <c r="G670" s="2746">
        <v>276000</v>
      </c>
      <c r="H670" s="2746">
        <f t="shared" si="195"/>
        <v>3864000</v>
      </c>
      <c r="I670" s="2769">
        <f>'Resume Analisa'!$D$101</f>
        <v>279522.94</v>
      </c>
      <c r="J670" s="2746">
        <f>E670*I670</f>
        <v>3913321.16</v>
      </c>
      <c r="K670" s="2378" t="e">
        <f>IF(H670=0,"",IF(J670&lt;#REF!*H670,"Timpang &lt;"&amp;TEXT(#REF!,"0%"),IF(J670&gt;#REF!*H670,"Timpang &gt;"&amp;TEXT(#REF!,"0%"),"Wajar")))</f>
        <v>#REF!</v>
      </c>
      <c r="L670" s="2391">
        <v>279522.94</v>
      </c>
      <c r="M670" s="2391">
        <f t="shared" si="197"/>
        <v>3913321.16</v>
      </c>
      <c r="N670" s="2375">
        <f t="shared" si="185"/>
        <v>1.7094221971431988E-3</v>
      </c>
      <c r="O670" s="2375">
        <v>0</v>
      </c>
      <c r="P670" s="2611" t="s">
        <v>124</v>
      </c>
      <c r="Q670" s="2375">
        <f t="shared" si="199"/>
        <v>0</v>
      </c>
      <c r="R670" s="2375">
        <f t="shared" si="184"/>
        <v>0</v>
      </c>
      <c r="S670" s="2375">
        <v>0</v>
      </c>
      <c r="T670" s="2398"/>
      <c r="U670" s="2375">
        <f t="shared" si="192"/>
        <v>0</v>
      </c>
      <c r="V670" s="2375"/>
      <c r="W670" s="2382">
        <f t="shared" si="193"/>
        <v>14</v>
      </c>
      <c r="X670" s="2611" t="s">
        <v>124</v>
      </c>
      <c r="Y670" s="2375">
        <f t="shared" si="194"/>
        <v>279522.94</v>
      </c>
      <c r="Z670" s="2375"/>
      <c r="AA670" s="2377" t="s">
        <v>3355</v>
      </c>
    </row>
    <row r="671" spans="1:27" s="406" customFormat="1" ht="25" hidden="1" customHeight="1">
      <c r="A671" s="2611"/>
      <c r="B671" s="2747"/>
      <c r="C671" s="2744"/>
      <c r="D671" s="2763" t="s">
        <v>376</v>
      </c>
      <c r="E671" s="2706"/>
      <c r="F671" s="2764"/>
      <c r="G671" s="2765"/>
      <c r="H671" s="2765">
        <f>SUM(H648:H670)</f>
        <v>74303662.612794042</v>
      </c>
      <c r="I671" s="2766"/>
      <c r="J671" s="2765">
        <f>SUM(J648:J670)</f>
        <v>73329124.178100616</v>
      </c>
      <c r="K671" s="2546"/>
      <c r="L671" s="2457"/>
      <c r="M671" s="2457">
        <f>SUM(M648:M670)</f>
        <v>73329124.178100616</v>
      </c>
      <c r="N671" s="2375">
        <f t="shared" si="185"/>
        <v>3.2031726362861362E-2</v>
      </c>
      <c r="O671" s="2375">
        <v>0</v>
      </c>
      <c r="P671" s="2764"/>
      <c r="Q671" s="2375">
        <f t="shared" si="199"/>
        <v>0</v>
      </c>
      <c r="R671" s="2375">
        <f t="shared" si="184"/>
        <v>0</v>
      </c>
      <c r="S671" s="2386">
        <v>0</v>
      </c>
      <c r="T671" s="2611"/>
      <c r="U671" s="2375">
        <f t="shared" si="192"/>
        <v>0</v>
      </c>
      <c r="V671" s="2375"/>
      <c r="W671" s="2382">
        <f t="shared" si="193"/>
        <v>0</v>
      </c>
      <c r="X671" s="2764"/>
      <c r="Y671" s="2375">
        <f t="shared" si="194"/>
        <v>0</v>
      </c>
      <c r="Z671" s="2375"/>
      <c r="AA671" s="2377" t="s">
        <v>3355</v>
      </c>
    </row>
    <row r="672" spans="1:27" s="406" customFormat="1" ht="25" hidden="1" customHeight="1">
      <c r="A672" s="2764" t="s">
        <v>637</v>
      </c>
      <c r="B672" s="3119" t="s">
        <v>585</v>
      </c>
      <c r="C672" s="2744"/>
      <c r="D672" s="2745"/>
      <c r="E672" s="2541"/>
      <c r="F672" s="2611"/>
      <c r="G672" s="2746"/>
      <c r="H672" s="2746"/>
      <c r="I672" s="2588"/>
      <c r="J672" s="2746"/>
      <c r="K672" s="2389"/>
      <c r="L672" s="2391"/>
      <c r="M672" s="2391"/>
      <c r="N672" s="2375">
        <f t="shared" si="185"/>
        <v>0</v>
      </c>
      <c r="O672" s="2375">
        <v>0</v>
      </c>
      <c r="P672" s="2611"/>
      <c r="Q672" s="2375">
        <f t="shared" si="199"/>
        <v>0</v>
      </c>
      <c r="R672" s="2375">
        <f t="shared" si="184"/>
        <v>0</v>
      </c>
      <c r="S672" s="2386">
        <v>0</v>
      </c>
      <c r="T672" s="2611"/>
      <c r="U672" s="2375">
        <f t="shared" si="192"/>
        <v>0</v>
      </c>
      <c r="V672" s="2375"/>
      <c r="W672" s="2382">
        <f t="shared" si="193"/>
        <v>0</v>
      </c>
      <c r="X672" s="2611"/>
      <c r="Y672" s="2375">
        <f t="shared" si="194"/>
        <v>0</v>
      </c>
      <c r="Z672" s="2375"/>
      <c r="AA672" s="2377" t="s">
        <v>3355</v>
      </c>
    </row>
    <row r="673" spans="1:27" s="406" customFormat="1" ht="25" hidden="1" customHeight="1">
      <c r="A673" s="2611">
        <v>1</v>
      </c>
      <c r="B673" s="2747" t="s">
        <v>545</v>
      </c>
      <c r="C673" s="2744"/>
      <c r="D673" s="2745"/>
      <c r="E673" s="2541">
        <f>'11. Vol Bengkel G'!$M$296</f>
        <v>7</v>
      </c>
      <c r="F673" s="2611" t="s">
        <v>357</v>
      </c>
      <c r="G673" s="2746">
        <v>464132.64</v>
      </c>
      <c r="H673" s="2746">
        <f t="shared" ref="H673:H680" si="200">E673*G673</f>
        <v>3248928.48</v>
      </c>
      <c r="I673" s="2465">
        <f>'Resume Analisa'!$D$133</f>
        <v>479653.13</v>
      </c>
      <c r="J673" s="2567">
        <f t="shared" ref="J673:J680" si="201">E673*I673</f>
        <v>3357571.91</v>
      </c>
      <c r="K673" s="2378" t="e">
        <f>IF(H673=0,"",IF(J673&lt;#REF!*H673,"Timpang &lt;"&amp;TEXT(#REF!,"0%"),IF(J673&gt;#REF!*H673,"Timpang &gt;"&amp;TEXT(#REF!,"0%"),"Wajar")))</f>
        <v>#REF!</v>
      </c>
      <c r="L673" s="2391">
        <v>479653.13</v>
      </c>
      <c r="M673" s="2391">
        <f t="shared" ref="M673:M680" si="202">E673*L673</f>
        <v>3357571.91</v>
      </c>
      <c r="N673" s="2375">
        <f t="shared" si="185"/>
        <v>1.4666590644603489E-3</v>
      </c>
      <c r="O673" s="2375">
        <v>0</v>
      </c>
      <c r="P673" s="2611" t="s">
        <v>357</v>
      </c>
      <c r="Q673" s="2375">
        <f t="shared" si="199"/>
        <v>0</v>
      </c>
      <c r="R673" s="2375">
        <f t="shared" si="184"/>
        <v>0</v>
      </c>
      <c r="S673" s="2375">
        <v>0</v>
      </c>
      <c r="T673" s="2611"/>
      <c r="U673" s="2375">
        <f t="shared" si="192"/>
        <v>0</v>
      </c>
      <c r="V673" s="2375"/>
      <c r="W673" s="2382">
        <f t="shared" si="193"/>
        <v>7</v>
      </c>
      <c r="X673" s="2611" t="s">
        <v>357</v>
      </c>
      <c r="Y673" s="2375">
        <f t="shared" si="194"/>
        <v>479653.13</v>
      </c>
      <c r="Z673" s="2375"/>
      <c r="AA673" s="2377" t="s">
        <v>3355</v>
      </c>
    </row>
    <row r="674" spans="1:27" s="406" customFormat="1" ht="25" hidden="1" customHeight="1">
      <c r="A674" s="2611">
        <f t="shared" ref="A674:A680" si="203">A673+1</f>
        <v>2</v>
      </c>
      <c r="B674" s="2747" t="s">
        <v>638</v>
      </c>
      <c r="C674" s="2744"/>
      <c r="D674" s="2745"/>
      <c r="E674" s="2541">
        <f>'11. Vol Bengkel G'!$M$297</f>
        <v>4</v>
      </c>
      <c r="F674" s="2611" t="s">
        <v>357</v>
      </c>
      <c r="G674" s="2746">
        <v>675431.23</v>
      </c>
      <c r="H674" s="2746">
        <f t="shared" si="200"/>
        <v>2701724.92</v>
      </c>
      <c r="I674" s="2465">
        <f>'Resume Analisa'!$D$140</f>
        <v>695238.63</v>
      </c>
      <c r="J674" s="2567">
        <f t="shared" si="201"/>
        <v>2780954.52</v>
      </c>
      <c r="K674" s="2378" t="e">
        <f>IF(H674=0,"",IF(J674&lt;#REF!*H674,"Timpang &lt;"&amp;TEXT(#REF!,"0%"),IF(J674&gt;#REF!*H674,"Timpang &gt;"&amp;TEXT(#REF!,"0%"),"Wajar")))</f>
        <v>#REF!</v>
      </c>
      <c r="L674" s="2391">
        <v>695238.63</v>
      </c>
      <c r="M674" s="2391">
        <f t="shared" si="202"/>
        <v>2780954.52</v>
      </c>
      <c r="N674" s="2375">
        <f t="shared" si="185"/>
        <v>1.2147802828770921E-3</v>
      </c>
      <c r="O674" s="2375">
        <v>0</v>
      </c>
      <c r="P674" s="2611" t="s">
        <v>357</v>
      </c>
      <c r="Q674" s="2375">
        <f t="shared" si="199"/>
        <v>0</v>
      </c>
      <c r="R674" s="2375">
        <f t="shared" si="184"/>
        <v>0</v>
      </c>
      <c r="S674" s="2375">
        <v>0</v>
      </c>
      <c r="T674" s="2611"/>
      <c r="U674" s="2375">
        <f t="shared" si="192"/>
        <v>0</v>
      </c>
      <c r="V674" s="2375"/>
      <c r="W674" s="2382">
        <f t="shared" si="193"/>
        <v>4</v>
      </c>
      <c r="X674" s="2611" t="s">
        <v>357</v>
      </c>
      <c r="Y674" s="2375">
        <f t="shared" si="194"/>
        <v>695238.63</v>
      </c>
      <c r="Z674" s="2375"/>
      <c r="AA674" s="2377" t="s">
        <v>3355</v>
      </c>
    </row>
    <row r="675" spans="1:27" s="406" customFormat="1" ht="25" hidden="1" customHeight="1">
      <c r="A675" s="2611">
        <f t="shared" si="203"/>
        <v>3</v>
      </c>
      <c r="B675" s="2549" t="s">
        <v>639</v>
      </c>
      <c r="C675" s="2744"/>
      <c r="D675" s="2745"/>
      <c r="E675" s="2541">
        <f>'11. Vol Bengkel G'!$M$298</f>
        <v>1</v>
      </c>
      <c r="F675" s="2611" t="s">
        <v>124</v>
      </c>
      <c r="G675" s="2746">
        <v>49705.880000000005</v>
      </c>
      <c r="H675" s="2746">
        <f t="shared" si="200"/>
        <v>49705.880000000005</v>
      </c>
      <c r="I675" s="2465">
        <f>'Resume Analisa'!$D$143</f>
        <v>47082.47</v>
      </c>
      <c r="J675" s="2567">
        <f t="shared" si="201"/>
        <v>47082.47</v>
      </c>
      <c r="K675" s="2378" t="e">
        <f>IF(H675=0,"",IF(J675&lt;#REF!*H675,"Timpang &lt;"&amp;TEXT(#REF!,"0%"),IF(J675&gt;#REF!*H675,"Timpang &gt;"&amp;TEXT(#REF!,"0%"),"Wajar")))</f>
        <v>#REF!</v>
      </c>
      <c r="L675" s="2391">
        <v>47082.47</v>
      </c>
      <c r="M675" s="2391">
        <f t="shared" si="202"/>
        <v>47082.47</v>
      </c>
      <c r="N675" s="2375">
        <f t="shared" si="185"/>
        <v>2.0566627686220558E-5</v>
      </c>
      <c r="O675" s="2375">
        <v>0</v>
      </c>
      <c r="P675" s="2611" t="s">
        <v>124</v>
      </c>
      <c r="Q675" s="2375">
        <f t="shared" si="199"/>
        <v>0</v>
      </c>
      <c r="R675" s="2375">
        <f t="shared" si="184"/>
        <v>0</v>
      </c>
      <c r="S675" s="2375">
        <v>0</v>
      </c>
      <c r="T675" s="2611"/>
      <c r="U675" s="2375">
        <f t="shared" si="192"/>
        <v>0</v>
      </c>
      <c r="V675" s="2375"/>
      <c r="W675" s="2382">
        <f t="shared" si="193"/>
        <v>1</v>
      </c>
      <c r="X675" s="2611" t="s">
        <v>124</v>
      </c>
      <c r="Y675" s="2375">
        <f t="shared" si="194"/>
        <v>47082.47</v>
      </c>
      <c r="Z675" s="2375"/>
      <c r="AA675" s="2377" t="s">
        <v>3355</v>
      </c>
    </row>
    <row r="676" spans="1:27" s="406" customFormat="1" ht="25" hidden="1" customHeight="1">
      <c r="A676" s="2611">
        <f t="shared" si="203"/>
        <v>4</v>
      </c>
      <c r="B676" s="2747" t="s">
        <v>614</v>
      </c>
      <c r="C676" s="2744"/>
      <c r="D676" s="2745"/>
      <c r="E676" s="2541">
        <f>'11. Vol Bengkel G'!$M$299</f>
        <v>1</v>
      </c>
      <c r="F676" s="2611" t="s">
        <v>124</v>
      </c>
      <c r="G676" s="2746">
        <v>68649.25</v>
      </c>
      <c r="H676" s="2746">
        <f t="shared" si="200"/>
        <v>68649.25</v>
      </c>
      <c r="I676" s="2465">
        <f>'Resume Analisa'!$D$144</f>
        <v>67408.72</v>
      </c>
      <c r="J676" s="2567">
        <f t="shared" si="201"/>
        <v>67408.72</v>
      </c>
      <c r="K676" s="2378" t="e">
        <f>IF(H676=0,"",IF(J676&lt;#REF!*H676,"Timpang &lt;"&amp;TEXT(#REF!,"0%"),IF(J676&gt;#REF!*H676,"Timpang &gt;"&amp;TEXT(#REF!,"0%"),"Wajar")))</f>
        <v>#REF!</v>
      </c>
      <c r="L676" s="2391">
        <v>67408.72</v>
      </c>
      <c r="M676" s="2391">
        <f t="shared" si="202"/>
        <v>67408.72</v>
      </c>
      <c r="N676" s="2375">
        <f t="shared" si="185"/>
        <v>2.9445567470115511E-5</v>
      </c>
      <c r="O676" s="2375">
        <v>0</v>
      </c>
      <c r="P676" s="2611" t="s">
        <v>124</v>
      </c>
      <c r="Q676" s="2375">
        <f t="shared" si="199"/>
        <v>0</v>
      </c>
      <c r="R676" s="2375">
        <f t="shared" si="184"/>
        <v>0</v>
      </c>
      <c r="S676" s="2375">
        <v>0</v>
      </c>
      <c r="T676" s="2611"/>
      <c r="U676" s="2375">
        <f t="shared" si="192"/>
        <v>0</v>
      </c>
      <c r="V676" s="2375"/>
      <c r="W676" s="2382">
        <f t="shared" si="193"/>
        <v>1</v>
      </c>
      <c r="X676" s="2611" t="s">
        <v>124</v>
      </c>
      <c r="Y676" s="2375">
        <f t="shared" si="194"/>
        <v>67408.72</v>
      </c>
      <c r="Z676" s="2375"/>
      <c r="AA676" s="2377" t="s">
        <v>3355</v>
      </c>
    </row>
    <row r="677" spans="1:27" s="406" customFormat="1" ht="25" hidden="1" customHeight="1">
      <c r="A677" s="2611">
        <f t="shared" si="203"/>
        <v>5</v>
      </c>
      <c r="B677" s="2747" t="s">
        <v>615</v>
      </c>
      <c r="C677" s="2744"/>
      <c r="D677" s="2745"/>
      <c r="E677" s="2541">
        <f>'11. Vol Bengkel G'!$M$300</f>
        <v>4</v>
      </c>
      <c r="F677" s="2611" t="s">
        <v>124</v>
      </c>
      <c r="G677" s="2746">
        <v>91426.5</v>
      </c>
      <c r="H677" s="2746">
        <f t="shared" si="200"/>
        <v>365706</v>
      </c>
      <c r="I677" s="2465">
        <f>'Resume Analisa'!$D$145</f>
        <v>89074.98</v>
      </c>
      <c r="J677" s="2567">
        <f t="shared" si="201"/>
        <v>356299.92</v>
      </c>
      <c r="K677" s="2378" t="e">
        <f>IF(H677=0,"",IF(J677&lt;#REF!*H677,"Timpang &lt;"&amp;TEXT(#REF!,"0%"),IF(J677&gt;#REF!*H677,"Timpang &gt;"&amp;TEXT(#REF!,"0%"),"Wajar")))</f>
        <v>#REF!</v>
      </c>
      <c r="L677" s="2391">
        <v>89074.98</v>
      </c>
      <c r="M677" s="2391">
        <f t="shared" si="202"/>
        <v>356299.92</v>
      </c>
      <c r="N677" s="2375">
        <f t="shared" si="185"/>
        <v>1.5563940887702301E-4</v>
      </c>
      <c r="O677" s="2375">
        <v>0</v>
      </c>
      <c r="P677" s="2611" t="s">
        <v>124</v>
      </c>
      <c r="Q677" s="2375">
        <f t="shared" si="199"/>
        <v>0</v>
      </c>
      <c r="R677" s="2375">
        <f t="shared" si="184"/>
        <v>0</v>
      </c>
      <c r="S677" s="2375">
        <v>0</v>
      </c>
      <c r="T677" s="2611"/>
      <c r="U677" s="2375">
        <f t="shared" si="192"/>
        <v>0</v>
      </c>
      <c r="V677" s="2375"/>
      <c r="W677" s="2382">
        <f t="shared" si="193"/>
        <v>4</v>
      </c>
      <c r="X677" s="2611" t="s">
        <v>124</v>
      </c>
      <c r="Y677" s="2375">
        <f t="shared" si="194"/>
        <v>89074.98</v>
      </c>
      <c r="Z677" s="2375"/>
      <c r="AA677" s="2377" t="s">
        <v>3355</v>
      </c>
    </row>
    <row r="678" spans="1:27" s="406" customFormat="1" ht="25" hidden="1" customHeight="1">
      <c r="A678" s="2611">
        <f t="shared" si="203"/>
        <v>6</v>
      </c>
      <c r="B678" s="2747" t="s">
        <v>640</v>
      </c>
      <c r="C678" s="2744"/>
      <c r="D678" s="2745"/>
      <c r="E678" s="2541">
        <f>'11. Vol Bengkel G'!$M$301</f>
        <v>7</v>
      </c>
      <c r="F678" s="2611" t="s">
        <v>124</v>
      </c>
      <c r="G678" s="2746">
        <v>146579</v>
      </c>
      <c r="H678" s="2746">
        <f t="shared" si="200"/>
        <v>1026053</v>
      </c>
      <c r="I678" s="2390">
        <f>'Resume Analisa'!$D$148</f>
        <v>142838.90000000002</v>
      </c>
      <c r="J678" s="2390">
        <f t="shared" si="201"/>
        <v>999872.30000000016</v>
      </c>
      <c r="K678" s="2378" t="e">
        <f>IF(H678=0,"",IF(J678&lt;#REF!*H678,"Timpang &lt;"&amp;TEXT(#REF!,"0%"),IF(J678&gt;#REF!*H678,"Timpang &gt;"&amp;TEXT(#REF!,"0%"),"Wajar")))</f>
        <v>#REF!</v>
      </c>
      <c r="L678" s="2391">
        <v>142838.90000000002</v>
      </c>
      <c r="M678" s="2391">
        <f t="shared" si="202"/>
        <v>999872.30000000016</v>
      </c>
      <c r="N678" s="2375">
        <f t="shared" si="185"/>
        <v>4.3676555898331226E-4</v>
      </c>
      <c r="O678" s="2375">
        <v>0</v>
      </c>
      <c r="P678" s="2611" t="s">
        <v>124</v>
      </c>
      <c r="Q678" s="2375">
        <f t="shared" si="199"/>
        <v>0</v>
      </c>
      <c r="R678" s="2375">
        <f t="shared" si="184"/>
        <v>0</v>
      </c>
      <c r="S678" s="2386">
        <v>0</v>
      </c>
      <c r="T678" s="2611"/>
      <c r="U678" s="2375">
        <f t="shared" si="192"/>
        <v>0</v>
      </c>
      <c r="V678" s="2375"/>
      <c r="W678" s="2382">
        <f t="shared" si="193"/>
        <v>7</v>
      </c>
      <c r="X678" s="2611" t="s">
        <v>124</v>
      </c>
      <c r="Y678" s="2375">
        <f t="shared" si="194"/>
        <v>142838.90000000002</v>
      </c>
      <c r="Z678" s="2375"/>
      <c r="AA678" s="2377" t="s">
        <v>3355</v>
      </c>
    </row>
    <row r="679" spans="1:27" s="406" customFormat="1" ht="25" hidden="1" customHeight="1">
      <c r="A679" s="2611">
        <f t="shared" si="203"/>
        <v>7</v>
      </c>
      <c r="B679" s="2747" t="s">
        <v>641</v>
      </c>
      <c r="C679" s="2744"/>
      <c r="D679" s="2745"/>
      <c r="E679" s="2541">
        <f>'11. Vol Bengkel G'!$M$302</f>
        <v>1</v>
      </c>
      <c r="F679" s="2611" t="s">
        <v>124</v>
      </c>
      <c r="G679" s="2746">
        <v>1149908</v>
      </c>
      <c r="H679" s="2746">
        <f t="shared" si="200"/>
        <v>1149908</v>
      </c>
      <c r="I679" s="2465">
        <f>'Resume Analisa'!$D$152</f>
        <v>1177526.19</v>
      </c>
      <c r="J679" s="2567">
        <f t="shared" si="201"/>
        <v>1177526.19</v>
      </c>
      <c r="K679" s="2378" t="e">
        <f>IF(H679=0,"",IF(J679&lt;#REF!*H679,"Timpang &lt;"&amp;TEXT(#REF!,"0%"),IF(J679&gt;#REF!*H679,"Timpang &gt;"&amp;TEXT(#REF!,"0%"),"Wajar")))</f>
        <v>#REF!</v>
      </c>
      <c r="L679" s="2391">
        <v>1177526.19</v>
      </c>
      <c r="M679" s="2391">
        <f t="shared" si="202"/>
        <v>1177526.19</v>
      </c>
      <c r="N679" s="2375">
        <f t="shared" si="185"/>
        <v>5.1436856945915981E-4</v>
      </c>
      <c r="O679" s="2375">
        <v>0</v>
      </c>
      <c r="P679" s="2611" t="s">
        <v>124</v>
      </c>
      <c r="Q679" s="2375">
        <f t="shared" si="199"/>
        <v>0</v>
      </c>
      <c r="R679" s="2375">
        <f t="shared" si="184"/>
        <v>0</v>
      </c>
      <c r="S679" s="2386">
        <v>0</v>
      </c>
      <c r="T679" s="2611"/>
      <c r="U679" s="2375">
        <f t="shared" si="192"/>
        <v>0</v>
      </c>
      <c r="V679" s="2375"/>
      <c r="W679" s="2382">
        <f t="shared" si="193"/>
        <v>1</v>
      </c>
      <c r="X679" s="2611" t="s">
        <v>124</v>
      </c>
      <c r="Y679" s="2375">
        <f t="shared" si="194"/>
        <v>1177526.19</v>
      </c>
      <c r="Z679" s="2375"/>
      <c r="AA679" s="2377" t="s">
        <v>3355</v>
      </c>
    </row>
    <row r="680" spans="1:27" s="406" customFormat="1" ht="25" hidden="1" customHeight="1">
      <c r="A680" s="2611">
        <f t="shared" si="203"/>
        <v>8</v>
      </c>
      <c r="B680" s="2747" t="s">
        <v>463</v>
      </c>
      <c r="C680" s="2550"/>
      <c r="D680" s="2551"/>
      <c r="E680" s="2541">
        <f>'11. Vol Bengkel G'!$M$303</f>
        <v>1</v>
      </c>
      <c r="F680" s="2398" t="s">
        <v>360</v>
      </c>
      <c r="G680" s="2746">
        <v>709090</v>
      </c>
      <c r="H680" s="2746">
        <f t="shared" si="200"/>
        <v>709090</v>
      </c>
      <c r="I680" s="2465">
        <f>'Resume Analisa'!$D$156</f>
        <v>707936.42</v>
      </c>
      <c r="J680" s="2552">
        <f t="shared" si="201"/>
        <v>707936.42</v>
      </c>
      <c r="K680" s="2378" t="e">
        <f>IF(H680=0,"",IF(J680&lt;#REF!*H680,"Timpang &lt;"&amp;TEXT(#REF!,"0%"),IF(J680&gt;#REF!*H680,"Timpang &gt;"&amp;TEXT(#REF!,"0%"),"Wajar")))</f>
        <v>#REF!</v>
      </c>
      <c r="L680" s="2391">
        <v>707936.42</v>
      </c>
      <c r="M680" s="2391">
        <f t="shared" si="202"/>
        <v>707936.42</v>
      </c>
      <c r="N680" s="2375">
        <f t="shared" si="185"/>
        <v>3.0924173637568008E-4</v>
      </c>
      <c r="O680" s="2375">
        <v>0</v>
      </c>
      <c r="P680" s="2398" t="s">
        <v>360</v>
      </c>
      <c r="Q680" s="2375">
        <f t="shared" si="199"/>
        <v>0</v>
      </c>
      <c r="R680" s="2375">
        <f t="shared" si="184"/>
        <v>0</v>
      </c>
      <c r="S680" s="2375">
        <v>0</v>
      </c>
      <c r="T680" s="2611"/>
      <c r="U680" s="2375">
        <f t="shared" si="192"/>
        <v>0</v>
      </c>
      <c r="V680" s="2375"/>
      <c r="W680" s="2382">
        <f t="shared" si="193"/>
        <v>1</v>
      </c>
      <c r="X680" s="2398" t="s">
        <v>360</v>
      </c>
      <c r="Y680" s="2375">
        <f t="shared" si="194"/>
        <v>707936.42</v>
      </c>
      <c r="Z680" s="2375"/>
      <c r="AA680" s="2377" t="s">
        <v>3355</v>
      </c>
    </row>
    <row r="681" spans="1:27" s="406" customFormat="1" ht="25" hidden="1" customHeight="1">
      <c r="A681" s="2611"/>
      <c r="B681" s="2747" t="s">
        <v>464</v>
      </c>
      <c r="C681" s="2744"/>
      <c r="D681" s="2745"/>
      <c r="E681" s="2541"/>
      <c r="F681" s="2611"/>
      <c r="G681" s="2746"/>
      <c r="H681" s="2746"/>
      <c r="I681" s="2465"/>
      <c r="J681" s="2567"/>
      <c r="K681" s="2389"/>
      <c r="L681" s="2391"/>
      <c r="M681" s="2391"/>
      <c r="N681" s="2375">
        <f t="shared" si="185"/>
        <v>0</v>
      </c>
      <c r="O681" s="2375">
        <v>0</v>
      </c>
      <c r="P681" s="2611"/>
      <c r="Q681" s="2375">
        <f t="shared" si="199"/>
        <v>0</v>
      </c>
      <c r="R681" s="2375">
        <f t="shared" si="184"/>
        <v>0</v>
      </c>
      <c r="S681" s="2375">
        <v>0</v>
      </c>
      <c r="T681" s="2611"/>
      <c r="U681" s="2375">
        <f t="shared" si="192"/>
        <v>0</v>
      </c>
      <c r="V681" s="2375"/>
      <c r="W681" s="2382">
        <f t="shared" si="193"/>
        <v>0</v>
      </c>
      <c r="X681" s="2611"/>
      <c r="Y681" s="2375">
        <f t="shared" si="194"/>
        <v>0</v>
      </c>
      <c r="Z681" s="2375"/>
      <c r="AA681" s="2377" t="s">
        <v>3355</v>
      </c>
    </row>
    <row r="682" spans="1:27" s="406" customFormat="1" ht="25" hidden="1" customHeight="1">
      <c r="A682" s="2611"/>
      <c r="B682" s="2747" t="s">
        <v>465</v>
      </c>
      <c r="C682" s="2744"/>
      <c r="D682" s="2745"/>
      <c r="E682" s="2541"/>
      <c r="F682" s="2611"/>
      <c r="G682" s="2746"/>
      <c r="H682" s="2746"/>
      <c r="I682" s="2465"/>
      <c r="J682" s="2567"/>
      <c r="K682" s="2389"/>
      <c r="L682" s="2391"/>
      <c r="M682" s="2391"/>
      <c r="N682" s="2375">
        <f t="shared" si="185"/>
        <v>0</v>
      </c>
      <c r="O682" s="2375">
        <v>0</v>
      </c>
      <c r="P682" s="2611"/>
      <c r="Q682" s="2375">
        <f t="shared" si="199"/>
        <v>0</v>
      </c>
      <c r="R682" s="2375">
        <f t="shared" si="184"/>
        <v>0</v>
      </c>
      <c r="S682" s="2375">
        <v>0</v>
      </c>
      <c r="T682" s="2611"/>
      <c r="U682" s="2375">
        <f t="shared" si="192"/>
        <v>0</v>
      </c>
      <c r="V682" s="2375"/>
      <c r="W682" s="2382">
        <f t="shared" si="193"/>
        <v>0</v>
      </c>
      <c r="X682" s="2611"/>
      <c r="Y682" s="2375">
        <f t="shared" si="194"/>
        <v>0</v>
      </c>
      <c r="Z682" s="2375"/>
      <c r="AA682" s="2377" t="s">
        <v>3355</v>
      </c>
    </row>
    <row r="683" spans="1:27" s="406" customFormat="1" ht="25" hidden="1" customHeight="1">
      <c r="A683" s="2611"/>
      <c r="B683" s="2549" t="s">
        <v>466</v>
      </c>
      <c r="C683" s="2744"/>
      <c r="D683" s="2745"/>
      <c r="E683" s="2541"/>
      <c r="F683" s="2611"/>
      <c r="G683" s="2746"/>
      <c r="H683" s="2746"/>
      <c r="I683" s="2465"/>
      <c r="J683" s="2567"/>
      <c r="K683" s="2389"/>
      <c r="L683" s="2391"/>
      <c r="M683" s="2391"/>
      <c r="N683" s="2375">
        <f t="shared" si="185"/>
        <v>0</v>
      </c>
      <c r="O683" s="2375">
        <v>0</v>
      </c>
      <c r="P683" s="2611"/>
      <c r="Q683" s="2375">
        <f t="shared" si="199"/>
        <v>0</v>
      </c>
      <c r="R683" s="2375">
        <f t="shared" ref="R683:R746" si="204">Q683/$M$8*100</f>
        <v>0</v>
      </c>
      <c r="S683" s="2375">
        <v>0</v>
      </c>
      <c r="T683" s="2611"/>
      <c r="U683" s="2375">
        <f t="shared" si="192"/>
        <v>0</v>
      </c>
      <c r="V683" s="2375"/>
      <c r="W683" s="2382">
        <f t="shared" si="193"/>
        <v>0</v>
      </c>
      <c r="X683" s="2611"/>
      <c r="Y683" s="2375">
        <f t="shared" si="194"/>
        <v>0</v>
      </c>
      <c r="Z683" s="2375"/>
      <c r="AA683" s="2377" t="s">
        <v>3355</v>
      </c>
    </row>
    <row r="684" spans="1:27" s="406" customFormat="1" ht="25" hidden="1" customHeight="1">
      <c r="A684" s="2611"/>
      <c r="B684" s="2747"/>
      <c r="C684" s="2744"/>
      <c r="D684" s="2763" t="s">
        <v>376</v>
      </c>
      <c r="E684" s="2706"/>
      <c r="F684" s="2764"/>
      <c r="G684" s="2546"/>
      <c r="H684" s="2546">
        <f>SUM(H673:H683)</f>
        <v>9319765.5300000012</v>
      </c>
      <c r="I684" s="2766"/>
      <c r="J684" s="2765">
        <f>SUM(J673:J683)</f>
        <v>9494652.4499999993</v>
      </c>
      <c r="K684" s="2709"/>
      <c r="L684" s="2457"/>
      <c r="M684" s="2457">
        <f>SUM(M673:M683)</f>
        <v>9494652.4499999993</v>
      </c>
      <c r="N684" s="2375">
        <f t="shared" si="185"/>
        <v>4.1474668161889513E-3</v>
      </c>
      <c r="O684" s="2375">
        <v>0</v>
      </c>
      <c r="P684" s="2764"/>
      <c r="Q684" s="2375">
        <f t="shared" si="199"/>
        <v>0</v>
      </c>
      <c r="R684" s="2375">
        <f t="shared" si="204"/>
        <v>0</v>
      </c>
      <c r="S684" s="2375">
        <v>0</v>
      </c>
      <c r="T684" s="2611"/>
      <c r="U684" s="2375">
        <f t="shared" si="192"/>
        <v>0</v>
      </c>
      <c r="V684" s="2375"/>
      <c r="W684" s="2382">
        <f t="shared" si="193"/>
        <v>0</v>
      </c>
      <c r="X684" s="2764"/>
      <c r="Y684" s="2375">
        <f t="shared" si="194"/>
        <v>0</v>
      </c>
      <c r="Z684" s="2375"/>
      <c r="AA684" s="2377" t="s">
        <v>3355</v>
      </c>
    </row>
    <row r="685" spans="1:27" s="331" customFormat="1" ht="25" hidden="1" customHeight="1">
      <c r="A685" s="2537" t="s">
        <v>642</v>
      </c>
      <c r="B685" s="2538" t="s">
        <v>643</v>
      </c>
      <c r="C685" s="2539"/>
      <c r="D685" s="2540"/>
      <c r="E685" s="2770"/>
      <c r="F685" s="2770"/>
      <c r="G685" s="2771"/>
      <c r="H685" s="2772"/>
      <c r="I685" s="2773"/>
      <c r="J685" s="2774"/>
      <c r="K685" s="2772"/>
      <c r="L685" s="2775"/>
      <c r="M685" s="2776"/>
      <c r="N685" s="2375">
        <f t="shared" si="185"/>
        <v>0</v>
      </c>
      <c r="O685" s="2375">
        <v>0</v>
      </c>
      <c r="P685" s="2770"/>
      <c r="Q685" s="2375">
        <f t="shared" si="199"/>
        <v>0</v>
      </c>
      <c r="R685" s="2375">
        <f t="shared" si="204"/>
        <v>0</v>
      </c>
      <c r="S685" s="2386">
        <v>0</v>
      </c>
      <c r="T685" s="2611"/>
      <c r="U685" s="2375">
        <f t="shared" si="192"/>
        <v>0</v>
      </c>
      <c r="V685" s="2375"/>
      <c r="W685" s="2382">
        <f t="shared" si="193"/>
        <v>0</v>
      </c>
      <c r="X685" s="2770"/>
      <c r="Y685" s="2375">
        <f t="shared" si="194"/>
        <v>0</v>
      </c>
      <c r="Z685" s="2375"/>
      <c r="AA685" s="2377" t="s">
        <v>3355</v>
      </c>
    </row>
    <row r="686" spans="1:27" s="331" customFormat="1" ht="25" hidden="1" customHeight="1">
      <c r="A686" s="2537" t="s">
        <v>644</v>
      </c>
      <c r="B686" s="2538" t="s">
        <v>395</v>
      </c>
      <c r="C686" s="2539"/>
      <c r="D686" s="2540"/>
      <c r="E686" s="2397"/>
      <c r="F686" s="2398"/>
      <c r="G686" s="2452"/>
      <c r="H686" s="2456"/>
      <c r="I686" s="2777"/>
      <c r="J686" s="2778"/>
      <c r="K686" s="2456"/>
      <c r="L686" s="2391"/>
      <c r="M686" s="2457"/>
      <c r="N686" s="2375">
        <f t="shared" si="185"/>
        <v>0</v>
      </c>
      <c r="O686" s="2375">
        <v>0</v>
      </c>
      <c r="P686" s="2398"/>
      <c r="Q686" s="2375">
        <f t="shared" si="199"/>
        <v>0</v>
      </c>
      <c r="R686" s="2375">
        <f t="shared" si="204"/>
        <v>0</v>
      </c>
      <c r="S686" s="2386">
        <v>0</v>
      </c>
      <c r="T686" s="2611"/>
      <c r="U686" s="2375">
        <f t="shared" si="192"/>
        <v>0</v>
      </c>
      <c r="V686" s="2375"/>
      <c r="W686" s="2382">
        <f t="shared" si="193"/>
        <v>0</v>
      </c>
      <c r="X686" s="2398"/>
      <c r="Y686" s="2375">
        <f t="shared" si="194"/>
        <v>0</v>
      </c>
      <c r="Z686" s="2375"/>
      <c r="AA686" s="2377" t="s">
        <v>3355</v>
      </c>
    </row>
    <row r="687" spans="1:27" s="331" customFormat="1" ht="25" hidden="1" customHeight="1">
      <c r="A687" s="2398">
        <v>1</v>
      </c>
      <c r="B687" s="2549" t="s">
        <v>396</v>
      </c>
      <c r="C687" s="2550"/>
      <c r="D687" s="2551"/>
      <c r="E687" s="2397">
        <f>'10. Vol Kantor 6x6'!$O$13</f>
        <v>28</v>
      </c>
      <c r="F687" s="2398" t="s">
        <v>117</v>
      </c>
      <c r="G687" s="2389">
        <v>167131.79999999999</v>
      </c>
      <c r="H687" s="2389">
        <f>E687*G687</f>
        <v>4679690.3999999994</v>
      </c>
      <c r="I687" s="2480">
        <f>'Resume Analisa'!$D$9</f>
        <v>174862.27000000002</v>
      </c>
      <c r="J687" s="2480">
        <f>I687*E687</f>
        <v>4896143.5600000005</v>
      </c>
      <c r="K687" s="2378" t="e">
        <f>IF(H687=0,"",IF(J687&lt;#REF!*H687,"Timpang &lt;"&amp;TEXT(#REF!,"0%"),IF(J687&gt;#REF!*H687,"Timpang &gt;"&amp;TEXT(#REF!,"0%"),"Wajar")))</f>
        <v>#REF!</v>
      </c>
      <c r="L687" s="2391">
        <v>174862.27000000002</v>
      </c>
      <c r="M687" s="2391">
        <f>E687*L687</f>
        <v>4896143.5600000005</v>
      </c>
      <c r="N687" s="2375">
        <f t="shared" si="185"/>
        <v>2.1387399959434264E-3</v>
      </c>
      <c r="O687" s="2375">
        <v>0</v>
      </c>
      <c r="P687" s="2398" t="s">
        <v>117</v>
      </c>
      <c r="Q687" s="2375">
        <f t="shared" si="199"/>
        <v>0</v>
      </c>
      <c r="R687" s="2375">
        <f t="shared" si="204"/>
        <v>0</v>
      </c>
      <c r="S687" s="2375">
        <v>0</v>
      </c>
      <c r="T687" s="2611"/>
      <c r="U687" s="2375">
        <f t="shared" si="192"/>
        <v>0</v>
      </c>
      <c r="V687" s="2375"/>
      <c r="W687" s="2382">
        <f t="shared" si="193"/>
        <v>28</v>
      </c>
      <c r="X687" s="2398" t="s">
        <v>117</v>
      </c>
      <c r="Y687" s="2375">
        <f t="shared" si="194"/>
        <v>174862.27000000002</v>
      </c>
      <c r="Z687" s="2375"/>
      <c r="AA687" s="2377" t="s">
        <v>3355</v>
      </c>
    </row>
    <row r="688" spans="1:27" s="331" customFormat="1" ht="25" hidden="1" customHeight="1">
      <c r="A688" s="2553">
        <f>A687+1</f>
        <v>2</v>
      </c>
      <c r="B688" s="2554" t="s">
        <v>397</v>
      </c>
      <c r="C688" s="2550"/>
      <c r="D688" s="2551"/>
      <c r="E688" s="2397"/>
      <c r="F688" s="2398"/>
      <c r="G688" s="2389"/>
      <c r="H688" s="2389"/>
      <c r="I688" s="2480"/>
      <c r="J688" s="2552"/>
      <c r="K688" s="2389"/>
      <c r="L688" s="2391"/>
      <c r="M688" s="2391"/>
      <c r="N688" s="2375">
        <f t="shared" si="185"/>
        <v>0</v>
      </c>
      <c r="O688" s="2375">
        <v>0</v>
      </c>
      <c r="P688" s="2398"/>
      <c r="Q688" s="2375">
        <f t="shared" si="199"/>
        <v>0</v>
      </c>
      <c r="R688" s="2375">
        <f t="shared" si="204"/>
        <v>0</v>
      </c>
      <c r="S688" s="2375">
        <v>0</v>
      </c>
      <c r="T688" s="2611"/>
      <c r="U688" s="2375">
        <f t="shared" si="192"/>
        <v>0</v>
      </c>
      <c r="V688" s="2375"/>
      <c r="W688" s="2382">
        <f t="shared" si="193"/>
        <v>0</v>
      </c>
      <c r="X688" s="2398"/>
      <c r="Y688" s="2375">
        <f t="shared" si="194"/>
        <v>0</v>
      </c>
      <c r="Z688" s="2375"/>
      <c r="AA688" s="2377" t="s">
        <v>3355</v>
      </c>
    </row>
    <row r="689" spans="1:27" s="331" customFormat="1" ht="25" hidden="1" customHeight="1">
      <c r="A689" s="2555" t="s">
        <v>95</v>
      </c>
      <c r="B689" s="2554" t="s">
        <v>398</v>
      </c>
      <c r="C689" s="2550"/>
      <c r="D689" s="2551"/>
      <c r="E689" s="2397">
        <f>'10. Vol Kantor 6x6'!$O$15</f>
        <v>14.4</v>
      </c>
      <c r="F689" s="2398" t="s">
        <v>103</v>
      </c>
      <c r="G689" s="2389">
        <v>50600</v>
      </c>
      <c r="H689" s="2389">
        <f t="shared" ref="H689:H695" si="205">E689*G689</f>
        <v>728640</v>
      </c>
      <c r="I689" s="2465">
        <f>'Resume Analisa'!$D$18</f>
        <v>49036.76</v>
      </c>
      <c r="J689" s="2480">
        <f t="shared" ref="J689:J695" si="206">I689*E689</f>
        <v>706129.34400000004</v>
      </c>
      <c r="K689" s="2378" t="e">
        <f>IF(H689=0,"",IF(J689&lt;#REF!*H689,"Timpang &lt;"&amp;TEXT(#REF!,"0%"),IF(J689&gt;#REF!*H689,"Timpang &gt;"&amp;TEXT(#REF!,"0%"),"Wajar")))</f>
        <v>#REF!</v>
      </c>
      <c r="L689" s="2391">
        <v>49036.76</v>
      </c>
      <c r="M689" s="2391">
        <f t="shared" ref="M689:M695" si="207">E689*L689</f>
        <v>706129.34400000004</v>
      </c>
      <c r="N689" s="2375">
        <f t="shared" si="185"/>
        <v>3.0845236701394725E-4</v>
      </c>
      <c r="O689" s="2375">
        <v>0</v>
      </c>
      <c r="P689" s="2398" t="s">
        <v>103</v>
      </c>
      <c r="Q689" s="2375">
        <f t="shared" si="199"/>
        <v>0</v>
      </c>
      <c r="R689" s="2375">
        <f t="shared" si="204"/>
        <v>0</v>
      </c>
      <c r="S689" s="2375">
        <v>0</v>
      </c>
      <c r="T689" s="2764"/>
      <c r="U689" s="2375">
        <f t="shared" si="192"/>
        <v>0</v>
      </c>
      <c r="V689" s="2375"/>
      <c r="W689" s="2382">
        <f t="shared" si="193"/>
        <v>14.4</v>
      </c>
      <c r="X689" s="2398" t="s">
        <v>103</v>
      </c>
      <c r="Y689" s="2375">
        <f t="shared" si="194"/>
        <v>49036.76</v>
      </c>
      <c r="Z689" s="2375"/>
      <c r="AA689" s="2377" t="s">
        <v>3355</v>
      </c>
    </row>
    <row r="690" spans="1:27" s="331" customFormat="1" ht="25" hidden="1" customHeight="1">
      <c r="A690" s="2555" t="s">
        <v>98</v>
      </c>
      <c r="B690" s="2554" t="s">
        <v>399</v>
      </c>
      <c r="C690" s="2550"/>
      <c r="D690" s="2551"/>
      <c r="E690" s="2397">
        <f>'10. Vol Kantor 6x6'!$O$16</f>
        <v>0.84</v>
      </c>
      <c r="F690" s="2398" t="s">
        <v>103</v>
      </c>
      <c r="G690" s="2389">
        <v>507759.96</v>
      </c>
      <c r="H690" s="2389">
        <f t="shared" si="205"/>
        <v>426518.3664</v>
      </c>
      <c r="I690" s="2480">
        <f>'Resume Analisa'!$D$26</f>
        <v>475358.64</v>
      </c>
      <c r="J690" s="2480">
        <f t="shared" si="206"/>
        <v>399301.25760000001</v>
      </c>
      <c r="K690" s="2378" t="e">
        <f>IF(H690=0,"",IF(J690&lt;#REF!*H690,"Timpang &lt;"&amp;TEXT(#REF!,"0%"),IF(J690&gt;#REF!*H690,"Timpang &gt;"&amp;TEXT(#REF!,"0%"),"Wajar")))</f>
        <v>#REF!</v>
      </c>
      <c r="L690" s="2391">
        <v>475358.64</v>
      </c>
      <c r="M690" s="2391">
        <f t="shared" si="207"/>
        <v>399301.25760000001</v>
      </c>
      <c r="N690" s="2375">
        <f t="shared" si="185"/>
        <v>1.744233108351972E-4</v>
      </c>
      <c r="O690" s="2375">
        <v>0</v>
      </c>
      <c r="P690" s="2398" t="s">
        <v>103</v>
      </c>
      <c r="Q690" s="2375">
        <f t="shared" si="199"/>
        <v>0</v>
      </c>
      <c r="R690" s="2375">
        <f t="shared" si="204"/>
        <v>0</v>
      </c>
      <c r="S690" s="2375">
        <v>0</v>
      </c>
      <c r="T690" s="2611"/>
      <c r="U690" s="2375">
        <f t="shared" si="192"/>
        <v>0</v>
      </c>
      <c r="V690" s="2375"/>
      <c r="W690" s="2382">
        <f t="shared" si="193"/>
        <v>0.84</v>
      </c>
      <c r="X690" s="2398" t="s">
        <v>103</v>
      </c>
      <c r="Y690" s="2375">
        <f t="shared" si="194"/>
        <v>475358.64</v>
      </c>
      <c r="Z690" s="2375"/>
      <c r="AA690" s="2377" t="s">
        <v>3355</v>
      </c>
    </row>
    <row r="691" spans="1:27" s="331" customFormat="1" ht="25" hidden="1" customHeight="1">
      <c r="A691" s="2555" t="s">
        <v>101</v>
      </c>
      <c r="B691" s="2554" t="s">
        <v>400</v>
      </c>
      <c r="C691" s="2550"/>
      <c r="D691" s="2551"/>
      <c r="E691" s="2397">
        <f>'10. Vol Kantor 6x6'!$O$17</f>
        <v>0.36</v>
      </c>
      <c r="F691" s="2398" t="s">
        <v>103</v>
      </c>
      <c r="G691" s="2389">
        <v>1422226.08</v>
      </c>
      <c r="H691" s="2389">
        <f t="shared" si="205"/>
        <v>512001.38880000002</v>
      </c>
      <c r="I691" s="2465">
        <f>'Resume Analisa'!$D$54</f>
        <v>1384580.76</v>
      </c>
      <c r="J691" s="2480">
        <f t="shared" si="206"/>
        <v>498449.0736</v>
      </c>
      <c r="K691" s="2378" t="e">
        <f>IF(H691=0,"",IF(J691&lt;#REF!*H691,"Timpang &lt;"&amp;TEXT(#REF!,"0%"),IF(J691&gt;#REF!*H691,"Timpang &gt;"&amp;TEXT(#REF!,"0%"),"Wajar")))</f>
        <v>#REF!</v>
      </c>
      <c r="L691" s="2391">
        <v>1384580.76</v>
      </c>
      <c r="M691" s="2391">
        <f t="shared" si="207"/>
        <v>498449.0736</v>
      </c>
      <c r="N691" s="2375">
        <f t="shared" si="185"/>
        <v>2.1773319278433668E-4</v>
      </c>
      <c r="O691" s="2375">
        <v>0</v>
      </c>
      <c r="P691" s="2398" t="s">
        <v>103</v>
      </c>
      <c r="Q691" s="2375">
        <f t="shared" si="199"/>
        <v>0</v>
      </c>
      <c r="R691" s="2375">
        <f t="shared" si="204"/>
        <v>0</v>
      </c>
      <c r="S691" s="2375">
        <v>0</v>
      </c>
      <c r="T691" s="2611"/>
      <c r="U691" s="2375">
        <f t="shared" si="192"/>
        <v>0</v>
      </c>
      <c r="V691" s="2375"/>
      <c r="W691" s="2382">
        <f t="shared" si="193"/>
        <v>0.36</v>
      </c>
      <c r="X691" s="2398" t="s">
        <v>103</v>
      </c>
      <c r="Y691" s="2375">
        <f t="shared" si="194"/>
        <v>1384580.76</v>
      </c>
      <c r="Z691" s="2375"/>
      <c r="AA691" s="2377" t="s">
        <v>3355</v>
      </c>
    </row>
    <row r="692" spans="1:27" s="331" customFormat="1" ht="25" hidden="1" customHeight="1">
      <c r="A692" s="2555" t="s">
        <v>121</v>
      </c>
      <c r="B692" s="2554" t="s">
        <v>401</v>
      </c>
      <c r="C692" s="2550"/>
      <c r="D692" s="2551"/>
      <c r="E692" s="2397">
        <f>'10. Vol Kantor 6x6'!$O$18</f>
        <v>14.4</v>
      </c>
      <c r="F692" s="2398" t="s">
        <v>103</v>
      </c>
      <c r="G692" s="2389">
        <v>188325.18000000002</v>
      </c>
      <c r="H692" s="2389">
        <f t="shared" si="205"/>
        <v>2711882.5920000002</v>
      </c>
      <c r="I692" s="2465">
        <f>'Resume Analisa'!$D$68</f>
        <v>181829.52000000002</v>
      </c>
      <c r="J692" s="2480">
        <f t="shared" si="206"/>
        <v>2618345.0880000005</v>
      </c>
      <c r="K692" s="2378" t="e">
        <f>IF(H692=0,"",IF(J692&lt;#REF!*H692,"Timpang &lt;"&amp;TEXT(#REF!,"0%"),IF(J692&gt;#REF!*H692,"Timpang &gt;"&amp;TEXT(#REF!,"0%"),"Wajar")))</f>
        <v>#REF!</v>
      </c>
      <c r="L692" s="2391">
        <v>181829.52000000002</v>
      </c>
      <c r="M692" s="2391">
        <f t="shared" si="207"/>
        <v>2618345.0880000005</v>
      </c>
      <c r="N692" s="2375">
        <f t="shared" si="185"/>
        <v>1.1437490127204544E-3</v>
      </c>
      <c r="O692" s="2375">
        <v>0</v>
      </c>
      <c r="P692" s="2398" t="s">
        <v>103</v>
      </c>
      <c r="Q692" s="2375">
        <f t="shared" si="199"/>
        <v>0</v>
      </c>
      <c r="R692" s="2375">
        <f t="shared" si="204"/>
        <v>0</v>
      </c>
      <c r="S692" s="2386">
        <v>0</v>
      </c>
      <c r="T692" s="2611"/>
      <c r="U692" s="2375">
        <f t="shared" si="192"/>
        <v>0</v>
      </c>
      <c r="V692" s="2375"/>
      <c r="W692" s="2382">
        <f t="shared" si="193"/>
        <v>14.4</v>
      </c>
      <c r="X692" s="2398" t="s">
        <v>103</v>
      </c>
      <c r="Y692" s="2375">
        <f t="shared" si="194"/>
        <v>181829.52000000002</v>
      </c>
      <c r="Z692" s="2375"/>
      <c r="AA692" s="2377" t="s">
        <v>3355</v>
      </c>
    </row>
    <row r="693" spans="1:27" s="331" customFormat="1" ht="25" hidden="1" customHeight="1">
      <c r="A693" s="2555" t="s">
        <v>142</v>
      </c>
      <c r="B693" s="2554" t="s">
        <v>504</v>
      </c>
      <c r="C693" s="2550"/>
      <c r="D693" s="2551"/>
      <c r="E693" s="2397">
        <f>'10. Vol Kantor 6x6'!$O$19</f>
        <v>66.58</v>
      </c>
      <c r="F693" s="2398" t="s">
        <v>100</v>
      </c>
      <c r="G693" s="2389">
        <v>19151.18</v>
      </c>
      <c r="H693" s="2389">
        <f t="shared" si="205"/>
        <v>1275085.5644</v>
      </c>
      <c r="I693" s="2699">
        <f>'Resume Analisa'!$D$48</f>
        <v>18790.969999999998</v>
      </c>
      <c r="J693" s="2480">
        <f t="shared" si="206"/>
        <v>1251102.7825999998</v>
      </c>
      <c r="K693" s="2378" t="e">
        <f>IF(H693=0,"",IF(J693&lt;#REF!*H693,"Timpang &lt;"&amp;TEXT(#REF!,"0%"),IF(J693&gt;#REF!*H693,"Timpang &gt;"&amp;TEXT(#REF!,"0%"),"Wajar")))</f>
        <v>#REF!</v>
      </c>
      <c r="L693" s="2391">
        <v>18790.969999999998</v>
      </c>
      <c r="M693" s="2391">
        <f t="shared" si="207"/>
        <v>1251102.7825999998</v>
      </c>
      <c r="N693" s="2375">
        <f t="shared" si="185"/>
        <v>5.4650839530994734E-4</v>
      </c>
      <c r="O693" s="2375">
        <v>0</v>
      </c>
      <c r="P693" s="2398" t="s">
        <v>100</v>
      </c>
      <c r="Q693" s="2375">
        <f t="shared" si="199"/>
        <v>0</v>
      </c>
      <c r="R693" s="2375">
        <f t="shared" si="204"/>
        <v>0</v>
      </c>
      <c r="S693" s="2386">
        <v>0</v>
      </c>
      <c r="T693" s="2611"/>
      <c r="U693" s="2375">
        <f t="shared" si="192"/>
        <v>0</v>
      </c>
      <c r="V693" s="2375"/>
      <c r="W693" s="2382">
        <f t="shared" si="193"/>
        <v>66.58</v>
      </c>
      <c r="X693" s="2398" t="s">
        <v>100</v>
      </c>
      <c r="Y693" s="2375">
        <f t="shared" si="194"/>
        <v>18790.969999999998</v>
      </c>
      <c r="Z693" s="2375"/>
      <c r="AA693" s="2377" t="s">
        <v>3355</v>
      </c>
    </row>
    <row r="694" spans="1:27" s="331" customFormat="1" ht="25" hidden="1" customHeight="1">
      <c r="A694" s="2555" t="s">
        <v>217</v>
      </c>
      <c r="B694" s="2549" t="s">
        <v>169</v>
      </c>
      <c r="C694" s="2550"/>
      <c r="D694" s="2551"/>
      <c r="E694" s="2397">
        <f>'10. Vol Kantor 6x6'!$O$20</f>
        <v>2.2999999999999998</v>
      </c>
      <c r="F694" s="2398" t="s">
        <v>103</v>
      </c>
      <c r="G694" s="2389">
        <v>1584129.98</v>
      </c>
      <c r="H694" s="2389">
        <f t="shared" si="205"/>
        <v>3643498.9539999994</v>
      </c>
      <c r="I694" s="2465">
        <f>'Resume Analisa'!$D$55</f>
        <v>1535009.1300000001</v>
      </c>
      <c r="J694" s="2480">
        <f t="shared" si="206"/>
        <v>3530520.9989999998</v>
      </c>
      <c r="K694" s="2378" t="e">
        <f>IF(H694=0,"",IF(J694&lt;#REF!*H694,"Timpang &lt;"&amp;TEXT(#REF!,"0%"),IF(J694&gt;#REF!*H694,"Timpang &gt;"&amp;TEXT(#REF!,"0%"),"Wajar")))</f>
        <v>#REF!</v>
      </c>
      <c r="L694" s="2391">
        <v>1535009.1300000001</v>
      </c>
      <c r="M694" s="2391">
        <f t="shared" si="207"/>
        <v>3530520.9989999998</v>
      </c>
      <c r="N694" s="2375">
        <f t="shared" si="185"/>
        <v>1.5422069174539155E-3</v>
      </c>
      <c r="O694" s="2375">
        <v>0</v>
      </c>
      <c r="P694" s="2398" t="s">
        <v>103</v>
      </c>
      <c r="Q694" s="2375">
        <f t="shared" si="199"/>
        <v>0</v>
      </c>
      <c r="R694" s="2375">
        <f t="shared" si="204"/>
        <v>0</v>
      </c>
      <c r="S694" s="2375">
        <v>0</v>
      </c>
      <c r="T694" s="2611"/>
      <c r="U694" s="2375">
        <f t="shared" si="192"/>
        <v>0</v>
      </c>
      <c r="V694" s="2375"/>
      <c r="W694" s="2382">
        <f t="shared" si="193"/>
        <v>2.2999999999999998</v>
      </c>
      <c r="X694" s="2398" t="s">
        <v>103</v>
      </c>
      <c r="Y694" s="2375">
        <f t="shared" si="194"/>
        <v>1535009.1300000001</v>
      </c>
      <c r="Z694" s="2375"/>
      <c r="AA694" s="2377" t="s">
        <v>3355</v>
      </c>
    </row>
    <row r="695" spans="1:27" s="331" customFormat="1" ht="25" hidden="1" customHeight="1">
      <c r="A695" s="2555" t="s">
        <v>366</v>
      </c>
      <c r="B695" s="2554" t="s">
        <v>383</v>
      </c>
      <c r="C695" s="2550"/>
      <c r="D695" s="2551"/>
      <c r="E695" s="2397">
        <f>'10. Vol Kantor 6x6'!$O$21</f>
        <v>240</v>
      </c>
      <c r="F695" s="2398" t="s">
        <v>117</v>
      </c>
      <c r="G695" s="2389">
        <v>34019.880000000005</v>
      </c>
      <c r="H695" s="2389">
        <f t="shared" si="205"/>
        <v>8164771.2000000011</v>
      </c>
      <c r="I695" s="2465">
        <f>'Resume Analisa'!$D$37</f>
        <v>33453.230000000003</v>
      </c>
      <c r="J695" s="2480">
        <f t="shared" si="206"/>
        <v>8028775.2000000011</v>
      </c>
      <c r="K695" s="2378" t="e">
        <f>IF(H695=0,"",IF(J695&lt;#REF!*H695,"Timpang &lt;"&amp;TEXT(#REF!,"0%"),IF(J695&gt;#REF!*H695,"Timpang &gt;"&amp;TEXT(#REF!,"0%"),"Wajar")))</f>
        <v>#REF!</v>
      </c>
      <c r="L695" s="2391">
        <v>33453.230000000003</v>
      </c>
      <c r="M695" s="2391">
        <f t="shared" si="207"/>
        <v>8028775.2000000011</v>
      </c>
      <c r="N695" s="2375">
        <f t="shared" si="185"/>
        <v>3.5071403500020496E-3</v>
      </c>
      <c r="O695" s="2375">
        <v>0</v>
      </c>
      <c r="P695" s="2398" t="s">
        <v>117</v>
      </c>
      <c r="Q695" s="2375">
        <f t="shared" si="199"/>
        <v>0</v>
      </c>
      <c r="R695" s="2375">
        <f t="shared" si="204"/>
        <v>0</v>
      </c>
      <c r="S695" s="2375">
        <v>0</v>
      </c>
      <c r="T695" s="2398"/>
      <c r="U695" s="2375">
        <f t="shared" si="192"/>
        <v>0</v>
      </c>
      <c r="V695" s="2375"/>
      <c r="W695" s="2382">
        <f t="shared" si="193"/>
        <v>240</v>
      </c>
      <c r="X695" s="2398" t="s">
        <v>117</v>
      </c>
      <c r="Y695" s="2375">
        <f t="shared" si="194"/>
        <v>33453.230000000003</v>
      </c>
      <c r="Z695" s="2375"/>
      <c r="AA695" s="2377" t="s">
        <v>3355</v>
      </c>
    </row>
    <row r="696" spans="1:27" s="331" customFormat="1" ht="25" hidden="1" customHeight="1">
      <c r="A696" s="2398">
        <f>A688+1</f>
        <v>3</v>
      </c>
      <c r="B696" s="2549" t="s">
        <v>551</v>
      </c>
      <c r="C696" s="2550"/>
      <c r="D696" s="2551"/>
      <c r="E696" s="2397"/>
      <c r="F696" s="2398"/>
      <c r="G696" s="2389"/>
      <c r="H696" s="2389"/>
      <c r="I696" s="2480"/>
      <c r="J696" s="2480"/>
      <c r="K696" s="2389"/>
      <c r="L696" s="2391"/>
      <c r="M696" s="2391"/>
      <c r="N696" s="2375">
        <f t="shared" si="185"/>
        <v>0</v>
      </c>
      <c r="O696" s="2375">
        <v>0</v>
      </c>
      <c r="P696" s="2398"/>
      <c r="Q696" s="2375">
        <f t="shared" si="199"/>
        <v>0</v>
      </c>
      <c r="R696" s="2375">
        <f t="shared" si="204"/>
        <v>0</v>
      </c>
      <c r="S696" s="2375">
        <v>0</v>
      </c>
      <c r="T696" s="2611"/>
      <c r="U696" s="2375">
        <f t="shared" si="192"/>
        <v>0</v>
      </c>
      <c r="V696" s="2375"/>
      <c r="W696" s="2382">
        <f t="shared" si="193"/>
        <v>0</v>
      </c>
      <c r="X696" s="2398"/>
      <c r="Y696" s="2375">
        <f t="shared" si="194"/>
        <v>0</v>
      </c>
      <c r="Z696" s="2375"/>
      <c r="AA696" s="2377" t="s">
        <v>3355</v>
      </c>
    </row>
    <row r="697" spans="1:27" s="331" customFormat="1" ht="25" hidden="1" customHeight="1">
      <c r="A697" s="2555" t="s">
        <v>95</v>
      </c>
      <c r="B697" s="2549" t="s">
        <v>382</v>
      </c>
      <c r="C697" s="2550"/>
      <c r="D697" s="2551"/>
      <c r="E697" s="2397">
        <f>'10. Vol Kantor 6x6'!$O$23</f>
        <v>28.19</v>
      </c>
      <c r="F697" s="2398" t="s">
        <v>103</v>
      </c>
      <c r="G697" s="2389">
        <v>50600</v>
      </c>
      <c r="H697" s="2389">
        <f>E697*G697</f>
        <v>1426414</v>
      </c>
      <c r="I697" s="2465">
        <f>'Resume Analisa'!$D$18</f>
        <v>49036.76</v>
      </c>
      <c r="J697" s="2480">
        <f>I697*E697</f>
        <v>1382346.2644000002</v>
      </c>
      <c r="K697" s="2378" t="e">
        <f>IF(H697=0,"",IF(J697&lt;#REF!*H697,"Timpang &lt;"&amp;TEXT(#REF!,"0%"),IF(J697&gt;#REF!*H697,"Timpang &gt;"&amp;TEXT(#REF!,"0%"),"Wajar")))</f>
        <v>#REF!</v>
      </c>
      <c r="L697" s="2391">
        <v>49036.76</v>
      </c>
      <c r="M697" s="2391">
        <f>E697*L697</f>
        <v>1382346.2644000002</v>
      </c>
      <c r="N697" s="2375">
        <f t="shared" si="185"/>
        <v>6.0383834903633151E-4</v>
      </c>
      <c r="O697" s="2375">
        <v>0</v>
      </c>
      <c r="P697" s="2398" t="s">
        <v>103</v>
      </c>
      <c r="Q697" s="2375">
        <f t="shared" si="199"/>
        <v>0</v>
      </c>
      <c r="R697" s="2375">
        <f t="shared" si="204"/>
        <v>0</v>
      </c>
      <c r="S697" s="2375">
        <v>0</v>
      </c>
      <c r="T697" s="2611"/>
      <c r="U697" s="2375">
        <f t="shared" si="192"/>
        <v>0</v>
      </c>
      <c r="V697" s="2375"/>
      <c r="W697" s="2382">
        <f t="shared" si="193"/>
        <v>28.19</v>
      </c>
      <c r="X697" s="2398" t="s">
        <v>103</v>
      </c>
      <c r="Y697" s="2375">
        <f t="shared" si="194"/>
        <v>49036.76</v>
      </c>
      <c r="Z697" s="2375"/>
      <c r="AA697" s="2377" t="s">
        <v>3355</v>
      </c>
    </row>
    <row r="698" spans="1:27" s="331" customFormat="1" ht="25" hidden="1" customHeight="1">
      <c r="A698" s="2555" t="s">
        <v>98</v>
      </c>
      <c r="B698" s="2556" t="s">
        <v>405</v>
      </c>
      <c r="C698" s="2557"/>
      <c r="D698" s="2558"/>
      <c r="E698" s="2559">
        <f>'10. Vol Kantor 6x6'!$O$34*0</f>
        <v>0</v>
      </c>
      <c r="F698" s="2560" t="s">
        <v>117</v>
      </c>
      <c r="G698" s="2389">
        <v>34019.880000000005</v>
      </c>
      <c r="H698" s="2389">
        <f>E698*G698</f>
        <v>0</v>
      </c>
      <c r="I698" s="2465">
        <f>'Resume Analisa'!$D$37</f>
        <v>33453.230000000003</v>
      </c>
      <c r="J698" s="2480">
        <f>I698*E698</f>
        <v>0</v>
      </c>
      <c r="K698" s="2378" t="str">
        <f>IF(H698=0,"",IF(J698&lt;#REF!*H698,"Timpang &lt;"&amp;TEXT(#REF!,"0%"),IF(J698&gt;#REF!*H698,"Timpang &gt;"&amp;TEXT(#REF!,"0%"),"Wajar")))</f>
        <v/>
      </c>
      <c r="L698" s="2391">
        <v>33453.230000000003</v>
      </c>
      <c r="M698" s="2391">
        <f>E698*L698</f>
        <v>0</v>
      </c>
      <c r="N698" s="2375">
        <f t="shared" si="185"/>
        <v>0</v>
      </c>
      <c r="O698" s="2375">
        <v>0</v>
      </c>
      <c r="P698" s="2560" t="s">
        <v>117</v>
      </c>
      <c r="Q698" s="2375">
        <f t="shared" si="199"/>
        <v>0</v>
      </c>
      <c r="R698" s="2375">
        <f t="shared" si="204"/>
        <v>0</v>
      </c>
      <c r="S698" s="2375">
        <v>0</v>
      </c>
      <c r="T698" s="2611"/>
      <c r="U698" s="2375">
        <f t="shared" si="192"/>
        <v>0</v>
      </c>
      <c r="V698" s="2375"/>
      <c r="W698" s="2382">
        <f t="shared" si="193"/>
        <v>0</v>
      </c>
      <c r="X698" s="2560" t="s">
        <v>117</v>
      </c>
      <c r="Y698" s="2375">
        <f t="shared" si="194"/>
        <v>33453.230000000003</v>
      </c>
      <c r="Z698" s="2375"/>
      <c r="AA698" s="2377" t="s">
        <v>3355</v>
      </c>
    </row>
    <row r="699" spans="1:27" s="331" customFormat="1" ht="25" hidden="1" customHeight="1">
      <c r="A699" s="2555" t="s">
        <v>101</v>
      </c>
      <c r="B699" s="2549" t="s">
        <v>620</v>
      </c>
      <c r="C699" s="2557"/>
      <c r="D699" s="2558"/>
      <c r="E699" s="2559">
        <f>'10. Vol Kantor 6x6'!$O$35</f>
        <v>2.27</v>
      </c>
      <c r="F699" s="2398" t="s">
        <v>103</v>
      </c>
      <c r="G699" s="2389">
        <v>507759.96</v>
      </c>
      <c r="H699" s="2389">
        <f>E699*G699</f>
        <v>1152615.1092000001</v>
      </c>
      <c r="I699" s="2480">
        <f>'Resume Analisa'!$D$26</f>
        <v>475358.64</v>
      </c>
      <c r="J699" s="2480">
        <f>I699*E699</f>
        <v>1079064.1128</v>
      </c>
      <c r="K699" s="2378" t="e">
        <f>IF(H699=0,"",IF(J699&lt;#REF!*H699,"Timpang &lt;"&amp;TEXT(#REF!,"0%"),IF(J699&gt;#REF!*H699,"Timpang &gt;"&amp;TEXT(#REF!,"0%"),"Wajar")))</f>
        <v>#REF!</v>
      </c>
      <c r="L699" s="2391">
        <v>475358.64</v>
      </c>
      <c r="M699" s="2391">
        <f>E699*L699</f>
        <v>1079064.1128</v>
      </c>
      <c r="N699" s="2375">
        <f t="shared" si="185"/>
        <v>4.7135823285225908E-4</v>
      </c>
      <c r="O699" s="2375">
        <v>0</v>
      </c>
      <c r="P699" s="2398" t="s">
        <v>103</v>
      </c>
      <c r="Q699" s="2375">
        <f t="shared" si="199"/>
        <v>0</v>
      </c>
      <c r="R699" s="2375">
        <f t="shared" si="204"/>
        <v>0</v>
      </c>
      <c r="S699" s="2386">
        <v>0</v>
      </c>
      <c r="T699" s="2611"/>
      <c r="U699" s="2375">
        <f t="shared" si="192"/>
        <v>0</v>
      </c>
      <c r="V699" s="2375"/>
      <c r="W699" s="2382">
        <f t="shared" si="193"/>
        <v>2.27</v>
      </c>
      <c r="X699" s="2398" t="s">
        <v>103</v>
      </c>
      <c r="Y699" s="2375">
        <f t="shared" si="194"/>
        <v>475358.64</v>
      </c>
      <c r="Z699" s="2375"/>
      <c r="AA699" s="2377" t="s">
        <v>3355</v>
      </c>
    </row>
    <row r="700" spans="1:27" s="331" customFormat="1" ht="25" hidden="1" customHeight="1">
      <c r="A700" s="2555" t="s">
        <v>121</v>
      </c>
      <c r="B700" s="2549" t="s">
        <v>403</v>
      </c>
      <c r="C700" s="2550"/>
      <c r="D700" s="2551"/>
      <c r="E700" s="2397">
        <f>'10. Vol Kantor 6x6'!$O$44</f>
        <v>17.82</v>
      </c>
      <c r="F700" s="2398" t="s">
        <v>103</v>
      </c>
      <c r="G700" s="2389">
        <v>1224235.95</v>
      </c>
      <c r="H700" s="2389">
        <f>E700*G700</f>
        <v>21815884.629000001</v>
      </c>
      <c r="I700" s="2465">
        <f>'Resume Analisa'!$D$35</f>
        <v>1193268.75</v>
      </c>
      <c r="J700" s="2480">
        <f>I700*E700</f>
        <v>21264049.125</v>
      </c>
      <c r="K700" s="2378" t="e">
        <f>IF(H700=0,"",IF(J700&lt;#REF!*H700,"Timpang &lt;"&amp;TEXT(#REF!,"0%"),IF(J700&gt;#REF!*H700,"Timpang &gt;"&amp;TEXT(#REF!,"0%"),"Wajar")))</f>
        <v>#REF!</v>
      </c>
      <c r="L700" s="2391">
        <v>1193268.75</v>
      </c>
      <c r="M700" s="2391">
        <f>E700*L700</f>
        <v>21264049.125</v>
      </c>
      <c r="N700" s="2375">
        <f t="shared" si="185"/>
        <v>9.2885904553303804E-3</v>
      </c>
      <c r="O700" s="2375">
        <v>0</v>
      </c>
      <c r="P700" s="2398" t="s">
        <v>103</v>
      </c>
      <c r="Q700" s="2375">
        <f t="shared" si="199"/>
        <v>0</v>
      </c>
      <c r="R700" s="2375">
        <f t="shared" si="204"/>
        <v>0</v>
      </c>
      <c r="S700" s="2386">
        <v>0</v>
      </c>
      <c r="T700" s="2398"/>
      <c r="U700" s="2375">
        <f t="shared" si="192"/>
        <v>0</v>
      </c>
      <c r="V700" s="2375"/>
      <c r="W700" s="2382">
        <f t="shared" si="193"/>
        <v>17.82</v>
      </c>
      <c r="X700" s="2398" t="s">
        <v>103</v>
      </c>
      <c r="Y700" s="2375">
        <f t="shared" si="194"/>
        <v>1193268.75</v>
      </c>
      <c r="Z700" s="2375"/>
      <c r="AA700" s="2377" t="s">
        <v>3355</v>
      </c>
    </row>
    <row r="701" spans="1:27" s="331" customFormat="1" ht="25" hidden="1" customHeight="1">
      <c r="A701" s="2398">
        <f>A696+1</f>
        <v>4</v>
      </c>
      <c r="B701" s="2549" t="s">
        <v>408</v>
      </c>
      <c r="C701" s="2550"/>
      <c r="D701" s="2551"/>
      <c r="E701" s="2541">
        <f>'10. Vol Kantor 6x6'!$O$55</f>
        <v>12.48</v>
      </c>
      <c r="F701" s="2611" t="s">
        <v>100</v>
      </c>
      <c r="G701" s="2473">
        <v>19151.18</v>
      </c>
      <c r="H701" s="2389">
        <f>E701*G701</f>
        <v>239006.72640000001</v>
      </c>
      <c r="I701" s="2474">
        <f>'Resume Analisa'!$D$48</f>
        <v>18790.969999999998</v>
      </c>
      <c r="J701" s="2480">
        <f>I701*E701</f>
        <v>234511.30559999996</v>
      </c>
      <c r="K701" s="2378" t="e">
        <f>IF(H701=0,"",IF(J701&lt;#REF!*H701,"Timpang &lt;"&amp;TEXT(#REF!,"0%"),IF(J701&gt;#REF!*H701,"Timpang &gt;"&amp;TEXT(#REF!,"0%"),"Wajar")))</f>
        <v>#REF!</v>
      </c>
      <c r="L701" s="2475">
        <v>18790.969999999998</v>
      </c>
      <c r="M701" s="2391">
        <f>E701*L701</f>
        <v>234511.30559999996</v>
      </c>
      <c r="N701" s="2375">
        <f t="shared" ref="N701:N764" si="208">M701/$M$8</f>
        <v>1.0243954300793244E-4</v>
      </c>
      <c r="O701" s="2375">
        <v>0</v>
      </c>
      <c r="P701" s="2611" t="s">
        <v>100</v>
      </c>
      <c r="Q701" s="2375">
        <f t="shared" si="199"/>
        <v>0</v>
      </c>
      <c r="R701" s="2375">
        <f t="shared" si="204"/>
        <v>0</v>
      </c>
      <c r="S701" s="2375">
        <v>0</v>
      </c>
      <c r="T701" s="2590"/>
      <c r="U701" s="2375">
        <f t="shared" si="192"/>
        <v>0</v>
      </c>
      <c r="V701" s="2375"/>
      <c r="W701" s="2382">
        <f t="shared" si="193"/>
        <v>12.48</v>
      </c>
      <c r="X701" s="2611" t="s">
        <v>100</v>
      </c>
      <c r="Y701" s="2375">
        <f t="shared" si="194"/>
        <v>18790.969999999998</v>
      </c>
      <c r="Z701" s="2375"/>
      <c r="AA701" s="2377" t="s">
        <v>3355</v>
      </c>
    </row>
    <row r="702" spans="1:27" s="331" customFormat="1" ht="25" hidden="1" customHeight="1">
      <c r="A702" s="2398">
        <f>A701+1</f>
        <v>5</v>
      </c>
      <c r="B702" s="2549" t="s">
        <v>409</v>
      </c>
      <c r="C702" s="2550"/>
      <c r="D702" s="2551"/>
      <c r="E702" s="2397"/>
      <c r="F702" s="2398"/>
      <c r="G702" s="2389"/>
      <c r="H702" s="2389"/>
      <c r="I702" s="2480"/>
      <c r="J702" s="2480"/>
      <c r="K702" s="2389"/>
      <c r="L702" s="2391"/>
      <c r="M702" s="2391"/>
      <c r="N702" s="2375">
        <f t="shared" si="208"/>
        <v>0</v>
      </c>
      <c r="O702" s="2375">
        <v>0</v>
      </c>
      <c r="P702" s="2398"/>
      <c r="Q702" s="2375">
        <f t="shared" si="199"/>
        <v>0</v>
      </c>
      <c r="R702" s="2375">
        <f t="shared" si="204"/>
        <v>0</v>
      </c>
      <c r="S702" s="2375">
        <v>0</v>
      </c>
      <c r="T702" s="2398"/>
      <c r="U702" s="2375">
        <f t="shared" si="192"/>
        <v>0</v>
      </c>
      <c r="V702" s="2375"/>
      <c r="W702" s="2382">
        <f t="shared" si="193"/>
        <v>0</v>
      </c>
      <c r="X702" s="2398"/>
      <c r="Y702" s="2375">
        <f t="shared" si="194"/>
        <v>0</v>
      </c>
      <c r="Z702" s="2375"/>
      <c r="AA702" s="2377" t="s">
        <v>3355</v>
      </c>
    </row>
    <row r="703" spans="1:27" s="331" customFormat="1" ht="25" hidden="1" customHeight="1">
      <c r="A703" s="2555" t="s">
        <v>95</v>
      </c>
      <c r="B703" s="2549" t="s">
        <v>221</v>
      </c>
      <c r="C703" s="2550"/>
      <c r="D703" s="2551"/>
      <c r="E703" s="2397">
        <f>'10. Vol Kantor 6x6'!$O$57</f>
        <v>24.3</v>
      </c>
      <c r="F703" s="2398" t="s">
        <v>89</v>
      </c>
      <c r="G703" s="2389">
        <v>230885.5</v>
      </c>
      <c r="H703" s="2389">
        <f>E703*G703</f>
        <v>5610517.6500000004</v>
      </c>
      <c r="I703" s="2480">
        <f>'Resume Analisa'!$D$39</f>
        <v>232328.86000000002</v>
      </c>
      <c r="J703" s="2480">
        <f>I703*E703</f>
        <v>5645591.2980000004</v>
      </c>
      <c r="K703" s="2378" t="e">
        <f>IF(H703=0,"",IF(J703&lt;#REF!*H703,"Timpang &lt;"&amp;TEXT(#REF!,"0%"),IF(J703&gt;#REF!*H703,"Timpang &gt;"&amp;TEXT(#REF!,"0%"),"Wajar")))</f>
        <v>#REF!</v>
      </c>
      <c r="L703" s="2391">
        <v>232328.86000000002</v>
      </c>
      <c r="M703" s="2391">
        <f>E703*L703</f>
        <v>5645591.2980000004</v>
      </c>
      <c r="N703" s="2375">
        <f t="shared" si="208"/>
        <v>2.46611476191739E-3</v>
      </c>
      <c r="O703" s="2375">
        <v>0</v>
      </c>
      <c r="P703" s="2398" t="s">
        <v>89</v>
      </c>
      <c r="Q703" s="2375">
        <f t="shared" si="199"/>
        <v>0</v>
      </c>
      <c r="R703" s="2375">
        <f t="shared" si="204"/>
        <v>0</v>
      </c>
      <c r="S703" s="2375">
        <v>0</v>
      </c>
      <c r="T703" s="2590"/>
      <c r="U703" s="2375">
        <f t="shared" si="192"/>
        <v>0</v>
      </c>
      <c r="V703" s="2375"/>
      <c r="W703" s="2382">
        <f t="shared" si="193"/>
        <v>24.3</v>
      </c>
      <c r="X703" s="2398" t="s">
        <v>89</v>
      </c>
      <c r="Y703" s="2375">
        <f t="shared" si="194"/>
        <v>232328.86000000002</v>
      </c>
      <c r="Z703" s="2375"/>
      <c r="AA703" s="2377" t="s">
        <v>3355</v>
      </c>
    </row>
    <row r="704" spans="1:27" s="331" customFormat="1" ht="25" hidden="1" customHeight="1">
      <c r="A704" s="2555" t="s">
        <v>98</v>
      </c>
      <c r="B704" s="2549" t="s">
        <v>410</v>
      </c>
      <c r="C704" s="2550"/>
      <c r="D704" s="2551"/>
      <c r="E704" s="2397">
        <f>'10. Vol Kantor 6x6'!$O$62</f>
        <v>124.84</v>
      </c>
      <c r="F704" s="2398" t="s">
        <v>100</v>
      </c>
      <c r="G704" s="2389">
        <v>19151.18</v>
      </c>
      <c r="H704" s="2389">
        <f>E704*G704</f>
        <v>2390833.3111999999</v>
      </c>
      <c r="I704" s="2699">
        <f>'Resume Analisa'!$D$48</f>
        <v>18790.969999999998</v>
      </c>
      <c r="J704" s="2480">
        <f>I704*E704</f>
        <v>2345864.6947999997</v>
      </c>
      <c r="K704" s="2378" t="e">
        <f>IF(H704=0,"",IF(J704&lt;#REF!*H704,"Timpang &lt;"&amp;TEXT(#REF!,"0%"),IF(J704&gt;#REF!*H704,"Timpang &gt;"&amp;TEXT(#REF!,"0%"),"Wajar")))</f>
        <v>#REF!</v>
      </c>
      <c r="L704" s="2391">
        <v>18790.969999999998</v>
      </c>
      <c r="M704" s="2391">
        <f>E704*L704</f>
        <v>2345864.6947999997</v>
      </c>
      <c r="N704" s="2375">
        <f t="shared" si="208"/>
        <v>1.0247237619479396E-3</v>
      </c>
      <c r="O704" s="2375">
        <v>0</v>
      </c>
      <c r="P704" s="2398" t="s">
        <v>100</v>
      </c>
      <c r="Q704" s="2375">
        <f t="shared" si="199"/>
        <v>0</v>
      </c>
      <c r="R704" s="2375">
        <f t="shared" si="204"/>
        <v>0</v>
      </c>
      <c r="S704" s="2375">
        <v>0</v>
      </c>
      <c r="T704" s="2590"/>
      <c r="U704" s="2375">
        <f t="shared" si="192"/>
        <v>0</v>
      </c>
      <c r="V704" s="2375"/>
      <c r="W704" s="2382">
        <f t="shared" si="193"/>
        <v>124.84</v>
      </c>
      <c r="X704" s="2398" t="s">
        <v>100</v>
      </c>
      <c r="Y704" s="2375">
        <f t="shared" si="194"/>
        <v>18790.969999999998</v>
      </c>
      <c r="Z704" s="2375"/>
      <c r="AA704" s="2377" t="s">
        <v>3355</v>
      </c>
    </row>
    <row r="705" spans="1:27" s="331" customFormat="1" ht="25" hidden="1" customHeight="1">
      <c r="A705" s="2555" t="s">
        <v>101</v>
      </c>
      <c r="B705" s="2549" t="s">
        <v>411</v>
      </c>
      <c r="C705" s="2550"/>
      <c r="D705" s="2551"/>
      <c r="E705" s="2397">
        <f>'10. Vol Kantor 6x6'!$O$67</f>
        <v>112.5</v>
      </c>
      <c r="F705" s="2398" t="s">
        <v>100</v>
      </c>
      <c r="G705" s="2473">
        <v>19151.18</v>
      </c>
      <c r="H705" s="2389">
        <f>E705*G705</f>
        <v>2154507.75</v>
      </c>
      <c r="I705" s="2474">
        <f>'Resume Analisa'!$D$48</f>
        <v>18790.969999999998</v>
      </c>
      <c r="J705" s="2480">
        <f>I705*E705</f>
        <v>2113984.1249999995</v>
      </c>
      <c r="K705" s="2378" t="e">
        <f>IF(H705=0,"",IF(J705&lt;#REF!*H705,"Timpang &lt;"&amp;TEXT(#REF!,"0%"),IF(J705&gt;#REF!*H705,"Timpang &gt;"&amp;TEXT(#REF!,"0%"),"Wajar")))</f>
        <v>#REF!</v>
      </c>
      <c r="L705" s="2475">
        <v>18790.969999999998</v>
      </c>
      <c r="M705" s="2391">
        <f>E705*L705</f>
        <v>2113984.1249999995</v>
      </c>
      <c r="N705" s="2375">
        <f t="shared" si="208"/>
        <v>9.2343338048016027E-4</v>
      </c>
      <c r="O705" s="2375">
        <v>0</v>
      </c>
      <c r="P705" s="2398" t="s">
        <v>100</v>
      </c>
      <c r="Q705" s="2375">
        <f t="shared" si="199"/>
        <v>0</v>
      </c>
      <c r="R705" s="2375">
        <f t="shared" si="204"/>
        <v>0</v>
      </c>
      <c r="S705" s="2375">
        <v>0</v>
      </c>
      <c r="T705" s="2611"/>
      <c r="U705" s="2375">
        <f t="shared" si="192"/>
        <v>0</v>
      </c>
      <c r="V705" s="2375"/>
      <c r="W705" s="2382">
        <f t="shared" si="193"/>
        <v>112.5</v>
      </c>
      <c r="X705" s="2398" t="s">
        <v>100</v>
      </c>
      <c r="Y705" s="2375">
        <f t="shared" si="194"/>
        <v>18790.969999999998</v>
      </c>
      <c r="Z705" s="2375"/>
      <c r="AA705" s="2377" t="s">
        <v>3355</v>
      </c>
    </row>
    <row r="706" spans="1:27" s="331" customFormat="1" ht="25" hidden="1" customHeight="1">
      <c r="A706" s="2555" t="s">
        <v>121</v>
      </c>
      <c r="B706" s="2549" t="s">
        <v>169</v>
      </c>
      <c r="C706" s="2550"/>
      <c r="D706" s="2551"/>
      <c r="E706" s="2397">
        <f>'10. Vol Kantor 6x6'!$O$72</f>
        <v>3.04</v>
      </c>
      <c r="F706" s="2398" t="s">
        <v>103</v>
      </c>
      <c r="G706" s="2389">
        <v>1584129.98</v>
      </c>
      <c r="H706" s="2389">
        <f>E706*G706</f>
        <v>4815755.1392000001</v>
      </c>
      <c r="I706" s="2465">
        <f>'Resume Analisa'!$D$55</f>
        <v>1535009.1300000001</v>
      </c>
      <c r="J706" s="2480">
        <f>I706*E706</f>
        <v>4666427.7552000005</v>
      </c>
      <c r="K706" s="2378" t="e">
        <f>IF(H706=0,"",IF(J706&lt;#REF!*H706,"Timpang &lt;"&amp;TEXT(#REF!,"0%"),IF(J706&gt;#REF!*H706,"Timpang &gt;"&amp;TEXT(#REF!,"0%"),"Wajar")))</f>
        <v>#REF!</v>
      </c>
      <c r="L706" s="2391">
        <v>1535009.1300000001</v>
      </c>
      <c r="M706" s="2391">
        <f>E706*L706</f>
        <v>4666427.7552000005</v>
      </c>
      <c r="N706" s="2375">
        <f t="shared" si="208"/>
        <v>2.0383952300260452E-3</v>
      </c>
      <c r="O706" s="2375">
        <v>0</v>
      </c>
      <c r="P706" s="2398" t="s">
        <v>103</v>
      </c>
      <c r="Q706" s="2375">
        <f t="shared" si="199"/>
        <v>0</v>
      </c>
      <c r="R706" s="2375">
        <f t="shared" si="204"/>
        <v>0</v>
      </c>
      <c r="S706" s="2386">
        <v>0</v>
      </c>
      <c r="T706" s="2398"/>
      <c r="U706" s="2375">
        <f t="shared" si="192"/>
        <v>0</v>
      </c>
      <c r="V706" s="2375"/>
      <c r="W706" s="2382">
        <f t="shared" si="193"/>
        <v>3.04</v>
      </c>
      <c r="X706" s="2398" t="s">
        <v>103</v>
      </c>
      <c r="Y706" s="2375">
        <f t="shared" si="194"/>
        <v>1535009.1300000001</v>
      </c>
      <c r="Z706" s="2375"/>
      <c r="AA706" s="2377" t="s">
        <v>3355</v>
      </c>
    </row>
    <row r="707" spans="1:27" s="331" customFormat="1" ht="25" hidden="1" customHeight="1">
      <c r="A707" s="2398">
        <f>A702+1</f>
        <v>6</v>
      </c>
      <c r="B707" s="2549" t="s">
        <v>416</v>
      </c>
      <c r="C707" s="2550"/>
      <c r="D707" s="2551"/>
      <c r="E707" s="2397"/>
      <c r="F707" s="2560"/>
      <c r="G707" s="2389"/>
      <c r="H707" s="2389"/>
      <c r="I707" s="2700"/>
      <c r="J707" s="2480"/>
      <c r="K707" s="2389"/>
      <c r="L707" s="2391"/>
      <c r="M707" s="2391"/>
      <c r="N707" s="2375">
        <f t="shared" si="208"/>
        <v>0</v>
      </c>
      <c r="O707" s="2375">
        <v>0</v>
      </c>
      <c r="P707" s="2560"/>
      <c r="Q707" s="2375">
        <f t="shared" si="199"/>
        <v>0</v>
      </c>
      <c r="R707" s="2375">
        <f t="shared" si="204"/>
        <v>0</v>
      </c>
      <c r="S707" s="2386">
        <v>0</v>
      </c>
      <c r="T707" s="2611"/>
      <c r="U707" s="2375">
        <f t="shared" si="192"/>
        <v>0</v>
      </c>
      <c r="V707" s="2375"/>
      <c r="W707" s="2382">
        <f t="shared" si="193"/>
        <v>0</v>
      </c>
      <c r="X707" s="2560"/>
      <c r="Y707" s="2375">
        <f t="shared" si="194"/>
        <v>0</v>
      </c>
      <c r="Z707" s="2375"/>
      <c r="AA707" s="2377" t="s">
        <v>3355</v>
      </c>
    </row>
    <row r="708" spans="1:27" s="331" customFormat="1" ht="25" hidden="1" customHeight="1">
      <c r="A708" s="2555" t="s">
        <v>95</v>
      </c>
      <c r="B708" s="2549" t="s">
        <v>417</v>
      </c>
      <c r="C708" s="2550"/>
      <c r="D708" s="2551"/>
      <c r="E708" s="2397">
        <f>'10. Vol Kantor 6x6'!$O$78</f>
        <v>9.6</v>
      </c>
      <c r="F708" s="2398" t="s">
        <v>89</v>
      </c>
      <c r="G708" s="2389">
        <v>249883.29</v>
      </c>
      <c r="H708" s="2389">
        <f>E708*G708</f>
        <v>2398879.5839999998</v>
      </c>
      <c r="I708" s="2465">
        <f>'Resume Analisa'!$D$40</f>
        <v>245946.97</v>
      </c>
      <c r="J708" s="2552">
        <f>E708*I708</f>
        <v>2361090.912</v>
      </c>
      <c r="K708" s="2378" t="e">
        <f>IF(H708=0,"",IF(J708&lt;#REF!*H708,"Timpang &lt;"&amp;TEXT(#REF!,"0%"),IF(J708&gt;#REF!*H708,"Timpang &gt;"&amp;TEXT(#REF!,"0%"),"Wajar")))</f>
        <v>#REF!</v>
      </c>
      <c r="L708" s="2391">
        <v>245946.97</v>
      </c>
      <c r="M708" s="2391">
        <f>E708*L708</f>
        <v>2361090.912</v>
      </c>
      <c r="N708" s="2375">
        <f t="shared" si="208"/>
        <v>1.031374898564645E-3</v>
      </c>
      <c r="O708" s="2375">
        <v>0</v>
      </c>
      <c r="P708" s="2398" t="s">
        <v>89</v>
      </c>
      <c r="Q708" s="2375">
        <f t="shared" si="199"/>
        <v>0</v>
      </c>
      <c r="R708" s="2375">
        <f t="shared" si="204"/>
        <v>0</v>
      </c>
      <c r="S708" s="2375">
        <v>0</v>
      </c>
      <c r="T708" s="2611"/>
      <c r="U708" s="2375">
        <f t="shared" si="192"/>
        <v>0</v>
      </c>
      <c r="V708" s="2375"/>
      <c r="W708" s="2382">
        <f t="shared" si="193"/>
        <v>9.6</v>
      </c>
      <c r="X708" s="2398" t="s">
        <v>89</v>
      </c>
      <c r="Y708" s="2375">
        <f t="shared" si="194"/>
        <v>245946.97</v>
      </c>
      <c r="Z708" s="2375"/>
      <c r="AA708" s="2377" t="s">
        <v>3355</v>
      </c>
    </row>
    <row r="709" spans="1:27" s="331" customFormat="1" ht="25" hidden="1" customHeight="1">
      <c r="A709" s="2555" t="s">
        <v>98</v>
      </c>
      <c r="B709" s="2549" t="s">
        <v>418</v>
      </c>
      <c r="C709" s="2550"/>
      <c r="D709" s="2551"/>
      <c r="E709" s="2397">
        <f>'10. Vol Kantor 6x6'!$O$79</f>
        <v>62.14</v>
      </c>
      <c r="F709" s="2398" t="s">
        <v>100</v>
      </c>
      <c r="G709" s="2389">
        <v>19151.18</v>
      </c>
      <c r="H709" s="2473">
        <f>E709*G709</f>
        <v>1190054.3252000001</v>
      </c>
      <c r="I709" s="2699">
        <f>'Resume Analisa'!$D$48</f>
        <v>18790.969999999998</v>
      </c>
      <c r="J709" s="2474">
        <f>+I709*E709</f>
        <v>1167670.8757999998</v>
      </c>
      <c r="K709" s="2378" t="e">
        <f>IF(H709=0,"",IF(J709&lt;#REF!*H709,"Timpang &lt;"&amp;TEXT(#REF!,"0%"),IF(J709&gt;#REF!*H709,"Timpang &gt;"&amp;TEXT(#REF!,"0%"),"Wajar")))</f>
        <v>#REF!</v>
      </c>
      <c r="L709" s="2391">
        <v>18790.969999999998</v>
      </c>
      <c r="M709" s="2475">
        <f>E709*L709</f>
        <v>1167670.8757999998</v>
      </c>
      <c r="N709" s="2375">
        <f t="shared" si="208"/>
        <v>5.1006355789366361E-4</v>
      </c>
      <c r="O709" s="2375">
        <v>0</v>
      </c>
      <c r="P709" s="2398" t="s">
        <v>100</v>
      </c>
      <c r="Q709" s="2375">
        <f t="shared" si="199"/>
        <v>0</v>
      </c>
      <c r="R709" s="2375">
        <f t="shared" si="204"/>
        <v>0</v>
      </c>
      <c r="S709" s="2375">
        <v>0</v>
      </c>
      <c r="T709" s="2611"/>
      <c r="U709" s="2375">
        <f t="shared" si="192"/>
        <v>0</v>
      </c>
      <c r="V709" s="2375"/>
      <c r="W709" s="2382">
        <f t="shared" si="193"/>
        <v>62.14</v>
      </c>
      <c r="X709" s="2398" t="s">
        <v>100</v>
      </c>
      <c r="Y709" s="2375">
        <f t="shared" si="194"/>
        <v>18790.969999999998</v>
      </c>
      <c r="Z709" s="2375"/>
      <c r="AA709" s="2377" t="s">
        <v>3355</v>
      </c>
    </row>
    <row r="710" spans="1:27" s="331" customFormat="1" ht="25" hidden="1" customHeight="1">
      <c r="A710" s="2555" t="s">
        <v>101</v>
      </c>
      <c r="B710" s="2549" t="s">
        <v>419</v>
      </c>
      <c r="C710" s="2550"/>
      <c r="D710" s="2551"/>
      <c r="E710" s="2397">
        <f>'10. Vol Kantor 6x6'!$O$80</f>
        <v>22.16</v>
      </c>
      <c r="F710" s="2398" t="s">
        <v>100</v>
      </c>
      <c r="G710" s="2473">
        <v>19151.18</v>
      </c>
      <c r="H710" s="2473">
        <f>E710*G710</f>
        <v>424390.14880000002</v>
      </c>
      <c r="I710" s="2474">
        <f>'Resume Analisa'!$D$48</f>
        <v>18790.969999999998</v>
      </c>
      <c r="J710" s="2474">
        <f>+I710*E710</f>
        <v>416407.89519999997</v>
      </c>
      <c r="K710" s="2378" t="e">
        <f>IF(H710=0,"",IF(J710&lt;#REF!*H710,"Timpang &lt;"&amp;TEXT(#REF!,"0%"),IF(J710&gt;#REF!*H710,"Timpang &gt;"&amp;TEXT(#REF!,"0%"),"Wajar")))</f>
        <v>#REF!</v>
      </c>
      <c r="L710" s="2475">
        <v>18790.969999999998</v>
      </c>
      <c r="M710" s="2475">
        <f>E710*L710</f>
        <v>416407.89519999997</v>
      </c>
      <c r="N710" s="2375">
        <f t="shared" si="208"/>
        <v>1.8189585521280314E-4</v>
      </c>
      <c r="O710" s="2375">
        <v>0</v>
      </c>
      <c r="P710" s="2398" t="s">
        <v>100</v>
      </c>
      <c r="Q710" s="2375">
        <f t="shared" si="199"/>
        <v>0</v>
      </c>
      <c r="R710" s="2375">
        <f t="shared" si="204"/>
        <v>0</v>
      </c>
      <c r="S710" s="2375">
        <v>0</v>
      </c>
      <c r="T710" s="2611"/>
      <c r="U710" s="2375">
        <f t="shared" si="192"/>
        <v>0</v>
      </c>
      <c r="V710" s="2375"/>
      <c r="W710" s="2382">
        <f t="shared" si="193"/>
        <v>22.16</v>
      </c>
      <c r="X710" s="2398" t="s">
        <v>100</v>
      </c>
      <c r="Y710" s="2375">
        <f t="shared" si="194"/>
        <v>18790.969999999998</v>
      </c>
      <c r="Z710" s="2375"/>
      <c r="AA710" s="2377" t="s">
        <v>3355</v>
      </c>
    </row>
    <row r="711" spans="1:27" s="331" customFormat="1" ht="25" hidden="1" customHeight="1">
      <c r="A711" s="2555" t="s">
        <v>121</v>
      </c>
      <c r="B711" s="2549" t="s">
        <v>420</v>
      </c>
      <c r="C711" s="2550"/>
      <c r="D711" s="2551"/>
      <c r="E711" s="2397">
        <f>'10. Vol Kantor 6x6'!$O$81</f>
        <v>0.6</v>
      </c>
      <c r="F711" s="2398" t="s">
        <v>103</v>
      </c>
      <c r="G711" s="2389">
        <v>1584129.98</v>
      </c>
      <c r="H711" s="2389">
        <f>E711*G711</f>
        <v>950477.9879999999</v>
      </c>
      <c r="I711" s="2465">
        <f>'Resume Analisa'!$D$55</f>
        <v>1535009.1300000001</v>
      </c>
      <c r="J711" s="2552">
        <f>E711*I711</f>
        <v>921005.478</v>
      </c>
      <c r="K711" s="2378" t="e">
        <f>IF(H711=0,"",IF(J711&lt;#REF!*H711,"Timpang &lt;"&amp;TEXT(#REF!,"0%"),IF(J711&gt;#REF!*H711,"Timpang &gt;"&amp;TEXT(#REF!,"0%"),"Wajar")))</f>
        <v>#REF!</v>
      </c>
      <c r="L711" s="2391">
        <v>1535009.1300000001</v>
      </c>
      <c r="M711" s="2391">
        <f>E711*L711</f>
        <v>921005.478</v>
      </c>
      <c r="N711" s="2375">
        <f t="shared" si="208"/>
        <v>4.0231484803145628E-4</v>
      </c>
      <c r="O711" s="2375">
        <v>0</v>
      </c>
      <c r="P711" s="2398" t="s">
        <v>103</v>
      </c>
      <c r="Q711" s="2375">
        <f t="shared" si="199"/>
        <v>0</v>
      </c>
      <c r="R711" s="2375">
        <f t="shared" si="204"/>
        <v>0</v>
      </c>
      <c r="S711" s="2375">
        <v>0</v>
      </c>
      <c r="T711" s="2611"/>
      <c r="U711" s="2375">
        <f t="shared" si="192"/>
        <v>0</v>
      </c>
      <c r="V711" s="2375"/>
      <c r="W711" s="2382">
        <f t="shared" si="193"/>
        <v>0.6</v>
      </c>
      <c r="X711" s="2398" t="s">
        <v>103</v>
      </c>
      <c r="Y711" s="2375">
        <f t="shared" si="194"/>
        <v>1535009.1300000001</v>
      </c>
      <c r="Z711" s="2375"/>
      <c r="AA711" s="2377" t="s">
        <v>3355</v>
      </c>
    </row>
    <row r="712" spans="1:27" s="331" customFormat="1" ht="25" hidden="1" customHeight="1">
      <c r="A712" s="2398">
        <f>A707+1</f>
        <v>7</v>
      </c>
      <c r="B712" s="2549" t="s">
        <v>421</v>
      </c>
      <c r="C712" s="2550"/>
      <c r="D712" s="2551"/>
      <c r="E712" s="2397"/>
      <c r="F712" s="2398"/>
      <c r="G712" s="2389"/>
      <c r="H712" s="2389"/>
      <c r="I712" s="2465"/>
      <c r="J712" s="2552"/>
      <c r="K712" s="2389"/>
      <c r="L712" s="2391"/>
      <c r="M712" s="2391"/>
      <c r="N712" s="2375">
        <f t="shared" si="208"/>
        <v>0</v>
      </c>
      <c r="O712" s="2375">
        <v>0</v>
      </c>
      <c r="P712" s="2398"/>
      <c r="Q712" s="2375">
        <f t="shared" si="199"/>
        <v>0</v>
      </c>
      <c r="R712" s="2375">
        <f t="shared" si="204"/>
        <v>0</v>
      </c>
      <c r="S712" s="2375">
        <v>0</v>
      </c>
      <c r="T712" s="2611"/>
      <c r="U712" s="2375">
        <f t="shared" si="192"/>
        <v>0</v>
      </c>
      <c r="V712" s="2375"/>
      <c r="W712" s="2382">
        <f t="shared" si="193"/>
        <v>0</v>
      </c>
      <c r="X712" s="2398"/>
      <c r="Y712" s="2375">
        <f t="shared" si="194"/>
        <v>0</v>
      </c>
      <c r="Z712" s="2375"/>
      <c r="AA712" s="2377" t="s">
        <v>3355</v>
      </c>
    </row>
    <row r="713" spans="1:27" s="331" customFormat="1" ht="25" hidden="1" customHeight="1">
      <c r="A713" s="2555" t="s">
        <v>95</v>
      </c>
      <c r="B713" s="2549" t="s">
        <v>417</v>
      </c>
      <c r="C713" s="2550"/>
      <c r="D713" s="2551"/>
      <c r="E713" s="2397">
        <f>'10. Vol Kantor 6x6'!$O$83</f>
        <v>40.200000000000003</v>
      </c>
      <c r="F713" s="2398" t="s">
        <v>89</v>
      </c>
      <c r="G713" s="2389">
        <v>249883.29</v>
      </c>
      <c r="H713" s="2389">
        <f>E713*G713</f>
        <v>10045308.258000001</v>
      </c>
      <c r="I713" s="2480">
        <f>'Resume Analisa'!$D$40</f>
        <v>245946.97</v>
      </c>
      <c r="J713" s="2480">
        <f>I713*E713</f>
        <v>9887068.1940000001</v>
      </c>
      <c r="K713" s="2378" t="e">
        <f>IF(H713=0,"",IF(J713&lt;#REF!*H713,"Timpang &lt;"&amp;TEXT(#REF!,"0%"),IF(J713&gt;#REF!*H713,"Timpang &gt;"&amp;TEXT(#REF!,"0%"),"Wajar")))</f>
        <v>#REF!</v>
      </c>
      <c r="L713" s="2391">
        <v>245946.97</v>
      </c>
      <c r="M713" s="2391">
        <f>E713*L713</f>
        <v>9887068.1940000001</v>
      </c>
      <c r="N713" s="2375">
        <f t="shared" si="208"/>
        <v>4.3188823877394512E-3</v>
      </c>
      <c r="O713" s="2375">
        <v>0</v>
      </c>
      <c r="P713" s="2398" t="s">
        <v>89</v>
      </c>
      <c r="Q713" s="2375">
        <f t="shared" si="199"/>
        <v>0</v>
      </c>
      <c r="R713" s="2375">
        <f t="shared" si="204"/>
        <v>0</v>
      </c>
      <c r="S713" s="2386">
        <v>0</v>
      </c>
      <c r="T713" s="2611"/>
      <c r="U713" s="2375">
        <f t="shared" si="192"/>
        <v>0</v>
      </c>
      <c r="V713" s="2375"/>
      <c r="W713" s="2382">
        <f t="shared" si="193"/>
        <v>40.200000000000003</v>
      </c>
      <c r="X713" s="2398" t="s">
        <v>89</v>
      </c>
      <c r="Y713" s="2375">
        <f t="shared" si="194"/>
        <v>245946.97</v>
      </c>
      <c r="Z713" s="2375"/>
      <c r="AA713" s="2377" t="s">
        <v>3355</v>
      </c>
    </row>
    <row r="714" spans="1:27" s="331" customFormat="1" ht="25" hidden="1" customHeight="1">
      <c r="A714" s="2555" t="s">
        <v>98</v>
      </c>
      <c r="B714" s="2549" t="s">
        <v>418</v>
      </c>
      <c r="C714" s="2550"/>
      <c r="D714" s="2551"/>
      <c r="E714" s="2397">
        <f>'10. Vol Kantor 6x6'!$O$84</f>
        <v>213.06</v>
      </c>
      <c r="F714" s="2398" t="s">
        <v>100</v>
      </c>
      <c r="G714" s="2389">
        <v>19151.18</v>
      </c>
      <c r="H714" s="2389">
        <f>E714*G714</f>
        <v>4080350.4108000002</v>
      </c>
      <c r="I714" s="2699">
        <f>'Resume Analisa'!$D$48</f>
        <v>18790.969999999998</v>
      </c>
      <c r="J714" s="2480">
        <f>I714*E714</f>
        <v>4003604.0681999996</v>
      </c>
      <c r="K714" s="2378" t="e">
        <f>IF(H714=0,"",IF(J714&lt;#REF!*H714,"Timpang &lt;"&amp;TEXT(#REF!,"0%"),IF(J714&gt;#REF!*H714,"Timpang &gt;"&amp;TEXT(#REF!,"0%"),"Wajar")))</f>
        <v>#REF!</v>
      </c>
      <c r="L714" s="2391">
        <v>18790.969999999998</v>
      </c>
      <c r="M714" s="2391">
        <f>E714*L714</f>
        <v>4003604.0681999996</v>
      </c>
      <c r="N714" s="2375">
        <f t="shared" si="208"/>
        <v>1.748859698178693E-3</v>
      </c>
      <c r="O714" s="2375">
        <v>0</v>
      </c>
      <c r="P714" s="2398" t="s">
        <v>100</v>
      </c>
      <c r="Q714" s="2375">
        <f t="shared" si="199"/>
        <v>0</v>
      </c>
      <c r="R714" s="2375">
        <f t="shared" si="204"/>
        <v>0</v>
      </c>
      <c r="S714" s="2386">
        <v>0</v>
      </c>
      <c r="T714" s="2764"/>
      <c r="U714" s="2375">
        <f t="shared" si="192"/>
        <v>0</v>
      </c>
      <c r="V714" s="2375"/>
      <c r="W714" s="2382">
        <f t="shared" si="193"/>
        <v>213.06</v>
      </c>
      <c r="X714" s="2398" t="s">
        <v>100</v>
      </c>
      <c r="Y714" s="2375">
        <f t="shared" si="194"/>
        <v>18790.969999999998</v>
      </c>
      <c r="Z714" s="2375"/>
      <c r="AA714" s="2377" t="s">
        <v>3355</v>
      </c>
    </row>
    <row r="715" spans="1:27" s="331" customFormat="1" ht="25" hidden="1" customHeight="1">
      <c r="A715" s="2555" t="s">
        <v>101</v>
      </c>
      <c r="B715" s="2549" t="s">
        <v>419</v>
      </c>
      <c r="C715" s="2550"/>
      <c r="D715" s="2551"/>
      <c r="E715" s="2397">
        <f>'10. Vol Kantor 6x6'!$O$85</f>
        <v>84.94</v>
      </c>
      <c r="F715" s="2398" t="s">
        <v>100</v>
      </c>
      <c r="G715" s="2389">
        <v>19151.18</v>
      </c>
      <c r="H715" s="2389">
        <f>E715*G715</f>
        <v>1626701.2291999999</v>
      </c>
      <c r="I715" s="2480">
        <f>'Resume Analisa'!$D$48</f>
        <v>18790.969999999998</v>
      </c>
      <c r="J715" s="2480">
        <f>I715*E715</f>
        <v>1596104.9917999997</v>
      </c>
      <c r="K715" s="2378" t="e">
        <f>IF(H715=0,"",IF(J715&lt;#REF!*H715,"Timpang &lt;"&amp;TEXT(#REF!,"0%"),IF(J715&gt;#REF!*H715,"Timpang &gt;"&amp;TEXT(#REF!,"0%"),"Wajar")))</f>
        <v>#REF!</v>
      </c>
      <c r="L715" s="2391">
        <v>18790.969999999998</v>
      </c>
      <c r="M715" s="2391">
        <f>E715*L715</f>
        <v>1596104.9917999997</v>
      </c>
      <c r="N715" s="2375">
        <f t="shared" si="208"/>
        <v>6.9721272300430942E-4</v>
      </c>
      <c r="O715" s="2375">
        <v>0</v>
      </c>
      <c r="P715" s="2398" t="s">
        <v>100</v>
      </c>
      <c r="Q715" s="2375">
        <f t="shared" si="199"/>
        <v>0</v>
      </c>
      <c r="R715" s="2375">
        <f t="shared" si="204"/>
        <v>0</v>
      </c>
      <c r="S715" s="2375">
        <v>0</v>
      </c>
      <c r="T715" s="2611"/>
      <c r="U715" s="2375">
        <f t="shared" si="192"/>
        <v>0</v>
      </c>
      <c r="V715" s="2375"/>
      <c r="W715" s="2382">
        <f t="shared" si="193"/>
        <v>84.94</v>
      </c>
      <c r="X715" s="2398" t="s">
        <v>100</v>
      </c>
      <c r="Y715" s="2375">
        <f t="shared" si="194"/>
        <v>18790.969999999998</v>
      </c>
      <c r="Z715" s="2375"/>
      <c r="AA715" s="2377" t="s">
        <v>3355</v>
      </c>
    </row>
    <row r="716" spans="1:27" s="331" customFormat="1" ht="25" hidden="1" customHeight="1">
      <c r="A716" s="2555" t="s">
        <v>121</v>
      </c>
      <c r="B716" s="2549" t="s">
        <v>420</v>
      </c>
      <c r="C716" s="2550"/>
      <c r="D716" s="2551"/>
      <c r="E716" s="2397">
        <f>'10. Vol Kantor 6x6'!$O$86</f>
        <v>2.5099999999999998</v>
      </c>
      <c r="F716" s="2398" t="s">
        <v>103</v>
      </c>
      <c r="G716" s="2389">
        <v>1584129.98</v>
      </c>
      <c r="H716" s="2389">
        <f>E716*G716</f>
        <v>3976166.2497999994</v>
      </c>
      <c r="I716" s="2465">
        <f>'Resume Analisa'!$D$55</f>
        <v>1535009.1300000001</v>
      </c>
      <c r="J716" s="2480">
        <f>I716*E716</f>
        <v>3852872.9163000002</v>
      </c>
      <c r="K716" s="2378" t="e">
        <f>IF(H716=0,"",IF(J716&lt;#REF!*H716,"Timpang &lt;"&amp;TEXT(#REF!,"0%"),IF(J716&gt;#REF!*H716,"Timpang &gt;"&amp;TEXT(#REF!,"0%"),"Wajar")))</f>
        <v>#REF!</v>
      </c>
      <c r="L716" s="2391">
        <v>1535009.1300000001</v>
      </c>
      <c r="M716" s="2391">
        <f>E716*L716</f>
        <v>3852872.9163000002</v>
      </c>
      <c r="N716" s="2375">
        <f t="shared" si="208"/>
        <v>1.6830171142649254E-3</v>
      </c>
      <c r="O716" s="2375">
        <v>0</v>
      </c>
      <c r="P716" s="2398" t="s">
        <v>103</v>
      </c>
      <c r="Q716" s="2375">
        <f t="shared" si="199"/>
        <v>0</v>
      </c>
      <c r="R716" s="2375">
        <f t="shared" si="204"/>
        <v>0</v>
      </c>
      <c r="S716" s="2375">
        <v>0</v>
      </c>
      <c r="T716" s="2611"/>
      <c r="U716" s="2375">
        <f t="shared" si="192"/>
        <v>0</v>
      </c>
      <c r="V716" s="2375"/>
      <c r="W716" s="2382">
        <f t="shared" si="193"/>
        <v>2.5099999999999998</v>
      </c>
      <c r="X716" s="2398" t="s">
        <v>103</v>
      </c>
      <c r="Y716" s="2375">
        <f t="shared" si="194"/>
        <v>1535009.1300000001</v>
      </c>
      <c r="Z716" s="2375"/>
      <c r="AA716" s="2377" t="s">
        <v>3355</v>
      </c>
    </row>
    <row r="717" spans="1:27" s="331" customFormat="1" ht="25" hidden="1" customHeight="1">
      <c r="A717" s="2398">
        <f>A712+1</f>
        <v>8</v>
      </c>
      <c r="B717" s="2549" t="s">
        <v>552</v>
      </c>
      <c r="C717" s="2550"/>
      <c r="D717" s="2551"/>
      <c r="E717" s="2397"/>
      <c r="F717" s="2398"/>
      <c r="G717" s="2563"/>
      <c r="H717" s="2389"/>
      <c r="I717" s="2757"/>
      <c r="J717" s="2480"/>
      <c r="K717" s="2389"/>
      <c r="L717" s="2565"/>
      <c r="M717" s="2391"/>
      <c r="N717" s="2375">
        <f t="shared" si="208"/>
        <v>0</v>
      </c>
      <c r="O717" s="2375">
        <v>0</v>
      </c>
      <c r="P717" s="2398"/>
      <c r="Q717" s="2375">
        <f t="shared" si="199"/>
        <v>0</v>
      </c>
      <c r="R717" s="2375">
        <f t="shared" si="204"/>
        <v>0</v>
      </c>
      <c r="S717" s="2375">
        <v>0</v>
      </c>
      <c r="T717" s="2611"/>
      <c r="U717" s="2375">
        <f t="shared" si="192"/>
        <v>0</v>
      </c>
      <c r="V717" s="2375"/>
      <c r="W717" s="2382">
        <f t="shared" si="193"/>
        <v>0</v>
      </c>
      <c r="X717" s="2398"/>
      <c r="Y717" s="2375">
        <f t="shared" si="194"/>
        <v>0</v>
      </c>
      <c r="Z717" s="2375"/>
      <c r="AA717" s="2377" t="s">
        <v>3355</v>
      </c>
    </row>
    <row r="718" spans="1:27" s="331" customFormat="1" ht="25" hidden="1" customHeight="1">
      <c r="A718" s="2555" t="s">
        <v>95</v>
      </c>
      <c r="B718" s="2549" t="s">
        <v>645</v>
      </c>
      <c r="C718" s="2550"/>
      <c r="D718" s="2551"/>
      <c r="E718" s="2397">
        <f>'10. Vol Kantor 6x6'!$O$88</f>
        <v>3.35</v>
      </c>
      <c r="F718" s="2398" t="s">
        <v>89</v>
      </c>
      <c r="G718" s="2389">
        <v>249883.29</v>
      </c>
      <c r="H718" s="2389">
        <f>E718*G718</f>
        <v>837109.02150000003</v>
      </c>
      <c r="I718" s="2480">
        <f>'Resume Analisa'!$D$40</f>
        <v>245946.97</v>
      </c>
      <c r="J718" s="2480">
        <f>I718*E718</f>
        <v>823922.34950000001</v>
      </c>
      <c r="K718" s="2378" t="e">
        <f>IF(H718=0,"",IF(J718&lt;#REF!*H718,"Timpang &lt;"&amp;TEXT(#REF!,"0%"),IF(J718&gt;#REF!*H718,"Timpang &gt;"&amp;TEXT(#REF!,"0%"),"Wajar")))</f>
        <v>#REF!</v>
      </c>
      <c r="L718" s="2391">
        <v>245946.97</v>
      </c>
      <c r="M718" s="2391">
        <f>E718*L718</f>
        <v>823922.34950000001</v>
      </c>
      <c r="N718" s="2375">
        <f t="shared" si="208"/>
        <v>3.5990686564495427E-4</v>
      </c>
      <c r="O718" s="2375">
        <v>0</v>
      </c>
      <c r="P718" s="2398" t="s">
        <v>89</v>
      </c>
      <c r="Q718" s="2375">
        <f t="shared" si="199"/>
        <v>0</v>
      </c>
      <c r="R718" s="2375">
        <f t="shared" si="204"/>
        <v>0</v>
      </c>
      <c r="S718" s="2375">
        <v>0</v>
      </c>
      <c r="T718" s="2611"/>
      <c r="U718" s="2375">
        <f t="shared" si="192"/>
        <v>0</v>
      </c>
      <c r="V718" s="2375"/>
      <c r="W718" s="2382">
        <f t="shared" si="193"/>
        <v>3.35</v>
      </c>
      <c r="X718" s="2398" t="s">
        <v>89</v>
      </c>
      <c r="Y718" s="2375">
        <f t="shared" si="194"/>
        <v>245946.97</v>
      </c>
      <c r="Z718" s="2375"/>
      <c r="AA718" s="2377" t="s">
        <v>3355</v>
      </c>
    </row>
    <row r="719" spans="1:27" s="331" customFormat="1" ht="25" hidden="1" customHeight="1">
      <c r="A719" s="2555" t="s">
        <v>98</v>
      </c>
      <c r="B719" s="2549" t="s">
        <v>432</v>
      </c>
      <c r="C719" s="2550"/>
      <c r="D719" s="2551"/>
      <c r="E719" s="2397">
        <f>'10. Vol Kantor 6x6'!$O$89</f>
        <v>17.760000000000002</v>
      </c>
      <c r="F719" s="2398" t="s">
        <v>100</v>
      </c>
      <c r="G719" s="2389">
        <v>19151.18</v>
      </c>
      <c r="H719" s="2389">
        <f>E719*G719</f>
        <v>340124.95680000004</v>
      </c>
      <c r="I719" s="2699">
        <f>'Resume Analisa'!$D$48</f>
        <v>18790.969999999998</v>
      </c>
      <c r="J719" s="2480">
        <f>I719*E719</f>
        <v>333727.62719999999</v>
      </c>
      <c r="K719" s="2378" t="e">
        <f>IF(H719=0,"",IF(J719&lt;#REF!*H719,"Timpang &lt;"&amp;TEXT(#REF!,"0%"),IF(J719&gt;#REF!*H719,"Timpang &gt;"&amp;TEXT(#REF!,"0%"),"Wajar")))</f>
        <v>#REF!</v>
      </c>
      <c r="L719" s="2391">
        <v>18790.969999999998</v>
      </c>
      <c r="M719" s="2391">
        <f>E719*L719</f>
        <v>333727.62719999999</v>
      </c>
      <c r="N719" s="2375">
        <f t="shared" si="208"/>
        <v>1.4577934966513464E-4</v>
      </c>
      <c r="O719" s="2375">
        <v>0</v>
      </c>
      <c r="P719" s="2398" t="s">
        <v>100</v>
      </c>
      <c r="Q719" s="2375">
        <f t="shared" si="199"/>
        <v>0</v>
      </c>
      <c r="R719" s="2375">
        <f t="shared" si="204"/>
        <v>0</v>
      </c>
      <c r="S719" s="2375">
        <v>0</v>
      </c>
      <c r="T719" s="2611"/>
      <c r="U719" s="2375">
        <f t="shared" si="192"/>
        <v>0</v>
      </c>
      <c r="V719" s="2375"/>
      <c r="W719" s="2382">
        <f t="shared" si="193"/>
        <v>17.760000000000002</v>
      </c>
      <c r="X719" s="2398" t="s">
        <v>100</v>
      </c>
      <c r="Y719" s="2375">
        <f t="shared" si="194"/>
        <v>18790.969999999998</v>
      </c>
      <c r="Z719" s="2375"/>
      <c r="AA719" s="2377" t="s">
        <v>3355</v>
      </c>
    </row>
    <row r="720" spans="1:27" s="331" customFormat="1" ht="25" hidden="1" customHeight="1">
      <c r="A720" s="2555" t="s">
        <v>101</v>
      </c>
      <c r="B720" s="2549" t="s">
        <v>411</v>
      </c>
      <c r="C720" s="2550"/>
      <c r="D720" s="2551"/>
      <c r="E720" s="2397">
        <f>'10. Vol Kantor 6x6'!$O$90</f>
        <v>10.65</v>
      </c>
      <c r="F720" s="2398" t="s">
        <v>100</v>
      </c>
      <c r="G720" s="2389">
        <v>19151.18</v>
      </c>
      <c r="H720" s="2389">
        <f>E720*G720</f>
        <v>203960.06700000001</v>
      </c>
      <c r="I720" s="2480">
        <f>'Resume Analisa'!$D$48</f>
        <v>18790.969999999998</v>
      </c>
      <c r="J720" s="2480">
        <f>I720*E720</f>
        <v>200123.83049999998</v>
      </c>
      <c r="K720" s="2378" t="e">
        <f>IF(H720=0,"",IF(J720&lt;#REF!*H720,"Timpang &lt;"&amp;TEXT(#REF!,"0%"),IF(J720&gt;#REF!*H720,"Timpang &gt;"&amp;TEXT(#REF!,"0%"),"Wajar")))</f>
        <v>#REF!</v>
      </c>
      <c r="L720" s="2391">
        <v>18790.969999999998</v>
      </c>
      <c r="M720" s="2391">
        <f>E720*L720</f>
        <v>200123.83049999998</v>
      </c>
      <c r="N720" s="2375">
        <f t="shared" si="208"/>
        <v>8.7418360018788512E-5</v>
      </c>
      <c r="O720" s="2375">
        <v>0</v>
      </c>
      <c r="P720" s="2398" t="s">
        <v>100</v>
      </c>
      <c r="Q720" s="2375">
        <f t="shared" si="199"/>
        <v>0</v>
      </c>
      <c r="R720" s="2375">
        <f t="shared" si="204"/>
        <v>0</v>
      </c>
      <c r="S720" s="2386">
        <v>0</v>
      </c>
      <c r="T720" s="2611"/>
      <c r="U720" s="2375">
        <f t="shared" ref="U720:U783" si="209">S720*L720</f>
        <v>0</v>
      </c>
      <c r="V720" s="2375"/>
      <c r="W720" s="2382">
        <f t="shared" ref="W720:W783" si="210">(E720+O720)-S720</f>
        <v>10.65</v>
      </c>
      <c r="X720" s="2398" t="s">
        <v>100</v>
      </c>
      <c r="Y720" s="2375">
        <f>L720</f>
        <v>18790.969999999998</v>
      </c>
      <c r="Z720" s="2375"/>
      <c r="AA720" s="2377" t="s">
        <v>3355</v>
      </c>
    </row>
    <row r="721" spans="1:27" s="331" customFormat="1" ht="25" hidden="1" customHeight="1">
      <c r="A721" s="2555" t="s">
        <v>121</v>
      </c>
      <c r="B721" s="2549" t="s">
        <v>420</v>
      </c>
      <c r="C721" s="2550"/>
      <c r="D721" s="2551"/>
      <c r="E721" s="2397">
        <f>'10. Vol Kantor 6x6'!$O$91</f>
        <v>0.42</v>
      </c>
      <c r="F721" s="2398" t="s">
        <v>103</v>
      </c>
      <c r="G721" s="2389">
        <v>1584129.98</v>
      </c>
      <c r="H721" s="2389">
        <f>E721*G721</f>
        <v>665334.59159999993</v>
      </c>
      <c r="I721" s="2465">
        <f>'Resume Analisa'!$D$55</f>
        <v>1535009.1300000001</v>
      </c>
      <c r="J721" s="2480">
        <f>I721*E721</f>
        <v>644703.83460000006</v>
      </c>
      <c r="K721" s="2378" t="e">
        <f>IF(H721=0,"",IF(J721&lt;#REF!*H721,"Timpang &lt;"&amp;TEXT(#REF!,"0%"),IF(J721&gt;#REF!*H721,"Timpang &gt;"&amp;TEXT(#REF!,"0%"),"Wajar")))</f>
        <v>#REF!</v>
      </c>
      <c r="L721" s="2391">
        <v>1535009.1300000001</v>
      </c>
      <c r="M721" s="2391">
        <f>E721*L721</f>
        <v>644703.83460000006</v>
      </c>
      <c r="N721" s="2375">
        <f t="shared" si="208"/>
        <v>2.8162039362201942E-4</v>
      </c>
      <c r="O721" s="2375">
        <v>0</v>
      </c>
      <c r="P721" s="2398" t="s">
        <v>103</v>
      </c>
      <c r="Q721" s="2375">
        <f t="shared" si="199"/>
        <v>0</v>
      </c>
      <c r="R721" s="2375">
        <f t="shared" si="204"/>
        <v>0</v>
      </c>
      <c r="S721" s="2386">
        <v>0</v>
      </c>
      <c r="T721" s="2611"/>
      <c r="U721" s="2375">
        <f t="shared" si="209"/>
        <v>0</v>
      </c>
      <c r="V721" s="2375"/>
      <c r="W721" s="2382">
        <f t="shared" si="210"/>
        <v>0.42</v>
      </c>
      <c r="X721" s="2398" t="s">
        <v>103</v>
      </c>
      <c r="Y721" s="2375">
        <f t="shared" ref="Y721:Y783" si="211">L721</f>
        <v>1535009.1300000001</v>
      </c>
      <c r="Z721" s="2375"/>
      <c r="AA721" s="2377" t="s">
        <v>3355</v>
      </c>
    </row>
    <row r="722" spans="1:27" s="331" customFormat="1" ht="25" hidden="1" customHeight="1">
      <c r="A722" s="2398">
        <f>A717+1</f>
        <v>9</v>
      </c>
      <c r="B722" s="2549" t="s">
        <v>422</v>
      </c>
      <c r="C722" s="2550"/>
      <c r="D722" s="2551"/>
      <c r="E722" s="2397"/>
      <c r="F722" s="2398"/>
      <c r="G722" s="2563"/>
      <c r="H722" s="2389"/>
      <c r="I722" s="2757"/>
      <c r="J722" s="2480"/>
      <c r="K722" s="2389"/>
      <c r="L722" s="2565"/>
      <c r="M722" s="2391"/>
      <c r="N722" s="2375">
        <f t="shared" si="208"/>
        <v>0</v>
      </c>
      <c r="O722" s="2375">
        <v>0</v>
      </c>
      <c r="P722" s="2398"/>
      <c r="Q722" s="2375">
        <f t="shared" si="199"/>
        <v>0</v>
      </c>
      <c r="R722" s="2375">
        <f t="shared" si="204"/>
        <v>0</v>
      </c>
      <c r="S722" s="2375">
        <v>0</v>
      </c>
      <c r="T722" s="2611"/>
      <c r="U722" s="2375">
        <f t="shared" si="209"/>
        <v>0</v>
      </c>
      <c r="V722" s="2375"/>
      <c r="W722" s="2382">
        <f t="shared" si="210"/>
        <v>0</v>
      </c>
      <c r="X722" s="2398"/>
      <c r="Y722" s="2375">
        <f t="shared" si="211"/>
        <v>0</v>
      </c>
      <c r="Z722" s="2375"/>
      <c r="AA722" s="2377" t="s">
        <v>3355</v>
      </c>
    </row>
    <row r="723" spans="1:27" s="331" customFormat="1" ht="25" hidden="1" customHeight="1">
      <c r="A723" s="2555" t="s">
        <v>95</v>
      </c>
      <c r="B723" s="2549" t="s">
        <v>126</v>
      </c>
      <c r="C723" s="2550"/>
      <c r="D723" s="2551"/>
      <c r="E723" s="2397">
        <f>'10. Vol Kantor 6x6'!$O$93</f>
        <v>21.6</v>
      </c>
      <c r="F723" s="2398" t="s">
        <v>89</v>
      </c>
      <c r="G723" s="2389">
        <v>257048.94</v>
      </c>
      <c r="H723" s="2389">
        <f>E723*G723</f>
        <v>5552257.1040000003</v>
      </c>
      <c r="I723" s="2480">
        <f>'Resume Analisa'!$D$42</f>
        <v>252902.38</v>
      </c>
      <c r="J723" s="2480">
        <f>I723*E723</f>
        <v>5462691.4080000008</v>
      </c>
      <c r="K723" s="2378" t="e">
        <f>IF(H723=0,"",IF(J723&lt;#REF!*H723,"Timpang &lt;"&amp;TEXT(#REF!,"0%"),IF(J723&gt;#REF!*H723,"Timpang &gt;"&amp;TEXT(#REF!,"0%"),"Wajar")))</f>
        <v>#REF!</v>
      </c>
      <c r="L723" s="2391">
        <v>252902.38</v>
      </c>
      <c r="M723" s="2391">
        <f>E723*L723</f>
        <v>5462691.4080000008</v>
      </c>
      <c r="N723" s="2375">
        <f t="shared" si="208"/>
        <v>2.3862201866862967E-3</v>
      </c>
      <c r="O723" s="2375">
        <v>0</v>
      </c>
      <c r="P723" s="2398" t="s">
        <v>89</v>
      </c>
      <c r="Q723" s="2375">
        <f t="shared" si="199"/>
        <v>0</v>
      </c>
      <c r="R723" s="2375">
        <f t="shared" si="204"/>
        <v>0</v>
      </c>
      <c r="S723" s="2375">
        <v>0</v>
      </c>
      <c r="T723" s="2398"/>
      <c r="U723" s="2375">
        <f t="shared" si="209"/>
        <v>0</v>
      </c>
      <c r="V723" s="2375"/>
      <c r="W723" s="2382">
        <f t="shared" si="210"/>
        <v>21.6</v>
      </c>
      <c r="X723" s="2398" t="s">
        <v>89</v>
      </c>
      <c r="Y723" s="2375">
        <f t="shared" si="211"/>
        <v>252902.38</v>
      </c>
      <c r="Z723" s="2375"/>
      <c r="AA723" s="2377" t="s">
        <v>3355</v>
      </c>
    </row>
    <row r="724" spans="1:27" s="331" customFormat="1" ht="25" hidden="1" customHeight="1">
      <c r="A724" s="2555" t="s">
        <v>98</v>
      </c>
      <c r="B724" s="2549" t="s">
        <v>410</v>
      </c>
      <c r="C724" s="2550"/>
      <c r="D724" s="2551"/>
      <c r="E724" s="2397">
        <f>'10. Vol Kantor 6x6'!$O$98</f>
        <v>73.98</v>
      </c>
      <c r="F724" s="2398" t="s">
        <v>100</v>
      </c>
      <c r="G724" s="2389">
        <v>19151.18</v>
      </c>
      <c r="H724" s="2389">
        <f>E724*G724</f>
        <v>1416804.2964000001</v>
      </c>
      <c r="I724" s="2699">
        <f>'Resume Analisa'!$D$48</f>
        <v>18790.969999999998</v>
      </c>
      <c r="J724" s="2480">
        <f>I724*E724</f>
        <v>1390155.9605999999</v>
      </c>
      <c r="K724" s="2378" t="e">
        <f>IF(H724=0,"",IF(J724&lt;#REF!*H724,"Timpang &lt;"&amp;TEXT(#REF!,"0%"),IF(J724&gt;#REF!*H724,"Timpang &gt;"&amp;TEXT(#REF!,"0%"),"Wajar")))</f>
        <v>#REF!</v>
      </c>
      <c r="L724" s="2391">
        <v>18790.969999999998</v>
      </c>
      <c r="M724" s="2391">
        <f>E724*L724</f>
        <v>1390155.9605999999</v>
      </c>
      <c r="N724" s="2375">
        <f t="shared" si="208"/>
        <v>6.0724979100375341E-4</v>
      </c>
      <c r="O724" s="2375">
        <v>0</v>
      </c>
      <c r="P724" s="2398" t="s">
        <v>100</v>
      </c>
      <c r="Q724" s="2375">
        <f t="shared" si="199"/>
        <v>0</v>
      </c>
      <c r="R724" s="2375">
        <f t="shared" si="204"/>
        <v>0</v>
      </c>
      <c r="S724" s="2375">
        <v>0</v>
      </c>
      <c r="T724" s="2611"/>
      <c r="U724" s="2375">
        <f t="shared" si="209"/>
        <v>0</v>
      </c>
      <c r="V724" s="2375"/>
      <c r="W724" s="2382">
        <f t="shared" si="210"/>
        <v>73.98</v>
      </c>
      <c r="X724" s="2398" t="s">
        <v>100</v>
      </c>
      <c r="Y724" s="2375">
        <f t="shared" si="211"/>
        <v>18790.969999999998</v>
      </c>
      <c r="Z724" s="2375"/>
      <c r="AA724" s="2377" t="s">
        <v>3355</v>
      </c>
    </row>
    <row r="725" spans="1:27" s="331" customFormat="1" ht="25" hidden="1" customHeight="1">
      <c r="A725" s="2555" t="s">
        <v>101</v>
      </c>
      <c r="B725" s="2549" t="s">
        <v>411</v>
      </c>
      <c r="C725" s="2550"/>
      <c r="D725" s="2551"/>
      <c r="E725" s="2397">
        <f>'10. Vol Kantor 6x6'!$O$101</f>
        <v>66.66</v>
      </c>
      <c r="F725" s="2398" t="s">
        <v>100</v>
      </c>
      <c r="G725" s="2389">
        <v>19151.18</v>
      </c>
      <c r="H725" s="2389">
        <f>E725*G725</f>
        <v>1276617.6587999999</v>
      </c>
      <c r="I725" s="2480">
        <f>'Resume Analisa'!$D$48</f>
        <v>18790.969999999998</v>
      </c>
      <c r="J725" s="2480">
        <f>I725*E725</f>
        <v>1252606.0601999997</v>
      </c>
      <c r="K725" s="2378" t="e">
        <f>IF(H725=0,"",IF(J725&lt;#REF!*H725,"Timpang &lt;"&amp;TEXT(#REF!,"0%"),IF(J725&gt;#REF!*H725,"Timpang &gt;"&amp;TEXT(#REF!,"0%"),"Wajar")))</f>
        <v>#REF!</v>
      </c>
      <c r="L725" s="2391">
        <v>18790.969999999998</v>
      </c>
      <c r="M725" s="2391">
        <f>E725*L725</f>
        <v>1252606.0601999997</v>
      </c>
      <c r="N725" s="2375">
        <f t="shared" si="208"/>
        <v>5.4716505904717759E-4</v>
      </c>
      <c r="O725" s="2375">
        <v>0</v>
      </c>
      <c r="P725" s="2398" t="s">
        <v>100</v>
      </c>
      <c r="Q725" s="2375">
        <f t="shared" si="199"/>
        <v>0</v>
      </c>
      <c r="R725" s="2375">
        <f t="shared" si="204"/>
        <v>0</v>
      </c>
      <c r="S725" s="2375">
        <v>0</v>
      </c>
      <c r="T725" s="2611"/>
      <c r="U725" s="2375">
        <f t="shared" si="209"/>
        <v>0</v>
      </c>
      <c r="V725" s="2375"/>
      <c r="W725" s="2382">
        <f t="shared" si="210"/>
        <v>66.66</v>
      </c>
      <c r="X725" s="2398" t="s">
        <v>100</v>
      </c>
      <c r="Y725" s="2375">
        <f t="shared" si="211"/>
        <v>18790.969999999998</v>
      </c>
      <c r="Z725" s="2375"/>
      <c r="AA725" s="2377" t="s">
        <v>3355</v>
      </c>
    </row>
    <row r="726" spans="1:27" s="331" customFormat="1" ht="25" hidden="1" customHeight="1">
      <c r="A726" s="2555" t="s">
        <v>121</v>
      </c>
      <c r="B726" s="2549" t="s">
        <v>646</v>
      </c>
      <c r="C726" s="2550"/>
      <c r="D726" s="2551"/>
      <c r="E726" s="2397">
        <f>'10. Vol Kantor 6x6'!$O$104</f>
        <v>1.68</v>
      </c>
      <c r="F726" s="2398" t="s">
        <v>103</v>
      </c>
      <c r="G726" s="2389">
        <v>1584129.98</v>
      </c>
      <c r="H726" s="2389">
        <f>E726*G726</f>
        <v>2661338.3663999997</v>
      </c>
      <c r="I726" s="2465">
        <f>'Resume Analisa'!$D$55</f>
        <v>1535009.1300000001</v>
      </c>
      <c r="J726" s="2480">
        <f>I726*E726</f>
        <v>2578815.3384000002</v>
      </c>
      <c r="K726" s="2378" t="e">
        <f>IF(H726=0,"",IF(J726&lt;#REF!*H726,"Timpang &lt;"&amp;TEXT(#REF!,"0%"),IF(J726&gt;#REF!*H726,"Timpang &gt;"&amp;TEXT(#REF!,"0%"),"Wajar")))</f>
        <v>#REF!</v>
      </c>
      <c r="L726" s="2391">
        <v>1535009.1300000001</v>
      </c>
      <c r="M726" s="2391">
        <f>E726*L726</f>
        <v>2578815.3384000002</v>
      </c>
      <c r="N726" s="2375">
        <f t="shared" si="208"/>
        <v>1.1264815744880777E-3</v>
      </c>
      <c r="O726" s="2375">
        <v>0</v>
      </c>
      <c r="P726" s="2398" t="s">
        <v>103</v>
      </c>
      <c r="Q726" s="2375">
        <f t="shared" si="199"/>
        <v>0</v>
      </c>
      <c r="R726" s="2375">
        <f t="shared" si="204"/>
        <v>0</v>
      </c>
      <c r="S726" s="2375">
        <v>0</v>
      </c>
      <c r="T726" s="2611"/>
      <c r="U726" s="2375">
        <f t="shared" si="209"/>
        <v>0</v>
      </c>
      <c r="V726" s="2375"/>
      <c r="W726" s="2382">
        <f t="shared" si="210"/>
        <v>1.68</v>
      </c>
      <c r="X726" s="2398" t="s">
        <v>103</v>
      </c>
      <c r="Y726" s="2375">
        <f t="shared" si="211"/>
        <v>1535009.1300000001</v>
      </c>
      <c r="Z726" s="2375"/>
      <c r="AA726" s="2377" t="s">
        <v>3355</v>
      </c>
    </row>
    <row r="727" spans="1:27" s="331" customFormat="1" ht="25" hidden="1" customHeight="1">
      <c r="A727" s="2611">
        <f>A722+1</f>
        <v>10</v>
      </c>
      <c r="B727" s="2549" t="s">
        <v>553</v>
      </c>
      <c r="C727" s="2550"/>
      <c r="D727" s="2551"/>
      <c r="E727" s="2397"/>
      <c r="F727" s="2398"/>
      <c r="G727" s="2389"/>
      <c r="H727" s="2389"/>
      <c r="I727" s="2465"/>
      <c r="J727" s="2480"/>
      <c r="K727" s="2389"/>
      <c r="L727" s="2391"/>
      <c r="M727" s="2391"/>
      <c r="N727" s="2375">
        <f t="shared" si="208"/>
        <v>0</v>
      </c>
      <c r="O727" s="2375">
        <v>0</v>
      </c>
      <c r="P727" s="2398"/>
      <c r="Q727" s="2375">
        <f t="shared" si="199"/>
        <v>0</v>
      </c>
      <c r="R727" s="2375">
        <f t="shared" si="204"/>
        <v>0</v>
      </c>
      <c r="S727" s="2386">
        <v>0</v>
      </c>
      <c r="T727" s="2764"/>
      <c r="U727" s="2375">
        <f t="shared" si="209"/>
        <v>0</v>
      </c>
      <c r="V727" s="2375"/>
      <c r="W727" s="2382">
        <f t="shared" si="210"/>
        <v>0</v>
      </c>
      <c r="X727" s="2398"/>
      <c r="Y727" s="2375">
        <f t="shared" si="211"/>
        <v>0</v>
      </c>
      <c r="Z727" s="2375"/>
      <c r="AA727" s="2377" t="s">
        <v>3355</v>
      </c>
    </row>
    <row r="728" spans="1:27" s="331" customFormat="1" ht="25" hidden="1" customHeight="1">
      <c r="A728" s="2749" t="s">
        <v>95</v>
      </c>
      <c r="B728" s="2549" t="s">
        <v>126</v>
      </c>
      <c r="C728" s="2550"/>
      <c r="D728" s="2551"/>
      <c r="E728" s="2397">
        <f>'10. Vol Kantor 6x6'!$O$146</f>
        <v>14.85</v>
      </c>
      <c r="F728" s="2398" t="s">
        <v>89</v>
      </c>
      <c r="G728" s="2389">
        <v>257048.94</v>
      </c>
      <c r="H728" s="2389">
        <f>E728*G728</f>
        <v>3817176.7590000001</v>
      </c>
      <c r="I728" s="2465">
        <f>'Resume Analisa'!$D$42</f>
        <v>252902.38</v>
      </c>
      <c r="J728" s="2567">
        <f>E728*I728</f>
        <v>3755600.3429999999</v>
      </c>
      <c r="K728" s="2378" t="e">
        <f>IF(H728=0,"",IF(J728&lt;#REF!*H728,"Timpang &lt;"&amp;TEXT(#REF!,"0%"),IF(J728&gt;#REF!*H728,"Timpang &gt;"&amp;TEXT(#REF!,"0%"),"Wajar")))</f>
        <v>#REF!</v>
      </c>
      <c r="L728" s="2391">
        <v>252902.38</v>
      </c>
      <c r="M728" s="2391">
        <f>E728*L728</f>
        <v>3755600.3429999999</v>
      </c>
      <c r="N728" s="2375">
        <f t="shared" si="208"/>
        <v>1.6405263783468289E-3</v>
      </c>
      <c r="O728" s="2375">
        <v>0</v>
      </c>
      <c r="P728" s="2398" t="s">
        <v>89</v>
      </c>
      <c r="Q728" s="2375">
        <f t="shared" si="199"/>
        <v>0</v>
      </c>
      <c r="R728" s="2375">
        <f t="shared" si="204"/>
        <v>0</v>
      </c>
      <c r="S728" s="2386">
        <v>0</v>
      </c>
      <c r="T728" s="2770"/>
      <c r="U728" s="2375">
        <f t="shared" si="209"/>
        <v>0</v>
      </c>
      <c r="V728" s="2375"/>
      <c r="W728" s="2382">
        <f t="shared" si="210"/>
        <v>14.85</v>
      </c>
      <c r="X728" s="2398" t="s">
        <v>89</v>
      </c>
      <c r="Y728" s="2375">
        <f t="shared" si="211"/>
        <v>252902.38</v>
      </c>
      <c r="Z728" s="2375"/>
      <c r="AA728" s="2377" t="s">
        <v>3355</v>
      </c>
    </row>
    <row r="729" spans="1:27" s="331" customFormat="1" ht="25" hidden="1" customHeight="1">
      <c r="A729" s="2749" t="s">
        <v>98</v>
      </c>
      <c r="B729" s="2549" t="s">
        <v>410</v>
      </c>
      <c r="C729" s="2550"/>
      <c r="D729" s="2551"/>
      <c r="E729" s="2397">
        <f>'10. Vol Kantor 6x6'!$O$151</f>
        <v>50.86</v>
      </c>
      <c r="F729" s="2398" t="s">
        <v>100</v>
      </c>
      <c r="G729" s="2389">
        <v>19151.18</v>
      </c>
      <c r="H729" s="2389">
        <f>E729*G729</f>
        <v>974029.0148</v>
      </c>
      <c r="I729" s="2699">
        <f>'Resume Analisa'!$D$48</f>
        <v>18790.969999999998</v>
      </c>
      <c r="J729" s="2567">
        <f>E729*I729</f>
        <v>955708.73419999983</v>
      </c>
      <c r="K729" s="2378" t="e">
        <f>IF(H729=0,"",IF(J729&lt;#REF!*H729,"Timpang &lt;"&amp;TEXT(#REF!,"0%"),IF(J729&gt;#REF!*H729,"Timpang &gt;"&amp;TEXT(#REF!,"0%"),"Wajar")))</f>
        <v>#REF!</v>
      </c>
      <c r="L729" s="2391">
        <v>18790.969999999998</v>
      </c>
      <c r="M729" s="2391">
        <f>E729*L729</f>
        <v>955708.73419999983</v>
      </c>
      <c r="N729" s="2375">
        <f t="shared" si="208"/>
        <v>4.1747397094418624E-4</v>
      </c>
      <c r="O729" s="2375">
        <v>0</v>
      </c>
      <c r="P729" s="2398" t="s">
        <v>100</v>
      </c>
      <c r="Q729" s="2375">
        <f t="shared" si="199"/>
        <v>0</v>
      </c>
      <c r="R729" s="2375">
        <f t="shared" si="204"/>
        <v>0</v>
      </c>
      <c r="S729" s="2375">
        <v>0</v>
      </c>
      <c r="T729" s="2398"/>
      <c r="U729" s="2375">
        <f t="shared" si="209"/>
        <v>0</v>
      </c>
      <c r="V729" s="2375"/>
      <c r="W729" s="2382">
        <f t="shared" si="210"/>
        <v>50.86</v>
      </c>
      <c r="X729" s="2398" t="s">
        <v>100</v>
      </c>
      <c r="Y729" s="2375">
        <f t="shared" si="211"/>
        <v>18790.969999999998</v>
      </c>
      <c r="Z729" s="2375"/>
      <c r="AA729" s="2377" t="s">
        <v>3355</v>
      </c>
    </row>
    <row r="730" spans="1:27" s="331" customFormat="1" ht="25" hidden="1" customHeight="1">
      <c r="A730" s="2749" t="s">
        <v>101</v>
      </c>
      <c r="B730" s="2549" t="s">
        <v>411</v>
      </c>
      <c r="C730" s="2550"/>
      <c r="D730" s="2551"/>
      <c r="E730" s="2397">
        <f>'10. Vol Kantor 6x6'!$O$154</f>
        <v>45.83</v>
      </c>
      <c r="F730" s="2398" t="s">
        <v>100</v>
      </c>
      <c r="G730" s="2473">
        <v>19151.18</v>
      </c>
      <c r="H730" s="2389">
        <f>E730*G730</f>
        <v>877698.57939999993</v>
      </c>
      <c r="I730" s="2474">
        <f>'Resume Analisa'!$D$48</f>
        <v>18790.969999999998</v>
      </c>
      <c r="J730" s="2567">
        <f>E730*I730</f>
        <v>861190.15509999986</v>
      </c>
      <c r="K730" s="2378" t="e">
        <f>IF(H730=0,"",IF(J730&lt;#REF!*H730,"Timpang &lt;"&amp;TEXT(#REF!,"0%"),IF(J730&gt;#REF!*H730,"Timpang &gt;"&amp;TEXT(#REF!,"0%"),"Wajar")))</f>
        <v>#REF!</v>
      </c>
      <c r="L730" s="2475">
        <v>18790.969999999998</v>
      </c>
      <c r="M730" s="2391">
        <f>E730*L730</f>
        <v>861190.15509999986</v>
      </c>
      <c r="N730" s="2375">
        <f t="shared" si="208"/>
        <v>3.7618623846582882E-4</v>
      </c>
      <c r="O730" s="2375">
        <v>0</v>
      </c>
      <c r="P730" s="2398" t="s">
        <v>100</v>
      </c>
      <c r="Q730" s="2375">
        <f t="shared" si="199"/>
        <v>0</v>
      </c>
      <c r="R730" s="2375">
        <f t="shared" si="204"/>
        <v>0</v>
      </c>
      <c r="S730" s="2375">
        <v>0</v>
      </c>
      <c r="T730" s="2398"/>
      <c r="U730" s="2375">
        <f t="shared" si="209"/>
        <v>0</v>
      </c>
      <c r="V730" s="2375"/>
      <c r="W730" s="2382">
        <f t="shared" si="210"/>
        <v>45.83</v>
      </c>
      <c r="X730" s="2398" t="s">
        <v>100</v>
      </c>
      <c r="Y730" s="2375">
        <f t="shared" si="211"/>
        <v>18790.969999999998</v>
      </c>
      <c r="Z730" s="2375"/>
      <c r="AA730" s="2377" t="s">
        <v>3355</v>
      </c>
    </row>
    <row r="731" spans="1:27" s="331" customFormat="1" ht="25" hidden="1" customHeight="1">
      <c r="A731" s="2749" t="s">
        <v>121</v>
      </c>
      <c r="B731" s="2549" t="s">
        <v>646</v>
      </c>
      <c r="C731" s="2550"/>
      <c r="D731" s="2551"/>
      <c r="E731" s="2397">
        <f>'10. Vol Kantor 6x6'!$O$157</f>
        <v>1.1599999999999999</v>
      </c>
      <c r="F731" s="2398" t="s">
        <v>103</v>
      </c>
      <c r="G731" s="2389">
        <v>1584129.98</v>
      </c>
      <c r="H731" s="2389">
        <f>E731*G731</f>
        <v>1837590.7767999999</v>
      </c>
      <c r="I731" s="2465">
        <f>'Resume Analisa'!$D$55</f>
        <v>1535009.1300000001</v>
      </c>
      <c r="J731" s="2567">
        <f>E731*I731</f>
        <v>1780610.5908000001</v>
      </c>
      <c r="K731" s="2378" t="e">
        <f>IF(H731=0,"",IF(J731&lt;#REF!*H731,"Timpang &lt;"&amp;TEXT(#REF!,"0%"),IF(J731&gt;#REF!*H731,"Timpang &gt;"&amp;TEXT(#REF!,"0%"),"Wajar")))</f>
        <v>#REF!</v>
      </c>
      <c r="L731" s="2391">
        <v>1535009.1300000001</v>
      </c>
      <c r="M731" s="2391">
        <f>E731*L731</f>
        <v>1780610.5908000001</v>
      </c>
      <c r="N731" s="2375">
        <f t="shared" si="208"/>
        <v>7.7780870619414879E-4</v>
      </c>
      <c r="O731" s="2375">
        <v>0</v>
      </c>
      <c r="P731" s="2398" t="s">
        <v>103</v>
      </c>
      <c r="Q731" s="2375">
        <f t="shared" si="199"/>
        <v>0</v>
      </c>
      <c r="R731" s="2375">
        <f t="shared" si="204"/>
        <v>0</v>
      </c>
      <c r="S731" s="2375">
        <v>0</v>
      </c>
      <c r="T731" s="2398"/>
      <c r="U731" s="2375">
        <f t="shared" si="209"/>
        <v>0</v>
      </c>
      <c r="V731" s="2375"/>
      <c r="W731" s="2382">
        <f t="shared" si="210"/>
        <v>1.1599999999999999</v>
      </c>
      <c r="X731" s="2398" t="s">
        <v>103</v>
      </c>
      <c r="Y731" s="2375">
        <f t="shared" si="211"/>
        <v>1535009.1300000001</v>
      </c>
      <c r="Z731" s="2375"/>
      <c r="AA731" s="2377" t="s">
        <v>3355</v>
      </c>
    </row>
    <row r="732" spans="1:27" s="331" customFormat="1" ht="25" hidden="1" customHeight="1">
      <c r="A732" s="2611">
        <f>A727+1</f>
        <v>11</v>
      </c>
      <c r="B732" s="2549" t="s">
        <v>534</v>
      </c>
      <c r="C732" s="2550"/>
      <c r="D732" s="2551"/>
      <c r="E732" s="2397"/>
      <c r="F732" s="2398"/>
      <c r="G732" s="2389"/>
      <c r="H732" s="2389"/>
      <c r="I732" s="2465"/>
      <c r="J732" s="2480"/>
      <c r="K732" s="2389"/>
      <c r="L732" s="2391"/>
      <c r="M732" s="2391"/>
      <c r="N732" s="2375">
        <f t="shared" si="208"/>
        <v>0</v>
      </c>
      <c r="O732" s="2375">
        <v>0</v>
      </c>
      <c r="P732" s="2398"/>
      <c r="Q732" s="2375">
        <f t="shared" si="199"/>
        <v>0</v>
      </c>
      <c r="R732" s="2375">
        <f t="shared" si="204"/>
        <v>0</v>
      </c>
      <c r="S732" s="2375">
        <v>0</v>
      </c>
      <c r="T732" s="2398"/>
      <c r="U732" s="2375">
        <f t="shared" si="209"/>
        <v>0</v>
      </c>
      <c r="V732" s="2375"/>
      <c r="W732" s="2382">
        <f t="shared" si="210"/>
        <v>0</v>
      </c>
      <c r="X732" s="2398"/>
      <c r="Y732" s="2375">
        <f t="shared" si="211"/>
        <v>0</v>
      </c>
      <c r="Z732" s="2375"/>
      <c r="AA732" s="2377" t="s">
        <v>3355</v>
      </c>
    </row>
    <row r="733" spans="1:27" s="331" customFormat="1" ht="25" hidden="1" customHeight="1">
      <c r="A733" s="2749" t="s">
        <v>95</v>
      </c>
      <c r="B733" s="2549" t="s">
        <v>126</v>
      </c>
      <c r="C733" s="2550"/>
      <c r="D733" s="2551"/>
      <c r="E733" s="2397">
        <f>'10. Vol Kantor 6x6'!$O$164</f>
        <v>8.1</v>
      </c>
      <c r="F733" s="2398" t="s">
        <v>89</v>
      </c>
      <c r="G733" s="2389">
        <v>257048.94</v>
      </c>
      <c r="H733" s="2389">
        <f>E733*G733</f>
        <v>2082096.4139999999</v>
      </c>
      <c r="I733" s="2465">
        <f>'Resume Analisa'!$D$42</f>
        <v>252902.38</v>
      </c>
      <c r="J733" s="2567">
        <f>E733*I733</f>
        <v>2048509.2779999999</v>
      </c>
      <c r="K733" s="2378" t="e">
        <f>IF(H733=0,"",IF(J733&lt;#REF!*H733,"Timpang &lt;"&amp;TEXT(#REF!,"0%"),IF(J733&gt;#REF!*H733,"Timpang &gt;"&amp;TEXT(#REF!,"0%"),"Wajar")))</f>
        <v>#REF!</v>
      </c>
      <c r="L733" s="2391">
        <v>252902.38</v>
      </c>
      <c r="M733" s="2391">
        <f>E733*L733</f>
        <v>2048509.2779999999</v>
      </c>
      <c r="N733" s="2375">
        <f t="shared" si="208"/>
        <v>8.9483257000736122E-4</v>
      </c>
      <c r="O733" s="2375">
        <v>0</v>
      </c>
      <c r="P733" s="2398" t="s">
        <v>89</v>
      </c>
      <c r="Q733" s="2375">
        <f t="shared" ref="Q733:Q796" si="212">O733*L733</f>
        <v>0</v>
      </c>
      <c r="R733" s="2375">
        <f t="shared" si="204"/>
        <v>0</v>
      </c>
      <c r="S733" s="2375">
        <v>0</v>
      </c>
      <c r="T733" s="2398"/>
      <c r="U733" s="2375">
        <f t="shared" si="209"/>
        <v>0</v>
      </c>
      <c r="V733" s="2375"/>
      <c r="W733" s="2382">
        <f t="shared" si="210"/>
        <v>8.1</v>
      </c>
      <c r="X733" s="2398" t="s">
        <v>89</v>
      </c>
      <c r="Y733" s="2375">
        <f t="shared" si="211"/>
        <v>252902.38</v>
      </c>
      <c r="Z733" s="2375"/>
      <c r="AA733" s="2377" t="s">
        <v>3355</v>
      </c>
    </row>
    <row r="734" spans="1:27" s="331" customFormat="1" ht="25" hidden="1" customHeight="1">
      <c r="A734" s="2749" t="s">
        <v>98</v>
      </c>
      <c r="B734" s="2549" t="s">
        <v>410</v>
      </c>
      <c r="C734" s="2550"/>
      <c r="D734" s="2551"/>
      <c r="E734" s="2397">
        <f>'10. Vol Kantor 6x6'!$O$168</f>
        <v>44.39</v>
      </c>
      <c r="F734" s="2398" t="s">
        <v>100</v>
      </c>
      <c r="G734" s="2389">
        <v>19151.18</v>
      </c>
      <c r="H734" s="2389">
        <f>E734*G734</f>
        <v>850120.88020000001</v>
      </c>
      <c r="I734" s="2699">
        <f>'Resume Analisa'!$D$48</f>
        <v>18790.969999999998</v>
      </c>
      <c r="J734" s="2567">
        <f>E734*I734</f>
        <v>834131.15829999989</v>
      </c>
      <c r="K734" s="2378" t="e">
        <f>IF(H734=0,"",IF(J734&lt;#REF!*H734,"Timpang &lt;"&amp;TEXT(#REF!,"0%"),IF(J734&gt;#REF!*H734,"Timpang &gt;"&amp;TEXT(#REF!,"0%"),"Wajar")))</f>
        <v>#REF!</v>
      </c>
      <c r="L734" s="2391">
        <v>18790.969999999998</v>
      </c>
      <c r="M734" s="2391">
        <f>E734*L734</f>
        <v>834131.15829999989</v>
      </c>
      <c r="N734" s="2375">
        <f t="shared" si="208"/>
        <v>3.6436629119568283E-4</v>
      </c>
      <c r="O734" s="2375">
        <v>0</v>
      </c>
      <c r="P734" s="2398" t="s">
        <v>100</v>
      </c>
      <c r="Q734" s="2375">
        <f t="shared" si="212"/>
        <v>0</v>
      </c>
      <c r="R734" s="2375">
        <f t="shared" si="204"/>
        <v>0</v>
      </c>
      <c r="S734" s="2386">
        <v>0</v>
      </c>
      <c r="T734" s="2398"/>
      <c r="U734" s="2375">
        <f t="shared" si="209"/>
        <v>0</v>
      </c>
      <c r="V734" s="2375"/>
      <c r="W734" s="2382">
        <f t="shared" si="210"/>
        <v>44.39</v>
      </c>
      <c r="X734" s="2398" t="s">
        <v>100</v>
      </c>
      <c r="Y734" s="2375">
        <f t="shared" si="211"/>
        <v>18790.969999999998</v>
      </c>
      <c r="Z734" s="2375"/>
      <c r="AA734" s="2377" t="s">
        <v>3355</v>
      </c>
    </row>
    <row r="735" spans="1:27" s="331" customFormat="1" ht="25" hidden="1" customHeight="1">
      <c r="A735" s="2749" t="s">
        <v>101</v>
      </c>
      <c r="B735" s="2549" t="s">
        <v>411</v>
      </c>
      <c r="C735" s="2550"/>
      <c r="D735" s="2551"/>
      <c r="E735" s="2397">
        <f>'10. Vol Kantor 6x6'!$O$172</f>
        <v>28.41</v>
      </c>
      <c r="F735" s="2398" t="s">
        <v>100</v>
      </c>
      <c r="G735" s="2473">
        <v>19151.18</v>
      </c>
      <c r="H735" s="2389">
        <f>E735*G735</f>
        <v>544085.02379999997</v>
      </c>
      <c r="I735" s="2474">
        <f>'Resume Analisa'!$D$48</f>
        <v>18790.969999999998</v>
      </c>
      <c r="J735" s="2567">
        <f>E735*I735</f>
        <v>533851.45769999991</v>
      </c>
      <c r="K735" s="2378" t="e">
        <f>IF(H735=0,"",IF(J735&lt;#REF!*H735,"Timpang &lt;"&amp;TEXT(#REF!,"0%"),IF(J735&gt;#REF!*H735,"Timpang &gt;"&amp;TEXT(#REF!,"0%"),"Wajar")))</f>
        <v>#REF!</v>
      </c>
      <c r="L735" s="2475">
        <v>18790.969999999998</v>
      </c>
      <c r="M735" s="2391">
        <f>E735*L735</f>
        <v>533851.45769999991</v>
      </c>
      <c r="N735" s="2375">
        <f t="shared" si="208"/>
        <v>2.3319770968392313E-4</v>
      </c>
      <c r="O735" s="2375">
        <v>0</v>
      </c>
      <c r="P735" s="2398" t="s">
        <v>100</v>
      </c>
      <c r="Q735" s="2375">
        <f t="shared" si="212"/>
        <v>0</v>
      </c>
      <c r="R735" s="2375">
        <f t="shared" si="204"/>
        <v>0</v>
      </c>
      <c r="S735" s="2386">
        <v>0</v>
      </c>
      <c r="T735" s="2398"/>
      <c r="U735" s="2375">
        <f t="shared" si="209"/>
        <v>0</v>
      </c>
      <c r="V735" s="2375"/>
      <c r="W735" s="2382">
        <f t="shared" si="210"/>
        <v>28.41</v>
      </c>
      <c r="X735" s="2398" t="s">
        <v>100</v>
      </c>
      <c r="Y735" s="2375">
        <f t="shared" si="211"/>
        <v>18790.969999999998</v>
      </c>
      <c r="Z735" s="2375"/>
      <c r="AA735" s="2377" t="s">
        <v>3355</v>
      </c>
    </row>
    <row r="736" spans="1:27" s="331" customFormat="1" ht="25" hidden="1" customHeight="1">
      <c r="A736" s="2749" t="s">
        <v>121</v>
      </c>
      <c r="B736" s="2549" t="s">
        <v>646</v>
      </c>
      <c r="C736" s="2550"/>
      <c r="D736" s="2551"/>
      <c r="E736" s="2397">
        <f>'10. Vol Kantor 6x6'!$O$176</f>
        <v>0.41</v>
      </c>
      <c r="F736" s="2398" t="s">
        <v>103</v>
      </c>
      <c r="G736" s="2389">
        <v>1584129.98</v>
      </c>
      <c r="H736" s="2389">
        <f>E736*G736</f>
        <v>649493.29180000001</v>
      </c>
      <c r="I736" s="2465">
        <f>'Resume Analisa'!$D$55</f>
        <v>1535009.1300000001</v>
      </c>
      <c r="J736" s="2567">
        <f>E736*I736</f>
        <v>629353.74329999997</v>
      </c>
      <c r="K736" s="2378" t="e">
        <f>IF(H736=0,"",IF(J736&lt;#REF!*H736,"Timpang &lt;"&amp;TEXT(#REF!,"0%"),IF(J736&gt;#REF!*H736,"Timpang &gt;"&amp;TEXT(#REF!,"0%"),"Wajar")))</f>
        <v>#REF!</v>
      </c>
      <c r="L736" s="2391">
        <v>1535009.1300000001</v>
      </c>
      <c r="M736" s="2391">
        <f>E736*L736</f>
        <v>629353.74329999997</v>
      </c>
      <c r="N736" s="2375">
        <f t="shared" si="208"/>
        <v>2.7491514615482845E-4</v>
      </c>
      <c r="O736" s="2375">
        <v>0</v>
      </c>
      <c r="P736" s="2398" t="s">
        <v>103</v>
      </c>
      <c r="Q736" s="2375">
        <f t="shared" si="212"/>
        <v>0</v>
      </c>
      <c r="R736" s="2375">
        <f t="shared" si="204"/>
        <v>0</v>
      </c>
      <c r="S736" s="2375">
        <v>0</v>
      </c>
      <c r="T736" s="2398"/>
      <c r="U736" s="2375">
        <f t="shared" si="209"/>
        <v>0</v>
      </c>
      <c r="V736" s="2375"/>
      <c r="W736" s="2382">
        <f t="shared" si="210"/>
        <v>0.41</v>
      </c>
      <c r="X736" s="2398" t="s">
        <v>103</v>
      </c>
      <c r="Y736" s="2375">
        <f t="shared" si="211"/>
        <v>1535009.1300000001</v>
      </c>
      <c r="Z736" s="2375"/>
      <c r="AA736" s="2377" t="s">
        <v>3355</v>
      </c>
    </row>
    <row r="737" spans="1:27" s="331" customFormat="1" ht="25" hidden="1" customHeight="1">
      <c r="A737" s="2398">
        <f>A732+1</f>
        <v>12</v>
      </c>
      <c r="B737" s="2549" t="s">
        <v>412</v>
      </c>
      <c r="C737" s="2550"/>
      <c r="D737" s="2551"/>
      <c r="E737" s="2397"/>
      <c r="F737" s="2398"/>
      <c r="G737" s="2389"/>
      <c r="H737" s="2389"/>
      <c r="I737" s="2465"/>
      <c r="J737" s="2552"/>
      <c r="K737" s="2389"/>
      <c r="L737" s="2391"/>
      <c r="M737" s="2391"/>
      <c r="N737" s="2375">
        <f t="shared" si="208"/>
        <v>0</v>
      </c>
      <c r="O737" s="2375">
        <v>0</v>
      </c>
      <c r="P737" s="2398"/>
      <c r="Q737" s="2375">
        <f t="shared" si="212"/>
        <v>0</v>
      </c>
      <c r="R737" s="2375">
        <f t="shared" si="204"/>
        <v>0</v>
      </c>
      <c r="S737" s="2375">
        <v>0</v>
      </c>
      <c r="T737" s="2398"/>
      <c r="U737" s="2375">
        <f t="shared" si="209"/>
        <v>0</v>
      </c>
      <c r="V737" s="2375"/>
      <c r="W737" s="2382">
        <f t="shared" si="210"/>
        <v>0</v>
      </c>
      <c r="X737" s="2398"/>
      <c r="Y737" s="2375">
        <f t="shared" si="211"/>
        <v>0</v>
      </c>
      <c r="Z737" s="2375"/>
      <c r="AA737" s="2377" t="s">
        <v>3355</v>
      </c>
    </row>
    <row r="738" spans="1:27" s="331" customFormat="1" ht="25" hidden="1" customHeight="1">
      <c r="A738" s="2555" t="s">
        <v>95</v>
      </c>
      <c r="B738" s="2549" t="s">
        <v>413</v>
      </c>
      <c r="C738" s="2550"/>
      <c r="D738" s="2551"/>
      <c r="E738" s="2397">
        <f>'10. Vol Kantor 6x6'!$O$178</f>
        <v>4.95</v>
      </c>
      <c r="F738" s="2398" t="s">
        <v>103</v>
      </c>
      <c r="G738" s="2389">
        <v>200606.23</v>
      </c>
      <c r="H738" s="2389">
        <f>E738*G738</f>
        <v>993000.83850000007</v>
      </c>
      <c r="I738" s="2480">
        <f>'Resume Analisa'!$D$24</f>
        <v>189662.29</v>
      </c>
      <c r="J738" s="2480">
        <f>I738*E738</f>
        <v>938828.33550000004</v>
      </c>
      <c r="K738" s="2378" t="e">
        <f>IF(H738=0,"",IF(J738&lt;#REF!*H738,"Timpang &lt;"&amp;TEXT(#REF!,"0%"),IF(J738&gt;#REF!*H738,"Timpang &gt;"&amp;TEXT(#REF!,"0%"),"Wajar")))</f>
        <v>#REF!</v>
      </c>
      <c r="L738" s="2391">
        <v>189662.29</v>
      </c>
      <c r="M738" s="2391">
        <f>E738*L738</f>
        <v>938828.33550000004</v>
      </c>
      <c r="N738" s="2375">
        <f t="shared" si="208"/>
        <v>4.1010025254628021E-4</v>
      </c>
      <c r="O738" s="2375">
        <v>0</v>
      </c>
      <c r="P738" s="2398" t="s">
        <v>103</v>
      </c>
      <c r="Q738" s="2375">
        <f t="shared" si="212"/>
        <v>0</v>
      </c>
      <c r="R738" s="2375">
        <f t="shared" si="204"/>
        <v>0</v>
      </c>
      <c r="S738" s="2375">
        <v>0</v>
      </c>
      <c r="T738" s="2398"/>
      <c r="U738" s="2375">
        <f t="shared" si="209"/>
        <v>0</v>
      </c>
      <c r="V738" s="2375"/>
      <c r="W738" s="2382">
        <f t="shared" si="210"/>
        <v>4.95</v>
      </c>
      <c r="X738" s="2398" t="s">
        <v>103</v>
      </c>
      <c r="Y738" s="2375">
        <f t="shared" si="211"/>
        <v>189662.29</v>
      </c>
      <c r="Z738" s="2375"/>
      <c r="AA738" s="2377" t="s">
        <v>3355</v>
      </c>
    </row>
    <row r="739" spans="1:27" s="331" customFormat="1" ht="25" hidden="1" customHeight="1">
      <c r="A739" s="2555" t="s">
        <v>98</v>
      </c>
      <c r="B739" s="2549" t="s">
        <v>414</v>
      </c>
      <c r="C739" s="2550"/>
      <c r="D739" s="2551"/>
      <c r="E739" s="2397">
        <f>'10. Vol Kantor 6x6'!$O$183</f>
        <v>4.95</v>
      </c>
      <c r="F739" s="2398" t="s">
        <v>103</v>
      </c>
      <c r="G739" s="2389">
        <v>39847.5</v>
      </c>
      <c r="H739" s="2389">
        <f>E739*G739</f>
        <v>197245.125</v>
      </c>
      <c r="I739" s="2480">
        <f>'Resume Analisa'!$D$31</f>
        <v>37946.620000000003</v>
      </c>
      <c r="J739" s="2480">
        <f>I739*E739</f>
        <v>187835.76900000003</v>
      </c>
      <c r="K739" s="2378" t="e">
        <f>IF(H739=0,"",IF(J739&lt;#REF!*H739,"Timpang &lt;"&amp;TEXT(#REF!,"0%"),IF(J739&gt;#REF!*H739,"Timpang &gt;"&amp;TEXT(#REF!,"0%"),"Wajar")))</f>
        <v>#REF!</v>
      </c>
      <c r="L739" s="2391">
        <v>37946.620000000003</v>
      </c>
      <c r="M739" s="2391">
        <f>E739*L739</f>
        <v>187835.76900000003</v>
      </c>
      <c r="N739" s="2375">
        <f t="shared" si="208"/>
        <v>8.2050672515225504E-5</v>
      </c>
      <c r="O739" s="2375">
        <v>0</v>
      </c>
      <c r="P739" s="2398" t="s">
        <v>103</v>
      </c>
      <c r="Q739" s="2375">
        <f t="shared" si="212"/>
        <v>0</v>
      </c>
      <c r="R739" s="2375">
        <f t="shared" si="204"/>
        <v>0</v>
      </c>
      <c r="S739" s="2375">
        <v>0</v>
      </c>
      <c r="T739" s="2398"/>
      <c r="U739" s="2375">
        <f t="shared" si="209"/>
        <v>0</v>
      </c>
      <c r="V739" s="2375"/>
      <c r="W739" s="2382">
        <f t="shared" si="210"/>
        <v>4.95</v>
      </c>
      <c r="X739" s="2398" t="s">
        <v>103</v>
      </c>
      <c r="Y739" s="2375">
        <f t="shared" si="211"/>
        <v>37946.620000000003</v>
      </c>
      <c r="Z739" s="2375"/>
      <c r="AA739" s="2377" t="s">
        <v>3355</v>
      </c>
    </row>
    <row r="740" spans="1:27" s="331" customFormat="1" ht="25" hidden="1" customHeight="1">
      <c r="A740" s="2555" t="s">
        <v>101</v>
      </c>
      <c r="B740" s="2549" t="s">
        <v>415</v>
      </c>
      <c r="C740" s="2550"/>
      <c r="D740" s="2551"/>
      <c r="E740" s="2397">
        <f>'10. Vol Kantor 6x6'!$O$184</f>
        <v>1.8</v>
      </c>
      <c r="F740" s="2398" t="s">
        <v>103</v>
      </c>
      <c r="G740" s="2389">
        <v>507759.96</v>
      </c>
      <c r="H740" s="2389">
        <f>E740*G740</f>
        <v>913967.92800000007</v>
      </c>
      <c r="I740" s="2699">
        <f>'Resume Analisa'!$D$26</f>
        <v>475358.64</v>
      </c>
      <c r="J740" s="2480">
        <f>I740*E740</f>
        <v>855645.55200000003</v>
      </c>
      <c r="K740" s="2378" t="e">
        <f>IF(H740=0,"",IF(J740&lt;#REF!*H740,"Timpang &lt;"&amp;TEXT(#REF!,"0%"),IF(J740&gt;#REF!*H740,"Timpang &gt;"&amp;TEXT(#REF!,"0%"),"Wajar")))</f>
        <v>#REF!</v>
      </c>
      <c r="L740" s="2391">
        <v>475358.64</v>
      </c>
      <c r="M740" s="2391">
        <f>E740*L740</f>
        <v>855645.55200000003</v>
      </c>
      <c r="N740" s="2375">
        <f t="shared" si="208"/>
        <v>3.7376423750399396E-4</v>
      </c>
      <c r="O740" s="2375">
        <v>0</v>
      </c>
      <c r="P740" s="2398" t="s">
        <v>103</v>
      </c>
      <c r="Q740" s="2375">
        <f t="shared" si="212"/>
        <v>0</v>
      </c>
      <c r="R740" s="2375">
        <f t="shared" si="204"/>
        <v>0</v>
      </c>
      <c r="S740" s="2375">
        <v>0</v>
      </c>
      <c r="T740" s="2398"/>
      <c r="U740" s="2375">
        <f t="shared" si="209"/>
        <v>0</v>
      </c>
      <c r="V740" s="2375"/>
      <c r="W740" s="2382">
        <f t="shared" si="210"/>
        <v>1.8</v>
      </c>
      <c r="X740" s="2398" t="s">
        <v>103</v>
      </c>
      <c r="Y740" s="2375">
        <f t="shared" si="211"/>
        <v>475358.64</v>
      </c>
      <c r="Z740" s="2375"/>
      <c r="AA740" s="2377" t="s">
        <v>3355</v>
      </c>
    </row>
    <row r="741" spans="1:27" s="331" customFormat="1" ht="25" hidden="1" customHeight="1">
      <c r="A741" s="2555" t="s">
        <v>121</v>
      </c>
      <c r="B741" s="2549" t="s">
        <v>496</v>
      </c>
      <c r="C741" s="2550"/>
      <c r="D741" s="2551"/>
      <c r="E741" s="2397">
        <f>'10. Vol Kantor 6x6'!$O$189</f>
        <v>1.8</v>
      </c>
      <c r="F741" s="2398" t="s">
        <v>103</v>
      </c>
      <c r="G741" s="2389">
        <v>1422226.08</v>
      </c>
      <c r="H741" s="2389">
        <f>E741*G741</f>
        <v>2560006.9440000001</v>
      </c>
      <c r="I741" s="2480">
        <f>'Resume Analisa'!$D$54</f>
        <v>1384580.76</v>
      </c>
      <c r="J741" s="2480">
        <f>I741*E741</f>
        <v>2492245.3680000002</v>
      </c>
      <c r="K741" s="2378" t="e">
        <f>IF(H741=0,"",IF(J741&lt;#REF!*H741,"Timpang &lt;"&amp;TEXT(#REF!,"0%"),IF(J741&gt;#REF!*H741,"Timpang &gt;"&amp;TEXT(#REF!,"0%"),"Wajar")))</f>
        <v>#REF!</v>
      </c>
      <c r="L741" s="2391">
        <v>1384580.76</v>
      </c>
      <c r="M741" s="2391">
        <f>E741*L741</f>
        <v>2492245.3680000002</v>
      </c>
      <c r="N741" s="2375">
        <f t="shared" si="208"/>
        <v>1.0886659639216835E-3</v>
      </c>
      <c r="O741" s="2375">
        <v>0</v>
      </c>
      <c r="P741" s="2398" t="s">
        <v>103</v>
      </c>
      <c r="Q741" s="2375">
        <f t="shared" si="212"/>
        <v>0</v>
      </c>
      <c r="R741" s="2375">
        <f t="shared" si="204"/>
        <v>0</v>
      </c>
      <c r="S741" s="2386">
        <v>0</v>
      </c>
      <c r="T741" s="2560"/>
      <c r="U741" s="2375">
        <f t="shared" si="209"/>
        <v>0</v>
      </c>
      <c r="V741" s="2375"/>
      <c r="W741" s="2382">
        <f t="shared" si="210"/>
        <v>1.8</v>
      </c>
      <c r="X741" s="2398" t="s">
        <v>103</v>
      </c>
      <c r="Y741" s="2375">
        <f t="shared" si="211"/>
        <v>1384580.76</v>
      </c>
      <c r="Z741" s="2375"/>
      <c r="AA741" s="2377" t="s">
        <v>3355</v>
      </c>
    </row>
    <row r="742" spans="1:27" s="331" customFormat="1" ht="25" hidden="1" customHeight="1">
      <c r="A742" s="2398">
        <f>A737+1</f>
        <v>13</v>
      </c>
      <c r="B742" s="2549" t="s">
        <v>647</v>
      </c>
      <c r="C742" s="2550"/>
      <c r="D742" s="2551"/>
      <c r="E742" s="2397"/>
      <c r="F742" s="2398"/>
      <c r="G742" s="2389"/>
      <c r="H742" s="2389"/>
      <c r="I742" s="2465"/>
      <c r="J742" s="2552"/>
      <c r="K742" s="2389"/>
      <c r="L742" s="2391"/>
      <c r="M742" s="2391"/>
      <c r="N742" s="2375">
        <f t="shared" si="208"/>
        <v>0</v>
      </c>
      <c r="O742" s="2375">
        <v>0</v>
      </c>
      <c r="P742" s="2398"/>
      <c r="Q742" s="2375">
        <f t="shared" si="212"/>
        <v>0</v>
      </c>
      <c r="R742" s="2375">
        <f t="shared" si="204"/>
        <v>0</v>
      </c>
      <c r="S742" s="2386">
        <v>0</v>
      </c>
      <c r="T742" s="2398"/>
      <c r="U742" s="2375">
        <f t="shared" si="209"/>
        <v>0</v>
      </c>
      <c r="V742" s="2375"/>
      <c r="W742" s="2382">
        <f t="shared" si="210"/>
        <v>0</v>
      </c>
      <c r="X742" s="2398"/>
      <c r="Y742" s="2375">
        <f t="shared" si="211"/>
        <v>0</v>
      </c>
      <c r="Z742" s="2375"/>
      <c r="AA742" s="2377" t="s">
        <v>3355</v>
      </c>
    </row>
    <row r="743" spans="1:27" s="331" customFormat="1" ht="25" hidden="1" customHeight="1">
      <c r="A743" s="2555" t="s">
        <v>95</v>
      </c>
      <c r="B743" s="2549" t="s">
        <v>438</v>
      </c>
      <c r="C743" s="2550"/>
      <c r="D743" s="2551"/>
      <c r="E743" s="2541">
        <f>'10. Vol Kantor 6x6'!$O$198</f>
        <v>0.77</v>
      </c>
      <c r="F743" s="2398" t="s">
        <v>103</v>
      </c>
      <c r="G743" s="2389">
        <v>50600</v>
      </c>
      <c r="H743" s="2389">
        <f t="shared" ref="H743:H748" si="213">E743*G743</f>
        <v>38962</v>
      </c>
      <c r="I743" s="2465">
        <f>'Resume Analisa'!$D$18</f>
        <v>49036.76</v>
      </c>
      <c r="J743" s="2544">
        <f t="shared" ref="J743:J748" si="214">I743*E743</f>
        <v>37758.305200000003</v>
      </c>
      <c r="K743" s="2378" t="e">
        <f>IF(H743=0,"",IF(J743&lt;#REF!*H743,"Timpang &lt;"&amp;TEXT(#REF!,"0%"),IF(J743&gt;#REF!*H743,"Timpang &gt;"&amp;TEXT(#REF!,"0%"),"Wajar")))</f>
        <v>#REF!</v>
      </c>
      <c r="L743" s="2391">
        <v>49036.76</v>
      </c>
      <c r="M743" s="2391">
        <f t="shared" ref="M743:M748" si="215">E743*L743</f>
        <v>37758.305200000003</v>
      </c>
      <c r="N743" s="2375">
        <f t="shared" si="208"/>
        <v>1.6493633513940234E-5</v>
      </c>
      <c r="O743" s="2375">
        <v>0</v>
      </c>
      <c r="P743" s="2398" t="s">
        <v>103</v>
      </c>
      <c r="Q743" s="2375">
        <f t="shared" si="212"/>
        <v>0</v>
      </c>
      <c r="R743" s="2375">
        <f t="shared" si="204"/>
        <v>0</v>
      </c>
      <c r="S743" s="2375">
        <v>0</v>
      </c>
      <c r="T743" s="2398"/>
      <c r="U743" s="2375">
        <f t="shared" si="209"/>
        <v>0</v>
      </c>
      <c r="V743" s="2375"/>
      <c r="W743" s="2382">
        <f t="shared" si="210"/>
        <v>0.77</v>
      </c>
      <c r="X743" s="2398" t="s">
        <v>103</v>
      </c>
      <c r="Y743" s="2375">
        <f t="shared" si="211"/>
        <v>49036.76</v>
      </c>
      <c r="Z743" s="2375"/>
      <c r="AA743" s="2377" t="s">
        <v>3355</v>
      </c>
    </row>
    <row r="744" spans="1:27" s="331" customFormat="1" ht="25" hidden="1" customHeight="1">
      <c r="A744" s="2555" t="s">
        <v>98</v>
      </c>
      <c r="B744" s="2549" t="s">
        <v>439</v>
      </c>
      <c r="C744" s="2550"/>
      <c r="D744" s="2551"/>
      <c r="E744" s="2541">
        <f>'10. Vol Kantor 6x6'!$O$202</f>
        <v>11.2</v>
      </c>
      <c r="F744" s="2398" t="s">
        <v>89</v>
      </c>
      <c r="G744" s="2389">
        <v>166165.41</v>
      </c>
      <c r="H744" s="2389">
        <f t="shared" si="213"/>
        <v>1861052.5919999999</v>
      </c>
      <c r="I744" s="2465">
        <f>'Resume Analisa'!$D$69</f>
        <v>161086.38</v>
      </c>
      <c r="J744" s="2544">
        <f t="shared" si="214"/>
        <v>1804167.456</v>
      </c>
      <c r="K744" s="2378" t="e">
        <f>IF(H744=0,"",IF(J744&lt;#REF!*H744,"Timpang &lt;"&amp;TEXT(#REF!,"0%"),IF(J744&gt;#REF!*H744,"Timpang &gt;"&amp;TEXT(#REF!,"0%"),"Wajar")))</f>
        <v>#REF!</v>
      </c>
      <c r="L744" s="2391">
        <v>161086.38</v>
      </c>
      <c r="M744" s="2391">
        <f t="shared" si="215"/>
        <v>1804167.456</v>
      </c>
      <c r="N744" s="2375">
        <f t="shared" si="208"/>
        <v>7.8809884764218419E-4</v>
      </c>
      <c r="O744" s="2375">
        <v>0</v>
      </c>
      <c r="P744" s="2398" t="s">
        <v>89</v>
      </c>
      <c r="Q744" s="2375">
        <f t="shared" si="212"/>
        <v>0</v>
      </c>
      <c r="R744" s="2375">
        <f t="shared" si="204"/>
        <v>0</v>
      </c>
      <c r="S744" s="2375">
        <v>0</v>
      </c>
      <c r="T744" s="2611"/>
      <c r="U744" s="2375">
        <f t="shared" si="209"/>
        <v>0</v>
      </c>
      <c r="V744" s="2375"/>
      <c r="W744" s="2382">
        <f t="shared" si="210"/>
        <v>11.2</v>
      </c>
      <c r="X744" s="2398" t="s">
        <v>89</v>
      </c>
      <c r="Y744" s="2375">
        <f t="shared" si="211"/>
        <v>161086.38</v>
      </c>
      <c r="Z744" s="2375"/>
      <c r="AA744" s="2377" t="s">
        <v>3355</v>
      </c>
    </row>
    <row r="745" spans="1:27" s="331" customFormat="1" ht="25" hidden="1" customHeight="1">
      <c r="A745" s="2555" t="s">
        <v>101</v>
      </c>
      <c r="B745" s="2549" t="s">
        <v>413</v>
      </c>
      <c r="C745" s="2550"/>
      <c r="D745" s="2551"/>
      <c r="E745" s="2397">
        <f>'10. Vol Kantor 6x6'!$O$206</f>
        <v>1.4</v>
      </c>
      <c r="F745" s="2398" t="s">
        <v>103</v>
      </c>
      <c r="G745" s="2389">
        <v>200606.23</v>
      </c>
      <c r="H745" s="2389">
        <f t="shared" si="213"/>
        <v>280848.72200000001</v>
      </c>
      <c r="I745" s="2480">
        <f>'Resume Analisa'!$D$24</f>
        <v>189662.29</v>
      </c>
      <c r="J745" s="2480">
        <f t="shared" si="214"/>
        <v>265527.20600000001</v>
      </c>
      <c r="K745" s="2378" t="e">
        <f>IF(H745=0,"",IF(J745&lt;#REF!*H745,"Timpang &lt;"&amp;TEXT(#REF!,"0%"),IF(J745&gt;#REF!*H745,"Timpang &gt;"&amp;TEXT(#REF!,"0%"),"Wajar")))</f>
        <v>#REF!</v>
      </c>
      <c r="L745" s="2391">
        <v>189662.29</v>
      </c>
      <c r="M745" s="2391">
        <f t="shared" si="215"/>
        <v>265527.20600000001</v>
      </c>
      <c r="N745" s="2375">
        <f t="shared" si="208"/>
        <v>1.1598795021510956E-4</v>
      </c>
      <c r="O745" s="2375">
        <v>0</v>
      </c>
      <c r="P745" s="2398" t="s">
        <v>103</v>
      </c>
      <c r="Q745" s="2375">
        <f t="shared" si="212"/>
        <v>0</v>
      </c>
      <c r="R745" s="2375">
        <f t="shared" si="204"/>
        <v>0</v>
      </c>
      <c r="S745" s="2375">
        <v>0</v>
      </c>
      <c r="T745" s="2398"/>
      <c r="U745" s="2375">
        <f t="shared" si="209"/>
        <v>0</v>
      </c>
      <c r="V745" s="2375"/>
      <c r="W745" s="2382">
        <f t="shared" si="210"/>
        <v>1.4</v>
      </c>
      <c r="X745" s="2398" t="s">
        <v>103</v>
      </c>
      <c r="Y745" s="2375">
        <f t="shared" si="211"/>
        <v>189662.29</v>
      </c>
      <c r="Z745" s="2375"/>
      <c r="AA745" s="2377" t="s">
        <v>3355</v>
      </c>
    </row>
    <row r="746" spans="1:27" s="331" customFormat="1" ht="25" hidden="1" customHeight="1">
      <c r="A746" s="2555" t="s">
        <v>121</v>
      </c>
      <c r="B746" s="2549" t="s">
        <v>414</v>
      </c>
      <c r="C746" s="2550"/>
      <c r="D746" s="2551"/>
      <c r="E746" s="2397">
        <f>'10. Vol Kantor 6x6'!$O$207</f>
        <v>1.4</v>
      </c>
      <c r="F746" s="2398" t="s">
        <v>103</v>
      </c>
      <c r="G746" s="2389">
        <v>39847.5</v>
      </c>
      <c r="H746" s="2389">
        <f t="shared" si="213"/>
        <v>55786.5</v>
      </c>
      <c r="I746" s="2480">
        <f>'Resume Analisa'!$D$31</f>
        <v>37946.620000000003</v>
      </c>
      <c r="J746" s="2480">
        <f t="shared" si="214"/>
        <v>53125.268000000004</v>
      </c>
      <c r="K746" s="2378" t="e">
        <f>IF(H746=0,"",IF(J746&lt;#REF!*H746,"Timpang &lt;"&amp;TEXT(#REF!,"0%"),IF(J746&gt;#REF!*H746,"Timpang &gt;"&amp;TEXT(#REF!,"0%"),"Wajar")))</f>
        <v>#REF!</v>
      </c>
      <c r="L746" s="2391">
        <v>37946.620000000003</v>
      </c>
      <c r="M746" s="2391">
        <f t="shared" si="215"/>
        <v>53125.268000000004</v>
      </c>
      <c r="N746" s="2375">
        <f t="shared" si="208"/>
        <v>2.3206250812387011E-5</v>
      </c>
      <c r="O746" s="2375">
        <v>0</v>
      </c>
      <c r="P746" s="2398" t="s">
        <v>103</v>
      </c>
      <c r="Q746" s="2375">
        <f t="shared" si="212"/>
        <v>0</v>
      </c>
      <c r="R746" s="2375">
        <f t="shared" si="204"/>
        <v>0</v>
      </c>
      <c r="S746" s="2375">
        <v>0</v>
      </c>
      <c r="T746" s="2398"/>
      <c r="U746" s="2375">
        <f t="shared" si="209"/>
        <v>0</v>
      </c>
      <c r="V746" s="2375"/>
      <c r="W746" s="2382">
        <f t="shared" si="210"/>
        <v>1.4</v>
      </c>
      <c r="X746" s="2398" t="s">
        <v>103</v>
      </c>
      <c r="Y746" s="2375">
        <f t="shared" si="211"/>
        <v>37946.620000000003</v>
      </c>
      <c r="Z746" s="2375"/>
      <c r="AA746" s="2377" t="s">
        <v>3355</v>
      </c>
    </row>
    <row r="747" spans="1:27" s="331" customFormat="1" ht="25" hidden="1" customHeight="1">
      <c r="A747" s="2555" t="s">
        <v>142</v>
      </c>
      <c r="B747" s="2549" t="s">
        <v>441</v>
      </c>
      <c r="C747" s="2550"/>
      <c r="D747" s="2551"/>
      <c r="E747" s="2397">
        <f>'10. Vol Kantor 6x6'!$O$211</f>
        <v>0.84</v>
      </c>
      <c r="F747" s="2398" t="s">
        <v>103</v>
      </c>
      <c r="G747" s="2389">
        <v>507759.96</v>
      </c>
      <c r="H747" s="2389">
        <f t="shared" si="213"/>
        <v>426518.3664</v>
      </c>
      <c r="I747" s="2699">
        <f>'Resume Analisa'!$D$26</f>
        <v>475358.64</v>
      </c>
      <c r="J747" s="2480">
        <f t="shared" si="214"/>
        <v>399301.25760000001</v>
      </c>
      <c r="K747" s="2378" t="e">
        <f>IF(H747=0,"",IF(J747&lt;#REF!*H747,"Timpang &lt;"&amp;TEXT(#REF!,"0%"),IF(J747&gt;#REF!*H747,"Timpang &gt;"&amp;TEXT(#REF!,"0%"),"Wajar")))</f>
        <v>#REF!</v>
      </c>
      <c r="L747" s="2391">
        <v>475358.64</v>
      </c>
      <c r="M747" s="2391">
        <f t="shared" si="215"/>
        <v>399301.25760000001</v>
      </c>
      <c r="N747" s="2375">
        <f t="shared" si="208"/>
        <v>1.744233108351972E-4</v>
      </c>
      <c r="O747" s="2375">
        <v>0</v>
      </c>
      <c r="P747" s="2398" t="s">
        <v>103</v>
      </c>
      <c r="Q747" s="2375">
        <f t="shared" si="212"/>
        <v>0</v>
      </c>
      <c r="R747" s="2375">
        <f t="shared" ref="R747:R774" si="216">Q747/$M$8*100</f>
        <v>0</v>
      </c>
      <c r="S747" s="2375">
        <v>0</v>
      </c>
      <c r="T747" s="2398"/>
      <c r="U747" s="2375">
        <f t="shared" si="209"/>
        <v>0</v>
      </c>
      <c r="V747" s="2375"/>
      <c r="W747" s="2382">
        <f t="shared" si="210"/>
        <v>0.84</v>
      </c>
      <c r="X747" s="2398" t="s">
        <v>103</v>
      </c>
      <c r="Y747" s="2375">
        <f t="shared" si="211"/>
        <v>475358.64</v>
      </c>
      <c r="Z747" s="2375"/>
      <c r="AA747" s="2377" t="s">
        <v>3355</v>
      </c>
    </row>
    <row r="748" spans="1:27" s="331" customFormat="1" ht="25" hidden="1" customHeight="1">
      <c r="A748" s="2555" t="s">
        <v>217</v>
      </c>
      <c r="B748" s="2549" t="s">
        <v>648</v>
      </c>
      <c r="C748" s="2550"/>
      <c r="D748" s="2551"/>
      <c r="E748" s="2397">
        <f>'10. Vol Kantor 6x6'!$O$215</f>
        <v>1.96</v>
      </c>
      <c r="F748" s="2398" t="s">
        <v>103</v>
      </c>
      <c r="G748" s="2389">
        <v>1422226.08</v>
      </c>
      <c r="H748" s="2389">
        <f t="shared" si="213"/>
        <v>2787563.1168</v>
      </c>
      <c r="I748" s="2480">
        <f>'Resume Analisa'!$D$54</f>
        <v>1384580.76</v>
      </c>
      <c r="J748" s="2480">
        <f t="shared" si="214"/>
        <v>2713778.2895999998</v>
      </c>
      <c r="K748" s="2378" t="e">
        <f>IF(H748=0,"",IF(J748&lt;#REF!*H748,"Timpang &lt;"&amp;TEXT(#REF!,"0%"),IF(J748&gt;#REF!*H748,"Timpang &gt;"&amp;TEXT(#REF!,"0%"),"Wajar")))</f>
        <v>#REF!</v>
      </c>
      <c r="L748" s="2391">
        <v>1384580.76</v>
      </c>
      <c r="M748" s="2391">
        <f t="shared" si="215"/>
        <v>2713778.2895999998</v>
      </c>
      <c r="N748" s="2375">
        <f t="shared" si="208"/>
        <v>1.1854362718258329E-3</v>
      </c>
      <c r="O748" s="2375">
        <v>0</v>
      </c>
      <c r="P748" s="2398" t="s">
        <v>103</v>
      </c>
      <c r="Q748" s="2375">
        <f t="shared" si="212"/>
        <v>0</v>
      </c>
      <c r="R748" s="2375">
        <f t="shared" si="216"/>
        <v>0</v>
      </c>
      <c r="S748" s="2386">
        <v>0</v>
      </c>
      <c r="T748" s="2398"/>
      <c r="U748" s="2375">
        <f t="shared" si="209"/>
        <v>0</v>
      </c>
      <c r="V748" s="2375"/>
      <c r="W748" s="2382">
        <f t="shared" si="210"/>
        <v>1.96</v>
      </c>
      <c r="X748" s="2398" t="s">
        <v>103</v>
      </c>
      <c r="Y748" s="2375">
        <f t="shared" si="211"/>
        <v>1384580.76</v>
      </c>
      <c r="Z748" s="2375"/>
      <c r="AA748" s="2377" t="s">
        <v>3355</v>
      </c>
    </row>
    <row r="749" spans="1:27" s="331" customFormat="1" ht="25" hidden="1" customHeight="1">
      <c r="A749" s="2398">
        <f>A737+1</f>
        <v>13</v>
      </c>
      <c r="B749" s="2549" t="s">
        <v>649</v>
      </c>
      <c r="C749" s="2550"/>
      <c r="D749" s="2551"/>
      <c r="E749" s="2397"/>
      <c r="F749" s="2398"/>
      <c r="G749" s="2389"/>
      <c r="H749" s="2389"/>
      <c r="I749" s="2779"/>
      <c r="J749" s="2480"/>
      <c r="K749" s="2389"/>
      <c r="L749" s="2391"/>
      <c r="M749" s="2391"/>
      <c r="N749" s="2375">
        <f t="shared" si="208"/>
        <v>0</v>
      </c>
      <c r="O749" s="2375">
        <v>0</v>
      </c>
      <c r="P749" s="2398"/>
      <c r="Q749" s="2375">
        <f t="shared" si="212"/>
        <v>0</v>
      </c>
      <c r="R749" s="2375">
        <f t="shared" si="216"/>
        <v>0</v>
      </c>
      <c r="S749" s="2386">
        <v>0</v>
      </c>
      <c r="T749" s="2398"/>
      <c r="U749" s="2375">
        <f t="shared" si="209"/>
        <v>0</v>
      </c>
      <c r="V749" s="2375"/>
      <c r="W749" s="2382">
        <f t="shared" si="210"/>
        <v>0</v>
      </c>
      <c r="X749" s="2398"/>
      <c r="Y749" s="2375">
        <f t="shared" si="211"/>
        <v>0</v>
      </c>
      <c r="Z749" s="2375"/>
      <c r="AA749" s="2377" t="s">
        <v>3355</v>
      </c>
    </row>
    <row r="750" spans="1:27" s="331" customFormat="1" ht="25" hidden="1" customHeight="1">
      <c r="A750" s="2555" t="s">
        <v>95</v>
      </c>
      <c r="B750" s="2549" t="s">
        <v>148</v>
      </c>
      <c r="C750" s="2550"/>
      <c r="D750" s="2551"/>
      <c r="E750" s="2397">
        <f>'10. Vol Kantor 6x6'!$O$230</f>
        <v>4.46</v>
      </c>
      <c r="F750" s="2398" t="s">
        <v>89</v>
      </c>
      <c r="G750" s="2389">
        <v>294733.29000000004</v>
      </c>
      <c r="H750" s="2389">
        <f>E750*G750</f>
        <v>1314510.4734000002</v>
      </c>
      <c r="I750" s="2480">
        <f>'Resume Analisa'!$D$41</f>
        <v>290443.69</v>
      </c>
      <c r="J750" s="2480">
        <f>I750*E750</f>
        <v>1295378.8574000001</v>
      </c>
      <c r="K750" s="2378" t="e">
        <f>IF(H750=0,"",IF(J750&lt;#REF!*H750,"Timpang &lt;"&amp;TEXT(#REF!,"0%"),IF(J750&gt;#REF!*H750,"Timpang &gt;"&amp;TEXT(#REF!,"0%"),"Wajar")))</f>
        <v>#REF!</v>
      </c>
      <c r="L750" s="2391">
        <v>290443.69</v>
      </c>
      <c r="M750" s="2391">
        <f>E750*L750</f>
        <v>1295378.8574000001</v>
      </c>
      <c r="N750" s="2375">
        <f t="shared" si="208"/>
        <v>5.6584912968133554E-4</v>
      </c>
      <c r="O750" s="2375">
        <v>0</v>
      </c>
      <c r="P750" s="2398" t="s">
        <v>89</v>
      </c>
      <c r="Q750" s="2375">
        <f t="shared" si="212"/>
        <v>0</v>
      </c>
      <c r="R750" s="2375">
        <f t="shared" si="216"/>
        <v>0</v>
      </c>
      <c r="S750" s="2375">
        <v>0</v>
      </c>
      <c r="T750" s="2560"/>
      <c r="U750" s="2375">
        <f t="shared" si="209"/>
        <v>0</v>
      </c>
      <c r="V750" s="2375"/>
      <c r="W750" s="2382">
        <f t="shared" si="210"/>
        <v>4.46</v>
      </c>
      <c r="X750" s="2398" t="s">
        <v>89</v>
      </c>
      <c r="Y750" s="2375">
        <f t="shared" si="211"/>
        <v>290443.69</v>
      </c>
      <c r="Z750" s="2375"/>
      <c r="AA750" s="2377" t="s">
        <v>3355</v>
      </c>
    </row>
    <row r="751" spans="1:27" s="331" customFormat="1" ht="25" hidden="1" customHeight="1">
      <c r="A751" s="2555" t="s">
        <v>98</v>
      </c>
      <c r="B751" s="2549" t="s">
        <v>419</v>
      </c>
      <c r="C751" s="2550"/>
      <c r="D751" s="2551"/>
      <c r="E751" s="2397">
        <f>'10. Vol Kantor 6x6'!$O$238</f>
        <v>22.23</v>
      </c>
      <c r="F751" s="2398" t="s">
        <v>100</v>
      </c>
      <c r="G751" s="2389">
        <v>19151.18</v>
      </c>
      <c r="H751" s="2473">
        <f>E751*G751</f>
        <v>425730.73139999999</v>
      </c>
      <c r="I751" s="2480">
        <f>'Resume Analisa'!$D$48</f>
        <v>18790.969999999998</v>
      </c>
      <c r="J751" s="2474">
        <f>+I751*E751</f>
        <v>417723.26309999998</v>
      </c>
      <c r="K751" s="2378" t="e">
        <f>IF(H751=0,"",IF(J751&lt;#REF!*H751,"Timpang &lt;"&amp;TEXT(#REF!,"0%"),IF(J751&gt;#REF!*H751,"Timpang &gt;"&amp;TEXT(#REF!,"0%"),"Wajar")))</f>
        <v>#REF!</v>
      </c>
      <c r="L751" s="2391">
        <v>18790.969999999998</v>
      </c>
      <c r="M751" s="2475">
        <f>E751*L751</f>
        <v>417723.26309999998</v>
      </c>
      <c r="N751" s="2375">
        <f t="shared" si="208"/>
        <v>1.8247043598287969E-4</v>
      </c>
      <c r="O751" s="2375">
        <v>0</v>
      </c>
      <c r="P751" s="2398" t="s">
        <v>100</v>
      </c>
      <c r="Q751" s="2375">
        <f t="shared" si="212"/>
        <v>0</v>
      </c>
      <c r="R751" s="2375">
        <f t="shared" si="216"/>
        <v>0</v>
      </c>
      <c r="S751" s="2375">
        <v>0</v>
      </c>
      <c r="T751" s="2398"/>
      <c r="U751" s="2375">
        <f t="shared" si="209"/>
        <v>0</v>
      </c>
      <c r="V751" s="2375"/>
      <c r="W751" s="2382">
        <f t="shared" si="210"/>
        <v>22.23</v>
      </c>
      <c r="X751" s="2398" t="s">
        <v>100</v>
      </c>
      <c r="Y751" s="2375">
        <f t="shared" si="211"/>
        <v>18790.969999999998</v>
      </c>
      <c r="Z751" s="2375"/>
      <c r="AA751" s="2377" t="s">
        <v>3355</v>
      </c>
    </row>
    <row r="752" spans="1:27" s="331" customFormat="1" ht="25" hidden="1" customHeight="1">
      <c r="A752" s="2555" t="s">
        <v>101</v>
      </c>
      <c r="B752" s="2549" t="s">
        <v>420</v>
      </c>
      <c r="C752" s="2550"/>
      <c r="D752" s="2551"/>
      <c r="E752" s="2397">
        <f>'10. Vol Kantor 6x6'!$O$243</f>
        <v>0.32</v>
      </c>
      <c r="F752" s="2398" t="s">
        <v>103</v>
      </c>
      <c r="G752" s="2389">
        <v>1584129.98</v>
      </c>
      <c r="H752" s="2389">
        <f>E752*G752</f>
        <v>506921.59360000002</v>
      </c>
      <c r="I752" s="2465">
        <f>'Resume Analisa'!$D$55</f>
        <v>1535009.1300000001</v>
      </c>
      <c r="J752" s="2552">
        <f>E752*I752</f>
        <v>491202.92160000006</v>
      </c>
      <c r="K752" s="2378" t="e">
        <f>IF(H752=0,"",IF(J752&lt;#REF!*H752,"Timpang &lt;"&amp;TEXT(#REF!,"0%"),IF(J752&gt;#REF!*H752,"Timpang &gt;"&amp;TEXT(#REF!,"0%"),"Wajar")))</f>
        <v>#REF!</v>
      </c>
      <c r="L752" s="2391">
        <v>1535009.1300000001</v>
      </c>
      <c r="M752" s="2391">
        <f>E752*L752</f>
        <v>491202.92160000006</v>
      </c>
      <c r="N752" s="2375">
        <f t="shared" si="208"/>
        <v>2.1456791895011003E-4</v>
      </c>
      <c r="O752" s="2375">
        <v>0</v>
      </c>
      <c r="P752" s="2398" t="s">
        <v>103</v>
      </c>
      <c r="Q752" s="2375">
        <f t="shared" si="212"/>
        <v>0</v>
      </c>
      <c r="R752" s="2375">
        <f t="shared" si="216"/>
        <v>0</v>
      </c>
      <c r="S752" s="2375">
        <v>0</v>
      </c>
      <c r="T752" s="2398"/>
      <c r="U752" s="2375">
        <f t="shared" si="209"/>
        <v>0</v>
      </c>
      <c r="V752" s="2375"/>
      <c r="W752" s="2382">
        <f t="shared" si="210"/>
        <v>0.32</v>
      </c>
      <c r="X752" s="2398" t="s">
        <v>103</v>
      </c>
      <c r="Y752" s="2375">
        <f t="shared" si="211"/>
        <v>1535009.1300000001</v>
      </c>
      <c r="Z752" s="2375"/>
      <c r="AA752" s="2377" t="s">
        <v>3355</v>
      </c>
    </row>
    <row r="753" spans="1:27" s="331" customFormat="1" ht="25" hidden="1" customHeight="1">
      <c r="A753" s="2555" t="s">
        <v>121</v>
      </c>
      <c r="B753" s="2549" t="s">
        <v>489</v>
      </c>
      <c r="C753" s="2550"/>
      <c r="D753" s="2551"/>
      <c r="E753" s="2397">
        <f>'10. Vol Kantor 6x6'!$O$244</f>
        <v>3.23</v>
      </c>
      <c r="F753" s="2398" t="s">
        <v>89</v>
      </c>
      <c r="G753" s="2389">
        <v>61230.840000000004</v>
      </c>
      <c r="H753" s="2389">
        <f>E753*G753</f>
        <v>197775.61320000002</v>
      </c>
      <c r="I753" s="2480">
        <f>'Resume Analisa'!$D$70</f>
        <v>58648.57</v>
      </c>
      <c r="J753" s="2480">
        <f>I753*E753</f>
        <v>189434.8811</v>
      </c>
      <c r="K753" s="2378" t="e">
        <f>IF(H753=0,"",IF(J753&lt;#REF!*H753,"Timpang &lt;"&amp;TEXT(#REF!,"0%"),IF(J753&gt;#REF!*H753,"Timpang &gt;"&amp;TEXT(#REF!,"0%"),"Wajar")))</f>
        <v>#REF!</v>
      </c>
      <c r="L753" s="2391">
        <v>58648.57</v>
      </c>
      <c r="M753" s="2391">
        <f>E753*L753</f>
        <v>189434.8811</v>
      </c>
      <c r="N753" s="2375">
        <f t="shared" si="208"/>
        <v>8.274919880726647E-5</v>
      </c>
      <c r="O753" s="2375">
        <v>0</v>
      </c>
      <c r="P753" s="2398" t="s">
        <v>89</v>
      </c>
      <c r="Q753" s="2375">
        <f t="shared" si="212"/>
        <v>0</v>
      </c>
      <c r="R753" s="2375">
        <f t="shared" si="216"/>
        <v>0</v>
      </c>
      <c r="S753" s="2375">
        <v>0</v>
      </c>
      <c r="T753" s="2398"/>
      <c r="U753" s="2375">
        <f t="shared" si="209"/>
        <v>0</v>
      </c>
      <c r="V753" s="2375"/>
      <c r="W753" s="2382">
        <f t="shared" si="210"/>
        <v>3.23</v>
      </c>
      <c r="X753" s="2398" t="s">
        <v>89</v>
      </c>
      <c r="Y753" s="2375">
        <f t="shared" si="211"/>
        <v>58648.57</v>
      </c>
      <c r="Z753" s="2375"/>
      <c r="AA753" s="2377" t="s">
        <v>3355</v>
      </c>
    </row>
    <row r="754" spans="1:27" s="331" customFormat="1" ht="25" hidden="1" customHeight="1">
      <c r="A754" s="2555" t="s">
        <v>142</v>
      </c>
      <c r="B754" s="2549" t="s">
        <v>650</v>
      </c>
      <c r="C754" s="2550"/>
      <c r="D754" s="2551"/>
      <c r="E754" s="2397">
        <f>'10. Vol Kantor 6x6'!$O$245</f>
        <v>3.23</v>
      </c>
      <c r="F754" s="2398" t="s">
        <v>89</v>
      </c>
      <c r="G754" s="2389">
        <v>146860.75</v>
      </c>
      <c r="H754" s="2389">
        <f>E754*G754</f>
        <v>474360.22249999997</v>
      </c>
      <c r="I754" s="2480">
        <f>'Resume Analisa'!$D$86</f>
        <v>149703.27000000002</v>
      </c>
      <c r="J754" s="2480">
        <f>I754*E754</f>
        <v>483541.56210000004</v>
      </c>
      <c r="K754" s="2378" t="e">
        <f>IF(H754=0,"",IF(J754&lt;#REF!*H754,"Timpang &lt;"&amp;TEXT(#REF!,"0%"),IF(J754&gt;#REF!*H754,"Timpang &gt;"&amp;TEXT(#REF!,"0%"),"Wajar")))</f>
        <v>#REF!</v>
      </c>
      <c r="L754" s="2391">
        <v>149703.27000000002</v>
      </c>
      <c r="M754" s="2391">
        <f>E754*L754</f>
        <v>483541.56210000004</v>
      </c>
      <c r="N754" s="2375">
        <f t="shared" si="208"/>
        <v>2.1122127361891162E-4</v>
      </c>
      <c r="O754" s="2375">
        <v>0</v>
      </c>
      <c r="P754" s="2398" t="s">
        <v>89</v>
      </c>
      <c r="Q754" s="2375">
        <f t="shared" si="212"/>
        <v>0</v>
      </c>
      <c r="R754" s="2375">
        <f t="shared" si="216"/>
        <v>0</v>
      </c>
      <c r="S754" s="2375">
        <v>0</v>
      </c>
      <c r="T754" s="2398"/>
      <c r="U754" s="2375">
        <f t="shared" si="209"/>
        <v>0</v>
      </c>
      <c r="V754" s="2375"/>
      <c r="W754" s="2382">
        <f t="shared" si="210"/>
        <v>3.23</v>
      </c>
      <c r="X754" s="2398" t="s">
        <v>89</v>
      </c>
      <c r="Y754" s="2375">
        <f t="shared" si="211"/>
        <v>149703.27000000002</v>
      </c>
      <c r="Z754" s="2375"/>
      <c r="AA754" s="2377" t="s">
        <v>3355</v>
      </c>
    </row>
    <row r="755" spans="1:27" s="331" customFormat="1" ht="25" hidden="1" customHeight="1">
      <c r="A755" s="2398"/>
      <c r="B755" s="2549"/>
      <c r="C755" s="2550"/>
      <c r="D755" s="2632" t="s">
        <v>376</v>
      </c>
      <c r="E755" s="2397"/>
      <c r="F755" s="2398"/>
      <c r="G755" s="2389"/>
      <c r="H755" s="2546">
        <f>SUM(H687:H754)</f>
        <v>124060038.54350002</v>
      </c>
      <c r="I755" s="2480"/>
      <c r="J755" s="2780">
        <f>SUM(J687:J754)</f>
        <v>121577627.47850001</v>
      </c>
      <c r="K755" s="2546"/>
      <c r="L755" s="2391"/>
      <c r="M755" s="2457">
        <f>SUM(M687:M754)</f>
        <v>121577627.47850001</v>
      </c>
      <c r="N755" s="2375">
        <f t="shared" si="208"/>
        <v>5.3107702279092991E-2</v>
      </c>
      <c r="O755" s="2375">
        <v>0</v>
      </c>
      <c r="P755" s="2398"/>
      <c r="Q755" s="2375">
        <f t="shared" si="212"/>
        <v>0</v>
      </c>
      <c r="R755" s="2375">
        <f t="shared" si="216"/>
        <v>0</v>
      </c>
      <c r="S755" s="2386">
        <v>0</v>
      </c>
      <c r="T755" s="2398"/>
      <c r="U755" s="2375">
        <f t="shared" si="209"/>
        <v>0</v>
      </c>
      <c r="V755" s="2375"/>
      <c r="W755" s="2382">
        <f t="shared" si="210"/>
        <v>0</v>
      </c>
      <c r="X755" s="2398"/>
      <c r="Y755" s="2375">
        <f t="shared" si="211"/>
        <v>0</v>
      </c>
      <c r="Z755" s="2375"/>
      <c r="AA755" s="2377" t="s">
        <v>3355</v>
      </c>
    </row>
    <row r="756" spans="1:27" s="331" customFormat="1" ht="25" hidden="1" customHeight="1">
      <c r="A756" s="2537" t="s">
        <v>651</v>
      </c>
      <c r="B756" s="2538" t="s">
        <v>652</v>
      </c>
      <c r="C756" s="2539"/>
      <c r="D756" s="2540"/>
      <c r="E756" s="2397"/>
      <c r="F756" s="2398"/>
      <c r="G756" s="2389"/>
      <c r="H756" s="2546"/>
      <c r="I756" s="2480"/>
      <c r="J756" s="2780"/>
      <c r="K756" s="2546"/>
      <c r="L756" s="2391"/>
      <c r="M756" s="2457"/>
      <c r="N756" s="2375">
        <f t="shared" si="208"/>
        <v>0</v>
      </c>
      <c r="O756" s="2375">
        <v>0</v>
      </c>
      <c r="P756" s="2398"/>
      <c r="Q756" s="2375">
        <f t="shared" si="212"/>
        <v>0</v>
      </c>
      <c r="R756" s="2375">
        <f t="shared" si="216"/>
        <v>0</v>
      </c>
      <c r="S756" s="2386">
        <v>0</v>
      </c>
      <c r="T756" s="2398"/>
      <c r="U756" s="2375">
        <f t="shared" si="209"/>
        <v>0</v>
      </c>
      <c r="V756" s="2375"/>
      <c r="W756" s="2382">
        <f t="shared" si="210"/>
        <v>0</v>
      </c>
      <c r="X756" s="2398"/>
      <c r="Y756" s="2375">
        <f t="shared" si="211"/>
        <v>0</v>
      </c>
      <c r="Z756" s="2375"/>
      <c r="AA756" s="2377" t="s">
        <v>3355</v>
      </c>
    </row>
    <row r="757" spans="1:27" s="331" customFormat="1" ht="25" hidden="1" customHeight="1">
      <c r="A757" s="2398">
        <v>1</v>
      </c>
      <c r="B757" s="2549" t="s">
        <v>629</v>
      </c>
      <c r="C757" s="2550"/>
      <c r="D757" s="2551"/>
      <c r="E757" s="2397">
        <f>'10. Vol Kantor 6x6'!$O$261</f>
        <v>61.65</v>
      </c>
      <c r="F757" s="2398" t="s">
        <v>89</v>
      </c>
      <c r="G757" s="2389">
        <v>166165.41</v>
      </c>
      <c r="H757" s="2389">
        <f>E757*G757</f>
        <v>10244097.5265</v>
      </c>
      <c r="I757" s="2480">
        <f>'Resume Analisa'!$D$69</f>
        <v>161086.38</v>
      </c>
      <c r="J757" s="2480">
        <f>I757*E757</f>
        <v>9930975.3269999996</v>
      </c>
      <c r="K757" s="2378" t="e">
        <f>IF(H757=0,"",IF(J757&lt;#REF!*H757,"Timpang &lt;"&amp;TEXT(#REF!,"0%"),IF(J757&gt;#REF!*H757,"Timpang &gt;"&amp;TEXT(#REF!,"0%"),"Wajar")))</f>
        <v>#REF!</v>
      </c>
      <c r="L757" s="2391">
        <v>161086.38</v>
      </c>
      <c r="M757" s="2391">
        <f>E757*L757</f>
        <v>9930975.3269999996</v>
      </c>
      <c r="N757" s="2375">
        <f t="shared" si="208"/>
        <v>4.3380619604589873E-3</v>
      </c>
      <c r="O757" s="2375">
        <v>0</v>
      </c>
      <c r="P757" s="2398" t="s">
        <v>89</v>
      </c>
      <c r="Q757" s="2375">
        <f t="shared" si="212"/>
        <v>0</v>
      </c>
      <c r="R757" s="2375">
        <f t="shared" si="216"/>
        <v>0</v>
      </c>
      <c r="S757" s="2375">
        <v>0</v>
      </c>
      <c r="T757" s="2398"/>
      <c r="U757" s="2375">
        <f t="shared" si="209"/>
        <v>0</v>
      </c>
      <c r="V757" s="2375"/>
      <c r="W757" s="2382">
        <f t="shared" si="210"/>
        <v>61.65</v>
      </c>
      <c r="X757" s="2398" t="s">
        <v>89</v>
      </c>
      <c r="Y757" s="2375">
        <f t="shared" si="211"/>
        <v>161086.38</v>
      </c>
      <c r="Z757" s="2375"/>
      <c r="AA757" s="2377" t="s">
        <v>3355</v>
      </c>
    </row>
    <row r="758" spans="1:27" s="331" customFormat="1" ht="25" hidden="1" customHeight="1">
      <c r="A758" s="2398">
        <f>A757+1</f>
        <v>2</v>
      </c>
      <c r="B758" s="2549" t="s">
        <v>630</v>
      </c>
      <c r="C758" s="2550"/>
      <c r="D758" s="2551"/>
      <c r="E758" s="2397">
        <f>'10. Vol Kantor 6x6'!$O$263</f>
        <v>123.3</v>
      </c>
      <c r="F758" s="2398" t="s">
        <v>89</v>
      </c>
      <c r="G758" s="2389">
        <v>61230.840000000004</v>
      </c>
      <c r="H758" s="2389">
        <f>E758*G758</f>
        <v>7549762.5720000006</v>
      </c>
      <c r="I758" s="2480">
        <f>'Resume Analisa'!$D$70</f>
        <v>58648.57</v>
      </c>
      <c r="J758" s="2480">
        <f>I758*E758</f>
        <v>7231368.6809999999</v>
      </c>
      <c r="K758" s="2378" t="e">
        <f>IF(H758=0,"",IF(J758&lt;#REF!*H758,"Timpang &lt;"&amp;TEXT(#REF!,"0%"),IF(J758&gt;#REF!*H758,"Timpang &gt;"&amp;TEXT(#REF!,"0%"),"Wajar")))</f>
        <v>#REF!</v>
      </c>
      <c r="L758" s="2391">
        <v>58648.57</v>
      </c>
      <c r="M758" s="2391">
        <f>E758*L758</f>
        <v>7231368.6809999999</v>
      </c>
      <c r="N758" s="2375">
        <f t="shared" si="208"/>
        <v>3.1588161649956517E-3</v>
      </c>
      <c r="O758" s="2375">
        <v>0</v>
      </c>
      <c r="P758" s="2398" t="s">
        <v>89</v>
      </c>
      <c r="Q758" s="2375">
        <f t="shared" si="212"/>
        <v>0</v>
      </c>
      <c r="R758" s="2375">
        <f t="shared" si="216"/>
        <v>0</v>
      </c>
      <c r="S758" s="2375">
        <v>0</v>
      </c>
      <c r="T758" s="2398"/>
      <c r="U758" s="2375">
        <f t="shared" si="209"/>
        <v>0</v>
      </c>
      <c r="V758" s="2375"/>
      <c r="W758" s="2382">
        <f t="shared" si="210"/>
        <v>123.3</v>
      </c>
      <c r="X758" s="2398" t="s">
        <v>89</v>
      </c>
      <c r="Y758" s="2375">
        <f t="shared" si="211"/>
        <v>58648.57</v>
      </c>
      <c r="Z758" s="2375"/>
      <c r="AA758" s="2377" t="s">
        <v>3355</v>
      </c>
    </row>
    <row r="759" spans="1:27" s="331" customFormat="1" ht="25" hidden="1" customHeight="1">
      <c r="A759" s="2398">
        <f>A758+1</f>
        <v>3</v>
      </c>
      <c r="B759" s="2549" t="s">
        <v>631</v>
      </c>
      <c r="C759" s="2550"/>
      <c r="D759" s="2551"/>
      <c r="E759" s="2397">
        <f>'10. Vol Kantor 6x6'!$O$269</f>
        <v>107.57</v>
      </c>
      <c r="F759" s="2398" t="s">
        <v>89</v>
      </c>
      <c r="G759" s="2389">
        <v>45612.170000000006</v>
      </c>
      <c r="H759" s="2389">
        <f>E759*G759</f>
        <v>4906501.1269000005</v>
      </c>
      <c r="I759" s="2480">
        <f>'Resume Analisa'!$D$72</f>
        <v>43813.91</v>
      </c>
      <c r="J759" s="2480">
        <f>I759*E759</f>
        <v>4713062.2987000002</v>
      </c>
      <c r="K759" s="2378" t="e">
        <f>IF(H759=0,"",IF(J759&lt;#REF!*H759,"Timpang &lt;"&amp;TEXT(#REF!,"0%"),IF(J759&gt;#REF!*H759,"Timpang &gt;"&amp;TEXT(#REF!,"0%"),"Wajar")))</f>
        <v>#REF!</v>
      </c>
      <c r="L759" s="2391">
        <v>43813.91</v>
      </c>
      <c r="M759" s="2391">
        <f>E759*L759</f>
        <v>4713062.2987000002</v>
      </c>
      <c r="N759" s="2375">
        <f t="shared" si="208"/>
        <v>2.0587661938578357E-3</v>
      </c>
      <c r="O759" s="2375">
        <v>0</v>
      </c>
      <c r="P759" s="2398" t="s">
        <v>89</v>
      </c>
      <c r="Q759" s="2375">
        <f t="shared" si="212"/>
        <v>0</v>
      </c>
      <c r="R759" s="2375">
        <f t="shared" si="216"/>
        <v>0</v>
      </c>
      <c r="S759" s="2375">
        <v>0</v>
      </c>
      <c r="T759" s="2398"/>
      <c r="U759" s="2375">
        <f t="shared" si="209"/>
        <v>0</v>
      </c>
      <c r="V759" s="2375"/>
      <c r="W759" s="2382">
        <f t="shared" si="210"/>
        <v>107.57</v>
      </c>
      <c r="X759" s="2398" t="s">
        <v>89</v>
      </c>
      <c r="Y759" s="2375">
        <f t="shared" si="211"/>
        <v>43813.91</v>
      </c>
      <c r="Z759" s="2375"/>
      <c r="AA759" s="2377" t="s">
        <v>3355</v>
      </c>
    </row>
    <row r="760" spans="1:27" s="331" customFormat="1" ht="25" hidden="1" customHeight="1">
      <c r="A760" s="2398">
        <f>A759+1</f>
        <v>4</v>
      </c>
      <c r="B760" s="2549" t="s">
        <v>653</v>
      </c>
      <c r="C760" s="2550"/>
      <c r="D760" s="2551"/>
      <c r="E760" s="2397"/>
      <c r="F760" s="2398"/>
      <c r="G760" s="2389"/>
      <c r="H760" s="2389"/>
      <c r="I760" s="2480"/>
      <c r="J760" s="2480"/>
      <c r="K760" s="2389"/>
      <c r="L760" s="2391"/>
      <c r="M760" s="2391"/>
      <c r="N760" s="2375">
        <f t="shared" si="208"/>
        <v>0</v>
      </c>
      <c r="O760" s="2375">
        <v>0</v>
      </c>
      <c r="P760" s="2398"/>
      <c r="Q760" s="2375">
        <f t="shared" si="212"/>
        <v>0</v>
      </c>
      <c r="R760" s="2375">
        <f t="shared" si="216"/>
        <v>0</v>
      </c>
      <c r="S760" s="2375">
        <v>0</v>
      </c>
      <c r="T760" s="2398"/>
      <c r="U760" s="2375">
        <f t="shared" si="209"/>
        <v>0</v>
      </c>
      <c r="V760" s="2375"/>
      <c r="W760" s="2382">
        <f t="shared" si="210"/>
        <v>0</v>
      </c>
      <c r="X760" s="2398"/>
      <c r="Y760" s="2375">
        <f t="shared" si="211"/>
        <v>0</v>
      </c>
      <c r="Z760" s="2375"/>
      <c r="AA760" s="2377" t="s">
        <v>3355</v>
      </c>
    </row>
    <row r="761" spans="1:27" s="331" customFormat="1" ht="25" hidden="1" customHeight="1">
      <c r="A761" s="2555" t="s">
        <v>654</v>
      </c>
      <c r="B761" s="2549" t="s">
        <v>655</v>
      </c>
      <c r="C761" s="2550"/>
      <c r="D761" s="2551"/>
      <c r="E761" s="2397"/>
      <c r="F761" s="2398"/>
      <c r="G761" s="2389"/>
      <c r="H761" s="2389"/>
      <c r="I761" s="2480"/>
      <c r="J761" s="2480"/>
      <c r="K761" s="2389"/>
      <c r="L761" s="2391"/>
      <c r="M761" s="2391"/>
      <c r="N761" s="2375">
        <f t="shared" si="208"/>
        <v>0</v>
      </c>
      <c r="O761" s="2375">
        <v>0</v>
      </c>
      <c r="P761" s="2398"/>
      <c r="Q761" s="2375">
        <f t="shared" si="212"/>
        <v>0</v>
      </c>
      <c r="R761" s="2375">
        <f t="shared" si="216"/>
        <v>0</v>
      </c>
      <c r="S761" s="2375">
        <v>0</v>
      </c>
      <c r="T761" s="2398"/>
      <c r="U761" s="2375">
        <f t="shared" si="209"/>
        <v>0</v>
      </c>
      <c r="V761" s="2375"/>
      <c r="W761" s="2382">
        <f t="shared" si="210"/>
        <v>0</v>
      </c>
      <c r="X761" s="2398"/>
      <c r="Y761" s="2375">
        <f t="shared" si="211"/>
        <v>0</v>
      </c>
      <c r="Z761" s="2375"/>
      <c r="AA761" s="2377" t="s">
        <v>3355</v>
      </c>
    </row>
    <row r="762" spans="1:27" s="331" customFormat="1" ht="25" hidden="1" customHeight="1">
      <c r="A762" s="2555" t="s">
        <v>95</v>
      </c>
      <c r="B762" s="2549" t="s">
        <v>566</v>
      </c>
      <c r="C762" s="2550"/>
      <c r="D762" s="2551"/>
      <c r="E762" s="2397">
        <f>'10. Vol Kantor 6x6'!$O$272</f>
        <v>5.16</v>
      </c>
      <c r="F762" s="2398" t="s">
        <v>117</v>
      </c>
      <c r="G762" s="2389">
        <v>313139.25</v>
      </c>
      <c r="H762" s="2389">
        <f t="shared" ref="H762:H767" si="217">E762*G762</f>
        <v>1615798.53</v>
      </c>
      <c r="I762" s="2480">
        <f>'Resume Analisa'!$D$109</f>
        <v>325586.65000000002</v>
      </c>
      <c r="J762" s="2480">
        <f t="shared" ref="J762:J767" si="218">I762*E762</f>
        <v>1680027.1140000001</v>
      </c>
      <c r="K762" s="2378" t="e">
        <f>IF(H762=0,"",IF(J762&lt;#REF!*H762,"Timpang &lt;"&amp;TEXT(#REF!,"0%"),IF(J762&gt;#REF!*H762,"Timpang &gt;"&amp;TEXT(#REF!,"0%"),"Wajar")))</f>
        <v>#REF!</v>
      </c>
      <c r="L762" s="2391">
        <v>325586.65000000002</v>
      </c>
      <c r="M762" s="2391">
        <f t="shared" ref="M762:M767" si="219">E762*L762</f>
        <v>1680027.1140000001</v>
      </c>
      <c r="N762" s="2375">
        <f t="shared" si="208"/>
        <v>7.3387169696903368E-4</v>
      </c>
      <c r="O762" s="2375">
        <v>0</v>
      </c>
      <c r="P762" s="2398" t="s">
        <v>117</v>
      </c>
      <c r="Q762" s="2375">
        <f t="shared" si="212"/>
        <v>0</v>
      </c>
      <c r="R762" s="2375">
        <f t="shared" si="216"/>
        <v>0</v>
      </c>
      <c r="S762" s="2386">
        <v>0</v>
      </c>
      <c r="T762" s="2398"/>
      <c r="U762" s="2375">
        <f t="shared" si="209"/>
        <v>0</v>
      </c>
      <c r="V762" s="2375"/>
      <c r="W762" s="2382">
        <f t="shared" si="210"/>
        <v>5.16</v>
      </c>
      <c r="X762" s="2398" t="s">
        <v>117</v>
      </c>
      <c r="Y762" s="2375">
        <f t="shared" si="211"/>
        <v>325586.65000000002</v>
      </c>
      <c r="Z762" s="2375"/>
      <c r="AA762" s="2377" t="s">
        <v>3355</v>
      </c>
    </row>
    <row r="763" spans="1:27" s="331" customFormat="1" ht="25" hidden="1" customHeight="1">
      <c r="A763" s="2555" t="s">
        <v>98</v>
      </c>
      <c r="B763" s="2549" t="s">
        <v>656</v>
      </c>
      <c r="C763" s="2550"/>
      <c r="D763" s="2551"/>
      <c r="E763" s="2397">
        <f>'10. Vol Kantor 6x6'!$O$276</f>
        <v>2</v>
      </c>
      <c r="F763" s="2398" t="s">
        <v>89</v>
      </c>
      <c r="G763" s="2389">
        <v>967373.1</v>
      </c>
      <c r="H763" s="2389">
        <f t="shared" si="217"/>
        <v>1934746.2</v>
      </c>
      <c r="I763" s="2480">
        <f>'Resume Analisa'!$D$114</f>
        <v>946154.73</v>
      </c>
      <c r="J763" s="2480">
        <f t="shared" si="218"/>
        <v>1892309.46</v>
      </c>
      <c r="K763" s="2378" t="e">
        <f>IF(H763=0,"",IF(J763&lt;#REF!*H763,"Timpang &lt;"&amp;TEXT(#REF!,"0%"),IF(J763&gt;#REF!*H763,"Timpang &gt;"&amp;TEXT(#REF!,"0%"),"Wajar")))</f>
        <v>#REF!</v>
      </c>
      <c r="L763" s="2391">
        <v>946154.73</v>
      </c>
      <c r="M763" s="2391">
        <f t="shared" si="219"/>
        <v>1892309.46</v>
      </c>
      <c r="N763" s="2375">
        <f t="shared" si="208"/>
        <v>8.2660115603393517E-4</v>
      </c>
      <c r="O763" s="2375">
        <v>0</v>
      </c>
      <c r="P763" s="2398" t="s">
        <v>89</v>
      </c>
      <c r="Q763" s="2375">
        <f t="shared" si="212"/>
        <v>0</v>
      </c>
      <c r="R763" s="2375">
        <f t="shared" si="216"/>
        <v>0</v>
      </c>
      <c r="S763" s="2386">
        <v>0</v>
      </c>
      <c r="T763" s="2398"/>
      <c r="U763" s="2375">
        <f t="shared" si="209"/>
        <v>0</v>
      </c>
      <c r="V763" s="2375"/>
      <c r="W763" s="2382">
        <f t="shared" si="210"/>
        <v>2</v>
      </c>
      <c r="X763" s="2398" t="s">
        <v>89</v>
      </c>
      <c r="Y763" s="2375">
        <f t="shared" si="211"/>
        <v>946154.73</v>
      </c>
      <c r="Z763" s="2375"/>
      <c r="AA763" s="2377" t="s">
        <v>3355</v>
      </c>
    </row>
    <row r="764" spans="1:27" s="331" customFormat="1" ht="25" hidden="1" customHeight="1">
      <c r="A764" s="2555" t="s">
        <v>101</v>
      </c>
      <c r="B764" s="2549" t="s">
        <v>657</v>
      </c>
      <c r="C764" s="2550"/>
      <c r="D764" s="2551"/>
      <c r="E764" s="2397">
        <f>'10. Vol Kantor 6x6'!$O$277</f>
        <v>1.5</v>
      </c>
      <c r="F764" s="2398" t="s">
        <v>328</v>
      </c>
      <c r="G764" s="2389">
        <v>54941.25</v>
      </c>
      <c r="H764" s="2389">
        <f t="shared" si="217"/>
        <v>82411.875</v>
      </c>
      <c r="I764" s="2480">
        <f>'Resume Analisa'!$D$122</f>
        <v>55063.9</v>
      </c>
      <c r="J764" s="2480">
        <f t="shared" si="218"/>
        <v>82595.850000000006</v>
      </c>
      <c r="K764" s="2378" t="e">
        <f>IF(H764=0,"",IF(J764&lt;#REF!*H764,"Timpang &lt;"&amp;TEXT(#REF!,"0%"),IF(J764&gt;#REF!*H764,"Timpang &gt;"&amp;TEXT(#REF!,"0%"),"Wajar")))</f>
        <v>#REF!</v>
      </c>
      <c r="L764" s="2391">
        <v>55063.9</v>
      </c>
      <c r="M764" s="2391">
        <f t="shared" si="219"/>
        <v>82595.850000000006</v>
      </c>
      <c r="N764" s="2375">
        <f t="shared" si="208"/>
        <v>3.6079629963698175E-5</v>
      </c>
      <c r="O764" s="2375">
        <v>0</v>
      </c>
      <c r="P764" s="2398" t="s">
        <v>328</v>
      </c>
      <c r="Q764" s="2375">
        <f t="shared" si="212"/>
        <v>0</v>
      </c>
      <c r="R764" s="2375">
        <f t="shared" si="216"/>
        <v>0</v>
      </c>
      <c r="S764" s="2375">
        <v>0</v>
      </c>
      <c r="T764" s="2398"/>
      <c r="U764" s="2375">
        <f t="shared" si="209"/>
        <v>0</v>
      </c>
      <c r="V764" s="2375"/>
      <c r="W764" s="2382">
        <f t="shared" si="210"/>
        <v>1.5</v>
      </c>
      <c r="X764" s="2398" t="s">
        <v>328</v>
      </c>
      <c r="Y764" s="2375">
        <f t="shared" si="211"/>
        <v>55063.9</v>
      </c>
      <c r="Z764" s="2375"/>
      <c r="AA764" s="2377" t="s">
        <v>3355</v>
      </c>
    </row>
    <row r="765" spans="1:27" s="331" customFormat="1" ht="25" hidden="1" customHeight="1">
      <c r="A765" s="2555" t="s">
        <v>121</v>
      </c>
      <c r="B765" s="2549" t="s">
        <v>658</v>
      </c>
      <c r="C765" s="2550"/>
      <c r="D765" s="2551"/>
      <c r="E765" s="2397">
        <f>'10. Vol Kantor 6x6'!$O$278</f>
        <v>1</v>
      </c>
      <c r="F765" s="2398" t="s">
        <v>313</v>
      </c>
      <c r="G765" s="2389">
        <v>406180</v>
      </c>
      <c r="H765" s="2389">
        <f t="shared" si="217"/>
        <v>406180</v>
      </c>
      <c r="I765" s="2480">
        <f>'Resume Analisa'!$D$126</f>
        <v>414925.38</v>
      </c>
      <c r="J765" s="2480">
        <f t="shared" si="218"/>
        <v>414925.38</v>
      </c>
      <c r="K765" s="2378" t="e">
        <f>IF(H765=0,"",IF(J765&lt;#REF!*H765,"Timpang &lt;"&amp;TEXT(#REF!,"0%"),IF(J765&gt;#REF!*H765,"Timpang &gt;"&amp;TEXT(#REF!,"0%"),"Wajar")))</f>
        <v>#REF!</v>
      </c>
      <c r="L765" s="2391">
        <v>414925.38</v>
      </c>
      <c r="M765" s="2391">
        <f t="shared" si="219"/>
        <v>414925.38</v>
      </c>
      <c r="N765" s="2375">
        <f t="shared" ref="N765:N774" si="220">M765/$M$8</f>
        <v>1.8124826093498462E-4</v>
      </c>
      <c r="O765" s="2375">
        <v>0</v>
      </c>
      <c r="P765" s="2398" t="s">
        <v>313</v>
      </c>
      <c r="Q765" s="2375">
        <f t="shared" si="212"/>
        <v>0</v>
      </c>
      <c r="R765" s="2375">
        <f t="shared" si="216"/>
        <v>0</v>
      </c>
      <c r="S765" s="2375">
        <v>0</v>
      </c>
      <c r="T765" s="2398"/>
      <c r="U765" s="2375">
        <f t="shared" si="209"/>
        <v>0</v>
      </c>
      <c r="V765" s="2375"/>
      <c r="W765" s="2382">
        <f t="shared" si="210"/>
        <v>1</v>
      </c>
      <c r="X765" s="2398" t="s">
        <v>313</v>
      </c>
      <c r="Y765" s="2375">
        <f t="shared" si="211"/>
        <v>414925.38</v>
      </c>
      <c r="Z765" s="2375"/>
      <c r="AA765" s="2377" t="s">
        <v>3355</v>
      </c>
    </row>
    <row r="766" spans="1:27" s="331" customFormat="1" ht="25" hidden="1" customHeight="1">
      <c r="A766" s="2555" t="s">
        <v>142</v>
      </c>
      <c r="B766" s="2549" t="s">
        <v>659</v>
      </c>
      <c r="C766" s="2550"/>
      <c r="D766" s="2551"/>
      <c r="E766" s="2397">
        <f>'10. Vol Kantor 6x6'!$O$280</f>
        <v>1</v>
      </c>
      <c r="F766" s="2398" t="s">
        <v>313</v>
      </c>
      <c r="G766" s="2389">
        <v>900565</v>
      </c>
      <c r="H766" s="2389">
        <f t="shared" si="217"/>
        <v>900565</v>
      </c>
      <c r="I766" s="2480">
        <f>'Resume Analisa'!$D$128</f>
        <v>926866.77</v>
      </c>
      <c r="J766" s="2480">
        <f t="shared" si="218"/>
        <v>926866.77</v>
      </c>
      <c r="K766" s="2378" t="e">
        <f>IF(H766=0,"",IF(J766&lt;#REF!*H766,"Timpang &lt;"&amp;TEXT(#REF!,"0%"),IF(J766&gt;#REF!*H766,"Timpang &gt;"&amp;TEXT(#REF!,"0%"),"Wajar")))</f>
        <v>#REF!</v>
      </c>
      <c r="L766" s="2391">
        <v>926866.77</v>
      </c>
      <c r="M766" s="2391">
        <f t="shared" si="219"/>
        <v>926866.77</v>
      </c>
      <c r="N766" s="2375">
        <f t="shared" si="220"/>
        <v>4.0487518546329074E-4</v>
      </c>
      <c r="O766" s="2375">
        <v>0</v>
      </c>
      <c r="P766" s="2398" t="s">
        <v>313</v>
      </c>
      <c r="Q766" s="2375">
        <f t="shared" si="212"/>
        <v>0</v>
      </c>
      <c r="R766" s="2375">
        <f t="shared" si="216"/>
        <v>0</v>
      </c>
      <c r="S766" s="2375">
        <v>0</v>
      </c>
      <c r="T766" s="2398"/>
      <c r="U766" s="2375">
        <f t="shared" si="209"/>
        <v>0</v>
      </c>
      <c r="V766" s="2375"/>
      <c r="W766" s="2382">
        <f t="shared" si="210"/>
        <v>1</v>
      </c>
      <c r="X766" s="2398" t="s">
        <v>313</v>
      </c>
      <c r="Y766" s="2375">
        <f t="shared" si="211"/>
        <v>926866.77</v>
      </c>
      <c r="Z766" s="2375"/>
      <c r="AA766" s="2377" t="s">
        <v>3355</v>
      </c>
    </row>
    <row r="767" spans="1:27" s="331" customFormat="1" ht="71.5" hidden="1" customHeight="1">
      <c r="A767" s="2555" t="s">
        <v>660</v>
      </c>
      <c r="B767" s="3193" t="s">
        <v>564</v>
      </c>
      <c r="C767" s="3194"/>
      <c r="D767" s="3195"/>
      <c r="E767" s="2397">
        <f>'10. Vol Kantor 6x6'!$O$291</f>
        <v>2</v>
      </c>
      <c r="F767" s="2398" t="s">
        <v>360</v>
      </c>
      <c r="G767" s="2389">
        <v>1858497.98</v>
      </c>
      <c r="H767" s="2389">
        <f t="shared" si="217"/>
        <v>3716995.96</v>
      </c>
      <c r="I767" s="2480">
        <f>'Resume Analisa'!$D$116</f>
        <v>1877988.81</v>
      </c>
      <c r="J767" s="2480">
        <f t="shared" si="218"/>
        <v>3755977.62</v>
      </c>
      <c r="K767" s="2378" t="e">
        <f>IF(H767=0,"",IF(J767&lt;#REF!*H767,"Timpang &lt;"&amp;TEXT(#REF!,"0%"),IF(J767&gt;#REF!*H767,"Timpang &gt;"&amp;TEXT(#REF!,"0%"),"Wajar")))</f>
        <v>#REF!</v>
      </c>
      <c r="L767" s="2391">
        <v>1877988.81</v>
      </c>
      <c r="M767" s="2391">
        <f t="shared" si="219"/>
        <v>3755977.62</v>
      </c>
      <c r="N767" s="2375">
        <f t="shared" si="220"/>
        <v>1.6406911809919232E-3</v>
      </c>
      <c r="O767" s="2375">
        <v>0</v>
      </c>
      <c r="P767" s="2398" t="s">
        <v>360</v>
      </c>
      <c r="Q767" s="2375">
        <f t="shared" si="212"/>
        <v>0</v>
      </c>
      <c r="R767" s="2375">
        <f t="shared" si="216"/>
        <v>0</v>
      </c>
      <c r="S767" s="2375">
        <v>0</v>
      </c>
      <c r="T767" s="2398"/>
      <c r="U767" s="2375">
        <f t="shared" si="209"/>
        <v>0</v>
      </c>
      <c r="V767" s="2375"/>
      <c r="W767" s="2382">
        <f t="shared" si="210"/>
        <v>2</v>
      </c>
      <c r="X767" s="2398" t="s">
        <v>360</v>
      </c>
      <c r="Y767" s="2375">
        <f t="shared" si="211"/>
        <v>1877988.81</v>
      </c>
      <c r="Z767" s="2375"/>
      <c r="AA767" s="2377" t="s">
        <v>3355</v>
      </c>
    </row>
    <row r="768" spans="1:27" s="331" customFormat="1" ht="25" hidden="1" customHeight="1">
      <c r="A768" s="2555" t="s">
        <v>661</v>
      </c>
      <c r="B768" s="2549" t="s">
        <v>662</v>
      </c>
      <c r="C768" s="2550"/>
      <c r="D768" s="2551"/>
      <c r="E768" s="2397"/>
      <c r="F768" s="2398"/>
      <c r="G768" s="2389"/>
      <c r="H768" s="2389"/>
      <c r="I768" s="2480"/>
      <c r="J768" s="2480"/>
      <c r="K768" s="2389"/>
      <c r="L768" s="2391"/>
      <c r="M768" s="2391"/>
      <c r="N768" s="2375">
        <f t="shared" si="220"/>
        <v>0</v>
      </c>
      <c r="O768" s="2375">
        <v>0</v>
      </c>
      <c r="P768" s="2398"/>
      <c r="Q768" s="2375">
        <f t="shared" si="212"/>
        <v>0</v>
      </c>
      <c r="R768" s="2375">
        <f t="shared" si="216"/>
        <v>0</v>
      </c>
      <c r="S768" s="2375">
        <v>0</v>
      </c>
      <c r="T768" s="2398"/>
      <c r="U768" s="2375">
        <f t="shared" si="209"/>
        <v>0</v>
      </c>
      <c r="V768" s="2375"/>
      <c r="W768" s="2382">
        <f t="shared" si="210"/>
        <v>0</v>
      </c>
      <c r="X768" s="2398"/>
      <c r="Y768" s="2375">
        <f t="shared" si="211"/>
        <v>0</v>
      </c>
      <c r="Z768" s="2375"/>
      <c r="AA768" s="2377" t="s">
        <v>3355</v>
      </c>
    </row>
    <row r="769" spans="1:27" s="331" customFormat="1" ht="25" hidden="1" customHeight="1">
      <c r="A769" s="2555" t="s">
        <v>95</v>
      </c>
      <c r="B769" s="2549" t="s">
        <v>566</v>
      </c>
      <c r="C769" s="2550"/>
      <c r="D769" s="2551"/>
      <c r="E769" s="2397">
        <f>'10. Vol Kantor 6x6'!$O$293</f>
        <v>16.239999999999998</v>
      </c>
      <c r="F769" s="2398" t="s">
        <v>117</v>
      </c>
      <c r="G769" s="2389">
        <v>313139.25</v>
      </c>
      <c r="H769" s="2389">
        <f t="shared" ref="H769:H774" si="221">E769*G769</f>
        <v>5085381.42</v>
      </c>
      <c r="I769" s="2480">
        <f>'Resume Analisa'!$D$109</f>
        <v>325586.65000000002</v>
      </c>
      <c r="J769" s="2480">
        <f t="shared" ref="J769:J774" si="222">I769*E769</f>
        <v>5287527.1959999995</v>
      </c>
      <c r="K769" s="2378" t="e">
        <f>IF(H769=0,"",IF(J769&lt;#REF!*H769,"Timpang &lt;"&amp;TEXT(#REF!,"0%"),IF(J769&gt;#REF!*H769,"Timpang &gt;"&amp;TEXT(#REF!,"0%"),"Wajar")))</f>
        <v>#REF!</v>
      </c>
      <c r="L769" s="2391">
        <v>325586.65000000002</v>
      </c>
      <c r="M769" s="2391">
        <f t="shared" ref="M769:M774" si="223">E769*L769</f>
        <v>5287527.1959999995</v>
      </c>
      <c r="N769" s="2375">
        <f t="shared" si="220"/>
        <v>2.3097047206932378E-3</v>
      </c>
      <c r="O769" s="2375">
        <v>0</v>
      </c>
      <c r="P769" s="2398" t="s">
        <v>117</v>
      </c>
      <c r="Q769" s="2375">
        <f t="shared" si="212"/>
        <v>0</v>
      </c>
      <c r="R769" s="2375">
        <f t="shared" si="216"/>
        <v>0</v>
      </c>
      <c r="S769" s="2386">
        <v>0</v>
      </c>
      <c r="T769" s="2398"/>
      <c r="U769" s="2375">
        <f t="shared" si="209"/>
        <v>0</v>
      </c>
      <c r="V769" s="2375"/>
      <c r="W769" s="2382">
        <f t="shared" si="210"/>
        <v>16.239999999999998</v>
      </c>
      <c r="X769" s="2398" t="s">
        <v>117</v>
      </c>
      <c r="Y769" s="2375">
        <f t="shared" si="211"/>
        <v>325586.65000000002</v>
      </c>
      <c r="Z769" s="2375"/>
      <c r="AA769" s="2377" t="s">
        <v>3355</v>
      </c>
    </row>
    <row r="770" spans="1:27" s="331" customFormat="1" ht="25" hidden="1" customHeight="1">
      <c r="A770" s="2555" t="s">
        <v>98</v>
      </c>
      <c r="B770" s="2549" t="s">
        <v>663</v>
      </c>
      <c r="C770" s="2550"/>
      <c r="D770" s="2551"/>
      <c r="E770" s="2397">
        <f>'10. Vol Kantor 6x6'!$O$296</f>
        <v>4.1500000000000004</v>
      </c>
      <c r="F770" s="2398" t="s">
        <v>89</v>
      </c>
      <c r="G770" s="2389">
        <v>666481.35</v>
      </c>
      <c r="H770" s="2389">
        <f t="shared" si="221"/>
        <v>2765897.6025</v>
      </c>
      <c r="I770" s="2480">
        <f>'Resume Analisa'!$D$112</f>
        <v>630754.51</v>
      </c>
      <c r="J770" s="2480">
        <f t="shared" si="222"/>
        <v>2617631.2165000001</v>
      </c>
      <c r="K770" s="2378" t="e">
        <f>IF(H770=0,"",IF(J770&lt;#REF!*H770,"Timpang &lt;"&amp;TEXT(#REF!,"0%"),IF(J770&gt;#REF!*H770,"Timpang &gt;"&amp;TEXT(#REF!,"0%"),"Wajar")))</f>
        <v>#REF!</v>
      </c>
      <c r="L770" s="2391">
        <v>630754.51</v>
      </c>
      <c r="M770" s="2391">
        <f t="shared" si="223"/>
        <v>2617631.2165000001</v>
      </c>
      <c r="N770" s="2375">
        <f t="shared" si="220"/>
        <v>1.1434371784144735E-3</v>
      </c>
      <c r="O770" s="2375">
        <v>0</v>
      </c>
      <c r="P770" s="2398" t="s">
        <v>89</v>
      </c>
      <c r="Q770" s="2375">
        <f t="shared" si="212"/>
        <v>0</v>
      </c>
      <c r="R770" s="2375">
        <f t="shared" si="216"/>
        <v>0</v>
      </c>
      <c r="S770" s="2386">
        <v>0</v>
      </c>
      <c r="T770" s="2398"/>
      <c r="U770" s="2375">
        <f t="shared" si="209"/>
        <v>0</v>
      </c>
      <c r="V770" s="2375"/>
      <c r="W770" s="2382">
        <f t="shared" si="210"/>
        <v>4.1500000000000004</v>
      </c>
      <c r="X770" s="2398" t="s">
        <v>89</v>
      </c>
      <c r="Y770" s="2375">
        <f t="shared" si="211"/>
        <v>630754.51</v>
      </c>
      <c r="Z770" s="2375"/>
      <c r="AA770" s="2377" t="s">
        <v>3355</v>
      </c>
    </row>
    <row r="771" spans="1:27" s="331" customFormat="1" ht="25" hidden="1" customHeight="1">
      <c r="A771" s="2555" t="s">
        <v>101</v>
      </c>
      <c r="B771" s="2549" t="s">
        <v>664</v>
      </c>
      <c r="C771" s="2550"/>
      <c r="D771" s="2551"/>
      <c r="E771" s="2397">
        <f>'10. Vol Kantor 6x6'!$O$297</f>
        <v>2.75</v>
      </c>
      <c r="F771" s="2398" t="s">
        <v>89</v>
      </c>
      <c r="G771" s="2389">
        <v>437244.38</v>
      </c>
      <c r="H771" s="2389">
        <f t="shared" si="221"/>
        <v>1202422.0449999999</v>
      </c>
      <c r="I771" s="2480">
        <f>'Resume Analisa'!$D$118</f>
        <v>426579.55</v>
      </c>
      <c r="J771" s="2480">
        <f t="shared" si="222"/>
        <v>1173093.7625</v>
      </c>
      <c r="K771" s="2378" t="e">
        <f>IF(H771=0,"",IF(J771&lt;#REF!*H771,"Timpang &lt;"&amp;TEXT(#REF!,"0%"),IF(J771&gt;#REF!*H771,"Timpang &gt;"&amp;TEXT(#REF!,"0%"),"Wajar")))</f>
        <v>#REF!</v>
      </c>
      <c r="L771" s="2391">
        <v>426579.55</v>
      </c>
      <c r="M771" s="2391">
        <f t="shared" si="223"/>
        <v>1173093.7625</v>
      </c>
      <c r="N771" s="2375">
        <f t="shared" si="220"/>
        <v>5.1243239053442061E-4</v>
      </c>
      <c r="O771" s="2375">
        <v>0</v>
      </c>
      <c r="P771" s="2398" t="s">
        <v>89</v>
      </c>
      <c r="Q771" s="2375">
        <f t="shared" si="212"/>
        <v>0</v>
      </c>
      <c r="R771" s="2375">
        <f t="shared" si="216"/>
        <v>0</v>
      </c>
      <c r="S771" s="2375">
        <v>0</v>
      </c>
      <c r="T771" s="2398"/>
      <c r="U771" s="2375">
        <f t="shared" si="209"/>
        <v>0</v>
      </c>
      <c r="V771" s="2375"/>
      <c r="W771" s="2382">
        <f t="shared" si="210"/>
        <v>2.75</v>
      </c>
      <c r="X771" s="2398" t="s">
        <v>89</v>
      </c>
      <c r="Y771" s="2375">
        <f t="shared" si="211"/>
        <v>426579.55</v>
      </c>
      <c r="Z771" s="2375"/>
      <c r="AA771" s="2377" t="s">
        <v>3355</v>
      </c>
    </row>
    <row r="772" spans="1:27" s="331" customFormat="1" ht="25" hidden="1" customHeight="1">
      <c r="A772" s="2555" t="s">
        <v>121</v>
      </c>
      <c r="B772" s="2549" t="s">
        <v>665</v>
      </c>
      <c r="C772" s="2550"/>
      <c r="D772" s="2551"/>
      <c r="E772" s="2397">
        <f>'10. Vol Kantor 6x6'!$O$298</f>
        <v>4</v>
      </c>
      <c r="F772" s="2398" t="s">
        <v>328</v>
      </c>
      <c r="G772" s="2389">
        <v>88728.25</v>
      </c>
      <c r="H772" s="2389">
        <f t="shared" si="221"/>
        <v>354913</v>
      </c>
      <c r="I772" s="2480">
        <f>'Resume Analisa'!$D$123</f>
        <v>84801.06</v>
      </c>
      <c r="J772" s="2480">
        <f t="shared" si="222"/>
        <v>339204.24</v>
      </c>
      <c r="K772" s="2378" t="e">
        <f>IF(H772=0,"",IF(J772&lt;#REF!*H772,"Timpang &lt;"&amp;TEXT(#REF!,"0%"),IF(J772&gt;#REF!*H772,"Timpang &gt;"&amp;TEXT(#REF!,"0%"),"Wajar")))</f>
        <v>#REF!</v>
      </c>
      <c r="L772" s="2391">
        <v>84801.06</v>
      </c>
      <c r="M772" s="2391">
        <f t="shared" si="223"/>
        <v>339204.24</v>
      </c>
      <c r="N772" s="2375">
        <f t="shared" si="220"/>
        <v>1.4817165101294394E-4</v>
      </c>
      <c r="O772" s="2375">
        <v>0</v>
      </c>
      <c r="P772" s="2398" t="s">
        <v>328</v>
      </c>
      <c r="Q772" s="2375">
        <f t="shared" si="212"/>
        <v>0</v>
      </c>
      <c r="R772" s="2375">
        <f t="shared" si="216"/>
        <v>0</v>
      </c>
      <c r="S772" s="2375">
        <v>0</v>
      </c>
      <c r="T772" s="2398"/>
      <c r="U772" s="2375">
        <f t="shared" si="209"/>
        <v>0</v>
      </c>
      <c r="V772" s="2375"/>
      <c r="W772" s="2382">
        <f t="shared" si="210"/>
        <v>4</v>
      </c>
      <c r="X772" s="2398" t="s">
        <v>328</v>
      </c>
      <c r="Y772" s="2375">
        <f t="shared" si="211"/>
        <v>84801.06</v>
      </c>
      <c r="Z772" s="2375"/>
      <c r="AA772" s="2377" t="s">
        <v>3355</v>
      </c>
    </row>
    <row r="773" spans="1:27" s="331" customFormat="1" ht="25" hidden="1" customHeight="1">
      <c r="A773" s="2555" t="s">
        <v>142</v>
      </c>
      <c r="B773" s="2549" t="s">
        <v>666</v>
      </c>
      <c r="C773" s="2550"/>
      <c r="D773" s="2551"/>
      <c r="E773" s="2397">
        <f>'10. Vol Kantor 6x6'!$O$299</f>
        <v>4</v>
      </c>
      <c r="F773" s="2398" t="s">
        <v>328</v>
      </c>
      <c r="G773" s="2389">
        <v>340837</v>
      </c>
      <c r="H773" s="2389">
        <f t="shared" si="221"/>
        <v>1363348</v>
      </c>
      <c r="I773" s="2480">
        <f>'Resume Analisa'!$D$124</f>
        <v>355484.41000000003</v>
      </c>
      <c r="J773" s="2480">
        <f t="shared" si="222"/>
        <v>1421937.6400000001</v>
      </c>
      <c r="K773" s="2378" t="e">
        <f>IF(H773=0,"",IF(J773&lt;#REF!*H773,"Timpang &lt;"&amp;TEXT(#REF!,"0%"),IF(J773&gt;#REF!*H773,"Timpang &gt;"&amp;TEXT(#REF!,"0%"),"Wajar")))</f>
        <v>#REF!</v>
      </c>
      <c r="L773" s="2391">
        <v>355484.41000000003</v>
      </c>
      <c r="M773" s="2391">
        <f t="shared" si="223"/>
        <v>1421937.6400000001</v>
      </c>
      <c r="N773" s="2375">
        <f t="shared" si="220"/>
        <v>6.2113270682067278E-4</v>
      </c>
      <c r="O773" s="2375">
        <v>0</v>
      </c>
      <c r="P773" s="2398" t="s">
        <v>328</v>
      </c>
      <c r="Q773" s="2375">
        <f t="shared" si="212"/>
        <v>0</v>
      </c>
      <c r="R773" s="2375">
        <f t="shared" si="216"/>
        <v>0</v>
      </c>
      <c r="S773" s="2375">
        <v>0</v>
      </c>
      <c r="T773" s="2398"/>
      <c r="U773" s="2375">
        <f t="shared" si="209"/>
        <v>0</v>
      </c>
      <c r="V773" s="2375"/>
      <c r="W773" s="2382">
        <f t="shared" si="210"/>
        <v>4</v>
      </c>
      <c r="X773" s="2398" t="s">
        <v>328</v>
      </c>
      <c r="Y773" s="2375">
        <f t="shared" si="211"/>
        <v>355484.41000000003</v>
      </c>
      <c r="Z773" s="2375"/>
      <c r="AA773" s="2377" t="s">
        <v>3355</v>
      </c>
    </row>
    <row r="774" spans="1:27" s="331" customFormat="1" ht="25" hidden="1" customHeight="1">
      <c r="A774" s="2555" t="s">
        <v>217</v>
      </c>
      <c r="B774" s="2549" t="s">
        <v>667</v>
      </c>
      <c r="C774" s="2550"/>
      <c r="D774" s="2551"/>
      <c r="E774" s="2397">
        <f>'10. Vol Kantor 6x6'!$O$300</f>
        <v>2</v>
      </c>
      <c r="F774" s="2398" t="s">
        <v>124</v>
      </c>
      <c r="G774" s="2389">
        <v>54050</v>
      </c>
      <c r="H774" s="2389">
        <f t="shared" si="221"/>
        <v>108100</v>
      </c>
      <c r="I774" s="2480">
        <f>'Resume Analisa'!$D$125</f>
        <v>52113.3</v>
      </c>
      <c r="J774" s="2480">
        <f t="shared" si="222"/>
        <v>104226.6</v>
      </c>
      <c r="K774" s="2378" t="e">
        <f>IF(H774=0,"",IF(J774&lt;#REF!*H774,"Timpang &lt;"&amp;TEXT(#REF!,"0%"),IF(J774&gt;#REF!*H774,"Timpang &gt;"&amp;TEXT(#REF!,"0%"),"Wajar")))</f>
        <v>#REF!</v>
      </c>
      <c r="L774" s="2391">
        <v>52113.3</v>
      </c>
      <c r="M774" s="2391">
        <f t="shared" si="223"/>
        <v>104226.6</v>
      </c>
      <c r="N774" s="2375">
        <f t="shared" si="220"/>
        <v>4.5528403187017073E-5</v>
      </c>
      <c r="O774" s="2375">
        <v>0</v>
      </c>
      <c r="P774" s="2398" t="s">
        <v>124</v>
      </c>
      <c r="Q774" s="2375">
        <f t="shared" si="212"/>
        <v>0</v>
      </c>
      <c r="R774" s="2375">
        <f t="shared" si="216"/>
        <v>0</v>
      </c>
      <c r="S774" s="2375">
        <v>0</v>
      </c>
      <c r="T774" s="2398"/>
      <c r="U774" s="2375">
        <f t="shared" si="209"/>
        <v>0</v>
      </c>
      <c r="V774" s="2375"/>
      <c r="W774" s="2382">
        <f t="shared" si="210"/>
        <v>2</v>
      </c>
      <c r="X774" s="2398" t="s">
        <v>124</v>
      </c>
      <c r="Y774" s="2375">
        <f t="shared" si="211"/>
        <v>52113.3</v>
      </c>
      <c r="Z774" s="2375"/>
      <c r="AA774" s="2377" t="s">
        <v>3355</v>
      </c>
    </row>
    <row r="775" spans="1:27" s="331" customFormat="1" ht="25" hidden="1" customHeight="1">
      <c r="A775" s="2555" t="s">
        <v>668</v>
      </c>
      <c r="B775" s="2549" t="s">
        <v>669</v>
      </c>
      <c r="C775" s="2550"/>
      <c r="D775" s="2551"/>
      <c r="E775" s="2397"/>
      <c r="F775" s="2398"/>
      <c r="G775" s="2389"/>
      <c r="H775" s="2389"/>
      <c r="I775" s="2480"/>
      <c r="J775" s="2480"/>
      <c r="K775" s="2389"/>
      <c r="L775" s="2391"/>
      <c r="M775" s="2391"/>
      <c r="N775" s="2375"/>
      <c r="O775" s="2375"/>
      <c r="P775" s="2398"/>
      <c r="Q775" s="2375"/>
      <c r="R775" s="2375"/>
      <c r="S775" s="2375"/>
      <c r="T775" s="2398"/>
      <c r="U775" s="2375"/>
      <c r="V775" s="2375"/>
      <c r="W775" s="2382"/>
      <c r="X775" s="2398"/>
      <c r="Y775" s="2375"/>
      <c r="Z775" s="2375"/>
      <c r="AA775" s="2377"/>
    </row>
    <row r="776" spans="1:27" s="331" customFormat="1" ht="25" hidden="1" customHeight="1">
      <c r="A776" s="2555" t="s">
        <v>95</v>
      </c>
      <c r="B776" s="2549" t="s">
        <v>566</v>
      </c>
      <c r="C776" s="2550"/>
      <c r="D776" s="2551"/>
      <c r="E776" s="2397">
        <f>'10. Vol Kantor 6x6'!$O$302</f>
        <v>48.12</v>
      </c>
      <c r="F776" s="2398" t="s">
        <v>117</v>
      </c>
      <c r="G776" s="2389">
        <v>313139.25</v>
      </c>
      <c r="H776" s="2389">
        <f t="shared" ref="H776:H781" si="224">E776*G776</f>
        <v>15068260.709999999</v>
      </c>
      <c r="I776" s="2480">
        <f>'Resume Analisa'!$D$109</f>
        <v>325586.65000000002</v>
      </c>
      <c r="J776" s="2480">
        <f t="shared" ref="J776:J781" si="225">I776*E776</f>
        <v>15667229.598000001</v>
      </c>
      <c r="K776" s="2378" t="e">
        <f>IF(H776=0,"",IF(J776&lt;#REF!*H776,"Timpang &lt;"&amp;TEXT(#REF!,"0%"),IF(J776&gt;#REF!*H776,"Timpang &gt;"&amp;TEXT(#REF!,"0%"),"Wajar")))</f>
        <v>#REF!</v>
      </c>
      <c r="L776" s="2391">
        <v>325586.65000000002</v>
      </c>
      <c r="M776" s="2391">
        <f t="shared" ref="M776:M781" si="226">E776*L776</f>
        <v>15667229.598000001</v>
      </c>
      <c r="N776" s="2375">
        <f t="shared" ref="N776:N781" si="227">M776/$M$8</f>
        <v>6.8437802438275006E-3</v>
      </c>
      <c r="O776" s="2375">
        <v>0</v>
      </c>
      <c r="P776" s="2398" t="s">
        <v>117</v>
      </c>
      <c r="Q776" s="2375">
        <f t="shared" si="212"/>
        <v>0</v>
      </c>
      <c r="R776" s="2375">
        <f t="shared" ref="R776:R781" si="228">Q776/$M$8*100</f>
        <v>0</v>
      </c>
      <c r="S776" s="2386">
        <v>0</v>
      </c>
      <c r="T776" s="2398"/>
      <c r="U776" s="2375">
        <f t="shared" si="209"/>
        <v>0</v>
      </c>
      <c r="V776" s="2375"/>
      <c r="W776" s="2382">
        <f t="shared" si="210"/>
        <v>48.12</v>
      </c>
      <c r="X776" s="2398" t="s">
        <v>117</v>
      </c>
      <c r="Y776" s="2375">
        <f t="shared" si="211"/>
        <v>325586.65000000002</v>
      </c>
      <c r="Z776" s="2375"/>
      <c r="AA776" s="2377" t="s">
        <v>3355</v>
      </c>
    </row>
    <row r="777" spans="1:27" s="331" customFormat="1" ht="25" hidden="1" customHeight="1">
      <c r="A777" s="2555" t="s">
        <v>98</v>
      </c>
      <c r="B777" s="2549" t="s">
        <v>663</v>
      </c>
      <c r="C777" s="2550"/>
      <c r="D777" s="2551"/>
      <c r="E777" s="2397">
        <f>'10. Vol Kantor 6x6'!$O$305</f>
        <v>7.16</v>
      </c>
      <c r="F777" s="2398" t="s">
        <v>89</v>
      </c>
      <c r="G777" s="2389">
        <v>666481.35</v>
      </c>
      <c r="H777" s="2389">
        <f t="shared" si="224"/>
        <v>4772006.466</v>
      </c>
      <c r="I777" s="2480">
        <f>'Resume Analisa'!$D$112</f>
        <v>630754.51</v>
      </c>
      <c r="J777" s="2480">
        <f t="shared" si="225"/>
        <v>4516202.2916000001</v>
      </c>
      <c r="K777" s="2378" t="e">
        <f>IF(H777=0,"",IF(J777&lt;#REF!*H777,"Timpang &lt;"&amp;TEXT(#REF!,"0%"),IF(J777&gt;#REF!*H777,"Timpang &gt;"&amp;TEXT(#REF!,"0%"),"Wajar")))</f>
        <v>#REF!</v>
      </c>
      <c r="L777" s="2391">
        <v>630754.51</v>
      </c>
      <c r="M777" s="2391">
        <f t="shared" si="226"/>
        <v>4516202.2916000001</v>
      </c>
      <c r="N777" s="2375">
        <f t="shared" si="227"/>
        <v>1.9727735415536458E-3</v>
      </c>
      <c r="O777" s="2375">
        <v>0</v>
      </c>
      <c r="P777" s="2398" t="s">
        <v>89</v>
      </c>
      <c r="Q777" s="2375">
        <f t="shared" si="212"/>
        <v>0</v>
      </c>
      <c r="R777" s="2375">
        <f t="shared" si="228"/>
        <v>0</v>
      </c>
      <c r="S777" s="2386">
        <v>0</v>
      </c>
      <c r="T777" s="2398"/>
      <c r="U777" s="2375">
        <f t="shared" si="209"/>
        <v>0</v>
      </c>
      <c r="V777" s="2375"/>
      <c r="W777" s="2382">
        <f t="shared" si="210"/>
        <v>7.16</v>
      </c>
      <c r="X777" s="2398" t="s">
        <v>89</v>
      </c>
      <c r="Y777" s="2375">
        <f t="shared" si="211"/>
        <v>630754.51</v>
      </c>
      <c r="Z777" s="2375"/>
      <c r="AA777" s="2377" t="s">
        <v>3355</v>
      </c>
    </row>
    <row r="778" spans="1:27" s="331" customFormat="1" ht="25" hidden="1" customHeight="1">
      <c r="A778" s="2555" t="s">
        <v>101</v>
      </c>
      <c r="B778" s="2549" t="s">
        <v>664</v>
      </c>
      <c r="C778" s="2550"/>
      <c r="D778" s="2551"/>
      <c r="E778" s="2397">
        <f>'10. Vol Kantor 6x6'!$O$306</f>
        <v>8.98</v>
      </c>
      <c r="F778" s="2398" t="s">
        <v>89</v>
      </c>
      <c r="G778" s="2389">
        <v>437244.38</v>
      </c>
      <c r="H778" s="2389">
        <f t="shared" si="224"/>
        <v>3926454.5324000004</v>
      </c>
      <c r="I778" s="2480">
        <f>'Resume Analisa'!$D$118</f>
        <v>426579.55</v>
      </c>
      <c r="J778" s="2480">
        <f t="shared" si="225"/>
        <v>3830684.3590000002</v>
      </c>
      <c r="K778" s="2378" t="e">
        <f>IF(H778=0,"",IF(J778&lt;#REF!*H778,"Timpang &lt;"&amp;TEXT(#REF!,"0%"),IF(J778&gt;#REF!*H778,"Timpang &gt;"&amp;TEXT(#REF!,"0%"),"Wajar")))</f>
        <v>#REF!</v>
      </c>
      <c r="L778" s="2391">
        <v>426579.55</v>
      </c>
      <c r="M778" s="2391">
        <f t="shared" si="226"/>
        <v>3830684.3590000002</v>
      </c>
      <c r="N778" s="2375">
        <f t="shared" si="227"/>
        <v>1.6733246789087627E-3</v>
      </c>
      <c r="O778" s="2375">
        <v>0</v>
      </c>
      <c r="P778" s="2398" t="s">
        <v>89</v>
      </c>
      <c r="Q778" s="2375">
        <f t="shared" si="212"/>
        <v>0</v>
      </c>
      <c r="R778" s="2375">
        <f t="shared" si="228"/>
        <v>0</v>
      </c>
      <c r="S778" s="2375">
        <v>0</v>
      </c>
      <c r="T778" s="2398"/>
      <c r="U778" s="2375">
        <f t="shared" si="209"/>
        <v>0</v>
      </c>
      <c r="V778" s="2375"/>
      <c r="W778" s="2382">
        <f t="shared" si="210"/>
        <v>8.98</v>
      </c>
      <c r="X778" s="2398" t="s">
        <v>89</v>
      </c>
      <c r="Y778" s="2375">
        <f t="shared" si="211"/>
        <v>426579.55</v>
      </c>
      <c r="Z778" s="2375"/>
      <c r="AA778" s="2377" t="s">
        <v>3355</v>
      </c>
    </row>
    <row r="779" spans="1:27" s="331" customFormat="1" ht="25" hidden="1" customHeight="1">
      <c r="A779" s="2555" t="s">
        <v>121</v>
      </c>
      <c r="B779" s="2549" t="s">
        <v>665</v>
      </c>
      <c r="C779" s="2550"/>
      <c r="D779" s="2551"/>
      <c r="E779" s="2397">
        <f>'10. Vol Kantor 6x6'!$O$308</f>
        <v>18</v>
      </c>
      <c r="F779" s="2398" t="s">
        <v>328</v>
      </c>
      <c r="G779" s="2389">
        <v>88728.25</v>
      </c>
      <c r="H779" s="2389">
        <f t="shared" si="224"/>
        <v>1597108.5</v>
      </c>
      <c r="I779" s="2480">
        <f>'Resume Analisa'!$D$123</f>
        <v>84801.06</v>
      </c>
      <c r="J779" s="2480">
        <f t="shared" si="225"/>
        <v>1526419.08</v>
      </c>
      <c r="K779" s="2378" t="e">
        <f>IF(H779=0,"",IF(J779&lt;#REF!*H779,"Timpang &lt;"&amp;TEXT(#REF!,"0%"),IF(J779&gt;#REF!*H779,"Timpang &gt;"&amp;TEXT(#REF!,"0%"),"Wajar")))</f>
        <v>#REF!</v>
      </c>
      <c r="L779" s="2391">
        <v>84801.06</v>
      </c>
      <c r="M779" s="2391">
        <f t="shared" si="226"/>
        <v>1526419.08</v>
      </c>
      <c r="N779" s="2375">
        <f t="shared" si="227"/>
        <v>6.6677242955824774E-4</v>
      </c>
      <c r="O779" s="2375">
        <v>0</v>
      </c>
      <c r="P779" s="2398" t="s">
        <v>328</v>
      </c>
      <c r="Q779" s="2375">
        <f t="shared" si="212"/>
        <v>0</v>
      </c>
      <c r="R779" s="2375">
        <f t="shared" si="228"/>
        <v>0</v>
      </c>
      <c r="S779" s="2375">
        <v>0</v>
      </c>
      <c r="T779" s="2398"/>
      <c r="U779" s="2375">
        <f t="shared" si="209"/>
        <v>0</v>
      </c>
      <c r="V779" s="2375"/>
      <c r="W779" s="2382">
        <f t="shared" si="210"/>
        <v>18</v>
      </c>
      <c r="X779" s="2398" t="s">
        <v>328</v>
      </c>
      <c r="Y779" s="2375">
        <f t="shared" si="211"/>
        <v>84801.06</v>
      </c>
      <c r="Z779" s="2375"/>
      <c r="AA779" s="2377" t="s">
        <v>3355</v>
      </c>
    </row>
    <row r="780" spans="1:27" s="331" customFormat="1" ht="25" hidden="1" customHeight="1">
      <c r="A780" s="2555" t="s">
        <v>142</v>
      </c>
      <c r="B780" s="2549" t="s">
        <v>666</v>
      </c>
      <c r="C780" s="2550"/>
      <c r="D780" s="2551"/>
      <c r="E780" s="2397">
        <f>'10. Vol Kantor 6x6'!$O$309</f>
        <v>18</v>
      </c>
      <c r="F780" s="2398" t="s">
        <v>328</v>
      </c>
      <c r="G780" s="2389">
        <v>340837</v>
      </c>
      <c r="H780" s="2389">
        <f t="shared" si="224"/>
        <v>6135066</v>
      </c>
      <c r="I780" s="2480">
        <f>'Resume Analisa'!$D$124</f>
        <v>355484.41000000003</v>
      </c>
      <c r="J780" s="2480">
        <f t="shared" si="225"/>
        <v>6398719.3800000008</v>
      </c>
      <c r="K780" s="2378" t="e">
        <f>IF(H780=0,"",IF(J780&lt;#REF!*H780,"Timpang &lt;"&amp;TEXT(#REF!,"0%"),IF(J780&gt;#REF!*H780,"Timpang &gt;"&amp;TEXT(#REF!,"0%"),"Wajar")))</f>
        <v>#REF!</v>
      </c>
      <c r="L780" s="2391">
        <v>355484.41000000003</v>
      </c>
      <c r="M780" s="2391">
        <f t="shared" si="226"/>
        <v>6398719.3800000008</v>
      </c>
      <c r="N780" s="2375">
        <f t="shared" si="227"/>
        <v>2.7950971806930277E-3</v>
      </c>
      <c r="O780" s="2375">
        <v>0</v>
      </c>
      <c r="P780" s="2398" t="s">
        <v>328</v>
      </c>
      <c r="Q780" s="2375">
        <f t="shared" si="212"/>
        <v>0</v>
      </c>
      <c r="R780" s="2375">
        <f t="shared" si="228"/>
        <v>0</v>
      </c>
      <c r="S780" s="2375">
        <v>0</v>
      </c>
      <c r="T780" s="2398"/>
      <c r="U780" s="2375">
        <f t="shared" si="209"/>
        <v>0</v>
      </c>
      <c r="V780" s="2375"/>
      <c r="W780" s="2382">
        <f t="shared" si="210"/>
        <v>18</v>
      </c>
      <c r="X780" s="2398" t="s">
        <v>328</v>
      </c>
      <c r="Y780" s="2375">
        <f t="shared" si="211"/>
        <v>355484.41000000003</v>
      </c>
      <c r="Z780" s="2375"/>
      <c r="AA780" s="2377" t="s">
        <v>3355</v>
      </c>
    </row>
    <row r="781" spans="1:27" s="331" customFormat="1" ht="25" hidden="1" customHeight="1">
      <c r="A781" s="2555" t="s">
        <v>217</v>
      </c>
      <c r="B781" s="2549" t="s">
        <v>667</v>
      </c>
      <c r="C781" s="2550"/>
      <c r="D781" s="2551"/>
      <c r="E781" s="2397">
        <f>'10. Vol Kantor 6x6'!$O$310</f>
        <v>9</v>
      </c>
      <c r="F781" s="2398" t="s">
        <v>124</v>
      </c>
      <c r="G781" s="2389">
        <v>54050</v>
      </c>
      <c r="H781" s="2389">
        <f t="shared" si="224"/>
        <v>486450</v>
      </c>
      <c r="I781" s="2480">
        <f>'Resume Analisa'!$D$125</f>
        <v>52113.3</v>
      </c>
      <c r="J781" s="2480">
        <f t="shared" si="225"/>
        <v>469019.7</v>
      </c>
      <c r="K781" s="2378" t="e">
        <f>IF(H781=0,"",IF(J781&lt;#REF!*H781,"Timpang &lt;"&amp;TEXT(#REF!,"0%"),IF(J781&gt;#REF!*H781,"Timpang &gt;"&amp;TEXT(#REF!,"0%"),"Wajar")))</f>
        <v>#REF!</v>
      </c>
      <c r="L781" s="2391">
        <v>52113.3</v>
      </c>
      <c r="M781" s="2391">
        <f t="shared" si="226"/>
        <v>469019.7</v>
      </c>
      <c r="N781" s="2375">
        <f t="shared" si="227"/>
        <v>2.0487781434157682E-4</v>
      </c>
      <c r="O781" s="2375">
        <v>0</v>
      </c>
      <c r="P781" s="2398" t="s">
        <v>124</v>
      </c>
      <c r="Q781" s="2375">
        <f t="shared" si="212"/>
        <v>0</v>
      </c>
      <c r="R781" s="2375">
        <f t="shared" si="228"/>
        <v>0</v>
      </c>
      <c r="S781" s="2375">
        <v>0</v>
      </c>
      <c r="T781" s="2398"/>
      <c r="U781" s="2375">
        <f t="shared" si="209"/>
        <v>0</v>
      </c>
      <c r="V781" s="2375"/>
      <c r="W781" s="2382">
        <f t="shared" si="210"/>
        <v>9</v>
      </c>
      <c r="X781" s="2398" t="s">
        <v>124</v>
      </c>
      <c r="Y781" s="2375">
        <f t="shared" si="211"/>
        <v>52113.3</v>
      </c>
      <c r="Z781" s="2375"/>
      <c r="AA781" s="2377" t="s">
        <v>3355</v>
      </c>
    </row>
    <row r="782" spans="1:27" s="331" customFormat="1" ht="25" hidden="1" customHeight="1">
      <c r="A782" s="2555" t="s">
        <v>670</v>
      </c>
      <c r="B782" s="2549" t="s">
        <v>633</v>
      </c>
      <c r="C782" s="2550"/>
      <c r="D782" s="2551"/>
      <c r="E782" s="2397"/>
      <c r="F782" s="2398"/>
      <c r="G782" s="2389"/>
      <c r="H782" s="2389"/>
      <c r="I782" s="2480"/>
      <c r="J782" s="2480"/>
      <c r="K782" s="2389"/>
      <c r="L782" s="2391"/>
      <c r="M782" s="2391"/>
      <c r="N782" s="2375"/>
      <c r="O782" s="2375"/>
      <c r="P782" s="2398"/>
      <c r="Q782" s="2375"/>
      <c r="R782" s="2375"/>
      <c r="S782" s="2375"/>
      <c r="T782" s="2398"/>
      <c r="U782" s="2375"/>
      <c r="V782" s="2375"/>
      <c r="W782" s="2382"/>
      <c r="X782" s="2398"/>
      <c r="Y782" s="2375"/>
      <c r="Z782" s="2375"/>
      <c r="AA782" s="2377"/>
    </row>
    <row r="783" spans="1:27" s="331" customFormat="1" ht="25" hidden="1" customHeight="1">
      <c r="A783" s="2555" t="s">
        <v>95</v>
      </c>
      <c r="B783" s="2549" t="s">
        <v>566</v>
      </c>
      <c r="C783" s="2550"/>
      <c r="D783" s="2551"/>
      <c r="E783" s="2397">
        <f>'10. Vol Kantor 6x6'!$O$339</f>
        <v>3.52</v>
      </c>
      <c r="F783" s="2398" t="s">
        <v>117</v>
      </c>
      <c r="G783" s="2389">
        <v>313139.25</v>
      </c>
      <c r="H783" s="2389">
        <f t="shared" ref="H783:H788" si="229">E783*G783</f>
        <v>1102250.1599999999</v>
      </c>
      <c r="I783" s="2480">
        <f>'Resume Analisa'!$D$109</f>
        <v>325586.65000000002</v>
      </c>
      <c r="J783" s="2480">
        <f>I783*E783</f>
        <v>1146065.0080000001</v>
      </c>
      <c r="K783" s="2378" t="e">
        <f>IF(H783=0,"",IF(J783&lt;#REF!*H783,"Timpang &lt;"&amp;TEXT(#REF!,"0%"),IF(J783&gt;#REF!*H783,"Timpang &gt;"&amp;TEXT(#REF!,"0%"),"Wajar")))</f>
        <v>#REF!</v>
      </c>
      <c r="L783" s="2391">
        <v>325586.65000000002</v>
      </c>
      <c r="M783" s="2391">
        <f t="shared" ref="M783:M788" si="230">E783*L783</f>
        <v>1146065.0080000001</v>
      </c>
      <c r="N783" s="2375">
        <f t="shared" ref="N783:N788" si="231">M783/$M$8</f>
        <v>5.0062565374631759E-4</v>
      </c>
      <c r="O783" s="2375">
        <v>0</v>
      </c>
      <c r="P783" s="2398" t="s">
        <v>117</v>
      </c>
      <c r="Q783" s="2375">
        <f t="shared" si="212"/>
        <v>0</v>
      </c>
      <c r="R783" s="2375">
        <f t="shared" ref="R783:R788" si="232">Q783/$M$8*100</f>
        <v>0</v>
      </c>
      <c r="S783" s="2386">
        <v>0</v>
      </c>
      <c r="T783" s="2398"/>
      <c r="U783" s="2375">
        <f t="shared" si="209"/>
        <v>0</v>
      </c>
      <c r="V783" s="2375"/>
      <c r="W783" s="2382">
        <f t="shared" si="210"/>
        <v>3.52</v>
      </c>
      <c r="X783" s="2398" t="s">
        <v>117</v>
      </c>
      <c r="Y783" s="2375">
        <f t="shared" si="211"/>
        <v>325586.65000000002</v>
      </c>
      <c r="Z783" s="2375"/>
      <c r="AA783" s="2377" t="s">
        <v>3355</v>
      </c>
    </row>
    <row r="784" spans="1:27" s="331" customFormat="1" ht="25" hidden="1" customHeight="1">
      <c r="A784" s="2555" t="s">
        <v>98</v>
      </c>
      <c r="B784" s="2549" t="s">
        <v>567</v>
      </c>
      <c r="C784" s="2550"/>
      <c r="D784" s="2551"/>
      <c r="E784" s="2397">
        <f>'10. Vol Kantor 6x6'!$O$341</f>
        <v>0.65</v>
      </c>
      <c r="F784" s="2398" t="s">
        <v>89</v>
      </c>
      <c r="G784" s="2389">
        <v>454480</v>
      </c>
      <c r="H784" s="2389">
        <f t="shared" si="229"/>
        <v>295412</v>
      </c>
      <c r="I784" s="2480">
        <f>'Resume Analisa'!$D$119</f>
        <v>435404.45</v>
      </c>
      <c r="J784" s="2480">
        <f>I784*E784</f>
        <v>283012.89250000002</v>
      </c>
      <c r="K784" s="2378" t="e">
        <f>IF(H784=0,"",IF(J784&lt;#REF!*H784,"Timpang &lt;"&amp;TEXT(#REF!,"0%"),IF(J784&gt;#REF!*H784,"Timpang &gt;"&amp;TEXT(#REF!,"0%"),"Wajar")))</f>
        <v>#REF!</v>
      </c>
      <c r="L784" s="2391">
        <v>435404.45</v>
      </c>
      <c r="M784" s="2391">
        <f t="shared" si="230"/>
        <v>283012.89250000002</v>
      </c>
      <c r="N784" s="2375">
        <f t="shared" si="231"/>
        <v>1.236260712415441E-4</v>
      </c>
      <c r="O784" s="2375">
        <v>0</v>
      </c>
      <c r="P784" s="2398" t="s">
        <v>89</v>
      </c>
      <c r="Q784" s="2375">
        <f t="shared" si="212"/>
        <v>0</v>
      </c>
      <c r="R784" s="2375">
        <f t="shared" si="232"/>
        <v>0</v>
      </c>
      <c r="S784" s="2386">
        <v>0</v>
      </c>
      <c r="T784" s="2398"/>
      <c r="U784" s="2375">
        <f t="shared" ref="U784:U847" si="233">S784*L784</f>
        <v>0</v>
      </c>
      <c r="V784" s="2375"/>
      <c r="W784" s="2382">
        <f t="shared" ref="W784:W847" si="234">(E784+O784)-S784</f>
        <v>0.65</v>
      </c>
      <c r="X784" s="2398" t="s">
        <v>89</v>
      </c>
      <c r="Y784" s="2375">
        <f t="shared" ref="Y784:Y847" si="235">L784</f>
        <v>435404.45</v>
      </c>
      <c r="Z784" s="2375"/>
      <c r="AA784" s="2377" t="s">
        <v>3355</v>
      </c>
    </row>
    <row r="785" spans="1:27" s="331" customFormat="1" ht="25" hidden="1" customHeight="1">
      <c r="A785" s="2398">
        <f>A760+1</f>
        <v>5</v>
      </c>
      <c r="B785" s="2549" t="s">
        <v>568</v>
      </c>
      <c r="C785" s="2550"/>
      <c r="D785" s="2551"/>
      <c r="E785" s="2397">
        <f>'10. Vol Kantor 6x6'!$O$342</f>
        <v>27</v>
      </c>
      <c r="F785" s="2398" t="s">
        <v>89</v>
      </c>
      <c r="G785" s="2389">
        <v>362431.23</v>
      </c>
      <c r="H785" s="2389">
        <f t="shared" si="229"/>
        <v>9785643.209999999</v>
      </c>
      <c r="I785" s="2480">
        <f>'Resume Analisa'!$D$89</f>
        <v>344417.19</v>
      </c>
      <c r="J785" s="2480">
        <f>I785*E785</f>
        <v>9299264.1300000008</v>
      </c>
      <c r="K785" s="2378" t="e">
        <f>IF(H785=0,"",IF(J785&lt;#REF!*H785,"Timpang &lt;"&amp;TEXT(#REF!,"0%"),IF(J785&gt;#REF!*H785,"Timpang &gt;"&amp;TEXT(#REF!,"0%"),"Wajar")))</f>
        <v>#REF!</v>
      </c>
      <c r="L785" s="2391">
        <v>344417.19</v>
      </c>
      <c r="M785" s="2391">
        <f t="shared" si="230"/>
        <v>9299264.1300000008</v>
      </c>
      <c r="N785" s="2375">
        <f t="shared" si="231"/>
        <v>4.0621170282174176E-3</v>
      </c>
      <c r="O785" s="2375">
        <v>0</v>
      </c>
      <c r="P785" s="2398" t="s">
        <v>89</v>
      </c>
      <c r="Q785" s="2375">
        <f t="shared" si="212"/>
        <v>0</v>
      </c>
      <c r="R785" s="2375">
        <f t="shared" si="232"/>
        <v>0</v>
      </c>
      <c r="S785" s="2375">
        <v>0</v>
      </c>
      <c r="T785" s="2398"/>
      <c r="U785" s="2375">
        <f t="shared" si="233"/>
        <v>0</v>
      </c>
      <c r="V785" s="2375"/>
      <c r="W785" s="2382">
        <f t="shared" si="234"/>
        <v>27</v>
      </c>
      <c r="X785" s="2398" t="s">
        <v>89</v>
      </c>
      <c r="Y785" s="2375">
        <f t="shared" si="235"/>
        <v>344417.19</v>
      </c>
      <c r="Z785" s="2375"/>
      <c r="AA785" s="2377" t="s">
        <v>3355</v>
      </c>
    </row>
    <row r="786" spans="1:27" s="331" customFormat="1" ht="25" hidden="1" customHeight="1">
      <c r="A786" s="2398">
        <f>A785+1</f>
        <v>6</v>
      </c>
      <c r="B786" s="2549" t="s">
        <v>569</v>
      </c>
      <c r="C786" s="2550"/>
      <c r="D786" s="2551"/>
      <c r="E786" s="2397">
        <f>'10. Vol Kantor 6x6'!$O$346</f>
        <v>4.5</v>
      </c>
      <c r="F786" s="2398" t="s">
        <v>89</v>
      </c>
      <c r="G786" s="2389">
        <v>362431.23</v>
      </c>
      <c r="H786" s="2389">
        <f t="shared" si="229"/>
        <v>1630940.5349999999</v>
      </c>
      <c r="I786" s="2480">
        <f>'Resume Analisa'!$D$89</f>
        <v>344417.19</v>
      </c>
      <c r="J786" s="2480">
        <f>I786*E786</f>
        <v>1549877.355</v>
      </c>
      <c r="K786" s="2378" t="e">
        <f>IF(H786=0,"",IF(J786&lt;#REF!*H786,"Timpang &lt;"&amp;TEXT(#REF!,"0%"),IF(J786&gt;#REF!*H786,"Timpang &gt;"&amp;TEXT(#REF!,"0%"),"Wajar")))</f>
        <v>#REF!</v>
      </c>
      <c r="L786" s="2391">
        <v>344417.19</v>
      </c>
      <c r="M786" s="2391">
        <f t="shared" si="230"/>
        <v>1549877.355</v>
      </c>
      <c r="N786" s="2375">
        <f t="shared" si="231"/>
        <v>6.770195047029029E-4</v>
      </c>
      <c r="O786" s="2375">
        <v>0</v>
      </c>
      <c r="P786" s="2398" t="s">
        <v>89</v>
      </c>
      <c r="Q786" s="2375">
        <f t="shared" si="212"/>
        <v>0</v>
      </c>
      <c r="R786" s="2375">
        <f t="shared" si="232"/>
        <v>0</v>
      </c>
      <c r="S786" s="2375">
        <v>0</v>
      </c>
      <c r="T786" s="2398"/>
      <c r="U786" s="2375">
        <f t="shared" si="233"/>
        <v>0</v>
      </c>
      <c r="V786" s="2375"/>
      <c r="W786" s="2382">
        <f t="shared" si="234"/>
        <v>4.5</v>
      </c>
      <c r="X786" s="2398" t="s">
        <v>89</v>
      </c>
      <c r="Y786" s="2375">
        <f t="shared" si="235"/>
        <v>344417.19</v>
      </c>
      <c r="Z786" s="2375"/>
      <c r="AA786" s="2377" t="s">
        <v>3355</v>
      </c>
    </row>
    <row r="787" spans="1:27" s="331" customFormat="1" ht="25" hidden="1" customHeight="1">
      <c r="A787" s="2398">
        <f>A786+1</f>
        <v>7</v>
      </c>
      <c r="B787" s="2549" t="s">
        <v>570</v>
      </c>
      <c r="C787" s="2550"/>
      <c r="D787" s="2551"/>
      <c r="E787" s="2397">
        <f>'10. Vol Kantor 6x6'!$O$353</f>
        <v>21.83</v>
      </c>
      <c r="F787" s="2398" t="s">
        <v>89</v>
      </c>
      <c r="G787" s="2389">
        <v>417766.37</v>
      </c>
      <c r="H787" s="2389">
        <f t="shared" si="229"/>
        <v>9119839.8570999987</v>
      </c>
      <c r="I787" s="2390">
        <f>'Resume Analisa'!$D$93</f>
        <v>397154.38</v>
      </c>
      <c r="J787" s="2480">
        <f>I787*E787</f>
        <v>8669880.1153999995</v>
      </c>
      <c r="K787" s="2378" t="e">
        <f>IF(H787=0,"",IF(J787&lt;#REF!*H787,"Timpang &lt;"&amp;TEXT(#REF!,"0%"),IF(J787&gt;#REF!*H787,"Timpang &gt;"&amp;TEXT(#REF!,"0%"),"Wajar")))</f>
        <v>#REF!</v>
      </c>
      <c r="L787" s="2391">
        <v>397154.38</v>
      </c>
      <c r="M787" s="2391">
        <f t="shared" si="230"/>
        <v>8669880.1153999995</v>
      </c>
      <c r="N787" s="2375">
        <f t="shared" si="231"/>
        <v>3.7871886589127273E-3</v>
      </c>
      <c r="O787" s="2375">
        <v>0</v>
      </c>
      <c r="P787" s="2398" t="s">
        <v>89</v>
      </c>
      <c r="Q787" s="2375">
        <f t="shared" si="212"/>
        <v>0</v>
      </c>
      <c r="R787" s="2375">
        <f t="shared" si="232"/>
        <v>0</v>
      </c>
      <c r="S787" s="2375">
        <v>0</v>
      </c>
      <c r="T787" s="2398"/>
      <c r="U787" s="2375">
        <f t="shared" si="233"/>
        <v>0</v>
      </c>
      <c r="V787" s="2375"/>
      <c r="W787" s="2382">
        <f t="shared" si="234"/>
        <v>21.83</v>
      </c>
      <c r="X787" s="2398" t="s">
        <v>89</v>
      </c>
      <c r="Y787" s="2375">
        <f t="shared" si="235"/>
        <v>397154.38</v>
      </c>
      <c r="Z787" s="2375"/>
      <c r="AA787" s="2377" t="s">
        <v>3355</v>
      </c>
    </row>
    <row r="788" spans="1:27" s="331" customFormat="1" ht="25" hidden="1" customHeight="1">
      <c r="A788" s="2398">
        <f>A787+1</f>
        <v>8</v>
      </c>
      <c r="B788" s="3199" t="s">
        <v>448</v>
      </c>
      <c r="C788" s="3200"/>
      <c r="D788" s="3201"/>
      <c r="E788" s="2397">
        <f>'10. Vol Kantor 6x6'!$O$358</f>
        <v>55.3</v>
      </c>
      <c r="F788" s="2398" t="s">
        <v>89</v>
      </c>
      <c r="G788" s="2389">
        <v>224723.54</v>
      </c>
      <c r="H788" s="2389">
        <f t="shared" si="229"/>
        <v>12427211.762</v>
      </c>
      <c r="I788" s="2465">
        <f>'Resume Analisa'!$D$105</f>
        <v>220349.78</v>
      </c>
      <c r="J788" s="2567">
        <f>E788*I788</f>
        <v>12185342.833999999</v>
      </c>
      <c r="K788" s="2378" t="e">
        <f>IF(H788=0,"",IF(J788&lt;#REF!*H788,"Timpang &lt;"&amp;TEXT(#REF!,"0%"),IF(J788&gt;#REF!*H788,"Timpang &gt;"&amp;TEXT(#REF!,"0%"),"Wajar")))</f>
        <v>#REF!</v>
      </c>
      <c r="L788" s="2391">
        <v>220349.78</v>
      </c>
      <c r="M788" s="2391">
        <f t="shared" si="230"/>
        <v>12185342.833999999</v>
      </c>
      <c r="N788" s="2375">
        <f t="shared" si="231"/>
        <v>5.3228177981281283E-3</v>
      </c>
      <c r="O788" s="2375">
        <v>0</v>
      </c>
      <c r="P788" s="2398" t="s">
        <v>89</v>
      </c>
      <c r="Q788" s="2375">
        <f t="shared" si="212"/>
        <v>0</v>
      </c>
      <c r="R788" s="2375">
        <f t="shared" si="232"/>
        <v>0</v>
      </c>
      <c r="S788" s="2375">
        <v>0</v>
      </c>
      <c r="T788" s="2398"/>
      <c r="U788" s="2375">
        <f t="shared" si="233"/>
        <v>0</v>
      </c>
      <c r="V788" s="2375"/>
      <c r="W788" s="2382">
        <f t="shared" si="234"/>
        <v>55.3</v>
      </c>
      <c r="X788" s="2398" t="s">
        <v>89</v>
      </c>
      <c r="Y788" s="2375">
        <f t="shared" si="235"/>
        <v>220349.78</v>
      </c>
      <c r="Z788" s="2375"/>
      <c r="AA788" s="2377" t="s">
        <v>3355</v>
      </c>
    </row>
    <row r="789" spans="1:27" s="331" customFormat="1" ht="25" hidden="1" customHeight="1">
      <c r="A789" s="2398">
        <f>A788+1</f>
        <v>9</v>
      </c>
      <c r="B789" s="2549" t="s">
        <v>671</v>
      </c>
      <c r="C789" s="2550"/>
      <c r="D789" s="2551"/>
      <c r="E789" s="2397"/>
      <c r="F789" s="2398"/>
      <c r="G789" s="2389"/>
      <c r="H789" s="2389"/>
      <c r="I789" s="2465"/>
      <c r="J789" s="2480"/>
      <c r="K789" s="2389"/>
      <c r="L789" s="2391"/>
      <c r="M789" s="2391"/>
      <c r="N789" s="2375"/>
      <c r="O789" s="2375"/>
      <c r="P789" s="2398"/>
      <c r="Q789" s="2375"/>
      <c r="R789" s="2375"/>
      <c r="S789" s="2375"/>
      <c r="T789" s="2398"/>
      <c r="U789" s="2375"/>
      <c r="V789" s="2375"/>
      <c r="W789" s="2382"/>
      <c r="X789" s="2398"/>
      <c r="Y789" s="2375"/>
      <c r="Z789" s="2375"/>
      <c r="AA789" s="2377"/>
    </row>
    <row r="790" spans="1:27" s="331" customFormat="1" ht="25" hidden="1" customHeight="1">
      <c r="A790" s="2555" t="s">
        <v>95</v>
      </c>
      <c r="B790" s="2549" t="s">
        <v>672</v>
      </c>
      <c r="C790" s="2550"/>
      <c r="D790" s="2551"/>
      <c r="E790" s="2397">
        <f>'10. Vol Kantor 6x6'!$O$378</f>
        <v>99.29</v>
      </c>
      <c r="F790" s="2398" t="s">
        <v>89</v>
      </c>
      <c r="G790" s="2389">
        <v>94527.7</v>
      </c>
      <c r="H790" s="2389">
        <f>E790*G790</f>
        <v>9385655.3330000006</v>
      </c>
      <c r="I790" s="2480">
        <f>'Resume Analisa'!$D$80</f>
        <v>93087.909999999989</v>
      </c>
      <c r="J790" s="2480">
        <f>I790*E790</f>
        <v>9242698.583899999</v>
      </c>
      <c r="K790" s="2378" t="e">
        <f>IF(H790=0,"",IF(J790&lt;#REF!*H790,"Timpang &lt;"&amp;TEXT(#REF!,"0%"),IF(J790&gt;#REF!*H790,"Timpang &gt;"&amp;TEXT(#REF!,"0%"),"Wajar")))</f>
        <v>#REF!</v>
      </c>
      <c r="L790" s="2391">
        <v>93087.909999999989</v>
      </c>
      <c r="M790" s="2391">
        <f>E790*L790</f>
        <v>9242698.583899999</v>
      </c>
      <c r="N790" s="2375">
        <f t="shared" ref="N790:N821" si="236">M790/$M$8</f>
        <v>4.0374079905117393E-3</v>
      </c>
      <c r="O790" s="2375">
        <v>0</v>
      </c>
      <c r="P790" s="2398" t="s">
        <v>89</v>
      </c>
      <c r="Q790" s="2375">
        <f t="shared" si="212"/>
        <v>0</v>
      </c>
      <c r="R790" s="2375">
        <f t="shared" ref="R790:R853" si="237">Q790/$M$8*100</f>
        <v>0</v>
      </c>
      <c r="S790" s="2386">
        <v>0</v>
      </c>
      <c r="T790" s="2398"/>
      <c r="U790" s="2375">
        <f t="shared" si="233"/>
        <v>0</v>
      </c>
      <c r="V790" s="2375"/>
      <c r="W790" s="2382">
        <f t="shared" si="234"/>
        <v>99.29</v>
      </c>
      <c r="X790" s="2398" t="s">
        <v>89</v>
      </c>
      <c r="Y790" s="2375">
        <f t="shared" si="235"/>
        <v>93087.909999999989</v>
      </c>
      <c r="Z790" s="2375"/>
      <c r="AA790" s="2377" t="s">
        <v>3355</v>
      </c>
    </row>
    <row r="791" spans="1:27" s="331" customFormat="1" ht="25" hidden="1" customHeight="1">
      <c r="A791" s="2555" t="s">
        <v>98</v>
      </c>
      <c r="B791" s="2549" t="s">
        <v>673</v>
      </c>
      <c r="C791" s="2550"/>
      <c r="D791" s="2551"/>
      <c r="E791" s="2397">
        <f>'10. Vol Kantor 6x6'!$O$389</f>
        <v>39.119999999999997</v>
      </c>
      <c r="F791" s="2398" t="s">
        <v>89</v>
      </c>
      <c r="G791" s="2389">
        <v>43920.34</v>
      </c>
      <c r="H791" s="2389">
        <f>E791*G791</f>
        <v>1718163.7007999998</v>
      </c>
      <c r="I791" s="2480">
        <f>'Resume Analisa'!$D$81</f>
        <v>44323.37</v>
      </c>
      <c r="J791" s="2480">
        <f>I791*E791</f>
        <v>1733930.2344</v>
      </c>
      <c r="K791" s="2378" t="e">
        <f>IF(H791=0,"",IF(J791&lt;#REF!*H791,"Timpang &lt;"&amp;TEXT(#REF!,"0%"),IF(J791&gt;#REF!*H791,"Timpang &gt;"&amp;TEXT(#REF!,"0%"),"Wajar")))</f>
        <v>#REF!</v>
      </c>
      <c r="L791" s="2391">
        <v>44323.37</v>
      </c>
      <c r="M791" s="2391">
        <f>E791*L791</f>
        <v>1733930.2344</v>
      </c>
      <c r="N791" s="2375">
        <f t="shared" si="236"/>
        <v>7.5741773030994211E-4</v>
      </c>
      <c r="O791" s="2375">
        <v>0</v>
      </c>
      <c r="P791" s="2398" t="s">
        <v>89</v>
      </c>
      <c r="Q791" s="2375">
        <f t="shared" si="212"/>
        <v>0</v>
      </c>
      <c r="R791" s="2375">
        <f t="shared" si="237"/>
        <v>0</v>
      </c>
      <c r="S791" s="2386">
        <v>0</v>
      </c>
      <c r="T791" s="2398"/>
      <c r="U791" s="2375">
        <f t="shared" si="233"/>
        <v>0</v>
      </c>
      <c r="V791" s="2375"/>
      <c r="W791" s="2382">
        <f t="shared" si="234"/>
        <v>39.119999999999997</v>
      </c>
      <c r="X791" s="2398" t="s">
        <v>89</v>
      </c>
      <c r="Y791" s="2375">
        <f t="shared" si="235"/>
        <v>44323.37</v>
      </c>
      <c r="Z791" s="2375"/>
      <c r="AA791" s="2377" t="s">
        <v>3355</v>
      </c>
    </row>
    <row r="792" spans="1:27" s="331" customFormat="1" ht="25" hidden="1" customHeight="1">
      <c r="A792" s="2398">
        <f>A789+1</f>
        <v>10</v>
      </c>
      <c r="B792" s="2549" t="s">
        <v>581</v>
      </c>
      <c r="C792" s="2550"/>
      <c r="D792" s="2551"/>
      <c r="E792" s="2397">
        <f>'10. Vol Kantor 6x6'!$O$390</f>
        <v>55.3</v>
      </c>
      <c r="F792" s="2398" t="s">
        <v>89</v>
      </c>
      <c r="G792" s="2389">
        <v>36451.78</v>
      </c>
      <c r="H792" s="2389">
        <f>E792*G792</f>
        <v>2015783.4339999999</v>
      </c>
      <c r="I792" s="2480">
        <f>'Resume Analisa'!$D$82</f>
        <v>36706.18</v>
      </c>
      <c r="J792" s="2480">
        <f>I792*E792</f>
        <v>2029851.754</v>
      </c>
      <c r="K792" s="2378" t="e">
        <f>IF(H792=0,"",IF(J792&lt;#REF!*H792,"Timpang &lt;"&amp;TEXT(#REF!,"0%"),IF(J792&gt;#REF!*H792,"Timpang &gt;"&amp;TEXT(#REF!,"0%"),"Wajar")))</f>
        <v>#REF!</v>
      </c>
      <c r="L792" s="2391">
        <v>36706.18</v>
      </c>
      <c r="M792" s="2391">
        <f>E792*L792</f>
        <v>2029851.754</v>
      </c>
      <c r="N792" s="2375">
        <f t="shared" si="236"/>
        <v>8.8668256535266222E-4</v>
      </c>
      <c r="O792" s="2375">
        <v>0</v>
      </c>
      <c r="P792" s="2398" t="s">
        <v>89</v>
      </c>
      <c r="Q792" s="2375">
        <f t="shared" si="212"/>
        <v>0</v>
      </c>
      <c r="R792" s="2375">
        <f t="shared" si="237"/>
        <v>0</v>
      </c>
      <c r="S792" s="2375">
        <v>0</v>
      </c>
      <c r="T792" s="2398"/>
      <c r="U792" s="2375">
        <f t="shared" si="233"/>
        <v>0</v>
      </c>
      <c r="V792" s="2375"/>
      <c r="W792" s="2382">
        <f t="shared" si="234"/>
        <v>55.3</v>
      </c>
      <c r="X792" s="2398" t="s">
        <v>89</v>
      </c>
      <c r="Y792" s="2375">
        <f t="shared" si="235"/>
        <v>36706.18</v>
      </c>
      <c r="Z792" s="2375"/>
      <c r="AA792" s="2377" t="s">
        <v>3355</v>
      </c>
    </row>
    <row r="793" spans="1:27" s="331" customFormat="1" ht="25" hidden="1" customHeight="1">
      <c r="A793" s="2398">
        <f>A792+1</f>
        <v>11</v>
      </c>
      <c r="B793" s="2549" t="s">
        <v>674</v>
      </c>
      <c r="C793" s="2550"/>
      <c r="D793" s="2551"/>
      <c r="E793" s="2397">
        <f>'10. Vol Kantor 6x6'!$O$391</f>
        <v>9.18</v>
      </c>
      <c r="F793" s="2398" t="s">
        <v>89</v>
      </c>
      <c r="G793" s="2389">
        <v>90295.7</v>
      </c>
      <c r="H793" s="2389">
        <f>E793*G793</f>
        <v>828914.52599999995</v>
      </c>
      <c r="I793" s="2390">
        <f>'Resume Analisa'!$D$79</f>
        <v>91347.61</v>
      </c>
      <c r="J793" s="2480">
        <f>I793*E793</f>
        <v>838571.05979999993</v>
      </c>
      <c r="K793" s="2378" t="e">
        <f>IF(H793=0,"",IF(J793&lt;#REF!*H793,"Timpang &lt;"&amp;TEXT(#REF!,"0%"),IF(J793&gt;#REF!*H793,"Timpang &gt;"&amp;TEXT(#REF!,"0%"),"Wajar")))</f>
        <v>#REF!</v>
      </c>
      <c r="L793" s="2391">
        <v>91347.61</v>
      </c>
      <c r="M793" s="2391">
        <f>E793*L793</f>
        <v>838571.05979999993</v>
      </c>
      <c r="N793" s="2375">
        <f t="shared" si="236"/>
        <v>3.6630573492312516E-4</v>
      </c>
      <c r="O793" s="2375">
        <v>0</v>
      </c>
      <c r="P793" s="2398" t="s">
        <v>89</v>
      </c>
      <c r="Q793" s="2375">
        <f t="shared" si="212"/>
        <v>0</v>
      </c>
      <c r="R793" s="2375">
        <f t="shared" si="237"/>
        <v>0</v>
      </c>
      <c r="S793" s="2375">
        <v>0</v>
      </c>
      <c r="T793" s="2398"/>
      <c r="U793" s="2375">
        <f t="shared" si="233"/>
        <v>0</v>
      </c>
      <c r="V793" s="2375"/>
      <c r="W793" s="2382">
        <f t="shared" si="234"/>
        <v>9.18</v>
      </c>
      <c r="X793" s="2398" t="s">
        <v>89</v>
      </c>
      <c r="Y793" s="2375">
        <f t="shared" si="235"/>
        <v>91347.61</v>
      </c>
      <c r="Z793" s="2375"/>
      <c r="AA793" s="2377" t="s">
        <v>3355</v>
      </c>
    </row>
    <row r="794" spans="1:27" ht="25" hidden="1" customHeight="1">
      <c r="A794" s="2398">
        <f>A793+1</f>
        <v>12</v>
      </c>
      <c r="B794" s="2549" t="s">
        <v>443</v>
      </c>
      <c r="C794" s="2550"/>
      <c r="D794" s="2551"/>
      <c r="E794" s="2541"/>
      <c r="F794" s="2398"/>
      <c r="G794" s="2389"/>
      <c r="H794" s="2389"/>
      <c r="I794" s="2480"/>
      <c r="J794" s="2552"/>
      <c r="K794" s="2389"/>
      <c r="L794" s="2391"/>
      <c r="M794" s="2391"/>
      <c r="N794" s="2375">
        <f t="shared" si="236"/>
        <v>0</v>
      </c>
      <c r="O794" s="2375">
        <v>0</v>
      </c>
      <c r="P794" s="2398"/>
      <c r="Q794" s="2375">
        <f t="shared" si="212"/>
        <v>0</v>
      </c>
      <c r="R794" s="2375">
        <f t="shared" si="237"/>
        <v>0</v>
      </c>
      <c r="S794" s="2375">
        <v>0</v>
      </c>
      <c r="T794" s="2398"/>
      <c r="U794" s="2375">
        <f t="shared" si="233"/>
        <v>0</v>
      </c>
      <c r="V794" s="2375"/>
      <c r="W794" s="2382">
        <f t="shared" si="234"/>
        <v>0</v>
      </c>
      <c r="X794" s="2398"/>
      <c r="Y794" s="2375">
        <f t="shared" si="235"/>
        <v>0</v>
      </c>
      <c r="Z794" s="2375"/>
      <c r="AA794" s="2377" t="s">
        <v>3355</v>
      </c>
    </row>
    <row r="795" spans="1:27" ht="67.5" hidden="1" customHeight="1">
      <c r="A795" s="2589" t="s">
        <v>95</v>
      </c>
      <c r="B795" s="3193" t="s">
        <v>675</v>
      </c>
      <c r="C795" s="3194"/>
      <c r="D795" s="3195"/>
      <c r="E795" s="2541">
        <f>'10. Vol Kantor 6x6'!$O$393</f>
        <v>55.12</v>
      </c>
      <c r="F795" s="2590" t="s">
        <v>89</v>
      </c>
      <c r="G795" s="2389">
        <v>222790.40000000002</v>
      </c>
      <c r="H795" s="2389">
        <f t="shared" ref="H795:H811" si="238">E795*G795</f>
        <v>12280206.848000001</v>
      </c>
      <c r="I795" s="2588">
        <f>'Resume Analisa'!$D$243</f>
        <v>214521.71000000002</v>
      </c>
      <c r="J795" s="2552">
        <f>E795*I795</f>
        <v>11824436.655200001</v>
      </c>
      <c r="K795" s="2378" t="e">
        <f>IF(H795=0,"",IF(J795&lt;#REF!*H795,"Timpang &lt;"&amp;TEXT(#REF!,"0%"),IF(J795&gt;#REF!*H795,"Timpang &gt;"&amp;TEXT(#REF!,"0%"),"Wajar")))</f>
        <v>#REF!</v>
      </c>
      <c r="L795" s="2391">
        <v>214521.71000000002</v>
      </c>
      <c r="M795" s="2391">
        <f t="shared" ref="M795:M811" si="239">E795*L795</f>
        <v>11824436.655200001</v>
      </c>
      <c r="N795" s="2375">
        <f t="shared" si="236"/>
        <v>5.1651662771047806E-3</v>
      </c>
      <c r="O795" s="2375">
        <v>0</v>
      </c>
      <c r="P795" s="2590" t="s">
        <v>89</v>
      </c>
      <c r="Q795" s="2375">
        <f t="shared" si="212"/>
        <v>0</v>
      </c>
      <c r="R795" s="2375">
        <f t="shared" si="237"/>
        <v>0</v>
      </c>
      <c r="S795" s="2375">
        <v>0</v>
      </c>
      <c r="T795" s="2398"/>
      <c r="U795" s="2375">
        <f t="shared" si="233"/>
        <v>0</v>
      </c>
      <c r="V795" s="2375"/>
      <c r="W795" s="2382">
        <f t="shared" si="234"/>
        <v>55.12</v>
      </c>
      <c r="X795" s="2590" t="s">
        <v>89</v>
      </c>
      <c r="Y795" s="2375">
        <f t="shared" si="235"/>
        <v>214521.71000000002</v>
      </c>
      <c r="Z795" s="2375"/>
      <c r="AA795" s="2377" t="s">
        <v>3355</v>
      </c>
    </row>
    <row r="796" spans="1:27" ht="66" hidden="1" customHeight="1">
      <c r="A796" s="2589" t="s">
        <v>98</v>
      </c>
      <c r="B796" s="3193" t="s">
        <v>445</v>
      </c>
      <c r="C796" s="3194"/>
      <c r="D796" s="3195"/>
      <c r="E796" s="2541">
        <f>'10. Vol Kantor 6x6'!$O$399</f>
        <v>152.87</v>
      </c>
      <c r="F796" s="2398" t="s">
        <v>117</v>
      </c>
      <c r="G796" s="2389">
        <v>6893.1</v>
      </c>
      <c r="H796" s="2389">
        <f t="shared" si="238"/>
        <v>1053748.1970000002</v>
      </c>
      <c r="I796" s="2588">
        <f>'Resume Analisa'!$D$222</f>
        <v>6849.5700000000006</v>
      </c>
      <c r="J796" s="2552">
        <f>E796*I796</f>
        <v>1047093.7659000001</v>
      </c>
      <c r="K796" s="2378" t="e">
        <f>IF(H796=0,"",IF(J796&lt;#REF!*H796,"Timpang &lt;"&amp;TEXT(#REF!,"0%"),IF(J796&gt;#REF!*H796,"Timpang &gt;"&amp;TEXT(#REF!,"0%"),"Wajar")))</f>
        <v>#REF!</v>
      </c>
      <c r="L796" s="2391">
        <v>6849.5700000000006</v>
      </c>
      <c r="M796" s="2391">
        <f t="shared" si="239"/>
        <v>1047093.7659000001</v>
      </c>
      <c r="N796" s="2375">
        <f t="shared" si="236"/>
        <v>4.573929030449738E-4</v>
      </c>
      <c r="O796" s="2375">
        <v>0</v>
      </c>
      <c r="P796" s="2398" t="s">
        <v>117</v>
      </c>
      <c r="Q796" s="2375">
        <f t="shared" si="212"/>
        <v>0</v>
      </c>
      <c r="R796" s="2375">
        <f t="shared" si="237"/>
        <v>0</v>
      </c>
      <c r="S796" s="2375">
        <v>0</v>
      </c>
      <c r="T796" s="2398"/>
      <c r="U796" s="2375">
        <f t="shared" si="233"/>
        <v>0</v>
      </c>
      <c r="V796" s="2375"/>
      <c r="W796" s="2382">
        <f t="shared" si="234"/>
        <v>152.87</v>
      </c>
      <c r="X796" s="2398" t="s">
        <v>117</v>
      </c>
      <c r="Y796" s="2375">
        <f t="shared" si="235"/>
        <v>6849.5700000000006</v>
      </c>
      <c r="Z796" s="2375"/>
      <c r="AA796" s="2377" t="s">
        <v>3355</v>
      </c>
    </row>
    <row r="797" spans="1:27" ht="25" hidden="1" customHeight="1">
      <c r="A797" s="2555" t="s">
        <v>101</v>
      </c>
      <c r="B797" s="2549" t="s">
        <v>571</v>
      </c>
      <c r="C797" s="2550"/>
      <c r="D797" s="2551"/>
      <c r="E797" s="2541">
        <f>'10. Vol Kantor 6x6'!$O$404</f>
        <v>103.76</v>
      </c>
      <c r="F797" s="2590" t="s">
        <v>89</v>
      </c>
      <c r="G797" s="2389">
        <v>232335.08000000002</v>
      </c>
      <c r="H797" s="2389">
        <f t="shared" si="238"/>
        <v>24107087.900800005</v>
      </c>
      <c r="I797" s="2588">
        <f>'Resume Analisa'!$D$64</f>
        <v>240387.47</v>
      </c>
      <c r="J797" s="2552">
        <f>E797*I797</f>
        <v>24942603.887200002</v>
      </c>
      <c r="K797" s="2378" t="e">
        <f>IF(H797=0,"",IF(J797&lt;#REF!*H797,"Timpang &lt;"&amp;TEXT(#REF!,"0%"),IF(J797&gt;#REF!*H797,"Timpang &gt;"&amp;TEXT(#REF!,"0%"),"Wajar")))</f>
        <v>#REF!</v>
      </c>
      <c r="L797" s="2391">
        <v>240387.47</v>
      </c>
      <c r="M797" s="2391">
        <f t="shared" si="239"/>
        <v>24942603.887200002</v>
      </c>
      <c r="N797" s="2375">
        <f t="shared" si="236"/>
        <v>1.0895461679748747E-2</v>
      </c>
      <c r="O797" s="2375">
        <v>0</v>
      </c>
      <c r="P797" s="2590" t="s">
        <v>89</v>
      </c>
      <c r="Q797" s="2375">
        <f t="shared" ref="Q797:Q860" si="240">O797*L797</f>
        <v>0</v>
      </c>
      <c r="R797" s="2375">
        <f t="shared" si="237"/>
        <v>0</v>
      </c>
      <c r="S797" s="2386">
        <v>0</v>
      </c>
      <c r="T797" s="2398"/>
      <c r="U797" s="2375">
        <f t="shared" si="233"/>
        <v>0</v>
      </c>
      <c r="V797" s="2375"/>
      <c r="W797" s="2382">
        <f t="shared" si="234"/>
        <v>103.76</v>
      </c>
      <c r="X797" s="2590" t="s">
        <v>89</v>
      </c>
      <c r="Y797" s="2375">
        <f t="shared" si="235"/>
        <v>240387.47</v>
      </c>
      <c r="Z797" s="2375"/>
      <c r="AA797" s="2377" t="s">
        <v>3355</v>
      </c>
    </row>
    <row r="798" spans="1:27" ht="25" hidden="1" customHeight="1">
      <c r="A798" s="2555" t="s">
        <v>121</v>
      </c>
      <c r="B798" s="2549" t="s">
        <v>447</v>
      </c>
      <c r="C798" s="2550"/>
      <c r="D798" s="2551"/>
      <c r="E798" s="2541">
        <f>'10. Vol Kantor 6x6'!$O$407</f>
        <v>25.51</v>
      </c>
      <c r="F798" s="2590" t="s">
        <v>117</v>
      </c>
      <c r="G798" s="2389">
        <v>180008.45</v>
      </c>
      <c r="H798" s="2389">
        <f t="shared" si="238"/>
        <v>4592015.5595000004</v>
      </c>
      <c r="I798" s="2588">
        <f>'Resume Analisa'!$D$65</f>
        <v>172082.08000000002</v>
      </c>
      <c r="J798" s="2552">
        <f>E798*I798</f>
        <v>4389813.8608000008</v>
      </c>
      <c r="K798" s="2398" t="e">
        <f>IF(H798=0,"",IF(J798&lt;#REF!*H798,"Timpang &lt;"&amp;TEXT(#REF!,"0%"),IF(J798&gt;#REF!*H798,"Timpang &gt;"&amp;TEXT(#REF!,"0%"),"Wajar")))</f>
        <v>#REF!</v>
      </c>
      <c r="L798" s="2391">
        <v>172082.08000000002</v>
      </c>
      <c r="M798" s="2391">
        <f t="shared" si="239"/>
        <v>4389813.8608000008</v>
      </c>
      <c r="N798" s="2375">
        <f t="shared" si="236"/>
        <v>1.9175643777160384E-3</v>
      </c>
      <c r="O798" s="2375">
        <v>0</v>
      </c>
      <c r="P798" s="2590" t="s">
        <v>117</v>
      </c>
      <c r="Q798" s="2375">
        <f t="shared" si="240"/>
        <v>0</v>
      </c>
      <c r="R798" s="2375">
        <f t="shared" si="237"/>
        <v>0</v>
      </c>
      <c r="S798" s="2386">
        <v>0</v>
      </c>
      <c r="T798" s="2398"/>
      <c r="U798" s="2375">
        <f t="shared" si="233"/>
        <v>0</v>
      </c>
      <c r="V798" s="2375"/>
      <c r="W798" s="2382">
        <f t="shared" si="234"/>
        <v>25.51</v>
      </c>
      <c r="X798" s="2590" t="s">
        <v>117</v>
      </c>
      <c r="Y798" s="2375">
        <f t="shared" si="235"/>
        <v>172082.08000000002</v>
      </c>
      <c r="Z798" s="2375"/>
      <c r="AA798" s="2377" t="s">
        <v>3355</v>
      </c>
    </row>
    <row r="799" spans="1:27" s="331" customFormat="1" ht="25" hidden="1" customHeight="1">
      <c r="A799" s="2398">
        <f>A794+1</f>
        <v>13</v>
      </c>
      <c r="B799" s="2549" t="s">
        <v>452</v>
      </c>
      <c r="C799" s="2550"/>
      <c r="D799" s="2551"/>
      <c r="E799" s="2397">
        <f>'10. Vol Kantor 6x6'!$O$417</f>
        <v>30.6</v>
      </c>
      <c r="F799" s="2398" t="s">
        <v>117</v>
      </c>
      <c r="G799" s="2389">
        <v>111113</v>
      </c>
      <c r="H799" s="2389">
        <f t="shared" si="238"/>
        <v>3400057.8000000003</v>
      </c>
      <c r="I799" s="2480">
        <f>'Resume Analisa'!$D$67</f>
        <v>110227.31999999999</v>
      </c>
      <c r="J799" s="2480">
        <f t="shared" ref="J799:J805" si="241">I799*E799</f>
        <v>3372955.9920000001</v>
      </c>
      <c r="K799" s="2378" t="e">
        <f>IF(H799=0,"",IF(J799&lt;#REF!*H799,"Timpang &lt;"&amp;TEXT(#REF!,"0%"),IF(J799&gt;#REF!*H799,"Timpang &gt;"&amp;TEXT(#REF!,"0%"),"Wajar")))</f>
        <v>#REF!</v>
      </c>
      <c r="L799" s="2391">
        <v>110227.31999999999</v>
      </c>
      <c r="M799" s="2391">
        <f t="shared" si="239"/>
        <v>3372955.9920000001</v>
      </c>
      <c r="N799" s="2375">
        <f t="shared" si="236"/>
        <v>1.4733791597906975E-3</v>
      </c>
      <c r="O799" s="2375">
        <v>0</v>
      </c>
      <c r="P799" s="2398" t="s">
        <v>117</v>
      </c>
      <c r="Q799" s="2375">
        <f t="shared" si="240"/>
        <v>0</v>
      </c>
      <c r="R799" s="2375">
        <f t="shared" si="237"/>
        <v>0</v>
      </c>
      <c r="S799" s="2375">
        <v>0</v>
      </c>
      <c r="T799" s="2398"/>
      <c r="U799" s="2375">
        <f t="shared" si="233"/>
        <v>0</v>
      </c>
      <c r="V799" s="2375"/>
      <c r="W799" s="2382">
        <f t="shared" si="234"/>
        <v>30.6</v>
      </c>
      <c r="X799" s="2398" t="s">
        <v>117</v>
      </c>
      <c r="Y799" s="2375">
        <f t="shared" si="235"/>
        <v>110227.31999999999</v>
      </c>
      <c r="Z799" s="2375"/>
      <c r="AA799" s="2377" t="s">
        <v>3355</v>
      </c>
    </row>
    <row r="800" spans="1:27" s="331" customFormat="1" ht="54" hidden="1" customHeight="1">
      <c r="A800" s="2398">
        <f t="shared" ref="A800:A812" si="242">A799+1</f>
        <v>14</v>
      </c>
      <c r="B800" s="3193" t="s">
        <v>676</v>
      </c>
      <c r="C800" s="3194"/>
      <c r="D800" s="3195"/>
      <c r="E800" s="2397">
        <f>'10. Vol Kantor 6x6'!$O$418</f>
        <v>1</v>
      </c>
      <c r="F800" s="2398" t="s">
        <v>360</v>
      </c>
      <c r="G800" s="2389">
        <v>2176018.5</v>
      </c>
      <c r="H800" s="2389">
        <f t="shared" si="238"/>
        <v>2176018.5</v>
      </c>
      <c r="I800" s="2480">
        <f>'Resume Analisa'!$D$98</f>
        <v>2096360.01</v>
      </c>
      <c r="J800" s="2480">
        <f t="shared" si="241"/>
        <v>2096360.01</v>
      </c>
      <c r="K800" s="2378" t="e">
        <f>IF(H800=0,"",IF(J800&lt;#REF!*H800,"Timpang &lt;"&amp;TEXT(#REF!,"0%"),IF(J800&gt;#REF!*H800,"Timpang &gt;"&amp;TEXT(#REF!,"0%"),"Wajar")))</f>
        <v>#REF!</v>
      </c>
      <c r="L800" s="2391">
        <v>2096360.01</v>
      </c>
      <c r="M800" s="2391">
        <f t="shared" si="239"/>
        <v>2096360.01</v>
      </c>
      <c r="N800" s="2375">
        <f t="shared" si="236"/>
        <v>9.157347909307138E-4</v>
      </c>
      <c r="O800" s="2375">
        <v>0</v>
      </c>
      <c r="P800" s="2398" t="s">
        <v>360</v>
      </c>
      <c r="Q800" s="2375">
        <f t="shared" si="240"/>
        <v>0</v>
      </c>
      <c r="R800" s="2375">
        <f t="shared" si="237"/>
        <v>0</v>
      </c>
      <c r="S800" s="2375">
        <v>0</v>
      </c>
      <c r="T800" s="2398"/>
      <c r="U800" s="2375">
        <f t="shared" si="233"/>
        <v>0</v>
      </c>
      <c r="V800" s="2375"/>
      <c r="W800" s="2382">
        <f t="shared" si="234"/>
        <v>1</v>
      </c>
      <c r="X800" s="2398" t="s">
        <v>360</v>
      </c>
      <c r="Y800" s="2375">
        <f t="shared" si="235"/>
        <v>2096360.01</v>
      </c>
      <c r="Z800" s="2375"/>
      <c r="AA800" s="2377" t="s">
        <v>3355</v>
      </c>
    </row>
    <row r="801" spans="1:27" s="331" customFormat="1" ht="58.5" hidden="1" customHeight="1">
      <c r="A801" s="2398">
        <f t="shared" si="242"/>
        <v>15</v>
      </c>
      <c r="B801" s="3193" t="s">
        <v>677</v>
      </c>
      <c r="C801" s="3194"/>
      <c r="D801" s="3195"/>
      <c r="E801" s="2397">
        <f>'10. Vol Kantor 6x6'!$O$419</f>
        <v>15</v>
      </c>
      <c r="F801" s="2398" t="s">
        <v>124</v>
      </c>
      <c r="G801" s="2389">
        <v>276000</v>
      </c>
      <c r="H801" s="2389">
        <f t="shared" si="238"/>
        <v>4140000</v>
      </c>
      <c r="I801" s="2480">
        <f>'Resume Analisa'!$D$101</f>
        <v>279522.94</v>
      </c>
      <c r="J801" s="2480">
        <f t="shared" si="241"/>
        <v>4192844.1</v>
      </c>
      <c r="K801" s="2378" t="e">
        <f>IF(H801=0,"",IF(J801&lt;#REF!*H801,"Timpang &lt;"&amp;TEXT(#REF!,"0%"),IF(J801&gt;#REF!*H801,"Timpang &gt;"&amp;TEXT(#REF!,"0%"),"Wajar")))</f>
        <v>#REF!</v>
      </c>
      <c r="L801" s="2391">
        <v>279522.94</v>
      </c>
      <c r="M801" s="2391">
        <f t="shared" si="239"/>
        <v>4192844.1</v>
      </c>
      <c r="N801" s="2375">
        <f t="shared" si="236"/>
        <v>1.8315237826534274E-3</v>
      </c>
      <c r="O801" s="2375">
        <v>0</v>
      </c>
      <c r="P801" s="2398" t="s">
        <v>124</v>
      </c>
      <c r="Q801" s="2375">
        <f t="shared" si="240"/>
        <v>0</v>
      </c>
      <c r="R801" s="2375">
        <f t="shared" si="237"/>
        <v>0</v>
      </c>
      <c r="S801" s="2375">
        <v>0</v>
      </c>
      <c r="T801" s="2398"/>
      <c r="U801" s="2375">
        <f t="shared" si="233"/>
        <v>0</v>
      </c>
      <c r="V801" s="2375"/>
      <c r="W801" s="2382">
        <f t="shared" si="234"/>
        <v>15</v>
      </c>
      <c r="X801" s="2398" t="s">
        <v>124</v>
      </c>
      <c r="Y801" s="2375">
        <f t="shared" si="235"/>
        <v>279522.94</v>
      </c>
      <c r="Z801" s="2375"/>
      <c r="AA801" s="2377" t="s">
        <v>3355</v>
      </c>
    </row>
    <row r="802" spans="1:27" s="331" customFormat="1" ht="25" hidden="1" customHeight="1">
      <c r="A802" s="2398">
        <f t="shared" si="242"/>
        <v>16</v>
      </c>
      <c r="B802" s="2549" t="s">
        <v>590</v>
      </c>
      <c r="C802" s="2550"/>
      <c r="D802" s="2551"/>
      <c r="E802" s="2397">
        <f>'10. Vol Kantor 6x6'!$O$420</f>
        <v>2</v>
      </c>
      <c r="F802" s="2398" t="s">
        <v>124</v>
      </c>
      <c r="G802" s="2389">
        <v>1937827.05</v>
      </c>
      <c r="H802" s="2389">
        <f t="shared" si="238"/>
        <v>3875654.1</v>
      </c>
      <c r="I802" s="2480">
        <f>'Resume Analisa'!$D$179</f>
        <v>1952191.02</v>
      </c>
      <c r="J802" s="2480">
        <f t="shared" si="241"/>
        <v>3904382.04</v>
      </c>
      <c r="K802" s="2378" t="e">
        <f>IF(H802=0,"",IF(J802&lt;#REF!*H802,"Timpang &lt;"&amp;TEXT(#REF!,"0%"),IF(J802&gt;#REF!*H802,"Timpang &gt;"&amp;TEXT(#REF!,"0%"),"Wajar")))</f>
        <v>#REF!</v>
      </c>
      <c r="L802" s="2391">
        <v>1952191.02</v>
      </c>
      <c r="M802" s="2391">
        <f t="shared" si="239"/>
        <v>3904382.04</v>
      </c>
      <c r="N802" s="2375">
        <f t="shared" si="236"/>
        <v>1.7055173987568261E-3</v>
      </c>
      <c r="O802" s="2375">
        <v>0</v>
      </c>
      <c r="P802" s="2398" t="s">
        <v>124</v>
      </c>
      <c r="Q802" s="2375">
        <f t="shared" si="240"/>
        <v>0</v>
      </c>
      <c r="R802" s="2375">
        <f t="shared" si="237"/>
        <v>0</v>
      </c>
      <c r="S802" s="2375">
        <v>0</v>
      </c>
      <c r="T802" s="2398"/>
      <c r="U802" s="2375">
        <f t="shared" si="233"/>
        <v>0</v>
      </c>
      <c r="V802" s="2375"/>
      <c r="W802" s="2382">
        <f t="shared" si="234"/>
        <v>2</v>
      </c>
      <c r="X802" s="2398" t="s">
        <v>124</v>
      </c>
      <c r="Y802" s="2375">
        <f t="shared" si="235"/>
        <v>1952191.02</v>
      </c>
      <c r="Z802" s="2375"/>
      <c r="AA802" s="2377" t="s">
        <v>3355</v>
      </c>
    </row>
    <row r="803" spans="1:27" s="331" customFormat="1" ht="25" hidden="1" customHeight="1">
      <c r="A803" s="2398">
        <f t="shared" si="242"/>
        <v>17</v>
      </c>
      <c r="B803" s="2549" t="s">
        <v>591</v>
      </c>
      <c r="C803" s="2550"/>
      <c r="D803" s="2551"/>
      <c r="E803" s="2397">
        <f>'10. Vol Kantor 6x6'!$O$423</f>
        <v>2</v>
      </c>
      <c r="F803" s="2398" t="s">
        <v>124</v>
      </c>
      <c r="G803" s="2389">
        <v>649295.61</v>
      </c>
      <c r="H803" s="2389">
        <f t="shared" si="238"/>
        <v>1298591.22</v>
      </c>
      <c r="I803" s="2480">
        <f>'Resume Analisa'!$D$180</f>
        <v>646016.32999999996</v>
      </c>
      <c r="J803" s="2480">
        <f t="shared" si="241"/>
        <v>1292032.6599999999</v>
      </c>
      <c r="K803" s="2378" t="e">
        <f>IF(H803=0,"",IF(J803&lt;#REF!*H803,"Timpang &lt;"&amp;TEXT(#REF!,"0%"),IF(J803&gt;#REF!*H803,"Timpang &gt;"&amp;TEXT(#REF!,"0%"),"Wajar")))</f>
        <v>#REF!</v>
      </c>
      <c r="L803" s="2391">
        <v>646016.32999999996</v>
      </c>
      <c r="M803" s="2391">
        <f t="shared" si="239"/>
        <v>1292032.6599999999</v>
      </c>
      <c r="N803" s="2375">
        <f t="shared" si="236"/>
        <v>5.6438743924558735E-4</v>
      </c>
      <c r="O803" s="2375">
        <v>0</v>
      </c>
      <c r="P803" s="2398" t="s">
        <v>124</v>
      </c>
      <c r="Q803" s="2375">
        <f t="shared" si="240"/>
        <v>0</v>
      </c>
      <c r="R803" s="2375">
        <f t="shared" si="237"/>
        <v>0</v>
      </c>
      <c r="S803" s="2375">
        <v>0</v>
      </c>
      <c r="T803" s="2398"/>
      <c r="U803" s="2375">
        <f t="shared" si="233"/>
        <v>0</v>
      </c>
      <c r="V803" s="2375"/>
      <c r="W803" s="2382">
        <f t="shared" si="234"/>
        <v>2</v>
      </c>
      <c r="X803" s="2398" t="s">
        <v>124</v>
      </c>
      <c r="Y803" s="2375">
        <f t="shared" si="235"/>
        <v>646016.32999999996</v>
      </c>
      <c r="Z803" s="2375"/>
      <c r="AA803" s="2377" t="s">
        <v>3355</v>
      </c>
    </row>
    <row r="804" spans="1:27" s="331" customFormat="1" ht="25" hidden="1" customHeight="1">
      <c r="A804" s="2398">
        <f t="shared" si="242"/>
        <v>18</v>
      </c>
      <c r="B804" s="2549" t="s">
        <v>592</v>
      </c>
      <c r="C804" s="2550"/>
      <c r="D804" s="2732"/>
      <c r="E804" s="2397">
        <f>'10. Vol Kantor 6x6'!$O$424</f>
        <v>2</v>
      </c>
      <c r="F804" s="2398" t="s">
        <v>124</v>
      </c>
      <c r="G804" s="2389">
        <v>105920.61</v>
      </c>
      <c r="H804" s="2389">
        <f t="shared" si="238"/>
        <v>211841.22</v>
      </c>
      <c r="I804" s="2480">
        <f>'Resume Analisa'!$D$181</f>
        <v>101518.73999999999</v>
      </c>
      <c r="J804" s="2480">
        <f t="shared" si="241"/>
        <v>203037.47999999998</v>
      </c>
      <c r="K804" s="2378" t="e">
        <f>IF(H804=0,"",IF(J804&lt;#REF!*H804,"Timpang &lt;"&amp;TEXT(#REF!,"0%"),IF(J804&gt;#REF!*H804,"Timpang &gt;"&amp;TEXT(#REF!,"0%"),"Wajar")))</f>
        <v>#REF!</v>
      </c>
      <c r="L804" s="2391">
        <v>101518.73999999999</v>
      </c>
      <c r="M804" s="2391">
        <f t="shared" si="239"/>
        <v>203037.47999999998</v>
      </c>
      <c r="N804" s="2375">
        <f t="shared" si="236"/>
        <v>8.8691104300782266E-5</v>
      </c>
      <c r="O804" s="2375">
        <v>0</v>
      </c>
      <c r="P804" s="2398" t="s">
        <v>124</v>
      </c>
      <c r="Q804" s="2375">
        <f t="shared" si="240"/>
        <v>0</v>
      </c>
      <c r="R804" s="2375">
        <f t="shared" si="237"/>
        <v>0</v>
      </c>
      <c r="S804" s="2386">
        <v>0</v>
      </c>
      <c r="T804" s="2398"/>
      <c r="U804" s="2375">
        <f t="shared" si="233"/>
        <v>0</v>
      </c>
      <c r="V804" s="2375"/>
      <c r="W804" s="2382">
        <f t="shared" si="234"/>
        <v>2</v>
      </c>
      <c r="X804" s="2398" t="s">
        <v>124</v>
      </c>
      <c r="Y804" s="2375">
        <f t="shared" si="235"/>
        <v>101518.73999999999</v>
      </c>
      <c r="Z804" s="2375"/>
      <c r="AA804" s="2377" t="s">
        <v>3355</v>
      </c>
    </row>
    <row r="805" spans="1:27" s="331" customFormat="1" ht="25" hidden="1" customHeight="1">
      <c r="A805" s="2398">
        <f t="shared" si="242"/>
        <v>19</v>
      </c>
      <c r="B805" s="2549" t="s">
        <v>593</v>
      </c>
      <c r="C805" s="2550"/>
      <c r="D805" s="2551"/>
      <c r="E805" s="2397">
        <f>'10. Vol Kantor 6x6'!$O$425</f>
        <v>2</v>
      </c>
      <c r="F805" s="2398" t="s">
        <v>124</v>
      </c>
      <c r="G805" s="2389">
        <v>100567.5</v>
      </c>
      <c r="H805" s="2389">
        <f t="shared" si="238"/>
        <v>201135</v>
      </c>
      <c r="I805" s="2480">
        <f>'Resume Analisa'!$D$189</f>
        <v>98867.86</v>
      </c>
      <c r="J805" s="2480">
        <f t="shared" si="241"/>
        <v>197735.72</v>
      </c>
      <c r="K805" s="2378" t="e">
        <f>IF(H805=0,"",IF(J805&lt;#REF!*H805,"Timpang &lt;"&amp;TEXT(#REF!,"0%"),IF(J805&gt;#REF!*H805,"Timpang &gt;"&amp;TEXT(#REF!,"0%"),"Wajar")))</f>
        <v>#REF!</v>
      </c>
      <c r="L805" s="2391">
        <v>98867.86</v>
      </c>
      <c r="M805" s="2391">
        <f t="shared" si="239"/>
        <v>197735.72</v>
      </c>
      <c r="N805" s="2375">
        <f t="shared" si="236"/>
        <v>8.63751823875586E-5</v>
      </c>
      <c r="O805" s="2375">
        <v>0</v>
      </c>
      <c r="P805" s="2398" t="s">
        <v>124</v>
      </c>
      <c r="Q805" s="2375">
        <f t="shared" si="240"/>
        <v>0</v>
      </c>
      <c r="R805" s="2375">
        <f t="shared" si="237"/>
        <v>0</v>
      </c>
      <c r="S805" s="2386">
        <v>0</v>
      </c>
      <c r="T805" s="2398"/>
      <c r="U805" s="2375">
        <f t="shared" si="233"/>
        <v>0</v>
      </c>
      <c r="V805" s="2375"/>
      <c r="W805" s="2382">
        <f t="shared" si="234"/>
        <v>2</v>
      </c>
      <c r="X805" s="2398" t="s">
        <v>124</v>
      </c>
      <c r="Y805" s="2375">
        <f t="shared" si="235"/>
        <v>98867.86</v>
      </c>
      <c r="Z805" s="2375"/>
      <c r="AA805" s="2377" t="s">
        <v>3355</v>
      </c>
    </row>
    <row r="806" spans="1:27" s="331" customFormat="1" ht="25" hidden="1" customHeight="1">
      <c r="A806" s="2398">
        <f t="shared" si="242"/>
        <v>20</v>
      </c>
      <c r="B806" s="2549" t="s">
        <v>586</v>
      </c>
      <c r="C806" s="2550"/>
      <c r="D806" s="2551"/>
      <c r="E806" s="2397">
        <f>'10. Vol Kantor 6x6'!$O$447</f>
        <v>2.4</v>
      </c>
      <c r="F806" s="2398" t="s">
        <v>117</v>
      </c>
      <c r="G806" s="2389">
        <v>32056.25</v>
      </c>
      <c r="H806" s="2389">
        <f t="shared" si="238"/>
        <v>76935</v>
      </c>
      <c r="I806" s="2390">
        <f>'Resume Analisa'!$D$176</f>
        <v>30989.129999999997</v>
      </c>
      <c r="J806" s="2390">
        <f t="shared" ref="J806:J811" si="243">E806*I806</f>
        <v>74373.911999999997</v>
      </c>
      <c r="K806" s="2378" t="e">
        <f>IF(H806=0,"",IF(J806&lt;#REF!*H806,"Timpang &lt;"&amp;TEXT(#REF!,"0%"),IF(J806&gt;#REF!*H806,"Timpang &gt;"&amp;TEXT(#REF!,"0%"),"Wajar")))</f>
        <v>#REF!</v>
      </c>
      <c r="L806" s="2391">
        <v>30989.129999999997</v>
      </c>
      <c r="M806" s="2391">
        <f t="shared" si="239"/>
        <v>74373.911999999997</v>
      </c>
      <c r="N806" s="2375">
        <f t="shared" si="236"/>
        <v>3.2488111980355562E-5</v>
      </c>
      <c r="O806" s="2375">
        <v>0</v>
      </c>
      <c r="P806" s="2398" t="s">
        <v>117</v>
      </c>
      <c r="Q806" s="2375">
        <f t="shared" si="240"/>
        <v>0</v>
      </c>
      <c r="R806" s="2375">
        <f t="shared" si="237"/>
        <v>0</v>
      </c>
      <c r="S806" s="2375">
        <v>0</v>
      </c>
      <c r="T806" s="2398"/>
      <c r="U806" s="2375">
        <f t="shared" si="233"/>
        <v>0</v>
      </c>
      <c r="V806" s="2375"/>
      <c r="W806" s="2382">
        <f t="shared" si="234"/>
        <v>2.4</v>
      </c>
      <c r="X806" s="2398" t="s">
        <v>117</v>
      </c>
      <c r="Y806" s="2375">
        <f t="shared" si="235"/>
        <v>30989.129999999997</v>
      </c>
      <c r="Z806" s="2375"/>
      <c r="AA806" s="2377" t="s">
        <v>3355</v>
      </c>
    </row>
    <row r="807" spans="1:27" s="331" customFormat="1" ht="25" hidden="1" customHeight="1">
      <c r="A807" s="2398">
        <f t="shared" si="242"/>
        <v>21</v>
      </c>
      <c r="B807" s="2549" t="s">
        <v>587</v>
      </c>
      <c r="C807" s="2550"/>
      <c r="D807" s="2551"/>
      <c r="E807" s="2397">
        <f>'10. Vol Kantor 6x6'!$O$448</f>
        <v>8</v>
      </c>
      <c r="F807" s="2398" t="s">
        <v>117</v>
      </c>
      <c r="G807" s="2389">
        <v>55654.25</v>
      </c>
      <c r="H807" s="2389">
        <f t="shared" si="238"/>
        <v>445234</v>
      </c>
      <c r="I807" s="2390">
        <f>'Resume Analisa'!$D$174</f>
        <v>55200.46</v>
      </c>
      <c r="J807" s="2390">
        <f t="shared" si="243"/>
        <v>441603.68</v>
      </c>
      <c r="K807" s="2378" t="e">
        <f>IF(H807=0,"",IF(J807&lt;#REF!*H807,"Timpang &lt;"&amp;TEXT(#REF!,"0%"),IF(J807&gt;#REF!*H807,"Timpang &gt;"&amp;TEXT(#REF!,"0%"),"Wajar")))</f>
        <v>#REF!</v>
      </c>
      <c r="L807" s="2391">
        <v>55200.46</v>
      </c>
      <c r="M807" s="2391">
        <f t="shared" si="239"/>
        <v>441603.68</v>
      </c>
      <c r="N807" s="2375">
        <f t="shared" si="236"/>
        <v>1.9290191171841416E-4</v>
      </c>
      <c r="O807" s="2375">
        <v>0</v>
      </c>
      <c r="P807" s="2398" t="s">
        <v>117</v>
      </c>
      <c r="Q807" s="2375">
        <f t="shared" si="240"/>
        <v>0</v>
      </c>
      <c r="R807" s="2375">
        <f t="shared" si="237"/>
        <v>0</v>
      </c>
      <c r="S807" s="2375">
        <v>0</v>
      </c>
      <c r="T807" s="2398"/>
      <c r="U807" s="2375">
        <f t="shared" si="233"/>
        <v>0</v>
      </c>
      <c r="V807" s="2375"/>
      <c r="W807" s="2382">
        <f t="shared" si="234"/>
        <v>8</v>
      </c>
      <c r="X807" s="2398" t="s">
        <v>117</v>
      </c>
      <c r="Y807" s="2375">
        <f t="shared" si="235"/>
        <v>55200.46</v>
      </c>
      <c r="Z807" s="2375"/>
      <c r="AA807" s="2377" t="s">
        <v>3355</v>
      </c>
    </row>
    <row r="808" spans="1:27" s="331" customFormat="1" ht="25" hidden="1" customHeight="1">
      <c r="A808" s="2398">
        <f t="shared" si="242"/>
        <v>22</v>
      </c>
      <c r="B808" s="2549" t="s">
        <v>588</v>
      </c>
      <c r="C808" s="2550"/>
      <c r="D808" s="2551"/>
      <c r="E808" s="2397">
        <f>'10. Vol Kantor 6x6'!$O$449</f>
        <v>3.8</v>
      </c>
      <c r="F808" s="2398" t="s">
        <v>117</v>
      </c>
      <c r="G808" s="2389">
        <v>191759.63</v>
      </c>
      <c r="H808" s="2389">
        <f t="shared" si="238"/>
        <v>728686.59400000004</v>
      </c>
      <c r="I808" s="2390">
        <f>'Resume Analisa'!$D$173</f>
        <v>183232.97</v>
      </c>
      <c r="J808" s="2390">
        <f t="shared" si="243"/>
        <v>696285.28599999996</v>
      </c>
      <c r="K808" s="2378" t="e">
        <f>IF(H808=0,"",IF(J808&lt;#REF!*H808,"Timpang &lt;"&amp;TEXT(#REF!,"0%"),IF(J808&gt;#REF!*H808,"Timpang &gt;"&amp;TEXT(#REF!,"0%"),"Wajar")))</f>
        <v>#REF!</v>
      </c>
      <c r="L808" s="2391">
        <v>183232.97</v>
      </c>
      <c r="M808" s="2391">
        <f t="shared" si="239"/>
        <v>696285.28599999996</v>
      </c>
      <c r="N808" s="2375">
        <f t="shared" si="236"/>
        <v>3.0415227239683043E-4</v>
      </c>
      <c r="O808" s="2375">
        <v>0</v>
      </c>
      <c r="P808" s="2398" t="s">
        <v>117</v>
      </c>
      <c r="Q808" s="2375">
        <f t="shared" si="240"/>
        <v>0</v>
      </c>
      <c r="R808" s="2375">
        <f t="shared" si="237"/>
        <v>0</v>
      </c>
      <c r="S808" s="2375">
        <v>0</v>
      </c>
      <c r="T808" s="2398"/>
      <c r="U808" s="2375">
        <f t="shared" si="233"/>
        <v>0</v>
      </c>
      <c r="V808" s="2375"/>
      <c r="W808" s="2382">
        <f t="shared" si="234"/>
        <v>3.8</v>
      </c>
      <c r="X808" s="2398" t="s">
        <v>117</v>
      </c>
      <c r="Y808" s="2375">
        <f t="shared" si="235"/>
        <v>183232.97</v>
      </c>
      <c r="Z808" s="2375"/>
      <c r="AA808" s="2377" t="s">
        <v>3355</v>
      </c>
    </row>
    <row r="809" spans="1:27" s="331" customFormat="1" ht="25" hidden="1" customHeight="1">
      <c r="A809" s="2398">
        <f t="shared" si="242"/>
        <v>23</v>
      </c>
      <c r="B809" s="2549" t="s">
        <v>589</v>
      </c>
      <c r="C809" s="2550"/>
      <c r="D809" s="2551"/>
      <c r="E809" s="2397">
        <f>'10. Vol Kantor 6x6'!$O$450</f>
        <v>3.5</v>
      </c>
      <c r="F809" s="2398" t="s">
        <v>117</v>
      </c>
      <c r="G809" s="2389">
        <v>308539.25</v>
      </c>
      <c r="H809" s="2389">
        <f t="shared" si="238"/>
        <v>1079887.375</v>
      </c>
      <c r="I809" s="2390">
        <f>'Resume Analisa'!$D$172</f>
        <v>314523.2</v>
      </c>
      <c r="J809" s="2390">
        <f t="shared" si="243"/>
        <v>1100831.2</v>
      </c>
      <c r="K809" s="2378" t="e">
        <f>IF(H809=0,"",IF(J809&lt;#REF!*H809,"Timpang &lt;"&amp;TEXT(#REF!,"0%"),IF(J809&gt;#REF!*H809,"Timpang &gt;"&amp;TEXT(#REF!,"0%"),"Wajar")))</f>
        <v>#REF!</v>
      </c>
      <c r="L809" s="2391">
        <v>314523.2</v>
      </c>
      <c r="M809" s="2391">
        <f t="shared" si="239"/>
        <v>1100831.2</v>
      </c>
      <c r="N809" s="2375">
        <f t="shared" si="236"/>
        <v>4.808665610741195E-4</v>
      </c>
      <c r="O809" s="2375">
        <v>0</v>
      </c>
      <c r="P809" s="2398" t="s">
        <v>117</v>
      </c>
      <c r="Q809" s="2375">
        <f t="shared" si="240"/>
        <v>0</v>
      </c>
      <c r="R809" s="2375">
        <f t="shared" si="237"/>
        <v>0</v>
      </c>
      <c r="S809" s="2375">
        <v>0</v>
      </c>
      <c r="T809" s="2398"/>
      <c r="U809" s="2375">
        <f t="shared" si="233"/>
        <v>0</v>
      </c>
      <c r="V809" s="2375"/>
      <c r="W809" s="2382">
        <f t="shared" si="234"/>
        <v>3.5</v>
      </c>
      <c r="X809" s="2398" t="s">
        <v>117</v>
      </c>
      <c r="Y809" s="2375">
        <f t="shared" si="235"/>
        <v>314523.2</v>
      </c>
      <c r="Z809" s="2375"/>
      <c r="AA809" s="2377" t="s">
        <v>3355</v>
      </c>
    </row>
    <row r="810" spans="1:27" s="331" customFormat="1" ht="25" hidden="1" customHeight="1">
      <c r="A810" s="2398">
        <f t="shared" si="242"/>
        <v>24</v>
      </c>
      <c r="B810" s="2549" t="s">
        <v>594</v>
      </c>
      <c r="C810" s="2550"/>
      <c r="D810" s="2551"/>
      <c r="E810" s="2397">
        <f>'10. Vol Kantor 6x6'!$O$451</f>
        <v>1</v>
      </c>
      <c r="F810" s="2398" t="s">
        <v>124</v>
      </c>
      <c r="G810" s="2389">
        <v>1277328</v>
      </c>
      <c r="H810" s="2389">
        <f t="shared" si="238"/>
        <v>1277328</v>
      </c>
      <c r="I810" s="2390">
        <f>'Resume Analisa'!$D$191</f>
        <v>1209261.8700000001</v>
      </c>
      <c r="J810" s="2390">
        <f t="shared" si="243"/>
        <v>1209261.8700000001</v>
      </c>
      <c r="K810" s="2378" t="e">
        <f>IF(H810=0,"",IF(J810&lt;#REF!*H810,"Timpang &lt;"&amp;TEXT(#REF!,"0%"),IF(J810&gt;#REF!*H810,"Timpang &gt;"&amp;TEXT(#REF!,"0%"),"Wajar")))</f>
        <v>#REF!</v>
      </c>
      <c r="L810" s="2391">
        <v>1209261.8700000001</v>
      </c>
      <c r="M810" s="2391">
        <f t="shared" si="239"/>
        <v>1209261.8700000001</v>
      </c>
      <c r="N810" s="2375">
        <f t="shared" si="236"/>
        <v>5.2823139175648271E-4</v>
      </c>
      <c r="O810" s="2375">
        <v>0</v>
      </c>
      <c r="P810" s="2398" t="s">
        <v>124</v>
      </c>
      <c r="Q810" s="2375">
        <f t="shared" si="240"/>
        <v>0</v>
      </c>
      <c r="R810" s="2375">
        <f t="shared" si="237"/>
        <v>0</v>
      </c>
      <c r="S810" s="2375">
        <v>0</v>
      </c>
      <c r="T810" s="2398"/>
      <c r="U810" s="2375">
        <f t="shared" si="233"/>
        <v>0</v>
      </c>
      <c r="V810" s="2375"/>
      <c r="W810" s="2382">
        <f t="shared" si="234"/>
        <v>1</v>
      </c>
      <c r="X810" s="2398" t="s">
        <v>124</v>
      </c>
      <c r="Y810" s="2375">
        <f t="shared" si="235"/>
        <v>1209261.8700000001</v>
      </c>
      <c r="Z810" s="2375"/>
      <c r="AA810" s="2377" t="s">
        <v>3355</v>
      </c>
    </row>
    <row r="811" spans="1:27" s="331" customFormat="1" ht="60.5" hidden="1" customHeight="1">
      <c r="A811" s="2398">
        <f t="shared" si="242"/>
        <v>25</v>
      </c>
      <c r="B811" s="3193" t="s">
        <v>678</v>
      </c>
      <c r="C811" s="3194"/>
      <c r="D811" s="3195"/>
      <c r="E811" s="2397">
        <f>'10. Vol Kantor 6x6'!$O$452</f>
        <v>1</v>
      </c>
      <c r="F811" s="2398" t="s">
        <v>360</v>
      </c>
      <c r="G811" s="2389">
        <v>2704593</v>
      </c>
      <c r="H811" s="2389">
        <f t="shared" si="238"/>
        <v>2704593</v>
      </c>
      <c r="I811" s="2480">
        <f>'Resume Analisa'!$D$192</f>
        <v>2861130.9699999997</v>
      </c>
      <c r="J811" s="2390">
        <f t="shared" si="243"/>
        <v>2861130.9699999997</v>
      </c>
      <c r="K811" s="2378" t="e">
        <f>IF(H811=0,"",IF(J811&lt;#REF!*H811,"Timpang &lt;"&amp;TEXT(#REF!,"0%"),IF(J811&gt;#REF!*H811,"Timpang &gt;"&amp;TEXT(#REF!,"0%"),"Wajar")))</f>
        <v>#REF!</v>
      </c>
      <c r="L811" s="2391">
        <v>2861130.9699999997</v>
      </c>
      <c r="M811" s="2391">
        <f t="shared" si="239"/>
        <v>2861130.9699999997</v>
      </c>
      <c r="N811" s="2375">
        <f t="shared" si="236"/>
        <v>1.2498030672882087E-3</v>
      </c>
      <c r="O811" s="2375">
        <v>0</v>
      </c>
      <c r="P811" s="2398" t="s">
        <v>360</v>
      </c>
      <c r="Q811" s="2375">
        <f t="shared" si="240"/>
        <v>0</v>
      </c>
      <c r="R811" s="2375">
        <f t="shared" si="237"/>
        <v>0</v>
      </c>
      <c r="S811" s="2386">
        <v>0</v>
      </c>
      <c r="T811" s="2398"/>
      <c r="U811" s="2375">
        <f t="shared" si="233"/>
        <v>0</v>
      </c>
      <c r="V811" s="2375"/>
      <c r="W811" s="2382">
        <f t="shared" si="234"/>
        <v>1</v>
      </c>
      <c r="X811" s="2398" t="s">
        <v>360</v>
      </c>
      <c r="Y811" s="2375">
        <f t="shared" si="235"/>
        <v>2861130.9699999997</v>
      </c>
      <c r="Z811" s="2375"/>
      <c r="AA811" s="2377" t="s">
        <v>3355</v>
      </c>
    </row>
    <row r="812" spans="1:27" s="331" customFormat="1" ht="40" hidden="1" customHeight="1">
      <c r="A812" s="2398">
        <f t="shared" si="242"/>
        <v>26</v>
      </c>
      <c r="B812" s="3193" t="s">
        <v>679</v>
      </c>
      <c r="C812" s="3194"/>
      <c r="D812" s="3195"/>
      <c r="E812" s="2397"/>
      <c r="F812" s="2398"/>
      <c r="G812" s="2389"/>
      <c r="H812" s="2389"/>
      <c r="I812" s="2480"/>
      <c r="J812" s="2480"/>
      <c r="K812" s="2389"/>
      <c r="L812" s="2391"/>
      <c r="M812" s="2391"/>
      <c r="N812" s="2375">
        <f t="shared" si="236"/>
        <v>0</v>
      </c>
      <c r="O812" s="2375">
        <v>0</v>
      </c>
      <c r="P812" s="2398"/>
      <c r="Q812" s="2375">
        <f t="shared" si="240"/>
        <v>0</v>
      </c>
      <c r="R812" s="2375">
        <f t="shared" si="237"/>
        <v>0</v>
      </c>
      <c r="S812" s="2386">
        <v>0</v>
      </c>
      <c r="T812" s="2398"/>
      <c r="U812" s="2375">
        <f t="shared" si="233"/>
        <v>0</v>
      </c>
      <c r="V812" s="2375"/>
      <c r="W812" s="2382">
        <f t="shared" si="234"/>
        <v>0</v>
      </c>
      <c r="X812" s="2398"/>
      <c r="Y812" s="2375">
        <f t="shared" si="235"/>
        <v>0</v>
      </c>
      <c r="Z812" s="2375"/>
      <c r="AA812" s="2377" t="s">
        <v>3355</v>
      </c>
    </row>
    <row r="813" spans="1:27" s="331" customFormat="1" ht="25" hidden="1" customHeight="1">
      <c r="A813" s="2555" t="s">
        <v>95</v>
      </c>
      <c r="B813" s="2728" t="s">
        <v>596</v>
      </c>
      <c r="C813" s="2729"/>
      <c r="D813" s="2730"/>
      <c r="E813" s="2397">
        <f>'10. Vol Kantor 6x6'!O$454</f>
        <v>1</v>
      </c>
      <c r="F813" s="2398" t="s">
        <v>360</v>
      </c>
      <c r="G813" s="2389">
        <v>975000</v>
      </c>
      <c r="H813" s="2389">
        <f>E813*G813</f>
        <v>975000</v>
      </c>
      <c r="I813" s="2480">
        <f>'Bahan &amp; Upah'!$C$299</f>
        <v>920983.9</v>
      </c>
      <c r="J813" s="2390">
        <f>E813*I813</f>
        <v>920983.9</v>
      </c>
      <c r="K813" s="2378" t="e">
        <f>IF(H813=0,"",IF(J813&lt;#REF!*H813,"Timpang &lt;"&amp;TEXT(#REF!,"0%"),IF(J813&gt;#REF!*H813,"Timpang &gt;"&amp;TEXT(#REF!,"0%"),"Wajar")))</f>
        <v>#REF!</v>
      </c>
      <c r="L813" s="2391">
        <v>920983.9</v>
      </c>
      <c r="M813" s="2391">
        <f>E813*L813</f>
        <v>920983.9</v>
      </c>
      <c r="N813" s="2375">
        <f t="shared" si="236"/>
        <v>4.0230542230055866E-4</v>
      </c>
      <c r="O813" s="2375">
        <v>0</v>
      </c>
      <c r="P813" s="2398" t="s">
        <v>360</v>
      </c>
      <c r="Q813" s="2375">
        <f t="shared" si="240"/>
        <v>0</v>
      </c>
      <c r="R813" s="2375">
        <f t="shared" si="237"/>
        <v>0</v>
      </c>
      <c r="S813" s="2375">
        <v>0</v>
      </c>
      <c r="T813" s="2398"/>
      <c r="U813" s="2375">
        <f t="shared" si="233"/>
        <v>0</v>
      </c>
      <c r="V813" s="2375"/>
      <c r="W813" s="2382">
        <f t="shared" si="234"/>
        <v>1</v>
      </c>
      <c r="X813" s="2398" t="s">
        <v>360</v>
      </c>
      <c r="Y813" s="2375">
        <f t="shared" si="235"/>
        <v>920983.9</v>
      </c>
      <c r="Z813" s="2375"/>
      <c r="AA813" s="2377" t="s">
        <v>3355</v>
      </c>
    </row>
    <row r="814" spans="1:27" s="331" customFormat="1" ht="25" hidden="1" customHeight="1">
      <c r="A814" s="2555" t="s">
        <v>98</v>
      </c>
      <c r="B814" s="2781" t="s">
        <v>597</v>
      </c>
      <c r="C814" s="2729"/>
      <c r="D814" s="2730"/>
      <c r="E814" s="2397">
        <f>'10. Vol Kantor 6x6'!O$455</f>
        <v>1</v>
      </c>
      <c r="F814" s="2398" t="s">
        <v>360</v>
      </c>
      <c r="G814" s="2389">
        <v>500000</v>
      </c>
      <c r="H814" s="2389">
        <f>E814*G814</f>
        <v>500000</v>
      </c>
      <c r="I814" s="2480">
        <v>500000</v>
      </c>
      <c r="J814" s="2390">
        <f>E814*I814</f>
        <v>500000</v>
      </c>
      <c r="K814" s="2378" t="e">
        <f>IF(H814=0,"",IF(J814&lt;#REF!*H814,"Timpang &lt;"&amp;TEXT(#REF!,"0%"),IF(J814&gt;#REF!*H814,"Timpang &gt;"&amp;TEXT(#REF!,"0%"),"Wajar")))</f>
        <v>#REF!</v>
      </c>
      <c r="L814" s="2391">
        <v>500000</v>
      </c>
      <c r="M814" s="2391">
        <f>E814*L814</f>
        <v>500000</v>
      </c>
      <c r="N814" s="2375">
        <f t="shared" si="236"/>
        <v>2.1841067053428334E-4</v>
      </c>
      <c r="O814" s="2375">
        <v>0</v>
      </c>
      <c r="P814" s="2398" t="s">
        <v>360</v>
      </c>
      <c r="Q814" s="2375">
        <f t="shared" si="240"/>
        <v>0</v>
      </c>
      <c r="R814" s="2375">
        <f t="shared" si="237"/>
        <v>0</v>
      </c>
      <c r="S814" s="2375">
        <v>0</v>
      </c>
      <c r="T814" s="2398"/>
      <c r="U814" s="2375">
        <f t="shared" si="233"/>
        <v>0</v>
      </c>
      <c r="V814" s="2375"/>
      <c r="W814" s="2382">
        <f t="shared" si="234"/>
        <v>1</v>
      </c>
      <c r="X814" s="2398" t="s">
        <v>360</v>
      </c>
      <c r="Y814" s="2375">
        <f t="shared" si="235"/>
        <v>500000</v>
      </c>
      <c r="Z814" s="2375"/>
      <c r="AA814" s="2377" t="s">
        <v>3355</v>
      </c>
    </row>
    <row r="815" spans="1:27" s="331" customFormat="1" ht="25" hidden="1" customHeight="1">
      <c r="A815" s="2555" t="s">
        <v>101</v>
      </c>
      <c r="B815" s="2728" t="s">
        <v>598</v>
      </c>
      <c r="C815" s="2729"/>
      <c r="D815" s="2730"/>
      <c r="E815" s="2397"/>
      <c r="F815" s="2398"/>
      <c r="G815" s="2389"/>
      <c r="H815" s="2389"/>
      <c r="I815" s="2480"/>
      <c r="J815" s="2480"/>
      <c r="K815" s="2389"/>
      <c r="L815" s="2391"/>
      <c r="M815" s="2391"/>
      <c r="N815" s="2375">
        <f t="shared" si="236"/>
        <v>0</v>
      </c>
      <c r="O815" s="2375">
        <v>0</v>
      </c>
      <c r="P815" s="2398"/>
      <c r="Q815" s="2375">
        <f t="shared" si="240"/>
        <v>0</v>
      </c>
      <c r="R815" s="2375">
        <f t="shared" si="237"/>
        <v>0</v>
      </c>
      <c r="S815" s="2375">
        <v>0</v>
      </c>
      <c r="T815" s="2398"/>
      <c r="U815" s="2375">
        <f t="shared" si="233"/>
        <v>0</v>
      </c>
      <c r="V815" s="2375"/>
      <c r="W815" s="2382">
        <f t="shared" si="234"/>
        <v>0</v>
      </c>
      <c r="X815" s="2398"/>
      <c r="Y815" s="2375">
        <f t="shared" si="235"/>
        <v>0</v>
      </c>
      <c r="Z815" s="2375"/>
      <c r="AA815" s="2377" t="s">
        <v>3355</v>
      </c>
    </row>
    <row r="816" spans="1:27" s="331" customFormat="1" ht="25" hidden="1" customHeight="1">
      <c r="A816" s="2555"/>
      <c r="B816" s="2728" t="s">
        <v>599</v>
      </c>
      <c r="C816" s="2729"/>
      <c r="D816" s="2730"/>
      <c r="E816" s="2397">
        <f>'10. Vol Kantor 6x6'!O$457</f>
        <v>2.2999999999999998</v>
      </c>
      <c r="F816" s="2398" t="s">
        <v>103</v>
      </c>
      <c r="G816" s="2389">
        <v>108675</v>
      </c>
      <c r="H816" s="2389">
        <f>E816*G816</f>
        <v>249952.49999999997</v>
      </c>
      <c r="I816" s="2480">
        <f>'Resume Analisa'!$D$19</f>
        <v>105018.5</v>
      </c>
      <c r="J816" s="2552">
        <f>E816*I816</f>
        <v>241542.55</v>
      </c>
      <c r="K816" s="2378" t="e">
        <f>IF(H816=0,"",IF(J816&lt;#REF!*H816,"Timpang &lt;"&amp;TEXT(#REF!,"0%"),IF(J816&gt;#REF!*H816,"Timpang &gt;"&amp;TEXT(#REF!,"0%"),"Wajar")))</f>
        <v>#REF!</v>
      </c>
      <c r="L816" s="2391">
        <v>105018.5</v>
      </c>
      <c r="M816" s="2391">
        <f>E816*L816</f>
        <v>241542.55</v>
      </c>
      <c r="N816" s="2375">
        <f t="shared" si="236"/>
        <v>1.0551094061612131E-4</v>
      </c>
      <c r="O816" s="2375">
        <v>0</v>
      </c>
      <c r="P816" s="2398" t="s">
        <v>103</v>
      </c>
      <c r="Q816" s="2375">
        <f t="shared" si="240"/>
        <v>0</v>
      </c>
      <c r="R816" s="2375">
        <f t="shared" si="237"/>
        <v>0</v>
      </c>
      <c r="S816" s="2375">
        <v>0</v>
      </c>
      <c r="T816" s="2398"/>
      <c r="U816" s="2375">
        <f t="shared" si="233"/>
        <v>0</v>
      </c>
      <c r="V816" s="2375"/>
      <c r="W816" s="2382">
        <f t="shared" si="234"/>
        <v>2.2999999999999998</v>
      </c>
      <c r="X816" s="2398" t="s">
        <v>103</v>
      </c>
      <c r="Y816" s="2375">
        <f t="shared" si="235"/>
        <v>105018.5</v>
      </c>
      <c r="Z816" s="2375"/>
      <c r="AA816" s="2377" t="s">
        <v>3355</v>
      </c>
    </row>
    <row r="817" spans="1:27" s="331" customFormat="1" ht="25" hidden="1" customHeight="1">
      <c r="A817" s="2555"/>
      <c r="B817" s="2728" t="s">
        <v>600</v>
      </c>
      <c r="C817" s="2729"/>
      <c r="D817" s="2730"/>
      <c r="E817" s="2397">
        <f>'10. Vol Kantor 6x6'!O$458</f>
        <v>2.88</v>
      </c>
      <c r="F817" s="2398" t="s">
        <v>89</v>
      </c>
      <c r="G817" s="2389">
        <v>188325.18000000002</v>
      </c>
      <c r="H817" s="2389">
        <f>E817*G817</f>
        <v>542376.51840000006</v>
      </c>
      <c r="I817" s="2465">
        <f>'Resume Analisa'!$D$68</f>
        <v>181829.52000000002</v>
      </c>
      <c r="J817" s="2552">
        <f>E817*I817</f>
        <v>523669.01760000002</v>
      </c>
      <c r="K817" s="2378" t="e">
        <f>IF(H817=0,"",IF(J817&lt;#REF!*H817,"Timpang &lt;"&amp;TEXT(#REF!,"0%"),IF(J817&gt;#REF!*H817,"Timpang &gt;"&amp;TEXT(#REF!,"0%"),"Wajar")))</f>
        <v>#REF!</v>
      </c>
      <c r="L817" s="2391">
        <v>181829.52000000002</v>
      </c>
      <c r="M817" s="2391">
        <f>E817*L817</f>
        <v>523669.01760000002</v>
      </c>
      <c r="N817" s="2375">
        <f t="shared" si="236"/>
        <v>2.2874980254409085E-4</v>
      </c>
      <c r="O817" s="2375">
        <v>0</v>
      </c>
      <c r="P817" s="2398" t="s">
        <v>89</v>
      </c>
      <c r="Q817" s="2375">
        <f t="shared" si="240"/>
        <v>0</v>
      </c>
      <c r="R817" s="2375">
        <f t="shared" si="237"/>
        <v>0</v>
      </c>
      <c r="S817" s="2375">
        <v>0</v>
      </c>
      <c r="T817" s="2398"/>
      <c r="U817" s="2375">
        <f t="shared" si="233"/>
        <v>0</v>
      </c>
      <c r="V817" s="2375"/>
      <c r="W817" s="2382">
        <f t="shared" si="234"/>
        <v>2.88</v>
      </c>
      <c r="X817" s="2398" t="s">
        <v>89</v>
      </c>
      <c r="Y817" s="2375">
        <f t="shared" si="235"/>
        <v>181829.52000000002</v>
      </c>
      <c r="Z817" s="2375"/>
      <c r="AA817" s="2377" t="s">
        <v>3355</v>
      </c>
    </row>
    <row r="818" spans="1:27" s="331" customFormat="1" ht="25" hidden="1" customHeight="1">
      <c r="A818" s="2555"/>
      <c r="B818" s="2728" t="s">
        <v>601</v>
      </c>
      <c r="C818" s="2729"/>
      <c r="D818" s="2730"/>
      <c r="E818" s="2397">
        <f>'10. Vol Kantor 6x6'!O$459</f>
        <v>12.5</v>
      </c>
      <c r="F818" s="2398" t="s">
        <v>100</v>
      </c>
      <c r="G818" s="2389">
        <v>25591.18</v>
      </c>
      <c r="H818" s="2389">
        <f>E818*G818</f>
        <v>319889.75</v>
      </c>
      <c r="I818" s="2480">
        <f>'Resume Analisa'!$D$47</f>
        <v>26179.679999999997</v>
      </c>
      <c r="J818" s="2390">
        <f>E818*I818</f>
        <v>327245.99999999994</v>
      </c>
      <c r="K818" s="2378" t="e">
        <f>IF(H818=0,"",IF(J818&lt;#REF!*H818,"Timpang &lt;"&amp;TEXT(#REF!,"0%"),IF(J818&gt;#REF!*H818,"Timpang &gt;"&amp;TEXT(#REF!,"0%"),"Wajar")))</f>
        <v>#REF!</v>
      </c>
      <c r="L818" s="2391">
        <v>26179.679999999997</v>
      </c>
      <c r="M818" s="2391">
        <f>E818*L818</f>
        <v>327245.99999999994</v>
      </c>
      <c r="N818" s="2375">
        <f t="shared" si="236"/>
        <v>1.4294803657932412E-4</v>
      </c>
      <c r="O818" s="2375">
        <v>0</v>
      </c>
      <c r="P818" s="2398" t="s">
        <v>100</v>
      </c>
      <c r="Q818" s="2375">
        <f t="shared" si="240"/>
        <v>0</v>
      </c>
      <c r="R818" s="2375">
        <f t="shared" si="237"/>
        <v>0</v>
      </c>
      <c r="S818" s="2386">
        <v>0</v>
      </c>
      <c r="T818" s="2398"/>
      <c r="U818" s="2375">
        <f t="shared" si="233"/>
        <v>0</v>
      </c>
      <c r="V818" s="2375"/>
      <c r="W818" s="2382">
        <f t="shared" si="234"/>
        <v>12.5</v>
      </c>
      <c r="X818" s="2398" t="s">
        <v>100</v>
      </c>
      <c r="Y818" s="2375">
        <f t="shared" si="235"/>
        <v>26179.679999999997</v>
      </c>
      <c r="Z818" s="2375"/>
      <c r="AA818" s="2377" t="s">
        <v>3355</v>
      </c>
    </row>
    <row r="819" spans="1:27" s="331" customFormat="1" ht="25" hidden="1" customHeight="1">
      <c r="A819" s="2555"/>
      <c r="B819" s="2728" t="s">
        <v>576</v>
      </c>
      <c r="C819" s="2729"/>
      <c r="D819" s="2730"/>
      <c r="E819" s="2397">
        <f>'10. Vol Kantor 6x6'!O$460</f>
        <v>0.43</v>
      </c>
      <c r="F819" s="2398" t="s">
        <v>103</v>
      </c>
      <c r="G819" s="2389">
        <v>1584129.98</v>
      </c>
      <c r="H819" s="2389">
        <f>E819*G819</f>
        <v>681175.89139999996</v>
      </c>
      <c r="I819" s="2465">
        <f>'Resume Analisa'!$D$55</f>
        <v>1535009.1300000001</v>
      </c>
      <c r="J819" s="2552">
        <f>E819*I819</f>
        <v>660053.92590000003</v>
      </c>
      <c r="K819" s="2378" t="e">
        <f>IF(H819=0,"",IF(J819&lt;#REF!*H819,"Timpang &lt;"&amp;TEXT(#REF!,"0%"),IF(J819&gt;#REF!*H819,"Timpang &gt;"&amp;TEXT(#REF!,"0%"),"Wajar")))</f>
        <v>#REF!</v>
      </c>
      <c r="L819" s="2391">
        <v>1535009.1300000001</v>
      </c>
      <c r="M819" s="2391">
        <f>E819*L819</f>
        <v>660053.92590000003</v>
      </c>
      <c r="N819" s="2375">
        <f t="shared" si="236"/>
        <v>2.8832564108921034E-4</v>
      </c>
      <c r="O819" s="2375">
        <v>0</v>
      </c>
      <c r="P819" s="2398" t="s">
        <v>103</v>
      </c>
      <c r="Q819" s="2375">
        <f t="shared" si="240"/>
        <v>0</v>
      </c>
      <c r="R819" s="2375">
        <f t="shared" si="237"/>
        <v>0</v>
      </c>
      <c r="S819" s="2386">
        <v>0</v>
      </c>
      <c r="T819" s="2398"/>
      <c r="U819" s="2375">
        <f t="shared" si="233"/>
        <v>0</v>
      </c>
      <c r="V819" s="2375"/>
      <c r="W819" s="2382">
        <f t="shared" si="234"/>
        <v>0.43</v>
      </c>
      <c r="X819" s="2398" t="s">
        <v>103</v>
      </c>
      <c r="Y819" s="2375">
        <f t="shared" si="235"/>
        <v>1535009.1300000001</v>
      </c>
      <c r="Z819" s="2375"/>
      <c r="AA819" s="2377" t="s">
        <v>3355</v>
      </c>
    </row>
    <row r="820" spans="1:27" s="331" customFormat="1" ht="25" hidden="1" customHeight="1">
      <c r="A820" s="2555" t="s">
        <v>121</v>
      </c>
      <c r="B820" s="2728" t="s">
        <v>603</v>
      </c>
      <c r="C820" s="2729"/>
      <c r="D820" s="2730"/>
      <c r="E820" s="2397"/>
      <c r="F820" s="2398"/>
      <c r="G820" s="2389"/>
      <c r="H820" s="2389"/>
      <c r="I820" s="2480"/>
      <c r="J820" s="2390"/>
      <c r="K820" s="2389"/>
      <c r="L820" s="2391"/>
      <c r="M820" s="2391"/>
      <c r="N820" s="2375">
        <f t="shared" si="236"/>
        <v>0</v>
      </c>
      <c r="O820" s="2375">
        <v>0</v>
      </c>
      <c r="P820" s="2398"/>
      <c r="Q820" s="2375">
        <f t="shared" si="240"/>
        <v>0</v>
      </c>
      <c r="R820" s="2375">
        <f t="shared" si="237"/>
        <v>0</v>
      </c>
      <c r="S820" s="2375">
        <v>0</v>
      </c>
      <c r="T820" s="2398"/>
      <c r="U820" s="2375">
        <f t="shared" si="233"/>
        <v>0</v>
      </c>
      <c r="V820" s="2375"/>
      <c r="W820" s="2382">
        <f t="shared" si="234"/>
        <v>0</v>
      </c>
      <c r="X820" s="2398"/>
      <c r="Y820" s="2375">
        <f t="shared" si="235"/>
        <v>0</v>
      </c>
      <c r="Z820" s="2375"/>
      <c r="AA820" s="2377" t="s">
        <v>3355</v>
      </c>
    </row>
    <row r="821" spans="1:27" s="331" customFormat="1" ht="25" hidden="1" customHeight="1">
      <c r="A821" s="2555"/>
      <c r="B821" s="2728" t="s">
        <v>604</v>
      </c>
      <c r="C821" s="2729"/>
      <c r="D821" s="2730"/>
      <c r="E821" s="2397">
        <f>'10. Vol Kantor 6x6'!$O$462</f>
        <v>3.2</v>
      </c>
      <c r="F821" s="2398" t="s">
        <v>89</v>
      </c>
      <c r="G821" s="2389">
        <v>249883.29</v>
      </c>
      <c r="H821" s="2389">
        <f>E821*G821</f>
        <v>799626.52800000005</v>
      </c>
      <c r="I821" s="2480">
        <f>'Resume Analisa'!$D$40</f>
        <v>245946.97</v>
      </c>
      <c r="J821" s="2480">
        <f>I821*E821</f>
        <v>787030.304</v>
      </c>
      <c r="K821" s="2378" t="e">
        <f>IF(H821=0,"",IF(J821&lt;#REF!*H821,"Timpang &lt;"&amp;TEXT(#REF!,"0%"),IF(J821&gt;#REF!*H821,"Timpang &gt;"&amp;TEXT(#REF!,"0%"),"Wajar")))</f>
        <v>#REF!</v>
      </c>
      <c r="L821" s="2391">
        <v>245946.97</v>
      </c>
      <c r="M821" s="2391">
        <f>E821*L821</f>
        <v>787030.304</v>
      </c>
      <c r="N821" s="2375">
        <f t="shared" si="236"/>
        <v>3.437916328548817E-4</v>
      </c>
      <c r="O821" s="2375">
        <v>0</v>
      </c>
      <c r="P821" s="2398" t="s">
        <v>89</v>
      </c>
      <c r="Q821" s="2375">
        <f t="shared" si="240"/>
        <v>0</v>
      </c>
      <c r="R821" s="2375">
        <f t="shared" si="237"/>
        <v>0</v>
      </c>
      <c r="S821" s="2375">
        <v>0</v>
      </c>
      <c r="T821" s="2398"/>
      <c r="U821" s="2375">
        <f t="shared" si="233"/>
        <v>0</v>
      </c>
      <c r="V821" s="2375"/>
      <c r="W821" s="2382">
        <f t="shared" si="234"/>
        <v>3.2</v>
      </c>
      <c r="X821" s="2398" t="s">
        <v>89</v>
      </c>
      <c r="Y821" s="2375">
        <f t="shared" si="235"/>
        <v>245946.97</v>
      </c>
      <c r="Z821" s="2375"/>
      <c r="AA821" s="2377" t="s">
        <v>3355</v>
      </c>
    </row>
    <row r="822" spans="1:27" s="331" customFormat="1" ht="25" hidden="1" customHeight="1">
      <c r="A822" s="2555"/>
      <c r="B822" s="2728" t="s">
        <v>605</v>
      </c>
      <c r="C822" s="2729"/>
      <c r="D822" s="2730"/>
      <c r="E822" s="2397">
        <f>'10. Vol Kantor 6x6'!$O$463</f>
        <v>22.5</v>
      </c>
      <c r="F822" s="2398" t="s">
        <v>100</v>
      </c>
      <c r="G822" s="2473">
        <v>25591.18</v>
      </c>
      <c r="H822" s="2389">
        <f>E822*G822</f>
        <v>575801.55000000005</v>
      </c>
      <c r="I822" s="2474">
        <f>'Resume Analisa'!$D$47</f>
        <v>26179.679999999997</v>
      </c>
      <c r="J822" s="2480">
        <f>I822*E822</f>
        <v>589042.79999999993</v>
      </c>
      <c r="K822" s="2378" t="e">
        <f>IF(H822=0,"",IF(J822&lt;#REF!*H822,"Timpang &lt;"&amp;TEXT(#REF!,"0%"),IF(J822&gt;#REF!*H822,"Timpang &gt;"&amp;TEXT(#REF!,"0%"),"Wajar")))</f>
        <v>#REF!</v>
      </c>
      <c r="L822" s="2475">
        <v>26179.679999999997</v>
      </c>
      <c r="M822" s="2391">
        <f>E822*L822</f>
        <v>589042.79999999993</v>
      </c>
      <c r="N822" s="2375">
        <f t="shared" ref="N822:N853" si="244">M822/$M$8</f>
        <v>2.5730646584278346E-4</v>
      </c>
      <c r="O822" s="2375">
        <v>0</v>
      </c>
      <c r="P822" s="2398" t="s">
        <v>100</v>
      </c>
      <c r="Q822" s="2375">
        <f t="shared" si="240"/>
        <v>0</v>
      </c>
      <c r="R822" s="2375">
        <f t="shared" si="237"/>
        <v>0</v>
      </c>
      <c r="S822" s="2375">
        <v>0</v>
      </c>
      <c r="T822" s="2398"/>
      <c r="U822" s="2375">
        <f t="shared" si="233"/>
        <v>0</v>
      </c>
      <c r="V822" s="2375"/>
      <c r="W822" s="2382">
        <f t="shared" si="234"/>
        <v>22.5</v>
      </c>
      <c r="X822" s="2398" t="s">
        <v>100</v>
      </c>
      <c r="Y822" s="2375">
        <f t="shared" si="235"/>
        <v>26179.679999999997</v>
      </c>
      <c r="Z822" s="2375"/>
      <c r="AA822" s="2377" t="s">
        <v>3355</v>
      </c>
    </row>
    <row r="823" spans="1:27" s="331" customFormat="1" ht="25" hidden="1" customHeight="1">
      <c r="A823" s="2555"/>
      <c r="B823" s="2728" t="s">
        <v>606</v>
      </c>
      <c r="C823" s="2729"/>
      <c r="D823" s="2730"/>
      <c r="E823" s="2397">
        <f>'10. Vol Kantor 6x6'!$O$464</f>
        <v>9.85</v>
      </c>
      <c r="F823" s="2398" t="s">
        <v>100</v>
      </c>
      <c r="G823" s="2389">
        <v>19151.18</v>
      </c>
      <c r="H823" s="2389">
        <f>E823*G823</f>
        <v>188639.12299999999</v>
      </c>
      <c r="I823" s="2480">
        <f>'Resume Analisa'!$D$48</f>
        <v>18790.969999999998</v>
      </c>
      <c r="J823" s="2480">
        <f>I823*E823</f>
        <v>185091.05449999997</v>
      </c>
      <c r="K823" s="2378" t="e">
        <f>IF(H823=0,"",IF(J823&lt;#REF!*H823,"Timpang &lt;"&amp;TEXT(#REF!,"0%"),IF(J823&gt;#REF!*H823,"Timpang &gt;"&amp;TEXT(#REF!,"0%"),"Wajar")))</f>
        <v>#REF!</v>
      </c>
      <c r="L823" s="2391">
        <v>18790.969999999998</v>
      </c>
      <c r="M823" s="2391">
        <f>E823*L823</f>
        <v>185091.05449999997</v>
      </c>
      <c r="N823" s="2375">
        <f t="shared" si="244"/>
        <v>8.0851722646485148E-5</v>
      </c>
      <c r="O823" s="2375">
        <v>0</v>
      </c>
      <c r="P823" s="2398" t="s">
        <v>100</v>
      </c>
      <c r="Q823" s="2375">
        <f t="shared" si="240"/>
        <v>0</v>
      </c>
      <c r="R823" s="2375">
        <f t="shared" si="237"/>
        <v>0</v>
      </c>
      <c r="S823" s="2375">
        <v>0</v>
      </c>
      <c r="T823" s="2398"/>
      <c r="U823" s="2375">
        <f t="shared" si="233"/>
        <v>0</v>
      </c>
      <c r="V823" s="2375"/>
      <c r="W823" s="2382">
        <f t="shared" si="234"/>
        <v>9.85</v>
      </c>
      <c r="X823" s="2398" t="s">
        <v>100</v>
      </c>
      <c r="Y823" s="2375">
        <f t="shared" si="235"/>
        <v>18790.969999999998</v>
      </c>
      <c r="Z823" s="2375"/>
      <c r="AA823" s="2377" t="s">
        <v>3355</v>
      </c>
    </row>
    <row r="824" spans="1:27" s="331" customFormat="1" ht="25" hidden="1" customHeight="1">
      <c r="A824" s="2555"/>
      <c r="B824" s="2728" t="s">
        <v>576</v>
      </c>
      <c r="C824" s="2729"/>
      <c r="D824" s="2730"/>
      <c r="E824" s="2397">
        <f>'10. Vol Kantor 6x6'!$O$465</f>
        <v>0.2</v>
      </c>
      <c r="F824" s="2398" t="s">
        <v>103</v>
      </c>
      <c r="G824" s="2389">
        <v>1584129.98</v>
      </c>
      <c r="H824" s="2389">
        <f>E824*G824</f>
        <v>316825.99600000004</v>
      </c>
      <c r="I824" s="2465">
        <f>'Resume Analisa'!$D$55</f>
        <v>1535009.1300000001</v>
      </c>
      <c r="J824" s="2552">
        <f>E824*I824</f>
        <v>307001.82600000006</v>
      </c>
      <c r="K824" s="2378" t="e">
        <f>IF(H824=0,"",IF(J824&lt;#REF!*H824,"Timpang &lt;"&amp;TEXT(#REF!,"0%"),IF(J824&gt;#REF!*H824,"Timpang &gt;"&amp;TEXT(#REF!,"0%"),"Wajar")))</f>
        <v>#REF!</v>
      </c>
      <c r="L824" s="2391">
        <v>1535009.1300000001</v>
      </c>
      <c r="M824" s="2391">
        <f>E824*L824</f>
        <v>307001.82600000006</v>
      </c>
      <c r="N824" s="2375">
        <f t="shared" si="244"/>
        <v>1.3410494934381877E-4</v>
      </c>
      <c r="O824" s="2375">
        <v>0</v>
      </c>
      <c r="P824" s="2398" t="s">
        <v>103</v>
      </c>
      <c r="Q824" s="2375">
        <f t="shared" si="240"/>
        <v>0</v>
      </c>
      <c r="R824" s="2375">
        <f t="shared" si="237"/>
        <v>0</v>
      </c>
      <c r="S824" s="2375">
        <v>0</v>
      </c>
      <c r="T824" s="2398"/>
      <c r="U824" s="2375">
        <f t="shared" si="233"/>
        <v>0</v>
      </c>
      <c r="V824" s="2375"/>
      <c r="W824" s="2382">
        <f t="shared" si="234"/>
        <v>0.2</v>
      </c>
      <c r="X824" s="2398" t="s">
        <v>103</v>
      </c>
      <c r="Y824" s="2375">
        <f t="shared" si="235"/>
        <v>1535009.1300000001</v>
      </c>
      <c r="Z824" s="2375"/>
      <c r="AA824" s="2377" t="s">
        <v>3355</v>
      </c>
    </row>
    <row r="825" spans="1:27" s="331" customFormat="1" ht="25" hidden="1" customHeight="1">
      <c r="A825" s="2555"/>
      <c r="B825" s="2728" t="s">
        <v>607</v>
      </c>
      <c r="C825" s="2729"/>
      <c r="D825" s="2730"/>
      <c r="E825" s="2397">
        <f>(0.4+0.3)*4*4</f>
        <v>11.2</v>
      </c>
      <c r="F825" s="2398" t="s">
        <v>100</v>
      </c>
      <c r="G825" s="2473">
        <v>25591.18</v>
      </c>
      <c r="H825" s="2389">
        <f>E825*G825</f>
        <v>286621.21599999996</v>
      </c>
      <c r="I825" s="2474">
        <f>'Resume Analisa'!$D$47</f>
        <v>26179.679999999997</v>
      </c>
      <c r="J825" s="2782">
        <f>E825*I825</f>
        <v>293212.41599999997</v>
      </c>
      <c r="K825" s="2378" t="e">
        <f>IF(H825=0,"",IF(J825&lt;#REF!*H825,"Timpang &lt;"&amp;TEXT(#REF!,"0%"),IF(J825&gt;#REF!*H825,"Timpang &gt;"&amp;TEXT(#REF!,"0%"),"Wajar")))</f>
        <v>#REF!</v>
      </c>
      <c r="L825" s="2475">
        <v>26179.679999999997</v>
      </c>
      <c r="M825" s="2391">
        <f>E825*L825</f>
        <v>293212.41599999997</v>
      </c>
      <c r="N825" s="2375">
        <f t="shared" si="244"/>
        <v>1.2808144077507442E-4</v>
      </c>
      <c r="O825" s="2375">
        <v>0</v>
      </c>
      <c r="P825" s="2398" t="s">
        <v>100</v>
      </c>
      <c r="Q825" s="2375">
        <f t="shared" si="240"/>
        <v>0</v>
      </c>
      <c r="R825" s="2375">
        <f t="shared" si="237"/>
        <v>0</v>
      </c>
      <c r="S825" s="2386">
        <v>0</v>
      </c>
      <c r="T825" s="2398"/>
      <c r="U825" s="2375">
        <f t="shared" si="233"/>
        <v>0</v>
      </c>
      <c r="V825" s="2375"/>
      <c r="W825" s="2382">
        <f t="shared" si="234"/>
        <v>11.2</v>
      </c>
      <c r="X825" s="2398" t="s">
        <v>100</v>
      </c>
      <c r="Y825" s="2375">
        <f t="shared" si="235"/>
        <v>26179.679999999997</v>
      </c>
      <c r="Z825" s="2375"/>
      <c r="AA825" s="2377" t="s">
        <v>3355</v>
      </c>
    </row>
    <row r="826" spans="1:27" s="331" customFormat="1" ht="25" hidden="1" customHeight="1">
      <c r="A826" s="2398">
        <f>A812+1</f>
        <v>27</v>
      </c>
      <c r="B826" s="2379" t="s">
        <v>680</v>
      </c>
      <c r="C826" s="2550"/>
      <c r="D826" s="2551"/>
      <c r="E826" s="2397"/>
      <c r="F826" s="2398"/>
      <c r="G826" s="2389"/>
      <c r="H826" s="2389"/>
      <c r="I826" s="2480"/>
      <c r="J826" s="2480"/>
      <c r="K826" s="2389"/>
      <c r="L826" s="2391"/>
      <c r="M826" s="2391"/>
      <c r="N826" s="2375">
        <f t="shared" si="244"/>
        <v>0</v>
      </c>
      <c r="O826" s="2375">
        <v>0</v>
      </c>
      <c r="P826" s="2398"/>
      <c r="Q826" s="2375">
        <f t="shared" si="240"/>
        <v>0</v>
      </c>
      <c r="R826" s="2375">
        <f t="shared" si="237"/>
        <v>0</v>
      </c>
      <c r="S826" s="2386">
        <v>0</v>
      </c>
      <c r="T826" s="2398"/>
      <c r="U826" s="2375">
        <f t="shared" si="233"/>
        <v>0</v>
      </c>
      <c r="V826" s="2375"/>
      <c r="W826" s="2382">
        <f t="shared" si="234"/>
        <v>0</v>
      </c>
      <c r="X826" s="2398"/>
      <c r="Y826" s="2375">
        <f t="shared" si="235"/>
        <v>0</v>
      </c>
      <c r="Z826" s="2375"/>
      <c r="AA826" s="2377" t="s">
        <v>3355</v>
      </c>
    </row>
    <row r="827" spans="1:27" s="331" customFormat="1" ht="25" hidden="1" customHeight="1">
      <c r="A827" s="2555" t="s">
        <v>95</v>
      </c>
      <c r="B827" s="2379" t="s">
        <v>610</v>
      </c>
      <c r="C827" s="2550"/>
      <c r="D827" s="2551"/>
      <c r="E827" s="2397">
        <f>'10. Vol Kantor 6x6'!$O$467</f>
        <v>3.94</v>
      </c>
      <c r="F827" s="2398" t="s">
        <v>103</v>
      </c>
      <c r="G827" s="2389">
        <v>102206.25</v>
      </c>
      <c r="H827" s="2389">
        <f t="shared" ref="H827:H841" si="245">E827*G827</f>
        <v>402692.625</v>
      </c>
      <c r="I827" s="2480">
        <f>'Resume Analisa'!$D$22</f>
        <v>102740.72</v>
      </c>
      <c r="J827" s="2390">
        <f t="shared" ref="J827:J841" si="246">E827*I827</f>
        <v>404798.43680000002</v>
      </c>
      <c r="K827" s="2378" t="e">
        <f>IF(H827=0,"",IF(J827&lt;#REF!*H827,"Timpang &lt;"&amp;TEXT(#REF!,"0%"),IF(J827&gt;#REF!*H827,"Timpang &gt;"&amp;TEXT(#REF!,"0%"),"Wajar")))</f>
        <v>#REF!</v>
      </c>
      <c r="L827" s="2391">
        <v>102740.72</v>
      </c>
      <c r="M827" s="2391">
        <f t="shared" ref="M827:M841" si="247">E827*L827</f>
        <v>404798.43680000002</v>
      </c>
      <c r="N827" s="2375">
        <f t="shared" si="244"/>
        <v>1.7682459602543543E-4</v>
      </c>
      <c r="O827" s="2375">
        <v>0</v>
      </c>
      <c r="P827" s="2398" t="s">
        <v>103</v>
      </c>
      <c r="Q827" s="2375">
        <f t="shared" si="240"/>
        <v>0</v>
      </c>
      <c r="R827" s="2375">
        <f t="shared" si="237"/>
        <v>0</v>
      </c>
      <c r="S827" s="2375">
        <v>0</v>
      </c>
      <c r="T827" s="2398"/>
      <c r="U827" s="2375">
        <f t="shared" si="233"/>
        <v>0</v>
      </c>
      <c r="V827" s="2375"/>
      <c r="W827" s="2382">
        <f t="shared" si="234"/>
        <v>3.94</v>
      </c>
      <c r="X827" s="2398" t="s">
        <v>103</v>
      </c>
      <c r="Y827" s="2375">
        <f t="shared" si="235"/>
        <v>102740.72</v>
      </c>
      <c r="Z827" s="2375"/>
      <c r="AA827" s="2377" t="s">
        <v>3355</v>
      </c>
    </row>
    <row r="828" spans="1:27" s="331" customFormat="1" ht="25" hidden="1" customHeight="1">
      <c r="A828" s="2555" t="s">
        <v>98</v>
      </c>
      <c r="B828" s="2379" t="s">
        <v>611</v>
      </c>
      <c r="C828" s="2550"/>
      <c r="D828" s="2551"/>
      <c r="E828" s="2397">
        <f>'10. Vol Kantor 6x6'!$O$468</f>
        <v>0.23</v>
      </c>
      <c r="F828" s="2398" t="s">
        <v>103</v>
      </c>
      <c r="G828" s="2389">
        <v>507759.96</v>
      </c>
      <c r="H828" s="2389">
        <f t="shared" si="245"/>
        <v>116784.79080000002</v>
      </c>
      <c r="I828" s="2480">
        <f>'Resume Analisa'!$D$26</f>
        <v>475358.64</v>
      </c>
      <c r="J828" s="2390">
        <f t="shared" si="246"/>
        <v>109332.4872</v>
      </c>
      <c r="K828" s="2378" t="e">
        <f>IF(H828=0,"",IF(J828&lt;#REF!*H828,"Timpang &lt;"&amp;TEXT(#REF!,"0%"),IF(J828&gt;#REF!*H828,"Timpang &gt;"&amp;TEXT(#REF!,"0%"),"Wajar")))</f>
        <v>#REF!</v>
      </c>
      <c r="L828" s="2391">
        <v>475358.64</v>
      </c>
      <c r="M828" s="2391">
        <f t="shared" si="247"/>
        <v>109332.4872</v>
      </c>
      <c r="N828" s="2375">
        <f t="shared" si="244"/>
        <v>4.7758763681065901E-5</v>
      </c>
      <c r="O828" s="2375">
        <v>0</v>
      </c>
      <c r="P828" s="2398" t="s">
        <v>103</v>
      </c>
      <c r="Q828" s="2375">
        <f t="shared" si="240"/>
        <v>0</v>
      </c>
      <c r="R828" s="2375">
        <f t="shared" si="237"/>
        <v>0</v>
      </c>
      <c r="S828" s="2375">
        <v>0</v>
      </c>
      <c r="T828" s="2398"/>
      <c r="U828" s="2375">
        <f t="shared" si="233"/>
        <v>0</v>
      </c>
      <c r="V828" s="2375"/>
      <c r="W828" s="2382">
        <f t="shared" si="234"/>
        <v>0.23</v>
      </c>
      <c r="X828" s="2398" t="s">
        <v>103</v>
      </c>
      <c r="Y828" s="2375">
        <f t="shared" si="235"/>
        <v>475358.64</v>
      </c>
      <c r="Z828" s="2375"/>
      <c r="AA828" s="2377" t="s">
        <v>3355</v>
      </c>
    </row>
    <row r="829" spans="1:27" s="331" customFormat="1" ht="25" hidden="1" customHeight="1">
      <c r="A829" s="2555" t="s">
        <v>101</v>
      </c>
      <c r="B829" s="2379" t="s">
        <v>496</v>
      </c>
      <c r="C829" s="2550"/>
      <c r="D829" s="2551"/>
      <c r="E829" s="2397">
        <f>'10. Vol Kantor 6x6'!$O$469</f>
        <v>0.11</v>
      </c>
      <c r="F829" s="2398" t="s">
        <v>103</v>
      </c>
      <c r="G829" s="2389">
        <v>1422226.08</v>
      </c>
      <c r="H829" s="2389">
        <f t="shared" si="245"/>
        <v>156444.8688</v>
      </c>
      <c r="I829" s="2480">
        <f>'Resume Analisa'!$D$54</f>
        <v>1384580.76</v>
      </c>
      <c r="J829" s="2390">
        <f t="shared" si="246"/>
        <v>152303.8836</v>
      </c>
      <c r="K829" s="2378" t="e">
        <f>IF(H829=0,"",IF(J829&lt;#REF!*H829,"Timpang &lt;"&amp;TEXT(#REF!,"0%"),IF(J829&gt;#REF!*H829,"Timpang &gt;"&amp;TEXT(#REF!,"0%"),"Wajar")))</f>
        <v>#REF!</v>
      </c>
      <c r="L829" s="2391">
        <v>1384580.76</v>
      </c>
      <c r="M829" s="2391">
        <f t="shared" si="247"/>
        <v>152303.8836</v>
      </c>
      <c r="N829" s="2375">
        <f t="shared" si="244"/>
        <v>6.6529586684102869E-5</v>
      </c>
      <c r="O829" s="2375">
        <v>0</v>
      </c>
      <c r="P829" s="2398" t="s">
        <v>103</v>
      </c>
      <c r="Q829" s="2375">
        <f t="shared" si="240"/>
        <v>0</v>
      </c>
      <c r="R829" s="2375">
        <f t="shared" si="237"/>
        <v>0</v>
      </c>
      <c r="S829" s="2375">
        <v>0</v>
      </c>
      <c r="T829" s="2398"/>
      <c r="U829" s="2375">
        <f t="shared" si="233"/>
        <v>0</v>
      </c>
      <c r="V829" s="2375"/>
      <c r="W829" s="2382">
        <f t="shared" si="234"/>
        <v>0.11</v>
      </c>
      <c r="X829" s="2398" t="s">
        <v>103</v>
      </c>
      <c r="Y829" s="2375">
        <f t="shared" si="235"/>
        <v>1384580.76</v>
      </c>
      <c r="Z829" s="2375"/>
      <c r="AA829" s="2377" t="s">
        <v>3355</v>
      </c>
    </row>
    <row r="830" spans="1:27" s="331" customFormat="1" ht="25" hidden="1" customHeight="1">
      <c r="A830" s="2555" t="s">
        <v>121</v>
      </c>
      <c r="B830" s="2379" t="s">
        <v>612</v>
      </c>
      <c r="C830" s="2550"/>
      <c r="D830" s="2551"/>
      <c r="E830" s="2397">
        <f>'10. Vol Kantor 6x6'!$O$470</f>
        <v>1</v>
      </c>
      <c r="F830" s="2398" t="s">
        <v>360</v>
      </c>
      <c r="G830" s="2389">
        <v>2995750</v>
      </c>
      <c r="H830" s="2389">
        <f t="shared" si="245"/>
        <v>2995750</v>
      </c>
      <c r="I830" s="2480">
        <f>'Resume Analisa'!$D$194</f>
        <v>3148513.3899999997</v>
      </c>
      <c r="J830" s="2390">
        <f t="shared" si="246"/>
        <v>3148513.3899999997</v>
      </c>
      <c r="K830" s="2378" t="e">
        <f>IF(H830=0,"",IF(J830&lt;#REF!*H830,"Timpang &lt;"&amp;TEXT(#REF!,"0%"),IF(J830&gt;#REF!*H830,"Timpang &gt;"&amp;TEXT(#REF!,"0%"),"Wajar")))</f>
        <v>#REF!</v>
      </c>
      <c r="L830" s="2391">
        <v>3148513.3899999997</v>
      </c>
      <c r="M830" s="2391">
        <f t="shared" si="247"/>
        <v>3148513.3899999997</v>
      </c>
      <c r="N830" s="2375">
        <f t="shared" si="244"/>
        <v>1.3753378413921388E-3</v>
      </c>
      <c r="O830" s="2375">
        <v>0</v>
      </c>
      <c r="P830" s="2398" t="s">
        <v>360</v>
      </c>
      <c r="Q830" s="2375">
        <f t="shared" si="240"/>
        <v>0</v>
      </c>
      <c r="R830" s="2375">
        <f t="shared" si="237"/>
        <v>0</v>
      </c>
      <c r="S830" s="2375">
        <v>0</v>
      </c>
      <c r="T830" s="2398"/>
      <c r="U830" s="2375">
        <f t="shared" si="233"/>
        <v>0</v>
      </c>
      <c r="V830" s="2375"/>
      <c r="W830" s="2382">
        <f t="shared" si="234"/>
        <v>1</v>
      </c>
      <c r="X830" s="2398" t="s">
        <v>360</v>
      </c>
      <c r="Y830" s="2375">
        <f t="shared" si="235"/>
        <v>3148513.3899999997</v>
      </c>
      <c r="Z830" s="2375"/>
      <c r="AA830" s="2377" t="s">
        <v>3355</v>
      </c>
    </row>
    <row r="831" spans="1:27" s="331" customFormat="1" ht="25" hidden="1" customHeight="1">
      <c r="A831" s="2398">
        <f>A826+1</f>
        <v>28</v>
      </c>
      <c r="B831" s="2549" t="s">
        <v>681</v>
      </c>
      <c r="C831" s="2550"/>
      <c r="D831" s="2551"/>
      <c r="E831" s="2397">
        <f>'10. Vol Kantor 6x6'!$O$473</f>
        <v>16</v>
      </c>
      <c r="F831" s="2398" t="s">
        <v>357</v>
      </c>
      <c r="G831" s="2389">
        <v>477825</v>
      </c>
      <c r="H831" s="2389">
        <f t="shared" si="245"/>
        <v>7645200</v>
      </c>
      <c r="I831" s="2465">
        <f>'Resume Analisa'!$D$134</f>
        <v>481667.92</v>
      </c>
      <c r="J831" s="2567">
        <f t="shared" si="246"/>
        <v>7706686.7199999997</v>
      </c>
      <c r="K831" s="2378" t="e">
        <f>IF(H831=0,"",IF(J831&lt;#REF!*H831,"Timpang &lt;"&amp;TEXT(#REF!,"0%"),IF(J831&gt;#REF!*H831,"Timpang &gt;"&amp;TEXT(#REF!,"0%"),"Wajar")))</f>
        <v>#REF!</v>
      </c>
      <c r="L831" s="2391">
        <v>481667.92</v>
      </c>
      <c r="M831" s="2391">
        <f t="shared" si="247"/>
        <v>7706686.7199999997</v>
      </c>
      <c r="N831" s="2375">
        <f t="shared" si="244"/>
        <v>3.3664452282257131E-3</v>
      </c>
      <c r="O831" s="2375">
        <v>0</v>
      </c>
      <c r="P831" s="2398" t="s">
        <v>357</v>
      </c>
      <c r="Q831" s="2375">
        <f t="shared" si="240"/>
        <v>0</v>
      </c>
      <c r="R831" s="2375">
        <f t="shared" si="237"/>
        <v>0</v>
      </c>
      <c r="S831" s="2375">
        <v>0</v>
      </c>
      <c r="T831" s="2398"/>
      <c r="U831" s="2375">
        <f t="shared" si="233"/>
        <v>0</v>
      </c>
      <c r="V831" s="2375"/>
      <c r="W831" s="2382">
        <f t="shared" si="234"/>
        <v>16</v>
      </c>
      <c r="X831" s="2398" t="s">
        <v>357</v>
      </c>
      <c r="Y831" s="2375">
        <f t="shared" si="235"/>
        <v>481667.92</v>
      </c>
      <c r="Z831" s="2375"/>
      <c r="AA831" s="2377" t="s">
        <v>3355</v>
      </c>
    </row>
    <row r="832" spans="1:27" s="331" customFormat="1" ht="25" hidden="1" customHeight="1">
      <c r="A832" s="2398">
        <f t="shared" ref="A832:A841" si="248">A831+1</f>
        <v>29</v>
      </c>
      <c r="B832" s="2549" t="s">
        <v>682</v>
      </c>
      <c r="C832" s="2550"/>
      <c r="D832" s="2551"/>
      <c r="E832" s="2397">
        <f>'10. Vol Kantor 6x6'!$O$478</f>
        <v>9</v>
      </c>
      <c r="F832" s="2398" t="s">
        <v>357</v>
      </c>
      <c r="G832" s="2389">
        <v>675431.23</v>
      </c>
      <c r="H832" s="2389">
        <f t="shared" si="245"/>
        <v>6078881.0700000003</v>
      </c>
      <c r="I832" s="2465">
        <f>'Resume Analisa'!$D$140</f>
        <v>695238.63</v>
      </c>
      <c r="J832" s="2567">
        <f t="shared" si="246"/>
        <v>6257147.6699999999</v>
      </c>
      <c r="K832" s="2378" t="e">
        <f>IF(H832=0,"",IF(J832&lt;#REF!*H832,"Timpang &lt;"&amp;TEXT(#REF!,"0%"),IF(J832&gt;#REF!*H832,"Timpang &gt;"&amp;TEXT(#REF!,"0%"),"Wajar")))</f>
        <v>#REF!</v>
      </c>
      <c r="L832" s="2391">
        <v>695238.63</v>
      </c>
      <c r="M832" s="2391">
        <f t="shared" si="247"/>
        <v>6257147.6699999999</v>
      </c>
      <c r="N832" s="2375">
        <f t="shared" si="244"/>
        <v>2.7332556364734572E-3</v>
      </c>
      <c r="O832" s="2375">
        <v>0</v>
      </c>
      <c r="P832" s="2398" t="s">
        <v>357</v>
      </c>
      <c r="Q832" s="2375">
        <f t="shared" si="240"/>
        <v>0</v>
      </c>
      <c r="R832" s="2375">
        <f t="shared" si="237"/>
        <v>0</v>
      </c>
      <c r="S832" s="2386">
        <v>0</v>
      </c>
      <c r="T832" s="2398"/>
      <c r="U832" s="2375">
        <f t="shared" si="233"/>
        <v>0</v>
      </c>
      <c r="V832" s="2375"/>
      <c r="W832" s="2382">
        <f t="shared" si="234"/>
        <v>9</v>
      </c>
      <c r="X832" s="2398" t="s">
        <v>357</v>
      </c>
      <c r="Y832" s="2375">
        <f t="shared" si="235"/>
        <v>695238.63</v>
      </c>
      <c r="Z832" s="2375"/>
      <c r="AA832" s="2377" t="s">
        <v>3355</v>
      </c>
    </row>
    <row r="833" spans="1:27" s="331" customFormat="1" ht="25" hidden="1" customHeight="1">
      <c r="A833" s="2398">
        <f t="shared" si="248"/>
        <v>30</v>
      </c>
      <c r="B833" s="2549" t="s">
        <v>683</v>
      </c>
      <c r="C833" s="2550"/>
      <c r="D833" s="2551"/>
      <c r="E833" s="2397">
        <f>'10. Vol Kantor 6x6'!$O$479</f>
        <v>1</v>
      </c>
      <c r="F833" s="2398" t="s">
        <v>357</v>
      </c>
      <c r="G833" s="2389">
        <v>66665199.850000001</v>
      </c>
      <c r="H833" s="2389">
        <f t="shared" si="245"/>
        <v>66665199.850000001</v>
      </c>
      <c r="I833" s="2465">
        <f>'Resume Analisa'!$D$142</f>
        <v>68743003.829999998</v>
      </c>
      <c r="J833" s="2567">
        <f t="shared" si="246"/>
        <v>68743003.829999998</v>
      </c>
      <c r="K833" s="2378" t="e">
        <f>IF(H833=0,"",IF(J833&lt;#REF!*H833,"Timpang &lt;"&amp;TEXT(#REF!,"0%"),IF(J833&gt;#REF!*H833,"Timpang &gt;"&amp;TEXT(#REF!,"0%"),"Wajar")))</f>
        <v>#REF!</v>
      </c>
      <c r="L833" s="2391">
        <v>68743003.829999998</v>
      </c>
      <c r="M833" s="2391">
        <f t="shared" si="247"/>
        <v>68743003.829999998</v>
      </c>
      <c r="N833" s="2375">
        <f t="shared" si="244"/>
        <v>3.0028411122102212E-2</v>
      </c>
      <c r="O833" s="2375">
        <v>0</v>
      </c>
      <c r="P833" s="2398" t="s">
        <v>357</v>
      </c>
      <c r="Q833" s="2375">
        <f t="shared" si="240"/>
        <v>0</v>
      </c>
      <c r="R833" s="2375">
        <f t="shared" si="237"/>
        <v>0</v>
      </c>
      <c r="S833" s="2386">
        <v>0</v>
      </c>
      <c r="T833" s="2398"/>
      <c r="U833" s="2375">
        <f t="shared" si="233"/>
        <v>0</v>
      </c>
      <c r="V833" s="2375"/>
      <c r="W833" s="2382">
        <f t="shared" si="234"/>
        <v>1</v>
      </c>
      <c r="X833" s="2398" t="s">
        <v>357</v>
      </c>
      <c r="Y833" s="2375">
        <f t="shared" si="235"/>
        <v>68743003.829999998</v>
      </c>
      <c r="Z833" s="2375"/>
      <c r="AA833" s="2377" t="s">
        <v>3355</v>
      </c>
    </row>
    <row r="834" spans="1:27" s="331" customFormat="1" ht="25" hidden="1" customHeight="1">
      <c r="A834" s="2398">
        <f t="shared" si="248"/>
        <v>31</v>
      </c>
      <c r="B834" s="2549" t="s">
        <v>614</v>
      </c>
      <c r="C834" s="2550"/>
      <c r="D834" s="2551"/>
      <c r="E834" s="2397">
        <f>'10. Vol Kantor 6x6'!$O$480</f>
        <v>4</v>
      </c>
      <c r="F834" s="2398" t="s">
        <v>124</v>
      </c>
      <c r="G834" s="2389">
        <v>49705.880000000005</v>
      </c>
      <c r="H834" s="2389">
        <f t="shared" si="245"/>
        <v>198823.52000000002</v>
      </c>
      <c r="I834" s="2465">
        <f>'Resume Analisa'!$D$143</f>
        <v>47082.47</v>
      </c>
      <c r="J834" s="2567">
        <f t="shared" si="246"/>
        <v>188329.88</v>
      </c>
      <c r="K834" s="2378" t="e">
        <f>IF(H834=0,"",IF(J834&lt;#REF!*H834,"Timpang &lt;"&amp;TEXT(#REF!,"0%"),IF(J834&gt;#REF!*H834,"Timpang &gt;"&amp;TEXT(#REF!,"0%"),"Wajar")))</f>
        <v>#REF!</v>
      </c>
      <c r="L834" s="2391">
        <v>47082.47</v>
      </c>
      <c r="M834" s="2391">
        <f t="shared" si="247"/>
        <v>188329.88</v>
      </c>
      <c r="N834" s="2375">
        <f t="shared" si="244"/>
        <v>8.2266510744882234E-5</v>
      </c>
      <c r="O834" s="2375">
        <v>0</v>
      </c>
      <c r="P834" s="2398" t="s">
        <v>124</v>
      </c>
      <c r="Q834" s="2375">
        <f t="shared" si="240"/>
        <v>0</v>
      </c>
      <c r="R834" s="2375">
        <f t="shared" si="237"/>
        <v>0</v>
      </c>
      <c r="S834" s="2375">
        <v>0</v>
      </c>
      <c r="T834" s="2398"/>
      <c r="U834" s="2375">
        <f t="shared" si="233"/>
        <v>0</v>
      </c>
      <c r="V834" s="2375"/>
      <c r="W834" s="2382">
        <f t="shared" si="234"/>
        <v>4</v>
      </c>
      <c r="X834" s="2398" t="s">
        <v>124</v>
      </c>
      <c r="Y834" s="2375">
        <f t="shared" si="235"/>
        <v>47082.47</v>
      </c>
      <c r="Z834" s="2375"/>
      <c r="AA834" s="2377" t="s">
        <v>3355</v>
      </c>
    </row>
    <row r="835" spans="1:27" s="331" customFormat="1" ht="25" hidden="1" customHeight="1">
      <c r="A835" s="2398">
        <f t="shared" si="248"/>
        <v>32</v>
      </c>
      <c r="B835" s="2549" t="s">
        <v>639</v>
      </c>
      <c r="C835" s="2550"/>
      <c r="D835" s="2551"/>
      <c r="E835" s="2397">
        <f>'10. Vol Kantor 6x6'!$O$481</f>
        <v>1</v>
      </c>
      <c r="F835" s="2398" t="s">
        <v>124</v>
      </c>
      <c r="G835" s="2389">
        <v>68649.25</v>
      </c>
      <c r="H835" s="2389">
        <f t="shared" si="245"/>
        <v>68649.25</v>
      </c>
      <c r="I835" s="2465">
        <f>'Resume Analisa'!$D$144</f>
        <v>67408.72</v>
      </c>
      <c r="J835" s="2567">
        <f t="shared" si="246"/>
        <v>67408.72</v>
      </c>
      <c r="K835" s="2378" t="e">
        <f>IF(H835=0,"",IF(J835&lt;#REF!*H835,"Timpang &lt;"&amp;TEXT(#REF!,"0%"),IF(J835&gt;#REF!*H835,"Timpang &gt;"&amp;TEXT(#REF!,"0%"),"Wajar")))</f>
        <v>#REF!</v>
      </c>
      <c r="L835" s="2391">
        <v>67408.72</v>
      </c>
      <c r="M835" s="2391">
        <f t="shared" si="247"/>
        <v>67408.72</v>
      </c>
      <c r="N835" s="2375">
        <f t="shared" si="244"/>
        <v>2.9445567470115511E-5</v>
      </c>
      <c r="O835" s="2375">
        <v>0</v>
      </c>
      <c r="P835" s="2398" t="s">
        <v>124</v>
      </c>
      <c r="Q835" s="2375">
        <f t="shared" si="240"/>
        <v>0</v>
      </c>
      <c r="R835" s="2375">
        <f t="shared" si="237"/>
        <v>0</v>
      </c>
      <c r="S835" s="2375">
        <v>0</v>
      </c>
      <c r="T835" s="2398"/>
      <c r="U835" s="2375">
        <f t="shared" si="233"/>
        <v>0</v>
      </c>
      <c r="V835" s="2375"/>
      <c r="W835" s="2382">
        <f t="shared" si="234"/>
        <v>1</v>
      </c>
      <c r="X835" s="2398" t="s">
        <v>124</v>
      </c>
      <c r="Y835" s="2375">
        <f t="shared" si="235"/>
        <v>67408.72</v>
      </c>
      <c r="Z835" s="2375"/>
      <c r="AA835" s="2377" t="s">
        <v>3355</v>
      </c>
    </row>
    <row r="836" spans="1:27" s="331" customFormat="1" ht="25" hidden="1" customHeight="1">
      <c r="A836" s="2398">
        <f t="shared" si="248"/>
        <v>33</v>
      </c>
      <c r="B836" s="2549" t="s">
        <v>615</v>
      </c>
      <c r="C836" s="2550"/>
      <c r="D836" s="2551"/>
      <c r="E836" s="2397">
        <f>'10. Vol Kantor 6x6'!$O$482</f>
        <v>7</v>
      </c>
      <c r="F836" s="2398" t="s">
        <v>124</v>
      </c>
      <c r="G836" s="2389">
        <v>91426.5</v>
      </c>
      <c r="H836" s="2389">
        <f t="shared" si="245"/>
        <v>639985.5</v>
      </c>
      <c r="I836" s="2465">
        <f>'Resume Analisa'!$D$145</f>
        <v>89074.98</v>
      </c>
      <c r="J836" s="2567">
        <f t="shared" si="246"/>
        <v>623524.86</v>
      </c>
      <c r="K836" s="2378" t="e">
        <f>IF(H836=0,"",IF(J836&lt;#REF!*H836,"Timpang &lt;"&amp;TEXT(#REF!,"0%"),IF(J836&gt;#REF!*H836,"Timpang &gt;"&amp;TEXT(#REF!,"0%"),"Wajar")))</f>
        <v>#REF!</v>
      </c>
      <c r="L836" s="2391">
        <v>89074.98</v>
      </c>
      <c r="M836" s="2391">
        <f t="shared" si="247"/>
        <v>623524.86</v>
      </c>
      <c r="N836" s="2375">
        <f t="shared" si="244"/>
        <v>2.7236896553479024E-4</v>
      </c>
      <c r="O836" s="2375">
        <v>0</v>
      </c>
      <c r="P836" s="2398" t="s">
        <v>124</v>
      </c>
      <c r="Q836" s="2375">
        <f t="shared" si="240"/>
        <v>0</v>
      </c>
      <c r="R836" s="2375">
        <f t="shared" si="237"/>
        <v>0</v>
      </c>
      <c r="S836" s="2375">
        <v>0</v>
      </c>
      <c r="T836" s="2398"/>
      <c r="U836" s="2375">
        <f t="shared" si="233"/>
        <v>0</v>
      </c>
      <c r="V836" s="2375"/>
      <c r="W836" s="2382">
        <f t="shared" si="234"/>
        <v>7</v>
      </c>
      <c r="X836" s="2398" t="s">
        <v>124</v>
      </c>
      <c r="Y836" s="2375">
        <f t="shared" si="235"/>
        <v>89074.98</v>
      </c>
      <c r="Z836" s="2375"/>
      <c r="AA836" s="2377" t="s">
        <v>3355</v>
      </c>
    </row>
    <row r="837" spans="1:27" s="331" customFormat="1" ht="25" hidden="1" customHeight="1">
      <c r="A837" s="2398">
        <f t="shared" si="248"/>
        <v>34</v>
      </c>
      <c r="B837" s="2549" t="s">
        <v>684</v>
      </c>
      <c r="C837" s="2550"/>
      <c r="D837" s="2551"/>
      <c r="E837" s="2397">
        <f>'10. Vol Kantor 6x6'!$O$483</f>
        <v>1</v>
      </c>
      <c r="F837" s="2398" t="s">
        <v>124</v>
      </c>
      <c r="G837" s="2389">
        <v>126130.28</v>
      </c>
      <c r="H837" s="2389">
        <f t="shared" si="245"/>
        <v>126130.28</v>
      </c>
      <c r="I837" s="2465">
        <f>'Resume Analisa'!$D$146</f>
        <v>127177.11</v>
      </c>
      <c r="J837" s="2567">
        <f t="shared" si="246"/>
        <v>127177.11</v>
      </c>
      <c r="K837" s="2378" t="e">
        <f>IF(H837=0,"",IF(J837&lt;#REF!*H837,"Timpang &lt;"&amp;TEXT(#REF!,"0%"),IF(J837&gt;#REF!*H837,"Timpang &gt;"&amp;TEXT(#REF!,"0%"),"Wajar")))</f>
        <v>#REF!</v>
      </c>
      <c r="L837" s="2391">
        <v>127177.11</v>
      </c>
      <c r="M837" s="2391">
        <f t="shared" si="247"/>
        <v>127177.11</v>
      </c>
      <c r="N837" s="2375">
        <f t="shared" si="244"/>
        <v>5.5553675743424617E-5</v>
      </c>
      <c r="O837" s="2375">
        <v>0</v>
      </c>
      <c r="P837" s="2398" t="s">
        <v>124</v>
      </c>
      <c r="Q837" s="2375">
        <f t="shared" si="240"/>
        <v>0</v>
      </c>
      <c r="R837" s="2375">
        <f t="shared" si="237"/>
        <v>0</v>
      </c>
      <c r="S837" s="2375">
        <v>0</v>
      </c>
      <c r="T837" s="2398"/>
      <c r="U837" s="2375">
        <f t="shared" si="233"/>
        <v>0</v>
      </c>
      <c r="V837" s="2375"/>
      <c r="W837" s="2382">
        <f t="shared" si="234"/>
        <v>1</v>
      </c>
      <c r="X837" s="2398" t="s">
        <v>124</v>
      </c>
      <c r="Y837" s="2375">
        <f t="shared" si="235"/>
        <v>127177.11</v>
      </c>
      <c r="Z837" s="2375"/>
      <c r="AA837" s="2377" t="s">
        <v>3355</v>
      </c>
    </row>
    <row r="838" spans="1:27" s="331" customFormat="1" ht="25" hidden="1" customHeight="1">
      <c r="A838" s="2398">
        <f t="shared" si="248"/>
        <v>35</v>
      </c>
      <c r="B838" s="2549" t="s">
        <v>685</v>
      </c>
      <c r="C838" s="2550"/>
      <c r="D838" s="2551"/>
      <c r="E838" s="2397">
        <f>'10. Vol Kantor 6x6'!$O$484</f>
        <v>1</v>
      </c>
      <c r="F838" s="2398" t="s">
        <v>124</v>
      </c>
      <c r="G838" s="2389">
        <v>74980</v>
      </c>
      <c r="H838" s="2389">
        <f t="shared" si="245"/>
        <v>74980</v>
      </c>
      <c r="I838" s="2465">
        <f>'Resume Analisa'!$D$147</f>
        <v>78780.349999999991</v>
      </c>
      <c r="J838" s="2567">
        <f t="shared" si="246"/>
        <v>78780.349999999991</v>
      </c>
      <c r="K838" s="2378" t="e">
        <f>IF(H838=0,"",IF(J838&lt;#REF!*H838,"Timpang &lt;"&amp;TEXT(#REF!,"0%"),IF(J838&gt;#REF!*H838,"Timpang &gt;"&amp;TEXT(#REF!,"0%"),"Wajar")))</f>
        <v>#REF!</v>
      </c>
      <c r="L838" s="2391">
        <v>78780.349999999991</v>
      </c>
      <c r="M838" s="2391">
        <f t="shared" si="247"/>
        <v>78780.349999999991</v>
      </c>
      <c r="N838" s="2375">
        <f t="shared" si="244"/>
        <v>3.4412938136851049E-5</v>
      </c>
      <c r="O838" s="2375">
        <v>0</v>
      </c>
      <c r="P838" s="2398" t="s">
        <v>124</v>
      </c>
      <c r="Q838" s="2375">
        <f t="shared" si="240"/>
        <v>0</v>
      </c>
      <c r="R838" s="2375">
        <f t="shared" si="237"/>
        <v>0</v>
      </c>
      <c r="S838" s="2375">
        <v>0</v>
      </c>
      <c r="T838" s="2590"/>
      <c r="U838" s="2375">
        <f t="shared" si="233"/>
        <v>0</v>
      </c>
      <c r="V838" s="2375"/>
      <c r="W838" s="2382">
        <f t="shared" si="234"/>
        <v>1</v>
      </c>
      <c r="X838" s="2398" t="s">
        <v>124</v>
      </c>
      <c r="Y838" s="2375">
        <f t="shared" si="235"/>
        <v>78780.349999999991</v>
      </c>
      <c r="Z838" s="2375"/>
      <c r="AA838" s="2377" t="s">
        <v>3355</v>
      </c>
    </row>
    <row r="839" spans="1:27" s="331" customFormat="1" ht="25" hidden="1" customHeight="1">
      <c r="A839" s="2398">
        <f t="shared" si="248"/>
        <v>36</v>
      </c>
      <c r="B839" s="2549" t="s">
        <v>547</v>
      </c>
      <c r="C839" s="2550"/>
      <c r="D839" s="2551"/>
      <c r="E839" s="2397">
        <f>'10. Vol Kantor 6x6'!$O$485</f>
        <v>16</v>
      </c>
      <c r="F839" s="2398" t="s">
        <v>124</v>
      </c>
      <c r="G839" s="2389">
        <v>146579</v>
      </c>
      <c r="H839" s="2389">
        <f t="shared" si="245"/>
        <v>2345264</v>
      </c>
      <c r="I839" s="2465">
        <f>'Resume Analisa'!$D$148</f>
        <v>142838.90000000002</v>
      </c>
      <c r="J839" s="2567">
        <f t="shared" si="246"/>
        <v>2285422.4000000004</v>
      </c>
      <c r="K839" s="2378" t="e">
        <f>IF(H839=0,"",IF(J839&lt;#REF!*H839,"Timpang &lt;"&amp;TEXT(#REF!,"0%"),IF(J839&gt;#REF!*H839,"Timpang &gt;"&amp;TEXT(#REF!,"0%"),"Wajar")))</f>
        <v>#REF!</v>
      </c>
      <c r="L839" s="2391">
        <v>142838.90000000002</v>
      </c>
      <c r="M839" s="2391">
        <f t="shared" si="247"/>
        <v>2285422.4000000004</v>
      </c>
      <c r="N839" s="2375">
        <f t="shared" si="244"/>
        <v>9.9832127767614221E-4</v>
      </c>
      <c r="O839" s="2375">
        <v>0</v>
      </c>
      <c r="P839" s="2398" t="s">
        <v>124</v>
      </c>
      <c r="Q839" s="2375">
        <f t="shared" si="240"/>
        <v>0</v>
      </c>
      <c r="R839" s="2375">
        <f t="shared" si="237"/>
        <v>0</v>
      </c>
      <c r="S839" s="2386">
        <v>0</v>
      </c>
      <c r="T839" s="2398"/>
      <c r="U839" s="2375">
        <f t="shared" si="233"/>
        <v>0</v>
      </c>
      <c r="V839" s="2375"/>
      <c r="W839" s="2382">
        <f t="shared" si="234"/>
        <v>16</v>
      </c>
      <c r="X839" s="2398" t="s">
        <v>124</v>
      </c>
      <c r="Y839" s="2375">
        <f t="shared" si="235"/>
        <v>142838.90000000002</v>
      </c>
      <c r="Z839" s="2375"/>
      <c r="AA839" s="2377" t="s">
        <v>3355</v>
      </c>
    </row>
    <row r="840" spans="1:27" s="331" customFormat="1" ht="25" hidden="1" customHeight="1">
      <c r="A840" s="2398">
        <f t="shared" si="248"/>
        <v>37</v>
      </c>
      <c r="B840" s="2379" t="s">
        <v>686</v>
      </c>
      <c r="C840" s="2550"/>
      <c r="D840" s="2551"/>
      <c r="E840" s="2397">
        <f>'10. Vol Kantor 6x6'!$O$486</f>
        <v>1</v>
      </c>
      <c r="F840" s="2398" t="s">
        <v>360</v>
      </c>
      <c r="G840" s="2389">
        <v>5711015</v>
      </c>
      <c r="H840" s="2389">
        <f t="shared" si="245"/>
        <v>5711015</v>
      </c>
      <c r="I840" s="2465">
        <f>'Resume Analisa'!$D$154</f>
        <v>5689729.1299999999</v>
      </c>
      <c r="J840" s="2567">
        <f t="shared" si="246"/>
        <v>5689729.1299999999</v>
      </c>
      <c r="K840" s="2378" t="e">
        <f>IF(H840=0,"",IF(J840&lt;#REF!*H840,"Timpang &lt;"&amp;TEXT(#REF!,"0%"),IF(J840&gt;#REF!*H840,"Timpang &gt;"&amp;TEXT(#REF!,"0%"),"Wajar")))</f>
        <v>#REF!</v>
      </c>
      <c r="L840" s="2391">
        <v>5689729.1299999999</v>
      </c>
      <c r="M840" s="2391">
        <f t="shared" si="247"/>
        <v>5689729.1299999999</v>
      </c>
      <c r="N840" s="2375">
        <f t="shared" si="244"/>
        <v>2.4853951088834891E-3</v>
      </c>
      <c r="O840" s="2375">
        <v>0</v>
      </c>
      <c r="P840" s="2398" t="s">
        <v>360</v>
      </c>
      <c r="Q840" s="2375">
        <f t="shared" si="240"/>
        <v>0</v>
      </c>
      <c r="R840" s="2375">
        <f t="shared" si="237"/>
        <v>0</v>
      </c>
      <c r="S840" s="2386">
        <v>0</v>
      </c>
      <c r="T840" s="2590"/>
      <c r="U840" s="2375">
        <f t="shared" si="233"/>
        <v>0</v>
      </c>
      <c r="V840" s="2375"/>
      <c r="W840" s="2382">
        <f t="shared" si="234"/>
        <v>1</v>
      </c>
      <c r="X840" s="2398" t="s">
        <v>360</v>
      </c>
      <c r="Y840" s="2375">
        <f t="shared" si="235"/>
        <v>5689729.1299999999</v>
      </c>
      <c r="Z840" s="2375"/>
      <c r="AA840" s="2377" t="s">
        <v>3355</v>
      </c>
    </row>
    <row r="841" spans="1:27" s="331" customFormat="1" ht="25" hidden="1" customHeight="1">
      <c r="A841" s="2398">
        <f t="shared" si="248"/>
        <v>38</v>
      </c>
      <c r="B841" s="2549" t="s">
        <v>687</v>
      </c>
      <c r="C841" s="2550"/>
      <c r="D841" s="2551"/>
      <c r="E841" s="2397">
        <f>'10. Vol Kantor 6x6'!$O$487</f>
        <v>1</v>
      </c>
      <c r="F841" s="2398" t="s">
        <v>360</v>
      </c>
      <c r="G841" s="2389">
        <v>1683347</v>
      </c>
      <c r="H841" s="2389">
        <f t="shared" si="245"/>
        <v>1683347</v>
      </c>
      <c r="I841" s="2465">
        <f>'Resume Analisa'!$D$155</f>
        <v>1622905.81</v>
      </c>
      <c r="J841" s="2567">
        <f t="shared" si="246"/>
        <v>1622905.81</v>
      </c>
      <c r="K841" s="2378" t="e">
        <f>IF(H841=0,"",IF(J841&lt;#REF!*H841,"Timpang &lt;"&amp;TEXT(#REF!,"0%"),IF(J841&gt;#REF!*H841,"Timpang &gt;"&amp;TEXT(#REF!,"0%"),"Wajar")))</f>
        <v>#REF!</v>
      </c>
      <c r="L841" s="2391">
        <v>1622905.81</v>
      </c>
      <c r="M841" s="2391">
        <f t="shared" si="247"/>
        <v>1622905.81</v>
      </c>
      <c r="N841" s="2375">
        <f t="shared" si="244"/>
        <v>7.0891989235216842E-4</v>
      </c>
      <c r="O841" s="2375">
        <v>0</v>
      </c>
      <c r="P841" s="2398" t="s">
        <v>360</v>
      </c>
      <c r="Q841" s="2375">
        <f t="shared" si="240"/>
        <v>0</v>
      </c>
      <c r="R841" s="2375">
        <f t="shared" si="237"/>
        <v>0</v>
      </c>
      <c r="S841" s="2375">
        <v>0</v>
      </c>
      <c r="T841" s="2590"/>
      <c r="U841" s="2375">
        <f t="shared" si="233"/>
        <v>0</v>
      </c>
      <c r="V841" s="2375"/>
      <c r="W841" s="2382">
        <f t="shared" si="234"/>
        <v>1</v>
      </c>
      <c r="X841" s="2398" t="s">
        <v>360</v>
      </c>
      <c r="Y841" s="2375">
        <f t="shared" si="235"/>
        <v>1622905.81</v>
      </c>
      <c r="Z841" s="2375"/>
      <c r="AA841" s="2377" t="s">
        <v>3355</v>
      </c>
    </row>
    <row r="842" spans="1:27" s="331" customFormat="1" ht="25" hidden="1" customHeight="1">
      <c r="A842" s="2398"/>
      <c r="B842" s="2549" t="s">
        <v>688</v>
      </c>
      <c r="C842" s="2550"/>
      <c r="D842" s="2551"/>
      <c r="E842" s="2397"/>
      <c r="F842" s="2398"/>
      <c r="G842" s="2389"/>
      <c r="H842" s="2389"/>
      <c r="I842" s="2465"/>
      <c r="J842" s="2567"/>
      <c r="K842" s="2389"/>
      <c r="L842" s="2391"/>
      <c r="M842" s="2391"/>
      <c r="N842" s="2375">
        <f t="shared" si="244"/>
        <v>0</v>
      </c>
      <c r="O842" s="2375">
        <v>0</v>
      </c>
      <c r="P842" s="2398"/>
      <c r="Q842" s="2375">
        <f t="shared" si="240"/>
        <v>0</v>
      </c>
      <c r="R842" s="2375">
        <f t="shared" si="237"/>
        <v>0</v>
      </c>
      <c r="S842" s="2375">
        <v>0</v>
      </c>
      <c r="T842" s="2398"/>
      <c r="U842" s="2375">
        <f t="shared" si="233"/>
        <v>0</v>
      </c>
      <c r="V842" s="2375"/>
      <c r="W842" s="2382">
        <f t="shared" si="234"/>
        <v>0</v>
      </c>
      <c r="X842" s="2398"/>
      <c r="Y842" s="2375">
        <f t="shared" si="235"/>
        <v>0</v>
      </c>
      <c r="Z842" s="2375"/>
      <c r="AA842" s="2377" t="s">
        <v>3355</v>
      </c>
    </row>
    <row r="843" spans="1:27" s="331" customFormat="1" ht="25" hidden="1" customHeight="1">
      <c r="A843" s="2398"/>
      <c r="B843" s="2549" t="s">
        <v>689</v>
      </c>
      <c r="C843" s="2550"/>
      <c r="D843" s="2551"/>
      <c r="E843" s="2397"/>
      <c r="F843" s="2398"/>
      <c r="G843" s="2389"/>
      <c r="H843" s="2389"/>
      <c r="I843" s="2465"/>
      <c r="J843" s="2567"/>
      <c r="K843" s="2389"/>
      <c r="L843" s="2391"/>
      <c r="M843" s="2391"/>
      <c r="N843" s="2375">
        <f t="shared" si="244"/>
        <v>0</v>
      </c>
      <c r="O843" s="2375">
        <v>0</v>
      </c>
      <c r="P843" s="2398"/>
      <c r="Q843" s="2375">
        <f t="shared" si="240"/>
        <v>0</v>
      </c>
      <c r="R843" s="2375">
        <f t="shared" si="237"/>
        <v>0</v>
      </c>
      <c r="S843" s="2375">
        <v>0</v>
      </c>
      <c r="T843" s="2398"/>
      <c r="U843" s="2375">
        <f t="shared" si="233"/>
        <v>0</v>
      </c>
      <c r="V843" s="2375"/>
      <c r="W843" s="2382">
        <f t="shared" si="234"/>
        <v>0</v>
      </c>
      <c r="X843" s="2398"/>
      <c r="Y843" s="2375">
        <f t="shared" si="235"/>
        <v>0</v>
      </c>
      <c r="Z843" s="2375"/>
      <c r="AA843" s="2377" t="s">
        <v>3355</v>
      </c>
    </row>
    <row r="844" spans="1:27" s="331" customFormat="1" ht="25" hidden="1" customHeight="1">
      <c r="A844" s="2398"/>
      <c r="B844" s="2549" t="s">
        <v>466</v>
      </c>
      <c r="C844" s="2550"/>
      <c r="D844" s="2551"/>
      <c r="E844" s="2397"/>
      <c r="F844" s="2398"/>
      <c r="G844" s="2389"/>
      <c r="H844" s="2389"/>
      <c r="I844" s="2465"/>
      <c r="J844" s="2567"/>
      <c r="K844" s="2389"/>
      <c r="L844" s="2391"/>
      <c r="M844" s="2391"/>
      <c r="N844" s="2375">
        <f t="shared" si="244"/>
        <v>0</v>
      </c>
      <c r="O844" s="2375">
        <v>0</v>
      </c>
      <c r="P844" s="2398"/>
      <c r="Q844" s="2375">
        <f t="shared" si="240"/>
        <v>0</v>
      </c>
      <c r="R844" s="2375">
        <f t="shared" si="237"/>
        <v>0</v>
      </c>
      <c r="S844" s="2375">
        <v>0</v>
      </c>
      <c r="T844" s="2398"/>
      <c r="U844" s="2375">
        <f t="shared" si="233"/>
        <v>0</v>
      </c>
      <c r="V844" s="2375"/>
      <c r="W844" s="2382">
        <f t="shared" si="234"/>
        <v>0</v>
      </c>
      <c r="X844" s="2398"/>
      <c r="Y844" s="2375">
        <f t="shared" si="235"/>
        <v>0</v>
      </c>
      <c r="Z844" s="2375"/>
      <c r="AA844" s="2377" t="s">
        <v>3355</v>
      </c>
    </row>
    <row r="845" spans="1:27" s="331" customFormat="1" ht="25" hidden="1" customHeight="1">
      <c r="A845" s="2398"/>
      <c r="B845" s="2549"/>
      <c r="C845" s="2550"/>
      <c r="D845" s="2632" t="s">
        <v>376</v>
      </c>
      <c r="E845" s="2397"/>
      <c r="F845" s="2398"/>
      <c r="G845" s="2389"/>
      <c r="H845" s="2546">
        <f>SUM(H757:H844)</f>
        <v>286526358.72589999</v>
      </c>
      <c r="I845" s="2480"/>
      <c r="J845" s="2780">
        <f>SUM(J757:J844)</f>
        <v>287345219.09200007</v>
      </c>
      <c r="K845" s="2546"/>
      <c r="L845" s="2391"/>
      <c r="M845" s="2457">
        <f>SUM(M757:M844)</f>
        <v>287345219.09200007</v>
      </c>
      <c r="N845" s="2375">
        <f t="shared" si="244"/>
        <v>0.12551852395340857</v>
      </c>
      <c r="O845" s="2375">
        <v>0</v>
      </c>
      <c r="P845" s="2398"/>
      <c r="Q845" s="2375">
        <f t="shared" si="240"/>
        <v>0</v>
      </c>
      <c r="R845" s="2375">
        <f t="shared" si="237"/>
        <v>0</v>
      </c>
      <c r="S845" s="2375">
        <v>0</v>
      </c>
      <c r="T845" s="2398"/>
      <c r="U845" s="2375">
        <f t="shared" si="233"/>
        <v>0</v>
      </c>
      <c r="V845" s="2375"/>
      <c r="W845" s="2382">
        <f t="shared" si="234"/>
        <v>0</v>
      </c>
      <c r="X845" s="2398"/>
      <c r="Y845" s="2375">
        <f t="shared" si="235"/>
        <v>0</v>
      </c>
      <c r="Z845" s="2375"/>
      <c r="AA845" s="2377" t="s">
        <v>3355</v>
      </c>
    </row>
    <row r="846" spans="1:27" ht="25" hidden="1" customHeight="1">
      <c r="A846" s="2537" t="s">
        <v>690</v>
      </c>
      <c r="B846" s="2538" t="s">
        <v>691</v>
      </c>
      <c r="C846" s="2550"/>
      <c r="D846" s="2733"/>
      <c r="E846" s="2783"/>
      <c r="F846" s="2537"/>
      <c r="G846" s="2784"/>
      <c r="H846" s="2546"/>
      <c r="I846" s="2785"/>
      <c r="J846" s="2709"/>
      <c r="K846" s="2546"/>
      <c r="L846" s="2457"/>
      <c r="M846" s="2457"/>
      <c r="N846" s="2375">
        <f t="shared" si="244"/>
        <v>0</v>
      </c>
      <c r="O846" s="2375">
        <v>0</v>
      </c>
      <c r="P846" s="2537"/>
      <c r="Q846" s="2375">
        <f t="shared" si="240"/>
        <v>0</v>
      </c>
      <c r="R846" s="2375">
        <f t="shared" si="237"/>
        <v>0</v>
      </c>
      <c r="S846" s="2386">
        <v>0</v>
      </c>
      <c r="T846" s="2398"/>
      <c r="U846" s="2375">
        <f t="shared" si="233"/>
        <v>0</v>
      </c>
      <c r="V846" s="2375"/>
      <c r="W846" s="2382">
        <f t="shared" si="234"/>
        <v>0</v>
      </c>
      <c r="X846" s="2537"/>
      <c r="Y846" s="2375">
        <f t="shared" si="235"/>
        <v>0</v>
      </c>
      <c r="Z846" s="2375"/>
      <c r="AA846" s="2377" t="s">
        <v>3355</v>
      </c>
    </row>
    <row r="847" spans="1:27" ht="25" hidden="1" customHeight="1">
      <c r="A847" s="2537" t="s">
        <v>692</v>
      </c>
      <c r="B847" s="2538" t="s">
        <v>395</v>
      </c>
      <c r="C847" s="2550"/>
      <c r="D847" s="2733"/>
      <c r="E847" s="2783"/>
      <c r="F847" s="2537"/>
      <c r="G847" s="2786"/>
      <c r="H847" s="2546"/>
      <c r="I847" s="2785"/>
      <c r="J847" s="2709"/>
      <c r="K847" s="2546"/>
      <c r="L847" s="2457"/>
      <c r="M847" s="2457"/>
      <c r="N847" s="2375">
        <f t="shared" si="244"/>
        <v>0</v>
      </c>
      <c r="O847" s="2375">
        <v>0</v>
      </c>
      <c r="P847" s="2537"/>
      <c r="Q847" s="2375">
        <f t="shared" si="240"/>
        <v>0</v>
      </c>
      <c r="R847" s="2375">
        <f t="shared" si="237"/>
        <v>0</v>
      </c>
      <c r="S847" s="2386">
        <v>0</v>
      </c>
      <c r="T847" s="2398"/>
      <c r="U847" s="2375">
        <f t="shared" si="233"/>
        <v>0</v>
      </c>
      <c r="V847" s="2375"/>
      <c r="W847" s="2382">
        <f t="shared" si="234"/>
        <v>0</v>
      </c>
      <c r="X847" s="2537"/>
      <c r="Y847" s="2375">
        <f t="shared" si="235"/>
        <v>0</v>
      </c>
      <c r="Z847" s="2375"/>
      <c r="AA847" s="2377" t="s">
        <v>3355</v>
      </c>
    </row>
    <row r="848" spans="1:27" ht="25" hidden="1" customHeight="1">
      <c r="A848" s="2398">
        <v>1</v>
      </c>
      <c r="B848" s="2549" t="s">
        <v>396</v>
      </c>
      <c r="C848" s="2550"/>
      <c r="D848" s="2551"/>
      <c r="E848" s="2397">
        <f>'13. Vol Toilet G'!$O$13</f>
        <v>25</v>
      </c>
      <c r="F848" s="2398" t="s">
        <v>117</v>
      </c>
      <c r="G848" s="2731">
        <v>167131.79999999999</v>
      </c>
      <c r="H848" s="2389">
        <f>E848*G848</f>
        <v>4178294.9999999995</v>
      </c>
      <c r="I848" s="2480">
        <f>'Resume Analisa'!$D$9</f>
        <v>174862.27000000002</v>
      </c>
      <c r="J848" s="2480">
        <f>I848*E848</f>
        <v>4371556.75</v>
      </c>
      <c r="K848" s="2378" t="e">
        <f>IF(H848=0,"",IF(J848&lt;#REF!*H848,"Timpang &lt;"&amp;TEXT(#REF!,"0%"),IF(J848&gt;#REF!*H848,"Timpang &gt;"&amp;TEXT(#REF!,"0%"),"Wajar")))</f>
        <v>#REF!</v>
      </c>
      <c r="L848" s="2391">
        <v>174862.27000000002</v>
      </c>
      <c r="M848" s="2391">
        <f>E848*L848</f>
        <v>4371556.75</v>
      </c>
      <c r="N848" s="2375">
        <f t="shared" si="244"/>
        <v>1.9095892820923447E-3</v>
      </c>
      <c r="O848" s="2375">
        <v>0</v>
      </c>
      <c r="P848" s="2398" t="s">
        <v>117</v>
      </c>
      <c r="Q848" s="2375">
        <f t="shared" si="240"/>
        <v>0</v>
      </c>
      <c r="R848" s="2375">
        <f t="shared" si="237"/>
        <v>0</v>
      </c>
      <c r="S848" s="2375">
        <v>0</v>
      </c>
      <c r="T848" s="2398"/>
      <c r="U848" s="2375">
        <f t="shared" ref="U848:U911" si="249">S848*L848</f>
        <v>0</v>
      </c>
      <c r="V848" s="2375"/>
      <c r="W848" s="2382">
        <f t="shared" ref="W848:W911" si="250">(E848+O848)-S848</f>
        <v>25</v>
      </c>
      <c r="X848" s="2398" t="s">
        <v>117</v>
      </c>
      <c r="Y848" s="2375">
        <f t="shared" ref="Y848:Y911" si="251">L848</f>
        <v>174862.27000000002</v>
      </c>
      <c r="Z848" s="2375"/>
      <c r="AA848" s="2377" t="s">
        <v>3355</v>
      </c>
    </row>
    <row r="849" spans="1:27" ht="25" hidden="1" customHeight="1">
      <c r="A849" s="2553">
        <f>A848+1</f>
        <v>2</v>
      </c>
      <c r="B849" s="2554" t="s">
        <v>523</v>
      </c>
      <c r="C849" s="2550"/>
      <c r="D849" s="2551"/>
      <c r="E849" s="2397"/>
      <c r="F849" s="2398"/>
      <c r="G849" s="2731"/>
      <c r="H849" s="2389"/>
      <c r="I849" s="2480"/>
      <c r="J849" s="2782"/>
      <c r="K849" s="2389"/>
      <c r="L849" s="2391"/>
      <c r="M849" s="2391"/>
      <c r="N849" s="2375">
        <f t="shared" si="244"/>
        <v>0</v>
      </c>
      <c r="O849" s="2375">
        <v>0</v>
      </c>
      <c r="P849" s="2398"/>
      <c r="Q849" s="2375">
        <f t="shared" si="240"/>
        <v>0</v>
      </c>
      <c r="R849" s="2375">
        <f t="shared" si="237"/>
        <v>0</v>
      </c>
      <c r="S849" s="2375">
        <v>0</v>
      </c>
      <c r="T849" s="2398"/>
      <c r="U849" s="2375">
        <f t="shared" si="249"/>
        <v>0</v>
      </c>
      <c r="V849" s="2375"/>
      <c r="W849" s="2382">
        <f t="shared" si="250"/>
        <v>0</v>
      </c>
      <c r="X849" s="2398"/>
      <c r="Y849" s="2375">
        <f t="shared" si="251"/>
        <v>0</v>
      </c>
      <c r="Z849" s="2375"/>
      <c r="AA849" s="2377" t="s">
        <v>3355</v>
      </c>
    </row>
    <row r="850" spans="1:27" ht="25" hidden="1" customHeight="1">
      <c r="A850" s="2711" t="s">
        <v>95</v>
      </c>
      <c r="B850" s="2554" t="s">
        <v>398</v>
      </c>
      <c r="C850" s="2550"/>
      <c r="D850" s="2551"/>
      <c r="E850" s="2397">
        <f>'13. Vol Toilet G'!$M$15</f>
        <v>4.3519999999999994</v>
      </c>
      <c r="F850" s="2398" t="s">
        <v>103</v>
      </c>
      <c r="G850" s="2731">
        <v>50600</v>
      </c>
      <c r="H850" s="2389">
        <f t="shared" ref="H850:H856" si="252">E850*G850</f>
        <v>220211.19999999998</v>
      </c>
      <c r="I850" s="2465">
        <f>'Resume Analisa'!$D$18</f>
        <v>49036.76</v>
      </c>
      <c r="J850" s="2480">
        <f>I850*E850</f>
        <v>213407.97951999999</v>
      </c>
      <c r="K850" s="2378" t="e">
        <f>IF(H850=0,"",IF(J850&lt;#REF!*H850,"Timpang &lt;"&amp;TEXT(#REF!,"0%"),IF(J850&gt;#REF!*H850,"Timpang &gt;"&amp;TEXT(#REF!,"0%"),"Wajar")))</f>
        <v>#REF!</v>
      </c>
      <c r="L850" s="2391">
        <v>49036.76</v>
      </c>
      <c r="M850" s="2391">
        <f t="shared" ref="M850:M856" si="253">E850*L850</f>
        <v>213407.97951999999</v>
      </c>
      <c r="N850" s="2375">
        <f t="shared" si="244"/>
        <v>9.3221159808659599E-5</v>
      </c>
      <c r="O850" s="2375">
        <v>0</v>
      </c>
      <c r="P850" s="2398" t="s">
        <v>103</v>
      </c>
      <c r="Q850" s="2375">
        <f t="shared" si="240"/>
        <v>0</v>
      </c>
      <c r="R850" s="2375">
        <f t="shared" si="237"/>
        <v>0</v>
      </c>
      <c r="S850" s="2375">
        <v>0</v>
      </c>
      <c r="T850" s="2398"/>
      <c r="U850" s="2375">
        <f t="shared" si="249"/>
        <v>0</v>
      </c>
      <c r="V850" s="2375"/>
      <c r="W850" s="2382">
        <f t="shared" si="250"/>
        <v>4.3519999999999994</v>
      </c>
      <c r="X850" s="2398" t="s">
        <v>103</v>
      </c>
      <c r="Y850" s="2375">
        <f t="shared" si="251"/>
        <v>49036.76</v>
      </c>
      <c r="Z850" s="2375"/>
      <c r="AA850" s="2377" t="s">
        <v>3355</v>
      </c>
    </row>
    <row r="851" spans="1:27" ht="25" hidden="1" customHeight="1">
      <c r="A851" s="2711" t="s">
        <v>98</v>
      </c>
      <c r="B851" s="2554" t="s">
        <v>399</v>
      </c>
      <c r="C851" s="2550"/>
      <c r="D851" s="2551"/>
      <c r="E851" s="2397">
        <f>'13. Vol Toilet G'!$M$16</f>
        <v>0.35840000000000011</v>
      </c>
      <c r="F851" s="2398" t="s">
        <v>103</v>
      </c>
      <c r="G851" s="2731">
        <v>507759.96</v>
      </c>
      <c r="H851" s="2389">
        <f t="shared" si="252"/>
        <v>181981.16966400007</v>
      </c>
      <c r="I851" s="2480">
        <f>'Resume Analisa'!$D$26</f>
        <v>475358.64</v>
      </c>
      <c r="J851" s="2480">
        <f>I851*E851</f>
        <v>170368.53657600004</v>
      </c>
      <c r="K851" s="2378" t="e">
        <f>IF(H851=0,"",IF(J851&lt;#REF!*H851,"Timpang &lt;"&amp;TEXT(#REF!,"0%"),IF(J851&gt;#REF!*H851,"Timpang &gt;"&amp;TEXT(#REF!,"0%"),"Wajar")))</f>
        <v>#REF!</v>
      </c>
      <c r="L851" s="2391">
        <v>475358.64</v>
      </c>
      <c r="M851" s="2391">
        <f t="shared" si="253"/>
        <v>170368.53657600004</v>
      </c>
      <c r="N851" s="2375">
        <f t="shared" si="244"/>
        <v>7.4420612623017483E-5</v>
      </c>
      <c r="O851" s="2375">
        <v>0</v>
      </c>
      <c r="P851" s="2398" t="s">
        <v>103</v>
      </c>
      <c r="Q851" s="2375">
        <f t="shared" si="240"/>
        <v>0</v>
      </c>
      <c r="R851" s="2375">
        <f t="shared" si="237"/>
        <v>0</v>
      </c>
      <c r="S851" s="2375">
        <v>0</v>
      </c>
      <c r="T851" s="2398"/>
      <c r="U851" s="2375">
        <f t="shared" si="249"/>
        <v>0</v>
      </c>
      <c r="V851" s="2375"/>
      <c r="W851" s="2382">
        <f t="shared" si="250"/>
        <v>0.35840000000000011</v>
      </c>
      <c r="X851" s="2398" t="s">
        <v>103</v>
      </c>
      <c r="Y851" s="2375">
        <f t="shared" si="251"/>
        <v>475358.64</v>
      </c>
      <c r="Z851" s="2375"/>
      <c r="AA851" s="2377" t="s">
        <v>3355</v>
      </c>
    </row>
    <row r="852" spans="1:27" ht="25" hidden="1" customHeight="1">
      <c r="A852" s="2711" t="s">
        <v>101</v>
      </c>
      <c r="B852" s="2554" t="s">
        <v>400</v>
      </c>
      <c r="C852" s="2550"/>
      <c r="D852" s="2551"/>
      <c r="E852" s="2397">
        <f>'13. Vol Toilet G'!$M$17</f>
        <v>0.15360000000000001</v>
      </c>
      <c r="F852" s="2398" t="s">
        <v>103</v>
      </c>
      <c r="G852" s="2731">
        <v>1422226.08</v>
      </c>
      <c r="H852" s="2389">
        <f t="shared" si="252"/>
        <v>218453.92588800003</v>
      </c>
      <c r="I852" s="2465">
        <f>'Resume Analisa'!$D$54</f>
        <v>1384580.76</v>
      </c>
      <c r="J852" s="2567">
        <f>E852*I852</f>
        <v>212671.60473600001</v>
      </c>
      <c r="K852" s="2378" t="e">
        <f>IF(H852=0,"",IF(J852&lt;#REF!*H852,"Timpang &lt;"&amp;TEXT(#REF!,"0%"),IF(J852&gt;#REF!*H852,"Timpang &gt;"&amp;TEXT(#REF!,"0%"),"Wajar")))</f>
        <v>#REF!</v>
      </c>
      <c r="L852" s="2391">
        <v>1384580.76</v>
      </c>
      <c r="M852" s="2391">
        <f t="shared" si="253"/>
        <v>212671.60473600001</v>
      </c>
      <c r="N852" s="2375">
        <f t="shared" si="244"/>
        <v>9.2899495587983648E-5</v>
      </c>
      <c r="O852" s="2375">
        <v>0</v>
      </c>
      <c r="P852" s="2398" t="s">
        <v>103</v>
      </c>
      <c r="Q852" s="2375">
        <f t="shared" si="240"/>
        <v>0</v>
      </c>
      <c r="R852" s="2375">
        <f t="shared" si="237"/>
        <v>0</v>
      </c>
      <c r="S852" s="2375">
        <v>0</v>
      </c>
      <c r="T852" s="2398"/>
      <c r="U852" s="2375">
        <f t="shared" si="249"/>
        <v>0</v>
      </c>
      <c r="V852" s="2375"/>
      <c r="W852" s="2382">
        <f t="shared" si="250"/>
        <v>0.15360000000000001</v>
      </c>
      <c r="X852" s="2398" t="s">
        <v>103</v>
      </c>
      <c r="Y852" s="2375">
        <f t="shared" si="251"/>
        <v>1384580.76</v>
      </c>
      <c r="Z852" s="2375"/>
      <c r="AA852" s="2377" t="s">
        <v>3355</v>
      </c>
    </row>
    <row r="853" spans="1:27" ht="25" hidden="1" customHeight="1">
      <c r="A853" s="2711" t="s">
        <v>121</v>
      </c>
      <c r="B853" s="2554" t="s">
        <v>401</v>
      </c>
      <c r="C853" s="2550"/>
      <c r="D853" s="2551"/>
      <c r="E853" s="2397">
        <f>'13. Vol Toilet G'!$M$18</f>
        <v>3.840000000000003</v>
      </c>
      <c r="F853" s="2398" t="s">
        <v>103</v>
      </c>
      <c r="G853" s="2731">
        <v>188325.18000000002</v>
      </c>
      <c r="H853" s="2389">
        <f t="shared" si="252"/>
        <v>723168.6912000007</v>
      </c>
      <c r="I853" s="2465">
        <f>'Resume Analisa'!$D$68</f>
        <v>181829.52000000002</v>
      </c>
      <c r="J853" s="2782">
        <f>E853*I853</f>
        <v>698225.35680000065</v>
      </c>
      <c r="K853" s="2378" t="e">
        <f>IF(H853=0,"",IF(J853&lt;#REF!*H853,"Timpang &lt;"&amp;TEXT(#REF!,"0%"),IF(J853&gt;#REF!*H853,"Timpang &gt;"&amp;TEXT(#REF!,"0%"),"Wajar")))</f>
        <v>#REF!</v>
      </c>
      <c r="L853" s="2391">
        <v>181829.52000000002</v>
      </c>
      <c r="M853" s="2391">
        <f t="shared" si="253"/>
        <v>698225.35680000065</v>
      </c>
      <c r="N853" s="2375">
        <f t="shared" si="244"/>
        <v>3.049997367254547E-4</v>
      </c>
      <c r="O853" s="2375">
        <v>0</v>
      </c>
      <c r="P853" s="2398" t="s">
        <v>103</v>
      </c>
      <c r="Q853" s="2375">
        <f t="shared" si="240"/>
        <v>0</v>
      </c>
      <c r="R853" s="2375">
        <f t="shared" si="237"/>
        <v>0</v>
      </c>
      <c r="S853" s="2386">
        <v>0</v>
      </c>
      <c r="T853" s="2398"/>
      <c r="U853" s="2375">
        <f t="shared" si="249"/>
        <v>0</v>
      </c>
      <c r="V853" s="2375"/>
      <c r="W853" s="2382">
        <f t="shared" si="250"/>
        <v>3.840000000000003</v>
      </c>
      <c r="X853" s="2398" t="s">
        <v>103</v>
      </c>
      <c r="Y853" s="2375">
        <f t="shared" si="251"/>
        <v>181829.52000000002</v>
      </c>
      <c r="Z853" s="2375"/>
      <c r="AA853" s="2377" t="s">
        <v>3355</v>
      </c>
    </row>
    <row r="854" spans="1:27" ht="25" hidden="1" customHeight="1">
      <c r="A854" s="2711" t="s">
        <v>142</v>
      </c>
      <c r="B854" s="2554" t="s">
        <v>504</v>
      </c>
      <c r="C854" s="2550"/>
      <c r="D854" s="2551"/>
      <c r="E854" s="2397">
        <f>'13. Vol Toilet G'!$M$19</f>
        <v>44.388000000000005</v>
      </c>
      <c r="F854" s="2398" t="s">
        <v>100</v>
      </c>
      <c r="G854" s="2731">
        <v>19151.18</v>
      </c>
      <c r="H854" s="2389">
        <f t="shared" si="252"/>
        <v>850082.57784000016</v>
      </c>
      <c r="I854" s="2480">
        <f>'Resume Analisa'!$D$48</f>
        <v>18790.969999999998</v>
      </c>
      <c r="J854" s="2782">
        <f>E854*I854</f>
        <v>834093.57635999995</v>
      </c>
      <c r="K854" s="2378" t="e">
        <f>IF(H854=0,"",IF(J854&lt;#REF!*H854,"Timpang &lt;"&amp;TEXT(#REF!,"0%"),IF(J854&gt;#REF!*H854,"Timpang &gt;"&amp;TEXT(#REF!,"0%"),"Wajar")))</f>
        <v>#REF!</v>
      </c>
      <c r="L854" s="2391">
        <v>18790.969999999998</v>
      </c>
      <c r="M854" s="2391">
        <f t="shared" si="253"/>
        <v>834093.57635999995</v>
      </c>
      <c r="N854" s="2375">
        <f t="shared" ref="N854:N885" si="254">M854/$M$8</f>
        <v>3.6434987460225209E-4</v>
      </c>
      <c r="O854" s="2375">
        <v>0</v>
      </c>
      <c r="P854" s="2398" t="s">
        <v>100</v>
      </c>
      <c r="Q854" s="2375">
        <f t="shared" si="240"/>
        <v>0</v>
      </c>
      <c r="R854" s="2375">
        <f t="shared" ref="R854:R917" si="255">Q854/$M$8*100</f>
        <v>0</v>
      </c>
      <c r="S854" s="2386">
        <v>0</v>
      </c>
      <c r="T854" s="2398"/>
      <c r="U854" s="2375">
        <f t="shared" si="249"/>
        <v>0</v>
      </c>
      <c r="V854" s="2375"/>
      <c r="W854" s="2382">
        <f t="shared" si="250"/>
        <v>44.388000000000005</v>
      </c>
      <c r="X854" s="2398" t="s">
        <v>100</v>
      </c>
      <c r="Y854" s="2375">
        <f t="shared" si="251"/>
        <v>18790.969999999998</v>
      </c>
      <c r="Z854" s="2375"/>
      <c r="AA854" s="2377" t="s">
        <v>3355</v>
      </c>
    </row>
    <row r="855" spans="1:27" ht="25" hidden="1" customHeight="1">
      <c r="A855" s="2711" t="s">
        <v>217</v>
      </c>
      <c r="B855" s="2549" t="s">
        <v>420</v>
      </c>
      <c r="C855" s="2550"/>
      <c r="D855" s="2551"/>
      <c r="E855" s="2397">
        <f>'13. Vol Toilet G'!$M$20</f>
        <v>0.43200000000000011</v>
      </c>
      <c r="F855" s="2398" t="s">
        <v>103</v>
      </c>
      <c r="G855" s="2731">
        <v>1584129.98</v>
      </c>
      <c r="H855" s="2389">
        <f t="shared" si="252"/>
        <v>684344.15136000013</v>
      </c>
      <c r="I855" s="2465">
        <f>'Resume Analisa'!$D$55</f>
        <v>1535009.1300000001</v>
      </c>
      <c r="J855" s="2782">
        <f>E855*I855</f>
        <v>663123.94416000019</v>
      </c>
      <c r="K855" s="2378" t="e">
        <f>IF(H855=0,"",IF(J855&lt;#REF!*H855,"Timpang &lt;"&amp;TEXT(#REF!,"0%"),IF(J855&gt;#REF!*H855,"Timpang &gt;"&amp;TEXT(#REF!,"0%"),"Wajar")))</f>
        <v>#REF!</v>
      </c>
      <c r="L855" s="2391">
        <v>1535009.1300000001</v>
      </c>
      <c r="M855" s="2391">
        <f t="shared" si="253"/>
        <v>663123.94416000019</v>
      </c>
      <c r="N855" s="2375">
        <f t="shared" si="254"/>
        <v>2.8966669058264858E-4</v>
      </c>
      <c r="O855" s="2375">
        <v>0</v>
      </c>
      <c r="P855" s="2398" t="s">
        <v>103</v>
      </c>
      <c r="Q855" s="2375">
        <f t="shared" si="240"/>
        <v>0</v>
      </c>
      <c r="R855" s="2375">
        <f t="shared" si="255"/>
        <v>0</v>
      </c>
      <c r="S855" s="2375">
        <v>0</v>
      </c>
      <c r="T855" s="2398"/>
      <c r="U855" s="2375">
        <f t="shared" si="249"/>
        <v>0</v>
      </c>
      <c r="V855" s="2375"/>
      <c r="W855" s="2382">
        <f t="shared" si="250"/>
        <v>0.43200000000000011</v>
      </c>
      <c r="X855" s="2398" t="s">
        <v>103</v>
      </c>
      <c r="Y855" s="2375">
        <f t="shared" si="251"/>
        <v>1535009.1300000001</v>
      </c>
      <c r="Z855" s="2375"/>
      <c r="AA855" s="2377" t="s">
        <v>3355</v>
      </c>
    </row>
    <row r="856" spans="1:27" ht="25" hidden="1" customHeight="1">
      <c r="A856" s="2711" t="s">
        <v>366</v>
      </c>
      <c r="B856" s="2554" t="s">
        <v>383</v>
      </c>
      <c r="C856" s="2550"/>
      <c r="D856" s="2551"/>
      <c r="E856" s="2397">
        <f>'13. Vol Toilet G'!$M$21</f>
        <v>128</v>
      </c>
      <c r="F856" s="2398" t="s">
        <v>117</v>
      </c>
      <c r="G856" s="2731">
        <v>19151.18</v>
      </c>
      <c r="H856" s="2389">
        <f t="shared" si="252"/>
        <v>2451351.04</v>
      </c>
      <c r="I856" s="2480">
        <f>'Resume Analisa'!$D$48</f>
        <v>18790.969999999998</v>
      </c>
      <c r="J856" s="2782">
        <f>E856*I856</f>
        <v>2405244.1599999997</v>
      </c>
      <c r="K856" s="2378" t="e">
        <f>IF(H856=0,"",IF(J856&lt;#REF!*H856,"Timpang &lt;"&amp;TEXT(#REF!,"0%"),IF(J856&gt;#REF!*H856,"Timpang &gt;"&amp;TEXT(#REF!,"0%"),"Wajar")))</f>
        <v>#REF!</v>
      </c>
      <c r="L856" s="2391">
        <v>18790.969999999998</v>
      </c>
      <c r="M856" s="2391">
        <f t="shared" si="253"/>
        <v>2405244.1599999997</v>
      </c>
      <c r="N856" s="2375">
        <f t="shared" si="254"/>
        <v>1.0506619795685379E-3</v>
      </c>
      <c r="O856" s="2375">
        <v>0</v>
      </c>
      <c r="P856" s="2398" t="s">
        <v>117</v>
      </c>
      <c r="Q856" s="2375">
        <f t="shared" si="240"/>
        <v>0</v>
      </c>
      <c r="R856" s="2375">
        <f t="shared" si="255"/>
        <v>0</v>
      </c>
      <c r="S856" s="2375">
        <v>0</v>
      </c>
      <c r="T856" s="2398"/>
      <c r="U856" s="2375">
        <f t="shared" si="249"/>
        <v>0</v>
      </c>
      <c r="V856" s="2375"/>
      <c r="W856" s="2382">
        <f t="shared" si="250"/>
        <v>128</v>
      </c>
      <c r="X856" s="2398" t="s">
        <v>117</v>
      </c>
      <c r="Y856" s="2375">
        <f t="shared" si="251"/>
        <v>18790.969999999998</v>
      </c>
      <c r="Z856" s="2375"/>
      <c r="AA856" s="2377" t="s">
        <v>3355</v>
      </c>
    </row>
    <row r="857" spans="1:27" ht="25" hidden="1" customHeight="1">
      <c r="A857" s="2398">
        <f>A849+1</f>
        <v>3</v>
      </c>
      <c r="B857" s="2549" t="s">
        <v>693</v>
      </c>
      <c r="C857" s="2550"/>
      <c r="D857" s="2733"/>
      <c r="E857" s="2783"/>
      <c r="F857" s="2537"/>
      <c r="G857" s="2786"/>
      <c r="H857" s="2389"/>
      <c r="I857" s="2785"/>
      <c r="J857" s="2567"/>
      <c r="K857" s="2389"/>
      <c r="L857" s="2457"/>
      <c r="M857" s="2391"/>
      <c r="N857" s="2375">
        <f t="shared" si="254"/>
        <v>0</v>
      </c>
      <c r="O857" s="2375">
        <v>0</v>
      </c>
      <c r="P857" s="2537"/>
      <c r="Q857" s="2375">
        <f t="shared" si="240"/>
        <v>0</v>
      </c>
      <c r="R857" s="2375">
        <f t="shared" si="255"/>
        <v>0</v>
      </c>
      <c r="S857" s="2375">
        <v>0</v>
      </c>
      <c r="T857" s="2398"/>
      <c r="U857" s="2375">
        <f t="shared" si="249"/>
        <v>0</v>
      </c>
      <c r="V857" s="2375"/>
      <c r="W857" s="2382">
        <f t="shared" si="250"/>
        <v>0</v>
      </c>
      <c r="X857" s="2537"/>
      <c r="Y857" s="2375">
        <f t="shared" si="251"/>
        <v>0</v>
      </c>
      <c r="Z857" s="2375"/>
      <c r="AA857" s="2377" t="s">
        <v>3355</v>
      </c>
    </row>
    <row r="858" spans="1:27" ht="25" hidden="1" customHeight="1">
      <c r="A858" s="2555" t="s">
        <v>95</v>
      </c>
      <c r="B858" s="2549" t="s">
        <v>694</v>
      </c>
      <c r="C858" s="2550"/>
      <c r="D858" s="2733"/>
      <c r="E858" s="2397">
        <f>'13. Vol Toilet G'!$M$27</f>
        <v>15.275999999999996</v>
      </c>
      <c r="F858" s="2398" t="s">
        <v>103</v>
      </c>
      <c r="G858" s="2731">
        <v>50600</v>
      </c>
      <c r="H858" s="2389">
        <f>E858*G858</f>
        <v>772965.59999999986</v>
      </c>
      <c r="I858" s="2465">
        <f>'Resume Analisa'!$D$18</f>
        <v>49036.76</v>
      </c>
      <c r="J858" s="2480">
        <f>I858*E858</f>
        <v>749085.54575999989</v>
      </c>
      <c r="K858" s="2378" t="e">
        <f>IF(H858=0,"",IF(J858&lt;#REF!*H858,"Timpang &lt;"&amp;TEXT(#REF!,"0%"),IF(J858&gt;#REF!*H858,"Timpang &gt;"&amp;TEXT(#REF!,"0%"),"Wajar")))</f>
        <v>#REF!</v>
      </c>
      <c r="L858" s="2391">
        <v>49036.76</v>
      </c>
      <c r="M858" s="2391">
        <f>E858*L858</f>
        <v>749085.54575999989</v>
      </c>
      <c r="N858" s="2375">
        <f t="shared" si="254"/>
        <v>3.2721655267396228E-4</v>
      </c>
      <c r="O858" s="2375">
        <v>0</v>
      </c>
      <c r="P858" s="2398" t="s">
        <v>103</v>
      </c>
      <c r="Q858" s="2375">
        <f t="shared" si="240"/>
        <v>0</v>
      </c>
      <c r="R858" s="2375">
        <f t="shared" si="255"/>
        <v>0</v>
      </c>
      <c r="S858" s="2375">
        <v>0</v>
      </c>
      <c r="T858" s="2398"/>
      <c r="U858" s="2375">
        <f t="shared" si="249"/>
        <v>0</v>
      </c>
      <c r="V858" s="2375"/>
      <c r="W858" s="2382">
        <f t="shared" si="250"/>
        <v>15.275999999999996</v>
      </c>
      <c r="X858" s="2398" t="s">
        <v>103</v>
      </c>
      <c r="Y858" s="2375">
        <f t="shared" si="251"/>
        <v>49036.76</v>
      </c>
      <c r="Z858" s="2375"/>
      <c r="AA858" s="2377" t="s">
        <v>3355</v>
      </c>
    </row>
    <row r="859" spans="1:27" ht="25" hidden="1" customHeight="1">
      <c r="A859" s="2555" t="s">
        <v>98</v>
      </c>
      <c r="B859" s="2787" t="s">
        <v>405</v>
      </c>
      <c r="C859" s="2788"/>
      <c r="D859" s="2789"/>
      <c r="E859" s="2790">
        <f>'13. Vol Toilet G'!$O$28*0</f>
        <v>0</v>
      </c>
      <c r="F859" s="2791" t="s">
        <v>117</v>
      </c>
      <c r="G859" s="2731">
        <v>34019.880000000005</v>
      </c>
      <c r="H859" s="2389">
        <f>E859*G859</f>
        <v>0</v>
      </c>
      <c r="I859" s="2465">
        <f>'Resume Analisa'!$D$37</f>
        <v>33453.230000000003</v>
      </c>
      <c r="J859" s="2480">
        <f>I859*E859</f>
        <v>0</v>
      </c>
      <c r="K859" s="2378" t="str">
        <f>IF(H859=0,"",IF(J859&lt;#REF!*H859,"Timpang &lt;"&amp;TEXT(#REF!,"0%"),IF(J859&gt;#REF!*H859,"Timpang &gt;"&amp;TEXT(#REF!,"0%"),"Wajar")))</f>
        <v/>
      </c>
      <c r="L859" s="2391">
        <v>33453.230000000003</v>
      </c>
      <c r="M859" s="2391">
        <f>E859*L859</f>
        <v>0</v>
      </c>
      <c r="N859" s="2375">
        <f t="shared" si="254"/>
        <v>0</v>
      </c>
      <c r="O859" s="2375">
        <v>0</v>
      </c>
      <c r="P859" s="2791" t="s">
        <v>117</v>
      </c>
      <c r="Q859" s="2375">
        <f t="shared" si="240"/>
        <v>0</v>
      </c>
      <c r="R859" s="2375">
        <f t="shared" si="255"/>
        <v>0</v>
      </c>
      <c r="S859" s="2375">
        <v>0</v>
      </c>
      <c r="T859" s="2398"/>
      <c r="U859" s="2375">
        <f t="shared" si="249"/>
        <v>0</v>
      </c>
      <c r="V859" s="2375"/>
      <c r="W859" s="2382">
        <f t="shared" si="250"/>
        <v>0</v>
      </c>
      <c r="X859" s="2791" t="s">
        <v>117</v>
      </c>
      <c r="Y859" s="2375">
        <f t="shared" si="251"/>
        <v>33453.230000000003</v>
      </c>
      <c r="Z859" s="2375"/>
      <c r="AA859" s="2377" t="s">
        <v>3355</v>
      </c>
    </row>
    <row r="860" spans="1:27" ht="25" hidden="1" customHeight="1">
      <c r="A860" s="2555" t="s">
        <v>101</v>
      </c>
      <c r="B860" s="2549" t="s">
        <v>695</v>
      </c>
      <c r="C860" s="2550"/>
      <c r="D860" s="2733"/>
      <c r="E860" s="2397">
        <f>'13. Vol Toilet G'!$O$38</f>
        <v>1.6</v>
      </c>
      <c r="F860" s="2398" t="s">
        <v>103</v>
      </c>
      <c r="G860" s="2731">
        <v>507759.96</v>
      </c>
      <c r="H860" s="2389">
        <f>E860*G860</f>
        <v>812415.9360000001</v>
      </c>
      <c r="I860" s="2465">
        <f>'Resume Analisa'!$D$26</f>
        <v>475358.64</v>
      </c>
      <c r="J860" s="2480">
        <f>I860*E860</f>
        <v>760573.82400000002</v>
      </c>
      <c r="K860" s="2378" t="e">
        <f>IF(H860=0,"",IF(J860&lt;#REF!*H860,"Timpang &lt;"&amp;TEXT(#REF!,"0%"),IF(J860&gt;#REF!*H860,"Timpang &gt;"&amp;TEXT(#REF!,"0%"),"Wajar")))</f>
        <v>#REF!</v>
      </c>
      <c r="L860" s="2391">
        <v>475358.64</v>
      </c>
      <c r="M860" s="2391">
        <f>E860*L860</f>
        <v>760573.82400000002</v>
      </c>
      <c r="N860" s="2375">
        <f t="shared" si="254"/>
        <v>3.3223487778132797E-4</v>
      </c>
      <c r="O860" s="2375">
        <v>0</v>
      </c>
      <c r="P860" s="2398" t="s">
        <v>103</v>
      </c>
      <c r="Q860" s="2375">
        <f t="shared" si="240"/>
        <v>0</v>
      </c>
      <c r="R860" s="2375">
        <f t="shared" si="255"/>
        <v>0</v>
      </c>
      <c r="S860" s="2386">
        <v>0</v>
      </c>
      <c r="T860" s="2398"/>
      <c r="U860" s="2375">
        <f t="shared" si="249"/>
        <v>0</v>
      </c>
      <c r="V860" s="2375"/>
      <c r="W860" s="2382">
        <f t="shared" si="250"/>
        <v>1.6</v>
      </c>
      <c r="X860" s="2398" t="s">
        <v>103</v>
      </c>
      <c r="Y860" s="2375">
        <f t="shared" si="251"/>
        <v>475358.64</v>
      </c>
      <c r="Z860" s="2375"/>
      <c r="AA860" s="2377" t="s">
        <v>3355</v>
      </c>
    </row>
    <row r="861" spans="1:27" ht="25" hidden="1" customHeight="1">
      <c r="A861" s="2555" t="s">
        <v>121</v>
      </c>
      <c r="B861" s="2549" t="s">
        <v>696</v>
      </c>
      <c r="C861" s="2550"/>
      <c r="D861" s="2733"/>
      <c r="E861" s="2397">
        <f>'13. Vol Toilet G'!$M$48</f>
        <v>9.1199999999999974</v>
      </c>
      <c r="F861" s="2398" t="s">
        <v>103</v>
      </c>
      <c r="G861" s="2731">
        <v>1224235.95</v>
      </c>
      <c r="H861" s="2389">
        <f>E861*G861</f>
        <v>11165031.863999996</v>
      </c>
      <c r="I861" s="2465">
        <f>'Resume Analisa'!$D$35</f>
        <v>1193268.75</v>
      </c>
      <c r="J861" s="2567">
        <f>E861*I861</f>
        <v>10882610.999999996</v>
      </c>
      <c r="K861" s="2378" t="e">
        <f>IF(H861=0,"",IF(J861&lt;#REF!*H861,"Timpang &lt;"&amp;TEXT(#REF!,"0%"),IF(J861&gt;#REF!*H861,"Timpang &gt;"&amp;TEXT(#REF!,"0%"),"Wajar")))</f>
        <v>#REF!</v>
      </c>
      <c r="L861" s="2391">
        <v>1193268.75</v>
      </c>
      <c r="M861" s="2391">
        <f>E861*L861</f>
        <v>10882610.999999996</v>
      </c>
      <c r="N861" s="2375">
        <f t="shared" si="254"/>
        <v>4.7537567313475334E-3</v>
      </c>
      <c r="O861" s="2375">
        <v>0</v>
      </c>
      <c r="P861" s="2398" t="s">
        <v>103</v>
      </c>
      <c r="Q861" s="2375">
        <f t="shared" ref="Q861:Q924" si="256">O861*L861</f>
        <v>0</v>
      </c>
      <c r="R861" s="2375">
        <f t="shared" si="255"/>
        <v>0</v>
      </c>
      <c r="S861" s="2386">
        <v>0</v>
      </c>
      <c r="T861" s="2398"/>
      <c r="U861" s="2375">
        <f t="shared" si="249"/>
        <v>0</v>
      </c>
      <c r="V861" s="2375"/>
      <c r="W861" s="2382">
        <f t="shared" si="250"/>
        <v>9.1199999999999974</v>
      </c>
      <c r="X861" s="2398" t="s">
        <v>103</v>
      </c>
      <c r="Y861" s="2375">
        <f t="shared" si="251"/>
        <v>1193268.75</v>
      </c>
      <c r="Z861" s="2375"/>
      <c r="AA861" s="2377" t="s">
        <v>3355</v>
      </c>
    </row>
    <row r="862" spans="1:27" ht="25" hidden="1" customHeight="1">
      <c r="A862" s="2398">
        <f>A857+1</f>
        <v>4</v>
      </c>
      <c r="B862" s="2549" t="s">
        <v>408</v>
      </c>
      <c r="C862" s="2550"/>
      <c r="D862" s="2551"/>
      <c r="E862" s="2397">
        <f>'13. Vol Toilet G'!$M$55</f>
        <v>19.795814999999997</v>
      </c>
      <c r="F862" s="2398" t="s">
        <v>100</v>
      </c>
      <c r="G862" s="2736">
        <v>25591.18</v>
      </c>
      <c r="H862" s="2389">
        <f>E862*G862</f>
        <v>506598.26491169992</v>
      </c>
      <c r="I862" s="2474">
        <f>'Resume Analisa'!$D$47</f>
        <v>26179.679999999997</v>
      </c>
      <c r="J862" s="2782">
        <f>E862*I862</f>
        <v>518248.10203919985</v>
      </c>
      <c r="K862" s="2378" t="e">
        <f>IF(H862=0,"",IF(J862&lt;#REF!*H862,"Timpang &lt;"&amp;TEXT(#REF!,"0%"),IF(J862&gt;#REF!*H862,"Timpang &gt;"&amp;TEXT(#REF!,"0%"),"Wajar")))</f>
        <v>#REF!</v>
      </c>
      <c r="L862" s="2475">
        <v>26179.679999999997</v>
      </c>
      <c r="M862" s="2391">
        <f>E862*L862</f>
        <v>518248.10203919985</v>
      </c>
      <c r="N862" s="2375">
        <f t="shared" si="254"/>
        <v>2.2638183093900264E-4</v>
      </c>
      <c r="O862" s="2375">
        <v>0</v>
      </c>
      <c r="P862" s="2398" t="s">
        <v>100</v>
      </c>
      <c r="Q862" s="2375">
        <f t="shared" si="256"/>
        <v>0</v>
      </c>
      <c r="R862" s="2375">
        <f t="shared" si="255"/>
        <v>0</v>
      </c>
      <c r="S862" s="2375">
        <v>0</v>
      </c>
      <c r="T862" s="2398"/>
      <c r="U862" s="2375">
        <f t="shared" si="249"/>
        <v>0</v>
      </c>
      <c r="V862" s="2375"/>
      <c r="W862" s="2382">
        <f t="shared" si="250"/>
        <v>19.795814999999997</v>
      </c>
      <c r="X862" s="2398" t="s">
        <v>100</v>
      </c>
      <c r="Y862" s="2375">
        <f t="shared" si="251"/>
        <v>26179.679999999997</v>
      </c>
      <c r="Z862" s="2375"/>
      <c r="AA862" s="2377" t="s">
        <v>3355</v>
      </c>
    </row>
    <row r="863" spans="1:27" ht="25" hidden="1" customHeight="1">
      <c r="A863" s="2398">
        <f>A862+1</f>
        <v>5</v>
      </c>
      <c r="B863" s="2549" t="s">
        <v>524</v>
      </c>
      <c r="C863" s="2550"/>
      <c r="D863" s="2733"/>
      <c r="E863" s="2397"/>
      <c r="F863" s="2537"/>
      <c r="G863" s="2786"/>
      <c r="H863" s="2389"/>
      <c r="I863" s="2785"/>
      <c r="J863" s="2567"/>
      <c r="K863" s="2389"/>
      <c r="L863" s="2457"/>
      <c r="M863" s="2391"/>
      <c r="N863" s="2375">
        <f t="shared" si="254"/>
        <v>0</v>
      </c>
      <c r="O863" s="2375">
        <v>0</v>
      </c>
      <c r="P863" s="2537"/>
      <c r="Q863" s="2375">
        <f t="shared" si="256"/>
        <v>0</v>
      </c>
      <c r="R863" s="2375">
        <f t="shared" si="255"/>
        <v>0</v>
      </c>
      <c r="S863" s="2375">
        <v>0</v>
      </c>
      <c r="T863" s="2398"/>
      <c r="U863" s="2375">
        <f t="shared" si="249"/>
        <v>0</v>
      </c>
      <c r="V863" s="2375"/>
      <c r="W863" s="2382">
        <f t="shared" si="250"/>
        <v>0</v>
      </c>
      <c r="X863" s="2537"/>
      <c r="Y863" s="2375">
        <f t="shared" si="251"/>
        <v>0</v>
      </c>
      <c r="Z863" s="2375"/>
      <c r="AA863" s="2377" t="s">
        <v>3355</v>
      </c>
    </row>
    <row r="864" spans="1:27" ht="25" hidden="1" customHeight="1">
      <c r="A864" s="2555" t="s">
        <v>95</v>
      </c>
      <c r="B864" s="2549" t="s">
        <v>697</v>
      </c>
      <c r="C864" s="2550"/>
      <c r="D864" s="2733"/>
      <c r="E864" s="2397">
        <f>'13. Vol Toilet G'!$M$61</f>
        <v>22.799999999999997</v>
      </c>
      <c r="F864" s="2398" t="s">
        <v>89</v>
      </c>
      <c r="G864" s="2731">
        <v>230885.5</v>
      </c>
      <c r="H864" s="2389">
        <f>E864*G864</f>
        <v>5264189.3999999994</v>
      </c>
      <c r="I864" s="2480">
        <f>'Resume Analisa'!$D$39</f>
        <v>232328.86000000002</v>
      </c>
      <c r="J864" s="2480">
        <f>I864*E864</f>
        <v>5297098.0079999994</v>
      </c>
      <c r="K864" s="2378" t="e">
        <f>IF(H864=0,"",IF(J864&lt;#REF!*H864,"Timpang &lt;"&amp;TEXT(#REF!,"0%"),IF(J864&gt;#REF!*H864,"Timpang &gt;"&amp;TEXT(#REF!,"0%"),"Wajar")))</f>
        <v>#REF!</v>
      </c>
      <c r="L864" s="2391">
        <v>232328.86000000002</v>
      </c>
      <c r="M864" s="2391">
        <f>E864*L864</f>
        <v>5297098.0079999994</v>
      </c>
      <c r="N864" s="2375">
        <f t="shared" si="254"/>
        <v>2.3138854556261929E-3</v>
      </c>
      <c r="O864" s="2375">
        <v>0</v>
      </c>
      <c r="P864" s="2398" t="s">
        <v>89</v>
      </c>
      <c r="Q864" s="2375">
        <f t="shared" si="256"/>
        <v>0</v>
      </c>
      <c r="R864" s="2375">
        <f t="shared" si="255"/>
        <v>0</v>
      </c>
      <c r="S864" s="2375">
        <v>0</v>
      </c>
      <c r="T864" s="2398"/>
      <c r="U864" s="2375">
        <f t="shared" si="249"/>
        <v>0</v>
      </c>
      <c r="V864" s="2375"/>
      <c r="W864" s="2382">
        <f t="shared" si="250"/>
        <v>22.799999999999997</v>
      </c>
      <c r="X864" s="2398" t="s">
        <v>89</v>
      </c>
      <c r="Y864" s="2375">
        <f t="shared" si="251"/>
        <v>232328.86000000002</v>
      </c>
      <c r="Z864" s="2375"/>
      <c r="AA864" s="2377" t="s">
        <v>3355</v>
      </c>
    </row>
    <row r="865" spans="1:27" ht="25" hidden="1" customHeight="1">
      <c r="A865" s="2555" t="s">
        <v>98</v>
      </c>
      <c r="B865" s="2549" t="s">
        <v>410</v>
      </c>
      <c r="C865" s="2550"/>
      <c r="D865" s="2733"/>
      <c r="E865" s="2397">
        <f>'13. Vol Toilet G'!$M$66</f>
        <v>106.34</v>
      </c>
      <c r="F865" s="2398" t="s">
        <v>100</v>
      </c>
      <c r="G865" s="2731">
        <v>19151.18</v>
      </c>
      <c r="H865" s="2473">
        <f>E865*G865</f>
        <v>2036536.4812</v>
      </c>
      <c r="I865" s="2480">
        <f>'Resume Analisa'!$D$48</f>
        <v>18790.969999999998</v>
      </c>
      <c r="J865" s="2474">
        <f>+I865*E865</f>
        <v>1998231.7497999999</v>
      </c>
      <c r="K865" s="2378" t="e">
        <f>IF(H865=0,"",IF(J865&lt;#REF!*H865,"Timpang &lt;"&amp;TEXT(#REF!,"0%"),IF(J865&gt;#REF!*H865,"Timpang &gt;"&amp;TEXT(#REF!,"0%"),"Wajar")))</f>
        <v>#REF!</v>
      </c>
      <c r="L865" s="2391">
        <v>18790.969999999998</v>
      </c>
      <c r="M865" s="2475">
        <f>E865*L865</f>
        <v>1998231.7497999999</v>
      </c>
      <c r="N865" s="2375">
        <f t="shared" si="254"/>
        <v>8.7287027271342453E-4</v>
      </c>
      <c r="O865" s="2375">
        <v>0</v>
      </c>
      <c r="P865" s="2398" t="s">
        <v>100</v>
      </c>
      <c r="Q865" s="2375">
        <f t="shared" si="256"/>
        <v>0</v>
      </c>
      <c r="R865" s="2375">
        <f t="shared" si="255"/>
        <v>0</v>
      </c>
      <c r="S865" s="2375">
        <v>0</v>
      </c>
      <c r="T865" s="2398"/>
      <c r="U865" s="2375">
        <f t="shared" si="249"/>
        <v>0</v>
      </c>
      <c r="V865" s="2375"/>
      <c r="W865" s="2382">
        <f t="shared" si="250"/>
        <v>106.34</v>
      </c>
      <c r="X865" s="2398" t="s">
        <v>100</v>
      </c>
      <c r="Y865" s="2375">
        <f t="shared" si="251"/>
        <v>18790.969999999998</v>
      </c>
      <c r="Z865" s="2375"/>
      <c r="AA865" s="2377" t="s">
        <v>3355</v>
      </c>
    </row>
    <row r="866" spans="1:27" ht="25" hidden="1" customHeight="1">
      <c r="A866" s="2555" t="s">
        <v>101</v>
      </c>
      <c r="B866" s="2549" t="s">
        <v>529</v>
      </c>
      <c r="C866" s="2550"/>
      <c r="D866" s="2733"/>
      <c r="E866" s="2397">
        <f>'13. Vol Toilet G'!$M$71</f>
        <v>34.71</v>
      </c>
      <c r="F866" s="2398" t="s">
        <v>100</v>
      </c>
      <c r="G866" s="2736">
        <v>19151.18</v>
      </c>
      <c r="H866" s="2473">
        <f>E866*G866</f>
        <v>664737.45779999997</v>
      </c>
      <c r="I866" s="2474">
        <f>'Resume Analisa'!$D$48</f>
        <v>18790.969999999998</v>
      </c>
      <c r="J866" s="2474">
        <f>+I866*E866</f>
        <v>652234.56869999995</v>
      </c>
      <c r="K866" s="2378" t="e">
        <f>IF(H866=0,"",IF(J866&lt;#REF!*H866,"Timpang &lt;"&amp;TEXT(#REF!,"0%"),IF(J866&gt;#REF!*H866,"Timpang &gt;"&amp;TEXT(#REF!,"0%"),"Wajar")))</f>
        <v>#REF!</v>
      </c>
      <c r="L866" s="2475">
        <v>18790.969999999998</v>
      </c>
      <c r="M866" s="2475">
        <f>E866*L866</f>
        <v>652234.56869999995</v>
      </c>
      <c r="N866" s="2375">
        <f t="shared" si="254"/>
        <v>2.8490997899081216E-4</v>
      </c>
      <c r="O866" s="2375">
        <v>0</v>
      </c>
      <c r="P866" s="2398" t="s">
        <v>100</v>
      </c>
      <c r="Q866" s="2375">
        <f t="shared" si="256"/>
        <v>0</v>
      </c>
      <c r="R866" s="2375">
        <f t="shared" si="255"/>
        <v>0</v>
      </c>
      <c r="S866" s="2375">
        <v>0</v>
      </c>
      <c r="T866" s="2398"/>
      <c r="U866" s="2375">
        <f t="shared" si="249"/>
        <v>0</v>
      </c>
      <c r="V866" s="2375"/>
      <c r="W866" s="2382">
        <f t="shared" si="250"/>
        <v>34.71</v>
      </c>
      <c r="X866" s="2398" t="s">
        <v>100</v>
      </c>
      <c r="Y866" s="2375">
        <f t="shared" si="251"/>
        <v>18790.969999999998</v>
      </c>
      <c r="Z866" s="2375"/>
      <c r="AA866" s="2377" t="s">
        <v>3355</v>
      </c>
    </row>
    <row r="867" spans="1:27" ht="25" hidden="1" customHeight="1">
      <c r="A867" s="2555" t="s">
        <v>121</v>
      </c>
      <c r="B867" s="2549" t="s">
        <v>420</v>
      </c>
      <c r="C867" s="2550"/>
      <c r="D867" s="2733"/>
      <c r="E867" s="2397">
        <f>'13. Vol Toilet G'!$M$82</f>
        <v>1.71</v>
      </c>
      <c r="F867" s="2398" t="s">
        <v>103</v>
      </c>
      <c r="G867" s="2731">
        <v>1584129.98</v>
      </c>
      <c r="H867" s="2389">
        <f>E867*G867</f>
        <v>2708862.2657999997</v>
      </c>
      <c r="I867" s="2465">
        <f>'Resume Analisa'!$D$55</f>
        <v>1535009.1300000001</v>
      </c>
      <c r="J867" s="2782">
        <f>E867*I867</f>
        <v>2624865.6123000002</v>
      </c>
      <c r="K867" s="2378" t="e">
        <f>IF(H867=0,"",IF(J867&lt;#REF!*H867,"Timpang &lt;"&amp;TEXT(#REF!,"0%"),IF(J867&gt;#REF!*H867,"Timpang &gt;"&amp;TEXT(#REF!,"0%"),"Wajar")))</f>
        <v>#REF!</v>
      </c>
      <c r="L867" s="2391">
        <v>1535009.1300000001</v>
      </c>
      <c r="M867" s="2391">
        <f>E867*L867</f>
        <v>2624865.6123000002</v>
      </c>
      <c r="N867" s="2375">
        <f t="shared" si="254"/>
        <v>1.1465973168896504E-3</v>
      </c>
      <c r="O867" s="2375">
        <v>0</v>
      </c>
      <c r="P867" s="2398" t="s">
        <v>103</v>
      </c>
      <c r="Q867" s="2375">
        <f t="shared" si="256"/>
        <v>0</v>
      </c>
      <c r="R867" s="2375">
        <f t="shared" si="255"/>
        <v>0</v>
      </c>
      <c r="S867" s="2386">
        <v>0</v>
      </c>
      <c r="T867" s="2398"/>
      <c r="U867" s="2375">
        <f t="shared" si="249"/>
        <v>0</v>
      </c>
      <c r="V867" s="2375"/>
      <c r="W867" s="2382">
        <f t="shared" si="250"/>
        <v>1.71</v>
      </c>
      <c r="X867" s="2398" t="s">
        <v>103</v>
      </c>
      <c r="Y867" s="2375">
        <f t="shared" si="251"/>
        <v>1535009.1300000001</v>
      </c>
      <c r="Z867" s="2375"/>
      <c r="AA867" s="2377" t="s">
        <v>3355</v>
      </c>
    </row>
    <row r="868" spans="1:27" ht="25" hidden="1" customHeight="1">
      <c r="A868" s="2398">
        <f>A863+1</f>
        <v>6</v>
      </c>
      <c r="B868" s="2549" t="s">
        <v>527</v>
      </c>
      <c r="C868" s="2550"/>
      <c r="D868" s="2551"/>
      <c r="E868" s="2397"/>
      <c r="F868" s="2791"/>
      <c r="G868" s="2731"/>
      <c r="H868" s="2389"/>
      <c r="I868" s="2465"/>
      <c r="J868" s="2782"/>
      <c r="K868" s="2389"/>
      <c r="L868" s="2391"/>
      <c r="M868" s="2391"/>
      <c r="N868" s="2375">
        <f t="shared" si="254"/>
        <v>0</v>
      </c>
      <c r="O868" s="2375">
        <v>0</v>
      </c>
      <c r="P868" s="2791"/>
      <c r="Q868" s="2375">
        <f t="shared" si="256"/>
        <v>0</v>
      </c>
      <c r="R868" s="2375">
        <f t="shared" si="255"/>
        <v>0</v>
      </c>
      <c r="S868" s="2386">
        <v>0</v>
      </c>
      <c r="T868" s="2398"/>
      <c r="U868" s="2375">
        <f t="shared" si="249"/>
        <v>0</v>
      </c>
      <c r="V868" s="2375"/>
      <c r="W868" s="2382">
        <f t="shared" si="250"/>
        <v>0</v>
      </c>
      <c r="X868" s="2791"/>
      <c r="Y868" s="2375">
        <f t="shared" si="251"/>
        <v>0</v>
      </c>
      <c r="Z868" s="2375"/>
      <c r="AA868" s="2377" t="s">
        <v>3355</v>
      </c>
    </row>
    <row r="869" spans="1:27" ht="25" hidden="1" customHeight="1">
      <c r="A869" s="2555" t="s">
        <v>95</v>
      </c>
      <c r="B869" s="2549" t="s">
        <v>417</v>
      </c>
      <c r="C869" s="2550"/>
      <c r="D869" s="2551"/>
      <c r="E869" s="2397">
        <f>'13. Vol Toilet G'!$O$84</f>
        <v>3.36</v>
      </c>
      <c r="F869" s="2398" t="s">
        <v>89</v>
      </c>
      <c r="G869" s="2731">
        <v>249883.29</v>
      </c>
      <c r="H869" s="2389">
        <f>E869*G869</f>
        <v>839607.85439999995</v>
      </c>
      <c r="I869" s="2465">
        <f>'Resume Analisa'!$D$40</f>
        <v>245946.97</v>
      </c>
      <c r="J869" s="2782">
        <f>E869*I869</f>
        <v>826381.81920000003</v>
      </c>
      <c r="K869" s="2378" t="e">
        <f>IF(H869=0,"",IF(J869&lt;#REF!*H869,"Timpang &lt;"&amp;TEXT(#REF!,"0%"),IF(J869&gt;#REF!*H869,"Timpang &gt;"&amp;TEXT(#REF!,"0%"),"Wajar")))</f>
        <v>#REF!</v>
      </c>
      <c r="L869" s="2391">
        <v>245946.97</v>
      </c>
      <c r="M869" s="2391">
        <f>E869*L869</f>
        <v>826381.81920000003</v>
      </c>
      <c r="N869" s="2375">
        <f t="shared" si="254"/>
        <v>3.6098121449762579E-4</v>
      </c>
      <c r="O869" s="2375">
        <v>0</v>
      </c>
      <c r="P869" s="2398" t="s">
        <v>89</v>
      </c>
      <c r="Q869" s="2375">
        <f t="shared" si="256"/>
        <v>0</v>
      </c>
      <c r="R869" s="2375">
        <f t="shared" si="255"/>
        <v>0</v>
      </c>
      <c r="S869" s="2375">
        <v>0</v>
      </c>
      <c r="T869" s="2398"/>
      <c r="U869" s="2375">
        <f t="shared" si="249"/>
        <v>0</v>
      </c>
      <c r="V869" s="2375"/>
      <c r="W869" s="2382">
        <f t="shared" si="250"/>
        <v>3.36</v>
      </c>
      <c r="X869" s="2398" t="s">
        <v>89</v>
      </c>
      <c r="Y869" s="2375">
        <f t="shared" si="251"/>
        <v>245946.97</v>
      </c>
      <c r="Z869" s="2375"/>
      <c r="AA869" s="2377" t="s">
        <v>3355</v>
      </c>
    </row>
    <row r="870" spans="1:27" ht="25" hidden="1" customHeight="1">
      <c r="A870" s="2555" t="s">
        <v>98</v>
      </c>
      <c r="B870" s="2549" t="s">
        <v>528</v>
      </c>
      <c r="C870" s="2550"/>
      <c r="D870" s="2551"/>
      <c r="E870" s="2397">
        <f>'13. Vol Toilet G'!$O$85</f>
        <v>38.47</v>
      </c>
      <c r="F870" s="2398" t="s">
        <v>100</v>
      </c>
      <c r="G870" s="2731">
        <v>19151.18</v>
      </c>
      <c r="H870" s="2473">
        <f>E870*G870</f>
        <v>736745.8946</v>
      </c>
      <c r="I870" s="2480">
        <f>'Resume Analisa'!$D$48</f>
        <v>18790.969999999998</v>
      </c>
      <c r="J870" s="2474">
        <f>+I870*E870</f>
        <v>722888.61589999986</v>
      </c>
      <c r="K870" s="2378" t="e">
        <f>IF(H870=0,"",IF(J870&lt;#REF!*H870,"Timpang &lt;"&amp;TEXT(#REF!,"0%"),IF(J870&gt;#REF!*H870,"Timpang &gt;"&amp;TEXT(#REF!,"0%"),"Wajar")))</f>
        <v>#REF!</v>
      </c>
      <c r="L870" s="2391">
        <v>18790.969999999998</v>
      </c>
      <c r="M870" s="2475">
        <f>E870*L870</f>
        <v>722888.61589999986</v>
      </c>
      <c r="N870" s="2375">
        <f t="shared" si="254"/>
        <v>3.1577317464063793E-4</v>
      </c>
      <c r="O870" s="2375">
        <v>0</v>
      </c>
      <c r="P870" s="2398" t="s">
        <v>100</v>
      </c>
      <c r="Q870" s="2375">
        <f t="shared" si="256"/>
        <v>0</v>
      </c>
      <c r="R870" s="2375">
        <f t="shared" si="255"/>
        <v>0</v>
      </c>
      <c r="S870" s="2375">
        <v>0</v>
      </c>
      <c r="T870" s="2398"/>
      <c r="U870" s="2375">
        <f t="shared" si="249"/>
        <v>0</v>
      </c>
      <c r="V870" s="2375"/>
      <c r="W870" s="2382">
        <f t="shared" si="250"/>
        <v>38.47</v>
      </c>
      <c r="X870" s="2398" t="s">
        <v>100</v>
      </c>
      <c r="Y870" s="2375">
        <f t="shared" si="251"/>
        <v>18790.969999999998</v>
      </c>
      <c r="Z870" s="2375"/>
      <c r="AA870" s="2377" t="s">
        <v>3355</v>
      </c>
    </row>
    <row r="871" spans="1:27" ht="25" hidden="1" customHeight="1">
      <c r="A871" s="2555" t="s">
        <v>101</v>
      </c>
      <c r="B871" s="2549" t="s">
        <v>529</v>
      </c>
      <c r="C871" s="2550"/>
      <c r="D871" s="2551"/>
      <c r="E871" s="2397">
        <f>'13. Vol Toilet G'!$O$86</f>
        <v>3.37</v>
      </c>
      <c r="F871" s="2398" t="s">
        <v>100</v>
      </c>
      <c r="G871" s="2736">
        <v>19151.18</v>
      </c>
      <c r="H871" s="2473">
        <f>E871*G871</f>
        <v>64539.476600000002</v>
      </c>
      <c r="I871" s="2474">
        <f>'Resume Analisa'!$D$48</f>
        <v>18790.969999999998</v>
      </c>
      <c r="J871" s="2474">
        <f>+I871*E871</f>
        <v>63325.568899999991</v>
      </c>
      <c r="K871" s="2378" t="e">
        <f>IF(H871=0,"",IF(J871&lt;#REF!*H871,"Timpang &lt;"&amp;TEXT(#REF!,"0%"),IF(J871&gt;#REF!*H871,"Timpang &gt;"&amp;TEXT(#REF!,"0%"),"Wajar")))</f>
        <v>#REF!</v>
      </c>
      <c r="L871" s="2475">
        <v>18790.969999999998</v>
      </c>
      <c r="M871" s="2475">
        <f>E871*L871</f>
        <v>63325.568899999991</v>
      </c>
      <c r="N871" s="2375">
        <f t="shared" si="254"/>
        <v>2.7661959930827913E-5</v>
      </c>
      <c r="O871" s="2375">
        <v>0</v>
      </c>
      <c r="P871" s="2398" t="s">
        <v>100</v>
      </c>
      <c r="Q871" s="2375">
        <f t="shared" si="256"/>
        <v>0</v>
      </c>
      <c r="R871" s="2375">
        <f t="shared" si="255"/>
        <v>0</v>
      </c>
      <c r="S871" s="2375">
        <v>0</v>
      </c>
      <c r="T871" s="2398"/>
      <c r="U871" s="2375">
        <f t="shared" si="249"/>
        <v>0</v>
      </c>
      <c r="V871" s="2375"/>
      <c r="W871" s="2382">
        <f t="shared" si="250"/>
        <v>3.37</v>
      </c>
      <c r="X871" s="2398" t="s">
        <v>100</v>
      </c>
      <c r="Y871" s="2375">
        <f t="shared" si="251"/>
        <v>18790.969999999998</v>
      </c>
      <c r="Z871" s="2375"/>
      <c r="AA871" s="2377" t="s">
        <v>3355</v>
      </c>
    </row>
    <row r="872" spans="1:27" ht="25" hidden="1" customHeight="1">
      <c r="A872" s="2555" t="s">
        <v>121</v>
      </c>
      <c r="B872" s="2549" t="s">
        <v>420</v>
      </c>
      <c r="C872" s="2550"/>
      <c r="D872" s="2551"/>
      <c r="E872" s="2397">
        <f>'13. Vol Toilet G'!$O$87</f>
        <v>0.13</v>
      </c>
      <c r="F872" s="2398" t="s">
        <v>103</v>
      </c>
      <c r="G872" s="2731">
        <v>1584129.98</v>
      </c>
      <c r="H872" s="2389">
        <f>E872*G872</f>
        <v>205936.89740000002</v>
      </c>
      <c r="I872" s="2465">
        <f>'Resume Analisa'!$D$55</f>
        <v>1535009.1300000001</v>
      </c>
      <c r="J872" s="2782">
        <f>E872*I872</f>
        <v>199551.18690000003</v>
      </c>
      <c r="K872" s="2378" t="e">
        <f>IF(H872=0,"",IF(J872&lt;#REF!*H872,"Timpang &lt;"&amp;TEXT(#REF!,"0%"),IF(J872&gt;#REF!*H872,"Timpang &gt;"&amp;TEXT(#REF!,"0%"),"Wajar")))</f>
        <v>#REF!</v>
      </c>
      <c r="L872" s="2391">
        <v>1535009.1300000001</v>
      </c>
      <c r="M872" s="2391">
        <f>E872*L872</f>
        <v>199551.18690000003</v>
      </c>
      <c r="N872" s="2375">
        <f t="shared" si="254"/>
        <v>8.7168217073482199E-5</v>
      </c>
      <c r="O872" s="2375">
        <v>0</v>
      </c>
      <c r="P872" s="2398" t="s">
        <v>103</v>
      </c>
      <c r="Q872" s="2375">
        <f t="shared" si="256"/>
        <v>0</v>
      </c>
      <c r="R872" s="2375">
        <f t="shared" si="255"/>
        <v>0</v>
      </c>
      <c r="S872" s="2375">
        <v>0</v>
      </c>
      <c r="T872" s="2398"/>
      <c r="U872" s="2375">
        <f t="shared" si="249"/>
        <v>0</v>
      </c>
      <c r="V872" s="2375"/>
      <c r="W872" s="2382">
        <f t="shared" si="250"/>
        <v>0.13</v>
      </c>
      <c r="X872" s="2398" t="s">
        <v>103</v>
      </c>
      <c r="Y872" s="2375">
        <f t="shared" si="251"/>
        <v>1535009.1300000001</v>
      </c>
      <c r="Z872" s="2375"/>
      <c r="AA872" s="2377" t="s">
        <v>3355</v>
      </c>
    </row>
    <row r="873" spans="1:27" ht="25" hidden="1" customHeight="1">
      <c r="A873" s="2398">
        <f>A868+1</f>
        <v>7</v>
      </c>
      <c r="B873" s="2549" t="s">
        <v>530</v>
      </c>
      <c r="C873" s="2550"/>
      <c r="D873" s="2551"/>
      <c r="E873" s="2397"/>
      <c r="F873" s="2398"/>
      <c r="G873" s="2731"/>
      <c r="H873" s="2389"/>
      <c r="I873" s="2465"/>
      <c r="J873" s="2782"/>
      <c r="K873" s="2389"/>
      <c r="L873" s="2391"/>
      <c r="M873" s="2391"/>
      <c r="N873" s="2375">
        <f t="shared" si="254"/>
        <v>0</v>
      </c>
      <c r="O873" s="2375">
        <v>0</v>
      </c>
      <c r="P873" s="2398"/>
      <c r="Q873" s="2375">
        <f t="shared" si="256"/>
        <v>0</v>
      </c>
      <c r="R873" s="2375">
        <f t="shared" si="255"/>
        <v>0</v>
      </c>
      <c r="S873" s="2375">
        <v>0</v>
      </c>
      <c r="T873" s="2398"/>
      <c r="U873" s="2375">
        <f t="shared" si="249"/>
        <v>0</v>
      </c>
      <c r="V873" s="2375"/>
      <c r="W873" s="2382">
        <f t="shared" si="250"/>
        <v>0</v>
      </c>
      <c r="X873" s="2398"/>
      <c r="Y873" s="2375">
        <f t="shared" si="251"/>
        <v>0</v>
      </c>
      <c r="Z873" s="2375"/>
      <c r="AA873" s="2377" t="s">
        <v>3355</v>
      </c>
    </row>
    <row r="874" spans="1:27" ht="25" hidden="1" customHeight="1">
      <c r="A874" s="2555" t="s">
        <v>95</v>
      </c>
      <c r="B874" s="2549" t="s">
        <v>106</v>
      </c>
      <c r="C874" s="2550"/>
      <c r="D874" s="2551"/>
      <c r="E874" s="2397">
        <f>'13. Vol Toilet G'!$O$89</f>
        <v>14.4</v>
      </c>
      <c r="F874" s="2398" t="s">
        <v>89</v>
      </c>
      <c r="G874" s="2731">
        <v>249883.29</v>
      </c>
      <c r="H874" s="2389">
        <f>E874*G874</f>
        <v>3598319.3760000002</v>
      </c>
      <c r="I874" s="2480">
        <f>'Resume Analisa'!$D$40</f>
        <v>245946.97</v>
      </c>
      <c r="J874" s="2480">
        <f>I874*E874</f>
        <v>3541636.3680000002</v>
      </c>
      <c r="K874" s="2378" t="e">
        <f>IF(H874=0,"",IF(J874&lt;#REF!*H874,"Timpang &lt;"&amp;TEXT(#REF!,"0%"),IF(J874&gt;#REF!*H874,"Timpang &gt;"&amp;TEXT(#REF!,"0%"),"Wajar")))</f>
        <v>#REF!</v>
      </c>
      <c r="L874" s="2391">
        <v>245946.97</v>
      </c>
      <c r="M874" s="2391">
        <f>E874*L874</f>
        <v>3541636.3680000002</v>
      </c>
      <c r="N874" s="2375">
        <f t="shared" si="254"/>
        <v>1.5470623478469677E-3</v>
      </c>
      <c r="O874" s="2375">
        <v>0</v>
      </c>
      <c r="P874" s="2398" t="s">
        <v>89</v>
      </c>
      <c r="Q874" s="2375">
        <f t="shared" si="256"/>
        <v>0</v>
      </c>
      <c r="R874" s="2375">
        <f t="shared" si="255"/>
        <v>0</v>
      </c>
      <c r="S874" s="2386">
        <v>0</v>
      </c>
      <c r="T874" s="2398"/>
      <c r="U874" s="2375">
        <f t="shared" si="249"/>
        <v>0</v>
      </c>
      <c r="V874" s="2375"/>
      <c r="W874" s="2382">
        <f t="shared" si="250"/>
        <v>14.4</v>
      </c>
      <c r="X874" s="2398" t="s">
        <v>89</v>
      </c>
      <c r="Y874" s="2375">
        <f t="shared" si="251"/>
        <v>245946.97</v>
      </c>
      <c r="Z874" s="2375"/>
      <c r="AA874" s="2377" t="s">
        <v>3355</v>
      </c>
    </row>
    <row r="875" spans="1:27" ht="25" hidden="1" customHeight="1">
      <c r="A875" s="2555" t="s">
        <v>98</v>
      </c>
      <c r="B875" s="2549" t="s">
        <v>528</v>
      </c>
      <c r="C875" s="2550"/>
      <c r="D875" s="2551"/>
      <c r="E875" s="2397">
        <f>'13. Vol Toilet G'!$O$90</f>
        <v>97.65</v>
      </c>
      <c r="F875" s="2398" t="s">
        <v>100</v>
      </c>
      <c r="G875" s="2731">
        <v>19151.18</v>
      </c>
      <c r="H875" s="2389">
        <f>E875*G875</f>
        <v>1870112.7270000002</v>
      </c>
      <c r="I875" s="2480">
        <f>'Resume Analisa'!$D$48</f>
        <v>18790.969999999998</v>
      </c>
      <c r="J875" s="2480">
        <f>I875*E875</f>
        <v>1834938.2204999998</v>
      </c>
      <c r="K875" s="2378" t="e">
        <f>IF(H875=0,"",IF(J875&lt;#REF!*H875,"Timpang &lt;"&amp;TEXT(#REF!,"0%"),IF(J875&gt;#REF!*H875,"Timpang &gt;"&amp;TEXT(#REF!,"0%"),"Wajar")))</f>
        <v>#REF!</v>
      </c>
      <c r="L875" s="2391">
        <v>18790.969999999998</v>
      </c>
      <c r="M875" s="2391">
        <f>E875*L875</f>
        <v>1834938.2204999998</v>
      </c>
      <c r="N875" s="2375">
        <f t="shared" si="254"/>
        <v>8.0154017425677915E-4</v>
      </c>
      <c r="O875" s="2375">
        <v>0</v>
      </c>
      <c r="P875" s="2398" t="s">
        <v>100</v>
      </c>
      <c r="Q875" s="2375">
        <f t="shared" si="256"/>
        <v>0</v>
      </c>
      <c r="R875" s="2375">
        <f t="shared" si="255"/>
        <v>0</v>
      </c>
      <c r="S875" s="2386">
        <v>0</v>
      </c>
      <c r="T875" s="2398"/>
      <c r="U875" s="2375">
        <f t="shared" si="249"/>
        <v>0</v>
      </c>
      <c r="V875" s="2375"/>
      <c r="W875" s="2382">
        <f t="shared" si="250"/>
        <v>97.65</v>
      </c>
      <c r="X875" s="2398" t="s">
        <v>100</v>
      </c>
      <c r="Y875" s="2375">
        <f t="shared" si="251"/>
        <v>18790.969999999998</v>
      </c>
      <c r="Z875" s="2375"/>
      <c r="AA875" s="2377" t="s">
        <v>3355</v>
      </c>
    </row>
    <row r="876" spans="1:27" ht="25" hidden="1" customHeight="1">
      <c r="A876" s="2555" t="s">
        <v>101</v>
      </c>
      <c r="B876" s="2549" t="s">
        <v>529</v>
      </c>
      <c r="C876" s="2550"/>
      <c r="D876" s="2551"/>
      <c r="E876" s="2397">
        <f>'13. Vol Toilet G'!$O$91</f>
        <v>16.190000000000001</v>
      </c>
      <c r="F876" s="2398" t="s">
        <v>100</v>
      </c>
      <c r="G876" s="2731">
        <v>19151.18</v>
      </c>
      <c r="H876" s="2389">
        <f>E876*G876</f>
        <v>310057.6042</v>
      </c>
      <c r="I876" s="2480">
        <f>'Resume Analisa'!$D$48</f>
        <v>18790.969999999998</v>
      </c>
      <c r="J876" s="2480">
        <f>I876*E876</f>
        <v>304225.80429999996</v>
      </c>
      <c r="K876" s="2378" t="e">
        <f>IF(H876=0,"",IF(J876&lt;#REF!*H876,"Timpang &lt;"&amp;TEXT(#REF!,"0%"),IF(J876&gt;#REF!*H876,"Timpang &gt;"&amp;TEXT(#REF!,"0%"),"Wajar")))</f>
        <v>#REF!</v>
      </c>
      <c r="L876" s="2391">
        <v>18790.969999999998</v>
      </c>
      <c r="M876" s="2391">
        <f>E876*L876</f>
        <v>304225.80429999996</v>
      </c>
      <c r="N876" s="2375">
        <f t="shared" si="254"/>
        <v>1.3289232382198928E-4</v>
      </c>
      <c r="O876" s="2375">
        <v>0</v>
      </c>
      <c r="P876" s="2398" t="s">
        <v>100</v>
      </c>
      <c r="Q876" s="2375">
        <f t="shared" si="256"/>
        <v>0</v>
      </c>
      <c r="R876" s="2375">
        <f t="shared" si="255"/>
        <v>0</v>
      </c>
      <c r="S876" s="2375">
        <v>0</v>
      </c>
      <c r="T876" s="2398"/>
      <c r="U876" s="2375">
        <f t="shared" si="249"/>
        <v>0</v>
      </c>
      <c r="V876" s="2375"/>
      <c r="W876" s="2382">
        <f t="shared" si="250"/>
        <v>16.190000000000001</v>
      </c>
      <c r="X876" s="2398" t="s">
        <v>100</v>
      </c>
      <c r="Y876" s="2375">
        <f t="shared" si="251"/>
        <v>18790.969999999998</v>
      </c>
      <c r="Z876" s="2375"/>
      <c r="AA876" s="2377" t="s">
        <v>3355</v>
      </c>
    </row>
    <row r="877" spans="1:27" ht="25" hidden="1" customHeight="1">
      <c r="A877" s="2555" t="s">
        <v>121</v>
      </c>
      <c r="B877" s="2549" t="s">
        <v>420</v>
      </c>
      <c r="C877" s="2550"/>
      <c r="D877" s="2551"/>
      <c r="E877" s="2397">
        <f>'13. Vol Toilet G'!$O$92</f>
        <v>0.54</v>
      </c>
      <c r="F877" s="2398" t="s">
        <v>103</v>
      </c>
      <c r="G877" s="2731">
        <v>1584129.98</v>
      </c>
      <c r="H877" s="2389">
        <f>E877*G877</f>
        <v>855430.18920000002</v>
      </c>
      <c r="I877" s="2465">
        <f>'Resume Analisa'!$D$55</f>
        <v>1535009.1300000001</v>
      </c>
      <c r="J877" s="2782">
        <f>E877*I877</f>
        <v>828904.93020000018</v>
      </c>
      <c r="K877" s="2378" t="e">
        <f>IF(H877=0,"",IF(J877&lt;#REF!*H877,"Timpang &lt;"&amp;TEXT(#REF!,"0%"),IF(J877&gt;#REF!*H877,"Timpang &gt;"&amp;TEXT(#REF!,"0%"),"Wajar")))</f>
        <v>#REF!</v>
      </c>
      <c r="L877" s="2391">
        <v>1535009.1300000001</v>
      </c>
      <c r="M877" s="2391">
        <f>E877*L877</f>
        <v>828904.93020000018</v>
      </c>
      <c r="N877" s="2375">
        <f t="shared" si="254"/>
        <v>3.6208336322831068E-4</v>
      </c>
      <c r="O877" s="2375">
        <v>0</v>
      </c>
      <c r="P877" s="2398" t="s">
        <v>103</v>
      </c>
      <c r="Q877" s="2375">
        <f t="shared" si="256"/>
        <v>0</v>
      </c>
      <c r="R877" s="2375">
        <f t="shared" si="255"/>
        <v>0</v>
      </c>
      <c r="S877" s="2375">
        <v>0</v>
      </c>
      <c r="T877" s="2398"/>
      <c r="U877" s="2375">
        <f t="shared" si="249"/>
        <v>0</v>
      </c>
      <c r="V877" s="2375"/>
      <c r="W877" s="2382">
        <f t="shared" si="250"/>
        <v>0.54</v>
      </c>
      <c r="X877" s="2398" t="s">
        <v>103</v>
      </c>
      <c r="Y877" s="2375">
        <f t="shared" si="251"/>
        <v>1535009.1300000001</v>
      </c>
      <c r="Z877" s="2375"/>
      <c r="AA877" s="2377" t="s">
        <v>3355</v>
      </c>
    </row>
    <row r="878" spans="1:27" ht="25" hidden="1" customHeight="1">
      <c r="A878" s="2398">
        <f>A873+1</f>
        <v>8</v>
      </c>
      <c r="B878" s="2549" t="s">
        <v>552</v>
      </c>
      <c r="C878" s="2550"/>
      <c r="D878" s="2551"/>
      <c r="E878" s="2397"/>
      <c r="F878" s="2398"/>
      <c r="G878" s="2731"/>
      <c r="H878" s="2389"/>
      <c r="I878" s="2480"/>
      <c r="J878" s="2480"/>
      <c r="K878" s="2389"/>
      <c r="L878" s="2391"/>
      <c r="M878" s="2391"/>
      <c r="N878" s="2375">
        <f t="shared" si="254"/>
        <v>0</v>
      </c>
      <c r="O878" s="2375">
        <v>0</v>
      </c>
      <c r="P878" s="2398"/>
      <c r="Q878" s="2375">
        <f t="shared" si="256"/>
        <v>0</v>
      </c>
      <c r="R878" s="2375">
        <f t="shared" si="255"/>
        <v>0</v>
      </c>
      <c r="S878" s="2375">
        <v>0</v>
      </c>
      <c r="T878" s="2398"/>
      <c r="U878" s="2375">
        <f t="shared" si="249"/>
        <v>0</v>
      </c>
      <c r="V878" s="2375"/>
      <c r="W878" s="2382">
        <f t="shared" si="250"/>
        <v>0</v>
      </c>
      <c r="X878" s="2398"/>
      <c r="Y878" s="2375">
        <f t="shared" si="251"/>
        <v>0</v>
      </c>
      <c r="Z878" s="2375"/>
      <c r="AA878" s="2377" t="s">
        <v>3355</v>
      </c>
    </row>
    <row r="879" spans="1:27" ht="25" hidden="1" customHeight="1">
      <c r="A879" s="2555" t="s">
        <v>95</v>
      </c>
      <c r="B879" s="2549" t="s">
        <v>106</v>
      </c>
      <c r="C879" s="2550"/>
      <c r="D879" s="2551"/>
      <c r="E879" s="2397">
        <f>'13. Vol Toilet G'!$O$94</f>
        <v>5.4</v>
      </c>
      <c r="F879" s="2398" t="s">
        <v>89</v>
      </c>
      <c r="G879" s="2731">
        <v>249883.29</v>
      </c>
      <c r="H879" s="2389">
        <f>E879*G879</f>
        <v>1349369.7660000001</v>
      </c>
      <c r="I879" s="2480">
        <f>'Resume Analisa'!$D$40</f>
        <v>245946.97</v>
      </c>
      <c r="J879" s="2480">
        <f>I879*E879</f>
        <v>1328113.638</v>
      </c>
      <c r="K879" s="2378" t="e">
        <f>IF(H879=0,"",IF(J879&lt;#REF!*H879,"Timpang &lt;"&amp;TEXT(#REF!,"0%"),IF(J879&gt;#REF!*H879,"Timpang &gt;"&amp;TEXT(#REF!,"0%"),"Wajar")))</f>
        <v>#REF!</v>
      </c>
      <c r="L879" s="2391">
        <v>245946.97</v>
      </c>
      <c r="M879" s="2391">
        <f>E879*L879</f>
        <v>1328113.638</v>
      </c>
      <c r="N879" s="2375">
        <f t="shared" si="254"/>
        <v>5.8014838044261291E-4</v>
      </c>
      <c r="O879" s="2375">
        <v>0</v>
      </c>
      <c r="P879" s="2398" t="s">
        <v>89</v>
      </c>
      <c r="Q879" s="2375">
        <f t="shared" si="256"/>
        <v>0</v>
      </c>
      <c r="R879" s="2375">
        <f t="shared" si="255"/>
        <v>0</v>
      </c>
      <c r="S879" s="2375">
        <v>0</v>
      </c>
      <c r="T879" s="2398"/>
      <c r="U879" s="2375">
        <f t="shared" si="249"/>
        <v>0</v>
      </c>
      <c r="V879" s="2375"/>
      <c r="W879" s="2382">
        <f t="shared" si="250"/>
        <v>5.4</v>
      </c>
      <c r="X879" s="2398" t="s">
        <v>89</v>
      </c>
      <c r="Y879" s="2375">
        <f t="shared" si="251"/>
        <v>245946.97</v>
      </c>
      <c r="Z879" s="2375"/>
      <c r="AA879" s="2377" t="s">
        <v>3355</v>
      </c>
    </row>
    <row r="880" spans="1:27" ht="25" hidden="1" customHeight="1">
      <c r="A880" s="2555" t="s">
        <v>98</v>
      </c>
      <c r="B880" s="2549" t="s">
        <v>432</v>
      </c>
      <c r="C880" s="2550"/>
      <c r="D880" s="2551"/>
      <c r="E880" s="2397">
        <f>'13. Vol Toilet G'!$O$95</f>
        <v>54.75</v>
      </c>
      <c r="F880" s="2398" t="s">
        <v>100</v>
      </c>
      <c r="G880" s="2731">
        <v>19151.18</v>
      </c>
      <c r="H880" s="2473">
        <f>E880*G880</f>
        <v>1048527.105</v>
      </c>
      <c r="I880" s="2480">
        <f>'Resume Analisa'!$D$48</f>
        <v>18790.969999999998</v>
      </c>
      <c r="J880" s="2474">
        <f>I880*E880</f>
        <v>1028805.6074999998</v>
      </c>
      <c r="K880" s="2378" t="e">
        <f>IF(H880=0,"",IF(J880&lt;#REF!*H880,"Timpang &lt;"&amp;TEXT(#REF!,"0%"),IF(J880&gt;#REF!*H880,"Timpang &gt;"&amp;TEXT(#REF!,"0%"),"Wajar")))</f>
        <v>#REF!</v>
      </c>
      <c r="L880" s="2391">
        <v>18790.969999999998</v>
      </c>
      <c r="M880" s="2475">
        <f>E880*L880</f>
        <v>1028805.6074999998</v>
      </c>
      <c r="N880" s="2375">
        <f t="shared" si="254"/>
        <v>4.4940424516701135E-4</v>
      </c>
      <c r="O880" s="2375">
        <v>0</v>
      </c>
      <c r="P880" s="2398" t="s">
        <v>100</v>
      </c>
      <c r="Q880" s="2375">
        <f t="shared" si="256"/>
        <v>0</v>
      </c>
      <c r="R880" s="2375">
        <f t="shared" si="255"/>
        <v>0</v>
      </c>
      <c r="S880" s="2375">
        <v>0</v>
      </c>
      <c r="T880" s="2398"/>
      <c r="U880" s="2375">
        <f t="shared" si="249"/>
        <v>0</v>
      </c>
      <c r="V880" s="2375"/>
      <c r="W880" s="2382">
        <f t="shared" si="250"/>
        <v>54.75</v>
      </c>
      <c r="X880" s="2398" t="s">
        <v>100</v>
      </c>
      <c r="Y880" s="2375">
        <f t="shared" si="251"/>
        <v>18790.969999999998</v>
      </c>
      <c r="Z880" s="2375"/>
      <c r="AA880" s="2377" t="s">
        <v>3355</v>
      </c>
    </row>
    <row r="881" spans="1:27" ht="25" hidden="1" customHeight="1">
      <c r="A881" s="2555" t="s">
        <v>101</v>
      </c>
      <c r="B881" s="2549" t="s">
        <v>498</v>
      </c>
      <c r="C881" s="2550"/>
      <c r="D881" s="2551"/>
      <c r="E881" s="2397">
        <f>'13. Vol Toilet G'!$O$96</f>
        <v>10.63</v>
      </c>
      <c r="F881" s="2398" t="s">
        <v>100</v>
      </c>
      <c r="G881" s="2731">
        <v>19151.18</v>
      </c>
      <c r="H881" s="2389">
        <f>E881*G881</f>
        <v>203577.04340000002</v>
      </c>
      <c r="I881" s="2480">
        <f>'Resume Analisa'!$D$48</f>
        <v>18790.969999999998</v>
      </c>
      <c r="J881" s="2480">
        <f>I881*E881</f>
        <v>199748.01109999997</v>
      </c>
      <c r="K881" s="2378" t="e">
        <f>IF(H881=0,"",IF(J881&lt;#REF!*H881,"Timpang &lt;"&amp;TEXT(#REF!,"0%"),IF(J881&gt;#REF!*H881,"Timpang &gt;"&amp;TEXT(#REF!,"0%"),"Wajar")))</f>
        <v>#REF!</v>
      </c>
      <c r="L881" s="2391">
        <v>18790.969999999998</v>
      </c>
      <c r="M881" s="2391">
        <f>E881*L881</f>
        <v>199748.01109999997</v>
      </c>
      <c r="N881" s="2375">
        <f t="shared" si="254"/>
        <v>8.7254194084480924E-5</v>
      </c>
      <c r="O881" s="2375">
        <v>0</v>
      </c>
      <c r="P881" s="2398" t="s">
        <v>100</v>
      </c>
      <c r="Q881" s="2375">
        <f t="shared" si="256"/>
        <v>0</v>
      </c>
      <c r="R881" s="2375">
        <f t="shared" si="255"/>
        <v>0</v>
      </c>
      <c r="S881" s="2386">
        <v>0</v>
      </c>
      <c r="T881" s="2398"/>
      <c r="U881" s="2375">
        <f t="shared" si="249"/>
        <v>0</v>
      </c>
      <c r="V881" s="2375"/>
      <c r="W881" s="2382">
        <f t="shared" si="250"/>
        <v>10.63</v>
      </c>
      <c r="X881" s="2398" t="s">
        <v>100</v>
      </c>
      <c r="Y881" s="2375">
        <f t="shared" si="251"/>
        <v>18790.969999999998</v>
      </c>
      <c r="Z881" s="2375"/>
      <c r="AA881" s="2377" t="s">
        <v>3355</v>
      </c>
    </row>
    <row r="882" spans="1:27" ht="25" hidden="1" customHeight="1">
      <c r="A882" s="2555" t="s">
        <v>121</v>
      </c>
      <c r="B882" s="2549" t="s">
        <v>420</v>
      </c>
      <c r="C882" s="2550"/>
      <c r="D882" s="2551"/>
      <c r="E882" s="2397">
        <f>'13. Vol Toilet G'!$O$97</f>
        <v>0.41</v>
      </c>
      <c r="F882" s="2398" t="s">
        <v>103</v>
      </c>
      <c r="G882" s="2731">
        <v>1584129.98</v>
      </c>
      <c r="H882" s="2389">
        <f>E882*G882</f>
        <v>649493.29180000001</v>
      </c>
      <c r="I882" s="2465">
        <f>'Resume Analisa'!$D$55</f>
        <v>1535009.1300000001</v>
      </c>
      <c r="J882" s="2782">
        <f>E882*I882</f>
        <v>629353.74329999997</v>
      </c>
      <c r="K882" s="2378" t="e">
        <f>IF(H882=0,"",IF(J882&lt;#REF!*H882,"Timpang &lt;"&amp;TEXT(#REF!,"0%"),IF(J882&gt;#REF!*H882,"Timpang &gt;"&amp;TEXT(#REF!,"0%"),"Wajar")))</f>
        <v>#REF!</v>
      </c>
      <c r="L882" s="2391">
        <v>1535009.1300000001</v>
      </c>
      <c r="M882" s="2391">
        <f>E882*L882</f>
        <v>629353.74329999997</v>
      </c>
      <c r="N882" s="2375">
        <f t="shared" si="254"/>
        <v>2.7491514615482845E-4</v>
      </c>
      <c r="O882" s="2375">
        <v>0</v>
      </c>
      <c r="P882" s="2398" t="s">
        <v>103</v>
      </c>
      <c r="Q882" s="2375">
        <f t="shared" si="256"/>
        <v>0</v>
      </c>
      <c r="R882" s="2375">
        <f t="shared" si="255"/>
        <v>0</v>
      </c>
      <c r="S882" s="2386">
        <v>0</v>
      </c>
      <c r="T882" s="2398"/>
      <c r="U882" s="2375">
        <f t="shared" si="249"/>
        <v>0</v>
      </c>
      <c r="V882" s="2375"/>
      <c r="W882" s="2382">
        <f t="shared" si="250"/>
        <v>0.41</v>
      </c>
      <c r="X882" s="2398" t="s">
        <v>103</v>
      </c>
      <c r="Y882" s="2375">
        <f t="shared" si="251"/>
        <v>1535009.1300000001</v>
      </c>
      <c r="Z882" s="2375"/>
      <c r="AA882" s="2377" t="s">
        <v>3355</v>
      </c>
    </row>
    <row r="883" spans="1:27" ht="25" hidden="1" customHeight="1">
      <c r="A883" s="2398">
        <f>A878+1</f>
        <v>9</v>
      </c>
      <c r="B883" s="2549" t="s">
        <v>412</v>
      </c>
      <c r="C883" s="2550"/>
      <c r="D883" s="2551"/>
      <c r="E883" s="2397"/>
      <c r="F883" s="2398"/>
      <c r="G883" s="2731"/>
      <c r="H883" s="2389"/>
      <c r="I883" s="2480"/>
      <c r="J883" s="2480"/>
      <c r="K883" s="2389"/>
      <c r="L883" s="2391"/>
      <c r="M883" s="2391"/>
      <c r="N883" s="2375">
        <f t="shared" si="254"/>
        <v>0</v>
      </c>
      <c r="O883" s="2375">
        <v>0</v>
      </c>
      <c r="P883" s="2398"/>
      <c r="Q883" s="2375">
        <f t="shared" si="256"/>
        <v>0</v>
      </c>
      <c r="R883" s="2375">
        <f t="shared" si="255"/>
        <v>0</v>
      </c>
      <c r="S883" s="2375">
        <v>0</v>
      </c>
      <c r="T883" s="2398"/>
      <c r="U883" s="2375">
        <f t="shared" si="249"/>
        <v>0</v>
      </c>
      <c r="V883" s="2375"/>
      <c r="W883" s="2382">
        <f t="shared" si="250"/>
        <v>0</v>
      </c>
      <c r="X883" s="2398"/>
      <c r="Y883" s="2375">
        <f t="shared" si="251"/>
        <v>0</v>
      </c>
      <c r="Z883" s="2375"/>
      <c r="AA883" s="2377" t="s">
        <v>3355</v>
      </c>
    </row>
    <row r="884" spans="1:27" ht="25" hidden="1" customHeight="1">
      <c r="A884" s="2555" t="s">
        <v>95</v>
      </c>
      <c r="B884" s="2549" t="s">
        <v>413</v>
      </c>
      <c r="C884" s="2550"/>
      <c r="D884" s="2551"/>
      <c r="E884" s="2397">
        <f>'13. Vol Toilet G'!$O$99</f>
        <v>3.38</v>
      </c>
      <c r="F884" s="2398" t="s">
        <v>103</v>
      </c>
      <c r="G884" s="2731">
        <v>200606.23</v>
      </c>
      <c r="H884" s="2389">
        <f>E884*G884</f>
        <v>678049.05740000005</v>
      </c>
      <c r="I884" s="2480">
        <f>'Resume Analisa'!$D$24</f>
        <v>189662.29</v>
      </c>
      <c r="J884" s="2480">
        <f>I884*E884</f>
        <v>641058.54020000005</v>
      </c>
      <c r="K884" s="2378" t="e">
        <f>IF(H884=0,"",IF(J884&lt;#REF!*H884,"Timpang &lt;"&amp;TEXT(#REF!,"0%"),IF(J884&gt;#REF!*H884,"Timpang &gt;"&amp;TEXT(#REF!,"0%"),"Wajar")))</f>
        <v>#REF!</v>
      </c>
      <c r="L884" s="2391">
        <v>189662.29</v>
      </c>
      <c r="M884" s="2391">
        <f>E884*L884</f>
        <v>641058.54020000005</v>
      </c>
      <c r="N884" s="2375">
        <f t="shared" si="254"/>
        <v>2.8002805123362166E-4</v>
      </c>
      <c r="O884" s="2375">
        <v>0</v>
      </c>
      <c r="P884" s="2398" t="s">
        <v>103</v>
      </c>
      <c r="Q884" s="2375">
        <f t="shared" si="256"/>
        <v>0</v>
      </c>
      <c r="R884" s="2375">
        <f t="shared" si="255"/>
        <v>0</v>
      </c>
      <c r="S884" s="2375">
        <v>0</v>
      </c>
      <c r="T884" s="2398"/>
      <c r="U884" s="2375">
        <f t="shared" si="249"/>
        <v>0</v>
      </c>
      <c r="V884" s="2375"/>
      <c r="W884" s="2382">
        <f t="shared" si="250"/>
        <v>3.38</v>
      </c>
      <c r="X884" s="2398" t="s">
        <v>103</v>
      </c>
      <c r="Y884" s="2375">
        <f t="shared" si="251"/>
        <v>189662.29</v>
      </c>
      <c r="Z884" s="2375"/>
      <c r="AA884" s="2377" t="s">
        <v>3355</v>
      </c>
    </row>
    <row r="885" spans="1:27" ht="25" hidden="1" customHeight="1">
      <c r="A885" s="2555" t="s">
        <v>98</v>
      </c>
      <c r="B885" s="2549" t="s">
        <v>475</v>
      </c>
      <c r="C885" s="2550"/>
      <c r="D885" s="2551"/>
      <c r="E885" s="2397">
        <f>E884</f>
        <v>3.38</v>
      </c>
      <c r="F885" s="2398" t="s">
        <v>103</v>
      </c>
      <c r="G885" s="2731">
        <v>39847.5</v>
      </c>
      <c r="H885" s="2389">
        <f>E885*G885</f>
        <v>134684.54999999999</v>
      </c>
      <c r="I885" s="2480">
        <f>'Resume Analisa'!$D$31</f>
        <v>37946.620000000003</v>
      </c>
      <c r="J885" s="2480">
        <f>I885*E885</f>
        <v>128259.57560000001</v>
      </c>
      <c r="K885" s="2378" t="e">
        <f>IF(H885=0,"",IF(J885&lt;#REF!*H885,"Timpang &lt;"&amp;TEXT(#REF!,"0%"),IF(J885&gt;#REF!*H885,"Timpang &gt;"&amp;TEXT(#REF!,"0%"),"Wajar")))</f>
        <v>#REF!</v>
      </c>
      <c r="L885" s="2391">
        <v>37946.620000000003</v>
      </c>
      <c r="M885" s="2391">
        <f>E885*L885</f>
        <v>128259.57560000001</v>
      </c>
      <c r="N885" s="2375">
        <f t="shared" si="254"/>
        <v>5.6026519818477212E-5</v>
      </c>
      <c r="O885" s="2375">
        <v>0</v>
      </c>
      <c r="P885" s="2398" t="s">
        <v>103</v>
      </c>
      <c r="Q885" s="2375">
        <f t="shared" si="256"/>
        <v>0</v>
      </c>
      <c r="R885" s="2375">
        <f t="shared" si="255"/>
        <v>0</v>
      </c>
      <c r="S885" s="2375">
        <v>0</v>
      </c>
      <c r="T885" s="2398"/>
      <c r="U885" s="2375">
        <f t="shared" si="249"/>
        <v>0</v>
      </c>
      <c r="V885" s="2375"/>
      <c r="W885" s="2382">
        <f t="shared" si="250"/>
        <v>3.38</v>
      </c>
      <c r="X885" s="2398" t="s">
        <v>103</v>
      </c>
      <c r="Y885" s="2375">
        <f t="shared" si="251"/>
        <v>37946.620000000003</v>
      </c>
      <c r="Z885" s="2375"/>
      <c r="AA885" s="2377" t="s">
        <v>3355</v>
      </c>
    </row>
    <row r="886" spans="1:27" ht="25" hidden="1" customHeight="1">
      <c r="A886" s="2555" t="s">
        <v>101</v>
      </c>
      <c r="B886" s="2549" t="s">
        <v>415</v>
      </c>
      <c r="C886" s="2550"/>
      <c r="D886" s="2551"/>
      <c r="E886" s="2397">
        <f>'13. Vol Toilet G'!$O$100</f>
        <v>1.1299999999999999</v>
      </c>
      <c r="F886" s="2398" t="s">
        <v>103</v>
      </c>
      <c r="G886" s="2731">
        <v>507759.96</v>
      </c>
      <c r="H886" s="2389">
        <f>E886*G886</f>
        <v>573768.7548</v>
      </c>
      <c r="I886" s="2480">
        <f>'Resume Analisa'!$D$26</f>
        <v>475358.64</v>
      </c>
      <c r="J886" s="2480">
        <f>I886*E886</f>
        <v>537155.26319999993</v>
      </c>
      <c r="K886" s="2378" t="e">
        <f>IF(H886=0,"",IF(J886&lt;#REF!*H886,"Timpang &lt;"&amp;TEXT(#REF!,"0%"),IF(J886&gt;#REF!*H886,"Timpang &gt;"&amp;TEXT(#REF!,"0%"),"Wajar")))</f>
        <v>#REF!</v>
      </c>
      <c r="L886" s="2391">
        <v>475358.64</v>
      </c>
      <c r="M886" s="2391">
        <f>E886*L886</f>
        <v>537155.26319999993</v>
      </c>
      <c r="N886" s="2375">
        <f t="shared" ref="N886:N917" si="257">M886/$M$8</f>
        <v>2.3464088243306286E-4</v>
      </c>
      <c r="O886" s="2375">
        <v>0</v>
      </c>
      <c r="P886" s="2398" t="s">
        <v>103</v>
      </c>
      <c r="Q886" s="2375">
        <f t="shared" si="256"/>
        <v>0</v>
      </c>
      <c r="R886" s="2375">
        <f t="shared" si="255"/>
        <v>0</v>
      </c>
      <c r="S886" s="2375">
        <v>0</v>
      </c>
      <c r="T886" s="2398"/>
      <c r="U886" s="2375">
        <f t="shared" si="249"/>
        <v>0</v>
      </c>
      <c r="V886" s="2375"/>
      <c r="W886" s="2382">
        <f t="shared" si="250"/>
        <v>1.1299999999999999</v>
      </c>
      <c r="X886" s="2398" t="s">
        <v>103</v>
      </c>
      <c r="Y886" s="2375">
        <f t="shared" si="251"/>
        <v>475358.64</v>
      </c>
      <c r="Z886" s="2375"/>
      <c r="AA886" s="2377" t="s">
        <v>3355</v>
      </c>
    </row>
    <row r="887" spans="1:27" ht="25" hidden="1" customHeight="1">
      <c r="A887" s="2555" t="s">
        <v>121</v>
      </c>
      <c r="B887" s="2549" t="s">
        <v>496</v>
      </c>
      <c r="C887" s="2550"/>
      <c r="D887" s="2551"/>
      <c r="E887" s="2397">
        <f>'13. Vol Toilet G'!$O$101</f>
        <v>1.1299999999999999</v>
      </c>
      <c r="F887" s="2398" t="s">
        <v>103</v>
      </c>
      <c r="G887" s="2731">
        <v>1422226.08</v>
      </c>
      <c r="H887" s="2389">
        <f>E887*G887</f>
        <v>1607115.4704</v>
      </c>
      <c r="I887" s="2480">
        <f>'Resume Analisa'!$D$54</f>
        <v>1384580.76</v>
      </c>
      <c r="J887" s="2480">
        <f>I887*E887</f>
        <v>1564576.2588</v>
      </c>
      <c r="K887" s="2378" t="e">
        <f>IF(H887=0,"",IF(J887&lt;#REF!*H887,"Timpang &lt;"&amp;TEXT(#REF!,"0%"),IF(J887&gt;#REF!*H887,"Timpang &gt;"&amp;TEXT(#REF!,"0%"),"Wajar")))</f>
        <v>#REF!</v>
      </c>
      <c r="L887" s="2391">
        <v>1384580.76</v>
      </c>
      <c r="M887" s="2391">
        <f>E887*L887</f>
        <v>1564576.2588</v>
      </c>
      <c r="N887" s="2375">
        <f t="shared" si="257"/>
        <v>6.8344029957305679E-4</v>
      </c>
      <c r="O887" s="2375">
        <v>0</v>
      </c>
      <c r="P887" s="2398" t="s">
        <v>103</v>
      </c>
      <c r="Q887" s="2375">
        <f t="shared" si="256"/>
        <v>0</v>
      </c>
      <c r="R887" s="2375">
        <f t="shared" si="255"/>
        <v>0</v>
      </c>
      <c r="S887" s="2375">
        <v>0</v>
      </c>
      <c r="T887" s="2398"/>
      <c r="U887" s="2375">
        <f t="shared" si="249"/>
        <v>0</v>
      </c>
      <c r="V887" s="2375"/>
      <c r="W887" s="2382">
        <f t="shared" si="250"/>
        <v>1.1299999999999999</v>
      </c>
      <c r="X887" s="2398" t="s">
        <v>103</v>
      </c>
      <c r="Y887" s="2375">
        <f t="shared" si="251"/>
        <v>1384580.76</v>
      </c>
      <c r="Z887" s="2375"/>
      <c r="AA887" s="2377" t="s">
        <v>3355</v>
      </c>
    </row>
    <row r="888" spans="1:27" ht="25" hidden="1" customHeight="1">
      <c r="A888" s="2398">
        <f>A883+1</f>
        <v>10</v>
      </c>
      <c r="B888" s="2549" t="s">
        <v>698</v>
      </c>
      <c r="C888" s="2550"/>
      <c r="D888" s="2733"/>
      <c r="E888" s="2397"/>
      <c r="F888" s="2537"/>
      <c r="G888" s="2786"/>
      <c r="H888" s="2389"/>
      <c r="I888" s="2785"/>
      <c r="J888" s="2567"/>
      <c r="K888" s="2389"/>
      <c r="L888" s="2457"/>
      <c r="M888" s="2391"/>
      <c r="N888" s="2375">
        <f t="shared" si="257"/>
        <v>0</v>
      </c>
      <c r="O888" s="2375">
        <v>0</v>
      </c>
      <c r="P888" s="2537"/>
      <c r="Q888" s="2375">
        <f t="shared" si="256"/>
        <v>0</v>
      </c>
      <c r="R888" s="2375">
        <f t="shared" si="255"/>
        <v>0</v>
      </c>
      <c r="S888" s="2386">
        <v>0</v>
      </c>
      <c r="T888" s="2398"/>
      <c r="U888" s="2375">
        <f t="shared" si="249"/>
        <v>0</v>
      </c>
      <c r="V888" s="2375"/>
      <c r="W888" s="2382">
        <f t="shared" si="250"/>
        <v>0</v>
      </c>
      <c r="X888" s="2537"/>
      <c r="Y888" s="2375">
        <f t="shared" si="251"/>
        <v>0</v>
      </c>
      <c r="Z888" s="2375"/>
      <c r="AA888" s="2377" t="s">
        <v>3355</v>
      </c>
    </row>
    <row r="889" spans="1:27" ht="25" hidden="1" customHeight="1">
      <c r="A889" s="2555" t="s">
        <v>95</v>
      </c>
      <c r="B889" s="2549" t="s">
        <v>126</v>
      </c>
      <c r="C889" s="2550"/>
      <c r="D889" s="2733"/>
      <c r="E889" s="2397">
        <f>'13. Vol Toilet G'!$M$110</f>
        <v>28.5</v>
      </c>
      <c r="F889" s="2398" t="s">
        <v>89</v>
      </c>
      <c r="G889" s="2731">
        <v>257048.94</v>
      </c>
      <c r="H889" s="2389">
        <f>E889*G889</f>
        <v>7325894.79</v>
      </c>
      <c r="I889" s="2480">
        <f>'Resume Analisa'!$D$42</f>
        <v>252902.38</v>
      </c>
      <c r="J889" s="2480">
        <f>I889*E889</f>
        <v>7207717.8300000001</v>
      </c>
      <c r="K889" s="2378" t="e">
        <f>IF(H889=0,"",IF(J889&lt;#REF!*H889,"Timpang &lt;"&amp;TEXT(#REF!,"0%"),IF(J889&gt;#REF!*H889,"Timpang &gt;"&amp;TEXT(#REF!,"0%"),"Wajar")))</f>
        <v>#REF!</v>
      </c>
      <c r="L889" s="2391">
        <v>252902.38</v>
      </c>
      <c r="M889" s="2391">
        <f>E889*L889</f>
        <v>7207717.8300000001</v>
      </c>
      <c r="N889" s="2375">
        <f t="shared" si="257"/>
        <v>3.1484849685444192E-3</v>
      </c>
      <c r="O889" s="2375">
        <v>0</v>
      </c>
      <c r="P889" s="2398" t="s">
        <v>89</v>
      </c>
      <c r="Q889" s="2375">
        <f t="shared" si="256"/>
        <v>0</v>
      </c>
      <c r="R889" s="2375">
        <f t="shared" si="255"/>
        <v>0</v>
      </c>
      <c r="S889" s="2386">
        <v>0</v>
      </c>
      <c r="T889" s="2537"/>
      <c r="U889" s="2375">
        <f t="shared" si="249"/>
        <v>0</v>
      </c>
      <c r="V889" s="2375"/>
      <c r="W889" s="2382">
        <f t="shared" si="250"/>
        <v>28.5</v>
      </c>
      <c r="X889" s="2398" t="s">
        <v>89</v>
      </c>
      <c r="Y889" s="2375">
        <f t="shared" si="251"/>
        <v>252902.38</v>
      </c>
      <c r="Z889" s="2375"/>
      <c r="AA889" s="2377" t="s">
        <v>3355</v>
      </c>
    </row>
    <row r="890" spans="1:27" ht="25" hidden="1" customHeight="1">
      <c r="A890" s="2555" t="s">
        <v>98</v>
      </c>
      <c r="B890" s="2549" t="s">
        <v>410</v>
      </c>
      <c r="C890" s="2550"/>
      <c r="D890" s="2733"/>
      <c r="E890" s="2397">
        <f>'13. Vol Toilet G'!$M$116</f>
        <v>117.13500000000002</v>
      </c>
      <c r="F890" s="2398" t="s">
        <v>100</v>
      </c>
      <c r="G890" s="2731">
        <v>19151.18</v>
      </c>
      <c r="H890" s="2473">
        <f>E890*G890</f>
        <v>2243273.4693000005</v>
      </c>
      <c r="I890" s="2480">
        <f>'Resume Analisa'!$D$48</f>
        <v>18790.969999999998</v>
      </c>
      <c r="J890" s="2474">
        <f>I890*E890</f>
        <v>2201080.2709500003</v>
      </c>
      <c r="K890" s="2378" t="e">
        <f>IF(H890=0,"",IF(J890&lt;#REF!*H890,"Timpang &lt;"&amp;TEXT(#REF!,"0%"),IF(J890&gt;#REF!*H890,"Timpang &gt;"&amp;TEXT(#REF!,"0%"),"Wajar")))</f>
        <v>#REF!</v>
      </c>
      <c r="L890" s="2391">
        <v>18790.969999999998</v>
      </c>
      <c r="M890" s="2475">
        <f>E890*L890</f>
        <v>2201080.2709500003</v>
      </c>
      <c r="N890" s="2375">
        <f t="shared" si="257"/>
        <v>9.6147883575594317E-4</v>
      </c>
      <c r="O890" s="2375">
        <v>0</v>
      </c>
      <c r="P890" s="2398" t="s">
        <v>100</v>
      </c>
      <c r="Q890" s="2375">
        <f t="shared" si="256"/>
        <v>0</v>
      </c>
      <c r="R890" s="2375">
        <f t="shared" si="255"/>
        <v>0</v>
      </c>
      <c r="S890" s="2375">
        <v>0</v>
      </c>
      <c r="T890" s="2537"/>
      <c r="U890" s="2375">
        <f t="shared" si="249"/>
        <v>0</v>
      </c>
      <c r="V890" s="2375"/>
      <c r="W890" s="2382">
        <f t="shared" si="250"/>
        <v>117.13500000000002</v>
      </c>
      <c r="X890" s="2398" t="s">
        <v>100</v>
      </c>
      <c r="Y890" s="2375">
        <f t="shared" si="251"/>
        <v>18790.969999999998</v>
      </c>
      <c r="Z890" s="2375"/>
      <c r="AA890" s="2377" t="s">
        <v>3355</v>
      </c>
    </row>
    <row r="891" spans="1:27" ht="25" hidden="1" customHeight="1">
      <c r="A891" s="2555" t="s">
        <v>101</v>
      </c>
      <c r="B891" s="2549" t="s">
        <v>529</v>
      </c>
      <c r="C891" s="2550"/>
      <c r="D891" s="2733"/>
      <c r="E891" s="2397">
        <f>'13. Vol Toilet G'!$M$122</f>
        <v>45.879436800000008</v>
      </c>
      <c r="F891" s="2398" t="s">
        <v>100</v>
      </c>
      <c r="G891" s="2731">
        <v>19151.18</v>
      </c>
      <c r="H891" s="2389">
        <f>E891*G891</f>
        <v>878645.35245542414</v>
      </c>
      <c r="I891" s="2480">
        <f>'Resume Analisa'!$D$48</f>
        <v>18790.969999999998</v>
      </c>
      <c r="J891" s="2480">
        <f>I891*E891</f>
        <v>862119.12052569608</v>
      </c>
      <c r="K891" s="2378" t="e">
        <f>IF(H891=0,"",IF(J891&lt;#REF!*H891,"Timpang &lt;"&amp;TEXT(#REF!,"0%"),IF(J891&gt;#REF!*H891,"Timpang &gt;"&amp;TEXT(#REF!,"0%"),"Wajar")))</f>
        <v>#REF!</v>
      </c>
      <c r="L891" s="2391">
        <v>18790.969999999998</v>
      </c>
      <c r="M891" s="2391">
        <f>E891*L891</f>
        <v>862119.12052569608</v>
      </c>
      <c r="N891" s="2375">
        <f t="shared" si="257"/>
        <v>3.7659203038888778E-4</v>
      </c>
      <c r="O891" s="2375">
        <v>0</v>
      </c>
      <c r="P891" s="2398" t="s">
        <v>100</v>
      </c>
      <c r="Q891" s="2375">
        <f t="shared" si="256"/>
        <v>0</v>
      </c>
      <c r="R891" s="2375">
        <f t="shared" si="255"/>
        <v>0</v>
      </c>
      <c r="S891" s="2375">
        <v>0</v>
      </c>
      <c r="T891" s="2398"/>
      <c r="U891" s="2375">
        <f t="shared" si="249"/>
        <v>0</v>
      </c>
      <c r="V891" s="2375"/>
      <c r="W891" s="2382">
        <f t="shared" si="250"/>
        <v>45.879436800000008</v>
      </c>
      <c r="X891" s="2398" t="s">
        <v>100</v>
      </c>
      <c r="Y891" s="2375">
        <f t="shared" si="251"/>
        <v>18790.969999999998</v>
      </c>
      <c r="Z891" s="2375"/>
      <c r="AA891" s="2377" t="s">
        <v>3355</v>
      </c>
    </row>
    <row r="892" spans="1:27" ht="25" hidden="1" customHeight="1">
      <c r="A892" s="2555" t="s">
        <v>121</v>
      </c>
      <c r="B892" s="2549" t="s">
        <v>420</v>
      </c>
      <c r="C892" s="2550"/>
      <c r="D892" s="2733"/>
      <c r="E892" s="2397">
        <f>'13. Vol Toilet G'!M127</f>
        <v>1.71</v>
      </c>
      <c r="F892" s="2398" t="s">
        <v>103</v>
      </c>
      <c r="G892" s="2731">
        <v>1584129.98</v>
      </c>
      <c r="H892" s="2389">
        <f>E892*G892</f>
        <v>2708862.2657999997</v>
      </c>
      <c r="I892" s="2465">
        <f>'Resume Analisa'!$D$55</f>
        <v>1535009.1300000001</v>
      </c>
      <c r="J892" s="2782">
        <f>E892*I892</f>
        <v>2624865.6123000002</v>
      </c>
      <c r="K892" s="2378" t="e">
        <f>IF(H892=0,"",IF(J892&lt;#REF!*H892,"Timpang &lt;"&amp;TEXT(#REF!,"0%"),IF(J892&gt;#REF!*H892,"Timpang &gt;"&amp;TEXT(#REF!,"0%"),"Wajar")))</f>
        <v>#REF!</v>
      </c>
      <c r="L892" s="2391">
        <v>1535009.1300000001</v>
      </c>
      <c r="M892" s="2391">
        <f>E892*L892</f>
        <v>2624865.6123000002</v>
      </c>
      <c r="N892" s="2375">
        <f t="shared" si="257"/>
        <v>1.1465973168896504E-3</v>
      </c>
      <c r="O892" s="2375">
        <v>0</v>
      </c>
      <c r="P892" s="2398" t="s">
        <v>103</v>
      </c>
      <c r="Q892" s="2375">
        <f t="shared" si="256"/>
        <v>0</v>
      </c>
      <c r="R892" s="2375">
        <f t="shared" si="255"/>
        <v>0</v>
      </c>
      <c r="S892" s="2375">
        <v>0</v>
      </c>
      <c r="T892" s="2398"/>
      <c r="U892" s="2375">
        <f t="shared" si="249"/>
        <v>0</v>
      </c>
      <c r="V892" s="2375"/>
      <c r="W892" s="2382">
        <f t="shared" si="250"/>
        <v>1.71</v>
      </c>
      <c r="X892" s="2398" t="s">
        <v>103</v>
      </c>
      <c r="Y892" s="2375">
        <f t="shared" si="251"/>
        <v>1535009.1300000001</v>
      </c>
      <c r="Z892" s="2375"/>
      <c r="AA892" s="2377" t="s">
        <v>3355</v>
      </c>
    </row>
    <row r="893" spans="1:27" ht="25" hidden="1" customHeight="1">
      <c r="A893" s="2398"/>
      <c r="B893" s="2549"/>
      <c r="C893" s="2550"/>
      <c r="D893" s="2733" t="s">
        <v>376</v>
      </c>
      <c r="E893" s="2397"/>
      <c r="F893" s="2537"/>
      <c r="G893" s="2786"/>
      <c r="H893" s="2546">
        <f>SUM(H848:H892)</f>
        <v>61321235.961419106</v>
      </c>
      <c r="I893" s="2785"/>
      <c r="J893" s="2709">
        <f>SUM(J848:J892)</f>
        <v>60326346.304126889</v>
      </c>
      <c r="K893" s="2546"/>
      <c r="L893" s="2457"/>
      <c r="M893" s="2457">
        <f>SUM(M848:M892)</f>
        <v>60326346.304126889</v>
      </c>
      <c r="N893" s="2375">
        <f t="shared" si="257"/>
        <v>2.6351835494335476E-2</v>
      </c>
      <c r="O893" s="2375">
        <v>0</v>
      </c>
      <c r="P893" s="2537"/>
      <c r="Q893" s="2375">
        <f t="shared" si="256"/>
        <v>0</v>
      </c>
      <c r="R893" s="2375">
        <f t="shared" si="255"/>
        <v>0</v>
      </c>
      <c r="S893" s="2375">
        <v>0</v>
      </c>
      <c r="T893" s="2398"/>
      <c r="U893" s="2375">
        <f t="shared" si="249"/>
        <v>0</v>
      </c>
      <c r="V893" s="2375"/>
      <c r="W893" s="2382">
        <f t="shared" si="250"/>
        <v>0</v>
      </c>
      <c r="X893" s="2537"/>
      <c r="Y893" s="2375">
        <f t="shared" si="251"/>
        <v>0</v>
      </c>
      <c r="Z893" s="2375"/>
      <c r="AA893" s="2377" t="s">
        <v>3355</v>
      </c>
    </row>
    <row r="894" spans="1:27" ht="25" hidden="1" customHeight="1">
      <c r="A894" s="2537" t="s">
        <v>699</v>
      </c>
      <c r="B894" s="2538" t="s">
        <v>434</v>
      </c>
      <c r="C894" s="2550"/>
      <c r="D894" s="2733"/>
      <c r="E894" s="2397"/>
      <c r="F894" s="2537"/>
      <c r="G894" s="2786"/>
      <c r="H894" s="2546"/>
      <c r="I894" s="2785"/>
      <c r="J894" s="2709"/>
      <c r="K894" s="2546"/>
      <c r="L894" s="2457"/>
      <c r="M894" s="2457"/>
      <c r="N894" s="2375">
        <f t="shared" si="257"/>
        <v>0</v>
      </c>
      <c r="O894" s="2375">
        <v>0</v>
      </c>
      <c r="P894" s="2537"/>
      <c r="Q894" s="2375">
        <f t="shared" si="256"/>
        <v>0</v>
      </c>
      <c r="R894" s="2375">
        <f t="shared" si="255"/>
        <v>0</v>
      </c>
      <c r="S894" s="2375">
        <v>0</v>
      </c>
      <c r="T894" s="2398"/>
      <c r="U894" s="2375">
        <f t="shared" si="249"/>
        <v>0</v>
      </c>
      <c r="V894" s="2375"/>
      <c r="W894" s="2382">
        <f t="shared" si="250"/>
        <v>0</v>
      </c>
      <c r="X894" s="2537"/>
      <c r="Y894" s="2375">
        <f t="shared" si="251"/>
        <v>0</v>
      </c>
      <c r="Z894" s="2375"/>
      <c r="AA894" s="2377" t="s">
        <v>3355</v>
      </c>
    </row>
    <row r="895" spans="1:27" ht="25" hidden="1" customHeight="1">
      <c r="A895" s="2398">
        <v>1</v>
      </c>
      <c r="B895" s="2549" t="s">
        <v>700</v>
      </c>
      <c r="C895" s="2550"/>
      <c r="D895" s="2733"/>
      <c r="E895" s="2397">
        <f>'13. Vol Toilet G'!$M$175</f>
        <v>106.13000000000002</v>
      </c>
      <c r="F895" s="2398" t="s">
        <v>89</v>
      </c>
      <c r="G895" s="2731">
        <v>166165.41</v>
      </c>
      <c r="H895" s="2389">
        <f t="shared" ref="H895:H902" si="258">E895*G895</f>
        <v>17635134.963300005</v>
      </c>
      <c r="I895" s="2390">
        <f>'Resume Analisa'!$D$69</f>
        <v>161086.38</v>
      </c>
      <c r="J895" s="2390">
        <f t="shared" ref="J895:J901" si="259">E895*I895</f>
        <v>17096097.509400003</v>
      </c>
      <c r="K895" s="2378" t="e">
        <f>IF(H895=0,"",IF(J895&lt;#REF!*H895,"Timpang &lt;"&amp;TEXT(#REF!,"0%"),IF(J895&gt;#REF!*H895,"Timpang &gt;"&amp;TEXT(#REF!,"0%"),"Wajar")))</f>
        <v>#REF!</v>
      </c>
      <c r="L895" s="2391">
        <v>161086.38</v>
      </c>
      <c r="M895" s="2391">
        <f t="shared" ref="M895:M902" si="260">E895*L895</f>
        <v>17096097.509400003</v>
      </c>
      <c r="N895" s="2375">
        <f t="shared" si="257"/>
        <v>7.4679402410950911E-3</v>
      </c>
      <c r="O895" s="2375">
        <v>0</v>
      </c>
      <c r="P895" s="2398" t="s">
        <v>89</v>
      </c>
      <c r="Q895" s="2375">
        <f t="shared" si="256"/>
        <v>0</v>
      </c>
      <c r="R895" s="2375">
        <f t="shared" si="255"/>
        <v>0</v>
      </c>
      <c r="S895" s="2386">
        <v>0</v>
      </c>
      <c r="T895" s="2398"/>
      <c r="U895" s="2375">
        <f t="shared" si="249"/>
        <v>0</v>
      </c>
      <c r="V895" s="2375"/>
      <c r="W895" s="2382">
        <f t="shared" si="250"/>
        <v>106.13000000000002</v>
      </c>
      <c r="X895" s="2398" t="s">
        <v>89</v>
      </c>
      <c r="Y895" s="2375">
        <f t="shared" si="251"/>
        <v>161086.38</v>
      </c>
      <c r="Z895" s="2375"/>
      <c r="AA895" s="2377" t="s">
        <v>3355</v>
      </c>
    </row>
    <row r="896" spans="1:27" ht="25" hidden="1" customHeight="1">
      <c r="A896" s="2398">
        <f t="shared" ref="A896:A903" si="261">A895+1</f>
        <v>2</v>
      </c>
      <c r="B896" s="2549" t="s">
        <v>193</v>
      </c>
      <c r="C896" s="2550"/>
      <c r="D896" s="2733"/>
      <c r="E896" s="2397">
        <f>'13. Vol Toilet G'!$M$176</f>
        <v>212.26000000000005</v>
      </c>
      <c r="F896" s="2398" t="s">
        <v>89</v>
      </c>
      <c r="G896" s="2731">
        <v>61230.840000000004</v>
      </c>
      <c r="H896" s="2389">
        <f t="shared" si="258"/>
        <v>12996858.098400004</v>
      </c>
      <c r="I896" s="2390">
        <f>'Resume Analisa'!$D$70</f>
        <v>58648.57</v>
      </c>
      <c r="J896" s="2390">
        <f t="shared" si="259"/>
        <v>12448745.468200002</v>
      </c>
      <c r="K896" s="2378" t="e">
        <f>IF(H896=0,"",IF(J896&lt;#REF!*H896,"Timpang &lt;"&amp;TEXT(#REF!,"0%"),IF(J896&gt;#REF!*H896,"Timpang &gt;"&amp;TEXT(#REF!,"0%"),"Wajar")))</f>
        <v>#REF!</v>
      </c>
      <c r="L896" s="2391">
        <v>58648.57</v>
      </c>
      <c r="M896" s="2391">
        <f t="shared" si="260"/>
        <v>12448745.468200002</v>
      </c>
      <c r="N896" s="2375">
        <f t="shared" si="257"/>
        <v>5.4378776900403667E-3</v>
      </c>
      <c r="O896" s="2375">
        <v>0</v>
      </c>
      <c r="P896" s="2398" t="s">
        <v>89</v>
      </c>
      <c r="Q896" s="2375">
        <f t="shared" si="256"/>
        <v>0</v>
      </c>
      <c r="R896" s="2375">
        <f t="shared" si="255"/>
        <v>0</v>
      </c>
      <c r="S896" s="2386">
        <v>0</v>
      </c>
      <c r="T896" s="2398"/>
      <c r="U896" s="2375">
        <f t="shared" si="249"/>
        <v>0</v>
      </c>
      <c r="V896" s="2375"/>
      <c r="W896" s="2382">
        <f t="shared" si="250"/>
        <v>212.26000000000005</v>
      </c>
      <c r="X896" s="2398" t="s">
        <v>89</v>
      </c>
      <c r="Y896" s="2375">
        <f t="shared" si="251"/>
        <v>58648.57</v>
      </c>
      <c r="Z896" s="2375"/>
      <c r="AA896" s="2377" t="s">
        <v>3355</v>
      </c>
    </row>
    <row r="897" spans="1:27" ht="25" hidden="1" customHeight="1">
      <c r="A897" s="2398">
        <f t="shared" si="261"/>
        <v>3</v>
      </c>
      <c r="B897" s="2549" t="s">
        <v>194</v>
      </c>
      <c r="C897" s="2550"/>
      <c r="D897" s="2733"/>
      <c r="E897" s="2397">
        <f>'13. Vol Toilet G'!$M$180</f>
        <v>186.76000000000005</v>
      </c>
      <c r="F897" s="2398" t="s">
        <v>89</v>
      </c>
      <c r="G897" s="2731">
        <v>45612.170000000006</v>
      </c>
      <c r="H897" s="2389">
        <f t="shared" si="258"/>
        <v>8518528.8692000024</v>
      </c>
      <c r="I897" s="2390">
        <f>'Resume Analisa'!$D$72</f>
        <v>43813.91</v>
      </c>
      <c r="J897" s="2390">
        <f t="shared" si="259"/>
        <v>8182685.8316000029</v>
      </c>
      <c r="K897" s="2378" t="e">
        <f>IF(H897=0,"",IF(J897&lt;#REF!*H897,"Timpang &lt;"&amp;TEXT(#REF!,"0%"),IF(J897&gt;#REF!*H897,"Timpang &gt;"&amp;TEXT(#REF!,"0%"),"Wajar")))</f>
        <v>#REF!</v>
      </c>
      <c r="L897" s="2391">
        <v>43813.91</v>
      </c>
      <c r="M897" s="2391">
        <f t="shared" si="260"/>
        <v>8182685.8316000029</v>
      </c>
      <c r="N897" s="2375">
        <f t="shared" si="257"/>
        <v>3.5743717985022728E-3</v>
      </c>
      <c r="O897" s="2375">
        <v>0</v>
      </c>
      <c r="P897" s="2398" t="s">
        <v>89</v>
      </c>
      <c r="Q897" s="2375">
        <f t="shared" si="256"/>
        <v>0</v>
      </c>
      <c r="R897" s="2375">
        <f t="shared" si="255"/>
        <v>0</v>
      </c>
      <c r="S897" s="2375">
        <v>0</v>
      </c>
      <c r="T897" s="2398"/>
      <c r="U897" s="2375">
        <f t="shared" si="249"/>
        <v>0</v>
      </c>
      <c r="V897" s="2375"/>
      <c r="W897" s="2382">
        <f t="shared" si="250"/>
        <v>186.76000000000005</v>
      </c>
      <c r="X897" s="2398" t="s">
        <v>89</v>
      </c>
      <c r="Y897" s="2375">
        <f t="shared" si="251"/>
        <v>43813.91</v>
      </c>
      <c r="Z897" s="2375"/>
      <c r="AA897" s="2377" t="s">
        <v>3355</v>
      </c>
    </row>
    <row r="898" spans="1:27" ht="25" hidden="1" customHeight="1">
      <c r="A898" s="2398">
        <f t="shared" si="261"/>
        <v>4</v>
      </c>
      <c r="B898" s="2549" t="s">
        <v>701</v>
      </c>
      <c r="C898" s="2550"/>
      <c r="D898" s="2733"/>
      <c r="E898" s="2397">
        <f>'13. Vol Toilet G'!$M$184</f>
        <v>5.28</v>
      </c>
      <c r="F898" s="2398" t="s">
        <v>89</v>
      </c>
      <c r="G898" s="2731">
        <v>620335.30000000005</v>
      </c>
      <c r="H898" s="2389">
        <f t="shared" si="258"/>
        <v>3275370.3840000005</v>
      </c>
      <c r="I898" s="2390">
        <f>'Resume Analisa'!$D$76</f>
        <v>641872.44000000006</v>
      </c>
      <c r="J898" s="2390">
        <f t="shared" si="259"/>
        <v>3389086.4832000006</v>
      </c>
      <c r="K898" s="2378" t="e">
        <f>IF(H898=0,"",IF(J898&lt;#REF!*H898,"Timpang &lt;"&amp;TEXT(#REF!,"0%"),IF(J898&gt;#REF!*H898,"Timpang &gt;"&amp;TEXT(#REF!,"0%"),"Wajar")))</f>
        <v>#REF!</v>
      </c>
      <c r="L898" s="2391">
        <v>641872.44000000006</v>
      </c>
      <c r="M898" s="2391">
        <f t="shared" si="260"/>
        <v>3389086.4832000006</v>
      </c>
      <c r="N898" s="2375">
        <f t="shared" si="257"/>
        <v>1.4804253025887766E-3</v>
      </c>
      <c r="O898" s="2375">
        <v>0</v>
      </c>
      <c r="P898" s="2398" t="s">
        <v>89</v>
      </c>
      <c r="Q898" s="2375">
        <f t="shared" si="256"/>
        <v>0</v>
      </c>
      <c r="R898" s="2375">
        <f t="shared" si="255"/>
        <v>0</v>
      </c>
      <c r="S898" s="2375">
        <v>0</v>
      </c>
      <c r="T898" s="2398"/>
      <c r="U898" s="2375">
        <f t="shared" si="249"/>
        <v>0</v>
      </c>
      <c r="V898" s="2375"/>
      <c r="W898" s="2382">
        <f t="shared" si="250"/>
        <v>5.28</v>
      </c>
      <c r="X898" s="2398" t="s">
        <v>89</v>
      </c>
      <c r="Y898" s="2375">
        <f t="shared" si="251"/>
        <v>641872.44000000006</v>
      </c>
      <c r="Z898" s="2375"/>
      <c r="AA898" s="2377" t="s">
        <v>3355</v>
      </c>
    </row>
    <row r="899" spans="1:27" ht="25" hidden="1" customHeight="1">
      <c r="A899" s="2398">
        <f t="shared" si="261"/>
        <v>5</v>
      </c>
      <c r="B899" s="2549" t="s">
        <v>702</v>
      </c>
      <c r="C899" s="2550"/>
      <c r="D899" s="2733"/>
      <c r="E899" s="2397">
        <f>'13. Vol Toilet G'!$M$192</f>
        <v>97.6</v>
      </c>
      <c r="F899" s="2398" t="s">
        <v>117</v>
      </c>
      <c r="G899" s="2731">
        <v>55136.41</v>
      </c>
      <c r="H899" s="2389">
        <f t="shared" si="258"/>
        <v>5381313.6160000004</v>
      </c>
      <c r="I899" s="2390">
        <f>'Resume Analisa'!$D$74</f>
        <v>52968.270000000004</v>
      </c>
      <c r="J899" s="2390">
        <f t="shared" si="259"/>
        <v>5169703.1519999998</v>
      </c>
      <c r="K899" s="2378" t="e">
        <f>IF(H899=0,"",IF(J899&lt;#REF!*H899,"Timpang &lt;"&amp;TEXT(#REF!,"0%"),IF(J899&gt;#REF!*H899,"Timpang &gt;"&amp;TEXT(#REF!,"0%"),"Wajar")))</f>
        <v>#REF!</v>
      </c>
      <c r="L899" s="2391">
        <v>52968.270000000004</v>
      </c>
      <c r="M899" s="2391">
        <f t="shared" si="260"/>
        <v>5169703.1519999998</v>
      </c>
      <c r="N899" s="2375">
        <f t="shared" si="257"/>
        <v>2.2582366637830358E-3</v>
      </c>
      <c r="O899" s="2375">
        <v>0</v>
      </c>
      <c r="P899" s="2398" t="s">
        <v>117</v>
      </c>
      <c r="Q899" s="2375">
        <f t="shared" si="256"/>
        <v>0</v>
      </c>
      <c r="R899" s="2375">
        <f t="shared" si="255"/>
        <v>0</v>
      </c>
      <c r="S899" s="2375">
        <v>0</v>
      </c>
      <c r="T899" s="2398"/>
      <c r="U899" s="2375">
        <f t="shared" si="249"/>
        <v>0</v>
      </c>
      <c r="V899" s="2375"/>
      <c r="W899" s="2382">
        <f t="shared" si="250"/>
        <v>97.6</v>
      </c>
      <c r="X899" s="2398" t="s">
        <v>117</v>
      </c>
      <c r="Y899" s="2375">
        <f t="shared" si="251"/>
        <v>52968.270000000004</v>
      </c>
      <c r="Z899" s="2375"/>
      <c r="AA899" s="2377" t="s">
        <v>3355</v>
      </c>
    </row>
    <row r="900" spans="1:27" ht="25" hidden="1" customHeight="1">
      <c r="A900" s="2792">
        <f t="shared" si="261"/>
        <v>6</v>
      </c>
      <c r="B900" s="2793" t="s">
        <v>436</v>
      </c>
      <c r="C900" s="2550"/>
      <c r="D900" s="2551"/>
      <c r="E900" s="2397">
        <f>'13. Vol Toilet G'!$M$197</f>
        <v>4.1557180000000002</v>
      </c>
      <c r="F900" s="2398" t="s">
        <v>89</v>
      </c>
      <c r="G900" s="2731">
        <v>39943.170000000006</v>
      </c>
      <c r="H900" s="2389">
        <f t="shared" si="258"/>
        <v>165992.55054606003</v>
      </c>
      <c r="I900" s="2465">
        <f>'Resume Analisa'!$D$229</f>
        <v>38799.550000000003</v>
      </c>
      <c r="J900" s="2552">
        <f t="shared" si="259"/>
        <v>161239.98832690003</v>
      </c>
      <c r="K900" s="2378" t="e">
        <f>IF(H900=0,"",IF(J900&lt;#REF!*H900,"Timpang &lt;"&amp;TEXT(#REF!,"0%"),IF(J900&gt;#REF!*H900,"Timpang &gt;"&amp;TEXT(#REF!,"0%"),"Wajar")))</f>
        <v>#REF!</v>
      </c>
      <c r="L900" s="2391">
        <v>38799.550000000003</v>
      </c>
      <c r="M900" s="2391">
        <f t="shared" si="260"/>
        <v>161239.98832690003</v>
      </c>
      <c r="N900" s="2375">
        <f t="shared" si="257"/>
        <v>7.0433067934836503E-5</v>
      </c>
      <c r="O900" s="2375">
        <v>0</v>
      </c>
      <c r="P900" s="2398" t="s">
        <v>89</v>
      </c>
      <c r="Q900" s="2375">
        <f t="shared" si="256"/>
        <v>0</v>
      </c>
      <c r="R900" s="2375">
        <f t="shared" si="255"/>
        <v>0</v>
      </c>
      <c r="S900" s="2375">
        <v>0</v>
      </c>
      <c r="T900" s="2537"/>
      <c r="U900" s="2375">
        <f t="shared" si="249"/>
        <v>0</v>
      </c>
      <c r="V900" s="2375"/>
      <c r="W900" s="2382">
        <f t="shared" si="250"/>
        <v>4.1557180000000002</v>
      </c>
      <c r="X900" s="2398" t="s">
        <v>89</v>
      </c>
      <c r="Y900" s="2375">
        <f t="shared" si="251"/>
        <v>38799.550000000003</v>
      </c>
      <c r="Z900" s="2375"/>
      <c r="AA900" s="2377" t="s">
        <v>3355</v>
      </c>
    </row>
    <row r="901" spans="1:27" ht="25" hidden="1" customHeight="1">
      <c r="A901" s="2398">
        <f t="shared" si="261"/>
        <v>7</v>
      </c>
      <c r="B901" s="2549" t="s">
        <v>703</v>
      </c>
      <c r="C901" s="2550"/>
      <c r="D901" s="2733"/>
      <c r="E901" s="2397">
        <f>'13. Vol Toilet G'!$M$220</f>
        <v>25.5</v>
      </c>
      <c r="F901" s="2398" t="s">
        <v>89</v>
      </c>
      <c r="G901" s="2731">
        <v>417766.37</v>
      </c>
      <c r="H901" s="2389">
        <f t="shared" si="258"/>
        <v>10653042.435000001</v>
      </c>
      <c r="I901" s="2390">
        <f>'Resume Analisa'!$D$93</f>
        <v>397154.38</v>
      </c>
      <c r="J901" s="2390">
        <f t="shared" si="259"/>
        <v>10127436.689999999</v>
      </c>
      <c r="K901" s="2378" t="e">
        <f>IF(H901=0,"",IF(J901&lt;#REF!*H901,"Timpang &lt;"&amp;TEXT(#REF!,"0%"),IF(J901&gt;#REF!*H901,"Timpang &gt;"&amp;TEXT(#REF!,"0%"),"Wajar")))</f>
        <v>#REF!</v>
      </c>
      <c r="L901" s="2391">
        <v>397154.38</v>
      </c>
      <c r="M901" s="2391">
        <f t="shared" si="260"/>
        <v>10127436.689999999</v>
      </c>
      <c r="N901" s="2375">
        <f t="shared" si="257"/>
        <v>4.4238804765128056E-3</v>
      </c>
      <c r="O901" s="2375">
        <v>0</v>
      </c>
      <c r="P901" s="2398" t="s">
        <v>89</v>
      </c>
      <c r="Q901" s="2375">
        <f t="shared" si="256"/>
        <v>0</v>
      </c>
      <c r="R901" s="2375">
        <f t="shared" si="255"/>
        <v>0</v>
      </c>
      <c r="S901" s="2375">
        <v>0</v>
      </c>
      <c r="T901" s="2398"/>
      <c r="U901" s="2375">
        <f t="shared" si="249"/>
        <v>0</v>
      </c>
      <c r="V901" s="2375"/>
      <c r="W901" s="2382">
        <f t="shared" si="250"/>
        <v>25.5</v>
      </c>
      <c r="X901" s="2398" t="s">
        <v>89</v>
      </c>
      <c r="Y901" s="2375">
        <f t="shared" si="251"/>
        <v>397154.38</v>
      </c>
      <c r="Z901" s="2375"/>
      <c r="AA901" s="2377" t="s">
        <v>3355</v>
      </c>
    </row>
    <row r="902" spans="1:27" ht="25" hidden="1" customHeight="1">
      <c r="A902" s="2398">
        <f t="shared" si="261"/>
        <v>8</v>
      </c>
      <c r="B902" s="2728" t="s">
        <v>704</v>
      </c>
      <c r="C902" s="2734"/>
      <c r="D902" s="2735"/>
      <c r="E902" s="2397">
        <v>5</v>
      </c>
      <c r="F902" s="2398" t="s">
        <v>360</v>
      </c>
      <c r="G902" s="2731">
        <v>1858497.98</v>
      </c>
      <c r="H902" s="2389">
        <f t="shared" si="258"/>
        <v>9292489.9000000004</v>
      </c>
      <c r="I902" s="2480">
        <f>'Resume Analisa'!$D$116</f>
        <v>1877988.81</v>
      </c>
      <c r="J902" s="2480">
        <f>I902*E902</f>
        <v>9389944.0500000007</v>
      </c>
      <c r="K902" s="2378" t="e">
        <f>IF(H902=0,"",IF(J902&lt;#REF!*H902,"Timpang &lt;"&amp;TEXT(#REF!,"0%"),IF(J902&gt;#REF!*H902,"Timpang &gt;"&amp;TEXT(#REF!,"0%"),"Wajar")))</f>
        <v>#REF!</v>
      </c>
      <c r="L902" s="2391">
        <v>1877988.81</v>
      </c>
      <c r="M902" s="2391">
        <f t="shared" si="260"/>
        <v>9389944.0500000007</v>
      </c>
      <c r="N902" s="2375">
        <f t="shared" si="257"/>
        <v>4.101727952479808E-3</v>
      </c>
      <c r="O902" s="2375">
        <v>0</v>
      </c>
      <c r="P902" s="2398" t="s">
        <v>360</v>
      </c>
      <c r="Q902" s="2375">
        <f t="shared" si="256"/>
        <v>0</v>
      </c>
      <c r="R902" s="2375">
        <f t="shared" si="255"/>
        <v>0</v>
      </c>
      <c r="S902" s="2386">
        <v>0</v>
      </c>
      <c r="T902" s="2791"/>
      <c r="U902" s="2375">
        <f t="shared" si="249"/>
        <v>0</v>
      </c>
      <c r="V902" s="2375"/>
      <c r="W902" s="2382">
        <f t="shared" si="250"/>
        <v>5</v>
      </c>
      <c r="X902" s="2398" t="s">
        <v>360</v>
      </c>
      <c r="Y902" s="2375">
        <f t="shared" si="251"/>
        <v>1877988.81</v>
      </c>
      <c r="Z902" s="2375"/>
      <c r="AA902" s="2377" t="s">
        <v>3355</v>
      </c>
    </row>
    <row r="903" spans="1:27" ht="25" hidden="1" customHeight="1">
      <c r="A903" s="2398">
        <f t="shared" si="261"/>
        <v>9</v>
      </c>
      <c r="B903" s="2549" t="s">
        <v>705</v>
      </c>
      <c r="C903" s="2550"/>
      <c r="D903" s="2551"/>
      <c r="E903" s="2397"/>
      <c r="F903" s="2398"/>
      <c r="G903" s="2731"/>
      <c r="H903" s="2389"/>
      <c r="I903" s="2480"/>
      <c r="J903" s="2480"/>
      <c r="K903" s="2389"/>
      <c r="L903" s="2391"/>
      <c r="M903" s="2391"/>
      <c r="N903" s="2375">
        <f t="shared" si="257"/>
        <v>0</v>
      </c>
      <c r="O903" s="2375">
        <v>0</v>
      </c>
      <c r="P903" s="2398"/>
      <c r="Q903" s="2375">
        <f t="shared" si="256"/>
        <v>0</v>
      </c>
      <c r="R903" s="2375">
        <f t="shared" si="255"/>
        <v>0</v>
      </c>
      <c r="S903" s="2386">
        <v>0</v>
      </c>
      <c r="T903" s="2398"/>
      <c r="U903" s="2375">
        <f t="shared" si="249"/>
        <v>0</v>
      </c>
      <c r="V903" s="2375"/>
      <c r="W903" s="2382">
        <f t="shared" si="250"/>
        <v>0</v>
      </c>
      <c r="X903" s="2398"/>
      <c r="Y903" s="2375">
        <f t="shared" si="251"/>
        <v>0</v>
      </c>
      <c r="Z903" s="2375"/>
      <c r="AA903" s="2377" t="s">
        <v>3355</v>
      </c>
    </row>
    <row r="904" spans="1:27" ht="25" hidden="1" customHeight="1">
      <c r="A904" s="2555" t="s">
        <v>95</v>
      </c>
      <c r="B904" s="2549" t="s">
        <v>566</v>
      </c>
      <c r="C904" s="2550"/>
      <c r="D904" s="2551"/>
      <c r="E904" s="2397">
        <f>'13. Vol Toilet G'!$O$223</f>
        <v>13</v>
      </c>
      <c r="F904" s="2398" t="s">
        <v>117</v>
      </c>
      <c r="G904" s="2731">
        <v>313139.25</v>
      </c>
      <c r="H904" s="2389">
        <f>E904*G904</f>
        <v>4070810.25</v>
      </c>
      <c r="I904" s="2480">
        <f>'Resume Analisa'!$D$109</f>
        <v>325586.65000000002</v>
      </c>
      <c r="J904" s="2480">
        <f>I904*E904</f>
        <v>4232626.45</v>
      </c>
      <c r="K904" s="2378" t="e">
        <f>IF(H904=0,"",IF(J904&lt;#REF!*H904,"Timpang &lt;"&amp;TEXT(#REF!,"0%"),IF(J904&gt;#REF!*H904,"Timpang &gt;"&amp;TEXT(#REF!,"0%"),"Wajar")))</f>
        <v>#REF!</v>
      </c>
      <c r="L904" s="2391">
        <v>325586.65000000002</v>
      </c>
      <c r="M904" s="2391">
        <f>E904*L904</f>
        <v>4232626.45</v>
      </c>
      <c r="N904" s="2375">
        <f t="shared" si="257"/>
        <v>1.8489015621312866E-3</v>
      </c>
      <c r="O904" s="2375">
        <v>0</v>
      </c>
      <c r="P904" s="2398" t="s">
        <v>117</v>
      </c>
      <c r="Q904" s="2375">
        <f t="shared" si="256"/>
        <v>0</v>
      </c>
      <c r="R904" s="2375">
        <f t="shared" si="255"/>
        <v>0</v>
      </c>
      <c r="S904" s="2375">
        <v>0</v>
      </c>
      <c r="T904" s="2398"/>
      <c r="U904" s="2375">
        <f t="shared" si="249"/>
        <v>0</v>
      </c>
      <c r="V904" s="2375"/>
      <c r="W904" s="2382">
        <f t="shared" si="250"/>
        <v>13</v>
      </c>
      <c r="X904" s="2398" t="s">
        <v>117</v>
      </c>
      <c r="Y904" s="2375">
        <f t="shared" si="251"/>
        <v>325586.65000000002</v>
      </c>
      <c r="Z904" s="2375"/>
      <c r="AA904" s="2377" t="s">
        <v>3355</v>
      </c>
    </row>
    <row r="905" spans="1:27" ht="25" hidden="1" customHeight="1">
      <c r="A905" s="2555" t="s">
        <v>98</v>
      </c>
      <c r="B905" s="2549" t="s">
        <v>567</v>
      </c>
      <c r="C905" s="2550"/>
      <c r="D905" s="2551"/>
      <c r="E905" s="2397">
        <f>'13. Vol Toilet G'!$O$224</f>
        <v>2</v>
      </c>
      <c r="F905" s="2398" t="s">
        <v>89</v>
      </c>
      <c r="G905" s="2731">
        <v>454480</v>
      </c>
      <c r="H905" s="2389">
        <f>E905*G905</f>
        <v>908960</v>
      </c>
      <c r="I905" s="2480">
        <f>'Resume Analisa'!$D$119</f>
        <v>435404.45</v>
      </c>
      <c r="J905" s="2480">
        <f>I905*E905</f>
        <v>870808.9</v>
      </c>
      <c r="K905" s="2378" t="e">
        <f>IF(H905=0,"",IF(J905&lt;#REF!*H905,"Timpang &lt;"&amp;TEXT(#REF!,"0%"),IF(J905&gt;#REF!*H905,"Timpang &gt;"&amp;TEXT(#REF!,"0%"),"Wajar")))</f>
        <v>#REF!</v>
      </c>
      <c r="L905" s="2391">
        <v>435404.45</v>
      </c>
      <c r="M905" s="2391">
        <f>E905*L905</f>
        <v>870808.9</v>
      </c>
      <c r="N905" s="2375">
        <f t="shared" si="257"/>
        <v>3.8038791151244337E-4</v>
      </c>
      <c r="O905" s="2375">
        <v>0</v>
      </c>
      <c r="P905" s="2398" t="s">
        <v>89</v>
      </c>
      <c r="Q905" s="2375">
        <f t="shared" si="256"/>
        <v>0</v>
      </c>
      <c r="R905" s="2375">
        <f t="shared" si="255"/>
        <v>0</v>
      </c>
      <c r="S905" s="2375">
        <v>0</v>
      </c>
      <c r="T905" s="2398"/>
      <c r="U905" s="2375">
        <f t="shared" si="249"/>
        <v>0</v>
      </c>
      <c r="V905" s="2375"/>
      <c r="W905" s="2382">
        <f t="shared" si="250"/>
        <v>2</v>
      </c>
      <c r="X905" s="2398" t="s">
        <v>89</v>
      </c>
      <c r="Y905" s="2375">
        <f t="shared" si="251"/>
        <v>435404.45</v>
      </c>
      <c r="Z905" s="2375"/>
      <c r="AA905" s="2377" t="s">
        <v>3355</v>
      </c>
    </row>
    <row r="906" spans="1:27" ht="25" hidden="1" customHeight="1">
      <c r="A906" s="2398">
        <f>A903+1</f>
        <v>10</v>
      </c>
      <c r="B906" s="2794" t="s">
        <v>706</v>
      </c>
      <c r="C906" s="2550"/>
      <c r="D906" s="2733"/>
      <c r="E906" s="2397">
        <f>'13. Vol Toilet G'!$M$225</f>
        <v>22.5</v>
      </c>
      <c r="F906" s="2398" t="s">
        <v>89</v>
      </c>
      <c r="G906" s="2731">
        <v>362431.23</v>
      </c>
      <c r="H906" s="2389">
        <f>E906*G906</f>
        <v>8154702.6749999998</v>
      </c>
      <c r="I906" s="2480">
        <f>'Resume Analisa'!$D$89</f>
        <v>344417.19</v>
      </c>
      <c r="J906" s="2390">
        <f>E906*I906</f>
        <v>7749386.7750000004</v>
      </c>
      <c r="K906" s="2378" t="e">
        <f>IF(H906=0,"",IF(J906&lt;#REF!*H906,"Timpang &lt;"&amp;TEXT(#REF!,"0%"),IF(J906&gt;#REF!*H906,"Timpang &gt;"&amp;TEXT(#REF!,"0%"),"Wajar")))</f>
        <v>#REF!</v>
      </c>
      <c r="L906" s="2391">
        <v>344417.19</v>
      </c>
      <c r="M906" s="2391">
        <f>E906*L906</f>
        <v>7749386.7750000004</v>
      </c>
      <c r="N906" s="2375">
        <f t="shared" si="257"/>
        <v>3.3850975235145148E-3</v>
      </c>
      <c r="O906" s="2375">
        <v>0</v>
      </c>
      <c r="P906" s="2398" t="s">
        <v>89</v>
      </c>
      <c r="Q906" s="2375">
        <f t="shared" si="256"/>
        <v>0</v>
      </c>
      <c r="R906" s="2375">
        <f t="shared" si="255"/>
        <v>0</v>
      </c>
      <c r="S906" s="2375">
        <v>0</v>
      </c>
      <c r="T906" s="2537"/>
      <c r="U906" s="2375">
        <f t="shared" si="249"/>
        <v>0</v>
      </c>
      <c r="V906" s="2375"/>
      <c r="W906" s="2382">
        <f t="shared" si="250"/>
        <v>22.5</v>
      </c>
      <c r="X906" s="2398" t="s">
        <v>89</v>
      </c>
      <c r="Y906" s="2375">
        <f t="shared" si="251"/>
        <v>344417.19</v>
      </c>
      <c r="Z906" s="2375"/>
      <c r="AA906" s="2377" t="s">
        <v>3355</v>
      </c>
    </row>
    <row r="907" spans="1:27" ht="25" hidden="1" customHeight="1">
      <c r="A907" s="2398">
        <f>A906+1</f>
        <v>11</v>
      </c>
      <c r="B907" s="2794" t="s">
        <v>570</v>
      </c>
      <c r="C907" s="2550"/>
      <c r="D907" s="2733"/>
      <c r="E907" s="2397">
        <f>(2.3+3+3)*5</f>
        <v>41.5</v>
      </c>
      <c r="F907" s="2398" t="s">
        <v>117</v>
      </c>
      <c r="G907" s="2731">
        <v>417766.37</v>
      </c>
      <c r="H907" s="2389">
        <f>E907*G907</f>
        <v>17337304.355</v>
      </c>
      <c r="I907" s="2390">
        <f>'Resume Analisa'!$D$93</f>
        <v>397154.38</v>
      </c>
      <c r="J907" s="2390">
        <f>E907*I907</f>
        <v>16481906.77</v>
      </c>
      <c r="K907" s="2378" t="e">
        <f>IF(H907=0,"",IF(J907&lt;#REF!*H907,"Timpang &lt;"&amp;TEXT(#REF!,"0%"),IF(J907&gt;#REF!*H907,"Timpang &gt;"&amp;TEXT(#REF!,"0%"),"Wajar")))</f>
        <v>#REF!</v>
      </c>
      <c r="L907" s="2391">
        <v>397154.38</v>
      </c>
      <c r="M907" s="2391">
        <f>E907*L907</f>
        <v>16481906.77</v>
      </c>
      <c r="N907" s="2375">
        <f t="shared" si="257"/>
        <v>7.1996486186384871E-3</v>
      </c>
      <c r="O907" s="2375">
        <v>0</v>
      </c>
      <c r="P907" s="2398" t="s">
        <v>117</v>
      </c>
      <c r="Q907" s="2375">
        <f t="shared" si="256"/>
        <v>0</v>
      </c>
      <c r="R907" s="2375">
        <f t="shared" si="255"/>
        <v>0</v>
      </c>
      <c r="S907" s="2375">
        <v>0</v>
      </c>
      <c r="T907" s="2398"/>
      <c r="U907" s="2375">
        <f t="shared" si="249"/>
        <v>0</v>
      </c>
      <c r="V907" s="2375"/>
      <c r="W907" s="2382">
        <f t="shared" si="250"/>
        <v>41.5</v>
      </c>
      <c r="X907" s="2398" t="s">
        <v>117</v>
      </c>
      <c r="Y907" s="2375">
        <f t="shared" si="251"/>
        <v>397154.38</v>
      </c>
      <c r="Z907" s="2375"/>
      <c r="AA907" s="2377" t="s">
        <v>3355</v>
      </c>
    </row>
    <row r="908" spans="1:27" ht="25" hidden="1" customHeight="1">
      <c r="A908" s="2398">
        <f>A907+1</f>
        <v>12</v>
      </c>
      <c r="B908" s="2549" t="s">
        <v>443</v>
      </c>
      <c r="C908" s="2550"/>
      <c r="D908" s="2551"/>
      <c r="E908" s="2541"/>
      <c r="F908" s="2398"/>
      <c r="G908" s="2389"/>
      <c r="H908" s="2389"/>
      <c r="I908" s="2692"/>
      <c r="J908" s="2552"/>
      <c r="K908" s="2389"/>
      <c r="L908" s="2391"/>
      <c r="M908" s="2391"/>
      <c r="N908" s="2375">
        <f t="shared" si="257"/>
        <v>0</v>
      </c>
      <c r="O908" s="2375">
        <v>0</v>
      </c>
      <c r="P908" s="2398"/>
      <c r="Q908" s="2375">
        <f t="shared" si="256"/>
        <v>0</v>
      </c>
      <c r="R908" s="2375">
        <f t="shared" si="255"/>
        <v>0</v>
      </c>
      <c r="S908" s="2375">
        <v>0</v>
      </c>
      <c r="T908" s="2398"/>
      <c r="U908" s="2375">
        <f t="shared" si="249"/>
        <v>0</v>
      </c>
      <c r="V908" s="2375"/>
      <c r="W908" s="2382">
        <f t="shared" si="250"/>
        <v>0</v>
      </c>
      <c r="X908" s="2398"/>
      <c r="Y908" s="2375">
        <f t="shared" si="251"/>
        <v>0</v>
      </c>
      <c r="Z908" s="2375"/>
      <c r="AA908" s="2377" t="s">
        <v>3355</v>
      </c>
    </row>
    <row r="909" spans="1:27" ht="67.5" hidden="1" customHeight="1">
      <c r="A909" s="2589" t="s">
        <v>95</v>
      </c>
      <c r="B909" s="3193" t="s">
        <v>537</v>
      </c>
      <c r="C909" s="3194"/>
      <c r="D909" s="3195"/>
      <c r="E909" s="2541">
        <f>'13. Vol Toilet G'!M202</f>
        <v>34.783999999999999</v>
      </c>
      <c r="F909" s="2590" t="s">
        <v>89</v>
      </c>
      <c r="G909" s="2389">
        <v>300628.27</v>
      </c>
      <c r="H909" s="2389">
        <f t="shared" ref="H909:H919" si="262">E909*G909</f>
        <v>10457053.74368</v>
      </c>
      <c r="I909" s="2588">
        <f>'Resume Analisa'!$D$224</f>
        <v>290179.7</v>
      </c>
      <c r="J909" s="2552">
        <f t="shared" ref="J909:J915" si="263">E909*I909</f>
        <v>10093610.684800001</v>
      </c>
      <c r="K909" s="2378" t="e">
        <f>IF(H909=0,"",IF(J909&lt;#REF!*H909,"Timpang &lt;"&amp;TEXT(#REF!,"0%"),IF(J909&gt;#REF!*H909,"Timpang &gt;"&amp;TEXT(#REF!,"0%"),"Wajar")))</f>
        <v>#REF!</v>
      </c>
      <c r="L909" s="2391">
        <v>290179.7</v>
      </c>
      <c r="M909" s="2391">
        <f t="shared" ref="M909:M919" si="264">E909*L909</f>
        <v>10093610.684800001</v>
      </c>
      <c r="N909" s="2375">
        <f t="shared" si="257"/>
        <v>4.4091045555583498E-3</v>
      </c>
      <c r="O909" s="2375">
        <v>0</v>
      </c>
      <c r="P909" s="2590" t="s">
        <v>89</v>
      </c>
      <c r="Q909" s="2375">
        <f t="shared" si="256"/>
        <v>0</v>
      </c>
      <c r="R909" s="2375">
        <f t="shared" si="255"/>
        <v>0</v>
      </c>
      <c r="S909" s="2386">
        <v>0</v>
      </c>
      <c r="T909" s="2398"/>
      <c r="U909" s="2375">
        <f t="shared" si="249"/>
        <v>0</v>
      </c>
      <c r="V909" s="2375"/>
      <c r="W909" s="2382">
        <f t="shared" si="250"/>
        <v>34.783999999999999</v>
      </c>
      <c r="X909" s="2590" t="s">
        <v>89</v>
      </c>
      <c r="Y909" s="2375">
        <f t="shared" si="251"/>
        <v>290179.7</v>
      </c>
      <c r="Z909" s="2375"/>
      <c r="AA909" s="2377" t="s">
        <v>3355</v>
      </c>
    </row>
    <row r="910" spans="1:27" ht="48.5" hidden="1" customHeight="1">
      <c r="A910" s="2589" t="s">
        <v>98</v>
      </c>
      <c r="B910" s="3193" t="s">
        <v>538</v>
      </c>
      <c r="C910" s="3194"/>
      <c r="D910" s="3195"/>
      <c r="E910" s="2541">
        <f>'13. Vol Toilet G'!M203</f>
        <v>148</v>
      </c>
      <c r="F910" s="2398" t="s">
        <v>117</v>
      </c>
      <c r="G910" s="2389">
        <v>6893.1</v>
      </c>
      <c r="H910" s="2389">
        <f t="shared" si="262"/>
        <v>1020178.8</v>
      </c>
      <c r="I910" s="2588">
        <f>'Resume Analisa'!$D$222</f>
        <v>6849.5700000000006</v>
      </c>
      <c r="J910" s="2552">
        <f t="shared" si="263"/>
        <v>1013736.3600000001</v>
      </c>
      <c r="K910" s="2378" t="e">
        <f>IF(H910=0,"",IF(J910&lt;#REF!*H910,"Timpang &lt;"&amp;TEXT(#REF!,"0%"),IF(J910&gt;#REF!*H910,"Timpang &gt;"&amp;TEXT(#REF!,"0%"),"Wajar")))</f>
        <v>#REF!</v>
      </c>
      <c r="L910" s="2391">
        <v>6849.5700000000006</v>
      </c>
      <c r="M910" s="2391">
        <f t="shared" si="264"/>
        <v>1013736.3600000001</v>
      </c>
      <c r="N910" s="2375">
        <f t="shared" si="257"/>
        <v>4.4282167626516733E-4</v>
      </c>
      <c r="O910" s="2375">
        <v>0</v>
      </c>
      <c r="P910" s="2398" t="s">
        <v>117</v>
      </c>
      <c r="Q910" s="2375">
        <f t="shared" si="256"/>
        <v>0</v>
      </c>
      <c r="R910" s="2375">
        <f t="shared" si="255"/>
        <v>0</v>
      </c>
      <c r="S910" s="2386">
        <v>0</v>
      </c>
      <c r="T910" s="2398"/>
      <c r="U910" s="2375">
        <f t="shared" si="249"/>
        <v>0</v>
      </c>
      <c r="V910" s="2375"/>
      <c r="W910" s="2382">
        <f t="shared" si="250"/>
        <v>148</v>
      </c>
      <c r="X910" s="2398" t="s">
        <v>117</v>
      </c>
      <c r="Y910" s="2375">
        <f t="shared" si="251"/>
        <v>6849.5700000000006</v>
      </c>
      <c r="Z910" s="2375"/>
      <c r="AA910" s="2377" t="s">
        <v>3355</v>
      </c>
    </row>
    <row r="911" spans="1:27" ht="25" hidden="1" customHeight="1">
      <c r="A911" s="2555" t="s">
        <v>101</v>
      </c>
      <c r="B911" s="2549" t="s">
        <v>539</v>
      </c>
      <c r="C911" s="2550"/>
      <c r="D911" s="2551"/>
      <c r="E911" s="2541">
        <f>'13. Vol Toilet G'!M207</f>
        <v>69.319500000000005</v>
      </c>
      <c r="F911" s="2590" t="s">
        <v>89</v>
      </c>
      <c r="G911" s="2389">
        <v>232335.08000000002</v>
      </c>
      <c r="H911" s="2389">
        <f t="shared" si="262"/>
        <v>16105351.578060003</v>
      </c>
      <c r="I911" s="2588">
        <f>'Resume Analisa'!$D$64</f>
        <v>240387.47</v>
      </c>
      <c r="J911" s="2552">
        <f t="shared" si="263"/>
        <v>16663539.226665001</v>
      </c>
      <c r="K911" s="2378" t="e">
        <f>IF(H911=0,"",IF(J911&lt;#REF!*H911,"Timpang &lt;"&amp;TEXT(#REF!,"0%"),IF(J911&gt;#REF!*H911,"Timpang &gt;"&amp;TEXT(#REF!,"0%"),"Wajar")))</f>
        <v>#REF!</v>
      </c>
      <c r="L911" s="2391">
        <v>240387.47</v>
      </c>
      <c r="M911" s="2391">
        <f t="shared" si="264"/>
        <v>16663539.226665001</v>
      </c>
      <c r="N911" s="2375">
        <f t="shared" si="257"/>
        <v>7.2789895519404721E-3</v>
      </c>
      <c r="O911" s="2375">
        <v>0</v>
      </c>
      <c r="P911" s="2590" t="s">
        <v>89</v>
      </c>
      <c r="Q911" s="2375">
        <f t="shared" si="256"/>
        <v>0</v>
      </c>
      <c r="R911" s="2375">
        <f t="shared" si="255"/>
        <v>0</v>
      </c>
      <c r="S911" s="2375">
        <v>0</v>
      </c>
      <c r="T911" s="2791"/>
      <c r="U911" s="2375">
        <f t="shared" si="249"/>
        <v>0</v>
      </c>
      <c r="V911" s="2375"/>
      <c r="W911" s="2382">
        <f t="shared" si="250"/>
        <v>69.319500000000005</v>
      </c>
      <c r="X911" s="2590" t="s">
        <v>89</v>
      </c>
      <c r="Y911" s="2375">
        <f t="shared" si="251"/>
        <v>240387.47</v>
      </c>
      <c r="Z911" s="2375"/>
      <c r="AA911" s="2377" t="s">
        <v>3355</v>
      </c>
    </row>
    <row r="912" spans="1:27" ht="25" hidden="1" customHeight="1">
      <c r="A912" s="2555" t="s">
        <v>121</v>
      </c>
      <c r="B912" s="2549" t="s">
        <v>540</v>
      </c>
      <c r="C912" s="2550"/>
      <c r="D912" s="2551"/>
      <c r="E912" s="2541">
        <f>'13. Vol Toilet G'!M208</f>
        <v>9.25</v>
      </c>
      <c r="F912" s="2590" t="s">
        <v>117</v>
      </c>
      <c r="G912" s="2389">
        <v>180008.45</v>
      </c>
      <c r="H912" s="2389">
        <f t="shared" si="262"/>
        <v>1665078.1625000001</v>
      </c>
      <c r="I912" s="2588">
        <f>'Resume Analisa'!$D$65</f>
        <v>172082.08000000002</v>
      </c>
      <c r="J912" s="2552">
        <f t="shared" si="263"/>
        <v>1591759.2400000002</v>
      </c>
      <c r="K912" s="2378" t="e">
        <f>IF(H912=0,"",IF(J912&lt;#REF!*H912,"Timpang &lt;"&amp;TEXT(#REF!,"0%"),IF(J912&gt;#REF!*H912,"Timpang &gt;"&amp;TEXT(#REF!,"0%"),"Wajar")))</f>
        <v>#REF!</v>
      </c>
      <c r="L912" s="2391">
        <v>172082.08000000002</v>
      </c>
      <c r="M912" s="2391">
        <f t="shared" si="264"/>
        <v>1591759.2400000002</v>
      </c>
      <c r="N912" s="2375">
        <f t="shared" si="257"/>
        <v>6.953144058750825E-4</v>
      </c>
      <c r="O912" s="2375">
        <v>0</v>
      </c>
      <c r="P912" s="2590" t="s">
        <v>117</v>
      </c>
      <c r="Q912" s="2375">
        <f t="shared" si="256"/>
        <v>0</v>
      </c>
      <c r="R912" s="2375">
        <f t="shared" si="255"/>
        <v>0</v>
      </c>
      <c r="S912" s="2375">
        <v>0</v>
      </c>
      <c r="T912" s="2398"/>
      <c r="U912" s="2375">
        <f t="shared" ref="U912:U959" si="265">S912*L912</f>
        <v>0</v>
      </c>
      <c r="V912" s="2375"/>
      <c r="W912" s="2382">
        <f t="shared" ref="W912:W975" si="266">(E912+O912)-S912</f>
        <v>9.25</v>
      </c>
      <c r="X912" s="2590" t="s">
        <v>117</v>
      </c>
      <c r="Y912" s="2375">
        <f t="shared" ref="Y912:Y975" si="267">L912</f>
        <v>172082.08000000002</v>
      </c>
      <c r="Z912" s="2375"/>
      <c r="AA912" s="2377" t="s">
        <v>3355</v>
      </c>
    </row>
    <row r="913" spans="1:27" ht="46" hidden="1" customHeight="1">
      <c r="A913" s="2398">
        <f>A908+1</f>
        <v>13</v>
      </c>
      <c r="B913" s="3199" t="s">
        <v>541</v>
      </c>
      <c r="C913" s="3200"/>
      <c r="D913" s="3201"/>
      <c r="E913" s="2397">
        <f>'13. Vol Toilet G'!$M$214</f>
        <v>22.5</v>
      </c>
      <c r="F913" s="2398" t="s">
        <v>89</v>
      </c>
      <c r="G913" s="2731">
        <v>224723.54</v>
      </c>
      <c r="H913" s="2389">
        <f t="shared" si="262"/>
        <v>5056279.6500000004</v>
      </c>
      <c r="I913" s="2465">
        <f>'Resume Analisa'!$D$105</f>
        <v>220349.78</v>
      </c>
      <c r="J913" s="2390">
        <f t="shared" si="263"/>
        <v>4957870.05</v>
      </c>
      <c r="K913" s="2378" t="e">
        <f>IF(H913=0,"",IF(J913&lt;#REF!*H913,"Timpang &lt;"&amp;TEXT(#REF!,"0%"),IF(J913&gt;#REF!*H913,"Timpang &gt;"&amp;TEXT(#REF!,"0%"),"Wajar")))</f>
        <v>#REF!</v>
      </c>
      <c r="L913" s="2391">
        <v>220349.78</v>
      </c>
      <c r="M913" s="2391">
        <f t="shared" si="264"/>
        <v>4957870.05</v>
      </c>
      <c r="N913" s="2375">
        <f t="shared" si="257"/>
        <v>2.1657034440846815E-3</v>
      </c>
      <c r="O913" s="2375">
        <v>0</v>
      </c>
      <c r="P913" s="2398" t="s">
        <v>89</v>
      </c>
      <c r="Q913" s="2375">
        <f t="shared" si="256"/>
        <v>0</v>
      </c>
      <c r="R913" s="2375">
        <f t="shared" si="255"/>
        <v>0</v>
      </c>
      <c r="S913" s="2375">
        <v>0</v>
      </c>
      <c r="T913" s="2398"/>
      <c r="U913" s="2375">
        <f t="shared" si="265"/>
        <v>0</v>
      </c>
      <c r="V913" s="2375"/>
      <c r="W913" s="2382">
        <f t="shared" si="266"/>
        <v>22.5</v>
      </c>
      <c r="X913" s="2398" t="s">
        <v>89</v>
      </c>
      <c r="Y913" s="2375">
        <f t="shared" si="267"/>
        <v>220349.78</v>
      </c>
      <c r="Z913" s="2375"/>
      <c r="AA913" s="2377" t="s">
        <v>3355</v>
      </c>
    </row>
    <row r="914" spans="1:27" ht="25" hidden="1" customHeight="1">
      <c r="A914" s="2398">
        <f t="shared" ref="A914:A919" si="268">A913+1</f>
        <v>14</v>
      </c>
      <c r="B914" s="2549" t="s">
        <v>707</v>
      </c>
      <c r="C914" s="2550"/>
      <c r="D914" s="2733"/>
      <c r="E914" s="2397">
        <f>'13. Vol Toilet G'!$M$235</f>
        <v>197.32000000000005</v>
      </c>
      <c r="F914" s="2398" t="s">
        <v>89</v>
      </c>
      <c r="G914" s="2731">
        <v>90295.7</v>
      </c>
      <c r="H914" s="2389">
        <f t="shared" si="262"/>
        <v>17817147.524000004</v>
      </c>
      <c r="I914" s="2390">
        <f>'Resume Analisa'!$D$79</f>
        <v>91347.61</v>
      </c>
      <c r="J914" s="2390">
        <f t="shared" si="263"/>
        <v>18024710.405200005</v>
      </c>
      <c r="K914" s="2378" t="e">
        <f>IF(H914=0,"",IF(J914&lt;#REF!*H914,"Timpang &lt;"&amp;TEXT(#REF!,"0%"),IF(J914&gt;#REF!*H914,"Timpang &gt;"&amp;TEXT(#REF!,"0%"),"Wajar")))</f>
        <v>#REF!</v>
      </c>
      <c r="L914" s="2391">
        <v>91347.61</v>
      </c>
      <c r="M914" s="2391">
        <f t="shared" si="264"/>
        <v>18024710.405200005</v>
      </c>
      <c r="N914" s="2375">
        <f t="shared" si="257"/>
        <v>7.8735781715720127E-3</v>
      </c>
      <c r="O914" s="2375">
        <v>0</v>
      </c>
      <c r="P914" s="2398" t="s">
        <v>89</v>
      </c>
      <c r="Q914" s="2375">
        <f t="shared" si="256"/>
        <v>0</v>
      </c>
      <c r="R914" s="2375">
        <f t="shared" si="255"/>
        <v>0</v>
      </c>
      <c r="S914" s="2375">
        <v>0</v>
      </c>
      <c r="T914" s="2398"/>
      <c r="U914" s="2375">
        <f t="shared" si="265"/>
        <v>0</v>
      </c>
      <c r="V914" s="2375"/>
      <c r="W914" s="2382">
        <f t="shared" si="266"/>
        <v>197.32000000000005</v>
      </c>
      <c r="X914" s="2398" t="s">
        <v>89</v>
      </c>
      <c r="Y914" s="2375">
        <f t="shared" si="267"/>
        <v>91347.61</v>
      </c>
      <c r="Z914" s="2375"/>
      <c r="AA914" s="2377" t="s">
        <v>3355</v>
      </c>
    </row>
    <row r="915" spans="1:27" ht="25" hidden="1" customHeight="1">
      <c r="A915" s="2398">
        <f t="shared" si="268"/>
        <v>15</v>
      </c>
      <c r="B915" s="2549" t="s">
        <v>451</v>
      </c>
      <c r="C915" s="2550"/>
      <c r="D915" s="2733"/>
      <c r="E915" s="2397">
        <f>'13. Vol Toilet G'!$M$236</f>
        <v>22.5</v>
      </c>
      <c r="F915" s="2398" t="s">
        <v>89</v>
      </c>
      <c r="G915" s="2731">
        <v>36451.78</v>
      </c>
      <c r="H915" s="2389">
        <f t="shared" si="262"/>
        <v>820165.04999999993</v>
      </c>
      <c r="I915" s="2390">
        <f>'Resume Analisa'!$D$82</f>
        <v>36706.18</v>
      </c>
      <c r="J915" s="2390">
        <f t="shared" si="263"/>
        <v>825889.05</v>
      </c>
      <c r="K915" s="2378" t="e">
        <f>IF(H915=0,"",IF(J915&lt;#REF!*H915,"Timpang &lt;"&amp;TEXT(#REF!,"0%"),IF(J915&gt;#REF!*H915,"Timpang &gt;"&amp;TEXT(#REF!,"0%"),"Wajar")))</f>
        <v>#REF!</v>
      </c>
      <c r="L915" s="2391">
        <v>36706.18</v>
      </c>
      <c r="M915" s="2391">
        <f t="shared" si="264"/>
        <v>825889.05</v>
      </c>
      <c r="N915" s="2375">
        <f t="shared" si="257"/>
        <v>3.6076596239484451E-4</v>
      </c>
      <c r="O915" s="2375">
        <v>0</v>
      </c>
      <c r="P915" s="2398" t="s">
        <v>89</v>
      </c>
      <c r="Q915" s="2375">
        <f t="shared" si="256"/>
        <v>0</v>
      </c>
      <c r="R915" s="2375">
        <f t="shared" si="255"/>
        <v>0</v>
      </c>
      <c r="S915" s="2375">
        <v>0</v>
      </c>
      <c r="T915" s="2398"/>
      <c r="U915" s="2375">
        <f t="shared" si="265"/>
        <v>0</v>
      </c>
      <c r="V915" s="2375"/>
      <c r="W915" s="2382">
        <f t="shared" si="266"/>
        <v>22.5</v>
      </c>
      <c r="X915" s="2398" t="s">
        <v>89</v>
      </c>
      <c r="Y915" s="2375">
        <f t="shared" si="267"/>
        <v>36706.18</v>
      </c>
      <c r="Z915" s="2375"/>
      <c r="AA915" s="2377" t="s">
        <v>3355</v>
      </c>
    </row>
    <row r="916" spans="1:27" ht="25" hidden="1" customHeight="1">
      <c r="A916" s="2398">
        <f t="shared" si="268"/>
        <v>16</v>
      </c>
      <c r="B916" s="2549" t="s">
        <v>452</v>
      </c>
      <c r="C916" s="2550"/>
      <c r="D916" s="2733"/>
      <c r="E916" s="2397">
        <f>'13. Vol Toilet G'!$M$213</f>
        <v>24.238</v>
      </c>
      <c r="F916" s="2398" t="s">
        <v>117</v>
      </c>
      <c r="G916" s="2731">
        <v>111113</v>
      </c>
      <c r="H916" s="2389">
        <f t="shared" si="262"/>
        <v>2693156.8939999999</v>
      </c>
      <c r="I916" s="2480">
        <f>'Resume Analisa'!$D$67</f>
        <v>110227.31999999999</v>
      </c>
      <c r="J916" s="2480">
        <f>I916*E916</f>
        <v>2671689.7821599999</v>
      </c>
      <c r="K916" s="2378" t="e">
        <f>IF(H916=0,"",IF(J916&lt;#REF!*H916,"Timpang &lt;"&amp;TEXT(#REF!,"0%"),IF(J916&gt;#REF!*H916,"Timpang &gt;"&amp;TEXT(#REF!,"0%"),"Wajar")))</f>
        <v>#REF!</v>
      </c>
      <c r="L916" s="2391">
        <v>110227.31999999999</v>
      </c>
      <c r="M916" s="2391">
        <f t="shared" si="264"/>
        <v>2671689.7821599999</v>
      </c>
      <c r="N916" s="2375">
        <f t="shared" si="257"/>
        <v>1.1670511135623179E-3</v>
      </c>
      <c r="O916" s="2375">
        <v>0</v>
      </c>
      <c r="P916" s="2398" t="s">
        <v>117</v>
      </c>
      <c r="Q916" s="2375">
        <f t="shared" si="256"/>
        <v>0</v>
      </c>
      <c r="R916" s="2375">
        <f t="shared" si="255"/>
        <v>0</v>
      </c>
      <c r="S916" s="2386">
        <v>0</v>
      </c>
      <c r="T916" s="2398"/>
      <c r="U916" s="2375">
        <f t="shared" si="265"/>
        <v>0</v>
      </c>
      <c r="V916" s="2375"/>
      <c r="W916" s="2382">
        <f t="shared" si="266"/>
        <v>24.238</v>
      </c>
      <c r="X916" s="2398" t="s">
        <v>117</v>
      </c>
      <c r="Y916" s="2375">
        <f t="shared" si="267"/>
        <v>110227.31999999999</v>
      </c>
      <c r="Z916" s="2375"/>
      <c r="AA916" s="2377" t="s">
        <v>3355</v>
      </c>
    </row>
    <row r="917" spans="1:27" ht="25" hidden="1" customHeight="1">
      <c r="A917" s="2398">
        <f t="shared" si="268"/>
        <v>17</v>
      </c>
      <c r="B917" s="2549" t="s">
        <v>708</v>
      </c>
      <c r="C917" s="2550"/>
      <c r="D917" s="2733"/>
      <c r="E917" s="2397">
        <f>'13. Vol Toilet G'!$M$237</f>
        <v>7.2713999999999999</v>
      </c>
      <c r="F917" s="2398" t="s">
        <v>89</v>
      </c>
      <c r="G917" s="2731">
        <v>90295.7</v>
      </c>
      <c r="H917" s="2389">
        <f t="shared" si="262"/>
        <v>656576.15298000001</v>
      </c>
      <c r="I917" s="2390">
        <f>'Resume Analisa'!$D$79</f>
        <v>91347.61</v>
      </c>
      <c r="J917" s="2390">
        <f>I917*E917</f>
        <v>664225.01135399996</v>
      </c>
      <c r="K917" s="2378" t="e">
        <f>IF(H917=0,"",IF(J917&lt;#REF!*H917,"Timpang &lt;"&amp;TEXT(#REF!,"0%"),IF(J917&gt;#REF!*H917,"Timpang &gt;"&amp;TEXT(#REF!,"0%"),"Wajar")))</f>
        <v>#REF!</v>
      </c>
      <c r="L917" s="2391">
        <v>91347.61</v>
      </c>
      <c r="M917" s="2391">
        <f t="shared" si="264"/>
        <v>664225.01135399996</v>
      </c>
      <c r="N917" s="2375">
        <f t="shared" si="257"/>
        <v>2.9014766023093816E-4</v>
      </c>
      <c r="O917" s="2375">
        <v>0</v>
      </c>
      <c r="P917" s="2398" t="s">
        <v>89</v>
      </c>
      <c r="Q917" s="2375">
        <f t="shared" si="256"/>
        <v>0</v>
      </c>
      <c r="R917" s="2375">
        <f t="shared" si="255"/>
        <v>0</v>
      </c>
      <c r="S917" s="2386">
        <v>0</v>
      </c>
      <c r="T917" s="2398"/>
      <c r="U917" s="2375">
        <f t="shared" si="265"/>
        <v>0</v>
      </c>
      <c r="V917" s="2375"/>
      <c r="W917" s="2382">
        <f t="shared" si="266"/>
        <v>7.2713999999999999</v>
      </c>
      <c r="X917" s="2398" t="s">
        <v>89</v>
      </c>
      <c r="Y917" s="2375">
        <f t="shared" si="267"/>
        <v>91347.61</v>
      </c>
      <c r="Z917" s="2375"/>
      <c r="AA917" s="2377" t="s">
        <v>3355</v>
      </c>
    </row>
    <row r="918" spans="1:27" ht="25" hidden="1" customHeight="1">
      <c r="A918" s="2398">
        <f t="shared" si="268"/>
        <v>18</v>
      </c>
      <c r="B918" s="2549" t="s">
        <v>454</v>
      </c>
      <c r="C918" s="2550"/>
      <c r="D918" s="2551"/>
      <c r="E918" s="2397">
        <f>'13. Vol Toilet G'!$M$238</f>
        <v>1</v>
      </c>
      <c r="F918" s="2398" t="s">
        <v>360</v>
      </c>
      <c r="G918" s="2731">
        <v>2176018.5</v>
      </c>
      <c r="H918" s="2389">
        <f t="shared" si="262"/>
        <v>2176018.5</v>
      </c>
      <c r="I918" s="2480">
        <f>'Resume Analisa'!$D$98</f>
        <v>2096360.01</v>
      </c>
      <c r="J918" s="2480">
        <f>I918*E918</f>
        <v>2096360.01</v>
      </c>
      <c r="K918" s="2378" t="e">
        <f>IF(H918=0,"",IF(J918&lt;#REF!*H918,"Timpang &lt;"&amp;TEXT(#REF!,"0%"),IF(J918&gt;#REF!*H918,"Timpang &gt;"&amp;TEXT(#REF!,"0%"),"Wajar")))</f>
        <v>#REF!</v>
      </c>
      <c r="L918" s="2391">
        <v>2096360.01</v>
      </c>
      <c r="M918" s="2391">
        <f t="shared" si="264"/>
        <v>2096360.01</v>
      </c>
      <c r="N918" s="2375">
        <f t="shared" ref="N918:N949" si="269">M918/$M$8</f>
        <v>9.157347909307138E-4</v>
      </c>
      <c r="O918" s="2375">
        <v>0</v>
      </c>
      <c r="P918" s="2398" t="s">
        <v>360</v>
      </c>
      <c r="Q918" s="2375">
        <f t="shared" si="256"/>
        <v>0</v>
      </c>
      <c r="R918" s="2375">
        <f t="shared" ref="R918:R981" si="270">Q918/$M$8*100</f>
        <v>0</v>
      </c>
      <c r="S918" s="2375">
        <v>0</v>
      </c>
      <c r="T918" s="2398"/>
      <c r="U918" s="2375">
        <f t="shared" si="265"/>
        <v>0</v>
      </c>
      <c r="V918" s="2375"/>
      <c r="W918" s="2382">
        <f t="shared" si="266"/>
        <v>1</v>
      </c>
      <c r="X918" s="2398" t="s">
        <v>360</v>
      </c>
      <c r="Y918" s="2375">
        <f t="shared" si="267"/>
        <v>2096360.01</v>
      </c>
      <c r="Z918" s="2375"/>
      <c r="AA918" s="2377" t="s">
        <v>3355</v>
      </c>
    </row>
    <row r="919" spans="1:27" ht="49" hidden="1" customHeight="1">
      <c r="A919" s="2398">
        <f t="shared" si="268"/>
        <v>19</v>
      </c>
      <c r="B919" s="3193" t="s">
        <v>709</v>
      </c>
      <c r="C919" s="3194"/>
      <c r="D919" s="3195"/>
      <c r="E919" s="2397">
        <f>'13. Vol Toilet G'!$M$239</f>
        <v>10</v>
      </c>
      <c r="F919" s="2398" t="s">
        <v>124</v>
      </c>
      <c r="G919" s="2731">
        <v>276000</v>
      </c>
      <c r="H919" s="2389">
        <f t="shared" si="262"/>
        <v>2760000</v>
      </c>
      <c r="I919" s="2480">
        <f>'Resume Analisa'!$D$101</f>
        <v>279522.94</v>
      </c>
      <c r="J919" s="2480">
        <f>I919*E919</f>
        <v>2795229.4</v>
      </c>
      <c r="K919" s="2378" t="e">
        <f>IF(H919=0,"",IF(J919&lt;#REF!*H919,"Timpang &lt;"&amp;TEXT(#REF!,"0%"),IF(J919&gt;#REF!*H919,"Timpang &gt;"&amp;TEXT(#REF!,"0%"),"Wajar")))</f>
        <v>#REF!</v>
      </c>
      <c r="L919" s="2391">
        <v>279522.94</v>
      </c>
      <c r="M919" s="2391">
        <f t="shared" si="264"/>
        <v>2795229.4</v>
      </c>
      <c r="N919" s="2375">
        <f t="shared" si="269"/>
        <v>1.2210158551022848E-3</v>
      </c>
      <c r="O919" s="2375">
        <v>0</v>
      </c>
      <c r="P919" s="2398" t="s">
        <v>124</v>
      </c>
      <c r="Q919" s="2375">
        <f t="shared" si="256"/>
        <v>0</v>
      </c>
      <c r="R919" s="2375">
        <f t="shared" si="270"/>
        <v>0</v>
      </c>
      <c r="S919" s="2375">
        <v>0</v>
      </c>
      <c r="T919" s="2398"/>
      <c r="U919" s="2375">
        <f t="shared" si="265"/>
        <v>0</v>
      </c>
      <c r="V919" s="2375"/>
      <c r="W919" s="2382">
        <f t="shared" si="266"/>
        <v>10</v>
      </c>
      <c r="X919" s="2398" t="s">
        <v>124</v>
      </c>
      <c r="Y919" s="2375">
        <f t="shared" si="267"/>
        <v>279522.94</v>
      </c>
      <c r="Z919" s="2375"/>
      <c r="AA919" s="2377" t="s">
        <v>3355</v>
      </c>
    </row>
    <row r="920" spans="1:27" ht="25" hidden="1" customHeight="1">
      <c r="A920" s="2398"/>
      <c r="B920" s="2549"/>
      <c r="C920" s="2550"/>
      <c r="D920" s="2733" t="s">
        <v>376</v>
      </c>
      <c r="E920" s="2397"/>
      <c r="F920" s="2537"/>
      <c r="G920" s="2786"/>
      <c r="H920" s="2546">
        <f>SUM(H895:H919)</f>
        <v>159617514.15166607</v>
      </c>
      <c r="I920" s="2785"/>
      <c r="J920" s="2709">
        <f>SUM(J895:J919)</f>
        <v>156698287.28790593</v>
      </c>
      <c r="K920" s="2546"/>
      <c r="L920" s="2457"/>
      <c r="M920" s="2457">
        <f>SUM(M895:M919)</f>
        <v>156698287.28790593</v>
      </c>
      <c r="N920" s="2375">
        <f t="shared" si="269"/>
        <v>6.8449155996250594E-2</v>
      </c>
      <c r="O920" s="2375">
        <v>0</v>
      </c>
      <c r="P920" s="2537"/>
      <c r="Q920" s="2375">
        <f t="shared" si="256"/>
        <v>0</v>
      </c>
      <c r="R920" s="2375">
        <f t="shared" si="270"/>
        <v>0</v>
      </c>
      <c r="S920" s="2375">
        <v>0</v>
      </c>
      <c r="T920" s="2398"/>
      <c r="U920" s="2375">
        <f t="shared" si="265"/>
        <v>0</v>
      </c>
      <c r="V920" s="2375"/>
      <c r="W920" s="2382">
        <f t="shared" si="266"/>
        <v>0</v>
      </c>
      <c r="X920" s="2537"/>
      <c r="Y920" s="2375">
        <f t="shared" si="267"/>
        <v>0</v>
      </c>
      <c r="Z920" s="2375"/>
      <c r="AA920" s="2377" t="s">
        <v>3355</v>
      </c>
    </row>
    <row r="921" spans="1:27" ht="25" hidden="1" customHeight="1">
      <c r="A921" s="2537" t="s">
        <v>710</v>
      </c>
      <c r="B921" s="2538" t="s">
        <v>585</v>
      </c>
      <c r="C921" s="2550"/>
      <c r="D921" s="2733"/>
      <c r="E921" s="2397"/>
      <c r="F921" s="2537"/>
      <c r="G921" s="2786"/>
      <c r="H921" s="2546"/>
      <c r="I921" s="2785"/>
      <c r="J921" s="2709"/>
      <c r="K921" s="2546"/>
      <c r="L921" s="2457"/>
      <c r="M921" s="2457"/>
      <c r="N921" s="2375">
        <f t="shared" si="269"/>
        <v>0</v>
      </c>
      <c r="O921" s="2375">
        <v>0</v>
      </c>
      <c r="P921" s="2537"/>
      <c r="Q921" s="2375">
        <f t="shared" si="256"/>
        <v>0</v>
      </c>
      <c r="R921" s="2375">
        <f t="shared" si="270"/>
        <v>0</v>
      </c>
      <c r="S921" s="2375">
        <v>0</v>
      </c>
      <c r="T921" s="2398"/>
      <c r="U921" s="2375">
        <f t="shared" si="265"/>
        <v>0</v>
      </c>
      <c r="V921" s="2375"/>
      <c r="W921" s="2382">
        <f t="shared" si="266"/>
        <v>0</v>
      </c>
      <c r="X921" s="2537"/>
      <c r="Y921" s="2375">
        <f t="shared" si="267"/>
        <v>0</v>
      </c>
      <c r="Z921" s="2375"/>
      <c r="AA921" s="2377" t="s">
        <v>3355</v>
      </c>
    </row>
    <row r="922" spans="1:27" ht="25" hidden="1" customHeight="1">
      <c r="A922" s="2398">
        <v>1</v>
      </c>
      <c r="B922" s="2549" t="s">
        <v>586</v>
      </c>
      <c r="C922" s="2550"/>
      <c r="D922" s="2551"/>
      <c r="E922" s="2397">
        <f>'13. Vol Toilet G'!$M$241</f>
        <v>10</v>
      </c>
      <c r="F922" s="2398" t="s">
        <v>117</v>
      </c>
      <c r="G922" s="2731">
        <v>32056.25</v>
      </c>
      <c r="H922" s="2389">
        <f t="shared" ref="H922:H929" si="271">E922*G922</f>
        <v>320562.5</v>
      </c>
      <c r="I922" s="2390">
        <f>'Resume Analisa'!$D$176</f>
        <v>30989.129999999997</v>
      </c>
      <c r="J922" s="2390">
        <f t="shared" ref="J922:J927" si="272">E922*I922</f>
        <v>309891.3</v>
      </c>
      <c r="K922" s="2378" t="e">
        <f>IF(H922=0,"",IF(J922&lt;#REF!*H922,"Timpang &lt;"&amp;TEXT(#REF!,"0%"),IF(J922&gt;#REF!*H922,"Timpang &gt;"&amp;TEXT(#REF!,"0%"),"Wajar")))</f>
        <v>#REF!</v>
      </c>
      <c r="L922" s="2391">
        <v>30989.129999999997</v>
      </c>
      <c r="M922" s="2391">
        <f t="shared" ref="M922:M929" si="273">E922*L922</f>
        <v>309891.3</v>
      </c>
      <c r="N922" s="2375">
        <f t="shared" si="269"/>
        <v>1.353671332514815E-4</v>
      </c>
      <c r="O922" s="2375">
        <v>0</v>
      </c>
      <c r="P922" s="2398" t="s">
        <v>117</v>
      </c>
      <c r="Q922" s="2375">
        <f t="shared" si="256"/>
        <v>0</v>
      </c>
      <c r="R922" s="2375">
        <f t="shared" si="270"/>
        <v>0</v>
      </c>
      <c r="S922" s="2375">
        <v>0</v>
      </c>
      <c r="T922" s="2398"/>
      <c r="U922" s="2375">
        <f t="shared" si="265"/>
        <v>0</v>
      </c>
      <c r="V922" s="2375"/>
      <c r="W922" s="2382">
        <f t="shared" si="266"/>
        <v>10</v>
      </c>
      <c r="X922" s="2398" t="s">
        <v>117</v>
      </c>
      <c r="Y922" s="2375">
        <f t="shared" si="267"/>
        <v>30989.129999999997</v>
      </c>
      <c r="Z922" s="2375"/>
      <c r="AA922" s="2377" t="s">
        <v>3355</v>
      </c>
    </row>
    <row r="923" spans="1:27" ht="25" hidden="1" customHeight="1">
      <c r="A923" s="2398">
        <f t="shared" ref="A923:A930" si="274">A922+1</f>
        <v>2</v>
      </c>
      <c r="B923" s="2549" t="s">
        <v>587</v>
      </c>
      <c r="C923" s="2550"/>
      <c r="D923" s="2551"/>
      <c r="E923" s="2397">
        <f>'13. Vol Toilet G'!$M$242</f>
        <v>15</v>
      </c>
      <c r="F923" s="2398" t="s">
        <v>117</v>
      </c>
      <c r="G923" s="2731">
        <v>55654.25</v>
      </c>
      <c r="H923" s="2389">
        <f t="shared" si="271"/>
        <v>834813.75</v>
      </c>
      <c r="I923" s="2390">
        <f>'Resume Analisa'!$D$174</f>
        <v>55200.46</v>
      </c>
      <c r="J923" s="2390">
        <f t="shared" si="272"/>
        <v>828006.9</v>
      </c>
      <c r="K923" s="2378" t="e">
        <f>IF(H923=0,"",IF(J923&lt;#REF!*H923,"Timpang &lt;"&amp;TEXT(#REF!,"0%"),IF(J923&gt;#REF!*H923,"Timpang &gt;"&amp;TEXT(#REF!,"0%"),"Wajar")))</f>
        <v>#REF!</v>
      </c>
      <c r="L923" s="2391">
        <v>55200.46</v>
      </c>
      <c r="M923" s="2391">
        <f t="shared" si="273"/>
        <v>828006.9</v>
      </c>
      <c r="N923" s="2375">
        <f t="shared" si="269"/>
        <v>3.6169108447202657E-4</v>
      </c>
      <c r="O923" s="2375">
        <v>0</v>
      </c>
      <c r="P923" s="2398" t="s">
        <v>117</v>
      </c>
      <c r="Q923" s="2375">
        <f t="shared" si="256"/>
        <v>0</v>
      </c>
      <c r="R923" s="2375">
        <f t="shared" si="270"/>
        <v>0</v>
      </c>
      <c r="S923" s="2386">
        <v>0</v>
      </c>
      <c r="T923" s="2398"/>
      <c r="U923" s="2375">
        <f t="shared" si="265"/>
        <v>0</v>
      </c>
      <c r="V923" s="2375"/>
      <c r="W923" s="2382">
        <f t="shared" si="266"/>
        <v>15</v>
      </c>
      <c r="X923" s="2398" t="s">
        <v>117</v>
      </c>
      <c r="Y923" s="2375">
        <f t="shared" si="267"/>
        <v>55200.46</v>
      </c>
      <c r="Z923" s="2375"/>
      <c r="AA923" s="2377" t="s">
        <v>3355</v>
      </c>
    </row>
    <row r="924" spans="1:27" ht="25" hidden="1" customHeight="1">
      <c r="A924" s="2398">
        <f t="shared" si="274"/>
        <v>3</v>
      </c>
      <c r="B924" s="2549" t="s">
        <v>588</v>
      </c>
      <c r="C924" s="2550"/>
      <c r="D924" s="2551"/>
      <c r="E924" s="2397">
        <f>'13. Vol Toilet G'!$M$246</f>
        <v>17.5</v>
      </c>
      <c r="F924" s="2398" t="s">
        <v>117</v>
      </c>
      <c r="G924" s="2731">
        <v>191759.63</v>
      </c>
      <c r="H924" s="2389">
        <f t="shared" si="271"/>
        <v>3355793.5249999999</v>
      </c>
      <c r="I924" s="2390">
        <f>'Resume Analisa'!$D$173</f>
        <v>183232.97</v>
      </c>
      <c r="J924" s="2390">
        <f t="shared" si="272"/>
        <v>3206576.9750000001</v>
      </c>
      <c r="K924" s="2378" t="e">
        <f>IF(H924=0,"",IF(J924&lt;#REF!*H924,"Timpang &lt;"&amp;TEXT(#REF!,"0%"),IF(J924&gt;#REF!*H924,"Timpang &gt;"&amp;TEXT(#REF!,"0%"),"Wajar")))</f>
        <v>#REF!</v>
      </c>
      <c r="L924" s="2391">
        <v>183232.97</v>
      </c>
      <c r="M924" s="2391">
        <f t="shared" si="273"/>
        <v>3206576.9750000001</v>
      </c>
      <c r="N924" s="2375">
        <f t="shared" si="269"/>
        <v>1.4007012544590878E-3</v>
      </c>
      <c r="O924" s="2375">
        <v>0</v>
      </c>
      <c r="P924" s="2398" t="s">
        <v>117</v>
      </c>
      <c r="Q924" s="2375">
        <f t="shared" si="256"/>
        <v>0</v>
      </c>
      <c r="R924" s="2375">
        <f t="shared" si="270"/>
        <v>0</v>
      </c>
      <c r="S924" s="2386">
        <v>0</v>
      </c>
      <c r="T924" s="2398"/>
      <c r="U924" s="2375">
        <f t="shared" si="265"/>
        <v>0</v>
      </c>
      <c r="V924" s="2375"/>
      <c r="W924" s="2382">
        <f t="shared" si="266"/>
        <v>17.5</v>
      </c>
      <c r="X924" s="2398" t="s">
        <v>117</v>
      </c>
      <c r="Y924" s="2375">
        <f t="shared" si="267"/>
        <v>183232.97</v>
      </c>
      <c r="Z924" s="2375"/>
      <c r="AA924" s="2377" t="s">
        <v>3355</v>
      </c>
    </row>
    <row r="925" spans="1:27" ht="25" hidden="1" customHeight="1">
      <c r="A925" s="2398">
        <f t="shared" si="274"/>
        <v>4</v>
      </c>
      <c r="B925" s="2549" t="s">
        <v>589</v>
      </c>
      <c r="C925" s="2550"/>
      <c r="D925" s="2551"/>
      <c r="E925" s="2397">
        <f>'13. Vol Toilet G'!$M$250</f>
        <v>12.5</v>
      </c>
      <c r="F925" s="2398" t="s">
        <v>117</v>
      </c>
      <c r="G925" s="2731">
        <v>308539.25</v>
      </c>
      <c r="H925" s="2389">
        <f t="shared" si="271"/>
        <v>3856740.625</v>
      </c>
      <c r="I925" s="2390">
        <f>'Resume Analisa'!$D$172</f>
        <v>314523.2</v>
      </c>
      <c r="J925" s="2390">
        <f t="shared" si="272"/>
        <v>3931540</v>
      </c>
      <c r="K925" s="2378" t="e">
        <f>IF(H925=0,"",IF(J925&lt;#REF!*H925,"Timpang &lt;"&amp;TEXT(#REF!,"0%"),IF(J925&gt;#REF!*H925,"Timpang &gt;"&amp;TEXT(#REF!,"0%"),"Wajar")))</f>
        <v>#REF!</v>
      </c>
      <c r="L925" s="2391">
        <v>314523.2</v>
      </c>
      <c r="M925" s="2391">
        <f t="shared" si="273"/>
        <v>3931540</v>
      </c>
      <c r="N925" s="2375">
        <f t="shared" si="269"/>
        <v>1.7173805752647125E-3</v>
      </c>
      <c r="O925" s="2375">
        <v>0</v>
      </c>
      <c r="P925" s="2398" t="s">
        <v>117</v>
      </c>
      <c r="Q925" s="2375">
        <f t="shared" ref="Q925:Q959" si="275">O925*L925</f>
        <v>0</v>
      </c>
      <c r="R925" s="2375">
        <f t="shared" si="270"/>
        <v>0</v>
      </c>
      <c r="S925" s="2375">
        <v>0</v>
      </c>
      <c r="T925" s="2398"/>
      <c r="U925" s="2375">
        <f t="shared" si="265"/>
        <v>0</v>
      </c>
      <c r="V925" s="2375"/>
      <c r="W925" s="2382">
        <f t="shared" si="266"/>
        <v>12.5</v>
      </c>
      <c r="X925" s="2398" t="s">
        <v>117</v>
      </c>
      <c r="Y925" s="2375">
        <f t="shared" si="267"/>
        <v>314523.2</v>
      </c>
      <c r="Z925" s="2375"/>
      <c r="AA925" s="2377" t="s">
        <v>3355</v>
      </c>
    </row>
    <row r="926" spans="1:27" ht="25" hidden="1" customHeight="1">
      <c r="A926" s="2398">
        <f t="shared" si="274"/>
        <v>5</v>
      </c>
      <c r="B926" s="2549" t="s">
        <v>711</v>
      </c>
      <c r="C926" s="2550"/>
      <c r="D926" s="2551"/>
      <c r="E926" s="2397">
        <f>'13. Vol Toilet G'!$M$251</f>
        <v>5</v>
      </c>
      <c r="F926" s="2398" t="s">
        <v>124</v>
      </c>
      <c r="G926" s="2731">
        <v>802552.46</v>
      </c>
      <c r="H926" s="2389">
        <f t="shared" si="271"/>
        <v>4012762.3</v>
      </c>
      <c r="I926" s="2390">
        <f>'Resume Analisa'!$D$178</f>
        <v>799826.64</v>
      </c>
      <c r="J926" s="2390">
        <f t="shared" si="272"/>
        <v>3999133.2</v>
      </c>
      <c r="K926" s="2378" t="e">
        <f>IF(H926=0,"",IF(J926&lt;#REF!*H926,"Timpang &lt;"&amp;TEXT(#REF!,"0%"),IF(J926&gt;#REF!*H926,"Timpang &gt;"&amp;TEXT(#REF!,"0%"),"Wajar")))</f>
        <v>#REF!</v>
      </c>
      <c r="L926" s="2391">
        <v>799826.64</v>
      </c>
      <c r="M926" s="2391">
        <f t="shared" si="273"/>
        <v>3999133.2</v>
      </c>
      <c r="N926" s="2375">
        <f t="shared" si="269"/>
        <v>1.7469067275358283E-3</v>
      </c>
      <c r="O926" s="2375">
        <v>0</v>
      </c>
      <c r="P926" s="2398" t="s">
        <v>124</v>
      </c>
      <c r="Q926" s="2375">
        <f t="shared" si="275"/>
        <v>0</v>
      </c>
      <c r="R926" s="2375">
        <f t="shared" si="270"/>
        <v>0</v>
      </c>
      <c r="S926" s="2375">
        <v>0</v>
      </c>
      <c r="T926" s="2398"/>
      <c r="U926" s="2375">
        <f t="shared" si="265"/>
        <v>0</v>
      </c>
      <c r="V926" s="2375"/>
      <c r="W926" s="2382">
        <f t="shared" si="266"/>
        <v>5</v>
      </c>
      <c r="X926" s="2398" t="s">
        <v>124</v>
      </c>
      <c r="Y926" s="2375">
        <f t="shared" si="267"/>
        <v>799826.64</v>
      </c>
      <c r="Z926" s="2375"/>
      <c r="AA926" s="2377" t="s">
        <v>3355</v>
      </c>
    </row>
    <row r="927" spans="1:27" ht="25" hidden="1" customHeight="1">
      <c r="A927" s="2398">
        <f t="shared" si="274"/>
        <v>6</v>
      </c>
      <c r="B927" s="2549" t="s">
        <v>712</v>
      </c>
      <c r="C927" s="2550"/>
      <c r="D927" s="2551"/>
      <c r="E927" s="2397">
        <f>'13. Vol Toilet G'!$M$252</f>
        <v>5</v>
      </c>
      <c r="F927" s="2398" t="s">
        <v>124</v>
      </c>
      <c r="G927" s="2731">
        <v>105920.61</v>
      </c>
      <c r="H927" s="2389">
        <f t="shared" si="271"/>
        <v>529603.05000000005</v>
      </c>
      <c r="I927" s="2390">
        <f>'Resume Analisa'!$D$181</f>
        <v>101518.73999999999</v>
      </c>
      <c r="J927" s="2390">
        <f t="shared" si="272"/>
        <v>507593.69999999995</v>
      </c>
      <c r="K927" s="2378" t="e">
        <f>IF(H927=0,"",IF(J927&lt;#REF!*H927,"Timpang &lt;"&amp;TEXT(#REF!,"0%"),IF(J927&gt;#REF!*H927,"Timpang &gt;"&amp;TEXT(#REF!,"0%"),"Wajar")))</f>
        <v>#REF!</v>
      </c>
      <c r="L927" s="2391">
        <v>101518.73999999999</v>
      </c>
      <c r="M927" s="2391">
        <f t="shared" si="273"/>
        <v>507593.69999999995</v>
      </c>
      <c r="N927" s="2375">
        <f t="shared" si="269"/>
        <v>2.2172776075195567E-4</v>
      </c>
      <c r="O927" s="2375">
        <v>0</v>
      </c>
      <c r="P927" s="2398" t="s">
        <v>124</v>
      </c>
      <c r="Q927" s="2375">
        <f t="shared" si="275"/>
        <v>0</v>
      </c>
      <c r="R927" s="2375">
        <f t="shared" si="270"/>
        <v>0</v>
      </c>
      <c r="S927" s="2375">
        <v>0</v>
      </c>
      <c r="T927" s="2398"/>
      <c r="U927" s="2375">
        <f t="shared" si="265"/>
        <v>0</v>
      </c>
      <c r="V927" s="2375"/>
      <c r="W927" s="2382">
        <f t="shared" si="266"/>
        <v>5</v>
      </c>
      <c r="X927" s="2398" t="s">
        <v>124</v>
      </c>
      <c r="Y927" s="2375">
        <f t="shared" si="267"/>
        <v>101518.73999999999</v>
      </c>
      <c r="Z927" s="2375"/>
      <c r="AA927" s="2377" t="s">
        <v>3355</v>
      </c>
    </row>
    <row r="928" spans="1:27" ht="25" hidden="1" customHeight="1">
      <c r="A928" s="2398">
        <f t="shared" si="274"/>
        <v>7</v>
      </c>
      <c r="B928" s="2549" t="s">
        <v>593</v>
      </c>
      <c r="C928" s="2550"/>
      <c r="D928" s="2551"/>
      <c r="E928" s="2397">
        <f>E927</f>
        <v>5</v>
      </c>
      <c r="F928" s="2398" t="s">
        <v>124</v>
      </c>
      <c r="G928" s="2731">
        <v>100567.5</v>
      </c>
      <c r="H928" s="2389">
        <f t="shared" si="271"/>
        <v>502837.5</v>
      </c>
      <c r="I928" s="2480">
        <f>'Resume Analisa'!$D$189</f>
        <v>98867.86</v>
      </c>
      <c r="J928" s="2480">
        <f>I928*E928</f>
        <v>494339.3</v>
      </c>
      <c r="K928" s="2378" t="e">
        <f>IF(H928=0,"",IF(J928&lt;#REF!*H928,"Timpang &lt;"&amp;TEXT(#REF!,"0%"),IF(J928&gt;#REF!*H928,"Timpang &gt;"&amp;TEXT(#REF!,"0%"),"Wajar")))</f>
        <v>#REF!</v>
      </c>
      <c r="L928" s="2391">
        <v>98867.86</v>
      </c>
      <c r="M928" s="2391">
        <f t="shared" si="273"/>
        <v>494339.3</v>
      </c>
      <c r="N928" s="2375">
        <f t="shared" si="269"/>
        <v>2.1593795596889649E-4</v>
      </c>
      <c r="O928" s="2375">
        <v>0</v>
      </c>
      <c r="P928" s="2398" t="s">
        <v>124</v>
      </c>
      <c r="Q928" s="2375">
        <f t="shared" si="275"/>
        <v>0</v>
      </c>
      <c r="R928" s="2375">
        <f t="shared" si="270"/>
        <v>0</v>
      </c>
      <c r="S928" s="2375">
        <v>0</v>
      </c>
      <c r="T928" s="2398"/>
      <c r="U928" s="2375">
        <f t="shared" si="265"/>
        <v>0</v>
      </c>
      <c r="V928" s="2375"/>
      <c r="W928" s="2382">
        <f t="shared" si="266"/>
        <v>5</v>
      </c>
      <c r="X928" s="2398" t="s">
        <v>124</v>
      </c>
      <c r="Y928" s="2375">
        <f t="shared" si="267"/>
        <v>98867.86</v>
      </c>
      <c r="Z928" s="2375"/>
      <c r="AA928" s="2377" t="s">
        <v>3355</v>
      </c>
    </row>
    <row r="929" spans="1:27" ht="25" hidden="1" customHeight="1">
      <c r="A929" s="2398">
        <f t="shared" si="274"/>
        <v>8</v>
      </c>
      <c r="B929" s="2549" t="s">
        <v>713</v>
      </c>
      <c r="C929" s="2550"/>
      <c r="D929" s="2733"/>
      <c r="E929" s="2397">
        <f>'13. Vol Toilet G'!$M$253</f>
        <v>1</v>
      </c>
      <c r="F929" s="2398" t="s">
        <v>360</v>
      </c>
      <c r="G929" s="2731">
        <v>1277328</v>
      </c>
      <c r="H929" s="2389">
        <f t="shared" si="271"/>
        <v>1277328</v>
      </c>
      <c r="I929" s="2390">
        <f>'Resume Analisa'!$D$191</f>
        <v>1209261.8700000001</v>
      </c>
      <c r="J929" s="2390">
        <f>E929*I929</f>
        <v>1209261.8700000001</v>
      </c>
      <c r="K929" s="2378" t="e">
        <f>IF(H929=0,"",IF(J929&lt;#REF!*H929,"Timpang &lt;"&amp;TEXT(#REF!,"0%"),IF(J929&gt;#REF!*H929,"Timpang &gt;"&amp;TEXT(#REF!,"0%"),"Wajar")))</f>
        <v>#REF!</v>
      </c>
      <c r="L929" s="2391">
        <v>1209261.8700000001</v>
      </c>
      <c r="M929" s="2391">
        <f t="shared" si="273"/>
        <v>1209261.8700000001</v>
      </c>
      <c r="N929" s="2375">
        <f t="shared" si="269"/>
        <v>5.2823139175648271E-4</v>
      </c>
      <c r="O929" s="2375">
        <v>0</v>
      </c>
      <c r="P929" s="2398" t="s">
        <v>360</v>
      </c>
      <c r="Q929" s="2375">
        <f t="shared" si="275"/>
        <v>0</v>
      </c>
      <c r="R929" s="2375">
        <f t="shared" si="270"/>
        <v>0</v>
      </c>
      <c r="S929" s="2375">
        <v>0</v>
      </c>
      <c r="T929" s="2398"/>
      <c r="U929" s="2375">
        <f t="shared" si="265"/>
        <v>0</v>
      </c>
      <c r="V929" s="2375"/>
      <c r="W929" s="2382">
        <f t="shared" si="266"/>
        <v>1</v>
      </c>
      <c r="X929" s="2398" t="s">
        <v>360</v>
      </c>
      <c r="Y929" s="2375">
        <f t="shared" si="267"/>
        <v>1209261.8700000001</v>
      </c>
      <c r="Z929" s="2375"/>
      <c r="AA929" s="2377" t="s">
        <v>3355</v>
      </c>
    </row>
    <row r="930" spans="1:27" ht="25" hidden="1" customHeight="1">
      <c r="A930" s="2398">
        <f t="shared" si="274"/>
        <v>9</v>
      </c>
      <c r="B930" s="2549" t="s">
        <v>714</v>
      </c>
      <c r="C930" s="2550"/>
      <c r="D930" s="2551"/>
      <c r="E930" s="2397"/>
      <c r="F930" s="2398"/>
      <c r="G930" s="2731"/>
      <c r="H930" s="2389"/>
      <c r="I930" s="2465"/>
      <c r="J930" s="2567"/>
      <c r="K930" s="2389"/>
      <c r="L930" s="2391"/>
      <c r="M930" s="2391"/>
      <c r="N930" s="2375">
        <f t="shared" si="269"/>
        <v>0</v>
      </c>
      <c r="O930" s="2375">
        <v>0</v>
      </c>
      <c r="P930" s="2398"/>
      <c r="Q930" s="2375">
        <f t="shared" si="275"/>
        <v>0</v>
      </c>
      <c r="R930" s="2375">
        <f t="shared" si="270"/>
        <v>0</v>
      </c>
      <c r="S930" s="2386">
        <v>0</v>
      </c>
      <c r="T930" s="2398"/>
      <c r="U930" s="2375">
        <f t="shared" si="265"/>
        <v>0</v>
      </c>
      <c r="V930" s="2375"/>
      <c r="W930" s="2382">
        <f t="shared" si="266"/>
        <v>0</v>
      </c>
      <c r="X930" s="2398"/>
      <c r="Y930" s="2375">
        <f t="shared" si="267"/>
        <v>0</v>
      </c>
      <c r="Z930" s="2375"/>
      <c r="AA930" s="2377" t="s">
        <v>3355</v>
      </c>
    </row>
    <row r="931" spans="1:27" ht="25" hidden="1" customHeight="1">
      <c r="A931" s="2555" t="s">
        <v>95</v>
      </c>
      <c r="B931" s="2728" t="s">
        <v>596</v>
      </c>
      <c r="C931" s="2734"/>
      <c r="D931" s="2735"/>
      <c r="E931" s="2397">
        <f>'13. Vol Toilet G'!$J$255</f>
        <v>1</v>
      </c>
      <c r="F931" s="2398" t="s">
        <v>360</v>
      </c>
      <c r="G931" s="2731">
        <v>2200000</v>
      </c>
      <c r="H931" s="2389">
        <f>E931*G931</f>
        <v>2200000</v>
      </c>
      <c r="I931" s="2480">
        <f>'Bahan &amp; Upah'!$C$302</f>
        <v>2331164.77</v>
      </c>
      <c r="J931" s="2390">
        <f>E931*I931</f>
        <v>2331164.77</v>
      </c>
      <c r="K931" s="2378" t="e">
        <f>IF(H931=0,"",IF(J931&lt;#REF!*H931,"Timpang &lt;"&amp;TEXT(#REF!,"0%"),IF(J931&gt;#REF!*H931,"Timpang &gt;"&amp;TEXT(#REF!,"0%"),"Wajar")))</f>
        <v>#REF!</v>
      </c>
      <c r="L931" s="2391">
        <v>2331164.77</v>
      </c>
      <c r="M931" s="2391">
        <f>E931*L931</f>
        <v>2331164.77</v>
      </c>
      <c r="N931" s="2375">
        <f t="shared" si="269"/>
        <v>1.0183025210831968E-3</v>
      </c>
      <c r="O931" s="2375">
        <v>0</v>
      </c>
      <c r="P931" s="2398" t="s">
        <v>360</v>
      </c>
      <c r="Q931" s="2375">
        <f t="shared" si="275"/>
        <v>0</v>
      </c>
      <c r="R931" s="2375">
        <f t="shared" si="270"/>
        <v>0</v>
      </c>
      <c r="S931" s="2386">
        <v>0</v>
      </c>
      <c r="T931" s="2537"/>
      <c r="U931" s="2375">
        <f t="shared" si="265"/>
        <v>0</v>
      </c>
      <c r="V931" s="2375"/>
      <c r="W931" s="2382">
        <f t="shared" si="266"/>
        <v>1</v>
      </c>
      <c r="X931" s="2398" t="s">
        <v>360</v>
      </c>
      <c r="Y931" s="2375">
        <f t="shared" si="267"/>
        <v>2331164.77</v>
      </c>
      <c r="Z931" s="2375"/>
      <c r="AA931" s="2377" t="s">
        <v>3355</v>
      </c>
    </row>
    <row r="932" spans="1:27" ht="25" hidden="1" customHeight="1">
      <c r="A932" s="2555" t="s">
        <v>98</v>
      </c>
      <c r="B932" s="2728" t="s">
        <v>597</v>
      </c>
      <c r="C932" s="2734"/>
      <c r="D932" s="2735"/>
      <c r="E932" s="2397">
        <f>'13. Vol Toilet G'!$J$256</f>
        <v>1</v>
      </c>
      <c r="F932" s="2398" t="s">
        <v>360</v>
      </c>
      <c r="G932" s="2731">
        <v>500000</v>
      </c>
      <c r="H932" s="2389">
        <f>E932*G932</f>
        <v>500000</v>
      </c>
      <c r="I932" s="2480">
        <v>500000</v>
      </c>
      <c r="J932" s="2390">
        <f>E932*I932</f>
        <v>500000</v>
      </c>
      <c r="K932" s="2378" t="e">
        <f>IF(H932=0,"",IF(J932&lt;#REF!*H932,"Timpang &lt;"&amp;TEXT(#REF!,"0%"),IF(J932&gt;#REF!*H932,"Timpang &gt;"&amp;TEXT(#REF!,"0%"),"Wajar")))</f>
        <v>#REF!</v>
      </c>
      <c r="L932" s="2391">
        <v>500000</v>
      </c>
      <c r="M932" s="2391">
        <f>E932*L932</f>
        <v>500000</v>
      </c>
      <c r="N932" s="2375">
        <f t="shared" si="269"/>
        <v>2.1841067053428334E-4</v>
      </c>
      <c r="O932" s="2375">
        <v>0</v>
      </c>
      <c r="P932" s="2398" t="s">
        <v>360</v>
      </c>
      <c r="Q932" s="2375">
        <f t="shared" si="275"/>
        <v>0</v>
      </c>
      <c r="R932" s="2375">
        <f t="shared" si="270"/>
        <v>0</v>
      </c>
      <c r="S932" s="2375">
        <v>0</v>
      </c>
      <c r="T932" s="2398"/>
      <c r="U932" s="2375">
        <f t="shared" si="265"/>
        <v>0</v>
      </c>
      <c r="V932" s="2375"/>
      <c r="W932" s="2382">
        <f t="shared" si="266"/>
        <v>1</v>
      </c>
      <c r="X932" s="2398" t="s">
        <v>360</v>
      </c>
      <c r="Y932" s="2375">
        <f t="shared" si="267"/>
        <v>500000</v>
      </c>
      <c r="Z932" s="2375"/>
      <c r="AA932" s="2377" t="s">
        <v>3355</v>
      </c>
    </row>
    <row r="933" spans="1:27" ht="25" hidden="1" customHeight="1">
      <c r="A933" s="2555" t="s">
        <v>101</v>
      </c>
      <c r="B933" s="2728" t="s">
        <v>598</v>
      </c>
      <c r="C933" s="2729"/>
      <c r="D933" s="2730"/>
      <c r="E933" s="2397"/>
      <c r="F933" s="2398"/>
      <c r="G933" s="2731"/>
      <c r="H933" s="2389"/>
      <c r="I933" s="2480"/>
      <c r="J933" s="2480"/>
      <c r="K933" s="2389"/>
      <c r="L933" s="2391"/>
      <c r="M933" s="2391"/>
      <c r="N933" s="2375">
        <f t="shared" si="269"/>
        <v>0</v>
      </c>
      <c r="O933" s="2375">
        <v>0</v>
      </c>
      <c r="P933" s="2398"/>
      <c r="Q933" s="2375">
        <f t="shared" si="275"/>
        <v>0</v>
      </c>
      <c r="R933" s="2375">
        <f t="shared" si="270"/>
        <v>0</v>
      </c>
      <c r="S933" s="2375">
        <v>0</v>
      </c>
      <c r="T933" s="2398"/>
      <c r="U933" s="2375">
        <f t="shared" si="265"/>
        <v>0</v>
      </c>
      <c r="V933" s="2375"/>
      <c r="W933" s="2382">
        <f t="shared" si="266"/>
        <v>0</v>
      </c>
      <c r="X933" s="2398"/>
      <c r="Y933" s="2375">
        <f t="shared" si="267"/>
        <v>0</v>
      </c>
      <c r="Z933" s="2375"/>
      <c r="AA933" s="2377" t="s">
        <v>3355</v>
      </c>
    </row>
    <row r="934" spans="1:27" ht="25" hidden="1" customHeight="1">
      <c r="A934" s="2555"/>
      <c r="B934" s="2728" t="s">
        <v>599</v>
      </c>
      <c r="C934" s="2729"/>
      <c r="D934" s="2730"/>
      <c r="E934" s="2397">
        <f>'13. Vol Toilet G'!$O$258</f>
        <v>2.2999999999999998</v>
      </c>
      <c r="F934" s="2398" t="s">
        <v>103</v>
      </c>
      <c r="G934" s="2731">
        <v>108675</v>
      </c>
      <c r="H934" s="2389">
        <f>E934*G934</f>
        <v>249952.49999999997</v>
      </c>
      <c r="I934" s="2480">
        <f>'Resume Analisa'!$D$19</f>
        <v>105018.5</v>
      </c>
      <c r="J934" s="2782">
        <f>E934*I934</f>
        <v>241542.55</v>
      </c>
      <c r="K934" s="2378" t="e">
        <f>IF(H934=0,"",IF(J934&lt;#REF!*H934,"Timpang &lt;"&amp;TEXT(#REF!,"0%"),IF(J934&gt;#REF!*H934,"Timpang &gt;"&amp;TEXT(#REF!,"0%"),"Wajar")))</f>
        <v>#REF!</v>
      </c>
      <c r="L934" s="2391">
        <v>105018.5</v>
      </c>
      <c r="M934" s="2391">
        <f>E934*L934</f>
        <v>241542.55</v>
      </c>
      <c r="N934" s="2375">
        <f t="shared" si="269"/>
        <v>1.0551094061612131E-4</v>
      </c>
      <c r="O934" s="2375">
        <v>0</v>
      </c>
      <c r="P934" s="2398" t="s">
        <v>103</v>
      </c>
      <c r="Q934" s="2375">
        <f t="shared" si="275"/>
        <v>0</v>
      </c>
      <c r="R934" s="2375">
        <f t="shared" si="270"/>
        <v>0</v>
      </c>
      <c r="S934" s="2375">
        <v>0</v>
      </c>
      <c r="T934" s="2398"/>
      <c r="U934" s="2375">
        <f t="shared" si="265"/>
        <v>0</v>
      </c>
      <c r="V934" s="2375"/>
      <c r="W934" s="2382">
        <f t="shared" si="266"/>
        <v>2.2999999999999998</v>
      </c>
      <c r="X934" s="2398" t="s">
        <v>103</v>
      </c>
      <c r="Y934" s="2375">
        <f t="shared" si="267"/>
        <v>105018.5</v>
      </c>
      <c r="Z934" s="2375"/>
      <c r="AA934" s="2377" t="s">
        <v>3355</v>
      </c>
    </row>
    <row r="935" spans="1:27" ht="25" hidden="1" customHeight="1">
      <c r="A935" s="2555"/>
      <c r="B935" s="2728" t="s">
        <v>600</v>
      </c>
      <c r="C935" s="2729"/>
      <c r="D935" s="2730"/>
      <c r="E935" s="2397">
        <f>'13. Vol Toilet G'!$O$259</f>
        <v>2.88</v>
      </c>
      <c r="F935" s="2398" t="s">
        <v>89</v>
      </c>
      <c r="G935" s="2731">
        <v>188325.18000000002</v>
      </c>
      <c r="H935" s="2389">
        <f>E935*G935</f>
        <v>542376.51840000006</v>
      </c>
      <c r="I935" s="2465">
        <f>'Resume Analisa'!$D$68</f>
        <v>181829.52000000002</v>
      </c>
      <c r="J935" s="2480">
        <f>I935*E935</f>
        <v>523669.01760000002</v>
      </c>
      <c r="K935" s="2378" t="e">
        <f>IF(H935=0,"",IF(J935&lt;#REF!*H935,"Timpang &lt;"&amp;TEXT(#REF!,"0%"),IF(J935&gt;#REF!*H935,"Timpang &gt;"&amp;TEXT(#REF!,"0%"),"Wajar")))</f>
        <v>#REF!</v>
      </c>
      <c r="L935" s="2391">
        <v>181829.52000000002</v>
      </c>
      <c r="M935" s="2391">
        <f>E935*L935</f>
        <v>523669.01760000002</v>
      </c>
      <c r="N935" s="2375">
        <f t="shared" si="269"/>
        <v>2.2874980254409085E-4</v>
      </c>
      <c r="O935" s="2375">
        <v>0</v>
      </c>
      <c r="P935" s="2398" t="s">
        <v>89</v>
      </c>
      <c r="Q935" s="2375">
        <f t="shared" si="275"/>
        <v>0</v>
      </c>
      <c r="R935" s="2375">
        <f t="shared" si="270"/>
        <v>0</v>
      </c>
      <c r="S935" s="2375">
        <v>0</v>
      </c>
      <c r="T935" s="2398"/>
      <c r="U935" s="2375">
        <f t="shared" si="265"/>
        <v>0</v>
      </c>
      <c r="V935" s="2375"/>
      <c r="W935" s="2382">
        <f t="shared" si="266"/>
        <v>2.88</v>
      </c>
      <c r="X935" s="2398" t="s">
        <v>89</v>
      </c>
      <c r="Y935" s="2375">
        <f t="shared" si="267"/>
        <v>181829.52000000002</v>
      </c>
      <c r="Z935" s="2375"/>
      <c r="AA935" s="2377" t="s">
        <v>3355</v>
      </c>
    </row>
    <row r="936" spans="1:27" ht="25" hidden="1" customHeight="1">
      <c r="A936" s="2555"/>
      <c r="B936" s="2728" t="s">
        <v>601</v>
      </c>
      <c r="C936" s="2729"/>
      <c r="D936" s="2730"/>
      <c r="E936" s="2397">
        <f>'13. Vol Toilet G'!$O$260</f>
        <v>12.5</v>
      </c>
      <c r="F936" s="2398" t="s">
        <v>100</v>
      </c>
      <c r="G936" s="2731">
        <v>25591.18</v>
      </c>
      <c r="H936" s="2389">
        <f>E936*G936</f>
        <v>319889.75</v>
      </c>
      <c r="I936" s="2480">
        <f>'Resume Analisa'!$D$47</f>
        <v>26179.679999999997</v>
      </c>
      <c r="J936" s="2390">
        <f>E936*I936</f>
        <v>327245.99999999994</v>
      </c>
      <c r="K936" s="2378" t="e">
        <f>IF(H936=0,"",IF(J936&lt;#REF!*H936,"Timpang &lt;"&amp;TEXT(#REF!,"0%"),IF(J936&gt;#REF!*H936,"Timpang &gt;"&amp;TEXT(#REF!,"0%"),"Wajar")))</f>
        <v>#REF!</v>
      </c>
      <c r="L936" s="2391">
        <v>26179.679999999997</v>
      </c>
      <c r="M936" s="2391">
        <f>E936*L936</f>
        <v>327245.99999999994</v>
      </c>
      <c r="N936" s="2375">
        <f t="shared" si="269"/>
        <v>1.4294803657932412E-4</v>
      </c>
      <c r="O936" s="2375">
        <v>0</v>
      </c>
      <c r="P936" s="2398" t="s">
        <v>100</v>
      </c>
      <c r="Q936" s="2375">
        <f t="shared" si="275"/>
        <v>0</v>
      </c>
      <c r="R936" s="2375">
        <f t="shared" si="270"/>
        <v>0</v>
      </c>
      <c r="S936" s="2375">
        <v>0</v>
      </c>
      <c r="T936" s="2537"/>
      <c r="U936" s="2375">
        <f t="shared" si="265"/>
        <v>0</v>
      </c>
      <c r="V936" s="2375"/>
      <c r="W936" s="2382">
        <f t="shared" si="266"/>
        <v>12.5</v>
      </c>
      <c r="X936" s="2398" t="s">
        <v>100</v>
      </c>
      <c r="Y936" s="2375">
        <f t="shared" si="267"/>
        <v>26179.679999999997</v>
      </c>
      <c r="Z936" s="2375"/>
      <c r="AA936" s="2377" t="s">
        <v>3355</v>
      </c>
    </row>
    <row r="937" spans="1:27" ht="25" hidden="1" customHeight="1">
      <c r="A937" s="2555"/>
      <c r="B937" s="2728" t="s">
        <v>602</v>
      </c>
      <c r="C937" s="2729"/>
      <c r="D937" s="2730"/>
      <c r="E937" s="2397">
        <f>'13. Vol Toilet G'!$O$261</f>
        <v>0.43</v>
      </c>
      <c r="F937" s="2398" t="s">
        <v>103</v>
      </c>
      <c r="G937" s="2731">
        <v>1584129.98</v>
      </c>
      <c r="H937" s="2389">
        <f>E937*G937</f>
        <v>681175.89139999996</v>
      </c>
      <c r="I937" s="2465">
        <f>'Resume Analisa'!$D$55</f>
        <v>1535009.1300000001</v>
      </c>
      <c r="J937" s="2782">
        <f>E937*I937</f>
        <v>660053.92590000003</v>
      </c>
      <c r="K937" s="2378" t="e">
        <f>IF(H937=0,"",IF(J937&lt;#REF!*H937,"Timpang &lt;"&amp;TEXT(#REF!,"0%"),IF(J937&gt;#REF!*H937,"Timpang &gt;"&amp;TEXT(#REF!,"0%"),"Wajar")))</f>
        <v>#REF!</v>
      </c>
      <c r="L937" s="2391">
        <v>1535009.1300000001</v>
      </c>
      <c r="M937" s="2391">
        <f>E937*L937</f>
        <v>660053.92590000003</v>
      </c>
      <c r="N937" s="2375">
        <f t="shared" si="269"/>
        <v>2.8832564108921034E-4</v>
      </c>
      <c r="O937" s="2375">
        <v>0</v>
      </c>
      <c r="P937" s="2398" t="s">
        <v>103</v>
      </c>
      <c r="Q937" s="2375">
        <f t="shared" si="275"/>
        <v>0</v>
      </c>
      <c r="R937" s="2375">
        <f t="shared" si="270"/>
        <v>0</v>
      </c>
      <c r="S937" s="2386">
        <v>0</v>
      </c>
      <c r="T937" s="2537"/>
      <c r="U937" s="2375">
        <f t="shared" si="265"/>
        <v>0</v>
      </c>
      <c r="V937" s="2375"/>
      <c r="W937" s="2382">
        <f t="shared" si="266"/>
        <v>0.43</v>
      </c>
      <c r="X937" s="2398" t="s">
        <v>103</v>
      </c>
      <c r="Y937" s="2375">
        <f t="shared" si="267"/>
        <v>1535009.1300000001</v>
      </c>
      <c r="Z937" s="2375"/>
      <c r="AA937" s="2377" t="s">
        <v>3355</v>
      </c>
    </row>
    <row r="938" spans="1:27" ht="25" hidden="1" customHeight="1">
      <c r="A938" s="2555" t="s">
        <v>121</v>
      </c>
      <c r="B938" s="2728" t="s">
        <v>603</v>
      </c>
      <c r="C938" s="2729"/>
      <c r="D938" s="2730"/>
      <c r="E938" s="2397"/>
      <c r="F938" s="2398"/>
      <c r="G938" s="2731"/>
      <c r="H938" s="2389"/>
      <c r="I938" s="2480"/>
      <c r="J938" s="2390"/>
      <c r="K938" s="2389"/>
      <c r="L938" s="2391"/>
      <c r="M938" s="2391"/>
      <c r="N938" s="2375">
        <f t="shared" si="269"/>
        <v>0</v>
      </c>
      <c r="O938" s="2375">
        <v>0</v>
      </c>
      <c r="P938" s="2398"/>
      <c r="Q938" s="2375">
        <f t="shared" si="275"/>
        <v>0</v>
      </c>
      <c r="R938" s="2375">
        <f t="shared" si="270"/>
        <v>0</v>
      </c>
      <c r="S938" s="2386">
        <v>0</v>
      </c>
      <c r="T938" s="2398"/>
      <c r="U938" s="2375">
        <f t="shared" si="265"/>
        <v>0</v>
      </c>
      <c r="V938" s="2375"/>
      <c r="W938" s="2382">
        <f t="shared" si="266"/>
        <v>0</v>
      </c>
      <c r="X938" s="2398"/>
      <c r="Y938" s="2375">
        <f t="shared" si="267"/>
        <v>0</v>
      </c>
      <c r="Z938" s="2375"/>
      <c r="AA938" s="2377" t="s">
        <v>3355</v>
      </c>
    </row>
    <row r="939" spans="1:27" ht="25" hidden="1" customHeight="1">
      <c r="A939" s="2555"/>
      <c r="B939" s="2728" t="s">
        <v>604</v>
      </c>
      <c r="C939" s="2729"/>
      <c r="D939" s="2730"/>
      <c r="E939" s="2397">
        <f>'13. Vol Toilet G'!$O$263</f>
        <v>3.2</v>
      </c>
      <c r="F939" s="2398" t="s">
        <v>89</v>
      </c>
      <c r="G939" s="2731">
        <v>249883.29</v>
      </c>
      <c r="H939" s="2389">
        <f t="shared" ref="H939:H944" si="276">E939*G939</f>
        <v>799626.52800000005</v>
      </c>
      <c r="I939" s="2480">
        <f>'Resume Analisa'!$D$40</f>
        <v>245946.97</v>
      </c>
      <c r="J939" s="2480">
        <f>I939*E939</f>
        <v>787030.304</v>
      </c>
      <c r="K939" s="2378" t="e">
        <f>IF(H939=0,"",IF(J939&lt;#REF!*H939,"Timpang &lt;"&amp;TEXT(#REF!,"0%"),IF(J939&gt;#REF!*H939,"Timpang &gt;"&amp;TEXT(#REF!,"0%"),"Wajar")))</f>
        <v>#REF!</v>
      </c>
      <c r="L939" s="2391">
        <v>245946.97</v>
      </c>
      <c r="M939" s="2391">
        <f t="shared" ref="M939:M944" si="277">E939*L939</f>
        <v>787030.304</v>
      </c>
      <c r="N939" s="2375">
        <f t="shared" si="269"/>
        <v>3.437916328548817E-4</v>
      </c>
      <c r="O939" s="2375">
        <v>0</v>
      </c>
      <c r="P939" s="2398" t="s">
        <v>89</v>
      </c>
      <c r="Q939" s="2375">
        <f t="shared" si="275"/>
        <v>0</v>
      </c>
      <c r="R939" s="2375">
        <f t="shared" si="270"/>
        <v>0</v>
      </c>
      <c r="S939" s="2375">
        <v>0</v>
      </c>
      <c r="T939" s="2398"/>
      <c r="U939" s="2375">
        <f t="shared" si="265"/>
        <v>0</v>
      </c>
      <c r="V939" s="2375"/>
      <c r="W939" s="2382">
        <f t="shared" si="266"/>
        <v>3.2</v>
      </c>
      <c r="X939" s="2398" t="s">
        <v>89</v>
      </c>
      <c r="Y939" s="2375">
        <f t="shared" si="267"/>
        <v>245946.97</v>
      </c>
      <c r="Z939" s="2375"/>
      <c r="AA939" s="2377" t="s">
        <v>3355</v>
      </c>
    </row>
    <row r="940" spans="1:27" ht="25" hidden="1" customHeight="1">
      <c r="A940" s="2555"/>
      <c r="B940" s="2728" t="s">
        <v>605</v>
      </c>
      <c r="C940" s="2729"/>
      <c r="D940" s="2730"/>
      <c r="E940" s="2397">
        <f>'13. Vol Toilet G'!$O$264</f>
        <v>22.5</v>
      </c>
      <c r="F940" s="2398" t="s">
        <v>100</v>
      </c>
      <c r="G940" s="2736">
        <v>25591.18</v>
      </c>
      <c r="H940" s="2473">
        <f t="shared" si="276"/>
        <v>575801.55000000005</v>
      </c>
      <c r="I940" s="2474">
        <f>'Resume Analisa'!$D$47</f>
        <v>26179.679999999997</v>
      </c>
      <c r="J940" s="2474">
        <f>+I940*E940</f>
        <v>589042.79999999993</v>
      </c>
      <c r="K940" s="2378" t="e">
        <f>IF(H940=0,"",IF(J940&lt;#REF!*H940,"Timpang &lt;"&amp;TEXT(#REF!,"0%"),IF(J940&gt;#REF!*H940,"Timpang &gt;"&amp;TEXT(#REF!,"0%"),"Wajar")))</f>
        <v>#REF!</v>
      </c>
      <c r="L940" s="2475">
        <v>26179.679999999997</v>
      </c>
      <c r="M940" s="2475">
        <f t="shared" si="277"/>
        <v>589042.79999999993</v>
      </c>
      <c r="N940" s="2375">
        <f t="shared" si="269"/>
        <v>2.5730646584278346E-4</v>
      </c>
      <c r="O940" s="2375">
        <v>0</v>
      </c>
      <c r="P940" s="2398" t="s">
        <v>100</v>
      </c>
      <c r="Q940" s="2375">
        <f t="shared" si="275"/>
        <v>0</v>
      </c>
      <c r="R940" s="2375">
        <f t="shared" si="270"/>
        <v>0</v>
      </c>
      <c r="S940" s="2375">
        <v>0</v>
      </c>
      <c r="T940" s="2398"/>
      <c r="U940" s="2375">
        <f t="shared" si="265"/>
        <v>0</v>
      </c>
      <c r="V940" s="2375"/>
      <c r="W940" s="2382">
        <f t="shared" si="266"/>
        <v>22.5</v>
      </c>
      <c r="X940" s="2398" t="s">
        <v>100</v>
      </c>
      <c r="Y940" s="2375">
        <f t="shared" si="267"/>
        <v>26179.679999999997</v>
      </c>
      <c r="Z940" s="2375"/>
      <c r="AA940" s="2377" t="s">
        <v>3355</v>
      </c>
    </row>
    <row r="941" spans="1:27" ht="25" hidden="1" customHeight="1">
      <c r="A941" s="2555"/>
      <c r="B941" s="2728" t="s">
        <v>606</v>
      </c>
      <c r="C941" s="2729"/>
      <c r="D941" s="2730"/>
      <c r="E941" s="2397">
        <f>'13. Vol Toilet G'!$O$265</f>
        <v>9.85</v>
      </c>
      <c r="F941" s="2398" t="s">
        <v>100</v>
      </c>
      <c r="G941" s="2731">
        <v>19151.18</v>
      </c>
      <c r="H941" s="2389">
        <f t="shared" si="276"/>
        <v>188639.12299999999</v>
      </c>
      <c r="I941" s="2480">
        <f>'Resume Analisa'!$D$48</f>
        <v>18790.969999999998</v>
      </c>
      <c r="J941" s="2480">
        <f>I941*E941</f>
        <v>185091.05449999997</v>
      </c>
      <c r="K941" s="2378" t="e">
        <f>IF(H941=0,"",IF(J941&lt;#REF!*H941,"Timpang &lt;"&amp;TEXT(#REF!,"0%"),IF(J941&gt;#REF!*H941,"Timpang &gt;"&amp;TEXT(#REF!,"0%"),"Wajar")))</f>
        <v>#REF!</v>
      </c>
      <c r="L941" s="2391">
        <v>18790.969999999998</v>
      </c>
      <c r="M941" s="2391">
        <f t="shared" si="277"/>
        <v>185091.05449999997</v>
      </c>
      <c r="N941" s="2375">
        <f t="shared" si="269"/>
        <v>8.0851722646485148E-5</v>
      </c>
      <c r="O941" s="2375">
        <v>0</v>
      </c>
      <c r="P941" s="2398" t="s">
        <v>100</v>
      </c>
      <c r="Q941" s="2375">
        <f t="shared" si="275"/>
        <v>0</v>
      </c>
      <c r="R941" s="2375">
        <f t="shared" si="270"/>
        <v>0</v>
      </c>
      <c r="S941" s="2375">
        <v>0</v>
      </c>
      <c r="T941" s="2398"/>
      <c r="U941" s="2375">
        <f t="shared" si="265"/>
        <v>0</v>
      </c>
      <c r="V941" s="2375"/>
      <c r="W941" s="2382">
        <f t="shared" si="266"/>
        <v>9.85</v>
      </c>
      <c r="X941" s="2398" t="s">
        <v>100</v>
      </c>
      <c r="Y941" s="2375">
        <f t="shared" si="267"/>
        <v>18790.969999999998</v>
      </c>
      <c r="Z941" s="2375"/>
      <c r="AA941" s="2377" t="s">
        <v>3355</v>
      </c>
    </row>
    <row r="942" spans="1:27" ht="25" hidden="1" customHeight="1">
      <c r="A942" s="2555"/>
      <c r="B942" s="2728" t="s">
        <v>602</v>
      </c>
      <c r="C942" s="2729"/>
      <c r="D942" s="2730"/>
      <c r="E942" s="2397">
        <f>'13. Vol Toilet G'!$O$266</f>
        <v>0.2</v>
      </c>
      <c r="F942" s="2398" t="s">
        <v>103</v>
      </c>
      <c r="G942" s="2731">
        <v>1584129.98</v>
      </c>
      <c r="H942" s="2389">
        <f t="shared" si="276"/>
        <v>316825.99600000004</v>
      </c>
      <c r="I942" s="2465">
        <f>'Resume Analisa'!$D$55</f>
        <v>1535009.1300000001</v>
      </c>
      <c r="J942" s="2782">
        <f>E942*I942</f>
        <v>307001.82600000006</v>
      </c>
      <c r="K942" s="2378" t="e">
        <f>IF(H942=0,"",IF(J942&lt;#REF!*H942,"Timpang &lt;"&amp;TEXT(#REF!,"0%"),IF(J942&gt;#REF!*H942,"Timpang &gt;"&amp;TEXT(#REF!,"0%"),"Wajar")))</f>
        <v>#REF!</v>
      </c>
      <c r="L942" s="2391">
        <v>1535009.1300000001</v>
      </c>
      <c r="M942" s="2391">
        <f t="shared" si="277"/>
        <v>307001.82600000006</v>
      </c>
      <c r="N942" s="2375">
        <f t="shared" si="269"/>
        <v>1.3410494934381877E-4</v>
      </c>
      <c r="O942" s="2375">
        <v>0</v>
      </c>
      <c r="P942" s="2398" t="s">
        <v>103</v>
      </c>
      <c r="Q942" s="2375">
        <f t="shared" si="275"/>
        <v>0</v>
      </c>
      <c r="R942" s="2375">
        <f t="shared" si="270"/>
        <v>0</v>
      </c>
      <c r="S942" s="2375">
        <v>0</v>
      </c>
      <c r="T942" s="2398"/>
      <c r="U942" s="2375">
        <f t="shared" si="265"/>
        <v>0</v>
      </c>
      <c r="V942" s="2375"/>
      <c r="W942" s="2382">
        <f t="shared" si="266"/>
        <v>0.2</v>
      </c>
      <c r="X942" s="2398" t="s">
        <v>103</v>
      </c>
      <c r="Y942" s="2375">
        <f t="shared" si="267"/>
        <v>1535009.1300000001</v>
      </c>
      <c r="Z942" s="2375"/>
      <c r="AA942" s="2377" t="s">
        <v>3355</v>
      </c>
    </row>
    <row r="943" spans="1:27" ht="25" hidden="1" customHeight="1">
      <c r="A943" s="2555"/>
      <c r="B943" s="2728" t="s">
        <v>607</v>
      </c>
      <c r="C943" s="2729"/>
      <c r="D943" s="2730"/>
      <c r="E943" s="2397">
        <f>'13. Vol Toilet G'!$O$267</f>
        <v>11.2</v>
      </c>
      <c r="F943" s="2398" t="s">
        <v>100</v>
      </c>
      <c r="G943" s="2736">
        <v>25591.18</v>
      </c>
      <c r="H943" s="2389">
        <f t="shared" si="276"/>
        <v>286621.21599999996</v>
      </c>
      <c r="I943" s="2474">
        <f>'Resume Analisa'!$D$47</f>
        <v>26179.679999999997</v>
      </c>
      <c r="J943" s="2782">
        <f>E943*I943</f>
        <v>293212.41599999997</v>
      </c>
      <c r="K943" s="2378" t="e">
        <f>IF(H943=0,"",IF(J943&lt;#REF!*H943,"Timpang &lt;"&amp;TEXT(#REF!,"0%"),IF(J943&gt;#REF!*H943,"Timpang &gt;"&amp;TEXT(#REF!,"0%"),"Wajar")))</f>
        <v>#REF!</v>
      </c>
      <c r="L943" s="2475">
        <v>26179.679999999997</v>
      </c>
      <c r="M943" s="2391">
        <f t="shared" si="277"/>
        <v>293212.41599999997</v>
      </c>
      <c r="N943" s="2375">
        <f t="shared" si="269"/>
        <v>1.2808144077507442E-4</v>
      </c>
      <c r="O943" s="2375">
        <v>0</v>
      </c>
      <c r="P943" s="2398" t="s">
        <v>100</v>
      </c>
      <c r="Q943" s="2375">
        <f t="shared" si="275"/>
        <v>0</v>
      </c>
      <c r="R943" s="2375">
        <f t="shared" si="270"/>
        <v>0</v>
      </c>
      <c r="S943" s="2375">
        <v>0</v>
      </c>
      <c r="T943" s="2398"/>
      <c r="U943" s="2375">
        <f t="shared" si="265"/>
        <v>0</v>
      </c>
      <c r="V943" s="2375"/>
      <c r="W943" s="2382">
        <f t="shared" si="266"/>
        <v>11.2</v>
      </c>
      <c r="X943" s="2398" t="s">
        <v>100</v>
      </c>
      <c r="Y943" s="2375">
        <f t="shared" si="267"/>
        <v>26179.679999999997</v>
      </c>
      <c r="Z943" s="2375"/>
      <c r="AA943" s="2377" t="s">
        <v>3355</v>
      </c>
    </row>
    <row r="944" spans="1:27" ht="25" hidden="1" customHeight="1">
      <c r="A944" s="2398">
        <f>A930+1</f>
        <v>10</v>
      </c>
      <c r="B944" s="2549" t="s">
        <v>715</v>
      </c>
      <c r="C944" s="2550"/>
      <c r="D944" s="2733"/>
      <c r="E944" s="2397">
        <f>'13. Vol Toilet G'!$O$268</f>
        <v>1</v>
      </c>
      <c r="F944" s="2398" t="s">
        <v>360</v>
      </c>
      <c r="G944" s="2731">
        <v>5408703</v>
      </c>
      <c r="H944" s="2389">
        <f t="shared" si="276"/>
        <v>5408703</v>
      </c>
      <c r="I944" s="2390">
        <f>'Resume Analisa'!$D$193</f>
        <v>5313531.47</v>
      </c>
      <c r="J944" s="2390">
        <f>E944*I944</f>
        <v>5313531.47</v>
      </c>
      <c r="K944" s="2378" t="e">
        <f>IF(H944=0,"",IF(J944&lt;#REF!*H944,"Timpang &lt;"&amp;TEXT(#REF!,"0%"),IF(J944&gt;#REF!*H944,"Timpang &gt;"&amp;TEXT(#REF!,"0%"),"Wajar")))</f>
        <v>#REF!</v>
      </c>
      <c r="L944" s="2391">
        <v>5313531.47</v>
      </c>
      <c r="M944" s="2391">
        <f t="shared" si="277"/>
        <v>5313531.47</v>
      </c>
      <c r="N944" s="2375">
        <f t="shared" si="269"/>
        <v>2.321063942535432E-3</v>
      </c>
      <c r="O944" s="2375">
        <v>0</v>
      </c>
      <c r="P944" s="2398" t="s">
        <v>360</v>
      </c>
      <c r="Q944" s="2375">
        <f t="shared" si="275"/>
        <v>0</v>
      </c>
      <c r="R944" s="2375">
        <f t="shared" si="270"/>
        <v>0</v>
      </c>
      <c r="S944" s="2386">
        <v>0</v>
      </c>
      <c r="T944" s="2398"/>
      <c r="U944" s="2375">
        <f t="shared" si="265"/>
        <v>0</v>
      </c>
      <c r="V944" s="2375"/>
      <c r="W944" s="2382">
        <f t="shared" si="266"/>
        <v>1</v>
      </c>
      <c r="X944" s="2398" t="s">
        <v>360</v>
      </c>
      <c r="Y944" s="2375">
        <f t="shared" si="267"/>
        <v>5313531.47</v>
      </c>
      <c r="Z944" s="2375"/>
      <c r="AA944" s="2377" t="s">
        <v>3355</v>
      </c>
    </row>
    <row r="945" spans="1:27" ht="25" hidden="1" customHeight="1">
      <c r="A945" s="2398">
        <f>A944+1</f>
        <v>11</v>
      </c>
      <c r="B945" s="2549" t="s">
        <v>716</v>
      </c>
      <c r="C945" s="2550"/>
      <c r="D945" s="2733"/>
      <c r="E945" s="2397"/>
      <c r="F945" s="2398"/>
      <c r="G945" s="2731"/>
      <c r="H945" s="2389"/>
      <c r="I945" s="2390"/>
      <c r="J945" s="2390"/>
      <c r="K945" s="2389"/>
      <c r="L945" s="2391"/>
      <c r="M945" s="2391"/>
      <c r="N945" s="2375">
        <f t="shared" si="269"/>
        <v>0</v>
      </c>
      <c r="O945" s="2375">
        <v>0</v>
      </c>
      <c r="P945" s="2398"/>
      <c r="Q945" s="2375">
        <f t="shared" si="275"/>
        <v>0</v>
      </c>
      <c r="R945" s="2375">
        <f t="shared" si="270"/>
        <v>0</v>
      </c>
      <c r="S945" s="2386">
        <v>0</v>
      </c>
      <c r="T945" s="2398"/>
      <c r="U945" s="2375">
        <f t="shared" si="265"/>
        <v>0</v>
      </c>
      <c r="V945" s="2375"/>
      <c r="W945" s="2382">
        <f t="shared" si="266"/>
        <v>0</v>
      </c>
      <c r="X945" s="2398"/>
      <c r="Y945" s="2375">
        <f t="shared" si="267"/>
        <v>0</v>
      </c>
      <c r="Z945" s="2375"/>
      <c r="AA945" s="2377" t="s">
        <v>3355</v>
      </c>
    </row>
    <row r="946" spans="1:27" ht="25" hidden="1" customHeight="1">
      <c r="A946" s="2555" t="s">
        <v>95</v>
      </c>
      <c r="B946" s="2549" t="s">
        <v>398</v>
      </c>
      <c r="C946" s="2550"/>
      <c r="D946" s="2733"/>
      <c r="E946" s="2397">
        <f>'13. Vol Toilet G'!$M$270</f>
        <v>3.24</v>
      </c>
      <c r="F946" s="2398" t="s">
        <v>103</v>
      </c>
      <c r="G946" s="2731">
        <v>50600</v>
      </c>
      <c r="H946" s="2389">
        <f t="shared" ref="H946:H955" si="278">E946*G946</f>
        <v>163944</v>
      </c>
      <c r="I946" s="2465">
        <f>'Resume Analisa'!$D$18</f>
        <v>49036.76</v>
      </c>
      <c r="J946" s="2390">
        <f>E946*I946</f>
        <v>158879.1024</v>
      </c>
      <c r="K946" s="2378" t="e">
        <f>IF(H946=0,"",IF(J946&lt;#REF!*H946,"Timpang &lt;"&amp;TEXT(#REF!,"0%"),IF(J946&gt;#REF!*H946,"Timpang &gt;"&amp;TEXT(#REF!,"0%"),"Wajar")))</f>
        <v>#REF!</v>
      </c>
      <c r="L946" s="2391">
        <v>49036.76</v>
      </c>
      <c r="M946" s="2391">
        <f t="shared" ref="M946:M955" si="279">E946*L946</f>
        <v>158879.1024</v>
      </c>
      <c r="N946" s="2375">
        <f t="shared" si="269"/>
        <v>6.9401782578138124E-5</v>
      </c>
      <c r="O946" s="2375">
        <v>0</v>
      </c>
      <c r="P946" s="2398" t="s">
        <v>103</v>
      </c>
      <c r="Q946" s="2375">
        <f t="shared" si="275"/>
        <v>0</v>
      </c>
      <c r="R946" s="2375">
        <f t="shared" si="270"/>
        <v>0</v>
      </c>
      <c r="S946" s="2375">
        <v>0</v>
      </c>
      <c r="T946" s="2398"/>
      <c r="U946" s="2375">
        <f t="shared" si="265"/>
        <v>0</v>
      </c>
      <c r="V946" s="2375"/>
      <c r="W946" s="2382">
        <f t="shared" si="266"/>
        <v>3.24</v>
      </c>
      <c r="X946" s="2398" t="s">
        <v>103</v>
      </c>
      <c r="Y946" s="2375">
        <f t="shared" si="267"/>
        <v>49036.76</v>
      </c>
      <c r="Z946" s="2375"/>
      <c r="AA946" s="2377" t="s">
        <v>3355</v>
      </c>
    </row>
    <row r="947" spans="1:27" ht="25" hidden="1" customHeight="1">
      <c r="A947" s="2555" t="s">
        <v>98</v>
      </c>
      <c r="B947" s="2549" t="s">
        <v>496</v>
      </c>
      <c r="C947" s="2550"/>
      <c r="D947" s="2733"/>
      <c r="E947" s="2397">
        <f>'13. Vol Toilet G'!$M$271</f>
        <v>0.12</v>
      </c>
      <c r="F947" s="2398" t="s">
        <v>103</v>
      </c>
      <c r="G947" s="2731">
        <v>1422226.08</v>
      </c>
      <c r="H947" s="2389">
        <f t="shared" si="278"/>
        <v>170667.12960000001</v>
      </c>
      <c r="I947" s="2480">
        <f>'Resume Analisa'!$D$54</f>
        <v>1384580.76</v>
      </c>
      <c r="J947" s="2480">
        <f>I947*E947</f>
        <v>166149.6912</v>
      </c>
      <c r="K947" s="2378" t="e">
        <f>IF(H947=0,"",IF(J947&lt;#REF!*H947,"Timpang &lt;"&amp;TEXT(#REF!,"0%"),IF(J947&gt;#REF!*H947,"Timpang &gt;"&amp;TEXT(#REF!,"0%"),"Wajar")))</f>
        <v>#REF!</v>
      </c>
      <c r="L947" s="2391">
        <v>1384580.76</v>
      </c>
      <c r="M947" s="2391">
        <f t="shared" si="279"/>
        <v>166149.6912</v>
      </c>
      <c r="N947" s="2375">
        <f t="shared" si="269"/>
        <v>7.2577730928112232E-5</v>
      </c>
      <c r="O947" s="2375">
        <v>0</v>
      </c>
      <c r="P947" s="2398" t="s">
        <v>103</v>
      </c>
      <c r="Q947" s="2375">
        <f t="shared" si="275"/>
        <v>0</v>
      </c>
      <c r="R947" s="2375">
        <f t="shared" si="270"/>
        <v>0</v>
      </c>
      <c r="S947" s="2375">
        <v>0</v>
      </c>
      <c r="T947" s="2398"/>
      <c r="U947" s="2375">
        <f t="shared" si="265"/>
        <v>0</v>
      </c>
      <c r="V947" s="2375"/>
      <c r="W947" s="2382">
        <f t="shared" si="266"/>
        <v>0.12</v>
      </c>
      <c r="X947" s="2398" t="s">
        <v>103</v>
      </c>
      <c r="Y947" s="2375">
        <f t="shared" si="267"/>
        <v>1384580.76</v>
      </c>
      <c r="Z947" s="2375"/>
      <c r="AA947" s="2377" t="s">
        <v>3355</v>
      </c>
    </row>
    <row r="948" spans="1:27" ht="42.5" hidden="1" customHeight="1">
      <c r="A948" s="2555" t="s">
        <v>101</v>
      </c>
      <c r="B948" s="3193" t="s">
        <v>717</v>
      </c>
      <c r="C948" s="3194"/>
      <c r="D948" s="3195"/>
      <c r="E948" s="2397">
        <f>'13. Vol Toilet G'!$M$272</f>
        <v>1</v>
      </c>
      <c r="F948" s="2398" t="s">
        <v>360</v>
      </c>
      <c r="G948" s="2731">
        <v>8169600</v>
      </c>
      <c r="H948" s="2389">
        <f t="shared" si="278"/>
        <v>8169600</v>
      </c>
      <c r="I948" s="2390">
        <f>'Resume Analisa'!$D$195</f>
        <v>8240042.7000000002</v>
      </c>
      <c r="J948" s="2390">
        <f t="shared" ref="J948:J955" si="280">E948*I948</f>
        <v>8240042.7000000002</v>
      </c>
      <c r="K948" s="2378" t="e">
        <f>IF(H948=0,"",IF(J948&lt;#REF!*H948,"Timpang &lt;"&amp;TEXT(#REF!,"0%"),IF(J948&gt;#REF!*H948,"Timpang &gt;"&amp;TEXT(#REF!,"0%"),"Wajar")))</f>
        <v>#REF!</v>
      </c>
      <c r="L948" s="2391">
        <v>8240042.7000000002</v>
      </c>
      <c r="M948" s="2391">
        <f t="shared" si="279"/>
        <v>8240042.7000000002</v>
      </c>
      <c r="N948" s="2375">
        <f t="shared" si="269"/>
        <v>3.5994265026762528E-3</v>
      </c>
      <c r="O948" s="2375">
        <v>0</v>
      </c>
      <c r="P948" s="2398" t="s">
        <v>360</v>
      </c>
      <c r="Q948" s="2375">
        <f t="shared" si="275"/>
        <v>0</v>
      </c>
      <c r="R948" s="2375">
        <f t="shared" si="270"/>
        <v>0</v>
      </c>
      <c r="S948" s="2375">
        <v>0</v>
      </c>
      <c r="T948" s="2398"/>
      <c r="U948" s="2375">
        <f t="shared" si="265"/>
        <v>0</v>
      </c>
      <c r="V948" s="2375"/>
      <c r="W948" s="2382">
        <f t="shared" si="266"/>
        <v>1</v>
      </c>
      <c r="X948" s="2398" t="s">
        <v>360</v>
      </c>
      <c r="Y948" s="2375">
        <f t="shared" si="267"/>
        <v>8240042.7000000002</v>
      </c>
      <c r="Z948" s="2375"/>
      <c r="AA948" s="2377" t="s">
        <v>3355</v>
      </c>
    </row>
    <row r="949" spans="1:27" ht="25" hidden="1" customHeight="1">
      <c r="A949" s="2398">
        <f>A945+1</f>
        <v>12</v>
      </c>
      <c r="B949" s="2549" t="s">
        <v>458</v>
      </c>
      <c r="C949" s="2550"/>
      <c r="D949" s="2551"/>
      <c r="E949" s="2397">
        <v>10</v>
      </c>
      <c r="F949" s="2398" t="s">
        <v>357</v>
      </c>
      <c r="G949" s="2731">
        <v>464132.64</v>
      </c>
      <c r="H949" s="2389">
        <f t="shared" si="278"/>
        <v>4641326.4000000004</v>
      </c>
      <c r="I949" s="2390">
        <f>'Resume Analisa'!$D$133</f>
        <v>479653.13</v>
      </c>
      <c r="J949" s="2390">
        <f t="shared" si="280"/>
        <v>4796531.3</v>
      </c>
      <c r="K949" s="2378" t="e">
        <f>IF(H949=0,"",IF(J949&lt;#REF!*H949,"Timpang &lt;"&amp;TEXT(#REF!,"0%"),IF(J949&gt;#REF!*H949,"Timpang &gt;"&amp;TEXT(#REF!,"0%"),"Wajar")))</f>
        <v>#REF!</v>
      </c>
      <c r="L949" s="2391">
        <v>479653.13</v>
      </c>
      <c r="M949" s="2391">
        <f t="shared" si="279"/>
        <v>4796531.3</v>
      </c>
      <c r="N949" s="2375">
        <f t="shared" si="269"/>
        <v>2.0952272349433554E-3</v>
      </c>
      <c r="O949" s="2375">
        <v>0</v>
      </c>
      <c r="P949" s="2398" t="s">
        <v>357</v>
      </c>
      <c r="Q949" s="2375">
        <f t="shared" si="275"/>
        <v>0</v>
      </c>
      <c r="R949" s="2375">
        <f t="shared" si="270"/>
        <v>0</v>
      </c>
      <c r="S949" s="2375">
        <v>0</v>
      </c>
      <c r="T949" s="2398"/>
      <c r="U949" s="2375">
        <f t="shared" si="265"/>
        <v>0</v>
      </c>
      <c r="V949" s="2375"/>
      <c r="W949" s="2382">
        <f t="shared" si="266"/>
        <v>10</v>
      </c>
      <c r="X949" s="2398" t="s">
        <v>357</v>
      </c>
      <c r="Y949" s="2375">
        <f t="shared" si="267"/>
        <v>479653.13</v>
      </c>
      <c r="Z949" s="2375"/>
      <c r="AA949" s="2377" t="s">
        <v>3355</v>
      </c>
    </row>
    <row r="950" spans="1:27" ht="25" hidden="1" customHeight="1">
      <c r="A950" s="2398">
        <f t="shared" ref="A950:A955" si="281">A949+1</f>
        <v>13</v>
      </c>
      <c r="B950" s="2549" t="s">
        <v>718</v>
      </c>
      <c r="C950" s="2550"/>
      <c r="D950" s="2551"/>
      <c r="E950" s="2397">
        <f>'13. Vol Toilet G'!$M$274</f>
        <v>1</v>
      </c>
      <c r="F950" s="2398" t="s">
        <v>357</v>
      </c>
      <c r="G950" s="2731">
        <v>675431.23</v>
      </c>
      <c r="H950" s="2389">
        <f t="shared" si="278"/>
        <v>675431.23</v>
      </c>
      <c r="I950" s="2390">
        <f>'Resume Analisa'!$D$140</f>
        <v>695238.63</v>
      </c>
      <c r="J950" s="2390">
        <f t="shared" si="280"/>
        <v>695238.63</v>
      </c>
      <c r="K950" s="2378" t="e">
        <f>IF(H950=0,"",IF(J950&lt;#REF!*H950,"Timpang &lt;"&amp;TEXT(#REF!,"0%"),IF(J950&gt;#REF!*H950,"Timpang &gt;"&amp;TEXT(#REF!,"0%"),"Wajar")))</f>
        <v>#REF!</v>
      </c>
      <c r="L950" s="2391">
        <v>695238.63</v>
      </c>
      <c r="M950" s="2391">
        <f t="shared" si="279"/>
        <v>695238.63</v>
      </c>
      <c r="N950" s="2375">
        <f t="shared" ref="N950:N959" si="282">M950/$M$8</f>
        <v>3.0369507071927303E-4</v>
      </c>
      <c r="O950" s="2375">
        <v>0</v>
      </c>
      <c r="P950" s="2398" t="s">
        <v>357</v>
      </c>
      <c r="Q950" s="2375">
        <f t="shared" si="275"/>
        <v>0</v>
      </c>
      <c r="R950" s="2375">
        <f t="shared" si="270"/>
        <v>0</v>
      </c>
      <c r="S950" s="2375">
        <v>0</v>
      </c>
      <c r="T950" s="2398"/>
      <c r="U950" s="2375">
        <f t="shared" si="265"/>
        <v>0</v>
      </c>
      <c r="V950" s="2375"/>
      <c r="W950" s="2382">
        <f t="shared" si="266"/>
        <v>1</v>
      </c>
      <c r="X950" s="2398" t="s">
        <v>357</v>
      </c>
      <c r="Y950" s="2375">
        <f t="shared" si="267"/>
        <v>695238.63</v>
      </c>
      <c r="Z950" s="2375"/>
      <c r="AA950" s="2377" t="s">
        <v>3355</v>
      </c>
    </row>
    <row r="951" spans="1:27" ht="25" hidden="1" customHeight="1">
      <c r="A951" s="2398">
        <f t="shared" si="281"/>
        <v>14</v>
      </c>
      <c r="B951" s="2595" t="s">
        <v>719</v>
      </c>
      <c r="C951" s="2550"/>
      <c r="D951" s="2551"/>
      <c r="E951" s="2397">
        <v>2</v>
      </c>
      <c r="F951" s="2398" t="s">
        <v>357</v>
      </c>
      <c r="G951" s="2731">
        <v>68649.25</v>
      </c>
      <c r="H951" s="2389">
        <f t="shared" si="278"/>
        <v>137298.5</v>
      </c>
      <c r="I951" s="2390">
        <f>'Resume Analisa'!$D$144</f>
        <v>67408.72</v>
      </c>
      <c r="J951" s="2390">
        <f t="shared" si="280"/>
        <v>134817.44</v>
      </c>
      <c r="K951" s="2378" t="e">
        <f>IF(H951=0,"",IF(J951&lt;#REF!*H951,"Timpang &lt;"&amp;TEXT(#REF!,"0%"),IF(J951&gt;#REF!*H951,"Timpang &gt;"&amp;TEXT(#REF!,"0%"),"Wajar")))</f>
        <v>#REF!</v>
      </c>
      <c r="L951" s="2391">
        <v>67408.72</v>
      </c>
      <c r="M951" s="2391">
        <f t="shared" si="279"/>
        <v>134817.44</v>
      </c>
      <c r="N951" s="2375">
        <f t="shared" si="282"/>
        <v>5.8891134940231023E-5</v>
      </c>
      <c r="O951" s="2375">
        <v>0</v>
      </c>
      <c r="P951" s="2398" t="s">
        <v>357</v>
      </c>
      <c r="Q951" s="2375">
        <f t="shared" si="275"/>
        <v>0</v>
      </c>
      <c r="R951" s="2375">
        <f t="shared" si="270"/>
        <v>0</v>
      </c>
      <c r="S951" s="2386">
        <v>0</v>
      </c>
      <c r="T951" s="2398"/>
      <c r="U951" s="2375">
        <f t="shared" si="265"/>
        <v>0</v>
      </c>
      <c r="V951" s="2375"/>
      <c r="W951" s="2382">
        <f t="shared" si="266"/>
        <v>2</v>
      </c>
      <c r="X951" s="2398" t="s">
        <v>357</v>
      </c>
      <c r="Y951" s="2375">
        <f t="shared" si="267"/>
        <v>67408.72</v>
      </c>
      <c r="Z951" s="2375"/>
      <c r="AA951" s="2377" t="s">
        <v>3355</v>
      </c>
    </row>
    <row r="952" spans="1:27" ht="25" hidden="1" customHeight="1">
      <c r="A952" s="2398">
        <f t="shared" si="281"/>
        <v>15</v>
      </c>
      <c r="B952" s="2595" t="s">
        <v>720</v>
      </c>
      <c r="C952" s="2550"/>
      <c r="D952" s="2551"/>
      <c r="E952" s="2397">
        <v>5</v>
      </c>
      <c r="F952" s="2398" t="s">
        <v>357</v>
      </c>
      <c r="G952" s="2731">
        <v>49705.880000000005</v>
      </c>
      <c r="H952" s="2389">
        <f t="shared" si="278"/>
        <v>248529.40000000002</v>
      </c>
      <c r="I952" s="2465">
        <f>'Resume Analisa'!$D$143</f>
        <v>47082.47</v>
      </c>
      <c r="J952" s="2390">
        <f t="shared" si="280"/>
        <v>235412.35</v>
      </c>
      <c r="K952" s="2378" t="e">
        <f>IF(H952=0,"",IF(J952&lt;#REF!*H952,"Timpang &lt;"&amp;TEXT(#REF!,"0%"),IF(J952&gt;#REF!*H952,"Timpang &gt;"&amp;TEXT(#REF!,"0%"),"Wajar")))</f>
        <v>#REF!</v>
      </c>
      <c r="L952" s="2391">
        <v>47082.47</v>
      </c>
      <c r="M952" s="2391">
        <f t="shared" si="279"/>
        <v>235412.35</v>
      </c>
      <c r="N952" s="2375">
        <f t="shared" si="282"/>
        <v>1.0283313843110279E-4</v>
      </c>
      <c r="O952" s="2375">
        <v>0</v>
      </c>
      <c r="P952" s="2398" t="s">
        <v>357</v>
      </c>
      <c r="Q952" s="2375">
        <f t="shared" si="275"/>
        <v>0</v>
      </c>
      <c r="R952" s="2375">
        <f t="shared" si="270"/>
        <v>0</v>
      </c>
      <c r="S952" s="2386">
        <v>0</v>
      </c>
      <c r="T952" s="2590"/>
      <c r="U952" s="2375">
        <f t="shared" si="265"/>
        <v>0</v>
      </c>
      <c r="V952" s="2375"/>
      <c r="W952" s="2382">
        <f t="shared" si="266"/>
        <v>5</v>
      </c>
      <c r="X952" s="2398" t="s">
        <v>357</v>
      </c>
      <c r="Y952" s="2375">
        <f t="shared" si="267"/>
        <v>47082.47</v>
      </c>
      <c r="Z952" s="2375"/>
      <c r="AA952" s="2377" t="s">
        <v>3355</v>
      </c>
    </row>
    <row r="953" spans="1:27" ht="25" hidden="1" customHeight="1">
      <c r="A953" s="2398">
        <f t="shared" si="281"/>
        <v>16</v>
      </c>
      <c r="B953" s="2595" t="s">
        <v>721</v>
      </c>
      <c r="C953" s="2550"/>
      <c r="D953" s="2551"/>
      <c r="E953" s="2397">
        <v>4</v>
      </c>
      <c r="F953" s="2398" t="s">
        <v>357</v>
      </c>
      <c r="G953" s="2731">
        <v>91426.5</v>
      </c>
      <c r="H953" s="2389">
        <f t="shared" si="278"/>
        <v>365706</v>
      </c>
      <c r="I953" s="2465">
        <f>'Resume Analisa'!$D$145</f>
        <v>89074.98</v>
      </c>
      <c r="J953" s="2390">
        <f t="shared" si="280"/>
        <v>356299.92</v>
      </c>
      <c r="K953" s="2378" t="e">
        <f>IF(H953=0,"",IF(J953&lt;#REF!*H953,"Timpang &lt;"&amp;TEXT(#REF!,"0%"),IF(J953&gt;#REF!*H953,"Timpang &gt;"&amp;TEXT(#REF!,"0%"),"Wajar")))</f>
        <v>#REF!</v>
      </c>
      <c r="L953" s="2391">
        <v>89074.98</v>
      </c>
      <c r="M953" s="2391">
        <f t="shared" si="279"/>
        <v>356299.92</v>
      </c>
      <c r="N953" s="2375">
        <f t="shared" si="282"/>
        <v>1.5563940887702301E-4</v>
      </c>
      <c r="O953" s="2375">
        <v>0</v>
      </c>
      <c r="P953" s="2398" t="s">
        <v>357</v>
      </c>
      <c r="Q953" s="2375">
        <f t="shared" si="275"/>
        <v>0</v>
      </c>
      <c r="R953" s="2375">
        <f t="shared" si="270"/>
        <v>0</v>
      </c>
      <c r="S953" s="2375">
        <v>0</v>
      </c>
      <c r="T953" s="2398"/>
      <c r="U953" s="2375">
        <f t="shared" si="265"/>
        <v>0</v>
      </c>
      <c r="V953" s="2375"/>
      <c r="W953" s="2382">
        <f t="shared" si="266"/>
        <v>4</v>
      </c>
      <c r="X953" s="2398" t="s">
        <v>357</v>
      </c>
      <c r="Y953" s="2375">
        <f t="shared" si="267"/>
        <v>89074.98</v>
      </c>
      <c r="Z953" s="2375"/>
      <c r="AA953" s="2377" t="s">
        <v>3355</v>
      </c>
    </row>
    <row r="954" spans="1:27" ht="25" hidden="1" customHeight="1">
      <c r="A954" s="2398">
        <f t="shared" si="281"/>
        <v>17</v>
      </c>
      <c r="B954" s="2595" t="s">
        <v>547</v>
      </c>
      <c r="C954" s="2550"/>
      <c r="D954" s="2733"/>
      <c r="E954" s="2397">
        <v>10</v>
      </c>
      <c r="F954" s="2398" t="s">
        <v>124</v>
      </c>
      <c r="G954" s="2731">
        <v>146579</v>
      </c>
      <c r="H954" s="2389">
        <f t="shared" si="278"/>
        <v>1465790</v>
      </c>
      <c r="I954" s="2465">
        <f>'Resume Analisa'!$D$148</f>
        <v>142838.90000000002</v>
      </c>
      <c r="J954" s="2390">
        <f t="shared" si="280"/>
        <v>1428389.0000000002</v>
      </c>
      <c r="K954" s="2378" t="e">
        <f>IF(H954=0,"",IF(J954&lt;#REF!*H954,"Timpang &lt;"&amp;TEXT(#REF!,"0%"),IF(J954&gt;#REF!*H954,"Timpang &gt;"&amp;TEXT(#REF!,"0%"),"Wajar")))</f>
        <v>#REF!</v>
      </c>
      <c r="L954" s="2391">
        <v>142838.90000000002</v>
      </c>
      <c r="M954" s="2391">
        <f t="shared" si="279"/>
        <v>1428389.0000000002</v>
      </c>
      <c r="N954" s="2375">
        <f t="shared" si="282"/>
        <v>6.2395079854758891E-4</v>
      </c>
      <c r="O954" s="2375">
        <v>0</v>
      </c>
      <c r="P954" s="2398" t="s">
        <v>124</v>
      </c>
      <c r="Q954" s="2375">
        <f t="shared" si="275"/>
        <v>0</v>
      </c>
      <c r="R954" s="2375">
        <f t="shared" si="270"/>
        <v>0</v>
      </c>
      <c r="S954" s="2375">
        <v>0</v>
      </c>
      <c r="T954" s="2590"/>
      <c r="U954" s="2375">
        <f t="shared" si="265"/>
        <v>0</v>
      </c>
      <c r="V954" s="2375"/>
      <c r="W954" s="2382">
        <f t="shared" si="266"/>
        <v>10</v>
      </c>
      <c r="X954" s="2398" t="s">
        <v>124</v>
      </c>
      <c r="Y954" s="2375">
        <f t="shared" si="267"/>
        <v>142838.90000000002</v>
      </c>
      <c r="Z954" s="2375"/>
      <c r="AA954" s="2377" t="s">
        <v>3355</v>
      </c>
    </row>
    <row r="955" spans="1:27" ht="25" hidden="1" customHeight="1">
      <c r="A955" s="2398">
        <f t="shared" si="281"/>
        <v>18</v>
      </c>
      <c r="B955" s="2595" t="s">
        <v>463</v>
      </c>
      <c r="C955" s="2550"/>
      <c r="D955" s="2551"/>
      <c r="E955" s="2541">
        <v>1</v>
      </c>
      <c r="F955" s="2398" t="s">
        <v>124</v>
      </c>
      <c r="G955" s="2731">
        <v>709090</v>
      </c>
      <c r="H955" s="2389">
        <f t="shared" si="278"/>
        <v>709090</v>
      </c>
      <c r="I955" s="2465">
        <f>'Resume Analisa'!$D$156</f>
        <v>707936.42</v>
      </c>
      <c r="J955" s="2552">
        <f t="shared" si="280"/>
        <v>707936.42</v>
      </c>
      <c r="K955" s="2378" t="e">
        <f>IF(H955=0,"",IF(J955&lt;#REF!*H955,"Timpang &lt;"&amp;TEXT(#REF!,"0%"),IF(J955&gt;#REF!*H955,"Timpang &gt;"&amp;TEXT(#REF!,"0%"),"Wajar")))</f>
        <v>#REF!</v>
      </c>
      <c r="L955" s="2391">
        <v>707936.42</v>
      </c>
      <c r="M955" s="2391">
        <f t="shared" si="279"/>
        <v>707936.42</v>
      </c>
      <c r="N955" s="2375">
        <f t="shared" si="282"/>
        <v>3.0924173637568008E-4</v>
      </c>
      <c r="O955" s="2375">
        <v>0</v>
      </c>
      <c r="P955" s="2398" t="s">
        <v>124</v>
      </c>
      <c r="Q955" s="2375">
        <f t="shared" si="275"/>
        <v>0</v>
      </c>
      <c r="R955" s="2375">
        <f t="shared" si="270"/>
        <v>0</v>
      </c>
      <c r="S955" s="2375">
        <v>0</v>
      </c>
      <c r="T955" s="2590"/>
      <c r="U955" s="2375">
        <f t="shared" si="265"/>
        <v>0</v>
      </c>
      <c r="V955" s="2375"/>
      <c r="W955" s="2382">
        <f t="shared" si="266"/>
        <v>1</v>
      </c>
      <c r="X955" s="2398" t="s">
        <v>124</v>
      </c>
      <c r="Y955" s="2375">
        <f t="shared" si="267"/>
        <v>707936.42</v>
      </c>
      <c r="Z955" s="2375"/>
      <c r="AA955" s="2377" t="s">
        <v>3355</v>
      </c>
    </row>
    <row r="956" spans="1:27" ht="25" hidden="1" customHeight="1">
      <c r="A956" s="2398"/>
      <c r="B956" s="2595" t="s">
        <v>464</v>
      </c>
      <c r="C956" s="2550"/>
      <c r="D956" s="2733"/>
      <c r="E956" s="2397"/>
      <c r="F956" s="2398"/>
      <c r="G956" s="2731"/>
      <c r="H956" s="2389"/>
      <c r="I956" s="2465"/>
      <c r="J956" s="2390"/>
      <c r="K956" s="2389"/>
      <c r="L956" s="2391"/>
      <c r="M956" s="2391"/>
      <c r="N956" s="2375">
        <f t="shared" si="282"/>
        <v>0</v>
      </c>
      <c r="O956" s="2375">
        <v>0</v>
      </c>
      <c r="P956" s="2398"/>
      <c r="Q956" s="2375">
        <f t="shared" si="275"/>
        <v>0</v>
      </c>
      <c r="R956" s="2375">
        <f t="shared" si="270"/>
        <v>0</v>
      </c>
      <c r="S956" s="2375">
        <v>0</v>
      </c>
      <c r="T956" s="2398"/>
      <c r="U956" s="2375">
        <f t="shared" si="265"/>
        <v>0</v>
      </c>
      <c r="V956" s="2375"/>
      <c r="W956" s="2382">
        <f t="shared" si="266"/>
        <v>0</v>
      </c>
      <c r="X956" s="2398"/>
      <c r="Y956" s="2375">
        <f t="shared" si="267"/>
        <v>0</v>
      </c>
      <c r="Z956" s="2375"/>
      <c r="AA956" s="2377" t="s">
        <v>3355</v>
      </c>
    </row>
    <row r="957" spans="1:27" ht="25" hidden="1" customHeight="1">
      <c r="A957" s="2398"/>
      <c r="B957" s="2595" t="s">
        <v>465</v>
      </c>
      <c r="C957" s="2550"/>
      <c r="D957" s="2733"/>
      <c r="E957" s="2397"/>
      <c r="F957" s="2398"/>
      <c r="G957" s="2731"/>
      <c r="H957" s="2389"/>
      <c r="I957" s="2465"/>
      <c r="J957" s="2390"/>
      <c r="K957" s="2389"/>
      <c r="L957" s="2391"/>
      <c r="M957" s="2391"/>
      <c r="N957" s="2375">
        <f t="shared" si="282"/>
        <v>0</v>
      </c>
      <c r="O957" s="2375">
        <v>0</v>
      </c>
      <c r="P957" s="2398"/>
      <c r="Q957" s="2375">
        <f t="shared" si="275"/>
        <v>0</v>
      </c>
      <c r="R957" s="2375">
        <f t="shared" si="270"/>
        <v>0</v>
      </c>
      <c r="S957" s="2375">
        <v>0</v>
      </c>
      <c r="T957" s="2398"/>
      <c r="U957" s="2375">
        <f t="shared" si="265"/>
        <v>0</v>
      </c>
      <c r="V957" s="2375"/>
      <c r="W957" s="2382">
        <f t="shared" si="266"/>
        <v>0</v>
      </c>
      <c r="X957" s="2398"/>
      <c r="Y957" s="2375">
        <f t="shared" si="267"/>
        <v>0</v>
      </c>
      <c r="Z957" s="2375"/>
      <c r="AA957" s="2377" t="s">
        <v>3355</v>
      </c>
    </row>
    <row r="958" spans="1:27" ht="25" hidden="1" customHeight="1">
      <c r="A958" s="2398"/>
      <c r="B958" s="2595" t="s">
        <v>466</v>
      </c>
      <c r="C958" s="2550"/>
      <c r="D958" s="2733"/>
      <c r="E958" s="2397"/>
      <c r="F958" s="2398"/>
      <c r="G958" s="2731"/>
      <c r="H958" s="2389"/>
      <c r="I958" s="2465"/>
      <c r="J958" s="2390"/>
      <c r="K958" s="2389"/>
      <c r="L958" s="2391"/>
      <c r="M958" s="2391"/>
      <c r="N958" s="2375">
        <f t="shared" si="282"/>
        <v>0</v>
      </c>
      <c r="O958" s="2375">
        <v>0</v>
      </c>
      <c r="P958" s="2398"/>
      <c r="Q958" s="2375">
        <f t="shared" si="275"/>
        <v>0</v>
      </c>
      <c r="R958" s="2375">
        <f t="shared" si="270"/>
        <v>0</v>
      </c>
      <c r="S958" s="2386">
        <v>0</v>
      </c>
      <c r="T958" s="2398"/>
      <c r="U958" s="2375">
        <f t="shared" si="265"/>
        <v>0</v>
      </c>
      <c r="V958" s="2375"/>
      <c r="W958" s="2382">
        <f t="shared" si="266"/>
        <v>0</v>
      </c>
      <c r="X958" s="2398"/>
      <c r="Y958" s="2375">
        <f t="shared" si="267"/>
        <v>0</v>
      </c>
      <c r="Z958" s="2375"/>
      <c r="AA958" s="2377" t="s">
        <v>3355</v>
      </c>
    </row>
    <row r="959" spans="1:27" ht="25" hidden="1" customHeight="1">
      <c r="A959" s="2398"/>
      <c r="B959" s="2549"/>
      <c r="C959" s="2550"/>
      <c r="D959" s="2733" t="s">
        <v>376</v>
      </c>
      <c r="E959" s="2397"/>
      <c r="F959" s="2537"/>
      <c r="G959" s="2786"/>
      <c r="H959" s="2546">
        <f>SUM(H922:H958)</f>
        <v>43507435.982399993</v>
      </c>
      <c r="I959" s="2785"/>
      <c r="J959" s="2709">
        <f>SUM(J922:J958)</f>
        <v>43464625.932600006</v>
      </c>
      <c r="K959" s="2546"/>
      <c r="L959" s="2457"/>
      <c r="M959" s="2457">
        <f>SUM(M922:M958)</f>
        <v>43464625.932600006</v>
      </c>
      <c r="N959" s="2375">
        <f t="shared" si="282"/>
        <v>1.8986276188921933E-2</v>
      </c>
      <c r="O959" s="2375">
        <v>0</v>
      </c>
      <c r="P959" s="2537"/>
      <c r="Q959" s="2375">
        <f t="shared" si="275"/>
        <v>0</v>
      </c>
      <c r="R959" s="2375">
        <f t="shared" si="270"/>
        <v>0</v>
      </c>
      <c r="S959" s="2386">
        <v>0</v>
      </c>
      <c r="T959" s="2398"/>
      <c r="U959" s="2375">
        <f t="shared" si="265"/>
        <v>0</v>
      </c>
      <c r="V959" s="2375"/>
      <c r="W959" s="2382">
        <f t="shared" si="266"/>
        <v>0</v>
      </c>
      <c r="X959" s="2537"/>
      <c r="Y959" s="2375">
        <f t="shared" si="267"/>
        <v>0</v>
      </c>
      <c r="Z959" s="2375"/>
      <c r="AA959" s="2377" t="s">
        <v>3355</v>
      </c>
    </row>
    <row r="960" spans="1:27" ht="25" customHeight="1">
      <c r="A960" s="2697" t="s">
        <v>512</v>
      </c>
      <c r="B960" s="2795" t="s">
        <v>722</v>
      </c>
      <c r="C960" s="2674"/>
      <c r="D960" s="2675"/>
      <c r="E960" s="2796"/>
      <c r="F960" s="2796"/>
      <c r="G960" s="2372"/>
      <c r="H960" s="2372"/>
      <c r="I960" s="2796"/>
      <c r="J960" s="2796"/>
      <c r="K960" s="2372"/>
      <c r="L960" s="2391"/>
      <c r="M960" s="2391"/>
      <c r="N960" s="2375"/>
      <c r="O960" s="2375"/>
      <c r="P960" s="2796"/>
      <c r="Q960" s="2375"/>
      <c r="R960" s="2375">
        <f t="shared" si="270"/>
        <v>0</v>
      </c>
      <c r="S960" s="2375"/>
      <c r="T960" s="2398"/>
      <c r="U960" s="2375"/>
      <c r="V960" s="2375"/>
      <c r="W960" s="2382">
        <f t="shared" si="266"/>
        <v>0</v>
      </c>
      <c r="X960" s="2796"/>
      <c r="Y960" s="2375">
        <f t="shared" si="267"/>
        <v>0</v>
      </c>
      <c r="Z960" s="2375"/>
      <c r="AA960" s="2377"/>
    </row>
    <row r="961" spans="1:27" ht="25" customHeight="1">
      <c r="A961" s="3121" t="s">
        <v>723</v>
      </c>
      <c r="B961" s="3122" t="s">
        <v>395</v>
      </c>
      <c r="C961" s="3120"/>
      <c r="D961" s="2675"/>
      <c r="E961" s="2676"/>
      <c r="F961" s="2590"/>
      <c r="G961" s="2389"/>
      <c r="H961" s="2372"/>
      <c r="I961" s="2700"/>
      <c r="J961" s="2796"/>
      <c r="K961" s="2372"/>
      <c r="L961" s="2391"/>
      <c r="M961" s="2391"/>
      <c r="N961" s="2375">
        <f t="shared" ref="N961:N992" si="283">M961/$M$8</f>
        <v>0</v>
      </c>
      <c r="O961" s="2375"/>
      <c r="P961" s="2590"/>
      <c r="Q961" s="2375"/>
      <c r="R961" s="2375">
        <f t="shared" si="270"/>
        <v>0</v>
      </c>
      <c r="S961" s="2375"/>
      <c r="T961" s="2398"/>
      <c r="U961" s="2375"/>
      <c r="V961" s="2375"/>
      <c r="W961" s="2382">
        <f t="shared" si="266"/>
        <v>0</v>
      </c>
      <c r="X961" s="2590"/>
      <c r="Y961" s="2375">
        <f t="shared" si="267"/>
        <v>0</v>
      </c>
      <c r="Z961" s="2375"/>
      <c r="AA961" s="2377" t="s">
        <v>3355</v>
      </c>
    </row>
    <row r="962" spans="1:27" ht="25" customHeight="1">
      <c r="A962" s="2590">
        <v>1</v>
      </c>
      <c r="B962" s="2673" t="s">
        <v>396</v>
      </c>
      <c r="C962" s="2674"/>
      <c r="D962" s="2675"/>
      <c r="E962" s="2676">
        <f>'8. Vol Tangki'!$O$14</f>
        <v>20</v>
      </c>
      <c r="F962" s="2590" t="s">
        <v>117</v>
      </c>
      <c r="G962" s="2389">
        <v>167131.79999999999</v>
      </c>
      <c r="H962" s="2389">
        <f>E962*G962</f>
        <v>3342636</v>
      </c>
      <c r="I962" s="2480">
        <f>'Resume Analisa'!$D$9</f>
        <v>174862.27000000002</v>
      </c>
      <c r="J962" s="2779">
        <f>I962*E962</f>
        <v>3497245.4000000004</v>
      </c>
      <c r="K962" s="2378" t="e">
        <f>IF(H962=0,"",IF(J962&lt;#REF!*H962,"Timpang &lt;"&amp;TEXT(#REF!,"0%"),IF(J962&gt;#REF!*H962,"Timpang &gt;"&amp;TEXT(#REF!,"0%"),"Wajar")))</f>
        <v>#REF!</v>
      </c>
      <c r="L962" s="2391">
        <v>174862.27000000002</v>
      </c>
      <c r="M962" s="2391">
        <f>E962*L962</f>
        <v>3497245.4000000004</v>
      </c>
      <c r="N962" s="2375">
        <f t="shared" si="283"/>
        <v>1.5276714256738759E-3</v>
      </c>
      <c r="O962" s="2375"/>
      <c r="P962" s="2590"/>
      <c r="Q962" s="2375"/>
      <c r="R962" s="2375">
        <f t="shared" si="270"/>
        <v>0</v>
      </c>
      <c r="S962" s="2375"/>
      <c r="T962" s="2398"/>
      <c r="U962" s="2375"/>
      <c r="V962" s="2375"/>
      <c r="W962" s="2382">
        <f t="shared" si="266"/>
        <v>20</v>
      </c>
      <c r="X962" s="2590" t="s">
        <v>117</v>
      </c>
      <c r="Y962" s="2375">
        <f t="shared" si="267"/>
        <v>174862.27000000002</v>
      </c>
      <c r="Z962" s="2375"/>
      <c r="AA962" s="2377" t="s">
        <v>3355</v>
      </c>
    </row>
    <row r="963" spans="1:27" ht="25" customHeight="1">
      <c r="A963" s="2590">
        <f>A962+1</f>
        <v>2</v>
      </c>
      <c r="B963" s="2673" t="s">
        <v>724</v>
      </c>
      <c r="C963" s="2674"/>
      <c r="D963" s="2675"/>
      <c r="E963" s="2676"/>
      <c r="F963" s="2590"/>
      <c r="G963" s="2389"/>
      <c r="H963" s="2372"/>
      <c r="I963" s="2465"/>
      <c r="J963" s="2796"/>
      <c r="K963" s="2372"/>
      <c r="L963" s="2391"/>
      <c r="M963" s="2391"/>
      <c r="N963" s="2375">
        <f t="shared" si="283"/>
        <v>0</v>
      </c>
      <c r="O963" s="2375"/>
      <c r="P963" s="2590"/>
      <c r="Q963" s="2375"/>
      <c r="R963" s="2375">
        <f t="shared" si="270"/>
        <v>0</v>
      </c>
      <c r="S963" s="2375"/>
      <c r="T963" s="2537"/>
      <c r="U963" s="2375"/>
      <c r="V963" s="2375"/>
      <c r="W963" s="2382">
        <f t="shared" si="266"/>
        <v>0</v>
      </c>
      <c r="X963" s="2590"/>
      <c r="Y963" s="2375">
        <f t="shared" si="267"/>
        <v>0</v>
      </c>
      <c r="Z963" s="2375"/>
      <c r="AA963" s="2377" t="s">
        <v>3355</v>
      </c>
    </row>
    <row r="964" spans="1:27" ht="25" customHeight="1">
      <c r="A964" s="2797" t="s">
        <v>95</v>
      </c>
      <c r="B964" s="2595" t="s">
        <v>694</v>
      </c>
      <c r="C964" s="2674"/>
      <c r="D964" s="2675"/>
      <c r="E964" s="2676">
        <f>'8. Vol Tangki'!$O$16</f>
        <v>1.01</v>
      </c>
      <c r="F964" s="2627" t="s">
        <v>103</v>
      </c>
      <c r="G964" s="2389">
        <v>50600</v>
      </c>
      <c r="H964" s="2389">
        <f t="shared" ref="H964:H972" si="284">E964*G964</f>
        <v>51106</v>
      </c>
      <c r="I964" s="2465">
        <f>'Resume Analisa'!$D$18</f>
        <v>49036.76</v>
      </c>
      <c r="J964" s="2779">
        <f t="shared" ref="J964:J972" si="285">I964*E964</f>
        <v>49527.1276</v>
      </c>
      <c r="K964" s="2378" t="e">
        <f>IF(H964=0,"",IF(J964&lt;#REF!*H964,"Timpang &lt;"&amp;TEXT(#REF!,"0%"),IF(J964&gt;#REF!*H964,"Timpang &gt;"&amp;TEXT(#REF!,"0%"),"Wajar")))</f>
        <v>#REF!</v>
      </c>
      <c r="L964" s="2391">
        <v>49036.76</v>
      </c>
      <c r="M964" s="2391">
        <f t="shared" ref="M964:M972" si="286">E964*L964</f>
        <v>49527.1276</v>
      </c>
      <c r="N964" s="2375">
        <f t="shared" si="283"/>
        <v>2.1634506297506022E-5</v>
      </c>
      <c r="O964" s="2375"/>
      <c r="P964" s="2627"/>
      <c r="Q964" s="2375"/>
      <c r="R964" s="2375">
        <f t="shared" si="270"/>
        <v>0</v>
      </c>
      <c r="S964" s="2375"/>
      <c r="T964" s="2537"/>
      <c r="U964" s="2375"/>
      <c r="V964" s="2375"/>
      <c r="W964" s="2382">
        <f t="shared" si="266"/>
        <v>1.01</v>
      </c>
      <c r="X964" s="2627" t="s">
        <v>103</v>
      </c>
      <c r="Y964" s="2375">
        <f t="shared" si="267"/>
        <v>49036.76</v>
      </c>
      <c r="Z964" s="2375"/>
      <c r="AA964" s="2377" t="s">
        <v>3355</v>
      </c>
    </row>
    <row r="965" spans="1:27" ht="25" customHeight="1">
      <c r="A965" s="2797" t="s">
        <v>98</v>
      </c>
      <c r="B965" s="2556" t="s">
        <v>405</v>
      </c>
      <c r="C965" s="2674"/>
      <c r="D965" s="2675"/>
      <c r="E965" s="2676">
        <f>'8. Vol Tangki'!$O$17</f>
        <v>144</v>
      </c>
      <c r="F965" s="2560" t="s">
        <v>117</v>
      </c>
      <c r="G965" s="2389">
        <v>34019.880000000005</v>
      </c>
      <c r="H965" s="2389">
        <f t="shared" si="284"/>
        <v>4898862.7200000007</v>
      </c>
      <c r="I965" s="2465">
        <f>'Resume Analisa'!$D$37</f>
        <v>33453.230000000003</v>
      </c>
      <c r="J965" s="2779">
        <f t="shared" si="285"/>
        <v>4817265.12</v>
      </c>
      <c r="K965" s="2378" t="e">
        <f>IF(H965=0,"",IF(J965&lt;#REF!*H965,"Timpang &lt;"&amp;TEXT(#REF!,"0%"),IF(J965&gt;#REF!*H965,"Timpang &gt;"&amp;TEXT(#REF!,"0%"),"Wajar")))</f>
        <v>#REF!</v>
      </c>
      <c r="L965" s="2391">
        <v>33453.230000000003</v>
      </c>
      <c r="M965" s="2391">
        <f t="shared" si="286"/>
        <v>4817265.12</v>
      </c>
      <c r="N965" s="2375">
        <f t="shared" si="283"/>
        <v>2.1042842100012296E-3</v>
      </c>
      <c r="O965" s="2375"/>
      <c r="P965" s="2560"/>
      <c r="Q965" s="2375"/>
      <c r="R965" s="2375">
        <f t="shared" si="270"/>
        <v>0</v>
      </c>
      <c r="S965" s="2386"/>
      <c r="T965" s="2398"/>
      <c r="U965" s="2375"/>
      <c r="V965" s="2375"/>
      <c r="W965" s="2382">
        <f t="shared" si="266"/>
        <v>144</v>
      </c>
      <c r="X965" s="2560" t="s">
        <v>117</v>
      </c>
      <c r="Y965" s="2375">
        <f t="shared" si="267"/>
        <v>33453.230000000003</v>
      </c>
      <c r="Z965" s="2375"/>
      <c r="AA965" s="2377" t="s">
        <v>3355</v>
      </c>
    </row>
    <row r="966" spans="1:27" ht="25" customHeight="1">
      <c r="A966" s="2797" t="s">
        <v>101</v>
      </c>
      <c r="B966" s="2595" t="s">
        <v>725</v>
      </c>
      <c r="C966" s="2674"/>
      <c r="D966" s="2675"/>
      <c r="E966" s="2676">
        <f>'8. Vol Tangki'!$O$18</f>
        <v>7.0000000000000007E-2</v>
      </c>
      <c r="F966" s="2627" t="s">
        <v>103</v>
      </c>
      <c r="G966" s="2389">
        <v>507759.96</v>
      </c>
      <c r="H966" s="2389">
        <f t="shared" si="284"/>
        <v>35543.197200000002</v>
      </c>
      <c r="I966" s="2465">
        <f>'Resume Analisa'!$D$26</f>
        <v>475358.64</v>
      </c>
      <c r="J966" s="2779">
        <f t="shared" si="285"/>
        <v>33275.104800000001</v>
      </c>
      <c r="K966" s="2378" t="e">
        <f>IF(H966=0,"",IF(J966&lt;#REF!*H966,"Timpang &lt;"&amp;TEXT(#REF!,"0%"),IF(J966&gt;#REF!*H966,"Timpang &gt;"&amp;TEXT(#REF!,"0%"),"Wajar")))</f>
        <v>#REF!</v>
      </c>
      <c r="L966" s="2391">
        <v>475358.64</v>
      </c>
      <c r="M966" s="2391">
        <f t="shared" si="286"/>
        <v>33275.104800000001</v>
      </c>
      <c r="N966" s="2375">
        <f t="shared" si="283"/>
        <v>1.45352759029331E-5</v>
      </c>
      <c r="O966" s="2375"/>
      <c r="P966" s="2627"/>
      <c r="Q966" s="2375"/>
      <c r="R966" s="2375">
        <f t="shared" si="270"/>
        <v>0</v>
      </c>
      <c r="S966" s="2386"/>
      <c r="T966" s="2398"/>
      <c r="U966" s="2375"/>
      <c r="V966" s="2375"/>
      <c r="W966" s="2382">
        <f t="shared" si="266"/>
        <v>7.0000000000000007E-2</v>
      </c>
      <c r="X966" s="2627" t="s">
        <v>103</v>
      </c>
      <c r="Y966" s="2375">
        <f t="shared" si="267"/>
        <v>475358.64</v>
      </c>
      <c r="Z966" s="2375"/>
      <c r="AA966" s="2377" t="s">
        <v>3355</v>
      </c>
    </row>
    <row r="967" spans="1:27" ht="25" customHeight="1">
      <c r="A967" s="2797" t="s">
        <v>121</v>
      </c>
      <c r="B967" s="2595" t="s">
        <v>496</v>
      </c>
      <c r="C967" s="2674"/>
      <c r="D967" s="2675"/>
      <c r="E967" s="2676">
        <f>'8. Vol Tangki'!$O$19</f>
        <v>7.0000000000000007E-2</v>
      </c>
      <c r="F967" s="2627" t="s">
        <v>103</v>
      </c>
      <c r="G967" s="2389">
        <v>1422226.08</v>
      </c>
      <c r="H967" s="2389">
        <f t="shared" si="284"/>
        <v>99555.825600000011</v>
      </c>
      <c r="I967" s="2465">
        <f>'Resume Analisa'!$D$54</f>
        <v>1384580.76</v>
      </c>
      <c r="J967" s="2779">
        <f t="shared" si="285"/>
        <v>96920.653200000015</v>
      </c>
      <c r="K967" s="2378" t="e">
        <f>IF(H967=0,"",IF(J967&lt;#REF!*H967,"Timpang &lt;"&amp;TEXT(#REF!,"0%"),IF(J967&gt;#REF!*H967,"Timpang &gt;"&amp;TEXT(#REF!,"0%"),"Wajar")))</f>
        <v>#REF!</v>
      </c>
      <c r="L967" s="2391">
        <v>1384580.76</v>
      </c>
      <c r="M967" s="2391">
        <f t="shared" si="286"/>
        <v>96920.653200000015</v>
      </c>
      <c r="N967" s="2375">
        <f t="shared" si="283"/>
        <v>4.2337009708065472E-5</v>
      </c>
      <c r="O967" s="2375"/>
      <c r="P967" s="2627"/>
      <c r="Q967" s="2375"/>
      <c r="R967" s="2375">
        <f t="shared" si="270"/>
        <v>0</v>
      </c>
      <c r="S967" s="2375"/>
      <c r="T967" s="2398"/>
      <c r="U967" s="2375"/>
      <c r="V967" s="2375"/>
      <c r="W967" s="2382">
        <f t="shared" si="266"/>
        <v>7.0000000000000007E-2</v>
      </c>
      <c r="X967" s="2627" t="s">
        <v>103</v>
      </c>
      <c r="Y967" s="2375">
        <f t="shared" si="267"/>
        <v>1384580.76</v>
      </c>
      <c r="Z967" s="2375"/>
      <c r="AA967" s="2377" t="s">
        <v>3355</v>
      </c>
    </row>
    <row r="968" spans="1:27" ht="25" customHeight="1">
      <c r="A968" s="2797" t="s">
        <v>142</v>
      </c>
      <c r="B968" s="2595" t="s">
        <v>401</v>
      </c>
      <c r="C968" s="2674"/>
      <c r="D968" s="2675"/>
      <c r="E968" s="2676">
        <f>'8. Vol Tangki'!$O$20</f>
        <v>11.52</v>
      </c>
      <c r="F968" s="2627" t="s">
        <v>89</v>
      </c>
      <c r="G968" s="2389">
        <v>188325.18000000002</v>
      </c>
      <c r="H968" s="2389">
        <f t="shared" si="284"/>
        <v>2169506.0736000002</v>
      </c>
      <c r="I968" s="2465">
        <f>'Resume Analisa'!$D$68</f>
        <v>181829.52000000002</v>
      </c>
      <c r="J968" s="2779">
        <f t="shared" si="285"/>
        <v>2094676.0704000001</v>
      </c>
      <c r="K968" s="2378" t="e">
        <f>IF(H968=0,"",IF(J968&lt;#REF!*H968,"Timpang &lt;"&amp;TEXT(#REF!,"0%"),IF(J968&gt;#REF!*H968,"Timpang &gt;"&amp;TEXT(#REF!,"0%"),"Wajar")))</f>
        <v>#REF!</v>
      </c>
      <c r="L968" s="2391">
        <v>181829.52000000002</v>
      </c>
      <c r="M968" s="2391">
        <f t="shared" si="286"/>
        <v>2094676.0704000001</v>
      </c>
      <c r="N968" s="2375">
        <f t="shared" si="283"/>
        <v>9.149992101763634E-4</v>
      </c>
      <c r="O968" s="2375"/>
      <c r="P968" s="2627"/>
      <c r="Q968" s="2375"/>
      <c r="R968" s="2375">
        <f t="shared" si="270"/>
        <v>0</v>
      </c>
      <c r="S968" s="2375"/>
      <c r="T968" s="2398"/>
      <c r="U968" s="2375"/>
      <c r="V968" s="2375"/>
      <c r="W968" s="2382">
        <f t="shared" si="266"/>
        <v>11.52</v>
      </c>
      <c r="X968" s="2627" t="s">
        <v>89</v>
      </c>
      <c r="Y968" s="2375">
        <f t="shared" si="267"/>
        <v>181829.52000000002</v>
      </c>
      <c r="Z968" s="2375"/>
      <c r="AA968" s="2377" t="s">
        <v>3355</v>
      </c>
    </row>
    <row r="969" spans="1:27" ht="25" customHeight="1">
      <c r="A969" s="2797" t="s">
        <v>217</v>
      </c>
      <c r="B969" s="2595" t="s">
        <v>726</v>
      </c>
      <c r="C969" s="2674"/>
      <c r="D969" s="2675"/>
      <c r="E969" s="2676">
        <f>'8. Vol Tangki'!$O$21</f>
        <v>162.87</v>
      </c>
      <c r="F969" s="2627" t="s">
        <v>100</v>
      </c>
      <c r="G969" s="2389">
        <v>25591.18</v>
      </c>
      <c r="H969" s="2389">
        <f t="shared" si="284"/>
        <v>4168035.4865999999</v>
      </c>
      <c r="I969" s="2465">
        <f>'Resume Analisa'!$D$47</f>
        <v>26179.679999999997</v>
      </c>
      <c r="J969" s="2779">
        <f t="shared" si="285"/>
        <v>4263884.4815999996</v>
      </c>
      <c r="K969" s="2378" t="e">
        <f>IF(H969=0,"",IF(J969&lt;#REF!*H969,"Timpang &lt;"&amp;TEXT(#REF!,"0%"),IF(J969&gt;#REF!*H969,"Timpang &gt;"&amp;TEXT(#REF!,"0%"),"Wajar")))</f>
        <v>#REF!</v>
      </c>
      <c r="L969" s="2391">
        <v>26179.679999999997</v>
      </c>
      <c r="M969" s="2391">
        <f t="shared" si="286"/>
        <v>4263884.4815999996</v>
      </c>
      <c r="N969" s="2375">
        <f t="shared" si="283"/>
        <v>1.8625557374139618E-3</v>
      </c>
      <c r="O969" s="2375"/>
      <c r="P969" s="2627"/>
      <c r="Q969" s="2375"/>
      <c r="R969" s="2375">
        <f t="shared" si="270"/>
        <v>0</v>
      </c>
      <c r="S969" s="2375"/>
      <c r="T969" s="2398"/>
      <c r="U969" s="2375"/>
      <c r="V969" s="2375"/>
      <c r="W969" s="2382">
        <f t="shared" si="266"/>
        <v>162.87</v>
      </c>
      <c r="X969" s="2627" t="s">
        <v>100</v>
      </c>
      <c r="Y969" s="2375">
        <f t="shared" si="267"/>
        <v>26179.679999999997</v>
      </c>
      <c r="Z969" s="2375"/>
      <c r="AA969" s="2377" t="s">
        <v>3355</v>
      </c>
    </row>
    <row r="970" spans="1:27" ht="25" customHeight="1">
      <c r="A970" s="2797" t="s">
        <v>366</v>
      </c>
      <c r="B970" s="2595" t="s">
        <v>727</v>
      </c>
      <c r="C970" s="2674"/>
      <c r="D970" s="2675"/>
      <c r="E970" s="2676">
        <f>'8. Vol Tangki'!$O$22</f>
        <v>10</v>
      </c>
      <c r="F970" s="2627" t="s">
        <v>100</v>
      </c>
      <c r="G970" s="2389">
        <v>25591.18</v>
      </c>
      <c r="H970" s="2389">
        <f t="shared" si="284"/>
        <v>255911.8</v>
      </c>
      <c r="I970" s="2465">
        <f>'Resume Analisa'!$D$47</f>
        <v>26179.679999999997</v>
      </c>
      <c r="J970" s="2779">
        <f t="shared" si="285"/>
        <v>261796.79999999996</v>
      </c>
      <c r="K970" s="2378" t="e">
        <f>IF(H970=0,"",IF(J970&lt;#REF!*H970,"Timpang &lt;"&amp;TEXT(#REF!,"0%"),IF(J970&gt;#REF!*H970,"Timpang &gt;"&amp;TEXT(#REF!,"0%"),"Wajar")))</f>
        <v>#REF!</v>
      </c>
      <c r="L970" s="2391">
        <v>26179.679999999997</v>
      </c>
      <c r="M970" s="2391">
        <f t="shared" si="286"/>
        <v>261796.79999999996</v>
      </c>
      <c r="N970" s="2375">
        <f t="shared" si="283"/>
        <v>1.1435842926345931E-4</v>
      </c>
      <c r="O970" s="2375"/>
      <c r="P970" s="2627"/>
      <c r="Q970" s="2375"/>
      <c r="R970" s="2375">
        <f t="shared" si="270"/>
        <v>0</v>
      </c>
      <c r="S970" s="2375"/>
      <c r="T970" s="2398"/>
      <c r="U970" s="2375"/>
      <c r="V970" s="2375"/>
      <c r="W970" s="2382">
        <f t="shared" si="266"/>
        <v>10</v>
      </c>
      <c r="X970" s="2627" t="s">
        <v>100</v>
      </c>
      <c r="Y970" s="2375">
        <f t="shared" si="267"/>
        <v>26179.679999999997</v>
      </c>
      <c r="Z970" s="2375"/>
      <c r="AA970" s="2377" t="s">
        <v>3355</v>
      </c>
    </row>
    <row r="971" spans="1:27" ht="25" customHeight="1">
      <c r="A971" s="2797" t="s">
        <v>476</v>
      </c>
      <c r="B971" s="2595" t="s">
        <v>420</v>
      </c>
      <c r="C971" s="2674"/>
      <c r="D971" s="2675"/>
      <c r="E971" s="2676">
        <f>'8. Vol Tangki'!$O$23</f>
        <v>3.46</v>
      </c>
      <c r="F971" s="2627" t="s">
        <v>103</v>
      </c>
      <c r="G971" s="2389">
        <v>1584129.98</v>
      </c>
      <c r="H971" s="2389">
        <f t="shared" si="284"/>
        <v>5481089.7308</v>
      </c>
      <c r="I971" s="2465">
        <f>'Resume Analisa'!$D$55</f>
        <v>1535009.1300000001</v>
      </c>
      <c r="J971" s="2779">
        <f t="shared" si="285"/>
        <v>5311131.5898000002</v>
      </c>
      <c r="K971" s="2378" t="e">
        <f>IF(H971=0,"",IF(J971&lt;#REF!*H971,"Timpang &lt;"&amp;TEXT(#REF!,"0%"),IF(J971&gt;#REF!*H971,"Timpang &gt;"&amp;TEXT(#REF!,"0%"),"Wajar")))</f>
        <v>#REF!</v>
      </c>
      <c r="L971" s="2391">
        <v>1535009.1300000001</v>
      </c>
      <c r="M971" s="2391">
        <f t="shared" si="286"/>
        <v>5311131.5898000002</v>
      </c>
      <c r="N971" s="2375">
        <f t="shared" si="283"/>
        <v>2.3200156236480645E-3</v>
      </c>
      <c r="O971" s="2375"/>
      <c r="P971" s="2627"/>
      <c r="Q971" s="2375"/>
      <c r="R971" s="2375">
        <f t="shared" si="270"/>
        <v>0</v>
      </c>
      <c r="S971" s="2375"/>
      <c r="T971" s="2398"/>
      <c r="U971" s="2375"/>
      <c r="V971" s="2375"/>
      <c r="W971" s="2382">
        <f t="shared" si="266"/>
        <v>3.46</v>
      </c>
      <c r="X971" s="2627" t="s">
        <v>103</v>
      </c>
      <c r="Y971" s="2375">
        <f t="shared" si="267"/>
        <v>1535009.1300000001</v>
      </c>
      <c r="Z971" s="2375"/>
      <c r="AA971" s="2377" t="s">
        <v>3355</v>
      </c>
    </row>
    <row r="972" spans="1:27" ht="25" customHeight="1">
      <c r="A972" s="2797" t="s">
        <v>728</v>
      </c>
      <c r="B972" s="2595" t="s">
        <v>729</v>
      </c>
      <c r="C972" s="2674"/>
      <c r="D972" s="2675"/>
      <c r="E972" s="2676">
        <f>'8. Vol Tangki'!$O$24</f>
        <v>3.46</v>
      </c>
      <c r="F972" s="2627" t="s">
        <v>103</v>
      </c>
      <c r="G972" s="2389">
        <v>43240</v>
      </c>
      <c r="H972" s="2389">
        <f t="shared" si="284"/>
        <v>149610.4</v>
      </c>
      <c r="I972" s="2465">
        <f>'Resume Analisa'!$D$60</f>
        <v>42304.98</v>
      </c>
      <c r="J972" s="2779">
        <f t="shared" si="285"/>
        <v>146375.23080000002</v>
      </c>
      <c r="K972" s="2378" t="e">
        <f>IF(H972=0,"",IF(J972&lt;#REF!*H972,"Timpang &lt;"&amp;TEXT(#REF!,"0%"),IF(J972&gt;#REF!*H972,"Timpang &gt;"&amp;TEXT(#REF!,"0%"),"Wajar")))</f>
        <v>#REF!</v>
      </c>
      <c r="L972" s="2391">
        <v>42304.98</v>
      </c>
      <c r="M972" s="2391">
        <f t="shared" si="286"/>
        <v>146375.23080000002</v>
      </c>
      <c r="N972" s="2375">
        <f t="shared" si="283"/>
        <v>6.3939824617276968E-5</v>
      </c>
      <c r="O972" s="2375"/>
      <c r="P972" s="2627"/>
      <c r="Q972" s="2375"/>
      <c r="R972" s="2375">
        <f t="shared" si="270"/>
        <v>0</v>
      </c>
      <c r="S972" s="2386"/>
      <c r="T972" s="2398"/>
      <c r="U972" s="2375"/>
      <c r="V972" s="2375"/>
      <c r="W972" s="2382">
        <f t="shared" si="266"/>
        <v>3.46</v>
      </c>
      <c r="X972" s="2627" t="s">
        <v>103</v>
      </c>
      <c r="Y972" s="2375">
        <f t="shared" si="267"/>
        <v>42304.98</v>
      </c>
      <c r="Z972" s="2375"/>
      <c r="AA972" s="2377" t="s">
        <v>3355</v>
      </c>
    </row>
    <row r="973" spans="1:27" ht="25" customHeight="1">
      <c r="A973" s="2590">
        <f>A963+1</f>
        <v>3</v>
      </c>
      <c r="B973" s="2673" t="s">
        <v>730</v>
      </c>
      <c r="C973" s="2674"/>
      <c r="D973" s="2675"/>
      <c r="E973" s="2676"/>
      <c r="F973" s="2590"/>
      <c r="G973" s="2389"/>
      <c r="H973" s="2389"/>
      <c r="I973" s="2465"/>
      <c r="J973" s="2464"/>
      <c r="K973" s="2389"/>
      <c r="L973" s="2391"/>
      <c r="M973" s="2391"/>
      <c r="N973" s="2375">
        <f t="shared" si="283"/>
        <v>0</v>
      </c>
      <c r="O973" s="2375"/>
      <c r="P973" s="2590"/>
      <c r="Q973" s="2375"/>
      <c r="R973" s="2375">
        <f t="shared" si="270"/>
        <v>0</v>
      </c>
      <c r="S973" s="2386"/>
      <c r="T973" s="2398"/>
      <c r="U973" s="2375"/>
      <c r="V973" s="2375"/>
      <c r="W973" s="2382">
        <f t="shared" si="266"/>
        <v>0</v>
      </c>
      <c r="X973" s="2590"/>
      <c r="Y973" s="2375">
        <f t="shared" si="267"/>
        <v>0</v>
      </c>
      <c r="Z973" s="2375"/>
      <c r="AA973" s="2377" t="s">
        <v>3355</v>
      </c>
    </row>
    <row r="974" spans="1:27" ht="25" customHeight="1">
      <c r="A974" s="2797" t="s">
        <v>95</v>
      </c>
      <c r="B974" s="2595" t="s">
        <v>694</v>
      </c>
      <c r="C974" s="2674"/>
      <c r="D974" s="2675"/>
      <c r="E974" s="2676">
        <f>'8. Vol Tangki'!$O$30</f>
        <v>2.4</v>
      </c>
      <c r="F974" s="2590" t="s">
        <v>103</v>
      </c>
      <c r="G974" s="2389">
        <v>50600</v>
      </c>
      <c r="H974" s="2389">
        <f t="shared" ref="H974:H981" si="287">E974*G974</f>
        <v>121440</v>
      </c>
      <c r="I974" s="2465">
        <f>'Resume Analisa'!$D$18</f>
        <v>49036.76</v>
      </c>
      <c r="J974" s="2779">
        <f t="shared" ref="J974:J981" si="288">I974*E974</f>
        <v>117688.224</v>
      </c>
      <c r="K974" s="2378" t="e">
        <f>IF(H974=0,"",IF(J974&lt;#REF!*H974,"Timpang &lt;"&amp;TEXT(#REF!,"0%"),IF(J974&gt;#REF!*H974,"Timpang &gt;"&amp;TEXT(#REF!,"0%"),"Wajar")))</f>
        <v>#REF!</v>
      </c>
      <c r="L974" s="2391">
        <v>49036.76</v>
      </c>
      <c r="M974" s="2391">
        <f t="shared" ref="M974:M981" si="289">E974*L974</f>
        <v>117688.224</v>
      </c>
      <c r="N974" s="2375">
        <f t="shared" si="283"/>
        <v>5.1408727835657873E-5</v>
      </c>
      <c r="O974" s="2375"/>
      <c r="P974" s="2590"/>
      <c r="Q974" s="2375"/>
      <c r="R974" s="2375">
        <f t="shared" si="270"/>
        <v>0</v>
      </c>
      <c r="S974" s="2375"/>
      <c r="T974" s="2398"/>
      <c r="U974" s="2375"/>
      <c r="V974" s="2375"/>
      <c r="W974" s="2382">
        <f t="shared" si="266"/>
        <v>2.4</v>
      </c>
      <c r="X974" s="2590" t="s">
        <v>103</v>
      </c>
      <c r="Y974" s="2375">
        <f t="shared" si="267"/>
        <v>49036.76</v>
      </c>
      <c r="Z974" s="2375"/>
      <c r="AA974" s="2377" t="s">
        <v>3355</v>
      </c>
    </row>
    <row r="975" spans="1:27" ht="25" customHeight="1">
      <c r="A975" s="2797" t="s">
        <v>98</v>
      </c>
      <c r="B975" s="2595" t="s">
        <v>725</v>
      </c>
      <c r="C975" s="2674"/>
      <c r="D975" s="2675"/>
      <c r="E975" s="2676">
        <f>'8. Vol Tangki'!$O$34</f>
        <v>0.3</v>
      </c>
      <c r="F975" s="2590" t="s">
        <v>103</v>
      </c>
      <c r="G975" s="2389">
        <v>507759.96</v>
      </c>
      <c r="H975" s="2389">
        <f t="shared" si="287"/>
        <v>152327.98800000001</v>
      </c>
      <c r="I975" s="2465">
        <f>'Resume Analisa'!$D$26</f>
        <v>475358.64</v>
      </c>
      <c r="J975" s="2779">
        <f t="shared" si="288"/>
        <v>142607.592</v>
      </c>
      <c r="K975" s="2378" t="e">
        <f>IF(H975=0,"",IF(J975&lt;#REF!*H975,"Timpang &lt;"&amp;TEXT(#REF!,"0%"),IF(J975&gt;#REF!*H975,"Timpang &gt;"&amp;TEXT(#REF!,"0%"),"Wajar")))</f>
        <v>#REF!</v>
      </c>
      <c r="L975" s="2391">
        <v>475358.64</v>
      </c>
      <c r="M975" s="2391">
        <f t="shared" si="289"/>
        <v>142607.592</v>
      </c>
      <c r="N975" s="2375">
        <f t="shared" si="283"/>
        <v>6.2294039583998999E-5</v>
      </c>
      <c r="O975" s="2375"/>
      <c r="P975" s="2590"/>
      <c r="Q975" s="2375"/>
      <c r="R975" s="2375">
        <f t="shared" si="270"/>
        <v>0</v>
      </c>
      <c r="S975" s="2375"/>
      <c r="T975" s="2398"/>
      <c r="U975" s="2375"/>
      <c r="V975" s="2375"/>
      <c r="W975" s="2382">
        <f t="shared" si="266"/>
        <v>0.3</v>
      </c>
      <c r="X975" s="2590" t="s">
        <v>103</v>
      </c>
      <c r="Y975" s="2375">
        <f t="shared" si="267"/>
        <v>475358.64</v>
      </c>
      <c r="Z975" s="2375"/>
      <c r="AA975" s="2377" t="s">
        <v>3355</v>
      </c>
    </row>
    <row r="976" spans="1:27" ht="25" customHeight="1">
      <c r="A976" s="2797" t="s">
        <v>101</v>
      </c>
      <c r="B976" s="2595" t="s">
        <v>496</v>
      </c>
      <c r="C976" s="2674"/>
      <c r="D976" s="2675"/>
      <c r="E976" s="2676">
        <f>'8. Vol Tangki'!$O$38</f>
        <v>0.3</v>
      </c>
      <c r="F976" s="2590" t="s">
        <v>103</v>
      </c>
      <c r="G976" s="2389">
        <v>1422226.08</v>
      </c>
      <c r="H976" s="2389">
        <f t="shared" si="287"/>
        <v>426667.82400000002</v>
      </c>
      <c r="I976" s="2465">
        <f>'Resume Analisa'!$D$54</f>
        <v>1384580.76</v>
      </c>
      <c r="J976" s="2779">
        <f t="shared" si="288"/>
        <v>415374.228</v>
      </c>
      <c r="K976" s="2378" t="e">
        <f>IF(H976=0,"",IF(J976&lt;#REF!*H976,"Timpang &lt;"&amp;TEXT(#REF!,"0%"),IF(J976&gt;#REF!*H976,"Timpang &gt;"&amp;TEXT(#REF!,"0%"),"Wajar")))</f>
        <v>#REF!</v>
      </c>
      <c r="L976" s="2391">
        <v>1384580.76</v>
      </c>
      <c r="M976" s="2391">
        <f t="shared" si="289"/>
        <v>415374.228</v>
      </c>
      <c r="N976" s="2375">
        <f t="shared" si="283"/>
        <v>1.8144432732028056E-4</v>
      </c>
      <c r="O976" s="2375"/>
      <c r="P976" s="2590"/>
      <c r="Q976" s="2375"/>
      <c r="R976" s="2375">
        <f t="shared" si="270"/>
        <v>0</v>
      </c>
      <c r="S976" s="2375"/>
      <c r="T976" s="2398"/>
      <c r="U976" s="2375"/>
      <c r="V976" s="2375"/>
      <c r="W976" s="2382">
        <f t="shared" ref="W976:W1039" si="290">(E976+O976)-S976</f>
        <v>0.3</v>
      </c>
      <c r="X976" s="2590" t="s">
        <v>103</v>
      </c>
      <c r="Y976" s="2375">
        <f t="shared" ref="Y976:Y1021" si="291">L976</f>
        <v>1384580.76</v>
      </c>
      <c r="Z976" s="2375"/>
      <c r="AA976" s="2377" t="s">
        <v>3355</v>
      </c>
    </row>
    <row r="977" spans="1:27" ht="25" customHeight="1">
      <c r="A977" s="2797" t="s">
        <v>121</v>
      </c>
      <c r="B977" s="2595" t="s">
        <v>401</v>
      </c>
      <c r="C977" s="2674"/>
      <c r="D977" s="2675"/>
      <c r="E977" s="2676">
        <f>'8. Vol Tangki'!$O$42</f>
        <v>3.6</v>
      </c>
      <c r="F977" s="2590" t="s">
        <v>89</v>
      </c>
      <c r="G977" s="2389">
        <v>188325.18000000002</v>
      </c>
      <c r="H977" s="2389">
        <f t="shared" si="287"/>
        <v>677970.64800000004</v>
      </c>
      <c r="I977" s="2465">
        <f>'Resume Analisa'!$D$68</f>
        <v>181829.52000000002</v>
      </c>
      <c r="J977" s="2779">
        <f t="shared" si="288"/>
        <v>654586.27200000011</v>
      </c>
      <c r="K977" s="2378" t="e">
        <f>IF(H977=0,"",IF(J977&lt;#REF!*H977,"Timpang &lt;"&amp;TEXT(#REF!,"0%"),IF(J977&gt;#REF!*H977,"Timpang &gt;"&amp;TEXT(#REF!,"0%"),"Wajar")))</f>
        <v>#REF!</v>
      </c>
      <c r="L977" s="2391">
        <v>181829.52000000002</v>
      </c>
      <c r="M977" s="2391">
        <f t="shared" si="289"/>
        <v>654586.27200000011</v>
      </c>
      <c r="N977" s="2375">
        <f t="shared" si="283"/>
        <v>2.8593725318011359E-4</v>
      </c>
      <c r="O977" s="2375"/>
      <c r="P977" s="2590"/>
      <c r="Q977" s="2375"/>
      <c r="R977" s="2375">
        <f t="shared" si="270"/>
        <v>0</v>
      </c>
      <c r="S977" s="2375"/>
      <c r="T977" s="2398"/>
      <c r="U977" s="2375"/>
      <c r="V977" s="2375"/>
      <c r="W977" s="2382">
        <f t="shared" si="290"/>
        <v>3.6</v>
      </c>
      <c r="X977" s="2590" t="s">
        <v>89</v>
      </c>
      <c r="Y977" s="2375">
        <f t="shared" si="291"/>
        <v>181829.52000000002</v>
      </c>
      <c r="Z977" s="2375"/>
      <c r="AA977" s="2377" t="s">
        <v>3355</v>
      </c>
    </row>
    <row r="978" spans="1:27" ht="25" customHeight="1">
      <c r="A978" s="2797" t="s">
        <v>142</v>
      </c>
      <c r="B978" s="2595" t="s">
        <v>731</v>
      </c>
      <c r="C978" s="2674"/>
      <c r="D978" s="2675"/>
      <c r="E978" s="2676">
        <f>'8. Vol Tangki'!$O$46</f>
        <v>77.099999999999994</v>
      </c>
      <c r="F978" s="2590" t="s">
        <v>100</v>
      </c>
      <c r="G978" s="2389">
        <v>25591.18</v>
      </c>
      <c r="H978" s="2389">
        <f t="shared" si="287"/>
        <v>1973079.9779999999</v>
      </c>
      <c r="I978" s="2465">
        <f>'Resume Analisa'!$D$47</f>
        <v>26179.679999999997</v>
      </c>
      <c r="J978" s="2779">
        <f t="shared" si="288"/>
        <v>2018453.3279999995</v>
      </c>
      <c r="K978" s="2378" t="e">
        <f>IF(H978=0,"",IF(J978&lt;#REF!*H978,"Timpang &lt;"&amp;TEXT(#REF!,"0%"),IF(J978&gt;#REF!*H978,"Timpang &gt;"&amp;TEXT(#REF!,"0%"),"Wajar")))</f>
        <v>#REF!</v>
      </c>
      <c r="L978" s="2391">
        <v>26179.679999999997</v>
      </c>
      <c r="M978" s="2391">
        <f t="shared" si="289"/>
        <v>2018453.3279999995</v>
      </c>
      <c r="N978" s="2375">
        <f t="shared" si="283"/>
        <v>8.8170348962127122E-4</v>
      </c>
      <c r="O978" s="2375"/>
      <c r="P978" s="2590"/>
      <c r="Q978" s="2375"/>
      <c r="R978" s="2375">
        <f t="shared" si="270"/>
        <v>0</v>
      </c>
      <c r="S978" s="2375"/>
      <c r="T978" s="2398"/>
      <c r="U978" s="2375"/>
      <c r="V978" s="2375"/>
      <c r="W978" s="2382">
        <f t="shared" si="290"/>
        <v>77.099999999999994</v>
      </c>
      <c r="X978" s="2590" t="s">
        <v>100</v>
      </c>
      <c r="Y978" s="2375">
        <f t="shared" si="291"/>
        <v>26179.679999999997</v>
      </c>
      <c r="Z978" s="2375"/>
      <c r="AA978" s="2377" t="s">
        <v>3355</v>
      </c>
    </row>
    <row r="979" spans="1:27" ht="25" customHeight="1">
      <c r="A979" s="2797" t="s">
        <v>217</v>
      </c>
      <c r="B979" s="2595" t="s">
        <v>732</v>
      </c>
      <c r="C979" s="2674"/>
      <c r="D979" s="2675"/>
      <c r="E979" s="2676">
        <f>'8. Vol Tangki'!$O$58</f>
        <v>29.17</v>
      </c>
      <c r="F979" s="2590" t="s">
        <v>100</v>
      </c>
      <c r="G979" s="2389">
        <v>19151.18</v>
      </c>
      <c r="H979" s="2389">
        <f t="shared" si="287"/>
        <v>558639.92060000007</v>
      </c>
      <c r="I979" s="2465">
        <f>'Resume Analisa'!$D$48</f>
        <v>18790.969999999998</v>
      </c>
      <c r="J979" s="2779">
        <f t="shared" si="288"/>
        <v>548132.59489999991</v>
      </c>
      <c r="K979" s="2378" t="e">
        <f>IF(H979=0,"",IF(J979&lt;#REF!*H979,"Timpang &lt;"&amp;TEXT(#REF!,"0%"),IF(J979&gt;#REF!*H979,"Timpang &gt;"&amp;TEXT(#REF!,"0%"),"Wajar")))</f>
        <v>#REF!</v>
      </c>
      <c r="L979" s="2391">
        <v>18790.969999999998</v>
      </c>
      <c r="M979" s="2391">
        <f t="shared" si="289"/>
        <v>548132.59489999991</v>
      </c>
      <c r="N979" s="2375">
        <f t="shared" si="283"/>
        <v>2.3943601518761133E-4</v>
      </c>
      <c r="O979" s="2375"/>
      <c r="P979" s="2590"/>
      <c r="Q979" s="2375"/>
      <c r="R979" s="2375">
        <f t="shared" si="270"/>
        <v>0</v>
      </c>
      <c r="S979" s="2386"/>
      <c r="T979" s="2398"/>
      <c r="U979" s="2375"/>
      <c r="V979" s="2375"/>
      <c r="W979" s="2382">
        <f t="shared" si="290"/>
        <v>29.17</v>
      </c>
      <c r="X979" s="2590" t="s">
        <v>100</v>
      </c>
      <c r="Y979" s="2375">
        <f t="shared" si="291"/>
        <v>18790.969999999998</v>
      </c>
      <c r="Z979" s="2375"/>
      <c r="AA979" s="2377" t="s">
        <v>3355</v>
      </c>
    </row>
    <row r="980" spans="1:27" ht="25" customHeight="1">
      <c r="A980" s="2797" t="s">
        <v>366</v>
      </c>
      <c r="B980" s="2595" t="s">
        <v>420</v>
      </c>
      <c r="C980" s="2674"/>
      <c r="D980" s="2675"/>
      <c r="E980" s="2676">
        <f>'8. Vol Tangki'!$O$62</f>
        <v>0.9</v>
      </c>
      <c r="F980" s="2590" t="s">
        <v>103</v>
      </c>
      <c r="G980" s="2389">
        <v>1584129.98</v>
      </c>
      <c r="H980" s="2389">
        <f t="shared" si="287"/>
        <v>1425716.9820000001</v>
      </c>
      <c r="I980" s="2465">
        <f>'Resume Analisa'!$D$55</f>
        <v>1535009.1300000001</v>
      </c>
      <c r="J980" s="2779">
        <f t="shared" si="288"/>
        <v>1381508.2170000002</v>
      </c>
      <c r="K980" s="2378" t="e">
        <f>IF(H980=0,"",IF(J980&lt;#REF!*H980,"Timpang &lt;"&amp;TEXT(#REF!,"0%"),IF(J980&gt;#REF!*H980,"Timpang &gt;"&amp;TEXT(#REF!,"0%"),"Wajar")))</f>
        <v>#REF!</v>
      </c>
      <c r="L980" s="2391">
        <v>1535009.1300000001</v>
      </c>
      <c r="M980" s="2391">
        <f t="shared" si="289"/>
        <v>1381508.2170000002</v>
      </c>
      <c r="N980" s="2375">
        <f t="shared" si="283"/>
        <v>6.0347227204718445E-4</v>
      </c>
      <c r="O980" s="2375"/>
      <c r="P980" s="2590"/>
      <c r="Q980" s="2375"/>
      <c r="R980" s="2375">
        <f t="shared" si="270"/>
        <v>0</v>
      </c>
      <c r="S980" s="2386"/>
      <c r="T980" s="2398"/>
      <c r="U980" s="2375"/>
      <c r="V980" s="2375"/>
      <c r="W980" s="2382">
        <f t="shared" si="290"/>
        <v>0.9</v>
      </c>
      <c r="X980" s="2590" t="s">
        <v>103</v>
      </c>
      <c r="Y980" s="2375">
        <f t="shared" si="291"/>
        <v>1535009.1300000001</v>
      </c>
      <c r="Z980" s="2375"/>
      <c r="AA980" s="2377" t="s">
        <v>3355</v>
      </c>
    </row>
    <row r="981" spans="1:27" ht="25" customHeight="1">
      <c r="A981" s="2797" t="s">
        <v>476</v>
      </c>
      <c r="B981" s="2595" t="s">
        <v>729</v>
      </c>
      <c r="C981" s="2674"/>
      <c r="D981" s="2675"/>
      <c r="E981" s="2676">
        <f>'8. Vol Tangki'!$O$64</f>
        <v>0.9</v>
      </c>
      <c r="F981" s="2590" t="s">
        <v>103</v>
      </c>
      <c r="G981" s="2389">
        <v>43240</v>
      </c>
      <c r="H981" s="2389">
        <f t="shared" si="287"/>
        <v>38916</v>
      </c>
      <c r="I981" s="2465">
        <f>'Resume Analisa'!$D$60</f>
        <v>42304.98</v>
      </c>
      <c r="J981" s="2779">
        <f t="shared" si="288"/>
        <v>38074.482000000004</v>
      </c>
      <c r="K981" s="2378" t="e">
        <f>IF(H981=0,"",IF(J981&lt;#REF!*H981,"Timpang &lt;"&amp;TEXT(#REF!,"0%"),IF(J981&gt;#REF!*H981,"Timpang &gt;"&amp;TEXT(#REF!,"0%"),"Wajar")))</f>
        <v>#REF!</v>
      </c>
      <c r="L981" s="2391">
        <v>42304.98</v>
      </c>
      <c r="M981" s="2391">
        <f t="shared" si="289"/>
        <v>38074.482000000004</v>
      </c>
      <c r="N981" s="2375">
        <f t="shared" si="283"/>
        <v>1.6631746287731002E-5</v>
      </c>
      <c r="O981" s="2375"/>
      <c r="P981" s="2590"/>
      <c r="Q981" s="2375"/>
      <c r="R981" s="2375">
        <f t="shared" si="270"/>
        <v>0</v>
      </c>
      <c r="S981" s="2375"/>
      <c r="T981" s="2398"/>
      <c r="U981" s="2375"/>
      <c r="V981" s="2375"/>
      <c r="W981" s="2382">
        <f t="shared" si="290"/>
        <v>0.9</v>
      </c>
      <c r="X981" s="2590" t="s">
        <v>103</v>
      </c>
      <c r="Y981" s="2375">
        <f t="shared" si="291"/>
        <v>42304.98</v>
      </c>
      <c r="Z981" s="2375"/>
      <c r="AA981" s="2377" t="s">
        <v>3355</v>
      </c>
    </row>
    <row r="982" spans="1:27" ht="25" customHeight="1">
      <c r="A982" s="2590">
        <f>A973+1</f>
        <v>4</v>
      </c>
      <c r="B982" s="2673" t="s">
        <v>733</v>
      </c>
      <c r="C982" s="2674"/>
      <c r="D982" s="2675"/>
      <c r="E982" s="2676"/>
      <c r="F982" s="2590"/>
      <c r="G982" s="2389"/>
      <c r="H982" s="2389"/>
      <c r="I982" s="2465"/>
      <c r="J982" s="2464"/>
      <c r="K982" s="2389"/>
      <c r="L982" s="2391"/>
      <c r="M982" s="2391"/>
      <c r="N982" s="2375">
        <f t="shared" si="283"/>
        <v>0</v>
      </c>
      <c r="O982" s="2375"/>
      <c r="P982" s="2590"/>
      <c r="Q982" s="2375"/>
      <c r="R982" s="2375">
        <f t="shared" ref="R982:R1045" si="292">Q982/$M$8*100</f>
        <v>0</v>
      </c>
      <c r="S982" s="2375"/>
      <c r="T982" s="2398"/>
      <c r="U982" s="2375"/>
      <c r="V982" s="2375"/>
      <c r="W982" s="2382">
        <f t="shared" si="290"/>
        <v>0</v>
      </c>
      <c r="X982" s="2590"/>
      <c r="Y982" s="2375">
        <f t="shared" si="291"/>
        <v>0</v>
      </c>
      <c r="Z982" s="2375"/>
      <c r="AA982" s="2377" t="s">
        <v>3355</v>
      </c>
    </row>
    <row r="983" spans="1:27" ht="25" customHeight="1">
      <c r="A983" s="2797" t="s">
        <v>95</v>
      </c>
      <c r="B983" s="2595" t="s">
        <v>417</v>
      </c>
      <c r="C983" s="2674"/>
      <c r="D983" s="2675"/>
      <c r="E983" s="2676">
        <f>'8. Vol Tangki'!$O$66</f>
        <v>12.48</v>
      </c>
      <c r="F983" s="2590" t="s">
        <v>89</v>
      </c>
      <c r="G983" s="2389">
        <v>249883.29</v>
      </c>
      <c r="H983" s="2389">
        <f t="shared" ref="H983:H989" si="293">E983*G983</f>
        <v>3118543.4592000004</v>
      </c>
      <c r="I983" s="2465">
        <f>'Resume Analisa'!$D$40</f>
        <v>245946.97</v>
      </c>
      <c r="J983" s="2779">
        <f t="shared" ref="J983:J989" si="294">I983*E983</f>
        <v>3069418.1856</v>
      </c>
      <c r="K983" s="2378" t="e">
        <f>IF(H983=0,"",IF(J983&lt;#REF!*H983,"Timpang &lt;"&amp;TEXT(#REF!,"0%"),IF(J983&gt;#REF!*H983,"Timpang &gt;"&amp;TEXT(#REF!,"0%"),"Wajar")))</f>
        <v>#REF!</v>
      </c>
      <c r="L983" s="2391">
        <v>245946.97</v>
      </c>
      <c r="M983" s="2391">
        <f t="shared" ref="M983:M989" si="295">E983*L983</f>
        <v>3069418.1856</v>
      </c>
      <c r="N983" s="2375">
        <f t="shared" si="283"/>
        <v>1.3407873681340386E-3</v>
      </c>
      <c r="O983" s="2375"/>
      <c r="P983" s="2590"/>
      <c r="Q983" s="2375"/>
      <c r="R983" s="2375">
        <f t="shared" si="292"/>
        <v>0</v>
      </c>
      <c r="S983" s="2375"/>
      <c r="T983" s="2398"/>
      <c r="U983" s="2375"/>
      <c r="V983" s="2375"/>
      <c r="W983" s="2382">
        <f t="shared" si="290"/>
        <v>12.48</v>
      </c>
      <c r="X983" s="2590" t="s">
        <v>89</v>
      </c>
      <c r="Y983" s="2375">
        <f t="shared" si="291"/>
        <v>245946.97</v>
      </c>
      <c r="Z983" s="2375"/>
      <c r="AA983" s="2377" t="s">
        <v>3355</v>
      </c>
    </row>
    <row r="984" spans="1:27" ht="25" customHeight="1">
      <c r="A984" s="2797" t="s">
        <v>98</v>
      </c>
      <c r="B984" s="2595" t="s">
        <v>734</v>
      </c>
      <c r="C984" s="2674"/>
      <c r="D984" s="2675"/>
      <c r="E984" s="2676">
        <f>'8. Vol Tangki'!$O$67</f>
        <v>235.05</v>
      </c>
      <c r="F984" s="2590" t="s">
        <v>100</v>
      </c>
      <c r="G984" s="2389">
        <v>25591.18</v>
      </c>
      <c r="H984" s="2389">
        <f t="shared" si="293"/>
        <v>6015206.8590000002</v>
      </c>
      <c r="I984" s="2465">
        <f>'Resume Analisa'!$D$47</f>
        <v>26179.679999999997</v>
      </c>
      <c r="J984" s="2779">
        <f t="shared" si="294"/>
        <v>6153533.7839999991</v>
      </c>
      <c r="K984" s="2378" t="e">
        <f>IF(H984=0,"",IF(J984&lt;#REF!*H984,"Timpang &lt;"&amp;TEXT(#REF!,"0%"),IF(J984&gt;#REF!*H984,"Timpang &gt;"&amp;TEXT(#REF!,"0%"),"Wajar")))</f>
        <v>#REF!</v>
      </c>
      <c r="L984" s="2391">
        <v>26179.679999999997</v>
      </c>
      <c r="M984" s="2391">
        <f t="shared" si="295"/>
        <v>6153533.7839999991</v>
      </c>
      <c r="N984" s="2375">
        <f t="shared" si="283"/>
        <v>2.6879948798376112E-3</v>
      </c>
      <c r="O984" s="2375"/>
      <c r="P984" s="2590"/>
      <c r="Q984" s="2375"/>
      <c r="R984" s="2375">
        <f t="shared" si="292"/>
        <v>0</v>
      </c>
      <c r="S984" s="2375"/>
      <c r="T984" s="2398"/>
      <c r="U984" s="2375"/>
      <c r="V984" s="2375"/>
      <c r="W984" s="2382">
        <f t="shared" si="290"/>
        <v>235.05</v>
      </c>
      <c r="X984" s="2590" t="s">
        <v>100</v>
      </c>
      <c r="Y984" s="2375">
        <f t="shared" si="291"/>
        <v>26179.679999999997</v>
      </c>
      <c r="Z984" s="2375"/>
      <c r="AA984" s="2377" t="s">
        <v>3355</v>
      </c>
    </row>
    <row r="985" spans="1:27" ht="25" customHeight="1">
      <c r="A985" s="2797" t="s">
        <v>101</v>
      </c>
      <c r="B985" s="2595" t="s">
        <v>735</v>
      </c>
      <c r="C985" s="2674"/>
      <c r="D985" s="2675"/>
      <c r="E985" s="2676">
        <f>'8. Vol Tangki'!$O$68</f>
        <v>23.67</v>
      </c>
      <c r="F985" s="2590" t="s">
        <v>100</v>
      </c>
      <c r="G985" s="2389">
        <v>19151.18</v>
      </c>
      <c r="H985" s="2389">
        <f t="shared" si="293"/>
        <v>453308.43060000002</v>
      </c>
      <c r="I985" s="2465">
        <f>'Resume Analisa'!$D$48</f>
        <v>18790.969999999998</v>
      </c>
      <c r="J985" s="2779">
        <f t="shared" si="294"/>
        <v>444782.25989999995</v>
      </c>
      <c r="K985" s="2378" t="e">
        <f>IF(H985=0,"",IF(J985&lt;#REF!*H985,"Timpang &lt;"&amp;TEXT(#REF!,"0%"),IF(J985&gt;#REF!*H985,"Timpang &gt;"&amp;TEXT(#REF!,"0%"),"Wajar")))</f>
        <v>#REF!</v>
      </c>
      <c r="L985" s="2391">
        <v>18790.969999999998</v>
      </c>
      <c r="M985" s="2391">
        <f t="shared" si="295"/>
        <v>444782.25989999995</v>
      </c>
      <c r="N985" s="2375">
        <f t="shared" si="283"/>
        <v>1.9429038325302574E-4</v>
      </c>
      <c r="O985" s="2375"/>
      <c r="P985" s="2590"/>
      <c r="Q985" s="2375"/>
      <c r="R985" s="2375">
        <f t="shared" si="292"/>
        <v>0</v>
      </c>
      <c r="S985" s="2375"/>
      <c r="T985" s="2398"/>
      <c r="U985" s="2375"/>
      <c r="V985" s="2375"/>
      <c r="W985" s="2382">
        <f t="shared" si="290"/>
        <v>23.67</v>
      </c>
      <c r="X985" s="2590" t="s">
        <v>100</v>
      </c>
      <c r="Y985" s="2375">
        <f t="shared" si="291"/>
        <v>18790.969999999998</v>
      </c>
      <c r="Z985" s="2375"/>
      <c r="AA985" s="2377" t="s">
        <v>3355</v>
      </c>
    </row>
    <row r="986" spans="1:27" ht="25" customHeight="1">
      <c r="A986" s="2797" t="s">
        <v>121</v>
      </c>
      <c r="B986" s="2673" t="s">
        <v>736</v>
      </c>
      <c r="C986" s="2674"/>
      <c r="D986" s="2675"/>
      <c r="E986" s="2676">
        <f>'8. Vol Tangki'!$O$69</f>
        <v>56.96</v>
      </c>
      <c r="F986" s="2590" t="s">
        <v>100</v>
      </c>
      <c r="G986" s="2389">
        <v>19151.18</v>
      </c>
      <c r="H986" s="2389">
        <f t="shared" si="293"/>
        <v>1090851.2128000001</v>
      </c>
      <c r="I986" s="2465">
        <f>'Resume Analisa'!$D$48</f>
        <v>18790.969999999998</v>
      </c>
      <c r="J986" s="2779">
        <f t="shared" si="294"/>
        <v>1070333.6512</v>
      </c>
      <c r="K986" s="2378" t="e">
        <f>IF(H986=0,"",IF(J986&lt;#REF!*H986,"Timpang &lt;"&amp;TEXT(#REF!,"0%"),IF(J986&gt;#REF!*H986,"Timpang &gt;"&amp;TEXT(#REF!,"0%"),"Wajar")))</f>
        <v>#REF!</v>
      </c>
      <c r="L986" s="2391">
        <v>18790.969999999998</v>
      </c>
      <c r="M986" s="2391">
        <f t="shared" si="295"/>
        <v>1070333.6512</v>
      </c>
      <c r="N986" s="2375">
        <f t="shared" si="283"/>
        <v>4.6754458090799941E-4</v>
      </c>
      <c r="O986" s="2375"/>
      <c r="P986" s="2590"/>
      <c r="Q986" s="2375"/>
      <c r="R986" s="2375">
        <f t="shared" si="292"/>
        <v>0</v>
      </c>
      <c r="S986" s="2386"/>
      <c r="T986" s="2398"/>
      <c r="U986" s="2375"/>
      <c r="V986" s="2375"/>
      <c r="W986" s="2382">
        <f t="shared" si="290"/>
        <v>56.96</v>
      </c>
      <c r="X986" s="2590" t="s">
        <v>100</v>
      </c>
      <c r="Y986" s="2375">
        <f t="shared" si="291"/>
        <v>18790.969999999998</v>
      </c>
      <c r="Z986" s="2375"/>
      <c r="AA986" s="2377" t="s">
        <v>3355</v>
      </c>
    </row>
    <row r="987" spans="1:27" ht="25" customHeight="1">
      <c r="A987" s="2797" t="s">
        <v>142</v>
      </c>
      <c r="B987" s="2595" t="s">
        <v>420</v>
      </c>
      <c r="C987" s="2674"/>
      <c r="D987" s="2675"/>
      <c r="E987" s="2676">
        <f>'8. Vol Tangki'!$O$70</f>
        <v>0.94</v>
      </c>
      <c r="F987" s="2590" t="s">
        <v>103</v>
      </c>
      <c r="G987" s="2389">
        <v>1584129.98</v>
      </c>
      <c r="H987" s="2389">
        <f t="shared" si="293"/>
        <v>1489082.1812</v>
      </c>
      <c r="I987" s="2465">
        <f>'Resume Analisa'!$D$55</f>
        <v>1535009.1300000001</v>
      </c>
      <c r="J987" s="2779">
        <f t="shared" si="294"/>
        <v>1442908.5822000001</v>
      </c>
      <c r="K987" s="2378" t="e">
        <f>IF(H987=0,"",IF(J987&lt;#REF!*H987,"Timpang &lt;"&amp;TEXT(#REF!,"0%"),IF(J987&gt;#REF!*H987,"Timpang &gt;"&amp;TEXT(#REF!,"0%"),"Wajar")))</f>
        <v>#REF!</v>
      </c>
      <c r="L987" s="2391">
        <v>1535009.1300000001</v>
      </c>
      <c r="M987" s="2391">
        <f t="shared" si="295"/>
        <v>1442908.5822000001</v>
      </c>
      <c r="N987" s="2375">
        <f t="shared" si="283"/>
        <v>6.3029326191594811E-4</v>
      </c>
      <c r="O987" s="2375"/>
      <c r="P987" s="2590"/>
      <c r="Q987" s="2375"/>
      <c r="R987" s="2375">
        <f t="shared" si="292"/>
        <v>0</v>
      </c>
      <c r="S987" s="2386"/>
      <c r="T987" s="2398"/>
      <c r="U987" s="2375"/>
      <c r="V987" s="2375"/>
      <c r="W987" s="2382">
        <f t="shared" si="290"/>
        <v>0.94</v>
      </c>
      <c r="X987" s="2590" t="s">
        <v>103</v>
      </c>
      <c r="Y987" s="2375">
        <f t="shared" si="291"/>
        <v>1535009.1300000001</v>
      </c>
      <c r="Z987" s="2375"/>
      <c r="AA987" s="2377" t="s">
        <v>3355</v>
      </c>
    </row>
    <row r="988" spans="1:27" ht="25" customHeight="1">
      <c r="A988" s="2797" t="s">
        <v>217</v>
      </c>
      <c r="B988" s="2595" t="s">
        <v>729</v>
      </c>
      <c r="C988" s="2674"/>
      <c r="D988" s="2675"/>
      <c r="E988" s="2676">
        <f>'8. Vol Tangki'!$O$72</f>
        <v>0.94</v>
      </c>
      <c r="F988" s="2590" t="s">
        <v>103</v>
      </c>
      <c r="G988" s="2389">
        <v>43240</v>
      </c>
      <c r="H988" s="2389">
        <f t="shared" si="293"/>
        <v>40645.599999999999</v>
      </c>
      <c r="I988" s="2465">
        <f>'Resume Analisa'!$D$60</f>
        <v>42304.98</v>
      </c>
      <c r="J988" s="2779">
        <f t="shared" si="294"/>
        <v>39766.681199999999</v>
      </c>
      <c r="K988" s="2378" t="e">
        <f>IF(H988=0,"",IF(J988&lt;#REF!*H988,"Timpang &lt;"&amp;TEXT(#REF!,"0%"),IF(J988&gt;#REF!*H988,"Timpang &gt;"&amp;TEXT(#REF!,"0%"),"Wajar")))</f>
        <v>#REF!</v>
      </c>
      <c r="L988" s="2391">
        <v>42304.98</v>
      </c>
      <c r="M988" s="2391">
        <f t="shared" si="295"/>
        <v>39766.681199999999</v>
      </c>
      <c r="N988" s="2375">
        <f t="shared" si="283"/>
        <v>1.7370935011630158E-5</v>
      </c>
      <c r="O988" s="2375"/>
      <c r="P988" s="2590"/>
      <c r="Q988" s="2375"/>
      <c r="R988" s="2375">
        <f t="shared" si="292"/>
        <v>0</v>
      </c>
      <c r="S988" s="2375"/>
      <c r="T988" s="2398"/>
      <c r="U988" s="2375"/>
      <c r="V988" s="2375"/>
      <c r="W988" s="2382">
        <f t="shared" si="290"/>
        <v>0.94</v>
      </c>
      <c r="X988" s="2590" t="s">
        <v>103</v>
      </c>
      <c r="Y988" s="2375">
        <f t="shared" si="291"/>
        <v>42304.98</v>
      </c>
      <c r="Z988" s="2375"/>
      <c r="AA988" s="2377" t="s">
        <v>3355</v>
      </c>
    </row>
    <row r="989" spans="1:27" ht="25" customHeight="1">
      <c r="A989" s="2590">
        <f>A982+1</f>
        <v>5</v>
      </c>
      <c r="B989" s="2673" t="s">
        <v>737</v>
      </c>
      <c r="C989" s="2674"/>
      <c r="D989" s="2675"/>
      <c r="E989" s="2676">
        <f>'8. Vol Tangki'!$O$73</f>
        <v>20</v>
      </c>
      <c r="F989" s="2590" t="s">
        <v>89</v>
      </c>
      <c r="G989" s="2389">
        <v>1672100</v>
      </c>
      <c r="H989" s="2389">
        <f t="shared" si="293"/>
        <v>33442000</v>
      </c>
      <c r="I989" s="2465">
        <f>'Resume Analisa'!$D$45</f>
        <v>1677188.73</v>
      </c>
      <c r="J989" s="2779">
        <f t="shared" si="294"/>
        <v>33543774.600000001</v>
      </c>
      <c r="K989" s="2378" t="e">
        <f>IF(H989=0,"",IF(J989&lt;#REF!*H989,"Timpang &lt;"&amp;TEXT(#REF!,"0%"),IF(J989&gt;#REF!*H989,"Timpang &gt;"&amp;TEXT(#REF!,"0%"),"Wajar")))</f>
        <v>#REF!</v>
      </c>
      <c r="L989" s="2391">
        <v>1677188.73</v>
      </c>
      <c r="M989" s="2391">
        <f t="shared" si="295"/>
        <v>33543774.600000001</v>
      </c>
      <c r="N989" s="2375">
        <f t="shared" si="283"/>
        <v>1.4652636605273724E-2</v>
      </c>
      <c r="O989" s="2375"/>
      <c r="P989" s="2590"/>
      <c r="Q989" s="2375"/>
      <c r="R989" s="2375">
        <f t="shared" si="292"/>
        <v>0</v>
      </c>
      <c r="S989" s="2375"/>
      <c r="T989" s="2398"/>
      <c r="U989" s="2375"/>
      <c r="V989" s="2375"/>
      <c r="W989" s="2382">
        <f t="shared" si="290"/>
        <v>20</v>
      </c>
      <c r="X989" s="2590" t="s">
        <v>89</v>
      </c>
      <c r="Y989" s="2375">
        <f t="shared" si="291"/>
        <v>1677188.73</v>
      </c>
      <c r="Z989" s="2375"/>
      <c r="AA989" s="2377" t="s">
        <v>3355</v>
      </c>
    </row>
    <row r="990" spans="1:27" ht="25" customHeight="1">
      <c r="A990" s="2590">
        <f>A989+1</f>
        <v>6</v>
      </c>
      <c r="B990" s="2595" t="s">
        <v>738</v>
      </c>
      <c r="C990" s="2619"/>
      <c r="D990" s="2620"/>
      <c r="E990" s="2638"/>
      <c r="F990" s="2590"/>
      <c r="G990" s="2389"/>
      <c r="H990" s="2372"/>
      <c r="I990" s="2465"/>
      <c r="J990" s="2796"/>
      <c r="K990" s="2372"/>
      <c r="L990" s="2391"/>
      <c r="M990" s="2391"/>
      <c r="N990" s="2375">
        <f t="shared" si="283"/>
        <v>0</v>
      </c>
      <c r="O990" s="2375"/>
      <c r="P990" s="2590"/>
      <c r="Q990" s="2375"/>
      <c r="R990" s="2375">
        <f t="shared" si="292"/>
        <v>0</v>
      </c>
      <c r="S990" s="2375"/>
      <c r="T990" s="2398"/>
      <c r="U990" s="2375"/>
      <c r="V990" s="2375"/>
      <c r="W990" s="2382">
        <f t="shared" si="290"/>
        <v>0</v>
      </c>
      <c r="X990" s="2590"/>
      <c r="Y990" s="2375">
        <f t="shared" si="291"/>
        <v>0</v>
      </c>
      <c r="Z990" s="2375"/>
      <c r="AA990" s="2377" t="s">
        <v>3355</v>
      </c>
    </row>
    <row r="991" spans="1:27" ht="25" customHeight="1">
      <c r="A991" s="2797" t="s">
        <v>95</v>
      </c>
      <c r="B991" s="2595" t="s">
        <v>423</v>
      </c>
      <c r="C991" s="2619"/>
      <c r="D991" s="2620"/>
      <c r="E991" s="2638">
        <f>'8. Vol Tangki'!$O$84</f>
        <v>21.2</v>
      </c>
      <c r="F991" s="2590" t="s">
        <v>89</v>
      </c>
      <c r="G991" s="2389">
        <v>257048.94</v>
      </c>
      <c r="H991" s="2389">
        <f t="shared" ref="H991:H997" si="296">E991*G991</f>
        <v>5449437.5279999999</v>
      </c>
      <c r="I991" s="2465">
        <f>'Resume Analisa'!$D$42</f>
        <v>252902.38</v>
      </c>
      <c r="J991" s="2779">
        <f t="shared" ref="J991:J997" si="297">I991*E991</f>
        <v>5361530.4560000002</v>
      </c>
      <c r="K991" s="2378" t="e">
        <f>IF(H991=0,"",IF(J991&lt;#REF!*H991,"Timpang &lt;"&amp;TEXT(#REF!,"0%"),IF(J991&gt;#REF!*H991,"Timpang &gt;"&amp;TEXT(#REF!,"0%"),"Wajar")))</f>
        <v>#REF!</v>
      </c>
      <c r="L991" s="2391">
        <v>252902.38</v>
      </c>
      <c r="M991" s="2391">
        <f t="shared" ref="M991:M997" si="298">E991*L991</f>
        <v>5361530.4560000002</v>
      </c>
      <c r="N991" s="2375">
        <f t="shared" si="283"/>
        <v>2.3420309239698838E-3</v>
      </c>
      <c r="O991" s="2375"/>
      <c r="P991" s="2590"/>
      <c r="Q991" s="2375"/>
      <c r="R991" s="2375">
        <f t="shared" si="292"/>
        <v>0</v>
      </c>
      <c r="S991" s="2375"/>
      <c r="T991" s="2398"/>
      <c r="U991" s="2375"/>
      <c r="V991" s="2375"/>
      <c r="W991" s="2382">
        <f t="shared" si="290"/>
        <v>21.2</v>
      </c>
      <c r="X991" s="2590" t="s">
        <v>89</v>
      </c>
      <c r="Y991" s="2375">
        <f t="shared" si="291"/>
        <v>252902.38</v>
      </c>
      <c r="Z991" s="2375"/>
      <c r="AA991" s="2377" t="s">
        <v>3355</v>
      </c>
    </row>
    <row r="992" spans="1:27" ht="25" customHeight="1">
      <c r="A992" s="2797" t="s">
        <v>98</v>
      </c>
      <c r="B992" s="2595" t="s">
        <v>739</v>
      </c>
      <c r="C992" s="2619"/>
      <c r="D992" s="2620"/>
      <c r="E992" s="2638">
        <f>'8. Vol Tangki'!$O$88</f>
        <v>142.53</v>
      </c>
      <c r="F992" s="2590" t="s">
        <v>100</v>
      </c>
      <c r="G992" s="2389">
        <v>25591.18</v>
      </c>
      <c r="H992" s="2389">
        <f t="shared" si="296"/>
        <v>3647510.8854</v>
      </c>
      <c r="I992" s="2465">
        <f>'Resume Analisa'!$D$47</f>
        <v>26179.679999999997</v>
      </c>
      <c r="J992" s="2779">
        <f t="shared" si="297"/>
        <v>3731389.7903999994</v>
      </c>
      <c r="K992" s="2378" t="e">
        <f>IF(H992=0,"",IF(J992&lt;#REF!*H992,"Timpang &lt;"&amp;TEXT(#REF!,"0%"),IF(J992&gt;#REF!*H992,"Timpang &gt;"&amp;TEXT(#REF!,"0%"),"Wajar")))</f>
        <v>#REF!</v>
      </c>
      <c r="L992" s="2391">
        <v>26179.679999999997</v>
      </c>
      <c r="M992" s="2391">
        <f t="shared" si="298"/>
        <v>3731389.7903999994</v>
      </c>
      <c r="N992" s="2375">
        <f t="shared" si="283"/>
        <v>1.6299506922920854E-3</v>
      </c>
      <c r="O992" s="2375"/>
      <c r="P992" s="2590"/>
      <c r="Q992" s="2375"/>
      <c r="R992" s="2375">
        <f t="shared" si="292"/>
        <v>0</v>
      </c>
      <c r="S992" s="2375"/>
      <c r="T992" s="2398"/>
      <c r="U992" s="2375"/>
      <c r="V992" s="2375"/>
      <c r="W992" s="2382">
        <f t="shared" si="290"/>
        <v>142.53</v>
      </c>
      <c r="X992" s="2590" t="s">
        <v>100</v>
      </c>
      <c r="Y992" s="2375">
        <f t="shared" si="291"/>
        <v>26179.679999999997</v>
      </c>
      <c r="Z992" s="2375"/>
      <c r="AA992" s="2377" t="s">
        <v>3355</v>
      </c>
    </row>
    <row r="993" spans="1:27" ht="25" customHeight="1">
      <c r="A993" s="2797" t="s">
        <v>101</v>
      </c>
      <c r="B993" s="2595" t="s">
        <v>427</v>
      </c>
      <c r="C993" s="2619"/>
      <c r="D993" s="2620"/>
      <c r="E993" s="2638">
        <f>'8. Vol Tangki'!$O$92</f>
        <v>56.22</v>
      </c>
      <c r="F993" s="2590" t="s">
        <v>100</v>
      </c>
      <c r="G993" s="2389">
        <v>19151.18</v>
      </c>
      <c r="H993" s="2389">
        <f t="shared" si="296"/>
        <v>1076679.3396000001</v>
      </c>
      <c r="I993" s="2465">
        <f>'Resume Analisa'!$D$48</f>
        <v>18790.969999999998</v>
      </c>
      <c r="J993" s="2779">
        <f t="shared" si="297"/>
        <v>1056428.3333999999</v>
      </c>
      <c r="K993" s="2378" t="e">
        <f>IF(H993=0,"",IF(J993&lt;#REF!*H993,"Timpang &lt;"&amp;TEXT(#REF!,"0%"),IF(J993&gt;#REF!*H993,"Timpang &gt;"&amp;TEXT(#REF!,"0%"),"Wajar")))</f>
        <v>#REF!</v>
      </c>
      <c r="L993" s="2391">
        <v>18790.969999999998</v>
      </c>
      <c r="M993" s="2391">
        <f t="shared" si="298"/>
        <v>1056428.3333999999</v>
      </c>
      <c r="N993" s="2375">
        <f t="shared" ref="N993:N1016" si="299">M993/$M$8</f>
        <v>4.6147044133861877E-4</v>
      </c>
      <c r="O993" s="2375"/>
      <c r="P993" s="2590"/>
      <c r="Q993" s="2375"/>
      <c r="R993" s="2375">
        <f t="shared" si="292"/>
        <v>0</v>
      </c>
      <c r="S993" s="2386"/>
      <c r="T993" s="2398"/>
      <c r="U993" s="2375"/>
      <c r="V993" s="2375"/>
      <c r="W993" s="2382">
        <f t="shared" si="290"/>
        <v>56.22</v>
      </c>
      <c r="X993" s="2590" t="s">
        <v>100</v>
      </c>
      <c r="Y993" s="2375">
        <f t="shared" si="291"/>
        <v>18790.969999999998</v>
      </c>
      <c r="Z993" s="2375"/>
      <c r="AA993" s="2377" t="s">
        <v>3355</v>
      </c>
    </row>
    <row r="994" spans="1:27" ht="25" customHeight="1">
      <c r="A994" s="2797" t="s">
        <v>121</v>
      </c>
      <c r="B994" s="2595" t="s">
        <v>735</v>
      </c>
      <c r="C994" s="2619"/>
      <c r="D994" s="2620"/>
      <c r="E994" s="2638">
        <f>'8. Vol Tangki'!$O$98</f>
        <v>71.510000000000005</v>
      </c>
      <c r="F994" s="2590" t="s">
        <v>100</v>
      </c>
      <c r="G994" s="2389">
        <v>19151.18</v>
      </c>
      <c r="H994" s="2389">
        <f t="shared" si="296"/>
        <v>1369500.8818000001</v>
      </c>
      <c r="I994" s="2465">
        <f>'Resume Analisa'!$D$48</f>
        <v>18790.969999999998</v>
      </c>
      <c r="J994" s="2779">
        <f t="shared" si="297"/>
        <v>1343742.2646999999</v>
      </c>
      <c r="K994" s="2378" t="e">
        <f>IF(H994=0,"",IF(J994&lt;#REF!*H994,"Timpang &lt;"&amp;TEXT(#REF!,"0%"),IF(J994&gt;#REF!*H994,"Timpang &gt;"&amp;TEXT(#REF!,"0%"),"Wajar")))</f>
        <v>#REF!</v>
      </c>
      <c r="L994" s="2391">
        <v>18790.969999999998</v>
      </c>
      <c r="M994" s="2391">
        <f t="shared" si="298"/>
        <v>1343742.2646999999</v>
      </c>
      <c r="N994" s="2375">
        <f t="shared" si="299"/>
        <v>5.8697529811676684E-4</v>
      </c>
      <c r="O994" s="2375"/>
      <c r="P994" s="2590"/>
      <c r="Q994" s="2375"/>
      <c r="R994" s="2375">
        <f t="shared" si="292"/>
        <v>0</v>
      </c>
      <c r="S994" s="2386"/>
      <c r="T994" s="2398"/>
      <c r="U994" s="2375"/>
      <c r="V994" s="2375"/>
      <c r="W994" s="2382">
        <f t="shared" si="290"/>
        <v>71.510000000000005</v>
      </c>
      <c r="X994" s="2590" t="s">
        <v>100</v>
      </c>
      <c r="Y994" s="2375">
        <f t="shared" si="291"/>
        <v>18790.969999999998</v>
      </c>
      <c r="Z994" s="2375"/>
      <c r="AA994" s="2377" t="s">
        <v>3355</v>
      </c>
    </row>
    <row r="995" spans="1:27" ht="25" customHeight="1">
      <c r="A995" s="2797" t="s">
        <v>142</v>
      </c>
      <c r="B995" s="2595" t="s">
        <v>732</v>
      </c>
      <c r="C995" s="2619"/>
      <c r="D995" s="2620"/>
      <c r="E995" s="2638">
        <f>'8. Vol Tangki'!$O$102</f>
        <v>60.32</v>
      </c>
      <c r="F995" s="2590" t="s">
        <v>100</v>
      </c>
      <c r="G995" s="2389">
        <v>19151.18</v>
      </c>
      <c r="H995" s="2389">
        <f t="shared" si="296"/>
        <v>1155199.1776000001</v>
      </c>
      <c r="I995" s="2465">
        <f>'Resume Analisa'!$D$48</f>
        <v>18790.969999999998</v>
      </c>
      <c r="J995" s="2779">
        <f t="shared" si="297"/>
        <v>1133471.3103999998</v>
      </c>
      <c r="K995" s="2378" t="e">
        <f>IF(H995=0,"",IF(J995&lt;#REF!*H995,"Timpang &lt;"&amp;TEXT(#REF!,"0%"),IF(J995&gt;#REF!*H995,"Timpang &gt;"&amp;TEXT(#REF!,"0%"),"Wajar")))</f>
        <v>#REF!</v>
      </c>
      <c r="L995" s="2391">
        <v>18790.969999999998</v>
      </c>
      <c r="M995" s="2391">
        <f t="shared" si="298"/>
        <v>1133471.3103999998</v>
      </c>
      <c r="N995" s="2375">
        <f t="shared" si="299"/>
        <v>4.9512445787167352E-4</v>
      </c>
      <c r="O995" s="2375"/>
      <c r="P995" s="2590"/>
      <c r="Q995" s="2375"/>
      <c r="R995" s="2375">
        <f t="shared" si="292"/>
        <v>0</v>
      </c>
      <c r="S995" s="2375"/>
      <c r="T995" s="2398"/>
      <c r="U995" s="2375"/>
      <c r="V995" s="2375"/>
      <c r="W995" s="2382">
        <f t="shared" si="290"/>
        <v>60.32</v>
      </c>
      <c r="X995" s="2590" t="s">
        <v>100</v>
      </c>
      <c r="Y995" s="2375">
        <f t="shared" si="291"/>
        <v>18790.969999999998</v>
      </c>
      <c r="Z995" s="2375"/>
      <c r="AA995" s="2377" t="s">
        <v>3355</v>
      </c>
    </row>
    <row r="996" spans="1:27" ht="25" customHeight="1">
      <c r="A996" s="2797" t="s">
        <v>217</v>
      </c>
      <c r="B996" s="2595" t="s">
        <v>420</v>
      </c>
      <c r="C996" s="2619"/>
      <c r="D996" s="2620"/>
      <c r="E996" s="2638">
        <f>'8. Vol Tangki'!$O$106</f>
        <v>1.82</v>
      </c>
      <c r="F996" s="2590" t="s">
        <v>103</v>
      </c>
      <c r="G996" s="2389">
        <v>1584129.98</v>
      </c>
      <c r="H996" s="2389">
        <f t="shared" si="296"/>
        <v>2883116.5636</v>
      </c>
      <c r="I996" s="2465">
        <f>'Resume Analisa'!$D$55</f>
        <v>1535009.1300000001</v>
      </c>
      <c r="J996" s="2779">
        <f t="shared" si="297"/>
        <v>2793716.6166000003</v>
      </c>
      <c r="K996" s="2378" t="e">
        <f>IF(H996=0,"",IF(J996&lt;#REF!*H996,"Timpang &lt;"&amp;TEXT(#REF!,"0%"),IF(J996&gt;#REF!*H996,"Timpang &gt;"&amp;TEXT(#REF!,"0%"),"Wajar")))</f>
        <v>#REF!</v>
      </c>
      <c r="L996" s="2391">
        <v>1535009.1300000001</v>
      </c>
      <c r="M996" s="2391">
        <f t="shared" si="298"/>
        <v>2793716.6166000003</v>
      </c>
      <c r="N996" s="2375">
        <f t="shared" si="299"/>
        <v>1.2203550390287507E-3</v>
      </c>
      <c r="O996" s="2375"/>
      <c r="P996" s="2590"/>
      <c r="Q996" s="2375"/>
      <c r="R996" s="2375">
        <f t="shared" si="292"/>
        <v>0</v>
      </c>
      <c r="S996" s="2375"/>
      <c r="T996" s="2398"/>
      <c r="U996" s="2375"/>
      <c r="V996" s="2375"/>
      <c r="W996" s="2382">
        <f t="shared" si="290"/>
        <v>1.82</v>
      </c>
      <c r="X996" s="2590" t="s">
        <v>103</v>
      </c>
      <c r="Y996" s="2375">
        <f t="shared" si="291"/>
        <v>1535009.1300000001</v>
      </c>
      <c r="Z996" s="2375"/>
      <c r="AA996" s="2377" t="s">
        <v>3355</v>
      </c>
    </row>
    <row r="997" spans="1:27" ht="25" customHeight="1">
      <c r="A997" s="2797" t="s">
        <v>366</v>
      </c>
      <c r="B997" s="2595" t="s">
        <v>729</v>
      </c>
      <c r="C997" s="2619"/>
      <c r="D997" s="2620"/>
      <c r="E997" s="2638">
        <f>'8. Vol Tangki'!$O$107</f>
        <v>1.82</v>
      </c>
      <c r="F997" s="2590" t="s">
        <v>103</v>
      </c>
      <c r="G997" s="2389">
        <v>43240</v>
      </c>
      <c r="H997" s="2389">
        <f t="shared" si="296"/>
        <v>78696.800000000003</v>
      </c>
      <c r="I997" s="2465">
        <f>'Resume Analisa'!$D$60</f>
        <v>42304.98</v>
      </c>
      <c r="J997" s="2779">
        <f t="shared" si="297"/>
        <v>76995.063600000009</v>
      </c>
      <c r="K997" s="2378" t="e">
        <f>IF(H997=0,"",IF(J997&lt;#REF!*H997,"Timpang &lt;"&amp;TEXT(#REF!,"0%"),IF(J997&gt;#REF!*H997,"Timpang &gt;"&amp;TEXT(#REF!,"0%"),"Wajar")))</f>
        <v>#REF!</v>
      </c>
      <c r="L997" s="2391">
        <v>42304.98</v>
      </c>
      <c r="M997" s="2391">
        <f t="shared" si="298"/>
        <v>76995.063600000009</v>
      </c>
      <c r="N997" s="2375">
        <f t="shared" si="299"/>
        <v>3.3633086937411583E-5</v>
      </c>
      <c r="O997" s="2375"/>
      <c r="P997" s="2590"/>
      <c r="Q997" s="2375"/>
      <c r="R997" s="2375">
        <f t="shared" si="292"/>
        <v>0</v>
      </c>
      <c r="S997" s="2375"/>
      <c r="T997" s="2398"/>
      <c r="U997" s="2375"/>
      <c r="V997" s="2375"/>
      <c r="W997" s="2382">
        <f t="shared" si="290"/>
        <v>1.82</v>
      </c>
      <c r="X997" s="2590" t="s">
        <v>103</v>
      </c>
      <c r="Y997" s="2375">
        <f t="shared" si="291"/>
        <v>42304.98</v>
      </c>
      <c r="Z997" s="2375"/>
      <c r="AA997" s="2377" t="s">
        <v>3355</v>
      </c>
    </row>
    <row r="998" spans="1:27" ht="25" customHeight="1">
      <c r="A998" s="2590">
        <f>A990+1</f>
        <v>7</v>
      </c>
      <c r="B998" s="2673" t="s">
        <v>740</v>
      </c>
      <c r="C998" s="2674"/>
      <c r="D998" s="2675"/>
      <c r="E998" s="2676"/>
      <c r="F998" s="2590"/>
      <c r="G998" s="2389"/>
      <c r="H998" s="2389"/>
      <c r="I998" s="2465"/>
      <c r="J998" s="2779"/>
      <c r="K998" s="2389"/>
      <c r="L998" s="2391"/>
      <c r="M998" s="2391"/>
      <c r="N998" s="2375">
        <f t="shared" si="299"/>
        <v>0</v>
      </c>
      <c r="O998" s="2375"/>
      <c r="P998" s="2590"/>
      <c r="Q998" s="2375"/>
      <c r="R998" s="2375">
        <f t="shared" si="292"/>
        <v>0</v>
      </c>
      <c r="S998" s="2375"/>
      <c r="T998" s="2398"/>
      <c r="U998" s="2375"/>
      <c r="V998" s="2375"/>
      <c r="W998" s="2382">
        <f t="shared" si="290"/>
        <v>0</v>
      </c>
      <c r="X998" s="2590"/>
      <c r="Y998" s="2375">
        <f t="shared" si="291"/>
        <v>0</v>
      </c>
      <c r="Z998" s="2375"/>
      <c r="AA998" s="2377" t="s">
        <v>3355</v>
      </c>
    </row>
    <row r="999" spans="1:27" ht="25" customHeight="1">
      <c r="A999" s="2797" t="s">
        <v>95</v>
      </c>
      <c r="B999" s="2673" t="s">
        <v>423</v>
      </c>
      <c r="C999" s="2674"/>
      <c r="D999" s="2675"/>
      <c r="E999" s="2676">
        <f>'8. Vol Tangki'!$O$115</f>
        <v>6.08</v>
      </c>
      <c r="F999" s="2590" t="s">
        <v>89</v>
      </c>
      <c r="G999" s="2389">
        <v>257048.94</v>
      </c>
      <c r="H999" s="2389">
        <f>E999*G999</f>
        <v>1562857.5552000001</v>
      </c>
      <c r="I999" s="2465">
        <f>'Resume Analisa'!$D$42</f>
        <v>252902.38</v>
      </c>
      <c r="J999" s="2779">
        <f>I999*E999</f>
        <v>1537646.4704</v>
      </c>
      <c r="K999" s="2378" t="e">
        <f>IF(H999=0,"",IF(J999&lt;#REF!*H999,"Timpang &lt;"&amp;TEXT(#REF!,"0%"),IF(J999&gt;#REF!*H999,"Timpang &gt;"&amp;TEXT(#REF!,"0%"),"Wajar")))</f>
        <v>#REF!</v>
      </c>
      <c r="L999" s="2391">
        <v>252902.38</v>
      </c>
      <c r="M999" s="2391">
        <f>E999*L999</f>
        <v>1537646.4704</v>
      </c>
      <c r="N999" s="2375">
        <f t="shared" si="299"/>
        <v>6.7167679328947606E-4</v>
      </c>
      <c r="O999" s="2375"/>
      <c r="P999" s="2590"/>
      <c r="Q999" s="2375"/>
      <c r="R999" s="2375">
        <f t="shared" si="292"/>
        <v>0</v>
      </c>
      <c r="S999" s="2375"/>
      <c r="T999" s="2398"/>
      <c r="U999" s="2375"/>
      <c r="V999" s="2375"/>
      <c r="W999" s="2382">
        <f t="shared" si="290"/>
        <v>6.08</v>
      </c>
      <c r="X999" s="2590" t="s">
        <v>89</v>
      </c>
      <c r="Y999" s="2375">
        <f t="shared" si="291"/>
        <v>252902.38</v>
      </c>
      <c r="Z999" s="2375"/>
      <c r="AA999" s="2377" t="s">
        <v>3355</v>
      </c>
    </row>
    <row r="1000" spans="1:27" ht="25" customHeight="1">
      <c r="A1000" s="2797" t="s">
        <v>98</v>
      </c>
      <c r="B1000" s="2673" t="s">
        <v>741</v>
      </c>
      <c r="C1000" s="2674"/>
      <c r="D1000" s="2675"/>
      <c r="E1000" s="2676">
        <f>'8. Vol Tangki'!$O$117</f>
        <v>24.66</v>
      </c>
      <c r="F1000" s="2590" t="s">
        <v>100</v>
      </c>
      <c r="G1000" s="2389">
        <v>19151.18</v>
      </c>
      <c r="H1000" s="2389">
        <f>E1000*G1000</f>
        <v>472268.09880000004</v>
      </c>
      <c r="I1000" s="2465">
        <f>'Resume Analisa'!$D$48</f>
        <v>18790.969999999998</v>
      </c>
      <c r="J1000" s="2779">
        <f>I1000*E1000</f>
        <v>463385.32019999996</v>
      </c>
      <c r="K1000" s="2378" t="e">
        <f>IF(H1000=0,"",IF(J1000&lt;#REF!*H1000,"Timpang &lt;"&amp;TEXT(#REF!,"0%"),IF(J1000&gt;#REF!*H1000,"Timpang &gt;"&amp;TEXT(#REF!,"0%"),"Wajar")))</f>
        <v>#REF!</v>
      </c>
      <c r="L1000" s="2391">
        <v>18790.969999999998</v>
      </c>
      <c r="M1000" s="2391">
        <f>E1000*L1000</f>
        <v>463385.32019999996</v>
      </c>
      <c r="N1000" s="2375">
        <f t="shared" si="299"/>
        <v>2.0241659700125114E-4</v>
      </c>
      <c r="O1000" s="2375"/>
      <c r="P1000" s="2590"/>
      <c r="Q1000" s="2375"/>
      <c r="R1000" s="2375">
        <f t="shared" si="292"/>
        <v>0</v>
      </c>
      <c r="S1000" s="2386"/>
      <c r="T1000" s="2398"/>
      <c r="U1000" s="2375"/>
      <c r="V1000" s="2375"/>
      <c r="W1000" s="2382">
        <f t="shared" si="290"/>
        <v>24.66</v>
      </c>
      <c r="X1000" s="2590" t="s">
        <v>100</v>
      </c>
      <c r="Y1000" s="2375">
        <f t="shared" si="291"/>
        <v>18790.969999999998</v>
      </c>
      <c r="Z1000" s="2375"/>
      <c r="AA1000" s="2377" t="s">
        <v>3355</v>
      </c>
    </row>
    <row r="1001" spans="1:27" ht="25" customHeight="1">
      <c r="A1001" s="2797" t="s">
        <v>101</v>
      </c>
      <c r="B1001" s="2673" t="s">
        <v>732</v>
      </c>
      <c r="C1001" s="2674"/>
      <c r="D1001" s="2675"/>
      <c r="E1001" s="2676">
        <f>'8. Vol Tangki'!$O$119</f>
        <v>16.62</v>
      </c>
      <c r="F1001" s="2590" t="s">
        <v>100</v>
      </c>
      <c r="G1001" s="2389">
        <v>19151.18</v>
      </c>
      <c r="H1001" s="2389">
        <f>E1001*G1001</f>
        <v>318292.6116</v>
      </c>
      <c r="I1001" s="2465">
        <f>'Resume Analisa'!$D$48</f>
        <v>18790.969999999998</v>
      </c>
      <c r="J1001" s="2779">
        <f>I1001*E1001</f>
        <v>312305.92139999999</v>
      </c>
      <c r="K1001" s="2378" t="e">
        <f>IF(H1001=0,"",IF(J1001&lt;#REF!*H1001,"Timpang &lt;"&amp;TEXT(#REF!,"0%"),IF(J1001&gt;#REF!*H1001,"Timpang &gt;"&amp;TEXT(#REF!,"0%"),"Wajar")))</f>
        <v>#REF!</v>
      </c>
      <c r="L1001" s="2391">
        <v>18790.969999999998</v>
      </c>
      <c r="M1001" s="2391">
        <f>E1001*L1001</f>
        <v>312305.92139999999</v>
      </c>
      <c r="N1001" s="2375">
        <f t="shared" si="299"/>
        <v>1.3642189140960237E-4</v>
      </c>
      <c r="O1001" s="2375"/>
      <c r="P1001" s="2590"/>
      <c r="Q1001" s="2375"/>
      <c r="R1001" s="2375">
        <f t="shared" si="292"/>
        <v>0</v>
      </c>
      <c r="S1001" s="2386"/>
      <c r="T1001" s="2398"/>
      <c r="U1001" s="2375"/>
      <c r="V1001" s="2375"/>
      <c r="W1001" s="2382">
        <f t="shared" si="290"/>
        <v>16.62</v>
      </c>
      <c r="X1001" s="2590" t="s">
        <v>100</v>
      </c>
      <c r="Y1001" s="2375">
        <f t="shared" si="291"/>
        <v>18790.969999999998</v>
      </c>
      <c r="Z1001" s="2375"/>
      <c r="AA1001" s="2377" t="s">
        <v>3355</v>
      </c>
    </row>
    <row r="1002" spans="1:27" ht="25" customHeight="1">
      <c r="A1002" s="2797" t="s">
        <v>121</v>
      </c>
      <c r="B1002" s="2673" t="s">
        <v>420</v>
      </c>
      <c r="C1002" s="2674"/>
      <c r="D1002" s="2675"/>
      <c r="E1002" s="2676">
        <f>'8. Vol Tangki'!$O$120</f>
        <v>0.48</v>
      </c>
      <c r="F1002" s="2590" t="s">
        <v>103</v>
      </c>
      <c r="G1002" s="2389">
        <v>1584129.98</v>
      </c>
      <c r="H1002" s="2389">
        <f>E1002*G1002</f>
        <v>760382.39039999992</v>
      </c>
      <c r="I1002" s="2465">
        <f>'Resume Analisa'!$D$55</f>
        <v>1535009.1300000001</v>
      </c>
      <c r="J1002" s="2779">
        <f>I1002*E1002</f>
        <v>736804.3824</v>
      </c>
      <c r="K1002" s="2378" t="e">
        <f>IF(H1002=0,"",IF(J1002&lt;#REF!*H1002,"Timpang &lt;"&amp;TEXT(#REF!,"0%"),IF(J1002&gt;#REF!*H1002,"Timpang &gt;"&amp;TEXT(#REF!,"0%"),"Wajar")))</f>
        <v>#REF!</v>
      </c>
      <c r="L1002" s="2391">
        <v>1535009.1300000001</v>
      </c>
      <c r="M1002" s="2391">
        <f>E1002*L1002</f>
        <v>736804.3824</v>
      </c>
      <c r="N1002" s="2375">
        <f t="shared" si="299"/>
        <v>3.2185187842516502E-4</v>
      </c>
      <c r="O1002" s="2375"/>
      <c r="P1002" s="2590"/>
      <c r="Q1002" s="2375"/>
      <c r="R1002" s="2375">
        <f t="shared" si="292"/>
        <v>0</v>
      </c>
      <c r="S1002" s="2375"/>
      <c r="T1002" s="2537"/>
      <c r="U1002" s="2375"/>
      <c r="V1002" s="2375"/>
      <c r="W1002" s="2382">
        <f t="shared" si="290"/>
        <v>0.48</v>
      </c>
      <c r="X1002" s="2590" t="s">
        <v>103</v>
      </c>
      <c r="Y1002" s="2375">
        <f t="shared" si="291"/>
        <v>1535009.1300000001</v>
      </c>
      <c r="Z1002" s="2375"/>
      <c r="AA1002" s="2377" t="s">
        <v>3355</v>
      </c>
    </row>
    <row r="1003" spans="1:27" ht="25" customHeight="1">
      <c r="A1003" s="2797" t="s">
        <v>142</v>
      </c>
      <c r="B1003" s="2673" t="s">
        <v>729</v>
      </c>
      <c r="C1003" s="2674"/>
      <c r="D1003" s="2675"/>
      <c r="E1003" s="2676">
        <f>'8. Vol Tangki'!$O$122</f>
        <v>0.48</v>
      </c>
      <c r="F1003" s="2590" t="s">
        <v>103</v>
      </c>
      <c r="G1003" s="2389">
        <v>43240</v>
      </c>
      <c r="H1003" s="2389">
        <f>E1003*G1003</f>
        <v>20755.2</v>
      </c>
      <c r="I1003" s="2465">
        <f>'Resume Analisa'!$D$60</f>
        <v>42304.98</v>
      </c>
      <c r="J1003" s="2779">
        <f>I1003*E1003</f>
        <v>20306.3904</v>
      </c>
      <c r="K1003" s="2378" t="e">
        <f>IF(H1003=0,"",IF(J1003&lt;#REF!*H1003,"Timpang &lt;"&amp;TEXT(#REF!,"0%"),IF(J1003&gt;#REF!*H1003,"Timpang &gt;"&amp;TEXT(#REF!,"0%"),"Wajar")))</f>
        <v>#REF!</v>
      </c>
      <c r="L1003" s="2391">
        <v>42304.98</v>
      </c>
      <c r="M1003" s="2391">
        <f>E1003*L1003</f>
        <v>20306.3904</v>
      </c>
      <c r="N1003" s="2375">
        <f t="shared" si="299"/>
        <v>8.8702646867898671E-6</v>
      </c>
      <c r="O1003" s="2375"/>
      <c r="P1003" s="2590"/>
      <c r="Q1003" s="2375"/>
      <c r="R1003" s="2375">
        <f t="shared" si="292"/>
        <v>0</v>
      </c>
      <c r="S1003" s="2375"/>
      <c r="T1003" s="2796"/>
      <c r="U1003" s="2375"/>
      <c r="V1003" s="2375"/>
      <c r="W1003" s="2382">
        <f t="shared" si="290"/>
        <v>0.48</v>
      </c>
      <c r="X1003" s="2590" t="s">
        <v>103</v>
      </c>
      <c r="Y1003" s="2375">
        <f t="shared" si="291"/>
        <v>42304.98</v>
      </c>
      <c r="Z1003" s="2375"/>
      <c r="AA1003" s="2377" t="s">
        <v>3355</v>
      </c>
    </row>
    <row r="1004" spans="1:27" ht="25" customHeight="1">
      <c r="A1004" s="2590">
        <f>A998+1</f>
        <v>8</v>
      </c>
      <c r="B1004" s="2595" t="s">
        <v>742</v>
      </c>
      <c r="C1004" s="2619"/>
      <c r="D1004" s="2620"/>
      <c r="E1004" s="2638"/>
      <c r="F1004" s="2590"/>
      <c r="G1004" s="2389"/>
      <c r="H1004" s="2389"/>
      <c r="I1004" s="2465"/>
      <c r="J1004" s="2779"/>
      <c r="K1004" s="2389"/>
      <c r="L1004" s="2391"/>
      <c r="M1004" s="2391"/>
      <c r="N1004" s="2375">
        <f t="shared" si="299"/>
        <v>0</v>
      </c>
      <c r="O1004" s="2375"/>
      <c r="P1004" s="2590"/>
      <c r="Q1004" s="2375"/>
      <c r="R1004" s="2375">
        <f t="shared" si="292"/>
        <v>0</v>
      </c>
      <c r="S1004" s="2375"/>
      <c r="T1004" s="2590"/>
      <c r="U1004" s="2375"/>
      <c r="V1004" s="2375"/>
      <c r="W1004" s="2382">
        <f t="shared" si="290"/>
        <v>0</v>
      </c>
      <c r="X1004" s="2590"/>
      <c r="Y1004" s="2375">
        <f t="shared" si="291"/>
        <v>0</v>
      </c>
      <c r="Z1004" s="2375"/>
      <c r="AA1004" s="2377" t="s">
        <v>3355</v>
      </c>
    </row>
    <row r="1005" spans="1:27" ht="25" customHeight="1">
      <c r="A1005" s="2797" t="s">
        <v>95</v>
      </c>
      <c r="B1005" s="2595" t="s">
        <v>423</v>
      </c>
      <c r="C1005" s="2619"/>
      <c r="D1005" s="2620"/>
      <c r="E1005" s="2638">
        <f>'8. Vol Tangki'!$O$127</f>
        <v>22.23</v>
      </c>
      <c r="F1005" s="2590" t="s">
        <v>89</v>
      </c>
      <c r="G1005" s="2389">
        <v>257048.94</v>
      </c>
      <c r="H1005" s="2389">
        <f t="shared" ref="H1005:H1010" si="300">E1005*G1005</f>
        <v>5714197.9362000003</v>
      </c>
      <c r="I1005" s="2465">
        <f>'Resume Analisa'!$D$42</f>
        <v>252902.38</v>
      </c>
      <c r="J1005" s="2779">
        <f t="shared" ref="J1005:J1010" si="301">I1005*E1005</f>
        <v>5622019.9073999999</v>
      </c>
      <c r="K1005" s="2378" t="e">
        <f>IF(H1005=0,"",IF(J1005&lt;#REF!*H1005,"Timpang &lt;"&amp;TEXT(#REF!,"0%"),IF(J1005&gt;#REF!*H1005,"Timpang &gt;"&amp;TEXT(#REF!,"0%"),"Wajar")))</f>
        <v>#REF!</v>
      </c>
      <c r="L1005" s="2391">
        <v>252902.38</v>
      </c>
      <c r="M1005" s="2391">
        <f t="shared" ref="M1005:M1010" si="302">E1005*L1005</f>
        <v>5622019.9073999999</v>
      </c>
      <c r="N1005" s="2375">
        <f t="shared" si="299"/>
        <v>2.455818275464647E-3</v>
      </c>
      <c r="O1005" s="2375"/>
      <c r="P1005" s="2590"/>
      <c r="Q1005" s="2375"/>
      <c r="R1005" s="2375">
        <f t="shared" si="292"/>
        <v>0</v>
      </c>
      <c r="S1005" s="2375"/>
      <c r="T1005" s="2590"/>
      <c r="U1005" s="2375"/>
      <c r="V1005" s="2375"/>
      <c r="W1005" s="2382">
        <f t="shared" si="290"/>
        <v>22.23</v>
      </c>
      <c r="X1005" s="2590" t="s">
        <v>89</v>
      </c>
      <c r="Y1005" s="2375">
        <f t="shared" si="291"/>
        <v>252902.38</v>
      </c>
      <c r="Z1005" s="2375"/>
      <c r="AA1005" s="2377" t="s">
        <v>3355</v>
      </c>
    </row>
    <row r="1006" spans="1:27" ht="25" customHeight="1">
      <c r="A1006" s="2797" t="s">
        <v>101</v>
      </c>
      <c r="B1006" s="2595" t="s">
        <v>743</v>
      </c>
      <c r="C1006" s="2619"/>
      <c r="D1006" s="2620"/>
      <c r="E1006" s="2638">
        <f>'8. Vol Tangki'!$O$128</f>
        <v>72.13</v>
      </c>
      <c r="F1006" s="2590" t="s">
        <v>100</v>
      </c>
      <c r="G1006" s="2389">
        <v>19151.18</v>
      </c>
      <c r="H1006" s="2389">
        <f t="shared" si="300"/>
        <v>1381374.6133999999</v>
      </c>
      <c r="I1006" s="2465">
        <f>'Resume Analisa'!$D$48</f>
        <v>18790.969999999998</v>
      </c>
      <c r="J1006" s="2779">
        <f t="shared" si="301"/>
        <v>1355392.6660999998</v>
      </c>
      <c r="K1006" s="2378" t="e">
        <f>IF(H1006=0,"",IF(J1006&lt;#REF!*H1006,"Timpang &lt;"&amp;TEXT(#REF!,"0%"),IF(J1006&gt;#REF!*H1006,"Timpang &gt;"&amp;TEXT(#REF!,"0%"),"Wajar")))</f>
        <v>#REF!</v>
      </c>
      <c r="L1006" s="2391">
        <v>18790.969999999998</v>
      </c>
      <c r="M1006" s="2391">
        <f t="shared" si="302"/>
        <v>1355392.6660999998</v>
      </c>
      <c r="N1006" s="2375">
        <f t="shared" si="299"/>
        <v>5.9206444208030184E-4</v>
      </c>
      <c r="O1006" s="2375"/>
      <c r="P1006" s="2590"/>
      <c r="Q1006" s="2375"/>
      <c r="R1006" s="2375">
        <f t="shared" si="292"/>
        <v>0</v>
      </c>
      <c r="S1006" s="2375"/>
      <c r="T1006" s="2590"/>
      <c r="U1006" s="2375"/>
      <c r="V1006" s="2375"/>
      <c r="W1006" s="2382">
        <f t="shared" si="290"/>
        <v>72.13</v>
      </c>
      <c r="X1006" s="2590" t="s">
        <v>100</v>
      </c>
      <c r="Y1006" s="2375">
        <f t="shared" si="291"/>
        <v>18790.969999999998</v>
      </c>
      <c r="Z1006" s="2375"/>
      <c r="AA1006" s="2377" t="s">
        <v>3355</v>
      </c>
    </row>
    <row r="1007" spans="1:27" ht="25" customHeight="1">
      <c r="A1007" s="2797" t="s">
        <v>121</v>
      </c>
      <c r="B1007" s="2595" t="s">
        <v>735</v>
      </c>
      <c r="C1007" s="2619"/>
      <c r="D1007" s="2620"/>
      <c r="E1007" s="2638">
        <f>'8. Vol Tangki'!$O$129</f>
        <v>81.38</v>
      </c>
      <c r="F1007" s="2590" t="s">
        <v>100</v>
      </c>
      <c r="G1007" s="2389">
        <v>19151.18</v>
      </c>
      <c r="H1007" s="2389">
        <f t="shared" si="300"/>
        <v>1558523.0284</v>
      </c>
      <c r="I1007" s="2465">
        <f>'Resume Analisa'!$D$48</f>
        <v>18790.969999999998</v>
      </c>
      <c r="J1007" s="2779">
        <f t="shared" si="301"/>
        <v>1529209.1385999997</v>
      </c>
      <c r="K1007" s="2378" t="e">
        <f>IF(H1007=0,"",IF(J1007&lt;#REF!*H1007,"Timpang &lt;"&amp;TEXT(#REF!,"0%"),IF(J1007&gt;#REF!*H1007,"Timpang &gt;"&amp;TEXT(#REF!,"0%"),"Wajar")))</f>
        <v>#REF!</v>
      </c>
      <c r="L1007" s="2391">
        <v>18790.969999999998</v>
      </c>
      <c r="M1007" s="2391">
        <f t="shared" si="302"/>
        <v>1529209.1385999997</v>
      </c>
      <c r="N1007" s="2375">
        <f t="shared" si="299"/>
        <v>6.6799118669755948E-4</v>
      </c>
      <c r="O1007" s="2375"/>
      <c r="P1007" s="2590"/>
      <c r="Q1007" s="2375"/>
      <c r="R1007" s="2375">
        <f t="shared" si="292"/>
        <v>0</v>
      </c>
      <c r="S1007" s="2386"/>
      <c r="T1007" s="2627"/>
      <c r="U1007" s="2375"/>
      <c r="V1007" s="2375"/>
      <c r="W1007" s="2382">
        <f t="shared" si="290"/>
        <v>81.38</v>
      </c>
      <c r="X1007" s="2590" t="s">
        <v>100</v>
      </c>
      <c r="Y1007" s="2375">
        <f t="shared" si="291"/>
        <v>18790.969999999998</v>
      </c>
      <c r="Z1007" s="2375"/>
      <c r="AA1007" s="2377" t="s">
        <v>3355</v>
      </c>
    </row>
    <row r="1008" spans="1:27" ht="25" customHeight="1">
      <c r="A1008" s="2797" t="s">
        <v>142</v>
      </c>
      <c r="B1008" s="2595" t="s">
        <v>732</v>
      </c>
      <c r="C1008" s="2619"/>
      <c r="D1008" s="2620"/>
      <c r="E1008" s="2638">
        <f>'8. Vol Tangki'!$O$130</f>
        <v>61.87</v>
      </c>
      <c r="F1008" s="2590" t="s">
        <v>100</v>
      </c>
      <c r="G1008" s="2389">
        <v>19151.18</v>
      </c>
      <c r="H1008" s="2389">
        <f t="shared" si="300"/>
        <v>1184883.5066</v>
      </c>
      <c r="I1008" s="2465">
        <f>'Resume Analisa'!$D$48</f>
        <v>18790.969999999998</v>
      </c>
      <c r="J1008" s="2779">
        <f t="shared" si="301"/>
        <v>1162597.3138999997</v>
      </c>
      <c r="K1008" s="2378" t="e">
        <f>IF(H1008=0,"",IF(J1008&lt;#REF!*H1008,"Timpang &lt;"&amp;TEXT(#REF!,"0%"),IF(J1008&gt;#REF!*H1008,"Timpang &gt;"&amp;TEXT(#REF!,"0%"),"Wajar")))</f>
        <v>#REF!</v>
      </c>
      <c r="L1008" s="2391">
        <v>18790.969999999998</v>
      </c>
      <c r="M1008" s="2391">
        <f t="shared" si="302"/>
        <v>1162597.3138999997</v>
      </c>
      <c r="N1008" s="2375">
        <f t="shared" si="299"/>
        <v>5.0784731778051118E-4</v>
      </c>
      <c r="O1008" s="2375"/>
      <c r="P1008" s="2590"/>
      <c r="Q1008" s="2375"/>
      <c r="R1008" s="2375">
        <f t="shared" si="292"/>
        <v>0</v>
      </c>
      <c r="S1008" s="2386"/>
      <c r="T1008" s="2560"/>
      <c r="U1008" s="2375"/>
      <c r="V1008" s="2375"/>
      <c r="W1008" s="2382">
        <f t="shared" si="290"/>
        <v>61.87</v>
      </c>
      <c r="X1008" s="2590" t="s">
        <v>100</v>
      </c>
      <c r="Y1008" s="2375">
        <f t="shared" si="291"/>
        <v>18790.969999999998</v>
      </c>
      <c r="Z1008" s="2375"/>
      <c r="AA1008" s="2377" t="s">
        <v>3355</v>
      </c>
    </row>
    <row r="1009" spans="1:27" ht="25" customHeight="1">
      <c r="A1009" s="2797" t="s">
        <v>217</v>
      </c>
      <c r="B1009" s="2595" t="s">
        <v>420</v>
      </c>
      <c r="C1009" s="2619"/>
      <c r="D1009" s="2620"/>
      <c r="E1009" s="2638">
        <f>'8. Vol Tangki'!$O$131</f>
        <v>1.4</v>
      </c>
      <c r="F1009" s="2590" t="s">
        <v>103</v>
      </c>
      <c r="G1009" s="2389">
        <v>1584129.98</v>
      </c>
      <c r="H1009" s="2389">
        <f t="shared" si="300"/>
        <v>2217781.9719999996</v>
      </c>
      <c r="I1009" s="2465">
        <f>'Resume Analisa'!$D$55</f>
        <v>1535009.1300000001</v>
      </c>
      <c r="J1009" s="2779">
        <f t="shared" si="301"/>
        <v>2149012.7820000001</v>
      </c>
      <c r="K1009" s="2378" t="e">
        <f>IF(H1009=0,"",IF(J1009&lt;#REF!*H1009,"Timpang &lt;"&amp;TEXT(#REF!,"0%"),IF(J1009&gt;#REF!*H1009,"Timpang &gt;"&amp;TEXT(#REF!,"0%"),"Wajar")))</f>
        <v>#REF!</v>
      </c>
      <c r="L1009" s="2391">
        <v>1535009.1300000001</v>
      </c>
      <c r="M1009" s="2391">
        <f t="shared" si="302"/>
        <v>2149012.7820000001</v>
      </c>
      <c r="N1009" s="2375">
        <f t="shared" si="299"/>
        <v>9.387346454067313E-4</v>
      </c>
      <c r="O1009" s="2375"/>
      <c r="P1009" s="2590"/>
      <c r="Q1009" s="2375"/>
      <c r="R1009" s="2375">
        <f t="shared" si="292"/>
        <v>0</v>
      </c>
      <c r="S1009" s="2375"/>
      <c r="T1009" s="2627"/>
      <c r="U1009" s="2375"/>
      <c r="V1009" s="2375"/>
      <c r="W1009" s="2382">
        <f t="shared" si="290"/>
        <v>1.4</v>
      </c>
      <c r="X1009" s="2590" t="s">
        <v>103</v>
      </c>
      <c r="Y1009" s="2375">
        <f t="shared" si="291"/>
        <v>1535009.1300000001</v>
      </c>
      <c r="Z1009" s="2375"/>
      <c r="AA1009" s="2377" t="s">
        <v>3355</v>
      </c>
    </row>
    <row r="1010" spans="1:27" ht="25" customHeight="1">
      <c r="A1010" s="2797" t="s">
        <v>366</v>
      </c>
      <c r="B1010" s="2595" t="s">
        <v>729</v>
      </c>
      <c r="C1010" s="2619"/>
      <c r="D1010" s="2620"/>
      <c r="E1010" s="2638">
        <f>'8. Vol Tangki'!$O$132</f>
        <v>1.4</v>
      </c>
      <c r="F1010" s="2590" t="s">
        <v>103</v>
      </c>
      <c r="G1010" s="2389">
        <v>43240</v>
      </c>
      <c r="H1010" s="2389">
        <f t="shared" si="300"/>
        <v>60535.999999999993</v>
      </c>
      <c r="I1010" s="2465">
        <f>'Resume Analisa'!$D$60</f>
        <v>42304.98</v>
      </c>
      <c r="J1010" s="2779">
        <f t="shared" si="301"/>
        <v>59226.972000000002</v>
      </c>
      <c r="K1010" s="2378" t="e">
        <f>IF(H1010=0,"",IF(J1010&lt;#REF!*H1010,"Timpang &lt;"&amp;TEXT(#REF!,"0%"),IF(J1010&gt;#REF!*H1010,"Timpang &gt;"&amp;TEXT(#REF!,"0%"),"Wajar")))</f>
        <v>#REF!</v>
      </c>
      <c r="L1010" s="2391">
        <v>42304.98</v>
      </c>
      <c r="M1010" s="2391">
        <f t="shared" si="302"/>
        <v>59226.972000000002</v>
      </c>
      <c r="N1010" s="2375">
        <f t="shared" si="299"/>
        <v>2.5871605336470447E-5</v>
      </c>
      <c r="O1010" s="2375"/>
      <c r="P1010" s="2590"/>
      <c r="Q1010" s="2375"/>
      <c r="R1010" s="2375">
        <f t="shared" si="292"/>
        <v>0</v>
      </c>
      <c r="S1010" s="2375"/>
      <c r="T1010" s="2627"/>
      <c r="U1010" s="2375"/>
      <c r="V1010" s="2375"/>
      <c r="W1010" s="2382">
        <f t="shared" si="290"/>
        <v>1.4</v>
      </c>
      <c r="X1010" s="2590" t="s">
        <v>103</v>
      </c>
      <c r="Y1010" s="2375">
        <f t="shared" si="291"/>
        <v>42304.98</v>
      </c>
      <c r="Z1010" s="2375"/>
      <c r="AA1010" s="2377" t="s">
        <v>3355</v>
      </c>
    </row>
    <row r="1011" spans="1:27" ht="25" customHeight="1">
      <c r="A1011" s="2590">
        <f>A1004+1</f>
        <v>9</v>
      </c>
      <c r="B1011" s="2673" t="s">
        <v>483</v>
      </c>
      <c r="C1011" s="2674"/>
      <c r="D1011" s="2675"/>
      <c r="E1011" s="2676"/>
      <c r="F1011" s="2590"/>
      <c r="G1011" s="2389"/>
      <c r="H1011" s="2372"/>
      <c r="I1011" s="2465"/>
      <c r="J1011" s="2796"/>
      <c r="K1011" s="2372"/>
      <c r="L1011" s="2391"/>
      <c r="M1011" s="2391"/>
      <c r="N1011" s="2375">
        <f t="shared" si="299"/>
        <v>0</v>
      </c>
      <c r="O1011" s="2375"/>
      <c r="P1011" s="2590"/>
      <c r="Q1011" s="2375"/>
      <c r="R1011" s="2375">
        <f t="shared" si="292"/>
        <v>0</v>
      </c>
      <c r="S1011" s="2375"/>
      <c r="T1011" s="2627"/>
      <c r="U1011" s="2375"/>
      <c r="V1011" s="2375"/>
      <c r="W1011" s="2382">
        <f t="shared" si="290"/>
        <v>0</v>
      </c>
      <c r="X1011" s="2590"/>
      <c r="Y1011" s="2375">
        <f t="shared" si="291"/>
        <v>0</v>
      </c>
      <c r="Z1011" s="2375"/>
      <c r="AA1011" s="2377" t="s">
        <v>3355</v>
      </c>
    </row>
    <row r="1012" spans="1:27" ht="25" customHeight="1">
      <c r="A1012" s="2797" t="s">
        <v>95</v>
      </c>
      <c r="B1012" s="2673" t="s">
        <v>211</v>
      </c>
      <c r="C1012" s="2674"/>
      <c r="D1012" s="2675"/>
      <c r="E1012" s="2676">
        <f>'8. Vol Tangki'!$O$142</f>
        <v>33.44</v>
      </c>
      <c r="F1012" s="2590" t="s">
        <v>89</v>
      </c>
      <c r="G1012" s="2389">
        <v>294733.29000000004</v>
      </c>
      <c r="H1012" s="2389">
        <f>E1012*G1012</f>
        <v>9855881.217600001</v>
      </c>
      <c r="I1012" s="2465">
        <f>'Resume Analisa'!$D$41</f>
        <v>290443.69</v>
      </c>
      <c r="J1012" s="2779">
        <f>I1012*E1012</f>
        <v>9712436.9935999997</v>
      </c>
      <c r="K1012" s="2378" t="e">
        <f>IF(H1012=0,"",IF(J1012&lt;#REF!*H1012,"Timpang &lt;"&amp;TEXT(#REF!,"0%"),IF(J1012&gt;#REF!*H1012,"Timpang &gt;"&amp;TEXT(#REF!,"0%"),"Wajar")))</f>
        <v>#REF!</v>
      </c>
      <c r="L1012" s="2391">
        <v>290443.69</v>
      </c>
      <c r="M1012" s="2391">
        <f>E1012*L1012</f>
        <v>9712436.9935999997</v>
      </c>
      <c r="N1012" s="2375">
        <f t="shared" si="299"/>
        <v>4.2425997525883099E-3</v>
      </c>
      <c r="O1012" s="2375"/>
      <c r="P1012" s="2590"/>
      <c r="Q1012" s="2375"/>
      <c r="R1012" s="2375">
        <f t="shared" si="292"/>
        <v>0</v>
      </c>
      <c r="S1012" s="2375"/>
      <c r="T1012" s="2627"/>
      <c r="U1012" s="2375"/>
      <c r="V1012" s="2375"/>
      <c r="W1012" s="2382">
        <f t="shared" si="290"/>
        <v>33.44</v>
      </c>
      <c r="X1012" s="2590" t="s">
        <v>89</v>
      </c>
      <c r="Y1012" s="2375">
        <f t="shared" si="291"/>
        <v>290443.69</v>
      </c>
      <c r="Z1012" s="2375"/>
      <c r="AA1012" s="2377" t="s">
        <v>3355</v>
      </c>
    </row>
    <row r="1013" spans="1:27" ht="25" customHeight="1">
      <c r="A1013" s="2797" t="s">
        <v>98</v>
      </c>
      <c r="B1013" s="2673" t="s">
        <v>744</v>
      </c>
      <c r="C1013" s="2674"/>
      <c r="D1013" s="2675"/>
      <c r="E1013" s="2676">
        <f>'8. Vol Tangki'!$O$143</f>
        <v>72</v>
      </c>
      <c r="F1013" s="2590" t="s">
        <v>89</v>
      </c>
      <c r="G1013" s="2389">
        <v>76182.909999999989</v>
      </c>
      <c r="H1013" s="2389">
        <f>E1013*G1013</f>
        <v>5485169.5199999996</v>
      </c>
      <c r="I1013" s="2465">
        <f>'Resume Analisa'!$D$51</f>
        <v>78144.03</v>
      </c>
      <c r="J1013" s="2779">
        <f>I1013*E1013</f>
        <v>5626370.1600000001</v>
      </c>
      <c r="K1013" s="2378" t="e">
        <f>IF(H1013=0,"",IF(J1013&lt;#REF!*H1013,"Timpang &lt;"&amp;TEXT(#REF!,"0%"),IF(J1013&gt;#REF!*H1013,"Timpang &gt;"&amp;TEXT(#REF!,"0%"),"Wajar")))</f>
        <v>#REF!</v>
      </c>
      <c r="L1013" s="2391">
        <v>78144.03</v>
      </c>
      <c r="M1013" s="2391">
        <f>E1013*L1013</f>
        <v>5626370.1600000001</v>
      </c>
      <c r="N1013" s="2375">
        <f t="shared" si="299"/>
        <v>2.4577185586393659E-3</v>
      </c>
      <c r="O1013" s="2375"/>
      <c r="P1013" s="2590"/>
      <c r="Q1013" s="2375"/>
      <c r="R1013" s="2375">
        <f t="shared" si="292"/>
        <v>0</v>
      </c>
      <c r="S1013" s="2375"/>
      <c r="T1013" s="2627"/>
      <c r="U1013" s="2375"/>
      <c r="V1013" s="2375"/>
      <c r="W1013" s="2382">
        <f t="shared" si="290"/>
        <v>72</v>
      </c>
      <c r="X1013" s="2590" t="s">
        <v>89</v>
      </c>
      <c r="Y1013" s="2375">
        <f t="shared" si="291"/>
        <v>78144.03</v>
      </c>
      <c r="Z1013" s="2375"/>
      <c r="AA1013" s="2377" t="s">
        <v>3355</v>
      </c>
    </row>
    <row r="1014" spans="1:27" ht="25" customHeight="1">
      <c r="A1014" s="2797" t="s">
        <v>101</v>
      </c>
      <c r="B1014" s="2673" t="s">
        <v>499</v>
      </c>
      <c r="C1014" s="2674"/>
      <c r="D1014" s="2675"/>
      <c r="E1014" s="2676">
        <f>'8. Vol Tangki'!$O$150</f>
        <v>4.4800000000000004</v>
      </c>
      <c r="F1014" s="2590" t="s">
        <v>103</v>
      </c>
      <c r="G1014" s="2389">
        <v>1691953.32</v>
      </c>
      <c r="H1014" s="2389">
        <f>E1014*G1014</f>
        <v>7579950.8736000014</v>
      </c>
      <c r="I1014" s="2465">
        <f>'Resume Analisa'!$D$56</f>
        <v>1635953.06</v>
      </c>
      <c r="J1014" s="2779">
        <f>I1014*E1014</f>
        <v>7329069.7088000011</v>
      </c>
      <c r="K1014" s="2378" t="e">
        <f>IF(H1014=0,"",IF(J1014&lt;#REF!*H1014,"Timpang &lt;"&amp;TEXT(#REF!,"0%"),IF(J1014&gt;#REF!*H1014,"Timpang &gt;"&amp;TEXT(#REF!,"0%"),"Wajar")))</f>
        <v>#REF!</v>
      </c>
      <c r="L1014" s="2391">
        <v>1635953.06</v>
      </c>
      <c r="M1014" s="2391">
        <f>E1014*L1014</f>
        <v>7329069.7088000011</v>
      </c>
      <c r="N1014" s="2375">
        <f t="shared" si="299"/>
        <v>3.2014940589830255E-3</v>
      </c>
      <c r="O1014" s="2375"/>
      <c r="P1014" s="2590"/>
      <c r="Q1014" s="2375"/>
      <c r="R1014" s="2375">
        <f t="shared" si="292"/>
        <v>0</v>
      </c>
      <c r="S1014" s="2386"/>
      <c r="T1014" s="2627"/>
      <c r="U1014" s="2375"/>
      <c r="V1014" s="2375"/>
      <c r="W1014" s="2382">
        <f t="shared" si="290"/>
        <v>4.4800000000000004</v>
      </c>
      <c r="X1014" s="2590" t="s">
        <v>103</v>
      </c>
      <c r="Y1014" s="2375">
        <f t="shared" si="291"/>
        <v>1635953.06</v>
      </c>
      <c r="Z1014" s="2375"/>
      <c r="AA1014" s="2377" t="s">
        <v>3355</v>
      </c>
    </row>
    <row r="1015" spans="1:27" ht="25" customHeight="1">
      <c r="A1015" s="2797" t="s">
        <v>121</v>
      </c>
      <c r="B1015" s="2673" t="s">
        <v>729</v>
      </c>
      <c r="C1015" s="2674"/>
      <c r="D1015" s="2675"/>
      <c r="E1015" s="2676">
        <f>'8. Vol Tangki'!$O$152</f>
        <v>4.4800000000000004</v>
      </c>
      <c r="F1015" s="2590" t="s">
        <v>103</v>
      </c>
      <c r="G1015" s="2389">
        <v>43240</v>
      </c>
      <c r="H1015" s="2389">
        <f>E1015*G1015</f>
        <v>193715.20000000001</v>
      </c>
      <c r="I1015" s="2465">
        <f>'Resume Analisa'!$D$60</f>
        <v>42304.98</v>
      </c>
      <c r="J1015" s="2779">
        <f>I1015*E1015</f>
        <v>189526.31040000005</v>
      </c>
      <c r="K1015" s="2378" t="e">
        <f>IF(H1015=0,"",IF(J1015&lt;#REF!*H1015,"Timpang &lt;"&amp;TEXT(#REF!,"0%"),IF(J1015&gt;#REF!*H1015,"Timpang &gt;"&amp;TEXT(#REF!,"0%"),"Wajar")))</f>
        <v>#REF!</v>
      </c>
      <c r="L1015" s="2391">
        <v>42304.98</v>
      </c>
      <c r="M1015" s="2391">
        <f>E1015*L1015</f>
        <v>189526.31040000005</v>
      </c>
      <c r="N1015" s="2375">
        <f t="shared" si="299"/>
        <v>8.2789137076705452E-5</v>
      </c>
      <c r="O1015" s="2375"/>
      <c r="P1015" s="2590"/>
      <c r="Q1015" s="2375"/>
      <c r="R1015" s="2375">
        <f t="shared" si="292"/>
        <v>0</v>
      </c>
      <c r="S1015" s="2386"/>
      <c r="T1015" s="2627"/>
      <c r="U1015" s="2375"/>
      <c r="V1015" s="2375"/>
      <c r="W1015" s="2382">
        <f t="shared" si="290"/>
        <v>4.4800000000000004</v>
      </c>
      <c r="X1015" s="2590" t="s">
        <v>103</v>
      </c>
      <c r="Y1015" s="2375">
        <f t="shared" si="291"/>
        <v>42304.98</v>
      </c>
      <c r="Z1015" s="2375"/>
      <c r="AA1015" s="2377" t="s">
        <v>3355</v>
      </c>
    </row>
    <row r="1016" spans="1:27" ht="25" customHeight="1">
      <c r="A1016" s="2797"/>
      <c r="B1016" s="2673"/>
      <c r="C1016" s="2674"/>
      <c r="D1016" s="2632" t="s">
        <v>376</v>
      </c>
      <c r="E1016" s="2696"/>
      <c r="F1016" s="2697"/>
      <c r="G1016" s="2546"/>
      <c r="H1016" s="2546">
        <f>SUM(H962:H1015)</f>
        <v>125702965.21700002</v>
      </c>
      <c r="I1016" s="2798"/>
      <c r="J1016" s="2543">
        <f>SUM(J962:J1015)</f>
        <v>124955624.53289999</v>
      </c>
      <c r="K1016" s="2546"/>
      <c r="L1016" s="2457"/>
      <c r="M1016" s="2457">
        <f>SUM(M962:M1015)</f>
        <v>124955624.53289999</v>
      </c>
      <c r="N1016" s="2375">
        <f t="shared" si="299"/>
        <v>5.4583283482521658E-2</v>
      </c>
      <c r="O1016" s="2375"/>
      <c r="P1016" s="2697"/>
      <c r="Q1016" s="2375"/>
      <c r="R1016" s="2375">
        <f t="shared" si="292"/>
        <v>0</v>
      </c>
      <c r="S1016" s="2375"/>
      <c r="T1016" s="2590"/>
      <c r="U1016" s="2375"/>
      <c r="V1016" s="2375"/>
      <c r="W1016" s="2382">
        <f t="shared" si="290"/>
        <v>0</v>
      </c>
      <c r="X1016" s="2697"/>
      <c r="Y1016" s="2375">
        <f t="shared" si="291"/>
        <v>0</v>
      </c>
      <c r="Z1016" s="2375"/>
      <c r="AA1016" s="2377" t="s">
        <v>3355</v>
      </c>
    </row>
    <row r="1017" spans="1:27" ht="25" customHeight="1">
      <c r="A1017" s="2799" t="s">
        <v>723</v>
      </c>
      <c r="B1017" s="2800" t="s">
        <v>745</v>
      </c>
      <c r="C1017" s="2674"/>
      <c r="D1017" s="2675"/>
      <c r="E1017" s="2676"/>
      <c r="F1017" s="2590"/>
      <c r="G1017" s="2389"/>
      <c r="H1017" s="2372"/>
      <c r="I1017" s="2700"/>
      <c r="J1017" s="2796"/>
      <c r="K1017" s="2372"/>
      <c r="L1017" s="2391"/>
      <c r="M1017" s="2391"/>
      <c r="N1017" s="2375"/>
      <c r="O1017" s="2375"/>
      <c r="P1017" s="2590"/>
      <c r="Q1017" s="2375"/>
      <c r="R1017" s="2375">
        <f t="shared" si="292"/>
        <v>0</v>
      </c>
      <c r="S1017" s="2375"/>
      <c r="T1017" s="2590"/>
      <c r="U1017" s="2375"/>
      <c r="V1017" s="2375"/>
      <c r="W1017" s="2382">
        <f t="shared" si="290"/>
        <v>0</v>
      </c>
      <c r="X1017" s="2590"/>
      <c r="Y1017" s="2375">
        <f t="shared" si="291"/>
        <v>0</v>
      </c>
      <c r="Z1017" s="2375"/>
      <c r="AA1017" s="2377"/>
    </row>
    <row r="1018" spans="1:27" s="437" customFormat="1" ht="25" customHeight="1">
      <c r="A1018" s="2590">
        <v>1</v>
      </c>
      <c r="B1018" s="2673" t="s">
        <v>746</v>
      </c>
      <c r="C1018" s="2674"/>
      <c r="D1018" s="2675"/>
      <c r="E1018" s="2676"/>
      <c r="F1018" s="2590"/>
      <c r="G1018" s="2389"/>
      <c r="H1018" s="2372"/>
      <c r="I1018" s="2700"/>
      <c r="J1018" s="2796"/>
      <c r="K1018" s="2372"/>
      <c r="L1018" s="2391"/>
      <c r="M1018" s="2391"/>
      <c r="N1018" s="2375">
        <f>M1018/$M$8</f>
        <v>0</v>
      </c>
      <c r="O1018" s="2375"/>
      <c r="P1018" s="2590"/>
      <c r="Q1018" s="2375"/>
      <c r="R1018" s="2375">
        <f t="shared" si="292"/>
        <v>0</v>
      </c>
      <c r="S1018" s="2375"/>
      <c r="T1018" s="2590"/>
      <c r="U1018" s="2375"/>
      <c r="V1018" s="2375"/>
      <c r="W1018" s="2382">
        <f t="shared" si="290"/>
        <v>0</v>
      </c>
      <c r="X1018" s="2590"/>
      <c r="Y1018" s="2375">
        <f t="shared" si="291"/>
        <v>0</v>
      </c>
      <c r="Z1018" s="2375"/>
      <c r="AA1018" s="3123" t="s">
        <v>3355</v>
      </c>
    </row>
    <row r="1019" spans="1:27" s="437" customFormat="1" ht="60" customHeight="1">
      <c r="A1019" s="2797" t="s">
        <v>95</v>
      </c>
      <c r="B1019" s="3214" t="s">
        <v>747</v>
      </c>
      <c r="C1019" s="3215"/>
      <c r="D1019" s="3216"/>
      <c r="E1019" s="2676">
        <f>'8. Vol Tangki'!$O$155*0</f>
        <v>0</v>
      </c>
      <c r="F1019" s="2590" t="s">
        <v>360</v>
      </c>
      <c r="G1019" s="2389">
        <v>16867433.34</v>
      </c>
      <c r="H1019" s="2389">
        <f>E1019*G1019</f>
        <v>0</v>
      </c>
      <c r="I1019" s="2465">
        <f>'Resume Analisa'!$D$199</f>
        <v>16765887.58</v>
      </c>
      <c r="J1019" s="2779">
        <f>I1019*E1019</f>
        <v>0</v>
      </c>
      <c r="K1019" s="2378" t="str">
        <f>IF(H1019=0,"",IF(J1019&lt;#REF!*H1019,"Timpang &lt;"&amp;TEXT(#REF!,"0%"),IF(J1019&gt;#REF!*H1019,"Timpang &gt;"&amp;TEXT(#REF!,"0%"),"Wajar")))</f>
        <v/>
      </c>
      <c r="L1019" s="2391">
        <v>16765887.58</v>
      </c>
      <c r="M1019" s="2391">
        <f>E1019*L1019</f>
        <v>0</v>
      </c>
      <c r="N1019" s="2375">
        <f>M1019/$M$8</f>
        <v>0</v>
      </c>
      <c r="O1019" s="2375"/>
      <c r="P1019" s="2590"/>
      <c r="Q1019" s="2375"/>
      <c r="R1019" s="2375">
        <f t="shared" si="292"/>
        <v>0</v>
      </c>
      <c r="S1019" s="2375"/>
      <c r="T1019" s="2590"/>
      <c r="U1019" s="2375"/>
      <c r="V1019" s="2375"/>
      <c r="W1019" s="2382">
        <f t="shared" si="290"/>
        <v>0</v>
      </c>
      <c r="X1019" s="2590" t="s">
        <v>360</v>
      </c>
      <c r="Y1019" s="2375">
        <f t="shared" si="291"/>
        <v>16765887.58</v>
      </c>
      <c r="Z1019" s="2375"/>
      <c r="AA1019" s="3123" t="s">
        <v>3355</v>
      </c>
    </row>
    <row r="1020" spans="1:27" s="437" customFormat="1" ht="100.5" customHeight="1">
      <c r="A1020" s="2797" t="s">
        <v>98</v>
      </c>
      <c r="B1020" s="3214" t="s">
        <v>748</v>
      </c>
      <c r="C1020" s="3215"/>
      <c r="D1020" s="3216"/>
      <c r="E1020" s="2676">
        <f>'8. Vol Tangki'!$O$156*0</f>
        <v>0</v>
      </c>
      <c r="F1020" s="2590" t="s">
        <v>360</v>
      </c>
      <c r="G1020" s="2389">
        <v>55185096</v>
      </c>
      <c r="H1020" s="2389">
        <f>E1020*G1020</f>
        <v>0</v>
      </c>
      <c r="I1020" s="2465">
        <f>'Resume Analisa'!$D$200</f>
        <v>55418320.640000001</v>
      </c>
      <c r="J1020" s="2779">
        <f>I1020*E1020</f>
        <v>0</v>
      </c>
      <c r="K1020" s="2378" t="str">
        <f>IF(H1020=0,"",IF(J1020&lt;#REF!*H1020,"Timpang &lt;"&amp;TEXT(#REF!,"0%"),IF(J1020&gt;#REF!*H1020,"Timpang &gt;"&amp;TEXT(#REF!,"0%"),"Wajar")))</f>
        <v/>
      </c>
      <c r="L1020" s="2391">
        <v>55418320.640000001</v>
      </c>
      <c r="M1020" s="2391">
        <f>E1020*L1020</f>
        <v>0</v>
      </c>
      <c r="N1020" s="2375">
        <f>M1020/$M$8</f>
        <v>0</v>
      </c>
      <c r="O1020" s="2375"/>
      <c r="P1020" s="2590"/>
      <c r="Q1020" s="2375"/>
      <c r="R1020" s="2375">
        <f t="shared" si="292"/>
        <v>0</v>
      </c>
      <c r="S1020" s="2375"/>
      <c r="T1020" s="2590"/>
      <c r="U1020" s="2375"/>
      <c r="V1020" s="2375"/>
      <c r="W1020" s="2382">
        <f t="shared" si="290"/>
        <v>0</v>
      </c>
      <c r="X1020" s="2590" t="s">
        <v>360</v>
      </c>
      <c r="Y1020" s="2375">
        <f t="shared" si="291"/>
        <v>55418320.640000001</v>
      </c>
      <c r="Z1020" s="2375"/>
      <c r="AA1020" s="3123" t="s">
        <v>3355</v>
      </c>
    </row>
    <row r="1021" spans="1:27" ht="25" customHeight="1">
      <c r="A1021" s="2590">
        <v>1</v>
      </c>
      <c r="B1021" s="2673" t="s">
        <v>749</v>
      </c>
      <c r="C1021" s="2674"/>
      <c r="D1021" s="2675"/>
      <c r="E1021" s="2676"/>
      <c r="F1021" s="2590"/>
      <c r="G1021" s="2389"/>
      <c r="H1021" s="2372"/>
      <c r="I1021" s="2465"/>
      <c r="J1021" s="2796"/>
      <c r="K1021" s="2372"/>
      <c r="L1021" s="2391"/>
      <c r="M1021" s="2391"/>
      <c r="N1021" s="2375"/>
      <c r="O1021" s="2375"/>
      <c r="P1021" s="2590"/>
      <c r="Q1021" s="2375"/>
      <c r="R1021" s="2375">
        <f t="shared" si="292"/>
        <v>0</v>
      </c>
      <c r="S1021" s="2386"/>
      <c r="T1021" s="2590"/>
      <c r="U1021" s="2375"/>
      <c r="V1021" s="2375"/>
      <c r="W1021" s="2382">
        <f t="shared" si="290"/>
        <v>0</v>
      </c>
      <c r="X1021" s="2590"/>
      <c r="Y1021" s="2375">
        <f t="shared" si="291"/>
        <v>0</v>
      </c>
      <c r="Z1021" s="2375"/>
      <c r="AA1021" s="2377"/>
    </row>
    <row r="1022" spans="1:27" ht="25" customHeight="1">
      <c r="A1022" s="2797" t="s">
        <v>95</v>
      </c>
      <c r="B1022" s="2673" t="s">
        <v>750</v>
      </c>
      <c r="C1022" s="2674"/>
      <c r="D1022" s="2675"/>
      <c r="E1022" s="2676">
        <f>'8. Vol Tangki'!$O$158</f>
        <v>3</v>
      </c>
      <c r="F1022" s="2590" t="s">
        <v>124</v>
      </c>
      <c r="G1022" s="2389">
        <v>236233</v>
      </c>
      <c r="H1022" s="2389">
        <f>E1022*G1022</f>
        <v>708699</v>
      </c>
      <c r="I1022" s="2465">
        <f>'Resume Analisa'!$D$202</f>
        <v>225341.82</v>
      </c>
      <c r="J1022" s="2779">
        <f>I1022*E1022</f>
        <v>676025.46</v>
      </c>
      <c r="K1022" s="2378" t="e">
        <f>IF(H1022=0,"",IF(J1022&lt;#REF!*H1022,"Timpang &lt;"&amp;TEXT(#REF!,"0%"),IF(J1022&gt;#REF!*H1022,"Timpang &gt;"&amp;TEXT(#REF!,"0%"),"Wajar")))</f>
        <v>#REF!</v>
      </c>
      <c r="L1022" s="2391">
        <v>225341.82</v>
      </c>
      <c r="M1022" s="2391">
        <f>E1022*L1022</f>
        <v>676025.46</v>
      </c>
      <c r="N1022" s="2375">
        <f t="shared" ref="N1022:N1038" si="303">M1022/$M$8*100</f>
        <v>2.9530234803369464E-2</v>
      </c>
      <c r="O1022" s="2375">
        <v>0</v>
      </c>
      <c r="P1022" s="2590"/>
      <c r="Q1022" s="2375">
        <f t="shared" ref="Q1022:Q1052" si="304">O1022*L1022</f>
        <v>0</v>
      </c>
      <c r="R1022" s="2375">
        <f t="shared" si="292"/>
        <v>0</v>
      </c>
      <c r="S1022" s="2386">
        <v>0</v>
      </c>
      <c r="T1022" s="2590"/>
      <c r="U1022" s="2375">
        <f t="shared" ref="U1022:U1039" si="305">S1022*L1022</f>
        <v>0</v>
      </c>
      <c r="V1022" s="2375"/>
      <c r="W1022" s="2382">
        <f t="shared" si="290"/>
        <v>3</v>
      </c>
      <c r="X1022" s="2590" t="s">
        <v>124</v>
      </c>
      <c r="Y1022" s="2375">
        <f>W1022*L1022</f>
        <v>676025.46</v>
      </c>
      <c r="Z1022" s="2375">
        <f t="shared" ref="Z1022:Z1038" si="306">Y1022/$M$8*100</f>
        <v>2.9530234803369464E-2</v>
      </c>
      <c r="AA1022" s="2377" t="s">
        <v>3355</v>
      </c>
    </row>
    <row r="1023" spans="1:27" ht="25" customHeight="1">
      <c r="A1023" s="2797" t="s">
        <v>98</v>
      </c>
      <c r="B1023" s="2673" t="s">
        <v>751</v>
      </c>
      <c r="C1023" s="2674"/>
      <c r="D1023" s="2675"/>
      <c r="E1023" s="2676">
        <f>'8. Vol Tangki'!$O$159</f>
        <v>3</v>
      </c>
      <c r="F1023" s="2590" t="s">
        <v>124</v>
      </c>
      <c r="G1023" s="2389">
        <v>3034344</v>
      </c>
      <c r="H1023" s="2389">
        <f>E1023*G1023</f>
        <v>9103032</v>
      </c>
      <c r="I1023" s="2465">
        <f>'Resume Analisa'!$D$201</f>
        <v>3167130.6399999997</v>
      </c>
      <c r="J1023" s="2779">
        <f>I1023*E1023</f>
        <v>9501391.9199999981</v>
      </c>
      <c r="K1023" s="2378" t="e">
        <f>IF(H1023=0,"",IF(J1023&lt;#REF!*H1023,"Timpang &lt;"&amp;TEXT(#REF!,"0%"),IF(J1023&gt;#REF!*H1023,"Timpang &gt;"&amp;TEXT(#REF!,"0%"),"Wajar")))</f>
        <v>#REF!</v>
      </c>
      <c r="L1023" s="2391">
        <v>3167130.6399999997</v>
      </c>
      <c r="M1023" s="2391">
        <f>E1023*L1023</f>
        <v>9501391.9199999981</v>
      </c>
      <c r="N1023" s="2375">
        <f t="shared" si="303"/>
        <v>0.41504107605124424</v>
      </c>
      <c r="O1023" s="2375">
        <v>0</v>
      </c>
      <c r="P1023" s="2590"/>
      <c r="Q1023" s="2375">
        <f t="shared" si="304"/>
        <v>0</v>
      </c>
      <c r="R1023" s="2375">
        <f t="shared" si="292"/>
        <v>0</v>
      </c>
      <c r="S1023" s="2375">
        <v>0</v>
      </c>
      <c r="T1023" s="2590"/>
      <c r="U1023" s="2375">
        <f t="shared" si="305"/>
        <v>0</v>
      </c>
      <c r="V1023" s="2375"/>
      <c r="W1023" s="2382">
        <f t="shared" si="290"/>
        <v>3</v>
      </c>
      <c r="X1023" s="2590" t="s">
        <v>124</v>
      </c>
      <c r="Y1023" s="2375">
        <f t="shared" ref="Y1023:Y1038" si="307">W1023*L1023</f>
        <v>9501391.9199999981</v>
      </c>
      <c r="Z1023" s="2375">
        <f t="shared" si="306"/>
        <v>0.41504107605124424</v>
      </c>
      <c r="AA1023" s="2377" t="s">
        <v>3355</v>
      </c>
    </row>
    <row r="1024" spans="1:27" ht="40" customHeight="1">
      <c r="A1024" s="2797" t="s">
        <v>101</v>
      </c>
      <c r="B1024" s="3214" t="s">
        <v>752</v>
      </c>
      <c r="C1024" s="3215"/>
      <c r="D1024" s="3216"/>
      <c r="E1024" s="2676">
        <f>'8. Vol Tangki'!$O$160</f>
        <v>3</v>
      </c>
      <c r="F1024" s="2590" t="s">
        <v>124</v>
      </c>
      <c r="G1024" s="2389">
        <v>269295.5</v>
      </c>
      <c r="H1024" s="2389">
        <f>E1024*G1024</f>
        <v>807886.5</v>
      </c>
      <c r="I1024" s="2465">
        <f>'Resume Analisa'!$D$203</f>
        <v>265363.26</v>
      </c>
      <c r="J1024" s="2779">
        <f>I1024*E1024</f>
        <v>796089.78</v>
      </c>
      <c r="K1024" s="2378" t="e">
        <f>IF(H1024=0,"",IF(J1024&lt;#REF!*H1024,"Timpang &lt;"&amp;TEXT(#REF!,"0%"),IF(J1024&gt;#REF!*H1024,"Timpang &gt;"&amp;TEXT(#REF!,"0%"),"Wajar")))</f>
        <v>#REF!</v>
      </c>
      <c r="L1024" s="2391">
        <v>265363.26</v>
      </c>
      <c r="M1024" s="2391">
        <f>E1024*L1024</f>
        <v>796089.78</v>
      </c>
      <c r="N1024" s="2375">
        <f t="shared" si="303"/>
        <v>3.4774900531058021E-2</v>
      </c>
      <c r="O1024" s="2375">
        <v>0</v>
      </c>
      <c r="P1024" s="2590"/>
      <c r="Q1024" s="2375">
        <f t="shared" si="304"/>
        <v>0</v>
      </c>
      <c r="R1024" s="2375">
        <f t="shared" si="292"/>
        <v>0</v>
      </c>
      <c r="S1024" s="2375">
        <v>0</v>
      </c>
      <c r="T1024" s="2590"/>
      <c r="U1024" s="2375">
        <f t="shared" si="305"/>
        <v>0</v>
      </c>
      <c r="V1024" s="2375"/>
      <c r="W1024" s="2382">
        <f t="shared" si="290"/>
        <v>3</v>
      </c>
      <c r="X1024" s="2590" t="s">
        <v>124</v>
      </c>
      <c r="Y1024" s="2375">
        <f t="shared" si="307"/>
        <v>796089.78</v>
      </c>
      <c r="Z1024" s="2375">
        <f t="shared" si="306"/>
        <v>3.4774900531058021E-2</v>
      </c>
      <c r="AA1024" s="2377" t="s">
        <v>3355</v>
      </c>
    </row>
    <row r="1025" spans="1:27" ht="40" customHeight="1">
      <c r="A1025" s="2797" t="s">
        <v>121</v>
      </c>
      <c r="B1025" s="3214" t="s">
        <v>753</v>
      </c>
      <c r="C1025" s="3215"/>
      <c r="D1025" s="3216"/>
      <c r="E1025" s="2676">
        <f>'8. Vol Tangki'!$O$161</f>
        <v>3</v>
      </c>
      <c r="F1025" s="2590" t="s">
        <v>124</v>
      </c>
      <c r="G1025" s="2389">
        <v>262683</v>
      </c>
      <c r="H1025" s="2389">
        <f>E1025*G1025</f>
        <v>788049</v>
      </c>
      <c r="I1025" s="2465">
        <f>'Resume Analisa'!$D$204</f>
        <v>247433.81</v>
      </c>
      <c r="J1025" s="2779">
        <f>I1025*E1025</f>
        <v>742301.42999999993</v>
      </c>
      <c r="K1025" s="2378" t="e">
        <f>IF(H1025=0,"",IF(J1025&lt;#REF!*H1025,"Timpang &lt;"&amp;TEXT(#REF!,"0%"),IF(J1025&gt;#REF!*H1025,"Timpang &gt;"&amp;TEXT(#REF!,"0%"),"Wajar")))</f>
        <v>#REF!</v>
      </c>
      <c r="L1025" s="2391">
        <v>247433.81</v>
      </c>
      <c r="M1025" s="2391">
        <f>E1025*L1025</f>
        <v>742301.42999999993</v>
      </c>
      <c r="N1025" s="2375">
        <f t="shared" si="303"/>
        <v>3.2425310612971471E-2</v>
      </c>
      <c r="O1025" s="2375">
        <v>0</v>
      </c>
      <c r="P1025" s="2590"/>
      <c r="Q1025" s="2375">
        <f t="shared" si="304"/>
        <v>0</v>
      </c>
      <c r="R1025" s="2375">
        <f t="shared" si="292"/>
        <v>0</v>
      </c>
      <c r="S1025" s="2375">
        <v>0</v>
      </c>
      <c r="T1025" s="2590"/>
      <c r="U1025" s="2375">
        <f t="shared" si="305"/>
        <v>0</v>
      </c>
      <c r="V1025" s="2375"/>
      <c r="W1025" s="2382">
        <f t="shared" si="290"/>
        <v>3</v>
      </c>
      <c r="X1025" s="2590" t="s">
        <v>124</v>
      </c>
      <c r="Y1025" s="2375">
        <f t="shared" si="307"/>
        <v>742301.42999999993</v>
      </c>
      <c r="Z1025" s="2375">
        <f t="shared" si="306"/>
        <v>3.2425310612971471E-2</v>
      </c>
      <c r="AA1025" s="2377" t="s">
        <v>3355</v>
      </c>
    </row>
    <row r="1026" spans="1:27" ht="25" customHeight="1">
      <c r="A1026" s="2590">
        <f>A1021+1</f>
        <v>2</v>
      </c>
      <c r="B1026" s="2673" t="s">
        <v>754</v>
      </c>
      <c r="C1026" s="2674"/>
      <c r="D1026" s="2675"/>
      <c r="E1026" s="2676"/>
      <c r="F1026" s="2590"/>
      <c r="G1026" s="2389"/>
      <c r="H1026" s="2372"/>
      <c r="I1026" s="2465"/>
      <c r="J1026" s="2796"/>
      <c r="K1026" s="2372"/>
      <c r="L1026" s="2391"/>
      <c r="M1026" s="2391"/>
      <c r="N1026" s="2375">
        <f t="shared" si="303"/>
        <v>0</v>
      </c>
      <c r="O1026" s="2375">
        <v>0</v>
      </c>
      <c r="P1026" s="2590"/>
      <c r="Q1026" s="2375">
        <f t="shared" si="304"/>
        <v>0</v>
      </c>
      <c r="R1026" s="2375">
        <f t="shared" si="292"/>
        <v>0</v>
      </c>
      <c r="S1026" s="2375">
        <v>0</v>
      </c>
      <c r="T1026" s="2590"/>
      <c r="U1026" s="2375">
        <f t="shared" si="305"/>
        <v>0</v>
      </c>
      <c r="V1026" s="2375"/>
      <c r="W1026" s="2382">
        <f t="shared" si="290"/>
        <v>0</v>
      </c>
      <c r="X1026" s="2590"/>
      <c r="Y1026" s="2375">
        <f t="shared" si="307"/>
        <v>0</v>
      </c>
      <c r="Z1026" s="2375">
        <f t="shared" si="306"/>
        <v>0</v>
      </c>
      <c r="AA1026" s="2377"/>
    </row>
    <row r="1027" spans="1:27" ht="25" customHeight="1">
      <c r="A1027" s="2797" t="s">
        <v>95</v>
      </c>
      <c r="B1027" s="2673" t="s">
        <v>755</v>
      </c>
      <c r="C1027" s="2674"/>
      <c r="D1027" s="2675"/>
      <c r="E1027" s="2676">
        <f>'8. Vol Tangki'!$O$166</f>
        <v>53.77</v>
      </c>
      <c r="F1027" s="2590" t="s">
        <v>117</v>
      </c>
      <c r="G1027" s="2389">
        <v>167716</v>
      </c>
      <c r="H1027" s="2389">
        <f>E1027*G1027</f>
        <v>9018089.3200000003</v>
      </c>
      <c r="I1027" s="2465">
        <f>'Resume Analisa'!$D$177</f>
        <v>164684.22</v>
      </c>
      <c r="J1027" s="2779">
        <f>I1027*E1027</f>
        <v>8855070.5094000008</v>
      </c>
      <c r="K1027" s="2378" t="e">
        <f>IF(H1027=0,"",IF(J1027&lt;#REF!*H1027,"Timpang &lt;"&amp;TEXT(#REF!,"0%"),IF(J1027&gt;#REF!*H1027,"Timpang &gt;"&amp;TEXT(#REF!,"0%"),"Wajar")))</f>
        <v>#REF!</v>
      </c>
      <c r="L1027" s="2391">
        <v>164684.22</v>
      </c>
      <c r="M1027" s="2391">
        <f>E1027*L1027</f>
        <v>8855070.5094000008</v>
      </c>
      <c r="N1027" s="2375">
        <f t="shared" si="303"/>
        <v>0.38680837751728242</v>
      </c>
      <c r="O1027" s="2375">
        <v>0</v>
      </c>
      <c r="P1027" s="2590"/>
      <c r="Q1027" s="2375">
        <f t="shared" si="304"/>
        <v>0</v>
      </c>
      <c r="R1027" s="2375">
        <f t="shared" si="292"/>
        <v>0</v>
      </c>
      <c r="S1027" s="2375">
        <v>0</v>
      </c>
      <c r="T1027" s="2590"/>
      <c r="U1027" s="2375">
        <f t="shared" si="305"/>
        <v>0</v>
      </c>
      <c r="V1027" s="2375"/>
      <c r="W1027" s="2382">
        <f t="shared" si="290"/>
        <v>53.77</v>
      </c>
      <c r="X1027" s="2590" t="s">
        <v>117</v>
      </c>
      <c r="Y1027" s="2375">
        <f t="shared" si="307"/>
        <v>8855070.5094000008</v>
      </c>
      <c r="Z1027" s="2375">
        <f t="shared" si="306"/>
        <v>0.38680837751728242</v>
      </c>
      <c r="AA1027" s="2377" t="s">
        <v>3355</v>
      </c>
    </row>
    <row r="1028" spans="1:27" ht="25" customHeight="1">
      <c r="A1028" s="2590">
        <f>A1026+1</f>
        <v>3</v>
      </c>
      <c r="B1028" s="2673" t="s">
        <v>756</v>
      </c>
      <c r="C1028" s="2674"/>
      <c r="D1028" s="2675"/>
      <c r="E1028" s="2676"/>
      <c r="F1028" s="2590"/>
      <c r="G1028" s="2389"/>
      <c r="H1028" s="2372"/>
      <c r="I1028" s="2465"/>
      <c r="J1028" s="2796"/>
      <c r="K1028" s="2372"/>
      <c r="L1028" s="2391"/>
      <c r="M1028" s="2391"/>
      <c r="N1028" s="2375">
        <f t="shared" si="303"/>
        <v>0</v>
      </c>
      <c r="O1028" s="2375">
        <v>0</v>
      </c>
      <c r="P1028" s="2590"/>
      <c r="Q1028" s="2375">
        <f t="shared" si="304"/>
        <v>0</v>
      </c>
      <c r="R1028" s="2375">
        <f t="shared" si="292"/>
        <v>0</v>
      </c>
      <c r="S1028" s="2386">
        <v>0</v>
      </c>
      <c r="T1028" s="2590"/>
      <c r="U1028" s="2375">
        <f t="shared" si="305"/>
        <v>0</v>
      </c>
      <c r="V1028" s="2375"/>
      <c r="W1028" s="2382">
        <f t="shared" si="290"/>
        <v>0</v>
      </c>
      <c r="X1028" s="2590"/>
      <c r="Y1028" s="2375">
        <f t="shared" si="307"/>
        <v>0</v>
      </c>
      <c r="Z1028" s="2375">
        <f t="shared" si="306"/>
        <v>0</v>
      </c>
      <c r="AA1028" s="2377"/>
    </row>
    <row r="1029" spans="1:27" ht="25" customHeight="1">
      <c r="A1029" s="2797" t="s">
        <v>95</v>
      </c>
      <c r="B1029" s="2673" t="s">
        <v>757</v>
      </c>
      <c r="C1029" s="2674"/>
      <c r="D1029" s="2675"/>
      <c r="E1029" s="2676">
        <f>'8. Vol Tangki'!$O$172</f>
        <v>3.2</v>
      </c>
      <c r="F1029" s="2590" t="s">
        <v>117</v>
      </c>
      <c r="G1029" s="2389">
        <v>32056.25</v>
      </c>
      <c r="H1029" s="2389">
        <f>E1029*G1029</f>
        <v>102580</v>
      </c>
      <c r="I1029" s="2465">
        <f>'Resume Analisa'!$D$176</f>
        <v>30989.129999999997</v>
      </c>
      <c r="J1029" s="2779">
        <f>I1029*E1029</f>
        <v>99165.216</v>
      </c>
      <c r="K1029" s="2378" t="e">
        <f>IF(H1029=0,"",IF(J1029&lt;#REF!*H1029,"Timpang &lt;"&amp;TEXT(#REF!,"0%"),IF(J1029&gt;#REF!*H1029,"Timpang &gt;"&amp;TEXT(#REF!,"0%"),"Wajar")))</f>
        <v>#REF!</v>
      </c>
      <c r="L1029" s="2391">
        <v>30989.129999999997</v>
      </c>
      <c r="M1029" s="2391">
        <f>E1029*L1029</f>
        <v>99165.216</v>
      </c>
      <c r="N1029" s="2375">
        <f t="shared" si="303"/>
        <v>4.3317482640474079E-3</v>
      </c>
      <c r="O1029" s="2375">
        <v>0</v>
      </c>
      <c r="P1029" s="2590"/>
      <c r="Q1029" s="2375">
        <f t="shared" si="304"/>
        <v>0</v>
      </c>
      <c r="R1029" s="2375">
        <f t="shared" si="292"/>
        <v>0</v>
      </c>
      <c r="S1029" s="2386">
        <v>0</v>
      </c>
      <c r="T1029" s="2590"/>
      <c r="U1029" s="2375">
        <f t="shared" si="305"/>
        <v>0</v>
      </c>
      <c r="V1029" s="2375"/>
      <c r="W1029" s="2382">
        <f t="shared" si="290"/>
        <v>3.2</v>
      </c>
      <c r="X1029" s="2590" t="s">
        <v>117</v>
      </c>
      <c r="Y1029" s="2375">
        <f t="shared" si="307"/>
        <v>99165.216</v>
      </c>
      <c r="Z1029" s="2375">
        <f t="shared" si="306"/>
        <v>4.3317482640474079E-3</v>
      </c>
      <c r="AA1029" s="2377" t="s">
        <v>3355</v>
      </c>
    </row>
    <row r="1030" spans="1:27" ht="25" customHeight="1">
      <c r="A1030" s="2797" t="s">
        <v>98</v>
      </c>
      <c r="B1030" s="2673" t="s">
        <v>758</v>
      </c>
      <c r="C1030" s="2674"/>
      <c r="D1030" s="2675"/>
      <c r="E1030" s="2676">
        <f>'8. Vol Tangki'!$O$173</f>
        <v>1</v>
      </c>
      <c r="F1030" s="2590" t="s">
        <v>124</v>
      </c>
      <c r="G1030" s="2389">
        <v>105920.61</v>
      </c>
      <c r="H1030" s="2389">
        <f>E1030*G1030</f>
        <v>105920.61</v>
      </c>
      <c r="I1030" s="2465">
        <f>'Resume Analisa'!$D$181</f>
        <v>101518.73999999999</v>
      </c>
      <c r="J1030" s="2779">
        <f>I1030*E1030</f>
        <v>101518.73999999999</v>
      </c>
      <c r="K1030" s="2378" t="e">
        <f>IF(H1030=0,"",IF(J1030&lt;#REF!*H1030,"Timpang &lt;"&amp;TEXT(#REF!,"0%"),IF(J1030&gt;#REF!*H1030,"Timpang &gt;"&amp;TEXT(#REF!,"0%"),"Wajar")))</f>
        <v>#REF!</v>
      </c>
      <c r="L1030" s="2391">
        <v>101518.73999999999</v>
      </c>
      <c r="M1030" s="2391">
        <f>E1030*L1030</f>
        <v>101518.73999999999</v>
      </c>
      <c r="N1030" s="2375">
        <f t="shared" si="303"/>
        <v>4.434555215039113E-3</v>
      </c>
      <c r="O1030" s="2375">
        <v>0</v>
      </c>
      <c r="P1030" s="2590"/>
      <c r="Q1030" s="2375">
        <f t="shared" si="304"/>
        <v>0</v>
      </c>
      <c r="R1030" s="2375">
        <f t="shared" si="292"/>
        <v>0</v>
      </c>
      <c r="S1030" s="2375">
        <v>0</v>
      </c>
      <c r="T1030" s="2590"/>
      <c r="U1030" s="2375">
        <f t="shared" si="305"/>
        <v>0</v>
      </c>
      <c r="V1030" s="2375"/>
      <c r="W1030" s="2382">
        <f t="shared" si="290"/>
        <v>1</v>
      </c>
      <c r="X1030" s="2590" t="s">
        <v>124</v>
      </c>
      <c r="Y1030" s="2375">
        <f t="shared" si="307"/>
        <v>101518.73999999999</v>
      </c>
      <c r="Z1030" s="2375">
        <f t="shared" si="306"/>
        <v>4.434555215039113E-3</v>
      </c>
      <c r="AA1030" s="2377" t="s">
        <v>3355</v>
      </c>
    </row>
    <row r="1031" spans="1:27" ht="25" customHeight="1">
      <c r="A1031" s="2590">
        <f>A1028+1</f>
        <v>4</v>
      </c>
      <c r="B1031" s="2673" t="s">
        <v>759</v>
      </c>
      <c r="C1031" s="2674"/>
      <c r="D1031" s="2675"/>
      <c r="E1031" s="2676"/>
      <c r="F1031" s="2590"/>
      <c r="G1031" s="2389"/>
      <c r="H1031" s="2372"/>
      <c r="I1031" s="2465"/>
      <c r="J1031" s="2796"/>
      <c r="K1031" s="2372"/>
      <c r="L1031" s="2391"/>
      <c r="M1031" s="2391"/>
      <c r="N1031" s="2375">
        <f t="shared" si="303"/>
        <v>0</v>
      </c>
      <c r="O1031" s="2375">
        <v>0</v>
      </c>
      <c r="P1031" s="2590"/>
      <c r="Q1031" s="2375">
        <f t="shared" si="304"/>
        <v>0</v>
      </c>
      <c r="R1031" s="2375">
        <f t="shared" si="292"/>
        <v>0</v>
      </c>
      <c r="S1031" s="2375">
        <v>0</v>
      </c>
      <c r="T1031" s="2590"/>
      <c r="U1031" s="2375">
        <f t="shared" si="305"/>
        <v>0</v>
      </c>
      <c r="V1031" s="2375"/>
      <c r="W1031" s="2382">
        <f t="shared" si="290"/>
        <v>0</v>
      </c>
      <c r="X1031" s="2590"/>
      <c r="Y1031" s="2375">
        <f t="shared" si="307"/>
        <v>0</v>
      </c>
      <c r="Z1031" s="2375">
        <f t="shared" si="306"/>
        <v>0</v>
      </c>
      <c r="AA1031" s="2377"/>
    </row>
    <row r="1032" spans="1:27" ht="25" customHeight="1">
      <c r="A1032" s="2797" t="s">
        <v>95</v>
      </c>
      <c r="B1032" s="2673" t="s">
        <v>757</v>
      </c>
      <c r="C1032" s="2674"/>
      <c r="D1032" s="2675"/>
      <c r="E1032" s="2676">
        <f>'8. Vol Tangki'!$O$178</f>
        <v>3.2</v>
      </c>
      <c r="F1032" s="2590" t="s">
        <v>117</v>
      </c>
      <c r="G1032" s="2389">
        <v>32056.25</v>
      </c>
      <c r="H1032" s="2389">
        <f>E1032*G1032</f>
        <v>102580</v>
      </c>
      <c r="I1032" s="2465">
        <f>'Resume Analisa'!$D$176</f>
        <v>30989.129999999997</v>
      </c>
      <c r="J1032" s="2779">
        <f>I1032*E1032</f>
        <v>99165.216</v>
      </c>
      <c r="K1032" s="2378" t="e">
        <f>IF(H1032=0,"",IF(J1032&lt;#REF!*H1032,"Timpang &lt;"&amp;TEXT(#REF!,"0%"),IF(J1032&gt;#REF!*H1032,"Timpang &gt;"&amp;TEXT(#REF!,"0%"),"Wajar")))</f>
        <v>#REF!</v>
      </c>
      <c r="L1032" s="2391">
        <v>30989.129999999997</v>
      </c>
      <c r="M1032" s="2391">
        <f>E1032*L1032</f>
        <v>99165.216</v>
      </c>
      <c r="N1032" s="2375">
        <f t="shared" si="303"/>
        <v>4.3317482640474079E-3</v>
      </c>
      <c r="O1032" s="2375">
        <v>0</v>
      </c>
      <c r="P1032" s="2590"/>
      <c r="Q1032" s="2375">
        <f t="shared" si="304"/>
        <v>0</v>
      </c>
      <c r="R1032" s="2375">
        <f t="shared" si="292"/>
        <v>0</v>
      </c>
      <c r="S1032" s="2375">
        <v>0</v>
      </c>
      <c r="T1032" s="2590"/>
      <c r="U1032" s="2375">
        <f t="shared" si="305"/>
        <v>0</v>
      </c>
      <c r="V1032" s="2375"/>
      <c r="W1032" s="2382">
        <f t="shared" si="290"/>
        <v>3.2</v>
      </c>
      <c r="X1032" s="2590" t="s">
        <v>117</v>
      </c>
      <c r="Y1032" s="2375">
        <f t="shared" si="307"/>
        <v>99165.216</v>
      </c>
      <c r="Z1032" s="2375">
        <f t="shared" si="306"/>
        <v>4.3317482640474079E-3</v>
      </c>
      <c r="AA1032" s="2377" t="s">
        <v>3355</v>
      </c>
    </row>
    <row r="1033" spans="1:27" ht="25" customHeight="1">
      <c r="A1033" s="2797" t="s">
        <v>98</v>
      </c>
      <c r="B1033" s="2673" t="s">
        <v>758</v>
      </c>
      <c r="C1033" s="2674"/>
      <c r="D1033" s="2675"/>
      <c r="E1033" s="2676">
        <f>'8. Vol Tangki'!$O$179</f>
        <v>1</v>
      </c>
      <c r="F1033" s="2590" t="s">
        <v>124</v>
      </c>
      <c r="G1033" s="2389">
        <v>105920.61</v>
      </c>
      <c r="H1033" s="2389">
        <f>E1033*G1033</f>
        <v>105920.61</v>
      </c>
      <c r="I1033" s="2465">
        <f>'Resume Analisa'!$D$181</f>
        <v>101518.73999999999</v>
      </c>
      <c r="J1033" s="2779">
        <f>I1033*E1033</f>
        <v>101518.73999999999</v>
      </c>
      <c r="K1033" s="2378" t="e">
        <f>IF(H1033=0,"",IF(J1033&lt;#REF!*H1033,"Timpang &lt;"&amp;TEXT(#REF!,"0%"),IF(J1033&gt;#REF!*H1033,"Timpang &gt;"&amp;TEXT(#REF!,"0%"),"Wajar")))</f>
        <v>#REF!</v>
      </c>
      <c r="L1033" s="2391">
        <v>101518.73999999999</v>
      </c>
      <c r="M1033" s="2391">
        <f>E1033*L1033</f>
        <v>101518.73999999999</v>
      </c>
      <c r="N1033" s="2375">
        <f t="shared" si="303"/>
        <v>4.434555215039113E-3</v>
      </c>
      <c r="O1033" s="2375">
        <v>0</v>
      </c>
      <c r="P1033" s="2590"/>
      <c r="Q1033" s="2375">
        <f t="shared" si="304"/>
        <v>0</v>
      </c>
      <c r="R1033" s="2375">
        <f t="shared" si="292"/>
        <v>0</v>
      </c>
      <c r="S1033" s="2375">
        <v>0</v>
      </c>
      <c r="T1033" s="2590"/>
      <c r="U1033" s="2375">
        <f t="shared" si="305"/>
        <v>0</v>
      </c>
      <c r="V1033" s="2375"/>
      <c r="W1033" s="2382">
        <f t="shared" si="290"/>
        <v>1</v>
      </c>
      <c r="X1033" s="2590" t="s">
        <v>124</v>
      </c>
      <c r="Y1033" s="2375">
        <f t="shared" si="307"/>
        <v>101518.73999999999</v>
      </c>
      <c r="Z1033" s="2375">
        <f t="shared" si="306"/>
        <v>4.434555215039113E-3</v>
      </c>
      <c r="AA1033" s="2377" t="s">
        <v>3355</v>
      </c>
    </row>
    <row r="1034" spans="1:27" ht="25" customHeight="1">
      <c r="A1034" s="2590">
        <f>A1031+1</f>
        <v>5</v>
      </c>
      <c r="B1034" s="2673" t="s">
        <v>760</v>
      </c>
      <c r="C1034" s="2674"/>
      <c r="D1034" s="2675"/>
      <c r="E1034" s="2676"/>
      <c r="F1034" s="2590"/>
      <c r="G1034" s="2389"/>
      <c r="H1034" s="2372"/>
      <c r="I1034" s="2465"/>
      <c r="J1034" s="2796"/>
      <c r="K1034" s="2372"/>
      <c r="L1034" s="2391"/>
      <c r="M1034" s="2391"/>
      <c r="N1034" s="2375">
        <f t="shared" si="303"/>
        <v>0</v>
      </c>
      <c r="O1034" s="2375">
        <v>0</v>
      </c>
      <c r="P1034" s="2590"/>
      <c r="Q1034" s="2375">
        <f t="shared" si="304"/>
        <v>0</v>
      </c>
      <c r="R1034" s="2375">
        <f t="shared" si="292"/>
        <v>0</v>
      </c>
      <c r="S1034" s="2375">
        <v>0</v>
      </c>
      <c r="T1034" s="2590"/>
      <c r="U1034" s="2375">
        <f t="shared" si="305"/>
        <v>0</v>
      </c>
      <c r="V1034" s="2375"/>
      <c r="W1034" s="2382">
        <f t="shared" si="290"/>
        <v>0</v>
      </c>
      <c r="X1034" s="2590"/>
      <c r="Y1034" s="2375">
        <f t="shared" si="307"/>
        <v>0</v>
      </c>
      <c r="Z1034" s="2375">
        <f t="shared" si="306"/>
        <v>0</v>
      </c>
      <c r="AA1034" s="2377"/>
    </row>
    <row r="1035" spans="1:27" ht="25" customHeight="1">
      <c r="A1035" s="2797" t="s">
        <v>95</v>
      </c>
      <c r="B1035" s="2673" t="s">
        <v>757</v>
      </c>
      <c r="C1035" s="2674"/>
      <c r="D1035" s="2675"/>
      <c r="E1035" s="2676">
        <f>'8. Vol Tangki'!$O$181</f>
        <v>3.2</v>
      </c>
      <c r="F1035" s="2590" t="s">
        <v>117</v>
      </c>
      <c r="G1035" s="2389">
        <v>32056.25</v>
      </c>
      <c r="H1035" s="2389">
        <f>E1035*G1035</f>
        <v>102580</v>
      </c>
      <c r="I1035" s="2465">
        <f>'Resume Analisa'!$D$176</f>
        <v>30989.129999999997</v>
      </c>
      <c r="J1035" s="2779">
        <f>I1035*E1035</f>
        <v>99165.216</v>
      </c>
      <c r="K1035" s="2378" t="e">
        <f>IF(H1035=0,"",IF(J1035&lt;#REF!*H1035,"Timpang &lt;"&amp;TEXT(#REF!,"0%"),IF(J1035&gt;#REF!*H1035,"Timpang &gt;"&amp;TEXT(#REF!,"0%"),"Wajar")))</f>
        <v>#REF!</v>
      </c>
      <c r="L1035" s="2391">
        <v>30989.129999999997</v>
      </c>
      <c r="M1035" s="2391">
        <f>E1035*L1035</f>
        <v>99165.216</v>
      </c>
      <c r="N1035" s="2375">
        <f t="shared" si="303"/>
        <v>4.3317482640474079E-3</v>
      </c>
      <c r="O1035" s="2375">
        <v>0</v>
      </c>
      <c r="P1035" s="2590"/>
      <c r="Q1035" s="2375">
        <f t="shared" si="304"/>
        <v>0</v>
      </c>
      <c r="R1035" s="2375">
        <f t="shared" si="292"/>
        <v>0</v>
      </c>
      <c r="S1035" s="2386">
        <v>0</v>
      </c>
      <c r="T1035" s="2590"/>
      <c r="U1035" s="2375">
        <f t="shared" si="305"/>
        <v>0</v>
      </c>
      <c r="V1035" s="2375"/>
      <c r="W1035" s="2382">
        <f t="shared" si="290"/>
        <v>3.2</v>
      </c>
      <c r="X1035" s="2590" t="s">
        <v>117</v>
      </c>
      <c r="Y1035" s="2375">
        <f t="shared" si="307"/>
        <v>99165.216</v>
      </c>
      <c r="Z1035" s="2375">
        <f t="shared" si="306"/>
        <v>4.3317482640474079E-3</v>
      </c>
      <c r="AA1035" s="2377" t="s">
        <v>3355</v>
      </c>
    </row>
    <row r="1036" spans="1:27" ht="25" customHeight="1">
      <c r="A1036" s="2797" t="s">
        <v>98</v>
      </c>
      <c r="B1036" s="2673" t="s">
        <v>758</v>
      </c>
      <c r="C1036" s="2674"/>
      <c r="D1036" s="2675"/>
      <c r="E1036" s="2676">
        <f>'8. Vol Tangki'!$O$182</f>
        <v>1</v>
      </c>
      <c r="F1036" s="2590" t="s">
        <v>124</v>
      </c>
      <c r="G1036" s="2389">
        <v>105920.61</v>
      </c>
      <c r="H1036" s="2389">
        <f>E1036*G1036</f>
        <v>105920.61</v>
      </c>
      <c r="I1036" s="2465">
        <f>'Resume Analisa'!$D$181</f>
        <v>101518.73999999999</v>
      </c>
      <c r="J1036" s="2779">
        <f>I1036*E1036</f>
        <v>101518.73999999999</v>
      </c>
      <c r="K1036" s="2378" t="e">
        <f>IF(H1036=0,"",IF(J1036&lt;#REF!*H1036,"Timpang &lt;"&amp;TEXT(#REF!,"0%"),IF(J1036&gt;#REF!*H1036,"Timpang &gt;"&amp;TEXT(#REF!,"0%"),"Wajar")))</f>
        <v>#REF!</v>
      </c>
      <c r="L1036" s="2391">
        <v>101518.73999999999</v>
      </c>
      <c r="M1036" s="2391">
        <f>E1036*L1036</f>
        <v>101518.73999999999</v>
      </c>
      <c r="N1036" s="2375">
        <f t="shared" si="303"/>
        <v>4.434555215039113E-3</v>
      </c>
      <c r="O1036" s="2375">
        <v>0</v>
      </c>
      <c r="P1036" s="2590"/>
      <c r="Q1036" s="2375">
        <f t="shared" si="304"/>
        <v>0</v>
      </c>
      <c r="R1036" s="2375">
        <f t="shared" si="292"/>
        <v>0</v>
      </c>
      <c r="S1036" s="2386">
        <v>0</v>
      </c>
      <c r="T1036" s="2590"/>
      <c r="U1036" s="2375">
        <f t="shared" si="305"/>
        <v>0</v>
      </c>
      <c r="V1036" s="2375"/>
      <c r="W1036" s="2382">
        <f t="shared" si="290"/>
        <v>1</v>
      </c>
      <c r="X1036" s="2590" t="s">
        <v>124</v>
      </c>
      <c r="Y1036" s="2375">
        <f t="shared" si="307"/>
        <v>101518.73999999999</v>
      </c>
      <c r="Z1036" s="2375">
        <f t="shared" si="306"/>
        <v>4.434555215039113E-3</v>
      </c>
      <c r="AA1036" s="2377" t="s">
        <v>3355</v>
      </c>
    </row>
    <row r="1037" spans="1:27" ht="86" customHeight="1">
      <c r="A1037" s="2590">
        <f>A1034+1</f>
        <v>6</v>
      </c>
      <c r="B1037" s="3214" t="s">
        <v>761</v>
      </c>
      <c r="C1037" s="3215"/>
      <c r="D1037" s="3216"/>
      <c r="E1037" s="2676">
        <f>'8. Vol Tangki'!$O$201</f>
        <v>1</v>
      </c>
      <c r="F1037" s="2590" t="s">
        <v>360</v>
      </c>
      <c r="G1037" s="2389">
        <v>1173798.1000000001</v>
      </c>
      <c r="H1037" s="2389">
        <f>E1037*G1037</f>
        <v>1173798.1000000001</v>
      </c>
      <c r="I1037" s="2465">
        <f>'Resume Analisa'!$D$168</f>
        <v>1138166.1200000001</v>
      </c>
      <c r="J1037" s="2779">
        <f>I1037*E1037</f>
        <v>1138166.1200000001</v>
      </c>
      <c r="K1037" s="2378" t="e">
        <f>IF(H1037=0,"",IF(J1037&lt;#REF!*H1037,"Timpang &lt;"&amp;TEXT(#REF!,"0%"),IF(J1037&gt;#REF!*H1037,"Timpang &gt;"&amp;TEXT(#REF!,"0%"),"Wajar")))</f>
        <v>#REF!</v>
      </c>
      <c r="L1037" s="2391">
        <v>1138166.1200000001</v>
      </c>
      <c r="M1037" s="2391">
        <f>E1037*L1037</f>
        <v>1138166.1200000001</v>
      </c>
      <c r="N1037" s="2375">
        <f t="shared" si="303"/>
        <v>4.9717525089720715E-2</v>
      </c>
      <c r="O1037" s="2375">
        <v>0</v>
      </c>
      <c r="P1037" s="2590"/>
      <c r="Q1037" s="2375">
        <f t="shared" si="304"/>
        <v>0</v>
      </c>
      <c r="R1037" s="2375">
        <f t="shared" si="292"/>
        <v>0</v>
      </c>
      <c r="S1037" s="2375">
        <v>0</v>
      </c>
      <c r="T1037" s="2590"/>
      <c r="U1037" s="2375">
        <f t="shared" si="305"/>
        <v>0</v>
      </c>
      <c r="V1037" s="2375"/>
      <c r="W1037" s="2382">
        <f t="shared" si="290"/>
        <v>1</v>
      </c>
      <c r="X1037" s="2590" t="s">
        <v>360</v>
      </c>
      <c r="Y1037" s="2375">
        <f t="shared" si="307"/>
        <v>1138166.1200000001</v>
      </c>
      <c r="Z1037" s="2375">
        <f t="shared" si="306"/>
        <v>4.9717525089720715E-2</v>
      </c>
      <c r="AA1037" s="2377" t="s">
        <v>3355</v>
      </c>
    </row>
    <row r="1038" spans="1:27" ht="25" customHeight="1">
      <c r="A1038" s="2801">
        <f>A1037+1</f>
        <v>7</v>
      </c>
      <c r="B1038" s="2802" t="s">
        <v>594</v>
      </c>
      <c r="C1038" s="2803"/>
      <c r="D1038" s="2804"/>
      <c r="E1038" s="2805">
        <f>'8. Vol Tangki'!$O$202</f>
        <v>1</v>
      </c>
      <c r="F1038" s="2801" t="s">
        <v>360</v>
      </c>
      <c r="G1038" s="2405">
        <v>1613703</v>
      </c>
      <c r="H1038" s="2405">
        <f>E1038*G1038</f>
        <v>1613703</v>
      </c>
      <c r="I1038" s="2574">
        <f>'Resume Analisa'!$D$205</f>
        <v>1668475.21</v>
      </c>
      <c r="J1038" s="2806">
        <f>I1038*E1038</f>
        <v>1668475.21</v>
      </c>
      <c r="K1038" s="2408" t="e">
        <f>IF(H1038=0,"",IF(J1038&lt;#REF!*H1038,"Timpang &lt;"&amp;TEXT(#REF!,"0%"),IF(J1038&gt;#REF!*H1038,"Timpang &gt;"&amp;TEXT(#REF!,"0%"),"Wajar")))</f>
        <v>#REF!</v>
      </c>
      <c r="L1038" s="2410">
        <v>1668475.21</v>
      </c>
      <c r="M1038" s="2410">
        <f>E1038*L1038</f>
        <v>1668475.21</v>
      </c>
      <c r="N1038" s="2375">
        <f t="shared" si="303"/>
        <v>7.2882557877185838E-2</v>
      </c>
      <c r="O1038" s="2411">
        <v>0</v>
      </c>
      <c r="P1038" s="2801"/>
      <c r="Q1038" s="2411">
        <f t="shared" si="304"/>
        <v>0</v>
      </c>
      <c r="R1038" s="2411">
        <f t="shared" si="292"/>
        <v>0</v>
      </c>
      <c r="S1038" s="2411">
        <v>0</v>
      </c>
      <c r="T1038" s="2801"/>
      <c r="U1038" s="2411">
        <f t="shared" si="305"/>
        <v>0</v>
      </c>
      <c r="V1038" s="2411"/>
      <c r="W1038" s="2402">
        <f t="shared" si="290"/>
        <v>1</v>
      </c>
      <c r="X1038" s="2801" t="s">
        <v>360</v>
      </c>
      <c r="Y1038" s="2411">
        <f t="shared" si="307"/>
        <v>1668475.21</v>
      </c>
      <c r="Z1038" s="2411">
        <f t="shared" si="306"/>
        <v>7.2882557877185838E-2</v>
      </c>
      <c r="AA1038" s="2412" t="s">
        <v>3355</v>
      </c>
    </row>
    <row r="1039" spans="1:27" ht="25" customHeight="1">
      <c r="A1039" s="2807"/>
      <c r="B1039" s="2808"/>
      <c r="C1039" s="2809"/>
      <c r="D1039" s="2512" t="s">
        <v>376</v>
      </c>
      <c r="E1039" s="2810"/>
      <c r="F1039" s="2811"/>
      <c r="G1039" s="2581"/>
      <c r="H1039" s="2581">
        <f>SUM(H1019:H1038)</f>
        <v>23838758.75</v>
      </c>
      <c r="I1039" s="2722"/>
      <c r="J1039" s="2582">
        <f>SUM(J1019:J1038)</f>
        <v>23979572.29739999</v>
      </c>
      <c r="K1039" s="2581"/>
      <c r="L1039" s="2584"/>
      <c r="M1039" s="2584">
        <f>SUM(M1019:M1038)</f>
        <v>23979572.29739999</v>
      </c>
      <c r="N1039" s="2424">
        <f>M1039/M8*100</f>
        <v>1.0474788929200913</v>
      </c>
      <c r="O1039" s="2426">
        <v>0</v>
      </c>
      <c r="P1039" s="2811"/>
      <c r="Q1039" s="2426">
        <f t="shared" si="304"/>
        <v>0</v>
      </c>
      <c r="R1039" s="2426">
        <f t="shared" si="292"/>
        <v>0</v>
      </c>
      <c r="S1039" s="2426">
        <v>0</v>
      </c>
      <c r="T1039" s="2807"/>
      <c r="U1039" s="2426">
        <f t="shared" si="305"/>
        <v>0</v>
      </c>
      <c r="V1039" s="2426"/>
      <c r="W1039" s="2428">
        <f t="shared" si="290"/>
        <v>0</v>
      </c>
      <c r="X1039" s="2811"/>
      <c r="Y1039" s="2424">
        <f>SUM(Y1022:Y1038)</f>
        <v>23979572.29739999</v>
      </c>
      <c r="Z1039" s="2424">
        <f>SUM(Z1022:Z1038)</f>
        <v>1.0474788929200916</v>
      </c>
      <c r="AA1039" s="2429"/>
    </row>
    <row r="1040" spans="1:27" ht="25" customHeight="1">
      <c r="A1040" s="2812" t="s">
        <v>762</v>
      </c>
      <c r="B1040" s="2813" t="s">
        <v>763</v>
      </c>
      <c r="C1040" s="2814"/>
      <c r="D1040" s="2815"/>
      <c r="E1040" s="2816"/>
      <c r="F1040" s="2817"/>
      <c r="G1040" s="2531"/>
      <c r="H1040" s="2531"/>
      <c r="I1040" s="2818"/>
      <c r="J1040" s="2528"/>
      <c r="K1040" s="2531"/>
      <c r="L1040" s="2533"/>
      <c r="M1040" s="2533"/>
      <c r="N1040" s="2365"/>
      <c r="O1040" s="2365"/>
      <c r="P1040" s="2817"/>
      <c r="Q1040" s="2365"/>
      <c r="R1040" s="2365">
        <f t="shared" si="292"/>
        <v>0</v>
      </c>
      <c r="S1040" s="2365"/>
      <c r="T1040" s="2819"/>
      <c r="U1040" s="2365"/>
      <c r="V1040" s="2365"/>
      <c r="W1040" s="2445">
        <f t="shared" ref="W1040:W1103" si="308">(E1040+O1040)-S1040</f>
        <v>0</v>
      </c>
      <c r="X1040" s="2817"/>
      <c r="Y1040" s="2365">
        <f t="shared" ref="Y1040:Y1062" si="309">L1040</f>
        <v>0</v>
      </c>
      <c r="Z1040" s="2365"/>
      <c r="AA1040" s="2367"/>
    </row>
    <row r="1041" spans="1:27" ht="25" customHeight="1">
      <c r="A1041" s="2820" t="s">
        <v>764</v>
      </c>
      <c r="B1041" s="2369" t="s">
        <v>765</v>
      </c>
      <c r="C1041" s="2674"/>
      <c r="D1041" s="2632"/>
      <c r="E1041" s="2696"/>
      <c r="F1041" s="2697"/>
      <c r="G1041" s="2546"/>
      <c r="H1041" s="2546"/>
      <c r="I1041" s="2785"/>
      <c r="J1041" s="2543"/>
      <c r="K1041" s="2546"/>
      <c r="L1041" s="2457"/>
      <c r="M1041" s="2457"/>
      <c r="N1041" s="2375"/>
      <c r="O1041" s="2375"/>
      <c r="P1041" s="2697"/>
      <c r="Q1041" s="2375"/>
      <c r="R1041" s="2375">
        <f t="shared" si="292"/>
        <v>0</v>
      </c>
      <c r="S1041" s="2375"/>
      <c r="T1041" s="2590"/>
      <c r="U1041" s="2375"/>
      <c r="V1041" s="2375"/>
      <c r="W1041" s="2382">
        <f t="shared" si="308"/>
        <v>0</v>
      </c>
      <c r="X1041" s="2697"/>
      <c r="Y1041" s="2375">
        <f t="shared" si="309"/>
        <v>0</v>
      </c>
      <c r="Z1041" s="2375"/>
      <c r="AA1041" s="2377"/>
    </row>
    <row r="1042" spans="1:27" ht="25" customHeight="1">
      <c r="A1042" s="2378">
        <v>1</v>
      </c>
      <c r="B1042" s="2379" t="s">
        <v>766</v>
      </c>
      <c r="C1042" s="2674"/>
      <c r="D1042" s="2632"/>
      <c r="E1042" s="2382"/>
      <c r="F1042" s="2590"/>
      <c r="G1042" s="2389"/>
      <c r="H1042" s="2389"/>
      <c r="I1042" s="2465"/>
      <c r="J1042" s="2779"/>
      <c r="K1042" s="2389"/>
      <c r="L1042" s="2391"/>
      <c r="M1042" s="2391"/>
      <c r="N1042" s="2375"/>
      <c r="O1042" s="2375"/>
      <c r="P1042" s="2590"/>
      <c r="Q1042" s="2375"/>
      <c r="R1042" s="2375">
        <f t="shared" si="292"/>
        <v>0</v>
      </c>
      <c r="S1042" s="2386"/>
      <c r="T1042" s="2590"/>
      <c r="U1042" s="2375"/>
      <c r="V1042" s="2375"/>
      <c r="W1042" s="2382">
        <f t="shared" si="308"/>
        <v>0</v>
      </c>
      <c r="X1042" s="2590"/>
      <c r="Y1042" s="2375">
        <f t="shared" si="309"/>
        <v>0</v>
      </c>
      <c r="Z1042" s="2375"/>
      <c r="AA1042" s="2377"/>
    </row>
    <row r="1043" spans="1:27" ht="25" customHeight="1">
      <c r="A1043" s="2387" t="s">
        <v>95</v>
      </c>
      <c r="B1043" s="3208" t="s">
        <v>767</v>
      </c>
      <c r="C1043" s="3209"/>
      <c r="D1043" s="3210"/>
      <c r="E1043" s="2382">
        <f>'8. Vol Tangki'!$M$209</f>
        <v>1</v>
      </c>
      <c r="F1043" s="2590" t="s">
        <v>357</v>
      </c>
      <c r="G1043" s="2389">
        <v>11212500</v>
      </c>
      <c r="H1043" s="2389">
        <f>E1043*G1043</f>
        <v>11212500</v>
      </c>
      <c r="I1043" s="2465">
        <f>'Resume Analisa'!$D$213</f>
        <v>11458043.810000001</v>
      </c>
      <c r="J1043" s="2779">
        <f>I1043*E1043</f>
        <v>11458043.810000001</v>
      </c>
      <c r="K1043" s="2378" t="e">
        <f>IF(H1043=0,"",IF(J1043&lt;#REF!*H1043,"Timpang &lt;"&amp;TEXT(#REF!,"0%"),IF(J1043&gt;#REF!*H1043,"Timpang &gt;"&amp;TEXT(#REF!,"0%"),"Wajar")))</f>
        <v>#REF!</v>
      </c>
      <c r="L1043" s="2391">
        <v>11458043.810000001</v>
      </c>
      <c r="M1043" s="2391">
        <f>E1043*L1043</f>
        <v>11458043.810000001</v>
      </c>
      <c r="N1043" s="2375">
        <f t="shared" ref="N1043:N1060" si="310">M1043/$M$8*100</f>
        <v>0.50051180631065884</v>
      </c>
      <c r="O1043" s="2375">
        <v>0</v>
      </c>
      <c r="P1043" s="2590"/>
      <c r="Q1043" s="2375">
        <f t="shared" si="304"/>
        <v>0</v>
      </c>
      <c r="R1043" s="2375">
        <f t="shared" si="292"/>
        <v>0</v>
      </c>
      <c r="S1043" s="2386">
        <v>0</v>
      </c>
      <c r="T1043" s="2590"/>
      <c r="U1043" s="2375">
        <f t="shared" ref="U1043:U1099" si="311">S1043*L1043</f>
        <v>0</v>
      </c>
      <c r="V1043" s="2375"/>
      <c r="W1043" s="2382">
        <f t="shared" si="308"/>
        <v>1</v>
      </c>
      <c r="X1043" s="2590" t="s">
        <v>357</v>
      </c>
      <c r="Y1043" s="2375">
        <f>W1043*L1043</f>
        <v>11458043.810000001</v>
      </c>
      <c r="Z1043" s="2375">
        <f t="shared" ref="Z1043:Z1060" si="312">Y1043/$M$8*100</f>
        <v>0.50051180631065884</v>
      </c>
      <c r="AA1043" s="2377" t="s">
        <v>3355</v>
      </c>
    </row>
    <row r="1044" spans="1:27" ht="25" customHeight="1">
      <c r="A1044" s="2378">
        <f>A1042+1</f>
        <v>2</v>
      </c>
      <c r="B1044" s="2379" t="s">
        <v>768</v>
      </c>
      <c r="C1044" s="2674"/>
      <c r="D1044" s="2632"/>
      <c r="E1044" s="2382"/>
      <c r="F1044" s="2378"/>
      <c r="G1044" s="2389"/>
      <c r="H1044" s="2389"/>
      <c r="I1044" s="2390"/>
      <c r="J1044" s="2779"/>
      <c r="K1044" s="2389"/>
      <c r="L1044" s="2391"/>
      <c r="M1044" s="2391"/>
      <c r="N1044" s="2375">
        <f t="shared" si="310"/>
        <v>0</v>
      </c>
      <c r="O1044" s="2375">
        <v>0</v>
      </c>
      <c r="P1044" s="2378"/>
      <c r="Q1044" s="2375">
        <f t="shared" si="304"/>
        <v>0</v>
      </c>
      <c r="R1044" s="2375">
        <f t="shared" si="292"/>
        <v>0</v>
      </c>
      <c r="S1044" s="2375">
        <v>0</v>
      </c>
      <c r="T1044" s="2378"/>
      <c r="U1044" s="2375">
        <f t="shared" si="311"/>
        <v>0</v>
      </c>
      <c r="V1044" s="2375"/>
      <c r="W1044" s="2382">
        <f t="shared" si="308"/>
        <v>0</v>
      </c>
      <c r="X1044" s="2378"/>
      <c r="Y1044" s="2375">
        <f t="shared" ref="Y1044:Y1060" si="313">W1044*L1044</f>
        <v>0</v>
      </c>
      <c r="Z1044" s="2375">
        <f t="shared" si="312"/>
        <v>0</v>
      </c>
      <c r="AA1044" s="2377"/>
    </row>
    <row r="1045" spans="1:27" ht="56.5" customHeight="1">
      <c r="A1045" s="2387" t="s">
        <v>95</v>
      </c>
      <c r="B1045" s="3208" t="s">
        <v>769</v>
      </c>
      <c r="C1045" s="3209"/>
      <c r="D1045" s="3210"/>
      <c r="E1045" s="2382">
        <f>'8. Vol Tangki'!$M$211</f>
        <v>60</v>
      </c>
      <c r="F1045" s="2378" t="s">
        <v>117</v>
      </c>
      <c r="G1045" s="2389">
        <v>523585.04000000004</v>
      </c>
      <c r="H1045" s="2389">
        <f t="shared" ref="H1045:H1050" si="314">E1045*G1045</f>
        <v>31415102.400000002</v>
      </c>
      <c r="I1045" s="2390">
        <f>'Resume Analisa'!$D$215</f>
        <v>497569.60000000003</v>
      </c>
      <c r="J1045" s="2779">
        <f t="shared" ref="J1045:J1050" si="315">I1045*E1045</f>
        <v>29854176.000000004</v>
      </c>
      <c r="K1045" s="2378" t="e">
        <f>IF(H1045=0,"",IF(J1045&lt;#REF!*H1045,"Timpang &lt;"&amp;TEXT(#REF!,"0%"),IF(J1045&gt;#REF!*H1045,"Timpang &gt;"&amp;TEXT(#REF!,"0%"),"Wajar")))</f>
        <v>#REF!</v>
      </c>
      <c r="L1045" s="2391">
        <v>497569.60000000003</v>
      </c>
      <c r="M1045" s="2391">
        <f t="shared" ref="M1045:M1050" si="316">E1045*L1045</f>
        <v>29854176.000000004</v>
      </c>
      <c r="N1045" s="2375">
        <f t="shared" si="310"/>
        <v>1.3040941196817017</v>
      </c>
      <c r="O1045" s="2375">
        <v>0</v>
      </c>
      <c r="P1045" s="2378"/>
      <c r="Q1045" s="2375">
        <f t="shared" si="304"/>
        <v>0</v>
      </c>
      <c r="R1045" s="2375">
        <f t="shared" si="292"/>
        <v>0</v>
      </c>
      <c r="S1045" s="2375">
        <v>0</v>
      </c>
      <c r="T1045" s="2378"/>
      <c r="U1045" s="2375">
        <f t="shared" si="311"/>
        <v>0</v>
      </c>
      <c r="V1045" s="2375"/>
      <c r="W1045" s="2382">
        <f t="shared" si="308"/>
        <v>60</v>
      </c>
      <c r="X1045" s="2378" t="s">
        <v>117</v>
      </c>
      <c r="Y1045" s="2375">
        <f t="shared" si="313"/>
        <v>29854176.000000004</v>
      </c>
      <c r="Z1045" s="2375">
        <f t="shared" si="312"/>
        <v>1.3040941196817017</v>
      </c>
      <c r="AA1045" s="2377" t="str">
        <f>AA1043</f>
        <v>Tetap</v>
      </c>
    </row>
    <row r="1046" spans="1:27" ht="25" customHeight="1">
      <c r="A1046" s="2387" t="s">
        <v>98</v>
      </c>
      <c r="B1046" s="2379" t="s">
        <v>770</v>
      </c>
      <c r="C1046" s="2674"/>
      <c r="D1046" s="2632"/>
      <c r="E1046" s="2382">
        <f>'8. Vol Tangki'!$M$212</f>
        <v>60</v>
      </c>
      <c r="F1046" s="2378" t="s">
        <v>117</v>
      </c>
      <c r="G1046" s="2389">
        <v>2187564.5</v>
      </c>
      <c r="H1046" s="2389">
        <f t="shared" si="314"/>
        <v>131253870</v>
      </c>
      <c r="I1046" s="2390">
        <f>'Resume Analisa'!$D$169</f>
        <v>2145473.71</v>
      </c>
      <c r="J1046" s="2779">
        <f t="shared" si="315"/>
        <v>128728422.59999999</v>
      </c>
      <c r="K1046" s="2378" t="e">
        <f>IF(H1046=0,"",IF(J1046&lt;#REF!*H1046,"Timpang &lt;"&amp;TEXT(#REF!,"0%"),IF(J1046&gt;#REF!*H1046,"Timpang &gt;"&amp;TEXT(#REF!,"0%"),"Wajar")))</f>
        <v>#REF!</v>
      </c>
      <c r="L1046" s="2391">
        <v>2145473.71</v>
      </c>
      <c r="M1046" s="2391">
        <f t="shared" si="316"/>
        <v>128728422.59999999</v>
      </c>
      <c r="N1046" s="2375">
        <f t="shared" si="310"/>
        <v>5.6231322193773181</v>
      </c>
      <c r="O1046" s="2375">
        <v>0</v>
      </c>
      <c r="P1046" s="2378"/>
      <c r="Q1046" s="2375">
        <f t="shared" si="304"/>
        <v>0</v>
      </c>
      <c r="R1046" s="2375">
        <f t="shared" ref="R1046:R1109" si="317">Q1046/$M$8*100</f>
        <v>0</v>
      </c>
      <c r="S1046" s="2375">
        <v>0</v>
      </c>
      <c r="T1046" s="2378"/>
      <c r="U1046" s="2375">
        <f t="shared" si="311"/>
        <v>0</v>
      </c>
      <c r="V1046" s="2375"/>
      <c r="W1046" s="2382">
        <f t="shared" si="308"/>
        <v>60</v>
      </c>
      <c r="X1046" s="2378" t="s">
        <v>117</v>
      </c>
      <c r="Y1046" s="2375">
        <f t="shared" si="313"/>
        <v>128728422.59999999</v>
      </c>
      <c r="Z1046" s="2375">
        <f t="shared" si="312"/>
        <v>5.6231322193773181</v>
      </c>
      <c r="AA1046" s="2377" t="s">
        <v>3355</v>
      </c>
    </row>
    <row r="1047" spans="1:27" ht="25" customHeight="1">
      <c r="A1047" s="2387" t="s">
        <v>101</v>
      </c>
      <c r="B1047" s="2379" t="s">
        <v>771</v>
      </c>
      <c r="C1047" s="2674"/>
      <c r="D1047" s="2632"/>
      <c r="E1047" s="2382">
        <f>'8. Vol Tangki'!$M$213</f>
        <v>6.5939999999999994</v>
      </c>
      <c r="F1047" s="2378" t="s">
        <v>117</v>
      </c>
      <c r="G1047" s="2389">
        <v>51637.66</v>
      </c>
      <c r="H1047" s="2389">
        <f t="shared" si="314"/>
        <v>340498.73003999999</v>
      </c>
      <c r="I1047" s="2390">
        <f>'Resume Analisa'!$D$53</f>
        <v>51957.53</v>
      </c>
      <c r="J1047" s="2779">
        <f t="shared" si="315"/>
        <v>342607.95281999995</v>
      </c>
      <c r="K1047" s="2378" t="e">
        <f>IF(H1047=0,"",IF(J1047&lt;#REF!*H1047,"Timpang &lt;"&amp;TEXT(#REF!,"0%"),IF(J1047&gt;#REF!*H1047,"Timpang &gt;"&amp;TEXT(#REF!,"0%"),"Wajar")))</f>
        <v>#REF!</v>
      </c>
      <c r="L1047" s="2391">
        <v>51957.53</v>
      </c>
      <c r="M1047" s="2391">
        <f t="shared" si="316"/>
        <v>342607.95281999995</v>
      </c>
      <c r="N1047" s="2375">
        <f t="shared" si="310"/>
        <v>1.4965846541158857E-2</v>
      </c>
      <c r="O1047" s="2375">
        <v>0</v>
      </c>
      <c r="P1047" s="2378"/>
      <c r="Q1047" s="2375">
        <f t="shared" si="304"/>
        <v>0</v>
      </c>
      <c r="R1047" s="2375">
        <f t="shared" si="317"/>
        <v>0</v>
      </c>
      <c r="S1047" s="2375">
        <v>0</v>
      </c>
      <c r="T1047" s="2378"/>
      <c r="U1047" s="2375">
        <f t="shared" si="311"/>
        <v>0</v>
      </c>
      <c r="V1047" s="2375"/>
      <c r="W1047" s="2382">
        <f t="shared" si="308"/>
        <v>6.5939999999999994</v>
      </c>
      <c r="X1047" s="2378" t="s">
        <v>117</v>
      </c>
      <c r="Y1047" s="2375">
        <f t="shared" si="313"/>
        <v>342607.95281999995</v>
      </c>
      <c r="Z1047" s="2375">
        <f t="shared" si="312"/>
        <v>1.4965846541158857E-2</v>
      </c>
      <c r="AA1047" s="2377" t="s">
        <v>3355</v>
      </c>
    </row>
    <row r="1048" spans="1:27" ht="25" customHeight="1">
      <c r="A1048" s="2387" t="s">
        <v>121</v>
      </c>
      <c r="B1048" s="2379" t="s">
        <v>772</v>
      </c>
      <c r="C1048" s="2674"/>
      <c r="D1048" s="2632"/>
      <c r="E1048" s="2382">
        <f>'8. Vol Tangki'!$M$214</f>
        <v>8</v>
      </c>
      <c r="F1048" s="2378" t="s">
        <v>117</v>
      </c>
      <c r="G1048" s="2389">
        <v>404092.75</v>
      </c>
      <c r="H1048" s="2389">
        <f t="shared" si="314"/>
        <v>3232742</v>
      </c>
      <c r="I1048" s="2390">
        <f>'Resume Analisa'!$D$170</f>
        <v>385775.63</v>
      </c>
      <c r="J1048" s="2779">
        <f t="shared" si="315"/>
        <v>3086205.04</v>
      </c>
      <c r="K1048" s="2378" t="e">
        <f>IF(H1048=0,"",IF(J1048&lt;#REF!*H1048,"Timpang &lt;"&amp;TEXT(#REF!,"0%"),IF(J1048&gt;#REF!*H1048,"Timpang &gt;"&amp;TEXT(#REF!,"0%"),"Wajar")))</f>
        <v>#REF!</v>
      </c>
      <c r="L1048" s="2391">
        <v>385775.63</v>
      </c>
      <c r="M1048" s="2391">
        <f t="shared" si="316"/>
        <v>3086205.04</v>
      </c>
      <c r="N1048" s="2375">
        <f t="shared" si="310"/>
        <v>0.13481202243853693</v>
      </c>
      <c r="O1048" s="2375">
        <v>0</v>
      </c>
      <c r="P1048" s="2378"/>
      <c r="Q1048" s="2375">
        <f t="shared" si="304"/>
        <v>0</v>
      </c>
      <c r="R1048" s="2375">
        <f t="shared" si="317"/>
        <v>0</v>
      </c>
      <c r="S1048" s="2375">
        <v>0</v>
      </c>
      <c r="T1048" s="2378"/>
      <c r="U1048" s="2375">
        <f t="shared" si="311"/>
        <v>0</v>
      </c>
      <c r="V1048" s="2375"/>
      <c r="W1048" s="2382">
        <f t="shared" si="308"/>
        <v>8</v>
      </c>
      <c r="X1048" s="2378" t="s">
        <v>117</v>
      </c>
      <c r="Y1048" s="2375">
        <f t="shared" si="313"/>
        <v>3086205.04</v>
      </c>
      <c r="Z1048" s="2375">
        <f t="shared" si="312"/>
        <v>0.13481202243853693</v>
      </c>
      <c r="AA1048" s="2377" t="s">
        <v>3355</v>
      </c>
    </row>
    <row r="1049" spans="1:27" ht="25" customHeight="1">
      <c r="A1049" s="2378">
        <f>A1044+1</f>
        <v>3</v>
      </c>
      <c r="B1049" s="2379" t="s">
        <v>773</v>
      </c>
      <c r="C1049" s="2674"/>
      <c r="D1049" s="2632"/>
      <c r="E1049" s="2382">
        <f>'8. Vol Tangki'!$M$222</f>
        <v>1.9141440000000001</v>
      </c>
      <c r="F1049" s="2378" t="s">
        <v>103</v>
      </c>
      <c r="G1049" s="2389">
        <v>867905</v>
      </c>
      <c r="H1049" s="2389">
        <f t="shared" si="314"/>
        <v>1661295.1483200002</v>
      </c>
      <c r="I1049" s="2390">
        <f>'Resume Analisa'!$D$29</f>
        <v>827250.2</v>
      </c>
      <c r="J1049" s="2779">
        <f t="shared" si="315"/>
        <v>1583476.0068288001</v>
      </c>
      <c r="K1049" s="2378" t="e">
        <f>IF(H1049=0,"",IF(J1049&lt;#REF!*H1049,"Timpang &lt;"&amp;TEXT(#REF!,"0%"),IF(J1049&gt;#REF!*H1049,"Timpang &gt;"&amp;TEXT(#REF!,"0%"),"Wajar")))</f>
        <v>#REF!</v>
      </c>
      <c r="L1049" s="2391">
        <v>827250.2</v>
      </c>
      <c r="M1049" s="2391">
        <f t="shared" si="316"/>
        <v>1583476.0068288001</v>
      </c>
      <c r="N1049" s="2375">
        <f t="shared" si="310"/>
        <v>6.9169611285285523E-2</v>
      </c>
      <c r="O1049" s="2375">
        <v>0</v>
      </c>
      <c r="P1049" s="2378"/>
      <c r="Q1049" s="2375">
        <f t="shared" si="304"/>
        <v>0</v>
      </c>
      <c r="R1049" s="2375">
        <f t="shared" si="317"/>
        <v>0</v>
      </c>
      <c r="S1049" s="2386">
        <v>0</v>
      </c>
      <c r="T1049" s="2378"/>
      <c r="U1049" s="2375">
        <f t="shared" si="311"/>
        <v>0</v>
      </c>
      <c r="V1049" s="2375"/>
      <c r="W1049" s="2382">
        <f t="shared" si="308"/>
        <v>1.9141440000000001</v>
      </c>
      <c r="X1049" s="2378" t="s">
        <v>103</v>
      </c>
      <c r="Y1049" s="2375">
        <f t="shared" si="313"/>
        <v>1583476.0068288001</v>
      </c>
      <c r="Z1049" s="2375">
        <f t="shared" si="312"/>
        <v>6.9169611285285523E-2</v>
      </c>
      <c r="AA1049" s="2377" t="s">
        <v>3355</v>
      </c>
    </row>
    <row r="1050" spans="1:27" ht="25" customHeight="1">
      <c r="A1050" s="2378">
        <f>A1049+1</f>
        <v>4</v>
      </c>
      <c r="B1050" s="2379" t="s">
        <v>774</v>
      </c>
      <c r="C1050" s="2674"/>
      <c r="D1050" s="2632"/>
      <c r="E1050" s="2382">
        <f>'8. Vol Tangki'!$M$223</f>
        <v>2.7E-2</v>
      </c>
      <c r="F1050" s="2378" t="s">
        <v>103</v>
      </c>
      <c r="G1050" s="2389">
        <v>28348169.300000001</v>
      </c>
      <c r="H1050" s="2389">
        <f t="shared" si="314"/>
        <v>765400.57110000006</v>
      </c>
      <c r="I1050" s="2390">
        <f>'Resume Analisa'!$D$61</f>
        <v>28315030.890000001</v>
      </c>
      <c r="J1050" s="2779">
        <f t="shared" si="315"/>
        <v>764505.83403000003</v>
      </c>
      <c r="K1050" s="2378" t="e">
        <f>IF(H1050=0,"",IF(J1050&lt;#REF!*H1050,"Timpang &lt;"&amp;TEXT(#REF!,"0%"),IF(J1050&gt;#REF!*H1050,"Timpang &gt;"&amp;TEXT(#REF!,"0%"),"Wajar")))</f>
        <v>#REF!</v>
      </c>
      <c r="L1050" s="2391">
        <v>28315030.890000001</v>
      </c>
      <c r="M1050" s="2391">
        <f t="shared" si="316"/>
        <v>764505.83403000003</v>
      </c>
      <c r="N1050" s="2375">
        <f t="shared" si="310"/>
        <v>3.339524636757276E-2</v>
      </c>
      <c r="O1050" s="2375">
        <v>0</v>
      </c>
      <c r="P1050" s="2378"/>
      <c r="Q1050" s="2375">
        <f t="shared" si="304"/>
        <v>0</v>
      </c>
      <c r="R1050" s="2375">
        <f t="shared" si="317"/>
        <v>0</v>
      </c>
      <c r="S1050" s="2386">
        <v>0</v>
      </c>
      <c r="T1050" s="2378"/>
      <c r="U1050" s="2375">
        <f t="shared" si="311"/>
        <v>0</v>
      </c>
      <c r="V1050" s="2375"/>
      <c r="W1050" s="2382">
        <f t="shared" si="308"/>
        <v>2.7E-2</v>
      </c>
      <c r="X1050" s="2378" t="s">
        <v>103</v>
      </c>
      <c r="Y1050" s="2375">
        <f t="shared" si="313"/>
        <v>764505.83403000003</v>
      </c>
      <c r="Z1050" s="2375">
        <f t="shared" si="312"/>
        <v>3.339524636757276E-2</v>
      </c>
      <c r="AA1050" s="2377" t="s">
        <v>3355</v>
      </c>
    </row>
    <row r="1051" spans="1:27" ht="25" customHeight="1">
      <c r="A1051" s="2378">
        <f>A1050+1</f>
        <v>5</v>
      </c>
      <c r="B1051" s="2379" t="s">
        <v>775</v>
      </c>
      <c r="C1051" s="2674"/>
      <c r="D1051" s="2632"/>
      <c r="E1051" s="2382"/>
      <c r="F1051" s="2378"/>
      <c r="G1051" s="2389"/>
      <c r="H1051" s="2389"/>
      <c r="I1051" s="2390"/>
      <c r="J1051" s="2779"/>
      <c r="K1051" s="2389"/>
      <c r="L1051" s="2391"/>
      <c r="M1051" s="2391"/>
      <c r="N1051" s="2375">
        <f t="shared" si="310"/>
        <v>0</v>
      </c>
      <c r="O1051" s="2375">
        <v>0</v>
      </c>
      <c r="P1051" s="2378"/>
      <c r="Q1051" s="2375">
        <f t="shared" si="304"/>
        <v>0</v>
      </c>
      <c r="R1051" s="2375">
        <f t="shared" si="317"/>
        <v>0</v>
      </c>
      <c r="S1051" s="2375">
        <v>0</v>
      </c>
      <c r="T1051" s="2378"/>
      <c r="U1051" s="2375">
        <f t="shared" si="311"/>
        <v>0</v>
      </c>
      <c r="V1051" s="2375"/>
      <c r="W1051" s="2382">
        <f t="shared" si="308"/>
        <v>0</v>
      </c>
      <c r="X1051" s="2378"/>
      <c r="Y1051" s="2375">
        <f t="shared" si="313"/>
        <v>0</v>
      </c>
      <c r="Z1051" s="2375">
        <f t="shared" si="312"/>
        <v>0</v>
      </c>
      <c r="AA1051" s="2377"/>
    </row>
    <row r="1052" spans="1:27" ht="25" customHeight="1">
      <c r="A1052" s="2387" t="s">
        <v>95</v>
      </c>
      <c r="B1052" s="2379" t="s">
        <v>438</v>
      </c>
      <c r="C1052" s="2674"/>
      <c r="D1052" s="2632"/>
      <c r="E1052" s="2382">
        <f>'8. Vol Tangki'!$M$225</f>
        <v>1.1400000000000001</v>
      </c>
      <c r="F1052" s="2378" t="s">
        <v>103</v>
      </c>
      <c r="G1052" s="2389">
        <v>50600</v>
      </c>
      <c r="H1052" s="2389">
        <f>E1052*G1052</f>
        <v>57684.000000000007</v>
      </c>
      <c r="I1052" s="2480">
        <f>'Resume Analisa'!$D$18</f>
        <v>49036.76</v>
      </c>
      <c r="J1052" s="2821">
        <f>E1052*I1052</f>
        <v>55901.906400000007</v>
      </c>
      <c r="K1052" s="2378" t="e">
        <f>IF(H1052=0,"",IF(J1052&lt;#REF!*H1052,"Timpang &lt;"&amp;TEXT(#REF!,"0%"),IF(J1052&gt;#REF!*H1052,"Timpang &gt;"&amp;TEXT(#REF!,"0%"),"Wajar")))</f>
        <v>#REF!</v>
      </c>
      <c r="L1052" s="2391">
        <v>49036.76</v>
      </c>
      <c r="M1052" s="2391">
        <f>E1052*L1052</f>
        <v>55901.906400000007</v>
      </c>
      <c r="N1052" s="2375">
        <f t="shared" si="310"/>
        <v>2.4419145721937493E-3</v>
      </c>
      <c r="O1052" s="2375">
        <v>0</v>
      </c>
      <c r="P1052" s="2378"/>
      <c r="Q1052" s="2375">
        <f t="shared" si="304"/>
        <v>0</v>
      </c>
      <c r="R1052" s="2375">
        <f t="shared" si="317"/>
        <v>0</v>
      </c>
      <c r="S1052" s="2375">
        <v>0</v>
      </c>
      <c r="T1052" s="2378"/>
      <c r="U1052" s="2375">
        <f t="shared" si="311"/>
        <v>0</v>
      </c>
      <c r="V1052" s="2375"/>
      <c r="W1052" s="2382">
        <f t="shared" si="308"/>
        <v>1.1400000000000001</v>
      </c>
      <c r="X1052" s="2378" t="s">
        <v>103</v>
      </c>
      <c r="Y1052" s="2375">
        <f t="shared" si="313"/>
        <v>55901.906400000007</v>
      </c>
      <c r="Z1052" s="2375">
        <f t="shared" si="312"/>
        <v>2.4419145721937493E-3</v>
      </c>
      <c r="AA1052" s="2377" t="s">
        <v>3355</v>
      </c>
    </row>
    <row r="1053" spans="1:27" ht="25" customHeight="1">
      <c r="A1053" s="2387" t="s">
        <v>98</v>
      </c>
      <c r="B1053" s="2379" t="s">
        <v>501</v>
      </c>
      <c r="C1053" s="2674"/>
      <c r="D1053" s="2632"/>
      <c r="E1053" s="2382"/>
      <c r="F1053" s="2378"/>
      <c r="G1053" s="2389"/>
      <c r="H1053" s="2389"/>
      <c r="I1053" s="2390"/>
      <c r="J1053" s="2779"/>
      <c r="K1053" s="2389"/>
      <c r="L1053" s="2391"/>
      <c r="M1053" s="2391"/>
      <c r="N1053" s="2375">
        <f t="shared" si="310"/>
        <v>0</v>
      </c>
      <c r="O1053" s="2375">
        <v>0</v>
      </c>
      <c r="P1053" s="2378"/>
      <c r="Q1053" s="2375">
        <f t="shared" ref="Q1053:Q1116" si="318">O1053*L1053</f>
        <v>0</v>
      </c>
      <c r="R1053" s="2375">
        <f t="shared" si="317"/>
        <v>0</v>
      </c>
      <c r="S1053" s="2375">
        <v>0</v>
      </c>
      <c r="T1053" s="2378"/>
      <c r="U1053" s="2375">
        <f t="shared" si="311"/>
        <v>0</v>
      </c>
      <c r="V1053" s="2375"/>
      <c r="W1053" s="2382">
        <f t="shared" si="308"/>
        <v>0</v>
      </c>
      <c r="X1053" s="2378"/>
      <c r="Y1053" s="2375">
        <f t="shared" si="313"/>
        <v>0</v>
      </c>
      <c r="Z1053" s="2375">
        <f t="shared" si="312"/>
        <v>0</v>
      </c>
      <c r="AA1053" s="2377"/>
    </row>
    <row r="1054" spans="1:27" ht="25" customHeight="1">
      <c r="A1054" s="2387"/>
      <c r="B1054" s="2379" t="s">
        <v>600</v>
      </c>
      <c r="C1054" s="2674"/>
      <c r="D1054" s="2632"/>
      <c r="E1054" s="2382">
        <f>'8. Vol Tangki'!$M$230</f>
        <v>1.2400000000000002</v>
      </c>
      <c r="F1054" s="2378" t="s">
        <v>89</v>
      </c>
      <c r="G1054" s="2389">
        <v>188325.18000000002</v>
      </c>
      <c r="H1054" s="2389">
        <f t="shared" ref="H1054:H1060" si="319">E1054*G1054</f>
        <v>233523.22320000007</v>
      </c>
      <c r="I1054" s="2465">
        <f>'Resume Analisa'!$D$68</f>
        <v>181829.52000000002</v>
      </c>
      <c r="J1054" s="2779">
        <f>I1054*E1054</f>
        <v>225468.60480000006</v>
      </c>
      <c r="K1054" s="2378" t="e">
        <f>IF(H1054=0,"",IF(J1054&lt;#REF!*H1054,"Timpang &lt;"&amp;TEXT(#REF!,"0%"),IF(J1054&gt;#REF!*H1054,"Timpang &gt;"&amp;TEXT(#REF!,"0%"),"Wajar")))</f>
        <v>#REF!</v>
      </c>
      <c r="L1054" s="2391">
        <v>181829.52000000002</v>
      </c>
      <c r="M1054" s="2391">
        <f t="shared" ref="M1054:M1060" si="320">E1054*L1054</f>
        <v>225468.60480000006</v>
      </c>
      <c r="N1054" s="2375">
        <f t="shared" si="310"/>
        <v>9.8489498317594695E-3</v>
      </c>
      <c r="O1054" s="2375">
        <v>0</v>
      </c>
      <c r="P1054" s="2378"/>
      <c r="Q1054" s="2375">
        <f t="shared" si="318"/>
        <v>0</v>
      </c>
      <c r="R1054" s="2375">
        <f t="shared" si="317"/>
        <v>0</v>
      </c>
      <c r="S1054" s="2375">
        <v>0</v>
      </c>
      <c r="T1054" s="2378"/>
      <c r="U1054" s="2375">
        <f t="shared" si="311"/>
        <v>0</v>
      </c>
      <c r="V1054" s="2375"/>
      <c r="W1054" s="2382">
        <f t="shared" si="308"/>
        <v>1.2400000000000002</v>
      </c>
      <c r="X1054" s="2378" t="s">
        <v>89</v>
      </c>
      <c r="Y1054" s="2375">
        <f t="shared" si="313"/>
        <v>225468.60480000006</v>
      </c>
      <c r="Z1054" s="2375">
        <f t="shared" si="312"/>
        <v>9.8489498317594695E-3</v>
      </c>
      <c r="AA1054" s="2377" t="s">
        <v>3355</v>
      </c>
    </row>
    <row r="1055" spans="1:27" ht="25" customHeight="1">
      <c r="A1055" s="2387"/>
      <c r="B1055" s="2379" t="s">
        <v>776</v>
      </c>
      <c r="C1055" s="2674"/>
      <c r="D1055" s="2632"/>
      <c r="E1055" s="2382">
        <f>'8. Vol Tangki'!$M$231</f>
        <v>2.9400000000000004</v>
      </c>
      <c r="F1055" s="2378" t="s">
        <v>89</v>
      </c>
      <c r="G1055" s="2389">
        <v>76182.909999999989</v>
      </c>
      <c r="H1055" s="2389">
        <f t="shared" si="319"/>
        <v>223977.75539999999</v>
      </c>
      <c r="I1055" s="2465">
        <f>'Resume Analisa'!$D$51</f>
        <v>78144.03</v>
      </c>
      <c r="J1055" s="2779">
        <f>I1055*E1055</f>
        <v>229743.44820000001</v>
      </c>
      <c r="K1055" s="2378" t="e">
        <f>IF(H1055=0,"",IF(J1055&lt;#REF!*H1055,"Timpang &lt;"&amp;TEXT(#REF!,"0%"),IF(J1055&gt;#REF!*H1055,"Timpang &gt;"&amp;TEXT(#REF!,"0%"),"Wajar")))</f>
        <v>#REF!</v>
      </c>
      <c r="L1055" s="2391">
        <v>78144.03</v>
      </c>
      <c r="M1055" s="2391">
        <f t="shared" si="320"/>
        <v>229743.44820000001</v>
      </c>
      <c r="N1055" s="2375">
        <f t="shared" si="310"/>
        <v>1.0035684114444077E-2</v>
      </c>
      <c r="O1055" s="2375">
        <v>0</v>
      </c>
      <c r="P1055" s="2378"/>
      <c r="Q1055" s="2375">
        <f t="shared" si="318"/>
        <v>0</v>
      </c>
      <c r="R1055" s="2375">
        <f t="shared" si="317"/>
        <v>0</v>
      </c>
      <c r="S1055" s="2375">
        <v>0</v>
      </c>
      <c r="T1055" s="2378"/>
      <c r="U1055" s="2375">
        <f t="shared" si="311"/>
        <v>0</v>
      </c>
      <c r="V1055" s="2375"/>
      <c r="W1055" s="2382">
        <f t="shared" si="308"/>
        <v>2.9400000000000004</v>
      </c>
      <c r="X1055" s="2378" t="s">
        <v>89</v>
      </c>
      <c r="Y1055" s="2375">
        <f t="shared" si="313"/>
        <v>229743.44820000001</v>
      </c>
      <c r="Z1055" s="2375">
        <f t="shared" si="312"/>
        <v>1.0035684114444077E-2</v>
      </c>
      <c r="AA1055" s="2377" t="s">
        <v>3355</v>
      </c>
    </row>
    <row r="1056" spans="1:27" ht="25" customHeight="1">
      <c r="A1056" s="2387"/>
      <c r="B1056" s="2673" t="s">
        <v>602</v>
      </c>
      <c r="C1056" s="2674"/>
      <c r="D1056" s="2632"/>
      <c r="E1056" s="2382">
        <f>'8. Vol Tangki'!$M$232</f>
        <v>0.58800000000000008</v>
      </c>
      <c r="F1056" s="2378" t="s">
        <v>103</v>
      </c>
      <c r="G1056" s="2389">
        <v>1584129.98</v>
      </c>
      <c r="H1056" s="2389">
        <f t="shared" si="319"/>
        <v>931468.42824000015</v>
      </c>
      <c r="I1056" s="2465">
        <f>'Resume Analisa'!$D$55</f>
        <v>1535009.1300000001</v>
      </c>
      <c r="J1056" s="2821">
        <f>E1056*I1056</f>
        <v>902585.36844000022</v>
      </c>
      <c r="K1056" s="2378" t="e">
        <f>IF(H1056=0,"",IF(J1056&lt;#REF!*H1056,"Timpang &lt;"&amp;TEXT(#REF!,"0%"),IF(J1056&gt;#REF!*H1056,"Timpang &gt;"&amp;TEXT(#REF!,"0%"),"Wajar")))</f>
        <v>#REF!</v>
      </c>
      <c r="L1056" s="2391">
        <v>1535009.1300000001</v>
      </c>
      <c r="M1056" s="2391">
        <f t="shared" si="320"/>
        <v>902585.36844000022</v>
      </c>
      <c r="N1056" s="2375">
        <f t="shared" si="310"/>
        <v>3.9426855107082721E-2</v>
      </c>
      <c r="O1056" s="2375">
        <v>0</v>
      </c>
      <c r="P1056" s="2378"/>
      <c r="Q1056" s="2375">
        <f t="shared" si="318"/>
        <v>0</v>
      </c>
      <c r="R1056" s="2375">
        <f t="shared" si="317"/>
        <v>0</v>
      </c>
      <c r="S1056" s="2386">
        <v>0</v>
      </c>
      <c r="T1056" s="2378"/>
      <c r="U1056" s="2375">
        <f t="shared" si="311"/>
        <v>0</v>
      </c>
      <c r="V1056" s="2375"/>
      <c r="W1056" s="2382">
        <f t="shared" si="308"/>
        <v>0.58800000000000008</v>
      </c>
      <c r="X1056" s="2378" t="s">
        <v>103</v>
      </c>
      <c r="Y1056" s="2375">
        <f t="shared" si="313"/>
        <v>902585.36844000022</v>
      </c>
      <c r="Z1056" s="2375">
        <f t="shared" si="312"/>
        <v>3.9426855107082721E-2</v>
      </c>
      <c r="AA1056" s="2377" t="s">
        <v>3355</v>
      </c>
    </row>
    <row r="1057" spans="1:27" ht="25" customHeight="1">
      <c r="A1057" s="2387" t="s">
        <v>101</v>
      </c>
      <c r="B1057" s="2379" t="s">
        <v>777</v>
      </c>
      <c r="C1057" s="2674"/>
      <c r="D1057" s="2632"/>
      <c r="E1057" s="2382">
        <f>'8. Vol Tangki'!$M$236</f>
        <v>2.2999999999999998</v>
      </c>
      <c r="F1057" s="2378" t="s">
        <v>89</v>
      </c>
      <c r="G1057" s="2389">
        <v>166165.41</v>
      </c>
      <c r="H1057" s="2389">
        <f t="shared" si="319"/>
        <v>382180.44299999997</v>
      </c>
      <c r="I1057" s="2465">
        <f>'Resume Analisa'!$D$69</f>
        <v>161086.38</v>
      </c>
      <c r="J1057" s="2821">
        <f>E1057*I1057</f>
        <v>370498.674</v>
      </c>
      <c r="K1057" s="2378" t="e">
        <f>IF(H1057=0,"",IF(J1057&lt;#REF!*H1057,"Timpang &lt;"&amp;TEXT(#REF!,"0%"),IF(J1057&gt;#REF!*H1057,"Timpang &gt;"&amp;TEXT(#REF!,"0%"),"Wajar")))</f>
        <v>#REF!</v>
      </c>
      <c r="L1057" s="2391">
        <v>161086.38</v>
      </c>
      <c r="M1057" s="2391">
        <f t="shared" si="320"/>
        <v>370498.674</v>
      </c>
      <c r="N1057" s="2375">
        <f t="shared" si="310"/>
        <v>1.6184172764080566E-2</v>
      </c>
      <c r="O1057" s="2375">
        <v>0</v>
      </c>
      <c r="P1057" s="2378"/>
      <c r="Q1057" s="2375">
        <f t="shared" si="318"/>
        <v>0</v>
      </c>
      <c r="R1057" s="2375">
        <f t="shared" si="317"/>
        <v>0</v>
      </c>
      <c r="S1057" s="2386">
        <v>0</v>
      </c>
      <c r="T1057" s="2378"/>
      <c r="U1057" s="2375">
        <f t="shared" si="311"/>
        <v>0</v>
      </c>
      <c r="V1057" s="2375"/>
      <c r="W1057" s="2382">
        <f t="shared" si="308"/>
        <v>2.2999999999999998</v>
      </c>
      <c r="X1057" s="2378" t="s">
        <v>89</v>
      </c>
      <c r="Y1057" s="2375">
        <f t="shared" si="313"/>
        <v>370498.674</v>
      </c>
      <c r="Z1057" s="2375">
        <f t="shared" si="312"/>
        <v>1.6184172764080566E-2</v>
      </c>
      <c r="AA1057" s="2377" t="s">
        <v>3355</v>
      </c>
    </row>
    <row r="1058" spans="1:27" ht="25" customHeight="1">
      <c r="A1058" s="2387" t="s">
        <v>121</v>
      </c>
      <c r="B1058" s="2379" t="s">
        <v>193</v>
      </c>
      <c r="C1058" s="2674"/>
      <c r="D1058" s="2632"/>
      <c r="E1058" s="2382">
        <f>'8. Vol Tangki'!$M$245</f>
        <v>5.1100000000000003</v>
      </c>
      <c r="F1058" s="2378" t="s">
        <v>89</v>
      </c>
      <c r="G1058" s="2389">
        <v>61230.840000000004</v>
      </c>
      <c r="H1058" s="2389">
        <f t="shared" si="319"/>
        <v>312889.59240000002</v>
      </c>
      <c r="I1058" s="2465">
        <f>'Resume Analisa'!$D$70</f>
        <v>58648.57</v>
      </c>
      <c r="J1058" s="2821">
        <f>E1058*I1058</f>
        <v>299694.19270000001</v>
      </c>
      <c r="K1058" s="2378" t="e">
        <f>IF(H1058=0,"",IF(J1058&lt;#REF!*H1058,"Timpang &lt;"&amp;TEXT(#REF!,"0%"),IF(J1058&gt;#REF!*H1058,"Timpang &gt;"&amp;TEXT(#REF!,"0%"),"Wajar")))</f>
        <v>#REF!</v>
      </c>
      <c r="L1058" s="2391">
        <v>58648.57</v>
      </c>
      <c r="M1058" s="2391">
        <f t="shared" si="320"/>
        <v>299694.19270000001</v>
      </c>
      <c r="N1058" s="2375">
        <f t="shared" si="310"/>
        <v>1.3091281916567544E-2</v>
      </c>
      <c r="O1058" s="2375">
        <v>0</v>
      </c>
      <c r="P1058" s="2378"/>
      <c r="Q1058" s="2375">
        <f t="shared" si="318"/>
        <v>0</v>
      </c>
      <c r="R1058" s="2375">
        <f t="shared" si="317"/>
        <v>0</v>
      </c>
      <c r="S1058" s="2375">
        <v>0</v>
      </c>
      <c r="T1058" s="2378"/>
      <c r="U1058" s="2375">
        <f t="shared" si="311"/>
        <v>0</v>
      </c>
      <c r="V1058" s="2375"/>
      <c r="W1058" s="2382">
        <f t="shared" si="308"/>
        <v>5.1100000000000003</v>
      </c>
      <c r="X1058" s="2378" t="s">
        <v>89</v>
      </c>
      <c r="Y1058" s="2375">
        <f t="shared" si="313"/>
        <v>299694.19270000001</v>
      </c>
      <c r="Z1058" s="2375">
        <f t="shared" si="312"/>
        <v>1.3091281916567544E-2</v>
      </c>
      <c r="AA1058" s="2377" t="s">
        <v>3355</v>
      </c>
    </row>
    <row r="1059" spans="1:27" ht="25" customHeight="1">
      <c r="A1059" s="2387" t="s">
        <v>142</v>
      </c>
      <c r="B1059" s="2379" t="s">
        <v>194</v>
      </c>
      <c r="C1059" s="2674"/>
      <c r="D1059" s="2632"/>
      <c r="E1059" s="2382">
        <f>'8. Vol Tangki'!$M$246</f>
        <v>5.1100000000000003</v>
      </c>
      <c r="F1059" s="2378" t="s">
        <v>89</v>
      </c>
      <c r="G1059" s="2389">
        <v>45612.170000000006</v>
      </c>
      <c r="H1059" s="2389">
        <f t="shared" si="319"/>
        <v>233078.18870000006</v>
      </c>
      <c r="I1059" s="2465">
        <f>'Resume Analisa'!$D$72</f>
        <v>43813.91</v>
      </c>
      <c r="J1059" s="2821">
        <f>E1059*I1059</f>
        <v>223889.08010000002</v>
      </c>
      <c r="K1059" s="2378" t="e">
        <f>IF(H1059=0,"",IF(J1059&lt;#REF!*H1059,"Timpang &lt;"&amp;TEXT(#REF!,"0%"),IF(J1059&gt;#REF!*H1059,"Timpang &gt;"&amp;TEXT(#REF!,"0%"),"Wajar")))</f>
        <v>#REF!</v>
      </c>
      <c r="L1059" s="2391">
        <v>43813.91</v>
      </c>
      <c r="M1059" s="2391">
        <f t="shared" si="320"/>
        <v>223889.08010000002</v>
      </c>
      <c r="N1059" s="2375">
        <f t="shared" si="310"/>
        <v>9.7799528219889749E-3</v>
      </c>
      <c r="O1059" s="2375">
        <v>0</v>
      </c>
      <c r="P1059" s="2378"/>
      <c r="Q1059" s="2375">
        <f t="shared" si="318"/>
        <v>0</v>
      </c>
      <c r="R1059" s="2375">
        <f t="shared" si="317"/>
        <v>0</v>
      </c>
      <c r="S1059" s="2375">
        <v>0</v>
      </c>
      <c r="T1059" s="2378"/>
      <c r="U1059" s="2375">
        <f t="shared" si="311"/>
        <v>0</v>
      </c>
      <c r="V1059" s="2375"/>
      <c r="W1059" s="2382">
        <f t="shared" si="308"/>
        <v>5.1100000000000003</v>
      </c>
      <c r="X1059" s="2378" t="s">
        <v>89</v>
      </c>
      <c r="Y1059" s="2375">
        <f t="shared" si="313"/>
        <v>223889.08010000002</v>
      </c>
      <c r="Z1059" s="2375">
        <f t="shared" si="312"/>
        <v>9.7799528219889749E-3</v>
      </c>
      <c r="AA1059" s="2377" t="s">
        <v>3355</v>
      </c>
    </row>
    <row r="1060" spans="1:27" ht="58.5" customHeight="1">
      <c r="A1060" s="2822" t="s">
        <v>217</v>
      </c>
      <c r="B1060" s="3196" t="s">
        <v>778</v>
      </c>
      <c r="C1060" s="3197"/>
      <c r="D1060" s="3198"/>
      <c r="E1060" s="2402">
        <f>'8. Vol Tangki'!$M$247</f>
        <v>1</v>
      </c>
      <c r="F1060" s="2408" t="s">
        <v>360</v>
      </c>
      <c r="G1060" s="2405">
        <v>3215488.5399999996</v>
      </c>
      <c r="H1060" s="2405">
        <f t="shared" si="319"/>
        <v>3215488.5399999996</v>
      </c>
      <c r="I1060" s="2823">
        <f>'Resume Analisa'!$D$219</f>
        <v>3223527.9499999997</v>
      </c>
      <c r="J1060" s="2806">
        <f>I1060*E1060</f>
        <v>3223527.9499999997</v>
      </c>
      <c r="K1060" s="2408" t="e">
        <f>IF(H1060=0,"",IF(J1060&lt;#REF!*H1060,"Timpang &lt;"&amp;TEXT(#REF!,"0%"),IF(J1060&gt;#REF!*H1060,"Timpang &gt;"&amp;TEXT(#REF!,"0%"),"Wajar")))</f>
        <v>#REF!</v>
      </c>
      <c r="L1060" s="2410">
        <v>3223527.9499999997</v>
      </c>
      <c r="M1060" s="2410">
        <f t="shared" si="320"/>
        <v>3223527.9499999997</v>
      </c>
      <c r="N1060" s="2375">
        <f t="shared" si="310"/>
        <v>0.14081058020910073</v>
      </c>
      <c r="O1060" s="2411">
        <v>0</v>
      </c>
      <c r="P1060" s="2408"/>
      <c r="Q1060" s="2411">
        <f t="shared" si="318"/>
        <v>0</v>
      </c>
      <c r="R1060" s="2411">
        <f t="shared" si="317"/>
        <v>0</v>
      </c>
      <c r="S1060" s="2411">
        <v>0</v>
      </c>
      <c r="T1060" s="2408"/>
      <c r="U1060" s="2411">
        <f t="shared" si="311"/>
        <v>0</v>
      </c>
      <c r="V1060" s="2411"/>
      <c r="W1060" s="2402">
        <f t="shared" si="308"/>
        <v>1</v>
      </c>
      <c r="X1060" s="2408" t="s">
        <v>360</v>
      </c>
      <c r="Y1060" s="2411">
        <f t="shared" si="313"/>
        <v>3223527.9499999997</v>
      </c>
      <c r="Z1060" s="2375">
        <f t="shared" si="312"/>
        <v>0.14081058020910073</v>
      </c>
      <c r="AA1060" s="2412" t="s">
        <v>3355</v>
      </c>
    </row>
    <row r="1061" spans="1:27" ht="25" customHeight="1">
      <c r="A1061" s="2427"/>
      <c r="B1061" s="2808"/>
      <c r="C1061" s="2809"/>
      <c r="D1061" s="2512" t="s">
        <v>376</v>
      </c>
      <c r="E1061" s="2824"/>
      <c r="F1061" s="2811"/>
      <c r="G1061" s="2581"/>
      <c r="H1061" s="2581">
        <f>SUM(H1043:H1060)</f>
        <v>185471699.02039999</v>
      </c>
      <c r="I1061" s="2825"/>
      <c r="J1061" s="2582">
        <f>SUM(J1043:J1060)</f>
        <v>181348746.46831876</v>
      </c>
      <c r="K1061" s="2581"/>
      <c r="L1061" s="2584"/>
      <c r="M1061" s="2584">
        <f>SUM(M1043:M1060)</f>
        <v>181348746.46831876</v>
      </c>
      <c r="N1061" s="2424">
        <f>M1061/M8*100</f>
        <v>7.9217002633394484</v>
      </c>
      <c r="O1061" s="2426">
        <v>0</v>
      </c>
      <c r="P1061" s="2811"/>
      <c r="Q1061" s="2426">
        <f t="shared" si="318"/>
        <v>0</v>
      </c>
      <c r="R1061" s="2426">
        <f t="shared" si="317"/>
        <v>0</v>
      </c>
      <c r="S1061" s="2426">
        <v>0</v>
      </c>
      <c r="T1061" s="2826"/>
      <c r="U1061" s="2426">
        <f t="shared" si="311"/>
        <v>0</v>
      </c>
      <c r="V1061" s="2426"/>
      <c r="W1061" s="2428">
        <f t="shared" si="308"/>
        <v>0</v>
      </c>
      <c r="X1061" s="2811"/>
      <c r="Y1061" s="2424">
        <f>SUM(Y1043:Y1060)</f>
        <v>181348746.46831876</v>
      </c>
      <c r="Z1061" s="2424">
        <f>SUM(Z1043:Z1060)</f>
        <v>7.9217002633394511</v>
      </c>
      <c r="AA1061" s="2429"/>
    </row>
    <row r="1062" spans="1:27" ht="25" customHeight="1">
      <c r="A1062" s="2812" t="s">
        <v>779</v>
      </c>
      <c r="B1062" s="2813" t="s">
        <v>780</v>
      </c>
      <c r="C1062" s="2814"/>
      <c r="D1062" s="2815"/>
      <c r="E1062" s="2445"/>
      <c r="F1062" s="2817"/>
      <c r="G1062" s="2585"/>
      <c r="H1062" s="2531"/>
      <c r="I1062" s="2827"/>
      <c r="J1062" s="2528"/>
      <c r="K1062" s="2531"/>
      <c r="L1062" s="2532"/>
      <c r="M1062" s="2533"/>
      <c r="N1062" s="2365"/>
      <c r="O1062" s="2365"/>
      <c r="P1062" s="2817"/>
      <c r="Q1062" s="2365"/>
      <c r="R1062" s="2365">
        <f t="shared" si="317"/>
        <v>0</v>
      </c>
      <c r="S1062" s="2365"/>
      <c r="T1062" s="2828"/>
      <c r="U1062" s="2365"/>
      <c r="V1062" s="2365"/>
      <c r="W1062" s="2445">
        <f t="shared" si="308"/>
        <v>0</v>
      </c>
      <c r="X1062" s="2817"/>
      <c r="Y1062" s="2365">
        <f t="shared" si="309"/>
        <v>0</v>
      </c>
      <c r="Z1062" s="2365"/>
      <c r="AA1062" s="2367"/>
    </row>
    <row r="1063" spans="1:27" ht="50" customHeight="1">
      <c r="A1063" s="2378">
        <v>1</v>
      </c>
      <c r="B1063" s="3208" t="s">
        <v>781</v>
      </c>
      <c r="C1063" s="3209"/>
      <c r="D1063" s="3210"/>
      <c r="E1063" s="2382">
        <f>'8. Vol Tangki'!$M$249</f>
        <v>1</v>
      </c>
      <c r="F1063" s="2378" t="s">
        <v>360</v>
      </c>
      <c r="G1063" s="2389">
        <v>66290416</v>
      </c>
      <c r="H1063" s="2389">
        <f t="shared" ref="H1063:H1068" si="321">E1063*G1063</f>
        <v>66290416</v>
      </c>
      <c r="I1063" s="2390">
        <f>'Resume Analisa'!$D$220</f>
        <v>67106461.049999997</v>
      </c>
      <c r="J1063" s="2779">
        <f t="shared" ref="J1063:J1068" si="322">I1063*E1063</f>
        <v>67106461.049999997</v>
      </c>
      <c r="K1063" s="2378" t="e">
        <f>IF(H1063=0,"",IF(J1063&lt;#REF!*H1063,"Timpang &lt;"&amp;TEXT(#REF!,"0%"),IF(J1063&gt;#REF!*H1063,"Timpang &gt;"&amp;TEXT(#REF!,"0%"),"Wajar")))</f>
        <v>#REF!</v>
      </c>
      <c r="L1063" s="2391">
        <v>67106461.049999997</v>
      </c>
      <c r="M1063" s="2391">
        <f t="shared" ref="M1063:M1068" si="323">E1063*L1063</f>
        <v>67106461.049999997</v>
      </c>
      <c r="N1063" s="2375">
        <f t="shared" ref="N1063:N1068" si="324">M1063/$M$8*100</f>
        <v>2.9313534310226532</v>
      </c>
      <c r="O1063" s="2375">
        <v>0</v>
      </c>
      <c r="P1063" s="2378"/>
      <c r="Q1063" s="2375">
        <f t="shared" si="318"/>
        <v>0</v>
      </c>
      <c r="R1063" s="2375">
        <f t="shared" si="317"/>
        <v>0</v>
      </c>
      <c r="S1063" s="2386">
        <v>0</v>
      </c>
      <c r="T1063" s="2378"/>
      <c r="U1063" s="2375">
        <f t="shared" si="311"/>
        <v>0</v>
      </c>
      <c r="V1063" s="2375"/>
      <c r="W1063" s="2382">
        <f t="shared" si="308"/>
        <v>1</v>
      </c>
      <c r="X1063" s="2378" t="s">
        <v>360</v>
      </c>
      <c r="Y1063" s="2375">
        <f>W1063*L1063</f>
        <v>67106461.049999997</v>
      </c>
      <c r="Z1063" s="2375">
        <f t="shared" ref="Z1063:Z1068" si="325">Y1063/$M$8*100</f>
        <v>2.9313534310226532</v>
      </c>
      <c r="AA1063" s="2377" t="s">
        <v>3355</v>
      </c>
    </row>
    <row r="1064" spans="1:27" ht="25" customHeight="1">
      <c r="A1064" s="2378">
        <f>A1063+1</f>
        <v>2</v>
      </c>
      <c r="B1064" s="2379" t="s">
        <v>782</v>
      </c>
      <c r="C1064" s="2674"/>
      <c r="D1064" s="2632"/>
      <c r="E1064" s="2382">
        <f>'8. Vol Tangki'!$M$250</f>
        <v>1</v>
      </c>
      <c r="F1064" s="2378" t="s">
        <v>360</v>
      </c>
      <c r="G1064" s="2389">
        <v>4235611</v>
      </c>
      <c r="H1064" s="2389">
        <f t="shared" si="321"/>
        <v>4235611</v>
      </c>
      <c r="I1064" s="2390">
        <f>'Resume Analisa'!$D$159</f>
        <v>4120715.8</v>
      </c>
      <c r="J1064" s="2779">
        <f t="shared" si="322"/>
        <v>4120715.8</v>
      </c>
      <c r="K1064" s="2378" t="e">
        <f>IF(H1064=0,"",IF(J1064&lt;#REF!*H1064,"Timpang &lt;"&amp;TEXT(#REF!,"0%"),IF(J1064&gt;#REF!*H1064,"Timpang &gt;"&amp;TEXT(#REF!,"0%"),"Wajar")))</f>
        <v>#REF!</v>
      </c>
      <c r="L1064" s="2391">
        <v>4120715.8</v>
      </c>
      <c r="M1064" s="2391">
        <f t="shared" si="323"/>
        <v>4120715.8</v>
      </c>
      <c r="N1064" s="2375">
        <f t="shared" si="324"/>
        <v>0.18000166019184313</v>
      </c>
      <c r="O1064" s="2375">
        <v>0</v>
      </c>
      <c r="P1064" s="2378"/>
      <c r="Q1064" s="2375">
        <f t="shared" si="318"/>
        <v>0</v>
      </c>
      <c r="R1064" s="2375">
        <f t="shared" si="317"/>
        <v>0</v>
      </c>
      <c r="S1064" s="2386">
        <v>0</v>
      </c>
      <c r="T1064" s="2378"/>
      <c r="U1064" s="2375">
        <f t="shared" si="311"/>
        <v>0</v>
      </c>
      <c r="V1064" s="2375"/>
      <c r="W1064" s="2382">
        <f t="shared" si="308"/>
        <v>1</v>
      </c>
      <c r="X1064" s="2378" t="s">
        <v>360</v>
      </c>
      <c r="Y1064" s="2375">
        <f t="shared" ref="Y1064:Y1068" si="326">W1064*L1064</f>
        <v>4120715.8</v>
      </c>
      <c r="Z1064" s="2375">
        <f t="shared" si="325"/>
        <v>0.18000166019184313</v>
      </c>
      <c r="AA1064" s="2377" t="s">
        <v>3355</v>
      </c>
    </row>
    <row r="1065" spans="1:27" ht="25" customHeight="1">
      <c r="A1065" s="2378">
        <f>A1064+1</f>
        <v>3</v>
      </c>
      <c r="B1065" s="2379" t="s">
        <v>783</v>
      </c>
      <c r="C1065" s="2674"/>
      <c r="D1065" s="2632"/>
      <c r="E1065" s="2382">
        <f>'8. Vol Tangki'!$M$251</f>
        <v>60</v>
      </c>
      <c r="F1065" s="2378" t="s">
        <v>117</v>
      </c>
      <c r="G1065" s="2389">
        <v>33637.5</v>
      </c>
      <c r="H1065" s="2389">
        <f t="shared" si="321"/>
        <v>2018250</v>
      </c>
      <c r="I1065" s="2390">
        <f>'Resume Analisa'!$D$138</f>
        <v>35400.75</v>
      </c>
      <c r="J1065" s="2779">
        <f t="shared" si="322"/>
        <v>2124045</v>
      </c>
      <c r="K1065" s="2378" t="e">
        <f>IF(H1065=0,"",IF(J1065&lt;#REF!*H1065,"Timpang &lt;"&amp;TEXT(#REF!,"0%"),IF(J1065&gt;#REF!*H1065,"Timpang &gt;"&amp;TEXT(#REF!,"0%"),"Wajar")))</f>
        <v>#REF!</v>
      </c>
      <c r="L1065" s="2391">
        <v>35400.75</v>
      </c>
      <c r="M1065" s="2391">
        <f t="shared" si="323"/>
        <v>2124045</v>
      </c>
      <c r="N1065" s="2375">
        <f t="shared" si="324"/>
        <v>9.2782818538998363E-2</v>
      </c>
      <c r="O1065" s="2375">
        <v>0</v>
      </c>
      <c r="P1065" s="2378"/>
      <c r="Q1065" s="2375">
        <f t="shared" si="318"/>
        <v>0</v>
      </c>
      <c r="R1065" s="2375">
        <f t="shared" si="317"/>
        <v>0</v>
      </c>
      <c r="S1065" s="2375">
        <v>0</v>
      </c>
      <c r="T1065" s="2378"/>
      <c r="U1065" s="2375">
        <f t="shared" si="311"/>
        <v>0</v>
      </c>
      <c r="V1065" s="2375"/>
      <c r="W1065" s="2382">
        <f t="shared" si="308"/>
        <v>60</v>
      </c>
      <c r="X1065" s="2378" t="s">
        <v>117</v>
      </c>
      <c r="Y1065" s="2375">
        <f t="shared" si="326"/>
        <v>2124045</v>
      </c>
      <c r="Z1065" s="2375">
        <f t="shared" si="325"/>
        <v>9.2782818538998363E-2</v>
      </c>
      <c r="AA1065" s="2377" t="s">
        <v>3355</v>
      </c>
    </row>
    <row r="1066" spans="1:27" ht="25" customHeight="1">
      <c r="A1066" s="2378">
        <f>A1065+1</f>
        <v>4</v>
      </c>
      <c r="B1066" s="2379" t="s">
        <v>784</v>
      </c>
      <c r="C1066" s="2674"/>
      <c r="D1066" s="2632"/>
      <c r="E1066" s="2382">
        <f>'8. Vol Tangki'!$M$252</f>
        <v>60</v>
      </c>
      <c r="F1066" s="2378" t="s">
        <v>117</v>
      </c>
      <c r="G1066" s="2389">
        <v>46057.5</v>
      </c>
      <c r="H1066" s="2389">
        <f t="shared" si="321"/>
        <v>2763450</v>
      </c>
      <c r="I1066" s="2390">
        <f>'Resume Analisa'!$D$139</f>
        <v>46861.62</v>
      </c>
      <c r="J1066" s="2779">
        <f t="shared" si="322"/>
        <v>2811697.2</v>
      </c>
      <c r="K1066" s="2378" t="e">
        <f>IF(H1066=0,"",IF(J1066&lt;#REF!*H1066,"Timpang &lt;"&amp;TEXT(#REF!,"0%"),IF(J1066&gt;#REF!*H1066,"Timpang &gt;"&amp;TEXT(#REF!,"0%"),"Wajar")))</f>
        <v>#REF!</v>
      </c>
      <c r="L1066" s="2391">
        <v>46861.62</v>
      </c>
      <c r="M1066" s="2391">
        <f t="shared" si="323"/>
        <v>2811697.2</v>
      </c>
      <c r="N1066" s="2375">
        <f t="shared" si="324"/>
        <v>0.1228209341582734</v>
      </c>
      <c r="O1066" s="2375">
        <v>0</v>
      </c>
      <c r="P1066" s="2378"/>
      <c r="Q1066" s="2375">
        <f t="shared" si="318"/>
        <v>0</v>
      </c>
      <c r="R1066" s="2375">
        <f t="shared" si="317"/>
        <v>0</v>
      </c>
      <c r="S1066" s="2375">
        <v>0</v>
      </c>
      <c r="T1066" s="2378"/>
      <c r="U1066" s="2375">
        <f t="shared" si="311"/>
        <v>0</v>
      </c>
      <c r="V1066" s="2375"/>
      <c r="W1066" s="2382">
        <f t="shared" si="308"/>
        <v>60</v>
      </c>
      <c r="X1066" s="2378" t="s">
        <v>117</v>
      </c>
      <c r="Y1066" s="2375">
        <f t="shared" si="326"/>
        <v>2811697.2</v>
      </c>
      <c r="Z1066" s="2375">
        <f t="shared" si="325"/>
        <v>0.1228209341582734</v>
      </c>
      <c r="AA1066" s="2377" t="s">
        <v>3355</v>
      </c>
    </row>
    <row r="1067" spans="1:27" ht="64" customHeight="1">
      <c r="A1067" s="2378">
        <f>A1066+1</f>
        <v>5</v>
      </c>
      <c r="B1067" s="3208" t="s">
        <v>785</v>
      </c>
      <c r="C1067" s="3209"/>
      <c r="D1067" s="3210"/>
      <c r="E1067" s="2382">
        <f>'8. Vol Tangki'!$M$253</f>
        <v>1</v>
      </c>
      <c r="F1067" s="2378" t="s">
        <v>360</v>
      </c>
      <c r="G1067" s="2389">
        <v>4161666</v>
      </c>
      <c r="H1067" s="2389">
        <f t="shared" si="321"/>
        <v>4161666</v>
      </c>
      <c r="I1067" s="2390">
        <f>'Resume Analisa'!$D$221</f>
        <v>4204060.3899999997</v>
      </c>
      <c r="J1067" s="2779">
        <f t="shared" si="322"/>
        <v>4204060.3899999997</v>
      </c>
      <c r="K1067" s="2378" t="e">
        <f>IF(H1067=0,"",IF(J1067&lt;#REF!*H1067,"Timpang &lt;"&amp;TEXT(#REF!,"0%"),IF(J1067&gt;#REF!*H1067,"Timpang &gt;"&amp;TEXT(#REF!,"0%"),"Wajar")))</f>
        <v>#REF!</v>
      </c>
      <c r="L1067" s="2391">
        <v>4204060.3899999997</v>
      </c>
      <c r="M1067" s="2391">
        <f t="shared" si="323"/>
        <v>4204060.3899999997</v>
      </c>
      <c r="N1067" s="2375">
        <f t="shared" si="324"/>
        <v>0.18364232974930411</v>
      </c>
      <c r="O1067" s="2375">
        <v>0</v>
      </c>
      <c r="P1067" s="2378"/>
      <c r="Q1067" s="2375">
        <f t="shared" si="318"/>
        <v>0</v>
      </c>
      <c r="R1067" s="2375">
        <f t="shared" si="317"/>
        <v>0</v>
      </c>
      <c r="S1067" s="2375">
        <v>0</v>
      </c>
      <c r="T1067" s="2378"/>
      <c r="U1067" s="2375">
        <f t="shared" si="311"/>
        <v>0</v>
      </c>
      <c r="V1067" s="2375"/>
      <c r="W1067" s="2382">
        <f t="shared" si="308"/>
        <v>1</v>
      </c>
      <c r="X1067" s="2378" t="s">
        <v>360</v>
      </c>
      <c r="Y1067" s="2375">
        <f t="shared" si="326"/>
        <v>4204060.3899999997</v>
      </c>
      <c r="Z1067" s="2375">
        <f t="shared" si="325"/>
        <v>0.18364232974930411</v>
      </c>
      <c r="AA1067" s="2377" t="s">
        <v>3355</v>
      </c>
    </row>
    <row r="1068" spans="1:27" ht="25" customHeight="1">
      <c r="A1068" s="2408">
        <f>A1067+1</f>
        <v>6</v>
      </c>
      <c r="B1068" s="2829" t="s">
        <v>786</v>
      </c>
      <c r="C1068" s="2803"/>
      <c r="D1068" s="2830"/>
      <c r="E1068" s="2402">
        <f>'8. Vol Tangki'!$M$254</f>
        <v>60</v>
      </c>
      <c r="F1068" s="2408" t="s">
        <v>117</v>
      </c>
      <c r="G1068" s="2405">
        <v>142246.38</v>
      </c>
      <c r="H1068" s="2405">
        <f t="shared" si="321"/>
        <v>8534782.8000000007</v>
      </c>
      <c r="I1068" s="2823">
        <f>'Resume Analisa'!$D$245</f>
        <v>134787.36000000002</v>
      </c>
      <c r="J1068" s="2806">
        <f t="shared" si="322"/>
        <v>8087241.6000000006</v>
      </c>
      <c r="K1068" s="2408" t="e">
        <f>IF(H1068=0,"",IF(J1068&lt;#REF!*H1068,"Timpang &lt;"&amp;TEXT(#REF!,"0%"),IF(J1068&gt;#REF!*H1068,"Timpang &gt;"&amp;TEXT(#REF!,"0%"),"Wajar")))</f>
        <v>#REF!</v>
      </c>
      <c r="L1068" s="2410">
        <v>134787.36000000002</v>
      </c>
      <c r="M1068" s="2410">
        <f t="shared" si="323"/>
        <v>8087241.6000000006</v>
      </c>
      <c r="N1068" s="2375">
        <f t="shared" si="324"/>
        <v>0.35326797212575006</v>
      </c>
      <c r="O1068" s="2411">
        <v>0</v>
      </c>
      <c r="P1068" s="2408"/>
      <c r="Q1068" s="2411">
        <f t="shared" si="318"/>
        <v>0</v>
      </c>
      <c r="R1068" s="2411">
        <f t="shared" si="317"/>
        <v>0</v>
      </c>
      <c r="S1068" s="2411">
        <v>0</v>
      </c>
      <c r="T1068" s="2408"/>
      <c r="U1068" s="2411">
        <f t="shared" si="311"/>
        <v>0</v>
      </c>
      <c r="V1068" s="2411"/>
      <c r="W1068" s="2402">
        <f t="shared" si="308"/>
        <v>60</v>
      </c>
      <c r="X1068" s="2408" t="s">
        <v>117</v>
      </c>
      <c r="Y1068" s="2411">
        <f t="shared" si="326"/>
        <v>8087241.6000000006</v>
      </c>
      <c r="Z1068" s="2375">
        <f t="shared" si="325"/>
        <v>0.35326797212575006</v>
      </c>
      <c r="AA1068" s="2412" t="s">
        <v>3355</v>
      </c>
    </row>
    <row r="1069" spans="1:27" ht="25" customHeight="1">
      <c r="A1069" s="2807"/>
      <c r="B1069" s="2808"/>
      <c r="C1069" s="2809"/>
      <c r="D1069" s="2512" t="s">
        <v>376</v>
      </c>
      <c r="E1069" s="2810"/>
      <c r="F1069" s="2811"/>
      <c r="G1069" s="2581"/>
      <c r="H1069" s="2581">
        <f>SUM(H1063:H1068)</f>
        <v>88004175.799999997</v>
      </c>
      <c r="I1069" s="2722"/>
      <c r="J1069" s="2582">
        <f>SUM(J1063:J1068)</f>
        <v>88454221.039999992</v>
      </c>
      <c r="K1069" s="2581"/>
      <c r="L1069" s="2584"/>
      <c r="M1069" s="2584">
        <f>SUM(M1063:M1068)</f>
        <v>88454221.039999992</v>
      </c>
      <c r="N1069" s="2424">
        <f>M1069/M8*100</f>
        <v>3.8638691457868219</v>
      </c>
      <c r="O1069" s="2426">
        <v>0</v>
      </c>
      <c r="P1069" s="2811"/>
      <c r="Q1069" s="2426">
        <f t="shared" si="318"/>
        <v>0</v>
      </c>
      <c r="R1069" s="2426">
        <f t="shared" si="317"/>
        <v>0</v>
      </c>
      <c r="S1069" s="2426">
        <v>0</v>
      </c>
      <c r="T1069" s="2807"/>
      <c r="U1069" s="2426">
        <f t="shared" si="311"/>
        <v>0</v>
      </c>
      <c r="V1069" s="2426"/>
      <c r="W1069" s="2428">
        <f t="shared" si="308"/>
        <v>0</v>
      </c>
      <c r="X1069" s="2811"/>
      <c r="Y1069" s="2424">
        <f>SUM(Y1063:Y1068)</f>
        <v>88454221.039999992</v>
      </c>
      <c r="Z1069" s="2424">
        <f>SUM(Z1063:Z1068)</f>
        <v>3.8638691457868224</v>
      </c>
      <c r="AA1069" s="2429"/>
    </row>
    <row r="1070" spans="1:27" ht="25" customHeight="1">
      <c r="A1070" s="2817" t="s">
        <v>520</v>
      </c>
      <c r="B1070" s="2831" t="s">
        <v>787</v>
      </c>
      <c r="C1070" s="2814"/>
      <c r="D1070" s="2832"/>
      <c r="E1070" s="2833"/>
      <c r="F1070" s="2833"/>
      <c r="G1070" s="2362"/>
      <c r="H1070" s="2362"/>
      <c r="I1070" s="2741"/>
      <c r="J1070" s="2833"/>
      <c r="K1070" s="2362"/>
      <c r="L1070" s="2532"/>
      <c r="M1070" s="2532"/>
      <c r="N1070" s="2365"/>
      <c r="O1070" s="2365"/>
      <c r="P1070" s="2833"/>
      <c r="Q1070" s="2365"/>
      <c r="R1070" s="2365">
        <f t="shared" si="317"/>
        <v>0</v>
      </c>
      <c r="S1070" s="2535"/>
      <c r="T1070" s="2819"/>
      <c r="U1070" s="2365"/>
      <c r="V1070" s="2365"/>
      <c r="W1070" s="2445"/>
      <c r="X1070" s="2833"/>
      <c r="Y1070" s="2365"/>
      <c r="Z1070" s="2365"/>
      <c r="AA1070" s="2367"/>
    </row>
    <row r="1071" spans="1:27" ht="25" customHeight="1">
      <c r="A1071" s="2697" t="s">
        <v>522</v>
      </c>
      <c r="B1071" s="2795" t="s">
        <v>788</v>
      </c>
      <c r="C1071" s="2674"/>
      <c r="D1071" s="2675"/>
      <c r="E1071" s="2676"/>
      <c r="F1071" s="2590"/>
      <c r="G1071" s="2389"/>
      <c r="H1071" s="2372"/>
      <c r="I1071" s="2465"/>
      <c r="J1071" s="2796"/>
      <c r="K1071" s="2372"/>
      <c r="L1071" s="2391"/>
      <c r="M1071" s="2391"/>
      <c r="N1071" s="2375"/>
      <c r="O1071" s="2375"/>
      <c r="P1071" s="2590"/>
      <c r="Q1071" s="2375"/>
      <c r="R1071" s="2375">
        <f t="shared" si="317"/>
        <v>0</v>
      </c>
      <c r="S1071" s="2386"/>
      <c r="T1071" s="2590"/>
      <c r="U1071" s="2375"/>
      <c r="V1071" s="2375"/>
      <c r="W1071" s="2382"/>
      <c r="X1071" s="2590"/>
      <c r="Y1071" s="2375"/>
      <c r="Z1071" s="2375"/>
      <c r="AA1071" s="2377"/>
    </row>
    <row r="1072" spans="1:27" ht="25" customHeight="1">
      <c r="A1072" s="2590">
        <v>1</v>
      </c>
      <c r="B1072" s="2673" t="s">
        <v>789</v>
      </c>
      <c r="C1072" s="2674"/>
      <c r="D1072" s="2675"/>
      <c r="E1072" s="2676"/>
      <c r="F1072" s="2590"/>
      <c r="G1072" s="2389"/>
      <c r="H1072" s="2372"/>
      <c r="I1072" s="2465"/>
      <c r="J1072" s="2796"/>
      <c r="K1072" s="2372"/>
      <c r="L1072" s="2391"/>
      <c r="M1072" s="2391"/>
      <c r="N1072" s="2375"/>
      <c r="O1072" s="2375"/>
      <c r="P1072" s="2590"/>
      <c r="Q1072" s="2375"/>
      <c r="R1072" s="2375">
        <f t="shared" si="317"/>
        <v>0</v>
      </c>
      <c r="S1072" s="2375"/>
      <c r="T1072" s="2590"/>
      <c r="U1072" s="2375"/>
      <c r="V1072" s="2375"/>
      <c r="W1072" s="2382"/>
      <c r="X1072" s="2590"/>
      <c r="Y1072" s="2375"/>
      <c r="Z1072" s="2375"/>
      <c r="AA1072" s="2377"/>
    </row>
    <row r="1073" spans="1:27" ht="25" customHeight="1">
      <c r="A1073" s="2797" t="s">
        <v>95</v>
      </c>
      <c r="B1073" s="2673" t="s">
        <v>438</v>
      </c>
      <c r="C1073" s="2674"/>
      <c r="D1073" s="2675"/>
      <c r="E1073" s="2676">
        <f>'9. Vol Penerangn'!$P$19</f>
        <v>10.37</v>
      </c>
      <c r="F1073" s="2590" t="s">
        <v>103</v>
      </c>
      <c r="G1073" s="2389">
        <v>50600</v>
      </c>
      <c r="H1073" s="2389">
        <f t="shared" ref="H1073:H1078" si="327">E1073*G1073</f>
        <v>524722</v>
      </c>
      <c r="I1073" s="2480">
        <f>'Resume Analisa'!$D$18</f>
        <v>49036.76</v>
      </c>
      <c r="J1073" s="2692">
        <f>I1073*E1073</f>
        <v>508511.20120000001</v>
      </c>
      <c r="K1073" s="2378" t="e">
        <f>IF(H1073=0,"",IF(J1073&lt;#REF!*H1073,"Timpang &lt;"&amp;TEXT(#REF!,"0%"),IF(J1073&gt;#REF!*H1073,"Timpang &gt;"&amp;TEXT(#REF!,"0%"),"Wajar")))</f>
        <v>#REF!</v>
      </c>
      <c r="L1073" s="2391">
        <v>49036.76</v>
      </c>
      <c r="M1073" s="2391">
        <f t="shared" ref="M1073:M1078" si="328">E1073*L1073</f>
        <v>508511.20120000001</v>
      </c>
      <c r="N1073" s="2375">
        <f t="shared" ref="N1073:N1087" si="329">M1073/$M$8*100</f>
        <v>2.2212854485657171E-2</v>
      </c>
      <c r="O1073" s="2375">
        <v>0</v>
      </c>
      <c r="P1073" s="2590"/>
      <c r="Q1073" s="2375">
        <f t="shared" si="318"/>
        <v>0</v>
      </c>
      <c r="R1073" s="2375">
        <f t="shared" si="317"/>
        <v>0</v>
      </c>
      <c r="S1073" s="2375">
        <v>0</v>
      </c>
      <c r="T1073" s="2590"/>
      <c r="U1073" s="2375">
        <f t="shared" si="311"/>
        <v>0</v>
      </c>
      <c r="V1073" s="2375"/>
      <c r="W1073" s="2382">
        <f t="shared" si="308"/>
        <v>10.37</v>
      </c>
      <c r="X1073" s="2590" t="s">
        <v>103</v>
      </c>
      <c r="Y1073" s="2375">
        <f>W1073*L1073</f>
        <v>508511.20120000001</v>
      </c>
      <c r="Z1073" s="2375">
        <f t="shared" ref="Z1073:Z1087" si="330">Y1073/$M$8*100</f>
        <v>2.2212854485657171E-2</v>
      </c>
      <c r="AA1073" s="2377" t="s">
        <v>3355</v>
      </c>
    </row>
    <row r="1074" spans="1:27" ht="25" customHeight="1">
      <c r="A1074" s="2797" t="s">
        <v>98</v>
      </c>
      <c r="B1074" s="2673" t="s">
        <v>725</v>
      </c>
      <c r="C1074" s="2674"/>
      <c r="D1074" s="2675"/>
      <c r="E1074" s="2676">
        <f>'9. Vol Penerangn'!$P$29</f>
        <v>0.57999999999999996</v>
      </c>
      <c r="F1074" s="2590" t="s">
        <v>103</v>
      </c>
      <c r="G1074" s="2389">
        <v>507759.96</v>
      </c>
      <c r="H1074" s="2389">
        <f t="shared" si="327"/>
        <v>294500.77679999999</v>
      </c>
      <c r="I1074" s="2699">
        <f>'Resume Analisa'!$D$26</f>
        <v>475358.64</v>
      </c>
      <c r="J1074" s="2692">
        <f>I1074*E1074</f>
        <v>275708.01120000001</v>
      </c>
      <c r="K1074" s="2378" t="e">
        <f>IF(H1074=0,"",IF(J1074&lt;#REF!*H1074,"Timpang &lt;"&amp;TEXT(#REF!,"0%"),IF(J1074&gt;#REF!*H1074,"Timpang &gt;"&amp;TEXT(#REF!,"0%"),"Wajar")))</f>
        <v>#REF!</v>
      </c>
      <c r="L1074" s="2391">
        <v>475358.64</v>
      </c>
      <c r="M1074" s="2391">
        <f t="shared" si="328"/>
        <v>275708.01120000001</v>
      </c>
      <c r="N1074" s="2375">
        <f t="shared" si="329"/>
        <v>1.2043514319573139E-2</v>
      </c>
      <c r="O1074" s="2375">
        <v>0</v>
      </c>
      <c r="P1074" s="2590"/>
      <c r="Q1074" s="2375">
        <f t="shared" si="318"/>
        <v>0</v>
      </c>
      <c r="R1074" s="2375">
        <f t="shared" si="317"/>
        <v>0</v>
      </c>
      <c r="S1074" s="2375">
        <v>0</v>
      </c>
      <c r="T1074" s="2590"/>
      <c r="U1074" s="2375">
        <f t="shared" si="311"/>
        <v>0</v>
      </c>
      <c r="V1074" s="2375"/>
      <c r="W1074" s="2382">
        <f t="shared" si="308"/>
        <v>0.57999999999999996</v>
      </c>
      <c r="X1074" s="2590" t="s">
        <v>103</v>
      </c>
      <c r="Y1074" s="2375">
        <f t="shared" ref="Y1074:Y1087" si="331">W1074*L1074</f>
        <v>275708.01120000001</v>
      </c>
      <c r="Z1074" s="2375">
        <f t="shared" si="330"/>
        <v>1.2043514319573139E-2</v>
      </c>
      <c r="AA1074" s="2377" t="s">
        <v>3355</v>
      </c>
    </row>
    <row r="1075" spans="1:27" ht="25" customHeight="1">
      <c r="A1075" s="2797" t="s">
        <v>101</v>
      </c>
      <c r="B1075" s="2673" t="s">
        <v>400</v>
      </c>
      <c r="C1075" s="2674"/>
      <c r="D1075" s="2675"/>
      <c r="E1075" s="2676">
        <f>'9. Vol Penerangn'!$P$34</f>
        <v>0.35</v>
      </c>
      <c r="F1075" s="2590" t="s">
        <v>103</v>
      </c>
      <c r="G1075" s="2389">
        <v>1422226.08</v>
      </c>
      <c r="H1075" s="2389">
        <f t="shared" si="327"/>
        <v>497779.12799999997</v>
      </c>
      <c r="I1075" s="2465">
        <f>'Resume Analisa'!$D$54</f>
        <v>1384580.76</v>
      </c>
      <c r="J1075" s="2692">
        <f>I1075*E1075</f>
        <v>484603.26599999995</v>
      </c>
      <c r="K1075" s="2378" t="e">
        <f>IF(H1075=0,"",IF(J1075&lt;#REF!*H1075,"Timpang &lt;"&amp;TEXT(#REF!,"0%"),IF(J1075&gt;#REF!*H1075,"Timpang &gt;"&amp;TEXT(#REF!,"0%"),"Wajar")))</f>
        <v>#REF!</v>
      </c>
      <c r="L1075" s="2391">
        <v>1384580.76</v>
      </c>
      <c r="M1075" s="2391">
        <f t="shared" si="328"/>
        <v>484603.26599999995</v>
      </c>
      <c r="N1075" s="2375">
        <f t="shared" si="329"/>
        <v>2.1168504854032731E-2</v>
      </c>
      <c r="O1075" s="2375">
        <v>0</v>
      </c>
      <c r="P1075" s="2590"/>
      <c r="Q1075" s="2375">
        <f t="shared" si="318"/>
        <v>0</v>
      </c>
      <c r="R1075" s="2375">
        <f t="shared" si="317"/>
        <v>0</v>
      </c>
      <c r="S1075" s="2375">
        <v>0</v>
      </c>
      <c r="T1075" s="2590"/>
      <c r="U1075" s="2375">
        <f t="shared" si="311"/>
        <v>0</v>
      </c>
      <c r="V1075" s="2375"/>
      <c r="W1075" s="2382">
        <f t="shared" si="308"/>
        <v>0.35</v>
      </c>
      <c r="X1075" s="2590" t="s">
        <v>103</v>
      </c>
      <c r="Y1075" s="2375">
        <f t="shared" si="331"/>
        <v>484603.26599999995</v>
      </c>
      <c r="Z1075" s="2375">
        <f t="shared" si="330"/>
        <v>2.1168504854032731E-2</v>
      </c>
      <c r="AA1075" s="2377" t="s">
        <v>3355</v>
      </c>
    </row>
    <row r="1076" spans="1:27" ht="25" customHeight="1">
      <c r="A1076" s="2797" t="s">
        <v>121</v>
      </c>
      <c r="B1076" s="2673" t="s">
        <v>790</v>
      </c>
      <c r="C1076" s="2674"/>
      <c r="D1076" s="2675"/>
      <c r="E1076" s="2676">
        <f>'9. Vol Penerangn'!$P$39</f>
        <v>11.52</v>
      </c>
      <c r="F1076" s="2590" t="s">
        <v>89</v>
      </c>
      <c r="G1076" s="2389">
        <v>188325.18000000002</v>
      </c>
      <c r="H1076" s="2389">
        <f t="shared" si="327"/>
        <v>2169506.0736000002</v>
      </c>
      <c r="I1076" s="2465">
        <f>'Resume Analisa'!$D$68</f>
        <v>181829.52000000002</v>
      </c>
      <c r="J1076" s="2779">
        <f>I1076*E1076</f>
        <v>2094676.0704000001</v>
      </c>
      <c r="K1076" s="2378" t="e">
        <f>IF(H1076=0,"",IF(J1076&lt;#REF!*H1076,"Timpang &lt;"&amp;TEXT(#REF!,"0%"),IF(J1076&gt;#REF!*H1076,"Timpang &gt;"&amp;TEXT(#REF!,"0%"),"Wajar")))</f>
        <v>#REF!</v>
      </c>
      <c r="L1076" s="2391">
        <v>181829.52000000002</v>
      </c>
      <c r="M1076" s="2391">
        <f t="shared" si="328"/>
        <v>2094676.0704000001</v>
      </c>
      <c r="N1076" s="2375">
        <f t="shared" si="329"/>
        <v>9.1499921017636335E-2</v>
      </c>
      <c r="O1076" s="2375">
        <v>0</v>
      </c>
      <c r="P1076" s="2590"/>
      <c r="Q1076" s="2375">
        <f t="shared" si="318"/>
        <v>0</v>
      </c>
      <c r="R1076" s="2375">
        <f t="shared" si="317"/>
        <v>0</v>
      </c>
      <c r="S1076" s="2375">
        <v>0</v>
      </c>
      <c r="T1076" s="2590"/>
      <c r="U1076" s="2375">
        <f t="shared" si="311"/>
        <v>0</v>
      </c>
      <c r="V1076" s="2375"/>
      <c r="W1076" s="2382">
        <f t="shared" si="308"/>
        <v>11.52</v>
      </c>
      <c r="X1076" s="2590" t="s">
        <v>89</v>
      </c>
      <c r="Y1076" s="2375">
        <f t="shared" si="331"/>
        <v>2094676.0704000001</v>
      </c>
      <c r="Z1076" s="2375">
        <f t="shared" si="330"/>
        <v>9.1499921017636335E-2</v>
      </c>
      <c r="AA1076" s="2377" t="s">
        <v>3355</v>
      </c>
    </row>
    <row r="1077" spans="1:27" ht="25" customHeight="1">
      <c r="A1077" s="2797" t="s">
        <v>142</v>
      </c>
      <c r="B1077" s="2673" t="s">
        <v>791</v>
      </c>
      <c r="C1077" s="2674"/>
      <c r="D1077" s="2675"/>
      <c r="E1077" s="2676">
        <f>'9. Vol Penerangn'!$P$44</f>
        <v>158.81</v>
      </c>
      <c r="F1077" s="2590" t="s">
        <v>100</v>
      </c>
      <c r="G1077" s="2389">
        <v>19151.18</v>
      </c>
      <c r="H1077" s="2389">
        <f t="shared" si="327"/>
        <v>3041398.8958000001</v>
      </c>
      <c r="I1077" s="2465">
        <f>'Resume Analisa'!$D$48</f>
        <v>18790.969999999998</v>
      </c>
      <c r="J1077" s="2779">
        <f>I1077*E1077</f>
        <v>2984193.9456999996</v>
      </c>
      <c r="K1077" s="2378" t="e">
        <f>IF(H1077=0,"",IF(J1077&lt;#REF!*H1077,"Timpang &lt;"&amp;TEXT(#REF!,"0%"),IF(J1077&gt;#REF!*H1077,"Timpang &gt;"&amp;TEXT(#REF!,"0%"),"Wajar")))</f>
        <v>#REF!</v>
      </c>
      <c r="L1077" s="2391">
        <v>18790.969999999998</v>
      </c>
      <c r="M1077" s="2391">
        <f t="shared" si="328"/>
        <v>2984193.9456999996</v>
      </c>
      <c r="N1077" s="2375">
        <f t="shared" si="329"/>
        <v>0.13035596013693712</v>
      </c>
      <c r="O1077" s="2375">
        <v>0</v>
      </c>
      <c r="P1077" s="2590"/>
      <c r="Q1077" s="2375">
        <f t="shared" si="318"/>
        <v>0</v>
      </c>
      <c r="R1077" s="2375">
        <f t="shared" si="317"/>
        <v>0</v>
      </c>
      <c r="S1077" s="2386">
        <v>0</v>
      </c>
      <c r="T1077" s="2590"/>
      <c r="U1077" s="2375">
        <f t="shared" si="311"/>
        <v>0</v>
      </c>
      <c r="V1077" s="2375"/>
      <c r="W1077" s="2382">
        <f t="shared" si="308"/>
        <v>158.81</v>
      </c>
      <c r="X1077" s="2590" t="s">
        <v>100</v>
      </c>
      <c r="Y1077" s="2375">
        <f t="shared" si="331"/>
        <v>2984193.9456999996</v>
      </c>
      <c r="Z1077" s="2375">
        <f t="shared" si="330"/>
        <v>0.13035596013693712</v>
      </c>
      <c r="AA1077" s="2377" t="s">
        <v>3355</v>
      </c>
    </row>
    <row r="1078" spans="1:27" ht="25" customHeight="1">
      <c r="A1078" s="2797" t="s">
        <v>217</v>
      </c>
      <c r="B1078" s="2673" t="s">
        <v>420</v>
      </c>
      <c r="C1078" s="2674"/>
      <c r="D1078" s="2675"/>
      <c r="E1078" s="2676">
        <f>'9. Vol Penerangn'!$P$49</f>
        <v>3.46</v>
      </c>
      <c r="F1078" s="2590" t="s">
        <v>103</v>
      </c>
      <c r="G1078" s="2389">
        <v>1584129.98</v>
      </c>
      <c r="H1078" s="2389">
        <f t="shared" si="327"/>
        <v>5481089.7308</v>
      </c>
      <c r="I1078" s="2465">
        <f>'Resume Analisa'!$D$55</f>
        <v>1535009.1300000001</v>
      </c>
      <c r="J1078" s="2821">
        <f>E1078*I1078</f>
        <v>5311131.5898000002</v>
      </c>
      <c r="K1078" s="2378" t="e">
        <f>IF(H1078=0,"",IF(J1078&lt;#REF!*H1078,"Timpang &lt;"&amp;TEXT(#REF!,"0%"),IF(J1078&gt;#REF!*H1078,"Timpang &gt;"&amp;TEXT(#REF!,"0%"),"Wajar")))</f>
        <v>#REF!</v>
      </c>
      <c r="L1078" s="2391">
        <v>1535009.1300000001</v>
      </c>
      <c r="M1078" s="2391">
        <f t="shared" si="328"/>
        <v>5311131.5898000002</v>
      </c>
      <c r="N1078" s="2375">
        <f t="shared" si="329"/>
        <v>0.23200156236480646</v>
      </c>
      <c r="O1078" s="2375">
        <v>0</v>
      </c>
      <c r="P1078" s="2590"/>
      <c r="Q1078" s="2375">
        <f t="shared" si="318"/>
        <v>0</v>
      </c>
      <c r="R1078" s="2375">
        <f t="shared" si="317"/>
        <v>0</v>
      </c>
      <c r="S1078" s="2386">
        <v>0</v>
      </c>
      <c r="T1078" s="2590"/>
      <c r="U1078" s="2375">
        <f t="shared" si="311"/>
        <v>0</v>
      </c>
      <c r="V1078" s="2375"/>
      <c r="W1078" s="2382">
        <f t="shared" si="308"/>
        <v>3.46</v>
      </c>
      <c r="X1078" s="2590" t="s">
        <v>103</v>
      </c>
      <c r="Y1078" s="2375">
        <f t="shared" si="331"/>
        <v>5311131.5898000002</v>
      </c>
      <c r="Z1078" s="2375">
        <f t="shared" si="330"/>
        <v>0.23200156236480646</v>
      </c>
      <c r="AA1078" s="2377" t="s">
        <v>3355</v>
      </c>
    </row>
    <row r="1079" spans="1:27" ht="25" customHeight="1">
      <c r="A1079" s="2590">
        <f>A1072+1</f>
        <v>2</v>
      </c>
      <c r="B1079" s="2673" t="s">
        <v>792</v>
      </c>
      <c r="C1079" s="2674"/>
      <c r="D1079" s="2675"/>
      <c r="E1079" s="2676"/>
      <c r="F1079" s="2590"/>
      <c r="G1079" s="2389"/>
      <c r="H1079" s="2372"/>
      <c r="I1079" s="2465"/>
      <c r="J1079" s="2796"/>
      <c r="K1079" s="2372"/>
      <c r="L1079" s="2391"/>
      <c r="M1079" s="2391"/>
      <c r="N1079" s="2375">
        <f t="shared" si="329"/>
        <v>0</v>
      </c>
      <c r="O1079" s="2375">
        <v>0</v>
      </c>
      <c r="P1079" s="2590"/>
      <c r="Q1079" s="2375">
        <f t="shared" si="318"/>
        <v>0</v>
      </c>
      <c r="R1079" s="2375">
        <f t="shared" si="317"/>
        <v>0</v>
      </c>
      <c r="S1079" s="2375">
        <v>0</v>
      </c>
      <c r="T1079" s="2590"/>
      <c r="U1079" s="2375">
        <f t="shared" si="311"/>
        <v>0</v>
      </c>
      <c r="V1079" s="2375"/>
      <c r="W1079" s="2382">
        <f t="shared" si="308"/>
        <v>0</v>
      </c>
      <c r="X1079" s="2590"/>
      <c r="Y1079" s="2375">
        <f t="shared" si="331"/>
        <v>0</v>
      </c>
      <c r="Z1079" s="2375">
        <f t="shared" si="330"/>
        <v>0</v>
      </c>
      <c r="AA1079" s="2377"/>
    </row>
    <row r="1080" spans="1:27" ht="25" customHeight="1">
      <c r="A1080" s="2797" t="s">
        <v>95</v>
      </c>
      <c r="B1080" s="2673" t="s">
        <v>417</v>
      </c>
      <c r="C1080" s="2674"/>
      <c r="D1080" s="2675"/>
      <c r="E1080" s="2676">
        <f>'9. Vol Penerangn'!$P$55</f>
        <v>11.2</v>
      </c>
      <c r="F1080" s="2590" t="s">
        <v>89</v>
      </c>
      <c r="G1080" s="2389">
        <v>249883.29</v>
      </c>
      <c r="H1080" s="2389">
        <f t="shared" ref="H1080:H1087" si="332">E1080*G1080</f>
        <v>2798692.8479999998</v>
      </c>
      <c r="I1080" s="2699">
        <f>'Resume Analisa'!$D$40</f>
        <v>245946.97</v>
      </c>
      <c r="J1080" s="2834">
        <f>E1080*I1080</f>
        <v>2754606.0639999998</v>
      </c>
      <c r="K1080" s="2378" t="e">
        <f>IF(H1080=0,"",IF(J1080&lt;#REF!*H1080,"Timpang &lt;"&amp;TEXT(#REF!,"0%"),IF(J1080&gt;#REF!*H1080,"Timpang &gt;"&amp;TEXT(#REF!,"0%"),"Wajar")))</f>
        <v>#REF!</v>
      </c>
      <c r="L1080" s="2391">
        <v>245946.97</v>
      </c>
      <c r="M1080" s="2391">
        <f t="shared" ref="M1080:M1087" si="333">E1080*L1080</f>
        <v>2754606.0639999998</v>
      </c>
      <c r="N1080" s="2375">
        <f t="shared" si="329"/>
        <v>0.1203270714992086</v>
      </c>
      <c r="O1080" s="2375">
        <v>0</v>
      </c>
      <c r="P1080" s="2590"/>
      <c r="Q1080" s="2375">
        <f t="shared" si="318"/>
        <v>0</v>
      </c>
      <c r="R1080" s="2375">
        <f t="shared" si="317"/>
        <v>0</v>
      </c>
      <c r="S1080" s="2375">
        <v>0</v>
      </c>
      <c r="T1080" s="2590"/>
      <c r="U1080" s="2375">
        <f t="shared" si="311"/>
        <v>0</v>
      </c>
      <c r="V1080" s="2375"/>
      <c r="W1080" s="2382">
        <f t="shared" si="308"/>
        <v>11.2</v>
      </c>
      <c r="X1080" s="2590" t="s">
        <v>89</v>
      </c>
      <c r="Y1080" s="2375">
        <f t="shared" si="331"/>
        <v>2754606.0639999998</v>
      </c>
      <c r="Z1080" s="2375">
        <f t="shared" si="330"/>
        <v>0.1203270714992086</v>
      </c>
      <c r="AA1080" s="2377" t="s">
        <v>3355</v>
      </c>
    </row>
    <row r="1081" spans="1:27" ht="25" customHeight="1">
      <c r="A1081" s="2797" t="s">
        <v>98</v>
      </c>
      <c r="B1081" s="2673" t="s">
        <v>793</v>
      </c>
      <c r="C1081" s="2674"/>
      <c r="D1081" s="2675"/>
      <c r="E1081" s="2676">
        <f>'9. Vol Penerangn'!$P$60</f>
        <v>36.5</v>
      </c>
      <c r="F1081" s="2590" t="s">
        <v>100</v>
      </c>
      <c r="G1081" s="2389">
        <v>19151.18</v>
      </c>
      <c r="H1081" s="2389">
        <f t="shared" si="332"/>
        <v>699018.07000000007</v>
      </c>
      <c r="I1081" s="2699">
        <f>'Resume Analisa'!$D$48</f>
        <v>18790.969999999998</v>
      </c>
      <c r="J1081" s="2834">
        <f>E1081*I1081</f>
        <v>685870.40499999991</v>
      </c>
      <c r="K1081" s="2378" t="e">
        <f>IF(H1081=0,"",IF(J1081&lt;#REF!*H1081,"Timpang &lt;"&amp;TEXT(#REF!,"0%"),IF(J1081&gt;#REF!*H1081,"Timpang &gt;"&amp;TEXT(#REF!,"0%"),"Wajar")))</f>
        <v>#REF!</v>
      </c>
      <c r="L1081" s="2391">
        <v>18790.969999999998</v>
      </c>
      <c r="M1081" s="2391">
        <f t="shared" si="333"/>
        <v>685870.40499999991</v>
      </c>
      <c r="N1081" s="2375">
        <f t="shared" si="329"/>
        <v>2.9960283011134087E-2</v>
      </c>
      <c r="O1081" s="2375">
        <v>0</v>
      </c>
      <c r="P1081" s="2590"/>
      <c r="Q1081" s="2375">
        <f t="shared" si="318"/>
        <v>0</v>
      </c>
      <c r="R1081" s="2375">
        <f t="shared" si="317"/>
        <v>0</v>
      </c>
      <c r="S1081" s="2375">
        <v>0</v>
      </c>
      <c r="T1081" s="2590"/>
      <c r="U1081" s="2375">
        <f t="shared" si="311"/>
        <v>0</v>
      </c>
      <c r="V1081" s="2375"/>
      <c r="W1081" s="2382">
        <f t="shared" si="308"/>
        <v>36.5</v>
      </c>
      <c r="X1081" s="2590" t="s">
        <v>100</v>
      </c>
      <c r="Y1081" s="2375">
        <f t="shared" si="331"/>
        <v>685870.40499999991</v>
      </c>
      <c r="Z1081" s="2375">
        <f t="shared" si="330"/>
        <v>2.9960283011134087E-2</v>
      </c>
      <c r="AA1081" s="2377" t="s">
        <v>3355</v>
      </c>
    </row>
    <row r="1082" spans="1:27" ht="25" customHeight="1">
      <c r="A1082" s="2797" t="s">
        <v>101</v>
      </c>
      <c r="B1082" s="2673" t="s">
        <v>794</v>
      </c>
      <c r="C1082" s="2674"/>
      <c r="D1082" s="2675"/>
      <c r="E1082" s="2676">
        <f>'9. Vol Penerangn'!$P$65</f>
        <v>23.67</v>
      </c>
      <c r="F1082" s="2590" t="s">
        <v>100</v>
      </c>
      <c r="G1082" s="2389">
        <v>19151.18</v>
      </c>
      <c r="H1082" s="2389">
        <f t="shared" si="332"/>
        <v>453308.43060000002</v>
      </c>
      <c r="I1082" s="2699">
        <f>'Resume Analisa'!$D$48</f>
        <v>18790.969999999998</v>
      </c>
      <c r="J1082" s="2834">
        <f>E1082*I1082</f>
        <v>444782.25989999995</v>
      </c>
      <c r="K1082" s="2378" t="e">
        <f>IF(H1082=0,"",IF(J1082&lt;#REF!*H1082,"Timpang &lt;"&amp;TEXT(#REF!,"0%"),IF(J1082&gt;#REF!*H1082,"Timpang &gt;"&amp;TEXT(#REF!,"0%"),"Wajar")))</f>
        <v>#REF!</v>
      </c>
      <c r="L1082" s="2391">
        <v>18790.969999999998</v>
      </c>
      <c r="M1082" s="2391">
        <f t="shared" si="333"/>
        <v>444782.25989999995</v>
      </c>
      <c r="N1082" s="2375">
        <f t="shared" si="329"/>
        <v>1.9429038325302572E-2</v>
      </c>
      <c r="O1082" s="2375">
        <v>0</v>
      </c>
      <c r="P1082" s="2590"/>
      <c r="Q1082" s="2375">
        <f t="shared" si="318"/>
        <v>0</v>
      </c>
      <c r="R1082" s="2375">
        <f t="shared" si="317"/>
        <v>0</v>
      </c>
      <c r="S1082" s="2375">
        <v>0</v>
      </c>
      <c r="T1082" s="2590"/>
      <c r="U1082" s="2375">
        <f t="shared" si="311"/>
        <v>0</v>
      </c>
      <c r="V1082" s="2375"/>
      <c r="W1082" s="2382">
        <f t="shared" si="308"/>
        <v>23.67</v>
      </c>
      <c r="X1082" s="2590" t="s">
        <v>100</v>
      </c>
      <c r="Y1082" s="2375">
        <f t="shared" si="331"/>
        <v>444782.25989999995</v>
      </c>
      <c r="Z1082" s="2375">
        <f t="shared" si="330"/>
        <v>1.9429038325302572E-2</v>
      </c>
      <c r="AA1082" s="2377" t="s">
        <v>3355</v>
      </c>
    </row>
    <row r="1083" spans="1:27" ht="25" customHeight="1">
      <c r="A1083" s="2797" t="s">
        <v>121</v>
      </c>
      <c r="B1083" s="2673" t="s">
        <v>420</v>
      </c>
      <c r="C1083" s="2674"/>
      <c r="D1083" s="2675"/>
      <c r="E1083" s="2676">
        <f>'9. Vol Penerangn'!$P$70</f>
        <v>1.4</v>
      </c>
      <c r="F1083" s="2590" t="s">
        <v>103</v>
      </c>
      <c r="G1083" s="2389">
        <v>1584129.98</v>
      </c>
      <c r="H1083" s="2389">
        <f t="shared" si="332"/>
        <v>2217781.9719999996</v>
      </c>
      <c r="I1083" s="2465">
        <f>'Resume Analisa'!$D$55</f>
        <v>1535009.1300000001</v>
      </c>
      <c r="J1083" s="2821">
        <f>E1083*I1083</f>
        <v>2149012.7820000001</v>
      </c>
      <c r="K1083" s="2378" t="e">
        <f>IF(H1083=0,"",IF(J1083&lt;#REF!*H1083,"Timpang &lt;"&amp;TEXT(#REF!,"0%"),IF(J1083&gt;#REF!*H1083,"Timpang &gt;"&amp;TEXT(#REF!,"0%"),"Wajar")))</f>
        <v>#REF!</v>
      </c>
      <c r="L1083" s="2391">
        <v>1535009.1300000001</v>
      </c>
      <c r="M1083" s="2391">
        <f t="shared" si="333"/>
        <v>2149012.7820000001</v>
      </c>
      <c r="N1083" s="2375">
        <f t="shared" si="329"/>
        <v>9.3873464540673135E-2</v>
      </c>
      <c r="O1083" s="2375">
        <v>0</v>
      </c>
      <c r="P1083" s="2590"/>
      <c r="Q1083" s="2375">
        <f t="shared" si="318"/>
        <v>0</v>
      </c>
      <c r="R1083" s="2375">
        <f t="shared" si="317"/>
        <v>0</v>
      </c>
      <c r="S1083" s="2375">
        <v>0</v>
      </c>
      <c r="T1083" s="2590"/>
      <c r="U1083" s="2375">
        <f t="shared" si="311"/>
        <v>0</v>
      </c>
      <c r="V1083" s="2375"/>
      <c r="W1083" s="2382">
        <f t="shared" si="308"/>
        <v>1.4</v>
      </c>
      <c r="X1083" s="2590" t="s">
        <v>103</v>
      </c>
      <c r="Y1083" s="2375">
        <f t="shared" si="331"/>
        <v>2149012.7820000001</v>
      </c>
      <c r="Z1083" s="2375">
        <f t="shared" si="330"/>
        <v>9.3873464540673135E-2</v>
      </c>
      <c r="AA1083" s="2377" t="s">
        <v>3355</v>
      </c>
    </row>
    <row r="1084" spans="1:27" ht="68.5" customHeight="1">
      <c r="A1084" s="2590">
        <f>A1079+1</f>
        <v>3</v>
      </c>
      <c r="B1084" s="3214" t="s">
        <v>795</v>
      </c>
      <c r="C1084" s="3215"/>
      <c r="D1084" s="3216"/>
      <c r="E1084" s="2676">
        <f>'9. Vol Penerangn'!$P$71</f>
        <v>3</v>
      </c>
      <c r="F1084" s="2590" t="s">
        <v>360</v>
      </c>
      <c r="G1084" s="2389">
        <v>8311464</v>
      </c>
      <c r="H1084" s="2389">
        <f t="shared" si="332"/>
        <v>24934392</v>
      </c>
      <c r="I1084" s="2465">
        <f>'Resume Analisa'!$D$163</f>
        <v>8491479.0299999993</v>
      </c>
      <c r="J1084" s="2779">
        <f>I1084*E1084</f>
        <v>25474437.089999996</v>
      </c>
      <c r="K1084" s="2378" t="e">
        <f>IF(H1084=0,"",IF(J1084&lt;#REF!*H1084,"Timpang &lt;"&amp;TEXT(#REF!,"0%"),IF(J1084&gt;#REF!*H1084,"Timpang &gt;"&amp;TEXT(#REF!,"0%"),"Wajar")))</f>
        <v>#REF!</v>
      </c>
      <c r="L1084" s="2391">
        <v>8491479.0299999993</v>
      </c>
      <c r="M1084" s="2391">
        <f t="shared" si="333"/>
        <v>25474437.089999996</v>
      </c>
      <c r="N1084" s="2375">
        <f t="shared" si="329"/>
        <v>1.1127777772620633</v>
      </c>
      <c r="O1084" s="2375">
        <v>0</v>
      </c>
      <c r="P1084" s="2590"/>
      <c r="Q1084" s="2375">
        <f t="shared" si="318"/>
        <v>0</v>
      </c>
      <c r="R1084" s="2375">
        <f t="shared" si="317"/>
        <v>0</v>
      </c>
      <c r="S1084" s="2386">
        <v>0</v>
      </c>
      <c r="T1084" s="2590"/>
      <c r="U1084" s="2375">
        <f t="shared" si="311"/>
        <v>0</v>
      </c>
      <c r="V1084" s="2375"/>
      <c r="W1084" s="2382">
        <f t="shared" si="308"/>
        <v>3</v>
      </c>
      <c r="X1084" s="2590" t="s">
        <v>360</v>
      </c>
      <c r="Y1084" s="2375">
        <f t="shared" si="331"/>
        <v>25474437.089999996</v>
      </c>
      <c r="Z1084" s="2375">
        <f t="shared" si="330"/>
        <v>1.1127777772620633</v>
      </c>
      <c r="AA1084" s="2377" t="s">
        <v>3355</v>
      </c>
    </row>
    <row r="1085" spans="1:27" ht="76" customHeight="1">
      <c r="A1085" s="2590">
        <f>A1084+1</f>
        <v>4</v>
      </c>
      <c r="B1085" s="3214" t="s">
        <v>796</v>
      </c>
      <c r="C1085" s="3215"/>
      <c r="D1085" s="3216"/>
      <c r="E1085" s="2676">
        <f>'9. Vol Penerangn'!$P$72</f>
        <v>5</v>
      </c>
      <c r="F1085" s="2590" t="s">
        <v>360</v>
      </c>
      <c r="G1085" s="2389">
        <v>5504026.5</v>
      </c>
      <c r="H1085" s="2389">
        <f t="shared" si="332"/>
        <v>27520132.5</v>
      </c>
      <c r="I1085" s="2465">
        <f>'Resume Analisa'!$D$164</f>
        <v>5568922.6899999995</v>
      </c>
      <c r="J1085" s="2779">
        <f>I1085*E1085</f>
        <v>27844613.449999996</v>
      </c>
      <c r="K1085" s="2378" t="e">
        <f>IF(H1085=0,"",IF(J1085&lt;#REF!*H1085,"Timpang &lt;"&amp;TEXT(#REF!,"0%"),IF(J1085&gt;#REF!*H1085,"Timpang &gt;"&amp;TEXT(#REF!,"0%"),"Wajar")))</f>
        <v>#REF!</v>
      </c>
      <c r="L1085" s="2391">
        <v>5568922.6899999995</v>
      </c>
      <c r="M1085" s="2391">
        <f t="shared" si="333"/>
        <v>27844613.449999996</v>
      </c>
      <c r="N1085" s="2375">
        <f t="shared" si="329"/>
        <v>1.2163121388764846</v>
      </c>
      <c r="O1085" s="2375">
        <v>0</v>
      </c>
      <c r="P1085" s="2590"/>
      <c r="Q1085" s="2375">
        <f t="shared" si="318"/>
        <v>0</v>
      </c>
      <c r="R1085" s="2375">
        <f t="shared" si="317"/>
        <v>0</v>
      </c>
      <c r="S1085" s="2386">
        <v>0</v>
      </c>
      <c r="T1085" s="2590"/>
      <c r="U1085" s="2375">
        <f t="shared" si="311"/>
        <v>0</v>
      </c>
      <c r="V1085" s="2375"/>
      <c r="W1085" s="2382">
        <f t="shared" si="308"/>
        <v>5</v>
      </c>
      <c r="X1085" s="2590" t="s">
        <v>360</v>
      </c>
      <c r="Y1085" s="2375">
        <f t="shared" si="331"/>
        <v>27844613.449999996</v>
      </c>
      <c r="Z1085" s="2375">
        <f t="shared" si="330"/>
        <v>1.2163121388764846</v>
      </c>
      <c r="AA1085" s="2377" t="s">
        <v>3355</v>
      </c>
    </row>
    <row r="1086" spans="1:27" ht="116" customHeight="1">
      <c r="A1086" s="2590">
        <f>A1085+1</f>
        <v>5</v>
      </c>
      <c r="B1086" s="3214" t="s">
        <v>797</v>
      </c>
      <c r="C1086" s="3215"/>
      <c r="D1086" s="3216"/>
      <c r="E1086" s="2676">
        <f>'9. Vol Penerangn'!$P$73</f>
        <v>0</v>
      </c>
      <c r="F1086" s="2590" t="s">
        <v>360</v>
      </c>
      <c r="G1086" s="2389">
        <v>9247276.5</v>
      </c>
      <c r="H1086" s="2389">
        <f t="shared" si="332"/>
        <v>0</v>
      </c>
      <c r="I1086" s="2465">
        <f>'Resume Analisa'!$D$165</f>
        <v>9123763.8100000005</v>
      </c>
      <c r="J1086" s="2779">
        <f>I1086*E1086</f>
        <v>0</v>
      </c>
      <c r="K1086" s="2378" t="str">
        <f>IF(H1086=0,"",IF(J1086&lt;#REF!*H1086,"Timpang &lt;"&amp;TEXT(#REF!,"0%"),IF(J1086&gt;#REF!*H1086,"Timpang &gt;"&amp;TEXT(#REF!,"0%"),"Wajar")))</f>
        <v/>
      </c>
      <c r="L1086" s="2391">
        <v>9123763.8100000005</v>
      </c>
      <c r="M1086" s="2391">
        <f t="shared" si="333"/>
        <v>0</v>
      </c>
      <c r="N1086" s="2375">
        <f t="shared" si="329"/>
        <v>0</v>
      </c>
      <c r="O1086" s="2375">
        <v>0</v>
      </c>
      <c r="P1086" s="2590"/>
      <c r="Q1086" s="2375">
        <f t="shared" si="318"/>
        <v>0</v>
      </c>
      <c r="R1086" s="2375">
        <f t="shared" si="317"/>
        <v>0</v>
      </c>
      <c r="S1086" s="2375">
        <v>0</v>
      </c>
      <c r="T1086" s="2590"/>
      <c r="U1086" s="2375">
        <f t="shared" si="311"/>
        <v>0</v>
      </c>
      <c r="V1086" s="2375"/>
      <c r="W1086" s="2382">
        <f t="shared" si="308"/>
        <v>0</v>
      </c>
      <c r="X1086" s="2590" t="s">
        <v>360</v>
      </c>
      <c r="Y1086" s="2375">
        <f t="shared" si="331"/>
        <v>0</v>
      </c>
      <c r="Z1086" s="2375">
        <f t="shared" si="330"/>
        <v>0</v>
      </c>
      <c r="AA1086" s="2377" t="s">
        <v>3355</v>
      </c>
    </row>
    <row r="1087" spans="1:27" ht="25" customHeight="1">
      <c r="A1087" s="2801">
        <f>A1086+1</f>
        <v>6</v>
      </c>
      <c r="B1087" s="2802" t="s">
        <v>798</v>
      </c>
      <c r="C1087" s="2803"/>
      <c r="D1087" s="2804"/>
      <c r="E1087" s="2805">
        <f>'9. Vol Penerangn'!$P$75</f>
        <v>8</v>
      </c>
      <c r="F1087" s="2801" t="s">
        <v>360</v>
      </c>
      <c r="G1087" s="2405">
        <v>767625</v>
      </c>
      <c r="H1087" s="2405">
        <f t="shared" si="332"/>
        <v>6141000</v>
      </c>
      <c r="I1087" s="2574">
        <f>'Resume Analisa'!$D$166</f>
        <v>744794.42</v>
      </c>
      <c r="J1087" s="2806">
        <f>I1087*E1087</f>
        <v>5958355.3600000003</v>
      </c>
      <c r="K1087" s="2408" t="e">
        <f>IF(H1087=0,"",IF(J1087&lt;#REF!*H1087,"Timpang &lt;"&amp;TEXT(#REF!,"0%"),IF(J1087&gt;#REF!*H1087,"Timpang &gt;"&amp;TEXT(#REF!,"0%"),"Wajar")))</f>
        <v>#REF!</v>
      </c>
      <c r="L1087" s="2410">
        <v>744794.42</v>
      </c>
      <c r="M1087" s="2410">
        <f t="shared" si="333"/>
        <v>5958355.3600000003</v>
      </c>
      <c r="N1087" s="2375">
        <f t="shared" si="329"/>
        <v>0.26027367789182826</v>
      </c>
      <c r="O1087" s="2411">
        <v>0</v>
      </c>
      <c r="P1087" s="2801"/>
      <c r="Q1087" s="2411">
        <f t="shared" si="318"/>
        <v>0</v>
      </c>
      <c r="R1087" s="2411">
        <f t="shared" si="317"/>
        <v>0</v>
      </c>
      <c r="S1087" s="2411">
        <v>0</v>
      </c>
      <c r="T1087" s="2801"/>
      <c r="U1087" s="2411">
        <f t="shared" si="311"/>
        <v>0</v>
      </c>
      <c r="V1087" s="2411"/>
      <c r="W1087" s="2402">
        <f t="shared" si="308"/>
        <v>8</v>
      </c>
      <c r="X1087" s="2801" t="s">
        <v>360</v>
      </c>
      <c r="Y1087" s="2411">
        <f t="shared" si="331"/>
        <v>5958355.3600000003</v>
      </c>
      <c r="Z1087" s="2411">
        <f t="shared" si="330"/>
        <v>0.26027367789182826</v>
      </c>
      <c r="AA1087" s="2412" t="s">
        <v>3355</v>
      </c>
    </row>
    <row r="1088" spans="1:27" ht="25" customHeight="1">
      <c r="A1088" s="2835"/>
      <c r="B1088" s="2808"/>
      <c r="C1088" s="2809"/>
      <c r="D1088" s="2512" t="s">
        <v>376</v>
      </c>
      <c r="E1088" s="2810"/>
      <c r="F1088" s="2811"/>
      <c r="G1088" s="2581"/>
      <c r="H1088" s="2581">
        <f>SUM(H1073:H1087)</f>
        <v>76773322.425599992</v>
      </c>
      <c r="I1088" s="2722"/>
      <c r="J1088" s="2582">
        <f>SUM(J1073:J1087)</f>
        <v>76970501.495199993</v>
      </c>
      <c r="K1088" s="2581"/>
      <c r="L1088" s="2584"/>
      <c r="M1088" s="2584">
        <f>SUM(M1073:M1087)</f>
        <v>76970501.495199993</v>
      </c>
      <c r="N1088" s="2424">
        <f>M1088/M8*100</f>
        <v>3.3622357685853372</v>
      </c>
      <c r="O1088" s="2426">
        <v>0</v>
      </c>
      <c r="P1088" s="2811"/>
      <c r="Q1088" s="2426">
        <f t="shared" si="318"/>
        <v>0</v>
      </c>
      <c r="R1088" s="2426">
        <f t="shared" si="317"/>
        <v>0</v>
      </c>
      <c r="S1088" s="2426">
        <v>0</v>
      </c>
      <c r="T1088" s="2427"/>
      <c r="U1088" s="2426">
        <f t="shared" si="311"/>
        <v>0</v>
      </c>
      <c r="V1088" s="2426"/>
      <c r="W1088" s="2428">
        <f t="shared" si="308"/>
        <v>0</v>
      </c>
      <c r="X1088" s="2811"/>
      <c r="Y1088" s="2424">
        <f>SUM(Y1073:Y1087)</f>
        <v>76970501.495199993</v>
      </c>
      <c r="Z1088" s="2424">
        <f>SUM(Z1073:Z1087)</f>
        <v>3.3622357685853372</v>
      </c>
      <c r="AA1088" s="2429"/>
    </row>
    <row r="1089" spans="1:27" ht="25" customHeight="1">
      <c r="A1089" s="2817" t="s">
        <v>535</v>
      </c>
      <c r="B1089" s="2831" t="s">
        <v>457</v>
      </c>
      <c r="C1089" s="2814"/>
      <c r="D1089" s="2832"/>
      <c r="E1089" s="2836"/>
      <c r="F1089" s="2819"/>
      <c r="G1089" s="2585"/>
      <c r="H1089" s="2585"/>
      <c r="I1089" s="2727"/>
      <c r="J1089" s="2837"/>
      <c r="K1089" s="2585"/>
      <c r="L1089" s="2532"/>
      <c r="M1089" s="2532"/>
      <c r="N1089" s="2365"/>
      <c r="O1089" s="2365"/>
      <c r="P1089" s="2819"/>
      <c r="Q1089" s="2365"/>
      <c r="R1089" s="2365">
        <f t="shared" si="317"/>
        <v>0</v>
      </c>
      <c r="S1089" s="2365"/>
      <c r="T1089" s="2536"/>
      <c r="U1089" s="2365"/>
      <c r="V1089" s="2365"/>
      <c r="W1089" s="2445">
        <f t="shared" si="308"/>
        <v>0</v>
      </c>
      <c r="X1089" s="2819"/>
      <c r="Y1089" s="2365">
        <f t="shared" ref="Y1089:Y1128" si="334">L1089</f>
        <v>0</v>
      </c>
      <c r="Z1089" s="2365"/>
      <c r="AA1089" s="2367"/>
    </row>
    <row r="1090" spans="1:27" ht="25" customHeight="1">
      <c r="A1090" s="2590">
        <v>1</v>
      </c>
      <c r="B1090" s="2673" t="s">
        <v>799</v>
      </c>
      <c r="C1090" s="2674"/>
      <c r="D1090" s="2675"/>
      <c r="E1090" s="2838">
        <f>'9. Vol Penerangn'!$P$77</f>
        <v>1</v>
      </c>
      <c r="F1090" s="2624" t="s">
        <v>360</v>
      </c>
      <c r="G1090" s="2389">
        <v>2655212</v>
      </c>
      <c r="H1090" s="2389">
        <f t="shared" ref="H1090:H1099" si="335">E1090*G1090</f>
        <v>2655212</v>
      </c>
      <c r="I1090" s="2465">
        <f>'Resume Analisa'!$D$157</f>
        <v>2503740.19</v>
      </c>
      <c r="J1090" s="2779">
        <f t="shared" ref="J1090:J1099" si="336">I1090*E1090</f>
        <v>2503740.19</v>
      </c>
      <c r="K1090" s="2378" t="e">
        <f>IF(H1090=0,"",IF(J1090&lt;#REF!*H1090,"Timpang &lt;"&amp;TEXT(#REF!,"0%"),IF(J1090&gt;#REF!*H1090,"Timpang &gt;"&amp;TEXT(#REF!,"0%"),"Wajar")))</f>
        <v>#REF!</v>
      </c>
      <c r="L1090" s="2391">
        <v>2503740.19</v>
      </c>
      <c r="M1090" s="2391">
        <f t="shared" ref="M1090:M1099" si="337">E1090*L1090</f>
        <v>2503740.19</v>
      </c>
      <c r="N1090" s="2375">
        <f t="shared" ref="N1090:N1099" si="338">M1090/$M$8*100</f>
        <v>0.10936871474830677</v>
      </c>
      <c r="O1090" s="2375">
        <v>0</v>
      </c>
      <c r="P1090" s="2624"/>
      <c r="Q1090" s="2375">
        <f t="shared" si="318"/>
        <v>0</v>
      </c>
      <c r="R1090" s="2375">
        <f t="shared" si="317"/>
        <v>0</v>
      </c>
      <c r="S1090" s="2375">
        <v>0</v>
      </c>
      <c r="T1090" s="2624"/>
      <c r="U1090" s="2375">
        <f t="shared" si="311"/>
        <v>0</v>
      </c>
      <c r="V1090" s="2375"/>
      <c r="W1090" s="2382">
        <f t="shared" si="308"/>
        <v>1</v>
      </c>
      <c r="X1090" s="2624" t="s">
        <v>360</v>
      </c>
      <c r="Y1090" s="2375">
        <f>W1090*L1090</f>
        <v>2503740.19</v>
      </c>
      <c r="Z1090" s="2375">
        <f t="shared" ref="Z1090:Z1099" si="339">Y1090/$M$8*100</f>
        <v>0.10936871474830677</v>
      </c>
      <c r="AA1090" s="2377" t="s">
        <v>3355</v>
      </c>
    </row>
    <row r="1091" spans="1:27" ht="25" customHeight="1">
      <c r="A1091" s="2590">
        <f t="shared" ref="A1091:A1099" si="340">A1090+1</f>
        <v>2</v>
      </c>
      <c r="B1091" s="2673" t="s">
        <v>800</v>
      </c>
      <c r="C1091" s="2674"/>
      <c r="D1091" s="2675"/>
      <c r="E1091" s="2838">
        <f>'9. Vol Penerangn'!$P$78</f>
        <v>1</v>
      </c>
      <c r="F1091" s="2624" t="s">
        <v>360</v>
      </c>
      <c r="G1091" s="2389">
        <v>1609862</v>
      </c>
      <c r="H1091" s="2389">
        <f t="shared" si="335"/>
        <v>1609862</v>
      </c>
      <c r="I1091" s="2465">
        <f>'Resume Analisa'!$D$158</f>
        <v>1598411.78</v>
      </c>
      <c r="J1091" s="2779">
        <f t="shared" si="336"/>
        <v>1598411.78</v>
      </c>
      <c r="K1091" s="2378" t="e">
        <f>IF(H1091=0,"",IF(J1091&lt;#REF!*H1091,"Timpang &lt;"&amp;TEXT(#REF!,"0%"),IF(J1091&gt;#REF!*H1091,"Timpang &gt;"&amp;TEXT(#REF!,"0%"),"Wajar")))</f>
        <v>#REF!</v>
      </c>
      <c r="L1091" s="2391">
        <v>1598411.78</v>
      </c>
      <c r="M1091" s="2391">
        <f t="shared" si="337"/>
        <v>1598411.78</v>
      </c>
      <c r="N1091" s="2375">
        <f t="shared" si="338"/>
        <v>6.9822037731939471E-2</v>
      </c>
      <c r="O1091" s="2375">
        <v>0</v>
      </c>
      <c r="P1091" s="2624"/>
      <c r="Q1091" s="2375">
        <f t="shared" si="318"/>
        <v>0</v>
      </c>
      <c r="R1091" s="2375">
        <f t="shared" si="317"/>
        <v>0</v>
      </c>
      <c r="S1091" s="2386">
        <v>0</v>
      </c>
      <c r="T1091" s="2624"/>
      <c r="U1091" s="2375">
        <f t="shared" si="311"/>
        <v>0</v>
      </c>
      <c r="V1091" s="2375"/>
      <c r="W1091" s="2382">
        <f t="shared" si="308"/>
        <v>1</v>
      </c>
      <c r="X1091" s="2624" t="s">
        <v>360</v>
      </c>
      <c r="Y1091" s="2375">
        <f t="shared" ref="Y1091:Y1099" si="341">W1091*L1091</f>
        <v>1598411.78</v>
      </c>
      <c r="Z1091" s="2375">
        <f t="shared" si="339"/>
        <v>6.9822037731939471E-2</v>
      </c>
      <c r="AA1091" s="2377" t="s">
        <v>3355</v>
      </c>
    </row>
    <row r="1092" spans="1:27" ht="25" customHeight="1">
      <c r="A1092" s="2590">
        <f t="shared" si="340"/>
        <v>3</v>
      </c>
      <c r="B1092" s="2673" t="s">
        <v>801</v>
      </c>
      <c r="C1092" s="2674"/>
      <c r="D1092" s="2675"/>
      <c r="E1092" s="2838">
        <f>'9. Vol Penerangn'!$P$79</f>
        <v>8</v>
      </c>
      <c r="F1092" s="2624" t="s">
        <v>357</v>
      </c>
      <c r="G1092" s="2389">
        <v>782467.36</v>
      </c>
      <c r="H1092" s="2389">
        <f t="shared" si="335"/>
        <v>6259738.8799999999</v>
      </c>
      <c r="I1092" s="2465">
        <f>'Resume Analisa'!$D$135</f>
        <v>801647.34</v>
      </c>
      <c r="J1092" s="2779">
        <f t="shared" si="336"/>
        <v>6413178.7199999997</v>
      </c>
      <c r="K1092" s="2378" t="e">
        <f>IF(H1092=0,"",IF(J1092&lt;#REF!*H1092,"Timpang &lt;"&amp;TEXT(#REF!,"0%"),IF(J1092&gt;#REF!*H1092,"Timpang &gt;"&amp;TEXT(#REF!,"0%"),"Wajar")))</f>
        <v>#REF!</v>
      </c>
      <c r="L1092" s="2391">
        <v>801647.34</v>
      </c>
      <c r="M1092" s="2391">
        <f t="shared" si="337"/>
        <v>6413178.7199999997</v>
      </c>
      <c r="N1092" s="2375">
        <f t="shared" si="338"/>
        <v>0.28014133289827936</v>
      </c>
      <c r="O1092" s="2375">
        <v>0</v>
      </c>
      <c r="P1092" s="2624"/>
      <c r="Q1092" s="2375">
        <f t="shared" si="318"/>
        <v>0</v>
      </c>
      <c r="R1092" s="2375">
        <f t="shared" si="317"/>
        <v>0</v>
      </c>
      <c r="S1092" s="2386">
        <v>0</v>
      </c>
      <c r="T1092" s="2624"/>
      <c r="U1092" s="2375">
        <f t="shared" si="311"/>
        <v>0</v>
      </c>
      <c r="V1092" s="2375"/>
      <c r="W1092" s="2382">
        <f t="shared" si="308"/>
        <v>8</v>
      </c>
      <c r="X1092" s="2624" t="s">
        <v>357</v>
      </c>
      <c r="Y1092" s="2375">
        <f t="shared" si="341"/>
        <v>6413178.7199999997</v>
      </c>
      <c r="Z1092" s="2375">
        <f t="shared" si="339"/>
        <v>0.28014133289827936</v>
      </c>
      <c r="AA1092" s="2377" t="s">
        <v>3355</v>
      </c>
    </row>
    <row r="1093" spans="1:27" ht="25" customHeight="1">
      <c r="A1093" s="2590">
        <f t="shared" si="340"/>
        <v>4</v>
      </c>
      <c r="B1093" s="2673" t="s">
        <v>802</v>
      </c>
      <c r="C1093" s="2674"/>
      <c r="D1093" s="2675"/>
      <c r="E1093" s="2838">
        <f>'9. Vol Penerangn'!$P$90</f>
        <v>747.6</v>
      </c>
      <c r="F1093" s="2624" t="s">
        <v>803</v>
      </c>
      <c r="G1093" s="2389">
        <v>231498.80000000002</v>
      </c>
      <c r="H1093" s="2389">
        <f t="shared" si="335"/>
        <v>173068502.88000003</v>
      </c>
      <c r="I1093" s="2465">
        <f>'Resume Analisa'!$D$136</f>
        <v>241701.25</v>
      </c>
      <c r="J1093" s="2779">
        <f t="shared" si="336"/>
        <v>180695854.5</v>
      </c>
      <c r="K1093" s="2378" t="e">
        <f>IF(H1093=0,"",IF(J1093&lt;#REF!*H1093,"Timpang &lt;"&amp;TEXT(#REF!,"0%"),IF(J1093&gt;#REF!*H1093,"Timpang &gt;"&amp;TEXT(#REF!,"0%"),"Wajar")))</f>
        <v>#REF!</v>
      </c>
      <c r="L1093" s="2391">
        <v>241701.25</v>
      </c>
      <c r="M1093" s="2391">
        <f t="shared" si="337"/>
        <v>180695854.5</v>
      </c>
      <c r="N1093" s="2375">
        <f t="shared" si="338"/>
        <v>7.8931805488220599</v>
      </c>
      <c r="O1093" s="2375">
        <v>0</v>
      </c>
      <c r="P1093" s="2624"/>
      <c r="Q1093" s="2375">
        <f t="shared" si="318"/>
        <v>0</v>
      </c>
      <c r="R1093" s="2375">
        <f t="shared" si="317"/>
        <v>0</v>
      </c>
      <c r="S1093" s="2375">
        <v>0</v>
      </c>
      <c r="T1093" s="2624"/>
      <c r="U1093" s="2375">
        <f t="shared" si="311"/>
        <v>0</v>
      </c>
      <c r="V1093" s="2375"/>
      <c r="W1093" s="2382">
        <f t="shared" si="308"/>
        <v>747.6</v>
      </c>
      <c r="X1093" s="2624" t="s">
        <v>803</v>
      </c>
      <c r="Y1093" s="2375">
        <f t="shared" si="341"/>
        <v>180695854.5</v>
      </c>
      <c r="Z1093" s="2375">
        <f t="shared" si="339"/>
        <v>7.8931805488220599</v>
      </c>
      <c r="AA1093" s="2377" t="s">
        <v>3355</v>
      </c>
    </row>
    <row r="1094" spans="1:27" ht="25" customHeight="1">
      <c r="A1094" s="2590">
        <f t="shared" si="340"/>
        <v>5</v>
      </c>
      <c r="B1094" s="2673" t="s">
        <v>804</v>
      </c>
      <c r="C1094" s="2674"/>
      <c r="D1094" s="2675"/>
      <c r="E1094" s="2838">
        <f>'9. Vol Penerangn'!$P$92</f>
        <v>22.6</v>
      </c>
      <c r="F1094" s="2624" t="s">
        <v>803</v>
      </c>
      <c r="G1094" s="2389">
        <v>278041.25</v>
      </c>
      <c r="H1094" s="2389">
        <f t="shared" si="335"/>
        <v>6283732.25</v>
      </c>
      <c r="I1094" s="2465">
        <f>'Resume Analisa'!$D$137</f>
        <v>290370.01</v>
      </c>
      <c r="J1094" s="2779">
        <f t="shared" si="336"/>
        <v>6562362.2260000007</v>
      </c>
      <c r="K1094" s="2378" t="e">
        <f>IF(H1094=0,"",IF(J1094&lt;#REF!*H1094,"Timpang &lt;"&amp;TEXT(#REF!,"0%"),IF(J1094&gt;#REF!*H1094,"Timpang &gt;"&amp;TEXT(#REF!,"0%"),"Wajar")))</f>
        <v>#REF!</v>
      </c>
      <c r="L1094" s="2391">
        <v>290370.01</v>
      </c>
      <c r="M1094" s="2391">
        <f t="shared" si="337"/>
        <v>6562362.2260000007</v>
      </c>
      <c r="N1094" s="2375">
        <f t="shared" si="338"/>
        <v>0.28665798681390242</v>
      </c>
      <c r="O1094" s="2375">
        <v>0</v>
      </c>
      <c r="P1094" s="2624"/>
      <c r="Q1094" s="2375">
        <f t="shared" si="318"/>
        <v>0</v>
      </c>
      <c r="R1094" s="2375">
        <f t="shared" si="317"/>
        <v>0</v>
      </c>
      <c r="S1094" s="2375">
        <v>0</v>
      </c>
      <c r="T1094" s="2624"/>
      <c r="U1094" s="2375">
        <f t="shared" si="311"/>
        <v>0</v>
      </c>
      <c r="V1094" s="2375"/>
      <c r="W1094" s="2382">
        <f t="shared" si="308"/>
        <v>22.6</v>
      </c>
      <c r="X1094" s="2624" t="s">
        <v>803</v>
      </c>
      <c r="Y1094" s="2375">
        <f t="shared" si="341"/>
        <v>6562362.2260000007</v>
      </c>
      <c r="Z1094" s="2375">
        <f t="shared" si="339"/>
        <v>0.28665798681390242</v>
      </c>
      <c r="AA1094" s="2377" t="s">
        <v>3355</v>
      </c>
    </row>
    <row r="1095" spans="1:27" ht="25" customHeight="1">
      <c r="A1095" s="2590">
        <f t="shared" si="340"/>
        <v>6</v>
      </c>
      <c r="B1095" s="2673" t="s">
        <v>805</v>
      </c>
      <c r="C1095" s="2674"/>
      <c r="D1095" s="2675"/>
      <c r="E1095" s="2838">
        <f>'9. Vol Penerangn'!$P$93</f>
        <v>747.6</v>
      </c>
      <c r="F1095" s="2624" t="s">
        <v>803</v>
      </c>
      <c r="G1095" s="2389">
        <v>38778</v>
      </c>
      <c r="H1095" s="2389">
        <f t="shared" si="335"/>
        <v>28990432.800000001</v>
      </c>
      <c r="I1095" s="2465">
        <f>'Resume Analisa'!$D$175</f>
        <v>38288.97</v>
      </c>
      <c r="J1095" s="2779">
        <f t="shared" si="336"/>
        <v>28624833.972000003</v>
      </c>
      <c r="K1095" s="2378" t="e">
        <f>IF(H1095=0,"",IF(J1095&lt;#REF!*H1095,"Timpang &lt;"&amp;TEXT(#REF!,"0%"),IF(J1095&gt;#REF!*H1095,"Timpang &gt;"&amp;TEXT(#REF!,"0%"),"Wajar")))</f>
        <v>#REF!</v>
      </c>
      <c r="L1095" s="2391">
        <v>38288.97</v>
      </c>
      <c r="M1095" s="2391">
        <f t="shared" si="337"/>
        <v>28624833.972000003</v>
      </c>
      <c r="N1095" s="2375">
        <f t="shared" si="338"/>
        <v>1.2503938363514107</v>
      </c>
      <c r="O1095" s="2375">
        <v>0</v>
      </c>
      <c r="P1095" s="2624"/>
      <c r="Q1095" s="2375">
        <f t="shared" si="318"/>
        <v>0</v>
      </c>
      <c r="R1095" s="2375">
        <f t="shared" si="317"/>
        <v>0</v>
      </c>
      <c r="S1095" s="2375">
        <v>0</v>
      </c>
      <c r="T1095" s="2624"/>
      <c r="U1095" s="2375">
        <f t="shared" si="311"/>
        <v>0</v>
      </c>
      <c r="V1095" s="2375"/>
      <c r="W1095" s="2382">
        <f t="shared" si="308"/>
        <v>747.6</v>
      </c>
      <c r="X1095" s="2624" t="s">
        <v>803</v>
      </c>
      <c r="Y1095" s="2375">
        <f t="shared" si="341"/>
        <v>28624833.972000003</v>
      </c>
      <c r="Z1095" s="2375">
        <f t="shared" si="339"/>
        <v>1.2503938363514107</v>
      </c>
      <c r="AA1095" s="2377" t="s">
        <v>3355</v>
      </c>
    </row>
    <row r="1096" spans="1:27" ht="25" customHeight="1">
      <c r="A1096" s="2590">
        <f t="shared" si="340"/>
        <v>7</v>
      </c>
      <c r="B1096" s="2673" t="s">
        <v>806</v>
      </c>
      <c r="C1096" s="2674"/>
      <c r="D1096" s="2675"/>
      <c r="E1096" s="2838">
        <f>'9. Vol Penerangn'!$P$98</f>
        <v>26.88</v>
      </c>
      <c r="F1096" s="2624" t="s">
        <v>103</v>
      </c>
      <c r="G1096" s="2389">
        <v>50600</v>
      </c>
      <c r="H1096" s="2389">
        <f t="shared" si="335"/>
        <v>1360128</v>
      </c>
      <c r="I1096" s="2465">
        <f>'Resume Analisa'!$D$18</f>
        <v>49036.76</v>
      </c>
      <c r="J1096" s="2779">
        <f t="shared" si="336"/>
        <v>1318108.1088</v>
      </c>
      <c r="K1096" s="2378" t="e">
        <f>IF(H1096=0,"",IF(J1096&lt;#REF!*H1096,"Timpang &lt;"&amp;TEXT(#REF!,"0%"),IF(J1096&gt;#REF!*H1096,"Timpang &gt;"&amp;TEXT(#REF!,"0%"),"Wajar")))</f>
        <v>#REF!</v>
      </c>
      <c r="L1096" s="2391">
        <v>49036.76</v>
      </c>
      <c r="M1096" s="2391">
        <f t="shared" si="337"/>
        <v>1318108.1088</v>
      </c>
      <c r="N1096" s="2375">
        <f t="shared" si="338"/>
        <v>5.7577775175936818E-2</v>
      </c>
      <c r="O1096" s="2375">
        <v>0</v>
      </c>
      <c r="P1096" s="2624"/>
      <c r="Q1096" s="2375">
        <f t="shared" si="318"/>
        <v>0</v>
      </c>
      <c r="R1096" s="2375">
        <f t="shared" si="317"/>
        <v>0</v>
      </c>
      <c r="S1096" s="2375">
        <v>0</v>
      </c>
      <c r="T1096" s="2624"/>
      <c r="U1096" s="2375">
        <f t="shared" si="311"/>
        <v>0</v>
      </c>
      <c r="V1096" s="2375"/>
      <c r="W1096" s="2382">
        <f t="shared" si="308"/>
        <v>26.88</v>
      </c>
      <c r="X1096" s="2624" t="s">
        <v>103</v>
      </c>
      <c r="Y1096" s="2375">
        <f t="shared" si="341"/>
        <v>1318108.1088</v>
      </c>
      <c r="Z1096" s="2375">
        <f t="shared" si="339"/>
        <v>5.7577775175936818E-2</v>
      </c>
      <c r="AA1096" s="2377" t="s">
        <v>3355</v>
      </c>
    </row>
    <row r="1097" spans="1:27" ht="25" customHeight="1">
      <c r="A1097" s="2590">
        <f t="shared" si="340"/>
        <v>8</v>
      </c>
      <c r="B1097" s="2673" t="s">
        <v>807</v>
      </c>
      <c r="C1097" s="2674"/>
      <c r="D1097" s="2675"/>
      <c r="E1097" s="2838">
        <f>'9. Vol Penerangn'!$P$99</f>
        <v>30</v>
      </c>
      <c r="F1097" s="2624" t="s">
        <v>124</v>
      </c>
      <c r="G1097" s="2389">
        <v>694000</v>
      </c>
      <c r="H1097" s="2389">
        <f t="shared" si="335"/>
        <v>20820000</v>
      </c>
      <c r="I1097" s="2465">
        <f>'Bahan &amp; Upah'!$C$254/2</f>
        <v>669118.80499999993</v>
      </c>
      <c r="J1097" s="2779">
        <f t="shared" si="336"/>
        <v>20073564.149999999</v>
      </c>
      <c r="K1097" s="2378" t="e">
        <f>IF(H1097=0,"",IF(J1097&lt;#REF!*H1097,"Timpang &lt;"&amp;TEXT(#REF!,"0%"),IF(J1097&gt;#REF!*H1097,"Timpang &gt;"&amp;TEXT(#REF!,"0%"),"Wajar")))</f>
        <v>#REF!</v>
      </c>
      <c r="L1097" s="2391">
        <v>669118.80499999993</v>
      </c>
      <c r="M1097" s="2391">
        <f t="shared" si="337"/>
        <v>20073564.149999999</v>
      </c>
      <c r="N1097" s="2375">
        <f t="shared" si="338"/>
        <v>0.87685612120289003</v>
      </c>
      <c r="O1097" s="2375">
        <v>0</v>
      </c>
      <c r="P1097" s="2624"/>
      <c r="Q1097" s="2375">
        <f t="shared" si="318"/>
        <v>0</v>
      </c>
      <c r="R1097" s="2375">
        <f t="shared" si="317"/>
        <v>0</v>
      </c>
      <c r="S1097" s="2375">
        <v>0</v>
      </c>
      <c r="T1097" s="2624"/>
      <c r="U1097" s="2375">
        <f t="shared" si="311"/>
        <v>0</v>
      </c>
      <c r="V1097" s="2375"/>
      <c r="W1097" s="2382">
        <f t="shared" si="308"/>
        <v>30</v>
      </c>
      <c r="X1097" s="2624" t="s">
        <v>124</v>
      </c>
      <c r="Y1097" s="2375">
        <f t="shared" si="341"/>
        <v>20073564.149999999</v>
      </c>
      <c r="Z1097" s="2375">
        <f t="shared" si="339"/>
        <v>0.87685612120289003</v>
      </c>
      <c r="AA1097" s="2377" t="s">
        <v>3355</v>
      </c>
    </row>
    <row r="1098" spans="1:27" ht="25" customHeight="1">
      <c r="A1098" s="2590">
        <f t="shared" si="340"/>
        <v>9</v>
      </c>
      <c r="B1098" s="2673" t="s">
        <v>808</v>
      </c>
      <c r="C1098" s="2674"/>
      <c r="D1098" s="2675"/>
      <c r="E1098" s="2838">
        <f>'9. Vol Penerangn'!$P$100</f>
        <v>2</v>
      </c>
      <c r="F1098" s="2624" t="s">
        <v>360</v>
      </c>
      <c r="G1098" s="2389">
        <v>798790</v>
      </c>
      <c r="H1098" s="2389">
        <f t="shared" si="335"/>
        <v>1597580</v>
      </c>
      <c r="I1098" s="2465">
        <f>'Resume Analisa'!$D$161</f>
        <v>827932.74</v>
      </c>
      <c r="J1098" s="2779">
        <f t="shared" si="336"/>
        <v>1655865.48</v>
      </c>
      <c r="K1098" s="2378" t="e">
        <f>IF(H1098=0,"",IF(J1098&lt;#REF!*H1098,"Timpang &lt;"&amp;TEXT(#REF!,"0%"),IF(J1098&gt;#REF!*H1098,"Timpang &gt;"&amp;TEXT(#REF!,"0%"),"Wajar")))</f>
        <v>#REF!</v>
      </c>
      <c r="L1098" s="2391">
        <v>827932.74</v>
      </c>
      <c r="M1098" s="2391">
        <f t="shared" si="337"/>
        <v>1655865.48</v>
      </c>
      <c r="N1098" s="2375">
        <f t="shared" si="338"/>
        <v>7.2331737960274589E-2</v>
      </c>
      <c r="O1098" s="2375">
        <v>0</v>
      </c>
      <c r="P1098" s="2624"/>
      <c r="Q1098" s="2375">
        <f t="shared" si="318"/>
        <v>0</v>
      </c>
      <c r="R1098" s="2375">
        <f t="shared" si="317"/>
        <v>0</v>
      </c>
      <c r="S1098" s="2386">
        <v>0</v>
      </c>
      <c r="T1098" s="2624"/>
      <c r="U1098" s="2375">
        <f t="shared" si="311"/>
        <v>0</v>
      </c>
      <c r="V1098" s="2375"/>
      <c r="W1098" s="2382">
        <f t="shared" si="308"/>
        <v>2</v>
      </c>
      <c r="X1098" s="2624" t="s">
        <v>360</v>
      </c>
      <c r="Y1098" s="2375">
        <f t="shared" si="341"/>
        <v>1655865.48</v>
      </c>
      <c r="Z1098" s="2375">
        <f t="shared" si="339"/>
        <v>7.2331737960274589E-2</v>
      </c>
      <c r="AA1098" s="2377" t="s">
        <v>3355</v>
      </c>
    </row>
    <row r="1099" spans="1:27" ht="25" customHeight="1">
      <c r="A1099" s="2801">
        <f t="shared" si="340"/>
        <v>10</v>
      </c>
      <c r="B1099" s="2839" t="s">
        <v>809</v>
      </c>
      <c r="C1099" s="2840"/>
      <c r="D1099" s="2841"/>
      <c r="E1099" s="2842">
        <f>'9. Vol Penerangn'!$P$101</f>
        <v>1</v>
      </c>
      <c r="F1099" s="2843" t="s">
        <v>360</v>
      </c>
      <c r="G1099" s="2405">
        <v>1732814.25</v>
      </c>
      <c r="H1099" s="2405">
        <f t="shared" si="335"/>
        <v>1732814.25</v>
      </c>
      <c r="I1099" s="2574">
        <f>'Resume Analisa'!$D$162</f>
        <v>1782505.1300000001</v>
      </c>
      <c r="J1099" s="2806">
        <f t="shared" si="336"/>
        <v>1782505.1300000001</v>
      </c>
      <c r="K1099" s="2408" t="e">
        <f>IF(H1099=0,"",IF(J1099&lt;#REF!*H1099,"Timpang &lt;"&amp;TEXT(#REF!,"0%"),IF(J1099&gt;#REF!*H1099,"Timpang &gt;"&amp;TEXT(#REF!,"0%"),"Wajar")))</f>
        <v>#REF!</v>
      </c>
      <c r="L1099" s="2410">
        <v>1782505.1300000001</v>
      </c>
      <c r="M1099" s="2410">
        <f t="shared" si="337"/>
        <v>1782505.1300000001</v>
      </c>
      <c r="N1099" s="2375">
        <f t="shared" si="338"/>
        <v>7.7863628134819979E-2</v>
      </c>
      <c r="O1099" s="2411">
        <v>0</v>
      </c>
      <c r="P1099" s="2843"/>
      <c r="Q1099" s="2411">
        <f t="shared" si="318"/>
        <v>0</v>
      </c>
      <c r="R1099" s="2411">
        <f t="shared" si="317"/>
        <v>0</v>
      </c>
      <c r="S1099" s="2593">
        <v>0</v>
      </c>
      <c r="T1099" s="2843"/>
      <c r="U1099" s="2411">
        <f t="shared" si="311"/>
        <v>0</v>
      </c>
      <c r="V1099" s="2411"/>
      <c r="W1099" s="2402">
        <f t="shared" si="308"/>
        <v>1</v>
      </c>
      <c r="X1099" s="2843" t="s">
        <v>360</v>
      </c>
      <c r="Y1099" s="2411">
        <f t="shared" si="341"/>
        <v>1782505.1300000001</v>
      </c>
      <c r="Z1099" s="2411">
        <f t="shared" si="339"/>
        <v>7.7863628134819979E-2</v>
      </c>
      <c r="AA1099" s="2412" t="s">
        <v>3355</v>
      </c>
    </row>
    <row r="1100" spans="1:27" ht="25" customHeight="1">
      <c r="A1100" s="2807"/>
      <c r="B1100" s="2808"/>
      <c r="C1100" s="2809"/>
      <c r="D1100" s="2512" t="s">
        <v>376</v>
      </c>
      <c r="E1100" s="2810"/>
      <c r="F1100" s="2811"/>
      <c r="G1100" s="2581"/>
      <c r="H1100" s="2581">
        <f>SUM(H1090:H1099)</f>
        <v>244378003.06000003</v>
      </c>
      <c r="I1100" s="2844"/>
      <c r="J1100" s="2582">
        <f>SUM(J1090:J1099)</f>
        <v>251228424.2568</v>
      </c>
      <c r="K1100" s="2581"/>
      <c r="L1100" s="2584"/>
      <c r="M1100" s="2584">
        <f>SUM(M1090:M1099)</f>
        <v>251228424.2568</v>
      </c>
      <c r="N1100" s="2424">
        <f>M1100/M8*100</f>
        <v>10.974193719839819</v>
      </c>
      <c r="O1100" s="2426">
        <v>0</v>
      </c>
      <c r="P1100" s="2811"/>
      <c r="Q1100" s="2426">
        <f t="shared" si="318"/>
        <v>0</v>
      </c>
      <c r="R1100" s="2426">
        <f t="shared" si="317"/>
        <v>0</v>
      </c>
      <c r="S1100" s="2426">
        <v>0</v>
      </c>
      <c r="T1100" s="2427"/>
      <c r="U1100" s="2845"/>
      <c r="V1100" s="2845"/>
      <c r="W1100" s="2428">
        <f t="shared" si="308"/>
        <v>0</v>
      </c>
      <c r="X1100" s="2811"/>
      <c r="Y1100" s="2424">
        <f>SUM(Y1090:Y1099)</f>
        <v>251228424.2568</v>
      </c>
      <c r="Z1100" s="2846">
        <f>SUM(Z1090:Z1099)</f>
        <v>10.974193719839818</v>
      </c>
      <c r="AA1100" s="2429"/>
    </row>
    <row r="1101" spans="1:27" ht="25" hidden="1" customHeight="1">
      <c r="A1101" s="2817" t="s">
        <v>690</v>
      </c>
      <c r="B1101" s="2831" t="s">
        <v>810</v>
      </c>
      <c r="C1101" s="2814"/>
      <c r="D1101" s="2832"/>
      <c r="E1101" s="2833"/>
      <c r="F1101" s="2833"/>
      <c r="G1101" s="2362"/>
      <c r="H1101" s="2362"/>
      <c r="I1101" s="2833"/>
      <c r="J1101" s="2833"/>
      <c r="K1101" s="2362"/>
      <c r="L1101" s="2532"/>
      <c r="M1101" s="2532"/>
      <c r="N1101" s="2365">
        <f t="shared" ref="N1101:N1132" si="342">M1101/$M$8</f>
        <v>0</v>
      </c>
      <c r="O1101" s="2365">
        <v>0</v>
      </c>
      <c r="P1101" s="2833"/>
      <c r="Q1101" s="2365">
        <f t="shared" si="318"/>
        <v>0</v>
      </c>
      <c r="R1101" s="2365">
        <f t="shared" si="317"/>
        <v>0</v>
      </c>
      <c r="S1101" s="2847"/>
      <c r="T1101" s="2536"/>
      <c r="U1101" s="2847"/>
      <c r="V1101" s="2847"/>
      <c r="W1101" s="2445">
        <f t="shared" si="308"/>
        <v>0</v>
      </c>
      <c r="X1101" s="2833"/>
      <c r="Y1101" s="2365">
        <f t="shared" si="334"/>
        <v>0</v>
      </c>
      <c r="Z1101" s="2847"/>
      <c r="AA1101" s="2367"/>
    </row>
    <row r="1102" spans="1:27" ht="25" hidden="1" customHeight="1">
      <c r="A1102" s="2697" t="s">
        <v>692</v>
      </c>
      <c r="B1102" s="2795" t="s">
        <v>395</v>
      </c>
      <c r="C1102" s="2674"/>
      <c r="D1102" s="2675"/>
      <c r="E1102" s="2796"/>
      <c r="F1102" s="2796"/>
      <c r="G1102" s="2372"/>
      <c r="H1102" s="2372"/>
      <c r="I1102" s="2796"/>
      <c r="J1102" s="2796"/>
      <c r="K1102" s="2372"/>
      <c r="L1102" s="2391"/>
      <c r="M1102" s="2391"/>
      <c r="N1102" s="2375">
        <f t="shared" si="342"/>
        <v>0</v>
      </c>
      <c r="O1102" s="2375">
        <v>0</v>
      </c>
      <c r="P1102" s="2796"/>
      <c r="Q1102" s="2375">
        <f t="shared" si="318"/>
        <v>0</v>
      </c>
      <c r="R1102" s="2375">
        <f t="shared" si="317"/>
        <v>0</v>
      </c>
      <c r="S1102" s="2848"/>
      <c r="T1102" s="2378"/>
      <c r="U1102" s="2848"/>
      <c r="V1102" s="2848"/>
      <c r="W1102" s="2382">
        <f t="shared" si="308"/>
        <v>0</v>
      </c>
      <c r="X1102" s="2796"/>
      <c r="Y1102" s="2375">
        <f t="shared" si="334"/>
        <v>0</v>
      </c>
      <c r="Z1102" s="2848"/>
      <c r="AA1102" s="2377"/>
    </row>
    <row r="1103" spans="1:27" s="18" customFormat="1" ht="25" hidden="1" customHeight="1">
      <c r="A1103" s="2590">
        <v>1</v>
      </c>
      <c r="B1103" s="2673" t="s">
        <v>396</v>
      </c>
      <c r="C1103" s="2674"/>
      <c r="D1103" s="2675"/>
      <c r="E1103" s="2849">
        <f>'13. Vol TPS'!$M$11</f>
        <v>20</v>
      </c>
      <c r="F1103" s="2850" t="s">
        <v>117</v>
      </c>
      <c r="G1103" s="2389">
        <v>167131.79999999999</v>
      </c>
      <c r="H1103" s="2389">
        <f>E1103*G1103</f>
        <v>3342636</v>
      </c>
      <c r="I1103" s="2480">
        <f>'Resume Analisa'!$D$9</f>
        <v>174862.27000000002</v>
      </c>
      <c r="J1103" s="2782">
        <f>E1103*I1103</f>
        <v>3497245.4000000004</v>
      </c>
      <c r="K1103" s="2378" t="e">
        <f>IF(H1103=0,"",IF(J1103&lt;#REF!*H1103,"Timpang &lt;"&amp;TEXT(#REF!,"0%"),IF(J1103&gt;#REF!*H1103,"Timpang &gt;"&amp;TEXT(#REF!,"0%"),"Wajar")))</f>
        <v>#REF!</v>
      </c>
      <c r="L1103" s="2391">
        <v>174862.27000000002</v>
      </c>
      <c r="M1103" s="2391">
        <f>E1103*L1103</f>
        <v>3497245.4000000004</v>
      </c>
      <c r="N1103" s="2375">
        <f t="shared" si="342"/>
        <v>1.5276714256738759E-3</v>
      </c>
      <c r="O1103" s="2375">
        <v>0</v>
      </c>
      <c r="P1103" s="2850"/>
      <c r="Q1103" s="2375">
        <f t="shared" si="318"/>
        <v>0</v>
      </c>
      <c r="R1103" s="2375">
        <f t="shared" si="317"/>
        <v>0</v>
      </c>
      <c r="S1103" s="2848"/>
      <c r="T1103" s="2378"/>
      <c r="U1103" s="2848"/>
      <c r="V1103" s="2848"/>
      <c r="W1103" s="2382">
        <f t="shared" si="308"/>
        <v>20</v>
      </c>
      <c r="X1103" s="2850" t="s">
        <v>117</v>
      </c>
      <c r="Y1103" s="2375">
        <f t="shared" si="334"/>
        <v>174862.27000000002</v>
      </c>
      <c r="Z1103" s="2848"/>
      <c r="AA1103" s="2851"/>
    </row>
    <row r="1104" spans="1:27" ht="25" hidden="1" customHeight="1">
      <c r="A1104" s="2590">
        <f>A1103+1</f>
        <v>2</v>
      </c>
      <c r="B1104" s="2673" t="s">
        <v>811</v>
      </c>
      <c r="C1104" s="2674"/>
      <c r="D1104" s="2675"/>
      <c r="E1104" s="2676"/>
      <c r="F1104" s="2590"/>
      <c r="G1104" s="2389"/>
      <c r="H1104" s="2389"/>
      <c r="I1104" s="2700"/>
      <c r="J1104" s="2464"/>
      <c r="K1104" s="2389"/>
      <c r="L1104" s="2391"/>
      <c r="M1104" s="2391"/>
      <c r="N1104" s="2375">
        <f t="shared" si="342"/>
        <v>0</v>
      </c>
      <c r="O1104" s="2375">
        <v>0</v>
      </c>
      <c r="P1104" s="2590"/>
      <c r="Q1104" s="2375">
        <f t="shared" si="318"/>
        <v>0</v>
      </c>
      <c r="R1104" s="2375">
        <f t="shared" si="317"/>
        <v>0</v>
      </c>
      <c r="S1104" s="2848"/>
      <c r="T1104" s="2697"/>
      <c r="U1104" s="2848"/>
      <c r="V1104" s="2848"/>
      <c r="W1104" s="2382">
        <f t="shared" ref="W1104:W1167" si="343">(E1104+O1104)-S1104</f>
        <v>0</v>
      </c>
      <c r="X1104" s="2590"/>
      <c r="Y1104" s="2375">
        <f t="shared" si="334"/>
        <v>0</v>
      </c>
      <c r="Z1104" s="2848"/>
      <c r="AA1104" s="2377"/>
    </row>
    <row r="1105" spans="1:27" ht="25" hidden="1" customHeight="1">
      <c r="A1105" s="2797" t="s">
        <v>95</v>
      </c>
      <c r="B1105" s="2673" t="s">
        <v>382</v>
      </c>
      <c r="C1105" s="2674"/>
      <c r="D1105" s="2675"/>
      <c r="E1105" s="2676">
        <f>'13. Vol TPS'!$M$24</f>
        <v>13.920000000000003</v>
      </c>
      <c r="F1105" s="2590" t="s">
        <v>103</v>
      </c>
      <c r="G1105" s="2389">
        <v>50600</v>
      </c>
      <c r="H1105" s="2389">
        <f>E1105*G1105</f>
        <v>704352.00000000023</v>
      </c>
      <c r="I1105" s="2465">
        <f>'Resume Analisa'!$D$18</f>
        <v>49036.76</v>
      </c>
      <c r="J1105" s="2464">
        <f>E1105*I1105</f>
        <v>682591.69920000015</v>
      </c>
      <c r="K1105" s="2378" t="e">
        <f>IF(H1105=0,"",IF(J1105&lt;#REF!*H1105,"Timpang &lt;"&amp;TEXT(#REF!,"0%"),IF(J1105&gt;#REF!*H1105,"Timpang &gt;"&amp;TEXT(#REF!,"0%"),"Wajar")))</f>
        <v>#REF!</v>
      </c>
      <c r="L1105" s="2391">
        <v>49036.76</v>
      </c>
      <c r="M1105" s="2391">
        <f>E1105*L1105</f>
        <v>682591.69920000015</v>
      </c>
      <c r="N1105" s="2375">
        <f t="shared" si="342"/>
        <v>2.9817062144681572E-4</v>
      </c>
      <c r="O1105" s="2375">
        <v>0</v>
      </c>
      <c r="P1105" s="2590"/>
      <c r="Q1105" s="2375">
        <f t="shared" si="318"/>
        <v>0</v>
      </c>
      <c r="R1105" s="2375">
        <f t="shared" si="317"/>
        <v>0</v>
      </c>
      <c r="S1105" s="2848"/>
      <c r="T1105" s="2697"/>
      <c r="U1105" s="2848"/>
      <c r="V1105" s="2848"/>
      <c r="W1105" s="2382">
        <f t="shared" si="343"/>
        <v>13.920000000000003</v>
      </c>
      <c r="X1105" s="2590" t="s">
        <v>103</v>
      </c>
      <c r="Y1105" s="2375">
        <f t="shared" si="334"/>
        <v>49036.76</v>
      </c>
      <c r="Z1105" s="2848"/>
      <c r="AA1105" s="2377"/>
    </row>
    <row r="1106" spans="1:27" ht="25" hidden="1" customHeight="1">
      <c r="A1106" s="2797" t="s">
        <v>98</v>
      </c>
      <c r="B1106" s="2673" t="s">
        <v>695</v>
      </c>
      <c r="C1106" s="2674"/>
      <c r="D1106" s="2632"/>
      <c r="E1106" s="2676">
        <f>'13. Vol TPS'!$M$27</f>
        <v>2.0160000000000005</v>
      </c>
      <c r="F1106" s="2590" t="s">
        <v>103</v>
      </c>
      <c r="G1106" s="2389">
        <v>507759.96</v>
      </c>
      <c r="H1106" s="2389">
        <f>E1106*G1106</f>
        <v>1023644.0793600003</v>
      </c>
      <c r="I1106" s="2465">
        <f>'Resume Analisa'!$D$26</f>
        <v>475358.64</v>
      </c>
      <c r="J1106" s="2464">
        <f>E1106*I1106</f>
        <v>958323.01824000024</v>
      </c>
      <c r="K1106" s="2378" t="e">
        <f>IF(H1106=0,"",IF(J1106&lt;#REF!*H1106,"Timpang &lt;"&amp;TEXT(#REF!,"0%"),IF(J1106&gt;#REF!*H1106,"Timpang &gt;"&amp;TEXT(#REF!,"0%"),"Wajar")))</f>
        <v>#REF!</v>
      </c>
      <c r="L1106" s="2391">
        <v>475358.64</v>
      </c>
      <c r="M1106" s="2391">
        <f>E1106*L1106</f>
        <v>958323.01824000024</v>
      </c>
      <c r="N1106" s="2375">
        <f t="shared" si="342"/>
        <v>4.1861594600447338E-4</v>
      </c>
      <c r="O1106" s="2375">
        <v>0</v>
      </c>
      <c r="P1106" s="2590"/>
      <c r="Q1106" s="2375">
        <f t="shared" si="318"/>
        <v>0</v>
      </c>
      <c r="R1106" s="2375">
        <f t="shared" si="317"/>
        <v>0</v>
      </c>
      <c r="S1106" s="2848"/>
      <c r="T1106" s="2378"/>
      <c r="U1106" s="2848"/>
      <c r="V1106" s="2848"/>
      <c r="W1106" s="2382">
        <f t="shared" si="343"/>
        <v>2.0160000000000005</v>
      </c>
      <c r="X1106" s="2590" t="s">
        <v>103</v>
      </c>
      <c r="Y1106" s="2375">
        <f t="shared" si="334"/>
        <v>475358.64</v>
      </c>
      <c r="Z1106" s="2848"/>
      <c r="AA1106" s="2377"/>
    </row>
    <row r="1107" spans="1:27" ht="25" hidden="1" customHeight="1">
      <c r="A1107" s="2797" t="s">
        <v>101</v>
      </c>
      <c r="B1107" s="2673" t="s">
        <v>693</v>
      </c>
      <c r="C1107" s="2674"/>
      <c r="D1107" s="2675"/>
      <c r="E1107" s="2676">
        <f>'13. Vol TPS'!$M$33</f>
        <v>8.8000000000000007</v>
      </c>
      <c r="F1107" s="2590" t="s">
        <v>103</v>
      </c>
      <c r="G1107" s="2389">
        <v>1224235.95</v>
      </c>
      <c r="H1107" s="2389">
        <f>E1107*G1107</f>
        <v>10773276.360000001</v>
      </c>
      <c r="I1107" s="2465">
        <f>'Resume Analisa'!$D$35</f>
        <v>1193268.75</v>
      </c>
      <c r="J1107" s="2464">
        <f>E1107*I1107</f>
        <v>10500765</v>
      </c>
      <c r="K1107" s="2378" t="e">
        <f>IF(H1107=0,"",IF(J1107&lt;#REF!*H1107,"Timpang &lt;"&amp;TEXT(#REF!,"0%"),IF(J1107&gt;#REF!*H1107,"Timpang &gt;"&amp;TEXT(#REF!,"0%"),"Wajar")))</f>
        <v>#REF!</v>
      </c>
      <c r="L1107" s="2391">
        <v>1193268.75</v>
      </c>
      <c r="M1107" s="2391">
        <f>E1107*L1107</f>
        <v>10500765</v>
      </c>
      <c r="N1107" s="2375">
        <f t="shared" si="342"/>
        <v>4.586958249545867E-3</v>
      </c>
      <c r="O1107" s="2375">
        <v>0</v>
      </c>
      <c r="P1107" s="2590"/>
      <c r="Q1107" s="2375">
        <f t="shared" si="318"/>
        <v>0</v>
      </c>
      <c r="R1107" s="2375">
        <f t="shared" si="317"/>
        <v>0</v>
      </c>
      <c r="S1107" s="2848"/>
      <c r="T1107" s="2378"/>
      <c r="U1107" s="2848"/>
      <c r="V1107" s="2848"/>
      <c r="W1107" s="2382">
        <f t="shared" si="343"/>
        <v>8.8000000000000007</v>
      </c>
      <c r="X1107" s="2590" t="s">
        <v>103</v>
      </c>
      <c r="Y1107" s="2375">
        <f t="shared" si="334"/>
        <v>1193268.75</v>
      </c>
      <c r="Z1107" s="2848"/>
      <c r="AA1107" s="2377"/>
    </row>
    <row r="1108" spans="1:27" ht="25" hidden="1" customHeight="1">
      <c r="A1108" s="2590">
        <f>A1104+1</f>
        <v>3</v>
      </c>
      <c r="B1108" s="2549" t="s">
        <v>408</v>
      </c>
      <c r="C1108" s="2674"/>
      <c r="D1108" s="2675"/>
      <c r="E1108" s="2676">
        <f>'13. Vol TPS'!$M$39</f>
        <v>6.1650000000000009</v>
      </c>
      <c r="F1108" s="2590" t="s">
        <v>100</v>
      </c>
      <c r="G1108" s="2473">
        <v>19151.18</v>
      </c>
      <c r="H1108" s="2389">
        <f>E1108*G1108</f>
        <v>118067.02470000002</v>
      </c>
      <c r="I1108" s="2474">
        <f>'Resume Analisa'!$D$48</f>
        <v>18790.969999999998</v>
      </c>
      <c r="J1108" s="2821">
        <f>E1108*I1108</f>
        <v>115846.33005</v>
      </c>
      <c r="K1108" s="2378" t="e">
        <f>IF(H1108=0,"",IF(J1108&lt;#REF!*H1108,"Timpang &lt;"&amp;TEXT(#REF!,"0%"),IF(J1108&gt;#REF!*H1108,"Timpang &gt;"&amp;TEXT(#REF!,"0%"),"Wajar")))</f>
        <v>#REF!</v>
      </c>
      <c r="L1108" s="2475">
        <v>18790.969999999998</v>
      </c>
      <c r="M1108" s="2391">
        <f>E1108*L1108</f>
        <v>115846.33005</v>
      </c>
      <c r="N1108" s="2375">
        <f t="shared" si="342"/>
        <v>5.0604149250312791E-5</v>
      </c>
      <c r="O1108" s="2375">
        <v>0</v>
      </c>
      <c r="P1108" s="2590"/>
      <c r="Q1108" s="2375">
        <f t="shared" si="318"/>
        <v>0</v>
      </c>
      <c r="R1108" s="2375">
        <f t="shared" si="317"/>
        <v>0</v>
      </c>
      <c r="S1108" s="2848"/>
      <c r="T1108" s="2378"/>
      <c r="U1108" s="2848"/>
      <c r="V1108" s="2848"/>
      <c r="W1108" s="2382">
        <f t="shared" si="343"/>
        <v>6.1650000000000009</v>
      </c>
      <c r="X1108" s="2590" t="s">
        <v>100</v>
      </c>
      <c r="Y1108" s="2375">
        <f t="shared" si="334"/>
        <v>18790.969999999998</v>
      </c>
      <c r="Z1108" s="2848"/>
      <c r="AA1108" s="2377"/>
    </row>
    <row r="1109" spans="1:27" ht="25" hidden="1" customHeight="1">
      <c r="A1109" s="2590">
        <f>A1108+1</f>
        <v>4</v>
      </c>
      <c r="B1109" s="2673" t="s">
        <v>409</v>
      </c>
      <c r="C1109" s="2674"/>
      <c r="D1109" s="2675"/>
      <c r="E1109" s="2676"/>
      <c r="F1109" s="2590"/>
      <c r="G1109" s="2389"/>
      <c r="H1109" s="2389"/>
      <c r="I1109" s="2465"/>
      <c r="J1109" s="2464"/>
      <c r="K1109" s="2389"/>
      <c r="L1109" s="2391"/>
      <c r="M1109" s="2391"/>
      <c r="N1109" s="2375">
        <f t="shared" si="342"/>
        <v>0</v>
      </c>
      <c r="O1109" s="2375">
        <v>0</v>
      </c>
      <c r="P1109" s="2590"/>
      <c r="Q1109" s="2375">
        <f t="shared" si="318"/>
        <v>0</v>
      </c>
      <c r="R1109" s="2375">
        <f t="shared" si="317"/>
        <v>0</v>
      </c>
      <c r="S1109" s="2848"/>
      <c r="T1109" s="2378"/>
      <c r="U1109" s="2848"/>
      <c r="V1109" s="2848"/>
      <c r="W1109" s="2382">
        <f t="shared" si="343"/>
        <v>0</v>
      </c>
      <c r="X1109" s="2590"/>
      <c r="Y1109" s="2375">
        <f t="shared" si="334"/>
        <v>0</v>
      </c>
      <c r="Z1109" s="2848"/>
      <c r="AA1109" s="2377"/>
    </row>
    <row r="1110" spans="1:27" ht="25" hidden="1" customHeight="1">
      <c r="A1110" s="2797" t="s">
        <v>95</v>
      </c>
      <c r="B1110" s="2561" t="s">
        <v>221</v>
      </c>
      <c r="C1110" s="2674"/>
      <c r="D1110" s="2675"/>
      <c r="E1110" s="2676">
        <f>'13. Vol TPS'!$M$44</f>
        <v>12</v>
      </c>
      <c r="F1110" s="2590" t="s">
        <v>89</v>
      </c>
      <c r="G1110" s="2389">
        <v>230885.5</v>
      </c>
      <c r="H1110" s="2389">
        <f>E1110*G1110</f>
        <v>2770626</v>
      </c>
      <c r="I1110" s="2465">
        <f>'Resume Analisa'!$D$39</f>
        <v>232328.86000000002</v>
      </c>
      <c r="J1110" s="2464">
        <f>E1110*I1110</f>
        <v>2787946.3200000003</v>
      </c>
      <c r="K1110" s="2378" t="e">
        <f>IF(H1110=0,"",IF(J1110&lt;#REF!*H1110,"Timpang &lt;"&amp;TEXT(#REF!,"0%"),IF(J1110&gt;#REF!*H1110,"Timpang &gt;"&amp;TEXT(#REF!,"0%"),"Wajar")))</f>
        <v>#REF!</v>
      </c>
      <c r="L1110" s="2391">
        <v>232328.86000000002</v>
      </c>
      <c r="M1110" s="2391">
        <f>E1110*L1110</f>
        <v>2787946.3200000003</v>
      </c>
      <c r="N1110" s="2375">
        <f t="shared" si="342"/>
        <v>1.2178344503295754E-3</v>
      </c>
      <c r="O1110" s="2375">
        <v>0</v>
      </c>
      <c r="P1110" s="2590"/>
      <c r="Q1110" s="2375">
        <f t="shared" si="318"/>
        <v>0</v>
      </c>
      <c r="R1110" s="2375">
        <f t="shared" ref="R1110:R1173" si="344">Q1110/$M$8*100</f>
        <v>0</v>
      </c>
      <c r="S1110" s="2848"/>
      <c r="T1110" s="2378"/>
      <c r="U1110" s="2848"/>
      <c r="V1110" s="2848"/>
      <c r="W1110" s="2382">
        <f t="shared" si="343"/>
        <v>12</v>
      </c>
      <c r="X1110" s="2590" t="s">
        <v>89</v>
      </c>
      <c r="Y1110" s="2375">
        <f t="shared" si="334"/>
        <v>232328.86000000002</v>
      </c>
      <c r="Z1110" s="2848"/>
      <c r="AA1110" s="2377"/>
    </row>
    <row r="1111" spans="1:27" ht="25" hidden="1" customHeight="1">
      <c r="A1111" s="2797" t="s">
        <v>98</v>
      </c>
      <c r="B1111" s="2673" t="s">
        <v>410</v>
      </c>
      <c r="C1111" s="2674"/>
      <c r="D1111" s="2675"/>
      <c r="E1111" s="2676">
        <f>'13. Vol TPS'!$M$48</f>
        <v>61.650000000000006</v>
      </c>
      <c r="F1111" s="2590" t="s">
        <v>100</v>
      </c>
      <c r="G1111" s="2389">
        <v>19151.18</v>
      </c>
      <c r="H1111" s="2389">
        <f>E1111*G1111</f>
        <v>1180670.2470000002</v>
      </c>
      <c r="I1111" s="2465">
        <f>'Resume Analisa'!$D$48</f>
        <v>18790.969999999998</v>
      </c>
      <c r="J1111" s="2464">
        <f>E1111*I1111</f>
        <v>1158463.3004999999</v>
      </c>
      <c r="K1111" s="2378" t="e">
        <f>IF(H1111=0,"",IF(J1111&lt;#REF!*H1111,"Timpang &lt;"&amp;TEXT(#REF!,"0%"),IF(J1111&gt;#REF!*H1111,"Timpang &gt;"&amp;TEXT(#REF!,"0%"),"Wajar")))</f>
        <v>#REF!</v>
      </c>
      <c r="L1111" s="2391">
        <v>18790.969999999998</v>
      </c>
      <c r="M1111" s="2391">
        <f>E1111*L1111</f>
        <v>1158463.3004999999</v>
      </c>
      <c r="N1111" s="2375">
        <f t="shared" si="342"/>
        <v>5.0604149250312784E-4</v>
      </c>
      <c r="O1111" s="2375">
        <v>0</v>
      </c>
      <c r="P1111" s="2590"/>
      <c r="Q1111" s="2375">
        <f t="shared" si="318"/>
        <v>0</v>
      </c>
      <c r="R1111" s="2375">
        <f t="shared" si="344"/>
        <v>0</v>
      </c>
      <c r="S1111" s="2848"/>
      <c r="T1111" s="2378"/>
      <c r="U1111" s="2848"/>
      <c r="V1111" s="2848"/>
      <c r="W1111" s="2382">
        <f t="shared" si="343"/>
        <v>61.650000000000006</v>
      </c>
      <c r="X1111" s="2590" t="s">
        <v>100</v>
      </c>
      <c r="Y1111" s="2375">
        <f t="shared" si="334"/>
        <v>18790.969999999998</v>
      </c>
      <c r="Z1111" s="2848"/>
      <c r="AA1111" s="2377"/>
    </row>
    <row r="1112" spans="1:27" ht="25" hidden="1" customHeight="1">
      <c r="A1112" s="2797" t="s">
        <v>101</v>
      </c>
      <c r="B1112" s="2673" t="s">
        <v>411</v>
      </c>
      <c r="C1112" s="2674"/>
      <c r="D1112" s="2675"/>
      <c r="E1112" s="2676">
        <f>'13. Vol TPS'!$M$52</f>
        <v>55.554048000000009</v>
      </c>
      <c r="F1112" s="2590" t="s">
        <v>100</v>
      </c>
      <c r="G1112" s="2389">
        <v>19151.18</v>
      </c>
      <c r="H1112" s="2389">
        <f>E1112*G1112</f>
        <v>1063925.5729766402</v>
      </c>
      <c r="I1112" s="2465">
        <f>'Resume Analisa'!$D$48</f>
        <v>18790.969999999998</v>
      </c>
      <c r="J1112" s="2464">
        <f>E1112*I1112</f>
        <v>1043914.4493465601</v>
      </c>
      <c r="K1112" s="2378" t="e">
        <f>IF(H1112=0,"",IF(J1112&lt;#REF!*H1112,"Timpang &lt;"&amp;TEXT(#REF!,"0%"),IF(J1112&gt;#REF!*H1112,"Timpang &gt;"&amp;TEXT(#REF!,"0%"),"Wajar")))</f>
        <v>#REF!</v>
      </c>
      <c r="L1112" s="2391">
        <v>18790.969999999998</v>
      </c>
      <c r="M1112" s="2391">
        <f>E1112*L1112</f>
        <v>1043914.4493465601</v>
      </c>
      <c r="N1112" s="2375">
        <f t="shared" si="342"/>
        <v>4.5600410972441866E-4</v>
      </c>
      <c r="O1112" s="2375">
        <v>0</v>
      </c>
      <c r="P1112" s="2590"/>
      <c r="Q1112" s="2375">
        <f t="shared" si="318"/>
        <v>0</v>
      </c>
      <c r="R1112" s="2375">
        <f t="shared" si="344"/>
        <v>0</v>
      </c>
      <c r="S1112" s="2848"/>
      <c r="T1112" s="2697"/>
      <c r="U1112" s="2848"/>
      <c r="V1112" s="2848"/>
      <c r="W1112" s="2382">
        <f t="shared" si="343"/>
        <v>55.554048000000009</v>
      </c>
      <c r="X1112" s="2590" t="s">
        <v>100</v>
      </c>
      <c r="Y1112" s="2375">
        <f t="shared" si="334"/>
        <v>18790.969999999998</v>
      </c>
      <c r="Z1112" s="2848"/>
      <c r="AA1112" s="2377"/>
    </row>
    <row r="1113" spans="1:27" ht="25" hidden="1" customHeight="1">
      <c r="A1113" s="2797" t="s">
        <v>121</v>
      </c>
      <c r="B1113" s="2673" t="s">
        <v>420</v>
      </c>
      <c r="C1113" s="2674"/>
      <c r="D1113" s="2675"/>
      <c r="E1113" s="2676">
        <f>'13. Vol TPS'!$M$61</f>
        <v>1.5</v>
      </c>
      <c r="F1113" s="2590" t="s">
        <v>103</v>
      </c>
      <c r="G1113" s="2389">
        <v>1584129.98</v>
      </c>
      <c r="H1113" s="2389">
        <f>E1113*G1113</f>
        <v>2376194.9699999997</v>
      </c>
      <c r="I1113" s="2465">
        <f>'Resume Analisa'!$D$55</f>
        <v>1535009.1300000001</v>
      </c>
      <c r="J1113" s="2821">
        <f>E1113*I1113</f>
        <v>2302513.6950000003</v>
      </c>
      <c r="K1113" s="2378" t="e">
        <f>IF(H1113=0,"",IF(J1113&lt;#REF!*H1113,"Timpang &lt;"&amp;TEXT(#REF!,"0%"),IF(J1113&gt;#REF!*H1113,"Timpang &gt;"&amp;TEXT(#REF!,"0%"),"Wajar")))</f>
        <v>#REF!</v>
      </c>
      <c r="L1113" s="2391">
        <v>1535009.1300000001</v>
      </c>
      <c r="M1113" s="2391">
        <f>E1113*L1113</f>
        <v>2302513.6950000003</v>
      </c>
      <c r="N1113" s="2375">
        <f t="shared" si="342"/>
        <v>1.0057871200786408E-3</v>
      </c>
      <c r="O1113" s="2375">
        <v>0</v>
      </c>
      <c r="P1113" s="2590"/>
      <c r="Q1113" s="2375">
        <f t="shared" si="318"/>
        <v>0</v>
      </c>
      <c r="R1113" s="2375">
        <f t="shared" si="344"/>
        <v>0</v>
      </c>
      <c r="S1113" s="2848"/>
      <c r="T1113" s="2796"/>
      <c r="U1113" s="2848"/>
      <c r="V1113" s="2848"/>
      <c r="W1113" s="2382">
        <f t="shared" si="343"/>
        <v>1.5</v>
      </c>
      <c r="X1113" s="2590" t="s">
        <v>103</v>
      </c>
      <c r="Y1113" s="2375">
        <f t="shared" si="334"/>
        <v>1535009.1300000001</v>
      </c>
      <c r="Z1113" s="2848"/>
      <c r="AA1113" s="2377"/>
    </row>
    <row r="1114" spans="1:27" ht="25" hidden="1" customHeight="1">
      <c r="A1114" s="2590">
        <f>A1109+1</f>
        <v>5</v>
      </c>
      <c r="B1114" s="2673" t="s">
        <v>648</v>
      </c>
      <c r="C1114" s="2674"/>
      <c r="D1114" s="2675"/>
      <c r="E1114" s="2676"/>
      <c r="F1114" s="2590"/>
      <c r="G1114" s="2389"/>
      <c r="H1114" s="2389"/>
      <c r="I1114" s="2480"/>
      <c r="J1114" s="2779"/>
      <c r="K1114" s="2389"/>
      <c r="L1114" s="2391"/>
      <c r="M1114" s="2391"/>
      <c r="N1114" s="2375">
        <f t="shared" si="342"/>
        <v>0</v>
      </c>
      <c r="O1114" s="2375">
        <v>0</v>
      </c>
      <c r="P1114" s="2590"/>
      <c r="Q1114" s="2375">
        <f t="shared" si="318"/>
        <v>0</v>
      </c>
      <c r="R1114" s="2375">
        <f t="shared" si="344"/>
        <v>0</v>
      </c>
      <c r="S1114" s="2848"/>
      <c r="T1114" s="2590"/>
      <c r="U1114" s="2848"/>
      <c r="V1114" s="2848"/>
      <c r="W1114" s="2382">
        <f t="shared" si="343"/>
        <v>0</v>
      </c>
      <c r="X1114" s="2590"/>
      <c r="Y1114" s="2375">
        <f t="shared" si="334"/>
        <v>0</v>
      </c>
      <c r="Z1114" s="2848"/>
      <c r="AA1114" s="2377"/>
    </row>
    <row r="1115" spans="1:27" ht="25" hidden="1" customHeight="1">
      <c r="A1115" s="2797" t="s">
        <v>95</v>
      </c>
      <c r="B1115" s="2673" t="s">
        <v>812</v>
      </c>
      <c r="C1115" s="2674"/>
      <c r="D1115" s="2675"/>
      <c r="E1115" s="2676"/>
      <c r="F1115" s="2590"/>
      <c r="G1115" s="2389"/>
      <c r="H1115" s="2389"/>
      <c r="I1115" s="2480"/>
      <c r="J1115" s="2779"/>
      <c r="K1115" s="2389"/>
      <c r="L1115" s="2391"/>
      <c r="M1115" s="2391"/>
      <c r="N1115" s="2375">
        <f t="shared" si="342"/>
        <v>0</v>
      </c>
      <c r="O1115" s="2375">
        <v>0</v>
      </c>
      <c r="P1115" s="2590"/>
      <c r="Q1115" s="2375">
        <f t="shared" si="318"/>
        <v>0</v>
      </c>
      <c r="R1115" s="2375">
        <f t="shared" si="344"/>
        <v>0</v>
      </c>
      <c r="S1115" s="2848"/>
      <c r="T1115" s="2590"/>
      <c r="U1115" s="2848"/>
      <c r="V1115" s="2848"/>
      <c r="W1115" s="2382">
        <f t="shared" si="343"/>
        <v>0</v>
      </c>
      <c r="X1115" s="2590"/>
      <c r="Y1115" s="2375">
        <f t="shared" si="334"/>
        <v>0</v>
      </c>
      <c r="Z1115" s="2848"/>
      <c r="AA1115" s="2377"/>
    </row>
    <row r="1116" spans="1:27" ht="25" hidden="1" customHeight="1">
      <c r="A1116" s="2797"/>
      <c r="B1116" s="2554" t="s">
        <v>813</v>
      </c>
      <c r="C1116" s="2550"/>
      <c r="D1116" s="2551"/>
      <c r="E1116" s="2852">
        <f>'13. Vol TPS'!$M$64</f>
        <v>0.2</v>
      </c>
      <c r="F1116" s="2398" t="s">
        <v>103</v>
      </c>
      <c r="G1116" s="2389">
        <v>50600</v>
      </c>
      <c r="H1116" s="2389">
        <f t="shared" ref="H1116:H1122" si="345">E1116*G1116</f>
        <v>10120</v>
      </c>
      <c r="I1116" s="2465">
        <f>'Resume Analisa'!$D$18</f>
        <v>49036.76</v>
      </c>
      <c r="J1116" s="2821">
        <f>E1116*I1116</f>
        <v>9807.3520000000008</v>
      </c>
      <c r="K1116" s="2378" t="e">
        <f>IF(H1116=0,"",IF(J1116&lt;#REF!*H1116,"Timpang &lt;"&amp;TEXT(#REF!,"0%"),IF(J1116&gt;#REF!*H1116,"Timpang &gt;"&amp;TEXT(#REF!,"0%"),"Wajar")))</f>
        <v>#REF!</v>
      </c>
      <c r="L1116" s="2391">
        <v>49036.76</v>
      </c>
      <c r="M1116" s="2391">
        <f t="shared" ref="M1116:M1122" si="346">E1116*L1116</f>
        <v>9807.3520000000008</v>
      </c>
      <c r="N1116" s="2375">
        <f t="shared" si="342"/>
        <v>4.2840606529714894E-6</v>
      </c>
      <c r="O1116" s="2375">
        <v>0</v>
      </c>
      <c r="P1116" s="2398"/>
      <c r="Q1116" s="2375">
        <f t="shared" si="318"/>
        <v>0</v>
      </c>
      <c r="R1116" s="2375">
        <f t="shared" si="344"/>
        <v>0</v>
      </c>
      <c r="S1116" s="2848"/>
      <c r="T1116" s="2590"/>
      <c r="U1116" s="2848"/>
      <c r="V1116" s="2848"/>
      <c r="W1116" s="2382">
        <f t="shared" si="343"/>
        <v>0.2</v>
      </c>
      <c r="X1116" s="2398" t="s">
        <v>103</v>
      </c>
      <c r="Y1116" s="2375">
        <f t="shared" si="334"/>
        <v>49036.76</v>
      </c>
      <c r="Z1116" s="2848"/>
      <c r="AA1116" s="2377"/>
    </row>
    <row r="1117" spans="1:27" ht="25" hidden="1" customHeight="1">
      <c r="A1117" s="2590"/>
      <c r="B1117" s="2629" t="s">
        <v>814</v>
      </c>
      <c r="C1117" s="2608"/>
      <c r="D1117" s="2609"/>
      <c r="E1117" s="2852">
        <f>'13. Vol TPS'!$M$65</f>
        <v>3.9</v>
      </c>
      <c r="F1117" s="2611" t="s">
        <v>89</v>
      </c>
      <c r="G1117" s="2389">
        <v>166165.41</v>
      </c>
      <c r="H1117" s="2389">
        <f t="shared" si="345"/>
        <v>648045.09900000005</v>
      </c>
      <c r="I1117" s="2465">
        <f>'Resume Analisa'!$D$69</f>
        <v>161086.38</v>
      </c>
      <c r="J1117" s="2821">
        <f>E1117*I1117</f>
        <v>628236.88199999998</v>
      </c>
      <c r="K1117" s="2378" t="e">
        <f>IF(H1117=0,"",IF(J1117&lt;#REF!*H1117,"Timpang &lt;"&amp;TEXT(#REF!,"0%"),IF(J1117&gt;#REF!*H1117,"Timpang &gt;"&amp;TEXT(#REF!,"0%"),"Wajar")))</f>
        <v>#REF!</v>
      </c>
      <c r="L1117" s="2391">
        <v>161086.38</v>
      </c>
      <c r="M1117" s="2391">
        <f t="shared" si="346"/>
        <v>628236.88199999998</v>
      </c>
      <c r="N1117" s="2375">
        <f t="shared" si="342"/>
        <v>2.7442727730397486E-4</v>
      </c>
      <c r="O1117" s="2375">
        <v>0</v>
      </c>
      <c r="P1117" s="2611"/>
      <c r="Q1117" s="2375">
        <f t="shared" ref="Q1117:Q1180" si="347">O1117*L1117</f>
        <v>0</v>
      </c>
      <c r="R1117" s="2375">
        <f t="shared" si="344"/>
        <v>0</v>
      </c>
      <c r="S1117" s="2848"/>
      <c r="T1117" s="2590"/>
      <c r="U1117" s="2848"/>
      <c r="V1117" s="2848"/>
      <c r="W1117" s="2382">
        <f t="shared" si="343"/>
        <v>3.9</v>
      </c>
      <c r="X1117" s="2611" t="s">
        <v>89</v>
      </c>
      <c r="Y1117" s="2375">
        <f t="shared" si="334"/>
        <v>161086.38</v>
      </c>
      <c r="Z1117" s="2848"/>
      <c r="AA1117" s="2377"/>
    </row>
    <row r="1118" spans="1:27" ht="25" hidden="1" customHeight="1">
      <c r="A1118" s="2797" t="s">
        <v>98</v>
      </c>
      <c r="B1118" s="2673" t="s">
        <v>413</v>
      </c>
      <c r="C1118" s="2674"/>
      <c r="D1118" s="2675"/>
      <c r="E1118" s="2676">
        <f>'13. Vol TPS'!$M$66</f>
        <v>4.1039999999999992</v>
      </c>
      <c r="F1118" s="2590" t="s">
        <v>103</v>
      </c>
      <c r="G1118" s="2389">
        <v>200606.23</v>
      </c>
      <c r="H1118" s="2389">
        <f t="shared" si="345"/>
        <v>823287.96791999985</v>
      </c>
      <c r="I1118" s="2480">
        <f>'Resume Analisa'!$D$24</f>
        <v>189662.29</v>
      </c>
      <c r="J1118" s="2779">
        <f>I1118*E1118</f>
        <v>778374.03815999988</v>
      </c>
      <c r="K1118" s="2378" t="e">
        <f>IF(H1118=0,"",IF(J1118&lt;#REF!*H1118,"Timpang &lt;"&amp;TEXT(#REF!,"0%"),IF(J1118&gt;#REF!*H1118,"Timpang &gt;"&amp;TEXT(#REF!,"0%"),"Wajar")))</f>
        <v>#REF!</v>
      </c>
      <c r="L1118" s="2391">
        <v>189662.29</v>
      </c>
      <c r="M1118" s="2391">
        <f t="shared" si="346"/>
        <v>778374.03815999988</v>
      </c>
      <c r="N1118" s="2375">
        <f t="shared" si="342"/>
        <v>3.4001039120200684E-4</v>
      </c>
      <c r="O1118" s="2375">
        <v>0</v>
      </c>
      <c r="P1118" s="2590"/>
      <c r="Q1118" s="2375">
        <f t="shared" si="347"/>
        <v>0</v>
      </c>
      <c r="R1118" s="2375">
        <f t="shared" si="344"/>
        <v>0</v>
      </c>
      <c r="S1118" s="2848"/>
      <c r="T1118" s="2590"/>
      <c r="U1118" s="2848"/>
      <c r="V1118" s="2848"/>
      <c r="W1118" s="2382">
        <f t="shared" si="343"/>
        <v>4.1039999999999992</v>
      </c>
      <c r="X1118" s="2590" t="s">
        <v>103</v>
      </c>
      <c r="Y1118" s="2375">
        <f t="shared" si="334"/>
        <v>189662.29</v>
      </c>
      <c r="Z1118" s="2848"/>
      <c r="AA1118" s="2377"/>
    </row>
    <row r="1119" spans="1:27" ht="25" hidden="1" customHeight="1">
      <c r="A1119" s="2797" t="s">
        <v>101</v>
      </c>
      <c r="B1119" s="2673" t="s">
        <v>475</v>
      </c>
      <c r="C1119" s="2674"/>
      <c r="D1119" s="2675"/>
      <c r="E1119" s="2676">
        <f>'13. Vol TPS'!$M$67</f>
        <v>4.1039999999999992</v>
      </c>
      <c r="F1119" s="2590" t="s">
        <v>103</v>
      </c>
      <c r="G1119" s="2389">
        <v>39847.5</v>
      </c>
      <c r="H1119" s="2389">
        <f t="shared" si="345"/>
        <v>163534.13999999996</v>
      </c>
      <c r="I1119" s="2480">
        <f>'Resume Analisa'!$D$31</f>
        <v>37946.620000000003</v>
      </c>
      <c r="J1119" s="2779">
        <f>I1119*E1119</f>
        <v>155732.92847999997</v>
      </c>
      <c r="K1119" s="2378" t="e">
        <f>IF(H1119=0,"",IF(J1119&lt;#REF!*H1119,"Timpang &lt;"&amp;TEXT(#REF!,"0%"),IF(J1119&gt;#REF!*H1119,"Timpang &gt;"&amp;TEXT(#REF!,"0%"),"Wajar")))</f>
        <v>#REF!</v>
      </c>
      <c r="L1119" s="2391">
        <v>37946.620000000003</v>
      </c>
      <c r="M1119" s="2391">
        <f t="shared" si="346"/>
        <v>155732.92847999997</v>
      </c>
      <c r="N1119" s="2375">
        <f t="shared" si="342"/>
        <v>6.8027466667168766E-5</v>
      </c>
      <c r="O1119" s="2375">
        <v>0</v>
      </c>
      <c r="P1119" s="2590"/>
      <c r="Q1119" s="2375">
        <f t="shared" si="347"/>
        <v>0</v>
      </c>
      <c r="R1119" s="2375">
        <f t="shared" si="344"/>
        <v>0</v>
      </c>
      <c r="S1119" s="2848"/>
      <c r="T1119" s="2590"/>
      <c r="U1119" s="2848"/>
      <c r="V1119" s="2848"/>
      <c r="W1119" s="2382">
        <f t="shared" si="343"/>
        <v>4.1039999999999992</v>
      </c>
      <c r="X1119" s="2590" t="s">
        <v>103</v>
      </c>
      <c r="Y1119" s="2375">
        <f t="shared" si="334"/>
        <v>37946.620000000003</v>
      </c>
      <c r="Z1119" s="2848"/>
      <c r="AA1119" s="2377"/>
    </row>
    <row r="1120" spans="1:27" ht="25" hidden="1" customHeight="1">
      <c r="A1120" s="2797" t="s">
        <v>121</v>
      </c>
      <c r="B1120" s="2673" t="s">
        <v>815</v>
      </c>
      <c r="C1120" s="2674"/>
      <c r="D1120" s="2632"/>
      <c r="E1120" s="2676">
        <f>'13. Vol TPS'!$M$68</f>
        <v>1.1399999999999999</v>
      </c>
      <c r="F1120" s="2590" t="s">
        <v>103</v>
      </c>
      <c r="G1120" s="2389">
        <v>507759.96</v>
      </c>
      <c r="H1120" s="2389">
        <f t="shared" si="345"/>
        <v>578846.35439999995</v>
      </c>
      <c r="I1120" s="2465">
        <f>'Resume Analisa'!$D$26</f>
        <v>475358.64</v>
      </c>
      <c r="J1120" s="2692">
        <f>I1120*E1120</f>
        <v>541908.84959999996</v>
      </c>
      <c r="K1120" s="2378" t="e">
        <f>IF(H1120=0,"",IF(J1120&lt;#REF!*H1120,"Timpang &lt;"&amp;TEXT(#REF!,"0%"),IF(J1120&gt;#REF!*H1120,"Timpang &gt;"&amp;TEXT(#REF!,"0%"),"Wajar")))</f>
        <v>#REF!</v>
      </c>
      <c r="L1120" s="2391">
        <v>475358.64</v>
      </c>
      <c r="M1120" s="2391">
        <f t="shared" si="346"/>
        <v>541908.84959999996</v>
      </c>
      <c r="N1120" s="2375">
        <f t="shared" si="342"/>
        <v>2.3671735041919616E-4</v>
      </c>
      <c r="O1120" s="2375">
        <v>0</v>
      </c>
      <c r="P1120" s="2590"/>
      <c r="Q1120" s="2375">
        <f t="shared" si="347"/>
        <v>0</v>
      </c>
      <c r="R1120" s="2375">
        <f t="shared" si="344"/>
        <v>0</v>
      </c>
      <c r="S1120" s="2848"/>
      <c r="T1120" s="2590"/>
      <c r="U1120" s="2848"/>
      <c r="V1120" s="2848"/>
      <c r="W1120" s="2382">
        <f t="shared" si="343"/>
        <v>1.1399999999999999</v>
      </c>
      <c r="X1120" s="2590" t="s">
        <v>103</v>
      </c>
      <c r="Y1120" s="2375">
        <f t="shared" si="334"/>
        <v>475358.64</v>
      </c>
      <c r="Z1120" s="2848"/>
      <c r="AA1120" s="2377"/>
    </row>
    <row r="1121" spans="1:27" ht="25" hidden="1" customHeight="1">
      <c r="A1121" s="2797" t="s">
        <v>142</v>
      </c>
      <c r="B1121" s="2673" t="s">
        <v>648</v>
      </c>
      <c r="C1121" s="2674"/>
      <c r="D1121" s="2675"/>
      <c r="E1121" s="2676">
        <f>'13. Vol TPS'!$M$69</f>
        <v>1.5959999999999999</v>
      </c>
      <c r="F1121" s="2590" t="s">
        <v>103</v>
      </c>
      <c r="G1121" s="2389">
        <v>1422226.08</v>
      </c>
      <c r="H1121" s="2389">
        <f t="shared" si="345"/>
        <v>2269872.8236799999</v>
      </c>
      <c r="I1121" s="2480">
        <f>'Resume Analisa'!$D$54</f>
        <v>1384580.76</v>
      </c>
      <c r="J1121" s="2779">
        <f>I1121*E1121</f>
        <v>2209790.8929599999</v>
      </c>
      <c r="K1121" s="2378" t="e">
        <f>IF(H1121=0,"",IF(J1121&lt;#REF!*H1121,"Timpang &lt;"&amp;TEXT(#REF!,"0%"),IF(J1121&gt;#REF!*H1121,"Timpang &gt;"&amp;TEXT(#REF!,"0%"),"Wajar")))</f>
        <v>#REF!</v>
      </c>
      <c r="L1121" s="2391">
        <v>1384580.76</v>
      </c>
      <c r="M1121" s="2391">
        <f t="shared" si="346"/>
        <v>2209790.8929599999</v>
      </c>
      <c r="N1121" s="2375">
        <f t="shared" si="342"/>
        <v>9.6528382134389258E-4</v>
      </c>
      <c r="O1121" s="2375">
        <v>0</v>
      </c>
      <c r="P1121" s="2590"/>
      <c r="Q1121" s="2375">
        <f t="shared" si="347"/>
        <v>0</v>
      </c>
      <c r="R1121" s="2375">
        <f t="shared" si="344"/>
        <v>0</v>
      </c>
      <c r="S1121" s="2848"/>
      <c r="T1121" s="2590"/>
      <c r="U1121" s="2848"/>
      <c r="V1121" s="2848"/>
      <c r="W1121" s="2382">
        <f t="shared" si="343"/>
        <v>1.5959999999999999</v>
      </c>
      <c r="X1121" s="2590" t="s">
        <v>103</v>
      </c>
      <c r="Y1121" s="2375">
        <f t="shared" si="334"/>
        <v>1384580.76</v>
      </c>
      <c r="Z1121" s="2848"/>
      <c r="AA1121" s="2377"/>
    </row>
    <row r="1122" spans="1:27" ht="25" hidden="1" customHeight="1">
      <c r="A1122" s="2797" t="s">
        <v>217</v>
      </c>
      <c r="B1122" s="2673" t="s">
        <v>816</v>
      </c>
      <c r="C1122" s="2674"/>
      <c r="D1122" s="2675"/>
      <c r="E1122" s="2676">
        <f>'13. Vol TPS'!$M$70</f>
        <v>22.799999999999997</v>
      </c>
      <c r="F1122" s="2590" t="s">
        <v>89</v>
      </c>
      <c r="G1122" s="2389">
        <v>45612.170000000006</v>
      </c>
      <c r="H1122" s="2389">
        <f t="shared" si="345"/>
        <v>1039957.476</v>
      </c>
      <c r="I1122" s="2567">
        <f>'Resume Analisa'!$D$72</f>
        <v>43813.91</v>
      </c>
      <c r="J1122" s="2464">
        <f>E1122*I1122</f>
        <v>998957.14799999993</v>
      </c>
      <c r="K1122" s="2378" t="e">
        <f>IF(H1122=0,"",IF(J1122&lt;#REF!*H1122,"Timpang &lt;"&amp;TEXT(#REF!,"0%"),IF(J1122&gt;#REF!*H1122,"Timpang &gt;"&amp;TEXT(#REF!,"0%"),"Wajar")))</f>
        <v>#REF!</v>
      </c>
      <c r="L1122" s="2391">
        <v>43813.91</v>
      </c>
      <c r="M1122" s="2391">
        <f t="shared" si="346"/>
        <v>998957.14799999993</v>
      </c>
      <c r="N1122" s="2375">
        <f t="shared" si="342"/>
        <v>4.3636580105939056E-4</v>
      </c>
      <c r="O1122" s="2375">
        <v>0</v>
      </c>
      <c r="P1122" s="2590"/>
      <c r="Q1122" s="2375">
        <f t="shared" si="347"/>
        <v>0</v>
      </c>
      <c r="R1122" s="2375">
        <f t="shared" si="344"/>
        <v>0</v>
      </c>
      <c r="S1122" s="2848"/>
      <c r="T1122" s="2590"/>
      <c r="U1122" s="2848"/>
      <c r="V1122" s="2848"/>
      <c r="W1122" s="2382">
        <f t="shared" si="343"/>
        <v>22.799999999999997</v>
      </c>
      <c r="X1122" s="2590" t="s">
        <v>89</v>
      </c>
      <c r="Y1122" s="2375">
        <f t="shared" si="334"/>
        <v>43813.91</v>
      </c>
      <c r="Z1122" s="2848"/>
      <c r="AA1122" s="2377"/>
    </row>
    <row r="1123" spans="1:27" ht="25" hidden="1" customHeight="1">
      <c r="A1123" s="2590">
        <f>A1114+1</f>
        <v>6</v>
      </c>
      <c r="B1123" s="2673" t="s">
        <v>552</v>
      </c>
      <c r="C1123" s="2674"/>
      <c r="D1123" s="2675"/>
      <c r="E1123" s="2676"/>
      <c r="F1123" s="2590"/>
      <c r="G1123" s="2389"/>
      <c r="H1123" s="2389"/>
      <c r="I1123" s="2465"/>
      <c r="J1123" s="2464"/>
      <c r="K1123" s="2389"/>
      <c r="L1123" s="2391"/>
      <c r="M1123" s="2391"/>
      <c r="N1123" s="2375">
        <f t="shared" si="342"/>
        <v>0</v>
      </c>
      <c r="O1123" s="2375">
        <v>0</v>
      </c>
      <c r="P1123" s="2590"/>
      <c r="Q1123" s="2375">
        <f t="shared" si="347"/>
        <v>0</v>
      </c>
      <c r="R1123" s="2375">
        <f t="shared" si="344"/>
        <v>0</v>
      </c>
      <c r="S1123" s="2848"/>
      <c r="T1123" s="2590"/>
      <c r="U1123" s="2848"/>
      <c r="V1123" s="2848"/>
      <c r="W1123" s="2382">
        <f t="shared" si="343"/>
        <v>0</v>
      </c>
      <c r="X1123" s="2590"/>
      <c r="Y1123" s="2375">
        <f t="shared" si="334"/>
        <v>0</v>
      </c>
      <c r="Z1123" s="2848"/>
      <c r="AA1123" s="2377"/>
    </row>
    <row r="1124" spans="1:27" ht="25" hidden="1" customHeight="1">
      <c r="A1124" s="2797" t="s">
        <v>95</v>
      </c>
      <c r="B1124" s="2673" t="s">
        <v>106</v>
      </c>
      <c r="C1124" s="2674"/>
      <c r="D1124" s="2675"/>
      <c r="E1124" s="2676">
        <f>'13. Vol TPS'!$M$82</f>
        <v>14.639999999999999</v>
      </c>
      <c r="F1124" s="2590" t="s">
        <v>89</v>
      </c>
      <c r="G1124" s="2389">
        <v>249883.29</v>
      </c>
      <c r="H1124" s="2389">
        <f>E1124*G1124</f>
        <v>3658291.3655999997</v>
      </c>
      <c r="I1124" s="2465">
        <f>'Resume Analisa'!$D$40</f>
        <v>245946.97</v>
      </c>
      <c r="J1124" s="2464">
        <f>E1124*I1124</f>
        <v>3600663.6407999997</v>
      </c>
      <c r="K1124" s="2378" t="e">
        <f>IF(H1124=0,"",IF(J1124&lt;#REF!*H1124,"Timpang &lt;"&amp;TEXT(#REF!,"0%"),IF(J1124&gt;#REF!*H1124,"Timpang &gt;"&amp;TEXT(#REF!,"0%"),"Wajar")))</f>
        <v>#REF!</v>
      </c>
      <c r="L1124" s="2391">
        <v>245946.97</v>
      </c>
      <c r="M1124" s="2391">
        <f>E1124*L1124</f>
        <v>3600663.6407999997</v>
      </c>
      <c r="N1124" s="2375">
        <f t="shared" si="342"/>
        <v>1.5728467203110837E-3</v>
      </c>
      <c r="O1124" s="2375">
        <v>0</v>
      </c>
      <c r="P1124" s="2590"/>
      <c r="Q1124" s="2375">
        <f t="shared" si="347"/>
        <v>0</v>
      </c>
      <c r="R1124" s="2375">
        <f t="shared" si="344"/>
        <v>0</v>
      </c>
      <c r="S1124" s="2848"/>
      <c r="T1124" s="2590"/>
      <c r="U1124" s="2848"/>
      <c r="V1124" s="2848"/>
      <c r="W1124" s="2382">
        <f t="shared" si="343"/>
        <v>14.639999999999999</v>
      </c>
      <c r="X1124" s="2590" t="s">
        <v>89</v>
      </c>
      <c r="Y1124" s="2375">
        <f t="shared" si="334"/>
        <v>245946.97</v>
      </c>
      <c r="Z1124" s="2848"/>
      <c r="AA1124" s="2377"/>
    </row>
    <row r="1125" spans="1:27" ht="25" hidden="1" customHeight="1">
      <c r="A1125" s="2797" t="s">
        <v>98</v>
      </c>
      <c r="B1125" s="2673" t="s">
        <v>817</v>
      </c>
      <c r="C1125" s="2674"/>
      <c r="D1125" s="2675"/>
      <c r="E1125" s="2676">
        <f>'13. Vol TPS'!$M$83</f>
        <v>65.102400000000003</v>
      </c>
      <c r="F1125" s="2590" t="s">
        <v>100</v>
      </c>
      <c r="G1125" s="2389">
        <v>19151.18</v>
      </c>
      <c r="H1125" s="2389">
        <f>E1125*G1125</f>
        <v>1246787.7808320001</v>
      </c>
      <c r="I1125" s="2465">
        <f>'Resume Analisa'!$D$48</f>
        <v>18790.969999999998</v>
      </c>
      <c r="J1125" s="2464">
        <f>E1125*I1125</f>
        <v>1223337.2453279998</v>
      </c>
      <c r="K1125" s="2378" t="e">
        <f>IF(H1125=0,"",IF(J1125&lt;#REF!*H1125,"Timpang &lt;"&amp;TEXT(#REF!,"0%"),IF(J1125&gt;#REF!*H1125,"Timpang &gt;"&amp;TEXT(#REF!,"0%"),"Wajar")))</f>
        <v>#REF!</v>
      </c>
      <c r="L1125" s="2391">
        <v>18790.969999999998</v>
      </c>
      <c r="M1125" s="2391">
        <f>E1125*L1125</f>
        <v>1223337.2453279998</v>
      </c>
      <c r="N1125" s="2375">
        <f t="shared" si="342"/>
        <v>5.3437981608330301E-4</v>
      </c>
      <c r="O1125" s="2375">
        <v>0</v>
      </c>
      <c r="P1125" s="2590"/>
      <c r="Q1125" s="2375">
        <f t="shared" si="347"/>
        <v>0</v>
      </c>
      <c r="R1125" s="2375">
        <f t="shared" si="344"/>
        <v>0</v>
      </c>
      <c r="S1125" s="2848"/>
      <c r="T1125" s="2590"/>
      <c r="U1125" s="2848"/>
      <c r="V1125" s="2848"/>
      <c r="W1125" s="2382">
        <f t="shared" si="343"/>
        <v>65.102400000000003</v>
      </c>
      <c r="X1125" s="2590" t="s">
        <v>100</v>
      </c>
      <c r="Y1125" s="2375">
        <f t="shared" si="334"/>
        <v>18790.969999999998</v>
      </c>
      <c r="Z1125" s="2848"/>
      <c r="AA1125" s="2377"/>
    </row>
    <row r="1126" spans="1:27" ht="25" hidden="1" customHeight="1">
      <c r="A1126" s="2797" t="s">
        <v>101</v>
      </c>
      <c r="B1126" s="2673" t="s">
        <v>411</v>
      </c>
      <c r="C1126" s="2674"/>
      <c r="D1126" s="2675"/>
      <c r="E1126" s="2676">
        <f>'13. Vol TPS'!$M$84</f>
        <v>39.456000000000003</v>
      </c>
      <c r="F1126" s="2590" t="s">
        <v>100</v>
      </c>
      <c r="G1126" s="2389">
        <v>19151.18</v>
      </c>
      <c r="H1126" s="2389">
        <f>E1126*G1126</f>
        <v>755628.95808000013</v>
      </c>
      <c r="I1126" s="2465">
        <f>'Resume Analisa'!$D$48</f>
        <v>18790.969999999998</v>
      </c>
      <c r="J1126" s="2464">
        <f>E1126*I1126</f>
        <v>741416.51231999998</v>
      </c>
      <c r="K1126" s="2378" t="e">
        <f>IF(H1126=0,"",IF(J1126&lt;#REF!*H1126,"Timpang &lt;"&amp;TEXT(#REF!,"0%"),IF(J1126&gt;#REF!*H1126,"Timpang &gt;"&amp;TEXT(#REF!,"0%"),"Wajar")))</f>
        <v>#REF!</v>
      </c>
      <c r="L1126" s="2391">
        <v>18790.969999999998</v>
      </c>
      <c r="M1126" s="2391">
        <f>E1126*L1126</f>
        <v>741416.51231999998</v>
      </c>
      <c r="N1126" s="2375">
        <f t="shared" si="342"/>
        <v>3.2386655520200185E-4</v>
      </c>
      <c r="O1126" s="2375">
        <v>0</v>
      </c>
      <c r="P1126" s="2590"/>
      <c r="Q1126" s="2375">
        <f t="shared" si="347"/>
        <v>0</v>
      </c>
      <c r="R1126" s="2375">
        <f t="shared" si="344"/>
        <v>0</v>
      </c>
      <c r="S1126" s="2848"/>
      <c r="T1126" s="2590"/>
      <c r="U1126" s="2848"/>
      <c r="V1126" s="2848"/>
      <c r="W1126" s="2382">
        <f t="shared" si="343"/>
        <v>39.456000000000003</v>
      </c>
      <c r="X1126" s="2590" t="s">
        <v>100</v>
      </c>
      <c r="Y1126" s="2375">
        <f t="shared" si="334"/>
        <v>18790.969999999998</v>
      </c>
      <c r="Z1126" s="2848"/>
      <c r="AA1126" s="2377"/>
    </row>
    <row r="1127" spans="1:27" ht="25" hidden="1" customHeight="1">
      <c r="A1127" s="2797" t="s">
        <v>121</v>
      </c>
      <c r="B1127" s="2673" t="s">
        <v>420</v>
      </c>
      <c r="C1127" s="2674"/>
      <c r="D1127" s="2675"/>
      <c r="E1127" s="2676">
        <f>'13. Vol TPS'!$M$85</f>
        <v>0.54899999999999993</v>
      </c>
      <c r="F1127" s="2590" t="s">
        <v>103</v>
      </c>
      <c r="G1127" s="2389">
        <v>1584129.98</v>
      </c>
      <c r="H1127" s="2389">
        <f>E1127*G1127</f>
        <v>869687.35901999986</v>
      </c>
      <c r="I1127" s="2465">
        <f>'Resume Analisa'!$D$55</f>
        <v>1535009.1300000001</v>
      </c>
      <c r="J1127" s="2821">
        <f>E1127*I1127</f>
        <v>842720.01237000001</v>
      </c>
      <c r="K1127" s="2378" t="e">
        <f>IF(H1127=0,"",IF(J1127&lt;#REF!*H1127,"Timpang &lt;"&amp;TEXT(#REF!,"0%"),IF(J1127&gt;#REF!*H1127,"Timpang &gt;"&amp;TEXT(#REF!,"0%"),"Wajar")))</f>
        <v>#REF!</v>
      </c>
      <c r="L1127" s="2391">
        <v>1535009.1300000001</v>
      </c>
      <c r="M1127" s="2391">
        <f>E1127*L1127</f>
        <v>842720.01237000001</v>
      </c>
      <c r="N1127" s="2375">
        <f t="shared" si="342"/>
        <v>3.681180859487825E-4</v>
      </c>
      <c r="O1127" s="2375">
        <v>0</v>
      </c>
      <c r="P1127" s="2590"/>
      <c r="Q1127" s="2375">
        <f t="shared" si="347"/>
        <v>0</v>
      </c>
      <c r="R1127" s="2375">
        <f t="shared" si="344"/>
        <v>0</v>
      </c>
      <c r="S1127" s="2848"/>
      <c r="T1127" s="2590"/>
      <c r="U1127" s="2848"/>
      <c r="V1127" s="2848"/>
      <c r="W1127" s="2382">
        <f t="shared" si="343"/>
        <v>0.54899999999999993</v>
      </c>
      <c r="X1127" s="2590" t="s">
        <v>103</v>
      </c>
      <c r="Y1127" s="2375">
        <f t="shared" si="334"/>
        <v>1535009.1300000001</v>
      </c>
      <c r="Z1127" s="2848"/>
      <c r="AA1127" s="2377"/>
    </row>
    <row r="1128" spans="1:27" ht="25" hidden="1" customHeight="1">
      <c r="A1128" s="2590">
        <f>A1123+1</f>
        <v>7</v>
      </c>
      <c r="B1128" s="2673" t="s">
        <v>818</v>
      </c>
      <c r="C1128" s="2674"/>
      <c r="D1128" s="2675"/>
      <c r="E1128" s="2676"/>
      <c r="F1128" s="2590"/>
      <c r="G1128" s="2389"/>
      <c r="H1128" s="2389"/>
      <c r="I1128" s="2465"/>
      <c r="J1128" s="2464"/>
      <c r="K1128" s="2389"/>
      <c r="L1128" s="2391"/>
      <c r="M1128" s="2391"/>
      <c r="N1128" s="2375">
        <f t="shared" si="342"/>
        <v>0</v>
      </c>
      <c r="O1128" s="2375">
        <v>0</v>
      </c>
      <c r="P1128" s="2590"/>
      <c r="Q1128" s="2375">
        <f t="shared" si="347"/>
        <v>0</v>
      </c>
      <c r="R1128" s="2375">
        <f t="shared" si="344"/>
        <v>0</v>
      </c>
      <c r="S1128" s="2848"/>
      <c r="T1128" s="2590"/>
      <c r="U1128" s="2848"/>
      <c r="V1128" s="2848"/>
      <c r="W1128" s="2382">
        <f t="shared" si="343"/>
        <v>0</v>
      </c>
      <c r="X1128" s="2590"/>
      <c r="Y1128" s="2375">
        <f t="shared" si="334"/>
        <v>0</v>
      </c>
      <c r="Z1128" s="2848"/>
      <c r="AA1128" s="2377"/>
    </row>
    <row r="1129" spans="1:27" ht="25" hidden="1" customHeight="1">
      <c r="A1129" s="2797" t="s">
        <v>95</v>
      </c>
      <c r="B1129" s="2673" t="s">
        <v>126</v>
      </c>
      <c r="C1129" s="2674"/>
      <c r="D1129" s="2675"/>
      <c r="E1129" s="2676">
        <f>'13. Vol TPS'!$M$92</f>
        <v>8.8000000000000007</v>
      </c>
      <c r="F1129" s="2590" t="s">
        <v>89</v>
      </c>
      <c r="G1129" s="2389">
        <v>257048.94</v>
      </c>
      <c r="H1129" s="2389">
        <f>E1129*G1129</f>
        <v>2262030.6720000003</v>
      </c>
      <c r="I1129" s="2465">
        <f>'Resume Analisa'!$D$42</f>
        <v>252902.38</v>
      </c>
      <c r="J1129" s="2464">
        <f>E1129*I1129</f>
        <v>2225540.9440000001</v>
      </c>
      <c r="K1129" s="2378" t="e">
        <f>IF(H1129=0,"",IF(J1129&lt;#REF!*H1129,"Timpang &lt;"&amp;TEXT(#REF!,"0%"),IF(J1129&gt;#REF!*H1129,"Timpang &gt;"&amp;TEXT(#REF!,"0%"),"Wajar")))</f>
        <v>#REF!</v>
      </c>
      <c r="L1129" s="2391">
        <v>252902.38</v>
      </c>
      <c r="M1129" s="2391">
        <f>E1129*L1129</f>
        <v>2225540.9440000001</v>
      </c>
      <c r="N1129" s="2375">
        <f t="shared" si="342"/>
        <v>9.7216377976108389E-4</v>
      </c>
      <c r="O1129" s="2375">
        <v>0</v>
      </c>
      <c r="P1129" s="2590"/>
      <c r="Q1129" s="2375">
        <f t="shared" si="347"/>
        <v>0</v>
      </c>
      <c r="R1129" s="2375">
        <f t="shared" si="344"/>
        <v>0</v>
      </c>
      <c r="S1129" s="2848"/>
      <c r="T1129" s="2590"/>
      <c r="U1129" s="2848"/>
      <c r="V1129" s="2848"/>
      <c r="W1129" s="2382">
        <f t="shared" si="343"/>
        <v>8.8000000000000007</v>
      </c>
      <c r="X1129" s="2590" t="s">
        <v>89</v>
      </c>
      <c r="Y1129" s="2375">
        <f t="shared" ref="Y1129:Y1192" si="348">L1129</f>
        <v>252902.38</v>
      </c>
      <c r="Z1129" s="2848"/>
      <c r="AA1129" s="2377"/>
    </row>
    <row r="1130" spans="1:27" ht="25" hidden="1" customHeight="1">
      <c r="A1130" s="2797" t="s">
        <v>98</v>
      </c>
      <c r="B1130" s="2673" t="s">
        <v>432</v>
      </c>
      <c r="C1130" s="2674"/>
      <c r="D1130" s="2675"/>
      <c r="E1130" s="2676">
        <f>'13. Vol TPS'!$M$96</f>
        <v>39.456000000000003</v>
      </c>
      <c r="F1130" s="2590" t="s">
        <v>100</v>
      </c>
      <c r="G1130" s="2389">
        <v>19151.18</v>
      </c>
      <c r="H1130" s="2389">
        <f>E1130*G1130</f>
        <v>755628.95808000013</v>
      </c>
      <c r="I1130" s="2465">
        <f>'Resume Analisa'!$D$48</f>
        <v>18790.969999999998</v>
      </c>
      <c r="J1130" s="2464">
        <f>E1130*I1130</f>
        <v>741416.51231999998</v>
      </c>
      <c r="K1130" s="2378" t="e">
        <f>IF(H1130=0,"",IF(J1130&lt;#REF!*H1130,"Timpang &lt;"&amp;TEXT(#REF!,"0%"),IF(J1130&gt;#REF!*H1130,"Timpang &gt;"&amp;TEXT(#REF!,"0%"),"Wajar")))</f>
        <v>#REF!</v>
      </c>
      <c r="L1130" s="2391">
        <v>18790.969999999998</v>
      </c>
      <c r="M1130" s="2391">
        <f>E1130*L1130</f>
        <v>741416.51231999998</v>
      </c>
      <c r="N1130" s="2375">
        <f t="shared" si="342"/>
        <v>3.2386655520200185E-4</v>
      </c>
      <c r="O1130" s="2375">
        <v>0</v>
      </c>
      <c r="P1130" s="2590"/>
      <c r="Q1130" s="2375">
        <f t="shared" si="347"/>
        <v>0</v>
      </c>
      <c r="R1130" s="2375">
        <f t="shared" si="344"/>
        <v>0</v>
      </c>
      <c r="S1130" s="2848"/>
      <c r="T1130" s="2590"/>
      <c r="U1130" s="2848"/>
      <c r="V1130" s="2848"/>
      <c r="W1130" s="2382">
        <f t="shared" si="343"/>
        <v>39.456000000000003</v>
      </c>
      <c r="X1130" s="2590" t="s">
        <v>100</v>
      </c>
      <c r="Y1130" s="2375">
        <f t="shared" si="348"/>
        <v>18790.969999999998</v>
      </c>
      <c r="Z1130" s="2848"/>
      <c r="AA1130" s="2377"/>
    </row>
    <row r="1131" spans="1:27" ht="25" hidden="1" customHeight="1">
      <c r="A1131" s="2797" t="s">
        <v>101</v>
      </c>
      <c r="B1131" s="2673" t="s">
        <v>411</v>
      </c>
      <c r="C1131" s="2674"/>
      <c r="D1131" s="2675"/>
      <c r="E1131" s="2676">
        <f>'13. Vol TPS'!$M$100</f>
        <v>30.302208</v>
      </c>
      <c r="F1131" s="2590" t="s">
        <v>100</v>
      </c>
      <c r="G1131" s="2389">
        <v>19151.18</v>
      </c>
      <c r="H1131" s="2389">
        <f>E1131*G1131</f>
        <v>580323.03980544</v>
      </c>
      <c r="I1131" s="2465">
        <f>'Resume Analisa'!$D$48</f>
        <v>18790.969999999998</v>
      </c>
      <c r="J1131" s="2464">
        <f>E1131*I1131</f>
        <v>569407.88146175991</v>
      </c>
      <c r="K1131" s="2378" t="e">
        <f>IF(H1131=0,"",IF(J1131&lt;#REF!*H1131,"Timpang &lt;"&amp;TEXT(#REF!,"0%"),IF(J1131&gt;#REF!*H1131,"Timpang &gt;"&amp;TEXT(#REF!,"0%"),"Wajar")))</f>
        <v>#REF!</v>
      </c>
      <c r="L1131" s="2391">
        <v>18790.969999999998</v>
      </c>
      <c r="M1131" s="2391">
        <f>E1131*L1131</f>
        <v>569407.88146175991</v>
      </c>
      <c r="N1131" s="2375">
        <f t="shared" si="342"/>
        <v>2.4872951439513738E-4</v>
      </c>
      <c r="O1131" s="2375">
        <v>0</v>
      </c>
      <c r="P1131" s="2590"/>
      <c r="Q1131" s="2375">
        <f t="shared" si="347"/>
        <v>0</v>
      </c>
      <c r="R1131" s="2375">
        <f t="shared" si="344"/>
        <v>0</v>
      </c>
      <c r="S1131" s="2848"/>
      <c r="T1131" s="2697"/>
      <c r="U1131" s="2848"/>
      <c r="V1131" s="2848"/>
      <c r="W1131" s="2382">
        <f t="shared" si="343"/>
        <v>30.302208</v>
      </c>
      <c r="X1131" s="2590" t="s">
        <v>100</v>
      </c>
      <c r="Y1131" s="2375">
        <f t="shared" si="348"/>
        <v>18790.969999999998</v>
      </c>
      <c r="Z1131" s="2848"/>
      <c r="AA1131" s="2377"/>
    </row>
    <row r="1132" spans="1:27" ht="25" hidden="1" customHeight="1">
      <c r="A1132" s="2797" t="s">
        <v>121</v>
      </c>
      <c r="B1132" s="2673" t="s">
        <v>420</v>
      </c>
      <c r="C1132" s="2674"/>
      <c r="D1132" s="2675"/>
      <c r="E1132" s="2676">
        <f>'13. Vol TPS'!$M$104</f>
        <v>0.72</v>
      </c>
      <c r="F1132" s="2590" t="s">
        <v>103</v>
      </c>
      <c r="G1132" s="2389">
        <v>1584129.98</v>
      </c>
      <c r="H1132" s="2389">
        <f>E1132*G1132</f>
        <v>1140573.5855999999</v>
      </c>
      <c r="I1132" s="2465">
        <f>'Resume Analisa'!$D$55</f>
        <v>1535009.1300000001</v>
      </c>
      <c r="J1132" s="2821">
        <f>E1132*I1132</f>
        <v>1105206.5736</v>
      </c>
      <c r="K1132" s="2378" t="e">
        <f>IF(H1132=0,"",IF(J1132&lt;#REF!*H1132,"Timpang &lt;"&amp;TEXT(#REF!,"0%"),IF(J1132&gt;#REF!*H1132,"Timpang &gt;"&amp;TEXT(#REF!,"0%"),"Wajar")))</f>
        <v>#REF!</v>
      </c>
      <c r="L1132" s="2391">
        <v>1535009.1300000001</v>
      </c>
      <c r="M1132" s="2391">
        <f>E1132*L1132</f>
        <v>1105206.5736</v>
      </c>
      <c r="N1132" s="2375">
        <f t="shared" si="342"/>
        <v>4.8277781763774748E-4</v>
      </c>
      <c r="O1132" s="2375">
        <v>0</v>
      </c>
      <c r="P1132" s="2590"/>
      <c r="Q1132" s="2375">
        <f t="shared" si="347"/>
        <v>0</v>
      </c>
      <c r="R1132" s="2375">
        <f t="shared" si="344"/>
        <v>0</v>
      </c>
      <c r="S1132" s="2848"/>
      <c r="T1132" s="2590"/>
      <c r="U1132" s="2848"/>
      <c r="V1132" s="2848"/>
      <c r="W1132" s="2382">
        <f t="shared" si="343"/>
        <v>0.72</v>
      </c>
      <c r="X1132" s="2590" t="s">
        <v>103</v>
      </c>
      <c r="Y1132" s="2375">
        <f t="shared" si="348"/>
        <v>1535009.1300000001</v>
      </c>
      <c r="Z1132" s="2848"/>
      <c r="AA1132" s="2377"/>
    </row>
    <row r="1133" spans="1:27" ht="25" hidden="1" customHeight="1">
      <c r="A1133" s="2590">
        <f>A1128+1</f>
        <v>8</v>
      </c>
      <c r="B1133" s="2673" t="s">
        <v>819</v>
      </c>
      <c r="C1133" s="2674"/>
      <c r="D1133" s="2675"/>
      <c r="E1133" s="2676"/>
      <c r="F1133" s="2590"/>
      <c r="G1133" s="2389"/>
      <c r="H1133" s="2389"/>
      <c r="I1133" s="2465"/>
      <c r="J1133" s="2464"/>
      <c r="K1133" s="2389"/>
      <c r="L1133" s="2391"/>
      <c r="M1133" s="2391"/>
      <c r="N1133" s="2375">
        <f t="shared" ref="N1133:N1164" si="349">M1133/$M$8</f>
        <v>0</v>
      </c>
      <c r="O1133" s="2375">
        <v>0</v>
      </c>
      <c r="P1133" s="2590"/>
      <c r="Q1133" s="2375">
        <f t="shared" si="347"/>
        <v>0</v>
      </c>
      <c r="R1133" s="2375">
        <f t="shared" si="344"/>
        <v>0</v>
      </c>
      <c r="S1133" s="2848"/>
      <c r="T1133" s="2624"/>
      <c r="U1133" s="2848"/>
      <c r="V1133" s="2848"/>
      <c r="W1133" s="2382">
        <f t="shared" si="343"/>
        <v>0</v>
      </c>
      <c r="X1133" s="2590"/>
      <c r="Y1133" s="2375">
        <f t="shared" si="348"/>
        <v>0</v>
      </c>
      <c r="Z1133" s="2848"/>
      <c r="AA1133" s="2377"/>
    </row>
    <row r="1134" spans="1:27" ht="25" hidden="1" customHeight="1">
      <c r="A1134" s="2797" t="s">
        <v>95</v>
      </c>
      <c r="B1134" s="2673" t="s">
        <v>126</v>
      </c>
      <c r="C1134" s="2674"/>
      <c r="D1134" s="2675"/>
      <c r="E1134" s="2676">
        <f>'13. Vol TPS'!$M$106</f>
        <v>2.2000000000000002</v>
      </c>
      <c r="F1134" s="2590" t="s">
        <v>89</v>
      </c>
      <c r="G1134" s="2389">
        <v>257048.94</v>
      </c>
      <c r="H1134" s="2389">
        <f>E1134*G1134</f>
        <v>565507.66800000006</v>
      </c>
      <c r="I1134" s="2465">
        <f>'Resume Analisa'!$D$42</f>
        <v>252902.38</v>
      </c>
      <c r="J1134" s="2464">
        <f>E1134*I1134</f>
        <v>556385.23600000003</v>
      </c>
      <c r="K1134" s="2378" t="e">
        <f>IF(H1134=0,"",IF(J1134&lt;#REF!*H1134,"Timpang &lt;"&amp;TEXT(#REF!,"0%"),IF(J1134&gt;#REF!*H1134,"Timpang &gt;"&amp;TEXT(#REF!,"0%"),"Wajar")))</f>
        <v>#REF!</v>
      </c>
      <c r="L1134" s="2391">
        <v>252902.38</v>
      </c>
      <c r="M1134" s="2391">
        <f>E1134*L1134</f>
        <v>556385.23600000003</v>
      </c>
      <c r="N1134" s="2375">
        <f t="shared" si="349"/>
        <v>2.4304094494027097E-4</v>
      </c>
      <c r="O1134" s="2375">
        <v>0</v>
      </c>
      <c r="P1134" s="2590"/>
      <c r="Q1134" s="2375">
        <f t="shared" si="347"/>
        <v>0</v>
      </c>
      <c r="R1134" s="2375">
        <f t="shared" si="344"/>
        <v>0</v>
      </c>
      <c r="S1134" s="2848"/>
      <c r="T1134" s="2624"/>
      <c r="U1134" s="2848"/>
      <c r="V1134" s="2848"/>
      <c r="W1134" s="2382">
        <f t="shared" si="343"/>
        <v>2.2000000000000002</v>
      </c>
      <c r="X1134" s="2590" t="s">
        <v>89</v>
      </c>
      <c r="Y1134" s="2375">
        <f t="shared" si="348"/>
        <v>252902.38</v>
      </c>
      <c r="Z1134" s="2848"/>
      <c r="AA1134" s="2377"/>
    </row>
    <row r="1135" spans="1:27" ht="25" hidden="1" customHeight="1">
      <c r="A1135" s="2797" t="s">
        <v>98</v>
      </c>
      <c r="B1135" s="2673" t="s">
        <v>432</v>
      </c>
      <c r="C1135" s="2674"/>
      <c r="D1135" s="2675"/>
      <c r="E1135" s="2676">
        <f>'13. Vol TPS'!$M$108</f>
        <v>9.8640000000000008</v>
      </c>
      <c r="F1135" s="2590" t="s">
        <v>100</v>
      </c>
      <c r="G1135" s="2389">
        <v>19151.18</v>
      </c>
      <c r="H1135" s="2389">
        <f>E1135*G1135</f>
        <v>188907.23952000003</v>
      </c>
      <c r="I1135" s="2465">
        <f>'Resume Analisa'!$D$48</f>
        <v>18790.969999999998</v>
      </c>
      <c r="J1135" s="2464">
        <f>E1135*I1135</f>
        <v>185354.12807999999</v>
      </c>
      <c r="K1135" s="2378" t="e">
        <f>IF(H1135=0,"",IF(J1135&lt;#REF!*H1135,"Timpang &lt;"&amp;TEXT(#REF!,"0%"),IF(J1135&gt;#REF!*H1135,"Timpang &gt;"&amp;TEXT(#REF!,"0%"),"Wajar")))</f>
        <v>#REF!</v>
      </c>
      <c r="L1135" s="2391">
        <v>18790.969999999998</v>
      </c>
      <c r="M1135" s="2391">
        <f>E1135*L1135</f>
        <v>185354.12807999999</v>
      </c>
      <c r="N1135" s="2375">
        <f t="shared" si="349"/>
        <v>8.0966638800500463E-5</v>
      </c>
      <c r="O1135" s="2375">
        <v>0</v>
      </c>
      <c r="P1135" s="2590"/>
      <c r="Q1135" s="2375">
        <f t="shared" si="347"/>
        <v>0</v>
      </c>
      <c r="R1135" s="2375">
        <f t="shared" si="344"/>
        <v>0</v>
      </c>
      <c r="S1135" s="2848"/>
      <c r="T1135" s="2624"/>
      <c r="U1135" s="2848"/>
      <c r="V1135" s="2848"/>
      <c r="W1135" s="2382">
        <f t="shared" si="343"/>
        <v>9.8640000000000008</v>
      </c>
      <c r="X1135" s="2590" t="s">
        <v>100</v>
      </c>
      <c r="Y1135" s="2375">
        <f t="shared" si="348"/>
        <v>18790.969999999998</v>
      </c>
      <c r="Z1135" s="2848"/>
      <c r="AA1135" s="2377"/>
    </row>
    <row r="1136" spans="1:27" ht="25" hidden="1" customHeight="1">
      <c r="A1136" s="2797" t="s">
        <v>101</v>
      </c>
      <c r="B1136" s="2673" t="s">
        <v>411</v>
      </c>
      <c r="C1136" s="2674"/>
      <c r="D1136" s="2675"/>
      <c r="E1136" s="2676">
        <f>'13. Vol TPS'!$M$109</f>
        <v>7.5755520000000001</v>
      </c>
      <c r="F1136" s="2590" t="s">
        <v>100</v>
      </c>
      <c r="G1136" s="2389">
        <v>19151.18</v>
      </c>
      <c r="H1136" s="2389">
        <f>E1136*G1136</f>
        <v>145080.75995136</v>
      </c>
      <c r="I1136" s="2465">
        <f>'Resume Analisa'!$D$48</f>
        <v>18790.969999999998</v>
      </c>
      <c r="J1136" s="2464">
        <f>E1136*I1136</f>
        <v>142351.97036543998</v>
      </c>
      <c r="K1136" s="2378" t="e">
        <f>IF(H1136=0,"",IF(J1136&lt;#REF!*H1136,"Timpang &lt;"&amp;TEXT(#REF!,"0%"),IF(J1136&gt;#REF!*H1136,"Timpang &gt;"&amp;TEXT(#REF!,"0%"),"Wajar")))</f>
        <v>#REF!</v>
      </c>
      <c r="L1136" s="2391">
        <v>18790.969999999998</v>
      </c>
      <c r="M1136" s="2391">
        <f>E1136*L1136</f>
        <v>142351.97036543998</v>
      </c>
      <c r="N1136" s="2375">
        <f t="shared" si="349"/>
        <v>6.2182378598784344E-5</v>
      </c>
      <c r="O1136" s="2375">
        <v>0</v>
      </c>
      <c r="P1136" s="2590"/>
      <c r="Q1136" s="2375">
        <f t="shared" si="347"/>
        <v>0</v>
      </c>
      <c r="R1136" s="2375">
        <f t="shared" si="344"/>
        <v>0</v>
      </c>
      <c r="S1136" s="2848"/>
      <c r="T1136" s="2624"/>
      <c r="U1136" s="2848"/>
      <c r="V1136" s="2848"/>
      <c r="W1136" s="2382">
        <f t="shared" si="343"/>
        <v>7.5755520000000001</v>
      </c>
      <c r="X1136" s="2590" t="s">
        <v>100</v>
      </c>
      <c r="Y1136" s="2375">
        <f t="shared" si="348"/>
        <v>18790.969999999998</v>
      </c>
      <c r="Z1136" s="2848"/>
      <c r="AA1136" s="2377"/>
    </row>
    <row r="1137" spans="1:27" ht="25" hidden="1" customHeight="1">
      <c r="A1137" s="2797" t="s">
        <v>121</v>
      </c>
      <c r="B1137" s="2673" t="s">
        <v>420</v>
      </c>
      <c r="C1137" s="2674"/>
      <c r="D1137" s="2675"/>
      <c r="E1137" s="2676">
        <f>'13. Vol TPS'!$M$110</f>
        <v>0.09</v>
      </c>
      <c r="F1137" s="2590" t="s">
        <v>103</v>
      </c>
      <c r="G1137" s="2389">
        <v>1584129.98</v>
      </c>
      <c r="H1137" s="2389">
        <f>E1137*G1137</f>
        <v>142571.69819999998</v>
      </c>
      <c r="I1137" s="2465">
        <f>'Resume Analisa'!$D$55</f>
        <v>1535009.1300000001</v>
      </c>
      <c r="J1137" s="2821">
        <f>E1137*I1137</f>
        <v>138150.8217</v>
      </c>
      <c r="K1137" s="2378" t="e">
        <f>IF(H1137=0,"",IF(J1137&lt;#REF!*H1137,"Timpang &lt;"&amp;TEXT(#REF!,"0%"),IF(J1137&gt;#REF!*H1137,"Timpang &gt;"&amp;TEXT(#REF!,"0%"),"Wajar")))</f>
        <v>#REF!</v>
      </c>
      <c r="L1137" s="2391">
        <v>1535009.1300000001</v>
      </c>
      <c r="M1137" s="2391">
        <f>E1137*L1137</f>
        <v>138150.8217</v>
      </c>
      <c r="N1137" s="2375">
        <f t="shared" si="349"/>
        <v>6.0347227204718435E-5</v>
      </c>
      <c r="O1137" s="2375">
        <v>0</v>
      </c>
      <c r="P1137" s="2590"/>
      <c r="Q1137" s="2375">
        <f t="shared" si="347"/>
        <v>0</v>
      </c>
      <c r="R1137" s="2375">
        <f t="shared" si="344"/>
        <v>0</v>
      </c>
      <c r="S1137" s="2848"/>
      <c r="T1137" s="2624"/>
      <c r="U1137" s="2848"/>
      <c r="V1137" s="2848"/>
      <c r="W1137" s="2382">
        <f t="shared" si="343"/>
        <v>0.09</v>
      </c>
      <c r="X1137" s="2590" t="s">
        <v>103</v>
      </c>
      <c r="Y1137" s="2375">
        <f t="shared" si="348"/>
        <v>1535009.1300000001</v>
      </c>
      <c r="Z1137" s="2848"/>
      <c r="AA1137" s="2377"/>
    </row>
    <row r="1138" spans="1:27" ht="25" hidden="1" customHeight="1">
      <c r="A1138" s="2590">
        <f>A1133+1</f>
        <v>9</v>
      </c>
      <c r="B1138" s="2673" t="s">
        <v>534</v>
      </c>
      <c r="C1138" s="2674"/>
      <c r="D1138" s="2675"/>
      <c r="E1138" s="2676"/>
      <c r="F1138" s="2590"/>
      <c r="G1138" s="2389"/>
      <c r="H1138" s="2389"/>
      <c r="I1138" s="2465"/>
      <c r="J1138" s="2464"/>
      <c r="K1138" s="2389"/>
      <c r="L1138" s="2391"/>
      <c r="M1138" s="2391"/>
      <c r="N1138" s="2375">
        <f t="shared" si="349"/>
        <v>0</v>
      </c>
      <c r="O1138" s="2375">
        <v>0</v>
      </c>
      <c r="P1138" s="2590"/>
      <c r="Q1138" s="2375">
        <f t="shared" si="347"/>
        <v>0</v>
      </c>
      <c r="R1138" s="2375">
        <f t="shared" si="344"/>
        <v>0</v>
      </c>
      <c r="S1138" s="2848"/>
      <c r="T1138" s="2624"/>
      <c r="U1138" s="2848"/>
      <c r="V1138" s="2848"/>
      <c r="W1138" s="2382">
        <f t="shared" si="343"/>
        <v>0</v>
      </c>
      <c r="X1138" s="2590"/>
      <c r="Y1138" s="2375">
        <f t="shared" si="348"/>
        <v>0</v>
      </c>
      <c r="Z1138" s="2848"/>
      <c r="AA1138" s="2377"/>
    </row>
    <row r="1139" spans="1:27" ht="25" hidden="1" customHeight="1">
      <c r="A1139" s="2797" t="s">
        <v>95</v>
      </c>
      <c r="B1139" s="2673" t="s">
        <v>126</v>
      </c>
      <c r="C1139" s="2674"/>
      <c r="D1139" s="2675"/>
      <c r="E1139" s="2676">
        <f>'13. Vol TPS'!$M$112</f>
        <v>4.5</v>
      </c>
      <c r="F1139" s="2590" t="s">
        <v>89</v>
      </c>
      <c r="G1139" s="2389">
        <v>257048.94</v>
      </c>
      <c r="H1139" s="2389">
        <f>E1139*G1139</f>
        <v>1156720.23</v>
      </c>
      <c r="I1139" s="2465">
        <f>'Resume Analisa'!$D$42</f>
        <v>252902.38</v>
      </c>
      <c r="J1139" s="2464">
        <f>E1139*I1139</f>
        <v>1138060.71</v>
      </c>
      <c r="K1139" s="2378" t="e">
        <f>IF(H1139=0,"",IF(J1139&lt;#REF!*H1139,"Timpang &lt;"&amp;TEXT(#REF!,"0%"),IF(J1139&gt;#REF!*H1139,"Timpang &gt;"&amp;TEXT(#REF!,"0%"),"Wajar")))</f>
        <v>#REF!</v>
      </c>
      <c r="L1139" s="2391">
        <v>252902.38</v>
      </c>
      <c r="M1139" s="2391">
        <f>E1139*L1139</f>
        <v>1138060.71</v>
      </c>
      <c r="N1139" s="2375">
        <f t="shared" si="349"/>
        <v>4.9712920555964506E-4</v>
      </c>
      <c r="O1139" s="2375">
        <v>0</v>
      </c>
      <c r="P1139" s="2590"/>
      <c r="Q1139" s="2375">
        <f t="shared" si="347"/>
        <v>0</v>
      </c>
      <c r="R1139" s="2375">
        <f t="shared" si="344"/>
        <v>0</v>
      </c>
      <c r="S1139" s="2848"/>
      <c r="T1139" s="2624"/>
      <c r="U1139" s="2848"/>
      <c r="V1139" s="2848"/>
      <c r="W1139" s="2382">
        <f t="shared" si="343"/>
        <v>4.5</v>
      </c>
      <c r="X1139" s="2590" t="s">
        <v>89</v>
      </c>
      <c r="Y1139" s="2375">
        <f t="shared" si="348"/>
        <v>252902.38</v>
      </c>
      <c r="Z1139" s="2848"/>
      <c r="AA1139" s="2377"/>
    </row>
    <row r="1140" spans="1:27" ht="25" hidden="1" customHeight="1">
      <c r="A1140" s="2797" t="s">
        <v>98</v>
      </c>
      <c r="B1140" s="2673" t="s">
        <v>432</v>
      </c>
      <c r="C1140" s="2674"/>
      <c r="D1140" s="2675"/>
      <c r="E1140" s="2676">
        <f>'13. Vol TPS'!$M$113</f>
        <v>24.660000000000004</v>
      </c>
      <c r="F1140" s="2590" t="s">
        <v>100</v>
      </c>
      <c r="G1140" s="2389">
        <v>19151.18</v>
      </c>
      <c r="H1140" s="2389">
        <f>E1140*G1140</f>
        <v>472268.09880000009</v>
      </c>
      <c r="I1140" s="2465">
        <f>'Resume Analisa'!$D$48</f>
        <v>18790.969999999998</v>
      </c>
      <c r="J1140" s="2464">
        <f>E1140*I1140</f>
        <v>463385.32020000002</v>
      </c>
      <c r="K1140" s="2378" t="e">
        <f>IF(H1140=0,"",IF(J1140&lt;#REF!*H1140,"Timpang &lt;"&amp;TEXT(#REF!,"0%"),IF(J1140&gt;#REF!*H1140,"Timpang &gt;"&amp;TEXT(#REF!,"0%"),"Wajar")))</f>
        <v>#REF!</v>
      </c>
      <c r="L1140" s="2391">
        <v>18790.969999999998</v>
      </c>
      <c r="M1140" s="2391">
        <f>E1140*L1140</f>
        <v>463385.32020000002</v>
      </c>
      <c r="N1140" s="2375">
        <f t="shared" si="349"/>
        <v>2.0241659700125116E-4</v>
      </c>
      <c r="O1140" s="2375">
        <v>0</v>
      </c>
      <c r="P1140" s="2590"/>
      <c r="Q1140" s="2375">
        <f t="shared" si="347"/>
        <v>0</v>
      </c>
      <c r="R1140" s="2375">
        <f t="shared" si="344"/>
        <v>0</v>
      </c>
      <c r="S1140" s="2848"/>
      <c r="T1140" s="2624"/>
      <c r="U1140" s="2848"/>
      <c r="V1140" s="2848"/>
      <c r="W1140" s="2382">
        <f t="shared" si="343"/>
        <v>24.660000000000004</v>
      </c>
      <c r="X1140" s="2590" t="s">
        <v>100</v>
      </c>
      <c r="Y1140" s="2375">
        <f t="shared" si="348"/>
        <v>18790.969999999998</v>
      </c>
      <c r="Z1140" s="2848"/>
      <c r="AA1140" s="2377"/>
    </row>
    <row r="1141" spans="1:27" ht="25" hidden="1" customHeight="1">
      <c r="A1141" s="2797" t="s">
        <v>101</v>
      </c>
      <c r="B1141" s="2673" t="s">
        <v>820</v>
      </c>
      <c r="C1141" s="2674"/>
      <c r="D1141" s="2675"/>
      <c r="E1141" s="2676">
        <f>'13. Vol TPS'!$M$114</f>
        <v>15.782400000000001</v>
      </c>
      <c r="F1141" s="2590" t="s">
        <v>100</v>
      </c>
      <c r="G1141" s="2389">
        <v>19151.18</v>
      </c>
      <c r="H1141" s="2389">
        <f>E1141*G1141</f>
        <v>302251.583232</v>
      </c>
      <c r="I1141" s="2465">
        <f>'Resume Analisa'!$D$48</f>
        <v>18790.969999999998</v>
      </c>
      <c r="J1141" s="2464">
        <f>E1141*I1141</f>
        <v>296566.60492799996</v>
      </c>
      <c r="K1141" s="2378" t="e">
        <f>IF(H1141=0,"",IF(J1141&lt;#REF!*H1141,"Timpang &lt;"&amp;TEXT(#REF!,"0%"),IF(J1141&gt;#REF!*H1141,"Timpang &gt;"&amp;TEXT(#REF!,"0%"),"Wajar")))</f>
        <v>#REF!</v>
      </c>
      <c r="L1141" s="2391">
        <v>18790.969999999998</v>
      </c>
      <c r="M1141" s="2391">
        <f>E1141*L1141</f>
        <v>296566.60492799996</v>
      </c>
      <c r="N1141" s="2375">
        <f t="shared" si="349"/>
        <v>1.2954662208080071E-4</v>
      </c>
      <c r="O1141" s="2375">
        <v>0</v>
      </c>
      <c r="P1141" s="2590"/>
      <c r="Q1141" s="2375">
        <f t="shared" si="347"/>
        <v>0</v>
      </c>
      <c r="R1141" s="2375">
        <f t="shared" si="344"/>
        <v>0</v>
      </c>
      <c r="S1141" s="2848"/>
      <c r="T1141" s="2624"/>
      <c r="U1141" s="2848"/>
      <c r="V1141" s="2848"/>
      <c r="W1141" s="2382">
        <f t="shared" si="343"/>
        <v>15.782400000000001</v>
      </c>
      <c r="X1141" s="2590" t="s">
        <v>100</v>
      </c>
      <c r="Y1141" s="2375">
        <f t="shared" si="348"/>
        <v>18790.969999999998</v>
      </c>
      <c r="Z1141" s="2848"/>
      <c r="AA1141" s="2377"/>
    </row>
    <row r="1142" spans="1:27" ht="25" hidden="1" customHeight="1">
      <c r="A1142" s="2797" t="s">
        <v>121</v>
      </c>
      <c r="B1142" s="2673" t="s">
        <v>420</v>
      </c>
      <c r="C1142" s="2674"/>
      <c r="D1142" s="2675"/>
      <c r="E1142" s="2676">
        <f>'13. Vol TPS'!$M$115</f>
        <v>0.22499999999999998</v>
      </c>
      <c r="F1142" s="2590" t="s">
        <v>103</v>
      </c>
      <c r="G1142" s="2389">
        <v>1584129.98</v>
      </c>
      <c r="H1142" s="2389">
        <f>E1142*G1142</f>
        <v>356429.24549999996</v>
      </c>
      <c r="I1142" s="2465">
        <f>'Resume Analisa'!$D$55</f>
        <v>1535009.1300000001</v>
      </c>
      <c r="J1142" s="2821">
        <f>E1142*I1142</f>
        <v>345377.05424999999</v>
      </c>
      <c r="K1142" s="2378" t="e">
        <f>IF(H1142=0,"",IF(J1142&lt;#REF!*H1142,"Timpang &lt;"&amp;TEXT(#REF!,"0%"),IF(J1142&gt;#REF!*H1142,"Timpang &gt;"&amp;TEXT(#REF!,"0%"),"Wajar")))</f>
        <v>#REF!</v>
      </c>
      <c r="L1142" s="2391">
        <v>1535009.1300000001</v>
      </c>
      <c r="M1142" s="2391">
        <f>E1142*L1142</f>
        <v>345377.05424999999</v>
      </c>
      <c r="N1142" s="2375">
        <f t="shared" si="349"/>
        <v>1.5086806801179608E-4</v>
      </c>
      <c r="O1142" s="2375">
        <v>0</v>
      </c>
      <c r="P1142" s="2590"/>
      <c r="Q1142" s="2375">
        <f t="shared" si="347"/>
        <v>0</v>
      </c>
      <c r="R1142" s="2375">
        <f t="shared" si="344"/>
        <v>0</v>
      </c>
      <c r="S1142" s="2848"/>
      <c r="T1142" s="2624"/>
      <c r="U1142" s="2848"/>
      <c r="V1142" s="2848"/>
      <c r="W1142" s="2382">
        <f t="shared" si="343"/>
        <v>0.22499999999999998</v>
      </c>
      <c r="X1142" s="2590" t="s">
        <v>103</v>
      </c>
      <c r="Y1142" s="2375">
        <f t="shared" si="348"/>
        <v>1535009.1300000001</v>
      </c>
      <c r="Z1142" s="2848"/>
      <c r="AA1142" s="2377"/>
    </row>
    <row r="1143" spans="1:27" ht="25" hidden="1" customHeight="1">
      <c r="A1143" s="2797"/>
      <c r="B1143" s="2673"/>
      <c r="C1143" s="2674"/>
      <c r="D1143" s="2632" t="s">
        <v>376</v>
      </c>
      <c r="E1143" s="2676"/>
      <c r="F1143" s="2697"/>
      <c r="G1143" s="2546"/>
      <c r="H1143" s="2546">
        <f>SUM(H1104:H1142)</f>
        <v>40143108.357257441</v>
      </c>
      <c r="I1143" s="2798"/>
      <c r="J1143" s="2543">
        <f>SUM(J1104:J1142)</f>
        <v>39188513.071259774</v>
      </c>
      <c r="K1143" s="2546"/>
      <c r="L1143" s="2457"/>
      <c r="M1143" s="2457">
        <f>SUM(M1104:M1142)</f>
        <v>39188513.071259774</v>
      </c>
      <c r="N1143" s="2375">
        <f t="shared" si="349"/>
        <v>1.7118378834270746E-2</v>
      </c>
      <c r="O1143" s="2375">
        <v>0</v>
      </c>
      <c r="P1143" s="2697"/>
      <c r="Q1143" s="2375">
        <f t="shared" si="347"/>
        <v>0</v>
      </c>
      <c r="R1143" s="2375">
        <f t="shared" si="344"/>
        <v>0</v>
      </c>
      <c r="S1143" s="2853"/>
      <c r="T1143" s="2853"/>
      <c r="U1143" s="2853"/>
      <c r="V1143" s="2853"/>
      <c r="W1143" s="2382">
        <f t="shared" si="343"/>
        <v>0</v>
      </c>
      <c r="X1143" s="2697"/>
      <c r="Y1143" s="2375">
        <f t="shared" si="348"/>
        <v>0</v>
      </c>
      <c r="Z1143" s="2853"/>
      <c r="AA1143" s="2377"/>
    </row>
    <row r="1144" spans="1:27" ht="25" hidden="1" customHeight="1">
      <c r="A1144" s="2697" t="s">
        <v>699</v>
      </c>
      <c r="B1144" s="2795" t="s">
        <v>434</v>
      </c>
      <c r="C1144" s="2674"/>
      <c r="D1144" s="2675"/>
      <c r="E1144" s="2676"/>
      <c r="F1144" s="2590"/>
      <c r="G1144" s="2389"/>
      <c r="H1144" s="2389"/>
      <c r="I1144" s="2464"/>
      <c r="J1144" s="2464"/>
      <c r="K1144" s="2389"/>
      <c r="L1144" s="2391"/>
      <c r="M1144" s="2391"/>
      <c r="N1144" s="2375">
        <f t="shared" si="349"/>
        <v>0</v>
      </c>
      <c r="O1144" s="2375">
        <v>0</v>
      </c>
      <c r="P1144" s="2590"/>
      <c r="Q1144" s="2375">
        <f t="shared" si="347"/>
        <v>0</v>
      </c>
      <c r="R1144" s="2375">
        <f t="shared" si="344"/>
        <v>0</v>
      </c>
      <c r="S1144" s="2848"/>
      <c r="T1144" s="2848"/>
      <c r="U1144" s="2848"/>
      <c r="V1144" s="2848"/>
      <c r="W1144" s="2382">
        <f t="shared" si="343"/>
        <v>0</v>
      </c>
      <c r="X1144" s="2590"/>
      <c r="Y1144" s="2375">
        <f t="shared" si="348"/>
        <v>0</v>
      </c>
      <c r="Z1144" s="2848"/>
      <c r="AA1144" s="2377"/>
    </row>
    <row r="1145" spans="1:27" ht="25" hidden="1" customHeight="1">
      <c r="A1145" s="2590">
        <v>1</v>
      </c>
      <c r="B1145" s="2673" t="s">
        <v>821</v>
      </c>
      <c r="C1145" s="2674"/>
      <c r="D1145" s="2675"/>
      <c r="E1145" s="2676">
        <f>'13. Vol TPS'!$M$130</f>
        <v>23.274999999999999</v>
      </c>
      <c r="F1145" s="2590" t="s">
        <v>89</v>
      </c>
      <c r="G1145" s="2389">
        <v>166165.41</v>
      </c>
      <c r="H1145" s="2389">
        <f>E1145*G1145</f>
        <v>3867499.91775</v>
      </c>
      <c r="I1145" s="2567">
        <f>'Resume Analisa'!$D$69</f>
        <v>161086.38</v>
      </c>
      <c r="J1145" s="2464">
        <f>E1145*I1145</f>
        <v>3749285.4945</v>
      </c>
      <c r="K1145" s="2378" t="e">
        <f>IF(H1145=0,"",IF(J1145&lt;#REF!*H1145,"Timpang &lt;"&amp;TEXT(#REF!,"0%"),IF(J1145&gt;#REF!*H1145,"Timpang &gt;"&amp;TEXT(#REF!,"0%"),"Wajar")))</f>
        <v>#REF!</v>
      </c>
      <c r="L1145" s="2391">
        <v>161086.38</v>
      </c>
      <c r="M1145" s="2391">
        <f>E1145*L1145</f>
        <v>3749285.4945</v>
      </c>
      <c r="N1145" s="2375">
        <f t="shared" si="349"/>
        <v>1.6377679177564141E-3</v>
      </c>
      <c r="O1145" s="2375">
        <v>0</v>
      </c>
      <c r="P1145" s="2590"/>
      <c r="Q1145" s="2375">
        <f t="shared" si="347"/>
        <v>0</v>
      </c>
      <c r="R1145" s="2375">
        <f t="shared" si="344"/>
        <v>0</v>
      </c>
      <c r="S1145" s="2848"/>
      <c r="T1145" s="2848"/>
      <c r="U1145" s="2848"/>
      <c r="V1145" s="2848"/>
      <c r="W1145" s="2382">
        <f t="shared" si="343"/>
        <v>23.274999999999999</v>
      </c>
      <c r="X1145" s="2590" t="s">
        <v>89</v>
      </c>
      <c r="Y1145" s="2375">
        <f t="shared" si="348"/>
        <v>161086.38</v>
      </c>
      <c r="Z1145" s="2848"/>
      <c r="AA1145" s="2377"/>
    </row>
    <row r="1146" spans="1:27" ht="25" hidden="1" customHeight="1">
      <c r="A1146" s="2590">
        <f>A1145+1</f>
        <v>2</v>
      </c>
      <c r="B1146" s="2673" t="s">
        <v>630</v>
      </c>
      <c r="C1146" s="2674"/>
      <c r="D1146" s="2675"/>
      <c r="E1146" s="2676">
        <f>'13. Vol TPS'!$M$131</f>
        <v>46.55</v>
      </c>
      <c r="F1146" s="2590" t="s">
        <v>89</v>
      </c>
      <c r="G1146" s="2389">
        <v>61230.840000000004</v>
      </c>
      <c r="H1146" s="2389">
        <f>E1146*G1146</f>
        <v>2850295.602</v>
      </c>
      <c r="I1146" s="2567">
        <f>'Resume Analisa'!$D$70</f>
        <v>58648.57</v>
      </c>
      <c r="J1146" s="2464">
        <f>E1146*I1146</f>
        <v>2730090.9334999998</v>
      </c>
      <c r="K1146" s="2378" t="e">
        <f>IF(H1146=0,"",IF(J1146&lt;#REF!*H1146,"Timpang &lt;"&amp;TEXT(#REF!,"0%"),IF(J1146&gt;#REF!*H1146,"Timpang &gt;"&amp;TEXT(#REF!,"0%"),"Wajar")))</f>
        <v>#REF!</v>
      </c>
      <c r="L1146" s="2391">
        <v>58648.57</v>
      </c>
      <c r="M1146" s="2391">
        <f>E1146*L1146</f>
        <v>2730090.9334999998</v>
      </c>
      <c r="N1146" s="2375">
        <f t="shared" si="349"/>
        <v>1.192561982810605E-3</v>
      </c>
      <c r="O1146" s="2375">
        <v>0</v>
      </c>
      <c r="P1146" s="2590"/>
      <c r="Q1146" s="2375">
        <f t="shared" si="347"/>
        <v>0</v>
      </c>
      <c r="R1146" s="2375">
        <f t="shared" si="344"/>
        <v>0</v>
      </c>
      <c r="S1146" s="2848"/>
      <c r="T1146" s="2848"/>
      <c r="U1146" s="2848"/>
      <c r="V1146" s="2848"/>
      <c r="W1146" s="2382">
        <f t="shared" si="343"/>
        <v>46.55</v>
      </c>
      <c r="X1146" s="2590" t="s">
        <v>89</v>
      </c>
      <c r="Y1146" s="2375">
        <f t="shared" si="348"/>
        <v>58648.57</v>
      </c>
      <c r="Z1146" s="2848"/>
      <c r="AA1146" s="2377"/>
    </row>
    <row r="1147" spans="1:27" ht="25" hidden="1" customHeight="1">
      <c r="A1147" s="2590">
        <f>A1146+1</f>
        <v>3</v>
      </c>
      <c r="B1147" s="2673" t="s">
        <v>631</v>
      </c>
      <c r="C1147" s="2674"/>
      <c r="D1147" s="2675"/>
      <c r="E1147" s="2676">
        <f>'13. Vol TPS'!$M$135</f>
        <v>21.08</v>
      </c>
      <c r="F1147" s="2590" t="s">
        <v>89</v>
      </c>
      <c r="G1147" s="2389">
        <v>45612.170000000006</v>
      </c>
      <c r="H1147" s="2389">
        <f>E1147*G1147</f>
        <v>961504.54360000009</v>
      </c>
      <c r="I1147" s="2567">
        <f>'Resume Analisa'!$D$72</f>
        <v>43813.91</v>
      </c>
      <c r="J1147" s="2464">
        <f>E1147*I1147</f>
        <v>923597.22279999999</v>
      </c>
      <c r="K1147" s="2378" t="e">
        <f>IF(H1147=0,"",IF(J1147&lt;#REF!*H1147,"Timpang &lt;"&amp;TEXT(#REF!,"0%"),IF(J1147&gt;#REF!*H1147,"Timpang &gt;"&amp;TEXT(#REF!,"0%"),"Wajar")))</f>
        <v>#REF!</v>
      </c>
      <c r="L1147" s="2391">
        <v>43813.91</v>
      </c>
      <c r="M1147" s="2391">
        <f>E1147*L1147</f>
        <v>923597.22279999999</v>
      </c>
      <c r="N1147" s="2375">
        <f t="shared" si="349"/>
        <v>4.0344697747069972E-4</v>
      </c>
      <c r="O1147" s="2375">
        <v>0</v>
      </c>
      <c r="P1147" s="2590"/>
      <c r="Q1147" s="2375">
        <f t="shared" si="347"/>
        <v>0</v>
      </c>
      <c r="R1147" s="2375">
        <f t="shared" si="344"/>
        <v>0</v>
      </c>
      <c r="S1147" s="2848"/>
      <c r="T1147" s="2848"/>
      <c r="U1147" s="2848"/>
      <c r="V1147" s="2848"/>
      <c r="W1147" s="2382">
        <f t="shared" si="343"/>
        <v>21.08</v>
      </c>
      <c r="X1147" s="2590" t="s">
        <v>89</v>
      </c>
      <c r="Y1147" s="2375">
        <f t="shared" si="348"/>
        <v>43813.91</v>
      </c>
      <c r="Z1147" s="2848"/>
      <c r="AA1147" s="2377"/>
    </row>
    <row r="1148" spans="1:27" ht="25" hidden="1" customHeight="1">
      <c r="A1148" s="2590">
        <f>A1147+1</f>
        <v>4</v>
      </c>
      <c r="B1148" s="2673" t="s">
        <v>822</v>
      </c>
      <c r="C1148" s="2674"/>
      <c r="D1148" s="2675"/>
      <c r="E1148" s="2676">
        <f>'13. Vol TPS'!$M$140</f>
        <v>109.60000000000001</v>
      </c>
      <c r="F1148" s="2590" t="s">
        <v>117</v>
      </c>
      <c r="G1148" s="2389">
        <v>55136.41</v>
      </c>
      <c r="H1148" s="2389">
        <f>E1148*G1148</f>
        <v>6042950.5360000012</v>
      </c>
      <c r="I1148" s="2465">
        <f>'Resume Analisa'!$D$74</f>
        <v>52968.270000000004</v>
      </c>
      <c r="J1148" s="2464">
        <f>E1148*I1148</f>
        <v>5805322.3920000009</v>
      </c>
      <c r="K1148" s="2378" t="e">
        <f>IF(H1148=0,"",IF(J1148&lt;#REF!*H1148,"Timpang &lt;"&amp;TEXT(#REF!,"0%"),IF(J1148&gt;#REF!*H1148,"Timpang &gt;"&amp;TEXT(#REF!,"0%"),"Wajar")))</f>
        <v>#REF!</v>
      </c>
      <c r="L1148" s="2391">
        <v>52968.270000000004</v>
      </c>
      <c r="M1148" s="2391">
        <f>E1148*L1148</f>
        <v>5805322.3920000009</v>
      </c>
      <c r="N1148" s="2375">
        <f t="shared" si="349"/>
        <v>2.5358887126088196E-3</v>
      </c>
      <c r="O1148" s="2375">
        <v>0</v>
      </c>
      <c r="P1148" s="2590"/>
      <c r="Q1148" s="2375">
        <f t="shared" si="347"/>
        <v>0</v>
      </c>
      <c r="R1148" s="2375">
        <f t="shared" si="344"/>
        <v>0</v>
      </c>
      <c r="S1148" s="2848"/>
      <c r="T1148" s="2848"/>
      <c r="U1148" s="2848"/>
      <c r="V1148" s="2848"/>
      <c r="W1148" s="2382">
        <f t="shared" si="343"/>
        <v>109.60000000000001</v>
      </c>
      <c r="X1148" s="2590" t="s">
        <v>117</v>
      </c>
      <c r="Y1148" s="2375">
        <f t="shared" si="348"/>
        <v>52968.270000000004</v>
      </c>
      <c r="Z1148" s="2848"/>
      <c r="AA1148" s="2377"/>
    </row>
    <row r="1149" spans="1:27" ht="25" hidden="1" customHeight="1">
      <c r="A1149" s="2398">
        <f>A1148+1</f>
        <v>5</v>
      </c>
      <c r="B1149" s="2549" t="s">
        <v>443</v>
      </c>
      <c r="C1149" s="2550"/>
      <c r="D1149" s="2551"/>
      <c r="E1149" s="2541"/>
      <c r="F1149" s="2398"/>
      <c r="G1149" s="2389"/>
      <c r="H1149" s="2389"/>
      <c r="I1149" s="2692"/>
      <c r="J1149" s="2552"/>
      <c r="K1149" s="2389"/>
      <c r="L1149" s="2391"/>
      <c r="M1149" s="2391"/>
      <c r="N1149" s="2375">
        <f t="shared" si="349"/>
        <v>0</v>
      </c>
      <c r="O1149" s="2375">
        <v>0</v>
      </c>
      <c r="P1149" s="2398"/>
      <c r="Q1149" s="2375">
        <f t="shared" si="347"/>
        <v>0</v>
      </c>
      <c r="R1149" s="2375">
        <f t="shared" si="344"/>
        <v>0</v>
      </c>
      <c r="S1149" s="2376"/>
      <c r="T1149" s="2376"/>
      <c r="U1149" s="2376"/>
      <c r="V1149" s="2376"/>
      <c r="W1149" s="2382">
        <f t="shared" si="343"/>
        <v>0</v>
      </c>
      <c r="X1149" s="2398"/>
      <c r="Y1149" s="2375">
        <f t="shared" si="348"/>
        <v>0</v>
      </c>
      <c r="Z1149" s="2376"/>
      <c r="AA1149" s="2377"/>
    </row>
    <row r="1150" spans="1:27" ht="57.5" hidden="1" customHeight="1">
      <c r="A1150" s="2555" t="s">
        <v>95</v>
      </c>
      <c r="B1150" s="3193" t="s">
        <v>537</v>
      </c>
      <c r="C1150" s="3194"/>
      <c r="D1150" s="3195"/>
      <c r="E1150" s="2541">
        <f>'13. Vol TPS'!$M$142</f>
        <v>16.100000000000001</v>
      </c>
      <c r="F1150" s="2590" t="s">
        <v>89</v>
      </c>
      <c r="G1150" s="2389">
        <v>300628.27</v>
      </c>
      <c r="H1150" s="2389">
        <f t="shared" ref="H1150:H1157" si="350">E1150*G1150</f>
        <v>4840115.1470000008</v>
      </c>
      <c r="I1150" s="2692">
        <f>'Resume Analisa'!$D$224</f>
        <v>290179.7</v>
      </c>
      <c r="J1150" s="2552">
        <f t="shared" ref="J1150:J1157" si="351">E1150*I1150</f>
        <v>4671893.1700000009</v>
      </c>
      <c r="K1150" s="2378" t="e">
        <f>IF(H1150=0,"",IF(J1150&lt;#REF!*H1150,"Timpang &lt;"&amp;TEXT(#REF!,"0%"),IF(J1150&gt;#REF!*H1150,"Timpang &gt;"&amp;TEXT(#REF!,"0%"),"Wajar")))</f>
        <v>#REF!</v>
      </c>
      <c r="L1150" s="2391">
        <v>290179.7</v>
      </c>
      <c r="M1150" s="2391">
        <f t="shared" ref="M1150:M1157" si="352">E1150*L1150</f>
        <v>4671893.1700000009</v>
      </c>
      <c r="N1150" s="2375">
        <f t="shared" si="349"/>
        <v>2.0407826398484773E-3</v>
      </c>
      <c r="O1150" s="2375">
        <v>0</v>
      </c>
      <c r="P1150" s="2590"/>
      <c r="Q1150" s="2375">
        <f t="shared" si="347"/>
        <v>0</v>
      </c>
      <c r="R1150" s="2375">
        <f t="shared" si="344"/>
        <v>0</v>
      </c>
      <c r="S1150" s="2376"/>
      <c r="T1150" s="2376"/>
      <c r="U1150" s="2376"/>
      <c r="V1150" s="2376"/>
      <c r="W1150" s="2382">
        <f t="shared" si="343"/>
        <v>16.100000000000001</v>
      </c>
      <c r="X1150" s="2590" t="s">
        <v>89</v>
      </c>
      <c r="Y1150" s="2375">
        <f t="shared" si="348"/>
        <v>290179.7</v>
      </c>
      <c r="Z1150" s="2376"/>
      <c r="AA1150" s="2377"/>
    </row>
    <row r="1151" spans="1:27" ht="56.5" hidden="1" customHeight="1">
      <c r="A1151" s="2555" t="s">
        <v>98</v>
      </c>
      <c r="B1151" s="3193" t="s">
        <v>538</v>
      </c>
      <c r="C1151" s="3194"/>
      <c r="D1151" s="3195"/>
      <c r="E1151" s="2541">
        <f>'13. Vol TPS'!$M$143</f>
        <v>42</v>
      </c>
      <c r="F1151" s="2398" t="s">
        <v>117</v>
      </c>
      <c r="G1151" s="2389">
        <v>6893.1</v>
      </c>
      <c r="H1151" s="2389">
        <f t="shared" si="350"/>
        <v>289510.2</v>
      </c>
      <c r="I1151" s="2692">
        <f>'Resume Analisa'!$D$222</f>
        <v>6849.5700000000006</v>
      </c>
      <c r="J1151" s="2552">
        <f t="shared" si="351"/>
        <v>287681.94</v>
      </c>
      <c r="K1151" s="2378" t="e">
        <f>IF(H1151=0,"",IF(J1151&lt;#REF!*H1151,"Timpang &lt;"&amp;TEXT(#REF!,"0%"),IF(J1151&gt;#REF!*H1151,"Timpang &gt;"&amp;TEXT(#REF!,"0%"),"Wajar")))</f>
        <v>#REF!</v>
      </c>
      <c r="L1151" s="2391">
        <v>6849.5700000000006</v>
      </c>
      <c r="M1151" s="2391">
        <f t="shared" si="352"/>
        <v>287681.94</v>
      </c>
      <c r="N1151" s="2375">
        <f t="shared" si="349"/>
        <v>1.2566561083200692E-4</v>
      </c>
      <c r="O1151" s="2375">
        <v>0</v>
      </c>
      <c r="P1151" s="2398"/>
      <c r="Q1151" s="2375">
        <f t="shared" si="347"/>
        <v>0</v>
      </c>
      <c r="R1151" s="2375">
        <f t="shared" si="344"/>
        <v>0</v>
      </c>
      <c r="S1151" s="2376"/>
      <c r="T1151" s="2376"/>
      <c r="U1151" s="2376"/>
      <c r="V1151" s="2376"/>
      <c r="W1151" s="2382">
        <f t="shared" si="343"/>
        <v>42</v>
      </c>
      <c r="X1151" s="2398" t="s">
        <v>117</v>
      </c>
      <c r="Y1151" s="2375">
        <f t="shared" si="348"/>
        <v>6849.5700000000006</v>
      </c>
      <c r="Z1151" s="2376"/>
      <c r="AA1151" s="2377"/>
    </row>
    <row r="1152" spans="1:27" ht="25" hidden="1" customHeight="1">
      <c r="A1152" s="2589" t="s">
        <v>101</v>
      </c>
      <c r="B1152" s="2549" t="s">
        <v>823</v>
      </c>
      <c r="C1152" s="2550"/>
      <c r="D1152" s="2551"/>
      <c r="E1152" s="2541">
        <f>'13. Vol TPS'!$M$144</f>
        <v>30</v>
      </c>
      <c r="F1152" s="2398" t="s">
        <v>824</v>
      </c>
      <c r="G1152" s="2389">
        <v>15323.75</v>
      </c>
      <c r="H1152" s="2389">
        <f t="shared" si="350"/>
        <v>459712.5</v>
      </c>
      <c r="I1152" s="2692">
        <f>'Resume Analisa'!$D$223</f>
        <v>14549.61</v>
      </c>
      <c r="J1152" s="2552">
        <f t="shared" si="351"/>
        <v>436488.30000000005</v>
      </c>
      <c r="K1152" s="2378" t="e">
        <f>IF(H1152=0,"",IF(J1152&lt;#REF!*H1152,"Timpang &lt;"&amp;TEXT(#REF!,"0%"),IF(J1152&gt;#REF!*H1152,"Timpang &gt;"&amp;TEXT(#REF!,"0%"),"Wajar")))</f>
        <v>#REF!</v>
      </c>
      <c r="L1152" s="2391">
        <v>14549.61</v>
      </c>
      <c r="M1152" s="2391">
        <f t="shared" si="352"/>
        <v>436488.30000000005</v>
      </c>
      <c r="N1152" s="2375">
        <f t="shared" si="349"/>
        <v>1.9066740456673886E-4</v>
      </c>
      <c r="O1152" s="2375">
        <v>0</v>
      </c>
      <c r="P1152" s="2398"/>
      <c r="Q1152" s="2375">
        <f t="shared" si="347"/>
        <v>0</v>
      </c>
      <c r="R1152" s="2375">
        <f t="shared" si="344"/>
        <v>0</v>
      </c>
      <c r="S1152" s="2376"/>
      <c r="T1152" s="2376"/>
      <c r="U1152" s="2376"/>
      <c r="V1152" s="2376"/>
      <c r="W1152" s="2382">
        <f t="shared" si="343"/>
        <v>30</v>
      </c>
      <c r="X1152" s="2398" t="s">
        <v>824</v>
      </c>
      <c r="Y1152" s="2375">
        <f t="shared" si="348"/>
        <v>14549.61</v>
      </c>
      <c r="Z1152" s="2376"/>
      <c r="AA1152" s="2377"/>
    </row>
    <row r="1153" spans="1:27" ht="25" hidden="1" customHeight="1">
      <c r="A1153" s="2589" t="s">
        <v>121</v>
      </c>
      <c r="B1153" s="2549" t="s">
        <v>539</v>
      </c>
      <c r="C1153" s="2550"/>
      <c r="D1153" s="2551"/>
      <c r="E1153" s="2541">
        <f>'13. Vol TPS'!$M$147</f>
        <v>36.599999999999994</v>
      </c>
      <c r="F1153" s="2590" t="s">
        <v>89</v>
      </c>
      <c r="G1153" s="2389">
        <v>232335.08000000002</v>
      </c>
      <c r="H1153" s="2389">
        <f t="shared" si="350"/>
        <v>8503463.9279999994</v>
      </c>
      <c r="I1153" s="2588">
        <f>'Resume Analisa'!$D$64</f>
        <v>240387.47</v>
      </c>
      <c r="J1153" s="2552">
        <f t="shared" si="351"/>
        <v>8798181.4019999988</v>
      </c>
      <c r="K1153" s="2378" t="e">
        <f>IF(H1153=0,"",IF(J1153&lt;#REF!*H1153,"Timpang &lt;"&amp;TEXT(#REF!,"0%"),IF(J1153&gt;#REF!*H1153,"Timpang &gt;"&amp;TEXT(#REF!,"0%"),"Wajar")))</f>
        <v>#REF!</v>
      </c>
      <c r="L1153" s="2391">
        <v>240387.47</v>
      </c>
      <c r="M1153" s="2391">
        <f t="shared" si="352"/>
        <v>8798181.4019999988</v>
      </c>
      <c r="N1153" s="2375">
        <f t="shared" si="349"/>
        <v>3.8432333989861615E-3</v>
      </c>
      <c r="O1153" s="2375">
        <v>0</v>
      </c>
      <c r="P1153" s="2590"/>
      <c r="Q1153" s="2375">
        <f t="shared" si="347"/>
        <v>0</v>
      </c>
      <c r="R1153" s="2375">
        <f t="shared" si="344"/>
        <v>0</v>
      </c>
      <c r="S1153" s="2376"/>
      <c r="T1153" s="2376"/>
      <c r="U1153" s="2376"/>
      <c r="V1153" s="2376"/>
      <c r="W1153" s="2382">
        <f t="shared" si="343"/>
        <v>36.599999999999994</v>
      </c>
      <c r="X1153" s="2590" t="s">
        <v>89</v>
      </c>
      <c r="Y1153" s="2375">
        <f t="shared" si="348"/>
        <v>240387.47</v>
      </c>
      <c r="Z1153" s="2376"/>
      <c r="AA1153" s="2377"/>
    </row>
    <row r="1154" spans="1:27" ht="25" hidden="1" customHeight="1">
      <c r="A1154" s="2590">
        <f>A1149+1</f>
        <v>6</v>
      </c>
      <c r="B1154" s="2854" t="s">
        <v>825</v>
      </c>
      <c r="C1154" s="2855"/>
      <c r="D1154" s="2856"/>
      <c r="E1154" s="2676">
        <f>'13. Vol TPS'!$M$119</f>
        <v>6</v>
      </c>
      <c r="F1154" s="2590" t="s">
        <v>117</v>
      </c>
      <c r="G1154" s="2389">
        <v>266455</v>
      </c>
      <c r="H1154" s="2389">
        <f t="shared" si="350"/>
        <v>1598730</v>
      </c>
      <c r="I1154" s="2465">
        <f>'Resume Analisa'!$D$66</f>
        <v>263953.74</v>
      </c>
      <c r="J1154" s="2464">
        <f t="shared" si="351"/>
        <v>1583722.44</v>
      </c>
      <c r="K1154" s="2378" t="e">
        <f>IF(H1154=0,"",IF(J1154&lt;#REF!*H1154,"Timpang &lt;"&amp;TEXT(#REF!,"0%"),IF(J1154&gt;#REF!*H1154,"Timpang &gt;"&amp;TEXT(#REF!,"0%"),"Wajar")))</f>
        <v>#REF!</v>
      </c>
      <c r="L1154" s="2391">
        <v>263953.74</v>
      </c>
      <c r="M1154" s="2391">
        <f t="shared" si="352"/>
        <v>1583722.44</v>
      </c>
      <c r="N1154" s="2375">
        <f t="shared" si="349"/>
        <v>6.9180376012118253E-4</v>
      </c>
      <c r="O1154" s="2375">
        <v>0</v>
      </c>
      <c r="P1154" s="2590"/>
      <c r="Q1154" s="2375">
        <f t="shared" si="347"/>
        <v>0</v>
      </c>
      <c r="R1154" s="2375">
        <f t="shared" si="344"/>
        <v>0</v>
      </c>
      <c r="S1154" s="2848"/>
      <c r="T1154" s="2848"/>
      <c r="U1154" s="2848"/>
      <c r="V1154" s="2848"/>
      <c r="W1154" s="2382">
        <f t="shared" si="343"/>
        <v>6</v>
      </c>
      <c r="X1154" s="2590" t="s">
        <v>117</v>
      </c>
      <c r="Y1154" s="2375">
        <f t="shared" si="348"/>
        <v>263953.74</v>
      </c>
      <c r="Z1154" s="2848"/>
      <c r="AA1154" s="2377"/>
    </row>
    <row r="1155" spans="1:27" ht="65" hidden="1" customHeight="1">
      <c r="A1155" s="2590">
        <f>A1154+1</f>
        <v>7</v>
      </c>
      <c r="B1155" s="3214" t="s">
        <v>826</v>
      </c>
      <c r="C1155" s="3215"/>
      <c r="D1155" s="3216"/>
      <c r="E1155" s="2676">
        <f>14.4*0.9</f>
        <v>12.96</v>
      </c>
      <c r="F1155" s="2590" t="s">
        <v>89</v>
      </c>
      <c r="G1155" s="2389">
        <v>1366237.15</v>
      </c>
      <c r="H1155" s="2389">
        <f t="shared" si="350"/>
        <v>17706433.464000002</v>
      </c>
      <c r="I1155" s="2465">
        <f>'Resume Analisa'!$D$78</f>
        <v>1359700.48</v>
      </c>
      <c r="J1155" s="2464">
        <f t="shared" si="351"/>
        <v>17621718.220800001</v>
      </c>
      <c r="K1155" s="2378" t="e">
        <f>IF(H1155=0,"",IF(J1155&lt;#REF!*H1155,"Timpang &lt;"&amp;TEXT(#REF!,"0%"),IF(J1155&gt;#REF!*H1155,"Timpang &gt;"&amp;TEXT(#REF!,"0%"),"Wajar")))</f>
        <v>#REF!</v>
      </c>
      <c r="L1155" s="2391">
        <v>1359700.48</v>
      </c>
      <c r="M1155" s="2391">
        <f t="shared" si="352"/>
        <v>17621718.220800001</v>
      </c>
      <c r="N1155" s="2375">
        <f t="shared" si="349"/>
        <v>7.6975425851422523E-3</v>
      </c>
      <c r="O1155" s="2375">
        <v>0</v>
      </c>
      <c r="P1155" s="2590"/>
      <c r="Q1155" s="2375">
        <f t="shared" si="347"/>
        <v>0</v>
      </c>
      <c r="R1155" s="2375">
        <f t="shared" si="344"/>
        <v>0</v>
      </c>
      <c r="S1155" s="2848"/>
      <c r="T1155" s="2848"/>
      <c r="U1155" s="2848"/>
      <c r="V1155" s="2848"/>
      <c r="W1155" s="2382">
        <f t="shared" si="343"/>
        <v>12.96</v>
      </c>
      <c r="X1155" s="2590" t="s">
        <v>89</v>
      </c>
      <c r="Y1155" s="2375">
        <f t="shared" si="348"/>
        <v>1359700.48</v>
      </c>
      <c r="Z1155" s="2848"/>
      <c r="AA1155" s="2377"/>
    </row>
    <row r="1156" spans="1:27" ht="53.5" hidden="1" customHeight="1">
      <c r="A1156" s="2590">
        <f>A1155+1</f>
        <v>8</v>
      </c>
      <c r="B1156" s="3217" t="s">
        <v>827</v>
      </c>
      <c r="C1156" s="3218"/>
      <c r="D1156" s="3219"/>
      <c r="E1156" s="2676">
        <v>22</v>
      </c>
      <c r="F1156" s="2590" t="s">
        <v>124</v>
      </c>
      <c r="G1156" s="2389">
        <v>578268.59</v>
      </c>
      <c r="H1156" s="2389">
        <f t="shared" si="350"/>
        <v>12721908.979999999</v>
      </c>
      <c r="I1156" s="2465">
        <f>'Resume Analisa'!$D$94</f>
        <v>557139.72</v>
      </c>
      <c r="J1156" s="2464">
        <f t="shared" si="351"/>
        <v>12257073.84</v>
      </c>
      <c r="K1156" s="2378" t="e">
        <f>IF(H1156=0,"",IF(J1156&lt;#REF!*H1156,"Timpang &lt;"&amp;TEXT(#REF!,"0%"),IF(J1156&gt;#REF!*H1156,"Timpang &gt;"&amp;TEXT(#REF!,"0%"),"Wajar")))</f>
        <v>#REF!</v>
      </c>
      <c r="L1156" s="2391">
        <v>557139.72</v>
      </c>
      <c r="M1156" s="2391">
        <f t="shared" si="352"/>
        <v>12257073.84</v>
      </c>
      <c r="N1156" s="2375">
        <f t="shared" si="349"/>
        <v>5.3541514323652457E-3</v>
      </c>
      <c r="O1156" s="2375">
        <v>0</v>
      </c>
      <c r="P1156" s="2590"/>
      <c r="Q1156" s="2375">
        <f t="shared" si="347"/>
        <v>0</v>
      </c>
      <c r="R1156" s="2375">
        <f t="shared" si="344"/>
        <v>0</v>
      </c>
      <c r="S1156" s="2848"/>
      <c r="T1156" s="2848"/>
      <c r="U1156" s="2848"/>
      <c r="V1156" s="2848"/>
      <c r="W1156" s="2382">
        <f t="shared" si="343"/>
        <v>22</v>
      </c>
      <c r="X1156" s="2590" t="s">
        <v>124</v>
      </c>
      <c r="Y1156" s="2375">
        <f t="shared" si="348"/>
        <v>557139.72</v>
      </c>
      <c r="Z1156" s="2848"/>
      <c r="AA1156" s="2377"/>
    </row>
    <row r="1157" spans="1:27" ht="25" hidden="1" customHeight="1">
      <c r="A1157" s="2590">
        <f>A1156+1</f>
        <v>9</v>
      </c>
      <c r="B1157" s="2673" t="s">
        <v>828</v>
      </c>
      <c r="C1157" s="2674"/>
      <c r="D1157" s="2675"/>
      <c r="E1157" s="2676">
        <f>'13. Vol TPS'!$M$155</f>
        <v>21.08</v>
      </c>
      <c r="F1157" s="2590" t="s">
        <v>89</v>
      </c>
      <c r="G1157" s="2389">
        <v>43920.34</v>
      </c>
      <c r="H1157" s="2389">
        <f t="shared" si="350"/>
        <v>925840.76719999989</v>
      </c>
      <c r="I1157" s="2465">
        <f>'Resume Analisa'!$D$81</f>
        <v>44323.37</v>
      </c>
      <c r="J1157" s="2464">
        <f t="shared" si="351"/>
        <v>934336.63959999999</v>
      </c>
      <c r="K1157" s="2378" t="e">
        <f>IF(H1157=0,"",IF(J1157&lt;#REF!*H1157,"Timpang &lt;"&amp;TEXT(#REF!,"0%"),IF(J1157&gt;#REF!*H1157,"Timpang &gt;"&amp;TEXT(#REF!,"0%"),"Wajar")))</f>
        <v>#REF!</v>
      </c>
      <c r="L1157" s="2391">
        <v>44323.37</v>
      </c>
      <c r="M1157" s="2391">
        <f t="shared" si="352"/>
        <v>934336.63959999999</v>
      </c>
      <c r="N1157" s="2375">
        <f t="shared" si="349"/>
        <v>4.0813818391957E-4</v>
      </c>
      <c r="O1157" s="2375">
        <v>0</v>
      </c>
      <c r="P1157" s="2590"/>
      <c r="Q1157" s="2375">
        <f t="shared" si="347"/>
        <v>0</v>
      </c>
      <c r="R1157" s="2375">
        <f t="shared" si="344"/>
        <v>0</v>
      </c>
      <c r="S1157" s="2848"/>
      <c r="T1157" s="2848"/>
      <c r="U1157" s="2848"/>
      <c r="V1157" s="2848"/>
      <c r="W1157" s="2382">
        <f t="shared" si="343"/>
        <v>21.08</v>
      </c>
      <c r="X1157" s="2590" t="s">
        <v>89</v>
      </c>
      <c r="Y1157" s="2375">
        <f t="shared" si="348"/>
        <v>44323.37</v>
      </c>
      <c r="Z1157" s="2848"/>
      <c r="AA1157" s="2377"/>
    </row>
    <row r="1158" spans="1:27" ht="25" hidden="1" customHeight="1">
      <c r="A1158" s="2797"/>
      <c r="B1158" s="2673"/>
      <c r="C1158" s="2674"/>
      <c r="D1158" s="2632" t="s">
        <v>376</v>
      </c>
      <c r="E1158" s="2676"/>
      <c r="F1158" s="2697"/>
      <c r="G1158" s="2546"/>
      <c r="H1158" s="2546">
        <f>SUM(H1145:H1157)</f>
        <v>60767965.585549995</v>
      </c>
      <c r="I1158" s="2798"/>
      <c r="J1158" s="2543">
        <f>SUM(J1145:J1157)</f>
        <v>59799391.995200001</v>
      </c>
      <c r="K1158" s="2546"/>
      <c r="L1158" s="2457"/>
      <c r="M1158" s="2457">
        <f>SUM(M1145:M1157)</f>
        <v>59799391.995200001</v>
      </c>
      <c r="N1158" s="2375">
        <f t="shared" si="349"/>
        <v>2.6121650606428175E-2</v>
      </c>
      <c r="O1158" s="2375">
        <v>0</v>
      </c>
      <c r="P1158" s="2697"/>
      <c r="Q1158" s="2375">
        <f t="shared" si="347"/>
        <v>0</v>
      </c>
      <c r="R1158" s="2375">
        <f t="shared" si="344"/>
        <v>0</v>
      </c>
      <c r="S1158" s="2857"/>
      <c r="T1158" s="2857"/>
      <c r="U1158" s="2857"/>
      <c r="V1158" s="2857"/>
      <c r="W1158" s="2382">
        <f t="shared" si="343"/>
        <v>0</v>
      </c>
      <c r="X1158" s="2697"/>
      <c r="Y1158" s="2375">
        <f t="shared" si="348"/>
        <v>0</v>
      </c>
      <c r="Z1158" s="2857"/>
      <c r="AA1158" s="2377"/>
    </row>
    <row r="1159" spans="1:27" ht="25" hidden="1" customHeight="1">
      <c r="A1159" s="2869" t="s">
        <v>690</v>
      </c>
      <c r="B1159" s="3124" t="s">
        <v>829</v>
      </c>
      <c r="C1159" s="2858"/>
      <c r="D1159" s="2859"/>
      <c r="E1159" s="2860"/>
      <c r="F1159" s="2860"/>
      <c r="G1159" s="2861"/>
      <c r="H1159" s="2372"/>
      <c r="I1159" s="2860"/>
      <c r="J1159" s="2860"/>
      <c r="K1159" s="2372"/>
      <c r="L1159" s="2391"/>
      <c r="M1159" s="2391"/>
      <c r="N1159" s="2375">
        <f t="shared" si="349"/>
        <v>0</v>
      </c>
      <c r="O1159" s="2375">
        <v>0</v>
      </c>
      <c r="P1159" s="2860"/>
      <c r="Q1159" s="2375">
        <f t="shared" si="347"/>
        <v>0</v>
      </c>
      <c r="R1159" s="2375">
        <f t="shared" si="344"/>
        <v>0</v>
      </c>
      <c r="S1159" s="2862"/>
      <c r="T1159" s="2862"/>
      <c r="U1159" s="2862"/>
      <c r="V1159" s="2862"/>
      <c r="W1159" s="2382">
        <f t="shared" si="343"/>
        <v>0</v>
      </c>
      <c r="X1159" s="2860"/>
      <c r="Y1159" s="2375">
        <f t="shared" si="348"/>
        <v>0</v>
      </c>
      <c r="Z1159" s="2862"/>
      <c r="AA1159" s="2377"/>
    </row>
    <row r="1160" spans="1:27" ht="25" hidden="1" customHeight="1">
      <c r="A1160" s="2869" t="s">
        <v>692</v>
      </c>
      <c r="B1160" s="3124" t="s">
        <v>395</v>
      </c>
      <c r="C1160" s="2858"/>
      <c r="D1160" s="2859"/>
      <c r="E1160" s="2863"/>
      <c r="F1160" s="2396"/>
      <c r="G1160" s="2731"/>
      <c r="H1160" s="2372"/>
      <c r="I1160" s="2864"/>
      <c r="J1160" s="2860"/>
      <c r="K1160" s="2372"/>
      <c r="L1160" s="2391"/>
      <c r="M1160" s="2391"/>
      <c r="N1160" s="2375">
        <f t="shared" si="349"/>
        <v>0</v>
      </c>
      <c r="O1160" s="2375">
        <v>0</v>
      </c>
      <c r="P1160" s="2396"/>
      <c r="Q1160" s="2375">
        <f t="shared" si="347"/>
        <v>0</v>
      </c>
      <c r="R1160" s="2375">
        <f t="shared" si="344"/>
        <v>0</v>
      </c>
      <c r="S1160" s="2376"/>
      <c r="T1160" s="2376"/>
      <c r="U1160" s="2376"/>
      <c r="V1160" s="2376"/>
      <c r="W1160" s="2382">
        <f t="shared" si="343"/>
        <v>0</v>
      </c>
      <c r="X1160" s="2396"/>
      <c r="Y1160" s="2375">
        <f t="shared" si="348"/>
        <v>0</v>
      </c>
      <c r="Z1160" s="2376"/>
      <c r="AA1160" s="2377"/>
    </row>
    <row r="1161" spans="1:27" ht="25" hidden="1" customHeight="1">
      <c r="A1161" s="2396">
        <v>1</v>
      </c>
      <c r="B1161" s="2865" t="s">
        <v>396</v>
      </c>
      <c r="C1161" s="2858"/>
      <c r="D1161" s="2859"/>
      <c r="E1161" s="2863">
        <f>'14. Vol Genset'!$M$15</f>
        <v>31</v>
      </c>
      <c r="F1161" s="2396" t="s">
        <v>117</v>
      </c>
      <c r="G1161" s="2731">
        <v>167131.79999999999</v>
      </c>
      <c r="H1161" s="2389">
        <f>E1161*G1161</f>
        <v>5181085.8</v>
      </c>
      <c r="I1161" s="2866">
        <f>'Resume Analisa'!$D$9</f>
        <v>174862.27000000002</v>
      </c>
      <c r="J1161" s="2400">
        <f>E1161*I1161</f>
        <v>5420730.370000001</v>
      </c>
      <c r="K1161" s="2378" t="e">
        <f>IF(H1161=0,"",IF(J1161&lt;#REF!*H1161,"Timpang &lt;"&amp;TEXT(#REF!,"0%"),IF(J1161&gt;#REF!*H1161,"Timpang &gt;"&amp;TEXT(#REF!,"0%"),"Wajar")))</f>
        <v>#REF!</v>
      </c>
      <c r="L1161" s="2391">
        <v>174862.27000000002</v>
      </c>
      <c r="M1161" s="2391">
        <f>E1161*L1161</f>
        <v>5420730.370000001</v>
      </c>
      <c r="N1161" s="2375">
        <f t="shared" si="349"/>
        <v>2.367890709794508E-3</v>
      </c>
      <c r="O1161" s="2375">
        <v>0</v>
      </c>
      <c r="P1161" s="2396"/>
      <c r="Q1161" s="2375">
        <f t="shared" si="347"/>
        <v>0</v>
      </c>
      <c r="R1161" s="2375">
        <f t="shared" si="344"/>
        <v>0</v>
      </c>
      <c r="S1161" s="2376"/>
      <c r="T1161" s="2376"/>
      <c r="U1161" s="2376"/>
      <c r="V1161" s="2376"/>
      <c r="W1161" s="2382">
        <f t="shared" si="343"/>
        <v>31</v>
      </c>
      <c r="X1161" s="2396" t="s">
        <v>117</v>
      </c>
      <c r="Y1161" s="2375">
        <f t="shared" si="348"/>
        <v>174862.27000000002</v>
      </c>
      <c r="Z1161" s="2376"/>
      <c r="AA1161" s="2377"/>
    </row>
    <row r="1162" spans="1:27" ht="25" hidden="1" customHeight="1">
      <c r="A1162" s="2553">
        <f>A1161+1</f>
        <v>2</v>
      </c>
      <c r="B1162" s="2554" t="s">
        <v>397</v>
      </c>
      <c r="C1162" s="2550"/>
      <c r="D1162" s="2551"/>
      <c r="E1162" s="2397"/>
      <c r="F1162" s="2398"/>
      <c r="G1162" s="2731"/>
      <c r="H1162" s="2389"/>
      <c r="I1162" s="2480"/>
      <c r="J1162" s="2782"/>
      <c r="K1162" s="2389"/>
      <c r="L1162" s="2391"/>
      <c r="M1162" s="2391"/>
      <c r="N1162" s="2375">
        <f t="shared" si="349"/>
        <v>0</v>
      </c>
      <c r="O1162" s="2375">
        <v>0</v>
      </c>
      <c r="P1162" s="2398"/>
      <c r="Q1162" s="2375">
        <f t="shared" si="347"/>
        <v>0</v>
      </c>
      <c r="R1162" s="2375">
        <f t="shared" si="344"/>
        <v>0</v>
      </c>
      <c r="S1162" s="2376"/>
      <c r="T1162" s="2376"/>
      <c r="U1162" s="2376"/>
      <c r="V1162" s="2376"/>
      <c r="W1162" s="2382">
        <f t="shared" si="343"/>
        <v>0</v>
      </c>
      <c r="X1162" s="2398"/>
      <c r="Y1162" s="2375">
        <f t="shared" si="348"/>
        <v>0</v>
      </c>
      <c r="Z1162" s="2376"/>
      <c r="AA1162" s="2377"/>
    </row>
    <row r="1163" spans="1:27" ht="25" hidden="1" customHeight="1">
      <c r="A1163" s="2555" t="s">
        <v>95</v>
      </c>
      <c r="B1163" s="2554" t="s">
        <v>398</v>
      </c>
      <c r="C1163" s="2550"/>
      <c r="D1163" s="2551"/>
      <c r="E1163" s="2852">
        <f>'14. Vol Genset'!$M$17</f>
        <v>7.2000000000000011</v>
      </c>
      <c r="F1163" s="2398" t="s">
        <v>103</v>
      </c>
      <c r="G1163" s="2731">
        <v>50600</v>
      </c>
      <c r="H1163" s="2389">
        <f t="shared" ref="H1163:H1169" si="353">E1163*G1163</f>
        <v>364320.00000000006</v>
      </c>
      <c r="I1163" s="2465">
        <f>'Resume Analisa'!$D$18</f>
        <v>49036.76</v>
      </c>
      <c r="J1163" s="2480">
        <f>I1163*E1163</f>
        <v>353064.67200000008</v>
      </c>
      <c r="K1163" s="2378" t="e">
        <f>IF(H1163=0,"",IF(J1163&lt;#REF!*H1163,"Timpang &lt;"&amp;TEXT(#REF!,"0%"),IF(J1163&gt;#REF!*H1163,"Timpang &gt;"&amp;TEXT(#REF!,"0%"),"Wajar")))</f>
        <v>#REF!</v>
      </c>
      <c r="L1163" s="2391">
        <v>49036.76</v>
      </c>
      <c r="M1163" s="2391">
        <f t="shared" ref="M1163:M1169" si="354">E1163*L1163</f>
        <v>353064.67200000008</v>
      </c>
      <c r="N1163" s="2375">
        <f t="shared" si="349"/>
        <v>1.5422618350697365E-4</v>
      </c>
      <c r="O1163" s="2375">
        <v>0</v>
      </c>
      <c r="P1163" s="2398"/>
      <c r="Q1163" s="2375">
        <f t="shared" si="347"/>
        <v>0</v>
      </c>
      <c r="R1163" s="2375">
        <f t="shared" si="344"/>
        <v>0</v>
      </c>
      <c r="S1163" s="2376"/>
      <c r="T1163" s="2376"/>
      <c r="U1163" s="2376"/>
      <c r="V1163" s="2376"/>
      <c r="W1163" s="2382">
        <f t="shared" si="343"/>
        <v>7.2000000000000011</v>
      </c>
      <c r="X1163" s="2398" t="s">
        <v>103</v>
      </c>
      <c r="Y1163" s="2375">
        <f t="shared" si="348"/>
        <v>49036.76</v>
      </c>
      <c r="Z1163" s="2376"/>
      <c r="AA1163" s="2377"/>
    </row>
    <row r="1164" spans="1:27" ht="25" hidden="1" customHeight="1">
      <c r="A1164" s="2555" t="s">
        <v>98</v>
      </c>
      <c r="B1164" s="2554" t="s">
        <v>399</v>
      </c>
      <c r="C1164" s="2550"/>
      <c r="D1164" s="2551"/>
      <c r="E1164" s="2852">
        <f>'14. Vol Genset'!$M$18</f>
        <v>0.42000000000000004</v>
      </c>
      <c r="F1164" s="2398" t="s">
        <v>103</v>
      </c>
      <c r="G1164" s="2731">
        <v>507759.96</v>
      </c>
      <c r="H1164" s="2389">
        <f t="shared" si="353"/>
        <v>213259.18320000003</v>
      </c>
      <c r="I1164" s="2480">
        <f>'Resume Analisa'!$D$26</f>
        <v>475358.64</v>
      </c>
      <c r="J1164" s="2480">
        <f>I1164*E1164</f>
        <v>199650.62880000003</v>
      </c>
      <c r="K1164" s="2378" t="e">
        <f>IF(H1164=0,"",IF(J1164&lt;#REF!*H1164,"Timpang &lt;"&amp;TEXT(#REF!,"0%"),IF(J1164&gt;#REF!*H1164,"Timpang &gt;"&amp;TEXT(#REF!,"0%"),"Wajar")))</f>
        <v>#REF!</v>
      </c>
      <c r="L1164" s="2391">
        <v>475358.64</v>
      </c>
      <c r="M1164" s="2391">
        <f t="shared" si="354"/>
        <v>199650.62880000003</v>
      </c>
      <c r="N1164" s="2375">
        <f t="shared" si="349"/>
        <v>8.7211655417598614E-5</v>
      </c>
      <c r="O1164" s="2375">
        <v>0</v>
      </c>
      <c r="P1164" s="2398"/>
      <c r="Q1164" s="2375">
        <f t="shared" si="347"/>
        <v>0</v>
      </c>
      <c r="R1164" s="2375">
        <f t="shared" si="344"/>
        <v>0</v>
      </c>
      <c r="S1164" s="2376"/>
      <c r="T1164" s="2376"/>
      <c r="U1164" s="2376"/>
      <c r="V1164" s="2376"/>
      <c r="W1164" s="2382">
        <f t="shared" si="343"/>
        <v>0.42000000000000004</v>
      </c>
      <c r="X1164" s="2398" t="s">
        <v>103</v>
      </c>
      <c r="Y1164" s="2375">
        <f t="shared" si="348"/>
        <v>475358.64</v>
      </c>
      <c r="Z1164" s="2376"/>
      <c r="AA1164" s="2377"/>
    </row>
    <row r="1165" spans="1:27" ht="25" hidden="1" customHeight="1">
      <c r="A1165" s="2555" t="s">
        <v>101</v>
      </c>
      <c r="B1165" s="2554" t="s">
        <v>400</v>
      </c>
      <c r="C1165" s="2550"/>
      <c r="D1165" s="2551"/>
      <c r="E1165" s="2852">
        <f>'14. Vol Genset'!$M$19</f>
        <v>0.18</v>
      </c>
      <c r="F1165" s="2398" t="s">
        <v>103</v>
      </c>
      <c r="G1165" s="2731">
        <v>1422226.08</v>
      </c>
      <c r="H1165" s="2389">
        <f t="shared" si="353"/>
        <v>256000.69440000001</v>
      </c>
      <c r="I1165" s="2465">
        <f>'Resume Analisa'!$D$54</f>
        <v>1384580.76</v>
      </c>
      <c r="J1165" s="2567">
        <f>E1165*I1165</f>
        <v>249224.5368</v>
      </c>
      <c r="K1165" s="2378" t="e">
        <f>IF(H1165=0,"",IF(J1165&lt;#REF!*H1165,"Timpang &lt;"&amp;TEXT(#REF!,"0%"),IF(J1165&gt;#REF!*H1165,"Timpang &gt;"&amp;TEXT(#REF!,"0%"),"Wajar")))</f>
        <v>#REF!</v>
      </c>
      <c r="L1165" s="2391">
        <v>1384580.76</v>
      </c>
      <c r="M1165" s="2391">
        <f t="shared" si="354"/>
        <v>249224.5368</v>
      </c>
      <c r="N1165" s="2375">
        <f t="shared" ref="N1165:N1196" si="355">M1165/$M$8</f>
        <v>1.0886659639216834E-4</v>
      </c>
      <c r="O1165" s="2375">
        <v>0</v>
      </c>
      <c r="P1165" s="2398"/>
      <c r="Q1165" s="2375">
        <f t="shared" si="347"/>
        <v>0</v>
      </c>
      <c r="R1165" s="2375">
        <f t="shared" si="344"/>
        <v>0</v>
      </c>
      <c r="S1165" s="2376"/>
      <c r="T1165" s="2376"/>
      <c r="U1165" s="2376"/>
      <c r="V1165" s="2376"/>
      <c r="W1165" s="2382">
        <f t="shared" si="343"/>
        <v>0.18</v>
      </c>
      <c r="X1165" s="2398" t="s">
        <v>103</v>
      </c>
      <c r="Y1165" s="2375">
        <f t="shared" si="348"/>
        <v>1384580.76</v>
      </c>
      <c r="Z1165" s="2376"/>
      <c r="AA1165" s="2377"/>
    </row>
    <row r="1166" spans="1:27" ht="25" hidden="1" customHeight="1">
      <c r="A1166" s="2555" t="s">
        <v>121</v>
      </c>
      <c r="B1166" s="2554" t="s">
        <v>401</v>
      </c>
      <c r="C1166" s="2550"/>
      <c r="D1166" s="2551"/>
      <c r="E1166" s="2852">
        <f>'14. Vol Genset'!$M$20</f>
        <v>7.2000000000000037</v>
      </c>
      <c r="F1166" s="2398" t="s">
        <v>103</v>
      </c>
      <c r="G1166" s="2731">
        <v>188325.18000000002</v>
      </c>
      <c r="H1166" s="2389">
        <f t="shared" si="353"/>
        <v>1355941.2960000008</v>
      </c>
      <c r="I1166" s="2465">
        <f>'Resume Analisa'!$D$68</f>
        <v>181829.52000000002</v>
      </c>
      <c r="J1166" s="2782">
        <f>E1166*I1166</f>
        <v>1309172.5440000009</v>
      </c>
      <c r="K1166" s="2378" t="e">
        <f>IF(H1166=0,"",IF(J1166&lt;#REF!*H1166,"Timpang &lt;"&amp;TEXT(#REF!,"0%"),IF(J1166&gt;#REF!*H1166,"Timpang &gt;"&amp;TEXT(#REF!,"0%"),"Wajar")))</f>
        <v>#REF!</v>
      </c>
      <c r="L1166" s="2391">
        <v>181829.52000000002</v>
      </c>
      <c r="M1166" s="2391">
        <f t="shared" si="354"/>
        <v>1309172.5440000009</v>
      </c>
      <c r="N1166" s="2375">
        <f t="shared" si="355"/>
        <v>5.718745063602275E-4</v>
      </c>
      <c r="O1166" s="2375">
        <v>0</v>
      </c>
      <c r="P1166" s="2398"/>
      <c r="Q1166" s="2375">
        <f t="shared" si="347"/>
        <v>0</v>
      </c>
      <c r="R1166" s="2375">
        <f t="shared" si="344"/>
        <v>0</v>
      </c>
      <c r="S1166" s="2376"/>
      <c r="T1166" s="2376"/>
      <c r="U1166" s="2376"/>
      <c r="V1166" s="2376"/>
      <c r="W1166" s="2382">
        <f t="shared" si="343"/>
        <v>7.2000000000000037</v>
      </c>
      <c r="X1166" s="2398" t="s">
        <v>103</v>
      </c>
      <c r="Y1166" s="2375">
        <f t="shared" si="348"/>
        <v>181829.52000000002</v>
      </c>
      <c r="Z1166" s="2376"/>
      <c r="AA1166" s="2377"/>
    </row>
    <row r="1167" spans="1:27" ht="25" hidden="1" customHeight="1">
      <c r="A1167" s="2555" t="s">
        <v>142</v>
      </c>
      <c r="B1167" s="2554" t="s">
        <v>402</v>
      </c>
      <c r="C1167" s="2550"/>
      <c r="D1167" s="2551"/>
      <c r="E1167" s="2852">
        <f>'14. Vol Genset'!$M$21</f>
        <v>33.291000000000004</v>
      </c>
      <c r="F1167" s="2398" t="s">
        <v>100</v>
      </c>
      <c r="G1167" s="2736">
        <v>19151.18</v>
      </c>
      <c r="H1167" s="2389">
        <f t="shared" si="353"/>
        <v>637561.93338000006</v>
      </c>
      <c r="I1167" s="2867">
        <f>'Resume Analisa'!$D$48</f>
        <v>18790.969999999998</v>
      </c>
      <c r="J1167" s="2782">
        <f>E1167*I1167</f>
        <v>625570.18226999999</v>
      </c>
      <c r="K1167" s="2378" t="e">
        <f>IF(H1167=0,"",IF(J1167&lt;#REF!*H1167,"Timpang &lt;"&amp;TEXT(#REF!,"0%"),IF(J1167&gt;#REF!*H1167,"Timpang &gt;"&amp;TEXT(#REF!,"0%"),"Wajar")))</f>
        <v>#REF!</v>
      </c>
      <c r="L1167" s="2475">
        <v>18790.969999999998</v>
      </c>
      <c r="M1167" s="2391">
        <f t="shared" si="354"/>
        <v>625570.18226999999</v>
      </c>
      <c r="N1167" s="2375">
        <f t="shared" si="355"/>
        <v>2.7326240595168907E-4</v>
      </c>
      <c r="O1167" s="2375">
        <v>0</v>
      </c>
      <c r="P1167" s="2398"/>
      <c r="Q1167" s="2375">
        <f t="shared" si="347"/>
        <v>0</v>
      </c>
      <c r="R1167" s="2375">
        <f t="shared" si="344"/>
        <v>0</v>
      </c>
      <c r="S1167" s="2376"/>
      <c r="T1167" s="2376"/>
      <c r="U1167" s="2376"/>
      <c r="V1167" s="2376"/>
      <c r="W1167" s="2382">
        <f t="shared" si="343"/>
        <v>33.291000000000004</v>
      </c>
      <c r="X1167" s="2398" t="s">
        <v>100</v>
      </c>
      <c r="Y1167" s="2375">
        <f t="shared" si="348"/>
        <v>18790.969999999998</v>
      </c>
      <c r="Z1167" s="2376"/>
      <c r="AA1167" s="2377"/>
    </row>
    <row r="1168" spans="1:27" ht="25" hidden="1" customHeight="1">
      <c r="A1168" s="2555" t="s">
        <v>217</v>
      </c>
      <c r="B1168" s="2549" t="s">
        <v>420</v>
      </c>
      <c r="C1168" s="2550"/>
      <c r="D1168" s="2551"/>
      <c r="E1168" s="2852">
        <f>'14. Vol Genset'!$M$22</f>
        <v>1.1520000000000008</v>
      </c>
      <c r="F1168" s="2398" t="s">
        <v>103</v>
      </c>
      <c r="G1168" s="2731">
        <v>1584129.98</v>
      </c>
      <c r="H1168" s="2389">
        <f t="shared" si="353"/>
        <v>1824917.7369600013</v>
      </c>
      <c r="I1168" s="2465">
        <f>'Resume Analisa'!$D$55</f>
        <v>1535009.1300000001</v>
      </c>
      <c r="J1168" s="2782">
        <f>E1168*I1168</f>
        <v>1768330.5177600014</v>
      </c>
      <c r="K1168" s="2378" t="e">
        <f>IF(H1168=0,"",IF(J1168&lt;#REF!*H1168,"Timpang &lt;"&amp;TEXT(#REF!,"0%"),IF(J1168&gt;#REF!*H1168,"Timpang &gt;"&amp;TEXT(#REF!,"0%"),"Wajar")))</f>
        <v>#REF!</v>
      </c>
      <c r="L1168" s="2391">
        <v>1535009.1300000001</v>
      </c>
      <c r="M1168" s="2391">
        <f t="shared" si="354"/>
        <v>1768330.5177600014</v>
      </c>
      <c r="N1168" s="2375">
        <f t="shared" si="355"/>
        <v>7.724445082203966E-4</v>
      </c>
      <c r="O1168" s="2375">
        <v>0</v>
      </c>
      <c r="P1168" s="2398"/>
      <c r="Q1168" s="2375">
        <f t="shared" si="347"/>
        <v>0</v>
      </c>
      <c r="R1168" s="2375">
        <f t="shared" si="344"/>
        <v>0</v>
      </c>
      <c r="S1168" s="2376"/>
      <c r="T1168" s="2376"/>
      <c r="U1168" s="2376"/>
      <c r="V1168" s="2376"/>
      <c r="W1168" s="2382">
        <f t="shared" ref="W1168:W1231" si="356">(E1168+O1168)-S1168</f>
        <v>1.1520000000000008</v>
      </c>
      <c r="X1168" s="2398" t="s">
        <v>103</v>
      </c>
      <c r="Y1168" s="2375">
        <f t="shared" si="348"/>
        <v>1535009.1300000001</v>
      </c>
      <c r="Z1168" s="2376"/>
      <c r="AA1168" s="2377"/>
    </row>
    <row r="1169" spans="1:27" ht="25" hidden="1" customHeight="1">
      <c r="A1169" s="2555" t="s">
        <v>366</v>
      </c>
      <c r="B1169" s="2554" t="s">
        <v>383</v>
      </c>
      <c r="C1169" s="2550"/>
      <c r="D1169" s="2551"/>
      <c r="E1169" s="2852">
        <f>'14. Vol Genset'!$M$23</f>
        <v>120</v>
      </c>
      <c r="F1169" s="2398" t="s">
        <v>117</v>
      </c>
      <c r="G1169" s="2731">
        <v>34019.880000000005</v>
      </c>
      <c r="H1169" s="2389">
        <f t="shared" si="353"/>
        <v>4082385.6000000006</v>
      </c>
      <c r="I1169" s="2465">
        <f>'Resume Analisa'!$D$37</f>
        <v>33453.230000000003</v>
      </c>
      <c r="J1169" s="2782">
        <f>E1169*I1169</f>
        <v>4014387.6000000006</v>
      </c>
      <c r="K1169" s="2378" t="e">
        <f>IF(H1169=0,"",IF(J1169&lt;#REF!*H1169,"Timpang &lt;"&amp;TEXT(#REF!,"0%"),IF(J1169&gt;#REF!*H1169,"Timpang &gt;"&amp;TEXT(#REF!,"0%"),"Wajar")))</f>
        <v>#REF!</v>
      </c>
      <c r="L1169" s="2391">
        <v>33453.230000000003</v>
      </c>
      <c r="M1169" s="2391">
        <f t="shared" si="354"/>
        <v>4014387.6000000006</v>
      </c>
      <c r="N1169" s="2375">
        <f t="shared" si="355"/>
        <v>1.7535701750010248E-3</v>
      </c>
      <c r="O1169" s="2375">
        <v>0</v>
      </c>
      <c r="P1169" s="2398"/>
      <c r="Q1169" s="2375">
        <f t="shared" si="347"/>
        <v>0</v>
      </c>
      <c r="R1169" s="2375">
        <f t="shared" si="344"/>
        <v>0</v>
      </c>
      <c r="S1169" s="2376"/>
      <c r="T1169" s="2376"/>
      <c r="U1169" s="2376"/>
      <c r="V1169" s="2376"/>
      <c r="W1169" s="2382">
        <f t="shared" si="356"/>
        <v>120</v>
      </c>
      <c r="X1169" s="2398" t="s">
        <v>117</v>
      </c>
      <c r="Y1169" s="2375">
        <f t="shared" si="348"/>
        <v>33453.230000000003</v>
      </c>
      <c r="Z1169" s="2376"/>
      <c r="AA1169" s="2377"/>
    </row>
    <row r="1170" spans="1:27" ht="25" hidden="1" customHeight="1">
      <c r="A1170" s="2398">
        <f>A1162+1</f>
        <v>3</v>
      </c>
      <c r="B1170" s="2549" t="s">
        <v>407</v>
      </c>
      <c r="C1170" s="2550"/>
      <c r="D1170" s="2733"/>
      <c r="E1170" s="2783"/>
      <c r="F1170" s="2537"/>
      <c r="G1170" s="2786"/>
      <c r="H1170" s="2389"/>
      <c r="I1170" s="2785"/>
      <c r="J1170" s="2567"/>
      <c r="K1170" s="2389"/>
      <c r="L1170" s="2457"/>
      <c r="M1170" s="2391"/>
      <c r="N1170" s="2375">
        <f t="shared" si="355"/>
        <v>0</v>
      </c>
      <c r="O1170" s="2375">
        <v>0</v>
      </c>
      <c r="P1170" s="2537"/>
      <c r="Q1170" s="2375">
        <f t="shared" si="347"/>
        <v>0</v>
      </c>
      <c r="R1170" s="2375">
        <f t="shared" si="344"/>
        <v>0</v>
      </c>
      <c r="S1170" s="2376"/>
      <c r="T1170" s="2376"/>
      <c r="U1170" s="2376"/>
      <c r="V1170" s="2376"/>
      <c r="W1170" s="2382">
        <f t="shared" si="356"/>
        <v>0</v>
      </c>
      <c r="X1170" s="2537"/>
      <c r="Y1170" s="2375">
        <f t="shared" si="348"/>
        <v>0</v>
      </c>
      <c r="Z1170" s="2376"/>
      <c r="AA1170" s="2377"/>
    </row>
    <row r="1171" spans="1:27" ht="25" hidden="1" customHeight="1">
      <c r="A1171" s="2555" t="s">
        <v>95</v>
      </c>
      <c r="B1171" s="2549" t="s">
        <v>694</v>
      </c>
      <c r="C1171" s="2550"/>
      <c r="D1171" s="2733"/>
      <c r="E1171" s="2397">
        <f>'14. Vol Genset'!$M$28</f>
        <v>22.272000000000006</v>
      </c>
      <c r="F1171" s="2398" t="s">
        <v>103</v>
      </c>
      <c r="G1171" s="2731">
        <v>50600</v>
      </c>
      <c r="H1171" s="2389">
        <f>E1171*G1171</f>
        <v>1126963.2000000002</v>
      </c>
      <c r="I1171" s="2480">
        <f>'Resume Analisa'!$D$18</f>
        <v>49036.76</v>
      </c>
      <c r="J1171" s="2480">
        <f>I1171*E1171</f>
        <v>1092146.7187200002</v>
      </c>
      <c r="K1171" s="2378" t="e">
        <f>IF(H1171=0,"",IF(J1171&lt;#REF!*H1171,"Timpang &lt;"&amp;TEXT(#REF!,"0%"),IF(J1171&gt;#REF!*H1171,"Timpang &gt;"&amp;TEXT(#REF!,"0%"),"Wajar")))</f>
        <v>#REF!</v>
      </c>
      <c r="L1171" s="2391">
        <v>49036.76</v>
      </c>
      <c r="M1171" s="2391">
        <f>E1171*L1171</f>
        <v>1092146.7187200002</v>
      </c>
      <c r="N1171" s="2375">
        <f t="shared" si="355"/>
        <v>4.7707299431490514E-4</v>
      </c>
      <c r="O1171" s="2375">
        <v>0</v>
      </c>
      <c r="P1171" s="2398"/>
      <c r="Q1171" s="2375">
        <f t="shared" si="347"/>
        <v>0</v>
      </c>
      <c r="R1171" s="2375">
        <f t="shared" si="344"/>
        <v>0</v>
      </c>
      <c r="S1171" s="2376"/>
      <c r="T1171" s="2376"/>
      <c r="U1171" s="2376"/>
      <c r="V1171" s="2376"/>
      <c r="W1171" s="2382">
        <f t="shared" si="356"/>
        <v>22.272000000000006</v>
      </c>
      <c r="X1171" s="2398" t="s">
        <v>103</v>
      </c>
      <c r="Y1171" s="2375">
        <f t="shared" si="348"/>
        <v>49036.76</v>
      </c>
      <c r="Z1171" s="2376"/>
      <c r="AA1171" s="2377"/>
    </row>
    <row r="1172" spans="1:27" ht="25" hidden="1" customHeight="1">
      <c r="A1172" s="2555" t="s">
        <v>98</v>
      </c>
      <c r="B1172" s="2787" t="s">
        <v>405</v>
      </c>
      <c r="C1172" s="2788"/>
      <c r="D1172" s="2789"/>
      <c r="E1172" s="2790">
        <f>'14. Vol Genset'!$M$33*0</f>
        <v>0</v>
      </c>
      <c r="F1172" s="2791" t="s">
        <v>117</v>
      </c>
      <c r="G1172" s="2731">
        <v>34019.880000000005</v>
      </c>
      <c r="H1172" s="2389">
        <f>E1172*G1172</f>
        <v>0</v>
      </c>
      <c r="I1172" s="2465">
        <f>'Resume Analisa'!$D$37</f>
        <v>33453.230000000003</v>
      </c>
      <c r="J1172" s="2480">
        <f>I1172*E1172</f>
        <v>0</v>
      </c>
      <c r="K1172" s="2378" t="str">
        <f>IF(H1172=0,"",IF(J1172&lt;#REF!*H1172,"Timpang &lt;"&amp;TEXT(#REF!,"0%"),IF(J1172&gt;#REF!*H1172,"Timpang &gt;"&amp;TEXT(#REF!,"0%"),"Wajar")))</f>
        <v/>
      </c>
      <c r="L1172" s="2391">
        <v>33453.230000000003</v>
      </c>
      <c r="M1172" s="2391">
        <f>E1172*L1172</f>
        <v>0</v>
      </c>
      <c r="N1172" s="2375">
        <f t="shared" si="355"/>
        <v>0</v>
      </c>
      <c r="O1172" s="2375">
        <v>0</v>
      </c>
      <c r="P1172" s="2791"/>
      <c r="Q1172" s="2375">
        <f t="shared" si="347"/>
        <v>0</v>
      </c>
      <c r="R1172" s="2375">
        <f t="shared" si="344"/>
        <v>0</v>
      </c>
      <c r="S1172" s="2376"/>
      <c r="T1172" s="2376"/>
      <c r="U1172" s="2376"/>
      <c r="V1172" s="2376"/>
      <c r="W1172" s="2382">
        <f t="shared" si="356"/>
        <v>0</v>
      </c>
      <c r="X1172" s="2791" t="s">
        <v>117</v>
      </c>
      <c r="Y1172" s="2375">
        <f t="shared" si="348"/>
        <v>33453.230000000003</v>
      </c>
      <c r="Z1172" s="2376"/>
      <c r="AA1172" s="2377"/>
    </row>
    <row r="1173" spans="1:27" ht="25" hidden="1" customHeight="1">
      <c r="A1173" s="2555" t="s">
        <v>101</v>
      </c>
      <c r="B1173" s="2549" t="s">
        <v>695</v>
      </c>
      <c r="C1173" s="2550"/>
      <c r="D1173" s="2733"/>
      <c r="E1173" s="2397">
        <f>'14. Vol Genset'!$M$37</f>
        <v>1.7920000000000003</v>
      </c>
      <c r="F1173" s="2398" t="s">
        <v>103</v>
      </c>
      <c r="G1173" s="2731">
        <v>507759.96</v>
      </c>
      <c r="H1173" s="2389">
        <f>E1173*G1173</f>
        <v>909905.84832000022</v>
      </c>
      <c r="I1173" s="2465">
        <f>'Resume Analisa'!$D$26</f>
        <v>475358.64</v>
      </c>
      <c r="J1173" s="2480">
        <f>I1173*E1173</f>
        <v>851842.68288000009</v>
      </c>
      <c r="K1173" s="2378" t="e">
        <f>IF(H1173=0,"",IF(J1173&lt;#REF!*H1173,"Timpang &lt;"&amp;TEXT(#REF!,"0%"),IF(J1173&gt;#REF!*H1173,"Timpang &gt;"&amp;TEXT(#REF!,"0%"),"Wajar")))</f>
        <v>#REF!</v>
      </c>
      <c r="L1173" s="2391">
        <v>475358.64</v>
      </c>
      <c r="M1173" s="2391">
        <f>E1173*L1173</f>
        <v>851842.68288000009</v>
      </c>
      <c r="N1173" s="2375">
        <f t="shared" si="355"/>
        <v>3.7210306311508736E-4</v>
      </c>
      <c r="O1173" s="2375">
        <v>0</v>
      </c>
      <c r="P1173" s="2398"/>
      <c r="Q1173" s="2375">
        <f t="shared" si="347"/>
        <v>0</v>
      </c>
      <c r="R1173" s="2375">
        <f t="shared" si="344"/>
        <v>0</v>
      </c>
      <c r="S1173" s="2376"/>
      <c r="T1173" s="2376"/>
      <c r="U1173" s="2376"/>
      <c r="V1173" s="2376"/>
      <c r="W1173" s="2382">
        <f t="shared" si="356"/>
        <v>1.7920000000000003</v>
      </c>
      <c r="X1173" s="2398" t="s">
        <v>103</v>
      </c>
      <c r="Y1173" s="2375">
        <f t="shared" si="348"/>
        <v>475358.64</v>
      </c>
      <c r="Z1173" s="2376"/>
      <c r="AA1173" s="2377"/>
    </row>
    <row r="1174" spans="1:27" ht="25" hidden="1" customHeight="1">
      <c r="A1174" s="2555" t="s">
        <v>121</v>
      </c>
      <c r="B1174" s="2549" t="s">
        <v>696</v>
      </c>
      <c r="C1174" s="2550"/>
      <c r="D1174" s="2733"/>
      <c r="E1174" s="2397">
        <f>'14. Vol Genset'!$M$45</f>
        <v>14.080000000000002</v>
      </c>
      <c r="F1174" s="2398" t="s">
        <v>103</v>
      </c>
      <c r="G1174" s="2731">
        <v>836974.6</v>
      </c>
      <c r="H1174" s="2389">
        <f>E1174*G1174</f>
        <v>11784602.368000001</v>
      </c>
      <c r="I1174" s="2465">
        <f>'Resume Analisa'!$D$34</f>
        <v>824806.04</v>
      </c>
      <c r="J1174" s="2567">
        <f>E1174*I1174</f>
        <v>11613269.043200001</v>
      </c>
      <c r="K1174" s="2378" t="e">
        <f>IF(H1174=0,"",IF(J1174&lt;#REF!*H1174,"Timpang &lt;"&amp;TEXT(#REF!,"0%"),IF(J1174&gt;#REF!*H1174,"Timpang &gt;"&amp;TEXT(#REF!,"0%"),"Wajar")))</f>
        <v>#REF!</v>
      </c>
      <c r="L1174" s="2391">
        <v>824806.04</v>
      </c>
      <c r="M1174" s="2391">
        <f>E1174*L1174</f>
        <v>11613269.043200001</v>
      </c>
      <c r="N1174" s="2375">
        <f t="shared" si="355"/>
        <v>5.0729237576406941E-3</v>
      </c>
      <c r="O1174" s="2375">
        <v>0</v>
      </c>
      <c r="P1174" s="2398"/>
      <c r="Q1174" s="2375">
        <f t="shared" si="347"/>
        <v>0</v>
      </c>
      <c r="R1174" s="2375">
        <f t="shared" ref="R1174:R1237" si="357">Q1174/$M$8*100</f>
        <v>0</v>
      </c>
      <c r="S1174" s="2376"/>
      <c r="T1174" s="2376"/>
      <c r="U1174" s="2376"/>
      <c r="V1174" s="2376"/>
      <c r="W1174" s="2382">
        <f t="shared" si="356"/>
        <v>14.080000000000002</v>
      </c>
      <c r="X1174" s="2398" t="s">
        <v>103</v>
      </c>
      <c r="Y1174" s="2375">
        <f t="shared" si="348"/>
        <v>824806.04</v>
      </c>
      <c r="Z1174" s="2376"/>
      <c r="AA1174" s="2377"/>
    </row>
    <row r="1175" spans="1:27" ht="25" hidden="1" customHeight="1">
      <c r="A1175" s="2396">
        <f>A1170+1</f>
        <v>4</v>
      </c>
      <c r="B1175" s="2549" t="s">
        <v>408</v>
      </c>
      <c r="C1175" s="2550"/>
      <c r="D1175" s="2551"/>
      <c r="E1175" s="2863">
        <f>'14. Vol Genset'!$M$50</f>
        <v>9.8640000000000008</v>
      </c>
      <c r="F1175" s="2398" t="s">
        <v>100</v>
      </c>
      <c r="G1175" s="2736">
        <v>25591.18</v>
      </c>
      <c r="H1175" s="2389">
        <f>E1175*G1175</f>
        <v>252431.39952000004</v>
      </c>
      <c r="I1175" s="2474">
        <f>'Resume Analisa'!$D$47</f>
        <v>26179.679999999997</v>
      </c>
      <c r="J1175" s="2782">
        <f>E1175*I1175</f>
        <v>258236.36351999998</v>
      </c>
      <c r="K1175" s="2378" t="e">
        <f>IF(H1175=0,"",IF(J1175&lt;#REF!*H1175,"Timpang &lt;"&amp;TEXT(#REF!,"0%"),IF(J1175&gt;#REF!*H1175,"Timpang &gt;"&amp;TEXT(#REF!,"0%"),"Wajar")))</f>
        <v>#REF!</v>
      </c>
      <c r="L1175" s="2475">
        <v>26179.679999999997</v>
      </c>
      <c r="M1175" s="2391">
        <f>E1175*L1175</f>
        <v>258236.36351999998</v>
      </c>
      <c r="N1175" s="2375">
        <f t="shared" si="355"/>
        <v>1.1280315462547628E-4</v>
      </c>
      <c r="O1175" s="2375">
        <v>0</v>
      </c>
      <c r="P1175" s="2398"/>
      <c r="Q1175" s="2375">
        <f t="shared" si="347"/>
        <v>0</v>
      </c>
      <c r="R1175" s="2375">
        <f t="shared" si="357"/>
        <v>0</v>
      </c>
      <c r="S1175" s="2376"/>
      <c r="T1175" s="2376"/>
      <c r="U1175" s="2376"/>
      <c r="V1175" s="2376"/>
      <c r="W1175" s="2382">
        <f t="shared" si="356"/>
        <v>9.8640000000000008</v>
      </c>
      <c r="X1175" s="2398" t="s">
        <v>100</v>
      </c>
      <c r="Y1175" s="2375">
        <f t="shared" si="348"/>
        <v>26179.679999999997</v>
      </c>
      <c r="Z1175" s="2376"/>
      <c r="AA1175" s="2377"/>
    </row>
    <row r="1176" spans="1:27" ht="25" hidden="1" customHeight="1">
      <c r="A1176" s="2396">
        <f>A1175+1</f>
        <v>5</v>
      </c>
      <c r="B1176" s="2865" t="s">
        <v>409</v>
      </c>
      <c r="C1176" s="2858"/>
      <c r="D1176" s="2868"/>
      <c r="E1176" s="2863"/>
      <c r="F1176" s="2869"/>
      <c r="G1176" s="2731"/>
      <c r="H1176" s="2389"/>
      <c r="I1176" s="2864"/>
      <c r="J1176" s="2870"/>
      <c r="K1176" s="2389"/>
      <c r="L1176" s="2391"/>
      <c r="M1176" s="2391"/>
      <c r="N1176" s="2375">
        <f t="shared" si="355"/>
        <v>0</v>
      </c>
      <c r="O1176" s="2375">
        <v>0</v>
      </c>
      <c r="P1176" s="2869"/>
      <c r="Q1176" s="2375">
        <f t="shared" si="347"/>
        <v>0</v>
      </c>
      <c r="R1176" s="2375">
        <f t="shared" si="357"/>
        <v>0</v>
      </c>
      <c r="S1176" s="2376"/>
      <c r="T1176" s="2376"/>
      <c r="U1176" s="2376"/>
      <c r="V1176" s="2376"/>
      <c r="W1176" s="2382">
        <f t="shared" si="356"/>
        <v>0</v>
      </c>
      <c r="X1176" s="2869"/>
      <c r="Y1176" s="2375">
        <f t="shared" si="348"/>
        <v>0</v>
      </c>
      <c r="Z1176" s="2376"/>
      <c r="AA1176" s="2377"/>
    </row>
    <row r="1177" spans="1:27" ht="25" hidden="1" customHeight="1">
      <c r="A1177" s="2871" t="s">
        <v>95</v>
      </c>
      <c r="B1177" s="2561" t="s">
        <v>221</v>
      </c>
      <c r="C1177" s="2858"/>
      <c r="D1177" s="2859"/>
      <c r="E1177" s="2863">
        <f>'14. Vol Genset'!$M$55</f>
        <v>19.2</v>
      </c>
      <c r="F1177" s="2396" t="s">
        <v>89</v>
      </c>
      <c r="G1177" s="2731">
        <v>230885.5</v>
      </c>
      <c r="H1177" s="2389">
        <f>E1177*G1177</f>
        <v>4433001.5999999996</v>
      </c>
      <c r="I1177" s="2872">
        <f>'Resume Analisa'!$D$39</f>
        <v>232328.86000000002</v>
      </c>
      <c r="J1177" s="2400">
        <f>E1177*I1177</f>
        <v>4460714.1119999997</v>
      </c>
      <c r="K1177" s="2378" t="e">
        <f>IF(H1177=0,"",IF(J1177&lt;#REF!*H1177,"Timpang &lt;"&amp;TEXT(#REF!,"0%"),IF(J1177&gt;#REF!*H1177,"Timpang &gt;"&amp;TEXT(#REF!,"0%"),"Wajar")))</f>
        <v>#REF!</v>
      </c>
      <c r="L1177" s="2391">
        <v>232328.86000000002</v>
      </c>
      <c r="M1177" s="2391">
        <f>E1177*L1177</f>
        <v>4460714.1119999997</v>
      </c>
      <c r="N1177" s="2375">
        <f t="shared" si="355"/>
        <v>1.9485351205273203E-3</v>
      </c>
      <c r="O1177" s="2375">
        <v>0</v>
      </c>
      <c r="P1177" s="2396"/>
      <c r="Q1177" s="2375">
        <f t="shared" si="347"/>
        <v>0</v>
      </c>
      <c r="R1177" s="2375">
        <f t="shared" si="357"/>
        <v>0</v>
      </c>
      <c r="S1177" s="2376"/>
      <c r="T1177" s="2376"/>
      <c r="U1177" s="2376"/>
      <c r="V1177" s="2376"/>
      <c r="W1177" s="2382">
        <f t="shared" si="356"/>
        <v>19.2</v>
      </c>
      <c r="X1177" s="2396" t="s">
        <v>89</v>
      </c>
      <c r="Y1177" s="2375">
        <f t="shared" si="348"/>
        <v>232328.86000000002</v>
      </c>
      <c r="Z1177" s="2376"/>
      <c r="AA1177" s="2377"/>
    </row>
    <row r="1178" spans="1:27" ht="25" hidden="1" customHeight="1">
      <c r="A1178" s="2871" t="s">
        <v>98</v>
      </c>
      <c r="B1178" s="2865" t="s">
        <v>410</v>
      </c>
      <c r="C1178" s="2858"/>
      <c r="D1178" s="2859"/>
      <c r="E1178" s="2863">
        <f>'14. Vol Genset'!$M$59</f>
        <v>98.640000000000015</v>
      </c>
      <c r="F1178" s="2396" t="s">
        <v>100</v>
      </c>
      <c r="G1178" s="2736">
        <v>19151.18</v>
      </c>
      <c r="H1178" s="2473">
        <f>E1178*G1178</f>
        <v>1889072.3952000004</v>
      </c>
      <c r="I1178" s="2867">
        <f>'Resume Analisa'!$D$48</f>
        <v>18790.969999999998</v>
      </c>
      <c r="J1178" s="2867">
        <f>+I1178*E1178</f>
        <v>1853541.2808000001</v>
      </c>
      <c r="K1178" s="2378" t="e">
        <f>IF(H1178=0,"",IF(J1178&lt;#REF!*H1178,"Timpang &lt;"&amp;TEXT(#REF!,"0%"),IF(J1178&gt;#REF!*H1178,"Timpang &gt;"&amp;TEXT(#REF!,"0%"),"Wajar")))</f>
        <v>#REF!</v>
      </c>
      <c r="L1178" s="2475">
        <v>18790.969999999998</v>
      </c>
      <c r="M1178" s="2475">
        <f>E1178*L1178</f>
        <v>1853541.2808000001</v>
      </c>
      <c r="N1178" s="2375">
        <f t="shared" si="355"/>
        <v>8.0966638800500465E-4</v>
      </c>
      <c r="O1178" s="2375">
        <v>0</v>
      </c>
      <c r="P1178" s="2396"/>
      <c r="Q1178" s="2375">
        <f t="shared" si="347"/>
        <v>0</v>
      </c>
      <c r="R1178" s="2375">
        <f t="shared" si="357"/>
        <v>0</v>
      </c>
      <c r="S1178" s="2376"/>
      <c r="T1178" s="2376"/>
      <c r="U1178" s="2376"/>
      <c r="V1178" s="2376"/>
      <c r="W1178" s="2382">
        <f t="shared" si="356"/>
        <v>98.640000000000015</v>
      </c>
      <c r="X1178" s="2396" t="s">
        <v>100</v>
      </c>
      <c r="Y1178" s="2375">
        <f t="shared" si="348"/>
        <v>18790.969999999998</v>
      </c>
      <c r="Z1178" s="2376"/>
      <c r="AA1178" s="2377"/>
    </row>
    <row r="1179" spans="1:27" ht="25" hidden="1" customHeight="1">
      <c r="A1179" s="2871" t="s">
        <v>101</v>
      </c>
      <c r="B1179" s="2865" t="s">
        <v>830</v>
      </c>
      <c r="C1179" s="2858"/>
      <c r="D1179" s="2859"/>
      <c r="E1179" s="2863">
        <f>'14. Vol Genset'!$M$63</f>
        <v>88.886476800000011</v>
      </c>
      <c r="F1179" s="2396" t="s">
        <v>100</v>
      </c>
      <c r="G1179" s="2736">
        <v>19151.18</v>
      </c>
      <c r="H1179" s="2473">
        <f>E1179*G1179</f>
        <v>1702280.9167626242</v>
      </c>
      <c r="I1179" s="2867">
        <f>'Resume Analisa'!$D$48</f>
        <v>18790.969999999998</v>
      </c>
      <c r="J1179" s="2867">
        <f>+I1179*E1179</f>
        <v>1670263.118954496</v>
      </c>
      <c r="K1179" s="2378" t="e">
        <f>IF(H1179=0,"",IF(J1179&lt;#REF!*H1179,"Timpang &lt;"&amp;TEXT(#REF!,"0%"),IF(J1179&gt;#REF!*H1179,"Timpang &gt;"&amp;TEXT(#REF!,"0%"),"Wajar")))</f>
        <v>#REF!</v>
      </c>
      <c r="L1179" s="2475">
        <v>18790.969999999998</v>
      </c>
      <c r="M1179" s="2475">
        <f>E1179*L1179</f>
        <v>1670263.118954496</v>
      </c>
      <c r="N1179" s="2375">
        <f t="shared" si="355"/>
        <v>7.2960657555906974E-4</v>
      </c>
      <c r="O1179" s="2375">
        <v>0</v>
      </c>
      <c r="P1179" s="2396"/>
      <c r="Q1179" s="2375">
        <f t="shared" si="347"/>
        <v>0</v>
      </c>
      <c r="R1179" s="2375">
        <f t="shared" si="357"/>
        <v>0</v>
      </c>
      <c r="S1179" s="2376"/>
      <c r="T1179" s="2376"/>
      <c r="U1179" s="2376"/>
      <c r="V1179" s="2376"/>
      <c r="W1179" s="2382">
        <f t="shared" si="356"/>
        <v>88.886476800000011</v>
      </c>
      <c r="X1179" s="2396" t="s">
        <v>100</v>
      </c>
      <c r="Y1179" s="2375">
        <f t="shared" si="348"/>
        <v>18790.969999999998</v>
      </c>
      <c r="Z1179" s="2376"/>
      <c r="AA1179" s="2377"/>
    </row>
    <row r="1180" spans="1:27" ht="25" hidden="1" customHeight="1">
      <c r="A1180" s="2871" t="s">
        <v>121</v>
      </c>
      <c r="B1180" s="2865" t="s">
        <v>420</v>
      </c>
      <c r="C1180" s="2858"/>
      <c r="D1180" s="2859"/>
      <c r="E1180" s="2863">
        <f>'14. Vol Genset'!$M$67</f>
        <v>2.4</v>
      </c>
      <c r="F1180" s="2396" t="s">
        <v>103</v>
      </c>
      <c r="G1180" s="2731">
        <v>1584129.98</v>
      </c>
      <c r="H1180" s="2389">
        <f>E1180*G1180</f>
        <v>3801911.9519999996</v>
      </c>
      <c r="I1180" s="2872">
        <f>'Resume Analisa'!$D$55</f>
        <v>1535009.1300000001</v>
      </c>
      <c r="J1180" s="2400">
        <f>E1180*I1180</f>
        <v>3684021.912</v>
      </c>
      <c r="K1180" s="2378" t="e">
        <f>IF(H1180=0,"",IF(J1180&lt;#REF!*H1180,"Timpang &lt;"&amp;TEXT(#REF!,"0%"),IF(J1180&gt;#REF!*H1180,"Timpang &gt;"&amp;TEXT(#REF!,"0%"),"Wajar")))</f>
        <v>#REF!</v>
      </c>
      <c r="L1180" s="2391">
        <v>1535009.1300000001</v>
      </c>
      <c r="M1180" s="2391">
        <f>E1180*L1180</f>
        <v>3684021.912</v>
      </c>
      <c r="N1180" s="2375">
        <f t="shared" si="355"/>
        <v>1.6092593921258251E-3</v>
      </c>
      <c r="O1180" s="2375">
        <v>0</v>
      </c>
      <c r="P1180" s="2396"/>
      <c r="Q1180" s="2375">
        <f t="shared" si="347"/>
        <v>0</v>
      </c>
      <c r="R1180" s="2375">
        <f t="shared" si="357"/>
        <v>0</v>
      </c>
      <c r="S1180" s="2376"/>
      <c r="T1180" s="2376"/>
      <c r="U1180" s="2376"/>
      <c r="V1180" s="2376"/>
      <c r="W1180" s="2382">
        <f t="shared" si="356"/>
        <v>2.4</v>
      </c>
      <c r="X1180" s="2396" t="s">
        <v>103</v>
      </c>
      <c r="Y1180" s="2375">
        <f t="shared" si="348"/>
        <v>1535009.1300000001</v>
      </c>
      <c r="Z1180" s="2376"/>
      <c r="AA1180" s="2377"/>
    </row>
    <row r="1181" spans="1:27" ht="25" hidden="1" customHeight="1">
      <c r="A1181" s="2396">
        <f>A1176+1</f>
        <v>6</v>
      </c>
      <c r="B1181" s="2865" t="s">
        <v>831</v>
      </c>
      <c r="C1181" s="2858"/>
      <c r="D1181" s="2868"/>
      <c r="E1181" s="2863"/>
      <c r="F1181" s="2869"/>
      <c r="G1181" s="2731"/>
      <c r="H1181" s="2389"/>
      <c r="I1181" s="2864"/>
      <c r="J1181" s="2870"/>
      <c r="K1181" s="2389"/>
      <c r="L1181" s="2391"/>
      <c r="M1181" s="2391"/>
      <c r="N1181" s="2375">
        <f t="shared" si="355"/>
        <v>0</v>
      </c>
      <c r="O1181" s="2375">
        <v>0</v>
      </c>
      <c r="P1181" s="2869"/>
      <c r="Q1181" s="2375">
        <f t="shared" ref="Q1181:Q1244" si="358">O1181*L1181</f>
        <v>0</v>
      </c>
      <c r="R1181" s="2375">
        <f t="shared" si="357"/>
        <v>0</v>
      </c>
      <c r="S1181" s="2376"/>
      <c r="T1181" s="2376"/>
      <c r="U1181" s="2376"/>
      <c r="V1181" s="2376"/>
      <c r="W1181" s="2382">
        <f t="shared" si="356"/>
        <v>0</v>
      </c>
      <c r="X1181" s="2869"/>
      <c r="Y1181" s="2375">
        <f t="shared" si="348"/>
        <v>0</v>
      </c>
      <c r="Z1181" s="2376"/>
      <c r="AA1181" s="2377"/>
    </row>
    <row r="1182" spans="1:27" ht="25" hidden="1" customHeight="1">
      <c r="A1182" s="2555" t="s">
        <v>95</v>
      </c>
      <c r="B1182" s="2549" t="s">
        <v>694</v>
      </c>
      <c r="C1182" s="2550"/>
      <c r="D1182" s="2733"/>
      <c r="E1182" s="2397">
        <f>'14. Vol Genset'!$M$69</f>
        <v>0.21450000000000002</v>
      </c>
      <c r="F1182" s="2398" t="s">
        <v>103</v>
      </c>
      <c r="G1182" s="2731">
        <v>50600</v>
      </c>
      <c r="H1182" s="2389">
        <f>E1182*G1182</f>
        <v>10853.7</v>
      </c>
      <c r="I1182" s="2480">
        <f>'Resume Analisa'!$D$18</f>
        <v>49036.76</v>
      </c>
      <c r="J1182" s="2480">
        <f>I1182*E1182</f>
        <v>10518.385020000002</v>
      </c>
      <c r="K1182" s="2378" t="e">
        <f>IF(H1182=0,"",IF(J1182&lt;#REF!*H1182,"Timpang &lt;"&amp;TEXT(#REF!,"0%"),IF(J1182&gt;#REF!*H1182,"Timpang &gt;"&amp;TEXT(#REF!,"0%"),"Wajar")))</f>
        <v>#REF!</v>
      </c>
      <c r="L1182" s="2391">
        <v>49036.76</v>
      </c>
      <c r="M1182" s="2391">
        <f>E1182*L1182</f>
        <v>10518.385020000002</v>
      </c>
      <c r="N1182" s="2375">
        <f t="shared" si="355"/>
        <v>4.5946550503119229E-6</v>
      </c>
      <c r="O1182" s="2375">
        <v>0</v>
      </c>
      <c r="P1182" s="2398"/>
      <c r="Q1182" s="2375">
        <f t="shared" si="358"/>
        <v>0</v>
      </c>
      <c r="R1182" s="2375">
        <f t="shared" si="357"/>
        <v>0</v>
      </c>
      <c r="S1182" s="2376"/>
      <c r="T1182" s="2376"/>
      <c r="U1182" s="2376"/>
      <c r="V1182" s="2376"/>
      <c r="W1182" s="2382">
        <f t="shared" si="356"/>
        <v>0.21450000000000002</v>
      </c>
      <c r="X1182" s="2398" t="s">
        <v>103</v>
      </c>
      <c r="Y1182" s="2375">
        <f t="shared" si="348"/>
        <v>49036.76</v>
      </c>
      <c r="Z1182" s="2376"/>
      <c r="AA1182" s="2377"/>
    </row>
    <row r="1183" spans="1:27" ht="25" hidden="1" customHeight="1">
      <c r="A1183" s="2871" t="s">
        <v>98</v>
      </c>
      <c r="B1183" s="2561" t="s">
        <v>221</v>
      </c>
      <c r="C1183" s="2858"/>
      <c r="D1183" s="2859"/>
      <c r="E1183" s="2397">
        <f>'14. Vol Genset'!$M$70</f>
        <v>2.8600000000000003</v>
      </c>
      <c r="F1183" s="2396" t="s">
        <v>89</v>
      </c>
      <c r="G1183" s="2731">
        <v>230885.5</v>
      </c>
      <c r="H1183" s="2389">
        <f>E1183*G1183</f>
        <v>660332.53</v>
      </c>
      <c r="I1183" s="2872">
        <f>'Resume Analisa'!$D$39</f>
        <v>232328.86000000002</v>
      </c>
      <c r="J1183" s="2400">
        <f>E1183*I1183</f>
        <v>664460.53960000013</v>
      </c>
      <c r="K1183" s="2378" t="e">
        <f>IF(H1183=0,"",IF(J1183&lt;#REF!*H1183,"Timpang &lt;"&amp;TEXT(#REF!,"0%"),IF(J1183&gt;#REF!*H1183,"Timpang &gt;"&amp;TEXT(#REF!,"0%"),"Wajar")))</f>
        <v>#REF!</v>
      </c>
      <c r="L1183" s="2391">
        <v>232328.86000000002</v>
      </c>
      <c r="M1183" s="2391">
        <f>E1183*L1183</f>
        <v>664460.53960000013</v>
      </c>
      <c r="N1183" s="2375">
        <f t="shared" si="355"/>
        <v>2.902505439952155E-4</v>
      </c>
      <c r="O1183" s="2375">
        <v>0</v>
      </c>
      <c r="P1183" s="2396"/>
      <c r="Q1183" s="2375">
        <f t="shared" si="358"/>
        <v>0</v>
      </c>
      <c r="R1183" s="2375">
        <f t="shared" si="357"/>
        <v>0</v>
      </c>
      <c r="S1183" s="2376"/>
      <c r="T1183" s="2376"/>
      <c r="U1183" s="2376"/>
      <c r="V1183" s="2376"/>
      <c r="W1183" s="2382">
        <f t="shared" si="356"/>
        <v>2.8600000000000003</v>
      </c>
      <c r="X1183" s="2396" t="s">
        <v>89</v>
      </c>
      <c r="Y1183" s="2375">
        <f t="shared" si="348"/>
        <v>232328.86000000002</v>
      </c>
      <c r="Z1183" s="2376"/>
      <c r="AA1183" s="2377"/>
    </row>
    <row r="1184" spans="1:27" ht="25" hidden="1" customHeight="1">
      <c r="A1184" s="2871" t="s">
        <v>101</v>
      </c>
      <c r="B1184" s="2865" t="s">
        <v>432</v>
      </c>
      <c r="C1184" s="2858"/>
      <c r="D1184" s="2859"/>
      <c r="E1184" s="2397">
        <f>'14. Vol Genset'!$M$71</f>
        <v>17.631900000000002</v>
      </c>
      <c r="F1184" s="2396" t="s">
        <v>100</v>
      </c>
      <c r="G1184" s="2736">
        <v>19151.18</v>
      </c>
      <c r="H1184" s="2473">
        <f>E1184*G1184</f>
        <v>337671.69064200006</v>
      </c>
      <c r="I1184" s="2867">
        <f>'Resume Analisa'!$D$48</f>
        <v>18790.969999999998</v>
      </c>
      <c r="J1184" s="2867">
        <f>+I1184*E1184</f>
        <v>331320.50394299999</v>
      </c>
      <c r="K1184" s="2378" t="e">
        <f>IF(H1184=0,"",IF(J1184&lt;#REF!*H1184,"Timpang &lt;"&amp;TEXT(#REF!,"0%"),IF(J1184&gt;#REF!*H1184,"Timpang &gt;"&amp;TEXT(#REF!,"0%"),"Wajar")))</f>
        <v>#REF!</v>
      </c>
      <c r="L1184" s="2475">
        <v>18790.969999999998</v>
      </c>
      <c r="M1184" s="2475">
        <f>E1184*L1184</f>
        <v>331320.50394299999</v>
      </c>
      <c r="N1184" s="2375">
        <f t="shared" si="355"/>
        <v>1.4472786685589459E-4</v>
      </c>
      <c r="O1184" s="2375">
        <v>0</v>
      </c>
      <c r="P1184" s="2396"/>
      <c r="Q1184" s="2375">
        <f t="shared" si="358"/>
        <v>0</v>
      </c>
      <c r="R1184" s="2375">
        <f t="shared" si="357"/>
        <v>0</v>
      </c>
      <c r="S1184" s="2376"/>
      <c r="T1184" s="2376"/>
      <c r="U1184" s="2376"/>
      <c r="V1184" s="2376"/>
      <c r="W1184" s="2382">
        <f t="shared" si="356"/>
        <v>17.631900000000002</v>
      </c>
      <c r="X1184" s="2396" t="s">
        <v>100</v>
      </c>
      <c r="Y1184" s="2375">
        <f t="shared" si="348"/>
        <v>18790.969999999998</v>
      </c>
      <c r="Z1184" s="2376"/>
      <c r="AA1184" s="2377"/>
    </row>
    <row r="1185" spans="1:27" ht="25" hidden="1" customHeight="1">
      <c r="A1185" s="2871" t="s">
        <v>121</v>
      </c>
      <c r="B1185" s="2865" t="s">
        <v>830</v>
      </c>
      <c r="C1185" s="2858"/>
      <c r="D1185" s="2859"/>
      <c r="E1185" s="2397">
        <f>'14. Vol Genset'!$M$72</f>
        <v>13.730688000000001</v>
      </c>
      <c r="F1185" s="2396" t="s">
        <v>100</v>
      </c>
      <c r="G1185" s="2736">
        <v>19151.18</v>
      </c>
      <c r="H1185" s="2473">
        <f>E1185*G1185</f>
        <v>262958.87741184002</v>
      </c>
      <c r="I1185" s="2867">
        <f>'Resume Analisa'!$D$48</f>
        <v>18790.969999999998</v>
      </c>
      <c r="J1185" s="2867">
        <f>+I1185*E1185</f>
        <v>258012.94628735998</v>
      </c>
      <c r="K1185" s="2378" t="e">
        <f>IF(H1185=0,"",IF(J1185&lt;#REF!*H1185,"Timpang &lt;"&amp;TEXT(#REF!,"0%"),IF(J1185&gt;#REF!*H1185,"Timpang &gt;"&amp;TEXT(#REF!,"0%"),"Wajar")))</f>
        <v>#REF!</v>
      </c>
      <c r="L1185" s="2475">
        <v>18790.969999999998</v>
      </c>
      <c r="M1185" s="2475">
        <f>E1185*L1185</f>
        <v>258012.94628735998</v>
      </c>
      <c r="N1185" s="2375">
        <f t="shared" si="355"/>
        <v>1.1270556121029664E-4</v>
      </c>
      <c r="O1185" s="2375">
        <v>0</v>
      </c>
      <c r="P1185" s="2396"/>
      <c r="Q1185" s="2375">
        <f t="shared" si="358"/>
        <v>0</v>
      </c>
      <c r="R1185" s="2375">
        <f t="shared" si="357"/>
        <v>0</v>
      </c>
      <c r="S1185" s="2376"/>
      <c r="T1185" s="2376"/>
      <c r="U1185" s="2376"/>
      <c r="V1185" s="2376"/>
      <c r="W1185" s="2382">
        <f t="shared" si="356"/>
        <v>13.730688000000001</v>
      </c>
      <c r="X1185" s="2396" t="s">
        <v>100</v>
      </c>
      <c r="Y1185" s="2375">
        <f t="shared" si="348"/>
        <v>18790.969999999998</v>
      </c>
      <c r="Z1185" s="2376"/>
      <c r="AA1185" s="2377"/>
    </row>
    <row r="1186" spans="1:27" ht="25" hidden="1" customHeight="1">
      <c r="A1186" s="2871" t="s">
        <v>142</v>
      </c>
      <c r="B1186" s="2865" t="s">
        <v>420</v>
      </c>
      <c r="C1186" s="2858"/>
      <c r="D1186" s="2859"/>
      <c r="E1186" s="2397">
        <f>'14. Vol Genset'!$M$73</f>
        <v>0.21450000000000002</v>
      </c>
      <c r="F1186" s="2396" t="s">
        <v>103</v>
      </c>
      <c r="G1186" s="2731">
        <v>1584129.98</v>
      </c>
      <c r="H1186" s="2389">
        <f>E1186*G1186</f>
        <v>339795.88071000006</v>
      </c>
      <c r="I1186" s="2872">
        <f>'Resume Analisa'!$D$55</f>
        <v>1535009.1300000001</v>
      </c>
      <c r="J1186" s="2400">
        <f>E1186*I1186</f>
        <v>329259.45838500006</v>
      </c>
      <c r="K1186" s="2378" t="e">
        <f>IF(H1186=0,"",IF(J1186&lt;#REF!*H1186,"Timpang &lt;"&amp;TEXT(#REF!,"0%"),IF(J1186&gt;#REF!*H1186,"Timpang &gt;"&amp;TEXT(#REF!,"0%"),"Wajar")))</f>
        <v>#REF!</v>
      </c>
      <c r="L1186" s="2391">
        <v>1535009.1300000001</v>
      </c>
      <c r="M1186" s="2391">
        <f>E1186*L1186</f>
        <v>329259.45838500006</v>
      </c>
      <c r="N1186" s="2375">
        <f t="shared" si="355"/>
        <v>1.4382755817124565E-4</v>
      </c>
      <c r="O1186" s="2375">
        <v>0</v>
      </c>
      <c r="P1186" s="2396"/>
      <c r="Q1186" s="2375">
        <f t="shared" si="358"/>
        <v>0</v>
      </c>
      <c r="R1186" s="2375">
        <f t="shared" si="357"/>
        <v>0</v>
      </c>
      <c r="S1186" s="2376"/>
      <c r="T1186" s="2376"/>
      <c r="U1186" s="2376"/>
      <c r="V1186" s="2376"/>
      <c r="W1186" s="2382">
        <f t="shared" si="356"/>
        <v>0.21450000000000002</v>
      </c>
      <c r="X1186" s="2396" t="s">
        <v>103</v>
      </c>
      <c r="Y1186" s="2375">
        <f t="shared" si="348"/>
        <v>1535009.1300000001</v>
      </c>
      <c r="Z1186" s="2376"/>
      <c r="AA1186" s="2377"/>
    </row>
    <row r="1187" spans="1:27" ht="25" hidden="1" customHeight="1">
      <c r="A1187" s="2396">
        <f>A1181+1</f>
        <v>7</v>
      </c>
      <c r="B1187" s="2865" t="s">
        <v>832</v>
      </c>
      <c r="C1187" s="2858"/>
      <c r="D1187" s="2859"/>
      <c r="E1187" s="2397"/>
      <c r="F1187" s="2396"/>
      <c r="G1187" s="2731"/>
      <c r="H1187" s="2389"/>
      <c r="I1187" s="2870"/>
      <c r="J1187" s="2870"/>
      <c r="K1187" s="2389"/>
      <c r="L1187" s="2391"/>
      <c r="M1187" s="2391"/>
      <c r="N1187" s="2375">
        <f t="shared" si="355"/>
        <v>0</v>
      </c>
      <c r="O1187" s="2375">
        <v>0</v>
      </c>
      <c r="P1187" s="2396"/>
      <c r="Q1187" s="2375">
        <f t="shared" si="358"/>
        <v>0</v>
      </c>
      <c r="R1187" s="2375">
        <f t="shared" si="357"/>
        <v>0</v>
      </c>
      <c r="S1187" s="2376"/>
      <c r="T1187" s="2376"/>
      <c r="U1187" s="2376"/>
      <c r="V1187" s="2376"/>
      <c r="W1187" s="2382">
        <f t="shared" si="356"/>
        <v>0</v>
      </c>
      <c r="X1187" s="2396"/>
      <c r="Y1187" s="2375">
        <f t="shared" si="348"/>
        <v>0</v>
      </c>
      <c r="Z1187" s="2376"/>
      <c r="AA1187" s="2377"/>
    </row>
    <row r="1188" spans="1:27" ht="25" hidden="1" customHeight="1">
      <c r="A1188" s="2871" t="s">
        <v>95</v>
      </c>
      <c r="B1188" s="2865" t="s">
        <v>382</v>
      </c>
      <c r="C1188" s="2858"/>
      <c r="D1188" s="2859"/>
      <c r="E1188" s="2863">
        <f>'14. Vol Genset'!$M$75</f>
        <v>0.60000000000000009</v>
      </c>
      <c r="F1188" s="2396" t="s">
        <v>103</v>
      </c>
      <c r="G1188" s="2731">
        <v>50600</v>
      </c>
      <c r="H1188" s="2389">
        <f t="shared" ref="H1188:H1194" si="359">E1188*G1188</f>
        <v>30360.000000000004</v>
      </c>
      <c r="I1188" s="2872">
        <f>'Resume Analisa'!$D$18</f>
        <v>49036.76</v>
      </c>
      <c r="J1188" s="2866">
        <f>I1188*E1188</f>
        <v>29422.056000000004</v>
      </c>
      <c r="K1188" s="2378" t="e">
        <f>IF(H1188=0,"",IF(J1188&lt;#REF!*H1188,"Timpang &lt;"&amp;TEXT(#REF!,"0%"),IF(J1188&gt;#REF!*H1188,"Timpang &gt;"&amp;TEXT(#REF!,"0%"),"Wajar")))</f>
        <v>#REF!</v>
      </c>
      <c r="L1188" s="2391">
        <v>49036.76</v>
      </c>
      <c r="M1188" s="2391">
        <f t="shared" ref="M1188:M1194" si="360">E1188*L1188</f>
        <v>29422.056000000004</v>
      </c>
      <c r="N1188" s="2375">
        <f t="shared" si="355"/>
        <v>1.285218195891447E-5</v>
      </c>
      <c r="O1188" s="2375">
        <v>0</v>
      </c>
      <c r="P1188" s="2396"/>
      <c r="Q1188" s="2375">
        <f t="shared" si="358"/>
        <v>0</v>
      </c>
      <c r="R1188" s="2375">
        <f t="shared" si="357"/>
        <v>0</v>
      </c>
      <c r="S1188" s="2376"/>
      <c r="T1188" s="2376"/>
      <c r="U1188" s="2376"/>
      <c r="V1188" s="2376"/>
      <c r="W1188" s="2382">
        <f t="shared" si="356"/>
        <v>0.60000000000000009</v>
      </c>
      <c r="X1188" s="2396" t="s">
        <v>103</v>
      </c>
      <c r="Y1188" s="2375">
        <f t="shared" si="348"/>
        <v>49036.76</v>
      </c>
      <c r="Z1188" s="2376"/>
      <c r="AA1188" s="2377"/>
    </row>
    <row r="1189" spans="1:27" ht="25" hidden="1" customHeight="1">
      <c r="A1189" s="2871" t="s">
        <v>98</v>
      </c>
      <c r="B1189" s="2554" t="s">
        <v>415</v>
      </c>
      <c r="C1189" s="2858"/>
      <c r="D1189" s="2859"/>
      <c r="E1189" s="2863">
        <f>'14. Vol Genset'!$M$76</f>
        <v>0.15000000000000002</v>
      </c>
      <c r="F1189" s="2398" t="s">
        <v>103</v>
      </c>
      <c r="G1189" s="2731">
        <v>507759.96</v>
      </c>
      <c r="H1189" s="2389">
        <f t="shared" si="359"/>
        <v>76163.994000000021</v>
      </c>
      <c r="I1189" s="2480">
        <f>'Resume Analisa'!$D$26</f>
        <v>475358.64</v>
      </c>
      <c r="J1189" s="2480">
        <f>I1189*E1189</f>
        <v>71303.796000000017</v>
      </c>
      <c r="K1189" s="2378" t="e">
        <f>IF(H1189=0,"",IF(J1189&lt;#REF!*H1189,"Timpang &lt;"&amp;TEXT(#REF!,"0%"),IF(J1189&gt;#REF!*H1189,"Timpang &gt;"&amp;TEXT(#REF!,"0%"),"Wajar")))</f>
        <v>#REF!</v>
      </c>
      <c r="L1189" s="2391">
        <v>475358.64</v>
      </c>
      <c r="M1189" s="2391">
        <f t="shared" si="360"/>
        <v>71303.796000000017</v>
      </c>
      <c r="N1189" s="2375">
        <f t="shared" si="355"/>
        <v>3.1147019791999506E-5</v>
      </c>
      <c r="O1189" s="2375">
        <v>0</v>
      </c>
      <c r="P1189" s="2398"/>
      <c r="Q1189" s="2375">
        <f t="shared" si="358"/>
        <v>0</v>
      </c>
      <c r="R1189" s="2375">
        <f t="shared" si="357"/>
        <v>0</v>
      </c>
      <c r="S1189" s="2376"/>
      <c r="T1189" s="2376"/>
      <c r="U1189" s="2376"/>
      <c r="V1189" s="2376"/>
      <c r="W1189" s="2382">
        <f t="shared" si="356"/>
        <v>0.15000000000000002</v>
      </c>
      <c r="X1189" s="2398" t="s">
        <v>103</v>
      </c>
      <c r="Y1189" s="2375">
        <f t="shared" si="348"/>
        <v>475358.64</v>
      </c>
      <c r="Z1189" s="2376"/>
      <c r="AA1189" s="2377"/>
    </row>
    <row r="1190" spans="1:27" ht="25" hidden="1" customHeight="1">
      <c r="A1190" s="2871" t="s">
        <v>101</v>
      </c>
      <c r="B1190" s="2554" t="s">
        <v>496</v>
      </c>
      <c r="C1190" s="2858"/>
      <c r="D1190" s="2859"/>
      <c r="E1190" s="2863">
        <f>'14. Vol Genset'!$M$77</f>
        <v>0.15000000000000002</v>
      </c>
      <c r="F1190" s="2398" t="s">
        <v>103</v>
      </c>
      <c r="G1190" s="2731">
        <v>1422226.08</v>
      </c>
      <c r="H1190" s="2389">
        <f t="shared" si="359"/>
        <v>213333.91200000004</v>
      </c>
      <c r="I1190" s="2465">
        <f>'Resume Analisa'!$D$54</f>
        <v>1384580.76</v>
      </c>
      <c r="J1190" s="2567">
        <f>E1190*I1190</f>
        <v>207687.11400000003</v>
      </c>
      <c r="K1190" s="2378" t="e">
        <f>IF(H1190=0,"",IF(J1190&lt;#REF!*H1190,"Timpang &lt;"&amp;TEXT(#REF!,"0%"),IF(J1190&gt;#REF!*H1190,"Timpang &gt;"&amp;TEXT(#REF!,"0%"),"Wajar")))</f>
        <v>#REF!</v>
      </c>
      <c r="L1190" s="2391">
        <v>1384580.76</v>
      </c>
      <c r="M1190" s="2391">
        <f t="shared" si="360"/>
        <v>207687.11400000003</v>
      </c>
      <c r="N1190" s="2375">
        <f t="shared" si="355"/>
        <v>9.0722163660140293E-5</v>
      </c>
      <c r="O1190" s="2375">
        <v>0</v>
      </c>
      <c r="P1190" s="2398"/>
      <c r="Q1190" s="2375">
        <f t="shared" si="358"/>
        <v>0</v>
      </c>
      <c r="R1190" s="2375">
        <f t="shared" si="357"/>
        <v>0</v>
      </c>
      <c r="S1190" s="2376"/>
      <c r="T1190" s="2376"/>
      <c r="U1190" s="2376"/>
      <c r="V1190" s="2376"/>
      <c r="W1190" s="2382">
        <f t="shared" si="356"/>
        <v>0.15000000000000002</v>
      </c>
      <c r="X1190" s="2398" t="s">
        <v>103</v>
      </c>
      <c r="Y1190" s="2375">
        <f t="shared" si="348"/>
        <v>1384580.76</v>
      </c>
      <c r="Z1190" s="2376"/>
      <c r="AA1190" s="2377"/>
    </row>
    <row r="1191" spans="1:27" ht="25" hidden="1" customHeight="1">
      <c r="A1191" s="2871" t="s">
        <v>121</v>
      </c>
      <c r="B1191" s="2561" t="s">
        <v>221</v>
      </c>
      <c r="C1191" s="2858"/>
      <c r="D1191" s="2859"/>
      <c r="E1191" s="2863">
        <f>'14. Vol Genset'!$M$78</f>
        <v>4.8</v>
      </c>
      <c r="F1191" s="2396" t="s">
        <v>89</v>
      </c>
      <c r="G1191" s="2731">
        <v>230885.5</v>
      </c>
      <c r="H1191" s="2389">
        <f t="shared" si="359"/>
        <v>1108250.3999999999</v>
      </c>
      <c r="I1191" s="2872">
        <f>'Resume Analisa'!$D$39</f>
        <v>232328.86000000002</v>
      </c>
      <c r="J1191" s="2400">
        <f>E1191*I1191</f>
        <v>1115178.5279999999</v>
      </c>
      <c r="K1191" s="2378" t="e">
        <f>IF(H1191=0,"",IF(J1191&lt;#REF!*H1191,"Timpang &lt;"&amp;TEXT(#REF!,"0%"),IF(J1191&gt;#REF!*H1191,"Timpang &gt;"&amp;TEXT(#REF!,"0%"),"Wajar")))</f>
        <v>#REF!</v>
      </c>
      <c r="L1191" s="2391">
        <v>232328.86000000002</v>
      </c>
      <c r="M1191" s="2391">
        <f t="shared" si="360"/>
        <v>1115178.5279999999</v>
      </c>
      <c r="N1191" s="2375">
        <f t="shared" si="355"/>
        <v>4.8713378013183007E-4</v>
      </c>
      <c r="O1191" s="2375">
        <v>0</v>
      </c>
      <c r="P1191" s="2396"/>
      <c r="Q1191" s="2375">
        <f t="shared" si="358"/>
        <v>0</v>
      </c>
      <c r="R1191" s="2375">
        <f t="shared" si="357"/>
        <v>0</v>
      </c>
      <c r="S1191" s="2376"/>
      <c r="T1191" s="2376"/>
      <c r="U1191" s="2376"/>
      <c r="V1191" s="2376"/>
      <c r="W1191" s="2382">
        <f t="shared" si="356"/>
        <v>4.8</v>
      </c>
      <c r="X1191" s="2396" t="s">
        <v>89</v>
      </c>
      <c r="Y1191" s="2375">
        <f t="shared" si="348"/>
        <v>232328.86000000002</v>
      </c>
      <c r="Z1191" s="2376"/>
      <c r="AA1191" s="2377"/>
    </row>
    <row r="1192" spans="1:27" ht="25" hidden="1" customHeight="1">
      <c r="A1192" s="2871" t="s">
        <v>142</v>
      </c>
      <c r="B1192" s="2865" t="s">
        <v>791</v>
      </c>
      <c r="C1192" s="2858"/>
      <c r="D1192" s="2859"/>
      <c r="E1192" s="2863">
        <f>'14. Vol Genset'!$M$83</f>
        <v>108.99720000000002</v>
      </c>
      <c r="F1192" s="2396" t="s">
        <v>100</v>
      </c>
      <c r="G1192" s="2736">
        <v>19151.18</v>
      </c>
      <c r="H1192" s="2473">
        <f t="shared" si="359"/>
        <v>2087424.9966960005</v>
      </c>
      <c r="I1192" s="2867">
        <f>'Resume Analisa'!$D$48</f>
        <v>18790.969999999998</v>
      </c>
      <c r="J1192" s="2867">
        <f>+I1192*E1192</f>
        <v>2048163.1152840001</v>
      </c>
      <c r="K1192" s="2378" t="e">
        <f>IF(H1192=0,"",IF(J1192&lt;#REF!*H1192,"Timpang &lt;"&amp;TEXT(#REF!,"0%"),IF(J1192&gt;#REF!*H1192,"Timpang &gt;"&amp;TEXT(#REF!,"0%"),"Wajar")))</f>
        <v>#REF!</v>
      </c>
      <c r="L1192" s="2475">
        <v>18790.969999999998</v>
      </c>
      <c r="M1192" s="2475">
        <f t="shared" si="360"/>
        <v>2048163.1152840001</v>
      </c>
      <c r="N1192" s="2375">
        <f t="shared" si="355"/>
        <v>8.9468135874553017E-4</v>
      </c>
      <c r="O1192" s="2375">
        <v>0</v>
      </c>
      <c r="P1192" s="2396"/>
      <c r="Q1192" s="2375">
        <f t="shared" si="358"/>
        <v>0</v>
      </c>
      <c r="R1192" s="2375">
        <f t="shared" si="357"/>
        <v>0</v>
      </c>
      <c r="S1192" s="2376"/>
      <c r="T1192" s="2376"/>
      <c r="U1192" s="2376"/>
      <c r="V1192" s="2376"/>
      <c r="W1192" s="2382">
        <f t="shared" si="356"/>
        <v>108.99720000000002</v>
      </c>
      <c r="X1192" s="2396" t="s">
        <v>100</v>
      </c>
      <c r="Y1192" s="2375">
        <f t="shared" si="348"/>
        <v>18790.969999999998</v>
      </c>
      <c r="Z1192" s="2376"/>
      <c r="AA1192" s="2377"/>
    </row>
    <row r="1193" spans="1:27" ht="25" hidden="1" customHeight="1">
      <c r="A1193" s="2871" t="s">
        <v>217</v>
      </c>
      <c r="B1193" s="2865" t="s">
        <v>833</v>
      </c>
      <c r="C1193" s="2858"/>
      <c r="D1193" s="2859"/>
      <c r="E1193" s="2863">
        <f>'14. Vol Genset'!$M$87</f>
        <v>29.986560000000001</v>
      </c>
      <c r="F1193" s="2396" t="s">
        <v>100</v>
      </c>
      <c r="G1193" s="2736">
        <v>19151.18</v>
      </c>
      <c r="H1193" s="2473">
        <f t="shared" si="359"/>
        <v>574278.00814080006</v>
      </c>
      <c r="I1193" s="2867">
        <f>'Resume Analisa'!$D$48</f>
        <v>18790.969999999998</v>
      </c>
      <c r="J1193" s="2867">
        <f>+I1193*E1193</f>
        <v>563476.54936319997</v>
      </c>
      <c r="K1193" s="2378" t="e">
        <f>IF(H1193=0,"",IF(J1193&lt;#REF!*H1193,"Timpang &lt;"&amp;TEXT(#REF!,"0%"),IF(J1193&gt;#REF!*H1193,"Timpang &gt;"&amp;TEXT(#REF!,"0%"),"Wajar")))</f>
        <v>#REF!</v>
      </c>
      <c r="L1193" s="2475">
        <v>18790.969999999998</v>
      </c>
      <c r="M1193" s="2475">
        <f t="shared" si="360"/>
        <v>563476.54936319997</v>
      </c>
      <c r="N1193" s="2375">
        <f t="shared" si="355"/>
        <v>2.4613858195352142E-4</v>
      </c>
      <c r="O1193" s="2375">
        <v>0</v>
      </c>
      <c r="P1193" s="2396"/>
      <c r="Q1193" s="2375">
        <f t="shared" si="358"/>
        <v>0</v>
      </c>
      <c r="R1193" s="2375">
        <f t="shared" si="357"/>
        <v>0</v>
      </c>
      <c r="S1193" s="2376"/>
      <c r="T1193" s="2376"/>
      <c r="U1193" s="2376"/>
      <c r="V1193" s="2376"/>
      <c r="W1193" s="2382">
        <f t="shared" si="356"/>
        <v>29.986560000000001</v>
      </c>
      <c r="X1193" s="2396" t="s">
        <v>100</v>
      </c>
      <c r="Y1193" s="2375">
        <f t="shared" ref="Y1193:Y1256" si="361">L1193</f>
        <v>18790.969999999998</v>
      </c>
      <c r="Z1193" s="2376"/>
      <c r="AA1193" s="2377"/>
    </row>
    <row r="1194" spans="1:27" ht="25" hidden="1" customHeight="1">
      <c r="A1194" s="2871" t="s">
        <v>366</v>
      </c>
      <c r="B1194" s="2865" t="s">
        <v>420</v>
      </c>
      <c r="C1194" s="2858"/>
      <c r="D1194" s="2859"/>
      <c r="E1194" s="2863">
        <f>'14. Vol Genset'!$M$92</f>
        <v>1.7999999999999998</v>
      </c>
      <c r="F1194" s="2396" t="s">
        <v>103</v>
      </c>
      <c r="G1194" s="2731">
        <v>1584129.98</v>
      </c>
      <c r="H1194" s="2389">
        <f t="shared" si="359"/>
        <v>2851433.9639999997</v>
      </c>
      <c r="I1194" s="2872">
        <f>'Resume Analisa'!$D$55</f>
        <v>1535009.1300000001</v>
      </c>
      <c r="J1194" s="2400">
        <f>E1194*I1194</f>
        <v>2763016.4339999999</v>
      </c>
      <c r="K1194" s="2378" t="e">
        <f>IF(H1194=0,"",IF(J1194&lt;#REF!*H1194,"Timpang &lt;"&amp;TEXT(#REF!,"0%"),IF(J1194&gt;#REF!*H1194,"Timpang &gt;"&amp;TEXT(#REF!,"0%"),"Wajar")))</f>
        <v>#REF!</v>
      </c>
      <c r="L1194" s="2391">
        <v>1535009.1300000001</v>
      </c>
      <c r="M1194" s="2391">
        <f t="shared" si="360"/>
        <v>2763016.4339999999</v>
      </c>
      <c r="N1194" s="2375">
        <f t="shared" si="355"/>
        <v>1.2069445440943687E-3</v>
      </c>
      <c r="O1194" s="2375">
        <v>0</v>
      </c>
      <c r="P1194" s="2396"/>
      <c r="Q1194" s="2375">
        <f t="shared" si="358"/>
        <v>0</v>
      </c>
      <c r="R1194" s="2375">
        <f t="shared" si="357"/>
        <v>0</v>
      </c>
      <c r="S1194" s="2376"/>
      <c r="T1194" s="2376"/>
      <c r="U1194" s="2376"/>
      <c r="V1194" s="2376"/>
      <c r="W1194" s="2382">
        <f t="shared" si="356"/>
        <v>1.7999999999999998</v>
      </c>
      <c r="X1194" s="2396" t="s">
        <v>103</v>
      </c>
      <c r="Y1194" s="2375">
        <f t="shared" si="361"/>
        <v>1535009.1300000001</v>
      </c>
      <c r="Z1194" s="2376"/>
      <c r="AA1194" s="2377"/>
    </row>
    <row r="1195" spans="1:27" ht="25" hidden="1" customHeight="1">
      <c r="A1195" s="2398">
        <f>A1187+1</f>
        <v>8</v>
      </c>
      <c r="B1195" s="2549" t="s">
        <v>416</v>
      </c>
      <c r="C1195" s="2550"/>
      <c r="D1195" s="2551"/>
      <c r="E1195" s="2397"/>
      <c r="F1195" s="2791"/>
      <c r="G1195" s="2731"/>
      <c r="H1195" s="2389"/>
      <c r="I1195" s="2465"/>
      <c r="J1195" s="2782"/>
      <c r="K1195" s="2389"/>
      <c r="L1195" s="2391"/>
      <c r="M1195" s="2391"/>
      <c r="N1195" s="2375">
        <f t="shared" si="355"/>
        <v>0</v>
      </c>
      <c r="O1195" s="2375">
        <v>0</v>
      </c>
      <c r="P1195" s="2791"/>
      <c r="Q1195" s="2375">
        <f t="shared" si="358"/>
        <v>0</v>
      </c>
      <c r="R1195" s="2375">
        <f t="shared" si="357"/>
        <v>0</v>
      </c>
      <c r="S1195" s="2376"/>
      <c r="T1195" s="2376"/>
      <c r="U1195" s="2376"/>
      <c r="V1195" s="2376"/>
      <c r="W1195" s="2382">
        <f t="shared" si="356"/>
        <v>0</v>
      </c>
      <c r="X1195" s="2791"/>
      <c r="Y1195" s="2375">
        <f t="shared" si="361"/>
        <v>0</v>
      </c>
      <c r="Z1195" s="2376"/>
      <c r="AA1195" s="2377"/>
    </row>
    <row r="1196" spans="1:27" ht="25" hidden="1" customHeight="1">
      <c r="A1196" s="2555" t="s">
        <v>95</v>
      </c>
      <c r="B1196" s="2549" t="s">
        <v>417</v>
      </c>
      <c r="C1196" s="2550"/>
      <c r="D1196" s="2551"/>
      <c r="E1196" s="2397">
        <f>'14. Vol Genset'!$M$94</f>
        <v>4.8000000000000007</v>
      </c>
      <c r="F1196" s="2398" t="s">
        <v>89</v>
      </c>
      <c r="G1196" s="2731">
        <v>249883.29</v>
      </c>
      <c r="H1196" s="2389">
        <f>E1196*G1196</f>
        <v>1199439.7920000001</v>
      </c>
      <c r="I1196" s="2465">
        <f>'Resume Analisa'!$D$40</f>
        <v>245946.97</v>
      </c>
      <c r="J1196" s="2782">
        <f>E1196*I1196</f>
        <v>1180545.4560000002</v>
      </c>
      <c r="K1196" s="2378" t="e">
        <f>IF(H1196=0,"",IF(J1196&lt;#REF!*H1196,"Timpang &lt;"&amp;TEXT(#REF!,"0%"),IF(J1196&gt;#REF!*H1196,"Timpang &gt;"&amp;TEXT(#REF!,"0%"),"Wajar")))</f>
        <v>#REF!</v>
      </c>
      <c r="L1196" s="2391">
        <v>245946.97</v>
      </c>
      <c r="M1196" s="2391">
        <f>E1196*L1196</f>
        <v>1180545.4560000002</v>
      </c>
      <c r="N1196" s="2375">
        <f t="shared" si="355"/>
        <v>5.1568744928232263E-4</v>
      </c>
      <c r="O1196" s="2375">
        <v>0</v>
      </c>
      <c r="P1196" s="2398"/>
      <c r="Q1196" s="2375">
        <f t="shared" si="358"/>
        <v>0</v>
      </c>
      <c r="R1196" s="2375">
        <f t="shared" si="357"/>
        <v>0</v>
      </c>
      <c r="S1196" s="2376"/>
      <c r="T1196" s="2376"/>
      <c r="U1196" s="2376"/>
      <c r="V1196" s="2376"/>
      <c r="W1196" s="2382">
        <f t="shared" si="356"/>
        <v>4.8000000000000007</v>
      </c>
      <c r="X1196" s="2398" t="s">
        <v>89</v>
      </c>
      <c r="Y1196" s="2375">
        <f t="shared" si="361"/>
        <v>245946.97</v>
      </c>
      <c r="Z1196" s="2376"/>
      <c r="AA1196" s="2377"/>
    </row>
    <row r="1197" spans="1:27" ht="25" hidden="1" customHeight="1">
      <c r="A1197" s="2555" t="s">
        <v>98</v>
      </c>
      <c r="B1197" s="2549" t="s">
        <v>418</v>
      </c>
      <c r="C1197" s="2550"/>
      <c r="D1197" s="2551"/>
      <c r="E1197" s="2397">
        <f>'14. Vol Genset'!$M$95</f>
        <v>31.071600000000004</v>
      </c>
      <c r="F1197" s="2398" t="s">
        <v>100</v>
      </c>
      <c r="G1197" s="2736">
        <v>19151.18</v>
      </c>
      <c r="H1197" s="2473">
        <f>E1197*G1197</f>
        <v>595057.80448800011</v>
      </c>
      <c r="I1197" s="2867">
        <f>'Resume Analisa'!$D$48</f>
        <v>18790.969999999998</v>
      </c>
      <c r="J1197" s="2474">
        <f>+I1197*E1197</f>
        <v>583865.50345199998</v>
      </c>
      <c r="K1197" s="2378" t="e">
        <f>IF(H1197=0,"",IF(J1197&lt;#REF!*H1197,"Timpang &lt;"&amp;TEXT(#REF!,"0%"),IF(J1197&gt;#REF!*H1197,"Timpang &gt;"&amp;TEXT(#REF!,"0%"),"Wajar")))</f>
        <v>#REF!</v>
      </c>
      <c r="L1197" s="2475">
        <v>18790.969999999998</v>
      </c>
      <c r="M1197" s="2475">
        <f>E1197*L1197</f>
        <v>583865.50345199998</v>
      </c>
      <c r="N1197" s="2375">
        <f t="shared" ref="N1197:N1228" si="362">M1197/$M$8</f>
        <v>2.5504491222157644E-4</v>
      </c>
      <c r="O1197" s="2375">
        <v>0</v>
      </c>
      <c r="P1197" s="2398"/>
      <c r="Q1197" s="2375">
        <f t="shared" si="358"/>
        <v>0</v>
      </c>
      <c r="R1197" s="2375">
        <f t="shared" si="357"/>
        <v>0</v>
      </c>
      <c r="S1197" s="2376"/>
      <c r="T1197" s="2376"/>
      <c r="U1197" s="2376"/>
      <c r="V1197" s="2376"/>
      <c r="W1197" s="2382">
        <f t="shared" si="356"/>
        <v>31.071600000000004</v>
      </c>
      <c r="X1197" s="2398" t="s">
        <v>100</v>
      </c>
      <c r="Y1197" s="2375">
        <f t="shared" si="361"/>
        <v>18790.969999999998</v>
      </c>
      <c r="Z1197" s="2376"/>
      <c r="AA1197" s="2377"/>
    </row>
    <row r="1198" spans="1:27" ht="25" hidden="1" customHeight="1">
      <c r="A1198" s="2555" t="s">
        <v>101</v>
      </c>
      <c r="B1198" s="2549" t="s">
        <v>419</v>
      </c>
      <c r="C1198" s="2550"/>
      <c r="D1198" s="2551"/>
      <c r="E1198" s="2397">
        <f>'14. Vol Genset'!$M$96</f>
        <v>9.2327040000000018</v>
      </c>
      <c r="F1198" s="2398" t="s">
        <v>100</v>
      </c>
      <c r="G1198" s="2736">
        <v>19151.18</v>
      </c>
      <c r="H1198" s="2473">
        <f>E1198*G1198</f>
        <v>176817.17619072003</v>
      </c>
      <c r="I1198" s="2474">
        <f>'Resume Analisa'!$D$48</f>
        <v>18790.969999999998</v>
      </c>
      <c r="J1198" s="2474">
        <f>+I1198*E1198</f>
        <v>173491.46388288002</v>
      </c>
      <c r="K1198" s="2378" t="e">
        <f>IF(H1198=0,"",IF(J1198&lt;#REF!*H1198,"Timpang &lt;"&amp;TEXT(#REF!,"0%"),IF(J1198&gt;#REF!*H1198,"Timpang &gt;"&amp;TEXT(#REF!,"0%"),"Wajar")))</f>
        <v>#REF!</v>
      </c>
      <c r="L1198" s="2475">
        <v>18790.969999999998</v>
      </c>
      <c r="M1198" s="2475">
        <f>E1198*L1198</f>
        <v>173491.46388288002</v>
      </c>
      <c r="N1198" s="2375">
        <f t="shared" si="362"/>
        <v>7.5784773917268451E-5</v>
      </c>
      <c r="O1198" s="2375">
        <v>0</v>
      </c>
      <c r="P1198" s="2398"/>
      <c r="Q1198" s="2375">
        <f t="shared" si="358"/>
        <v>0</v>
      </c>
      <c r="R1198" s="2375">
        <f t="shared" si="357"/>
        <v>0</v>
      </c>
      <c r="S1198" s="2376"/>
      <c r="T1198" s="2376"/>
      <c r="U1198" s="2376"/>
      <c r="V1198" s="2376"/>
      <c r="W1198" s="2382">
        <f t="shared" si="356"/>
        <v>9.2327040000000018</v>
      </c>
      <c r="X1198" s="2398" t="s">
        <v>100</v>
      </c>
      <c r="Y1198" s="2375">
        <f t="shared" si="361"/>
        <v>18790.969999999998</v>
      </c>
      <c r="Z1198" s="2376"/>
      <c r="AA1198" s="2377"/>
    </row>
    <row r="1199" spans="1:27" ht="25" hidden="1" customHeight="1">
      <c r="A1199" s="2555" t="s">
        <v>121</v>
      </c>
      <c r="B1199" s="2549" t="s">
        <v>420</v>
      </c>
      <c r="C1199" s="2550"/>
      <c r="D1199" s="2551"/>
      <c r="E1199" s="2397">
        <f>'14. Vol Genset'!$M$97</f>
        <v>0.30000000000000004</v>
      </c>
      <c r="F1199" s="2398" t="s">
        <v>103</v>
      </c>
      <c r="G1199" s="2731">
        <v>1584129.98</v>
      </c>
      <c r="H1199" s="2389">
        <f>E1199*G1199</f>
        <v>475238.99400000006</v>
      </c>
      <c r="I1199" s="2465">
        <f>'Resume Analisa'!$D$55</f>
        <v>1535009.1300000001</v>
      </c>
      <c r="J1199" s="2782">
        <f>E1199*I1199</f>
        <v>460502.73900000012</v>
      </c>
      <c r="K1199" s="2378" t="e">
        <f>IF(H1199=0,"",IF(J1199&lt;#REF!*H1199,"Timpang &lt;"&amp;TEXT(#REF!,"0%"),IF(J1199&gt;#REF!*H1199,"Timpang &gt;"&amp;TEXT(#REF!,"0%"),"Wajar")))</f>
        <v>#REF!</v>
      </c>
      <c r="L1199" s="2391">
        <v>1535009.1300000001</v>
      </c>
      <c r="M1199" s="2391">
        <f>E1199*L1199</f>
        <v>460502.73900000012</v>
      </c>
      <c r="N1199" s="2375">
        <f t="shared" si="362"/>
        <v>2.0115742401572817E-4</v>
      </c>
      <c r="O1199" s="2375">
        <v>0</v>
      </c>
      <c r="P1199" s="2398"/>
      <c r="Q1199" s="2375">
        <f t="shared" si="358"/>
        <v>0</v>
      </c>
      <c r="R1199" s="2375">
        <f t="shared" si="357"/>
        <v>0</v>
      </c>
      <c r="S1199" s="2376"/>
      <c r="T1199" s="2376"/>
      <c r="U1199" s="2376"/>
      <c r="V1199" s="2376"/>
      <c r="W1199" s="2382">
        <f t="shared" si="356"/>
        <v>0.30000000000000004</v>
      </c>
      <c r="X1199" s="2398" t="s">
        <v>103</v>
      </c>
      <c r="Y1199" s="2375">
        <f t="shared" si="361"/>
        <v>1535009.1300000001</v>
      </c>
      <c r="Z1199" s="2376"/>
      <c r="AA1199" s="2377"/>
    </row>
    <row r="1200" spans="1:27" ht="25" hidden="1" customHeight="1">
      <c r="A1200" s="2396">
        <f>A1195+1</f>
        <v>9</v>
      </c>
      <c r="B1200" s="2865" t="s">
        <v>421</v>
      </c>
      <c r="C1200" s="2858"/>
      <c r="D1200" s="2859"/>
      <c r="E1200" s="2863"/>
      <c r="F1200" s="2396"/>
      <c r="G1200" s="2731"/>
      <c r="H1200" s="2389"/>
      <c r="I1200" s="2872"/>
      <c r="J1200" s="2870"/>
      <c r="K1200" s="2389"/>
      <c r="L1200" s="2391"/>
      <c r="M1200" s="2391"/>
      <c r="N1200" s="2375">
        <f t="shared" si="362"/>
        <v>0</v>
      </c>
      <c r="O1200" s="2375">
        <v>0</v>
      </c>
      <c r="P1200" s="2396"/>
      <c r="Q1200" s="2375">
        <f t="shared" si="358"/>
        <v>0</v>
      </c>
      <c r="R1200" s="2375">
        <f t="shared" si="357"/>
        <v>0</v>
      </c>
      <c r="S1200" s="2862"/>
      <c r="T1200" s="2862"/>
      <c r="U1200" s="2862"/>
      <c r="V1200" s="2862"/>
      <c r="W1200" s="2382">
        <f t="shared" si="356"/>
        <v>0</v>
      </c>
      <c r="X1200" s="2396"/>
      <c r="Y1200" s="2375">
        <f t="shared" si="361"/>
        <v>0</v>
      </c>
      <c r="Z1200" s="2862"/>
      <c r="AA1200" s="2377"/>
    </row>
    <row r="1201" spans="1:27" ht="25" hidden="1" customHeight="1">
      <c r="A1201" s="2871" t="s">
        <v>95</v>
      </c>
      <c r="B1201" s="2865" t="s">
        <v>417</v>
      </c>
      <c r="C1201" s="2858"/>
      <c r="D1201" s="2859"/>
      <c r="E1201" s="2863">
        <f>'14. Vol Genset'!$M$99</f>
        <v>21.48</v>
      </c>
      <c r="F1201" s="2396" t="s">
        <v>89</v>
      </c>
      <c r="G1201" s="2731">
        <v>249883.29</v>
      </c>
      <c r="H1201" s="2389">
        <f>E1201*G1201</f>
        <v>5367493.0692000007</v>
      </c>
      <c r="I1201" s="2872">
        <f>'Resume Analisa'!$D$40</f>
        <v>245946.97</v>
      </c>
      <c r="J1201" s="2400">
        <f>E1201*I1201</f>
        <v>5282940.9155999999</v>
      </c>
      <c r="K1201" s="2378" t="e">
        <f>IF(H1201=0,"",IF(J1201&lt;#REF!*H1201,"Timpang &lt;"&amp;TEXT(#REF!,"0%"),IF(J1201&gt;#REF!*H1201,"Timpang &gt;"&amp;TEXT(#REF!,"0%"),"Wajar")))</f>
        <v>#REF!</v>
      </c>
      <c r="L1201" s="2391">
        <v>245946.97</v>
      </c>
      <c r="M1201" s="2391">
        <f>E1201*L1201</f>
        <v>5282940.9155999999</v>
      </c>
      <c r="N1201" s="2375">
        <f t="shared" si="362"/>
        <v>2.3077013355383932E-3</v>
      </c>
      <c r="O1201" s="2375">
        <v>0</v>
      </c>
      <c r="P1201" s="2396"/>
      <c r="Q1201" s="2375">
        <f t="shared" si="358"/>
        <v>0</v>
      </c>
      <c r="R1201" s="2375">
        <f t="shared" si="357"/>
        <v>0</v>
      </c>
      <c r="S1201" s="2376"/>
      <c r="T1201" s="2376"/>
      <c r="U1201" s="2376"/>
      <c r="V1201" s="2376"/>
      <c r="W1201" s="2382">
        <f t="shared" si="356"/>
        <v>21.48</v>
      </c>
      <c r="X1201" s="2396" t="s">
        <v>89</v>
      </c>
      <c r="Y1201" s="2375">
        <f t="shared" si="361"/>
        <v>245946.97</v>
      </c>
      <c r="Z1201" s="2376"/>
      <c r="AA1201" s="2377"/>
    </row>
    <row r="1202" spans="1:27" ht="25" hidden="1" customHeight="1">
      <c r="A1202" s="2871" t="s">
        <v>98</v>
      </c>
      <c r="B1202" s="2549" t="s">
        <v>418</v>
      </c>
      <c r="C1202" s="2858"/>
      <c r="D1202" s="2859"/>
      <c r="E1202" s="2863">
        <f>'14. Vol Genset'!$M$100</f>
        <v>113.33736000000002</v>
      </c>
      <c r="F1202" s="2396" t="s">
        <v>100</v>
      </c>
      <c r="G1202" s="2736">
        <v>19151.18</v>
      </c>
      <c r="H1202" s="2473">
        <f>E1202*G1202</f>
        <v>2170544.1820848002</v>
      </c>
      <c r="I1202" s="2867">
        <f>'Resume Analisa'!$D$48</f>
        <v>18790.969999999998</v>
      </c>
      <c r="J1202" s="2867">
        <f>+I1202*E1202</f>
        <v>2129718.9316392001</v>
      </c>
      <c r="K1202" s="2378" t="e">
        <f>IF(H1202=0,"",IF(J1202&lt;#REF!*H1202,"Timpang &lt;"&amp;TEXT(#REF!,"0%"),IF(J1202&gt;#REF!*H1202,"Timpang &gt;"&amp;TEXT(#REF!,"0%"),"Wajar")))</f>
        <v>#REF!</v>
      </c>
      <c r="L1202" s="2475">
        <v>18790.969999999998</v>
      </c>
      <c r="M1202" s="2475">
        <f>E1202*L1202</f>
        <v>2129718.9316392001</v>
      </c>
      <c r="N1202" s="2375">
        <f t="shared" si="362"/>
        <v>9.3030667981775037E-4</v>
      </c>
      <c r="O1202" s="2375">
        <v>0</v>
      </c>
      <c r="P1202" s="2396"/>
      <c r="Q1202" s="2375">
        <f t="shared" si="358"/>
        <v>0</v>
      </c>
      <c r="R1202" s="2375">
        <f t="shared" si="357"/>
        <v>0</v>
      </c>
      <c r="S1202" s="2376"/>
      <c r="T1202" s="2376"/>
      <c r="U1202" s="2376"/>
      <c r="V1202" s="2376"/>
      <c r="W1202" s="2382">
        <f t="shared" si="356"/>
        <v>113.33736000000002</v>
      </c>
      <c r="X1202" s="2396" t="s">
        <v>100</v>
      </c>
      <c r="Y1202" s="2375">
        <f t="shared" si="361"/>
        <v>18790.969999999998</v>
      </c>
      <c r="Z1202" s="2376"/>
      <c r="AA1202" s="2377"/>
    </row>
    <row r="1203" spans="1:27" ht="25" hidden="1" customHeight="1">
      <c r="A1203" s="2871" t="s">
        <v>101</v>
      </c>
      <c r="B1203" s="2549" t="s">
        <v>419</v>
      </c>
      <c r="C1203" s="2858"/>
      <c r="D1203" s="2859"/>
      <c r="E1203" s="2863">
        <f>'14. Vol Genset'!$M$101</f>
        <v>42.470438400000006</v>
      </c>
      <c r="F1203" s="2396" t="s">
        <v>100</v>
      </c>
      <c r="G1203" s="2736">
        <v>19151.18</v>
      </c>
      <c r="H1203" s="2473">
        <f>E1203*G1203</f>
        <v>813359.01047731214</v>
      </c>
      <c r="I1203" s="2867">
        <f>'Resume Analisa'!$D$48</f>
        <v>18790.969999999998</v>
      </c>
      <c r="J1203" s="2867">
        <f>+I1203*E1203</f>
        <v>798060.73386124801</v>
      </c>
      <c r="K1203" s="2378" t="e">
        <f>IF(H1203=0,"",IF(J1203&lt;#REF!*H1203,"Timpang &lt;"&amp;TEXT(#REF!,"0%"),IF(J1203&gt;#REF!*H1203,"Timpang &gt;"&amp;TEXT(#REF!,"0%"),"Wajar")))</f>
        <v>#REF!</v>
      </c>
      <c r="L1203" s="2475">
        <v>18790.969999999998</v>
      </c>
      <c r="M1203" s="2475">
        <f>E1203*L1203</f>
        <v>798060.73386124801</v>
      </c>
      <c r="N1203" s="2375">
        <f t="shared" si="362"/>
        <v>3.4860996001943482E-4</v>
      </c>
      <c r="O1203" s="2375">
        <v>0</v>
      </c>
      <c r="P1203" s="2396"/>
      <c r="Q1203" s="2375">
        <f t="shared" si="358"/>
        <v>0</v>
      </c>
      <c r="R1203" s="2375">
        <f t="shared" si="357"/>
        <v>0</v>
      </c>
      <c r="S1203" s="2376"/>
      <c r="T1203" s="2376"/>
      <c r="U1203" s="2376"/>
      <c r="V1203" s="2376"/>
      <c r="W1203" s="2382">
        <f t="shared" si="356"/>
        <v>42.470438400000006</v>
      </c>
      <c r="X1203" s="2396" t="s">
        <v>100</v>
      </c>
      <c r="Y1203" s="2375">
        <f t="shared" si="361"/>
        <v>18790.969999999998</v>
      </c>
      <c r="Z1203" s="2376"/>
      <c r="AA1203" s="2377"/>
    </row>
    <row r="1204" spans="1:27" ht="25" hidden="1" customHeight="1">
      <c r="A1204" s="2871" t="s">
        <v>121</v>
      </c>
      <c r="B1204" s="2865" t="s">
        <v>420</v>
      </c>
      <c r="C1204" s="2873"/>
      <c r="D1204" s="2874"/>
      <c r="E1204" s="2863">
        <f>'14. Vol Genset'!$M$102</f>
        <v>1.3425</v>
      </c>
      <c r="F1204" s="2396" t="s">
        <v>103</v>
      </c>
      <c r="G1204" s="2731">
        <v>1584129.98</v>
      </c>
      <c r="H1204" s="2389">
        <f>E1204*G1204</f>
        <v>2126694.4981499999</v>
      </c>
      <c r="I1204" s="2872">
        <f>'Resume Analisa'!$D$55</f>
        <v>1535009.1300000001</v>
      </c>
      <c r="J1204" s="2400">
        <f>E1204*I1204</f>
        <v>2060749.7570250002</v>
      </c>
      <c r="K1204" s="2378" t="e">
        <f>IF(H1204=0,"",IF(J1204&lt;#REF!*H1204,"Timpang &lt;"&amp;TEXT(#REF!,"0%"),IF(J1204&gt;#REF!*H1204,"Timpang &gt;"&amp;TEXT(#REF!,"0%"),"Wajar")))</f>
        <v>#REF!</v>
      </c>
      <c r="L1204" s="2391">
        <v>1535009.1300000001</v>
      </c>
      <c r="M1204" s="2391">
        <f>E1204*L1204</f>
        <v>2060749.7570250002</v>
      </c>
      <c r="N1204" s="2375">
        <f t="shared" si="362"/>
        <v>9.0017947247038343E-4</v>
      </c>
      <c r="O1204" s="2375">
        <v>0</v>
      </c>
      <c r="P1204" s="2396"/>
      <c r="Q1204" s="2375">
        <f t="shared" si="358"/>
        <v>0</v>
      </c>
      <c r="R1204" s="2375">
        <f t="shared" si="357"/>
        <v>0</v>
      </c>
      <c r="S1204" s="2376"/>
      <c r="T1204" s="2376"/>
      <c r="U1204" s="2376"/>
      <c r="V1204" s="2376"/>
      <c r="W1204" s="2382">
        <f t="shared" si="356"/>
        <v>1.3425</v>
      </c>
      <c r="X1204" s="2396" t="s">
        <v>103</v>
      </c>
      <c r="Y1204" s="2375">
        <f t="shared" si="361"/>
        <v>1535009.1300000001</v>
      </c>
      <c r="Z1204" s="2376"/>
      <c r="AA1204" s="2377"/>
    </row>
    <row r="1205" spans="1:27" ht="25" hidden="1" customHeight="1">
      <c r="A1205" s="2396">
        <f>A1200+1</f>
        <v>10</v>
      </c>
      <c r="B1205" s="2865" t="s">
        <v>422</v>
      </c>
      <c r="C1205" s="2858"/>
      <c r="D1205" s="2859"/>
      <c r="E1205" s="2863"/>
      <c r="F1205" s="2396"/>
      <c r="G1205" s="2731"/>
      <c r="H1205" s="2389"/>
      <c r="I1205" s="2872"/>
      <c r="J1205" s="2870"/>
      <c r="K1205" s="2389"/>
      <c r="L1205" s="2391"/>
      <c r="M1205" s="2391"/>
      <c r="N1205" s="2375">
        <f t="shared" si="362"/>
        <v>0</v>
      </c>
      <c r="O1205" s="2375">
        <v>0</v>
      </c>
      <c r="P1205" s="2396"/>
      <c r="Q1205" s="2375">
        <f t="shared" si="358"/>
        <v>0</v>
      </c>
      <c r="R1205" s="2375">
        <f t="shared" si="357"/>
        <v>0</v>
      </c>
      <c r="S1205" s="2862"/>
      <c r="T1205" s="2862"/>
      <c r="U1205" s="2862"/>
      <c r="V1205" s="2862"/>
      <c r="W1205" s="2382">
        <f t="shared" si="356"/>
        <v>0</v>
      </c>
      <c r="X1205" s="2396"/>
      <c r="Y1205" s="2375">
        <f t="shared" si="361"/>
        <v>0</v>
      </c>
      <c r="Z1205" s="2862"/>
      <c r="AA1205" s="2377"/>
    </row>
    <row r="1206" spans="1:27" ht="25" hidden="1" customHeight="1">
      <c r="A1206" s="2871" t="s">
        <v>95</v>
      </c>
      <c r="B1206" s="2865" t="s">
        <v>423</v>
      </c>
      <c r="C1206" s="2858"/>
      <c r="D1206" s="2859"/>
      <c r="E1206" s="2863">
        <f>'14. Vol Genset'!$M$109</f>
        <v>17.899999999999999</v>
      </c>
      <c r="F1206" s="2396" t="s">
        <v>89</v>
      </c>
      <c r="G1206" s="2731">
        <v>257048.94</v>
      </c>
      <c r="H1206" s="2389">
        <f>E1206*G1206</f>
        <v>4601176.0259999996</v>
      </c>
      <c r="I1206" s="2872">
        <f>'Resume Analisa'!$D$42</f>
        <v>252902.38</v>
      </c>
      <c r="J1206" s="2400">
        <f>E1206*I1206</f>
        <v>4526952.602</v>
      </c>
      <c r="K1206" s="2378" t="e">
        <f>IF(H1206=0,"",IF(J1206&lt;#REF!*H1206,"Timpang &lt;"&amp;TEXT(#REF!,"0%"),IF(J1206&gt;#REF!*H1206,"Timpang &gt;"&amp;TEXT(#REF!,"0%"),"Wajar")))</f>
        <v>#REF!</v>
      </c>
      <c r="L1206" s="2391">
        <v>252902.38</v>
      </c>
      <c r="M1206" s="2391">
        <f>E1206*L1206</f>
        <v>4526952.602</v>
      </c>
      <c r="N1206" s="2375">
        <f t="shared" si="362"/>
        <v>1.977469506559477E-3</v>
      </c>
      <c r="O1206" s="2375">
        <v>0</v>
      </c>
      <c r="P1206" s="2396"/>
      <c r="Q1206" s="2375">
        <f t="shared" si="358"/>
        <v>0</v>
      </c>
      <c r="R1206" s="2375">
        <f t="shared" si="357"/>
        <v>0</v>
      </c>
      <c r="S1206" s="2376"/>
      <c r="T1206" s="2376"/>
      <c r="U1206" s="2376"/>
      <c r="V1206" s="2376"/>
      <c r="W1206" s="2382">
        <f t="shared" si="356"/>
        <v>17.899999999999999</v>
      </c>
      <c r="X1206" s="2396" t="s">
        <v>89</v>
      </c>
      <c r="Y1206" s="2375">
        <f t="shared" si="361"/>
        <v>252902.38</v>
      </c>
      <c r="Z1206" s="2376"/>
      <c r="AA1206" s="2377"/>
    </row>
    <row r="1207" spans="1:27" ht="25" hidden="1" customHeight="1">
      <c r="A1207" s="2871" t="s">
        <v>98</v>
      </c>
      <c r="B1207" s="2549" t="s">
        <v>410</v>
      </c>
      <c r="C1207" s="2858"/>
      <c r="D1207" s="2859"/>
      <c r="E1207" s="2863">
        <f>'14. Vol Genset'!$M$113</f>
        <v>70.897500000000008</v>
      </c>
      <c r="F1207" s="2396" t="s">
        <v>100</v>
      </c>
      <c r="G1207" s="2736">
        <v>19151.18</v>
      </c>
      <c r="H1207" s="2473">
        <f>E1207*G1207</f>
        <v>1357770.7840500001</v>
      </c>
      <c r="I1207" s="2867">
        <f>'Resume Analisa'!$D$48</f>
        <v>18790.969999999998</v>
      </c>
      <c r="J1207" s="2867">
        <f>+I1207*E1207</f>
        <v>1332232.7955749999</v>
      </c>
      <c r="K1207" s="2378" t="e">
        <f>IF(H1207=0,"",IF(J1207&lt;#REF!*H1207,"Timpang &lt;"&amp;TEXT(#REF!,"0%"),IF(J1207&gt;#REF!*H1207,"Timpang &gt;"&amp;TEXT(#REF!,"0%"),"Wajar")))</f>
        <v>#REF!</v>
      </c>
      <c r="L1207" s="2475">
        <v>18790.969999999998</v>
      </c>
      <c r="M1207" s="2475">
        <f>E1207*L1207</f>
        <v>1332232.7955749999</v>
      </c>
      <c r="N1207" s="2375">
        <f t="shared" si="362"/>
        <v>5.8194771637859704E-4</v>
      </c>
      <c r="O1207" s="2375">
        <v>0</v>
      </c>
      <c r="P1207" s="2396"/>
      <c r="Q1207" s="2375">
        <f t="shared" si="358"/>
        <v>0</v>
      </c>
      <c r="R1207" s="2375">
        <f t="shared" si="357"/>
        <v>0</v>
      </c>
      <c r="S1207" s="2376"/>
      <c r="T1207" s="2376"/>
      <c r="U1207" s="2376"/>
      <c r="V1207" s="2376"/>
      <c r="W1207" s="2382">
        <f t="shared" si="356"/>
        <v>70.897500000000008</v>
      </c>
      <c r="X1207" s="2396" t="s">
        <v>100</v>
      </c>
      <c r="Y1207" s="2375">
        <f t="shared" si="361"/>
        <v>18790.969999999998</v>
      </c>
      <c r="Z1207" s="2376"/>
      <c r="AA1207" s="2377"/>
    </row>
    <row r="1208" spans="1:27" ht="25" hidden="1" customHeight="1">
      <c r="A1208" s="2871" t="s">
        <v>101</v>
      </c>
      <c r="B1208" s="2549" t="s">
        <v>411</v>
      </c>
      <c r="C1208" s="2858"/>
      <c r="D1208" s="2859"/>
      <c r="E1208" s="2863">
        <f>'14. Vol Genset'!$M$117</f>
        <v>65.2760064</v>
      </c>
      <c r="F1208" s="2396" t="s">
        <v>100</v>
      </c>
      <c r="G1208" s="2736">
        <v>19151.18</v>
      </c>
      <c r="H1208" s="2473">
        <f>E1208*G1208</f>
        <v>1250112.548247552</v>
      </c>
      <c r="I1208" s="2867">
        <f>'Resume Analisa'!$D$48</f>
        <v>18790.969999999998</v>
      </c>
      <c r="J1208" s="2867">
        <f>+I1208*E1208</f>
        <v>1226599.4779822079</v>
      </c>
      <c r="K1208" s="2378" t="e">
        <f>IF(H1208=0,"",IF(J1208&lt;#REF!*H1208,"Timpang &lt;"&amp;TEXT(#REF!,"0%"),IF(J1208&gt;#REF!*H1208,"Timpang &gt;"&amp;TEXT(#REF!,"0%"),"Wajar")))</f>
        <v>#REF!</v>
      </c>
      <c r="L1208" s="2475">
        <v>18790.969999999998</v>
      </c>
      <c r="M1208" s="2475">
        <f>E1208*L1208</f>
        <v>1226599.4779822079</v>
      </c>
      <c r="N1208" s="2375">
        <f t="shared" si="362"/>
        <v>5.3580482892619187E-4</v>
      </c>
      <c r="O1208" s="2375">
        <v>0</v>
      </c>
      <c r="P1208" s="2396"/>
      <c r="Q1208" s="2375">
        <f t="shared" si="358"/>
        <v>0</v>
      </c>
      <c r="R1208" s="2375">
        <f t="shared" si="357"/>
        <v>0</v>
      </c>
      <c r="S1208" s="2376"/>
      <c r="T1208" s="2376"/>
      <c r="U1208" s="2376"/>
      <c r="V1208" s="2376"/>
      <c r="W1208" s="2382">
        <f t="shared" si="356"/>
        <v>65.2760064</v>
      </c>
      <c r="X1208" s="2396" t="s">
        <v>100</v>
      </c>
      <c r="Y1208" s="2375">
        <f t="shared" si="361"/>
        <v>18790.969999999998</v>
      </c>
      <c r="Z1208" s="2376"/>
      <c r="AA1208" s="2377"/>
    </row>
    <row r="1209" spans="1:27" ht="25" hidden="1" customHeight="1">
      <c r="A1209" s="2871" t="s">
        <v>121</v>
      </c>
      <c r="B1209" s="2865" t="s">
        <v>420</v>
      </c>
      <c r="C1209" s="2873"/>
      <c r="D1209" s="2874"/>
      <c r="E1209" s="2863">
        <f>'14. Vol Genset'!$M$121</f>
        <v>1.6099999999999999</v>
      </c>
      <c r="F1209" s="2396" t="s">
        <v>103</v>
      </c>
      <c r="G1209" s="2731">
        <v>1584129.98</v>
      </c>
      <c r="H1209" s="2389">
        <f>E1209*G1209</f>
        <v>2550449.2677999996</v>
      </c>
      <c r="I1209" s="2872">
        <f>'Resume Analisa'!$D$55</f>
        <v>1535009.1300000001</v>
      </c>
      <c r="J1209" s="2400">
        <f>E1209*I1209</f>
        <v>2471364.6993</v>
      </c>
      <c r="K1209" s="2378" t="e">
        <f>IF(H1209=0,"",IF(J1209&lt;#REF!*H1209,"Timpang &lt;"&amp;TEXT(#REF!,"0%"),IF(J1209&gt;#REF!*H1209,"Timpang &gt;"&amp;TEXT(#REF!,"0%"),"Wajar")))</f>
        <v>#REF!</v>
      </c>
      <c r="L1209" s="2391">
        <v>1535009.1300000001</v>
      </c>
      <c r="M1209" s="2391">
        <f>E1209*L1209</f>
        <v>2471364.6993</v>
      </c>
      <c r="N1209" s="2375">
        <f t="shared" si="362"/>
        <v>1.0795448422177409E-3</v>
      </c>
      <c r="O1209" s="2375">
        <v>0</v>
      </c>
      <c r="P1209" s="2396"/>
      <c r="Q1209" s="2375">
        <f t="shared" si="358"/>
        <v>0</v>
      </c>
      <c r="R1209" s="2375">
        <f t="shared" si="357"/>
        <v>0</v>
      </c>
      <c r="S1209" s="2376"/>
      <c r="T1209" s="2376"/>
      <c r="U1209" s="2376"/>
      <c r="V1209" s="2376"/>
      <c r="W1209" s="2382">
        <f t="shared" si="356"/>
        <v>1.6099999999999999</v>
      </c>
      <c r="X1209" s="2396" t="s">
        <v>103</v>
      </c>
      <c r="Y1209" s="2375">
        <f t="shared" si="361"/>
        <v>1535009.1300000001</v>
      </c>
      <c r="Z1209" s="2376"/>
      <c r="AA1209" s="2377"/>
    </row>
    <row r="1210" spans="1:27" ht="25" hidden="1" customHeight="1">
      <c r="A1210" s="2396">
        <f>A1205+1</f>
        <v>11</v>
      </c>
      <c r="B1210" s="2865" t="s">
        <v>553</v>
      </c>
      <c r="C1210" s="2858"/>
      <c r="D1210" s="2859"/>
      <c r="E1210" s="2863"/>
      <c r="F1210" s="2396"/>
      <c r="G1210" s="2731"/>
      <c r="H1210" s="2389"/>
      <c r="I1210" s="2872"/>
      <c r="J1210" s="2870"/>
      <c r="K1210" s="2389"/>
      <c r="L1210" s="2391"/>
      <c r="M1210" s="2391"/>
      <c r="N1210" s="2375">
        <f t="shared" si="362"/>
        <v>0</v>
      </c>
      <c r="O1210" s="2375">
        <v>0</v>
      </c>
      <c r="P1210" s="2396"/>
      <c r="Q1210" s="2375">
        <f t="shared" si="358"/>
        <v>0</v>
      </c>
      <c r="R1210" s="2375">
        <f t="shared" si="357"/>
        <v>0</v>
      </c>
      <c r="S1210" s="2862"/>
      <c r="T1210" s="2862"/>
      <c r="U1210" s="2862"/>
      <c r="V1210" s="2862"/>
      <c r="W1210" s="2382">
        <f t="shared" si="356"/>
        <v>0</v>
      </c>
      <c r="X1210" s="2396"/>
      <c r="Y1210" s="2375">
        <f t="shared" si="361"/>
        <v>0</v>
      </c>
      <c r="Z1210" s="2862"/>
      <c r="AA1210" s="2377"/>
    </row>
    <row r="1211" spans="1:27" ht="25" hidden="1" customHeight="1">
      <c r="A1211" s="2871" t="s">
        <v>95</v>
      </c>
      <c r="B1211" s="2865" t="s">
        <v>423</v>
      </c>
      <c r="C1211" s="2858"/>
      <c r="D1211" s="2859"/>
      <c r="E1211" s="2863">
        <f>'14. Vol Genset'!$M$123</f>
        <v>8.1</v>
      </c>
      <c r="F1211" s="2396" t="s">
        <v>89</v>
      </c>
      <c r="G1211" s="2731">
        <v>257048.94</v>
      </c>
      <c r="H1211" s="2389">
        <f>E1211*G1211</f>
        <v>2082096.4139999999</v>
      </c>
      <c r="I1211" s="2872">
        <f>'Resume Analisa'!$D$42</f>
        <v>252902.38</v>
      </c>
      <c r="J1211" s="2400">
        <f>E1211*I1211</f>
        <v>2048509.2779999999</v>
      </c>
      <c r="K1211" s="2378" t="e">
        <f>IF(H1211=0,"",IF(J1211&lt;#REF!*H1211,"Timpang &lt;"&amp;TEXT(#REF!,"0%"),IF(J1211&gt;#REF!*H1211,"Timpang &gt;"&amp;TEXT(#REF!,"0%"),"Wajar")))</f>
        <v>#REF!</v>
      </c>
      <c r="L1211" s="2391">
        <v>252902.38</v>
      </c>
      <c r="M1211" s="2391">
        <f>E1211*L1211</f>
        <v>2048509.2779999999</v>
      </c>
      <c r="N1211" s="2375">
        <f t="shared" si="362"/>
        <v>8.9483257000736122E-4</v>
      </c>
      <c r="O1211" s="2375">
        <v>0</v>
      </c>
      <c r="P1211" s="2396"/>
      <c r="Q1211" s="2375">
        <f t="shared" si="358"/>
        <v>0</v>
      </c>
      <c r="R1211" s="2375">
        <f t="shared" si="357"/>
        <v>0</v>
      </c>
      <c r="S1211" s="2376"/>
      <c r="T1211" s="2376"/>
      <c r="U1211" s="2376"/>
      <c r="V1211" s="2376"/>
      <c r="W1211" s="2382">
        <f t="shared" si="356"/>
        <v>8.1</v>
      </c>
      <c r="X1211" s="2396" t="s">
        <v>89</v>
      </c>
      <c r="Y1211" s="2375">
        <f t="shared" si="361"/>
        <v>252902.38</v>
      </c>
      <c r="Z1211" s="2376"/>
      <c r="AA1211" s="2377"/>
    </row>
    <row r="1212" spans="1:27" ht="25" hidden="1" customHeight="1">
      <c r="A1212" s="2871" t="s">
        <v>98</v>
      </c>
      <c r="B1212" s="2549" t="s">
        <v>410</v>
      </c>
      <c r="C1212" s="2858"/>
      <c r="D1212" s="2859"/>
      <c r="E1212" s="2863">
        <f>'14. Vol Genset'!$M$126</f>
        <v>27.742500000000003</v>
      </c>
      <c r="F1212" s="2396" t="s">
        <v>100</v>
      </c>
      <c r="G1212" s="2736">
        <v>19151.18</v>
      </c>
      <c r="H1212" s="2473">
        <f>E1212*G1212</f>
        <v>531301.61115000013</v>
      </c>
      <c r="I1212" s="2867">
        <f>'Resume Analisa'!$D$48</f>
        <v>18790.969999999998</v>
      </c>
      <c r="J1212" s="2867">
        <f>+I1212*E1212</f>
        <v>521308.48522500001</v>
      </c>
      <c r="K1212" s="2378" t="e">
        <f>IF(H1212=0,"",IF(J1212&lt;#REF!*H1212,"Timpang &lt;"&amp;TEXT(#REF!,"0%"),IF(J1212&gt;#REF!*H1212,"Timpang &gt;"&amp;TEXT(#REF!,"0%"),"Wajar")))</f>
        <v>#REF!</v>
      </c>
      <c r="L1212" s="2475">
        <v>18790.969999999998</v>
      </c>
      <c r="M1212" s="2475">
        <f>E1212*L1212</f>
        <v>521308.48522500001</v>
      </c>
      <c r="N1212" s="2375">
        <f t="shared" si="362"/>
        <v>2.2771867162640756E-4</v>
      </c>
      <c r="O1212" s="2375">
        <v>0</v>
      </c>
      <c r="P1212" s="2396"/>
      <c r="Q1212" s="2375">
        <f t="shared" si="358"/>
        <v>0</v>
      </c>
      <c r="R1212" s="2375">
        <f t="shared" si="357"/>
        <v>0</v>
      </c>
      <c r="S1212" s="2376"/>
      <c r="T1212" s="2376"/>
      <c r="U1212" s="2376"/>
      <c r="V1212" s="2376"/>
      <c r="W1212" s="2382">
        <f t="shared" si="356"/>
        <v>27.742500000000003</v>
      </c>
      <c r="X1212" s="2396" t="s">
        <v>100</v>
      </c>
      <c r="Y1212" s="2375">
        <f t="shared" si="361"/>
        <v>18790.969999999998</v>
      </c>
      <c r="Z1212" s="2376"/>
      <c r="AA1212" s="2377"/>
    </row>
    <row r="1213" spans="1:27" ht="25" hidden="1" customHeight="1">
      <c r="A1213" s="2871" t="s">
        <v>101</v>
      </c>
      <c r="B1213" s="2549" t="s">
        <v>411</v>
      </c>
      <c r="C1213" s="2858"/>
      <c r="D1213" s="2859"/>
      <c r="E1213" s="2863">
        <f>'14. Vol Genset'!$M$127</f>
        <v>25.693747200000004</v>
      </c>
      <c r="F1213" s="2396" t="s">
        <v>100</v>
      </c>
      <c r="G1213" s="2736">
        <v>19151.18</v>
      </c>
      <c r="H1213" s="2473">
        <f>E1213*G1213</f>
        <v>492065.57750169607</v>
      </c>
      <c r="I1213" s="2867">
        <f>'Resume Analisa'!$D$48</f>
        <v>18790.969999999998</v>
      </c>
      <c r="J1213" s="2867">
        <f>+I1213*E1213</f>
        <v>482810.432822784</v>
      </c>
      <c r="K1213" s="2378" t="e">
        <f>IF(H1213=0,"",IF(J1213&lt;#REF!*H1213,"Timpang &lt;"&amp;TEXT(#REF!,"0%"),IF(J1213&gt;#REF!*H1213,"Timpang &gt;"&amp;TEXT(#REF!,"0%"),"Wajar")))</f>
        <v>#REF!</v>
      </c>
      <c r="L1213" s="2475">
        <v>18790.969999999998</v>
      </c>
      <c r="M1213" s="2475">
        <f>E1213*L1213</f>
        <v>482810.432822784</v>
      </c>
      <c r="N1213" s="2375">
        <f t="shared" si="362"/>
        <v>2.109019007475436E-4</v>
      </c>
      <c r="O1213" s="2375">
        <v>0</v>
      </c>
      <c r="P1213" s="2396"/>
      <c r="Q1213" s="2375">
        <f t="shared" si="358"/>
        <v>0</v>
      </c>
      <c r="R1213" s="2375">
        <f t="shared" si="357"/>
        <v>0</v>
      </c>
      <c r="S1213" s="2376"/>
      <c r="T1213" s="2376"/>
      <c r="U1213" s="2376"/>
      <c r="V1213" s="2376"/>
      <c r="W1213" s="2382">
        <f t="shared" si="356"/>
        <v>25.693747200000004</v>
      </c>
      <c r="X1213" s="2396" t="s">
        <v>100</v>
      </c>
      <c r="Y1213" s="2375">
        <f t="shared" si="361"/>
        <v>18790.969999999998</v>
      </c>
      <c r="Z1213" s="2376"/>
      <c r="AA1213" s="2377"/>
    </row>
    <row r="1214" spans="1:27" ht="25" hidden="1" customHeight="1">
      <c r="A1214" s="2871" t="s">
        <v>121</v>
      </c>
      <c r="B1214" s="2865" t="s">
        <v>420</v>
      </c>
      <c r="C1214" s="2873"/>
      <c r="D1214" s="2874"/>
      <c r="E1214" s="2863">
        <f>'14. Vol Genset'!$M$128</f>
        <v>0.63</v>
      </c>
      <c r="F1214" s="2396" t="s">
        <v>103</v>
      </c>
      <c r="G1214" s="2731">
        <v>1584129.98</v>
      </c>
      <c r="H1214" s="2389">
        <f>E1214*G1214</f>
        <v>998001.88740000001</v>
      </c>
      <c r="I1214" s="2872">
        <f>'Resume Analisa'!$D$55</f>
        <v>1535009.1300000001</v>
      </c>
      <c r="J1214" s="2400">
        <f>E1214*I1214</f>
        <v>967055.75190000003</v>
      </c>
      <c r="K1214" s="2378" t="e">
        <f>IF(H1214=0,"",IF(J1214&lt;#REF!*H1214,"Timpang &lt;"&amp;TEXT(#REF!,"0%"),IF(J1214&gt;#REF!*H1214,"Timpang &gt;"&amp;TEXT(#REF!,"0%"),"Wajar")))</f>
        <v>#REF!</v>
      </c>
      <c r="L1214" s="2391">
        <v>1535009.1300000001</v>
      </c>
      <c r="M1214" s="2391">
        <f>E1214*L1214</f>
        <v>967055.75190000003</v>
      </c>
      <c r="N1214" s="2375">
        <f t="shared" si="362"/>
        <v>4.2243059043302908E-4</v>
      </c>
      <c r="O1214" s="2375">
        <v>0</v>
      </c>
      <c r="P1214" s="2396"/>
      <c r="Q1214" s="2375">
        <f t="shared" si="358"/>
        <v>0</v>
      </c>
      <c r="R1214" s="2375">
        <f t="shared" si="357"/>
        <v>0</v>
      </c>
      <c r="S1214" s="2376"/>
      <c r="T1214" s="2376"/>
      <c r="U1214" s="2376"/>
      <c r="V1214" s="2376"/>
      <c r="W1214" s="2382">
        <f t="shared" si="356"/>
        <v>0.63</v>
      </c>
      <c r="X1214" s="2396" t="s">
        <v>103</v>
      </c>
      <c r="Y1214" s="2375">
        <f t="shared" si="361"/>
        <v>1535009.1300000001</v>
      </c>
      <c r="Z1214" s="2376"/>
      <c r="AA1214" s="2377"/>
    </row>
    <row r="1215" spans="1:27" ht="25" hidden="1" customHeight="1">
      <c r="A1215" s="2396">
        <f>A1210+1</f>
        <v>12</v>
      </c>
      <c r="B1215" s="2875" t="s">
        <v>819</v>
      </c>
      <c r="C1215" s="2858"/>
      <c r="D1215" s="2859"/>
      <c r="E1215" s="2863"/>
      <c r="F1215" s="2396"/>
      <c r="G1215" s="2731"/>
      <c r="H1215" s="2389"/>
      <c r="I1215" s="2864"/>
      <c r="J1215" s="2870"/>
      <c r="K1215" s="2389"/>
      <c r="L1215" s="2391"/>
      <c r="M1215" s="2391"/>
      <c r="N1215" s="2375">
        <f t="shared" si="362"/>
        <v>0</v>
      </c>
      <c r="O1215" s="2375">
        <v>0</v>
      </c>
      <c r="P1215" s="2396"/>
      <c r="Q1215" s="2375">
        <f t="shared" si="358"/>
        <v>0</v>
      </c>
      <c r="R1215" s="2375">
        <f t="shared" si="357"/>
        <v>0</v>
      </c>
      <c r="S1215" s="2862"/>
      <c r="T1215" s="2862"/>
      <c r="U1215" s="2862"/>
      <c r="V1215" s="2862"/>
      <c r="W1215" s="2382">
        <f t="shared" si="356"/>
        <v>0</v>
      </c>
      <c r="X1215" s="2396"/>
      <c r="Y1215" s="2375">
        <f t="shared" si="361"/>
        <v>0</v>
      </c>
      <c r="Z1215" s="2862"/>
      <c r="AA1215" s="2377"/>
    </row>
    <row r="1216" spans="1:27" ht="25" hidden="1" customHeight="1">
      <c r="A1216" s="2871" t="s">
        <v>95</v>
      </c>
      <c r="B1216" s="2865" t="s">
        <v>423</v>
      </c>
      <c r="C1216" s="2858"/>
      <c r="D1216" s="2859"/>
      <c r="E1216" s="2863">
        <f>'14. Vol Genset'!$M$130</f>
        <v>2.1</v>
      </c>
      <c r="F1216" s="2396" t="s">
        <v>89</v>
      </c>
      <c r="G1216" s="2731">
        <v>257048.94</v>
      </c>
      <c r="H1216" s="2389">
        <f>E1216*G1216</f>
        <v>539802.77399999998</v>
      </c>
      <c r="I1216" s="2872">
        <f>'Resume Analisa'!$D$42</f>
        <v>252902.38</v>
      </c>
      <c r="J1216" s="2400">
        <f>E1216*I1216</f>
        <v>531094.99800000002</v>
      </c>
      <c r="K1216" s="2378" t="e">
        <f>IF(H1216=0,"",IF(J1216&lt;#REF!*H1216,"Timpang &lt;"&amp;TEXT(#REF!,"0%"),IF(J1216&gt;#REF!*H1216,"Timpang &gt;"&amp;TEXT(#REF!,"0%"),"Wajar")))</f>
        <v>#REF!</v>
      </c>
      <c r="L1216" s="2391">
        <v>252902.38</v>
      </c>
      <c r="M1216" s="2391">
        <f>E1216*L1216</f>
        <v>531094.99800000002</v>
      </c>
      <c r="N1216" s="2375">
        <f t="shared" si="362"/>
        <v>2.3199362926116772E-4</v>
      </c>
      <c r="O1216" s="2375">
        <v>0</v>
      </c>
      <c r="P1216" s="2396"/>
      <c r="Q1216" s="2375">
        <f t="shared" si="358"/>
        <v>0</v>
      </c>
      <c r="R1216" s="2375">
        <f t="shared" si="357"/>
        <v>0</v>
      </c>
      <c r="S1216" s="2376"/>
      <c r="T1216" s="2376"/>
      <c r="U1216" s="2376"/>
      <c r="V1216" s="2376"/>
      <c r="W1216" s="2382">
        <f t="shared" si="356"/>
        <v>2.1</v>
      </c>
      <c r="X1216" s="2396" t="s">
        <v>89</v>
      </c>
      <c r="Y1216" s="2375">
        <f t="shared" si="361"/>
        <v>252902.38</v>
      </c>
      <c r="Z1216" s="2376"/>
      <c r="AA1216" s="2377"/>
    </row>
    <row r="1217" spans="1:27" ht="25" hidden="1" customHeight="1">
      <c r="A1217" s="2871" t="s">
        <v>98</v>
      </c>
      <c r="B1217" s="2865" t="s">
        <v>432</v>
      </c>
      <c r="C1217" s="2858"/>
      <c r="D1217" s="2859"/>
      <c r="E1217" s="2863">
        <f>'14. Vol Genset'!$M$131</f>
        <v>10.78875</v>
      </c>
      <c r="F1217" s="2396" t="s">
        <v>100</v>
      </c>
      <c r="G1217" s="2736">
        <v>19151.18</v>
      </c>
      <c r="H1217" s="2473">
        <f>E1217*G1217</f>
        <v>206617.293225</v>
      </c>
      <c r="I1217" s="2867">
        <f>'Resume Analisa'!$D$48</f>
        <v>18790.969999999998</v>
      </c>
      <c r="J1217" s="2867">
        <f>+I1217*E1217</f>
        <v>202731.07758749998</v>
      </c>
      <c r="K1217" s="2378" t="e">
        <f>IF(H1217=0,"",IF(J1217&lt;#REF!*H1217,"Timpang &lt;"&amp;TEXT(#REF!,"0%"),IF(J1217&gt;#REF!*H1217,"Timpang &gt;"&amp;TEXT(#REF!,"0%"),"Wajar")))</f>
        <v>#REF!</v>
      </c>
      <c r="L1217" s="2475">
        <v>18790.969999999998</v>
      </c>
      <c r="M1217" s="2475">
        <f>E1217*L1217</f>
        <v>202731.07758749998</v>
      </c>
      <c r="N1217" s="2375">
        <f t="shared" si="362"/>
        <v>8.8557261188047372E-5</v>
      </c>
      <c r="O1217" s="2375">
        <v>0</v>
      </c>
      <c r="P1217" s="2396"/>
      <c r="Q1217" s="2375">
        <f t="shared" si="358"/>
        <v>0</v>
      </c>
      <c r="R1217" s="2375">
        <f t="shared" si="357"/>
        <v>0</v>
      </c>
      <c r="S1217" s="2376"/>
      <c r="T1217" s="2376"/>
      <c r="U1217" s="2376"/>
      <c r="V1217" s="2376"/>
      <c r="W1217" s="2382">
        <f t="shared" si="356"/>
        <v>10.78875</v>
      </c>
      <c r="X1217" s="2396" t="s">
        <v>100</v>
      </c>
      <c r="Y1217" s="2375">
        <f t="shared" si="361"/>
        <v>18790.969999999998</v>
      </c>
      <c r="Z1217" s="2376"/>
      <c r="AA1217" s="2377"/>
    </row>
    <row r="1218" spans="1:27" ht="25" hidden="1" customHeight="1">
      <c r="A1218" s="2871" t="s">
        <v>101</v>
      </c>
      <c r="B1218" s="2865" t="s">
        <v>411</v>
      </c>
      <c r="C1218" s="2858"/>
      <c r="D1218" s="2859"/>
      <c r="E1218" s="2863">
        <f>'14. Vol Genset'!$M$132</f>
        <v>6.8653440000000003</v>
      </c>
      <c r="F1218" s="2396" t="s">
        <v>100</v>
      </c>
      <c r="G1218" s="2736">
        <v>19151.18</v>
      </c>
      <c r="H1218" s="2473">
        <f>E1218*G1218</f>
        <v>131479.43870592001</v>
      </c>
      <c r="I1218" s="2867">
        <f>'Resume Analisa'!$D$48</f>
        <v>18790.969999999998</v>
      </c>
      <c r="J1218" s="2867">
        <f>+I1218*E1218</f>
        <v>129006.47314367999</v>
      </c>
      <c r="K1218" s="2378" t="e">
        <f>IF(H1218=0,"",IF(J1218&lt;#REF!*H1218,"Timpang &lt;"&amp;TEXT(#REF!,"0%"),IF(J1218&gt;#REF!*H1218,"Timpang &gt;"&amp;TEXT(#REF!,"0%"),"Wajar")))</f>
        <v>#REF!</v>
      </c>
      <c r="L1218" s="2475">
        <v>18790.969999999998</v>
      </c>
      <c r="M1218" s="2475">
        <f>E1218*L1218</f>
        <v>129006.47314367999</v>
      </c>
      <c r="N1218" s="2375">
        <f t="shared" si="362"/>
        <v>5.6352780605148322E-5</v>
      </c>
      <c r="O1218" s="2375">
        <v>0</v>
      </c>
      <c r="P1218" s="2396"/>
      <c r="Q1218" s="2375">
        <f t="shared" si="358"/>
        <v>0</v>
      </c>
      <c r="R1218" s="2375">
        <f t="shared" si="357"/>
        <v>0</v>
      </c>
      <c r="S1218" s="2376"/>
      <c r="T1218" s="2376"/>
      <c r="U1218" s="2376"/>
      <c r="V1218" s="2376"/>
      <c r="W1218" s="2382">
        <f t="shared" si="356"/>
        <v>6.8653440000000003</v>
      </c>
      <c r="X1218" s="2396" t="s">
        <v>100</v>
      </c>
      <c r="Y1218" s="2375">
        <f t="shared" si="361"/>
        <v>18790.969999999998</v>
      </c>
      <c r="Z1218" s="2376"/>
      <c r="AA1218" s="2377"/>
    </row>
    <row r="1219" spans="1:27" ht="25" hidden="1" customHeight="1">
      <c r="A1219" s="2871" t="s">
        <v>121</v>
      </c>
      <c r="B1219" s="2865" t="s">
        <v>420</v>
      </c>
      <c r="C1219" s="2873"/>
      <c r="D1219" s="2874"/>
      <c r="E1219" s="2863">
        <f>'14. Vol Genset'!$M$133</f>
        <v>0.10500000000000001</v>
      </c>
      <c r="F1219" s="2396" t="s">
        <v>103</v>
      </c>
      <c r="G1219" s="2731">
        <v>1584129.98</v>
      </c>
      <c r="H1219" s="2389">
        <f>E1219*G1219</f>
        <v>166333.64790000001</v>
      </c>
      <c r="I1219" s="2872">
        <f>'Resume Analisa'!$D$55</f>
        <v>1535009.1300000001</v>
      </c>
      <c r="J1219" s="2400">
        <f>E1219*I1219</f>
        <v>161175.95865000002</v>
      </c>
      <c r="K1219" s="2378" t="e">
        <f>IF(H1219=0,"",IF(J1219&lt;#REF!*H1219,"Timpang &lt;"&amp;TEXT(#REF!,"0%"),IF(J1219&gt;#REF!*H1219,"Timpang &gt;"&amp;TEXT(#REF!,"0%"),"Wajar")))</f>
        <v>#REF!</v>
      </c>
      <c r="L1219" s="2391">
        <v>1535009.1300000001</v>
      </c>
      <c r="M1219" s="2391">
        <f>E1219*L1219</f>
        <v>161175.95865000002</v>
      </c>
      <c r="N1219" s="2375">
        <f t="shared" si="362"/>
        <v>7.0405098405504856E-5</v>
      </c>
      <c r="O1219" s="2375">
        <v>0</v>
      </c>
      <c r="P1219" s="2396"/>
      <c r="Q1219" s="2375">
        <f t="shared" si="358"/>
        <v>0</v>
      </c>
      <c r="R1219" s="2375">
        <f t="shared" si="357"/>
        <v>0</v>
      </c>
      <c r="S1219" s="2376"/>
      <c r="T1219" s="2376"/>
      <c r="U1219" s="2376"/>
      <c r="V1219" s="2376"/>
      <c r="W1219" s="2382">
        <f t="shared" si="356"/>
        <v>0.10500000000000001</v>
      </c>
      <c r="X1219" s="2396" t="s">
        <v>103</v>
      </c>
      <c r="Y1219" s="2375">
        <f t="shared" si="361"/>
        <v>1535009.1300000001</v>
      </c>
      <c r="Z1219" s="2376"/>
      <c r="AA1219" s="2377"/>
    </row>
    <row r="1220" spans="1:27" s="331" customFormat="1" ht="25" hidden="1" customHeight="1">
      <c r="A1220" s="2398">
        <f>A1215+1</f>
        <v>13</v>
      </c>
      <c r="B1220" s="2549" t="s">
        <v>424</v>
      </c>
      <c r="C1220" s="2550"/>
      <c r="D1220" s="2551"/>
      <c r="E1220" s="2541"/>
      <c r="F1220" s="2398"/>
      <c r="G1220" s="2389"/>
      <c r="H1220" s="2389"/>
      <c r="I1220" s="2465"/>
      <c r="J1220" s="2552"/>
      <c r="K1220" s="2389"/>
      <c r="L1220" s="2391"/>
      <c r="M1220" s="2391"/>
      <c r="N1220" s="2375">
        <f t="shared" si="362"/>
        <v>0</v>
      </c>
      <c r="O1220" s="2375">
        <v>0</v>
      </c>
      <c r="P1220" s="2398"/>
      <c r="Q1220" s="2375">
        <f t="shared" si="358"/>
        <v>0</v>
      </c>
      <c r="R1220" s="2375">
        <f t="shared" si="357"/>
        <v>0</v>
      </c>
      <c r="S1220" s="2376"/>
      <c r="T1220" s="2376"/>
      <c r="U1220" s="2376"/>
      <c r="V1220" s="2376"/>
      <c r="W1220" s="2382">
        <f t="shared" si="356"/>
        <v>0</v>
      </c>
      <c r="X1220" s="2398"/>
      <c r="Y1220" s="2375">
        <f t="shared" si="361"/>
        <v>0</v>
      </c>
      <c r="Z1220" s="2376"/>
      <c r="AA1220" s="2876"/>
    </row>
    <row r="1221" spans="1:27" s="331" customFormat="1" ht="25" hidden="1" customHeight="1">
      <c r="A1221" s="2555" t="s">
        <v>834</v>
      </c>
      <c r="B1221" s="2549" t="s">
        <v>426</v>
      </c>
      <c r="C1221" s="2550"/>
      <c r="D1221" s="2551"/>
      <c r="E1221" s="2541"/>
      <c r="F1221" s="2398"/>
      <c r="G1221" s="2389"/>
      <c r="H1221" s="2389"/>
      <c r="I1221" s="2465"/>
      <c r="J1221" s="2552"/>
      <c r="K1221" s="2389"/>
      <c r="L1221" s="2391"/>
      <c r="M1221" s="2391"/>
      <c r="N1221" s="2375">
        <f t="shared" si="362"/>
        <v>0</v>
      </c>
      <c r="O1221" s="2375">
        <v>0</v>
      </c>
      <c r="P1221" s="2398"/>
      <c r="Q1221" s="2375">
        <f t="shared" si="358"/>
        <v>0</v>
      </c>
      <c r="R1221" s="2375">
        <f t="shared" si="357"/>
        <v>0</v>
      </c>
      <c r="S1221" s="2376"/>
      <c r="T1221" s="2376"/>
      <c r="U1221" s="2376"/>
      <c r="V1221" s="2376"/>
      <c r="W1221" s="2382">
        <f t="shared" si="356"/>
        <v>0</v>
      </c>
      <c r="X1221" s="2398"/>
      <c r="Y1221" s="2375">
        <f t="shared" si="361"/>
        <v>0</v>
      </c>
      <c r="Z1221" s="2376"/>
      <c r="AA1221" s="2876"/>
    </row>
    <row r="1222" spans="1:27" s="331" customFormat="1" ht="25" hidden="1" customHeight="1">
      <c r="A1222" s="2555" t="s">
        <v>95</v>
      </c>
      <c r="B1222" s="2549" t="s">
        <v>423</v>
      </c>
      <c r="C1222" s="2550"/>
      <c r="D1222" s="2551"/>
      <c r="E1222" s="2541">
        <f>'14. Vol Genset'!$M$141</f>
        <v>5.5676500000000013</v>
      </c>
      <c r="F1222" s="2398" t="s">
        <v>89</v>
      </c>
      <c r="G1222" s="2389">
        <v>257048.94</v>
      </c>
      <c r="H1222" s="2389">
        <f>E1222*G1222</f>
        <v>1431158.5307910005</v>
      </c>
      <c r="I1222" s="2465">
        <f>'Resume Analisa'!$D$42</f>
        <v>252902.38</v>
      </c>
      <c r="J1222" s="2552">
        <f>E1222*I1222</f>
        <v>1408071.9360070003</v>
      </c>
      <c r="K1222" s="2378" t="e">
        <f>IF(H1222=0,"",IF(J1222&lt;#REF!*H1222,"Timpang &lt;"&amp;TEXT(#REF!,"0%"),IF(J1222&gt;#REF!*H1222,"Timpang &gt;"&amp;TEXT(#REF!,"0%"),"Wajar")))</f>
        <v>#REF!</v>
      </c>
      <c r="L1222" s="2391">
        <v>252902.38</v>
      </c>
      <c r="M1222" s="2391">
        <f>E1222*L1222</f>
        <v>1408071.9360070003</v>
      </c>
      <c r="N1222" s="2375">
        <f t="shared" si="362"/>
        <v>6.1507587140759081E-4</v>
      </c>
      <c r="O1222" s="2375">
        <v>0</v>
      </c>
      <c r="P1222" s="2398"/>
      <c r="Q1222" s="2375">
        <f t="shared" si="358"/>
        <v>0</v>
      </c>
      <c r="R1222" s="2375">
        <f t="shared" si="357"/>
        <v>0</v>
      </c>
      <c r="S1222" s="2376"/>
      <c r="T1222" s="2376"/>
      <c r="U1222" s="2376"/>
      <c r="V1222" s="2376"/>
      <c r="W1222" s="2382">
        <f t="shared" si="356"/>
        <v>5.5676500000000013</v>
      </c>
      <c r="X1222" s="2398" t="s">
        <v>89</v>
      </c>
      <c r="Y1222" s="2375">
        <f t="shared" si="361"/>
        <v>252902.38</v>
      </c>
      <c r="Z1222" s="2376"/>
      <c r="AA1222" s="2876"/>
    </row>
    <row r="1223" spans="1:27" s="331" customFormat="1" ht="25" hidden="1" customHeight="1">
      <c r="A1223" s="2555" t="s">
        <v>98</v>
      </c>
      <c r="B1223" s="2549" t="s">
        <v>427</v>
      </c>
      <c r="C1223" s="2550"/>
      <c r="D1223" s="2551"/>
      <c r="E1223" s="2541">
        <f>'14. Vol Genset'!$M$145</f>
        <v>104.78000000000002</v>
      </c>
      <c r="F1223" s="2398" t="s">
        <v>100</v>
      </c>
      <c r="G1223" s="2473">
        <v>19151.18</v>
      </c>
      <c r="H1223" s="2389">
        <f>E1223*G1223</f>
        <v>2006660.6404000004</v>
      </c>
      <c r="I1223" s="2474">
        <f>'Resume Analisa'!$D$48</f>
        <v>18790.969999999998</v>
      </c>
      <c r="J1223" s="2552">
        <f>E1223*I1223</f>
        <v>1968917.8366</v>
      </c>
      <c r="K1223" s="2378" t="e">
        <f>IF(H1223=0,"",IF(J1223&lt;#REF!*H1223,"Timpang &lt;"&amp;TEXT(#REF!,"0%"),IF(J1223&gt;#REF!*H1223,"Timpang &gt;"&amp;TEXT(#REF!,"0%"),"Wajar")))</f>
        <v>#REF!</v>
      </c>
      <c r="L1223" s="2475">
        <v>18790.969999999998</v>
      </c>
      <c r="M1223" s="2391">
        <f>E1223*L1223</f>
        <v>1968917.8366</v>
      </c>
      <c r="N1223" s="2375">
        <f t="shared" si="362"/>
        <v>8.60065329837433E-4</v>
      </c>
      <c r="O1223" s="2375">
        <v>0</v>
      </c>
      <c r="P1223" s="2398"/>
      <c r="Q1223" s="2375">
        <f t="shared" si="358"/>
        <v>0</v>
      </c>
      <c r="R1223" s="2375">
        <f t="shared" si="357"/>
        <v>0</v>
      </c>
      <c r="S1223" s="2376"/>
      <c r="T1223" s="2376"/>
      <c r="U1223" s="2376"/>
      <c r="V1223" s="2376"/>
      <c r="W1223" s="2382">
        <f t="shared" si="356"/>
        <v>104.78000000000002</v>
      </c>
      <c r="X1223" s="2398" t="s">
        <v>100</v>
      </c>
      <c r="Y1223" s="2375">
        <f t="shared" si="361"/>
        <v>18790.969999999998</v>
      </c>
      <c r="Z1223" s="2376"/>
      <c r="AA1223" s="2876"/>
    </row>
    <row r="1224" spans="1:27" s="331" customFormat="1" ht="25" hidden="1" customHeight="1">
      <c r="A1224" s="2555" t="s">
        <v>101</v>
      </c>
      <c r="B1224" s="2549" t="s">
        <v>428</v>
      </c>
      <c r="C1224" s="2550"/>
      <c r="D1224" s="2551"/>
      <c r="E1224" s="2541">
        <f>'14. Vol Genset'!$M$149</f>
        <v>152.11168000000001</v>
      </c>
      <c r="F1224" s="2398" t="s">
        <v>100</v>
      </c>
      <c r="G1224" s="2473">
        <v>19151.18</v>
      </c>
      <c r="H1224" s="2389">
        <f>E1224*G1224</f>
        <v>2913118.1637824001</v>
      </c>
      <c r="I1224" s="2474">
        <f>'Resume Analisa'!$D$48</f>
        <v>18790.969999999998</v>
      </c>
      <c r="J1224" s="2552">
        <f>E1224*I1224</f>
        <v>2858326.0155296</v>
      </c>
      <c r="K1224" s="2378" t="e">
        <f>IF(H1224=0,"",IF(J1224&lt;#REF!*H1224,"Timpang &lt;"&amp;TEXT(#REF!,"0%"),IF(J1224&gt;#REF!*H1224,"Timpang &gt;"&amp;TEXT(#REF!,"0%"),"Wajar")))</f>
        <v>#REF!</v>
      </c>
      <c r="L1224" s="2475">
        <v>18790.969999999998</v>
      </c>
      <c r="M1224" s="2391">
        <f>E1224*L1224</f>
        <v>2858326.0155296</v>
      </c>
      <c r="N1224" s="2375">
        <f t="shared" si="362"/>
        <v>1.2485778033148125E-3</v>
      </c>
      <c r="O1224" s="2375">
        <v>0</v>
      </c>
      <c r="P1224" s="2398"/>
      <c r="Q1224" s="2375">
        <f t="shared" si="358"/>
        <v>0</v>
      </c>
      <c r="R1224" s="2375">
        <f t="shared" si="357"/>
        <v>0</v>
      </c>
      <c r="S1224" s="2376"/>
      <c r="T1224" s="2376"/>
      <c r="U1224" s="2376"/>
      <c r="V1224" s="2376"/>
      <c r="W1224" s="2382">
        <f t="shared" si="356"/>
        <v>152.11168000000001</v>
      </c>
      <c r="X1224" s="2398" t="s">
        <v>100</v>
      </c>
      <c r="Y1224" s="2375">
        <f t="shared" si="361"/>
        <v>18790.969999999998</v>
      </c>
      <c r="Z1224" s="2376"/>
      <c r="AA1224" s="2876"/>
    </row>
    <row r="1225" spans="1:27" s="331" customFormat="1" ht="25" hidden="1" customHeight="1">
      <c r="A1225" s="2555" t="s">
        <v>121</v>
      </c>
      <c r="B1225" s="2549" t="s">
        <v>429</v>
      </c>
      <c r="C1225" s="2550"/>
      <c r="D1225" s="2551"/>
      <c r="E1225" s="2541">
        <f>'14. Vol Genset'!$M$153</f>
        <v>0.67488000000000004</v>
      </c>
      <c r="F1225" s="2398" t="s">
        <v>103</v>
      </c>
      <c r="G1225" s="2389">
        <v>1584129.98</v>
      </c>
      <c r="H1225" s="2389">
        <f>E1225*G1225</f>
        <v>1069097.6409024</v>
      </c>
      <c r="I1225" s="2465">
        <f>'Resume Analisa'!$D$55</f>
        <v>1535009.1300000001</v>
      </c>
      <c r="J1225" s="2552">
        <f>E1225*I1225</f>
        <v>1035946.9616544001</v>
      </c>
      <c r="K1225" s="2378" t="e">
        <f>IF(H1225=0,"",IF(J1225&lt;#REF!*H1225,"Timpang &lt;"&amp;TEXT(#REF!,"0%"),IF(J1225&gt;#REF!*H1225,"Timpang &gt;"&amp;TEXT(#REF!,"0%"),"Wajar")))</f>
        <v>#REF!</v>
      </c>
      <c r="L1225" s="2391">
        <v>1535009.1300000001</v>
      </c>
      <c r="M1225" s="2391">
        <f>E1225*L1225</f>
        <v>1035946.9616544001</v>
      </c>
      <c r="N1225" s="2375">
        <f t="shared" si="362"/>
        <v>4.5252374106578201E-4</v>
      </c>
      <c r="O1225" s="2375">
        <v>0</v>
      </c>
      <c r="P1225" s="2398"/>
      <c r="Q1225" s="2375">
        <f t="shared" si="358"/>
        <v>0</v>
      </c>
      <c r="R1225" s="2375">
        <f t="shared" si="357"/>
        <v>0</v>
      </c>
      <c r="S1225" s="2376"/>
      <c r="T1225" s="2376"/>
      <c r="U1225" s="2376"/>
      <c r="V1225" s="2376"/>
      <c r="W1225" s="2382">
        <f t="shared" si="356"/>
        <v>0.67488000000000004</v>
      </c>
      <c r="X1225" s="2398" t="s">
        <v>103</v>
      </c>
      <c r="Y1225" s="2375">
        <f t="shared" si="361"/>
        <v>1535009.1300000001</v>
      </c>
      <c r="Z1225" s="2376"/>
      <c r="AA1225" s="2876"/>
    </row>
    <row r="1226" spans="1:27" s="331" customFormat="1" ht="25" hidden="1" customHeight="1">
      <c r="A1226" s="2555" t="s">
        <v>835</v>
      </c>
      <c r="B1226" s="2549" t="s">
        <v>431</v>
      </c>
      <c r="C1226" s="2550"/>
      <c r="D1226" s="2551"/>
      <c r="E1226" s="2541"/>
      <c r="F1226" s="2398"/>
      <c r="G1226" s="2389"/>
      <c r="H1226" s="2389"/>
      <c r="I1226" s="2465"/>
      <c r="J1226" s="2552"/>
      <c r="K1226" s="2389"/>
      <c r="L1226" s="2391"/>
      <c r="M1226" s="2391"/>
      <c r="N1226" s="2375">
        <f t="shared" si="362"/>
        <v>0</v>
      </c>
      <c r="O1226" s="2375">
        <v>0</v>
      </c>
      <c r="P1226" s="2398"/>
      <c r="Q1226" s="2375">
        <f t="shared" si="358"/>
        <v>0</v>
      </c>
      <c r="R1226" s="2375">
        <f t="shared" si="357"/>
        <v>0</v>
      </c>
      <c r="S1226" s="2376"/>
      <c r="T1226" s="2376"/>
      <c r="U1226" s="2376"/>
      <c r="V1226" s="2376"/>
      <c r="W1226" s="2382">
        <f t="shared" si="356"/>
        <v>0</v>
      </c>
      <c r="X1226" s="2398"/>
      <c r="Y1226" s="2375">
        <f t="shared" si="361"/>
        <v>0</v>
      </c>
      <c r="Z1226" s="2376"/>
      <c r="AA1226" s="2876"/>
    </row>
    <row r="1227" spans="1:27" s="331" customFormat="1" ht="25" hidden="1" customHeight="1">
      <c r="A1227" s="2555" t="s">
        <v>95</v>
      </c>
      <c r="B1227" s="2549" t="s">
        <v>417</v>
      </c>
      <c r="C1227" s="2550"/>
      <c r="D1227" s="2551"/>
      <c r="E1227" s="2541">
        <f>'14. Vol Genset'!$M$158</f>
        <v>1.4</v>
      </c>
      <c r="F1227" s="2398" t="s">
        <v>89</v>
      </c>
      <c r="G1227" s="2389">
        <v>249883.29</v>
      </c>
      <c r="H1227" s="2389">
        <f>E1227*G1227</f>
        <v>349836.60599999997</v>
      </c>
      <c r="I1227" s="2465">
        <f>'Resume Analisa'!$D$40</f>
        <v>245946.97</v>
      </c>
      <c r="J1227" s="2552">
        <f>E1227*I1227</f>
        <v>344325.75799999997</v>
      </c>
      <c r="K1227" s="2378" t="e">
        <f>IF(H1227=0,"",IF(J1227&lt;#REF!*H1227,"Timpang &lt;"&amp;TEXT(#REF!,"0%"),IF(J1227&gt;#REF!*H1227,"Timpang &gt;"&amp;TEXT(#REF!,"0%"),"Wajar")))</f>
        <v>#REF!</v>
      </c>
      <c r="L1227" s="2391">
        <v>245946.97</v>
      </c>
      <c r="M1227" s="2391">
        <f>E1227*L1227</f>
        <v>344325.75799999997</v>
      </c>
      <c r="N1227" s="2375">
        <f t="shared" si="362"/>
        <v>1.5040883937401074E-4</v>
      </c>
      <c r="O1227" s="2375">
        <v>0</v>
      </c>
      <c r="P1227" s="2398"/>
      <c r="Q1227" s="2375">
        <f t="shared" si="358"/>
        <v>0</v>
      </c>
      <c r="R1227" s="2375">
        <f t="shared" si="357"/>
        <v>0</v>
      </c>
      <c r="S1227" s="2376"/>
      <c r="T1227" s="2376"/>
      <c r="U1227" s="2376"/>
      <c r="V1227" s="2376"/>
      <c r="W1227" s="2382">
        <f t="shared" si="356"/>
        <v>1.4</v>
      </c>
      <c r="X1227" s="2398" t="s">
        <v>89</v>
      </c>
      <c r="Y1227" s="2375">
        <f t="shared" si="361"/>
        <v>245946.97</v>
      </c>
      <c r="Z1227" s="2376"/>
      <c r="AA1227" s="2876"/>
    </row>
    <row r="1228" spans="1:27" s="331" customFormat="1" ht="25" hidden="1" customHeight="1">
      <c r="A1228" s="2555" t="s">
        <v>98</v>
      </c>
      <c r="B1228" s="2549" t="s">
        <v>427</v>
      </c>
      <c r="C1228" s="2550"/>
      <c r="D1228" s="2551"/>
      <c r="E1228" s="2541">
        <f>'14. Vol Genset'!$M$161</f>
        <v>10.850400000000002</v>
      </c>
      <c r="F1228" s="2398" t="s">
        <v>100</v>
      </c>
      <c r="G1228" s="2473">
        <v>19151.18</v>
      </c>
      <c r="H1228" s="2389">
        <f>E1228*G1228</f>
        <v>207797.96347200003</v>
      </c>
      <c r="I1228" s="2474">
        <f>'Resume Analisa'!$D$48</f>
        <v>18790.969999999998</v>
      </c>
      <c r="J1228" s="2552">
        <f>E1228*I1228</f>
        <v>203889.54088800002</v>
      </c>
      <c r="K1228" s="2378" t="e">
        <f>IF(H1228=0,"",IF(J1228&lt;#REF!*H1228,"Timpang &lt;"&amp;TEXT(#REF!,"0%"),IF(J1228&gt;#REF!*H1228,"Timpang &gt;"&amp;TEXT(#REF!,"0%"),"Wajar")))</f>
        <v>#REF!</v>
      </c>
      <c r="L1228" s="2475">
        <v>18790.969999999998</v>
      </c>
      <c r="M1228" s="2391">
        <f>E1228*L1228</f>
        <v>203889.54088800002</v>
      </c>
      <c r="N1228" s="2375">
        <f t="shared" si="362"/>
        <v>8.9063302680550516E-5</v>
      </c>
      <c r="O1228" s="2375">
        <v>0</v>
      </c>
      <c r="P1228" s="2398"/>
      <c r="Q1228" s="2375">
        <f t="shared" si="358"/>
        <v>0</v>
      </c>
      <c r="R1228" s="2375">
        <f t="shared" si="357"/>
        <v>0</v>
      </c>
      <c r="S1228" s="2376"/>
      <c r="T1228" s="2376"/>
      <c r="U1228" s="2376"/>
      <c r="V1228" s="2376"/>
      <c r="W1228" s="2382">
        <f t="shared" si="356"/>
        <v>10.850400000000002</v>
      </c>
      <c r="X1228" s="2398" t="s">
        <v>100</v>
      </c>
      <c r="Y1228" s="2375">
        <f t="shared" si="361"/>
        <v>18790.969999999998</v>
      </c>
      <c r="Z1228" s="2376"/>
      <c r="AA1228" s="2876"/>
    </row>
    <row r="1229" spans="1:27" s="331" customFormat="1" ht="25" hidden="1" customHeight="1">
      <c r="A1229" s="2555" t="s">
        <v>101</v>
      </c>
      <c r="B1229" s="2549" t="s">
        <v>428</v>
      </c>
      <c r="C1229" s="2550"/>
      <c r="D1229" s="2551"/>
      <c r="E1229" s="2541">
        <f>'14. Vol Genset'!$M$164</f>
        <v>7.5755520000000001</v>
      </c>
      <c r="F1229" s="2398" t="s">
        <v>100</v>
      </c>
      <c r="G1229" s="2473">
        <v>19151.18</v>
      </c>
      <c r="H1229" s="2389">
        <f>E1229*G1229</f>
        <v>145080.75995136</v>
      </c>
      <c r="I1229" s="2474">
        <f>'Resume Analisa'!$D$48</f>
        <v>18790.969999999998</v>
      </c>
      <c r="J1229" s="2552">
        <f>E1229*I1229</f>
        <v>142351.97036543998</v>
      </c>
      <c r="K1229" s="2378" t="e">
        <f>IF(H1229=0,"",IF(J1229&lt;#REF!*H1229,"Timpang &lt;"&amp;TEXT(#REF!,"0%"),IF(J1229&gt;#REF!*H1229,"Timpang &gt;"&amp;TEXT(#REF!,"0%"),"Wajar")))</f>
        <v>#REF!</v>
      </c>
      <c r="L1229" s="2475">
        <v>18790.969999999998</v>
      </c>
      <c r="M1229" s="2391">
        <f>E1229*L1229</f>
        <v>142351.97036543998</v>
      </c>
      <c r="N1229" s="2375">
        <f t="shared" ref="N1229:N1260" si="363">M1229/$M$8</f>
        <v>6.2182378598784344E-5</v>
      </c>
      <c r="O1229" s="2375">
        <v>0</v>
      </c>
      <c r="P1229" s="2398"/>
      <c r="Q1229" s="2375">
        <f t="shared" si="358"/>
        <v>0</v>
      </c>
      <c r="R1229" s="2375">
        <f t="shared" si="357"/>
        <v>0</v>
      </c>
      <c r="S1229" s="2376"/>
      <c r="T1229" s="2376"/>
      <c r="U1229" s="2376"/>
      <c r="V1229" s="2376"/>
      <c r="W1229" s="2382">
        <f t="shared" si="356"/>
        <v>7.5755520000000001</v>
      </c>
      <c r="X1229" s="2398" t="s">
        <v>100</v>
      </c>
      <c r="Y1229" s="2375">
        <f t="shared" si="361"/>
        <v>18790.969999999998</v>
      </c>
      <c r="Z1229" s="2376"/>
      <c r="AA1229" s="2876"/>
    </row>
    <row r="1230" spans="1:27" s="331" customFormat="1" ht="25" hidden="1" customHeight="1">
      <c r="A1230" s="2555" t="s">
        <v>121</v>
      </c>
      <c r="B1230" s="2549" t="s">
        <v>429</v>
      </c>
      <c r="C1230" s="2550"/>
      <c r="D1230" s="2551"/>
      <c r="E1230" s="2541">
        <f>'14. Vol Genset'!$M$167</f>
        <v>0.12</v>
      </c>
      <c r="F1230" s="2398" t="s">
        <v>103</v>
      </c>
      <c r="G1230" s="2389">
        <v>1584129.98</v>
      </c>
      <c r="H1230" s="2389">
        <f>E1230*G1230</f>
        <v>190095.59759999998</v>
      </c>
      <c r="I1230" s="2465">
        <f>'Resume Analisa'!$D$55</f>
        <v>1535009.1300000001</v>
      </c>
      <c r="J1230" s="2552">
        <f>E1230*I1230</f>
        <v>184201.0956</v>
      </c>
      <c r="K1230" s="2378" t="e">
        <f>IF(H1230=0,"",IF(J1230&lt;#REF!*H1230,"Timpang &lt;"&amp;TEXT(#REF!,"0%"),IF(J1230&gt;#REF!*H1230,"Timpang &gt;"&amp;TEXT(#REF!,"0%"),"Wajar")))</f>
        <v>#REF!</v>
      </c>
      <c r="L1230" s="2391">
        <v>1535009.1300000001</v>
      </c>
      <c r="M1230" s="2391">
        <f>E1230*L1230</f>
        <v>184201.0956</v>
      </c>
      <c r="N1230" s="2375">
        <f t="shared" si="363"/>
        <v>8.0462969606291256E-5</v>
      </c>
      <c r="O1230" s="2375">
        <v>0</v>
      </c>
      <c r="P1230" s="2398"/>
      <c r="Q1230" s="2375">
        <f t="shared" si="358"/>
        <v>0</v>
      </c>
      <c r="R1230" s="2375">
        <f t="shared" si="357"/>
        <v>0</v>
      </c>
      <c r="S1230" s="2376"/>
      <c r="T1230" s="2376"/>
      <c r="U1230" s="2376"/>
      <c r="V1230" s="2376"/>
      <c r="W1230" s="2382">
        <f t="shared" si="356"/>
        <v>0.12</v>
      </c>
      <c r="X1230" s="2398" t="s">
        <v>103</v>
      </c>
      <c r="Y1230" s="2375">
        <f t="shared" si="361"/>
        <v>1535009.1300000001</v>
      </c>
      <c r="Z1230" s="2376"/>
      <c r="AA1230" s="2876"/>
    </row>
    <row r="1231" spans="1:27" ht="25" hidden="1" customHeight="1">
      <c r="A1231" s="2398">
        <f>A1220+1</f>
        <v>14</v>
      </c>
      <c r="B1231" s="2549" t="s">
        <v>649</v>
      </c>
      <c r="C1231" s="2550"/>
      <c r="D1231" s="2551"/>
      <c r="E1231" s="2397"/>
      <c r="F1231" s="2398"/>
      <c r="G1231" s="2731"/>
      <c r="H1231" s="2389"/>
      <c r="I1231" s="2779"/>
      <c r="J1231" s="2480"/>
      <c r="K1231" s="2389"/>
      <c r="L1231" s="2391"/>
      <c r="M1231" s="2391"/>
      <c r="N1231" s="2375">
        <f t="shared" si="363"/>
        <v>0</v>
      </c>
      <c r="O1231" s="2375">
        <v>0</v>
      </c>
      <c r="P1231" s="2398"/>
      <c r="Q1231" s="2375">
        <f t="shared" si="358"/>
        <v>0</v>
      </c>
      <c r="R1231" s="2375">
        <f t="shared" si="357"/>
        <v>0</v>
      </c>
      <c r="S1231" s="2376"/>
      <c r="T1231" s="2376"/>
      <c r="U1231" s="2376"/>
      <c r="V1231" s="2376"/>
      <c r="W1231" s="2382">
        <f t="shared" si="356"/>
        <v>0</v>
      </c>
      <c r="X1231" s="2398"/>
      <c r="Y1231" s="2375">
        <f t="shared" si="361"/>
        <v>0</v>
      </c>
      <c r="Z1231" s="2376"/>
      <c r="AA1231" s="2377"/>
    </row>
    <row r="1232" spans="1:27" ht="25" hidden="1" customHeight="1">
      <c r="A1232" s="2555" t="s">
        <v>95</v>
      </c>
      <c r="B1232" s="2549" t="s">
        <v>148</v>
      </c>
      <c r="C1232" s="2550"/>
      <c r="D1232" s="2551"/>
      <c r="E1232" s="2397">
        <f>'14. Vol Genset'!$M$169</f>
        <v>1.3340000000000001</v>
      </c>
      <c r="F1232" s="2398" t="s">
        <v>89</v>
      </c>
      <c r="G1232" s="2731">
        <v>294733.29000000004</v>
      </c>
      <c r="H1232" s="2389">
        <f>E1232*G1232</f>
        <v>393174.20886000007</v>
      </c>
      <c r="I1232" s="2480">
        <f>'Resume Analisa'!$D$41</f>
        <v>290443.69</v>
      </c>
      <c r="J1232" s="2480">
        <f>I1232*E1232</f>
        <v>387451.88246000005</v>
      </c>
      <c r="K1232" s="2378" t="e">
        <f>IF(H1232=0,"",IF(J1232&lt;#REF!*H1232,"Timpang &lt;"&amp;TEXT(#REF!,"0%"),IF(J1232&gt;#REF!*H1232,"Timpang &gt;"&amp;TEXT(#REF!,"0%"),"Wajar")))</f>
        <v>#REF!</v>
      </c>
      <c r="L1232" s="2391">
        <v>290443.69</v>
      </c>
      <c r="M1232" s="2391">
        <f>E1232*L1232</f>
        <v>387451.88246000005</v>
      </c>
      <c r="N1232" s="2375">
        <f t="shared" si="363"/>
        <v>1.6924725089571789E-4</v>
      </c>
      <c r="O1232" s="2375">
        <v>0</v>
      </c>
      <c r="P1232" s="2398"/>
      <c r="Q1232" s="2375">
        <f t="shared" si="358"/>
        <v>0</v>
      </c>
      <c r="R1232" s="2375">
        <f t="shared" si="357"/>
        <v>0</v>
      </c>
      <c r="S1232" s="2376"/>
      <c r="T1232" s="2376"/>
      <c r="U1232" s="2376"/>
      <c r="V1232" s="2376"/>
      <c r="W1232" s="2382">
        <f t="shared" ref="W1232:W1279" si="364">(E1232+O1232)-S1232</f>
        <v>1.3340000000000001</v>
      </c>
      <c r="X1232" s="2398" t="s">
        <v>89</v>
      </c>
      <c r="Y1232" s="2375">
        <f t="shared" si="361"/>
        <v>290443.69</v>
      </c>
      <c r="Z1232" s="2376"/>
      <c r="AA1232" s="2377"/>
    </row>
    <row r="1233" spans="1:27" ht="25" hidden="1" customHeight="1">
      <c r="A1233" s="2555" t="s">
        <v>98</v>
      </c>
      <c r="B1233" s="2549" t="s">
        <v>419</v>
      </c>
      <c r="C1233" s="2550"/>
      <c r="D1233" s="2551"/>
      <c r="E1233" s="2397">
        <f>'14. Vol Genset'!$M$173</f>
        <v>7.6939200000000012</v>
      </c>
      <c r="F1233" s="2398" t="s">
        <v>100</v>
      </c>
      <c r="G1233" s="2731">
        <v>19151.18</v>
      </c>
      <c r="H1233" s="2473">
        <f>E1233*G1233</f>
        <v>147347.64682560004</v>
      </c>
      <c r="I1233" s="2480">
        <f>'Resume Analisa'!$D$48</f>
        <v>18790.969999999998</v>
      </c>
      <c r="J1233" s="2474">
        <f>+I1233*E1233</f>
        <v>144576.21990240001</v>
      </c>
      <c r="K1233" s="2378" t="e">
        <f>IF(H1233=0,"",IF(J1233&lt;#REF!*H1233,"Timpang &lt;"&amp;TEXT(#REF!,"0%"),IF(J1233&gt;#REF!*H1233,"Timpang &gt;"&amp;TEXT(#REF!,"0%"),"Wajar")))</f>
        <v>#REF!</v>
      </c>
      <c r="L1233" s="2391">
        <v>18790.969999999998</v>
      </c>
      <c r="M1233" s="2475">
        <f>E1233*L1233</f>
        <v>144576.21990240001</v>
      </c>
      <c r="N1233" s="2375">
        <f t="shared" si="363"/>
        <v>6.3153978264390376E-5</v>
      </c>
      <c r="O1233" s="2375">
        <v>0</v>
      </c>
      <c r="P1233" s="2398"/>
      <c r="Q1233" s="2375">
        <f t="shared" si="358"/>
        <v>0</v>
      </c>
      <c r="R1233" s="2375">
        <f t="shared" si="357"/>
        <v>0</v>
      </c>
      <c r="S1233" s="2376"/>
      <c r="T1233" s="2376"/>
      <c r="U1233" s="2376"/>
      <c r="V1233" s="2376"/>
      <c r="W1233" s="2382">
        <f t="shared" si="364"/>
        <v>7.6939200000000012</v>
      </c>
      <c r="X1233" s="2398" t="s">
        <v>100</v>
      </c>
      <c r="Y1233" s="2375">
        <f t="shared" si="361"/>
        <v>18790.969999999998</v>
      </c>
      <c r="Z1233" s="2376"/>
      <c r="AA1233" s="2377"/>
    </row>
    <row r="1234" spans="1:27" ht="25" hidden="1" customHeight="1">
      <c r="A1234" s="2555" t="s">
        <v>101</v>
      </c>
      <c r="B1234" s="2549" t="s">
        <v>420</v>
      </c>
      <c r="C1234" s="2550"/>
      <c r="D1234" s="2551"/>
      <c r="E1234" s="2397">
        <f>'14. Vol Genset'!$M$176</f>
        <v>0.10700000000000001</v>
      </c>
      <c r="F1234" s="2398" t="s">
        <v>103</v>
      </c>
      <c r="G1234" s="2731">
        <v>1584129.98</v>
      </c>
      <c r="H1234" s="2389">
        <f>E1234*G1234</f>
        <v>169501.90786000001</v>
      </c>
      <c r="I1234" s="2465">
        <f>'Resume Analisa'!$D$55</f>
        <v>1535009.1300000001</v>
      </c>
      <c r="J1234" s="2552">
        <f>E1234*I1234</f>
        <v>164245.97691000003</v>
      </c>
      <c r="K1234" s="2378" t="e">
        <f>IF(H1234=0,"",IF(J1234&lt;#REF!*H1234,"Timpang &lt;"&amp;TEXT(#REF!,"0%"),IF(J1234&gt;#REF!*H1234,"Timpang &gt;"&amp;TEXT(#REF!,"0%"),"Wajar")))</f>
        <v>#REF!</v>
      </c>
      <c r="L1234" s="2391">
        <v>1535009.1300000001</v>
      </c>
      <c r="M1234" s="2391">
        <f>E1234*L1234</f>
        <v>164245.97691000003</v>
      </c>
      <c r="N1234" s="2375">
        <f t="shared" si="363"/>
        <v>7.1746147898943039E-5</v>
      </c>
      <c r="O1234" s="2375">
        <v>0</v>
      </c>
      <c r="P1234" s="2398"/>
      <c r="Q1234" s="2375">
        <f t="shared" si="358"/>
        <v>0</v>
      </c>
      <c r="R1234" s="2375">
        <f t="shared" si="357"/>
        <v>0</v>
      </c>
      <c r="S1234" s="2376"/>
      <c r="T1234" s="2376"/>
      <c r="U1234" s="2376"/>
      <c r="V1234" s="2376"/>
      <c r="W1234" s="2382">
        <f t="shared" si="364"/>
        <v>0.10700000000000001</v>
      </c>
      <c r="X1234" s="2398" t="s">
        <v>103</v>
      </c>
      <c r="Y1234" s="2375">
        <f t="shared" si="361"/>
        <v>1535009.1300000001</v>
      </c>
      <c r="Z1234" s="2376"/>
      <c r="AA1234" s="2377"/>
    </row>
    <row r="1235" spans="1:27" ht="25" hidden="1" customHeight="1">
      <c r="A1235" s="2555" t="s">
        <v>121</v>
      </c>
      <c r="B1235" s="2549" t="s">
        <v>489</v>
      </c>
      <c r="C1235" s="2550"/>
      <c r="D1235" s="2551"/>
      <c r="E1235" s="2397">
        <f>'14. Vol Genset'!$M$177</f>
        <v>1.07</v>
      </c>
      <c r="F1235" s="2398" t="s">
        <v>89</v>
      </c>
      <c r="G1235" s="2731">
        <v>61230.840000000004</v>
      </c>
      <c r="H1235" s="2389">
        <f>E1235*G1235</f>
        <v>65516.998800000008</v>
      </c>
      <c r="I1235" s="2480">
        <f>'Resume Analisa'!$D$70</f>
        <v>58648.57</v>
      </c>
      <c r="J1235" s="2480">
        <f>I1235*E1235</f>
        <v>62753.969900000004</v>
      </c>
      <c r="K1235" s="2378" t="e">
        <f>IF(H1235=0,"",IF(J1235&lt;#REF!*H1235,"Timpang &lt;"&amp;TEXT(#REF!,"0%"),IF(J1235&gt;#REF!*H1235,"Timpang &gt;"&amp;TEXT(#REF!,"0%"),"Wajar")))</f>
        <v>#REF!</v>
      </c>
      <c r="L1235" s="2391">
        <v>58648.57</v>
      </c>
      <c r="M1235" s="2391">
        <f>E1235*L1235</f>
        <v>62753.969900000004</v>
      </c>
      <c r="N1235" s="2375">
        <f t="shared" si="363"/>
        <v>2.7412273289094467E-5</v>
      </c>
      <c r="O1235" s="2375">
        <v>0</v>
      </c>
      <c r="P1235" s="2398"/>
      <c r="Q1235" s="2375">
        <f t="shared" si="358"/>
        <v>0</v>
      </c>
      <c r="R1235" s="2375">
        <f t="shared" si="357"/>
        <v>0</v>
      </c>
      <c r="S1235" s="2376"/>
      <c r="T1235" s="2376"/>
      <c r="U1235" s="2376"/>
      <c r="V1235" s="2376"/>
      <c r="W1235" s="2382">
        <f t="shared" si="364"/>
        <v>1.07</v>
      </c>
      <c r="X1235" s="2398" t="s">
        <v>89</v>
      </c>
      <c r="Y1235" s="2375">
        <f t="shared" si="361"/>
        <v>58648.57</v>
      </c>
      <c r="Z1235" s="2376"/>
      <c r="AA1235" s="2377"/>
    </row>
    <row r="1236" spans="1:27" ht="25" hidden="1" customHeight="1">
      <c r="A1236" s="2555" t="s">
        <v>142</v>
      </c>
      <c r="B1236" s="2549" t="s">
        <v>650</v>
      </c>
      <c r="C1236" s="2550"/>
      <c r="D1236" s="2551"/>
      <c r="E1236" s="2397">
        <f>'14. Vol Genset'!$M$178</f>
        <v>1.07</v>
      </c>
      <c r="F1236" s="2398" t="s">
        <v>89</v>
      </c>
      <c r="G1236" s="2731">
        <v>146860.75</v>
      </c>
      <c r="H1236" s="2389">
        <f>E1236*G1236</f>
        <v>157141.0025</v>
      </c>
      <c r="I1236" s="2480">
        <f>'Resume Analisa'!$D$86</f>
        <v>149703.27000000002</v>
      </c>
      <c r="J1236" s="2480">
        <f>I1236*E1236</f>
        <v>160182.49890000004</v>
      </c>
      <c r="K1236" s="2378" t="e">
        <f>IF(H1236=0,"",IF(J1236&lt;#REF!*H1236,"Timpang &lt;"&amp;TEXT(#REF!,"0%"),IF(J1236&gt;#REF!*H1236,"Timpang &gt;"&amp;TEXT(#REF!,"0%"),"Wajar")))</f>
        <v>#REF!</v>
      </c>
      <c r="L1236" s="2391">
        <v>149703.27000000002</v>
      </c>
      <c r="M1236" s="2391">
        <f>E1236*L1236</f>
        <v>160182.49890000004</v>
      </c>
      <c r="N1236" s="2375">
        <f t="shared" si="363"/>
        <v>6.9971133985212219E-5</v>
      </c>
      <c r="O1236" s="2375">
        <v>0</v>
      </c>
      <c r="P1236" s="2398"/>
      <c r="Q1236" s="2375">
        <f t="shared" si="358"/>
        <v>0</v>
      </c>
      <c r="R1236" s="2375">
        <f t="shared" si="357"/>
        <v>0</v>
      </c>
      <c r="S1236" s="2376"/>
      <c r="T1236" s="2376"/>
      <c r="U1236" s="2376"/>
      <c r="V1236" s="2376"/>
      <c r="W1236" s="2382">
        <f t="shared" si="364"/>
        <v>1.07</v>
      </c>
      <c r="X1236" s="2398" t="s">
        <v>89</v>
      </c>
      <c r="Y1236" s="2375">
        <f t="shared" si="361"/>
        <v>149703.27000000002</v>
      </c>
      <c r="Z1236" s="2376"/>
      <c r="AA1236" s="2377"/>
    </row>
    <row r="1237" spans="1:27" ht="25" hidden="1" customHeight="1">
      <c r="A1237" s="2398">
        <f>A1231+1</f>
        <v>15</v>
      </c>
      <c r="B1237" s="2549" t="s">
        <v>483</v>
      </c>
      <c r="C1237" s="2550"/>
      <c r="D1237" s="2551"/>
      <c r="E1237" s="2397"/>
      <c r="F1237" s="2398"/>
      <c r="G1237" s="2731"/>
      <c r="H1237" s="2389"/>
      <c r="I1237" s="2480"/>
      <c r="J1237" s="2480"/>
      <c r="K1237" s="2389"/>
      <c r="L1237" s="2391"/>
      <c r="M1237" s="2391"/>
      <c r="N1237" s="2375">
        <f t="shared" si="363"/>
        <v>0</v>
      </c>
      <c r="O1237" s="2375">
        <v>0</v>
      </c>
      <c r="P1237" s="2398"/>
      <c r="Q1237" s="2375">
        <f t="shared" si="358"/>
        <v>0</v>
      </c>
      <c r="R1237" s="2375">
        <f t="shared" si="357"/>
        <v>0</v>
      </c>
      <c r="S1237" s="2376"/>
      <c r="T1237" s="2376"/>
      <c r="U1237" s="2376"/>
      <c r="V1237" s="2376"/>
      <c r="W1237" s="2382">
        <f t="shared" si="364"/>
        <v>0</v>
      </c>
      <c r="X1237" s="2398"/>
      <c r="Y1237" s="2375">
        <f t="shared" si="361"/>
        <v>0</v>
      </c>
      <c r="Z1237" s="2376"/>
      <c r="AA1237" s="2377"/>
    </row>
    <row r="1238" spans="1:27" ht="25" hidden="1" customHeight="1">
      <c r="A1238" s="2555" t="s">
        <v>95</v>
      </c>
      <c r="B1238" s="2549" t="s">
        <v>413</v>
      </c>
      <c r="C1238" s="2550"/>
      <c r="D1238" s="2551"/>
      <c r="E1238" s="2541">
        <f>'14. Vol Genset'!$M$180</f>
        <v>1.5750000000000006</v>
      </c>
      <c r="F1238" s="2398" t="s">
        <v>103</v>
      </c>
      <c r="G1238" s="2731">
        <v>200606.23</v>
      </c>
      <c r="H1238" s="2389">
        <f t="shared" ref="H1238:H1243" si="365">E1238*G1238</f>
        <v>315954.81225000013</v>
      </c>
      <c r="I1238" s="2480">
        <f>'Resume Analisa'!$D$24</f>
        <v>189662.29</v>
      </c>
      <c r="J1238" s="2544">
        <f>I1238*E1238</f>
        <v>298718.10675000015</v>
      </c>
      <c r="K1238" s="2378" t="e">
        <f>IF(H1238=0,"",IF(J1238&lt;#REF!*H1238,"Timpang &lt;"&amp;TEXT(#REF!,"0%"),IF(J1238&gt;#REF!*H1238,"Timpang &gt;"&amp;TEXT(#REF!,"0%"),"Wajar")))</f>
        <v>#REF!</v>
      </c>
      <c r="L1238" s="2391">
        <v>189662.29</v>
      </c>
      <c r="M1238" s="2391">
        <f t="shared" ref="M1238:M1243" si="366">E1238*L1238</f>
        <v>298718.10675000015</v>
      </c>
      <c r="N1238" s="2375">
        <f t="shared" si="363"/>
        <v>1.3048644399199833E-4</v>
      </c>
      <c r="O1238" s="2375">
        <v>0</v>
      </c>
      <c r="P1238" s="2398"/>
      <c r="Q1238" s="2375">
        <f t="shared" si="358"/>
        <v>0</v>
      </c>
      <c r="R1238" s="2375">
        <f t="shared" ref="R1238:R1279" si="367">Q1238/$M$8*100</f>
        <v>0</v>
      </c>
      <c r="S1238" s="2376"/>
      <c r="T1238" s="2376"/>
      <c r="U1238" s="2376"/>
      <c r="V1238" s="2376"/>
      <c r="W1238" s="2382">
        <f t="shared" si="364"/>
        <v>1.5750000000000006</v>
      </c>
      <c r="X1238" s="2398" t="s">
        <v>103</v>
      </c>
      <c r="Y1238" s="2375">
        <f t="shared" si="361"/>
        <v>189662.29</v>
      </c>
      <c r="Z1238" s="2376"/>
      <c r="AA1238" s="2377"/>
    </row>
    <row r="1239" spans="1:27" ht="25" hidden="1" customHeight="1">
      <c r="A1239" s="2555" t="s">
        <v>98</v>
      </c>
      <c r="B1239" s="2549" t="s">
        <v>414</v>
      </c>
      <c r="C1239" s="2550"/>
      <c r="D1239" s="2551"/>
      <c r="E1239" s="2541">
        <f>'14. Vol Genset'!$M$181</f>
        <v>1.5750000000000006</v>
      </c>
      <c r="F1239" s="2398" t="s">
        <v>103</v>
      </c>
      <c r="G1239" s="2731">
        <v>39847.5</v>
      </c>
      <c r="H1239" s="2389">
        <f t="shared" si="365"/>
        <v>62759.812500000022</v>
      </c>
      <c r="I1239" s="2566">
        <f>'Resume Analisa'!$D$31</f>
        <v>37946.620000000003</v>
      </c>
      <c r="J1239" s="2544">
        <f>I1239*E1239</f>
        <v>59765.926500000031</v>
      </c>
      <c r="K1239" s="2378" t="e">
        <f>IF(H1239=0,"",IF(J1239&lt;#REF!*H1239,"Timpang &lt;"&amp;TEXT(#REF!,"0%"),IF(J1239&gt;#REF!*H1239,"Timpang &gt;"&amp;TEXT(#REF!,"0%"),"Wajar")))</f>
        <v>#REF!</v>
      </c>
      <c r="L1239" s="2391">
        <v>37946.620000000003</v>
      </c>
      <c r="M1239" s="2391">
        <f t="shared" si="366"/>
        <v>59765.926500000031</v>
      </c>
      <c r="N1239" s="2375">
        <f t="shared" si="363"/>
        <v>2.61070321639354E-5</v>
      </c>
      <c r="O1239" s="2375">
        <v>0</v>
      </c>
      <c r="P1239" s="2398"/>
      <c r="Q1239" s="2375">
        <f t="shared" si="358"/>
        <v>0</v>
      </c>
      <c r="R1239" s="2375">
        <f t="shared" si="367"/>
        <v>0</v>
      </c>
      <c r="S1239" s="2376"/>
      <c r="T1239" s="2376"/>
      <c r="U1239" s="2376"/>
      <c r="V1239" s="2376"/>
      <c r="W1239" s="2382">
        <f t="shared" si="364"/>
        <v>1.5750000000000006</v>
      </c>
      <c r="X1239" s="2398" t="s">
        <v>103</v>
      </c>
      <c r="Y1239" s="2375">
        <f t="shared" si="361"/>
        <v>37946.620000000003</v>
      </c>
      <c r="Z1239" s="2376"/>
      <c r="AA1239" s="2377"/>
    </row>
    <row r="1240" spans="1:27" ht="25" hidden="1" customHeight="1">
      <c r="A1240" s="2555" t="s">
        <v>101</v>
      </c>
      <c r="B1240" s="2549" t="s">
        <v>415</v>
      </c>
      <c r="C1240" s="2550"/>
      <c r="D1240" s="2551"/>
      <c r="E1240" s="2541">
        <f>'14. Vol Genset'!$M$182</f>
        <v>1.5750000000000002</v>
      </c>
      <c r="F1240" s="2398" t="s">
        <v>103</v>
      </c>
      <c r="G1240" s="2731">
        <v>507759.96</v>
      </c>
      <c r="H1240" s="2389">
        <f t="shared" si="365"/>
        <v>799721.93700000015</v>
      </c>
      <c r="I1240" s="2480">
        <f>'Resume Analisa'!$D$26</f>
        <v>475358.64</v>
      </c>
      <c r="J1240" s="2544">
        <f>I1240*E1240</f>
        <v>748689.85800000012</v>
      </c>
      <c r="K1240" s="2378" t="e">
        <f>IF(H1240=0,"",IF(J1240&lt;#REF!*H1240,"Timpang &lt;"&amp;TEXT(#REF!,"0%"),IF(J1240&gt;#REF!*H1240,"Timpang &gt;"&amp;TEXT(#REF!,"0%"),"Wajar")))</f>
        <v>#REF!</v>
      </c>
      <c r="L1240" s="2391">
        <v>475358.64</v>
      </c>
      <c r="M1240" s="2391">
        <f t="shared" si="366"/>
        <v>748689.85800000012</v>
      </c>
      <c r="N1240" s="2375">
        <f t="shared" si="363"/>
        <v>3.2704370781599479E-4</v>
      </c>
      <c r="O1240" s="2375">
        <v>0</v>
      </c>
      <c r="P1240" s="2398"/>
      <c r="Q1240" s="2375">
        <f t="shared" si="358"/>
        <v>0</v>
      </c>
      <c r="R1240" s="2375">
        <f t="shared" si="367"/>
        <v>0</v>
      </c>
      <c r="S1240" s="2376"/>
      <c r="T1240" s="2376"/>
      <c r="U1240" s="2376"/>
      <c r="V1240" s="2376"/>
      <c r="W1240" s="2382">
        <f t="shared" si="364"/>
        <v>1.5750000000000002</v>
      </c>
      <c r="X1240" s="2398" t="s">
        <v>103</v>
      </c>
      <c r="Y1240" s="2375">
        <f t="shared" si="361"/>
        <v>475358.64</v>
      </c>
      <c r="Z1240" s="2376"/>
      <c r="AA1240" s="2377"/>
    </row>
    <row r="1241" spans="1:27" ht="25" hidden="1" customHeight="1">
      <c r="A1241" s="2555" t="s">
        <v>121</v>
      </c>
      <c r="B1241" s="2549" t="s">
        <v>496</v>
      </c>
      <c r="C1241" s="2550"/>
      <c r="D1241" s="2551"/>
      <c r="E1241" s="2541">
        <f>'14. Vol Genset'!$M$183</f>
        <v>1.5750000000000002</v>
      </c>
      <c r="F1241" s="2398" t="s">
        <v>103</v>
      </c>
      <c r="G1241" s="2731">
        <v>1422226.08</v>
      </c>
      <c r="H1241" s="2389">
        <f t="shared" si="365"/>
        <v>2240006.0760000004</v>
      </c>
      <c r="I1241" s="2465">
        <f>'Resume Analisa'!$D$54</f>
        <v>1384580.76</v>
      </c>
      <c r="J1241" s="2544">
        <f>I1241*E1241</f>
        <v>2180714.6970000002</v>
      </c>
      <c r="K1241" s="2378" t="e">
        <f>IF(H1241=0,"",IF(J1241&lt;#REF!*H1241,"Timpang &lt;"&amp;TEXT(#REF!,"0%"),IF(J1241&gt;#REF!*H1241,"Timpang &gt;"&amp;TEXT(#REF!,"0%"),"Wajar")))</f>
        <v>#REF!</v>
      </c>
      <c r="L1241" s="2391">
        <v>1384580.76</v>
      </c>
      <c r="M1241" s="2391">
        <f t="shared" si="366"/>
        <v>2180714.6970000002</v>
      </c>
      <c r="N1241" s="2375">
        <f t="shared" si="363"/>
        <v>9.5258271843147305E-4</v>
      </c>
      <c r="O1241" s="2375">
        <v>0</v>
      </c>
      <c r="P1241" s="2398"/>
      <c r="Q1241" s="2375">
        <f t="shared" si="358"/>
        <v>0</v>
      </c>
      <c r="R1241" s="2375">
        <f t="shared" si="367"/>
        <v>0</v>
      </c>
      <c r="S1241" s="2376"/>
      <c r="T1241" s="2376"/>
      <c r="U1241" s="2376"/>
      <c r="V1241" s="2376"/>
      <c r="W1241" s="2382">
        <f t="shared" si="364"/>
        <v>1.5750000000000002</v>
      </c>
      <c r="X1241" s="2398" t="s">
        <v>103</v>
      </c>
      <c r="Y1241" s="2375">
        <f t="shared" si="361"/>
        <v>1384580.76</v>
      </c>
      <c r="Z1241" s="2376"/>
      <c r="AA1241" s="2377"/>
    </row>
    <row r="1242" spans="1:27" ht="25" hidden="1" customHeight="1">
      <c r="A1242" s="2555" t="s">
        <v>142</v>
      </c>
      <c r="B1242" s="2877" t="s">
        <v>836</v>
      </c>
      <c r="C1242" s="2878"/>
      <c r="D1242" s="2879"/>
      <c r="E1242" s="2541">
        <f>'14. Vol Genset'!$M$184</f>
        <v>63</v>
      </c>
      <c r="F1242" s="2880" t="s">
        <v>89</v>
      </c>
      <c r="G1242" s="2731">
        <v>76182.909999999989</v>
      </c>
      <c r="H1242" s="2389">
        <f t="shared" si="365"/>
        <v>4799523.3299999991</v>
      </c>
      <c r="I1242" s="2465">
        <f>'Resume Analisa'!$D$51</f>
        <v>78144.03</v>
      </c>
      <c r="J1242" s="2544">
        <f>I1242*E1242</f>
        <v>4923073.8899999997</v>
      </c>
      <c r="K1242" s="2378" t="e">
        <f>IF(H1242=0,"",IF(J1242&lt;#REF!*H1242,"Timpang &lt;"&amp;TEXT(#REF!,"0%"),IF(J1242&gt;#REF!*H1242,"Timpang &gt;"&amp;TEXT(#REF!,"0%"),"Wajar")))</f>
        <v>#REF!</v>
      </c>
      <c r="L1242" s="2391">
        <v>78144.03</v>
      </c>
      <c r="M1242" s="2391">
        <f t="shared" si="366"/>
        <v>4923073.8899999997</v>
      </c>
      <c r="N1242" s="2375">
        <f t="shared" si="363"/>
        <v>2.1505037388094448E-3</v>
      </c>
      <c r="O1242" s="2375">
        <v>0</v>
      </c>
      <c r="P1242" s="2880"/>
      <c r="Q1242" s="2375">
        <f t="shared" si="358"/>
        <v>0</v>
      </c>
      <c r="R1242" s="2375">
        <f t="shared" si="367"/>
        <v>0</v>
      </c>
      <c r="S1242" s="2376"/>
      <c r="T1242" s="2376"/>
      <c r="U1242" s="2376"/>
      <c r="V1242" s="2376"/>
      <c r="W1242" s="2382">
        <f t="shared" si="364"/>
        <v>63</v>
      </c>
      <c r="X1242" s="2880" t="s">
        <v>89</v>
      </c>
      <c r="Y1242" s="2375">
        <f t="shared" si="361"/>
        <v>78144.03</v>
      </c>
      <c r="Z1242" s="2376"/>
      <c r="AA1242" s="2377"/>
    </row>
    <row r="1243" spans="1:27" ht="25" hidden="1" customHeight="1">
      <c r="A1243" s="2555" t="s">
        <v>217</v>
      </c>
      <c r="B1243" s="2877" t="s">
        <v>429</v>
      </c>
      <c r="C1243" s="2878"/>
      <c r="D1243" s="2879"/>
      <c r="E1243" s="2541">
        <f>'14. Vol Genset'!$M$185</f>
        <v>4.7249999999999996</v>
      </c>
      <c r="F1243" s="2880" t="s">
        <v>103</v>
      </c>
      <c r="G1243" s="2731">
        <v>1584129.98</v>
      </c>
      <c r="H1243" s="2389">
        <f t="shared" si="365"/>
        <v>7485014.1554999994</v>
      </c>
      <c r="I1243" s="2465">
        <f>'Resume Analisa'!$D$55</f>
        <v>1535009.1300000001</v>
      </c>
      <c r="J1243" s="2881">
        <f>E1243*I1243</f>
        <v>7252918.13925</v>
      </c>
      <c r="K1243" s="2378" t="e">
        <f>IF(H1243=0,"",IF(J1243&lt;#REF!*H1243,"Timpang &lt;"&amp;TEXT(#REF!,"0%"),IF(J1243&gt;#REF!*H1243,"Timpang &gt;"&amp;TEXT(#REF!,"0%"),"Wajar")))</f>
        <v>#REF!</v>
      </c>
      <c r="L1243" s="2391">
        <v>1535009.1300000001</v>
      </c>
      <c r="M1243" s="2391">
        <f t="shared" si="366"/>
        <v>7252918.13925</v>
      </c>
      <c r="N1243" s="2375">
        <f t="shared" si="363"/>
        <v>3.1682294282477179E-3</v>
      </c>
      <c r="O1243" s="2375">
        <v>0</v>
      </c>
      <c r="P1243" s="2880"/>
      <c r="Q1243" s="2375">
        <f t="shared" si="358"/>
        <v>0</v>
      </c>
      <c r="R1243" s="2375">
        <f t="shared" si="367"/>
        <v>0</v>
      </c>
      <c r="S1243" s="2376"/>
      <c r="T1243" s="2376"/>
      <c r="U1243" s="2376"/>
      <c r="V1243" s="2376"/>
      <c r="W1243" s="2382">
        <f t="shared" si="364"/>
        <v>4.7249999999999996</v>
      </c>
      <c r="X1243" s="2880" t="s">
        <v>103</v>
      </c>
      <c r="Y1243" s="2375">
        <f t="shared" si="361"/>
        <v>1535009.1300000001</v>
      </c>
      <c r="Z1243" s="2376"/>
      <c r="AA1243" s="2377"/>
    </row>
    <row r="1244" spans="1:27" ht="25" hidden="1" customHeight="1">
      <c r="A1244" s="2396">
        <f>A1237+1</f>
        <v>16</v>
      </c>
      <c r="B1244" s="2865" t="s">
        <v>837</v>
      </c>
      <c r="C1244" s="2873"/>
      <c r="D1244" s="2874"/>
      <c r="E1244" s="2863"/>
      <c r="F1244" s="2396"/>
      <c r="G1244" s="2731"/>
      <c r="H1244" s="2389"/>
      <c r="I1244" s="2864"/>
      <c r="J1244" s="2870"/>
      <c r="K1244" s="2389"/>
      <c r="L1244" s="2391"/>
      <c r="M1244" s="2391"/>
      <c r="N1244" s="2375">
        <f t="shared" si="363"/>
        <v>0</v>
      </c>
      <c r="O1244" s="2375">
        <v>0</v>
      </c>
      <c r="P1244" s="2396"/>
      <c r="Q1244" s="2375">
        <f t="shared" si="358"/>
        <v>0</v>
      </c>
      <c r="R1244" s="2375">
        <f t="shared" si="367"/>
        <v>0</v>
      </c>
      <c r="S1244" s="2862"/>
      <c r="T1244" s="2862"/>
      <c r="U1244" s="2862"/>
      <c r="V1244" s="2862"/>
      <c r="W1244" s="2382">
        <f t="shared" si="364"/>
        <v>0</v>
      </c>
      <c r="X1244" s="2396"/>
      <c r="Y1244" s="2375">
        <f t="shared" si="361"/>
        <v>0</v>
      </c>
      <c r="Z1244" s="2862"/>
      <c r="AA1244" s="2377"/>
    </row>
    <row r="1245" spans="1:27" ht="25" hidden="1" customHeight="1">
      <c r="A1245" s="2871" t="s">
        <v>95</v>
      </c>
      <c r="B1245" s="2549" t="s">
        <v>413</v>
      </c>
      <c r="C1245" s="2858"/>
      <c r="D1245" s="2859"/>
      <c r="E1245" s="2882">
        <f>'14. Vol Genset'!$M$189</f>
        <v>0.53625000000000023</v>
      </c>
      <c r="F1245" s="2396" t="s">
        <v>103</v>
      </c>
      <c r="G1245" s="2731">
        <v>200606.23</v>
      </c>
      <c r="H1245" s="2389">
        <f t="shared" ref="H1245:H1253" si="368">E1245*G1245</f>
        <v>107575.09083750006</v>
      </c>
      <c r="I1245" s="2480">
        <f>'Resume Analisa'!$D$24</f>
        <v>189662.29</v>
      </c>
      <c r="J1245" s="2866">
        <f t="shared" ref="J1245:J1250" si="369">I1245*E1245</f>
        <v>101706.40301250004</v>
      </c>
      <c r="K1245" s="2378" t="e">
        <f>IF(H1245=0,"",IF(J1245&lt;#REF!*H1245,"Timpang &lt;"&amp;TEXT(#REF!,"0%"),IF(J1245&gt;#REF!*H1245,"Timpang &gt;"&amp;TEXT(#REF!,"0%"),"Wajar")))</f>
        <v>#REF!</v>
      </c>
      <c r="L1245" s="2391">
        <v>189662.29</v>
      </c>
      <c r="M1245" s="2391">
        <f t="shared" ref="M1245:M1253" si="370">E1245*L1245</f>
        <v>101706.40301250004</v>
      </c>
      <c r="N1245" s="2375">
        <f t="shared" si="363"/>
        <v>4.4427527359180372E-5</v>
      </c>
      <c r="O1245" s="2375">
        <v>0</v>
      </c>
      <c r="P1245" s="2396"/>
      <c r="Q1245" s="2375">
        <f t="shared" ref="Q1245:Q1308" si="371">O1245*L1245</f>
        <v>0</v>
      </c>
      <c r="R1245" s="2375">
        <f t="shared" si="367"/>
        <v>0</v>
      </c>
      <c r="S1245" s="2376"/>
      <c r="T1245" s="2376"/>
      <c r="U1245" s="2376"/>
      <c r="V1245" s="2376"/>
      <c r="W1245" s="2382">
        <f t="shared" si="364"/>
        <v>0.53625000000000023</v>
      </c>
      <c r="X1245" s="2396" t="s">
        <v>103</v>
      </c>
      <c r="Y1245" s="2375">
        <f t="shared" si="361"/>
        <v>189662.29</v>
      </c>
      <c r="Z1245" s="2376"/>
      <c r="AA1245" s="2377"/>
    </row>
    <row r="1246" spans="1:27" ht="25" hidden="1" customHeight="1">
      <c r="A1246" s="2871" t="s">
        <v>98</v>
      </c>
      <c r="B1246" s="2549" t="s">
        <v>414</v>
      </c>
      <c r="C1246" s="2858"/>
      <c r="D1246" s="2859"/>
      <c r="E1246" s="2882">
        <f>'14. Vol Genset'!$M$190</f>
        <v>0.53625000000000023</v>
      </c>
      <c r="F1246" s="2396" t="s">
        <v>103</v>
      </c>
      <c r="G1246" s="2731">
        <v>39847.5</v>
      </c>
      <c r="H1246" s="2389">
        <f t="shared" si="368"/>
        <v>21368.22187500001</v>
      </c>
      <c r="I1246" s="2566">
        <f>'Resume Analisa'!$D$31</f>
        <v>37946.620000000003</v>
      </c>
      <c r="J1246" s="2866">
        <f t="shared" si="369"/>
        <v>20348.87497500001</v>
      </c>
      <c r="K1246" s="2378" t="e">
        <f>IF(H1246=0,"",IF(J1246&lt;#REF!*H1246,"Timpang &lt;"&amp;TEXT(#REF!,"0%"),IF(J1246&gt;#REF!*H1246,"Timpang &gt;"&amp;TEXT(#REF!,"0%"),"Wajar")))</f>
        <v>#REF!</v>
      </c>
      <c r="L1246" s="2391">
        <v>37946.620000000003</v>
      </c>
      <c r="M1246" s="2391">
        <f t="shared" si="370"/>
        <v>20348.87497500001</v>
      </c>
      <c r="N1246" s="2375">
        <f t="shared" si="363"/>
        <v>8.8888228558161001E-6</v>
      </c>
      <c r="O1246" s="2375">
        <v>0</v>
      </c>
      <c r="P1246" s="2396"/>
      <c r="Q1246" s="2375">
        <f t="shared" si="371"/>
        <v>0</v>
      </c>
      <c r="R1246" s="2375">
        <f t="shared" si="367"/>
        <v>0</v>
      </c>
      <c r="S1246" s="2376"/>
      <c r="T1246" s="2376"/>
      <c r="U1246" s="2376"/>
      <c r="V1246" s="2376"/>
      <c r="W1246" s="2382">
        <f t="shared" si="364"/>
        <v>0.53625000000000023</v>
      </c>
      <c r="X1246" s="2396" t="s">
        <v>103</v>
      </c>
      <c r="Y1246" s="2375">
        <f t="shared" si="361"/>
        <v>37946.620000000003</v>
      </c>
      <c r="Z1246" s="2376"/>
      <c r="AA1246" s="2377"/>
    </row>
    <row r="1247" spans="1:27" ht="25" hidden="1" customHeight="1">
      <c r="A1247" s="2871" t="s">
        <v>101</v>
      </c>
      <c r="B1247" s="2549" t="s">
        <v>415</v>
      </c>
      <c r="C1247" s="2858"/>
      <c r="D1247" s="2859"/>
      <c r="E1247" s="2882">
        <f>'14. Vol Genset'!$M$191</f>
        <v>0.53625000000000012</v>
      </c>
      <c r="F1247" s="2396" t="s">
        <v>103</v>
      </c>
      <c r="G1247" s="2731">
        <v>507759.96</v>
      </c>
      <c r="H1247" s="2389">
        <f t="shared" si="368"/>
        <v>272286.27855000005</v>
      </c>
      <c r="I1247" s="2480">
        <f>'Resume Analisa'!$D$26</f>
        <v>475358.64</v>
      </c>
      <c r="J1247" s="2544">
        <f t="shared" si="369"/>
        <v>254911.07070000007</v>
      </c>
      <c r="K1247" s="2378" t="e">
        <f>IF(H1247=0,"",IF(J1247&lt;#REF!*H1247,"Timpang &lt;"&amp;TEXT(#REF!,"0%"),IF(J1247&gt;#REF!*H1247,"Timpang &gt;"&amp;TEXT(#REF!,"0%"),"Wajar")))</f>
        <v>#REF!</v>
      </c>
      <c r="L1247" s="2391">
        <v>475358.64</v>
      </c>
      <c r="M1247" s="2391">
        <f t="shared" si="370"/>
        <v>254911.07070000007</v>
      </c>
      <c r="N1247" s="2375">
        <f t="shared" si="363"/>
        <v>1.1135059575639823E-4</v>
      </c>
      <c r="O1247" s="2375">
        <v>0</v>
      </c>
      <c r="P1247" s="2396"/>
      <c r="Q1247" s="2375">
        <f t="shared" si="371"/>
        <v>0</v>
      </c>
      <c r="R1247" s="2375">
        <f t="shared" si="367"/>
        <v>0</v>
      </c>
      <c r="S1247" s="2376"/>
      <c r="T1247" s="2376"/>
      <c r="U1247" s="2376"/>
      <c r="V1247" s="2376"/>
      <c r="W1247" s="2382">
        <f t="shared" si="364"/>
        <v>0.53625000000000012</v>
      </c>
      <c r="X1247" s="2396" t="s">
        <v>103</v>
      </c>
      <c r="Y1247" s="2375">
        <f t="shared" si="361"/>
        <v>475358.64</v>
      </c>
      <c r="Z1247" s="2376"/>
      <c r="AA1247" s="2377"/>
    </row>
    <row r="1248" spans="1:27" ht="25" hidden="1" customHeight="1">
      <c r="A1248" s="2871" t="s">
        <v>121</v>
      </c>
      <c r="B1248" s="2549" t="s">
        <v>496</v>
      </c>
      <c r="C1248" s="2858"/>
      <c r="D1248" s="2859"/>
      <c r="E1248" s="2882">
        <f>'14. Vol Genset'!$M$192</f>
        <v>0.53625000000000012</v>
      </c>
      <c r="F1248" s="2396" t="s">
        <v>103</v>
      </c>
      <c r="G1248" s="2731">
        <v>1422226.08</v>
      </c>
      <c r="H1248" s="2389">
        <f t="shared" si="368"/>
        <v>762668.73540000024</v>
      </c>
      <c r="I1248" s="2465">
        <f>'Resume Analisa'!$D$54</f>
        <v>1384580.76</v>
      </c>
      <c r="J1248" s="2544">
        <f t="shared" si="369"/>
        <v>742481.43255000014</v>
      </c>
      <c r="K1248" s="2378" t="e">
        <f>IF(H1248=0,"",IF(J1248&lt;#REF!*H1248,"Timpang &lt;"&amp;TEXT(#REF!,"0%"),IF(J1248&gt;#REF!*H1248,"Timpang &gt;"&amp;TEXT(#REF!,"0%"),"Wajar")))</f>
        <v>#REF!</v>
      </c>
      <c r="L1248" s="2391">
        <v>1384580.76</v>
      </c>
      <c r="M1248" s="2391">
        <f t="shared" si="370"/>
        <v>742481.43255000014</v>
      </c>
      <c r="N1248" s="2375">
        <f t="shared" si="363"/>
        <v>3.2433173508500157E-4</v>
      </c>
      <c r="O1248" s="2375">
        <v>0</v>
      </c>
      <c r="P1248" s="2396"/>
      <c r="Q1248" s="2375">
        <f t="shared" si="371"/>
        <v>0</v>
      </c>
      <c r="R1248" s="2375">
        <f t="shared" si="367"/>
        <v>0</v>
      </c>
      <c r="S1248" s="2376"/>
      <c r="T1248" s="2376"/>
      <c r="U1248" s="2376"/>
      <c r="V1248" s="2376"/>
      <c r="W1248" s="2382">
        <f t="shared" si="364"/>
        <v>0.53625000000000012</v>
      </c>
      <c r="X1248" s="2396" t="s">
        <v>103</v>
      </c>
      <c r="Y1248" s="2375">
        <f t="shared" si="361"/>
        <v>1384580.76</v>
      </c>
      <c r="Z1248" s="2376"/>
      <c r="AA1248" s="2377"/>
    </row>
    <row r="1249" spans="1:27" ht="25" hidden="1" customHeight="1">
      <c r="A1249" s="2871" t="s">
        <v>142</v>
      </c>
      <c r="B1249" s="2549" t="s">
        <v>838</v>
      </c>
      <c r="C1249" s="2858"/>
      <c r="D1249" s="2859"/>
      <c r="E1249" s="2882">
        <f>'14. Vol Genset'!$M$193</f>
        <v>0.44999999999999996</v>
      </c>
      <c r="F1249" s="2880" t="s">
        <v>89</v>
      </c>
      <c r="G1249" s="2731">
        <v>166165.41</v>
      </c>
      <c r="H1249" s="2389">
        <f t="shared" si="368"/>
        <v>74774.434499999988</v>
      </c>
      <c r="I1249" s="2480">
        <f>'Resume Analisa'!$D$69</f>
        <v>161086.38</v>
      </c>
      <c r="J1249" s="2544">
        <f t="shared" si="369"/>
        <v>72488.870999999999</v>
      </c>
      <c r="K1249" s="2378" t="e">
        <f>IF(H1249=0,"",IF(J1249&lt;#REF!*H1249,"Timpang &lt;"&amp;TEXT(#REF!,"0%"),IF(J1249&gt;#REF!*H1249,"Timpang &gt;"&amp;TEXT(#REF!,"0%"),"Wajar")))</f>
        <v>#REF!</v>
      </c>
      <c r="L1249" s="2391">
        <v>161086.38</v>
      </c>
      <c r="M1249" s="2391">
        <f t="shared" si="370"/>
        <v>72488.870999999999</v>
      </c>
      <c r="N1249" s="2375">
        <f t="shared" si="363"/>
        <v>3.1664685842766328E-5</v>
      </c>
      <c r="O1249" s="2375">
        <v>0</v>
      </c>
      <c r="P1249" s="2880"/>
      <c r="Q1249" s="2375">
        <f t="shared" si="371"/>
        <v>0</v>
      </c>
      <c r="R1249" s="2375">
        <f t="shared" si="367"/>
        <v>0</v>
      </c>
      <c r="S1249" s="2376"/>
      <c r="T1249" s="2376"/>
      <c r="U1249" s="2376"/>
      <c r="V1249" s="2376"/>
      <c r="W1249" s="2382">
        <f t="shared" si="364"/>
        <v>0.44999999999999996</v>
      </c>
      <c r="X1249" s="2880" t="s">
        <v>89</v>
      </c>
      <c r="Y1249" s="2375">
        <f t="shared" si="361"/>
        <v>161086.38</v>
      </c>
      <c r="Z1249" s="2376"/>
      <c r="AA1249" s="2377"/>
    </row>
    <row r="1250" spans="1:27" ht="25" hidden="1" customHeight="1">
      <c r="A1250" s="2871" t="s">
        <v>217</v>
      </c>
      <c r="B1250" s="2877" t="s">
        <v>839</v>
      </c>
      <c r="C1250" s="2873"/>
      <c r="D1250" s="2874"/>
      <c r="E1250" s="2863">
        <f>'14. Vol Genset'!$M$194</f>
        <v>10.725000000000001</v>
      </c>
      <c r="F1250" s="2880" t="s">
        <v>89</v>
      </c>
      <c r="G1250" s="2731">
        <v>76182.909999999989</v>
      </c>
      <c r="H1250" s="2389">
        <f t="shared" si="368"/>
        <v>817061.70975000004</v>
      </c>
      <c r="I1250" s="2465">
        <f>'Resume Analisa'!$D$51</f>
        <v>78144.03</v>
      </c>
      <c r="J1250" s="2544">
        <f t="shared" si="369"/>
        <v>838094.72175000014</v>
      </c>
      <c r="K1250" s="2378" t="e">
        <f>IF(H1250=0,"",IF(J1250&lt;#REF!*H1250,"Timpang &lt;"&amp;TEXT(#REF!,"0%"),IF(J1250&gt;#REF!*H1250,"Timpang &gt;"&amp;TEXT(#REF!,"0%"),"Wajar")))</f>
        <v>#REF!</v>
      </c>
      <c r="L1250" s="2391">
        <v>78144.03</v>
      </c>
      <c r="M1250" s="2391">
        <f t="shared" si="370"/>
        <v>838094.72175000014</v>
      </c>
      <c r="N1250" s="2375">
        <f t="shared" si="363"/>
        <v>3.6609766029732226E-4</v>
      </c>
      <c r="O1250" s="2375">
        <v>0</v>
      </c>
      <c r="P1250" s="2880"/>
      <c r="Q1250" s="2375">
        <f t="shared" si="371"/>
        <v>0</v>
      </c>
      <c r="R1250" s="2375">
        <f t="shared" si="367"/>
        <v>0</v>
      </c>
      <c r="S1250" s="2376"/>
      <c r="T1250" s="2376"/>
      <c r="U1250" s="2376"/>
      <c r="V1250" s="2376"/>
      <c r="W1250" s="2382">
        <f t="shared" si="364"/>
        <v>10.725000000000001</v>
      </c>
      <c r="X1250" s="2880" t="s">
        <v>89</v>
      </c>
      <c r="Y1250" s="2375">
        <f t="shared" si="361"/>
        <v>78144.03</v>
      </c>
      <c r="Z1250" s="2376"/>
      <c r="AA1250" s="2377"/>
    </row>
    <row r="1251" spans="1:27" ht="25" hidden="1" customHeight="1">
      <c r="A1251" s="2871" t="s">
        <v>366</v>
      </c>
      <c r="B1251" s="2865" t="s">
        <v>420</v>
      </c>
      <c r="C1251" s="2873"/>
      <c r="D1251" s="2874"/>
      <c r="E1251" s="2863">
        <f>'14. Vol Genset'!$M$198</f>
        <v>1.6087500000000001</v>
      </c>
      <c r="F1251" s="2396" t="s">
        <v>103</v>
      </c>
      <c r="G1251" s="2731">
        <v>1584129.98</v>
      </c>
      <c r="H1251" s="2389">
        <f t="shared" si="368"/>
        <v>2548469.1053250004</v>
      </c>
      <c r="I1251" s="2872">
        <f>'Resume Analisa'!$D$55</f>
        <v>1535009.1300000001</v>
      </c>
      <c r="J1251" s="2400">
        <f>E1251*I1251</f>
        <v>2469445.9378875005</v>
      </c>
      <c r="K1251" s="2378" t="e">
        <f>IF(H1251=0,"",IF(J1251&lt;#REF!*H1251,"Timpang &lt;"&amp;TEXT(#REF!,"0%"),IF(J1251&gt;#REF!*H1251,"Timpang &gt;"&amp;TEXT(#REF!,"0%"),"Wajar")))</f>
        <v>#REF!</v>
      </c>
      <c r="L1251" s="2391">
        <v>1535009.1300000001</v>
      </c>
      <c r="M1251" s="2391">
        <f t="shared" si="370"/>
        <v>2469445.9378875005</v>
      </c>
      <c r="N1251" s="2375">
        <f t="shared" si="363"/>
        <v>1.0787066862843423E-3</v>
      </c>
      <c r="O1251" s="2375">
        <v>0</v>
      </c>
      <c r="P1251" s="2396"/>
      <c r="Q1251" s="2375">
        <f t="shared" si="371"/>
        <v>0</v>
      </c>
      <c r="R1251" s="2375">
        <f t="shared" si="367"/>
        <v>0</v>
      </c>
      <c r="S1251" s="2376"/>
      <c r="T1251" s="2376"/>
      <c r="U1251" s="2376"/>
      <c r="V1251" s="2376"/>
      <c r="W1251" s="2382">
        <f t="shared" si="364"/>
        <v>1.6087500000000001</v>
      </c>
      <c r="X1251" s="2396" t="s">
        <v>103</v>
      </c>
      <c r="Y1251" s="2375">
        <f t="shared" si="361"/>
        <v>1535009.1300000001</v>
      </c>
      <c r="Z1251" s="2376"/>
      <c r="AA1251" s="2377"/>
    </row>
    <row r="1252" spans="1:27" ht="25" hidden="1" customHeight="1">
      <c r="A1252" s="2871" t="s">
        <v>476</v>
      </c>
      <c r="B1252" s="2865" t="s">
        <v>193</v>
      </c>
      <c r="C1252" s="2858"/>
      <c r="D1252" s="2859"/>
      <c r="E1252" s="2863">
        <f>'14. Vol Genset'!$M$199</f>
        <v>0.44999999999999996</v>
      </c>
      <c r="F1252" s="2396" t="s">
        <v>89</v>
      </c>
      <c r="G1252" s="2731">
        <v>61230.840000000004</v>
      </c>
      <c r="H1252" s="2389">
        <f t="shared" si="368"/>
        <v>27553.878000000001</v>
      </c>
      <c r="I1252" s="2872">
        <f>'Resume Analisa'!$D$70</f>
        <v>58648.57</v>
      </c>
      <c r="J1252" s="2400">
        <f>E1252*I1252</f>
        <v>26391.856499999998</v>
      </c>
      <c r="K1252" s="2378" t="e">
        <f>IF(H1252=0,"",IF(J1252&lt;#REF!*H1252,"Timpang &lt;"&amp;TEXT(#REF!,"0%"),IF(J1252&gt;#REF!*H1252,"Timpang &gt;"&amp;TEXT(#REF!,"0%"),"Wajar")))</f>
        <v>#REF!</v>
      </c>
      <c r="L1252" s="2391">
        <v>58648.57</v>
      </c>
      <c r="M1252" s="2391">
        <f t="shared" si="370"/>
        <v>26391.856499999998</v>
      </c>
      <c r="N1252" s="2375">
        <f t="shared" si="363"/>
        <v>1.1528526149619167E-5</v>
      </c>
      <c r="O1252" s="2375">
        <v>0</v>
      </c>
      <c r="P1252" s="2396"/>
      <c r="Q1252" s="2375">
        <f t="shared" si="371"/>
        <v>0</v>
      </c>
      <c r="R1252" s="2375">
        <f t="shared" si="367"/>
        <v>0</v>
      </c>
      <c r="S1252" s="2376"/>
      <c r="T1252" s="2376"/>
      <c r="U1252" s="2376"/>
      <c r="V1252" s="2376"/>
      <c r="W1252" s="2382">
        <f t="shared" si="364"/>
        <v>0.44999999999999996</v>
      </c>
      <c r="X1252" s="2396" t="s">
        <v>89</v>
      </c>
      <c r="Y1252" s="2375">
        <f t="shared" si="361"/>
        <v>58648.57</v>
      </c>
      <c r="Z1252" s="2376"/>
      <c r="AA1252" s="2377"/>
    </row>
    <row r="1253" spans="1:27" ht="25" hidden="1" customHeight="1">
      <c r="A1253" s="2871" t="s">
        <v>728</v>
      </c>
      <c r="B1253" s="2865" t="s">
        <v>194</v>
      </c>
      <c r="C1253" s="2858"/>
      <c r="D1253" s="2859"/>
      <c r="E1253" s="2863">
        <f>'14. Vol Genset'!$M$200</f>
        <v>0.44999999999999996</v>
      </c>
      <c r="F1253" s="2396" t="s">
        <v>89</v>
      </c>
      <c r="G1253" s="2731">
        <v>45612.170000000006</v>
      </c>
      <c r="H1253" s="2389">
        <f t="shared" si="368"/>
        <v>20525.476500000001</v>
      </c>
      <c r="I1253" s="2465">
        <f>'Resume Analisa'!$D$72</f>
        <v>43813.91</v>
      </c>
      <c r="J1253" s="2400">
        <f>E1253*I1253</f>
        <v>19716.2595</v>
      </c>
      <c r="K1253" s="2378" t="e">
        <f>IF(H1253=0,"",IF(J1253&lt;#REF!*H1253,"Timpang &lt;"&amp;TEXT(#REF!,"0%"),IF(J1253&gt;#REF!*H1253,"Timpang &gt;"&amp;TEXT(#REF!,"0%"),"Wajar")))</f>
        <v>#REF!</v>
      </c>
      <c r="L1253" s="2391">
        <v>43813.91</v>
      </c>
      <c r="M1253" s="2391">
        <f t="shared" si="370"/>
        <v>19716.2595</v>
      </c>
      <c r="N1253" s="2375">
        <f t="shared" si="363"/>
        <v>8.6124829156458669E-6</v>
      </c>
      <c r="O1253" s="2375">
        <v>0</v>
      </c>
      <c r="P1253" s="2396"/>
      <c r="Q1253" s="2375">
        <f t="shared" si="371"/>
        <v>0</v>
      </c>
      <c r="R1253" s="2375">
        <f t="shared" si="367"/>
        <v>0</v>
      </c>
      <c r="S1253" s="2376"/>
      <c r="T1253" s="2376"/>
      <c r="U1253" s="2376"/>
      <c r="V1253" s="2376"/>
      <c r="W1253" s="2382">
        <f t="shared" si="364"/>
        <v>0.44999999999999996</v>
      </c>
      <c r="X1253" s="2396" t="s">
        <v>89</v>
      </c>
      <c r="Y1253" s="2375">
        <f t="shared" si="361"/>
        <v>43813.91</v>
      </c>
      <c r="Z1253" s="2376"/>
      <c r="AA1253" s="2377"/>
    </row>
    <row r="1254" spans="1:27" ht="25" hidden="1" customHeight="1">
      <c r="A1254" s="2871"/>
      <c r="B1254" s="2865"/>
      <c r="C1254" s="2858"/>
      <c r="D1254" s="2733" t="s">
        <v>376</v>
      </c>
      <c r="E1254" s="2883"/>
      <c r="F1254" s="2869"/>
      <c r="G1254" s="2786"/>
      <c r="H1254" s="2546">
        <f>SUM(H1161:H1253)</f>
        <v>105801142.39564654</v>
      </c>
      <c r="I1254" s="2884"/>
      <c r="J1254" s="2885">
        <f>SUM(J1161:J1253)</f>
        <v>104161410.94832535</v>
      </c>
      <c r="K1254" s="2546"/>
      <c r="L1254" s="2457"/>
      <c r="M1254" s="2457">
        <f>SUM(M1161:M1253)</f>
        <v>104161410.94832535</v>
      </c>
      <c r="N1254" s="2375">
        <f t="shared" si="363"/>
        <v>4.549992721804156E-2</v>
      </c>
      <c r="O1254" s="2375">
        <v>0</v>
      </c>
      <c r="P1254" s="2869"/>
      <c r="Q1254" s="2375">
        <f t="shared" si="371"/>
        <v>0</v>
      </c>
      <c r="R1254" s="2375">
        <f t="shared" si="367"/>
        <v>0</v>
      </c>
      <c r="S1254" s="2886"/>
      <c r="T1254" s="2886"/>
      <c r="U1254" s="2886"/>
      <c r="V1254" s="2886"/>
      <c r="W1254" s="2382">
        <f t="shared" si="364"/>
        <v>0</v>
      </c>
      <c r="X1254" s="2869"/>
      <c r="Y1254" s="2375">
        <f t="shared" si="361"/>
        <v>0</v>
      </c>
      <c r="Z1254" s="2886"/>
      <c r="AA1254" s="2377"/>
    </row>
    <row r="1255" spans="1:27" ht="25" hidden="1" customHeight="1">
      <c r="A1255" s="2869" t="s">
        <v>699</v>
      </c>
      <c r="B1255" s="3124" t="s">
        <v>840</v>
      </c>
      <c r="C1255" s="2858"/>
      <c r="D1255" s="2859"/>
      <c r="E1255" s="2863"/>
      <c r="F1255" s="2396"/>
      <c r="G1255" s="2731"/>
      <c r="H1255" s="2389"/>
      <c r="I1255" s="2864"/>
      <c r="J1255" s="2870"/>
      <c r="K1255" s="2389"/>
      <c r="L1255" s="2391"/>
      <c r="M1255" s="2391"/>
      <c r="N1255" s="2375">
        <f t="shared" si="363"/>
        <v>0</v>
      </c>
      <c r="O1255" s="2375">
        <v>0</v>
      </c>
      <c r="P1255" s="2396"/>
      <c r="Q1255" s="2375">
        <f t="shared" si="371"/>
        <v>0</v>
      </c>
      <c r="R1255" s="2375">
        <f t="shared" si="367"/>
        <v>0</v>
      </c>
      <c r="S1255" s="2862"/>
      <c r="T1255" s="2862"/>
      <c r="U1255" s="2862"/>
      <c r="V1255" s="2862"/>
      <c r="W1255" s="2382">
        <f t="shared" si="364"/>
        <v>0</v>
      </c>
      <c r="X1255" s="2396"/>
      <c r="Y1255" s="2375">
        <f t="shared" si="361"/>
        <v>0</v>
      </c>
      <c r="Z1255" s="2862"/>
      <c r="AA1255" s="2377"/>
    </row>
    <row r="1256" spans="1:27" ht="25" hidden="1" customHeight="1">
      <c r="A1256" s="2396">
        <v>1</v>
      </c>
      <c r="B1256" s="2865" t="s">
        <v>629</v>
      </c>
      <c r="C1256" s="2858"/>
      <c r="D1256" s="2859"/>
      <c r="E1256" s="2863">
        <f>'14. Vol Genset'!$M$211</f>
        <v>95.702200000000005</v>
      </c>
      <c r="F1256" s="2396" t="s">
        <v>89</v>
      </c>
      <c r="G1256" s="2731">
        <v>166165.41</v>
      </c>
      <c r="H1256" s="2389">
        <f>E1256*G1256</f>
        <v>15902395.300902002</v>
      </c>
      <c r="I1256" s="2872">
        <f>'Resume Analisa'!$D$69</f>
        <v>161086.38</v>
      </c>
      <c r="J1256" s="2400">
        <f>E1256*I1256</f>
        <v>15416320.956036001</v>
      </c>
      <c r="K1256" s="2378" t="e">
        <f>IF(H1256=0,"",IF(J1256&lt;#REF!*H1256,"Timpang &lt;"&amp;TEXT(#REF!,"0%"),IF(J1256&gt;#REF!*H1256,"Timpang &gt;"&amp;TEXT(#REF!,"0%"),"Wajar")))</f>
        <v>#REF!</v>
      </c>
      <c r="L1256" s="2391">
        <v>161086.38</v>
      </c>
      <c r="M1256" s="2391">
        <f>E1256*L1256</f>
        <v>15416320.956036001</v>
      </c>
      <c r="N1256" s="2375">
        <f t="shared" si="363"/>
        <v>6.7341779943590934E-3</v>
      </c>
      <c r="O1256" s="2375">
        <v>0</v>
      </c>
      <c r="P1256" s="2396"/>
      <c r="Q1256" s="2375">
        <f t="shared" si="371"/>
        <v>0</v>
      </c>
      <c r="R1256" s="2375">
        <f t="shared" si="367"/>
        <v>0</v>
      </c>
      <c r="S1256" s="2376"/>
      <c r="T1256" s="2376"/>
      <c r="U1256" s="2376"/>
      <c r="V1256" s="2376"/>
      <c r="W1256" s="2382">
        <f t="shared" si="364"/>
        <v>95.702200000000005</v>
      </c>
      <c r="X1256" s="2396" t="s">
        <v>89</v>
      </c>
      <c r="Y1256" s="2375">
        <f t="shared" si="361"/>
        <v>161086.38</v>
      </c>
      <c r="Z1256" s="2376"/>
      <c r="AA1256" s="2377"/>
    </row>
    <row r="1257" spans="1:27" ht="25" hidden="1" customHeight="1">
      <c r="A1257" s="2396">
        <f>A1256+1</f>
        <v>2</v>
      </c>
      <c r="B1257" s="2865" t="s">
        <v>630</v>
      </c>
      <c r="C1257" s="2858"/>
      <c r="D1257" s="2859"/>
      <c r="E1257" s="2863">
        <f>'14. Vol Genset'!$M$212</f>
        <v>95.702200000000005</v>
      </c>
      <c r="F1257" s="2396" t="s">
        <v>89</v>
      </c>
      <c r="G1257" s="2731">
        <v>61230.840000000004</v>
      </c>
      <c r="H1257" s="2389">
        <f>E1257*G1257</f>
        <v>5859926.0958480006</v>
      </c>
      <c r="I1257" s="2872">
        <f>'Resume Analisa'!$D$70</f>
        <v>58648.57</v>
      </c>
      <c r="J1257" s="2400">
        <f>E1257*I1257</f>
        <v>5612797.1758540003</v>
      </c>
      <c r="K1257" s="2378" t="e">
        <f>IF(H1257=0,"",IF(J1257&lt;#REF!*H1257,"Timpang &lt;"&amp;TEXT(#REF!,"0%"),IF(J1257&gt;#REF!*H1257,"Timpang &gt;"&amp;TEXT(#REF!,"0%"),"Wajar")))</f>
        <v>#REF!</v>
      </c>
      <c r="L1257" s="2391">
        <v>58648.57</v>
      </c>
      <c r="M1257" s="2391">
        <f>E1257*L1257</f>
        <v>5612797.1758540003</v>
      </c>
      <c r="N1257" s="2375">
        <f t="shared" si="363"/>
        <v>2.4517895895024081E-3</v>
      </c>
      <c r="O1257" s="2375">
        <v>0</v>
      </c>
      <c r="P1257" s="2396"/>
      <c r="Q1257" s="2375">
        <f t="shared" si="371"/>
        <v>0</v>
      </c>
      <c r="R1257" s="2375">
        <f t="shared" si="367"/>
        <v>0</v>
      </c>
      <c r="S1257" s="2376"/>
      <c r="T1257" s="2376"/>
      <c r="U1257" s="2376"/>
      <c r="V1257" s="2376"/>
      <c r="W1257" s="2382">
        <f t="shared" si="364"/>
        <v>95.702200000000005</v>
      </c>
      <c r="X1257" s="2396" t="s">
        <v>89</v>
      </c>
      <c r="Y1257" s="2375">
        <f t="shared" ref="Y1257:Y1281" si="372">L1257</f>
        <v>58648.57</v>
      </c>
      <c r="Z1257" s="2376"/>
      <c r="AA1257" s="2377"/>
    </row>
    <row r="1258" spans="1:27" ht="25" hidden="1" customHeight="1">
      <c r="A1258" s="2396">
        <f>A1257+1</f>
        <v>3</v>
      </c>
      <c r="B1258" s="2865" t="s">
        <v>631</v>
      </c>
      <c r="C1258" s="2858"/>
      <c r="D1258" s="2859"/>
      <c r="E1258" s="2863">
        <f>'14. Vol Genset'!$M$218</f>
        <v>115.64219999999999</v>
      </c>
      <c r="F1258" s="2396" t="s">
        <v>89</v>
      </c>
      <c r="G1258" s="2731">
        <v>45612.170000000006</v>
      </c>
      <c r="H1258" s="2389">
        <f>E1258*G1258</f>
        <v>5274691.6855739998</v>
      </c>
      <c r="I1258" s="2872">
        <f>'Resume Analisa'!$D$72</f>
        <v>43813.91</v>
      </c>
      <c r="J1258" s="2400">
        <f>E1258*I1258</f>
        <v>5066736.9430019995</v>
      </c>
      <c r="K1258" s="2378" t="e">
        <f>IF(H1258=0,"",IF(J1258&lt;#REF!*H1258,"Timpang &lt;"&amp;TEXT(#REF!,"0%"),IF(J1258&gt;#REF!*H1258,"Timpang &gt;"&amp;TEXT(#REF!,"0%"),"Wajar")))</f>
        <v>#REF!</v>
      </c>
      <c r="L1258" s="2391">
        <v>43813.91</v>
      </c>
      <c r="M1258" s="2391">
        <f>E1258*L1258</f>
        <v>5066736.9430019995</v>
      </c>
      <c r="N1258" s="2375">
        <f t="shared" si="363"/>
        <v>2.2132588262837832E-3</v>
      </c>
      <c r="O1258" s="2375">
        <v>0</v>
      </c>
      <c r="P1258" s="2396"/>
      <c r="Q1258" s="2375">
        <f t="shared" si="371"/>
        <v>0</v>
      </c>
      <c r="R1258" s="2375">
        <f t="shared" si="367"/>
        <v>0</v>
      </c>
      <c r="S1258" s="2376"/>
      <c r="T1258" s="2376"/>
      <c r="U1258" s="2376"/>
      <c r="V1258" s="2376"/>
      <c r="W1258" s="2382">
        <f t="shared" si="364"/>
        <v>115.64219999999999</v>
      </c>
      <c r="X1258" s="2396" t="s">
        <v>89</v>
      </c>
      <c r="Y1258" s="2375">
        <f t="shared" si="372"/>
        <v>43813.91</v>
      </c>
      <c r="Z1258" s="2376"/>
      <c r="AA1258" s="2377"/>
    </row>
    <row r="1259" spans="1:27" ht="25" hidden="1" customHeight="1">
      <c r="A1259" s="2396">
        <f>A1258+1</f>
        <v>4</v>
      </c>
      <c r="B1259" s="2793" t="s">
        <v>436</v>
      </c>
      <c r="C1259" s="2550"/>
      <c r="D1259" s="2551"/>
      <c r="E1259" s="2397">
        <f>'14. Vol Genset'!$M$227</f>
        <v>5.3353929999999998</v>
      </c>
      <c r="F1259" s="2398" t="s">
        <v>89</v>
      </c>
      <c r="G1259" s="2731">
        <v>39943.170000000006</v>
      </c>
      <c r="H1259" s="2389">
        <f>E1259*G1259</f>
        <v>213112.50961581004</v>
      </c>
      <c r="I1259" s="2465">
        <f>'Resume Analisa'!$D$229</f>
        <v>38799.550000000003</v>
      </c>
      <c r="J1259" s="2552">
        <f>E1259*I1259</f>
        <v>207010.84747315</v>
      </c>
      <c r="K1259" s="2378" t="e">
        <f>IF(H1259=0,"",IF(J1259&lt;#REF!*H1259,"Timpang &lt;"&amp;TEXT(#REF!,"0%"),IF(J1259&gt;#REF!*H1259,"Timpang &gt;"&amp;TEXT(#REF!,"0%"),"Wajar")))</f>
        <v>#REF!</v>
      </c>
      <c r="L1259" s="2391">
        <v>38799.550000000003</v>
      </c>
      <c r="M1259" s="2391">
        <f>E1259*L1259</f>
        <v>207010.84747315</v>
      </c>
      <c r="N1259" s="2375">
        <f t="shared" si="363"/>
        <v>9.0426756008961886E-5</v>
      </c>
      <c r="O1259" s="2375">
        <v>0</v>
      </c>
      <c r="P1259" s="2398"/>
      <c r="Q1259" s="2375">
        <f t="shared" si="371"/>
        <v>0</v>
      </c>
      <c r="R1259" s="2375">
        <f t="shared" si="367"/>
        <v>0</v>
      </c>
      <c r="S1259" s="2376"/>
      <c r="T1259" s="2376"/>
      <c r="U1259" s="2376"/>
      <c r="V1259" s="2376"/>
      <c r="W1259" s="2382">
        <f t="shared" si="364"/>
        <v>5.3353929999999998</v>
      </c>
      <c r="X1259" s="2398" t="s">
        <v>89</v>
      </c>
      <c r="Y1259" s="2375">
        <f t="shared" si="372"/>
        <v>38799.550000000003</v>
      </c>
      <c r="Z1259" s="2376"/>
      <c r="AA1259" s="2377"/>
    </row>
    <row r="1260" spans="1:27" ht="25" hidden="1" customHeight="1">
      <c r="A1260" s="2396">
        <f>A1259+1</f>
        <v>5</v>
      </c>
      <c r="B1260" s="2549" t="s">
        <v>443</v>
      </c>
      <c r="C1260" s="2550"/>
      <c r="D1260" s="2551"/>
      <c r="E1260" s="2541"/>
      <c r="F1260" s="2398"/>
      <c r="G1260" s="2389"/>
      <c r="H1260" s="2389"/>
      <c r="I1260" s="2692"/>
      <c r="J1260" s="2552"/>
      <c r="K1260" s="2389"/>
      <c r="L1260" s="2391"/>
      <c r="M1260" s="2391"/>
      <c r="N1260" s="2375">
        <f t="shared" si="363"/>
        <v>0</v>
      </c>
      <c r="O1260" s="2375">
        <v>0</v>
      </c>
      <c r="P1260" s="2398"/>
      <c r="Q1260" s="2375">
        <f t="shared" si="371"/>
        <v>0</v>
      </c>
      <c r="R1260" s="2375">
        <f t="shared" si="367"/>
        <v>0</v>
      </c>
      <c r="S1260" s="2376"/>
      <c r="T1260" s="2376"/>
      <c r="U1260" s="2376"/>
      <c r="V1260" s="2376"/>
      <c r="W1260" s="2382">
        <f t="shared" si="364"/>
        <v>0</v>
      </c>
      <c r="X1260" s="2398"/>
      <c r="Y1260" s="2375">
        <f t="shared" si="372"/>
        <v>0</v>
      </c>
      <c r="Z1260" s="2376"/>
      <c r="AA1260" s="2377"/>
    </row>
    <row r="1261" spans="1:27" ht="55" hidden="1" customHeight="1">
      <c r="A1261" s="2589" t="s">
        <v>95</v>
      </c>
      <c r="B1261" s="3193" t="s">
        <v>444</v>
      </c>
      <c r="C1261" s="3194"/>
      <c r="D1261" s="3195"/>
      <c r="E1261" s="2541">
        <f>'14. Vol Genset'!$M$231</f>
        <v>51.04</v>
      </c>
      <c r="F1261" s="2590" t="s">
        <v>89</v>
      </c>
      <c r="G1261" s="2389">
        <v>300628.27</v>
      </c>
      <c r="H1261" s="2389">
        <f t="shared" ref="H1261:H1278" si="373">E1261*G1261</f>
        <v>15344066.900800001</v>
      </c>
      <c r="I1261" s="2588">
        <f>'Resume Analisa'!$D$224</f>
        <v>290179.7</v>
      </c>
      <c r="J1261" s="2552">
        <f t="shared" ref="J1261:J1270" si="374">E1261*I1261</f>
        <v>14810771.888</v>
      </c>
      <c r="K1261" s="2378" t="e">
        <f>IF(H1261=0,"",IF(J1261&lt;#REF!*H1261,"Timpang &lt;"&amp;TEXT(#REF!,"0%"),IF(J1261&gt;#REF!*H1261,"Timpang &gt;"&amp;TEXT(#REF!,"0%"),"Wajar")))</f>
        <v>#REF!</v>
      </c>
      <c r="L1261" s="2391">
        <v>290179.7</v>
      </c>
      <c r="M1261" s="2391">
        <f t="shared" ref="M1261:M1278" si="375">E1261*L1261</f>
        <v>14810771.888</v>
      </c>
      <c r="N1261" s="2375">
        <f t="shared" ref="N1261:N1279" si="376">M1261/$M$8</f>
        <v>6.4696612383767869E-3</v>
      </c>
      <c r="O1261" s="2375">
        <v>0</v>
      </c>
      <c r="P1261" s="2590"/>
      <c r="Q1261" s="2375">
        <f t="shared" si="371"/>
        <v>0</v>
      </c>
      <c r="R1261" s="2375">
        <f t="shared" si="367"/>
        <v>0</v>
      </c>
      <c r="S1261" s="2376"/>
      <c r="T1261" s="2376"/>
      <c r="U1261" s="2376"/>
      <c r="V1261" s="2376"/>
      <c r="W1261" s="2382">
        <f t="shared" si="364"/>
        <v>51.04</v>
      </c>
      <c r="X1261" s="2590" t="s">
        <v>89</v>
      </c>
      <c r="Y1261" s="2375">
        <f t="shared" si="372"/>
        <v>290179.7</v>
      </c>
      <c r="Z1261" s="2376"/>
      <c r="AA1261" s="2377"/>
    </row>
    <row r="1262" spans="1:27" ht="50" hidden="1" customHeight="1">
      <c r="A1262" s="2589" t="s">
        <v>98</v>
      </c>
      <c r="B1262" s="3193" t="s">
        <v>445</v>
      </c>
      <c r="C1262" s="3194"/>
      <c r="D1262" s="3195"/>
      <c r="E1262" s="2541">
        <f>'14. Vol Genset'!$M$232</f>
        <v>164.70000000000002</v>
      </c>
      <c r="F1262" s="2398" t="s">
        <v>117</v>
      </c>
      <c r="G1262" s="2389">
        <v>6893.1</v>
      </c>
      <c r="H1262" s="2389">
        <f t="shared" si="373"/>
        <v>1135293.57</v>
      </c>
      <c r="I1262" s="2588">
        <f>'Resume Analisa'!$D$222</f>
        <v>6849.5700000000006</v>
      </c>
      <c r="J1262" s="2552">
        <f t="shared" si="374"/>
        <v>1128124.1790000002</v>
      </c>
      <c r="K1262" s="2378" t="e">
        <f>IF(H1262=0,"",IF(J1262&lt;#REF!*H1262,"Timpang &lt;"&amp;TEXT(#REF!,"0%"),IF(J1262&gt;#REF!*H1262,"Timpang &gt;"&amp;TEXT(#REF!,"0%"),"Wajar")))</f>
        <v>#REF!</v>
      </c>
      <c r="L1262" s="2391">
        <v>6849.5700000000006</v>
      </c>
      <c r="M1262" s="2391">
        <f t="shared" si="375"/>
        <v>1128124.1790000002</v>
      </c>
      <c r="N1262" s="2375">
        <f t="shared" si="376"/>
        <v>4.9278871676265582E-4</v>
      </c>
      <c r="O1262" s="2375">
        <v>0</v>
      </c>
      <c r="P1262" s="2398"/>
      <c r="Q1262" s="2375">
        <f t="shared" si="371"/>
        <v>0</v>
      </c>
      <c r="R1262" s="2375">
        <f t="shared" si="367"/>
        <v>0</v>
      </c>
      <c r="S1262" s="2376"/>
      <c r="T1262" s="2376"/>
      <c r="U1262" s="2376"/>
      <c r="V1262" s="2376"/>
      <c r="W1262" s="2382">
        <f t="shared" si="364"/>
        <v>164.70000000000002</v>
      </c>
      <c r="X1262" s="2398" t="s">
        <v>117</v>
      </c>
      <c r="Y1262" s="2375">
        <f t="shared" si="372"/>
        <v>6849.5700000000006</v>
      </c>
      <c r="Z1262" s="2376"/>
      <c r="AA1262" s="2377"/>
    </row>
    <row r="1263" spans="1:27" ht="25" hidden="1" customHeight="1">
      <c r="A1263" s="2555" t="s">
        <v>101</v>
      </c>
      <c r="B1263" s="2549" t="s">
        <v>571</v>
      </c>
      <c r="C1263" s="2550"/>
      <c r="D1263" s="2551"/>
      <c r="E1263" s="2541">
        <f>'14. Vol Genset'!$M$236</f>
        <v>83.231500000000011</v>
      </c>
      <c r="F1263" s="2590" t="s">
        <v>89</v>
      </c>
      <c r="G1263" s="2389">
        <v>232335.08000000002</v>
      </c>
      <c r="H1263" s="2389">
        <f t="shared" si="373"/>
        <v>19337597.211020004</v>
      </c>
      <c r="I1263" s="2588">
        <f>'Resume Analisa'!$D$64</f>
        <v>240387.47</v>
      </c>
      <c r="J1263" s="2552">
        <f t="shared" si="374"/>
        <v>20007809.709305003</v>
      </c>
      <c r="K1263" s="2378" t="e">
        <f>IF(H1263=0,"",IF(J1263&lt;#REF!*H1263,"Timpang &lt;"&amp;TEXT(#REF!,"0%"),IF(J1263&gt;#REF!*H1263,"Timpang &gt;"&amp;TEXT(#REF!,"0%"),"Wajar")))</f>
        <v>#REF!</v>
      </c>
      <c r="L1263" s="2391">
        <v>240387.47</v>
      </c>
      <c r="M1263" s="2391">
        <f t="shared" si="375"/>
        <v>20007809.709305003</v>
      </c>
      <c r="N1263" s="2375">
        <f t="shared" si="376"/>
        <v>8.7398382690633009E-3</v>
      </c>
      <c r="O1263" s="2375">
        <v>0</v>
      </c>
      <c r="P1263" s="2590"/>
      <c r="Q1263" s="2375">
        <f t="shared" si="371"/>
        <v>0</v>
      </c>
      <c r="R1263" s="2375">
        <f t="shared" si="367"/>
        <v>0</v>
      </c>
      <c r="S1263" s="2376"/>
      <c r="T1263" s="2376"/>
      <c r="U1263" s="2376"/>
      <c r="V1263" s="2376"/>
      <c r="W1263" s="2382">
        <f t="shared" si="364"/>
        <v>83.231500000000011</v>
      </c>
      <c r="X1263" s="2590" t="s">
        <v>89</v>
      </c>
      <c r="Y1263" s="2375">
        <f t="shared" si="372"/>
        <v>240387.47</v>
      </c>
      <c r="Z1263" s="2376"/>
      <c r="AA1263" s="2377"/>
    </row>
    <row r="1264" spans="1:27" ht="25" hidden="1" customHeight="1">
      <c r="A1264" s="2555" t="s">
        <v>121</v>
      </c>
      <c r="B1264" s="2549" t="s">
        <v>447</v>
      </c>
      <c r="C1264" s="2550"/>
      <c r="D1264" s="2551"/>
      <c r="E1264" s="2541">
        <f>'14. Vol Genset'!$M$237</f>
        <v>9.25</v>
      </c>
      <c r="F1264" s="2590" t="s">
        <v>117</v>
      </c>
      <c r="G1264" s="2389">
        <v>180008.45</v>
      </c>
      <c r="H1264" s="2389">
        <f t="shared" si="373"/>
        <v>1665078.1625000001</v>
      </c>
      <c r="I1264" s="2588">
        <f>'Resume Analisa'!$D$65</f>
        <v>172082.08000000002</v>
      </c>
      <c r="J1264" s="2552">
        <f t="shared" si="374"/>
        <v>1591759.2400000002</v>
      </c>
      <c r="K1264" s="2378" t="e">
        <f>IF(H1264=0,"",IF(J1264&lt;#REF!*H1264,"Timpang &lt;"&amp;TEXT(#REF!,"0%"),IF(J1264&gt;#REF!*H1264,"Timpang &gt;"&amp;TEXT(#REF!,"0%"),"Wajar")))</f>
        <v>#REF!</v>
      </c>
      <c r="L1264" s="2391">
        <v>172082.08000000002</v>
      </c>
      <c r="M1264" s="2391">
        <f t="shared" si="375"/>
        <v>1591759.2400000002</v>
      </c>
      <c r="N1264" s="2375">
        <f t="shared" si="376"/>
        <v>6.953144058750825E-4</v>
      </c>
      <c r="O1264" s="2375">
        <v>0</v>
      </c>
      <c r="P1264" s="2590"/>
      <c r="Q1264" s="2375">
        <f t="shared" si="371"/>
        <v>0</v>
      </c>
      <c r="R1264" s="2375">
        <f t="shared" si="367"/>
        <v>0</v>
      </c>
      <c r="S1264" s="2376"/>
      <c r="T1264" s="2376"/>
      <c r="U1264" s="2376"/>
      <c r="V1264" s="2376"/>
      <c r="W1264" s="2382">
        <f t="shared" si="364"/>
        <v>9.25</v>
      </c>
      <c r="X1264" s="2590" t="s">
        <v>117</v>
      </c>
      <c r="Y1264" s="2375">
        <f t="shared" si="372"/>
        <v>172082.08000000002</v>
      </c>
      <c r="Z1264" s="2376"/>
      <c r="AA1264" s="2377"/>
    </row>
    <row r="1265" spans="1:27" s="331" customFormat="1" ht="25" hidden="1" customHeight="1">
      <c r="A1265" s="2398">
        <f>A1260+1</f>
        <v>6</v>
      </c>
      <c r="B1265" s="3199" t="s">
        <v>448</v>
      </c>
      <c r="C1265" s="3200"/>
      <c r="D1265" s="3201"/>
      <c r="E1265" s="2397">
        <f>'14. Vol Genset'!$M$243</f>
        <v>58.798000000000002</v>
      </c>
      <c r="F1265" s="2398" t="s">
        <v>89</v>
      </c>
      <c r="G1265" s="2389">
        <v>224723.54</v>
      </c>
      <c r="H1265" s="2389">
        <f t="shared" si="373"/>
        <v>13213294.704920001</v>
      </c>
      <c r="I1265" s="2465">
        <f>'Resume Analisa'!$D$105</f>
        <v>220349.78</v>
      </c>
      <c r="J1265" s="2567">
        <f t="shared" si="374"/>
        <v>12956126.36444</v>
      </c>
      <c r="K1265" s="2378" t="e">
        <f>IF(H1265=0,"",IF(J1265&lt;#REF!*H1265,"Timpang &lt;"&amp;TEXT(#REF!,"0%"),IF(J1265&gt;#REF!*H1265,"Timpang &gt;"&amp;TEXT(#REF!,"0%"),"Wajar")))</f>
        <v>#REF!</v>
      </c>
      <c r="L1265" s="2391">
        <v>220349.78</v>
      </c>
      <c r="M1265" s="2391">
        <f t="shared" si="375"/>
        <v>12956126.36444</v>
      </c>
      <c r="N1265" s="2375">
        <f t="shared" si="376"/>
        <v>5.6595124935684936E-3</v>
      </c>
      <c r="O1265" s="2375">
        <v>0</v>
      </c>
      <c r="P1265" s="2398"/>
      <c r="Q1265" s="2375">
        <f t="shared" si="371"/>
        <v>0</v>
      </c>
      <c r="R1265" s="2375">
        <f t="shared" si="367"/>
        <v>0</v>
      </c>
      <c r="S1265" s="2376"/>
      <c r="T1265" s="2376"/>
      <c r="U1265" s="2376"/>
      <c r="V1265" s="2376"/>
      <c r="W1265" s="2382">
        <f t="shared" si="364"/>
        <v>58.798000000000002</v>
      </c>
      <c r="X1265" s="2398" t="s">
        <v>89</v>
      </c>
      <c r="Y1265" s="2375">
        <f t="shared" si="372"/>
        <v>220349.78</v>
      </c>
      <c r="Z1265" s="2376"/>
      <c r="AA1265" s="2876"/>
    </row>
    <row r="1266" spans="1:27" ht="25" hidden="1" customHeight="1">
      <c r="A1266" s="2396">
        <f t="shared" ref="A1266:A1278" si="377">A1265+1</f>
        <v>7</v>
      </c>
      <c r="B1266" s="2549" t="s">
        <v>452</v>
      </c>
      <c r="C1266" s="2858"/>
      <c r="D1266" s="2859"/>
      <c r="E1266" s="2863">
        <f>'14. Vol Genset'!$M$246</f>
        <v>35.896000000000001</v>
      </c>
      <c r="F1266" s="2396" t="s">
        <v>117</v>
      </c>
      <c r="G1266" s="2731">
        <v>111113</v>
      </c>
      <c r="H1266" s="2389">
        <f t="shared" si="373"/>
        <v>3988512.2480000001</v>
      </c>
      <c r="I1266" s="2480">
        <f>'Resume Analisa'!$D$67</f>
        <v>110227.31999999999</v>
      </c>
      <c r="J1266" s="2400">
        <f t="shared" si="374"/>
        <v>3956719.8787199999</v>
      </c>
      <c r="K1266" s="2378" t="e">
        <f>IF(H1266=0,"",IF(J1266&lt;#REF!*H1266,"Timpang &lt;"&amp;TEXT(#REF!,"0%"),IF(J1266&gt;#REF!*H1266,"Timpang &gt;"&amp;TEXT(#REF!,"0%"),"Wajar")))</f>
        <v>#REF!</v>
      </c>
      <c r="L1266" s="2391">
        <v>110227.31999999999</v>
      </c>
      <c r="M1266" s="2391">
        <f t="shared" si="375"/>
        <v>3956719.8787199999</v>
      </c>
      <c r="N1266" s="2375">
        <f t="shared" si="376"/>
        <v>1.7283796836551268E-3</v>
      </c>
      <c r="O1266" s="2375">
        <v>0</v>
      </c>
      <c r="P1266" s="2396"/>
      <c r="Q1266" s="2375">
        <f t="shared" si="371"/>
        <v>0</v>
      </c>
      <c r="R1266" s="2375">
        <f t="shared" si="367"/>
        <v>0</v>
      </c>
      <c r="S1266" s="2376"/>
      <c r="T1266" s="2376"/>
      <c r="U1266" s="2376"/>
      <c r="V1266" s="2376"/>
      <c r="W1266" s="2382">
        <f t="shared" si="364"/>
        <v>35.896000000000001</v>
      </c>
      <c r="X1266" s="2396" t="s">
        <v>117</v>
      </c>
      <c r="Y1266" s="2375">
        <f t="shared" si="372"/>
        <v>110227.31999999999</v>
      </c>
      <c r="Z1266" s="2376"/>
      <c r="AA1266" s="2377"/>
    </row>
    <row r="1267" spans="1:27" ht="25" hidden="1" customHeight="1">
      <c r="A1267" s="2396">
        <f t="shared" si="377"/>
        <v>8</v>
      </c>
      <c r="B1267" s="2549" t="s">
        <v>841</v>
      </c>
      <c r="C1267" s="2858"/>
      <c r="D1267" s="2859"/>
      <c r="E1267" s="2863">
        <f>'14. Vol Genset'!$M$247</f>
        <v>10.768800000000001</v>
      </c>
      <c r="F1267" s="2396" t="s">
        <v>89</v>
      </c>
      <c r="G1267" s="2731">
        <v>90295.7</v>
      </c>
      <c r="H1267" s="2389">
        <f t="shared" si="373"/>
        <v>972376.33415999997</v>
      </c>
      <c r="I1267" s="2390">
        <f>'Resume Analisa'!$D$79</f>
        <v>91347.61</v>
      </c>
      <c r="J1267" s="2400">
        <f t="shared" si="374"/>
        <v>983704.14256800001</v>
      </c>
      <c r="K1267" s="2378" t="e">
        <f>IF(H1267=0,"",IF(J1267&lt;#REF!*H1267,"Timpang &lt;"&amp;TEXT(#REF!,"0%"),IF(J1267&gt;#REF!*H1267,"Timpang &gt;"&amp;TEXT(#REF!,"0%"),"Wajar")))</f>
        <v>#REF!</v>
      </c>
      <c r="L1267" s="2391">
        <v>91347.61</v>
      </c>
      <c r="M1267" s="2391">
        <f t="shared" si="375"/>
        <v>983704.14256800001</v>
      </c>
      <c r="N1267" s="2375">
        <f t="shared" si="376"/>
        <v>4.2970296277125824E-4</v>
      </c>
      <c r="O1267" s="2375">
        <v>0</v>
      </c>
      <c r="P1267" s="2396"/>
      <c r="Q1267" s="2375">
        <f t="shared" si="371"/>
        <v>0</v>
      </c>
      <c r="R1267" s="2375">
        <f t="shared" si="367"/>
        <v>0</v>
      </c>
      <c r="S1267" s="2376"/>
      <c r="T1267" s="2376"/>
      <c r="U1267" s="2376"/>
      <c r="V1267" s="2376"/>
      <c r="W1267" s="2382">
        <f t="shared" si="364"/>
        <v>10.768800000000001</v>
      </c>
      <c r="X1267" s="2396" t="s">
        <v>89</v>
      </c>
      <c r="Y1267" s="2375">
        <f t="shared" si="372"/>
        <v>91347.61</v>
      </c>
      <c r="Z1267" s="2376"/>
      <c r="AA1267" s="2377"/>
    </row>
    <row r="1268" spans="1:27" ht="25" hidden="1" customHeight="1">
      <c r="A1268" s="2398">
        <f t="shared" si="377"/>
        <v>9</v>
      </c>
      <c r="B1268" s="2865" t="s">
        <v>842</v>
      </c>
      <c r="C1268" s="2858"/>
      <c r="D1268" s="2859"/>
      <c r="E1268" s="2863">
        <f>'14. Vol Genset'!$M$248</f>
        <v>4.6437999999999997</v>
      </c>
      <c r="F1268" s="2396" t="s">
        <v>89</v>
      </c>
      <c r="G1268" s="2731">
        <v>1267704.3999999999</v>
      </c>
      <c r="H1268" s="2389">
        <f t="shared" si="373"/>
        <v>5886965.6927199988</v>
      </c>
      <c r="I1268" s="2872">
        <f>'Resume Analisa'!$D$117</f>
        <v>1257016.3</v>
      </c>
      <c r="J1268" s="2870">
        <f t="shared" si="374"/>
        <v>5837332.2939400002</v>
      </c>
      <c r="K1268" s="2378" t="e">
        <f>IF(H1268=0,"",IF(J1268&lt;#REF!*H1268,"Timpang &lt;"&amp;TEXT(#REF!,"0%"),IF(J1268&gt;#REF!*H1268,"Timpang &gt;"&amp;TEXT(#REF!,"0%"),"Wajar")))</f>
        <v>#REF!</v>
      </c>
      <c r="L1268" s="2391">
        <v>1257016.3</v>
      </c>
      <c r="M1268" s="2391">
        <f t="shared" si="375"/>
        <v>5837332.2939400002</v>
      </c>
      <c r="N1268" s="2375">
        <f t="shared" si="376"/>
        <v>2.5498713209017232E-3</v>
      </c>
      <c r="O1268" s="2375">
        <v>0</v>
      </c>
      <c r="P1268" s="2396"/>
      <c r="Q1268" s="2375">
        <f t="shared" si="371"/>
        <v>0</v>
      </c>
      <c r="R1268" s="2375">
        <f t="shared" si="367"/>
        <v>0</v>
      </c>
      <c r="S1268" s="2376"/>
      <c r="T1268" s="2376"/>
      <c r="U1268" s="2376"/>
      <c r="V1268" s="2376"/>
      <c r="W1268" s="2382">
        <f t="shared" si="364"/>
        <v>4.6437999999999997</v>
      </c>
      <c r="X1268" s="2396" t="s">
        <v>89</v>
      </c>
      <c r="Y1268" s="2375">
        <f t="shared" si="372"/>
        <v>1257016.3</v>
      </c>
      <c r="Z1268" s="2376"/>
      <c r="AA1268" s="2377"/>
    </row>
    <row r="1269" spans="1:27" ht="25" hidden="1" customHeight="1">
      <c r="A1269" s="2396">
        <f t="shared" si="377"/>
        <v>10</v>
      </c>
      <c r="B1269" s="2865" t="s">
        <v>843</v>
      </c>
      <c r="C1269" s="2858"/>
      <c r="D1269" s="2859"/>
      <c r="E1269" s="2863">
        <f>'14. Vol Genset'!$M$249</f>
        <v>2.4000000000000004</v>
      </c>
      <c r="F1269" s="2396" t="s">
        <v>89</v>
      </c>
      <c r="G1269" s="2731">
        <v>836626.15</v>
      </c>
      <c r="H1269" s="2389">
        <f t="shared" si="373"/>
        <v>2007902.7600000002</v>
      </c>
      <c r="I1269" s="2872">
        <f>'Resume Analisa'!$D$115</f>
        <v>805443.49</v>
      </c>
      <c r="J1269" s="2870">
        <f t="shared" si="374"/>
        <v>1933064.3760000002</v>
      </c>
      <c r="K1269" s="2378" t="e">
        <f>IF(H1269=0,"",IF(J1269&lt;#REF!*H1269,"Timpang &lt;"&amp;TEXT(#REF!,"0%"),IF(J1269&gt;#REF!*H1269,"Timpang &gt;"&amp;TEXT(#REF!,"0%"),"Wajar")))</f>
        <v>#REF!</v>
      </c>
      <c r="L1269" s="2391">
        <v>805443.49</v>
      </c>
      <c r="M1269" s="2391">
        <f t="shared" si="375"/>
        <v>1933064.3760000002</v>
      </c>
      <c r="N1269" s="2375">
        <f t="shared" si="376"/>
        <v>8.4440377309619207E-4</v>
      </c>
      <c r="O1269" s="2375">
        <v>0</v>
      </c>
      <c r="P1269" s="2396"/>
      <c r="Q1269" s="2375">
        <f t="shared" si="371"/>
        <v>0</v>
      </c>
      <c r="R1269" s="2375">
        <f t="shared" si="367"/>
        <v>0</v>
      </c>
      <c r="S1269" s="2376"/>
      <c r="T1269" s="2376"/>
      <c r="U1269" s="2376"/>
      <c r="V1269" s="2376"/>
      <c r="W1269" s="2382">
        <f t="shared" si="364"/>
        <v>2.4000000000000004</v>
      </c>
      <c r="X1269" s="2396" t="s">
        <v>89</v>
      </c>
      <c r="Y1269" s="2375">
        <f t="shared" si="372"/>
        <v>805443.49</v>
      </c>
      <c r="Z1269" s="2376"/>
      <c r="AA1269" s="2377"/>
    </row>
    <row r="1270" spans="1:27" ht="25" hidden="1" customHeight="1">
      <c r="A1270" s="2396">
        <f t="shared" si="377"/>
        <v>11</v>
      </c>
      <c r="B1270" s="2865" t="s">
        <v>844</v>
      </c>
      <c r="C1270" s="2858"/>
      <c r="D1270" s="2859"/>
      <c r="E1270" s="2863">
        <f>'14. Vol Genset'!$M$251</f>
        <v>115.64219999999999</v>
      </c>
      <c r="F1270" s="2396" t="s">
        <v>89</v>
      </c>
      <c r="G1270" s="2731">
        <v>94527.7</v>
      </c>
      <c r="H1270" s="2389">
        <f t="shared" si="373"/>
        <v>10931391.188939998</v>
      </c>
      <c r="I1270" s="2872">
        <f>'Resume Analisa'!$D$80</f>
        <v>93087.909999999989</v>
      </c>
      <c r="J1270" s="2870">
        <f t="shared" si="374"/>
        <v>10764890.705801997</v>
      </c>
      <c r="K1270" s="2378" t="e">
        <f>IF(H1270=0,"",IF(J1270&lt;#REF!*H1270,"Timpang &lt;"&amp;TEXT(#REF!,"0%"),IF(J1270&gt;#REF!*H1270,"Timpang &gt;"&amp;TEXT(#REF!,"0%"),"Wajar")))</f>
        <v>#REF!</v>
      </c>
      <c r="L1270" s="2391">
        <v>93087.909999999989</v>
      </c>
      <c r="M1270" s="2391">
        <f t="shared" si="375"/>
        <v>10764890.705801997</v>
      </c>
      <c r="N1270" s="2375">
        <f t="shared" si="376"/>
        <v>4.7023339945649776E-3</v>
      </c>
      <c r="O1270" s="2375">
        <v>0</v>
      </c>
      <c r="P1270" s="2396"/>
      <c r="Q1270" s="2375">
        <f t="shared" si="371"/>
        <v>0</v>
      </c>
      <c r="R1270" s="2375">
        <f t="shared" si="367"/>
        <v>0</v>
      </c>
      <c r="S1270" s="2376"/>
      <c r="T1270" s="2376"/>
      <c r="U1270" s="2376"/>
      <c r="V1270" s="2376"/>
      <c r="W1270" s="2382">
        <f t="shared" si="364"/>
        <v>115.64219999999999</v>
      </c>
      <c r="X1270" s="2396" t="s">
        <v>89</v>
      </c>
      <c r="Y1270" s="2375">
        <f t="shared" si="372"/>
        <v>93087.909999999989</v>
      </c>
      <c r="Z1270" s="2376"/>
      <c r="AA1270" s="2377"/>
    </row>
    <row r="1271" spans="1:27" s="331" customFormat="1" ht="36" hidden="1" customHeight="1">
      <c r="A1271" s="2398">
        <f t="shared" si="377"/>
        <v>12</v>
      </c>
      <c r="B1271" s="3193" t="s">
        <v>676</v>
      </c>
      <c r="C1271" s="3194"/>
      <c r="D1271" s="3195"/>
      <c r="E1271" s="2397">
        <v>1</v>
      </c>
      <c r="F1271" s="2398" t="s">
        <v>360</v>
      </c>
      <c r="G1271" s="2389">
        <v>2176018.5</v>
      </c>
      <c r="H1271" s="2389">
        <f t="shared" si="373"/>
        <v>2176018.5</v>
      </c>
      <c r="I1271" s="2480">
        <f>'Resume Analisa'!$D$98</f>
        <v>2096360.01</v>
      </c>
      <c r="J1271" s="2480">
        <f>I1271*E1271</f>
        <v>2096360.01</v>
      </c>
      <c r="K1271" s="2378" t="e">
        <f>IF(H1271=0,"",IF(J1271&lt;#REF!*H1271,"Timpang &lt;"&amp;TEXT(#REF!,"0%"),IF(J1271&gt;#REF!*H1271,"Timpang &gt;"&amp;TEXT(#REF!,"0%"),"Wajar")))</f>
        <v>#REF!</v>
      </c>
      <c r="L1271" s="2391">
        <v>2096360.01</v>
      </c>
      <c r="M1271" s="2391">
        <f t="shared" si="375"/>
        <v>2096360.01</v>
      </c>
      <c r="N1271" s="2375">
        <f t="shared" si="376"/>
        <v>9.157347909307138E-4</v>
      </c>
      <c r="O1271" s="2375">
        <v>0</v>
      </c>
      <c r="P1271" s="2398"/>
      <c r="Q1271" s="2375">
        <f t="shared" si="371"/>
        <v>0</v>
      </c>
      <c r="R1271" s="2375">
        <f t="shared" si="367"/>
        <v>0</v>
      </c>
      <c r="S1271" s="2376"/>
      <c r="T1271" s="2376"/>
      <c r="U1271" s="2376"/>
      <c r="V1271" s="2376"/>
      <c r="W1271" s="2382">
        <f t="shared" si="364"/>
        <v>1</v>
      </c>
      <c r="X1271" s="2398" t="s">
        <v>360</v>
      </c>
      <c r="Y1271" s="2375">
        <f t="shared" si="372"/>
        <v>2096360.01</v>
      </c>
      <c r="Z1271" s="2376"/>
      <c r="AA1271" s="2876"/>
    </row>
    <row r="1272" spans="1:27" s="331" customFormat="1" ht="49" hidden="1" customHeight="1">
      <c r="A1272" s="2398">
        <f t="shared" si="377"/>
        <v>13</v>
      </c>
      <c r="B1272" s="3193" t="s">
        <v>845</v>
      </c>
      <c r="C1272" s="3194"/>
      <c r="D1272" s="3195"/>
      <c r="E1272" s="2397">
        <v>11</v>
      </c>
      <c r="F1272" s="2398" t="s">
        <v>124</v>
      </c>
      <c r="G1272" s="2389">
        <v>276000</v>
      </c>
      <c r="H1272" s="2389">
        <f t="shared" si="373"/>
        <v>3036000</v>
      </c>
      <c r="I1272" s="2480">
        <f>'Resume Analisa'!$D$101</f>
        <v>279522.94</v>
      </c>
      <c r="J1272" s="2480">
        <f>I1272*E1272</f>
        <v>3074752.34</v>
      </c>
      <c r="K1272" s="2378" t="e">
        <f>IF(H1272=0,"",IF(J1272&lt;#REF!*H1272,"Timpang &lt;"&amp;TEXT(#REF!,"0%"),IF(J1272&gt;#REF!*H1272,"Timpang &gt;"&amp;TEXT(#REF!,"0%"),"Wajar")))</f>
        <v>#REF!</v>
      </c>
      <c r="L1272" s="2391">
        <v>279522.94</v>
      </c>
      <c r="M1272" s="2391">
        <f t="shared" si="375"/>
        <v>3074752.34</v>
      </c>
      <c r="N1272" s="2375">
        <f t="shared" si="376"/>
        <v>1.3431174406125133E-3</v>
      </c>
      <c r="O1272" s="2375">
        <v>0</v>
      </c>
      <c r="P1272" s="2398"/>
      <c r="Q1272" s="2375">
        <f t="shared" si="371"/>
        <v>0</v>
      </c>
      <c r="R1272" s="2375">
        <f t="shared" si="367"/>
        <v>0</v>
      </c>
      <c r="S1272" s="2376"/>
      <c r="T1272" s="2376"/>
      <c r="U1272" s="2376"/>
      <c r="V1272" s="2376"/>
      <c r="W1272" s="2382">
        <f t="shared" si="364"/>
        <v>11</v>
      </c>
      <c r="X1272" s="2398" t="s">
        <v>124</v>
      </c>
      <c r="Y1272" s="2375">
        <f t="shared" si="372"/>
        <v>279522.94</v>
      </c>
      <c r="Z1272" s="2376"/>
      <c r="AA1272" s="2876"/>
    </row>
    <row r="1273" spans="1:27" ht="25" hidden="1" customHeight="1">
      <c r="A1273" s="2398">
        <f t="shared" si="377"/>
        <v>14</v>
      </c>
      <c r="B1273" s="2549" t="s">
        <v>458</v>
      </c>
      <c r="C1273" s="2550"/>
      <c r="D1273" s="2551"/>
      <c r="E1273" s="2397">
        <f>'14. Vol Genset'!$M$252</f>
        <v>6</v>
      </c>
      <c r="F1273" s="2398" t="s">
        <v>357</v>
      </c>
      <c r="G1273" s="2731">
        <v>464132.64</v>
      </c>
      <c r="H1273" s="2389">
        <f t="shared" si="373"/>
        <v>2784795.84</v>
      </c>
      <c r="I1273" s="2390">
        <f>'Resume Analisa'!$D$133</f>
        <v>479653.13</v>
      </c>
      <c r="J1273" s="2400">
        <f t="shared" ref="J1273:J1278" si="378">E1273*I1273</f>
        <v>2877918.7800000003</v>
      </c>
      <c r="K1273" s="2378" t="e">
        <f>IF(H1273=0,"",IF(J1273&lt;#REF!*H1273,"Timpang &lt;"&amp;TEXT(#REF!,"0%"),IF(J1273&gt;#REF!*H1273,"Timpang &gt;"&amp;TEXT(#REF!,"0%"),"Wajar")))</f>
        <v>#REF!</v>
      </c>
      <c r="L1273" s="2391">
        <v>479653.13</v>
      </c>
      <c r="M1273" s="2391">
        <f t="shared" si="375"/>
        <v>2877918.7800000003</v>
      </c>
      <c r="N1273" s="2375">
        <f t="shared" si="376"/>
        <v>1.2571363409660133E-3</v>
      </c>
      <c r="O1273" s="2375">
        <v>0</v>
      </c>
      <c r="P1273" s="2398"/>
      <c r="Q1273" s="2375">
        <f t="shared" si="371"/>
        <v>0</v>
      </c>
      <c r="R1273" s="2375">
        <f t="shared" si="367"/>
        <v>0</v>
      </c>
      <c r="S1273" s="2376"/>
      <c r="T1273" s="2376"/>
      <c r="U1273" s="2376"/>
      <c r="V1273" s="2376"/>
      <c r="W1273" s="2382">
        <f t="shared" si="364"/>
        <v>6</v>
      </c>
      <c r="X1273" s="2398" t="s">
        <v>357</v>
      </c>
      <c r="Y1273" s="2375">
        <f t="shared" si="372"/>
        <v>479653.13</v>
      </c>
      <c r="Z1273" s="2376"/>
      <c r="AA1273" s="2377"/>
    </row>
    <row r="1274" spans="1:27" ht="25" hidden="1" customHeight="1">
      <c r="A1274" s="2396">
        <f t="shared" si="377"/>
        <v>15</v>
      </c>
      <c r="B1274" s="2549" t="s">
        <v>718</v>
      </c>
      <c r="C1274" s="2550"/>
      <c r="D1274" s="2551"/>
      <c r="E1274" s="2397">
        <f>'14. Vol Genset'!$M$253</f>
        <v>4</v>
      </c>
      <c r="F1274" s="2398" t="s">
        <v>357</v>
      </c>
      <c r="G1274" s="2731">
        <v>417766.37</v>
      </c>
      <c r="H1274" s="2389">
        <f t="shared" si="373"/>
        <v>1671065.48</v>
      </c>
      <c r="I1274" s="2390">
        <f>'Resume Analisa'!$D$93</f>
        <v>397154.38</v>
      </c>
      <c r="J1274" s="2400">
        <f t="shared" si="378"/>
        <v>1588617.52</v>
      </c>
      <c r="K1274" s="2378" t="e">
        <f>IF(H1274=0,"",IF(J1274&lt;#REF!*H1274,"Timpang &lt;"&amp;TEXT(#REF!,"0%"),IF(J1274&gt;#REF!*H1274,"Timpang &gt;"&amp;TEXT(#REF!,"0%"),"Wajar")))</f>
        <v>#REF!</v>
      </c>
      <c r="L1274" s="2391">
        <v>397154.38</v>
      </c>
      <c r="M1274" s="2391">
        <f t="shared" si="375"/>
        <v>1588617.52</v>
      </c>
      <c r="N1274" s="2375">
        <f t="shared" si="376"/>
        <v>6.9394203553142049E-4</v>
      </c>
      <c r="O1274" s="2375">
        <v>0</v>
      </c>
      <c r="P1274" s="2398"/>
      <c r="Q1274" s="2375">
        <f t="shared" si="371"/>
        <v>0</v>
      </c>
      <c r="R1274" s="2375">
        <f t="shared" si="367"/>
        <v>0</v>
      </c>
      <c r="S1274" s="2376"/>
      <c r="T1274" s="2376"/>
      <c r="U1274" s="2376"/>
      <c r="V1274" s="2376"/>
      <c r="W1274" s="2382">
        <f t="shared" si="364"/>
        <v>4</v>
      </c>
      <c r="X1274" s="2398" t="s">
        <v>357</v>
      </c>
      <c r="Y1274" s="2375">
        <f t="shared" si="372"/>
        <v>397154.38</v>
      </c>
      <c r="Z1274" s="2376"/>
      <c r="AA1274" s="2377"/>
    </row>
    <row r="1275" spans="1:27" ht="25" hidden="1" customHeight="1">
      <c r="A1275" s="2396">
        <f t="shared" si="377"/>
        <v>16</v>
      </c>
      <c r="B1275" s="2595" t="s">
        <v>846</v>
      </c>
      <c r="C1275" s="2550"/>
      <c r="D1275" s="2551"/>
      <c r="E1275" s="2397">
        <f>'14. Vol Genset'!$M$254</f>
        <v>1</v>
      </c>
      <c r="F1275" s="2398" t="s">
        <v>357</v>
      </c>
      <c r="G1275" s="2731">
        <v>68649.25</v>
      </c>
      <c r="H1275" s="2389">
        <f t="shared" si="373"/>
        <v>68649.25</v>
      </c>
      <c r="I1275" s="2390">
        <f>'Resume Analisa'!$D$144</f>
        <v>67408.72</v>
      </c>
      <c r="J1275" s="2400">
        <f t="shared" si="378"/>
        <v>67408.72</v>
      </c>
      <c r="K1275" s="2378" t="e">
        <f>IF(H1275=0,"",IF(J1275&lt;#REF!*H1275,"Timpang &lt;"&amp;TEXT(#REF!,"0%"),IF(J1275&gt;#REF!*H1275,"Timpang &gt;"&amp;TEXT(#REF!,"0%"),"Wajar")))</f>
        <v>#REF!</v>
      </c>
      <c r="L1275" s="2391">
        <v>67408.72</v>
      </c>
      <c r="M1275" s="2391">
        <f t="shared" si="375"/>
        <v>67408.72</v>
      </c>
      <c r="N1275" s="2375">
        <f t="shared" si="376"/>
        <v>2.9445567470115511E-5</v>
      </c>
      <c r="O1275" s="2375">
        <v>0</v>
      </c>
      <c r="P1275" s="2398"/>
      <c r="Q1275" s="2375">
        <f t="shared" si="371"/>
        <v>0</v>
      </c>
      <c r="R1275" s="2375">
        <f t="shared" si="367"/>
        <v>0</v>
      </c>
      <c r="S1275" s="2376"/>
      <c r="T1275" s="2376"/>
      <c r="U1275" s="2376"/>
      <c r="V1275" s="2376"/>
      <c r="W1275" s="2382">
        <f t="shared" si="364"/>
        <v>1</v>
      </c>
      <c r="X1275" s="2398" t="s">
        <v>357</v>
      </c>
      <c r="Y1275" s="2375">
        <f t="shared" si="372"/>
        <v>67408.72</v>
      </c>
      <c r="Z1275" s="2376"/>
      <c r="AA1275" s="2377"/>
    </row>
    <row r="1276" spans="1:27" ht="25" hidden="1" customHeight="1">
      <c r="A1276" s="2396">
        <f t="shared" si="377"/>
        <v>17</v>
      </c>
      <c r="B1276" s="2595" t="s">
        <v>615</v>
      </c>
      <c r="C1276" s="2550"/>
      <c r="D1276" s="2551"/>
      <c r="E1276" s="2397">
        <f>'14. Vol Genset'!$M$255</f>
        <v>4</v>
      </c>
      <c r="F1276" s="2398" t="s">
        <v>357</v>
      </c>
      <c r="G1276" s="2731">
        <v>91426.5</v>
      </c>
      <c r="H1276" s="2389">
        <f t="shared" si="373"/>
        <v>365706</v>
      </c>
      <c r="I1276" s="2465">
        <f>'Resume Analisa'!$D$145</f>
        <v>89074.98</v>
      </c>
      <c r="J1276" s="2400">
        <f t="shared" si="378"/>
        <v>356299.92</v>
      </c>
      <c r="K1276" s="2378" t="e">
        <f>IF(H1276=0,"",IF(J1276&lt;#REF!*H1276,"Timpang &lt;"&amp;TEXT(#REF!,"0%"),IF(J1276&gt;#REF!*H1276,"Timpang &gt;"&amp;TEXT(#REF!,"0%"),"Wajar")))</f>
        <v>#REF!</v>
      </c>
      <c r="L1276" s="2391">
        <v>89074.98</v>
      </c>
      <c r="M1276" s="2391">
        <f t="shared" si="375"/>
        <v>356299.92</v>
      </c>
      <c r="N1276" s="2375">
        <f t="shared" si="376"/>
        <v>1.5563940887702301E-4</v>
      </c>
      <c r="O1276" s="2375">
        <v>0</v>
      </c>
      <c r="P1276" s="2398"/>
      <c r="Q1276" s="2375">
        <f t="shared" si="371"/>
        <v>0</v>
      </c>
      <c r="R1276" s="2375">
        <f t="shared" si="367"/>
        <v>0</v>
      </c>
      <c r="S1276" s="2376"/>
      <c r="T1276" s="2376"/>
      <c r="U1276" s="2376"/>
      <c r="V1276" s="2376"/>
      <c r="W1276" s="2382">
        <f t="shared" si="364"/>
        <v>4</v>
      </c>
      <c r="X1276" s="2398" t="s">
        <v>357</v>
      </c>
      <c r="Y1276" s="2375">
        <f t="shared" si="372"/>
        <v>89074.98</v>
      </c>
      <c r="Z1276" s="2376"/>
      <c r="AA1276" s="2377"/>
    </row>
    <row r="1277" spans="1:27" s="331" customFormat="1" ht="25" hidden="1" customHeight="1">
      <c r="A1277" s="2396">
        <f t="shared" si="377"/>
        <v>18</v>
      </c>
      <c r="B1277" s="2549" t="s">
        <v>547</v>
      </c>
      <c r="C1277" s="2550"/>
      <c r="D1277" s="2551"/>
      <c r="E1277" s="2397">
        <f>'14. Vol Genset'!$M$256</f>
        <v>6</v>
      </c>
      <c r="F1277" s="2398" t="s">
        <v>124</v>
      </c>
      <c r="G1277" s="2389">
        <v>146579</v>
      </c>
      <c r="H1277" s="2389">
        <f t="shared" si="373"/>
        <v>879474</v>
      </c>
      <c r="I1277" s="2465">
        <f>'Resume Analisa'!$D$148</f>
        <v>142838.90000000002</v>
      </c>
      <c r="J1277" s="2567">
        <f t="shared" si="378"/>
        <v>857033.40000000014</v>
      </c>
      <c r="K1277" s="2378" t="e">
        <f>IF(H1277=0,"",IF(J1277&lt;#REF!*H1277,"Timpang &lt;"&amp;TEXT(#REF!,"0%"),IF(J1277&gt;#REF!*H1277,"Timpang &gt;"&amp;TEXT(#REF!,"0%"),"Wajar")))</f>
        <v>#REF!</v>
      </c>
      <c r="L1277" s="2391">
        <v>142838.90000000002</v>
      </c>
      <c r="M1277" s="2391">
        <f t="shared" si="375"/>
        <v>857033.40000000014</v>
      </c>
      <c r="N1277" s="2375">
        <f t="shared" si="376"/>
        <v>3.7437047912855336E-4</v>
      </c>
      <c r="O1277" s="2375">
        <v>0</v>
      </c>
      <c r="P1277" s="2398"/>
      <c r="Q1277" s="2375">
        <f t="shared" si="371"/>
        <v>0</v>
      </c>
      <c r="R1277" s="2375">
        <f t="shared" si="367"/>
        <v>0</v>
      </c>
      <c r="S1277" s="2376"/>
      <c r="T1277" s="2376"/>
      <c r="U1277" s="2376"/>
      <c r="V1277" s="2376"/>
      <c r="W1277" s="2382">
        <f t="shared" si="364"/>
        <v>6</v>
      </c>
      <c r="X1277" s="2398" t="s">
        <v>124</v>
      </c>
      <c r="Y1277" s="2375">
        <f t="shared" si="372"/>
        <v>142838.90000000002</v>
      </c>
      <c r="Z1277" s="2376"/>
      <c r="AA1277" s="2876"/>
    </row>
    <row r="1278" spans="1:27" ht="25" hidden="1" customHeight="1">
      <c r="A1278" s="2396">
        <f t="shared" si="377"/>
        <v>19</v>
      </c>
      <c r="B1278" s="2887" t="s">
        <v>847</v>
      </c>
      <c r="C1278" s="2550"/>
      <c r="D1278" s="2733"/>
      <c r="E1278" s="2397">
        <f>'14. Vol Genset'!$M$257</f>
        <v>1</v>
      </c>
      <c r="F1278" s="2398" t="s">
        <v>124</v>
      </c>
      <c r="G1278" s="2731">
        <v>4200000</v>
      </c>
      <c r="H1278" s="2389">
        <f t="shared" si="373"/>
        <v>4200000</v>
      </c>
      <c r="I1278" s="2390">
        <v>4200000</v>
      </c>
      <c r="J1278" s="2400">
        <f t="shared" si="378"/>
        <v>4200000</v>
      </c>
      <c r="K1278" s="2378" t="e">
        <f>IF(H1278=0,"",IF(J1278&lt;#REF!*H1278,"Timpang &lt;"&amp;TEXT(#REF!,"0%"),IF(J1278&gt;#REF!*H1278,"Timpang &gt;"&amp;TEXT(#REF!,"0%"),"Wajar")))</f>
        <v>#REF!</v>
      </c>
      <c r="L1278" s="2391">
        <v>4200000</v>
      </c>
      <c r="M1278" s="2391">
        <f t="shared" si="375"/>
        <v>4200000</v>
      </c>
      <c r="N1278" s="2375">
        <f t="shared" si="376"/>
        <v>1.83464963248798E-3</v>
      </c>
      <c r="O1278" s="2375">
        <v>0</v>
      </c>
      <c r="P1278" s="2398"/>
      <c r="Q1278" s="2375">
        <f t="shared" si="371"/>
        <v>0</v>
      </c>
      <c r="R1278" s="2375">
        <f t="shared" si="367"/>
        <v>0</v>
      </c>
      <c r="S1278" s="2376"/>
      <c r="T1278" s="2376"/>
      <c r="U1278" s="2376"/>
      <c r="V1278" s="2376"/>
      <c r="W1278" s="2382">
        <f t="shared" si="364"/>
        <v>1</v>
      </c>
      <c r="X1278" s="2398" t="s">
        <v>124</v>
      </c>
      <c r="Y1278" s="2375">
        <f t="shared" si="372"/>
        <v>4200000</v>
      </c>
      <c r="Z1278" s="2376"/>
      <c r="AA1278" s="2377"/>
    </row>
    <row r="1279" spans="1:27" ht="25" hidden="1" customHeight="1">
      <c r="A1279" s="2396"/>
      <c r="B1279" s="2865"/>
      <c r="C1279" s="2858"/>
      <c r="D1279" s="2733" t="s">
        <v>376</v>
      </c>
      <c r="E1279" s="2883"/>
      <c r="F1279" s="2869"/>
      <c r="G1279" s="2786"/>
      <c r="H1279" s="2546">
        <f>SUM(H1256:H1278)</f>
        <v>116914313.43499982</v>
      </c>
      <c r="I1279" s="2884"/>
      <c r="J1279" s="2885">
        <f>SUM(J1256:J1278)</f>
        <v>115391559.39014018</v>
      </c>
      <c r="K1279" s="2546"/>
      <c r="L1279" s="2457"/>
      <c r="M1279" s="2457">
        <f>SUM(M1256:M1278)</f>
        <v>115391559.39014018</v>
      </c>
      <c r="N1279" s="2375">
        <f t="shared" si="376"/>
        <v>5.0405495720794183E-2</v>
      </c>
      <c r="O1279" s="2375">
        <v>0</v>
      </c>
      <c r="P1279" s="2869"/>
      <c r="Q1279" s="2375">
        <f t="shared" si="371"/>
        <v>0</v>
      </c>
      <c r="R1279" s="2375">
        <f t="shared" si="367"/>
        <v>0</v>
      </c>
      <c r="S1279" s="2886"/>
      <c r="T1279" s="2886"/>
      <c r="U1279" s="2886"/>
      <c r="V1279" s="2886"/>
      <c r="W1279" s="2382">
        <f t="shared" si="364"/>
        <v>0</v>
      </c>
      <c r="X1279" s="2869"/>
      <c r="Y1279" s="2375">
        <f t="shared" si="372"/>
        <v>0</v>
      </c>
      <c r="Z1279" s="2886"/>
      <c r="AA1279" s="2377"/>
    </row>
    <row r="1280" spans="1:27" ht="25" customHeight="1">
      <c r="A1280" s="2697" t="s">
        <v>512</v>
      </c>
      <c r="B1280" s="2795" t="s">
        <v>848</v>
      </c>
      <c r="C1280" s="2674"/>
      <c r="D1280" s="2675"/>
      <c r="E1280" s="2796"/>
      <c r="F1280" s="2796"/>
      <c r="G1280" s="2372"/>
      <c r="H1280" s="2372"/>
      <c r="I1280" s="2796"/>
      <c r="J1280" s="2796"/>
      <c r="K1280" s="2372"/>
      <c r="L1280" s="2391"/>
      <c r="M1280" s="2391"/>
      <c r="N1280" s="2375"/>
      <c r="O1280" s="2375"/>
      <c r="P1280" s="2796"/>
      <c r="Q1280" s="2375"/>
      <c r="R1280" s="2375"/>
      <c r="S1280" s="2848"/>
      <c r="T1280" s="2848"/>
      <c r="U1280" s="2848"/>
      <c r="V1280" s="2848"/>
      <c r="W1280" s="2382"/>
      <c r="X1280" s="2796"/>
      <c r="Y1280" s="2375">
        <f t="shared" si="372"/>
        <v>0</v>
      </c>
      <c r="Z1280" s="2848"/>
      <c r="AA1280" s="2377"/>
    </row>
    <row r="1281" spans="1:27" ht="25" customHeight="1">
      <c r="A1281" s="2697" t="s">
        <v>1192</v>
      </c>
      <c r="B1281" s="2795" t="s">
        <v>849</v>
      </c>
      <c r="C1281" s="2674"/>
      <c r="D1281" s="2675"/>
      <c r="E1281" s="2676"/>
      <c r="F1281" s="2590"/>
      <c r="G1281" s="2389"/>
      <c r="H1281" s="2372"/>
      <c r="I1281" s="2700"/>
      <c r="J1281" s="2796"/>
      <c r="K1281" s="2372"/>
      <c r="L1281" s="2391"/>
      <c r="M1281" s="2391"/>
      <c r="N1281" s="2375"/>
      <c r="O1281" s="2375"/>
      <c r="P1281" s="2590"/>
      <c r="Q1281" s="2375"/>
      <c r="R1281" s="2375"/>
      <c r="S1281" s="2848"/>
      <c r="T1281" s="2848"/>
      <c r="U1281" s="2848"/>
      <c r="V1281" s="2848"/>
      <c r="W1281" s="2382"/>
      <c r="X1281" s="2590"/>
      <c r="Y1281" s="2375">
        <f t="shared" si="372"/>
        <v>0</v>
      </c>
      <c r="Z1281" s="2848"/>
      <c r="AA1281" s="2377"/>
    </row>
    <row r="1282" spans="1:27" ht="25" customHeight="1">
      <c r="A1282" s="2590">
        <v>1</v>
      </c>
      <c r="B1282" s="2379" t="s">
        <v>850</v>
      </c>
      <c r="C1282" s="2674"/>
      <c r="D1282" s="2675"/>
      <c r="E1282" s="2638">
        <f>'10. Vol Saluran+Jln'!$P$33</f>
        <v>100</v>
      </c>
      <c r="F1282" s="2383" t="s">
        <v>117</v>
      </c>
      <c r="G1282" s="2389">
        <v>4393</v>
      </c>
      <c r="H1282" s="2389">
        <f t="shared" ref="H1282:H1290" si="379">E1282*G1282</f>
        <v>439300</v>
      </c>
      <c r="I1282" s="2465">
        <f>'Resume Analisa'!$D$10</f>
        <v>4395.47</v>
      </c>
      <c r="J1282" s="2779">
        <f>I1282*E1282</f>
        <v>439547</v>
      </c>
      <c r="K1282" s="2378" t="e">
        <f>IF(H1282=0,"",IF(J1282&lt;#REF!*H1282,"Timpang &lt;"&amp;TEXT(#REF!,"0%"),IF(J1282&gt;#REF!*H1282,"Timpang &gt;"&amp;TEXT(#REF!,"0%"),"Wajar")))</f>
        <v>#REF!</v>
      </c>
      <c r="L1282" s="2391">
        <v>4395.47</v>
      </c>
      <c r="M1282" s="2391">
        <f t="shared" ref="M1282:M1290" si="380">E1282*L1282</f>
        <v>439547</v>
      </c>
      <c r="N1282" s="2375">
        <f t="shared" ref="N1282:N1307" si="381">M1282/$M$8*100</f>
        <v>1.9200351000266527E-2</v>
      </c>
      <c r="O1282" s="2375">
        <v>0</v>
      </c>
      <c r="P1282" s="2383"/>
      <c r="Q1282" s="2375">
        <f t="shared" si="371"/>
        <v>0</v>
      </c>
      <c r="R1282" s="2375">
        <f t="shared" ref="R1282:R1313" si="382">Q1282/$M$8*100</f>
        <v>0</v>
      </c>
      <c r="S1282" s="2375">
        <v>74.680000000000007</v>
      </c>
      <c r="T1282" s="2383" t="s">
        <v>117</v>
      </c>
      <c r="U1282" s="2375">
        <f>S1282*L1282</f>
        <v>328253.69960000005</v>
      </c>
      <c r="V1282" s="2375">
        <f t="shared" ref="V1282:V1307" si="383">U1282/$M$8*100</f>
        <v>1.4338822126999044E-2</v>
      </c>
      <c r="W1282" s="2382">
        <f>E1282-S1282</f>
        <v>25.319999999999993</v>
      </c>
      <c r="X1282" s="2383" t="s">
        <v>117</v>
      </c>
      <c r="Y1282" s="2375">
        <f>W1282*L1282</f>
        <v>111293.30039999998</v>
      </c>
      <c r="Z1282" s="2375">
        <f t="shared" ref="Z1282:Z1307" si="384">Y1282/$M$8*100</f>
        <v>4.8615288732674839E-3</v>
      </c>
      <c r="AA1282" s="2377" t="s">
        <v>3371</v>
      </c>
    </row>
    <row r="1283" spans="1:27" ht="25" customHeight="1">
      <c r="A1283" s="2590">
        <f t="shared" ref="A1283:A1291" si="385">A1282+1</f>
        <v>2</v>
      </c>
      <c r="B1283" s="2379" t="s">
        <v>851</v>
      </c>
      <c r="C1283" s="2674"/>
      <c r="D1283" s="2675"/>
      <c r="E1283" s="2638">
        <f>'10. Vol Saluran+Jln'!$P$34</f>
        <v>80</v>
      </c>
      <c r="F1283" s="2383" t="s">
        <v>103</v>
      </c>
      <c r="G1283" s="2389">
        <v>50600</v>
      </c>
      <c r="H1283" s="2389">
        <f t="shared" si="379"/>
        <v>4048000</v>
      </c>
      <c r="I1283" s="2465">
        <f>'Resume Analisa'!$D$18</f>
        <v>49036.76</v>
      </c>
      <c r="J1283" s="2464">
        <f t="shared" ref="J1283:J1290" si="386">E1283*I1283</f>
        <v>3922940.8000000003</v>
      </c>
      <c r="K1283" s="2378" t="e">
        <f>IF(H1283=0,"",IF(J1283&lt;#REF!*H1283,"Timpang &lt;"&amp;TEXT(#REF!,"0%"),IF(J1283&gt;#REF!*H1283,"Timpang &gt;"&amp;TEXT(#REF!,"0%"),"Wajar")))</f>
        <v>#REF!</v>
      </c>
      <c r="L1283" s="2391">
        <v>49036.76</v>
      </c>
      <c r="M1283" s="2391">
        <f t="shared" si="380"/>
        <v>3922940.8000000003</v>
      </c>
      <c r="N1283" s="2375">
        <f t="shared" si="381"/>
        <v>0.1713624261188596</v>
      </c>
      <c r="O1283" s="2375">
        <v>0</v>
      </c>
      <c r="P1283" s="2383"/>
      <c r="Q1283" s="2375">
        <f t="shared" si="371"/>
        <v>0</v>
      </c>
      <c r="R1283" s="2375">
        <f t="shared" si="382"/>
        <v>0</v>
      </c>
      <c r="S1283" s="2375">
        <v>59.739999999999995</v>
      </c>
      <c r="T1283" s="2383" t="s">
        <v>103</v>
      </c>
      <c r="U1283" s="2375">
        <f t="shared" ref="U1283:U1307" si="387">S1283*L1283</f>
        <v>2929456.0423999997</v>
      </c>
      <c r="V1283" s="2375">
        <f t="shared" si="383"/>
        <v>0.12796489170425837</v>
      </c>
      <c r="W1283" s="2382">
        <f t="shared" ref="W1283:W1307" si="388">E1283-S1283</f>
        <v>20.260000000000005</v>
      </c>
      <c r="X1283" s="2383" t="s">
        <v>103</v>
      </c>
      <c r="Y1283" s="2375">
        <f t="shared" ref="Y1283:Y1307" si="389">W1283*L1283</f>
        <v>993484.75760000024</v>
      </c>
      <c r="Z1283" s="2375">
        <f t="shared" si="384"/>
        <v>4.3397534414601195E-2</v>
      </c>
      <c r="AA1283" s="2377" t="s">
        <v>3371</v>
      </c>
    </row>
    <row r="1284" spans="1:27" ht="25" customHeight="1">
      <c r="A1284" s="2590">
        <f t="shared" si="385"/>
        <v>3</v>
      </c>
      <c r="B1284" s="2379" t="s">
        <v>852</v>
      </c>
      <c r="C1284" s="2674"/>
      <c r="D1284" s="2675"/>
      <c r="E1284" s="2638">
        <f>'10. Vol Saluran+Jln'!$P$35</f>
        <v>80</v>
      </c>
      <c r="F1284" s="2383" t="s">
        <v>103</v>
      </c>
      <c r="G1284" s="2389">
        <v>39847.5</v>
      </c>
      <c r="H1284" s="2389">
        <f t="shared" si="379"/>
        <v>3187800</v>
      </c>
      <c r="I1284" s="2465">
        <f>'Resume Analisa'!$D$31</f>
        <v>37946.620000000003</v>
      </c>
      <c r="J1284" s="2464">
        <f t="shared" si="386"/>
        <v>3035729.6</v>
      </c>
      <c r="K1284" s="2378" t="e">
        <f>IF(H1284=0,"",IF(J1284&lt;#REF!*H1284,"Timpang &lt;"&amp;TEXT(#REF!,"0%"),IF(J1284&gt;#REF!*H1284,"Timpang &gt;"&amp;TEXT(#REF!,"0%"),"Wajar")))</f>
        <v>#REF!</v>
      </c>
      <c r="L1284" s="2391">
        <v>37946.620000000003</v>
      </c>
      <c r="M1284" s="2391">
        <f t="shared" si="380"/>
        <v>3035729.6</v>
      </c>
      <c r="N1284" s="2375">
        <f t="shared" si="381"/>
        <v>0.13260714749935434</v>
      </c>
      <c r="O1284" s="2375">
        <v>0</v>
      </c>
      <c r="P1284" s="2383"/>
      <c r="Q1284" s="2375">
        <f t="shared" si="371"/>
        <v>0</v>
      </c>
      <c r="R1284" s="2375">
        <f t="shared" si="382"/>
        <v>0</v>
      </c>
      <c r="S1284" s="2375">
        <v>59.739999999999995</v>
      </c>
      <c r="T1284" s="2383" t="s">
        <v>103</v>
      </c>
      <c r="U1284" s="2375">
        <f t="shared" si="387"/>
        <v>2266931.0787999998</v>
      </c>
      <c r="V1284" s="2375">
        <f t="shared" si="383"/>
        <v>9.902438739514284E-2</v>
      </c>
      <c r="W1284" s="2382">
        <f t="shared" si="388"/>
        <v>20.260000000000005</v>
      </c>
      <c r="X1284" s="2383" t="s">
        <v>103</v>
      </c>
      <c r="Y1284" s="2375">
        <f t="shared" si="389"/>
        <v>768798.52120000019</v>
      </c>
      <c r="Z1284" s="2375">
        <f t="shared" si="384"/>
        <v>3.3582760104211497E-2</v>
      </c>
      <c r="AA1284" s="2377" t="s">
        <v>3371</v>
      </c>
    </row>
    <row r="1285" spans="1:27" ht="25" customHeight="1">
      <c r="A1285" s="2590">
        <f t="shared" si="385"/>
        <v>4</v>
      </c>
      <c r="B1285" s="2392" t="s">
        <v>853</v>
      </c>
      <c r="C1285" s="2888"/>
      <c r="D1285" s="2889"/>
      <c r="E1285" s="2638">
        <f>'10. Vol Saluran+Jln'!$P$39</f>
        <v>35</v>
      </c>
      <c r="F1285" s="2383" t="s">
        <v>103</v>
      </c>
      <c r="G1285" s="2389">
        <v>1224235.95</v>
      </c>
      <c r="H1285" s="2389">
        <f t="shared" si="379"/>
        <v>42848258.25</v>
      </c>
      <c r="I1285" s="2699">
        <f>'Resume Analisa'!$D$35</f>
        <v>1193268.75</v>
      </c>
      <c r="J1285" s="2464">
        <f t="shared" si="386"/>
        <v>41764406.25</v>
      </c>
      <c r="K1285" s="2378" t="e">
        <f>IF(H1285=0,"",IF(J1285&lt;#REF!*H1285,"Timpang &lt;"&amp;TEXT(#REF!,"0%"),IF(J1285&gt;#REF!*H1285,"Timpang &gt;"&amp;TEXT(#REF!,"0%"),"Wajar")))</f>
        <v>#REF!</v>
      </c>
      <c r="L1285" s="2391">
        <v>1193268.75</v>
      </c>
      <c r="M1285" s="2391">
        <f t="shared" si="380"/>
        <v>41764406.25</v>
      </c>
      <c r="N1285" s="2375">
        <f t="shared" si="381"/>
        <v>1.8243583947057427</v>
      </c>
      <c r="O1285" s="2375">
        <v>0</v>
      </c>
      <c r="P1285" s="2383"/>
      <c r="Q1285" s="2375">
        <f t="shared" si="371"/>
        <v>0</v>
      </c>
      <c r="R1285" s="2375">
        <f t="shared" si="382"/>
        <v>0</v>
      </c>
      <c r="S1285" s="2375">
        <v>26.14</v>
      </c>
      <c r="T1285" s="2383" t="s">
        <v>103</v>
      </c>
      <c r="U1285" s="2375">
        <f t="shared" si="387"/>
        <v>31192045.125</v>
      </c>
      <c r="V1285" s="2375">
        <f t="shared" si="383"/>
        <v>1.3625350982173747</v>
      </c>
      <c r="W1285" s="2382">
        <f t="shared" si="388"/>
        <v>8.86</v>
      </c>
      <c r="X1285" s="2383" t="s">
        <v>103</v>
      </c>
      <c r="Y1285" s="2375">
        <f t="shared" si="389"/>
        <v>10572361.125</v>
      </c>
      <c r="Z1285" s="2375">
        <f t="shared" si="384"/>
        <v>0.46182329648836795</v>
      </c>
      <c r="AA1285" s="2377" t="s">
        <v>3371</v>
      </c>
    </row>
    <row r="1286" spans="1:27" ht="25" customHeight="1">
      <c r="A1286" s="2590">
        <f t="shared" si="385"/>
        <v>5</v>
      </c>
      <c r="B1286" s="2392" t="s">
        <v>854</v>
      </c>
      <c r="C1286" s="2888"/>
      <c r="D1286" s="2889"/>
      <c r="E1286" s="2638">
        <f>'10. Vol Saluran+Jln'!$P$40</f>
        <v>3</v>
      </c>
      <c r="F1286" s="2383" t="s">
        <v>103</v>
      </c>
      <c r="G1286" s="2389">
        <v>1422226.08</v>
      </c>
      <c r="H1286" s="2389">
        <f t="shared" si="379"/>
        <v>4266678.24</v>
      </c>
      <c r="I1286" s="2465">
        <f>'Resume Analisa'!$D$54</f>
        <v>1384580.76</v>
      </c>
      <c r="J1286" s="2464">
        <f t="shared" si="386"/>
        <v>4153742.2800000003</v>
      </c>
      <c r="K1286" s="2378" t="e">
        <f>IF(H1286=0,"",IF(J1286&lt;#REF!*H1286,"Timpang &lt;"&amp;TEXT(#REF!,"0%"),IF(J1286&gt;#REF!*H1286,"Timpang &gt;"&amp;TEXT(#REF!,"0%"),"Wajar")))</f>
        <v>#REF!</v>
      </c>
      <c r="L1286" s="2391">
        <v>1384580.76</v>
      </c>
      <c r="M1286" s="2391">
        <f t="shared" si="380"/>
        <v>4153742.2800000003</v>
      </c>
      <c r="N1286" s="2375">
        <f t="shared" si="381"/>
        <v>0.1814443273202806</v>
      </c>
      <c r="O1286" s="2375">
        <v>0</v>
      </c>
      <c r="P1286" s="2383"/>
      <c r="Q1286" s="2375">
        <f t="shared" si="371"/>
        <v>0</v>
      </c>
      <c r="R1286" s="2375">
        <f t="shared" si="382"/>
        <v>0</v>
      </c>
      <c r="S1286" s="2375">
        <v>2.2400000000000002</v>
      </c>
      <c r="T1286" s="2383" t="s">
        <v>103</v>
      </c>
      <c r="U1286" s="2375">
        <f t="shared" si="387"/>
        <v>3101460.9024000005</v>
      </c>
      <c r="V1286" s="2375">
        <f t="shared" si="383"/>
        <v>0.13547843106580951</v>
      </c>
      <c r="W1286" s="2382">
        <f t="shared" si="388"/>
        <v>0.75999999999999979</v>
      </c>
      <c r="X1286" s="2383" t="s">
        <v>103</v>
      </c>
      <c r="Y1286" s="2375">
        <f t="shared" si="389"/>
        <v>1052281.3775999998</v>
      </c>
      <c r="Z1286" s="2375">
        <f t="shared" si="384"/>
        <v>4.5965896254471068E-2</v>
      </c>
      <c r="AA1286" s="2377" t="s">
        <v>3371</v>
      </c>
    </row>
    <row r="1287" spans="1:27" s="331" customFormat="1" ht="25" customHeight="1">
      <c r="A1287" s="2590">
        <f t="shared" si="385"/>
        <v>6</v>
      </c>
      <c r="B1287" s="2549" t="s">
        <v>855</v>
      </c>
      <c r="C1287" s="2550"/>
      <c r="D1287" s="2551"/>
      <c r="E1287" s="2397">
        <f>'10. Vol Saluran+Jln'!$P$41</f>
        <v>56.19</v>
      </c>
      <c r="F1287" s="2398" t="s">
        <v>117</v>
      </c>
      <c r="G1287" s="2389">
        <v>308539.25</v>
      </c>
      <c r="H1287" s="2389">
        <f t="shared" si="379"/>
        <v>17336820.4575</v>
      </c>
      <c r="I1287" s="2390">
        <f>'Resume Analisa'!$D$172</f>
        <v>314523.2</v>
      </c>
      <c r="J1287" s="2464">
        <f t="shared" si="386"/>
        <v>17673058.607999999</v>
      </c>
      <c r="K1287" s="2378" t="e">
        <f>IF(H1287=0,"",IF(J1287&lt;#REF!*H1287,"Timpang &lt;"&amp;TEXT(#REF!,"0%"),IF(J1287&gt;#REF!*H1287,"Timpang &gt;"&amp;TEXT(#REF!,"0%"),"Wajar")))</f>
        <v>#REF!</v>
      </c>
      <c r="L1287" s="2391">
        <v>314523.2</v>
      </c>
      <c r="M1287" s="2391">
        <f t="shared" si="380"/>
        <v>17673058.607999999</v>
      </c>
      <c r="N1287" s="2375">
        <f t="shared" si="381"/>
        <v>0.77199691619299349</v>
      </c>
      <c r="O1287" s="2375">
        <v>0</v>
      </c>
      <c r="P1287" s="2398"/>
      <c r="Q1287" s="2375">
        <f t="shared" si="371"/>
        <v>0</v>
      </c>
      <c r="R1287" s="2375">
        <f t="shared" si="382"/>
        <v>0</v>
      </c>
      <c r="S1287" s="2375">
        <v>41.32</v>
      </c>
      <c r="T1287" s="2398" t="s">
        <v>117</v>
      </c>
      <c r="U1287" s="2375">
        <f t="shared" si="387"/>
        <v>12996098.624</v>
      </c>
      <c r="V1287" s="2375">
        <f t="shared" si="383"/>
        <v>0.56769732295950337</v>
      </c>
      <c r="W1287" s="2382">
        <f t="shared" si="388"/>
        <v>14.869999999999997</v>
      </c>
      <c r="X1287" s="2398" t="s">
        <v>117</v>
      </c>
      <c r="Y1287" s="2375">
        <f t="shared" si="389"/>
        <v>4676959.9839999992</v>
      </c>
      <c r="Z1287" s="2375">
        <f t="shared" si="384"/>
        <v>0.20429959323349017</v>
      </c>
      <c r="AA1287" s="2377" t="s">
        <v>3371</v>
      </c>
    </row>
    <row r="1288" spans="1:27" ht="25" customHeight="1">
      <c r="A1288" s="2590">
        <f t="shared" si="385"/>
        <v>7</v>
      </c>
      <c r="B1288" s="2392" t="s">
        <v>856</v>
      </c>
      <c r="C1288" s="2888"/>
      <c r="D1288" s="2889"/>
      <c r="E1288" s="2638">
        <f>'10. Vol Saluran+Jln'!$P$45</f>
        <v>40</v>
      </c>
      <c r="F1288" s="2383" t="s">
        <v>89</v>
      </c>
      <c r="G1288" s="2389">
        <v>61230.840000000004</v>
      </c>
      <c r="H1288" s="2389">
        <f t="shared" si="379"/>
        <v>2449233.6</v>
      </c>
      <c r="I1288" s="2465">
        <f>'Resume Analisa'!$D$70</f>
        <v>58648.57</v>
      </c>
      <c r="J1288" s="2464">
        <f t="shared" si="386"/>
        <v>2345942.7999999998</v>
      </c>
      <c r="K1288" s="2378" t="e">
        <f>IF(H1288=0,"",IF(J1288&lt;#REF!*H1288,"Timpang &lt;"&amp;TEXT(#REF!,"0%"),IF(J1288&gt;#REF!*H1288,"Timpang &gt;"&amp;TEXT(#REF!,"0%"),"Wajar")))</f>
        <v>#REF!</v>
      </c>
      <c r="L1288" s="2391">
        <v>58648.57</v>
      </c>
      <c r="M1288" s="2391">
        <f t="shared" si="380"/>
        <v>2345942.7999999998</v>
      </c>
      <c r="N1288" s="2375">
        <f t="shared" si="381"/>
        <v>0.10247578799661482</v>
      </c>
      <c r="O1288" s="2375">
        <v>0</v>
      </c>
      <c r="P1288" s="2383"/>
      <c r="Q1288" s="2375">
        <f t="shared" si="371"/>
        <v>0</v>
      </c>
      <c r="R1288" s="2375">
        <f t="shared" si="382"/>
        <v>0</v>
      </c>
      <c r="S1288" s="2375">
        <v>29.869999999999997</v>
      </c>
      <c r="T1288" s="2383" t="s">
        <v>89</v>
      </c>
      <c r="U1288" s="2375">
        <f t="shared" si="387"/>
        <v>1751832.7858999998</v>
      </c>
      <c r="V1288" s="2375">
        <f t="shared" si="383"/>
        <v>7.6523794686472107E-2</v>
      </c>
      <c r="W1288" s="2382">
        <f t="shared" si="388"/>
        <v>10.130000000000003</v>
      </c>
      <c r="X1288" s="2383" t="s">
        <v>89</v>
      </c>
      <c r="Y1288" s="2375">
        <f t="shared" si="389"/>
        <v>594110.01410000015</v>
      </c>
      <c r="Z1288" s="2375">
        <f t="shared" si="384"/>
        <v>2.5951993310142713E-2</v>
      </c>
      <c r="AA1288" s="2377" t="s">
        <v>3371</v>
      </c>
    </row>
    <row r="1289" spans="1:27" ht="25" customHeight="1">
      <c r="A1289" s="2590">
        <f t="shared" si="385"/>
        <v>8</v>
      </c>
      <c r="B1289" s="2392" t="s">
        <v>857</v>
      </c>
      <c r="C1289" s="2888"/>
      <c r="D1289" s="2889"/>
      <c r="E1289" s="2638">
        <f>'10. Vol Saluran+Jln'!$P$46</f>
        <v>40</v>
      </c>
      <c r="F1289" s="2383" t="s">
        <v>89</v>
      </c>
      <c r="G1289" s="2389">
        <v>45612.170000000006</v>
      </c>
      <c r="H1289" s="2389">
        <f t="shared" si="379"/>
        <v>1824486.8000000003</v>
      </c>
      <c r="I1289" s="2465">
        <f>'Resume Analisa'!$D$72</f>
        <v>43813.91</v>
      </c>
      <c r="J1289" s="2464">
        <f t="shared" si="386"/>
        <v>1752556.4000000001</v>
      </c>
      <c r="K1289" s="2378" t="e">
        <f>IF(H1289=0,"",IF(J1289&lt;#REF!*H1289,"Timpang &lt;"&amp;TEXT(#REF!,"0%"),IF(J1289&gt;#REF!*H1289,"Timpang &gt;"&amp;TEXT(#REF!,"0%"),"Wajar")))</f>
        <v>#REF!</v>
      </c>
      <c r="L1289" s="2391">
        <v>43813.91</v>
      </c>
      <c r="M1289" s="2391">
        <f t="shared" si="380"/>
        <v>1752556.4000000001</v>
      </c>
      <c r="N1289" s="2375">
        <f t="shared" si="381"/>
        <v>7.6555403694629945E-2</v>
      </c>
      <c r="O1289" s="2375">
        <v>0</v>
      </c>
      <c r="P1289" s="2383"/>
      <c r="Q1289" s="2375">
        <f t="shared" si="371"/>
        <v>0</v>
      </c>
      <c r="R1289" s="2375">
        <f t="shared" si="382"/>
        <v>0</v>
      </c>
      <c r="S1289" s="2375">
        <v>29.869999999999997</v>
      </c>
      <c r="T1289" s="2383" t="s">
        <v>89</v>
      </c>
      <c r="U1289" s="2375">
        <f t="shared" si="387"/>
        <v>1308721.4916999999</v>
      </c>
      <c r="V1289" s="2375">
        <f t="shared" si="383"/>
        <v>5.7167747708964899E-2</v>
      </c>
      <c r="W1289" s="2382">
        <f t="shared" si="388"/>
        <v>10.130000000000003</v>
      </c>
      <c r="X1289" s="2383" t="s">
        <v>89</v>
      </c>
      <c r="Y1289" s="2375">
        <f t="shared" si="389"/>
        <v>443834.90830000013</v>
      </c>
      <c r="Z1289" s="2375">
        <f t="shared" si="384"/>
        <v>1.9387655985665036E-2</v>
      </c>
      <c r="AA1289" s="2377" t="s">
        <v>3371</v>
      </c>
    </row>
    <row r="1290" spans="1:27" ht="25" customHeight="1">
      <c r="A1290" s="2590">
        <f t="shared" si="385"/>
        <v>9</v>
      </c>
      <c r="B1290" s="2392" t="s">
        <v>858</v>
      </c>
      <c r="C1290" s="2888"/>
      <c r="D1290" s="2889"/>
      <c r="E1290" s="2638">
        <f>'10. Vol Saluran+Jln'!$P$47</f>
        <v>200</v>
      </c>
      <c r="F1290" s="2383" t="s">
        <v>117</v>
      </c>
      <c r="G1290" s="2389">
        <v>55136.41</v>
      </c>
      <c r="H1290" s="2389">
        <f t="shared" si="379"/>
        <v>11027282</v>
      </c>
      <c r="I1290" s="2465">
        <f>'Resume Analisa'!$D$74</f>
        <v>52968.270000000004</v>
      </c>
      <c r="J1290" s="2464">
        <f t="shared" si="386"/>
        <v>10593654</v>
      </c>
      <c r="K1290" s="2378" t="e">
        <f>IF(H1290=0,"",IF(J1290&lt;#REF!*H1290,"Timpang &lt;"&amp;TEXT(#REF!,"0%"),IF(J1290&gt;#REF!*H1290,"Timpang &gt;"&amp;TEXT(#REF!,"0%"),"Wajar")))</f>
        <v>#REF!</v>
      </c>
      <c r="L1290" s="2391">
        <v>52968.270000000004</v>
      </c>
      <c r="M1290" s="2391">
        <f t="shared" si="380"/>
        <v>10593654</v>
      </c>
      <c r="N1290" s="2375">
        <f t="shared" si="381"/>
        <v>0.46275341470963854</v>
      </c>
      <c r="O1290" s="2375">
        <v>0</v>
      </c>
      <c r="P1290" s="2383"/>
      <c r="Q1290" s="2375">
        <f t="shared" si="371"/>
        <v>0</v>
      </c>
      <c r="R1290" s="2375">
        <f t="shared" si="382"/>
        <v>0</v>
      </c>
      <c r="S1290" s="2375">
        <v>149.36000000000001</v>
      </c>
      <c r="T1290" s="2383" t="s">
        <v>117</v>
      </c>
      <c r="U1290" s="2375">
        <f t="shared" si="387"/>
        <v>7911340.8072000016</v>
      </c>
      <c r="V1290" s="2375">
        <f t="shared" si="383"/>
        <v>0.34558425010515809</v>
      </c>
      <c r="W1290" s="2382">
        <f t="shared" si="388"/>
        <v>50.639999999999986</v>
      </c>
      <c r="X1290" s="2383" t="s">
        <v>117</v>
      </c>
      <c r="Y1290" s="2375">
        <f t="shared" si="389"/>
        <v>2682313.1927999994</v>
      </c>
      <c r="Z1290" s="2375">
        <f t="shared" si="384"/>
        <v>0.11716916460448046</v>
      </c>
      <c r="AA1290" s="2377" t="s">
        <v>3371</v>
      </c>
    </row>
    <row r="1291" spans="1:27" ht="25" customHeight="1">
      <c r="A1291" s="2590">
        <f t="shared" si="385"/>
        <v>10</v>
      </c>
      <c r="B1291" s="2379" t="s">
        <v>859</v>
      </c>
      <c r="C1291" s="2888"/>
      <c r="D1291" s="2889"/>
      <c r="E1291" s="2638"/>
      <c r="F1291" s="2383"/>
      <c r="G1291" s="2389"/>
      <c r="H1291" s="2389"/>
      <c r="I1291" s="2465"/>
      <c r="J1291" s="2464"/>
      <c r="K1291" s="2389"/>
      <c r="L1291" s="2391"/>
      <c r="M1291" s="2391"/>
      <c r="N1291" s="2375">
        <f t="shared" si="381"/>
        <v>0</v>
      </c>
      <c r="O1291" s="2375">
        <v>0</v>
      </c>
      <c r="P1291" s="2383"/>
      <c r="Q1291" s="2375">
        <f t="shared" si="371"/>
        <v>0</v>
      </c>
      <c r="R1291" s="2375">
        <f t="shared" si="382"/>
        <v>0</v>
      </c>
      <c r="S1291" s="2375"/>
      <c r="T1291" s="2383"/>
      <c r="U1291" s="2375">
        <f t="shared" si="387"/>
        <v>0</v>
      </c>
      <c r="V1291" s="2375">
        <f t="shared" si="383"/>
        <v>0</v>
      </c>
      <c r="W1291" s="2382">
        <f t="shared" si="388"/>
        <v>0</v>
      </c>
      <c r="X1291" s="2383"/>
      <c r="Y1291" s="2375">
        <f t="shared" si="389"/>
        <v>0</v>
      </c>
      <c r="Z1291" s="2375">
        <f t="shared" si="384"/>
        <v>0</v>
      </c>
      <c r="AA1291" s="2377"/>
    </row>
    <row r="1292" spans="1:27" ht="25" customHeight="1">
      <c r="A1292" s="2890" t="s">
        <v>95</v>
      </c>
      <c r="B1292" s="2379" t="s">
        <v>211</v>
      </c>
      <c r="C1292" s="2888"/>
      <c r="D1292" s="2889"/>
      <c r="E1292" s="2638">
        <f>'10. Vol Saluran+Jln'!$N$74</f>
        <v>75</v>
      </c>
      <c r="F1292" s="2383" t="s">
        <v>89</v>
      </c>
      <c r="G1292" s="2389">
        <v>294733.29000000004</v>
      </c>
      <c r="H1292" s="2389">
        <f>E1292*G1292</f>
        <v>22104996.750000004</v>
      </c>
      <c r="I1292" s="2465">
        <f>'Resume Analisa'!$D$41</f>
        <v>290443.69</v>
      </c>
      <c r="J1292" s="2779">
        <f>I1292*E1292</f>
        <v>21783276.75</v>
      </c>
      <c r="K1292" s="2378" t="e">
        <f>IF(H1292=0,"",IF(J1292&lt;#REF!*H1292,"Timpang &lt;"&amp;TEXT(#REF!,"0%"),IF(J1292&gt;#REF!*H1292,"Timpang &gt;"&amp;TEXT(#REF!,"0%"),"Wajar")))</f>
        <v>#REF!</v>
      </c>
      <c r="L1292" s="2391">
        <v>290443.69</v>
      </c>
      <c r="M1292" s="2391">
        <f>E1292*L1292</f>
        <v>21783276.75</v>
      </c>
      <c r="N1292" s="2375">
        <f t="shared" si="381"/>
        <v>0.95154001628027285</v>
      </c>
      <c r="O1292" s="2375">
        <v>0</v>
      </c>
      <c r="P1292" s="2383"/>
      <c r="Q1292" s="2375">
        <f t="shared" si="371"/>
        <v>0</v>
      </c>
      <c r="R1292" s="2375">
        <f t="shared" si="382"/>
        <v>0</v>
      </c>
      <c r="S1292" s="2375">
        <v>0</v>
      </c>
      <c r="T1292" s="2383"/>
      <c r="U1292" s="2375">
        <f t="shared" si="387"/>
        <v>0</v>
      </c>
      <c r="V1292" s="2375">
        <f t="shared" si="383"/>
        <v>0</v>
      </c>
      <c r="W1292" s="2382">
        <f t="shared" si="388"/>
        <v>75</v>
      </c>
      <c r="X1292" s="2383" t="s">
        <v>89</v>
      </c>
      <c r="Y1292" s="2375">
        <f t="shared" si="389"/>
        <v>21783276.75</v>
      </c>
      <c r="Z1292" s="2375">
        <f t="shared" si="384"/>
        <v>0.95154001628027285</v>
      </c>
      <c r="AA1292" s="2377" t="s">
        <v>3355</v>
      </c>
    </row>
    <row r="1293" spans="1:27" ht="25" customHeight="1">
      <c r="A1293" s="2890" t="s">
        <v>98</v>
      </c>
      <c r="B1293" s="2379" t="s">
        <v>385</v>
      </c>
      <c r="C1293" s="2888"/>
      <c r="D1293" s="2889"/>
      <c r="E1293" s="2638">
        <f>'10. Vol Saluran+Jln'!$N$145</f>
        <v>2085.8537699999997</v>
      </c>
      <c r="F1293" s="2383" t="s">
        <v>100</v>
      </c>
      <c r="G1293" s="2389">
        <v>25591.18</v>
      </c>
      <c r="H1293" s="2389">
        <f>E1293*G1293</f>
        <v>53379459.281748593</v>
      </c>
      <c r="I1293" s="2465">
        <f>'Resume Analisa'!$D$47</f>
        <v>26179.679999999997</v>
      </c>
      <c r="J1293" s="2779">
        <f>I1293*E1293</f>
        <v>54606984.225393586</v>
      </c>
      <c r="K1293" s="2378" t="e">
        <f>IF(H1293=0,"",IF(J1293&lt;#REF!*H1293,"Timpang &lt;"&amp;TEXT(#REF!,"0%"),IF(J1293&gt;#REF!*H1293,"Timpang &gt;"&amp;TEXT(#REF!,"0%"),"Wajar")))</f>
        <v>#REF!</v>
      </c>
      <c r="L1293" s="2391">
        <v>26179.679999999997</v>
      </c>
      <c r="M1293" s="2391">
        <f>E1293*L1293</f>
        <v>54606984.225393586</v>
      </c>
      <c r="N1293" s="2375">
        <f t="shared" si="381"/>
        <v>2.385349608104649</v>
      </c>
      <c r="O1293" s="2375">
        <v>0</v>
      </c>
      <c r="P1293" s="2383"/>
      <c r="Q1293" s="2375">
        <f t="shared" si="371"/>
        <v>0</v>
      </c>
      <c r="R1293" s="2375">
        <f t="shared" si="382"/>
        <v>0</v>
      </c>
      <c r="S1293" s="2375">
        <v>0</v>
      </c>
      <c r="T1293" s="2383"/>
      <c r="U1293" s="2375">
        <f t="shared" si="387"/>
        <v>0</v>
      </c>
      <c r="V1293" s="2375">
        <f t="shared" si="383"/>
        <v>0</v>
      </c>
      <c r="W1293" s="2382">
        <f t="shared" si="388"/>
        <v>2085.8537699999997</v>
      </c>
      <c r="X1293" s="2383" t="s">
        <v>100</v>
      </c>
      <c r="Y1293" s="2375">
        <f t="shared" si="389"/>
        <v>54606984.225393586</v>
      </c>
      <c r="Z1293" s="2375">
        <f t="shared" si="384"/>
        <v>2.385349608104649</v>
      </c>
      <c r="AA1293" s="2377" t="s">
        <v>3355</v>
      </c>
    </row>
    <row r="1294" spans="1:27" ht="25" customHeight="1">
      <c r="A1294" s="2890" t="s">
        <v>101</v>
      </c>
      <c r="B1294" s="2673" t="s">
        <v>420</v>
      </c>
      <c r="C1294" s="2888"/>
      <c r="D1294" s="2889"/>
      <c r="E1294" s="2638">
        <f>'10. Vol Saluran+Jln'!$N$170</f>
        <v>11.25</v>
      </c>
      <c r="F1294" s="2383" t="s">
        <v>103</v>
      </c>
      <c r="G1294" s="2389">
        <v>1584129.98</v>
      </c>
      <c r="H1294" s="2389">
        <f>E1294*G1294</f>
        <v>17821462.274999999</v>
      </c>
      <c r="I1294" s="2465">
        <f>'Resume Analisa'!$D$55</f>
        <v>1535009.1300000001</v>
      </c>
      <c r="J1294" s="2821">
        <f>E1294*I1294</f>
        <v>17268852.712500002</v>
      </c>
      <c r="K1294" s="2378" t="e">
        <f>IF(H1294=0,"",IF(J1294&lt;#REF!*H1294,"Timpang &lt;"&amp;TEXT(#REF!,"0%"),IF(J1294&gt;#REF!*H1294,"Timpang &gt;"&amp;TEXT(#REF!,"0%"),"Wajar")))</f>
        <v>#REF!</v>
      </c>
      <c r="L1294" s="2391">
        <v>1535009.1300000001</v>
      </c>
      <c r="M1294" s="2391">
        <f>E1294*L1294</f>
        <v>17268852.712500002</v>
      </c>
      <c r="N1294" s="2375">
        <f t="shared" si="381"/>
        <v>0.75434034005898054</v>
      </c>
      <c r="O1294" s="2375">
        <v>0</v>
      </c>
      <c r="P1294" s="2383"/>
      <c r="Q1294" s="2375">
        <f t="shared" si="371"/>
        <v>0</v>
      </c>
      <c r="R1294" s="2375">
        <f t="shared" si="382"/>
        <v>0</v>
      </c>
      <c r="S1294" s="2375">
        <v>0</v>
      </c>
      <c r="T1294" s="2383"/>
      <c r="U1294" s="2375">
        <f t="shared" si="387"/>
        <v>0</v>
      </c>
      <c r="V1294" s="2375">
        <f t="shared" si="383"/>
        <v>0</v>
      </c>
      <c r="W1294" s="2382">
        <f t="shared" si="388"/>
        <v>11.25</v>
      </c>
      <c r="X1294" s="2383" t="s">
        <v>103</v>
      </c>
      <c r="Y1294" s="2375">
        <f t="shared" si="389"/>
        <v>17268852.712500002</v>
      </c>
      <c r="Z1294" s="2375">
        <f t="shared" si="384"/>
        <v>0.75434034005898054</v>
      </c>
      <c r="AA1294" s="2377" t="s">
        <v>3355</v>
      </c>
    </row>
    <row r="1295" spans="1:27" ht="25" customHeight="1">
      <c r="A1295" s="2590">
        <f>A1291+1</f>
        <v>11</v>
      </c>
      <c r="B1295" s="2379" t="s">
        <v>860</v>
      </c>
      <c r="C1295" s="2370"/>
      <c r="D1295" s="2371"/>
      <c r="E1295" s="2638"/>
      <c r="F1295" s="2590"/>
      <c r="G1295" s="2389"/>
      <c r="H1295" s="2389"/>
      <c r="I1295" s="2465"/>
      <c r="J1295" s="2779"/>
      <c r="K1295" s="2389"/>
      <c r="L1295" s="2391"/>
      <c r="M1295" s="2391"/>
      <c r="N1295" s="2375">
        <f t="shared" si="381"/>
        <v>0</v>
      </c>
      <c r="O1295" s="2375">
        <v>0</v>
      </c>
      <c r="P1295" s="2590"/>
      <c r="Q1295" s="2375">
        <f t="shared" si="371"/>
        <v>0</v>
      </c>
      <c r="R1295" s="2375">
        <f t="shared" si="382"/>
        <v>0</v>
      </c>
      <c r="S1295" s="2375">
        <v>0</v>
      </c>
      <c r="T1295" s="2848"/>
      <c r="U1295" s="2375">
        <f t="shared" si="387"/>
        <v>0</v>
      </c>
      <c r="V1295" s="2375">
        <f t="shared" si="383"/>
        <v>0</v>
      </c>
      <c r="W1295" s="2382">
        <f t="shared" si="388"/>
        <v>0</v>
      </c>
      <c r="X1295" s="2590"/>
      <c r="Y1295" s="2375">
        <f t="shared" si="389"/>
        <v>0</v>
      </c>
      <c r="Z1295" s="2375">
        <f t="shared" si="384"/>
        <v>0</v>
      </c>
      <c r="AA1295" s="2377" t="s">
        <v>3355</v>
      </c>
    </row>
    <row r="1296" spans="1:27" ht="25" customHeight="1">
      <c r="A1296" s="2890" t="s">
        <v>95</v>
      </c>
      <c r="B1296" s="2392" t="s">
        <v>851</v>
      </c>
      <c r="C1296" s="2370"/>
      <c r="D1296" s="2371"/>
      <c r="E1296" s="2638">
        <f>'10. Vol Saluran+Jln'!$P$172</f>
        <v>2.9</v>
      </c>
      <c r="F1296" s="2383" t="s">
        <v>103</v>
      </c>
      <c r="G1296" s="2389">
        <v>50600</v>
      </c>
      <c r="H1296" s="2389">
        <f>E1296*G1296</f>
        <v>146740</v>
      </c>
      <c r="I1296" s="2465">
        <f>'Resume Analisa'!$D$18</f>
        <v>49036.76</v>
      </c>
      <c r="J1296" s="2464">
        <f>E1296*I1296</f>
        <v>142206.60399999999</v>
      </c>
      <c r="K1296" s="2378" t="e">
        <f>IF(H1296=0,"",IF(J1296&lt;#REF!*H1296,"Timpang &lt;"&amp;TEXT(#REF!,"0%"),IF(J1296&gt;#REF!*H1296,"Timpang &gt;"&amp;TEXT(#REF!,"0%"),"Wajar")))</f>
        <v>#REF!</v>
      </c>
      <c r="L1296" s="2391">
        <v>49036.76</v>
      </c>
      <c r="M1296" s="2391">
        <f>E1296*L1296</f>
        <v>142206.60399999999</v>
      </c>
      <c r="N1296" s="2375">
        <f t="shared" si="381"/>
        <v>6.2118879468086594E-3</v>
      </c>
      <c r="O1296" s="2375">
        <v>0</v>
      </c>
      <c r="P1296" s="2383"/>
      <c r="Q1296" s="2375">
        <f t="shared" si="371"/>
        <v>0</v>
      </c>
      <c r="R1296" s="2375">
        <f t="shared" si="382"/>
        <v>0</v>
      </c>
      <c r="S1296" s="2375">
        <v>0</v>
      </c>
      <c r="T1296" s="2383"/>
      <c r="U1296" s="2375">
        <f t="shared" si="387"/>
        <v>0</v>
      </c>
      <c r="V1296" s="2375">
        <f t="shared" si="383"/>
        <v>0</v>
      </c>
      <c r="W1296" s="2382">
        <f t="shared" si="388"/>
        <v>2.9</v>
      </c>
      <c r="X1296" s="2383" t="s">
        <v>103</v>
      </c>
      <c r="Y1296" s="2375">
        <f t="shared" si="389"/>
        <v>142206.60399999999</v>
      </c>
      <c r="Z1296" s="2375">
        <f t="shared" si="384"/>
        <v>6.2118879468086594E-3</v>
      </c>
      <c r="AA1296" s="2377" t="s">
        <v>3355</v>
      </c>
    </row>
    <row r="1297" spans="1:27" ht="25" customHeight="1">
      <c r="A1297" s="2890" t="s">
        <v>98</v>
      </c>
      <c r="B1297" s="2561" t="s">
        <v>221</v>
      </c>
      <c r="C1297" s="2370"/>
      <c r="D1297" s="2371"/>
      <c r="E1297" s="2638">
        <f>'10. Vol Saluran+Jln'!$P$173</f>
        <v>11.52</v>
      </c>
      <c r="F1297" s="2383" t="s">
        <v>89</v>
      </c>
      <c r="G1297" s="2389">
        <v>230885.5</v>
      </c>
      <c r="H1297" s="2389">
        <f>E1297*G1297</f>
        <v>2659800.96</v>
      </c>
      <c r="I1297" s="2465">
        <f>'Resume Analisa'!$D$39</f>
        <v>232328.86000000002</v>
      </c>
      <c r="J1297" s="2779">
        <f>I1297*E1297</f>
        <v>2676428.4672000003</v>
      </c>
      <c r="K1297" s="2378" t="e">
        <f>IF(H1297=0,"",IF(J1297&lt;#REF!*H1297,"Timpang &lt;"&amp;TEXT(#REF!,"0%"),IF(J1297&gt;#REF!*H1297,"Timpang &gt;"&amp;TEXT(#REF!,"0%"),"Wajar")))</f>
        <v>#REF!</v>
      </c>
      <c r="L1297" s="2391">
        <v>232328.86000000002</v>
      </c>
      <c r="M1297" s="2391">
        <f>E1297*L1297</f>
        <v>2676428.4672000003</v>
      </c>
      <c r="N1297" s="2375">
        <f t="shared" si="381"/>
        <v>0.11691210723163924</v>
      </c>
      <c r="O1297" s="2375">
        <v>0</v>
      </c>
      <c r="P1297" s="2383"/>
      <c r="Q1297" s="2375">
        <f t="shared" si="371"/>
        <v>0</v>
      </c>
      <c r="R1297" s="2375">
        <f t="shared" si="382"/>
        <v>0</v>
      </c>
      <c r="S1297" s="2375">
        <v>0</v>
      </c>
      <c r="T1297" s="2383"/>
      <c r="U1297" s="2375">
        <f t="shared" si="387"/>
        <v>0</v>
      </c>
      <c r="V1297" s="2375">
        <f t="shared" si="383"/>
        <v>0</v>
      </c>
      <c r="W1297" s="2382">
        <f t="shared" si="388"/>
        <v>11.52</v>
      </c>
      <c r="X1297" s="2383" t="s">
        <v>89</v>
      </c>
      <c r="Y1297" s="2375">
        <f t="shared" si="389"/>
        <v>2676428.4672000003</v>
      </c>
      <c r="Z1297" s="2375">
        <f t="shared" si="384"/>
        <v>0.11691210723163924</v>
      </c>
      <c r="AA1297" s="2377" t="s">
        <v>3355</v>
      </c>
    </row>
    <row r="1298" spans="1:27" ht="25" customHeight="1">
      <c r="A1298" s="2890" t="s">
        <v>101</v>
      </c>
      <c r="B1298" s="2379" t="s">
        <v>385</v>
      </c>
      <c r="C1298" s="2370"/>
      <c r="D1298" s="2371"/>
      <c r="E1298" s="2638">
        <f>'10. Vol Saluran+Jln'!$P$181</f>
        <v>88.77</v>
      </c>
      <c r="F1298" s="2383" t="s">
        <v>100</v>
      </c>
      <c r="G1298" s="2389">
        <v>19151.18</v>
      </c>
      <c r="H1298" s="2389">
        <f>E1298*G1298</f>
        <v>1700050.2486</v>
      </c>
      <c r="I1298" s="2465">
        <f>'Resume Analisa'!$D$48</f>
        <v>18790.969999999998</v>
      </c>
      <c r="J1298" s="2779">
        <f>I1298*E1298</f>
        <v>1668074.4068999996</v>
      </c>
      <c r="K1298" s="2378" t="e">
        <f>IF(H1298=0,"",IF(J1298&lt;#REF!*H1298,"Timpang &lt;"&amp;TEXT(#REF!,"0%"),IF(J1298&gt;#REF!*H1298,"Timpang &gt;"&amp;TEXT(#REF!,"0%"),"Wajar")))</f>
        <v>#REF!</v>
      </c>
      <c r="L1298" s="2391">
        <v>18790.969999999998</v>
      </c>
      <c r="M1298" s="2391">
        <f>E1298*L1298</f>
        <v>1668074.4068999996</v>
      </c>
      <c r="N1298" s="2375">
        <f t="shared" si="381"/>
        <v>7.286504994242117E-2</v>
      </c>
      <c r="O1298" s="2375">
        <v>0</v>
      </c>
      <c r="P1298" s="2383"/>
      <c r="Q1298" s="2375">
        <f t="shared" si="371"/>
        <v>0</v>
      </c>
      <c r="R1298" s="2375">
        <f t="shared" si="382"/>
        <v>0</v>
      </c>
      <c r="S1298" s="2375">
        <v>0</v>
      </c>
      <c r="T1298" s="2383"/>
      <c r="U1298" s="2375">
        <f t="shared" si="387"/>
        <v>0</v>
      </c>
      <c r="V1298" s="2375">
        <f t="shared" si="383"/>
        <v>0</v>
      </c>
      <c r="W1298" s="2382">
        <f t="shared" si="388"/>
        <v>88.77</v>
      </c>
      <c r="X1298" s="2383" t="s">
        <v>100</v>
      </c>
      <c r="Y1298" s="2375">
        <f t="shared" si="389"/>
        <v>1668074.4068999996</v>
      </c>
      <c r="Z1298" s="2375">
        <f t="shared" si="384"/>
        <v>7.286504994242117E-2</v>
      </c>
      <c r="AA1298" s="2377" t="s">
        <v>3355</v>
      </c>
    </row>
    <row r="1299" spans="1:27" ht="25" customHeight="1">
      <c r="A1299" s="2890" t="s">
        <v>121</v>
      </c>
      <c r="B1299" s="2673" t="s">
        <v>420</v>
      </c>
      <c r="C1299" s="2370"/>
      <c r="D1299" s="2371"/>
      <c r="E1299" s="2638">
        <f>'10. Vol Saluran+Jln'!$P$185</f>
        <v>0.84</v>
      </c>
      <c r="F1299" s="2383" t="s">
        <v>103</v>
      </c>
      <c r="G1299" s="2389">
        <v>1584129.98</v>
      </c>
      <c r="H1299" s="2389">
        <f>E1299*G1299</f>
        <v>1330669.1831999999</v>
      </c>
      <c r="I1299" s="2465">
        <f>'Resume Analisa'!$D$55</f>
        <v>1535009.1300000001</v>
      </c>
      <c r="J1299" s="2779">
        <f>I1299*E1299</f>
        <v>1289407.6692000001</v>
      </c>
      <c r="K1299" s="2378" t="e">
        <f>IF(H1299=0,"",IF(J1299&lt;#REF!*H1299,"Timpang &lt;"&amp;TEXT(#REF!,"0%"),IF(J1299&gt;#REF!*H1299,"Timpang &gt;"&amp;TEXT(#REF!,"0%"),"Wajar")))</f>
        <v>#REF!</v>
      </c>
      <c r="L1299" s="2391">
        <v>1535009.1300000001</v>
      </c>
      <c r="M1299" s="2391">
        <f>E1299*L1299</f>
        <v>1289407.6692000001</v>
      </c>
      <c r="N1299" s="2375">
        <f t="shared" si="381"/>
        <v>5.6324078724403884E-2</v>
      </c>
      <c r="O1299" s="2375">
        <v>0</v>
      </c>
      <c r="P1299" s="2383"/>
      <c r="Q1299" s="2375">
        <f t="shared" si="371"/>
        <v>0</v>
      </c>
      <c r="R1299" s="2375">
        <f t="shared" si="382"/>
        <v>0</v>
      </c>
      <c r="S1299" s="2375">
        <v>0</v>
      </c>
      <c r="T1299" s="2383"/>
      <c r="U1299" s="2375">
        <f t="shared" si="387"/>
        <v>0</v>
      </c>
      <c r="V1299" s="2375">
        <f t="shared" si="383"/>
        <v>0</v>
      </c>
      <c r="W1299" s="2382">
        <f t="shared" si="388"/>
        <v>0.84</v>
      </c>
      <c r="X1299" s="2383" t="s">
        <v>103</v>
      </c>
      <c r="Y1299" s="2375">
        <f t="shared" si="389"/>
        <v>1289407.6692000001</v>
      </c>
      <c r="Z1299" s="2375">
        <f t="shared" si="384"/>
        <v>5.6324078724403884E-2</v>
      </c>
      <c r="AA1299" s="2377" t="s">
        <v>3355</v>
      </c>
    </row>
    <row r="1300" spans="1:27" ht="25" customHeight="1">
      <c r="A1300" s="2890" t="s">
        <v>142</v>
      </c>
      <c r="B1300" s="2379" t="s">
        <v>861</v>
      </c>
      <c r="C1300" s="2370"/>
      <c r="D1300" s="2371"/>
      <c r="E1300" s="2638">
        <f>'10. Vol Saluran+Jln'!$P$186</f>
        <v>2</v>
      </c>
      <c r="F1300" s="2590" t="s">
        <v>124</v>
      </c>
      <c r="G1300" s="2389">
        <v>3189000</v>
      </c>
      <c r="H1300" s="2389">
        <f>E1300*G1300</f>
        <v>6378000</v>
      </c>
      <c r="I1300" s="2465">
        <f>'Bahan &amp; Upah'!$C$88</f>
        <v>3021090.78</v>
      </c>
      <c r="J1300" s="2779">
        <f>I1300*E1300</f>
        <v>6042181.5599999996</v>
      </c>
      <c r="K1300" s="2378" t="e">
        <f>IF(H1300=0,"",IF(J1300&lt;#REF!*H1300,"Timpang &lt;"&amp;TEXT(#REF!,"0%"),IF(J1300&gt;#REF!*H1300,"Timpang &gt;"&amp;TEXT(#REF!,"0%"),"Wajar")))</f>
        <v>#REF!</v>
      </c>
      <c r="L1300" s="2391">
        <v>3021090.78</v>
      </c>
      <c r="M1300" s="2391">
        <f>E1300*L1300</f>
        <v>6042181.5599999996</v>
      </c>
      <c r="N1300" s="2375">
        <f t="shared" si="381"/>
        <v>0.26393538520189636</v>
      </c>
      <c r="O1300" s="2375">
        <v>0</v>
      </c>
      <c r="P1300" s="2590"/>
      <c r="Q1300" s="2375">
        <f t="shared" si="371"/>
        <v>0</v>
      </c>
      <c r="R1300" s="2375">
        <f t="shared" si="382"/>
        <v>0</v>
      </c>
      <c r="S1300" s="2375">
        <v>0</v>
      </c>
      <c r="T1300" s="2590"/>
      <c r="U1300" s="2375">
        <f t="shared" si="387"/>
        <v>0</v>
      </c>
      <c r="V1300" s="2375">
        <f t="shared" si="383"/>
        <v>0</v>
      </c>
      <c r="W1300" s="2382">
        <f t="shared" si="388"/>
        <v>2</v>
      </c>
      <c r="X1300" s="2590" t="s">
        <v>124</v>
      </c>
      <c r="Y1300" s="2375">
        <f t="shared" si="389"/>
        <v>6042181.5599999996</v>
      </c>
      <c r="Z1300" s="2375">
        <f t="shared" si="384"/>
        <v>0.26393538520189636</v>
      </c>
      <c r="AA1300" s="2377" t="s">
        <v>3355</v>
      </c>
    </row>
    <row r="1301" spans="1:27" ht="25" customHeight="1">
      <c r="A1301" s="2590">
        <f>A1295+1</f>
        <v>12</v>
      </c>
      <c r="B1301" s="2392" t="s">
        <v>862</v>
      </c>
      <c r="C1301" s="2888"/>
      <c r="D1301" s="2889"/>
      <c r="E1301" s="2638"/>
      <c r="F1301" s="2383"/>
      <c r="G1301" s="2389"/>
      <c r="H1301" s="2389"/>
      <c r="I1301" s="2465"/>
      <c r="J1301" s="2779"/>
      <c r="K1301" s="2389"/>
      <c r="L1301" s="2391"/>
      <c r="M1301" s="2391"/>
      <c r="N1301" s="2375">
        <f t="shared" si="381"/>
        <v>0</v>
      </c>
      <c r="O1301" s="2375">
        <v>0</v>
      </c>
      <c r="P1301" s="2383"/>
      <c r="Q1301" s="2375">
        <f t="shared" si="371"/>
        <v>0</v>
      </c>
      <c r="R1301" s="2375">
        <f t="shared" si="382"/>
        <v>0</v>
      </c>
      <c r="S1301" s="2375">
        <v>0</v>
      </c>
      <c r="T1301" s="2383"/>
      <c r="U1301" s="2375">
        <f t="shared" si="387"/>
        <v>0</v>
      </c>
      <c r="V1301" s="2375">
        <f t="shared" si="383"/>
        <v>0</v>
      </c>
      <c r="W1301" s="2382">
        <f t="shared" si="388"/>
        <v>0</v>
      </c>
      <c r="X1301" s="2383"/>
      <c r="Y1301" s="2375">
        <f t="shared" si="389"/>
        <v>0</v>
      </c>
      <c r="Z1301" s="2375">
        <f t="shared" si="384"/>
        <v>0</v>
      </c>
      <c r="AA1301" s="2377" t="s">
        <v>3355</v>
      </c>
    </row>
    <row r="1302" spans="1:27" ht="25" customHeight="1">
      <c r="A1302" s="2797" t="s">
        <v>95</v>
      </c>
      <c r="B1302" s="2392" t="s">
        <v>851</v>
      </c>
      <c r="C1302" s="2888"/>
      <c r="D1302" s="2889"/>
      <c r="E1302" s="2638">
        <f>'10. Vol Saluran+Jln'!$N$240</f>
        <v>243.5</v>
      </c>
      <c r="F1302" s="2383" t="s">
        <v>103</v>
      </c>
      <c r="G1302" s="2389">
        <v>50600</v>
      </c>
      <c r="H1302" s="2389">
        <f t="shared" ref="H1302:H1307" si="390">E1302*G1302</f>
        <v>12321100</v>
      </c>
      <c r="I1302" s="2465">
        <f>'Resume Analisa'!$D$18</f>
        <v>49036.76</v>
      </c>
      <c r="J1302" s="2464">
        <f t="shared" ref="J1302:J1307" si="391">E1302*I1302</f>
        <v>11940451.060000001</v>
      </c>
      <c r="K1302" s="2378" t="e">
        <f>IF(H1302=0,"",IF(J1302&lt;#REF!*H1302,"Timpang &lt;"&amp;TEXT(#REF!,"0%"),IF(J1302&gt;#REF!*H1302,"Timpang &gt;"&amp;TEXT(#REF!,"0%"),"Wajar")))</f>
        <v>#REF!</v>
      </c>
      <c r="L1302" s="2391">
        <v>49036.76</v>
      </c>
      <c r="M1302" s="2391">
        <f t="shared" ref="M1302:M1307" si="392">E1302*L1302</f>
        <v>11940451.060000001</v>
      </c>
      <c r="N1302" s="2375">
        <f t="shared" si="381"/>
        <v>0.5215843844992788</v>
      </c>
      <c r="O1302" s="2375">
        <v>0</v>
      </c>
      <c r="P1302" s="2383"/>
      <c r="Q1302" s="2375">
        <f t="shared" si="371"/>
        <v>0</v>
      </c>
      <c r="R1302" s="2375">
        <f t="shared" si="382"/>
        <v>0</v>
      </c>
      <c r="S1302" s="2375">
        <v>0</v>
      </c>
      <c r="T1302" s="2383"/>
      <c r="U1302" s="2375">
        <f t="shared" si="387"/>
        <v>0</v>
      </c>
      <c r="V1302" s="2375">
        <f t="shared" si="383"/>
        <v>0</v>
      </c>
      <c r="W1302" s="2382">
        <f t="shared" si="388"/>
        <v>243.5</v>
      </c>
      <c r="X1302" s="2383" t="s">
        <v>103</v>
      </c>
      <c r="Y1302" s="2375">
        <f t="shared" si="389"/>
        <v>11940451.060000001</v>
      </c>
      <c r="Z1302" s="2375">
        <f t="shared" si="384"/>
        <v>0.5215843844992788</v>
      </c>
      <c r="AA1302" s="2377" t="s">
        <v>3355</v>
      </c>
    </row>
    <row r="1303" spans="1:27" ht="25" customHeight="1">
      <c r="A1303" s="2797" t="s">
        <v>98</v>
      </c>
      <c r="B1303" s="2392" t="s">
        <v>441</v>
      </c>
      <c r="C1303" s="2888"/>
      <c r="D1303" s="2889"/>
      <c r="E1303" s="2638">
        <f>'10. Vol Saluran+Jln'!$N$293</f>
        <v>8.9924999999999979</v>
      </c>
      <c r="F1303" s="2383" t="s">
        <v>103</v>
      </c>
      <c r="G1303" s="2389">
        <v>507759.96</v>
      </c>
      <c r="H1303" s="2389">
        <f t="shared" si="390"/>
        <v>4566031.440299999</v>
      </c>
      <c r="I1303" s="2465">
        <f>'Resume Analisa'!$D$26</f>
        <v>475358.64</v>
      </c>
      <c r="J1303" s="2464">
        <f t="shared" si="391"/>
        <v>4274662.570199999</v>
      </c>
      <c r="K1303" s="2378" t="e">
        <f>IF(H1303=0,"",IF(J1303&lt;#REF!*H1303,"Timpang &lt;"&amp;TEXT(#REF!,"0%"),IF(J1303&gt;#REF!*H1303,"Timpang &gt;"&amp;TEXT(#REF!,"0%"),"Wajar")))</f>
        <v>#REF!</v>
      </c>
      <c r="L1303" s="2391">
        <v>475358.64</v>
      </c>
      <c r="M1303" s="2391">
        <f t="shared" si="392"/>
        <v>4274662.570199999</v>
      </c>
      <c r="N1303" s="2375">
        <f t="shared" si="381"/>
        <v>0.18672638365303695</v>
      </c>
      <c r="O1303" s="2375">
        <v>0</v>
      </c>
      <c r="P1303" s="2383"/>
      <c r="Q1303" s="2375">
        <f t="shared" si="371"/>
        <v>0</v>
      </c>
      <c r="R1303" s="2375">
        <f t="shared" si="382"/>
        <v>0</v>
      </c>
      <c r="S1303" s="2375">
        <v>0</v>
      </c>
      <c r="T1303" s="2383"/>
      <c r="U1303" s="2375">
        <f t="shared" si="387"/>
        <v>0</v>
      </c>
      <c r="V1303" s="2375">
        <f t="shared" si="383"/>
        <v>0</v>
      </c>
      <c r="W1303" s="2382">
        <f t="shared" si="388"/>
        <v>8.9924999999999979</v>
      </c>
      <c r="X1303" s="2383" t="s">
        <v>103</v>
      </c>
      <c r="Y1303" s="2375">
        <f t="shared" si="389"/>
        <v>4274662.570199999</v>
      </c>
      <c r="Z1303" s="2375">
        <f t="shared" si="384"/>
        <v>0.18672638365303695</v>
      </c>
      <c r="AA1303" s="2377" t="s">
        <v>3355</v>
      </c>
    </row>
    <row r="1304" spans="1:27" ht="25" customHeight="1">
      <c r="A1304" s="2797" t="s">
        <v>101</v>
      </c>
      <c r="B1304" s="2392" t="s">
        <v>777</v>
      </c>
      <c r="C1304" s="2888"/>
      <c r="D1304" s="2889"/>
      <c r="E1304" s="2638">
        <f>'10. Vol Saluran+Jln'!$N$346</f>
        <v>150.30000000000001</v>
      </c>
      <c r="F1304" s="2383" t="s">
        <v>89</v>
      </c>
      <c r="G1304" s="2389">
        <v>166165.41</v>
      </c>
      <c r="H1304" s="2389">
        <f t="shared" si="390"/>
        <v>24974661.123000003</v>
      </c>
      <c r="I1304" s="2465">
        <f>'Resume Analisa'!$D$69</f>
        <v>161086.38</v>
      </c>
      <c r="J1304" s="2464">
        <f t="shared" si="391"/>
        <v>24211282.914000001</v>
      </c>
      <c r="K1304" s="2378" t="e">
        <f>IF(H1304=0,"",IF(J1304&lt;#REF!*H1304,"Timpang &lt;"&amp;TEXT(#REF!,"0%"),IF(J1304&gt;#REF!*H1304,"Timpang &gt;"&amp;TEXT(#REF!,"0%"),"Wajar")))</f>
        <v>#REF!</v>
      </c>
      <c r="L1304" s="2391">
        <v>161086.38</v>
      </c>
      <c r="M1304" s="2391">
        <f t="shared" si="392"/>
        <v>24211282.914000001</v>
      </c>
      <c r="N1304" s="2375">
        <f t="shared" si="381"/>
        <v>1.0576005071483954</v>
      </c>
      <c r="O1304" s="2375">
        <v>0</v>
      </c>
      <c r="P1304" s="2383"/>
      <c r="Q1304" s="2375">
        <f t="shared" si="371"/>
        <v>0</v>
      </c>
      <c r="R1304" s="2375">
        <f t="shared" si="382"/>
        <v>0</v>
      </c>
      <c r="S1304" s="2375">
        <v>0</v>
      </c>
      <c r="T1304" s="2383"/>
      <c r="U1304" s="2375">
        <f t="shared" si="387"/>
        <v>0</v>
      </c>
      <c r="V1304" s="2375">
        <f t="shared" si="383"/>
        <v>0</v>
      </c>
      <c r="W1304" s="2382">
        <f t="shared" si="388"/>
        <v>150.30000000000001</v>
      </c>
      <c r="X1304" s="2383" t="s">
        <v>89</v>
      </c>
      <c r="Y1304" s="2375">
        <f t="shared" si="389"/>
        <v>24211282.914000001</v>
      </c>
      <c r="Z1304" s="2375">
        <f t="shared" si="384"/>
        <v>1.0576005071483954</v>
      </c>
      <c r="AA1304" s="2377" t="s">
        <v>3355</v>
      </c>
    </row>
    <row r="1305" spans="1:27" ht="25" customHeight="1">
      <c r="A1305" s="2797" t="s">
        <v>121</v>
      </c>
      <c r="B1305" s="2392" t="s">
        <v>193</v>
      </c>
      <c r="C1305" s="2888"/>
      <c r="D1305" s="2889"/>
      <c r="E1305" s="2638">
        <f>'10. Vol Saluran+Jln'!$N$399</f>
        <v>167</v>
      </c>
      <c r="F1305" s="2383" t="s">
        <v>89</v>
      </c>
      <c r="G1305" s="2389">
        <v>61230.840000000004</v>
      </c>
      <c r="H1305" s="2389">
        <f t="shared" si="390"/>
        <v>10225550.280000001</v>
      </c>
      <c r="I1305" s="2465">
        <f>'Resume Analisa'!$D$70</f>
        <v>58648.57</v>
      </c>
      <c r="J1305" s="2464">
        <f t="shared" si="391"/>
        <v>9794311.1899999995</v>
      </c>
      <c r="K1305" s="2378" t="e">
        <f>IF(H1305=0,"",IF(J1305&lt;#REF!*H1305,"Timpang &lt;"&amp;TEXT(#REF!,"0%"),IF(J1305&gt;#REF!*H1305,"Timpang &gt;"&amp;TEXT(#REF!,"0%"),"Wajar")))</f>
        <v>#REF!</v>
      </c>
      <c r="L1305" s="2391">
        <v>58648.57</v>
      </c>
      <c r="M1305" s="2391">
        <f t="shared" si="392"/>
        <v>9794311.1899999995</v>
      </c>
      <c r="N1305" s="2375">
        <f t="shared" si="381"/>
        <v>0.42783641488586682</v>
      </c>
      <c r="O1305" s="2375">
        <v>0</v>
      </c>
      <c r="P1305" s="2383"/>
      <c r="Q1305" s="2375">
        <f t="shared" si="371"/>
        <v>0</v>
      </c>
      <c r="R1305" s="2375">
        <f t="shared" si="382"/>
        <v>0</v>
      </c>
      <c r="S1305" s="2375">
        <v>0</v>
      </c>
      <c r="T1305" s="2383"/>
      <c r="U1305" s="2375">
        <f t="shared" si="387"/>
        <v>0</v>
      </c>
      <c r="V1305" s="2375">
        <f t="shared" si="383"/>
        <v>0</v>
      </c>
      <c r="W1305" s="2382">
        <f t="shared" si="388"/>
        <v>167</v>
      </c>
      <c r="X1305" s="2383" t="s">
        <v>89</v>
      </c>
      <c r="Y1305" s="2375">
        <f t="shared" si="389"/>
        <v>9794311.1899999995</v>
      </c>
      <c r="Z1305" s="2375">
        <f t="shared" si="384"/>
        <v>0.42783641488586682</v>
      </c>
      <c r="AA1305" s="2377" t="s">
        <v>3355</v>
      </c>
    </row>
    <row r="1306" spans="1:27" ht="25" customHeight="1">
      <c r="A1306" s="2797" t="s">
        <v>142</v>
      </c>
      <c r="B1306" s="2392" t="s">
        <v>857</v>
      </c>
      <c r="C1306" s="2888"/>
      <c r="D1306" s="2889"/>
      <c r="E1306" s="2638">
        <f>'10. Vol Saluran+Jln'!$N$400</f>
        <v>167</v>
      </c>
      <c r="F1306" s="2383" t="s">
        <v>89</v>
      </c>
      <c r="G1306" s="2389">
        <v>45612.170000000006</v>
      </c>
      <c r="H1306" s="2389">
        <f t="shared" si="390"/>
        <v>7617232.3900000006</v>
      </c>
      <c r="I1306" s="2465">
        <f>'Resume Analisa'!$D$72</f>
        <v>43813.91</v>
      </c>
      <c r="J1306" s="2464">
        <f t="shared" si="391"/>
        <v>7316922.9700000007</v>
      </c>
      <c r="K1306" s="2378" t="e">
        <f>IF(H1306=0,"",IF(J1306&lt;#REF!*H1306,"Timpang &lt;"&amp;TEXT(#REF!,"0%"),IF(J1306&gt;#REF!*H1306,"Timpang &gt;"&amp;TEXT(#REF!,"0%"),"Wajar")))</f>
        <v>#REF!</v>
      </c>
      <c r="L1306" s="2391">
        <v>43813.91</v>
      </c>
      <c r="M1306" s="2391">
        <f t="shared" si="392"/>
        <v>7316922.9700000007</v>
      </c>
      <c r="N1306" s="2375">
        <f t="shared" si="381"/>
        <v>0.31961881042508</v>
      </c>
      <c r="O1306" s="2375">
        <v>0</v>
      </c>
      <c r="P1306" s="2383"/>
      <c r="Q1306" s="2375">
        <f t="shared" si="371"/>
        <v>0</v>
      </c>
      <c r="R1306" s="2375">
        <f t="shared" si="382"/>
        <v>0</v>
      </c>
      <c r="S1306" s="2375">
        <v>0</v>
      </c>
      <c r="T1306" s="2383"/>
      <c r="U1306" s="2375">
        <f t="shared" si="387"/>
        <v>0</v>
      </c>
      <c r="V1306" s="2375">
        <f t="shared" si="383"/>
        <v>0</v>
      </c>
      <c r="W1306" s="2382">
        <f t="shared" si="388"/>
        <v>167</v>
      </c>
      <c r="X1306" s="2383" t="s">
        <v>89</v>
      </c>
      <c r="Y1306" s="2375">
        <f t="shared" si="389"/>
        <v>7316922.9700000007</v>
      </c>
      <c r="Z1306" s="2375">
        <f t="shared" si="384"/>
        <v>0.31961881042508</v>
      </c>
      <c r="AA1306" s="2377" t="s">
        <v>3355</v>
      </c>
    </row>
    <row r="1307" spans="1:27" ht="25" customHeight="1">
      <c r="A1307" s="2891" t="s">
        <v>217</v>
      </c>
      <c r="B1307" s="2892" t="s">
        <v>863</v>
      </c>
      <c r="C1307" s="2893"/>
      <c r="D1307" s="2894"/>
      <c r="E1307" s="2681">
        <f>'10. Vol Saluran+Jln'!$N$453</f>
        <v>2.0875000000000004</v>
      </c>
      <c r="F1307" s="2895" t="s">
        <v>103</v>
      </c>
      <c r="G1307" s="2405">
        <v>1422226.08</v>
      </c>
      <c r="H1307" s="2405">
        <f t="shared" si="390"/>
        <v>2968896.9420000007</v>
      </c>
      <c r="I1307" s="2574">
        <f>'Resume Analisa'!$D$54</f>
        <v>1384580.76</v>
      </c>
      <c r="J1307" s="2573">
        <f t="shared" si="391"/>
        <v>2890312.3365000007</v>
      </c>
      <c r="K1307" s="2408" t="e">
        <f>IF(H1307=0,"",IF(J1307&lt;#REF!*H1307,"Timpang &lt;"&amp;TEXT(#REF!,"0%"),IF(J1307&gt;#REF!*H1307,"Timpang &gt;"&amp;TEXT(#REF!,"0%"),"Wajar")))</f>
        <v>#REF!</v>
      </c>
      <c r="L1307" s="2410">
        <v>1384580.76</v>
      </c>
      <c r="M1307" s="2410">
        <f t="shared" si="392"/>
        <v>2890312.3365000007</v>
      </c>
      <c r="N1307" s="2375">
        <f t="shared" si="381"/>
        <v>0.12625501109369527</v>
      </c>
      <c r="O1307" s="2411">
        <v>0</v>
      </c>
      <c r="P1307" s="2895"/>
      <c r="Q1307" s="2411">
        <f t="shared" si="371"/>
        <v>0</v>
      </c>
      <c r="R1307" s="2375">
        <f t="shared" si="382"/>
        <v>0</v>
      </c>
      <c r="S1307" s="2411">
        <v>0</v>
      </c>
      <c r="T1307" s="2895"/>
      <c r="U1307" s="2411">
        <f t="shared" si="387"/>
        <v>0</v>
      </c>
      <c r="V1307" s="2375">
        <f t="shared" si="383"/>
        <v>0</v>
      </c>
      <c r="W1307" s="2382">
        <f t="shared" si="388"/>
        <v>2.0875000000000004</v>
      </c>
      <c r="X1307" s="2895" t="s">
        <v>103</v>
      </c>
      <c r="Y1307" s="2375">
        <f t="shared" si="389"/>
        <v>2890312.3365000007</v>
      </c>
      <c r="Z1307" s="2375">
        <f t="shared" si="384"/>
        <v>0.12625501109369527</v>
      </c>
      <c r="AA1307" s="2412" t="s">
        <v>3355</v>
      </c>
    </row>
    <row r="1308" spans="1:27" ht="25" customHeight="1">
      <c r="A1308" s="2835"/>
      <c r="B1308" s="2808"/>
      <c r="C1308" s="2809"/>
      <c r="D1308" s="2512" t="s">
        <v>376</v>
      </c>
      <c r="E1308" s="2810"/>
      <c r="F1308" s="2811"/>
      <c r="G1308" s="2581"/>
      <c r="H1308" s="2581">
        <f>SUM(H1282:H1307)</f>
        <v>255622510.22134861</v>
      </c>
      <c r="I1308" s="2844"/>
      <c r="J1308" s="2582">
        <f>SUM(J1282:J1307)</f>
        <v>251586933.1738936</v>
      </c>
      <c r="K1308" s="2581"/>
      <c r="L1308" s="2584"/>
      <c r="M1308" s="2584">
        <f>SUM(M1282:M1307)</f>
        <v>251586933.1738936</v>
      </c>
      <c r="N1308" s="2424">
        <f>M1308/M8*100</f>
        <v>10.989854154434806</v>
      </c>
      <c r="O1308" s="2426">
        <v>0</v>
      </c>
      <c r="P1308" s="2811"/>
      <c r="Q1308" s="2426">
        <f t="shared" si="371"/>
        <v>0</v>
      </c>
      <c r="R1308" s="2375">
        <f t="shared" si="382"/>
        <v>0</v>
      </c>
      <c r="S1308" s="2845"/>
      <c r="T1308" s="2845"/>
      <c r="U1308" s="2519">
        <f>SUM(U1282:U1307)</f>
        <v>63786140.556999996</v>
      </c>
      <c r="V1308" s="2846">
        <f>SUM(V1282:V1307)</f>
        <v>2.7863147459696824</v>
      </c>
      <c r="W1308" s="2382">
        <f t="shared" ref="W1308:W1348" si="393">(E1308+O1308)-S1308</f>
        <v>0</v>
      </c>
      <c r="X1308" s="2811"/>
      <c r="Y1308" s="2594">
        <f>SUM(Y1282:Y1307)</f>
        <v>187800792.61689359</v>
      </c>
      <c r="Z1308" s="2846">
        <f>SUM(Z1282:Z1307)</f>
        <v>8.2035394084651223</v>
      </c>
      <c r="AA1308" s="2738">
        <f t="shared" ref="AA1308" si="394">SUM(AA1073:AA1307)</f>
        <v>0</v>
      </c>
    </row>
    <row r="1309" spans="1:27" ht="25" customHeight="1">
      <c r="A1309" s="2817" t="s">
        <v>1206</v>
      </c>
      <c r="B1309" s="2831" t="s">
        <v>864</v>
      </c>
      <c r="C1309" s="2896"/>
      <c r="D1309" s="2897"/>
      <c r="E1309" s="2898"/>
      <c r="F1309" s="2899"/>
      <c r="G1309" s="2585"/>
      <c r="H1309" s="2585"/>
      <c r="I1309" s="2900"/>
      <c r="J1309" s="2837"/>
      <c r="K1309" s="2585"/>
      <c r="L1309" s="2532"/>
      <c r="M1309" s="2532"/>
      <c r="N1309" s="2365"/>
      <c r="O1309" s="2365"/>
      <c r="P1309" s="2899"/>
      <c r="Q1309" s="2365"/>
      <c r="R1309" s="2375">
        <f t="shared" si="382"/>
        <v>0</v>
      </c>
      <c r="S1309" s="2901"/>
      <c r="T1309" s="2901"/>
      <c r="U1309" s="2901"/>
      <c r="V1309" s="2901"/>
      <c r="W1309" s="2382">
        <f t="shared" si="393"/>
        <v>0</v>
      </c>
      <c r="X1309" s="2899"/>
      <c r="Y1309" s="2375"/>
      <c r="Z1309" s="2901"/>
      <c r="AA1309" s="2367"/>
    </row>
    <row r="1310" spans="1:27" ht="25" customHeight="1">
      <c r="A1310" s="2383">
        <v>1</v>
      </c>
      <c r="B1310" s="2379" t="s">
        <v>865</v>
      </c>
      <c r="C1310" s="2370"/>
      <c r="D1310" s="2371"/>
      <c r="E1310" s="2902">
        <f>'10. Vol Saluran+Jln'!$P$469</f>
        <v>100</v>
      </c>
      <c r="F1310" s="2383" t="s">
        <v>117</v>
      </c>
      <c r="G1310" s="2389">
        <v>4393</v>
      </c>
      <c r="H1310" s="2389">
        <f t="shared" ref="H1310:H1315" si="395">E1310*G1310</f>
        <v>439300</v>
      </c>
      <c r="I1310" s="2465">
        <f>'Resume Analisa'!$D$10</f>
        <v>4395.47</v>
      </c>
      <c r="J1310" s="2821">
        <f t="shared" ref="J1310:J1315" si="396">E1310*I1310</f>
        <v>439547</v>
      </c>
      <c r="K1310" s="2378" t="e">
        <f>IF(H1310=0,"",IF(J1310&lt;#REF!*H1310,"Timpang &lt;"&amp;TEXT(#REF!,"0%"),IF(J1310&gt;#REF!*H1310,"Timpang &gt;"&amp;TEXT(#REF!,"0%"),"Wajar")))</f>
        <v>#REF!</v>
      </c>
      <c r="L1310" s="2391">
        <v>4395.47</v>
      </c>
      <c r="M1310" s="2391">
        <f t="shared" ref="M1310:M1315" si="397">E1310*L1310</f>
        <v>439547</v>
      </c>
      <c r="N1310" s="2375">
        <f t="shared" ref="N1310:N1327" si="398">M1310/$M$8*100</f>
        <v>1.9200351000266527E-2</v>
      </c>
      <c r="O1310" s="2375">
        <v>0</v>
      </c>
      <c r="P1310" s="2383"/>
      <c r="Q1310" s="2375">
        <f t="shared" ref="Q1310:Q1347" si="399">O1310*L1310</f>
        <v>0</v>
      </c>
      <c r="R1310" s="2375">
        <f t="shared" si="382"/>
        <v>0</v>
      </c>
      <c r="S1310" s="2375">
        <v>79</v>
      </c>
      <c r="T1310" s="2383"/>
      <c r="U1310" s="2375">
        <f>S1310*L1310</f>
        <v>347242.13</v>
      </c>
      <c r="V1310" s="2375">
        <f t="shared" ref="V1310:V1327" si="400">U1310/$M$8*100</f>
        <v>1.5168277290210556E-2</v>
      </c>
      <c r="W1310" s="2382">
        <f>E1310-S1310</f>
        <v>21</v>
      </c>
      <c r="X1310" s="2383" t="s">
        <v>117</v>
      </c>
      <c r="Y1310" s="2375">
        <f>W1310*L1310</f>
        <v>92304.87000000001</v>
      </c>
      <c r="Z1310" s="2375">
        <f t="shared" ref="Z1310:Z1327" si="401">Y1310/$M$8*100</f>
        <v>4.0320737100559704E-3</v>
      </c>
      <c r="AA1310" s="2377" t="s">
        <v>3371</v>
      </c>
    </row>
    <row r="1311" spans="1:27" ht="25" customHeight="1">
      <c r="A1311" s="2383">
        <f t="shared" ref="A1311:A1316" si="402">A1310+1</f>
        <v>2</v>
      </c>
      <c r="B1311" s="3236" t="s">
        <v>866</v>
      </c>
      <c r="C1311" s="3237"/>
      <c r="D1311" s="3238"/>
      <c r="E1311" s="2902">
        <f>'10. Vol Saluran+Jln'!$P$470</f>
        <v>80</v>
      </c>
      <c r="F1311" s="2383" t="s">
        <v>103</v>
      </c>
      <c r="G1311" s="2389">
        <v>39847.5</v>
      </c>
      <c r="H1311" s="2389">
        <f t="shared" si="395"/>
        <v>3187800</v>
      </c>
      <c r="I1311" s="2465">
        <f>'Resume Analisa'!$D$31</f>
        <v>37946.620000000003</v>
      </c>
      <c r="J1311" s="2821">
        <f t="shared" si="396"/>
        <v>3035729.6</v>
      </c>
      <c r="K1311" s="2378" t="e">
        <f>IF(H1311=0,"",IF(J1311&lt;#REF!*H1311,"Timpang &lt;"&amp;TEXT(#REF!,"0%"),IF(J1311&gt;#REF!*H1311,"Timpang &gt;"&amp;TEXT(#REF!,"0%"),"Wajar")))</f>
        <v>#REF!</v>
      </c>
      <c r="L1311" s="2391">
        <v>37946.620000000003</v>
      </c>
      <c r="M1311" s="2391">
        <f t="shared" si="397"/>
        <v>3035729.6</v>
      </c>
      <c r="N1311" s="2375">
        <f t="shared" si="398"/>
        <v>0.13260714749935434</v>
      </c>
      <c r="O1311" s="2375">
        <v>0</v>
      </c>
      <c r="P1311" s="2383"/>
      <c r="Q1311" s="2375">
        <f t="shared" si="399"/>
        <v>0</v>
      </c>
      <c r="R1311" s="2375">
        <f t="shared" si="382"/>
        <v>0</v>
      </c>
      <c r="S1311" s="2375">
        <v>63.2</v>
      </c>
      <c r="T1311" s="2383"/>
      <c r="U1311" s="2375">
        <f t="shared" ref="U1311:U1327" si="403">S1311*L1311</f>
        <v>2398226.3840000001</v>
      </c>
      <c r="V1311" s="2375">
        <f t="shared" si="400"/>
        <v>0.10475964652448992</v>
      </c>
      <c r="W1311" s="2382">
        <f t="shared" ref="W1311:W1327" si="404">E1311-S1311</f>
        <v>16.799999999999997</v>
      </c>
      <c r="X1311" s="2383" t="s">
        <v>103</v>
      </c>
      <c r="Y1311" s="2375">
        <f t="shared" ref="Y1311:Y1327" si="405">W1311*L1311</f>
        <v>637503.2159999999</v>
      </c>
      <c r="Z1311" s="2375">
        <f t="shared" si="401"/>
        <v>2.7847500974864409E-2</v>
      </c>
      <c r="AA1311" s="2377" t="s">
        <v>3371</v>
      </c>
    </row>
    <row r="1312" spans="1:27" ht="25" customHeight="1">
      <c r="A1312" s="2383">
        <f t="shared" si="402"/>
        <v>3</v>
      </c>
      <c r="B1312" s="3236" t="s">
        <v>867</v>
      </c>
      <c r="C1312" s="3237"/>
      <c r="D1312" s="3238"/>
      <c r="E1312" s="2902">
        <f>'10. Vol Saluran+Jln'!$P$471</f>
        <v>120</v>
      </c>
      <c r="F1312" s="2383" t="s">
        <v>103</v>
      </c>
      <c r="G1312" s="2389">
        <v>490599.08</v>
      </c>
      <c r="H1312" s="2389">
        <f t="shared" si="395"/>
        <v>58871889.600000001</v>
      </c>
      <c r="I1312" s="2465">
        <f>'Resume Analisa'!$D$27</f>
        <v>507538.31</v>
      </c>
      <c r="J1312" s="2821">
        <f t="shared" si="396"/>
        <v>60904597.200000003</v>
      </c>
      <c r="K1312" s="2378" t="e">
        <f>IF(H1312=0,"",IF(J1312&lt;#REF!*H1312,"Timpang &lt;"&amp;TEXT(#REF!,"0%"),IF(J1312&gt;#REF!*H1312,"Timpang &gt;"&amp;TEXT(#REF!,"0%"),"Wajar")))</f>
        <v>#REF!</v>
      </c>
      <c r="L1312" s="2391">
        <v>507538.31</v>
      </c>
      <c r="M1312" s="2391">
        <f t="shared" si="397"/>
        <v>60904597.200000003</v>
      </c>
      <c r="N1312" s="2375">
        <f t="shared" si="398"/>
        <v>2.6604427826144872</v>
      </c>
      <c r="O1312" s="2375">
        <v>0</v>
      </c>
      <c r="P1312" s="2383"/>
      <c r="Q1312" s="2375">
        <f t="shared" si="399"/>
        <v>0</v>
      </c>
      <c r="R1312" s="2375">
        <f t="shared" si="382"/>
        <v>0</v>
      </c>
      <c r="S1312" s="2375">
        <v>94.8</v>
      </c>
      <c r="T1312" s="2383"/>
      <c r="U1312" s="2375">
        <f t="shared" si="403"/>
        <v>48114631.787999995</v>
      </c>
      <c r="V1312" s="2375">
        <f t="shared" si="400"/>
        <v>2.1017497982654443</v>
      </c>
      <c r="W1312" s="2382">
        <f t="shared" si="404"/>
        <v>25.200000000000003</v>
      </c>
      <c r="X1312" s="2383" t="s">
        <v>103</v>
      </c>
      <c r="Y1312" s="2375">
        <f t="shared" si="405"/>
        <v>12789965.412</v>
      </c>
      <c r="Z1312" s="2375">
        <f t="shared" si="401"/>
        <v>0.55869298434904224</v>
      </c>
      <c r="AA1312" s="2377" t="s">
        <v>3371</v>
      </c>
    </row>
    <row r="1313" spans="1:27" ht="25" customHeight="1">
      <c r="A1313" s="2383">
        <f t="shared" si="402"/>
        <v>4</v>
      </c>
      <c r="B1313" s="3236" t="s">
        <v>516</v>
      </c>
      <c r="C1313" s="3237"/>
      <c r="D1313" s="3238"/>
      <c r="E1313" s="2902">
        <f>'10. Vol Saluran+Jln'!$P$473</f>
        <v>40</v>
      </c>
      <c r="F1313" s="2383" t="s">
        <v>103</v>
      </c>
      <c r="G1313" s="2389">
        <v>442578.65</v>
      </c>
      <c r="H1313" s="2389">
        <f t="shared" si="395"/>
        <v>17703146</v>
      </c>
      <c r="I1313" s="2465">
        <f>'Resume Analisa'!$D$28</f>
        <v>438737.73</v>
      </c>
      <c r="J1313" s="2821">
        <f t="shared" si="396"/>
        <v>17549509.199999999</v>
      </c>
      <c r="K1313" s="2378" t="e">
        <f>IF(H1313=0,"",IF(J1313&lt;#REF!*H1313,"Timpang &lt;"&amp;TEXT(#REF!,"0%"),IF(J1313&gt;#REF!*H1313,"Timpang &gt;"&amp;TEXT(#REF!,"0%"),"Wajar")))</f>
        <v>#REF!</v>
      </c>
      <c r="L1313" s="2391">
        <v>438737.73</v>
      </c>
      <c r="M1313" s="2391">
        <f t="shared" si="397"/>
        <v>17549509.199999999</v>
      </c>
      <c r="N1313" s="2375">
        <f t="shared" si="398"/>
        <v>0.76660001438391479</v>
      </c>
      <c r="O1313" s="2375">
        <v>0</v>
      </c>
      <c r="P1313" s="2383"/>
      <c r="Q1313" s="2375">
        <f t="shared" si="399"/>
        <v>0</v>
      </c>
      <c r="R1313" s="2375">
        <f t="shared" si="382"/>
        <v>0</v>
      </c>
      <c r="S1313" s="2375">
        <v>31.6</v>
      </c>
      <c r="T1313" s="2383"/>
      <c r="U1313" s="2375">
        <f t="shared" si="403"/>
        <v>13864112.267999999</v>
      </c>
      <c r="V1313" s="2375">
        <f t="shared" si="400"/>
        <v>0.60561401136329263</v>
      </c>
      <c r="W1313" s="2382">
        <f t="shared" si="404"/>
        <v>8.3999999999999986</v>
      </c>
      <c r="X1313" s="2383" t="s">
        <v>103</v>
      </c>
      <c r="Y1313" s="2375">
        <f t="shared" si="405"/>
        <v>3685396.9319999991</v>
      </c>
      <c r="Z1313" s="2375">
        <f t="shared" si="401"/>
        <v>0.16098600302062205</v>
      </c>
      <c r="AA1313" s="2377" t="s">
        <v>3371</v>
      </c>
    </row>
    <row r="1314" spans="1:27" ht="25" customHeight="1">
      <c r="A1314" s="2383">
        <f t="shared" si="402"/>
        <v>5</v>
      </c>
      <c r="B1314" s="2379" t="s">
        <v>517</v>
      </c>
      <c r="C1314" s="2903"/>
      <c r="D1314" s="2904"/>
      <c r="E1314" s="2902">
        <f>'10. Vol Saluran+Jln'!$P$474</f>
        <v>40</v>
      </c>
      <c r="F1314" s="2383" t="s">
        <v>103</v>
      </c>
      <c r="G1314" s="2389">
        <v>39847.5</v>
      </c>
      <c r="H1314" s="2389">
        <f t="shared" si="395"/>
        <v>1593900</v>
      </c>
      <c r="I1314" s="2465">
        <f>'Resume Analisa'!$D$31</f>
        <v>37946.620000000003</v>
      </c>
      <c r="J1314" s="2821">
        <f t="shared" si="396"/>
        <v>1517864.8</v>
      </c>
      <c r="K1314" s="2378" t="e">
        <f>IF(H1314=0,"",IF(J1314&lt;#REF!*H1314,"Timpang &lt;"&amp;TEXT(#REF!,"0%"),IF(J1314&gt;#REF!*H1314,"Timpang &gt;"&amp;TEXT(#REF!,"0%"),"Wajar")))</f>
        <v>#REF!</v>
      </c>
      <c r="L1314" s="2391">
        <v>37946.620000000003</v>
      </c>
      <c r="M1314" s="2391">
        <f t="shared" si="397"/>
        <v>1517864.8</v>
      </c>
      <c r="N1314" s="2375">
        <f t="shared" si="398"/>
        <v>6.6303573749677172E-2</v>
      </c>
      <c r="O1314" s="2375">
        <v>0</v>
      </c>
      <c r="P1314" s="2383"/>
      <c r="Q1314" s="2375">
        <f t="shared" si="399"/>
        <v>0</v>
      </c>
      <c r="R1314" s="2375">
        <f t="shared" ref="R1314:R1344" si="406">Q1314/$M$8*100</f>
        <v>0</v>
      </c>
      <c r="S1314" s="2375">
        <v>31.6</v>
      </c>
      <c r="T1314" s="2383"/>
      <c r="U1314" s="2375">
        <f t="shared" si="403"/>
        <v>1199113.192</v>
      </c>
      <c r="V1314" s="2375">
        <f t="shared" si="400"/>
        <v>5.2379823262244961E-2</v>
      </c>
      <c r="W1314" s="2382">
        <f t="shared" si="404"/>
        <v>8.3999999999999986</v>
      </c>
      <c r="X1314" s="2383" t="s">
        <v>103</v>
      </c>
      <c r="Y1314" s="2375">
        <f t="shared" si="405"/>
        <v>318751.60799999995</v>
      </c>
      <c r="Z1314" s="2375">
        <f t="shared" si="401"/>
        <v>1.3923750487432204E-2</v>
      </c>
      <c r="AA1314" s="2377" t="s">
        <v>3371</v>
      </c>
    </row>
    <row r="1315" spans="1:27" ht="25" customHeight="1">
      <c r="A1315" s="2383">
        <f t="shared" si="402"/>
        <v>6</v>
      </c>
      <c r="B1315" s="2379" t="s">
        <v>496</v>
      </c>
      <c r="C1315" s="2903"/>
      <c r="D1315" s="2904"/>
      <c r="E1315" s="2902">
        <f>'10. Vol Saluran+Jln'!$P$475</f>
        <v>20</v>
      </c>
      <c r="F1315" s="2383" t="s">
        <v>103</v>
      </c>
      <c r="G1315" s="2389">
        <v>1422226.08</v>
      </c>
      <c r="H1315" s="2389">
        <f t="shared" si="395"/>
        <v>28444521.600000001</v>
      </c>
      <c r="I1315" s="2465">
        <f>'Resume Analisa'!$D$54</f>
        <v>1384580.76</v>
      </c>
      <c r="J1315" s="2821">
        <f t="shared" si="396"/>
        <v>27691615.199999999</v>
      </c>
      <c r="K1315" s="2378" t="e">
        <f>IF(H1315=0,"",IF(J1315&lt;#REF!*H1315,"Timpang &lt;"&amp;TEXT(#REF!,"0%"),IF(J1315&gt;#REF!*H1315,"Timpang &gt;"&amp;TEXT(#REF!,"0%"),"Wajar")))</f>
        <v>#REF!</v>
      </c>
      <c r="L1315" s="2391">
        <v>1384580.76</v>
      </c>
      <c r="M1315" s="2391">
        <f t="shared" si="397"/>
        <v>27691615.199999999</v>
      </c>
      <c r="N1315" s="2375">
        <f t="shared" si="398"/>
        <v>1.2096288488018703</v>
      </c>
      <c r="O1315" s="2375">
        <v>0</v>
      </c>
      <c r="P1315" s="2383"/>
      <c r="Q1315" s="2375">
        <f t="shared" si="399"/>
        <v>0</v>
      </c>
      <c r="R1315" s="2375">
        <f t="shared" si="406"/>
        <v>0</v>
      </c>
      <c r="S1315" s="2375">
        <v>15.8</v>
      </c>
      <c r="T1315" s="2383"/>
      <c r="U1315" s="2375">
        <f t="shared" si="403"/>
        <v>21876376.008000001</v>
      </c>
      <c r="V1315" s="2375">
        <f t="shared" si="400"/>
        <v>0.95560679055347775</v>
      </c>
      <c r="W1315" s="2382">
        <f t="shared" si="404"/>
        <v>4.1999999999999993</v>
      </c>
      <c r="X1315" s="2383" t="s">
        <v>103</v>
      </c>
      <c r="Y1315" s="2375">
        <f t="shared" si="405"/>
        <v>5815239.1919999989</v>
      </c>
      <c r="Z1315" s="2375">
        <f t="shared" si="401"/>
        <v>0.25402205824839275</v>
      </c>
      <c r="AA1315" s="2377" t="s">
        <v>3371</v>
      </c>
    </row>
    <row r="1316" spans="1:27" ht="25" customHeight="1">
      <c r="A1316" s="2383">
        <f t="shared" si="402"/>
        <v>7</v>
      </c>
      <c r="B1316" s="3236" t="s">
        <v>868</v>
      </c>
      <c r="C1316" s="3237"/>
      <c r="D1316" s="3238"/>
      <c r="E1316" s="2902"/>
      <c r="F1316" s="2383"/>
      <c r="G1316" s="2389"/>
      <c r="H1316" s="2389"/>
      <c r="I1316" s="2465"/>
      <c r="J1316" s="2779"/>
      <c r="K1316" s="2389"/>
      <c r="L1316" s="2391"/>
      <c r="M1316" s="2391"/>
      <c r="N1316" s="2375">
        <f t="shared" si="398"/>
        <v>0</v>
      </c>
      <c r="O1316" s="2375">
        <v>0</v>
      </c>
      <c r="P1316" s="2383"/>
      <c r="Q1316" s="2375">
        <f t="shared" si="399"/>
        <v>0</v>
      </c>
      <c r="R1316" s="2375">
        <f t="shared" si="406"/>
        <v>0</v>
      </c>
      <c r="S1316" s="2375"/>
      <c r="T1316" s="2383"/>
      <c r="U1316" s="2375">
        <f t="shared" si="403"/>
        <v>0</v>
      </c>
      <c r="V1316" s="2375">
        <f t="shared" si="400"/>
        <v>0</v>
      </c>
      <c r="W1316" s="2382">
        <f t="shared" si="404"/>
        <v>0</v>
      </c>
      <c r="X1316" s="2383"/>
      <c r="Y1316" s="2375">
        <f t="shared" si="405"/>
        <v>0</v>
      </c>
      <c r="Z1316" s="2375">
        <f t="shared" si="401"/>
        <v>0</v>
      </c>
      <c r="AA1316" s="2377"/>
    </row>
    <row r="1317" spans="1:27" ht="25" customHeight="1">
      <c r="A1317" s="2890" t="s">
        <v>95</v>
      </c>
      <c r="B1317" s="3236" t="s">
        <v>869</v>
      </c>
      <c r="C1317" s="3237"/>
      <c r="D1317" s="3238"/>
      <c r="E1317" s="2902">
        <f>'10. Vol Saluran+Jln'!$P$477</f>
        <v>30</v>
      </c>
      <c r="F1317" s="2396" t="s">
        <v>89</v>
      </c>
      <c r="G1317" s="2389">
        <v>230885.5</v>
      </c>
      <c r="H1317" s="2389">
        <f>E1317*G1317</f>
        <v>6926565</v>
      </c>
      <c r="I1317" s="2872">
        <f>'Resume Analisa'!$D$39</f>
        <v>232328.86000000002</v>
      </c>
      <c r="J1317" s="2821">
        <f>E1317*I1317</f>
        <v>6969865.8000000007</v>
      </c>
      <c r="K1317" s="2378" t="e">
        <f>IF(H1317=0,"",IF(J1317&lt;#REF!*H1317,"Timpang &lt;"&amp;TEXT(#REF!,"0%"),IF(J1317&gt;#REF!*H1317,"Timpang &gt;"&amp;TEXT(#REF!,"0%"),"Wajar")))</f>
        <v>#REF!</v>
      </c>
      <c r="L1317" s="2391">
        <v>232328.86000000002</v>
      </c>
      <c r="M1317" s="2391">
        <f>E1317*L1317</f>
        <v>6969865.8000000007</v>
      </c>
      <c r="N1317" s="2375">
        <f t="shared" si="398"/>
        <v>0.30445861258239382</v>
      </c>
      <c r="O1317" s="2375">
        <v>0</v>
      </c>
      <c r="P1317" s="2396"/>
      <c r="Q1317" s="2375">
        <f t="shared" si="399"/>
        <v>0</v>
      </c>
      <c r="R1317" s="2375">
        <f t="shared" si="406"/>
        <v>0</v>
      </c>
      <c r="S1317" s="2375">
        <v>23.7</v>
      </c>
      <c r="T1317" s="2396"/>
      <c r="U1317" s="2375">
        <f t="shared" si="403"/>
        <v>5506193.9819999998</v>
      </c>
      <c r="V1317" s="2375">
        <f t="shared" si="400"/>
        <v>0.24052230394009111</v>
      </c>
      <c r="W1317" s="2382">
        <f t="shared" si="404"/>
        <v>6.3000000000000007</v>
      </c>
      <c r="X1317" s="2396" t="s">
        <v>89</v>
      </c>
      <c r="Y1317" s="2375">
        <f t="shared" si="405"/>
        <v>1463671.8180000002</v>
      </c>
      <c r="Z1317" s="2375">
        <f t="shared" si="401"/>
        <v>6.3936308642302708E-2</v>
      </c>
      <c r="AA1317" s="2377" t="s">
        <v>3371</v>
      </c>
    </row>
    <row r="1318" spans="1:27" ht="25" customHeight="1">
      <c r="A1318" s="2890" t="s">
        <v>98</v>
      </c>
      <c r="B1318" s="2379" t="s">
        <v>870</v>
      </c>
      <c r="C1318" s="2903"/>
      <c r="D1318" s="2904"/>
      <c r="E1318" s="2902">
        <f>'10. Vol Saluran+Jln'!$P$478</f>
        <v>420</v>
      </c>
      <c r="F1318" s="2396" t="s">
        <v>89</v>
      </c>
      <c r="G1318" s="2389">
        <v>76182.909999999989</v>
      </c>
      <c r="H1318" s="2389">
        <f>E1318*G1318</f>
        <v>31996822.199999996</v>
      </c>
      <c r="I1318" s="2465">
        <f>'Resume Analisa'!$D$51</f>
        <v>78144.03</v>
      </c>
      <c r="J1318" s="2821">
        <f>E1318*I1318</f>
        <v>32820492.599999998</v>
      </c>
      <c r="K1318" s="2378" t="e">
        <f>IF(H1318=0,"",IF(J1318&lt;#REF!*H1318,"Timpang &lt;"&amp;TEXT(#REF!,"0%"),IF(J1318&gt;#REF!*H1318,"Timpang &gt;"&amp;TEXT(#REF!,"0%"),"Wajar")))</f>
        <v>#REF!</v>
      </c>
      <c r="L1318" s="2391">
        <v>78144.03</v>
      </c>
      <c r="M1318" s="2391">
        <f>E1318*L1318</f>
        <v>32820492.599999998</v>
      </c>
      <c r="N1318" s="2375">
        <f t="shared" si="398"/>
        <v>1.4336691592062967</v>
      </c>
      <c r="O1318" s="2375">
        <v>0</v>
      </c>
      <c r="P1318" s="2396"/>
      <c r="Q1318" s="2375">
        <f t="shared" si="399"/>
        <v>0</v>
      </c>
      <c r="R1318" s="2375">
        <f t="shared" si="406"/>
        <v>0</v>
      </c>
      <c r="S1318" s="2375">
        <v>331.8</v>
      </c>
      <c r="T1318" s="2396"/>
      <c r="U1318" s="2375">
        <f t="shared" si="403"/>
        <v>25928189.153999999</v>
      </c>
      <c r="V1318" s="2375">
        <f t="shared" si="400"/>
        <v>1.1325986357729745</v>
      </c>
      <c r="W1318" s="2382">
        <f t="shared" si="404"/>
        <v>88.199999999999989</v>
      </c>
      <c r="X1318" s="2396" t="s">
        <v>89</v>
      </c>
      <c r="Y1318" s="2375">
        <f t="shared" si="405"/>
        <v>6892303.4459999986</v>
      </c>
      <c r="Z1318" s="2375">
        <f t="shared" si="401"/>
        <v>0.3010705234333223</v>
      </c>
      <c r="AA1318" s="2377" t="s">
        <v>3371</v>
      </c>
    </row>
    <row r="1319" spans="1:27" ht="25" customHeight="1">
      <c r="A1319" s="2890" t="s">
        <v>101</v>
      </c>
      <c r="B1319" s="2379" t="s">
        <v>871</v>
      </c>
      <c r="C1319" s="2903"/>
      <c r="D1319" s="2904"/>
      <c r="E1319" s="2902">
        <f>'10. Vol Saluran+Jln'!$P$479</f>
        <v>0.46</v>
      </c>
      <c r="F1319" s="2396" t="s">
        <v>100</v>
      </c>
      <c r="G1319" s="2389">
        <v>800000</v>
      </c>
      <c r="H1319" s="2389">
        <f>E1319*G1319</f>
        <v>368000</v>
      </c>
      <c r="I1319" s="2465">
        <f>'Bahan &amp; Upah'!C$367</f>
        <v>768167.35</v>
      </c>
      <c r="J1319" s="2821">
        <f>E1319*I1319</f>
        <v>353356.98100000003</v>
      </c>
      <c r="K1319" s="2378" t="e">
        <f>IF(H1319=0,"",IF(J1319&lt;#REF!*H1319,"Timpang &lt;"&amp;TEXT(#REF!,"0%"),IF(J1319&gt;#REF!*H1319,"Timpang &gt;"&amp;TEXT(#REF!,"0%"),"Wajar")))</f>
        <v>#REF!</v>
      </c>
      <c r="L1319" s="2391">
        <v>768167.35</v>
      </c>
      <c r="M1319" s="2391">
        <f>E1319*L1319</f>
        <v>353356.98100000003</v>
      </c>
      <c r="N1319" s="2375">
        <f t="shared" si="398"/>
        <v>1.5435387031636003E-2</v>
      </c>
      <c r="O1319" s="2375">
        <v>0</v>
      </c>
      <c r="P1319" s="2396"/>
      <c r="Q1319" s="2375">
        <f t="shared" si="399"/>
        <v>0</v>
      </c>
      <c r="R1319" s="2375">
        <f t="shared" si="406"/>
        <v>0</v>
      </c>
      <c r="S1319" s="2375">
        <v>0</v>
      </c>
      <c r="T1319" s="2396"/>
      <c r="U1319" s="2375">
        <f t="shared" si="403"/>
        <v>0</v>
      </c>
      <c r="V1319" s="2375">
        <f t="shared" si="400"/>
        <v>0</v>
      </c>
      <c r="W1319" s="2382">
        <f t="shared" si="404"/>
        <v>0.46</v>
      </c>
      <c r="X1319" s="2396" t="s">
        <v>100</v>
      </c>
      <c r="Y1319" s="2375">
        <f t="shared" si="405"/>
        <v>353356.98100000003</v>
      </c>
      <c r="Z1319" s="2375">
        <f t="shared" si="401"/>
        <v>1.5435387031636003E-2</v>
      </c>
      <c r="AA1319" s="2377"/>
    </row>
    <row r="1320" spans="1:27" ht="25" customHeight="1">
      <c r="A1320" s="2890" t="s">
        <v>121</v>
      </c>
      <c r="B1320" s="2379" t="s">
        <v>872</v>
      </c>
      <c r="C1320" s="2903"/>
      <c r="D1320" s="2904"/>
      <c r="E1320" s="2902">
        <f>'10. Vol Saluran+Jln'!$P$480</f>
        <v>240</v>
      </c>
      <c r="F1320" s="2396" t="s">
        <v>89</v>
      </c>
      <c r="G1320" s="2389">
        <v>12000</v>
      </c>
      <c r="H1320" s="2389">
        <f>E1320*G1320</f>
        <v>2880000</v>
      </c>
      <c r="I1320" s="2465">
        <f>'Bahan &amp; Upah'!C$366</f>
        <v>11446.8</v>
      </c>
      <c r="J1320" s="2821">
        <f>E1320*I1320</f>
        <v>2747232</v>
      </c>
      <c r="K1320" s="2378" t="e">
        <f>IF(H1320=0,"",IF(J1320&lt;#REF!*H1320,"Timpang &lt;"&amp;TEXT(#REF!,"0%"),IF(J1320&gt;#REF!*H1320,"Timpang &gt;"&amp;TEXT(#REF!,"0%"),"Wajar")))</f>
        <v>#REF!</v>
      </c>
      <c r="L1320" s="2391">
        <v>11446.8</v>
      </c>
      <c r="M1320" s="2391">
        <f>E1320*L1320</f>
        <v>2747232</v>
      </c>
      <c r="N1320" s="2375">
        <f t="shared" si="398"/>
        <v>0.12000495664664804</v>
      </c>
      <c r="O1320" s="2375">
        <v>0</v>
      </c>
      <c r="P1320" s="2396"/>
      <c r="Q1320" s="2375">
        <f t="shared" si="399"/>
        <v>0</v>
      </c>
      <c r="R1320" s="2375">
        <f t="shared" si="406"/>
        <v>0</v>
      </c>
      <c r="S1320" s="2375">
        <v>189.6</v>
      </c>
      <c r="T1320" s="2396"/>
      <c r="U1320" s="2375">
        <f t="shared" si="403"/>
        <v>2170313.2799999998</v>
      </c>
      <c r="V1320" s="2375">
        <f t="shared" si="400"/>
        <v>9.4803915750851953E-2</v>
      </c>
      <c r="W1320" s="2382">
        <f t="shared" si="404"/>
        <v>50.400000000000006</v>
      </c>
      <c r="X1320" s="2396" t="s">
        <v>89</v>
      </c>
      <c r="Y1320" s="2375">
        <f t="shared" si="405"/>
        <v>576918.72</v>
      </c>
      <c r="Z1320" s="2375">
        <f t="shared" si="401"/>
        <v>2.5201040895796091E-2</v>
      </c>
      <c r="AA1320" s="2377" t="s">
        <v>3371</v>
      </c>
    </row>
    <row r="1321" spans="1:27" s="18" customFormat="1" ht="25" customHeight="1">
      <c r="A1321" s="2890" t="s">
        <v>101</v>
      </c>
      <c r="B1321" s="2905" t="s">
        <v>873</v>
      </c>
      <c r="C1321" s="2903"/>
      <c r="D1321" s="2904"/>
      <c r="E1321" s="2906"/>
      <c r="F1321" s="2383"/>
      <c r="G1321" s="2384"/>
      <c r="H1321" s="2384"/>
      <c r="I1321" s="2907"/>
      <c r="J1321" s="2908"/>
      <c r="K1321" s="2384"/>
      <c r="L1321" s="2374"/>
      <c r="M1321" s="2374"/>
      <c r="N1321" s="2375">
        <f t="shared" si="398"/>
        <v>0</v>
      </c>
      <c r="O1321" s="2375">
        <v>0</v>
      </c>
      <c r="P1321" s="2383"/>
      <c r="Q1321" s="2375">
        <f t="shared" si="399"/>
        <v>0</v>
      </c>
      <c r="R1321" s="2375">
        <f t="shared" si="406"/>
        <v>0</v>
      </c>
      <c r="S1321" s="2386"/>
      <c r="T1321" s="2383"/>
      <c r="U1321" s="2375">
        <f t="shared" si="403"/>
        <v>0</v>
      </c>
      <c r="V1321" s="2375">
        <f t="shared" si="400"/>
        <v>0</v>
      </c>
      <c r="W1321" s="2382">
        <f t="shared" si="404"/>
        <v>0</v>
      </c>
      <c r="X1321" s="2383"/>
      <c r="Y1321" s="2375">
        <f t="shared" si="405"/>
        <v>0</v>
      </c>
      <c r="Z1321" s="2375">
        <f t="shared" si="401"/>
        <v>0</v>
      </c>
      <c r="AA1321" s="2377"/>
    </row>
    <row r="1322" spans="1:27" s="18" customFormat="1" ht="25" customHeight="1">
      <c r="A1322" s="2890"/>
      <c r="B1322" s="2905" t="s">
        <v>874</v>
      </c>
      <c r="C1322" s="2903"/>
      <c r="D1322" s="2904"/>
      <c r="E1322" s="2906">
        <f>'10. Vol Saluran+Jln'!$P$482</f>
        <v>107.32</v>
      </c>
      <c r="F1322" s="2909" t="s">
        <v>100</v>
      </c>
      <c r="G1322" s="2910">
        <v>25591.18</v>
      </c>
      <c r="H1322" s="2384">
        <f t="shared" ref="H1322:H1327" si="407">E1322*G1322</f>
        <v>2746445.4375999998</v>
      </c>
      <c r="I1322" s="2911">
        <f>'Resume Analisa'!$D$47</f>
        <v>26179.679999999997</v>
      </c>
      <c r="J1322" s="2912">
        <f t="shared" ref="J1322:J1327" si="408">E1322*I1322</f>
        <v>2809603.2575999997</v>
      </c>
      <c r="K1322" s="2383" t="e">
        <f>IF(H1322=0,"",IF(J1322&lt;#REF!*H1322,"Timpang &lt;"&amp;TEXT(#REF!,"0%"),IF(J1322&gt;#REF!*H1322,"Timpang &gt;"&amp;TEXT(#REF!,"0%"),"Wajar")))</f>
        <v>#REF!</v>
      </c>
      <c r="L1322" s="2913">
        <v>26179.679999999997</v>
      </c>
      <c r="M1322" s="2374">
        <f t="shared" ref="M1322:M1327" si="409">E1322*L1322</f>
        <v>2809603.2575999997</v>
      </c>
      <c r="N1322" s="2375">
        <f t="shared" si="398"/>
        <v>0.12272946628554453</v>
      </c>
      <c r="O1322" s="2375">
        <v>0</v>
      </c>
      <c r="P1322" s="2909"/>
      <c r="Q1322" s="2375">
        <f t="shared" si="399"/>
        <v>0</v>
      </c>
      <c r="R1322" s="2375">
        <f t="shared" si="406"/>
        <v>0</v>
      </c>
      <c r="S1322" s="2386">
        <v>82.07</v>
      </c>
      <c r="T1322" s="2909"/>
      <c r="U1322" s="2375">
        <f t="shared" si="403"/>
        <v>2148566.3375999997</v>
      </c>
      <c r="V1322" s="2375">
        <f t="shared" si="400"/>
        <v>9.3853962896521065E-2</v>
      </c>
      <c r="W1322" s="2382">
        <f t="shared" si="404"/>
        <v>25.25</v>
      </c>
      <c r="X1322" s="2909" t="s">
        <v>100</v>
      </c>
      <c r="Y1322" s="2375">
        <f t="shared" si="405"/>
        <v>661036.91999999993</v>
      </c>
      <c r="Z1322" s="2375">
        <f t="shared" si="401"/>
        <v>2.8875503389023477E-2</v>
      </c>
      <c r="AA1322" s="2377" t="s">
        <v>3371</v>
      </c>
    </row>
    <row r="1323" spans="1:27" s="18" customFormat="1" ht="25" customHeight="1">
      <c r="A1323" s="2890"/>
      <c r="B1323" s="2905" t="s">
        <v>875</v>
      </c>
      <c r="C1323" s="2903"/>
      <c r="D1323" s="2904"/>
      <c r="E1323" s="2906">
        <f>'10. Vol Saluran+Jln'!$P$483</f>
        <v>79.819999999999993</v>
      </c>
      <c r="F1323" s="2909" t="s">
        <v>100</v>
      </c>
      <c r="G1323" s="2910">
        <v>25591.18</v>
      </c>
      <c r="H1323" s="2384">
        <f t="shared" si="407"/>
        <v>2042687.9875999999</v>
      </c>
      <c r="I1323" s="2911">
        <f>'Resume Analisa'!$D$47</f>
        <v>26179.679999999997</v>
      </c>
      <c r="J1323" s="2912">
        <f t="shared" si="408"/>
        <v>2089662.0575999995</v>
      </c>
      <c r="K1323" s="2383" t="e">
        <f>IF(H1323=0,"",IF(J1323&lt;#REF!*H1323,"Timpang &lt;"&amp;TEXT(#REF!,"0%"),IF(J1323&gt;#REF!*H1323,"Timpang &gt;"&amp;TEXT(#REF!,"0%"),"Wajar")))</f>
        <v>#REF!</v>
      </c>
      <c r="L1323" s="2913">
        <v>26179.679999999997</v>
      </c>
      <c r="M1323" s="2374">
        <f t="shared" si="409"/>
        <v>2089662.0575999995</v>
      </c>
      <c r="N1323" s="2375">
        <f t="shared" si="398"/>
        <v>9.1280898238093211E-2</v>
      </c>
      <c r="O1323" s="2375">
        <v>0</v>
      </c>
      <c r="P1323" s="2909"/>
      <c r="Q1323" s="2375">
        <f t="shared" si="399"/>
        <v>0</v>
      </c>
      <c r="R1323" s="2375">
        <f t="shared" si="406"/>
        <v>0</v>
      </c>
      <c r="S1323" s="2386">
        <v>61.039999999999992</v>
      </c>
      <c r="T1323" s="2909"/>
      <c r="U1323" s="2375">
        <f t="shared" si="403"/>
        <v>1598007.6671999996</v>
      </c>
      <c r="V1323" s="2375">
        <f t="shared" si="400"/>
        <v>6.9804385222415555E-2</v>
      </c>
      <c r="W1323" s="2382">
        <f t="shared" si="404"/>
        <v>18.78</v>
      </c>
      <c r="X1323" s="2909" t="s">
        <v>100</v>
      </c>
      <c r="Y1323" s="2375">
        <f t="shared" si="405"/>
        <v>491654.39039999997</v>
      </c>
      <c r="Z1323" s="2375">
        <f t="shared" si="401"/>
        <v>2.147651301567766E-2</v>
      </c>
      <c r="AA1323" s="2377" t="s">
        <v>3371</v>
      </c>
    </row>
    <row r="1324" spans="1:27" s="18" customFormat="1" ht="25" customHeight="1">
      <c r="A1324" s="2890" t="s">
        <v>121</v>
      </c>
      <c r="B1324" s="2905" t="s">
        <v>876</v>
      </c>
      <c r="C1324" s="2903"/>
      <c r="D1324" s="2904"/>
      <c r="E1324" s="2906">
        <f>'10. Vol Saluran+Jln'!$P$484</f>
        <v>173.58</v>
      </c>
      <c r="F1324" s="2909" t="s">
        <v>100</v>
      </c>
      <c r="G1324" s="2910">
        <v>25591.18</v>
      </c>
      <c r="H1324" s="2384">
        <f t="shared" si="407"/>
        <v>4442117.0244000005</v>
      </c>
      <c r="I1324" s="2911">
        <f>'Resume Analisa'!$D$47</f>
        <v>26179.679999999997</v>
      </c>
      <c r="J1324" s="2912">
        <f t="shared" si="408"/>
        <v>4544268.8543999996</v>
      </c>
      <c r="K1324" s="2383" t="e">
        <f>IF(H1324=0,"",IF(J1324&lt;#REF!*H1324,"Timpang &lt;"&amp;TEXT(#REF!,"0%"),IF(J1324&gt;#REF!*H1324,"Timpang &gt;"&amp;TEXT(#REF!,"0%"),"Wajar")))</f>
        <v>#REF!</v>
      </c>
      <c r="L1324" s="2913">
        <v>26179.679999999997</v>
      </c>
      <c r="M1324" s="2374">
        <f t="shared" si="409"/>
        <v>4544268.8543999996</v>
      </c>
      <c r="N1324" s="2375">
        <f t="shared" si="398"/>
        <v>0.19850336151551268</v>
      </c>
      <c r="O1324" s="2375">
        <v>0</v>
      </c>
      <c r="P1324" s="2909"/>
      <c r="Q1324" s="2375">
        <f t="shared" si="399"/>
        <v>0</v>
      </c>
      <c r="R1324" s="2375">
        <f t="shared" si="406"/>
        <v>0</v>
      </c>
      <c r="S1324" s="2386">
        <v>132.74</v>
      </c>
      <c r="T1324" s="2909"/>
      <c r="U1324" s="2375">
        <f t="shared" si="403"/>
        <v>3475090.7231999999</v>
      </c>
      <c r="V1324" s="2375">
        <f t="shared" si="400"/>
        <v>0.15179937900431592</v>
      </c>
      <c r="W1324" s="2382">
        <f t="shared" si="404"/>
        <v>40.840000000000003</v>
      </c>
      <c r="X1324" s="2909" t="s">
        <v>100</v>
      </c>
      <c r="Y1324" s="2375">
        <f t="shared" si="405"/>
        <v>1069178.1311999999</v>
      </c>
      <c r="Z1324" s="2375">
        <f t="shared" si="401"/>
        <v>4.6703982511196791E-2</v>
      </c>
      <c r="AA1324" s="2377" t="s">
        <v>3371</v>
      </c>
    </row>
    <row r="1325" spans="1:27" s="18" customFormat="1" ht="25" customHeight="1">
      <c r="A1325" s="2890" t="s">
        <v>142</v>
      </c>
      <c r="B1325" s="2905" t="s">
        <v>877</v>
      </c>
      <c r="C1325" s="2903"/>
      <c r="D1325" s="2904"/>
      <c r="E1325" s="2906">
        <f>'10. Vol Saluran+Jln'!$P$485</f>
        <v>95.2</v>
      </c>
      <c r="F1325" s="2909" t="s">
        <v>117</v>
      </c>
      <c r="G1325" s="2910">
        <v>38778</v>
      </c>
      <c r="H1325" s="2384">
        <f t="shared" si="407"/>
        <v>3691665.6</v>
      </c>
      <c r="I1325" s="2911">
        <f>'Resume Analisa'!$D$175</f>
        <v>38288.97</v>
      </c>
      <c r="J1325" s="2912">
        <f t="shared" si="408"/>
        <v>3645109.9440000001</v>
      </c>
      <c r="K1325" s="2383" t="e">
        <f>IF(H1325=0,"",IF(J1325&lt;#REF!*H1325,"Timpang &lt;"&amp;TEXT(#REF!,"0%"),IF(J1325&gt;#REF!*H1325,"Timpang &gt;"&amp;TEXT(#REF!,"0%"),"Wajar")))</f>
        <v>#REF!</v>
      </c>
      <c r="L1325" s="2913">
        <v>38288.97</v>
      </c>
      <c r="M1325" s="2374">
        <f t="shared" si="409"/>
        <v>3645109.9440000001</v>
      </c>
      <c r="N1325" s="2375">
        <f t="shared" si="398"/>
        <v>0.15922618140804479</v>
      </c>
      <c r="O1325" s="2375">
        <v>0</v>
      </c>
      <c r="P1325" s="2909"/>
      <c r="Q1325" s="2375">
        <f t="shared" si="399"/>
        <v>0</v>
      </c>
      <c r="R1325" s="2375">
        <f t="shared" si="406"/>
        <v>0</v>
      </c>
      <c r="S1325" s="2386">
        <v>72.800000000000011</v>
      </c>
      <c r="T1325" s="2909"/>
      <c r="U1325" s="2375">
        <f t="shared" si="403"/>
        <v>2787437.0160000003</v>
      </c>
      <c r="V1325" s="2375">
        <f t="shared" si="400"/>
        <v>0.12176119754732836</v>
      </c>
      <c r="W1325" s="2382">
        <f t="shared" si="404"/>
        <v>22.399999999999991</v>
      </c>
      <c r="X1325" s="2909" t="s">
        <v>117</v>
      </c>
      <c r="Y1325" s="2375">
        <f t="shared" si="405"/>
        <v>857672.92799999972</v>
      </c>
      <c r="Z1325" s="2375">
        <f t="shared" si="401"/>
        <v>3.7464983860716408E-2</v>
      </c>
      <c r="AA1325" s="2377" t="s">
        <v>3371</v>
      </c>
    </row>
    <row r="1326" spans="1:27" ht="25" customHeight="1">
      <c r="A1326" s="2890" t="s">
        <v>101</v>
      </c>
      <c r="B1326" s="3208" t="s">
        <v>878</v>
      </c>
      <c r="C1326" s="3209"/>
      <c r="D1326" s="3210"/>
      <c r="E1326" s="2906">
        <f>'10. Vol Saluran+Jln'!$P$486</f>
        <v>60</v>
      </c>
      <c r="F1326" s="2383" t="s">
        <v>103</v>
      </c>
      <c r="G1326" s="2389">
        <v>1584129.98</v>
      </c>
      <c r="H1326" s="2389">
        <f t="shared" si="407"/>
        <v>95047798.799999997</v>
      </c>
      <c r="I1326" s="2465">
        <f>'Resume Analisa'!$D$55</f>
        <v>1535009.1300000001</v>
      </c>
      <c r="J1326" s="2821">
        <f t="shared" si="408"/>
        <v>92100547.800000012</v>
      </c>
      <c r="K1326" s="2378" t="e">
        <f>IF(H1326=0,"",IF(J1326&lt;#REF!*H1326,"Timpang &lt;"&amp;TEXT(#REF!,"0%"),IF(J1326&gt;#REF!*H1326,"Timpang &gt;"&amp;TEXT(#REF!,"0%"),"Wajar")))</f>
        <v>#REF!</v>
      </c>
      <c r="L1326" s="2391">
        <v>1535009.1300000001</v>
      </c>
      <c r="M1326" s="2391">
        <f t="shared" si="409"/>
        <v>92100547.800000012</v>
      </c>
      <c r="N1326" s="2375">
        <f t="shared" si="398"/>
        <v>4.0231484803145632</v>
      </c>
      <c r="O1326" s="2375">
        <v>0</v>
      </c>
      <c r="P1326" s="2383"/>
      <c r="Q1326" s="2375">
        <f t="shared" si="399"/>
        <v>0</v>
      </c>
      <c r="R1326" s="2375">
        <f t="shared" si="406"/>
        <v>0</v>
      </c>
      <c r="S1326" s="2375">
        <v>47.4</v>
      </c>
      <c r="T1326" s="2383"/>
      <c r="U1326" s="2375">
        <f t="shared" si="403"/>
        <v>72759432.762000009</v>
      </c>
      <c r="V1326" s="2375">
        <f t="shared" si="400"/>
        <v>3.1782872994485047</v>
      </c>
      <c r="W1326" s="2382">
        <f t="shared" si="404"/>
        <v>12.600000000000001</v>
      </c>
      <c r="X1326" s="2383" t="s">
        <v>103</v>
      </c>
      <c r="Y1326" s="2375">
        <f t="shared" si="405"/>
        <v>19341115.038000003</v>
      </c>
      <c r="Z1326" s="2375">
        <f t="shared" si="401"/>
        <v>0.84486118086605833</v>
      </c>
      <c r="AA1326" s="2377" t="s">
        <v>3371</v>
      </c>
    </row>
    <row r="1327" spans="1:27" ht="25" customHeight="1">
      <c r="A1327" s="2914" t="s">
        <v>121</v>
      </c>
      <c r="B1327" s="2829" t="s">
        <v>218</v>
      </c>
      <c r="C1327" s="2915"/>
      <c r="D1327" s="2916"/>
      <c r="E1327" s="2917">
        <f>'10. Vol Saluran+Jln'!$P$487</f>
        <v>60</v>
      </c>
      <c r="F1327" s="2895" t="s">
        <v>103</v>
      </c>
      <c r="G1327" s="2405">
        <v>43240</v>
      </c>
      <c r="H1327" s="2405">
        <f t="shared" si="407"/>
        <v>2594400</v>
      </c>
      <c r="I1327" s="2574">
        <f>'Resume Analisa'!$D$60</f>
        <v>42304.98</v>
      </c>
      <c r="J1327" s="2918">
        <f t="shared" si="408"/>
        <v>2538298.8000000003</v>
      </c>
      <c r="K1327" s="2408" t="e">
        <f>IF(H1327=0,"",IF(J1327&lt;#REF!*H1327,"Timpang &lt;"&amp;TEXT(#REF!,"0%"),IF(J1327&gt;#REF!*H1327,"Timpang &gt;"&amp;TEXT(#REF!,"0%"),"Wajar")))</f>
        <v>#REF!</v>
      </c>
      <c r="L1327" s="2410">
        <v>42304.98</v>
      </c>
      <c r="M1327" s="2410">
        <f t="shared" si="409"/>
        <v>2538298.8000000003</v>
      </c>
      <c r="N1327" s="2411">
        <f t="shared" si="398"/>
        <v>0.11087830858487337</v>
      </c>
      <c r="O1327" s="2411">
        <v>0</v>
      </c>
      <c r="P1327" s="2895"/>
      <c r="Q1327" s="2411">
        <f t="shared" si="399"/>
        <v>0</v>
      </c>
      <c r="R1327" s="2411">
        <f t="shared" si="406"/>
        <v>0</v>
      </c>
      <c r="S1327" s="2411">
        <f>S1326</f>
        <v>47.4</v>
      </c>
      <c r="T1327" s="2895"/>
      <c r="U1327" s="2411">
        <f t="shared" si="403"/>
        <v>2005256.0520000001</v>
      </c>
      <c r="V1327" s="2411">
        <f t="shared" si="400"/>
        <v>8.7593863782049947E-2</v>
      </c>
      <c r="W1327" s="2402">
        <f t="shared" si="404"/>
        <v>12.600000000000001</v>
      </c>
      <c r="X1327" s="2895" t="s">
        <v>103</v>
      </c>
      <c r="Y1327" s="2411">
        <f t="shared" si="405"/>
        <v>533042.74800000014</v>
      </c>
      <c r="Z1327" s="2411">
        <f t="shared" si="401"/>
        <v>2.3284444802823406E-2</v>
      </c>
      <c r="AA1327" s="2377" t="s">
        <v>3371</v>
      </c>
    </row>
    <row r="1328" spans="1:27" ht="25" customHeight="1">
      <c r="A1328" s="2807"/>
      <c r="B1328" s="2808"/>
      <c r="C1328" s="2809"/>
      <c r="D1328" s="2512" t="s">
        <v>376</v>
      </c>
      <c r="E1328" s="2810"/>
      <c r="F1328" s="2811"/>
      <c r="G1328" s="2581"/>
      <c r="H1328" s="2581">
        <f>SUM(H1310:H1327)</f>
        <v>262977059.24959993</v>
      </c>
      <c r="I1328" s="2844"/>
      <c r="J1328" s="2582">
        <f>SUM(J1310:J1327)</f>
        <v>261757301.09460005</v>
      </c>
      <c r="K1328" s="2581"/>
      <c r="L1328" s="2584"/>
      <c r="M1328" s="2584">
        <f>SUM(M1310:M1327)</f>
        <v>261757301.09460005</v>
      </c>
      <c r="N1328" s="2424">
        <f>M1328/M8*100</f>
        <v>11.434117529863178</v>
      </c>
      <c r="O1328" s="2426">
        <v>0</v>
      </c>
      <c r="P1328" s="2811"/>
      <c r="Q1328" s="2426">
        <f t="shared" si="399"/>
        <v>0</v>
      </c>
      <c r="R1328" s="2426">
        <f t="shared" si="406"/>
        <v>0</v>
      </c>
      <c r="S1328" s="2845"/>
      <c r="T1328" s="2845"/>
      <c r="U1328" s="2846">
        <f>SUM(U1310:U1327)</f>
        <v>206178188.74399996</v>
      </c>
      <c r="V1328" s="2846">
        <f>SUM(V1310:V1327)</f>
        <v>9.0063032906242118</v>
      </c>
      <c r="W1328" s="2428">
        <f t="shared" si="393"/>
        <v>0</v>
      </c>
      <c r="X1328" s="2811"/>
      <c r="Y1328" s="2424">
        <f>SUM(Y1310:Y1327)</f>
        <v>55579112.350600004</v>
      </c>
      <c r="Z1328" s="2846">
        <f>SUM(Z1310:Z1327)</f>
        <v>2.4278142392389626</v>
      </c>
      <c r="AA1328" s="2429"/>
    </row>
    <row r="1329" spans="1:27" ht="25" customHeight="1">
      <c r="A1329" s="2817" t="s">
        <v>1217</v>
      </c>
      <c r="B1329" s="2831" t="s">
        <v>879</v>
      </c>
      <c r="C1329" s="2814"/>
      <c r="D1329" s="2832"/>
      <c r="E1329" s="2836"/>
      <c r="F1329" s="2819"/>
      <c r="G1329" s="2585"/>
      <c r="H1329" s="2585"/>
      <c r="I1329" s="2900"/>
      <c r="J1329" s="2837"/>
      <c r="K1329" s="2585"/>
      <c r="L1329" s="2532"/>
      <c r="M1329" s="2532"/>
      <c r="N1329" s="2365"/>
      <c r="O1329" s="2365"/>
      <c r="P1329" s="2819"/>
      <c r="Q1329" s="2365"/>
      <c r="R1329" s="2365">
        <f t="shared" si="406"/>
        <v>0</v>
      </c>
      <c r="S1329" s="2901"/>
      <c r="T1329" s="2901"/>
      <c r="U1329" s="2901"/>
      <c r="V1329" s="2901"/>
      <c r="W1329" s="2445">
        <f t="shared" si="393"/>
        <v>0</v>
      </c>
      <c r="X1329" s="2819"/>
      <c r="Y1329" s="2365">
        <f t="shared" ref="Y1329:Y1345" si="410">L1329</f>
        <v>0</v>
      </c>
      <c r="Z1329" s="2901"/>
      <c r="AA1329" s="2367"/>
    </row>
    <row r="1330" spans="1:27" ht="25" customHeight="1">
      <c r="A1330" s="2383">
        <v>1</v>
      </c>
      <c r="B1330" s="2379" t="s">
        <v>880</v>
      </c>
      <c r="C1330" s="2674"/>
      <c r="D1330" s="2675"/>
      <c r="E1330" s="2638">
        <f>'10. Vol Saluran+Jln'!$P$515</f>
        <v>2.5</v>
      </c>
      <c r="F1330" s="2383" t="s">
        <v>103</v>
      </c>
      <c r="G1330" s="2389">
        <v>50600</v>
      </c>
      <c r="H1330" s="2389">
        <f t="shared" ref="H1330:H1336" si="411">E1330*G1330</f>
        <v>126500</v>
      </c>
      <c r="I1330" s="2465">
        <f>'Resume Analisa'!$D$18</f>
        <v>49036.76</v>
      </c>
      <c r="J1330" s="2464">
        <f>E1330*I1330</f>
        <v>122591.90000000001</v>
      </c>
      <c r="K1330" s="2378" t="e">
        <f>IF(H1330=0,"",IF(J1330&lt;#REF!*H1330,"Timpang &lt;"&amp;TEXT(#REF!,"0%"),IF(J1330&gt;#REF!*H1330,"Timpang &gt;"&amp;TEXT(#REF!,"0%"),"Wajar")))</f>
        <v>#REF!</v>
      </c>
      <c r="L1330" s="2391">
        <v>49036.76</v>
      </c>
      <c r="M1330" s="2391">
        <f t="shared" ref="M1330:M1336" si="412">E1330*L1330</f>
        <v>122591.90000000001</v>
      </c>
      <c r="N1330" s="2375">
        <f t="shared" ref="N1330:N1336" si="413">M1330/$M$8*100</f>
        <v>5.3550758162143625E-3</v>
      </c>
      <c r="O1330" s="2375">
        <v>0</v>
      </c>
      <c r="P1330" s="2383"/>
      <c r="Q1330" s="2375">
        <f t="shared" si="399"/>
        <v>0</v>
      </c>
      <c r="R1330" s="2375">
        <f t="shared" si="406"/>
        <v>0</v>
      </c>
      <c r="S1330" s="2375">
        <v>0</v>
      </c>
      <c r="T1330" s="2383"/>
      <c r="U1330" s="2375">
        <f>S1330*L1330</f>
        <v>0</v>
      </c>
      <c r="V1330" s="2375">
        <f t="shared" ref="V1330:V1335" si="414">U1330/$M$8*100</f>
        <v>0</v>
      </c>
      <c r="W1330" s="2382">
        <f t="shared" si="393"/>
        <v>2.5</v>
      </c>
      <c r="X1330" s="2383" t="s">
        <v>103</v>
      </c>
      <c r="Y1330" s="2375">
        <f>W1330*L1330</f>
        <v>122591.90000000001</v>
      </c>
      <c r="Z1330" s="2375">
        <f t="shared" ref="Z1330:Z1336" si="415">Y1330/$M$8*100</f>
        <v>5.3550758162143625E-3</v>
      </c>
      <c r="AA1330" s="2377" t="s">
        <v>3355</v>
      </c>
    </row>
    <row r="1331" spans="1:27" ht="25" customHeight="1">
      <c r="A1331" s="2383">
        <f t="shared" ref="A1331:A1336" si="416">A1330+1</f>
        <v>2</v>
      </c>
      <c r="B1331" s="2379" t="s">
        <v>415</v>
      </c>
      <c r="C1331" s="2674"/>
      <c r="D1331" s="2675"/>
      <c r="E1331" s="2638">
        <f>'10. Vol Saluran+Jln'!$P$516</f>
        <v>1.25</v>
      </c>
      <c r="F1331" s="2383" t="s">
        <v>103</v>
      </c>
      <c r="G1331" s="2389">
        <v>507759.96</v>
      </c>
      <c r="H1331" s="2389">
        <f t="shared" si="411"/>
        <v>634699.95000000007</v>
      </c>
      <c r="I1331" s="2480">
        <f>'Resume Analisa'!$D$26</f>
        <v>475358.64</v>
      </c>
      <c r="J1331" s="2544">
        <f t="shared" ref="J1331:J1336" si="417">I1331*E1331</f>
        <v>594198.30000000005</v>
      </c>
      <c r="K1331" s="2378" t="e">
        <f>IF(H1331=0,"",IF(J1331&lt;#REF!*H1331,"Timpang &lt;"&amp;TEXT(#REF!,"0%"),IF(J1331&gt;#REF!*H1331,"Timpang &gt;"&amp;TEXT(#REF!,"0%"),"Wajar")))</f>
        <v>#REF!</v>
      </c>
      <c r="L1331" s="2391">
        <v>475358.64</v>
      </c>
      <c r="M1331" s="2391">
        <f t="shared" si="412"/>
        <v>594198.30000000005</v>
      </c>
      <c r="N1331" s="2375">
        <f t="shared" si="413"/>
        <v>2.5955849826666249E-2</v>
      </c>
      <c r="O1331" s="2375">
        <v>0</v>
      </c>
      <c r="P1331" s="2383"/>
      <c r="Q1331" s="2375">
        <f t="shared" si="399"/>
        <v>0</v>
      </c>
      <c r="R1331" s="2375">
        <f t="shared" si="406"/>
        <v>0</v>
      </c>
      <c r="S1331" s="2375">
        <v>0</v>
      </c>
      <c r="T1331" s="2383"/>
      <c r="U1331" s="2375">
        <f t="shared" ref="U1331:U1348" si="418">S1331*L1331</f>
        <v>0</v>
      </c>
      <c r="V1331" s="2375">
        <f t="shared" si="414"/>
        <v>0</v>
      </c>
      <c r="W1331" s="2382">
        <f t="shared" si="393"/>
        <v>1.25</v>
      </c>
      <c r="X1331" s="2383" t="s">
        <v>103</v>
      </c>
      <c r="Y1331" s="2375">
        <f t="shared" ref="Y1331:Y1336" si="419">W1331*L1331</f>
        <v>594198.30000000005</v>
      </c>
      <c r="Z1331" s="2375">
        <f t="shared" si="415"/>
        <v>2.5955849826666249E-2</v>
      </c>
      <c r="AA1331" s="2377" t="s">
        <v>3355</v>
      </c>
    </row>
    <row r="1332" spans="1:27" ht="25" customHeight="1">
      <c r="A1332" s="2383">
        <f t="shared" si="416"/>
        <v>3</v>
      </c>
      <c r="B1332" s="2379" t="s">
        <v>881</v>
      </c>
      <c r="C1332" s="2370"/>
      <c r="D1332" s="2371"/>
      <c r="E1332" s="2638">
        <f>'10. Vol Saluran+Jln'!$P$517</f>
        <v>102.4</v>
      </c>
      <c r="F1332" s="2383" t="s">
        <v>117</v>
      </c>
      <c r="G1332" s="2389">
        <v>152552.84</v>
      </c>
      <c r="H1332" s="2389">
        <f t="shared" si="411"/>
        <v>15621410.816</v>
      </c>
      <c r="I1332" s="2465">
        <f>'Resume Analisa'!$D$96</f>
        <v>154643.40000000002</v>
      </c>
      <c r="J1332" s="2779">
        <f t="shared" si="417"/>
        <v>15835484.160000004</v>
      </c>
      <c r="K1332" s="2378" t="e">
        <f>IF(H1332=0,"",IF(J1332&lt;#REF!*H1332,"Timpang &lt;"&amp;TEXT(#REF!,"0%"),IF(J1332&gt;#REF!*H1332,"Timpang &gt;"&amp;TEXT(#REF!,"0%"),"Wajar")))</f>
        <v>#REF!</v>
      </c>
      <c r="L1332" s="2391">
        <v>154643.40000000002</v>
      </c>
      <c r="M1332" s="2391">
        <f t="shared" si="412"/>
        <v>15835484.160000004</v>
      </c>
      <c r="N1332" s="2375">
        <f t="shared" si="413"/>
        <v>0.69172774272412463</v>
      </c>
      <c r="O1332" s="2375">
        <v>0</v>
      </c>
      <c r="P1332" s="2383"/>
      <c r="Q1332" s="2375">
        <f t="shared" si="399"/>
        <v>0</v>
      </c>
      <c r="R1332" s="2375">
        <f t="shared" si="406"/>
        <v>0</v>
      </c>
      <c r="S1332" s="2375">
        <v>0</v>
      </c>
      <c r="T1332" s="2383"/>
      <c r="U1332" s="2375">
        <f t="shared" si="418"/>
        <v>0</v>
      </c>
      <c r="V1332" s="2375">
        <f t="shared" si="414"/>
        <v>0</v>
      </c>
      <c r="W1332" s="2382">
        <f t="shared" si="393"/>
        <v>102.4</v>
      </c>
      <c r="X1332" s="2383" t="s">
        <v>117</v>
      </c>
      <c r="Y1332" s="2375">
        <f t="shared" si="419"/>
        <v>15835484.160000004</v>
      </c>
      <c r="Z1332" s="2375">
        <f t="shared" si="415"/>
        <v>0.69172774272412463</v>
      </c>
      <c r="AA1332" s="2377" t="s">
        <v>3355</v>
      </c>
    </row>
    <row r="1333" spans="1:27" ht="25" customHeight="1">
      <c r="A1333" s="2383">
        <f t="shared" si="416"/>
        <v>4</v>
      </c>
      <c r="B1333" s="2379" t="s">
        <v>882</v>
      </c>
      <c r="C1333" s="2370"/>
      <c r="D1333" s="2371"/>
      <c r="E1333" s="2902">
        <f>'10. Vol Saluran+Jln'!$P$520</f>
        <v>14.4</v>
      </c>
      <c r="F1333" s="2383" t="s">
        <v>103</v>
      </c>
      <c r="G1333" s="2389">
        <v>200606.23</v>
      </c>
      <c r="H1333" s="2389">
        <f t="shared" si="411"/>
        <v>2888729.7120000003</v>
      </c>
      <c r="I1333" s="2465">
        <f>'Resume Analisa'!$D$24</f>
        <v>189662.29</v>
      </c>
      <c r="J1333" s="2779">
        <f t="shared" si="417"/>
        <v>2731136.9760000003</v>
      </c>
      <c r="K1333" s="2378" t="e">
        <f>IF(H1333=0,"",IF(J1333&lt;#REF!*H1333,"Timpang &lt;"&amp;TEXT(#REF!,"0%"),IF(J1333&gt;#REF!*H1333,"Timpang &gt;"&amp;TEXT(#REF!,"0%"),"Wajar")))</f>
        <v>#REF!</v>
      </c>
      <c r="L1333" s="2391">
        <v>189662.29</v>
      </c>
      <c r="M1333" s="2391">
        <f t="shared" si="412"/>
        <v>2731136.9760000003</v>
      </c>
      <c r="N1333" s="2375">
        <f t="shared" si="413"/>
        <v>0.11930189164982698</v>
      </c>
      <c r="O1333" s="2375">
        <v>0</v>
      </c>
      <c r="P1333" s="2383"/>
      <c r="Q1333" s="2375">
        <f t="shared" si="399"/>
        <v>0</v>
      </c>
      <c r="R1333" s="2375">
        <f t="shared" si="406"/>
        <v>0</v>
      </c>
      <c r="S1333" s="2375">
        <v>0</v>
      </c>
      <c r="T1333" s="2383"/>
      <c r="U1333" s="2375">
        <f t="shared" si="418"/>
        <v>0</v>
      </c>
      <c r="V1333" s="2375">
        <f t="shared" si="414"/>
        <v>0</v>
      </c>
      <c r="W1333" s="2382">
        <f t="shared" si="393"/>
        <v>14.4</v>
      </c>
      <c r="X1333" s="2383" t="s">
        <v>103</v>
      </c>
      <c r="Y1333" s="2375">
        <f t="shared" si="419"/>
        <v>2731136.9760000003</v>
      </c>
      <c r="Z1333" s="2375">
        <f t="shared" si="415"/>
        <v>0.11930189164982698</v>
      </c>
      <c r="AA1333" s="2377" t="s">
        <v>3355</v>
      </c>
    </row>
    <row r="1334" spans="1:27" ht="25" customHeight="1">
      <c r="A1334" s="2383">
        <f t="shared" si="416"/>
        <v>5</v>
      </c>
      <c r="B1334" s="2379" t="s">
        <v>399</v>
      </c>
      <c r="C1334" s="2370"/>
      <c r="D1334" s="2371"/>
      <c r="E1334" s="2902">
        <f>'10. Vol Saluran+Jln'!$P$521</f>
        <v>8.4</v>
      </c>
      <c r="F1334" s="2383" t="s">
        <v>103</v>
      </c>
      <c r="G1334" s="2389">
        <v>507759.96</v>
      </c>
      <c r="H1334" s="2389">
        <f t="shared" si="411"/>
        <v>4265183.6640000008</v>
      </c>
      <c r="I1334" s="2480">
        <f>'Resume Analisa'!$D$26</f>
        <v>475358.64</v>
      </c>
      <c r="J1334" s="2779">
        <f t="shared" si="417"/>
        <v>3993012.5760000004</v>
      </c>
      <c r="K1334" s="2378" t="e">
        <f>IF(H1334=0,"",IF(J1334&lt;#REF!*H1334,"Timpang &lt;"&amp;TEXT(#REF!,"0%"),IF(J1334&gt;#REF!*H1334,"Timpang &gt;"&amp;TEXT(#REF!,"0%"),"Wajar")))</f>
        <v>#REF!</v>
      </c>
      <c r="L1334" s="2391">
        <v>475358.64</v>
      </c>
      <c r="M1334" s="2391">
        <f t="shared" si="412"/>
        <v>3993012.5760000004</v>
      </c>
      <c r="N1334" s="2375">
        <f t="shared" si="413"/>
        <v>0.17442331083519722</v>
      </c>
      <c r="O1334" s="2375">
        <v>0</v>
      </c>
      <c r="P1334" s="2383"/>
      <c r="Q1334" s="2375">
        <f t="shared" si="399"/>
        <v>0</v>
      </c>
      <c r="R1334" s="2375">
        <f t="shared" si="406"/>
        <v>0</v>
      </c>
      <c r="S1334" s="2375">
        <v>0</v>
      </c>
      <c r="T1334" s="2383"/>
      <c r="U1334" s="2375">
        <f t="shared" si="418"/>
        <v>0</v>
      </c>
      <c r="V1334" s="2375">
        <f t="shared" si="414"/>
        <v>0</v>
      </c>
      <c r="W1334" s="2382">
        <f t="shared" si="393"/>
        <v>8.4</v>
      </c>
      <c r="X1334" s="2383" t="s">
        <v>103</v>
      </c>
      <c r="Y1334" s="2375">
        <f t="shared" si="419"/>
        <v>3993012.5760000004</v>
      </c>
      <c r="Z1334" s="2375">
        <f t="shared" si="415"/>
        <v>0.17442331083519722</v>
      </c>
      <c r="AA1334" s="2377" t="s">
        <v>3355</v>
      </c>
    </row>
    <row r="1335" spans="1:27" ht="25" customHeight="1">
      <c r="A1335" s="2383">
        <f t="shared" si="416"/>
        <v>6</v>
      </c>
      <c r="B1335" s="2379" t="s">
        <v>883</v>
      </c>
      <c r="C1335" s="2370"/>
      <c r="D1335" s="2371"/>
      <c r="E1335" s="2902">
        <f>'10. Vol Saluran+Jln'!$P$522</f>
        <v>8.4</v>
      </c>
      <c r="F1335" s="2383" t="s">
        <v>103</v>
      </c>
      <c r="G1335" s="2389">
        <v>39847.5</v>
      </c>
      <c r="H1335" s="2389">
        <f t="shared" si="411"/>
        <v>334719</v>
      </c>
      <c r="I1335" s="2465">
        <f>'Resume Analisa'!$D$31</f>
        <v>37946.620000000003</v>
      </c>
      <c r="J1335" s="2779">
        <f t="shared" si="417"/>
        <v>318751.60800000001</v>
      </c>
      <c r="K1335" s="2378" t="e">
        <f>IF(H1335=0,"",IF(J1335&lt;#REF!*H1335,"Timpang &lt;"&amp;TEXT(#REF!,"0%"),IF(J1335&gt;#REF!*H1335,"Timpang &gt;"&amp;TEXT(#REF!,"0%"),"Wajar")))</f>
        <v>#REF!</v>
      </c>
      <c r="L1335" s="2391">
        <v>37946.620000000003</v>
      </c>
      <c r="M1335" s="2391">
        <f t="shared" si="412"/>
        <v>318751.60800000001</v>
      </c>
      <c r="N1335" s="2375">
        <f t="shared" si="413"/>
        <v>1.3923750487432208E-2</v>
      </c>
      <c r="O1335" s="2375">
        <v>0</v>
      </c>
      <c r="P1335" s="2383"/>
      <c r="Q1335" s="2375">
        <f t="shared" si="399"/>
        <v>0</v>
      </c>
      <c r="R1335" s="2375">
        <f t="shared" si="406"/>
        <v>0</v>
      </c>
      <c r="S1335" s="2375">
        <v>0</v>
      </c>
      <c r="T1335" s="2383"/>
      <c r="U1335" s="2375">
        <f t="shared" si="418"/>
        <v>0</v>
      </c>
      <c r="V1335" s="2375">
        <f t="shared" si="414"/>
        <v>0</v>
      </c>
      <c r="W1335" s="2382">
        <f t="shared" si="393"/>
        <v>8.4</v>
      </c>
      <c r="X1335" s="2383" t="s">
        <v>103</v>
      </c>
      <c r="Y1335" s="2375">
        <f t="shared" si="419"/>
        <v>318751.60800000001</v>
      </c>
      <c r="Z1335" s="2375">
        <f t="shared" si="415"/>
        <v>1.3923750487432208E-2</v>
      </c>
      <c r="AA1335" s="2377" t="s">
        <v>3355</v>
      </c>
    </row>
    <row r="1336" spans="1:27" ht="25" customHeight="1">
      <c r="A1336" s="2895">
        <f t="shared" si="416"/>
        <v>7</v>
      </c>
      <c r="B1336" s="2829" t="s">
        <v>884</v>
      </c>
      <c r="C1336" s="2919"/>
      <c r="D1336" s="2920"/>
      <c r="E1336" s="2921">
        <f>'10. Vol Saluran+Jln'!$P$523</f>
        <v>120</v>
      </c>
      <c r="F1336" s="2895" t="s">
        <v>89</v>
      </c>
      <c r="G1336" s="2405">
        <v>186922.93000000002</v>
      </c>
      <c r="H1336" s="2405">
        <f t="shared" si="411"/>
        <v>22430751.600000001</v>
      </c>
      <c r="I1336" s="2574">
        <f>'Resume Analisa'!$D$97</f>
        <v>193799.55000000002</v>
      </c>
      <c r="J1336" s="2806">
        <f t="shared" si="417"/>
        <v>23255946.000000004</v>
      </c>
      <c r="K1336" s="2408" t="e">
        <f>IF(H1336=0,"",IF(J1336&lt;#REF!*H1336,"Timpang &lt;"&amp;TEXT(#REF!,"0%"),IF(J1336&gt;#REF!*H1336,"Timpang &gt;"&amp;TEXT(#REF!,"0%"),"Wajar")))</f>
        <v>#REF!</v>
      </c>
      <c r="L1336" s="2410">
        <v>193799.55000000002</v>
      </c>
      <c r="M1336" s="2410">
        <f t="shared" si="412"/>
        <v>23255946.000000004</v>
      </c>
      <c r="N1336" s="2411">
        <f t="shared" si="413"/>
        <v>1.0158693519538169</v>
      </c>
      <c r="O1336" s="2411">
        <v>0</v>
      </c>
      <c r="P1336" s="2895"/>
      <c r="Q1336" s="2411">
        <f t="shared" si="399"/>
        <v>0</v>
      </c>
      <c r="R1336" s="2411">
        <f t="shared" si="406"/>
        <v>0</v>
      </c>
      <c r="S1336" s="2411">
        <v>0</v>
      </c>
      <c r="T1336" s="2895"/>
      <c r="U1336" s="2411">
        <f t="shared" si="418"/>
        <v>0</v>
      </c>
      <c r="V1336" s="2411"/>
      <c r="W1336" s="2402">
        <f t="shared" si="393"/>
        <v>120</v>
      </c>
      <c r="X1336" s="2895" t="s">
        <v>89</v>
      </c>
      <c r="Y1336" s="2411">
        <f t="shared" si="419"/>
        <v>23255946.000000004</v>
      </c>
      <c r="Z1336" s="2375">
        <f t="shared" si="415"/>
        <v>1.0158693519538169</v>
      </c>
      <c r="AA1336" s="2412" t="s">
        <v>3355</v>
      </c>
    </row>
    <row r="1337" spans="1:27" ht="25" customHeight="1">
      <c r="A1337" s="2807"/>
      <c r="B1337" s="2808"/>
      <c r="C1337" s="2809"/>
      <c r="D1337" s="2512" t="s">
        <v>376</v>
      </c>
      <c r="E1337" s="2810"/>
      <c r="F1337" s="2811"/>
      <c r="G1337" s="2581"/>
      <c r="H1337" s="2581">
        <f>SUM(H1330:H1336)</f>
        <v>46301994.741999999</v>
      </c>
      <c r="I1337" s="2844"/>
      <c r="J1337" s="2582">
        <f>SUM(J1330:J1336)</f>
        <v>46851121.520000011</v>
      </c>
      <c r="K1337" s="2581"/>
      <c r="L1337" s="2584"/>
      <c r="M1337" s="2584">
        <f>SUM(M1330:M1336)</f>
        <v>46851121.520000011</v>
      </c>
      <c r="N1337" s="2424">
        <f>M1337/M8*100</f>
        <v>2.0465569732932787</v>
      </c>
      <c r="O1337" s="2426">
        <v>0</v>
      </c>
      <c r="P1337" s="2811"/>
      <c r="Q1337" s="2426">
        <f t="shared" si="399"/>
        <v>0</v>
      </c>
      <c r="R1337" s="2426">
        <f t="shared" si="406"/>
        <v>0</v>
      </c>
      <c r="S1337" s="2426"/>
      <c r="T1337" s="2811"/>
      <c r="U1337" s="2426">
        <f t="shared" si="418"/>
        <v>0</v>
      </c>
      <c r="V1337" s="2426"/>
      <c r="W1337" s="2428"/>
      <c r="X1337" s="2811"/>
      <c r="Y1337" s="2424">
        <f>SUM(Y1330:Y1336)</f>
        <v>46851121.520000011</v>
      </c>
      <c r="Z1337" s="2424">
        <f>SUM(Z1330:Z1336)</f>
        <v>2.0465569732932787</v>
      </c>
      <c r="AA1337" s="2429" t="s">
        <v>3355</v>
      </c>
    </row>
    <row r="1338" spans="1:27" ht="25" customHeight="1">
      <c r="A1338" s="2817" t="s">
        <v>520</v>
      </c>
      <c r="B1338" s="2831" t="s">
        <v>885</v>
      </c>
      <c r="C1338" s="2814"/>
      <c r="D1338" s="2832"/>
      <c r="E1338" s="2833"/>
      <c r="F1338" s="2833"/>
      <c r="G1338" s="2362"/>
      <c r="H1338" s="2362"/>
      <c r="I1338" s="2833"/>
      <c r="J1338" s="2833"/>
      <c r="K1338" s="2362"/>
      <c r="L1338" s="2532"/>
      <c r="M1338" s="2532"/>
      <c r="N1338" s="2365"/>
      <c r="O1338" s="2365">
        <v>0</v>
      </c>
      <c r="P1338" s="2833"/>
      <c r="Q1338" s="2365">
        <f t="shared" si="399"/>
        <v>0</v>
      </c>
      <c r="R1338" s="2365">
        <f t="shared" si="406"/>
        <v>0</v>
      </c>
      <c r="S1338" s="2365">
        <v>0</v>
      </c>
      <c r="T1338" s="2833"/>
      <c r="U1338" s="2365">
        <f t="shared" si="418"/>
        <v>0</v>
      </c>
      <c r="V1338" s="2365"/>
      <c r="W1338" s="2445">
        <f t="shared" si="393"/>
        <v>0</v>
      </c>
      <c r="X1338" s="2833"/>
      <c r="Y1338" s="2365">
        <f t="shared" si="410"/>
        <v>0</v>
      </c>
      <c r="Z1338" s="2365"/>
      <c r="AA1338" s="2367" t="s">
        <v>3355</v>
      </c>
    </row>
    <row r="1339" spans="1:27" ht="25" customHeight="1">
      <c r="A1339" s="2383">
        <v>1</v>
      </c>
      <c r="B1339" s="2379" t="s">
        <v>886</v>
      </c>
      <c r="C1339" s="2370"/>
      <c r="D1339" s="2371"/>
      <c r="E1339" s="2902">
        <f>'11. Vol Landscape'!$P$6</f>
        <v>1.66</v>
      </c>
      <c r="F1339" s="2383" t="s">
        <v>89</v>
      </c>
      <c r="G1339" s="2389">
        <v>62067.66</v>
      </c>
      <c r="H1339" s="2389">
        <f>E1339*G1339</f>
        <v>103032.3156</v>
      </c>
      <c r="I1339" s="2465">
        <f>'Resume Analisa'!$D$227</f>
        <v>60646.66</v>
      </c>
      <c r="J1339" s="2779">
        <f>I1339*E1339</f>
        <v>100673.4556</v>
      </c>
      <c r="K1339" s="2378" t="e">
        <f>IF(H1339=0,"",IF(J1339&lt;#REF!*H1339,"Timpang &lt;"&amp;TEXT(#REF!,"0%"),IF(J1339&gt;#REF!*H1339,"Timpang &gt;"&amp;TEXT(#REF!,"0%"),"Wajar")))</f>
        <v>#REF!</v>
      </c>
      <c r="L1339" s="2391">
        <v>60646.66</v>
      </c>
      <c r="M1339" s="2391">
        <f>E1339*L1339</f>
        <v>100673.4556</v>
      </c>
      <c r="N1339" s="2375">
        <f>M1339/$M$8*100</f>
        <v>4.3976313885198803E-3</v>
      </c>
      <c r="O1339" s="2375">
        <v>0</v>
      </c>
      <c r="P1339" s="2383"/>
      <c r="Q1339" s="2375">
        <f t="shared" si="399"/>
        <v>0</v>
      </c>
      <c r="R1339" s="2375">
        <f t="shared" si="406"/>
        <v>0</v>
      </c>
      <c r="S1339" s="2375">
        <v>0</v>
      </c>
      <c r="T1339" s="2383"/>
      <c r="U1339" s="2375">
        <f t="shared" si="418"/>
        <v>0</v>
      </c>
      <c r="V1339" s="2375"/>
      <c r="W1339" s="2382">
        <f t="shared" si="393"/>
        <v>1.66</v>
      </c>
      <c r="X1339" s="2383" t="s">
        <v>89</v>
      </c>
      <c r="Y1339" s="2375">
        <f>W1339*L1339</f>
        <v>100673.4556</v>
      </c>
      <c r="Z1339" s="2375">
        <f>Y1339/$M$8*100</f>
        <v>4.3976313885198803E-3</v>
      </c>
      <c r="AA1339" s="2377" t="s">
        <v>3355</v>
      </c>
    </row>
    <row r="1340" spans="1:27" ht="49" customHeight="1">
      <c r="A1340" s="2383">
        <f>A1339+1</f>
        <v>2</v>
      </c>
      <c r="B1340" s="3208" t="s">
        <v>887</v>
      </c>
      <c r="C1340" s="3209"/>
      <c r="D1340" s="3210"/>
      <c r="E1340" s="2902">
        <f>'11. Vol Landscape'!$P$7</f>
        <v>10</v>
      </c>
      <c r="F1340" s="2922" t="s">
        <v>888</v>
      </c>
      <c r="G1340" s="2389">
        <v>848461.85</v>
      </c>
      <c r="H1340" s="2389">
        <f>E1340*G1340</f>
        <v>8484618.5</v>
      </c>
      <c r="I1340" s="2465">
        <f>'Resume Analisa'!$D$246</f>
        <v>796977.03</v>
      </c>
      <c r="J1340" s="2779">
        <f>I1340*E1340</f>
        <v>7969770.3000000007</v>
      </c>
      <c r="K1340" s="2378" t="e">
        <f>IF(H1340=0,"",IF(J1340&lt;#REF!*H1340,"Timpang &lt;"&amp;TEXT(#REF!,"0%"),IF(J1340&gt;#REF!*H1340,"Timpang &gt;"&amp;TEXT(#REF!,"0%"),"Wajar")))</f>
        <v>#REF!</v>
      </c>
      <c r="L1340" s="2391">
        <v>796977.03</v>
      </c>
      <c r="M1340" s="2391">
        <f>E1340*L1340</f>
        <v>7969770.3000000007</v>
      </c>
      <c r="N1340" s="2375">
        <f>M1340/$M$8*100</f>
        <v>0.34813657504544332</v>
      </c>
      <c r="O1340" s="2375">
        <v>0</v>
      </c>
      <c r="P1340" s="2922"/>
      <c r="Q1340" s="2375">
        <f t="shared" si="399"/>
        <v>0</v>
      </c>
      <c r="R1340" s="2375">
        <f t="shared" si="406"/>
        <v>0</v>
      </c>
      <c r="S1340" s="2375">
        <v>0</v>
      </c>
      <c r="T1340" s="2922"/>
      <c r="U1340" s="2375">
        <f t="shared" si="418"/>
        <v>0</v>
      </c>
      <c r="V1340" s="2375"/>
      <c r="W1340" s="2382">
        <f t="shared" si="393"/>
        <v>10</v>
      </c>
      <c r="X1340" s="2922" t="s">
        <v>888</v>
      </c>
      <c r="Y1340" s="2375">
        <f t="shared" ref="Y1340:Y1343" si="420">W1340*L1340</f>
        <v>7969770.3000000007</v>
      </c>
      <c r="Z1340" s="2375">
        <f>Y1340/$M$8*100</f>
        <v>0.34813657504544332</v>
      </c>
      <c r="AA1340" s="2377" t="s">
        <v>3355</v>
      </c>
    </row>
    <row r="1341" spans="1:27" ht="61.5" customHeight="1">
      <c r="A1341" s="2383">
        <f>A1340+1</f>
        <v>3</v>
      </c>
      <c r="B1341" s="3208" t="s">
        <v>889</v>
      </c>
      <c r="C1341" s="3209"/>
      <c r="D1341" s="3210"/>
      <c r="E1341" s="2902">
        <f>'11. Vol Landscape'!$P$8</f>
        <v>10</v>
      </c>
      <c r="F1341" s="2922" t="s">
        <v>888</v>
      </c>
      <c r="G1341" s="2389">
        <v>667336.85</v>
      </c>
      <c r="H1341" s="2389">
        <f>E1341*G1341</f>
        <v>6673368.5</v>
      </c>
      <c r="I1341" s="2465">
        <f>'Resume Analisa'!$D$247</f>
        <v>689388.15</v>
      </c>
      <c r="J1341" s="2779">
        <f>I1341*E1341</f>
        <v>6893881.5</v>
      </c>
      <c r="K1341" s="2378" t="e">
        <f>IF(H1341=0,"",IF(J1341&lt;#REF!*H1341,"Timpang &lt;"&amp;TEXT(#REF!,"0%"),IF(J1341&gt;#REF!*H1341,"Timpang &gt;"&amp;TEXT(#REF!,"0%"),"Wajar")))</f>
        <v>#REF!</v>
      </c>
      <c r="L1341" s="2391">
        <v>689388.15</v>
      </c>
      <c r="M1341" s="2391">
        <f>E1341*L1341</f>
        <v>6893881.5</v>
      </c>
      <c r="N1341" s="2375">
        <f>M1341/$M$8*100</f>
        <v>0.30113945619977817</v>
      </c>
      <c r="O1341" s="2375">
        <v>0</v>
      </c>
      <c r="P1341" s="2922"/>
      <c r="Q1341" s="2375">
        <f t="shared" si="399"/>
        <v>0</v>
      </c>
      <c r="R1341" s="2375">
        <f t="shared" si="406"/>
        <v>0</v>
      </c>
      <c r="S1341" s="2375">
        <v>0</v>
      </c>
      <c r="T1341" s="2922"/>
      <c r="U1341" s="2375">
        <f t="shared" si="418"/>
        <v>0</v>
      </c>
      <c r="V1341" s="2375"/>
      <c r="W1341" s="2382">
        <f t="shared" si="393"/>
        <v>10</v>
      </c>
      <c r="X1341" s="2922" t="s">
        <v>888</v>
      </c>
      <c r="Y1341" s="2375">
        <f t="shared" si="420"/>
        <v>6893881.5</v>
      </c>
      <c r="Z1341" s="2375">
        <f>Y1341/$M$8*100</f>
        <v>0.30113945619977817</v>
      </c>
      <c r="AA1341" s="2377" t="s">
        <v>3355</v>
      </c>
    </row>
    <row r="1342" spans="1:27" ht="71" customHeight="1">
      <c r="A1342" s="2383">
        <f>A1341+1</f>
        <v>4</v>
      </c>
      <c r="B1342" s="3208" t="s">
        <v>890</v>
      </c>
      <c r="C1342" s="3209"/>
      <c r="D1342" s="3210"/>
      <c r="E1342" s="2902">
        <f>'11. Vol Landscape'!$P$9</f>
        <v>10</v>
      </c>
      <c r="F1342" s="2922" t="s">
        <v>888</v>
      </c>
      <c r="G1342" s="2389">
        <v>757899.35</v>
      </c>
      <c r="H1342" s="2389">
        <f>E1342*G1342</f>
        <v>7578993.5</v>
      </c>
      <c r="I1342" s="2465">
        <f>'Resume Analisa'!$D$248</f>
        <v>734544.13</v>
      </c>
      <c r="J1342" s="2779">
        <f>I1342*E1342</f>
        <v>7345441.2999999998</v>
      </c>
      <c r="K1342" s="2378" t="e">
        <f>IF(H1342=0,"",IF(J1342&lt;#REF!*H1342,"Timpang &lt;"&amp;TEXT(#REF!,"0%"),IF(J1342&gt;#REF!*H1342,"Timpang &gt;"&amp;TEXT(#REF!,"0%"),"Wajar")))</f>
        <v>#REF!</v>
      </c>
      <c r="L1342" s="2391">
        <v>734544.13</v>
      </c>
      <c r="M1342" s="2391">
        <f>E1342*L1342</f>
        <v>7345441.2999999998</v>
      </c>
      <c r="N1342" s="2375">
        <f>M1342/$M$8*100</f>
        <v>0.32086455194064356</v>
      </c>
      <c r="O1342" s="2375">
        <v>0</v>
      </c>
      <c r="P1342" s="2922"/>
      <c r="Q1342" s="2375">
        <f t="shared" si="399"/>
        <v>0</v>
      </c>
      <c r="R1342" s="2375">
        <f t="shared" si="406"/>
        <v>0</v>
      </c>
      <c r="S1342" s="2375">
        <v>0</v>
      </c>
      <c r="T1342" s="2922"/>
      <c r="U1342" s="2375">
        <f t="shared" si="418"/>
        <v>0</v>
      </c>
      <c r="V1342" s="2375"/>
      <c r="W1342" s="2382">
        <f t="shared" si="393"/>
        <v>10</v>
      </c>
      <c r="X1342" s="2922" t="s">
        <v>888</v>
      </c>
      <c r="Y1342" s="2375">
        <f t="shared" si="420"/>
        <v>7345441.2999999998</v>
      </c>
      <c r="Z1342" s="2375">
        <f>Y1342/$M$8*100</f>
        <v>0.32086455194064356</v>
      </c>
      <c r="AA1342" s="2377" t="s">
        <v>3355</v>
      </c>
    </row>
    <row r="1343" spans="1:27" ht="68" customHeight="1">
      <c r="A1343" s="2895">
        <f>A1342+1</f>
        <v>5</v>
      </c>
      <c r="B1343" s="3196" t="s">
        <v>891</v>
      </c>
      <c r="C1343" s="3197"/>
      <c r="D1343" s="3198"/>
      <c r="E1343" s="2921">
        <f>'11. Vol Landscape'!$P$10</f>
        <v>10</v>
      </c>
      <c r="F1343" s="2923" t="s">
        <v>888</v>
      </c>
      <c r="G1343" s="2405">
        <v>788086.85</v>
      </c>
      <c r="H1343" s="2404">
        <f>E1343*G1343</f>
        <v>7880868.5</v>
      </c>
      <c r="I1343" s="2574">
        <f>'Resume Analisa'!$D$249</f>
        <v>822378.11</v>
      </c>
      <c r="J1343" s="2406">
        <f>E1343*I1343</f>
        <v>8223781.0999999996</v>
      </c>
      <c r="K1343" s="2895" t="e">
        <f>IF(H1343=0,"",IF(J1343&lt;#REF!*H1343,"Timpang &lt;"&amp;TEXT(#REF!,"0%"),IF(J1343&gt;#REF!*H1343,"Timpang &gt;"&amp;TEXT(#REF!,"0%"),"Wajar")))</f>
        <v>#REF!</v>
      </c>
      <c r="L1343" s="2410">
        <v>822378.11</v>
      </c>
      <c r="M1343" s="2409">
        <f>E1343*L1343</f>
        <v>8223781.0999999996</v>
      </c>
      <c r="N1343" s="2375">
        <f>M1343/$M$8*100</f>
        <v>0.35923230887563318</v>
      </c>
      <c r="O1343" s="2411">
        <v>0</v>
      </c>
      <c r="P1343" s="2923"/>
      <c r="Q1343" s="2411">
        <f t="shared" si="399"/>
        <v>0</v>
      </c>
      <c r="R1343" s="2411">
        <f t="shared" si="406"/>
        <v>0</v>
      </c>
      <c r="S1343" s="2411">
        <v>0</v>
      </c>
      <c r="T1343" s="2923"/>
      <c r="U1343" s="2411">
        <f t="shared" si="418"/>
        <v>0</v>
      </c>
      <c r="V1343" s="2411"/>
      <c r="W1343" s="2402">
        <f t="shared" si="393"/>
        <v>10</v>
      </c>
      <c r="X1343" s="2923" t="s">
        <v>888</v>
      </c>
      <c r="Y1343" s="2375">
        <f t="shared" si="420"/>
        <v>8223781.0999999996</v>
      </c>
      <c r="Z1343" s="2411">
        <f>Y1343/$M$8*100</f>
        <v>0.35923230887563318</v>
      </c>
      <c r="AA1343" s="2412" t="s">
        <v>3355</v>
      </c>
    </row>
    <row r="1344" spans="1:27" ht="25" customHeight="1">
      <c r="A1344" s="2807"/>
      <c r="B1344" s="2808"/>
      <c r="C1344" s="2809"/>
      <c r="D1344" s="2512" t="s">
        <v>376</v>
      </c>
      <c r="E1344" s="2810"/>
      <c r="F1344" s="2811"/>
      <c r="G1344" s="2581"/>
      <c r="H1344" s="2581">
        <f>SUM(H1339:H1343)</f>
        <v>30720881.3156</v>
      </c>
      <c r="I1344" s="2844"/>
      <c r="J1344" s="2582">
        <f>SUM(J1339:J1343)</f>
        <v>30533547.655600004</v>
      </c>
      <c r="K1344" s="2581"/>
      <c r="L1344" s="2584"/>
      <c r="M1344" s="2584">
        <f>SUM(M1339:M1343)</f>
        <v>30533547.655600004</v>
      </c>
      <c r="N1344" s="2424">
        <f>M1344/M8*100</f>
        <v>1.3337705234500183</v>
      </c>
      <c r="O1344" s="2426">
        <v>0</v>
      </c>
      <c r="P1344" s="2811"/>
      <c r="Q1344" s="2426">
        <f t="shared" si="399"/>
        <v>0</v>
      </c>
      <c r="R1344" s="2426">
        <f t="shared" si="406"/>
        <v>0</v>
      </c>
      <c r="S1344" s="2426">
        <v>0</v>
      </c>
      <c r="T1344" s="2811"/>
      <c r="U1344" s="2426">
        <f t="shared" si="418"/>
        <v>0</v>
      </c>
      <c r="V1344" s="2426"/>
      <c r="W1344" s="2428">
        <f t="shared" si="393"/>
        <v>0</v>
      </c>
      <c r="X1344" s="2811"/>
      <c r="Y1344" s="2424">
        <f>SUM(Y1339:Y1343)</f>
        <v>30533547.655600004</v>
      </c>
      <c r="Z1344" s="2424">
        <f>SUM(Z1339:Z1343)</f>
        <v>1.3337705234500181</v>
      </c>
      <c r="AA1344" s="2429"/>
    </row>
    <row r="1345" spans="1:27" ht="25" customHeight="1">
      <c r="A1345" s="2817" t="s">
        <v>642</v>
      </c>
      <c r="B1345" s="2831" t="s">
        <v>892</v>
      </c>
      <c r="C1345" s="2814"/>
      <c r="D1345" s="2832"/>
      <c r="E1345" s="2833"/>
      <c r="F1345" s="2833"/>
      <c r="G1345" s="2362"/>
      <c r="H1345" s="2362"/>
      <c r="I1345" s="2833"/>
      <c r="J1345" s="2833"/>
      <c r="K1345" s="2362"/>
      <c r="L1345" s="2532"/>
      <c r="M1345" s="2532"/>
      <c r="N1345" s="2365"/>
      <c r="O1345" s="2365"/>
      <c r="P1345" s="2833"/>
      <c r="Q1345" s="2365"/>
      <c r="R1345" s="2365"/>
      <c r="S1345" s="2365"/>
      <c r="T1345" s="2833"/>
      <c r="U1345" s="2365"/>
      <c r="V1345" s="2365"/>
      <c r="W1345" s="2445">
        <f t="shared" si="393"/>
        <v>0</v>
      </c>
      <c r="X1345" s="2833"/>
      <c r="Y1345" s="2365">
        <f t="shared" si="410"/>
        <v>0</v>
      </c>
      <c r="Z1345" s="2365"/>
      <c r="AA1345" s="2367"/>
    </row>
    <row r="1346" spans="1:27" ht="25" customHeight="1">
      <c r="A1346" s="2383">
        <v>1</v>
      </c>
      <c r="B1346" s="2379" t="s">
        <v>893</v>
      </c>
      <c r="C1346" s="2370"/>
      <c r="D1346" s="2371"/>
      <c r="E1346" s="2902">
        <f>'12. Vol Levelling'!P6</f>
        <v>166.94</v>
      </c>
      <c r="F1346" s="2922" t="s">
        <v>103</v>
      </c>
      <c r="G1346" s="2389">
        <v>200606.23</v>
      </c>
      <c r="H1346" s="2389">
        <f>E1346*G1346</f>
        <v>33489204.036200002</v>
      </c>
      <c r="I1346" s="2465">
        <f>'Resume Analisa'!$D$24</f>
        <v>189662.29</v>
      </c>
      <c r="J1346" s="2779">
        <f>I1346*E1346</f>
        <v>31662222.692600001</v>
      </c>
      <c r="K1346" s="2378" t="e">
        <f>IF(H1346=0,"",IF(J1346&lt;#REF!*H1346,"Timpang &lt;"&amp;TEXT(#REF!,"0%"),IF(J1346&gt;#REF!*H1346,"Timpang &gt;"&amp;TEXT(#REF!,"0%"),"Wajar")))</f>
        <v>#REF!</v>
      </c>
      <c r="L1346" s="2391">
        <v>189662.29</v>
      </c>
      <c r="M1346" s="2391">
        <f>E1346*L1346</f>
        <v>31662222.692600001</v>
      </c>
      <c r="N1346" s="2375">
        <f>M1346/$M$8*100</f>
        <v>1.3830734577793136</v>
      </c>
      <c r="O1346" s="2467">
        <f>'12. Vol Levelling'!P19</f>
        <v>193.19735699999998</v>
      </c>
      <c r="P1346" s="2922" t="s">
        <v>103</v>
      </c>
      <c r="Q1346" s="2467">
        <f t="shared" si="399"/>
        <v>36642253.150567532</v>
      </c>
      <c r="R1346" s="2467">
        <f>Q1346/$M$8*100</f>
        <v>1.6006118161004821</v>
      </c>
      <c r="S1346" s="2375">
        <v>0</v>
      </c>
      <c r="T1346" s="2922"/>
      <c r="U1346" s="2375">
        <f t="shared" si="418"/>
        <v>0</v>
      </c>
      <c r="V1346" s="2375"/>
      <c r="W1346" s="2382">
        <f t="shared" si="393"/>
        <v>360.13735699999995</v>
      </c>
      <c r="X1346" s="2922" t="s">
        <v>103</v>
      </c>
      <c r="Y1346" s="2375">
        <f>W1346*L1346</f>
        <v>68304475.843167529</v>
      </c>
      <c r="Z1346" s="2375">
        <f>Y1346/$M$8*100</f>
        <v>2.9836852738797952</v>
      </c>
      <c r="AA1346" s="2377" t="s">
        <v>3370</v>
      </c>
    </row>
    <row r="1347" spans="1:27" ht="25" customHeight="1">
      <c r="A1347" s="2895">
        <f>A1346+1</f>
        <v>2</v>
      </c>
      <c r="B1347" s="2892" t="s">
        <v>894</v>
      </c>
      <c r="C1347" s="2924"/>
      <c r="D1347" s="2925"/>
      <c r="E1347" s="2921">
        <f>'12. Vol Levelling'!P20</f>
        <v>166.94</v>
      </c>
      <c r="F1347" s="2923" t="s">
        <v>103</v>
      </c>
      <c r="G1347" s="2405">
        <v>162543.44999999998</v>
      </c>
      <c r="H1347" s="2404">
        <f>E1347*G1347</f>
        <v>27135003.542999998</v>
      </c>
      <c r="I1347" s="2823">
        <f>'Resume Analisa'!$D$25</f>
        <v>168172.15</v>
      </c>
      <c r="J1347" s="2406">
        <f>E1347*I1347</f>
        <v>28074658.720999997</v>
      </c>
      <c r="K1347" s="2895" t="e">
        <f>IF(H1347=0,"",IF(J1347&lt;#REF!*H1347,"Timpang &lt;"&amp;TEXT(#REF!,"0%"),IF(J1347&gt;#REF!*H1347,"Timpang &gt;"&amp;TEXT(#REF!,"0%"),"Wajar")))</f>
        <v>#REF!</v>
      </c>
      <c r="L1347" s="2410">
        <v>168172.15</v>
      </c>
      <c r="M1347" s="2409">
        <f>E1347*L1347</f>
        <v>28074658.720999997</v>
      </c>
      <c r="N1347" s="2411">
        <f>M1347/$M$8*100</f>
        <v>1.2263610072549549</v>
      </c>
      <c r="O1347" s="2492">
        <f>O1346</f>
        <v>193.19735699999998</v>
      </c>
      <c r="P1347" s="2923" t="s">
        <v>103</v>
      </c>
      <c r="Q1347" s="2492">
        <f t="shared" si="399"/>
        <v>32490414.901007544</v>
      </c>
      <c r="R1347" s="2492">
        <f>Q1347/$M$8*100</f>
        <v>1.4192506608932256</v>
      </c>
      <c r="S1347" s="2411">
        <v>0</v>
      </c>
      <c r="T1347" s="2923"/>
      <c r="U1347" s="2411">
        <f t="shared" si="418"/>
        <v>0</v>
      </c>
      <c r="V1347" s="2411"/>
      <c r="W1347" s="2402">
        <f t="shared" si="393"/>
        <v>360.13735699999995</v>
      </c>
      <c r="X1347" s="2923" t="s">
        <v>103</v>
      </c>
      <c r="Y1347" s="2411">
        <f>W1347*L1347</f>
        <v>60565073.622007541</v>
      </c>
      <c r="Z1347" s="2375">
        <f>Y1347/$M$8*100</f>
        <v>2.6456116681481805</v>
      </c>
      <c r="AA1347" s="2412" t="s">
        <v>3370</v>
      </c>
    </row>
    <row r="1348" spans="1:27" ht="25" customHeight="1">
      <c r="A1348" s="2807"/>
      <c r="B1348" s="2808"/>
      <c r="C1348" s="2809"/>
      <c r="D1348" s="2512" t="s">
        <v>376</v>
      </c>
      <c r="E1348" s="2810"/>
      <c r="F1348" s="2811"/>
      <c r="G1348" s="2581"/>
      <c r="H1348" s="2581">
        <f>SUM(H1346:H1347)</f>
        <v>60624207.5792</v>
      </c>
      <c r="I1348" s="2844"/>
      <c r="J1348" s="2582">
        <f>SUM(J1346:J1347)</f>
        <v>59736881.413599998</v>
      </c>
      <c r="K1348" s="2926"/>
      <c r="L1348" s="2584"/>
      <c r="M1348" s="2584">
        <f>SUM(M1346:M1347)</f>
        <v>59736881.413599998</v>
      </c>
      <c r="N1348" s="2424">
        <f>SUM(N1346:N1347)</f>
        <v>2.6094344650342682</v>
      </c>
      <c r="O1348" s="2426">
        <v>0</v>
      </c>
      <c r="P1348" s="2811"/>
      <c r="Q1348" s="2424">
        <f>SUM(Q1346:Q1347)</f>
        <v>69132668.05157508</v>
      </c>
      <c r="R1348" s="2424">
        <f>Q1348/$M$8*100</f>
        <v>3.0198624769937079</v>
      </c>
      <c r="S1348" s="2426">
        <v>0</v>
      </c>
      <c r="T1348" s="2811"/>
      <c r="U1348" s="2426">
        <f t="shared" si="418"/>
        <v>0</v>
      </c>
      <c r="V1348" s="2426"/>
      <c r="W1348" s="2428">
        <f t="shared" si="393"/>
        <v>0</v>
      </c>
      <c r="X1348" s="2811"/>
      <c r="Y1348" s="2424">
        <f>SUM(Y1346:Y1347)</f>
        <v>128869549.46517506</v>
      </c>
      <c r="Z1348" s="2424">
        <f>SUM(Z1346:Z1347)</f>
        <v>5.6292969420279757</v>
      </c>
      <c r="AA1348" s="2429"/>
    </row>
    <row r="1349" spans="1:27" ht="25" customHeight="1">
      <c r="A1349" s="2819"/>
      <c r="B1349" s="2927"/>
      <c r="C1349" s="2814"/>
      <c r="D1349" s="2815"/>
      <c r="E1349" s="2816"/>
      <c r="F1349" s="2817"/>
      <c r="G1349" s="2531"/>
      <c r="H1349" s="2531"/>
      <c r="I1349" s="2928"/>
      <c r="J1349" s="2528"/>
      <c r="K1349" s="2929"/>
      <c r="L1349" s="2533"/>
      <c r="M1349" s="2533"/>
      <c r="N1349" s="2930"/>
      <c r="O1349" s="2931"/>
      <c r="P1349" s="2931"/>
      <c r="Q1349" s="2931"/>
      <c r="R1349" s="2931"/>
      <c r="S1349" s="2931"/>
      <c r="T1349" s="2931"/>
      <c r="U1349" s="2931"/>
      <c r="V1349" s="2931"/>
      <c r="W1349" s="2816"/>
      <c r="X1349" s="2817"/>
      <c r="Y1349" s="2931"/>
      <c r="Z1349" s="2931"/>
      <c r="AA1349" s="2367"/>
    </row>
    <row r="1350" spans="1:27" ht="25" customHeight="1">
      <c r="A1350" s="2801"/>
      <c r="B1350" s="2802"/>
      <c r="C1350" s="2803"/>
      <c r="D1350" s="2830"/>
      <c r="E1350" s="2932"/>
      <c r="F1350" s="2933"/>
      <c r="G1350" s="2934"/>
      <c r="H1350" s="2934"/>
      <c r="I1350" s="2935"/>
      <c r="J1350" s="2936"/>
      <c r="K1350" s="2937"/>
      <c r="L1350" s="2938"/>
      <c r="M1350" s="2938"/>
      <c r="N1350" s="2939"/>
      <c r="O1350" s="2940"/>
      <c r="P1350" s="2940"/>
      <c r="Q1350" s="2940"/>
      <c r="R1350" s="2940"/>
      <c r="S1350" s="2940"/>
      <c r="T1350" s="2940"/>
      <c r="U1350" s="2940"/>
      <c r="V1350" s="2940"/>
      <c r="W1350" s="2940"/>
      <c r="X1350" s="2940"/>
      <c r="Y1350" s="2940"/>
      <c r="Z1350" s="2940"/>
      <c r="AA1350" s="2412"/>
    </row>
    <row r="1351" spans="1:27" ht="25" customHeight="1">
      <c r="A1351" s="2807"/>
      <c r="B1351" s="2808"/>
      <c r="C1351" s="2809"/>
      <c r="D1351" s="2512"/>
      <c r="E1351" s="2810"/>
      <c r="F1351" s="2811"/>
      <c r="G1351" s="2581"/>
      <c r="H1351" s="2581"/>
      <c r="I1351" s="2844"/>
      <c r="J1351" s="2582"/>
      <c r="K1351" s="2926"/>
      <c r="L1351" s="2584" t="s">
        <v>6</v>
      </c>
      <c r="M1351" s="2584">
        <f>M1348+M1344+M1337+M1328+M1308+M1100+M1088+M1069+M1061+M1039+M572+M530+M488+M309+M271+M180+M169+M144+M89+M71</f>
        <v>2289265441.0010448</v>
      </c>
      <c r="N1351" s="2424">
        <f>N1348+N1344+N1337+N1328+N1308+N1100+N1088+N1069+N1061+N1039+N572+N530+N488+N309+N271+N180+N169+N144+N89+N71</f>
        <v>100.00000000000001</v>
      </c>
      <c r="O1351" s="2845"/>
      <c r="P1351" s="2845" t="s">
        <v>6</v>
      </c>
      <c r="Q1351" s="2846">
        <f>Q1348+Q89</f>
        <v>269964329.36286694</v>
      </c>
      <c r="R1351" s="2846">
        <f>R1348+R89</f>
        <v>11.792618039296375</v>
      </c>
      <c r="S1351" s="2845"/>
      <c r="T1351" s="2845" t="s">
        <v>6</v>
      </c>
      <c r="U1351" s="2846">
        <f>U1328+U1308</f>
        <v>269964329.30099994</v>
      </c>
      <c r="V1351" s="2846">
        <f>V1328+V1308</f>
        <v>11.792618036593893</v>
      </c>
      <c r="W1351" s="2845"/>
      <c r="X1351" s="2845"/>
      <c r="Y1351" s="2941">
        <f>Y1348+Y1344+Y1337+Y1328+Y1308+Y1100+Y1088+Y1069+Y1061+Y1039+Y572+Y530+Y488+Y309+Y271+Y180+Y169+Y144+Y89+Y71</f>
        <v>2289265441.062912</v>
      </c>
      <c r="Z1351" s="2941">
        <f>Z1348+Z1344+Z1337+Z1328+Z1308+Z1100+Z1088+Z1069+Z1061+Z1039+Z572+Z530+Z488+Z309+Z271+Z180+Z169+Z144+Z89+Z71</f>
        <v>100.00000000270248</v>
      </c>
      <c r="AA1351" s="2429"/>
    </row>
    <row r="1352" spans="1:27" ht="25" customHeight="1">
      <c r="A1352" s="2942"/>
      <c r="B1352" s="2943"/>
      <c r="C1352" s="2943"/>
      <c r="D1352" s="2944"/>
      <c r="E1352" s="2945"/>
      <c r="F1352" s="2946"/>
      <c r="G1352" s="2947"/>
      <c r="H1352" s="2947"/>
      <c r="I1352" s="2948"/>
      <c r="J1352" s="2949"/>
      <c r="K1352" s="2950"/>
      <c r="L1352" s="2951"/>
      <c r="M1352" s="2951"/>
      <c r="N1352" s="2952"/>
      <c r="O1352" s="2953"/>
      <c r="P1352" s="2953"/>
      <c r="Q1352" s="2954"/>
      <c r="R1352" s="2954"/>
      <c r="S1352" s="2953"/>
      <c r="T1352" s="2953"/>
      <c r="U1352" s="2954"/>
      <c r="V1352" s="2955"/>
      <c r="W1352" s="2953"/>
      <c r="X1352" s="2953"/>
      <c r="Y1352" s="3150"/>
      <c r="Z1352" s="2953"/>
      <c r="AA1352" s="2956"/>
    </row>
    <row r="1353" spans="1:27" ht="25" customHeight="1">
      <c r="A1353" s="2957"/>
      <c r="B1353" s="2958"/>
      <c r="C1353" s="2958"/>
      <c r="D1353" s="2959"/>
      <c r="E1353" s="2960"/>
      <c r="F1353" s="2961"/>
      <c r="G1353" s="2962"/>
      <c r="H1353" s="2962"/>
      <c r="I1353" s="2963"/>
      <c r="J1353" s="2964"/>
      <c r="K1353" s="2965"/>
      <c r="L1353" s="2966"/>
      <c r="M1353" s="3151"/>
      <c r="N1353" s="2967"/>
      <c r="O1353" s="2968"/>
      <c r="P1353" s="2968"/>
      <c r="Q1353" s="2969"/>
      <c r="R1353" s="2968"/>
      <c r="S1353" s="2968"/>
      <c r="T1353" s="2968"/>
      <c r="U1353" s="2970"/>
      <c r="V1353" s="2968"/>
      <c r="W1353" s="2968"/>
      <c r="X1353" s="2968"/>
      <c r="Y1353" s="2969"/>
      <c r="Z1353" s="2968"/>
      <c r="AA1353" s="2999" t="s">
        <v>3395</v>
      </c>
    </row>
    <row r="1354" spans="1:27" s="3001" customFormat="1" ht="23">
      <c r="A1354" s="3131"/>
      <c r="B1354" s="3132"/>
      <c r="C1354" s="3132"/>
      <c r="D1354" s="3133"/>
      <c r="E1354" s="3134"/>
      <c r="F1354" s="3135"/>
      <c r="G1354" s="3135"/>
      <c r="H1354" s="3135"/>
      <c r="I1354" s="3136"/>
      <c r="J1354" s="3137"/>
      <c r="K1354" s="3137"/>
      <c r="L1354" s="3141"/>
      <c r="M1354" s="3141"/>
      <c r="N1354" s="3142"/>
      <c r="O1354" s="3138"/>
      <c r="P1354" s="3138"/>
      <c r="Q1354" s="3138"/>
      <c r="R1354" s="3138"/>
      <c r="S1354" s="3138"/>
      <c r="T1354" s="3138"/>
      <c r="U1354" s="3138"/>
      <c r="V1354" s="3138"/>
      <c r="W1354" s="3139"/>
      <c r="X1354" s="3139"/>
      <c r="Y1354" s="3139"/>
      <c r="Z1354" s="3139"/>
      <c r="AA1354" s="3140"/>
    </row>
    <row r="1355" spans="1:27" s="3152" customFormat="1" ht="23">
      <c r="A1355" s="3001"/>
      <c r="B1355" s="3023"/>
      <c r="C1355" s="3001"/>
      <c r="D1355" s="3082" t="s">
        <v>3375</v>
      </c>
      <c r="E1355" s="3082"/>
      <c r="F1355" s="3082"/>
      <c r="G1355" s="3082"/>
      <c r="I1355" s="2998"/>
      <c r="J1355" s="2998"/>
      <c r="K1355" s="2998"/>
      <c r="L1355" s="2998"/>
      <c r="M1355" s="3082"/>
      <c r="N1355" s="2998"/>
      <c r="P1355" s="2998"/>
      <c r="Q1355" s="3082" t="s">
        <v>3374</v>
      </c>
      <c r="R1355" s="3140"/>
      <c r="S1355" s="3153"/>
      <c r="T1355" s="3153"/>
      <c r="U1355" s="3153"/>
      <c r="V1355" s="3082"/>
      <c r="W1355" s="3153"/>
      <c r="Y1355" s="3082" t="s">
        <v>3416</v>
      </c>
      <c r="Z1355" s="3154"/>
    </row>
    <row r="1356" spans="1:27" s="3152" customFormat="1" ht="23">
      <c r="A1356" s="3001"/>
      <c r="B1356" s="3023"/>
      <c r="C1356" s="3001"/>
      <c r="D1356" s="3084" t="s">
        <v>3376</v>
      </c>
      <c r="E1356" s="3082"/>
      <c r="F1356" s="3082"/>
      <c r="G1356" s="3084"/>
      <c r="I1356" s="2998"/>
      <c r="J1356" s="2998"/>
      <c r="K1356" s="2998"/>
      <c r="L1356" s="2998"/>
      <c r="M1356" s="3082"/>
      <c r="N1356" s="2998"/>
      <c r="P1356" s="2998"/>
      <c r="Q1356" s="3082" t="s">
        <v>3412</v>
      </c>
      <c r="R1356" s="3140"/>
      <c r="S1356" s="3153"/>
      <c r="T1356" s="3153"/>
      <c r="U1356" s="3153"/>
      <c r="V1356" s="3149"/>
      <c r="W1356" s="3153"/>
      <c r="Y1356" s="3149" t="s">
        <v>3413</v>
      </c>
    </row>
    <row r="1357" spans="1:27" s="3152" customFormat="1" ht="23">
      <c r="A1357" s="3001"/>
      <c r="B1357" s="3023"/>
      <c r="C1357" s="3001"/>
      <c r="D1357" s="3082"/>
      <c r="E1357" s="3082"/>
      <c r="F1357" s="3082"/>
      <c r="G1357" s="3082"/>
      <c r="I1357" s="2997"/>
      <c r="J1357" s="2997"/>
      <c r="K1357" s="3085"/>
      <c r="L1357" s="2998"/>
      <c r="M1357" s="3082"/>
      <c r="N1357" s="2998"/>
      <c r="P1357" s="3086"/>
      <c r="Q1357" s="3082"/>
      <c r="R1357" s="3140"/>
      <c r="S1357" s="3153"/>
      <c r="T1357" s="3153"/>
      <c r="U1357" s="3153"/>
      <c r="V1357" s="3082"/>
      <c r="W1357" s="3153"/>
      <c r="Y1357" s="3082"/>
    </row>
    <row r="1358" spans="1:27" s="3152" customFormat="1" ht="23">
      <c r="A1358" s="3001"/>
      <c r="B1358" s="3023"/>
      <c r="C1358" s="3001"/>
      <c r="D1358" s="3082"/>
      <c r="E1358" s="3082"/>
      <c r="F1358" s="3082"/>
      <c r="G1358" s="3082"/>
      <c r="I1358" s="2997"/>
      <c r="J1358" s="2997"/>
      <c r="K1358" s="3085"/>
      <c r="L1358" s="2998"/>
      <c r="M1358" s="3082"/>
      <c r="N1358" s="2998"/>
      <c r="P1358" s="3086"/>
      <c r="Q1358" s="3082"/>
      <c r="R1358" s="3140"/>
      <c r="S1358" s="3153"/>
      <c r="T1358" s="3153"/>
      <c r="U1358" s="3153"/>
      <c r="V1358" s="3082"/>
      <c r="W1358" s="3153"/>
      <c r="Y1358" s="3082"/>
    </row>
    <row r="1359" spans="1:27" s="3152" customFormat="1" ht="23">
      <c r="A1359" s="3001"/>
      <c r="B1359" s="3023"/>
      <c r="C1359" s="3001"/>
      <c r="D1359" s="3082"/>
      <c r="E1359" s="3082"/>
      <c r="F1359" s="3082"/>
      <c r="G1359" s="3082"/>
      <c r="I1359" s="2997"/>
      <c r="J1359" s="2997"/>
      <c r="K1359" s="3085"/>
      <c r="L1359" s="2998"/>
      <c r="M1359" s="3082"/>
      <c r="N1359" s="2998"/>
      <c r="P1359" s="3086"/>
      <c r="Q1359" s="3082"/>
      <c r="R1359" s="3140"/>
      <c r="S1359" s="3153"/>
      <c r="T1359" s="3153"/>
      <c r="U1359" s="3153"/>
      <c r="V1359" s="3082"/>
      <c r="W1359" s="3153"/>
      <c r="Y1359" s="3082"/>
    </row>
    <row r="1360" spans="1:27" s="3152" customFormat="1" ht="23">
      <c r="A1360" s="3001"/>
      <c r="B1360" s="3023"/>
      <c r="C1360" s="3001"/>
      <c r="D1360" s="3082"/>
      <c r="E1360" s="3082"/>
      <c r="F1360" s="3082"/>
      <c r="G1360" s="3082"/>
      <c r="I1360" s="2997"/>
      <c r="J1360" s="2997"/>
      <c r="K1360" s="3085"/>
      <c r="L1360" s="2998"/>
      <c r="M1360" s="3082"/>
      <c r="N1360" s="2998"/>
      <c r="P1360" s="3086"/>
      <c r="Q1360" s="3082"/>
      <c r="R1360" s="3140"/>
      <c r="S1360" s="3153"/>
      <c r="T1360" s="3153"/>
      <c r="U1360" s="3153"/>
      <c r="V1360" s="3082"/>
      <c r="W1360" s="3153"/>
      <c r="Y1360" s="3082"/>
    </row>
    <row r="1361" spans="1:25" s="3152" customFormat="1" ht="23">
      <c r="A1361" s="3001"/>
      <c r="B1361" s="3023"/>
      <c r="C1361" s="3001"/>
      <c r="D1361" s="3082"/>
      <c r="E1361" s="3082"/>
      <c r="F1361" s="3082"/>
      <c r="G1361" s="3082"/>
      <c r="I1361" s="2997"/>
      <c r="J1361" s="2997"/>
      <c r="K1361" s="3085"/>
      <c r="L1361" s="2998"/>
      <c r="M1361" s="3082"/>
      <c r="N1361" s="2998"/>
      <c r="P1361" s="3086"/>
      <c r="Q1361" s="3082"/>
      <c r="R1361" s="3140"/>
      <c r="S1361" s="3153"/>
      <c r="T1361" s="3153"/>
      <c r="U1361" s="3153"/>
      <c r="V1361" s="3082"/>
      <c r="W1361" s="3153"/>
      <c r="Y1361" s="3082"/>
    </row>
    <row r="1362" spans="1:25" s="3152" customFormat="1" ht="23">
      <c r="A1362" s="3001"/>
      <c r="B1362" s="3023"/>
      <c r="C1362" s="3001"/>
      <c r="D1362" s="3082"/>
      <c r="E1362" s="3082"/>
      <c r="F1362" s="3082"/>
      <c r="G1362" s="3082"/>
      <c r="I1362" s="2997"/>
      <c r="J1362" s="2997"/>
      <c r="K1362" s="3085"/>
      <c r="L1362" s="2998"/>
      <c r="M1362" s="3082"/>
      <c r="N1362" s="2998"/>
      <c r="P1362" s="3086"/>
      <c r="Q1362" s="3082"/>
      <c r="R1362" s="3140"/>
      <c r="S1362" s="3153"/>
      <c r="T1362" s="3153"/>
      <c r="U1362" s="3153"/>
      <c r="V1362" s="3082"/>
      <c r="W1362" s="3153"/>
      <c r="Y1362" s="3082"/>
    </row>
    <row r="1363" spans="1:25" s="3152" customFormat="1" ht="23">
      <c r="A1363" s="3001"/>
      <c r="B1363" s="3023"/>
      <c r="C1363" s="3001"/>
      <c r="D1363" s="3082"/>
      <c r="E1363" s="3082"/>
      <c r="F1363" s="3082"/>
      <c r="G1363" s="3082"/>
      <c r="I1363" s="3082"/>
      <c r="J1363" s="3082"/>
      <c r="K1363" s="3086"/>
      <c r="L1363" s="2998"/>
      <c r="M1363" s="3082"/>
      <c r="N1363" s="2998"/>
      <c r="P1363" s="3086"/>
      <c r="Q1363" s="3082"/>
      <c r="R1363" s="3140"/>
      <c r="S1363" s="3153"/>
      <c r="T1363" s="3153"/>
      <c r="U1363" s="3153"/>
      <c r="V1363" s="3082"/>
      <c r="W1363" s="3153"/>
      <c r="Y1363" s="3082"/>
    </row>
    <row r="1364" spans="1:25" s="3152" customFormat="1" ht="23">
      <c r="A1364" s="3001"/>
      <c r="B1364" s="3023"/>
      <c r="C1364" s="3001"/>
      <c r="D1364" s="3082"/>
      <c r="E1364" s="3082"/>
      <c r="F1364" s="3082"/>
      <c r="G1364" s="3082"/>
      <c r="I1364" s="3087"/>
      <c r="J1364" s="3087"/>
      <c r="K1364" s="3088"/>
      <c r="L1364" s="2998"/>
      <c r="M1364" s="3087"/>
      <c r="N1364" s="2998"/>
      <c r="P1364" s="3088"/>
      <c r="Q1364" s="3087"/>
      <c r="R1364" s="3140"/>
      <c r="S1364" s="3153"/>
      <c r="T1364" s="3153"/>
      <c r="U1364" s="3153"/>
      <c r="V1364" s="3082"/>
      <c r="W1364" s="3153"/>
      <c r="Y1364" s="3082"/>
    </row>
    <row r="1365" spans="1:25" s="3152" customFormat="1" ht="23">
      <c r="A1365" s="3001"/>
      <c r="B1365" s="3023"/>
      <c r="C1365" s="3001"/>
      <c r="D1365" s="3148" t="s">
        <v>3387</v>
      </c>
      <c r="E1365" s="3082"/>
      <c r="F1365" s="3082"/>
      <c r="G1365" s="3148"/>
      <c r="I1365" s="3155"/>
      <c r="J1365" s="3155"/>
      <c r="K1365" s="3155"/>
      <c r="L1365" s="2998"/>
      <c r="M1365" s="3146"/>
      <c r="N1365" s="3155"/>
      <c r="P1365" s="3155"/>
      <c r="Q1365" s="3146" t="s">
        <v>3389</v>
      </c>
      <c r="R1365" s="3140"/>
      <c r="S1365" s="3153"/>
      <c r="T1365" s="3153"/>
      <c r="U1365" s="3153"/>
      <c r="V1365" s="3148"/>
      <c r="W1365" s="3153"/>
      <c r="Y1365" s="3148" t="s">
        <v>3382</v>
      </c>
    </row>
    <row r="1366" spans="1:25" s="3152" customFormat="1" ht="23">
      <c r="A1366" s="3001"/>
      <c r="B1366" s="3023"/>
      <c r="C1366" s="3001"/>
      <c r="D1366" s="3082" t="s">
        <v>3388</v>
      </c>
      <c r="E1366" s="3082"/>
      <c r="F1366" s="3082"/>
      <c r="G1366" s="3082"/>
      <c r="I1366" s="3156"/>
      <c r="J1366" s="3156"/>
      <c r="K1366" s="3156"/>
      <c r="L1366" s="2998"/>
      <c r="M1366" s="3147"/>
      <c r="N1366" s="3156"/>
      <c r="P1366" s="3156"/>
      <c r="Q1366" s="3147" t="s">
        <v>3390</v>
      </c>
      <c r="R1366" s="3140"/>
      <c r="S1366" s="3153"/>
      <c r="T1366" s="3153"/>
      <c r="U1366" s="3153"/>
      <c r="V1366" s="3082"/>
      <c r="W1366" s="3153"/>
      <c r="Y1366" s="3082" t="s">
        <v>3383</v>
      </c>
    </row>
  </sheetData>
  <autoFilter ref="A12:O1353" xr:uid="{00000000-0009-0000-0000-000006000000}"/>
  <mergeCells count="96">
    <mergeCell ref="B1340:D1340"/>
    <mergeCell ref="B1341:D1341"/>
    <mergeCell ref="B1342:D1342"/>
    <mergeCell ref="B1343:D1343"/>
    <mergeCell ref="B1265:D1265"/>
    <mergeCell ref="B1316:D1316"/>
    <mergeCell ref="B1317:D1317"/>
    <mergeCell ref="B1326:D1326"/>
    <mergeCell ref="B1271:D1271"/>
    <mergeCell ref="B1272:D1272"/>
    <mergeCell ref="B1311:D1311"/>
    <mergeCell ref="B1312:D1312"/>
    <mergeCell ref="B1313:D1313"/>
    <mergeCell ref="W9:Z9"/>
    <mergeCell ref="AA9:AA11"/>
    <mergeCell ref="W10:W11"/>
    <mergeCell ref="X10:X11"/>
    <mergeCell ref="A9:A11"/>
    <mergeCell ref="B9:D11"/>
    <mergeCell ref="E9:E11"/>
    <mergeCell ref="F9:F11"/>
    <mergeCell ref="L9:N9"/>
    <mergeCell ref="T10:T11"/>
    <mergeCell ref="S9:V9"/>
    <mergeCell ref="S10:S11"/>
    <mergeCell ref="O9:R9"/>
    <mergeCell ref="O10:O11"/>
    <mergeCell ref="P10:P11"/>
    <mergeCell ref="B1262:D1262"/>
    <mergeCell ref="B1020:D1020"/>
    <mergeCell ref="B1024:D1024"/>
    <mergeCell ref="B1025:D1025"/>
    <mergeCell ref="B1037:D1037"/>
    <mergeCell ref="B1150:D1150"/>
    <mergeCell ref="B1151:D1151"/>
    <mergeCell ref="B1156:D1156"/>
    <mergeCell ref="B1063:D1063"/>
    <mergeCell ref="B1067:D1067"/>
    <mergeCell ref="B1084:D1084"/>
    <mergeCell ref="B1085:D1085"/>
    <mergeCell ref="B1086:D1086"/>
    <mergeCell ref="B1155:D1155"/>
    <mergeCell ref="B1261:D1261"/>
    <mergeCell ref="B801:D801"/>
    <mergeCell ref="B811:D811"/>
    <mergeCell ref="B1043:D1043"/>
    <mergeCell ref="B1045:D1045"/>
    <mergeCell ref="B1060:D1060"/>
    <mergeCell ref="B1019:D1019"/>
    <mergeCell ref="B812:D812"/>
    <mergeCell ref="B909:D909"/>
    <mergeCell ref="B910:D910"/>
    <mergeCell ref="B913:D913"/>
    <mergeCell ref="B919:D919"/>
    <mergeCell ref="B948:D948"/>
    <mergeCell ref="B800:D800"/>
    <mergeCell ref="B659:D659"/>
    <mergeCell ref="B662:D662"/>
    <mergeCell ref="B663:D663"/>
    <mergeCell ref="B668:D668"/>
    <mergeCell ref="B670:D670"/>
    <mergeCell ref="B658:D658"/>
    <mergeCell ref="B767:D767"/>
    <mergeCell ref="B788:D788"/>
    <mergeCell ref="B795:D795"/>
    <mergeCell ref="B796:D796"/>
    <mergeCell ref="B393:D393"/>
    <mergeCell ref="B394:D394"/>
    <mergeCell ref="B397:D397"/>
    <mergeCell ref="B555:D555"/>
    <mergeCell ref="B560:D560"/>
    <mergeCell ref="B168:D168"/>
    <mergeCell ref="B69:D69"/>
    <mergeCell ref="B21:D21"/>
    <mergeCell ref="B24:D24"/>
    <mergeCell ref="B32:D32"/>
    <mergeCell ref="B35:D35"/>
    <mergeCell ref="B40:D40"/>
    <mergeCell ref="B52:D52"/>
    <mergeCell ref="B54:D54"/>
    <mergeCell ref="A1:AA1"/>
    <mergeCell ref="B529:D529"/>
    <mergeCell ref="B522:D522"/>
    <mergeCell ref="B70:D70"/>
    <mergeCell ref="B157:D157"/>
    <mergeCell ref="B158:D158"/>
    <mergeCell ref="B161:D161"/>
    <mergeCell ref="B511:D511"/>
    <mergeCell ref="B512:D512"/>
    <mergeCell ref="B515:D515"/>
    <mergeCell ref="B398:D398"/>
    <mergeCell ref="B403:D403"/>
    <mergeCell ref="B405:D405"/>
    <mergeCell ref="B495:D495"/>
    <mergeCell ref="B496:D496"/>
    <mergeCell ref="B162:D162"/>
  </mergeCells>
  <phoneticPr fontId="73" type="noConversion"/>
  <hyperlinks>
    <hyperlink ref="H67" r:id="rId1" display="https://sloinstalasilistrik.com/biaya-nidi-slo-pln/" xr:uid="{00000000-0004-0000-0600-000000000000}"/>
  </hyperlinks>
  <pageMargins left="0.25" right="0.25" top="0.75" bottom="0.75" header="0.3" footer="0.3"/>
  <pageSetup paperSize="9" scale="29" fitToHeight="0" orientation="landscape" horizontalDpi="300" verticalDpi="300" r:id="rId2"/>
  <rowBreaks count="35" manualBreakCount="35">
    <brk id="54" max="26" man="1"/>
    <brk id="71" max="26" man="1"/>
    <brk id="89" max="26" man="1"/>
    <brk id="144" max="26" man="1"/>
    <brk id="180" max="26" man="1"/>
    <brk id="231" max="26" man="1"/>
    <brk id="271" max="26" man="1"/>
    <brk id="318" max="26" man="1"/>
    <brk id="360" max="26" man="1"/>
    <brk id="377" max="26" man="1"/>
    <brk id="406" max="26" man="1"/>
    <brk id="454" max="26" man="1"/>
    <brk id="488" max="26" man="1"/>
    <brk id="530" max="26" man="1"/>
    <brk id="572" max="26" man="1"/>
    <brk id="617" max="26" man="1"/>
    <brk id="646" max="26" man="1"/>
    <brk id="671" max="26" man="1"/>
    <brk id="721" max="26" man="1"/>
    <brk id="754" max="26" man="1"/>
    <brk id="805" max="26" man="1"/>
    <brk id="845" max="26" man="1"/>
    <brk id="893" max="26" man="1"/>
    <brk id="920" max="26" man="1"/>
    <brk id="959" max="26" man="1"/>
    <brk id="1016" max="26" man="1"/>
    <brk id="1039" max="26" man="1"/>
    <brk id="1069" max="26" man="1"/>
    <brk id="1100" max="26" man="1"/>
    <brk id="1143" max="26" man="1"/>
    <brk id="1158" max="26" man="1"/>
    <brk id="1204" max="26" man="1"/>
    <brk id="1254" max="26" man="1"/>
    <brk id="1279" max="26" man="1"/>
    <brk id="1328" max="26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752"/>
  <sheetViews>
    <sheetView zoomScale="90" zoomScaleNormal="90" workbookViewId="0">
      <pane ySplit="2" topLeftCell="A3" activePane="bottomLeft" state="frozen"/>
      <selection pane="bottomLeft" activeCell="P20" sqref="P20"/>
    </sheetView>
  </sheetViews>
  <sheetFormatPr baseColWidth="10" defaultColWidth="8.83203125" defaultRowHeight="13"/>
  <cols>
    <col min="2" max="2" width="50.5" customWidth="1"/>
    <col min="3" max="3" width="12.5" customWidth="1"/>
    <col min="4" max="13" width="10.5" customWidth="1"/>
    <col min="14" max="14" width="12.5" customWidth="1"/>
    <col min="15" max="15" width="10.5" customWidth="1"/>
    <col min="16" max="16" width="20.5" customWidth="1"/>
  </cols>
  <sheetData>
    <row r="1" spans="1:16" ht="19.5" customHeight="1">
      <c r="A1" s="3239" t="s">
        <v>1</v>
      </c>
      <c r="B1" s="3240" t="s">
        <v>68</v>
      </c>
      <c r="C1" s="3240" t="s">
        <v>77</v>
      </c>
      <c r="D1" s="3240" t="s">
        <v>78</v>
      </c>
      <c r="E1" s="3240" t="s">
        <v>79</v>
      </c>
      <c r="F1" s="3240" t="s">
        <v>6</v>
      </c>
      <c r="G1" s="3240" t="s">
        <v>999</v>
      </c>
      <c r="H1" s="3240" t="s">
        <v>977</v>
      </c>
      <c r="I1" s="3240" t="s">
        <v>978</v>
      </c>
      <c r="J1" s="3240" t="s">
        <v>1000</v>
      </c>
      <c r="K1" s="3240"/>
      <c r="L1" s="3240" t="s">
        <v>213</v>
      </c>
      <c r="M1" s="3240" t="s">
        <v>80</v>
      </c>
      <c r="N1" s="3240" t="s">
        <v>81</v>
      </c>
      <c r="O1" s="3240" t="s">
        <v>82</v>
      </c>
      <c r="P1" s="3241" t="s">
        <v>83</v>
      </c>
    </row>
    <row r="2" spans="1:16" ht="19.5" customHeight="1">
      <c r="A2" s="3239"/>
      <c r="B2" s="3240"/>
      <c r="C2" s="3240"/>
      <c r="D2" s="3240"/>
      <c r="E2" s="3240"/>
      <c r="F2" s="3240"/>
      <c r="G2" s="3240"/>
      <c r="H2" s="3240"/>
      <c r="I2" s="3240"/>
      <c r="J2" s="921" t="s">
        <v>1001</v>
      </c>
      <c r="K2" s="921" t="s">
        <v>1002</v>
      </c>
      <c r="L2" s="3240"/>
      <c r="M2" s="3240"/>
      <c r="N2" s="3240"/>
      <c r="O2" s="3240"/>
      <c r="P2" s="3241"/>
    </row>
    <row r="3" spans="1:16" ht="7.5" customHeight="1">
      <c r="A3" s="442"/>
      <c r="B3" s="442"/>
      <c r="C3" s="442"/>
      <c r="D3" s="442"/>
      <c r="E3" s="442"/>
      <c r="F3" s="442"/>
      <c r="G3" s="442"/>
      <c r="H3" s="442"/>
      <c r="I3" s="442"/>
      <c r="J3" s="442"/>
      <c r="K3" s="442"/>
      <c r="L3" s="442"/>
      <c r="M3" s="442"/>
      <c r="N3" s="442"/>
      <c r="O3" s="442"/>
      <c r="P3" s="922"/>
    </row>
    <row r="4" spans="1:16" ht="7.5" customHeight="1">
      <c r="A4" s="857"/>
      <c r="B4" s="858"/>
      <c r="C4" s="858"/>
      <c r="D4" s="858"/>
      <c r="E4" s="858"/>
      <c r="F4" s="858"/>
      <c r="G4" s="858"/>
      <c r="H4" s="858"/>
      <c r="I4" s="858"/>
      <c r="J4" s="858"/>
      <c r="K4" s="858"/>
      <c r="L4" s="858"/>
      <c r="M4" s="858"/>
      <c r="N4" s="858"/>
      <c r="O4" s="858"/>
      <c r="P4" s="923"/>
    </row>
    <row r="5" spans="1:16" ht="15.75" customHeight="1">
      <c r="A5" s="425">
        <v>16</v>
      </c>
      <c r="B5" s="426" t="s">
        <v>1484</v>
      </c>
      <c r="C5" s="428"/>
      <c r="D5" s="428"/>
      <c r="E5" s="428"/>
      <c r="F5" s="428"/>
      <c r="G5" s="428"/>
      <c r="H5" s="428"/>
      <c r="I5" s="428"/>
      <c r="J5" s="428"/>
      <c r="K5" s="428"/>
      <c r="L5" s="428"/>
      <c r="M5" s="428"/>
      <c r="N5" s="428"/>
      <c r="O5" s="362"/>
      <c r="P5" s="842"/>
    </row>
    <row r="6" spans="1:16" ht="15.75" customHeight="1">
      <c r="A6" s="62">
        <v>1</v>
      </c>
      <c r="B6" s="71" t="s">
        <v>893</v>
      </c>
      <c r="C6" s="1070">
        <v>11.09</v>
      </c>
      <c r="D6" s="1070">
        <v>15.68</v>
      </c>
      <c r="E6" s="1070">
        <v>0.96</v>
      </c>
      <c r="F6" s="1070"/>
      <c r="G6" s="1070"/>
      <c r="H6" s="428"/>
      <c r="I6" s="428"/>
      <c r="J6" s="428"/>
      <c r="K6" s="428"/>
      <c r="L6" s="428"/>
      <c r="M6" s="428"/>
      <c r="N6" s="390">
        <f>C6*D6*E6</f>
        <v>166.935552</v>
      </c>
      <c r="O6" s="362" t="s">
        <v>103</v>
      </c>
      <c r="P6" s="860">
        <f>ROUND((N6),2)</f>
        <v>166.94</v>
      </c>
    </row>
    <row r="7" spans="1:16" ht="15.75" customHeight="1">
      <c r="A7" s="62"/>
      <c r="B7" s="71"/>
      <c r="C7" s="1070"/>
      <c r="D7" s="1070"/>
      <c r="E7" s="1070"/>
      <c r="F7" s="1070"/>
      <c r="G7" s="1070"/>
      <c r="H7" s="428"/>
      <c r="I7" s="428"/>
      <c r="J7" s="428"/>
      <c r="K7" s="428"/>
      <c r="L7" s="428"/>
      <c r="M7" s="428"/>
      <c r="N7" s="390"/>
      <c r="O7" s="362"/>
      <c r="P7" s="860"/>
    </row>
    <row r="8" spans="1:16" ht="15.75" customHeight="1">
      <c r="A8" s="62">
        <v>2</v>
      </c>
      <c r="B8" s="71" t="s">
        <v>3363</v>
      </c>
      <c r="C8" s="1070">
        <v>3.23</v>
      </c>
      <c r="D8" s="1070">
        <v>15.68</v>
      </c>
      <c r="E8" s="1070">
        <v>7.65</v>
      </c>
      <c r="F8" s="1070"/>
      <c r="G8" s="1070"/>
      <c r="H8" s="428"/>
      <c r="I8" s="428"/>
      <c r="J8" s="428"/>
      <c r="K8" s="428"/>
      <c r="L8" s="428"/>
      <c r="M8" s="428"/>
      <c r="N8" s="390">
        <f>C8*D8*E8</f>
        <v>387.44496000000004</v>
      </c>
      <c r="O8" s="362" t="s">
        <v>103</v>
      </c>
      <c r="P8" s="860">
        <f>ROUND((N8),2)</f>
        <v>387.44</v>
      </c>
    </row>
    <row r="9" spans="1:16" ht="15.75" customHeight="1">
      <c r="A9" s="62"/>
      <c r="B9" s="2316"/>
      <c r="C9" s="2317">
        <f>(26.5+22.5)/2</f>
        <v>24.5</v>
      </c>
      <c r="D9" s="2317">
        <v>13.5</v>
      </c>
      <c r="E9" s="2317">
        <v>0.45</v>
      </c>
      <c r="F9" s="2317"/>
      <c r="G9" s="2317"/>
      <c r="H9" s="2318"/>
      <c r="I9" s="2318"/>
      <c r="J9" s="2318"/>
      <c r="K9" s="2318"/>
      <c r="L9" s="2318"/>
      <c r="M9" s="2318"/>
      <c r="N9" s="2322">
        <f t="shared" ref="N9:N11" si="0">C9*D9*E9</f>
        <v>148.83750000000001</v>
      </c>
      <c r="O9" s="2319"/>
      <c r="P9" s="2320"/>
    </row>
    <row r="10" spans="1:16" ht="15.75" customHeight="1">
      <c r="A10" s="62">
        <v>3</v>
      </c>
      <c r="B10" s="71" t="s">
        <v>1485</v>
      </c>
      <c r="C10" s="1070">
        <v>14.94</v>
      </c>
      <c r="D10" s="1070">
        <v>15.68</v>
      </c>
      <c r="E10" s="1070">
        <v>0.56999999999999995</v>
      </c>
      <c r="F10" s="1070"/>
      <c r="G10" s="1070"/>
      <c r="H10" s="428"/>
      <c r="I10" s="428"/>
      <c r="J10" s="428"/>
      <c r="K10" s="428"/>
      <c r="L10" s="428"/>
      <c r="M10" s="428"/>
      <c r="N10" s="390">
        <f t="shared" si="0"/>
        <v>133.52774399999998</v>
      </c>
      <c r="O10" s="362" t="s">
        <v>103</v>
      </c>
      <c r="P10" s="860">
        <f>ROUND((N10),2)</f>
        <v>133.53</v>
      </c>
    </row>
    <row r="11" spans="1:16" ht="15.75" customHeight="1">
      <c r="A11" s="62"/>
      <c r="B11" s="2316"/>
      <c r="C11" s="2317">
        <v>21</v>
      </c>
      <c r="D11" s="2317">
        <v>13.5</v>
      </c>
      <c r="E11" s="2317">
        <v>0.5</v>
      </c>
      <c r="F11" s="2317"/>
      <c r="G11" s="2317"/>
      <c r="H11" s="2318"/>
      <c r="I11" s="2318"/>
      <c r="J11" s="2318"/>
      <c r="K11" s="2318"/>
      <c r="L11" s="2318"/>
      <c r="M11" s="2318"/>
      <c r="N11" s="2322">
        <f t="shared" si="0"/>
        <v>141.75</v>
      </c>
      <c r="O11" s="2319"/>
      <c r="P11" s="2320"/>
    </row>
    <row r="12" spans="1:16" ht="15.75" customHeight="1">
      <c r="A12" s="62">
        <v>4</v>
      </c>
      <c r="B12" s="71" t="s">
        <v>1486</v>
      </c>
      <c r="C12" s="1070">
        <v>20.54</v>
      </c>
      <c r="D12" s="1070">
        <v>15.68</v>
      </c>
      <c r="E12" s="1070">
        <v>1.26</v>
      </c>
      <c r="F12" s="1070"/>
      <c r="G12" s="1070"/>
      <c r="H12" s="428"/>
      <c r="I12" s="428"/>
      <c r="J12" s="428"/>
      <c r="K12" s="428"/>
      <c r="L12" s="428"/>
      <c r="M12" s="428"/>
      <c r="N12" s="390">
        <f>C12*D12*E12</f>
        <v>405.80467199999993</v>
      </c>
      <c r="O12" s="362" t="s">
        <v>103</v>
      </c>
      <c r="P12" s="860">
        <f>ROUND((N12),2)</f>
        <v>405.8</v>
      </c>
    </row>
    <row r="13" spans="1:16" ht="15.75" customHeight="1">
      <c r="A13" s="62"/>
      <c r="B13" s="2316"/>
      <c r="C13" s="2317">
        <v>26</v>
      </c>
      <c r="D13" s="2317">
        <v>2</v>
      </c>
      <c r="E13" s="2317">
        <v>1.6</v>
      </c>
      <c r="F13" s="2317"/>
      <c r="G13" s="2317"/>
      <c r="H13" s="2318"/>
      <c r="I13" s="2318"/>
      <c r="J13" s="2318"/>
      <c r="K13" s="2318"/>
      <c r="L13" s="2318"/>
      <c r="M13" s="2318"/>
      <c r="N13" s="2322">
        <f>C13*D13*E13</f>
        <v>83.2</v>
      </c>
      <c r="O13" s="2319"/>
      <c r="P13" s="2320"/>
    </row>
    <row r="14" spans="1:16" ht="15.75" customHeight="1">
      <c r="A14" s="62">
        <v>5</v>
      </c>
      <c r="B14" s="71" t="s">
        <v>1487</v>
      </c>
      <c r="C14" s="1070">
        <v>0.68</v>
      </c>
      <c r="D14" s="1070">
        <v>15.68</v>
      </c>
      <c r="E14" s="1070">
        <v>2.1000000000000001E-2</v>
      </c>
      <c r="F14" s="1070"/>
      <c r="G14" s="1070"/>
      <c r="H14" s="428"/>
      <c r="I14" s="428"/>
      <c r="J14" s="428"/>
      <c r="K14" s="428"/>
      <c r="L14" s="428"/>
      <c r="M14" s="428"/>
      <c r="N14" s="390">
        <f>C14*D14*E14</f>
        <v>0.22391040000000001</v>
      </c>
      <c r="O14" s="362" t="s">
        <v>103</v>
      </c>
      <c r="P14" s="860">
        <f>ROUND((N14),2)</f>
        <v>0.22</v>
      </c>
    </row>
    <row r="15" spans="1:16" ht="15.75" customHeight="1">
      <c r="A15" s="62"/>
      <c r="B15" s="2316"/>
      <c r="C15" s="2317">
        <v>45</v>
      </c>
      <c r="D15" s="2317">
        <v>2</v>
      </c>
      <c r="E15" s="2317">
        <v>1.8</v>
      </c>
      <c r="F15" s="2317"/>
      <c r="G15" s="2317"/>
      <c r="H15" s="2318"/>
      <c r="I15" s="2318"/>
      <c r="J15" s="2318"/>
      <c r="K15" s="2318"/>
      <c r="L15" s="2318"/>
      <c r="M15" s="2318"/>
      <c r="N15" s="2322">
        <f>C15*D15*E15</f>
        <v>162</v>
      </c>
      <c r="O15" s="2321"/>
      <c r="P15" s="2320"/>
    </row>
    <row r="16" spans="1:16" ht="15.75" customHeight="1">
      <c r="A16" s="62"/>
      <c r="B16" s="71"/>
      <c r="C16" s="1070"/>
      <c r="D16" s="1070"/>
      <c r="E16" s="1070"/>
      <c r="F16" s="1070"/>
      <c r="G16" s="1070"/>
      <c r="H16" s="428" t="s">
        <v>1488</v>
      </c>
      <c r="I16" s="428"/>
      <c r="J16" s="428"/>
      <c r="K16" s="428"/>
      <c r="L16" s="428"/>
      <c r="M16" s="428"/>
      <c r="N16" s="390"/>
      <c r="O16" s="1065"/>
      <c r="P16" s="860"/>
    </row>
    <row r="17" spans="1:16" ht="15.75" customHeight="1">
      <c r="A17" s="62"/>
      <c r="B17" s="71"/>
      <c r="C17" s="1070"/>
      <c r="D17" s="1070"/>
      <c r="E17" s="1070">
        <f>E6</f>
        <v>0.96</v>
      </c>
      <c r="F17" s="1070"/>
      <c r="G17" s="1070"/>
      <c r="H17" s="428">
        <f>ROUNDDOWN((E17/0.2),0.5)</f>
        <v>4</v>
      </c>
      <c r="I17" s="428"/>
      <c r="J17" s="428"/>
      <c r="K17" s="428"/>
      <c r="L17" s="428"/>
      <c r="M17" s="428"/>
      <c r="N17" s="390"/>
      <c r="O17" s="1065"/>
      <c r="P17" s="860"/>
    </row>
    <row r="18" spans="1:16" ht="15.75" customHeight="1">
      <c r="A18" s="62"/>
      <c r="B18" s="71"/>
      <c r="C18" s="1070"/>
      <c r="D18" s="1070"/>
      <c r="E18" s="1070"/>
      <c r="F18" s="1070"/>
      <c r="G18" s="1070"/>
      <c r="H18" s="428"/>
      <c r="I18" s="428"/>
      <c r="J18" s="428"/>
      <c r="K18" s="428"/>
      <c r="L18" s="428"/>
      <c r="M18" s="428"/>
      <c r="N18" s="2322">
        <f>N9+N11+N13+N15</f>
        <v>535.78749999999991</v>
      </c>
      <c r="O18" s="1065"/>
      <c r="P18" s="2320">
        <f>N18-P20</f>
        <v>368.84749999999991</v>
      </c>
    </row>
    <row r="19" spans="1:16" ht="15.75" customHeight="1">
      <c r="A19" s="62"/>
      <c r="B19" s="71"/>
      <c r="C19" s="1070"/>
      <c r="D19" s="1070"/>
      <c r="E19" s="1070"/>
      <c r="F19" s="1070"/>
      <c r="G19" s="1070"/>
      <c r="H19" s="428"/>
      <c r="I19" s="428"/>
      <c r="J19" s="428"/>
      <c r="K19" s="428"/>
      <c r="L19" s="428"/>
      <c r="M19" s="428"/>
      <c r="N19" s="2338"/>
      <c r="O19" s="1065"/>
      <c r="P19" s="2339">
        <f>193.1958+0.001557</f>
        <v>193.19735699999998</v>
      </c>
    </row>
    <row r="20" spans="1:16" ht="27.75" customHeight="1">
      <c r="A20" s="62">
        <f>A6+1</f>
        <v>2</v>
      </c>
      <c r="B20" s="886" t="s">
        <v>1489</v>
      </c>
      <c r="C20" s="1070" t="s">
        <v>1490</v>
      </c>
      <c r="D20" s="1070"/>
      <c r="E20" s="1070"/>
      <c r="F20" s="1070"/>
      <c r="G20" s="1070"/>
      <c r="H20" s="428"/>
      <c r="I20" s="428"/>
      <c r="J20" s="428"/>
      <c r="K20" s="428"/>
      <c r="L20" s="428"/>
      <c r="M20" s="428"/>
      <c r="N20" s="390">
        <f>N6</f>
        <v>166.935552</v>
      </c>
      <c r="O20" s="362" t="s">
        <v>103</v>
      </c>
      <c r="P20" s="860">
        <f>ROUND((N20),2)</f>
        <v>166.94</v>
      </c>
    </row>
    <row r="21" spans="1:16" ht="15.75" customHeight="1">
      <c r="A21" s="1093"/>
      <c r="B21" s="1094"/>
      <c r="C21" s="917"/>
      <c r="D21" s="917"/>
      <c r="E21" s="917"/>
      <c r="F21" s="917"/>
      <c r="G21" s="917"/>
      <c r="H21" s="917"/>
      <c r="I21" s="917"/>
      <c r="J21" s="917"/>
      <c r="K21" s="917"/>
      <c r="L21" s="917"/>
      <c r="M21" s="917"/>
      <c r="N21" s="917"/>
      <c r="O21" s="941"/>
      <c r="P21" s="1095"/>
    </row>
    <row r="22" spans="1:16" ht="15.75" customHeight="1"/>
    <row r="23" spans="1:16" ht="15.75" customHeight="1"/>
    <row r="24" spans="1:16" ht="15.75" customHeight="1"/>
    <row r="25" spans="1:16" ht="15.75" customHeight="1"/>
    <row r="26" spans="1:16" ht="15.75" customHeight="1"/>
    <row r="27" spans="1:16" ht="15.75" customHeight="1"/>
    <row r="28" spans="1:16" ht="15.75" customHeight="1"/>
    <row r="29" spans="1:16" ht="15.75" customHeight="1"/>
    <row r="30" spans="1:16" ht="15.75" customHeight="1"/>
    <row r="31" spans="1:16" ht="15.75" customHeight="1"/>
    <row r="32" spans="1:1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</sheetData>
  <mergeCells count="15">
    <mergeCell ref="L1:L2"/>
    <mergeCell ref="M1:M2"/>
    <mergeCell ref="N1:N2"/>
    <mergeCell ref="O1:O2"/>
    <mergeCell ref="P1:P2"/>
    <mergeCell ref="F1:F2"/>
    <mergeCell ref="G1:G2"/>
    <mergeCell ref="H1:H2"/>
    <mergeCell ref="I1:I2"/>
    <mergeCell ref="J1:K1"/>
    <mergeCell ref="A1:A2"/>
    <mergeCell ref="B1:B2"/>
    <mergeCell ref="C1:C2"/>
    <mergeCell ref="D1:D2"/>
    <mergeCell ref="E1:E2"/>
  </mergeCells>
  <pageMargins left="0.7" right="0.7" top="0.75" bottom="0.75" header="0.511811023622047" footer="0.511811023622047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1254"/>
  <sheetViews>
    <sheetView topLeftCell="A46" zoomScaleNormal="100" workbookViewId="0">
      <selection activeCell="D18" sqref="D18"/>
    </sheetView>
  </sheetViews>
  <sheetFormatPr baseColWidth="10" defaultColWidth="9.1640625" defaultRowHeight="13"/>
  <cols>
    <col min="1" max="1" width="9.1640625" style="1703"/>
    <col min="2" max="2" width="89.5" style="1703" customWidth="1"/>
    <col min="3" max="3" width="15.5" style="1703" customWidth="1"/>
    <col min="4" max="4" width="23.83203125" style="1703" customWidth="1"/>
    <col min="5" max="5" width="10.5" style="1703" customWidth="1"/>
    <col min="6" max="16384" width="9.1640625" style="1703"/>
  </cols>
  <sheetData>
    <row r="1" spans="1:20" ht="24" customHeight="1">
      <c r="A1" s="1704" t="s">
        <v>2061</v>
      </c>
      <c r="B1" s="1705"/>
      <c r="C1" s="1705"/>
      <c r="D1" s="1705"/>
      <c r="E1" s="1705"/>
      <c r="F1" s="1705"/>
      <c r="G1" s="1705"/>
      <c r="H1" s="1705"/>
      <c r="I1" s="1705"/>
      <c r="J1" s="1705"/>
      <c r="K1" s="1705"/>
      <c r="L1" s="1705"/>
      <c r="M1" s="1705"/>
      <c r="N1" s="1705"/>
      <c r="O1" s="1705"/>
      <c r="P1" s="1705"/>
      <c r="Q1" s="1705"/>
      <c r="R1" s="1705"/>
      <c r="S1" s="1705"/>
      <c r="T1" s="1705"/>
    </row>
    <row r="2" spans="1:20" ht="15.75" customHeight="1">
      <c r="A2" s="1705"/>
      <c r="B2" s="1705"/>
      <c r="C2" s="1705"/>
      <c r="D2" s="1705"/>
      <c r="E2" s="1705"/>
      <c r="F2" s="1705"/>
      <c r="G2" s="1705"/>
      <c r="H2" s="1705"/>
      <c r="I2" s="1705"/>
      <c r="J2" s="1705"/>
      <c r="K2" s="1705"/>
      <c r="L2" s="1705"/>
      <c r="M2" s="1705"/>
      <c r="N2" s="1705"/>
      <c r="O2" s="1705"/>
      <c r="P2" s="1705"/>
      <c r="Q2" s="1705"/>
      <c r="R2" s="1705"/>
      <c r="S2" s="1705"/>
      <c r="T2" s="1705"/>
    </row>
    <row r="3" spans="1:20" ht="34.5" customHeight="1">
      <c r="A3" s="1706" t="s">
        <v>1</v>
      </c>
      <c r="B3" s="1707" t="s">
        <v>68</v>
      </c>
      <c r="C3" s="1708" t="s">
        <v>2062</v>
      </c>
      <c r="D3" s="1707" t="s">
        <v>69</v>
      </c>
      <c r="E3" s="1709" t="s">
        <v>70</v>
      </c>
      <c r="F3" s="1705"/>
      <c r="G3" s="1705"/>
      <c r="H3" s="1705"/>
      <c r="I3" s="1705"/>
      <c r="J3" s="1705"/>
      <c r="K3" s="1705"/>
      <c r="L3" s="1705"/>
      <c r="M3" s="1705"/>
      <c r="N3" s="1705"/>
      <c r="O3" s="1705"/>
      <c r="P3" s="1705"/>
      <c r="Q3" s="1705"/>
      <c r="R3" s="1705"/>
      <c r="S3" s="1705"/>
      <c r="T3" s="1705"/>
    </row>
    <row r="4" spans="1:20" ht="7.5" customHeight="1">
      <c r="A4" s="1705"/>
      <c r="B4" s="1705"/>
      <c r="C4" s="1705"/>
      <c r="D4" s="1705"/>
      <c r="E4" s="1705"/>
      <c r="F4" s="1705"/>
      <c r="G4" s="1705"/>
      <c r="H4" s="1705"/>
      <c r="I4" s="1705"/>
      <c r="J4" s="1705"/>
      <c r="K4" s="1705"/>
      <c r="L4" s="1705"/>
      <c r="M4" s="1705"/>
      <c r="N4" s="1705"/>
      <c r="O4" s="1705"/>
      <c r="P4" s="1705"/>
      <c r="Q4" s="1705"/>
      <c r="R4" s="1705"/>
      <c r="S4" s="1705"/>
      <c r="T4" s="1705"/>
    </row>
    <row r="5" spans="1:20" ht="7.5" customHeight="1">
      <c r="A5" s="1710"/>
      <c r="B5" s="1711"/>
      <c r="C5" s="1711"/>
      <c r="D5" s="1711"/>
      <c r="E5" s="1712"/>
      <c r="F5" s="1705"/>
      <c r="G5" s="1705"/>
      <c r="H5" s="1705"/>
      <c r="I5" s="1705"/>
      <c r="J5" s="1705"/>
      <c r="K5" s="1705"/>
      <c r="L5" s="1705"/>
      <c r="M5" s="1705"/>
      <c r="N5" s="1705"/>
      <c r="O5" s="1705"/>
      <c r="P5" s="1705"/>
      <c r="Q5" s="1705"/>
      <c r="R5" s="1705"/>
      <c r="S5" s="1705"/>
      <c r="T5" s="1705"/>
    </row>
    <row r="6" spans="1:20" ht="42" customHeight="1">
      <c r="A6" s="1713">
        <v>1</v>
      </c>
      <c r="B6" s="1714" t="str">
        <f>ANALISA!C5</f>
        <v>Pembuatan 1 m2 kantor sementara/rumah jaga/gudang semen dan peralatan lantai plesteran, dinding setengah tembok (Lihat Peraturan Menteri Pekerjaan Umum dan Perumahan Rakyat Nomor 8 Tahun 2023 Lampiran B U.1.3.c (c))</v>
      </c>
      <c r="C6" s="1715" t="str">
        <f>ANALISA!B5</f>
        <v>1.1.2.3</v>
      </c>
      <c r="D6" s="1716">
        <f>ANALISA!G31</f>
        <v>1362404.62</v>
      </c>
      <c r="E6" s="1717">
        <f>ANALISA!I29</f>
        <v>0.96738246128103311</v>
      </c>
      <c r="F6" s="1705"/>
      <c r="G6" s="1705"/>
      <c r="H6" s="1705"/>
      <c r="I6" s="1705"/>
      <c r="J6" s="1705"/>
      <c r="K6" s="1705"/>
      <c r="L6" s="1705"/>
      <c r="M6" s="1705"/>
      <c r="N6" s="1705"/>
      <c r="O6" s="1705"/>
      <c r="P6" s="1705"/>
      <c r="Q6" s="1705"/>
      <c r="R6" s="1705"/>
      <c r="S6" s="1705"/>
      <c r="T6" s="1705"/>
    </row>
    <row r="7" spans="1:20" ht="54.75" customHeight="1">
      <c r="A7" s="1713">
        <f t="shared" ref="A7:A70" si="0">A6+1</f>
        <v>2</v>
      </c>
      <c r="B7" s="1714" t="str">
        <f>ANALISA!C33</f>
        <v>Pekerjaan 1 buah papan nama pekerjaan ukuran 0,8x1,2 menggunakan multiflex 18 mm, frame besi siku dan tiang kayu 8/12 (Lihat Peraturan Menteri Pekerjaan Umum dan Perumahan Rakyat Nomor 8 Tahun 2023 Lampiran B U.1.3.f.1 (a))</v>
      </c>
      <c r="C7" s="1715" t="str">
        <f>ANALISA!B33</f>
        <v>1.1.2.1</v>
      </c>
      <c r="D7" s="1716">
        <f>ANALISA!G53</f>
        <v>1545681.21</v>
      </c>
      <c r="E7" s="1717">
        <f>ANALISA!I51</f>
        <v>0.80437168873019416</v>
      </c>
      <c r="F7" s="1705"/>
      <c r="G7" s="1705"/>
      <c r="H7" s="1705"/>
      <c r="I7" s="1705"/>
      <c r="J7" s="1705"/>
      <c r="K7" s="1705"/>
      <c r="L7" s="1705"/>
      <c r="M7" s="1705"/>
      <c r="N7" s="1705"/>
      <c r="O7" s="1705"/>
      <c r="P7" s="1705"/>
      <c r="Q7" s="1705"/>
      <c r="R7" s="1705"/>
      <c r="S7" s="1705"/>
      <c r="T7" s="1705"/>
    </row>
    <row r="8" spans="1:20" ht="42" customHeight="1">
      <c r="A8" s="1713">
        <f t="shared" si="0"/>
        <v>3</v>
      </c>
      <c r="B8" s="1718" t="str">
        <f>ANALISA!C55</f>
        <v xml:space="preserve">Pembuatan 1 m’ pagar sementara dari seng gelombang rangka kayu tinggi 2 meter (Lihat Peraturan Menteri Pekerjaan Umum dan Perumahan Rakyat Nomor 8 Tahun 2023 Lampiran B U.1.1.2 (c)) </v>
      </c>
      <c r="C8" s="369" t="str">
        <f>ANALISA!B55</f>
        <v>1.1.1.2</v>
      </c>
      <c r="D8" s="1716">
        <f>ANALISA!G77</f>
        <v>471000.4</v>
      </c>
      <c r="E8" s="1719">
        <f>ANALISA!I75</f>
        <v>0.97287436272441064</v>
      </c>
      <c r="F8" s="1705"/>
      <c r="G8" s="1705"/>
      <c r="H8" s="1705"/>
      <c r="I8" s="1705"/>
      <c r="J8" s="1705"/>
      <c r="K8" s="1705"/>
      <c r="L8" s="1705"/>
      <c r="M8" s="1705"/>
      <c r="N8" s="1705"/>
      <c r="O8" s="1705"/>
      <c r="P8" s="1705"/>
      <c r="Q8" s="1705"/>
      <c r="R8" s="1705"/>
      <c r="S8" s="1705"/>
      <c r="T8" s="1705"/>
    </row>
    <row r="9" spans="1:20" ht="27.75" customHeight="1">
      <c r="A9" s="1713">
        <f t="shared" si="0"/>
        <v>4</v>
      </c>
      <c r="B9" s="1718" t="str">
        <f>ANALISA!C79</f>
        <v>Pasangan 1 m’ bouwplank (Lihat Peraturan Menteri Pekerjaan Umum dan Perumahan Rakyat Nomor 8 Tahun 2023 Lampiran B U.1.2.1.d (a))</v>
      </c>
      <c r="C9" s="369" t="str">
        <f>ANALISA!B79</f>
        <v>1.1.4.2</v>
      </c>
      <c r="D9" s="1716">
        <f>ANALISA!G96</f>
        <v>174862.27000000002</v>
      </c>
      <c r="E9" s="1719">
        <f>ANALISA!I94</f>
        <v>0.99657858662065901</v>
      </c>
      <c r="F9" s="1705"/>
      <c r="G9" s="1705"/>
      <c r="H9" s="1705"/>
      <c r="I9" s="1705"/>
      <c r="J9" s="1705"/>
      <c r="K9" s="1705"/>
      <c r="L9" s="1705"/>
      <c r="M9" s="1705"/>
      <c r="N9" s="1705"/>
      <c r="O9" s="1705"/>
      <c r="P9" s="1705"/>
      <c r="Q9" s="1705"/>
      <c r="R9" s="1705"/>
      <c r="S9" s="1705"/>
      <c r="T9" s="1705"/>
    </row>
    <row r="10" spans="1:20" ht="15.75" customHeight="1">
      <c r="A10" s="1713">
        <f t="shared" si="0"/>
        <v>5</v>
      </c>
      <c r="B10" s="1718" t="str">
        <f>ANALISA!C98</f>
        <v>Pekerjaan 1 m¹ Pengukuran dan Pematokan Pagar/Saluran</v>
      </c>
      <c r="C10" s="369" t="str">
        <f>ANALISA!B98</f>
        <v>T.02.a</v>
      </c>
      <c r="D10" s="1716">
        <f>ANALISA!G112</f>
        <v>4395.47</v>
      </c>
      <c r="E10" s="1719">
        <f>ANALISA!I110</f>
        <v>1</v>
      </c>
      <c r="F10" s="1705"/>
      <c r="G10" s="1705"/>
      <c r="H10" s="1705"/>
      <c r="I10" s="1705"/>
      <c r="J10" s="1705"/>
      <c r="K10" s="1705"/>
      <c r="L10" s="1705"/>
      <c r="M10" s="1705"/>
      <c r="N10" s="1705"/>
      <c r="O10" s="1705"/>
      <c r="P10" s="1705"/>
      <c r="Q10" s="1705"/>
      <c r="R10" s="1705"/>
      <c r="S10" s="1705"/>
      <c r="T10" s="1705"/>
    </row>
    <row r="11" spans="1:20" ht="15.75" customHeight="1">
      <c r="A11" s="1713">
        <f t="shared" si="0"/>
        <v>6</v>
      </c>
      <c r="B11" s="1718" t="str">
        <f>ANALISA!C114</f>
        <v>Pekerjaan 1 Ha Pengukuran Ulang Topografi</v>
      </c>
      <c r="C11" s="369" t="str">
        <f>ANALISA!B114</f>
        <v>1.1.4.1</v>
      </c>
      <c r="D11" s="1716">
        <f>ANALISA!G132</f>
        <v>3280507.4299999997</v>
      </c>
      <c r="E11" s="1719">
        <f>ANALISA!I130</f>
        <v>0.51982779983150429</v>
      </c>
      <c r="F11" s="1705"/>
      <c r="G11" s="1705"/>
      <c r="H11" s="1705"/>
      <c r="I11" s="1705"/>
      <c r="J11" s="1705"/>
      <c r="K11" s="1705"/>
      <c r="L11" s="1705"/>
      <c r="M11" s="1705"/>
      <c r="N11" s="1705"/>
      <c r="O11" s="1705"/>
      <c r="P11" s="1705"/>
      <c r="Q11" s="1705"/>
      <c r="R11" s="1705"/>
      <c r="S11" s="1705"/>
      <c r="T11" s="1705"/>
    </row>
    <row r="12" spans="1:20" ht="15.75" customHeight="1">
      <c r="A12" s="1713">
        <f t="shared" si="0"/>
        <v>7</v>
      </c>
      <c r="B12" s="1718" t="str">
        <f>ANALISA!C134</f>
        <v>Pekerjaan 1 m² Stake Out Posisi Trase Saluran/Infrastruktur</v>
      </c>
      <c r="C12" s="369" t="str">
        <f>ANALISA!B134</f>
        <v>T.04.a.1</v>
      </c>
      <c r="D12" s="1716">
        <f>ANALISA!G149</f>
        <v>3324.9100000000003</v>
      </c>
      <c r="E12" s="1719">
        <f>ANALISA!I147</f>
        <v>1</v>
      </c>
      <c r="F12" s="1705"/>
      <c r="G12" s="1705"/>
      <c r="H12" s="1705"/>
      <c r="I12" s="1705"/>
      <c r="J12" s="1705"/>
      <c r="K12" s="1705"/>
      <c r="L12" s="1705"/>
      <c r="M12" s="1705"/>
      <c r="N12" s="1705"/>
      <c r="O12" s="1705"/>
      <c r="P12" s="1705"/>
      <c r="Q12" s="1705"/>
      <c r="R12" s="1705"/>
      <c r="S12" s="1705"/>
      <c r="T12" s="1705"/>
    </row>
    <row r="13" spans="1:20" ht="15.75" customHeight="1">
      <c r="A13" s="1713">
        <f t="shared" si="0"/>
        <v>8</v>
      </c>
      <c r="B13" s="1718" t="str">
        <f>ANALISA!C151</f>
        <v>Pekerjaan 1 m²Pembersihan dari tanaman/tumbuhan</v>
      </c>
      <c r="C13" s="369" t="str">
        <f>ANALISA!B151</f>
        <v>1.1.3.3</v>
      </c>
      <c r="D13" s="1716">
        <f>ANALISA!G162</f>
        <v>6129.6</v>
      </c>
      <c r="E13" s="1719">
        <f>ANALISA!I160</f>
        <v>0.99999999999999989</v>
      </c>
      <c r="F13" s="1705"/>
      <c r="G13" s="1705"/>
      <c r="H13" s="1705"/>
      <c r="I13" s="1705"/>
      <c r="J13" s="1705"/>
      <c r="K13" s="1705"/>
      <c r="L13" s="1705"/>
      <c r="M13" s="1705"/>
      <c r="N13" s="1705"/>
      <c r="O13" s="1705"/>
      <c r="P13" s="1705"/>
      <c r="Q13" s="1705"/>
      <c r="R13" s="1705"/>
      <c r="S13" s="1705"/>
      <c r="T13" s="1705"/>
    </row>
    <row r="14" spans="1:20" ht="27.75" customHeight="1">
      <c r="A14" s="1713">
        <f t="shared" si="0"/>
        <v>9</v>
      </c>
      <c r="B14" s="1718" t="str">
        <f>ANALISA!C165</f>
        <v>Pekerjaan 1 m² Perancah untuk Pekerjaan Tambatan Perahu (badan kontruksi &amp; 2 sisi Jalan bantu L = 1,2 m)</v>
      </c>
      <c r="C14" s="369" t="str">
        <f>ANALISA!B165</f>
        <v>Analisa Sendiri</v>
      </c>
      <c r="D14" s="1716">
        <f>ANALISA!G388</f>
        <v>217446.92</v>
      </c>
      <c r="E14" s="1719">
        <f>ANALISA!I388</f>
        <v>1</v>
      </c>
      <c r="F14" s="1705"/>
      <c r="G14" s="1705"/>
      <c r="H14" s="1705"/>
      <c r="I14" s="1705"/>
      <c r="J14" s="1705"/>
      <c r="K14" s="1705"/>
      <c r="L14" s="1705"/>
      <c r="M14" s="1705"/>
      <c r="N14" s="1705"/>
      <c r="O14" s="1705"/>
      <c r="P14" s="1705"/>
      <c r="Q14" s="1705"/>
      <c r="R14" s="1705"/>
      <c r="S14" s="1705"/>
      <c r="T14" s="1705"/>
    </row>
    <row r="15" spans="1:20" ht="15.75" customHeight="1">
      <c r="A15" s="1713">
        <f t="shared" si="0"/>
        <v>10</v>
      </c>
      <c r="B15" s="1720" t="str">
        <f>ANALISA!C391</f>
        <v>Pekerjaan 1 m3 Mengangkut Material dengan Jarak angkut 66 m</v>
      </c>
      <c r="C15" s="369" t="str">
        <f>ANALISA!B391</f>
        <v>Analisa Sendiri</v>
      </c>
      <c r="D15" s="1716">
        <f>ANALISA!G412</f>
        <v>434188.12</v>
      </c>
      <c r="E15" s="1719">
        <f>ANALISA!I412</f>
        <v>1</v>
      </c>
      <c r="F15" s="1705"/>
      <c r="G15" s="1705"/>
      <c r="H15" s="1705"/>
      <c r="I15" s="1705"/>
      <c r="J15" s="1705"/>
      <c r="K15" s="1705"/>
      <c r="L15" s="1705"/>
      <c r="M15" s="1705"/>
      <c r="N15" s="1705"/>
      <c r="O15" s="1705"/>
      <c r="P15" s="1705"/>
      <c r="Q15" s="1705"/>
      <c r="R15" s="1705"/>
      <c r="S15" s="1705"/>
      <c r="T15" s="1705"/>
    </row>
    <row r="16" spans="1:20" ht="15.75" customHeight="1">
      <c r="A16" s="1713">
        <f t="shared" si="0"/>
        <v>11</v>
      </c>
      <c r="B16" s="1720" t="str">
        <f>ANALISA!C414</f>
        <v>Pekerjaan 1 m3 Mengangkut Material dengan Jarak angkut 120 m</v>
      </c>
      <c r="C16" s="369" t="str">
        <f>ANALISA!B414</f>
        <v>Analisa Sendiri</v>
      </c>
      <c r="D16" s="1716">
        <f>ANALISA!G435</f>
        <v>822205.44000000006</v>
      </c>
      <c r="E16" s="1719">
        <f>ANALISA!I435</f>
        <v>1</v>
      </c>
      <c r="F16" s="1705"/>
      <c r="G16" s="1705"/>
      <c r="H16" s="1705"/>
      <c r="I16" s="1705"/>
      <c r="J16" s="1705"/>
      <c r="K16" s="1705"/>
      <c r="L16" s="1705"/>
      <c r="M16" s="1705"/>
      <c r="N16" s="1705"/>
      <c r="O16" s="1705"/>
      <c r="P16" s="1705"/>
      <c r="Q16" s="1705"/>
      <c r="R16" s="1705"/>
      <c r="S16" s="1705"/>
      <c r="T16" s="1705"/>
    </row>
    <row r="17" spans="1:20" ht="27.75" customHeight="1">
      <c r="A17" s="1713">
        <f t="shared" si="0"/>
        <v>12</v>
      </c>
      <c r="B17" s="1721" t="str">
        <f>ANALISA!C437</f>
        <v>Pekerjaan 1 Tiang Demobilisasi+Setting Kolom Dan Tapak Precast termasuk pasang Penyokong/Pengaku Tiang</v>
      </c>
      <c r="C17" s="369" t="str">
        <f>ANALISA!B437</f>
        <v>Analisa Sendiri</v>
      </c>
      <c r="D17" s="1716">
        <f>ANALISA!G479</f>
        <v>249717.86000000002</v>
      </c>
      <c r="E17" s="1719">
        <f>ANALISA!I479</f>
        <v>1</v>
      </c>
      <c r="F17" s="1705"/>
      <c r="G17" s="1705"/>
      <c r="H17" s="1705"/>
      <c r="I17" s="1705"/>
      <c r="J17" s="1705"/>
      <c r="K17" s="1705"/>
      <c r="L17" s="1705"/>
      <c r="M17" s="1705"/>
      <c r="N17" s="1705"/>
      <c r="O17" s="1705"/>
      <c r="P17" s="1705"/>
      <c r="Q17" s="1705"/>
      <c r="R17" s="1705"/>
      <c r="S17" s="1705"/>
      <c r="T17" s="1705"/>
    </row>
    <row r="18" spans="1:20" ht="15.75" customHeight="1">
      <c r="A18" s="1713">
        <f t="shared" si="0"/>
        <v>13</v>
      </c>
      <c r="B18" s="1720" t="str">
        <f>ANALISA!C481</f>
        <v>Pekerjaan 1 m³ Galian Tanah Biasa sedalam 0 s/d 1 m</v>
      </c>
      <c r="C18" s="369" t="str">
        <f>ANALISA!B481</f>
        <v>1.2.1.1.3</v>
      </c>
      <c r="D18" s="1716">
        <f>ANALISA!G492</f>
        <v>49036.76</v>
      </c>
      <c r="E18" s="1719">
        <f>ANALISA!I490</f>
        <v>0.99999999999999989</v>
      </c>
      <c r="F18" s="1705"/>
      <c r="G18" s="1705"/>
      <c r="H18" s="1705"/>
      <c r="I18" s="1705"/>
      <c r="J18" s="1705"/>
      <c r="K18" s="1705"/>
      <c r="L18" s="1705"/>
      <c r="M18" s="1705"/>
      <c r="N18" s="1705"/>
      <c r="O18" s="1705"/>
      <c r="P18" s="1705"/>
      <c r="Q18" s="1705"/>
      <c r="R18" s="1705"/>
      <c r="S18" s="1705"/>
      <c r="T18" s="1705"/>
    </row>
    <row r="19" spans="1:20" ht="15.75" customHeight="1">
      <c r="A19" s="1713">
        <f t="shared" si="0"/>
        <v>14</v>
      </c>
      <c r="B19" s="1720" t="str">
        <f>ANALISA!C494</f>
        <v>Pekerjaan 1 m³ Galian Tanah Biasa sedalam 1 s/d 2 m</v>
      </c>
      <c r="C19" s="369" t="str">
        <f>ANALISA!B494</f>
        <v>1.2.1.1.4</v>
      </c>
      <c r="D19" s="1716">
        <f>ANALISA!G505</f>
        <v>105018.5</v>
      </c>
      <c r="E19" s="1719">
        <f>ANALISA!I503</f>
        <v>1</v>
      </c>
      <c r="F19" s="1705"/>
      <c r="G19" s="1705"/>
      <c r="H19" s="1705"/>
      <c r="I19" s="1705"/>
      <c r="J19" s="1705"/>
      <c r="K19" s="1705"/>
      <c r="L19" s="1705"/>
      <c r="M19" s="1705"/>
      <c r="N19" s="1705"/>
      <c r="O19" s="1705"/>
      <c r="P19" s="1705"/>
      <c r="Q19" s="1705"/>
      <c r="R19" s="1705"/>
      <c r="S19" s="1705"/>
      <c r="T19" s="1705"/>
    </row>
    <row r="20" spans="1:20" ht="15.75" customHeight="1">
      <c r="A20" s="1713">
        <f t="shared" si="0"/>
        <v>15</v>
      </c>
      <c r="B20" s="1720" t="str">
        <f>ANALISA!C507</f>
        <v>Pekerjaan 1 m³ Galian Tanah Biasa sedalam 2 s/d 3 m</v>
      </c>
      <c r="C20" s="369" t="str">
        <f>ANALISA!B507</f>
        <v>1.2.1.1.6</v>
      </c>
      <c r="D20" s="1716">
        <f>ANALISA!G518</f>
        <v>124233.93999999999</v>
      </c>
      <c r="E20" s="1719">
        <f>ANALISA!I516</f>
        <v>1</v>
      </c>
      <c r="F20" s="1705"/>
      <c r="G20" s="1705"/>
      <c r="H20" s="1705"/>
      <c r="I20" s="1705"/>
      <c r="J20" s="1705"/>
      <c r="K20" s="1705"/>
      <c r="L20" s="1705"/>
      <c r="M20" s="1705"/>
      <c r="N20" s="1705"/>
      <c r="O20" s="1705"/>
      <c r="P20" s="1705"/>
      <c r="Q20" s="1705"/>
      <c r="R20" s="1705"/>
      <c r="S20" s="1705"/>
      <c r="T20" s="1705"/>
    </row>
    <row r="21" spans="1:20" ht="15.75" customHeight="1">
      <c r="A21" s="1713">
        <f t="shared" si="0"/>
        <v>16</v>
      </c>
      <c r="B21" s="1720" t="str">
        <f>ANALISA!C520</f>
        <v>Pekerjaan 1 m³ Galian Tanah Cadas/Keras sedalam 0 s/d 1 m</v>
      </c>
      <c r="C21" s="369" t="str">
        <f>ANALISA!B520</f>
        <v>1.2.3.2.1</v>
      </c>
      <c r="D21" s="1716">
        <f>ANALISA!G532</f>
        <v>89046.29</v>
      </c>
      <c r="E21" s="1719">
        <f>ANALISA!I530</f>
        <v>1</v>
      </c>
      <c r="F21" s="1705"/>
      <c r="G21" s="1705"/>
      <c r="H21" s="1705"/>
      <c r="I21" s="1705"/>
      <c r="J21" s="1705"/>
      <c r="K21" s="1705"/>
      <c r="L21" s="1705"/>
      <c r="M21" s="1705"/>
      <c r="N21" s="1705"/>
      <c r="O21" s="1705"/>
      <c r="P21" s="1705"/>
      <c r="Q21" s="1705"/>
      <c r="R21" s="1705"/>
      <c r="S21" s="1705"/>
      <c r="T21" s="1705"/>
    </row>
    <row r="22" spans="1:20" ht="15.75" customHeight="1">
      <c r="A22" s="1713">
        <f t="shared" si="0"/>
        <v>17</v>
      </c>
      <c r="B22" s="1720" t="str">
        <f>ANALISA!C534</f>
        <v>Pekerjaan 1 m³ Galian Tanah Cadas/Keras sedalam 1 s/d 2 m</v>
      </c>
      <c r="C22" s="369" t="str">
        <f>ANALISA!B534</f>
        <v>1.2.3.2.2</v>
      </c>
      <c r="D22" s="1716">
        <f>ANALISA!G546</f>
        <v>102740.72</v>
      </c>
      <c r="E22" s="1719">
        <f>ANALISA!I544</f>
        <v>1</v>
      </c>
      <c r="F22" s="1705"/>
      <c r="G22" s="1705"/>
      <c r="H22" s="1705"/>
      <c r="I22" s="1705"/>
      <c r="J22" s="1705"/>
      <c r="K22" s="1705"/>
      <c r="L22" s="1705"/>
      <c r="M22" s="1705"/>
      <c r="N22" s="1705"/>
      <c r="O22" s="1705"/>
      <c r="P22" s="1705"/>
      <c r="Q22" s="1705"/>
      <c r="R22" s="1705"/>
      <c r="S22" s="1705"/>
      <c r="T22" s="1705"/>
    </row>
    <row r="23" spans="1:20" ht="15.75" customHeight="1">
      <c r="A23" s="1713">
        <f t="shared" si="0"/>
        <v>18</v>
      </c>
      <c r="B23" s="1720" t="str">
        <f>ANALISA!C599</f>
        <v>Pekerjaan 1 m³ Buang Tanah bekas Galian Tanah</v>
      </c>
      <c r="C23" s="369" t="str">
        <f>ANALISA!B599</f>
        <v>Analisa Sendiri</v>
      </c>
      <c r="D23" s="1716">
        <f>ANALISA!G610</f>
        <v>24211.899999999998</v>
      </c>
      <c r="E23" s="1719">
        <f>ANALISA!I608</f>
        <v>1</v>
      </c>
      <c r="F23" s="1705"/>
      <c r="G23" s="1705"/>
      <c r="H23" s="1705"/>
      <c r="I23" s="1705"/>
      <c r="J23" s="1705"/>
      <c r="K23" s="1705"/>
      <c r="L23" s="1705"/>
      <c r="M23" s="1705"/>
      <c r="N23" s="1705"/>
      <c r="O23" s="1705"/>
      <c r="P23" s="1705"/>
      <c r="Q23" s="1705"/>
      <c r="R23" s="1705"/>
      <c r="S23" s="1705"/>
      <c r="T23" s="1705"/>
    </row>
    <row r="24" spans="1:20" ht="41.25" customHeight="1">
      <c r="A24" s="1713">
        <f t="shared" si="0"/>
        <v>19</v>
      </c>
      <c r="B24" s="1721" t="str">
        <f>ANALISA!C612</f>
        <v>Pekerjaan 1 m³ Urukan tanah biasa atau tanah liat berpasir tanpa pemadatan secara manual (Lihat Peraturan Menteri Pekerjaan Umum dan Perumahan Rakyat Nomor 8 Tahun 2023 Lampiran B U.3.5.1.d (a))</v>
      </c>
      <c r="C24" s="369" t="str">
        <f>ANALISA!B612</f>
        <v>1.3.1.4</v>
      </c>
      <c r="D24" s="1716">
        <f>ANALISA!G622</f>
        <v>189662.29</v>
      </c>
      <c r="E24" s="1719">
        <f>ANALISA!I620</f>
        <v>0.99999999999999989</v>
      </c>
      <c r="F24" s="1705"/>
      <c r="G24" s="1705"/>
      <c r="H24" s="1705"/>
      <c r="I24" s="1705"/>
      <c r="J24" s="1705"/>
      <c r="K24" s="1705"/>
      <c r="L24" s="1705"/>
      <c r="M24" s="1705"/>
      <c r="N24" s="1705"/>
      <c r="O24" s="1705"/>
      <c r="P24" s="1705"/>
      <c r="Q24" s="1705"/>
      <c r="R24" s="1705"/>
      <c r="S24" s="1705"/>
      <c r="T24" s="1705"/>
    </row>
    <row r="25" spans="1:20" ht="30" customHeight="1">
      <c r="A25" s="1713">
        <f t="shared" si="0"/>
        <v>20</v>
      </c>
      <c r="B25" s="1721" t="str">
        <f>ANALISA!C636</f>
        <v>Pekerjaan 1 m³  Pemadatan Tanah dihampar serta dipadatkan dengan alat berat</v>
      </c>
      <c r="C25" s="369" t="str">
        <f>ANALISA!B636</f>
        <v>10.1.(7)</v>
      </c>
      <c r="D25" s="1716">
        <f>ANALISA!G710</f>
        <v>168172.15</v>
      </c>
      <c r="E25" s="1719">
        <f>ANALISA!I707</f>
        <v>0.99999999999999989</v>
      </c>
      <c r="F25" s="1705"/>
      <c r="G25" s="1705"/>
      <c r="H25" s="1705"/>
      <c r="I25" s="1705"/>
      <c r="J25" s="1705"/>
      <c r="K25" s="1705"/>
      <c r="L25" s="1705"/>
      <c r="M25" s="1705"/>
      <c r="N25" s="1705"/>
      <c r="O25" s="1705"/>
      <c r="P25" s="1705"/>
      <c r="Q25" s="1705"/>
      <c r="R25" s="1705"/>
      <c r="S25" s="1705"/>
      <c r="T25" s="1705"/>
    </row>
    <row r="26" spans="1:20" ht="57.75" customHeight="1">
      <c r="A26" s="1713">
        <f t="shared" si="0"/>
        <v>21</v>
      </c>
      <c r="B26" s="1718" t="str">
        <f>ANALISA!C712</f>
        <v>Pekerjaan 1 m3 Urukan dengan Pasir Uruk untuk volume s.d 200 m3 tanpa pemadatan secara manual (Lihat Peraturan Menteri Pekerjaan Umum dan Perumahan Rakyat Nomor 8 Tahun 2023 Lampiran B U.3.5.1.b (c))</v>
      </c>
      <c r="C26" s="369" t="str">
        <f>ANALISA!B712</f>
        <v>1.3.1.2</v>
      </c>
      <c r="D26" s="1716">
        <f>ANALISA!G722</f>
        <v>475358.64</v>
      </c>
      <c r="E26" s="1719">
        <f>ANALISA!I720</f>
        <v>1</v>
      </c>
      <c r="F26" s="1705"/>
      <c r="G26" s="1705"/>
      <c r="H26" s="1705"/>
      <c r="I26" s="1705"/>
      <c r="J26" s="1705"/>
      <c r="K26" s="1705"/>
      <c r="L26" s="1705"/>
      <c r="M26" s="1705"/>
      <c r="N26" s="1705"/>
      <c r="O26" s="1705"/>
      <c r="P26" s="1705"/>
      <c r="Q26" s="1705"/>
      <c r="R26" s="1705"/>
      <c r="S26" s="1705"/>
      <c r="T26" s="1705"/>
    </row>
    <row r="27" spans="1:20" ht="15.75" customHeight="1">
      <c r="A27" s="1713">
        <f t="shared" si="0"/>
        <v>22</v>
      </c>
      <c r="B27" s="1720" t="str">
        <f>ANALISA!C724</f>
        <v>Pekerjaan 1 m³ Urugan Batu Makadam</v>
      </c>
      <c r="C27" s="369" t="str">
        <f>ANALISA!B724</f>
        <v>1.3.1.6</v>
      </c>
      <c r="D27" s="1716">
        <f>ANALISA!G734</f>
        <v>507538.31</v>
      </c>
      <c r="E27" s="1719">
        <f>ANALISA!I732</f>
        <v>1</v>
      </c>
      <c r="F27" s="1705"/>
      <c r="G27" s="1705"/>
      <c r="H27" s="1705"/>
      <c r="I27" s="1705"/>
      <c r="J27" s="1705"/>
      <c r="K27" s="1705"/>
      <c r="L27" s="1705"/>
      <c r="M27" s="1705"/>
      <c r="N27" s="1705"/>
      <c r="O27" s="1705"/>
      <c r="P27" s="1705"/>
      <c r="Q27" s="1705"/>
      <c r="R27" s="1705"/>
      <c r="S27" s="1705"/>
      <c r="T27" s="1705"/>
    </row>
    <row r="28" spans="1:20" ht="15.75" customHeight="1">
      <c r="A28" s="1713">
        <f t="shared" si="0"/>
        <v>23</v>
      </c>
      <c r="B28" s="1720" t="str">
        <f>ANALISA!C736</f>
        <v>Pekerjaan 1 m³ Urugan Sirtu</v>
      </c>
      <c r="C28" s="369" t="str">
        <f>ANALISA!B736</f>
        <v>1.3.1.6</v>
      </c>
      <c r="D28" s="1716">
        <f>ANALISA!G746</f>
        <v>438737.73</v>
      </c>
      <c r="E28" s="1719">
        <f>ANALISA!I744</f>
        <v>1</v>
      </c>
      <c r="F28" s="1705"/>
      <c r="G28" s="1705"/>
      <c r="H28" s="1705"/>
      <c r="I28" s="1705"/>
      <c r="J28" s="1705"/>
      <c r="K28" s="1705"/>
      <c r="L28" s="1705"/>
      <c r="M28" s="1705"/>
      <c r="N28" s="1705"/>
      <c r="O28" s="1705"/>
      <c r="P28" s="1705"/>
      <c r="Q28" s="1705"/>
      <c r="R28" s="1705"/>
      <c r="S28" s="1705"/>
      <c r="T28" s="1705"/>
    </row>
    <row r="29" spans="1:20" ht="15.75" customHeight="1">
      <c r="A29" s="1713">
        <f t="shared" si="0"/>
        <v>24</v>
      </c>
      <c r="B29" s="1720" t="str">
        <f>ANALISA!C748</f>
        <v>Pekerjaan 1 m³ Urugan Gravel</v>
      </c>
      <c r="C29" s="369" t="str">
        <f>ANALISA!B748</f>
        <v>1.3.1.6</v>
      </c>
      <c r="D29" s="1716">
        <f>ANALISA!G758</f>
        <v>827250.2</v>
      </c>
      <c r="E29" s="1719">
        <f>ANALISA!I756</f>
        <v>1</v>
      </c>
      <c r="F29" s="1705"/>
      <c r="G29" s="1705"/>
      <c r="H29" s="1705"/>
      <c r="I29" s="1705"/>
      <c r="J29" s="1705"/>
      <c r="K29" s="1705"/>
      <c r="L29" s="1705"/>
      <c r="M29" s="1705"/>
      <c r="N29" s="1705"/>
      <c r="O29" s="1705"/>
      <c r="P29" s="1705"/>
      <c r="Q29" s="1705"/>
      <c r="R29" s="1705"/>
      <c r="S29" s="1705"/>
      <c r="T29" s="1705"/>
    </row>
    <row r="30" spans="1:20" ht="15.75" customHeight="1">
      <c r="A30" s="1713">
        <f t="shared" si="0"/>
        <v>25</v>
      </c>
      <c r="B30" s="1720" t="str">
        <f>ANALISA!C760</f>
        <v>Pekerjaan 1 m³ Urugan Tanah Kompos/Subur Mendatangkan</v>
      </c>
      <c r="C30" s="369" t="str">
        <f>ANALISA!B760</f>
        <v>1.3.1.7</v>
      </c>
      <c r="D30" s="1716">
        <f>ANALISA!G770</f>
        <v>465663.72000000003</v>
      </c>
      <c r="E30" s="1719">
        <f>ANALISA!I768</f>
        <v>1</v>
      </c>
      <c r="F30" s="1705"/>
      <c r="G30" s="1705"/>
      <c r="H30" s="1705"/>
      <c r="I30" s="1705"/>
      <c r="J30" s="1705"/>
      <c r="K30" s="1705"/>
      <c r="L30" s="1705"/>
      <c r="M30" s="1705"/>
      <c r="N30" s="1705"/>
      <c r="O30" s="1705"/>
      <c r="P30" s="1705"/>
      <c r="Q30" s="1705"/>
      <c r="R30" s="1705"/>
      <c r="S30" s="1705"/>
      <c r="T30" s="1705"/>
    </row>
    <row r="31" spans="1:20" ht="15.75" customHeight="1">
      <c r="A31" s="1713">
        <f t="shared" si="0"/>
        <v>26</v>
      </c>
      <c r="B31" s="1720" t="str">
        <f>ANALISA!C772</f>
        <v>Pekerjaan 1 m3 Pemadatan dengan Stamper</v>
      </c>
      <c r="C31" s="369" t="str">
        <f>ANALISA!B772</f>
        <v>1.3.3.1</v>
      </c>
      <c r="D31" s="1716">
        <f>ANALISA!G780</f>
        <v>37946.620000000003</v>
      </c>
      <c r="E31" s="1719">
        <f>ANALISA!I778</f>
        <v>1</v>
      </c>
      <c r="F31" s="1705"/>
      <c r="G31" s="1705"/>
      <c r="H31" s="1705"/>
      <c r="I31" s="1705"/>
      <c r="J31" s="1705"/>
      <c r="K31" s="1705"/>
      <c r="L31" s="1705"/>
      <c r="M31" s="1705"/>
      <c r="N31" s="1705"/>
      <c r="O31" s="1705"/>
      <c r="P31" s="1705"/>
      <c r="Q31" s="1705"/>
      <c r="R31" s="1705"/>
      <c r="S31" s="1705"/>
      <c r="T31" s="1705"/>
    </row>
    <row r="32" spans="1:20" ht="15.75" customHeight="1">
      <c r="A32" s="1713">
        <f t="shared" si="0"/>
        <v>27</v>
      </c>
      <c r="B32" s="1720" t="str">
        <f>ANALISA!C782</f>
        <v>Pekerjaan 1 m² Penanaman Rumput Gajah Mini</v>
      </c>
      <c r="C32" s="369" t="str">
        <f>ANALISA!B782</f>
        <v>Analisa Sendiri</v>
      </c>
      <c r="D32" s="1716">
        <f>ANALISA!G792</f>
        <v>133614.54</v>
      </c>
      <c r="E32" s="1719">
        <f>ANALISA!I790</f>
        <v>1</v>
      </c>
      <c r="F32" s="1705"/>
      <c r="G32" s="1705"/>
      <c r="H32" s="1705"/>
      <c r="I32" s="1705"/>
      <c r="J32" s="1705"/>
      <c r="K32" s="1705"/>
      <c r="L32" s="1705"/>
      <c r="M32" s="1705"/>
      <c r="N32" s="1705"/>
      <c r="O32" s="1705"/>
      <c r="P32" s="1705"/>
      <c r="Q32" s="1705"/>
      <c r="R32" s="1705"/>
      <c r="S32" s="1705"/>
      <c r="T32" s="1705"/>
    </row>
    <row r="33" spans="1:20" ht="15.75" customHeight="1">
      <c r="A33" s="1713">
        <f t="shared" si="0"/>
        <v>28</v>
      </c>
      <c r="B33" s="1720" t="str">
        <f>ANALISA!C794</f>
        <v>Pekerjan 1 ttk Pengujian Crosshole Sonic Logging (CSL) pada tiang bor beton termasuk  mobilisasi alat dan personil</v>
      </c>
      <c r="C33" s="369" t="str">
        <f>ANALISA!B794</f>
        <v>G.110</v>
      </c>
      <c r="D33" s="1716">
        <f>ANALISA!G816</f>
        <v>11093158.43</v>
      </c>
      <c r="E33" s="1719">
        <f>ANALISA!I814</f>
        <v>1</v>
      </c>
      <c r="F33" s="1705"/>
      <c r="G33" s="1705"/>
      <c r="H33" s="1705"/>
      <c r="I33" s="1705"/>
      <c r="J33" s="1705"/>
      <c r="K33" s="1705"/>
      <c r="L33" s="1705"/>
      <c r="M33" s="1705"/>
      <c r="N33" s="1705"/>
      <c r="O33" s="1705"/>
      <c r="P33" s="1705"/>
      <c r="Q33" s="1705"/>
      <c r="R33" s="1705"/>
      <c r="S33" s="1705"/>
      <c r="T33" s="1705"/>
    </row>
    <row r="34" spans="1:20" ht="15.75" customHeight="1">
      <c r="A34" s="1713">
        <f t="shared" si="0"/>
        <v>29</v>
      </c>
      <c r="B34" s="1720" t="str">
        <f>ANALISA!C818</f>
        <v>Pekerjaan 1 m³ Pondasi Batu Kosong / Aanstamping</v>
      </c>
      <c r="C34" s="369" t="str">
        <f>ANALISA!B818</f>
        <v>2.2.2.1.1</v>
      </c>
      <c r="D34" s="1716">
        <f>ANALISA!G834</f>
        <v>824806.04</v>
      </c>
      <c r="E34" s="1719">
        <f>ANALISA!I832</f>
        <v>1</v>
      </c>
      <c r="F34" s="1705"/>
      <c r="G34" s="1705"/>
      <c r="H34" s="1705"/>
      <c r="I34" s="1705"/>
      <c r="J34" s="1705"/>
      <c r="K34" s="1705"/>
      <c r="L34" s="1705"/>
      <c r="M34" s="1705"/>
      <c r="N34" s="1705"/>
      <c r="O34" s="1705"/>
      <c r="P34" s="1705"/>
      <c r="Q34" s="1705"/>
      <c r="R34" s="1705"/>
      <c r="S34" s="1705"/>
      <c r="T34" s="1705"/>
    </row>
    <row r="35" spans="1:20" ht="15.75" customHeight="1">
      <c r="A35" s="1713">
        <f t="shared" si="0"/>
        <v>30</v>
      </c>
      <c r="B35" s="1720" t="str">
        <f>ANALISA!C836</f>
        <v>Pekerjaan 1 m³ Pondasi Batu Belah 1 : 5</v>
      </c>
      <c r="C35" s="369" t="str">
        <f>ANALISA!B836</f>
        <v>2.2.2.1.9</v>
      </c>
      <c r="D35" s="1716">
        <f>ANALISA!G852</f>
        <v>1193268.75</v>
      </c>
      <c r="E35" s="1719">
        <f>ANALISA!I850</f>
        <v>1</v>
      </c>
      <c r="F35" s="1705"/>
      <c r="G35" s="1705"/>
      <c r="H35" s="1705"/>
      <c r="I35" s="1705"/>
      <c r="J35" s="1705"/>
      <c r="K35" s="1705"/>
      <c r="L35" s="1705"/>
      <c r="M35" s="1705"/>
      <c r="N35" s="1705"/>
      <c r="O35" s="1705"/>
      <c r="P35" s="1705"/>
      <c r="Q35" s="1705"/>
      <c r="R35" s="1705"/>
      <c r="S35" s="1705"/>
      <c r="T35" s="1705"/>
    </row>
    <row r="36" spans="1:20" ht="15.75" customHeight="1">
      <c r="A36" s="1713">
        <f t="shared" si="0"/>
        <v>31</v>
      </c>
      <c r="B36" s="1720" t="str">
        <f>ANALISA!C854</f>
        <v>Pekerjaan 1 m³ Pondasi Batu Belah 1 : 2</v>
      </c>
      <c r="C36" s="369" t="str">
        <f>ANALISA!B854</f>
        <v>2.2.2.1.2</v>
      </c>
      <c r="D36" s="1716">
        <f>ANALISA!G870</f>
        <v>1452345.11</v>
      </c>
      <c r="E36" s="1719">
        <f>ANALISA!I868</f>
        <v>1</v>
      </c>
      <c r="F36" s="1705"/>
      <c r="G36" s="1705"/>
      <c r="H36" s="1705"/>
      <c r="I36" s="1705"/>
      <c r="J36" s="1705"/>
      <c r="K36" s="1705"/>
      <c r="L36" s="1705"/>
      <c r="M36" s="1705"/>
      <c r="N36" s="1705"/>
      <c r="O36" s="1705"/>
      <c r="P36" s="1705"/>
      <c r="Q36" s="1705"/>
      <c r="R36" s="1705"/>
      <c r="S36" s="1705"/>
      <c r="T36" s="1705"/>
    </row>
    <row r="37" spans="1:20" ht="15.75" customHeight="1">
      <c r="A37" s="1713">
        <f t="shared" si="0"/>
        <v>32</v>
      </c>
      <c r="B37" s="1720" t="str">
        <f>ANALISA!C872</f>
        <v>Pekerjaan 1 m¹ Pengadaan dan Pemancangan Cerucuk Dolken Kayu Ø 6 - 8 cm</v>
      </c>
      <c r="C37" s="369" t="str">
        <f>ANALISA!B872</f>
        <v>2.6.2.1</v>
      </c>
      <c r="D37" s="1716">
        <f>ANALISA!G887</f>
        <v>33453.230000000003</v>
      </c>
      <c r="E37" s="1719">
        <f>ANALISA!I885</f>
        <v>0.54387446642216419</v>
      </c>
      <c r="F37" s="1705"/>
      <c r="G37" s="1705"/>
      <c r="H37" s="1705"/>
      <c r="I37" s="1705"/>
      <c r="J37" s="1705"/>
      <c r="K37" s="1705"/>
      <c r="L37" s="1705"/>
      <c r="M37" s="1705"/>
      <c r="N37" s="1705"/>
      <c r="O37" s="1705"/>
      <c r="P37" s="1705"/>
      <c r="Q37" s="1705"/>
      <c r="R37" s="1705"/>
      <c r="S37" s="1705"/>
      <c r="T37" s="1705"/>
    </row>
    <row r="38" spans="1:20" ht="15.75" customHeight="1">
      <c r="A38" s="1713">
        <f t="shared" si="0"/>
        <v>33</v>
      </c>
      <c r="B38" s="1720" t="str">
        <f>ANALISA!C889</f>
        <v>Pekerjaan 1 m² Bekisting Kayu untuk Pondasi 3 Kali Pakai</v>
      </c>
      <c r="C38" s="369" t="str">
        <f>ANALISA!B889</f>
        <v>2.2.1.3.1</v>
      </c>
      <c r="D38" s="1716">
        <f>ANALISA!G905</f>
        <v>219134.12</v>
      </c>
      <c r="E38" s="1719">
        <f>ANALISA!I903</f>
        <v>0.46792678846103358</v>
      </c>
      <c r="F38" s="1705"/>
      <c r="G38" s="1705"/>
      <c r="H38" s="1705"/>
      <c r="I38" s="1705"/>
      <c r="J38" s="1705"/>
      <c r="K38" s="1705"/>
      <c r="L38" s="1705"/>
      <c r="M38" s="1705"/>
      <c r="N38" s="1705"/>
      <c r="O38" s="1705"/>
      <c r="P38" s="1705"/>
      <c r="Q38" s="1705"/>
      <c r="R38" s="1705"/>
      <c r="S38" s="1705"/>
      <c r="T38" s="1705"/>
    </row>
    <row r="39" spans="1:20" ht="15.75" customHeight="1">
      <c r="A39" s="1713">
        <f t="shared" si="0"/>
        <v>34</v>
      </c>
      <c r="B39" s="1720" t="str">
        <f>ANALISA!C907</f>
        <v>Pekerjaan 1 m² Bekisting Kayu untuk Sloof 3 Kali Pakai</v>
      </c>
      <c r="C39" s="369" t="str">
        <f>ANALISA!B907</f>
        <v>2.2.1.3.3</v>
      </c>
      <c r="D39" s="1716">
        <f>ANALISA!G923</f>
        <v>232328.86000000002</v>
      </c>
      <c r="E39" s="1719">
        <f>ANALISA!I921</f>
        <v>0.95249221381186433</v>
      </c>
      <c r="F39" s="1705"/>
      <c r="G39" s="1705"/>
      <c r="H39" s="1705"/>
      <c r="I39" s="1705"/>
      <c r="J39" s="1705"/>
      <c r="K39" s="1705"/>
      <c r="L39" s="1705"/>
      <c r="M39" s="1705"/>
      <c r="N39" s="1705"/>
      <c r="O39" s="1705"/>
      <c r="P39" s="1705"/>
      <c r="Q39" s="1705"/>
      <c r="R39" s="1705"/>
      <c r="S39" s="1705"/>
      <c r="T39" s="1705"/>
    </row>
    <row r="40" spans="1:20" ht="15.75" customHeight="1">
      <c r="A40" s="1713">
        <f t="shared" si="0"/>
        <v>35</v>
      </c>
      <c r="B40" s="1720" t="str">
        <f>ANALISA!C925</f>
        <v>Pekerjaan 1 m² Bekisting Kayu untuk Kolom 3 Kali Pakai</v>
      </c>
      <c r="C40" s="369" t="str">
        <f>ANALISA!B925</f>
        <v>2.2.1.3.4</v>
      </c>
      <c r="D40" s="1716">
        <f>ANALISA!G943</f>
        <v>245946.97</v>
      </c>
      <c r="E40" s="1719">
        <f>ANALISA!I941</f>
        <v>0.93457085830651276</v>
      </c>
      <c r="F40" s="1705"/>
      <c r="G40" s="1705"/>
      <c r="H40" s="1705"/>
      <c r="I40" s="1705"/>
      <c r="J40" s="1705"/>
      <c r="K40" s="1705"/>
      <c r="L40" s="1705"/>
      <c r="M40" s="1705"/>
      <c r="N40" s="1705"/>
      <c r="O40" s="1705"/>
      <c r="P40" s="1705"/>
      <c r="Q40" s="1705"/>
      <c r="R40" s="1705"/>
      <c r="S40" s="1705"/>
      <c r="T40" s="1705"/>
    </row>
    <row r="41" spans="1:20" ht="15.75" customHeight="1">
      <c r="A41" s="1713">
        <f t="shared" si="0"/>
        <v>36</v>
      </c>
      <c r="B41" s="1720" t="str">
        <f>ANALISA!C946</f>
        <v>Pekerjaan 1 m² Bekisting Kayu untuk Lantai 3 Kali Pakai</v>
      </c>
      <c r="C41" s="369" t="str">
        <f>ANALISA!B946</f>
        <v>2.2.1.3.6</v>
      </c>
      <c r="D41" s="1716">
        <f>ANALISA!G964</f>
        <v>290443.69</v>
      </c>
      <c r="E41" s="1719">
        <f>ANALISA!I962</f>
        <v>0.94459477057978303</v>
      </c>
      <c r="F41" s="1705"/>
      <c r="G41" s="1705"/>
      <c r="H41" s="1705"/>
      <c r="I41" s="1705"/>
      <c r="J41" s="1705"/>
      <c r="K41" s="1705"/>
      <c r="L41" s="1705"/>
      <c r="M41" s="1705"/>
      <c r="N41" s="1705"/>
      <c r="O41" s="1705"/>
      <c r="P41" s="1705"/>
      <c r="Q41" s="1705"/>
      <c r="R41" s="1705"/>
      <c r="S41" s="1705"/>
      <c r="T41" s="1705"/>
    </row>
    <row r="42" spans="1:20" ht="15.75" customHeight="1">
      <c r="A42" s="1713">
        <f t="shared" si="0"/>
        <v>37</v>
      </c>
      <c r="B42" s="1720" t="str">
        <f>ANALISA!C966</f>
        <v>Pekerjaan 1 m² Bekisting Kayu untuk Balok 3 Kali Pakai</v>
      </c>
      <c r="C42" s="369" t="str">
        <f>ANALISA!B966</f>
        <v>2.2.1.3.5</v>
      </c>
      <c r="D42" s="1716">
        <f>ANALISA!G984</f>
        <v>252902.38</v>
      </c>
      <c r="E42" s="1719">
        <f>ANALISA!I982</f>
        <v>0.93637031417057792</v>
      </c>
      <c r="F42" s="1705"/>
      <c r="G42" s="1705"/>
      <c r="H42" s="1705"/>
      <c r="I42" s="1705"/>
      <c r="J42" s="1705"/>
      <c r="K42" s="1705"/>
      <c r="L42" s="1705"/>
      <c r="M42" s="1705"/>
      <c r="N42" s="1705"/>
      <c r="O42" s="1705"/>
      <c r="P42" s="1705"/>
      <c r="Q42" s="1705"/>
      <c r="R42" s="1705"/>
      <c r="S42" s="1705"/>
      <c r="T42" s="1705"/>
    </row>
    <row r="43" spans="1:20" ht="15.75" customHeight="1">
      <c r="A43" s="1713">
        <f t="shared" si="0"/>
        <v>38</v>
      </c>
      <c r="B43" s="1720" t="str">
        <f>ANALISA!C986</f>
        <v>Pekerjaan 1 m² Bekesting Dinding Beton</v>
      </c>
      <c r="C43" s="369" t="str">
        <f>ANALISA!B986</f>
        <v>2.2.1.3.7</v>
      </c>
      <c r="D43" s="1716">
        <f>ANALISA!G1006</f>
        <v>477633.36</v>
      </c>
      <c r="E43" s="1719">
        <f>ANALISA!I1004</f>
        <v>0.96630867868261672</v>
      </c>
      <c r="F43" s="1705"/>
      <c r="G43" s="1705"/>
      <c r="H43" s="1705"/>
      <c r="I43" s="1705"/>
      <c r="J43" s="1705"/>
      <c r="K43" s="1705"/>
      <c r="L43" s="1705"/>
      <c r="M43" s="1705"/>
      <c r="N43" s="1705"/>
      <c r="O43" s="1705"/>
      <c r="P43" s="1705"/>
      <c r="Q43" s="1705"/>
      <c r="R43" s="1705"/>
      <c r="S43" s="1705"/>
      <c r="T43" s="1705"/>
    </row>
    <row r="44" spans="1:20" ht="15.75" customHeight="1">
      <c r="A44" s="1713">
        <f t="shared" si="0"/>
        <v>39</v>
      </c>
      <c r="B44" s="1720" t="str">
        <f>ANALISA!C1008</f>
        <v>Pekerjaan 1 m² Bekesting untuk Tangga</v>
      </c>
      <c r="C44" s="369" t="str">
        <f>ANALISA!B1008</f>
        <v>2.2.1.3.8</v>
      </c>
      <c r="D44" s="1716">
        <f>ANALISA!G1027</f>
        <v>246256.05000000002</v>
      </c>
      <c r="E44" s="1719">
        <f>ANALISA!I1025</f>
        <v>0.93140113551410941</v>
      </c>
      <c r="F44" s="1705"/>
      <c r="G44" s="1705"/>
      <c r="H44" s="1705"/>
      <c r="I44" s="1705"/>
      <c r="J44" s="1705"/>
      <c r="K44" s="1705"/>
      <c r="L44" s="1705"/>
      <c r="M44" s="1705"/>
      <c r="N44" s="1705"/>
      <c r="O44" s="1705"/>
      <c r="P44" s="1705"/>
      <c r="Q44" s="1705"/>
      <c r="R44" s="1705"/>
      <c r="S44" s="1705"/>
      <c r="T44" s="1705"/>
    </row>
    <row r="45" spans="1:20" ht="15.75" customHeight="1">
      <c r="A45" s="1713">
        <f t="shared" si="0"/>
        <v>40</v>
      </c>
      <c r="B45" s="1720" t="str">
        <f>ANALISA!C1029</f>
        <v>Pekerjaan 1 m² Perancah Scafolding</v>
      </c>
      <c r="C45" s="369" t="str">
        <f>ANALISA!B1029</f>
        <v>Analisa Sendiri</v>
      </c>
      <c r="D45" s="1716">
        <f>ANALISA!G1042</f>
        <v>1677188.73</v>
      </c>
      <c r="E45" s="1719">
        <f>ANALISA!I1040</f>
        <v>1</v>
      </c>
      <c r="F45" s="1705"/>
      <c r="G45" s="1705"/>
      <c r="H45" s="1705"/>
      <c r="I45" s="1705"/>
      <c r="J45" s="1705"/>
      <c r="K45" s="1705"/>
      <c r="L45" s="1705"/>
      <c r="M45" s="1705"/>
      <c r="N45" s="1705"/>
      <c r="O45" s="1705"/>
      <c r="P45" s="1705"/>
      <c r="Q45" s="1705"/>
      <c r="R45" s="1705"/>
      <c r="S45" s="1705"/>
      <c r="T45" s="1705"/>
    </row>
    <row r="46" spans="1:20" ht="15.75" customHeight="1">
      <c r="A46" s="1713">
        <f t="shared" si="0"/>
        <v>41</v>
      </c>
      <c r="B46" s="1720" t="str">
        <f>ANALISA!C1044</f>
        <v>Pekerjaan 1 m² Perancah Bambu</v>
      </c>
      <c r="C46" s="369" t="str">
        <f>ANALISA!B1044</f>
        <v>A.2.2.1.10 (K3)</v>
      </c>
      <c r="D46" s="1716">
        <f>ANALISA!G1060</f>
        <v>387277.2</v>
      </c>
      <c r="E46" s="1719">
        <f>ANALISA!I1058</f>
        <v>1</v>
      </c>
      <c r="F46" s="1705"/>
      <c r="G46" s="1705"/>
      <c r="H46" s="1705"/>
      <c r="I46" s="1705"/>
      <c r="J46" s="1705"/>
      <c r="K46" s="1705"/>
      <c r="L46" s="1705"/>
      <c r="M46" s="1705"/>
      <c r="N46" s="1705"/>
      <c r="O46" s="1705"/>
      <c r="P46" s="1705"/>
      <c r="Q46" s="1705"/>
      <c r="R46" s="1705"/>
      <c r="S46" s="1705"/>
      <c r="T46" s="1705"/>
    </row>
    <row r="47" spans="1:20" ht="15.75" customHeight="1">
      <c r="A47" s="1713">
        <f t="shared" si="0"/>
        <v>42</v>
      </c>
      <c r="B47" s="1720" t="str">
        <f>ANALISA!C1062</f>
        <v>Pekerjaan 1 kg Pembesian Besi Beton &gt; 12 mm secara semi mekanis</v>
      </c>
      <c r="C47" s="369" t="str">
        <f>ANALISA!B1062</f>
        <v>2.2.1.1.4</v>
      </c>
      <c r="D47" s="1716">
        <f>ANALISA!G1079</f>
        <v>26179.679999999997</v>
      </c>
      <c r="E47" s="1719">
        <f>ANALISA!I1077</f>
        <v>0.58925544240450756</v>
      </c>
      <c r="F47" s="1705"/>
      <c r="G47" s="1705"/>
      <c r="H47" s="1705"/>
      <c r="I47" s="1705"/>
      <c r="J47" s="1705"/>
      <c r="K47" s="1705"/>
      <c r="L47" s="1705"/>
      <c r="M47" s="1705"/>
      <c r="N47" s="1705"/>
      <c r="O47" s="1705"/>
      <c r="P47" s="1705"/>
      <c r="Q47" s="1705"/>
      <c r="R47" s="1705"/>
      <c r="S47" s="1705"/>
      <c r="T47" s="1705"/>
    </row>
    <row r="48" spans="1:20" ht="15.75" customHeight="1">
      <c r="A48" s="1713">
        <f t="shared" si="0"/>
        <v>43</v>
      </c>
      <c r="B48" s="1720" t="str">
        <f>ANALISA!C1081</f>
        <v>Pekerjaan 1 kg Pembesian Besi Beton &lt; 12 mm secara manual</v>
      </c>
      <c r="C48" s="369" t="str">
        <f>ANALISA!B1081</f>
        <v>2.2.1.1.3</v>
      </c>
      <c r="D48" s="1716">
        <f>ANALISA!G1094</f>
        <v>18790.969999999998</v>
      </c>
      <c r="E48" s="1719">
        <f>ANALISA!I1092</f>
        <v>0.45731143627602144</v>
      </c>
      <c r="F48" s="1705"/>
      <c r="G48" s="1705"/>
      <c r="H48" s="1705"/>
      <c r="I48" s="1705"/>
      <c r="J48" s="1705"/>
      <c r="K48" s="1705"/>
      <c r="L48" s="1705"/>
      <c r="M48" s="1705"/>
      <c r="N48" s="1705"/>
      <c r="O48" s="1705"/>
      <c r="P48" s="1705"/>
      <c r="Q48" s="1705"/>
      <c r="R48" s="1705"/>
      <c r="S48" s="1705"/>
      <c r="T48" s="1705"/>
    </row>
    <row r="49" spans="1:20" ht="15.75" customHeight="1">
      <c r="A49" s="1713">
        <f t="shared" si="0"/>
        <v>44</v>
      </c>
      <c r="B49" s="1720" t="str">
        <f>ANALISA!C1096</f>
        <v>Pekerjaan 1 bh Pemasangan Stek Angkur D 13  mm - 500</v>
      </c>
      <c r="C49" s="369" t="str">
        <f>ANALISA!B1096</f>
        <v>Analisa Sendiri</v>
      </c>
      <c r="D49" s="1716">
        <f>ANALISA!G1105</f>
        <v>14562.33</v>
      </c>
      <c r="E49" s="1719">
        <f>ANALISA!I1103</f>
        <v>0.67590072883515551</v>
      </c>
      <c r="F49" s="1705"/>
      <c r="G49" s="1705"/>
      <c r="H49" s="1705"/>
      <c r="I49" s="1705"/>
      <c r="J49" s="1705"/>
      <c r="K49" s="1705"/>
      <c r="L49" s="1705"/>
      <c r="M49" s="1705"/>
      <c r="N49" s="1705"/>
      <c r="O49" s="1705"/>
      <c r="P49" s="1705"/>
      <c r="Q49" s="1705"/>
      <c r="R49" s="1705"/>
      <c r="S49" s="1705"/>
      <c r="T49" s="1705"/>
    </row>
    <row r="50" spans="1:20" ht="15.75" customHeight="1">
      <c r="A50" s="1713">
        <f>A49+1</f>
        <v>45</v>
      </c>
      <c r="B50" s="1720" t="str">
        <f>ANALISA!C1107</f>
        <v>Pekerjaan 1 m² Pembesian Wiremesh M6-150</v>
      </c>
      <c r="C50" s="369" t="str">
        <f>ANALISA!B1107</f>
        <v>2.2.1.1.5</v>
      </c>
      <c r="D50" s="1716">
        <f>ANALISA!G1120</f>
        <v>45845.41</v>
      </c>
      <c r="E50" s="1719">
        <f>ANALISA!I1118</f>
        <v>0.4648012583266492</v>
      </c>
      <c r="F50" s="1705"/>
      <c r="G50" s="1705"/>
      <c r="H50" s="1705"/>
      <c r="I50" s="1705"/>
      <c r="J50" s="1705"/>
      <c r="K50" s="1705"/>
      <c r="L50" s="1705"/>
      <c r="M50" s="1705"/>
      <c r="N50" s="1705"/>
      <c r="O50" s="1705"/>
      <c r="P50" s="1705"/>
      <c r="Q50" s="1705"/>
      <c r="R50" s="1705"/>
      <c r="S50" s="1705"/>
      <c r="T50" s="1705"/>
    </row>
    <row r="51" spans="1:20" ht="15.75" customHeight="1">
      <c r="A51" s="1713">
        <f t="shared" si="0"/>
        <v>46</v>
      </c>
      <c r="B51" s="1720" t="str">
        <f>ANALISA!C1122</f>
        <v>Pekerjaan 1 m² Pembesian Wiremesh M8-150</v>
      </c>
      <c r="C51" s="369" t="str">
        <f>ANALISA!B1122</f>
        <v>2.2.1.1.5b</v>
      </c>
      <c r="D51" s="1716">
        <f>ANALISA!G1135</f>
        <v>78144.03</v>
      </c>
      <c r="E51" s="1719">
        <f>ANALISA!I1133</f>
        <v>0.46594218390337949</v>
      </c>
      <c r="F51" s="1705"/>
      <c r="G51" s="1705"/>
      <c r="H51" s="1705"/>
      <c r="I51" s="1705"/>
      <c r="J51" s="1705"/>
      <c r="K51" s="1705"/>
      <c r="L51" s="1705"/>
      <c r="M51" s="1705"/>
      <c r="N51" s="1705"/>
      <c r="O51" s="1705"/>
      <c r="P51" s="1705"/>
      <c r="Q51" s="1705"/>
      <c r="R51" s="1705"/>
      <c r="S51" s="1705"/>
      <c r="T51" s="1705"/>
    </row>
    <row r="52" spans="1:20" ht="15.75" customHeight="1">
      <c r="A52" s="1713">
        <f t="shared" si="0"/>
        <v>47</v>
      </c>
      <c r="B52" s="1720" t="str">
        <f>ANALISA!C1137</f>
        <v>Pekerjaan 1 kg Fabrikasi dan Ereksi Baja Profil</v>
      </c>
      <c r="C52" s="369" t="str">
        <f>ANALISA!B1137</f>
        <v>2.3.1.1</v>
      </c>
      <c r="D52" s="1716">
        <f>ANALISA!G1154</f>
        <v>55340.1</v>
      </c>
      <c r="E52" s="1719">
        <f>ANALISA!I1152</f>
        <v>0.6719167638771103</v>
      </c>
      <c r="F52" s="1705"/>
      <c r="G52" s="1705"/>
      <c r="H52" s="1705"/>
      <c r="I52" s="1705"/>
      <c r="J52" s="1705"/>
      <c r="K52" s="1705"/>
      <c r="L52" s="1705"/>
      <c r="M52" s="1705"/>
      <c r="N52" s="1705"/>
      <c r="O52" s="1705"/>
      <c r="P52" s="1705"/>
      <c r="Q52" s="1705"/>
      <c r="R52" s="1705"/>
      <c r="S52" s="1705"/>
      <c r="T52" s="1705"/>
    </row>
    <row r="53" spans="1:20" ht="15.75" customHeight="1">
      <c r="A53" s="1713">
        <f t="shared" si="0"/>
        <v>48</v>
      </c>
      <c r="B53" s="1720" t="str">
        <f>ANALISA!C1156</f>
        <v>Pekerjaan 1 cm Pengelasan</v>
      </c>
      <c r="C53" s="369" t="str">
        <f>ANALISA!B1156</f>
        <v>2.2.2.4.18</v>
      </c>
      <c r="D53" s="1716">
        <f>ANALISA!G1170</f>
        <v>51957.53</v>
      </c>
      <c r="E53" s="1719">
        <f>ANALISA!I1168</f>
        <v>0.61906716863821742</v>
      </c>
      <c r="F53" s="1705"/>
      <c r="G53" s="1705"/>
      <c r="H53" s="1705"/>
      <c r="I53" s="1705"/>
      <c r="J53" s="1705"/>
      <c r="K53" s="1705"/>
      <c r="L53" s="1705"/>
      <c r="M53" s="1705"/>
      <c r="N53" s="1705"/>
      <c r="O53" s="1705"/>
      <c r="P53" s="1705"/>
      <c r="Q53" s="1705"/>
      <c r="R53" s="1705"/>
      <c r="S53" s="1705"/>
      <c r="T53" s="1705"/>
    </row>
    <row r="54" spans="1:20" ht="15.75" customHeight="1">
      <c r="A54" s="1713">
        <f t="shared" si="0"/>
        <v>49</v>
      </c>
      <c r="B54" s="1720" t="str">
        <f>ANALISA!C1172</f>
        <v>Pekerjaan 1 m³ Lantai Kerja beton mutu f'c = 7,5 Mpa secara manual</v>
      </c>
      <c r="C54" s="369" t="str">
        <f>ANALISA!B1172</f>
        <v>2.2.1.4.1</v>
      </c>
      <c r="D54" s="1716">
        <f>ANALISA!G1187</f>
        <v>1384580.76</v>
      </c>
      <c r="E54" s="1719">
        <f>ANALISA!I1185</f>
        <v>0.96985264567256779</v>
      </c>
      <c r="F54" s="1705"/>
      <c r="G54" s="1705"/>
      <c r="H54" s="1705"/>
      <c r="I54" s="1705"/>
      <c r="J54" s="1705"/>
      <c r="K54" s="1705"/>
      <c r="L54" s="1705"/>
      <c r="M54" s="1705"/>
      <c r="N54" s="1705"/>
      <c r="O54" s="1705"/>
      <c r="P54" s="1705"/>
      <c r="Q54" s="1705"/>
      <c r="R54" s="1705"/>
      <c r="S54" s="1705"/>
      <c r="T54" s="1705"/>
    </row>
    <row r="55" spans="1:20" ht="15.75" customHeight="1">
      <c r="A55" s="1713">
        <f t="shared" si="0"/>
        <v>50</v>
      </c>
      <c r="B55" s="1720" t="str">
        <f>ANALISA!C1189</f>
        <v>Pekerjaan 1 m³ Beton Site Mix mutu f'c = 20 Mpa secara semi mekanis</v>
      </c>
      <c r="C55" s="369" t="str">
        <f>ANALISA!B1189</f>
        <v>2.2.1.5.4</v>
      </c>
      <c r="D55" s="1716">
        <f>ANALISA!G1207</f>
        <v>1535009.1300000001</v>
      </c>
      <c r="E55" s="1719">
        <f>ANALISA!I1205</f>
        <v>0.9621473953865699</v>
      </c>
      <c r="F55" s="1705"/>
      <c r="G55" s="1705"/>
      <c r="H55" s="1705"/>
      <c r="I55" s="1705"/>
      <c r="J55" s="1705"/>
      <c r="K55" s="1705"/>
      <c r="L55" s="1705"/>
      <c r="M55" s="1705"/>
      <c r="N55" s="1705"/>
      <c r="O55" s="1705"/>
      <c r="P55" s="1705"/>
      <c r="Q55" s="1705"/>
      <c r="R55" s="1705"/>
      <c r="S55" s="1705"/>
      <c r="T55" s="1705"/>
    </row>
    <row r="56" spans="1:20" ht="15.75" customHeight="1">
      <c r="A56" s="1713">
        <f t="shared" si="0"/>
        <v>51</v>
      </c>
      <c r="B56" s="1720" t="str">
        <f>ANALISA!C1209</f>
        <v>Pekerjaan 1 m³ Beton Site Mix mutu f'c = 25 Mpa secara semi mekanis</v>
      </c>
      <c r="C56" s="369" t="str">
        <f>ANALISA!B1209</f>
        <v>2.2.1.5.6</v>
      </c>
      <c r="D56" s="1716">
        <f>ANALISA!G1227</f>
        <v>1635953.06</v>
      </c>
      <c r="E56" s="1719">
        <f>ANALISA!I1225</f>
        <v>0.95846147617329602</v>
      </c>
      <c r="F56" s="1705"/>
      <c r="G56" s="1705"/>
      <c r="H56" s="1705"/>
      <c r="I56" s="1705"/>
      <c r="J56" s="1705"/>
      <c r="K56" s="1705"/>
      <c r="L56" s="1705"/>
      <c r="M56" s="1705"/>
      <c r="N56" s="1705"/>
      <c r="O56" s="1705"/>
      <c r="P56" s="1705"/>
      <c r="Q56" s="1705"/>
      <c r="R56" s="1705"/>
      <c r="S56" s="1705"/>
      <c r="T56" s="1705"/>
    </row>
    <row r="57" spans="1:20" ht="15.75" customHeight="1">
      <c r="A57" s="1713">
        <f t="shared" si="0"/>
        <v>52</v>
      </c>
      <c r="B57" s="1720" t="str">
        <f>ANALISA!C1229</f>
        <v>Pekerjaan 1 m³ Cor Beton Ready Mix K-300</v>
      </c>
      <c r="C57" s="369" t="str">
        <f>ANALISA!B1229</f>
        <v>2.2.1.6.1</v>
      </c>
      <c r="D57" s="1716">
        <f>ANALISA!G1243</f>
        <v>1908060.3800000001</v>
      </c>
      <c r="E57" s="1719">
        <f>ANALISA!I1241</f>
        <v>0.88970352380476725</v>
      </c>
      <c r="F57" s="1705"/>
      <c r="G57" s="1705"/>
      <c r="H57" s="1705"/>
      <c r="I57" s="1705"/>
      <c r="J57" s="1705"/>
      <c r="K57" s="1705"/>
      <c r="L57" s="1705"/>
      <c r="M57" s="1705"/>
      <c r="N57" s="1705"/>
      <c r="O57" s="1705"/>
      <c r="P57" s="1705"/>
      <c r="Q57" s="1705"/>
      <c r="R57" s="1705"/>
      <c r="S57" s="1705"/>
      <c r="T57" s="1705"/>
    </row>
    <row r="58" spans="1:20" ht="15.75" customHeight="1">
      <c r="A58" s="1713">
        <f t="shared" si="0"/>
        <v>53</v>
      </c>
      <c r="B58" s="1720" t="str">
        <f>ANALISA!C1245</f>
        <v>Pekerjaan 1 m³ Cor Beton Ready Mix K-250</v>
      </c>
      <c r="C58" s="369" t="str">
        <f>ANALISA!B1245</f>
        <v>2.2.1.6.1</v>
      </c>
      <c r="D58" s="1716">
        <f>ANALISA!G1259</f>
        <v>1678097.45</v>
      </c>
      <c r="E58" s="1719">
        <f>ANALISA!I1257</f>
        <v>0.89022475067718976</v>
      </c>
      <c r="F58" s="1705"/>
      <c r="G58" s="1705"/>
      <c r="H58" s="1705"/>
      <c r="I58" s="1705"/>
      <c r="J58" s="1705"/>
      <c r="K58" s="1705"/>
      <c r="L58" s="1705"/>
      <c r="M58" s="1705"/>
      <c r="N58" s="1705"/>
      <c r="O58" s="1705"/>
      <c r="P58" s="1705"/>
      <c r="Q58" s="1705"/>
      <c r="R58" s="1705"/>
      <c r="S58" s="1705"/>
      <c r="T58" s="1705"/>
    </row>
    <row r="59" spans="1:20" ht="15.75" customHeight="1">
      <c r="A59" s="1713">
        <f t="shared" si="0"/>
        <v>54</v>
      </c>
      <c r="B59" s="1720" t="str">
        <f>ANALISA!C1261</f>
        <v>Pekerjaan 1 m³ Cor Beton dengan Pompa Beton</v>
      </c>
      <c r="C59" s="369" t="str">
        <f>ANALISA!B1261</f>
        <v>2.2.1.7.4</v>
      </c>
      <c r="D59" s="1716">
        <f>ANALISA!G1273</f>
        <v>510520.56</v>
      </c>
      <c r="E59" s="1719">
        <f>ANALISA!I1271</f>
        <v>0.88918787557667811</v>
      </c>
      <c r="F59" s="1705"/>
      <c r="G59" s="1705"/>
      <c r="H59" s="1705"/>
      <c r="I59" s="1705"/>
      <c r="J59" s="1705"/>
      <c r="K59" s="1705"/>
      <c r="L59" s="1705"/>
      <c r="M59" s="1705"/>
      <c r="N59" s="1705"/>
      <c r="O59" s="1705"/>
      <c r="P59" s="1705"/>
      <c r="Q59" s="1705"/>
      <c r="R59" s="1705"/>
      <c r="S59" s="1705"/>
      <c r="T59" s="1705"/>
    </row>
    <row r="60" spans="1:20" ht="15.75" customHeight="1">
      <c r="A60" s="1713">
        <f t="shared" si="0"/>
        <v>55</v>
      </c>
      <c r="B60" s="1720" t="str">
        <f>ANALISA!C1275</f>
        <v>Pekerjaan 1 m³ Pemadatan Beton dengan Vibrator</v>
      </c>
      <c r="C60" s="369" t="str">
        <f>ANALISA!B1275</f>
        <v>2.2.1.8.2</v>
      </c>
      <c r="D60" s="1716">
        <f>ANALISA!G1287</f>
        <v>42304.98</v>
      </c>
      <c r="E60" s="1719">
        <f>ANALISA!I1285</f>
        <v>0.91235123253043326</v>
      </c>
      <c r="F60" s="1705"/>
      <c r="G60" s="1705"/>
      <c r="H60" s="1705"/>
      <c r="I60" s="1705"/>
      <c r="J60" s="1705"/>
      <c r="K60" s="1705"/>
      <c r="L60" s="1705"/>
      <c r="M60" s="1705"/>
      <c r="N60" s="1705"/>
      <c r="O60" s="1705"/>
      <c r="P60" s="1705"/>
      <c r="Q60" s="1705"/>
      <c r="R60" s="1705"/>
      <c r="S60" s="1705"/>
      <c r="T60" s="1705"/>
    </row>
    <row r="61" spans="1:20" ht="15.75" customHeight="1">
      <c r="A61" s="1713">
        <f t="shared" si="0"/>
        <v>56</v>
      </c>
      <c r="B61" s="1720" t="str">
        <f>ANALISA!C1289</f>
        <v>Pekerjaan 1 m³ Grouting</v>
      </c>
      <c r="C61" s="369" t="str">
        <f>ANALISA!B1289</f>
        <v>2.2.1.11.1</v>
      </c>
      <c r="D61" s="1716">
        <f>ANALISA!G1304</f>
        <v>28315030.890000001</v>
      </c>
      <c r="E61" s="1719">
        <f>ANALISA!I1302</f>
        <v>0.88887876023897738</v>
      </c>
      <c r="F61" s="1705"/>
      <c r="G61" s="1705"/>
      <c r="H61" s="1705"/>
      <c r="I61" s="1705"/>
      <c r="J61" s="1705"/>
      <c r="K61" s="1705"/>
      <c r="L61" s="1705"/>
      <c r="M61" s="1705"/>
      <c r="N61" s="1705"/>
      <c r="O61" s="1705"/>
      <c r="P61" s="1705"/>
      <c r="Q61" s="1705"/>
      <c r="R61" s="1705"/>
      <c r="S61" s="1705"/>
      <c r="T61" s="1705"/>
    </row>
    <row r="62" spans="1:20" ht="15.75" customHeight="1">
      <c r="A62" s="1713">
        <f t="shared" si="0"/>
        <v>57</v>
      </c>
      <c r="B62" s="1720" t="str">
        <f>ANALISA!C1306</f>
        <v>Pekerjaan 1 m² Atap Pelana Rangka Baja Ringan Profil C75</v>
      </c>
      <c r="C62" s="369" t="str">
        <f>ANALISA!B1306</f>
        <v>2.1.1.1</v>
      </c>
      <c r="D62" s="1716">
        <f>ANALISA!G1320</f>
        <v>175531.1</v>
      </c>
      <c r="E62" s="1719">
        <f>ANALISA!I1318</f>
        <v>0.59283582252298983</v>
      </c>
      <c r="F62" s="1705"/>
      <c r="G62" s="1705"/>
      <c r="H62" s="1705"/>
      <c r="I62" s="1705"/>
      <c r="J62" s="1705"/>
      <c r="K62" s="1705"/>
      <c r="L62" s="1705"/>
      <c r="M62" s="1705"/>
      <c r="N62" s="1705"/>
      <c r="O62" s="1705"/>
      <c r="P62" s="1705"/>
      <c r="Q62" s="1705"/>
      <c r="R62" s="1705"/>
      <c r="S62" s="1705"/>
      <c r="T62" s="1705"/>
    </row>
    <row r="63" spans="1:20" ht="15.75" customHeight="1">
      <c r="A63" s="1713">
        <f t="shared" si="0"/>
        <v>58</v>
      </c>
      <c r="B63" s="1720" t="str">
        <f>ANALISA!C1322</f>
        <v>Pekerjaan 1 m² Atap Jurai/Limasan Rangka Baja Ringan Profil C75</v>
      </c>
      <c r="C63" s="369" t="str">
        <f>ANALISA!B1322</f>
        <v>2.1.1.2</v>
      </c>
      <c r="D63" s="1716">
        <f>ANALISA!G1336</f>
        <v>178300.80000000002</v>
      </c>
      <c r="E63" s="1719">
        <f>ANALISA!I1334</f>
        <v>0.59916065489647485</v>
      </c>
      <c r="F63" s="1705"/>
      <c r="G63" s="1705"/>
      <c r="H63" s="1705"/>
      <c r="I63" s="1705"/>
      <c r="J63" s="1705"/>
      <c r="K63" s="1705"/>
      <c r="L63" s="1705"/>
      <c r="M63" s="1705"/>
      <c r="N63" s="1705"/>
      <c r="O63" s="1705"/>
      <c r="P63" s="1705"/>
      <c r="Q63" s="1705"/>
      <c r="R63" s="1705"/>
      <c r="S63" s="1705"/>
      <c r="T63" s="1705"/>
    </row>
    <row r="64" spans="1:20" ht="15.75" customHeight="1">
      <c r="A64" s="1713">
        <f t="shared" si="0"/>
        <v>59</v>
      </c>
      <c r="B64" s="1720" t="str">
        <f>ANALISA!C1338</f>
        <v>Pekerjaan 1 m² Penutup Atap Spandek Berpasir t = 0,3 mm</v>
      </c>
      <c r="C64" s="369" t="str">
        <f>ANALISA!B1338</f>
        <v>3.1.3.8</v>
      </c>
      <c r="D64" s="1716">
        <f>ANALISA!G1353</f>
        <v>240387.47</v>
      </c>
      <c r="E64" s="1719">
        <f>ANALISA!I1351</f>
        <v>0.61887234556954052</v>
      </c>
      <c r="F64" s="1705"/>
      <c r="G64" s="1705"/>
      <c r="H64" s="1705"/>
      <c r="I64" s="1705"/>
      <c r="J64" s="1705"/>
      <c r="K64" s="1705"/>
      <c r="L64" s="1705"/>
      <c r="M64" s="1705"/>
      <c r="N64" s="1705"/>
      <c r="O64" s="1705"/>
      <c r="P64" s="1705"/>
      <c r="Q64" s="1705"/>
      <c r="R64" s="1705"/>
      <c r="S64" s="1705"/>
      <c r="T64" s="1705"/>
    </row>
    <row r="65" spans="1:20" ht="15.75" customHeight="1">
      <c r="A65" s="1713">
        <f t="shared" si="0"/>
        <v>60</v>
      </c>
      <c r="B65" s="1720" t="str">
        <f>ANALISA!C1355</f>
        <v>Pekerjaan 1 m¹ Nok Atap Spandek Berpasir</v>
      </c>
      <c r="C65" s="369" t="str">
        <f>ANALISA!B1355</f>
        <v>3.1.3.14</v>
      </c>
      <c r="D65" s="1716">
        <f>ANALISA!G1370</f>
        <v>172082.08000000002</v>
      </c>
      <c r="E65" s="1719">
        <f>ANALISA!I1368</f>
        <v>0.75072207356683007</v>
      </c>
      <c r="F65" s="1705"/>
      <c r="G65" s="1705"/>
      <c r="H65" s="1705"/>
      <c r="I65" s="1705"/>
      <c r="J65" s="1705"/>
      <c r="K65" s="1705"/>
      <c r="L65" s="1705"/>
      <c r="M65" s="1705"/>
      <c r="N65" s="1705"/>
      <c r="O65" s="1705"/>
      <c r="P65" s="1705"/>
      <c r="Q65" s="1705"/>
      <c r="R65" s="1705"/>
      <c r="S65" s="1705"/>
      <c r="T65" s="1705"/>
    </row>
    <row r="66" spans="1:20" ht="15.75" customHeight="1">
      <c r="A66" s="1713">
        <f t="shared" si="0"/>
        <v>61</v>
      </c>
      <c r="B66" s="1720" t="str">
        <f>ANALISA!C1372</f>
        <v>Pekerjaan 1 m¹ Pemasangan Talang Air Galvalum Datar termasuk asesoris</v>
      </c>
      <c r="C66" s="369" t="str">
        <f>ANALISA!B1372</f>
        <v>3.3.1</v>
      </c>
      <c r="D66" s="1716">
        <f>ANALISA!G1388</f>
        <v>263953.74</v>
      </c>
      <c r="E66" s="1719">
        <f>ANALISA!I1386</f>
        <v>0.94489798549736714</v>
      </c>
      <c r="F66" s="1705"/>
      <c r="G66" s="1705"/>
      <c r="H66" s="1705"/>
      <c r="I66" s="1705"/>
      <c r="J66" s="1705"/>
      <c r="K66" s="1705"/>
      <c r="L66" s="1705"/>
      <c r="M66" s="1705"/>
      <c r="N66" s="1705"/>
      <c r="O66" s="1705"/>
      <c r="P66" s="1705"/>
      <c r="Q66" s="1705"/>
      <c r="R66" s="1705"/>
      <c r="S66" s="1705"/>
      <c r="T66" s="1705"/>
    </row>
    <row r="67" spans="1:20" ht="15.75" customHeight="1">
      <c r="A67" s="1713">
        <f t="shared" si="0"/>
        <v>62</v>
      </c>
      <c r="B67" s="1720" t="str">
        <f>ANALISA!C1390</f>
        <v>Pekerjaan 1 m¹ Pemasangan Listplank GRC L = 30 cm</v>
      </c>
      <c r="C67" s="369" t="str">
        <f>ANALISA!B1390</f>
        <v>3.3.5</v>
      </c>
      <c r="D67" s="1716">
        <f>ANALISA!G1405</f>
        <v>110227.31999999999</v>
      </c>
      <c r="E67" s="1719">
        <f>ANALISA!I1403</f>
        <v>0.88646623477378916</v>
      </c>
      <c r="F67" s="1705"/>
      <c r="G67" s="1705"/>
      <c r="H67" s="1705"/>
      <c r="I67" s="1705"/>
      <c r="J67" s="1705"/>
      <c r="K67" s="1705"/>
      <c r="L67" s="1705"/>
      <c r="M67" s="1705"/>
      <c r="N67" s="1705"/>
      <c r="O67" s="1705"/>
      <c r="P67" s="1705"/>
      <c r="Q67" s="1705"/>
      <c r="R67" s="1705"/>
      <c r="S67" s="1705"/>
      <c r="T67" s="1705"/>
    </row>
    <row r="68" spans="1:20" ht="15.75" customHeight="1">
      <c r="A68" s="1713">
        <f t="shared" si="0"/>
        <v>63</v>
      </c>
      <c r="B68" s="1720" t="str">
        <f>ANALISA!C1407</f>
        <v>Pekerjaan 1 m² Pasangan Batako</v>
      </c>
      <c r="C68" s="369" t="str">
        <f>ANALISA!B1407</f>
        <v>3.6.5.2</v>
      </c>
      <c r="D68" s="1716">
        <f>ANALISA!G1421</f>
        <v>181829.52000000002</v>
      </c>
      <c r="E68" s="1719">
        <f>ANALISA!I1419</f>
        <v>0.97772314408146777</v>
      </c>
      <c r="F68" s="1705"/>
      <c r="G68" s="1705"/>
      <c r="H68" s="1705"/>
      <c r="I68" s="1705"/>
      <c r="J68" s="1705"/>
      <c r="K68" s="1705"/>
      <c r="L68" s="1705"/>
      <c r="M68" s="1705"/>
      <c r="N68" s="1705"/>
      <c r="O68" s="1705"/>
      <c r="P68" s="1705"/>
      <c r="Q68" s="1705"/>
      <c r="R68" s="1705"/>
      <c r="S68" s="1705"/>
      <c r="T68" s="1705"/>
    </row>
    <row r="69" spans="1:20" ht="13.5" customHeight="1">
      <c r="A69" s="1713">
        <f t="shared" si="0"/>
        <v>64</v>
      </c>
      <c r="B69" s="1720" t="str">
        <f>ANALISA!C1423</f>
        <v>Pekerjaan 1 m² Pasangan ½ Bata Merah 1 : 5</v>
      </c>
      <c r="C69" s="369" t="str">
        <f>ANALISA!B1423</f>
        <v>3.6.1.9</v>
      </c>
      <c r="D69" s="1716">
        <f>ANALISA!G1437</f>
        <v>161086.38</v>
      </c>
      <c r="E69" s="1719">
        <f>ANALISA!I1435</f>
        <v>0.98996669475687071</v>
      </c>
      <c r="F69" s="1705"/>
      <c r="G69" s="1705"/>
      <c r="H69" s="1705"/>
      <c r="I69" s="1705"/>
      <c r="J69" s="1705"/>
      <c r="K69" s="1705"/>
      <c r="L69" s="1705"/>
      <c r="M69" s="1705"/>
      <c r="N69" s="1705"/>
      <c r="O69" s="1705"/>
      <c r="P69" s="1705"/>
      <c r="Q69" s="1705"/>
      <c r="R69" s="1705"/>
      <c r="S69" s="1705"/>
      <c r="T69" s="1705"/>
    </row>
    <row r="70" spans="1:20" ht="15.75" customHeight="1">
      <c r="A70" s="1713">
        <f t="shared" si="0"/>
        <v>65</v>
      </c>
      <c r="B70" s="1720" t="str">
        <f>ANALISA!C1440</f>
        <v>Pekerjaan 1 m² Plesteran</v>
      </c>
      <c r="C70" s="369" t="str">
        <f>ANALISA!B1440</f>
        <v>3.7.5</v>
      </c>
      <c r="D70" s="1716">
        <f>ANALISA!G1455</f>
        <v>58648.57</v>
      </c>
      <c r="E70" s="1719">
        <f>ANALISA!I1453</f>
        <v>0.98524174295732792</v>
      </c>
      <c r="F70" s="1705"/>
      <c r="G70" s="1705"/>
      <c r="H70" s="1705"/>
      <c r="I70" s="1705"/>
      <c r="J70" s="1705"/>
      <c r="K70" s="1705"/>
      <c r="L70" s="1705"/>
      <c r="M70" s="1705"/>
      <c r="N70" s="1705"/>
      <c r="O70" s="1705"/>
      <c r="P70" s="1705"/>
      <c r="Q70" s="1705"/>
      <c r="R70" s="1705"/>
      <c r="S70" s="1705"/>
      <c r="T70" s="1705"/>
    </row>
    <row r="71" spans="1:20" ht="15.75" customHeight="1">
      <c r="A71" s="1713">
        <f t="shared" ref="A71:A134" si="1">A70+1</f>
        <v>66</v>
      </c>
      <c r="B71" s="1720" t="str">
        <f>ANALISA!C1457</f>
        <v>Pekerjaan 1 m² Plesteran dengan Semen tipe V</v>
      </c>
      <c r="C71" s="369" t="str">
        <f>ANALISA!B1457</f>
        <v>3.7.5</v>
      </c>
      <c r="D71" s="1716">
        <f>ANALISA!G1472</f>
        <v>62624.420000000006</v>
      </c>
      <c r="E71" s="1719">
        <f>ANALISA!I1470</f>
        <v>0.98103623838150589</v>
      </c>
      <c r="F71" s="1705"/>
      <c r="G71" s="1705"/>
      <c r="H71" s="1705"/>
      <c r="I71" s="1705"/>
      <c r="J71" s="1705"/>
      <c r="K71" s="1705"/>
      <c r="L71" s="1705"/>
      <c r="M71" s="1705"/>
      <c r="N71" s="1705"/>
      <c r="O71" s="1705"/>
      <c r="P71" s="1705"/>
      <c r="Q71" s="1705"/>
      <c r="R71" s="1705"/>
      <c r="S71" s="1705"/>
      <c r="T71" s="1705"/>
    </row>
    <row r="72" spans="1:20" ht="15.75" customHeight="1">
      <c r="A72" s="1713">
        <f t="shared" si="1"/>
        <v>67</v>
      </c>
      <c r="B72" s="1720" t="str">
        <f>ANALISA!C1474</f>
        <v>Pekerjaan 1 m² Acian</v>
      </c>
      <c r="C72" s="369" t="str">
        <f>ANALISA!B1474</f>
        <v>3.7.8</v>
      </c>
      <c r="D72" s="1716">
        <f>ANALISA!G1488</f>
        <v>43813.91</v>
      </c>
      <c r="E72" s="1719">
        <f>ANALISA!I1486</f>
        <v>0.98761491845342508</v>
      </c>
      <c r="F72" s="1705"/>
      <c r="G72" s="1705"/>
      <c r="H72" s="1705"/>
      <c r="I72" s="1705"/>
      <c r="J72" s="1705"/>
      <c r="K72" s="1705"/>
      <c r="L72" s="1705"/>
      <c r="M72" s="1705"/>
      <c r="N72" s="1705"/>
      <c r="O72" s="1705"/>
      <c r="P72" s="1705"/>
      <c r="Q72" s="1705"/>
      <c r="R72" s="1705"/>
      <c r="S72" s="1705"/>
      <c r="T72" s="1705"/>
    </row>
    <row r="73" spans="1:20" ht="15.75" customHeight="1">
      <c r="A73" s="1713">
        <f t="shared" si="1"/>
        <v>68</v>
      </c>
      <c r="B73" s="1720" t="str">
        <f>ANALISA!C1490</f>
        <v>Pekerjaan 1 m² Acian dengan semen tipe V</v>
      </c>
      <c r="C73" s="369" t="str">
        <f>ANALISA!B1490</f>
        <v>3.7.8</v>
      </c>
      <c r="D73" s="1716">
        <f>ANALISA!G1504</f>
        <v>46306.490000000005</v>
      </c>
      <c r="E73" s="1719">
        <f>ANALISA!I1502</f>
        <v>0.98392152828485779</v>
      </c>
      <c r="F73" s="1705"/>
      <c r="G73" s="1705"/>
      <c r="H73" s="1705"/>
      <c r="I73" s="1705"/>
      <c r="J73" s="1705"/>
      <c r="K73" s="1705"/>
      <c r="L73" s="1705"/>
      <c r="M73" s="1705"/>
      <c r="N73" s="1705"/>
      <c r="O73" s="1705"/>
      <c r="P73" s="1705"/>
      <c r="Q73" s="1705"/>
      <c r="R73" s="1705"/>
      <c r="S73" s="1705"/>
      <c r="T73" s="1705"/>
    </row>
    <row r="74" spans="1:20" ht="15.75" customHeight="1">
      <c r="A74" s="1713">
        <f t="shared" si="1"/>
        <v>69</v>
      </c>
      <c r="B74" s="1720" t="str">
        <f>ANALISA!C1506</f>
        <v>Pekerjaan 1 m¹ Skonengan tebal = 1 cm, lebar 10 cm</v>
      </c>
      <c r="C74" s="369" t="str">
        <f>ANALISA!B1506</f>
        <v>3.7.10</v>
      </c>
      <c r="D74" s="1716">
        <f>ANALISA!G1519</f>
        <v>52968.270000000004</v>
      </c>
      <c r="E74" s="1719">
        <f>ANALISA!I1517</f>
        <v>0.99842390736567399</v>
      </c>
      <c r="F74" s="1705"/>
      <c r="G74" s="1705"/>
      <c r="H74" s="1705"/>
      <c r="I74" s="1705"/>
      <c r="J74" s="1705"/>
      <c r="K74" s="1705"/>
      <c r="L74" s="1705"/>
      <c r="M74" s="1705"/>
      <c r="N74" s="1705"/>
      <c r="O74" s="1705"/>
      <c r="P74" s="1705"/>
      <c r="Q74" s="1705"/>
      <c r="R74" s="1705"/>
      <c r="S74" s="1705"/>
      <c r="T74" s="1705"/>
    </row>
    <row r="75" spans="1:20" ht="15.75" customHeight="1">
      <c r="A75" s="1713">
        <f t="shared" si="1"/>
        <v>70</v>
      </c>
      <c r="B75" s="1720" t="str">
        <f>ANALISA!C1521</f>
        <v>Pekerjaan 1 m¹ Skonengan tebal = 1 cm, lebar 10 cm dengan Semen tipe V</v>
      </c>
      <c r="C75" s="369" t="str">
        <f>ANALISA!B1521</f>
        <v>3.7.10</v>
      </c>
      <c r="D75" s="1716">
        <f>ANALISA!G1534</f>
        <v>53351.740000000005</v>
      </c>
      <c r="E75" s="1719">
        <f>ANALISA!I1532</f>
        <v>0.99785303667546288</v>
      </c>
      <c r="F75" s="1705"/>
      <c r="G75" s="1705"/>
      <c r="H75" s="1705"/>
      <c r="I75" s="1705"/>
      <c r="J75" s="1705"/>
      <c r="K75" s="1705"/>
      <c r="L75" s="1705"/>
      <c r="M75" s="1705"/>
      <c r="N75" s="1705"/>
      <c r="O75" s="1705"/>
      <c r="P75" s="1705"/>
      <c r="Q75" s="1705"/>
      <c r="R75" s="1705"/>
      <c r="S75" s="1705"/>
      <c r="T75" s="1705"/>
    </row>
    <row r="76" spans="1:20" ht="15.75" customHeight="1">
      <c r="A76" s="1713">
        <f t="shared" si="1"/>
        <v>71</v>
      </c>
      <c r="B76" s="1720" t="str">
        <f>ANALISA!C1536</f>
        <v>Pekerjaan 1 m² Pasangan Dinding Roster</v>
      </c>
      <c r="C76" s="369" t="str">
        <f>ANALISA!B1536</f>
        <v>3.6.3.5</v>
      </c>
      <c r="D76" s="1716">
        <f>ANALISA!G1550</f>
        <v>641872.44000000006</v>
      </c>
      <c r="E76" s="1719">
        <f>ANALISA!I1548</f>
        <v>0.99635827794170895</v>
      </c>
      <c r="F76" s="1705"/>
      <c r="G76" s="1705"/>
      <c r="H76" s="1705"/>
      <c r="I76" s="1705"/>
      <c r="J76" s="1705"/>
      <c r="K76" s="1705"/>
      <c r="L76" s="1705"/>
      <c r="M76" s="1705"/>
      <c r="N76" s="1705"/>
      <c r="O76" s="1705"/>
      <c r="P76" s="1705"/>
      <c r="Q76" s="1705"/>
      <c r="R76" s="1705"/>
      <c r="S76" s="1705"/>
      <c r="T76" s="1705"/>
    </row>
    <row r="77" spans="1:20" ht="15.75" customHeight="1">
      <c r="A77" s="1713">
        <f t="shared" si="1"/>
        <v>72</v>
      </c>
      <c r="B77" s="1720" t="str">
        <f>ANALISA!C1552</f>
        <v>Pekerjaan 1 m² Pasangan Dinding Krawangan GRC Motif Batik</v>
      </c>
      <c r="C77" s="369" t="str">
        <f>ANALISA!B1552</f>
        <v>3.6.3.3</v>
      </c>
      <c r="D77" s="1716">
        <f>ANALISA!G1566</f>
        <v>842796.62</v>
      </c>
      <c r="E77" s="1719">
        <f>ANALISA!I1564</f>
        <v>0.6261846748766241</v>
      </c>
      <c r="F77" s="1705"/>
      <c r="G77" s="1705"/>
      <c r="H77" s="1705"/>
      <c r="I77" s="1705"/>
      <c r="J77" s="1705"/>
      <c r="K77" s="1705"/>
      <c r="L77" s="1705"/>
      <c r="M77" s="1705"/>
      <c r="N77" s="1705"/>
      <c r="O77" s="1705"/>
      <c r="P77" s="1705"/>
      <c r="Q77" s="1705"/>
      <c r="R77" s="1705"/>
      <c r="S77" s="1705"/>
      <c r="T77" s="1705"/>
    </row>
    <row r="78" spans="1:20" ht="27.75" customHeight="1">
      <c r="A78" s="1713">
        <f t="shared" si="1"/>
        <v>73</v>
      </c>
      <c r="B78" s="1721" t="str">
        <f>ANALISA!C1568</f>
        <v>Pekerjaan 1 m² Pemasangan Penutup ACP (Aluminium Composite Panel) Outdoor, Rangka Besi Hollow Galvanis 4x4, t = 1,6 mm</v>
      </c>
      <c r="C78" s="369" t="str">
        <f>ANALISA!B1568</f>
        <v>Analisa Sendiri</v>
      </c>
      <c r="D78" s="1716">
        <f>ANALISA!G1585</f>
        <v>1359700.48</v>
      </c>
      <c r="E78" s="1719">
        <f>ANALISA!I1583</f>
        <v>0.49394832744470019</v>
      </c>
      <c r="F78" s="1705"/>
      <c r="G78" s="1705"/>
      <c r="H78" s="1705"/>
      <c r="I78" s="1705"/>
      <c r="J78" s="1705"/>
      <c r="K78" s="1705"/>
      <c r="L78" s="1705"/>
      <c r="M78" s="1705"/>
      <c r="N78" s="1705"/>
      <c r="O78" s="1705"/>
      <c r="P78" s="1705"/>
      <c r="Q78" s="1705"/>
      <c r="R78" s="1705"/>
      <c r="S78" s="1705"/>
      <c r="T78" s="1705"/>
    </row>
    <row r="79" spans="1:20" ht="27.75" customHeight="1">
      <c r="A79" s="1713">
        <f t="shared" si="1"/>
        <v>74</v>
      </c>
      <c r="B79" s="1721" t="str">
        <f>ANALISA!C1587</f>
        <v>Pekerjaan 1 m² Pengecatan Tembok Luar Baru (Sealer+Water Shield Extreme ex.JOTUN)</v>
      </c>
      <c r="C79" s="369" t="str">
        <f>ANALISA!B1587</f>
        <v>3.8.10.2</v>
      </c>
      <c r="D79" s="1716">
        <f>ANALISA!G1600</f>
        <v>91347.61</v>
      </c>
      <c r="E79" s="1719">
        <f>ANALISA!I1600</f>
        <v>0.48234290151548509</v>
      </c>
      <c r="F79" s="1705"/>
      <c r="G79" s="1705"/>
      <c r="H79" s="1705"/>
      <c r="I79" s="1705"/>
      <c r="J79" s="1705"/>
      <c r="K79" s="1705"/>
      <c r="L79" s="1705"/>
      <c r="M79" s="1705"/>
      <c r="N79" s="1705"/>
      <c r="O79" s="1705"/>
      <c r="P79" s="1705"/>
      <c r="Q79" s="1705"/>
      <c r="R79" s="1705"/>
      <c r="S79" s="1705"/>
      <c r="T79" s="1705"/>
    </row>
    <row r="80" spans="1:20" ht="15.75" customHeight="1">
      <c r="A80" s="1713">
        <f t="shared" si="1"/>
        <v>75</v>
      </c>
      <c r="B80" s="1721" t="str">
        <f>ANALISA!C1602</f>
        <v>Pekerjaan 1 m² Pengecatan Tembok Luar Baru (Sealer+Cat Tekstur)</v>
      </c>
      <c r="C80" s="369" t="str">
        <f>ANALISA!B1602</f>
        <v>3.8.10.2</v>
      </c>
      <c r="D80" s="1716">
        <f>ANALISA!G1615</f>
        <v>93087.909999999989</v>
      </c>
      <c r="E80" s="1719">
        <f>ANALISA!I1613</f>
        <v>0.36867197282269493</v>
      </c>
      <c r="F80" s="1705"/>
      <c r="G80" s="1705"/>
      <c r="H80" s="1705"/>
      <c r="I80" s="1705"/>
      <c r="J80" s="1705"/>
      <c r="K80" s="1705"/>
      <c r="L80" s="1705"/>
      <c r="M80" s="1705"/>
      <c r="N80" s="1705"/>
      <c r="O80" s="1705"/>
      <c r="P80" s="1705"/>
      <c r="Q80" s="1705"/>
      <c r="R80" s="1705"/>
      <c r="S80" s="1705"/>
      <c r="T80" s="1705"/>
    </row>
    <row r="81" spans="1:20" ht="15.75" customHeight="1">
      <c r="A81" s="1713">
        <f t="shared" si="1"/>
        <v>76</v>
      </c>
      <c r="B81" s="1721" t="str">
        <f>ANALISA!C1617</f>
        <v>Pekerjaan 1 m² Pengecatan Tembok Dalam Baru</v>
      </c>
      <c r="C81" s="369" t="str">
        <f>ANALISA!B1617</f>
        <v>3.8.10.1</v>
      </c>
      <c r="D81" s="1716">
        <f>ANALISA!G1631</f>
        <v>44323.37</v>
      </c>
      <c r="E81" s="1719">
        <f>ANALISA!I1629</f>
        <v>0.62320225474551172</v>
      </c>
      <c r="F81" s="1705"/>
      <c r="G81" s="1705"/>
      <c r="H81" s="1705"/>
      <c r="I81" s="1705"/>
      <c r="J81" s="1705"/>
      <c r="K81" s="1705"/>
      <c r="L81" s="1705"/>
      <c r="M81" s="1705"/>
      <c r="N81" s="1705"/>
      <c r="O81" s="1705"/>
      <c r="P81" s="1705"/>
      <c r="Q81" s="1705"/>
      <c r="R81" s="1705"/>
      <c r="S81" s="1705"/>
      <c r="T81" s="1705"/>
    </row>
    <row r="82" spans="1:20" ht="15.75" customHeight="1">
      <c r="A82" s="1713">
        <f t="shared" si="1"/>
        <v>77</v>
      </c>
      <c r="B82" s="1721" t="str">
        <f>ANALISA!C1633</f>
        <v>Pekerjaan 1 m² Pengecatan Plafond</v>
      </c>
      <c r="C82" s="369" t="str">
        <f>ANALISA!B1633</f>
        <v>3.8.20.1</v>
      </c>
      <c r="D82" s="1716">
        <f>ANALISA!G1648</f>
        <v>36706.18</v>
      </c>
      <c r="E82" s="1719">
        <f>ANALISA!I1646</f>
        <v>0.7686663145725352</v>
      </c>
      <c r="F82" s="1705"/>
      <c r="G82" s="1705"/>
      <c r="H82" s="1705"/>
      <c r="I82" s="1705"/>
      <c r="J82" s="1705"/>
      <c r="K82" s="1705"/>
      <c r="L82" s="1705"/>
      <c r="M82" s="1705"/>
      <c r="N82" s="1705"/>
      <c r="O82" s="1705"/>
      <c r="P82" s="1705"/>
      <c r="Q82" s="1705"/>
      <c r="R82" s="1705"/>
      <c r="S82" s="1705"/>
      <c r="T82" s="1705"/>
    </row>
    <row r="83" spans="1:20" ht="15.75" customHeight="1">
      <c r="A83" s="1713">
        <f t="shared" si="1"/>
        <v>78</v>
      </c>
      <c r="B83" s="1720" t="str">
        <f>ANALISA!C1650</f>
        <v>Pekerjaan 1 m² Pengecatan Epoxy Lantai 2 mm , Top Coat Multipox ex.Propan</v>
      </c>
      <c r="C83" s="369" t="str">
        <f>ANALISA!B1650</f>
        <v>3.8.21</v>
      </c>
      <c r="D83" s="1716">
        <f>ANALISA!G1662</f>
        <v>251976.61000000002</v>
      </c>
      <c r="E83" s="1719">
        <f>ANALISA!I1662</f>
        <v>0.6556478443344923</v>
      </c>
      <c r="F83" s="1705"/>
      <c r="G83" s="1705"/>
      <c r="H83" s="1705"/>
      <c r="I83" s="1705"/>
      <c r="J83" s="1705"/>
      <c r="K83" s="1705"/>
      <c r="L83" s="1705"/>
      <c r="M83" s="1705"/>
      <c r="N83" s="1705"/>
      <c r="O83" s="1705"/>
      <c r="P83" s="1705"/>
      <c r="Q83" s="1705"/>
      <c r="R83" s="1705"/>
      <c r="S83" s="1705"/>
      <c r="T83" s="1705"/>
    </row>
    <row r="84" spans="1:20" ht="15.75" customHeight="1">
      <c r="A84" s="1713">
        <f t="shared" si="1"/>
        <v>79</v>
      </c>
      <c r="B84" s="1720" t="str">
        <f>ANALISA!C1664</f>
        <v>Pekerjaan 1 m² Pengecatan Dinding ex.Acrillyc</v>
      </c>
      <c r="C84" s="369" t="str">
        <f>ANALISA!B1664</f>
        <v>3.8.10.2</v>
      </c>
      <c r="D84" s="1716">
        <f>ANALISA!G1679</f>
        <v>57007.76</v>
      </c>
      <c r="E84" s="1719">
        <f>ANALISA!I1677</f>
        <v>0.71089587467626303</v>
      </c>
      <c r="F84" s="1705"/>
      <c r="G84" s="1705"/>
      <c r="H84" s="1705"/>
      <c r="I84" s="1705"/>
      <c r="J84" s="1705"/>
      <c r="K84" s="1705"/>
      <c r="L84" s="1705"/>
      <c r="M84" s="1705"/>
      <c r="N84" s="1705"/>
      <c r="O84" s="1705"/>
      <c r="P84" s="1705"/>
      <c r="Q84" s="1705"/>
      <c r="R84" s="1705"/>
      <c r="S84" s="1705"/>
      <c r="T84" s="1705"/>
    </row>
    <row r="85" spans="1:20" ht="15.75" customHeight="1">
      <c r="A85" s="1713">
        <f t="shared" si="1"/>
        <v>80</v>
      </c>
      <c r="B85" s="1720" t="str">
        <f>ANALISA!C1681</f>
        <v>Pekerjaan 1 m² Floor Hardener ex.Sika</v>
      </c>
      <c r="C85" s="369" t="str">
        <f>ANALISA!B1681</f>
        <v>3.9.9.9</v>
      </c>
      <c r="D85" s="1716">
        <f>ANALISA!G1693</f>
        <v>58413.14</v>
      </c>
      <c r="E85" s="1719">
        <f>ANALISA!I1691</f>
        <v>0.85290633408445915</v>
      </c>
      <c r="F85" s="1705"/>
      <c r="G85" s="1705"/>
      <c r="H85" s="1705"/>
      <c r="I85" s="1705"/>
      <c r="J85" s="1705"/>
      <c r="K85" s="1705"/>
      <c r="L85" s="1705"/>
      <c r="M85" s="1705"/>
      <c r="N85" s="1705"/>
      <c r="O85" s="1705"/>
      <c r="P85" s="1705"/>
      <c r="Q85" s="1705"/>
      <c r="R85" s="1705"/>
      <c r="S85" s="1705"/>
      <c r="T85" s="1705"/>
    </row>
    <row r="86" spans="1:20" ht="15.75" customHeight="1">
      <c r="A86" s="1713">
        <f t="shared" si="1"/>
        <v>81</v>
      </c>
      <c r="B86" s="1720" t="str">
        <f>ANALISA!C1695</f>
        <v>Pekerjaan 1 m² Waterproofing Coating ex.No Drop anti Panas</v>
      </c>
      <c r="C86" s="369" t="str">
        <f>ANALISA!B1695</f>
        <v>3.4.4</v>
      </c>
      <c r="D86" s="1716">
        <f>ANALISA!G1707</f>
        <v>149703.27000000002</v>
      </c>
      <c r="E86" s="1719">
        <f>ANALISA!I1705</f>
        <v>0.73871093024251355</v>
      </c>
      <c r="F86" s="1705"/>
      <c r="G86" s="1705"/>
      <c r="H86" s="1705"/>
      <c r="I86" s="1705"/>
      <c r="J86" s="1705"/>
      <c r="K86" s="1705"/>
      <c r="L86" s="1705"/>
      <c r="M86" s="1705"/>
      <c r="N86" s="1705"/>
      <c r="O86" s="1705"/>
      <c r="P86" s="1705"/>
      <c r="Q86" s="1705"/>
      <c r="R86" s="1705"/>
      <c r="S86" s="1705"/>
      <c r="T86" s="1705"/>
    </row>
    <row r="87" spans="1:20" ht="15.75" customHeight="1">
      <c r="A87" s="1713">
        <f t="shared" si="1"/>
        <v>82</v>
      </c>
      <c r="B87" s="1720" t="str">
        <f>ANALISA!C1709</f>
        <v>Pekerjaan 1 m² Lantai Keramik 60 x 60 cm</v>
      </c>
      <c r="C87" s="369" t="str">
        <f>ANALISA!B1709</f>
        <v>A.4.4.3.34</v>
      </c>
      <c r="D87" s="1716">
        <f>ANALISA!G1724</f>
        <v>1090297.51</v>
      </c>
      <c r="E87" s="1719">
        <f>ANALISA!I1724</f>
        <v>0.86992520895750236</v>
      </c>
      <c r="F87" s="1705"/>
      <c r="G87" s="1705"/>
      <c r="H87" s="1705"/>
      <c r="I87" s="1705"/>
      <c r="J87" s="1705"/>
      <c r="K87" s="1705"/>
      <c r="L87" s="1705"/>
      <c r="M87" s="1705"/>
      <c r="N87" s="1705"/>
      <c r="O87" s="1705"/>
      <c r="P87" s="1705"/>
      <c r="Q87" s="1705"/>
      <c r="R87" s="1705"/>
      <c r="S87" s="1705"/>
      <c r="T87" s="1705"/>
    </row>
    <row r="88" spans="1:20" ht="15.75" customHeight="1">
      <c r="A88" s="1713">
        <f t="shared" si="1"/>
        <v>83</v>
      </c>
      <c r="B88" s="1720" t="str">
        <f>ANALISA!C1726</f>
        <v>Pekerjaan 1 m² Lantai Keramik 50 x 50 cm</v>
      </c>
      <c r="C88" s="369" t="str">
        <f>ANALISA!B1726</f>
        <v>A.4.4.3.34</v>
      </c>
      <c r="D88" s="1716">
        <f>ANALISA!G1741</f>
        <v>356204.94</v>
      </c>
      <c r="E88" s="1719">
        <f>ANALISA!I1741</f>
        <v>0.91696502984513395</v>
      </c>
      <c r="F88" s="1705"/>
      <c r="G88" s="1705"/>
      <c r="H88" s="1705"/>
      <c r="I88" s="1705"/>
      <c r="J88" s="1705"/>
      <c r="K88" s="1705"/>
      <c r="L88" s="1705"/>
      <c r="M88" s="1705"/>
      <c r="N88" s="1705"/>
      <c r="O88" s="1705"/>
      <c r="P88" s="1705"/>
      <c r="Q88" s="1705"/>
      <c r="R88" s="1705"/>
      <c r="S88" s="1705"/>
      <c r="T88" s="1705"/>
    </row>
    <row r="89" spans="1:20" ht="15.75" customHeight="1">
      <c r="A89" s="1713">
        <f t="shared" si="1"/>
        <v>84</v>
      </c>
      <c r="B89" s="1720" t="str">
        <f>ANALISA!C1743</f>
        <v>Pekerjaan 1 m² Lantai Keramik 40 x 40 cm</v>
      </c>
      <c r="C89" s="369" t="str">
        <f>ANALISA!B1743</f>
        <v>3.9.7.4</v>
      </c>
      <c r="D89" s="1716">
        <f>ANALISA!G1758</f>
        <v>344417.19</v>
      </c>
      <c r="E89" s="1719">
        <f>ANALISA!I1756</f>
        <v>0.85761979257177989</v>
      </c>
      <c r="F89" s="1705"/>
      <c r="G89" s="1705"/>
      <c r="H89" s="1705"/>
      <c r="I89" s="1705"/>
      <c r="J89" s="1705"/>
      <c r="K89" s="1705"/>
      <c r="L89" s="1705"/>
      <c r="M89" s="1705"/>
      <c r="N89" s="1705"/>
      <c r="O89" s="1705"/>
      <c r="P89" s="1705"/>
      <c r="Q89" s="1705"/>
      <c r="R89" s="1705"/>
      <c r="S89" s="1705"/>
      <c r="T89" s="1705"/>
    </row>
    <row r="90" spans="1:20" ht="15.75" customHeight="1">
      <c r="A90" s="1713">
        <f t="shared" si="1"/>
        <v>85</v>
      </c>
      <c r="B90" s="1720" t="str">
        <f>ANALISA!C1760</f>
        <v>Pekerjaan 1 m² Lantai Keramik 30 x 30 cm Motif Batu Alam</v>
      </c>
      <c r="C90" s="369" t="str">
        <f>ANALISA!B1760</f>
        <v>3.9.7.5</v>
      </c>
      <c r="D90" s="1716">
        <f>ANALISA!G1775</f>
        <v>483215.69</v>
      </c>
      <c r="E90" s="1719">
        <f>ANALISA!I1773</f>
        <v>0.81432715744657003</v>
      </c>
      <c r="F90" s="1705"/>
      <c r="G90" s="1705"/>
      <c r="H90" s="1705"/>
      <c r="I90" s="1705"/>
      <c r="J90" s="1705"/>
      <c r="K90" s="1705"/>
      <c r="L90" s="1705"/>
      <c r="M90" s="1705"/>
      <c r="N90" s="1705"/>
      <c r="O90" s="1705"/>
      <c r="P90" s="1705"/>
      <c r="Q90" s="1705"/>
      <c r="R90" s="1705"/>
      <c r="S90" s="1705"/>
      <c r="T90" s="1705"/>
    </row>
    <row r="91" spans="1:20" ht="15.75" customHeight="1">
      <c r="A91" s="1713">
        <f t="shared" si="1"/>
        <v>86</v>
      </c>
      <c r="B91" s="1720" t="str">
        <f>ANALISA!C1777</f>
        <v>Pekerjaan 1 m¹ Plint Lantai Keramik 10 x 60 cm</v>
      </c>
      <c r="C91" s="369" t="str">
        <f>ANALISA!B1777</f>
        <v>3.9.8.8</v>
      </c>
      <c r="D91" s="1716">
        <f>ANALISA!G1792</f>
        <v>106903.65999999999</v>
      </c>
      <c r="E91" s="1719">
        <f>ANALISA!I1790</f>
        <v>0.7590043851506032</v>
      </c>
      <c r="F91" s="1705"/>
      <c r="G91" s="1705"/>
      <c r="H91" s="1705"/>
      <c r="I91" s="1705"/>
      <c r="J91" s="1705"/>
      <c r="K91" s="1705"/>
      <c r="L91" s="1705"/>
      <c r="M91" s="1705"/>
      <c r="N91" s="1705"/>
      <c r="O91" s="1705"/>
      <c r="P91" s="1705"/>
      <c r="Q91" s="1705"/>
      <c r="R91" s="1705"/>
      <c r="S91" s="1705"/>
      <c r="T91" s="1705"/>
    </row>
    <row r="92" spans="1:20" ht="15.75" customHeight="1">
      <c r="A92" s="1713">
        <f t="shared" si="1"/>
        <v>87</v>
      </c>
      <c r="B92" s="1720" t="str">
        <f>ANALISA!C1794</f>
        <v>Pekerjaan 1 m¹ Plint Lantai Keramik 10 x 40 cm</v>
      </c>
      <c r="C92" s="369" t="str">
        <f>ANALISA!B1794</f>
        <v>3.9.8.7</v>
      </c>
      <c r="D92" s="1716">
        <f>ANALISA!G1809</f>
        <v>35189.32</v>
      </c>
      <c r="E92" s="1719">
        <f>ANALISA!I1807</f>
        <v>0.85777134531732102</v>
      </c>
      <c r="F92" s="1705"/>
      <c r="G92" s="1705"/>
      <c r="H92" s="1705"/>
      <c r="I92" s="1705"/>
      <c r="J92" s="1705"/>
      <c r="K92" s="1705"/>
      <c r="L92" s="1705"/>
      <c r="M92" s="1705"/>
      <c r="N92" s="1705"/>
      <c r="O92" s="1705"/>
      <c r="P92" s="1705"/>
      <c r="Q92" s="1705"/>
      <c r="R92" s="1705"/>
      <c r="S92" s="1705"/>
      <c r="T92" s="1705"/>
    </row>
    <row r="93" spans="1:20" ht="15.75" customHeight="1">
      <c r="A93" s="1713">
        <f t="shared" si="1"/>
        <v>88</v>
      </c>
      <c r="B93" s="1720" t="str">
        <f>ANALISA!C1811</f>
        <v>Pekerjaan 1 m¹ Dinding Keramik 20 x 40 cm ex.ROMAN</v>
      </c>
      <c r="C93" s="369" t="str">
        <f>ANALISA!B1811</f>
        <v>3.10.1.4</v>
      </c>
      <c r="D93" s="1716">
        <f>ANALISA!G1826</f>
        <v>397154.38</v>
      </c>
      <c r="E93" s="1719">
        <f>ANALISA!I1824</f>
        <v>0.79237671283012989</v>
      </c>
      <c r="F93" s="1705"/>
      <c r="G93" s="1705"/>
      <c r="H93" s="1705"/>
      <c r="I93" s="1705"/>
      <c r="J93" s="1705"/>
      <c r="K93" s="1705"/>
      <c r="L93" s="1705"/>
      <c r="M93" s="1705"/>
      <c r="N93" s="1705"/>
      <c r="O93" s="1705"/>
      <c r="P93" s="1705"/>
      <c r="Q93" s="1705"/>
      <c r="R93" s="1705"/>
      <c r="S93" s="1705"/>
      <c r="T93" s="1705"/>
    </row>
    <row r="94" spans="1:20" ht="15.75" customHeight="1">
      <c r="A94" s="1713">
        <f t="shared" si="1"/>
        <v>89</v>
      </c>
      <c r="B94" s="1720" t="str">
        <f>ANALISA!C1828</f>
        <v>Pekerjaan 1 m² Pasangan Dinding Bata Terakota</v>
      </c>
      <c r="C94" s="369" t="str">
        <f>ANALISA!B1828</f>
        <v>A.4.4.3.57</v>
      </c>
      <c r="D94" s="1716">
        <f>ANALISA!G1842</f>
        <v>557139.72</v>
      </c>
      <c r="E94" s="1719">
        <f>ANALISA!I1840</f>
        <v>0.82924603580902745</v>
      </c>
      <c r="F94" s="1705"/>
      <c r="G94" s="1705"/>
      <c r="H94" s="1705"/>
      <c r="I94" s="1705"/>
      <c r="J94" s="1705"/>
      <c r="K94" s="1705"/>
      <c r="L94" s="1705"/>
      <c r="M94" s="1705"/>
      <c r="N94" s="1705"/>
      <c r="O94" s="1705"/>
      <c r="P94" s="1705"/>
      <c r="Q94" s="1705"/>
      <c r="R94" s="1705"/>
      <c r="S94" s="1705"/>
      <c r="T94" s="1705"/>
    </row>
    <row r="95" spans="1:20" ht="15.75" customHeight="1">
      <c r="A95" s="1713">
        <f t="shared" si="1"/>
        <v>90</v>
      </c>
      <c r="B95" s="1720" t="str">
        <f>ANALISA!C1844</f>
        <v>Pekerjaan 1 m² Pasangan Dinding Batu Alam Andesit</v>
      </c>
      <c r="C95" s="369" t="str">
        <f>ANALISA!B1844</f>
        <v>3.10.4.3</v>
      </c>
      <c r="D95" s="1716">
        <f>ANALISA!G1858</f>
        <v>396880.95</v>
      </c>
      <c r="E95" s="1719">
        <f>ANALISA!I1856</f>
        <v>0.84341862338669316</v>
      </c>
      <c r="F95" s="1705"/>
      <c r="G95" s="1705"/>
      <c r="H95" s="1705"/>
      <c r="I95" s="1705"/>
      <c r="J95" s="1705"/>
      <c r="K95" s="1705"/>
      <c r="L95" s="1705"/>
      <c r="M95" s="1705"/>
      <c r="N95" s="1705"/>
      <c r="O95" s="1705"/>
      <c r="P95" s="1705"/>
      <c r="Q95" s="1705"/>
      <c r="R95" s="1705"/>
      <c r="S95" s="1705"/>
      <c r="T95" s="1705"/>
    </row>
    <row r="96" spans="1:20" ht="15.75" customHeight="1">
      <c r="A96" s="1713">
        <f t="shared" si="1"/>
        <v>91</v>
      </c>
      <c r="B96" s="1720" t="str">
        <f>ANALISA!C1860</f>
        <v>Pekerjaan 1 m¹ Pemasangan Kanstin 15x25x40 cm</v>
      </c>
      <c r="C96" s="369" t="str">
        <f>ANALISA!B1860</f>
        <v>BOW O.07 e</v>
      </c>
      <c r="D96" s="1716">
        <f>ANALISA!G1874</f>
        <v>154643.40000000002</v>
      </c>
      <c r="E96" s="1719">
        <f>ANALISA!I1872</f>
        <v>0.81170071852371062</v>
      </c>
      <c r="F96" s="1705"/>
      <c r="G96" s="1705"/>
      <c r="H96" s="1705"/>
      <c r="I96" s="1705"/>
      <c r="J96" s="1705"/>
      <c r="K96" s="1705"/>
      <c r="L96" s="1705"/>
      <c r="M96" s="1705"/>
      <c r="N96" s="1705"/>
      <c r="O96" s="1705"/>
      <c r="P96" s="1705"/>
      <c r="Q96" s="1705"/>
      <c r="R96" s="1705"/>
      <c r="S96" s="1705"/>
      <c r="T96" s="1705"/>
    </row>
    <row r="97" spans="1:20" ht="15.75" customHeight="1">
      <c r="A97" s="1713">
        <f t="shared" si="1"/>
        <v>92</v>
      </c>
      <c r="B97" s="1720" t="str">
        <f>ANALISA!C1876</f>
        <v>Pekerjaan 1 m² Pemasangan Paving Block t = 6 cm</v>
      </c>
      <c r="C97" s="369" t="str">
        <f>ANALISA!B1876</f>
        <v>7.1.1.1</v>
      </c>
      <c r="D97" s="1716">
        <f>ANALISA!G1890</f>
        <v>193799.55000000002</v>
      </c>
      <c r="E97" s="1719">
        <f>ANALISA!I1888</f>
        <v>0.80915711504320842</v>
      </c>
      <c r="F97" s="1705"/>
      <c r="G97" s="1705"/>
      <c r="H97" s="1705"/>
      <c r="I97" s="1705"/>
      <c r="J97" s="1705"/>
      <c r="K97" s="1705"/>
      <c r="L97" s="1705"/>
      <c r="M97" s="1705"/>
      <c r="N97" s="1705"/>
      <c r="O97" s="1705"/>
      <c r="P97" s="1705"/>
      <c r="Q97" s="1705"/>
      <c r="R97" s="1705"/>
      <c r="S97" s="1705"/>
      <c r="T97" s="1705"/>
    </row>
    <row r="98" spans="1:20" ht="15.75" customHeight="1">
      <c r="A98" s="1713">
        <f t="shared" si="1"/>
        <v>93</v>
      </c>
      <c r="B98" s="1720" t="str">
        <f>ANALISA!C1892</f>
        <v>Pekerjaan 1 bh Logo Timbul 40x40 cm, Plat Galvanis + Finish Duco</v>
      </c>
      <c r="C98" s="369" t="str">
        <f>ANALISA!B1892</f>
        <v>Analisa Sendiri</v>
      </c>
      <c r="D98" s="1716">
        <f>ANALISA!G1901</f>
        <v>2096360.01</v>
      </c>
      <c r="E98" s="1719">
        <f>ANALISA!I1899</f>
        <v>0.46107523998199318</v>
      </c>
      <c r="F98" s="1705"/>
      <c r="G98" s="1705"/>
      <c r="H98" s="1705"/>
      <c r="I98" s="1705"/>
      <c r="J98" s="1705"/>
      <c r="K98" s="1705"/>
      <c r="L98" s="1705"/>
      <c r="M98" s="1705"/>
      <c r="N98" s="1705"/>
      <c r="O98" s="1705"/>
      <c r="P98" s="1705"/>
      <c r="Q98" s="1705"/>
      <c r="R98" s="1705"/>
      <c r="S98" s="1705"/>
      <c r="T98" s="1705"/>
    </row>
    <row r="99" spans="1:20" ht="15.75" customHeight="1">
      <c r="A99" s="1713">
        <f t="shared" si="1"/>
        <v>94</v>
      </c>
      <c r="B99" s="1720" t="str">
        <f>ANALISA!C1903</f>
        <v>Pekerjaan 1 bh Logo Timbul 100x100 cm, Plat Galvanis + Finish Duco</v>
      </c>
      <c r="C99" s="369" t="str">
        <f>ANALISA!B1903</f>
        <v>Analisa Sendiri</v>
      </c>
      <c r="D99" s="1716">
        <f>ANALISA!G1912</f>
        <v>5141242.5699999994</v>
      </c>
      <c r="E99" s="1719">
        <f>ANALISA!I1910</f>
        <v>0.46458435789319963</v>
      </c>
      <c r="F99" s="1705"/>
      <c r="G99" s="1705"/>
      <c r="H99" s="1705"/>
      <c r="I99" s="1705"/>
      <c r="J99" s="1705"/>
      <c r="K99" s="1705"/>
      <c r="L99" s="1705"/>
      <c r="M99" s="1705"/>
      <c r="N99" s="1705"/>
      <c r="O99" s="1705"/>
      <c r="P99" s="1705"/>
      <c r="Q99" s="1705"/>
      <c r="R99" s="1705"/>
      <c r="S99" s="1705"/>
      <c r="T99" s="1705"/>
    </row>
    <row r="100" spans="1:20" ht="15.75" customHeight="1">
      <c r="A100" s="1713">
        <f t="shared" si="1"/>
        <v>95</v>
      </c>
      <c r="B100" s="1720" t="str">
        <f>ANALISA!C1914</f>
        <v>Pekerjaan 1 bh Huruf Timbul 20x35 cm, Plat Galvanis + Finish Duco</v>
      </c>
      <c r="C100" s="369" t="str">
        <f>ANALISA!B1914</f>
        <v>Analisa Sendiri</v>
      </c>
      <c r="D100" s="1716">
        <f>ANALISA!G1923</f>
        <v>340903.58</v>
      </c>
      <c r="E100" s="1719">
        <f>ANALISA!I1921</f>
        <v>0.48474104082646113</v>
      </c>
      <c r="F100" s="1705"/>
      <c r="G100" s="1705"/>
      <c r="H100" s="1705"/>
      <c r="I100" s="1705"/>
      <c r="J100" s="1705"/>
      <c r="K100" s="1705"/>
      <c r="L100" s="1705"/>
      <c r="M100" s="1705"/>
      <c r="N100" s="1705"/>
      <c r="O100" s="1705"/>
      <c r="P100" s="1705"/>
      <c r="Q100" s="1705"/>
      <c r="R100" s="1705"/>
      <c r="S100" s="1705"/>
      <c r="T100" s="1705"/>
    </row>
    <row r="101" spans="1:20" ht="15.75" customHeight="1">
      <c r="A101" s="1713">
        <f t="shared" si="1"/>
        <v>96</v>
      </c>
      <c r="B101" s="1720" t="str">
        <f>ANALISA!C1925</f>
        <v>Pekerjaan 1 bh Huruf Timbul 20x25 cm, Plat Galvanis + Finish Duco</v>
      </c>
      <c r="C101" s="369" t="str">
        <f>ANALISA!B1925</f>
        <v>Analisa Sendiri</v>
      </c>
      <c r="D101" s="1716">
        <f>ANALISA!G1934</f>
        <v>279522.94</v>
      </c>
      <c r="E101" s="1719">
        <f>ANALISA!I1932</f>
        <v>0.49696745999459729</v>
      </c>
      <c r="F101" s="1705"/>
      <c r="G101" s="1705"/>
      <c r="H101" s="1705"/>
      <c r="I101" s="1705"/>
      <c r="J101" s="1705"/>
      <c r="K101" s="1705"/>
      <c r="L101" s="1705"/>
      <c r="M101" s="1705"/>
      <c r="N101" s="1705"/>
      <c r="O101" s="1705"/>
      <c r="P101" s="1705"/>
      <c r="Q101" s="1705"/>
      <c r="R101" s="1705"/>
      <c r="S101" s="1705"/>
      <c r="T101" s="1705"/>
    </row>
    <row r="102" spans="1:20" ht="15.75" customHeight="1">
      <c r="A102" s="1713">
        <f t="shared" si="1"/>
        <v>97</v>
      </c>
      <c r="B102" s="1720" t="str">
        <f>ANALISA!C1936</f>
        <v>Pekerjaan 1 bh Huruf Timbul 9x15 cm, Plat Galvanis + Finish Duco</v>
      </c>
      <c r="C102" s="369" t="str">
        <f>ANALISA!B1936</f>
        <v>Analisa Sendiri</v>
      </c>
      <c r="D102" s="1716">
        <f>ANALISA!G1945</f>
        <v>126569.93999999999</v>
      </c>
      <c r="E102" s="1719">
        <f>ANALISA!I1943</f>
        <v>0.5213275373677515</v>
      </c>
      <c r="F102" s="1705"/>
      <c r="G102" s="1705"/>
      <c r="H102" s="1705"/>
      <c r="I102" s="1705"/>
      <c r="J102" s="1705"/>
      <c r="K102" s="1705"/>
      <c r="L102" s="1705"/>
      <c r="M102" s="1705"/>
      <c r="N102" s="1705"/>
      <c r="O102" s="1705"/>
      <c r="P102" s="1705"/>
      <c r="Q102" s="1705"/>
      <c r="R102" s="1705"/>
      <c r="S102" s="1705"/>
      <c r="T102" s="1705"/>
    </row>
    <row r="103" spans="1:20" ht="15.75" customHeight="1">
      <c r="A103" s="1713">
        <f t="shared" si="1"/>
        <v>98</v>
      </c>
      <c r="B103" s="1720" t="str">
        <f>ANALISA!C1947</f>
        <v>Pekerjaan 1 bh Huruf Timbul 7x10 cm, Plat Galvanis + Finish Duco</v>
      </c>
      <c r="C103" s="369" t="str">
        <f>ANALISA!B1947</f>
        <v>Analisa Sendiri</v>
      </c>
      <c r="D103" s="1716">
        <f>ANALISA!G1956</f>
        <v>89147.75</v>
      </c>
      <c r="E103" s="1719">
        <f>ANALISA!I1954</f>
        <v>0.52272985872766919</v>
      </c>
      <c r="F103" s="1705"/>
      <c r="G103" s="1705"/>
      <c r="H103" s="1705"/>
      <c r="I103" s="1705"/>
      <c r="J103" s="1705"/>
      <c r="K103" s="1705"/>
      <c r="L103" s="1705"/>
      <c r="M103" s="1705"/>
      <c r="N103" s="1705"/>
      <c r="O103" s="1705"/>
      <c r="P103" s="1705"/>
      <c r="Q103" s="1705"/>
      <c r="R103" s="1705"/>
      <c r="S103" s="1705"/>
      <c r="T103" s="1705"/>
    </row>
    <row r="104" spans="1:20" ht="27.75" customHeight="1">
      <c r="A104" s="1713">
        <f t="shared" si="1"/>
        <v>99</v>
      </c>
      <c r="B104" s="1721" t="str">
        <f>ANALISA!C1958</f>
        <v>Pekerjaan 1 m² Listplank Cutting Laser ACP (Aluminium Composite Panel) termasuk rangka hollow</v>
      </c>
      <c r="C104" s="369" t="str">
        <f>ANALISA!B1958</f>
        <v>Analisa Sendiri</v>
      </c>
      <c r="D104" s="1716">
        <f>ANALISA!G1968</f>
        <v>433144.42</v>
      </c>
      <c r="E104" s="1719">
        <f>ANALISA!I1966</f>
        <v>0.5579395336506261</v>
      </c>
      <c r="F104" s="1705"/>
      <c r="G104" s="1705"/>
      <c r="H104" s="1705"/>
      <c r="I104" s="1705"/>
      <c r="J104" s="1705"/>
      <c r="K104" s="1705"/>
      <c r="L104" s="1705"/>
      <c r="M104" s="1705"/>
      <c r="N104" s="1705"/>
      <c r="O104" s="1705"/>
      <c r="P104" s="1705"/>
      <c r="Q104" s="1705"/>
      <c r="R104" s="1705"/>
      <c r="S104" s="1705"/>
      <c r="T104" s="1705"/>
    </row>
    <row r="105" spans="1:20" ht="15.75" customHeight="1">
      <c r="A105" s="1713">
        <f t="shared" si="1"/>
        <v>100</v>
      </c>
      <c r="B105" s="1720" t="str">
        <f>ANALISA!C1970</f>
        <v>Pekerjaan 1 m² Langit - Langit Plafond GRC t = 6 mm, rangka besi hollow galvalum</v>
      </c>
      <c r="C105" s="369" t="str">
        <f>ANALISA!B1970</f>
        <v>A.G</v>
      </c>
      <c r="D105" s="1716">
        <f>ANALISA!G1997</f>
        <v>220349.78</v>
      </c>
      <c r="E105" s="1719">
        <f>ANALISA!I1995</f>
        <v>0.81933979376899968</v>
      </c>
      <c r="F105" s="1705"/>
      <c r="G105" s="1705"/>
      <c r="H105" s="1705"/>
      <c r="I105" s="1705"/>
      <c r="J105" s="1705"/>
      <c r="K105" s="1705"/>
      <c r="L105" s="1705"/>
      <c r="M105" s="1705"/>
      <c r="N105" s="1705"/>
      <c r="O105" s="1705"/>
      <c r="P105" s="1705"/>
      <c r="Q105" s="1705"/>
      <c r="R105" s="1705"/>
      <c r="S105" s="1705"/>
      <c r="T105" s="1705"/>
    </row>
    <row r="106" spans="1:20" ht="15.75" customHeight="1">
      <c r="A106" s="1713">
        <f t="shared" si="1"/>
        <v>101</v>
      </c>
      <c r="B106" s="1720" t="str">
        <f>ANALISA!C1999</f>
        <v>Pekerjaan 1 m² Pemasangan Plafond PVC,  rangka besi hollow galvanis</v>
      </c>
      <c r="C106" s="369" t="str">
        <f>ANALISA!B1999</f>
        <v>A.G</v>
      </c>
      <c r="D106" s="1716">
        <f>ANALISA!G2024</f>
        <v>441205.03</v>
      </c>
      <c r="E106" s="1719">
        <f>ANALISA!I2023</f>
        <v>0.74307768843544153</v>
      </c>
      <c r="F106" s="1705"/>
      <c r="G106" s="1705"/>
      <c r="H106" s="1705"/>
      <c r="I106" s="1705"/>
      <c r="J106" s="1705"/>
      <c r="K106" s="1705"/>
      <c r="L106" s="1705"/>
      <c r="M106" s="1705"/>
      <c r="N106" s="1705"/>
      <c r="O106" s="1705"/>
      <c r="P106" s="1705"/>
      <c r="Q106" s="1705"/>
      <c r="R106" s="1705"/>
      <c r="S106" s="1705"/>
      <c r="T106" s="1705"/>
    </row>
    <row r="107" spans="1:20" ht="15.75" customHeight="1">
      <c r="A107" s="1713">
        <f t="shared" si="1"/>
        <v>102</v>
      </c>
      <c r="B107" s="1720" t="str">
        <f>ANALISA!C2026</f>
        <v>Pekerjaan 1 m² Langit - Langit Plafond Gypsum t = 9 mm,  rangka besi hollow galvanis</v>
      </c>
      <c r="C107" s="369" t="str">
        <f>ANALISA!B2026</f>
        <v>A.G</v>
      </c>
      <c r="D107" s="1716">
        <f>ANALISA!G2053</f>
        <v>254151.64</v>
      </c>
      <c r="E107" s="1719">
        <f>ANALISA!I2051</f>
        <v>0.69630460982632181</v>
      </c>
      <c r="F107" s="1705"/>
      <c r="G107" s="1705"/>
      <c r="H107" s="1705"/>
      <c r="I107" s="1705"/>
      <c r="J107" s="1705"/>
      <c r="K107" s="1705"/>
      <c r="L107" s="1705"/>
      <c r="M107" s="1705"/>
      <c r="N107" s="1705"/>
      <c r="O107" s="1705"/>
      <c r="P107" s="1705"/>
      <c r="Q107" s="1705"/>
      <c r="R107" s="1705"/>
      <c r="S107" s="1705"/>
      <c r="T107" s="1705"/>
    </row>
    <row r="108" spans="1:20" ht="15.75" customHeight="1">
      <c r="A108" s="1713">
        <f t="shared" si="1"/>
        <v>103</v>
      </c>
      <c r="B108" s="1720" t="str">
        <f>ANALISA!C2055</f>
        <v>Pekerjaan 1 m² Langit - Langit Plafond Kalsiboard t = 6 mm, rangka besi hollow galvanis</v>
      </c>
      <c r="C108" s="369" t="str">
        <f>ANALISA!B2055</f>
        <v>A.G</v>
      </c>
      <c r="D108" s="1716">
        <f>ANALISA!G2082</f>
        <v>476450.86</v>
      </c>
      <c r="E108" s="1719">
        <f>ANALISA!I2080</f>
        <v>0.60264326017413439</v>
      </c>
      <c r="F108" s="1705"/>
      <c r="G108" s="1705"/>
      <c r="H108" s="1705"/>
      <c r="I108" s="1705"/>
      <c r="J108" s="1705"/>
      <c r="K108" s="1705"/>
      <c r="L108" s="1705"/>
      <c r="M108" s="1705"/>
      <c r="N108" s="1705"/>
      <c r="O108" s="1705"/>
      <c r="P108" s="1705"/>
      <c r="Q108" s="1705"/>
      <c r="R108" s="1705"/>
      <c r="S108" s="1705"/>
      <c r="T108" s="1705"/>
    </row>
    <row r="109" spans="1:20" ht="15.75" customHeight="1">
      <c r="A109" s="1713">
        <f t="shared" si="1"/>
        <v>104</v>
      </c>
      <c r="B109" s="1720" t="str">
        <f>ANALISA!C2101</f>
        <v>Pekerjaan 1 m¹ Kusen Aluminium 4"</v>
      </c>
      <c r="C109" s="369" t="str">
        <f>ANALISA!B2101</f>
        <v>3.11.3.1</v>
      </c>
      <c r="D109" s="1716">
        <f>ANALISA!G2115</f>
        <v>325586.65000000002</v>
      </c>
      <c r="E109" s="1719">
        <f>ANALISA!I2113</f>
        <v>0.51080124723794296</v>
      </c>
      <c r="F109" s="1705"/>
      <c r="G109" s="1705"/>
      <c r="H109" s="1705"/>
      <c r="I109" s="1705"/>
      <c r="J109" s="1705"/>
      <c r="K109" s="1705"/>
      <c r="L109" s="1705"/>
      <c r="M109" s="1705"/>
      <c r="N109" s="1705"/>
      <c r="O109" s="1705"/>
      <c r="P109" s="1705"/>
      <c r="Q109" s="1705"/>
      <c r="R109" s="1705"/>
      <c r="S109" s="1705"/>
      <c r="T109" s="1705"/>
    </row>
    <row r="110" spans="1:20" ht="15.75" customHeight="1">
      <c r="A110" s="1713">
        <f t="shared" si="1"/>
        <v>105</v>
      </c>
      <c r="B110" s="1720" t="str">
        <f>ANALISA!C2117</f>
        <v>Pekerjaan 1 m³ Kusen Kayu 6/15 Kelas 1</v>
      </c>
      <c r="C110" s="369" t="str">
        <f>ANALISA!B2117</f>
        <v>3.11.3.3</v>
      </c>
      <c r="D110" s="1716">
        <f>ANALISA!G2131</f>
        <v>205502.73</v>
      </c>
      <c r="E110" s="1719">
        <f>ANALISA!I2129</f>
        <v>0.61256348314440334</v>
      </c>
      <c r="F110" s="1705"/>
      <c r="G110" s="1705"/>
      <c r="H110" s="1705"/>
      <c r="I110" s="1705"/>
      <c r="J110" s="1705"/>
      <c r="K110" s="1705"/>
      <c r="L110" s="1705"/>
      <c r="M110" s="1705"/>
      <c r="N110" s="1705"/>
      <c r="O110" s="1705"/>
      <c r="P110" s="1705"/>
      <c r="Q110" s="1705"/>
      <c r="R110" s="1705"/>
      <c r="S110" s="1705"/>
      <c r="T110" s="1705"/>
    </row>
    <row r="111" spans="1:20" ht="15.75" customHeight="1">
      <c r="A111" s="1713">
        <f t="shared" si="1"/>
        <v>106</v>
      </c>
      <c r="B111" s="1720" t="str">
        <f>ANALISA!C2133</f>
        <v>Pekerjaan 1 m² Daun Pintu Kayu</v>
      </c>
      <c r="C111" s="369" t="str">
        <f>ANALISA!B2133</f>
        <v>3.11.1.11</v>
      </c>
      <c r="D111" s="1716">
        <f>ANALISA!G2146</f>
        <v>996957.23</v>
      </c>
      <c r="E111" s="1719">
        <f>ANALISA!I2144</f>
        <v>0.77494835515253746</v>
      </c>
      <c r="F111" s="1705"/>
      <c r="G111" s="1705"/>
      <c r="H111" s="1705"/>
      <c r="I111" s="1705"/>
      <c r="J111" s="1705"/>
      <c r="K111" s="1705"/>
      <c r="L111" s="1705"/>
      <c r="M111" s="1705"/>
      <c r="N111" s="1705"/>
      <c r="O111" s="1705"/>
      <c r="P111" s="1705"/>
      <c r="Q111" s="1705"/>
      <c r="R111" s="1705"/>
      <c r="S111" s="1705"/>
      <c r="T111" s="1705"/>
    </row>
    <row r="112" spans="1:20" ht="15.75" customHeight="1">
      <c r="A112" s="1713">
        <f t="shared" si="1"/>
        <v>107</v>
      </c>
      <c r="B112" s="1720" t="str">
        <f>ANALISA!C2148</f>
        <v>Pekerjaan 1 m² Pembuatan Daun Pintu/Jendela Aluminium tanpa Kaca</v>
      </c>
      <c r="C112" s="369" t="str">
        <f>ANALISA!B2148</f>
        <v>3.11.1.5</v>
      </c>
      <c r="D112" s="1716">
        <f>ANALISA!G2162</f>
        <v>630754.51</v>
      </c>
      <c r="E112" s="1719">
        <f>ANALISA!I2160</f>
        <v>0.5054908281619177</v>
      </c>
      <c r="F112" s="1705"/>
      <c r="G112" s="1705"/>
      <c r="H112" s="1705"/>
      <c r="I112" s="1705"/>
      <c r="J112" s="1705"/>
      <c r="K112" s="1705"/>
      <c r="L112" s="1705"/>
      <c r="M112" s="1705"/>
      <c r="N112" s="1705"/>
      <c r="O112" s="1705"/>
      <c r="P112" s="1705"/>
      <c r="Q112" s="1705"/>
      <c r="R112" s="1705"/>
      <c r="S112" s="1705"/>
      <c r="T112" s="1705"/>
    </row>
    <row r="113" spans="1:20" ht="15.75" customHeight="1">
      <c r="A113" s="1713">
        <f t="shared" si="1"/>
        <v>108</v>
      </c>
      <c r="B113" s="1720" t="str">
        <f>ANALISA!C2164</f>
        <v>Pekerjaan 1 Unit Pintu Aluminium Strip (Spandrel) termasuk Kusen dan Asesoris</v>
      </c>
      <c r="C113" s="369" t="str">
        <f>ANALISA!B2164</f>
        <v>Analisa Sendiri</v>
      </c>
      <c r="D113" s="1716">
        <f>ANALISA!G2173</f>
        <v>624464.06000000006</v>
      </c>
      <c r="E113" s="1719">
        <f>ANALISA!I2171</f>
        <v>0.75538009680334639</v>
      </c>
      <c r="F113" s="1705"/>
      <c r="G113" s="1705"/>
      <c r="H113" s="1705"/>
      <c r="I113" s="1705"/>
      <c r="J113" s="1705"/>
      <c r="K113" s="1705"/>
      <c r="L113" s="1705"/>
      <c r="M113" s="1705"/>
      <c r="N113" s="1705"/>
      <c r="O113" s="1705"/>
      <c r="P113" s="1705"/>
      <c r="Q113" s="1705"/>
      <c r="R113" s="1705"/>
      <c r="S113" s="1705"/>
      <c r="T113" s="1705"/>
    </row>
    <row r="114" spans="1:20" ht="15.75" customHeight="1">
      <c r="A114" s="1713">
        <f t="shared" si="1"/>
        <v>109</v>
      </c>
      <c r="B114" s="1720" t="str">
        <f>ANALISA!C2175</f>
        <v>Pekerjaan 1 m² Pembuatan Daun Pintu Engineering Door</v>
      </c>
      <c r="C114" s="369" t="str">
        <f>ANALISA!B2175</f>
        <v>3.11.1.17</v>
      </c>
      <c r="D114" s="1716">
        <f>ANALISA!G2189</f>
        <v>946154.73</v>
      </c>
      <c r="E114" s="1719">
        <f>ANALISA!I2187</f>
        <v>0.89711030300157646</v>
      </c>
      <c r="F114" s="1705"/>
      <c r="G114" s="1705"/>
      <c r="H114" s="1705"/>
      <c r="I114" s="1705"/>
      <c r="J114" s="1705"/>
      <c r="K114" s="1705"/>
      <c r="L114" s="1705"/>
      <c r="M114" s="1705"/>
      <c r="N114" s="1705"/>
      <c r="O114" s="1705"/>
      <c r="P114" s="1705"/>
      <c r="Q114" s="1705"/>
      <c r="R114" s="1705"/>
      <c r="S114" s="1705"/>
      <c r="T114" s="1705"/>
    </row>
    <row r="115" spans="1:20" ht="15.75" customHeight="1">
      <c r="A115" s="1713">
        <f t="shared" si="1"/>
        <v>110</v>
      </c>
      <c r="B115" s="1720" t="str">
        <f>ANALISA!C2191</f>
        <v>Pekerjaan 1 m² Pembuatan Profil Jalusi Aluminium</v>
      </c>
      <c r="C115" s="369" t="str">
        <f>ANALISA!B2191</f>
        <v>3.13.2</v>
      </c>
      <c r="D115" s="1716">
        <f>ANALISA!G2204</f>
        <v>805443.49</v>
      </c>
      <c r="E115" s="1719">
        <f>ANALISA!I2202</f>
        <v>0.49647402993191092</v>
      </c>
      <c r="F115" s="1705"/>
      <c r="G115" s="1705"/>
      <c r="H115" s="1705"/>
      <c r="I115" s="1705"/>
      <c r="J115" s="1705"/>
      <c r="K115" s="1705"/>
      <c r="L115" s="1705"/>
      <c r="M115" s="1705"/>
      <c r="N115" s="1705"/>
      <c r="O115" s="1705"/>
      <c r="P115" s="1705"/>
      <c r="Q115" s="1705"/>
      <c r="R115" s="1705"/>
      <c r="S115" s="1705"/>
      <c r="T115" s="1705"/>
    </row>
    <row r="116" spans="1:20" ht="15.75" customHeight="1">
      <c r="A116" s="1713">
        <f t="shared" si="1"/>
        <v>111</v>
      </c>
      <c r="B116" s="1720" t="str">
        <f>ANALISA!C2206</f>
        <v>Pekerjaan 1 m² Pembuatan Daun Pintu UPVC 90x210 cm</v>
      </c>
      <c r="C116" s="369" t="str">
        <f>ANALISA!B2206</f>
        <v>Analisa Sendiri</v>
      </c>
      <c r="D116" s="1716">
        <f>ANALISA!G2218</f>
        <v>1877988.81</v>
      </c>
      <c r="E116" s="1719">
        <f>ANALISA!I2217</f>
        <v>0.63316916913060284</v>
      </c>
      <c r="F116" s="1705"/>
      <c r="G116" s="1705"/>
      <c r="H116" s="1705"/>
      <c r="I116" s="1705"/>
      <c r="J116" s="1705"/>
      <c r="K116" s="1705"/>
      <c r="L116" s="1705"/>
      <c r="M116" s="1705"/>
      <c r="N116" s="1705"/>
      <c r="O116" s="1705"/>
      <c r="P116" s="1705"/>
      <c r="Q116" s="1705"/>
      <c r="R116" s="1705"/>
      <c r="S116" s="1705"/>
      <c r="T116" s="1705"/>
    </row>
    <row r="117" spans="1:20" ht="15.75" customHeight="1">
      <c r="A117" s="1713">
        <f t="shared" si="1"/>
        <v>112</v>
      </c>
      <c r="B117" s="1720" t="str">
        <f>ANALISA!C2220</f>
        <v>Pekerjaan 1 m² Pembuatan Pintu Besi</v>
      </c>
      <c r="C117" s="369" t="str">
        <f>ANALISA!B2220</f>
        <v>3.11.1.15</v>
      </c>
      <c r="D117" s="1716">
        <f>ANALISA!G2234</f>
        <v>1257016.3</v>
      </c>
      <c r="E117" s="1719">
        <f>ANALISA!I2232</f>
        <v>0.60044364177269371</v>
      </c>
      <c r="F117" s="1705"/>
      <c r="G117" s="1705"/>
      <c r="H117" s="1705"/>
      <c r="I117" s="1705"/>
      <c r="J117" s="1705"/>
      <c r="K117" s="1705"/>
      <c r="L117" s="1705"/>
      <c r="M117" s="1705"/>
      <c r="N117" s="1705"/>
      <c r="O117" s="1705"/>
      <c r="P117" s="1705"/>
      <c r="Q117" s="1705"/>
      <c r="R117" s="1705"/>
      <c r="S117" s="1705"/>
      <c r="T117" s="1705"/>
    </row>
    <row r="118" spans="1:20" ht="15.75" customHeight="1">
      <c r="A118" s="1713">
        <f t="shared" si="1"/>
        <v>113</v>
      </c>
      <c r="B118" s="1720" t="str">
        <f>ANALISA!C2236</f>
        <v>Pekerjaan 1 m² Pasang Kaca Polos t = 5 mm</v>
      </c>
      <c r="C118" s="369" t="str">
        <f>ANALISA!B2236</f>
        <v>3.12.3</v>
      </c>
      <c r="D118" s="1716">
        <f>ANALISA!G2249</f>
        <v>426579.55</v>
      </c>
      <c r="E118" s="1719">
        <f>ANALISA!I2247</f>
        <v>0.62247086535509499</v>
      </c>
      <c r="F118" s="1705"/>
      <c r="G118" s="1705"/>
      <c r="H118" s="1705"/>
      <c r="I118" s="1705"/>
      <c r="J118" s="1705"/>
      <c r="K118" s="1705"/>
      <c r="L118" s="1705"/>
      <c r="M118" s="1705"/>
      <c r="N118" s="1705"/>
      <c r="O118" s="1705"/>
      <c r="P118" s="1705"/>
      <c r="Q118" s="1705"/>
      <c r="R118" s="1705"/>
      <c r="S118" s="1705"/>
      <c r="T118" s="1705"/>
    </row>
    <row r="119" spans="1:20" ht="15.75" customHeight="1">
      <c r="A119" s="1713">
        <f t="shared" si="1"/>
        <v>114</v>
      </c>
      <c r="B119" s="1720" t="str">
        <f>ANALISA!C2251</f>
        <v>Pekerjaan 1 m² Pasang Kaca Es t = 5 mm</v>
      </c>
      <c r="C119" s="369" t="str">
        <f>ANALISA!B2251</f>
        <v>3.12.3</v>
      </c>
      <c r="D119" s="1716">
        <f>ANALISA!G2264</f>
        <v>435404.45</v>
      </c>
      <c r="E119" s="1719">
        <f>ANALISA!I2262</f>
        <v>0.62206608997130275</v>
      </c>
      <c r="F119" s="1705"/>
      <c r="G119" s="1705"/>
      <c r="H119" s="1705"/>
      <c r="I119" s="1705"/>
      <c r="J119" s="1705"/>
      <c r="K119" s="1705"/>
      <c r="L119" s="1705"/>
      <c r="M119" s="1705"/>
      <c r="N119" s="1705"/>
      <c r="O119" s="1705"/>
      <c r="P119" s="1705"/>
      <c r="Q119" s="1705"/>
      <c r="R119" s="1705"/>
      <c r="S119" s="1705"/>
      <c r="T119" s="1705"/>
    </row>
    <row r="120" spans="1:20" ht="15.75" customHeight="1">
      <c r="A120" s="1713">
        <f t="shared" si="1"/>
        <v>115</v>
      </c>
      <c r="B120" s="1720" t="str">
        <f>ANALISA!C2266</f>
        <v>Pekerjaan 1 m² Pasang Kaca Polos t = 8 mm</v>
      </c>
      <c r="C120" s="369" t="str">
        <f>ANALISA!B2266</f>
        <v>3.12.5</v>
      </c>
      <c r="D120" s="1716">
        <f>ANALISA!G2279</f>
        <v>506053.96</v>
      </c>
      <c r="E120" s="1719">
        <f>ANALISA!I2277</f>
        <v>0.57267954090202799</v>
      </c>
      <c r="F120" s="1705"/>
      <c r="G120" s="1705"/>
      <c r="H120" s="1705"/>
      <c r="I120" s="1705"/>
      <c r="J120" s="1705"/>
      <c r="K120" s="1705"/>
      <c r="L120" s="1705"/>
      <c r="M120" s="1705"/>
      <c r="N120" s="1705"/>
      <c r="O120" s="1705"/>
      <c r="P120" s="1705"/>
      <c r="Q120" s="1705"/>
      <c r="R120" s="1705"/>
      <c r="S120" s="1705"/>
      <c r="T120" s="1705"/>
    </row>
    <row r="121" spans="1:20" ht="15.75" customHeight="1">
      <c r="A121" s="1713">
        <f t="shared" si="1"/>
        <v>116</v>
      </c>
      <c r="B121" s="1720" t="str">
        <f>ANALISA!C2281</f>
        <v>Pekerjaan 1 m² Pasang Kaca Riben t = 8 mm</v>
      </c>
      <c r="C121" s="369" t="str">
        <f>ANALISA!B2281</f>
        <v>3.12.5</v>
      </c>
      <c r="D121" s="1716">
        <f>ANALISA!G2294</f>
        <v>603632.73</v>
      </c>
      <c r="E121" s="1719">
        <f>ANALISA!I2292</f>
        <v>0.58238894722502144</v>
      </c>
      <c r="F121" s="1705"/>
      <c r="G121" s="1705"/>
      <c r="H121" s="1705"/>
      <c r="I121" s="1705"/>
      <c r="J121" s="1705"/>
      <c r="K121" s="1705"/>
      <c r="L121" s="1705"/>
      <c r="M121" s="1705"/>
      <c r="N121" s="1705"/>
      <c r="O121" s="1705"/>
      <c r="P121" s="1705"/>
      <c r="Q121" s="1705"/>
      <c r="R121" s="1705"/>
      <c r="S121" s="1705"/>
      <c r="T121" s="1705"/>
    </row>
    <row r="122" spans="1:20" ht="15.75" customHeight="1">
      <c r="A122" s="1713">
        <f t="shared" si="1"/>
        <v>117</v>
      </c>
      <c r="B122" s="1720" t="str">
        <f>ANALISA!C2296</f>
        <v>Pekerjaan 1 psg Pemasangan Engsel Pintu 4 Inch</v>
      </c>
      <c r="C122" s="369" t="str">
        <f>ANALISA!B2296</f>
        <v>3.11.4.5</v>
      </c>
      <c r="D122" s="1716">
        <f>ANALISA!G2308</f>
        <v>55063.9</v>
      </c>
      <c r="E122" s="1719">
        <f>ANALISA!I2306</f>
        <v>0.87675739355662397</v>
      </c>
      <c r="F122" s="1705"/>
      <c r="G122" s="1705"/>
      <c r="H122" s="1705"/>
      <c r="I122" s="1705"/>
      <c r="J122" s="1705"/>
      <c r="K122" s="1705"/>
      <c r="L122" s="1705"/>
      <c r="M122" s="1705"/>
      <c r="N122" s="1705"/>
      <c r="O122" s="1705"/>
      <c r="P122" s="1705"/>
      <c r="Q122" s="1705"/>
      <c r="R122" s="1705"/>
      <c r="S122" s="1705"/>
      <c r="T122" s="1705"/>
    </row>
    <row r="123" spans="1:20" ht="15.75" customHeight="1">
      <c r="A123" s="1713">
        <f t="shared" si="1"/>
        <v>118</v>
      </c>
      <c r="B123" s="1720" t="str">
        <f>ANALISA!C2310</f>
        <v>Pekerjaan 1 psg Pemasangan Engsel Jendela 3 Inch</v>
      </c>
      <c r="C123" s="369" t="str">
        <f>ANALISA!B2310</f>
        <v>3.11.4.15</v>
      </c>
      <c r="D123" s="1716">
        <f>ANALISA!G2322</f>
        <v>84801.06</v>
      </c>
      <c r="E123" s="1719">
        <f>ANALISA!I2320</f>
        <v>0.82232852192202455</v>
      </c>
      <c r="F123" s="1705"/>
      <c r="G123" s="1705"/>
      <c r="H123" s="1705"/>
      <c r="I123" s="1705"/>
      <c r="J123" s="1705"/>
      <c r="K123" s="1705"/>
      <c r="L123" s="1705"/>
      <c r="M123" s="1705"/>
      <c r="N123" s="1705"/>
      <c r="O123" s="1705"/>
      <c r="P123" s="1705"/>
      <c r="Q123" s="1705"/>
      <c r="R123" s="1705"/>
      <c r="S123" s="1705"/>
      <c r="T123" s="1705"/>
    </row>
    <row r="124" spans="1:20" ht="15.75" customHeight="1">
      <c r="A124" s="1713">
        <f t="shared" si="1"/>
        <v>119</v>
      </c>
      <c r="B124" s="1720" t="str">
        <f>ANALISA!C2324</f>
        <v>Pekerjaan 1 psg Pemasangan Casement</v>
      </c>
      <c r="C124" s="369" t="str">
        <f>ANALISA!B2324</f>
        <v>A.4.6.2.9</v>
      </c>
      <c r="D124" s="1716">
        <f>ANALISA!G2336</f>
        <v>355484.41000000003</v>
      </c>
      <c r="E124" s="1719">
        <f>ANALISA!I2334</f>
        <v>0.79535778752766051</v>
      </c>
      <c r="F124" s="1705"/>
      <c r="G124" s="1705"/>
      <c r="H124" s="1705"/>
      <c r="I124" s="1705"/>
      <c r="J124" s="1705"/>
      <c r="K124" s="1705"/>
      <c r="L124" s="1705"/>
      <c r="M124" s="1705"/>
      <c r="N124" s="1705"/>
      <c r="O124" s="1705"/>
      <c r="P124" s="1705"/>
      <c r="Q124" s="1705"/>
      <c r="R124" s="1705"/>
      <c r="S124" s="1705"/>
      <c r="T124" s="1705"/>
    </row>
    <row r="125" spans="1:20" ht="15.75" customHeight="1">
      <c r="A125" s="1713">
        <f t="shared" si="1"/>
        <v>120</v>
      </c>
      <c r="B125" s="1720" t="str">
        <f>ANALISA!C2338</f>
        <v>Pekerjaan 1 bh Pemasangan Rambuncis</v>
      </c>
      <c r="C125" s="369" t="str">
        <f>ANALISA!B2338</f>
        <v>A.4.6.2.11</v>
      </c>
      <c r="D125" s="1716">
        <f>ANALISA!G2350</f>
        <v>52113.3</v>
      </c>
      <c r="E125" s="1719">
        <f>ANALISA!I2348</f>
        <v>0.91317241842711594</v>
      </c>
      <c r="F125" s="1705"/>
      <c r="G125" s="1705"/>
      <c r="H125" s="1705"/>
      <c r="I125" s="1705"/>
      <c r="J125" s="1705"/>
      <c r="K125" s="1705"/>
      <c r="L125" s="1705"/>
      <c r="M125" s="1705"/>
      <c r="N125" s="1705"/>
      <c r="O125" s="1705"/>
      <c r="P125" s="1705"/>
      <c r="Q125" s="1705"/>
      <c r="R125" s="1705"/>
      <c r="S125" s="1705"/>
      <c r="T125" s="1705"/>
    </row>
    <row r="126" spans="1:20" ht="15.75" customHeight="1">
      <c r="A126" s="1713">
        <f t="shared" si="1"/>
        <v>121</v>
      </c>
      <c r="B126" s="1720" t="str">
        <f>ANALISA!C2352</f>
        <v>Pekerjaan 1 bh Pemasangan Door Closer</v>
      </c>
      <c r="C126" s="369" t="str">
        <f>ANALISA!B2352</f>
        <v>3.11.4.7</v>
      </c>
      <c r="D126" s="1716">
        <f>ANALISA!G2364</f>
        <v>414925.38</v>
      </c>
      <c r="E126" s="1719">
        <f>ANALISA!I2362</f>
        <v>0.82326849184941331</v>
      </c>
      <c r="F126" s="1705"/>
      <c r="G126" s="1705"/>
      <c r="H126" s="1705"/>
      <c r="I126" s="1705"/>
      <c r="J126" s="1705"/>
      <c r="K126" s="1705"/>
      <c r="L126" s="1705"/>
      <c r="M126" s="1705"/>
      <c r="N126" s="1705"/>
      <c r="O126" s="1705"/>
      <c r="P126" s="1705"/>
      <c r="Q126" s="1705"/>
      <c r="R126" s="1705"/>
      <c r="S126" s="1705"/>
      <c r="T126" s="1705"/>
    </row>
    <row r="127" spans="1:20" ht="15.75" customHeight="1">
      <c r="A127" s="1713">
        <f t="shared" si="1"/>
        <v>122</v>
      </c>
      <c r="B127" s="1720" t="str">
        <f>ANALISA!C2366</f>
        <v>Pekerjaan 1 set Pemasangan Sloot Pintu tanam</v>
      </c>
      <c r="C127" s="369" t="str">
        <f>ANALISA!B2366</f>
        <v>3.11.4.14</v>
      </c>
      <c r="D127" s="1716">
        <f>ANALISA!G2378</f>
        <v>82904.789999999994</v>
      </c>
      <c r="E127" s="1719">
        <f>ANALISA!I2376</f>
        <v>0.61567124385539351</v>
      </c>
      <c r="F127" s="1705"/>
      <c r="G127" s="1705"/>
      <c r="H127" s="1705"/>
      <c r="I127" s="1705"/>
      <c r="J127" s="1705"/>
      <c r="K127" s="1705"/>
      <c r="L127" s="1705"/>
      <c r="M127" s="1705"/>
      <c r="N127" s="1705"/>
      <c r="O127" s="1705"/>
      <c r="P127" s="1705"/>
      <c r="Q127" s="1705"/>
      <c r="R127" s="1705"/>
      <c r="S127" s="1705"/>
      <c r="T127" s="1705"/>
    </row>
    <row r="128" spans="1:20" ht="15.75" customHeight="1">
      <c r="A128" s="1713">
        <f t="shared" si="1"/>
        <v>123</v>
      </c>
      <c r="B128" s="1720" t="str">
        <f>ANALISA!C2380</f>
        <v>Pekerjaan 1 set Pemasangan Kunci + Handel Pintu Swing</v>
      </c>
      <c r="C128" s="369" t="str">
        <f>ANALISA!B2380</f>
        <v>3.11.4.1</v>
      </c>
      <c r="D128" s="1716">
        <f>ANALISA!G2392</f>
        <v>926866.77</v>
      </c>
      <c r="E128" s="1719">
        <f>ANALISA!I2390</f>
        <v>0.80360279341310814</v>
      </c>
      <c r="F128" s="1705"/>
      <c r="G128" s="1705"/>
      <c r="H128" s="1705"/>
      <c r="I128" s="1705"/>
      <c r="J128" s="1705"/>
      <c r="K128" s="1705"/>
      <c r="L128" s="1705"/>
      <c r="M128" s="1705"/>
      <c r="N128" s="1705"/>
      <c r="O128" s="1705"/>
      <c r="P128" s="1705"/>
      <c r="Q128" s="1705"/>
      <c r="R128" s="1705"/>
      <c r="S128" s="1705"/>
      <c r="T128" s="1705"/>
    </row>
    <row r="129" spans="1:20" ht="15.75" customHeight="1">
      <c r="A129" s="1713">
        <f t="shared" si="1"/>
        <v>124</v>
      </c>
      <c r="B129" s="1720" t="str">
        <f>ANALISA!C2394</f>
        <v>Pekerjaan 1 m² Rolling Door Aluminium t = 0,6 mm</v>
      </c>
      <c r="C129" s="369" t="str">
        <f>ANALISA!B2394</f>
        <v>3.11.1.2</v>
      </c>
      <c r="D129" s="1716">
        <f>ANALISA!G2408</f>
        <v>809530.76</v>
      </c>
      <c r="E129" s="1719">
        <f>ANALISA!I2406</f>
        <v>0.92829559819252805</v>
      </c>
      <c r="F129" s="1705"/>
      <c r="G129" s="1705"/>
      <c r="H129" s="1705"/>
      <c r="I129" s="1705"/>
      <c r="J129" s="1705"/>
      <c r="K129" s="1705"/>
      <c r="L129" s="1705"/>
      <c r="M129" s="1705"/>
      <c r="N129" s="1705"/>
      <c r="O129" s="1705"/>
      <c r="P129" s="1705"/>
      <c r="Q129" s="1705"/>
      <c r="R129" s="1705"/>
      <c r="S129" s="1705"/>
      <c r="T129" s="1705"/>
    </row>
    <row r="130" spans="1:20" ht="15.75" customHeight="1">
      <c r="A130" s="1713">
        <f t="shared" si="1"/>
        <v>125</v>
      </c>
      <c r="B130" s="1720" t="str">
        <f>ANALISA!C2410</f>
        <v>Pekerjaan 1 unit Pengadaan dan Pemasangan Pintu Besi 220 x 250 cm</v>
      </c>
      <c r="C130" s="369" t="str">
        <f>ANALISA!B2410</f>
        <v>Analisa Sendiri</v>
      </c>
      <c r="D130" s="1716">
        <f>ANALISA!G2421</f>
        <v>11670590.84</v>
      </c>
      <c r="E130" s="1719">
        <f>ANALISA!I2419</f>
        <v>0.3399235075524954</v>
      </c>
      <c r="F130" s="1705"/>
      <c r="G130" s="1705"/>
      <c r="H130" s="1705"/>
      <c r="I130" s="1705"/>
      <c r="J130" s="1705"/>
      <c r="K130" s="1705"/>
      <c r="L130" s="1705"/>
      <c r="M130" s="1705"/>
      <c r="N130" s="1705"/>
      <c r="O130" s="1705"/>
      <c r="P130" s="1705"/>
      <c r="Q130" s="1705"/>
      <c r="R130" s="1705"/>
      <c r="S130" s="1705"/>
      <c r="T130" s="1705"/>
    </row>
    <row r="131" spans="1:20" ht="15.75" customHeight="1">
      <c r="A131" s="1713">
        <f t="shared" si="1"/>
        <v>126</v>
      </c>
      <c r="B131" s="1720" t="str">
        <f>ANALISA!C2423</f>
        <v>Pekerjaan 1 bh Jendela Jalusi Aluminium 50 x 200 cm</v>
      </c>
      <c r="C131" s="369" t="str">
        <f>ANALISA!B2423</f>
        <v>3.11.3.7</v>
      </c>
      <c r="D131" s="1716">
        <f>ANALISA!G2434</f>
        <v>4061172.0399999996</v>
      </c>
      <c r="E131" s="1719">
        <f>ANALISA!I2432</f>
        <v>0.36414378756416688</v>
      </c>
      <c r="F131" s="1705"/>
      <c r="G131" s="1705"/>
      <c r="H131" s="1705"/>
      <c r="I131" s="1705"/>
      <c r="J131" s="1705"/>
      <c r="K131" s="1705"/>
      <c r="L131" s="1705"/>
      <c r="M131" s="1705"/>
      <c r="N131" s="1705"/>
      <c r="O131" s="1705"/>
      <c r="P131" s="1705"/>
      <c r="Q131" s="1705"/>
      <c r="R131" s="1705"/>
      <c r="S131" s="1705"/>
      <c r="T131" s="1705"/>
    </row>
    <row r="132" spans="1:20" ht="27.75" customHeight="1">
      <c r="A132" s="1713">
        <f t="shared" si="1"/>
        <v>127</v>
      </c>
      <c r="B132" s="1721" t="str">
        <f>ANALISA!C2436</f>
        <v>Pekerjaan 1 m² Pagar BRC Galvanis BRC P = 2,4, T = 120 cm, Ø 7 mm tmsk asesoris dan Tiang Pagar BRC Ø 2 Inch, T = 1,5 m</v>
      </c>
      <c r="C132" s="369" t="str">
        <f>ANALISA!B2436</f>
        <v>Analisa Sendiri</v>
      </c>
      <c r="D132" s="1716">
        <f>ANALISA!G2448</f>
        <v>440187.41000000003</v>
      </c>
      <c r="E132" s="1719">
        <f>ANALISA!I2446</f>
        <v>0.35845616363128907</v>
      </c>
      <c r="F132" s="1705"/>
      <c r="G132" s="1705"/>
      <c r="H132" s="1705"/>
      <c r="I132" s="1705"/>
      <c r="J132" s="1705"/>
      <c r="K132" s="1705"/>
      <c r="L132" s="1705"/>
      <c r="M132" s="1705"/>
      <c r="N132" s="1705"/>
      <c r="O132" s="1705"/>
      <c r="P132" s="1705"/>
      <c r="Q132" s="1705"/>
      <c r="R132" s="1705"/>
      <c r="S132" s="1705"/>
      <c r="T132" s="1705"/>
    </row>
    <row r="133" spans="1:20" ht="15.75" customHeight="1">
      <c r="A133" s="1713">
        <f t="shared" si="1"/>
        <v>128</v>
      </c>
      <c r="B133" s="1720" t="str">
        <f>ANALISA!C2450</f>
        <v>Pekerjaan 1 titik Instalasi Penerangan Kabel NYM 2 x 1½ mm²</v>
      </c>
      <c r="C133" s="369" t="str">
        <f>ANALISA!B2450</f>
        <v>5.3.1.1</v>
      </c>
      <c r="D133" s="1716">
        <f>ANALISA!G2471</f>
        <v>479653.13</v>
      </c>
      <c r="E133" s="1719">
        <f>ANALISA!I2469</f>
        <v>0.91588636353681441</v>
      </c>
      <c r="F133" s="1705"/>
      <c r="G133" s="1705"/>
      <c r="H133" s="1705"/>
      <c r="I133" s="1705"/>
      <c r="J133" s="1705"/>
      <c r="K133" s="1705"/>
      <c r="L133" s="1705"/>
      <c r="M133" s="1705"/>
      <c r="N133" s="1705"/>
      <c r="O133" s="1705"/>
      <c r="P133" s="1705"/>
      <c r="Q133" s="1705"/>
      <c r="R133" s="1705"/>
      <c r="S133" s="1705"/>
      <c r="T133" s="1705"/>
    </row>
    <row r="134" spans="1:20" ht="15.75" customHeight="1">
      <c r="A134" s="1713">
        <f t="shared" si="1"/>
        <v>129</v>
      </c>
      <c r="B134" s="1720" t="str">
        <f>ANALISA!C2473</f>
        <v>Pekerjaan 1 titik Instalasi Penerangan Kabel NYY 2 x 1½ mm²</v>
      </c>
      <c r="C134" s="369" t="str">
        <f>ANALISA!B2473</f>
        <v>5.3.1.1</v>
      </c>
      <c r="D134" s="1716">
        <f>ANALISA!G2494</f>
        <v>481667.92</v>
      </c>
      <c r="E134" s="1719">
        <f>ANALISA!I2492</f>
        <v>0.91604495422468624</v>
      </c>
      <c r="F134" s="1705"/>
      <c r="G134" s="1705"/>
      <c r="H134" s="1705"/>
      <c r="I134" s="1705"/>
      <c r="J134" s="1705"/>
      <c r="K134" s="1705"/>
      <c r="L134" s="1705"/>
      <c r="M134" s="1705"/>
      <c r="N134" s="1705"/>
      <c r="O134" s="1705"/>
      <c r="P134" s="1705"/>
      <c r="Q134" s="1705"/>
      <c r="R134" s="1705"/>
      <c r="S134" s="1705"/>
      <c r="T134" s="1705"/>
    </row>
    <row r="135" spans="1:20" ht="15.75" customHeight="1">
      <c r="A135" s="1713">
        <f t="shared" ref="A135:A198" si="2">A134+1</f>
        <v>130</v>
      </c>
      <c r="B135" s="1720" t="str">
        <f>ANALISA!C2496</f>
        <v>Pekerjaan 1 titik Instalasi Penerangan Kabel NYY 4 x 2 ½ mm²</v>
      </c>
      <c r="C135" s="369" t="str">
        <f>ANALISA!B2496</f>
        <v>5.3.1.1</v>
      </c>
      <c r="D135" s="1716">
        <f>ANALISA!G2517</f>
        <v>801647.34</v>
      </c>
      <c r="E135" s="1719">
        <f>ANALISA!I2515</f>
        <v>0.93111496965245977</v>
      </c>
      <c r="F135" s="1705"/>
      <c r="G135" s="1705"/>
      <c r="H135" s="1705"/>
      <c r="I135" s="1705"/>
      <c r="J135" s="1705"/>
      <c r="K135" s="1705"/>
      <c r="L135" s="1705"/>
      <c r="M135" s="1705"/>
      <c r="N135" s="1705"/>
      <c r="O135" s="1705"/>
      <c r="P135" s="1705"/>
      <c r="Q135" s="1705"/>
      <c r="R135" s="1705"/>
      <c r="S135" s="1705"/>
      <c r="T135" s="1705"/>
    </row>
    <row r="136" spans="1:20" ht="15.75" customHeight="1">
      <c r="A136" s="1713">
        <f t="shared" si="2"/>
        <v>131</v>
      </c>
      <c r="B136" s="1720" t="str">
        <f>ANALISA!C2519</f>
        <v>Pekerjaan 1 m Tarik Kabel NYY 4 x 2 ½ mm²</v>
      </c>
      <c r="C136" s="369" t="str">
        <f>ANALISA!B2519</f>
        <v>Analisa Sendiri</v>
      </c>
      <c r="D136" s="1716">
        <f>ANALISA!G2533</f>
        <v>241701.25</v>
      </c>
      <c r="E136" s="1719">
        <f>ANALISA!I2531</f>
        <v>0.91482135053655922</v>
      </c>
      <c r="F136" s="1705"/>
      <c r="G136" s="1705"/>
      <c r="H136" s="1705"/>
      <c r="I136" s="1705"/>
      <c r="J136" s="1705"/>
      <c r="K136" s="1705"/>
      <c r="L136" s="1705"/>
      <c r="M136" s="1705"/>
      <c r="N136" s="1705"/>
      <c r="O136" s="1705"/>
      <c r="P136" s="1705"/>
      <c r="Q136" s="1705"/>
      <c r="R136" s="1705"/>
      <c r="S136" s="1705"/>
      <c r="T136" s="1705"/>
    </row>
    <row r="137" spans="1:20" ht="15.75" customHeight="1">
      <c r="A137" s="1713">
        <f t="shared" si="2"/>
        <v>132</v>
      </c>
      <c r="B137" s="1720" t="str">
        <f>ANALISA!C2535</f>
        <v>Pekerjaan 1 m Tarik Kabel NYY 4 x 6 mm²</v>
      </c>
      <c r="C137" s="369" t="str">
        <f>ANALISA!B2535</f>
        <v>Analisa Sendiri</v>
      </c>
      <c r="D137" s="1716">
        <f>ANALISA!G2549</f>
        <v>290370.01</v>
      </c>
      <c r="E137" s="1719">
        <f>ANALISA!I2547</f>
        <v>0.92244397316715809</v>
      </c>
      <c r="F137" s="1705"/>
      <c r="G137" s="1705"/>
      <c r="H137" s="1705"/>
      <c r="I137" s="1705"/>
      <c r="J137" s="1705"/>
      <c r="K137" s="1705"/>
      <c r="L137" s="1705"/>
      <c r="M137" s="1705"/>
      <c r="N137" s="1705"/>
      <c r="O137" s="1705"/>
      <c r="P137" s="1705"/>
      <c r="Q137" s="1705"/>
      <c r="R137" s="1705"/>
      <c r="S137" s="1705"/>
      <c r="T137" s="1705"/>
    </row>
    <row r="138" spans="1:20" ht="15.75" customHeight="1">
      <c r="A138" s="1713">
        <f t="shared" si="2"/>
        <v>133</v>
      </c>
      <c r="B138" s="1720" t="str">
        <f>ANALISA!C2551</f>
        <v>Pekerjaan 1 m tarik Kabel NYYHY 3 x 1 ½ mm²</v>
      </c>
      <c r="C138" s="369" t="str">
        <f>ANALISA!B2551</f>
        <v>Analisa Sendiri</v>
      </c>
      <c r="D138" s="1716">
        <f>ANALISA!G2560</f>
        <v>35400.75</v>
      </c>
      <c r="E138" s="1719">
        <f>ANALISA!I2558</f>
        <v>0.96958107763053936</v>
      </c>
      <c r="F138" s="1705"/>
      <c r="G138" s="1705"/>
      <c r="H138" s="1705"/>
      <c r="I138" s="1705"/>
      <c r="J138" s="1705"/>
      <c r="K138" s="1705"/>
      <c r="L138" s="1705"/>
      <c r="M138" s="1705"/>
      <c r="N138" s="1705"/>
      <c r="O138" s="1705"/>
      <c r="P138" s="1705"/>
      <c r="Q138" s="1705"/>
      <c r="R138" s="1705"/>
      <c r="S138" s="1705"/>
      <c r="T138" s="1705"/>
    </row>
    <row r="139" spans="1:20" ht="15.75" customHeight="1">
      <c r="A139" s="1713">
        <f t="shared" si="2"/>
        <v>134</v>
      </c>
      <c r="B139" s="1720" t="str">
        <f>ANALISA!C2562</f>
        <v>Pekerjaan 1 m tarik Kabel NYYHY 3 x 2 ½ mm²</v>
      </c>
      <c r="C139" s="369" t="str">
        <f>ANALISA!B2562</f>
        <v>Analisa Sendiri</v>
      </c>
      <c r="D139" s="1716">
        <f>ANALISA!G2571</f>
        <v>46861.62</v>
      </c>
      <c r="E139" s="1719">
        <f>ANALISA!I2569</f>
        <v>0.96717589534820658</v>
      </c>
      <c r="F139" s="1705"/>
      <c r="G139" s="1705"/>
      <c r="H139" s="1705"/>
      <c r="I139" s="1705"/>
      <c r="J139" s="1705"/>
      <c r="K139" s="1705"/>
      <c r="L139" s="1705"/>
      <c r="M139" s="1705"/>
      <c r="N139" s="1705"/>
      <c r="O139" s="1705"/>
      <c r="P139" s="1705"/>
      <c r="Q139" s="1705"/>
      <c r="R139" s="1705"/>
      <c r="S139" s="1705"/>
      <c r="T139" s="1705"/>
    </row>
    <row r="140" spans="1:20" ht="15.75" customHeight="1">
      <c r="A140" s="1713">
        <f t="shared" si="2"/>
        <v>135</v>
      </c>
      <c r="B140" s="1720" t="str">
        <f>ANALISA!C2573</f>
        <v>Pekerjaan 1 titik Instalasi Stop Kontak Kabel NYM 2 x 2½ mm²</v>
      </c>
      <c r="C140" s="369" t="str">
        <f>ANALISA!B2573</f>
        <v>5.1.5.13</v>
      </c>
      <c r="D140" s="1716">
        <f>ANALISA!G2593</f>
        <v>695238.63</v>
      </c>
      <c r="E140" s="1719">
        <f>ANALISA!I2591</f>
        <v>0.93044906503848024</v>
      </c>
      <c r="F140" s="1705"/>
      <c r="G140" s="1705"/>
      <c r="H140" s="1705"/>
      <c r="I140" s="1705"/>
      <c r="J140" s="1705"/>
      <c r="K140" s="1705"/>
      <c r="L140" s="1705"/>
      <c r="M140" s="1705"/>
      <c r="N140" s="1705"/>
      <c r="O140" s="1705"/>
      <c r="P140" s="1705"/>
      <c r="Q140" s="1705"/>
      <c r="R140" s="1705"/>
      <c r="S140" s="1705"/>
      <c r="T140" s="1705"/>
    </row>
    <row r="141" spans="1:20" ht="15.75" customHeight="1">
      <c r="A141" s="1713">
        <f t="shared" si="2"/>
        <v>136</v>
      </c>
      <c r="B141" s="1720" t="str">
        <f>ANALISA!C2595</f>
        <v>Pekerjaan 1 titik Instalasi Stop Kontak Kabel NYY 3 x 2 ½ mm²</v>
      </c>
      <c r="C141" s="369" t="str">
        <f>ANALISA!B2595</f>
        <v>5.1.5.13</v>
      </c>
      <c r="D141" s="1716">
        <f>ANALISA!G2615</f>
        <v>818891.58</v>
      </c>
      <c r="E141" s="1719">
        <f>ANALISA!I2613</f>
        <v>0.92988446212692499</v>
      </c>
      <c r="F141" s="1705"/>
      <c r="G141" s="1705"/>
      <c r="H141" s="1705"/>
      <c r="I141" s="1705"/>
      <c r="J141" s="1705"/>
      <c r="K141" s="1705"/>
      <c r="L141" s="1705"/>
      <c r="M141" s="1705"/>
      <c r="N141" s="1705"/>
      <c r="O141" s="1705"/>
      <c r="P141" s="1705"/>
      <c r="Q141" s="1705"/>
      <c r="R141" s="1705"/>
      <c r="S141" s="1705"/>
      <c r="T141" s="1705"/>
    </row>
    <row r="142" spans="1:20" ht="15.75" customHeight="1">
      <c r="A142" s="1713">
        <f t="shared" si="2"/>
        <v>137</v>
      </c>
      <c r="B142" s="1720" t="str">
        <f>ANALISA!C2617</f>
        <v>Pekerjaan 1 titik Instalasi TV</v>
      </c>
      <c r="C142" s="369" t="str">
        <f>ANALISA!B2617</f>
        <v>5.4.6.1</v>
      </c>
      <c r="D142" s="1716">
        <f>ANALISA!G2634</f>
        <v>68743003.829999998</v>
      </c>
      <c r="E142" s="1719">
        <f>ANALISA!I2632</f>
        <v>0.95324104520373965</v>
      </c>
      <c r="F142" s="1705"/>
      <c r="G142" s="1705"/>
      <c r="H142" s="1705"/>
      <c r="I142" s="1705"/>
      <c r="J142" s="1705"/>
      <c r="K142" s="1705"/>
      <c r="L142" s="1705"/>
      <c r="M142" s="1705"/>
      <c r="N142" s="1705"/>
      <c r="O142" s="1705"/>
      <c r="P142" s="1705"/>
      <c r="Q142" s="1705"/>
      <c r="R142" s="1705"/>
      <c r="S142" s="1705"/>
      <c r="T142" s="1705"/>
    </row>
    <row r="143" spans="1:20" ht="15.75" customHeight="1">
      <c r="A143" s="1713">
        <f t="shared" si="2"/>
        <v>138</v>
      </c>
      <c r="B143" s="1720" t="str">
        <f>ANALISA!C2636</f>
        <v>Pekerjaan 1 bh Saklar Tunggal ex.Panasonic/setara</v>
      </c>
      <c r="C143" s="369" t="str">
        <f>ANALISA!B2636</f>
        <v>5.1.5.1</v>
      </c>
      <c r="D143" s="1716">
        <f>ANALISA!G2648</f>
        <v>47082.47</v>
      </c>
      <c r="E143" s="1719">
        <f>ANALISA!I2646</f>
        <v>0.49061460948946001</v>
      </c>
      <c r="F143" s="1705"/>
      <c r="G143" s="1705"/>
      <c r="H143" s="1705"/>
      <c r="I143" s="1705"/>
      <c r="J143" s="1705"/>
      <c r="K143" s="1705"/>
      <c r="L143" s="1705"/>
      <c r="M143" s="1705"/>
      <c r="N143" s="1705"/>
      <c r="O143" s="1705"/>
      <c r="P143" s="1705"/>
      <c r="Q143" s="1705"/>
      <c r="R143" s="1705"/>
      <c r="S143" s="1705"/>
      <c r="T143" s="1705"/>
    </row>
    <row r="144" spans="1:20" ht="15.75" customHeight="1">
      <c r="A144" s="1713">
        <f t="shared" si="2"/>
        <v>139</v>
      </c>
      <c r="B144" s="1720" t="str">
        <f>ANALISA!C2650</f>
        <v>Pekerjaan 1 bh Saklar Dobel ex.Panasonic/setara</v>
      </c>
      <c r="C144" s="369" t="str">
        <f>ANALISA!B2650</f>
        <v>5.1.5.2</v>
      </c>
      <c r="D144" s="1716">
        <f>ANALISA!G2662</f>
        <v>67408.72</v>
      </c>
      <c r="E144" s="1719">
        <f>ANALISA!I2660</f>
        <v>0.44257529891153474</v>
      </c>
      <c r="F144" s="1705"/>
      <c r="G144" s="1705"/>
      <c r="H144" s="1705"/>
      <c r="I144" s="1705"/>
      <c r="J144" s="1705"/>
      <c r="K144" s="1705"/>
      <c r="L144" s="1705"/>
      <c r="M144" s="1705"/>
      <c r="N144" s="1705"/>
      <c r="O144" s="1705"/>
      <c r="P144" s="1705"/>
      <c r="Q144" s="1705"/>
      <c r="R144" s="1705"/>
      <c r="S144" s="1705"/>
      <c r="T144" s="1705"/>
    </row>
    <row r="145" spans="1:20" ht="15.75" customHeight="1">
      <c r="A145" s="1713">
        <f t="shared" si="2"/>
        <v>140</v>
      </c>
      <c r="B145" s="1720" t="str">
        <f>ANALISA!C2664</f>
        <v>Pekerjaan 1 bh Stop Kontak 200 W, ex.Panasonic/setara</v>
      </c>
      <c r="C145" s="369" t="str">
        <f>ANALISA!B2664</f>
        <v>5.1.5.9</v>
      </c>
      <c r="D145" s="1716">
        <f>ANALISA!G2676</f>
        <v>89074.98</v>
      </c>
      <c r="E145" s="1719">
        <f>ANALISA!I2674</f>
        <v>0.40149817836119117</v>
      </c>
      <c r="F145" s="1705"/>
      <c r="G145" s="1705"/>
      <c r="H145" s="1705"/>
      <c r="I145" s="1705"/>
      <c r="J145" s="1705"/>
      <c r="K145" s="1705"/>
      <c r="L145" s="1705"/>
      <c r="M145" s="1705"/>
      <c r="N145" s="1705"/>
      <c r="O145" s="1705"/>
      <c r="P145" s="1705"/>
      <c r="Q145" s="1705"/>
      <c r="R145" s="1705"/>
      <c r="S145" s="1705"/>
      <c r="T145" s="1705"/>
    </row>
    <row r="146" spans="1:20" ht="15.75" customHeight="1">
      <c r="A146" s="1713">
        <f t="shared" si="2"/>
        <v>141</v>
      </c>
      <c r="B146" s="1720" t="str">
        <f>ANALISA!C2678</f>
        <v>Pekerjaan 1 bh Stop Kontak AC, ex.Panasonic/setara</v>
      </c>
      <c r="C146" s="369" t="str">
        <f>ANALISA!B2678</f>
        <v>5.1.5.12</v>
      </c>
      <c r="D146" s="1716">
        <f>ANALISA!G2690</f>
        <v>127177.11</v>
      </c>
      <c r="E146" s="1719">
        <f>ANALISA!I2688</f>
        <v>0.4033980206885926</v>
      </c>
      <c r="F146" s="1705"/>
      <c r="G146" s="1705"/>
      <c r="H146" s="1705"/>
      <c r="I146" s="1705"/>
      <c r="J146" s="1705"/>
      <c r="K146" s="1705"/>
      <c r="L146" s="1705"/>
      <c r="M146" s="1705"/>
      <c r="N146" s="1705"/>
      <c r="O146" s="1705"/>
      <c r="P146" s="1705"/>
      <c r="Q146" s="1705"/>
      <c r="R146" s="1705"/>
      <c r="S146" s="1705"/>
      <c r="T146" s="1705"/>
    </row>
    <row r="147" spans="1:20" ht="15.75" customHeight="1">
      <c r="A147" s="1713">
        <f t="shared" si="2"/>
        <v>142</v>
      </c>
      <c r="B147" s="1720" t="str">
        <f>ANALISA!C2692</f>
        <v>Pekerjaan 1 bh Stop Kontak Antena, ex.Panasonic/setara</v>
      </c>
      <c r="C147" s="369" t="str">
        <f>ANALISA!B2692</f>
        <v>5.1.5.12</v>
      </c>
      <c r="D147" s="1716">
        <f>ANALISA!G2704</f>
        <v>78780.349999999991</v>
      </c>
      <c r="E147" s="1719">
        <f>ANALISA!I2702</f>
        <v>0.44768966406087241</v>
      </c>
      <c r="F147" s="1705"/>
      <c r="G147" s="1705"/>
      <c r="H147" s="1705"/>
      <c r="I147" s="1705"/>
      <c r="J147" s="1705"/>
      <c r="K147" s="1705"/>
      <c r="L147" s="1705"/>
      <c r="M147" s="1705"/>
      <c r="N147" s="1705"/>
      <c r="O147" s="1705"/>
      <c r="P147" s="1705"/>
      <c r="Q147" s="1705"/>
      <c r="R147" s="1705"/>
      <c r="S147" s="1705"/>
      <c r="T147" s="1705"/>
    </row>
    <row r="148" spans="1:20" ht="15.75" customHeight="1">
      <c r="A148" s="1713">
        <f t="shared" si="2"/>
        <v>143</v>
      </c>
      <c r="B148" s="1720" t="str">
        <f>ANALISA!C2706</f>
        <v>Pekerjaan 1 bh Pemasangan Downlight 5 Inch + Lampu SL 9 Watt LED</v>
      </c>
      <c r="C148" s="369" t="str">
        <f>ANALISA!B2706</f>
        <v>5.3.1.3</v>
      </c>
      <c r="D148" s="1716">
        <f>ANALISA!G2719</f>
        <v>142838.90000000002</v>
      </c>
      <c r="E148" s="1719">
        <f>ANALISA!I2717</f>
        <v>0.7858283388599171</v>
      </c>
      <c r="F148" s="1705"/>
      <c r="G148" s="1705"/>
      <c r="H148" s="1705"/>
      <c r="I148" s="1705"/>
      <c r="J148" s="1705"/>
      <c r="K148" s="1705"/>
      <c r="L148" s="1705"/>
      <c r="M148" s="1705"/>
      <c r="N148" s="1705"/>
      <c r="O148" s="1705"/>
      <c r="P148" s="1705"/>
      <c r="Q148" s="1705"/>
      <c r="R148" s="1705"/>
      <c r="S148" s="1705"/>
      <c r="T148" s="1705"/>
    </row>
    <row r="149" spans="1:20" ht="15.75" customHeight="1">
      <c r="A149" s="1713">
        <f t="shared" si="2"/>
        <v>144</v>
      </c>
      <c r="B149" s="1720" t="str">
        <f>ANALISA!C2721</f>
        <v>Pekerjaan 1 bh Pemasangan Downlight 6 Inch + Lampu SL 18 Watt LED</v>
      </c>
      <c r="C149" s="369" t="str">
        <f>ANALISA!B2721</f>
        <v>5.3.1.3</v>
      </c>
      <c r="D149" s="1716">
        <f>ANALISA!G2734</f>
        <v>185632.47</v>
      </c>
      <c r="E149" s="1719">
        <f>ANALISA!I2732</f>
        <v>0.77010924716704032</v>
      </c>
      <c r="F149" s="1705"/>
      <c r="G149" s="1705"/>
      <c r="H149" s="1705"/>
      <c r="I149" s="1705"/>
      <c r="J149" s="1705"/>
      <c r="K149" s="1705"/>
      <c r="L149" s="1705"/>
      <c r="M149" s="1705"/>
      <c r="N149" s="1705"/>
      <c r="O149" s="1705"/>
      <c r="P149" s="1705"/>
      <c r="Q149" s="1705"/>
      <c r="R149" s="1705"/>
      <c r="S149" s="1705"/>
      <c r="T149" s="1705"/>
    </row>
    <row r="150" spans="1:20" ht="15.75" customHeight="1">
      <c r="A150" s="1713">
        <f t="shared" si="2"/>
        <v>145</v>
      </c>
      <c r="B150" s="1720" t="str">
        <f>ANALISA!C2736</f>
        <v>Pekerjaan 1 bh Pemasangan RM TKI + Lampu TL 2x LED 18 Watt</v>
      </c>
      <c r="C150" s="369" t="str">
        <f>ANALISA!B2736</f>
        <v>5.3.1.8</v>
      </c>
      <c r="D150" s="1716">
        <f>ANALISA!G2748</f>
        <v>391196.47000000003</v>
      </c>
      <c r="E150" s="1719">
        <f>ANALISA!I2746</f>
        <v>0.47799208362239543</v>
      </c>
      <c r="F150" s="1705"/>
      <c r="G150" s="1705"/>
      <c r="H150" s="1705"/>
      <c r="I150" s="1705"/>
      <c r="J150" s="1705"/>
      <c r="K150" s="1705"/>
      <c r="L150" s="1705"/>
      <c r="M150" s="1705"/>
      <c r="N150" s="1705"/>
      <c r="O150" s="1705"/>
      <c r="P150" s="1705"/>
      <c r="Q150" s="1705"/>
      <c r="R150" s="1705"/>
      <c r="S150" s="1705"/>
      <c r="T150" s="1705"/>
    </row>
    <row r="151" spans="1:20" ht="15.75" customHeight="1">
      <c r="A151" s="1713">
        <f t="shared" si="2"/>
        <v>146</v>
      </c>
      <c r="B151" s="1720"/>
      <c r="C151" s="369"/>
      <c r="D151" s="1716"/>
      <c r="E151" s="1719"/>
      <c r="F151" s="1705"/>
      <c r="G151" s="1705"/>
      <c r="H151" s="1705"/>
      <c r="I151" s="1705"/>
      <c r="J151" s="1705"/>
      <c r="K151" s="1705"/>
      <c r="L151" s="1705"/>
      <c r="M151" s="1705"/>
      <c r="N151" s="1705"/>
      <c r="O151" s="1705"/>
      <c r="P151" s="1705"/>
      <c r="Q151" s="1705"/>
      <c r="R151" s="1705"/>
      <c r="S151" s="1705"/>
      <c r="T151" s="1705"/>
    </row>
    <row r="152" spans="1:20" ht="15.75" customHeight="1">
      <c r="A152" s="1713">
        <f t="shared" si="2"/>
        <v>147</v>
      </c>
      <c r="B152" s="1720" t="str">
        <f>ANALISA!C2750</f>
        <v>Pekerjaan 1 bh Pasang Kipas Angin Plafond 52 Inch ex.SOVE</v>
      </c>
      <c r="C152" s="369" t="str">
        <f>ANALISA!B2750</f>
        <v>5.3.1.8</v>
      </c>
      <c r="D152" s="1716">
        <f>ANALISA!G2762</f>
        <v>1177526.19</v>
      </c>
      <c r="E152" s="1719">
        <f>ANALISA!I2760</f>
        <v>0.42362627876803371</v>
      </c>
      <c r="F152" s="1705"/>
      <c r="G152" s="1705"/>
      <c r="H152" s="1705"/>
      <c r="I152" s="1705"/>
      <c r="J152" s="1705"/>
      <c r="K152" s="1705"/>
      <c r="L152" s="1705"/>
      <c r="M152" s="1705"/>
      <c r="N152" s="1705"/>
      <c r="O152" s="1705"/>
      <c r="P152" s="1705"/>
      <c r="Q152" s="1705"/>
      <c r="R152" s="1705"/>
      <c r="S152" s="1705"/>
      <c r="T152" s="1705"/>
    </row>
    <row r="153" spans="1:20" ht="15.75" customHeight="1">
      <c r="A153" s="1713">
        <f t="shared" si="2"/>
        <v>148</v>
      </c>
      <c r="B153" s="1720" t="str">
        <f>ANALISA!C2764</f>
        <v>Pekerjaan 1 bh Pemasangan Exhaust Fan 12 Inch</v>
      </c>
      <c r="C153" s="369" t="str">
        <f>ANALISA!B2764</f>
        <v>Analisa Sendiri</v>
      </c>
      <c r="D153" s="1716">
        <f>ANALISA!G2773</f>
        <v>1066787.56</v>
      </c>
      <c r="E153" s="1719">
        <f>ANALISA!I2772</f>
        <v>0.63215818009837543</v>
      </c>
      <c r="F153" s="1705"/>
      <c r="G153" s="1705"/>
      <c r="H153" s="1705"/>
      <c r="I153" s="1705"/>
      <c r="J153" s="1705"/>
      <c r="K153" s="1705"/>
      <c r="L153" s="1705"/>
      <c r="M153" s="1705"/>
      <c r="N153" s="1705"/>
      <c r="O153" s="1705"/>
      <c r="P153" s="1705"/>
      <c r="Q153" s="1705"/>
      <c r="R153" s="1705"/>
      <c r="S153" s="1705"/>
      <c r="T153" s="1705"/>
    </row>
    <row r="154" spans="1:20" ht="15.75" customHeight="1">
      <c r="A154" s="1713">
        <f t="shared" si="2"/>
        <v>149</v>
      </c>
      <c r="B154" s="1720" t="str">
        <f>ANALISA!C2775</f>
        <v>Pekerjaan 1 unit Pasang AC Split 3/4 PK (7000 BTUH) std. ex.Sharp</v>
      </c>
      <c r="C154" s="369" t="str">
        <f>ANALISA!B2775</f>
        <v>5.5.1.3</v>
      </c>
      <c r="D154" s="1716">
        <f>ANALISA!G2787</f>
        <v>5689729.1299999999</v>
      </c>
      <c r="E154" s="1719">
        <f>ANALISA!I2785</f>
        <v>0.61565543013504531</v>
      </c>
      <c r="F154" s="1705"/>
      <c r="G154" s="1705"/>
      <c r="H154" s="1705"/>
      <c r="I154" s="1705"/>
      <c r="J154" s="1705"/>
      <c r="K154" s="1705"/>
      <c r="L154" s="1705"/>
      <c r="M154" s="1705"/>
      <c r="N154" s="1705"/>
      <c r="O154" s="1705"/>
      <c r="P154" s="1705"/>
      <c r="Q154" s="1705"/>
      <c r="R154" s="1705"/>
      <c r="S154" s="1705"/>
      <c r="T154" s="1705"/>
    </row>
    <row r="155" spans="1:20" ht="15.75" customHeight="1">
      <c r="A155" s="1713">
        <f t="shared" si="2"/>
        <v>150</v>
      </c>
      <c r="B155" s="1720" t="str">
        <f>ANALISA!C2789</f>
        <v>Pekerjaan 1 unit Box Panel Listrik 8 Group termasuk MCB dan asesoris</v>
      </c>
      <c r="C155" s="369" t="str">
        <f>ANALISA!B2789</f>
        <v>5.1.2.24</v>
      </c>
      <c r="D155" s="1716">
        <f>ANALISA!G2801</f>
        <v>1622905.81</v>
      </c>
      <c r="E155" s="1719">
        <f>ANALISA!I2800</f>
        <v>0.59751227658478023</v>
      </c>
      <c r="F155" s="1705"/>
      <c r="G155" s="1705"/>
      <c r="H155" s="1705"/>
      <c r="I155" s="1705"/>
      <c r="J155" s="1705"/>
      <c r="K155" s="1705"/>
      <c r="L155" s="1705"/>
      <c r="M155" s="1705"/>
      <c r="N155" s="1705"/>
      <c r="O155" s="1705"/>
      <c r="P155" s="1705"/>
      <c r="Q155" s="1705"/>
      <c r="R155" s="1705"/>
      <c r="S155" s="1705"/>
      <c r="T155" s="1705"/>
    </row>
    <row r="156" spans="1:20" ht="15.75" customHeight="1">
      <c r="A156" s="1713">
        <f t="shared" si="2"/>
        <v>151</v>
      </c>
      <c r="B156" s="1720" t="str">
        <f>ANALISA!C2803</f>
        <v>Pekerjaan 1 unit Box Panel Listrik 4 Group termasuk MCB dan asesoris</v>
      </c>
      <c r="C156" s="369" t="str">
        <f>ANALISA!B2803</f>
        <v>5.1.2.24</v>
      </c>
      <c r="D156" s="1716">
        <f>ANALISA!G2815</f>
        <v>707936.42</v>
      </c>
      <c r="E156" s="1719">
        <f>ANALISA!I2813</f>
        <v>0.61168904248250267</v>
      </c>
      <c r="F156" s="1705"/>
      <c r="G156" s="1705"/>
      <c r="H156" s="1705"/>
      <c r="I156" s="1705"/>
      <c r="J156" s="1705"/>
      <c r="K156" s="1705"/>
      <c r="L156" s="1705"/>
      <c r="M156" s="1705"/>
      <c r="N156" s="1705"/>
      <c r="O156" s="1705"/>
      <c r="P156" s="1705"/>
      <c r="Q156" s="1705"/>
      <c r="R156" s="1705"/>
      <c r="S156" s="1705"/>
      <c r="T156" s="1705"/>
    </row>
    <row r="157" spans="1:20" ht="15.75" customHeight="1">
      <c r="A157" s="1713">
        <f t="shared" si="2"/>
        <v>152</v>
      </c>
      <c r="B157" s="1720" t="str">
        <f>ANALISA!C2817</f>
        <v>Pekerjaan 1 unit Panel Penerangan Luar Outdoor</v>
      </c>
      <c r="C157" s="369" t="str">
        <f>ANALISA!B2817</f>
        <v>5.1.2.10</v>
      </c>
      <c r="D157" s="1716">
        <f>ANALISA!G2829</f>
        <v>2503740.19</v>
      </c>
      <c r="E157" s="1719">
        <f>ANALISA!I2827</f>
        <v>0.57204214748278681</v>
      </c>
      <c r="F157" s="1705"/>
      <c r="G157" s="1705"/>
      <c r="H157" s="1705"/>
      <c r="I157" s="1705"/>
      <c r="J157" s="1705"/>
      <c r="K157" s="1705"/>
      <c r="L157" s="1705"/>
      <c r="M157" s="1705"/>
      <c r="N157" s="1705"/>
      <c r="O157" s="1705"/>
      <c r="P157" s="1705"/>
      <c r="Q157" s="1705"/>
      <c r="R157" s="1705"/>
      <c r="S157" s="1705"/>
      <c r="T157" s="1705"/>
    </row>
    <row r="158" spans="1:20" ht="15.75" customHeight="1">
      <c r="A158" s="1713">
        <f t="shared" si="2"/>
        <v>153</v>
      </c>
      <c r="B158" s="1720" t="str">
        <f>ANALISA!C2831</f>
        <v>Pekerjaan 1 unit Panel Kontrol Luar Outdoor</v>
      </c>
      <c r="C158" s="369" t="str">
        <f>ANALISA!B2831</f>
        <v>5.1.2.10</v>
      </c>
      <c r="D158" s="1716">
        <f>ANALISA!G2843</f>
        <v>1598411.78</v>
      </c>
      <c r="E158" s="1719">
        <f>ANALISA!I2841</f>
        <v>0.54980679487812156</v>
      </c>
      <c r="F158" s="1705"/>
      <c r="G158" s="1705"/>
      <c r="H158" s="1705"/>
      <c r="I158" s="1705"/>
      <c r="J158" s="1705"/>
      <c r="K158" s="1705"/>
      <c r="L158" s="1705"/>
      <c r="M158" s="1705"/>
      <c r="N158" s="1705"/>
      <c r="O158" s="1705"/>
      <c r="P158" s="1705"/>
      <c r="Q158" s="1705"/>
      <c r="R158" s="1705"/>
      <c r="S158" s="1705"/>
      <c r="T158" s="1705"/>
    </row>
    <row r="159" spans="1:20" ht="15.75" customHeight="1">
      <c r="A159" s="1713">
        <f t="shared" si="2"/>
        <v>154</v>
      </c>
      <c r="B159" s="1720" t="str">
        <f>ANALISA!C2845</f>
        <v>Pekerjaan 1 unit Panel Kontrol Pompa tipe DOL starter 3 Phase, 4 kw, 5,5 HP</v>
      </c>
      <c r="C159" s="369" t="str">
        <f>ANALISA!B2845</f>
        <v>5.1.2.11</v>
      </c>
      <c r="D159" s="1716">
        <f>ANALISA!G2859</f>
        <v>4120715.8</v>
      </c>
      <c r="E159" s="1719">
        <f>ANALISA!I2858</f>
        <v>0.26985502667555172</v>
      </c>
      <c r="F159" s="1705"/>
      <c r="G159" s="1705"/>
      <c r="H159" s="1705"/>
      <c r="I159" s="1705"/>
      <c r="J159" s="1705"/>
      <c r="K159" s="1705"/>
      <c r="L159" s="1705"/>
      <c r="M159" s="1705"/>
      <c r="N159" s="1705"/>
      <c r="O159" s="1705"/>
      <c r="P159" s="1705"/>
      <c r="Q159" s="1705"/>
      <c r="R159" s="1705"/>
      <c r="S159" s="1705"/>
      <c r="T159" s="1705"/>
    </row>
    <row r="160" spans="1:20" ht="15.75" customHeight="1">
      <c r="A160" s="1713">
        <f t="shared" si="2"/>
        <v>155</v>
      </c>
      <c r="B160" s="1720" t="str">
        <f>ANALISA!C2861</f>
        <v>Pekerjaan 1 bh Pemasangan MCB</v>
      </c>
      <c r="C160" s="369" t="str">
        <f>ANALISA!B2861</f>
        <v>Analisa Sendiri</v>
      </c>
      <c r="D160" s="1716">
        <f>ANALISA!G2870</f>
        <v>176927.27000000002</v>
      </c>
      <c r="E160" s="1719">
        <f>ANALISA!I2868</f>
        <v>0.66247496807004769</v>
      </c>
      <c r="F160" s="1705"/>
      <c r="G160" s="1705"/>
      <c r="H160" s="1705"/>
      <c r="I160" s="1705"/>
      <c r="J160" s="1705"/>
      <c r="K160" s="1705"/>
      <c r="L160" s="1705"/>
      <c r="M160" s="1705"/>
      <c r="N160" s="1705"/>
      <c r="O160" s="1705"/>
      <c r="P160" s="1705"/>
      <c r="Q160" s="1705"/>
      <c r="R160" s="1705"/>
      <c r="S160" s="1705"/>
      <c r="T160" s="1705"/>
    </row>
    <row r="161" spans="1:20" ht="15.75" customHeight="1">
      <c r="A161" s="1713">
        <f t="shared" si="2"/>
        <v>156</v>
      </c>
      <c r="B161" s="1720" t="str">
        <f>ANALISA!C2872</f>
        <v>Pekerjaan 1 unit Grounding</v>
      </c>
      <c r="C161" s="369" t="str">
        <f>ANALISA!B2872</f>
        <v>5.2.6</v>
      </c>
      <c r="D161" s="1716">
        <f>ANALISA!G2884</f>
        <v>827932.74</v>
      </c>
      <c r="E161" s="1719">
        <f>ANALISA!I2882</f>
        <v>0.56214157862958936</v>
      </c>
      <c r="F161" s="1705"/>
      <c r="G161" s="1705"/>
      <c r="H161" s="1705"/>
      <c r="I161" s="1705"/>
      <c r="J161" s="1705"/>
      <c r="K161" s="1705"/>
      <c r="L161" s="1705"/>
      <c r="M161" s="1705"/>
      <c r="N161" s="1705"/>
      <c r="O161" s="1705"/>
      <c r="P161" s="1705"/>
      <c r="Q161" s="1705"/>
      <c r="R161" s="1705"/>
      <c r="S161" s="1705"/>
      <c r="T161" s="1705"/>
    </row>
    <row r="162" spans="1:20" ht="15.75" customHeight="1">
      <c r="A162" s="1713">
        <f t="shared" si="2"/>
        <v>157</v>
      </c>
      <c r="B162" s="1720" t="str">
        <f>ANALISA!C2886</f>
        <v>Pekerjaan 1 unit 5/8" 5/8" Stick Rod Coupling, L = 3 m</v>
      </c>
      <c r="C162" s="369" t="str">
        <f>ANALISA!B2886</f>
        <v>5.2.7</v>
      </c>
      <c r="D162" s="1716">
        <f>ANALISA!G2898</f>
        <v>1782505.1300000001</v>
      </c>
      <c r="E162" s="1719">
        <f>ANALISA!I2896</f>
        <v>0.588467041076562</v>
      </c>
      <c r="F162" s="1705"/>
      <c r="G162" s="1705"/>
      <c r="H162" s="1705"/>
      <c r="I162" s="1705"/>
      <c r="J162" s="1705"/>
      <c r="K162" s="1705"/>
      <c r="L162" s="1705"/>
      <c r="M162" s="1705"/>
      <c r="N162" s="1705"/>
      <c r="O162" s="1705"/>
      <c r="P162" s="1705"/>
      <c r="Q162" s="1705"/>
      <c r="R162" s="1705"/>
      <c r="S162" s="1705"/>
      <c r="T162" s="1705"/>
    </row>
    <row r="163" spans="1:20" ht="15.75" customHeight="1">
      <c r="A163" s="1713">
        <f t="shared" si="2"/>
        <v>158</v>
      </c>
      <c r="B163" s="1721" t="str">
        <f>ANALISA!C2900</f>
        <v>Pekerjaan 1 unit Lampu PJU Kawasan LED 40 Watt + Tiang 7 m (dobel pool/arm)</v>
      </c>
      <c r="C163" s="369" t="str">
        <f>ANALISA!B2900</f>
        <v>5.3.1.18</v>
      </c>
      <c r="D163" s="1716">
        <f>ANALISA!G2913</f>
        <v>8491479.0299999993</v>
      </c>
      <c r="E163" s="1719">
        <f>ANALISA!I2911</f>
        <v>0.45535244866382946</v>
      </c>
      <c r="F163" s="1705"/>
      <c r="G163" s="1705"/>
      <c r="H163" s="1705"/>
      <c r="I163" s="1705"/>
      <c r="J163" s="1705"/>
      <c r="K163" s="1705"/>
      <c r="L163" s="1705"/>
      <c r="M163" s="1705"/>
      <c r="N163" s="1705"/>
      <c r="O163" s="1705"/>
      <c r="P163" s="1705"/>
      <c r="Q163" s="1705"/>
      <c r="R163" s="1705"/>
      <c r="S163" s="1705"/>
      <c r="T163" s="1705"/>
    </row>
    <row r="164" spans="1:20" ht="15.75" customHeight="1">
      <c r="A164" s="1713">
        <f t="shared" si="2"/>
        <v>159</v>
      </c>
      <c r="B164" s="1721" t="str">
        <f>ANALISA!C2915</f>
        <v>Pekerjaan 1 unit Lampu PJU Kawasan LED 40 Watt + Tiang 7 m (single pool/arm)</v>
      </c>
      <c r="C164" s="369" t="str">
        <f>ANALISA!B2915</f>
        <v>5.3.1.18</v>
      </c>
      <c r="D164" s="1716">
        <f>ANALISA!G2928</f>
        <v>5568922.6899999995</v>
      </c>
      <c r="E164" s="1719">
        <f>ANALISA!I2926</f>
        <v>0.48158462437455329</v>
      </c>
      <c r="F164" s="1705"/>
      <c r="G164" s="1705"/>
      <c r="H164" s="1705"/>
      <c r="I164" s="1705"/>
      <c r="J164" s="1705"/>
      <c r="K164" s="1705"/>
      <c r="L164" s="1705"/>
      <c r="M164" s="1705"/>
      <c r="N164" s="1705"/>
      <c r="O164" s="1705"/>
      <c r="P164" s="1705"/>
      <c r="Q164" s="1705"/>
      <c r="R164" s="1705"/>
      <c r="S164" s="1705"/>
      <c r="T164" s="1705"/>
    </row>
    <row r="165" spans="1:20" ht="42" customHeight="1">
      <c r="A165" s="1713">
        <f t="shared" si="2"/>
        <v>160</v>
      </c>
      <c r="B165" s="1721" t="str">
        <f>ANALISA!C2930</f>
        <v>Pekerjaan 1 unit Lampu PJU Kawasan LED 40 Watt + Tiang 4 m (double pool/arm) termasuk ornamen Artistik serta Cat dasar Marine dengan Penutup Cat</v>
      </c>
      <c r="C165" s="369" t="str">
        <f>ANALISA!B2930</f>
        <v>5.3.1.18</v>
      </c>
      <c r="D165" s="1716">
        <f>ANALISA!G2943</f>
        <v>9123763.8100000005</v>
      </c>
      <c r="E165" s="1719">
        <f>ANALISA!I2941</f>
        <v>0.47465530054043592</v>
      </c>
      <c r="F165" s="1705"/>
      <c r="G165" s="1705"/>
      <c r="H165" s="1705"/>
      <c r="I165" s="1705"/>
      <c r="J165" s="1705"/>
      <c r="K165" s="1705"/>
      <c r="L165" s="1705"/>
      <c r="M165" s="1705"/>
      <c r="N165" s="1705"/>
      <c r="O165" s="1705"/>
      <c r="P165" s="1705"/>
      <c r="Q165" s="1705"/>
      <c r="R165" s="1705"/>
      <c r="S165" s="1705"/>
      <c r="T165" s="1705"/>
    </row>
    <row r="166" spans="1:20" ht="15.75" customHeight="1">
      <c r="A166" s="1713">
        <f t="shared" si="2"/>
        <v>161</v>
      </c>
      <c r="B166" s="1721" t="str">
        <f>ANALISA!C2945</f>
        <v>Pekerjaan 1 unit Pengiriman 20 Lampu PJU dari Jakarta/Surabaya ke Lokasi</v>
      </c>
      <c r="C166" s="369" t="str">
        <f>ANALISA!B2945</f>
        <v>Analisa sendiri</v>
      </c>
      <c r="D166" s="1716">
        <f>ANALISA!G2955</f>
        <v>744794.42</v>
      </c>
      <c r="E166" s="1719">
        <f>ANALISA!I2953</f>
        <v>1</v>
      </c>
      <c r="F166" s="1705"/>
      <c r="G166" s="1705"/>
      <c r="H166" s="1705"/>
      <c r="I166" s="1705"/>
      <c r="J166" s="1705"/>
      <c r="K166" s="1705"/>
      <c r="L166" s="1705"/>
      <c r="M166" s="1705"/>
      <c r="N166" s="1705"/>
      <c r="O166" s="1705"/>
      <c r="P166" s="1705"/>
      <c r="Q166" s="1705"/>
      <c r="R166" s="1705"/>
      <c r="S166" s="1705"/>
      <c r="T166" s="1705"/>
    </row>
    <row r="167" spans="1:20" ht="15.75" customHeight="1">
      <c r="A167" s="1713">
        <f t="shared" si="2"/>
        <v>162</v>
      </c>
      <c r="B167" s="1720" t="str">
        <f>ANALISA!C2957</f>
        <v>Pekerjaan 1 unit Lampu Taman T = 4 m, Double Arm</v>
      </c>
      <c r="C167" s="369" t="str">
        <f>ANALISA!B2957</f>
        <v>5.3.1.18</v>
      </c>
      <c r="D167" s="1716">
        <f>ANALISA!G2969</f>
        <v>5411291.1600000001</v>
      </c>
      <c r="E167" s="1719">
        <f>ANALISA!I2967</f>
        <v>0.37561453551431645</v>
      </c>
      <c r="F167" s="1705"/>
      <c r="G167" s="1705"/>
      <c r="H167" s="1705"/>
      <c r="I167" s="1705"/>
      <c r="J167" s="1705"/>
      <c r="K167" s="1705"/>
      <c r="L167" s="1705"/>
      <c r="M167" s="1705"/>
      <c r="N167" s="1705"/>
      <c r="O167" s="1705"/>
      <c r="P167" s="1705"/>
      <c r="Q167" s="1705"/>
      <c r="R167" s="1705"/>
      <c r="S167" s="1705"/>
      <c r="T167" s="1705"/>
    </row>
    <row r="168" spans="1:20" ht="15.75" customHeight="1">
      <c r="A168" s="1713">
        <f t="shared" si="2"/>
        <v>163</v>
      </c>
      <c r="B168" s="1720" t="str">
        <f>ANALISA!C2971</f>
        <v>Pekerjaan 1 unit Tangga Service tinggi 3 m</v>
      </c>
      <c r="C168" s="369" t="str">
        <f>ANALISA!B2971</f>
        <v>3.13.6</v>
      </c>
      <c r="D168" s="1716">
        <f>ANALISA!G2984</f>
        <v>1138166.1200000001</v>
      </c>
      <c r="E168" s="1719">
        <f>ANALISA!I2982</f>
        <v>0.43230396072790217</v>
      </c>
      <c r="F168" s="1705"/>
      <c r="G168" s="1705"/>
      <c r="H168" s="1705"/>
      <c r="I168" s="1705"/>
      <c r="J168" s="1705"/>
      <c r="K168" s="1705"/>
      <c r="L168" s="1705"/>
      <c r="M168" s="1705"/>
      <c r="N168" s="1705"/>
      <c r="O168" s="1705"/>
      <c r="P168" s="1705"/>
      <c r="Q168" s="1705"/>
      <c r="R168" s="1705"/>
      <c r="S168" s="1705"/>
      <c r="T168" s="1705"/>
    </row>
    <row r="169" spans="1:20" ht="15.75" customHeight="1">
      <c r="A169" s="1713">
        <f t="shared" si="2"/>
        <v>164</v>
      </c>
      <c r="B169" s="1720" t="str">
        <f>ANALISA!C548</f>
        <v>Pekerjaan 1 m¹ Pengadaan dan Pemasangan Cassing Pipa Galvanis Ø 6 Inch</v>
      </c>
      <c r="C169" s="1722" t="str">
        <f>ANALISA!B548</f>
        <v>6.4.2.11</v>
      </c>
      <c r="D169" s="1716">
        <f>ANALISA!G563</f>
        <v>2145473.71</v>
      </c>
      <c r="E169" s="1719">
        <f>ANALISA!I561</f>
        <v>0.53150060763336704</v>
      </c>
      <c r="F169" s="1705"/>
      <c r="G169" s="1705"/>
      <c r="H169" s="1705"/>
      <c r="I169" s="1705"/>
      <c r="J169" s="1705"/>
      <c r="K169" s="1705"/>
      <c r="L169" s="1705"/>
      <c r="M169" s="1705"/>
      <c r="N169" s="1705"/>
      <c r="O169" s="1705"/>
      <c r="P169" s="1705"/>
      <c r="Q169" s="1705"/>
      <c r="R169" s="1705"/>
      <c r="S169" s="1705"/>
      <c r="T169" s="1705"/>
    </row>
    <row r="170" spans="1:20" ht="15.75" customHeight="1">
      <c r="A170" s="1713">
        <f t="shared" si="2"/>
        <v>165</v>
      </c>
      <c r="B170" s="1720" t="str">
        <f>ANALISA!C565</f>
        <v>Pekerjaan 1 m¹ Pengadaan dan Pemasangan Cassing Pipa Galvanis Ø 3 Inch</v>
      </c>
      <c r="C170" s="1722" t="str">
        <f>ANALISA!B565</f>
        <v>6.4.2.8</v>
      </c>
      <c r="D170" s="1716">
        <f>ANALISA!G580</f>
        <v>385775.63</v>
      </c>
      <c r="E170" s="1719">
        <f>ANALISA!I578</f>
        <v>0.60410375867979693</v>
      </c>
      <c r="F170" s="1705"/>
      <c r="G170" s="1705"/>
      <c r="H170" s="1705"/>
      <c r="I170" s="1705"/>
      <c r="J170" s="1705"/>
      <c r="K170" s="1705"/>
      <c r="L170" s="1705"/>
      <c r="M170" s="1705"/>
      <c r="N170" s="1705"/>
      <c r="O170" s="1705"/>
      <c r="P170" s="1705"/>
      <c r="Q170" s="1705"/>
      <c r="R170" s="1705"/>
      <c r="S170" s="1705"/>
      <c r="T170" s="1705"/>
    </row>
    <row r="171" spans="1:20" ht="15.75" customHeight="1">
      <c r="A171" s="1713">
        <f t="shared" si="2"/>
        <v>166</v>
      </c>
      <c r="B171" s="1720" t="str">
        <f>ANALISA!C582</f>
        <v>Pekerjaan 1 m¹ Pengadaan dan Pemasangan Cassing Pipa Galvanis Ø 2 Inch</v>
      </c>
      <c r="C171" s="369" t="str">
        <f>ANALISA!B582</f>
        <v>6.4.2.4</v>
      </c>
      <c r="D171" s="1716">
        <f>ANALISA!G597</f>
        <v>555238.84</v>
      </c>
      <c r="E171" s="1719">
        <f>ANALISA!I595</f>
        <v>0.51921812472757356</v>
      </c>
      <c r="F171" s="1705"/>
      <c r="G171" s="1705"/>
      <c r="H171" s="1705"/>
      <c r="I171" s="1705"/>
      <c r="J171" s="1705"/>
      <c r="K171" s="1705"/>
      <c r="L171" s="1705"/>
      <c r="M171" s="1705"/>
      <c r="N171" s="1705"/>
      <c r="O171" s="1705"/>
      <c r="P171" s="1705"/>
      <c r="Q171" s="1705"/>
      <c r="R171" s="1705"/>
      <c r="S171" s="1705"/>
      <c r="T171" s="1705"/>
    </row>
    <row r="172" spans="1:20" ht="15.75" customHeight="1">
      <c r="A172" s="1713">
        <f t="shared" si="2"/>
        <v>167</v>
      </c>
      <c r="B172" s="1720" t="str">
        <f>ANALISA!C2986</f>
        <v>Pekerjaan 1 m¹ Instalasi Pipa PVC AW 4 Inch termasuk asesoris</v>
      </c>
      <c r="C172" s="369" t="str">
        <f>ANALISA!B2986</f>
        <v>5.5.4.19</v>
      </c>
      <c r="D172" s="1716">
        <f>ANALISA!G3001</f>
        <v>314523.2</v>
      </c>
      <c r="E172" s="1719">
        <f>ANALISA!I2999</f>
        <v>0.91992483625675958</v>
      </c>
      <c r="F172" s="1705"/>
      <c r="G172" s="1705"/>
      <c r="H172" s="1705"/>
      <c r="I172" s="1705"/>
      <c r="J172" s="1705"/>
      <c r="K172" s="1705"/>
      <c r="L172" s="1705"/>
      <c r="M172" s="1705"/>
      <c r="N172" s="1705"/>
      <c r="O172" s="1705"/>
      <c r="P172" s="1705"/>
      <c r="Q172" s="1705"/>
      <c r="R172" s="1705"/>
      <c r="S172" s="1705"/>
      <c r="T172" s="1705"/>
    </row>
    <row r="173" spans="1:20" ht="15.75" customHeight="1">
      <c r="A173" s="1713">
        <f t="shared" si="2"/>
        <v>168</v>
      </c>
      <c r="B173" s="1720" t="str">
        <f>ANALISA!C3004</f>
        <v>Pekerjaan 1 m¹ Instalasi Pipa PVC AW 3 Inch termasuk asesoris</v>
      </c>
      <c r="C173" s="369" t="str">
        <f>ANALISA!B3004</f>
        <v>5.5.4.18</v>
      </c>
      <c r="D173" s="1716">
        <f>ANALISA!G3019</f>
        <v>183232.97</v>
      </c>
      <c r="E173" s="1719">
        <f>ANALISA!I3017</f>
        <v>0.9227271493609539</v>
      </c>
      <c r="F173" s="1705"/>
      <c r="G173" s="1705"/>
      <c r="H173" s="1705"/>
      <c r="I173" s="1705"/>
      <c r="J173" s="1705"/>
      <c r="K173" s="1705"/>
      <c r="L173" s="1705"/>
      <c r="M173" s="1705"/>
      <c r="N173" s="1705"/>
      <c r="O173" s="1705"/>
      <c r="P173" s="1705"/>
      <c r="Q173" s="1705"/>
      <c r="R173" s="1705"/>
      <c r="S173" s="1705"/>
      <c r="T173" s="1705"/>
    </row>
    <row r="174" spans="1:20" ht="15.75" customHeight="1">
      <c r="A174" s="1713">
        <f t="shared" si="2"/>
        <v>169</v>
      </c>
      <c r="B174" s="1720" t="str">
        <f>ANALISA!C3021</f>
        <v>Pekerjaan 1 m¹ Instalasi Pipa PVC AW 1 Inch termasuk asesoris</v>
      </c>
      <c r="C174" s="369" t="str">
        <f>ANALISA!B3021</f>
        <v>5.5.4.13</v>
      </c>
      <c r="D174" s="1716">
        <f>ANALISA!G3036</f>
        <v>55200.46</v>
      </c>
      <c r="E174" s="1719">
        <f>ANALISA!I3034</f>
        <v>0.89598523905407035</v>
      </c>
      <c r="F174" s="1705"/>
      <c r="G174" s="1705"/>
      <c r="H174" s="1705"/>
      <c r="I174" s="1705"/>
      <c r="J174" s="1705"/>
      <c r="K174" s="1705"/>
      <c r="L174" s="1705"/>
      <c r="M174" s="1705"/>
      <c r="N174" s="1705"/>
      <c r="O174" s="1705"/>
      <c r="P174" s="1705"/>
      <c r="Q174" s="1705"/>
      <c r="R174" s="1705"/>
      <c r="S174" s="1705"/>
      <c r="T174" s="1705"/>
    </row>
    <row r="175" spans="1:20" ht="15.75" customHeight="1">
      <c r="A175" s="1713">
        <f t="shared" si="2"/>
        <v>170</v>
      </c>
      <c r="B175" s="1720" t="str">
        <f>ANALISA!C3038</f>
        <v>Pekerjaan 1 m¹ Instalasi Pipa PVC D ¾ Inch termasuk asesoris</v>
      </c>
      <c r="C175" s="369" t="str">
        <f>ANALISA!B3038</f>
        <v>5.5.4.12</v>
      </c>
      <c r="D175" s="1716">
        <f>ANALISA!G3053</f>
        <v>38288.97</v>
      </c>
      <c r="E175" s="1719">
        <f>ANALISA!I3051</f>
        <v>0.87946491670464844</v>
      </c>
      <c r="F175" s="1705"/>
      <c r="G175" s="1705"/>
      <c r="H175" s="1705"/>
      <c r="I175" s="1705"/>
      <c r="J175" s="1705"/>
      <c r="K175" s="1705"/>
      <c r="L175" s="1705"/>
      <c r="M175" s="1705"/>
      <c r="N175" s="1705"/>
      <c r="O175" s="1705"/>
      <c r="P175" s="1705"/>
      <c r="Q175" s="1705"/>
      <c r="R175" s="1705"/>
      <c r="S175" s="1705"/>
      <c r="T175" s="1705"/>
    </row>
    <row r="176" spans="1:20" ht="15.75" customHeight="1">
      <c r="A176" s="1713">
        <f t="shared" si="2"/>
        <v>171</v>
      </c>
      <c r="B176" s="1720" t="str">
        <f>ANALISA!C3055</f>
        <v>Pekerjaan 1 m¹ Instalasi Pipa PVC AW ½ Inch termasuk asesoris</v>
      </c>
      <c r="C176" s="369" t="str">
        <f>ANALISA!B3055</f>
        <v>5.5.4.11</v>
      </c>
      <c r="D176" s="1716">
        <f>ANALISA!G3070</f>
        <v>30989.129999999997</v>
      </c>
      <c r="E176" s="1719">
        <f>ANALISA!I3068</f>
        <v>0.85792207636356288</v>
      </c>
      <c r="F176" s="1705"/>
      <c r="G176" s="1705"/>
      <c r="H176" s="1705"/>
      <c r="I176" s="1705"/>
      <c r="J176" s="1705"/>
      <c r="K176" s="1705"/>
      <c r="L176" s="1705"/>
      <c r="M176" s="1705"/>
      <c r="N176" s="1705"/>
      <c r="O176" s="1705"/>
      <c r="P176" s="1705"/>
      <c r="Q176" s="1705"/>
      <c r="R176" s="1705"/>
      <c r="S176" s="1705"/>
      <c r="T176" s="1705"/>
    </row>
    <row r="177" spans="1:20" ht="15.75" customHeight="1">
      <c r="A177" s="1713">
        <f t="shared" si="2"/>
        <v>172</v>
      </c>
      <c r="B177" s="1720" t="str">
        <f>ANALISA!C3072</f>
        <v>Pekerjaan 1 m¹ Instalasi Pipa HDPE Ø 2 Inch</v>
      </c>
      <c r="C177" s="369" t="str">
        <f>ANALISA!B3072</f>
        <v>9.3.1.22</v>
      </c>
      <c r="D177" s="1716">
        <f>ANALISA!G3085</f>
        <v>164684.22</v>
      </c>
      <c r="E177" s="1719">
        <f>ANALISA!I3083</f>
        <v>0.53047887791756065</v>
      </c>
      <c r="F177" s="1705"/>
      <c r="G177" s="1705"/>
      <c r="H177" s="1705"/>
      <c r="I177" s="1705"/>
      <c r="J177" s="1705"/>
      <c r="K177" s="1705"/>
      <c r="L177" s="1705"/>
      <c r="M177" s="1705"/>
      <c r="N177" s="1705"/>
      <c r="O177" s="1705"/>
      <c r="P177" s="1705"/>
      <c r="Q177" s="1705"/>
      <c r="R177" s="1705"/>
      <c r="S177" s="1705"/>
      <c r="T177" s="1705"/>
    </row>
    <row r="178" spans="1:20" ht="15.75" customHeight="1">
      <c r="A178" s="1713">
        <f t="shared" si="2"/>
        <v>173</v>
      </c>
      <c r="B178" s="1720" t="str">
        <f>ANALISA!C3087</f>
        <v>Pekerjaan 1 bh Pemasangan Closet Jongkok ex.TOTO</v>
      </c>
      <c r="C178" s="369" t="str">
        <f>ANALISA!B3087</f>
        <v>3.18.3.2</v>
      </c>
      <c r="D178" s="1716">
        <f>ANALISA!G3102</f>
        <v>799826.64</v>
      </c>
      <c r="E178" s="1719">
        <f>ANALISA!I3100</f>
        <v>0.51157019053813246</v>
      </c>
      <c r="F178" s="1705"/>
      <c r="G178" s="1705"/>
      <c r="H178" s="1705"/>
      <c r="I178" s="1705"/>
      <c r="J178" s="1705"/>
      <c r="K178" s="1705"/>
      <c r="L178" s="1705"/>
      <c r="M178" s="1705"/>
      <c r="N178" s="1705"/>
      <c r="O178" s="1705"/>
      <c r="P178" s="1705"/>
      <c r="Q178" s="1705"/>
      <c r="R178" s="1705"/>
      <c r="S178" s="1705"/>
      <c r="T178" s="1705"/>
    </row>
    <row r="179" spans="1:20" ht="15.75" customHeight="1">
      <c r="A179" s="1713">
        <f t="shared" si="2"/>
        <v>174</v>
      </c>
      <c r="B179" s="1720" t="str">
        <f>ANALISA!C3104</f>
        <v>Pekerjaan 1 bh Pemasangan Closet Duduk ex.TOTO</v>
      </c>
      <c r="C179" s="369" t="str">
        <f>ANALISA!B3104</f>
        <v>3.18.3.1</v>
      </c>
      <c r="D179" s="1716">
        <f>ANALISA!G3119</f>
        <v>1952191.02</v>
      </c>
      <c r="E179" s="1719">
        <f>ANALISA!I3117</f>
        <v>0.51732333799524854</v>
      </c>
      <c r="F179" s="1705"/>
      <c r="G179" s="1705"/>
      <c r="H179" s="1705"/>
      <c r="I179" s="1705"/>
      <c r="J179" s="1705"/>
      <c r="K179" s="1705"/>
      <c r="L179" s="1705"/>
      <c r="M179" s="1705"/>
      <c r="N179" s="1705"/>
      <c r="O179" s="1705"/>
      <c r="P179" s="1705"/>
      <c r="Q179" s="1705"/>
      <c r="R179" s="1705"/>
      <c r="S179" s="1705"/>
      <c r="T179" s="1705"/>
    </row>
    <row r="180" spans="1:20" ht="15.75" customHeight="1">
      <c r="A180" s="1713">
        <f t="shared" si="2"/>
        <v>175</v>
      </c>
      <c r="B180" s="1720" t="str">
        <f>ANALISA!C3121</f>
        <v>Pekerjaan 1 bh Pemasangan Jet Washer ex.ONDA</v>
      </c>
      <c r="C180" s="369" t="str">
        <f>ANALISA!B3121</f>
        <v>3.18.6.3</v>
      </c>
      <c r="D180" s="1716">
        <f>ANALISA!G3136</f>
        <v>646016.32999999996</v>
      </c>
      <c r="E180" s="1719">
        <f>ANALISA!I3134</f>
        <v>0.943216419894087</v>
      </c>
      <c r="F180" s="1705"/>
      <c r="G180" s="1705"/>
      <c r="H180" s="1705"/>
      <c r="I180" s="1705"/>
      <c r="J180" s="1705"/>
      <c r="K180" s="1705"/>
      <c r="L180" s="1705"/>
      <c r="M180" s="1705"/>
      <c r="N180" s="1705"/>
      <c r="O180" s="1705"/>
      <c r="P180" s="1705"/>
      <c r="Q180" s="1705"/>
      <c r="R180" s="1705"/>
      <c r="S180" s="1705"/>
      <c r="T180" s="1705"/>
    </row>
    <row r="181" spans="1:20" ht="15.75" customHeight="1">
      <c r="A181" s="1713">
        <f t="shared" si="2"/>
        <v>176</v>
      </c>
      <c r="B181" s="1720" t="str">
        <f>ANALISA!C3138</f>
        <v>Pekerjaan 1 bh Pemasangan Kran Air</v>
      </c>
      <c r="C181" s="369" t="str">
        <f>ANALISA!B3138</f>
        <v>3.18.6.2.1</v>
      </c>
      <c r="D181" s="1716">
        <f>ANALISA!G3153</f>
        <v>101518.73999999999</v>
      </c>
      <c r="E181" s="1719">
        <f>ANALISA!I3151</f>
        <v>0.85872834913464169</v>
      </c>
      <c r="F181" s="1705"/>
      <c r="G181" s="1705"/>
      <c r="H181" s="1705"/>
      <c r="I181" s="1705"/>
      <c r="J181" s="1705"/>
      <c r="K181" s="1705"/>
      <c r="L181" s="1705"/>
      <c r="M181" s="1705"/>
      <c r="N181" s="1705"/>
      <c r="O181" s="1705"/>
      <c r="P181" s="1705"/>
      <c r="Q181" s="1705"/>
      <c r="R181" s="1705"/>
      <c r="S181" s="1705"/>
      <c r="T181" s="1705"/>
    </row>
    <row r="182" spans="1:20" ht="15.75" customHeight="1">
      <c r="A182" s="1713">
        <f t="shared" si="2"/>
        <v>177</v>
      </c>
      <c r="B182" s="1720" t="str">
        <f>ANALISA!C3155</f>
        <v>Pekerjaan 1 bh Pemasangan Wastafel LW574J - TOTO</v>
      </c>
      <c r="C182" s="369" t="str">
        <f>ANALISA!B3155</f>
        <v>3.18.1.1</v>
      </c>
      <c r="D182" s="1716">
        <f>ANALISA!G3171</f>
        <v>957715.62</v>
      </c>
      <c r="E182" s="1719">
        <f>ANALISA!I3169</f>
        <v>0.72030097532528359</v>
      </c>
      <c r="F182" s="1705"/>
      <c r="G182" s="1705"/>
      <c r="H182" s="1705"/>
      <c r="I182" s="1705"/>
      <c r="J182" s="1705"/>
      <c r="K182" s="1705"/>
      <c r="L182" s="1705"/>
      <c r="M182" s="1705"/>
      <c r="N182" s="1705"/>
      <c r="O182" s="1705"/>
      <c r="P182" s="1705"/>
      <c r="Q182" s="1705"/>
      <c r="R182" s="1705"/>
      <c r="S182" s="1705"/>
      <c r="T182" s="1705"/>
    </row>
    <row r="183" spans="1:20" ht="15.75" customHeight="1">
      <c r="A183" s="1713">
        <f t="shared" si="2"/>
        <v>178</v>
      </c>
      <c r="B183" s="1720" t="str">
        <f>ANALISA!C3173</f>
        <v>Pekerjaan 1 bh Pemasangan Kran wastafel Y 327 ex.ONDA</v>
      </c>
      <c r="C183" s="369" t="str">
        <f>ANALISA!B3173</f>
        <v>3.18.6.3</v>
      </c>
      <c r="D183" s="1716">
        <f>ANALISA!G3188</f>
        <v>335751</v>
      </c>
      <c r="E183" s="1719">
        <f>ANALISA!I3186</f>
        <v>0.94859133602149071</v>
      </c>
      <c r="F183" s="1705"/>
      <c r="G183" s="1705"/>
      <c r="H183" s="1705"/>
      <c r="I183" s="1705"/>
      <c r="J183" s="1705"/>
      <c r="K183" s="1705"/>
      <c r="L183" s="1705"/>
      <c r="M183" s="1705"/>
      <c r="N183" s="1705"/>
      <c r="O183" s="1705"/>
      <c r="P183" s="1705"/>
      <c r="Q183" s="1705"/>
      <c r="R183" s="1705"/>
      <c r="S183" s="1705"/>
      <c r="T183" s="1705"/>
    </row>
    <row r="184" spans="1:20" ht="15.75" customHeight="1">
      <c r="A184" s="1713">
        <f t="shared" si="2"/>
        <v>179</v>
      </c>
      <c r="B184" s="1720" t="str">
        <f>ANALISA!C3190</f>
        <v>Pekerjaan 1 bh Pemasangan Kran Angsa Kitchen Zinc ex.ONDA - V 638 S</v>
      </c>
      <c r="C184" s="369" t="str">
        <f>ANALISA!B3190</f>
        <v>3.18.6.3</v>
      </c>
      <c r="D184" s="1716">
        <f>ANALISA!G3205</f>
        <v>321176.23</v>
      </c>
      <c r="E184" s="1719">
        <f>ANALISA!I3203</f>
        <v>0.94909919150489541</v>
      </c>
      <c r="F184" s="1705"/>
      <c r="G184" s="1705"/>
      <c r="H184" s="1705"/>
      <c r="I184" s="1705"/>
      <c r="J184" s="1705"/>
      <c r="K184" s="1705"/>
      <c r="L184" s="1705"/>
      <c r="M184" s="1705"/>
      <c r="N184" s="1705"/>
      <c r="O184" s="1705"/>
      <c r="P184" s="1705"/>
      <c r="Q184" s="1705"/>
      <c r="R184" s="1705"/>
      <c r="S184" s="1705"/>
      <c r="T184" s="1705"/>
    </row>
    <row r="185" spans="1:20" ht="15.75" customHeight="1">
      <c r="A185" s="1713">
        <f t="shared" si="2"/>
        <v>180</v>
      </c>
      <c r="B185" s="1720" t="str">
        <f>ANALISA!C3207</f>
        <v>Pekerjaan 1 bh Pemasangan Kran Hand Shower Lengkap ex.ONDA</v>
      </c>
      <c r="C185" s="369" t="str">
        <f>ANALISA!B3207</f>
        <v>3.18.6.9</v>
      </c>
      <c r="D185" s="1716">
        <f>ANALISA!G3222</f>
        <v>601415.94000000006</v>
      </c>
      <c r="E185" s="1719">
        <f>ANALISA!I3220</f>
        <v>0.94364775966295766</v>
      </c>
      <c r="F185" s="1705"/>
      <c r="G185" s="1705"/>
      <c r="H185" s="1705"/>
      <c r="I185" s="1705"/>
      <c r="J185" s="1705"/>
      <c r="K185" s="1705"/>
      <c r="L185" s="1705"/>
      <c r="M185" s="1705"/>
      <c r="N185" s="1705"/>
      <c r="O185" s="1705"/>
      <c r="P185" s="1705"/>
      <c r="Q185" s="1705"/>
      <c r="R185" s="1705"/>
      <c r="S185" s="1705"/>
      <c r="T185" s="1705"/>
    </row>
    <row r="186" spans="1:20" ht="15.75" customHeight="1">
      <c r="A186" s="1713">
        <f t="shared" si="2"/>
        <v>181</v>
      </c>
      <c r="B186" s="1720" t="str">
        <f>ANALISA!C3224</f>
        <v>Pekerjaan 1 bh Pemasangan Urinoir U-57 M ex.TOTO</v>
      </c>
      <c r="C186" s="369" t="str">
        <f>ANALISA!B3224</f>
        <v>3.18.4.1</v>
      </c>
      <c r="D186" s="1716">
        <f>ANALISA!G3240</f>
        <v>2508653.09</v>
      </c>
      <c r="E186" s="1719">
        <f>ANALISA!I3238</f>
        <v>0.68539174514881007</v>
      </c>
      <c r="F186" s="1705"/>
      <c r="G186" s="1705"/>
      <c r="H186" s="1705"/>
      <c r="I186" s="1705"/>
      <c r="J186" s="1705"/>
      <c r="K186" s="1705"/>
      <c r="L186" s="1705"/>
      <c r="M186" s="1705"/>
      <c r="N186" s="1705"/>
      <c r="O186" s="1705"/>
      <c r="P186" s="1705"/>
      <c r="Q186" s="1705"/>
      <c r="R186" s="1705"/>
      <c r="S186" s="1705"/>
      <c r="T186" s="1705"/>
    </row>
    <row r="187" spans="1:20" ht="15.75" customHeight="1">
      <c r="A187" s="1713">
        <f t="shared" si="2"/>
        <v>182</v>
      </c>
      <c r="B187" s="1720" t="str">
        <f>ANALISA!C3242</f>
        <v>Pekerjaan 1 bh Pemasangan Sekatan Urinoir A-100 ex.TOTO</v>
      </c>
      <c r="C187" s="369" t="str">
        <f>ANALISA!B3242</f>
        <v>3.18.4.2</v>
      </c>
      <c r="D187" s="1716">
        <f>ANALISA!G3257</f>
        <v>1074721.0900000001</v>
      </c>
      <c r="E187" s="1719">
        <f>ANALISA!I3255</f>
        <v>0.71366709822955365</v>
      </c>
      <c r="F187" s="1705"/>
      <c r="G187" s="1705"/>
      <c r="H187" s="1705"/>
      <c r="I187" s="1705"/>
      <c r="J187" s="1705"/>
      <c r="K187" s="1705"/>
      <c r="L187" s="1705"/>
      <c r="M187" s="1705"/>
      <c r="N187" s="1705"/>
      <c r="O187" s="1705"/>
      <c r="P187" s="1705"/>
      <c r="Q187" s="1705"/>
      <c r="R187" s="1705"/>
      <c r="S187" s="1705"/>
      <c r="T187" s="1705"/>
    </row>
    <row r="188" spans="1:20" ht="15.75" customHeight="1">
      <c r="A188" s="1713">
        <f t="shared" si="2"/>
        <v>183</v>
      </c>
      <c r="B188" s="1720" t="str">
        <f>ANALISA!C3259</f>
        <v>Pekerjaan 1 bh Pemasangan Kitchen Zinc, 1 Lubang + 1 Sayap ex.Royal</v>
      </c>
      <c r="C188" s="369" t="str">
        <f>ANALISA!B3259</f>
        <v>3.18.2.1</v>
      </c>
      <c r="D188" s="1716">
        <f>ANALISA!G3274</f>
        <v>1437573.97</v>
      </c>
      <c r="E188" s="1719">
        <f>ANALISA!I3272</f>
        <v>0.43372939552574474</v>
      </c>
      <c r="F188" s="1705"/>
      <c r="G188" s="1705"/>
      <c r="H188" s="1705"/>
      <c r="I188" s="1705"/>
      <c r="J188" s="1705"/>
      <c r="K188" s="1705"/>
      <c r="L188" s="1705"/>
      <c r="M188" s="1705"/>
      <c r="N188" s="1705"/>
      <c r="O188" s="1705"/>
      <c r="P188" s="1705"/>
      <c r="Q188" s="1705"/>
      <c r="R188" s="1705"/>
      <c r="S188" s="1705"/>
      <c r="T188" s="1705"/>
    </row>
    <row r="189" spans="1:20" ht="15.75" customHeight="1">
      <c r="A189" s="1713">
        <f t="shared" si="2"/>
        <v>184</v>
      </c>
      <c r="B189" s="1720" t="str">
        <f>ANALISA!C3276</f>
        <v>Pekerjaan 1 bh Pemasangan Floor Drain</v>
      </c>
      <c r="C189" s="369" t="str">
        <f>ANALISA!B3276</f>
        <v>3.18.6.1</v>
      </c>
      <c r="D189" s="1716">
        <f>ANALISA!G3290</f>
        <v>98867.86</v>
      </c>
      <c r="E189" s="1719">
        <f>ANALISA!I3288</f>
        <v>0.80737488815516223</v>
      </c>
      <c r="F189" s="1705"/>
      <c r="G189" s="1705"/>
      <c r="H189" s="1705"/>
      <c r="I189" s="1705"/>
      <c r="J189" s="1705"/>
      <c r="K189" s="1705"/>
      <c r="L189" s="1705"/>
      <c r="M189" s="1705"/>
      <c r="N189" s="1705"/>
      <c r="O189" s="1705"/>
      <c r="P189" s="1705"/>
      <c r="Q189" s="1705"/>
      <c r="R189" s="1705"/>
      <c r="S189" s="1705"/>
      <c r="T189" s="1705"/>
    </row>
    <row r="190" spans="1:20" ht="15.75" customHeight="1">
      <c r="A190" s="1713">
        <f t="shared" si="2"/>
        <v>185</v>
      </c>
      <c r="B190" s="1720" t="str">
        <f>ANALISA!C3292</f>
        <v>Pekerjaan 1 bh Pemasangan Roof Drain PVC Ø 3 Inch ex.ONDA</v>
      </c>
      <c r="C190" s="369" t="str">
        <f>ANALISA!B3292</f>
        <v>6.5.13.3</v>
      </c>
      <c r="D190" s="1716">
        <f>ANALISA!G3306</f>
        <v>620098.55000000005</v>
      </c>
      <c r="E190" s="1719">
        <f>ANALISA!I3304</f>
        <v>0.79779989232356585</v>
      </c>
      <c r="F190" s="1705"/>
      <c r="G190" s="1705"/>
      <c r="H190" s="1705"/>
      <c r="I190" s="1705"/>
      <c r="J190" s="1705"/>
      <c r="K190" s="1705"/>
      <c r="L190" s="1705"/>
      <c r="M190" s="1705"/>
      <c r="N190" s="1705"/>
      <c r="O190" s="1705"/>
      <c r="P190" s="1705"/>
      <c r="Q190" s="1705"/>
      <c r="R190" s="1705"/>
      <c r="S190" s="1705"/>
      <c r="T190" s="1705"/>
    </row>
    <row r="191" spans="1:20" ht="15.75" customHeight="1">
      <c r="A191" s="1713">
        <f t="shared" si="2"/>
        <v>186</v>
      </c>
      <c r="B191" s="1720" t="str">
        <f>ANALISA!C3308</f>
        <v>Pekerjaan 1 unit Pemasangan Pompa Dorong</v>
      </c>
      <c r="C191" s="369" t="str">
        <f>ANALISA!B3308</f>
        <v>6.1.2.3</v>
      </c>
      <c r="D191" s="1716">
        <f>ANALISA!G3322</f>
        <v>1209261.8700000001</v>
      </c>
      <c r="E191" s="1719">
        <f>ANALISA!I3320</f>
        <v>0.79855459866813061</v>
      </c>
      <c r="F191" s="1705"/>
      <c r="G191" s="1705"/>
      <c r="H191" s="1705"/>
      <c r="I191" s="1705"/>
      <c r="J191" s="1705"/>
      <c r="K191" s="1705"/>
      <c r="L191" s="1705"/>
      <c r="M191" s="1705"/>
      <c r="N191" s="1705"/>
      <c r="O191" s="1705"/>
      <c r="P191" s="1705"/>
      <c r="Q191" s="1705"/>
      <c r="R191" s="1705"/>
      <c r="S191" s="1705"/>
      <c r="T191" s="1705"/>
    </row>
    <row r="192" spans="1:20" ht="15.75" customHeight="1">
      <c r="A192" s="1713">
        <f t="shared" si="2"/>
        <v>187</v>
      </c>
      <c r="B192" s="1721" t="str">
        <f>ANALISA!C3324</f>
        <v>Pekerjaan 1 bh Pemasangan Tangki Toren Kap.600 liter ex.Penguin TD60</v>
      </c>
      <c r="C192" s="369" t="str">
        <f>ANALISA!B3324</f>
        <v>6.1.1.7</v>
      </c>
      <c r="D192" s="1716">
        <f>ANALISA!G3338</f>
        <v>2861130.9699999997</v>
      </c>
      <c r="E192" s="1719">
        <f>ANALISA!I3336</f>
        <v>0.7737178959612937</v>
      </c>
      <c r="F192" s="1705"/>
      <c r="G192" s="1705"/>
      <c r="H192" s="1705"/>
      <c r="I192" s="1705"/>
      <c r="J192" s="1705"/>
      <c r="K192" s="1705"/>
      <c r="L192" s="1705"/>
      <c r="M192" s="1705"/>
      <c r="N192" s="1705"/>
      <c r="O192" s="1705"/>
      <c r="P192" s="1705"/>
      <c r="Q192" s="1705"/>
      <c r="R192" s="1705"/>
      <c r="S192" s="1705"/>
      <c r="T192" s="1705"/>
    </row>
    <row r="193" spans="1:20" ht="15.75" customHeight="1">
      <c r="A193" s="1713">
        <f t="shared" si="2"/>
        <v>188</v>
      </c>
      <c r="B193" s="1723" t="str">
        <f>ANALISA!C3340</f>
        <v>Pekerjaan 1 bh Pemasangan Tangki Toren Kap.1050 liter ex.Penguin TD110</v>
      </c>
      <c r="C193" s="369" t="str">
        <f>ANALISA!B3340</f>
        <v>6.1.1.8</v>
      </c>
      <c r="D193" s="1716">
        <f>ANALISA!G3354</f>
        <v>5313531.47</v>
      </c>
      <c r="E193" s="1719">
        <f>ANALISA!I3352</f>
        <v>0.77649850056254577</v>
      </c>
      <c r="F193" s="1705"/>
      <c r="G193" s="1705"/>
      <c r="H193" s="1705"/>
      <c r="I193" s="1705"/>
      <c r="J193" s="1705"/>
      <c r="K193" s="1705"/>
      <c r="L193" s="1705"/>
      <c r="M193" s="1705"/>
      <c r="N193" s="1705"/>
      <c r="O193" s="1705"/>
      <c r="P193" s="1705"/>
      <c r="Q193" s="1705"/>
      <c r="R193" s="1705"/>
      <c r="S193" s="1705"/>
      <c r="T193" s="1705"/>
    </row>
    <row r="194" spans="1:20" ht="15.75" customHeight="1">
      <c r="A194" s="1713">
        <f t="shared" si="2"/>
        <v>189</v>
      </c>
      <c r="B194" s="1720" t="str">
        <f>ANALISA!C3356</f>
        <v>Pekerjaan 1 unit Pengadaan dan Setting Septiktank Bio Tech 1 m³ (dia.120 cm, T = 110 cm)</v>
      </c>
      <c r="C194" s="369" t="str">
        <f>ANALISA!B3356</f>
        <v>Analisa Sendiri</v>
      </c>
      <c r="D194" s="1716">
        <f>ANALISA!G3367</f>
        <v>3148513.3899999997</v>
      </c>
      <c r="E194" s="1719">
        <f>ANALISA!I3365</f>
        <v>0.79141912563240191</v>
      </c>
      <c r="F194" s="1705"/>
      <c r="G194" s="1705"/>
      <c r="H194" s="1705"/>
      <c r="I194" s="1705"/>
      <c r="J194" s="1705"/>
      <c r="K194" s="1705"/>
      <c r="L194" s="1705"/>
      <c r="M194" s="1705"/>
      <c r="N194" s="1705"/>
      <c r="O194" s="1705"/>
      <c r="P194" s="1705"/>
      <c r="Q194" s="1705"/>
      <c r="R194" s="1705"/>
      <c r="S194" s="1705"/>
      <c r="T194" s="1705"/>
    </row>
    <row r="195" spans="1:20" ht="15.75" customHeight="1">
      <c r="A195" s="1713">
        <f t="shared" si="2"/>
        <v>190</v>
      </c>
      <c r="B195" s="1720" t="str">
        <f>ANALISA!C3369</f>
        <v>Pekerjaan 1 unit Pengadaan dan Setting Septiktank Bio Tech 2 m³</v>
      </c>
      <c r="C195" s="369" t="str">
        <f>ANALISA!B3369</f>
        <v>Analisa Sendiri</v>
      </c>
      <c r="D195" s="1716">
        <f>ANALISA!G3380</f>
        <v>8240042.7000000002</v>
      </c>
      <c r="E195" s="1719">
        <f>ANALISA!I3378</f>
        <v>0.78156411119363844</v>
      </c>
      <c r="F195" s="1705"/>
      <c r="G195" s="1705"/>
      <c r="H195" s="1705"/>
      <c r="I195" s="1705"/>
      <c r="J195" s="1705"/>
      <c r="K195" s="1705"/>
      <c r="L195" s="1705"/>
      <c r="M195" s="1705"/>
      <c r="N195" s="1705"/>
      <c r="O195" s="1705"/>
      <c r="P195" s="1705"/>
      <c r="Q195" s="1705"/>
      <c r="R195" s="1705"/>
      <c r="S195" s="1705"/>
      <c r="T195" s="1705"/>
    </row>
    <row r="196" spans="1:20" ht="15.75" customHeight="1">
      <c r="A196" s="1713">
        <f t="shared" si="2"/>
        <v>191</v>
      </c>
      <c r="B196" s="1720" t="str">
        <f>ANALISA!C3382</f>
        <v>Pekerjaan 1 m¹ Pengadaan dan Setting Saluran U-Ditch 80x80x120 cm</v>
      </c>
      <c r="C196" s="369" t="str">
        <f>ANALISA!B3382</f>
        <v>8.1.1.13</v>
      </c>
      <c r="D196" s="1716">
        <f>ANALISA!G3398</f>
        <v>2152218.4699999997</v>
      </c>
      <c r="E196" s="1719">
        <f>ANALISA!I3396</f>
        <v>0.8148112480684041</v>
      </c>
      <c r="F196" s="1705"/>
      <c r="G196" s="1705"/>
      <c r="H196" s="1705"/>
      <c r="I196" s="1705"/>
      <c r="J196" s="1705"/>
      <c r="K196" s="1705"/>
      <c r="L196" s="1705"/>
      <c r="M196" s="1705"/>
      <c r="N196" s="1705"/>
      <c r="O196" s="1705"/>
      <c r="P196" s="1705"/>
      <c r="Q196" s="1705"/>
      <c r="R196" s="1705"/>
      <c r="S196" s="1705"/>
      <c r="T196" s="1705"/>
    </row>
    <row r="197" spans="1:20" ht="15.75" customHeight="1">
      <c r="A197" s="1713">
        <f t="shared" si="2"/>
        <v>192</v>
      </c>
      <c r="B197" s="1720" t="str">
        <f>ANALISA!C3400</f>
        <v>Pekerjaan 1 unit Pengadaan dan Setting Mesin Es Portable 2 T/hr</v>
      </c>
      <c r="C197" s="369" t="str">
        <f>ANALISA!B3400</f>
        <v>5.1.3.1</v>
      </c>
      <c r="D197" s="1716">
        <f>ANALISA!G3415</f>
        <v>255353030.56999999</v>
      </c>
      <c r="E197" s="1719">
        <f>ANALISA!I3413</f>
        <v>0.3862205688198207</v>
      </c>
      <c r="F197" s="1705"/>
      <c r="G197" s="1705"/>
      <c r="H197" s="1705"/>
      <c r="I197" s="1705"/>
      <c r="J197" s="1705"/>
      <c r="K197" s="1705"/>
      <c r="L197" s="1705"/>
      <c r="M197" s="1705"/>
      <c r="N197" s="1705"/>
      <c r="O197" s="1705"/>
      <c r="P197" s="1705"/>
      <c r="Q197" s="1705"/>
      <c r="R197" s="1705"/>
      <c r="S197" s="1705"/>
      <c r="T197" s="1705"/>
    </row>
    <row r="198" spans="1:20" ht="15.75" customHeight="1">
      <c r="A198" s="1713">
        <f t="shared" si="2"/>
        <v>193</v>
      </c>
      <c r="B198" s="1721" t="str">
        <f>ANALISA!C3417</f>
        <v>Pekerjaan 1 unit Pengadaan dan Setting IPAL Biotech 2 m³ RCO-02 (Ø 120x200x1350)</v>
      </c>
      <c r="C198" s="369" t="str">
        <f>ANALISA!B3417</f>
        <v>6.1.1.9</v>
      </c>
      <c r="D198" s="1716">
        <f>ANALISA!G3431</f>
        <v>22576349.560000002</v>
      </c>
      <c r="E198" s="1719">
        <f>ANALISA!I3429</f>
        <v>0.38700365089296135</v>
      </c>
      <c r="F198" s="1705"/>
      <c r="G198" s="1705"/>
      <c r="H198" s="1705"/>
      <c r="I198" s="1705"/>
      <c r="J198" s="1705"/>
      <c r="K198" s="1705"/>
      <c r="L198" s="1705"/>
      <c r="M198" s="1705"/>
      <c r="N198" s="1705"/>
      <c r="O198" s="1705"/>
      <c r="P198" s="1705"/>
      <c r="Q198" s="1705"/>
      <c r="R198" s="1705"/>
      <c r="S198" s="1705"/>
      <c r="T198" s="1705"/>
    </row>
    <row r="199" spans="1:20" ht="15.75" customHeight="1">
      <c r="A199" s="1713">
        <f t="shared" ref="A199:A250" si="3">A198+1</f>
        <v>194</v>
      </c>
      <c r="B199" s="1721" t="str">
        <f>ANALISA!C3433</f>
        <v>Pekerjaan 1 unit Pengiriman Tangki Air FRP 18.000 liter dan Tenaga Ahli Perakitan</v>
      </c>
      <c r="C199" s="369" t="str">
        <f>ANALISA!B3433</f>
        <v>Analisa Sendiri</v>
      </c>
      <c r="D199" s="1716">
        <f>ANALISA!G3451</f>
        <v>16765887.58</v>
      </c>
      <c r="E199" s="1719">
        <f>ANALISA!I3451</f>
        <v>1</v>
      </c>
      <c r="F199" s="1705"/>
      <c r="G199" s="1705"/>
      <c r="H199" s="1705"/>
      <c r="I199" s="1705"/>
      <c r="J199" s="1705"/>
      <c r="K199" s="1705"/>
      <c r="L199" s="1705"/>
      <c r="M199" s="1705"/>
      <c r="N199" s="1705"/>
      <c r="O199" s="1705"/>
      <c r="P199" s="1705"/>
      <c r="Q199" s="1705"/>
      <c r="R199" s="1705"/>
      <c r="S199" s="1705"/>
      <c r="T199" s="1705"/>
    </row>
    <row r="200" spans="1:20" ht="42" customHeight="1">
      <c r="A200" s="1713">
        <f t="shared" si="3"/>
        <v>195</v>
      </c>
      <c r="B200" s="1721" t="str">
        <f>ANALISA!C3453</f>
        <v>Pekerjaan 1 unit Pengadaan dan Setting Tangki Air FRP 18.000 liter (Inlet, Outlet, Drain, Vent, Overflow dan Vent Flanges Ø 2 Inch, Man Hole dia.50 cm, Bolt+Nuts M10x40 Galvanis, Base Frame UNP 80</v>
      </c>
      <c r="C200" s="369" t="str">
        <f>ANALISA!B3453</f>
        <v>6.1.1.15</v>
      </c>
      <c r="D200" s="1716">
        <f>ANALISA!G3467</f>
        <v>55418320.640000001</v>
      </c>
      <c r="E200" s="1719">
        <f>ANALISA!I3465</f>
        <v>0.40638943563108287</v>
      </c>
      <c r="F200" s="1705"/>
      <c r="G200" s="1705"/>
      <c r="H200" s="1705"/>
      <c r="I200" s="1705"/>
      <c r="J200" s="1705"/>
      <c r="K200" s="1705"/>
      <c r="L200" s="1705"/>
      <c r="M200" s="1705"/>
      <c r="N200" s="1705"/>
      <c r="O200" s="1705"/>
      <c r="P200" s="1705"/>
      <c r="Q200" s="1705"/>
      <c r="R200" s="1705"/>
      <c r="S200" s="1705"/>
      <c r="T200" s="1705"/>
    </row>
    <row r="201" spans="1:20" ht="15.75" customHeight="1">
      <c r="A201" s="1713">
        <f t="shared" si="3"/>
        <v>196</v>
      </c>
      <c r="B201" s="1720" t="str">
        <f>ANALISA!C3469</f>
        <v>Pekerjaan 1 bh Flange Gate Valve 10K, dia. 2 Inch (50 mm)</v>
      </c>
      <c r="C201" s="369" t="str">
        <f>ANALISA!B3469</f>
        <v>6.6.1.6</v>
      </c>
      <c r="D201" s="1716">
        <f>ANALISA!G3483</f>
        <v>3167130.6399999997</v>
      </c>
      <c r="E201" s="1719">
        <f>ANALISA!I3481</f>
        <v>0.41384247600729407</v>
      </c>
      <c r="F201" s="1705"/>
      <c r="G201" s="1705"/>
      <c r="H201" s="1705"/>
      <c r="I201" s="1705"/>
      <c r="J201" s="1705"/>
      <c r="K201" s="1705"/>
      <c r="L201" s="1705"/>
      <c r="M201" s="1705"/>
      <c r="N201" s="1705"/>
      <c r="O201" s="1705"/>
      <c r="P201" s="1705"/>
      <c r="Q201" s="1705"/>
      <c r="R201" s="1705"/>
      <c r="S201" s="1705"/>
      <c r="T201" s="1705"/>
    </row>
    <row r="202" spans="1:20" ht="15.75" customHeight="1">
      <c r="A202" s="1713">
        <f t="shared" si="3"/>
        <v>197</v>
      </c>
      <c r="B202" s="1720" t="str">
        <f>ANALISA!C3485</f>
        <v>Pekerjaan 1 bh Tee Galvanis 16K, dia. 2 Inch (50 mm)</v>
      </c>
      <c r="C202" s="369" t="str">
        <f>ANALISA!B3485</f>
        <v>6.5.4.16</v>
      </c>
      <c r="D202" s="1716">
        <f>ANALISA!G3499</f>
        <v>225341.82</v>
      </c>
      <c r="E202" s="1719">
        <f>ANALISA!I3497</f>
        <v>0.60071251891752386</v>
      </c>
      <c r="F202" s="1705"/>
      <c r="G202" s="1705"/>
      <c r="H202" s="1705"/>
      <c r="I202" s="1705"/>
      <c r="J202" s="1705"/>
      <c r="K202" s="1705"/>
      <c r="L202" s="1705"/>
      <c r="M202" s="1705"/>
      <c r="N202" s="1705"/>
      <c r="O202" s="1705"/>
      <c r="P202" s="1705"/>
      <c r="Q202" s="1705"/>
      <c r="R202" s="1705"/>
      <c r="S202" s="1705"/>
      <c r="T202" s="1705"/>
    </row>
    <row r="203" spans="1:20" ht="15.75" customHeight="1">
      <c r="A203" s="1713">
        <f t="shared" si="3"/>
        <v>198</v>
      </c>
      <c r="B203" s="1720" t="str">
        <f>ANALISA!C3501</f>
        <v>Pekerjaan 1 bh Sock 2 Inch untuk Pipa Galvanis dan Pipa HDPE</v>
      </c>
      <c r="C203" s="369" t="str">
        <f>ANALISA!B3501</f>
        <v>6.5.4.16</v>
      </c>
      <c r="D203" s="1716">
        <f>ANALISA!G3515</f>
        <v>265363.26</v>
      </c>
      <c r="E203" s="1719">
        <f>ANALISA!I3513</f>
        <v>0.57092416027760362</v>
      </c>
      <c r="F203" s="1705"/>
      <c r="G203" s="1705"/>
      <c r="H203" s="1705"/>
      <c r="I203" s="1705"/>
      <c r="J203" s="1705"/>
      <c r="K203" s="1705"/>
      <c r="L203" s="1705"/>
      <c r="M203" s="1705"/>
      <c r="N203" s="1705"/>
      <c r="O203" s="1705"/>
      <c r="P203" s="1705"/>
      <c r="Q203" s="1705"/>
      <c r="R203" s="1705"/>
      <c r="S203" s="1705"/>
      <c r="T203" s="1705"/>
    </row>
    <row r="204" spans="1:20" ht="15.75" customHeight="1">
      <c r="A204" s="1713">
        <f t="shared" si="3"/>
        <v>199</v>
      </c>
      <c r="B204" s="1720" t="str">
        <f>ANALISA!C3517</f>
        <v>Pekerjaan 1 bh Sock 2 Inch untuk Pipa PVC dan Pipa HDPE</v>
      </c>
      <c r="C204" s="369" t="str">
        <f>ANALISA!B3517</f>
        <v>6.5.4.16</v>
      </c>
      <c r="D204" s="1716">
        <f>ANALISA!G3531</f>
        <v>247433.81</v>
      </c>
      <c r="E204" s="1719">
        <f>ANALISA!I3529</f>
        <v>0.54368167648999299</v>
      </c>
      <c r="F204" s="1705"/>
      <c r="G204" s="1705"/>
      <c r="H204" s="1705"/>
      <c r="I204" s="1705"/>
      <c r="J204" s="1705"/>
      <c r="K204" s="1705"/>
      <c r="L204" s="1705"/>
      <c r="M204" s="1705"/>
      <c r="N204" s="1705"/>
      <c r="O204" s="1705"/>
      <c r="P204" s="1705"/>
      <c r="Q204" s="1705"/>
      <c r="R204" s="1705"/>
      <c r="S204" s="1705"/>
      <c r="T204" s="1705"/>
    </row>
    <row r="205" spans="1:20" ht="15.75" customHeight="1">
      <c r="A205" s="1713">
        <f t="shared" si="3"/>
        <v>200</v>
      </c>
      <c r="B205" s="1720" t="str">
        <f>ANALISA!C3533</f>
        <v>Pekerjaan 1 unit Pemasangan Pompa Semi Jet Pump</v>
      </c>
      <c r="C205" s="369" t="str">
        <f>ANALISA!B3533</f>
        <v>6.1.2.4</v>
      </c>
      <c r="D205" s="1716">
        <f>ANALISA!G3547</f>
        <v>1668475.21</v>
      </c>
      <c r="E205" s="1719">
        <f>ANALISA!I3545</f>
        <v>0.5014074799861179</v>
      </c>
      <c r="F205" s="1705"/>
      <c r="G205" s="1705"/>
      <c r="H205" s="1705"/>
      <c r="I205" s="1705"/>
      <c r="J205" s="1705"/>
      <c r="K205" s="1705"/>
      <c r="L205" s="1705"/>
      <c r="M205" s="1705"/>
      <c r="N205" s="1705"/>
      <c r="O205" s="1705"/>
      <c r="P205" s="1705"/>
      <c r="Q205" s="1705"/>
      <c r="R205" s="1705"/>
      <c r="S205" s="1705"/>
      <c r="T205" s="1705"/>
    </row>
    <row r="206" spans="1:20" ht="27.75" customHeight="1">
      <c r="A206" s="1713">
        <f t="shared" si="3"/>
        <v>201</v>
      </c>
      <c r="B206" s="872" t="str">
        <f>ANALISA!C3549</f>
        <v>Pekerjaan 1 unit Pemasangan Genset 50 Kva Silent ex.Mitsubishi, 3 Phase 220v/380v, 1500rpm, 50-52Hz</v>
      </c>
      <c r="C206" s="369" t="str">
        <f>ANALISA!B3549</f>
        <v>5.1.3.1</v>
      </c>
      <c r="D206" s="1716">
        <f>ANALISA!G3563</f>
        <v>93628698.340000004</v>
      </c>
      <c r="E206" s="1719">
        <f>ANALISA!I3561</f>
        <v>0.40857596325368062</v>
      </c>
      <c r="F206" s="1705"/>
      <c r="G206" s="1705"/>
      <c r="H206" s="1705"/>
      <c r="I206" s="1705"/>
      <c r="J206" s="1705"/>
      <c r="K206" s="1705"/>
      <c r="L206" s="1705"/>
      <c r="M206" s="1705"/>
      <c r="N206" s="1705"/>
      <c r="O206" s="1705"/>
      <c r="P206" s="1705"/>
      <c r="Q206" s="1705"/>
      <c r="R206" s="1705"/>
      <c r="S206" s="1705"/>
      <c r="T206" s="1705"/>
    </row>
    <row r="207" spans="1:20" ht="15.75" customHeight="1">
      <c r="A207" s="1713">
        <f t="shared" si="3"/>
        <v>202</v>
      </c>
      <c r="B207" s="872" t="str">
        <f>ANALISA!C3565</f>
        <v>Pekerjaan 1 unit Pemasangan Genset 60 KVA Tipe Silent</v>
      </c>
      <c r="C207" s="369" t="str">
        <f>ANALISA!B3565</f>
        <v>5.1.3.1</v>
      </c>
      <c r="D207" s="1716">
        <f>ANALISA!G3580</f>
        <v>381747842.95999998</v>
      </c>
      <c r="E207" s="1719">
        <f>ANALISA!I3578</f>
        <v>0.42348426292301961</v>
      </c>
      <c r="F207" s="1705"/>
      <c r="G207" s="1705"/>
      <c r="H207" s="1705"/>
      <c r="I207" s="1705"/>
      <c r="J207" s="1705"/>
      <c r="K207" s="1705"/>
      <c r="L207" s="1705"/>
      <c r="M207" s="1705"/>
      <c r="N207" s="1705"/>
      <c r="O207" s="1705"/>
      <c r="P207" s="1705"/>
      <c r="Q207" s="1705"/>
      <c r="R207" s="1705"/>
      <c r="S207" s="1705"/>
      <c r="T207" s="1705"/>
    </row>
    <row r="208" spans="1:20" ht="15.75" customHeight="1">
      <c r="A208" s="1713">
        <f t="shared" si="3"/>
        <v>203</v>
      </c>
      <c r="B208" s="1720" t="str">
        <f>ANALISA!C3582</f>
        <v>Pekerjaan 1 unit Pengadaan dan Pemasangan Tangki BBM 5000 liter</v>
      </c>
      <c r="C208" s="369" t="str">
        <f>ANALISA!B3582</f>
        <v>Analisa Sendiri</v>
      </c>
      <c r="D208" s="1716">
        <f>ANALISA!G3593</f>
        <v>38208494.289999999</v>
      </c>
      <c r="E208" s="1719">
        <f>ANALISA!I3591</f>
        <v>1.8041831327892635</v>
      </c>
      <c r="F208" s="1705"/>
      <c r="G208" s="1705"/>
      <c r="H208" s="1705"/>
      <c r="I208" s="1705"/>
      <c r="J208" s="1705"/>
      <c r="K208" s="1705"/>
      <c r="L208" s="1705"/>
      <c r="M208" s="1705"/>
      <c r="N208" s="1705"/>
      <c r="O208" s="1705"/>
      <c r="P208" s="1705"/>
      <c r="Q208" s="1705"/>
      <c r="R208" s="1705"/>
      <c r="S208" s="1705"/>
      <c r="T208" s="1705"/>
    </row>
    <row r="209" spans="1:20" ht="15.75" customHeight="1">
      <c r="A209" s="1713">
        <f t="shared" si="3"/>
        <v>204</v>
      </c>
      <c r="B209" s="1720" t="str">
        <f>ANALISA!C3595</f>
        <v>Pekerjaan 1 unit Pengadaan dan Pemasangan Gardu Meteran + Nozle BBM digital</v>
      </c>
      <c r="C209" s="369" t="str">
        <f>ANALISA!B3595</f>
        <v>Analisa Sendiri</v>
      </c>
      <c r="D209" s="1716">
        <f>ANALISA!G3606</f>
        <v>21866643.170000002</v>
      </c>
      <c r="E209" s="1719">
        <f>ANALISA!I3604</f>
        <v>0.63900339189218158</v>
      </c>
      <c r="F209" s="1705"/>
      <c r="G209" s="1705"/>
      <c r="H209" s="1705"/>
      <c r="I209" s="1705"/>
      <c r="J209" s="1705"/>
      <c r="K209" s="1705"/>
      <c r="L209" s="1705"/>
      <c r="M209" s="1705"/>
      <c r="N209" s="1705"/>
      <c r="O209" s="1705"/>
      <c r="P209" s="1705"/>
      <c r="Q209" s="1705"/>
      <c r="R209" s="1705"/>
      <c r="S209" s="1705"/>
      <c r="T209" s="1705"/>
    </row>
    <row r="210" spans="1:20" ht="15.75" customHeight="1">
      <c r="A210" s="1713">
        <f t="shared" si="3"/>
        <v>205</v>
      </c>
      <c r="B210" s="1720" t="str">
        <f>ANALISA!C3608</f>
        <v>Pekerjaan 1 m¹ Pemasangan Tutup Saluran/Gretting Plastik ABS L = 30 cm</v>
      </c>
      <c r="C210" s="369" t="str">
        <f>ANALISA!B3608</f>
        <v>Analisa Sendiri</v>
      </c>
      <c r="D210" s="1716">
        <f>ANALISA!G3620</f>
        <v>178927.2</v>
      </c>
      <c r="E210" s="1719">
        <f>ANALISA!I3617</f>
        <v>0.98141134131553265</v>
      </c>
      <c r="F210" s="1705"/>
      <c r="G210" s="1705"/>
      <c r="H210" s="1705"/>
      <c r="I210" s="1705"/>
      <c r="J210" s="1705"/>
      <c r="K210" s="1705"/>
      <c r="L210" s="1705"/>
      <c r="M210" s="1705"/>
      <c r="N210" s="1705"/>
      <c r="O210" s="1705"/>
      <c r="P210" s="1705"/>
      <c r="Q210" s="1705"/>
      <c r="R210" s="1705"/>
      <c r="S210" s="1705"/>
      <c r="T210" s="1705"/>
    </row>
    <row r="211" spans="1:20" ht="15.75" customHeight="1">
      <c r="A211" s="1713">
        <f t="shared" si="3"/>
        <v>206</v>
      </c>
      <c r="B211" s="1720" t="str">
        <f>ANALISA!C3622</f>
        <v>Pekerjaan 1 kg Kontruksi Profil Baja Siku 70.70.7 mm</v>
      </c>
      <c r="C211" s="369" t="str">
        <f>ANALISA!B3622</f>
        <v>A.4.2.1.2</v>
      </c>
      <c r="D211" s="1716">
        <f>ANALISA!G3634</f>
        <v>42323.4</v>
      </c>
      <c r="E211" s="1719">
        <f>ANALISA!I3633</f>
        <v>0.78615262994371826</v>
      </c>
      <c r="F211" s="1705"/>
      <c r="G211" s="1705"/>
      <c r="H211" s="1705"/>
      <c r="I211" s="1705"/>
      <c r="J211" s="1705"/>
      <c r="K211" s="1705"/>
      <c r="L211" s="1705"/>
      <c r="M211" s="1705"/>
      <c r="N211" s="1705"/>
      <c r="O211" s="1705"/>
      <c r="P211" s="1705"/>
      <c r="Q211" s="1705"/>
      <c r="R211" s="1705"/>
      <c r="S211" s="1705"/>
      <c r="T211" s="1705"/>
    </row>
    <row r="212" spans="1:20" ht="15.75" customHeight="1">
      <c r="A212" s="1713">
        <f t="shared" si="3"/>
        <v>207</v>
      </c>
      <c r="B212" s="1720" t="str">
        <f>ANALISA!C3636</f>
        <v>Pekerjaan 1 m² Pekerjaan Pengaspalan Jalan tebal 7</v>
      </c>
      <c r="C212" s="369" t="str">
        <f>ANALISA!B3636</f>
        <v>1.1.2.5</v>
      </c>
      <c r="D212" s="1716">
        <f>ANALISA!G3657</f>
        <v>214833.86000000002</v>
      </c>
      <c r="E212" s="1719">
        <f>ANALISA!I3656</f>
        <v>0.97902352828614347</v>
      </c>
      <c r="F212" s="1705"/>
      <c r="G212" s="1705"/>
      <c r="H212" s="1705"/>
      <c r="I212" s="1705"/>
      <c r="J212" s="1705"/>
      <c r="K212" s="1705"/>
      <c r="L212" s="1705"/>
      <c r="M212" s="1705"/>
      <c r="N212" s="1705"/>
      <c r="O212" s="1705"/>
      <c r="P212" s="1705"/>
      <c r="Q212" s="1705"/>
      <c r="R212" s="1705"/>
      <c r="S212" s="1705"/>
      <c r="T212" s="1705"/>
    </row>
    <row r="213" spans="1:20" ht="15.75" customHeight="1">
      <c r="A213" s="1713">
        <f t="shared" si="3"/>
        <v>208</v>
      </c>
      <c r="B213" s="1724" t="str">
        <f>ANALISA!C3659</f>
        <v>Pekerjaan 1 ttk Penyelidikan Geolistrik</v>
      </c>
      <c r="C213" s="1725" t="str">
        <f>ANALISA!B3659</f>
        <v>Analisa Sendiri</v>
      </c>
      <c r="D213" s="1726">
        <f>ANALISA!G3677</f>
        <v>11458043.810000001</v>
      </c>
      <c r="E213" s="1727">
        <f>ANALISA!I3676</f>
        <v>0.99999999999999989</v>
      </c>
      <c r="F213" s="1705"/>
      <c r="G213" s="1705"/>
      <c r="H213" s="1705"/>
      <c r="I213" s="1705"/>
      <c r="J213" s="1705"/>
      <c r="K213" s="1705"/>
      <c r="L213" s="1705"/>
      <c r="M213" s="1705"/>
      <c r="N213" s="1705"/>
      <c r="O213" s="1705"/>
      <c r="P213" s="1705"/>
      <c r="Q213" s="1705"/>
      <c r="R213" s="1705"/>
      <c r="S213" s="1705"/>
      <c r="T213" s="1705"/>
    </row>
    <row r="214" spans="1:20" ht="27.75" customHeight="1">
      <c r="A214" s="1713">
        <f t="shared" si="3"/>
        <v>209</v>
      </c>
      <c r="B214" s="1728" t="str">
        <f>ANALISA!C3679</f>
        <v>Pekerjaan 1 m¹ Pengeboran Bor Dalam Ø 2 inch untuk sample pekerjaan Geolistrik termasuk transport Personil</v>
      </c>
      <c r="C214" s="1725" t="str">
        <f>ANALISA!B3679</f>
        <v>A.3.08.1b.2</v>
      </c>
      <c r="D214" s="1726">
        <f>ANALISA!G3694</f>
        <v>147321.42000000001</v>
      </c>
      <c r="E214" s="1727">
        <f>ANALISA!I3693</f>
        <v>0.99999999999999989</v>
      </c>
      <c r="F214" s="1705"/>
      <c r="G214" s="1705"/>
      <c r="H214" s="1705"/>
      <c r="I214" s="1705"/>
      <c r="J214" s="1705"/>
      <c r="K214" s="1705"/>
      <c r="L214" s="1705"/>
      <c r="M214" s="1705"/>
      <c r="N214" s="1705"/>
      <c r="O214" s="1705"/>
      <c r="P214" s="1705"/>
      <c r="Q214" s="1705"/>
      <c r="R214" s="1705"/>
      <c r="S214" s="1705"/>
      <c r="T214" s="1705"/>
    </row>
    <row r="215" spans="1:20" ht="27.75" customHeight="1">
      <c r="A215" s="1713">
        <f t="shared" si="3"/>
        <v>210</v>
      </c>
      <c r="B215" s="1728" t="str">
        <f>ANALISA!C3696</f>
        <v>Pekerjaan 1 m¹ Pengeboran Bor Dalam Ø 6 Inch termasuk mobilisasi alat dan Personil</v>
      </c>
      <c r="C215" s="1725" t="str">
        <f>ANALISA!B3696</f>
        <v>a.3.08.1d.3</v>
      </c>
      <c r="D215" s="1726">
        <f>ANALISA!G3710</f>
        <v>497569.60000000003</v>
      </c>
      <c r="E215" s="1727">
        <f>ANALISA!I3709</f>
        <v>0.99999999999999989</v>
      </c>
      <c r="F215" s="1705"/>
      <c r="G215" s="1705"/>
      <c r="H215" s="1705"/>
      <c r="I215" s="1705"/>
      <c r="J215" s="1705"/>
      <c r="K215" s="1705"/>
      <c r="L215" s="1705"/>
      <c r="M215" s="1705"/>
      <c r="N215" s="1705"/>
      <c r="O215" s="1705"/>
      <c r="P215" s="1705"/>
      <c r="Q215" s="1705"/>
      <c r="R215" s="1705"/>
      <c r="S215" s="1705"/>
      <c r="T215" s="1705"/>
    </row>
    <row r="216" spans="1:20" ht="27.75" customHeight="1">
      <c r="A216" s="1713">
        <f t="shared" si="3"/>
        <v>211</v>
      </c>
      <c r="B216" s="1728" t="str">
        <f>ANALISA!C3712</f>
        <v>Pekerjaan 1 m¹ Pengambilan Sampel Batuan (termasuk laporan) mobilisasi alat dan Personil (Pemerian Litologi)</v>
      </c>
      <c r="C216" s="1725" t="str">
        <f>ANALISA!B3712</f>
        <v>A.3.08.2a</v>
      </c>
      <c r="D216" s="1726">
        <f>ANALISA!G3727</f>
        <v>515258.46</v>
      </c>
      <c r="E216" s="1727">
        <f>ANALISA!I3726</f>
        <v>1.0000000000000002</v>
      </c>
      <c r="F216" s="1705"/>
      <c r="G216" s="1705"/>
      <c r="H216" s="1705"/>
      <c r="I216" s="1705"/>
      <c r="J216" s="1705"/>
      <c r="K216" s="1705"/>
      <c r="L216" s="1705"/>
      <c r="M216" s="1705"/>
      <c r="N216" s="1705"/>
      <c r="O216" s="1705"/>
      <c r="P216" s="1705"/>
      <c r="Q216" s="1705"/>
      <c r="R216" s="1705"/>
      <c r="S216" s="1705"/>
      <c r="T216" s="1705"/>
    </row>
    <row r="217" spans="1:20" ht="15.75" customHeight="1">
      <c r="A217" s="1713">
        <f t="shared" si="3"/>
        <v>212</v>
      </c>
      <c r="B217" s="1728" t="str">
        <f>ANALISA!C3729</f>
        <v>Pekerjaan 1 jam Pencucian Sumur</v>
      </c>
      <c r="C217" s="1725" t="str">
        <f>ANALISA!B3729</f>
        <v>A.3.08.2m</v>
      </c>
      <c r="D217" s="1726">
        <f>ANALISA!G3741</f>
        <v>204797.03</v>
      </c>
      <c r="E217" s="1727">
        <f>ANALISA!I3740</f>
        <v>1</v>
      </c>
      <c r="F217" s="1705"/>
      <c r="G217" s="1705"/>
      <c r="H217" s="1705"/>
      <c r="I217" s="1705"/>
      <c r="J217" s="1705"/>
      <c r="K217" s="1705"/>
      <c r="L217" s="1705"/>
      <c r="M217" s="1705"/>
      <c r="N217" s="1705"/>
      <c r="O217" s="1705"/>
      <c r="P217" s="1705"/>
      <c r="Q217" s="1705"/>
      <c r="R217" s="1705"/>
      <c r="S217" s="1705"/>
      <c r="T217" s="1705"/>
    </row>
    <row r="218" spans="1:20" ht="15.75" customHeight="1">
      <c r="A218" s="1713">
        <f t="shared" si="3"/>
        <v>213</v>
      </c>
      <c r="B218" s="1728" t="str">
        <f>ANALISA!C3743</f>
        <v>Pekerjaan 1 jam Uji Pemompaan</v>
      </c>
      <c r="C218" s="1725" t="str">
        <f>ANALISA!B3743</f>
        <v>A.3.08.2n</v>
      </c>
      <c r="D218" s="1726">
        <f>ANALISA!G3755</f>
        <v>204797.03</v>
      </c>
      <c r="E218" s="1727">
        <f>ANALISA!I3754</f>
        <v>1</v>
      </c>
      <c r="F218" s="1705"/>
      <c r="G218" s="1705"/>
      <c r="H218" s="1705"/>
      <c r="I218" s="1705"/>
      <c r="J218" s="1705"/>
      <c r="K218" s="1705"/>
      <c r="L218" s="1705"/>
      <c r="M218" s="1705"/>
      <c r="N218" s="1705"/>
      <c r="O218" s="1705"/>
      <c r="P218" s="1705"/>
      <c r="Q218" s="1705"/>
      <c r="R218" s="1705"/>
      <c r="S218" s="1705"/>
      <c r="T218" s="1705"/>
    </row>
    <row r="219" spans="1:20" ht="27.75" customHeight="1">
      <c r="A219" s="1713">
        <f t="shared" si="3"/>
        <v>214</v>
      </c>
      <c r="B219" s="1728" t="str">
        <f>ANALISA!C3757</f>
        <v>Pekerjaan 1 unit Tutup Rumah Pompa Deep Well rangka besi siku + Plat bordes t = 2,3 mm</v>
      </c>
      <c r="C219" s="1725" t="str">
        <f>ANALISA!B3757</f>
        <v>Analisa Sendiri</v>
      </c>
      <c r="D219" s="1726">
        <f>ANALISA!G3771</f>
        <v>3223527.9499999997</v>
      </c>
      <c r="E219" s="1727">
        <f>ANALISA!I3770</f>
        <v>1</v>
      </c>
      <c r="F219" s="1705"/>
      <c r="G219" s="1705"/>
      <c r="H219" s="1705"/>
      <c r="I219" s="1705"/>
      <c r="J219" s="1705"/>
      <c r="K219" s="1705"/>
      <c r="L219" s="1705"/>
      <c r="M219" s="1705"/>
      <c r="N219" s="1705"/>
      <c r="O219" s="1705"/>
      <c r="P219" s="1705"/>
      <c r="Q219" s="1705"/>
      <c r="R219" s="1705"/>
      <c r="S219" s="1705"/>
      <c r="T219" s="1705"/>
    </row>
    <row r="220" spans="1:20" ht="27.75" customHeight="1">
      <c r="A220" s="1713">
        <f t="shared" si="3"/>
        <v>215</v>
      </c>
      <c r="B220" s="1728" t="str">
        <f>ANALISA!C3773</f>
        <v>Pekerjaan 1 unit Pemasangan Pompa Air Submersible Deepwell Well SP 9-10 ex.Grundfos</v>
      </c>
      <c r="C220" s="1725" t="str">
        <f>ANALISA!B$3773</f>
        <v>6.2.2.1</v>
      </c>
      <c r="D220" s="1726">
        <f>ANALISA!G3787</f>
        <v>67106461.049999997</v>
      </c>
      <c r="E220" s="1727">
        <f>ANALISA!I3786</f>
        <v>0.23392067375881748</v>
      </c>
      <c r="F220" s="1705"/>
      <c r="G220" s="1705"/>
      <c r="H220" s="1705"/>
      <c r="I220" s="1705"/>
      <c r="J220" s="1705"/>
      <c r="K220" s="1705"/>
      <c r="L220" s="1705"/>
      <c r="M220" s="1705"/>
      <c r="N220" s="1705"/>
      <c r="O220" s="1705"/>
      <c r="P220" s="1705"/>
      <c r="Q220" s="1705"/>
      <c r="R220" s="1705"/>
      <c r="S220" s="1705"/>
      <c r="T220" s="1705"/>
    </row>
    <row r="221" spans="1:20" ht="27.75" customHeight="1">
      <c r="A221" s="1713">
        <f t="shared" si="3"/>
        <v>216</v>
      </c>
      <c r="B221" s="1728" t="str">
        <f>ANALISA!C3789</f>
        <v>Pekerjaan 1 unit Pemasangan Elektroda - Water Level Switch Control (Vertical Float Level Switch VSM)</v>
      </c>
      <c r="C221" s="1725" t="str">
        <f>ANALISA!B3789</f>
        <v>6.2.2.1</v>
      </c>
      <c r="D221" s="1726">
        <f>ANALISA!G3803</f>
        <v>4204060.3899999997</v>
      </c>
      <c r="E221" s="1727">
        <f>ANALISA!I3802</f>
        <v>0.26116213551382428</v>
      </c>
      <c r="F221" s="1705"/>
      <c r="G221" s="1705"/>
      <c r="H221" s="1705"/>
      <c r="I221" s="1705"/>
      <c r="J221" s="1705"/>
      <c r="K221" s="1705"/>
      <c r="L221" s="1705"/>
      <c r="M221" s="1705"/>
      <c r="N221" s="1705"/>
      <c r="O221" s="1705"/>
      <c r="P221" s="1705"/>
      <c r="Q221" s="1705"/>
      <c r="R221" s="1705"/>
      <c r="S221" s="1705"/>
      <c r="T221" s="1705"/>
    </row>
    <row r="222" spans="1:20" ht="15.75" customHeight="1">
      <c r="A222" s="1713">
        <f t="shared" si="3"/>
        <v>217</v>
      </c>
      <c r="B222" s="1728" t="str">
        <f>ANALISA!C3805</f>
        <v>Pemasangan 1 m Reng Baja Ringan R.32 tebal 0,45 mm</v>
      </c>
      <c r="C222" s="1725" t="str">
        <f>ANALISA!B3805</f>
        <v>2.1.1.4</v>
      </c>
      <c r="D222" s="1726">
        <f>ANALISA!G3820</f>
        <v>6849.5700000000006</v>
      </c>
      <c r="E222" s="1727">
        <f>ANALISA!I3819</f>
        <v>0.71816816205577405</v>
      </c>
      <c r="F222" s="1705"/>
      <c r="G222" s="1705"/>
      <c r="H222" s="1705"/>
      <c r="I222" s="1705"/>
      <c r="J222" s="1705"/>
      <c r="K222" s="1705"/>
      <c r="L222" s="1705"/>
      <c r="M222" s="1705"/>
      <c r="N222" s="1705"/>
      <c r="O222" s="1705"/>
      <c r="P222" s="1705"/>
      <c r="Q222" s="1705"/>
      <c r="R222" s="1705"/>
      <c r="S222" s="1705"/>
      <c r="T222" s="1705"/>
    </row>
    <row r="223" spans="1:20" ht="15.75" customHeight="1">
      <c r="A223" s="1713">
        <f t="shared" si="3"/>
        <v>218</v>
      </c>
      <c r="B223" s="1728" t="str">
        <f>ANALISA!C3822</f>
        <v>Pasang 1 bh Dybabolt SS M8 x 100 mm, SUS 304</v>
      </c>
      <c r="C223" s="1725" t="str">
        <f>ANALISA!B3822</f>
        <v>Analisa Sendiri</v>
      </c>
      <c r="D223" s="1726">
        <f>ANALISA!G$3835</f>
        <v>14549.61</v>
      </c>
      <c r="E223" s="1727">
        <f>ANALISA!I3834</f>
        <v>0.60962926260918926</v>
      </c>
      <c r="F223" s="1705"/>
      <c r="G223" s="1705"/>
      <c r="H223" s="1705"/>
      <c r="I223" s="1705"/>
      <c r="J223" s="1705"/>
      <c r="K223" s="1705"/>
      <c r="L223" s="1705"/>
      <c r="M223" s="1705"/>
      <c r="N223" s="1705"/>
      <c r="O223" s="1705"/>
      <c r="P223" s="1705"/>
      <c r="Q223" s="1705"/>
      <c r="R223" s="1705"/>
      <c r="S223" s="1705"/>
      <c r="T223" s="1705"/>
    </row>
    <row r="224" spans="1:20" ht="25.5" customHeight="1">
      <c r="A224" s="1713">
        <f t="shared" si="3"/>
        <v>219</v>
      </c>
      <c r="B224" s="1728" t="str">
        <f>ANALISA!C3837</f>
        <v>Pemasangan 1 m2 Atap Pelana Rangka Atap Baja Ringan (Canai 
Dingin) profil C75</v>
      </c>
      <c r="C224" s="1725" t="str">
        <f>ANALISA!B3837</f>
        <v>2.1.1.1</v>
      </c>
      <c r="D224" s="1726">
        <f>ANALISA!G3851</f>
        <v>290179.7</v>
      </c>
      <c r="E224" s="1727">
        <f>ANALISA!I3850</f>
        <v>0.73775601365311905</v>
      </c>
      <c r="F224" s="1705"/>
      <c r="G224" s="1705"/>
      <c r="H224" s="1705"/>
      <c r="I224" s="1705"/>
      <c r="J224" s="1705"/>
      <c r="K224" s="1705"/>
      <c r="L224" s="1705"/>
      <c r="M224" s="1705"/>
      <c r="N224" s="1705"/>
      <c r="O224" s="1705"/>
      <c r="P224" s="1705"/>
      <c r="Q224" s="1705"/>
      <c r="R224" s="1705"/>
      <c r="S224" s="1705"/>
      <c r="T224" s="1705"/>
    </row>
    <row r="225" spans="1:20" ht="15.75" customHeight="1">
      <c r="A225" s="1713">
        <f t="shared" si="3"/>
        <v>220</v>
      </c>
      <c r="B225" s="1728" t="str">
        <f>ANALISA!C3853</f>
        <v>Pemasangan 1 m2 Atap Genteng Palentong Kecil</v>
      </c>
      <c r="C225" s="1725" t="str">
        <f>ANALISA!B3853</f>
        <v>3.1.1.1</v>
      </c>
      <c r="D225" s="1726">
        <f>ANALISA!G$3867</f>
        <v>593396.57000000007</v>
      </c>
      <c r="E225" s="1727">
        <f>ANALISA!I3866</f>
        <v>0.5482664849761073</v>
      </c>
      <c r="F225" s="1705"/>
      <c r="G225" s="1705"/>
      <c r="H225" s="1705"/>
      <c r="I225" s="1705"/>
      <c r="J225" s="1705"/>
      <c r="K225" s="1705"/>
      <c r="L225" s="1705"/>
      <c r="M225" s="1705"/>
      <c r="N225" s="1705"/>
      <c r="O225" s="1705"/>
      <c r="P225" s="1705"/>
      <c r="Q225" s="1705"/>
      <c r="R225" s="1705"/>
      <c r="S225" s="1705"/>
      <c r="T225" s="1705"/>
    </row>
    <row r="226" spans="1:20" ht="15.75" customHeight="1">
      <c r="A226" s="1713">
        <f t="shared" si="3"/>
        <v>221</v>
      </c>
      <c r="B226" s="1728" t="str">
        <f>ANALISA!C3869</f>
        <v>Pemasangan 1 m’ Nok/Bubung Genteng Palentong Kecil</v>
      </c>
      <c r="C226" s="1725" t="str">
        <f>ANALISA!B3869</f>
        <v>3.1.1.5</v>
      </c>
      <c r="D226" s="1726">
        <f>ANALISA!G3885</f>
        <v>258260.6</v>
      </c>
      <c r="E226" s="1727">
        <f>ANALISA!I3884</f>
        <v>0.53640377429358344</v>
      </c>
      <c r="F226" s="1705"/>
      <c r="G226" s="1705"/>
      <c r="H226" s="1705"/>
      <c r="I226" s="1705"/>
      <c r="J226" s="1705"/>
      <c r="K226" s="1705"/>
      <c r="L226" s="1705"/>
      <c r="M226" s="1705"/>
      <c r="N226" s="1705"/>
      <c r="O226" s="1705"/>
      <c r="P226" s="1705"/>
      <c r="Q226" s="1705"/>
      <c r="R226" s="1705"/>
      <c r="S226" s="1705"/>
      <c r="T226" s="1705"/>
    </row>
    <row r="227" spans="1:20" ht="15.75" customHeight="1">
      <c r="A227" s="1713">
        <f t="shared" si="3"/>
        <v>222</v>
      </c>
      <c r="B227" s="1728" t="str">
        <f>ANALISA!C3887</f>
        <v>Penanaman 1 m2 Rumput, Rumput Gajah Mini (Axonopus Compressus)</v>
      </c>
      <c r="C227" s="1725" t="str">
        <f>ANALISA!B3887</f>
        <v>4.1.6.2</v>
      </c>
      <c r="D227" s="1726">
        <f>ANALISA!G3904</f>
        <v>60646.66</v>
      </c>
      <c r="E227" s="1727">
        <v>1</v>
      </c>
      <c r="F227" s="1705"/>
      <c r="G227" s="1705"/>
      <c r="H227" s="1705"/>
      <c r="I227" s="1705"/>
      <c r="J227" s="1705"/>
      <c r="K227" s="1705"/>
      <c r="L227" s="1705"/>
      <c r="M227" s="1705"/>
      <c r="N227" s="1705"/>
      <c r="O227" s="1705"/>
      <c r="P227" s="1705"/>
      <c r="Q227" s="1705"/>
      <c r="R227" s="1705"/>
      <c r="S227" s="1705"/>
      <c r="T227" s="1705"/>
    </row>
    <row r="228" spans="1:20" ht="27.75" customHeight="1">
      <c r="A228" s="1713">
        <f t="shared" si="3"/>
        <v>223</v>
      </c>
      <c r="B228" s="1728" t="str">
        <f>ANALISA!C3906</f>
        <v>Penanaman 1 Buah Pohon Sedang Tabebuya (Tabebuia sp.), Diameter 6-8 cm, Tinggi 2-3 meter, Polybag 50 L</v>
      </c>
      <c r="C228" s="1725" t="str">
        <f>ANALISA!B3906</f>
        <v>4.1.2.3.9</v>
      </c>
      <c r="D228" s="1726">
        <f>ANALISA!G3928</f>
        <v>1196592.1499999999</v>
      </c>
      <c r="E228" s="1727">
        <v>1</v>
      </c>
      <c r="F228" s="1705"/>
      <c r="G228" s="1705"/>
      <c r="H228" s="1705"/>
      <c r="I228" s="1705"/>
      <c r="J228" s="1705"/>
      <c r="K228" s="1705"/>
      <c r="L228" s="1705"/>
      <c r="M228" s="1705"/>
      <c r="N228" s="1705"/>
      <c r="O228" s="1705"/>
      <c r="P228" s="1705"/>
      <c r="Q228" s="1705"/>
      <c r="R228" s="1705"/>
      <c r="S228" s="1705"/>
      <c r="T228" s="1705"/>
    </row>
    <row r="229" spans="1:20" ht="15.75" customHeight="1">
      <c r="A229" s="1713">
        <f t="shared" si="3"/>
        <v>224</v>
      </c>
      <c r="B229" s="1728" t="str">
        <f>ANALISA!C3954</f>
        <v>Pekerjaan 1 m² Dinding Sopi-Sopi GRC</v>
      </c>
      <c r="C229" s="1725" t="str">
        <f>ANALISA!B3954</f>
        <v>3.5.2.2.3</v>
      </c>
      <c r="D229" s="1726">
        <f>ANALISA!G3969</f>
        <v>38799.550000000003</v>
      </c>
      <c r="E229" s="1727">
        <f>ANALISA!I3967</f>
        <v>0.54957169181053955</v>
      </c>
      <c r="F229" s="1705"/>
      <c r="G229" s="1705"/>
      <c r="H229" s="1705"/>
      <c r="I229" s="1705"/>
      <c r="J229" s="1705"/>
      <c r="K229" s="1705"/>
      <c r="L229" s="1705"/>
      <c r="M229" s="1705"/>
      <c r="N229" s="1705"/>
      <c r="O229" s="1705"/>
      <c r="P229" s="1705"/>
      <c r="Q229" s="1705"/>
      <c r="R229" s="1705"/>
      <c r="S229" s="1705"/>
      <c r="T229" s="1705"/>
    </row>
    <row r="230" spans="1:20" ht="15.75" customHeight="1">
      <c r="A230" s="1713">
        <f t="shared" si="3"/>
        <v>225</v>
      </c>
      <c r="B230" s="1728" t="str">
        <f>ANALISA!C624</f>
        <v>Pekerjaan 1 m³ Urugan Tanah Kembali</v>
      </c>
      <c r="C230" s="1725" t="str">
        <f>ANALISA!B624</f>
        <v>1.3.1.1.1</v>
      </c>
      <c r="D230" s="1726">
        <f>ANALISA!G634</f>
        <v>58343.61</v>
      </c>
      <c r="E230" s="1727">
        <v>1</v>
      </c>
      <c r="F230" s="1705"/>
      <c r="G230" s="1705"/>
      <c r="H230" s="1705"/>
      <c r="I230" s="1705"/>
      <c r="J230" s="1705"/>
      <c r="K230" s="1705"/>
      <c r="L230" s="1705"/>
      <c r="M230" s="1705"/>
      <c r="N230" s="1705"/>
      <c r="O230" s="1705"/>
      <c r="P230" s="1705"/>
      <c r="Q230" s="1705"/>
      <c r="R230" s="1705"/>
      <c r="S230" s="1705"/>
      <c r="T230" s="1705"/>
    </row>
    <row r="231" spans="1:20" ht="15.75" customHeight="1">
      <c r="A231" s="1713">
        <f t="shared" si="3"/>
        <v>226</v>
      </c>
      <c r="B231" s="1728" t="str">
        <f>ANALISA!C3971</f>
        <v xml:space="preserve">Pekerjaan 1 ttk Uji Pompa dan Pengujian Sampel </v>
      </c>
      <c r="C231" s="1725" t="str">
        <f>ANALISA!B3971</f>
        <v>Analisa Sendiri</v>
      </c>
      <c r="D231" s="1726">
        <f>ANALISA!G3989</f>
        <v>21486049.950000003</v>
      </c>
      <c r="E231" s="1727">
        <f>ANALISA!I3988</f>
        <v>1</v>
      </c>
      <c r="F231" s="1705"/>
      <c r="G231" s="1705"/>
      <c r="H231" s="1705"/>
      <c r="I231" s="1705"/>
      <c r="J231" s="1705"/>
      <c r="K231" s="1705"/>
      <c r="L231" s="1705"/>
      <c r="M231" s="1705"/>
      <c r="N231" s="1705"/>
      <c r="O231" s="1705"/>
      <c r="P231" s="1705"/>
      <c r="Q231" s="1705"/>
      <c r="R231" s="1705"/>
      <c r="S231" s="1705"/>
      <c r="T231" s="1705"/>
    </row>
    <row r="232" spans="1:20" ht="15.75" customHeight="1">
      <c r="A232" s="1713">
        <f t="shared" si="3"/>
        <v>227</v>
      </c>
      <c r="B232" s="1728" t="str">
        <f>ANALISA!C3991</f>
        <v>Pekerjaan Pemasangan 1 m² Railing Pagar Kayu (Papan Klas II)</v>
      </c>
      <c r="C232" s="1725" t="str">
        <f>ANALISA!B3991</f>
        <v>Analisa Sendiri</v>
      </c>
      <c r="D232" s="1726">
        <f>ANALISA!G4008</f>
        <v>376620.77</v>
      </c>
      <c r="E232" s="1727">
        <f>ANALISA!I4006</f>
        <v>0.68355036603457131</v>
      </c>
      <c r="F232" s="1705"/>
      <c r="G232" s="1705"/>
      <c r="H232" s="1705"/>
      <c r="I232" s="1705"/>
      <c r="J232" s="1705"/>
      <c r="K232" s="1705"/>
      <c r="L232" s="1705"/>
      <c r="M232" s="1705"/>
      <c r="N232" s="1705"/>
      <c r="O232" s="1705"/>
      <c r="P232" s="1705"/>
      <c r="Q232" s="1705"/>
      <c r="R232" s="1705"/>
      <c r="S232" s="1705"/>
      <c r="T232" s="1705"/>
    </row>
    <row r="233" spans="1:20" ht="30" customHeight="1">
      <c r="A233" s="1713">
        <f t="shared" si="3"/>
        <v>228</v>
      </c>
      <c r="B233" s="1728" t="str">
        <f>ANALISA!C4010</f>
        <v>Pekerjaan 1 m² Dinding GRC Motif Lokal Finishing Cat termasuk dudukan besi hollow Galvanis 40/40</v>
      </c>
      <c r="C233" s="1725" t="str">
        <f>ANALISA!B4010</f>
        <v>Analisa Sendiri</v>
      </c>
      <c r="D233" s="1726">
        <f>ANALISA!G4024</f>
        <v>421901.99</v>
      </c>
      <c r="E233" s="1727">
        <f>ANALISA!I4022</f>
        <v>0.66341420616042845</v>
      </c>
      <c r="F233" s="1705"/>
      <c r="G233" s="1705"/>
      <c r="H233" s="1705"/>
      <c r="I233" s="1705"/>
      <c r="J233" s="1705"/>
      <c r="K233" s="1705"/>
      <c r="L233" s="1705"/>
      <c r="M233" s="1705"/>
      <c r="N233" s="1705"/>
      <c r="O233" s="1705"/>
      <c r="P233" s="1705"/>
      <c r="Q233" s="1705"/>
      <c r="R233" s="1705"/>
      <c r="S233" s="1705"/>
      <c r="T233" s="1705"/>
    </row>
    <row r="234" spans="1:20" ht="15.75" customHeight="1">
      <c r="A234" s="1713">
        <f t="shared" si="3"/>
        <v>229</v>
      </c>
      <c r="B234" s="1728" t="str">
        <f>ANALISA!C4026</f>
        <v>Pekerjaan Mobilisasi Material/ Alat Berat (max load 2.790 Ton)</v>
      </c>
      <c r="C234" s="1725" t="str">
        <f>ANALISA!B4026</f>
        <v>Analisa Sendiri</v>
      </c>
      <c r="D234" s="1726">
        <f>ANALISA!G4036</f>
        <v>1868857676.6700001</v>
      </c>
      <c r="E234" s="1727">
        <f>ANALISA!I4034</f>
        <v>1</v>
      </c>
      <c r="F234" s="1705"/>
      <c r="G234" s="1705"/>
      <c r="H234" s="1705"/>
      <c r="I234" s="1705"/>
      <c r="J234" s="1705"/>
      <c r="K234" s="1705"/>
      <c r="L234" s="1705"/>
      <c r="M234" s="1705"/>
      <c r="N234" s="1705"/>
      <c r="O234" s="1705"/>
      <c r="P234" s="1705"/>
      <c r="Q234" s="1705"/>
      <c r="R234" s="1705"/>
      <c r="S234" s="1705"/>
      <c r="T234" s="1705"/>
    </row>
    <row r="235" spans="1:20" ht="30.75" customHeight="1">
      <c r="A235" s="1713">
        <f t="shared" si="3"/>
        <v>230</v>
      </c>
      <c r="B235" s="1728" t="str">
        <f>ANALISA!C4038</f>
        <v>Pekerjaan 1 Unit Panel Distribusi Kawasan, LVMDP/PDTR 15KVA, termasuk pengiriman dan instalasi</v>
      </c>
      <c r="C235" s="1725" t="str">
        <f>ANALISA!B4038</f>
        <v>Analisa Sendiri</v>
      </c>
      <c r="D235" s="1726">
        <f>ANALISA!G4049</f>
        <v>21248891.510000002</v>
      </c>
      <c r="E235" s="1727">
        <f>ANALISA!I4047</f>
        <v>0.58337377263670931</v>
      </c>
      <c r="F235" s="1705"/>
      <c r="G235" s="1705"/>
      <c r="H235" s="1705"/>
      <c r="I235" s="1705"/>
      <c r="J235" s="1705"/>
      <c r="K235" s="1705"/>
      <c r="L235" s="1705"/>
      <c r="M235" s="1705"/>
      <c r="N235" s="1705"/>
      <c r="O235" s="1705"/>
      <c r="P235" s="1705"/>
      <c r="Q235" s="1705"/>
      <c r="R235" s="1705"/>
      <c r="S235" s="1705"/>
      <c r="T235" s="1705"/>
    </row>
    <row r="236" spans="1:20" ht="30.75" customHeight="1">
      <c r="A236" s="1713">
        <f t="shared" si="3"/>
        <v>231</v>
      </c>
      <c r="B236" s="1728" t="str">
        <f>ANALISA!C4051</f>
        <v>Pekerjaan 1 Unit Panel ATS (Automatic Transfer Switch), termasuk pengiriman dan instalasi</v>
      </c>
      <c r="C236" s="1725" t="str">
        <f>ANALISA!B4051</f>
        <v>Analisa Sendiri</v>
      </c>
      <c r="D236" s="1726">
        <f>ANALISA!G4062</f>
        <v>46706770.079999998</v>
      </c>
      <c r="E236" s="1727">
        <f>ANALISA!I4060</f>
        <v>0.57922596726147768</v>
      </c>
      <c r="F236" s="1705"/>
      <c r="G236" s="1705"/>
      <c r="H236" s="1705"/>
      <c r="I236" s="1705"/>
      <c r="J236" s="1705"/>
      <c r="K236" s="1705"/>
      <c r="L236" s="1705"/>
      <c r="M236" s="1705"/>
      <c r="N236" s="1705"/>
      <c r="O236" s="1705"/>
      <c r="P236" s="1705"/>
      <c r="Q236" s="1705"/>
      <c r="R236" s="1705"/>
      <c r="S236" s="1705"/>
      <c r="T236" s="1705"/>
    </row>
    <row r="237" spans="1:20" ht="30.75" customHeight="1">
      <c r="A237" s="1713">
        <f t="shared" si="3"/>
        <v>232</v>
      </c>
      <c r="B237" s="1728" t="str">
        <f>ANALISA!C4064</f>
        <v>Pekerjaan 1 Unit Panel Distribusi Genset, termasuk pengiriman dan instalasi</v>
      </c>
      <c r="C237" s="1725" t="str">
        <f>ANALISA!B4064</f>
        <v>Analisa Sendiri</v>
      </c>
      <c r="D237" s="1726">
        <f>ANALISA!G4075</f>
        <v>31808597.610000003</v>
      </c>
      <c r="E237" s="1727">
        <f>ANALISA!I4073</f>
        <v>0.60588962567747362</v>
      </c>
      <c r="F237" s="1705"/>
      <c r="G237" s="1705"/>
      <c r="H237" s="1705"/>
      <c r="I237" s="1705"/>
      <c r="J237" s="1705"/>
      <c r="K237" s="1705"/>
      <c r="L237" s="1705"/>
      <c r="M237" s="1705"/>
      <c r="N237" s="1705"/>
      <c r="O237" s="1705"/>
      <c r="P237" s="1705"/>
      <c r="Q237" s="1705"/>
      <c r="R237" s="1705"/>
      <c r="S237" s="1705"/>
      <c r="T237" s="1705"/>
    </row>
    <row r="238" spans="1:20" ht="30.75" customHeight="1">
      <c r="A238" s="1713">
        <f t="shared" si="3"/>
        <v>233</v>
      </c>
      <c r="B238" s="1728" t="str">
        <f>ANALISA!C4077</f>
        <v>Pekerjaan 1 Unit Tangki Solar 500L, termasuk pengiriman dan instalasi</v>
      </c>
      <c r="C238" s="1725" t="str">
        <f>ANALISA!B4077</f>
        <v>Analisa Sendiri</v>
      </c>
      <c r="D238" s="1726">
        <f>ANALISA!G4088</f>
        <v>30207618.73</v>
      </c>
      <c r="E238" s="1727">
        <f>ANALISA!I4086</f>
        <v>0.5429280886299559</v>
      </c>
      <c r="F238" s="1705"/>
      <c r="G238" s="1705"/>
      <c r="H238" s="1705"/>
      <c r="I238" s="1705"/>
      <c r="J238" s="1705"/>
      <c r="K238" s="1705"/>
      <c r="L238" s="1705"/>
      <c r="M238" s="1705"/>
      <c r="N238" s="1705"/>
      <c r="O238" s="1705"/>
      <c r="P238" s="1705"/>
      <c r="Q238" s="1705"/>
      <c r="R238" s="1705"/>
      <c r="S238" s="1705"/>
      <c r="T238" s="1705"/>
    </row>
    <row r="239" spans="1:20" ht="30.75" customHeight="1">
      <c r="A239" s="1713">
        <f t="shared" si="3"/>
        <v>234</v>
      </c>
      <c r="B239" s="1728" t="str">
        <f>ANALISA!C4090</f>
        <v>Pekerjaan 1 Unit Pipa Buangan Gas (Exhaust Muffler), termasuk pengiriman dan instalasi</v>
      </c>
      <c r="C239" s="1725" t="str">
        <f>ANALISA!B4090</f>
        <v>Analisa Sendiri</v>
      </c>
      <c r="D239" s="1726">
        <f>ANALISA!G4101</f>
        <v>3669318.25</v>
      </c>
      <c r="E239" s="1727">
        <f>ANALISA!I4099</f>
        <v>0.53105833615412523</v>
      </c>
      <c r="F239" s="1705"/>
      <c r="G239" s="1705"/>
      <c r="H239" s="1705"/>
      <c r="I239" s="1705"/>
      <c r="J239" s="1705"/>
      <c r="K239" s="1705"/>
      <c r="L239" s="1705"/>
      <c r="M239" s="1705"/>
      <c r="N239" s="1705"/>
      <c r="O239" s="1705"/>
      <c r="P239" s="1705"/>
      <c r="Q239" s="1705"/>
      <c r="R239" s="1705"/>
      <c r="S239" s="1705"/>
      <c r="T239" s="1705"/>
    </row>
    <row r="240" spans="1:20" ht="15.75" customHeight="1">
      <c r="A240" s="1713">
        <f t="shared" si="3"/>
        <v>235</v>
      </c>
      <c r="B240" s="1728" t="str">
        <f>ANALISA!C4103</f>
        <v>Pekerjaan 1 m² Rangka Atap Kanopi Besi Hollow 40/60, modul 80/85, termasuk kolom kanopi</v>
      </c>
      <c r="C240" s="1725" t="str">
        <f>ANALISA!B4103</f>
        <v>A.G</v>
      </c>
      <c r="D240" s="1726">
        <f>ANALISA!G4128</f>
        <v>1071473.1100000001</v>
      </c>
      <c r="E240" s="1727">
        <f>ANALISA!I4127</f>
        <v>0.70880286971219342</v>
      </c>
      <c r="F240" s="1705"/>
      <c r="G240" s="1705"/>
      <c r="H240" s="1705"/>
      <c r="I240" s="1705"/>
      <c r="J240" s="1705"/>
      <c r="K240" s="1705"/>
      <c r="L240" s="1705"/>
      <c r="M240" s="1705"/>
      <c r="N240" s="1705"/>
      <c r="O240" s="1705"/>
      <c r="P240" s="1705"/>
      <c r="Q240" s="1705"/>
      <c r="R240" s="1705"/>
      <c r="S240" s="1705"/>
      <c r="T240" s="1705"/>
    </row>
    <row r="241" spans="1:20" ht="15.75" customHeight="1">
      <c r="A241" s="1713">
        <f t="shared" si="3"/>
        <v>236</v>
      </c>
      <c r="B241" s="1728" t="str">
        <f>ANALISA!C4130</f>
        <v>Pekerjaan 1 m¹ PVC Waterstop lebar 200 mm</v>
      </c>
      <c r="C241" s="1725" t="str">
        <f>ANALISA!B4130</f>
        <v>2.2.1.2.3</v>
      </c>
      <c r="D241" s="1726">
        <f>ANALISA!G4144</f>
        <v>121306.53</v>
      </c>
      <c r="E241" s="1727">
        <f>ANALISA!I4142</f>
        <v>0.90896796837628513</v>
      </c>
      <c r="F241" s="1705"/>
      <c r="G241" s="1705"/>
      <c r="H241" s="1705"/>
      <c r="I241" s="1705"/>
      <c r="J241" s="1705"/>
      <c r="K241" s="1705"/>
      <c r="L241" s="1705"/>
      <c r="M241" s="1705"/>
      <c r="N241" s="1705"/>
      <c r="O241" s="1705"/>
      <c r="P241" s="1705"/>
      <c r="Q241" s="1705"/>
      <c r="R241" s="1705"/>
      <c r="S241" s="1705"/>
      <c r="T241" s="1705"/>
    </row>
    <row r="242" spans="1:20" ht="15.75" customHeight="1">
      <c r="A242" s="1713">
        <f t="shared" si="3"/>
        <v>237</v>
      </c>
      <c r="B242" s="1728" t="str">
        <f>ANALISA!C4146</f>
        <v>Pekerjaan 1 unit Pemasangan Pompa Dorong Marine Grade</v>
      </c>
      <c r="C242" s="1725" t="str">
        <f>ANALISA!B4146</f>
        <v>6.1.2.3</v>
      </c>
      <c r="D242" s="1726">
        <f>ANALISA!G4160</f>
        <v>10976234.51</v>
      </c>
      <c r="E242" s="1727">
        <f>ANALISA!I4158</f>
        <v>0.24260315735421051</v>
      </c>
      <c r="F242" s="1705"/>
      <c r="G242" s="1705"/>
      <c r="H242" s="1705"/>
      <c r="I242" s="1705"/>
      <c r="J242" s="1705"/>
      <c r="K242" s="1705"/>
      <c r="L242" s="1705"/>
      <c r="M242" s="1705"/>
      <c r="N242" s="1705"/>
      <c r="O242" s="1705"/>
      <c r="P242" s="1705"/>
      <c r="Q242" s="1705"/>
      <c r="R242" s="1705"/>
      <c r="S242" s="1705"/>
      <c r="T242" s="1705"/>
    </row>
    <row r="243" spans="1:20" ht="15.75" customHeight="1">
      <c r="A243" s="1713">
        <f t="shared" si="3"/>
        <v>238</v>
      </c>
      <c r="B243" s="1728" t="str">
        <f>ANALISA!C4162</f>
        <v>Pemasangan 1 m2 Atap Jurai/Limasan Rangka Atap Baja Ringan (Canai 
Dingin) profil C75</v>
      </c>
      <c r="C243" s="1725" t="str">
        <f>ANALISA!B4162</f>
        <v>2.1.1.2</v>
      </c>
      <c r="D243" s="1726">
        <f>ANALISA!G4176</f>
        <v>214521.71000000002</v>
      </c>
      <c r="E243" s="1727">
        <f>ANALISA!I4175</f>
        <v>0.69556461430267935</v>
      </c>
      <c r="F243" s="1705"/>
      <c r="G243" s="1705"/>
      <c r="H243" s="1705"/>
      <c r="I243" s="1705"/>
      <c r="J243" s="1705"/>
      <c r="K243" s="1705"/>
      <c r="L243" s="1705"/>
      <c r="M243" s="1705"/>
      <c r="N243" s="1705"/>
      <c r="O243" s="1705"/>
      <c r="P243" s="1705"/>
      <c r="Q243" s="1705"/>
      <c r="R243" s="1705"/>
      <c r="S243" s="1705"/>
      <c r="T243" s="1705"/>
    </row>
    <row r="244" spans="1:20" ht="15.75" customHeight="1">
      <c r="A244" s="1713">
        <f t="shared" si="3"/>
        <v>239</v>
      </c>
      <c r="B244" s="1728" t="str">
        <f>ANALISA!C4178</f>
        <v>Pekerjaan Pengadaan 1 unit Tempat Sampah Portable ex. Krisbow</v>
      </c>
      <c r="C244" s="1725" t="str">
        <f>ANALISA!B4178</f>
        <v>Analisa Sendiri</v>
      </c>
      <c r="D244" s="1726">
        <f>ANALISA!G4189</f>
        <v>7493631.79</v>
      </c>
      <c r="E244" s="1727">
        <f>ANALISA!I4187</f>
        <v>0.54372727272727273</v>
      </c>
      <c r="F244" s="1705"/>
      <c r="G244" s="1705"/>
      <c r="H244" s="1705"/>
      <c r="I244" s="1705"/>
      <c r="J244" s="1705"/>
      <c r="K244" s="1705"/>
      <c r="L244" s="1705"/>
      <c r="M244" s="1705"/>
      <c r="N244" s="1705"/>
      <c r="O244" s="1705"/>
      <c r="P244" s="1705"/>
      <c r="Q244" s="1705"/>
      <c r="R244" s="1705"/>
      <c r="S244" s="1705"/>
      <c r="T244" s="1705"/>
    </row>
    <row r="245" spans="1:20" ht="15.75" customHeight="1">
      <c r="A245" s="1713">
        <f t="shared" si="3"/>
        <v>240</v>
      </c>
      <c r="B245" s="1728" t="str">
        <f>ANALISA!C4191</f>
        <v>Pekerjaan 1 m¹ Instalasi Pipa PVC AW 2 Inch termasuk asesoris</v>
      </c>
      <c r="C245" s="1725" t="str">
        <f>ANALISA!B4191</f>
        <v>5.5.4.16</v>
      </c>
      <c r="D245" s="1726">
        <f>ANALISA!G4206</f>
        <v>134787.36000000002</v>
      </c>
      <c r="E245" s="1727">
        <f>ANALISA!I4204</f>
        <v>0.91471145981040647</v>
      </c>
      <c r="F245" s="1705"/>
      <c r="G245" s="1705"/>
      <c r="H245" s="1705"/>
      <c r="I245" s="1705"/>
      <c r="J245" s="1705"/>
      <c r="K245" s="1705"/>
      <c r="L245" s="1705"/>
      <c r="M245" s="1705"/>
      <c r="N245" s="1705"/>
      <c r="O245" s="1705"/>
      <c r="P245" s="1705"/>
      <c r="Q245" s="1705"/>
      <c r="R245" s="1705"/>
      <c r="S245" s="1705"/>
      <c r="T245" s="1705"/>
    </row>
    <row r="246" spans="1:20" ht="31.5" customHeight="1">
      <c r="A246" s="1713">
        <f t="shared" si="3"/>
        <v>241</v>
      </c>
      <c r="B246" s="1728" t="str">
        <f>ANALISA!C4208</f>
        <v>Penanaman 1 Buah Pohon Sedang Mangga (Mangifera indica), Diameter 6-8 cm, Tinggi 2-3 meter, Polybag 50 L</v>
      </c>
      <c r="C246" s="1725" t="str">
        <f>ANALISA!B4208</f>
        <v>4.1.2.3.9</v>
      </c>
      <c r="D246" s="1726">
        <f>ANALISA!G4230</f>
        <v>796977.03</v>
      </c>
      <c r="E246" s="1727">
        <f>ANALISA!I4228</f>
        <v>0.99999999999999989</v>
      </c>
      <c r="F246" s="1705"/>
      <c r="G246" s="1705"/>
      <c r="H246" s="1705"/>
      <c r="I246" s="1705"/>
      <c r="J246" s="1705"/>
      <c r="K246" s="1705"/>
      <c r="L246" s="1705"/>
      <c r="M246" s="1705"/>
      <c r="N246" s="1705"/>
      <c r="O246" s="1705"/>
      <c r="P246" s="1705"/>
      <c r="Q246" s="1705"/>
      <c r="R246" s="1705"/>
      <c r="S246" s="1705"/>
      <c r="T246" s="1705"/>
    </row>
    <row r="247" spans="1:20" ht="31.5" customHeight="1">
      <c r="A247" s="1713">
        <f t="shared" si="3"/>
        <v>242</v>
      </c>
      <c r="B247" s="1728" t="str">
        <f>ANALISA!C4232</f>
        <v>Penanaman 1 Buah Pohon Sedang Alpukat (Persea Americana), Diameter 6-8 cm, Tinggi 2-3 meter, Polybag 50 L</v>
      </c>
      <c r="C247" s="1725" t="str">
        <f>ANALISA!B4232</f>
        <v>4.1.2.3.9</v>
      </c>
      <c r="D247" s="1726">
        <f>ANALISA!G4254</f>
        <v>689388.15</v>
      </c>
      <c r="E247" s="1727">
        <f>ANALISA!I4252</f>
        <v>1</v>
      </c>
      <c r="F247" s="1705"/>
      <c r="G247" s="1705"/>
      <c r="H247" s="1705"/>
      <c r="I247" s="1705"/>
      <c r="J247" s="1705"/>
      <c r="K247" s="1705"/>
      <c r="L247" s="1705"/>
      <c r="M247" s="1705"/>
      <c r="N247" s="1705"/>
      <c r="O247" s="1705"/>
      <c r="P247" s="1705"/>
      <c r="Q247" s="1705"/>
      <c r="R247" s="1705"/>
      <c r="S247" s="1705"/>
      <c r="T247" s="1705"/>
    </row>
    <row r="248" spans="1:20" ht="31.5" customHeight="1">
      <c r="A248" s="1713">
        <f t="shared" si="3"/>
        <v>243</v>
      </c>
      <c r="B248" s="1728" t="str">
        <f>ANALISA!C4256</f>
        <v>Penanaman 1 Buah Pohon Sedang Rambutan (Nephelium lappaceum), Diameter 6-8 cm, Tinggi 2-3 meter, Polybag 50 L</v>
      </c>
      <c r="C248" s="1725" t="str">
        <f>ANALISA!B4256</f>
        <v>4.1.2.3.9</v>
      </c>
      <c r="D248" s="1726">
        <f>ANALISA!G4278</f>
        <v>734544.13</v>
      </c>
      <c r="E248" s="1727">
        <f>ANALISA!I4276</f>
        <v>0.99999999999999989</v>
      </c>
      <c r="F248" s="1705"/>
      <c r="G248" s="1705"/>
      <c r="H248" s="1705"/>
      <c r="I248" s="1705"/>
      <c r="J248" s="1705"/>
      <c r="K248" s="1705"/>
      <c r="L248" s="1705"/>
      <c r="M248" s="1705"/>
      <c r="N248" s="1705"/>
      <c r="O248" s="1705"/>
      <c r="P248" s="1705"/>
      <c r="Q248" s="1705"/>
      <c r="R248" s="1705"/>
      <c r="S248" s="1705"/>
      <c r="T248" s="1705"/>
    </row>
    <row r="249" spans="1:20" ht="31.5" customHeight="1">
      <c r="A249" s="1713">
        <f t="shared" si="3"/>
        <v>244</v>
      </c>
      <c r="B249" s="1728" t="str">
        <f>ANALISA!C4280</f>
        <v>Penanaman 1 Buah Pohon Sedang Lengkeng (Dimocarpus longan), Diameter 6-8 cm, Tinggi 2-3 meter, Polybag 50 L</v>
      </c>
      <c r="C249" s="1725" t="str">
        <f>ANALISA!B4280</f>
        <v>4.1.2.3.9</v>
      </c>
      <c r="D249" s="1726">
        <f>ANALISA!G4302</f>
        <v>822378.11</v>
      </c>
      <c r="E249" s="1727">
        <f>ANALISA!I4300</f>
        <v>1</v>
      </c>
      <c r="F249" s="1705"/>
      <c r="G249" s="1705"/>
      <c r="H249" s="1705"/>
      <c r="I249" s="1705"/>
      <c r="J249" s="1705"/>
      <c r="K249" s="1705"/>
      <c r="L249" s="1705"/>
      <c r="M249" s="1705"/>
      <c r="N249" s="1705"/>
      <c r="O249" s="1705"/>
      <c r="P249" s="1705"/>
      <c r="Q249" s="1705"/>
      <c r="R249" s="1705"/>
      <c r="S249" s="1705"/>
      <c r="T249" s="1705"/>
    </row>
    <row r="250" spans="1:20" ht="15.75" customHeight="1">
      <c r="A250" s="1713">
        <f t="shared" si="3"/>
        <v>245</v>
      </c>
      <c r="B250" s="1728" t="str">
        <f>ANALISA!C4304</f>
        <v>Pekerjaan 1 bh Pemasangan Tangki Toren Kap.2500 liter ex.Penguin TD110</v>
      </c>
      <c r="C250" s="1725" t="str">
        <f>ANALISA!B4304</f>
        <v>6.1.1.9</v>
      </c>
      <c r="D250" s="1726">
        <f>ANALISA!G4318</f>
        <v>7070515.5599999996</v>
      </c>
      <c r="E250" s="1727">
        <f>ANALISA!I4316</f>
        <v>0.86956521715511226</v>
      </c>
      <c r="F250" s="1705"/>
      <c r="G250" s="1705"/>
      <c r="H250" s="1705"/>
      <c r="I250" s="1705"/>
      <c r="J250" s="1705"/>
      <c r="K250" s="1705"/>
      <c r="L250" s="1705"/>
      <c r="M250" s="1705"/>
      <c r="N250" s="1705"/>
      <c r="O250" s="1705"/>
      <c r="P250" s="1705"/>
      <c r="Q250" s="1705"/>
      <c r="R250" s="1705"/>
      <c r="S250" s="1705"/>
      <c r="T250" s="1705"/>
    </row>
    <row r="251" spans="1:20" ht="15.75" customHeight="1">
      <c r="A251" s="1729"/>
      <c r="B251" s="1728"/>
      <c r="C251" s="1725"/>
      <c r="D251" s="1726"/>
      <c r="E251" s="1727"/>
      <c r="F251" s="1705"/>
      <c r="G251" s="1705"/>
      <c r="H251" s="1705"/>
      <c r="I251" s="1705"/>
      <c r="J251" s="1705"/>
      <c r="K251" s="1705"/>
      <c r="L251" s="1705"/>
      <c r="M251" s="1705"/>
      <c r="N251" s="1705"/>
      <c r="O251" s="1705"/>
      <c r="P251" s="1705"/>
      <c r="Q251" s="1705"/>
      <c r="R251" s="1705"/>
      <c r="S251" s="1705"/>
      <c r="T251" s="1705"/>
    </row>
    <row r="252" spans="1:20" ht="15.75" customHeight="1">
      <c r="A252" s="1729">
        <v>246</v>
      </c>
      <c r="B252" s="1728" t="s">
        <v>3368</v>
      </c>
      <c r="C252" s="1725" t="s">
        <v>2147</v>
      </c>
      <c r="D252" s="1726">
        <f>ANALISA!G4335</f>
        <v>97140.489999999991</v>
      </c>
      <c r="E252" s="1727">
        <f>ANALISA!I4333</f>
        <v>0.86956519607838112</v>
      </c>
      <c r="F252" s="1705"/>
      <c r="G252" s="1705"/>
      <c r="H252" s="1705"/>
      <c r="I252" s="1705"/>
      <c r="J252" s="1705"/>
      <c r="K252" s="1705"/>
      <c r="L252" s="1705"/>
      <c r="M252" s="1705"/>
      <c r="N252" s="1705"/>
      <c r="O252" s="1705"/>
      <c r="P252" s="1705"/>
      <c r="Q252" s="1705"/>
      <c r="R252" s="1705"/>
      <c r="S252" s="1705"/>
      <c r="T252" s="1705"/>
    </row>
    <row r="253" spans="1:20" ht="15.75" customHeight="1">
      <c r="A253" s="1729"/>
      <c r="B253" s="1728"/>
      <c r="C253" s="1725"/>
      <c r="D253" s="1726"/>
      <c r="E253" s="1727"/>
      <c r="F253" s="1705"/>
      <c r="G253" s="1705"/>
      <c r="H253" s="1705"/>
      <c r="I253" s="1705"/>
      <c r="J253" s="1705"/>
      <c r="K253" s="1705"/>
      <c r="L253" s="1705"/>
      <c r="M253" s="1705"/>
      <c r="N253" s="1705"/>
      <c r="O253" s="1705"/>
      <c r="P253" s="1705"/>
      <c r="Q253" s="1705"/>
      <c r="R253" s="1705"/>
      <c r="S253" s="1705"/>
      <c r="T253" s="1705"/>
    </row>
    <row r="254" spans="1:20" ht="15.75" customHeight="1">
      <c r="A254" s="1730"/>
      <c r="B254" s="1731"/>
      <c r="C254" s="1731"/>
      <c r="D254" s="1731"/>
      <c r="E254" s="1732"/>
      <c r="F254" s="1705"/>
      <c r="G254" s="1705"/>
      <c r="H254" s="1705"/>
      <c r="I254" s="1705"/>
      <c r="J254" s="1705"/>
      <c r="K254" s="1705"/>
      <c r="L254" s="1705"/>
      <c r="M254" s="1705"/>
      <c r="N254" s="1705"/>
      <c r="O254" s="1705"/>
      <c r="P254" s="1705"/>
      <c r="Q254" s="1705"/>
      <c r="R254" s="1705"/>
      <c r="S254" s="1705"/>
      <c r="T254" s="1705"/>
    </row>
    <row r="255" spans="1:20" ht="15.75" customHeight="1">
      <c r="A255" s="1705"/>
      <c r="B255" s="1705"/>
      <c r="C255" s="1705"/>
      <c r="D255" s="1705"/>
      <c r="E255" s="1705"/>
      <c r="F255" s="1705"/>
      <c r="G255" s="1705"/>
      <c r="H255" s="1705"/>
      <c r="I255" s="1705"/>
      <c r="J255" s="1705"/>
      <c r="K255" s="1705"/>
      <c r="L255" s="1705"/>
      <c r="M255" s="1705"/>
      <c r="N255" s="1705"/>
      <c r="O255" s="1705"/>
      <c r="P255" s="1705"/>
      <c r="Q255" s="1705"/>
      <c r="R255" s="1705"/>
      <c r="S255" s="1705"/>
      <c r="T255" s="1705"/>
    </row>
    <row r="256" spans="1:20" ht="15.75" customHeight="1">
      <c r="A256" s="1705"/>
      <c r="B256" s="1705"/>
      <c r="C256" s="1705"/>
      <c r="D256" s="1705"/>
      <c r="E256" s="1705"/>
      <c r="F256" s="1705"/>
      <c r="G256" s="1705"/>
      <c r="H256" s="1705"/>
      <c r="I256" s="1705"/>
      <c r="J256" s="1705"/>
      <c r="K256" s="1705"/>
      <c r="L256" s="1705"/>
      <c r="M256" s="1705"/>
      <c r="N256" s="1705"/>
      <c r="O256" s="1705"/>
      <c r="P256" s="1705"/>
      <c r="Q256" s="1705"/>
      <c r="R256" s="1705"/>
      <c r="S256" s="1705"/>
      <c r="T256" s="1705"/>
    </row>
    <row r="257" spans="1:20" ht="15.75" customHeight="1">
      <c r="A257" s="1705"/>
      <c r="B257" s="1705"/>
      <c r="C257" s="1705"/>
      <c r="D257" s="1705"/>
      <c r="E257" s="1705"/>
      <c r="F257" s="1705"/>
      <c r="G257" s="1705"/>
      <c r="H257" s="1705"/>
      <c r="I257" s="1705"/>
      <c r="J257" s="1705"/>
      <c r="K257" s="1705"/>
      <c r="L257" s="1705"/>
      <c r="M257" s="1705"/>
      <c r="N257" s="1705"/>
      <c r="O257" s="1705"/>
      <c r="P257" s="1705"/>
      <c r="Q257" s="1705"/>
      <c r="R257" s="1705"/>
      <c r="S257" s="1705"/>
      <c r="T257" s="1705"/>
    </row>
    <row r="258" spans="1:20" ht="15.75" customHeight="1">
      <c r="A258" s="1705"/>
      <c r="B258" s="1705"/>
      <c r="C258" s="1705"/>
      <c r="D258" s="1705"/>
      <c r="E258" s="1705"/>
      <c r="F258" s="1705"/>
      <c r="G258" s="1705"/>
      <c r="H258" s="1705"/>
      <c r="I258" s="1705"/>
      <c r="J258" s="1705"/>
      <c r="K258" s="1705"/>
      <c r="L258" s="1705"/>
      <c r="M258" s="1705"/>
      <c r="N258" s="1705"/>
      <c r="O258" s="1705"/>
      <c r="P258" s="1705"/>
      <c r="Q258" s="1705"/>
      <c r="R258" s="1705"/>
      <c r="S258" s="1705"/>
      <c r="T258" s="1705"/>
    </row>
    <row r="259" spans="1:20" ht="15.75" customHeight="1">
      <c r="A259" s="1705"/>
      <c r="B259" s="1705"/>
      <c r="C259" s="1705"/>
      <c r="D259" s="1705"/>
      <c r="E259" s="1705"/>
      <c r="F259" s="1705"/>
      <c r="G259" s="1705"/>
      <c r="H259" s="1705"/>
      <c r="I259" s="1705"/>
      <c r="J259" s="1705"/>
      <c r="K259" s="1705"/>
      <c r="L259" s="1705"/>
      <c r="M259" s="1705"/>
      <c r="N259" s="1705"/>
      <c r="O259" s="1705"/>
      <c r="P259" s="1705"/>
      <c r="Q259" s="1705"/>
      <c r="R259" s="1705"/>
      <c r="S259" s="1705"/>
      <c r="T259" s="1705"/>
    </row>
    <row r="260" spans="1:20" ht="15.75" customHeight="1">
      <c r="A260" s="1705"/>
      <c r="B260" s="1705"/>
      <c r="C260" s="1705"/>
      <c r="D260" s="1705"/>
      <c r="E260" s="1705"/>
      <c r="F260" s="1705"/>
      <c r="G260" s="1705"/>
      <c r="H260" s="1705"/>
      <c r="I260" s="1705"/>
      <c r="J260" s="1705"/>
      <c r="K260" s="1705"/>
      <c r="L260" s="1705"/>
      <c r="M260" s="1705"/>
      <c r="N260" s="1705"/>
      <c r="O260" s="1705"/>
      <c r="P260" s="1705"/>
      <c r="Q260" s="1705"/>
      <c r="R260" s="1705"/>
      <c r="S260" s="1705"/>
      <c r="T260" s="1705"/>
    </row>
    <row r="261" spans="1:20" ht="15.75" customHeight="1">
      <c r="A261" s="1705"/>
      <c r="B261" s="1705"/>
      <c r="C261" s="1705"/>
      <c r="D261" s="1705"/>
      <c r="E261" s="1705"/>
      <c r="F261" s="1705"/>
      <c r="G261" s="1705"/>
      <c r="H261" s="1705"/>
      <c r="I261" s="1705"/>
      <c r="J261" s="1705"/>
      <c r="K261" s="1705"/>
      <c r="L261" s="1705"/>
      <c r="M261" s="1705"/>
      <c r="N261" s="1705"/>
      <c r="O261" s="1705"/>
      <c r="P261" s="1705"/>
      <c r="Q261" s="1705"/>
      <c r="R261" s="1705"/>
      <c r="S261" s="1705"/>
      <c r="T261" s="1705"/>
    </row>
    <row r="262" spans="1:20" ht="15.75" customHeight="1">
      <c r="A262" s="1705"/>
      <c r="B262" s="1705"/>
      <c r="C262" s="1705"/>
      <c r="D262" s="1705"/>
      <c r="E262" s="1705"/>
      <c r="F262" s="1705"/>
      <c r="G262" s="1705"/>
      <c r="H262" s="1705"/>
      <c r="I262" s="1705"/>
      <c r="J262" s="1705"/>
      <c r="K262" s="1705"/>
      <c r="L262" s="1705"/>
      <c r="M262" s="1705"/>
      <c r="N262" s="1705"/>
      <c r="O262" s="1705"/>
      <c r="P262" s="1705"/>
      <c r="Q262" s="1705"/>
      <c r="R262" s="1705"/>
      <c r="S262" s="1705"/>
      <c r="T262" s="1705"/>
    </row>
    <row r="263" spans="1:20" ht="15.75" customHeight="1">
      <c r="A263" s="1705"/>
      <c r="B263" s="1705"/>
      <c r="C263" s="1705"/>
      <c r="D263" s="1705"/>
      <c r="E263" s="1705"/>
      <c r="F263" s="1705"/>
      <c r="G263" s="1705"/>
      <c r="H263" s="1705"/>
      <c r="I263" s="1705"/>
      <c r="J263" s="1705"/>
      <c r="K263" s="1705"/>
      <c r="L263" s="1705"/>
      <c r="M263" s="1705"/>
      <c r="N263" s="1705"/>
      <c r="O263" s="1705"/>
      <c r="P263" s="1705"/>
      <c r="Q263" s="1705"/>
      <c r="R263" s="1705"/>
      <c r="S263" s="1705"/>
      <c r="T263" s="1705"/>
    </row>
    <row r="264" spans="1:20" ht="15.75" customHeight="1">
      <c r="A264" s="1705"/>
      <c r="B264" s="1705"/>
      <c r="C264" s="1705"/>
      <c r="D264" s="1705"/>
      <c r="E264" s="1705"/>
      <c r="F264" s="1705"/>
      <c r="G264" s="1705"/>
      <c r="H264" s="1705"/>
      <c r="I264" s="1705"/>
      <c r="J264" s="1705"/>
      <c r="K264" s="1705"/>
      <c r="L264" s="1705"/>
      <c r="M264" s="1705"/>
      <c r="N264" s="1705"/>
      <c r="O264" s="1705"/>
      <c r="P264" s="1705"/>
      <c r="Q264" s="1705"/>
      <c r="R264" s="1705"/>
      <c r="S264" s="1705"/>
      <c r="T264" s="1705"/>
    </row>
    <row r="265" spans="1:20" ht="15.75" customHeight="1">
      <c r="A265" s="1705"/>
      <c r="B265" s="1705"/>
      <c r="C265" s="1705"/>
      <c r="D265" s="1705"/>
      <c r="E265" s="1705"/>
      <c r="F265" s="1705"/>
      <c r="G265" s="1705"/>
      <c r="H265" s="1705"/>
      <c r="I265" s="1705"/>
      <c r="J265" s="1705"/>
      <c r="K265" s="1705"/>
      <c r="L265" s="1705"/>
      <c r="M265" s="1705"/>
      <c r="N265" s="1705"/>
      <c r="O265" s="1705"/>
      <c r="P265" s="1705"/>
      <c r="Q265" s="1705"/>
      <c r="R265" s="1705"/>
      <c r="S265" s="1705"/>
      <c r="T265" s="1705"/>
    </row>
    <row r="266" spans="1:20" ht="15.75" customHeight="1">
      <c r="A266" s="1705"/>
      <c r="B266" s="1705"/>
      <c r="C266" s="1705"/>
      <c r="D266" s="1705"/>
      <c r="E266" s="1705"/>
      <c r="F266" s="1705"/>
      <c r="G266" s="1705"/>
      <c r="H266" s="1705"/>
      <c r="I266" s="1705"/>
      <c r="J266" s="1705"/>
      <c r="K266" s="1705"/>
      <c r="L266" s="1705"/>
      <c r="M266" s="1705"/>
      <c r="N266" s="1705"/>
      <c r="O266" s="1705"/>
      <c r="P266" s="1705"/>
      <c r="Q266" s="1705"/>
      <c r="R266" s="1705"/>
      <c r="S266" s="1705"/>
      <c r="T266" s="1705"/>
    </row>
    <row r="267" spans="1:20" ht="15.75" customHeight="1">
      <c r="A267" s="1705"/>
      <c r="B267" s="1705"/>
      <c r="C267" s="1705"/>
      <c r="D267" s="1705"/>
      <c r="E267" s="1705"/>
      <c r="F267" s="1705"/>
      <c r="G267" s="1705"/>
      <c r="H267" s="1705"/>
      <c r="I267" s="1705"/>
      <c r="J267" s="1705"/>
      <c r="K267" s="1705"/>
      <c r="L267" s="1705"/>
      <c r="M267" s="1705"/>
      <c r="N267" s="1705"/>
      <c r="O267" s="1705"/>
      <c r="P267" s="1705"/>
      <c r="Q267" s="1705"/>
      <c r="R267" s="1705"/>
      <c r="S267" s="1705"/>
      <c r="T267" s="1705"/>
    </row>
    <row r="268" spans="1:20" ht="15.75" customHeight="1">
      <c r="A268" s="1705"/>
      <c r="B268" s="1705"/>
      <c r="C268" s="1705"/>
      <c r="D268" s="1705"/>
      <c r="E268" s="1705"/>
      <c r="F268" s="1705"/>
      <c r="G268" s="1705"/>
      <c r="H268" s="1705"/>
      <c r="I268" s="1705"/>
      <c r="J268" s="1705"/>
      <c r="K268" s="1705"/>
      <c r="L268" s="1705"/>
      <c r="M268" s="1705"/>
      <c r="N268" s="1705"/>
      <c r="O268" s="1705"/>
      <c r="P268" s="1705"/>
      <c r="Q268" s="1705"/>
      <c r="R268" s="1705"/>
      <c r="S268" s="1705"/>
      <c r="T268" s="1705"/>
    </row>
    <row r="269" spans="1:20" ht="15.75" customHeight="1">
      <c r="A269" s="1705"/>
      <c r="B269" s="1705"/>
      <c r="C269" s="1705"/>
      <c r="D269" s="1705"/>
      <c r="E269" s="1705"/>
      <c r="F269" s="1705"/>
      <c r="G269" s="1705"/>
      <c r="H269" s="1705"/>
      <c r="I269" s="1705"/>
      <c r="J269" s="1705"/>
      <c r="K269" s="1705"/>
      <c r="L269" s="1705"/>
      <c r="M269" s="1705"/>
      <c r="N269" s="1705"/>
      <c r="O269" s="1705"/>
      <c r="P269" s="1705"/>
      <c r="Q269" s="1705"/>
      <c r="R269" s="1705"/>
      <c r="S269" s="1705"/>
      <c r="T269" s="1705"/>
    </row>
    <row r="270" spans="1:20" ht="15.75" customHeight="1">
      <c r="A270" s="1705"/>
      <c r="B270" s="1705"/>
      <c r="C270" s="1705"/>
      <c r="D270" s="1705"/>
      <c r="E270" s="1705"/>
      <c r="F270" s="1705"/>
      <c r="G270" s="1705"/>
      <c r="H270" s="1705"/>
      <c r="I270" s="1705"/>
      <c r="J270" s="1705"/>
      <c r="K270" s="1705"/>
      <c r="L270" s="1705"/>
      <c r="M270" s="1705"/>
      <c r="N270" s="1705"/>
      <c r="O270" s="1705"/>
      <c r="P270" s="1705"/>
      <c r="Q270" s="1705"/>
      <c r="R270" s="1705"/>
      <c r="S270" s="1705"/>
      <c r="T270" s="1705"/>
    </row>
    <row r="271" spans="1:20" ht="15.75" customHeight="1">
      <c r="A271" s="1705"/>
      <c r="B271" s="1705"/>
      <c r="C271" s="1705"/>
      <c r="D271" s="1705"/>
      <c r="E271" s="1705"/>
      <c r="F271" s="1705"/>
      <c r="G271" s="1705"/>
      <c r="H271" s="1705"/>
      <c r="I271" s="1705"/>
      <c r="J271" s="1705"/>
      <c r="K271" s="1705"/>
      <c r="L271" s="1705"/>
      <c r="M271" s="1705"/>
      <c r="N271" s="1705"/>
      <c r="O271" s="1705"/>
      <c r="P271" s="1705"/>
      <c r="Q271" s="1705"/>
      <c r="R271" s="1705"/>
      <c r="S271" s="1705"/>
      <c r="T271" s="1705"/>
    </row>
    <row r="272" spans="1:20" ht="15.75" customHeight="1">
      <c r="A272" s="1705"/>
      <c r="B272" s="1705"/>
      <c r="C272" s="1705"/>
      <c r="D272" s="1705"/>
      <c r="E272" s="1705"/>
      <c r="F272" s="1705"/>
      <c r="G272" s="1705"/>
      <c r="H272" s="1705"/>
      <c r="I272" s="1705"/>
      <c r="J272" s="1705"/>
      <c r="K272" s="1705"/>
      <c r="L272" s="1705"/>
      <c r="M272" s="1705"/>
      <c r="N272" s="1705"/>
      <c r="O272" s="1705"/>
      <c r="P272" s="1705"/>
      <c r="Q272" s="1705"/>
      <c r="R272" s="1705"/>
      <c r="S272" s="1705"/>
      <c r="T272" s="1705"/>
    </row>
    <row r="273" spans="1:20" ht="15.75" customHeight="1">
      <c r="A273" s="1705"/>
      <c r="B273" s="1705"/>
      <c r="C273" s="1705"/>
      <c r="D273" s="1705"/>
      <c r="E273" s="1705"/>
      <c r="F273" s="1705"/>
      <c r="G273" s="1705"/>
      <c r="H273" s="1705"/>
      <c r="I273" s="1705"/>
      <c r="J273" s="1705"/>
      <c r="K273" s="1705"/>
      <c r="L273" s="1705"/>
      <c r="M273" s="1705"/>
      <c r="N273" s="1705"/>
      <c r="O273" s="1705"/>
      <c r="P273" s="1705"/>
      <c r="Q273" s="1705"/>
      <c r="R273" s="1705"/>
      <c r="S273" s="1705"/>
      <c r="T273" s="1705"/>
    </row>
    <row r="274" spans="1:20" ht="15.75" customHeight="1">
      <c r="A274" s="1705"/>
      <c r="B274" s="1705"/>
      <c r="C274" s="1705"/>
      <c r="D274" s="1705"/>
      <c r="E274" s="1705"/>
      <c r="F274" s="1705"/>
      <c r="G274" s="1705"/>
      <c r="H274" s="1705"/>
      <c r="I274" s="1705"/>
      <c r="J274" s="1705"/>
      <c r="K274" s="1705"/>
      <c r="L274" s="1705"/>
      <c r="M274" s="1705"/>
      <c r="N274" s="1705"/>
      <c r="O274" s="1705"/>
      <c r="P274" s="1705"/>
      <c r="Q274" s="1705"/>
      <c r="R274" s="1705"/>
      <c r="S274" s="1705"/>
      <c r="T274" s="1705"/>
    </row>
    <row r="275" spans="1:20" ht="15.75" customHeight="1">
      <c r="A275" s="1705"/>
      <c r="B275" s="1705"/>
      <c r="C275" s="1705"/>
      <c r="D275" s="1705"/>
      <c r="E275" s="1705"/>
      <c r="F275" s="1705"/>
      <c r="G275" s="1705"/>
      <c r="H275" s="1705"/>
      <c r="I275" s="1705"/>
      <c r="J275" s="1705"/>
      <c r="K275" s="1705"/>
      <c r="L275" s="1705"/>
      <c r="M275" s="1705"/>
      <c r="N275" s="1705"/>
      <c r="O275" s="1705"/>
      <c r="P275" s="1705"/>
      <c r="Q275" s="1705"/>
      <c r="R275" s="1705"/>
      <c r="S275" s="1705"/>
      <c r="T275" s="1705"/>
    </row>
    <row r="276" spans="1:20" ht="15.75" customHeight="1">
      <c r="A276" s="1705"/>
      <c r="B276" s="1705"/>
      <c r="C276" s="1705"/>
      <c r="D276" s="1705"/>
      <c r="E276" s="1705"/>
      <c r="F276" s="1705"/>
      <c r="G276" s="1705"/>
      <c r="H276" s="1705"/>
      <c r="I276" s="1705"/>
      <c r="J276" s="1705"/>
      <c r="K276" s="1705"/>
      <c r="L276" s="1705"/>
      <c r="M276" s="1705"/>
      <c r="N276" s="1705"/>
      <c r="O276" s="1705"/>
      <c r="P276" s="1705"/>
      <c r="Q276" s="1705"/>
      <c r="R276" s="1705"/>
      <c r="S276" s="1705"/>
      <c r="T276" s="1705"/>
    </row>
    <row r="277" spans="1:20" ht="15.75" customHeight="1">
      <c r="A277" s="1705"/>
      <c r="B277" s="1705"/>
      <c r="C277" s="1705"/>
      <c r="D277" s="1705"/>
      <c r="E277" s="1705"/>
      <c r="F277" s="1705"/>
      <c r="G277" s="1705"/>
      <c r="H277" s="1705"/>
      <c r="I277" s="1705"/>
      <c r="J277" s="1705"/>
      <c r="K277" s="1705"/>
      <c r="L277" s="1705"/>
      <c r="M277" s="1705"/>
      <c r="N277" s="1705"/>
      <c r="O277" s="1705"/>
      <c r="P277" s="1705"/>
      <c r="Q277" s="1705"/>
      <c r="R277" s="1705"/>
      <c r="S277" s="1705"/>
      <c r="T277" s="1705"/>
    </row>
    <row r="278" spans="1:20" ht="15.75" customHeight="1">
      <c r="A278" s="1705"/>
      <c r="B278" s="1705"/>
      <c r="C278" s="1705"/>
      <c r="D278" s="1705"/>
      <c r="E278" s="1705"/>
      <c r="F278" s="1705"/>
      <c r="G278" s="1705"/>
      <c r="H278" s="1705"/>
      <c r="I278" s="1705"/>
      <c r="J278" s="1705"/>
      <c r="K278" s="1705"/>
      <c r="L278" s="1705"/>
      <c r="M278" s="1705"/>
      <c r="N278" s="1705"/>
      <c r="O278" s="1705"/>
      <c r="P278" s="1705"/>
      <c r="Q278" s="1705"/>
      <c r="R278" s="1705"/>
      <c r="S278" s="1705"/>
      <c r="T278" s="1705"/>
    </row>
    <row r="279" spans="1:20" ht="15.75" customHeight="1">
      <c r="A279" s="1705"/>
      <c r="B279" s="1705"/>
      <c r="C279" s="1705"/>
      <c r="D279" s="1705"/>
      <c r="E279" s="1705"/>
      <c r="F279" s="1705"/>
      <c r="G279" s="1705"/>
      <c r="H279" s="1705"/>
      <c r="I279" s="1705"/>
      <c r="J279" s="1705"/>
      <c r="K279" s="1705"/>
      <c r="L279" s="1705"/>
      <c r="M279" s="1705"/>
      <c r="N279" s="1705"/>
      <c r="O279" s="1705"/>
      <c r="P279" s="1705"/>
      <c r="Q279" s="1705"/>
      <c r="R279" s="1705"/>
      <c r="S279" s="1705"/>
      <c r="T279" s="1705"/>
    </row>
    <row r="280" spans="1:20" ht="15.75" customHeight="1">
      <c r="A280" s="1705"/>
      <c r="B280" s="1705"/>
      <c r="C280" s="1705"/>
      <c r="D280" s="1705"/>
      <c r="E280" s="1705"/>
      <c r="F280" s="1705"/>
      <c r="G280" s="1705"/>
      <c r="H280" s="1705"/>
      <c r="I280" s="1705"/>
      <c r="J280" s="1705"/>
      <c r="K280" s="1705"/>
      <c r="L280" s="1705"/>
      <c r="M280" s="1705"/>
      <c r="N280" s="1705"/>
      <c r="O280" s="1705"/>
      <c r="P280" s="1705"/>
      <c r="Q280" s="1705"/>
      <c r="R280" s="1705"/>
      <c r="S280" s="1705"/>
      <c r="T280" s="1705"/>
    </row>
    <row r="281" spans="1:20" ht="15.75" customHeight="1">
      <c r="A281" s="1705"/>
      <c r="B281" s="1705"/>
      <c r="C281" s="1705"/>
      <c r="D281" s="1705"/>
      <c r="E281" s="1705"/>
      <c r="F281" s="1705"/>
      <c r="G281" s="1705"/>
      <c r="H281" s="1705"/>
      <c r="I281" s="1705"/>
      <c r="J281" s="1705"/>
      <c r="K281" s="1705"/>
      <c r="L281" s="1705"/>
      <c r="M281" s="1705"/>
      <c r="N281" s="1705"/>
      <c r="O281" s="1705"/>
      <c r="P281" s="1705"/>
      <c r="Q281" s="1705"/>
      <c r="R281" s="1705"/>
      <c r="S281" s="1705"/>
      <c r="T281" s="1705"/>
    </row>
    <row r="282" spans="1:20" ht="15.75" customHeight="1">
      <c r="A282" s="1705"/>
      <c r="B282" s="1705"/>
      <c r="C282" s="1705"/>
      <c r="D282" s="1705"/>
      <c r="E282" s="1705"/>
      <c r="F282" s="1705"/>
      <c r="G282" s="1705"/>
      <c r="H282" s="1705"/>
      <c r="I282" s="1705"/>
      <c r="J282" s="1705"/>
      <c r="K282" s="1705"/>
      <c r="L282" s="1705"/>
      <c r="M282" s="1705"/>
      <c r="N282" s="1705"/>
      <c r="O282" s="1705"/>
      <c r="P282" s="1705"/>
      <c r="Q282" s="1705"/>
      <c r="R282" s="1705"/>
      <c r="S282" s="1705"/>
      <c r="T282" s="1705"/>
    </row>
    <row r="283" spans="1:20" ht="15.75" customHeight="1">
      <c r="A283" s="1705"/>
      <c r="B283" s="1705"/>
      <c r="C283" s="1705"/>
      <c r="D283" s="1705"/>
      <c r="E283" s="1705"/>
      <c r="F283" s="1705"/>
      <c r="G283" s="1705"/>
      <c r="H283" s="1705"/>
      <c r="I283" s="1705"/>
      <c r="J283" s="1705"/>
      <c r="K283" s="1705"/>
      <c r="L283" s="1705"/>
      <c r="M283" s="1705"/>
      <c r="N283" s="1705"/>
      <c r="O283" s="1705"/>
      <c r="P283" s="1705"/>
      <c r="Q283" s="1705"/>
      <c r="R283" s="1705"/>
      <c r="S283" s="1705"/>
      <c r="T283" s="1705"/>
    </row>
    <row r="284" spans="1:20" ht="15.75" customHeight="1">
      <c r="A284" s="1705"/>
      <c r="B284" s="1705"/>
      <c r="C284" s="1705"/>
      <c r="D284" s="1705"/>
      <c r="E284" s="1705"/>
      <c r="F284" s="1705"/>
      <c r="G284" s="1705"/>
      <c r="H284" s="1705"/>
      <c r="I284" s="1705"/>
      <c r="J284" s="1705"/>
      <c r="K284" s="1705"/>
      <c r="L284" s="1705"/>
      <c r="M284" s="1705"/>
      <c r="N284" s="1705"/>
      <c r="O284" s="1705"/>
      <c r="P284" s="1705"/>
      <c r="Q284" s="1705"/>
      <c r="R284" s="1705"/>
      <c r="S284" s="1705"/>
      <c r="T284" s="1705"/>
    </row>
    <row r="285" spans="1:20" ht="15.75" customHeight="1">
      <c r="A285" s="1705"/>
      <c r="B285" s="1705"/>
      <c r="C285" s="1705"/>
      <c r="D285" s="1705"/>
      <c r="E285" s="1705"/>
      <c r="F285" s="1705"/>
      <c r="G285" s="1705"/>
      <c r="H285" s="1705"/>
      <c r="I285" s="1705"/>
      <c r="J285" s="1705"/>
      <c r="K285" s="1705"/>
      <c r="L285" s="1705"/>
      <c r="M285" s="1705"/>
      <c r="N285" s="1705"/>
      <c r="O285" s="1705"/>
      <c r="P285" s="1705"/>
      <c r="Q285" s="1705"/>
      <c r="R285" s="1705"/>
      <c r="S285" s="1705"/>
      <c r="T285" s="1705"/>
    </row>
    <row r="286" spans="1:20" ht="15.75" customHeight="1">
      <c r="A286" s="1705"/>
      <c r="B286" s="1705"/>
      <c r="C286" s="1705"/>
      <c r="D286" s="1705"/>
      <c r="E286" s="1705"/>
      <c r="F286" s="1705"/>
      <c r="G286" s="1705"/>
      <c r="H286" s="1705"/>
      <c r="I286" s="1705"/>
      <c r="J286" s="1705"/>
      <c r="K286" s="1705"/>
      <c r="L286" s="1705"/>
      <c r="M286" s="1705"/>
      <c r="N286" s="1705"/>
      <c r="O286" s="1705"/>
      <c r="P286" s="1705"/>
      <c r="Q286" s="1705"/>
      <c r="R286" s="1705"/>
      <c r="S286" s="1705"/>
      <c r="T286" s="1705"/>
    </row>
    <row r="287" spans="1:20" ht="15.75" customHeight="1">
      <c r="A287" s="1705"/>
      <c r="B287" s="1705"/>
      <c r="C287" s="1705"/>
      <c r="D287" s="1705"/>
      <c r="E287" s="1705"/>
      <c r="F287" s="1705"/>
      <c r="G287" s="1705"/>
      <c r="H287" s="1705"/>
      <c r="I287" s="1705"/>
      <c r="J287" s="1705"/>
      <c r="K287" s="1705"/>
      <c r="L287" s="1705"/>
      <c r="M287" s="1705"/>
      <c r="N287" s="1705"/>
      <c r="O287" s="1705"/>
      <c r="P287" s="1705"/>
      <c r="Q287" s="1705"/>
      <c r="R287" s="1705"/>
      <c r="S287" s="1705"/>
      <c r="T287" s="1705"/>
    </row>
    <row r="288" spans="1:20" ht="15.75" customHeight="1">
      <c r="A288" s="1705"/>
      <c r="B288" s="1705"/>
      <c r="C288" s="1705"/>
      <c r="D288" s="1705"/>
      <c r="E288" s="1705"/>
      <c r="F288" s="1705"/>
      <c r="G288" s="1705"/>
      <c r="H288" s="1705"/>
      <c r="I288" s="1705"/>
      <c r="J288" s="1705"/>
      <c r="K288" s="1705"/>
      <c r="L288" s="1705"/>
      <c r="M288" s="1705"/>
      <c r="N288" s="1705"/>
      <c r="O288" s="1705"/>
      <c r="P288" s="1705"/>
      <c r="Q288" s="1705"/>
      <c r="R288" s="1705"/>
      <c r="S288" s="1705"/>
      <c r="T288" s="1705"/>
    </row>
    <row r="289" spans="1:20" ht="15.75" customHeight="1">
      <c r="A289" s="1705"/>
      <c r="B289" s="1705"/>
      <c r="C289" s="1705"/>
      <c r="D289" s="1705"/>
      <c r="E289" s="1705"/>
      <c r="F289" s="1705"/>
      <c r="G289" s="1705"/>
      <c r="H289" s="1705"/>
      <c r="I289" s="1705"/>
      <c r="J289" s="1705"/>
      <c r="K289" s="1705"/>
      <c r="L289" s="1705"/>
      <c r="M289" s="1705"/>
      <c r="N289" s="1705"/>
      <c r="O289" s="1705"/>
      <c r="P289" s="1705"/>
      <c r="Q289" s="1705"/>
      <c r="R289" s="1705"/>
      <c r="S289" s="1705"/>
      <c r="T289" s="1705"/>
    </row>
    <row r="290" spans="1:20" ht="15.75" customHeight="1">
      <c r="A290" s="1705"/>
      <c r="B290" s="1705"/>
      <c r="C290" s="1705"/>
      <c r="D290" s="1705"/>
      <c r="E290" s="1705"/>
      <c r="F290" s="1705"/>
      <c r="G290" s="1705"/>
      <c r="H290" s="1705"/>
      <c r="I290" s="1705"/>
      <c r="J290" s="1705"/>
      <c r="K290" s="1705"/>
      <c r="L290" s="1705"/>
      <c r="M290" s="1705"/>
      <c r="N290" s="1705"/>
      <c r="O290" s="1705"/>
      <c r="P290" s="1705"/>
      <c r="Q290" s="1705"/>
      <c r="R290" s="1705"/>
      <c r="S290" s="1705"/>
      <c r="T290" s="1705"/>
    </row>
    <row r="291" spans="1:20" ht="15.75" customHeight="1">
      <c r="A291" s="1705"/>
      <c r="B291" s="1705"/>
      <c r="C291" s="1705"/>
      <c r="D291" s="1705"/>
      <c r="E291" s="1705"/>
      <c r="F291" s="1705"/>
      <c r="G291" s="1705"/>
      <c r="H291" s="1705"/>
      <c r="I291" s="1705"/>
      <c r="J291" s="1705"/>
      <c r="K291" s="1705"/>
      <c r="L291" s="1705"/>
      <c r="M291" s="1705"/>
      <c r="N291" s="1705"/>
      <c r="O291" s="1705"/>
      <c r="P291" s="1705"/>
      <c r="Q291" s="1705"/>
      <c r="R291" s="1705"/>
      <c r="S291" s="1705"/>
      <c r="T291" s="1705"/>
    </row>
    <row r="292" spans="1:20" ht="15.75" customHeight="1">
      <c r="A292" s="1705"/>
      <c r="B292" s="1705"/>
      <c r="C292" s="1705"/>
      <c r="D292" s="1705"/>
      <c r="E292" s="1705"/>
      <c r="F292" s="1705"/>
      <c r="G292" s="1705"/>
      <c r="H292" s="1705"/>
      <c r="I292" s="1705"/>
      <c r="J292" s="1705"/>
      <c r="K292" s="1705"/>
      <c r="L292" s="1705"/>
      <c r="M292" s="1705"/>
      <c r="N292" s="1705"/>
      <c r="O292" s="1705"/>
      <c r="P292" s="1705"/>
      <c r="Q292" s="1705"/>
      <c r="R292" s="1705"/>
      <c r="S292" s="1705"/>
      <c r="T292" s="1705"/>
    </row>
    <row r="293" spans="1:20" ht="15.75" customHeight="1">
      <c r="A293" s="1705"/>
      <c r="B293" s="1705"/>
      <c r="C293" s="1705"/>
      <c r="D293" s="1705"/>
      <c r="E293" s="1705"/>
      <c r="F293" s="1705"/>
      <c r="G293" s="1705"/>
      <c r="H293" s="1705"/>
      <c r="I293" s="1705"/>
      <c r="J293" s="1705"/>
      <c r="K293" s="1705"/>
      <c r="L293" s="1705"/>
      <c r="M293" s="1705"/>
      <c r="N293" s="1705"/>
      <c r="O293" s="1705"/>
      <c r="P293" s="1705"/>
      <c r="Q293" s="1705"/>
      <c r="R293" s="1705"/>
      <c r="S293" s="1705"/>
      <c r="T293" s="1705"/>
    </row>
    <row r="294" spans="1:20" ht="15.75" customHeight="1">
      <c r="A294" s="1705"/>
      <c r="B294" s="1705"/>
      <c r="C294" s="1705"/>
      <c r="D294" s="1705"/>
      <c r="E294" s="1705"/>
      <c r="F294" s="1705"/>
      <c r="G294" s="1705"/>
      <c r="H294" s="1705"/>
      <c r="I294" s="1705"/>
      <c r="J294" s="1705"/>
      <c r="K294" s="1705"/>
      <c r="L294" s="1705"/>
      <c r="M294" s="1705"/>
      <c r="N294" s="1705"/>
      <c r="O294" s="1705"/>
      <c r="P294" s="1705"/>
      <c r="Q294" s="1705"/>
      <c r="R294" s="1705"/>
      <c r="S294" s="1705"/>
      <c r="T294" s="1705"/>
    </row>
    <row r="295" spans="1:20" ht="15.75" customHeight="1">
      <c r="A295" s="1705"/>
      <c r="B295" s="1705"/>
      <c r="C295" s="1705"/>
      <c r="D295" s="1705"/>
      <c r="E295" s="1705"/>
      <c r="F295" s="1705"/>
      <c r="G295" s="1705"/>
      <c r="H295" s="1705"/>
      <c r="I295" s="1705"/>
      <c r="J295" s="1705"/>
      <c r="K295" s="1705"/>
      <c r="L295" s="1705"/>
      <c r="M295" s="1705"/>
      <c r="N295" s="1705"/>
      <c r="O295" s="1705"/>
      <c r="P295" s="1705"/>
      <c r="Q295" s="1705"/>
      <c r="R295" s="1705"/>
      <c r="S295" s="1705"/>
      <c r="T295" s="1705"/>
    </row>
    <row r="296" spans="1:20" ht="15.75" customHeight="1">
      <c r="A296" s="1705"/>
      <c r="B296" s="1705"/>
      <c r="C296" s="1705"/>
      <c r="D296" s="1705"/>
      <c r="E296" s="1705"/>
      <c r="F296" s="1705"/>
      <c r="G296" s="1705"/>
      <c r="H296" s="1705"/>
      <c r="I296" s="1705"/>
      <c r="J296" s="1705"/>
      <c r="K296" s="1705"/>
      <c r="L296" s="1705"/>
      <c r="M296" s="1705"/>
      <c r="N296" s="1705"/>
      <c r="O296" s="1705"/>
      <c r="P296" s="1705"/>
      <c r="Q296" s="1705"/>
      <c r="R296" s="1705"/>
      <c r="S296" s="1705"/>
      <c r="T296" s="1705"/>
    </row>
    <row r="297" spans="1:20" ht="15.75" customHeight="1">
      <c r="A297" s="1705"/>
      <c r="B297" s="1705"/>
      <c r="C297" s="1705"/>
      <c r="D297" s="1705"/>
      <c r="E297" s="1705"/>
      <c r="F297" s="1705"/>
      <c r="G297" s="1705"/>
      <c r="H297" s="1705"/>
      <c r="I297" s="1705"/>
      <c r="J297" s="1705"/>
      <c r="K297" s="1705"/>
      <c r="L297" s="1705"/>
      <c r="M297" s="1705"/>
      <c r="N297" s="1705"/>
      <c r="O297" s="1705"/>
      <c r="P297" s="1705"/>
      <c r="Q297" s="1705"/>
      <c r="R297" s="1705"/>
      <c r="S297" s="1705"/>
      <c r="T297" s="1705"/>
    </row>
    <row r="298" spans="1:20" ht="15.75" customHeight="1">
      <c r="A298" s="1705"/>
      <c r="B298" s="1705"/>
      <c r="C298" s="1705"/>
      <c r="D298" s="1705"/>
      <c r="E298" s="1705"/>
      <c r="F298" s="1705"/>
      <c r="G298" s="1705"/>
      <c r="H298" s="1705"/>
      <c r="I298" s="1705"/>
      <c r="J298" s="1705"/>
      <c r="K298" s="1705"/>
      <c r="L298" s="1705"/>
      <c r="M298" s="1705"/>
      <c r="N298" s="1705"/>
      <c r="O298" s="1705"/>
      <c r="P298" s="1705"/>
      <c r="Q298" s="1705"/>
      <c r="R298" s="1705"/>
      <c r="S298" s="1705"/>
      <c r="T298" s="1705"/>
    </row>
    <row r="299" spans="1:20" ht="15.75" customHeight="1">
      <c r="A299" s="1705"/>
      <c r="B299" s="1705"/>
      <c r="C299" s="1705"/>
      <c r="D299" s="1705"/>
      <c r="E299" s="1705"/>
      <c r="F299" s="1705"/>
      <c r="G299" s="1705"/>
      <c r="H299" s="1705"/>
      <c r="I299" s="1705"/>
      <c r="J299" s="1705"/>
      <c r="K299" s="1705"/>
      <c r="L299" s="1705"/>
      <c r="M299" s="1705"/>
      <c r="N299" s="1705"/>
      <c r="O299" s="1705"/>
      <c r="P299" s="1705"/>
      <c r="Q299" s="1705"/>
      <c r="R299" s="1705"/>
      <c r="S299" s="1705"/>
      <c r="T299" s="1705"/>
    </row>
    <row r="300" spans="1:20" ht="15.75" customHeight="1">
      <c r="A300" s="1705"/>
      <c r="B300" s="1705"/>
      <c r="C300" s="1705"/>
      <c r="D300" s="1705"/>
      <c r="E300" s="1705"/>
      <c r="F300" s="1705"/>
      <c r="G300" s="1705"/>
      <c r="H300" s="1705"/>
      <c r="I300" s="1705"/>
      <c r="J300" s="1705"/>
      <c r="K300" s="1705"/>
      <c r="L300" s="1705"/>
      <c r="M300" s="1705"/>
      <c r="N300" s="1705"/>
      <c r="O300" s="1705"/>
      <c r="P300" s="1705"/>
      <c r="Q300" s="1705"/>
      <c r="R300" s="1705"/>
      <c r="S300" s="1705"/>
      <c r="T300" s="1705"/>
    </row>
    <row r="301" spans="1:20" ht="15.75" customHeight="1">
      <c r="A301" s="1705"/>
      <c r="B301" s="1705"/>
      <c r="C301" s="1705"/>
      <c r="D301" s="1705"/>
      <c r="E301" s="1705"/>
      <c r="F301" s="1705"/>
      <c r="G301" s="1705"/>
      <c r="H301" s="1705"/>
      <c r="I301" s="1705"/>
      <c r="J301" s="1705"/>
      <c r="K301" s="1705"/>
      <c r="L301" s="1705"/>
      <c r="M301" s="1705"/>
      <c r="N301" s="1705"/>
      <c r="O301" s="1705"/>
      <c r="P301" s="1705"/>
      <c r="Q301" s="1705"/>
      <c r="R301" s="1705"/>
      <c r="S301" s="1705"/>
      <c r="T301" s="1705"/>
    </row>
    <row r="302" spans="1:20" ht="15.75" customHeight="1">
      <c r="A302" s="1705"/>
      <c r="B302" s="1705"/>
      <c r="C302" s="1705"/>
      <c r="D302" s="1705"/>
      <c r="E302" s="1705"/>
      <c r="F302" s="1705"/>
      <c r="G302" s="1705"/>
      <c r="H302" s="1705"/>
      <c r="I302" s="1705"/>
      <c r="J302" s="1705"/>
      <c r="K302" s="1705"/>
      <c r="L302" s="1705"/>
      <c r="M302" s="1705"/>
      <c r="N302" s="1705"/>
      <c r="O302" s="1705"/>
      <c r="P302" s="1705"/>
      <c r="Q302" s="1705"/>
      <c r="R302" s="1705"/>
      <c r="S302" s="1705"/>
      <c r="T302" s="1705"/>
    </row>
    <row r="303" spans="1:20" ht="15.75" customHeight="1">
      <c r="A303" s="1705"/>
      <c r="B303" s="1705"/>
      <c r="C303" s="1705"/>
      <c r="D303" s="1705"/>
      <c r="E303" s="1705"/>
      <c r="F303" s="1705"/>
      <c r="G303" s="1705"/>
      <c r="H303" s="1705"/>
      <c r="I303" s="1705"/>
      <c r="J303" s="1705"/>
      <c r="K303" s="1705"/>
      <c r="L303" s="1705"/>
      <c r="M303" s="1705"/>
      <c r="N303" s="1705"/>
      <c r="O303" s="1705"/>
      <c r="P303" s="1705"/>
      <c r="Q303" s="1705"/>
      <c r="R303" s="1705"/>
      <c r="S303" s="1705"/>
      <c r="T303" s="1705"/>
    </row>
    <row r="304" spans="1:20" ht="15.75" customHeight="1">
      <c r="A304" s="1705"/>
      <c r="B304" s="1705"/>
      <c r="C304" s="1705"/>
      <c r="D304" s="1705"/>
      <c r="E304" s="1705"/>
      <c r="F304" s="1705"/>
      <c r="G304" s="1705"/>
      <c r="H304" s="1705"/>
      <c r="I304" s="1705"/>
      <c r="J304" s="1705"/>
      <c r="K304" s="1705"/>
      <c r="L304" s="1705"/>
      <c r="M304" s="1705"/>
      <c r="N304" s="1705"/>
      <c r="O304" s="1705"/>
      <c r="P304" s="1705"/>
      <c r="Q304" s="1705"/>
      <c r="R304" s="1705"/>
      <c r="S304" s="1705"/>
      <c r="T304" s="1705"/>
    </row>
    <row r="305" spans="1:20" ht="15.75" customHeight="1">
      <c r="A305" s="1705"/>
      <c r="B305" s="1705"/>
      <c r="C305" s="1705"/>
      <c r="D305" s="1705"/>
      <c r="E305" s="1705"/>
      <c r="F305" s="1705"/>
      <c r="G305" s="1705"/>
      <c r="H305" s="1705"/>
      <c r="I305" s="1705"/>
      <c r="J305" s="1705"/>
      <c r="K305" s="1705"/>
      <c r="L305" s="1705"/>
      <c r="M305" s="1705"/>
      <c r="N305" s="1705"/>
      <c r="O305" s="1705"/>
      <c r="P305" s="1705"/>
      <c r="Q305" s="1705"/>
      <c r="R305" s="1705"/>
      <c r="S305" s="1705"/>
      <c r="T305" s="1705"/>
    </row>
    <row r="306" spans="1:20" ht="15.75" customHeight="1">
      <c r="A306" s="1705"/>
      <c r="B306" s="1705"/>
      <c r="C306" s="1705"/>
      <c r="D306" s="1705"/>
      <c r="E306" s="1705"/>
      <c r="F306" s="1705"/>
      <c r="G306" s="1705"/>
      <c r="H306" s="1705"/>
      <c r="I306" s="1705"/>
      <c r="J306" s="1705"/>
      <c r="K306" s="1705"/>
      <c r="L306" s="1705"/>
      <c r="M306" s="1705"/>
      <c r="N306" s="1705"/>
      <c r="O306" s="1705"/>
      <c r="P306" s="1705"/>
      <c r="Q306" s="1705"/>
      <c r="R306" s="1705"/>
      <c r="S306" s="1705"/>
      <c r="T306" s="1705"/>
    </row>
    <row r="307" spans="1:20" ht="15.75" customHeight="1">
      <c r="A307" s="1705"/>
      <c r="B307" s="1705"/>
      <c r="C307" s="1705"/>
      <c r="D307" s="1705"/>
      <c r="E307" s="1705"/>
      <c r="F307" s="1705"/>
      <c r="G307" s="1705"/>
      <c r="H307" s="1705"/>
      <c r="I307" s="1705"/>
      <c r="J307" s="1705"/>
      <c r="K307" s="1705"/>
      <c r="L307" s="1705"/>
      <c r="M307" s="1705"/>
      <c r="N307" s="1705"/>
      <c r="O307" s="1705"/>
      <c r="P307" s="1705"/>
      <c r="Q307" s="1705"/>
      <c r="R307" s="1705"/>
      <c r="S307" s="1705"/>
      <c r="T307" s="1705"/>
    </row>
    <row r="308" spans="1:20" ht="15.75" customHeight="1">
      <c r="A308" s="1705"/>
      <c r="B308" s="1705"/>
      <c r="C308" s="1705"/>
      <c r="D308" s="1705"/>
      <c r="E308" s="1705"/>
      <c r="F308" s="1705"/>
      <c r="G308" s="1705"/>
      <c r="H308" s="1705"/>
      <c r="I308" s="1705"/>
      <c r="J308" s="1705"/>
      <c r="K308" s="1705"/>
      <c r="L308" s="1705"/>
      <c r="M308" s="1705"/>
      <c r="N308" s="1705"/>
      <c r="O308" s="1705"/>
      <c r="P308" s="1705"/>
      <c r="Q308" s="1705"/>
      <c r="R308" s="1705"/>
      <c r="S308" s="1705"/>
      <c r="T308" s="1705"/>
    </row>
    <row r="309" spans="1:20" ht="15.75" customHeight="1">
      <c r="A309" s="1705"/>
      <c r="B309" s="1705"/>
      <c r="C309" s="1705"/>
      <c r="D309" s="1705"/>
      <c r="E309" s="1705"/>
      <c r="F309" s="1705"/>
      <c r="G309" s="1705"/>
      <c r="H309" s="1705"/>
      <c r="I309" s="1705"/>
      <c r="J309" s="1705"/>
      <c r="K309" s="1705"/>
      <c r="L309" s="1705"/>
      <c r="M309" s="1705"/>
      <c r="N309" s="1705"/>
      <c r="O309" s="1705"/>
      <c r="P309" s="1705"/>
      <c r="Q309" s="1705"/>
      <c r="R309" s="1705"/>
      <c r="S309" s="1705"/>
      <c r="T309" s="1705"/>
    </row>
    <row r="310" spans="1:20" ht="15.75" customHeight="1">
      <c r="A310" s="1705"/>
      <c r="B310" s="1705"/>
      <c r="C310" s="1705"/>
      <c r="D310" s="1705"/>
      <c r="E310" s="1705"/>
      <c r="F310" s="1705"/>
      <c r="G310" s="1705"/>
      <c r="H310" s="1705"/>
      <c r="I310" s="1705"/>
      <c r="J310" s="1705"/>
      <c r="K310" s="1705"/>
      <c r="L310" s="1705"/>
      <c r="M310" s="1705"/>
      <c r="N310" s="1705"/>
      <c r="O310" s="1705"/>
      <c r="P310" s="1705"/>
      <c r="Q310" s="1705"/>
      <c r="R310" s="1705"/>
      <c r="S310" s="1705"/>
      <c r="T310" s="1705"/>
    </row>
    <row r="311" spans="1:20" ht="15.75" customHeight="1">
      <c r="A311" s="1705"/>
      <c r="B311" s="1705"/>
      <c r="C311" s="1705"/>
      <c r="D311" s="1705"/>
      <c r="E311" s="1705"/>
      <c r="F311" s="1705"/>
      <c r="G311" s="1705"/>
      <c r="H311" s="1705"/>
      <c r="I311" s="1705"/>
      <c r="J311" s="1705"/>
      <c r="K311" s="1705"/>
      <c r="L311" s="1705"/>
      <c r="M311" s="1705"/>
      <c r="N311" s="1705"/>
      <c r="O311" s="1705"/>
      <c r="P311" s="1705"/>
      <c r="Q311" s="1705"/>
      <c r="R311" s="1705"/>
      <c r="S311" s="1705"/>
      <c r="T311" s="1705"/>
    </row>
    <row r="312" spans="1:20" ht="15.75" customHeight="1">
      <c r="A312" s="1705"/>
      <c r="B312" s="1705"/>
      <c r="C312" s="1705"/>
      <c r="D312" s="1705"/>
      <c r="E312" s="1705"/>
      <c r="F312" s="1705"/>
      <c r="G312" s="1705"/>
      <c r="H312" s="1705"/>
      <c r="I312" s="1705"/>
      <c r="J312" s="1705"/>
      <c r="K312" s="1705"/>
      <c r="L312" s="1705"/>
      <c r="M312" s="1705"/>
      <c r="N312" s="1705"/>
      <c r="O312" s="1705"/>
      <c r="P312" s="1705"/>
      <c r="Q312" s="1705"/>
      <c r="R312" s="1705"/>
      <c r="S312" s="1705"/>
      <c r="T312" s="1705"/>
    </row>
    <row r="313" spans="1:20" ht="15.75" customHeight="1">
      <c r="A313" s="1705"/>
      <c r="B313" s="1705"/>
      <c r="C313" s="1705"/>
      <c r="D313" s="1705"/>
      <c r="E313" s="1705"/>
      <c r="F313" s="1705"/>
      <c r="G313" s="1705"/>
      <c r="H313" s="1705"/>
      <c r="I313" s="1705"/>
      <c r="J313" s="1705"/>
      <c r="K313" s="1705"/>
      <c r="L313" s="1705"/>
      <c r="M313" s="1705"/>
      <c r="N313" s="1705"/>
      <c r="O313" s="1705"/>
      <c r="P313" s="1705"/>
      <c r="Q313" s="1705"/>
      <c r="R313" s="1705"/>
      <c r="S313" s="1705"/>
      <c r="T313" s="1705"/>
    </row>
    <row r="314" spans="1:20" ht="15.75" customHeight="1">
      <c r="A314" s="1705"/>
      <c r="B314" s="1705"/>
      <c r="C314" s="1705"/>
      <c r="D314" s="1705"/>
      <c r="E314" s="1705"/>
      <c r="F314" s="1705"/>
      <c r="G314" s="1705"/>
      <c r="H314" s="1705"/>
      <c r="I314" s="1705"/>
      <c r="J314" s="1705"/>
      <c r="K314" s="1705"/>
      <c r="L314" s="1705"/>
      <c r="M314" s="1705"/>
      <c r="N314" s="1705"/>
      <c r="O314" s="1705"/>
      <c r="P314" s="1705"/>
      <c r="Q314" s="1705"/>
      <c r="R314" s="1705"/>
      <c r="S314" s="1705"/>
      <c r="T314" s="1705"/>
    </row>
    <row r="315" spans="1:20" ht="15.75" customHeight="1">
      <c r="A315" s="1705"/>
      <c r="B315" s="1705"/>
      <c r="C315" s="1705"/>
      <c r="D315" s="1705"/>
      <c r="E315" s="1705"/>
      <c r="F315" s="1705"/>
      <c r="G315" s="1705"/>
      <c r="H315" s="1705"/>
      <c r="I315" s="1705"/>
      <c r="J315" s="1705"/>
      <c r="K315" s="1705"/>
      <c r="L315" s="1705"/>
      <c r="M315" s="1705"/>
      <c r="N315" s="1705"/>
      <c r="O315" s="1705"/>
      <c r="P315" s="1705"/>
      <c r="Q315" s="1705"/>
      <c r="R315" s="1705"/>
      <c r="S315" s="1705"/>
      <c r="T315" s="1705"/>
    </row>
    <row r="316" spans="1:20" ht="15.75" customHeight="1">
      <c r="A316" s="1705"/>
      <c r="B316" s="1705"/>
      <c r="C316" s="1705"/>
      <c r="D316" s="1705"/>
      <c r="E316" s="1705"/>
      <c r="F316" s="1705"/>
      <c r="G316" s="1705"/>
      <c r="H316" s="1705"/>
      <c r="I316" s="1705"/>
      <c r="J316" s="1705"/>
      <c r="K316" s="1705"/>
      <c r="L316" s="1705"/>
      <c r="M316" s="1705"/>
      <c r="N316" s="1705"/>
      <c r="O316" s="1705"/>
      <c r="P316" s="1705"/>
      <c r="Q316" s="1705"/>
      <c r="R316" s="1705"/>
      <c r="S316" s="1705"/>
      <c r="T316" s="1705"/>
    </row>
    <row r="317" spans="1:20" ht="15.75" customHeight="1">
      <c r="A317" s="1705"/>
      <c r="B317" s="1705"/>
      <c r="C317" s="1705"/>
      <c r="D317" s="1705"/>
      <c r="E317" s="1705"/>
      <c r="F317" s="1705"/>
      <c r="G317" s="1705"/>
      <c r="H317" s="1705"/>
      <c r="I317" s="1705"/>
      <c r="J317" s="1705"/>
      <c r="K317" s="1705"/>
      <c r="L317" s="1705"/>
      <c r="M317" s="1705"/>
      <c r="N317" s="1705"/>
      <c r="O317" s="1705"/>
      <c r="P317" s="1705"/>
      <c r="Q317" s="1705"/>
      <c r="R317" s="1705"/>
      <c r="S317" s="1705"/>
      <c r="T317" s="1705"/>
    </row>
    <row r="318" spans="1:20" ht="15.75" customHeight="1">
      <c r="A318" s="1705"/>
      <c r="B318" s="1705"/>
      <c r="C318" s="1705"/>
      <c r="D318" s="1705"/>
      <c r="E318" s="1705"/>
      <c r="F318" s="1705"/>
      <c r="G318" s="1705"/>
      <c r="H318" s="1705"/>
      <c r="I318" s="1705"/>
      <c r="J318" s="1705"/>
      <c r="K318" s="1705"/>
      <c r="L318" s="1705"/>
      <c r="M318" s="1705"/>
      <c r="N318" s="1705"/>
      <c r="O318" s="1705"/>
      <c r="P318" s="1705"/>
      <c r="Q318" s="1705"/>
      <c r="R318" s="1705"/>
      <c r="S318" s="1705"/>
      <c r="T318" s="1705"/>
    </row>
    <row r="319" spans="1:20" ht="15.75" customHeight="1">
      <c r="A319" s="1705"/>
      <c r="B319" s="1705"/>
      <c r="C319" s="1705"/>
      <c r="D319" s="1705"/>
      <c r="E319" s="1705"/>
      <c r="F319" s="1705"/>
      <c r="G319" s="1705"/>
      <c r="H319" s="1705"/>
      <c r="I319" s="1705"/>
      <c r="J319" s="1705"/>
      <c r="K319" s="1705"/>
      <c r="L319" s="1705"/>
      <c r="M319" s="1705"/>
      <c r="N319" s="1705"/>
      <c r="O319" s="1705"/>
      <c r="P319" s="1705"/>
      <c r="Q319" s="1705"/>
      <c r="R319" s="1705"/>
      <c r="S319" s="1705"/>
      <c r="T319" s="1705"/>
    </row>
    <row r="320" spans="1:20" ht="15.75" customHeight="1">
      <c r="A320" s="1705"/>
      <c r="B320" s="1705"/>
      <c r="C320" s="1705"/>
      <c r="D320" s="1705"/>
      <c r="E320" s="1705"/>
      <c r="F320" s="1705"/>
      <c r="G320" s="1705"/>
      <c r="H320" s="1705"/>
      <c r="I320" s="1705"/>
      <c r="J320" s="1705"/>
      <c r="K320" s="1705"/>
      <c r="L320" s="1705"/>
      <c r="M320" s="1705"/>
      <c r="N320" s="1705"/>
      <c r="O320" s="1705"/>
      <c r="P320" s="1705"/>
      <c r="Q320" s="1705"/>
      <c r="R320" s="1705"/>
      <c r="S320" s="1705"/>
      <c r="T320" s="1705"/>
    </row>
    <row r="321" spans="1:20" ht="15.75" customHeight="1">
      <c r="A321" s="1705"/>
      <c r="B321" s="1705"/>
      <c r="C321" s="1705"/>
      <c r="D321" s="1705"/>
      <c r="E321" s="1705"/>
      <c r="F321" s="1705"/>
      <c r="G321" s="1705"/>
      <c r="H321" s="1705"/>
      <c r="I321" s="1705"/>
      <c r="J321" s="1705"/>
      <c r="K321" s="1705"/>
      <c r="L321" s="1705"/>
      <c r="M321" s="1705"/>
      <c r="N321" s="1705"/>
      <c r="O321" s="1705"/>
      <c r="P321" s="1705"/>
      <c r="Q321" s="1705"/>
      <c r="R321" s="1705"/>
      <c r="S321" s="1705"/>
      <c r="T321" s="1705"/>
    </row>
    <row r="322" spans="1:20" ht="15.75" customHeight="1">
      <c r="A322" s="1705"/>
      <c r="B322" s="1705"/>
      <c r="C322" s="1705"/>
      <c r="D322" s="1705"/>
      <c r="E322" s="1705"/>
      <c r="F322" s="1705"/>
      <c r="G322" s="1705"/>
      <c r="H322" s="1705"/>
      <c r="I322" s="1705"/>
      <c r="J322" s="1705"/>
      <c r="K322" s="1705"/>
      <c r="L322" s="1705"/>
      <c r="M322" s="1705"/>
      <c r="N322" s="1705"/>
      <c r="O322" s="1705"/>
      <c r="P322" s="1705"/>
      <c r="Q322" s="1705"/>
      <c r="R322" s="1705"/>
      <c r="S322" s="1705"/>
      <c r="T322" s="1705"/>
    </row>
    <row r="323" spans="1:20" ht="15.75" customHeight="1">
      <c r="A323" s="1705"/>
      <c r="B323" s="1705"/>
      <c r="C323" s="1705"/>
      <c r="D323" s="1705"/>
      <c r="E323" s="1705"/>
      <c r="F323" s="1705"/>
      <c r="G323" s="1705"/>
      <c r="H323" s="1705"/>
      <c r="I323" s="1705"/>
      <c r="J323" s="1705"/>
      <c r="K323" s="1705"/>
      <c r="L323" s="1705"/>
      <c r="M323" s="1705"/>
      <c r="N323" s="1705"/>
      <c r="O323" s="1705"/>
      <c r="P323" s="1705"/>
      <c r="Q323" s="1705"/>
      <c r="R323" s="1705"/>
      <c r="S323" s="1705"/>
      <c r="T323" s="1705"/>
    </row>
    <row r="324" spans="1:20" ht="15.75" customHeight="1">
      <c r="A324" s="1705"/>
      <c r="B324" s="1705"/>
      <c r="C324" s="1705"/>
      <c r="D324" s="1705"/>
      <c r="E324" s="1705"/>
      <c r="F324" s="1705"/>
      <c r="G324" s="1705"/>
      <c r="H324" s="1705"/>
      <c r="I324" s="1705"/>
      <c r="J324" s="1705"/>
      <c r="K324" s="1705"/>
      <c r="L324" s="1705"/>
      <c r="M324" s="1705"/>
      <c r="N324" s="1705"/>
      <c r="O324" s="1705"/>
      <c r="P324" s="1705"/>
      <c r="Q324" s="1705"/>
      <c r="R324" s="1705"/>
      <c r="S324" s="1705"/>
      <c r="T324" s="1705"/>
    </row>
    <row r="325" spans="1:20" ht="15.75" customHeight="1">
      <c r="A325" s="1705"/>
      <c r="B325" s="1705"/>
      <c r="C325" s="1705"/>
      <c r="D325" s="1705"/>
      <c r="E325" s="1705"/>
      <c r="F325" s="1705"/>
      <c r="G325" s="1705"/>
      <c r="H325" s="1705"/>
      <c r="I325" s="1705"/>
      <c r="J325" s="1705"/>
      <c r="K325" s="1705"/>
      <c r="L325" s="1705"/>
      <c r="M325" s="1705"/>
      <c r="N325" s="1705"/>
      <c r="O325" s="1705"/>
      <c r="P325" s="1705"/>
      <c r="Q325" s="1705"/>
      <c r="R325" s="1705"/>
      <c r="S325" s="1705"/>
      <c r="T325" s="1705"/>
    </row>
    <row r="326" spans="1:20" ht="15.75" customHeight="1">
      <c r="A326" s="1705"/>
      <c r="B326" s="1705"/>
      <c r="C326" s="1705"/>
      <c r="D326" s="1705"/>
      <c r="E326" s="1705"/>
      <c r="F326" s="1705"/>
      <c r="G326" s="1705"/>
      <c r="H326" s="1705"/>
      <c r="I326" s="1705"/>
      <c r="J326" s="1705"/>
      <c r="K326" s="1705"/>
      <c r="L326" s="1705"/>
      <c r="M326" s="1705"/>
      <c r="N326" s="1705"/>
      <c r="O326" s="1705"/>
      <c r="P326" s="1705"/>
      <c r="Q326" s="1705"/>
      <c r="R326" s="1705"/>
      <c r="S326" s="1705"/>
      <c r="T326" s="1705"/>
    </row>
    <row r="327" spans="1:20" ht="15.75" customHeight="1">
      <c r="A327" s="1705"/>
      <c r="B327" s="1705"/>
      <c r="C327" s="1705"/>
      <c r="D327" s="1705"/>
      <c r="E327" s="1705"/>
      <c r="F327" s="1705"/>
      <c r="G327" s="1705"/>
      <c r="H327" s="1705"/>
      <c r="I327" s="1705"/>
      <c r="J327" s="1705"/>
      <c r="K327" s="1705"/>
      <c r="L327" s="1705"/>
      <c r="M327" s="1705"/>
      <c r="N327" s="1705"/>
      <c r="O327" s="1705"/>
      <c r="P327" s="1705"/>
      <c r="Q327" s="1705"/>
      <c r="R327" s="1705"/>
      <c r="S327" s="1705"/>
      <c r="T327" s="1705"/>
    </row>
    <row r="328" spans="1:20" ht="15.75" customHeight="1">
      <c r="A328" s="1705"/>
      <c r="B328" s="1705"/>
      <c r="C328" s="1705"/>
      <c r="D328" s="1705"/>
      <c r="E328" s="1705"/>
      <c r="F328" s="1705"/>
      <c r="G328" s="1705"/>
      <c r="H328" s="1705"/>
      <c r="I328" s="1705"/>
      <c r="J328" s="1705"/>
      <c r="K328" s="1705"/>
      <c r="L328" s="1705"/>
      <c r="M328" s="1705"/>
      <c r="N328" s="1705"/>
      <c r="O328" s="1705"/>
      <c r="P328" s="1705"/>
      <c r="Q328" s="1705"/>
      <c r="R328" s="1705"/>
      <c r="S328" s="1705"/>
      <c r="T328" s="1705"/>
    </row>
    <row r="329" spans="1:20" ht="15.75" customHeight="1">
      <c r="A329" s="1705"/>
      <c r="B329" s="1705"/>
      <c r="C329" s="1705"/>
      <c r="D329" s="1705"/>
      <c r="E329" s="1705"/>
      <c r="F329" s="1705"/>
      <c r="G329" s="1705"/>
      <c r="H329" s="1705"/>
      <c r="I329" s="1705"/>
      <c r="J329" s="1705"/>
      <c r="K329" s="1705"/>
      <c r="L329" s="1705"/>
      <c r="M329" s="1705"/>
      <c r="N329" s="1705"/>
      <c r="O329" s="1705"/>
      <c r="P329" s="1705"/>
      <c r="Q329" s="1705"/>
      <c r="R329" s="1705"/>
      <c r="S329" s="1705"/>
      <c r="T329" s="1705"/>
    </row>
    <row r="330" spans="1:20" ht="15.75" customHeight="1">
      <c r="A330" s="1705"/>
      <c r="B330" s="1705"/>
      <c r="C330" s="1705"/>
      <c r="D330" s="1705"/>
      <c r="E330" s="1705"/>
      <c r="F330" s="1705"/>
      <c r="G330" s="1705"/>
      <c r="H330" s="1705"/>
      <c r="I330" s="1705"/>
      <c r="J330" s="1705"/>
      <c r="K330" s="1705"/>
      <c r="L330" s="1705"/>
      <c r="M330" s="1705"/>
      <c r="N330" s="1705"/>
      <c r="O330" s="1705"/>
      <c r="P330" s="1705"/>
      <c r="Q330" s="1705"/>
      <c r="R330" s="1705"/>
      <c r="S330" s="1705"/>
      <c r="T330" s="1705"/>
    </row>
    <row r="331" spans="1:20" ht="15.75" customHeight="1">
      <c r="A331" s="1705"/>
      <c r="B331" s="1705"/>
      <c r="C331" s="1705"/>
      <c r="D331" s="1705"/>
      <c r="E331" s="1705"/>
      <c r="F331" s="1705"/>
      <c r="G331" s="1705"/>
      <c r="H331" s="1705"/>
      <c r="I331" s="1705"/>
      <c r="J331" s="1705"/>
      <c r="K331" s="1705"/>
      <c r="L331" s="1705"/>
      <c r="M331" s="1705"/>
      <c r="N331" s="1705"/>
      <c r="O331" s="1705"/>
      <c r="P331" s="1705"/>
      <c r="Q331" s="1705"/>
      <c r="R331" s="1705"/>
      <c r="S331" s="1705"/>
      <c r="T331" s="1705"/>
    </row>
    <row r="332" spans="1:20" ht="15.75" customHeight="1">
      <c r="A332" s="1705"/>
      <c r="B332" s="1705"/>
      <c r="C332" s="1705"/>
      <c r="D332" s="1705"/>
      <c r="E332" s="1705"/>
      <c r="F332" s="1705"/>
      <c r="G332" s="1705"/>
      <c r="H332" s="1705"/>
      <c r="I332" s="1705"/>
      <c r="J332" s="1705"/>
      <c r="K332" s="1705"/>
      <c r="L332" s="1705"/>
      <c r="M332" s="1705"/>
      <c r="N332" s="1705"/>
      <c r="O332" s="1705"/>
      <c r="P332" s="1705"/>
      <c r="Q332" s="1705"/>
      <c r="R332" s="1705"/>
      <c r="S332" s="1705"/>
      <c r="T332" s="1705"/>
    </row>
    <row r="333" spans="1:20" ht="15.75" customHeight="1">
      <c r="A333" s="1705"/>
      <c r="B333" s="1705"/>
      <c r="C333" s="1705"/>
      <c r="D333" s="1705"/>
      <c r="E333" s="1705"/>
      <c r="F333" s="1705"/>
      <c r="G333" s="1705"/>
      <c r="H333" s="1705"/>
      <c r="I333" s="1705"/>
      <c r="J333" s="1705"/>
      <c r="K333" s="1705"/>
      <c r="L333" s="1705"/>
      <c r="M333" s="1705"/>
      <c r="N333" s="1705"/>
      <c r="O333" s="1705"/>
      <c r="P333" s="1705"/>
      <c r="Q333" s="1705"/>
      <c r="R333" s="1705"/>
      <c r="S333" s="1705"/>
      <c r="T333" s="1705"/>
    </row>
    <row r="334" spans="1:20" ht="15.75" customHeight="1">
      <c r="A334" s="1705"/>
      <c r="B334" s="1705"/>
      <c r="C334" s="1705"/>
      <c r="D334" s="1705"/>
      <c r="E334" s="1705"/>
      <c r="F334" s="1705"/>
      <c r="G334" s="1705"/>
      <c r="H334" s="1705"/>
      <c r="I334" s="1705"/>
      <c r="J334" s="1705"/>
      <c r="K334" s="1705"/>
      <c r="L334" s="1705"/>
      <c r="M334" s="1705"/>
      <c r="N334" s="1705"/>
      <c r="O334" s="1705"/>
      <c r="P334" s="1705"/>
      <c r="Q334" s="1705"/>
      <c r="R334" s="1705"/>
      <c r="S334" s="1705"/>
      <c r="T334" s="1705"/>
    </row>
    <row r="335" spans="1:20" ht="15.75" customHeight="1">
      <c r="A335" s="1705"/>
      <c r="B335" s="1705"/>
      <c r="C335" s="1705"/>
      <c r="D335" s="1705"/>
      <c r="E335" s="1705"/>
      <c r="F335" s="1705"/>
      <c r="G335" s="1705"/>
      <c r="H335" s="1705"/>
      <c r="I335" s="1705"/>
      <c r="J335" s="1705"/>
      <c r="K335" s="1705"/>
      <c r="L335" s="1705"/>
      <c r="M335" s="1705"/>
      <c r="N335" s="1705"/>
      <c r="O335" s="1705"/>
      <c r="P335" s="1705"/>
      <c r="Q335" s="1705"/>
      <c r="R335" s="1705"/>
      <c r="S335" s="1705"/>
      <c r="T335" s="1705"/>
    </row>
    <row r="336" spans="1:20" ht="15.75" customHeight="1">
      <c r="A336" s="1705"/>
      <c r="B336" s="1705"/>
      <c r="C336" s="1705"/>
      <c r="D336" s="1705"/>
      <c r="E336" s="1705"/>
      <c r="F336" s="1705"/>
      <c r="G336" s="1705"/>
      <c r="H336" s="1705"/>
      <c r="I336" s="1705"/>
      <c r="J336" s="1705"/>
      <c r="K336" s="1705"/>
      <c r="L336" s="1705"/>
      <c r="M336" s="1705"/>
      <c r="N336" s="1705"/>
      <c r="O336" s="1705"/>
      <c r="P336" s="1705"/>
      <c r="Q336" s="1705"/>
      <c r="R336" s="1705"/>
      <c r="S336" s="1705"/>
      <c r="T336" s="1705"/>
    </row>
    <row r="337" spans="1:20" ht="15.75" customHeight="1">
      <c r="A337" s="1705"/>
      <c r="B337" s="1705"/>
      <c r="C337" s="1705"/>
      <c r="D337" s="1705"/>
      <c r="E337" s="1705"/>
      <c r="F337" s="1705"/>
      <c r="G337" s="1705"/>
      <c r="H337" s="1705"/>
      <c r="I337" s="1705"/>
      <c r="J337" s="1705"/>
      <c r="K337" s="1705"/>
      <c r="L337" s="1705"/>
      <c r="M337" s="1705"/>
      <c r="N337" s="1705"/>
      <c r="O337" s="1705"/>
      <c r="P337" s="1705"/>
      <c r="Q337" s="1705"/>
      <c r="R337" s="1705"/>
      <c r="S337" s="1705"/>
      <c r="T337" s="1705"/>
    </row>
    <row r="338" spans="1:20" ht="15.75" customHeight="1">
      <c r="A338" s="1705"/>
      <c r="B338" s="1705"/>
      <c r="C338" s="1705"/>
      <c r="D338" s="1705"/>
      <c r="E338" s="1705"/>
      <c r="F338" s="1705"/>
      <c r="G338" s="1705"/>
      <c r="H338" s="1705"/>
      <c r="I338" s="1705"/>
      <c r="J338" s="1705"/>
      <c r="K338" s="1705"/>
      <c r="L338" s="1705"/>
      <c r="M338" s="1705"/>
      <c r="N338" s="1705"/>
      <c r="O338" s="1705"/>
      <c r="P338" s="1705"/>
      <c r="Q338" s="1705"/>
      <c r="R338" s="1705"/>
      <c r="S338" s="1705"/>
      <c r="T338" s="1705"/>
    </row>
    <row r="339" spans="1:20" ht="15.75" customHeight="1">
      <c r="A339" s="1705"/>
      <c r="B339" s="1705"/>
      <c r="C339" s="1705"/>
      <c r="D339" s="1705"/>
      <c r="E339" s="1705"/>
      <c r="F339" s="1705"/>
      <c r="G339" s="1705"/>
      <c r="H339" s="1705"/>
      <c r="I339" s="1705"/>
      <c r="J339" s="1705"/>
      <c r="K339" s="1705"/>
      <c r="L339" s="1705"/>
      <c r="M339" s="1705"/>
      <c r="N339" s="1705"/>
      <c r="O339" s="1705"/>
      <c r="P339" s="1705"/>
      <c r="Q339" s="1705"/>
      <c r="R339" s="1705"/>
      <c r="S339" s="1705"/>
      <c r="T339" s="1705"/>
    </row>
    <row r="340" spans="1:20" ht="15.75" customHeight="1">
      <c r="A340" s="1705"/>
      <c r="B340" s="1705"/>
      <c r="C340" s="1705"/>
      <c r="D340" s="1705"/>
      <c r="E340" s="1705"/>
      <c r="F340" s="1705"/>
      <c r="G340" s="1705"/>
      <c r="H340" s="1705"/>
      <c r="I340" s="1705"/>
      <c r="J340" s="1705"/>
      <c r="K340" s="1705"/>
      <c r="L340" s="1705"/>
      <c r="M340" s="1705"/>
      <c r="N340" s="1705"/>
      <c r="O340" s="1705"/>
      <c r="P340" s="1705"/>
      <c r="Q340" s="1705"/>
      <c r="R340" s="1705"/>
      <c r="S340" s="1705"/>
      <c r="T340" s="1705"/>
    </row>
    <row r="341" spans="1:20" ht="15.75" customHeight="1">
      <c r="A341" s="1705"/>
      <c r="B341" s="1705"/>
      <c r="C341" s="1705"/>
      <c r="D341" s="1705"/>
      <c r="E341" s="1705"/>
      <c r="F341" s="1705"/>
      <c r="G341" s="1705"/>
      <c r="H341" s="1705"/>
      <c r="I341" s="1705"/>
      <c r="J341" s="1705"/>
      <c r="K341" s="1705"/>
      <c r="L341" s="1705"/>
      <c r="M341" s="1705"/>
      <c r="N341" s="1705"/>
      <c r="O341" s="1705"/>
      <c r="P341" s="1705"/>
      <c r="Q341" s="1705"/>
      <c r="R341" s="1705"/>
      <c r="S341" s="1705"/>
      <c r="T341" s="1705"/>
    </row>
    <row r="342" spans="1:20" ht="15.75" customHeight="1">
      <c r="A342" s="1705"/>
      <c r="B342" s="1705"/>
      <c r="C342" s="1705"/>
      <c r="D342" s="1705"/>
      <c r="E342" s="1705"/>
      <c r="F342" s="1705"/>
      <c r="G342" s="1705"/>
      <c r="H342" s="1705"/>
      <c r="I342" s="1705"/>
      <c r="J342" s="1705"/>
      <c r="K342" s="1705"/>
      <c r="L342" s="1705"/>
      <c r="M342" s="1705"/>
      <c r="N342" s="1705"/>
      <c r="O342" s="1705"/>
      <c r="P342" s="1705"/>
      <c r="Q342" s="1705"/>
      <c r="R342" s="1705"/>
      <c r="S342" s="1705"/>
      <c r="T342" s="1705"/>
    </row>
    <row r="343" spans="1:20" ht="15.75" customHeight="1">
      <c r="A343" s="1705"/>
      <c r="B343" s="1705"/>
      <c r="C343" s="1705"/>
      <c r="D343" s="1705"/>
      <c r="E343" s="1705"/>
      <c r="F343" s="1705"/>
      <c r="G343" s="1705"/>
      <c r="H343" s="1705"/>
      <c r="I343" s="1705"/>
      <c r="J343" s="1705"/>
      <c r="K343" s="1705"/>
      <c r="L343" s="1705"/>
      <c r="M343" s="1705"/>
      <c r="N343" s="1705"/>
      <c r="O343" s="1705"/>
      <c r="P343" s="1705"/>
      <c r="Q343" s="1705"/>
      <c r="R343" s="1705"/>
      <c r="S343" s="1705"/>
      <c r="T343" s="1705"/>
    </row>
    <row r="344" spans="1:20" ht="15.75" customHeight="1">
      <c r="A344" s="1705"/>
      <c r="B344" s="1705"/>
      <c r="C344" s="1705"/>
      <c r="D344" s="1705"/>
      <c r="E344" s="1705"/>
      <c r="F344" s="1705"/>
      <c r="G344" s="1705"/>
      <c r="H344" s="1705"/>
      <c r="I344" s="1705"/>
      <c r="J344" s="1705"/>
      <c r="K344" s="1705"/>
      <c r="L344" s="1705"/>
      <c r="M344" s="1705"/>
      <c r="N344" s="1705"/>
      <c r="O344" s="1705"/>
      <c r="P344" s="1705"/>
      <c r="Q344" s="1705"/>
      <c r="R344" s="1705"/>
      <c r="S344" s="1705"/>
      <c r="T344" s="1705"/>
    </row>
    <row r="345" spans="1:20" ht="15.75" customHeight="1">
      <c r="A345" s="1705"/>
      <c r="B345" s="1705"/>
      <c r="C345" s="1705"/>
      <c r="D345" s="1705"/>
      <c r="E345" s="1705"/>
      <c r="F345" s="1705"/>
      <c r="G345" s="1705"/>
      <c r="H345" s="1705"/>
      <c r="I345" s="1705"/>
      <c r="J345" s="1705"/>
      <c r="K345" s="1705"/>
      <c r="L345" s="1705"/>
      <c r="M345" s="1705"/>
      <c r="N345" s="1705"/>
      <c r="O345" s="1705"/>
      <c r="P345" s="1705"/>
      <c r="Q345" s="1705"/>
      <c r="R345" s="1705"/>
      <c r="S345" s="1705"/>
      <c r="T345" s="1705"/>
    </row>
    <row r="346" spans="1:20" ht="15.75" customHeight="1">
      <c r="A346" s="1705"/>
      <c r="B346" s="1705"/>
      <c r="C346" s="1705"/>
      <c r="D346" s="1705"/>
      <c r="E346" s="1705"/>
      <c r="F346" s="1705"/>
      <c r="G346" s="1705"/>
      <c r="H346" s="1705"/>
      <c r="I346" s="1705"/>
      <c r="J346" s="1705"/>
      <c r="K346" s="1705"/>
      <c r="L346" s="1705"/>
      <c r="M346" s="1705"/>
      <c r="N346" s="1705"/>
      <c r="O346" s="1705"/>
      <c r="P346" s="1705"/>
      <c r="Q346" s="1705"/>
      <c r="R346" s="1705"/>
      <c r="S346" s="1705"/>
      <c r="T346" s="1705"/>
    </row>
    <row r="347" spans="1:20" ht="15.75" customHeight="1">
      <c r="A347" s="1705"/>
      <c r="B347" s="1705"/>
      <c r="C347" s="1705"/>
      <c r="D347" s="1705"/>
      <c r="E347" s="1705"/>
      <c r="F347" s="1705"/>
      <c r="G347" s="1705"/>
      <c r="H347" s="1705"/>
      <c r="I347" s="1705"/>
      <c r="J347" s="1705"/>
      <c r="K347" s="1705"/>
      <c r="L347" s="1705"/>
      <c r="M347" s="1705"/>
      <c r="N347" s="1705"/>
      <c r="O347" s="1705"/>
      <c r="P347" s="1705"/>
      <c r="Q347" s="1705"/>
      <c r="R347" s="1705"/>
      <c r="S347" s="1705"/>
      <c r="T347" s="1705"/>
    </row>
    <row r="348" spans="1:20" ht="15.75" customHeight="1">
      <c r="A348" s="1705"/>
      <c r="B348" s="1705"/>
      <c r="C348" s="1705"/>
      <c r="D348" s="1705"/>
      <c r="E348" s="1705"/>
      <c r="F348" s="1705"/>
      <c r="G348" s="1705"/>
      <c r="H348" s="1705"/>
      <c r="I348" s="1705"/>
      <c r="J348" s="1705"/>
      <c r="K348" s="1705"/>
      <c r="L348" s="1705"/>
      <c r="M348" s="1705"/>
      <c r="N348" s="1705"/>
      <c r="O348" s="1705"/>
      <c r="P348" s="1705"/>
      <c r="Q348" s="1705"/>
      <c r="R348" s="1705"/>
      <c r="S348" s="1705"/>
      <c r="T348" s="1705"/>
    </row>
    <row r="349" spans="1:20" ht="15.75" customHeight="1">
      <c r="A349" s="1705"/>
      <c r="B349" s="1705"/>
      <c r="C349" s="1705"/>
      <c r="D349" s="1705"/>
      <c r="E349" s="1705"/>
      <c r="F349" s="1705"/>
      <c r="G349" s="1705"/>
      <c r="H349" s="1705"/>
      <c r="I349" s="1705"/>
      <c r="J349" s="1705"/>
      <c r="K349" s="1705"/>
      <c r="L349" s="1705"/>
      <c r="M349" s="1705"/>
      <c r="N349" s="1705"/>
      <c r="O349" s="1705"/>
      <c r="P349" s="1705"/>
      <c r="Q349" s="1705"/>
      <c r="R349" s="1705"/>
      <c r="S349" s="1705"/>
      <c r="T349" s="1705"/>
    </row>
    <row r="350" spans="1:20" ht="15.75" customHeight="1">
      <c r="A350" s="1705"/>
      <c r="B350" s="1705"/>
      <c r="C350" s="1705"/>
      <c r="D350" s="1705"/>
      <c r="E350" s="1705"/>
      <c r="F350" s="1705"/>
      <c r="G350" s="1705"/>
      <c r="H350" s="1705"/>
      <c r="I350" s="1705"/>
      <c r="J350" s="1705"/>
      <c r="K350" s="1705"/>
      <c r="L350" s="1705"/>
      <c r="M350" s="1705"/>
      <c r="N350" s="1705"/>
      <c r="O350" s="1705"/>
      <c r="P350" s="1705"/>
      <c r="Q350" s="1705"/>
      <c r="R350" s="1705"/>
      <c r="S350" s="1705"/>
      <c r="T350" s="1705"/>
    </row>
    <row r="351" spans="1:20" ht="15.75" customHeight="1">
      <c r="A351" s="1705"/>
      <c r="B351" s="1705"/>
      <c r="C351" s="1705"/>
      <c r="D351" s="1705"/>
      <c r="E351" s="1705"/>
      <c r="F351" s="1705"/>
      <c r="G351" s="1705"/>
      <c r="H351" s="1705"/>
      <c r="I351" s="1705"/>
      <c r="J351" s="1705"/>
      <c r="K351" s="1705"/>
      <c r="L351" s="1705"/>
      <c r="M351" s="1705"/>
      <c r="N351" s="1705"/>
      <c r="O351" s="1705"/>
      <c r="P351" s="1705"/>
      <c r="Q351" s="1705"/>
      <c r="R351" s="1705"/>
      <c r="S351" s="1705"/>
      <c r="T351" s="1705"/>
    </row>
    <row r="352" spans="1:20" ht="15.75" customHeight="1">
      <c r="A352" s="1705"/>
      <c r="B352" s="1705"/>
      <c r="C352" s="1705"/>
      <c r="D352" s="1705"/>
      <c r="E352" s="1705"/>
      <c r="F352" s="1705"/>
      <c r="G352" s="1705"/>
      <c r="H352" s="1705"/>
      <c r="I352" s="1705"/>
      <c r="J352" s="1705"/>
      <c r="K352" s="1705"/>
      <c r="L352" s="1705"/>
      <c r="M352" s="1705"/>
      <c r="N352" s="1705"/>
      <c r="O352" s="1705"/>
      <c r="P352" s="1705"/>
      <c r="Q352" s="1705"/>
      <c r="R352" s="1705"/>
      <c r="S352" s="1705"/>
      <c r="T352" s="1705"/>
    </row>
    <row r="353" spans="1:20" ht="15.75" customHeight="1">
      <c r="A353" s="1705"/>
      <c r="B353" s="1705"/>
      <c r="C353" s="1705"/>
      <c r="D353" s="1705"/>
      <c r="E353" s="1705"/>
      <c r="F353" s="1705"/>
      <c r="G353" s="1705"/>
      <c r="H353" s="1705"/>
      <c r="I353" s="1705"/>
      <c r="J353" s="1705"/>
      <c r="K353" s="1705"/>
      <c r="L353" s="1705"/>
      <c r="M353" s="1705"/>
      <c r="N353" s="1705"/>
      <c r="O353" s="1705"/>
      <c r="P353" s="1705"/>
      <c r="Q353" s="1705"/>
      <c r="R353" s="1705"/>
      <c r="S353" s="1705"/>
      <c r="T353" s="1705"/>
    </row>
    <row r="354" spans="1:20" ht="15.75" customHeight="1">
      <c r="A354" s="1705"/>
      <c r="B354" s="1705"/>
      <c r="C354" s="1705"/>
      <c r="D354" s="1705"/>
      <c r="E354" s="1705"/>
      <c r="F354" s="1705"/>
      <c r="G354" s="1705"/>
      <c r="H354" s="1705"/>
      <c r="I354" s="1705"/>
      <c r="J354" s="1705"/>
      <c r="K354" s="1705"/>
      <c r="L354" s="1705"/>
      <c r="M354" s="1705"/>
      <c r="N354" s="1705"/>
      <c r="O354" s="1705"/>
      <c r="P354" s="1705"/>
      <c r="Q354" s="1705"/>
      <c r="R354" s="1705"/>
      <c r="S354" s="1705"/>
      <c r="T354" s="1705"/>
    </row>
    <row r="355" spans="1:20" ht="15.75" customHeight="1">
      <c r="A355" s="1705"/>
      <c r="B355" s="1705"/>
      <c r="C355" s="1705"/>
      <c r="D355" s="1705"/>
      <c r="E355" s="1705"/>
      <c r="F355" s="1705"/>
      <c r="G355" s="1705"/>
      <c r="H355" s="1705"/>
      <c r="I355" s="1705"/>
      <c r="J355" s="1705"/>
      <c r="K355" s="1705"/>
      <c r="L355" s="1705"/>
      <c r="M355" s="1705"/>
      <c r="N355" s="1705"/>
      <c r="O355" s="1705"/>
      <c r="P355" s="1705"/>
      <c r="Q355" s="1705"/>
      <c r="R355" s="1705"/>
      <c r="S355" s="1705"/>
      <c r="T355" s="1705"/>
    </row>
    <row r="356" spans="1:20" ht="15.75" customHeight="1">
      <c r="A356" s="1705"/>
      <c r="B356" s="1705"/>
      <c r="C356" s="1705"/>
      <c r="D356" s="1705"/>
      <c r="E356" s="1705"/>
      <c r="F356" s="1705"/>
      <c r="G356" s="1705"/>
      <c r="H356" s="1705"/>
      <c r="I356" s="1705"/>
      <c r="J356" s="1705"/>
      <c r="K356" s="1705"/>
      <c r="L356" s="1705"/>
      <c r="M356" s="1705"/>
      <c r="N356" s="1705"/>
      <c r="O356" s="1705"/>
      <c r="P356" s="1705"/>
      <c r="Q356" s="1705"/>
      <c r="R356" s="1705"/>
      <c r="S356" s="1705"/>
      <c r="T356" s="1705"/>
    </row>
    <row r="357" spans="1:20" ht="15.75" customHeight="1">
      <c r="A357" s="1705"/>
      <c r="B357" s="1705"/>
      <c r="C357" s="1705"/>
      <c r="D357" s="1705"/>
      <c r="E357" s="1705"/>
      <c r="F357" s="1705"/>
      <c r="G357" s="1705"/>
      <c r="H357" s="1705"/>
      <c r="I357" s="1705"/>
      <c r="J357" s="1705"/>
      <c r="K357" s="1705"/>
      <c r="L357" s="1705"/>
      <c r="M357" s="1705"/>
      <c r="N357" s="1705"/>
      <c r="O357" s="1705"/>
      <c r="P357" s="1705"/>
      <c r="Q357" s="1705"/>
      <c r="R357" s="1705"/>
      <c r="S357" s="1705"/>
      <c r="T357" s="1705"/>
    </row>
    <row r="358" spans="1:20" ht="15.75" customHeight="1">
      <c r="A358" s="1705"/>
      <c r="B358" s="1705"/>
      <c r="C358" s="1705"/>
      <c r="D358" s="1705"/>
      <c r="E358" s="1705"/>
      <c r="F358" s="1705"/>
      <c r="G358" s="1705"/>
      <c r="H358" s="1705"/>
      <c r="I358" s="1705"/>
      <c r="J358" s="1705"/>
      <c r="K358" s="1705"/>
      <c r="L358" s="1705"/>
      <c r="M358" s="1705"/>
      <c r="N358" s="1705"/>
      <c r="O358" s="1705"/>
      <c r="P358" s="1705"/>
      <c r="Q358" s="1705"/>
      <c r="R358" s="1705"/>
      <c r="S358" s="1705"/>
      <c r="T358" s="1705"/>
    </row>
    <row r="359" spans="1:20" ht="15.75" customHeight="1">
      <c r="A359" s="1705"/>
      <c r="B359" s="1705"/>
      <c r="C359" s="1705"/>
      <c r="D359" s="1705"/>
      <c r="E359" s="1705"/>
      <c r="F359" s="1705"/>
      <c r="G359" s="1705"/>
      <c r="H359" s="1705"/>
      <c r="I359" s="1705"/>
      <c r="J359" s="1705"/>
      <c r="K359" s="1705"/>
      <c r="L359" s="1705"/>
      <c r="M359" s="1705"/>
      <c r="N359" s="1705"/>
      <c r="O359" s="1705"/>
      <c r="P359" s="1705"/>
      <c r="Q359" s="1705"/>
      <c r="R359" s="1705"/>
      <c r="S359" s="1705"/>
      <c r="T359" s="1705"/>
    </row>
    <row r="360" spans="1:20" ht="15.75" customHeight="1">
      <c r="A360" s="1705"/>
      <c r="B360" s="1705"/>
      <c r="C360" s="1705"/>
      <c r="D360" s="1705"/>
      <c r="E360" s="1705"/>
      <c r="F360" s="1705"/>
      <c r="G360" s="1705"/>
      <c r="H360" s="1705"/>
      <c r="I360" s="1705"/>
      <c r="J360" s="1705"/>
      <c r="K360" s="1705"/>
      <c r="L360" s="1705"/>
      <c r="M360" s="1705"/>
      <c r="N360" s="1705"/>
      <c r="O360" s="1705"/>
      <c r="P360" s="1705"/>
      <c r="Q360" s="1705"/>
      <c r="R360" s="1705"/>
      <c r="S360" s="1705"/>
      <c r="T360" s="1705"/>
    </row>
    <row r="361" spans="1:20" ht="15.75" customHeight="1">
      <c r="A361" s="1705"/>
      <c r="B361" s="1705"/>
      <c r="C361" s="1705"/>
      <c r="D361" s="1705"/>
      <c r="E361" s="1705"/>
      <c r="F361" s="1705"/>
      <c r="G361" s="1705"/>
      <c r="H361" s="1705"/>
      <c r="I361" s="1705"/>
      <c r="J361" s="1705"/>
      <c r="K361" s="1705"/>
      <c r="L361" s="1705"/>
      <c r="M361" s="1705"/>
      <c r="N361" s="1705"/>
      <c r="O361" s="1705"/>
      <c r="P361" s="1705"/>
      <c r="Q361" s="1705"/>
      <c r="R361" s="1705"/>
      <c r="S361" s="1705"/>
      <c r="T361" s="1705"/>
    </row>
    <row r="362" spans="1:20" ht="15.75" customHeight="1">
      <c r="A362" s="1705"/>
      <c r="B362" s="1705"/>
      <c r="C362" s="1705"/>
      <c r="D362" s="1705"/>
      <c r="E362" s="1705"/>
      <c r="F362" s="1705"/>
      <c r="G362" s="1705"/>
      <c r="H362" s="1705"/>
      <c r="I362" s="1705"/>
      <c r="J362" s="1705"/>
      <c r="K362" s="1705"/>
      <c r="L362" s="1705"/>
      <c r="M362" s="1705"/>
      <c r="N362" s="1705"/>
      <c r="O362" s="1705"/>
      <c r="P362" s="1705"/>
      <c r="Q362" s="1705"/>
      <c r="R362" s="1705"/>
      <c r="S362" s="1705"/>
      <c r="T362" s="1705"/>
    </row>
    <row r="363" spans="1:20" ht="15.75" customHeight="1">
      <c r="A363" s="1705"/>
      <c r="B363" s="1705"/>
      <c r="C363" s="1705"/>
      <c r="D363" s="1705"/>
      <c r="E363" s="1705"/>
      <c r="F363" s="1705"/>
      <c r="G363" s="1705"/>
      <c r="H363" s="1705"/>
      <c r="I363" s="1705"/>
      <c r="J363" s="1705"/>
      <c r="K363" s="1705"/>
      <c r="L363" s="1705"/>
      <c r="M363" s="1705"/>
      <c r="N363" s="1705"/>
      <c r="O363" s="1705"/>
      <c r="P363" s="1705"/>
      <c r="Q363" s="1705"/>
      <c r="R363" s="1705"/>
      <c r="S363" s="1705"/>
      <c r="T363" s="1705"/>
    </row>
    <row r="364" spans="1:20" ht="15.75" customHeight="1">
      <c r="A364" s="1705"/>
      <c r="B364" s="1705"/>
      <c r="C364" s="1705"/>
      <c r="D364" s="1705"/>
      <c r="E364" s="1705"/>
      <c r="F364" s="1705"/>
      <c r="G364" s="1705"/>
      <c r="H364" s="1705"/>
      <c r="I364" s="1705"/>
      <c r="J364" s="1705"/>
      <c r="K364" s="1705"/>
      <c r="L364" s="1705"/>
      <c r="M364" s="1705"/>
      <c r="N364" s="1705"/>
      <c r="O364" s="1705"/>
      <c r="P364" s="1705"/>
      <c r="Q364" s="1705"/>
      <c r="R364" s="1705"/>
      <c r="S364" s="1705"/>
      <c r="T364" s="1705"/>
    </row>
    <row r="365" spans="1:20" ht="15.75" customHeight="1">
      <c r="A365" s="1705"/>
      <c r="B365" s="1705"/>
      <c r="C365" s="1705"/>
      <c r="D365" s="1705"/>
      <c r="E365" s="1705"/>
      <c r="F365" s="1705"/>
      <c r="G365" s="1705"/>
      <c r="H365" s="1705"/>
      <c r="I365" s="1705"/>
      <c r="J365" s="1705"/>
      <c r="K365" s="1705"/>
      <c r="L365" s="1705"/>
      <c r="M365" s="1705"/>
      <c r="N365" s="1705"/>
      <c r="O365" s="1705"/>
      <c r="P365" s="1705"/>
      <c r="Q365" s="1705"/>
      <c r="R365" s="1705"/>
      <c r="S365" s="1705"/>
      <c r="T365" s="1705"/>
    </row>
    <row r="366" spans="1:20" ht="15.75" customHeight="1">
      <c r="A366" s="1705"/>
      <c r="B366" s="1705"/>
      <c r="C366" s="1705"/>
      <c r="D366" s="1705"/>
      <c r="E366" s="1705"/>
      <c r="F366" s="1705"/>
      <c r="G366" s="1705"/>
      <c r="H366" s="1705"/>
      <c r="I366" s="1705"/>
      <c r="J366" s="1705"/>
      <c r="K366" s="1705"/>
      <c r="L366" s="1705"/>
      <c r="M366" s="1705"/>
      <c r="N366" s="1705"/>
      <c r="O366" s="1705"/>
      <c r="P366" s="1705"/>
      <c r="Q366" s="1705"/>
      <c r="R366" s="1705"/>
      <c r="S366" s="1705"/>
      <c r="T366" s="1705"/>
    </row>
    <row r="367" spans="1:20" ht="15.75" customHeight="1">
      <c r="A367" s="1705"/>
      <c r="B367" s="1705"/>
      <c r="C367" s="1705"/>
      <c r="D367" s="1705"/>
      <c r="E367" s="1705"/>
      <c r="F367" s="1705"/>
      <c r="G367" s="1705"/>
      <c r="H367" s="1705"/>
      <c r="I367" s="1705"/>
      <c r="J367" s="1705"/>
      <c r="K367" s="1705"/>
      <c r="L367" s="1705"/>
      <c r="M367" s="1705"/>
      <c r="N367" s="1705"/>
      <c r="O367" s="1705"/>
      <c r="P367" s="1705"/>
      <c r="Q367" s="1705"/>
      <c r="R367" s="1705"/>
      <c r="S367" s="1705"/>
      <c r="T367" s="1705"/>
    </row>
    <row r="368" spans="1:20" ht="15.75" customHeight="1">
      <c r="A368" s="1705"/>
      <c r="B368" s="1705"/>
      <c r="C368" s="1705"/>
      <c r="D368" s="1705"/>
      <c r="E368" s="1705"/>
      <c r="F368" s="1705"/>
      <c r="G368" s="1705"/>
      <c r="H368" s="1705"/>
      <c r="I368" s="1705"/>
      <c r="J368" s="1705"/>
      <c r="K368" s="1705"/>
      <c r="L368" s="1705"/>
      <c r="M368" s="1705"/>
      <c r="N368" s="1705"/>
      <c r="O368" s="1705"/>
      <c r="P368" s="1705"/>
      <c r="Q368" s="1705"/>
      <c r="R368" s="1705"/>
      <c r="S368" s="1705"/>
      <c r="T368" s="1705"/>
    </row>
    <row r="369" spans="1:20" ht="15.75" customHeight="1">
      <c r="A369" s="1705"/>
      <c r="B369" s="1705"/>
      <c r="C369" s="1705"/>
      <c r="D369" s="1705"/>
      <c r="E369" s="1705"/>
      <c r="F369" s="1705"/>
      <c r="G369" s="1705"/>
      <c r="H369" s="1705"/>
      <c r="I369" s="1705"/>
      <c r="J369" s="1705"/>
      <c r="K369" s="1705"/>
      <c r="L369" s="1705"/>
      <c r="M369" s="1705"/>
      <c r="N369" s="1705"/>
      <c r="O369" s="1705"/>
      <c r="P369" s="1705"/>
      <c r="Q369" s="1705"/>
      <c r="R369" s="1705"/>
      <c r="S369" s="1705"/>
      <c r="T369" s="1705"/>
    </row>
    <row r="370" spans="1:20" ht="15.75" customHeight="1">
      <c r="A370" s="1705"/>
      <c r="B370" s="1705"/>
      <c r="C370" s="1705"/>
      <c r="D370" s="1705"/>
      <c r="E370" s="1705"/>
      <c r="F370" s="1705"/>
      <c r="G370" s="1705"/>
      <c r="H370" s="1705"/>
      <c r="I370" s="1705"/>
      <c r="J370" s="1705"/>
      <c r="K370" s="1705"/>
      <c r="L370" s="1705"/>
      <c r="M370" s="1705"/>
      <c r="N370" s="1705"/>
      <c r="O370" s="1705"/>
      <c r="P370" s="1705"/>
      <c r="Q370" s="1705"/>
      <c r="R370" s="1705"/>
      <c r="S370" s="1705"/>
      <c r="T370" s="1705"/>
    </row>
    <row r="371" spans="1:20" ht="15.75" customHeight="1">
      <c r="A371" s="1705"/>
      <c r="B371" s="1705"/>
      <c r="C371" s="1705"/>
      <c r="D371" s="1705"/>
      <c r="E371" s="1705"/>
      <c r="F371" s="1705"/>
      <c r="G371" s="1705"/>
      <c r="H371" s="1705"/>
      <c r="I371" s="1705"/>
      <c r="J371" s="1705"/>
      <c r="K371" s="1705"/>
      <c r="L371" s="1705"/>
      <c r="M371" s="1705"/>
      <c r="N371" s="1705"/>
      <c r="O371" s="1705"/>
      <c r="P371" s="1705"/>
      <c r="Q371" s="1705"/>
      <c r="R371" s="1705"/>
      <c r="S371" s="1705"/>
      <c r="T371" s="1705"/>
    </row>
    <row r="372" spans="1:20" ht="15.75" customHeight="1">
      <c r="A372" s="1705"/>
      <c r="B372" s="1705"/>
      <c r="C372" s="1705"/>
      <c r="D372" s="1705"/>
      <c r="E372" s="1705"/>
      <c r="F372" s="1705"/>
      <c r="G372" s="1705"/>
      <c r="H372" s="1705"/>
      <c r="I372" s="1705"/>
      <c r="J372" s="1705"/>
      <c r="K372" s="1705"/>
      <c r="L372" s="1705"/>
      <c r="M372" s="1705"/>
      <c r="N372" s="1705"/>
      <c r="O372" s="1705"/>
      <c r="P372" s="1705"/>
      <c r="Q372" s="1705"/>
      <c r="R372" s="1705"/>
      <c r="S372" s="1705"/>
      <c r="T372" s="1705"/>
    </row>
    <row r="373" spans="1:20" ht="15.75" customHeight="1">
      <c r="A373" s="1705"/>
      <c r="B373" s="1705"/>
      <c r="C373" s="1705"/>
      <c r="D373" s="1705"/>
      <c r="E373" s="1705"/>
      <c r="F373" s="1705"/>
      <c r="G373" s="1705"/>
      <c r="H373" s="1705"/>
      <c r="I373" s="1705"/>
      <c r="J373" s="1705"/>
      <c r="K373" s="1705"/>
      <c r="L373" s="1705"/>
      <c r="M373" s="1705"/>
      <c r="N373" s="1705"/>
      <c r="O373" s="1705"/>
      <c r="P373" s="1705"/>
      <c r="Q373" s="1705"/>
      <c r="R373" s="1705"/>
      <c r="S373" s="1705"/>
      <c r="T373" s="1705"/>
    </row>
    <row r="374" spans="1:20" ht="15.75" customHeight="1">
      <c r="A374" s="1705"/>
      <c r="B374" s="1705"/>
      <c r="C374" s="1705"/>
      <c r="D374" s="1705"/>
      <c r="E374" s="1705"/>
      <c r="F374" s="1705"/>
      <c r="G374" s="1705"/>
      <c r="H374" s="1705"/>
      <c r="I374" s="1705"/>
      <c r="J374" s="1705"/>
      <c r="K374" s="1705"/>
      <c r="L374" s="1705"/>
      <c r="M374" s="1705"/>
      <c r="N374" s="1705"/>
      <c r="O374" s="1705"/>
      <c r="P374" s="1705"/>
      <c r="Q374" s="1705"/>
      <c r="R374" s="1705"/>
      <c r="S374" s="1705"/>
      <c r="T374" s="1705"/>
    </row>
    <row r="375" spans="1:20" ht="15.75" customHeight="1">
      <c r="A375" s="1705"/>
      <c r="B375" s="1705"/>
      <c r="C375" s="1705"/>
      <c r="D375" s="1705"/>
      <c r="E375" s="1705"/>
      <c r="F375" s="1705"/>
      <c r="G375" s="1705"/>
      <c r="H375" s="1705"/>
      <c r="I375" s="1705"/>
      <c r="J375" s="1705"/>
      <c r="K375" s="1705"/>
      <c r="L375" s="1705"/>
      <c r="M375" s="1705"/>
      <c r="N375" s="1705"/>
      <c r="O375" s="1705"/>
      <c r="P375" s="1705"/>
      <c r="Q375" s="1705"/>
      <c r="R375" s="1705"/>
      <c r="S375" s="1705"/>
      <c r="T375" s="1705"/>
    </row>
    <row r="376" spans="1:20" ht="15.75" customHeight="1">
      <c r="A376" s="1705"/>
      <c r="B376" s="1705"/>
      <c r="C376" s="1705"/>
      <c r="D376" s="1705"/>
      <c r="E376" s="1705"/>
      <c r="F376" s="1705"/>
      <c r="G376" s="1705"/>
      <c r="H376" s="1705"/>
      <c r="I376" s="1705"/>
      <c r="J376" s="1705"/>
      <c r="K376" s="1705"/>
      <c r="L376" s="1705"/>
      <c r="M376" s="1705"/>
      <c r="N376" s="1705"/>
      <c r="O376" s="1705"/>
      <c r="P376" s="1705"/>
      <c r="Q376" s="1705"/>
      <c r="R376" s="1705"/>
      <c r="S376" s="1705"/>
      <c r="T376" s="1705"/>
    </row>
    <row r="377" spans="1:20" ht="15.75" customHeight="1">
      <c r="A377" s="1705"/>
      <c r="B377" s="1705"/>
      <c r="C377" s="1705"/>
      <c r="D377" s="1705"/>
      <c r="E377" s="1705"/>
      <c r="F377" s="1705"/>
      <c r="G377" s="1705"/>
      <c r="H377" s="1705"/>
      <c r="I377" s="1705"/>
      <c r="J377" s="1705"/>
      <c r="K377" s="1705"/>
      <c r="L377" s="1705"/>
      <c r="M377" s="1705"/>
      <c r="N377" s="1705"/>
      <c r="O377" s="1705"/>
      <c r="P377" s="1705"/>
      <c r="Q377" s="1705"/>
      <c r="R377" s="1705"/>
      <c r="S377" s="1705"/>
      <c r="T377" s="1705"/>
    </row>
    <row r="378" spans="1:20" ht="15.75" customHeight="1">
      <c r="A378" s="1705"/>
      <c r="B378" s="1705"/>
      <c r="C378" s="1705"/>
      <c r="D378" s="1705"/>
      <c r="E378" s="1705"/>
      <c r="F378" s="1705"/>
      <c r="G378" s="1705"/>
      <c r="H378" s="1705"/>
      <c r="I378" s="1705"/>
      <c r="J378" s="1705"/>
      <c r="K378" s="1705"/>
      <c r="L378" s="1705"/>
      <c r="M378" s="1705"/>
      <c r="N378" s="1705"/>
      <c r="O378" s="1705"/>
      <c r="P378" s="1705"/>
      <c r="Q378" s="1705"/>
      <c r="R378" s="1705"/>
      <c r="S378" s="1705"/>
      <c r="T378" s="1705"/>
    </row>
    <row r="379" spans="1:20" ht="15.75" customHeight="1">
      <c r="A379" s="1705"/>
      <c r="B379" s="1705"/>
      <c r="C379" s="1705"/>
      <c r="D379" s="1705"/>
      <c r="E379" s="1705"/>
      <c r="F379" s="1705"/>
      <c r="G379" s="1705"/>
      <c r="H379" s="1705"/>
      <c r="I379" s="1705"/>
      <c r="J379" s="1705"/>
      <c r="K379" s="1705"/>
      <c r="L379" s="1705"/>
      <c r="M379" s="1705"/>
      <c r="N379" s="1705"/>
      <c r="O379" s="1705"/>
      <c r="P379" s="1705"/>
      <c r="Q379" s="1705"/>
      <c r="R379" s="1705"/>
      <c r="S379" s="1705"/>
      <c r="T379" s="1705"/>
    </row>
    <row r="380" spans="1:20" ht="15.75" customHeight="1">
      <c r="A380" s="1705"/>
      <c r="B380" s="1705"/>
      <c r="C380" s="1705"/>
      <c r="D380" s="1705"/>
      <c r="E380" s="1705"/>
      <c r="F380" s="1705"/>
      <c r="G380" s="1705"/>
      <c r="H380" s="1705"/>
      <c r="I380" s="1705"/>
      <c r="J380" s="1705"/>
      <c r="K380" s="1705"/>
      <c r="L380" s="1705"/>
      <c r="M380" s="1705"/>
      <c r="N380" s="1705"/>
      <c r="O380" s="1705"/>
      <c r="P380" s="1705"/>
      <c r="Q380" s="1705"/>
      <c r="R380" s="1705"/>
      <c r="S380" s="1705"/>
      <c r="T380" s="1705"/>
    </row>
    <row r="381" spans="1:20" ht="15.75" customHeight="1">
      <c r="A381" s="1705"/>
      <c r="B381" s="1705"/>
      <c r="C381" s="1705"/>
      <c r="D381" s="1705"/>
      <c r="E381" s="1705"/>
      <c r="F381" s="1705"/>
      <c r="G381" s="1705"/>
      <c r="H381" s="1705"/>
      <c r="I381" s="1705"/>
      <c r="J381" s="1705"/>
      <c r="K381" s="1705"/>
      <c r="L381" s="1705"/>
      <c r="M381" s="1705"/>
      <c r="N381" s="1705"/>
      <c r="O381" s="1705"/>
      <c r="P381" s="1705"/>
      <c r="Q381" s="1705"/>
      <c r="R381" s="1705"/>
      <c r="S381" s="1705"/>
      <c r="T381" s="1705"/>
    </row>
    <row r="382" spans="1:20" ht="15.75" customHeight="1">
      <c r="A382" s="1705"/>
      <c r="B382" s="1705"/>
      <c r="C382" s="1705"/>
      <c r="D382" s="1705"/>
      <c r="E382" s="1705"/>
      <c r="F382" s="1705"/>
      <c r="G382" s="1705"/>
      <c r="H382" s="1705"/>
      <c r="I382" s="1705"/>
      <c r="J382" s="1705"/>
      <c r="K382" s="1705"/>
      <c r="L382" s="1705"/>
      <c r="M382" s="1705"/>
      <c r="N382" s="1705"/>
      <c r="O382" s="1705"/>
      <c r="P382" s="1705"/>
      <c r="Q382" s="1705"/>
      <c r="R382" s="1705"/>
      <c r="S382" s="1705"/>
      <c r="T382" s="1705"/>
    </row>
    <row r="383" spans="1:20" ht="15.75" customHeight="1">
      <c r="A383" s="1705"/>
      <c r="B383" s="1705"/>
      <c r="C383" s="1705"/>
      <c r="D383" s="1705"/>
      <c r="E383" s="1705"/>
      <c r="F383" s="1705"/>
      <c r="G383" s="1705"/>
      <c r="H383" s="1705"/>
      <c r="I383" s="1705"/>
      <c r="J383" s="1705"/>
      <c r="K383" s="1705"/>
      <c r="L383" s="1705"/>
      <c r="M383" s="1705"/>
      <c r="N383" s="1705"/>
      <c r="O383" s="1705"/>
      <c r="P383" s="1705"/>
      <c r="Q383" s="1705"/>
      <c r="R383" s="1705"/>
      <c r="S383" s="1705"/>
      <c r="T383" s="1705"/>
    </row>
    <row r="384" spans="1:20" ht="15.75" customHeight="1">
      <c r="A384" s="1705"/>
      <c r="B384" s="1705"/>
      <c r="C384" s="1705"/>
      <c r="D384" s="1705"/>
      <c r="E384" s="1705"/>
      <c r="F384" s="1705"/>
      <c r="G384" s="1705"/>
      <c r="H384" s="1705"/>
      <c r="I384" s="1705"/>
      <c r="J384" s="1705"/>
      <c r="K384" s="1705"/>
      <c r="L384" s="1705"/>
      <c r="M384" s="1705"/>
      <c r="N384" s="1705"/>
      <c r="O384" s="1705"/>
      <c r="P384" s="1705"/>
      <c r="Q384" s="1705"/>
      <c r="R384" s="1705"/>
      <c r="S384" s="1705"/>
      <c r="T384" s="1705"/>
    </row>
    <row r="385" spans="1:20" ht="15.75" customHeight="1">
      <c r="A385" s="1705"/>
      <c r="B385" s="1705"/>
      <c r="C385" s="1705"/>
      <c r="D385" s="1705"/>
      <c r="E385" s="1705"/>
      <c r="F385" s="1705"/>
      <c r="G385" s="1705"/>
      <c r="H385" s="1705"/>
      <c r="I385" s="1705"/>
      <c r="J385" s="1705"/>
      <c r="K385" s="1705"/>
      <c r="L385" s="1705"/>
      <c r="M385" s="1705"/>
      <c r="N385" s="1705"/>
      <c r="O385" s="1705"/>
      <c r="P385" s="1705"/>
      <c r="Q385" s="1705"/>
      <c r="R385" s="1705"/>
      <c r="S385" s="1705"/>
      <c r="T385" s="1705"/>
    </row>
    <row r="386" spans="1:20" ht="15.75" customHeight="1">
      <c r="A386" s="1705"/>
      <c r="B386" s="1705"/>
      <c r="C386" s="1705"/>
      <c r="D386" s="1705"/>
      <c r="E386" s="1705"/>
      <c r="F386" s="1705"/>
      <c r="G386" s="1705"/>
      <c r="H386" s="1705"/>
      <c r="I386" s="1705"/>
      <c r="J386" s="1705"/>
      <c r="K386" s="1705"/>
      <c r="L386" s="1705"/>
      <c r="M386" s="1705"/>
      <c r="N386" s="1705"/>
      <c r="O386" s="1705"/>
      <c r="P386" s="1705"/>
      <c r="Q386" s="1705"/>
      <c r="R386" s="1705"/>
      <c r="S386" s="1705"/>
      <c r="T386" s="1705"/>
    </row>
    <row r="387" spans="1:20" ht="15.75" customHeight="1">
      <c r="A387" s="1705"/>
      <c r="B387" s="1705"/>
      <c r="C387" s="1705"/>
      <c r="D387" s="1705"/>
      <c r="E387" s="1705"/>
      <c r="F387" s="1705"/>
      <c r="G387" s="1705"/>
      <c r="H387" s="1705"/>
      <c r="I387" s="1705"/>
      <c r="J387" s="1705"/>
      <c r="K387" s="1705"/>
      <c r="L387" s="1705"/>
      <c r="M387" s="1705"/>
      <c r="N387" s="1705"/>
      <c r="O387" s="1705"/>
      <c r="P387" s="1705"/>
      <c r="Q387" s="1705"/>
      <c r="R387" s="1705"/>
      <c r="S387" s="1705"/>
      <c r="T387" s="1705"/>
    </row>
    <row r="388" spans="1:20" ht="15.75" customHeight="1">
      <c r="A388" s="1705"/>
      <c r="B388" s="1705"/>
      <c r="C388" s="1705"/>
      <c r="D388" s="1705"/>
      <c r="E388" s="1705"/>
      <c r="F388" s="1705"/>
      <c r="G388" s="1705"/>
      <c r="H388" s="1705"/>
      <c r="I388" s="1705"/>
      <c r="J388" s="1705"/>
      <c r="K388" s="1705"/>
      <c r="L388" s="1705"/>
      <c r="M388" s="1705"/>
      <c r="N388" s="1705"/>
      <c r="O388" s="1705"/>
      <c r="P388" s="1705"/>
      <c r="Q388" s="1705"/>
      <c r="R388" s="1705"/>
      <c r="S388" s="1705"/>
      <c r="T388" s="1705"/>
    </row>
    <row r="389" spans="1:20" ht="15.75" customHeight="1">
      <c r="A389" s="1705"/>
      <c r="B389" s="1705"/>
      <c r="C389" s="1705"/>
      <c r="D389" s="1705"/>
      <c r="E389" s="1705"/>
      <c r="F389" s="1705"/>
      <c r="G389" s="1705"/>
      <c r="H389" s="1705"/>
      <c r="I389" s="1705"/>
      <c r="J389" s="1705"/>
      <c r="K389" s="1705"/>
      <c r="L389" s="1705"/>
      <c r="M389" s="1705"/>
      <c r="N389" s="1705"/>
      <c r="O389" s="1705"/>
      <c r="P389" s="1705"/>
      <c r="Q389" s="1705"/>
      <c r="R389" s="1705"/>
      <c r="S389" s="1705"/>
      <c r="T389" s="1705"/>
    </row>
    <row r="390" spans="1:20" ht="15.75" customHeight="1">
      <c r="A390" s="1705"/>
      <c r="B390" s="1705"/>
      <c r="C390" s="1705"/>
      <c r="D390" s="1705"/>
      <c r="E390" s="1705"/>
      <c r="F390" s="1705"/>
      <c r="G390" s="1705"/>
      <c r="H390" s="1705"/>
      <c r="I390" s="1705"/>
      <c r="J390" s="1705"/>
      <c r="K390" s="1705"/>
      <c r="L390" s="1705"/>
      <c r="M390" s="1705"/>
      <c r="N390" s="1705"/>
      <c r="O390" s="1705"/>
      <c r="P390" s="1705"/>
      <c r="Q390" s="1705"/>
      <c r="R390" s="1705"/>
      <c r="S390" s="1705"/>
      <c r="T390" s="1705"/>
    </row>
    <row r="391" spans="1:20" ht="15.75" customHeight="1">
      <c r="A391" s="1705"/>
      <c r="B391" s="1705"/>
      <c r="C391" s="1705"/>
      <c r="D391" s="1705"/>
      <c r="E391" s="1705"/>
      <c r="F391" s="1705"/>
      <c r="G391" s="1705"/>
      <c r="H391" s="1705"/>
      <c r="I391" s="1705"/>
      <c r="J391" s="1705"/>
      <c r="K391" s="1705"/>
      <c r="L391" s="1705"/>
      <c r="M391" s="1705"/>
      <c r="N391" s="1705"/>
      <c r="O391" s="1705"/>
      <c r="P391" s="1705"/>
      <c r="Q391" s="1705"/>
      <c r="R391" s="1705"/>
      <c r="S391" s="1705"/>
      <c r="T391" s="1705"/>
    </row>
    <row r="392" spans="1:20" ht="15.75" customHeight="1">
      <c r="A392" s="1705"/>
      <c r="B392" s="1705"/>
      <c r="C392" s="1705"/>
      <c r="D392" s="1705"/>
      <c r="E392" s="1705"/>
      <c r="F392" s="1705"/>
      <c r="G392" s="1705"/>
      <c r="H392" s="1705"/>
      <c r="I392" s="1705"/>
      <c r="J392" s="1705"/>
      <c r="K392" s="1705"/>
      <c r="L392" s="1705"/>
      <c r="M392" s="1705"/>
      <c r="N392" s="1705"/>
      <c r="O392" s="1705"/>
      <c r="P392" s="1705"/>
      <c r="Q392" s="1705"/>
      <c r="R392" s="1705"/>
      <c r="S392" s="1705"/>
      <c r="T392" s="1705"/>
    </row>
    <row r="393" spans="1:20" ht="15.75" customHeight="1">
      <c r="A393" s="1705"/>
      <c r="B393" s="1705"/>
      <c r="C393" s="1705"/>
      <c r="D393" s="1705"/>
      <c r="E393" s="1705"/>
      <c r="F393" s="1705"/>
      <c r="G393" s="1705"/>
      <c r="H393" s="1705"/>
      <c r="I393" s="1705"/>
      <c r="J393" s="1705"/>
      <c r="K393" s="1705"/>
      <c r="L393" s="1705"/>
      <c r="M393" s="1705"/>
      <c r="N393" s="1705"/>
      <c r="O393" s="1705"/>
      <c r="P393" s="1705"/>
      <c r="Q393" s="1705"/>
      <c r="R393" s="1705"/>
      <c r="S393" s="1705"/>
      <c r="T393" s="1705"/>
    </row>
    <row r="394" spans="1:20" ht="15.75" customHeight="1">
      <c r="A394" s="1705"/>
      <c r="B394" s="1705"/>
      <c r="C394" s="1705"/>
      <c r="D394" s="1705"/>
      <c r="E394" s="1705"/>
      <c r="F394" s="1705"/>
      <c r="G394" s="1705"/>
      <c r="H394" s="1705"/>
      <c r="I394" s="1705"/>
      <c r="J394" s="1705"/>
      <c r="K394" s="1705"/>
      <c r="L394" s="1705"/>
      <c r="M394" s="1705"/>
      <c r="N394" s="1705"/>
      <c r="O394" s="1705"/>
      <c r="P394" s="1705"/>
      <c r="Q394" s="1705"/>
      <c r="R394" s="1705"/>
      <c r="S394" s="1705"/>
      <c r="T394" s="1705"/>
    </row>
    <row r="395" spans="1:20" ht="15.75" customHeight="1">
      <c r="A395" s="1705"/>
      <c r="B395" s="1705"/>
      <c r="C395" s="1705"/>
      <c r="D395" s="1705"/>
      <c r="E395" s="1705"/>
      <c r="F395" s="1705"/>
      <c r="G395" s="1705"/>
      <c r="H395" s="1705"/>
      <c r="I395" s="1705"/>
      <c r="J395" s="1705"/>
      <c r="K395" s="1705"/>
      <c r="L395" s="1705"/>
      <c r="M395" s="1705"/>
      <c r="N395" s="1705"/>
      <c r="O395" s="1705"/>
      <c r="P395" s="1705"/>
      <c r="Q395" s="1705"/>
      <c r="R395" s="1705"/>
      <c r="S395" s="1705"/>
      <c r="T395" s="1705"/>
    </row>
    <row r="396" spans="1:20" ht="15.75" customHeight="1">
      <c r="A396" s="1705"/>
      <c r="B396" s="1705"/>
      <c r="C396" s="1705"/>
      <c r="D396" s="1705"/>
      <c r="E396" s="1705"/>
      <c r="F396" s="1705"/>
      <c r="G396" s="1705"/>
      <c r="H396" s="1705"/>
      <c r="I396" s="1705"/>
      <c r="J396" s="1705"/>
      <c r="K396" s="1705"/>
      <c r="L396" s="1705"/>
      <c r="M396" s="1705"/>
      <c r="N396" s="1705"/>
      <c r="O396" s="1705"/>
      <c r="P396" s="1705"/>
      <c r="Q396" s="1705"/>
      <c r="R396" s="1705"/>
      <c r="S396" s="1705"/>
      <c r="T396" s="1705"/>
    </row>
    <row r="397" spans="1:20" ht="15.75" customHeight="1">
      <c r="A397" s="1705"/>
      <c r="B397" s="1705"/>
      <c r="C397" s="1705"/>
      <c r="D397" s="1705"/>
      <c r="E397" s="1705"/>
      <c r="F397" s="1705"/>
      <c r="G397" s="1705"/>
      <c r="H397" s="1705"/>
      <c r="I397" s="1705"/>
      <c r="J397" s="1705"/>
      <c r="K397" s="1705"/>
      <c r="L397" s="1705"/>
      <c r="M397" s="1705"/>
      <c r="N397" s="1705"/>
      <c r="O397" s="1705"/>
      <c r="P397" s="1705"/>
      <c r="Q397" s="1705"/>
      <c r="R397" s="1705"/>
      <c r="S397" s="1705"/>
      <c r="T397" s="1705"/>
    </row>
    <row r="398" spans="1:20" ht="15.75" customHeight="1">
      <c r="A398" s="1705"/>
      <c r="B398" s="1705"/>
      <c r="C398" s="1705"/>
      <c r="D398" s="1705"/>
      <c r="E398" s="1705"/>
      <c r="F398" s="1705"/>
      <c r="G398" s="1705"/>
      <c r="H398" s="1705"/>
      <c r="I398" s="1705"/>
      <c r="J398" s="1705"/>
      <c r="K398" s="1705"/>
      <c r="L398" s="1705"/>
      <c r="M398" s="1705"/>
      <c r="N398" s="1705"/>
      <c r="O398" s="1705"/>
      <c r="P398" s="1705"/>
      <c r="Q398" s="1705"/>
      <c r="R398" s="1705"/>
      <c r="S398" s="1705"/>
      <c r="T398" s="1705"/>
    </row>
    <row r="399" spans="1:20" ht="15.75" customHeight="1">
      <c r="A399" s="1705"/>
      <c r="B399" s="1705"/>
      <c r="C399" s="1705"/>
      <c r="D399" s="1705"/>
      <c r="E399" s="1705"/>
      <c r="F399" s="1705"/>
      <c r="G399" s="1705"/>
      <c r="H399" s="1705"/>
      <c r="I399" s="1705"/>
      <c r="J399" s="1705"/>
      <c r="K399" s="1705"/>
      <c r="L399" s="1705"/>
      <c r="M399" s="1705"/>
      <c r="N399" s="1705"/>
      <c r="O399" s="1705"/>
      <c r="P399" s="1705"/>
      <c r="Q399" s="1705"/>
      <c r="R399" s="1705"/>
      <c r="S399" s="1705"/>
      <c r="T399" s="1705"/>
    </row>
    <row r="400" spans="1:20" ht="15.75" customHeight="1">
      <c r="A400" s="1705"/>
      <c r="B400" s="1705"/>
      <c r="C400" s="1705"/>
      <c r="D400" s="1705"/>
      <c r="E400" s="1705"/>
      <c r="F400" s="1705"/>
      <c r="G400" s="1705"/>
      <c r="H400" s="1705"/>
      <c r="I400" s="1705"/>
      <c r="J400" s="1705"/>
      <c r="K400" s="1705"/>
      <c r="L400" s="1705"/>
      <c r="M400" s="1705"/>
      <c r="N400" s="1705"/>
      <c r="O400" s="1705"/>
      <c r="P400" s="1705"/>
      <c r="Q400" s="1705"/>
      <c r="R400" s="1705"/>
      <c r="S400" s="1705"/>
      <c r="T400" s="1705"/>
    </row>
    <row r="401" spans="1:20" ht="15.75" customHeight="1">
      <c r="A401" s="1705"/>
      <c r="B401" s="1705"/>
      <c r="C401" s="1705"/>
      <c r="D401" s="1705"/>
      <c r="E401" s="1705"/>
      <c r="F401" s="1705"/>
      <c r="G401" s="1705"/>
      <c r="H401" s="1705"/>
      <c r="I401" s="1705"/>
      <c r="J401" s="1705"/>
      <c r="K401" s="1705"/>
      <c r="L401" s="1705"/>
      <c r="M401" s="1705"/>
      <c r="N401" s="1705"/>
      <c r="O401" s="1705"/>
      <c r="P401" s="1705"/>
      <c r="Q401" s="1705"/>
      <c r="R401" s="1705"/>
      <c r="S401" s="1705"/>
      <c r="T401" s="1705"/>
    </row>
    <row r="402" spans="1:20" ht="15.75" customHeight="1">
      <c r="A402" s="1705"/>
      <c r="B402" s="1705"/>
      <c r="C402" s="1705"/>
      <c r="D402" s="1705"/>
      <c r="E402" s="1705"/>
      <c r="F402" s="1705"/>
      <c r="G402" s="1705"/>
      <c r="H402" s="1705"/>
      <c r="I402" s="1705"/>
      <c r="J402" s="1705"/>
      <c r="K402" s="1705"/>
      <c r="L402" s="1705"/>
      <c r="M402" s="1705"/>
      <c r="N402" s="1705"/>
      <c r="O402" s="1705"/>
      <c r="P402" s="1705"/>
      <c r="Q402" s="1705"/>
      <c r="R402" s="1705"/>
      <c r="S402" s="1705"/>
      <c r="T402" s="1705"/>
    </row>
    <row r="403" spans="1:20" ht="15.75" customHeight="1">
      <c r="A403" s="1705"/>
      <c r="B403" s="1705"/>
      <c r="C403" s="1705"/>
      <c r="D403" s="1705"/>
      <c r="E403" s="1705"/>
      <c r="F403" s="1705"/>
      <c r="G403" s="1705"/>
      <c r="H403" s="1705"/>
      <c r="I403" s="1705"/>
      <c r="J403" s="1705"/>
      <c r="K403" s="1705"/>
      <c r="L403" s="1705"/>
      <c r="M403" s="1705"/>
      <c r="N403" s="1705"/>
      <c r="O403" s="1705"/>
      <c r="P403" s="1705"/>
      <c r="Q403" s="1705"/>
      <c r="R403" s="1705"/>
      <c r="S403" s="1705"/>
      <c r="T403" s="1705"/>
    </row>
    <row r="404" spans="1:20" ht="15.75" customHeight="1">
      <c r="A404" s="1705"/>
      <c r="B404" s="1705"/>
      <c r="C404" s="1705"/>
      <c r="D404" s="1705"/>
      <c r="E404" s="1705"/>
      <c r="F404" s="1705"/>
      <c r="G404" s="1705"/>
      <c r="H404" s="1705"/>
      <c r="I404" s="1705"/>
      <c r="J404" s="1705"/>
      <c r="K404" s="1705"/>
      <c r="L404" s="1705"/>
      <c r="M404" s="1705"/>
      <c r="N404" s="1705"/>
      <c r="O404" s="1705"/>
      <c r="P404" s="1705"/>
      <c r="Q404" s="1705"/>
      <c r="R404" s="1705"/>
      <c r="S404" s="1705"/>
      <c r="T404" s="1705"/>
    </row>
    <row r="405" spans="1:20" ht="15.75" customHeight="1">
      <c r="A405" s="1705"/>
      <c r="B405" s="1705"/>
      <c r="C405" s="1705"/>
      <c r="D405" s="1705"/>
      <c r="E405" s="1705"/>
      <c r="F405" s="1705"/>
      <c r="G405" s="1705"/>
      <c r="H405" s="1705"/>
      <c r="I405" s="1705"/>
      <c r="J405" s="1705"/>
      <c r="K405" s="1705"/>
      <c r="L405" s="1705"/>
      <c r="M405" s="1705"/>
      <c r="N405" s="1705"/>
      <c r="O405" s="1705"/>
      <c r="P405" s="1705"/>
      <c r="Q405" s="1705"/>
      <c r="R405" s="1705"/>
      <c r="S405" s="1705"/>
      <c r="T405" s="1705"/>
    </row>
    <row r="406" spans="1:20" ht="15.75" customHeight="1">
      <c r="A406" s="1705"/>
      <c r="B406" s="1705"/>
      <c r="C406" s="1705"/>
      <c r="D406" s="1705"/>
      <c r="E406" s="1705"/>
      <c r="F406" s="1705"/>
      <c r="G406" s="1705"/>
      <c r="H406" s="1705"/>
      <c r="I406" s="1705"/>
      <c r="J406" s="1705"/>
      <c r="K406" s="1705"/>
      <c r="L406" s="1705"/>
      <c r="M406" s="1705"/>
      <c r="N406" s="1705"/>
      <c r="O406" s="1705"/>
      <c r="P406" s="1705"/>
      <c r="Q406" s="1705"/>
      <c r="R406" s="1705"/>
      <c r="S406" s="1705"/>
      <c r="T406" s="1705"/>
    </row>
    <row r="407" spans="1:20" ht="15.75" customHeight="1">
      <c r="A407" s="1705"/>
      <c r="B407" s="1705"/>
      <c r="C407" s="1705"/>
      <c r="D407" s="1705"/>
      <c r="E407" s="1705"/>
      <c r="F407" s="1705"/>
      <c r="G407" s="1705"/>
      <c r="H407" s="1705"/>
      <c r="I407" s="1705"/>
      <c r="J407" s="1705"/>
      <c r="K407" s="1705"/>
      <c r="L407" s="1705"/>
      <c r="M407" s="1705"/>
      <c r="N407" s="1705"/>
      <c r="O407" s="1705"/>
      <c r="P407" s="1705"/>
      <c r="Q407" s="1705"/>
      <c r="R407" s="1705"/>
      <c r="S407" s="1705"/>
      <c r="T407" s="1705"/>
    </row>
    <row r="408" spans="1:20" ht="15.75" customHeight="1">
      <c r="A408" s="1705"/>
      <c r="B408" s="1705"/>
      <c r="C408" s="1705"/>
      <c r="D408" s="1705"/>
      <c r="E408" s="1705"/>
      <c r="F408" s="1705"/>
      <c r="G408" s="1705"/>
      <c r="H408" s="1705"/>
      <c r="I408" s="1705"/>
      <c r="J408" s="1705"/>
      <c r="K408" s="1705"/>
      <c r="L408" s="1705"/>
      <c r="M408" s="1705"/>
      <c r="N408" s="1705"/>
      <c r="O408" s="1705"/>
      <c r="P408" s="1705"/>
      <c r="Q408" s="1705"/>
      <c r="R408" s="1705"/>
      <c r="S408" s="1705"/>
      <c r="T408" s="1705"/>
    </row>
    <row r="409" spans="1:20" ht="15.75" customHeight="1">
      <c r="A409" s="1705"/>
      <c r="B409" s="1705"/>
      <c r="C409" s="1705"/>
      <c r="D409" s="1705"/>
      <c r="E409" s="1705"/>
      <c r="F409" s="1705"/>
      <c r="G409" s="1705"/>
      <c r="H409" s="1705"/>
      <c r="I409" s="1705"/>
      <c r="J409" s="1705"/>
      <c r="K409" s="1705"/>
      <c r="L409" s="1705"/>
      <c r="M409" s="1705"/>
      <c r="N409" s="1705"/>
      <c r="O409" s="1705"/>
      <c r="P409" s="1705"/>
      <c r="Q409" s="1705"/>
      <c r="R409" s="1705"/>
      <c r="S409" s="1705"/>
      <c r="T409" s="1705"/>
    </row>
    <row r="410" spans="1:20" ht="15.75" customHeight="1">
      <c r="A410" s="1705"/>
      <c r="B410" s="1705"/>
      <c r="C410" s="1705"/>
      <c r="D410" s="1705"/>
      <c r="E410" s="1705"/>
      <c r="F410" s="1705"/>
      <c r="G410" s="1705"/>
      <c r="H410" s="1705"/>
      <c r="I410" s="1705"/>
      <c r="J410" s="1705"/>
      <c r="K410" s="1705"/>
      <c r="L410" s="1705"/>
      <c r="M410" s="1705"/>
      <c r="N410" s="1705"/>
      <c r="O410" s="1705"/>
      <c r="P410" s="1705"/>
      <c r="Q410" s="1705"/>
      <c r="R410" s="1705"/>
      <c r="S410" s="1705"/>
      <c r="T410" s="1705"/>
    </row>
    <row r="411" spans="1:20" ht="15.75" customHeight="1">
      <c r="A411" s="1705"/>
      <c r="B411" s="1705"/>
      <c r="C411" s="1705"/>
      <c r="D411" s="1705"/>
      <c r="E411" s="1705"/>
      <c r="F411" s="1705"/>
      <c r="G411" s="1705"/>
      <c r="H411" s="1705"/>
      <c r="I411" s="1705"/>
      <c r="J411" s="1705"/>
      <c r="K411" s="1705"/>
      <c r="L411" s="1705"/>
      <c r="M411" s="1705"/>
      <c r="N411" s="1705"/>
      <c r="O411" s="1705"/>
      <c r="P411" s="1705"/>
      <c r="Q411" s="1705"/>
      <c r="R411" s="1705"/>
      <c r="S411" s="1705"/>
      <c r="T411" s="1705"/>
    </row>
    <row r="412" spans="1:20" ht="15.75" customHeight="1">
      <c r="A412" s="1705"/>
      <c r="B412" s="1705"/>
      <c r="C412" s="1705"/>
      <c r="D412" s="1705"/>
      <c r="E412" s="1705"/>
      <c r="F412" s="1705"/>
      <c r="G412" s="1705"/>
      <c r="H412" s="1705"/>
      <c r="I412" s="1705"/>
      <c r="J412" s="1705"/>
      <c r="K412" s="1705"/>
      <c r="L412" s="1705"/>
      <c r="M412" s="1705"/>
      <c r="N412" s="1705"/>
      <c r="O412" s="1705"/>
      <c r="P412" s="1705"/>
      <c r="Q412" s="1705"/>
      <c r="R412" s="1705"/>
      <c r="S412" s="1705"/>
      <c r="T412" s="1705"/>
    </row>
    <row r="413" spans="1:20" ht="15.75" customHeight="1">
      <c r="A413" s="1705"/>
      <c r="B413" s="1705"/>
      <c r="C413" s="1705"/>
      <c r="D413" s="1705"/>
      <c r="E413" s="1705"/>
      <c r="F413" s="1705"/>
      <c r="G413" s="1705"/>
      <c r="H413" s="1705"/>
      <c r="I413" s="1705"/>
      <c r="J413" s="1705"/>
      <c r="K413" s="1705"/>
      <c r="L413" s="1705"/>
      <c r="M413" s="1705"/>
      <c r="N413" s="1705"/>
      <c r="O413" s="1705"/>
      <c r="P413" s="1705"/>
      <c r="Q413" s="1705"/>
      <c r="R413" s="1705"/>
      <c r="S413" s="1705"/>
      <c r="T413" s="1705"/>
    </row>
    <row r="414" spans="1:20" ht="15.75" customHeight="1">
      <c r="A414" s="1705"/>
      <c r="B414" s="1705"/>
      <c r="C414" s="1705"/>
      <c r="D414" s="1705"/>
      <c r="E414" s="1705"/>
      <c r="F414" s="1705"/>
      <c r="G414" s="1705"/>
      <c r="H414" s="1705"/>
      <c r="I414" s="1705"/>
      <c r="J414" s="1705"/>
      <c r="K414" s="1705"/>
      <c r="L414" s="1705"/>
      <c r="M414" s="1705"/>
      <c r="N414" s="1705"/>
      <c r="O414" s="1705"/>
      <c r="P414" s="1705"/>
      <c r="Q414" s="1705"/>
      <c r="R414" s="1705"/>
      <c r="S414" s="1705"/>
      <c r="T414" s="1705"/>
    </row>
    <row r="415" spans="1:20" ht="15.75" customHeight="1">
      <c r="A415" s="1705"/>
      <c r="B415" s="1705"/>
      <c r="C415" s="1705"/>
      <c r="D415" s="1705"/>
      <c r="E415" s="1705"/>
      <c r="F415" s="1705"/>
      <c r="G415" s="1705"/>
      <c r="H415" s="1705"/>
      <c r="I415" s="1705"/>
      <c r="J415" s="1705"/>
      <c r="K415" s="1705"/>
      <c r="L415" s="1705"/>
      <c r="M415" s="1705"/>
      <c r="N415" s="1705"/>
      <c r="O415" s="1705"/>
      <c r="P415" s="1705"/>
      <c r="Q415" s="1705"/>
      <c r="R415" s="1705"/>
      <c r="S415" s="1705"/>
      <c r="T415" s="1705"/>
    </row>
    <row r="416" spans="1:20" ht="15.75" customHeight="1">
      <c r="A416" s="1705"/>
      <c r="B416" s="1705"/>
      <c r="C416" s="1705"/>
      <c r="D416" s="1705"/>
      <c r="E416" s="1705"/>
      <c r="F416" s="1705"/>
      <c r="G416" s="1705"/>
      <c r="H416" s="1705"/>
      <c r="I416" s="1705"/>
      <c r="J416" s="1705"/>
      <c r="K416" s="1705"/>
      <c r="L416" s="1705"/>
      <c r="M416" s="1705"/>
      <c r="N416" s="1705"/>
      <c r="O416" s="1705"/>
      <c r="P416" s="1705"/>
      <c r="Q416" s="1705"/>
      <c r="R416" s="1705"/>
      <c r="S416" s="1705"/>
      <c r="T416" s="1705"/>
    </row>
    <row r="417" spans="1:20" ht="15.75" customHeight="1">
      <c r="A417" s="1705"/>
      <c r="B417" s="1705"/>
      <c r="C417" s="1705"/>
      <c r="D417" s="1705"/>
      <c r="E417" s="1705"/>
      <c r="F417" s="1705"/>
      <c r="G417" s="1705"/>
      <c r="H417" s="1705"/>
      <c r="I417" s="1705"/>
      <c r="J417" s="1705"/>
      <c r="K417" s="1705"/>
      <c r="L417" s="1705"/>
      <c r="M417" s="1705"/>
      <c r="N417" s="1705"/>
      <c r="O417" s="1705"/>
      <c r="P417" s="1705"/>
      <c r="Q417" s="1705"/>
      <c r="R417" s="1705"/>
      <c r="S417" s="1705"/>
      <c r="T417" s="1705"/>
    </row>
    <row r="418" spans="1:20" ht="15.75" customHeight="1">
      <c r="A418" s="1705"/>
      <c r="B418" s="1705"/>
      <c r="C418" s="1705"/>
      <c r="D418" s="1705"/>
      <c r="E418" s="1705"/>
      <c r="F418" s="1705"/>
      <c r="G418" s="1705"/>
      <c r="H418" s="1705"/>
      <c r="I418" s="1705"/>
      <c r="J418" s="1705"/>
      <c r="K418" s="1705"/>
      <c r="L418" s="1705"/>
      <c r="M418" s="1705"/>
      <c r="N418" s="1705"/>
      <c r="O418" s="1705"/>
      <c r="P418" s="1705"/>
      <c r="Q418" s="1705"/>
      <c r="R418" s="1705"/>
      <c r="S418" s="1705"/>
      <c r="T418" s="1705"/>
    </row>
    <row r="419" spans="1:20" ht="15.75" customHeight="1">
      <c r="A419" s="1705"/>
      <c r="B419" s="1705"/>
      <c r="C419" s="1705"/>
      <c r="D419" s="1705"/>
      <c r="E419" s="1705"/>
      <c r="F419" s="1705"/>
      <c r="G419" s="1705"/>
      <c r="H419" s="1705"/>
      <c r="I419" s="1705"/>
      <c r="J419" s="1705"/>
      <c r="K419" s="1705"/>
      <c r="L419" s="1705"/>
      <c r="M419" s="1705"/>
      <c r="N419" s="1705"/>
      <c r="O419" s="1705"/>
      <c r="P419" s="1705"/>
      <c r="Q419" s="1705"/>
      <c r="R419" s="1705"/>
      <c r="S419" s="1705"/>
      <c r="T419" s="1705"/>
    </row>
    <row r="420" spans="1:20" ht="15.75" customHeight="1">
      <c r="A420" s="1705"/>
      <c r="B420" s="1705"/>
      <c r="C420" s="1705"/>
      <c r="D420" s="1705"/>
      <c r="E420" s="1705"/>
      <c r="F420" s="1705"/>
      <c r="G420" s="1705"/>
      <c r="H420" s="1705"/>
      <c r="I420" s="1705"/>
      <c r="J420" s="1705"/>
      <c r="K420" s="1705"/>
      <c r="L420" s="1705"/>
      <c r="M420" s="1705"/>
      <c r="N420" s="1705"/>
      <c r="O420" s="1705"/>
      <c r="P420" s="1705"/>
      <c r="Q420" s="1705"/>
      <c r="R420" s="1705"/>
      <c r="S420" s="1705"/>
      <c r="T420" s="1705"/>
    </row>
    <row r="421" spans="1:20" ht="15.75" customHeight="1">
      <c r="A421" s="1705"/>
      <c r="B421" s="1705"/>
      <c r="C421" s="1705"/>
      <c r="D421" s="1705"/>
      <c r="E421" s="1705"/>
      <c r="F421" s="1705"/>
      <c r="G421" s="1705"/>
      <c r="H421" s="1705"/>
      <c r="I421" s="1705"/>
      <c r="J421" s="1705"/>
      <c r="K421" s="1705"/>
      <c r="L421" s="1705"/>
      <c r="M421" s="1705"/>
      <c r="N421" s="1705"/>
      <c r="O421" s="1705"/>
      <c r="P421" s="1705"/>
      <c r="Q421" s="1705"/>
      <c r="R421" s="1705"/>
      <c r="S421" s="1705"/>
      <c r="T421" s="1705"/>
    </row>
    <row r="422" spans="1:20" ht="15.75" customHeight="1">
      <c r="A422" s="1705"/>
      <c r="B422" s="1705"/>
      <c r="C422" s="1705"/>
      <c r="D422" s="1705"/>
      <c r="E422" s="1705"/>
      <c r="F422" s="1705"/>
      <c r="G422" s="1705"/>
      <c r="H422" s="1705"/>
      <c r="I422" s="1705"/>
      <c r="J422" s="1705"/>
      <c r="K422" s="1705"/>
      <c r="L422" s="1705"/>
      <c r="M422" s="1705"/>
      <c r="N422" s="1705"/>
      <c r="O422" s="1705"/>
      <c r="P422" s="1705"/>
      <c r="Q422" s="1705"/>
      <c r="R422" s="1705"/>
      <c r="S422" s="1705"/>
      <c r="T422" s="1705"/>
    </row>
    <row r="423" spans="1:20" ht="15.75" customHeight="1">
      <c r="A423" s="1705"/>
      <c r="B423" s="1705"/>
      <c r="C423" s="1705"/>
      <c r="D423" s="1705"/>
      <c r="E423" s="1705"/>
      <c r="F423" s="1705"/>
      <c r="G423" s="1705"/>
      <c r="H423" s="1705"/>
      <c r="I423" s="1705"/>
      <c r="J423" s="1705"/>
      <c r="K423" s="1705"/>
      <c r="L423" s="1705"/>
      <c r="M423" s="1705"/>
      <c r="N423" s="1705"/>
      <c r="O423" s="1705"/>
      <c r="P423" s="1705"/>
      <c r="Q423" s="1705"/>
      <c r="R423" s="1705"/>
      <c r="S423" s="1705"/>
      <c r="T423" s="1705"/>
    </row>
    <row r="424" spans="1:20" ht="15.75" customHeight="1">
      <c r="A424" s="1705"/>
      <c r="B424" s="1705"/>
      <c r="C424" s="1705"/>
      <c r="D424" s="1705"/>
      <c r="E424" s="1705"/>
      <c r="F424" s="1705"/>
      <c r="G424" s="1705"/>
      <c r="H424" s="1705"/>
      <c r="I424" s="1705"/>
      <c r="J424" s="1705"/>
      <c r="K424" s="1705"/>
      <c r="L424" s="1705"/>
      <c r="M424" s="1705"/>
      <c r="N424" s="1705"/>
      <c r="O424" s="1705"/>
      <c r="P424" s="1705"/>
      <c r="Q424" s="1705"/>
      <c r="R424" s="1705"/>
      <c r="S424" s="1705"/>
      <c r="T424" s="1705"/>
    </row>
    <row r="425" spans="1:20" ht="15.75" customHeight="1">
      <c r="A425" s="1705"/>
      <c r="B425" s="1705"/>
      <c r="C425" s="1705"/>
      <c r="D425" s="1705"/>
      <c r="E425" s="1705"/>
      <c r="F425" s="1705"/>
      <c r="G425" s="1705"/>
      <c r="H425" s="1705"/>
      <c r="I425" s="1705"/>
      <c r="J425" s="1705"/>
      <c r="K425" s="1705"/>
      <c r="L425" s="1705"/>
      <c r="M425" s="1705"/>
      <c r="N425" s="1705"/>
      <c r="O425" s="1705"/>
      <c r="P425" s="1705"/>
      <c r="Q425" s="1705"/>
      <c r="R425" s="1705"/>
      <c r="S425" s="1705"/>
      <c r="T425" s="1705"/>
    </row>
    <row r="426" spans="1:20" ht="15.75" customHeight="1">
      <c r="A426" s="1705"/>
      <c r="B426" s="1705"/>
      <c r="C426" s="1705"/>
      <c r="D426" s="1705"/>
      <c r="E426" s="1705"/>
      <c r="F426" s="1705"/>
      <c r="G426" s="1705"/>
      <c r="H426" s="1705"/>
      <c r="I426" s="1705"/>
      <c r="J426" s="1705"/>
      <c r="K426" s="1705"/>
      <c r="L426" s="1705"/>
      <c r="M426" s="1705"/>
      <c r="N426" s="1705"/>
      <c r="O426" s="1705"/>
      <c r="P426" s="1705"/>
      <c r="Q426" s="1705"/>
      <c r="R426" s="1705"/>
      <c r="S426" s="1705"/>
      <c r="T426" s="1705"/>
    </row>
    <row r="427" spans="1:20" ht="15.75" customHeight="1">
      <c r="A427" s="1705"/>
      <c r="B427" s="1705"/>
      <c r="C427" s="1705"/>
      <c r="D427" s="1705"/>
      <c r="E427" s="1705"/>
      <c r="F427" s="1705"/>
      <c r="G427" s="1705"/>
      <c r="H427" s="1705"/>
      <c r="I427" s="1705"/>
      <c r="J427" s="1705"/>
      <c r="K427" s="1705"/>
      <c r="L427" s="1705"/>
      <c r="M427" s="1705"/>
      <c r="N427" s="1705"/>
      <c r="O427" s="1705"/>
      <c r="P427" s="1705"/>
      <c r="Q427" s="1705"/>
      <c r="R427" s="1705"/>
      <c r="S427" s="1705"/>
      <c r="T427" s="1705"/>
    </row>
    <row r="428" spans="1:20" ht="15.75" customHeight="1">
      <c r="A428" s="1705"/>
      <c r="B428" s="1705"/>
      <c r="C428" s="1705"/>
      <c r="D428" s="1705"/>
      <c r="E428" s="1705"/>
      <c r="F428" s="1705"/>
      <c r="G428" s="1705"/>
      <c r="H428" s="1705"/>
      <c r="I428" s="1705"/>
      <c r="J428" s="1705"/>
      <c r="K428" s="1705"/>
      <c r="L428" s="1705"/>
      <c r="M428" s="1705"/>
      <c r="N428" s="1705"/>
      <c r="O428" s="1705"/>
      <c r="P428" s="1705"/>
      <c r="Q428" s="1705"/>
      <c r="R428" s="1705"/>
      <c r="S428" s="1705"/>
      <c r="T428" s="1705"/>
    </row>
    <row r="429" spans="1:20" ht="15.75" customHeight="1">
      <c r="A429" s="1705"/>
      <c r="B429" s="1705"/>
      <c r="C429" s="1705"/>
      <c r="D429" s="1705"/>
      <c r="E429" s="1705"/>
      <c r="F429" s="1705"/>
      <c r="G429" s="1705"/>
      <c r="H429" s="1705"/>
      <c r="I429" s="1705"/>
      <c r="J429" s="1705"/>
      <c r="K429" s="1705"/>
      <c r="L429" s="1705"/>
      <c r="M429" s="1705"/>
      <c r="N429" s="1705"/>
      <c r="O429" s="1705"/>
      <c r="P429" s="1705"/>
      <c r="Q429" s="1705"/>
      <c r="R429" s="1705"/>
      <c r="S429" s="1705"/>
      <c r="T429" s="1705"/>
    </row>
    <row r="430" spans="1:20" ht="15.75" customHeight="1">
      <c r="A430" s="1705"/>
      <c r="B430" s="1705"/>
      <c r="C430" s="1705"/>
      <c r="D430" s="1705"/>
      <c r="E430" s="1705"/>
      <c r="F430" s="1705"/>
      <c r="G430" s="1705"/>
      <c r="H430" s="1705"/>
      <c r="I430" s="1705"/>
      <c r="J430" s="1705"/>
      <c r="K430" s="1705"/>
      <c r="L430" s="1705"/>
      <c r="M430" s="1705"/>
      <c r="N430" s="1705"/>
      <c r="O430" s="1705"/>
      <c r="P430" s="1705"/>
      <c r="Q430" s="1705"/>
      <c r="R430" s="1705"/>
      <c r="S430" s="1705"/>
      <c r="T430" s="1705"/>
    </row>
    <row r="431" spans="1:20" ht="15.75" customHeight="1">
      <c r="A431" s="1705"/>
      <c r="B431" s="1705"/>
      <c r="C431" s="1705"/>
      <c r="D431" s="1705"/>
      <c r="E431" s="1705"/>
      <c r="F431" s="1705"/>
      <c r="G431" s="1705"/>
      <c r="H431" s="1705"/>
      <c r="I431" s="1705"/>
      <c r="J431" s="1705"/>
      <c r="K431" s="1705"/>
      <c r="L431" s="1705"/>
      <c r="M431" s="1705"/>
      <c r="N431" s="1705"/>
      <c r="O431" s="1705"/>
      <c r="P431" s="1705"/>
      <c r="Q431" s="1705"/>
      <c r="R431" s="1705"/>
      <c r="S431" s="1705"/>
      <c r="T431" s="1705"/>
    </row>
    <row r="432" spans="1:20" ht="15.75" customHeight="1">
      <c r="A432" s="1705"/>
      <c r="B432" s="1705"/>
      <c r="C432" s="1705"/>
      <c r="D432" s="1705"/>
      <c r="E432" s="1705"/>
      <c r="F432" s="1705"/>
      <c r="G432" s="1705"/>
      <c r="H432" s="1705"/>
      <c r="I432" s="1705"/>
      <c r="J432" s="1705"/>
      <c r="K432" s="1705"/>
      <c r="L432" s="1705"/>
      <c r="M432" s="1705"/>
      <c r="N432" s="1705"/>
      <c r="O432" s="1705"/>
      <c r="P432" s="1705"/>
      <c r="Q432" s="1705"/>
      <c r="R432" s="1705"/>
      <c r="S432" s="1705"/>
      <c r="T432" s="1705"/>
    </row>
    <row r="433" spans="1:20" ht="15.75" customHeight="1">
      <c r="A433" s="1705"/>
      <c r="B433" s="1705"/>
      <c r="C433" s="1705"/>
      <c r="D433" s="1705"/>
      <c r="E433" s="1705"/>
      <c r="F433" s="1705"/>
      <c r="G433" s="1705"/>
      <c r="H433" s="1705"/>
      <c r="I433" s="1705"/>
      <c r="J433" s="1705"/>
      <c r="K433" s="1705"/>
      <c r="L433" s="1705"/>
      <c r="M433" s="1705"/>
      <c r="N433" s="1705"/>
      <c r="O433" s="1705"/>
      <c r="P433" s="1705"/>
      <c r="Q433" s="1705"/>
      <c r="R433" s="1705"/>
      <c r="S433" s="1705"/>
      <c r="T433" s="1705"/>
    </row>
    <row r="434" spans="1:20" ht="15.75" customHeight="1">
      <c r="A434" s="1705"/>
      <c r="B434" s="1705"/>
      <c r="C434" s="1705"/>
      <c r="D434" s="1705"/>
      <c r="E434" s="1705"/>
      <c r="F434" s="1705"/>
      <c r="G434" s="1705"/>
      <c r="H434" s="1705"/>
      <c r="I434" s="1705"/>
      <c r="J434" s="1705"/>
      <c r="K434" s="1705"/>
      <c r="L434" s="1705"/>
      <c r="M434" s="1705"/>
      <c r="N434" s="1705"/>
      <c r="O434" s="1705"/>
      <c r="P434" s="1705"/>
      <c r="Q434" s="1705"/>
      <c r="R434" s="1705"/>
      <c r="S434" s="1705"/>
      <c r="T434" s="1705"/>
    </row>
    <row r="435" spans="1:20" ht="15.75" customHeight="1">
      <c r="A435" s="1705"/>
      <c r="B435" s="1705"/>
      <c r="C435" s="1705"/>
      <c r="D435" s="1705"/>
      <c r="E435" s="1705"/>
      <c r="F435" s="1705"/>
      <c r="G435" s="1705"/>
      <c r="H435" s="1705"/>
      <c r="I435" s="1705"/>
      <c r="J435" s="1705"/>
      <c r="K435" s="1705"/>
      <c r="L435" s="1705"/>
      <c r="M435" s="1705"/>
      <c r="N435" s="1705"/>
      <c r="O435" s="1705"/>
      <c r="P435" s="1705"/>
      <c r="Q435" s="1705"/>
      <c r="R435" s="1705"/>
      <c r="S435" s="1705"/>
      <c r="T435" s="1705"/>
    </row>
    <row r="436" spans="1:20" ht="15.75" customHeight="1">
      <c r="A436" s="1705"/>
      <c r="B436" s="1705"/>
      <c r="C436" s="1705"/>
      <c r="D436" s="1705"/>
      <c r="E436" s="1705"/>
      <c r="F436" s="1705"/>
      <c r="G436" s="1705"/>
      <c r="H436" s="1705"/>
      <c r="I436" s="1705"/>
      <c r="J436" s="1705"/>
      <c r="K436" s="1705"/>
      <c r="L436" s="1705"/>
      <c r="M436" s="1705"/>
      <c r="N436" s="1705"/>
      <c r="O436" s="1705"/>
      <c r="P436" s="1705"/>
      <c r="Q436" s="1705"/>
      <c r="R436" s="1705"/>
      <c r="S436" s="1705"/>
      <c r="T436" s="1705"/>
    </row>
    <row r="437" spans="1:20" ht="15.75" customHeight="1">
      <c r="A437" s="1705"/>
      <c r="B437" s="1705"/>
      <c r="C437" s="1705"/>
      <c r="D437" s="1705"/>
      <c r="E437" s="1705"/>
      <c r="F437" s="1705"/>
      <c r="G437" s="1705"/>
      <c r="H437" s="1705"/>
      <c r="I437" s="1705"/>
      <c r="J437" s="1705"/>
      <c r="K437" s="1705"/>
      <c r="L437" s="1705"/>
      <c r="M437" s="1705"/>
      <c r="N437" s="1705"/>
      <c r="O437" s="1705"/>
      <c r="P437" s="1705"/>
      <c r="Q437" s="1705"/>
      <c r="R437" s="1705"/>
      <c r="S437" s="1705"/>
      <c r="T437" s="1705"/>
    </row>
    <row r="438" spans="1:20" ht="15.75" customHeight="1">
      <c r="A438" s="1705"/>
      <c r="B438" s="1705"/>
      <c r="C438" s="1705"/>
      <c r="D438" s="1705"/>
      <c r="E438" s="1705"/>
      <c r="F438" s="1705"/>
      <c r="G438" s="1705"/>
      <c r="H438" s="1705"/>
      <c r="I438" s="1705"/>
      <c r="J438" s="1705"/>
      <c r="K438" s="1705"/>
      <c r="L438" s="1705"/>
      <c r="M438" s="1705"/>
      <c r="N438" s="1705"/>
      <c r="O438" s="1705"/>
      <c r="P438" s="1705"/>
      <c r="Q438" s="1705"/>
      <c r="R438" s="1705"/>
      <c r="S438" s="1705"/>
      <c r="T438" s="1705"/>
    </row>
    <row r="439" spans="1:20" ht="15.75" customHeight="1">
      <c r="A439" s="1705"/>
      <c r="B439" s="1705"/>
      <c r="C439" s="1705"/>
      <c r="D439" s="1705"/>
      <c r="E439" s="1705"/>
      <c r="F439" s="1705"/>
      <c r="G439" s="1705"/>
      <c r="H439" s="1705"/>
      <c r="I439" s="1705"/>
      <c r="J439" s="1705"/>
      <c r="K439" s="1705"/>
      <c r="L439" s="1705"/>
      <c r="M439" s="1705"/>
      <c r="N439" s="1705"/>
      <c r="O439" s="1705"/>
      <c r="P439" s="1705"/>
      <c r="Q439" s="1705"/>
      <c r="R439" s="1705"/>
      <c r="S439" s="1705"/>
      <c r="T439" s="1705"/>
    </row>
    <row r="440" spans="1:20" ht="15.75" customHeight="1">
      <c r="A440" s="1705"/>
      <c r="B440" s="1705"/>
      <c r="C440" s="1705"/>
      <c r="D440" s="1705"/>
      <c r="E440" s="1705"/>
      <c r="F440" s="1705"/>
      <c r="G440" s="1705"/>
      <c r="H440" s="1705"/>
      <c r="I440" s="1705"/>
      <c r="J440" s="1705"/>
      <c r="K440" s="1705"/>
      <c r="L440" s="1705"/>
      <c r="M440" s="1705"/>
      <c r="N440" s="1705"/>
      <c r="O440" s="1705"/>
      <c r="P440" s="1705"/>
      <c r="Q440" s="1705"/>
      <c r="R440" s="1705"/>
      <c r="S440" s="1705"/>
      <c r="T440" s="1705"/>
    </row>
    <row r="441" spans="1:20" ht="15.75" customHeight="1">
      <c r="A441" s="1705"/>
      <c r="B441" s="1705"/>
      <c r="C441" s="1705"/>
      <c r="D441" s="1705"/>
      <c r="E441" s="1705"/>
      <c r="F441" s="1705"/>
      <c r="G441" s="1705"/>
      <c r="H441" s="1705"/>
      <c r="I441" s="1705"/>
      <c r="J441" s="1705"/>
      <c r="K441" s="1705"/>
      <c r="L441" s="1705"/>
      <c r="M441" s="1705"/>
      <c r="N441" s="1705"/>
      <c r="O441" s="1705"/>
      <c r="P441" s="1705"/>
      <c r="Q441" s="1705"/>
      <c r="R441" s="1705"/>
      <c r="S441" s="1705"/>
      <c r="T441" s="1705"/>
    </row>
    <row r="442" spans="1:20" ht="15.75" customHeight="1">
      <c r="A442" s="1705"/>
      <c r="B442" s="1705"/>
      <c r="C442" s="1705"/>
      <c r="D442" s="1705"/>
      <c r="E442" s="1705"/>
      <c r="F442" s="1705"/>
      <c r="G442" s="1705"/>
      <c r="H442" s="1705"/>
      <c r="I442" s="1705"/>
      <c r="J442" s="1705"/>
      <c r="K442" s="1705"/>
      <c r="L442" s="1705"/>
      <c r="M442" s="1705"/>
      <c r="N442" s="1705"/>
      <c r="O442" s="1705"/>
      <c r="P442" s="1705"/>
      <c r="Q442" s="1705"/>
      <c r="R442" s="1705"/>
      <c r="S442" s="1705"/>
      <c r="T442" s="1705"/>
    </row>
    <row r="443" spans="1:20" ht="15.75" customHeight="1">
      <c r="A443" s="1705"/>
      <c r="B443" s="1705"/>
      <c r="C443" s="1705"/>
      <c r="D443" s="1705"/>
      <c r="E443" s="1705"/>
      <c r="F443" s="1705"/>
      <c r="G443" s="1705"/>
      <c r="H443" s="1705"/>
      <c r="I443" s="1705"/>
      <c r="J443" s="1705"/>
      <c r="K443" s="1705"/>
      <c r="L443" s="1705"/>
      <c r="M443" s="1705"/>
      <c r="N443" s="1705"/>
      <c r="O443" s="1705"/>
      <c r="P443" s="1705"/>
      <c r="Q443" s="1705"/>
      <c r="R443" s="1705"/>
      <c r="S443" s="1705"/>
      <c r="T443" s="1705"/>
    </row>
    <row r="444" spans="1:20" ht="15.75" customHeight="1">
      <c r="A444" s="1705"/>
      <c r="B444" s="1705"/>
      <c r="C444" s="1705"/>
      <c r="D444" s="1705"/>
      <c r="E444" s="1705"/>
      <c r="F444" s="1705"/>
      <c r="G444" s="1705"/>
      <c r="H444" s="1705"/>
      <c r="I444" s="1705"/>
      <c r="J444" s="1705"/>
      <c r="K444" s="1705"/>
      <c r="L444" s="1705"/>
      <c r="M444" s="1705"/>
      <c r="N444" s="1705"/>
      <c r="O444" s="1705"/>
      <c r="P444" s="1705"/>
      <c r="Q444" s="1705"/>
      <c r="R444" s="1705"/>
      <c r="S444" s="1705"/>
      <c r="T444" s="1705"/>
    </row>
    <row r="445" spans="1:20" ht="15.75" customHeight="1">
      <c r="A445" s="1705"/>
      <c r="B445" s="1705"/>
      <c r="C445" s="1705"/>
      <c r="D445" s="1705"/>
      <c r="E445" s="1705"/>
      <c r="F445" s="1705"/>
      <c r="G445" s="1705"/>
      <c r="H445" s="1705"/>
      <c r="I445" s="1705"/>
      <c r="J445" s="1705"/>
      <c r="K445" s="1705"/>
      <c r="L445" s="1705"/>
      <c r="M445" s="1705"/>
      <c r="N445" s="1705"/>
      <c r="O445" s="1705"/>
      <c r="P445" s="1705"/>
      <c r="Q445" s="1705"/>
      <c r="R445" s="1705"/>
      <c r="S445" s="1705"/>
      <c r="T445" s="1705"/>
    </row>
    <row r="446" spans="1:20" ht="15.75" customHeight="1">
      <c r="A446" s="1705"/>
      <c r="B446" s="1705"/>
      <c r="C446" s="1705"/>
      <c r="D446" s="1705"/>
      <c r="E446" s="1705"/>
      <c r="F446" s="1705"/>
      <c r="G446" s="1705"/>
      <c r="H446" s="1705"/>
      <c r="I446" s="1705"/>
      <c r="J446" s="1705"/>
      <c r="K446" s="1705"/>
      <c r="L446" s="1705"/>
      <c r="M446" s="1705"/>
      <c r="N446" s="1705"/>
      <c r="O446" s="1705"/>
      <c r="P446" s="1705"/>
      <c r="Q446" s="1705"/>
      <c r="R446" s="1705"/>
      <c r="S446" s="1705"/>
      <c r="T446" s="1705"/>
    </row>
    <row r="447" spans="1:20" ht="15.75" customHeight="1">
      <c r="A447" s="1705"/>
      <c r="B447" s="1705"/>
      <c r="C447" s="1705"/>
      <c r="D447" s="1705"/>
      <c r="E447" s="1705"/>
      <c r="F447" s="1705"/>
      <c r="G447" s="1705"/>
      <c r="H447" s="1705"/>
      <c r="I447" s="1705"/>
      <c r="J447" s="1705"/>
      <c r="K447" s="1705"/>
      <c r="L447" s="1705"/>
      <c r="M447" s="1705"/>
      <c r="N447" s="1705"/>
      <c r="O447" s="1705"/>
      <c r="P447" s="1705"/>
      <c r="Q447" s="1705"/>
      <c r="R447" s="1705"/>
      <c r="S447" s="1705"/>
      <c r="T447" s="1705"/>
    </row>
    <row r="448" spans="1:20" ht="15.75" customHeight="1">
      <c r="A448" s="1705"/>
      <c r="B448" s="1705"/>
      <c r="C448" s="1705"/>
      <c r="D448" s="1705"/>
      <c r="E448" s="1705"/>
      <c r="F448" s="1705"/>
      <c r="G448" s="1705"/>
      <c r="H448" s="1705"/>
      <c r="I448" s="1705"/>
      <c r="J448" s="1705"/>
      <c r="K448" s="1705"/>
      <c r="L448" s="1705"/>
      <c r="M448" s="1705"/>
      <c r="N448" s="1705"/>
      <c r="O448" s="1705"/>
      <c r="P448" s="1705"/>
      <c r="Q448" s="1705"/>
      <c r="R448" s="1705"/>
      <c r="S448" s="1705"/>
      <c r="T448" s="1705"/>
    </row>
    <row r="449" spans="1:20" ht="15.75" customHeight="1">
      <c r="A449" s="1705"/>
      <c r="B449" s="1705"/>
      <c r="C449" s="1705"/>
      <c r="D449" s="1705"/>
      <c r="E449" s="1705"/>
      <c r="F449" s="1705"/>
      <c r="G449" s="1705"/>
      <c r="H449" s="1705"/>
      <c r="I449" s="1705"/>
      <c r="J449" s="1705"/>
      <c r="K449" s="1705"/>
      <c r="L449" s="1705"/>
      <c r="M449" s="1705"/>
      <c r="N449" s="1705"/>
      <c r="O449" s="1705"/>
      <c r="P449" s="1705"/>
      <c r="Q449" s="1705"/>
      <c r="R449" s="1705"/>
      <c r="S449" s="1705"/>
      <c r="T449" s="1705"/>
    </row>
    <row r="450" spans="1:20" ht="15.75" customHeight="1">
      <c r="A450" s="1705"/>
      <c r="B450" s="1705"/>
      <c r="C450" s="1705"/>
      <c r="D450" s="1705"/>
      <c r="E450" s="1705"/>
      <c r="F450" s="1705"/>
      <c r="G450" s="1705"/>
      <c r="H450" s="1705"/>
      <c r="I450" s="1705"/>
      <c r="J450" s="1705"/>
      <c r="K450" s="1705"/>
      <c r="L450" s="1705"/>
      <c r="M450" s="1705"/>
      <c r="N450" s="1705"/>
      <c r="O450" s="1705"/>
      <c r="P450" s="1705"/>
      <c r="Q450" s="1705"/>
      <c r="R450" s="1705"/>
      <c r="S450" s="1705"/>
      <c r="T450" s="1705"/>
    </row>
    <row r="451" spans="1:20" ht="15.75" customHeight="1">
      <c r="A451" s="1705"/>
      <c r="B451" s="1705"/>
      <c r="C451" s="1705"/>
      <c r="D451" s="1705"/>
      <c r="E451" s="1705"/>
      <c r="F451" s="1705"/>
      <c r="G451" s="1705"/>
      <c r="H451" s="1705"/>
      <c r="I451" s="1705"/>
      <c r="J451" s="1705"/>
      <c r="K451" s="1705"/>
      <c r="L451" s="1705"/>
      <c r="M451" s="1705"/>
      <c r="N451" s="1705"/>
      <c r="O451" s="1705"/>
      <c r="P451" s="1705"/>
      <c r="Q451" s="1705"/>
      <c r="R451" s="1705"/>
      <c r="S451" s="1705"/>
      <c r="T451" s="1705"/>
    </row>
    <row r="452" spans="1:20" ht="15.75" customHeight="1">
      <c r="A452" s="1705"/>
      <c r="B452" s="1705"/>
      <c r="C452" s="1705"/>
      <c r="D452" s="1705"/>
      <c r="E452" s="1705"/>
      <c r="F452" s="1705"/>
      <c r="G452" s="1705"/>
      <c r="H452" s="1705"/>
      <c r="I452" s="1705"/>
      <c r="J452" s="1705"/>
      <c r="K452" s="1705"/>
      <c r="L452" s="1705"/>
      <c r="M452" s="1705"/>
      <c r="N452" s="1705"/>
      <c r="O452" s="1705"/>
      <c r="P452" s="1705"/>
      <c r="Q452" s="1705"/>
      <c r="R452" s="1705"/>
      <c r="S452" s="1705"/>
      <c r="T452" s="1705"/>
    </row>
    <row r="453" spans="1:20" ht="15.75" customHeight="1">
      <c r="A453" s="1705"/>
      <c r="B453" s="1705"/>
      <c r="C453" s="1705"/>
      <c r="D453" s="1705"/>
      <c r="E453" s="1705"/>
      <c r="F453" s="1705"/>
      <c r="G453" s="1705"/>
      <c r="H453" s="1705"/>
      <c r="I453" s="1705"/>
      <c r="J453" s="1705"/>
      <c r="K453" s="1705"/>
      <c r="L453" s="1705"/>
      <c r="M453" s="1705"/>
      <c r="N453" s="1705"/>
      <c r="O453" s="1705"/>
      <c r="P453" s="1705"/>
      <c r="Q453" s="1705"/>
      <c r="R453" s="1705"/>
      <c r="S453" s="1705"/>
      <c r="T453" s="1705"/>
    </row>
    <row r="454" spans="1:20" ht="15.75" customHeight="1">
      <c r="A454" s="1705"/>
      <c r="B454" s="1705"/>
      <c r="C454" s="1705"/>
      <c r="D454" s="1705"/>
      <c r="E454" s="1705"/>
      <c r="F454" s="1705"/>
      <c r="G454" s="1705"/>
      <c r="H454" s="1705"/>
      <c r="I454" s="1705"/>
      <c r="J454" s="1705"/>
      <c r="K454" s="1705"/>
      <c r="L454" s="1705"/>
      <c r="M454" s="1705"/>
      <c r="N454" s="1705"/>
      <c r="O454" s="1705"/>
      <c r="P454" s="1705"/>
      <c r="Q454" s="1705"/>
      <c r="R454" s="1705"/>
      <c r="S454" s="1705"/>
      <c r="T454" s="1705"/>
    </row>
    <row r="455" spans="1:20" ht="15.75" customHeight="1">
      <c r="A455" s="1705"/>
      <c r="B455" s="1705"/>
      <c r="C455" s="1705"/>
      <c r="D455" s="1705"/>
      <c r="E455" s="1705"/>
      <c r="F455" s="1705"/>
      <c r="G455" s="1705"/>
      <c r="H455" s="1705"/>
      <c r="I455" s="1705"/>
      <c r="J455" s="1705"/>
      <c r="K455" s="1705"/>
      <c r="L455" s="1705"/>
      <c r="M455" s="1705"/>
      <c r="N455" s="1705"/>
      <c r="O455" s="1705"/>
      <c r="P455" s="1705"/>
      <c r="Q455" s="1705"/>
      <c r="R455" s="1705"/>
      <c r="S455" s="1705"/>
      <c r="T455" s="1705"/>
    </row>
    <row r="456" spans="1:20" ht="15.75" customHeight="1">
      <c r="A456" s="1705"/>
      <c r="B456" s="1705"/>
      <c r="C456" s="1705"/>
      <c r="D456" s="1705"/>
      <c r="E456" s="1705"/>
      <c r="F456" s="1705"/>
      <c r="G456" s="1705"/>
      <c r="H456" s="1705"/>
      <c r="I456" s="1705"/>
      <c r="J456" s="1705"/>
      <c r="K456" s="1705"/>
      <c r="L456" s="1705"/>
      <c r="M456" s="1705"/>
      <c r="N456" s="1705"/>
      <c r="O456" s="1705"/>
      <c r="P456" s="1705"/>
      <c r="Q456" s="1705"/>
      <c r="R456" s="1705"/>
      <c r="S456" s="1705"/>
      <c r="T456" s="1705"/>
    </row>
    <row r="457" spans="1:20" ht="15.75" customHeight="1">
      <c r="A457" s="1705"/>
      <c r="B457" s="1705"/>
      <c r="C457" s="1705"/>
      <c r="D457" s="1705"/>
      <c r="E457" s="1705"/>
      <c r="F457" s="1705"/>
      <c r="G457" s="1705"/>
      <c r="H457" s="1705"/>
      <c r="I457" s="1705"/>
      <c r="J457" s="1705"/>
      <c r="K457" s="1705"/>
      <c r="L457" s="1705"/>
      <c r="M457" s="1705"/>
      <c r="N457" s="1705"/>
      <c r="O457" s="1705"/>
      <c r="P457" s="1705"/>
      <c r="Q457" s="1705"/>
      <c r="R457" s="1705"/>
      <c r="S457" s="1705"/>
      <c r="T457" s="1705"/>
    </row>
    <row r="458" spans="1:20" ht="15.75" customHeight="1">
      <c r="A458" s="1705"/>
      <c r="B458" s="1705"/>
      <c r="C458" s="1705"/>
      <c r="D458" s="1705"/>
      <c r="E458" s="1705"/>
      <c r="F458" s="1705"/>
      <c r="G458" s="1705"/>
      <c r="H458" s="1705"/>
      <c r="I458" s="1705"/>
      <c r="J458" s="1705"/>
      <c r="K458" s="1705"/>
      <c r="L458" s="1705"/>
      <c r="M458" s="1705"/>
      <c r="N458" s="1705"/>
      <c r="O458" s="1705"/>
      <c r="P458" s="1705"/>
      <c r="Q458" s="1705"/>
      <c r="R458" s="1705"/>
      <c r="S458" s="1705"/>
      <c r="T458" s="1705"/>
    </row>
    <row r="459" spans="1:20" ht="15.75" customHeight="1">
      <c r="A459" s="1705"/>
      <c r="B459" s="1705"/>
      <c r="C459" s="1705"/>
      <c r="D459" s="1705"/>
      <c r="E459" s="1705"/>
      <c r="F459" s="1705"/>
      <c r="G459" s="1705"/>
      <c r="H459" s="1705"/>
      <c r="I459" s="1705"/>
      <c r="J459" s="1705"/>
      <c r="K459" s="1705"/>
      <c r="L459" s="1705"/>
      <c r="M459" s="1705"/>
      <c r="N459" s="1705"/>
      <c r="O459" s="1705"/>
      <c r="P459" s="1705"/>
      <c r="Q459" s="1705"/>
      <c r="R459" s="1705"/>
      <c r="S459" s="1705"/>
      <c r="T459" s="1705"/>
    </row>
    <row r="460" spans="1:20" ht="15.75" customHeight="1">
      <c r="A460" s="1705"/>
      <c r="B460" s="1705"/>
      <c r="C460" s="1705"/>
      <c r="D460" s="1705"/>
      <c r="E460" s="1705"/>
      <c r="F460" s="1705"/>
      <c r="G460" s="1705"/>
      <c r="H460" s="1705"/>
      <c r="I460" s="1705"/>
      <c r="J460" s="1705"/>
      <c r="K460" s="1705"/>
      <c r="L460" s="1705"/>
      <c r="M460" s="1705"/>
      <c r="N460" s="1705"/>
      <c r="O460" s="1705"/>
      <c r="P460" s="1705"/>
      <c r="Q460" s="1705"/>
      <c r="R460" s="1705"/>
      <c r="S460" s="1705"/>
      <c r="T460" s="1705"/>
    </row>
    <row r="461" spans="1:20" ht="15.75" customHeight="1">
      <c r="A461" s="1705"/>
      <c r="B461" s="1705"/>
      <c r="C461" s="1705"/>
      <c r="D461" s="1705"/>
      <c r="E461" s="1705"/>
      <c r="F461" s="1705"/>
      <c r="G461" s="1705"/>
      <c r="H461" s="1705"/>
      <c r="I461" s="1705"/>
      <c r="J461" s="1705"/>
      <c r="K461" s="1705"/>
      <c r="L461" s="1705"/>
      <c r="M461" s="1705"/>
      <c r="N461" s="1705"/>
      <c r="O461" s="1705"/>
      <c r="P461" s="1705"/>
      <c r="Q461" s="1705"/>
      <c r="R461" s="1705"/>
      <c r="S461" s="1705"/>
      <c r="T461" s="1705"/>
    </row>
    <row r="462" spans="1:20" ht="15.75" customHeight="1">
      <c r="A462" s="1705"/>
      <c r="B462" s="1705"/>
      <c r="C462" s="1705"/>
      <c r="D462" s="1705"/>
      <c r="E462" s="1705"/>
      <c r="F462" s="1705"/>
      <c r="G462" s="1705"/>
      <c r="H462" s="1705"/>
      <c r="I462" s="1705"/>
      <c r="J462" s="1705"/>
      <c r="K462" s="1705"/>
      <c r="L462" s="1705"/>
      <c r="M462" s="1705"/>
      <c r="N462" s="1705"/>
      <c r="O462" s="1705"/>
      <c r="P462" s="1705"/>
      <c r="Q462" s="1705"/>
      <c r="R462" s="1705"/>
      <c r="S462" s="1705"/>
      <c r="T462" s="1705"/>
    </row>
    <row r="463" spans="1:20" ht="15.75" customHeight="1">
      <c r="A463" s="1705"/>
      <c r="B463" s="1705"/>
      <c r="C463" s="1705"/>
      <c r="D463" s="1705"/>
      <c r="E463" s="1705"/>
      <c r="F463" s="1705"/>
      <c r="G463" s="1705"/>
      <c r="H463" s="1705"/>
      <c r="I463" s="1705"/>
      <c r="J463" s="1705"/>
      <c r="K463" s="1705"/>
      <c r="L463" s="1705"/>
      <c r="M463" s="1705"/>
      <c r="N463" s="1705"/>
      <c r="O463" s="1705"/>
      <c r="P463" s="1705"/>
      <c r="Q463" s="1705"/>
      <c r="R463" s="1705"/>
      <c r="S463" s="1705"/>
      <c r="T463" s="1705"/>
    </row>
    <row r="464" spans="1:20" ht="15.75" customHeight="1">
      <c r="A464" s="1705"/>
      <c r="B464" s="1705"/>
      <c r="C464" s="1705"/>
      <c r="D464" s="1705"/>
      <c r="E464" s="1705"/>
      <c r="F464" s="1705"/>
      <c r="G464" s="1705"/>
      <c r="H464" s="1705"/>
      <c r="I464" s="1705"/>
      <c r="J464" s="1705"/>
      <c r="K464" s="1705"/>
      <c r="L464" s="1705"/>
      <c r="M464" s="1705"/>
      <c r="N464" s="1705"/>
      <c r="O464" s="1705"/>
      <c r="P464" s="1705"/>
      <c r="Q464" s="1705"/>
      <c r="R464" s="1705"/>
      <c r="S464" s="1705"/>
      <c r="T464" s="1705"/>
    </row>
    <row r="465" spans="1:20" ht="15.75" customHeight="1">
      <c r="A465" s="1705"/>
      <c r="B465" s="1705"/>
      <c r="C465" s="1705"/>
      <c r="D465" s="1705"/>
      <c r="E465" s="1705"/>
      <c r="F465" s="1705"/>
      <c r="G465" s="1705"/>
      <c r="H465" s="1705"/>
      <c r="I465" s="1705"/>
      <c r="J465" s="1705"/>
      <c r="K465" s="1705"/>
      <c r="L465" s="1705"/>
      <c r="M465" s="1705"/>
      <c r="N465" s="1705"/>
      <c r="O465" s="1705"/>
      <c r="P465" s="1705"/>
      <c r="Q465" s="1705"/>
      <c r="R465" s="1705"/>
      <c r="S465" s="1705"/>
      <c r="T465" s="1705"/>
    </row>
    <row r="466" spans="1:20" ht="15.75" customHeight="1">
      <c r="A466" s="1705"/>
      <c r="B466" s="1705"/>
      <c r="C466" s="1705"/>
      <c r="D466" s="1705"/>
      <c r="E466" s="1705"/>
      <c r="F466" s="1705"/>
      <c r="G466" s="1705"/>
      <c r="H466" s="1705"/>
      <c r="I466" s="1705"/>
      <c r="J466" s="1705"/>
      <c r="K466" s="1705"/>
      <c r="L466" s="1705"/>
      <c r="M466" s="1705"/>
      <c r="N466" s="1705"/>
      <c r="O466" s="1705"/>
      <c r="P466" s="1705"/>
      <c r="Q466" s="1705"/>
      <c r="R466" s="1705"/>
      <c r="S466" s="1705"/>
      <c r="T466" s="1705"/>
    </row>
    <row r="467" spans="1:20" ht="15.75" customHeight="1">
      <c r="A467" s="1705"/>
      <c r="B467" s="1705"/>
      <c r="C467" s="1705"/>
      <c r="D467" s="1705"/>
      <c r="E467" s="1705"/>
      <c r="F467" s="1705"/>
      <c r="G467" s="1705"/>
      <c r="H467" s="1705"/>
      <c r="I467" s="1705"/>
      <c r="J467" s="1705"/>
      <c r="K467" s="1705"/>
      <c r="L467" s="1705"/>
      <c r="M467" s="1705"/>
      <c r="N467" s="1705"/>
      <c r="O467" s="1705"/>
      <c r="P467" s="1705"/>
      <c r="Q467" s="1705"/>
      <c r="R467" s="1705"/>
      <c r="S467" s="1705"/>
      <c r="T467" s="1705"/>
    </row>
    <row r="468" spans="1:20" ht="15.75" customHeight="1">
      <c r="A468" s="1705"/>
      <c r="B468" s="1705"/>
      <c r="C468" s="1705"/>
      <c r="D468" s="1705"/>
      <c r="E468" s="1705"/>
      <c r="F468" s="1705"/>
      <c r="G468" s="1705"/>
      <c r="H468" s="1705"/>
      <c r="I468" s="1705"/>
      <c r="J468" s="1705"/>
      <c r="K468" s="1705"/>
      <c r="L468" s="1705"/>
      <c r="M468" s="1705"/>
      <c r="N468" s="1705"/>
      <c r="O468" s="1705"/>
      <c r="P468" s="1705"/>
      <c r="Q468" s="1705"/>
      <c r="R468" s="1705"/>
      <c r="S468" s="1705"/>
      <c r="T468" s="1705"/>
    </row>
    <row r="469" spans="1:20" ht="15.75" customHeight="1">
      <c r="A469" s="1705"/>
      <c r="B469" s="1705"/>
      <c r="C469" s="1705"/>
      <c r="D469" s="1705"/>
      <c r="E469" s="1705"/>
      <c r="F469" s="1705"/>
      <c r="G469" s="1705"/>
      <c r="H469" s="1705"/>
      <c r="I469" s="1705"/>
      <c r="J469" s="1705"/>
      <c r="K469" s="1705"/>
      <c r="L469" s="1705"/>
      <c r="M469" s="1705"/>
      <c r="N469" s="1705"/>
      <c r="O469" s="1705"/>
      <c r="P469" s="1705"/>
      <c r="Q469" s="1705"/>
      <c r="R469" s="1705"/>
      <c r="S469" s="1705"/>
      <c r="T469" s="1705"/>
    </row>
    <row r="470" spans="1:20" ht="15.75" customHeight="1">
      <c r="A470" s="1705"/>
      <c r="B470" s="1705"/>
      <c r="C470" s="1705"/>
      <c r="D470" s="1705"/>
      <c r="E470" s="1705"/>
      <c r="F470" s="1705"/>
      <c r="G470" s="1705"/>
      <c r="H470" s="1705"/>
      <c r="I470" s="1705"/>
      <c r="J470" s="1705"/>
      <c r="K470" s="1705"/>
      <c r="L470" s="1705"/>
      <c r="M470" s="1705"/>
      <c r="N470" s="1705"/>
      <c r="O470" s="1705"/>
      <c r="P470" s="1705"/>
      <c r="Q470" s="1705"/>
      <c r="R470" s="1705"/>
      <c r="S470" s="1705"/>
      <c r="T470" s="1705"/>
    </row>
    <row r="471" spans="1:20" ht="15.75" customHeight="1">
      <c r="A471" s="1705"/>
      <c r="B471" s="1705"/>
      <c r="C471" s="1705"/>
      <c r="D471" s="1705"/>
      <c r="E471" s="1705"/>
      <c r="F471" s="1705"/>
      <c r="G471" s="1705"/>
      <c r="H471" s="1705"/>
      <c r="I471" s="1705"/>
      <c r="J471" s="1705"/>
      <c r="K471" s="1705"/>
      <c r="L471" s="1705"/>
      <c r="M471" s="1705"/>
      <c r="N471" s="1705"/>
      <c r="O471" s="1705"/>
      <c r="P471" s="1705"/>
      <c r="Q471" s="1705"/>
      <c r="R471" s="1705"/>
      <c r="S471" s="1705"/>
      <c r="T471" s="1705"/>
    </row>
    <row r="472" spans="1:20" ht="15.75" customHeight="1">
      <c r="A472" s="1705"/>
      <c r="B472" s="1705"/>
      <c r="C472" s="1705"/>
      <c r="D472" s="1705"/>
      <c r="E472" s="1705"/>
      <c r="F472" s="1705"/>
      <c r="G472" s="1705"/>
      <c r="H472" s="1705"/>
      <c r="I472" s="1705"/>
      <c r="J472" s="1705"/>
      <c r="K472" s="1705"/>
      <c r="L472" s="1705"/>
      <c r="M472" s="1705"/>
      <c r="N472" s="1705"/>
      <c r="O472" s="1705"/>
      <c r="P472" s="1705"/>
      <c r="Q472" s="1705"/>
      <c r="R472" s="1705"/>
      <c r="S472" s="1705"/>
      <c r="T472" s="1705"/>
    </row>
    <row r="473" spans="1:20" ht="15.75" customHeight="1">
      <c r="A473" s="1705"/>
      <c r="B473" s="1705"/>
      <c r="C473" s="1705"/>
      <c r="D473" s="1705"/>
      <c r="E473" s="1705"/>
      <c r="F473" s="1705"/>
      <c r="G473" s="1705"/>
      <c r="H473" s="1705"/>
      <c r="I473" s="1705"/>
      <c r="J473" s="1705"/>
      <c r="K473" s="1705"/>
      <c r="L473" s="1705"/>
      <c r="M473" s="1705"/>
      <c r="N473" s="1705"/>
      <c r="O473" s="1705"/>
      <c r="P473" s="1705"/>
      <c r="Q473" s="1705"/>
      <c r="R473" s="1705"/>
      <c r="S473" s="1705"/>
      <c r="T473" s="1705"/>
    </row>
    <row r="474" spans="1:20" ht="15.75" customHeight="1">
      <c r="A474" s="1705"/>
      <c r="B474" s="1705"/>
      <c r="C474" s="1705"/>
      <c r="D474" s="1705"/>
      <c r="E474" s="1705"/>
      <c r="F474" s="1705"/>
      <c r="G474" s="1705"/>
      <c r="H474" s="1705"/>
      <c r="I474" s="1705"/>
      <c r="J474" s="1705"/>
      <c r="K474" s="1705"/>
      <c r="L474" s="1705"/>
      <c r="M474" s="1705"/>
      <c r="N474" s="1705"/>
      <c r="O474" s="1705"/>
      <c r="P474" s="1705"/>
      <c r="Q474" s="1705"/>
      <c r="R474" s="1705"/>
      <c r="S474" s="1705"/>
      <c r="T474" s="1705"/>
    </row>
    <row r="475" spans="1:20" ht="15.75" customHeight="1">
      <c r="A475" s="1705"/>
      <c r="B475" s="1705"/>
      <c r="C475" s="1705"/>
      <c r="D475" s="1705"/>
      <c r="E475" s="1705"/>
      <c r="F475" s="1705"/>
      <c r="G475" s="1705"/>
      <c r="H475" s="1705"/>
      <c r="I475" s="1705"/>
      <c r="J475" s="1705"/>
      <c r="K475" s="1705"/>
      <c r="L475" s="1705"/>
      <c r="M475" s="1705"/>
      <c r="N475" s="1705"/>
      <c r="O475" s="1705"/>
      <c r="P475" s="1705"/>
      <c r="Q475" s="1705"/>
      <c r="R475" s="1705"/>
      <c r="S475" s="1705"/>
      <c r="T475" s="1705"/>
    </row>
    <row r="476" spans="1:20" ht="15.75" customHeight="1">
      <c r="A476" s="1705"/>
      <c r="B476" s="1705"/>
      <c r="C476" s="1705"/>
      <c r="D476" s="1705"/>
      <c r="E476" s="1705"/>
      <c r="F476" s="1705"/>
      <c r="G476" s="1705"/>
      <c r="H476" s="1705"/>
      <c r="I476" s="1705"/>
      <c r="J476" s="1705"/>
      <c r="K476" s="1705"/>
      <c r="L476" s="1705"/>
      <c r="M476" s="1705"/>
      <c r="N476" s="1705"/>
      <c r="O476" s="1705"/>
      <c r="P476" s="1705"/>
      <c r="Q476" s="1705"/>
      <c r="R476" s="1705"/>
      <c r="S476" s="1705"/>
      <c r="T476" s="1705"/>
    </row>
    <row r="477" spans="1:20" ht="15.75" customHeight="1">
      <c r="A477" s="1705"/>
      <c r="B477" s="1705"/>
      <c r="C477" s="1705"/>
      <c r="D477" s="1705"/>
      <c r="E477" s="1705"/>
      <c r="F477" s="1705"/>
      <c r="G477" s="1705"/>
      <c r="H477" s="1705"/>
      <c r="I477" s="1705"/>
      <c r="J477" s="1705"/>
      <c r="K477" s="1705"/>
      <c r="L477" s="1705"/>
      <c r="M477" s="1705"/>
      <c r="N477" s="1705"/>
      <c r="O477" s="1705"/>
      <c r="P477" s="1705"/>
      <c r="Q477" s="1705"/>
      <c r="R477" s="1705"/>
      <c r="S477" s="1705"/>
      <c r="T477" s="1705"/>
    </row>
    <row r="478" spans="1:20" ht="15.75" customHeight="1">
      <c r="A478" s="1705"/>
      <c r="B478" s="1705"/>
      <c r="C478" s="1705"/>
      <c r="D478" s="1705"/>
      <c r="E478" s="1705"/>
      <c r="F478" s="1705"/>
      <c r="G478" s="1705"/>
      <c r="H478" s="1705"/>
      <c r="I478" s="1705"/>
      <c r="J478" s="1705"/>
      <c r="K478" s="1705"/>
      <c r="L478" s="1705"/>
      <c r="M478" s="1705"/>
      <c r="N478" s="1705"/>
      <c r="O478" s="1705"/>
      <c r="P478" s="1705"/>
      <c r="Q478" s="1705"/>
      <c r="R478" s="1705"/>
      <c r="S478" s="1705"/>
      <c r="T478" s="1705"/>
    </row>
    <row r="479" spans="1:20" ht="15.75" customHeight="1">
      <c r="A479" s="1705"/>
      <c r="B479" s="1705"/>
      <c r="C479" s="1705"/>
      <c r="D479" s="1705"/>
      <c r="E479" s="1705"/>
      <c r="F479" s="1705"/>
      <c r="G479" s="1705"/>
      <c r="H479" s="1705"/>
      <c r="I479" s="1705"/>
      <c r="J479" s="1705"/>
      <c r="K479" s="1705"/>
      <c r="L479" s="1705"/>
      <c r="M479" s="1705"/>
      <c r="N479" s="1705"/>
      <c r="O479" s="1705"/>
      <c r="P479" s="1705"/>
      <c r="Q479" s="1705"/>
      <c r="R479" s="1705"/>
      <c r="S479" s="1705"/>
      <c r="T479" s="1705"/>
    </row>
    <row r="480" spans="1:20" ht="15.75" customHeight="1">
      <c r="A480" s="1705"/>
      <c r="B480" s="1705"/>
      <c r="C480" s="1705"/>
      <c r="D480" s="1705"/>
      <c r="E480" s="1705"/>
      <c r="F480" s="1705"/>
      <c r="G480" s="1705"/>
      <c r="H480" s="1705"/>
      <c r="I480" s="1705"/>
      <c r="J480" s="1705"/>
      <c r="K480" s="1705"/>
      <c r="L480" s="1705"/>
      <c r="M480" s="1705"/>
      <c r="N480" s="1705"/>
      <c r="O480" s="1705"/>
      <c r="P480" s="1705"/>
      <c r="Q480" s="1705"/>
      <c r="R480" s="1705"/>
      <c r="S480" s="1705"/>
      <c r="T480" s="1705"/>
    </row>
    <row r="481" spans="1:20" ht="15.75" customHeight="1">
      <c r="A481" s="1705"/>
      <c r="B481" s="1705"/>
      <c r="C481" s="1705"/>
      <c r="D481" s="1705"/>
      <c r="E481" s="1705"/>
      <c r="F481" s="1705"/>
      <c r="G481" s="1705"/>
      <c r="H481" s="1705"/>
      <c r="I481" s="1705"/>
      <c r="J481" s="1705"/>
      <c r="K481" s="1705"/>
      <c r="L481" s="1705"/>
      <c r="M481" s="1705"/>
      <c r="N481" s="1705"/>
      <c r="O481" s="1705"/>
      <c r="P481" s="1705"/>
      <c r="Q481" s="1705"/>
      <c r="R481" s="1705"/>
      <c r="S481" s="1705"/>
      <c r="T481" s="1705"/>
    </row>
    <row r="482" spans="1:20" ht="15.75" customHeight="1">
      <c r="A482" s="1705"/>
      <c r="B482" s="1705"/>
      <c r="C482" s="1705"/>
      <c r="D482" s="1705"/>
      <c r="E482" s="1705"/>
      <c r="F482" s="1705"/>
      <c r="G482" s="1705"/>
      <c r="H482" s="1705"/>
      <c r="I482" s="1705"/>
      <c r="J482" s="1705"/>
      <c r="K482" s="1705"/>
      <c r="L482" s="1705"/>
      <c r="M482" s="1705"/>
      <c r="N482" s="1705"/>
      <c r="O482" s="1705"/>
      <c r="P482" s="1705"/>
      <c r="Q482" s="1705"/>
      <c r="R482" s="1705"/>
      <c r="S482" s="1705"/>
      <c r="T482" s="1705"/>
    </row>
    <row r="483" spans="1:20" ht="15.75" customHeight="1">
      <c r="A483" s="1705"/>
      <c r="B483" s="1705"/>
      <c r="C483" s="1705"/>
      <c r="D483" s="1705"/>
      <c r="E483" s="1705"/>
      <c r="F483" s="1705"/>
      <c r="G483" s="1705"/>
      <c r="H483" s="1705"/>
      <c r="I483" s="1705"/>
      <c r="J483" s="1705"/>
      <c r="K483" s="1705"/>
      <c r="L483" s="1705"/>
      <c r="M483" s="1705"/>
      <c r="N483" s="1705"/>
      <c r="O483" s="1705"/>
      <c r="P483" s="1705"/>
      <c r="Q483" s="1705"/>
      <c r="R483" s="1705"/>
      <c r="S483" s="1705"/>
      <c r="T483" s="1705"/>
    </row>
    <row r="484" spans="1:20" ht="15.75" customHeight="1">
      <c r="A484" s="1705"/>
      <c r="B484" s="1705"/>
      <c r="C484" s="1705"/>
      <c r="D484" s="1705"/>
      <c r="E484" s="1705"/>
      <c r="F484" s="1705"/>
      <c r="G484" s="1705"/>
      <c r="H484" s="1705"/>
      <c r="I484" s="1705"/>
      <c r="J484" s="1705"/>
      <c r="K484" s="1705"/>
      <c r="L484" s="1705"/>
      <c r="M484" s="1705"/>
      <c r="N484" s="1705"/>
      <c r="O484" s="1705"/>
      <c r="P484" s="1705"/>
      <c r="Q484" s="1705"/>
      <c r="R484" s="1705"/>
      <c r="S484" s="1705"/>
      <c r="T484" s="1705"/>
    </row>
    <row r="485" spans="1:20" ht="15.75" customHeight="1">
      <c r="A485" s="1705"/>
      <c r="B485" s="1705"/>
      <c r="C485" s="1705"/>
      <c r="D485" s="1705"/>
      <c r="E485" s="1705"/>
      <c r="F485" s="1705"/>
      <c r="G485" s="1705"/>
      <c r="H485" s="1705"/>
      <c r="I485" s="1705"/>
      <c r="J485" s="1705"/>
      <c r="K485" s="1705"/>
      <c r="L485" s="1705"/>
      <c r="M485" s="1705"/>
      <c r="N485" s="1705"/>
      <c r="O485" s="1705"/>
      <c r="P485" s="1705"/>
      <c r="Q485" s="1705"/>
      <c r="R485" s="1705"/>
      <c r="S485" s="1705"/>
      <c r="T485" s="1705"/>
    </row>
    <row r="486" spans="1:20" ht="15.75" customHeight="1">
      <c r="A486" s="1705"/>
      <c r="B486" s="1705"/>
      <c r="C486" s="1705"/>
      <c r="D486" s="1705"/>
      <c r="E486" s="1705"/>
      <c r="F486" s="1705"/>
      <c r="G486" s="1705"/>
      <c r="H486" s="1705"/>
      <c r="I486" s="1705"/>
      <c r="J486" s="1705"/>
      <c r="K486" s="1705"/>
      <c r="L486" s="1705"/>
      <c r="M486" s="1705"/>
      <c r="N486" s="1705"/>
      <c r="O486" s="1705"/>
      <c r="P486" s="1705"/>
      <c r="Q486" s="1705"/>
      <c r="R486" s="1705"/>
      <c r="S486" s="1705"/>
      <c r="T486" s="1705"/>
    </row>
    <row r="487" spans="1:20" ht="15.75" customHeight="1">
      <c r="A487" s="1705"/>
      <c r="B487" s="1705"/>
      <c r="C487" s="1705"/>
      <c r="D487" s="1705"/>
      <c r="E487" s="1705"/>
      <c r="F487" s="1705"/>
      <c r="G487" s="1705"/>
      <c r="H487" s="1705"/>
      <c r="I487" s="1705"/>
      <c r="J487" s="1705"/>
      <c r="K487" s="1705"/>
      <c r="L487" s="1705"/>
      <c r="M487" s="1705"/>
      <c r="N487" s="1705"/>
      <c r="O487" s="1705"/>
      <c r="P487" s="1705"/>
      <c r="Q487" s="1705"/>
      <c r="R487" s="1705"/>
      <c r="S487" s="1705"/>
      <c r="T487" s="1705"/>
    </row>
    <row r="488" spans="1:20" ht="15.75" customHeight="1">
      <c r="A488" s="1705"/>
      <c r="B488" s="1705"/>
      <c r="C488" s="1705"/>
      <c r="D488" s="1705"/>
      <c r="E488" s="1705"/>
      <c r="F488" s="1705"/>
      <c r="G488" s="1705"/>
      <c r="H488" s="1705"/>
      <c r="I488" s="1705"/>
      <c r="J488" s="1705"/>
      <c r="K488" s="1705"/>
      <c r="L488" s="1705"/>
      <c r="M488" s="1705"/>
      <c r="N488" s="1705"/>
      <c r="O488" s="1705"/>
      <c r="P488" s="1705"/>
      <c r="Q488" s="1705"/>
      <c r="R488" s="1705"/>
      <c r="S488" s="1705"/>
      <c r="T488" s="1705"/>
    </row>
    <row r="489" spans="1:20" ht="15.75" customHeight="1">
      <c r="A489" s="1705"/>
      <c r="B489" s="1705"/>
      <c r="C489" s="1705"/>
      <c r="D489" s="1705"/>
      <c r="E489" s="1705"/>
      <c r="F489" s="1705"/>
      <c r="G489" s="1705"/>
      <c r="H489" s="1705"/>
      <c r="I489" s="1705"/>
      <c r="J489" s="1705"/>
      <c r="K489" s="1705"/>
      <c r="L489" s="1705"/>
      <c r="M489" s="1705"/>
      <c r="N489" s="1705"/>
      <c r="O489" s="1705"/>
      <c r="P489" s="1705"/>
      <c r="Q489" s="1705"/>
      <c r="R489" s="1705"/>
      <c r="S489" s="1705"/>
      <c r="T489" s="1705"/>
    </row>
    <row r="490" spans="1:20" ht="15.75" customHeight="1">
      <c r="A490" s="1705"/>
      <c r="B490" s="1705"/>
      <c r="C490" s="1705"/>
      <c r="D490" s="1705"/>
      <c r="E490" s="1705"/>
      <c r="F490" s="1705"/>
      <c r="G490" s="1705"/>
      <c r="H490" s="1705"/>
      <c r="I490" s="1705"/>
      <c r="J490" s="1705"/>
      <c r="K490" s="1705"/>
      <c r="L490" s="1705"/>
      <c r="M490" s="1705"/>
      <c r="N490" s="1705"/>
      <c r="O490" s="1705"/>
      <c r="P490" s="1705"/>
      <c r="Q490" s="1705"/>
      <c r="R490" s="1705"/>
      <c r="S490" s="1705"/>
      <c r="T490" s="1705"/>
    </row>
    <row r="491" spans="1:20" ht="15.75" customHeight="1">
      <c r="A491" s="1705"/>
      <c r="B491" s="1705"/>
      <c r="C491" s="1705"/>
      <c r="D491" s="1705"/>
      <c r="E491" s="1705"/>
      <c r="F491" s="1705"/>
      <c r="G491" s="1705"/>
      <c r="H491" s="1705"/>
      <c r="I491" s="1705"/>
      <c r="J491" s="1705"/>
      <c r="K491" s="1705"/>
      <c r="L491" s="1705"/>
      <c r="M491" s="1705"/>
      <c r="N491" s="1705"/>
      <c r="O491" s="1705"/>
      <c r="P491" s="1705"/>
      <c r="Q491" s="1705"/>
      <c r="R491" s="1705"/>
      <c r="S491" s="1705"/>
      <c r="T491" s="1705"/>
    </row>
    <row r="492" spans="1:20" ht="15.75" customHeight="1">
      <c r="A492" s="1705"/>
      <c r="B492" s="1705"/>
      <c r="C492" s="1705"/>
      <c r="D492" s="1705"/>
      <c r="E492" s="1705"/>
      <c r="F492" s="1705"/>
      <c r="G492" s="1705"/>
      <c r="H492" s="1705"/>
      <c r="I492" s="1705"/>
      <c r="J492" s="1705"/>
      <c r="K492" s="1705"/>
      <c r="L492" s="1705"/>
      <c r="M492" s="1705"/>
      <c r="N492" s="1705"/>
      <c r="O492" s="1705"/>
      <c r="P492" s="1705"/>
      <c r="Q492" s="1705"/>
      <c r="R492" s="1705"/>
      <c r="S492" s="1705"/>
      <c r="T492" s="1705"/>
    </row>
    <row r="493" spans="1:20" ht="15.75" customHeight="1">
      <c r="A493" s="1705"/>
      <c r="B493" s="1705"/>
      <c r="C493" s="1705"/>
      <c r="D493" s="1705"/>
      <c r="E493" s="1705"/>
      <c r="F493" s="1705"/>
      <c r="G493" s="1705"/>
      <c r="H493" s="1705"/>
      <c r="I493" s="1705"/>
      <c r="J493" s="1705"/>
      <c r="K493" s="1705"/>
      <c r="L493" s="1705"/>
      <c r="M493" s="1705"/>
      <c r="N493" s="1705"/>
      <c r="O493" s="1705"/>
      <c r="P493" s="1705"/>
      <c r="Q493" s="1705"/>
      <c r="R493" s="1705"/>
      <c r="S493" s="1705"/>
      <c r="T493" s="1705"/>
    </row>
    <row r="494" spans="1:20" ht="15.75" customHeight="1">
      <c r="A494" s="1705"/>
      <c r="B494" s="1705"/>
      <c r="C494" s="1705"/>
      <c r="D494" s="1705"/>
      <c r="E494" s="1705"/>
      <c r="F494" s="1705"/>
      <c r="G494" s="1705"/>
      <c r="H494" s="1705"/>
      <c r="I494" s="1705"/>
      <c r="J494" s="1705"/>
      <c r="K494" s="1705"/>
      <c r="L494" s="1705"/>
      <c r="M494" s="1705"/>
      <c r="N494" s="1705"/>
      <c r="O494" s="1705"/>
      <c r="P494" s="1705"/>
      <c r="Q494" s="1705"/>
      <c r="R494" s="1705"/>
      <c r="S494" s="1705"/>
      <c r="T494" s="1705"/>
    </row>
    <row r="495" spans="1:20" ht="15.75" customHeight="1">
      <c r="A495" s="1705"/>
      <c r="B495" s="1705"/>
      <c r="C495" s="1705"/>
      <c r="D495" s="1705"/>
      <c r="E495" s="1705"/>
      <c r="F495" s="1705"/>
      <c r="G495" s="1705"/>
      <c r="H495" s="1705"/>
      <c r="I495" s="1705"/>
      <c r="J495" s="1705"/>
      <c r="K495" s="1705"/>
      <c r="L495" s="1705"/>
      <c r="M495" s="1705"/>
      <c r="N495" s="1705"/>
      <c r="O495" s="1705"/>
      <c r="P495" s="1705"/>
      <c r="Q495" s="1705"/>
      <c r="R495" s="1705"/>
      <c r="S495" s="1705"/>
      <c r="T495" s="1705"/>
    </row>
    <row r="496" spans="1:20" ht="15.75" customHeight="1">
      <c r="A496" s="1705"/>
      <c r="B496" s="1705"/>
      <c r="C496" s="1705"/>
      <c r="D496" s="1705"/>
      <c r="E496" s="1705"/>
      <c r="F496" s="1705"/>
      <c r="G496" s="1705"/>
      <c r="H496" s="1705"/>
      <c r="I496" s="1705"/>
      <c r="J496" s="1705"/>
      <c r="K496" s="1705"/>
      <c r="L496" s="1705"/>
      <c r="M496" s="1705"/>
      <c r="N496" s="1705"/>
      <c r="O496" s="1705"/>
      <c r="P496" s="1705"/>
      <c r="Q496" s="1705"/>
      <c r="R496" s="1705"/>
      <c r="S496" s="1705"/>
      <c r="T496" s="1705"/>
    </row>
    <row r="497" spans="1:20" ht="15.75" customHeight="1">
      <c r="A497" s="1705"/>
      <c r="B497" s="1705"/>
      <c r="C497" s="1705"/>
      <c r="D497" s="1705"/>
      <c r="E497" s="1705"/>
      <c r="F497" s="1705"/>
      <c r="G497" s="1705"/>
      <c r="H497" s="1705"/>
      <c r="I497" s="1705"/>
      <c r="J497" s="1705"/>
      <c r="K497" s="1705"/>
      <c r="L497" s="1705"/>
      <c r="M497" s="1705"/>
      <c r="N497" s="1705"/>
      <c r="O497" s="1705"/>
      <c r="P497" s="1705"/>
      <c r="Q497" s="1705"/>
      <c r="R497" s="1705"/>
      <c r="S497" s="1705"/>
      <c r="T497" s="1705"/>
    </row>
    <row r="498" spans="1:20" ht="15.75" customHeight="1">
      <c r="A498" s="1705"/>
      <c r="B498" s="1705"/>
      <c r="C498" s="1705"/>
      <c r="D498" s="1705"/>
      <c r="E498" s="1705"/>
      <c r="F498" s="1705"/>
      <c r="G498" s="1705"/>
      <c r="H498" s="1705"/>
      <c r="I498" s="1705"/>
      <c r="J498" s="1705"/>
      <c r="K498" s="1705"/>
      <c r="L498" s="1705"/>
      <c r="M498" s="1705"/>
      <c r="N498" s="1705"/>
      <c r="O498" s="1705"/>
      <c r="P498" s="1705"/>
      <c r="Q498" s="1705"/>
      <c r="R498" s="1705"/>
      <c r="S498" s="1705"/>
      <c r="T498" s="1705"/>
    </row>
    <row r="499" spans="1:20" ht="15.75" customHeight="1">
      <c r="A499" s="1705"/>
      <c r="B499" s="1705"/>
      <c r="C499" s="1705"/>
      <c r="D499" s="1705"/>
      <c r="E499" s="1705"/>
      <c r="F499" s="1705"/>
      <c r="G499" s="1705"/>
      <c r="H499" s="1705"/>
      <c r="I499" s="1705"/>
      <c r="J499" s="1705"/>
      <c r="K499" s="1705"/>
      <c r="L499" s="1705"/>
      <c r="M499" s="1705"/>
      <c r="N499" s="1705"/>
      <c r="O499" s="1705"/>
      <c r="P499" s="1705"/>
      <c r="Q499" s="1705"/>
      <c r="R499" s="1705"/>
      <c r="S499" s="1705"/>
      <c r="T499" s="1705"/>
    </row>
    <row r="500" spans="1:20" ht="15.75" customHeight="1">
      <c r="A500" s="1705"/>
      <c r="B500" s="1705"/>
      <c r="C500" s="1705"/>
      <c r="D500" s="1705"/>
      <c r="E500" s="1705"/>
      <c r="F500" s="1705"/>
      <c r="G500" s="1705"/>
      <c r="H500" s="1705"/>
      <c r="I500" s="1705"/>
      <c r="J500" s="1705"/>
      <c r="K500" s="1705"/>
      <c r="L500" s="1705"/>
      <c r="M500" s="1705"/>
      <c r="N500" s="1705"/>
      <c r="O500" s="1705"/>
      <c r="P500" s="1705"/>
      <c r="Q500" s="1705"/>
      <c r="R500" s="1705"/>
      <c r="S500" s="1705"/>
      <c r="T500" s="1705"/>
    </row>
    <row r="501" spans="1:20" ht="15.75" customHeight="1">
      <c r="A501" s="1705"/>
      <c r="B501" s="1705"/>
      <c r="C501" s="1705"/>
      <c r="D501" s="1705"/>
      <c r="E501" s="1705"/>
      <c r="F501" s="1705"/>
      <c r="G501" s="1705"/>
      <c r="H501" s="1705"/>
      <c r="I501" s="1705"/>
      <c r="J501" s="1705"/>
      <c r="K501" s="1705"/>
      <c r="L501" s="1705"/>
      <c r="M501" s="1705"/>
      <c r="N501" s="1705"/>
      <c r="O501" s="1705"/>
      <c r="P501" s="1705"/>
      <c r="Q501" s="1705"/>
      <c r="R501" s="1705"/>
      <c r="S501" s="1705"/>
      <c r="T501" s="1705"/>
    </row>
    <row r="502" spans="1:20" ht="15.75" customHeight="1">
      <c r="A502" s="1705"/>
      <c r="B502" s="1705"/>
      <c r="C502" s="1705"/>
      <c r="D502" s="1705"/>
      <c r="E502" s="1705"/>
      <c r="F502" s="1705"/>
      <c r="G502" s="1705"/>
      <c r="H502" s="1705"/>
      <c r="I502" s="1705"/>
      <c r="J502" s="1705"/>
      <c r="K502" s="1705"/>
      <c r="L502" s="1705"/>
      <c r="M502" s="1705"/>
      <c r="N502" s="1705"/>
      <c r="O502" s="1705"/>
      <c r="P502" s="1705"/>
      <c r="Q502" s="1705"/>
      <c r="R502" s="1705"/>
      <c r="S502" s="1705"/>
      <c r="T502" s="1705"/>
    </row>
    <row r="503" spans="1:20" ht="15.75" customHeight="1">
      <c r="A503" s="1705"/>
      <c r="B503" s="1705"/>
      <c r="C503" s="1705"/>
      <c r="D503" s="1705"/>
      <c r="E503" s="1705"/>
      <c r="F503" s="1705"/>
      <c r="G503" s="1705"/>
      <c r="H503" s="1705"/>
      <c r="I503" s="1705"/>
      <c r="J503" s="1705"/>
      <c r="K503" s="1705"/>
      <c r="L503" s="1705"/>
      <c r="M503" s="1705"/>
      <c r="N503" s="1705"/>
      <c r="O503" s="1705"/>
      <c r="P503" s="1705"/>
      <c r="Q503" s="1705"/>
      <c r="R503" s="1705"/>
      <c r="S503" s="1705"/>
      <c r="T503" s="1705"/>
    </row>
    <row r="504" spans="1:20" ht="15.75" customHeight="1">
      <c r="A504" s="1705"/>
      <c r="B504" s="1705"/>
      <c r="C504" s="1705"/>
      <c r="D504" s="1705"/>
      <c r="E504" s="1705"/>
      <c r="F504" s="1705"/>
      <c r="G504" s="1705"/>
      <c r="H504" s="1705"/>
      <c r="I504" s="1705"/>
      <c r="J504" s="1705"/>
      <c r="K504" s="1705"/>
      <c r="L504" s="1705"/>
      <c r="M504" s="1705"/>
      <c r="N504" s="1705"/>
      <c r="O504" s="1705"/>
      <c r="P504" s="1705"/>
      <c r="Q504" s="1705"/>
      <c r="R504" s="1705"/>
      <c r="S504" s="1705"/>
      <c r="T504" s="1705"/>
    </row>
    <row r="505" spans="1:20" ht="15.75" customHeight="1">
      <c r="A505" s="1705"/>
      <c r="B505" s="1705"/>
      <c r="C505" s="1705"/>
      <c r="D505" s="1705"/>
      <c r="E505" s="1705"/>
      <c r="F505" s="1705"/>
      <c r="G505" s="1705"/>
      <c r="H505" s="1705"/>
      <c r="I505" s="1705"/>
      <c r="J505" s="1705"/>
      <c r="K505" s="1705"/>
      <c r="L505" s="1705"/>
      <c r="M505" s="1705"/>
      <c r="N505" s="1705"/>
      <c r="O505" s="1705"/>
      <c r="P505" s="1705"/>
      <c r="Q505" s="1705"/>
      <c r="R505" s="1705"/>
      <c r="S505" s="1705"/>
      <c r="T505" s="1705"/>
    </row>
    <row r="506" spans="1:20" ht="15.75" customHeight="1">
      <c r="A506" s="1705"/>
      <c r="B506" s="1705"/>
      <c r="C506" s="1705"/>
      <c r="D506" s="1705"/>
      <c r="E506" s="1705"/>
      <c r="F506" s="1705"/>
      <c r="G506" s="1705"/>
      <c r="H506" s="1705"/>
      <c r="I506" s="1705"/>
      <c r="J506" s="1705"/>
      <c r="K506" s="1705"/>
      <c r="L506" s="1705"/>
      <c r="M506" s="1705"/>
      <c r="N506" s="1705"/>
      <c r="O506" s="1705"/>
      <c r="P506" s="1705"/>
      <c r="Q506" s="1705"/>
      <c r="R506" s="1705"/>
      <c r="S506" s="1705"/>
      <c r="T506" s="1705"/>
    </row>
    <row r="507" spans="1:20" ht="15.75" customHeight="1">
      <c r="A507" s="1705"/>
      <c r="B507" s="1705"/>
      <c r="C507" s="1705"/>
      <c r="D507" s="1705"/>
      <c r="E507" s="1705"/>
      <c r="F507" s="1705"/>
      <c r="G507" s="1705"/>
      <c r="H507" s="1705"/>
      <c r="I507" s="1705"/>
      <c r="J507" s="1705"/>
      <c r="K507" s="1705"/>
      <c r="L507" s="1705"/>
      <c r="M507" s="1705"/>
      <c r="N507" s="1705"/>
      <c r="O507" s="1705"/>
      <c r="P507" s="1705"/>
      <c r="Q507" s="1705"/>
      <c r="R507" s="1705"/>
      <c r="S507" s="1705"/>
      <c r="T507" s="1705"/>
    </row>
    <row r="508" spans="1:20" ht="15.75" customHeight="1">
      <c r="A508" s="1705"/>
      <c r="B508" s="1705"/>
      <c r="C508" s="1705"/>
      <c r="D508" s="1705"/>
      <c r="E508" s="1705"/>
      <c r="F508" s="1705"/>
      <c r="G508" s="1705"/>
      <c r="H508" s="1705"/>
      <c r="I508" s="1705"/>
      <c r="J508" s="1705"/>
      <c r="K508" s="1705"/>
      <c r="L508" s="1705"/>
      <c r="M508" s="1705"/>
      <c r="N508" s="1705"/>
      <c r="O508" s="1705"/>
      <c r="P508" s="1705"/>
      <c r="Q508" s="1705"/>
      <c r="R508" s="1705"/>
      <c r="S508" s="1705"/>
      <c r="T508" s="1705"/>
    </row>
    <row r="509" spans="1:20" ht="15.75" customHeight="1">
      <c r="A509" s="1705"/>
      <c r="B509" s="1705"/>
      <c r="C509" s="1705"/>
      <c r="D509" s="1705"/>
      <c r="E509" s="1705"/>
      <c r="F509" s="1705"/>
      <c r="G509" s="1705"/>
      <c r="H509" s="1705"/>
      <c r="I509" s="1705"/>
      <c r="J509" s="1705"/>
      <c r="K509" s="1705"/>
      <c r="L509" s="1705"/>
      <c r="M509" s="1705"/>
      <c r="N509" s="1705"/>
      <c r="O509" s="1705"/>
      <c r="P509" s="1705"/>
      <c r="Q509" s="1705"/>
      <c r="R509" s="1705"/>
      <c r="S509" s="1705"/>
      <c r="T509" s="1705"/>
    </row>
    <row r="510" spans="1:20" ht="15.75" customHeight="1">
      <c r="A510" s="1705"/>
      <c r="B510" s="1705"/>
      <c r="C510" s="1705"/>
      <c r="D510" s="1705"/>
      <c r="E510" s="1705"/>
      <c r="F510" s="1705"/>
      <c r="G510" s="1705"/>
      <c r="H510" s="1705"/>
      <c r="I510" s="1705"/>
      <c r="J510" s="1705"/>
      <c r="K510" s="1705"/>
      <c r="L510" s="1705"/>
      <c r="M510" s="1705"/>
      <c r="N510" s="1705"/>
      <c r="O510" s="1705"/>
      <c r="P510" s="1705"/>
      <c r="Q510" s="1705"/>
      <c r="R510" s="1705"/>
      <c r="S510" s="1705"/>
      <c r="T510" s="1705"/>
    </row>
    <row r="511" spans="1:20" ht="15.75" customHeight="1">
      <c r="A511" s="1705"/>
      <c r="B511" s="1705"/>
      <c r="C511" s="1705"/>
      <c r="D511" s="1705"/>
      <c r="E511" s="1705"/>
      <c r="F511" s="1705"/>
      <c r="G511" s="1705"/>
      <c r="H511" s="1705"/>
      <c r="I511" s="1705"/>
      <c r="J511" s="1705"/>
      <c r="K511" s="1705"/>
      <c r="L511" s="1705"/>
      <c r="M511" s="1705"/>
      <c r="N511" s="1705"/>
      <c r="O511" s="1705"/>
      <c r="P511" s="1705"/>
      <c r="Q511" s="1705"/>
      <c r="R511" s="1705"/>
      <c r="S511" s="1705"/>
      <c r="T511" s="1705"/>
    </row>
    <row r="512" spans="1:20" ht="15.75" customHeight="1">
      <c r="A512" s="1705"/>
      <c r="B512" s="1705"/>
      <c r="C512" s="1705"/>
      <c r="D512" s="1705"/>
      <c r="E512" s="1705"/>
      <c r="F512" s="1705"/>
      <c r="G512" s="1705"/>
      <c r="H512" s="1705"/>
      <c r="I512" s="1705"/>
      <c r="J512" s="1705"/>
      <c r="K512" s="1705"/>
      <c r="L512" s="1705"/>
      <c r="M512" s="1705"/>
      <c r="N512" s="1705"/>
      <c r="O512" s="1705"/>
      <c r="P512" s="1705"/>
      <c r="Q512" s="1705"/>
      <c r="R512" s="1705"/>
      <c r="S512" s="1705"/>
      <c r="T512" s="1705"/>
    </row>
    <row r="513" spans="1:20" ht="15.75" customHeight="1">
      <c r="A513" s="1705"/>
      <c r="B513" s="1705"/>
      <c r="C513" s="1705"/>
      <c r="D513" s="1705"/>
      <c r="E513" s="1705"/>
      <c r="F513" s="1705"/>
      <c r="G513" s="1705"/>
      <c r="H513" s="1705"/>
      <c r="I513" s="1705"/>
      <c r="J513" s="1705"/>
      <c r="K513" s="1705"/>
      <c r="L513" s="1705"/>
      <c r="M513" s="1705"/>
      <c r="N513" s="1705"/>
      <c r="O513" s="1705"/>
      <c r="P513" s="1705"/>
      <c r="Q513" s="1705"/>
      <c r="R513" s="1705"/>
      <c r="S513" s="1705"/>
      <c r="T513" s="1705"/>
    </row>
    <row r="514" spans="1:20" ht="15.75" customHeight="1">
      <c r="A514" s="1705"/>
      <c r="B514" s="1705"/>
      <c r="C514" s="1705"/>
      <c r="D514" s="1705"/>
      <c r="E514" s="1705"/>
      <c r="F514" s="1705"/>
      <c r="G514" s="1705"/>
      <c r="H514" s="1705"/>
      <c r="I514" s="1705"/>
      <c r="J514" s="1705"/>
      <c r="K514" s="1705"/>
      <c r="L514" s="1705"/>
      <c r="M514" s="1705"/>
      <c r="N514" s="1705"/>
      <c r="O514" s="1705"/>
      <c r="P514" s="1705"/>
      <c r="Q514" s="1705"/>
      <c r="R514" s="1705"/>
      <c r="S514" s="1705"/>
      <c r="T514" s="1705"/>
    </row>
    <row r="515" spans="1:20" ht="15.75" customHeight="1">
      <c r="A515" s="1705"/>
      <c r="B515" s="1705"/>
      <c r="C515" s="1705"/>
      <c r="D515" s="1705"/>
      <c r="E515" s="1705"/>
      <c r="F515" s="1705"/>
      <c r="G515" s="1705"/>
      <c r="H515" s="1705"/>
      <c r="I515" s="1705"/>
      <c r="J515" s="1705"/>
      <c r="K515" s="1705"/>
      <c r="L515" s="1705"/>
      <c r="M515" s="1705"/>
      <c r="N515" s="1705"/>
      <c r="O515" s="1705"/>
      <c r="P515" s="1705"/>
      <c r="Q515" s="1705"/>
      <c r="R515" s="1705"/>
      <c r="S515" s="1705"/>
      <c r="T515" s="1705"/>
    </row>
    <row r="516" spans="1:20" ht="15.75" customHeight="1">
      <c r="A516" s="1705"/>
      <c r="B516" s="1705"/>
      <c r="C516" s="1705"/>
      <c r="D516" s="1705"/>
      <c r="E516" s="1705"/>
      <c r="F516" s="1705"/>
      <c r="G516" s="1705"/>
      <c r="H516" s="1705"/>
      <c r="I516" s="1705"/>
      <c r="J516" s="1705"/>
      <c r="K516" s="1705"/>
      <c r="L516" s="1705"/>
      <c r="M516" s="1705"/>
      <c r="N516" s="1705"/>
      <c r="O516" s="1705"/>
      <c r="P516" s="1705"/>
      <c r="Q516" s="1705"/>
      <c r="R516" s="1705"/>
      <c r="S516" s="1705"/>
      <c r="T516" s="1705"/>
    </row>
    <row r="517" spans="1:20" ht="15.75" customHeight="1">
      <c r="A517" s="1705"/>
      <c r="B517" s="1705"/>
      <c r="C517" s="1705"/>
      <c r="D517" s="1705"/>
      <c r="E517" s="1705"/>
      <c r="F517" s="1705"/>
      <c r="G517" s="1705"/>
      <c r="H517" s="1705"/>
      <c r="I517" s="1705"/>
      <c r="J517" s="1705"/>
      <c r="K517" s="1705"/>
      <c r="L517" s="1705"/>
      <c r="M517" s="1705"/>
      <c r="N517" s="1705"/>
      <c r="O517" s="1705"/>
      <c r="P517" s="1705"/>
      <c r="Q517" s="1705"/>
      <c r="R517" s="1705"/>
      <c r="S517" s="1705"/>
      <c r="T517" s="1705"/>
    </row>
    <row r="518" spans="1:20" ht="15.75" customHeight="1">
      <c r="A518" s="1705"/>
      <c r="B518" s="1705"/>
      <c r="C518" s="1705"/>
      <c r="D518" s="1705"/>
      <c r="E518" s="1705"/>
      <c r="F518" s="1705"/>
      <c r="G518" s="1705"/>
      <c r="H518" s="1705"/>
      <c r="I518" s="1705"/>
      <c r="J518" s="1705"/>
      <c r="K518" s="1705"/>
      <c r="L518" s="1705"/>
      <c r="M518" s="1705"/>
      <c r="N518" s="1705"/>
      <c r="O518" s="1705"/>
      <c r="P518" s="1705"/>
      <c r="Q518" s="1705"/>
      <c r="R518" s="1705"/>
      <c r="S518" s="1705"/>
      <c r="T518" s="1705"/>
    </row>
    <row r="519" spans="1:20" ht="15.75" customHeight="1">
      <c r="A519" s="1705"/>
      <c r="B519" s="1705"/>
      <c r="C519" s="1705"/>
      <c r="D519" s="1705"/>
      <c r="E519" s="1705"/>
      <c r="F519" s="1705"/>
      <c r="G519" s="1705"/>
      <c r="H519" s="1705"/>
      <c r="I519" s="1705"/>
      <c r="J519" s="1705"/>
      <c r="K519" s="1705"/>
      <c r="L519" s="1705"/>
      <c r="M519" s="1705"/>
      <c r="N519" s="1705"/>
      <c r="O519" s="1705"/>
      <c r="P519" s="1705"/>
      <c r="Q519" s="1705"/>
      <c r="R519" s="1705"/>
      <c r="S519" s="1705"/>
      <c r="T519" s="1705"/>
    </row>
    <row r="520" spans="1:20" ht="15.75" customHeight="1">
      <c r="A520" s="1705"/>
      <c r="B520" s="1705"/>
      <c r="C520" s="1705"/>
      <c r="D520" s="1705"/>
      <c r="E520" s="1705"/>
      <c r="F520" s="1705"/>
      <c r="G520" s="1705"/>
      <c r="H520" s="1705"/>
      <c r="I520" s="1705"/>
      <c r="J520" s="1705"/>
      <c r="K520" s="1705"/>
      <c r="L520" s="1705"/>
      <c r="M520" s="1705"/>
      <c r="N520" s="1705"/>
      <c r="O520" s="1705"/>
      <c r="P520" s="1705"/>
      <c r="Q520" s="1705"/>
      <c r="R520" s="1705"/>
      <c r="S520" s="1705"/>
      <c r="T520" s="1705"/>
    </row>
    <row r="521" spans="1:20" ht="15.75" customHeight="1">
      <c r="A521" s="1705"/>
      <c r="B521" s="1705"/>
      <c r="C521" s="1705"/>
      <c r="D521" s="1705"/>
      <c r="E521" s="1705"/>
      <c r="F521" s="1705"/>
      <c r="G521" s="1705"/>
      <c r="H521" s="1705"/>
      <c r="I521" s="1705"/>
      <c r="J521" s="1705"/>
      <c r="K521" s="1705"/>
      <c r="L521" s="1705"/>
      <c r="M521" s="1705"/>
      <c r="N521" s="1705"/>
      <c r="O521" s="1705"/>
      <c r="P521" s="1705"/>
      <c r="Q521" s="1705"/>
      <c r="R521" s="1705"/>
      <c r="S521" s="1705"/>
      <c r="T521" s="1705"/>
    </row>
    <row r="522" spans="1:20" ht="15.75" customHeight="1">
      <c r="A522" s="1705"/>
      <c r="B522" s="1705"/>
      <c r="C522" s="1705"/>
      <c r="D522" s="1705"/>
      <c r="E522" s="1705"/>
      <c r="F522" s="1705"/>
      <c r="G522" s="1705"/>
      <c r="H522" s="1705"/>
      <c r="I522" s="1705"/>
      <c r="J522" s="1705"/>
      <c r="K522" s="1705"/>
      <c r="L522" s="1705"/>
      <c r="M522" s="1705"/>
      <c r="N522" s="1705"/>
      <c r="O522" s="1705"/>
      <c r="P522" s="1705"/>
      <c r="Q522" s="1705"/>
      <c r="R522" s="1705"/>
      <c r="S522" s="1705"/>
      <c r="T522" s="1705"/>
    </row>
    <row r="523" spans="1:20" ht="15.75" customHeight="1">
      <c r="A523" s="1705"/>
      <c r="B523" s="1705"/>
      <c r="C523" s="1705"/>
      <c r="D523" s="1705"/>
      <c r="E523" s="1705"/>
      <c r="F523" s="1705"/>
      <c r="G523" s="1705"/>
      <c r="H523" s="1705"/>
      <c r="I523" s="1705"/>
      <c r="J523" s="1705"/>
      <c r="K523" s="1705"/>
      <c r="L523" s="1705"/>
      <c r="M523" s="1705"/>
      <c r="N523" s="1705"/>
      <c r="O523" s="1705"/>
      <c r="P523" s="1705"/>
      <c r="Q523" s="1705"/>
      <c r="R523" s="1705"/>
      <c r="S523" s="1705"/>
      <c r="T523" s="1705"/>
    </row>
    <row r="524" spans="1:20" ht="15.75" customHeight="1">
      <c r="A524" s="1705"/>
      <c r="B524" s="1705"/>
      <c r="C524" s="1705"/>
      <c r="D524" s="1705"/>
      <c r="E524" s="1705"/>
      <c r="F524" s="1705"/>
      <c r="G524" s="1705"/>
      <c r="H524" s="1705"/>
      <c r="I524" s="1705"/>
      <c r="J524" s="1705"/>
      <c r="K524" s="1705"/>
      <c r="L524" s="1705"/>
      <c r="M524" s="1705"/>
      <c r="N524" s="1705"/>
      <c r="O524" s="1705"/>
      <c r="P524" s="1705"/>
      <c r="Q524" s="1705"/>
      <c r="R524" s="1705"/>
      <c r="S524" s="1705"/>
      <c r="T524" s="1705"/>
    </row>
    <row r="525" spans="1:20" ht="15.75" customHeight="1">
      <c r="A525" s="1705"/>
      <c r="B525" s="1705"/>
      <c r="C525" s="1705"/>
      <c r="D525" s="1705"/>
      <c r="E525" s="1705"/>
      <c r="F525" s="1705"/>
      <c r="G525" s="1705"/>
      <c r="H525" s="1705"/>
      <c r="I525" s="1705"/>
      <c r="J525" s="1705"/>
      <c r="K525" s="1705"/>
      <c r="L525" s="1705"/>
      <c r="M525" s="1705"/>
      <c r="N525" s="1705"/>
      <c r="O525" s="1705"/>
      <c r="P525" s="1705"/>
      <c r="Q525" s="1705"/>
      <c r="R525" s="1705"/>
      <c r="S525" s="1705"/>
      <c r="T525" s="1705"/>
    </row>
    <row r="526" spans="1:20" ht="15.75" customHeight="1">
      <c r="A526" s="1705"/>
      <c r="B526" s="1705"/>
      <c r="C526" s="1705"/>
      <c r="D526" s="1705"/>
      <c r="E526" s="1705"/>
      <c r="F526" s="1705"/>
      <c r="G526" s="1705"/>
      <c r="H526" s="1705"/>
      <c r="I526" s="1705"/>
      <c r="J526" s="1705"/>
      <c r="K526" s="1705"/>
      <c r="L526" s="1705"/>
      <c r="M526" s="1705"/>
      <c r="N526" s="1705"/>
      <c r="O526" s="1705"/>
      <c r="P526" s="1705"/>
      <c r="Q526" s="1705"/>
      <c r="R526" s="1705"/>
      <c r="S526" s="1705"/>
      <c r="T526" s="1705"/>
    </row>
    <row r="527" spans="1:20" ht="15.75" customHeight="1">
      <c r="A527" s="1705"/>
      <c r="B527" s="1705"/>
      <c r="C527" s="1705"/>
      <c r="D527" s="1705"/>
      <c r="E527" s="1705"/>
      <c r="F527" s="1705"/>
      <c r="G527" s="1705"/>
      <c r="H527" s="1705"/>
      <c r="I527" s="1705"/>
      <c r="J527" s="1705"/>
      <c r="K527" s="1705"/>
      <c r="L527" s="1705"/>
      <c r="M527" s="1705"/>
      <c r="N527" s="1705"/>
      <c r="O527" s="1705"/>
      <c r="P527" s="1705"/>
      <c r="Q527" s="1705"/>
      <c r="R527" s="1705"/>
      <c r="S527" s="1705"/>
      <c r="T527" s="1705"/>
    </row>
    <row r="528" spans="1:20" ht="15.75" customHeight="1">
      <c r="A528" s="1705"/>
      <c r="B528" s="1705"/>
      <c r="C528" s="1705"/>
      <c r="D528" s="1705"/>
      <c r="E528" s="1705"/>
      <c r="F528" s="1705"/>
      <c r="G528" s="1705"/>
      <c r="H528" s="1705"/>
      <c r="I528" s="1705"/>
      <c r="J528" s="1705"/>
      <c r="K528" s="1705"/>
      <c r="L528" s="1705"/>
      <c r="M528" s="1705"/>
      <c r="N528" s="1705"/>
      <c r="O528" s="1705"/>
      <c r="P528" s="1705"/>
      <c r="Q528" s="1705"/>
      <c r="R528" s="1705"/>
      <c r="S528" s="1705"/>
      <c r="T528" s="1705"/>
    </row>
    <row r="529" spans="1:20" ht="15.75" customHeight="1">
      <c r="A529" s="1705"/>
      <c r="B529" s="1705"/>
      <c r="C529" s="1705"/>
      <c r="D529" s="1705"/>
      <c r="E529" s="1705"/>
      <c r="F529" s="1705"/>
      <c r="G529" s="1705"/>
      <c r="H529" s="1705"/>
      <c r="I529" s="1705"/>
      <c r="J529" s="1705"/>
      <c r="K529" s="1705"/>
      <c r="L529" s="1705"/>
      <c r="M529" s="1705"/>
      <c r="N529" s="1705"/>
      <c r="O529" s="1705"/>
      <c r="P529" s="1705"/>
      <c r="Q529" s="1705"/>
      <c r="R529" s="1705"/>
      <c r="S529" s="1705"/>
      <c r="T529" s="1705"/>
    </row>
    <row r="530" spans="1:20" ht="15.75" customHeight="1">
      <c r="A530" s="1705"/>
      <c r="B530" s="1705"/>
      <c r="C530" s="1705"/>
      <c r="D530" s="1705"/>
      <c r="E530" s="1705"/>
      <c r="F530" s="1705"/>
      <c r="G530" s="1705"/>
      <c r="H530" s="1705"/>
      <c r="I530" s="1705"/>
      <c r="J530" s="1705"/>
      <c r="K530" s="1705"/>
      <c r="L530" s="1705"/>
      <c r="M530" s="1705"/>
      <c r="N530" s="1705"/>
      <c r="O530" s="1705"/>
      <c r="P530" s="1705"/>
      <c r="Q530" s="1705"/>
      <c r="R530" s="1705"/>
      <c r="S530" s="1705"/>
      <c r="T530" s="1705"/>
    </row>
    <row r="531" spans="1:20" ht="15.75" customHeight="1">
      <c r="A531" s="1705"/>
      <c r="B531" s="1705"/>
      <c r="C531" s="1705"/>
      <c r="D531" s="1705"/>
      <c r="E531" s="1705"/>
      <c r="F531" s="1705"/>
      <c r="G531" s="1705"/>
      <c r="H531" s="1705"/>
      <c r="I531" s="1705"/>
      <c r="J531" s="1705"/>
      <c r="K531" s="1705"/>
      <c r="L531" s="1705"/>
      <c r="M531" s="1705"/>
      <c r="N531" s="1705"/>
      <c r="O531" s="1705"/>
      <c r="P531" s="1705"/>
      <c r="Q531" s="1705"/>
      <c r="R531" s="1705"/>
      <c r="S531" s="1705"/>
      <c r="T531" s="1705"/>
    </row>
    <row r="532" spans="1:20" ht="15.75" customHeight="1">
      <c r="A532" s="1705"/>
      <c r="B532" s="1705"/>
      <c r="C532" s="1705"/>
      <c r="D532" s="1705"/>
      <c r="E532" s="1705"/>
      <c r="F532" s="1705"/>
      <c r="G532" s="1705"/>
      <c r="H532" s="1705"/>
      <c r="I532" s="1705"/>
      <c r="J532" s="1705"/>
      <c r="K532" s="1705"/>
      <c r="L532" s="1705"/>
      <c r="M532" s="1705"/>
      <c r="N532" s="1705"/>
      <c r="O532" s="1705"/>
      <c r="P532" s="1705"/>
      <c r="Q532" s="1705"/>
      <c r="R532" s="1705"/>
      <c r="S532" s="1705"/>
      <c r="T532" s="1705"/>
    </row>
    <row r="533" spans="1:20" ht="15.75" customHeight="1">
      <c r="A533" s="1705"/>
      <c r="B533" s="1705"/>
      <c r="C533" s="1705"/>
      <c r="D533" s="1705"/>
      <c r="E533" s="1705"/>
      <c r="F533" s="1705"/>
      <c r="G533" s="1705"/>
      <c r="H533" s="1705"/>
      <c r="I533" s="1705"/>
      <c r="J533" s="1705"/>
      <c r="K533" s="1705"/>
      <c r="L533" s="1705"/>
      <c r="M533" s="1705"/>
      <c r="N533" s="1705"/>
      <c r="O533" s="1705"/>
      <c r="P533" s="1705"/>
      <c r="Q533" s="1705"/>
      <c r="R533" s="1705"/>
      <c r="S533" s="1705"/>
      <c r="T533" s="1705"/>
    </row>
    <row r="534" spans="1:20" ht="15.75" customHeight="1">
      <c r="A534" s="1705"/>
      <c r="B534" s="1705"/>
      <c r="C534" s="1705"/>
      <c r="D534" s="1705"/>
      <c r="E534" s="1705"/>
      <c r="F534" s="1705"/>
      <c r="G534" s="1705"/>
      <c r="H534" s="1705"/>
      <c r="I534" s="1705"/>
      <c r="J534" s="1705"/>
      <c r="K534" s="1705"/>
      <c r="L534" s="1705"/>
      <c r="M534" s="1705"/>
      <c r="N534" s="1705"/>
      <c r="O534" s="1705"/>
      <c r="P534" s="1705"/>
      <c r="Q534" s="1705"/>
      <c r="R534" s="1705"/>
      <c r="S534" s="1705"/>
      <c r="T534" s="1705"/>
    </row>
    <row r="535" spans="1:20" ht="15.75" customHeight="1">
      <c r="A535" s="1705"/>
      <c r="B535" s="1705"/>
      <c r="C535" s="1705"/>
      <c r="D535" s="1705"/>
      <c r="E535" s="1705"/>
      <c r="F535" s="1705"/>
      <c r="G535" s="1705"/>
      <c r="H535" s="1705"/>
      <c r="I535" s="1705"/>
      <c r="J535" s="1705"/>
      <c r="K535" s="1705"/>
      <c r="L535" s="1705"/>
      <c r="M535" s="1705"/>
      <c r="N535" s="1705"/>
      <c r="O535" s="1705"/>
      <c r="P535" s="1705"/>
      <c r="Q535" s="1705"/>
      <c r="R535" s="1705"/>
      <c r="S535" s="1705"/>
      <c r="T535" s="1705"/>
    </row>
    <row r="536" spans="1:20" ht="15.75" customHeight="1">
      <c r="A536" s="1705"/>
      <c r="B536" s="1705"/>
      <c r="C536" s="1705"/>
      <c r="D536" s="1705"/>
      <c r="E536" s="1705"/>
      <c r="F536" s="1705"/>
      <c r="G536" s="1705"/>
      <c r="H536" s="1705"/>
      <c r="I536" s="1705"/>
      <c r="J536" s="1705"/>
      <c r="K536" s="1705"/>
      <c r="L536" s="1705"/>
      <c r="M536" s="1705"/>
      <c r="N536" s="1705"/>
      <c r="O536" s="1705"/>
      <c r="P536" s="1705"/>
      <c r="Q536" s="1705"/>
      <c r="R536" s="1705"/>
      <c r="S536" s="1705"/>
      <c r="T536" s="1705"/>
    </row>
    <row r="537" spans="1:20" ht="15.75" customHeight="1">
      <c r="A537" s="1705"/>
      <c r="B537" s="1705"/>
      <c r="C537" s="1705"/>
      <c r="D537" s="1705"/>
      <c r="E537" s="1705"/>
      <c r="F537" s="1705"/>
      <c r="G537" s="1705"/>
      <c r="H537" s="1705"/>
      <c r="I537" s="1705"/>
      <c r="J537" s="1705"/>
      <c r="K537" s="1705"/>
      <c r="L537" s="1705"/>
      <c r="M537" s="1705"/>
      <c r="N537" s="1705"/>
      <c r="O537" s="1705"/>
      <c r="P537" s="1705"/>
      <c r="Q537" s="1705"/>
      <c r="R537" s="1705"/>
      <c r="S537" s="1705"/>
      <c r="T537" s="1705"/>
    </row>
    <row r="538" spans="1:20" ht="15.75" customHeight="1">
      <c r="A538" s="1705"/>
      <c r="B538" s="1705"/>
      <c r="C538" s="1705"/>
      <c r="D538" s="1705"/>
      <c r="E538" s="1705"/>
      <c r="F538" s="1705"/>
      <c r="G538" s="1705"/>
      <c r="H538" s="1705"/>
      <c r="I538" s="1705"/>
      <c r="J538" s="1705"/>
      <c r="K538" s="1705"/>
      <c r="L538" s="1705"/>
      <c r="M538" s="1705"/>
      <c r="N538" s="1705"/>
      <c r="O538" s="1705"/>
      <c r="P538" s="1705"/>
      <c r="Q538" s="1705"/>
      <c r="R538" s="1705"/>
      <c r="S538" s="1705"/>
      <c r="T538" s="1705"/>
    </row>
    <row r="539" spans="1:20" ht="15.75" customHeight="1">
      <c r="A539" s="1705"/>
      <c r="B539" s="1705"/>
      <c r="C539" s="1705"/>
      <c r="D539" s="1705"/>
      <c r="E539" s="1705"/>
      <c r="F539" s="1705"/>
      <c r="G539" s="1705"/>
      <c r="H539" s="1705"/>
      <c r="I539" s="1705"/>
      <c r="J539" s="1705"/>
      <c r="K539" s="1705"/>
      <c r="L539" s="1705"/>
      <c r="M539" s="1705"/>
      <c r="N539" s="1705"/>
      <c r="O539" s="1705"/>
      <c r="P539" s="1705"/>
      <c r="Q539" s="1705"/>
      <c r="R539" s="1705"/>
      <c r="S539" s="1705"/>
      <c r="T539" s="1705"/>
    </row>
    <row r="540" spans="1:20" ht="15.75" customHeight="1">
      <c r="A540" s="1705"/>
      <c r="B540" s="1705"/>
      <c r="C540" s="1705"/>
      <c r="D540" s="1705"/>
      <c r="E540" s="1705"/>
      <c r="F540" s="1705"/>
      <c r="G540" s="1705"/>
      <c r="H540" s="1705"/>
      <c r="I540" s="1705"/>
      <c r="J540" s="1705"/>
      <c r="K540" s="1705"/>
      <c r="L540" s="1705"/>
      <c r="M540" s="1705"/>
      <c r="N540" s="1705"/>
      <c r="O540" s="1705"/>
      <c r="P540" s="1705"/>
      <c r="Q540" s="1705"/>
      <c r="R540" s="1705"/>
      <c r="S540" s="1705"/>
      <c r="T540" s="1705"/>
    </row>
    <row r="541" spans="1:20" ht="15.75" customHeight="1">
      <c r="A541" s="1705"/>
      <c r="B541" s="1705"/>
      <c r="C541" s="1705"/>
      <c r="D541" s="1705"/>
      <c r="E541" s="1705"/>
      <c r="F541" s="1705"/>
      <c r="G541" s="1705"/>
      <c r="H541" s="1705"/>
      <c r="I541" s="1705"/>
      <c r="J541" s="1705"/>
      <c r="K541" s="1705"/>
      <c r="L541" s="1705"/>
      <c r="M541" s="1705"/>
      <c r="N541" s="1705"/>
      <c r="O541" s="1705"/>
      <c r="P541" s="1705"/>
      <c r="Q541" s="1705"/>
      <c r="R541" s="1705"/>
      <c r="S541" s="1705"/>
      <c r="T541" s="1705"/>
    </row>
    <row r="542" spans="1:20" ht="15.75" customHeight="1">
      <c r="A542" s="1705"/>
      <c r="B542" s="1705"/>
      <c r="C542" s="1705"/>
      <c r="D542" s="1705"/>
      <c r="E542" s="1705"/>
      <c r="F542" s="1705"/>
      <c r="G542" s="1705"/>
      <c r="H542" s="1705"/>
      <c r="I542" s="1705"/>
      <c r="J542" s="1705"/>
      <c r="K542" s="1705"/>
      <c r="L542" s="1705"/>
      <c r="M542" s="1705"/>
      <c r="N542" s="1705"/>
      <c r="O542" s="1705"/>
      <c r="P542" s="1705"/>
      <c r="Q542" s="1705"/>
      <c r="R542" s="1705"/>
      <c r="S542" s="1705"/>
      <c r="T542" s="1705"/>
    </row>
    <row r="543" spans="1:20" ht="15.75" customHeight="1">
      <c r="A543" s="1705"/>
      <c r="B543" s="1705"/>
      <c r="C543" s="1705"/>
      <c r="D543" s="1705"/>
      <c r="E543" s="1705"/>
      <c r="F543" s="1705"/>
      <c r="G543" s="1705"/>
      <c r="H543" s="1705"/>
      <c r="I543" s="1705"/>
      <c r="J543" s="1705"/>
      <c r="K543" s="1705"/>
      <c r="L543" s="1705"/>
      <c r="M543" s="1705"/>
      <c r="N543" s="1705"/>
      <c r="O543" s="1705"/>
      <c r="P543" s="1705"/>
      <c r="Q543" s="1705"/>
      <c r="R543" s="1705"/>
      <c r="S543" s="1705"/>
      <c r="T543" s="1705"/>
    </row>
    <row r="544" spans="1:20" ht="15.75" customHeight="1">
      <c r="A544" s="1705"/>
      <c r="B544" s="1705"/>
      <c r="C544" s="1705"/>
      <c r="D544" s="1705"/>
      <c r="E544" s="1705"/>
      <c r="F544" s="1705"/>
      <c r="G544" s="1705"/>
      <c r="H544" s="1705"/>
      <c r="I544" s="1705"/>
      <c r="J544" s="1705"/>
      <c r="K544" s="1705"/>
      <c r="L544" s="1705"/>
      <c r="M544" s="1705"/>
      <c r="N544" s="1705"/>
      <c r="O544" s="1705"/>
      <c r="P544" s="1705"/>
      <c r="Q544" s="1705"/>
      <c r="R544" s="1705"/>
      <c r="S544" s="1705"/>
      <c r="T544" s="1705"/>
    </row>
    <row r="545" spans="1:20" ht="15.75" customHeight="1">
      <c r="A545" s="1705"/>
      <c r="B545" s="1705"/>
      <c r="C545" s="1705"/>
      <c r="D545" s="1705"/>
      <c r="E545" s="1705"/>
      <c r="F545" s="1705"/>
      <c r="G545" s="1705"/>
      <c r="H545" s="1705"/>
      <c r="I545" s="1705"/>
      <c r="J545" s="1705"/>
      <c r="K545" s="1705"/>
      <c r="L545" s="1705"/>
      <c r="M545" s="1705"/>
      <c r="N545" s="1705"/>
      <c r="O545" s="1705"/>
      <c r="P545" s="1705"/>
      <c r="Q545" s="1705"/>
      <c r="R545" s="1705"/>
      <c r="S545" s="1705"/>
      <c r="T545" s="1705"/>
    </row>
    <row r="546" spans="1:20" ht="15.75" customHeight="1">
      <c r="A546" s="1705"/>
      <c r="B546" s="1705"/>
      <c r="C546" s="1705"/>
      <c r="D546" s="1705"/>
      <c r="E546" s="1705"/>
      <c r="F546" s="1705"/>
      <c r="G546" s="1705"/>
      <c r="H546" s="1705"/>
      <c r="I546" s="1705"/>
      <c r="J546" s="1705"/>
      <c r="K546" s="1705"/>
      <c r="L546" s="1705"/>
      <c r="M546" s="1705"/>
      <c r="N546" s="1705"/>
      <c r="O546" s="1705"/>
      <c r="P546" s="1705"/>
      <c r="Q546" s="1705"/>
      <c r="R546" s="1705"/>
      <c r="S546" s="1705"/>
      <c r="T546" s="1705"/>
    </row>
    <row r="547" spans="1:20" ht="15.75" customHeight="1">
      <c r="A547" s="1705"/>
      <c r="B547" s="1705"/>
      <c r="C547" s="1705"/>
      <c r="D547" s="1705"/>
      <c r="E547" s="1705"/>
      <c r="F547" s="1705"/>
      <c r="G547" s="1705"/>
      <c r="H547" s="1705"/>
      <c r="I547" s="1705"/>
      <c r="J547" s="1705"/>
      <c r="K547" s="1705"/>
      <c r="L547" s="1705"/>
      <c r="M547" s="1705"/>
      <c r="N547" s="1705"/>
      <c r="O547" s="1705"/>
      <c r="P547" s="1705"/>
      <c r="Q547" s="1705"/>
      <c r="R547" s="1705"/>
      <c r="S547" s="1705"/>
      <c r="T547" s="1705"/>
    </row>
    <row r="548" spans="1:20" ht="15.75" customHeight="1">
      <c r="A548" s="1705"/>
      <c r="B548" s="1705"/>
      <c r="C548" s="1705"/>
      <c r="D548" s="1705"/>
      <c r="E548" s="1705"/>
      <c r="F548" s="1705"/>
      <c r="G548" s="1705"/>
      <c r="H548" s="1705"/>
      <c r="I548" s="1705"/>
      <c r="J548" s="1705"/>
      <c r="K548" s="1705"/>
      <c r="L548" s="1705"/>
      <c r="M548" s="1705"/>
      <c r="N548" s="1705"/>
      <c r="O548" s="1705"/>
      <c r="P548" s="1705"/>
      <c r="Q548" s="1705"/>
      <c r="R548" s="1705"/>
      <c r="S548" s="1705"/>
      <c r="T548" s="1705"/>
    </row>
    <row r="549" spans="1:20" ht="15.75" customHeight="1">
      <c r="A549" s="1705"/>
      <c r="B549" s="1705"/>
      <c r="C549" s="1705"/>
      <c r="D549" s="1705"/>
      <c r="E549" s="1705"/>
      <c r="F549" s="1705"/>
      <c r="G549" s="1705"/>
      <c r="H549" s="1705"/>
      <c r="I549" s="1705"/>
      <c r="J549" s="1705"/>
      <c r="K549" s="1705"/>
      <c r="L549" s="1705"/>
      <c r="M549" s="1705"/>
      <c r="N549" s="1705"/>
      <c r="O549" s="1705"/>
      <c r="P549" s="1705"/>
      <c r="Q549" s="1705"/>
      <c r="R549" s="1705"/>
      <c r="S549" s="1705"/>
      <c r="T549" s="1705"/>
    </row>
    <row r="550" spans="1:20" ht="15.75" customHeight="1">
      <c r="A550" s="1705"/>
      <c r="B550" s="1705"/>
      <c r="C550" s="1705"/>
      <c r="D550" s="1705"/>
      <c r="E550" s="1705"/>
      <c r="F550" s="1705"/>
      <c r="G550" s="1705"/>
      <c r="H550" s="1705"/>
      <c r="I550" s="1705"/>
      <c r="J550" s="1705"/>
      <c r="K550" s="1705"/>
      <c r="L550" s="1705"/>
      <c r="M550" s="1705"/>
      <c r="N550" s="1705"/>
      <c r="O550" s="1705"/>
      <c r="P550" s="1705"/>
      <c r="Q550" s="1705"/>
      <c r="R550" s="1705"/>
      <c r="S550" s="1705"/>
      <c r="T550" s="1705"/>
    </row>
    <row r="551" spans="1:20" ht="15.75" customHeight="1">
      <c r="A551" s="1705"/>
      <c r="B551" s="1705"/>
      <c r="C551" s="1705"/>
      <c r="D551" s="1705"/>
      <c r="E551" s="1705"/>
      <c r="F551" s="1705"/>
      <c r="G551" s="1705"/>
      <c r="H551" s="1705"/>
      <c r="I551" s="1705"/>
      <c r="J551" s="1705"/>
      <c r="K551" s="1705"/>
      <c r="L551" s="1705"/>
      <c r="M551" s="1705"/>
      <c r="N551" s="1705"/>
      <c r="O551" s="1705"/>
      <c r="P551" s="1705"/>
      <c r="Q551" s="1705"/>
      <c r="R551" s="1705"/>
      <c r="S551" s="1705"/>
      <c r="T551" s="1705"/>
    </row>
    <row r="552" spans="1:20" ht="15.75" customHeight="1">
      <c r="A552" s="1705"/>
      <c r="B552" s="1705"/>
      <c r="C552" s="1705"/>
      <c r="D552" s="1705"/>
      <c r="E552" s="1705"/>
      <c r="F552" s="1705"/>
      <c r="G552" s="1705"/>
      <c r="H552" s="1705"/>
      <c r="I552" s="1705"/>
      <c r="J552" s="1705"/>
      <c r="K552" s="1705"/>
      <c r="L552" s="1705"/>
      <c r="M552" s="1705"/>
      <c r="N552" s="1705"/>
      <c r="O552" s="1705"/>
      <c r="P552" s="1705"/>
      <c r="Q552" s="1705"/>
      <c r="R552" s="1705"/>
      <c r="S552" s="1705"/>
      <c r="T552" s="1705"/>
    </row>
    <row r="553" spans="1:20" ht="15.75" customHeight="1">
      <c r="A553" s="1705"/>
      <c r="B553" s="1705"/>
      <c r="C553" s="1705"/>
      <c r="D553" s="1705"/>
      <c r="E553" s="1705"/>
      <c r="F553" s="1705"/>
      <c r="G553" s="1705"/>
      <c r="H553" s="1705"/>
      <c r="I553" s="1705"/>
      <c r="J553" s="1705"/>
      <c r="K553" s="1705"/>
      <c r="L553" s="1705"/>
      <c r="M553" s="1705"/>
      <c r="N553" s="1705"/>
      <c r="O553" s="1705"/>
      <c r="P553" s="1705"/>
      <c r="Q553" s="1705"/>
      <c r="R553" s="1705"/>
      <c r="S553" s="1705"/>
      <c r="T553" s="1705"/>
    </row>
    <row r="554" spans="1:20" ht="15.75" customHeight="1">
      <c r="A554" s="1705"/>
      <c r="B554" s="1705"/>
      <c r="C554" s="1705"/>
      <c r="D554" s="1705"/>
      <c r="E554" s="1705"/>
      <c r="F554" s="1705"/>
      <c r="G554" s="1705"/>
      <c r="H554" s="1705"/>
      <c r="I554" s="1705"/>
      <c r="J554" s="1705"/>
      <c r="K554" s="1705"/>
      <c r="L554" s="1705"/>
      <c r="M554" s="1705"/>
      <c r="N554" s="1705"/>
      <c r="O554" s="1705"/>
      <c r="P554" s="1705"/>
      <c r="Q554" s="1705"/>
      <c r="R554" s="1705"/>
      <c r="S554" s="1705"/>
      <c r="T554" s="1705"/>
    </row>
    <row r="555" spans="1:20" ht="15.75" customHeight="1">
      <c r="A555" s="1705"/>
      <c r="B555" s="1705"/>
      <c r="C555" s="1705"/>
      <c r="D555" s="1705"/>
      <c r="E555" s="1705"/>
      <c r="F555" s="1705"/>
      <c r="G555" s="1705"/>
      <c r="H555" s="1705"/>
      <c r="I555" s="1705"/>
      <c r="J555" s="1705"/>
      <c r="K555" s="1705"/>
      <c r="L555" s="1705"/>
      <c r="M555" s="1705"/>
      <c r="N555" s="1705"/>
      <c r="O555" s="1705"/>
      <c r="P555" s="1705"/>
      <c r="Q555" s="1705"/>
      <c r="R555" s="1705"/>
      <c r="S555" s="1705"/>
      <c r="T555" s="1705"/>
    </row>
    <row r="556" spans="1:20" ht="15.75" customHeight="1">
      <c r="A556" s="1705"/>
      <c r="B556" s="1705"/>
      <c r="C556" s="1705"/>
      <c r="D556" s="1705"/>
      <c r="E556" s="1705"/>
      <c r="F556" s="1705"/>
      <c r="G556" s="1705"/>
      <c r="H556" s="1705"/>
      <c r="I556" s="1705"/>
      <c r="J556" s="1705"/>
      <c r="K556" s="1705"/>
      <c r="L556" s="1705"/>
      <c r="M556" s="1705"/>
      <c r="N556" s="1705"/>
      <c r="O556" s="1705"/>
      <c r="P556" s="1705"/>
      <c r="Q556" s="1705"/>
      <c r="R556" s="1705"/>
      <c r="S556" s="1705"/>
      <c r="T556" s="1705"/>
    </row>
    <row r="557" spans="1:20" ht="15.75" customHeight="1">
      <c r="A557" s="1705"/>
      <c r="B557" s="1705"/>
      <c r="C557" s="1705"/>
      <c r="D557" s="1705"/>
      <c r="E557" s="1705"/>
      <c r="F557" s="1705"/>
      <c r="G557" s="1705"/>
      <c r="H557" s="1705"/>
      <c r="I557" s="1705"/>
      <c r="J557" s="1705"/>
      <c r="K557" s="1705"/>
      <c r="L557" s="1705"/>
      <c r="M557" s="1705"/>
      <c r="N557" s="1705"/>
      <c r="O557" s="1705"/>
      <c r="P557" s="1705"/>
      <c r="Q557" s="1705"/>
      <c r="R557" s="1705"/>
      <c r="S557" s="1705"/>
      <c r="T557" s="1705"/>
    </row>
    <row r="558" spans="1:20" ht="15.75" customHeight="1">
      <c r="A558" s="1705"/>
      <c r="B558" s="1705"/>
      <c r="C558" s="1705"/>
      <c r="D558" s="1705"/>
      <c r="E558" s="1705"/>
      <c r="F558" s="1705"/>
      <c r="G558" s="1705"/>
      <c r="H558" s="1705"/>
      <c r="I558" s="1705"/>
      <c r="J558" s="1705"/>
      <c r="K558" s="1705"/>
      <c r="L558" s="1705"/>
      <c r="M558" s="1705"/>
      <c r="N558" s="1705"/>
      <c r="O558" s="1705"/>
      <c r="P558" s="1705"/>
      <c r="Q558" s="1705"/>
      <c r="R558" s="1705"/>
      <c r="S558" s="1705"/>
      <c r="T558" s="1705"/>
    </row>
    <row r="559" spans="1:20" ht="15.75" customHeight="1">
      <c r="A559" s="1705"/>
      <c r="B559" s="1705"/>
      <c r="C559" s="1705"/>
      <c r="D559" s="1705"/>
      <c r="E559" s="1705"/>
      <c r="F559" s="1705"/>
      <c r="G559" s="1705"/>
      <c r="H559" s="1705"/>
      <c r="I559" s="1705"/>
      <c r="J559" s="1705"/>
      <c r="K559" s="1705"/>
      <c r="L559" s="1705"/>
      <c r="M559" s="1705"/>
      <c r="N559" s="1705"/>
      <c r="O559" s="1705"/>
      <c r="P559" s="1705"/>
      <c r="Q559" s="1705"/>
      <c r="R559" s="1705"/>
      <c r="S559" s="1705"/>
      <c r="T559" s="1705"/>
    </row>
    <row r="560" spans="1:20" ht="15.75" customHeight="1">
      <c r="A560" s="1705"/>
      <c r="B560" s="1705"/>
      <c r="C560" s="1705"/>
      <c r="D560" s="1705"/>
      <c r="E560" s="1705"/>
      <c r="F560" s="1705"/>
      <c r="G560" s="1705"/>
      <c r="H560" s="1705"/>
      <c r="I560" s="1705"/>
      <c r="J560" s="1705"/>
      <c r="K560" s="1705"/>
      <c r="L560" s="1705"/>
      <c r="M560" s="1705"/>
      <c r="N560" s="1705"/>
      <c r="O560" s="1705"/>
      <c r="P560" s="1705"/>
      <c r="Q560" s="1705"/>
      <c r="R560" s="1705"/>
      <c r="S560" s="1705"/>
      <c r="T560" s="1705"/>
    </row>
    <row r="561" spans="1:20" ht="15.75" customHeight="1">
      <c r="A561" s="1705"/>
      <c r="B561" s="1705"/>
      <c r="C561" s="1705"/>
      <c r="D561" s="1705"/>
      <c r="E561" s="1705"/>
      <c r="F561" s="1705"/>
      <c r="G561" s="1705"/>
      <c r="H561" s="1705"/>
      <c r="I561" s="1705"/>
      <c r="J561" s="1705"/>
      <c r="K561" s="1705"/>
      <c r="L561" s="1705"/>
      <c r="M561" s="1705"/>
      <c r="N561" s="1705"/>
      <c r="O561" s="1705"/>
      <c r="P561" s="1705"/>
      <c r="Q561" s="1705"/>
      <c r="R561" s="1705"/>
      <c r="S561" s="1705"/>
      <c r="T561" s="1705"/>
    </row>
    <row r="562" spans="1:20" ht="15.75" customHeight="1">
      <c r="A562" s="1705"/>
      <c r="B562" s="1705"/>
      <c r="C562" s="1705"/>
      <c r="D562" s="1705"/>
      <c r="E562" s="1705"/>
      <c r="F562" s="1705"/>
      <c r="G562" s="1705"/>
      <c r="H562" s="1705"/>
      <c r="I562" s="1705"/>
      <c r="J562" s="1705"/>
      <c r="K562" s="1705"/>
      <c r="L562" s="1705"/>
      <c r="M562" s="1705"/>
      <c r="N562" s="1705"/>
      <c r="O562" s="1705"/>
      <c r="P562" s="1705"/>
      <c r="Q562" s="1705"/>
      <c r="R562" s="1705"/>
      <c r="S562" s="1705"/>
      <c r="T562" s="1705"/>
    </row>
    <row r="563" spans="1:20" ht="15.75" customHeight="1">
      <c r="A563" s="1705"/>
      <c r="B563" s="1705"/>
      <c r="C563" s="1705"/>
      <c r="D563" s="1705"/>
      <c r="E563" s="1705"/>
      <c r="F563" s="1705"/>
      <c r="G563" s="1705"/>
      <c r="H563" s="1705"/>
      <c r="I563" s="1705"/>
      <c r="J563" s="1705"/>
      <c r="K563" s="1705"/>
      <c r="L563" s="1705"/>
      <c r="M563" s="1705"/>
      <c r="N563" s="1705"/>
      <c r="O563" s="1705"/>
      <c r="P563" s="1705"/>
      <c r="Q563" s="1705"/>
      <c r="R563" s="1705"/>
      <c r="S563" s="1705"/>
      <c r="T563" s="1705"/>
    </row>
    <row r="564" spans="1:20" ht="15.75" customHeight="1">
      <c r="A564" s="1705"/>
      <c r="B564" s="1705"/>
      <c r="C564" s="1705"/>
      <c r="D564" s="1705"/>
      <c r="E564" s="1705"/>
      <c r="F564" s="1705"/>
      <c r="G564" s="1705"/>
      <c r="H564" s="1705"/>
      <c r="I564" s="1705"/>
      <c r="J564" s="1705"/>
      <c r="K564" s="1705"/>
      <c r="L564" s="1705"/>
      <c r="M564" s="1705"/>
      <c r="N564" s="1705"/>
      <c r="O564" s="1705"/>
      <c r="P564" s="1705"/>
      <c r="Q564" s="1705"/>
      <c r="R564" s="1705"/>
      <c r="S564" s="1705"/>
      <c r="T564" s="1705"/>
    </row>
    <row r="565" spans="1:20" ht="15.75" customHeight="1">
      <c r="A565" s="1705"/>
      <c r="B565" s="1705"/>
      <c r="C565" s="1705"/>
      <c r="D565" s="1705"/>
      <c r="E565" s="1705"/>
      <c r="F565" s="1705"/>
      <c r="G565" s="1705"/>
      <c r="H565" s="1705"/>
      <c r="I565" s="1705"/>
      <c r="J565" s="1705"/>
      <c r="K565" s="1705"/>
      <c r="L565" s="1705"/>
      <c r="M565" s="1705"/>
      <c r="N565" s="1705"/>
      <c r="O565" s="1705"/>
      <c r="P565" s="1705"/>
      <c r="Q565" s="1705"/>
      <c r="R565" s="1705"/>
      <c r="S565" s="1705"/>
      <c r="T565" s="1705"/>
    </row>
    <row r="566" spans="1:20" ht="15.75" customHeight="1">
      <c r="A566" s="1705"/>
      <c r="B566" s="1705"/>
      <c r="C566" s="1705"/>
      <c r="D566" s="1705"/>
      <c r="E566" s="1705"/>
      <c r="F566" s="1705"/>
      <c r="G566" s="1705"/>
      <c r="H566" s="1705"/>
      <c r="I566" s="1705"/>
      <c r="J566" s="1705"/>
      <c r="K566" s="1705"/>
      <c r="L566" s="1705"/>
      <c r="M566" s="1705"/>
      <c r="N566" s="1705"/>
      <c r="O566" s="1705"/>
      <c r="P566" s="1705"/>
      <c r="Q566" s="1705"/>
      <c r="R566" s="1705"/>
      <c r="S566" s="1705"/>
      <c r="T566" s="1705"/>
    </row>
    <row r="567" spans="1:20" ht="15.75" customHeight="1">
      <c r="A567" s="1705"/>
      <c r="B567" s="1705"/>
      <c r="C567" s="1705"/>
      <c r="D567" s="1705"/>
      <c r="E567" s="1705"/>
      <c r="F567" s="1705"/>
      <c r="G567" s="1705"/>
      <c r="H567" s="1705"/>
      <c r="I567" s="1705"/>
      <c r="J567" s="1705"/>
      <c r="K567" s="1705"/>
      <c r="L567" s="1705"/>
      <c r="M567" s="1705"/>
      <c r="N567" s="1705"/>
      <c r="O567" s="1705"/>
      <c r="P567" s="1705"/>
      <c r="Q567" s="1705"/>
      <c r="R567" s="1705"/>
      <c r="S567" s="1705"/>
      <c r="T567" s="1705"/>
    </row>
    <row r="568" spans="1:20" ht="15.75" customHeight="1">
      <c r="A568" s="1705"/>
      <c r="B568" s="1705"/>
      <c r="C568" s="1705"/>
      <c r="D568" s="1705"/>
      <c r="E568" s="1705"/>
      <c r="F568" s="1705"/>
      <c r="G568" s="1705"/>
      <c r="H568" s="1705"/>
      <c r="I568" s="1705"/>
      <c r="J568" s="1705"/>
      <c r="K568" s="1705"/>
      <c r="L568" s="1705"/>
      <c r="M568" s="1705"/>
      <c r="N568" s="1705"/>
      <c r="O568" s="1705"/>
      <c r="P568" s="1705"/>
      <c r="Q568" s="1705"/>
      <c r="R568" s="1705"/>
      <c r="S568" s="1705"/>
      <c r="T568" s="1705"/>
    </row>
    <row r="569" spans="1:20" ht="15.75" customHeight="1">
      <c r="A569" s="1705"/>
      <c r="B569" s="1705"/>
      <c r="C569" s="1705"/>
      <c r="D569" s="1705"/>
      <c r="E569" s="1705"/>
      <c r="F569" s="1705"/>
      <c r="G569" s="1705"/>
      <c r="H569" s="1705"/>
      <c r="I569" s="1705"/>
      <c r="J569" s="1705"/>
      <c r="K569" s="1705"/>
      <c r="L569" s="1705"/>
      <c r="M569" s="1705"/>
      <c r="N569" s="1705"/>
      <c r="O569" s="1705"/>
      <c r="P569" s="1705"/>
      <c r="Q569" s="1705"/>
      <c r="R569" s="1705"/>
      <c r="S569" s="1705"/>
      <c r="T569" s="1705"/>
    </row>
    <row r="570" spans="1:20" ht="15.75" customHeight="1">
      <c r="A570" s="1705"/>
      <c r="B570" s="1705"/>
      <c r="C570" s="1705"/>
      <c r="D570" s="1705"/>
      <c r="E570" s="1705"/>
      <c r="F570" s="1705"/>
      <c r="G570" s="1705"/>
      <c r="H570" s="1705"/>
      <c r="I570" s="1705"/>
      <c r="J570" s="1705"/>
      <c r="K570" s="1705"/>
      <c r="L570" s="1705"/>
      <c r="M570" s="1705"/>
      <c r="N570" s="1705"/>
      <c r="O570" s="1705"/>
      <c r="P570" s="1705"/>
      <c r="Q570" s="1705"/>
      <c r="R570" s="1705"/>
      <c r="S570" s="1705"/>
      <c r="T570" s="1705"/>
    </row>
    <row r="571" spans="1:20" ht="15.75" customHeight="1">
      <c r="A571" s="1705"/>
      <c r="B571" s="1705"/>
      <c r="C571" s="1705"/>
      <c r="D571" s="1705"/>
      <c r="E571" s="1705"/>
      <c r="F571" s="1705"/>
      <c r="G571" s="1705"/>
      <c r="H571" s="1705"/>
      <c r="I571" s="1705"/>
      <c r="J571" s="1705"/>
      <c r="K571" s="1705"/>
      <c r="L571" s="1705"/>
      <c r="M571" s="1705"/>
      <c r="N571" s="1705"/>
      <c r="O571" s="1705"/>
      <c r="P571" s="1705"/>
      <c r="Q571" s="1705"/>
      <c r="R571" s="1705"/>
      <c r="S571" s="1705"/>
      <c r="T571" s="1705"/>
    </row>
    <row r="572" spans="1:20" ht="15.75" customHeight="1">
      <c r="A572" s="1705"/>
      <c r="B572" s="1705"/>
      <c r="C572" s="1705"/>
      <c r="D572" s="1705"/>
      <c r="E572" s="1705"/>
      <c r="F572" s="1705"/>
      <c r="G572" s="1705"/>
      <c r="H572" s="1705"/>
      <c r="I572" s="1705"/>
      <c r="J572" s="1705"/>
      <c r="K572" s="1705"/>
      <c r="L572" s="1705"/>
      <c r="M572" s="1705"/>
      <c r="N572" s="1705"/>
      <c r="O572" s="1705"/>
      <c r="P572" s="1705"/>
      <c r="Q572" s="1705"/>
      <c r="R572" s="1705"/>
      <c r="S572" s="1705"/>
      <c r="T572" s="1705"/>
    </row>
    <row r="573" spans="1:20" ht="15.75" customHeight="1">
      <c r="A573" s="1705"/>
      <c r="B573" s="1705"/>
      <c r="C573" s="1705"/>
      <c r="D573" s="1705"/>
      <c r="E573" s="1705"/>
      <c r="F573" s="1705"/>
      <c r="G573" s="1705"/>
      <c r="H573" s="1705"/>
      <c r="I573" s="1705"/>
      <c r="J573" s="1705"/>
      <c r="K573" s="1705"/>
      <c r="L573" s="1705"/>
      <c r="M573" s="1705"/>
      <c r="N573" s="1705"/>
      <c r="O573" s="1705"/>
      <c r="P573" s="1705"/>
      <c r="Q573" s="1705"/>
      <c r="R573" s="1705"/>
      <c r="S573" s="1705"/>
      <c r="T573" s="1705"/>
    </row>
    <row r="574" spans="1:20" ht="15.75" customHeight="1">
      <c r="A574" s="1705"/>
      <c r="B574" s="1705"/>
      <c r="C574" s="1705"/>
      <c r="D574" s="1705"/>
      <c r="E574" s="1705"/>
      <c r="F574" s="1705"/>
      <c r="G574" s="1705"/>
      <c r="H574" s="1705"/>
      <c r="I574" s="1705"/>
      <c r="J574" s="1705"/>
      <c r="K574" s="1705"/>
      <c r="L574" s="1705"/>
      <c r="M574" s="1705"/>
      <c r="N574" s="1705"/>
      <c r="O574" s="1705"/>
      <c r="P574" s="1705"/>
      <c r="Q574" s="1705"/>
      <c r="R574" s="1705"/>
      <c r="S574" s="1705"/>
      <c r="T574" s="1705"/>
    </row>
    <row r="575" spans="1:20" ht="15.75" customHeight="1">
      <c r="A575" s="1705"/>
      <c r="B575" s="1705"/>
      <c r="C575" s="1705"/>
      <c r="D575" s="1705"/>
      <c r="E575" s="1705"/>
      <c r="F575" s="1705"/>
      <c r="G575" s="1705"/>
      <c r="H575" s="1705"/>
      <c r="I575" s="1705"/>
      <c r="J575" s="1705"/>
      <c r="K575" s="1705"/>
      <c r="L575" s="1705"/>
      <c r="M575" s="1705"/>
      <c r="N575" s="1705"/>
      <c r="O575" s="1705"/>
      <c r="P575" s="1705"/>
      <c r="Q575" s="1705"/>
      <c r="R575" s="1705"/>
      <c r="S575" s="1705"/>
      <c r="T575" s="1705"/>
    </row>
    <row r="576" spans="1:20" ht="15.75" customHeight="1">
      <c r="A576" s="1705"/>
      <c r="B576" s="1705"/>
      <c r="C576" s="1705"/>
      <c r="D576" s="1705"/>
      <c r="E576" s="1705"/>
      <c r="F576" s="1705"/>
      <c r="G576" s="1705"/>
      <c r="H576" s="1705"/>
      <c r="I576" s="1705"/>
      <c r="J576" s="1705"/>
      <c r="K576" s="1705"/>
      <c r="L576" s="1705"/>
      <c r="M576" s="1705"/>
      <c r="N576" s="1705"/>
      <c r="O576" s="1705"/>
      <c r="P576" s="1705"/>
      <c r="Q576" s="1705"/>
      <c r="R576" s="1705"/>
      <c r="S576" s="1705"/>
      <c r="T576" s="1705"/>
    </row>
    <row r="577" spans="1:20" ht="15.75" customHeight="1">
      <c r="A577" s="1705"/>
      <c r="B577" s="1705"/>
      <c r="C577" s="1705"/>
      <c r="D577" s="1705"/>
      <c r="E577" s="1705"/>
      <c r="F577" s="1705"/>
      <c r="G577" s="1705"/>
      <c r="H577" s="1705"/>
      <c r="I577" s="1705"/>
      <c r="J577" s="1705"/>
      <c r="K577" s="1705"/>
      <c r="L577" s="1705"/>
      <c r="M577" s="1705"/>
      <c r="N577" s="1705"/>
      <c r="O577" s="1705"/>
      <c r="P577" s="1705"/>
      <c r="Q577" s="1705"/>
      <c r="R577" s="1705"/>
      <c r="S577" s="1705"/>
      <c r="T577" s="1705"/>
    </row>
    <row r="578" spans="1:20" ht="15.75" customHeight="1">
      <c r="A578" s="1705"/>
      <c r="B578" s="1705"/>
      <c r="C578" s="1705"/>
      <c r="D578" s="1705"/>
      <c r="E578" s="1705"/>
      <c r="F578" s="1705"/>
      <c r="G578" s="1705"/>
      <c r="H578" s="1705"/>
      <c r="I578" s="1705"/>
      <c r="J578" s="1705"/>
      <c r="K578" s="1705"/>
      <c r="L578" s="1705"/>
      <c r="M578" s="1705"/>
      <c r="N578" s="1705"/>
      <c r="O578" s="1705"/>
      <c r="P578" s="1705"/>
      <c r="Q578" s="1705"/>
      <c r="R578" s="1705"/>
      <c r="S578" s="1705"/>
      <c r="T578" s="1705"/>
    </row>
    <row r="579" spans="1:20" ht="15.75" customHeight="1">
      <c r="A579" s="1705"/>
      <c r="B579" s="1705"/>
      <c r="C579" s="1705"/>
      <c r="D579" s="1705"/>
      <c r="E579" s="1705"/>
      <c r="F579" s="1705"/>
      <c r="G579" s="1705"/>
      <c r="H579" s="1705"/>
      <c r="I579" s="1705"/>
      <c r="J579" s="1705"/>
      <c r="K579" s="1705"/>
      <c r="L579" s="1705"/>
      <c r="M579" s="1705"/>
      <c r="N579" s="1705"/>
      <c r="O579" s="1705"/>
      <c r="P579" s="1705"/>
      <c r="Q579" s="1705"/>
      <c r="R579" s="1705"/>
      <c r="S579" s="1705"/>
      <c r="T579" s="1705"/>
    </row>
    <row r="580" spans="1:20" ht="15.75" customHeight="1">
      <c r="A580" s="1705"/>
      <c r="B580" s="1705"/>
      <c r="C580" s="1705"/>
      <c r="D580" s="1705"/>
      <c r="E580" s="1705"/>
      <c r="F580" s="1705"/>
      <c r="G580" s="1705"/>
      <c r="H580" s="1705"/>
      <c r="I580" s="1705"/>
      <c r="J580" s="1705"/>
      <c r="K580" s="1705"/>
      <c r="L580" s="1705"/>
      <c r="M580" s="1705"/>
      <c r="N580" s="1705"/>
      <c r="O580" s="1705"/>
      <c r="P580" s="1705"/>
      <c r="Q580" s="1705"/>
      <c r="R580" s="1705"/>
      <c r="S580" s="1705"/>
      <c r="T580" s="1705"/>
    </row>
    <row r="581" spans="1:20" ht="15.75" customHeight="1">
      <c r="A581" s="1705"/>
      <c r="B581" s="1705"/>
      <c r="C581" s="1705"/>
      <c r="D581" s="1705"/>
      <c r="E581" s="1705"/>
      <c r="F581" s="1705"/>
      <c r="G581" s="1705"/>
      <c r="H581" s="1705"/>
      <c r="I581" s="1705"/>
      <c r="J581" s="1705"/>
      <c r="K581" s="1705"/>
      <c r="L581" s="1705"/>
      <c r="M581" s="1705"/>
      <c r="N581" s="1705"/>
      <c r="O581" s="1705"/>
      <c r="P581" s="1705"/>
      <c r="Q581" s="1705"/>
      <c r="R581" s="1705"/>
      <c r="S581" s="1705"/>
      <c r="T581" s="1705"/>
    </row>
    <row r="582" spans="1:20" ht="15.75" customHeight="1">
      <c r="A582" s="1705"/>
      <c r="B582" s="1705"/>
      <c r="C582" s="1705"/>
      <c r="D582" s="1705"/>
      <c r="E582" s="1705"/>
      <c r="F582" s="1705"/>
      <c r="G582" s="1705"/>
      <c r="H582" s="1705"/>
      <c r="I582" s="1705"/>
      <c r="J582" s="1705"/>
      <c r="K582" s="1705"/>
      <c r="L582" s="1705"/>
      <c r="M582" s="1705"/>
      <c r="N582" s="1705"/>
      <c r="O582" s="1705"/>
      <c r="P582" s="1705"/>
      <c r="Q582" s="1705"/>
      <c r="R582" s="1705"/>
      <c r="S582" s="1705"/>
      <c r="T582" s="1705"/>
    </row>
    <row r="583" spans="1:20" ht="15.75" customHeight="1">
      <c r="A583" s="1705"/>
      <c r="B583" s="1705"/>
      <c r="C583" s="1705"/>
      <c r="D583" s="1705"/>
      <c r="E583" s="1705"/>
      <c r="F583" s="1705"/>
      <c r="G583" s="1705"/>
      <c r="H583" s="1705"/>
      <c r="I583" s="1705"/>
      <c r="J583" s="1705"/>
      <c r="K583" s="1705"/>
      <c r="L583" s="1705"/>
      <c r="M583" s="1705"/>
      <c r="N583" s="1705"/>
      <c r="O583" s="1705"/>
      <c r="P583" s="1705"/>
      <c r="Q583" s="1705"/>
      <c r="R583" s="1705"/>
      <c r="S583" s="1705"/>
      <c r="T583" s="1705"/>
    </row>
    <row r="584" spans="1:20" ht="15.75" customHeight="1">
      <c r="A584" s="1705"/>
      <c r="B584" s="1705"/>
      <c r="C584" s="1705"/>
      <c r="D584" s="1705"/>
      <c r="E584" s="1705"/>
      <c r="F584" s="1705"/>
      <c r="G584" s="1705"/>
      <c r="H584" s="1705"/>
      <c r="I584" s="1705"/>
      <c r="J584" s="1705"/>
      <c r="K584" s="1705"/>
      <c r="L584" s="1705"/>
      <c r="M584" s="1705"/>
      <c r="N584" s="1705"/>
      <c r="O584" s="1705"/>
      <c r="P584" s="1705"/>
      <c r="Q584" s="1705"/>
      <c r="R584" s="1705"/>
      <c r="S584" s="1705"/>
      <c r="T584" s="1705"/>
    </row>
    <row r="585" spans="1:20" ht="15.75" customHeight="1">
      <c r="A585" s="1705"/>
      <c r="B585" s="1705"/>
      <c r="C585" s="1705"/>
      <c r="D585" s="1705"/>
      <c r="E585" s="1705"/>
      <c r="F585" s="1705"/>
      <c r="G585" s="1705"/>
      <c r="H585" s="1705"/>
      <c r="I585" s="1705"/>
      <c r="J585" s="1705"/>
      <c r="K585" s="1705"/>
      <c r="L585" s="1705"/>
      <c r="M585" s="1705"/>
      <c r="N585" s="1705"/>
      <c r="O585" s="1705"/>
      <c r="P585" s="1705"/>
      <c r="Q585" s="1705"/>
      <c r="R585" s="1705"/>
      <c r="S585" s="1705"/>
      <c r="T585" s="1705"/>
    </row>
    <row r="586" spans="1:20" ht="15.75" customHeight="1">
      <c r="A586" s="1705"/>
      <c r="B586" s="1705"/>
      <c r="C586" s="1705"/>
      <c r="D586" s="1705"/>
      <c r="E586" s="1705"/>
      <c r="F586" s="1705"/>
      <c r="G586" s="1705"/>
      <c r="H586" s="1705"/>
      <c r="I586" s="1705"/>
      <c r="J586" s="1705"/>
      <c r="K586" s="1705"/>
      <c r="L586" s="1705"/>
      <c r="M586" s="1705"/>
      <c r="N586" s="1705"/>
      <c r="O586" s="1705"/>
      <c r="P586" s="1705"/>
      <c r="Q586" s="1705"/>
      <c r="R586" s="1705"/>
      <c r="S586" s="1705"/>
      <c r="T586" s="1705"/>
    </row>
    <row r="587" spans="1:20" ht="15.75" customHeight="1">
      <c r="A587" s="1705"/>
      <c r="B587" s="1705"/>
      <c r="C587" s="1705"/>
      <c r="D587" s="1705"/>
      <c r="E587" s="1705"/>
      <c r="F587" s="1705"/>
      <c r="G587" s="1705"/>
      <c r="H587" s="1705"/>
      <c r="I587" s="1705"/>
      <c r="J587" s="1705"/>
      <c r="K587" s="1705"/>
      <c r="L587" s="1705"/>
      <c r="M587" s="1705"/>
      <c r="N587" s="1705"/>
      <c r="O587" s="1705"/>
      <c r="P587" s="1705"/>
      <c r="Q587" s="1705"/>
      <c r="R587" s="1705"/>
      <c r="S587" s="1705"/>
      <c r="T587" s="1705"/>
    </row>
    <row r="588" spans="1:20" ht="15.75" customHeight="1">
      <c r="A588" s="1705"/>
      <c r="B588" s="1705"/>
      <c r="C588" s="1705"/>
      <c r="D588" s="1705"/>
      <c r="E588" s="1705"/>
      <c r="F588" s="1705"/>
      <c r="G588" s="1705"/>
      <c r="H588" s="1705"/>
      <c r="I588" s="1705"/>
      <c r="J588" s="1705"/>
      <c r="K588" s="1705"/>
      <c r="L588" s="1705"/>
      <c r="M588" s="1705"/>
      <c r="N588" s="1705"/>
      <c r="O588" s="1705"/>
      <c r="P588" s="1705"/>
      <c r="Q588" s="1705"/>
      <c r="R588" s="1705"/>
      <c r="S588" s="1705"/>
      <c r="T588" s="1705"/>
    </row>
    <row r="589" spans="1:20" ht="15.75" customHeight="1">
      <c r="A589" s="1705"/>
      <c r="B589" s="1705"/>
      <c r="C589" s="1705"/>
      <c r="D589" s="1705"/>
      <c r="E589" s="1705"/>
      <c r="F589" s="1705"/>
      <c r="G589" s="1705"/>
      <c r="H589" s="1705"/>
      <c r="I589" s="1705"/>
      <c r="J589" s="1705"/>
      <c r="K589" s="1705"/>
      <c r="L589" s="1705"/>
      <c r="M589" s="1705"/>
      <c r="N589" s="1705"/>
      <c r="O589" s="1705"/>
      <c r="P589" s="1705"/>
      <c r="Q589" s="1705"/>
      <c r="R589" s="1705"/>
      <c r="S589" s="1705"/>
      <c r="T589" s="1705"/>
    </row>
    <row r="590" spans="1:20" ht="15.75" customHeight="1">
      <c r="A590" s="1705"/>
      <c r="B590" s="1705"/>
      <c r="C590" s="1705"/>
      <c r="D590" s="1705"/>
      <c r="E590" s="1705"/>
      <c r="F590" s="1705"/>
      <c r="G590" s="1705"/>
      <c r="H590" s="1705"/>
      <c r="I590" s="1705"/>
      <c r="J590" s="1705"/>
      <c r="K590" s="1705"/>
      <c r="L590" s="1705"/>
      <c r="M590" s="1705"/>
      <c r="N590" s="1705"/>
      <c r="O590" s="1705"/>
      <c r="P590" s="1705"/>
      <c r="Q590" s="1705"/>
      <c r="R590" s="1705"/>
      <c r="S590" s="1705"/>
      <c r="T590" s="1705"/>
    </row>
    <row r="591" spans="1:20" ht="15.75" customHeight="1">
      <c r="A591" s="1705"/>
      <c r="B591" s="1705"/>
      <c r="C591" s="1705"/>
      <c r="D591" s="1705"/>
      <c r="E591" s="1705"/>
      <c r="F591" s="1705"/>
      <c r="G591" s="1705"/>
      <c r="H591" s="1705"/>
      <c r="I591" s="1705"/>
      <c r="J591" s="1705"/>
      <c r="K591" s="1705"/>
      <c r="L591" s="1705"/>
      <c r="M591" s="1705"/>
      <c r="N591" s="1705"/>
      <c r="O591" s="1705"/>
      <c r="P591" s="1705"/>
      <c r="Q591" s="1705"/>
      <c r="R591" s="1705"/>
      <c r="S591" s="1705"/>
      <c r="T591" s="1705"/>
    </row>
    <row r="592" spans="1:20" ht="15.75" customHeight="1">
      <c r="A592" s="1705"/>
      <c r="B592" s="1705"/>
      <c r="C592" s="1705"/>
      <c r="D592" s="1705"/>
      <c r="E592" s="1705"/>
      <c r="F592" s="1705"/>
      <c r="G592" s="1705"/>
      <c r="H592" s="1705"/>
      <c r="I592" s="1705"/>
      <c r="J592" s="1705"/>
      <c r="K592" s="1705"/>
      <c r="L592" s="1705"/>
      <c r="M592" s="1705"/>
      <c r="N592" s="1705"/>
      <c r="O592" s="1705"/>
      <c r="P592" s="1705"/>
      <c r="Q592" s="1705"/>
      <c r="R592" s="1705"/>
      <c r="S592" s="1705"/>
      <c r="T592" s="1705"/>
    </row>
    <row r="593" spans="1:20" ht="15.75" customHeight="1">
      <c r="A593" s="1705"/>
      <c r="B593" s="1705"/>
      <c r="C593" s="1705"/>
      <c r="D593" s="1705"/>
      <c r="E593" s="1705"/>
      <c r="F593" s="1705"/>
      <c r="G593" s="1705"/>
      <c r="H593" s="1705"/>
      <c r="I593" s="1705"/>
      <c r="J593" s="1705"/>
      <c r="K593" s="1705"/>
      <c r="L593" s="1705"/>
      <c r="M593" s="1705"/>
      <c r="N593" s="1705"/>
      <c r="O593" s="1705"/>
      <c r="P593" s="1705"/>
      <c r="Q593" s="1705"/>
      <c r="R593" s="1705"/>
      <c r="S593" s="1705"/>
      <c r="T593" s="1705"/>
    </row>
    <row r="594" spans="1:20" ht="15.75" customHeight="1">
      <c r="A594" s="1705"/>
      <c r="B594" s="1705"/>
      <c r="C594" s="1705"/>
      <c r="D594" s="1705"/>
      <c r="E594" s="1705"/>
      <c r="F594" s="1705"/>
      <c r="G594" s="1705"/>
      <c r="H594" s="1705"/>
      <c r="I594" s="1705"/>
      <c r="J594" s="1705"/>
      <c r="K594" s="1705"/>
      <c r="L594" s="1705"/>
      <c r="M594" s="1705"/>
      <c r="N594" s="1705"/>
      <c r="O594" s="1705"/>
      <c r="P594" s="1705"/>
      <c r="Q594" s="1705"/>
      <c r="R594" s="1705"/>
      <c r="S594" s="1705"/>
      <c r="T594" s="1705"/>
    </row>
    <row r="595" spans="1:20" ht="15.75" customHeight="1">
      <c r="A595" s="1705"/>
      <c r="B595" s="1705"/>
      <c r="C595" s="1705"/>
      <c r="D595" s="1705"/>
      <c r="E595" s="1705"/>
      <c r="F595" s="1705"/>
      <c r="G595" s="1705"/>
      <c r="H595" s="1705"/>
      <c r="I595" s="1705"/>
      <c r="J595" s="1705"/>
      <c r="K595" s="1705"/>
      <c r="L595" s="1705"/>
      <c r="M595" s="1705"/>
      <c r="N595" s="1705"/>
      <c r="O595" s="1705"/>
      <c r="P595" s="1705"/>
      <c r="Q595" s="1705"/>
      <c r="R595" s="1705"/>
      <c r="S595" s="1705"/>
      <c r="T595" s="1705"/>
    </row>
    <row r="596" spans="1:20" ht="15.75" customHeight="1">
      <c r="A596" s="1705"/>
      <c r="B596" s="1705"/>
      <c r="C596" s="1705"/>
      <c r="D596" s="1705"/>
      <c r="E596" s="1705"/>
      <c r="F596" s="1705"/>
      <c r="G596" s="1705"/>
      <c r="H596" s="1705"/>
      <c r="I596" s="1705"/>
      <c r="J596" s="1705"/>
      <c r="K596" s="1705"/>
      <c r="L596" s="1705"/>
      <c r="M596" s="1705"/>
      <c r="N596" s="1705"/>
      <c r="O596" s="1705"/>
      <c r="P596" s="1705"/>
      <c r="Q596" s="1705"/>
      <c r="R596" s="1705"/>
      <c r="S596" s="1705"/>
      <c r="T596" s="1705"/>
    </row>
    <row r="597" spans="1:20" ht="15.75" customHeight="1">
      <c r="A597" s="1705"/>
      <c r="B597" s="1705"/>
      <c r="C597" s="1705"/>
      <c r="D597" s="1705"/>
      <c r="E597" s="1705"/>
      <c r="F597" s="1705"/>
      <c r="G597" s="1705"/>
      <c r="H597" s="1705"/>
      <c r="I597" s="1705"/>
      <c r="J597" s="1705"/>
      <c r="K597" s="1705"/>
      <c r="L597" s="1705"/>
      <c r="M597" s="1705"/>
      <c r="N597" s="1705"/>
      <c r="O597" s="1705"/>
      <c r="P597" s="1705"/>
      <c r="Q597" s="1705"/>
      <c r="R597" s="1705"/>
      <c r="S597" s="1705"/>
      <c r="T597" s="1705"/>
    </row>
    <row r="598" spans="1:20" ht="15.75" customHeight="1">
      <c r="A598" s="1705"/>
      <c r="B598" s="1705"/>
      <c r="C598" s="1705"/>
      <c r="D598" s="1705"/>
      <c r="E598" s="1705"/>
      <c r="F598" s="1705"/>
      <c r="G598" s="1705"/>
      <c r="H598" s="1705"/>
      <c r="I598" s="1705"/>
      <c r="J598" s="1705"/>
      <c r="K598" s="1705"/>
      <c r="L598" s="1705"/>
      <c r="M598" s="1705"/>
      <c r="N598" s="1705"/>
      <c r="O598" s="1705"/>
      <c r="P598" s="1705"/>
      <c r="Q598" s="1705"/>
      <c r="R598" s="1705"/>
      <c r="S598" s="1705"/>
      <c r="T598" s="1705"/>
    </row>
    <row r="599" spans="1:20" ht="15.75" customHeight="1">
      <c r="A599" s="1705"/>
      <c r="B599" s="1705"/>
      <c r="C599" s="1705"/>
      <c r="D599" s="1705"/>
      <c r="E599" s="1705"/>
      <c r="F599" s="1705"/>
      <c r="G599" s="1705"/>
      <c r="H599" s="1705"/>
      <c r="I599" s="1705"/>
      <c r="J599" s="1705"/>
      <c r="K599" s="1705"/>
      <c r="L599" s="1705"/>
      <c r="M599" s="1705"/>
      <c r="N599" s="1705"/>
      <c r="O599" s="1705"/>
      <c r="P599" s="1705"/>
      <c r="Q599" s="1705"/>
      <c r="R599" s="1705"/>
      <c r="S599" s="1705"/>
      <c r="T599" s="1705"/>
    </row>
    <row r="600" spans="1:20" ht="15.75" customHeight="1">
      <c r="A600" s="1705"/>
      <c r="B600" s="1705"/>
      <c r="C600" s="1705"/>
      <c r="D600" s="1705"/>
      <c r="E600" s="1705"/>
      <c r="F600" s="1705"/>
      <c r="G600" s="1705"/>
      <c r="H600" s="1705"/>
      <c r="I600" s="1705"/>
      <c r="J600" s="1705"/>
      <c r="K600" s="1705"/>
      <c r="L600" s="1705"/>
      <c r="M600" s="1705"/>
      <c r="N600" s="1705"/>
      <c r="O600" s="1705"/>
      <c r="P600" s="1705"/>
      <c r="Q600" s="1705"/>
      <c r="R600" s="1705"/>
      <c r="S600" s="1705"/>
      <c r="T600" s="1705"/>
    </row>
    <row r="601" spans="1:20" ht="15.75" customHeight="1">
      <c r="A601" s="1705"/>
      <c r="B601" s="1705"/>
      <c r="C601" s="1705"/>
      <c r="D601" s="1705"/>
      <c r="E601" s="1705"/>
      <c r="F601" s="1705"/>
      <c r="G601" s="1705"/>
      <c r="H601" s="1705"/>
      <c r="I601" s="1705"/>
      <c r="J601" s="1705"/>
      <c r="K601" s="1705"/>
      <c r="L601" s="1705"/>
      <c r="M601" s="1705"/>
      <c r="N601" s="1705"/>
      <c r="O601" s="1705"/>
      <c r="P601" s="1705"/>
      <c r="Q601" s="1705"/>
      <c r="R601" s="1705"/>
      <c r="S601" s="1705"/>
      <c r="T601" s="1705"/>
    </row>
    <row r="602" spans="1:20" ht="15.75" customHeight="1">
      <c r="A602" s="1705"/>
      <c r="B602" s="1705"/>
      <c r="C602" s="1705"/>
      <c r="D602" s="1705"/>
      <c r="E602" s="1705"/>
      <c r="F602" s="1705"/>
      <c r="G602" s="1705"/>
      <c r="H602" s="1705"/>
      <c r="I602" s="1705"/>
      <c r="J602" s="1705"/>
      <c r="K602" s="1705"/>
      <c r="L602" s="1705"/>
      <c r="M602" s="1705"/>
      <c r="N602" s="1705"/>
      <c r="O602" s="1705"/>
      <c r="P602" s="1705"/>
      <c r="Q602" s="1705"/>
      <c r="R602" s="1705"/>
      <c r="S602" s="1705"/>
      <c r="T602" s="1705"/>
    </row>
    <row r="603" spans="1:20" ht="15.75" customHeight="1">
      <c r="A603" s="1705"/>
      <c r="B603" s="1705"/>
      <c r="C603" s="1705"/>
      <c r="D603" s="1705"/>
      <c r="E603" s="1705"/>
      <c r="F603" s="1705"/>
      <c r="G603" s="1705"/>
      <c r="H603" s="1705"/>
      <c r="I603" s="1705"/>
      <c r="J603" s="1705"/>
      <c r="K603" s="1705"/>
      <c r="L603" s="1705"/>
      <c r="M603" s="1705"/>
      <c r="N603" s="1705"/>
      <c r="O603" s="1705"/>
      <c r="P603" s="1705"/>
      <c r="Q603" s="1705"/>
      <c r="R603" s="1705"/>
      <c r="S603" s="1705"/>
      <c r="T603" s="1705"/>
    </row>
    <row r="604" spans="1:20" ht="15.75" customHeight="1">
      <c r="A604" s="1705"/>
      <c r="B604" s="1705"/>
      <c r="C604" s="1705"/>
      <c r="D604" s="1705"/>
      <c r="E604" s="1705"/>
      <c r="F604" s="1705"/>
      <c r="G604" s="1705"/>
      <c r="H604" s="1705"/>
      <c r="I604" s="1705"/>
      <c r="J604" s="1705"/>
      <c r="K604" s="1705"/>
      <c r="L604" s="1705"/>
      <c r="M604" s="1705"/>
      <c r="N604" s="1705"/>
      <c r="O604" s="1705"/>
      <c r="P604" s="1705"/>
      <c r="Q604" s="1705"/>
      <c r="R604" s="1705"/>
      <c r="S604" s="1705"/>
      <c r="T604" s="1705"/>
    </row>
    <row r="605" spans="1:20" ht="15.75" customHeight="1">
      <c r="A605" s="1705"/>
      <c r="B605" s="1705"/>
      <c r="C605" s="1705"/>
      <c r="D605" s="1705"/>
      <c r="E605" s="1705"/>
      <c r="F605" s="1705"/>
      <c r="G605" s="1705"/>
      <c r="H605" s="1705"/>
      <c r="I605" s="1705"/>
      <c r="J605" s="1705"/>
      <c r="K605" s="1705"/>
      <c r="L605" s="1705"/>
      <c r="M605" s="1705"/>
      <c r="N605" s="1705"/>
      <c r="O605" s="1705"/>
      <c r="P605" s="1705"/>
      <c r="Q605" s="1705"/>
      <c r="R605" s="1705"/>
      <c r="S605" s="1705"/>
      <c r="T605" s="1705"/>
    </row>
    <row r="606" spans="1:20" ht="15.75" customHeight="1">
      <c r="A606" s="1705"/>
      <c r="B606" s="1705"/>
      <c r="C606" s="1705"/>
      <c r="D606" s="1705"/>
      <c r="E606" s="1705"/>
      <c r="F606" s="1705"/>
      <c r="G606" s="1705"/>
      <c r="H606" s="1705"/>
      <c r="I606" s="1705"/>
      <c r="J606" s="1705"/>
      <c r="K606" s="1705"/>
      <c r="L606" s="1705"/>
      <c r="M606" s="1705"/>
      <c r="N606" s="1705"/>
      <c r="O606" s="1705"/>
      <c r="P606" s="1705"/>
      <c r="Q606" s="1705"/>
      <c r="R606" s="1705"/>
      <c r="S606" s="1705"/>
      <c r="T606" s="1705"/>
    </row>
    <row r="607" spans="1:20" ht="15.75" customHeight="1">
      <c r="A607" s="1705"/>
      <c r="B607" s="1705"/>
      <c r="C607" s="1705"/>
      <c r="D607" s="1705"/>
      <c r="E607" s="1705"/>
      <c r="F607" s="1705"/>
      <c r="G607" s="1705"/>
      <c r="H607" s="1705"/>
      <c r="I607" s="1705"/>
      <c r="J607" s="1705"/>
      <c r="K607" s="1705"/>
      <c r="L607" s="1705"/>
      <c r="M607" s="1705"/>
      <c r="N607" s="1705"/>
      <c r="O607" s="1705"/>
      <c r="P607" s="1705"/>
      <c r="Q607" s="1705"/>
      <c r="R607" s="1705"/>
      <c r="S607" s="1705"/>
      <c r="T607" s="1705"/>
    </row>
    <row r="608" spans="1:20" ht="15.75" customHeight="1">
      <c r="A608" s="1705"/>
      <c r="B608" s="1705"/>
      <c r="C608" s="1705"/>
      <c r="D608" s="1705"/>
      <c r="E608" s="1705"/>
      <c r="F608" s="1705"/>
      <c r="G608" s="1705"/>
      <c r="H608" s="1705"/>
      <c r="I608" s="1705"/>
      <c r="J608" s="1705"/>
      <c r="K608" s="1705"/>
      <c r="L608" s="1705"/>
      <c r="M608" s="1705"/>
      <c r="N608" s="1705"/>
      <c r="O608" s="1705"/>
      <c r="P608" s="1705"/>
      <c r="Q608" s="1705"/>
      <c r="R608" s="1705"/>
      <c r="S608" s="1705"/>
      <c r="T608" s="1705"/>
    </row>
    <row r="609" spans="1:20" ht="15.75" customHeight="1">
      <c r="A609" s="1705"/>
      <c r="B609" s="1705"/>
      <c r="C609" s="1705"/>
      <c r="D609" s="1705"/>
      <c r="E609" s="1705"/>
      <c r="F609" s="1705"/>
      <c r="G609" s="1705"/>
      <c r="H609" s="1705"/>
      <c r="I609" s="1705"/>
      <c r="J609" s="1705"/>
      <c r="K609" s="1705"/>
      <c r="L609" s="1705"/>
      <c r="M609" s="1705"/>
      <c r="N609" s="1705"/>
      <c r="O609" s="1705"/>
      <c r="P609" s="1705"/>
      <c r="Q609" s="1705"/>
      <c r="R609" s="1705"/>
      <c r="S609" s="1705"/>
      <c r="T609" s="1705"/>
    </row>
    <row r="610" spans="1:20" ht="15.75" customHeight="1">
      <c r="A610" s="1705"/>
      <c r="B610" s="1705"/>
      <c r="C610" s="1705"/>
      <c r="D610" s="1705"/>
      <c r="E610" s="1705"/>
      <c r="F610" s="1705"/>
      <c r="G610" s="1705"/>
      <c r="H610" s="1705"/>
      <c r="I610" s="1705"/>
      <c r="J610" s="1705"/>
      <c r="K610" s="1705"/>
      <c r="L610" s="1705"/>
      <c r="M610" s="1705"/>
      <c r="N610" s="1705"/>
      <c r="O610" s="1705"/>
      <c r="P610" s="1705"/>
      <c r="Q610" s="1705"/>
      <c r="R610" s="1705"/>
      <c r="S610" s="1705"/>
      <c r="T610" s="1705"/>
    </row>
    <row r="611" spans="1:20" ht="15.75" customHeight="1">
      <c r="A611" s="1705"/>
      <c r="B611" s="1705"/>
      <c r="C611" s="1705"/>
      <c r="D611" s="1705"/>
      <c r="E611" s="1705"/>
      <c r="F611" s="1705"/>
      <c r="G611" s="1705"/>
      <c r="H611" s="1705"/>
      <c r="I611" s="1705"/>
      <c r="J611" s="1705"/>
      <c r="K611" s="1705"/>
      <c r="L611" s="1705"/>
      <c r="M611" s="1705"/>
      <c r="N611" s="1705"/>
      <c r="O611" s="1705"/>
      <c r="P611" s="1705"/>
      <c r="Q611" s="1705"/>
      <c r="R611" s="1705"/>
      <c r="S611" s="1705"/>
      <c r="T611" s="1705"/>
    </row>
    <row r="612" spans="1:20" ht="15.75" customHeight="1">
      <c r="A612" s="1705"/>
      <c r="B612" s="1705"/>
      <c r="C612" s="1705"/>
      <c r="D612" s="1705"/>
      <c r="E612" s="1705"/>
      <c r="F612" s="1705"/>
      <c r="G612" s="1705"/>
      <c r="H612" s="1705"/>
      <c r="I612" s="1705"/>
      <c r="J612" s="1705"/>
      <c r="K612" s="1705"/>
      <c r="L612" s="1705"/>
      <c r="M612" s="1705"/>
      <c r="N612" s="1705"/>
      <c r="O612" s="1705"/>
      <c r="P612" s="1705"/>
      <c r="Q612" s="1705"/>
      <c r="R612" s="1705"/>
      <c r="S612" s="1705"/>
      <c r="T612" s="1705"/>
    </row>
    <row r="613" spans="1:20" ht="15.75" customHeight="1">
      <c r="A613" s="1705"/>
      <c r="B613" s="1705"/>
      <c r="C613" s="1705"/>
      <c r="D613" s="1705"/>
      <c r="E613" s="1705"/>
      <c r="F613" s="1705"/>
      <c r="G613" s="1705"/>
      <c r="H613" s="1705"/>
      <c r="I613" s="1705"/>
      <c r="J613" s="1705"/>
      <c r="K613" s="1705"/>
      <c r="L613" s="1705"/>
      <c r="M613" s="1705"/>
      <c r="N613" s="1705"/>
      <c r="O613" s="1705"/>
      <c r="P613" s="1705"/>
      <c r="Q613" s="1705"/>
      <c r="R613" s="1705"/>
      <c r="S613" s="1705"/>
      <c r="T613" s="1705"/>
    </row>
    <row r="614" spans="1:20" ht="15.75" customHeight="1">
      <c r="A614" s="1705"/>
      <c r="B614" s="1705"/>
      <c r="C614" s="1705"/>
      <c r="D614" s="1705"/>
      <c r="E614" s="1705"/>
      <c r="F614" s="1705"/>
      <c r="G614" s="1705"/>
      <c r="H614" s="1705"/>
      <c r="I614" s="1705"/>
      <c r="J614" s="1705"/>
      <c r="K614" s="1705"/>
      <c r="L614" s="1705"/>
      <c r="M614" s="1705"/>
      <c r="N614" s="1705"/>
      <c r="O614" s="1705"/>
      <c r="P614" s="1705"/>
      <c r="Q614" s="1705"/>
      <c r="R614" s="1705"/>
      <c r="S614" s="1705"/>
      <c r="T614" s="1705"/>
    </row>
    <row r="615" spans="1:20" ht="15.75" customHeight="1">
      <c r="A615" s="1705"/>
      <c r="B615" s="1705"/>
      <c r="C615" s="1705"/>
      <c r="D615" s="1705"/>
      <c r="E615" s="1705"/>
      <c r="F615" s="1705"/>
      <c r="G615" s="1705"/>
      <c r="H615" s="1705"/>
      <c r="I615" s="1705"/>
      <c r="J615" s="1705"/>
      <c r="K615" s="1705"/>
      <c r="L615" s="1705"/>
      <c r="M615" s="1705"/>
      <c r="N615" s="1705"/>
      <c r="O615" s="1705"/>
      <c r="P615" s="1705"/>
      <c r="Q615" s="1705"/>
      <c r="R615" s="1705"/>
      <c r="S615" s="1705"/>
      <c r="T615" s="1705"/>
    </row>
    <row r="616" spans="1:20" ht="15.75" customHeight="1">
      <c r="A616" s="1705"/>
      <c r="B616" s="1705"/>
      <c r="C616" s="1705"/>
      <c r="D616" s="1705"/>
      <c r="E616" s="1705"/>
      <c r="F616" s="1705"/>
      <c r="G616" s="1705"/>
      <c r="H616" s="1705"/>
      <c r="I616" s="1705"/>
      <c r="J616" s="1705"/>
      <c r="K616" s="1705"/>
      <c r="L616" s="1705"/>
      <c r="M616" s="1705"/>
      <c r="N616" s="1705"/>
      <c r="O616" s="1705"/>
      <c r="P616" s="1705"/>
      <c r="Q616" s="1705"/>
      <c r="R616" s="1705"/>
      <c r="S616" s="1705"/>
      <c r="T616" s="1705"/>
    </row>
    <row r="617" spans="1:20" ht="15.75" customHeight="1">
      <c r="A617" s="1705"/>
      <c r="B617" s="1705"/>
      <c r="C617" s="1705"/>
      <c r="D617" s="1705"/>
      <c r="E617" s="1705"/>
      <c r="F617" s="1705"/>
      <c r="G617" s="1705"/>
      <c r="H617" s="1705"/>
      <c r="I617" s="1705"/>
      <c r="J617" s="1705"/>
      <c r="K617" s="1705"/>
      <c r="L617" s="1705"/>
      <c r="M617" s="1705"/>
      <c r="N617" s="1705"/>
      <c r="O617" s="1705"/>
      <c r="P617" s="1705"/>
      <c r="Q617" s="1705"/>
      <c r="R617" s="1705"/>
      <c r="S617" s="1705"/>
      <c r="T617" s="1705"/>
    </row>
    <row r="618" spans="1:20" ht="15.75" customHeight="1">
      <c r="A618" s="1705"/>
      <c r="B618" s="1705"/>
      <c r="C618" s="1705"/>
      <c r="D618" s="1705"/>
      <c r="E618" s="1705"/>
      <c r="F618" s="1705"/>
      <c r="G618" s="1705"/>
      <c r="H618" s="1705"/>
      <c r="I618" s="1705"/>
      <c r="J618" s="1705"/>
      <c r="K618" s="1705"/>
      <c r="L618" s="1705"/>
      <c r="M618" s="1705"/>
      <c r="N618" s="1705"/>
      <c r="O618" s="1705"/>
      <c r="P618" s="1705"/>
      <c r="Q618" s="1705"/>
      <c r="R618" s="1705"/>
      <c r="S618" s="1705"/>
      <c r="T618" s="1705"/>
    </row>
    <row r="619" spans="1:20" ht="15.75" customHeight="1">
      <c r="A619" s="1705"/>
      <c r="B619" s="1705"/>
      <c r="C619" s="1705"/>
      <c r="D619" s="1705"/>
      <c r="E619" s="1705"/>
      <c r="F619" s="1705"/>
      <c r="G619" s="1705"/>
      <c r="H619" s="1705"/>
      <c r="I619" s="1705"/>
      <c r="J619" s="1705"/>
      <c r="K619" s="1705"/>
      <c r="L619" s="1705"/>
      <c r="M619" s="1705"/>
      <c r="N619" s="1705"/>
      <c r="O619" s="1705"/>
      <c r="P619" s="1705"/>
      <c r="Q619" s="1705"/>
      <c r="R619" s="1705"/>
      <c r="S619" s="1705"/>
      <c r="T619" s="1705"/>
    </row>
    <row r="620" spans="1:20" ht="15.75" customHeight="1">
      <c r="A620" s="1705"/>
      <c r="B620" s="1705"/>
      <c r="C620" s="1705"/>
      <c r="D620" s="1705"/>
      <c r="E620" s="1705"/>
      <c r="F620" s="1705"/>
      <c r="G620" s="1705"/>
      <c r="H620" s="1705"/>
      <c r="I620" s="1705"/>
      <c r="J620" s="1705"/>
      <c r="K620" s="1705"/>
      <c r="L620" s="1705"/>
      <c r="M620" s="1705"/>
      <c r="N620" s="1705"/>
      <c r="O620" s="1705"/>
      <c r="P620" s="1705"/>
      <c r="Q620" s="1705"/>
      <c r="R620" s="1705"/>
      <c r="S620" s="1705"/>
      <c r="T620" s="1705"/>
    </row>
    <row r="621" spans="1:20" ht="15.75" customHeight="1">
      <c r="A621" s="1705"/>
      <c r="B621" s="1705"/>
      <c r="C621" s="1705"/>
      <c r="D621" s="1705"/>
      <c r="E621" s="1705"/>
      <c r="F621" s="1705"/>
      <c r="G621" s="1705"/>
      <c r="H621" s="1705"/>
      <c r="I621" s="1705"/>
      <c r="J621" s="1705"/>
      <c r="K621" s="1705"/>
      <c r="L621" s="1705"/>
      <c r="M621" s="1705"/>
      <c r="N621" s="1705"/>
      <c r="O621" s="1705"/>
      <c r="P621" s="1705"/>
      <c r="Q621" s="1705"/>
      <c r="R621" s="1705"/>
      <c r="S621" s="1705"/>
      <c r="T621" s="1705"/>
    </row>
    <row r="622" spans="1:20" ht="15.75" customHeight="1">
      <c r="A622" s="1705"/>
      <c r="B622" s="1705"/>
      <c r="C622" s="1705"/>
      <c r="D622" s="1705"/>
      <c r="E622" s="1705"/>
      <c r="F622" s="1705"/>
      <c r="G622" s="1705"/>
      <c r="H622" s="1705"/>
      <c r="I622" s="1705"/>
      <c r="J622" s="1705"/>
      <c r="K622" s="1705"/>
      <c r="L622" s="1705"/>
      <c r="M622" s="1705"/>
      <c r="N622" s="1705"/>
      <c r="O622" s="1705"/>
      <c r="P622" s="1705"/>
      <c r="Q622" s="1705"/>
      <c r="R622" s="1705"/>
      <c r="S622" s="1705"/>
      <c r="T622" s="1705"/>
    </row>
    <row r="623" spans="1:20" ht="15.75" customHeight="1">
      <c r="A623" s="1705"/>
      <c r="B623" s="1705"/>
      <c r="C623" s="1705"/>
      <c r="D623" s="1705"/>
      <c r="E623" s="1705"/>
      <c r="F623" s="1705"/>
      <c r="G623" s="1705"/>
      <c r="H623" s="1705"/>
      <c r="I623" s="1705"/>
      <c r="J623" s="1705"/>
      <c r="K623" s="1705"/>
      <c r="L623" s="1705"/>
      <c r="M623" s="1705"/>
      <c r="N623" s="1705"/>
      <c r="O623" s="1705"/>
      <c r="P623" s="1705"/>
      <c r="Q623" s="1705"/>
      <c r="R623" s="1705"/>
      <c r="S623" s="1705"/>
      <c r="T623" s="1705"/>
    </row>
    <row r="624" spans="1:20" ht="15.75" customHeight="1">
      <c r="A624" s="1705"/>
      <c r="B624" s="1705"/>
      <c r="C624" s="1705"/>
      <c r="D624" s="1705"/>
      <c r="E624" s="1705"/>
      <c r="F624" s="1705"/>
      <c r="G624" s="1705"/>
      <c r="H624" s="1705"/>
      <c r="I624" s="1705"/>
      <c r="J624" s="1705"/>
      <c r="K624" s="1705"/>
      <c r="L624" s="1705"/>
      <c r="M624" s="1705"/>
      <c r="N624" s="1705"/>
      <c r="O624" s="1705"/>
      <c r="P624" s="1705"/>
      <c r="Q624" s="1705"/>
      <c r="R624" s="1705"/>
      <c r="S624" s="1705"/>
      <c r="T624" s="1705"/>
    </row>
    <row r="625" spans="1:20" ht="15.75" customHeight="1">
      <c r="A625" s="1705"/>
      <c r="B625" s="1705"/>
      <c r="C625" s="1705"/>
      <c r="D625" s="1705"/>
      <c r="E625" s="1705"/>
      <c r="F625" s="1705"/>
      <c r="G625" s="1705"/>
      <c r="H625" s="1705"/>
      <c r="I625" s="1705"/>
      <c r="J625" s="1705"/>
      <c r="K625" s="1705"/>
      <c r="L625" s="1705"/>
      <c r="M625" s="1705"/>
      <c r="N625" s="1705"/>
      <c r="O625" s="1705"/>
      <c r="P625" s="1705"/>
      <c r="Q625" s="1705"/>
      <c r="R625" s="1705"/>
      <c r="S625" s="1705"/>
      <c r="T625" s="1705"/>
    </row>
    <row r="626" spans="1:20" ht="15.75" customHeight="1">
      <c r="A626" s="1705"/>
      <c r="B626" s="1705"/>
      <c r="C626" s="1705"/>
      <c r="D626" s="1705"/>
      <c r="E626" s="1705"/>
      <c r="F626" s="1705"/>
      <c r="G626" s="1705"/>
      <c r="H626" s="1705"/>
      <c r="I626" s="1705"/>
      <c r="J626" s="1705"/>
      <c r="K626" s="1705"/>
      <c r="L626" s="1705"/>
      <c r="M626" s="1705"/>
      <c r="N626" s="1705"/>
      <c r="O626" s="1705"/>
      <c r="P626" s="1705"/>
      <c r="Q626" s="1705"/>
      <c r="R626" s="1705"/>
      <c r="S626" s="1705"/>
      <c r="T626" s="1705"/>
    </row>
    <row r="627" spans="1:20" ht="15.75" customHeight="1">
      <c r="A627" s="1705"/>
      <c r="B627" s="1705"/>
      <c r="C627" s="1705"/>
      <c r="D627" s="1705"/>
      <c r="E627" s="1705"/>
      <c r="F627" s="1705"/>
      <c r="G627" s="1705"/>
      <c r="H627" s="1705"/>
      <c r="I627" s="1705"/>
      <c r="J627" s="1705"/>
      <c r="K627" s="1705"/>
      <c r="L627" s="1705"/>
      <c r="M627" s="1705"/>
      <c r="N627" s="1705"/>
      <c r="O627" s="1705"/>
      <c r="P627" s="1705"/>
      <c r="Q627" s="1705"/>
      <c r="R627" s="1705"/>
      <c r="S627" s="1705"/>
      <c r="T627" s="1705"/>
    </row>
    <row r="628" spans="1:20" ht="15.75" customHeight="1">
      <c r="A628" s="1705"/>
      <c r="B628" s="1705"/>
      <c r="C628" s="1705"/>
      <c r="D628" s="1705"/>
      <c r="E628" s="1705"/>
      <c r="F628" s="1705"/>
      <c r="G628" s="1705"/>
      <c r="H628" s="1705"/>
      <c r="I628" s="1705"/>
      <c r="J628" s="1705"/>
      <c r="K628" s="1705"/>
      <c r="L628" s="1705"/>
      <c r="M628" s="1705"/>
      <c r="N628" s="1705"/>
      <c r="O628" s="1705"/>
      <c r="P628" s="1705"/>
      <c r="Q628" s="1705"/>
      <c r="R628" s="1705"/>
      <c r="S628" s="1705"/>
      <c r="T628" s="1705"/>
    </row>
    <row r="629" spans="1:20" ht="15.75" customHeight="1">
      <c r="A629" s="1705"/>
      <c r="B629" s="1705"/>
      <c r="C629" s="1705"/>
      <c r="D629" s="1705"/>
      <c r="E629" s="1705"/>
      <c r="F629" s="1705"/>
      <c r="G629" s="1705"/>
      <c r="H629" s="1705"/>
      <c r="I629" s="1705"/>
      <c r="J629" s="1705"/>
      <c r="K629" s="1705"/>
      <c r="L629" s="1705"/>
      <c r="M629" s="1705"/>
      <c r="N629" s="1705"/>
      <c r="O629" s="1705"/>
      <c r="P629" s="1705"/>
      <c r="Q629" s="1705"/>
      <c r="R629" s="1705"/>
      <c r="S629" s="1705"/>
      <c r="T629" s="1705"/>
    </row>
    <row r="630" spans="1:20" ht="15.75" customHeight="1">
      <c r="A630" s="1705"/>
      <c r="B630" s="1705"/>
      <c r="C630" s="1705"/>
      <c r="D630" s="1705"/>
      <c r="E630" s="1705"/>
      <c r="F630" s="1705"/>
      <c r="G630" s="1705"/>
      <c r="H630" s="1705"/>
      <c r="I630" s="1705"/>
      <c r="J630" s="1705"/>
      <c r="K630" s="1705"/>
      <c r="L630" s="1705"/>
      <c r="M630" s="1705"/>
      <c r="N630" s="1705"/>
      <c r="O630" s="1705"/>
      <c r="P630" s="1705"/>
      <c r="Q630" s="1705"/>
      <c r="R630" s="1705"/>
      <c r="S630" s="1705"/>
      <c r="T630" s="1705"/>
    </row>
    <row r="631" spans="1:20" ht="15.75" customHeight="1">
      <c r="A631" s="1705"/>
      <c r="B631" s="1705"/>
      <c r="C631" s="1705"/>
      <c r="D631" s="1705"/>
      <c r="E631" s="1705"/>
      <c r="F631" s="1705"/>
      <c r="G631" s="1705"/>
      <c r="H631" s="1705"/>
      <c r="I631" s="1705"/>
      <c r="J631" s="1705"/>
      <c r="K631" s="1705"/>
      <c r="L631" s="1705"/>
      <c r="M631" s="1705"/>
      <c r="N631" s="1705"/>
      <c r="O631" s="1705"/>
      <c r="P631" s="1705"/>
      <c r="Q631" s="1705"/>
      <c r="R631" s="1705"/>
      <c r="S631" s="1705"/>
      <c r="T631" s="1705"/>
    </row>
    <row r="632" spans="1:20" ht="15.75" customHeight="1">
      <c r="A632" s="1705"/>
      <c r="B632" s="1705"/>
      <c r="C632" s="1705"/>
      <c r="D632" s="1705"/>
      <c r="E632" s="1705"/>
      <c r="F632" s="1705"/>
      <c r="G632" s="1705"/>
      <c r="H632" s="1705"/>
      <c r="I632" s="1705"/>
      <c r="J632" s="1705"/>
      <c r="K632" s="1705"/>
      <c r="L632" s="1705"/>
      <c r="M632" s="1705"/>
      <c r="N632" s="1705"/>
      <c r="O632" s="1705"/>
      <c r="P632" s="1705"/>
      <c r="Q632" s="1705"/>
      <c r="R632" s="1705"/>
      <c r="S632" s="1705"/>
      <c r="T632" s="1705"/>
    </row>
    <row r="633" spans="1:20" ht="15.75" customHeight="1">
      <c r="A633" s="1705"/>
      <c r="B633" s="1705"/>
      <c r="C633" s="1705"/>
      <c r="D633" s="1705"/>
      <c r="E633" s="1705"/>
      <c r="F633" s="1705"/>
      <c r="G633" s="1705"/>
      <c r="H633" s="1705"/>
      <c r="I633" s="1705"/>
      <c r="J633" s="1705"/>
      <c r="K633" s="1705"/>
      <c r="L633" s="1705"/>
      <c r="M633" s="1705"/>
      <c r="N633" s="1705"/>
      <c r="O633" s="1705"/>
      <c r="P633" s="1705"/>
      <c r="Q633" s="1705"/>
      <c r="R633" s="1705"/>
      <c r="S633" s="1705"/>
      <c r="T633" s="1705"/>
    </row>
    <row r="634" spans="1:20" ht="15.75" customHeight="1">
      <c r="A634" s="1705"/>
      <c r="B634" s="1705"/>
      <c r="C634" s="1705"/>
      <c r="D634" s="1705"/>
      <c r="E634" s="1705"/>
      <c r="F634" s="1705"/>
      <c r="G634" s="1705"/>
      <c r="H634" s="1705"/>
      <c r="I634" s="1705"/>
      <c r="J634" s="1705"/>
      <c r="K634" s="1705"/>
      <c r="L634" s="1705"/>
      <c r="M634" s="1705"/>
      <c r="N634" s="1705"/>
      <c r="O634" s="1705"/>
      <c r="P634" s="1705"/>
      <c r="Q634" s="1705"/>
      <c r="R634" s="1705"/>
      <c r="S634" s="1705"/>
      <c r="T634" s="1705"/>
    </row>
    <row r="635" spans="1:20" ht="15.75" customHeight="1">
      <c r="A635" s="1705"/>
      <c r="B635" s="1705"/>
      <c r="C635" s="1705"/>
      <c r="D635" s="1705"/>
      <c r="E635" s="1705"/>
      <c r="F635" s="1705"/>
      <c r="G635" s="1705"/>
      <c r="H635" s="1705"/>
      <c r="I635" s="1705"/>
      <c r="J635" s="1705"/>
      <c r="K635" s="1705"/>
      <c r="L635" s="1705"/>
      <c r="M635" s="1705"/>
      <c r="N635" s="1705"/>
      <c r="O635" s="1705"/>
      <c r="P635" s="1705"/>
      <c r="Q635" s="1705"/>
      <c r="R635" s="1705"/>
      <c r="S635" s="1705"/>
      <c r="T635" s="1705"/>
    </row>
    <row r="636" spans="1:20" ht="15.75" customHeight="1">
      <c r="A636" s="1705"/>
      <c r="B636" s="1705"/>
      <c r="C636" s="1705"/>
      <c r="D636" s="1705"/>
      <c r="E636" s="1705"/>
      <c r="F636" s="1705"/>
      <c r="G636" s="1705"/>
      <c r="H636" s="1705"/>
      <c r="I636" s="1705"/>
      <c r="J636" s="1705"/>
      <c r="K636" s="1705"/>
      <c r="L636" s="1705"/>
      <c r="M636" s="1705"/>
      <c r="N636" s="1705"/>
      <c r="O636" s="1705"/>
      <c r="P636" s="1705"/>
      <c r="Q636" s="1705"/>
      <c r="R636" s="1705"/>
      <c r="S636" s="1705"/>
      <c r="T636" s="1705"/>
    </row>
    <row r="637" spans="1:20" ht="15.75" customHeight="1">
      <c r="A637" s="1705"/>
      <c r="B637" s="1705"/>
      <c r="C637" s="1705"/>
      <c r="D637" s="1705"/>
      <c r="E637" s="1705"/>
      <c r="F637" s="1705"/>
      <c r="G637" s="1705"/>
      <c r="H637" s="1705"/>
      <c r="I637" s="1705"/>
      <c r="J637" s="1705"/>
      <c r="K637" s="1705"/>
      <c r="L637" s="1705"/>
      <c r="M637" s="1705"/>
      <c r="N637" s="1705"/>
      <c r="O637" s="1705"/>
      <c r="P637" s="1705"/>
      <c r="Q637" s="1705"/>
      <c r="R637" s="1705"/>
      <c r="S637" s="1705"/>
      <c r="T637" s="1705"/>
    </row>
    <row r="638" spans="1:20" ht="15.75" customHeight="1">
      <c r="A638" s="1705"/>
      <c r="B638" s="1705"/>
      <c r="C638" s="1705"/>
      <c r="D638" s="1705"/>
      <c r="E638" s="1705"/>
      <c r="F638" s="1705"/>
      <c r="G638" s="1705"/>
      <c r="H638" s="1705"/>
      <c r="I638" s="1705"/>
      <c r="J638" s="1705"/>
      <c r="K638" s="1705"/>
      <c r="L638" s="1705"/>
      <c r="M638" s="1705"/>
      <c r="N638" s="1705"/>
      <c r="O638" s="1705"/>
      <c r="P638" s="1705"/>
      <c r="Q638" s="1705"/>
      <c r="R638" s="1705"/>
      <c r="S638" s="1705"/>
      <c r="T638" s="1705"/>
    </row>
    <row r="639" spans="1:20" ht="15.75" customHeight="1">
      <c r="A639" s="1705"/>
      <c r="B639" s="1705"/>
      <c r="C639" s="1705"/>
      <c r="D639" s="1705"/>
      <c r="E639" s="1705"/>
      <c r="F639" s="1705"/>
      <c r="G639" s="1705"/>
      <c r="H639" s="1705"/>
      <c r="I639" s="1705"/>
      <c r="J639" s="1705"/>
      <c r="K639" s="1705"/>
      <c r="L639" s="1705"/>
      <c r="M639" s="1705"/>
      <c r="N639" s="1705"/>
      <c r="O639" s="1705"/>
      <c r="P639" s="1705"/>
      <c r="Q639" s="1705"/>
      <c r="R639" s="1705"/>
      <c r="S639" s="1705"/>
      <c r="T639" s="1705"/>
    </row>
    <row r="640" spans="1:20" ht="15.75" customHeight="1">
      <c r="A640" s="1705"/>
      <c r="B640" s="1705"/>
      <c r="C640" s="1705"/>
      <c r="D640" s="1705"/>
      <c r="E640" s="1705"/>
      <c r="F640" s="1705"/>
      <c r="G640" s="1705"/>
      <c r="H640" s="1705"/>
      <c r="I640" s="1705"/>
      <c r="J640" s="1705"/>
      <c r="K640" s="1705"/>
      <c r="L640" s="1705"/>
      <c r="M640" s="1705"/>
      <c r="N640" s="1705"/>
      <c r="O640" s="1705"/>
      <c r="P640" s="1705"/>
      <c r="Q640" s="1705"/>
      <c r="R640" s="1705"/>
      <c r="S640" s="1705"/>
      <c r="T640" s="1705"/>
    </row>
    <row r="641" spans="1:20" ht="15.75" customHeight="1">
      <c r="A641" s="1705"/>
      <c r="B641" s="1705"/>
      <c r="C641" s="1705"/>
      <c r="D641" s="1705"/>
      <c r="E641" s="1705"/>
      <c r="F641" s="1705"/>
      <c r="G641" s="1705"/>
      <c r="H641" s="1705"/>
      <c r="I641" s="1705"/>
      <c r="J641" s="1705"/>
      <c r="K641" s="1705"/>
      <c r="L641" s="1705"/>
      <c r="M641" s="1705"/>
      <c r="N641" s="1705"/>
      <c r="O641" s="1705"/>
      <c r="P641" s="1705"/>
      <c r="Q641" s="1705"/>
      <c r="R641" s="1705"/>
      <c r="S641" s="1705"/>
      <c r="T641" s="1705"/>
    </row>
    <row r="642" spans="1:20" ht="15.75" customHeight="1">
      <c r="A642" s="1705"/>
      <c r="B642" s="1705"/>
      <c r="C642" s="1705"/>
      <c r="D642" s="1705"/>
      <c r="E642" s="1705"/>
      <c r="F642" s="1705"/>
      <c r="G642" s="1705"/>
      <c r="H642" s="1705"/>
      <c r="I642" s="1705"/>
      <c r="J642" s="1705"/>
      <c r="K642" s="1705"/>
      <c r="L642" s="1705"/>
      <c r="M642" s="1705"/>
      <c r="N642" s="1705"/>
      <c r="O642" s="1705"/>
      <c r="P642" s="1705"/>
      <c r="Q642" s="1705"/>
      <c r="R642" s="1705"/>
      <c r="S642" s="1705"/>
      <c r="T642" s="1705"/>
    </row>
    <row r="643" spans="1:20" ht="15.75" customHeight="1">
      <c r="A643" s="1705"/>
      <c r="B643" s="1705"/>
      <c r="C643" s="1705"/>
      <c r="D643" s="1705"/>
      <c r="E643" s="1705"/>
      <c r="F643" s="1705"/>
      <c r="G643" s="1705"/>
      <c r="H643" s="1705"/>
      <c r="I643" s="1705"/>
      <c r="J643" s="1705"/>
      <c r="K643" s="1705"/>
      <c r="L643" s="1705"/>
      <c r="M643" s="1705"/>
      <c r="N643" s="1705"/>
      <c r="O643" s="1705"/>
      <c r="P643" s="1705"/>
      <c r="Q643" s="1705"/>
      <c r="R643" s="1705"/>
      <c r="S643" s="1705"/>
      <c r="T643" s="1705"/>
    </row>
    <row r="644" spans="1:20" ht="15.75" customHeight="1">
      <c r="A644" s="1705"/>
      <c r="B644" s="1705"/>
      <c r="C644" s="1705"/>
      <c r="D644" s="1705"/>
      <c r="E644" s="1705"/>
      <c r="F644" s="1705"/>
      <c r="G644" s="1705"/>
      <c r="H644" s="1705"/>
      <c r="I644" s="1705"/>
      <c r="J644" s="1705"/>
      <c r="K644" s="1705"/>
      <c r="L644" s="1705"/>
      <c r="M644" s="1705"/>
      <c r="N644" s="1705"/>
      <c r="O644" s="1705"/>
      <c r="P644" s="1705"/>
      <c r="Q644" s="1705"/>
      <c r="R644" s="1705"/>
      <c r="S644" s="1705"/>
      <c r="T644" s="1705"/>
    </row>
    <row r="645" spans="1:20" ht="15.75" customHeight="1">
      <c r="A645" s="1705"/>
      <c r="B645" s="1705"/>
      <c r="C645" s="1705"/>
      <c r="D645" s="1705"/>
      <c r="E645" s="1705"/>
      <c r="F645" s="1705"/>
      <c r="G645" s="1705"/>
      <c r="H645" s="1705"/>
      <c r="I645" s="1705"/>
      <c r="J645" s="1705"/>
      <c r="K645" s="1705"/>
      <c r="L645" s="1705"/>
      <c r="M645" s="1705"/>
      <c r="N645" s="1705"/>
      <c r="O645" s="1705"/>
      <c r="P645" s="1705"/>
      <c r="Q645" s="1705"/>
      <c r="R645" s="1705"/>
      <c r="S645" s="1705"/>
      <c r="T645" s="1705"/>
    </row>
    <row r="646" spans="1:20" ht="15.75" customHeight="1">
      <c r="A646" s="1705"/>
      <c r="B646" s="1705"/>
      <c r="C646" s="1705"/>
      <c r="D646" s="1705"/>
      <c r="E646" s="1705"/>
      <c r="F646" s="1705"/>
      <c r="G646" s="1705"/>
      <c r="H646" s="1705"/>
      <c r="I646" s="1705"/>
      <c r="J646" s="1705"/>
      <c r="K646" s="1705"/>
      <c r="L646" s="1705"/>
      <c r="M646" s="1705"/>
      <c r="N646" s="1705"/>
      <c r="O646" s="1705"/>
      <c r="P646" s="1705"/>
      <c r="Q646" s="1705"/>
      <c r="R646" s="1705"/>
      <c r="S646" s="1705"/>
      <c r="T646" s="1705"/>
    </row>
    <row r="647" spans="1:20" ht="15.75" customHeight="1">
      <c r="A647" s="1705"/>
      <c r="B647" s="1705"/>
      <c r="C647" s="1705"/>
      <c r="D647" s="1705"/>
      <c r="E647" s="1705"/>
      <c r="F647" s="1705"/>
      <c r="G647" s="1705"/>
      <c r="H647" s="1705"/>
      <c r="I647" s="1705"/>
      <c r="J647" s="1705"/>
      <c r="K647" s="1705"/>
      <c r="L647" s="1705"/>
      <c r="M647" s="1705"/>
      <c r="N647" s="1705"/>
      <c r="O647" s="1705"/>
      <c r="P647" s="1705"/>
      <c r="Q647" s="1705"/>
      <c r="R647" s="1705"/>
      <c r="S647" s="1705"/>
      <c r="T647" s="1705"/>
    </row>
    <row r="648" spans="1:20" ht="15.75" customHeight="1">
      <c r="A648" s="1705"/>
      <c r="B648" s="1705"/>
      <c r="C648" s="1705"/>
      <c r="D648" s="1705"/>
      <c r="E648" s="1705"/>
      <c r="F648" s="1705"/>
      <c r="G648" s="1705"/>
      <c r="H648" s="1705"/>
      <c r="I648" s="1705"/>
      <c r="J648" s="1705"/>
      <c r="K648" s="1705"/>
      <c r="L648" s="1705"/>
      <c r="M648" s="1705"/>
      <c r="N648" s="1705"/>
      <c r="O648" s="1705"/>
      <c r="P648" s="1705"/>
      <c r="Q648" s="1705"/>
      <c r="R648" s="1705"/>
      <c r="S648" s="1705"/>
      <c r="T648" s="1705"/>
    </row>
    <row r="649" spans="1:20" ht="15.75" customHeight="1">
      <c r="A649" s="1705"/>
      <c r="B649" s="1705"/>
      <c r="C649" s="1705"/>
      <c r="D649" s="1705"/>
      <c r="E649" s="1705"/>
      <c r="F649" s="1705"/>
      <c r="G649" s="1705"/>
      <c r="H649" s="1705"/>
      <c r="I649" s="1705"/>
      <c r="J649" s="1705"/>
      <c r="K649" s="1705"/>
      <c r="L649" s="1705"/>
      <c r="M649" s="1705"/>
      <c r="N649" s="1705"/>
      <c r="O649" s="1705"/>
      <c r="P649" s="1705"/>
      <c r="Q649" s="1705"/>
      <c r="R649" s="1705"/>
      <c r="S649" s="1705"/>
      <c r="T649" s="1705"/>
    </row>
    <row r="650" spans="1:20" ht="15.75" customHeight="1">
      <c r="A650" s="1705"/>
      <c r="B650" s="1705"/>
      <c r="C650" s="1705"/>
      <c r="D650" s="1705"/>
      <c r="E650" s="1705"/>
      <c r="F650" s="1705"/>
      <c r="G650" s="1705"/>
      <c r="H650" s="1705"/>
      <c r="I650" s="1705"/>
      <c r="J650" s="1705"/>
      <c r="K650" s="1705"/>
      <c r="L650" s="1705"/>
      <c r="M650" s="1705"/>
      <c r="N650" s="1705"/>
      <c r="O650" s="1705"/>
      <c r="P650" s="1705"/>
      <c r="Q650" s="1705"/>
      <c r="R650" s="1705"/>
      <c r="S650" s="1705"/>
      <c r="T650" s="1705"/>
    </row>
    <row r="651" spans="1:20" ht="15.75" customHeight="1">
      <c r="A651" s="1705"/>
      <c r="B651" s="1705"/>
      <c r="C651" s="1705"/>
      <c r="D651" s="1705"/>
      <c r="E651" s="1705"/>
      <c r="F651" s="1705"/>
      <c r="G651" s="1705"/>
      <c r="H651" s="1705"/>
      <c r="I651" s="1705"/>
      <c r="J651" s="1705"/>
      <c r="K651" s="1705"/>
      <c r="L651" s="1705"/>
      <c r="M651" s="1705"/>
      <c r="N651" s="1705"/>
      <c r="O651" s="1705"/>
      <c r="P651" s="1705"/>
      <c r="Q651" s="1705"/>
      <c r="R651" s="1705"/>
      <c r="S651" s="1705"/>
      <c r="T651" s="1705"/>
    </row>
    <row r="652" spans="1:20" ht="15.75" customHeight="1">
      <c r="A652" s="1705"/>
      <c r="B652" s="1705"/>
      <c r="C652" s="1705"/>
      <c r="D652" s="1705"/>
      <c r="E652" s="1705"/>
      <c r="F652" s="1705"/>
      <c r="G652" s="1705"/>
      <c r="H652" s="1705"/>
      <c r="I652" s="1705"/>
      <c r="J652" s="1705"/>
      <c r="K652" s="1705"/>
      <c r="L652" s="1705"/>
      <c r="M652" s="1705"/>
      <c r="N652" s="1705"/>
      <c r="O652" s="1705"/>
      <c r="P652" s="1705"/>
      <c r="Q652" s="1705"/>
      <c r="R652" s="1705"/>
      <c r="S652" s="1705"/>
      <c r="T652" s="1705"/>
    </row>
    <row r="653" spans="1:20" ht="15.75" customHeight="1">
      <c r="A653" s="1705"/>
      <c r="B653" s="1705"/>
      <c r="C653" s="1705"/>
      <c r="D653" s="1705"/>
      <c r="E653" s="1705"/>
      <c r="F653" s="1705"/>
      <c r="G653" s="1705"/>
      <c r="H653" s="1705"/>
      <c r="I653" s="1705"/>
      <c r="J653" s="1705"/>
      <c r="K653" s="1705"/>
      <c r="L653" s="1705"/>
      <c r="M653" s="1705"/>
      <c r="N653" s="1705"/>
      <c r="O653" s="1705"/>
      <c r="P653" s="1705"/>
      <c r="Q653" s="1705"/>
      <c r="R653" s="1705"/>
      <c r="S653" s="1705"/>
      <c r="T653" s="1705"/>
    </row>
    <row r="654" spans="1:20" ht="15.75" customHeight="1">
      <c r="A654" s="1705"/>
      <c r="B654" s="1705"/>
      <c r="C654" s="1705"/>
      <c r="D654" s="1705"/>
      <c r="E654" s="1705"/>
      <c r="F654" s="1705"/>
      <c r="G654" s="1705"/>
      <c r="H654" s="1705"/>
      <c r="I654" s="1705"/>
      <c r="J654" s="1705"/>
      <c r="K654" s="1705"/>
      <c r="L654" s="1705"/>
      <c r="M654" s="1705"/>
      <c r="N654" s="1705"/>
      <c r="O654" s="1705"/>
      <c r="P654" s="1705"/>
      <c r="Q654" s="1705"/>
      <c r="R654" s="1705"/>
      <c r="S654" s="1705"/>
      <c r="T654" s="1705"/>
    </row>
    <row r="655" spans="1:20" ht="15.75" customHeight="1">
      <c r="A655" s="1705"/>
      <c r="B655" s="1705"/>
      <c r="C655" s="1705"/>
      <c r="D655" s="1705"/>
      <c r="E655" s="1705"/>
      <c r="F655" s="1705"/>
      <c r="G655" s="1705"/>
      <c r="H655" s="1705"/>
      <c r="I655" s="1705"/>
      <c r="J655" s="1705"/>
      <c r="K655" s="1705"/>
      <c r="L655" s="1705"/>
      <c r="M655" s="1705"/>
      <c r="N655" s="1705"/>
      <c r="O655" s="1705"/>
      <c r="P655" s="1705"/>
      <c r="Q655" s="1705"/>
      <c r="R655" s="1705"/>
      <c r="S655" s="1705"/>
      <c r="T655" s="1705"/>
    </row>
    <row r="656" spans="1:20" ht="15.75" customHeight="1">
      <c r="A656" s="1705"/>
      <c r="B656" s="1705"/>
      <c r="C656" s="1705"/>
      <c r="D656" s="1705"/>
      <c r="E656" s="1705"/>
      <c r="F656" s="1705"/>
      <c r="G656" s="1705"/>
      <c r="H656" s="1705"/>
      <c r="I656" s="1705"/>
      <c r="J656" s="1705"/>
      <c r="K656" s="1705"/>
      <c r="L656" s="1705"/>
      <c r="M656" s="1705"/>
      <c r="N656" s="1705"/>
      <c r="O656" s="1705"/>
      <c r="P656" s="1705"/>
      <c r="Q656" s="1705"/>
      <c r="R656" s="1705"/>
      <c r="S656" s="1705"/>
      <c r="T656" s="1705"/>
    </row>
    <row r="657" spans="1:20" ht="15.75" customHeight="1">
      <c r="A657" s="1705"/>
      <c r="B657" s="1705"/>
      <c r="C657" s="1705"/>
      <c r="D657" s="1705"/>
      <c r="E657" s="1705"/>
      <c r="F657" s="1705"/>
      <c r="G657" s="1705"/>
      <c r="H657" s="1705"/>
      <c r="I657" s="1705"/>
      <c r="J657" s="1705"/>
      <c r="K657" s="1705"/>
      <c r="L657" s="1705"/>
      <c r="M657" s="1705"/>
      <c r="N657" s="1705"/>
      <c r="O657" s="1705"/>
      <c r="P657" s="1705"/>
      <c r="Q657" s="1705"/>
      <c r="R657" s="1705"/>
      <c r="S657" s="1705"/>
      <c r="T657" s="1705"/>
    </row>
    <row r="658" spans="1:20" ht="15.75" customHeight="1">
      <c r="A658" s="1705"/>
      <c r="B658" s="1705"/>
      <c r="C658" s="1705"/>
      <c r="D658" s="1705"/>
      <c r="E658" s="1705"/>
      <c r="F658" s="1705"/>
      <c r="G658" s="1705"/>
      <c r="H658" s="1705"/>
      <c r="I658" s="1705"/>
      <c r="J658" s="1705"/>
      <c r="K658" s="1705"/>
      <c r="L658" s="1705"/>
      <c r="M658" s="1705"/>
      <c r="N658" s="1705"/>
      <c r="O658" s="1705"/>
      <c r="P658" s="1705"/>
      <c r="Q658" s="1705"/>
      <c r="R658" s="1705"/>
      <c r="S658" s="1705"/>
      <c r="T658" s="1705"/>
    </row>
    <row r="659" spans="1:20" ht="15.75" customHeight="1">
      <c r="A659" s="1705"/>
      <c r="B659" s="1705"/>
      <c r="C659" s="1705"/>
      <c r="D659" s="1705"/>
      <c r="E659" s="1705"/>
      <c r="F659" s="1705"/>
      <c r="G659" s="1705"/>
      <c r="H659" s="1705"/>
      <c r="I659" s="1705"/>
      <c r="J659" s="1705"/>
      <c r="K659" s="1705"/>
      <c r="L659" s="1705"/>
      <c r="M659" s="1705"/>
      <c r="N659" s="1705"/>
      <c r="O659" s="1705"/>
      <c r="P659" s="1705"/>
      <c r="Q659" s="1705"/>
      <c r="R659" s="1705"/>
      <c r="S659" s="1705"/>
      <c r="T659" s="1705"/>
    </row>
    <row r="660" spans="1:20" ht="15.75" customHeight="1">
      <c r="A660" s="1705"/>
      <c r="B660" s="1705"/>
      <c r="C660" s="1705"/>
      <c r="D660" s="1705"/>
      <c r="E660" s="1705"/>
      <c r="F660" s="1705"/>
      <c r="G660" s="1705"/>
      <c r="H660" s="1705"/>
      <c r="I660" s="1705"/>
      <c r="J660" s="1705"/>
      <c r="K660" s="1705"/>
      <c r="L660" s="1705"/>
      <c r="M660" s="1705"/>
      <c r="N660" s="1705"/>
      <c r="O660" s="1705"/>
      <c r="P660" s="1705"/>
      <c r="Q660" s="1705"/>
      <c r="R660" s="1705"/>
      <c r="S660" s="1705"/>
      <c r="T660" s="1705"/>
    </row>
    <row r="661" spans="1:20" ht="15.75" customHeight="1">
      <c r="A661" s="1705"/>
      <c r="B661" s="1705"/>
      <c r="C661" s="1705"/>
      <c r="D661" s="1705"/>
      <c r="E661" s="1705"/>
      <c r="F661" s="1705"/>
      <c r="G661" s="1705"/>
      <c r="H661" s="1705"/>
      <c r="I661" s="1705"/>
      <c r="J661" s="1705"/>
      <c r="K661" s="1705"/>
      <c r="L661" s="1705"/>
      <c r="M661" s="1705"/>
      <c r="N661" s="1705"/>
      <c r="O661" s="1705"/>
      <c r="P661" s="1705"/>
      <c r="Q661" s="1705"/>
      <c r="R661" s="1705"/>
      <c r="S661" s="1705"/>
      <c r="T661" s="1705"/>
    </row>
    <row r="662" spans="1:20" ht="15.75" customHeight="1">
      <c r="A662" s="1705"/>
      <c r="B662" s="1705"/>
      <c r="C662" s="1705"/>
      <c r="D662" s="1705"/>
      <c r="E662" s="1705"/>
      <c r="F662" s="1705"/>
      <c r="G662" s="1705"/>
      <c r="H662" s="1705"/>
      <c r="I662" s="1705"/>
      <c r="J662" s="1705"/>
      <c r="K662" s="1705"/>
      <c r="L662" s="1705"/>
      <c r="M662" s="1705"/>
      <c r="N662" s="1705"/>
      <c r="O662" s="1705"/>
      <c r="P662" s="1705"/>
      <c r="Q662" s="1705"/>
      <c r="R662" s="1705"/>
      <c r="S662" s="1705"/>
      <c r="T662" s="1705"/>
    </row>
    <row r="663" spans="1:20" ht="15.75" customHeight="1">
      <c r="A663" s="1705"/>
      <c r="B663" s="1705"/>
      <c r="C663" s="1705"/>
      <c r="D663" s="1705"/>
      <c r="E663" s="1705"/>
      <c r="F663" s="1705"/>
      <c r="G663" s="1705"/>
      <c r="H663" s="1705"/>
      <c r="I663" s="1705"/>
      <c r="J663" s="1705"/>
      <c r="K663" s="1705"/>
      <c r="L663" s="1705"/>
      <c r="M663" s="1705"/>
      <c r="N663" s="1705"/>
      <c r="O663" s="1705"/>
      <c r="P663" s="1705"/>
      <c r="Q663" s="1705"/>
      <c r="R663" s="1705"/>
      <c r="S663" s="1705"/>
      <c r="T663" s="1705"/>
    </row>
    <row r="664" spans="1:20" ht="15.75" customHeight="1">
      <c r="A664" s="1705"/>
      <c r="B664" s="1705"/>
      <c r="C664" s="1705"/>
      <c r="D664" s="1705"/>
      <c r="E664" s="1705"/>
      <c r="F664" s="1705"/>
      <c r="G664" s="1705"/>
      <c r="H664" s="1705"/>
      <c r="I664" s="1705"/>
      <c r="J664" s="1705"/>
      <c r="K664" s="1705"/>
      <c r="L664" s="1705"/>
      <c r="M664" s="1705"/>
      <c r="N664" s="1705"/>
      <c r="O664" s="1705"/>
      <c r="P664" s="1705"/>
      <c r="Q664" s="1705"/>
      <c r="R664" s="1705"/>
      <c r="S664" s="1705"/>
      <c r="T664" s="1705"/>
    </row>
    <row r="665" spans="1:20" ht="15.75" customHeight="1">
      <c r="A665" s="1705"/>
      <c r="B665" s="1705"/>
      <c r="C665" s="1705"/>
      <c r="D665" s="1705"/>
      <c r="E665" s="1705"/>
      <c r="F665" s="1705"/>
      <c r="G665" s="1705"/>
      <c r="H665" s="1705"/>
      <c r="I665" s="1705"/>
      <c r="J665" s="1705"/>
      <c r="K665" s="1705"/>
      <c r="L665" s="1705"/>
      <c r="M665" s="1705"/>
      <c r="N665" s="1705"/>
      <c r="O665" s="1705"/>
      <c r="P665" s="1705"/>
      <c r="Q665" s="1705"/>
      <c r="R665" s="1705"/>
      <c r="S665" s="1705"/>
      <c r="T665" s="1705"/>
    </row>
    <row r="666" spans="1:20" ht="15.75" customHeight="1">
      <c r="A666" s="1705"/>
      <c r="B666" s="1705"/>
      <c r="C666" s="1705"/>
      <c r="D666" s="1705"/>
      <c r="E666" s="1705"/>
      <c r="F666" s="1705"/>
      <c r="G666" s="1705"/>
      <c r="H666" s="1705"/>
      <c r="I666" s="1705"/>
      <c r="J666" s="1705"/>
      <c r="K666" s="1705"/>
      <c r="L666" s="1705"/>
      <c r="M666" s="1705"/>
      <c r="N666" s="1705"/>
      <c r="O666" s="1705"/>
      <c r="P666" s="1705"/>
      <c r="Q666" s="1705"/>
      <c r="R666" s="1705"/>
      <c r="S666" s="1705"/>
      <c r="T666" s="1705"/>
    </row>
    <row r="667" spans="1:20" ht="15.75" customHeight="1">
      <c r="A667" s="1705"/>
      <c r="B667" s="1705"/>
      <c r="C667" s="1705"/>
      <c r="D667" s="1705"/>
      <c r="E667" s="1705"/>
      <c r="F667" s="1705"/>
      <c r="G667" s="1705"/>
      <c r="H667" s="1705"/>
      <c r="I667" s="1705"/>
      <c r="J667" s="1705"/>
      <c r="K667" s="1705"/>
      <c r="L667" s="1705"/>
      <c r="M667" s="1705"/>
      <c r="N667" s="1705"/>
      <c r="O667" s="1705"/>
      <c r="P667" s="1705"/>
      <c r="Q667" s="1705"/>
      <c r="R667" s="1705"/>
      <c r="S667" s="1705"/>
      <c r="T667" s="1705"/>
    </row>
    <row r="668" spans="1:20" ht="15.75" customHeight="1">
      <c r="A668" s="1705"/>
      <c r="B668" s="1705"/>
      <c r="C668" s="1705"/>
      <c r="D668" s="1705"/>
      <c r="E668" s="1705"/>
      <c r="F668" s="1705"/>
      <c r="G668" s="1705"/>
      <c r="H668" s="1705"/>
      <c r="I668" s="1705"/>
      <c r="J668" s="1705"/>
      <c r="K668" s="1705"/>
      <c r="L668" s="1705"/>
      <c r="M668" s="1705"/>
      <c r="N668" s="1705"/>
      <c r="O668" s="1705"/>
      <c r="P668" s="1705"/>
      <c r="Q668" s="1705"/>
      <c r="R668" s="1705"/>
      <c r="S668" s="1705"/>
      <c r="T668" s="1705"/>
    </row>
    <row r="669" spans="1:20" ht="15.75" customHeight="1">
      <c r="A669" s="1705"/>
      <c r="B669" s="1705"/>
      <c r="C669" s="1705"/>
      <c r="D669" s="1705"/>
      <c r="E669" s="1705"/>
      <c r="F669" s="1705"/>
      <c r="G669" s="1705"/>
      <c r="H669" s="1705"/>
      <c r="I669" s="1705"/>
      <c r="J669" s="1705"/>
      <c r="K669" s="1705"/>
      <c r="L669" s="1705"/>
      <c r="M669" s="1705"/>
      <c r="N669" s="1705"/>
      <c r="O669" s="1705"/>
      <c r="P669" s="1705"/>
      <c r="Q669" s="1705"/>
      <c r="R669" s="1705"/>
      <c r="S669" s="1705"/>
      <c r="T669" s="1705"/>
    </row>
    <row r="670" spans="1:20" ht="15.75" customHeight="1">
      <c r="A670" s="1705"/>
      <c r="B670" s="1705"/>
      <c r="C670" s="1705"/>
      <c r="D670" s="1705"/>
      <c r="E670" s="1705"/>
      <c r="F670" s="1705"/>
      <c r="G670" s="1705"/>
      <c r="H670" s="1705"/>
      <c r="I670" s="1705"/>
      <c r="J670" s="1705"/>
      <c r="K670" s="1705"/>
      <c r="L670" s="1705"/>
      <c r="M670" s="1705"/>
      <c r="N670" s="1705"/>
      <c r="O670" s="1705"/>
      <c r="P670" s="1705"/>
      <c r="Q670" s="1705"/>
      <c r="R670" s="1705"/>
      <c r="S670" s="1705"/>
      <c r="T670" s="1705"/>
    </row>
    <row r="671" spans="1:20" ht="15.75" customHeight="1">
      <c r="A671" s="1705"/>
      <c r="B671" s="1705"/>
      <c r="C671" s="1705"/>
      <c r="D671" s="1705"/>
      <c r="E671" s="1705"/>
      <c r="F671" s="1705"/>
      <c r="G671" s="1705"/>
      <c r="H671" s="1705"/>
      <c r="I671" s="1705"/>
      <c r="J671" s="1705"/>
      <c r="K671" s="1705"/>
      <c r="L671" s="1705"/>
      <c r="M671" s="1705"/>
      <c r="N671" s="1705"/>
      <c r="O671" s="1705"/>
      <c r="P671" s="1705"/>
      <c r="Q671" s="1705"/>
      <c r="R671" s="1705"/>
      <c r="S671" s="1705"/>
      <c r="T671" s="1705"/>
    </row>
    <row r="672" spans="1:20" ht="15.75" customHeight="1">
      <c r="A672" s="1705"/>
      <c r="B672" s="1705"/>
      <c r="C672" s="1705"/>
      <c r="D672" s="1705"/>
      <c r="E672" s="1705"/>
      <c r="F672" s="1705"/>
      <c r="G672" s="1705"/>
      <c r="H672" s="1705"/>
      <c r="I672" s="1705"/>
      <c r="J672" s="1705"/>
      <c r="K672" s="1705"/>
      <c r="L672" s="1705"/>
      <c r="M672" s="1705"/>
      <c r="N672" s="1705"/>
      <c r="O672" s="1705"/>
      <c r="P672" s="1705"/>
      <c r="Q672" s="1705"/>
      <c r="R672" s="1705"/>
      <c r="S672" s="1705"/>
      <c r="T672" s="1705"/>
    </row>
    <row r="673" spans="1:20" ht="15.75" customHeight="1">
      <c r="A673" s="1705"/>
      <c r="B673" s="1705"/>
      <c r="C673" s="1705"/>
      <c r="D673" s="1705"/>
      <c r="E673" s="1705"/>
      <c r="F673" s="1705"/>
      <c r="G673" s="1705"/>
      <c r="H673" s="1705"/>
      <c r="I673" s="1705"/>
      <c r="J673" s="1705"/>
      <c r="K673" s="1705"/>
      <c r="L673" s="1705"/>
      <c r="M673" s="1705"/>
      <c r="N673" s="1705"/>
      <c r="O673" s="1705"/>
      <c r="P673" s="1705"/>
      <c r="Q673" s="1705"/>
      <c r="R673" s="1705"/>
      <c r="S673" s="1705"/>
      <c r="T673" s="1705"/>
    </row>
    <row r="674" spans="1:20" ht="15.75" customHeight="1">
      <c r="A674" s="1705"/>
      <c r="B674" s="1705"/>
      <c r="C674" s="1705"/>
      <c r="D674" s="1705"/>
      <c r="E674" s="1705"/>
      <c r="F674" s="1705"/>
      <c r="G674" s="1705"/>
      <c r="H674" s="1705"/>
      <c r="I674" s="1705"/>
      <c r="J674" s="1705"/>
      <c r="K674" s="1705"/>
      <c r="L674" s="1705"/>
      <c r="M674" s="1705"/>
      <c r="N674" s="1705"/>
      <c r="O674" s="1705"/>
      <c r="P674" s="1705"/>
      <c r="Q674" s="1705"/>
      <c r="R674" s="1705"/>
      <c r="S674" s="1705"/>
      <c r="T674" s="1705"/>
    </row>
    <row r="675" spans="1:20" ht="15.75" customHeight="1">
      <c r="A675" s="1705"/>
      <c r="B675" s="1705"/>
      <c r="C675" s="1705"/>
      <c r="D675" s="1705"/>
      <c r="E675" s="1705"/>
      <c r="F675" s="1705"/>
      <c r="G675" s="1705"/>
      <c r="H675" s="1705"/>
      <c r="I675" s="1705"/>
      <c r="J675" s="1705"/>
      <c r="K675" s="1705"/>
      <c r="L675" s="1705"/>
      <c r="M675" s="1705"/>
      <c r="N675" s="1705"/>
      <c r="O675" s="1705"/>
      <c r="P675" s="1705"/>
      <c r="Q675" s="1705"/>
      <c r="R675" s="1705"/>
      <c r="S675" s="1705"/>
      <c r="T675" s="1705"/>
    </row>
    <row r="676" spans="1:20" ht="15.75" customHeight="1">
      <c r="A676" s="1705"/>
      <c r="B676" s="1705"/>
      <c r="C676" s="1705"/>
      <c r="D676" s="1705"/>
      <c r="E676" s="1705"/>
      <c r="F676" s="1705"/>
      <c r="G676" s="1705"/>
      <c r="H676" s="1705"/>
      <c r="I676" s="1705"/>
      <c r="J676" s="1705"/>
      <c r="K676" s="1705"/>
      <c r="L676" s="1705"/>
      <c r="M676" s="1705"/>
      <c r="N676" s="1705"/>
      <c r="O676" s="1705"/>
      <c r="P676" s="1705"/>
      <c r="Q676" s="1705"/>
      <c r="R676" s="1705"/>
      <c r="S676" s="1705"/>
      <c r="T676" s="1705"/>
    </row>
    <row r="677" spans="1:20" ht="15.75" customHeight="1">
      <c r="A677" s="1705"/>
      <c r="B677" s="1705"/>
      <c r="C677" s="1705"/>
      <c r="D677" s="1705"/>
      <c r="E677" s="1705"/>
      <c r="F677" s="1705"/>
      <c r="G677" s="1705"/>
      <c r="H677" s="1705"/>
      <c r="I677" s="1705"/>
      <c r="J677" s="1705"/>
      <c r="K677" s="1705"/>
      <c r="L677" s="1705"/>
      <c r="M677" s="1705"/>
      <c r="N677" s="1705"/>
      <c r="O677" s="1705"/>
      <c r="P677" s="1705"/>
      <c r="Q677" s="1705"/>
      <c r="R677" s="1705"/>
      <c r="S677" s="1705"/>
      <c r="T677" s="1705"/>
    </row>
    <row r="678" spans="1:20" ht="15.75" customHeight="1">
      <c r="A678" s="1705"/>
      <c r="B678" s="1705"/>
      <c r="C678" s="1705"/>
      <c r="D678" s="1705"/>
      <c r="E678" s="1705"/>
      <c r="F678" s="1705"/>
      <c r="G678" s="1705"/>
      <c r="H678" s="1705"/>
      <c r="I678" s="1705"/>
      <c r="J678" s="1705"/>
      <c r="K678" s="1705"/>
      <c r="L678" s="1705"/>
      <c r="M678" s="1705"/>
      <c r="N678" s="1705"/>
      <c r="O678" s="1705"/>
      <c r="P678" s="1705"/>
      <c r="Q678" s="1705"/>
      <c r="R678" s="1705"/>
      <c r="S678" s="1705"/>
      <c r="T678" s="1705"/>
    </row>
    <row r="679" spans="1:20" ht="15.75" customHeight="1">
      <c r="A679" s="1705"/>
      <c r="B679" s="1705"/>
      <c r="C679" s="1705"/>
      <c r="D679" s="1705"/>
      <c r="E679" s="1705"/>
      <c r="F679" s="1705"/>
      <c r="G679" s="1705"/>
      <c r="H679" s="1705"/>
      <c r="I679" s="1705"/>
      <c r="J679" s="1705"/>
      <c r="K679" s="1705"/>
      <c r="L679" s="1705"/>
      <c r="M679" s="1705"/>
      <c r="N679" s="1705"/>
      <c r="O679" s="1705"/>
      <c r="P679" s="1705"/>
      <c r="Q679" s="1705"/>
      <c r="R679" s="1705"/>
      <c r="S679" s="1705"/>
      <c r="T679" s="1705"/>
    </row>
    <row r="680" spans="1:20" ht="15.75" customHeight="1">
      <c r="A680" s="1705"/>
      <c r="B680" s="1705"/>
      <c r="C680" s="1705"/>
      <c r="D680" s="1705"/>
      <c r="E680" s="1705"/>
      <c r="F680" s="1705"/>
      <c r="G680" s="1705"/>
      <c r="H680" s="1705"/>
      <c r="I680" s="1705"/>
      <c r="J680" s="1705"/>
      <c r="K680" s="1705"/>
      <c r="L680" s="1705"/>
      <c r="M680" s="1705"/>
      <c r="N680" s="1705"/>
      <c r="O680" s="1705"/>
      <c r="P680" s="1705"/>
      <c r="Q680" s="1705"/>
      <c r="R680" s="1705"/>
      <c r="S680" s="1705"/>
      <c r="T680" s="1705"/>
    </row>
    <row r="681" spans="1:20" ht="15.75" customHeight="1">
      <c r="A681" s="1705"/>
      <c r="B681" s="1705"/>
      <c r="C681" s="1705"/>
      <c r="D681" s="1705"/>
      <c r="E681" s="1705"/>
      <c r="F681" s="1705"/>
      <c r="G681" s="1705"/>
      <c r="H681" s="1705"/>
      <c r="I681" s="1705"/>
      <c r="J681" s="1705"/>
      <c r="K681" s="1705"/>
      <c r="L681" s="1705"/>
      <c r="M681" s="1705"/>
      <c r="N681" s="1705"/>
      <c r="O681" s="1705"/>
      <c r="P681" s="1705"/>
      <c r="Q681" s="1705"/>
      <c r="R681" s="1705"/>
      <c r="S681" s="1705"/>
      <c r="T681" s="1705"/>
    </row>
    <row r="682" spans="1:20" ht="15.75" customHeight="1">
      <c r="A682" s="1705"/>
      <c r="B682" s="1705"/>
      <c r="C682" s="1705"/>
      <c r="D682" s="1705"/>
      <c r="E682" s="1705"/>
      <c r="F682" s="1705"/>
      <c r="G682" s="1705"/>
      <c r="H682" s="1705"/>
      <c r="I682" s="1705"/>
      <c r="J682" s="1705"/>
      <c r="K682" s="1705"/>
      <c r="L682" s="1705"/>
      <c r="M682" s="1705"/>
      <c r="N682" s="1705"/>
      <c r="O682" s="1705"/>
      <c r="P682" s="1705"/>
      <c r="Q682" s="1705"/>
      <c r="R682" s="1705"/>
      <c r="S682" s="1705"/>
      <c r="T682" s="1705"/>
    </row>
    <row r="683" spans="1:20" ht="15.75" customHeight="1">
      <c r="A683" s="1705"/>
      <c r="B683" s="1705"/>
      <c r="C683" s="1705"/>
      <c r="D683" s="1705"/>
      <c r="E683" s="1705"/>
      <c r="F683" s="1705"/>
      <c r="G683" s="1705"/>
      <c r="H683" s="1705"/>
      <c r="I683" s="1705"/>
      <c r="J683" s="1705"/>
      <c r="K683" s="1705"/>
      <c r="L683" s="1705"/>
      <c r="M683" s="1705"/>
      <c r="N683" s="1705"/>
      <c r="O683" s="1705"/>
      <c r="P683" s="1705"/>
      <c r="Q683" s="1705"/>
      <c r="R683" s="1705"/>
      <c r="S683" s="1705"/>
      <c r="T683" s="1705"/>
    </row>
    <row r="684" spans="1:20" ht="15.75" customHeight="1">
      <c r="A684" s="1705"/>
      <c r="B684" s="1705"/>
      <c r="C684" s="1705"/>
      <c r="D684" s="1705"/>
      <c r="E684" s="1705"/>
      <c r="F684" s="1705"/>
      <c r="G684" s="1705"/>
      <c r="H684" s="1705"/>
      <c r="I684" s="1705"/>
      <c r="J684" s="1705"/>
      <c r="K684" s="1705"/>
      <c r="L684" s="1705"/>
      <c r="M684" s="1705"/>
      <c r="N684" s="1705"/>
      <c r="O684" s="1705"/>
      <c r="P684" s="1705"/>
      <c r="Q684" s="1705"/>
      <c r="R684" s="1705"/>
      <c r="S684" s="1705"/>
      <c r="T684" s="1705"/>
    </row>
    <row r="685" spans="1:20" ht="15.75" customHeight="1">
      <c r="A685" s="1705"/>
      <c r="B685" s="1705"/>
      <c r="C685" s="1705"/>
      <c r="D685" s="1705"/>
      <c r="E685" s="1705"/>
      <c r="F685" s="1705"/>
      <c r="G685" s="1705"/>
      <c r="H685" s="1705"/>
      <c r="I685" s="1705"/>
      <c r="J685" s="1705"/>
      <c r="K685" s="1705"/>
      <c r="L685" s="1705"/>
      <c r="M685" s="1705"/>
      <c r="N685" s="1705"/>
      <c r="O685" s="1705"/>
      <c r="P685" s="1705"/>
      <c r="Q685" s="1705"/>
      <c r="R685" s="1705"/>
      <c r="S685" s="1705"/>
      <c r="T685" s="1705"/>
    </row>
    <row r="686" spans="1:20" ht="15.75" customHeight="1">
      <c r="A686" s="1705"/>
      <c r="B686" s="1705"/>
      <c r="C686" s="1705"/>
      <c r="D686" s="1705"/>
      <c r="E686" s="1705"/>
      <c r="F686" s="1705"/>
      <c r="G686" s="1705"/>
      <c r="H686" s="1705"/>
      <c r="I686" s="1705"/>
      <c r="J686" s="1705"/>
      <c r="K686" s="1705"/>
      <c r="L686" s="1705"/>
      <c r="M686" s="1705"/>
      <c r="N686" s="1705"/>
      <c r="O686" s="1705"/>
      <c r="P686" s="1705"/>
      <c r="Q686" s="1705"/>
      <c r="R686" s="1705"/>
      <c r="S686" s="1705"/>
      <c r="T686" s="1705"/>
    </row>
    <row r="687" spans="1:20" ht="15.75" customHeight="1">
      <c r="A687" s="1705"/>
      <c r="B687" s="1705"/>
      <c r="C687" s="1705"/>
      <c r="D687" s="1705"/>
      <c r="E687" s="1705"/>
      <c r="F687" s="1705"/>
      <c r="G687" s="1705"/>
      <c r="H687" s="1705"/>
      <c r="I687" s="1705"/>
      <c r="J687" s="1705"/>
      <c r="K687" s="1705"/>
      <c r="L687" s="1705"/>
      <c r="M687" s="1705"/>
      <c r="N687" s="1705"/>
      <c r="O687" s="1705"/>
      <c r="P687" s="1705"/>
      <c r="Q687" s="1705"/>
      <c r="R687" s="1705"/>
      <c r="S687" s="1705"/>
      <c r="T687" s="1705"/>
    </row>
    <row r="688" spans="1:20" ht="15.75" customHeight="1">
      <c r="A688" s="1705"/>
      <c r="B688" s="1705"/>
      <c r="C688" s="1705"/>
      <c r="D688" s="1705"/>
      <c r="E688" s="1705"/>
      <c r="F688" s="1705"/>
      <c r="G688" s="1705"/>
      <c r="H688" s="1705"/>
      <c r="I688" s="1705"/>
      <c r="J688" s="1705"/>
      <c r="K688" s="1705"/>
      <c r="L688" s="1705"/>
      <c r="M688" s="1705"/>
      <c r="N688" s="1705"/>
      <c r="O688" s="1705"/>
      <c r="P688" s="1705"/>
      <c r="Q688" s="1705"/>
      <c r="R688" s="1705"/>
      <c r="S688" s="1705"/>
      <c r="T688" s="1705"/>
    </row>
    <row r="689" spans="1:20" ht="15.75" customHeight="1">
      <c r="A689" s="1705"/>
      <c r="B689" s="1705"/>
      <c r="C689" s="1705"/>
      <c r="D689" s="1705"/>
      <c r="E689" s="1705"/>
      <c r="F689" s="1705"/>
      <c r="G689" s="1705"/>
      <c r="H689" s="1705"/>
      <c r="I689" s="1705"/>
      <c r="J689" s="1705"/>
      <c r="K689" s="1705"/>
      <c r="L689" s="1705"/>
      <c r="M689" s="1705"/>
      <c r="N689" s="1705"/>
      <c r="O689" s="1705"/>
      <c r="P689" s="1705"/>
      <c r="Q689" s="1705"/>
      <c r="R689" s="1705"/>
      <c r="S689" s="1705"/>
      <c r="T689" s="1705"/>
    </row>
    <row r="690" spans="1:20" ht="15.75" customHeight="1">
      <c r="A690" s="1705"/>
      <c r="B690" s="1705"/>
      <c r="C690" s="1705"/>
      <c r="D690" s="1705"/>
      <c r="E690" s="1705"/>
      <c r="F690" s="1705"/>
      <c r="G690" s="1705"/>
      <c r="H690" s="1705"/>
      <c r="I690" s="1705"/>
      <c r="J690" s="1705"/>
      <c r="K690" s="1705"/>
      <c r="L690" s="1705"/>
      <c r="M690" s="1705"/>
      <c r="N690" s="1705"/>
      <c r="O690" s="1705"/>
      <c r="P690" s="1705"/>
      <c r="Q690" s="1705"/>
      <c r="R690" s="1705"/>
      <c r="S690" s="1705"/>
      <c r="T690" s="1705"/>
    </row>
    <row r="691" spans="1:20" ht="15.75" customHeight="1">
      <c r="A691" s="1705"/>
      <c r="B691" s="1705"/>
      <c r="C691" s="1705"/>
      <c r="D691" s="1705"/>
      <c r="E691" s="1705"/>
      <c r="F691" s="1705"/>
      <c r="G691" s="1705"/>
      <c r="H691" s="1705"/>
      <c r="I691" s="1705"/>
      <c r="J691" s="1705"/>
      <c r="K691" s="1705"/>
      <c r="L691" s="1705"/>
      <c r="M691" s="1705"/>
      <c r="N691" s="1705"/>
      <c r="O691" s="1705"/>
      <c r="P691" s="1705"/>
      <c r="Q691" s="1705"/>
      <c r="R691" s="1705"/>
      <c r="S691" s="1705"/>
      <c r="T691" s="1705"/>
    </row>
    <row r="692" spans="1:20" ht="15.75" customHeight="1">
      <c r="A692" s="1705"/>
      <c r="B692" s="1705"/>
      <c r="C692" s="1705"/>
      <c r="D692" s="1705"/>
      <c r="E692" s="1705"/>
      <c r="F692" s="1705"/>
      <c r="G692" s="1705"/>
      <c r="H692" s="1705"/>
      <c r="I692" s="1705"/>
      <c r="J692" s="1705"/>
      <c r="K692" s="1705"/>
      <c r="L692" s="1705"/>
      <c r="M692" s="1705"/>
      <c r="N692" s="1705"/>
      <c r="O692" s="1705"/>
      <c r="P692" s="1705"/>
      <c r="Q692" s="1705"/>
      <c r="R692" s="1705"/>
      <c r="S692" s="1705"/>
      <c r="T692" s="1705"/>
    </row>
    <row r="693" spans="1:20" ht="15.75" customHeight="1">
      <c r="A693" s="1705"/>
      <c r="B693" s="1705"/>
      <c r="C693" s="1705"/>
      <c r="D693" s="1705"/>
      <c r="E693" s="1705"/>
      <c r="F693" s="1705"/>
      <c r="G693" s="1705"/>
      <c r="H693" s="1705"/>
      <c r="I693" s="1705"/>
      <c r="J693" s="1705"/>
      <c r="K693" s="1705"/>
      <c r="L693" s="1705"/>
      <c r="M693" s="1705"/>
      <c r="N693" s="1705"/>
      <c r="O693" s="1705"/>
      <c r="P693" s="1705"/>
      <c r="Q693" s="1705"/>
      <c r="R693" s="1705"/>
      <c r="S693" s="1705"/>
      <c r="T693" s="1705"/>
    </row>
    <row r="694" spans="1:20" ht="15.75" customHeight="1">
      <c r="A694" s="1705"/>
      <c r="B694" s="1705"/>
      <c r="C694" s="1705"/>
      <c r="D694" s="1705"/>
      <c r="E694" s="1705"/>
      <c r="F694" s="1705"/>
      <c r="G694" s="1705"/>
      <c r="H694" s="1705"/>
      <c r="I694" s="1705"/>
      <c r="J694" s="1705"/>
      <c r="K694" s="1705"/>
      <c r="L694" s="1705"/>
      <c r="M694" s="1705"/>
      <c r="N694" s="1705"/>
      <c r="O694" s="1705"/>
      <c r="P694" s="1705"/>
      <c r="Q694" s="1705"/>
      <c r="R694" s="1705"/>
      <c r="S694" s="1705"/>
      <c r="T694" s="1705"/>
    </row>
    <row r="695" spans="1:20" ht="15.75" customHeight="1">
      <c r="A695" s="1705"/>
      <c r="B695" s="1705"/>
      <c r="C695" s="1705"/>
      <c r="D695" s="1705"/>
      <c r="E695" s="1705"/>
      <c r="F695" s="1705"/>
      <c r="G695" s="1705"/>
      <c r="H695" s="1705"/>
      <c r="I695" s="1705"/>
      <c r="J695" s="1705"/>
      <c r="K695" s="1705"/>
      <c r="L695" s="1705"/>
      <c r="M695" s="1705"/>
      <c r="N695" s="1705"/>
      <c r="O695" s="1705"/>
      <c r="P695" s="1705"/>
      <c r="Q695" s="1705"/>
      <c r="R695" s="1705"/>
      <c r="S695" s="1705"/>
      <c r="T695" s="1705"/>
    </row>
    <row r="696" spans="1:20" ht="15.75" customHeight="1">
      <c r="A696" s="1705"/>
      <c r="B696" s="1705"/>
      <c r="C696" s="1705"/>
      <c r="D696" s="1705"/>
      <c r="E696" s="1705"/>
      <c r="F696" s="1705"/>
      <c r="G696" s="1705"/>
      <c r="H696" s="1705"/>
      <c r="I696" s="1705"/>
      <c r="J696" s="1705"/>
      <c r="K696" s="1705"/>
      <c r="L696" s="1705"/>
      <c r="M696" s="1705"/>
      <c r="N696" s="1705"/>
      <c r="O696" s="1705"/>
      <c r="P696" s="1705"/>
      <c r="Q696" s="1705"/>
      <c r="R696" s="1705"/>
      <c r="S696" s="1705"/>
      <c r="T696" s="1705"/>
    </row>
    <row r="697" spans="1:20" ht="15.75" customHeight="1">
      <c r="A697" s="1705"/>
      <c r="B697" s="1705"/>
      <c r="C697" s="1705"/>
      <c r="D697" s="1705"/>
      <c r="E697" s="1705"/>
      <c r="F697" s="1705"/>
      <c r="G697" s="1705"/>
      <c r="H697" s="1705"/>
      <c r="I697" s="1705"/>
      <c r="J697" s="1705"/>
      <c r="K697" s="1705"/>
      <c r="L697" s="1705"/>
      <c r="M697" s="1705"/>
      <c r="N697" s="1705"/>
      <c r="O697" s="1705"/>
      <c r="P697" s="1705"/>
      <c r="Q697" s="1705"/>
      <c r="R697" s="1705"/>
      <c r="S697" s="1705"/>
      <c r="T697" s="1705"/>
    </row>
    <row r="698" spans="1:20" ht="15.75" customHeight="1">
      <c r="A698" s="1705"/>
      <c r="B698" s="1705"/>
      <c r="C698" s="1705"/>
      <c r="D698" s="1705"/>
      <c r="E698" s="1705"/>
      <c r="F698" s="1705"/>
      <c r="G698" s="1705"/>
      <c r="H698" s="1705"/>
      <c r="I698" s="1705"/>
      <c r="J698" s="1705"/>
      <c r="K698" s="1705"/>
      <c r="L698" s="1705"/>
      <c r="M698" s="1705"/>
      <c r="N698" s="1705"/>
      <c r="O698" s="1705"/>
      <c r="P698" s="1705"/>
      <c r="Q698" s="1705"/>
      <c r="R698" s="1705"/>
      <c r="S698" s="1705"/>
      <c r="T698" s="1705"/>
    </row>
    <row r="699" spans="1:20" ht="15.75" customHeight="1">
      <c r="A699" s="1705"/>
      <c r="B699" s="1705"/>
      <c r="C699" s="1705"/>
      <c r="D699" s="1705"/>
      <c r="E699" s="1705"/>
      <c r="F699" s="1705"/>
      <c r="G699" s="1705"/>
      <c r="H699" s="1705"/>
      <c r="I699" s="1705"/>
      <c r="J699" s="1705"/>
      <c r="K699" s="1705"/>
      <c r="L699" s="1705"/>
      <c r="M699" s="1705"/>
      <c r="N699" s="1705"/>
      <c r="O699" s="1705"/>
      <c r="P699" s="1705"/>
      <c r="Q699" s="1705"/>
      <c r="R699" s="1705"/>
      <c r="S699" s="1705"/>
      <c r="T699" s="1705"/>
    </row>
    <row r="700" spans="1:20" ht="15.75" customHeight="1">
      <c r="A700" s="1705"/>
      <c r="B700" s="1705"/>
      <c r="C700" s="1705"/>
      <c r="D700" s="1705"/>
      <c r="E700" s="1705"/>
      <c r="F700" s="1705"/>
      <c r="G700" s="1705"/>
      <c r="H700" s="1705"/>
      <c r="I700" s="1705"/>
      <c r="J700" s="1705"/>
      <c r="K700" s="1705"/>
      <c r="L700" s="1705"/>
      <c r="M700" s="1705"/>
      <c r="N700" s="1705"/>
      <c r="O700" s="1705"/>
      <c r="P700" s="1705"/>
      <c r="Q700" s="1705"/>
      <c r="R700" s="1705"/>
      <c r="S700" s="1705"/>
      <c r="T700" s="1705"/>
    </row>
    <row r="701" spans="1:20" ht="15.75" customHeight="1">
      <c r="A701" s="1705"/>
      <c r="B701" s="1705"/>
      <c r="C701" s="1705"/>
      <c r="D701" s="1705"/>
      <c r="E701" s="1705"/>
      <c r="F701" s="1705"/>
      <c r="G701" s="1705"/>
      <c r="H701" s="1705"/>
      <c r="I701" s="1705"/>
      <c r="J701" s="1705"/>
      <c r="K701" s="1705"/>
      <c r="L701" s="1705"/>
      <c r="M701" s="1705"/>
      <c r="N701" s="1705"/>
      <c r="O701" s="1705"/>
      <c r="P701" s="1705"/>
      <c r="Q701" s="1705"/>
      <c r="R701" s="1705"/>
      <c r="S701" s="1705"/>
      <c r="T701" s="1705"/>
    </row>
    <row r="702" spans="1:20" ht="15.75" customHeight="1">
      <c r="A702" s="1705"/>
      <c r="B702" s="1705"/>
      <c r="C702" s="1705"/>
      <c r="D702" s="1705"/>
      <c r="E702" s="1705"/>
      <c r="F702" s="1705"/>
      <c r="G702" s="1705"/>
      <c r="H702" s="1705"/>
      <c r="I702" s="1705"/>
      <c r="J702" s="1705"/>
      <c r="K702" s="1705"/>
      <c r="L702" s="1705"/>
      <c r="M702" s="1705"/>
      <c r="N702" s="1705"/>
      <c r="O702" s="1705"/>
      <c r="P702" s="1705"/>
      <c r="Q702" s="1705"/>
      <c r="R702" s="1705"/>
      <c r="S702" s="1705"/>
      <c r="T702" s="1705"/>
    </row>
    <row r="703" spans="1:20" ht="15.75" customHeight="1">
      <c r="A703" s="1705"/>
      <c r="B703" s="1705"/>
      <c r="C703" s="1705"/>
      <c r="D703" s="1705"/>
      <c r="E703" s="1705"/>
      <c r="F703" s="1705"/>
      <c r="G703" s="1705"/>
      <c r="H703" s="1705"/>
      <c r="I703" s="1705"/>
      <c r="J703" s="1705"/>
      <c r="K703" s="1705"/>
      <c r="L703" s="1705"/>
      <c r="M703" s="1705"/>
      <c r="N703" s="1705"/>
      <c r="O703" s="1705"/>
      <c r="P703" s="1705"/>
      <c r="Q703" s="1705"/>
      <c r="R703" s="1705"/>
      <c r="S703" s="1705"/>
      <c r="T703" s="1705"/>
    </row>
    <row r="704" spans="1:20" ht="15.75" customHeight="1">
      <c r="A704" s="1705"/>
      <c r="B704" s="1705"/>
      <c r="C704" s="1705"/>
      <c r="D704" s="1705"/>
      <c r="E704" s="1705"/>
      <c r="F704" s="1705"/>
      <c r="G704" s="1705"/>
      <c r="H704" s="1705"/>
      <c r="I704" s="1705"/>
      <c r="J704" s="1705"/>
      <c r="K704" s="1705"/>
      <c r="L704" s="1705"/>
      <c r="M704" s="1705"/>
      <c r="N704" s="1705"/>
      <c r="O704" s="1705"/>
      <c r="P704" s="1705"/>
      <c r="Q704" s="1705"/>
      <c r="R704" s="1705"/>
      <c r="S704" s="1705"/>
      <c r="T704" s="1705"/>
    </row>
    <row r="705" spans="1:20" ht="15.75" customHeight="1">
      <c r="A705" s="1705"/>
      <c r="B705" s="1705"/>
      <c r="C705" s="1705"/>
      <c r="D705" s="1705"/>
      <c r="E705" s="1705"/>
      <c r="F705" s="1705"/>
      <c r="G705" s="1705"/>
      <c r="H705" s="1705"/>
      <c r="I705" s="1705"/>
      <c r="J705" s="1705"/>
      <c r="K705" s="1705"/>
      <c r="L705" s="1705"/>
      <c r="M705" s="1705"/>
      <c r="N705" s="1705"/>
      <c r="O705" s="1705"/>
      <c r="P705" s="1705"/>
      <c r="Q705" s="1705"/>
      <c r="R705" s="1705"/>
      <c r="S705" s="1705"/>
      <c r="T705" s="1705"/>
    </row>
    <row r="706" spans="1:20" ht="15.75" customHeight="1">
      <c r="A706" s="1705"/>
      <c r="B706" s="1705"/>
      <c r="C706" s="1705"/>
      <c r="D706" s="1705"/>
      <c r="E706" s="1705"/>
      <c r="F706" s="1705"/>
      <c r="G706" s="1705"/>
      <c r="H706" s="1705"/>
      <c r="I706" s="1705"/>
      <c r="J706" s="1705"/>
      <c r="K706" s="1705"/>
      <c r="L706" s="1705"/>
      <c r="M706" s="1705"/>
      <c r="N706" s="1705"/>
      <c r="O706" s="1705"/>
      <c r="P706" s="1705"/>
      <c r="Q706" s="1705"/>
      <c r="R706" s="1705"/>
      <c r="S706" s="1705"/>
      <c r="T706" s="1705"/>
    </row>
    <row r="707" spans="1:20" ht="15.75" customHeight="1">
      <c r="A707" s="1705"/>
      <c r="B707" s="1705"/>
      <c r="C707" s="1705"/>
      <c r="D707" s="1705"/>
      <c r="E707" s="1705"/>
      <c r="F707" s="1705"/>
      <c r="G707" s="1705"/>
      <c r="H707" s="1705"/>
      <c r="I707" s="1705"/>
      <c r="J707" s="1705"/>
      <c r="K707" s="1705"/>
      <c r="L707" s="1705"/>
      <c r="M707" s="1705"/>
      <c r="N707" s="1705"/>
      <c r="O707" s="1705"/>
      <c r="P707" s="1705"/>
      <c r="Q707" s="1705"/>
      <c r="R707" s="1705"/>
      <c r="S707" s="1705"/>
      <c r="T707" s="1705"/>
    </row>
    <row r="708" spans="1:20" ht="15.75" customHeight="1">
      <c r="A708" s="1705"/>
      <c r="B708" s="1705"/>
      <c r="C708" s="1705"/>
      <c r="D708" s="1705"/>
      <c r="E708" s="1705"/>
      <c r="F708" s="1705"/>
      <c r="G708" s="1705"/>
      <c r="H708" s="1705"/>
      <c r="I708" s="1705"/>
      <c r="J708" s="1705"/>
      <c r="K708" s="1705"/>
      <c r="L708" s="1705"/>
      <c r="M708" s="1705"/>
      <c r="N708" s="1705"/>
      <c r="O708" s="1705"/>
      <c r="P708" s="1705"/>
      <c r="Q708" s="1705"/>
      <c r="R708" s="1705"/>
      <c r="S708" s="1705"/>
      <c r="T708" s="1705"/>
    </row>
    <row r="709" spans="1:20" ht="15.75" customHeight="1">
      <c r="A709" s="1705"/>
      <c r="B709" s="1705"/>
      <c r="C709" s="1705"/>
      <c r="D709" s="1705"/>
      <c r="E709" s="1705"/>
      <c r="F709" s="1705"/>
      <c r="G709" s="1705"/>
      <c r="H709" s="1705"/>
      <c r="I709" s="1705"/>
      <c r="J709" s="1705"/>
      <c r="K709" s="1705"/>
      <c r="L709" s="1705"/>
      <c r="M709" s="1705"/>
      <c r="N709" s="1705"/>
      <c r="O709" s="1705"/>
      <c r="P709" s="1705"/>
      <c r="Q709" s="1705"/>
      <c r="R709" s="1705"/>
      <c r="S709" s="1705"/>
      <c r="T709" s="1705"/>
    </row>
    <row r="710" spans="1:20" ht="15.75" customHeight="1">
      <c r="A710" s="1705"/>
      <c r="B710" s="1705"/>
      <c r="C710" s="1705"/>
      <c r="D710" s="1705"/>
      <c r="E710" s="1705"/>
      <c r="F710" s="1705"/>
      <c r="G710" s="1705"/>
      <c r="H710" s="1705"/>
      <c r="I710" s="1705"/>
      <c r="J710" s="1705"/>
      <c r="K710" s="1705"/>
      <c r="L710" s="1705"/>
      <c r="M710" s="1705"/>
      <c r="N710" s="1705"/>
      <c r="O710" s="1705"/>
      <c r="P710" s="1705"/>
      <c r="Q710" s="1705"/>
      <c r="R710" s="1705"/>
      <c r="S710" s="1705"/>
      <c r="T710" s="1705"/>
    </row>
    <row r="711" spans="1:20" ht="15.75" customHeight="1">
      <c r="A711" s="1705"/>
      <c r="B711" s="1705"/>
      <c r="C711" s="1705"/>
      <c r="D711" s="1705"/>
      <c r="E711" s="1705"/>
      <c r="F711" s="1705"/>
      <c r="G711" s="1705"/>
      <c r="H711" s="1705"/>
      <c r="I711" s="1705"/>
      <c r="J711" s="1705"/>
      <c r="K711" s="1705"/>
      <c r="L711" s="1705"/>
      <c r="M711" s="1705"/>
      <c r="N711" s="1705"/>
      <c r="O711" s="1705"/>
      <c r="P711" s="1705"/>
      <c r="Q711" s="1705"/>
      <c r="R711" s="1705"/>
      <c r="S711" s="1705"/>
      <c r="T711" s="1705"/>
    </row>
    <row r="712" spans="1:20" ht="15.75" customHeight="1">
      <c r="A712" s="1705"/>
      <c r="B712" s="1705"/>
      <c r="C712" s="1705"/>
      <c r="D712" s="1705"/>
      <c r="E712" s="1705"/>
      <c r="F712" s="1705"/>
      <c r="G712" s="1705"/>
      <c r="H712" s="1705"/>
      <c r="I712" s="1705"/>
      <c r="J712" s="1705"/>
      <c r="K712" s="1705"/>
      <c r="L712" s="1705"/>
      <c r="M712" s="1705"/>
      <c r="N712" s="1705"/>
      <c r="O712" s="1705"/>
      <c r="P712" s="1705"/>
      <c r="Q712" s="1705"/>
      <c r="R712" s="1705"/>
      <c r="S712" s="1705"/>
      <c r="T712" s="1705"/>
    </row>
    <row r="713" spans="1:20" ht="15.75" customHeight="1">
      <c r="A713" s="1705"/>
      <c r="B713" s="1705"/>
      <c r="C713" s="1705"/>
      <c r="D713" s="1705"/>
      <c r="E713" s="1705"/>
      <c r="F713" s="1705"/>
      <c r="G713" s="1705"/>
      <c r="H713" s="1705"/>
      <c r="I713" s="1705"/>
      <c r="J713" s="1705"/>
      <c r="K713" s="1705"/>
      <c r="L713" s="1705"/>
      <c r="M713" s="1705"/>
      <c r="N713" s="1705"/>
      <c r="O713" s="1705"/>
      <c r="P713" s="1705"/>
      <c r="Q713" s="1705"/>
      <c r="R713" s="1705"/>
      <c r="S713" s="1705"/>
      <c r="T713" s="1705"/>
    </row>
    <row r="714" spans="1:20" ht="15.75" customHeight="1">
      <c r="A714" s="1705"/>
      <c r="B714" s="1705"/>
      <c r="C714" s="1705"/>
      <c r="D714" s="1705"/>
      <c r="E714" s="1705"/>
      <c r="F714" s="1705"/>
      <c r="G714" s="1705"/>
      <c r="H714" s="1705"/>
      <c r="I714" s="1705"/>
      <c r="J714" s="1705"/>
      <c r="K714" s="1705"/>
      <c r="L714" s="1705"/>
      <c r="M714" s="1705"/>
      <c r="N714" s="1705"/>
      <c r="O714" s="1705"/>
      <c r="P714" s="1705"/>
      <c r="Q714" s="1705"/>
      <c r="R714" s="1705"/>
      <c r="S714" s="1705"/>
      <c r="T714" s="1705"/>
    </row>
    <row r="715" spans="1:20" ht="15.75" customHeight="1">
      <c r="A715" s="1705"/>
      <c r="B715" s="1705"/>
      <c r="C715" s="1705"/>
      <c r="D715" s="1705"/>
      <c r="E715" s="1705"/>
      <c r="F715" s="1705"/>
      <c r="G715" s="1705"/>
      <c r="H715" s="1705"/>
      <c r="I715" s="1705"/>
      <c r="J715" s="1705"/>
      <c r="K715" s="1705"/>
      <c r="L715" s="1705"/>
      <c r="M715" s="1705"/>
      <c r="N715" s="1705"/>
      <c r="O715" s="1705"/>
      <c r="P715" s="1705"/>
      <c r="Q715" s="1705"/>
      <c r="R715" s="1705"/>
      <c r="S715" s="1705"/>
      <c r="T715" s="1705"/>
    </row>
    <row r="716" spans="1:20" ht="15.75" customHeight="1">
      <c r="A716" s="1705"/>
      <c r="B716" s="1705"/>
      <c r="C716" s="1705"/>
      <c r="D716" s="1705"/>
      <c r="E716" s="1705"/>
      <c r="F716" s="1705"/>
      <c r="G716" s="1705"/>
      <c r="H716" s="1705"/>
      <c r="I716" s="1705"/>
      <c r="J716" s="1705"/>
      <c r="K716" s="1705"/>
      <c r="L716" s="1705"/>
      <c r="M716" s="1705"/>
      <c r="N716" s="1705"/>
      <c r="O716" s="1705"/>
      <c r="P716" s="1705"/>
      <c r="Q716" s="1705"/>
      <c r="R716" s="1705"/>
      <c r="S716" s="1705"/>
      <c r="T716" s="1705"/>
    </row>
    <row r="717" spans="1:20" ht="15.75" customHeight="1">
      <c r="A717" s="1705"/>
      <c r="B717" s="1705"/>
      <c r="C717" s="1705"/>
      <c r="D717" s="1705"/>
      <c r="E717" s="1705"/>
      <c r="F717" s="1705"/>
      <c r="G717" s="1705"/>
      <c r="H717" s="1705"/>
      <c r="I717" s="1705"/>
      <c r="J717" s="1705"/>
      <c r="K717" s="1705"/>
      <c r="L717" s="1705"/>
      <c r="M717" s="1705"/>
      <c r="N717" s="1705"/>
      <c r="O717" s="1705"/>
      <c r="P717" s="1705"/>
      <c r="Q717" s="1705"/>
      <c r="R717" s="1705"/>
      <c r="S717" s="1705"/>
      <c r="T717" s="1705"/>
    </row>
    <row r="718" spans="1:20" ht="15.75" customHeight="1">
      <c r="A718" s="1705"/>
      <c r="B718" s="1705"/>
      <c r="C718" s="1705"/>
      <c r="D718" s="1705"/>
      <c r="E718" s="1705"/>
      <c r="F718" s="1705"/>
      <c r="G718" s="1705"/>
      <c r="H718" s="1705"/>
      <c r="I718" s="1705"/>
      <c r="J718" s="1705"/>
      <c r="K718" s="1705"/>
      <c r="L718" s="1705"/>
      <c r="M718" s="1705"/>
      <c r="N718" s="1705"/>
      <c r="O718" s="1705"/>
      <c r="P718" s="1705"/>
      <c r="Q718" s="1705"/>
      <c r="R718" s="1705"/>
      <c r="S718" s="1705"/>
      <c r="T718" s="1705"/>
    </row>
    <row r="719" spans="1:20" ht="15.75" customHeight="1">
      <c r="A719" s="1705"/>
      <c r="B719" s="1705"/>
      <c r="C719" s="1705"/>
      <c r="D719" s="1705"/>
      <c r="E719" s="1705"/>
      <c r="F719" s="1705"/>
      <c r="G719" s="1705"/>
      <c r="H719" s="1705"/>
      <c r="I719" s="1705"/>
      <c r="J719" s="1705"/>
      <c r="K719" s="1705"/>
      <c r="L719" s="1705"/>
      <c r="M719" s="1705"/>
      <c r="N719" s="1705"/>
      <c r="O719" s="1705"/>
      <c r="P719" s="1705"/>
      <c r="Q719" s="1705"/>
      <c r="R719" s="1705"/>
      <c r="S719" s="1705"/>
      <c r="T719" s="1705"/>
    </row>
    <row r="720" spans="1:20" ht="15.75" customHeight="1">
      <c r="A720" s="1705"/>
      <c r="B720" s="1705"/>
      <c r="C720" s="1705"/>
      <c r="D720" s="1705"/>
      <c r="E720" s="1705"/>
      <c r="F720" s="1705"/>
      <c r="G720" s="1705"/>
      <c r="H720" s="1705"/>
      <c r="I720" s="1705"/>
      <c r="J720" s="1705"/>
      <c r="K720" s="1705"/>
      <c r="L720" s="1705"/>
      <c r="M720" s="1705"/>
      <c r="N720" s="1705"/>
      <c r="O720" s="1705"/>
      <c r="P720" s="1705"/>
      <c r="Q720" s="1705"/>
      <c r="R720" s="1705"/>
      <c r="S720" s="1705"/>
      <c r="T720" s="1705"/>
    </row>
    <row r="721" spans="1:20" ht="15.75" customHeight="1">
      <c r="A721" s="1705"/>
      <c r="B721" s="1705"/>
      <c r="C721" s="1705"/>
      <c r="D721" s="1705"/>
      <c r="E721" s="1705"/>
      <c r="F721" s="1705"/>
      <c r="G721" s="1705"/>
      <c r="H721" s="1705"/>
      <c r="I721" s="1705"/>
      <c r="J721" s="1705"/>
      <c r="K721" s="1705"/>
      <c r="L721" s="1705"/>
      <c r="M721" s="1705"/>
      <c r="N721" s="1705"/>
      <c r="O721" s="1705"/>
      <c r="P721" s="1705"/>
      <c r="Q721" s="1705"/>
      <c r="R721" s="1705"/>
      <c r="S721" s="1705"/>
      <c r="T721" s="1705"/>
    </row>
    <row r="722" spans="1:20" ht="15.75" customHeight="1">
      <c r="A722" s="1705"/>
      <c r="B722" s="1705"/>
      <c r="C722" s="1705"/>
      <c r="D722" s="1705"/>
      <c r="E722" s="1705"/>
      <c r="F722" s="1705"/>
      <c r="G722" s="1705"/>
      <c r="H722" s="1705"/>
      <c r="I722" s="1705"/>
      <c r="J722" s="1705"/>
      <c r="K722" s="1705"/>
      <c r="L722" s="1705"/>
      <c r="M722" s="1705"/>
      <c r="N722" s="1705"/>
      <c r="O722" s="1705"/>
      <c r="P722" s="1705"/>
      <c r="Q722" s="1705"/>
      <c r="R722" s="1705"/>
      <c r="S722" s="1705"/>
      <c r="T722" s="1705"/>
    </row>
    <row r="723" spans="1:20" ht="15.75" customHeight="1">
      <c r="A723" s="1705"/>
      <c r="B723" s="1705"/>
      <c r="C723" s="1705"/>
      <c r="D723" s="1705"/>
      <c r="E723" s="1705"/>
      <c r="F723" s="1705"/>
      <c r="G723" s="1705"/>
      <c r="H723" s="1705"/>
      <c r="I723" s="1705"/>
      <c r="J723" s="1705"/>
      <c r="K723" s="1705"/>
      <c r="L723" s="1705"/>
      <c r="M723" s="1705"/>
      <c r="N723" s="1705"/>
      <c r="O723" s="1705"/>
      <c r="P723" s="1705"/>
      <c r="Q723" s="1705"/>
      <c r="R723" s="1705"/>
      <c r="S723" s="1705"/>
      <c r="T723" s="1705"/>
    </row>
    <row r="724" spans="1:20" ht="15.75" customHeight="1">
      <c r="A724" s="1705"/>
      <c r="B724" s="1705"/>
      <c r="C724" s="1705"/>
      <c r="D724" s="1705"/>
      <c r="E724" s="1705"/>
      <c r="F724" s="1705"/>
      <c r="G724" s="1705"/>
      <c r="H724" s="1705"/>
      <c r="I724" s="1705"/>
      <c r="J724" s="1705"/>
      <c r="K724" s="1705"/>
      <c r="L724" s="1705"/>
      <c r="M724" s="1705"/>
      <c r="N724" s="1705"/>
      <c r="O724" s="1705"/>
      <c r="P724" s="1705"/>
      <c r="Q724" s="1705"/>
      <c r="R724" s="1705"/>
      <c r="S724" s="1705"/>
      <c r="T724" s="1705"/>
    </row>
    <row r="725" spans="1:20" ht="15.75" customHeight="1">
      <c r="A725" s="1705"/>
      <c r="B725" s="1705"/>
      <c r="C725" s="1705"/>
      <c r="D725" s="1705"/>
      <c r="E725" s="1705"/>
      <c r="F725" s="1705"/>
      <c r="G725" s="1705"/>
      <c r="H725" s="1705"/>
      <c r="I725" s="1705"/>
      <c r="J725" s="1705"/>
      <c r="K725" s="1705"/>
      <c r="L725" s="1705"/>
      <c r="M725" s="1705"/>
      <c r="N725" s="1705"/>
      <c r="O725" s="1705"/>
      <c r="P725" s="1705"/>
      <c r="Q725" s="1705"/>
      <c r="R725" s="1705"/>
      <c r="S725" s="1705"/>
      <c r="T725" s="1705"/>
    </row>
    <row r="726" spans="1:20" ht="15.75" customHeight="1">
      <c r="A726" s="1705"/>
      <c r="B726" s="1705"/>
      <c r="C726" s="1705"/>
      <c r="D726" s="1705"/>
      <c r="E726" s="1705"/>
      <c r="F726" s="1705"/>
      <c r="G726" s="1705"/>
      <c r="H726" s="1705"/>
      <c r="I726" s="1705"/>
      <c r="J726" s="1705"/>
      <c r="K726" s="1705"/>
      <c r="L726" s="1705"/>
      <c r="M726" s="1705"/>
      <c r="N726" s="1705"/>
      <c r="O726" s="1705"/>
      <c r="P726" s="1705"/>
      <c r="Q726" s="1705"/>
      <c r="R726" s="1705"/>
      <c r="S726" s="1705"/>
      <c r="T726" s="1705"/>
    </row>
    <row r="727" spans="1:20" ht="15.75" customHeight="1">
      <c r="A727" s="1705"/>
      <c r="B727" s="1705"/>
      <c r="C727" s="1705"/>
      <c r="D727" s="1705"/>
      <c r="E727" s="1705"/>
      <c r="F727" s="1705"/>
      <c r="G727" s="1705"/>
      <c r="H727" s="1705"/>
      <c r="I727" s="1705"/>
      <c r="J727" s="1705"/>
      <c r="K727" s="1705"/>
      <c r="L727" s="1705"/>
      <c r="M727" s="1705"/>
      <c r="N727" s="1705"/>
      <c r="O727" s="1705"/>
      <c r="P727" s="1705"/>
      <c r="Q727" s="1705"/>
      <c r="R727" s="1705"/>
      <c r="S727" s="1705"/>
      <c r="T727" s="1705"/>
    </row>
    <row r="728" spans="1:20" ht="15.75" customHeight="1">
      <c r="A728" s="1705"/>
      <c r="B728" s="1705"/>
      <c r="C728" s="1705"/>
      <c r="D728" s="1705"/>
      <c r="E728" s="1705"/>
      <c r="F728" s="1705"/>
      <c r="G728" s="1705"/>
      <c r="H728" s="1705"/>
      <c r="I728" s="1705"/>
      <c r="J728" s="1705"/>
      <c r="K728" s="1705"/>
      <c r="L728" s="1705"/>
      <c r="M728" s="1705"/>
      <c r="N728" s="1705"/>
      <c r="O728" s="1705"/>
      <c r="P728" s="1705"/>
      <c r="Q728" s="1705"/>
      <c r="R728" s="1705"/>
      <c r="S728" s="1705"/>
      <c r="T728" s="1705"/>
    </row>
    <row r="729" spans="1:20" ht="15.75" customHeight="1">
      <c r="A729" s="1705"/>
      <c r="B729" s="1705"/>
      <c r="C729" s="1705"/>
      <c r="D729" s="1705"/>
      <c r="E729" s="1705"/>
      <c r="F729" s="1705"/>
      <c r="G729" s="1705"/>
      <c r="H729" s="1705"/>
      <c r="I729" s="1705"/>
      <c r="J729" s="1705"/>
      <c r="K729" s="1705"/>
      <c r="L729" s="1705"/>
      <c r="M729" s="1705"/>
      <c r="N729" s="1705"/>
      <c r="O729" s="1705"/>
      <c r="P729" s="1705"/>
      <c r="Q729" s="1705"/>
      <c r="R729" s="1705"/>
      <c r="S729" s="1705"/>
      <c r="T729" s="1705"/>
    </row>
    <row r="730" spans="1:20" ht="15.75" customHeight="1">
      <c r="A730" s="1705"/>
      <c r="B730" s="1705"/>
      <c r="C730" s="1705"/>
      <c r="D730" s="1705"/>
      <c r="E730" s="1705"/>
      <c r="F730" s="1705"/>
      <c r="G730" s="1705"/>
      <c r="H730" s="1705"/>
      <c r="I730" s="1705"/>
      <c r="J730" s="1705"/>
      <c r="K730" s="1705"/>
      <c r="L730" s="1705"/>
      <c r="M730" s="1705"/>
      <c r="N730" s="1705"/>
      <c r="O730" s="1705"/>
      <c r="P730" s="1705"/>
      <c r="Q730" s="1705"/>
      <c r="R730" s="1705"/>
      <c r="S730" s="1705"/>
      <c r="T730" s="1705"/>
    </row>
    <row r="731" spans="1:20" ht="15.75" customHeight="1">
      <c r="A731" s="1705"/>
      <c r="B731" s="1705"/>
      <c r="C731" s="1705"/>
      <c r="D731" s="1705"/>
      <c r="E731" s="1705"/>
      <c r="F731" s="1705"/>
      <c r="G731" s="1705"/>
      <c r="H731" s="1705"/>
      <c r="I731" s="1705"/>
      <c r="J731" s="1705"/>
      <c r="K731" s="1705"/>
      <c r="L731" s="1705"/>
      <c r="M731" s="1705"/>
      <c r="N731" s="1705"/>
      <c r="O731" s="1705"/>
      <c r="P731" s="1705"/>
      <c r="Q731" s="1705"/>
      <c r="R731" s="1705"/>
      <c r="S731" s="1705"/>
      <c r="T731" s="1705"/>
    </row>
    <row r="732" spans="1:20" ht="15.75" customHeight="1">
      <c r="A732" s="1705"/>
      <c r="B732" s="1705"/>
      <c r="C732" s="1705"/>
      <c r="D732" s="1705"/>
      <c r="E732" s="1705"/>
      <c r="F732" s="1705"/>
      <c r="G732" s="1705"/>
      <c r="H732" s="1705"/>
      <c r="I732" s="1705"/>
      <c r="J732" s="1705"/>
      <c r="K732" s="1705"/>
      <c r="L732" s="1705"/>
      <c r="M732" s="1705"/>
      <c r="N732" s="1705"/>
      <c r="O732" s="1705"/>
      <c r="P732" s="1705"/>
      <c r="Q732" s="1705"/>
      <c r="R732" s="1705"/>
      <c r="S732" s="1705"/>
      <c r="T732" s="1705"/>
    </row>
    <row r="733" spans="1:20" ht="15.75" customHeight="1">
      <c r="A733" s="1705"/>
      <c r="B733" s="1705"/>
      <c r="C733" s="1705"/>
      <c r="D733" s="1705"/>
      <c r="E733" s="1705"/>
      <c r="F733" s="1705"/>
      <c r="G733" s="1705"/>
      <c r="H733" s="1705"/>
      <c r="I733" s="1705"/>
      <c r="J733" s="1705"/>
      <c r="K733" s="1705"/>
      <c r="L733" s="1705"/>
      <c r="M733" s="1705"/>
      <c r="N733" s="1705"/>
      <c r="O733" s="1705"/>
      <c r="P733" s="1705"/>
      <c r="Q733" s="1705"/>
      <c r="R733" s="1705"/>
      <c r="S733" s="1705"/>
      <c r="T733" s="1705"/>
    </row>
    <row r="734" spans="1:20" ht="15.75" customHeight="1">
      <c r="A734" s="1705"/>
      <c r="B734" s="1705"/>
      <c r="C734" s="1705"/>
      <c r="D734" s="1705"/>
      <c r="E734" s="1705"/>
      <c r="F734" s="1705"/>
      <c r="G734" s="1705"/>
      <c r="H734" s="1705"/>
      <c r="I734" s="1705"/>
      <c r="J734" s="1705"/>
      <c r="K734" s="1705"/>
      <c r="L734" s="1705"/>
      <c r="M734" s="1705"/>
      <c r="N734" s="1705"/>
      <c r="O734" s="1705"/>
      <c r="P734" s="1705"/>
      <c r="Q734" s="1705"/>
      <c r="R734" s="1705"/>
      <c r="S734" s="1705"/>
      <c r="T734" s="1705"/>
    </row>
    <row r="735" spans="1:20" ht="15.75" customHeight="1">
      <c r="A735" s="1705"/>
      <c r="B735" s="1705"/>
      <c r="C735" s="1705"/>
      <c r="D735" s="1705"/>
      <c r="E735" s="1705"/>
      <c r="F735" s="1705"/>
      <c r="G735" s="1705"/>
      <c r="H735" s="1705"/>
      <c r="I735" s="1705"/>
      <c r="J735" s="1705"/>
      <c r="K735" s="1705"/>
      <c r="L735" s="1705"/>
      <c r="M735" s="1705"/>
      <c r="N735" s="1705"/>
      <c r="O735" s="1705"/>
      <c r="P735" s="1705"/>
      <c r="Q735" s="1705"/>
      <c r="R735" s="1705"/>
      <c r="S735" s="1705"/>
      <c r="T735" s="1705"/>
    </row>
    <row r="736" spans="1:20" ht="15.75" customHeight="1">
      <c r="A736" s="1705"/>
      <c r="B736" s="1705"/>
      <c r="C736" s="1705"/>
      <c r="D736" s="1705"/>
      <c r="E736" s="1705"/>
      <c r="F736" s="1705"/>
      <c r="G736" s="1705"/>
      <c r="H736" s="1705"/>
      <c r="I736" s="1705"/>
      <c r="J736" s="1705"/>
      <c r="K736" s="1705"/>
      <c r="L736" s="1705"/>
      <c r="M736" s="1705"/>
      <c r="N736" s="1705"/>
      <c r="O736" s="1705"/>
      <c r="P736" s="1705"/>
      <c r="Q736" s="1705"/>
      <c r="R736" s="1705"/>
      <c r="S736" s="1705"/>
      <c r="T736" s="1705"/>
    </row>
    <row r="737" spans="1:20" ht="15.75" customHeight="1">
      <c r="A737" s="1705"/>
      <c r="B737" s="1705"/>
      <c r="C737" s="1705"/>
      <c r="D737" s="1705"/>
      <c r="E737" s="1705"/>
      <c r="F737" s="1705"/>
      <c r="G737" s="1705"/>
      <c r="H737" s="1705"/>
      <c r="I737" s="1705"/>
      <c r="J737" s="1705"/>
      <c r="K737" s="1705"/>
      <c r="L737" s="1705"/>
      <c r="M737" s="1705"/>
      <c r="N737" s="1705"/>
      <c r="O737" s="1705"/>
      <c r="P737" s="1705"/>
      <c r="Q737" s="1705"/>
      <c r="R737" s="1705"/>
      <c r="S737" s="1705"/>
      <c r="T737" s="1705"/>
    </row>
    <row r="738" spans="1:20" ht="15.75" customHeight="1">
      <c r="A738" s="1705"/>
      <c r="B738" s="1705"/>
      <c r="C738" s="1705"/>
      <c r="D738" s="1705"/>
      <c r="E738" s="1705"/>
      <c r="F738" s="1705"/>
      <c r="G738" s="1705"/>
      <c r="H738" s="1705"/>
      <c r="I738" s="1705"/>
      <c r="J738" s="1705"/>
      <c r="K738" s="1705"/>
      <c r="L738" s="1705"/>
      <c r="M738" s="1705"/>
      <c r="N738" s="1705"/>
      <c r="O738" s="1705"/>
      <c r="P738" s="1705"/>
      <c r="Q738" s="1705"/>
      <c r="R738" s="1705"/>
      <c r="S738" s="1705"/>
      <c r="T738" s="1705"/>
    </row>
    <row r="739" spans="1:20" ht="15.75" customHeight="1">
      <c r="A739" s="1705"/>
      <c r="B739" s="1705"/>
      <c r="C739" s="1705"/>
      <c r="D739" s="1705"/>
      <c r="E739" s="1705"/>
      <c r="F739" s="1705"/>
      <c r="G739" s="1705"/>
      <c r="H739" s="1705"/>
      <c r="I739" s="1705"/>
      <c r="J739" s="1705"/>
      <c r="K739" s="1705"/>
      <c r="L739" s="1705"/>
      <c r="M739" s="1705"/>
      <c r="N739" s="1705"/>
      <c r="O739" s="1705"/>
      <c r="P739" s="1705"/>
      <c r="Q739" s="1705"/>
      <c r="R739" s="1705"/>
      <c r="S739" s="1705"/>
      <c r="T739" s="1705"/>
    </row>
    <row r="740" spans="1:20" ht="15.75" customHeight="1">
      <c r="A740" s="1705"/>
      <c r="B740" s="1705"/>
      <c r="C740" s="1705"/>
      <c r="D740" s="1705"/>
      <c r="E740" s="1705"/>
      <c r="F740" s="1705"/>
      <c r="G740" s="1705"/>
      <c r="H740" s="1705"/>
      <c r="I740" s="1705"/>
      <c r="J740" s="1705"/>
      <c r="K740" s="1705"/>
      <c r="L740" s="1705"/>
      <c r="M740" s="1705"/>
      <c r="N740" s="1705"/>
      <c r="O740" s="1705"/>
      <c r="P740" s="1705"/>
      <c r="Q740" s="1705"/>
      <c r="R740" s="1705"/>
      <c r="S740" s="1705"/>
      <c r="T740" s="1705"/>
    </row>
    <row r="741" spans="1:20" ht="15.75" customHeight="1">
      <c r="A741" s="1705"/>
      <c r="B741" s="1705"/>
      <c r="C741" s="1705"/>
      <c r="D741" s="1705"/>
      <c r="E741" s="1705"/>
      <c r="F741" s="1705"/>
      <c r="G741" s="1705"/>
      <c r="H741" s="1705"/>
      <c r="I741" s="1705"/>
      <c r="J741" s="1705"/>
      <c r="K741" s="1705"/>
      <c r="L741" s="1705"/>
      <c r="M741" s="1705"/>
      <c r="N741" s="1705"/>
      <c r="O741" s="1705"/>
      <c r="P741" s="1705"/>
      <c r="Q741" s="1705"/>
      <c r="R741" s="1705"/>
      <c r="S741" s="1705"/>
      <c r="T741" s="1705"/>
    </row>
    <row r="742" spans="1:20" ht="15.75" customHeight="1">
      <c r="A742" s="1705"/>
      <c r="B742" s="1705"/>
      <c r="C742" s="1705"/>
      <c r="D742" s="1705"/>
      <c r="E742" s="1705"/>
      <c r="F742" s="1705"/>
      <c r="G742" s="1705"/>
      <c r="H742" s="1705"/>
      <c r="I742" s="1705"/>
      <c r="J742" s="1705"/>
      <c r="K742" s="1705"/>
      <c r="L742" s="1705"/>
      <c r="M742" s="1705"/>
      <c r="N742" s="1705"/>
      <c r="O742" s="1705"/>
      <c r="P742" s="1705"/>
      <c r="Q742" s="1705"/>
      <c r="R742" s="1705"/>
      <c r="S742" s="1705"/>
      <c r="T742" s="1705"/>
    </row>
    <row r="743" spans="1:20" ht="15.75" customHeight="1">
      <c r="A743" s="1705"/>
      <c r="B743" s="1705"/>
      <c r="C743" s="1705"/>
      <c r="D743" s="1705"/>
      <c r="E743" s="1705"/>
      <c r="F743" s="1705"/>
      <c r="G743" s="1705"/>
      <c r="H743" s="1705"/>
      <c r="I743" s="1705"/>
      <c r="J743" s="1705"/>
      <c r="K743" s="1705"/>
      <c r="L743" s="1705"/>
      <c r="M743" s="1705"/>
      <c r="N743" s="1705"/>
      <c r="O743" s="1705"/>
      <c r="P743" s="1705"/>
      <c r="Q743" s="1705"/>
      <c r="R743" s="1705"/>
      <c r="S743" s="1705"/>
      <c r="T743" s="1705"/>
    </row>
    <row r="744" spans="1:20" ht="15.75" customHeight="1">
      <c r="A744" s="1705"/>
      <c r="B744" s="1705"/>
      <c r="C744" s="1705"/>
      <c r="D744" s="1705"/>
      <c r="E744" s="1705"/>
      <c r="F744" s="1705"/>
      <c r="G744" s="1705"/>
      <c r="H744" s="1705"/>
      <c r="I744" s="1705"/>
      <c r="J744" s="1705"/>
      <c r="K744" s="1705"/>
      <c r="L744" s="1705"/>
      <c r="M744" s="1705"/>
      <c r="N744" s="1705"/>
      <c r="O744" s="1705"/>
      <c r="P744" s="1705"/>
      <c r="Q744" s="1705"/>
      <c r="R744" s="1705"/>
      <c r="S744" s="1705"/>
      <c r="T744" s="1705"/>
    </row>
    <row r="745" spans="1:20" ht="15.75" customHeight="1">
      <c r="A745" s="1705"/>
      <c r="B745" s="1705"/>
      <c r="C745" s="1705"/>
      <c r="D745" s="1705"/>
      <c r="E745" s="1705"/>
      <c r="F745" s="1705"/>
      <c r="G745" s="1705"/>
      <c r="H745" s="1705"/>
      <c r="I745" s="1705"/>
      <c r="J745" s="1705"/>
      <c r="K745" s="1705"/>
      <c r="L745" s="1705"/>
      <c r="M745" s="1705"/>
      <c r="N745" s="1705"/>
      <c r="O745" s="1705"/>
      <c r="P745" s="1705"/>
      <c r="Q745" s="1705"/>
      <c r="R745" s="1705"/>
      <c r="S745" s="1705"/>
      <c r="T745" s="1705"/>
    </row>
    <row r="746" spans="1:20" ht="15.75" customHeight="1">
      <c r="A746" s="1705"/>
      <c r="B746" s="1705"/>
      <c r="C746" s="1705"/>
      <c r="D746" s="1705"/>
      <c r="E746" s="1705"/>
      <c r="F746" s="1705"/>
      <c r="G746" s="1705"/>
      <c r="H746" s="1705"/>
      <c r="I746" s="1705"/>
      <c r="J746" s="1705"/>
      <c r="K746" s="1705"/>
      <c r="L746" s="1705"/>
      <c r="M746" s="1705"/>
      <c r="N746" s="1705"/>
      <c r="O746" s="1705"/>
      <c r="P746" s="1705"/>
      <c r="Q746" s="1705"/>
      <c r="R746" s="1705"/>
      <c r="S746" s="1705"/>
      <c r="T746" s="1705"/>
    </row>
    <row r="747" spans="1:20" ht="15.75" customHeight="1">
      <c r="A747" s="1705"/>
      <c r="B747" s="1705"/>
      <c r="C747" s="1705"/>
      <c r="D747" s="1705"/>
      <c r="E747" s="1705"/>
      <c r="F747" s="1705"/>
      <c r="G747" s="1705"/>
      <c r="H747" s="1705"/>
      <c r="I747" s="1705"/>
      <c r="J747" s="1705"/>
      <c r="K747" s="1705"/>
      <c r="L747" s="1705"/>
      <c r="M747" s="1705"/>
      <c r="N747" s="1705"/>
      <c r="O747" s="1705"/>
      <c r="P747" s="1705"/>
      <c r="Q747" s="1705"/>
      <c r="R747" s="1705"/>
      <c r="S747" s="1705"/>
      <c r="T747" s="1705"/>
    </row>
    <row r="748" spans="1:20" ht="15.75" customHeight="1">
      <c r="A748" s="1705"/>
      <c r="B748" s="1705"/>
      <c r="C748" s="1705"/>
      <c r="D748" s="1705"/>
      <c r="E748" s="1705"/>
      <c r="F748" s="1705"/>
      <c r="G748" s="1705"/>
      <c r="H748" s="1705"/>
      <c r="I748" s="1705"/>
      <c r="J748" s="1705"/>
      <c r="K748" s="1705"/>
      <c r="L748" s="1705"/>
      <c r="M748" s="1705"/>
      <c r="N748" s="1705"/>
      <c r="O748" s="1705"/>
      <c r="P748" s="1705"/>
      <c r="Q748" s="1705"/>
      <c r="R748" s="1705"/>
      <c r="S748" s="1705"/>
      <c r="T748" s="1705"/>
    </row>
    <row r="749" spans="1:20" ht="15.75" customHeight="1">
      <c r="A749" s="1705"/>
      <c r="B749" s="1705"/>
      <c r="C749" s="1705"/>
      <c r="D749" s="1705"/>
      <c r="E749" s="1705"/>
      <c r="F749" s="1705"/>
      <c r="G749" s="1705"/>
      <c r="H749" s="1705"/>
      <c r="I749" s="1705"/>
      <c r="J749" s="1705"/>
      <c r="K749" s="1705"/>
      <c r="L749" s="1705"/>
      <c r="M749" s="1705"/>
      <c r="N749" s="1705"/>
      <c r="O749" s="1705"/>
      <c r="P749" s="1705"/>
      <c r="Q749" s="1705"/>
      <c r="R749" s="1705"/>
      <c r="S749" s="1705"/>
      <c r="T749" s="1705"/>
    </row>
    <row r="750" spans="1:20" ht="15.75" customHeight="1">
      <c r="A750" s="1705"/>
      <c r="B750" s="1705"/>
      <c r="C750" s="1705"/>
      <c r="D750" s="1705"/>
      <c r="E750" s="1705"/>
      <c r="F750" s="1705"/>
      <c r="G750" s="1705"/>
      <c r="H750" s="1705"/>
      <c r="I750" s="1705"/>
      <c r="J750" s="1705"/>
      <c r="K750" s="1705"/>
      <c r="L750" s="1705"/>
      <c r="M750" s="1705"/>
      <c r="N750" s="1705"/>
      <c r="O750" s="1705"/>
      <c r="P750" s="1705"/>
      <c r="Q750" s="1705"/>
      <c r="R750" s="1705"/>
      <c r="S750" s="1705"/>
      <c r="T750" s="1705"/>
    </row>
    <row r="751" spans="1:20" ht="15.75" customHeight="1">
      <c r="A751" s="1705"/>
      <c r="B751" s="1705"/>
      <c r="C751" s="1705"/>
      <c r="D751" s="1705"/>
      <c r="E751" s="1705"/>
      <c r="F751" s="1705"/>
      <c r="G751" s="1705"/>
      <c r="H751" s="1705"/>
      <c r="I751" s="1705"/>
      <c r="J751" s="1705"/>
      <c r="K751" s="1705"/>
      <c r="L751" s="1705"/>
      <c r="M751" s="1705"/>
      <c r="N751" s="1705"/>
      <c r="O751" s="1705"/>
      <c r="P751" s="1705"/>
      <c r="Q751" s="1705"/>
      <c r="R751" s="1705"/>
      <c r="S751" s="1705"/>
      <c r="T751" s="1705"/>
    </row>
    <row r="752" spans="1:20" ht="15.75" customHeight="1">
      <c r="A752" s="1705"/>
      <c r="B752" s="1705"/>
      <c r="C752" s="1705"/>
      <c r="D752" s="1705"/>
      <c r="E752" s="1705"/>
      <c r="F752" s="1705"/>
      <c r="G752" s="1705"/>
      <c r="H752" s="1705"/>
      <c r="I752" s="1705"/>
      <c r="J752" s="1705"/>
      <c r="K752" s="1705"/>
      <c r="L752" s="1705"/>
      <c r="M752" s="1705"/>
      <c r="N752" s="1705"/>
      <c r="O752" s="1705"/>
      <c r="P752" s="1705"/>
      <c r="Q752" s="1705"/>
      <c r="R752" s="1705"/>
      <c r="S752" s="1705"/>
      <c r="T752" s="1705"/>
    </row>
    <row r="753" spans="1:20" ht="15.75" customHeight="1">
      <c r="A753" s="1705"/>
      <c r="B753" s="1705"/>
      <c r="C753" s="1705"/>
      <c r="D753" s="1705"/>
      <c r="E753" s="1705"/>
      <c r="F753" s="1705"/>
      <c r="G753" s="1705"/>
      <c r="H753" s="1705"/>
      <c r="I753" s="1705"/>
      <c r="J753" s="1705"/>
      <c r="K753" s="1705"/>
      <c r="L753" s="1705"/>
      <c r="M753" s="1705"/>
      <c r="N753" s="1705"/>
      <c r="O753" s="1705"/>
      <c r="P753" s="1705"/>
      <c r="Q753" s="1705"/>
      <c r="R753" s="1705"/>
      <c r="S753" s="1705"/>
      <c r="T753" s="1705"/>
    </row>
    <row r="754" spans="1:20" ht="15.75" customHeight="1">
      <c r="A754" s="1705"/>
      <c r="B754" s="1705"/>
      <c r="C754" s="1705"/>
      <c r="D754" s="1705"/>
      <c r="E754" s="1705"/>
      <c r="F754" s="1705"/>
      <c r="G754" s="1705"/>
      <c r="H754" s="1705"/>
      <c r="I754" s="1705"/>
      <c r="J754" s="1705"/>
      <c r="K754" s="1705"/>
      <c r="L754" s="1705"/>
      <c r="M754" s="1705"/>
      <c r="N754" s="1705"/>
      <c r="O754" s="1705"/>
      <c r="P754" s="1705"/>
      <c r="Q754" s="1705"/>
      <c r="R754" s="1705"/>
      <c r="S754" s="1705"/>
      <c r="T754" s="1705"/>
    </row>
    <row r="755" spans="1:20" ht="15.75" customHeight="1">
      <c r="A755" s="1705"/>
      <c r="B755" s="1705"/>
      <c r="C755" s="1705"/>
      <c r="D755" s="1705"/>
      <c r="E755" s="1705"/>
      <c r="F755" s="1705"/>
      <c r="G755" s="1705"/>
      <c r="H755" s="1705"/>
      <c r="I755" s="1705"/>
      <c r="J755" s="1705"/>
      <c r="K755" s="1705"/>
      <c r="L755" s="1705"/>
      <c r="M755" s="1705"/>
      <c r="N755" s="1705"/>
      <c r="O755" s="1705"/>
      <c r="P755" s="1705"/>
      <c r="Q755" s="1705"/>
      <c r="R755" s="1705"/>
      <c r="S755" s="1705"/>
      <c r="T755" s="1705"/>
    </row>
    <row r="756" spans="1:20" ht="15.75" customHeight="1">
      <c r="A756" s="1705"/>
      <c r="B756" s="1705"/>
      <c r="C756" s="1705"/>
      <c r="D756" s="1705"/>
      <c r="E756" s="1705"/>
      <c r="F756" s="1705"/>
      <c r="G756" s="1705"/>
      <c r="H756" s="1705"/>
      <c r="I756" s="1705"/>
      <c r="J756" s="1705"/>
      <c r="K756" s="1705"/>
      <c r="L756" s="1705"/>
      <c r="M756" s="1705"/>
      <c r="N756" s="1705"/>
      <c r="O756" s="1705"/>
      <c r="P756" s="1705"/>
      <c r="Q756" s="1705"/>
      <c r="R756" s="1705"/>
      <c r="S756" s="1705"/>
      <c r="T756" s="1705"/>
    </row>
    <row r="757" spans="1:20" ht="15.75" customHeight="1">
      <c r="A757" s="1705"/>
      <c r="B757" s="1705"/>
      <c r="C757" s="1705"/>
      <c r="D757" s="1705"/>
      <c r="E757" s="1705"/>
      <c r="F757" s="1705"/>
      <c r="G757" s="1705"/>
      <c r="H757" s="1705"/>
      <c r="I757" s="1705"/>
      <c r="J757" s="1705"/>
      <c r="K757" s="1705"/>
      <c r="L757" s="1705"/>
      <c r="M757" s="1705"/>
      <c r="N757" s="1705"/>
      <c r="O757" s="1705"/>
      <c r="P757" s="1705"/>
      <c r="Q757" s="1705"/>
      <c r="R757" s="1705"/>
      <c r="S757" s="1705"/>
      <c r="T757" s="1705"/>
    </row>
    <row r="758" spans="1:20" ht="15.75" customHeight="1">
      <c r="A758" s="1705"/>
      <c r="B758" s="1705"/>
      <c r="C758" s="1705"/>
      <c r="D758" s="1705"/>
      <c r="E758" s="1705"/>
      <c r="F758" s="1705"/>
      <c r="G758" s="1705"/>
      <c r="H758" s="1705"/>
      <c r="I758" s="1705"/>
      <c r="J758" s="1705"/>
      <c r="K758" s="1705"/>
      <c r="L758" s="1705"/>
      <c r="M758" s="1705"/>
      <c r="N758" s="1705"/>
      <c r="O758" s="1705"/>
      <c r="P758" s="1705"/>
      <c r="Q758" s="1705"/>
      <c r="R758" s="1705"/>
      <c r="S758" s="1705"/>
      <c r="T758" s="1705"/>
    </row>
    <row r="759" spans="1:20" ht="15.75" customHeight="1">
      <c r="A759" s="1705"/>
      <c r="B759" s="1705"/>
      <c r="C759" s="1705"/>
      <c r="D759" s="1705"/>
      <c r="E759" s="1705"/>
      <c r="F759" s="1705"/>
      <c r="G759" s="1705"/>
      <c r="H759" s="1705"/>
      <c r="I759" s="1705"/>
      <c r="J759" s="1705"/>
      <c r="K759" s="1705"/>
      <c r="L759" s="1705"/>
      <c r="M759" s="1705"/>
      <c r="N759" s="1705"/>
      <c r="O759" s="1705"/>
      <c r="P759" s="1705"/>
      <c r="Q759" s="1705"/>
      <c r="R759" s="1705"/>
      <c r="S759" s="1705"/>
      <c r="T759" s="1705"/>
    </row>
    <row r="760" spans="1:20" ht="15.75" customHeight="1">
      <c r="A760" s="1705"/>
      <c r="B760" s="1705"/>
      <c r="C760" s="1705"/>
      <c r="D760" s="1705"/>
      <c r="E760" s="1705"/>
      <c r="F760" s="1705"/>
      <c r="G760" s="1705"/>
      <c r="H760" s="1705"/>
      <c r="I760" s="1705"/>
      <c r="J760" s="1705"/>
      <c r="K760" s="1705"/>
      <c r="L760" s="1705"/>
      <c r="M760" s="1705"/>
      <c r="N760" s="1705"/>
      <c r="O760" s="1705"/>
      <c r="P760" s="1705"/>
      <c r="Q760" s="1705"/>
      <c r="R760" s="1705"/>
      <c r="S760" s="1705"/>
      <c r="T760" s="1705"/>
    </row>
    <row r="761" spans="1:20" ht="15.75" customHeight="1">
      <c r="A761" s="1705"/>
      <c r="B761" s="1705"/>
      <c r="C761" s="1705"/>
      <c r="D761" s="1705"/>
      <c r="E761" s="1705"/>
      <c r="F761" s="1705"/>
      <c r="G761" s="1705"/>
      <c r="H761" s="1705"/>
      <c r="I761" s="1705"/>
      <c r="J761" s="1705"/>
      <c r="K761" s="1705"/>
      <c r="L761" s="1705"/>
      <c r="M761" s="1705"/>
      <c r="N761" s="1705"/>
      <c r="O761" s="1705"/>
      <c r="P761" s="1705"/>
      <c r="Q761" s="1705"/>
      <c r="R761" s="1705"/>
      <c r="S761" s="1705"/>
      <c r="T761" s="1705"/>
    </row>
    <row r="762" spans="1:20" ht="15.75" customHeight="1">
      <c r="A762" s="1705"/>
      <c r="B762" s="1705"/>
      <c r="C762" s="1705"/>
      <c r="D762" s="1705"/>
      <c r="E762" s="1705"/>
      <c r="F762" s="1705"/>
      <c r="G762" s="1705"/>
      <c r="H762" s="1705"/>
      <c r="I762" s="1705"/>
      <c r="J762" s="1705"/>
      <c r="K762" s="1705"/>
      <c r="L762" s="1705"/>
      <c r="M762" s="1705"/>
      <c r="N762" s="1705"/>
      <c r="O762" s="1705"/>
      <c r="P762" s="1705"/>
      <c r="Q762" s="1705"/>
      <c r="R762" s="1705"/>
      <c r="S762" s="1705"/>
      <c r="T762" s="1705"/>
    </row>
    <row r="763" spans="1:20" ht="15.75" customHeight="1">
      <c r="A763" s="1705"/>
      <c r="B763" s="1705"/>
      <c r="C763" s="1705"/>
      <c r="D763" s="1705"/>
      <c r="E763" s="1705"/>
      <c r="F763" s="1705"/>
      <c r="G763" s="1705"/>
      <c r="H763" s="1705"/>
      <c r="I763" s="1705"/>
      <c r="J763" s="1705"/>
      <c r="K763" s="1705"/>
      <c r="L763" s="1705"/>
      <c r="M763" s="1705"/>
      <c r="N763" s="1705"/>
      <c r="O763" s="1705"/>
      <c r="P763" s="1705"/>
      <c r="Q763" s="1705"/>
      <c r="R763" s="1705"/>
      <c r="S763" s="1705"/>
      <c r="T763" s="1705"/>
    </row>
    <row r="764" spans="1:20" ht="15.75" customHeight="1">
      <c r="A764" s="1705"/>
      <c r="B764" s="1705"/>
      <c r="C764" s="1705"/>
      <c r="D764" s="1705"/>
      <c r="E764" s="1705"/>
      <c r="F764" s="1705"/>
      <c r="G764" s="1705"/>
      <c r="H764" s="1705"/>
      <c r="I764" s="1705"/>
      <c r="J764" s="1705"/>
      <c r="K764" s="1705"/>
      <c r="L764" s="1705"/>
      <c r="M764" s="1705"/>
      <c r="N764" s="1705"/>
      <c r="O764" s="1705"/>
      <c r="P764" s="1705"/>
      <c r="Q764" s="1705"/>
      <c r="R764" s="1705"/>
      <c r="S764" s="1705"/>
      <c r="T764" s="1705"/>
    </row>
    <row r="765" spans="1:20" ht="15.75" customHeight="1">
      <c r="A765" s="1705"/>
      <c r="B765" s="1705"/>
      <c r="C765" s="1705"/>
      <c r="D765" s="1705"/>
      <c r="E765" s="1705"/>
      <c r="F765" s="1705"/>
      <c r="G765" s="1705"/>
      <c r="H765" s="1705"/>
      <c r="I765" s="1705"/>
      <c r="J765" s="1705"/>
      <c r="K765" s="1705"/>
      <c r="L765" s="1705"/>
      <c r="M765" s="1705"/>
      <c r="N765" s="1705"/>
      <c r="O765" s="1705"/>
      <c r="P765" s="1705"/>
      <c r="Q765" s="1705"/>
      <c r="R765" s="1705"/>
      <c r="S765" s="1705"/>
      <c r="T765" s="1705"/>
    </row>
    <row r="766" spans="1:20" ht="15.75" customHeight="1">
      <c r="A766" s="1705"/>
      <c r="B766" s="1705"/>
      <c r="C766" s="1705"/>
      <c r="D766" s="1705"/>
      <c r="E766" s="1705"/>
      <c r="F766" s="1705"/>
      <c r="G766" s="1705"/>
      <c r="H766" s="1705"/>
      <c r="I766" s="1705"/>
      <c r="J766" s="1705"/>
      <c r="K766" s="1705"/>
      <c r="L766" s="1705"/>
      <c r="M766" s="1705"/>
      <c r="N766" s="1705"/>
      <c r="O766" s="1705"/>
      <c r="P766" s="1705"/>
      <c r="Q766" s="1705"/>
      <c r="R766" s="1705"/>
      <c r="S766" s="1705"/>
      <c r="T766" s="1705"/>
    </row>
    <row r="767" spans="1:20" ht="15.75" customHeight="1">
      <c r="A767" s="1705"/>
      <c r="B767" s="1705"/>
      <c r="C767" s="1705"/>
      <c r="D767" s="1705"/>
      <c r="E767" s="1705"/>
      <c r="F767" s="1705"/>
      <c r="G767" s="1705"/>
      <c r="H767" s="1705"/>
      <c r="I767" s="1705"/>
      <c r="J767" s="1705"/>
      <c r="K767" s="1705"/>
      <c r="L767" s="1705"/>
      <c r="M767" s="1705"/>
      <c r="N767" s="1705"/>
      <c r="O767" s="1705"/>
      <c r="P767" s="1705"/>
      <c r="Q767" s="1705"/>
      <c r="R767" s="1705"/>
      <c r="S767" s="1705"/>
      <c r="T767" s="1705"/>
    </row>
    <row r="768" spans="1:20" ht="15.75" customHeight="1">
      <c r="A768" s="1705"/>
      <c r="B768" s="1705"/>
      <c r="C768" s="1705"/>
      <c r="D768" s="1705"/>
      <c r="E768" s="1705"/>
      <c r="F768" s="1705"/>
      <c r="G768" s="1705"/>
      <c r="H768" s="1705"/>
      <c r="I768" s="1705"/>
      <c r="J768" s="1705"/>
      <c r="K768" s="1705"/>
      <c r="L768" s="1705"/>
      <c r="M768" s="1705"/>
      <c r="N768" s="1705"/>
      <c r="O768" s="1705"/>
      <c r="P768" s="1705"/>
      <c r="Q768" s="1705"/>
      <c r="R768" s="1705"/>
      <c r="S768" s="1705"/>
      <c r="T768" s="1705"/>
    </row>
    <row r="769" spans="1:20" ht="15.75" customHeight="1">
      <c r="A769" s="1705"/>
      <c r="B769" s="1705"/>
      <c r="C769" s="1705"/>
      <c r="D769" s="1705"/>
      <c r="E769" s="1705"/>
      <c r="F769" s="1705"/>
      <c r="G769" s="1705"/>
      <c r="H769" s="1705"/>
      <c r="I769" s="1705"/>
      <c r="J769" s="1705"/>
      <c r="K769" s="1705"/>
      <c r="L769" s="1705"/>
      <c r="M769" s="1705"/>
      <c r="N769" s="1705"/>
      <c r="O769" s="1705"/>
      <c r="P769" s="1705"/>
      <c r="Q769" s="1705"/>
      <c r="R769" s="1705"/>
      <c r="S769" s="1705"/>
      <c r="T769" s="1705"/>
    </row>
    <row r="770" spans="1:20" ht="15.75" customHeight="1">
      <c r="A770" s="1705"/>
      <c r="B770" s="1705"/>
      <c r="C770" s="1705"/>
      <c r="D770" s="1705"/>
      <c r="E770" s="1705"/>
      <c r="F770" s="1705"/>
      <c r="G770" s="1705"/>
      <c r="H770" s="1705"/>
      <c r="I770" s="1705"/>
      <c r="J770" s="1705"/>
      <c r="K770" s="1705"/>
      <c r="L770" s="1705"/>
      <c r="M770" s="1705"/>
      <c r="N770" s="1705"/>
      <c r="O770" s="1705"/>
      <c r="P770" s="1705"/>
      <c r="Q770" s="1705"/>
      <c r="R770" s="1705"/>
      <c r="S770" s="1705"/>
      <c r="T770" s="1705"/>
    </row>
    <row r="771" spans="1:20" ht="15.75" customHeight="1">
      <c r="A771" s="1705"/>
      <c r="B771" s="1705"/>
      <c r="C771" s="1705"/>
      <c r="D771" s="1705"/>
      <c r="E771" s="1705"/>
      <c r="F771" s="1705"/>
      <c r="G771" s="1705"/>
      <c r="H771" s="1705"/>
      <c r="I771" s="1705"/>
      <c r="J771" s="1705"/>
      <c r="K771" s="1705"/>
      <c r="L771" s="1705"/>
      <c r="M771" s="1705"/>
      <c r="N771" s="1705"/>
      <c r="O771" s="1705"/>
      <c r="P771" s="1705"/>
      <c r="Q771" s="1705"/>
      <c r="R771" s="1705"/>
      <c r="S771" s="1705"/>
      <c r="T771" s="1705"/>
    </row>
    <row r="772" spans="1:20" ht="15.75" customHeight="1">
      <c r="A772" s="1705"/>
      <c r="B772" s="1705"/>
      <c r="C772" s="1705"/>
      <c r="D772" s="1705"/>
      <c r="E772" s="1705"/>
      <c r="F772" s="1705"/>
      <c r="G772" s="1705"/>
      <c r="H772" s="1705"/>
      <c r="I772" s="1705"/>
      <c r="J772" s="1705"/>
      <c r="K772" s="1705"/>
      <c r="L772" s="1705"/>
      <c r="M772" s="1705"/>
      <c r="N772" s="1705"/>
      <c r="O772" s="1705"/>
      <c r="P772" s="1705"/>
      <c r="Q772" s="1705"/>
      <c r="R772" s="1705"/>
      <c r="S772" s="1705"/>
      <c r="T772" s="1705"/>
    </row>
    <row r="773" spans="1:20" ht="15.75" customHeight="1">
      <c r="A773" s="1705"/>
      <c r="B773" s="1705"/>
      <c r="C773" s="1705"/>
      <c r="D773" s="1705"/>
      <c r="E773" s="1705"/>
      <c r="F773" s="1705"/>
      <c r="G773" s="1705"/>
      <c r="H773" s="1705"/>
      <c r="I773" s="1705"/>
      <c r="J773" s="1705"/>
      <c r="K773" s="1705"/>
      <c r="L773" s="1705"/>
      <c r="M773" s="1705"/>
      <c r="N773" s="1705"/>
      <c r="O773" s="1705"/>
      <c r="P773" s="1705"/>
      <c r="Q773" s="1705"/>
      <c r="R773" s="1705"/>
      <c r="S773" s="1705"/>
      <c r="T773" s="1705"/>
    </row>
    <row r="774" spans="1:20" ht="15.75" customHeight="1">
      <c r="A774" s="1705"/>
      <c r="B774" s="1705"/>
      <c r="C774" s="1705"/>
      <c r="D774" s="1705"/>
      <c r="E774" s="1705"/>
      <c r="F774" s="1705"/>
      <c r="G774" s="1705"/>
      <c r="H774" s="1705"/>
      <c r="I774" s="1705"/>
      <c r="J774" s="1705"/>
      <c r="K774" s="1705"/>
      <c r="L774" s="1705"/>
      <c r="M774" s="1705"/>
      <c r="N774" s="1705"/>
      <c r="O774" s="1705"/>
      <c r="P774" s="1705"/>
      <c r="Q774" s="1705"/>
      <c r="R774" s="1705"/>
      <c r="S774" s="1705"/>
      <c r="T774" s="1705"/>
    </row>
    <row r="775" spans="1:20" ht="15.75" customHeight="1">
      <c r="A775" s="1705"/>
      <c r="B775" s="1705"/>
      <c r="C775" s="1705"/>
      <c r="D775" s="1705"/>
      <c r="E775" s="1705"/>
      <c r="F775" s="1705"/>
      <c r="G775" s="1705"/>
      <c r="H775" s="1705"/>
      <c r="I775" s="1705"/>
      <c r="J775" s="1705"/>
      <c r="K775" s="1705"/>
      <c r="L775" s="1705"/>
      <c r="M775" s="1705"/>
      <c r="N775" s="1705"/>
      <c r="O775" s="1705"/>
      <c r="P775" s="1705"/>
      <c r="Q775" s="1705"/>
      <c r="R775" s="1705"/>
      <c r="S775" s="1705"/>
      <c r="T775" s="1705"/>
    </row>
    <row r="776" spans="1:20" ht="15.75" customHeight="1">
      <c r="A776" s="1705"/>
      <c r="B776" s="1705"/>
      <c r="C776" s="1705"/>
      <c r="D776" s="1705"/>
      <c r="E776" s="1705"/>
      <c r="F776" s="1705"/>
      <c r="G776" s="1705"/>
      <c r="H776" s="1705"/>
      <c r="I776" s="1705"/>
      <c r="J776" s="1705"/>
      <c r="K776" s="1705"/>
      <c r="L776" s="1705"/>
      <c r="M776" s="1705"/>
      <c r="N776" s="1705"/>
      <c r="O776" s="1705"/>
      <c r="P776" s="1705"/>
      <c r="Q776" s="1705"/>
      <c r="R776" s="1705"/>
      <c r="S776" s="1705"/>
      <c r="T776" s="1705"/>
    </row>
    <row r="777" spans="1:20" ht="15.75" customHeight="1">
      <c r="A777" s="1705"/>
      <c r="B777" s="1705"/>
      <c r="C777" s="1705"/>
      <c r="D777" s="1705"/>
      <c r="E777" s="1705"/>
      <c r="F777" s="1705"/>
      <c r="G777" s="1705"/>
      <c r="H777" s="1705"/>
      <c r="I777" s="1705"/>
      <c r="J777" s="1705"/>
      <c r="K777" s="1705"/>
      <c r="L777" s="1705"/>
      <c r="M777" s="1705"/>
      <c r="N777" s="1705"/>
      <c r="O777" s="1705"/>
      <c r="P777" s="1705"/>
      <c r="Q777" s="1705"/>
      <c r="R777" s="1705"/>
      <c r="S777" s="1705"/>
      <c r="T777" s="1705"/>
    </row>
    <row r="778" spans="1:20" ht="15.75" customHeight="1">
      <c r="A778" s="1705"/>
      <c r="B778" s="1705"/>
      <c r="C778" s="1705"/>
      <c r="D778" s="1705"/>
      <c r="E778" s="1705"/>
      <c r="F778" s="1705"/>
      <c r="G778" s="1705"/>
      <c r="H778" s="1705"/>
      <c r="I778" s="1705"/>
      <c r="J778" s="1705"/>
      <c r="K778" s="1705"/>
      <c r="L778" s="1705"/>
      <c r="M778" s="1705"/>
      <c r="N778" s="1705"/>
      <c r="O778" s="1705"/>
      <c r="P778" s="1705"/>
      <c r="Q778" s="1705"/>
      <c r="R778" s="1705"/>
      <c r="S778" s="1705"/>
      <c r="T778" s="1705"/>
    </row>
    <row r="779" spans="1:20" ht="15.75" customHeight="1">
      <c r="A779" s="1705"/>
      <c r="B779" s="1705"/>
      <c r="C779" s="1705"/>
      <c r="D779" s="1705"/>
      <c r="E779" s="1705"/>
      <c r="F779" s="1705"/>
      <c r="G779" s="1705"/>
      <c r="H779" s="1705"/>
      <c r="I779" s="1705"/>
      <c r="J779" s="1705"/>
      <c r="K779" s="1705"/>
      <c r="L779" s="1705"/>
      <c r="M779" s="1705"/>
      <c r="N779" s="1705"/>
      <c r="O779" s="1705"/>
      <c r="P779" s="1705"/>
      <c r="Q779" s="1705"/>
      <c r="R779" s="1705"/>
      <c r="S779" s="1705"/>
      <c r="T779" s="1705"/>
    </row>
    <row r="780" spans="1:20" ht="15.75" customHeight="1">
      <c r="A780" s="1705"/>
      <c r="B780" s="1705"/>
      <c r="C780" s="1705"/>
      <c r="D780" s="1705"/>
      <c r="E780" s="1705"/>
      <c r="F780" s="1705"/>
      <c r="G780" s="1705"/>
      <c r="H780" s="1705"/>
      <c r="I780" s="1705"/>
      <c r="J780" s="1705"/>
      <c r="K780" s="1705"/>
      <c r="L780" s="1705"/>
      <c r="M780" s="1705"/>
      <c r="N780" s="1705"/>
      <c r="O780" s="1705"/>
      <c r="P780" s="1705"/>
      <c r="Q780" s="1705"/>
      <c r="R780" s="1705"/>
      <c r="S780" s="1705"/>
      <c r="T780" s="1705"/>
    </row>
    <row r="781" spans="1:20" ht="15.75" customHeight="1">
      <c r="A781" s="1705"/>
      <c r="B781" s="1705"/>
      <c r="C781" s="1705"/>
      <c r="D781" s="1705"/>
      <c r="E781" s="1705"/>
      <c r="F781" s="1705"/>
      <c r="G781" s="1705"/>
      <c r="H781" s="1705"/>
      <c r="I781" s="1705"/>
      <c r="J781" s="1705"/>
      <c r="K781" s="1705"/>
      <c r="L781" s="1705"/>
      <c r="M781" s="1705"/>
      <c r="N781" s="1705"/>
      <c r="O781" s="1705"/>
      <c r="P781" s="1705"/>
      <c r="Q781" s="1705"/>
      <c r="R781" s="1705"/>
      <c r="S781" s="1705"/>
      <c r="T781" s="1705"/>
    </row>
    <row r="782" spans="1:20" ht="15.75" customHeight="1">
      <c r="A782" s="1705"/>
      <c r="B782" s="1705"/>
      <c r="C782" s="1705"/>
      <c r="D782" s="1705"/>
      <c r="E782" s="1705"/>
      <c r="F782" s="1705"/>
      <c r="G782" s="1705"/>
      <c r="H782" s="1705"/>
      <c r="I782" s="1705"/>
      <c r="J782" s="1705"/>
      <c r="K782" s="1705"/>
      <c r="L782" s="1705"/>
      <c r="M782" s="1705"/>
      <c r="N782" s="1705"/>
      <c r="O782" s="1705"/>
      <c r="P782" s="1705"/>
      <c r="Q782" s="1705"/>
      <c r="R782" s="1705"/>
      <c r="S782" s="1705"/>
      <c r="T782" s="1705"/>
    </row>
    <row r="783" spans="1:20" ht="15.75" customHeight="1">
      <c r="A783" s="1705"/>
      <c r="B783" s="1705"/>
      <c r="C783" s="1705"/>
      <c r="D783" s="1705"/>
      <c r="E783" s="1705"/>
      <c r="F783" s="1705"/>
      <c r="G783" s="1705"/>
      <c r="H783" s="1705"/>
      <c r="I783" s="1705"/>
      <c r="J783" s="1705"/>
      <c r="K783" s="1705"/>
      <c r="L783" s="1705"/>
      <c r="M783" s="1705"/>
      <c r="N783" s="1705"/>
      <c r="O783" s="1705"/>
      <c r="P783" s="1705"/>
      <c r="Q783" s="1705"/>
      <c r="R783" s="1705"/>
      <c r="S783" s="1705"/>
      <c r="T783" s="1705"/>
    </row>
    <row r="784" spans="1:20" ht="15.75" customHeight="1">
      <c r="A784" s="1705"/>
      <c r="B784" s="1705"/>
      <c r="C784" s="1705"/>
      <c r="D784" s="1705"/>
      <c r="E784" s="1705"/>
      <c r="F784" s="1705"/>
      <c r="G784" s="1705"/>
      <c r="H784" s="1705"/>
      <c r="I784" s="1705"/>
      <c r="J784" s="1705"/>
      <c r="K784" s="1705"/>
      <c r="L784" s="1705"/>
      <c r="M784" s="1705"/>
      <c r="N784" s="1705"/>
      <c r="O784" s="1705"/>
      <c r="P784" s="1705"/>
      <c r="Q784" s="1705"/>
      <c r="R784" s="1705"/>
      <c r="S784" s="1705"/>
      <c r="T784" s="1705"/>
    </row>
    <row r="785" spans="1:20" ht="15.75" customHeight="1">
      <c r="A785" s="1705"/>
      <c r="B785" s="1705"/>
      <c r="C785" s="1705"/>
      <c r="D785" s="1705"/>
      <c r="E785" s="1705"/>
      <c r="F785" s="1705"/>
      <c r="G785" s="1705"/>
      <c r="H785" s="1705"/>
      <c r="I785" s="1705"/>
      <c r="J785" s="1705"/>
      <c r="K785" s="1705"/>
      <c r="L785" s="1705"/>
      <c r="M785" s="1705"/>
      <c r="N785" s="1705"/>
      <c r="O785" s="1705"/>
      <c r="P785" s="1705"/>
      <c r="Q785" s="1705"/>
      <c r="R785" s="1705"/>
      <c r="S785" s="1705"/>
      <c r="T785" s="1705"/>
    </row>
    <row r="786" spans="1:20" ht="15.75" customHeight="1">
      <c r="A786" s="1705"/>
      <c r="B786" s="1705"/>
      <c r="C786" s="1705"/>
      <c r="D786" s="1705"/>
      <c r="E786" s="1705"/>
      <c r="F786" s="1705"/>
      <c r="G786" s="1705"/>
      <c r="H786" s="1705"/>
      <c r="I786" s="1705"/>
      <c r="J786" s="1705"/>
      <c r="K786" s="1705"/>
      <c r="L786" s="1705"/>
      <c r="M786" s="1705"/>
      <c r="N786" s="1705"/>
      <c r="O786" s="1705"/>
      <c r="P786" s="1705"/>
      <c r="Q786" s="1705"/>
      <c r="R786" s="1705"/>
      <c r="S786" s="1705"/>
      <c r="T786" s="1705"/>
    </row>
    <row r="787" spans="1:20" ht="15.75" customHeight="1">
      <c r="A787" s="1705"/>
      <c r="B787" s="1705"/>
      <c r="C787" s="1705"/>
      <c r="D787" s="1705"/>
      <c r="E787" s="1705"/>
      <c r="F787" s="1705"/>
      <c r="G787" s="1705"/>
      <c r="H787" s="1705"/>
      <c r="I787" s="1705"/>
      <c r="J787" s="1705"/>
      <c r="K787" s="1705"/>
      <c r="L787" s="1705"/>
      <c r="M787" s="1705"/>
      <c r="N787" s="1705"/>
      <c r="O787" s="1705"/>
      <c r="P787" s="1705"/>
      <c r="Q787" s="1705"/>
      <c r="R787" s="1705"/>
      <c r="S787" s="1705"/>
      <c r="T787" s="1705"/>
    </row>
    <row r="788" spans="1:20" ht="15.75" customHeight="1">
      <c r="A788" s="1705"/>
      <c r="B788" s="1705"/>
      <c r="C788" s="1705"/>
      <c r="D788" s="1705"/>
      <c r="E788" s="1705"/>
      <c r="F788" s="1705"/>
      <c r="G788" s="1705"/>
      <c r="H788" s="1705"/>
      <c r="I788" s="1705"/>
      <c r="J788" s="1705"/>
      <c r="K788" s="1705"/>
      <c r="L788" s="1705"/>
      <c r="M788" s="1705"/>
      <c r="N788" s="1705"/>
      <c r="O788" s="1705"/>
      <c r="P788" s="1705"/>
      <c r="Q788" s="1705"/>
      <c r="R788" s="1705"/>
      <c r="S788" s="1705"/>
      <c r="T788" s="1705"/>
    </row>
    <row r="789" spans="1:20" ht="15.75" customHeight="1">
      <c r="A789" s="1705"/>
      <c r="B789" s="1705"/>
      <c r="C789" s="1705"/>
      <c r="D789" s="1705"/>
      <c r="E789" s="1705"/>
      <c r="F789" s="1705"/>
      <c r="G789" s="1705"/>
      <c r="H789" s="1705"/>
      <c r="I789" s="1705"/>
      <c r="J789" s="1705"/>
      <c r="K789" s="1705"/>
      <c r="L789" s="1705"/>
      <c r="M789" s="1705"/>
      <c r="N789" s="1705"/>
      <c r="O789" s="1705"/>
      <c r="P789" s="1705"/>
      <c r="Q789" s="1705"/>
      <c r="R789" s="1705"/>
      <c r="S789" s="1705"/>
      <c r="T789" s="1705"/>
    </row>
    <row r="790" spans="1:20" ht="15.75" customHeight="1">
      <c r="A790" s="1705"/>
      <c r="B790" s="1705"/>
      <c r="C790" s="1705"/>
      <c r="D790" s="1705"/>
      <c r="E790" s="1705"/>
      <c r="F790" s="1705"/>
      <c r="G790" s="1705"/>
      <c r="H790" s="1705"/>
      <c r="I790" s="1705"/>
      <c r="J790" s="1705"/>
      <c r="K790" s="1705"/>
      <c r="L790" s="1705"/>
      <c r="M790" s="1705"/>
      <c r="N790" s="1705"/>
      <c r="O790" s="1705"/>
      <c r="P790" s="1705"/>
      <c r="Q790" s="1705"/>
      <c r="R790" s="1705"/>
      <c r="S790" s="1705"/>
      <c r="T790" s="1705"/>
    </row>
    <row r="791" spans="1:20" ht="15.75" customHeight="1">
      <c r="A791" s="1705"/>
      <c r="B791" s="1705"/>
      <c r="C791" s="1705"/>
      <c r="D791" s="1705"/>
      <c r="E791" s="1705"/>
      <c r="F791" s="1705"/>
      <c r="G791" s="1705"/>
      <c r="H791" s="1705"/>
      <c r="I791" s="1705"/>
      <c r="J791" s="1705"/>
      <c r="K791" s="1705"/>
      <c r="L791" s="1705"/>
      <c r="M791" s="1705"/>
      <c r="N791" s="1705"/>
      <c r="O791" s="1705"/>
      <c r="P791" s="1705"/>
      <c r="Q791" s="1705"/>
      <c r="R791" s="1705"/>
      <c r="S791" s="1705"/>
      <c r="T791" s="1705"/>
    </row>
    <row r="792" spans="1:20" ht="15.75" customHeight="1">
      <c r="A792" s="1705"/>
      <c r="B792" s="1705"/>
      <c r="C792" s="1705"/>
      <c r="D792" s="1705"/>
      <c r="E792" s="1705"/>
      <c r="F792" s="1705"/>
      <c r="G792" s="1705"/>
      <c r="H792" s="1705"/>
      <c r="I792" s="1705"/>
      <c r="J792" s="1705"/>
      <c r="K792" s="1705"/>
      <c r="L792" s="1705"/>
      <c r="M792" s="1705"/>
      <c r="N792" s="1705"/>
      <c r="O792" s="1705"/>
      <c r="P792" s="1705"/>
      <c r="Q792" s="1705"/>
      <c r="R792" s="1705"/>
      <c r="S792" s="1705"/>
      <c r="T792" s="1705"/>
    </row>
    <row r="793" spans="1:20" ht="15.75" customHeight="1">
      <c r="A793" s="1705"/>
      <c r="B793" s="1705"/>
      <c r="C793" s="1705"/>
      <c r="D793" s="1705"/>
      <c r="E793" s="1705"/>
      <c r="F793" s="1705"/>
      <c r="G793" s="1705"/>
      <c r="H793" s="1705"/>
      <c r="I793" s="1705"/>
      <c r="J793" s="1705"/>
      <c r="K793" s="1705"/>
      <c r="L793" s="1705"/>
      <c r="M793" s="1705"/>
      <c r="N793" s="1705"/>
      <c r="O793" s="1705"/>
      <c r="P793" s="1705"/>
      <c r="Q793" s="1705"/>
      <c r="R793" s="1705"/>
      <c r="S793" s="1705"/>
      <c r="T793" s="1705"/>
    </row>
    <row r="794" spans="1:20" ht="15.75" customHeight="1">
      <c r="A794" s="1705"/>
      <c r="B794" s="1705"/>
      <c r="C794" s="1705"/>
      <c r="D794" s="1705"/>
      <c r="E794" s="1705"/>
      <c r="F794" s="1705"/>
      <c r="G794" s="1705"/>
      <c r="H794" s="1705"/>
      <c r="I794" s="1705"/>
      <c r="J794" s="1705"/>
      <c r="K794" s="1705"/>
      <c r="L794" s="1705"/>
      <c r="M794" s="1705"/>
      <c r="N794" s="1705"/>
      <c r="O794" s="1705"/>
      <c r="P794" s="1705"/>
      <c r="Q794" s="1705"/>
      <c r="R794" s="1705"/>
      <c r="S794" s="1705"/>
      <c r="T794" s="1705"/>
    </row>
    <row r="795" spans="1:20" ht="15.75" customHeight="1">
      <c r="A795" s="1705"/>
      <c r="B795" s="1705"/>
      <c r="C795" s="1705"/>
      <c r="D795" s="1705"/>
      <c r="E795" s="1705"/>
      <c r="F795" s="1705"/>
      <c r="G795" s="1705"/>
      <c r="H795" s="1705"/>
      <c r="I795" s="1705"/>
      <c r="J795" s="1705"/>
      <c r="K795" s="1705"/>
      <c r="L795" s="1705"/>
      <c r="M795" s="1705"/>
      <c r="N795" s="1705"/>
      <c r="O795" s="1705"/>
      <c r="P795" s="1705"/>
      <c r="Q795" s="1705"/>
      <c r="R795" s="1705"/>
      <c r="S795" s="1705"/>
      <c r="T795" s="1705"/>
    </row>
    <row r="796" spans="1:20" ht="15.75" customHeight="1">
      <c r="A796" s="1705"/>
      <c r="B796" s="1705"/>
      <c r="C796" s="1705"/>
      <c r="D796" s="1705"/>
      <c r="E796" s="1705"/>
      <c r="F796" s="1705"/>
      <c r="G796" s="1705"/>
      <c r="H796" s="1705"/>
      <c r="I796" s="1705"/>
      <c r="J796" s="1705"/>
      <c r="K796" s="1705"/>
      <c r="L796" s="1705"/>
      <c r="M796" s="1705"/>
      <c r="N796" s="1705"/>
      <c r="O796" s="1705"/>
      <c r="P796" s="1705"/>
      <c r="Q796" s="1705"/>
      <c r="R796" s="1705"/>
      <c r="S796" s="1705"/>
      <c r="T796" s="1705"/>
    </row>
    <row r="797" spans="1:20" ht="12.75" customHeight="1">
      <c r="A797" s="1705"/>
      <c r="B797" s="1705"/>
      <c r="C797" s="1705"/>
      <c r="D797" s="1705"/>
      <c r="E797" s="1705"/>
      <c r="F797" s="1705"/>
      <c r="G797" s="1705"/>
      <c r="H797" s="1705"/>
      <c r="I797" s="1705"/>
      <c r="J797" s="1705"/>
      <c r="K797" s="1705"/>
      <c r="L797" s="1705"/>
      <c r="M797" s="1705"/>
      <c r="N797" s="1705"/>
      <c r="O797" s="1705"/>
      <c r="P797" s="1705"/>
      <c r="Q797" s="1705"/>
      <c r="R797" s="1705"/>
      <c r="S797" s="1705"/>
      <c r="T797" s="1705"/>
    </row>
    <row r="798" spans="1:20" ht="12.75" customHeight="1">
      <c r="A798" s="1705"/>
      <c r="B798" s="1705"/>
      <c r="C798" s="1705"/>
      <c r="D798" s="1705"/>
      <c r="E798" s="1705"/>
      <c r="F798" s="1705"/>
      <c r="G798" s="1705"/>
      <c r="H798" s="1705"/>
      <c r="I798" s="1705"/>
      <c r="J798" s="1705"/>
      <c r="K798" s="1705"/>
      <c r="L798" s="1705"/>
      <c r="M798" s="1705"/>
      <c r="N798" s="1705"/>
      <c r="O798" s="1705"/>
      <c r="P798" s="1705"/>
      <c r="Q798" s="1705"/>
      <c r="R798" s="1705"/>
      <c r="S798" s="1705"/>
      <c r="T798" s="1705"/>
    </row>
    <row r="799" spans="1:20" ht="12.75" customHeight="1">
      <c r="A799" s="1705"/>
      <c r="B799" s="1705"/>
      <c r="C799" s="1705"/>
      <c r="D799" s="1705"/>
      <c r="E799" s="1705"/>
      <c r="F799" s="1705"/>
      <c r="G799" s="1705"/>
      <c r="H799" s="1705"/>
      <c r="I799" s="1705"/>
      <c r="J799" s="1705"/>
      <c r="K799" s="1705"/>
      <c r="L799" s="1705"/>
      <c r="M799" s="1705"/>
      <c r="N799" s="1705"/>
      <c r="O799" s="1705"/>
      <c r="P799" s="1705"/>
      <c r="Q799" s="1705"/>
      <c r="R799" s="1705"/>
      <c r="S799" s="1705"/>
      <c r="T799" s="1705"/>
    </row>
    <row r="800" spans="1:20" ht="12.75" customHeight="1">
      <c r="A800" s="1705"/>
      <c r="B800" s="1705"/>
      <c r="C800" s="1705"/>
      <c r="D800" s="1705"/>
      <c r="E800" s="1705"/>
      <c r="F800" s="1705"/>
      <c r="G800" s="1705"/>
      <c r="H800" s="1705"/>
      <c r="I800" s="1705"/>
      <c r="J800" s="1705"/>
      <c r="K800" s="1705"/>
      <c r="L800" s="1705"/>
      <c r="M800" s="1705"/>
      <c r="N800" s="1705"/>
      <c r="O800" s="1705"/>
      <c r="P800" s="1705"/>
      <c r="Q800" s="1705"/>
      <c r="R800" s="1705"/>
      <c r="S800" s="1705"/>
      <c r="T800" s="1705"/>
    </row>
    <row r="801" spans="1:20" ht="12.75" customHeight="1">
      <c r="A801" s="1705"/>
      <c r="B801" s="1705"/>
      <c r="C801" s="1705"/>
      <c r="D801" s="1705"/>
      <c r="E801" s="1705"/>
      <c r="F801" s="1705"/>
      <c r="G801" s="1705"/>
      <c r="H801" s="1705"/>
      <c r="I801" s="1705"/>
      <c r="J801" s="1705"/>
      <c r="K801" s="1705"/>
      <c r="L801" s="1705"/>
      <c r="M801" s="1705"/>
      <c r="N801" s="1705"/>
      <c r="O801" s="1705"/>
      <c r="P801" s="1705"/>
      <c r="Q801" s="1705"/>
      <c r="R801" s="1705"/>
      <c r="S801" s="1705"/>
      <c r="T801" s="1705"/>
    </row>
    <row r="802" spans="1:20" ht="12.75" customHeight="1">
      <c r="A802" s="1705"/>
      <c r="B802" s="1705"/>
      <c r="C802" s="1705"/>
      <c r="D802" s="1705"/>
      <c r="E802" s="1705"/>
      <c r="F802" s="1705"/>
      <c r="G802" s="1705"/>
      <c r="H802" s="1705"/>
      <c r="I802" s="1705"/>
      <c r="J802" s="1705"/>
      <c r="K802" s="1705"/>
      <c r="L802" s="1705"/>
      <c r="M802" s="1705"/>
      <c r="N802" s="1705"/>
      <c r="O802" s="1705"/>
      <c r="P802" s="1705"/>
      <c r="Q802" s="1705"/>
      <c r="R802" s="1705"/>
      <c r="S802" s="1705"/>
      <c r="T802" s="1705"/>
    </row>
    <row r="803" spans="1:20" ht="12.75" customHeight="1">
      <c r="A803" s="1705"/>
      <c r="B803" s="1705"/>
      <c r="C803" s="1705"/>
      <c r="D803" s="1705"/>
      <c r="E803" s="1705"/>
      <c r="F803" s="1705"/>
      <c r="G803" s="1705"/>
      <c r="H803" s="1705"/>
      <c r="I803" s="1705"/>
      <c r="J803" s="1705"/>
      <c r="K803" s="1705"/>
      <c r="L803" s="1705"/>
      <c r="M803" s="1705"/>
      <c r="N803" s="1705"/>
      <c r="O803" s="1705"/>
      <c r="P803" s="1705"/>
      <c r="Q803" s="1705"/>
      <c r="R803" s="1705"/>
      <c r="S803" s="1705"/>
      <c r="T803" s="1705"/>
    </row>
    <row r="804" spans="1:20" ht="12.75" customHeight="1">
      <c r="A804" s="1705"/>
      <c r="B804" s="1705"/>
      <c r="C804" s="1705"/>
      <c r="D804" s="1705"/>
      <c r="E804" s="1705"/>
      <c r="F804" s="1705"/>
      <c r="G804" s="1705"/>
      <c r="H804" s="1705"/>
      <c r="I804" s="1705"/>
      <c r="J804" s="1705"/>
      <c r="K804" s="1705"/>
      <c r="L804" s="1705"/>
      <c r="M804" s="1705"/>
      <c r="N804" s="1705"/>
      <c r="O804" s="1705"/>
      <c r="P804" s="1705"/>
      <c r="Q804" s="1705"/>
      <c r="R804" s="1705"/>
      <c r="S804" s="1705"/>
      <c r="T804" s="1705"/>
    </row>
    <row r="805" spans="1:20" ht="12.75" customHeight="1">
      <c r="A805" s="1705"/>
      <c r="B805" s="1705"/>
      <c r="C805" s="1705"/>
      <c r="D805" s="1705"/>
      <c r="E805" s="1705"/>
      <c r="F805" s="1705"/>
      <c r="G805" s="1705"/>
      <c r="H805" s="1705"/>
      <c r="I805" s="1705"/>
      <c r="J805" s="1705"/>
      <c r="K805" s="1705"/>
      <c r="L805" s="1705"/>
      <c r="M805" s="1705"/>
      <c r="N805" s="1705"/>
      <c r="O805" s="1705"/>
      <c r="P805" s="1705"/>
      <c r="Q805" s="1705"/>
      <c r="R805" s="1705"/>
      <c r="S805" s="1705"/>
      <c r="T805" s="1705"/>
    </row>
    <row r="806" spans="1:20" ht="12.75" customHeight="1">
      <c r="A806" s="1705"/>
      <c r="B806" s="1705"/>
      <c r="C806" s="1705"/>
      <c r="D806" s="1705"/>
      <c r="E806" s="1705"/>
      <c r="F806" s="1705"/>
      <c r="G806" s="1705"/>
      <c r="H806" s="1705"/>
      <c r="I806" s="1705"/>
      <c r="J806" s="1705"/>
      <c r="K806" s="1705"/>
      <c r="L806" s="1705"/>
      <c r="M806" s="1705"/>
      <c r="N806" s="1705"/>
      <c r="O806" s="1705"/>
      <c r="P806" s="1705"/>
      <c r="Q806" s="1705"/>
      <c r="R806" s="1705"/>
      <c r="S806" s="1705"/>
      <c r="T806" s="1705"/>
    </row>
    <row r="807" spans="1:20" ht="12.75" customHeight="1">
      <c r="A807" s="1705"/>
      <c r="B807" s="1705"/>
      <c r="C807" s="1705"/>
      <c r="D807" s="1705"/>
      <c r="E807" s="1705"/>
      <c r="F807" s="1705"/>
      <c r="G807" s="1705"/>
      <c r="H807" s="1705"/>
      <c r="I807" s="1705"/>
      <c r="J807" s="1705"/>
      <c r="K807" s="1705"/>
      <c r="L807" s="1705"/>
      <c r="M807" s="1705"/>
      <c r="N807" s="1705"/>
      <c r="O807" s="1705"/>
      <c r="P807" s="1705"/>
      <c r="Q807" s="1705"/>
      <c r="R807" s="1705"/>
      <c r="S807" s="1705"/>
      <c r="T807" s="1705"/>
    </row>
    <row r="808" spans="1:20" ht="12.75" customHeight="1">
      <c r="A808" s="1705"/>
      <c r="B808" s="1705"/>
      <c r="C808" s="1705"/>
      <c r="D808" s="1705"/>
      <c r="E808" s="1705"/>
      <c r="F808" s="1705"/>
      <c r="G808" s="1705"/>
      <c r="H808" s="1705"/>
      <c r="I808" s="1705"/>
      <c r="J808" s="1705"/>
      <c r="K808" s="1705"/>
      <c r="L808" s="1705"/>
      <c r="M808" s="1705"/>
      <c r="N808" s="1705"/>
      <c r="O808" s="1705"/>
      <c r="P808" s="1705"/>
      <c r="Q808" s="1705"/>
      <c r="R808" s="1705"/>
      <c r="S808" s="1705"/>
      <c r="T808" s="1705"/>
    </row>
    <row r="809" spans="1:20" ht="12.75" customHeight="1">
      <c r="A809" s="1705"/>
      <c r="B809" s="1705"/>
      <c r="C809" s="1705"/>
      <c r="D809" s="1705"/>
      <c r="E809" s="1705"/>
      <c r="F809" s="1705"/>
      <c r="G809" s="1705"/>
      <c r="H809" s="1705"/>
      <c r="I809" s="1705"/>
      <c r="J809" s="1705"/>
      <c r="K809" s="1705"/>
      <c r="L809" s="1705"/>
      <c r="M809" s="1705"/>
      <c r="N809" s="1705"/>
      <c r="O809" s="1705"/>
      <c r="P809" s="1705"/>
      <c r="Q809" s="1705"/>
      <c r="R809" s="1705"/>
      <c r="S809" s="1705"/>
      <c r="T809" s="1705"/>
    </row>
    <row r="810" spans="1:20" ht="12.75" customHeight="1">
      <c r="A810" s="1705"/>
      <c r="B810" s="1705"/>
      <c r="C810" s="1705"/>
      <c r="D810" s="1705"/>
      <c r="E810" s="1705"/>
      <c r="F810" s="1705"/>
      <c r="G810" s="1705"/>
      <c r="H810" s="1705"/>
      <c r="I810" s="1705"/>
      <c r="J810" s="1705"/>
      <c r="K810" s="1705"/>
      <c r="L810" s="1705"/>
      <c r="M810" s="1705"/>
      <c r="N810" s="1705"/>
      <c r="O810" s="1705"/>
      <c r="P810" s="1705"/>
      <c r="Q810" s="1705"/>
      <c r="R810" s="1705"/>
      <c r="S810" s="1705"/>
      <c r="T810" s="1705"/>
    </row>
    <row r="811" spans="1:20" ht="12.75" customHeight="1">
      <c r="A811" s="1705"/>
      <c r="B811" s="1705"/>
      <c r="C811" s="1705"/>
      <c r="D811" s="1705"/>
      <c r="E811" s="1705"/>
      <c r="F811" s="1705"/>
      <c r="G811" s="1705"/>
      <c r="H811" s="1705"/>
      <c r="I811" s="1705"/>
      <c r="J811" s="1705"/>
      <c r="K811" s="1705"/>
      <c r="L811" s="1705"/>
      <c r="M811" s="1705"/>
      <c r="N811" s="1705"/>
      <c r="O811" s="1705"/>
      <c r="P811" s="1705"/>
      <c r="Q811" s="1705"/>
      <c r="R811" s="1705"/>
      <c r="S811" s="1705"/>
      <c r="T811" s="1705"/>
    </row>
    <row r="812" spans="1:20" ht="12.75" customHeight="1">
      <c r="A812" s="1705"/>
      <c r="B812" s="1705"/>
      <c r="C812" s="1705"/>
      <c r="D812" s="1705"/>
      <c r="E812" s="1705"/>
      <c r="F812" s="1705"/>
      <c r="G812" s="1705"/>
      <c r="H812" s="1705"/>
      <c r="I812" s="1705"/>
      <c r="J812" s="1705"/>
      <c r="K812" s="1705"/>
      <c r="L812" s="1705"/>
      <c r="M812" s="1705"/>
      <c r="N812" s="1705"/>
      <c r="O812" s="1705"/>
      <c r="P812" s="1705"/>
      <c r="Q812" s="1705"/>
      <c r="R812" s="1705"/>
      <c r="S812" s="1705"/>
      <c r="T812" s="1705"/>
    </row>
    <row r="813" spans="1:20" ht="12.75" customHeight="1">
      <c r="A813" s="1705"/>
      <c r="B813" s="1705"/>
      <c r="C813" s="1705"/>
      <c r="D813" s="1705"/>
      <c r="E813" s="1705"/>
      <c r="F813" s="1705"/>
      <c r="G813" s="1705"/>
      <c r="H813" s="1705"/>
      <c r="I813" s="1705"/>
      <c r="J813" s="1705"/>
      <c r="K813" s="1705"/>
      <c r="L813" s="1705"/>
      <c r="M813" s="1705"/>
      <c r="N813" s="1705"/>
      <c r="O813" s="1705"/>
      <c r="P813" s="1705"/>
      <c r="Q813" s="1705"/>
      <c r="R813" s="1705"/>
      <c r="S813" s="1705"/>
      <c r="T813" s="1705"/>
    </row>
    <row r="814" spans="1:20" ht="12.75" customHeight="1">
      <c r="A814" s="1705"/>
      <c r="B814" s="1705"/>
      <c r="C814" s="1705"/>
      <c r="D814" s="1705"/>
      <c r="E814" s="1705"/>
      <c r="F814" s="1705"/>
      <c r="G814" s="1705"/>
      <c r="H814" s="1705"/>
      <c r="I814" s="1705"/>
      <c r="J814" s="1705"/>
      <c r="K814" s="1705"/>
      <c r="L814" s="1705"/>
      <c r="M814" s="1705"/>
      <c r="N814" s="1705"/>
      <c r="O814" s="1705"/>
      <c r="P814" s="1705"/>
      <c r="Q814" s="1705"/>
      <c r="R814" s="1705"/>
      <c r="S814" s="1705"/>
      <c r="T814" s="1705"/>
    </row>
    <row r="815" spans="1:20" ht="12.75" customHeight="1">
      <c r="A815" s="1705"/>
      <c r="B815" s="1705"/>
      <c r="C815" s="1705"/>
      <c r="D815" s="1705"/>
      <c r="E815" s="1705"/>
      <c r="F815" s="1705"/>
      <c r="G815" s="1705"/>
      <c r="H815" s="1705"/>
      <c r="I815" s="1705"/>
      <c r="J815" s="1705"/>
      <c r="K815" s="1705"/>
      <c r="L815" s="1705"/>
      <c r="M815" s="1705"/>
      <c r="N815" s="1705"/>
      <c r="O815" s="1705"/>
      <c r="P815" s="1705"/>
      <c r="Q815" s="1705"/>
      <c r="R815" s="1705"/>
      <c r="S815" s="1705"/>
      <c r="T815" s="1705"/>
    </row>
    <row r="816" spans="1:20" ht="12.75" customHeight="1">
      <c r="A816" s="1705"/>
      <c r="B816" s="1705"/>
      <c r="C816" s="1705"/>
      <c r="D816" s="1705"/>
      <c r="E816" s="1705"/>
      <c r="F816" s="1705"/>
      <c r="G816" s="1705"/>
      <c r="H816" s="1705"/>
      <c r="I816" s="1705"/>
      <c r="J816" s="1705"/>
      <c r="K816" s="1705"/>
      <c r="L816" s="1705"/>
      <c r="M816" s="1705"/>
      <c r="N816" s="1705"/>
      <c r="O816" s="1705"/>
      <c r="P816" s="1705"/>
      <c r="Q816" s="1705"/>
      <c r="R816" s="1705"/>
      <c r="S816" s="1705"/>
      <c r="T816" s="1705"/>
    </row>
    <row r="817" spans="1:20" ht="12.75" customHeight="1">
      <c r="A817" s="1705"/>
      <c r="B817" s="1705"/>
      <c r="C817" s="1705"/>
      <c r="D817" s="1705"/>
      <c r="E817" s="1705"/>
      <c r="F817" s="1705"/>
      <c r="G817" s="1705"/>
      <c r="H817" s="1705"/>
      <c r="I817" s="1705"/>
      <c r="J817" s="1705"/>
      <c r="K817" s="1705"/>
      <c r="L817" s="1705"/>
      <c r="M817" s="1705"/>
      <c r="N817" s="1705"/>
      <c r="O817" s="1705"/>
      <c r="P817" s="1705"/>
      <c r="Q817" s="1705"/>
      <c r="R817" s="1705"/>
      <c r="S817" s="1705"/>
      <c r="T817" s="1705"/>
    </row>
    <row r="818" spans="1:20" ht="12.75" customHeight="1">
      <c r="A818" s="1705"/>
      <c r="B818" s="1705"/>
      <c r="C818" s="1705"/>
      <c r="D818" s="1705"/>
      <c r="E818" s="1705"/>
      <c r="F818" s="1705"/>
      <c r="G818" s="1705"/>
      <c r="H818" s="1705"/>
      <c r="I818" s="1705"/>
      <c r="J818" s="1705"/>
      <c r="K818" s="1705"/>
      <c r="L818" s="1705"/>
      <c r="M818" s="1705"/>
      <c r="N818" s="1705"/>
      <c r="O818" s="1705"/>
      <c r="P818" s="1705"/>
      <c r="Q818" s="1705"/>
      <c r="R818" s="1705"/>
      <c r="S818" s="1705"/>
      <c r="T818" s="1705"/>
    </row>
    <row r="819" spans="1:20" ht="12.75" customHeight="1">
      <c r="A819" s="1705"/>
      <c r="B819" s="1705"/>
      <c r="C819" s="1705"/>
      <c r="D819" s="1705"/>
      <c r="E819" s="1705"/>
      <c r="F819" s="1705"/>
      <c r="G819" s="1705"/>
      <c r="H819" s="1705"/>
      <c r="I819" s="1705"/>
      <c r="J819" s="1705"/>
      <c r="K819" s="1705"/>
      <c r="L819" s="1705"/>
      <c r="M819" s="1705"/>
      <c r="N819" s="1705"/>
      <c r="O819" s="1705"/>
      <c r="P819" s="1705"/>
      <c r="Q819" s="1705"/>
      <c r="R819" s="1705"/>
      <c r="S819" s="1705"/>
      <c r="T819" s="1705"/>
    </row>
    <row r="820" spans="1:20" ht="12.75" customHeight="1">
      <c r="A820" s="1705"/>
      <c r="B820" s="1705"/>
      <c r="C820" s="1705"/>
      <c r="D820" s="1705"/>
      <c r="E820" s="1705"/>
      <c r="F820" s="1705"/>
      <c r="G820" s="1705"/>
      <c r="H820" s="1705"/>
      <c r="I820" s="1705"/>
      <c r="J820" s="1705"/>
      <c r="K820" s="1705"/>
      <c r="L820" s="1705"/>
      <c r="M820" s="1705"/>
      <c r="N820" s="1705"/>
      <c r="O820" s="1705"/>
      <c r="P820" s="1705"/>
      <c r="Q820" s="1705"/>
      <c r="R820" s="1705"/>
      <c r="S820" s="1705"/>
      <c r="T820" s="1705"/>
    </row>
    <row r="821" spans="1:20" ht="12.75" customHeight="1">
      <c r="A821" s="1705"/>
      <c r="B821" s="1705"/>
      <c r="C821" s="1705"/>
      <c r="D821" s="1705"/>
      <c r="E821" s="1705"/>
      <c r="F821" s="1705"/>
      <c r="G821" s="1705"/>
      <c r="H821" s="1705"/>
      <c r="I821" s="1705"/>
      <c r="J821" s="1705"/>
      <c r="K821" s="1705"/>
      <c r="L821" s="1705"/>
      <c r="M821" s="1705"/>
      <c r="N821" s="1705"/>
      <c r="O821" s="1705"/>
      <c r="P821" s="1705"/>
      <c r="Q821" s="1705"/>
      <c r="R821" s="1705"/>
      <c r="S821" s="1705"/>
      <c r="T821" s="1705"/>
    </row>
    <row r="822" spans="1:20" ht="12.75" customHeight="1">
      <c r="A822" s="1705"/>
      <c r="B822" s="1705"/>
      <c r="C822" s="1705"/>
      <c r="D822" s="1705"/>
      <c r="E822" s="1705"/>
      <c r="F822" s="1705"/>
      <c r="G822" s="1705"/>
      <c r="H822" s="1705"/>
      <c r="I822" s="1705"/>
      <c r="J822" s="1705"/>
      <c r="K822" s="1705"/>
      <c r="L822" s="1705"/>
      <c r="M822" s="1705"/>
      <c r="N822" s="1705"/>
      <c r="O822" s="1705"/>
      <c r="P822" s="1705"/>
      <c r="Q822" s="1705"/>
      <c r="R822" s="1705"/>
      <c r="S822" s="1705"/>
      <c r="T822" s="1705"/>
    </row>
    <row r="823" spans="1:20" ht="12.75" customHeight="1">
      <c r="A823" s="1705"/>
      <c r="B823" s="1705"/>
      <c r="C823" s="1705"/>
      <c r="D823" s="1705"/>
      <c r="E823" s="1705"/>
      <c r="F823" s="1705"/>
      <c r="G823" s="1705"/>
      <c r="H823" s="1705"/>
      <c r="I823" s="1705"/>
      <c r="J823" s="1705"/>
      <c r="K823" s="1705"/>
      <c r="L823" s="1705"/>
      <c r="M823" s="1705"/>
      <c r="N823" s="1705"/>
      <c r="O823" s="1705"/>
      <c r="P823" s="1705"/>
      <c r="Q823" s="1705"/>
      <c r="R823" s="1705"/>
      <c r="S823" s="1705"/>
      <c r="T823" s="1705"/>
    </row>
    <row r="824" spans="1:20" ht="12.75" customHeight="1">
      <c r="A824" s="1705"/>
      <c r="B824" s="1705"/>
      <c r="C824" s="1705"/>
      <c r="D824" s="1705"/>
      <c r="E824" s="1705"/>
      <c r="F824" s="1705"/>
      <c r="G824" s="1705"/>
      <c r="H824" s="1705"/>
      <c r="I824" s="1705"/>
      <c r="J824" s="1705"/>
      <c r="K824" s="1705"/>
      <c r="L824" s="1705"/>
      <c r="M824" s="1705"/>
      <c r="N824" s="1705"/>
      <c r="O824" s="1705"/>
      <c r="P824" s="1705"/>
      <c r="Q824" s="1705"/>
      <c r="R824" s="1705"/>
      <c r="S824" s="1705"/>
      <c r="T824" s="1705"/>
    </row>
    <row r="825" spans="1:20" ht="12.75" customHeight="1">
      <c r="A825" s="1705"/>
      <c r="B825" s="1705"/>
      <c r="C825" s="1705"/>
      <c r="D825" s="1705"/>
      <c r="E825" s="1705"/>
      <c r="F825" s="1705"/>
      <c r="G825" s="1705"/>
      <c r="H825" s="1705"/>
      <c r="I825" s="1705"/>
      <c r="J825" s="1705"/>
      <c r="K825" s="1705"/>
      <c r="L825" s="1705"/>
      <c r="M825" s="1705"/>
      <c r="N825" s="1705"/>
      <c r="O825" s="1705"/>
      <c r="P825" s="1705"/>
      <c r="Q825" s="1705"/>
      <c r="R825" s="1705"/>
      <c r="S825" s="1705"/>
      <c r="T825" s="1705"/>
    </row>
    <row r="826" spans="1:20" ht="12.75" customHeight="1">
      <c r="A826" s="1705"/>
      <c r="B826" s="1705"/>
      <c r="C826" s="1705"/>
      <c r="D826" s="1705"/>
      <c r="E826" s="1705"/>
      <c r="F826" s="1705"/>
      <c r="G826" s="1705"/>
      <c r="H826" s="1705"/>
      <c r="I826" s="1705"/>
      <c r="J826" s="1705"/>
      <c r="K826" s="1705"/>
      <c r="L826" s="1705"/>
      <c r="M826" s="1705"/>
      <c r="N826" s="1705"/>
      <c r="O826" s="1705"/>
      <c r="P826" s="1705"/>
      <c r="Q826" s="1705"/>
      <c r="R826" s="1705"/>
      <c r="S826" s="1705"/>
      <c r="T826" s="1705"/>
    </row>
    <row r="827" spans="1:20" ht="12.75" customHeight="1">
      <c r="A827" s="1705"/>
      <c r="B827" s="1705"/>
      <c r="C827" s="1705"/>
      <c r="D827" s="1705"/>
      <c r="E827" s="1705"/>
      <c r="F827" s="1705"/>
      <c r="G827" s="1705"/>
      <c r="H827" s="1705"/>
      <c r="I827" s="1705"/>
      <c r="J827" s="1705"/>
      <c r="K827" s="1705"/>
      <c r="L827" s="1705"/>
      <c r="M827" s="1705"/>
      <c r="N827" s="1705"/>
      <c r="O827" s="1705"/>
      <c r="P827" s="1705"/>
      <c r="Q827" s="1705"/>
      <c r="R827" s="1705"/>
      <c r="S827" s="1705"/>
      <c r="T827" s="1705"/>
    </row>
    <row r="828" spans="1:20" ht="12.75" customHeight="1">
      <c r="A828" s="1705"/>
      <c r="B828" s="1705"/>
      <c r="C828" s="1705"/>
      <c r="D828" s="1705"/>
      <c r="E828" s="1705"/>
      <c r="F828" s="1705"/>
      <c r="G828" s="1705"/>
      <c r="H828" s="1705"/>
      <c r="I828" s="1705"/>
      <c r="J828" s="1705"/>
      <c r="K828" s="1705"/>
      <c r="L828" s="1705"/>
      <c r="M828" s="1705"/>
      <c r="N828" s="1705"/>
      <c r="O828" s="1705"/>
      <c r="P828" s="1705"/>
      <c r="Q828" s="1705"/>
      <c r="R828" s="1705"/>
      <c r="S828" s="1705"/>
      <c r="T828" s="1705"/>
    </row>
    <row r="829" spans="1:20" ht="12.75" customHeight="1">
      <c r="A829" s="1705"/>
      <c r="B829" s="1705"/>
      <c r="C829" s="1705"/>
      <c r="D829" s="1705"/>
      <c r="E829" s="1705"/>
      <c r="F829" s="1705"/>
      <c r="G829" s="1705"/>
      <c r="H829" s="1705"/>
      <c r="I829" s="1705"/>
      <c r="J829" s="1705"/>
      <c r="K829" s="1705"/>
      <c r="L829" s="1705"/>
      <c r="M829" s="1705"/>
      <c r="N829" s="1705"/>
      <c r="O829" s="1705"/>
      <c r="P829" s="1705"/>
      <c r="Q829" s="1705"/>
      <c r="R829" s="1705"/>
      <c r="S829" s="1705"/>
      <c r="T829" s="1705"/>
    </row>
    <row r="830" spans="1:20" ht="12.75" customHeight="1">
      <c r="A830" s="1705"/>
      <c r="B830" s="1705"/>
      <c r="C830" s="1705"/>
      <c r="D830" s="1705"/>
      <c r="E830" s="1705"/>
      <c r="F830" s="1705"/>
      <c r="G830" s="1705"/>
      <c r="H830" s="1705"/>
      <c r="I830" s="1705"/>
      <c r="J830" s="1705"/>
      <c r="K830" s="1705"/>
      <c r="L830" s="1705"/>
      <c r="M830" s="1705"/>
      <c r="N830" s="1705"/>
      <c r="O830" s="1705"/>
      <c r="P830" s="1705"/>
      <c r="Q830" s="1705"/>
      <c r="R830" s="1705"/>
      <c r="S830" s="1705"/>
      <c r="T830" s="1705"/>
    </row>
    <row r="831" spans="1:20" ht="12.75" customHeight="1">
      <c r="A831" s="1705"/>
      <c r="B831" s="1705"/>
      <c r="C831" s="1705"/>
      <c r="D831" s="1705"/>
      <c r="E831" s="1705"/>
      <c r="F831" s="1705"/>
      <c r="G831" s="1705"/>
      <c r="H831" s="1705"/>
      <c r="I831" s="1705"/>
      <c r="J831" s="1705"/>
      <c r="K831" s="1705"/>
      <c r="L831" s="1705"/>
      <c r="M831" s="1705"/>
      <c r="N831" s="1705"/>
      <c r="O831" s="1705"/>
      <c r="P831" s="1705"/>
      <c r="Q831" s="1705"/>
      <c r="R831" s="1705"/>
      <c r="S831" s="1705"/>
      <c r="T831" s="1705"/>
    </row>
    <row r="832" spans="1:20" ht="12.75" customHeight="1">
      <c r="A832" s="1705"/>
      <c r="B832" s="1705"/>
      <c r="C832" s="1705"/>
      <c r="D832" s="1705"/>
      <c r="E832" s="1705"/>
      <c r="F832" s="1705"/>
      <c r="G832" s="1705"/>
      <c r="H832" s="1705"/>
      <c r="I832" s="1705"/>
      <c r="J832" s="1705"/>
      <c r="K832" s="1705"/>
      <c r="L832" s="1705"/>
      <c r="M832" s="1705"/>
      <c r="N832" s="1705"/>
      <c r="O832" s="1705"/>
      <c r="P832" s="1705"/>
      <c r="Q832" s="1705"/>
      <c r="R832" s="1705"/>
      <c r="S832" s="1705"/>
      <c r="T832" s="1705"/>
    </row>
    <row r="833" spans="1:20" ht="12.75" customHeight="1">
      <c r="A833" s="1705"/>
      <c r="B833" s="1705"/>
      <c r="C833" s="1705"/>
      <c r="D833" s="1705"/>
      <c r="E833" s="1705"/>
      <c r="F833" s="1705"/>
      <c r="G833" s="1705"/>
      <c r="H833" s="1705"/>
      <c r="I833" s="1705"/>
      <c r="J833" s="1705"/>
      <c r="K833" s="1705"/>
      <c r="L833" s="1705"/>
      <c r="M833" s="1705"/>
      <c r="N833" s="1705"/>
      <c r="O833" s="1705"/>
      <c r="P833" s="1705"/>
      <c r="Q833" s="1705"/>
      <c r="R833" s="1705"/>
      <c r="S833" s="1705"/>
      <c r="T833" s="1705"/>
    </row>
    <row r="834" spans="1:20" ht="12.75" customHeight="1">
      <c r="A834" s="1705"/>
      <c r="B834" s="1705"/>
      <c r="C834" s="1705"/>
      <c r="D834" s="1705"/>
      <c r="E834" s="1705"/>
      <c r="F834" s="1705"/>
      <c r="G834" s="1705"/>
      <c r="H834" s="1705"/>
      <c r="I834" s="1705"/>
      <c r="J834" s="1705"/>
      <c r="K834" s="1705"/>
      <c r="L834" s="1705"/>
      <c r="M834" s="1705"/>
      <c r="N834" s="1705"/>
      <c r="O834" s="1705"/>
      <c r="P834" s="1705"/>
      <c r="Q834" s="1705"/>
      <c r="R834" s="1705"/>
      <c r="S834" s="1705"/>
      <c r="T834" s="1705"/>
    </row>
    <row r="835" spans="1:20" ht="12.75" customHeight="1">
      <c r="A835" s="1705"/>
      <c r="B835" s="1705"/>
      <c r="C835" s="1705"/>
      <c r="D835" s="1705"/>
      <c r="E835" s="1705"/>
      <c r="F835" s="1705"/>
      <c r="G835" s="1705"/>
      <c r="H835" s="1705"/>
      <c r="I835" s="1705"/>
      <c r="J835" s="1705"/>
      <c r="K835" s="1705"/>
      <c r="L835" s="1705"/>
      <c r="M835" s="1705"/>
      <c r="N835" s="1705"/>
      <c r="O835" s="1705"/>
      <c r="P835" s="1705"/>
      <c r="Q835" s="1705"/>
      <c r="R835" s="1705"/>
      <c r="S835" s="1705"/>
      <c r="T835" s="1705"/>
    </row>
    <row r="836" spans="1:20" ht="12.75" customHeight="1">
      <c r="A836" s="1705"/>
      <c r="B836" s="1705"/>
      <c r="C836" s="1705"/>
      <c r="D836" s="1705"/>
      <c r="E836" s="1705"/>
      <c r="F836" s="1705"/>
      <c r="G836" s="1705"/>
      <c r="H836" s="1705"/>
      <c r="I836" s="1705"/>
      <c r="J836" s="1705"/>
      <c r="K836" s="1705"/>
      <c r="L836" s="1705"/>
      <c r="M836" s="1705"/>
      <c r="N836" s="1705"/>
      <c r="O836" s="1705"/>
      <c r="P836" s="1705"/>
      <c r="Q836" s="1705"/>
      <c r="R836" s="1705"/>
      <c r="S836" s="1705"/>
      <c r="T836" s="1705"/>
    </row>
    <row r="837" spans="1:20" ht="12.75" customHeight="1">
      <c r="A837" s="1705"/>
      <c r="B837" s="1705"/>
      <c r="C837" s="1705"/>
      <c r="D837" s="1705"/>
      <c r="E837" s="1705"/>
      <c r="F837" s="1705"/>
      <c r="G837" s="1705"/>
      <c r="H837" s="1705"/>
      <c r="I837" s="1705"/>
      <c r="J837" s="1705"/>
      <c r="K837" s="1705"/>
      <c r="L837" s="1705"/>
      <c r="M837" s="1705"/>
      <c r="N837" s="1705"/>
      <c r="O837" s="1705"/>
      <c r="P837" s="1705"/>
      <c r="Q837" s="1705"/>
      <c r="R837" s="1705"/>
      <c r="S837" s="1705"/>
      <c r="T837" s="1705"/>
    </row>
    <row r="838" spans="1:20" ht="12.75" customHeight="1">
      <c r="A838" s="1705"/>
      <c r="B838" s="1705"/>
      <c r="C838" s="1705"/>
      <c r="D838" s="1705"/>
      <c r="E838" s="1705"/>
      <c r="F838" s="1705"/>
      <c r="G838" s="1705"/>
      <c r="H838" s="1705"/>
      <c r="I838" s="1705"/>
      <c r="J838" s="1705"/>
      <c r="K838" s="1705"/>
      <c r="L838" s="1705"/>
      <c r="M838" s="1705"/>
      <c r="N838" s="1705"/>
      <c r="O838" s="1705"/>
      <c r="P838" s="1705"/>
      <c r="Q838" s="1705"/>
      <c r="R838" s="1705"/>
      <c r="S838" s="1705"/>
      <c r="T838" s="1705"/>
    </row>
    <row r="839" spans="1:20" ht="12.75" customHeight="1">
      <c r="A839" s="1705"/>
      <c r="B839" s="1705"/>
      <c r="C839" s="1705"/>
      <c r="D839" s="1705"/>
      <c r="E839" s="1705"/>
      <c r="F839" s="1705"/>
      <c r="G839" s="1705"/>
      <c r="H839" s="1705"/>
      <c r="I839" s="1705"/>
      <c r="J839" s="1705"/>
      <c r="K839" s="1705"/>
      <c r="L839" s="1705"/>
      <c r="M839" s="1705"/>
      <c r="N839" s="1705"/>
      <c r="O839" s="1705"/>
      <c r="P839" s="1705"/>
      <c r="Q839" s="1705"/>
      <c r="R839" s="1705"/>
      <c r="S839" s="1705"/>
      <c r="T839" s="1705"/>
    </row>
    <row r="840" spans="1:20" ht="12.75" customHeight="1">
      <c r="A840" s="1705"/>
      <c r="B840" s="1705"/>
      <c r="C840" s="1705"/>
      <c r="D840" s="1705"/>
      <c r="E840" s="1705"/>
      <c r="F840" s="1705"/>
      <c r="G840" s="1705"/>
      <c r="H840" s="1705"/>
      <c r="I840" s="1705"/>
      <c r="J840" s="1705"/>
      <c r="K840" s="1705"/>
      <c r="L840" s="1705"/>
      <c r="M840" s="1705"/>
      <c r="N840" s="1705"/>
      <c r="O840" s="1705"/>
      <c r="P840" s="1705"/>
      <c r="Q840" s="1705"/>
      <c r="R840" s="1705"/>
      <c r="S840" s="1705"/>
      <c r="T840" s="1705"/>
    </row>
    <row r="841" spans="1:20" ht="12.75" customHeight="1">
      <c r="A841" s="1705"/>
      <c r="B841" s="1705"/>
      <c r="C841" s="1705"/>
      <c r="D841" s="1705"/>
      <c r="E841" s="1705"/>
      <c r="F841" s="1705"/>
      <c r="G841" s="1705"/>
      <c r="H841" s="1705"/>
      <c r="I841" s="1705"/>
      <c r="J841" s="1705"/>
      <c r="K841" s="1705"/>
      <c r="L841" s="1705"/>
      <c r="M841" s="1705"/>
      <c r="N841" s="1705"/>
      <c r="O841" s="1705"/>
      <c r="P841" s="1705"/>
      <c r="Q841" s="1705"/>
      <c r="R841" s="1705"/>
      <c r="S841" s="1705"/>
      <c r="T841" s="1705"/>
    </row>
    <row r="842" spans="1:20" ht="12.75" customHeight="1">
      <c r="A842" s="1705"/>
      <c r="B842" s="1705"/>
      <c r="C842" s="1705"/>
      <c r="D842" s="1705"/>
      <c r="E842" s="1705"/>
      <c r="F842" s="1705"/>
      <c r="G842" s="1705"/>
      <c r="H842" s="1705"/>
      <c r="I842" s="1705"/>
      <c r="J842" s="1705"/>
      <c r="K842" s="1705"/>
      <c r="L842" s="1705"/>
      <c r="M842" s="1705"/>
      <c r="N842" s="1705"/>
      <c r="O842" s="1705"/>
      <c r="P842" s="1705"/>
      <c r="Q842" s="1705"/>
      <c r="R842" s="1705"/>
      <c r="S842" s="1705"/>
      <c r="T842" s="1705"/>
    </row>
    <row r="843" spans="1:20" ht="12.75" customHeight="1">
      <c r="A843" s="1705"/>
      <c r="B843" s="1705"/>
      <c r="C843" s="1705"/>
      <c r="D843" s="1705"/>
      <c r="E843" s="1705"/>
      <c r="F843" s="1705"/>
      <c r="G843" s="1705"/>
      <c r="H843" s="1705"/>
      <c r="I843" s="1705"/>
      <c r="J843" s="1705"/>
      <c r="K843" s="1705"/>
      <c r="L843" s="1705"/>
      <c r="M843" s="1705"/>
      <c r="N843" s="1705"/>
      <c r="O843" s="1705"/>
      <c r="P843" s="1705"/>
      <c r="Q843" s="1705"/>
      <c r="R843" s="1705"/>
      <c r="S843" s="1705"/>
      <c r="T843" s="1705"/>
    </row>
    <row r="844" spans="1:20" ht="12.75" customHeight="1">
      <c r="A844" s="1705"/>
      <c r="B844" s="1705"/>
      <c r="C844" s="1705"/>
      <c r="D844" s="1705"/>
      <c r="E844" s="1705"/>
      <c r="F844" s="1705"/>
      <c r="G844" s="1705"/>
      <c r="H844" s="1705"/>
      <c r="I844" s="1705"/>
      <c r="J844" s="1705"/>
      <c r="K844" s="1705"/>
      <c r="L844" s="1705"/>
      <c r="M844" s="1705"/>
      <c r="N844" s="1705"/>
      <c r="O844" s="1705"/>
      <c r="P844" s="1705"/>
      <c r="Q844" s="1705"/>
      <c r="R844" s="1705"/>
      <c r="S844" s="1705"/>
      <c r="T844" s="1705"/>
    </row>
    <row r="845" spans="1:20" ht="12.75" customHeight="1">
      <c r="A845" s="1705"/>
      <c r="B845" s="1705"/>
      <c r="C845" s="1705"/>
      <c r="D845" s="1705"/>
      <c r="E845" s="1705"/>
      <c r="F845" s="1705"/>
      <c r="G845" s="1705"/>
      <c r="H845" s="1705"/>
      <c r="I845" s="1705"/>
      <c r="J845" s="1705"/>
      <c r="K845" s="1705"/>
      <c r="L845" s="1705"/>
      <c r="M845" s="1705"/>
      <c r="N845" s="1705"/>
      <c r="O845" s="1705"/>
      <c r="P845" s="1705"/>
      <c r="Q845" s="1705"/>
      <c r="R845" s="1705"/>
      <c r="S845" s="1705"/>
      <c r="T845" s="1705"/>
    </row>
    <row r="846" spans="1:20" ht="12.75" customHeight="1">
      <c r="A846" s="1705"/>
      <c r="B846" s="1705"/>
      <c r="C846" s="1705"/>
      <c r="D846" s="1705"/>
      <c r="E846" s="1705"/>
      <c r="F846" s="1705"/>
      <c r="G846" s="1705"/>
      <c r="H846" s="1705"/>
      <c r="I846" s="1705"/>
      <c r="J846" s="1705"/>
      <c r="K846" s="1705"/>
      <c r="L846" s="1705"/>
      <c r="M846" s="1705"/>
      <c r="N846" s="1705"/>
      <c r="O846" s="1705"/>
      <c r="P846" s="1705"/>
      <c r="Q846" s="1705"/>
      <c r="R846" s="1705"/>
      <c r="S846" s="1705"/>
      <c r="T846" s="1705"/>
    </row>
    <row r="847" spans="1:20" ht="12.75" customHeight="1">
      <c r="A847" s="1705"/>
      <c r="B847" s="1705"/>
      <c r="C847" s="1705"/>
      <c r="D847" s="1705"/>
      <c r="E847" s="1705"/>
      <c r="F847" s="1705"/>
      <c r="G847" s="1705"/>
      <c r="H847" s="1705"/>
      <c r="I847" s="1705"/>
      <c r="J847" s="1705"/>
      <c r="K847" s="1705"/>
      <c r="L847" s="1705"/>
      <c r="M847" s="1705"/>
      <c r="N847" s="1705"/>
      <c r="O847" s="1705"/>
      <c r="P847" s="1705"/>
      <c r="Q847" s="1705"/>
      <c r="R847" s="1705"/>
      <c r="S847" s="1705"/>
      <c r="T847" s="1705"/>
    </row>
    <row r="848" spans="1:20" ht="12.75" customHeight="1">
      <c r="A848" s="1705"/>
      <c r="B848" s="1705"/>
      <c r="C848" s="1705"/>
      <c r="D848" s="1705"/>
      <c r="E848" s="1705"/>
      <c r="F848" s="1705"/>
      <c r="G848" s="1705"/>
      <c r="H848" s="1705"/>
      <c r="I848" s="1705"/>
      <c r="J848" s="1705"/>
      <c r="K848" s="1705"/>
      <c r="L848" s="1705"/>
      <c r="M848" s="1705"/>
      <c r="N848" s="1705"/>
      <c r="O848" s="1705"/>
      <c r="P848" s="1705"/>
      <c r="Q848" s="1705"/>
      <c r="R848" s="1705"/>
      <c r="S848" s="1705"/>
      <c r="T848" s="1705"/>
    </row>
    <row r="849" spans="1:20" ht="12.75" customHeight="1">
      <c r="A849" s="1705"/>
      <c r="B849" s="1705"/>
      <c r="C849" s="1705"/>
      <c r="D849" s="1705"/>
      <c r="E849" s="1705"/>
      <c r="F849" s="1705"/>
      <c r="G849" s="1705"/>
      <c r="H849" s="1705"/>
      <c r="I849" s="1705"/>
      <c r="J849" s="1705"/>
      <c r="K849" s="1705"/>
      <c r="L849" s="1705"/>
      <c r="M849" s="1705"/>
      <c r="N849" s="1705"/>
      <c r="O849" s="1705"/>
      <c r="P849" s="1705"/>
      <c r="Q849" s="1705"/>
      <c r="R849" s="1705"/>
      <c r="S849" s="1705"/>
      <c r="T849" s="1705"/>
    </row>
    <row r="850" spans="1:20" ht="12.75" customHeight="1">
      <c r="A850" s="1705"/>
      <c r="B850" s="1705"/>
      <c r="C850" s="1705"/>
      <c r="D850" s="1705"/>
      <c r="E850" s="1705"/>
      <c r="F850" s="1705"/>
      <c r="G850" s="1705"/>
      <c r="H850" s="1705"/>
      <c r="I850" s="1705"/>
      <c r="J850" s="1705"/>
      <c r="K850" s="1705"/>
      <c r="L850" s="1705"/>
      <c r="M850" s="1705"/>
      <c r="N850" s="1705"/>
      <c r="O850" s="1705"/>
      <c r="P850" s="1705"/>
      <c r="Q850" s="1705"/>
      <c r="R850" s="1705"/>
      <c r="S850" s="1705"/>
      <c r="T850" s="1705"/>
    </row>
    <row r="851" spans="1:20" ht="12.75" customHeight="1">
      <c r="A851" s="1705"/>
      <c r="B851" s="1705"/>
      <c r="C851" s="1705"/>
      <c r="D851" s="1705"/>
      <c r="E851" s="1705"/>
      <c r="F851" s="1705"/>
      <c r="G851" s="1705"/>
      <c r="H851" s="1705"/>
      <c r="I851" s="1705"/>
      <c r="J851" s="1705"/>
      <c r="K851" s="1705"/>
      <c r="L851" s="1705"/>
      <c r="M851" s="1705"/>
      <c r="N851" s="1705"/>
      <c r="O851" s="1705"/>
      <c r="P851" s="1705"/>
      <c r="Q851" s="1705"/>
      <c r="R851" s="1705"/>
      <c r="S851" s="1705"/>
      <c r="T851" s="1705"/>
    </row>
    <row r="852" spans="1:20" ht="12.75" customHeight="1">
      <c r="A852" s="1705"/>
      <c r="B852" s="1705"/>
      <c r="C852" s="1705"/>
      <c r="D852" s="1705"/>
      <c r="E852" s="1705"/>
      <c r="F852" s="1705"/>
      <c r="G852" s="1705"/>
      <c r="H852" s="1705"/>
      <c r="I852" s="1705"/>
      <c r="J852" s="1705"/>
      <c r="K852" s="1705"/>
      <c r="L852" s="1705"/>
      <c r="M852" s="1705"/>
      <c r="N852" s="1705"/>
      <c r="O852" s="1705"/>
      <c r="P852" s="1705"/>
      <c r="Q852" s="1705"/>
      <c r="R852" s="1705"/>
      <c r="S852" s="1705"/>
      <c r="T852" s="1705"/>
    </row>
    <row r="853" spans="1:20" ht="12.75" customHeight="1">
      <c r="A853" s="1705"/>
      <c r="B853" s="1705"/>
      <c r="C853" s="1705"/>
      <c r="D853" s="1705"/>
      <c r="E853" s="1705"/>
      <c r="F853" s="1705"/>
      <c r="G853" s="1705"/>
      <c r="H853" s="1705"/>
      <c r="I853" s="1705"/>
      <c r="J853" s="1705"/>
      <c r="K853" s="1705"/>
      <c r="L853" s="1705"/>
      <c r="M853" s="1705"/>
      <c r="N853" s="1705"/>
      <c r="O853" s="1705"/>
      <c r="P853" s="1705"/>
      <c r="Q853" s="1705"/>
      <c r="R853" s="1705"/>
      <c r="S853" s="1705"/>
      <c r="T853" s="1705"/>
    </row>
    <row r="854" spans="1:20" ht="12.75" customHeight="1">
      <c r="A854" s="1705"/>
      <c r="B854" s="1705"/>
      <c r="C854" s="1705"/>
      <c r="D854" s="1705"/>
      <c r="E854" s="1705"/>
      <c r="F854" s="1705"/>
      <c r="G854" s="1705"/>
      <c r="H854" s="1705"/>
      <c r="I854" s="1705"/>
      <c r="J854" s="1705"/>
      <c r="K854" s="1705"/>
      <c r="L854" s="1705"/>
      <c r="M854" s="1705"/>
      <c r="N854" s="1705"/>
      <c r="O854" s="1705"/>
      <c r="P854" s="1705"/>
      <c r="Q854" s="1705"/>
      <c r="R854" s="1705"/>
      <c r="S854" s="1705"/>
      <c r="T854" s="1705"/>
    </row>
    <row r="855" spans="1:20" ht="12.75" customHeight="1">
      <c r="A855" s="1705"/>
      <c r="B855" s="1705"/>
      <c r="C855" s="1705"/>
      <c r="D855" s="1705"/>
      <c r="E855" s="1705"/>
      <c r="F855" s="1705"/>
      <c r="G855" s="1705"/>
      <c r="H855" s="1705"/>
      <c r="I855" s="1705"/>
      <c r="J855" s="1705"/>
      <c r="K855" s="1705"/>
      <c r="L855" s="1705"/>
      <c r="M855" s="1705"/>
      <c r="N855" s="1705"/>
      <c r="O855" s="1705"/>
      <c r="P855" s="1705"/>
      <c r="Q855" s="1705"/>
      <c r="R855" s="1705"/>
      <c r="S855" s="1705"/>
      <c r="T855" s="1705"/>
    </row>
    <row r="856" spans="1:20" ht="12.75" customHeight="1">
      <c r="A856" s="1705"/>
      <c r="B856" s="1705"/>
      <c r="C856" s="1705"/>
      <c r="D856" s="1705"/>
      <c r="E856" s="1705"/>
      <c r="F856" s="1705"/>
      <c r="G856" s="1705"/>
      <c r="H856" s="1705"/>
      <c r="I856" s="1705"/>
      <c r="J856" s="1705"/>
      <c r="K856" s="1705"/>
      <c r="L856" s="1705"/>
      <c r="M856" s="1705"/>
      <c r="N856" s="1705"/>
      <c r="O856" s="1705"/>
      <c r="P856" s="1705"/>
      <c r="Q856" s="1705"/>
      <c r="R856" s="1705"/>
      <c r="S856" s="1705"/>
      <c r="T856" s="1705"/>
    </row>
    <row r="857" spans="1:20" ht="12.75" customHeight="1">
      <c r="A857" s="1705"/>
      <c r="B857" s="1705"/>
      <c r="C857" s="1705"/>
      <c r="D857" s="1705"/>
      <c r="E857" s="1705"/>
      <c r="F857" s="1705"/>
      <c r="G857" s="1705"/>
      <c r="H857" s="1705"/>
      <c r="I857" s="1705"/>
      <c r="J857" s="1705"/>
      <c r="K857" s="1705"/>
      <c r="L857" s="1705"/>
      <c r="M857" s="1705"/>
      <c r="N857" s="1705"/>
      <c r="O857" s="1705"/>
      <c r="P857" s="1705"/>
      <c r="Q857" s="1705"/>
      <c r="R857" s="1705"/>
      <c r="S857" s="1705"/>
      <c r="T857" s="1705"/>
    </row>
    <row r="858" spans="1:20" ht="12.75" customHeight="1">
      <c r="A858" s="1705"/>
      <c r="B858" s="1705"/>
      <c r="C858" s="1705"/>
      <c r="D858" s="1705"/>
      <c r="E858" s="1705"/>
      <c r="F858" s="1705"/>
      <c r="G858" s="1705"/>
      <c r="H858" s="1705"/>
      <c r="I858" s="1705"/>
      <c r="J858" s="1705"/>
      <c r="K858" s="1705"/>
      <c r="L858" s="1705"/>
      <c r="M858" s="1705"/>
      <c r="N858" s="1705"/>
      <c r="O858" s="1705"/>
      <c r="P858" s="1705"/>
      <c r="Q858" s="1705"/>
      <c r="R858" s="1705"/>
      <c r="S858" s="1705"/>
      <c r="T858" s="1705"/>
    </row>
    <row r="859" spans="1:20" ht="12.75" customHeight="1">
      <c r="A859" s="1705"/>
      <c r="B859" s="1705"/>
      <c r="C859" s="1705"/>
      <c r="D859" s="1705"/>
      <c r="E859" s="1705"/>
      <c r="F859" s="1705"/>
      <c r="G859" s="1705"/>
      <c r="H859" s="1705"/>
      <c r="I859" s="1705"/>
      <c r="J859" s="1705"/>
      <c r="K859" s="1705"/>
      <c r="L859" s="1705"/>
      <c r="M859" s="1705"/>
      <c r="N859" s="1705"/>
      <c r="O859" s="1705"/>
      <c r="P859" s="1705"/>
      <c r="Q859" s="1705"/>
      <c r="R859" s="1705"/>
      <c r="S859" s="1705"/>
      <c r="T859" s="1705"/>
    </row>
    <row r="860" spans="1:20" ht="12.75" customHeight="1">
      <c r="A860" s="1705"/>
      <c r="B860" s="1705"/>
      <c r="C860" s="1705"/>
      <c r="D860" s="1705"/>
      <c r="E860" s="1705"/>
      <c r="F860" s="1705"/>
      <c r="G860" s="1705"/>
      <c r="H860" s="1705"/>
      <c r="I860" s="1705"/>
      <c r="J860" s="1705"/>
      <c r="K860" s="1705"/>
      <c r="L860" s="1705"/>
      <c r="M860" s="1705"/>
      <c r="N860" s="1705"/>
      <c r="O860" s="1705"/>
      <c r="P860" s="1705"/>
      <c r="Q860" s="1705"/>
      <c r="R860" s="1705"/>
      <c r="S860" s="1705"/>
      <c r="T860" s="1705"/>
    </row>
    <row r="861" spans="1:20" ht="12.75" customHeight="1">
      <c r="A861" s="1705"/>
      <c r="B861" s="1705"/>
      <c r="C861" s="1705"/>
      <c r="D861" s="1705"/>
      <c r="E861" s="1705"/>
      <c r="F861" s="1705"/>
      <c r="G861" s="1705"/>
      <c r="H861" s="1705"/>
      <c r="I861" s="1705"/>
      <c r="J861" s="1705"/>
      <c r="K861" s="1705"/>
      <c r="L861" s="1705"/>
      <c r="M861" s="1705"/>
      <c r="N861" s="1705"/>
      <c r="O861" s="1705"/>
      <c r="P861" s="1705"/>
      <c r="Q861" s="1705"/>
      <c r="R861" s="1705"/>
      <c r="S861" s="1705"/>
      <c r="T861" s="1705"/>
    </row>
    <row r="862" spans="1:20" ht="12.75" customHeight="1">
      <c r="A862" s="1705"/>
      <c r="B862" s="1705"/>
      <c r="C862" s="1705"/>
      <c r="D862" s="1705"/>
      <c r="E862" s="1705"/>
      <c r="F862" s="1705"/>
      <c r="G862" s="1705"/>
      <c r="H862" s="1705"/>
      <c r="I862" s="1705"/>
      <c r="J862" s="1705"/>
      <c r="K862" s="1705"/>
      <c r="L862" s="1705"/>
      <c r="M862" s="1705"/>
      <c r="N862" s="1705"/>
      <c r="O862" s="1705"/>
      <c r="P862" s="1705"/>
      <c r="Q862" s="1705"/>
      <c r="R862" s="1705"/>
      <c r="S862" s="1705"/>
      <c r="T862" s="1705"/>
    </row>
    <row r="863" spans="1:20" ht="12.75" customHeight="1">
      <c r="A863" s="1705"/>
      <c r="B863" s="1705"/>
      <c r="C863" s="1705"/>
      <c r="D863" s="1705"/>
      <c r="E863" s="1705"/>
      <c r="F863" s="1705"/>
      <c r="G863" s="1705"/>
      <c r="H863" s="1705"/>
      <c r="I863" s="1705"/>
      <c r="J863" s="1705"/>
      <c r="K863" s="1705"/>
      <c r="L863" s="1705"/>
      <c r="M863" s="1705"/>
      <c r="N863" s="1705"/>
      <c r="O863" s="1705"/>
      <c r="P863" s="1705"/>
      <c r="Q863" s="1705"/>
      <c r="R863" s="1705"/>
      <c r="S863" s="1705"/>
      <c r="T863" s="1705"/>
    </row>
    <row r="864" spans="1:20" ht="12.75" customHeight="1">
      <c r="A864" s="1705"/>
      <c r="B864" s="1705"/>
      <c r="C864" s="1705"/>
      <c r="D864" s="1705"/>
      <c r="E864" s="1705"/>
      <c r="F864" s="1705"/>
      <c r="G864" s="1705"/>
      <c r="H864" s="1705"/>
      <c r="I864" s="1705"/>
      <c r="J864" s="1705"/>
      <c r="K864" s="1705"/>
      <c r="L864" s="1705"/>
      <c r="M864" s="1705"/>
      <c r="N864" s="1705"/>
      <c r="O864" s="1705"/>
      <c r="P864" s="1705"/>
      <c r="Q864" s="1705"/>
      <c r="R864" s="1705"/>
      <c r="S864" s="1705"/>
      <c r="T864" s="1705"/>
    </row>
    <row r="865" spans="1:20" ht="12.75" customHeight="1">
      <c r="A865" s="1705"/>
      <c r="B865" s="1705"/>
      <c r="C865" s="1705"/>
      <c r="D865" s="1705"/>
      <c r="E865" s="1705"/>
      <c r="F865" s="1705"/>
      <c r="G865" s="1705"/>
      <c r="H865" s="1705"/>
      <c r="I865" s="1705"/>
      <c r="J865" s="1705"/>
      <c r="K865" s="1705"/>
      <c r="L865" s="1705"/>
      <c r="M865" s="1705"/>
      <c r="N865" s="1705"/>
      <c r="O865" s="1705"/>
      <c r="P865" s="1705"/>
      <c r="Q865" s="1705"/>
      <c r="R865" s="1705"/>
      <c r="S865" s="1705"/>
      <c r="T865" s="1705"/>
    </row>
    <row r="866" spans="1:20" ht="12.75" customHeight="1">
      <c r="A866" s="1705"/>
      <c r="B866" s="1705"/>
      <c r="C866" s="1705"/>
      <c r="D866" s="1705"/>
      <c r="E866" s="1705"/>
      <c r="F866" s="1705"/>
      <c r="G866" s="1705"/>
      <c r="H866" s="1705"/>
      <c r="I866" s="1705"/>
      <c r="J866" s="1705"/>
      <c r="K866" s="1705"/>
      <c r="L866" s="1705"/>
      <c r="M866" s="1705"/>
      <c r="N866" s="1705"/>
      <c r="O866" s="1705"/>
      <c r="P866" s="1705"/>
      <c r="Q866" s="1705"/>
      <c r="R866" s="1705"/>
      <c r="S866" s="1705"/>
      <c r="T866" s="1705"/>
    </row>
    <row r="867" spans="1:20" ht="12.75" customHeight="1">
      <c r="A867" s="1705"/>
      <c r="B867" s="1705"/>
      <c r="C867" s="1705"/>
      <c r="D867" s="1705"/>
      <c r="E867" s="1705"/>
      <c r="F867" s="1705"/>
      <c r="G867" s="1705"/>
      <c r="H867" s="1705"/>
      <c r="I867" s="1705"/>
      <c r="J867" s="1705"/>
      <c r="K867" s="1705"/>
      <c r="L867" s="1705"/>
      <c r="M867" s="1705"/>
      <c r="N867" s="1705"/>
      <c r="O867" s="1705"/>
      <c r="P867" s="1705"/>
      <c r="Q867" s="1705"/>
      <c r="R867" s="1705"/>
      <c r="S867" s="1705"/>
      <c r="T867" s="1705"/>
    </row>
    <row r="868" spans="1:20" ht="12.75" customHeight="1">
      <c r="A868" s="1705"/>
      <c r="B868" s="1705"/>
      <c r="C868" s="1705"/>
      <c r="D868" s="1705"/>
      <c r="E868" s="1705"/>
      <c r="F868" s="1705"/>
      <c r="G868" s="1705"/>
      <c r="H868" s="1705"/>
      <c r="I868" s="1705"/>
      <c r="J868" s="1705"/>
      <c r="K868" s="1705"/>
      <c r="L868" s="1705"/>
      <c r="M868" s="1705"/>
      <c r="N868" s="1705"/>
      <c r="O868" s="1705"/>
      <c r="P868" s="1705"/>
      <c r="Q868" s="1705"/>
      <c r="R868" s="1705"/>
      <c r="S868" s="1705"/>
      <c r="T868" s="1705"/>
    </row>
    <row r="869" spans="1:20" ht="12.75" customHeight="1">
      <c r="A869" s="1705"/>
      <c r="B869" s="1705"/>
      <c r="C869" s="1705"/>
      <c r="D869" s="1705"/>
      <c r="E869" s="1705"/>
      <c r="F869" s="1705"/>
      <c r="G869" s="1705"/>
      <c r="H869" s="1705"/>
      <c r="I869" s="1705"/>
      <c r="J869" s="1705"/>
      <c r="K869" s="1705"/>
      <c r="L869" s="1705"/>
      <c r="M869" s="1705"/>
      <c r="N869" s="1705"/>
      <c r="O869" s="1705"/>
      <c r="P869" s="1705"/>
      <c r="Q869" s="1705"/>
      <c r="R869" s="1705"/>
      <c r="S869" s="1705"/>
      <c r="T869" s="1705"/>
    </row>
    <row r="870" spans="1:20" ht="12.75" customHeight="1">
      <c r="A870" s="1705"/>
      <c r="B870" s="1705"/>
      <c r="C870" s="1705"/>
      <c r="D870" s="1705"/>
      <c r="E870" s="1705"/>
      <c r="F870" s="1705"/>
      <c r="G870" s="1705"/>
      <c r="H870" s="1705"/>
      <c r="I870" s="1705"/>
      <c r="J870" s="1705"/>
      <c r="K870" s="1705"/>
      <c r="L870" s="1705"/>
      <c r="M870" s="1705"/>
      <c r="N870" s="1705"/>
      <c r="O870" s="1705"/>
      <c r="P870" s="1705"/>
      <c r="Q870" s="1705"/>
      <c r="R870" s="1705"/>
      <c r="S870" s="1705"/>
      <c r="T870" s="1705"/>
    </row>
    <row r="871" spans="1:20" ht="12.75" customHeight="1">
      <c r="A871" s="1705"/>
      <c r="B871" s="1705"/>
      <c r="C871" s="1705"/>
      <c r="D871" s="1705"/>
      <c r="E871" s="1705"/>
      <c r="F871" s="1705"/>
      <c r="G871" s="1705"/>
      <c r="H871" s="1705"/>
      <c r="I871" s="1705"/>
      <c r="J871" s="1705"/>
      <c r="K871" s="1705"/>
      <c r="L871" s="1705"/>
      <c r="M871" s="1705"/>
      <c r="N871" s="1705"/>
      <c r="O871" s="1705"/>
      <c r="P871" s="1705"/>
      <c r="Q871" s="1705"/>
      <c r="R871" s="1705"/>
      <c r="S871" s="1705"/>
      <c r="T871" s="1705"/>
    </row>
    <row r="872" spans="1:20" ht="12.75" customHeight="1">
      <c r="A872" s="1705"/>
      <c r="B872" s="1705"/>
      <c r="C872" s="1705"/>
      <c r="D872" s="1705"/>
      <c r="E872" s="1705"/>
      <c r="F872" s="1705"/>
      <c r="G872" s="1705"/>
      <c r="H872" s="1705"/>
      <c r="I872" s="1705"/>
      <c r="J872" s="1705"/>
      <c r="K872" s="1705"/>
      <c r="L872" s="1705"/>
      <c r="M872" s="1705"/>
      <c r="N872" s="1705"/>
      <c r="O872" s="1705"/>
      <c r="P872" s="1705"/>
      <c r="Q872" s="1705"/>
      <c r="R872" s="1705"/>
      <c r="S872" s="1705"/>
      <c r="T872" s="1705"/>
    </row>
    <row r="873" spans="1:20" ht="12.75" customHeight="1">
      <c r="A873" s="1705"/>
      <c r="B873" s="1705"/>
      <c r="C873" s="1705"/>
      <c r="D873" s="1705"/>
      <c r="E873" s="1705"/>
      <c r="F873" s="1705"/>
      <c r="G873" s="1705"/>
      <c r="H873" s="1705"/>
      <c r="I873" s="1705"/>
      <c r="J873" s="1705"/>
      <c r="K873" s="1705"/>
      <c r="L873" s="1705"/>
      <c r="M873" s="1705"/>
      <c r="N873" s="1705"/>
      <c r="O873" s="1705"/>
      <c r="P873" s="1705"/>
      <c r="Q873" s="1705"/>
      <c r="R873" s="1705"/>
      <c r="S873" s="1705"/>
      <c r="T873" s="1705"/>
    </row>
    <row r="874" spans="1:20" ht="12.75" customHeight="1">
      <c r="A874" s="1705"/>
      <c r="B874" s="1705"/>
      <c r="C874" s="1705"/>
      <c r="D874" s="1705"/>
      <c r="E874" s="1705"/>
      <c r="F874" s="1705"/>
      <c r="G874" s="1705"/>
      <c r="H874" s="1705"/>
      <c r="I874" s="1705"/>
      <c r="J874" s="1705"/>
      <c r="K874" s="1705"/>
      <c r="L874" s="1705"/>
      <c r="M874" s="1705"/>
      <c r="N874" s="1705"/>
      <c r="O874" s="1705"/>
      <c r="P874" s="1705"/>
      <c r="Q874" s="1705"/>
      <c r="R874" s="1705"/>
      <c r="S874" s="1705"/>
      <c r="T874" s="1705"/>
    </row>
    <row r="875" spans="1:20" ht="12.75" customHeight="1">
      <c r="A875" s="1705"/>
      <c r="B875" s="1705"/>
      <c r="C875" s="1705"/>
      <c r="D875" s="1705"/>
      <c r="E875" s="1705"/>
      <c r="F875" s="1705"/>
      <c r="G875" s="1705"/>
      <c r="H875" s="1705"/>
      <c r="I875" s="1705"/>
      <c r="J875" s="1705"/>
      <c r="K875" s="1705"/>
      <c r="L875" s="1705"/>
      <c r="M875" s="1705"/>
      <c r="N875" s="1705"/>
      <c r="O875" s="1705"/>
      <c r="P875" s="1705"/>
      <c r="Q875" s="1705"/>
      <c r="R875" s="1705"/>
      <c r="S875" s="1705"/>
      <c r="T875" s="1705"/>
    </row>
    <row r="876" spans="1:20" ht="12.75" customHeight="1">
      <c r="A876" s="1705"/>
      <c r="B876" s="1705"/>
      <c r="C876" s="1705"/>
      <c r="D876" s="1705"/>
      <c r="E876" s="1705"/>
      <c r="F876" s="1705"/>
      <c r="G876" s="1705"/>
      <c r="H876" s="1705"/>
      <c r="I876" s="1705"/>
      <c r="J876" s="1705"/>
      <c r="K876" s="1705"/>
      <c r="L876" s="1705"/>
      <c r="M876" s="1705"/>
      <c r="N876" s="1705"/>
      <c r="O876" s="1705"/>
      <c r="P876" s="1705"/>
      <c r="Q876" s="1705"/>
      <c r="R876" s="1705"/>
      <c r="S876" s="1705"/>
      <c r="T876" s="1705"/>
    </row>
    <row r="877" spans="1:20" ht="12.75" customHeight="1">
      <c r="A877" s="1705"/>
      <c r="B877" s="1705"/>
      <c r="C877" s="1705"/>
      <c r="D877" s="1705"/>
      <c r="E877" s="1705"/>
      <c r="F877" s="1705"/>
      <c r="G877" s="1705"/>
      <c r="H877" s="1705"/>
      <c r="I877" s="1705"/>
      <c r="J877" s="1705"/>
      <c r="K877" s="1705"/>
      <c r="L877" s="1705"/>
      <c r="M877" s="1705"/>
      <c r="N877" s="1705"/>
      <c r="O877" s="1705"/>
      <c r="P877" s="1705"/>
      <c r="Q877" s="1705"/>
      <c r="R877" s="1705"/>
      <c r="S877" s="1705"/>
      <c r="T877" s="1705"/>
    </row>
    <row r="878" spans="1:20" ht="12.75" customHeight="1">
      <c r="A878" s="1705"/>
      <c r="B878" s="1705"/>
      <c r="C878" s="1705"/>
      <c r="D878" s="1705"/>
      <c r="E878" s="1705"/>
      <c r="F878" s="1705"/>
      <c r="G878" s="1705"/>
      <c r="H878" s="1705"/>
      <c r="I878" s="1705"/>
      <c r="J878" s="1705"/>
      <c r="K878" s="1705"/>
      <c r="L878" s="1705"/>
      <c r="M878" s="1705"/>
      <c r="N878" s="1705"/>
      <c r="O878" s="1705"/>
      <c r="P878" s="1705"/>
      <c r="Q878" s="1705"/>
      <c r="R878" s="1705"/>
      <c r="S878" s="1705"/>
      <c r="T878" s="1705"/>
    </row>
    <row r="879" spans="1:20" ht="12.75" customHeight="1">
      <c r="A879" s="1705"/>
      <c r="B879" s="1705"/>
      <c r="C879" s="1705"/>
      <c r="D879" s="1705"/>
      <c r="E879" s="1705"/>
      <c r="F879" s="1705"/>
      <c r="G879" s="1705"/>
      <c r="H879" s="1705"/>
      <c r="I879" s="1705"/>
      <c r="J879" s="1705"/>
      <c r="K879" s="1705"/>
      <c r="L879" s="1705"/>
      <c r="M879" s="1705"/>
      <c r="N879" s="1705"/>
      <c r="O879" s="1705"/>
      <c r="P879" s="1705"/>
      <c r="Q879" s="1705"/>
      <c r="R879" s="1705"/>
      <c r="S879" s="1705"/>
      <c r="T879" s="1705"/>
    </row>
    <row r="880" spans="1:20" ht="12.75" customHeight="1">
      <c r="A880" s="1705"/>
      <c r="B880" s="1705"/>
      <c r="C880" s="1705"/>
      <c r="D880" s="1705"/>
      <c r="E880" s="1705"/>
      <c r="F880" s="1705"/>
      <c r="G880" s="1705"/>
      <c r="H880" s="1705"/>
      <c r="I880" s="1705"/>
      <c r="J880" s="1705"/>
      <c r="K880" s="1705"/>
      <c r="L880" s="1705"/>
      <c r="M880" s="1705"/>
      <c r="N880" s="1705"/>
      <c r="O880" s="1705"/>
      <c r="P880" s="1705"/>
      <c r="Q880" s="1705"/>
      <c r="R880" s="1705"/>
      <c r="S880" s="1705"/>
      <c r="T880" s="1705"/>
    </row>
    <row r="881" spans="1:20" ht="12.75" customHeight="1">
      <c r="A881" s="1705"/>
      <c r="B881" s="1705"/>
      <c r="C881" s="1705"/>
      <c r="D881" s="1705"/>
      <c r="E881" s="1705"/>
      <c r="F881" s="1705"/>
      <c r="G881" s="1705"/>
      <c r="H881" s="1705"/>
      <c r="I881" s="1705"/>
      <c r="J881" s="1705"/>
      <c r="K881" s="1705"/>
      <c r="L881" s="1705"/>
      <c r="M881" s="1705"/>
      <c r="N881" s="1705"/>
      <c r="O881" s="1705"/>
      <c r="P881" s="1705"/>
      <c r="Q881" s="1705"/>
      <c r="R881" s="1705"/>
      <c r="S881" s="1705"/>
      <c r="T881" s="1705"/>
    </row>
    <row r="882" spans="1:20" ht="12.75" customHeight="1">
      <c r="A882" s="1705"/>
      <c r="B882" s="1705"/>
      <c r="C882" s="1705"/>
      <c r="D882" s="1705"/>
      <c r="E882" s="1705"/>
      <c r="F882" s="1705"/>
      <c r="G882" s="1705"/>
      <c r="H882" s="1705"/>
      <c r="I882" s="1705"/>
      <c r="J882" s="1705"/>
      <c r="K882" s="1705"/>
      <c r="L882" s="1705"/>
      <c r="M882" s="1705"/>
      <c r="N882" s="1705"/>
      <c r="O882" s="1705"/>
      <c r="P882" s="1705"/>
      <c r="Q882" s="1705"/>
      <c r="R882" s="1705"/>
      <c r="S882" s="1705"/>
      <c r="T882" s="1705"/>
    </row>
    <row r="883" spans="1:20" ht="12.75" customHeight="1">
      <c r="A883" s="1705"/>
      <c r="B883" s="1705"/>
      <c r="C883" s="1705"/>
      <c r="D883" s="1705"/>
      <c r="E883" s="1705"/>
      <c r="F883" s="1705"/>
      <c r="G883" s="1705"/>
      <c r="H883" s="1705"/>
      <c r="I883" s="1705"/>
      <c r="J883" s="1705"/>
      <c r="K883" s="1705"/>
      <c r="L883" s="1705"/>
      <c r="M883" s="1705"/>
      <c r="N883" s="1705"/>
      <c r="O883" s="1705"/>
      <c r="P883" s="1705"/>
      <c r="Q883" s="1705"/>
      <c r="R883" s="1705"/>
      <c r="S883" s="1705"/>
      <c r="T883" s="1705"/>
    </row>
    <row r="884" spans="1:20" ht="12.75" customHeight="1">
      <c r="A884" s="1705"/>
      <c r="B884" s="1705"/>
      <c r="C884" s="1705"/>
      <c r="D884" s="1705"/>
      <c r="E884" s="1705"/>
      <c r="F884" s="1705"/>
      <c r="G884" s="1705"/>
      <c r="H884" s="1705"/>
      <c r="I884" s="1705"/>
      <c r="J884" s="1705"/>
      <c r="K884" s="1705"/>
      <c r="L884" s="1705"/>
      <c r="M884" s="1705"/>
      <c r="N884" s="1705"/>
      <c r="O884" s="1705"/>
      <c r="P884" s="1705"/>
      <c r="Q884" s="1705"/>
      <c r="R884" s="1705"/>
      <c r="S884" s="1705"/>
      <c r="T884" s="1705"/>
    </row>
    <row r="885" spans="1:20" ht="12.75" customHeight="1">
      <c r="A885" s="1705"/>
      <c r="B885" s="1705"/>
      <c r="C885" s="1705"/>
      <c r="D885" s="1705"/>
      <c r="E885" s="1705"/>
      <c r="F885" s="1705"/>
      <c r="G885" s="1705"/>
      <c r="H885" s="1705"/>
      <c r="I885" s="1705"/>
      <c r="J885" s="1705"/>
      <c r="K885" s="1705"/>
      <c r="L885" s="1705"/>
      <c r="M885" s="1705"/>
      <c r="N885" s="1705"/>
      <c r="O885" s="1705"/>
      <c r="P885" s="1705"/>
      <c r="Q885" s="1705"/>
      <c r="R885" s="1705"/>
      <c r="S885" s="1705"/>
      <c r="T885" s="1705"/>
    </row>
    <row r="886" spans="1:20" ht="12.75" customHeight="1">
      <c r="A886" s="1705"/>
      <c r="B886" s="1705"/>
      <c r="C886" s="1705"/>
      <c r="D886" s="1705"/>
      <c r="E886" s="1705"/>
      <c r="F886" s="1705"/>
      <c r="G886" s="1705"/>
      <c r="H886" s="1705"/>
      <c r="I886" s="1705"/>
      <c r="J886" s="1705"/>
      <c r="K886" s="1705"/>
      <c r="L886" s="1705"/>
      <c r="M886" s="1705"/>
      <c r="N886" s="1705"/>
      <c r="O886" s="1705"/>
      <c r="P886" s="1705"/>
      <c r="Q886" s="1705"/>
      <c r="R886" s="1705"/>
      <c r="S886" s="1705"/>
      <c r="T886" s="1705"/>
    </row>
    <row r="887" spans="1:20" ht="12.75" customHeight="1">
      <c r="A887" s="1705"/>
      <c r="B887" s="1705"/>
      <c r="C887" s="1705"/>
      <c r="D887" s="1705"/>
      <c r="E887" s="1705"/>
      <c r="F887" s="1705"/>
      <c r="G887" s="1705"/>
      <c r="H887" s="1705"/>
      <c r="I887" s="1705"/>
      <c r="J887" s="1705"/>
      <c r="K887" s="1705"/>
      <c r="L887" s="1705"/>
      <c r="M887" s="1705"/>
      <c r="N887" s="1705"/>
      <c r="O887" s="1705"/>
      <c r="P887" s="1705"/>
      <c r="Q887" s="1705"/>
      <c r="R887" s="1705"/>
      <c r="S887" s="1705"/>
      <c r="T887" s="1705"/>
    </row>
    <row r="888" spans="1:20" ht="12.75" customHeight="1">
      <c r="A888" s="1705"/>
      <c r="B888" s="1705"/>
      <c r="C888" s="1705"/>
      <c r="D888" s="1705"/>
      <c r="E888" s="1705"/>
      <c r="F888" s="1705"/>
      <c r="G888" s="1705"/>
      <c r="H888" s="1705"/>
      <c r="I888" s="1705"/>
      <c r="J888" s="1705"/>
      <c r="K888" s="1705"/>
      <c r="L888" s="1705"/>
      <c r="M888" s="1705"/>
      <c r="N888" s="1705"/>
      <c r="O888" s="1705"/>
      <c r="P888" s="1705"/>
      <c r="Q888" s="1705"/>
      <c r="R888" s="1705"/>
      <c r="S888" s="1705"/>
      <c r="T888" s="1705"/>
    </row>
    <row r="889" spans="1:20" ht="12.75" customHeight="1">
      <c r="A889" s="1705"/>
      <c r="B889" s="1705"/>
      <c r="C889" s="1705"/>
      <c r="D889" s="1705"/>
      <c r="E889" s="1705"/>
      <c r="F889" s="1705"/>
      <c r="G889" s="1705"/>
      <c r="H889" s="1705"/>
      <c r="I889" s="1705"/>
      <c r="J889" s="1705"/>
      <c r="K889" s="1705"/>
      <c r="L889" s="1705"/>
      <c r="M889" s="1705"/>
      <c r="N889" s="1705"/>
      <c r="O889" s="1705"/>
      <c r="P889" s="1705"/>
      <c r="Q889" s="1705"/>
      <c r="R889" s="1705"/>
      <c r="S889" s="1705"/>
      <c r="T889" s="1705"/>
    </row>
    <row r="890" spans="1:20" ht="12.75" customHeight="1">
      <c r="A890" s="1705"/>
      <c r="B890" s="1705"/>
      <c r="C890" s="1705"/>
      <c r="D890" s="1705"/>
      <c r="E890" s="1705"/>
      <c r="F890" s="1705"/>
      <c r="G890" s="1705"/>
      <c r="H890" s="1705"/>
      <c r="I890" s="1705"/>
      <c r="J890" s="1705"/>
      <c r="K890" s="1705"/>
      <c r="L890" s="1705"/>
      <c r="M890" s="1705"/>
      <c r="N890" s="1705"/>
      <c r="O890" s="1705"/>
      <c r="P890" s="1705"/>
      <c r="Q890" s="1705"/>
      <c r="R890" s="1705"/>
      <c r="S890" s="1705"/>
      <c r="T890" s="1705"/>
    </row>
    <row r="891" spans="1:20" ht="12.75" customHeight="1">
      <c r="A891" s="1705"/>
      <c r="B891" s="1705"/>
      <c r="C891" s="1705"/>
      <c r="D891" s="1705"/>
      <c r="E891" s="1705"/>
      <c r="F891" s="1705"/>
      <c r="G891" s="1705"/>
      <c r="H891" s="1705"/>
      <c r="I891" s="1705"/>
      <c r="J891" s="1705"/>
      <c r="K891" s="1705"/>
      <c r="L891" s="1705"/>
      <c r="M891" s="1705"/>
      <c r="N891" s="1705"/>
      <c r="O891" s="1705"/>
      <c r="P891" s="1705"/>
      <c r="Q891" s="1705"/>
      <c r="R891" s="1705"/>
      <c r="S891" s="1705"/>
      <c r="T891" s="1705"/>
    </row>
    <row r="892" spans="1:20" ht="12.75" customHeight="1">
      <c r="A892" s="1705"/>
      <c r="B892" s="1705"/>
      <c r="C892" s="1705"/>
      <c r="D892" s="1705"/>
      <c r="E892" s="1705"/>
      <c r="F892" s="1705"/>
      <c r="G892" s="1705"/>
      <c r="H892" s="1705"/>
      <c r="I892" s="1705"/>
      <c r="J892" s="1705"/>
      <c r="K892" s="1705"/>
      <c r="L892" s="1705"/>
      <c r="M892" s="1705"/>
      <c r="N892" s="1705"/>
      <c r="O892" s="1705"/>
      <c r="P892" s="1705"/>
      <c r="Q892" s="1705"/>
      <c r="R892" s="1705"/>
      <c r="S892" s="1705"/>
      <c r="T892" s="1705"/>
    </row>
    <row r="893" spans="1:20" ht="12.75" customHeight="1">
      <c r="A893" s="1705"/>
      <c r="B893" s="1705"/>
      <c r="C893" s="1705"/>
      <c r="D893" s="1705"/>
      <c r="E893" s="1705"/>
      <c r="F893" s="1705"/>
      <c r="G893" s="1705"/>
      <c r="H893" s="1705"/>
      <c r="I893" s="1705"/>
      <c r="J893" s="1705"/>
      <c r="K893" s="1705"/>
      <c r="L893" s="1705"/>
      <c r="M893" s="1705"/>
      <c r="N893" s="1705"/>
      <c r="O893" s="1705"/>
      <c r="P893" s="1705"/>
      <c r="Q893" s="1705"/>
      <c r="R893" s="1705"/>
      <c r="S893" s="1705"/>
      <c r="T893" s="1705"/>
    </row>
    <row r="894" spans="1:20" ht="12.75" customHeight="1">
      <c r="A894" s="1705"/>
      <c r="B894" s="1705"/>
      <c r="C894" s="1705"/>
      <c r="D894" s="1705"/>
      <c r="E894" s="1705"/>
      <c r="F894" s="1705"/>
      <c r="G894" s="1705"/>
      <c r="H894" s="1705"/>
      <c r="I894" s="1705"/>
      <c r="J894" s="1705"/>
      <c r="K894" s="1705"/>
      <c r="L894" s="1705"/>
      <c r="M894" s="1705"/>
      <c r="N894" s="1705"/>
      <c r="O894" s="1705"/>
      <c r="P894" s="1705"/>
      <c r="Q894" s="1705"/>
      <c r="R894" s="1705"/>
      <c r="S894" s="1705"/>
      <c r="T894" s="1705"/>
    </row>
    <row r="895" spans="1:20" ht="12.75" customHeight="1">
      <c r="A895" s="1705"/>
      <c r="B895" s="1705"/>
      <c r="C895" s="1705"/>
      <c r="D895" s="1705"/>
      <c r="E895" s="1705"/>
      <c r="F895" s="1705"/>
      <c r="G895" s="1705"/>
      <c r="H895" s="1705"/>
      <c r="I895" s="1705"/>
      <c r="J895" s="1705"/>
      <c r="K895" s="1705"/>
      <c r="L895" s="1705"/>
      <c r="M895" s="1705"/>
      <c r="N895" s="1705"/>
      <c r="O895" s="1705"/>
      <c r="P895" s="1705"/>
      <c r="Q895" s="1705"/>
      <c r="R895" s="1705"/>
      <c r="S895" s="1705"/>
      <c r="T895" s="1705"/>
    </row>
    <row r="896" spans="1:20" ht="12.75" customHeight="1">
      <c r="A896" s="1705"/>
      <c r="B896" s="1705"/>
      <c r="C896" s="1705"/>
      <c r="D896" s="1705"/>
      <c r="E896" s="1705"/>
      <c r="F896" s="1705"/>
      <c r="G896" s="1705"/>
      <c r="H896" s="1705"/>
      <c r="I896" s="1705"/>
      <c r="J896" s="1705"/>
      <c r="K896" s="1705"/>
      <c r="L896" s="1705"/>
      <c r="M896" s="1705"/>
      <c r="N896" s="1705"/>
      <c r="O896" s="1705"/>
      <c r="P896" s="1705"/>
      <c r="Q896" s="1705"/>
      <c r="R896" s="1705"/>
      <c r="S896" s="1705"/>
      <c r="T896" s="1705"/>
    </row>
    <row r="897" spans="1:20" ht="12.75" customHeight="1">
      <c r="A897" s="1705"/>
      <c r="B897" s="1705"/>
      <c r="C897" s="1705"/>
      <c r="D897" s="1705"/>
      <c r="E897" s="1705"/>
      <c r="F897" s="1705"/>
      <c r="G897" s="1705"/>
      <c r="H897" s="1705"/>
      <c r="I897" s="1705"/>
      <c r="J897" s="1705"/>
      <c r="K897" s="1705"/>
      <c r="L897" s="1705"/>
      <c r="M897" s="1705"/>
      <c r="N897" s="1705"/>
      <c r="O897" s="1705"/>
      <c r="P897" s="1705"/>
      <c r="Q897" s="1705"/>
      <c r="R897" s="1705"/>
      <c r="S897" s="1705"/>
      <c r="T897" s="1705"/>
    </row>
    <row r="898" spans="1:20" ht="12.75" customHeight="1">
      <c r="A898" s="1705"/>
      <c r="B898" s="1705"/>
      <c r="C898" s="1705"/>
      <c r="D898" s="1705"/>
      <c r="E898" s="1705"/>
      <c r="F898" s="1705"/>
      <c r="G898" s="1705"/>
      <c r="H898" s="1705"/>
      <c r="I898" s="1705"/>
      <c r="J898" s="1705"/>
      <c r="K898" s="1705"/>
      <c r="L898" s="1705"/>
      <c r="M898" s="1705"/>
      <c r="N898" s="1705"/>
      <c r="O898" s="1705"/>
      <c r="P898" s="1705"/>
      <c r="Q898" s="1705"/>
      <c r="R898" s="1705"/>
      <c r="S898" s="1705"/>
      <c r="T898" s="1705"/>
    </row>
    <row r="899" spans="1:20" ht="12.75" customHeight="1">
      <c r="A899" s="1705"/>
      <c r="B899" s="1705"/>
      <c r="C899" s="1705"/>
      <c r="D899" s="1705"/>
      <c r="E899" s="1705"/>
      <c r="F899" s="1705"/>
      <c r="G899" s="1705"/>
      <c r="H899" s="1705"/>
      <c r="I899" s="1705"/>
      <c r="J899" s="1705"/>
      <c r="K899" s="1705"/>
      <c r="L899" s="1705"/>
      <c r="M899" s="1705"/>
      <c r="N899" s="1705"/>
      <c r="O899" s="1705"/>
      <c r="P899" s="1705"/>
      <c r="Q899" s="1705"/>
      <c r="R899" s="1705"/>
      <c r="S899" s="1705"/>
      <c r="T899" s="1705"/>
    </row>
    <row r="900" spans="1:20" ht="12.75" customHeight="1">
      <c r="A900" s="1705"/>
      <c r="B900" s="1705"/>
      <c r="C900" s="1705"/>
      <c r="D900" s="1705"/>
      <c r="E900" s="1705"/>
      <c r="F900" s="1705"/>
      <c r="G900" s="1705"/>
      <c r="H900" s="1705"/>
      <c r="I900" s="1705"/>
      <c r="J900" s="1705"/>
      <c r="K900" s="1705"/>
      <c r="L900" s="1705"/>
      <c r="M900" s="1705"/>
      <c r="N900" s="1705"/>
      <c r="O900" s="1705"/>
      <c r="P900" s="1705"/>
      <c r="Q900" s="1705"/>
      <c r="R900" s="1705"/>
      <c r="S900" s="1705"/>
      <c r="T900" s="1705"/>
    </row>
    <row r="901" spans="1:20" ht="12.75" customHeight="1">
      <c r="A901" s="1705"/>
      <c r="B901" s="1705"/>
      <c r="C901" s="1705"/>
      <c r="D901" s="1705"/>
      <c r="E901" s="1705"/>
      <c r="F901" s="1705"/>
      <c r="G901" s="1705"/>
      <c r="H901" s="1705"/>
      <c r="I901" s="1705"/>
      <c r="J901" s="1705"/>
      <c r="K901" s="1705"/>
      <c r="L901" s="1705"/>
      <c r="M901" s="1705"/>
      <c r="N901" s="1705"/>
      <c r="O901" s="1705"/>
      <c r="P901" s="1705"/>
      <c r="Q901" s="1705"/>
      <c r="R901" s="1705"/>
      <c r="S901" s="1705"/>
      <c r="T901" s="1705"/>
    </row>
    <row r="902" spans="1:20" ht="12.75" customHeight="1">
      <c r="A902" s="1705"/>
      <c r="B902" s="1705"/>
      <c r="C902" s="1705"/>
      <c r="D902" s="1705"/>
      <c r="E902" s="1705"/>
      <c r="F902" s="1705"/>
      <c r="G902" s="1705"/>
      <c r="H902" s="1705"/>
      <c r="I902" s="1705"/>
      <c r="J902" s="1705"/>
      <c r="K902" s="1705"/>
      <c r="L902" s="1705"/>
      <c r="M902" s="1705"/>
      <c r="N902" s="1705"/>
      <c r="O902" s="1705"/>
      <c r="P902" s="1705"/>
      <c r="Q902" s="1705"/>
      <c r="R902" s="1705"/>
      <c r="S902" s="1705"/>
      <c r="T902" s="1705"/>
    </row>
    <row r="903" spans="1:20" ht="12.75" customHeight="1">
      <c r="A903" s="1705"/>
      <c r="B903" s="1705"/>
      <c r="C903" s="1705"/>
      <c r="D903" s="1705"/>
      <c r="E903" s="1705"/>
      <c r="F903" s="1705"/>
      <c r="G903" s="1705"/>
      <c r="H903" s="1705"/>
      <c r="I903" s="1705"/>
      <c r="J903" s="1705"/>
      <c r="K903" s="1705"/>
      <c r="L903" s="1705"/>
      <c r="M903" s="1705"/>
      <c r="N903" s="1705"/>
      <c r="O903" s="1705"/>
      <c r="P903" s="1705"/>
      <c r="Q903" s="1705"/>
      <c r="R903" s="1705"/>
      <c r="S903" s="1705"/>
      <c r="T903" s="1705"/>
    </row>
    <row r="904" spans="1:20" ht="12.75" customHeight="1">
      <c r="A904" s="1705"/>
      <c r="B904" s="1705"/>
      <c r="C904" s="1705"/>
      <c r="D904" s="1705"/>
      <c r="E904" s="1705"/>
      <c r="F904" s="1705"/>
      <c r="G904" s="1705"/>
      <c r="H904" s="1705"/>
      <c r="I904" s="1705"/>
      <c r="J904" s="1705"/>
      <c r="K904" s="1705"/>
      <c r="L904" s="1705"/>
      <c r="M904" s="1705"/>
      <c r="N904" s="1705"/>
      <c r="O904" s="1705"/>
      <c r="P904" s="1705"/>
      <c r="Q904" s="1705"/>
      <c r="R904" s="1705"/>
      <c r="S904" s="1705"/>
      <c r="T904" s="1705"/>
    </row>
    <row r="905" spans="1:20" ht="12.75" customHeight="1">
      <c r="A905" s="1705"/>
      <c r="B905" s="1705"/>
      <c r="C905" s="1705"/>
      <c r="D905" s="1705"/>
      <c r="E905" s="1705"/>
      <c r="F905" s="1705"/>
      <c r="G905" s="1705"/>
      <c r="H905" s="1705"/>
      <c r="I905" s="1705"/>
      <c r="J905" s="1705"/>
      <c r="K905" s="1705"/>
      <c r="L905" s="1705"/>
      <c r="M905" s="1705"/>
      <c r="N905" s="1705"/>
      <c r="O905" s="1705"/>
      <c r="P905" s="1705"/>
      <c r="Q905" s="1705"/>
      <c r="R905" s="1705"/>
      <c r="S905" s="1705"/>
      <c r="T905" s="1705"/>
    </row>
    <row r="906" spans="1:20" ht="12.75" customHeight="1">
      <c r="A906" s="1705"/>
      <c r="B906" s="1705"/>
      <c r="C906" s="1705"/>
      <c r="D906" s="1705"/>
      <c r="E906" s="1705"/>
      <c r="F906" s="1705"/>
      <c r="G906" s="1705"/>
      <c r="H906" s="1705"/>
      <c r="I906" s="1705"/>
      <c r="J906" s="1705"/>
      <c r="K906" s="1705"/>
      <c r="L906" s="1705"/>
      <c r="M906" s="1705"/>
      <c r="N906" s="1705"/>
      <c r="O906" s="1705"/>
      <c r="P906" s="1705"/>
      <c r="Q906" s="1705"/>
      <c r="R906" s="1705"/>
      <c r="S906" s="1705"/>
      <c r="T906" s="1705"/>
    </row>
    <row r="907" spans="1:20" ht="12.75" customHeight="1">
      <c r="A907" s="1705"/>
      <c r="B907" s="1705"/>
      <c r="C907" s="1705"/>
      <c r="D907" s="1705"/>
      <c r="E907" s="1705"/>
      <c r="F907" s="1705"/>
      <c r="G907" s="1705"/>
      <c r="H907" s="1705"/>
      <c r="I907" s="1705"/>
      <c r="J907" s="1705"/>
      <c r="K907" s="1705"/>
      <c r="L907" s="1705"/>
      <c r="M907" s="1705"/>
      <c r="N907" s="1705"/>
      <c r="O907" s="1705"/>
      <c r="P907" s="1705"/>
      <c r="Q907" s="1705"/>
      <c r="R907" s="1705"/>
      <c r="S907" s="1705"/>
      <c r="T907" s="1705"/>
    </row>
    <row r="908" spans="1:20" ht="12.75" customHeight="1">
      <c r="A908" s="1705"/>
      <c r="B908" s="1705"/>
      <c r="C908" s="1705"/>
      <c r="D908" s="1705"/>
      <c r="E908" s="1705"/>
      <c r="F908" s="1705"/>
      <c r="G908" s="1705"/>
      <c r="H908" s="1705"/>
      <c r="I908" s="1705"/>
      <c r="J908" s="1705"/>
      <c r="K908" s="1705"/>
      <c r="L908" s="1705"/>
      <c r="M908" s="1705"/>
      <c r="N908" s="1705"/>
      <c r="O908" s="1705"/>
      <c r="P908" s="1705"/>
      <c r="Q908" s="1705"/>
      <c r="R908" s="1705"/>
      <c r="S908" s="1705"/>
      <c r="T908" s="1705"/>
    </row>
    <row r="909" spans="1:20" ht="12.75" customHeight="1">
      <c r="A909" s="1705"/>
      <c r="B909" s="1705"/>
      <c r="C909" s="1705"/>
      <c r="D909" s="1705"/>
      <c r="E909" s="1705"/>
      <c r="F909" s="1705"/>
      <c r="G909" s="1705"/>
      <c r="H909" s="1705"/>
      <c r="I909" s="1705"/>
      <c r="J909" s="1705"/>
      <c r="K909" s="1705"/>
      <c r="L909" s="1705"/>
      <c r="M909" s="1705"/>
      <c r="N909" s="1705"/>
      <c r="O909" s="1705"/>
      <c r="P909" s="1705"/>
      <c r="Q909" s="1705"/>
      <c r="R909" s="1705"/>
      <c r="S909" s="1705"/>
      <c r="T909" s="1705"/>
    </row>
    <row r="910" spans="1:20" ht="12.75" customHeight="1">
      <c r="A910" s="1705"/>
      <c r="B910" s="1705"/>
      <c r="C910" s="1705"/>
      <c r="D910" s="1705"/>
      <c r="E910" s="1705"/>
      <c r="F910" s="1705"/>
      <c r="G910" s="1705"/>
      <c r="H910" s="1705"/>
      <c r="I910" s="1705"/>
      <c r="J910" s="1705"/>
      <c r="K910" s="1705"/>
      <c r="L910" s="1705"/>
      <c r="M910" s="1705"/>
      <c r="N910" s="1705"/>
      <c r="O910" s="1705"/>
      <c r="P910" s="1705"/>
      <c r="Q910" s="1705"/>
      <c r="R910" s="1705"/>
      <c r="S910" s="1705"/>
      <c r="T910" s="1705"/>
    </row>
    <row r="911" spans="1:20" ht="12.75" customHeight="1">
      <c r="A911" s="1705"/>
      <c r="B911" s="1705"/>
      <c r="C911" s="1705"/>
      <c r="D911" s="1705"/>
      <c r="E911" s="1705"/>
      <c r="F911" s="1705"/>
      <c r="G911" s="1705"/>
      <c r="H911" s="1705"/>
      <c r="I911" s="1705"/>
      <c r="J911" s="1705"/>
      <c r="K911" s="1705"/>
      <c r="L911" s="1705"/>
      <c r="M911" s="1705"/>
      <c r="N911" s="1705"/>
      <c r="O911" s="1705"/>
      <c r="P911" s="1705"/>
      <c r="Q911" s="1705"/>
      <c r="R911" s="1705"/>
      <c r="S911" s="1705"/>
      <c r="T911" s="1705"/>
    </row>
    <row r="912" spans="1:20" ht="12.75" customHeight="1">
      <c r="A912" s="1705"/>
      <c r="B912" s="1705"/>
      <c r="C912" s="1705"/>
      <c r="D912" s="1705"/>
      <c r="E912" s="1705"/>
      <c r="F912" s="1705"/>
      <c r="G912" s="1705"/>
      <c r="H912" s="1705"/>
      <c r="I912" s="1705"/>
      <c r="J912" s="1705"/>
      <c r="K912" s="1705"/>
      <c r="L912" s="1705"/>
      <c r="M912" s="1705"/>
      <c r="N912" s="1705"/>
      <c r="O912" s="1705"/>
      <c r="P912" s="1705"/>
      <c r="Q912" s="1705"/>
      <c r="R912" s="1705"/>
      <c r="S912" s="1705"/>
      <c r="T912" s="1705"/>
    </row>
    <row r="913" spans="1:20" ht="12.75" customHeight="1">
      <c r="A913" s="1705"/>
      <c r="B913" s="1705"/>
      <c r="C913" s="1705"/>
      <c r="D913" s="1705"/>
      <c r="E913" s="1705"/>
      <c r="F913" s="1705"/>
      <c r="G913" s="1705"/>
      <c r="H913" s="1705"/>
      <c r="I913" s="1705"/>
      <c r="J913" s="1705"/>
      <c r="K913" s="1705"/>
      <c r="L913" s="1705"/>
      <c r="M913" s="1705"/>
      <c r="N913" s="1705"/>
      <c r="O913" s="1705"/>
      <c r="P913" s="1705"/>
      <c r="Q913" s="1705"/>
      <c r="R913" s="1705"/>
      <c r="S913" s="1705"/>
      <c r="T913" s="1705"/>
    </row>
    <row r="914" spans="1:20" ht="12.75" customHeight="1">
      <c r="A914" s="1705"/>
      <c r="B914" s="1705"/>
      <c r="C914" s="1705"/>
      <c r="D914" s="1705"/>
      <c r="E914" s="1705"/>
      <c r="F914" s="1705"/>
      <c r="G914" s="1705"/>
      <c r="H914" s="1705"/>
      <c r="I914" s="1705"/>
      <c r="J914" s="1705"/>
      <c r="K914" s="1705"/>
      <c r="L914" s="1705"/>
      <c r="M914" s="1705"/>
      <c r="N914" s="1705"/>
      <c r="O914" s="1705"/>
      <c r="P914" s="1705"/>
      <c r="Q914" s="1705"/>
      <c r="R914" s="1705"/>
      <c r="S914" s="1705"/>
      <c r="T914" s="1705"/>
    </row>
    <row r="915" spans="1:20" ht="12.75" customHeight="1">
      <c r="A915" s="1705"/>
      <c r="B915" s="1705"/>
      <c r="C915" s="1705"/>
      <c r="D915" s="1705"/>
      <c r="E915" s="1705"/>
      <c r="F915" s="1705"/>
      <c r="G915" s="1705"/>
      <c r="H915" s="1705"/>
      <c r="I915" s="1705"/>
      <c r="J915" s="1705"/>
      <c r="K915" s="1705"/>
      <c r="L915" s="1705"/>
      <c r="M915" s="1705"/>
      <c r="N915" s="1705"/>
      <c r="O915" s="1705"/>
      <c r="P915" s="1705"/>
      <c r="Q915" s="1705"/>
      <c r="R915" s="1705"/>
      <c r="S915" s="1705"/>
      <c r="T915" s="1705"/>
    </row>
    <row r="916" spans="1:20" ht="12.75" customHeight="1">
      <c r="A916" s="1705"/>
      <c r="B916" s="1705"/>
      <c r="C916" s="1705"/>
      <c r="D916" s="1705"/>
      <c r="E916" s="1705"/>
      <c r="F916" s="1705"/>
      <c r="G916" s="1705"/>
      <c r="H916" s="1705"/>
      <c r="I916" s="1705"/>
      <c r="J916" s="1705"/>
      <c r="K916" s="1705"/>
      <c r="L916" s="1705"/>
      <c r="M916" s="1705"/>
      <c r="N916" s="1705"/>
      <c r="O916" s="1705"/>
      <c r="P916" s="1705"/>
      <c r="Q916" s="1705"/>
      <c r="R916" s="1705"/>
      <c r="S916" s="1705"/>
      <c r="T916" s="1705"/>
    </row>
    <row r="917" spans="1:20" ht="12.75" customHeight="1">
      <c r="A917" s="1705"/>
      <c r="B917" s="1705"/>
      <c r="C917" s="1705"/>
      <c r="D917" s="1705"/>
      <c r="E917" s="1705"/>
      <c r="F917" s="1705"/>
      <c r="G917" s="1705"/>
      <c r="H917" s="1705"/>
      <c r="I917" s="1705"/>
      <c r="J917" s="1705"/>
      <c r="K917" s="1705"/>
      <c r="L917" s="1705"/>
      <c r="M917" s="1705"/>
      <c r="N917" s="1705"/>
      <c r="O917" s="1705"/>
      <c r="P917" s="1705"/>
      <c r="Q917" s="1705"/>
      <c r="R917" s="1705"/>
      <c r="S917" s="1705"/>
      <c r="T917" s="1705"/>
    </row>
    <row r="918" spans="1:20" ht="12.75" customHeight="1">
      <c r="A918" s="1705"/>
      <c r="B918" s="1705"/>
      <c r="C918" s="1705"/>
      <c r="D918" s="1705"/>
      <c r="E918" s="1705"/>
      <c r="F918" s="1705"/>
      <c r="G918" s="1705"/>
      <c r="H918" s="1705"/>
      <c r="I918" s="1705"/>
      <c r="J918" s="1705"/>
      <c r="K918" s="1705"/>
      <c r="L918" s="1705"/>
      <c r="M918" s="1705"/>
      <c r="N918" s="1705"/>
      <c r="O918" s="1705"/>
      <c r="P918" s="1705"/>
      <c r="Q918" s="1705"/>
      <c r="R918" s="1705"/>
      <c r="S918" s="1705"/>
      <c r="T918" s="1705"/>
    </row>
    <row r="919" spans="1:20" ht="12.75" customHeight="1">
      <c r="A919" s="1705"/>
      <c r="B919" s="1705"/>
      <c r="C919" s="1705"/>
      <c r="D919" s="1705"/>
      <c r="E919" s="1705"/>
      <c r="F919" s="1705"/>
      <c r="G919" s="1705"/>
      <c r="H919" s="1705"/>
      <c r="I919" s="1705"/>
      <c r="J919" s="1705"/>
      <c r="K919" s="1705"/>
      <c r="L919" s="1705"/>
      <c r="M919" s="1705"/>
      <c r="N919" s="1705"/>
      <c r="O919" s="1705"/>
      <c r="P919" s="1705"/>
      <c r="Q919" s="1705"/>
      <c r="R919" s="1705"/>
      <c r="S919" s="1705"/>
      <c r="T919" s="1705"/>
    </row>
    <row r="920" spans="1:20" ht="12.75" customHeight="1">
      <c r="A920" s="1705"/>
      <c r="B920" s="1705"/>
      <c r="C920" s="1705"/>
      <c r="D920" s="1705"/>
      <c r="E920" s="1705"/>
      <c r="F920" s="1705"/>
      <c r="G920" s="1705"/>
      <c r="H920" s="1705"/>
      <c r="I920" s="1705"/>
      <c r="J920" s="1705"/>
      <c r="K920" s="1705"/>
      <c r="L920" s="1705"/>
      <c r="M920" s="1705"/>
      <c r="N920" s="1705"/>
      <c r="O920" s="1705"/>
      <c r="P920" s="1705"/>
      <c r="Q920" s="1705"/>
      <c r="R920" s="1705"/>
      <c r="S920" s="1705"/>
      <c r="T920" s="1705"/>
    </row>
    <row r="921" spans="1:20" ht="12.75" customHeight="1">
      <c r="A921" s="1705"/>
      <c r="B921" s="1705"/>
      <c r="C921" s="1705"/>
      <c r="D921" s="1705"/>
      <c r="E921" s="1705"/>
      <c r="F921" s="1705"/>
      <c r="G921" s="1705"/>
      <c r="H921" s="1705"/>
      <c r="I921" s="1705"/>
      <c r="J921" s="1705"/>
      <c r="K921" s="1705"/>
      <c r="L921" s="1705"/>
      <c r="M921" s="1705"/>
      <c r="N921" s="1705"/>
      <c r="O921" s="1705"/>
      <c r="P921" s="1705"/>
      <c r="Q921" s="1705"/>
      <c r="R921" s="1705"/>
      <c r="S921" s="1705"/>
      <c r="T921" s="1705"/>
    </row>
    <row r="922" spans="1:20" ht="12.75" customHeight="1">
      <c r="A922" s="1705"/>
      <c r="B922" s="1705"/>
      <c r="C922" s="1705"/>
      <c r="D922" s="1705"/>
      <c r="E922" s="1705"/>
      <c r="F922" s="1705"/>
      <c r="G922" s="1705"/>
      <c r="H922" s="1705"/>
      <c r="I922" s="1705"/>
      <c r="J922" s="1705"/>
      <c r="K922" s="1705"/>
      <c r="L922" s="1705"/>
      <c r="M922" s="1705"/>
      <c r="N922" s="1705"/>
      <c r="O922" s="1705"/>
      <c r="P922" s="1705"/>
      <c r="Q922" s="1705"/>
      <c r="R922" s="1705"/>
      <c r="S922" s="1705"/>
      <c r="T922" s="1705"/>
    </row>
    <row r="923" spans="1:20" ht="12.75" customHeight="1">
      <c r="A923" s="1705"/>
      <c r="B923" s="1705"/>
      <c r="C923" s="1705"/>
      <c r="D923" s="1705"/>
      <c r="E923" s="1705"/>
      <c r="F923" s="1705"/>
      <c r="G923" s="1705"/>
      <c r="H923" s="1705"/>
      <c r="I923" s="1705"/>
      <c r="J923" s="1705"/>
      <c r="K923" s="1705"/>
      <c r="L923" s="1705"/>
      <c r="M923" s="1705"/>
      <c r="N923" s="1705"/>
      <c r="O923" s="1705"/>
      <c r="P923" s="1705"/>
      <c r="Q923" s="1705"/>
      <c r="R923" s="1705"/>
      <c r="S923" s="1705"/>
      <c r="T923" s="1705"/>
    </row>
    <row r="924" spans="1:20" ht="12.75" customHeight="1">
      <c r="A924" s="1705"/>
      <c r="B924" s="1705"/>
      <c r="C924" s="1705"/>
      <c r="D924" s="1705"/>
      <c r="E924" s="1705"/>
      <c r="F924" s="1705"/>
      <c r="G924" s="1705"/>
      <c r="H924" s="1705"/>
      <c r="I924" s="1705"/>
      <c r="J924" s="1705"/>
      <c r="K924" s="1705"/>
      <c r="L924" s="1705"/>
      <c r="M924" s="1705"/>
      <c r="N924" s="1705"/>
      <c r="O924" s="1705"/>
      <c r="P924" s="1705"/>
      <c r="Q924" s="1705"/>
      <c r="R924" s="1705"/>
      <c r="S924" s="1705"/>
      <c r="T924" s="1705"/>
    </row>
    <row r="925" spans="1:20" ht="12.75" customHeight="1">
      <c r="A925" s="1705"/>
      <c r="B925" s="1705"/>
      <c r="C925" s="1705"/>
      <c r="D925" s="1705"/>
      <c r="E925" s="1705"/>
      <c r="F925" s="1705"/>
      <c r="G925" s="1705"/>
      <c r="H925" s="1705"/>
      <c r="I925" s="1705"/>
      <c r="J925" s="1705"/>
      <c r="K925" s="1705"/>
      <c r="L925" s="1705"/>
      <c r="M925" s="1705"/>
      <c r="N925" s="1705"/>
      <c r="O925" s="1705"/>
      <c r="P925" s="1705"/>
      <c r="Q925" s="1705"/>
      <c r="R925" s="1705"/>
      <c r="S925" s="1705"/>
      <c r="T925" s="1705"/>
    </row>
    <row r="926" spans="1:20" ht="12.75" customHeight="1">
      <c r="A926" s="1705"/>
      <c r="B926" s="1705"/>
      <c r="C926" s="1705"/>
      <c r="D926" s="1705"/>
      <c r="E926" s="1705"/>
      <c r="F926" s="1705"/>
      <c r="G926" s="1705"/>
      <c r="H926" s="1705"/>
      <c r="I926" s="1705"/>
      <c r="J926" s="1705"/>
      <c r="K926" s="1705"/>
      <c r="L926" s="1705"/>
      <c r="M926" s="1705"/>
      <c r="N926" s="1705"/>
      <c r="O926" s="1705"/>
      <c r="P926" s="1705"/>
      <c r="Q926" s="1705"/>
      <c r="R926" s="1705"/>
      <c r="S926" s="1705"/>
      <c r="T926" s="1705"/>
    </row>
    <row r="927" spans="1:20" ht="12.75" customHeight="1">
      <c r="A927" s="1705"/>
      <c r="B927" s="1705"/>
      <c r="C927" s="1705"/>
      <c r="D927" s="1705"/>
      <c r="E927" s="1705"/>
      <c r="F927" s="1705"/>
      <c r="G927" s="1705"/>
      <c r="H927" s="1705"/>
      <c r="I927" s="1705"/>
      <c r="J927" s="1705"/>
      <c r="K927" s="1705"/>
      <c r="L927" s="1705"/>
      <c r="M927" s="1705"/>
      <c r="N927" s="1705"/>
      <c r="O927" s="1705"/>
      <c r="P927" s="1705"/>
      <c r="Q927" s="1705"/>
      <c r="R927" s="1705"/>
      <c r="S927" s="1705"/>
      <c r="T927" s="1705"/>
    </row>
    <row r="928" spans="1:20" ht="12.75" customHeight="1">
      <c r="A928" s="1705"/>
      <c r="B928" s="1705"/>
      <c r="C928" s="1705"/>
      <c r="D928" s="1705"/>
      <c r="E928" s="1705"/>
      <c r="F928" s="1705"/>
      <c r="G928" s="1705"/>
      <c r="H928" s="1705"/>
      <c r="I928" s="1705"/>
      <c r="J928" s="1705"/>
      <c r="K928" s="1705"/>
      <c r="L928" s="1705"/>
      <c r="M928" s="1705"/>
      <c r="N928" s="1705"/>
      <c r="O928" s="1705"/>
      <c r="P928" s="1705"/>
      <c r="Q928" s="1705"/>
      <c r="R928" s="1705"/>
      <c r="S928" s="1705"/>
      <c r="T928" s="1705"/>
    </row>
    <row r="929" spans="1:20" ht="12.75" customHeight="1">
      <c r="A929" s="1705"/>
      <c r="B929" s="1705"/>
      <c r="C929" s="1705"/>
      <c r="D929" s="1705"/>
      <c r="E929" s="1705"/>
      <c r="F929" s="1705"/>
      <c r="G929" s="1705"/>
      <c r="H929" s="1705"/>
      <c r="I929" s="1705"/>
      <c r="J929" s="1705"/>
      <c r="K929" s="1705"/>
      <c r="L929" s="1705"/>
      <c r="M929" s="1705"/>
      <c r="N929" s="1705"/>
      <c r="O929" s="1705"/>
      <c r="P929" s="1705"/>
      <c r="Q929" s="1705"/>
      <c r="R929" s="1705"/>
      <c r="S929" s="1705"/>
      <c r="T929" s="1705"/>
    </row>
    <row r="930" spans="1:20" ht="12.75" customHeight="1">
      <c r="A930" s="1705"/>
      <c r="B930" s="1705"/>
      <c r="C930" s="1705"/>
      <c r="D930" s="1705"/>
      <c r="E930" s="1705"/>
      <c r="F930" s="1705"/>
      <c r="G930" s="1705"/>
      <c r="H930" s="1705"/>
      <c r="I930" s="1705"/>
      <c r="J930" s="1705"/>
      <c r="K930" s="1705"/>
      <c r="L930" s="1705"/>
      <c r="M930" s="1705"/>
      <c r="N930" s="1705"/>
      <c r="O930" s="1705"/>
      <c r="P930" s="1705"/>
      <c r="Q930" s="1705"/>
      <c r="R930" s="1705"/>
      <c r="S930" s="1705"/>
      <c r="T930" s="1705"/>
    </row>
    <row r="931" spans="1:20" ht="12.75" customHeight="1">
      <c r="A931" s="1705"/>
      <c r="B931" s="1705"/>
      <c r="C931" s="1705"/>
      <c r="D931" s="1705"/>
      <c r="E931" s="1705"/>
      <c r="F931" s="1705"/>
      <c r="G931" s="1705"/>
      <c r="H931" s="1705"/>
      <c r="I931" s="1705"/>
      <c r="J931" s="1705"/>
      <c r="K931" s="1705"/>
      <c r="L931" s="1705"/>
      <c r="M931" s="1705"/>
      <c r="N931" s="1705"/>
      <c r="O931" s="1705"/>
      <c r="P931" s="1705"/>
      <c r="Q931" s="1705"/>
      <c r="R931" s="1705"/>
      <c r="S931" s="1705"/>
      <c r="T931" s="1705"/>
    </row>
    <row r="932" spans="1:20" ht="12.75" customHeight="1">
      <c r="A932" s="1705"/>
      <c r="B932" s="1705"/>
      <c r="C932" s="1705"/>
      <c r="D932" s="1705"/>
      <c r="E932" s="1705"/>
      <c r="F932" s="1705"/>
      <c r="G932" s="1705"/>
      <c r="H932" s="1705"/>
      <c r="I932" s="1705"/>
      <c r="J932" s="1705"/>
      <c r="K932" s="1705"/>
      <c r="L932" s="1705"/>
      <c r="M932" s="1705"/>
      <c r="N932" s="1705"/>
      <c r="O932" s="1705"/>
      <c r="P932" s="1705"/>
      <c r="Q932" s="1705"/>
      <c r="R932" s="1705"/>
      <c r="S932" s="1705"/>
      <c r="T932" s="1705"/>
    </row>
    <row r="933" spans="1:20" ht="12.75" customHeight="1">
      <c r="A933" s="1705"/>
      <c r="B933" s="1705"/>
      <c r="C933" s="1705"/>
      <c r="D933" s="1705"/>
      <c r="E933" s="1705"/>
      <c r="F933" s="1705"/>
      <c r="G933" s="1705"/>
      <c r="H933" s="1705"/>
      <c r="I933" s="1705"/>
      <c r="J933" s="1705"/>
      <c r="K933" s="1705"/>
      <c r="L933" s="1705"/>
      <c r="M933" s="1705"/>
      <c r="N933" s="1705"/>
      <c r="O933" s="1705"/>
      <c r="P933" s="1705"/>
      <c r="Q933" s="1705"/>
      <c r="R933" s="1705"/>
      <c r="S933" s="1705"/>
      <c r="T933" s="1705"/>
    </row>
    <row r="934" spans="1:20" ht="12.75" customHeight="1">
      <c r="A934" s="1705"/>
      <c r="B934" s="1705"/>
      <c r="C934" s="1705"/>
      <c r="D934" s="1705"/>
      <c r="E934" s="1705"/>
      <c r="F934" s="1705"/>
      <c r="G934" s="1705"/>
      <c r="H934" s="1705"/>
      <c r="I934" s="1705"/>
      <c r="J934" s="1705"/>
      <c r="K934" s="1705"/>
      <c r="L934" s="1705"/>
      <c r="M934" s="1705"/>
      <c r="N934" s="1705"/>
      <c r="O934" s="1705"/>
      <c r="P934" s="1705"/>
      <c r="Q934" s="1705"/>
      <c r="R934" s="1705"/>
      <c r="S934" s="1705"/>
      <c r="T934" s="1705"/>
    </row>
    <row r="935" spans="1:20" ht="12.75" customHeight="1">
      <c r="A935" s="1705"/>
      <c r="B935" s="1705"/>
      <c r="C935" s="1705"/>
      <c r="D935" s="1705"/>
      <c r="E935" s="1705"/>
      <c r="F935" s="1705"/>
      <c r="G935" s="1705"/>
      <c r="H935" s="1705"/>
      <c r="I935" s="1705"/>
      <c r="J935" s="1705"/>
      <c r="K935" s="1705"/>
      <c r="L935" s="1705"/>
      <c r="M935" s="1705"/>
      <c r="N935" s="1705"/>
      <c r="O935" s="1705"/>
      <c r="P935" s="1705"/>
      <c r="Q935" s="1705"/>
      <c r="R935" s="1705"/>
      <c r="S935" s="1705"/>
      <c r="T935" s="1705"/>
    </row>
    <row r="936" spans="1:20" ht="12.75" customHeight="1">
      <c r="A936" s="1705"/>
      <c r="B936" s="1705"/>
      <c r="C936" s="1705"/>
      <c r="D936" s="1705"/>
      <c r="E936" s="1705"/>
      <c r="F936" s="1705"/>
      <c r="G936" s="1705"/>
      <c r="H936" s="1705"/>
      <c r="I936" s="1705"/>
      <c r="J936" s="1705"/>
      <c r="K936" s="1705"/>
      <c r="L936" s="1705"/>
      <c r="M936" s="1705"/>
      <c r="N936" s="1705"/>
      <c r="O936" s="1705"/>
      <c r="P936" s="1705"/>
      <c r="Q936" s="1705"/>
      <c r="R936" s="1705"/>
      <c r="S936" s="1705"/>
      <c r="T936" s="1705"/>
    </row>
    <row r="937" spans="1:20" ht="12.75" customHeight="1">
      <c r="A937" s="1705"/>
      <c r="B937" s="1705"/>
      <c r="C937" s="1705"/>
      <c r="D937" s="1705"/>
      <c r="E937" s="1705"/>
      <c r="F937" s="1705"/>
      <c r="G937" s="1705"/>
      <c r="H937" s="1705"/>
      <c r="I937" s="1705"/>
      <c r="J937" s="1705"/>
      <c r="K937" s="1705"/>
      <c r="L937" s="1705"/>
      <c r="M937" s="1705"/>
      <c r="N937" s="1705"/>
      <c r="O937" s="1705"/>
      <c r="P937" s="1705"/>
      <c r="Q937" s="1705"/>
      <c r="R937" s="1705"/>
      <c r="S937" s="1705"/>
      <c r="T937" s="1705"/>
    </row>
    <row r="938" spans="1:20" ht="12.75" customHeight="1">
      <c r="A938" s="1705"/>
      <c r="B938" s="1705"/>
      <c r="C938" s="1705"/>
      <c r="D938" s="1705"/>
      <c r="E938" s="1705"/>
      <c r="F938" s="1705"/>
      <c r="G938" s="1705"/>
      <c r="H938" s="1705"/>
      <c r="I938" s="1705"/>
      <c r="J938" s="1705"/>
      <c r="K938" s="1705"/>
      <c r="L938" s="1705"/>
      <c r="M938" s="1705"/>
      <c r="N938" s="1705"/>
      <c r="O938" s="1705"/>
      <c r="P938" s="1705"/>
      <c r="Q938" s="1705"/>
      <c r="R938" s="1705"/>
      <c r="S938" s="1705"/>
      <c r="T938" s="1705"/>
    </row>
    <row r="939" spans="1:20" ht="12.75" customHeight="1">
      <c r="A939" s="1705"/>
      <c r="B939" s="1705"/>
      <c r="C939" s="1705"/>
      <c r="D939" s="1705"/>
      <c r="E939" s="1705"/>
      <c r="F939" s="1705"/>
      <c r="G939" s="1705"/>
      <c r="H939" s="1705"/>
      <c r="I939" s="1705"/>
      <c r="J939" s="1705"/>
      <c r="K939" s="1705"/>
      <c r="L939" s="1705"/>
      <c r="M939" s="1705"/>
      <c r="N939" s="1705"/>
      <c r="O939" s="1705"/>
      <c r="P939" s="1705"/>
      <c r="Q939" s="1705"/>
      <c r="R939" s="1705"/>
      <c r="S939" s="1705"/>
      <c r="T939" s="1705"/>
    </row>
    <row r="940" spans="1:20" ht="12.75" customHeight="1">
      <c r="A940" s="1705"/>
      <c r="B940" s="1705"/>
      <c r="C940" s="1705"/>
      <c r="D940" s="1705"/>
      <c r="E940" s="1705"/>
      <c r="F940" s="1705"/>
      <c r="G940" s="1705"/>
      <c r="H940" s="1705"/>
      <c r="I940" s="1705"/>
      <c r="J940" s="1705"/>
      <c r="K940" s="1705"/>
      <c r="L940" s="1705"/>
      <c r="M940" s="1705"/>
      <c r="N940" s="1705"/>
      <c r="O940" s="1705"/>
      <c r="P940" s="1705"/>
      <c r="Q940" s="1705"/>
      <c r="R940" s="1705"/>
      <c r="S940" s="1705"/>
      <c r="T940" s="1705"/>
    </row>
    <row r="941" spans="1:20" ht="12.75" customHeight="1">
      <c r="A941" s="1705"/>
      <c r="B941" s="1705"/>
      <c r="C941" s="1705"/>
      <c r="D941" s="1705"/>
      <c r="E941" s="1705"/>
      <c r="F941" s="1705"/>
      <c r="G941" s="1705"/>
      <c r="H941" s="1705"/>
      <c r="I941" s="1705"/>
      <c r="J941" s="1705"/>
      <c r="K941" s="1705"/>
      <c r="L941" s="1705"/>
      <c r="M941" s="1705"/>
      <c r="N941" s="1705"/>
      <c r="O941" s="1705"/>
      <c r="P941" s="1705"/>
      <c r="Q941" s="1705"/>
      <c r="R941" s="1705"/>
      <c r="S941" s="1705"/>
      <c r="T941" s="1705"/>
    </row>
    <row r="942" spans="1:20" ht="12.75" customHeight="1">
      <c r="A942" s="1705"/>
      <c r="B942" s="1705"/>
      <c r="C942" s="1705"/>
      <c r="D942" s="1705"/>
      <c r="E942" s="1705"/>
      <c r="F942" s="1705"/>
      <c r="G942" s="1705"/>
      <c r="H942" s="1705"/>
      <c r="I942" s="1705"/>
      <c r="J942" s="1705"/>
      <c r="K942" s="1705"/>
      <c r="L942" s="1705"/>
      <c r="M942" s="1705"/>
      <c r="N942" s="1705"/>
      <c r="O942" s="1705"/>
      <c r="P942" s="1705"/>
      <c r="Q942" s="1705"/>
      <c r="R942" s="1705"/>
      <c r="S942" s="1705"/>
      <c r="T942" s="1705"/>
    </row>
    <row r="943" spans="1:20" ht="12.75" customHeight="1">
      <c r="A943" s="1705"/>
      <c r="B943" s="1705"/>
      <c r="C943" s="1705"/>
      <c r="D943" s="1705"/>
      <c r="E943" s="1705"/>
      <c r="F943" s="1705"/>
      <c r="G943" s="1705"/>
      <c r="H943" s="1705"/>
      <c r="I943" s="1705"/>
      <c r="J943" s="1705"/>
      <c r="K943" s="1705"/>
      <c r="L943" s="1705"/>
      <c r="M943" s="1705"/>
      <c r="N943" s="1705"/>
      <c r="O943" s="1705"/>
      <c r="P943" s="1705"/>
      <c r="Q943" s="1705"/>
      <c r="R943" s="1705"/>
      <c r="S943" s="1705"/>
      <c r="T943" s="1705"/>
    </row>
    <row r="944" spans="1:20" ht="12.75" customHeight="1">
      <c r="A944" s="1705"/>
      <c r="B944" s="1705"/>
      <c r="C944" s="1705"/>
      <c r="D944" s="1705"/>
      <c r="E944" s="1705"/>
      <c r="F944" s="1705"/>
      <c r="G944" s="1705"/>
      <c r="H944" s="1705"/>
      <c r="I944" s="1705"/>
      <c r="J944" s="1705"/>
      <c r="K944" s="1705"/>
      <c r="L944" s="1705"/>
      <c r="M944" s="1705"/>
      <c r="N944" s="1705"/>
      <c r="O944" s="1705"/>
      <c r="P944" s="1705"/>
      <c r="Q944" s="1705"/>
      <c r="R944" s="1705"/>
      <c r="S944" s="1705"/>
      <c r="T944" s="1705"/>
    </row>
    <row r="945" spans="1:20" ht="12.75" customHeight="1">
      <c r="A945" s="1705"/>
      <c r="B945" s="1705"/>
      <c r="C945" s="1705"/>
      <c r="D945" s="1705"/>
      <c r="E945" s="1705"/>
      <c r="F945" s="1705"/>
      <c r="G945" s="1705"/>
      <c r="H945" s="1705"/>
      <c r="I945" s="1705"/>
      <c r="J945" s="1705"/>
      <c r="K945" s="1705"/>
      <c r="L945" s="1705"/>
      <c r="M945" s="1705"/>
      <c r="N945" s="1705"/>
      <c r="O945" s="1705"/>
      <c r="P945" s="1705"/>
      <c r="Q945" s="1705"/>
      <c r="R945" s="1705"/>
      <c r="S945" s="1705"/>
      <c r="T945" s="1705"/>
    </row>
    <row r="946" spans="1:20" ht="12.75" customHeight="1">
      <c r="A946" s="1705"/>
      <c r="B946" s="1705"/>
      <c r="C946" s="1705"/>
      <c r="D946" s="1705"/>
      <c r="E946" s="1705"/>
      <c r="F946" s="1705"/>
      <c r="G946" s="1705"/>
      <c r="H946" s="1705"/>
      <c r="I946" s="1705"/>
      <c r="J946" s="1705"/>
      <c r="K946" s="1705"/>
      <c r="L946" s="1705"/>
      <c r="M946" s="1705"/>
      <c r="N946" s="1705"/>
      <c r="O946" s="1705"/>
      <c r="P946" s="1705"/>
      <c r="Q946" s="1705"/>
      <c r="R946" s="1705"/>
      <c r="S946" s="1705"/>
      <c r="T946" s="1705"/>
    </row>
    <row r="947" spans="1:20" ht="12.75" customHeight="1">
      <c r="A947" s="1705"/>
      <c r="B947" s="1705"/>
      <c r="C947" s="1705"/>
      <c r="D947" s="1705"/>
      <c r="E947" s="1705"/>
      <c r="F947" s="1705"/>
      <c r="G947" s="1705"/>
      <c r="H947" s="1705"/>
      <c r="I947" s="1705"/>
      <c r="J947" s="1705"/>
      <c r="K947" s="1705"/>
      <c r="L947" s="1705"/>
      <c r="M947" s="1705"/>
      <c r="N947" s="1705"/>
      <c r="O947" s="1705"/>
      <c r="P947" s="1705"/>
      <c r="Q947" s="1705"/>
      <c r="R947" s="1705"/>
      <c r="S947" s="1705"/>
      <c r="T947" s="1705"/>
    </row>
    <row r="948" spans="1:20" ht="12.75" customHeight="1">
      <c r="A948" s="1705"/>
      <c r="B948" s="1705"/>
      <c r="C948" s="1705"/>
      <c r="D948" s="1705"/>
      <c r="E948" s="1705"/>
      <c r="F948" s="1705"/>
      <c r="G948" s="1705"/>
      <c r="H948" s="1705"/>
      <c r="I948" s="1705"/>
      <c r="J948" s="1705"/>
      <c r="K948" s="1705"/>
      <c r="L948" s="1705"/>
      <c r="M948" s="1705"/>
      <c r="N948" s="1705"/>
      <c r="O948" s="1705"/>
      <c r="P948" s="1705"/>
      <c r="Q948" s="1705"/>
      <c r="R948" s="1705"/>
      <c r="S948" s="1705"/>
      <c r="T948" s="1705"/>
    </row>
    <row r="949" spans="1:20" ht="12.75" customHeight="1">
      <c r="A949" s="1705"/>
      <c r="B949" s="1705"/>
      <c r="C949" s="1705"/>
      <c r="D949" s="1705"/>
      <c r="E949" s="1705"/>
      <c r="F949" s="1705"/>
      <c r="G949" s="1705"/>
      <c r="H949" s="1705"/>
      <c r="I949" s="1705"/>
      <c r="J949" s="1705"/>
      <c r="K949" s="1705"/>
      <c r="L949" s="1705"/>
      <c r="M949" s="1705"/>
      <c r="N949" s="1705"/>
      <c r="O949" s="1705"/>
      <c r="P949" s="1705"/>
      <c r="Q949" s="1705"/>
      <c r="R949" s="1705"/>
      <c r="S949" s="1705"/>
      <c r="T949" s="1705"/>
    </row>
    <row r="950" spans="1:20" ht="12.75" customHeight="1">
      <c r="A950" s="1705"/>
      <c r="B950" s="1705"/>
      <c r="C950" s="1705"/>
      <c r="D950" s="1705"/>
      <c r="E950" s="1705"/>
      <c r="F950" s="1705"/>
      <c r="G950" s="1705"/>
      <c r="H950" s="1705"/>
      <c r="I950" s="1705"/>
      <c r="J950" s="1705"/>
      <c r="K950" s="1705"/>
      <c r="L950" s="1705"/>
      <c r="M950" s="1705"/>
      <c r="N950" s="1705"/>
      <c r="O950" s="1705"/>
      <c r="P950" s="1705"/>
      <c r="Q950" s="1705"/>
      <c r="R950" s="1705"/>
      <c r="S950" s="1705"/>
      <c r="T950" s="1705"/>
    </row>
    <row r="951" spans="1:20" ht="12.75" customHeight="1">
      <c r="A951" s="1705"/>
      <c r="B951" s="1705"/>
      <c r="C951" s="1705"/>
      <c r="D951" s="1705"/>
      <c r="E951" s="1705"/>
      <c r="F951" s="1705"/>
      <c r="G951" s="1705"/>
      <c r="H951" s="1705"/>
      <c r="I951" s="1705"/>
      <c r="J951" s="1705"/>
      <c r="K951" s="1705"/>
      <c r="L951" s="1705"/>
      <c r="M951" s="1705"/>
      <c r="N951" s="1705"/>
      <c r="O951" s="1705"/>
      <c r="P951" s="1705"/>
      <c r="Q951" s="1705"/>
      <c r="R951" s="1705"/>
      <c r="S951" s="1705"/>
      <c r="T951" s="1705"/>
    </row>
    <row r="952" spans="1:20" ht="12.75" customHeight="1">
      <c r="A952" s="1705"/>
      <c r="B952" s="1705"/>
      <c r="C952" s="1705"/>
      <c r="D952" s="1705"/>
      <c r="E952" s="1705"/>
      <c r="F952" s="1705"/>
      <c r="G952" s="1705"/>
      <c r="H952" s="1705"/>
      <c r="I952" s="1705"/>
      <c r="J952" s="1705"/>
      <c r="K952" s="1705"/>
      <c r="L952" s="1705"/>
      <c r="M952" s="1705"/>
      <c r="N952" s="1705"/>
      <c r="O952" s="1705"/>
      <c r="P952" s="1705"/>
      <c r="Q952" s="1705"/>
      <c r="R952" s="1705"/>
      <c r="S952" s="1705"/>
      <c r="T952" s="1705"/>
    </row>
    <row r="953" spans="1:20" ht="12.75" customHeight="1">
      <c r="A953" s="1705"/>
      <c r="B953" s="1705"/>
      <c r="C953" s="1705"/>
      <c r="D953" s="1705"/>
      <c r="E953" s="1705"/>
      <c r="F953" s="1705"/>
      <c r="G953" s="1705"/>
      <c r="H953" s="1705"/>
      <c r="I953" s="1705"/>
      <c r="J953" s="1705"/>
      <c r="K953" s="1705"/>
      <c r="L953" s="1705"/>
      <c r="M953" s="1705"/>
      <c r="N953" s="1705"/>
      <c r="O953" s="1705"/>
      <c r="P953" s="1705"/>
      <c r="Q953" s="1705"/>
      <c r="R953" s="1705"/>
      <c r="S953" s="1705"/>
      <c r="T953" s="1705"/>
    </row>
    <row r="954" spans="1:20" ht="12.75" customHeight="1">
      <c r="A954" s="1705"/>
      <c r="B954" s="1705"/>
      <c r="C954" s="1705"/>
      <c r="D954" s="1705"/>
      <c r="E954" s="1705"/>
      <c r="F954" s="1705"/>
      <c r="G954" s="1705"/>
      <c r="H954" s="1705"/>
      <c r="I954" s="1705"/>
      <c r="J954" s="1705"/>
      <c r="K954" s="1705"/>
      <c r="L954" s="1705"/>
      <c r="M954" s="1705"/>
      <c r="N954" s="1705"/>
      <c r="O954" s="1705"/>
      <c r="P954" s="1705"/>
      <c r="Q954" s="1705"/>
      <c r="R954" s="1705"/>
      <c r="S954" s="1705"/>
      <c r="T954" s="1705"/>
    </row>
    <row r="955" spans="1:20" ht="12.75" customHeight="1">
      <c r="A955" s="1705"/>
      <c r="B955" s="1705"/>
      <c r="C955" s="1705"/>
      <c r="D955" s="1705"/>
      <c r="E955" s="1705"/>
      <c r="F955" s="1705"/>
      <c r="G955" s="1705"/>
      <c r="H955" s="1705"/>
      <c r="I955" s="1705"/>
      <c r="J955" s="1705"/>
      <c r="K955" s="1705"/>
      <c r="L955" s="1705"/>
      <c r="M955" s="1705"/>
      <c r="N955" s="1705"/>
      <c r="O955" s="1705"/>
      <c r="P955" s="1705"/>
      <c r="Q955" s="1705"/>
      <c r="R955" s="1705"/>
      <c r="S955" s="1705"/>
      <c r="T955" s="1705"/>
    </row>
    <row r="956" spans="1:20" ht="12.75" customHeight="1">
      <c r="A956" s="1705"/>
      <c r="B956" s="1705"/>
      <c r="C956" s="1705"/>
      <c r="D956" s="1705"/>
      <c r="E956" s="1705"/>
      <c r="F956" s="1705"/>
      <c r="G956" s="1705"/>
      <c r="H956" s="1705"/>
      <c r="I956" s="1705"/>
      <c r="J956" s="1705"/>
      <c r="K956" s="1705"/>
      <c r="L956" s="1705"/>
      <c r="M956" s="1705"/>
      <c r="N956" s="1705"/>
      <c r="O956" s="1705"/>
      <c r="P956" s="1705"/>
      <c r="Q956" s="1705"/>
      <c r="R956" s="1705"/>
      <c r="S956" s="1705"/>
      <c r="T956" s="1705"/>
    </row>
    <row r="957" spans="1:20" ht="12.75" customHeight="1">
      <c r="A957" s="1705"/>
      <c r="B957" s="1705"/>
      <c r="C957" s="1705"/>
      <c r="D957" s="1705"/>
      <c r="E957" s="1705"/>
      <c r="F957" s="1705"/>
      <c r="G957" s="1705"/>
      <c r="H957" s="1705"/>
      <c r="I957" s="1705"/>
      <c r="J957" s="1705"/>
      <c r="K957" s="1705"/>
      <c r="L957" s="1705"/>
      <c r="M957" s="1705"/>
      <c r="N957" s="1705"/>
      <c r="O957" s="1705"/>
      <c r="P957" s="1705"/>
      <c r="Q957" s="1705"/>
      <c r="R957" s="1705"/>
      <c r="S957" s="1705"/>
      <c r="T957" s="1705"/>
    </row>
    <row r="958" spans="1:20" ht="12.75" customHeight="1">
      <c r="A958" s="1705"/>
      <c r="B958" s="1705"/>
      <c r="C958" s="1705"/>
      <c r="D958" s="1705"/>
      <c r="E958" s="1705"/>
      <c r="F958" s="1705"/>
      <c r="G958" s="1705"/>
      <c r="H958" s="1705"/>
      <c r="I958" s="1705"/>
      <c r="J958" s="1705"/>
      <c r="K958" s="1705"/>
      <c r="L958" s="1705"/>
      <c r="M958" s="1705"/>
      <c r="N958" s="1705"/>
      <c r="O958" s="1705"/>
      <c r="P958" s="1705"/>
      <c r="Q958" s="1705"/>
      <c r="R958" s="1705"/>
      <c r="S958" s="1705"/>
      <c r="T958" s="1705"/>
    </row>
    <row r="959" spans="1:20" ht="12.75" customHeight="1">
      <c r="A959" s="1705"/>
      <c r="B959" s="1705"/>
      <c r="C959" s="1705"/>
      <c r="D959" s="1705"/>
      <c r="E959" s="1705"/>
      <c r="F959" s="1705"/>
      <c r="G959" s="1705"/>
      <c r="H959" s="1705"/>
      <c r="I959" s="1705"/>
      <c r="J959" s="1705"/>
      <c r="K959" s="1705"/>
      <c r="L959" s="1705"/>
      <c r="M959" s="1705"/>
      <c r="N959" s="1705"/>
      <c r="O959" s="1705"/>
      <c r="P959" s="1705"/>
      <c r="Q959" s="1705"/>
      <c r="R959" s="1705"/>
      <c r="S959" s="1705"/>
      <c r="T959" s="1705"/>
    </row>
    <row r="960" spans="1:20" ht="12.75" customHeight="1">
      <c r="A960" s="1705"/>
      <c r="B960" s="1705"/>
      <c r="C960" s="1705"/>
      <c r="D960" s="1705"/>
      <c r="E960" s="1705"/>
      <c r="F960" s="1705"/>
      <c r="G960" s="1705"/>
      <c r="H960" s="1705"/>
      <c r="I960" s="1705"/>
      <c r="J960" s="1705"/>
      <c r="K960" s="1705"/>
      <c r="L960" s="1705"/>
      <c r="M960" s="1705"/>
      <c r="N960" s="1705"/>
      <c r="O960" s="1705"/>
      <c r="P960" s="1705"/>
      <c r="Q960" s="1705"/>
      <c r="R960" s="1705"/>
      <c r="S960" s="1705"/>
      <c r="T960" s="1705"/>
    </row>
    <row r="961" spans="1:20" ht="12.75" customHeight="1">
      <c r="A961" s="1705"/>
      <c r="B961" s="1705"/>
      <c r="C961" s="1705"/>
      <c r="D961" s="1705"/>
      <c r="E961" s="1705"/>
      <c r="F961" s="1705"/>
      <c r="G961" s="1705"/>
      <c r="H961" s="1705"/>
      <c r="I961" s="1705"/>
      <c r="J961" s="1705"/>
      <c r="K961" s="1705"/>
      <c r="L961" s="1705"/>
      <c r="M961" s="1705"/>
      <c r="N961" s="1705"/>
      <c r="O961" s="1705"/>
      <c r="P961" s="1705"/>
      <c r="Q961" s="1705"/>
      <c r="R961" s="1705"/>
      <c r="S961" s="1705"/>
      <c r="T961" s="1705"/>
    </row>
    <row r="962" spans="1:20" ht="12.75" customHeight="1">
      <c r="A962" s="1705"/>
      <c r="B962" s="1705"/>
      <c r="C962" s="1705"/>
      <c r="D962" s="1705"/>
      <c r="E962" s="1705"/>
      <c r="F962" s="1705"/>
      <c r="G962" s="1705"/>
      <c r="H962" s="1705"/>
      <c r="I962" s="1705"/>
      <c r="J962" s="1705"/>
      <c r="K962" s="1705"/>
      <c r="L962" s="1705"/>
      <c r="M962" s="1705"/>
      <c r="N962" s="1705"/>
      <c r="O962" s="1705"/>
      <c r="P962" s="1705"/>
      <c r="Q962" s="1705"/>
      <c r="R962" s="1705"/>
      <c r="S962" s="1705"/>
      <c r="T962" s="1705"/>
    </row>
    <row r="963" spans="1:20" ht="12.75" customHeight="1">
      <c r="A963" s="1705"/>
      <c r="B963" s="1705"/>
      <c r="C963" s="1705"/>
      <c r="D963" s="1705"/>
      <c r="E963" s="1705"/>
      <c r="F963" s="1705"/>
      <c r="G963" s="1705"/>
      <c r="H963" s="1705"/>
      <c r="I963" s="1705"/>
      <c r="J963" s="1705"/>
      <c r="K963" s="1705"/>
      <c r="L963" s="1705"/>
      <c r="M963" s="1705"/>
      <c r="N963" s="1705"/>
      <c r="O963" s="1705"/>
      <c r="P963" s="1705"/>
      <c r="Q963" s="1705"/>
      <c r="R963" s="1705"/>
      <c r="S963" s="1705"/>
      <c r="T963" s="1705"/>
    </row>
    <row r="964" spans="1:20" ht="12.75" customHeight="1">
      <c r="A964" s="1705"/>
      <c r="B964" s="1705"/>
      <c r="C964" s="1705"/>
      <c r="D964" s="1705"/>
      <c r="E964" s="1705"/>
      <c r="F964" s="1705"/>
      <c r="G964" s="1705"/>
      <c r="H964" s="1705"/>
      <c r="I964" s="1705"/>
      <c r="J964" s="1705"/>
      <c r="K964" s="1705"/>
      <c r="L964" s="1705"/>
      <c r="M964" s="1705"/>
      <c r="N964" s="1705"/>
      <c r="O964" s="1705"/>
      <c r="P964" s="1705"/>
      <c r="Q964" s="1705"/>
      <c r="R964" s="1705"/>
      <c r="S964" s="1705"/>
      <c r="T964" s="1705"/>
    </row>
    <row r="965" spans="1:20" ht="12.75" customHeight="1">
      <c r="A965" s="1705"/>
      <c r="B965" s="1705"/>
      <c r="C965" s="1705"/>
      <c r="D965" s="1705"/>
      <c r="E965" s="1705"/>
      <c r="F965" s="1705"/>
      <c r="G965" s="1705"/>
      <c r="H965" s="1705"/>
      <c r="I965" s="1705"/>
      <c r="J965" s="1705"/>
      <c r="K965" s="1705"/>
      <c r="L965" s="1705"/>
      <c r="M965" s="1705"/>
      <c r="N965" s="1705"/>
      <c r="O965" s="1705"/>
      <c r="P965" s="1705"/>
      <c r="Q965" s="1705"/>
      <c r="R965" s="1705"/>
      <c r="S965" s="1705"/>
      <c r="T965" s="1705"/>
    </row>
    <row r="966" spans="1:20" ht="12.75" customHeight="1">
      <c r="A966" s="1705"/>
      <c r="B966" s="1705"/>
      <c r="C966" s="1705"/>
      <c r="D966" s="1705"/>
      <c r="E966" s="1705"/>
      <c r="F966" s="1705"/>
      <c r="G966" s="1705"/>
      <c r="H966" s="1705"/>
      <c r="I966" s="1705"/>
      <c r="J966" s="1705"/>
      <c r="K966" s="1705"/>
      <c r="L966" s="1705"/>
      <c r="M966" s="1705"/>
      <c r="N966" s="1705"/>
      <c r="O966" s="1705"/>
      <c r="P966" s="1705"/>
      <c r="Q966" s="1705"/>
      <c r="R966" s="1705"/>
      <c r="S966" s="1705"/>
      <c r="T966" s="1705"/>
    </row>
    <row r="967" spans="1:20" ht="12.75" customHeight="1">
      <c r="A967" s="1705"/>
      <c r="B967" s="1705"/>
      <c r="C967" s="1705"/>
      <c r="D967" s="1705"/>
      <c r="E967" s="1705"/>
      <c r="F967" s="1705"/>
      <c r="G967" s="1705"/>
      <c r="H967" s="1705"/>
      <c r="I967" s="1705"/>
      <c r="J967" s="1705"/>
      <c r="K967" s="1705"/>
      <c r="L967" s="1705"/>
      <c r="M967" s="1705"/>
      <c r="N967" s="1705"/>
      <c r="O967" s="1705"/>
      <c r="P967" s="1705"/>
      <c r="Q967" s="1705"/>
      <c r="R967" s="1705"/>
      <c r="S967" s="1705"/>
      <c r="T967" s="1705"/>
    </row>
    <row r="968" spans="1:20" ht="12.75" customHeight="1">
      <c r="A968" s="1705"/>
      <c r="B968" s="1705"/>
      <c r="C968" s="1705"/>
      <c r="D968" s="1705"/>
      <c r="E968" s="1705"/>
      <c r="F968" s="1705"/>
      <c r="G968" s="1705"/>
      <c r="H968" s="1705"/>
      <c r="I968" s="1705"/>
      <c r="J968" s="1705"/>
      <c r="K968" s="1705"/>
      <c r="L968" s="1705"/>
      <c r="M968" s="1705"/>
      <c r="N968" s="1705"/>
      <c r="O968" s="1705"/>
      <c r="P968" s="1705"/>
      <c r="Q968" s="1705"/>
      <c r="R968" s="1705"/>
      <c r="S968" s="1705"/>
      <c r="T968" s="1705"/>
    </row>
    <row r="969" spans="1:20" ht="12.75" customHeight="1">
      <c r="A969" s="1705"/>
      <c r="B969" s="1705"/>
      <c r="C969" s="1705"/>
      <c r="D969" s="1705"/>
      <c r="E969" s="1705"/>
      <c r="F969" s="1705"/>
      <c r="G969" s="1705"/>
      <c r="H969" s="1705"/>
      <c r="I969" s="1705"/>
      <c r="J969" s="1705"/>
      <c r="K969" s="1705"/>
      <c r="L969" s="1705"/>
      <c r="M969" s="1705"/>
      <c r="N969" s="1705"/>
      <c r="O969" s="1705"/>
      <c r="P969" s="1705"/>
      <c r="Q969" s="1705"/>
      <c r="R969" s="1705"/>
      <c r="S969" s="1705"/>
      <c r="T969" s="1705"/>
    </row>
    <row r="970" spans="1:20" ht="12.75" customHeight="1">
      <c r="A970" s="1705"/>
      <c r="B970" s="1705"/>
      <c r="C970" s="1705"/>
      <c r="D970" s="1705"/>
      <c r="E970" s="1705"/>
      <c r="F970" s="1705"/>
      <c r="G970" s="1705"/>
      <c r="H970" s="1705"/>
      <c r="I970" s="1705"/>
      <c r="J970" s="1705"/>
      <c r="K970" s="1705"/>
      <c r="L970" s="1705"/>
      <c r="M970" s="1705"/>
      <c r="N970" s="1705"/>
      <c r="O970" s="1705"/>
      <c r="P970" s="1705"/>
      <c r="Q970" s="1705"/>
      <c r="R970" s="1705"/>
      <c r="S970" s="1705"/>
      <c r="T970" s="1705"/>
    </row>
    <row r="971" spans="1:20" ht="12.75" customHeight="1">
      <c r="A971" s="1705"/>
      <c r="B971" s="1705"/>
      <c r="C971" s="1705"/>
      <c r="D971" s="1705"/>
      <c r="E971" s="1705"/>
      <c r="F971" s="1705"/>
      <c r="G971" s="1705"/>
      <c r="H971" s="1705"/>
      <c r="I971" s="1705"/>
      <c r="J971" s="1705"/>
      <c r="K971" s="1705"/>
      <c r="L971" s="1705"/>
      <c r="M971" s="1705"/>
      <c r="N971" s="1705"/>
      <c r="O971" s="1705"/>
      <c r="P971" s="1705"/>
      <c r="Q971" s="1705"/>
      <c r="R971" s="1705"/>
      <c r="S971" s="1705"/>
      <c r="T971" s="1705"/>
    </row>
    <row r="972" spans="1:20" ht="12.75" customHeight="1">
      <c r="A972" s="1705"/>
      <c r="B972" s="1705"/>
      <c r="C972" s="1705"/>
      <c r="D972" s="1705"/>
      <c r="E972" s="1705"/>
      <c r="F972" s="1705"/>
      <c r="G972" s="1705"/>
      <c r="H972" s="1705"/>
      <c r="I972" s="1705"/>
      <c r="J972" s="1705"/>
      <c r="K972" s="1705"/>
      <c r="L972" s="1705"/>
      <c r="M972" s="1705"/>
      <c r="N972" s="1705"/>
      <c r="O972" s="1705"/>
      <c r="P972" s="1705"/>
      <c r="Q972" s="1705"/>
      <c r="R972" s="1705"/>
      <c r="S972" s="1705"/>
      <c r="T972" s="1705"/>
    </row>
    <row r="973" spans="1:20" ht="12.75" customHeight="1">
      <c r="A973" s="1705"/>
      <c r="B973" s="1705"/>
      <c r="C973" s="1705"/>
      <c r="D973" s="1705"/>
      <c r="E973" s="1705"/>
      <c r="F973" s="1705"/>
      <c r="G973" s="1705"/>
      <c r="H973" s="1705"/>
      <c r="I973" s="1705"/>
      <c r="J973" s="1705"/>
      <c r="K973" s="1705"/>
      <c r="L973" s="1705"/>
      <c r="M973" s="1705"/>
      <c r="N973" s="1705"/>
      <c r="O973" s="1705"/>
      <c r="P973" s="1705"/>
      <c r="Q973" s="1705"/>
      <c r="R973" s="1705"/>
      <c r="S973" s="1705"/>
      <c r="T973" s="1705"/>
    </row>
    <row r="974" spans="1:20" ht="12.75" customHeight="1">
      <c r="A974" s="1705"/>
      <c r="B974" s="1705"/>
      <c r="C974" s="1705"/>
      <c r="D974" s="1705"/>
      <c r="E974" s="1705"/>
      <c r="F974" s="1705"/>
      <c r="G974" s="1705"/>
      <c r="H974" s="1705"/>
      <c r="I974" s="1705"/>
      <c r="J974" s="1705"/>
      <c r="K974" s="1705"/>
      <c r="L974" s="1705"/>
      <c r="M974" s="1705"/>
      <c r="N974" s="1705"/>
      <c r="O974" s="1705"/>
      <c r="P974" s="1705"/>
      <c r="Q974" s="1705"/>
      <c r="R974" s="1705"/>
      <c r="S974" s="1705"/>
      <c r="T974" s="1705"/>
    </row>
    <row r="975" spans="1:20" ht="12.75" customHeight="1">
      <c r="A975" s="1705"/>
      <c r="B975" s="1705"/>
      <c r="C975" s="1705"/>
      <c r="D975" s="1705"/>
      <c r="E975" s="1705"/>
      <c r="F975" s="1705"/>
      <c r="G975" s="1705"/>
      <c r="H975" s="1705"/>
      <c r="I975" s="1705"/>
      <c r="J975" s="1705"/>
      <c r="K975" s="1705"/>
      <c r="L975" s="1705"/>
      <c r="M975" s="1705"/>
      <c r="N975" s="1705"/>
      <c r="O975" s="1705"/>
      <c r="P975" s="1705"/>
      <c r="Q975" s="1705"/>
      <c r="R975" s="1705"/>
      <c r="S975" s="1705"/>
      <c r="T975" s="1705"/>
    </row>
    <row r="976" spans="1:20" ht="12.75" customHeight="1">
      <c r="A976" s="1705"/>
      <c r="B976" s="1705"/>
      <c r="C976" s="1705"/>
      <c r="D976" s="1705"/>
      <c r="E976" s="1705"/>
      <c r="F976" s="1705"/>
      <c r="G976" s="1705"/>
      <c r="H976" s="1705"/>
      <c r="I976" s="1705"/>
      <c r="J976" s="1705"/>
      <c r="K976" s="1705"/>
      <c r="L976" s="1705"/>
      <c r="M976" s="1705"/>
      <c r="N976" s="1705"/>
      <c r="O976" s="1705"/>
      <c r="P976" s="1705"/>
      <c r="Q976" s="1705"/>
      <c r="R976" s="1705"/>
      <c r="S976" s="1705"/>
      <c r="T976" s="1705"/>
    </row>
    <row r="977" spans="1:20" ht="12.75" customHeight="1">
      <c r="A977" s="1705"/>
      <c r="B977" s="1705"/>
      <c r="C977" s="1705"/>
      <c r="D977" s="1705"/>
      <c r="E977" s="1705"/>
      <c r="F977" s="1705"/>
      <c r="G977" s="1705"/>
      <c r="H977" s="1705"/>
      <c r="I977" s="1705"/>
      <c r="J977" s="1705"/>
      <c r="K977" s="1705"/>
      <c r="L977" s="1705"/>
      <c r="M977" s="1705"/>
      <c r="N977" s="1705"/>
      <c r="O977" s="1705"/>
      <c r="P977" s="1705"/>
      <c r="Q977" s="1705"/>
      <c r="R977" s="1705"/>
      <c r="S977" s="1705"/>
      <c r="T977" s="1705"/>
    </row>
    <row r="978" spans="1:20" ht="12.75" customHeight="1">
      <c r="A978" s="1705"/>
      <c r="B978" s="1705"/>
      <c r="C978" s="1705"/>
      <c r="D978" s="1705"/>
      <c r="E978" s="1705"/>
      <c r="F978" s="1705"/>
      <c r="G978" s="1705"/>
      <c r="H978" s="1705"/>
      <c r="I978" s="1705"/>
      <c r="J978" s="1705"/>
      <c r="K978" s="1705"/>
      <c r="L978" s="1705"/>
      <c r="M978" s="1705"/>
      <c r="N978" s="1705"/>
      <c r="O978" s="1705"/>
      <c r="P978" s="1705"/>
      <c r="Q978" s="1705"/>
      <c r="R978" s="1705"/>
      <c r="S978" s="1705"/>
      <c r="T978" s="1705"/>
    </row>
    <row r="979" spans="1:20" ht="12.75" customHeight="1">
      <c r="A979" s="1705"/>
      <c r="B979" s="1705"/>
      <c r="C979" s="1705"/>
      <c r="D979" s="1705"/>
      <c r="E979" s="1705"/>
      <c r="F979" s="1705"/>
      <c r="G979" s="1705"/>
      <c r="H979" s="1705"/>
      <c r="I979" s="1705"/>
      <c r="J979" s="1705"/>
      <c r="K979" s="1705"/>
      <c r="L979" s="1705"/>
      <c r="M979" s="1705"/>
      <c r="N979" s="1705"/>
      <c r="O979" s="1705"/>
      <c r="P979" s="1705"/>
      <c r="Q979" s="1705"/>
      <c r="R979" s="1705"/>
      <c r="S979" s="1705"/>
      <c r="T979" s="1705"/>
    </row>
    <row r="980" spans="1:20" ht="12.75" customHeight="1">
      <c r="A980" s="1705"/>
      <c r="B980" s="1705"/>
      <c r="C980" s="1705"/>
      <c r="D980" s="1705"/>
      <c r="E980" s="1705"/>
      <c r="F980" s="1705"/>
      <c r="G980" s="1705"/>
      <c r="H980" s="1705"/>
      <c r="I980" s="1705"/>
      <c r="J980" s="1705"/>
      <c r="K980" s="1705"/>
      <c r="L980" s="1705"/>
      <c r="M980" s="1705"/>
      <c r="N980" s="1705"/>
      <c r="O980" s="1705"/>
      <c r="P980" s="1705"/>
      <c r="Q980" s="1705"/>
      <c r="R980" s="1705"/>
      <c r="S980" s="1705"/>
      <c r="T980" s="1705"/>
    </row>
    <row r="981" spans="1:20" ht="12.75" customHeight="1">
      <c r="A981" s="1705"/>
      <c r="B981" s="1705"/>
      <c r="C981" s="1705"/>
      <c r="D981" s="1705"/>
      <c r="E981" s="1705"/>
      <c r="F981" s="1705"/>
      <c r="G981" s="1705"/>
      <c r="H981" s="1705"/>
      <c r="I981" s="1705"/>
      <c r="J981" s="1705"/>
      <c r="K981" s="1705"/>
      <c r="L981" s="1705"/>
      <c r="M981" s="1705"/>
      <c r="N981" s="1705"/>
      <c r="O981" s="1705"/>
      <c r="P981" s="1705"/>
      <c r="Q981" s="1705"/>
      <c r="R981" s="1705"/>
      <c r="S981" s="1705"/>
      <c r="T981" s="1705"/>
    </row>
    <row r="982" spans="1:20" ht="12.75" customHeight="1">
      <c r="A982" s="1705"/>
      <c r="B982" s="1705"/>
      <c r="C982" s="1705"/>
      <c r="D982" s="1705"/>
      <c r="E982" s="1705"/>
      <c r="F982" s="1705"/>
      <c r="G982" s="1705"/>
      <c r="H982" s="1705"/>
      <c r="I982" s="1705"/>
      <c r="J982" s="1705"/>
      <c r="K982" s="1705"/>
      <c r="L982" s="1705"/>
      <c r="M982" s="1705"/>
      <c r="N982" s="1705"/>
      <c r="O982" s="1705"/>
      <c r="P982" s="1705"/>
      <c r="Q982" s="1705"/>
      <c r="R982" s="1705"/>
      <c r="S982" s="1705"/>
      <c r="T982" s="1705"/>
    </row>
    <row r="983" spans="1:20" ht="12.75" customHeight="1">
      <c r="A983" s="1705"/>
      <c r="B983" s="1705"/>
      <c r="C983" s="1705"/>
      <c r="D983" s="1705"/>
      <c r="E983" s="1705"/>
      <c r="F983" s="1705"/>
      <c r="G983" s="1705"/>
      <c r="H983" s="1705"/>
      <c r="I983" s="1705"/>
      <c r="J983" s="1705"/>
      <c r="K983" s="1705"/>
      <c r="L983" s="1705"/>
      <c r="M983" s="1705"/>
      <c r="N983" s="1705"/>
      <c r="O983" s="1705"/>
      <c r="P983" s="1705"/>
      <c r="Q983" s="1705"/>
      <c r="R983" s="1705"/>
      <c r="S983" s="1705"/>
      <c r="T983" s="1705"/>
    </row>
    <row r="984" spans="1:20" ht="12.75" customHeight="1">
      <c r="A984" s="1705"/>
      <c r="B984" s="1705"/>
      <c r="C984" s="1705"/>
      <c r="D984" s="1705"/>
      <c r="E984" s="1705"/>
      <c r="F984" s="1705"/>
      <c r="G984" s="1705"/>
      <c r="H984" s="1705"/>
      <c r="I984" s="1705"/>
      <c r="J984" s="1705"/>
      <c r="K984" s="1705"/>
      <c r="L984" s="1705"/>
      <c r="M984" s="1705"/>
      <c r="N984" s="1705"/>
      <c r="O984" s="1705"/>
      <c r="P984" s="1705"/>
      <c r="Q984" s="1705"/>
      <c r="R984" s="1705"/>
      <c r="S984" s="1705"/>
      <c r="T984" s="1705"/>
    </row>
    <row r="985" spans="1:20" ht="12.75" customHeight="1">
      <c r="A985" s="1705"/>
      <c r="B985" s="1705"/>
      <c r="C985" s="1705"/>
      <c r="D985" s="1705"/>
      <c r="E985" s="1705"/>
      <c r="F985" s="1705"/>
      <c r="G985" s="1705"/>
      <c r="H985" s="1705"/>
      <c r="I985" s="1705"/>
      <c r="J985" s="1705"/>
      <c r="K985" s="1705"/>
      <c r="L985" s="1705"/>
      <c r="M985" s="1705"/>
      <c r="N985" s="1705"/>
      <c r="O985" s="1705"/>
      <c r="P985" s="1705"/>
      <c r="Q985" s="1705"/>
      <c r="R985" s="1705"/>
      <c r="S985" s="1705"/>
      <c r="T985" s="1705"/>
    </row>
    <row r="986" spans="1:20" ht="12.75" customHeight="1">
      <c r="A986" s="1705"/>
      <c r="B986" s="1705"/>
      <c r="C986" s="1705"/>
      <c r="D986" s="1705"/>
      <c r="E986" s="1705"/>
      <c r="F986" s="1705"/>
      <c r="G986" s="1705"/>
      <c r="H986" s="1705"/>
      <c r="I986" s="1705"/>
      <c r="J986" s="1705"/>
      <c r="K986" s="1705"/>
      <c r="L986" s="1705"/>
      <c r="M986" s="1705"/>
      <c r="N986" s="1705"/>
      <c r="O986" s="1705"/>
      <c r="P986" s="1705"/>
      <c r="Q986" s="1705"/>
      <c r="R986" s="1705"/>
      <c r="S986" s="1705"/>
      <c r="T986" s="1705"/>
    </row>
    <row r="987" spans="1:20" ht="12.75" customHeight="1">
      <c r="A987" s="1705"/>
      <c r="B987" s="1705"/>
      <c r="C987" s="1705"/>
      <c r="D987" s="1705"/>
      <c r="E987" s="1705"/>
      <c r="F987" s="1705"/>
      <c r="G987" s="1705"/>
      <c r="H987" s="1705"/>
      <c r="I987" s="1705"/>
      <c r="J987" s="1705"/>
      <c r="K987" s="1705"/>
      <c r="L987" s="1705"/>
      <c r="M987" s="1705"/>
      <c r="N987" s="1705"/>
      <c r="O987" s="1705"/>
      <c r="P987" s="1705"/>
      <c r="Q987" s="1705"/>
      <c r="R987" s="1705"/>
      <c r="S987" s="1705"/>
      <c r="T987" s="1705"/>
    </row>
    <row r="988" spans="1:20" ht="12.75" customHeight="1">
      <c r="A988" s="1705"/>
      <c r="B988" s="1705"/>
      <c r="C988" s="1705"/>
      <c r="D988" s="1705"/>
      <c r="E988" s="1705"/>
      <c r="F988" s="1705"/>
      <c r="G988" s="1705"/>
      <c r="H988" s="1705"/>
      <c r="I988" s="1705"/>
      <c r="J988" s="1705"/>
      <c r="K988" s="1705"/>
      <c r="L988" s="1705"/>
      <c r="M988" s="1705"/>
      <c r="N988" s="1705"/>
      <c r="O988" s="1705"/>
      <c r="P988" s="1705"/>
      <c r="Q988" s="1705"/>
      <c r="R988" s="1705"/>
      <c r="S988" s="1705"/>
      <c r="T988" s="1705"/>
    </row>
    <row r="989" spans="1:20" ht="12.75" customHeight="1">
      <c r="A989" s="1705"/>
      <c r="B989" s="1705"/>
      <c r="C989" s="1705"/>
      <c r="D989" s="1705"/>
      <c r="E989" s="1705"/>
      <c r="F989" s="1705"/>
      <c r="G989" s="1705"/>
      <c r="H989" s="1705"/>
      <c r="I989" s="1705"/>
      <c r="J989" s="1705"/>
      <c r="K989" s="1705"/>
      <c r="L989" s="1705"/>
      <c r="M989" s="1705"/>
      <c r="N989" s="1705"/>
      <c r="O989" s="1705"/>
      <c r="P989" s="1705"/>
      <c r="Q989" s="1705"/>
      <c r="R989" s="1705"/>
      <c r="S989" s="1705"/>
      <c r="T989" s="1705"/>
    </row>
    <row r="990" spans="1:20" ht="12.75" customHeight="1">
      <c r="A990" s="1705"/>
      <c r="B990" s="1705"/>
      <c r="C990" s="1705"/>
      <c r="D990" s="1705"/>
      <c r="E990" s="1705"/>
      <c r="F990" s="1705"/>
      <c r="G990" s="1705"/>
      <c r="H990" s="1705"/>
      <c r="I990" s="1705"/>
      <c r="J990" s="1705"/>
      <c r="K990" s="1705"/>
      <c r="L990" s="1705"/>
      <c r="M990" s="1705"/>
      <c r="N990" s="1705"/>
      <c r="O990" s="1705"/>
      <c r="P990" s="1705"/>
      <c r="Q990" s="1705"/>
      <c r="R990" s="1705"/>
      <c r="S990" s="1705"/>
      <c r="T990" s="1705"/>
    </row>
    <row r="991" spans="1:20" ht="12.75" customHeight="1">
      <c r="A991" s="1705"/>
      <c r="B991" s="1705"/>
      <c r="C991" s="1705"/>
      <c r="D991" s="1705"/>
      <c r="E991" s="1705"/>
      <c r="F991" s="1705"/>
      <c r="G991" s="1705"/>
      <c r="H991" s="1705"/>
      <c r="I991" s="1705"/>
      <c r="J991" s="1705"/>
      <c r="K991" s="1705"/>
      <c r="L991" s="1705"/>
      <c r="M991" s="1705"/>
      <c r="N991" s="1705"/>
      <c r="O991" s="1705"/>
      <c r="P991" s="1705"/>
      <c r="Q991" s="1705"/>
      <c r="R991" s="1705"/>
      <c r="S991" s="1705"/>
      <c r="T991" s="1705"/>
    </row>
    <row r="992" spans="1:20" ht="12.75" customHeight="1">
      <c r="A992" s="1705"/>
      <c r="B992" s="1705"/>
      <c r="C992" s="1705"/>
      <c r="D992" s="1705"/>
      <c r="E992" s="1705"/>
      <c r="F992" s="1705"/>
      <c r="G992" s="1705"/>
      <c r="H992" s="1705"/>
      <c r="I992" s="1705"/>
      <c r="J992" s="1705"/>
      <c r="K992" s="1705"/>
      <c r="L992" s="1705"/>
      <c r="M992" s="1705"/>
      <c r="N992" s="1705"/>
      <c r="O992" s="1705"/>
      <c r="P992" s="1705"/>
      <c r="Q992" s="1705"/>
      <c r="R992" s="1705"/>
      <c r="S992" s="1705"/>
      <c r="T992" s="1705"/>
    </row>
    <row r="993" spans="1:20" ht="12.75" customHeight="1">
      <c r="A993" s="1705"/>
      <c r="B993" s="1705"/>
      <c r="C993" s="1705"/>
      <c r="D993" s="1705"/>
      <c r="E993" s="1705"/>
      <c r="F993" s="1705"/>
      <c r="G993" s="1705"/>
      <c r="H993" s="1705"/>
      <c r="I993" s="1705"/>
      <c r="J993" s="1705"/>
      <c r="K993" s="1705"/>
      <c r="L993" s="1705"/>
      <c r="M993" s="1705"/>
      <c r="N993" s="1705"/>
      <c r="O993" s="1705"/>
      <c r="P993" s="1705"/>
      <c r="Q993" s="1705"/>
      <c r="R993" s="1705"/>
      <c r="S993" s="1705"/>
      <c r="T993" s="1705"/>
    </row>
    <row r="994" spans="1:20" ht="12.75" customHeight="1">
      <c r="A994" s="1705"/>
      <c r="B994" s="1705"/>
      <c r="C994" s="1705"/>
      <c r="D994" s="1705"/>
      <c r="E994" s="1705"/>
      <c r="F994" s="1705"/>
      <c r="G994" s="1705"/>
      <c r="H994" s="1705"/>
      <c r="I994" s="1705"/>
      <c r="J994" s="1705"/>
      <c r="K994" s="1705"/>
      <c r="L994" s="1705"/>
      <c r="M994" s="1705"/>
      <c r="N994" s="1705"/>
      <c r="O994" s="1705"/>
      <c r="P994" s="1705"/>
      <c r="Q994" s="1705"/>
      <c r="R994" s="1705"/>
      <c r="S994" s="1705"/>
      <c r="T994" s="1705"/>
    </row>
    <row r="995" spans="1:20" ht="12.75" customHeight="1">
      <c r="A995" s="1705"/>
      <c r="B995" s="1705"/>
      <c r="C995" s="1705"/>
      <c r="D995" s="1705"/>
      <c r="E995" s="1705"/>
      <c r="F995" s="1705"/>
      <c r="G995" s="1705"/>
      <c r="H995" s="1705"/>
      <c r="I995" s="1705"/>
      <c r="J995" s="1705"/>
      <c r="K995" s="1705"/>
      <c r="L995" s="1705"/>
      <c r="M995" s="1705"/>
      <c r="N995" s="1705"/>
      <c r="O995" s="1705"/>
      <c r="P995" s="1705"/>
      <c r="Q995" s="1705"/>
      <c r="R995" s="1705"/>
      <c r="S995" s="1705"/>
      <c r="T995" s="1705"/>
    </row>
    <row r="996" spans="1:20" ht="12.75" customHeight="1">
      <c r="A996" s="1705"/>
      <c r="B996" s="1705"/>
      <c r="C996" s="1705"/>
      <c r="D996" s="1705"/>
      <c r="E996" s="1705"/>
      <c r="F996" s="1705"/>
      <c r="G996" s="1705"/>
      <c r="H996" s="1705"/>
      <c r="I996" s="1705"/>
      <c r="J996" s="1705"/>
      <c r="K996" s="1705"/>
      <c r="L996" s="1705"/>
      <c r="M996" s="1705"/>
      <c r="N996" s="1705"/>
      <c r="O996" s="1705"/>
      <c r="P996" s="1705"/>
      <c r="Q996" s="1705"/>
      <c r="R996" s="1705"/>
      <c r="S996" s="1705"/>
      <c r="T996" s="1705"/>
    </row>
    <row r="997" spans="1:20" ht="12.75" customHeight="1">
      <c r="A997" s="1705"/>
      <c r="B997" s="1705"/>
      <c r="C997" s="1705"/>
      <c r="D997" s="1705"/>
      <c r="E997" s="1705"/>
      <c r="F997" s="1705"/>
      <c r="G997" s="1705"/>
      <c r="H997" s="1705"/>
      <c r="I997" s="1705"/>
      <c r="J997" s="1705"/>
      <c r="K997" s="1705"/>
      <c r="L997" s="1705"/>
      <c r="M997" s="1705"/>
      <c r="N997" s="1705"/>
      <c r="O997" s="1705"/>
      <c r="P997" s="1705"/>
      <c r="Q997" s="1705"/>
      <c r="R997" s="1705"/>
      <c r="S997" s="1705"/>
      <c r="T997" s="1705"/>
    </row>
    <row r="998" spans="1:20" ht="12.75" customHeight="1">
      <c r="A998" s="1705"/>
      <c r="B998" s="1705"/>
      <c r="C998" s="1705"/>
      <c r="D998" s="1705"/>
      <c r="E998" s="1705"/>
      <c r="F998" s="1705"/>
      <c r="G998" s="1705"/>
      <c r="H998" s="1705"/>
      <c r="I998" s="1705"/>
      <c r="J998" s="1705"/>
      <c r="K998" s="1705"/>
      <c r="L998" s="1705"/>
      <c r="M998" s="1705"/>
      <c r="N998" s="1705"/>
      <c r="O998" s="1705"/>
      <c r="P998" s="1705"/>
      <c r="Q998" s="1705"/>
      <c r="R998" s="1705"/>
      <c r="S998" s="1705"/>
      <c r="T998" s="1705"/>
    </row>
    <row r="999" spans="1:20" ht="12.75" customHeight="1">
      <c r="A999" s="1705"/>
      <c r="B999" s="1705"/>
      <c r="C999" s="1705"/>
      <c r="D999" s="1705"/>
      <c r="E999" s="1705"/>
      <c r="F999" s="1705"/>
      <c r="G999" s="1705"/>
      <c r="H999" s="1705"/>
      <c r="I999" s="1705"/>
      <c r="J999" s="1705"/>
      <c r="K999" s="1705"/>
      <c r="L999" s="1705"/>
      <c r="M999" s="1705"/>
      <c r="N999" s="1705"/>
      <c r="O999" s="1705"/>
      <c r="P999" s="1705"/>
      <c r="Q999" s="1705"/>
      <c r="R999" s="1705"/>
      <c r="S999" s="1705"/>
      <c r="T999" s="1705"/>
    </row>
    <row r="1000" spans="1:20" ht="12.75" customHeight="1">
      <c r="A1000" s="1705"/>
      <c r="B1000" s="1705"/>
      <c r="C1000" s="1705"/>
      <c r="D1000" s="1705"/>
      <c r="E1000" s="1705"/>
      <c r="F1000" s="1705"/>
      <c r="G1000" s="1705"/>
      <c r="H1000" s="1705"/>
      <c r="I1000" s="1705"/>
      <c r="J1000" s="1705"/>
      <c r="K1000" s="1705"/>
      <c r="L1000" s="1705"/>
      <c r="M1000" s="1705"/>
      <c r="N1000" s="1705"/>
      <c r="O1000" s="1705"/>
      <c r="P1000" s="1705"/>
      <c r="Q1000" s="1705"/>
      <c r="R1000" s="1705"/>
      <c r="S1000" s="1705"/>
      <c r="T1000" s="1705"/>
    </row>
    <row r="1001" spans="1:20" ht="12.75" customHeight="1">
      <c r="A1001" s="1705"/>
      <c r="B1001" s="1705"/>
      <c r="C1001" s="1705"/>
      <c r="D1001" s="1705"/>
      <c r="E1001" s="1705"/>
      <c r="F1001" s="1705"/>
      <c r="G1001" s="1705"/>
      <c r="H1001" s="1705"/>
      <c r="I1001" s="1705"/>
      <c r="J1001" s="1705"/>
      <c r="K1001" s="1705"/>
      <c r="L1001" s="1705"/>
      <c r="M1001" s="1705"/>
      <c r="N1001" s="1705"/>
      <c r="O1001" s="1705"/>
      <c r="P1001" s="1705"/>
      <c r="Q1001" s="1705"/>
      <c r="R1001" s="1705"/>
      <c r="S1001" s="1705"/>
      <c r="T1001" s="1705"/>
    </row>
    <row r="1002" spans="1:20" ht="12.75" customHeight="1">
      <c r="A1002" s="1705"/>
      <c r="B1002" s="1705"/>
      <c r="C1002" s="1705"/>
      <c r="D1002" s="1705"/>
      <c r="E1002" s="1705"/>
      <c r="F1002" s="1705"/>
      <c r="G1002" s="1705"/>
      <c r="H1002" s="1705"/>
      <c r="I1002" s="1705"/>
      <c r="J1002" s="1705"/>
      <c r="K1002" s="1705"/>
      <c r="L1002" s="1705"/>
      <c r="M1002" s="1705"/>
      <c r="N1002" s="1705"/>
      <c r="O1002" s="1705"/>
      <c r="P1002" s="1705"/>
      <c r="Q1002" s="1705"/>
      <c r="R1002" s="1705"/>
      <c r="S1002" s="1705"/>
      <c r="T1002" s="1705"/>
    </row>
    <row r="1003" spans="1:20" ht="12.75" customHeight="1">
      <c r="A1003" s="1705"/>
      <c r="B1003" s="1705"/>
      <c r="C1003" s="1705"/>
      <c r="D1003" s="1705"/>
      <c r="E1003" s="1705"/>
      <c r="F1003" s="1705"/>
      <c r="G1003" s="1705"/>
      <c r="H1003" s="1705"/>
      <c r="I1003" s="1705"/>
      <c r="J1003" s="1705"/>
      <c r="K1003" s="1705"/>
      <c r="L1003" s="1705"/>
      <c r="M1003" s="1705"/>
      <c r="N1003" s="1705"/>
      <c r="O1003" s="1705"/>
      <c r="P1003" s="1705"/>
      <c r="Q1003" s="1705"/>
      <c r="R1003" s="1705"/>
      <c r="S1003" s="1705"/>
      <c r="T1003" s="1705"/>
    </row>
    <row r="1004" spans="1:20" ht="12.75" customHeight="1">
      <c r="A1004" s="1705"/>
      <c r="B1004" s="1705"/>
      <c r="C1004" s="1705"/>
      <c r="D1004" s="1705"/>
      <c r="E1004" s="1705"/>
      <c r="F1004" s="1705"/>
      <c r="G1004" s="1705"/>
      <c r="H1004" s="1705"/>
      <c r="I1004" s="1705"/>
      <c r="J1004" s="1705"/>
      <c r="K1004" s="1705"/>
      <c r="L1004" s="1705"/>
      <c r="M1004" s="1705"/>
      <c r="N1004" s="1705"/>
      <c r="O1004" s="1705"/>
      <c r="P1004" s="1705"/>
      <c r="Q1004" s="1705"/>
      <c r="R1004" s="1705"/>
      <c r="S1004" s="1705"/>
      <c r="T1004" s="1705"/>
    </row>
    <row r="1005" spans="1:20" ht="12.75" customHeight="1">
      <c r="A1005" s="1705"/>
      <c r="B1005" s="1705"/>
      <c r="C1005" s="1705"/>
      <c r="D1005" s="1705"/>
      <c r="E1005" s="1705"/>
      <c r="F1005" s="1705"/>
      <c r="G1005" s="1705"/>
      <c r="H1005" s="1705"/>
      <c r="I1005" s="1705"/>
      <c r="J1005" s="1705"/>
      <c r="K1005" s="1705"/>
      <c r="L1005" s="1705"/>
      <c r="M1005" s="1705"/>
      <c r="N1005" s="1705"/>
      <c r="O1005" s="1705"/>
      <c r="P1005" s="1705"/>
      <c r="Q1005" s="1705"/>
      <c r="R1005" s="1705"/>
      <c r="S1005" s="1705"/>
      <c r="T1005" s="1705"/>
    </row>
    <row r="1006" spans="1:20" ht="12.75" customHeight="1">
      <c r="A1006" s="1705"/>
      <c r="B1006" s="1705"/>
      <c r="C1006" s="1705"/>
      <c r="D1006" s="1705"/>
      <c r="E1006" s="1705"/>
      <c r="F1006" s="1705"/>
      <c r="G1006" s="1705"/>
      <c r="H1006" s="1705"/>
      <c r="I1006" s="1705"/>
      <c r="J1006" s="1705"/>
      <c r="K1006" s="1705"/>
      <c r="L1006" s="1705"/>
      <c r="M1006" s="1705"/>
      <c r="N1006" s="1705"/>
      <c r="O1006" s="1705"/>
      <c r="P1006" s="1705"/>
      <c r="Q1006" s="1705"/>
      <c r="R1006" s="1705"/>
      <c r="S1006" s="1705"/>
      <c r="T1006" s="1705"/>
    </row>
    <row r="1007" spans="1:20" ht="12.75" customHeight="1">
      <c r="A1007" s="1705"/>
      <c r="B1007" s="1705"/>
      <c r="C1007" s="1705"/>
      <c r="D1007" s="1705"/>
      <c r="E1007" s="1705"/>
      <c r="F1007" s="1705"/>
      <c r="G1007" s="1705"/>
      <c r="H1007" s="1705"/>
      <c r="I1007" s="1705"/>
      <c r="J1007" s="1705"/>
      <c r="K1007" s="1705"/>
      <c r="L1007" s="1705"/>
      <c r="M1007" s="1705"/>
      <c r="N1007" s="1705"/>
      <c r="O1007" s="1705"/>
      <c r="P1007" s="1705"/>
      <c r="Q1007" s="1705"/>
      <c r="R1007" s="1705"/>
      <c r="S1007" s="1705"/>
      <c r="T1007" s="1705"/>
    </row>
    <row r="1008" spans="1:20" ht="12.75" customHeight="1">
      <c r="A1008" s="1705"/>
      <c r="B1008" s="1705"/>
      <c r="C1008" s="1705"/>
      <c r="D1008" s="1705"/>
      <c r="E1008" s="1705"/>
      <c r="F1008" s="1705"/>
      <c r="G1008" s="1705"/>
      <c r="H1008" s="1705"/>
      <c r="I1008" s="1705"/>
      <c r="J1008" s="1705"/>
      <c r="K1008" s="1705"/>
      <c r="L1008" s="1705"/>
      <c r="M1008" s="1705"/>
      <c r="N1008" s="1705"/>
      <c r="O1008" s="1705"/>
      <c r="P1008" s="1705"/>
      <c r="Q1008" s="1705"/>
      <c r="R1008" s="1705"/>
      <c r="S1008" s="1705"/>
      <c r="T1008" s="1705"/>
    </row>
    <row r="1009" spans="1:20" ht="12.75" customHeight="1">
      <c r="A1009" s="1705"/>
      <c r="B1009" s="1705"/>
      <c r="C1009" s="1705"/>
      <c r="D1009" s="1705"/>
      <c r="E1009" s="1705"/>
      <c r="F1009" s="1705"/>
      <c r="G1009" s="1705"/>
      <c r="H1009" s="1705"/>
      <c r="I1009" s="1705"/>
      <c r="J1009" s="1705"/>
      <c r="K1009" s="1705"/>
      <c r="L1009" s="1705"/>
      <c r="M1009" s="1705"/>
      <c r="N1009" s="1705"/>
      <c r="O1009" s="1705"/>
      <c r="P1009" s="1705"/>
      <c r="Q1009" s="1705"/>
      <c r="R1009" s="1705"/>
      <c r="S1009" s="1705"/>
      <c r="T1009" s="1705"/>
    </row>
    <row r="1010" spans="1:20" ht="12.75" customHeight="1">
      <c r="A1010" s="1705"/>
      <c r="B1010" s="1705"/>
      <c r="C1010" s="1705"/>
      <c r="D1010" s="1705"/>
      <c r="E1010" s="1705"/>
      <c r="F1010" s="1705"/>
      <c r="G1010" s="1705"/>
      <c r="H1010" s="1705"/>
      <c r="I1010" s="1705"/>
      <c r="J1010" s="1705"/>
      <c r="K1010" s="1705"/>
      <c r="L1010" s="1705"/>
      <c r="M1010" s="1705"/>
      <c r="N1010" s="1705"/>
      <c r="O1010" s="1705"/>
      <c r="P1010" s="1705"/>
      <c r="Q1010" s="1705"/>
      <c r="R1010" s="1705"/>
      <c r="S1010" s="1705"/>
      <c r="T1010" s="1705"/>
    </row>
    <row r="1011" spans="1:20" ht="12.75" customHeight="1">
      <c r="A1011" s="1705"/>
      <c r="B1011" s="1705"/>
      <c r="C1011" s="1705"/>
      <c r="D1011" s="1705"/>
      <c r="E1011" s="1705"/>
      <c r="F1011" s="1705"/>
      <c r="G1011" s="1705"/>
      <c r="H1011" s="1705"/>
      <c r="I1011" s="1705"/>
      <c r="J1011" s="1705"/>
      <c r="K1011" s="1705"/>
      <c r="L1011" s="1705"/>
      <c r="M1011" s="1705"/>
      <c r="N1011" s="1705"/>
      <c r="O1011" s="1705"/>
      <c r="P1011" s="1705"/>
      <c r="Q1011" s="1705"/>
      <c r="R1011" s="1705"/>
      <c r="S1011" s="1705"/>
      <c r="T1011" s="1705"/>
    </row>
    <row r="1012" spans="1:20" ht="12.75" customHeight="1">
      <c r="A1012" s="1705"/>
      <c r="B1012" s="1705"/>
      <c r="C1012" s="1705"/>
      <c r="D1012" s="1705"/>
      <c r="E1012" s="1705"/>
      <c r="F1012" s="1705"/>
      <c r="G1012" s="1705"/>
      <c r="H1012" s="1705"/>
      <c r="I1012" s="1705"/>
      <c r="J1012" s="1705"/>
      <c r="K1012" s="1705"/>
      <c r="L1012" s="1705"/>
      <c r="M1012" s="1705"/>
      <c r="N1012" s="1705"/>
      <c r="O1012" s="1705"/>
      <c r="P1012" s="1705"/>
      <c r="Q1012" s="1705"/>
      <c r="R1012" s="1705"/>
      <c r="S1012" s="1705"/>
      <c r="T1012" s="1705"/>
    </row>
    <row r="1013" spans="1:20" ht="12.75" customHeight="1">
      <c r="A1013" s="1705"/>
      <c r="B1013" s="1705"/>
      <c r="C1013" s="1705"/>
      <c r="D1013" s="1705"/>
      <c r="E1013" s="1705"/>
      <c r="F1013" s="1705"/>
      <c r="G1013" s="1705"/>
      <c r="H1013" s="1705"/>
      <c r="I1013" s="1705"/>
      <c r="J1013" s="1705"/>
      <c r="K1013" s="1705"/>
      <c r="L1013" s="1705"/>
      <c r="M1013" s="1705"/>
      <c r="N1013" s="1705"/>
      <c r="O1013" s="1705"/>
      <c r="P1013" s="1705"/>
      <c r="Q1013" s="1705"/>
      <c r="R1013" s="1705"/>
      <c r="S1013" s="1705"/>
      <c r="T1013" s="1705"/>
    </row>
    <row r="1014" spans="1:20" ht="12.75" customHeight="1">
      <c r="A1014" s="1705"/>
      <c r="B1014" s="1705"/>
      <c r="C1014" s="1705"/>
      <c r="D1014" s="1705"/>
      <c r="E1014" s="1705"/>
      <c r="F1014" s="1705"/>
      <c r="G1014" s="1705"/>
      <c r="H1014" s="1705"/>
      <c r="I1014" s="1705"/>
      <c r="J1014" s="1705"/>
      <c r="K1014" s="1705"/>
      <c r="L1014" s="1705"/>
      <c r="M1014" s="1705"/>
      <c r="N1014" s="1705"/>
      <c r="O1014" s="1705"/>
      <c r="P1014" s="1705"/>
      <c r="Q1014" s="1705"/>
      <c r="R1014" s="1705"/>
      <c r="S1014" s="1705"/>
      <c r="T1014" s="1705"/>
    </row>
    <row r="1015" spans="1:20" ht="12.75" customHeight="1">
      <c r="A1015" s="1705"/>
      <c r="B1015" s="1705"/>
      <c r="C1015" s="1705"/>
      <c r="D1015" s="1705"/>
      <c r="E1015" s="1705"/>
      <c r="F1015" s="1705"/>
      <c r="G1015" s="1705"/>
      <c r="H1015" s="1705"/>
      <c r="I1015" s="1705"/>
      <c r="J1015" s="1705"/>
      <c r="K1015" s="1705"/>
      <c r="L1015" s="1705"/>
      <c r="M1015" s="1705"/>
      <c r="N1015" s="1705"/>
      <c r="O1015" s="1705"/>
      <c r="P1015" s="1705"/>
      <c r="Q1015" s="1705"/>
      <c r="R1015" s="1705"/>
      <c r="S1015" s="1705"/>
      <c r="T1015" s="1705"/>
    </row>
    <row r="1016" spans="1:20" ht="12.75" customHeight="1">
      <c r="A1016" s="1705"/>
      <c r="B1016" s="1705"/>
      <c r="C1016" s="1705"/>
      <c r="D1016" s="1705"/>
      <c r="E1016" s="1705"/>
      <c r="F1016" s="1705"/>
      <c r="G1016" s="1705"/>
      <c r="H1016" s="1705"/>
      <c r="I1016" s="1705"/>
      <c r="J1016" s="1705"/>
      <c r="K1016" s="1705"/>
      <c r="L1016" s="1705"/>
      <c r="M1016" s="1705"/>
      <c r="N1016" s="1705"/>
      <c r="O1016" s="1705"/>
      <c r="P1016" s="1705"/>
      <c r="Q1016" s="1705"/>
      <c r="R1016" s="1705"/>
      <c r="S1016" s="1705"/>
      <c r="T1016" s="1705"/>
    </row>
    <row r="1017" spans="1:20" ht="12.75" customHeight="1">
      <c r="A1017" s="1705"/>
      <c r="B1017" s="1705"/>
      <c r="C1017" s="1705"/>
      <c r="D1017" s="1705"/>
      <c r="E1017" s="1705"/>
      <c r="F1017" s="1705"/>
      <c r="G1017" s="1705"/>
      <c r="H1017" s="1705"/>
      <c r="I1017" s="1705"/>
      <c r="J1017" s="1705"/>
      <c r="K1017" s="1705"/>
      <c r="L1017" s="1705"/>
      <c r="M1017" s="1705"/>
      <c r="N1017" s="1705"/>
      <c r="O1017" s="1705"/>
      <c r="P1017" s="1705"/>
      <c r="Q1017" s="1705"/>
      <c r="R1017" s="1705"/>
      <c r="S1017" s="1705"/>
      <c r="T1017" s="1705"/>
    </row>
    <row r="1018" spans="1:20" ht="12.75" customHeight="1">
      <c r="A1018" s="1705"/>
      <c r="B1018" s="1705"/>
      <c r="C1018" s="1705"/>
      <c r="D1018" s="1705"/>
      <c r="E1018" s="1705"/>
      <c r="F1018" s="1705"/>
      <c r="G1018" s="1705"/>
      <c r="H1018" s="1705"/>
      <c r="I1018" s="1705"/>
      <c r="J1018" s="1705"/>
      <c r="K1018" s="1705"/>
      <c r="L1018" s="1705"/>
      <c r="M1018" s="1705"/>
      <c r="N1018" s="1705"/>
      <c r="O1018" s="1705"/>
      <c r="P1018" s="1705"/>
      <c r="Q1018" s="1705"/>
      <c r="R1018" s="1705"/>
      <c r="S1018" s="1705"/>
      <c r="T1018" s="1705"/>
    </row>
    <row r="1019" spans="1:20" ht="12.75" customHeight="1">
      <c r="A1019" s="1705"/>
      <c r="B1019" s="1705"/>
      <c r="C1019" s="1705"/>
      <c r="D1019" s="1705"/>
      <c r="E1019" s="1705"/>
      <c r="F1019" s="1705"/>
      <c r="G1019" s="1705"/>
      <c r="H1019" s="1705"/>
      <c r="I1019" s="1705"/>
      <c r="J1019" s="1705"/>
      <c r="K1019" s="1705"/>
      <c r="L1019" s="1705"/>
      <c r="M1019" s="1705"/>
      <c r="N1019" s="1705"/>
      <c r="O1019" s="1705"/>
      <c r="P1019" s="1705"/>
      <c r="Q1019" s="1705"/>
      <c r="R1019" s="1705"/>
      <c r="S1019" s="1705"/>
      <c r="T1019" s="1705"/>
    </row>
    <row r="1020" spans="1:20" ht="12.75" customHeight="1">
      <c r="A1020" s="1705"/>
      <c r="B1020" s="1705"/>
      <c r="C1020" s="1705"/>
      <c r="D1020" s="1705"/>
      <c r="E1020" s="1705"/>
      <c r="F1020" s="1705"/>
      <c r="G1020" s="1705"/>
      <c r="H1020" s="1705"/>
      <c r="I1020" s="1705"/>
      <c r="J1020" s="1705"/>
      <c r="K1020" s="1705"/>
      <c r="L1020" s="1705"/>
      <c r="M1020" s="1705"/>
      <c r="N1020" s="1705"/>
      <c r="O1020" s="1705"/>
      <c r="P1020" s="1705"/>
      <c r="Q1020" s="1705"/>
      <c r="R1020" s="1705"/>
      <c r="S1020" s="1705"/>
      <c r="T1020" s="1705"/>
    </row>
    <row r="1021" spans="1:20" ht="12.75" customHeight="1">
      <c r="A1021" s="1705"/>
      <c r="B1021" s="1705"/>
      <c r="C1021" s="1705"/>
      <c r="D1021" s="1705"/>
      <c r="E1021" s="1705"/>
      <c r="F1021" s="1705"/>
      <c r="G1021" s="1705"/>
      <c r="H1021" s="1705"/>
      <c r="I1021" s="1705"/>
      <c r="J1021" s="1705"/>
      <c r="K1021" s="1705"/>
      <c r="L1021" s="1705"/>
      <c r="M1021" s="1705"/>
      <c r="N1021" s="1705"/>
      <c r="O1021" s="1705"/>
      <c r="P1021" s="1705"/>
      <c r="Q1021" s="1705"/>
      <c r="R1021" s="1705"/>
      <c r="S1021" s="1705"/>
      <c r="T1021" s="1705"/>
    </row>
    <row r="1022" spans="1:20" ht="12.75" customHeight="1">
      <c r="A1022" s="1705"/>
      <c r="B1022" s="1705"/>
      <c r="C1022" s="1705"/>
      <c r="D1022" s="1705"/>
      <c r="E1022" s="1705"/>
      <c r="F1022" s="1705"/>
      <c r="G1022" s="1705"/>
      <c r="H1022" s="1705"/>
      <c r="I1022" s="1705"/>
      <c r="J1022" s="1705"/>
      <c r="K1022" s="1705"/>
      <c r="L1022" s="1705"/>
      <c r="M1022" s="1705"/>
      <c r="N1022" s="1705"/>
      <c r="O1022" s="1705"/>
      <c r="P1022" s="1705"/>
      <c r="Q1022" s="1705"/>
      <c r="R1022" s="1705"/>
      <c r="S1022" s="1705"/>
      <c r="T1022" s="1705"/>
    </row>
    <row r="1023" spans="1:20" ht="12.75" customHeight="1">
      <c r="A1023" s="1705"/>
      <c r="B1023" s="1705"/>
      <c r="C1023" s="1705"/>
      <c r="D1023" s="1705"/>
      <c r="E1023" s="1705"/>
      <c r="F1023" s="1705"/>
      <c r="G1023" s="1705"/>
      <c r="H1023" s="1705"/>
      <c r="I1023" s="1705"/>
      <c r="J1023" s="1705"/>
      <c r="K1023" s="1705"/>
      <c r="L1023" s="1705"/>
      <c r="M1023" s="1705"/>
      <c r="N1023" s="1705"/>
      <c r="O1023" s="1705"/>
      <c r="P1023" s="1705"/>
      <c r="Q1023" s="1705"/>
      <c r="R1023" s="1705"/>
      <c r="S1023" s="1705"/>
      <c r="T1023" s="1705"/>
    </row>
    <row r="1024" spans="1:20" ht="12.75" customHeight="1">
      <c r="A1024" s="1705"/>
      <c r="B1024" s="1705"/>
      <c r="C1024" s="1705"/>
      <c r="D1024" s="1705"/>
      <c r="E1024" s="1705"/>
      <c r="F1024" s="1705"/>
      <c r="G1024" s="1705"/>
      <c r="H1024" s="1705"/>
      <c r="I1024" s="1705"/>
      <c r="J1024" s="1705"/>
      <c r="K1024" s="1705"/>
      <c r="L1024" s="1705"/>
      <c r="M1024" s="1705"/>
      <c r="N1024" s="1705"/>
      <c r="O1024" s="1705"/>
      <c r="P1024" s="1705"/>
      <c r="Q1024" s="1705"/>
      <c r="R1024" s="1705"/>
      <c r="S1024" s="1705"/>
      <c r="T1024" s="1705"/>
    </row>
    <row r="1025" spans="1:20" ht="12.75" customHeight="1">
      <c r="A1025" s="1705"/>
      <c r="B1025" s="1705"/>
      <c r="C1025" s="1705"/>
      <c r="D1025" s="1705"/>
      <c r="E1025" s="1705"/>
      <c r="F1025" s="1705"/>
      <c r="G1025" s="1705"/>
      <c r="H1025" s="1705"/>
      <c r="I1025" s="1705"/>
      <c r="J1025" s="1705"/>
      <c r="K1025" s="1705"/>
      <c r="L1025" s="1705"/>
      <c r="M1025" s="1705"/>
      <c r="N1025" s="1705"/>
      <c r="O1025" s="1705"/>
      <c r="P1025" s="1705"/>
      <c r="Q1025" s="1705"/>
      <c r="R1025" s="1705"/>
      <c r="S1025" s="1705"/>
      <c r="T1025" s="1705"/>
    </row>
    <row r="1026" spans="1:20" ht="12.75" customHeight="1">
      <c r="A1026" s="1705"/>
      <c r="B1026" s="1705"/>
      <c r="C1026" s="1705"/>
      <c r="D1026" s="1705"/>
      <c r="E1026" s="1705"/>
      <c r="F1026" s="1705"/>
      <c r="G1026" s="1705"/>
      <c r="H1026" s="1705"/>
      <c r="I1026" s="1705"/>
      <c r="J1026" s="1705"/>
      <c r="K1026" s="1705"/>
      <c r="L1026" s="1705"/>
      <c r="M1026" s="1705"/>
      <c r="N1026" s="1705"/>
      <c r="O1026" s="1705"/>
      <c r="P1026" s="1705"/>
      <c r="Q1026" s="1705"/>
      <c r="R1026" s="1705"/>
      <c r="S1026" s="1705"/>
      <c r="T1026" s="1705"/>
    </row>
    <row r="1027" spans="1:20" ht="12.75" customHeight="1">
      <c r="A1027" s="1705"/>
      <c r="B1027" s="1705"/>
      <c r="C1027" s="1705"/>
      <c r="D1027" s="1705"/>
      <c r="E1027" s="1705"/>
      <c r="F1027" s="1705"/>
      <c r="G1027" s="1705"/>
      <c r="H1027" s="1705"/>
      <c r="I1027" s="1705"/>
      <c r="J1027" s="1705"/>
      <c r="K1027" s="1705"/>
      <c r="L1027" s="1705"/>
      <c r="M1027" s="1705"/>
      <c r="N1027" s="1705"/>
      <c r="O1027" s="1705"/>
      <c r="P1027" s="1705"/>
      <c r="Q1027" s="1705"/>
      <c r="R1027" s="1705"/>
      <c r="S1027" s="1705"/>
      <c r="T1027" s="1705"/>
    </row>
    <row r="1028" spans="1:20" ht="12.75" customHeight="1">
      <c r="A1028" s="1705"/>
      <c r="B1028" s="1705"/>
      <c r="C1028" s="1705"/>
      <c r="D1028" s="1705"/>
      <c r="E1028" s="1705"/>
      <c r="F1028" s="1705"/>
      <c r="G1028" s="1705"/>
      <c r="H1028" s="1705"/>
      <c r="I1028" s="1705"/>
      <c r="J1028" s="1705"/>
      <c r="K1028" s="1705"/>
      <c r="L1028" s="1705"/>
      <c r="M1028" s="1705"/>
      <c r="N1028" s="1705"/>
      <c r="O1028" s="1705"/>
      <c r="P1028" s="1705"/>
      <c r="Q1028" s="1705"/>
      <c r="R1028" s="1705"/>
      <c r="S1028" s="1705"/>
      <c r="T1028" s="1705"/>
    </row>
    <row r="1029" spans="1:20" ht="12.75" customHeight="1">
      <c r="A1029" s="1705"/>
      <c r="B1029" s="1705"/>
      <c r="C1029" s="1705"/>
      <c r="D1029" s="1705"/>
      <c r="E1029" s="1705"/>
      <c r="F1029" s="1705"/>
      <c r="G1029" s="1705"/>
      <c r="H1029" s="1705"/>
      <c r="I1029" s="1705"/>
      <c r="J1029" s="1705"/>
      <c r="K1029" s="1705"/>
      <c r="L1029" s="1705"/>
      <c r="M1029" s="1705"/>
      <c r="N1029" s="1705"/>
      <c r="O1029" s="1705"/>
      <c r="P1029" s="1705"/>
      <c r="Q1029" s="1705"/>
      <c r="R1029" s="1705"/>
      <c r="S1029" s="1705"/>
      <c r="T1029" s="1705"/>
    </row>
    <row r="1030" spans="1:20" ht="12.75" customHeight="1">
      <c r="A1030" s="1705"/>
      <c r="B1030" s="1705"/>
      <c r="C1030" s="1705"/>
      <c r="D1030" s="1705"/>
      <c r="E1030" s="1705"/>
      <c r="F1030" s="1705"/>
      <c r="G1030" s="1705"/>
      <c r="H1030" s="1705"/>
      <c r="I1030" s="1705"/>
      <c r="J1030" s="1705"/>
      <c r="K1030" s="1705"/>
      <c r="L1030" s="1705"/>
      <c r="M1030" s="1705"/>
      <c r="N1030" s="1705"/>
      <c r="O1030" s="1705"/>
      <c r="P1030" s="1705"/>
      <c r="Q1030" s="1705"/>
      <c r="R1030" s="1705"/>
      <c r="S1030" s="1705"/>
      <c r="T1030" s="1705"/>
    </row>
    <row r="1031" spans="1:20" ht="12.75" customHeight="1">
      <c r="A1031" s="1705"/>
      <c r="B1031" s="1705"/>
      <c r="C1031" s="1705"/>
      <c r="D1031" s="1705"/>
      <c r="E1031" s="1705"/>
      <c r="F1031" s="1705"/>
      <c r="G1031" s="1705"/>
      <c r="H1031" s="1705"/>
      <c r="I1031" s="1705"/>
      <c r="J1031" s="1705"/>
      <c r="K1031" s="1705"/>
      <c r="L1031" s="1705"/>
      <c r="M1031" s="1705"/>
      <c r="N1031" s="1705"/>
      <c r="O1031" s="1705"/>
      <c r="P1031" s="1705"/>
      <c r="Q1031" s="1705"/>
      <c r="R1031" s="1705"/>
      <c r="S1031" s="1705"/>
      <c r="T1031" s="1705"/>
    </row>
    <row r="1032" spans="1:20" ht="12.75" customHeight="1">
      <c r="A1032" s="1705"/>
      <c r="B1032" s="1705"/>
      <c r="C1032" s="1705"/>
      <c r="D1032" s="1705"/>
      <c r="E1032" s="1705"/>
      <c r="F1032" s="1705"/>
      <c r="G1032" s="1705"/>
      <c r="H1032" s="1705"/>
      <c r="I1032" s="1705"/>
      <c r="J1032" s="1705"/>
      <c r="K1032" s="1705"/>
      <c r="L1032" s="1705"/>
      <c r="M1032" s="1705"/>
      <c r="N1032" s="1705"/>
      <c r="O1032" s="1705"/>
      <c r="P1032" s="1705"/>
      <c r="Q1032" s="1705"/>
      <c r="R1032" s="1705"/>
      <c r="S1032" s="1705"/>
      <c r="T1032" s="1705"/>
    </row>
    <row r="1033" spans="1:20" ht="12.75" customHeight="1">
      <c r="A1033" s="1705"/>
      <c r="B1033" s="1705"/>
      <c r="C1033" s="1705"/>
      <c r="D1033" s="1705"/>
      <c r="E1033" s="1705"/>
      <c r="F1033" s="1705"/>
      <c r="G1033" s="1705"/>
      <c r="H1033" s="1705"/>
      <c r="I1033" s="1705"/>
      <c r="J1033" s="1705"/>
      <c r="K1033" s="1705"/>
      <c r="L1033" s="1705"/>
      <c r="M1033" s="1705"/>
      <c r="N1033" s="1705"/>
      <c r="O1033" s="1705"/>
      <c r="P1033" s="1705"/>
      <c r="Q1033" s="1705"/>
      <c r="R1033" s="1705"/>
      <c r="S1033" s="1705"/>
      <c r="T1033" s="1705"/>
    </row>
    <row r="1034" spans="1:20" ht="12.75" customHeight="1">
      <c r="A1034" s="1705"/>
      <c r="B1034" s="1705"/>
      <c r="C1034" s="1705"/>
      <c r="D1034" s="1705"/>
      <c r="E1034" s="1705"/>
      <c r="F1034" s="1705"/>
      <c r="G1034" s="1705"/>
      <c r="H1034" s="1705"/>
      <c r="I1034" s="1705"/>
      <c r="J1034" s="1705"/>
      <c r="K1034" s="1705"/>
      <c r="L1034" s="1705"/>
      <c r="M1034" s="1705"/>
      <c r="N1034" s="1705"/>
      <c r="O1034" s="1705"/>
      <c r="P1034" s="1705"/>
      <c r="Q1034" s="1705"/>
      <c r="R1034" s="1705"/>
      <c r="S1034" s="1705"/>
      <c r="T1034" s="1705"/>
    </row>
    <row r="1035" spans="1:20" ht="12.75" customHeight="1">
      <c r="A1035" s="1705"/>
      <c r="B1035" s="1705"/>
      <c r="C1035" s="1705"/>
      <c r="D1035" s="1705"/>
      <c r="E1035" s="1705"/>
      <c r="F1035" s="1705"/>
      <c r="G1035" s="1705"/>
      <c r="H1035" s="1705"/>
      <c r="I1035" s="1705"/>
      <c r="J1035" s="1705"/>
      <c r="K1035" s="1705"/>
      <c r="L1035" s="1705"/>
      <c r="M1035" s="1705"/>
      <c r="N1035" s="1705"/>
      <c r="O1035" s="1705"/>
      <c r="P1035" s="1705"/>
      <c r="Q1035" s="1705"/>
      <c r="R1035" s="1705"/>
      <c r="S1035" s="1705"/>
      <c r="T1035" s="1705"/>
    </row>
    <row r="1036" spans="1:20" ht="12.75" customHeight="1">
      <c r="A1036" s="1705"/>
      <c r="B1036" s="1705"/>
      <c r="C1036" s="1705"/>
      <c r="D1036" s="1705"/>
      <c r="E1036" s="1705"/>
      <c r="F1036" s="1705"/>
      <c r="G1036" s="1705"/>
      <c r="H1036" s="1705"/>
      <c r="I1036" s="1705"/>
      <c r="J1036" s="1705"/>
      <c r="K1036" s="1705"/>
      <c r="L1036" s="1705"/>
      <c r="M1036" s="1705"/>
      <c r="N1036" s="1705"/>
      <c r="O1036" s="1705"/>
      <c r="P1036" s="1705"/>
      <c r="Q1036" s="1705"/>
      <c r="R1036" s="1705"/>
      <c r="S1036" s="1705"/>
      <c r="T1036" s="1705"/>
    </row>
    <row r="1037" spans="1:20" ht="12.75" customHeight="1">
      <c r="A1037" s="1705"/>
      <c r="B1037" s="1705"/>
      <c r="C1037" s="1705"/>
      <c r="D1037" s="1705"/>
      <c r="E1037" s="1705"/>
      <c r="F1037" s="1705"/>
      <c r="G1037" s="1705"/>
      <c r="H1037" s="1705"/>
      <c r="I1037" s="1705"/>
      <c r="J1037" s="1705"/>
      <c r="K1037" s="1705"/>
      <c r="L1037" s="1705"/>
      <c r="M1037" s="1705"/>
      <c r="N1037" s="1705"/>
      <c r="O1037" s="1705"/>
      <c r="P1037" s="1705"/>
      <c r="Q1037" s="1705"/>
      <c r="R1037" s="1705"/>
      <c r="S1037" s="1705"/>
      <c r="T1037" s="1705"/>
    </row>
    <row r="1038" spans="1:20" ht="12.75" customHeight="1">
      <c r="A1038" s="1705"/>
      <c r="B1038" s="1705"/>
      <c r="C1038" s="1705"/>
      <c r="D1038" s="1705"/>
      <c r="E1038" s="1705"/>
      <c r="F1038" s="1705"/>
      <c r="G1038" s="1705"/>
      <c r="H1038" s="1705"/>
      <c r="I1038" s="1705"/>
      <c r="J1038" s="1705"/>
      <c r="K1038" s="1705"/>
      <c r="L1038" s="1705"/>
      <c r="M1038" s="1705"/>
      <c r="N1038" s="1705"/>
      <c r="O1038" s="1705"/>
      <c r="P1038" s="1705"/>
      <c r="Q1038" s="1705"/>
      <c r="R1038" s="1705"/>
      <c r="S1038" s="1705"/>
      <c r="T1038" s="1705"/>
    </row>
    <row r="1039" spans="1:20" ht="12.75" customHeight="1">
      <c r="A1039" s="1705"/>
      <c r="B1039" s="1705"/>
      <c r="C1039" s="1705"/>
      <c r="D1039" s="1705"/>
      <c r="E1039" s="1705"/>
      <c r="F1039" s="1705"/>
      <c r="G1039" s="1705"/>
      <c r="H1039" s="1705"/>
      <c r="I1039" s="1705"/>
      <c r="J1039" s="1705"/>
      <c r="K1039" s="1705"/>
      <c r="L1039" s="1705"/>
      <c r="M1039" s="1705"/>
      <c r="N1039" s="1705"/>
      <c r="O1039" s="1705"/>
      <c r="P1039" s="1705"/>
      <c r="Q1039" s="1705"/>
      <c r="R1039" s="1705"/>
      <c r="S1039" s="1705"/>
      <c r="T1039" s="1705"/>
    </row>
    <row r="1040" spans="1:20" ht="12.75" customHeight="1">
      <c r="A1040" s="1705"/>
      <c r="B1040" s="1705"/>
      <c r="C1040" s="1705"/>
      <c r="D1040" s="1705"/>
      <c r="E1040" s="1705"/>
      <c r="F1040" s="1705"/>
      <c r="G1040" s="1705"/>
      <c r="H1040" s="1705"/>
      <c r="I1040" s="1705"/>
      <c r="J1040" s="1705"/>
      <c r="K1040" s="1705"/>
      <c r="L1040" s="1705"/>
      <c r="M1040" s="1705"/>
      <c r="N1040" s="1705"/>
      <c r="O1040" s="1705"/>
      <c r="P1040" s="1705"/>
      <c r="Q1040" s="1705"/>
      <c r="R1040" s="1705"/>
      <c r="S1040" s="1705"/>
      <c r="T1040" s="1705"/>
    </row>
    <row r="1041" spans="1:20" ht="12.75" customHeight="1">
      <c r="A1041" s="1705"/>
      <c r="B1041" s="1705"/>
      <c r="C1041" s="1705"/>
      <c r="D1041" s="1705"/>
      <c r="E1041" s="1705"/>
      <c r="F1041" s="1705"/>
      <c r="G1041" s="1705"/>
      <c r="H1041" s="1705"/>
      <c r="I1041" s="1705"/>
      <c r="J1041" s="1705"/>
      <c r="K1041" s="1705"/>
      <c r="L1041" s="1705"/>
      <c r="M1041" s="1705"/>
      <c r="N1041" s="1705"/>
      <c r="O1041" s="1705"/>
      <c r="P1041" s="1705"/>
      <c r="Q1041" s="1705"/>
      <c r="R1041" s="1705"/>
      <c r="S1041" s="1705"/>
      <c r="T1041" s="1705"/>
    </row>
    <row r="1042" spans="1:20" ht="12.75" customHeight="1">
      <c r="A1042" s="1705"/>
      <c r="B1042" s="1705"/>
      <c r="C1042" s="1705"/>
      <c r="D1042" s="1705"/>
      <c r="E1042" s="1705"/>
      <c r="F1042" s="1705"/>
      <c r="G1042" s="1705"/>
      <c r="H1042" s="1705"/>
      <c r="I1042" s="1705"/>
      <c r="J1042" s="1705"/>
      <c r="K1042" s="1705"/>
      <c r="L1042" s="1705"/>
      <c r="M1042" s="1705"/>
      <c r="N1042" s="1705"/>
      <c r="O1042" s="1705"/>
      <c r="P1042" s="1705"/>
      <c r="Q1042" s="1705"/>
      <c r="R1042" s="1705"/>
      <c r="S1042" s="1705"/>
      <c r="T1042" s="1705"/>
    </row>
    <row r="1043" spans="1:20" ht="12.75" customHeight="1">
      <c r="A1043" s="1705"/>
      <c r="B1043" s="1705"/>
      <c r="C1043" s="1705"/>
      <c r="D1043" s="1705"/>
      <c r="E1043" s="1705"/>
      <c r="F1043" s="1705"/>
      <c r="G1043" s="1705"/>
      <c r="H1043" s="1705"/>
      <c r="I1043" s="1705"/>
      <c r="J1043" s="1705"/>
      <c r="K1043" s="1705"/>
      <c r="L1043" s="1705"/>
      <c r="M1043" s="1705"/>
      <c r="N1043" s="1705"/>
      <c r="O1043" s="1705"/>
      <c r="P1043" s="1705"/>
      <c r="Q1043" s="1705"/>
      <c r="R1043" s="1705"/>
      <c r="S1043" s="1705"/>
      <c r="T1043" s="1705"/>
    </row>
    <row r="1044" spans="1:20" ht="12.75" customHeight="1">
      <c r="A1044" s="1705"/>
      <c r="B1044" s="1705"/>
      <c r="C1044" s="1705"/>
      <c r="D1044" s="1705"/>
      <c r="E1044" s="1705"/>
      <c r="F1044" s="1705"/>
      <c r="G1044" s="1705"/>
      <c r="H1044" s="1705"/>
      <c r="I1044" s="1705"/>
      <c r="J1044" s="1705"/>
      <c r="K1044" s="1705"/>
      <c r="L1044" s="1705"/>
      <c r="M1044" s="1705"/>
      <c r="N1044" s="1705"/>
      <c r="O1044" s="1705"/>
      <c r="P1044" s="1705"/>
      <c r="Q1044" s="1705"/>
      <c r="R1044" s="1705"/>
      <c r="S1044" s="1705"/>
      <c r="T1044" s="1705"/>
    </row>
    <row r="1045" spans="1:20" ht="12.75" customHeight="1">
      <c r="A1045" s="1705"/>
      <c r="B1045" s="1705"/>
      <c r="C1045" s="1705"/>
      <c r="D1045" s="1705"/>
      <c r="E1045" s="1705"/>
      <c r="F1045" s="1705"/>
      <c r="G1045" s="1705"/>
      <c r="H1045" s="1705"/>
      <c r="I1045" s="1705"/>
      <c r="J1045" s="1705"/>
      <c r="K1045" s="1705"/>
      <c r="L1045" s="1705"/>
      <c r="M1045" s="1705"/>
      <c r="N1045" s="1705"/>
      <c r="O1045" s="1705"/>
      <c r="P1045" s="1705"/>
      <c r="Q1045" s="1705"/>
      <c r="R1045" s="1705"/>
      <c r="S1045" s="1705"/>
      <c r="T1045" s="1705"/>
    </row>
    <row r="1046" spans="1:20" ht="12.75" customHeight="1">
      <c r="A1046" s="1705"/>
      <c r="B1046" s="1705"/>
      <c r="C1046" s="1705"/>
      <c r="D1046" s="1705"/>
      <c r="E1046" s="1705"/>
      <c r="F1046" s="1705"/>
      <c r="G1046" s="1705"/>
      <c r="H1046" s="1705"/>
      <c r="I1046" s="1705"/>
      <c r="J1046" s="1705"/>
      <c r="K1046" s="1705"/>
      <c r="L1046" s="1705"/>
      <c r="M1046" s="1705"/>
      <c r="N1046" s="1705"/>
      <c r="O1046" s="1705"/>
      <c r="P1046" s="1705"/>
      <c r="Q1046" s="1705"/>
      <c r="R1046" s="1705"/>
      <c r="S1046" s="1705"/>
      <c r="T1046" s="1705"/>
    </row>
    <row r="1047" spans="1:20" ht="12.75" customHeight="1">
      <c r="A1047" s="1705"/>
      <c r="B1047" s="1705"/>
      <c r="C1047" s="1705"/>
      <c r="D1047" s="1705"/>
      <c r="E1047" s="1705"/>
      <c r="F1047" s="1705"/>
      <c r="G1047" s="1705"/>
      <c r="H1047" s="1705"/>
      <c r="I1047" s="1705"/>
      <c r="J1047" s="1705"/>
      <c r="K1047" s="1705"/>
      <c r="L1047" s="1705"/>
      <c r="M1047" s="1705"/>
      <c r="N1047" s="1705"/>
      <c r="O1047" s="1705"/>
      <c r="P1047" s="1705"/>
      <c r="Q1047" s="1705"/>
      <c r="R1047" s="1705"/>
      <c r="S1047" s="1705"/>
      <c r="T1047" s="1705"/>
    </row>
    <row r="1048" spans="1:20" ht="12.75" customHeight="1">
      <c r="A1048" s="1705"/>
      <c r="B1048" s="1705"/>
      <c r="C1048" s="1705"/>
      <c r="D1048" s="1705"/>
      <c r="E1048" s="1705"/>
      <c r="F1048" s="1705"/>
      <c r="G1048" s="1705"/>
      <c r="H1048" s="1705"/>
      <c r="I1048" s="1705"/>
      <c r="J1048" s="1705"/>
      <c r="K1048" s="1705"/>
      <c r="L1048" s="1705"/>
      <c r="M1048" s="1705"/>
      <c r="N1048" s="1705"/>
      <c r="O1048" s="1705"/>
      <c r="P1048" s="1705"/>
      <c r="Q1048" s="1705"/>
      <c r="R1048" s="1705"/>
      <c r="S1048" s="1705"/>
      <c r="T1048" s="1705"/>
    </row>
    <row r="1049" spans="1:20" ht="12.75" customHeight="1">
      <c r="A1049" s="1705"/>
      <c r="B1049" s="1705"/>
      <c r="C1049" s="1705"/>
      <c r="D1049" s="1705"/>
      <c r="E1049" s="1705"/>
      <c r="F1049" s="1705"/>
      <c r="G1049" s="1705"/>
      <c r="H1049" s="1705"/>
      <c r="I1049" s="1705"/>
      <c r="J1049" s="1705"/>
      <c r="K1049" s="1705"/>
      <c r="L1049" s="1705"/>
      <c r="M1049" s="1705"/>
      <c r="N1049" s="1705"/>
      <c r="O1049" s="1705"/>
      <c r="P1049" s="1705"/>
      <c r="Q1049" s="1705"/>
      <c r="R1049" s="1705"/>
      <c r="S1049" s="1705"/>
      <c r="T1049" s="1705"/>
    </row>
    <row r="1050" spans="1:20" ht="12.75" customHeight="1">
      <c r="A1050" s="1705"/>
      <c r="B1050" s="1705"/>
      <c r="C1050" s="1705"/>
      <c r="D1050" s="1705"/>
      <c r="E1050" s="1705"/>
      <c r="F1050" s="1705"/>
      <c r="G1050" s="1705"/>
      <c r="H1050" s="1705"/>
      <c r="I1050" s="1705"/>
      <c r="J1050" s="1705"/>
      <c r="K1050" s="1705"/>
      <c r="L1050" s="1705"/>
      <c r="M1050" s="1705"/>
      <c r="N1050" s="1705"/>
      <c r="O1050" s="1705"/>
      <c r="P1050" s="1705"/>
      <c r="Q1050" s="1705"/>
      <c r="R1050" s="1705"/>
      <c r="S1050" s="1705"/>
      <c r="T1050" s="1705"/>
    </row>
    <row r="1051" spans="1:20" ht="12.75" customHeight="1">
      <c r="A1051" s="1705"/>
      <c r="B1051" s="1705"/>
      <c r="C1051" s="1705"/>
      <c r="D1051" s="1705"/>
      <c r="E1051" s="1705"/>
      <c r="F1051" s="1705"/>
      <c r="G1051" s="1705"/>
      <c r="H1051" s="1705"/>
      <c r="I1051" s="1705"/>
      <c r="J1051" s="1705"/>
      <c r="K1051" s="1705"/>
      <c r="L1051" s="1705"/>
      <c r="M1051" s="1705"/>
      <c r="N1051" s="1705"/>
      <c r="O1051" s="1705"/>
      <c r="P1051" s="1705"/>
      <c r="Q1051" s="1705"/>
      <c r="R1051" s="1705"/>
      <c r="S1051" s="1705"/>
      <c r="T1051" s="1705"/>
    </row>
    <row r="1052" spans="1:20" ht="12.75" customHeight="1">
      <c r="A1052" s="1705"/>
      <c r="B1052" s="1705"/>
      <c r="C1052" s="1705"/>
      <c r="D1052" s="1705"/>
      <c r="E1052" s="1705"/>
      <c r="F1052" s="1705"/>
      <c r="G1052" s="1705"/>
      <c r="H1052" s="1705"/>
      <c r="I1052" s="1705"/>
      <c r="J1052" s="1705"/>
      <c r="K1052" s="1705"/>
      <c r="L1052" s="1705"/>
      <c r="M1052" s="1705"/>
      <c r="N1052" s="1705"/>
      <c r="O1052" s="1705"/>
      <c r="P1052" s="1705"/>
      <c r="Q1052" s="1705"/>
      <c r="R1052" s="1705"/>
      <c r="S1052" s="1705"/>
      <c r="T1052" s="1705"/>
    </row>
    <row r="1053" spans="1:20" ht="12.75" customHeight="1">
      <c r="A1053" s="1705"/>
      <c r="B1053" s="1705"/>
      <c r="C1053" s="1705"/>
      <c r="D1053" s="1705"/>
      <c r="E1053" s="1705"/>
      <c r="F1053" s="1705"/>
      <c r="G1053" s="1705"/>
      <c r="H1053" s="1705"/>
      <c r="I1053" s="1705"/>
      <c r="J1053" s="1705"/>
      <c r="K1053" s="1705"/>
      <c r="L1053" s="1705"/>
      <c r="M1053" s="1705"/>
      <c r="N1053" s="1705"/>
      <c r="O1053" s="1705"/>
      <c r="P1053" s="1705"/>
      <c r="Q1053" s="1705"/>
      <c r="R1053" s="1705"/>
      <c r="S1053" s="1705"/>
      <c r="T1053" s="1705"/>
    </row>
    <row r="1054" spans="1:20" ht="12.75" customHeight="1">
      <c r="A1054" s="1705"/>
      <c r="B1054" s="1705"/>
      <c r="C1054" s="1705"/>
      <c r="D1054" s="1705"/>
      <c r="E1054" s="1705"/>
      <c r="F1054" s="1705"/>
      <c r="G1054" s="1705"/>
      <c r="H1054" s="1705"/>
      <c r="I1054" s="1705"/>
      <c r="J1054" s="1705"/>
      <c r="K1054" s="1705"/>
      <c r="L1054" s="1705"/>
      <c r="M1054" s="1705"/>
      <c r="N1054" s="1705"/>
      <c r="O1054" s="1705"/>
      <c r="P1054" s="1705"/>
      <c r="Q1054" s="1705"/>
      <c r="R1054" s="1705"/>
      <c r="S1054" s="1705"/>
      <c r="T1054" s="1705"/>
    </row>
    <row r="1055" spans="1:20" ht="12.75" customHeight="1">
      <c r="A1055" s="1705"/>
      <c r="B1055" s="1705"/>
      <c r="C1055" s="1705"/>
      <c r="D1055" s="1705"/>
      <c r="E1055" s="1705"/>
      <c r="F1055" s="1705"/>
      <c r="G1055" s="1705"/>
      <c r="H1055" s="1705"/>
      <c r="I1055" s="1705"/>
      <c r="J1055" s="1705"/>
      <c r="K1055" s="1705"/>
      <c r="L1055" s="1705"/>
      <c r="M1055" s="1705"/>
      <c r="N1055" s="1705"/>
      <c r="O1055" s="1705"/>
      <c r="P1055" s="1705"/>
      <c r="Q1055" s="1705"/>
      <c r="R1055" s="1705"/>
      <c r="S1055" s="1705"/>
      <c r="T1055" s="1705"/>
    </row>
    <row r="1056" spans="1:20" ht="12.75" customHeight="1">
      <c r="A1056" s="1705"/>
      <c r="B1056" s="1705"/>
      <c r="C1056" s="1705"/>
      <c r="D1056" s="1705"/>
      <c r="E1056" s="1705"/>
      <c r="F1056" s="1705"/>
      <c r="G1056" s="1705"/>
      <c r="H1056" s="1705"/>
      <c r="I1056" s="1705"/>
      <c r="J1056" s="1705"/>
      <c r="K1056" s="1705"/>
      <c r="L1056" s="1705"/>
      <c r="M1056" s="1705"/>
      <c r="N1056" s="1705"/>
      <c r="O1056" s="1705"/>
      <c r="P1056" s="1705"/>
      <c r="Q1056" s="1705"/>
      <c r="R1056" s="1705"/>
      <c r="S1056" s="1705"/>
      <c r="T1056" s="1705"/>
    </row>
    <row r="1057" spans="1:20" ht="12.75" customHeight="1">
      <c r="A1057" s="1705"/>
      <c r="B1057" s="1705"/>
      <c r="C1057" s="1705"/>
      <c r="D1057" s="1705"/>
      <c r="E1057" s="1705"/>
      <c r="F1057" s="1705"/>
      <c r="G1057" s="1705"/>
      <c r="H1057" s="1705"/>
      <c r="I1057" s="1705"/>
      <c r="J1057" s="1705"/>
      <c r="K1057" s="1705"/>
      <c r="L1057" s="1705"/>
      <c r="M1057" s="1705"/>
      <c r="N1057" s="1705"/>
      <c r="O1057" s="1705"/>
      <c r="P1057" s="1705"/>
      <c r="Q1057" s="1705"/>
      <c r="R1057" s="1705"/>
      <c r="S1057" s="1705"/>
      <c r="T1057" s="1705"/>
    </row>
    <row r="1058" spans="1:20" ht="12.75" customHeight="1">
      <c r="A1058" s="1705"/>
      <c r="B1058" s="1705"/>
      <c r="C1058" s="1705"/>
      <c r="D1058" s="1705"/>
      <c r="E1058" s="1705"/>
      <c r="F1058" s="1705"/>
      <c r="G1058" s="1705"/>
      <c r="H1058" s="1705"/>
      <c r="I1058" s="1705"/>
      <c r="J1058" s="1705"/>
      <c r="K1058" s="1705"/>
      <c r="L1058" s="1705"/>
      <c r="M1058" s="1705"/>
      <c r="N1058" s="1705"/>
      <c r="O1058" s="1705"/>
      <c r="P1058" s="1705"/>
      <c r="Q1058" s="1705"/>
      <c r="R1058" s="1705"/>
      <c r="S1058" s="1705"/>
      <c r="T1058" s="1705"/>
    </row>
    <row r="1059" spans="1:20" ht="12.75" customHeight="1">
      <c r="A1059" s="1705"/>
      <c r="B1059" s="1705"/>
      <c r="C1059" s="1705"/>
      <c r="D1059" s="1705"/>
      <c r="E1059" s="1705"/>
      <c r="F1059" s="1705"/>
      <c r="G1059" s="1705"/>
      <c r="H1059" s="1705"/>
      <c r="I1059" s="1705"/>
      <c r="J1059" s="1705"/>
      <c r="K1059" s="1705"/>
      <c r="L1059" s="1705"/>
      <c r="M1059" s="1705"/>
      <c r="N1059" s="1705"/>
      <c r="O1059" s="1705"/>
      <c r="P1059" s="1705"/>
      <c r="Q1059" s="1705"/>
      <c r="R1059" s="1705"/>
      <c r="S1059" s="1705"/>
      <c r="T1059" s="1705"/>
    </row>
    <row r="1060" spans="1:20" ht="12.75" customHeight="1">
      <c r="A1060" s="1705"/>
      <c r="B1060" s="1705"/>
      <c r="C1060" s="1705"/>
      <c r="D1060" s="1705"/>
      <c r="E1060" s="1705"/>
      <c r="F1060" s="1705"/>
      <c r="G1060" s="1705"/>
      <c r="H1060" s="1705"/>
      <c r="I1060" s="1705"/>
      <c r="J1060" s="1705"/>
      <c r="K1060" s="1705"/>
      <c r="L1060" s="1705"/>
      <c r="M1060" s="1705"/>
      <c r="N1060" s="1705"/>
      <c r="O1060" s="1705"/>
      <c r="P1060" s="1705"/>
      <c r="Q1060" s="1705"/>
      <c r="R1060" s="1705"/>
      <c r="S1060" s="1705"/>
      <c r="T1060" s="1705"/>
    </row>
    <row r="1061" spans="1:20" ht="12.75" customHeight="1">
      <c r="A1061" s="1705"/>
      <c r="B1061" s="1705"/>
      <c r="C1061" s="1705"/>
      <c r="D1061" s="1705"/>
      <c r="E1061" s="1705"/>
      <c r="F1061" s="1705"/>
      <c r="G1061" s="1705"/>
      <c r="H1061" s="1705"/>
      <c r="I1061" s="1705"/>
      <c r="J1061" s="1705"/>
      <c r="K1061" s="1705"/>
      <c r="L1061" s="1705"/>
      <c r="M1061" s="1705"/>
      <c r="N1061" s="1705"/>
      <c r="O1061" s="1705"/>
      <c r="P1061" s="1705"/>
      <c r="Q1061" s="1705"/>
      <c r="R1061" s="1705"/>
      <c r="S1061" s="1705"/>
      <c r="T1061" s="1705"/>
    </row>
    <row r="1062" spans="1:20" ht="12.75" customHeight="1">
      <c r="A1062" s="1705"/>
      <c r="B1062" s="1705"/>
      <c r="C1062" s="1705"/>
      <c r="D1062" s="1705"/>
      <c r="E1062" s="1705"/>
      <c r="F1062" s="1705"/>
      <c r="G1062" s="1705"/>
      <c r="H1062" s="1705"/>
      <c r="I1062" s="1705"/>
      <c r="J1062" s="1705"/>
      <c r="K1062" s="1705"/>
      <c r="L1062" s="1705"/>
      <c r="M1062" s="1705"/>
      <c r="N1062" s="1705"/>
      <c r="O1062" s="1705"/>
      <c r="P1062" s="1705"/>
      <c r="Q1062" s="1705"/>
      <c r="R1062" s="1705"/>
      <c r="S1062" s="1705"/>
      <c r="T1062" s="1705"/>
    </row>
    <row r="1063" spans="1:20" ht="12.75" customHeight="1">
      <c r="A1063" s="1705"/>
      <c r="B1063" s="1705"/>
      <c r="C1063" s="1705"/>
      <c r="D1063" s="1705"/>
      <c r="E1063" s="1705"/>
      <c r="F1063" s="1705"/>
      <c r="G1063" s="1705"/>
      <c r="H1063" s="1705"/>
      <c r="I1063" s="1705"/>
      <c r="J1063" s="1705"/>
      <c r="K1063" s="1705"/>
      <c r="L1063" s="1705"/>
      <c r="M1063" s="1705"/>
      <c r="N1063" s="1705"/>
      <c r="O1063" s="1705"/>
      <c r="P1063" s="1705"/>
      <c r="Q1063" s="1705"/>
      <c r="R1063" s="1705"/>
      <c r="S1063" s="1705"/>
      <c r="T1063" s="1705"/>
    </row>
    <row r="1064" spans="1:20" ht="12.75" customHeight="1">
      <c r="A1064" s="1705"/>
      <c r="B1064" s="1705"/>
      <c r="C1064" s="1705"/>
      <c r="D1064" s="1705"/>
      <c r="E1064" s="1705"/>
      <c r="F1064" s="1705"/>
      <c r="G1064" s="1705"/>
      <c r="H1064" s="1705"/>
      <c r="I1064" s="1705"/>
      <c r="J1064" s="1705"/>
      <c r="K1064" s="1705"/>
      <c r="L1064" s="1705"/>
      <c r="M1064" s="1705"/>
      <c r="N1064" s="1705"/>
      <c r="O1064" s="1705"/>
      <c r="P1064" s="1705"/>
      <c r="Q1064" s="1705"/>
      <c r="R1064" s="1705"/>
      <c r="S1064" s="1705"/>
      <c r="T1064" s="1705"/>
    </row>
    <row r="1065" spans="1:20" ht="12.75" customHeight="1">
      <c r="A1065" s="1705"/>
      <c r="B1065" s="1705"/>
      <c r="C1065" s="1705"/>
      <c r="D1065" s="1705"/>
      <c r="E1065" s="1705"/>
      <c r="F1065" s="1705"/>
      <c r="G1065" s="1705"/>
      <c r="H1065" s="1705"/>
      <c r="I1065" s="1705"/>
      <c r="J1065" s="1705"/>
      <c r="K1065" s="1705"/>
      <c r="L1065" s="1705"/>
      <c r="M1065" s="1705"/>
      <c r="N1065" s="1705"/>
      <c r="O1065" s="1705"/>
      <c r="P1065" s="1705"/>
      <c r="Q1065" s="1705"/>
      <c r="R1065" s="1705"/>
      <c r="S1065" s="1705"/>
      <c r="T1065" s="1705"/>
    </row>
    <row r="1066" spans="1:20" ht="12.75" customHeight="1">
      <c r="A1066" s="1705"/>
      <c r="B1066" s="1705"/>
      <c r="C1066" s="1705"/>
      <c r="D1066" s="1705"/>
      <c r="E1066" s="1705"/>
      <c r="F1066" s="1705"/>
      <c r="G1066" s="1705"/>
      <c r="H1066" s="1705"/>
      <c r="I1066" s="1705"/>
      <c r="J1066" s="1705"/>
      <c r="K1066" s="1705"/>
      <c r="L1066" s="1705"/>
      <c r="M1066" s="1705"/>
      <c r="N1066" s="1705"/>
      <c r="O1066" s="1705"/>
      <c r="P1066" s="1705"/>
      <c r="Q1066" s="1705"/>
      <c r="R1066" s="1705"/>
      <c r="S1066" s="1705"/>
      <c r="T1066" s="1705"/>
    </row>
    <row r="1067" spans="1:20" ht="12.75" customHeight="1">
      <c r="A1067" s="1705"/>
      <c r="B1067" s="1705"/>
      <c r="C1067" s="1705"/>
      <c r="D1067" s="1705"/>
      <c r="E1067" s="1705"/>
      <c r="F1067" s="1705"/>
      <c r="G1067" s="1705"/>
      <c r="H1067" s="1705"/>
      <c r="I1067" s="1705"/>
      <c r="J1067" s="1705"/>
      <c r="K1067" s="1705"/>
      <c r="L1067" s="1705"/>
      <c r="M1067" s="1705"/>
      <c r="N1067" s="1705"/>
      <c r="O1067" s="1705"/>
      <c r="P1067" s="1705"/>
      <c r="Q1067" s="1705"/>
      <c r="R1067" s="1705"/>
      <c r="S1067" s="1705"/>
      <c r="T1067" s="1705"/>
    </row>
    <row r="1068" spans="1:20" ht="12.75" customHeight="1">
      <c r="A1068" s="1705"/>
      <c r="B1068" s="1705"/>
      <c r="C1068" s="1705"/>
      <c r="D1068" s="1705"/>
      <c r="E1068" s="1705"/>
      <c r="F1068" s="1705"/>
      <c r="G1068" s="1705"/>
      <c r="H1068" s="1705"/>
      <c r="I1068" s="1705"/>
      <c r="J1068" s="1705"/>
      <c r="K1068" s="1705"/>
      <c r="L1068" s="1705"/>
      <c r="M1068" s="1705"/>
      <c r="N1068" s="1705"/>
      <c r="O1068" s="1705"/>
      <c r="P1068" s="1705"/>
      <c r="Q1068" s="1705"/>
      <c r="R1068" s="1705"/>
      <c r="S1068" s="1705"/>
      <c r="T1068" s="1705"/>
    </row>
    <row r="1069" spans="1:20" ht="12.75" customHeight="1">
      <c r="A1069" s="1705"/>
      <c r="B1069" s="1705"/>
      <c r="C1069" s="1705"/>
      <c r="D1069" s="1705"/>
      <c r="E1069" s="1705"/>
      <c r="F1069" s="1705"/>
      <c r="G1069" s="1705"/>
      <c r="H1069" s="1705"/>
      <c r="I1069" s="1705"/>
      <c r="J1069" s="1705"/>
      <c r="K1069" s="1705"/>
      <c r="L1069" s="1705"/>
      <c r="M1069" s="1705"/>
      <c r="N1069" s="1705"/>
      <c r="O1069" s="1705"/>
      <c r="P1069" s="1705"/>
      <c r="Q1069" s="1705"/>
      <c r="R1069" s="1705"/>
      <c r="S1069" s="1705"/>
      <c r="T1069" s="1705"/>
    </row>
    <row r="1070" spans="1:20" ht="12.75" customHeight="1">
      <c r="A1070" s="1705"/>
      <c r="B1070" s="1705"/>
      <c r="C1070" s="1705"/>
      <c r="D1070" s="1705"/>
      <c r="E1070" s="1705"/>
      <c r="F1070" s="1705"/>
      <c r="G1070" s="1705"/>
      <c r="H1070" s="1705"/>
      <c r="I1070" s="1705"/>
      <c r="J1070" s="1705"/>
      <c r="K1070" s="1705"/>
      <c r="L1070" s="1705"/>
      <c r="M1070" s="1705"/>
      <c r="N1070" s="1705"/>
      <c r="O1070" s="1705"/>
      <c r="P1070" s="1705"/>
      <c r="Q1070" s="1705"/>
      <c r="R1070" s="1705"/>
      <c r="S1070" s="1705"/>
      <c r="T1070" s="1705"/>
    </row>
    <row r="1071" spans="1:20" ht="12.75" customHeight="1">
      <c r="A1071" s="1705"/>
      <c r="B1071" s="1705"/>
      <c r="C1071" s="1705"/>
      <c r="D1071" s="1705"/>
      <c r="E1071" s="1705"/>
      <c r="F1071" s="1705"/>
      <c r="G1071" s="1705"/>
      <c r="H1071" s="1705"/>
      <c r="I1071" s="1705"/>
      <c r="J1071" s="1705"/>
      <c r="K1071" s="1705"/>
      <c r="L1071" s="1705"/>
      <c r="M1071" s="1705"/>
      <c r="N1071" s="1705"/>
      <c r="O1071" s="1705"/>
      <c r="P1071" s="1705"/>
      <c r="Q1071" s="1705"/>
      <c r="R1071" s="1705"/>
      <c r="S1071" s="1705"/>
      <c r="T1071" s="1705"/>
    </row>
    <row r="1072" spans="1:20" ht="12.75" customHeight="1">
      <c r="A1072" s="1705"/>
      <c r="B1072" s="1705"/>
      <c r="C1072" s="1705"/>
      <c r="D1072" s="1705"/>
      <c r="E1072" s="1705"/>
      <c r="F1072" s="1705"/>
      <c r="G1072" s="1705"/>
      <c r="H1072" s="1705"/>
      <c r="I1072" s="1705"/>
      <c r="J1072" s="1705"/>
      <c r="K1072" s="1705"/>
      <c r="L1072" s="1705"/>
      <c r="M1072" s="1705"/>
      <c r="N1072" s="1705"/>
      <c r="O1072" s="1705"/>
      <c r="P1072" s="1705"/>
      <c r="Q1072" s="1705"/>
      <c r="R1072" s="1705"/>
      <c r="S1072" s="1705"/>
      <c r="T1072" s="1705"/>
    </row>
    <row r="1073" spans="1:20" ht="12.75" customHeight="1">
      <c r="A1073" s="1705"/>
      <c r="B1073" s="1705"/>
      <c r="C1073" s="1705"/>
      <c r="D1073" s="1705"/>
      <c r="E1073" s="1705"/>
      <c r="F1073" s="1705"/>
      <c r="G1073" s="1705"/>
      <c r="H1073" s="1705"/>
      <c r="I1073" s="1705"/>
      <c r="J1073" s="1705"/>
      <c r="K1073" s="1705"/>
      <c r="L1073" s="1705"/>
      <c r="M1073" s="1705"/>
      <c r="N1073" s="1705"/>
      <c r="O1073" s="1705"/>
      <c r="P1073" s="1705"/>
      <c r="Q1073" s="1705"/>
      <c r="R1073" s="1705"/>
      <c r="S1073" s="1705"/>
      <c r="T1073" s="1705"/>
    </row>
    <row r="1074" spans="1:20" ht="12.75" customHeight="1">
      <c r="A1074" s="1705"/>
      <c r="B1074" s="1705"/>
      <c r="C1074" s="1705"/>
      <c r="D1074" s="1705"/>
      <c r="E1074" s="1705"/>
      <c r="F1074" s="1705"/>
      <c r="G1074" s="1705"/>
      <c r="H1074" s="1705"/>
      <c r="I1074" s="1705"/>
      <c r="J1074" s="1705"/>
      <c r="K1074" s="1705"/>
      <c r="L1074" s="1705"/>
      <c r="M1074" s="1705"/>
      <c r="N1074" s="1705"/>
      <c r="O1074" s="1705"/>
      <c r="P1074" s="1705"/>
      <c r="Q1074" s="1705"/>
      <c r="R1074" s="1705"/>
      <c r="S1074" s="1705"/>
      <c r="T1074" s="1705"/>
    </row>
    <row r="1075" spans="1:20" ht="12.75" customHeight="1">
      <c r="A1075" s="1705"/>
      <c r="B1075" s="1705"/>
      <c r="C1075" s="1705"/>
      <c r="D1075" s="1705"/>
      <c r="E1075" s="1705"/>
      <c r="F1075" s="1705"/>
      <c r="G1075" s="1705"/>
      <c r="H1075" s="1705"/>
      <c r="I1075" s="1705"/>
      <c r="J1075" s="1705"/>
      <c r="K1075" s="1705"/>
      <c r="L1075" s="1705"/>
      <c r="M1075" s="1705"/>
      <c r="N1075" s="1705"/>
      <c r="O1075" s="1705"/>
      <c r="P1075" s="1705"/>
      <c r="Q1075" s="1705"/>
      <c r="R1075" s="1705"/>
      <c r="S1075" s="1705"/>
      <c r="T1075" s="1705"/>
    </row>
    <row r="1076" spans="1:20" ht="12.75" customHeight="1">
      <c r="A1076" s="1705"/>
      <c r="B1076" s="1705"/>
      <c r="C1076" s="1705"/>
      <c r="D1076" s="1705"/>
      <c r="E1076" s="1705"/>
      <c r="F1076" s="1705"/>
      <c r="G1076" s="1705"/>
      <c r="H1076" s="1705"/>
      <c r="I1076" s="1705"/>
      <c r="J1076" s="1705"/>
      <c r="K1076" s="1705"/>
      <c r="L1076" s="1705"/>
      <c r="M1076" s="1705"/>
      <c r="N1076" s="1705"/>
      <c r="O1076" s="1705"/>
      <c r="P1076" s="1705"/>
      <c r="Q1076" s="1705"/>
      <c r="R1076" s="1705"/>
      <c r="S1076" s="1705"/>
      <c r="T1076" s="1705"/>
    </row>
    <row r="1077" spans="1:20" ht="12.75" customHeight="1">
      <c r="A1077" s="1705"/>
      <c r="B1077" s="1705"/>
      <c r="C1077" s="1705"/>
      <c r="D1077" s="1705"/>
      <c r="E1077" s="1705"/>
      <c r="F1077" s="1705"/>
      <c r="G1077" s="1705"/>
      <c r="H1077" s="1705"/>
      <c r="I1077" s="1705"/>
      <c r="J1077" s="1705"/>
      <c r="K1077" s="1705"/>
      <c r="L1077" s="1705"/>
      <c r="M1077" s="1705"/>
      <c r="N1077" s="1705"/>
      <c r="O1077" s="1705"/>
      <c r="P1077" s="1705"/>
      <c r="Q1077" s="1705"/>
      <c r="R1077" s="1705"/>
      <c r="S1077" s="1705"/>
      <c r="T1077" s="1705"/>
    </row>
    <row r="1078" spans="1:20" ht="12.75" customHeight="1">
      <c r="A1078" s="1705"/>
      <c r="B1078" s="1705"/>
      <c r="C1078" s="1705"/>
      <c r="D1078" s="1705"/>
      <c r="E1078" s="1705"/>
      <c r="F1078" s="1705"/>
      <c r="G1078" s="1705"/>
      <c r="H1078" s="1705"/>
      <c r="I1078" s="1705"/>
      <c r="J1078" s="1705"/>
      <c r="K1078" s="1705"/>
      <c r="L1078" s="1705"/>
      <c r="M1078" s="1705"/>
      <c r="N1078" s="1705"/>
      <c r="O1078" s="1705"/>
      <c r="P1078" s="1705"/>
      <c r="Q1078" s="1705"/>
      <c r="R1078" s="1705"/>
      <c r="S1078" s="1705"/>
      <c r="T1078" s="1705"/>
    </row>
    <row r="1079" spans="1:20" ht="12.75" customHeight="1">
      <c r="A1079" s="1705"/>
      <c r="B1079" s="1705"/>
      <c r="C1079" s="1705"/>
      <c r="D1079" s="1705"/>
      <c r="E1079" s="1705"/>
      <c r="F1079" s="1705"/>
      <c r="G1079" s="1705"/>
      <c r="H1079" s="1705"/>
      <c r="I1079" s="1705"/>
      <c r="J1079" s="1705"/>
      <c r="K1079" s="1705"/>
      <c r="L1079" s="1705"/>
      <c r="M1079" s="1705"/>
      <c r="N1079" s="1705"/>
      <c r="O1079" s="1705"/>
      <c r="P1079" s="1705"/>
      <c r="Q1079" s="1705"/>
      <c r="R1079" s="1705"/>
      <c r="S1079" s="1705"/>
      <c r="T1079" s="1705"/>
    </row>
    <row r="1080" spans="1:20" ht="12.75" customHeight="1">
      <c r="A1080" s="1705"/>
      <c r="B1080" s="1705"/>
      <c r="C1080" s="1705"/>
      <c r="D1080" s="1705"/>
      <c r="E1080" s="1705"/>
      <c r="F1080" s="1705"/>
      <c r="G1080" s="1705"/>
      <c r="H1080" s="1705"/>
      <c r="I1080" s="1705"/>
      <c r="J1080" s="1705"/>
      <c r="K1080" s="1705"/>
      <c r="L1080" s="1705"/>
      <c r="M1080" s="1705"/>
      <c r="N1080" s="1705"/>
      <c r="O1080" s="1705"/>
      <c r="P1080" s="1705"/>
      <c r="Q1080" s="1705"/>
      <c r="R1080" s="1705"/>
      <c r="S1080" s="1705"/>
      <c r="T1080" s="1705"/>
    </row>
    <row r="1081" spans="1:20" ht="12.75" customHeight="1">
      <c r="A1081" s="1705"/>
      <c r="B1081" s="1705"/>
      <c r="C1081" s="1705"/>
      <c r="D1081" s="1705"/>
      <c r="E1081" s="1705"/>
      <c r="F1081" s="1705"/>
      <c r="G1081" s="1705"/>
      <c r="H1081" s="1705"/>
      <c r="I1081" s="1705"/>
      <c r="J1081" s="1705"/>
      <c r="K1081" s="1705"/>
      <c r="L1081" s="1705"/>
      <c r="M1081" s="1705"/>
      <c r="N1081" s="1705"/>
      <c r="O1081" s="1705"/>
      <c r="P1081" s="1705"/>
      <c r="Q1081" s="1705"/>
      <c r="R1081" s="1705"/>
      <c r="S1081" s="1705"/>
      <c r="T1081" s="1705"/>
    </row>
    <row r="1082" spans="1:20" ht="12.75" customHeight="1">
      <c r="A1082" s="1705"/>
      <c r="B1082" s="1705"/>
      <c r="C1082" s="1705"/>
      <c r="D1082" s="1705"/>
      <c r="E1082" s="1705"/>
      <c r="F1082" s="1705"/>
      <c r="G1082" s="1705"/>
      <c r="H1082" s="1705"/>
      <c r="I1082" s="1705"/>
      <c r="J1082" s="1705"/>
      <c r="K1082" s="1705"/>
      <c r="L1082" s="1705"/>
      <c r="M1082" s="1705"/>
      <c r="N1082" s="1705"/>
      <c r="O1082" s="1705"/>
      <c r="P1082" s="1705"/>
      <c r="Q1082" s="1705"/>
      <c r="R1082" s="1705"/>
      <c r="S1082" s="1705"/>
      <c r="T1082" s="1705"/>
    </row>
    <row r="1083" spans="1:20" ht="12.75" customHeight="1">
      <c r="A1083" s="1705"/>
      <c r="B1083" s="1705"/>
      <c r="C1083" s="1705"/>
      <c r="D1083" s="1705"/>
      <c r="E1083" s="1705"/>
      <c r="F1083" s="1705"/>
      <c r="G1083" s="1705"/>
      <c r="H1083" s="1705"/>
      <c r="I1083" s="1705"/>
      <c r="J1083" s="1705"/>
      <c r="K1083" s="1705"/>
      <c r="L1083" s="1705"/>
      <c r="M1083" s="1705"/>
      <c r="N1083" s="1705"/>
      <c r="O1083" s="1705"/>
      <c r="P1083" s="1705"/>
      <c r="Q1083" s="1705"/>
      <c r="R1083" s="1705"/>
      <c r="S1083" s="1705"/>
      <c r="T1083" s="1705"/>
    </row>
    <row r="1084" spans="1:20" ht="12.75" customHeight="1">
      <c r="A1084" s="1705"/>
      <c r="B1084" s="1705"/>
      <c r="C1084" s="1705"/>
      <c r="D1084" s="1705"/>
      <c r="E1084" s="1705"/>
      <c r="F1084" s="1705"/>
      <c r="G1084" s="1705"/>
      <c r="H1084" s="1705"/>
      <c r="I1084" s="1705"/>
      <c r="J1084" s="1705"/>
      <c r="K1084" s="1705"/>
      <c r="L1084" s="1705"/>
      <c r="M1084" s="1705"/>
      <c r="N1084" s="1705"/>
      <c r="O1084" s="1705"/>
      <c r="P1084" s="1705"/>
      <c r="Q1084" s="1705"/>
      <c r="R1084" s="1705"/>
      <c r="S1084" s="1705"/>
      <c r="T1084" s="1705"/>
    </row>
    <row r="1085" spans="1:20" ht="12.75" customHeight="1">
      <c r="A1085" s="1705"/>
      <c r="B1085" s="1705"/>
      <c r="C1085" s="1705"/>
      <c r="D1085" s="1705"/>
      <c r="E1085" s="1705"/>
      <c r="F1085" s="1705"/>
      <c r="G1085" s="1705"/>
      <c r="H1085" s="1705"/>
      <c r="I1085" s="1705"/>
      <c r="J1085" s="1705"/>
      <c r="K1085" s="1705"/>
      <c r="L1085" s="1705"/>
      <c r="M1085" s="1705"/>
      <c r="N1085" s="1705"/>
      <c r="O1085" s="1705"/>
      <c r="P1085" s="1705"/>
      <c r="Q1085" s="1705"/>
      <c r="R1085" s="1705"/>
      <c r="S1085" s="1705"/>
      <c r="T1085" s="1705"/>
    </row>
    <row r="1086" spans="1:20" ht="12.75" customHeight="1">
      <c r="A1086" s="1705"/>
      <c r="B1086" s="1705"/>
      <c r="C1086" s="1705"/>
      <c r="D1086" s="1705"/>
      <c r="E1086" s="1705"/>
      <c r="F1086" s="1705"/>
      <c r="G1086" s="1705"/>
      <c r="H1086" s="1705"/>
      <c r="I1086" s="1705"/>
      <c r="J1086" s="1705"/>
      <c r="K1086" s="1705"/>
      <c r="L1086" s="1705"/>
      <c r="M1086" s="1705"/>
      <c r="N1086" s="1705"/>
      <c r="O1086" s="1705"/>
      <c r="P1086" s="1705"/>
      <c r="Q1086" s="1705"/>
      <c r="R1086" s="1705"/>
      <c r="S1086" s="1705"/>
      <c r="T1086" s="1705"/>
    </row>
    <row r="1087" spans="1:20" ht="12.75" customHeight="1">
      <c r="A1087" s="1705"/>
      <c r="B1087" s="1705"/>
      <c r="C1087" s="1705"/>
      <c r="D1087" s="1705"/>
      <c r="E1087" s="1705"/>
      <c r="F1087" s="1705"/>
      <c r="G1087" s="1705"/>
      <c r="H1087" s="1705"/>
      <c r="I1087" s="1705"/>
      <c r="J1087" s="1705"/>
      <c r="K1087" s="1705"/>
      <c r="L1087" s="1705"/>
      <c r="M1087" s="1705"/>
      <c r="N1087" s="1705"/>
      <c r="O1087" s="1705"/>
      <c r="P1087" s="1705"/>
      <c r="Q1087" s="1705"/>
      <c r="R1087" s="1705"/>
      <c r="S1087" s="1705"/>
      <c r="T1087" s="1705"/>
    </row>
    <row r="1088" spans="1:20" ht="12.75" customHeight="1">
      <c r="A1088" s="1705"/>
      <c r="B1088" s="1705"/>
      <c r="C1088" s="1705"/>
      <c r="D1088" s="1705"/>
      <c r="E1088" s="1705"/>
      <c r="F1088" s="1705"/>
      <c r="G1088" s="1705"/>
      <c r="H1088" s="1705"/>
      <c r="I1088" s="1705"/>
      <c r="J1088" s="1705"/>
      <c r="K1088" s="1705"/>
      <c r="L1088" s="1705"/>
      <c r="M1088" s="1705"/>
      <c r="N1088" s="1705"/>
      <c r="O1088" s="1705"/>
      <c r="P1088" s="1705"/>
      <c r="Q1088" s="1705"/>
      <c r="R1088" s="1705"/>
      <c r="S1088" s="1705"/>
      <c r="T1088" s="1705"/>
    </row>
    <row r="1089" spans="1:20" ht="12.75" customHeight="1">
      <c r="A1089" s="1705"/>
      <c r="B1089" s="1705"/>
      <c r="C1089" s="1705"/>
      <c r="D1089" s="1705"/>
      <c r="E1089" s="1705"/>
      <c r="F1089" s="1705"/>
      <c r="G1089" s="1705"/>
      <c r="H1089" s="1705"/>
      <c r="I1089" s="1705"/>
      <c r="J1089" s="1705"/>
      <c r="K1089" s="1705"/>
      <c r="L1089" s="1705"/>
      <c r="M1089" s="1705"/>
      <c r="N1089" s="1705"/>
      <c r="O1089" s="1705"/>
      <c r="P1089" s="1705"/>
      <c r="Q1089" s="1705"/>
      <c r="R1089" s="1705"/>
      <c r="S1089" s="1705"/>
      <c r="T1089" s="1705"/>
    </row>
    <row r="1090" spans="1:20" ht="12.75" customHeight="1">
      <c r="A1090" s="1705"/>
      <c r="B1090" s="1705"/>
      <c r="C1090" s="1705"/>
      <c r="D1090" s="1705"/>
      <c r="E1090" s="1705"/>
      <c r="F1090" s="1705"/>
      <c r="G1090" s="1705"/>
      <c r="H1090" s="1705"/>
      <c r="I1090" s="1705"/>
      <c r="J1090" s="1705"/>
      <c r="K1090" s="1705"/>
      <c r="L1090" s="1705"/>
      <c r="M1090" s="1705"/>
      <c r="N1090" s="1705"/>
      <c r="O1090" s="1705"/>
      <c r="P1090" s="1705"/>
      <c r="Q1090" s="1705"/>
      <c r="R1090" s="1705"/>
      <c r="S1090" s="1705"/>
      <c r="T1090" s="1705"/>
    </row>
    <row r="1091" spans="1:20" ht="12.75" customHeight="1">
      <c r="A1091" s="1705"/>
      <c r="B1091" s="1705"/>
      <c r="C1091" s="1705"/>
      <c r="D1091" s="1705"/>
      <c r="E1091" s="1705"/>
      <c r="F1091" s="1705"/>
      <c r="G1091" s="1705"/>
      <c r="H1091" s="1705"/>
      <c r="I1091" s="1705"/>
      <c r="J1091" s="1705"/>
      <c r="K1091" s="1705"/>
      <c r="L1091" s="1705"/>
      <c r="M1091" s="1705"/>
      <c r="N1091" s="1705"/>
      <c r="O1091" s="1705"/>
      <c r="P1091" s="1705"/>
      <c r="Q1091" s="1705"/>
      <c r="R1091" s="1705"/>
      <c r="S1091" s="1705"/>
      <c r="T1091" s="1705"/>
    </row>
    <row r="1092" spans="1:20" ht="12.75" customHeight="1">
      <c r="A1092" s="1705"/>
      <c r="B1092" s="1705"/>
      <c r="C1092" s="1705"/>
      <c r="D1092" s="1705"/>
      <c r="E1092" s="1705"/>
      <c r="F1092" s="1705"/>
      <c r="G1092" s="1705"/>
      <c r="H1092" s="1705"/>
      <c r="I1092" s="1705"/>
      <c r="J1092" s="1705"/>
      <c r="K1092" s="1705"/>
      <c r="L1092" s="1705"/>
      <c r="M1092" s="1705"/>
      <c r="N1092" s="1705"/>
      <c r="O1092" s="1705"/>
      <c r="P1092" s="1705"/>
      <c r="Q1092" s="1705"/>
      <c r="R1092" s="1705"/>
      <c r="S1092" s="1705"/>
      <c r="T1092" s="1705"/>
    </row>
    <row r="1093" spans="1:20" ht="12.75" customHeight="1">
      <c r="A1093" s="1705"/>
      <c r="B1093" s="1705"/>
      <c r="C1093" s="1705"/>
      <c r="D1093" s="1705"/>
      <c r="E1093" s="1705"/>
      <c r="F1093" s="1705"/>
      <c r="G1093" s="1705"/>
      <c r="H1093" s="1705"/>
      <c r="I1093" s="1705"/>
      <c r="J1093" s="1705"/>
      <c r="K1093" s="1705"/>
      <c r="L1093" s="1705"/>
      <c r="M1093" s="1705"/>
      <c r="N1093" s="1705"/>
      <c r="O1093" s="1705"/>
      <c r="P1093" s="1705"/>
      <c r="Q1093" s="1705"/>
      <c r="R1093" s="1705"/>
      <c r="S1093" s="1705"/>
      <c r="T1093" s="1705"/>
    </row>
    <row r="1094" spans="1:20" ht="12.75" customHeight="1">
      <c r="A1094" s="1705"/>
      <c r="B1094" s="1705"/>
      <c r="C1094" s="1705"/>
      <c r="D1094" s="1705"/>
      <c r="E1094" s="1705"/>
      <c r="F1094" s="1705"/>
      <c r="G1094" s="1705"/>
      <c r="H1094" s="1705"/>
      <c r="I1094" s="1705"/>
      <c r="J1094" s="1705"/>
      <c r="K1094" s="1705"/>
      <c r="L1094" s="1705"/>
      <c r="M1094" s="1705"/>
      <c r="N1094" s="1705"/>
      <c r="O1094" s="1705"/>
      <c r="P1094" s="1705"/>
      <c r="Q1094" s="1705"/>
      <c r="R1094" s="1705"/>
      <c r="S1094" s="1705"/>
      <c r="T1094" s="1705"/>
    </row>
    <row r="1095" spans="1:20" ht="12.75" customHeight="1">
      <c r="A1095" s="1705"/>
      <c r="B1095" s="1705"/>
      <c r="C1095" s="1705"/>
      <c r="D1095" s="1705"/>
      <c r="E1095" s="1705"/>
      <c r="F1095" s="1705"/>
      <c r="G1095" s="1705"/>
      <c r="H1095" s="1705"/>
      <c r="I1095" s="1705"/>
      <c r="J1095" s="1705"/>
      <c r="K1095" s="1705"/>
      <c r="L1095" s="1705"/>
      <c r="M1095" s="1705"/>
      <c r="N1095" s="1705"/>
      <c r="O1095" s="1705"/>
      <c r="P1095" s="1705"/>
      <c r="Q1095" s="1705"/>
      <c r="R1095" s="1705"/>
      <c r="S1095" s="1705"/>
      <c r="T1095" s="1705"/>
    </row>
    <row r="1096" spans="1:20" ht="12.75" customHeight="1">
      <c r="A1096" s="1705"/>
      <c r="B1096" s="1705"/>
      <c r="C1096" s="1705"/>
      <c r="D1096" s="1705"/>
      <c r="E1096" s="1705"/>
      <c r="F1096" s="1705"/>
      <c r="G1096" s="1705"/>
      <c r="H1096" s="1705"/>
      <c r="I1096" s="1705"/>
      <c r="J1096" s="1705"/>
      <c r="K1096" s="1705"/>
      <c r="L1096" s="1705"/>
      <c r="M1096" s="1705"/>
      <c r="N1096" s="1705"/>
      <c r="O1096" s="1705"/>
      <c r="P1096" s="1705"/>
      <c r="Q1096" s="1705"/>
      <c r="R1096" s="1705"/>
      <c r="S1096" s="1705"/>
      <c r="T1096" s="1705"/>
    </row>
    <row r="1097" spans="1:20" ht="12.75" customHeight="1">
      <c r="A1097" s="1705"/>
      <c r="B1097" s="1705"/>
      <c r="C1097" s="1705"/>
      <c r="D1097" s="1705"/>
      <c r="E1097" s="1705"/>
      <c r="F1097" s="1705"/>
      <c r="G1097" s="1705"/>
      <c r="H1097" s="1705"/>
      <c r="I1097" s="1705"/>
      <c r="J1097" s="1705"/>
      <c r="K1097" s="1705"/>
      <c r="L1097" s="1705"/>
      <c r="M1097" s="1705"/>
      <c r="N1097" s="1705"/>
      <c r="O1097" s="1705"/>
      <c r="P1097" s="1705"/>
      <c r="Q1097" s="1705"/>
      <c r="R1097" s="1705"/>
      <c r="S1097" s="1705"/>
      <c r="T1097" s="1705"/>
    </row>
    <row r="1098" spans="1:20" ht="12.75" customHeight="1">
      <c r="A1098" s="1705"/>
      <c r="B1098" s="1705"/>
      <c r="C1098" s="1705"/>
      <c r="D1098" s="1705"/>
      <c r="E1098" s="1705"/>
      <c r="F1098" s="1705"/>
      <c r="G1098" s="1705"/>
      <c r="H1098" s="1705"/>
      <c r="I1098" s="1705"/>
      <c r="J1098" s="1705"/>
      <c r="K1098" s="1705"/>
      <c r="L1098" s="1705"/>
      <c r="M1098" s="1705"/>
      <c r="N1098" s="1705"/>
      <c r="O1098" s="1705"/>
      <c r="P1098" s="1705"/>
      <c r="Q1098" s="1705"/>
      <c r="R1098" s="1705"/>
      <c r="S1098" s="1705"/>
      <c r="T1098" s="1705"/>
    </row>
    <row r="1099" spans="1:20" ht="12.75" customHeight="1">
      <c r="A1099" s="1705"/>
      <c r="B1099" s="1705"/>
      <c r="C1099" s="1705"/>
      <c r="D1099" s="1705"/>
      <c r="E1099" s="1705"/>
      <c r="F1099" s="1705"/>
      <c r="G1099" s="1705"/>
      <c r="H1099" s="1705"/>
      <c r="I1099" s="1705"/>
      <c r="J1099" s="1705"/>
      <c r="K1099" s="1705"/>
      <c r="L1099" s="1705"/>
      <c r="M1099" s="1705"/>
      <c r="N1099" s="1705"/>
      <c r="O1099" s="1705"/>
      <c r="P1099" s="1705"/>
      <c r="Q1099" s="1705"/>
      <c r="R1099" s="1705"/>
      <c r="S1099" s="1705"/>
      <c r="T1099" s="1705"/>
    </row>
    <row r="1100" spans="1:20" ht="12.75" customHeight="1">
      <c r="A1100" s="1705"/>
      <c r="B1100" s="1705"/>
      <c r="C1100" s="1705"/>
      <c r="D1100" s="1705"/>
      <c r="E1100" s="1705"/>
      <c r="F1100" s="1705"/>
      <c r="G1100" s="1705"/>
      <c r="H1100" s="1705"/>
      <c r="I1100" s="1705"/>
      <c r="J1100" s="1705"/>
      <c r="K1100" s="1705"/>
      <c r="L1100" s="1705"/>
      <c r="M1100" s="1705"/>
      <c r="N1100" s="1705"/>
      <c r="O1100" s="1705"/>
      <c r="P1100" s="1705"/>
      <c r="Q1100" s="1705"/>
      <c r="R1100" s="1705"/>
      <c r="S1100" s="1705"/>
      <c r="T1100" s="1705"/>
    </row>
    <row r="1101" spans="1:20" ht="12.75" customHeight="1">
      <c r="A1101" s="1705"/>
      <c r="B1101" s="1705"/>
      <c r="C1101" s="1705"/>
      <c r="D1101" s="1705"/>
      <c r="E1101" s="1705"/>
      <c r="F1101" s="1705"/>
      <c r="G1101" s="1705"/>
      <c r="H1101" s="1705"/>
      <c r="I1101" s="1705"/>
      <c r="J1101" s="1705"/>
      <c r="K1101" s="1705"/>
      <c r="L1101" s="1705"/>
      <c r="M1101" s="1705"/>
      <c r="N1101" s="1705"/>
      <c r="O1101" s="1705"/>
      <c r="P1101" s="1705"/>
      <c r="Q1101" s="1705"/>
      <c r="R1101" s="1705"/>
      <c r="S1101" s="1705"/>
      <c r="T1101" s="1705"/>
    </row>
    <row r="1102" spans="1:20" ht="12.75" customHeight="1">
      <c r="A1102" s="1705"/>
      <c r="B1102" s="1705"/>
      <c r="C1102" s="1705"/>
      <c r="D1102" s="1705"/>
      <c r="E1102" s="1705"/>
      <c r="F1102" s="1705"/>
      <c r="G1102" s="1705"/>
      <c r="H1102" s="1705"/>
      <c r="I1102" s="1705"/>
      <c r="J1102" s="1705"/>
      <c r="K1102" s="1705"/>
      <c r="L1102" s="1705"/>
      <c r="M1102" s="1705"/>
      <c r="N1102" s="1705"/>
      <c r="O1102" s="1705"/>
      <c r="P1102" s="1705"/>
      <c r="Q1102" s="1705"/>
      <c r="R1102" s="1705"/>
      <c r="S1102" s="1705"/>
      <c r="T1102" s="1705"/>
    </row>
    <row r="1103" spans="1:20" ht="12.75" customHeight="1">
      <c r="A1103" s="1705"/>
      <c r="B1103" s="1705"/>
      <c r="C1103" s="1705"/>
      <c r="D1103" s="1705"/>
      <c r="E1103" s="1705"/>
      <c r="F1103" s="1705"/>
      <c r="G1103" s="1705"/>
      <c r="H1103" s="1705"/>
      <c r="I1103" s="1705"/>
      <c r="J1103" s="1705"/>
      <c r="K1103" s="1705"/>
      <c r="L1103" s="1705"/>
      <c r="M1103" s="1705"/>
      <c r="N1103" s="1705"/>
      <c r="O1103" s="1705"/>
      <c r="P1103" s="1705"/>
      <c r="Q1103" s="1705"/>
      <c r="R1103" s="1705"/>
      <c r="S1103" s="1705"/>
      <c r="T1103" s="1705"/>
    </row>
    <row r="1104" spans="1:20" ht="12.75" customHeight="1">
      <c r="A1104" s="1705"/>
      <c r="B1104" s="1705"/>
      <c r="C1104" s="1705"/>
      <c r="D1104" s="1705"/>
      <c r="E1104" s="1705"/>
      <c r="F1104" s="1705"/>
      <c r="G1104" s="1705"/>
      <c r="H1104" s="1705"/>
      <c r="I1104" s="1705"/>
      <c r="J1104" s="1705"/>
      <c r="K1104" s="1705"/>
      <c r="L1104" s="1705"/>
      <c r="M1104" s="1705"/>
      <c r="N1104" s="1705"/>
      <c r="O1104" s="1705"/>
      <c r="P1104" s="1705"/>
      <c r="Q1104" s="1705"/>
      <c r="R1104" s="1705"/>
      <c r="S1104" s="1705"/>
      <c r="T1104" s="1705"/>
    </row>
    <row r="1105" spans="1:20" ht="12.75" customHeight="1">
      <c r="A1105" s="1705"/>
      <c r="B1105" s="1705"/>
      <c r="C1105" s="1705"/>
      <c r="D1105" s="1705"/>
      <c r="E1105" s="1705"/>
      <c r="F1105" s="1705"/>
      <c r="G1105" s="1705"/>
      <c r="H1105" s="1705"/>
      <c r="I1105" s="1705"/>
      <c r="J1105" s="1705"/>
      <c r="K1105" s="1705"/>
      <c r="L1105" s="1705"/>
      <c r="M1105" s="1705"/>
      <c r="N1105" s="1705"/>
      <c r="O1105" s="1705"/>
      <c r="P1105" s="1705"/>
      <c r="Q1105" s="1705"/>
      <c r="R1105" s="1705"/>
      <c r="S1105" s="1705"/>
      <c r="T1105" s="1705"/>
    </row>
    <row r="1106" spans="1:20" ht="12.75" customHeight="1">
      <c r="A1106" s="1705"/>
      <c r="B1106" s="1705"/>
      <c r="C1106" s="1705"/>
      <c r="D1106" s="1705"/>
      <c r="E1106" s="1705"/>
      <c r="F1106" s="1705"/>
      <c r="G1106" s="1705"/>
      <c r="H1106" s="1705"/>
      <c r="I1106" s="1705"/>
      <c r="J1106" s="1705"/>
      <c r="K1106" s="1705"/>
      <c r="L1106" s="1705"/>
      <c r="M1106" s="1705"/>
      <c r="N1106" s="1705"/>
      <c r="O1106" s="1705"/>
      <c r="P1106" s="1705"/>
      <c r="Q1106" s="1705"/>
      <c r="R1106" s="1705"/>
      <c r="S1106" s="1705"/>
      <c r="T1106" s="1705"/>
    </row>
    <row r="1107" spans="1:20" ht="12.75" customHeight="1">
      <c r="A1107" s="1705"/>
      <c r="B1107" s="1705"/>
      <c r="C1107" s="1705"/>
      <c r="D1107" s="1705"/>
      <c r="E1107" s="1705"/>
      <c r="F1107" s="1705"/>
      <c r="G1107" s="1705"/>
      <c r="H1107" s="1705"/>
      <c r="I1107" s="1705"/>
      <c r="J1107" s="1705"/>
      <c r="K1107" s="1705"/>
      <c r="L1107" s="1705"/>
      <c r="M1107" s="1705"/>
      <c r="N1107" s="1705"/>
      <c r="O1107" s="1705"/>
      <c r="P1107" s="1705"/>
      <c r="Q1107" s="1705"/>
      <c r="R1107" s="1705"/>
      <c r="S1107" s="1705"/>
      <c r="T1107" s="1705"/>
    </row>
    <row r="1108" spans="1:20" ht="12.75" customHeight="1">
      <c r="A1108" s="1705"/>
      <c r="B1108" s="1705"/>
      <c r="C1108" s="1705"/>
      <c r="D1108" s="1705"/>
      <c r="E1108" s="1705"/>
      <c r="F1108" s="1705"/>
      <c r="G1108" s="1705"/>
      <c r="H1108" s="1705"/>
      <c r="I1108" s="1705"/>
      <c r="J1108" s="1705"/>
      <c r="K1108" s="1705"/>
      <c r="L1108" s="1705"/>
      <c r="M1108" s="1705"/>
      <c r="N1108" s="1705"/>
      <c r="O1108" s="1705"/>
      <c r="P1108" s="1705"/>
      <c r="Q1108" s="1705"/>
      <c r="R1108" s="1705"/>
      <c r="S1108" s="1705"/>
      <c r="T1108" s="1705"/>
    </row>
    <row r="1109" spans="1:20" ht="12.75" customHeight="1">
      <c r="A1109" s="1705"/>
      <c r="B1109" s="1705"/>
      <c r="C1109" s="1705"/>
      <c r="D1109" s="1705"/>
      <c r="E1109" s="1705"/>
      <c r="F1109" s="1705"/>
      <c r="G1109" s="1705"/>
      <c r="H1109" s="1705"/>
      <c r="I1109" s="1705"/>
      <c r="J1109" s="1705"/>
      <c r="K1109" s="1705"/>
      <c r="L1109" s="1705"/>
      <c r="M1109" s="1705"/>
      <c r="N1109" s="1705"/>
      <c r="O1109" s="1705"/>
      <c r="P1109" s="1705"/>
      <c r="Q1109" s="1705"/>
      <c r="R1109" s="1705"/>
      <c r="S1109" s="1705"/>
      <c r="T1109" s="1705"/>
    </row>
    <row r="1110" spans="1:20" ht="12.75" customHeight="1">
      <c r="A1110" s="1705"/>
      <c r="B1110" s="1705"/>
      <c r="C1110" s="1705"/>
      <c r="D1110" s="1705"/>
      <c r="E1110" s="1705"/>
      <c r="F1110" s="1705"/>
      <c r="G1110" s="1705"/>
      <c r="H1110" s="1705"/>
      <c r="I1110" s="1705"/>
      <c r="J1110" s="1705"/>
      <c r="K1110" s="1705"/>
      <c r="L1110" s="1705"/>
      <c r="M1110" s="1705"/>
      <c r="N1110" s="1705"/>
      <c r="O1110" s="1705"/>
      <c r="P1110" s="1705"/>
      <c r="Q1110" s="1705"/>
      <c r="R1110" s="1705"/>
      <c r="S1110" s="1705"/>
      <c r="T1110" s="1705"/>
    </row>
    <row r="1111" spans="1:20" ht="12.75" customHeight="1">
      <c r="A1111" s="1705"/>
      <c r="B1111" s="1705"/>
      <c r="C1111" s="1705"/>
      <c r="D1111" s="1705"/>
      <c r="E1111" s="1705"/>
      <c r="F1111" s="1705"/>
      <c r="G1111" s="1705"/>
      <c r="H1111" s="1705"/>
      <c r="I1111" s="1705"/>
      <c r="J1111" s="1705"/>
      <c r="K1111" s="1705"/>
      <c r="L1111" s="1705"/>
      <c r="M1111" s="1705"/>
      <c r="N1111" s="1705"/>
      <c r="O1111" s="1705"/>
      <c r="P1111" s="1705"/>
      <c r="Q1111" s="1705"/>
      <c r="R1111" s="1705"/>
      <c r="S1111" s="1705"/>
      <c r="T1111" s="1705"/>
    </row>
    <row r="1112" spans="1:20" ht="12.75" customHeight="1">
      <c r="A1112" s="1705"/>
      <c r="B1112" s="1705"/>
      <c r="C1112" s="1705"/>
      <c r="D1112" s="1705"/>
      <c r="E1112" s="1705"/>
      <c r="F1112" s="1705"/>
      <c r="G1112" s="1705"/>
      <c r="H1112" s="1705"/>
      <c r="I1112" s="1705"/>
      <c r="J1112" s="1705"/>
      <c r="K1112" s="1705"/>
      <c r="L1112" s="1705"/>
      <c r="M1112" s="1705"/>
      <c r="N1112" s="1705"/>
      <c r="O1112" s="1705"/>
      <c r="P1112" s="1705"/>
      <c r="Q1112" s="1705"/>
      <c r="R1112" s="1705"/>
      <c r="S1112" s="1705"/>
      <c r="T1112" s="1705"/>
    </row>
    <row r="1113" spans="1:20" ht="12.75" customHeight="1">
      <c r="A1113" s="1705"/>
      <c r="B1113" s="1705"/>
      <c r="C1113" s="1705"/>
      <c r="D1113" s="1705"/>
      <c r="E1113" s="1705"/>
      <c r="F1113" s="1705"/>
      <c r="G1113" s="1705"/>
      <c r="H1113" s="1705"/>
      <c r="I1113" s="1705"/>
      <c r="J1113" s="1705"/>
      <c r="K1113" s="1705"/>
      <c r="L1113" s="1705"/>
      <c r="M1113" s="1705"/>
      <c r="N1113" s="1705"/>
      <c r="O1113" s="1705"/>
      <c r="P1113" s="1705"/>
      <c r="Q1113" s="1705"/>
      <c r="R1113" s="1705"/>
      <c r="S1113" s="1705"/>
      <c r="T1113" s="1705"/>
    </row>
    <row r="1114" spans="1:20" ht="12.75" customHeight="1">
      <c r="A1114" s="1705"/>
      <c r="B1114" s="1705"/>
      <c r="C1114" s="1705"/>
      <c r="D1114" s="1705"/>
      <c r="E1114" s="1705"/>
      <c r="F1114" s="1705"/>
      <c r="G1114" s="1705"/>
      <c r="H1114" s="1705"/>
      <c r="I1114" s="1705"/>
      <c r="J1114" s="1705"/>
      <c r="K1114" s="1705"/>
      <c r="L1114" s="1705"/>
      <c r="M1114" s="1705"/>
      <c r="N1114" s="1705"/>
      <c r="O1114" s="1705"/>
      <c r="P1114" s="1705"/>
      <c r="Q1114" s="1705"/>
      <c r="R1114" s="1705"/>
      <c r="S1114" s="1705"/>
      <c r="T1114" s="1705"/>
    </row>
    <row r="1115" spans="1:20" ht="12.75" customHeight="1">
      <c r="A1115" s="1705"/>
      <c r="B1115" s="1705"/>
      <c r="C1115" s="1705"/>
      <c r="D1115" s="1705"/>
      <c r="E1115" s="1705"/>
      <c r="F1115" s="1705"/>
      <c r="G1115" s="1705"/>
      <c r="H1115" s="1705"/>
      <c r="I1115" s="1705"/>
      <c r="J1115" s="1705"/>
      <c r="K1115" s="1705"/>
      <c r="L1115" s="1705"/>
      <c r="M1115" s="1705"/>
      <c r="N1115" s="1705"/>
      <c r="O1115" s="1705"/>
      <c r="P1115" s="1705"/>
      <c r="Q1115" s="1705"/>
      <c r="R1115" s="1705"/>
      <c r="S1115" s="1705"/>
      <c r="T1115" s="1705"/>
    </row>
    <row r="1116" spans="1:20" ht="12.75" customHeight="1">
      <c r="A1116" s="1705"/>
      <c r="B1116" s="1705"/>
      <c r="C1116" s="1705"/>
      <c r="D1116" s="1705"/>
      <c r="E1116" s="1705"/>
      <c r="F1116" s="1705"/>
      <c r="G1116" s="1705"/>
      <c r="H1116" s="1705"/>
      <c r="I1116" s="1705"/>
      <c r="J1116" s="1705"/>
      <c r="K1116" s="1705"/>
      <c r="L1116" s="1705"/>
      <c r="M1116" s="1705"/>
      <c r="N1116" s="1705"/>
      <c r="O1116" s="1705"/>
      <c r="P1116" s="1705"/>
      <c r="Q1116" s="1705"/>
      <c r="R1116" s="1705"/>
      <c r="S1116" s="1705"/>
      <c r="T1116" s="1705"/>
    </row>
    <row r="1117" spans="1:20" ht="12.75" customHeight="1">
      <c r="A1117" s="1705"/>
      <c r="B1117" s="1705"/>
      <c r="C1117" s="1705"/>
      <c r="D1117" s="1705"/>
      <c r="E1117" s="1705"/>
      <c r="F1117" s="1705"/>
      <c r="G1117" s="1705"/>
      <c r="H1117" s="1705"/>
      <c r="I1117" s="1705"/>
      <c r="J1117" s="1705"/>
      <c r="K1117" s="1705"/>
      <c r="L1117" s="1705"/>
      <c r="M1117" s="1705"/>
      <c r="N1117" s="1705"/>
      <c r="O1117" s="1705"/>
      <c r="P1117" s="1705"/>
      <c r="Q1117" s="1705"/>
      <c r="R1117" s="1705"/>
      <c r="S1117" s="1705"/>
      <c r="T1117" s="1705"/>
    </row>
    <row r="1118" spans="1:20" ht="12.75" customHeight="1">
      <c r="A1118" s="1705"/>
      <c r="B1118" s="1705"/>
      <c r="C1118" s="1705"/>
      <c r="D1118" s="1705"/>
      <c r="E1118" s="1705"/>
      <c r="F1118" s="1705"/>
      <c r="G1118" s="1705"/>
      <c r="H1118" s="1705"/>
      <c r="I1118" s="1705"/>
      <c r="J1118" s="1705"/>
      <c r="K1118" s="1705"/>
      <c r="L1118" s="1705"/>
      <c r="M1118" s="1705"/>
      <c r="N1118" s="1705"/>
      <c r="O1118" s="1705"/>
      <c r="P1118" s="1705"/>
      <c r="Q1118" s="1705"/>
      <c r="R1118" s="1705"/>
      <c r="S1118" s="1705"/>
      <c r="T1118" s="1705"/>
    </row>
    <row r="1119" spans="1:20" ht="12.75" customHeight="1">
      <c r="A1119" s="1705"/>
      <c r="B1119" s="1705"/>
      <c r="C1119" s="1705"/>
      <c r="D1119" s="1705"/>
      <c r="E1119" s="1705"/>
      <c r="F1119" s="1705"/>
      <c r="G1119" s="1705"/>
      <c r="H1119" s="1705"/>
      <c r="I1119" s="1705"/>
      <c r="J1119" s="1705"/>
      <c r="K1119" s="1705"/>
      <c r="L1119" s="1705"/>
      <c r="M1119" s="1705"/>
      <c r="N1119" s="1705"/>
      <c r="O1119" s="1705"/>
      <c r="P1119" s="1705"/>
      <c r="Q1119" s="1705"/>
      <c r="R1119" s="1705"/>
      <c r="S1119" s="1705"/>
      <c r="T1119" s="1705"/>
    </row>
    <row r="1120" spans="1:20" ht="12.75" customHeight="1">
      <c r="A1120" s="1705"/>
      <c r="B1120" s="1705"/>
      <c r="C1120" s="1705"/>
      <c r="D1120" s="1705"/>
      <c r="E1120" s="1705"/>
      <c r="F1120" s="1705"/>
      <c r="G1120" s="1705"/>
      <c r="H1120" s="1705"/>
      <c r="I1120" s="1705"/>
      <c r="J1120" s="1705"/>
      <c r="K1120" s="1705"/>
      <c r="L1120" s="1705"/>
      <c r="M1120" s="1705"/>
      <c r="N1120" s="1705"/>
      <c r="O1120" s="1705"/>
      <c r="P1120" s="1705"/>
      <c r="Q1120" s="1705"/>
      <c r="R1120" s="1705"/>
      <c r="S1120" s="1705"/>
      <c r="T1120" s="1705"/>
    </row>
    <row r="1121" spans="1:20" ht="12.75" customHeight="1">
      <c r="A1121" s="1705"/>
      <c r="B1121" s="1705"/>
      <c r="C1121" s="1705"/>
      <c r="D1121" s="1705"/>
      <c r="E1121" s="1705"/>
      <c r="F1121" s="1705"/>
      <c r="G1121" s="1705"/>
      <c r="H1121" s="1705"/>
      <c r="I1121" s="1705"/>
      <c r="J1121" s="1705"/>
      <c r="K1121" s="1705"/>
      <c r="L1121" s="1705"/>
      <c r="M1121" s="1705"/>
      <c r="N1121" s="1705"/>
      <c r="O1121" s="1705"/>
      <c r="P1121" s="1705"/>
      <c r="Q1121" s="1705"/>
      <c r="R1121" s="1705"/>
      <c r="S1121" s="1705"/>
      <c r="T1121" s="1705"/>
    </row>
    <row r="1122" spans="1:20" ht="12.75" customHeight="1">
      <c r="A1122" s="1705"/>
      <c r="B1122" s="1705"/>
      <c r="C1122" s="1705"/>
      <c r="D1122" s="1705"/>
      <c r="E1122" s="1705"/>
      <c r="F1122" s="1705"/>
      <c r="G1122" s="1705"/>
      <c r="H1122" s="1705"/>
      <c r="I1122" s="1705"/>
      <c r="J1122" s="1705"/>
      <c r="K1122" s="1705"/>
      <c r="L1122" s="1705"/>
      <c r="M1122" s="1705"/>
      <c r="N1122" s="1705"/>
      <c r="O1122" s="1705"/>
      <c r="P1122" s="1705"/>
      <c r="Q1122" s="1705"/>
      <c r="R1122" s="1705"/>
      <c r="S1122" s="1705"/>
      <c r="T1122" s="1705"/>
    </row>
    <row r="1123" spans="1:20" ht="12.75" customHeight="1">
      <c r="A1123" s="1705"/>
      <c r="B1123" s="1705"/>
      <c r="C1123" s="1705"/>
      <c r="D1123" s="1705"/>
      <c r="E1123" s="1705"/>
      <c r="F1123" s="1705"/>
      <c r="G1123" s="1705"/>
      <c r="H1123" s="1705"/>
      <c r="I1123" s="1705"/>
      <c r="J1123" s="1705"/>
      <c r="K1123" s="1705"/>
      <c r="L1123" s="1705"/>
      <c r="M1123" s="1705"/>
      <c r="N1123" s="1705"/>
      <c r="O1123" s="1705"/>
      <c r="P1123" s="1705"/>
      <c r="Q1123" s="1705"/>
      <c r="R1123" s="1705"/>
      <c r="S1123" s="1705"/>
      <c r="T1123" s="1705"/>
    </row>
    <row r="1124" spans="1:20" ht="12.75" customHeight="1">
      <c r="A1124" s="1705"/>
      <c r="B1124" s="1705"/>
      <c r="C1124" s="1705"/>
      <c r="D1124" s="1705"/>
      <c r="E1124" s="1705"/>
      <c r="F1124" s="1705"/>
      <c r="G1124" s="1705"/>
      <c r="H1124" s="1705"/>
      <c r="I1124" s="1705"/>
      <c r="J1124" s="1705"/>
      <c r="K1124" s="1705"/>
      <c r="L1124" s="1705"/>
      <c r="M1124" s="1705"/>
      <c r="N1124" s="1705"/>
      <c r="O1124" s="1705"/>
      <c r="P1124" s="1705"/>
      <c r="Q1124" s="1705"/>
      <c r="R1124" s="1705"/>
      <c r="S1124" s="1705"/>
      <c r="T1124" s="1705"/>
    </row>
    <row r="1125" spans="1:20" ht="12.75" customHeight="1">
      <c r="A1125" s="1705"/>
      <c r="B1125" s="1705"/>
      <c r="C1125" s="1705"/>
      <c r="D1125" s="1705"/>
      <c r="E1125" s="1705"/>
      <c r="F1125" s="1705"/>
      <c r="G1125" s="1705"/>
      <c r="H1125" s="1705"/>
      <c r="I1125" s="1705"/>
      <c r="J1125" s="1705"/>
      <c r="K1125" s="1705"/>
      <c r="L1125" s="1705"/>
      <c r="M1125" s="1705"/>
      <c r="N1125" s="1705"/>
      <c r="O1125" s="1705"/>
      <c r="P1125" s="1705"/>
      <c r="Q1125" s="1705"/>
      <c r="R1125" s="1705"/>
      <c r="S1125" s="1705"/>
      <c r="T1125" s="1705"/>
    </row>
    <row r="1126" spans="1:20" ht="12.75" customHeight="1">
      <c r="A1126" s="1705"/>
      <c r="B1126" s="1705"/>
      <c r="C1126" s="1705"/>
      <c r="D1126" s="1705"/>
      <c r="E1126" s="1705"/>
      <c r="F1126" s="1705"/>
      <c r="G1126" s="1705"/>
      <c r="H1126" s="1705"/>
      <c r="I1126" s="1705"/>
      <c r="J1126" s="1705"/>
      <c r="K1126" s="1705"/>
      <c r="L1126" s="1705"/>
      <c r="M1126" s="1705"/>
      <c r="N1126" s="1705"/>
      <c r="O1126" s="1705"/>
      <c r="P1126" s="1705"/>
      <c r="Q1126" s="1705"/>
      <c r="R1126" s="1705"/>
      <c r="S1126" s="1705"/>
      <c r="T1126" s="1705"/>
    </row>
    <row r="1127" spans="1:20" ht="12.75" customHeight="1">
      <c r="A1127" s="1705"/>
      <c r="B1127" s="1705"/>
      <c r="C1127" s="1705"/>
      <c r="D1127" s="1705"/>
      <c r="E1127" s="1705"/>
      <c r="F1127" s="1705"/>
      <c r="G1127" s="1705"/>
      <c r="H1127" s="1705"/>
      <c r="I1127" s="1705"/>
      <c r="J1127" s="1705"/>
      <c r="K1127" s="1705"/>
      <c r="L1127" s="1705"/>
      <c r="M1127" s="1705"/>
      <c r="N1127" s="1705"/>
      <c r="O1127" s="1705"/>
      <c r="P1127" s="1705"/>
      <c r="Q1127" s="1705"/>
      <c r="R1127" s="1705"/>
      <c r="S1127" s="1705"/>
      <c r="T1127" s="1705"/>
    </row>
    <row r="1128" spans="1:20" ht="12.75" customHeight="1">
      <c r="A1128" s="1705"/>
      <c r="B1128" s="1705"/>
      <c r="C1128" s="1705"/>
      <c r="D1128" s="1705"/>
      <c r="E1128" s="1705"/>
      <c r="F1128" s="1705"/>
      <c r="G1128" s="1705"/>
      <c r="H1128" s="1705"/>
      <c r="I1128" s="1705"/>
      <c r="J1128" s="1705"/>
      <c r="K1128" s="1705"/>
      <c r="L1128" s="1705"/>
      <c r="M1128" s="1705"/>
      <c r="N1128" s="1705"/>
      <c r="O1128" s="1705"/>
      <c r="P1128" s="1705"/>
      <c r="Q1128" s="1705"/>
      <c r="R1128" s="1705"/>
      <c r="S1128" s="1705"/>
      <c r="T1128" s="1705"/>
    </row>
    <row r="1129" spans="1:20" ht="12.75" customHeight="1">
      <c r="A1129" s="1705"/>
      <c r="B1129" s="1705"/>
      <c r="C1129" s="1705"/>
      <c r="D1129" s="1705"/>
      <c r="E1129" s="1705"/>
      <c r="F1129" s="1705"/>
      <c r="G1129" s="1705"/>
      <c r="H1129" s="1705"/>
      <c r="I1129" s="1705"/>
      <c r="J1129" s="1705"/>
      <c r="K1129" s="1705"/>
      <c r="L1129" s="1705"/>
      <c r="M1129" s="1705"/>
      <c r="N1129" s="1705"/>
      <c r="O1129" s="1705"/>
      <c r="P1129" s="1705"/>
      <c r="Q1129" s="1705"/>
      <c r="R1129" s="1705"/>
      <c r="S1129" s="1705"/>
      <c r="T1129" s="1705"/>
    </row>
    <row r="1130" spans="1:20" ht="12.75" customHeight="1">
      <c r="A1130" s="1705"/>
      <c r="B1130" s="1705"/>
      <c r="C1130" s="1705"/>
      <c r="D1130" s="1705"/>
      <c r="E1130" s="1705"/>
      <c r="F1130" s="1705"/>
      <c r="G1130" s="1705"/>
      <c r="H1130" s="1705"/>
      <c r="I1130" s="1705"/>
      <c r="J1130" s="1705"/>
      <c r="K1130" s="1705"/>
      <c r="L1130" s="1705"/>
      <c r="M1130" s="1705"/>
      <c r="N1130" s="1705"/>
      <c r="O1130" s="1705"/>
      <c r="P1130" s="1705"/>
      <c r="Q1130" s="1705"/>
      <c r="R1130" s="1705"/>
      <c r="S1130" s="1705"/>
      <c r="T1130" s="1705"/>
    </row>
    <row r="1131" spans="1:20" ht="12.75" customHeight="1">
      <c r="A1131" s="1705"/>
      <c r="B1131" s="1705"/>
      <c r="C1131" s="1705"/>
      <c r="D1131" s="1705"/>
      <c r="E1131" s="1705"/>
      <c r="F1131" s="1705"/>
      <c r="G1131" s="1705"/>
      <c r="H1131" s="1705"/>
      <c r="I1131" s="1705"/>
      <c r="J1131" s="1705"/>
      <c r="K1131" s="1705"/>
      <c r="L1131" s="1705"/>
      <c r="M1131" s="1705"/>
      <c r="N1131" s="1705"/>
      <c r="O1131" s="1705"/>
      <c r="P1131" s="1705"/>
      <c r="Q1131" s="1705"/>
      <c r="R1131" s="1705"/>
      <c r="S1131" s="1705"/>
      <c r="T1131" s="1705"/>
    </row>
    <row r="1132" spans="1:20" ht="12.75" customHeight="1">
      <c r="A1132" s="1705"/>
      <c r="B1132" s="1705"/>
      <c r="C1132" s="1705"/>
      <c r="D1132" s="1705"/>
      <c r="E1132" s="1705"/>
      <c r="F1132" s="1705"/>
      <c r="G1132" s="1705"/>
      <c r="H1132" s="1705"/>
      <c r="I1132" s="1705"/>
      <c r="J1132" s="1705"/>
      <c r="K1132" s="1705"/>
      <c r="L1132" s="1705"/>
      <c r="M1132" s="1705"/>
      <c r="N1132" s="1705"/>
      <c r="O1132" s="1705"/>
      <c r="P1132" s="1705"/>
      <c r="Q1132" s="1705"/>
      <c r="R1132" s="1705"/>
      <c r="S1132" s="1705"/>
      <c r="T1132" s="1705"/>
    </row>
    <row r="1133" spans="1:20" ht="12.75" customHeight="1">
      <c r="A1133" s="1705"/>
      <c r="B1133" s="1705"/>
      <c r="C1133" s="1705"/>
      <c r="D1133" s="1705"/>
      <c r="E1133" s="1705"/>
      <c r="F1133" s="1705"/>
      <c r="G1133" s="1705"/>
      <c r="H1133" s="1705"/>
      <c r="I1133" s="1705"/>
      <c r="J1133" s="1705"/>
      <c r="K1133" s="1705"/>
      <c r="L1133" s="1705"/>
      <c r="M1133" s="1705"/>
      <c r="N1133" s="1705"/>
      <c r="O1133" s="1705"/>
      <c r="P1133" s="1705"/>
      <c r="Q1133" s="1705"/>
      <c r="R1133" s="1705"/>
      <c r="S1133" s="1705"/>
      <c r="T1133" s="1705"/>
    </row>
    <row r="1134" spans="1:20" ht="12.75" customHeight="1">
      <c r="A1134" s="1705"/>
      <c r="B1134" s="1705"/>
      <c r="C1134" s="1705"/>
      <c r="D1134" s="1705"/>
      <c r="E1134" s="1705"/>
      <c r="F1134" s="1705"/>
      <c r="G1134" s="1705"/>
      <c r="H1134" s="1705"/>
      <c r="I1134" s="1705"/>
      <c r="J1134" s="1705"/>
      <c r="K1134" s="1705"/>
      <c r="L1134" s="1705"/>
      <c r="M1134" s="1705"/>
      <c r="N1134" s="1705"/>
      <c r="O1134" s="1705"/>
      <c r="P1134" s="1705"/>
      <c r="Q1134" s="1705"/>
      <c r="R1134" s="1705"/>
      <c r="S1134" s="1705"/>
      <c r="T1134" s="1705"/>
    </row>
    <row r="1135" spans="1:20" ht="12.75" customHeight="1">
      <c r="A1135" s="1705"/>
      <c r="B1135" s="1705"/>
      <c r="C1135" s="1705"/>
      <c r="D1135" s="1705"/>
      <c r="E1135" s="1705"/>
      <c r="F1135" s="1705"/>
      <c r="G1135" s="1705"/>
      <c r="H1135" s="1705"/>
      <c r="I1135" s="1705"/>
      <c r="J1135" s="1705"/>
      <c r="K1135" s="1705"/>
      <c r="L1135" s="1705"/>
      <c r="M1135" s="1705"/>
      <c r="N1135" s="1705"/>
      <c r="O1135" s="1705"/>
      <c r="P1135" s="1705"/>
      <c r="Q1135" s="1705"/>
      <c r="R1135" s="1705"/>
      <c r="S1135" s="1705"/>
      <c r="T1135" s="1705"/>
    </row>
    <row r="1136" spans="1:20" ht="12.75" customHeight="1">
      <c r="A1136" s="1705"/>
      <c r="B1136" s="1705"/>
      <c r="C1136" s="1705"/>
      <c r="D1136" s="1705"/>
      <c r="E1136" s="1705"/>
      <c r="F1136" s="1705"/>
      <c r="G1136" s="1705"/>
      <c r="H1136" s="1705"/>
      <c r="I1136" s="1705"/>
      <c r="J1136" s="1705"/>
      <c r="K1136" s="1705"/>
      <c r="L1136" s="1705"/>
      <c r="M1136" s="1705"/>
      <c r="N1136" s="1705"/>
      <c r="O1136" s="1705"/>
      <c r="P1136" s="1705"/>
      <c r="Q1136" s="1705"/>
      <c r="R1136" s="1705"/>
      <c r="S1136" s="1705"/>
      <c r="T1136" s="1705"/>
    </row>
    <row r="1137" spans="1:20" ht="12.75" customHeight="1">
      <c r="A1137" s="1705"/>
      <c r="B1137" s="1705"/>
      <c r="C1137" s="1705"/>
      <c r="D1137" s="1705"/>
      <c r="E1137" s="1705"/>
      <c r="F1137" s="1705"/>
      <c r="G1137" s="1705"/>
      <c r="H1137" s="1705"/>
      <c r="I1137" s="1705"/>
      <c r="J1137" s="1705"/>
      <c r="K1137" s="1705"/>
      <c r="L1137" s="1705"/>
      <c r="M1137" s="1705"/>
      <c r="N1137" s="1705"/>
      <c r="O1137" s="1705"/>
      <c r="P1137" s="1705"/>
      <c r="Q1137" s="1705"/>
      <c r="R1137" s="1705"/>
      <c r="S1137" s="1705"/>
      <c r="T1137" s="1705"/>
    </row>
    <row r="1138" spans="1:20" ht="12.75" customHeight="1">
      <c r="A1138" s="1705"/>
      <c r="B1138" s="1705"/>
      <c r="C1138" s="1705"/>
      <c r="D1138" s="1705"/>
      <c r="E1138" s="1705"/>
      <c r="F1138" s="1705"/>
      <c r="G1138" s="1705"/>
      <c r="H1138" s="1705"/>
      <c r="I1138" s="1705"/>
      <c r="J1138" s="1705"/>
      <c r="K1138" s="1705"/>
      <c r="L1138" s="1705"/>
      <c r="M1138" s="1705"/>
      <c r="N1138" s="1705"/>
      <c r="O1138" s="1705"/>
      <c r="P1138" s="1705"/>
      <c r="Q1138" s="1705"/>
      <c r="R1138" s="1705"/>
      <c r="S1138" s="1705"/>
      <c r="T1138" s="1705"/>
    </row>
    <row r="1139" spans="1:20" ht="12.75" customHeight="1">
      <c r="A1139" s="1705"/>
      <c r="B1139" s="1705"/>
      <c r="C1139" s="1705"/>
      <c r="D1139" s="1705"/>
      <c r="E1139" s="1705"/>
      <c r="F1139" s="1705"/>
      <c r="G1139" s="1705"/>
      <c r="H1139" s="1705"/>
      <c r="I1139" s="1705"/>
      <c r="J1139" s="1705"/>
      <c r="K1139" s="1705"/>
      <c r="L1139" s="1705"/>
      <c r="M1139" s="1705"/>
      <c r="N1139" s="1705"/>
      <c r="O1139" s="1705"/>
      <c r="P1139" s="1705"/>
      <c r="Q1139" s="1705"/>
      <c r="R1139" s="1705"/>
      <c r="S1139" s="1705"/>
      <c r="T1139" s="1705"/>
    </row>
    <row r="1140" spans="1:20" ht="12.75" customHeight="1">
      <c r="A1140" s="1705"/>
      <c r="B1140" s="1705"/>
      <c r="C1140" s="1705"/>
      <c r="D1140" s="1705"/>
      <c r="E1140" s="1705"/>
      <c r="F1140" s="1705"/>
      <c r="G1140" s="1705"/>
      <c r="H1140" s="1705"/>
      <c r="I1140" s="1705"/>
      <c r="J1140" s="1705"/>
      <c r="K1140" s="1705"/>
      <c r="L1140" s="1705"/>
      <c r="M1140" s="1705"/>
      <c r="N1140" s="1705"/>
      <c r="O1140" s="1705"/>
      <c r="P1140" s="1705"/>
      <c r="Q1140" s="1705"/>
      <c r="R1140" s="1705"/>
      <c r="S1140" s="1705"/>
      <c r="T1140" s="1705"/>
    </row>
    <row r="1141" spans="1:20" ht="12.75" customHeight="1">
      <c r="A1141" s="1705"/>
      <c r="B1141" s="1705"/>
      <c r="C1141" s="1705"/>
      <c r="D1141" s="1705"/>
      <c r="E1141" s="1705"/>
      <c r="F1141" s="1705"/>
      <c r="G1141" s="1705"/>
      <c r="H1141" s="1705"/>
      <c r="I1141" s="1705"/>
      <c r="J1141" s="1705"/>
      <c r="K1141" s="1705"/>
      <c r="L1141" s="1705"/>
      <c r="M1141" s="1705"/>
      <c r="N1141" s="1705"/>
      <c r="O1141" s="1705"/>
      <c r="P1141" s="1705"/>
      <c r="Q1141" s="1705"/>
      <c r="R1141" s="1705"/>
      <c r="S1141" s="1705"/>
      <c r="T1141" s="1705"/>
    </row>
    <row r="1142" spans="1:20" ht="12.75" customHeight="1">
      <c r="A1142" s="1705"/>
      <c r="B1142" s="1705"/>
      <c r="C1142" s="1705"/>
      <c r="D1142" s="1705"/>
      <c r="E1142" s="1705"/>
      <c r="F1142" s="1705"/>
      <c r="G1142" s="1705"/>
      <c r="H1142" s="1705"/>
      <c r="I1142" s="1705"/>
      <c r="J1142" s="1705"/>
      <c r="K1142" s="1705"/>
      <c r="L1142" s="1705"/>
      <c r="M1142" s="1705"/>
      <c r="N1142" s="1705"/>
      <c r="O1142" s="1705"/>
      <c r="P1142" s="1705"/>
      <c r="Q1142" s="1705"/>
      <c r="R1142" s="1705"/>
      <c r="S1142" s="1705"/>
      <c r="T1142" s="1705"/>
    </row>
    <row r="1143" spans="1:20" ht="12.75" customHeight="1">
      <c r="A1143" s="1705"/>
      <c r="B1143" s="1705"/>
      <c r="C1143" s="1705"/>
      <c r="D1143" s="1705"/>
      <c r="E1143" s="1705"/>
      <c r="F1143" s="1705"/>
      <c r="G1143" s="1705"/>
      <c r="H1143" s="1705"/>
      <c r="I1143" s="1705"/>
      <c r="J1143" s="1705"/>
      <c r="K1143" s="1705"/>
      <c r="L1143" s="1705"/>
      <c r="M1143" s="1705"/>
      <c r="N1143" s="1705"/>
      <c r="O1143" s="1705"/>
      <c r="P1143" s="1705"/>
      <c r="Q1143" s="1705"/>
      <c r="R1143" s="1705"/>
      <c r="S1143" s="1705"/>
      <c r="T1143" s="1705"/>
    </row>
    <row r="1144" spans="1:20" ht="12.75" customHeight="1">
      <c r="A1144" s="1705"/>
      <c r="B1144" s="1705"/>
      <c r="C1144" s="1705"/>
      <c r="D1144" s="1705"/>
      <c r="E1144" s="1705"/>
      <c r="F1144" s="1705"/>
      <c r="G1144" s="1705"/>
      <c r="H1144" s="1705"/>
      <c r="I1144" s="1705"/>
      <c r="J1144" s="1705"/>
      <c r="K1144" s="1705"/>
      <c r="L1144" s="1705"/>
      <c r="M1144" s="1705"/>
      <c r="N1144" s="1705"/>
      <c r="O1144" s="1705"/>
      <c r="P1144" s="1705"/>
      <c r="Q1144" s="1705"/>
      <c r="R1144" s="1705"/>
      <c r="S1144" s="1705"/>
      <c r="T1144" s="1705"/>
    </row>
    <row r="1145" spans="1:20" ht="12.75" customHeight="1">
      <c r="A1145" s="1705"/>
      <c r="B1145" s="1705"/>
      <c r="C1145" s="1705"/>
      <c r="D1145" s="1705"/>
      <c r="E1145" s="1705"/>
      <c r="F1145" s="1705"/>
      <c r="G1145" s="1705"/>
      <c r="H1145" s="1705"/>
      <c r="I1145" s="1705"/>
      <c r="J1145" s="1705"/>
      <c r="K1145" s="1705"/>
      <c r="L1145" s="1705"/>
      <c r="M1145" s="1705"/>
      <c r="N1145" s="1705"/>
      <c r="O1145" s="1705"/>
      <c r="P1145" s="1705"/>
      <c r="Q1145" s="1705"/>
      <c r="R1145" s="1705"/>
      <c r="S1145" s="1705"/>
      <c r="T1145" s="1705"/>
    </row>
    <row r="1146" spans="1:20" ht="12.75" customHeight="1">
      <c r="A1146" s="1705"/>
      <c r="B1146" s="1705"/>
      <c r="C1146" s="1705"/>
      <c r="D1146" s="1705"/>
      <c r="E1146" s="1705"/>
      <c r="F1146" s="1705"/>
      <c r="G1146" s="1705"/>
      <c r="H1146" s="1705"/>
      <c r="I1146" s="1705"/>
      <c r="J1146" s="1705"/>
      <c r="K1146" s="1705"/>
      <c r="L1146" s="1705"/>
      <c r="M1146" s="1705"/>
      <c r="N1146" s="1705"/>
      <c r="O1146" s="1705"/>
      <c r="P1146" s="1705"/>
      <c r="Q1146" s="1705"/>
      <c r="R1146" s="1705"/>
      <c r="S1146" s="1705"/>
      <c r="T1146" s="1705"/>
    </row>
    <row r="1147" spans="1:20" ht="12.75" customHeight="1">
      <c r="A1147" s="1705"/>
      <c r="B1147" s="1705"/>
      <c r="C1147" s="1705"/>
      <c r="D1147" s="1705"/>
      <c r="E1147" s="1705"/>
      <c r="F1147" s="1705"/>
      <c r="G1147" s="1705"/>
      <c r="H1147" s="1705"/>
      <c r="I1147" s="1705"/>
      <c r="J1147" s="1705"/>
      <c r="K1147" s="1705"/>
      <c r="L1147" s="1705"/>
      <c r="M1147" s="1705"/>
      <c r="N1147" s="1705"/>
      <c r="O1147" s="1705"/>
      <c r="P1147" s="1705"/>
      <c r="Q1147" s="1705"/>
      <c r="R1147" s="1705"/>
      <c r="S1147" s="1705"/>
      <c r="T1147" s="1705"/>
    </row>
    <row r="1148" spans="1:20" ht="12.75" customHeight="1">
      <c r="A1148" s="1705"/>
      <c r="B1148" s="1705"/>
      <c r="C1148" s="1705"/>
      <c r="D1148" s="1705"/>
      <c r="E1148" s="1705"/>
      <c r="F1148" s="1705"/>
      <c r="G1148" s="1705"/>
      <c r="H1148" s="1705"/>
      <c r="I1148" s="1705"/>
      <c r="J1148" s="1705"/>
      <c r="K1148" s="1705"/>
      <c r="L1148" s="1705"/>
      <c r="M1148" s="1705"/>
      <c r="N1148" s="1705"/>
      <c r="O1148" s="1705"/>
      <c r="P1148" s="1705"/>
      <c r="Q1148" s="1705"/>
      <c r="R1148" s="1705"/>
      <c r="S1148" s="1705"/>
      <c r="T1148" s="1705"/>
    </row>
    <row r="1149" spans="1:20" ht="12.75" customHeight="1">
      <c r="A1149" s="1705"/>
      <c r="B1149" s="1705"/>
      <c r="C1149" s="1705"/>
      <c r="D1149" s="1705"/>
      <c r="E1149" s="1705"/>
      <c r="F1149" s="1705"/>
      <c r="G1149" s="1705"/>
      <c r="H1149" s="1705"/>
      <c r="I1149" s="1705"/>
      <c r="J1149" s="1705"/>
      <c r="K1149" s="1705"/>
      <c r="L1149" s="1705"/>
      <c r="M1149" s="1705"/>
      <c r="N1149" s="1705"/>
      <c r="O1149" s="1705"/>
      <c r="P1149" s="1705"/>
      <c r="Q1149" s="1705"/>
      <c r="R1149" s="1705"/>
      <c r="S1149" s="1705"/>
      <c r="T1149" s="1705"/>
    </row>
    <row r="1150" spans="1:20" ht="12.75" customHeight="1">
      <c r="A1150" s="1705"/>
      <c r="B1150" s="1705"/>
      <c r="C1150" s="1705"/>
      <c r="D1150" s="1705"/>
      <c r="E1150" s="1705"/>
      <c r="F1150" s="1705"/>
      <c r="G1150" s="1705"/>
      <c r="H1150" s="1705"/>
      <c r="I1150" s="1705"/>
      <c r="J1150" s="1705"/>
      <c r="K1150" s="1705"/>
      <c r="L1150" s="1705"/>
      <c r="M1150" s="1705"/>
      <c r="N1150" s="1705"/>
      <c r="O1150" s="1705"/>
      <c r="P1150" s="1705"/>
      <c r="Q1150" s="1705"/>
      <c r="R1150" s="1705"/>
      <c r="S1150" s="1705"/>
      <c r="T1150" s="1705"/>
    </row>
    <row r="1151" spans="1:20" ht="12.75" customHeight="1">
      <c r="A1151" s="1705"/>
      <c r="B1151" s="1705"/>
      <c r="C1151" s="1705"/>
      <c r="D1151" s="1705"/>
      <c r="E1151" s="1705"/>
      <c r="F1151" s="1705"/>
      <c r="G1151" s="1705"/>
      <c r="H1151" s="1705"/>
      <c r="I1151" s="1705"/>
      <c r="J1151" s="1705"/>
      <c r="K1151" s="1705"/>
      <c r="L1151" s="1705"/>
      <c r="M1151" s="1705"/>
      <c r="N1151" s="1705"/>
      <c r="O1151" s="1705"/>
      <c r="P1151" s="1705"/>
      <c r="Q1151" s="1705"/>
      <c r="R1151" s="1705"/>
      <c r="S1151" s="1705"/>
      <c r="T1151" s="1705"/>
    </row>
    <row r="1152" spans="1:20" ht="12.75" customHeight="1">
      <c r="A1152" s="1705"/>
      <c r="B1152" s="1705"/>
      <c r="C1152" s="1705"/>
      <c r="D1152" s="1705"/>
      <c r="E1152" s="1705"/>
      <c r="F1152" s="1705"/>
      <c r="G1152" s="1705"/>
      <c r="H1152" s="1705"/>
      <c r="I1152" s="1705"/>
      <c r="J1152" s="1705"/>
      <c r="K1152" s="1705"/>
      <c r="L1152" s="1705"/>
      <c r="M1152" s="1705"/>
      <c r="N1152" s="1705"/>
      <c r="O1152" s="1705"/>
      <c r="P1152" s="1705"/>
      <c r="Q1152" s="1705"/>
      <c r="R1152" s="1705"/>
      <c r="S1152" s="1705"/>
      <c r="T1152" s="1705"/>
    </row>
    <row r="1153" spans="1:20" ht="12.75" customHeight="1">
      <c r="A1153" s="1705"/>
      <c r="B1153" s="1705"/>
      <c r="C1153" s="1705"/>
      <c r="D1153" s="1705"/>
      <c r="E1153" s="1705"/>
      <c r="F1153" s="1705"/>
      <c r="G1153" s="1705"/>
      <c r="H1153" s="1705"/>
      <c r="I1153" s="1705"/>
      <c r="J1153" s="1705"/>
      <c r="K1153" s="1705"/>
      <c r="L1153" s="1705"/>
      <c r="M1153" s="1705"/>
      <c r="N1153" s="1705"/>
      <c r="O1153" s="1705"/>
      <c r="P1153" s="1705"/>
      <c r="Q1153" s="1705"/>
      <c r="R1153" s="1705"/>
      <c r="S1153" s="1705"/>
      <c r="T1153" s="1705"/>
    </row>
    <row r="1154" spans="1:20" ht="12.75" customHeight="1">
      <c r="A1154" s="1705"/>
      <c r="B1154" s="1705"/>
      <c r="C1154" s="1705"/>
      <c r="D1154" s="1705"/>
      <c r="E1154" s="1705"/>
      <c r="F1154" s="1705"/>
      <c r="G1154" s="1705"/>
      <c r="H1154" s="1705"/>
      <c r="I1154" s="1705"/>
      <c r="J1154" s="1705"/>
      <c r="K1154" s="1705"/>
      <c r="L1154" s="1705"/>
      <c r="M1154" s="1705"/>
      <c r="N1154" s="1705"/>
      <c r="O1154" s="1705"/>
      <c r="P1154" s="1705"/>
      <c r="Q1154" s="1705"/>
      <c r="R1154" s="1705"/>
      <c r="S1154" s="1705"/>
      <c r="T1154" s="1705"/>
    </row>
    <row r="1155" spans="1:20" ht="12.75" customHeight="1">
      <c r="A1155" s="1705"/>
      <c r="B1155" s="1705"/>
      <c r="C1155" s="1705"/>
      <c r="D1155" s="1705"/>
      <c r="E1155" s="1705"/>
      <c r="F1155" s="1705"/>
      <c r="G1155" s="1705"/>
      <c r="H1155" s="1705"/>
      <c r="I1155" s="1705"/>
      <c r="J1155" s="1705"/>
      <c r="K1155" s="1705"/>
      <c r="L1155" s="1705"/>
      <c r="M1155" s="1705"/>
      <c r="N1155" s="1705"/>
      <c r="O1155" s="1705"/>
      <c r="P1155" s="1705"/>
      <c r="Q1155" s="1705"/>
      <c r="R1155" s="1705"/>
      <c r="S1155" s="1705"/>
      <c r="T1155" s="1705"/>
    </row>
    <row r="1156" spans="1:20" ht="12.75" customHeight="1">
      <c r="A1156" s="1705"/>
      <c r="B1156" s="1705"/>
      <c r="C1156" s="1705"/>
      <c r="D1156" s="1705"/>
      <c r="E1156" s="1705"/>
      <c r="F1156" s="1705"/>
      <c r="G1156" s="1705"/>
      <c r="H1156" s="1705"/>
      <c r="I1156" s="1705"/>
      <c r="J1156" s="1705"/>
      <c r="K1156" s="1705"/>
      <c r="L1156" s="1705"/>
      <c r="M1156" s="1705"/>
      <c r="N1156" s="1705"/>
      <c r="O1156" s="1705"/>
      <c r="P1156" s="1705"/>
      <c r="Q1156" s="1705"/>
      <c r="R1156" s="1705"/>
      <c r="S1156" s="1705"/>
      <c r="T1156" s="1705"/>
    </row>
    <row r="1157" spans="1:20" ht="12.75" customHeight="1">
      <c r="A1157" s="1705"/>
      <c r="B1157" s="1705"/>
      <c r="C1157" s="1705"/>
      <c r="D1157" s="1705"/>
      <c r="E1157" s="1705"/>
      <c r="F1157" s="1705"/>
      <c r="G1157" s="1705"/>
      <c r="H1157" s="1705"/>
      <c r="I1157" s="1705"/>
      <c r="J1157" s="1705"/>
      <c r="K1157" s="1705"/>
      <c r="L1157" s="1705"/>
      <c r="M1157" s="1705"/>
      <c r="N1157" s="1705"/>
      <c r="O1157" s="1705"/>
      <c r="P1157" s="1705"/>
      <c r="Q1157" s="1705"/>
      <c r="R1157" s="1705"/>
      <c r="S1157" s="1705"/>
      <c r="T1157" s="1705"/>
    </row>
    <row r="1158" spans="1:20" ht="12.75" customHeight="1">
      <c r="A1158" s="1705"/>
      <c r="B1158" s="1705"/>
      <c r="C1158" s="1705"/>
      <c r="D1158" s="1705"/>
      <c r="E1158" s="1705"/>
      <c r="F1158" s="1705"/>
      <c r="G1158" s="1705"/>
      <c r="H1158" s="1705"/>
      <c r="I1158" s="1705"/>
      <c r="J1158" s="1705"/>
      <c r="K1158" s="1705"/>
      <c r="L1158" s="1705"/>
      <c r="M1158" s="1705"/>
      <c r="N1158" s="1705"/>
      <c r="O1158" s="1705"/>
      <c r="P1158" s="1705"/>
      <c r="Q1158" s="1705"/>
      <c r="R1158" s="1705"/>
      <c r="S1158" s="1705"/>
      <c r="T1158" s="1705"/>
    </row>
    <row r="1159" spans="1:20" ht="12.75" customHeight="1">
      <c r="A1159" s="1705"/>
      <c r="B1159" s="1705"/>
      <c r="C1159" s="1705"/>
      <c r="D1159" s="1705"/>
      <c r="E1159" s="1705"/>
      <c r="F1159" s="1705"/>
      <c r="G1159" s="1705"/>
      <c r="H1159" s="1705"/>
      <c r="I1159" s="1705"/>
      <c r="J1159" s="1705"/>
      <c r="K1159" s="1705"/>
      <c r="L1159" s="1705"/>
      <c r="M1159" s="1705"/>
      <c r="N1159" s="1705"/>
      <c r="O1159" s="1705"/>
      <c r="P1159" s="1705"/>
      <c r="Q1159" s="1705"/>
      <c r="R1159" s="1705"/>
      <c r="S1159" s="1705"/>
      <c r="T1159" s="1705"/>
    </row>
    <row r="1160" spans="1:20" ht="12.75" customHeight="1">
      <c r="A1160" s="1705"/>
      <c r="B1160" s="1705"/>
      <c r="C1160" s="1705"/>
      <c r="D1160" s="1705"/>
      <c r="E1160" s="1705"/>
      <c r="F1160" s="1705"/>
      <c r="G1160" s="1705"/>
      <c r="H1160" s="1705"/>
      <c r="I1160" s="1705"/>
      <c r="J1160" s="1705"/>
      <c r="K1160" s="1705"/>
      <c r="L1160" s="1705"/>
      <c r="M1160" s="1705"/>
      <c r="N1160" s="1705"/>
      <c r="O1160" s="1705"/>
      <c r="P1160" s="1705"/>
      <c r="Q1160" s="1705"/>
      <c r="R1160" s="1705"/>
      <c r="S1160" s="1705"/>
      <c r="T1160" s="1705"/>
    </row>
    <row r="1161" spans="1:20" ht="12.75" customHeight="1">
      <c r="A1161" s="1705"/>
      <c r="B1161" s="1705"/>
      <c r="C1161" s="1705"/>
      <c r="D1161" s="1705"/>
      <c r="E1161" s="1705"/>
      <c r="F1161" s="1705"/>
      <c r="G1161" s="1705"/>
      <c r="H1161" s="1705"/>
      <c r="I1161" s="1705"/>
      <c r="J1161" s="1705"/>
      <c r="K1161" s="1705"/>
      <c r="L1161" s="1705"/>
      <c r="M1161" s="1705"/>
      <c r="N1161" s="1705"/>
      <c r="O1161" s="1705"/>
      <c r="P1161" s="1705"/>
      <c r="Q1161" s="1705"/>
      <c r="R1161" s="1705"/>
      <c r="S1161" s="1705"/>
      <c r="T1161" s="1705"/>
    </row>
    <row r="1162" spans="1:20" ht="12.75" customHeight="1">
      <c r="A1162" s="1705"/>
      <c r="B1162" s="1705"/>
      <c r="C1162" s="1705"/>
      <c r="D1162" s="1705"/>
      <c r="E1162" s="1705"/>
      <c r="F1162" s="1705"/>
      <c r="G1162" s="1705"/>
      <c r="H1162" s="1705"/>
      <c r="I1162" s="1705"/>
      <c r="J1162" s="1705"/>
      <c r="K1162" s="1705"/>
      <c r="L1162" s="1705"/>
      <c r="M1162" s="1705"/>
      <c r="N1162" s="1705"/>
      <c r="O1162" s="1705"/>
      <c r="P1162" s="1705"/>
      <c r="Q1162" s="1705"/>
      <c r="R1162" s="1705"/>
      <c r="S1162" s="1705"/>
      <c r="T1162" s="1705"/>
    </row>
    <row r="1163" spans="1:20" ht="12.75" customHeight="1">
      <c r="A1163" s="1705"/>
      <c r="B1163" s="1705"/>
      <c r="C1163" s="1705"/>
      <c r="D1163" s="1705"/>
      <c r="E1163" s="1705"/>
      <c r="F1163" s="1705"/>
      <c r="G1163" s="1705"/>
      <c r="H1163" s="1705"/>
      <c r="I1163" s="1705"/>
      <c r="J1163" s="1705"/>
      <c r="K1163" s="1705"/>
      <c r="L1163" s="1705"/>
      <c r="M1163" s="1705"/>
      <c r="N1163" s="1705"/>
      <c r="O1163" s="1705"/>
      <c r="P1163" s="1705"/>
      <c r="Q1163" s="1705"/>
      <c r="R1163" s="1705"/>
      <c r="S1163" s="1705"/>
      <c r="T1163" s="1705"/>
    </row>
    <row r="1164" spans="1:20" ht="12.75" customHeight="1">
      <c r="A1164" s="1705"/>
      <c r="B1164" s="1705"/>
      <c r="C1164" s="1705"/>
      <c r="D1164" s="1705"/>
      <c r="E1164" s="1705"/>
      <c r="F1164" s="1705"/>
      <c r="G1164" s="1705"/>
      <c r="H1164" s="1705"/>
      <c r="I1164" s="1705"/>
      <c r="J1164" s="1705"/>
      <c r="K1164" s="1705"/>
      <c r="L1164" s="1705"/>
      <c r="M1164" s="1705"/>
      <c r="N1164" s="1705"/>
      <c r="O1164" s="1705"/>
      <c r="P1164" s="1705"/>
      <c r="Q1164" s="1705"/>
      <c r="R1164" s="1705"/>
      <c r="S1164" s="1705"/>
      <c r="T1164" s="1705"/>
    </row>
    <row r="1165" spans="1:20" ht="12.75" customHeight="1">
      <c r="A1165" s="1705"/>
      <c r="B1165" s="1705"/>
      <c r="C1165" s="1705"/>
      <c r="D1165" s="1705"/>
      <c r="E1165" s="1705"/>
      <c r="F1165" s="1705"/>
      <c r="G1165" s="1705"/>
      <c r="H1165" s="1705"/>
      <c r="I1165" s="1705"/>
      <c r="J1165" s="1705"/>
      <c r="K1165" s="1705"/>
      <c r="L1165" s="1705"/>
      <c r="M1165" s="1705"/>
      <c r="N1165" s="1705"/>
      <c r="O1165" s="1705"/>
      <c r="P1165" s="1705"/>
      <c r="Q1165" s="1705"/>
      <c r="R1165" s="1705"/>
      <c r="S1165" s="1705"/>
      <c r="T1165" s="1705"/>
    </row>
    <row r="1166" spans="1:20" ht="12.75" customHeight="1">
      <c r="A1166" s="1705"/>
      <c r="B1166" s="1705"/>
      <c r="C1166" s="1705"/>
      <c r="D1166" s="1705"/>
      <c r="E1166" s="1705"/>
      <c r="F1166" s="1705"/>
      <c r="G1166" s="1705"/>
      <c r="H1166" s="1705"/>
      <c r="I1166" s="1705"/>
      <c r="J1166" s="1705"/>
      <c r="K1166" s="1705"/>
      <c r="L1166" s="1705"/>
      <c r="M1166" s="1705"/>
      <c r="N1166" s="1705"/>
      <c r="O1166" s="1705"/>
      <c r="P1166" s="1705"/>
      <c r="Q1166" s="1705"/>
      <c r="R1166" s="1705"/>
      <c r="S1166" s="1705"/>
      <c r="T1166" s="1705"/>
    </row>
    <row r="1167" spans="1:20" ht="12.75" customHeight="1">
      <c r="A1167" s="1705"/>
      <c r="B1167" s="1705"/>
      <c r="C1167" s="1705"/>
      <c r="D1167" s="1705"/>
      <c r="E1167" s="1705"/>
      <c r="F1167" s="1705"/>
      <c r="G1167" s="1705"/>
      <c r="H1167" s="1705"/>
      <c r="I1167" s="1705"/>
      <c r="J1167" s="1705"/>
      <c r="K1167" s="1705"/>
      <c r="L1167" s="1705"/>
      <c r="M1167" s="1705"/>
      <c r="N1167" s="1705"/>
      <c r="O1167" s="1705"/>
      <c r="P1167" s="1705"/>
      <c r="Q1167" s="1705"/>
      <c r="R1167" s="1705"/>
      <c r="S1167" s="1705"/>
      <c r="T1167" s="1705"/>
    </row>
    <row r="1168" spans="1:20" ht="12.75" customHeight="1">
      <c r="A1168" s="1705"/>
      <c r="B1168" s="1705"/>
      <c r="C1168" s="1705"/>
      <c r="D1168" s="1705"/>
      <c r="E1168" s="1705"/>
      <c r="F1168" s="1705"/>
      <c r="G1168" s="1705"/>
      <c r="H1168" s="1705"/>
      <c r="I1168" s="1705"/>
      <c r="J1168" s="1705"/>
      <c r="K1168" s="1705"/>
      <c r="L1168" s="1705"/>
      <c r="M1168" s="1705"/>
      <c r="N1168" s="1705"/>
      <c r="O1168" s="1705"/>
      <c r="P1168" s="1705"/>
      <c r="Q1168" s="1705"/>
      <c r="R1168" s="1705"/>
      <c r="S1168" s="1705"/>
      <c r="T1168" s="1705"/>
    </row>
    <row r="1169" spans="1:20" ht="12.75" customHeight="1">
      <c r="A1169" s="1705"/>
      <c r="B1169" s="1705"/>
      <c r="C1169" s="1705"/>
      <c r="D1169" s="1705"/>
      <c r="E1169" s="1705"/>
      <c r="F1169" s="1705"/>
      <c r="G1169" s="1705"/>
      <c r="H1169" s="1705"/>
      <c r="I1169" s="1705"/>
      <c r="J1169" s="1705"/>
      <c r="K1169" s="1705"/>
      <c r="L1169" s="1705"/>
      <c r="M1169" s="1705"/>
      <c r="N1169" s="1705"/>
      <c r="O1169" s="1705"/>
      <c r="P1169" s="1705"/>
      <c r="Q1169" s="1705"/>
      <c r="R1169" s="1705"/>
      <c r="S1169" s="1705"/>
      <c r="T1169" s="1705"/>
    </row>
    <row r="1170" spans="1:20" ht="12.75" customHeight="1">
      <c r="A1170" s="1705"/>
      <c r="B1170" s="1705"/>
      <c r="C1170" s="1705"/>
      <c r="D1170" s="1705"/>
      <c r="E1170" s="1705"/>
      <c r="F1170" s="1705"/>
      <c r="G1170" s="1705"/>
      <c r="H1170" s="1705"/>
      <c r="I1170" s="1705"/>
      <c r="J1170" s="1705"/>
      <c r="K1170" s="1705"/>
      <c r="L1170" s="1705"/>
      <c r="M1170" s="1705"/>
      <c r="N1170" s="1705"/>
      <c r="O1170" s="1705"/>
      <c r="P1170" s="1705"/>
      <c r="Q1170" s="1705"/>
      <c r="R1170" s="1705"/>
      <c r="S1170" s="1705"/>
      <c r="T1170" s="1705"/>
    </row>
    <row r="1171" spans="1:20" ht="12.75" customHeight="1">
      <c r="A1171" s="1705"/>
      <c r="B1171" s="1705"/>
      <c r="C1171" s="1705"/>
      <c r="D1171" s="1705"/>
      <c r="E1171" s="1705"/>
      <c r="F1171" s="1705"/>
      <c r="G1171" s="1705"/>
      <c r="H1171" s="1705"/>
      <c r="I1171" s="1705"/>
      <c r="J1171" s="1705"/>
      <c r="K1171" s="1705"/>
      <c r="L1171" s="1705"/>
      <c r="M1171" s="1705"/>
      <c r="N1171" s="1705"/>
      <c r="O1171" s="1705"/>
      <c r="P1171" s="1705"/>
      <c r="Q1171" s="1705"/>
      <c r="R1171" s="1705"/>
      <c r="S1171" s="1705"/>
      <c r="T1171" s="1705"/>
    </row>
    <row r="1172" spans="1:20" ht="12.75" customHeight="1">
      <c r="A1172" s="1705"/>
      <c r="B1172" s="1705"/>
      <c r="C1172" s="1705"/>
      <c r="D1172" s="1705"/>
      <c r="E1172" s="1705"/>
      <c r="F1172" s="1705"/>
      <c r="G1172" s="1705"/>
      <c r="H1172" s="1705"/>
      <c r="I1172" s="1705"/>
      <c r="J1172" s="1705"/>
      <c r="K1172" s="1705"/>
      <c r="L1172" s="1705"/>
      <c r="M1172" s="1705"/>
      <c r="N1172" s="1705"/>
      <c r="O1172" s="1705"/>
      <c r="P1172" s="1705"/>
      <c r="Q1172" s="1705"/>
      <c r="R1172" s="1705"/>
      <c r="S1172" s="1705"/>
      <c r="T1172" s="1705"/>
    </row>
    <row r="1173" spans="1:20" ht="12.75" customHeight="1">
      <c r="A1173" s="1705"/>
      <c r="B1173" s="1705"/>
      <c r="C1173" s="1705"/>
      <c r="D1173" s="1705"/>
      <c r="E1173" s="1705"/>
      <c r="F1173" s="1705"/>
      <c r="G1173" s="1705"/>
      <c r="H1173" s="1705"/>
      <c r="I1173" s="1705"/>
      <c r="J1173" s="1705"/>
      <c r="K1173" s="1705"/>
      <c r="L1173" s="1705"/>
      <c r="M1173" s="1705"/>
      <c r="N1173" s="1705"/>
      <c r="O1173" s="1705"/>
      <c r="P1173" s="1705"/>
      <c r="Q1173" s="1705"/>
      <c r="R1173" s="1705"/>
      <c r="S1173" s="1705"/>
      <c r="T1173" s="1705"/>
    </row>
    <row r="1174" spans="1:20" ht="12.75" customHeight="1">
      <c r="A1174" s="1705"/>
      <c r="B1174" s="1705"/>
      <c r="C1174" s="1705"/>
      <c r="D1174" s="1705"/>
      <c r="E1174" s="1705"/>
      <c r="F1174" s="1705"/>
      <c r="G1174" s="1705"/>
      <c r="H1174" s="1705"/>
      <c r="I1174" s="1705"/>
      <c r="J1174" s="1705"/>
      <c r="K1174" s="1705"/>
      <c r="L1174" s="1705"/>
      <c r="M1174" s="1705"/>
      <c r="N1174" s="1705"/>
      <c r="O1174" s="1705"/>
      <c r="P1174" s="1705"/>
      <c r="Q1174" s="1705"/>
      <c r="R1174" s="1705"/>
      <c r="S1174" s="1705"/>
      <c r="T1174" s="1705"/>
    </row>
    <row r="1175" spans="1:20" ht="12.75" customHeight="1">
      <c r="A1175" s="1705"/>
      <c r="B1175" s="1705"/>
      <c r="C1175" s="1705"/>
      <c r="D1175" s="1705"/>
      <c r="E1175" s="1705"/>
      <c r="F1175" s="1705"/>
      <c r="G1175" s="1705"/>
      <c r="H1175" s="1705"/>
      <c r="I1175" s="1705"/>
      <c r="J1175" s="1705"/>
      <c r="K1175" s="1705"/>
      <c r="L1175" s="1705"/>
      <c r="M1175" s="1705"/>
      <c r="N1175" s="1705"/>
      <c r="O1175" s="1705"/>
      <c r="P1175" s="1705"/>
      <c r="Q1175" s="1705"/>
      <c r="R1175" s="1705"/>
      <c r="S1175" s="1705"/>
      <c r="T1175" s="1705"/>
    </row>
    <row r="1176" spans="1:20" ht="12.75" customHeight="1">
      <c r="A1176" s="1705"/>
      <c r="B1176" s="1705"/>
      <c r="C1176" s="1705"/>
      <c r="D1176" s="1705"/>
      <c r="E1176" s="1705"/>
      <c r="F1176" s="1705"/>
      <c r="G1176" s="1705"/>
      <c r="H1176" s="1705"/>
      <c r="I1176" s="1705"/>
      <c r="J1176" s="1705"/>
      <c r="K1176" s="1705"/>
      <c r="L1176" s="1705"/>
      <c r="M1176" s="1705"/>
      <c r="N1176" s="1705"/>
      <c r="O1176" s="1705"/>
      <c r="P1176" s="1705"/>
      <c r="Q1176" s="1705"/>
      <c r="R1176" s="1705"/>
      <c r="S1176" s="1705"/>
      <c r="T1176" s="1705"/>
    </row>
    <row r="1177" spans="1:20" ht="12.75" customHeight="1">
      <c r="A1177" s="1705"/>
      <c r="B1177" s="1705"/>
      <c r="C1177" s="1705"/>
      <c r="D1177" s="1705"/>
      <c r="E1177" s="1705"/>
      <c r="F1177" s="1705"/>
      <c r="G1177" s="1705"/>
      <c r="H1177" s="1705"/>
      <c r="I1177" s="1705"/>
      <c r="J1177" s="1705"/>
      <c r="K1177" s="1705"/>
      <c r="L1177" s="1705"/>
      <c r="M1177" s="1705"/>
      <c r="N1177" s="1705"/>
      <c r="O1177" s="1705"/>
      <c r="P1177" s="1705"/>
      <c r="Q1177" s="1705"/>
      <c r="R1177" s="1705"/>
      <c r="S1177" s="1705"/>
      <c r="T1177" s="1705"/>
    </row>
    <row r="1178" spans="1:20" ht="12.75" customHeight="1">
      <c r="A1178" s="1705"/>
      <c r="B1178" s="1705"/>
      <c r="C1178" s="1705"/>
      <c r="D1178" s="1705"/>
      <c r="E1178" s="1705"/>
      <c r="F1178" s="1705"/>
      <c r="G1178" s="1705"/>
      <c r="H1178" s="1705"/>
      <c r="I1178" s="1705"/>
      <c r="J1178" s="1705"/>
      <c r="K1178" s="1705"/>
      <c r="L1178" s="1705"/>
      <c r="M1178" s="1705"/>
      <c r="N1178" s="1705"/>
      <c r="O1178" s="1705"/>
      <c r="P1178" s="1705"/>
      <c r="Q1178" s="1705"/>
      <c r="R1178" s="1705"/>
      <c r="S1178" s="1705"/>
      <c r="T1178" s="1705"/>
    </row>
    <row r="1179" spans="1:20" ht="12.75" customHeight="1">
      <c r="A1179" s="1705"/>
      <c r="B1179" s="1705"/>
      <c r="C1179" s="1705"/>
      <c r="D1179" s="1705"/>
      <c r="E1179" s="1705"/>
      <c r="F1179" s="1705"/>
      <c r="G1179" s="1705"/>
      <c r="H1179" s="1705"/>
      <c r="I1179" s="1705"/>
      <c r="J1179" s="1705"/>
      <c r="K1179" s="1705"/>
      <c r="L1179" s="1705"/>
      <c r="M1179" s="1705"/>
      <c r="N1179" s="1705"/>
      <c r="O1179" s="1705"/>
      <c r="P1179" s="1705"/>
      <c r="Q1179" s="1705"/>
      <c r="R1179" s="1705"/>
      <c r="S1179" s="1705"/>
      <c r="T1179" s="1705"/>
    </row>
    <row r="1180" spans="1:20" ht="12.75" customHeight="1">
      <c r="A1180" s="1705"/>
      <c r="B1180" s="1705"/>
      <c r="C1180" s="1705"/>
      <c r="D1180" s="1705"/>
      <c r="E1180" s="1705"/>
      <c r="F1180" s="1705"/>
      <c r="G1180" s="1705"/>
      <c r="H1180" s="1705"/>
      <c r="I1180" s="1705"/>
      <c r="J1180" s="1705"/>
      <c r="K1180" s="1705"/>
      <c r="L1180" s="1705"/>
      <c r="M1180" s="1705"/>
      <c r="N1180" s="1705"/>
      <c r="O1180" s="1705"/>
      <c r="P1180" s="1705"/>
      <c r="Q1180" s="1705"/>
      <c r="R1180" s="1705"/>
      <c r="S1180" s="1705"/>
      <c r="T1180" s="1705"/>
    </row>
    <row r="1181" spans="1:20" ht="12.75" customHeight="1">
      <c r="A1181" s="1705"/>
      <c r="B1181" s="1705"/>
      <c r="C1181" s="1705"/>
      <c r="D1181" s="1705"/>
      <c r="E1181" s="1705"/>
      <c r="F1181" s="1705"/>
      <c r="G1181" s="1705"/>
      <c r="H1181" s="1705"/>
      <c r="I1181" s="1705"/>
      <c r="J1181" s="1705"/>
      <c r="K1181" s="1705"/>
      <c r="L1181" s="1705"/>
      <c r="M1181" s="1705"/>
      <c r="N1181" s="1705"/>
      <c r="O1181" s="1705"/>
      <c r="P1181" s="1705"/>
      <c r="Q1181" s="1705"/>
      <c r="R1181" s="1705"/>
      <c r="S1181" s="1705"/>
      <c r="T1181" s="1705"/>
    </row>
    <row r="1182" spans="1:20" ht="12.75" customHeight="1">
      <c r="A1182" s="1705"/>
      <c r="B1182" s="1705"/>
      <c r="C1182" s="1705"/>
      <c r="D1182" s="1705"/>
      <c r="E1182" s="1705"/>
      <c r="F1182" s="1705"/>
      <c r="G1182" s="1705"/>
      <c r="H1182" s="1705"/>
      <c r="I1182" s="1705"/>
      <c r="J1182" s="1705"/>
      <c r="K1182" s="1705"/>
      <c r="L1182" s="1705"/>
      <c r="M1182" s="1705"/>
      <c r="N1182" s="1705"/>
      <c r="O1182" s="1705"/>
      <c r="P1182" s="1705"/>
      <c r="Q1182" s="1705"/>
      <c r="R1182" s="1705"/>
      <c r="S1182" s="1705"/>
      <c r="T1182" s="1705"/>
    </row>
    <row r="1183" spans="1:20" ht="12.75" customHeight="1">
      <c r="A1183" s="1705"/>
      <c r="B1183" s="1705"/>
      <c r="C1183" s="1705"/>
      <c r="D1183" s="1705"/>
      <c r="E1183" s="1705"/>
      <c r="F1183" s="1705"/>
      <c r="G1183" s="1705"/>
      <c r="H1183" s="1705"/>
      <c r="I1183" s="1705"/>
      <c r="J1183" s="1705"/>
      <c r="K1183" s="1705"/>
      <c r="L1183" s="1705"/>
      <c r="M1183" s="1705"/>
      <c r="N1183" s="1705"/>
      <c r="O1183" s="1705"/>
      <c r="P1183" s="1705"/>
      <c r="Q1183" s="1705"/>
      <c r="R1183" s="1705"/>
      <c r="S1183" s="1705"/>
      <c r="T1183" s="1705"/>
    </row>
    <row r="1184" spans="1:20" ht="12.75" customHeight="1">
      <c r="A1184" s="1705"/>
      <c r="B1184" s="1705"/>
      <c r="C1184" s="1705"/>
      <c r="D1184" s="1705"/>
      <c r="E1184" s="1705"/>
      <c r="F1184" s="1705"/>
      <c r="G1184" s="1705"/>
      <c r="H1184" s="1705"/>
      <c r="I1184" s="1705"/>
      <c r="J1184" s="1705"/>
      <c r="K1184" s="1705"/>
      <c r="L1184" s="1705"/>
      <c r="M1184" s="1705"/>
      <c r="N1184" s="1705"/>
      <c r="O1184" s="1705"/>
      <c r="P1184" s="1705"/>
      <c r="Q1184" s="1705"/>
      <c r="R1184" s="1705"/>
      <c r="S1184" s="1705"/>
      <c r="T1184" s="1705"/>
    </row>
    <row r="1185" spans="1:20" ht="12.75" customHeight="1">
      <c r="A1185" s="1705"/>
      <c r="B1185" s="1705"/>
      <c r="C1185" s="1705"/>
      <c r="D1185" s="1705"/>
      <c r="E1185" s="1705"/>
      <c r="F1185" s="1705"/>
      <c r="G1185" s="1705"/>
      <c r="H1185" s="1705"/>
      <c r="I1185" s="1705"/>
      <c r="J1185" s="1705"/>
      <c r="K1185" s="1705"/>
      <c r="L1185" s="1705"/>
      <c r="M1185" s="1705"/>
      <c r="N1185" s="1705"/>
      <c r="O1185" s="1705"/>
      <c r="P1185" s="1705"/>
      <c r="Q1185" s="1705"/>
      <c r="R1185" s="1705"/>
      <c r="S1185" s="1705"/>
      <c r="T1185" s="1705"/>
    </row>
    <row r="1186" spans="1:20" ht="12.75" customHeight="1">
      <c r="A1186" s="1705"/>
      <c r="B1186" s="1705"/>
      <c r="C1186" s="1705"/>
      <c r="D1186" s="1705"/>
      <c r="E1186" s="1705"/>
      <c r="F1186" s="1705"/>
      <c r="G1186" s="1705"/>
      <c r="H1186" s="1705"/>
      <c r="I1186" s="1705"/>
      <c r="J1186" s="1705"/>
      <c r="K1186" s="1705"/>
      <c r="L1186" s="1705"/>
      <c r="M1186" s="1705"/>
      <c r="N1186" s="1705"/>
      <c r="O1186" s="1705"/>
      <c r="P1186" s="1705"/>
      <c r="Q1186" s="1705"/>
      <c r="R1186" s="1705"/>
      <c r="S1186" s="1705"/>
      <c r="T1186" s="1705"/>
    </row>
    <row r="1187" spans="1:20" ht="12.75" customHeight="1">
      <c r="A1187" s="1705"/>
      <c r="B1187" s="1705"/>
      <c r="C1187" s="1705"/>
      <c r="D1187" s="1705"/>
      <c r="E1187" s="1705"/>
      <c r="F1187" s="1705"/>
      <c r="G1187" s="1705"/>
      <c r="H1187" s="1705"/>
      <c r="I1187" s="1705"/>
      <c r="J1187" s="1705"/>
      <c r="K1187" s="1705"/>
      <c r="L1187" s="1705"/>
      <c r="M1187" s="1705"/>
      <c r="N1187" s="1705"/>
      <c r="O1187" s="1705"/>
      <c r="P1187" s="1705"/>
      <c r="Q1187" s="1705"/>
      <c r="R1187" s="1705"/>
      <c r="S1187" s="1705"/>
      <c r="T1187" s="1705"/>
    </row>
    <row r="1188" spans="1:20" ht="12.75" customHeight="1">
      <c r="A1188" s="1705"/>
      <c r="B1188" s="1705"/>
      <c r="C1188" s="1705"/>
      <c r="D1188" s="1705"/>
      <c r="E1188" s="1705"/>
      <c r="F1188" s="1705"/>
      <c r="G1188" s="1705"/>
      <c r="H1188" s="1705"/>
      <c r="I1188" s="1705"/>
      <c r="J1188" s="1705"/>
      <c r="K1188" s="1705"/>
      <c r="L1188" s="1705"/>
      <c r="M1188" s="1705"/>
      <c r="N1188" s="1705"/>
      <c r="O1188" s="1705"/>
      <c r="P1188" s="1705"/>
      <c r="Q1188" s="1705"/>
      <c r="R1188" s="1705"/>
      <c r="S1188" s="1705"/>
      <c r="T1188" s="1705"/>
    </row>
    <row r="1189" spans="1:20" ht="12.75" customHeight="1">
      <c r="A1189" s="1705"/>
      <c r="B1189" s="1705"/>
      <c r="C1189" s="1705"/>
      <c r="D1189" s="1705"/>
      <c r="E1189" s="1705"/>
      <c r="F1189" s="1705"/>
      <c r="G1189" s="1705"/>
      <c r="H1189" s="1705"/>
      <c r="I1189" s="1705"/>
      <c r="J1189" s="1705"/>
      <c r="K1189" s="1705"/>
      <c r="L1189" s="1705"/>
      <c r="M1189" s="1705"/>
      <c r="N1189" s="1705"/>
      <c r="O1189" s="1705"/>
      <c r="P1189" s="1705"/>
      <c r="Q1189" s="1705"/>
      <c r="R1189" s="1705"/>
      <c r="S1189" s="1705"/>
      <c r="T1189" s="1705"/>
    </row>
    <row r="1190" spans="1:20" ht="12.75" customHeight="1">
      <c r="A1190" s="1705"/>
      <c r="B1190" s="1705"/>
      <c r="C1190" s="1705"/>
      <c r="D1190" s="1705"/>
      <c r="E1190" s="1705"/>
      <c r="F1190" s="1705"/>
      <c r="G1190" s="1705"/>
      <c r="H1190" s="1705"/>
      <c r="I1190" s="1705"/>
      <c r="J1190" s="1705"/>
      <c r="K1190" s="1705"/>
      <c r="L1190" s="1705"/>
      <c r="M1190" s="1705"/>
      <c r="N1190" s="1705"/>
      <c r="O1190" s="1705"/>
      <c r="P1190" s="1705"/>
      <c r="Q1190" s="1705"/>
      <c r="R1190" s="1705"/>
      <c r="S1190" s="1705"/>
      <c r="T1190" s="1705"/>
    </row>
    <row r="1191" spans="1:20" ht="12.75" customHeight="1">
      <c r="A1191" s="1705"/>
      <c r="B1191" s="1705"/>
      <c r="C1191" s="1705"/>
      <c r="D1191" s="1705"/>
      <c r="E1191" s="1705"/>
      <c r="F1191" s="1705"/>
      <c r="G1191" s="1705"/>
      <c r="H1191" s="1705"/>
      <c r="I1191" s="1705"/>
      <c r="J1191" s="1705"/>
      <c r="K1191" s="1705"/>
      <c r="L1191" s="1705"/>
      <c r="M1191" s="1705"/>
      <c r="N1191" s="1705"/>
      <c r="O1191" s="1705"/>
      <c r="P1191" s="1705"/>
      <c r="Q1191" s="1705"/>
      <c r="R1191" s="1705"/>
      <c r="S1191" s="1705"/>
      <c r="T1191" s="1705"/>
    </row>
    <row r="1192" spans="1:20" ht="12.75" customHeight="1">
      <c r="A1192" s="1705"/>
      <c r="B1192" s="1705"/>
      <c r="C1192" s="1705"/>
      <c r="D1192" s="1705"/>
      <c r="E1192" s="1705"/>
      <c r="F1192" s="1705"/>
      <c r="G1192" s="1705"/>
      <c r="H1192" s="1705"/>
      <c r="I1192" s="1705"/>
      <c r="J1192" s="1705"/>
      <c r="K1192" s="1705"/>
      <c r="L1192" s="1705"/>
      <c r="M1192" s="1705"/>
      <c r="N1192" s="1705"/>
      <c r="O1192" s="1705"/>
      <c r="P1192" s="1705"/>
      <c r="Q1192" s="1705"/>
      <c r="R1192" s="1705"/>
      <c r="S1192" s="1705"/>
      <c r="T1192" s="1705"/>
    </row>
    <row r="1193" spans="1:20" ht="12.75" customHeight="1">
      <c r="A1193" s="1705"/>
      <c r="B1193" s="1705"/>
      <c r="C1193" s="1705"/>
      <c r="D1193" s="1705"/>
      <c r="E1193" s="1705"/>
      <c r="F1193" s="1705"/>
      <c r="G1193" s="1705"/>
      <c r="H1193" s="1705"/>
      <c r="I1193" s="1705"/>
      <c r="J1193" s="1705"/>
      <c r="K1193" s="1705"/>
      <c r="L1193" s="1705"/>
      <c r="M1193" s="1705"/>
      <c r="N1193" s="1705"/>
      <c r="O1193" s="1705"/>
      <c r="P1193" s="1705"/>
      <c r="Q1193" s="1705"/>
      <c r="R1193" s="1705"/>
      <c r="S1193" s="1705"/>
      <c r="T1193" s="1705"/>
    </row>
    <row r="1194" spans="1:20" ht="12.75" customHeight="1">
      <c r="A1194" s="1705"/>
      <c r="B1194" s="1705"/>
      <c r="C1194" s="1705"/>
      <c r="D1194" s="1705"/>
      <c r="E1194" s="1705"/>
      <c r="F1194" s="1705"/>
      <c r="G1194" s="1705"/>
      <c r="H1194" s="1705"/>
      <c r="I1194" s="1705"/>
      <c r="J1194" s="1705"/>
      <c r="K1194" s="1705"/>
      <c r="L1194" s="1705"/>
      <c r="M1194" s="1705"/>
      <c r="N1194" s="1705"/>
      <c r="O1194" s="1705"/>
      <c r="P1194" s="1705"/>
      <c r="Q1194" s="1705"/>
      <c r="R1194" s="1705"/>
      <c r="S1194" s="1705"/>
      <c r="T1194" s="1705"/>
    </row>
    <row r="1195" spans="1:20" ht="12.75" customHeight="1">
      <c r="A1195" s="1705"/>
      <c r="B1195" s="1705"/>
      <c r="C1195" s="1705"/>
      <c r="D1195" s="1705"/>
      <c r="E1195" s="1705"/>
      <c r="F1195" s="1705"/>
      <c r="G1195" s="1705"/>
      <c r="H1195" s="1705"/>
      <c r="I1195" s="1705"/>
      <c r="J1195" s="1705"/>
      <c r="K1195" s="1705"/>
      <c r="L1195" s="1705"/>
      <c r="M1195" s="1705"/>
      <c r="N1195" s="1705"/>
      <c r="O1195" s="1705"/>
      <c r="P1195" s="1705"/>
      <c r="Q1195" s="1705"/>
      <c r="R1195" s="1705"/>
      <c r="S1195" s="1705"/>
      <c r="T1195" s="1705"/>
    </row>
    <row r="1196" spans="1:20" ht="12.75" customHeight="1">
      <c r="A1196" s="1705"/>
      <c r="B1196" s="1705"/>
      <c r="C1196" s="1705"/>
      <c r="D1196" s="1705"/>
      <c r="E1196" s="1705"/>
      <c r="F1196" s="1705"/>
      <c r="G1196" s="1705"/>
      <c r="H1196" s="1705"/>
      <c r="I1196" s="1705"/>
      <c r="J1196" s="1705"/>
      <c r="K1196" s="1705"/>
      <c r="L1196" s="1705"/>
      <c r="M1196" s="1705"/>
      <c r="N1196" s="1705"/>
      <c r="O1196" s="1705"/>
      <c r="P1196" s="1705"/>
      <c r="Q1196" s="1705"/>
      <c r="R1196" s="1705"/>
      <c r="S1196" s="1705"/>
      <c r="T1196" s="1705"/>
    </row>
    <row r="1197" spans="1:20" ht="12.75" customHeight="1">
      <c r="A1197" s="1705"/>
      <c r="B1197" s="1705"/>
      <c r="C1197" s="1705"/>
      <c r="D1197" s="1705"/>
      <c r="E1197" s="1705"/>
      <c r="F1197" s="1705"/>
      <c r="G1197" s="1705"/>
      <c r="H1197" s="1705"/>
      <c r="I1197" s="1705"/>
      <c r="J1197" s="1705"/>
      <c r="K1197" s="1705"/>
      <c r="L1197" s="1705"/>
      <c r="M1197" s="1705"/>
      <c r="N1197" s="1705"/>
      <c r="O1197" s="1705"/>
      <c r="P1197" s="1705"/>
      <c r="Q1197" s="1705"/>
      <c r="R1197" s="1705"/>
      <c r="S1197" s="1705"/>
      <c r="T1197" s="1705"/>
    </row>
    <row r="1198" spans="1:20" ht="12.75" customHeight="1">
      <c r="A1198" s="1705"/>
      <c r="B1198" s="1705"/>
      <c r="C1198" s="1705"/>
      <c r="D1198" s="1705"/>
      <c r="E1198" s="1705"/>
      <c r="F1198" s="1705"/>
      <c r="G1198" s="1705"/>
      <c r="H1198" s="1705"/>
      <c r="I1198" s="1705"/>
      <c r="J1198" s="1705"/>
      <c r="K1198" s="1705"/>
      <c r="L1198" s="1705"/>
      <c r="M1198" s="1705"/>
      <c r="N1198" s="1705"/>
      <c r="O1198" s="1705"/>
      <c r="P1198" s="1705"/>
      <c r="Q1198" s="1705"/>
      <c r="R1198" s="1705"/>
      <c r="S1198" s="1705"/>
      <c r="T1198" s="1705"/>
    </row>
    <row r="1199" spans="1:20" ht="12.75" customHeight="1">
      <c r="A1199" s="1705"/>
      <c r="B1199" s="1705"/>
      <c r="C1199" s="1705"/>
      <c r="D1199" s="1705"/>
      <c r="E1199" s="1705"/>
      <c r="F1199" s="1705"/>
      <c r="G1199" s="1705"/>
      <c r="H1199" s="1705"/>
      <c r="I1199" s="1705"/>
      <c r="J1199" s="1705"/>
      <c r="K1199" s="1705"/>
      <c r="L1199" s="1705"/>
      <c r="M1199" s="1705"/>
      <c r="N1199" s="1705"/>
      <c r="O1199" s="1705"/>
      <c r="P1199" s="1705"/>
      <c r="Q1199" s="1705"/>
      <c r="R1199" s="1705"/>
      <c r="S1199" s="1705"/>
      <c r="T1199" s="1705"/>
    </row>
    <row r="1200" spans="1:20" ht="12.75" customHeight="1">
      <c r="A1200" s="1705"/>
      <c r="B1200" s="1705"/>
      <c r="C1200" s="1705"/>
      <c r="D1200" s="1705"/>
      <c r="E1200" s="1705"/>
      <c r="F1200" s="1705"/>
      <c r="G1200" s="1705"/>
      <c r="H1200" s="1705"/>
      <c r="I1200" s="1705"/>
      <c r="J1200" s="1705"/>
      <c r="K1200" s="1705"/>
      <c r="L1200" s="1705"/>
      <c r="M1200" s="1705"/>
      <c r="N1200" s="1705"/>
      <c r="O1200" s="1705"/>
      <c r="P1200" s="1705"/>
      <c r="Q1200" s="1705"/>
      <c r="R1200" s="1705"/>
      <c r="S1200" s="1705"/>
      <c r="T1200" s="1705"/>
    </row>
    <row r="1201" spans="1:20" ht="12.75" customHeight="1">
      <c r="A1201" s="1705"/>
      <c r="B1201" s="1705"/>
      <c r="C1201" s="1705"/>
      <c r="D1201" s="1705"/>
      <c r="E1201" s="1705"/>
      <c r="F1201" s="1705"/>
      <c r="G1201" s="1705"/>
      <c r="H1201" s="1705"/>
      <c r="I1201" s="1705"/>
      <c r="J1201" s="1705"/>
      <c r="K1201" s="1705"/>
      <c r="L1201" s="1705"/>
      <c r="M1201" s="1705"/>
      <c r="N1201" s="1705"/>
      <c r="O1201" s="1705"/>
      <c r="P1201" s="1705"/>
      <c r="Q1201" s="1705"/>
      <c r="R1201" s="1705"/>
      <c r="S1201" s="1705"/>
      <c r="T1201" s="1705"/>
    </row>
    <row r="1202" spans="1:20" ht="12.75" customHeight="1">
      <c r="A1202" s="1705"/>
      <c r="B1202" s="1705"/>
      <c r="C1202" s="1705"/>
      <c r="D1202" s="1705"/>
      <c r="E1202" s="1705"/>
      <c r="F1202" s="1705"/>
      <c r="G1202" s="1705"/>
      <c r="H1202" s="1705"/>
      <c r="I1202" s="1705"/>
      <c r="J1202" s="1705"/>
      <c r="K1202" s="1705"/>
      <c r="L1202" s="1705"/>
      <c r="M1202" s="1705"/>
      <c r="N1202" s="1705"/>
      <c r="O1202" s="1705"/>
      <c r="P1202" s="1705"/>
      <c r="Q1202" s="1705"/>
      <c r="R1202" s="1705"/>
      <c r="S1202" s="1705"/>
      <c r="T1202" s="1705"/>
    </row>
    <row r="1203" spans="1:20" ht="12.75" customHeight="1">
      <c r="A1203" s="1705"/>
      <c r="B1203" s="1705"/>
      <c r="C1203" s="1705"/>
      <c r="D1203" s="1705"/>
      <c r="E1203" s="1705"/>
      <c r="F1203" s="1705"/>
      <c r="G1203" s="1705"/>
      <c r="H1203" s="1705"/>
      <c r="I1203" s="1705"/>
      <c r="J1203" s="1705"/>
      <c r="K1203" s="1705"/>
      <c r="L1203" s="1705"/>
      <c r="M1203" s="1705"/>
      <c r="N1203" s="1705"/>
      <c r="O1203" s="1705"/>
      <c r="P1203" s="1705"/>
      <c r="Q1203" s="1705"/>
      <c r="R1203" s="1705"/>
      <c r="S1203" s="1705"/>
      <c r="T1203" s="1705"/>
    </row>
    <row r="1204" spans="1:20" ht="12.75" customHeight="1">
      <c r="A1204" s="1705"/>
      <c r="B1204" s="1705"/>
      <c r="C1204" s="1705"/>
      <c r="D1204" s="1705"/>
      <c r="E1204" s="1705"/>
      <c r="F1204" s="1705"/>
      <c r="G1204" s="1705"/>
      <c r="H1204" s="1705"/>
      <c r="I1204" s="1705"/>
      <c r="J1204" s="1705"/>
      <c r="K1204" s="1705"/>
      <c r="L1204" s="1705"/>
      <c r="M1204" s="1705"/>
      <c r="N1204" s="1705"/>
      <c r="O1204" s="1705"/>
      <c r="P1204" s="1705"/>
      <c r="Q1204" s="1705"/>
      <c r="R1204" s="1705"/>
      <c r="S1204" s="1705"/>
      <c r="T1204" s="1705"/>
    </row>
    <row r="1205" spans="1:20" ht="12.75" customHeight="1">
      <c r="A1205" s="1705"/>
      <c r="B1205" s="1705"/>
      <c r="C1205" s="1705"/>
      <c r="D1205" s="1705"/>
      <c r="E1205" s="1705"/>
      <c r="F1205" s="1705"/>
      <c r="G1205" s="1705"/>
      <c r="H1205" s="1705"/>
      <c r="I1205" s="1705"/>
      <c r="J1205" s="1705"/>
      <c r="K1205" s="1705"/>
      <c r="L1205" s="1705"/>
      <c r="M1205" s="1705"/>
      <c r="N1205" s="1705"/>
      <c r="O1205" s="1705"/>
      <c r="P1205" s="1705"/>
      <c r="Q1205" s="1705"/>
      <c r="R1205" s="1705"/>
      <c r="S1205" s="1705"/>
      <c r="T1205" s="1705"/>
    </row>
    <row r="1206" spans="1:20" ht="12.75" customHeight="1">
      <c r="A1206" s="1705"/>
      <c r="B1206" s="1705"/>
      <c r="C1206" s="1705"/>
      <c r="D1206" s="1705"/>
      <c r="E1206" s="1705"/>
      <c r="F1206" s="1705"/>
      <c r="G1206" s="1705"/>
      <c r="H1206" s="1705"/>
      <c r="I1206" s="1705"/>
      <c r="J1206" s="1705"/>
      <c r="K1206" s="1705"/>
      <c r="L1206" s="1705"/>
      <c r="M1206" s="1705"/>
      <c r="N1206" s="1705"/>
      <c r="O1206" s="1705"/>
      <c r="P1206" s="1705"/>
      <c r="Q1206" s="1705"/>
      <c r="R1206" s="1705"/>
      <c r="S1206" s="1705"/>
      <c r="T1206" s="1705"/>
    </row>
    <row r="1207" spans="1:20" ht="12.75" customHeight="1">
      <c r="A1207" s="1705"/>
      <c r="B1207" s="1705"/>
      <c r="C1207" s="1705"/>
      <c r="D1207" s="1705"/>
      <c r="E1207" s="1705"/>
      <c r="F1207" s="1705"/>
      <c r="G1207" s="1705"/>
      <c r="H1207" s="1705"/>
      <c r="I1207" s="1705"/>
      <c r="J1207" s="1705"/>
      <c r="K1207" s="1705"/>
      <c r="L1207" s="1705"/>
      <c r="M1207" s="1705"/>
      <c r="N1207" s="1705"/>
      <c r="O1207" s="1705"/>
      <c r="P1207" s="1705"/>
      <c r="Q1207" s="1705"/>
      <c r="R1207" s="1705"/>
      <c r="S1207" s="1705"/>
      <c r="T1207" s="1705"/>
    </row>
    <row r="1208" spans="1:20" ht="12.75" customHeight="1">
      <c r="A1208" s="1705"/>
      <c r="B1208" s="1705"/>
      <c r="C1208" s="1705"/>
      <c r="D1208" s="1705"/>
      <c r="E1208" s="1705"/>
      <c r="F1208" s="1705"/>
      <c r="G1208" s="1705"/>
      <c r="H1208" s="1705"/>
      <c r="I1208" s="1705"/>
      <c r="J1208" s="1705"/>
      <c r="K1208" s="1705"/>
      <c r="L1208" s="1705"/>
      <c r="M1208" s="1705"/>
      <c r="N1208" s="1705"/>
      <c r="O1208" s="1705"/>
      <c r="P1208" s="1705"/>
      <c r="Q1208" s="1705"/>
      <c r="R1208" s="1705"/>
      <c r="S1208" s="1705"/>
      <c r="T1208" s="1705"/>
    </row>
    <row r="1209" spans="1:20" ht="12.75" customHeight="1">
      <c r="A1209" s="1705"/>
      <c r="B1209" s="1705"/>
      <c r="C1209" s="1705"/>
      <c r="D1209" s="1705"/>
      <c r="E1209" s="1705"/>
      <c r="F1209" s="1705"/>
      <c r="G1209" s="1705"/>
      <c r="H1209" s="1705"/>
      <c r="I1209" s="1705"/>
      <c r="J1209" s="1705"/>
      <c r="K1209" s="1705"/>
      <c r="L1209" s="1705"/>
      <c r="M1209" s="1705"/>
      <c r="N1209" s="1705"/>
      <c r="O1209" s="1705"/>
      <c r="P1209" s="1705"/>
      <c r="Q1209" s="1705"/>
      <c r="R1209" s="1705"/>
      <c r="S1209" s="1705"/>
      <c r="T1209" s="1705"/>
    </row>
    <row r="1210" spans="1:20" ht="12.75" customHeight="1">
      <c r="A1210" s="1705"/>
      <c r="B1210" s="1705"/>
      <c r="C1210" s="1705"/>
      <c r="D1210" s="1705"/>
      <c r="E1210" s="1705"/>
      <c r="F1210" s="1705"/>
      <c r="G1210" s="1705"/>
      <c r="H1210" s="1705"/>
      <c r="I1210" s="1705"/>
      <c r="J1210" s="1705"/>
      <c r="K1210" s="1705"/>
      <c r="L1210" s="1705"/>
      <c r="M1210" s="1705"/>
      <c r="N1210" s="1705"/>
      <c r="O1210" s="1705"/>
      <c r="P1210" s="1705"/>
      <c r="Q1210" s="1705"/>
      <c r="R1210" s="1705"/>
      <c r="S1210" s="1705"/>
      <c r="T1210" s="1705"/>
    </row>
    <row r="1211" spans="1:20" ht="12.75" customHeight="1">
      <c r="A1211" s="1705"/>
      <c r="B1211" s="1705"/>
      <c r="C1211" s="1705"/>
      <c r="D1211" s="1705"/>
      <c r="E1211" s="1705"/>
      <c r="F1211" s="1705"/>
      <c r="G1211" s="1705"/>
      <c r="H1211" s="1705"/>
      <c r="I1211" s="1705"/>
      <c r="J1211" s="1705"/>
      <c r="K1211" s="1705"/>
      <c r="L1211" s="1705"/>
      <c r="M1211" s="1705"/>
      <c r="N1211" s="1705"/>
      <c r="O1211" s="1705"/>
      <c r="P1211" s="1705"/>
      <c r="Q1211" s="1705"/>
      <c r="R1211" s="1705"/>
      <c r="S1211" s="1705"/>
      <c r="T1211" s="1705"/>
    </row>
    <row r="1212" spans="1:20" ht="12.75" customHeight="1">
      <c r="A1212" s="1705"/>
      <c r="B1212" s="1705"/>
      <c r="C1212" s="1705"/>
      <c r="D1212" s="1705"/>
      <c r="E1212" s="1705"/>
      <c r="F1212" s="1705"/>
      <c r="G1212" s="1705"/>
      <c r="H1212" s="1705"/>
      <c r="I1212" s="1705"/>
      <c r="J1212" s="1705"/>
      <c r="K1212" s="1705"/>
      <c r="L1212" s="1705"/>
      <c r="M1212" s="1705"/>
      <c r="N1212" s="1705"/>
      <c r="O1212" s="1705"/>
      <c r="P1212" s="1705"/>
      <c r="Q1212" s="1705"/>
      <c r="R1212" s="1705"/>
      <c r="S1212" s="1705"/>
      <c r="T1212" s="1705"/>
    </row>
    <row r="1213" spans="1:20" ht="12.75" customHeight="1">
      <c r="A1213" s="1705"/>
      <c r="B1213" s="1705"/>
      <c r="C1213" s="1705"/>
      <c r="D1213" s="1705"/>
      <c r="E1213" s="1705"/>
      <c r="F1213" s="1705"/>
      <c r="G1213" s="1705"/>
      <c r="H1213" s="1705"/>
      <c r="I1213" s="1705"/>
      <c r="J1213" s="1705"/>
      <c r="K1213" s="1705"/>
      <c r="L1213" s="1705"/>
      <c r="M1213" s="1705"/>
      <c r="N1213" s="1705"/>
      <c r="O1213" s="1705"/>
      <c r="P1213" s="1705"/>
      <c r="Q1213" s="1705"/>
      <c r="R1213" s="1705"/>
      <c r="S1213" s="1705"/>
      <c r="T1213" s="1705"/>
    </row>
    <row r="1214" spans="1:20" ht="12.75" customHeight="1">
      <c r="A1214" s="1705"/>
      <c r="B1214" s="1705"/>
      <c r="C1214" s="1705"/>
      <c r="D1214" s="1705"/>
      <c r="E1214" s="1705"/>
      <c r="F1214" s="1705"/>
      <c r="G1214" s="1705"/>
      <c r="H1214" s="1705"/>
      <c r="I1214" s="1705"/>
      <c r="J1214" s="1705"/>
      <c r="K1214" s="1705"/>
      <c r="L1214" s="1705"/>
      <c r="M1214" s="1705"/>
      <c r="N1214" s="1705"/>
      <c r="O1214" s="1705"/>
      <c r="P1214" s="1705"/>
      <c r="Q1214" s="1705"/>
      <c r="R1214" s="1705"/>
      <c r="S1214" s="1705"/>
      <c r="T1214" s="1705"/>
    </row>
    <row r="1215" spans="1:20" ht="12.75" customHeight="1">
      <c r="A1215" s="1705"/>
      <c r="B1215" s="1705"/>
      <c r="C1215" s="1705"/>
      <c r="D1215" s="1705"/>
      <c r="E1215" s="1705"/>
      <c r="F1215" s="1705"/>
      <c r="G1215" s="1705"/>
      <c r="H1215" s="1705"/>
      <c r="I1215" s="1705"/>
      <c r="J1215" s="1705"/>
      <c r="K1215" s="1705"/>
      <c r="L1215" s="1705"/>
      <c r="M1215" s="1705"/>
      <c r="N1215" s="1705"/>
      <c r="O1215" s="1705"/>
      <c r="P1215" s="1705"/>
      <c r="Q1215" s="1705"/>
      <c r="R1215" s="1705"/>
      <c r="S1215" s="1705"/>
      <c r="T1215" s="1705"/>
    </row>
    <row r="1216" spans="1:20" ht="12.75" customHeight="1">
      <c r="A1216" s="1705"/>
      <c r="B1216" s="1705"/>
      <c r="C1216" s="1705"/>
      <c r="D1216" s="1705"/>
      <c r="E1216" s="1705"/>
      <c r="F1216" s="1705"/>
      <c r="G1216" s="1705"/>
      <c r="H1216" s="1705"/>
      <c r="I1216" s="1705"/>
      <c r="J1216" s="1705"/>
      <c r="K1216" s="1705"/>
      <c r="L1216" s="1705"/>
      <c r="M1216" s="1705"/>
      <c r="N1216" s="1705"/>
      <c r="O1216" s="1705"/>
      <c r="P1216" s="1705"/>
      <c r="Q1216" s="1705"/>
      <c r="R1216" s="1705"/>
      <c r="S1216" s="1705"/>
      <c r="T1216" s="1705"/>
    </row>
    <row r="1217" spans="1:20" ht="12.75" customHeight="1">
      <c r="A1217" s="1705"/>
      <c r="B1217" s="1705"/>
      <c r="C1217" s="1705"/>
      <c r="D1217" s="1705"/>
      <c r="E1217" s="1705"/>
      <c r="F1217" s="1705"/>
      <c r="G1217" s="1705"/>
      <c r="H1217" s="1705"/>
      <c r="I1217" s="1705"/>
      <c r="J1217" s="1705"/>
      <c r="K1217" s="1705"/>
      <c r="L1217" s="1705"/>
      <c r="M1217" s="1705"/>
      <c r="N1217" s="1705"/>
      <c r="O1217" s="1705"/>
      <c r="P1217" s="1705"/>
      <c r="Q1217" s="1705"/>
      <c r="R1217" s="1705"/>
      <c r="S1217" s="1705"/>
      <c r="T1217" s="1705"/>
    </row>
    <row r="1218" spans="1:20" ht="12.75" customHeight="1">
      <c r="A1218" s="1705"/>
      <c r="B1218" s="1705"/>
      <c r="C1218" s="1705"/>
      <c r="D1218" s="1705"/>
      <c r="E1218" s="1705"/>
      <c r="F1218" s="1705"/>
      <c r="G1218" s="1705"/>
      <c r="H1218" s="1705"/>
      <c r="I1218" s="1705"/>
      <c r="J1218" s="1705"/>
      <c r="K1218" s="1705"/>
      <c r="L1218" s="1705"/>
      <c r="M1218" s="1705"/>
      <c r="N1218" s="1705"/>
      <c r="O1218" s="1705"/>
      <c r="P1218" s="1705"/>
      <c r="Q1218" s="1705"/>
      <c r="R1218" s="1705"/>
      <c r="S1218" s="1705"/>
      <c r="T1218" s="1705"/>
    </row>
    <row r="1219" spans="1:20" ht="12.75" customHeight="1">
      <c r="A1219" s="1705"/>
      <c r="B1219" s="1705"/>
      <c r="C1219" s="1705"/>
      <c r="D1219" s="1705"/>
      <c r="E1219" s="1705"/>
      <c r="F1219" s="1705"/>
      <c r="G1219" s="1705"/>
      <c r="H1219" s="1705"/>
      <c r="I1219" s="1705"/>
      <c r="J1219" s="1705"/>
      <c r="K1219" s="1705"/>
      <c r="L1219" s="1705"/>
      <c r="M1219" s="1705"/>
      <c r="N1219" s="1705"/>
      <c r="O1219" s="1705"/>
      <c r="P1219" s="1705"/>
      <c r="Q1219" s="1705"/>
      <c r="R1219" s="1705"/>
      <c r="S1219" s="1705"/>
      <c r="T1219" s="1705"/>
    </row>
    <row r="1220" spans="1:20" ht="12.75" customHeight="1">
      <c r="A1220" s="1705"/>
      <c r="B1220" s="1705"/>
      <c r="C1220" s="1705"/>
      <c r="D1220" s="1705"/>
      <c r="E1220" s="1705"/>
      <c r="F1220" s="1705"/>
      <c r="G1220" s="1705"/>
      <c r="H1220" s="1705"/>
      <c r="I1220" s="1705"/>
      <c r="J1220" s="1705"/>
      <c r="K1220" s="1705"/>
      <c r="L1220" s="1705"/>
      <c r="M1220" s="1705"/>
      <c r="N1220" s="1705"/>
      <c r="O1220" s="1705"/>
      <c r="P1220" s="1705"/>
      <c r="Q1220" s="1705"/>
      <c r="R1220" s="1705"/>
      <c r="S1220" s="1705"/>
      <c r="T1220" s="1705"/>
    </row>
    <row r="1221" spans="1:20" ht="12.75" customHeight="1">
      <c r="A1221" s="1705"/>
      <c r="B1221" s="1705"/>
      <c r="C1221" s="1705"/>
      <c r="D1221" s="1705"/>
      <c r="E1221" s="1705"/>
      <c r="F1221" s="1705"/>
      <c r="G1221" s="1705"/>
      <c r="H1221" s="1705"/>
      <c r="I1221" s="1705"/>
      <c r="J1221" s="1705"/>
      <c r="K1221" s="1705"/>
      <c r="L1221" s="1705"/>
      <c r="M1221" s="1705"/>
      <c r="N1221" s="1705"/>
      <c r="O1221" s="1705"/>
      <c r="P1221" s="1705"/>
      <c r="Q1221" s="1705"/>
      <c r="R1221" s="1705"/>
      <c r="S1221" s="1705"/>
      <c r="T1221" s="1705"/>
    </row>
    <row r="1222" spans="1:20" ht="12.75" customHeight="1">
      <c r="A1222" s="1705"/>
      <c r="B1222" s="1705"/>
      <c r="C1222" s="1705"/>
      <c r="D1222" s="1705"/>
      <c r="E1222" s="1705"/>
      <c r="F1222" s="1705"/>
      <c r="G1222" s="1705"/>
      <c r="H1222" s="1705"/>
      <c r="I1222" s="1705"/>
      <c r="J1222" s="1705"/>
      <c r="K1222" s="1705"/>
      <c r="L1222" s="1705"/>
      <c r="M1222" s="1705"/>
      <c r="N1222" s="1705"/>
      <c r="O1222" s="1705"/>
      <c r="P1222" s="1705"/>
      <c r="Q1222" s="1705"/>
      <c r="R1222" s="1705"/>
      <c r="S1222" s="1705"/>
      <c r="T1222" s="1705"/>
    </row>
    <row r="1223" spans="1:20" ht="12.75" customHeight="1">
      <c r="A1223" s="1705"/>
      <c r="B1223" s="1705"/>
      <c r="C1223" s="1705"/>
      <c r="D1223" s="1705"/>
      <c r="E1223" s="1705"/>
      <c r="F1223" s="1705"/>
      <c r="G1223" s="1705"/>
      <c r="H1223" s="1705"/>
      <c r="I1223" s="1705"/>
      <c r="J1223" s="1705"/>
      <c r="K1223" s="1705"/>
      <c r="L1223" s="1705"/>
      <c r="M1223" s="1705"/>
      <c r="N1223" s="1705"/>
      <c r="O1223" s="1705"/>
      <c r="P1223" s="1705"/>
      <c r="Q1223" s="1705"/>
      <c r="R1223" s="1705"/>
      <c r="S1223" s="1705"/>
      <c r="T1223" s="1705"/>
    </row>
    <row r="1224" spans="1:20" ht="12.75" customHeight="1">
      <c r="A1224" s="1705"/>
      <c r="B1224" s="1705"/>
      <c r="C1224" s="1705"/>
      <c r="D1224" s="1705"/>
      <c r="E1224" s="1705"/>
      <c r="F1224" s="1705"/>
      <c r="G1224" s="1705"/>
      <c r="H1224" s="1705"/>
      <c r="I1224" s="1705"/>
      <c r="J1224" s="1705"/>
      <c r="K1224" s="1705"/>
      <c r="L1224" s="1705"/>
      <c r="M1224" s="1705"/>
      <c r="N1224" s="1705"/>
      <c r="O1224" s="1705"/>
      <c r="P1224" s="1705"/>
      <c r="Q1224" s="1705"/>
      <c r="R1224" s="1705"/>
      <c r="S1224" s="1705"/>
      <c r="T1224" s="1705"/>
    </row>
    <row r="1225" spans="1:20" ht="12.75" customHeight="1">
      <c r="A1225" s="1705"/>
      <c r="B1225" s="1705"/>
      <c r="C1225" s="1705"/>
      <c r="D1225" s="1705"/>
      <c r="E1225" s="1705"/>
      <c r="F1225" s="1705"/>
      <c r="G1225" s="1705"/>
      <c r="H1225" s="1705"/>
      <c r="I1225" s="1705"/>
      <c r="J1225" s="1705"/>
      <c r="K1225" s="1705"/>
      <c r="L1225" s="1705"/>
      <c r="M1225" s="1705"/>
      <c r="N1225" s="1705"/>
      <c r="O1225" s="1705"/>
      <c r="P1225" s="1705"/>
      <c r="Q1225" s="1705"/>
      <c r="R1225" s="1705"/>
      <c r="S1225" s="1705"/>
      <c r="T1225" s="1705"/>
    </row>
    <row r="1226" spans="1:20" ht="12.75" customHeight="1">
      <c r="A1226" s="1705"/>
      <c r="B1226" s="1705"/>
      <c r="C1226" s="1705"/>
      <c r="D1226" s="1705"/>
      <c r="E1226" s="1705"/>
      <c r="F1226" s="1705"/>
      <c r="G1226" s="1705"/>
      <c r="H1226" s="1705"/>
      <c r="I1226" s="1705"/>
      <c r="J1226" s="1705"/>
      <c r="K1226" s="1705"/>
      <c r="L1226" s="1705"/>
      <c r="M1226" s="1705"/>
      <c r="N1226" s="1705"/>
      <c r="O1226" s="1705"/>
      <c r="P1226" s="1705"/>
      <c r="Q1226" s="1705"/>
      <c r="R1226" s="1705"/>
      <c r="S1226" s="1705"/>
      <c r="T1226" s="1705"/>
    </row>
    <row r="1227" spans="1:20" ht="12.75" customHeight="1">
      <c r="A1227" s="1705"/>
      <c r="B1227" s="1705"/>
      <c r="C1227" s="1705"/>
      <c r="D1227" s="1705"/>
      <c r="E1227" s="1705"/>
      <c r="F1227" s="1705"/>
      <c r="G1227" s="1705"/>
      <c r="H1227" s="1705"/>
      <c r="I1227" s="1705"/>
      <c r="J1227" s="1705"/>
      <c r="K1227" s="1705"/>
      <c r="L1227" s="1705"/>
      <c r="M1227" s="1705"/>
      <c r="N1227" s="1705"/>
      <c r="O1227" s="1705"/>
      <c r="P1227" s="1705"/>
      <c r="Q1227" s="1705"/>
      <c r="R1227" s="1705"/>
      <c r="S1227" s="1705"/>
      <c r="T1227" s="1705"/>
    </row>
    <row r="1228" spans="1:20" ht="12.75" customHeight="1">
      <c r="A1228" s="1705"/>
      <c r="B1228" s="1705"/>
      <c r="C1228" s="1705"/>
      <c r="D1228" s="1705"/>
      <c r="E1228" s="1705"/>
      <c r="F1228" s="1705"/>
      <c r="G1228" s="1705"/>
      <c r="H1228" s="1705"/>
      <c r="I1228" s="1705"/>
      <c r="J1228" s="1705"/>
      <c r="K1228" s="1705"/>
      <c r="L1228" s="1705"/>
      <c r="M1228" s="1705"/>
      <c r="N1228" s="1705"/>
      <c r="O1228" s="1705"/>
      <c r="P1228" s="1705"/>
      <c r="Q1228" s="1705"/>
      <c r="R1228" s="1705"/>
      <c r="S1228" s="1705"/>
      <c r="T1228" s="1705"/>
    </row>
    <row r="1229" spans="1:20" ht="12.75" customHeight="1">
      <c r="A1229" s="1705"/>
      <c r="B1229" s="1705"/>
      <c r="C1229" s="1705"/>
      <c r="D1229" s="1705"/>
      <c r="E1229" s="1705"/>
      <c r="F1229" s="1705"/>
      <c r="G1229" s="1705"/>
      <c r="H1229" s="1705"/>
      <c r="I1229" s="1705"/>
      <c r="J1229" s="1705"/>
      <c r="K1229" s="1705"/>
      <c r="L1229" s="1705"/>
      <c r="M1229" s="1705"/>
      <c r="N1229" s="1705"/>
      <c r="O1229" s="1705"/>
      <c r="P1229" s="1705"/>
      <c r="Q1229" s="1705"/>
      <c r="R1229" s="1705"/>
      <c r="S1229" s="1705"/>
      <c r="T1229" s="1705"/>
    </row>
    <row r="1230" spans="1:20" ht="12.75" customHeight="1">
      <c r="A1230" s="1705"/>
      <c r="B1230" s="1705"/>
      <c r="C1230" s="1705"/>
      <c r="D1230" s="1705"/>
      <c r="E1230" s="1705"/>
      <c r="F1230" s="1705"/>
      <c r="G1230" s="1705"/>
      <c r="H1230" s="1705"/>
      <c r="I1230" s="1705"/>
      <c r="J1230" s="1705"/>
      <c r="K1230" s="1705"/>
      <c r="L1230" s="1705"/>
      <c r="M1230" s="1705"/>
      <c r="N1230" s="1705"/>
      <c r="O1230" s="1705"/>
      <c r="P1230" s="1705"/>
      <c r="Q1230" s="1705"/>
      <c r="R1230" s="1705"/>
      <c r="S1230" s="1705"/>
      <c r="T1230" s="1705"/>
    </row>
    <row r="1231" spans="1:20" ht="12.75" customHeight="1">
      <c r="A1231" s="1705"/>
      <c r="B1231" s="1705"/>
      <c r="C1231" s="1705"/>
      <c r="D1231" s="1705"/>
      <c r="E1231" s="1705"/>
      <c r="F1231" s="1705"/>
      <c r="G1231" s="1705"/>
      <c r="H1231" s="1705"/>
      <c r="I1231" s="1705"/>
      <c r="J1231" s="1705"/>
      <c r="K1231" s="1705"/>
      <c r="L1231" s="1705"/>
      <c r="M1231" s="1705"/>
      <c r="N1231" s="1705"/>
      <c r="O1231" s="1705"/>
      <c r="P1231" s="1705"/>
      <c r="Q1231" s="1705"/>
      <c r="R1231" s="1705"/>
      <c r="S1231" s="1705"/>
      <c r="T1231" s="1705"/>
    </row>
    <row r="1232" spans="1:20" ht="12.75" customHeight="1">
      <c r="A1232" s="1705"/>
      <c r="B1232" s="1705"/>
      <c r="C1232" s="1705"/>
      <c r="D1232" s="1705"/>
      <c r="E1232" s="1705"/>
      <c r="F1232" s="1705"/>
      <c r="G1232" s="1705"/>
      <c r="H1232" s="1705"/>
      <c r="I1232" s="1705"/>
      <c r="J1232" s="1705"/>
      <c r="K1232" s="1705"/>
      <c r="L1232" s="1705"/>
      <c r="M1232" s="1705"/>
      <c r="N1232" s="1705"/>
      <c r="O1232" s="1705"/>
      <c r="P1232" s="1705"/>
      <c r="Q1232" s="1705"/>
      <c r="R1232" s="1705"/>
      <c r="S1232" s="1705"/>
      <c r="T1232" s="1705"/>
    </row>
    <row r="1233" spans="1:20" ht="12.75" customHeight="1">
      <c r="A1233" s="1705"/>
      <c r="B1233" s="1705"/>
      <c r="C1233" s="1705"/>
      <c r="D1233" s="1705"/>
      <c r="E1233" s="1705"/>
      <c r="F1233" s="1705"/>
      <c r="G1233" s="1705"/>
      <c r="H1233" s="1705"/>
      <c r="I1233" s="1705"/>
      <c r="J1233" s="1705"/>
      <c r="K1233" s="1705"/>
      <c r="L1233" s="1705"/>
      <c r="M1233" s="1705"/>
      <c r="N1233" s="1705"/>
      <c r="O1233" s="1705"/>
      <c r="P1233" s="1705"/>
      <c r="Q1233" s="1705"/>
      <c r="R1233" s="1705"/>
      <c r="S1233" s="1705"/>
      <c r="T1233" s="1705"/>
    </row>
    <row r="1234" spans="1:20" ht="12.75" customHeight="1">
      <c r="A1234" s="1705"/>
      <c r="B1234" s="1705"/>
      <c r="C1234" s="1705"/>
      <c r="D1234" s="1705"/>
      <c r="E1234" s="1705"/>
      <c r="F1234" s="1705"/>
      <c r="G1234" s="1705"/>
      <c r="H1234" s="1705"/>
      <c r="I1234" s="1705"/>
      <c r="J1234" s="1705"/>
      <c r="K1234" s="1705"/>
      <c r="L1234" s="1705"/>
      <c r="M1234" s="1705"/>
      <c r="N1234" s="1705"/>
      <c r="O1234" s="1705"/>
      <c r="P1234" s="1705"/>
      <c r="Q1234" s="1705"/>
      <c r="R1234" s="1705"/>
      <c r="S1234" s="1705"/>
      <c r="T1234" s="1705"/>
    </row>
    <row r="1235" spans="1:20" ht="12.75" customHeight="1">
      <c r="A1235" s="1705"/>
      <c r="B1235" s="1705"/>
      <c r="C1235" s="1705"/>
      <c r="D1235" s="1705"/>
      <c r="E1235" s="1705"/>
      <c r="F1235" s="1705"/>
      <c r="G1235" s="1705"/>
      <c r="H1235" s="1705"/>
      <c r="I1235" s="1705"/>
      <c r="J1235" s="1705"/>
      <c r="K1235" s="1705"/>
      <c r="L1235" s="1705"/>
      <c r="M1235" s="1705"/>
      <c r="N1235" s="1705"/>
      <c r="O1235" s="1705"/>
      <c r="P1235" s="1705"/>
      <c r="Q1235" s="1705"/>
      <c r="R1235" s="1705"/>
      <c r="S1235" s="1705"/>
      <c r="T1235" s="1705"/>
    </row>
    <row r="1236" spans="1:20" ht="12.75" customHeight="1">
      <c r="A1236" s="1705"/>
      <c r="B1236" s="1705"/>
      <c r="C1236" s="1705"/>
      <c r="D1236" s="1705"/>
      <c r="E1236" s="1705"/>
      <c r="F1236" s="1705"/>
      <c r="G1236" s="1705"/>
      <c r="H1236" s="1705"/>
      <c r="I1236" s="1705"/>
      <c r="J1236" s="1705"/>
      <c r="K1236" s="1705"/>
      <c r="L1236" s="1705"/>
      <c r="M1236" s="1705"/>
      <c r="N1236" s="1705"/>
      <c r="O1236" s="1705"/>
      <c r="P1236" s="1705"/>
      <c r="Q1236" s="1705"/>
      <c r="R1236" s="1705"/>
      <c r="S1236" s="1705"/>
      <c r="T1236" s="1705"/>
    </row>
    <row r="1237" spans="1:20" ht="12.75" customHeight="1">
      <c r="A1237" s="1705"/>
      <c r="B1237" s="1705"/>
      <c r="C1237" s="1705"/>
      <c r="D1237" s="1705"/>
      <c r="E1237" s="1705"/>
      <c r="F1237" s="1705"/>
      <c r="G1237" s="1705"/>
      <c r="H1237" s="1705"/>
      <c r="I1237" s="1705"/>
      <c r="J1237" s="1705"/>
      <c r="K1237" s="1705"/>
      <c r="L1237" s="1705"/>
      <c r="M1237" s="1705"/>
      <c r="N1237" s="1705"/>
      <c r="O1237" s="1705"/>
      <c r="P1237" s="1705"/>
      <c r="Q1237" s="1705"/>
      <c r="R1237" s="1705"/>
      <c r="S1237" s="1705"/>
      <c r="T1237" s="1705"/>
    </row>
    <row r="1238" spans="1:20" ht="12.75" customHeight="1">
      <c r="A1238" s="1705"/>
      <c r="B1238" s="1705"/>
      <c r="C1238" s="1705"/>
      <c r="D1238" s="1705"/>
      <c r="E1238" s="1705"/>
      <c r="F1238" s="1705"/>
      <c r="G1238" s="1705"/>
      <c r="H1238" s="1705"/>
      <c r="I1238" s="1705"/>
      <c r="J1238" s="1705"/>
      <c r="K1238" s="1705"/>
      <c r="L1238" s="1705"/>
      <c r="M1238" s="1705"/>
      <c r="N1238" s="1705"/>
      <c r="O1238" s="1705"/>
      <c r="P1238" s="1705"/>
      <c r="Q1238" s="1705"/>
      <c r="R1238" s="1705"/>
      <c r="S1238" s="1705"/>
      <c r="T1238" s="1705"/>
    </row>
    <row r="1239" spans="1:20" ht="12.75" customHeight="1">
      <c r="A1239" s="1705"/>
      <c r="B1239" s="1705"/>
      <c r="C1239" s="1705"/>
      <c r="D1239" s="1705"/>
      <c r="E1239" s="1705"/>
      <c r="F1239" s="1705"/>
      <c r="G1239" s="1705"/>
      <c r="H1239" s="1705"/>
      <c r="I1239" s="1705"/>
      <c r="J1239" s="1705"/>
      <c r="K1239" s="1705"/>
      <c r="L1239" s="1705"/>
      <c r="M1239" s="1705"/>
      <c r="N1239" s="1705"/>
      <c r="O1239" s="1705"/>
      <c r="P1239" s="1705"/>
      <c r="Q1239" s="1705"/>
      <c r="R1239" s="1705"/>
      <c r="S1239" s="1705"/>
      <c r="T1239" s="1705"/>
    </row>
    <row r="1240" spans="1:20" ht="12.75" customHeight="1">
      <c r="A1240" s="1705"/>
      <c r="B1240" s="1705"/>
      <c r="C1240" s="1705"/>
      <c r="D1240" s="1705"/>
      <c r="E1240" s="1705"/>
      <c r="F1240" s="1705"/>
      <c r="G1240" s="1705"/>
      <c r="H1240" s="1705"/>
      <c r="I1240" s="1705"/>
      <c r="J1240" s="1705"/>
      <c r="K1240" s="1705"/>
      <c r="L1240" s="1705"/>
      <c r="M1240" s="1705"/>
      <c r="N1240" s="1705"/>
      <c r="O1240" s="1705"/>
      <c r="P1240" s="1705"/>
      <c r="Q1240" s="1705"/>
      <c r="R1240" s="1705"/>
      <c r="S1240" s="1705"/>
      <c r="T1240" s="1705"/>
    </row>
    <row r="1241" spans="1:20" ht="12.75" customHeight="1">
      <c r="A1241" s="1705"/>
      <c r="B1241" s="1705"/>
      <c r="C1241" s="1705"/>
      <c r="D1241" s="1705"/>
      <c r="E1241" s="1705"/>
      <c r="F1241" s="1705"/>
      <c r="G1241" s="1705"/>
      <c r="H1241" s="1705"/>
      <c r="I1241" s="1705"/>
      <c r="J1241" s="1705"/>
      <c r="K1241" s="1705"/>
      <c r="L1241" s="1705"/>
      <c r="M1241" s="1705"/>
      <c r="N1241" s="1705"/>
      <c r="O1241" s="1705"/>
      <c r="P1241" s="1705"/>
      <c r="Q1241" s="1705"/>
      <c r="R1241" s="1705"/>
      <c r="S1241" s="1705"/>
      <c r="T1241" s="1705"/>
    </row>
    <row r="1242" spans="1:20" ht="12.75" customHeight="1">
      <c r="A1242" s="1705"/>
      <c r="B1242" s="1705"/>
      <c r="C1242" s="1705"/>
      <c r="D1242" s="1705"/>
      <c r="E1242" s="1705"/>
      <c r="F1242" s="1705"/>
      <c r="G1242" s="1705"/>
      <c r="H1242" s="1705"/>
      <c r="I1242" s="1705"/>
      <c r="J1242" s="1705"/>
      <c r="K1242" s="1705"/>
      <c r="L1242" s="1705"/>
      <c r="M1242" s="1705"/>
      <c r="N1242" s="1705"/>
      <c r="O1242" s="1705"/>
      <c r="P1242" s="1705"/>
      <c r="Q1242" s="1705"/>
      <c r="R1242" s="1705"/>
      <c r="S1242" s="1705"/>
      <c r="T1242" s="1705"/>
    </row>
    <row r="1243" spans="1:20" ht="12.75" customHeight="1">
      <c r="A1243" s="1705"/>
      <c r="B1243" s="1705"/>
      <c r="C1243" s="1705"/>
      <c r="D1243" s="1705"/>
      <c r="E1243" s="1705"/>
      <c r="F1243" s="1705"/>
      <c r="G1243" s="1705"/>
      <c r="H1243" s="1705"/>
      <c r="I1243" s="1705"/>
      <c r="J1243" s="1705"/>
      <c r="K1243" s="1705"/>
      <c r="L1243" s="1705"/>
      <c r="M1243" s="1705"/>
      <c r="N1243" s="1705"/>
      <c r="O1243" s="1705"/>
      <c r="P1243" s="1705"/>
      <c r="Q1243" s="1705"/>
      <c r="R1243" s="1705"/>
      <c r="S1243" s="1705"/>
      <c r="T1243" s="1705"/>
    </row>
    <row r="1244" spans="1:20" ht="12.75" customHeight="1">
      <c r="A1244" s="1705"/>
      <c r="B1244" s="1705"/>
      <c r="C1244" s="1705"/>
      <c r="D1244" s="1705"/>
      <c r="E1244" s="1705"/>
      <c r="F1244" s="1705"/>
      <c r="G1244" s="1705"/>
      <c r="H1244" s="1705"/>
      <c r="I1244" s="1705"/>
      <c r="J1244" s="1705"/>
      <c r="K1244" s="1705"/>
      <c r="L1244" s="1705"/>
      <c r="M1244" s="1705"/>
      <c r="N1244" s="1705"/>
      <c r="O1244" s="1705"/>
      <c r="P1244" s="1705"/>
      <c r="Q1244" s="1705"/>
      <c r="R1244" s="1705"/>
      <c r="S1244" s="1705"/>
      <c r="T1244" s="1705"/>
    </row>
    <row r="1245" spans="1:20" ht="12.75" customHeight="1">
      <c r="A1245" s="1705"/>
      <c r="B1245" s="1705"/>
      <c r="C1245" s="1705"/>
      <c r="D1245" s="1705"/>
      <c r="E1245" s="1705"/>
      <c r="F1245" s="1705"/>
      <c r="G1245" s="1705"/>
      <c r="H1245" s="1705"/>
      <c r="I1245" s="1705"/>
      <c r="J1245" s="1705"/>
      <c r="K1245" s="1705"/>
      <c r="L1245" s="1705"/>
      <c r="M1245" s="1705"/>
      <c r="N1245" s="1705"/>
      <c r="O1245" s="1705"/>
      <c r="P1245" s="1705"/>
      <c r="Q1245" s="1705"/>
      <c r="R1245" s="1705"/>
      <c r="S1245" s="1705"/>
      <c r="T1245" s="1705"/>
    </row>
    <row r="1246" spans="1:20" ht="12.75" customHeight="1">
      <c r="A1246" s="1705"/>
      <c r="B1246" s="1705"/>
      <c r="C1246" s="1705"/>
      <c r="D1246" s="1705"/>
      <c r="E1246" s="1705"/>
      <c r="F1246" s="1705"/>
      <c r="G1246" s="1705"/>
      <c r="H1246" s="1705"/>
      <c r="I1246" s="1705"/>
      <c r="J1246" s="1705"/>
      <c r="K1246" s="1705"/>
      <c r="L1246" s="1705"/>
      <c r="M1246" s="1705"/>
      <c r="N1246" s="1705"/>
      <c r="O1246" s="1705"/>
      <c r="P1246" s="1705"/>
      <c r="Q1246" s="1705"/>
      <c r="R1246" s="1705"/>
      <c r="S1246" s="1705"/>
      <c r="T1246" s="1705"/>
    </row>
    <row r="1247" spans="1:20" ht="12.75" customHeight="1">
      <c r="A1247" s="1705"/>
      <c r="B1247" s="1705"/>
      <c r="C1247" s="1705"/>
      <c r="D1247" s="1705"/>
      <c r="E1247" s="1705"/>
      <c r="F1247" s="1705"/>
      <c r="G1247" s="1705"/>
      <c r="H1247" s="1705"/>
      <c r="I1247" s="1705"/>
      <c r="J1247" s="1705"/>
      <c r="K1247" s="1705"/>
      <c r="L1247" s="1705"/>
      <c r="M1247" s="1705"/>
      <c r="N1247" s="1705"/>
      <c r="O1247" s="1705"/>
      <c r="P1247" s="1705"/>
      <c r="Q1247" s="1705"/>
      <c r="R1247" s="1705"/>
      <c r="S1247" s="1705"/>
      <c r="T1247" s="1705"/>
    </row>
    <row r="1248" spans="1:20" ht="12.75" customHeight="1">
      <c r="A1248" s="1705"/>
      <c r="B1248" s="1705"/>
      <c r="C1248" s="1705"/>
      <c r="D1248" s="1705"/>
      <c r="E1248" s="1705"/>
      <c r="F1248" s="1705"/>
      <c r="G1248" s="1705"/>
      <c r="H1248" s="1705"/>
      <c r="I1248" s="1705"/>
      <c r="J1248" s="1705"/>
      <c r="K1248" s="1705"/>
      <c r="L1248" s="1705"/>
      <c r="M1248" s="1705"/>
      <c r="N1248" s="1705"/>
      <c r="O1248" s="1705"/>
      <c r="P1248" s="1705"/>
      <c r="Q1248" s="1705"/>
      <c r="R1248" s="1705"/>
      <c r="S1248" s="1705"/>
      <c r="T1248" s="1705"/>
    </row>
    <row r="1249" spans="1:20" ht="12.75" customHeight="1">
      <c r="A1249" s="1705"/>
      <c r="B1249" s="1705"/>
      <c r="C1249" s="1705"/>
      <c r="D1249" s="1705"/>
      <c r="E1249" s="1705"/>
      <c r="F1249" s="1705"/>
      <c r="G1249" s="1705"/>
      <c r="H1249" s="1705"/>
      <c r="I1249" s="1705"/>
      <c r="J1249" s="1705"/>
      <c r="K1249" s="1705"/>
      <c r="L1249" s="1705"/>
      <c r="M1249" s="1705"/>
      <c r="N1249" s="1705"/>
      <c r="O1249" s="1705"/>
      <c r="P1249" s="1705"/>
      <c r="Q1249" s="1705"/>
      <c r="R1249" s="1705"/>
      <c r="S1249" s="1705"/>
      <c r="T1249" s="1705"/>
    </row>
    <row r="1250" spans="1:20" ht="12.75" customHeight="1">
      <c r="A1250" s="1705"/>
      <c r="B1250" s="1705"/>
      <c r="C1250" s="1705"/>
      <c r="D1250" s="1705"/>
      <c r="E1250" s="1705"/>
      <c r="F1250" s="1705"/>
      <c r="G1250" s="1705"/>
      <c r="H1250" s="1705"/>
      <c r="I1250" s="1705"/>
      <c r="J1250" s="1705"/>
      <c r="K1250" s="1705"/>
      <c r="L1250" s="1705"/>
      <c r="M1250" s="1705"/>
      <c r="N1250" s="1705"/>
      <c r="O1250" s="1705"/>
      <c r="P1250" s="1705"/>
      <c r="Q1250" s="1705"/>
      <c r="R1250" s="1705"/>
      <c r="S1250" s="1705"/>
      <c r="T1250" s="1705"/>
    </row>
    <row r="1251" spans="1:20" ht="12.75" customHeight="1">
      <c r="A1251" s="1705"/>
      <c r="B1251" s="1705"/>
      <c r="C1251" s="1705"/>
      <c r="D1251" s="1705"/>
      <c r="E1251" s="1705"/>
      <c r="F1251" s="1705"/>
      <c r="G1251" s="1705"/>
      <c r="H1251" s="1705"/>
      <c r="I1251" s="1705"/>
      <c r="J1251" s="1705"/>
      <c r="K1251" s="1705"/>
      <c r="L1251" s="1705"/>
      <c r="M1251" s="1705"/>
      <c r="N1251" s="1705"/>
      <c r="O1251" s="1705"/>
      <c r="P1251" s="1705"/>
      <c r="Q1251" s="1705"/>
      <c r="R1251" s="1705"/>
      <c r="S1251" s="1705"/>
      <c r="T1251" s="1705"/>
    </row>
    <row r="1252" spans="1:20" ht="12.75" customHeight="1">
      <c r="A1252" s="1705"/>
      <c r="B1252" s="1705"/>
      <c r="C1252" s="1705"/>
      <c r="D1252" s="1705"/>
      <c r="E1252" s="1705"/>
      <c r="F1252" s="1705"/>
      <c r="G1252" s="1705"/>
      <c r="H1252" s="1705"/>
      <c r="I1252" s="1705"/>
      <c r="J1252" s="1705"/>
      <c r="K1252" s="1705"/>
      <c r="L1252" s="1705"/>
      <c r="M1252" s="1705"/>
      <c r="N1252" s="1705"/>
      <c r="O1252" s="1705"/>
      <c r="P1252" s="1705"/>
      <c r="Q1252" s="1705"/>
      <c r="R1252" s="1705"/>
      <c r="S1252" s="1705"/>
      <c r="T1252" s="1705"/>
    </row>
    <row r="1253" spans="1:20" ht="12.75" customHeight="1">
      <c r="A1253" s="1705"/>
      <c r="B1253" s="1705"/>
      <c r="C1253" s="1705"/>
      <c r="D1253" s="1705"/>
      <c r="E1253" s="1705"/>
      <c r="F1253" s="1705"/>
      <c r="G1253" s="1705"/>
      <c r="H1253" s="1705"/>
      <c r="I1253" s="1705"/>
      <c r="J1253" s="1705"/>
      <c r="K1253" s="1705"/>
      <c r="L1253" s="1705"/>
      <c r="M1253" s="1705"/>
      <c r="N1253" s="1705"/>
      <c r="O1253" s="1705"/>
      <c r="P1253" s="1705"/>
      <c r="Q1253" s="1705"/>
      <c r="R1253" s="1705"/>
      <c r="S1253" s="1705"/>
      <c r="T1253" s="1705"/>
    </row>
    <row r="1254" spans="1:20" ht="12.75" customHeight="1">
      <c r="A1254" s="1705"/>
      <c r="B1254" s="1705"/>
      <c r="C1254" s="1705"/>
      <c r="D1254" s="1705"/>
      <c r="E1254" s="1705"/>
      <c r="F1254" s="1705"/>
      <c r="G1254" s="1705"/>
      <c r="H1254" s="1705"/>
      <c r="I1254" s="1705"/>
      <c r="J1254" s="1705"/>
      <c r="K1254" s="1705"/>
      <c r="L1254" s="1705"/>
      <c r="M1254" s="1705"/>
      <c r="N1254" s="1705"/>
      <c r="O1254" s="1705"/>
      <c r="P1254" s="1705"/>
      <c r="Q1254" s="1705"/>
      <c r="R1254" s="1705"/>
      <c r="S1254" s="1705"/>
      <c r="T1254" s="1705"/>
    </row>
  </sheetData>
  <pageMargins left="0.7" right="0.45" top="0.75" bottom="0.75" header="0.511811023622047" footer="0.511811023622047"/>
  <pageSetup paperSize="9" scale="75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809"/>
  <sheetViews>
    <sheetView topLeftCell="A11" workbookViewId="0">
      <selection activeCell="N87" sqref="N87"/>
    </sheetView>
  </sheetViews>
  <sheetFormatPr baseColWidth="10" defaultColWidth="9.1640625" defaultRowHeight="15"/>
  <cols>
    <col min="1" max="1" width="9.1640625" style="2225"/>
    <col min="2" max="2" width="50.33203125" style="2225" customWidth="1"/>
    <col min="3" max="5" width="12.33203125" style="2225" customWidth="1"/>
    <col min="6" max="12" width="10.33203125" style="2225" customWidth="1"/>
    <col min="13" max="13" width="8.33203125" style="2225" customWidth="1"/>
    <col min="14" max="14" width="14.33203125" style="2225" customWidth="1"/>
    <col min="15" max="15" width="6.33203125" style="2225" customWidth="1"/>
    <col min="16" max="16" width="15.33203125" style="2225" customWidth="1"/>
    <col min="17" max="17" width="18.33203125" style="2225" customWidth="1"/>
    <col min="18" max="18" width="11.6640625" style="2225" customWidth="1"/>
    <col min="19" max="20" width="9.1640625" style="2225"/>
    <col min="21" max="21" width="12.33203125" style="2225" customWidth="1"/>
    <col min="22" max="24" width="9.1640625" style="2225"/>
    <col min="25" max="25" width="12.33203125" style="2225" customWidth="1"/>
    <col min="26" max="16384" width="9.1640625" style="2225"/>
  </cols>
  <sheetData>
    <row r="1" spans="1:24" ht="24" customHeight="1">
      <c r="A1" s="2222" t="s">
        <v>998</v>
      </c>
      <c r="B1" s="2223"/>
      <c r="C1" s="2223"/>
      <c r="D1" s="2223"/>
      <c r="E1" s="2223"/>
      <c r="F1" s="2223"/>
      <c r="G1" s="2223"/>
      <c r="H1" s="2223"/>
      <c r="I1" s="2223"/>
      <c r="J1" s="2223"/>
      <c r="K1" s="2223"/>
      <c r="L1" s="2223"/>
      <c r="M1" s="2223"/>
      <c r="N1" s="2223"/>
      <c r="O1" s="2223"/>
      <c r="P1" s="2223"/>
      <c r="Q1" s="2223"/>
      <c r="R1" s="2223"/>
      <c r="S1" s="2223"/>
      <c r="T1" s="2223"/>
      <c r="U1" s="2223"/>
      <c r="V1" s="2224"/>
      <c r="W1" s="2224"/>
      <c r="X1" s="2224"/>
    </row>
    <row r="2" spans="1:24" ht="15.75" customHeight="1" thickBot="1">
      <c r="A2" s="2223"/>
      <c r="B2" s="2223"/>
      <c r="C2" s="2223"/>
      <c r="D2" s="2223"/>
      <c r="E2" s="2223"/>
      <c r="F2" s="2223"/>
      <c r="G2" s="2223"/>
      <c r="H2" s="2223"/>
      <c r="I2" s="2223"/>
      <c r="J2" s="2223"/>
      <c r="K2" s="2223"/>
      <c r="L2" s="2223"/>
      <c r="M2" s="2223"/>
      <c r="N2" s="2223"/>
      <c r="O2" s="2223"/>
      <c r="P2" s="2223"/>
      <c r="Q2" s="2223"/>
      <c r="R2" s="2223"/>
      <c r="S2" s="2223"/>
      <c r="T2" s="2223"/>
      <c r="U2" s="2223"/>
      <c r="V2" s="2224"/>
      <c r="W2" s="2224"/>
      <c r="X2" s="2224"/>
    </row>
    <row r="3" spans="1:24" ht="21.75" customHeight="1" thickBot="1">
      <c r="A3" s="3243" t="s">
        <v>1</v>
      </c>
      <c r="B3" s="3242" t="s">
        <v>68</v>
      </c>
      <c r="C3" s="3242" t="s">
        <v>77</v>
      </c>
      <c r="D3" s="3242" t="s">
        <v>78</v>
      </c>
      <c r="E3" s="3242" t="s">
        <v>79</v>
      </c>
      <c r="F3" s="3242" t="s">
        <v>6</v>
      </c>
      <c r="G3" s="3242" t="s">
        <v>999</v>
      </c>
      <c r="H3" s="3242" t="s">
        <v>977</v>
      </c>
      <c r="I3" s="3242" t="s">
        <v>978</v>
      </c>
      <c r="J3" s="3242" t="s">
        <v>1000</v>
      </c>
      <c r="K3" s="3242"/>
      <c r="L3" s="3242" t="s">
        <v>213</v>
      </c>
      <c r="M3" s="3242" t="s">
        <v>80</v>
      </c>
      <c r="N3" s="3242" t="s">
        <v>81</v>
      </c>
      <c r="O3" s="3242" t="s">
        <v>82</v>
      </c>
      <c r="P3" s="3244" t="s">
        <v>83</v>
      </c>
      <c r="Q3" s="2223"/>
      <c r="R3" s="2223"/>
      <c r="S3" s="2223"/>
      <c r="T3" s="2223"/>
      <c r="U3" s="2223"/>
      <c r="V3" s="2224"/>
      <c r="W3" s="2224"/>
      <c r="X3" s="2224"/>
    </row>
    <row r="4" spans="1:24" ht="21.75" customHeight="1" thickBot="1">
      <c r="A4" s="3243"/>
      <c r="B4" s="3242"/>
      <c r="C4" s="3242"/>
      <c r="D4" s="3242"/>
      <c r="E4" s="3242"/>
      <c r="F4" s="3242"/>
      <c r="G4" s="3242"/>
      <c r="H4" s="3242"/>
      <c r="I4" s="3242"/>
      <c r="J4" s="2226" t="s">
        <v>1001</v>
      </c>
      <c r="K4" s="2226" t="s">
        <v>1002</v>
      </c>
      <c r="L4" s="3242"/>
      <c r="M4" s="3242"/>
      <c r="N4" s="3242"/>
      <c r="O4" s="3242"/>
      <c r="P4" s="3244"/>
      <c r="Q4" s="2223"/>
      <c r="R4" s="2223"/>
      <c r="S4" s="2223"/>
      <c r="T4" s="2223"/>
      <c r="U4" s="2223"/>
      <c r="V4" s="2224"/>
      <c r="W4" s="2224"/>
      <c r="X4" s="2224"/>
    </row>
    <row r="5" spans="1:24" ht="7.5" customHeight="1" thickTop="1" thickBot="1">
      <c r="A5" s="2223"/>
      <c r="B5" s="2223"/>
      <c r="C5" s="2223"/>
      <c r="D5" s="2223"/>
      <c r="E5" s="2223"/>
      <c r="F5" s="2223"/>
      <c r="G5" s="2223"/>
      <c r="H5" s="2223"/>
      <c r="I5" s="2223"/>
      <c r="J5" s="2223"/>
      <c r="K5" s="2223"/>
      <c r="L5" s="2223"/>
      <c r="M5" s="2223"/>
      <c r="N5" s="2223"/>
      <c r="O5" s="2223"/>
      <c r="P5" s="2227"/>
      <c r="Q5" s="2223"/>
      <c r="R5" s="2223"/>
      <c r="S5" s="2223"/>
      <c r="T5" s="2223"/>
      <c r="U5" s="2223"/>
      <c r="V5" s="2224"/>
      <c r="W5" s="2224"/>
      <c r="X5" s="2224"/>
    </row>
    <row r="6" spans="1:24" ht="7.5" customHeight="1" thickTop="1">
      <c r="A6" s="2228"/>
      <c r="B6" s="2229"/>
      <c r="C6" s="2229"/>
      <c r="D6" s="2229"/>
      <c r="E6" s="2229"/>
      <c r="F6" s="2229"/>
      <c r="G6" s="2229"/>
      <c r="H6" s="2229"/>
      <c r="I6" s="2229"/>
      <c r="J6" s="2229"/>
      <c r="K6" s="2229"/>
      <c r="L6" s="2229"/>
      <c r="M6" s="2229"/>
      <c r="N6" s="2229"/>
      <c r="O6" s="2229"/>
      <c r="P6" s="2230"/>
      <c r="Q6" s="2223"/>
      <c r="R6" s="2223"/>
      <c r="S6" s="2223"/>
      <c r="T6" s="2223"/>
      <c r="U6" s="2223"/>
      <c r="V6" s="2224"/>
      <c r="W6" s="2224"/>
      <c r="X6" s="2224"/>
    </row>
    <row r="7" spans="1:24" ht="15.75" customHeight="1">
      <c r="A7" s="2231">
        <v>24</v>
      </c>
      <c r="B7" s="2232" t="s">
        <v>1631</v>
      </c>
      <c r="C7" s="513"/>
      <c r="D7" s="513"/>
      <c r="E7" s="513"/>
      <c r="F7" s="513"/>
      <c r="G7" s="513"/>
      <c r="H7" s="513"/>
      <c r="I7" s="513"/>
      <c r="J7" s="513"/>
      <c r="K7" s="513"/>
      <c r="L7" s="513"/>
      <c r="M7" s="513"/>
      <c r="N7" s="513"/>
      <c r="O7" s="2205"/>
      <c r="P7" s="2233"/>
      <c r="Q7" s="2223"/>
      <c r="R7" s="2223"/>
      <c r="S7" s="2223"/>
      <c r="T7" s="2223"/>
      <c r="U7" s="2223"/>
      <c r="V7" s="2224"/>
      <c r="W7" s="2224"/>
      <c r="X7" s="2224"/>
    </row>
    <row r="8" spans="1:24" ht="15.75" customHeight="1">
      <c r="A8" s="2231" t="s">
        <v>1632</v>
      </c>
      <c r="B8" s="2232" t="s">
        <v>395</v>
      </c>
      <c r="C8" s="513"/>
      <c r="D8" s="513"/>
      <c r="E8" s="513"/>
      <c r="F8" s="513"/>
      <c r="G8" s="513"/>
      <c r="H8" s="513"/>
      <c r="I8" s="513"/>
      <c r="J8" s="513"/>
      <c r="K8" s="513"/>
      <c r="L8" s="513"/>
      <c r="M8" s="513"/>
      <c r="N8" s="513"/>
      <c r="O8" s="2205"/>
      <c r="P8" s="2234"/>
      <c r="Q8" s="2223"/>
      <c r="R8" s="529"/>
      <c r="S8" s="2223"/>
      <c r="T8" s="2223"/>
      <c r="U8" s="2223"/>
      <c r="V8" s="2224"/>
      <c r="W8" s="2224"/>
      <c r="X8" s="2224"/>
    </row>
    <row r="9" spans="1:24" ht="15.75" customHeight="1">
      <c r="A9" s="353">
        <v>1</v>
      </c>
      <c r="B9" s="2235" t="s">
        <v>396</v>
      </c>
      <c r="C9" s="513" t="s">
        <v>1005</v>
      </c>
      <c r="D9" s="513"/>
      <c r="E9" s="513"/>
      <c r="F9" s="513"/>
      <c r="G9" s="513"/>
      <c r="H9" s="513"/>
      <c r="I9" s="513"/>
      <c r="J9" s="513"/>
      <c r="K9" s="513"/>
      <c r="L9" s="513"/>
      <c r="M9" s="513"/>
      <c r="N9" s="513"/>
      <c r="O9" s="2205"/>
      <c r="P9" s="2234"/>
      <c r="Q9" s="2223"/>
      <c r="R9" s="529"/>
      <c r="S9" s="2223"/>
      <c r="T9" s="2223"/>
      <c r="U9" s="2223"/>
      <c r="V9" s="2224"/>
      <c r="W9" s="2224"/>
      <c r="X9" s="2224"/>
    </row>
    <row r="10" spans="1:24" ht="15.75" customHeight="1">
      <c r="A10" s="353"/>
      <c r="B10" s="2235"/>
      <c r="C10" s="513">
        <f>16.1+1</f>
        <v>17.100000000000001</v>
      </c>
      <c r="D10" s="513"/>
      <c r="E10" s="513"/>
      <c r="F10" s="513"/>
      <c r="G10" s="513"/>
      <c r="H10" s="513">
        <v>2</v>
      </c>
      <c r="I10" s="513"/>
      <c r="J10" s="513"/>
      <c r="K10" s="513"/>
      <c r="L10" s="513"/>
      <c r="M10" s="513"/>
      <c r="N10" s="513">
        <f>C10*H10</f>
        <v>34.200000000000003</v>
      </c>
      <c r="O10" s="2205"/>
      <c r="P10" s="2234"/>
      <c r="Q10" s="2223"/>
      <c r="R10" s="529"/>
      <c r="S10" s="2223"/>
      <c r="T10" s="2223"/>
      <c r="U10" s="2223"/>
      <c r="V10" s="2224"/>
      <c r="W10" s="2224"/>
      <c r="X10" s="2224"/>
    </row>
    <row r="11" spans="1:24" ht="15.75" customHeight="1">
      <c r="A11" s="353"/>
      <c r="B11" s="2235"/>
      <c r="C11" s="513"/>
      <c r="D11" s="513">
        <f>6+1</f>
        <v>7</v>
      </c>
      <c r="E11" s="513"/>
      <c r="F11" s="513"/>
      <c r="G11" s="513"/>
      <c r="H11" s="513">
        <v>2</v>
      </c>
      <c r="I11" s="513"/>
      <c r="J11" s="513"/>
      <c r="K11" s="513"/>
      <c r="L11" s="513"/>
      <c r="M11" s="513"/>
      <c r="N11" s="521">
        <f>D11*H11</f>
        <v>14</v>
      </c>
      <c r="O11" s="2205"/>
      <c r="P11" s="2234"/>
      <c r="Q11" s="2223"/>
      <c r="R11" s="529"/>
      <c r="S11" s="2223"/>
      <c r="T11" s="2223"/>
      <c r="U11" s="2223"/>
      <c r="V11" s="2224"/>
      <c r="W11" s="2224"/>
      <c r="X11" s="2224"/>
    </row>
    <row r="12" spans="1:24" ht="15.75" customHeight="1">
      <c r="A12" s="353"/>
      <c r="B12" s="2235"/>
      <c r="C12" s="513"/>
      <c r="D12" s="513"/>
      <c r="E12" s="513"/>
      <c r="F12" s="513"/>
      <c r="G12" s="513"/>
      <c r="H12" s="513"/>
      <c r="I12" s="513"/>
      <c r="J12" s="513"/>
      <c r="K12" s="513"/>
      <c r="L12" s="513"/>
      <c r="M12" s="513"/>
      <c r="N12" s="514">
        <f>SUM(N10:N11)</f>
        <v>48.2</v>
      </c>
      <c r="O12" s="2205" t="s">
        <v>89</v>
      </c>
      <c r="P12" s="2234">
        <f>ROUND((N12),2)</f>
        <v>48.2</v>
      </c>
      <c r="Q12" s="2223"/>
      <c r="R12" s="529"/>
      <c r="S12" s="2223"/>
      <c r="T12" s="2223"/>
      <c r="U12" s="2223"/>
      <c r="V12" s="2224"/>
      <c r="W12" s="2224"/>
      <c r="X12" s="2224"/>
    </row>
    <row r="13" spans="1:24" ht="15.75" customHeight="1">
      <c r="A13" s="2236">
        <f>A9+1</f>
        <v>2</v>
      </c>
      <c r="B13" s="328" t="s">
        <v>523</v>
      </c>
      <c r="C13" s="513"/>
      <c r="D13" s="513"/>
      <c r="E13" s="513"/>
      <c r="F13" s="513"/>
      <c r="G13" s="513"/>
      <c r="H13" s="513"/>
      <c r="I13" s="513"/>
      <c r="J13" s="513"/>
      <c r="K13" s="513"/>
      <c r="L13" s="513"/>
      <c r="M13" s="513"/>
      <c r="N13" s="513"/>
      <c r="O13" s="2205"/>
      <c r="P13" s="2234"/>
      <c r="Q13" s="2223"/>
      <c r="R13" s="529"/>
      <c r="S13" s="2223"/>
      <c r="T13" s="2223"/>
      <c r="U13" s="2223"/>
      <c r="V13" s="2224"/>
      <c r="W13" s="2224"/>
      <c r="X13" s="2224"/>
    </row>
    <row r="14" spans="1:24" ht="15.75" customHeight="1">
      <c r="A14" s="2237" t="s">
        <v>95</v>
      </c>
      <c r="B14" s="328" t="s">
        <v>398</v>
      </c>
      <c r="C14" s="514">
        <f>0.8+0.1+0.1</f>
        <v>1</v>
      </c>
      <c r="D14" s="514">
        <f>0.8+0.1+0.1</f>
        <v>1</v>
      </c>
      <c r="E14" s="514">
        <f>0.8+0.3+0.03+0.07</f>
        <v>1.2000000000000002</v>
      </c>
      <c r="F14" s="514"/>
      <c r="G14" s="514"/>
      <c r="H14" s="514"/>
      <c r="I14" s="514"/>
      <c r="J14" s="514"/>
      <c r="K14" s="514"/>
      <c r="L14" s="514"/>
      <c r="M14" s="514">
        <v>8</v>
      </c>
      <c r="N14" s="514">
        <f>C14*D14*E14*M14</f>
        <v>9.6000000000000014</v>
      </c>
      <c r="O14" s="2205" t="s">
        <v>103</v>
      </c>
      <c r="P14" s="2234">
        <f t="shared" ref="P14:P20" si="0">ROUND((N14),2)</f>
        <v>9.6</v>
      </c>
      <c r="Q14" s="2223"/>
      <c r="R14" s="529"/>
      <c r="S14" s="2223"/>
      <c r="T14" s="2223"/>
      <c r="U14" s="2223"/>
      <c r="V14" s="2224"/>
      <c r="W14" s="2224"/>
      <c r="X14" s="2224"/>
    </row>
    <row r="15" spans="1:24" ht="15.75" customHeight="1">
      <c r="A15" s="2237" t="s">
        <v>98</v>
      </c>
      <c r="B15" s="328" t="s">
        <v>399</v>
      </c>
      <c r="C15" s="514">
        <f>C14</f>
        <v>1</v>
      </c>
      <c r="D15" s="514">
        <f>D14</f>
        <v>1</v>
      </c>
      <c r="E15" s="514">
        <v>7.0000000000000007E-2</v>
      </c>
      <c r="F15" s="514"/>
      <c r="G15" s="514"/>
      <c r="H15" s="514"/>
      <c r="I15" s="514"/>
      <c r="J15" s="514"/>
      <c r="K15" s="514"/>
      <c r="L15" s="514"/>
      <c r="M15" s="514">
        <f t="shared" ref="M15:M20" si="1">M14</f>
        <v>8</v>
      </c>
      <c r="N15" s="514">
        <f>C15*D15*E15*M15</f>
        <v>0.56000000000000005</v>
      </c>
      <c r="O15" s="2205" t="s">
        <v>103</v>
      </c>
      <c r="P15" s="2234">
        <f t="shared" si="0"/>
        <v>0.56000000000000005</v>
      </c>
      <c r="Q15" s="2223"/>
      <c r="R15" s="529"/>
      <c r="S15" s="2223"/>
      <c r="T15" s="2223"/>
      <c r="U15" s="2223"/>
      <c r="V15" s="2224"/>
      <c r="W15" s="2224"/>
      <c r="X15" s="2224"/>
    </row>
    <row r="16" spans="1:24" ht="15.75" customHeight="1">
      <c r="A16" s="2237" t="s">
        <v>101</v>
      </c>
      <c r="B16" s="328" t="s">
        <v>227</v>
      </c>
      <c r="C16" s="514">
        <f>C15</f>
        <v>1</v>
      </c>
      <c r="D16" s="514">
        <f>D15</f>
        <v>1</v>
      </c>
      <c r="E16" s="514">
        <v>0.03</v>
      </c>
      <c r="F16" s="514"/>
      <c r="G16" s="514"/>
      <c r="H16" s="514"/>
      <c r="I16" s="514"/>
      <c r="J16" s="514"/>
      <c r="K16" s="514"/>
      <c r="L16" s="514"/>
      <c r="M16" s="514">
        <f t="shared" si="1"/>
        <v>8</v>
      </c>
      <c r="N16" s="514">
        <f>C16*D16*E16*M16</f>
        <v>0.24</v>
      </c>
      <c r="O16" s="2205" t="s">
        <v>103</v>
      </c>
      <c r="P16" s="2234">
        <f t="shared" si="0"/>
        <v>0.24</v>
      </c>
      <c r="Q16" s="2223"/>
      <c r="R16" s="529"/>
      <c r="S16" s="2223"/>
      <c r="T16" s="2223"/>
      <c r="U16" s="2223"/>
      <c r="V16" s="2224"/>
      <c r="W16" s="2224"/>
      <c r="X16" s="2224"/>
    </row>
    <row r="17" spans="1:24" ht="15.75" customHeight="1">
      <c r="A17" s="2237" t="s">
        <v>121</v>
      </c>
      <c r="B17" s="328" t="s">
        <v>401</v>
      </c>
      <c r="C17" s="514">
        <f>C16</f>
        <v>1</v>
      </c>
      <c r="D17" s="514"/>
      <c r="E17" s="514">
        <f>E14-0.8-E15-E16</f>
        <v>0.30000000000000016</v>
      </c>
      <c r="F17" s="514"/>
      <c r="G17" s="514"/>
      <c r="H17" s="514">
        <v>4</v>
      </c>
      <c r="I17" s="514"/>
      <c r="J17" s="514"/>
      <c r="K17" s="514"/>
      <c r="L17" s="514"/>
      <c r="M17" s="514">
        <f t="shared" si="1"/>
        <v>8</v>
      </c>
      <c r="N17" s="514">
        <f>C17*E17*H17*M17</f>
        <v>9.600000000000005</v>
      </c>
      <c r="O17" s="2205" t="s">
        <v>89</v>
      </c>
      <c r="P17" s="2234">
        <f t="shared" si="0"/>
        <v>9.6</v>
      </c>
      <c r="Q17" s="2223"/>
      <c r="R17" s="529"/>
      <c r="S17" s="2223"/>
      <c r="T17" s="2223"/>
      <c r="U17" s="2223"/>
      <c r="V17" s="2224"/>
      <c r="W17" s="2224"/>
      <c r="X17" s="2224"/>
    </row>
    <row r="18" spans="1:24" ht="15.75" customHeight="1">
      <c r="A18" s="2237" t="s">
        <v>142</v>
      </c>
      <c r="B18" s="328" t="s">
        <v>504</v>
      </c>
      <c r="C18" s="514">
        <v>0.45</v>
      </c>
      <c r="D18" s="514"/>
      <c r="E18" s="514"/>
      <c r="F18" s="514">
        <f>10*10*0.006165</f>
        <v>0.61650000000000005</v>
      </c>
      <c r="G18" s="514">
        <f>0.15*2</f>
        <v>0.3</v>
      </c>
      <c r="H18" s="514">
        <v>4</v>
      </c>
      <c r="I18" s="514"/>
      <c r="J18" s="514"/>
      <c r="K18" s="514"/>
      <c r="L18" s="514">
        <f>ROUNDUP((C18/0.15),0.5)</f>
        <v>3</v>
      </c>
      <c r="M18" s="514">
        <f t="shared" si="1"/>
        <v>8</v>
      </c>
      <c r="N18" s="514">
        <f>(C18+G18)*F18*H18*L18*M18</f>
        <v>44.388000000000005</v>
      </c>
      <c r="O18" s="2205" t="s">
        <v>100</v>
      </c>
      <c r="P18" s="2234">
        <f t="shared" si="0"/>
        <v>44.39</v>
      </c>
      <c r="Q18" s="2223"/>
      <c r="R18" s="529"/>
      <c r="S18" s="2223"/>
      <c r="T18" s="2223"/>
      <c r="U18" s="2223"/>
      <c r="V18" s="2224"/>
      <c r="W18" s="2224"/>
      <c r="X18" s="2224"/>
    </row>
    <row r="19" spans="1:24" ht="15.75" customHeight="1">
      <c r="A19" s="2237" t="s">
        <v>217</v>
      </c>
      <c r="B19" s="1585" t="s">
        <v>646</v>
      </c>
      <c r="C19" s="514">
        <f>C14-0.2</f>
        <v>0.8</v>
      </c>
      <c r="D19" s="514">
        <f>D14-0.2</f>
        <v>0.8</v>
      </c>
      <c r="E19" s="514">
        <f>E17</f>
        <v>0.30000000000000016</v>
      </c>
      <c r="F19" s="514"/>
      <c r="G19" s="514"/>
      <c r="H19" s="514"/>
      <c r="I19" s="514"/>
      <c r="J19" s="514"/>
      <c r="K19" s="514"/>
      <c r="L19" s="514"/>
      <c r="M19" s="514">
        <f t="shared" si="1"/>
        <v>8</v>
      </c>
      <c r="N19" s="514">
        <f>C19*D19*E19*M19</f>
        <v>1.5360000000000011</v>
      </c>
      <c r="O19" s="2205" t="s">
        <v>103</v>
      </c>
      <c r="P19" s="2234">
        <f t="shared" si="0"/>
        <v>1.54</v>
      </c>
      <c r="Q19" s="2223"/>
      <c r="R19" s="529"/>
      <c r="S19" s="2223"/>
      <c r="T19" s="2223"/>
      <c r="U19" s="2223"/>
      <c r="V19" s="2224"/>
      <c r="W19" s="2224"/>
      <c r="X19" s="2224"/>
    </row>
    <row r="20" spans="1:24" ht="15.75" customHeight="1">
      <c r="A20" s="2237" t="s">
        <v>366</v>
      </c>
      <c r="B20" s="328" t="s">
        <v>383</v>
      </c>
      <c r="C20" s="514"/>
      <c r="D20" s="514"/>
      <c r="E20" s="514">
        <v>4</v>
      </c>
      <c r="F20" s="514"/>
      <c r="G20" s="514"/>
      <c r="H20" s="514"/>
      <c r="I20" s="514"/>
      <c r="J20" s="514"/>
      <c r="K20" s="514"/>
      <c r="L20" s="514">
        <v>5</v>
      </c>
      <c r="M20" s="514">
        <f t="shared" si="1"/>
        <v>8</v>
      </c>
      <c r="N20" s="514">
        <f>E20*L20*M20</f>
        <v>160</v>
      </c>
      <c r="O20" s="2205" t="s">
        <v>117</v>
      </c>
      <c r="P20" s="2234">
        <f t="shared" si="0"/>
        <v>160</v>
      </c>
      <c r="Q20" s="2223"/>
      <c r="R20" s="529"/>
      <c r="S20" s="2223"/>
      <c r="T20" s="2223"/>
      <c r="U20" s="2223"/>
      <c r="V20" s="2224"/>
      <c r="W20" s="2224"/>
      <c r="X20" s="2224"/>
    </row>
    <row r="21" spans="1:24" ht="15.75" customHeight="1">
      <c r="A21" s="2323">
        <f>A13+1</f>
        <v>3</v>
      </c>
      <c r="B21" s="2324" t="s">
        <v>403</v>
      </c>
      <c r="C21" s="513"/>
      <c r="D21" s="513"/>
      <c r="E21" s="513"/>
      <c r="F21" s="513"/>
      <c r="G21" s="513"/>
      <c r="H21" s="513"/>
      <c r="I21" s="513"/>
      <c r="J21" s="513"/>
      <c r="K21" s="513"/>
      <c r="L21" s="513"/>
      <c r="M21" s="513"/>
      <c r="N21" s="513"/>
      <c r="O21" s="2205"/>
      <c r="P21" s="2234"/>
      <c r="Q21" s="2223"/>
      <c r="R21" s="529"/>
      <c r="S21" s="2223"/>
      <c r="T21" s="2223"/>
      <c r="U21" s="2223"/>
      <c r="V21" s="2224"/>
      <c r="W21" s="2224"/>
      <c r="X21" s="2224"/>
    </row>
    <row r="22" spans="1:24" ht="15.75" customHeight="1">
      <c r="A22" s="2238" t="s">
        <v>95</v>
      </c>
      <c r="B22" s="2235" t="s">
        <v>930</v>
      </c>
      <c r="C22" s="513"/>
      <c r="D22" s="1325"/>
      <c r="E22" s="513"/>
      <c r="F22" s="513"/>
      <c r="G22" s="513"/>
      <c r="H22" s="513"/>
      <c r="I22" s="513"/>
      <c r="J22" s="513"/>
      <c r="K22" s="513"/>
      <c r="L22" s="513"/>
      <c r="M22" s="513"/>
      <c r="N22" s="513"/>
      <c r="O22" s="2205"/>
      <c r="P22" s="2234"/>
      <c r="Q22" s="2223"/>
      <c r="R22" s="529"/>
      <c r="S22" s="2223"/>
      <c r="T22" s="2223"/>
      <c r="U22" s="2223"/>
      <c r="V22" s="2224"/>
      <c r="W22" s="2224"/>
      <c r="X22" s="2224"/>
    </row>
    <row r="23" spans="1:24" ht="15.75" customHeight="1">
      <c r="A23" s="2238"/>
      <c r="B23" s="2210" t="s">
        <v>226</v>
      </c>
      <c r="C23" s="513">
        <f>4+4+1.5+2.5</f>
        <v>12</v>
      </c>
      <c r="D23" s="513">
        <v>0.8</v>
      </c>
      <c r="E23" s="513">
        <f>0.8+0.07</f>
        <v>0.87000000000000011</v>
      </c>
      <c r="F23" s="513"/>
      <c r="G23" s="513"/>
      <c r="H23" s="513"/>
      <c r="I23" s="513"/>
      <c r="J23" s="513"/>
      <c r="K23" s="513"/>
      <c r="L23" s="513"/>
      <c r="M23" s="513">
        <v>2</v>
      </c>
      <c r="N23" s="513">
        <f>C23*D23*E23*M23</f>
        <v>16.704000000000004</v>
      </c>
      <c r="O23" s="2205"/>
      <c r="P23" s="2234"/>
      <c r="Q23" s="2223"/>
      <c r="R23" s="529"/>
      <c r="S23" s="2223"/>
      <c r="T23" s="2223"/>
      <c r="U23" s="2223"/>
      <c r="V23" s="2224"/>
      <c r="W23" s="2224"/>
      <c r="X23" s="2224"/>
    </row>
    <row r="24" spans="1:24" ht="15.75" customHeight="1">
      <c r="A24" s="2238"/>
      <c r="B24" s="2210" t="s">
        <v>227</v>
      </c>
      <c r="C24" s="513">
        <v>6</v>
      </c>
      <c r="D24" s="513">
        <f>D23</f>
        <v>0.8</v>
      </c>
      <c r="E24" s="513">
        <f>E23</f>
        <v>0.87000000000000011</v>
      </c>
      <c r="F24" s="513"/>
      <c r="G24" s="513"/>
      <c r="H24" s="513"/>
      <c r="I24" s="513"/>
      <c r="J24" s="513"/>
      <c r="K24" s="513"/>
      <c r="L24" s="513"/>
      <c r="M24" s="513">
        <v>5</v>
      </c>
      <c r="N24" s="521">
        <f>C24*D24*E24*M24</f>
        <v>20.880000000000006</v>
      </c>
      <c r="O24" s="2205"/>
      <c r="P24" s="2234"/>
      <c r="Q24" s="2223"/>
      <c r="R24" s="529"/>
      <c r="S24" s="2223"/>
      <c r="T24" s="2223"/>
      <c r="U24" s="2223"/>
      <c r="V24" s="2224"/>
      <c r="W24" s="2224"/>
      <c r="X24" s="2224"/>
    </row>
    <row r="25" spans="1:24" ht="15.75" customHeight="1">
      <c r="A25" s="2238"/>
      <c r="B25" s="2235"/>
      <c r="C25" s="513"/>
      <c r="D25" s="513"/>
      <c r="E25" s="513"/>
      <c r="F25" s="513"/>
      <c r="G25" s="513"/>
      <c r="H25" s="513"/>
      <c r="I25" s="513"/>
      <c r="J25" s="513"/>
      <c r="K25" s="513"/>
      <c r="L25" s="513"/>
      <c r="M25" s="513"/>
      <c r="N25" s="514">
        <f>SUM(N23:N24)</f>
        <v>37.58400000000001</v>
      </c>
      <c r="O25" s="2205" t="s">
        <v>103</v>
      </c>
      <c r="P25" s="2234">
        <f>ROUND((N25),2)</f>
        <v>37.58</v>
      </c>
      <c r="Q25" s="2223"/>
      <c r="R25" s="529"/>
      <c r="S25" s="2223"/>
      <c r="T25" s="2223"/>
      <c r="U25" s="2223"/>
      <c r="V25" s="2224"/>
      <c r="W25" s="2224"/>
      <c r="X25" s="2224"/>
    </row>
    <row r="26" spans="1:24" ht="15.75" customHeight="1">
      <c r="A26" s="2325"/>
      <c r="B26" s="2326"/>
      <c r="C26" s="2327">
        <v>13.5</v>
      </c>
      <c r="D26" s="2327">
        <f>D23</f>
        <v>0.8</v>
      </c>
      <c r="E26" s="2327">
        <f>E24</f>
        <v>0.87000000000000011</v>
      </c>
      <c r="F26" s="2310"/>
      <c r="G26" s="2310"/>
      <c r="H26" s="2327"/>
      <c r="I26" s="2310"/>
      <c r="J26" s="2310"/>
      <c r="K26" s="2327"/>
      <c r="L26" s="2327"/>
      <c r="M26" s="2310">
        <v>1</v>
      </c>
      <c r="N26" s="2310">
        <f>C26*D26*E26</f>
        <v>9.3960000000000026</v>
      </c>
      <c r="O26" s="2328"/>
      <c r="P26" s="2329"/>
      <c r="Q26" s="2223"/>
      <c r="R26" s="529"/>
      <c r="S26" s="2223"/>
      <c r="T26" s="2223"/>
      <c r="U26" s="2223"/>
      <c r="V26" s="2224"/>
      <c r="W26" s="2224"/>
      <c r="X26" s="2224"/>
    </row>
    <row r="27" spans="1:24" ht="15.75" customHeight="1">
      <c r="A27" s="2325"/>
      <c r="B27" s="2326"/>
      <c r="C27" s="2327">
        <v>8.5</v>
      </c>
      <c r="D27" s="2327">
        <f>D26</f>
        <v>0.8</v>
      </c>
      <c r="E27" s="2327">
        <f>E26</f>
        <v>0.87000000000000011</v>
      </c>
      <c r="F27" s="2310"/>
      <c r="G27" s="2310"/>
      <c r="H27" s="2327"/>
      <c r="I27" s="2310"/>
      <c r="J27" s="2310"/>
      <c r="K27" s="2327"/>
      <c r="L27" s="2327"/>
      <c r="M27" s="2310">
        <v>1</v>
      </c>
      <c r="N27" s="2310">
        <f>C27*D27*E27</f>
        <v>5.9160000000000013</v>
      </c>
      <c r="O27" s="2328"/>
      <c r="P27" s="2329">
        <f>SUM(N26:N27)</f>
        <v>15.312000000000005</v>
      </c>
      <c r="Q27" s="2223"/>
      <c r="R27" s="529"/>
      <c r="S27" s="2223"/>
      <c r="T27" s="2223"/>
      <c r="U27" s="2223"/>
      <c r="V27" s="2224"/>
      <c r="W27" s="2224"/>
      <c r="X27" s="2224"/>
    </row>
    <row r="28" spans="1:24" ht="15.75" customHeight="1">
      <c r="A28" s="2239" t="s">
        <v>98</v>
      </c>
      <c r="B28" s="2240" t="s">
        <v>405</v>
      </c>
      <c r="C28" s="513"/>
      <c r="D28" s="513"/>
      <c r="E28" s="513"/>
      <c r="F28" s="514"/>
      <c r="G28" s="514"/>
      <c r="H28" s="513"/>
      <c r="I28" s="514"/>
      <c r="J28" s="514"/>
      <c r="K28" s="513"/>
      <c r="L28" s="513"/>
      <c r="M28" s="514"/>
      <c r="N28" s="513"/>
      <c r="O28" s="513"/>
      <c r="P28" s="2234"/>
      <c r="Q28" s="2223"/>
      <c r="R28" s="529"/>
      <c r="S28" s="2223"/>
      <c r="T28" s="2223"/>
      <c r="U28" s="2223"/>
      <c r="V28" s="2224"/>
      <c r="W28" s="2224"/>
      <c r="X28" s="2224"/>
    </row>
    <row r="29" spans="1:24" ht="15.75" customHeight="1">
      <c r="A29" s="2239"/>
      <c r="B29" s="2241" t="str">
        <f>B23</f>
        <v>horisontal</v>
      </c>
      <c r="C29" s="513">
        <f>C23</f>
        <v>12</v>
      </c>
      <c r="D29" s="513"/>
      <c r="E29" s="513"/>
      <c r="F29" s="514"/>
      <c r="G29" s="514"/>
      <c r="H29" s="513"/>
      <c r="I29" s="514"/>
      <c r="J29" s="514"/>
      <c r="K29" s="513"/>
      <c r="L29" s="513"/>
      <c r="M29" s="514">
        <f>M23</f>
        <v>2</v>
      </c>
      <c r="N29" s="2242">
        <f>C29*M29</f>
        <v>24</v>
      </c>
      <c r="O29" s="2243"/>
      <c r="P29" s="2234"/>
      <c r="Q29" s="2223"/>
      <c r="R29" s="529"/>
      <c r="S29" s="2223"/>
      <c r="T29" s="2223"/>
      <c r="U29" s="2223"/>
      <c r="V29" s="2224"/>
      <c r="W29" s="2224"/>
      <c r="X29" s="2224"/>
    </row>
    <row r="30" spans="1:24" ht="15.75" customHeight="1">
      <c r="A30" s="2239"/>
      <c r="B30" s="2241" t="str">
        <f>B24</f>
        <v>vertikal</v>
      </c>
      <c r="C30" s="513">
        <f>C24</f>
        <v>6</v>
      </c>
      <c r="D30" s="513"/>
      <c r="E30" s="513"/>
      <c r="F30" s="514"/>
      <c r="G30" s="514"/>
      <c r="H30" s="513"/>
      <c r="I30" s="514"/>
      <c r="J30" s="514"/>
      <c r="K30" s="513"/>
      <c r="L30" s="513"/>
      <c r="M30" s="514">
        <f>M24</f>
        <v>5</v>
      </c>
      <c r="N30" s="2242">
        <f>C30*M30</f>
        <v>30</v>
      </c>
      <c r="O30" s="2243"/>
      <c r="P30" s="2234"/>
      <c r="Q30" s="2223"/>
      <c r="R30" s="529"/>
      <c r="S30" s="2223"/>
      <c r="T30" s="2223"/>
      <c r="U30" s="2223"/>
      <c r="V30" s="2224"/>
      <c r="W30" s="2224"/>
      <c r="X30" s="2224"/>
    </row>
    <row r="31" spans="1:24" ht="15.75" customHeight="1">
      <c r="A31" s="2239"/>
      <c r="B31" s="2240"/>
      <c r="C31" s="514"/>
      <c r="D31" s="514"/>
      <c r="E31" s="514"/>
      <c r="F31" s="514"/>
      <c r="G31" s="514"/>
      <c r="H31" s="514"/>
      <c r="I31" s="514"/>
      <c r="J31" s="514"/>
      <c r="K31" s="514"/>
      <c r="L31" s="514"/>
      <c r="M31" s="514"/>
      <c r="N31" s="514">
        <f>SUM(N29:N30)</f>
        <v>54</v>
      </c>
      <c r="O31" s="2243"/>
      <c r="P31" s="2234"/>
      <c r="Q31" s="2223"/>
      <c r="R31" s="529"/>
      <c r="S31" s="2223"/>
      <c r="T31" s="2223"/>
      <c r="U31" s="2223"/>
      <c r="V31" s="2224"/>
      <c r="W31" s="2224"/>
      <c r="X31" s="2224"/>
    </row>
    <row r="32" spans="1:24" ht="15.75" customHeight="1">
      <c r="A32" s="2239"/>
      <c r="B32" s="2241" t="s">
        <v>1006</v>
      </c>
      <c r="C32" s="514"/>
      <c r="D32" s="514"/>
      <c r="E32" s="514">
        <v>4</v>
      </c>
      <c r="F32" s="514">
        <f>N31/0.5</f>
        <v>108</v>
      </c>
      <c r="G32" s="514"/>
      <c r="H32" s="514">
        <v>2</v>
      </c>
      <c r="I32" s="514"/>
      <c r="J32" s="514"/>
      <c r="K32" s="2244"/>
      <c r="L32" s="514"/>
      <c r="M32" s="514"/>
      <c r="N32" s="514">
        <f>E32*H32*F32</f>
        <v>864</v>
      </c>
      <c r="O32" s="2243" t="s">
        <v>117</v>
      </c>
      <c r="P32" s="2234">
        <f>ROUND((N32),2)</f>
        <v>864</v>
      </c>
      <c r="Q32" s="2223"/>
      <c r="R32" s="529"/>
      <c r="S32" s="2223"/>
      <c r="T32" s="2223"/>
      <c r="U32" s="2223"/>
      <c r="V32" s="2224"/>
      <c r="W32" s="2224"/>
      <c r="X32" s="2224"/>
    </row>
    <row r="33" spans="1:24" ht="15.75" customHeight="1">
      <c r="A33" s="2238" t="s">
        <v>101</v>
      </c>
      <c r="B33" s="2235" t="s">
        <v>406</v>
      </c>
      <c r="C33" s="513"/>
      <c r="D33" s="513"/>
      <c r="E33" s="513"/>
      <c r="F33" s="513"/>
      <c r="G33" s="513"/>
      <c r="H33" s="513"/>
      <c r="I33" s="513"/>
      <c r="J33" s="513"/>
      <c r="K33" s="513"/>
      <c r="L33" s="513"/>
      <c r="M33" s="513"/>
      <c r="N33" s="514"/>
      <c r="O33" s="2205"/>
      <c r="P33" s="2234"/>
      <c r="Q33" s="2223"/>
      <c r="R33" s="529"/>
      <c r="S33" s="2223"/>
      <c r="T33" s="2223"/>
      <c r="U33" s="2223"/>
      <c r="V33" s="2224"/>
      <c r="W33" s="2224"/>
      <c r="X33" s="2224"/>
    </row>
    <row r="34" spans="1:24" ht="15.75" customHeight="1">
      <c r="A34" s="2238"/>
      <c r="B34" s="2210" t="str">
        <f t="shared" ref="B34:D35" si="2">B23</f>
        <v>horisontal</v>
      </c>
      <c r="C34" s="513">
        <f t="shared" si="2"/>
        <v>12</v>
      </c>
      <c r="D34" s="513">
        <f t="shared" si="2"/>
        <v>0.8</v>
      </c>
      <c r="E34" s="513">
        <v>7.0000000000000007E-2</v>
      </c>
      <c r="F34" s="513"/>
      <c r="G34" s="513"/>
      <c r="H34" s="513"/>
      <c r="I34" s="513"/>
      <c r="J34" s="513"/>
      <c r="K34" s="513"/>
      <c r="L34" s="513"/>
      <c r="M34" s="513">
        <f>M23</f>
        <v>2</v>
      </c>
      <c r="N34" s="513">
        <f>C34*D34*E34*M34</f>
        <v>1.3440000000000003</v>
      </c>
      <c r="O34" s="2205"/>
      <c r="P34" s="2234"/>
      <c r="Q34" s="2223"/>
      <c r="R34" s="529"/>
      <c r="S34" s="2223"/>
      <c r="T34" s="2223"/>
      <c r="U34" s="2223"/>
      <c r="V34" s="2224"/>
      <c r="W34" s="2224"/>
      <c r="X34" s="2224"/>
    </row>
    <row r="35" spans="1:24" ht="15.75" customHeight="1">
      <c r="A35" s="2238"/>
      <c r="B35" s="2210" t="str">
        <f t="shared" si="2"/>
        <v>vertikal</v>
      </c>
      <c r="C35" s="513">
        <f t="shared" si="2"/>
        <v>6</v>
      </c>
      <c r="D35" s="513">
        <f t="shared" si="2"/>
        <v>0.8</v>
      </c>
      <c r="E35" s="513">
        <f>E34</f>
        <v>7.0000000000000007E-2</v>
      </c>
      <c r="F35" s="513"/>
      <c r="G35" s="513"/>
      <c r="H35" s="513"/>
      <c r="I35" s="513"/>
      <c r="J35" s="513"/>
      <c r="K35" s="513"/>
      <c r="L35" s="513"/>
      <c r="M35" s="513">
        <f>M24</f>
        <v>5</v>
      </c>
      <c r="N35" s="521">
        <f>C35*D35*E35*M35</f>
        <v>1.6800000000000004</v>
      </c>
      <c r="O35" s="2205"/>
      <c r="P35" s="2234">
        <f>ROUND((N36),2)</f>
        <v>3.02</v>
      </c>
      <c r="Q35" s="2223"/>
      <c r="R35" s="529"/>
      <c r="S35" s="2223"/>
      <c r="T35" s="2223"/>
      <c r="U35" s="2223"/>
      <c r="V35" s="2224"/>
      <c r="W35" s="2224"/>
      <c r="X35" s="2224"/>
    </row>
    <row r="36" spans="1:24" ht="15.75" customHeight="1">
      <c r="A36" s="2238"/>
      <c r="B36" s="2210"/>
      <c r="C36" s="513"/>
      <c r="D36" s="513"/>
      <c r="E36" s="513"/>
      <c r="F36" s="513"/>
      <c r="G36" s="513"/>
      <c r="H36" s="513"/>
      <c r="I36" s="513"/>
      <c r="J36" s="513"/>
      <c r="K36" s="513"/>
      <c r="L36" s="513"/>
      <c r="M36" s="513"/>
      <c r="N36" s="514">
        <f>SUM(N34:N35)</f>
        <v>3.0240000000000009</v>
      </c>
      <c r="O36" s="2205" t="s">
        <v>103</v>
      </c>
      <c r="P36" s="2234"/>
      <c r="Q36" s="2223"/>
      <c r="R36" s="529"/>
      <c r="S36" s="2223"/>
      <c r="T36" s="2223"/>
      <c r="U36" s="2223"/>
      <c r="V36" s="2224"/>
      <c r="W36" s="2224"/>
      <c r="X36" s="2224"/>
    </row>
    <row r="37" spans="1:24" ht="15.75" customHeight="1">
      <c r="A37" s="2333"/>
      <c r="B37" s="2331"/>
      <c r="C37" s="2327">
        <v>13.5</v>
      </c>
      <c r="D37" s="2327">
        <f>D35</f>
        <v>0.8</v>
      </c>
      <c r="E37" s="2327">
        <f>E35</f>
        <v>7.0000000000000007E-2</v>
      </c>
      <c r="F37" s="2327"/>
      <c r="G37" s="2327"/>
      <c r="H37" s="2327"/>
      <c r="I37" s="2327"/>
      <c r="J37" s="2327"/>
      <c r="K37" s="2327"/>
      <c r="L37" s="2327"/>
      <c r="M37" s="2327"/>
      <c r="N37" s="2330">
        <f>C37*D37*E37</f>
        <v>0.75600000000000012</v>
      </c>
      <c r="O37" s="2328"/>
      <c r="P37" s="2329"/>
      <c r="Q37" s="2223"/>
      <c r="R37" s="529"/>
      <c r="S37" s="2223"/>
      <c r="T37" s="2223"/>
      <c r="U37" s="2223"/>
      <c r="V37" s="2224"/>
      <c r="W37" s="2224"/>
      <c r="X37" s="2224"/>
    </row>
    <row r="38" spans="1:24" ht="15.75" customHeight="1">
      <c r="A38" s="2333"/>
      <c r="B38" s="2331"/>
      <c r="C38" s="2327">
        <v>8.5</v>
      </c>
      <c r="D38" s="2327">
        <f>D37</f>
        <v>0.8</v>
      </c>
      <c r="E38" s="2327">
        <f>E37</f>
        <v>7.0000000000000007E-2</v>
      </c>
      <c r="F38" s="2327"/>
      <c r="G38" s="2327"/>
      <c r="H38" s="2327"/>
      <c r="I38" s="2327"/>
      <c r="J38" s="2327"/>
      <c r="K38" s="2327"/>
      <c r="L38" s="2327"/>
      <c r="M38" s="2327"/>
      <c r="N38" s="2330">
        <f t="shared" ref="N38:N42" si="3">C38*D38*E38</f>
        <v>0.47600000000000009</v>
      </c>
      <c r="O38" s="2328"/>
      <c r="P38" s="2329">
        <f>SUM(N37:N38)</f>
        <v>1.2320000000000002</v>
      </c>
      <c r="Q38" s="2223"/>
      <c r="R38" s="529"/>
      <c r="S38" s="2223"/>
      <c r="T38" s="2223"/>
      <c r="U38" s="2223"/>
      <c r="V38" s="2224"/>
      <c r="W38" s="2224"/>
      <c r="X38" s="2224"/>
    </row>
    <row r="39" spans="1:24" s="2251" customFormat="1" ht="15.75" hidden="1" customHeight="1">
      <c r="A39" s="2245" t="s">
        <v>121</v>
      </c>
      <c r="B39" s="951" t="s">
        <v>400</v>
      </c>
      <c r="C39" s="1444"/>
      <c r="D39" s="1444"/>
      <c r="E39" s="1444"/>
      <c r="F39" s="1444"/>
      <c r="G39" s="1444"/>
      <c r="H39" s="1444"/>
      <c r="I39" s="1444"/>
      <c r="J39" s="1444"/>
      <c r="K39" s="1444"/>
      <c r="L39" s="1444"/>
      <c r="M39" s="1444"/>
      <c r="N39" s="2330">
        <f t="shared" si="3"/>
        <v>0</v>
      </c>
      <c r="O39" s="2246"/>
      <c r="P39" s="2247"/>
      <c r="Q39" s="2248"/>
      <c r="R39" s="2249"/>
      <c r="S39" s="2248"/>
      <c r="T39" s="2248"/>
      <c r="U39" s="2248"/>
      <c r="V39" s="2250"/>
      <c r="W39" s="2250"/>
      <c r="X39" s="2250"/>
    </row>
    <row r="40" spans="1:24" s="2251" customFormat="1" ht="15.75" hidden="1" customHeight="1">
      <c r="A40" s="2245"/>
      <c r="B40" s="2252" t="str">
        <f t="shared" ref="B40:D41" si="4">B34</f>
        <v>horisontal</v>
      </c>
      <c r="C40" s="1444">
        <f t="shared" si="4"/>
        <v>12</v>
      </c>
      <c r="D40" s="1444">
        <f t="shared" si="4"/>
        <v>0.8</v>
      </c>
      <c r="E40" s="1444">
        <v>0</v>
      </c>
      <c r="F40" s="1444"/>
      <c r="G40" s="1444"/>
      <c r="H40" s="1444"/>
      <c r="I40" s="1444"/>
      <c r="J40" s="1444"/>
      <c r="K40" s="1444"/>
      <c r="L40" s="1444"/>
      <c r="M40" s="1444">
        <f>M34</f>
        <v>2</v>
      </c>
      <c r="N40" s="2330">
        <f t="shared" si="3"/>
        <v>0</v>
      </c>
      <c r="O40" s="2246"/>
      <c r="P40" s="2247"/>
      <c r="Q40" s="2248"/>
      <c r="R40" s="2249"/>
      <c r="S40" s="2248"/>
      <c r="T40" s="2248"/>
      <c r="U40" s="2248"/>
      <c r="V40" s="2250"/>
      <c r="W40" s="2250"/>
      <c r="X40" s="2250"/>
    </row>
    <row r="41" spans="1:24" s="2251" customFormat="1" ht="15.75" hidden="1" customHeight="1">
      <c r="A41" s="2245"/>
      <c r="B41" s="2252" t="str">
        <f t="shared" si="4"/>
        <v>vertikal</v>
      </c>
      <c r="C41" s="1444">
        <f t="shared" si="4"/>
        <v>6</v>
      </c>
      <c r="D41" s="1444">
        <f t="shared" si="4"/>
        <v>0.8</v>
      </c>
      <c r="E41" s="1444">
        <f>E40</f>
        <v>0</v>
      </c>
      <c r="F41" s="1444"/>
      <c r="G41" s="1444"/>
      <c r="H41" s="1444"/>
      <c r="I41" s="1444"/>
      <c r="J41" s="1444"/>
      <c r="K41" s="1444"/>
      <c r="L41" s="1444"/>
      <c r="M41" s="1444">
        <f>M35</f>
        <v>5</v>
      </c>
      <c r="N41" s="2330">
        <f t="shared" si="3"/>
        <v>0</v>
      </c>
      <c r="O41" s="2246"/>
      <c r="P41" s="2247"/>
      <c r="Q41" s="2248"/>
      <c r="R41" s="2249"/>
      <c r="S41" s="2248"/>
      <c r="T41" s="2248"/>
      <c r="U41" s="2248"/>
      <c r="V41" s="2250"/>
      <c r="W41" s="2250"/>
      <c r="X41" s="2250"/>
    </row>
    <row r="42" spans="1:24" s="2251" customFormat="1" ht="15.75" hidden="1" customHeight="1">
      <c r="A42" s="2245"/>
      <c r="B42" s="2253"/>
      <c r="C42" s="1444"/>
      <c r="D42" s="1444"/>
      <c r="E42" s="1444"/>
      <c r="F42" s="1444"/>
      <c r="G42" s="1444"/>
      <c r="H42" s="1444"/>
      <c r="I42" s="1444"/>
      <c r="J42" s="1444"/>
      <c r="K42" s="1444"/>
      <c r="L42" s="1444"/>
      <c r="M42" s="1444"/>
      <c r="N42" s="2330">
        <f t="shared" si="3"/>
        <v>0</v>
      </c>
      <c r="O42" s="2246" t="s">
        <v>103</v>
      </c>
      <c r="P42" s="2247">
        <f>ROUND((N42),2)</f>
        <v>0</v>
      </c>
      <c r="Q42" s="2248"/>
      <c r="R42" s="2249"/>
      <c r="S42" s="2248"/>
      <c r="T42" s="2248"/>
      <c r="U42" s="2248"/>
      <c r="V42" s="2250"/>
      <c r="W42" s="2250"/>
      <c r="X42" s="2250"/>
    </row>
    <row r="43" spans="1:24" ht="15.75" customHeight="1">
      <c r="A43" s="2238" t="s">
        <v>121</v>
      </c>
      <c r="B43" s="2235" t="s">
        <v>407</v>
      </c>
      <c r="C43" s="513"/>
      <c r="D43" s="513"/>
      <c r="E43" s="513"/>
      <c r="F43" s="513"/>
      <c r="G43" s="513"/>
      <c r="H43" s="513"/>
      <c r="I43" s="513"/>
      <c r="J43" s="513"/>
      <c r="K43" s="513"/>
      <c r="L43" s="513"/>
      <c r="M43" s="513"/>
      <c r="N43" s="513"/>
      <c r="O43" s="2205"/>
      <c r="P43" s="2234"/>
      <c r="Q43" s="2223"/>
      <c r="R43" s="529"/>
      <c r="S43" s="2223"/>
      <c r="T43" s="2223"/>
      <c r="U43" s="2223"/>
      <c r="V43" s="2224"/>
      <c r="W43" s="2224"/>
      <c r="X43" s="2224"/>
    </row>
    <row r="44" spans="1:24" ht="15.75" customHeight="1">
      <c r="A44" s="2238"/>
      <c r="B44" s="2210"/>
      <c r="C44" s="513"/>
      <c r="D44" s="1325" t="s">
        <v>1007</v>
      </c>
      <c r="E44" s="513"/>
      <c r="F44" s="513"/>
      <c r="G44" s="513"/>
      <c r="H44" s="513"/>
      <c r="I44" s="513"/>
      <c r="J44" s="513"/>
      <c r="K44" s="513"/>
      <c r="L44" s="513"/>
      <c r="M44" s="513"/>
      <c r="N44" s="513"/>
      <c r="O44" s="2205"/>
      <c r="P44" s="2234"/>
      <c r="Q44" s="2223"/>
      <c r="R44" s="529"/>
      <c r="S44" s="2223"/>
      <c r="T44" s="2223"/>
      <c r="U44" s="2223"/>
      <c r="V44" s="2224"/>
      <c r="W44" s="2224"/>
      <c r="X44" s="2224"/>
    </row>
    <row r="45" spans="1:24" ht="15.75" customHeight="1">
      <c r="A45" s="2238"/>
      <c r="B45" s="2210" t="str">
        <f>B34</f>
        <v>horisontal</v>
      </c>
      <c r="C45" s="513">
        <f>C23</f>
        <v>12</v>
      </c>
      <c r="D45" s="513">
        <f>(0.3+D24)/2</f>
        <v>0.55000000000000004</v>
      </c>
      <c r="E45" s="513">
        <f>E23-E34</f>
        <v>0.8</v>
      </c>
      <c r="F45" s="513"/>
      <c r="G45" s="513"/>
      <c r="H45" s="513"/>
      <c r="I45" s="513"/>
      <c r="J45" s="513"/>
      <c r="K45" s="513"/>
      <c r="L45" s="513"/>
      <c r="M45" s="513">
        <f>M34</f>
        <v>2</v>
      </c>
      <c r="N45" s="513">
        <f>C45*D45*E45*M45</f>
        <v>10.560000000000002</v>
      </c>
      <c r="O45" s="2205"/>
      <c r="P45" s="2234"/>
      <c r="Q45" s="2223"/>
      <c r="R45" s="529"/>
      <c r="S45" s="2223"/>
      <c r="T45" s="2223"/>
      <c r="U45" s="2223"/>
      <c r="V45" s="2224"/>
      <c r="W45" s="2224"/>
      <c r="X45" s="2224"/>
    </row>
    <row r="46" spans="1:24" ht="15.75" customHeight="1">
      <c r="A46" s="2238"/>
      <c r="B46" s="2210" t="str">
        <f>B35</f>
        <v>vertikal</v>
      </c>
      <c r="C46" s="513">
        <f>C35</f>
        <v>6</v>
      </c>
      <c r="D46" s="513">
        <f>D45</f>
        <v>0.55000000000000004</v>
      </c>
      <c r="E46" s="513">
        <f>E45</f>
        <v>0.8</v>
      </c>
      <c r="F46" s="513"/>
      <c r="G46" s="513"/>
      <c r="H46" s="513"/>
      <c r="I46" s="513"/>
      <c r="J46" s="513"/>
      <c r="K46" s="513"/>
      <c r="L46" s="513"/>
      <c r="M46" s="513">
        <f>M35</f>
        <v>5</v>
      </c>
      <c r="N46" s="521">
        <f>C46*D46*E46*M46</f>
        <v>13.200000000000003</v>
      </c>
      <c r="O46" s="2205"/>
      <c r="P46" s="2234"/>
      <c r="Q46" s="2223"/>
      <c r="R46" s="529"/>
      <c r="S46" s="2223"/>
      <c r="T46" s="2223"/>
      <c r="U46" s="2223"/>
      <c r="V46" s="2224"/>
      <c r="W46" s="2224"/>
      <c r="X46" s="2224"/>
    </row>
    <row r="47" spans="1:24" ht="15.75" customHeight="1">
      <c r="A47" s="353"/>
      <c r="B47" s="2235"/>
      <c r="C47" s="513"/>
      <c r="D47" s="513"/>
      <c r="E47" s="513"/>
      <c r="F47" s="513"/>
      <c r="G47" s="513"/>
      <c r="H47" s="513"/>
      <c r="I47" s="513"/>
      <c r="J47" s="513"/>
      <c r="K47" s="513"/>
      <c r="L47" s="513"/>
      <c r="M47" s="513"/>
      <c r="N47" s="514">
        <f>SUM(N45:N46)</f>
        <v>23.760000000000005</v>
      </c>
      <c r="O47" s="2205" t="s">
        <v>103</v>
      </c>
      <c r="P47" s="2234">
        <f>ROUND((N47),2)</f>
        <v>23.76</v>
      </c>
      <c r="Q47" s="2223"/>
      <c r="R47" s="529"/>
      <c r="S47" s="2223"/>
      <c r="T47" s="2223"/>
      <c r="U47" s="2223"/>
      <c r="V47" s="2224"/>
      <c r="W47" s="2224"/>
      <c r="X47" s="2224"/>
    </row>
    <row r="48" spans="1:24" ht="15.75" customHeight="1">
      <c r="A48" s="2323"/>
      <c r="B48" s="2326"/>
      <c r="C48" s="2327">
        <v>13.5</v>
      </c>
      <c r="D48" s="2327">
        <f>D45</f>
        <v>0.55000000000000004</v>
      </c>
      <c r="E48" s="2327">
        <f>(0.7+1.5)/2</f>
        <v>1.1000000000000001</v>
      </c>
      <c r="F48" s="2327"/>
      <c r="G48" s="2327"/>
      <c r="H48" s="2327"/>
      <c r="I48" s="2327"/>
      <c r="J48" s="2327"/>
      <c r="K48" s="2327"/>
      <c r="L48" s="2327"/>
      <c r="M48" s="2327"/>
      <c r="N48" s="2310">
        <f>C48*D48*E48</f>
        <v>8.1675000000000022</v>
      </c>
      <c r="O48" s="2328"/>
      <c r="P48" s="2329"/>
      <c r="Q48" s="2223"/>
      <c r="R48" s="529"/>
      <c r="S48" s="2223"/>
      <c r="T48" s="2223"/>
      <c r="U48" s="2223"/>
      <c r="V48" s="2224"/>
      <c r="W48" s="2224"/>
      <c r="X48" s="2224"/>
    </row>
    <row r="49" spans="1:24" ht="15.75" customHeight="1">
      <c r="A49" s="2323"/>
      <c r="B49" s="2326"/>
      <c r="C49" s="2327">
        <v>8.5</v>
      </c>
      <c r="D49" s="2327">
        <f>D48</f>
        <v>0.55000000000000004</v>
      </c>
      <c r="E49" s="2327">
        <f>(0.7+1)/2</f>
        <v>0.85</v>
      </c>
      <c r="F49" s="2327"/>
      <c r="G49" s="2327"/>
      <c r="H49" s="2327"/>
      <c r="I49" s="2327"/>
      <c r="J49" s="2327"/>
      <c r="K49" s="2327"/>
      <c r="L49" s="2327"/>
      <c r="M49" s="2327"/>
      <c r="N49" s="2310">
        <f>C49*D49*E49</f>
        <v>3.9737500000000003</v>
      </c>
      <c r="O49" s="2328"/>
      <c r="P49" s="2329">
        <f>SUM(N48:N49)</f>
        <v>12.141250000000003</v>
      </c>
      <c r="Q49" s="2223"/>
      <c r="R49" s="529"/>
      <c r="S49" s="2223"/>
      <c r="T49" s="2223"/>
      <c r="U49" s="2223"/>
      <c r="V49" s="2224"/>
      <c r="W49" s="2224"/>
      <c r="X49" s="2224"/>
    </row>
    <row r="50" spans="1:24" ht="15.75" customHeight="1">
      <c r="A50" s="353">
        <f>A21+1</f>
        <v>4</v>
      </c>
      <c r="B50" s="354" t="s">
        <v>1641</v>
      </c>
      <c r="C50" s="513"/>
      <c r="D50" s="513"/>
      <c r="E50" s="513"/>
      <c r="F50" s="513"/>
      <c r="G50" s="513"/>
      <c r="H50" s="513"/>
      <c r="I50" s="513"/>
      <c r="J50" s="513"/>
      <c r="K50" s="513"/>
      <c r="L50" s="513"/>
      <c r="M50" s="513"/>
      <c r="N50" s="514"/>
      <c r="O50" s="2205"/>
      <c r="P50" s="2234"/>
      <c r="Q50" s="2223"/>
      <c r="R50" s="529"/>
      <c r="S50" s="2223"/>
      <c r="T50" s="2223"/>
      <c r="U50" s="2223"/>
      <c r="V50" s="2224"/>
      <c r="W50" s="2224"/>
      <c r="X50" s="2224"/>
    </row>
    <row r="51" spans="1:24" ht="15.75" customHeight="1">
      <c r="A51" s="353"/>
      <c r="B51" s="2210" t="s">
        <v>1111</v>
      </c>
      <c r="C51" s="513">
        <f>C61</f>
        <v>12</v>
      </c>
      <c r="D51" s="513"/>
      <c r="E51" s="513"/>
      <c r="F51" s="513"/>
      <c r="G51" s="513"/>
      <c r="H51" s="513"/>
      <c r="I51" s="513"/>
      <c r="J51" s="513"/>
      <c r="K51" s="513"/>
      <c r="L51" s="513"/>
      <c r="M51" s="513">
        <f>M61</f>
        <v>2</v>
      </c>
      <c r="N51" s="514">
        <f>C51*M51</f>
        <v>24</v>
      </c>
      <c r="O51" s="2205"/>
      <c r="P51" s="2234"/>
      <c r="Q51" s="2223"/>
      <c r="R51" s="529"/>
      <c r="S51" s="2223"/>
      <c r="T51" s="2223"/>
      <c r="U51" s="2223"/>
      <c r="V51" s="2224"/>
      <c r="W51" s="2224"/>
      <c r="X51" s="2224"/>
    </row>
    <row r="52" spans="1:24" ht="15.75" customHeight="1">
      <c r="A52" s="353"/>
      <c r="B52" s="2235"/>
      <c r="C52" s="513">
        <f>C62</f>
        <v>6</v>
      </c>
      <c r="D52" s="513"/>
      <c r="E52" s="513"/>
      <c r="F52" s="513"/>
      <c r="G52" s="513"/>
      <c r="H52" s="513"/>
      <c r="I52" s="513"/>
      <c r="J52" s="513"/>
      <c r="K52" s="513"/>
      <c r="L52" s="513"/>
      <c r="M52" s="513">
        <f>M62</f>
        <v>5</v>
      </c>
      <c r="N52" s="514">
        <f>C52*M52</f>
        <v>30</v>
      </c>
      <c r="O52" s="2205"/>
      <c r="P52" s="2234"/>
      <c r="Q52" s="2223"/>
      <c r="R52" s="529"/>
      <c r="S52" s="2223"/>
      <c r="T52" s="2223"/>
      <c r="U52" s="2223"/>
      <c r="V52" s="2224"/>
      <c r="W52" s="2224"/>
      <c r="X52" s="2224"/>
    </row>
    <row r="53" spans="1:24" ht="15.75" customHeight="1">
      <c r="A53" s="353"/>
      <c r="B53" s="2235"/>
      <c r="C53" s="513"/>
      <c r="D53" s="513"/>
      <c r="E53" s="513"/>
      <c r="F53" s="513"/>
      <c r="G53" s="513"/>
      <c r="H53" s="513"/>
      <c r="I53" s="513"/>
      <c r="J53" s="513"/>
      <c r="K53" s="513"/>
      <c r="L53" s="513"/>
      <c r="M53" s="513"/>
      <c r="N53" s="514">
        <f>SUM(N51:N52)</f>
        <v>54</v>
      </c>
      <c r="O53" s="2243" t="s">
        <v>117</v>
      </c>
      <c r="P53" s="2234"/>
      <c r="Q53" s="2223"/>
      <c r="R53" s="529"/>
      <c r="S53" s="2223"/>
      <c r="T53" s="2223"/>
      <c r="U53" s="2223"/>
      <c r="V53" s="2224"/>
      <c r="W53" s="2224"/>
      <c r="X53" s="2224"/>
    </row>
    <row r="54" spans="1:24" ht="15.75" customHeight="1">
      <c r="A54" s="353"/>
      <c r="B54" s="2210" t="s">
        <v>1132</v>
      </c>
      <c r="C54" s="513">
        <v>0.5</v>
      </c>
      <c r="D54" s="513"/>
      <c r="E54" s="513"/>
      <c r="F54" s="513">
        <f>N53/1</f>
        <v>54</v>
      </c>
      <c r="G54" s="513"/>
      <c r="H54" s="513"/>
      <c r="I54" s="513"/>
      <c r="J54" s="513"/>
      <c r="K54" s="513"/>
      <c r="L54" s="513">
        <f>10*10*0.006165</f>
        <v>0.61650000000000005</v>
      </c>
      <c r="M54" s="513"/>
      <c r="N54" s="514">
        <f>F54*L54*C54</f>
        <v>16.645500000000002</v>
      </c>
      <c r="O54" s="2205" t="s">
        <v>100</v>
      </c>
      <c r="P54" s="2234">
        <f>ROUND((N54),2)</f>
        <v>16.649999999999999</v>
      </c>
      <c r="Q54" s="2223"/>
      <c r="R54" s="529"/>
      <c r="S54" s="2223"/>
      <c r="T54" s="2223"/>
      <c r="U54" s="2223"/>
      <c r="V54" s="2224"/>
      <c r="W54" s="2224"/>
      <c r="X54" s="2224"/>
    </row>
    <row r="55" spans="1:24" ht="15.75" customHeight="1">
      <c r="A55" s="2323"/>
      <c r="B55" s="2331"/>
      <c r="C55" s="2327">
        <f>C48</f>
        <v>13.5</v>
      </c>
      <c r="D55" s="2327"/>
      <c r="E55" s="2327"/>
      <c r="F55" s="2327"/>
      <c r="G55" s="2327"/>
      <c r="H55" s="2327"/>
      <c r="I55" s="2327"/>
      <c r="J55" s="2327"/>
      <c r="K55" s="2327"/>
      <c r="L55" s="2327"/>
      <c r="M55" s="2327">
        <v>1</v>
      </c>
      <c r="N55" s="2310">
        <f>C55*M55</f>
        <v>13.5</v>
      </c>
      <c r="O55" s="2328"/>
      <c r="P55" s="2329"/>
      <c r="Q55" s="2223"/>
      <c r="R55" s="529"/>
      <c r="S55" s="2223"/>
      <c r="T55" s="2223"/>
      <c r="U55" s="2223"/>
      <c r="V55" s="2224"/>
      <c r="W55" s="2224"/>
      <c r="X55" s="2224"/>
    </row>
    <row r="56" spans="1:24" ht="15.75" customHeight="1">
      <c r="A56" s="2323"/>
      <c r="B56" s="2331"/>
      <c r="C56" s="2327">
        <f>C49</f>
        <v>8.5</v>
      </c>
      <c r="D56" s="2327"/>
      <c r="E56" s="2327"/>
      <c r="F56" s="2327"/>
      <c r="G56" s="2327"/>
      <c r="H56" s="2327"/>
      <c r="I56" s="2327"/>
      <c r="J56" s="2327"/>
      <c r="K56" s="2327"/>
      <c r="L56" s="2327"/>
      <c r="M56" s="2327">
        <v>1</v>
      </c>
      <c r="N56" s="2310">
        <f>C56*M56</f>
        <v>8.5</v>
      </c>
      <c r="O56" s="2328"/>
      <c r="P56" s="2329"/>
      <c r="Q56" s="2223"/>
      <c r="R56" s="529"/>
      <c r="S56" s="2223"/>
      <c r="T56" s="2223"/>
      <c r="U56" s="2223"/>
      <c r="V56" s="2224"/>
      <c r="W56" s="2224"/>
      <c r="X56" s="2224"/>
    </row>
    <row r="57" spans="1:24" ht="15.75" customHeight="1">
      <c r="A57" s="2323"/>
      <c r="B57" s="2331"/>
      <c r="C57" s="2327"/>
      <c r="D57" s="2327"/>
      <c r="E57" s="2327"/>
      <c r="F57" s="2327"/>
      <c r="G57" s="2327"/>
      <c r="H57" s="2327"/>
      <c r="I57" s="2327"/>
      <c r="J57" s="2327"/>
      <c r="K57" s="2327"/>
      <c r="L57" s="2327"/>
      <c r="M57" s="2327"/>
      <c r="N57" s="2310">
        <f>SUM(N55:N56)</f>
        <v>22</v>
      </c>
      <c r="O57" s="2332" t="s">
        <v>117</v>
      </c>
      <c r="P57" s="2329"/>
      <c r="Q57" s="2223"/>
      <c r="R57" s="529"/>
      <c r="S57" s="2223"/>
      <c r="T57" s="2223"/>
      <c r="U57" s="2223"/>
      <c r="V57" s="2224"/>
      <c r="W57" s="2224"/>
      <c r="X57" s="2224"/>
    </row>
    <row r="58" spans="1:24" ht="15.75" customHeight="1">
      <c r="A58" s="2323"/>
      <c r="B58" s="2331"/>
      <c r="C58" s="2327">
        <v>0.5</v>
      </c>
      <c r="D58" s="2327"/>
      <c r="E58" s="2327"/>
      <c r="F58" s="2327">
        <f>N57/1</f>
        <v>22</v>
      </c>
      <c r="G58" s="2327"/>
      <c r="H58" s="2327"/>
      <c r="I58" s="2327"/>
      <c r="J58" s="2327"/>
      <c r="K58" s="2327"/>
      <c r="L58" s="2327">
        <f>10*10*0.006165</f>
        <v>0.61650000000000005</v>
      </c>
      <c r="M58" s="2327"/>
      <c r="N58" s="2310">
        <f>F58*L58*C58</f>
        <v>6.7815000000000003</v>
      </c>
      <c r="O58" s="2328" t="s">
        <v>100</v>
      </c>
      <c r="P58" s="2329">
        <f>ROUND((N58),2)</f>
        <v>6.78</v>
      </c>
      <c r="Q58" s="2223"/>
      <c r="R58" s="529"/>
      <c r="S58" s="2223"/>
      <c r="T58" s="2223"/>
      <c r="U58" s="2223"/>
      <c r="V58" s="2224"/>
      <c r="W58" s="2224"/>
      <c r="X58" s="2224"/>
    </row>
    <row r="59" spans="1:24" ht="15.75" customHeight="1">
      <c r="A59" s="353">
        <f>A50+1</f>
        <v>5</v>
      </c>
      <c r="B59" s="2235" t="s">
        <v>409</v>
      </c>
      <c r="C59" s="513"/>
      <c r="D59" s="513"/>
      <c r="E59" s="513"/>
      <c r="F59" s="513"/>
      <c r="G59" s="513"/>
      <c r="H59" s="513"/>
      <c r="I59" s="513"/>
      <c r="J59" s="513"/>
      <c r="K59" s="513"/>
      <c r="L59" s="513"/>
      <c r="M59" s="513"/>
      <c r="N59" s="514"/>
      <c r="O59" s="2205"/>
      <c r="P59" s="2234"/>
      <c r="Q59" s="2223"/>
      <c r="R59" s="529"/>
      <c r="S59" s="2223"/>
      <c r="T59" s="2223"/>
      <c r="U59" s="2223"/>
      <c r="V59" s="2224"/>
      <c r="W59" s="2224"/>
      <c r="X59" s="2224"/>
    </row>
    <row r="60" spans="1:24" ht="15.75" customHeight="1">
      <c r="A60" s="2238" t="s">
        <v>95</v>
      </c>
      <c r="B60" s="2235" t="s">
        <v>221</v>
      </c>
      <c r="C60" s="513"/>
      <c r="D60" s="513"/>
      <c r="E60" s="513"/>
      <c r="F60" s="513"/>
      <c r="G60" s="513"/>
      <c r="H60" s="513"/>
      <c r="I60" s="513"/>
      <c r="J60" s="513"/>
      <c r="K60" s="513"/>
      <c r="L60" s="513"/>
      <c r="M60" s="513"/>
      <c r="N60" s="513"/>
      <c r="O60" s="2205"/>
      <c r="P60" s="2234"/>
      <c r="Q60" s="2223"/>
      <c r="R60" s="529"/>
      <c r="S60" s="2223"/>
      <c r="T60" s="2223"/>
      <c r="U60" s="2223"/>
      <c r="V60" s="2224"/>
      <c r="W60" s="2224"/>
      <c r="X60" s="2224"/>
    </row>
    <row r="61" spans="1:24" ht="15.75" customHeight="1">
      <c r="A61" s="2238"/>
      <c r="B61" s="2210" t="str">
        <f>B45</f>
        <v>horisontal</v>
      </c>
      <c r="C61" s="513">
        <f>C45</f>
        <v>12</v>
      </c>
      <c r="D61" s="513"/>
      <c r="E61" s="513">
        <v>0.3</v>
      </c>
      <c r="F61" s="513"/>
      <c r="G61" s="513"/>
      <c r="H61" s="513">
        <v>2</v>
      </c>
      <c r="I61" s="513"/>
      <c r="J61" s="513"/>
      <c r="K61" s="513"/>
      <c r="L61" s="513"/>
      <c r="M61" s="513">
        <f>M45</f>
        <v>2</v>
      </c>
      <c r="N61" s="513">
        <f>C61*E61*H61*M61</f>
        <v>14.399999999999999</v>
      </c>
      <c r="O61" s="2205"/>
      <c r="P61" s="2234"/>
      <c r="Q61" s="2223"/>
      <c r="R61" s="529"/>
      <c r="S61" s="2223"/>
      <c r="T61" s="2223"/>
      <c r="U61" s="2223"/>
      <c r="V61" s="2224"/>
      <c r="W61" s="2224"/>
      <c r="X61" s="2224"/>
    </row>
    <row r="62" spans="1:24" ht="15.75" customHeight="1">
      <c r="A62" s="2238"/>
      <c r="B62" s="2210" t="str">
        <f>B46</f>
        <v>vertikal</v>
      </c>
      <c r="C62" s="513">
        <f>C46</f>
        <v>6</v>
      </c>
      <c r="D62" s="513"/>
      <c r="E62" s="513">
        <f>E61</f>
        <v>0.3</v>
      </c>
      <c r="F62" s="513"/>
      <c r="G62" s="513"/>
      <c r="H62" s="513">
        <f>H61</f>
        <v>2</v>
      </c>
      <c r="I62" s="513"/>
      <c r="J62" s="513"/>
      <c r="K62" s="513"/>
      <c r="L62" s="513"/>
      <c r="M62" s="513">
        <f>M46</f>
        <v>5</v>
      </c>
      <c r="N62" s="521">
        <f>C62*E62*H62*M62</f>
        <v>18</v>
      </c>
      <c r="O62" s="2205"/>
      <c r="P62" s="2234"/>
      <c r="Q62" s="2223"/>
      <c r="R62" s="529"/>
      <c r="S62" s="2223"/>
      <c r="T62" s="2223"/>
      <c r="U62" s="2223"/>
      <c r="V62" s="2224"/>
      <c r="W62" s="2224"/>
      <c r="X62" s="2224"/>
    </row>
    <row r="63" spans="1:24" ht="15.75" customHeight="1">
      <c r="A63" s="2238"/>
      <c r="B63" s="2235"/>
      <c r="C63" s="513"/>
      <c r="D63" s="513"/>
      <c r="E63" s="513"/>
      <c r="F63" s="513"/>
      <c r="G63" s="513"/>
      <c r="H63" s="513"/>
      <c r="I63" s="513"/>
      <c r="J63" s="513"/>
      <c r="K63" s="513"/>
      <c r="L63" s="513"/>
      <c r="M63" s="513"/>
      <c r="N63" s="514">
        <f>SUM(N61:N62)</f>
        <v>32.4</v>
      </c>
      <c r="O63" s="2205" t="s">
        <v>89</v>
      </c>
      <c r="P63" s="2234">
        <f>ROUND((N63),2)</f>
        <v>32.4</v>
      </c>
      <c r="Q63" s="2223"/>
      <c r="R63" s="529"/>
      <c r="S63" s="2223"/>
      <c r="T63" s="2223"/>
      <c r="U63" s="2223"/>
      <c r="V63" s="2224"/>
      <c r="W63" s="2224"/>
      <c r="X63" s="2224"/>
    </row>
    <row r="64" spans="1:24" ht="15.75" customHeight="1">
      <c r="A64" s="2333"/>
      <c r="B64" s="2326"/>
      <c r="C64" s="2327">
        <f>C48</f>
        <v>13.5</v>
      </c>
      <c r="D64" s="2327"/>
      <c r="E64" s="2327">
        <v>0.3</v>
      </c>
      <c r="F64" s="2327"/>
      <c r="G64" s="2327"/>
      <c r="H64" s="2327">
        <v>2</v>
      </c>
      <c r="I64" s="2327"/>
      <c r="J64" s="2327"/>
      <c r="K64" s="2327"/>
      <c r="L64" s="2327"/>
      <c r="M64" s="2327">
        <v>1</v>
      </c>
      <c r="N64" s="2327">
        <f>C64*E64*H64*M64</f>
        <v>8.1</v>
      </c>
      <c r="O64" s="2328"/>
      <c r="P64" s="2329"/>
      <c r="Q64" s="2223"/>
      <c r="R64" s="529"/>
      <c r="S64" s="2223"/>
      <c r="T64" s="2223"/>
      <c r="U64" s="2223"/>
      <c r="V64" s="2224"/>
      <c r="W64" s="2224"/>
      <c r="X64" s="2224"/>
    </row>
    <row r="65" spans="1:24" ht="15.75" customHeight="1">
      <c r="A65" s="2333"/>
      <c r="B65" s="2326"/>
      <c r="C65" s="2327">
        <f>C49</f>
        <v>8.5</v>
      </c>
      <c r="D65" s="2327"/>
      <c r="E65" s="2327">
        <f>E64</f>
        <v>0.3</v>
      </c>
      <c r="F65" s="2327"/>
      <c r="G65" s="2327"/>
      <c r="H65" s="2327">
        <f>H64</f>
        <v>2</v>
      </c>
      <c r="I65" s="2327"/>
      <c r="J65" s="2327"/>
      <c r="K65" s="2327"/>
      <c r="L65" s="2327"/>
      <c r="M65" s="2327">
        <v>1</v>
      </c>
      <c r="N65" s="2334">
        <f>C65*E65*H65*M65</f>
        <v>5.0999999999999996</v>
      </c>
      <c r="O65" s="2328"/>
      <c r="P65" s="2329"/>
      <c r="Q65" s="2223"/>
      <c r="R65" s="529"/>
      <c r="S65" s="2223"/>
      <c r="T65" s="2223"/>
      <c r="U65" s="2223"/>
      <c r="V65" s="2224"/>
      <c r="W65" s="2224"/>
      <c r="X65" s="2224"/>
    </row>
    <row r="66" spans="1:24" ht="15.75" customHeight="1">
      <c r="A66" s="2333"/>
      <c r="B66" s="2326"/>
      <c r="C66" s="2327"/>
      <c r="D66" s="2327"/>
      <c r="E66" s="2327"/>
      <c r="F66" s="2327"/>
      <c r="G66" s="2327"/>
      <c r="H66" s="2327"/>
      <c r="I66" s="2327"/>
      <c r="J66" s="2327"/>
      <c r="K66" s="2327"/>
      <c r="L66" s="2327"/>
      <c r="M66" s="2327"/>
      <c r="N66" s="2310">
        <f>SUM(N64:N65)</f>
        <v>13.2</v>
      </c>
      <c r="O66" s="2328" t="s">
        <v>89</v>
      </c>
      <c r="P66" s="2329">
        <f>ROUND((N66),2)</f>
        <v>13.2</v>
      </c>
      <c r="Q66" s="2223"/>
      <c r="R66" s="529"/>
      <c r="S66" s="2223"/>
      <c r="T66" s="2223"/>
      <c r="U66" s="2223"/>
      <c r="V66" s="2224"/>
      <c r="W66" s="2224"/>
      <c r="X66" s="2224"/>
    </row>
    <row r="67" spans="1:24" ht="15.75" customHeight="1">
      <c r="A67" s="2238" t="s">
        <v>98</v>
      </c>
      <c r="B67" s="354" t="s">
        <v>925</v>
      </c>
      <c r="C67" s="513"/>
      <c r="D67" s="513"/>
      <c r="E67" s="513"/>
      <c r="F67" s="513"/>
      <c r="G67" s="513"/>
      <c r="H67" s="513"/>
      <c r="I67" s="513"/>
      <c r="J67" s="513"/>
      <c r="K67" s="513"/>
      <c r="L67" s="513"/>
      <c r="M67" s="513"/>
      <c r="N67" s="513"/>
      <c r="O67" s="2205"/>
      <c r="P67" s="2234"/>
      <c r="Q67" s="2223"/>
      <c r="R67" s="529"/>
      <c r="S67" s="2223"/>
      <c r="T67" s="2223"/>
      <c r="U67" s="2223"/>
      <c r="V67" s="2224"/>
      <c r="W67" s="2224"/>
      <c r="X67" s="2224"/>
    </row>
    <row r="68" spans="1:24" ht="15.75" customHeight="1">
      <c r="A68" s="2238"/>
      <c r="B68" s="2210" t="str">
        <f>B61</f>
        <v>horisontal</v>
      </c>
      <c r="C68" s="513">
        <f>C61</f>
        <v>12</v>
      </c>
      <c r="D68" s="513"/>
      <c r="E68" s="513"/>
      <c r="F68" s="513">
        <v>5</v>
      </c>
      <c r="G68" s="513"/>
      <c r="H68" s="513"/>
      <c r="I68" s="513"/>
      <c r="J68" s="513"/>
      <c r="K68" s="513"/>
      <c r="L68" s="513">
        <f>10*10*0.006165</f>
        <v>0.61650000000000005</v>
      </c>
      <c r="M68" s="513">
        <f>M61</f>
        <v>2</v>
      </c>
      <c r="N68" s="513">
        <f>C68*F68*L68*M68</f>
        <v>73.98</v>
      </c>
      <c r="O68" s="2205"/>
      <c r="P68" s="2234"/>
      <c r="Q68" s="2223"/>
      <c r="R68" s="529"/>
      <c r="S68" s="2223"/>
      <c r="T68" s="2223"/>
      <c r="U68" s="2223"/>
      <c r="V68" s="2224"/>
      <c r="W68" s="2224"/>
      <c r="X68" s="2224"/>
    </row>
    <row r="69" spans="1:24" ht="15.75" customHeight="1">
      <c r="A69" s="2238"/>
      <c r="B69" s="2210" t="str">
        <f>B62</f>
        <v>vertikal</v>
      </c>
      <c r="C69" s="513">
        <f>C62</f>
        <v>6</v>
      </c>
      <c r="D69" s="513"/>
      <c r="E69" s="513"/>
      <c r="F69" s="513">
        <f>F68</f>
        <v>5</v>
      </c>
      <c r="G69" s="513"/>
      <c r="H69" s="513"/>
      <c r="I69" s="513"/>
      <c r="J69" s="513"/>
      <c r="K69" s="513"/>
      <c r="L69" s="513">
        <f>L68</f>
        <v>0.61650000000000005</v>
      </c>
      <c r="M69" s="513">
        <f>M62</f>
        <v>5</v>
      </c>
      <c r="N69" s="521">
        <f>C69*F69*L69*M69</f>
        <v>92.475000000000009</v>
      </c>
      <c r="O69" s="2205"/>
      <c r="P69" s="2234"/>
      <c r="Q69" s="2223"/>
      <c r="R69" s="529"/>
      <c r="S69" s="2223"/>
      <c r="T69" s="2223"/>
      <c r="U69" s="2223"/>
      <c r="V69" s="2224"/>
      <c r="W69" s="2224"/>
      <c r="X69" s="2224"/>
    </row>
    <row r="70" spans="1:24" ht="15.75" customHeight="1">
      <c r="A70" s="2238"/>
      <c r="B70" s="2235"/>
      <c r="C70" s="513"/>
      <c r="D70" s="513"/>
      <c r="E70" s="513"/>
      <c r="F70" s="513"/>
      <c r="G70" s="513"/>
      <c r="H70" s="513"/>
      <c r="I70" s="513"/>
      <c r="J70" s="513"/>
      <c r="K70" s="513"/>
      <c r="L70" s="513"/>
      <c r="M70" s="513"/>
      <c r="N70" s="514">
        <f>SUM(N68:N69)</f>
        <v>166.45500000000001</v>
      </c>
      <c r="O70" s="2205" t="s">
        <v>100</v>
      </c>
      <c r="P70" s="2234">
        <f>ROUND((N70),2)</f>
        <v>166.46</v>
      </c>
      <c r="Q70" s="2223"/>
      <c r="R70" s="529"/>
      <c r="S70" s="2223"/>
      <c r="T70" s="2223"/>
      <c r="U70" s="2223"/>
      <c r="V70" s="2224"/>
      <c r="W70" s="2224"/>
      <c r="X70" s="2224"/>
    </row>
    <row r="71" spans="1:24" ht="15.75" customHeight="1">
      <c r="A71" s="2333"/>
      <c r="B71" s="2326"/>
      <c r="C71" s="2327">
        <f>C64</f>
        <v>13.5</v>
      </c>
      <c r="D71" s="2327"/>
      <c r="E71" s="2327"/>
      <c r="F71" s="2327">
        <v>5</v>
      </c>
      <c r="G71" s="2327"/>
      <c r="H71" s="2327"/>
      <c r="I71" s="2327"/>
      <c r="J71" s="2327"/>
      <c r="K71" s="2327"/>
      <c r="L71" s="2327">
        <f>10*10*0.006165</f>
        <v>0.61650000000000005</v>
      </c>
      <c r="M71" s="2327">
        <f>M64</f>
        <v>1</v>
      </c>
      <c r="N71" s="2327">
        <f>C71*F71*L71*M71</f>
        <v>41.613750000000003</v>
      </c>
      <c r="O71" s="2328"/>
      <c r="P71" s="2329"/>
      <c r="Q71" s="2223"/>
      <c r="R71" s="529"/>
      <c r="S71" s="2223"/>
      <c r="T71" s="2223"/>
      <c r="U71" s="2223"/>
      <c r="V71" s="2224"/>
      <c r="W71" s="2224"/>
      <c r="X71" s="2224"/>
    </row>
    <row r="72" spans="1:24" ht="15.75" customHeight="1">
      <c r="A72" s="2333"/>
      <c r="B72" s="2326"/>
      <c r="C72" s="2327">
        <f>C65</f>
        <v>8.5</v>
      </c>
      <c r="D72" s="2327"/>
      <c r="E72" s="2327"/>
      <c r="F72" s="2327">
        <f>F71</f>
        <v>5</v>
      </c>
      <c r="G72" s="2327"/>
      <c r="H72" s="2327"/>
      <c r="I72" s="2327"/>
      <c r="J72" s="2327"/>
      <c r="K72" s="2327"/>
      <c r="L72" s="2327">
        <f>L71</f>
        <v>0.61650000000000005</v>
      </c>
      <c r="M72" s="2327">
        <f>M65</f>
        <v>1</v>
      </c>
      <c r="N72" s="2334">
        <f>C72*F72*L72*M72</f>
        <v>26.201250000000002</v>
      </c>
      <c r="O72" s="2328"/>
      <c r="P72" s="2329"/>
      <c r="Q72" s="2223"/>
      <c r="R72" s="529"/>
      <c r="S72" s="2223"/>
      <c r="T72" s="2223"/>
      <c r="U72" s="2223"/>
      <c r="V72" s="2224"/>
      <c r="W72" s="2224"/>
      <c r="X72" s="2224"/>
    </row>
    <row r="73" spans="1:24" ht="15.75" customHeight="1">
      <c r="A73" s="2333"/>
      <c r="B73" s="2326"/>
      <c r="C73" s="2327"/>
      <c r="D73" s="2327"/>
      <c r="E73" s="2327"/>
      <c r="F73" s="2327"/>
      <c r="G73" s="2327"/>
      <c r="H73" s="2327"/>
      <c r="I73" s="2327"/>
      <c r="J73" s="2327"/>
      <c r="K73" s="2327"/>
      <c r="L73" s="2327"/>
      <c r="M73" s="2327"/>
      <c r="N73" s="2310">
        <f>SUM(N71:N72)</f>
        <v>67.814999999999998</v>
      </c>
      <c r="O73" s="2328" t="s">
        <v>100</v>
      </c>
      <c r="P73" s="2329">
        <f>ROUND((N73),2)</f>
        <v>67.819999999999993</v>
      </c>
      <c r="Q73" s="2223"/>
      <c r="R73" s="529"/>
      <c r="S73" s="2223"/>
      <c r="T73" s="2223"/>
      <c r="U73" s="2223"/>
      <c r="V73" s="2224"/>
      <c r="W73" s="2224"/>
      <c r="X73" s="2224"/>
    </row>
    <row r="74" spans="1:24" ht="15.75" customHeight="1">
      <c r="A74" s="2238" t="s">
        <v>101</v>
      </c>
      <c r="B74" s="354" t="s">
        <v>428</v>
      </c>
      <c r="C74" s="513"/>
      <c r="D74" s="513"/>
      <c r="E74" s="513"/>
      <c r="F74" s="513"/>
      <c r="G74" s="513"/>
      <c r="H74" s="513"/>
      <c r="I74" s="513"/>
      <c r="J74" s="513"/>
      <c r="K74" s="513"/>
      <c r="L74" s="513"/>
      <c r="M74" s="513"/>
      <c r="N74" s="513"/>
      <c r="O74" s="2205"/>
      <c r="P74" s="2234"/>
      <c r="Q74" s="2223"/>
      <c r="R74" s="529"/>
      <c r="S74" s="2223"/>
      <c r="T74" s="2223"/>
      <c r="U74" s="2223"/>
      <c r="V74" s="2224"/>
      <c r="W74" s="2224"/>
      <c r="X74" s="2224"/>
    </row>
    <row r="75" spans="1:24" ht="15.75" customHeight="1">
      <c r="A75" s="2238"/>
      <c r="B75" s="2210" t="str">
        <f>B68</f>
        <v>horisontal</v>
      </c>
      <c r="C75" s="513">
        <f>(0.17+0.22)*2</f>
        <v>0.78</v>
      </c>
      <c r="D75" s="513"/>
      <c r="E75" s="513"/>
      <c r="F75" s="513">
        <f>ROUNDDOWN((C68/0.125),0.1)</f>
        <v>96</v>
      </c>
      <c r="G75" s="513"/>
      <c r="H75" s="513"/>
      <c r="I75" s="513">
        <f>0.05*2</f>
        <v>0.1</v>
      </c>
      <c r="J75" s="513"/>
      <c r="K75" s="513"/>
      <c r="L75" s="513">
        <f>8*8*0.006165</f>
        <v>0.39456000000000002</v>
      </c>
      <c r="M75" s="513">
        <f>M68</f>
        <v>2</v>
      </c>
      <c r="N75" s="513">
        <f>(C75+I75)*F75*L75*M75</f>
        <v>66.664857600000005</v>
      </c>
      <c r="O75" s="2205"/>
      <c r="P75" s="2234"/>
      <c r="Q75" s="2223"/>
      <c r="R75" s="529"/>
      <c r="S75" s="2223"/>
      <c r="T75" s="2223"/>
      <c r="U75" s="2223"/>
      <c r="V75" s="2224"/>
      <c r="W75" s="2224"/>
      <c r="X75" s="2224"/>
    </row>
    <row r="76" spans="1:24" ht="15.75" customHeight="1">
      <c r="A76" s="2238"/>
      <c r="B76" s="2210" t="str">
        <f>B69</f>
        <v>vertikal</v>
      </c>
      <c r="C76" s="513">
        <f>C75</f>
        <v>0.78</v>
      </c>
      <c r="D76" s="513"/>
      <c r="E76" s="513"/>
      <c r="F76" s="513">
        <f>ROUNDDOWN((C69/0.125),0.1)</f>
        <v>48</v>
      </c>
      <c r="G76" s="513"/>
      <c r="H76" s="513"/>
      <c r="I76" s="513">
        <f>I75</f>
        <v>0.1</v>
      </c>
      <c r="J76" s="513"/>
      <c r="K76" s="513"/>
      <c r="L76" s="513">
        <f>L75</f>
        <v>0.39456000000000002</v>
      </c>
      <c r="M76" s="513">
        <f>M69</f>
        <v>5</v>
      </c>
      <c r="N76" s="521">
        <f>(C76+I76)*F76*L76*M76</f>
        <v>83.331072000000006</v>
      </c>
      <c r="O76" s="2205"/>
      <c r="P76" s="2234"/>
      <c r="Q76" s="2223"/>
      <c r="R76" s="529"/>
      <c r="S76" s="2223"/>
      <c r="T76" s="2223"/>
      <c r="U76" s="2223"/>
      <c r="V76" s="2224"/>
      <c r="W76" s="2224"/>
      <c r="X76" s="2224"/>
    </row>
    <row r="77" spans="1:24" ht="15.75" customHeight="1">
      <c r="A77" s="2238"/>
      <c r="B77" s="2235"/>
      <c r="C77" s="513"/>
      <c r="D77" s="513"/>
      <c r="E77" s="513"/>
      <c r="F77" s="513"/>
      <c r="G77" s="513"/>
      <c r="H77" s="513"/>
      <c r="I77" s="513"/>
      <c r="J77" s="513"/>
      <c r="K77" s="513"/>
      <c r="L77" s="513"/>
      <c r="M77" s="513"/>
      <c r="N77" s="514">
        <f>SUM(N75:N76)</f>
        <v>149.99592960000001</v>
      </c>
      <c r="O77" s="2205" t="s">
        <v>100</v>
      </c>
      <c r="P77" s="2234">
        <f>ROUND((N77),2)</f>
        <v>150</v>
      </c>
      <c r="Q77" s="2223"/>
      <c r="R77" s="529"/>
      <c r="S77" s="2223"/>
      <c r="T77" s="2223"/>
      <c r="U77" s="2223"/>
      <c r="V77" s="2224"/>
      <c r="W77" s="2224"/>
      <c r="X77" s="2224"/>
    </row>
    <row r="78" spans="1:24" ht="15.75" customHeight="1">
      <c r="A78" s="2333"/>
      <c r="B78" s="2331"/>
      <c r="C78" s="2327">
        <f>(0.17+0.22)*2</f>
        <v>0.78</v>
      </c>
      <c r="D78" s="2327"/>
      <c r="E78" s="2327"/>
      <c r="F78" s="2327">
        <f>ROUNDDOWN((C71/0.125),0.1)</f>
        <v>108</v>
      </c>
      <c r="G78" s="2327"/>
      <c r="H78" s="2327"/>
      <c r="I78" s="2327">
        <f>0.05*2</f>
        <v>0.1</v>
      </c>
      <c r="J78" s="2327"/>
      <c r="K78" s="2327"/>
      <c r="L78" s="2327">
        <f>8*8*0.006165</f>
        <v>0.39456000000000002</v>
      </c>
      <c r="M78" s="2327">
        <f>M71</f>
        <v>1</v>
      </c>
      <c r="N78" s="2327">
        <f>(C78+I78)*F78*L78*M78</f>
        <v>37.498982400000003</v>
      </c>
      <c r="O78" s="2328"/>
      <c r="P78" s="2329"/>
      <c r="Q78" s="2223"/>
      <c r="R78" s="529"/>
      <c r="S78" s="2223"/>
      <c r="T78" s="2223"/>
      <c r="U78" s="2223"/>
      <c r="V78" s="2224"/>
      <c r="W78" s="2224"/>
      <c r="X78" s="2224"/>
    </row>
    <row r="79" spans="1:24" ht="15.75" customHeight="1">
      <c r="A79" s="2333"/>
      <c r="B79" s="2331"/>
      <c r="C79" s="2327">
        <f>C78</f>
        <v>0.78</v>
      </c>
      <c r="D79" s="2327"/>
      <c r="E79" s="2327"/>
      <c r="F79" s="2327">
        <f>ROUNDDOWN((C72/0.125),0.1)</f>
        <v>68</v>
      </c>
      <c r="G79" s="2327"/>
      <c r="H79" s="2327"/>
      <c r="I79" s="2327">
        <f>I78</f>
        <v>0.1</v>
      </c>
      <c r="J79" s="2327"/>
      <c r="K79" s="2327"/>
      <c r="L79" s="2327">
        <f>L78</f>
        <v>0.39456000000000002</v>
      </c>
      <c r="M79" s="2327">
        <f>M72</f>
        <v>1</v>
      </c>
      <c r="N79" s="2334">
        <f>(C79+I79)*F79*L79*M79</f>
        <v>23.610470400000004</v>
      </c>
      <c r="O79" s="2328"/>
      <c r="P79" s="2329"/>
      <c r="Q79" s="2223"/>
      <c r="R79" s="529"/>
      <c r="S79" s="2223"/>
      <c r="T79" s="2223"/>
      <c r="U79" s="2223"/>
      <c r="V79" s="2224"/>
      <c r="W79" s="2224"/>
      <c r="X79" s="2224"/>
    </row>
    <row r="80" spans="1:24" ht="15.75" customHeight="1">
      <c r="A80" s="2333"/>
      <c r="B80" s="2324"/>
      <c r="C80" s="2327"/>
      <c r="D80" s="2327"/>
      <c r="E80" s="2327"/>
      <c r="F80" s="2327"/>
      <c r="G80" s="2327"/>
      <c r="H80" s="2327"/>
      <c r="I80" s="2327"/>
      <c r="J80" s="2327"/>
      <c r="K80" s="2327"/>
      <c r="L80" s="2327"/>
      <c r="M80" s="2327"/>
      <c r="N80" s="2310">
        <f>SUM(N78:N79)</f>
        <v>61.109452800000007</v>
      </c>
      <c r="O80" s="2328" t="s">
        <v>100</v>
      </c>
      <c r="P80" s="2329">
        <f>ROUND((N80),2)</f>
        <v>61.11</v>
      </c>
      <c r="Q80" s="2223"/>
      <c r="R80" s="529"/>
      <c r="S80" s="2223"/>
      <c r="T80" s="2223"/>
      <c r="U80" s="2223"/>
      <c r="V80" s="2224"/>
      <c r="W80" s="2224"/>
      <c r="X80" s="2224"/>
    </row>
    <row r="81" spans="1:24" ht="15.75" customHeight="1">
      <c r="A81" s="2238" t="s">
        <v>121</v>
      </c>
      <c r="B81" s="1585" t="s">
        <v>646</v>
      </c>
      <c r="C81" s="513"/>
      <c r="D81" s="513"/>
      <c r="E81" s="513"/>
      <c r="F81" s="513"/>
      <c r="G81" s="513"/>
      <c r="H81" s="513"/>
      <c r="I81" s="513"/>
      <c r="J81" s="513"/>
      <c r="K81" s="513"/>
      <c r="L81" s="513"/>
      <c r="M81" s="513"/>
      <c r="N81" s="513"/>
      <c r="O81" s="2205"/>
      <c r="P81" s="2234"/>
      <c r="Q81" s="2223"/>
      <c r="R81" s="529"/>
      <c r="S81" s="2223"/>
      <c r="T81" s="2223"/>
      <c r="U81" s="2223"/>
      <c r="V81" s="2224"/>
      <c r="W81" s="2224"/>
      <c r="X81" s="2224"/>
    </row>
    <row r="82" spans="1:24" ht="15.75" customHeight="1">
      <c r="A82" s="2238"/>
      <c r="B82" s="2210" t="str">
        <f>B75</f>
        <v>horisontal</v>
      </c>
      <c r="C82" s="513">
        <f>C68</f>
        <v>12</v>
      </c>
      <c r="D82" s="513">
        <v>0.25</v>
      </c>
      <c r="E82" s="513">
        <v>0.3</v>
      </c>
      <c r="F82" s="513"/>
      <c r="G82" s="513"/>
      <c r="H82" s="513"/>
      <c r="I82" s="513"/>
      <c r="J82" s="513"/>
      <c r="K82" s="513"/>
      <c r="L82" s="513"/>
      <c r="M82" s="513">
        <f>M75</f>
        <v>2</v>
      </c>
      <c r="N82" s="513">
        <f>C82*D82*E82*M82</f>
        <v>1.7999999999999998</v>
      </c>
      <c r="O82" s="2205"/>
      <c r="P82" s="2234"/>
      <c r="Q82" s="2223"/>
      <c r="R82" s="529"/>
      <c r="S82" s="2223"/>
      <c r="T82" s="2223"/>
      <c r="U82" s="2223"/>
      <c r="V82" s="2224"/>
      <c r="W82" s="2224"/>
      <c r="X82" s="2224"/>
    </row>
    <row r="83" spans="1:24" ht="15.75" customHeight="1">
      <c r="A83" s="2238"/>
      <c r="B83" s="2210" t="str">
        <f>B76</f>
        <v>vertikal</v>
      </c>
      <c r="C83" s="513">
        <f>C69</f>
        <v>6</v>
      </c>
      <c r="D83" s="513">
        <f>D82</f>
        <v>0.25</v>
      </c>
      <c r="E83" s="513">
        <f>E82</f>
        <v>0.3</v>
      </c>
      <c r="F83" s="513"/>
      <c r="G83" s="513"/>
      <c r="H83" s="513"/>
      <c r="I83" s="513"/>
      <c r="J83" s="513"/>
      <c r="K83" s="513"/>
      <c r="L83" s="513"/>
      <c r="M83" s="513">
        <f>M76</f>
        <v>5</v>
      </c>
      <c r="N83" s="521">
        <f>C83*D83*E83*M83</f>
        <v>2.25</v>
      </c>
      <c r="O83" s="2205"/>
      <c r="P83" s="2234"/>
      <c r="Q83" s="2223"/>
      <c r="R83" s="529"/>
      <c r="S83" s="2223"/>
      <c r="T83" s="2223"/>
      <c r="U83" s="2223"/>
      <c r="V83" s="2224"/>
      <c r="W83" s="2224"/>
      <c r="X83" s="2224"/>
    </row>
    <row r="84" spans="1:24" ht="15.75" customHeight="1">
      <c r="A84" s="2238"/>
      <c r="B84" s="2235"/>
      <c r="C84" s="513"/>
      <c r="D84" s="513"/>
      <c r="E84" s="513"/>
      <c r="F84" s="513"/>
      <c r="G84" s="513"/>
      <c r="H84" s="513"/>
      <c r="I84" s="513"/>
      <c r="J84" s="513"/>
      <c r="K84" s="513"/>
      <c r="L84" s="513"/>
      <c r="M84" s="513"/>
      <c r="N84" s="514">
        <f>SUM(N82:N83)</f>
        <v>4.05</v>
      </c>
      <c r="O84" s="2205" t="s">
        <v>103</v>
      </c>
      <c r="P84" s="2234">
        <f>ROUND((N84),2)</f>
        <v>4.05</v>
      </c>
      <c r="Q84" s="2223"/>
      <c r="R84" s="529"/>
      <c r="S84" s="2223"/>
      <c r="T84" s="2223"/>
      <c r="U84" s="2223"/>
      <c r="V84" s="2224"/>
      <c r="W84" s="2224"/>
      <c r="X84" s="2224"/>
    </row>
    <row r="85" spans="1:24" ht="15.75" customHeight="1">
      <c r="A85" s="2333"/>
      <c r="B85" s="2331"/>
      <c r="C85" s="2327">
        <f>C71</f>
        <v>13.5</v>
      </c>
      <c r="D85" s="2327">
        <v>0.25</v>
      </c>
      <c r="E85" s="2327">
        <v>0.3</v>
      </c>
      <c r="F85" s="2327"/>
      <c r="G85" s="2327"/>
      <c r="H85" s="2327"/>
      <c r="I85" s="2327"/>
      <c r="J85" s="2327"/>
      <c r="K85" s="2327"/>
      <c r="L85" s="2327"/>
      <c r="M85" s="2327">
        <f>M78</f>
        <v>1</v>
      </c>
      <c r="N85" s="2327">
        <f>C85*D85*E85*M85</f>
        <v>1.0125</v>
      </c>
      <c r="O85" s="2328"/>
      <c r="P85" s="2329"/>
      <c r="Q85" s="2223"/>
      <c r="R85" s="529"/>
      <c r="S85" s="2223"/>
      <c r="T85" s="2223"/>
      <c r="U85" s="2223"/>
      <c r="V85" s="2224"/>
      <c r="W85" s="2224"/>
      <c r="X85" s="2224"/>
    </row>
    <row r="86" spans="1:24" ht="15.75" customHeight="1">
      <c r="A86" s="2333"/>
      <c r="B86" s="2331"/>
      <c r="C86" s="2327">
        <f>C72</f>
        <v>8.5</v>
      </c>
      <c r="D86" s="2327">
        <f>D85</f>
        <v>0.25</v>
      </c>
      <c r="E86" s="2327">
        <f>E85</f>
        <v>0.3</v>
      </c>
      <c r="F86" s="2327"/>
      <c r="G86" s="2327"/>
      <c r="H86" s="2327"/>
      <c r="I86" s="2327"/>
      <c r="J86" s="2327"/>
      <c r="K86" s="2327"/>
      <c r="L86" s="2327"/>
      <c r="M86" s="2327">
        <f>M79</f>
        <v>1</v>
      </c>
      <c r="N86" s="2334">
        <f>C86*D86*E86*M86</f>
        <v>0.63749999999999996</v>
      </c>
      <c r="O86" s="2328"/>
      <c r="P86" s="2329"/>
      <c r="Q86" s="2223"/>
      <c r="R86" s="529"/>
      <c r="S86" s="2223"/>
      <c r="T86" s="2223"/>
      <c r="U86" s="2223"/>
      <c r="V86" s="2224"/>
      <c r="W86" s="2224"/>
      <c r="X86" s="2224"/>
    </row>
    <row r="87" spans="1:24" ht="15.75" customHeight="1">
      <c r="A87" s="2333"/>
      <c r="B87" s="2324"/>
      <c r="C87" s="2327"/>
      <c r="D87" s="2327"/>
      <c r="E87" s="2327"/>
      <c r="F87" s="2327"/>
      <c r="G87" s="2327"/>
      <c r="H87" s="2327"/>
      <c r="I87" s="2327"/>
      <c r="J87" s="2327"/>
      <c r="K87" s="2327"/>
      <c r="L87" s="2327"/>
      <c r="M87" s="2327"/>
      <c r="N87" s="2310">
        <f>SUM(N85:N86)</f>
        <v>1.65</v>
      </c>
      <c r="O87" s="2328" t="s">
        <v>103</v>
      </c>
      <c r="P87" s="2329">
        <f>ROUND((N87),2)</f>
        <v>1.65</v>
      </c>
      <c r="Q87" s="2223"/>
      <c r="R87" s="529"/>
      <c r="S87" s="2223"/>
      <c r="T87" s="2223"/>
      <c r="U87" s="2223"/>
      <c r="V87" s="2224"/>
      <c r="W87" s="2224"/>
      <c r="X87" s="2224"/>
    </row>
    <row r="88" spans="1:24" s="2256" customFormat="1" ht="15.75" customHeight="1">
      <c r="A88" s="2254">
        <f>A59+1</f>
        <v>6</v>
      </c>
      <c r="B88" s="1878" t="s">
        <v>831</v>
      </c>
      <c r="C88" s="2255"/>
      <c r="D88" s="2255"/>
      <c r="E88" s="2255"/>
      <c r="F88" s="2255"/>
      <c r="G88" s="2255"/>
      <c r="H88" s="2255"/>
      <c r="I88" s="2255"/>
      <c r="J88" s="2255"/>
      <c r="K88" s="2255"/>
      <c r="L88" s="2255"/>
      <c r="M88" s="2255"/>
      <c r="N88" s="2255"/>
      <c r="O88" s="2205"/>
      <c r="P88" s="2234"/>
    </row>
    <row r="89" spans="1:24" s="2256" customFormat="1" ht="15.75" customHeight="1">
      <c r="A89" s="2257" t="s">
        <v>95</v>
      </c>
      <c r="B89" s="2258" t="s">
        <v>694</v>
      </c>
      <c r="C89" s="2255">
        <v>5.35</v>
      </c>
      <c r="D89" s="2255">
        <v>0.15</v>
      </c>
      <c r="E89" s="2255">
        <v>0.2</v>
      </c>
      <c r="F89" s="2255"/>
      <c r="G89" s="2255"/>
      <c r="H89" s="2255"/>
      <c r="I89" s="2255"/>
      <c r="J89" s="2255"/>
      <c r="K89" s="2255"/>
      <c r="L89" s="2255"/>
      <c r="M89" s="2255"/>
      <c r="N89" s="2255">
        <f>C89*D89*E89</f>
        <v>0.16049999999999998</v>
      </c>
      <c r="O89" s="2205" t="s">
        <v>103</v>
      </c>
      <c r="P89" s="2234">
        <f>ROUND((N89),2)</f>
        <v>0.16</v>
      </c>
    </row>
    <row r="90" spans="1:24" s="2256" customFormat="1" ht="15.75" customHeight="1">
      <c r="A90" s="2259" t="s">
        <v>98</v>
      </c>
      <c r="B90" s="1878" t="s">
        <v>1410</v>
      </c>
      <c r="C90" s="2255">
        <f>C89</f>
        <v>5.35</v>
      </c>
      <c r="D90" s="2255"/>
      <c r="E90" s="2255">
        <f>E89</f>
        <v>0.2</v>
      </c>
      <c r="F90" s="2255"/>
      <c r="G90" s="2255"/>
      <c r="H90" s="2255">
        <v>2</v>
      </c>
      <c r="I90" s="2255"/>
      <c r="J90" s="2255"/>
      <c r="K90" s="2255"/>
      <c r="L90" s="2255"/>
      <c r="M90" s="2255"/>
      <c r="N90" s="2255">
        <f>C90*E90*H90</f>
        <v>2.14</v>
      </c>
      <c r="O90" s="2205" t="s">
        <v>89</v>
      </c>
      <c r="P90" s="2234">
        <f>ROUND((N90),2)</f>
        <v>2.14</v>
      </c>
    </row>
    <row r="91" spans="1:24" s="2256" customFormat="1" ht="15.75" customHeight="1">
      <c r="A91" s="2259" t="s">
        <v>101</v>
      </c>
      <c r="B91" s="1878" t="s">
        <v>432</v>
      </c>
      <c r="C91" s="2255">
        <f>C90</f>
        <v>5.35</v>
      </c>
      <c r="D91" s="2255"/>
      <c r="E91" s="2255"/>
      <c r="F91" s="2255">
        <v>4</v>
      </c>
      <c r="G91" s="2255"/>
      <c r="H91" s="2255"/>
      <c r="I91" s="2255"/>
      <c r="J91" s="2255"/>
      <c r="K91" s="2255"/>
      <c r="L91" s="2255">
        <f>10*10*0.006165</f>
        <v>0.61650000000000005</v>
      </c>
      <c r="M91" s="2255"/>
      <c r="N91" s="2255">
        <f>C91*L91*F91</f>
        <v>13.193099999999999</v>
      </c>
      <c r="O91" s="2205" t="s">
        <v>100</v>
      </c>
      <c r="P91" s="2234">
        <f>ROUND((N91),2)</f>
        <v>13.19</v>
      </c>
    </row>
    <row r="92" spans="1:24" s="2256" customFormat="1" ht="15.75" customHeight="1">
      <c r="A92" s="2259" t="s">
        <v>121</v>
      </c>
      <c r="B92" s="1878" t="s">
        <v>411</v>
      </c>
      <c r="C92" s="2255">
        <f>(0.1+0.15)*2</f>
        <v>0.5</v>
      </c>
      <c r="D92" s="2255"/>
      <c r="E92" s="2255"/>
      <c r="F92" s="2255">
        <f>ROUNDUP((C91/0.125),0.5)</f>
        <v>43</v>
      </c>
      <c r="G92" s="2255"/>
      <c r="H92" s="2255"/>
      <c r="I92" s="2255">
        <v>0.1</v>
      </c>
      <c r="J92" s="2255"/>
      <c r="K92" s="2255"/>
      <c r="L92" s="2255">
        <f>8*8*0.006165</f>
        <v>0.39456000000000002</v>
      </c>
      <c r="M92" s="2255"/>
      <c r="N92" s="2255">
        <f>(C92+I92)*L92*F92</f>
        <v>10.179648</v>
      </c>
      <c r="O92" s="2205" t="s">
        <v>100</v>
      </c>
      <c r="P92" s="2234">
        <f>ROUND((N92),2)</f>
        <v>10.18</v>
      </c>
    </row>
    <row r="93" spans="1:24" s="2256" customFormat="1" ht="15.75" customHeight="1">
      <c r="A93" s="2259" t="s">
        <v>142</v>
      </c>
      <c r="B93" s="1888" t="s">
        <v>420</v>
      </c>
      <c r="C93" s="2255">
        <f>C89</f>
        <v>5.35</v>
      </c>
      <c r="D93" s="2255">
        <f>D89</f>
        <v>0.15</v>
      </c>
      <c r="E93" s="2255">
        <f>E89</f>
        <v>0.2</v>
      </c>
      <c r="F93" s="2255"/>
      <c r="G93" s="2255"/>
      <c r="H93" s="2255"/>
      <c r="I93" s="2255"/>
      <c r="J93" s="2255"/>
      <c r="K93" s="2255"/>
      <c r="L93" s="2255"/>
      <c r="M93" s="2255"/>
      <c r="N93" s="2255">
        <f>C93*D93*E93</f>
        <v>0.16049999999999998</v>
      </c>
      <c r="O93" s="2205" t="s">
        <v>103</v>
      </c>
      <c r="P93" s="2234">
        <f>ROUND((N93),2)</f>
        <v>0.16</v>
      </c>
    </row>
    <row r="94" spans="1:24" ht="15.75" customHeight="1">
      <c r="A94" s="353">
        <f>A88+1</f>
        <v>7</v>
      </c>
      <c r="B94" s="2235" t="s">
        <v>483</v>
      </c>
      <c r="C94" s="513"/>
      <c r="D94" s="513"/>
      <c r="E94" s="513"/>
      <c r="F94" s="513"/>
      <c r="G94" s="513"/>
      <c r="H94" s="513"/>
      <c r="I94" s="513"/>
      <c r="J94" s="513"/>
      <c r="K94" s="513"/>
      <c r="L94" s="513"/>
      <c r="M94" s="513"/>
      <c r="N94" s="513"/>
      <c r="O94" s="2205"/>
      <c r="P94" s="2234"/>
      <c r="Q94" s="2223"/>
      <c r="R94" s="529"/>
      <c r="S94" s="2223"/>
      <c r="T94" s="2223"/>
      <c r="U94" s="2223"/>
      <c r="V94" s="2224"/>
      <c r="W94" s="2224"/>
      <c r="X94" s="2224"/>
    </row>
    <row r="95" spans="1:24" ht="15.75" customHeight="1">
      <c r="A95" s="2238" t="s">
        <v>95</v>
      </c>
      <c r="B95" s="2260" t="s">
        <v>413</v>
      </c>
      <c r="C95" s="513">
        <f>C82</f>
        <v>12</v>
      </c>
      <c r="D95" s="513">
        <f>C83</f>
        <v>6</v>
      </c>
      <c r="E95" s="513">
        <f>0.3-E97-E98-E100</f>
        <v>5.0000000000000017E-2</v>
      </c>
      <c r="F95" s="513"/>
      <c r="G95" s="513"/>
      <c r="H95" s="513"/>
      <c r="I95" s="513"/>
      <c r="J95" s="513"/>
      <c r="K95" s="513"/>
      <c r="L95" s="513"/>
      <c r="M95" s="513"/>
      <c r="N95" s="513">
        <f>C95*D95*E95</f>
        <v>3.6000000000000014</v>
      </c>
      <c r="O95" s="2205" t="s">
        <v>103</v>
      </c>
      <c r="P95" s="2234">
        <f t="shared" ref="P95:P100" si="5">ROUND((N95),2)</f>
        <v>3.6</v>
      </c>
      <c r="Q95" s="2223"/>
      <c r="R95" s="529"/>
      <c r="S95" s="2223"/>
      <c r="T95" s="2223"/>
      <c r="U95" s="2223"/>
      <c r="V95" s="2224"/>
      <c r="W95" s="2224"/>
      <c r="X95" s="2224"/>
    </row>
    <row r="96" spans="1:24" ht="15.75" customHeight="1">
      <c r="A96" s="2238" t="s">
        <v>98</v>
      </c>
      <c r="B96" s="890" t="s">
        <v>414</v>
      </c>
      <c r="C96" s="513"/>
      <c r="D96" s="513"/>
      <c r="E96" s="513"/>
      <c r="F96" s="513"/>
      <c r="G96" s="513"/>
      <c r="H96" s="513"/>
      <c r="I96" s="513"/>
      <c r="J96" s="513"/>
      <c r="K96" s="513"/>
      <c r="L96" s="513"/>
      <c r="M96" s="513"/>
      <c r="N96" s="513">
        <f>N95</f>
        <v>3.6000000000000014</v>
      </c>
      <c r="O96" s="2205" t="s">
        <v>103</v>
      </c>
      <c r="P96" s="2234">
        <f t="shared" si="5"/>
        <v>3.6</v>
      </c>
      <c r="Q96" s="2223"/>
      <c r="R96" s="529"/>
      <c r="S96" s="2223"/>
      <c r="T96" s="2223"/>
      <c r="U96" s="2223"/>
      <c r="V96" s="2224"/>
      <c r="W96" s="2224"/>
      <c r="X96" s="2224"/>
    </row>
    <row r="97" spans="1:24" ht="15.75" customHeight="1">
      <c r="A97" s="2238" t="s">
        <v>101</v>
      </c>
      <c r="B97" s="890" t="s">
        <v>415</v>
      </c>
      <c r="C97" s="513">
        <f>C95</f>
        <v>12</v>
      </c>
      <c r="D97" s="513">
        <f>D95</f>
        <v>6</v>
      </c>
      <c r="E97" s="513">
        <v>0.05</v>
      </c>
      <c r="F97" s="513"/>
      <c r="G97" s="513"/>
      <c r="H97" s="513"/>
      <c r="I97" s="513"/>
      <c r="J97" s="513"/>
      <c r="K97" s="513"/>
      <c r="L97" s="513"/>
      <c r="M97" s="513"/>
      <c r="N97" s="513">
        <f>C97*D97*E97</f>
        <v>3.6</v>
      </c>
      <c r="O97" s="2205" t="s">
        <v>103</v>
      </c>
      <c r="P97" s="2234">
        <f t="shared" si="5"/>
        <v>3.6</v>
      </c>
      <c r="Q97" s="2223"/>
      <c r="R97" s="529"/>
      <c r="S97" s="2223"/>
      <c r="T97" s="2223"/>
      <c r="U97" s="2223"/>
      <c r="V97" s="2224"/>
      <c r="W97" s="2224"/>
      <c r="X97" s="2224"/>
    </row>
    <row r="98" spans="1:24" ht="15.75" customHeight="1">
      <c r="A98" s="2238" t="s">
        <v>121</v>
      </c>
      <c r="B98" s="890" t="s">
        <v>496</v>
      </c>
      <c r="C98" s="513">
        <f t="shared" ref="C98:D100" si="6">C97</f>
        <v>12</v>
      </c>
      <c r="D98" s="513">
        <f t="shared" si="6"/>
        <v>6</v>
      </c>
      <c r="E98" s="513">
        <v>0.05</v>
      </c>
      <c r="F98" s="513"/>
      <c r="G98" s="513"/>
      <c r="H98" s="513"/>
      <c r="I98" s="513"/>
      <c r="J98" s="513"/>
      <c r="K98" s="513"/>
      <c r="L98" s="513"/>
      <c r="M98" s="513"/>
      <c r="N98" s="513">
        <f>C98*D98*E98</f>
        <v>3.6</v>
      </c>
      <c r="O98" s="2205" t="s">
        <v>103</v>
      </c>
      <c r="P98" s="2234">
        <f t="shared" si="5"/>
        <v>3.6</v>
      </c>
      <c r="Q98" s="2223"/>
      <c r="R98" s="529"/>
      <c r="S98" s="2223"/>
      <c r="T98" s="2223"/>
      <c r="U98" s="2223"/>
      <c r="V98" s="2224"/>
      <c r="W98" s="2224"/>
      <c r="X98" s="2224"/>
    </row>
    <row r="99" spans="1:24" ht="15.75" customHeight="1">
      <c r="A99" s="2238" t="s">
        <v>142</v>
      </c>
      <c r="B99" s="465" t="s">
        <v>836</v>
      </c>
      <c r="C99" s="513">
        <f t="shared" si="6"/>
        <v>12</v>
      </c>
      <c r="D99" s="513">
        <f t="shared" si="6"/>
        <v>6</v>
      </c>
      <c r="E99" s="513"/>
      <c r="F99" s="513"/>
      <c r="G99" s="513"/>
      <c r="H99" s="513">
        <v>2</v>
      </c>
      <c r="I99" s="513"/>
      <c r="J99" s="513"/>
      <c r="K99" s="513"/>
      <c r="L99" s="513"/>
      <c r="M99" s="513"/>
      <c r="N99" s="513">
        <f>C99*D99*H99</f>
        <v>144</v>
      </c>
      <c r="O99" s="2205" t="s">
        <v>89</v>
      </c>
      <c r="P99" s="2234">
        <f t="shared" si="5"/>
        <v>144</v>
      </c>
      <c r="Q99" s="2223"/>
      <c r="R99" s="529"/>
      <c r="S99" s="2223"/>
      <c r="T99" s="2223"/>
      <c r="U99" s="2223"/>
      <c r="V99" s="2224"/>
      <c r="W99" s="2224"/>
      <c r="X99" s="2224"/>
    </row>
    <row r="100" spans="1:24" ht="15.75" customHeight="1">
      <c r="A100" s="2238" t="s">
        <v>217</v>
      </c>
      <c r="B100" s="2261" t="s">
        <v>429</v>
      </c>
      <c r="C100" s="513">
        <f t="shared" si="6"/>
        <v>12</v>
      </c>
      <c r="D100" s="513">
        <f t="shared" si="6"/>
        <v>6</v>
      </c>
      <c r="E100" s="513">
        <v>0.15</v>
      </c>
      <c r="F100" s="513"/>
      <c r="G100" s="513"/>
      <c r="H100" s="513"/>
      <c r="I100" s="513"/>
      <c r="J100" s="513"/>
      <c r="K100" s="513"/>
      <c r="L100" s="513"/>
      <c r="M100" s="513"/>
      <c r="N100" s="513">
        <f>C100*D100*E100</f>
        <v>10.799999999999999</v>
      </c>
      <c r="O100" s="2205" t="s">
        <v>103</v>
      </c>
      <c r="P100" s="2234">
        <f t="shared" si="5"/>
        <v>10.8</v>
      </c>
      <c r="Q100" s="2223"/>
      <c r="R100" s="529"/>
      <c r="S100" s="2223"/>
      <c r="T100" s="2223"/>
      <c r="U100" s="2223"/>
      <c r="V100" s="2224"/>
      <c r="W100" s="2224"/>
      <c r="X100" s="2224"/>
    </row>
    <row r="101" spans="1:24" ht="15.75" customHeight="1">
      <c r="A101" s="2262">
        <f>A94+1</f>
        <v>8</v>
      </c>
      <c r="B101" s="890" t="s">
        <v>647</v>
      </c>
      <c r="C101" s="513"/>
      <c r="D101" s="513"/>
      <c r="E101" s="513"/>
      <c r="F101" s="513"/>
      <c r="G101" s="513"/>
      <c r="H101" s="513"/>
      <c r="I101" s="513"/>
      <c r="J101" s="513"/>
      <c r="K101" s="513"/>
      <c r="L101" s="513"/>
      <c r="M101" s="513"/>
      <c r="N101" s="513"/>
      <c r="O101" s="2205"/>
      <c r="P101" s="2234"/>
      <c r="Q101" s="2223"/>
      <c r="R101" s="529"/>
      <c r="S101" s="2223"/>
      <c r="T101" s="2223"/>
      <c r="U101" s="2223"/>
      <c r="V101" s="2224"/>
      <c r="W101" s="2224"/>
      <c r="X101" s="2224"/>
    </row>
    <row r="102" spans="1:24" ht="15.75" customHeight="1">
      <c r="A102" s="2263" t="s">
        <v>95</v>
      </c>
      <c r="B102" s="890" t="s">
        <v>438</v>
      </c>
      <c r="C102" s="513"/>
      <c r="D102" s="513"/>
      <c r="E102" s="513"/>
      <c r="F102" s="513"/>
      <c r="G102" s="513"/>
      <c r="H102" s="513"/>
      <c r="I102" s="513"/>
      <c r="J102" s="513"/>
      <c r="K102" s="513"/>
      <c r="L102" s="513"/>
      <c r="M102" s="513"/>
      <c r="N102" s="513"/>
      <c r="O102" s="2205"/>
      <c r="P102" s="2234"/>
      <c r="Q102" s="2223"/>
      <c r="R102" s="529"/>
      <c r="S102" s="2223"/>
      <c r="T102" s="2223"/>
      <c r="U102" s="2223"/>
      <c r="V102" s="2224"/>
      <c r="W102" s="2224"/>
      <c r="X102" s="2224"/>
    </row>
    <row r="103" spans="1:24" ht="15.75" customHeight="1">
      <c r="A103" s="2263"/>
      <c r="B103" s="2210" t="s">
        <v>226</v>
      </c>
      <c r="C103" s="513">
        <f>6+(0.875*2)</f>
        <v>7.75</v>
      </c>
      <c r="D103" s="513">
        <v>0.12</v>
      </c>
      <c r="E103" s="513">
        <v>0.2</v>
      </c>
      <c r="F103" s="513"/>
      <c r="G103" s="513"/>
      <c r="H103" s="513"/>
      <c r="I103" s="513"/>
      <c r="J103" s="513"/>
      <c r="K103" s="513"/>
      <c r="L103" s="513"/>
      <c r="M103" s="513">
        <v>1</v>
      </c>
      <c r="N103" s="513">
        <f>C103*D103*E103*M103</f>
        <v>0.186</v>
      </c>
      <c r="O103" s="2205"/>
      <c r="P103" s="2234"/>
      <c r="Q103" s="2223"/>
      <c r="R103" s="529"/>
      <c r="S103" s="2223"/>
      <c r="T103" s="2223"/>
      <c r="U103" s="2223"/>
      <c r="V103" s="2224"/>
      <c r="W103" s="2224"/>
      <c r="X103" s="2224"/>
    </row>
    <row r="104" spans="1:24" ht="15.75" customHeight="1">
      <c r="A104" s="2263"/>
      <c r="B104" s="2210"/>
      <c r="C104" s="513">
        <f>1.2*2</f>
        <v>2.4</v>
      </c>
      <c r="D104" s="513">
        <f>D103</f>
        <v>0.12</v>
      </c>
      <c r="E104" s="513">
        <f>E103</f>
        <v>0.2</v>
      </c>
      <c r="F104" s="513"/>
      <c r="G104" s="513"/>
      <c r="H104" s="513"/>
      <c r="I104" s="513"/>
      <c r="J104" s="513"/>
      <c r="K104" s="513"/>
      <c r="L104" s="513"/>
      <c r="M104" s="513">
        <v>1</v>
      </c>
      <c r="N104" s="513">
        <f>C104*D104*E104*M104</f>
        <v>5.7599999999999998E-2</v>
      </c>
      <c r="O104" s="2205"/>
      <c r="P104" s="2234"/>
      <c r="Q104" s="2223"/>
      <c r="R104" s="529"/>
      <c r="S104" s="2223"/>
      <c r="T104" s="2223"/>
      <c r="U104" s="2223"/>
      <c r="V104" s="2224"/>
      <c r="W104" s="2224"/>
      <c r="X104" s="2224"/>
    </row>
    <row r="105" spans="1:24" ht="15.75" customHeight="1">
      <c r="A105" s="2263"/>
      <c r="B105" s="2210" t="s">
        <v>227</v>
      </c>
      <c r="C105" s="513">
        <f>(0.875*2)+2.5+1.5+4+4</f>
        <v>13.75</v>
      </c>
      <c r="D105" s="513">
        <f>D104</f>
        <v>0.12</v>
      </c>
      <c r="E105" s="513">
        <f>E104</f>
        <v>0.2</v>
      </c>
      <c r="F105" s="513"/>
      <c r="G105" s="513"/>
      <c r="H105" s="513"/>
      <c r="I105" s="513"/>
      <c r="J105" s="513"/>
      <c r="K105" s="513"/>
      <c r="L105" s="513"/>
      <c r="M105" s="513">
        <v>2</v>
      </c>
      <c r="N105" s="521">
        <f>C105*D105*E105*M105</f>
        <v>0.66</v>
      </c>
      <c r="O105" s="2205"/>
      <c r="P105" s="2234"/>
      <c r="Q105" s="2223"/>
      <c r="R105" s="529"/>
      <c r="S105" s="2223"/>
      <c r="T105" s="2223"/>
      <c r="U105" s="2223"/>
      <c r="V105" s="2224"/>
      <c r="W105" s="2224"/>
      <c r="X105" s="2224"/>
    </row>
    <row r="106" spans="1:24" ht="15.75" customHeight="1">
      <c r="A106" s="2263"/>
      <c r="B106" s="890"/>
      <c r="C106" s="513"/>
      <c r="D106" s="513"/>
      <c r="E106" s="513"/>
      <c r="F106" s="513"/>
      <c r="G106" s="513"/>
      <c r="H106" s="513"/>
      <c r="I106" s="513"/>
      <c r="J106" s="513"/>
      <c r="K106" s="513"/>
      <c r="L106" s="513"/>
      <c r="M106" s="513"/>
      <c r="N106" s="527">
        <f>SUM(N103:N105)</f>
        <v>0.90359999999999996</v>
      </c>
      <c r="O106" s="2264" t="s">
        <v>103</v>
      </c>
      <c r="P106" s="2234">
        <f>ROUND((N106),2)</f>
        <v>0.9</v>
      </c>
      <c r="Q106" s="2223"/>
      <c r="R106" s="529"/>
      <c r="S106" s="2223"/>
      <c r="T106" s="2223"/>
      <c r="U106" s="2223"/>
      <c r="V106" s="2224"/>
      <c r="W106" s="2224"/>
      <c r="X106" s="2224"/>
    </row>
    <row r="107" spans="1:24" ht="15.75" customHeight="1">
      <c r="A107" s="2263" t="s">
        <v>98</v>
      </c>
      <c r="B107" s="890" t="s">
        <v>439</v>
      </c>
      <c r="C107" s="513"/>
      <c r="D107" s="513"/>
      <c r="E107" s="513"/>
      <c r="F107" s="513"/>
      <c r="G107" s="513"/>
      <c r="H107" s="513"/>
      <c r="I107" s="513"/>
      <c r="J107" s="513"/>
      <c r="K107" s="513"/>
      <c r="L107" s="513"/>
      <c r="M107" s="513"/>
      <c r="N107" s="513"/>
      <c r="O107" s="2205"/>
      <c r="P107" s="2234"/>
      <c r="Q107" s="2223"/>
      <c r="R107" s="529"/>
      <c r="S107" s="2223"/>
      <c r="T107" s="2223"/>
      <c r="U107" s="2223"/>
      <c r="V107" s="2224"/>
      <c r="W107" s="2224"/>
      <c r="X107" s="2224"/>
    </row>
    <row r="108" spans="1:24" ht="15.75" customHeight="1">
      <c r="A108" s="2263"/>
      <c r="B108" s="935" t="str">
        <f>B103</f>
        <v>horisontal</v>
      </c>
      <c r="C108" s="513">
        <f>C103</f>
        <v>7.75</v>
      </c>
      <c r="D108" s="513"/>
      <c r="E108" s="513">
        <f>E103+0.15</f>
        <v>0.35</v>
      </c>
      <c r="F108" s="513"/>
      <c r="G108" s="513"/>
      <c r="H108" s="513"/>
      <c r="I108" s="513"/>
      <c r="J108" s="513"/>
      <c r="K108" s="513"/>
      <c r="L108" s="513"/>
      <c r="M108" s="513">
        <f>M103</f>
        <v>1</v>
      </c>
      <c r="N108" s="513">
        <f>C108*E108*M108</f>
        <v>2.7124999999999999</v>
      </c>
      <c r="O108" s="2205"/>
      <c r="P108" s="2234"/>
      <c r="Q108" s="2223"/>
      <c r="R108" s="529"/>
      <c r="S108" s="2223"/>
      <c r="T108" s="2223"/>
      <c r="U108" s="2223"/>
      <c r="V108" s="2224"/>
      <c r="W108" s="2224"/>
      <c r="X108" s="2224"/>
    </row>
    <row r="109" spans="1:24" ht="15.75" customHeight="1">
      <c r="A109" s="2263"/>
      <c r="B109" s="935"/>
      <c r="C109" s="513">
        <f>C104</f>
        <v>2.4</v>
      </c>
      <c r="D109" s="513"/>
      <c r="E109" s="513">
        <f>E108</f>
        <v>0.35</v>
      </c>
      <c r="F109" s="513"/>
      <c r="G109" s="513"/>
      <c r="H109" s="513"/>
      <c r="I109" s="513"/>
      <c r="J109" s="513"/>
      <c r="K109" s="513"/>
      <c r="L109" s="513"/>
      <c r="M109" s="513">
        <f>M104</f>
        <v>1</v>
      </c>
      <c r="N109" s="513">
        <f>C109*E109*M109</f>
        <v>0.84</v>
      </c>
      <c r="O109" s="2205"/>
      <c r="P109" s="2234"/>
      <c r="Q109" s="2223"/>
      <c r="R109" s="529"/>
      <c r="S109" s="2223"/>
      <c r="T109" s="2223"/>
      <c r="U109" s="2223"/>
      <c r="V109" s="2224"/>
      <c r="W109" s="2224"/>
      <c r="X109" s="2224"/>
    </row>
    <row r="110" spans="1:24" ht="15.75" customHeight="1">
      <c r="A110" s="2263"/>
      <c r="B110" s="935" t="str">
        <f>B105</f>
        <v>vertikal</v>
      </c>
      <c r="C110" s="513">
        <f>C105</f>
        <v>13.75</v>
      </c>
      <c r="D110" s="513"/>
      <c r="E110" s="513">
        <f>E109</f>
        <v>0.35</v>
      </c>
      <c r="F110" s="513"/>
      <c r="G110" s="513"/>
      <c r="H110" s="513"/>
      <c r="I110" s="513"/>
      <c r="J110" s="513"/>
      <c r="K110" s="513"/>
      <c r="L110" s="513"/>
      <c r="M110" s="513">
        <f>M105</f>
        <v>2</v>
      </c>
      <c r="N110" s="521">
        <f>C110*E110*M110</f>
        <v>9.625</v>
      </c>
      <c r="O110" s="2205"/>
      <c r="P110" s="2234"/>
      <c r="Q110" s="2223"/>
      <c r="R110" s="529"/>
      <c r="S110" s="2223"/>
      <c r="T110" s="2223"/>
      <c r="U110" s="2223"/>
      <c r="V110" s="2224"/>
      <c r="W110" s="2224"/>
      <c r="X110" s="2224"/>
    </row>
    <row r="111" spans="1:24" ht="15.75" customHeight="1">
      <c r="A111" s="2263"/>
      <c r="B111" s="890"/>
      <c r="C111" s="513"/>
      <c r="D111" s="513"/>
      <c r="E111" s="513"/>
      <c r="F111" s="513"/>
      <c r="G111" s="513"/>
      <c r="H111" s="513"/>
      <c r="I111" s="513"/>
      <c r="J111" s="513"/>
      <c r="K111" s="513"/>
      <c r="L111" s="513"/>
      <c r="M111" s="513"/>
      <c r="N111" s="527">
        <f>SUM(N108:N110)</f>
        <v>13.1775</v>
      </c>
      <c r="O111" s="2264" t="s">
        <v>89</v>
      </c>
      <c r="P111" s="2234">
        <f>ROUND((N111),2)</f>
        <v>13.18</v>
      </c>
      <c r="Q111" s="2223"/>
      <c r="R111" s="529"/>
      <c r="S111" s="2223"/>
      <c r="T111" s="2223"/>
      <c r="U111" s="2223"/>
      <c r="V111" s="2224"/>
      <c r="W111" s="2224"/>
      <c r="X111" s="2224"/>
    </row>
    <row r="112" spans="1:24" ht="15.75" customHeight="1">
      <c r="A112" s="2263" t="s">
        <v>101</v>
      </c>
      <c r="B112" s="2260" t="s">
        <v>413</v>
      </c>
      <c r="C112" s="513"/>
      <c r="D112" s="513"/>
      <c r="E112" s="513"/>
      <c r="F112" s="513"/>
      <c r="G112" s="513"/>
      <c r="H112" s="513"/>
      <c r="I112" s="513"/>
      <c r="J112" s="513"/>
      <c r="K112" s="513"/>
      <c r="L112" s="513"/>
      <c r="M112" s="513"/>
      <c r="N112" s="513"/>
      <c r="O112" s="2205"/>
      <c r="P112" s="2234"/>
      <c r="Q112" s="2223"/>
      <c r="R112" s="529"/>
      <c r="S112" s="2223"/>
      <c r="T112" s="2223"/>
      <c r="U112" s="2223"/>
      <c r="V112" s="2224"/>
      <c r="W112" s="2224"/>
      <c r="X112" s="2224"/>
    </row>
    <row r="113" spans="1:24" ht="15.75" customHeight="1">
      <c r="A113" s="2263"/>
      <c r="B113" s="935" t="str">
        <f>B108</f>
        <v>horisontal</v>
      </c>
      <c r="C113" s="513">
        <f>C103</f>
        <v>7.75</v>
      </c>
      <c r="D113" s="513">
        <v>0.875</v>
      </c>
      <c r="E113" s="513">
        <f>0.15-0.03-0.07</f>
        <v>4.9999999999999989E-2</v>
      </c>
      <c r="F113" s="513"/>
      <c r="G113" s="513"/>
      <c r="H113" s="513"/>
      <c r="I113" s="513"/>
      <c r="J113" s="513"/>
      <c r="K113" s="513"/>
      <c r="L113" s="513"/>
      <c r="M113" s="513">
        <f>M103</f>
        <v>1</v>
      </c>
      <c r="N113" s="513">
        <f>C113*D113*E113*M113</f>
        <v>0.33906249999999993</v>
      </c>
      <c r="O113" s="2205"/>
      <c r="P113" s="2234"/>
      <c r="Q113" s="2223"/>
      <c r="R113" s="529"/>
      <c r="S113" s="2223"/>
      <c r="T113" s="2223"/>
      <c r="U113" s="2223"/>
      <c r="V113" s="2224"/>
      <c r="W113" s="2224"/>
      <c r="X113" s="2224"/>
    </row>
    <row r="114" spans="1:24" ht="15.75" customHeight="1">
      <c r="A114" s="2263"/>
      <c r="B114" s="890"/>
      <c r="C114" s="513">
        <f>C104/2</f>
        <v>1.2</v>
      </c>
      <c r="D114" s="513">
        <f>D113</f>
        <v>0.875</v>
      </c>
      <c r="E114" s="513">
        <f>E113</f>
        <v>4.9999999999999989E-2</v>
      </c>
      <c r="F114" s="513"/>
      <c r="G114" s="513"/>
      <c r="H114" s="513"/>
      <c r="I114" s="513"/>
      <c r="J114" s="513"/>
      <c r="K114" s="513"/>
      <c r="L114" s="513"/>
      <c r="M114" s="513">
        <f>M104</f>
        <v>1</v>
      </c>
      <c r="N114" s="513">
        <f>C114*D114*E114*M114</f>
        <v>5.2499999999999991E-2</v>
      </c>
      <c r="O114" s="2205"/>
      <c r="P114" s="2234"/>
      <c r="Q114" s="2223"/>
      <c r="R114" s="529"/>
      <c r="S114" s="2223"/>
      <c r="T114" s="2223"/>
      <c r="U114" s="2223"/>
      <c r="V114" s="2224"/>
      <c r="W114" s="2224"/>
      <c r="X114" s="2224"/>
    </row>
    <row r="115" spans="1:24" ht="15.75" customHeight="1">
      <c r="A115" s="2263"/>
      <c r="B115" s="935" t="str">
        <f>B110</f>
        <v>vertikal</v>
      </c>
      <c r="C115" s="513">
        <f>C105-(0.875*2)</f>
        <v>12</v>
      </c>
      <c r="D115" s="513">
        <f>D114</f>
        <v>0.875</v>
      </c>
      <c r="E115" s="513">
        <f>E114</f>
        <v>4.9999999999999989E-2</v>
      </c>
      <c r="F115" s="513"/>
      <c r="G115" s="513"/>
      <c r="H115" s="513"/>
      <c r="I115" s="513"/>
      <c r="J115" s="513"/>
      <c r="K115" s="513"/>
      <c r="L115" s="513"/>
      <c r="M115" s="513">
        <f>M105</f>
        <v>2</v>
      </c>
      <c r="N115" s="521">
        <f>C115*D115*E115*M115</f>
        <v>1.0499999999999998</v>
      </c>
      <c r="O115" s="2205"/>
      <c r="P115" s="2234"/>
      <c r="Q115" s="2223"/>
      <c r="R115" s="529"/>
      <c r="S115" s="2223"/>
      <c r="T115" s="2223"/>
      <c r="U115" s="2223"/>
      <c r="V115" s="2224"/>
      <c r="W115" s="2224"/>
      <c r="X115" s="2224"/>
    </row>
    <row r="116" spans="1:24" ht="15.75" customHeight="1">
      <c r="A116" s="2263"/>
      <c r="B116" s="890"/>
      <c r="C116" s="513"/>
      <c r="D116" s="513"/>
      <c r="E116" s="513"/>
      <c r="F116" s="513"/>
      <c r="G116" s="513"/>
      <c r="H116" s="513"/>
      <c r="I116" s="513"/>
      <c r="J116" s="513"/>
      <c r="K116" s="513"/>
      <c r="L116" s="513"/>
      <c r="M116" s="513"/>
      <c r="N116" s="527">
        <f>SUM(N113:N115)</f>
        <v>1.4415624999999999</v>
      </c>
      <c r="O116" s="2264" t="s">
        <v>103</v>
      </c>
      <c r="P116" s="2234">
        <f>ROUND((N116),2)</f>
        <v>1.44</v>
      </c>
      <c r="Q116" s="2223"/>
      <c r="R116" s="529"/>
      <c r="S116" s="2223"/>
      <c r="T116" s="2223"/>
      <c r="U116" s="2223"/>
      <c r="V116" s="2224"/>
      <c r="W116" s="2224"/>
      <c r="X116" s="2224"/>
    </row>
    <row r="117" spans="1:24" ht="15.75" customHeight="1">
      <c r="A117" s="2263" t="s">
        <v>121</v>
      </c>
      <c r="B117" s="890" t="s">
        <v>414</v>
      </c>
      <c r="C117" s="513"/>
      <c r="D117" s="513"/>
      <c r="E117" s="513"/>
      <c r="F117" s="513"/>
      <c r="G117" s="513"/>
      <c r="H117" s="513"/>
      <c r="I117" s="513"/>
      <c r="J117" s="513"/>
      <c r="K117" s="513"/>
      <c r="L117" s="513"/>
      <c r="M117" s="513"/>
      <c r="N117" s="513">
        <f>N116</f>
        <v>1.4415624999999999</v>
      </c>
      <c r="O117" s="2205" t="s">
        <v>103</v>
      </c>
      <c r="P117" s="2234">
        <f>ROUND((N117),2)</f>
        <v>1.44</v>
      </c>
      <c r="Q117" s="2223"/>
      <c r="R117" s="529"/>
      <c r="S117" s="2223"/>
      <c r="T117" s="2223"/>
      <c r="U117" s="2223"/>
      <c r="V117" s="2224"/>
      <c r="W117" s="2224"/>
      <c r="X117" s="2224"/>
    </row>
    <row r="118" spans="1:24" ht="15.75" customHeight="1">
      <c r="A118" s="2263" t="s">
        <v>142</v>
      </c>
      <c r="B118" s="890" t="s">
        <v>441</v>
      </c>
      <c r="C118" s="513"/>
      <c r="D118" s="513"/>
      <c r="E118" s="513"/>
      <c r="F118" s="513"/>
      <c r="G118" s="513"/>
      <c r="H118" s="513"/>
      <c r="I118" s="513"/>
      <c r="J118" s="513"/>
      <c r="K118" s="513"/>
      <c r="L118" s="513"/>
      <c r="M118" s="513"/>
      <c r="N118" s="513"/>
      <c r="O118" s="2205"/>
      <c r="P118" s="2234"/>
      <c r="Q118" s="2223"/>
      <c r="R118" s="529"/>
      <c r="S118" s="2223"/>
      <c r="T118" s="2223"/>
      <c r="U118" s="2223"/>
      <c r="V118" s="2224"/>
      <c r="W118" s="2224"/>
      <c r="X118" s="2224"/>
    </row>
    <row r="119" spans="1:24" ht="15.75" customHeight="1">
      <c r="A119" s="2263"/>
      <c r="B119" s="935" t="str">
        <f>B113</f>
        <v>horisontal</v>
      </c>
      <c r="C119" s="513">
        <f>C113</f>
        <v>7.75</v>
      </c>
      <c r="D119" s="513">
        <f>D113</f>
        <v>0.875</v>
      </c>
      <c r="E119" s="513">
        <v>0.03</v>
      </c>
      <c r="F119" s="513"/>
      <c r="G119" s="513"/>
      <c r="H119" s="513"/>
      <c r="I119" s="513"/>
      <c r="J119" s="513"/>
      <c r="K119" s="513"/>
      <c r="L119" s="513"/>
      <c r="M119" s="513">
        <f>M113</f>
        <v>1</v>
      </c>
      <c r="N119" s="513">
        <f>C119*D119*E119*M119</f>
        <v>0.20343749999999999</v>
      </c>
      <c r="O119" s="2205"/>
      <c r="P119" s="2234"/>
      <c r="Q119" s="2223"/>
      <c r="R119" s="529"/>
      <c r="S119" s="2223"/>
      <c r="T119" s="2223"/>
      <c r="U119" s="2223"/>
      <c r="V119" s="2224"/>
      <c r="W119" s="2224"/>
      <c r="X119" s="2224"/>
    </row>
    <row r="120" spans="1:24" ht="15.75" customHeight="1">
      <c r="A120" s="2263"/>
      <c r="B120" s="890"/>
      <c r="C120" s="513">
        <f>C114</f>
        <v>1.2</v>
      </c>
      <c r="D120" s="513">
        <f>D114</f>
        <v>0.875</v>
      </c>
      <c r="E120" s="513">
        <f>E119</f>
        <v>0.03</v>
      </c>
      <c r="F120" s="513"/>
      <c r="G120" s="513"/>
      <c r="H120" s="513"/>
      <c r="I120" s="513"/>
      <c r="J120" s="513"/>
      <c r="K120" s="513"/>
      <c r="L120" s="513"/>
      <c r="M120" s="513">
        <f>M114</f>
        <v>1</v>
      </c>
      <c r="N120" s="513">
        <f>C120*D120*E120*M120</f>
        <v>3.15E-2</v>
      </c>
      <c r="O120" s="2205"/>
      <c r="P120" s="2234"/>
      <c r="Q120" s="2223"/>
      <c r="R120" s="529"/>
      <c r="S120" s="2223"/>
      <c r="T120" s="2223"/>
      <c r="U120" s="2223"/>
      <c r="V120" s="2224"/>
      <c r="W120" s="2224"/>
      <c r="X120" s="2224"/>
    </row>
    <row r="121" spans="1:24" ht="15.75" customHeight="1">
      <c r="A121" s="2263"/>
      <c r="B121" s="935" t="str">
        <f>B115</f>
        <v>vertikal</v>
      </c>
      <c r="C121" s="513">
        <f>C115</f>
        <v>12</v>
      </c>
      <c r="D121" s="513">
        <f>D115</f>
        <v>0.875</v>
      </c>
      <c r="E121" s="513">
        <f>E120</f>
        <v>0.03</v>
      </c>
      <c r="F121" s="513"/>
      <c r="G121" s="513"/>
      <c r="H121" s="513"/>
      <c r="I121" s="513"/>
      <c r="J121" s="513"/>
      <c r="K121" s="513"/>
      <c r="L121" s="513"/>
      <c r="M121" s="513">
        <f>M115</f>
        <v>2</v>
      </c>
      <c r="N121" s="521">
        <f>C121*D121*E121*M121</f>
        <v>0.63</v>
      </c>
      <c r="O121" s="2205"/>
      <c r="P121" s="2234"/>
      <c r="Q121" s="2223"/>
      <c r="R121" s="529"/>
      <c r="S121" s="2223"/>
      <c r="T121" s="2223"/>
      <c r="U121" s="2223"/>
      <c r="V121" s="2224"/>
      <c r="W121" s="2224"/>
      <c r="X121" s="2224"/>
    </row>
    <row r="122" spans="1:24" ht="15.75" customHeight="1">
      <c r="A122" s="2263"/>
      <c r="B122" s="890"/>
      <c r="C122" s="513"/>
      <c r="D122" s="513"/>
      <c r="E122" s="513"/>
      <c r="F122" s="513"/>
      <c r="G122" s="513"/>
      <c r="H122" s="513"/>
      <c r="I122" s="513"/>
      <c r="J122" s="513"/>
      <c r="K122" s="513"/>
      <c r="L122" s="513"/>
      <c r="M122" s="513"/>
      <c r="N122" s="527">
        <f>SUM(N119:N121)</f>
        <v>0.86493750000000003</v>
      </c>
      <c r="O122" s="2264" t="s">
        <v>103</v>
      </c>
      <c r="P122" s="2234">
        <f>ROUND((N122),2)</f>
        <v>0.86</v>
      </c>
      <c r="Q122" s="2223"/>
      <c r="R122" s="529"/>
      <c r="S122" s="2223"/>
      <c r="T122" s="2223"/>
      <c r="U122" s="2223"/>
      <c r="V122" s="2224"/>
      <c r="W122" s="2224"/>
      <c r="X122" s="2224"/>
    </row>
    <row r="123" spans="1:24" ht="15.75" customHeight="1">
      <c r="A123" s="2263" t="s">
        <v>217</v>
      </c>
      <c r="B123" s="890" t="s">
        <v>648</v>
      </c>
      <c r="C123" s="513"/>
      <c r="D123" s="513"/>
      <c r="E123" s="513"/>
      <c r="F123" s="513"/>
      <c r="G123" s="513"/>
      <c r="H123" s="513"/>
      <c r="I123" s="513"/>
      <c r="J123" s="513"/>
      <c r="K123" s="513"/>
      <c r="L123" s="513"/>
      <c r="M123" s="513"/>
      <c r="N123" s="513"/>
      <c r="O123" s="2205"/>
      <c r="P123" s="2234"/>
      <c r="Q123" s="2223"/>
      <c r="R123" s="529"/>
      <c r="S123" s="2223"/>
      <c r="T123" s="2223"/>
      <c r="U123" s="2223"/>
      <c r="V123" s="2224"/>
      <c r="W123" s="2224"/>
      <c r="X123" s="2224"/>
    </row>
    <row r="124" spans="1:24" ht="15.75" customHeight="1">
      <c r="A124" s="2263"/>
      <c r="B124" s="935" t="str">
        <f>B119</f>
        <v>horisontal</v>
      </c>
      <c r="C124" s="513">
        <f>C119</f>
        <v>7.75</v>
      </c>
      <c r="D124" s="513">
        <f>D119</f>
        <v>0.875</v>
      </c>
      <c r="E124" s="513">
        <v>7.0000000000000007E-2</v>
      </c>
      <c r="F124" s="513"/>
      <c r="G124" s="513"/>
      <c r="H124" s="513"/>
      <c r="I124" s="513"/>
      <c r="J124" s="513"/>
      <c r="K124" s="513"/>
      <c r="L124" s="513"/>
      <c r="M124" s="513">
        <f>M119</f>
        <v>1</v>
      </c>
      <c r="N124" s="513">
        <f>C124*D124*E124*M124</f>
        <v>0.47468750000000004</v>
      </c>
      <c r="O124" s="2205"/>
      <c r="P124" s="2234"/>
      <c r="Q124" s="2223"/>
      <c r="R124" s="529"/>
      <c r="S124" s="2223"/>
      <c r="T124" s="2223"/>
      <c r="U124" s="2223"/>
      <c r="V124" s="2224"/>
      <c r="W124" s="2224"/>
      <c r="X124" s="2224"/>
    </row>
    <row r="125" spans="1:24" ht="15.75" customHeight="1">
      <c r="A125" s="2263"/>
      <c r="B125" s="890"/>
      <c r="C125" s="513">
        <f>C120</f>
        <v>1.2</v>
      </c>
      <c r="D125" s="513">
        <f>D120</f>
        <v>0.875</v>
      </c>
      <c r="E125" s="513">
        <f>E124</f>
        <v>7.0000000000000007E-2</v>
      </c>
      <c r="F125" s="513"/>
      <c r="G125" s="513"/>
      <c r="H125" s="513"/>
      <c r="I125" s="513"/>
      <c r="J125" s="513"/>
      <c r="K125" s="513"/>
      <c r="L125" s="513"/>
      <c r="M125" s="513">
        <f>M120</f>
        <v>1</v>
      </c>
      <c r="N125" s="513">
        <f>C125*D125*E125*M125</f>
        <v>7.350000000000001E-2</v>
      </c>
      <c r="O125" s="2205"/>
      <c r="P125" s="2234"/>
      <c r="Q125" s="2223"/>
      <c r="R125" s="529"/>
      <c r="S125" s="2223"/>
      <c r="T125" s="2223"/>
      <c r="U125" s="2223"/>
      <c r="V125" s="2224"/>
      <c r="W125" s="2224"/>
      <c r="X125" s="2224"/>
    </row>
    <row r="126" spans="1:24" ht="15.75" customHeight="1">
      <c r="A126" s="2263"/>
      <c r="B126" s="935" t="str">
        <f>B121</f>
        <v>vertikal</v>
      </c>
      <c r="C126" s="513">
        <f>C121</f>
        <v>12</v>
      </c>
      <c r="D126" s="513">
        <f>D121</f>
        <v>0.875</v>
      </c>
      <c r="E126" s="513">
        <f>E125</f>
        <v>7.0000000000000007E-2</v>
      </c>
      <c r="F126" s="513"/>
      <c r="G126" s="513"/>
      <c r="H126" s="513"/>
      <c r="I126" s="513"/>
      <c r="J126" s="513"/>
      <c r="K126" s="513"/>
      <c r="L126" s="513"/>
      <c r="M126" s="513">
        <f>M121</f>
        <v>2</v>
      </c>
      <c r="N126" s="521">
        <f>C126*D126*E126*M126</f>
        <v>1.4700000000000002</v>
      </c>
      <c r="O126" s="2205"/>
      <c r="P126" s="2234"/>
      <c r="Q126" s="2223"/>
      <c r="R126" s="529"/>
      <c r="S126" s="2223"/>
      <c r="T126" s="2223"/>
      <c r="U126" s="2223"/>
      <c r="V126" s="2224"/>
      <c r="W126" s="2224"/>
      <c r="X126" s="2224"/>
    </row>
    <row r="127" spans="1:24" ht="15.75" customHeight="1">
      <c r="A127" s="2263"/>
      <c r="B127" s="890"/>
      <c r="C127" s="513"/>
      <c r="D127" s="513"/>
      <c r="E127" s="513"/>
      <c r="F127" s="513"/>
      <c r="G127" s="513"/>
      <c r="H127" s="513"/>
      <c r="I127" s="513"/>
      <c r="J127" s="513"/>
      <c r="K127" s="513"/>
      <c r="L127" s="513"/>
      <c r="M127" s="513"/>
      <c r="N127" s="527">
        <f>SUM(N124:N126)</f>
        <v>2.0181875000000002</v>
      </c>
      <c r="O127" s="2264" t="s">
        <v>103</v>
      </c>
      <c r="P127" s="2234">
        <f>ROUND((N127),2)</f>
        <v>2.02</v>
      </c>
      <c r="Q127" s="2223"/>
      <c r="R127" s="529"/>
      <c r="S127" s="2223"/>
      <c r="T127" s="2223"/>
      <c r="U127" s="2223"/>
      <c r="V127" s="2224"/>
      <c r="W127" s="2224"/>
      <c r="X127" s="2224"/>
    </row>
    <row r="128" spans="1:24" ht="15.75" customHeight="1">
      <c r="A128" s="353">
        <f>A101+1</f>
        <v>9</v>
      </c>
      <c r="B128" s="2235" t="s">
        <v>416</v>
      </c>
      <c r="C128" s="513"/>
      <c r="D128" s="513"/>
      <c r="E128" s="513"/>
      <c r="F128" s="513"/>
      <c r="G128" s="513"/>
      <c r="H128" s="513"/>
      <c r="I128" s="513"/>
      <c r="J128" s="513"/>
      <c r="K128" s="513"/>
      <c r="L128" s="513"/>
      <c r="M128" s="513"/>
      <c r="N128" s="513"/>
      <c r="O128" s="2205"/>
      <c r="P128" s="2234"/>
      <c r="Q128" s="2223"/>
      <c r="R128" s="529"/>
      <c r="S128" s="2223"/>
      <c r="T128" s="2223"/>
      <c r="U128" s="2223"/>
      <c r="V128" s="2224"/>
      <c r="W128" s="2224"/>
      <c r="X128" s="2224"/>
    </row>
    <row r="129" spans="1:24" ht="15.75" customHeight="1">
      <c r="A129" s="2238" t="s">
        <v>95</v>
      </c>
      <c r="B129" s="2235" t="s">
        <v>417</v>
      </c>
      <c r="C129" s="513"/>
      <c r="D129" s="513">
        <v>0.25</v>
      </c>
      <c r="E129" s="513">
        <v>0.8</v>
      </c>
      <c r="F129" s="513"/>
      <c r="G129" s="513"/>
      <c r="H129" s="513">
        <v>4</v>
      </c>
      <c r="I129" s="513"/>
      <c r="J129" s="513"/>
      <c r="K129" s="513"/>
      <c r="L129" s="513"/>
      <c r="M129" s="513">
        <f>M14</f>
        <v>8</v>
      </c>
      <c r="N129" s="513">
        <f>D129*(E129+K129)*H129*M129</f>
        <v>6.4</v>
      </c>
      <c r="O129" s="2205" t="s">
        <v>89</v>
      </c>
      <c r="P129" s="2234">
        <f>ROUND((N129),2)</f>
        <v>6.4</v>
      </c>
      <c r="Q129" s="2223"/>
      <c r="R129" s="529"/>
      <c r="S129" s="2223"/>
      <c r="T129" s="2223"/>
      <c r="U129" s="2223"/>
      <c r="V129" s="2224"/>
      <c r="W129" s="2224"/>
      <c r="X129" s="2224"/>
    </row>
    <row r="130" spans="1:24" ht="15.75" customHeight="1">
      <c r="A130" s="2238" t="s">
        <v>98</v>
      </c>
      <c r="B130" s="2235" t="s">
        <v>793</v>
      </c>
      <c r="C130" s="513"/>
      <c r="D130" s="513"/>
      <c r="E130" s="513">
        <v>0.8</v>
      </c>
      <c r="F130" s="513">
        <v>8</v>
      </c>
      <c r="G130" s="513"/>
      <c r="H130" s="513"/>
      <c r="I130" s="513"/>
      <c r="J130" s="513">
        <v>0.25</v>
      </c>
      <c r="K130" s="513"/>
      <c r="L130" s="513">
        <f>10*10*0.006165</f>
        <v>0.61650000000000005</v>
      </c>
      <c r="M130" s="513">
        <f>M129</f>
        <v>8</v>
      </c>
      <c r="N130" s="513">
        <f>(E130+J130)*F130*L130*M130</f>
        <v>41.428800000000003</v>
      </c>
      <c r="O130" s="2205" t="s">
        <v>100</v>
      </c>
      <c r="P130" s="2234">
        <f>ROUND((N130),2)</f>
        <v>41.43</v>
      </c>
      <c r="Q130" s="2223"/>
      <c r="R130" s="529"/>
      <c r="S130" s="2223"/>
      <c r="T130" s="2223"/>
      <c r="U130" s="2223"/>
      <c r="V130" s="2224"/>
      <c r="W130" s="2224"/>
      <c r="X130" s="2224"/>
    </row>
    <row r="131" spans="1:24" ht="15.75" customHeight="1">
      <c r="A131" s="2238" t="s">
        <v>101</v>
      </c>
      <c r="B131" s="2235" t="s">
        <v>905</v>
      </c>
      <c r="C131" s="513">
        <f>0.17*4</f>
        <v>0.68</v>
      </c>
      <c r="D131" s="513"/>
      <c r="E131" s="513"/>
      <c r="F131" s="513">
        <f>ROUNDDOWN((E130/0.15),0.1)</f>
        <v>5</v>
      </c>
      <c r="G131" s="513"/>
      <c r="H131" s="513"/>
      <c r="I131" s="513">
        <f>0.05*2</f>
        <v>0.1</v>
      </c>
      <c r="J131" s="513"/>
      <c r="K131" s="513"/>
      <c r="L131" s="513">
        <f>8*8*0.006165</f>
        <v>0.39456000000000002</v>
      </c>
      <c r="M131" s="513">
        <f>M130</f>
        <v>8</v>
      </c>
      <c r="N131" s="513">
        <f>(C131+I131)*F131*L131*M131</f>
        <v>12.310272000000001</v>
      </c>
      <c r="O131" s="2205" t="s">
        <v>100</v>
      </c>
      <c r="P131" s="2234">
        <f>ROUND((N131),2)</f>
        <v>12.31</v>
      </c>
      <c r="Q131" s="2223"/>
      <c r="R131" s="529"/>
      <c r="S131" s="2223"/>
      <c r="T131" s="2223"/>
      <c r="U131" s="2223"/>
      <c r="V131" s="2224"/>
      <c r="W131" s="2224"/>
      <c r="X131" s="2224"/>
    </row>
    <row r="132" spans="1:24" ht="15.75" customHeight="1">
      <c r="A132" s="2238" t="s">
        <v>121</v>
      </c>
      <c r="B132" s="2235" t="s">
        <v>1043</v>
      </c>
      <c r="C132" s="513">
        <f>D129</f>
        <v>0.25</v>
      </c>
      <c r="D132" s="513">
        <f>D129</f>
        <v>0.25</v>
      </c>
      <c r="E132" s="513">
        <f>E129</f>
        <v>0.8</v>
      </c>
      <c r="F132" s="513"/>
      <c r="G132" s="513"/>
      <c r="H132" s="513"/>
      <c r="I132" s="513"/>
      <c r="J132" s="513"/>
      <c r="K132" s="513"/>
      <c r="L132" s="513"/>
      <c r="M132" s="513">
        <f>M130</f>
        <v>8</v>
      </c>
      <c r="N132" s="513">
        <f>C132*D132*(E132+K132)*M132</f>
        <v>0.4</v>
      </c>
      <c r="O132" s="2205" t="s">
        <v>103</v>
      </c>
      <c r="P132" s="2234">
        <f>ROUND((N132),2)</f>
        <v>0.4</v>
      </c>
      <c r="Q132" s="2223"/>
      <c r="R132" s="529"/>
      <c r="S132" s="2223"/>
      <c r="T132" s="2223"/>
      <c r="U132" s="2223"/>
      <c r="V132" s="2224"/>
      <c r="W132" s="2224"/>
      <c r="X132" s="2224"/>
    </row>
    <row r="133" spans="1:24" ht="15.75" customHeight="1">
      <c r="A133" s="353">
        <f>A128+1</f>
        <v>10</v>
      </c>
      <c r="B133" s="2235" t="s">
        <v>421</v>
      </c>
      <c r="C133" s="513"/>
      <c r="D133" s="513"/>
      <c r="E133" s="513"/>
      <c r="F133" s="513"/>
      <c r="G133" s="513"/>
      <c r="H133" s="513"/>
      <c r="I133" s="513"/>
      <c r="J133" s="513"/>
      <c r="K133" s="513"/>
      <c r="L133" s="513"/>
      <c r="M133" s="513"/>
      <c r="N133" s="513"/>
      <c r="O133" s="2205"/>
      <c r="P133" s="2234"/>
      <c r="Q133" s="2223"/>
      <c r="R133" s="529"/>
      <c r="S133" s="2223"/>
      <c r="T133" s="2223"/>
      <c r="U133" s="2223"/>
      <c r="V133" s="2224"/>
      <c r="W133" s="2224"/>
      <c r="X133" s="2224"/>
    </row>
    <row r="134" spans="1:24" ht="15.75" customHeight="1">
      <c r="A134" s="2238" t="s">
        <v>95</v>
      </c>
      <c r="B134" s="2235" t="s">
        <v>417</v>
      </c>
      <c r="C134" s="513"/>
      <c r="D134" s="513">
        <f>D129</f>
        <v>0.25</v>
      </c>
      <c r="E134" s="513">
        <f>4.18-0.3</f>
        <v>3.88</v>
      </c>
      <c r="F134" s="513"/>
      <c r="G134" s="513"/>
      <c r="H134" s="513">
        <f>H129</f>
        <v>4</v>
      </c>
      <c r="I134" s="513"/>
      <c r="J134" s="513"/>
      <c r="K134" s="513"/>
      <c r="L134" s="513"/>
      <c r="M134" s="513">
        <f>M129</f>
        <v>8</v>
      </c>
      <c r="N134" s="513">
        <f>D134*E134*H134*M134</f>
        <v>31.04</v>
      </c>
      <c r="O134" s="2205" t="s">
        <v>89</v>
      </c>
      <c r="P134" s="2234">
        <f>ROUND((N134),2)</f>
        <v>31.04</v>
      </c>
      <c r="Q134" s="2223"/>
      <c r="R134" s="529"/>
      <c r="S134" s="2223"/>
      <c r="T134" s="2223"/>
      <c r="U134" s="2223"/>
      <c r="V134" s="2224"/>
      <c r="W134" s="2224"/>
      <c r="X134" s="2224"/>
    </row>
    <row r="135" spans="1:24" ht="15.75" customHeight="1">
      <c r="A135" s="2238" t="s">
        <v>98</v>
      </c>
      <c r="B135" s="2235" t="s">
        <v>793</v>
      </c>
      <c r="C135" s="513"/>
      <c r="D135" s="513"/>
      <c r="E135" s="513">
        <f>E134</f>
        <v>3.88</v>
      </c>
      <c r="F135" s="513">
        <v>8</v>
      </c>
      <c r="G135" s="513"/>
      <c r="H135" s="513"/>
      <c r="I135" s="513"/>
      <c r="J135" s="513">
        <f>J130</f>
        <v>0.25</v>
      </c>
      <c r="K135" s="513"/>
      <c r="L135" s="513">
        <f>L130</f>
        <v>0.61650000000000005</v>
      </c>
      <c r="M135" s="513">
        <f>M134</f>
        <v>8</v>
      </c>
      <c r="N135" s="513">
        <f>(E135+J135)*F135*L135*M135</f>
        <v>162.95328000000001</v>
      </c>
      <c r="O135" s="2205" t="s">
        <v>100</v>
      </c>
      <c r="P135" s="2234">
        <f>ROUND((N135),2)</f>
        <v>162.94999999999999</v>
      </c>
      <c r="Q135" s="2223"/>
      <c r="R135" s="529"/>
      <c r="S135" s="2223"/>
      <c r="T135" s="2223"/>
      <c r="U135" s="2223"/>
      <c r="V135" s="2224"/>
      <c r="W135" s="2224"/>
      <c r="X135" s="2224"/>
    </row>
    <row r="136" spans="1:24" ht="15.75" customHeight="1">
      <c r="A136" s="2238" t="s">
        <v>101</v>
      </c>
      <c r="B136" s="2235" t="s">
        <v>905</v>
      </c>
      <c r="C136" s="513">
        <f>C131</f>
        <v>0.68</v>
      </c>
      <c r="D136" s="513"/>
      <c r="E136" s="513"/>
      <c r="F136" s="513">
        <f>ROUNDDOWN((E135/0.15),0.5)</f>
        <v>25</v>
      </c>
      <c r="G136" s="513"/>
      <c r="H136" s="513"/>
      <c r="I136" s="513">
        <f>I131</f>
        <v>0.1</v>
      </c>
      <c r="J136" s="513"/>
      <c r="K136" s="513"/>
      <c r="L136" s="513">
        <f>L131</f>
        <v>0.39456000000000002</v>
      </c>
      <c r="M136" s="513">
        <f>M135</f>
        <v>8</v>
      </c>
      <c r="N136" s="513">
        <f>(C136+I136)*F136*L136*M136</f>
        <v>61.551360000000003</v>
      </c>
      <c r="O136" s="2205" t="s">
        <v>100</v>
      </c>
      <c r="P136" s="2234">
        <f>ROUND((N136),2)</f>
        <v>61.55</v>
      </c>
      <c r="Q136" s="2223"/>
      <c r="R136" s="529"/>
      <c r="S136" s="2223"/>
      <c r="T136" s="2223"/>
      <c r="U136" s="2223"/>
      <c r="V136" s="2224"/>
      <c r="W136" s="2224"/>
      <c r="X136" s="2224"/>
    </row>
    <row r="137" spans="1:24" ht="15.75" customHeight="1">
      <c r="A137" s="2238" t="s">
        <v>121</v>
      </c>
      <c r="B137" s="2235" t="s">
        <v>1043</v>
      </c>
      <c r="C137" s="513">
        <f>D134</f>
        <v>0.25</v>
      </c>
      <c r="D137" s="513">
        <f>D134</f>
        <v>0.25</v>
      </c>
      <c r="E137" s="513">
        <f>E135</f>
        <v>3.88</v>
      </c>
      <c r="F137" s="513"/>
      <c r="G137" s="513"/>
      <c r="H137" s="513"/>
      <c r="I137" s="513"/>
      <c r="J137" s="513"/>
      <c r="K137" s="513"/>
      <c r="L137" s="513"/>
      <c r="M137" s="513">
        <f>M135</f>
        <v>8</v>
      </c>
      <c r="N137" s="513">
        <f>C137*D137*E137*M137</f>
        <v>1.94</v>
      </c>
      <c r="O137" s="2205" t="s">
        <v>103</v>
      </c>
      <c r="P137" s="2234">
        <f>ROUND((N137),2)</f>
        <v>1.94</v>
      </c>
      <c r="Q137" s="2223"/>
      <c r="R137" s="529"/>
      <c r="S137" s="2223"/>
      <c r="T137" s="2223"/>
      <c r="U137" s="2223"/>
      <c r="V137" s="2224"/>
      <c r="W137" s="2224"/>
      <c r="X137" s="2224"/>
    </row>
    <row r="138" spans="1:24" ht="15.75" customHeight="1">
      <c r="A138" s="353">
        <f>A133+1</f>
        <v>11</v>
      </c>
      <c r="B138" s="2235" t="s">
        <v>552</v>
      </c>
      <c r="C138" s="513"/>
      <c r="D138" s="513"/>
      <c r="E138" s="513"/>
      <c r="F138" s="513"/>
      <c r="G138" s="513"/>
      <c r="H138" s="513"/>
      <c r="I138" s="513"/>
      <c r="J138" s="513"/>
      <c r="K138" s="513"/>
      <c r="L138" s="513"/>
      <c r="M138" s="513"/>
      <c r="N138" s="513"/>
      <c r="O138" s="2205"/>
      <c r="P138" s="2234"/>
      <c r="Q138" s="2223"/>
      <c r="R138" s="529"/>
      <c r="S138" s="2223"/>
      <c r="T138" s="2223"/>
      <c r="U138" s="2223"/>
      <c r="V138" s="2224"/>
      <c r="W138" s="2224"/>
      <c r="X138" s="2224"/>
    </row>
    <row r="139" spans="1:24" ht="15.75" customHeight="1">
      <c r="A139" s="2238" t="s">
        <v>95</v>
      </c>
      <c r="B139" s="2235" t="s">
        <v>417</v>
      </c>
      <c r="C139" s="513"/>
      <c r="D139" s="513">
        <v>0.15</v>
      </c>
      <c r="E139" s="513">
        <f>4.18-0.3</f>
        <v>3.88</v>
      </c>
      <c r="F139" s="513"/>
      <c r="G139" s="513"/>
      <c r="H139" s="513">
        <f>H134</f>
        <v>4</v>
      </c>
      <c r="I139" s="513"/>
      <c r="J139" s="513"/>
      <c r="K139" s="513"/>
      <c r="L139" s="513"/>
      <c r="M139" s="513">
        <v>5</v>
      </c>
      <c r="N139" s="513">
        <f>D139*E139*H139*M139</f>
        <v>11.639999999999999</v>
      </c>
      <c r="O139" s="2205" t="s">
        <v>89</v>
      </c>
      <c r="P139" s="2234">
        <f>ROUND((N139),2)</f>
        <v>11.64</v>
      </c>
      <c r="Q139" s="2223"/>
      <c r="R139" s="529"/>
      <c r="S139" s="2223"/>
      <c r="T139" s="2223"/>
      <c r="U139" s="2223"/>
      <c r="V139" s="2224"/>
      <c r="W139" s="2224"/>
      <c r="X139" s="2224"/>
    </row>
    <row r="140" spans="1:24" ht="15.75" customHeight="1">
      <c r="A140" s="2238" t="s">
        <v>98</v>
      </c>
      <c r="B140" s="2235" t="s">
        <v>427</v>
      </c>
      <c r="C140" s="513"/>
      <c r="D140" s="513"/>
      <c r="E140" s="513">
        <f>E139</f>
        <v>3.88</v>
      </c>
      <c r="F140" s="513">
        <v>4</v>
      </c>
      <c r="G140" s="513"/>
      <c r="H140" s="513"/>
      <c r="I140" s="513"/>
      <c r="J140" s="513">
        <f>J135</f>
        <v>0.25</v>
      </c>
      <c r="K140" s="513"/>
      <c r="L140" s="513">
        <f>L135</f>
        <v>0.61650000000000005</v>
      </c>
      <c r="M140" s="513">
        <f>M139</f>
        <v>5</v>
      </c>
      <c r="N140" s="513">
        <f>(E140+J140)*F140*L140*M140</f>
        <v>50.922899999999998</v>
      </c>
      <c r="O140" s="2205" t="s">
        <v>100</v>
      </c>
      <c r="P140" s="2234">
        <f>ROUND((N140),2)</f>
        <v>50.92</v>
      </c>
      <c r="Q140" s="2223"/>
      <c r="R140" s="529"/>
      <c r="S140" s="2223"/>
      <c r="T140" s="2223"/>
      <c r="U140" s="2223"/>
      <c r="V140" s="2224"/>
      <c r="W140" s="2224"/>
      <c r="X140" s="2224"/>
    </row>
    <row r="141" spans="1:24" ht="15.75" customHeight="1">
      <c r="A141" s="2238" t="s">
        <v>101</v>
      </c>
      <c r="B141" s="2235" t="s">
        <v>428</v>
      </c>
      <c r="C141" s="513">
        <f>C136</f>
        <v>0.68</v>
      </c>
      <c r="D141" s="513"/>
      <c r="E141" s="513"/>
      <c r="F141" s="513">
        <f>ROUNDDOWN((E140/0.125),0.5)</f>
        <v>31</v>
      </c>
      <c r="G141" s="513"/>
      <c r="H141" s="513"/>
      <c r="I141" s="513">
        <f>I136</f>
        <v>0.1</v>
      </c>
      <c r="J141" s="513"/>
      <c r="K141" s="513"/>
      <c r="L141" s="513">
        <f>L136</f>
        <v>0.39456000000000002</v>
      </c>
      <c r="M141" s="513">
        <f>M140</f>
        <v>5</v>
      </c>
      <c r="N141" s="513">
        <f>(C141+I141)*F141*L141*M141</f>
        <v>47.702303999999998</v>
      </c>
      <c r="O141" s="2205" t="s">
        <v>100</v>
      </c>
      <c r="P141" s="2234">
        <f>ROUND((N141),2)</f>
        <v>47.7</v>
      </c>
      <c r="Q141" s="2223"/>
      <c r="R141" s="529"/>
      <c r="S141" s="2223"/>
      <c r="T141" s="2223"/>
      <c r="U141" s="2223"/>
      <c r="V141" s="2224"/>
      <c r="W141" s="2224"/>
      <c r="X141" s="2224"/>
    </row>
    <row r="142" spans="1:24" ht="15.75" customHeight="1">
      <c r="A142" s="2238" t="s">
        <v>121</v>
      </c>
      <c r="B142" s="2235" t="s">
        <v>1043</v>
      </c>
      <c r="C142" s="513">
        <f>D139</f>
        <v>0.15</v>
      </c>
      <c r="D142" s="513">
        <f>D139</f>
        <v>0.15</v>
      </c>
      <c r="E142" s="513">
        <f>E140</f>
        <v>3.88</v>
      </c>
      <c r="F142" s="513"/>
      <c r="G142" s="513"/>
      <c r="H142" s="513"/>
      <c r="I142" s="513"/>
      <c r="J142" s="513"/>
      <c r="K142" s="513"/>
      <c r="L142" s="513"/>
      <c r="M142" s="513">
        <f>M140</f>
        <v>5</v>
      </c>
      <c r="N142" s="513">
        <f>C142*D142*E142*M142</f>
        <v>0.43649999999999994</v>
      </c>
      <c r="O142" s="2205" t="s">
        <v>103</v>
      </c>
      <c r="P142" s="2234">
        <f>ROUND((N142),2)</f>
        <v>0.44</v>
      </c>
      <c r="Q142" s="2223"/>
      <c r="R142" s="529"/>
      <c r="S142" s="2223"/>
      <c r="T142" s="2223"/>
      <c r="U142" s="2223"/>
      <c r="V142" s="2224"/>
      <c r="W142" s="2224"/>
      <c r="X142" s="2224"/>
    </row>
    <row r="143" spans="1:24" ht="15.75" customHeight="1">
      <c r="A143" s="353">
        <f>A138+1</f>
        <v>12</v>
      </c>
      <c r="B143" s="354" t="s">
        <v>422</v>
      </c>
      <c r="C143" s="513"/>
      <c r="D143" s="513"/>
      <c r="E143" s="513"/>
      <c r="F143" s="513"/>
      <c r="G143" s="513"/>
      <c r="H143" s="513"/>
      <c r="I143" s="513"/>
      <c r="J143" s="513"/>
      <c r="K143" s="513"/>
      <c r="L143" s="513"/>
      <c r="M143" s="513"/>
      <c r="N143" s="513"/>
      <c r="O143" s="2205"/>
      <c r="P143" s="2234"/>
      <c r="Q143" s="2223"/>
      <c r="R143" s="529"/>
      <c r="S143" s="2223"/>
      <c r="T143" s="2223"/>
      <c r="U143" s="2223"/>
      <c r="V143" s="2224"/>
      <c r="W143" s="2224"/>
      <c r="X143" s="2224"/>
    </row>
    <row r="144" spans="1:24" ht="15.75" customHeight="1">
      <c r="A144" s="2238" t="s">
        <v>95</v>
      </c>
      <c r="B144" s="2235" t="s">
        <v>423</v>
      </c>
      <c r="C144" s="513"/>
      <c r="D144" s="513"/>
      <c r="E144" s="513"/>
      <c r="F144" s="513"/>
      <c r="G144" s="513"/>
      <c r="H144" s="513"/>
      <c r="I144" s="513"/>
      <c r="J144" s="513"/>
      <c r="K144" s="513"/>
      <c r="L144" s="513"/>
      <c r="M144" s="513"/>
      <c r="N144" s="513"/>
      <c r="O144" s="2205"/>
      <c r="P144" s="2234"/>
      <c r="Q144" s="2223"/>
      <c r="R144" s="529"/>
      <c r="S144" s="2223"/>
      <c r="T144" s="2223"/>
      <c r="U144" s="2223"/>
      <c r="V144" s="2224"/>
      <c r="W144" s="2224"/>
      <c r="X144" s="2224"/>
    </row>
    <row r="145" spans="1:24" ht="15.75" customHeight="1">
      <c r="A145" s="2238"/>
      <c r="B145" s="2210" t="s">
        <v>226</v>
      </c>
      <c r="C145" s="513">
        <v>6</v>
      </c>
      <c r="D145" s="513"/>
      <c r="E145" s="513">
        <v>0.35</v>
      </c>
      <c r="F145" s="513"/>
      <c r="G145" s="513"/>
      <c r="H145" s="513">
        <v>2</v>
      </c>
      <c r="I145" s="513"/>
      <c r="J145" s="513"/>
      <c r="K145" s="513"/>
      <c r="L145" s="513"/>
      <c r="M145" s="513">
        <v>2</v>
      </c>
      <c r="N145" s="513">
        <f>C145*E145*H145*M145</f>
        <v>8.3999999999999986</v>
      </c>
      <c r="O145" s="2205"/>
      <c r="P145" s="2234"/>
      <c r="Q145" s="2223"/>
      <c r="R145" s="529"/>
      <c r="S145" s="2223"/>
      <c r="T145" s="2223"/>
      <c r="U145" s="2223"/>
      <c r="V145" s="2224"/>
      <c r="W145" s="2224"/>
      <c r="X145" s="2224"/>
    </row>
    <row r="146" spans="1:24" ht="15.75" customHeight="1">
      <c r="A146" s="2238"/>
      <c r="B146" s="2210"/>
      <c r="C146" s="513">
        <f>C145</f>
        <v>6</v>
      </c>
      <c r="D146" s="513">
        <v>0.2</v>
      </c>
      <c r="E146" s="513"/>
      <c r="F146" s="513"/>
      <c r="G146" s="513"/>
      <c r="H146" s="513">
        <v>1</v>
      </c>
      <c r="I146" s="513"/>
      <c r="J146" s="513"/>
      <c r="K146" s="513"/>
      <c r="L146" s="513"/>
      <c r="M146" s="513">
        <f>M145</f>
        <v>2</v>
      </c>
      <c r="N146" s="513">
        <f>C146*D146*H146*M146</f>
        <v>2.4000000000000004</v>
      </c>
      <c r="O146" s="2205"/>
      <c r="P146" s="2234"/>
      <c r="Q146" s="2223"/>
      <c r="R146" s="529"/>
      <c r="S146" s="2223"/>
      <c r="T146" s="2223"/>
      <c r="U146" s="2223"/>
      <c r="V146" s="2224"/>
      <c r="W146" s="2224"/>
      <c r="X146" s="2224"/>
    </row>
    <row r="147" spans="1:24" ht="15.75" customHeight="1">
      <c r="A147" s="2238"/>
      <c r="B147" s="2210" t="s">
        <v>227</v>
      </c>
      <c r="C147" s="513">
        <v>12</v>
      </c>
      <c r="D147" s="513"/>
      <c r="E147" s="513">
        <f>E145</f>
        <v>0.35</v>
      </c>
      <c r="F147" s="513"/>
      <c r="G147" s="513"/>
      <c r="H147" s="513">
        <f>H145</f>
        <v>2</v>
      </c>
      <c r="I147" s="513"/>
      <c r="J147" s="513"/>
      <c r="K147" s="513"/>
      <c r="L147" s="513"/>
      <c r="M147" s="513">
        <v>2</v>
      </c>
      <c r="N147" s="513">
        <f>C147*E147*H147*M147</f>
        <v>16.799999999999997</v>
      </c>
      <c r="O147" s="2205"/>
      <c r="P147" s="2234"/>
      <c r="Q147" s="2223"/>
      <c r="R147" s="529"/>
      <c r="S147" s="2223"/>
      <c r="T147" s="2223"/>
      <c r="U147" s="2223"/>
      <c r="V147" s="2224"/>
      <c r="W147" s="2224"/>
      <c r="X147" s="2224"/>
    </row>
    <row r="148" spans="1:24" ht="15.75" customHeight="1">
      <c r="A148" s="2238"/>
      <c r="B148" s="2210"/>
      <c r="C148" s="513">
        <f>C147</f>
        <v>12</v>
      </c>
      <c r="D148" s="513">
        <f>D146</f>
        <v>0.2</v>
      </c>
      <c r="E148" s="513"/>
      <c r="F148" s="513"/>
      <c r="G148" s="513"/>
      <c r="H148" s="513">
        <f>H146</f>
        <v>1</v>
      </c>
      <c r="I148" s="513"/>
      <c r="J148" s="513"/>
      <c r="K148" s="513"/>
      <c r="L148" s="513"/>
      <c r="M148" s="513">
        <f>M147</f>
        <v>2</v>
      </c>
      <c r="N148" s="521">
        <f>C148*D148*H148*M148</f>
        <v>4.8000000000000007</v>
      </c>
      <c r="O148" s="2205"/>
      <c r="P148" s="2234"/>
      <c r="Q148" s="2223"/>
      <c r="R148" s="529"/>
      <c r="S148" s="2223"/>
      <c r="T148" s="2223"/>
      <c r="U148" s="2223"/>
      <c r="V148" s="2224"/>
      <c r="W148" s="2224"/>
      <c r="X148" s="2224"/>
    </row>
    <row r="149" spans="1:24" ht="15.75" customHeight="1">
      <c r="A149" s="2238"/>
      <c r="B149" s="2235"/>
      <c r="C149" s="513"/>
      <c r="D149" s="513"/>
      <c r="E149" s="513"/>
      <c r="F149" s="513"/>
      <c r="G149" s="513"/>
      <c r="H149" s="513"/>
      <c r="I149" s="513"/>
      <c r="J149" s="513"/>
      <c r="K149" s="513"/>
      <c r="L149" s="513"/>
      <c r="M149" s="513"/>
      <c r="N149" s="2265">
        <f>SUM(N145:N148)</f>
        <v>32.399999999999991</v>
      </c>
      <c r="O149" s="2264" t="s">
        <v>89</v>
      </c>
      <c r="P149" s="2234">
        <f>ROUND((N149),2)</f>
        <v>32.4</v>
      </c>
      <c r="Q149" s="2223"/>
      <c r="R149" s="529"/>
      <c r="S149" s="2223"/>
      <c r="T149" s="2223"/>
      <c r="U149" s="2223"/>
      <c r="V149" s="2224"/>
      <c r="W149" s="2224"/>
      <c r="X149" s="2224"/>
    </row>
    <row r="150" spans="1:24" ht="15.75" customHeight="1">
      <c r="A150" s="2238" t="s">
        <v>98</v>
      </c>
      <c r="B150" s="2235" t="s">
        <v>741</v>
      </c>
      <c r="C150" s="513"/>
      <c r="D150" s="513"/>
      <c r="E150" s="513"/>
      <c r="F150" s="513"/>
      <c r="G150" s="513"/>
      <c r="H150" s="513"/>
      <c r="I150" s="513"/>
      <c r="J150" s="513"/>
      <c r="K150" s="513"/>
      <c r="L150" s="513"/>
      <c r="M150" s="513"/>
      <c r="N150" s="513"/>
      <c r="O150" s="2205"/>
      <c r="P150" s="2234"/>
      <c r="Q150" s="2223"/>
      <c r="R150" s="529"/>
      <c r="S150" s="2223"/>
      <c r="T150" s="2223"/>
      <c r="U150" s="2223"/>
      <c r="V150" s="2224"/>
      <c r="W150" s="2224"/>
      <c r="X150" s="2224"/>
    </row>
    <row r="151" spans="1:24" ht="15.75" customHeight="1">
      <c r="A151" s="2238"/>
      <c r="B151" s="2210" t="str">
        <f>B145</f>
        <v>horisontal</v>
      </c>
      <c r="C151" s="513">
        <f>C145</f>
        <v>6</v>
      </c>
      <c r="D151" s="513"/>
      <c r="E151" s="513"/>
      <c r="F151" s="513">
        <v>5</v>
      </c>
      <c r="G151" s="513"/>
      <c r="H151" s="513"/>
      <c r="I151" s="513"/>
      <c r="J151" s="513"/>
      <c r="K151" s="513"/>
      <c r="L151" s="513">
        <f>L130</f>
        <v>0.61650000000000005</v>
      </c>
      <c r="M151" s="513">
        <f>M145</f>
        <v>2</v>
      </c>
      <c r="N151" s="513">
        <f>C151*F151*L151*M151</f>
        <v>36.99</v>
      </c>
      <c r="O151" s="2205"/>
      <c r="P151" s="2234"/>
      <c r="Q151" s="2223"/>
      <c r="R151" s="529"/>
      <c r="S151" s="2223"/>
      <c r="T151" s="2223"/>
      <c r="U151" s="2223"/>
      <c r="V151" s="2224"/>
      <c r="W151" s="2224"/>
      <c r="X151" s="2224"/>
    </row>
    <row r="152" spans="1:24" ht="15.75" customHeight="1">
      <c r="A152" s="2238"/>
      <c r="B152" s="2210" t="str">
        <f>B147</f>
        <v>vertikal</v>
      </c>
      <c r="C152" s="513">
        <f>C147</f>
        <v>12</v>
      </c>
      <c r="D152" s="513"/>
      <c r="E152" s="513"/>
      <c r="F152" s="513">
        <f>F151</f>
        <v>5</v>
      </c>
      <c r="G152" s="513"/>
      <c r="H152" s="513"/>
      <c r="I152" s="513"/>
      <c r="J152" s="513"/>
      <c r="K152" s="513"/>
      <c r="L152" s="513">
        <f>L151</f>
        <v>0.61650000000000005</v>
      </c>
      <c r="M152" s="513">
        <f>M147</f>
        <v>2</v>
      </c>
      <c r="N152" s="521">
        <f>C152*F152*L152*M152</f>
        <v>73.98</v>
      </c>
      <c r="O152" s="2205"/>
      <c r="P152" s="2234"/>
      <c r="Q152" s="2223"/>
      <c r="R152" s="529"/>
      <c r="S152" s="2223"/>
      <c r="T152" s="2223"/>
      <c r="U152" s="2223"/>
      <c r="V152" s="2224"/>
      <c r="W152" s="2224"/>
      <c r="X152" s="2224"/>
    </row>
    <row r="153" spans="1:24" ht="15.75" customHeight="1">
      <c r="A153" s="2238"/>
      <c r="B153" s="2235"/>
      <c r="C153" s="513"/>
      <c r="D153" s="513"/>
      <c r="E153" s="513"/>
      <c r="F153" s="513"/>
      <c r="G153" s="513"/>
      <c r="H153" s="513"/>
      <c r="I153" s="513"/>
      <c r="J153" s="513"/>
      <c r="K153" s="513"/>
      <c r="L153" s="513"/>
      <c r="M153" s="513"/>
      <c r="N153" s="527">
        <f>SUM(N151:N152)</f>
        <v>110.97</v>
      </c>
      <c r="O153" s="2264" t="s">
        <v>100</v>
      </c>
      <c r="P153" s="2234">
        <f>ROUND((N153),2)</f>
        <v>110.97</v>
      </c>
      <c r="Q153" s="2223"/>
      <c r="R153" s="529"/>
      <c r="S153" s="2223"/>
      <c r="T153" s="2223"/>
      <c r="U153" s="2223"/>
      <c r="V153" s="2224"/>
      <c r="W153" s="2224"/>
      <c r="X153" s="2224"/>
    </row>
    <row r="154" spans="1:24" ht="15.75" customHeight="1">
      <c r="A154" s="2238" t="s">
        <v>101</v>
      </c>
      <c r="B154" s="2235" t="s">
        <v>428</v>
      </c>
      <c r="C154" s="513"/>
      <c r="D154" s="513"/>
      <c r="E154" s="513"/>
      <c r="F154" s="513"/>
      <c r="G154" s="513"/>
      <c r="H154" s="513"/>
      <c r="I154" s="513"/>
      <c r="J154" s="513"/>
      <c r="K154" s="513"/>
      <c r="L154" s="513"/>
      <c r="M154" s="513"/>
      <c r="N154" s="513"/>
      <c r="O154" s="2205"/>
      <c r="P154" s="2234"/>
      <c r="Q154" s="2223"/>
      <c r="R154" s="529"/>
      <c r="S154" s="2223"/>
      <c r="T154" s="2223"/>
      <c r="U154" s="2223"/>
      <c r="V154" s="2224"/>
      <c r="W154" s="2224"/>
      <c r="X154" s="2224"/>
    </row>
    <row r="155" spans="1:24" ht="15.75" customHeight="1">
      <c r="A155" s="2238"/>
      <c r="B155" s="2210" t="str">
        <f>B151</f>
        <v>horisontal</v>
      </c>
      <c r="C155" s="513">
        <f>(0.17+0.22)*2</f>
        <v>0.78</v>
      </c>
      <c r="D155" s="513"/>
      <c r="E155" s="513"/>
      <c r="F155" s="513">
        <f>ROUNDDOWN((C151/0.125),0.1)</f>
        <v>48</v>
      </c>
      <c r="G155" s="513"/>
      <c r="H155" s="513"/>
      <c r="I155" s="513">
        <f>0.05*2</f>
        <v>0.1</v>
      </c>
      <c r="J155" s="513"/>
      <c r="K155" s="513"/>
      <c r="L155" s="513">
        <f>L136</f>
        <v>0.39456000000000002</v>
      </c>
      <c r="M155" s="513">
        <f>M151</f>
        <v>2</v>
      </c>
      <c r="N155" s="513">
        <f>(C155+I155)*F155*L155*M155</f>
        <v>33.332428800000002</v>
      </c>
      <c r="O155" s="2205"/>
      <c r="P155" s="2234"/>
      <c r="Q155" s="2223"/>
      <c r="R155" s="529"/>
      <c r="S155" s="2223"/>
      <c r="T155" s="2223"/>
      <c r="U155" s="2223"/>
      <c r="V155" s="2224"/>
      <c r="W155" s="2224"/>
      <c r="X155" s="2224"/>
    </row>
    <row r="156" spans="1:24" ht="15.75" customHeight="1">
      <c r="A156" s="2238"/>
      <c r="B156" s="2210" t="str">
        <f>B152</f>
        <v>vertikal</v>
      </c>
      <c r="C156" s="513">
        <f>C155</f>
        <v>0.78</v>
      </c>
      <c r="D156" s="513"/>
      <c r="E156" s="513"/>
      <c r="F156" s="513">
        <f>ROUNDDOWN((C152/0.125),0.1)</f>
        <v>96</v>
      </c>
      <c r="G156" s="513"/>
      <c r="H156" s="513"/>
      <c r="I156" s="513">
        <f>I155</f>
        <v>0.1</v>
      </c>
      <c r="J156" s="513"/>
      <c r="K156" s="513"/>
      <c r="L156" s="513">
        <f>L155</f>
        <v>0.39456000000000002</v>
      </c>
      <c r="M156" s="513">
        <f>M152</f>
        <v>2</v>
      </c>
      <c r="N156" s="521">
        <f>(C156+I156)*F156*L156*M156</f>
        <v>66.664857600000005</v>
      </c>
      <c r="O156" s="2205"/>
      <c r="P156" s="2234"/>
      <c r="Q156" s="2223"/>
      <c r="R156" s="529"/>
      <c r="S156" s="2223"/>
      <c r="T156" s="2223"/>
      <c r="U156" s="2223"/>
      <c r="V156" s="2224"/>
      <c r="W156" s="2224"/>
      <c r="X156" s="2224"/>
    </row>
    <row r="157" spans="1:24" ht="15.75" customHeight="1">
      <c r="A157" s="2238"/>
      <c r="B157" s="2235"/>
      <c r="C157" s="513"/>
      <c r="D157" s="513"/>
      <c r="E157" s="513"/>
      <c r="F157" s="513"/>
      <c r="G157" s="513"/>
      <c r="H157" s="513"/>
      <c r="I157" s="513"/>
      <c r="J157" s="513"/>
      <c r="K157" s="513"/>
      <c r="L157" s="513"/>
      <c r="M157" s="513"/>
      <c r="N157" s="527">
        <f>SUM(N155:N156)</f>
        <v>99.997286400000007</v>
      </c>
      <c r="O157" s="2264" t="s">
        <v>100</v>
      </c>
      <c r="P157" s="2234">
        <f>ROUND((N157),2)</f>
        <v>100</v>
      </c>
      <c r="Q157" s="2223"/>
      <c r="R157" s="529"/>
      <c r="S157" s="2223"/>
      <c r="T157" s="2223"/>
      <c r="U157" s="2223"/>
      <c r="V157" s="2224"/>
      <c r="W157" s="2224"/>
      <c r="X157" s="2224"/>
    </row>
    <row r="158" spans="1:24" ht="15.75" customHeight="1">
      <c r="A158" s="2238" t="s">
        <v>121</v>
      </c>
      <c r="B158" s="2235" t="s">
        <v>1043</v>
      </c>
      <c r="C158" s="513"/>
      <c r="D158" s="513"/>
      <c r="E158" s="513"/>
      <c r="F158" s="513"/>
      <c r="G158" s="513"/>
      <c r="H158" s="513"/>
      <c r="I158" s="513"/>
      <c r="J158" s="513"/>
      <c r="K158" s="513"/>
      <c r="L158" s="513"/>
      <c r="M158" s="513"/>
      <c r="N158" s="513"/>
      <c r="O158" s="2205"/>
      <c r="P158" s="2234"/>
      <c r="Q158" s="2223"/>
      <c r="R158" s="529"/>
      <c r="S158" s="2223"/>
      <c r="T158" s="2223"/>
      <c r="U158" s="2223"/>
      <c r="V158" s="2224"/>
      <c r="W158" s="2224"/>
      <c r="X158" s="2224"/>
    </row>
    <row r="159" spans="1:24" ht="15.75" customHeight="1">
      <c r="A159" s="2238"/>
      <c r="B159" s="2210" t="str">
        <f>B155</f>
        <v>horisontal</v>
      </c>
      <c r="C159" s="513">
        <f>C151</f>
        <v>6</v>
      </c>
      <c r="D159" s="513">
        <v>0.2</v>
      </c>
      <c r="E159" s="513">
        <v>0.35</v>
      </c>
      <c r="F159" s="513"/>
      <c r="G159" s="513"/>
      <c r="H159" s="513"/>
      <c r="I159" s="513"/>
      <c r="J159" s="513"/>
      <c r="K159" s="513"/>
      <c r="L159" s="513"/>
      <c r="M159" s="513">
        <f>M155</f>
        <v>2</v>
      </c>
      <c r="N159" s="513">
        <f>C159*D159*E159*M159</f>
        <v>0.84000000000000008</v>
      </c>
      <c r="O159" s="2205"/>
      <c r="P159" s="2234"/>
      <c r="Q159" s="2223"/>
      <c r="R159" s="529"/>
      <c r="S159" s="2223"/>
      <c r="T159" s="2223"/>
      <c r="U159" s="2223"/>
      <c r="V159" s="2224"/>
      <c r="W159" s="2224"/>
      <c r="X159" s="2224"/>
    </row>
    <row r="160" spans="1:24" ht="15.75" customHeight="1">
      <c r="A160" s="2238"/>
      <c r="B160" s="2210" t="str">
        <f>B156</f>
        <v>vertikal</v>
      </c>
      <c r="C160" s="513">
        <f>C152</f>
        <v>12</v>
      </c>
      <c r="D160" s="513">
        <f>D159</f>
        <v>0.2</v>
      </c>
      <c r="E160" s="513">
        <f>E159</f>
        <v>0.35</v>
      </c>
      <c r="F160" s="513"/>
      <c r="G160" s="513"/>
      <c r="H160" s="513"/>
      <c r="I160" s="513"/>
      <c r="J160" s="513"/>
      <c r="K160" s="513"/>
      <c r="L160" s="513"/>
      <c r="M160" s="513">
        <f>M156</f>
        <v>2</v>
      </c>
      <c r="N160" s="521">
        <f>C160*D160*E160*M160</f>
        <v>1.6800000000000002</v>
      </c>
      <c r="O160" s="2205"/>
      <c r="P160" s="2234"/>
      <c r="Q160" s="2223"/>
      <c r="R160" s="529"/>
      <c r="S160" s="2223"/>
      <c r="T160" s="2223"/>
      <c r="U160" s="2223"/>
      <c r="V160" s="2224"/>
      <c r="W160" s="2224"/>
      <c r="X160" s="2224"/>
    </row>
    <row r="161" spans="1:24" ht="15.75" customHeight="1">
      <c r="A161" s="2238"/>
      <c r="B161" s="2235"/>
      <c r="C161" s="513"/>
      <c r="D161" s="513"/>
      <c r="E161" s="513"/>
      <c r="F161" s="513"/>
      <c r="G161" s="513"/>
      <c r="H161" s="513"/>
      <c r="I161" s="513"/>
      <c r="J161" s="513"/>
      <c r="K161" s="513"/>
      <c r="L161" s="513"/>
      <c r="M161" s="513"/>
      <c r="N161" s="527">
        <f>SUM(N159:N160)</f>
        <v>2.5200000000000005</v>
      </c>
      <c r="O161" s="2264" t="s">
        <v>103</v>
      </c>
      <c r="P161" s="2234">
        <f>ROUND((N161),2)</f>
        <v>2.52</v>
      </c>
      <c r="Q161" s="2223"/>
      <c r="R161" s="529"/>
      <c r="S161" s="2223"/>
      <c r="T161" s="2223"/>
      <c r="U161" s="2223"/>
      <c r="V161" s="2224"/>
      <c r="W161" s="2224"/>
      <c r="X161" s="2224"/>
    </row>
    <row r="162" spans="1:24" ht="15.75" customHeight="1">
      <c r="A162" s="353">
        <f>A143+1</f>
        <v>13</v>
      </c>
      <c r="B162" s="2235" t="s">
        <v>553</v>
      </c>
      <c r="C162" s="513"/>
      <c r="D162" s="513"/>
      <c r="E162" s="513"/>
      <c r="F162" s="513"/>
      <c r="G162" s="513"/>
      <c r="H162" s="513"/>
      <c r="I162" s="513"/>
      <c r="J162" s="513"/>
      <c r="K162" s="513"/>
      <c r="L162" s="513"/>
      <c r="M162" s="513"/>
      <c r="N162" s="514"/>
      <c r="O162" s="2205"/>
      <c r="P162" s="2234"/>
      <c r="Q162" s="2223"/>
      <c r="R162" s="529"/>
      <c r="S162" s="2223"/>
      <c r="T162" s="2223"/>
      <c r="U162" s="2223"/>
      <c r="V162" s="2224"/>
      <c r="W162" s="2224"/>
      <c r="X162" s="2224"/>
    </row>
    <row r="163" spans="1:24" ht="15.75" customHeight="1">
      <c r="A163" s="2238" t="s">
        <v>95</v>
      </c>
      <c r="B163" s="354" t="s">
        <v>423</v>
      </c>
      <c r="C163" s="513"/>
      <c r="D163" s="513"/>
      <c r="E163" s="513"/>
      <c r="F163" s="513"/>
      <c r="G163" s="513"/>
      <c r="H163" s="513"/>
      <c r="I163" s="513"/>
      <c r="J163" s="513"/>
      <c r="K163" s="513"/>
      <c r="L163" s="513"/>
      <c r="M163" s="513"/>
      <c r="N163" s="514"/>
      <c r="O163" s="2205"/>
      <c r="P163" s="2234"/>
      <c r="Q163" s="2223"/>
      <c r="R163" s="529"/>
      <c r="S163" s="2223"/>
      <c r="T163" s="2223"/>
      <c r="U163" s="2223"/>
      <c r="V163" s="2224"/>
      <c r="W163" s="2224"/>
      <c r="X163" s="2224"/>
    </row>
    <row r="164" spans="1:24" ht="15.75" customHeight="1">
      <c r="A164" s="2238"/>
      <c r="B164" s="2210" t="s">
        <v>226</v>
      </c>
      <c r="C164" s="513">
        <f>C145</f>
        <v>6</v>
      </c>
      <c r="D164" s="513"/>
      <c r="E164" s="513">
        <v>0.35</v>
      </c>
      <c r="F164" s="513"/>
      <c r="G164" s="513"/>
      <c r="H164" s="513">
        <f>H147</f>
        <v>2</v>
      </c>
      <c r="I164" s="513"/>
      <c r="J164" s="513"/>
      <c r="K164" s="513"/>
      <c r="L164" s="513"/>
      <c r="M164" s="513">
        <v>2</v>
      </c>
      <c r="N164" s="513">
        <f>C164*E164*H164*M164</f>
        <v>8.3999999999999986</v>
      </c>
      <c r="O164" s="2205"/>
      <c r="P164" s="2234"/>
      <c r="Q164" s="2223"/>
      <c r="R164" s="529"/>
      <c r="S164" s="2223"/>
      <c r="T164" s="2223"/>
      <c r="U164" s="2223"/>
      <c r="V164" s="2224"/>
      <c r="W164" s="2224"/>
      <c r="X164" s="2224"/>
    </row>
    <row r="165" spans="1:24" ht="15.75" customHeight="1">
      <c r="A165" s="2238"/>
      <c r="B165" s="2210"/>
      <c r="C165" s="513">
        <f>C164</f>
        <v>6</v>
      </c>
      <c r="D165" s="513">
        <v>0.2</v>
      </c>
      <c r="E165" s="513"/>
      <c r="F165" s="513"/>
      <c r="G165" s="513"/>
      <c r="H165" s="513">
        <v>1</v>
      </c>
      <c r="I165" s="513"/>
      <c r="J165" s="513"/>
      <c r="K165" s="513"/>
      <c r="L165" s="513"/>
      <c r="M165" s="513">
        <f>M164</f>
        <v>2</v>
      </c>
      <c r="N165" s="1336">
        <f>C165*D165*H165*M165</f>
        <v>2.4000000000000004</v>
      </c>
      <c r="O165" s="2205"/>
      <c r="P165" s="2234"/>
      <c r="Q165" s="2223"/>
      <c r="R165" s="529"/>
      <c r="S165" s="2223"/>
      <c r="T165" s="2223"/>
      <c r="U165" s="2223"/>
      <c r="V165" s="2224"/>
      <c r="W165" s="2224"/>
      <c r="X165" s="2224"/>
    </row>
    <row r="166" spans="1:24" ht="15.75" customHeight="1">
      <c r="A166" s="2238"/>
      <c r="B166" s="2210" t="s">
        <v>227</v>
      </c>
      <c r="C166" s="513">
        <f>C147</f>
        <v>12</v>
      </c>
      <c r="D166" s="513"/>
      <c r="E166" s="513">
        <f>E164</f>
        <v>0.35</v>
      </c>
      <c r="F166" s="513"/>
      <c r="G166" s="513"/>
      <c r="H166" s="513">
        <f>H164</f>
        <v>2</v>
      </c>
      <c r="I166" s="513"/>
      <c r="J166" s="513"/>
      <c r="K166" s="513"/>
      <c r="L166" s="513"/>
      <c r="M166" s="513">
        <v>1</v>
      </c>
      <c r="N166" s="513">
        <f>C166*E166*H166*M166</f>
        <v>8.3999999999999986</v>
      </c>
      <c r="O166" s="2205"/>
      <c r="P166" s="2234"/>
      <c r="Q166" s="2223"/>
      <c r="R166" s="529"/>
      <c r="S166" s="2223"/>
      <c r="T166" s="2223"/>
      <c r="U166" s="2223"/>
      <c r="V166" s="2224"/>
      <c r="W166" s="2224"/>
      <c r="X166" s="2224"/>
    </row>
    <row r="167" spans="1:24" ht="15.75" customHeight="1">
      <c r="A167" s="2238"/>
      <c r="B167" s="354"/>
      <c r="C167" s="513">
        <f>C166</f>
        <v>12</v>
      </c>
      <c r="D167" s="513">
        <f>D165</f>
        <v>0.2</v>
      </c>
      <c r="E167" s="513"/>
      <c r="F167" s="513"/>
      <c r="G167" s="513"/>
      <c r="H167" s="513">
        <f>H165</f>
        <v>1</v>
      </c>
      <c r="I167" s="513"/>
      <c r="J167" s="513"/>
      <c r="K167" s="513"/>
      <c r="L167" s="513"/>
      <c r="M167" s="513">
        <f>M166</f>
        <v>1</v>
      </c>
      <c r="N167" s="521">
        <f>C167*D167*H167*M167</f>
        <v>2.4000000000000004</v>
      </c>
      <c r="O167" s="2205"/>
      <c r="P167" s="2234"/>
      <c r="Q167" s="2223"/>
      <c r="R167" s="529"/>
      <c r="S167" s="2223"/>
      <c r="T167" s="2223"/>
      <c r="U167" s="2223"/>
      <c r="V167" s="2224"/>
      <c r="W167" s="2224"/>
      <c r="X167" s="2224"/>
    </row>
    <row r="168" spans="1:24" ht="15.75" customHeight="1">
      <c r="A168" s="2238"/>
      <c r="B168" s="354"/>
      <c r="C168" s="513"/>
      <c r="D168" s="513"/>
      <c r="E168" s="513"/>
      <c r="F168" s="513"/>
      <c r="G168" s="513"/>
      <c r="H168" s="513"/>
      <c r="I168" s="513"/>
      <c r="J168" s="513"/>
      <c r="K168" s="513"/>
      <c r="L168" s="513"/>
      <c r="M168" s="513"/>
      <c r="N168" s="527">
        <f>SUM(N164:N167)</f>
        <v>21.599999999999994</v>
      </c>
      <c r="O168" s="2264" t="s">
        <v>89</v>
      </c>
      <c r="P168" s="2234">
        <f>ROUND((N168),2)</f>
        <v>21.6</v>
      </c>
      <c r="Q168" s="2223"/>
      <c r="R168" s="529"/>
      <c r="S168" s="2223"/>
      <c r="T168" s="2223"/>
      <c r="U168" s="2223"/>
      <c r="V168" s="2224"/>
      <c r="W168" s="2224"/>
      <c r="X168" s="2224"/>
    </row>
    <row r="169" spans="1:24" ht="15.75" customHeight="1">
      <c r="A169" s="2238" t="s">
        <v>98</v>
      </c>
      <c r="B169" s="2235" t="s">
        <v>741</v>
      </c>
      <c r="C169" s="513"/>
      <c r="D169" s="513"/>
      <c r="E169" s="513"/>
      <c r="F169" s="513"/>
      <c r="G169" s="513"/>
      <c r="H169" s="513"/>
      <c r="I169" s="513"/>
      <c r="J169" s="513"/>
      <c r="K169" s="513"/>
      <c r="L169" s="513"/>
      <c r="M169" s="513"/>
      <c r="N169" s="513"/>
      <c r="O169" s="2205"/>
      <c r="P169" s="2234"/>
      <c r="Q169" s="2223"/>
      <c r="R169" s="529"/>
      <c r="S169" s="2223"/>
      <c r="T169" s="2223"/>
      <c r="U169" s="2223"/>
      <c r="V169" s="2224"/>
      <c r="W169" s="2224"/>
      <c r="X169" s="2224"/>
    </row>
    <row r="170" spans="1:24" ht="15.75" customHeight="1">
      <c r="A170" s="2238"/>
      <c r="B170" s="2210" t="str">
        <f>B164</f>
        <v>horisontal</v>
      </c>
      <c r="C170" s="513">
        <f>C164</f>
        <v>6</v>
      </c>
      <c r="D170" s="513"/>
      <c r="E170" s="513"/>
      <c r="F170" s="513">
        <f>F151</f>
        <v>5</v>
      </c>
      <c r="G170" s="513"/>
      <c r="H170" s="513"/>
      <c r="I170" s="513"/>
      <c r="J170" s="513"/>
      <c r="K170" s="513"/>
      <c r="L170" s="513">
        <f>L151</f>
        <v>0.61650000000000005</v>
      </c>
      <c r="M170" s="513">
        <f>M164</f>
        <v>2</v>
      </c>
      <c r="N170" s="513">
        <f>C170*F170*L170*M170</f>
        <v>36.99</v>
      </c>
      <c r="O170" s="2205"/>
      <c r="P170" s="2234"/>
      <c r="Q170" s="2223"/>
      <c r="R170" s="529"/>
      <c r="S170" s="2223"/>
      <c r="T170" s="2223"/>
      <c r="U170" s="2223"/>
      <c r="V170" s="2224"/>
      <c r="W170" s="2224"/>
      <c r="X170" s="2224"/>
    </row>
    <row r="171" spans="1:24" ht="15.75" customHeight="1">
      <c r="A171" s="2238"/>
      <c r="B171" s="2210" t="str">
        <f>B166</f>
        <v>vertikal</v>
      </c>
      <c r="C171" s="513">
        <f>C166</f>
        <v>12</v>
      </c>
      <c r="D171" s="513"/>
      <c r="E171" s="513"/>
      <c r="F171" s="513">
        <f>F170</f>
        <v>5</v>
      </c>
      <c r="G171" s="513"/>
      <c r="H171" s="513"/>
      <c r="I171" s="513"/>
      <c r="J171" s="513"/>
      <c r="K171" s="513"/>
      <c r="L171" s="513">
        <f>L152</f>
        <v>0.61650000000000005</v>
      </c>
      <c r="M171" s="513">
        <f>M166</f>
        <v>1</v>
      </c>
      <c r="N171" s="521">
        <f>C171*F171*L171*M171</f>
        <v>36.99</v>
      </c>
      <c r="O171" s="2205"/>
      <c r="P171" s="2234"/>
      <c r="Q171" s="2223"/>
      <c r="R171" s="529"/>
      <c r="S171" s="2223"/>
      <c r="T171" s="2223"/>
      <c r="U171" s="2223"/>
      <c r="V171" s="2224"/>
      <c r="W171" s="2224"/>
      <c r="X171" s="2224"/>
    </row>
    <row r="172" spans="1:24" ht="15.75" customHeight="1">
      <c r="A172" s="2238"/>
      <c r="B172" s="2235"/>
      <c r="C172" s="513"/>
      <c r="D172" s="513"/>
      <c r="E172" s="513"/>
      <c r="F172" s="513"/>
      <c r="G172" s="513"/>
      <c r="H172" s="513"/>
      <c r="I172" s="513"/>
      <c r="J172" s="513"/>
      <c r="K172" s="513"/>
      <c r="L172" s="513"/>
      <c r="M172" s="513"/>
      <c r="N172" s="527">
        <f>SUM(N170:N171)</f>
        <v>73.98</v>
      </c>
      <c r="O172" s="2264" t="s">
        <v>100</v>
      </c>
      <c r="P172" s="2234">
        <f>ROUND((N172),2)</f>
        <v>73.98</v>
      </c>
      <c r="Q172" s="2223"/>
      <c r="R172" s="529"/>
      <c r="S172" s="2223"/>
      <c r="T172" s="2223"/>
      <c r="U172" s="2223"/>
      <c r="V172" s="2224"/>
      <c r="W172" s="2224"/>
      <c r="X172" s="2224"/>
    </row>
    <row r="173" spans="1:24" ht="15.75" customHeight="1">
      <c r="A173" s="2238" t="s">
        <v>101</v>
      </c>
      <c r="B173" s="2235" t="s">
        <v>428</v>
      </c>
      <c r="C173" s="513"/>
      <c r="D173" s="513"/>
      <c r="E173" s="513"/>
      <c r="F173" s="513"/>
      <c r="G173" s="513"/>
      <c r="H173" s="513"/>
      <c r="I173" s="513"/>
      <c r="J173" s="513"/>
      <c r="K173" s="513"/>
      <c r="L173" s="513"/>
      <c r="M173" s="513"/>
      <c r="N173" s="513"/>
      <c r="O173" s="2205"/>
      <c r="P173" s="2234"/>
      <c r="Q173" s="2223"/>
      <c r="R173" s="529"/>
      <c r="S173" s="2223"/>
      <c r="T173" s="2223"/>
      <c r="U173" s="2223"/>
      <c r="V173" s="2224"/>
      <c r="W173" s="2224"/>
      <c r="X173" s="2224"/>
    </row>
    <row r="174" spans="1:24" ht="15.75" customHeight="1">
      <c r="A174" s="2238"/>
      <c r="B174" s="2210" t="str">
        <f>B170</f>
        <v>horisontal</v>
      </c>
      <c r="C174" s="513">
        <f>C155</f>
        <v>0.78</v>
      </c>
      <c r="D174" s="513"/>
      <c r="E174" s="513"/>
      <c r="F174" s="513">
        <f>ROUNDDOWN((C170/0.125),0.1)</f>
        <v>48</v>
      </c>
      <c r="G174" s="513"/>
      <c r="H174" s="513"/>
      <c r="I174" s="513">
        <f>I155</f>
        <v>0.1</v>
      </c>
      <c r="J174" s="513"/>
      <c r="K174" s="513"/>
      <c r="L174" s="513">
        <f>L155</f>
        <v>0.39456000000000002</v>
      </c>
      <c r="M174" s="513">
        <f>M170</f>
        <v>2</v>
      </c>
      <c r="N174" s="513">
        <f>(C174+I174)*F174*L174*M174</f>
        <v>33.332428800000002</v>
      </c>
      <c r="O174" s="2205"/>
      <c r="P174" s="2234"/>
      <c r="Q174" s="2223"/>
      <c r="R174" s="529"/>
      <c r="S174" s="2223"/>
      <c r="T174" s="2223"/>
      <c r="U174" s="2223"/>
      <c r="V174" s="2224"/>
      <c r="W174" s="2224"/>
      <c r="X174" s="2224"/>
    </row>
    <row r="175" spans="1:24" ht="15.75" customHeight="1">
      <c r="A175" s="2238"/>
      <c r="B175" s="2210" t="str">
        <f>B171</f>
        <v>vertikal</v>
      </c>
      <c r="C175" s="513">
        <f>C156</f>
        <v>0.78</v>
      </c>
      <c r="D175" s="513"/>
      <c r="E175" s="513"/>
      <c r="F175" s="513">
        <f>ROUNDDOWN((C171/0.125),0.1)</f>
        <v>96</v>
      </c>
      <c r="G175" s="513"/>
      <c r="H175" s="513"/>
      <c r="I175" s="513">
        <f>I174</f>
        <v>0.1</v>
      </c>
      <c r="J175" s="513"/>
      <c r="K175" s="513"/>
      <c r="L175" s="513">
        <f>L156</f>
        <v>0.39456000000000002</v>
      </c>
      <c r="M175" s="513">
        <f>M171</f>
        <v>1</v>
      </c>
      <c r="N175" s="521">
        <f>(C175+I175)*F175*L175*M175</f>
        <v>33.332428800000002</v>
      </c>
      <c r="O175" s="2205"/>
      <c r="P175" s="2234"/>
      <c r="Q175" s="2223"/>
      <c r="R175" s="529"/>
      <c r="S175" s="2223"/>
      <c r="T175" s="2223"/>
      <c r="U175" s="2223"/>
      <c r="V175" s="2224"/>
      <c r="W175" s="2224"/>
      <c r="X175" s="2224"/>
    </row>
    <row r="176" spans="1:24" ht="15.75" customHeight="1">
      <c r="A176" s="2238"/>
      <c r="B176" s="1585"/>
      <c r="C176" s="513"/>
      <c r="D176" s="513"/>
      <c r="E176" s="513"/>
      <c r="F176" s="513"/>
      <c r="G176" s="513"/>
      <c r="H176" s="513"/>
      <c r="I176" s="513"/>
      <c r="J176" s="513"/>
      <c r="K176" s="513"/>
      <c r="L176" s="513"/>
      <c r="M176" s="513"/>
      <c r="N176" s="527">
        <f>SUM(N174:N175)</f>
        <v>66.664857600000005</v>
      </c>
      <c r="O176" s="2264" t="s">
        <v>100</v>
      </c>
      <c r="P176" s="2234">
        <f>ROUND((N176),2)</f>
        <v>66.66</v>
      </c>
      <c r="Q176" s="2223"/>
      <c r="R176" s="529"/>
      <c r="S176" s="2223"/>
      <c r="T176" s="2223"/>
      <c r="U176" s="2223"/>
      <c r="V176" s="2224"/>
      <c r="W176" s="2224"/>
      <c r="X176" s="2224"/>
    </row>
    <row r="177" spans="1:24" ht="15.75" customHeight="1">
      <c r="A177" s="2238" t="s">
        <v>121</v>
      </c>
      <c r="B177" s="1585" t="s">
        <v>169</v>
      </c>
      <c r="C177" s="513"/>
      <c r="D177" s="513"/>
      <c r="E177" s="513"/>
      <c r="F177" s="513"/>
      <c r="G177" s="513"/>
      <c r="H177" s="513"/>
      <c r="I177" s="513"/>
      <c r="J177" s="513"/>
      <c r="K177" s="513"/>
      <c r="L177" s="513"/>
      <c r="M177" s="513"/>
      <c r="N177" s="513"/>
      <c r="O177" s="2205"/>
      <c r="P177" s="2234"/>
      <c r="Q177" s="2223"/>
      <c r="R177" s="529"/>
      <c r="S177" s="2223"/>
      <c r="T177" s="2223"/>
      <c r="U177" s="2223"/>
      <c r="V177" s="2224"/>
      <c r="W177" s="2224"/>
      <c r="X177" s="2224"/>
    </row>
    <row r="178" spans="1:24" ht="15.75" customHeight="1">
      <c r="A178" s="2238"/>
      <c r="B178" s="2210" t="str">
        <f>B174</f>
        <v>horisontal</v>
      </c>
      <c r="C178" s="513">
        <f>C170</f>
        <v>6</v>
      </c>
      <c r="D178" s="513">
        <f>D165</f>
        <v>0.2</v>
      </c>
      <c r="E178" s="513">
        <f>E164</f>
        <v>0.35</v>
      </c>
      <c r="F178" s="513"/>
      <c r="G178" s="513"/>
      <c r="H178" s="513"/>
      <c r="I178" s="513"/>
      <c r="J178" s="513"/>
      <c r="K178" s="513"/>
      <c r="L178" s="513"/>
      <c r="M178" s="513">
        <f>M174</f>
        <v>2</v>
      </c>
      <c r="N178" s="513">
        <f>C178*D178*E178*M178</f>
        <v>0.84000000000000008</v>
      </c>
      <c r="O178" s="2205"/>
      <c r="P178" s="2234"/>
      <c r="Q178" s="2223"/>
      <c r="R178" s="529"/>
      <c r="S178" s="2223"/>
      <c r="T178" s="2223"/>
      <c r="U178" s="2223"/>
      <c r="V178" s="2224"/>
      <c r="W178" s="2224"/>
      <c r="X178" s="2224"/>
    </row>
    <row r="179" spans="1:24" ht="15.75" customHeight="1">
      <c r="A179" s="2238"/>
      <c r="B179" s="2210" t="str">
        <f>B175</f>
        <v>vertikal</v>
      </c>
      <c r="C179" s="513">
        <f>C171</f>
        <v>12</v>
      </c>
      <c r="D179" s="513">
        <f>D178</f>
        <v>0.2</v>
      </c>
      <c r="E179" s="513">
        <f>E178</f>
        <v>0.35</v>
      </c>
      <c r="F179" s="513"/>
      <c r="G179" s="513"/>
      <c r="H179" s="513"/>
      <c r="I179" s="513"/>
      <c r="J179" s="513"/>
      <c r="K179" s="513"/>
      <c r="L179" s="513"/>
      <c r="M179" s="513">
        <f>M175</f>
        <v>1</v>
      </c>
      <c r="N179" s="521">
        <f>C179*D179*E179*M179</f>
        <v>0.84000000000000008</v>
      </c>
      <c r="O179" s="2205"/>
      <c r="P179" s="2234"/>
      <c r="Q179" s="2223"/>
      <c r="R179" s="529"/>
      <c r="S179" s="2223"/>
      <c r="T179" s="2223"/>
      <c r="U179" s="2223"/>
      <c r="V179" s="2224"/>
      <c r="W179" s="2224"/>
      <c r="X179" s="2224"/>
    </row>
    <row r="180" spans="1:24" ht="15.75" customHeight="1">
      <c r="A180" s="2238"/>
      <c r="B180" s="1585"/>
      <c r="C180" s="513"/>
      <c r="D180" s="513"/>
      <c r="E180" s="513"/>
      <c r="F180" s="513"/>
      <c r="G180" s="513"/>
      <c r="H180" s="513"/>
      <c r="I180" s="513"/>
      <c r="J180" s="513"/>
      <c r="K180" s="513"/>
      <c r="L180" s="513"/>
      <c r="M180" s="513"/>
      <c r="N180" s="527">
        <f>SUM(N178:N179)</f>
        <v>1.6800000000000002</v>
      </c>
      <c r="O180" s="2264" t="s">
        <v>103</v>
      </c>
      <c r="P180" s="2234">
        <f>ROUND((N180),2)</f>
        <v>1.68</v>
      </c>
      <c r="Q180" s="2223"/>
      <c r="R180" s="529"/>
      <c r="S180" s="2223"/>
      <c r="T180" s="2223"/>
      <c r="U180" s="2223"/>
      <c r="V180" s="2224"/>
      <c r="W180" s="2224"/>
      <c r="X180" s="2224"/>
    </row>
    <row r="181" spans="1:24" ht="15.75" customHeight="1">
      <c r="A181" s="353">
        <f>A162+1</f>
        <v>14</v>
      </c>
      <c r="B181" s="354" t="s">
        <v>819</v>
      </c>
      <c r="C181" s="513"/>
      <c r="D181" s="513"/>
      <c r="E181" s="513"/>
      <c r="F181" s="513"/>
      <c r="G181" s="513"/>
      <c r="H181" s="513"/>
      <c r="I181" s="513"/>
      <c r="J181" s="513"/>
      <c r="K181" s="513"/>
      <c r="L181" s="513"/>
      <c r="M181" s="513"/>
      <c r="N181" s="513"/>
      <c r="O181" s="2205"/>
      <c r="P181" s="2234"/>
      <c r="Q181" s="2223"/>
      <c r="R181" s="529"/>
      <c r="S181" s="2223"/>
      <c r="T181" s="2223"/>
      <c r="U181" s="2223"/>
      <c r="V181" s="2224"/>
      <c r="W181" s="2224"/>
      <c r="X181" s="2224"/>
    </row>
    <row r="182" spans="1:24" ht="15.75" customHeight="1">
      <c r="A182" s="2238" t="s">
        <v>95</v>
      </c>
      <c r="B182" s="354" t="s">
        <v>1393</v>
      </c>
      <c r="C182" s="513">
        <v>6</v>
      </c>
      <c r="D182" s="513"/>
      <c r="E182" s="513">
        <v>0.2</v>
      </c>
      <c r="F182" s="513"/>
      <c r="G182" s="513"/>
      <c r="H182" s="513">
        <v>2</v>
      </c>
      <c r="I182" s="513"/>
      <c r="J182" s="513"/>
      <c r="K182" s="513"/>
      <c r="L182" s="513"/>
      <c r="M182" s="513">
        <v>1</v>
      </c>
      <c r="N182" s="513">
        <f>C182*E182*H182*M182+N183</f>
        <v>3.3000000000000003</v>
      </c>
      <c r="O182" s="2205" t="s">
        <v>89</v>
      </c>
      <c r="P182" s="2234">
        <f>ROUND((N182),2)</f>
        <v>3.3</v>
      </c>
      <c r="Q182" s="2223"/>
      <c r="R182" s="529"/>
      <c r="S182" s="2223"/>
      <c r="T182" s="2223"/>
      <c r="U182" s="2223"/>
      <c r="V182" s="2224"/>
      <c r="W182" s="2224"/>
      <c r="X182" s="2224"/>
    </row>
    <row r="183" spans="1:24" ht="15.75" customHeight="1">
      <c r="A183" s="2238"/>
      <c r="B183" s="354"/>
      <c r="C183" s="513">
        <v>6</v>
      </c>
      <c r="D183" s="513">
        <v>0.15</v>
      </c>
      <c r="E183" s="513"/>
      <c r="F183" s="513"/>
      <c r="G183" s="513"/>
      <c r="H183" s="513">
        <v>1</v>
      </c>
      <c r="I183" s="513"/>
      <c r="J183" s="513"/>
      <c r="K183" s="513"/>
      <c r="L183" s="513"/>
      <c r="M183" s="513">
        <f>M182</f>
        <v>1</v>
      </c>
      <c r="N183" s="513">
        <f>C183*D183*H183*M183</f>
        <v>0.89999999999999991</v>
      </c>
      <c r="O183" s="2205"/>
      <c r="P183" s="2234"/>
      <c r="Q183" s="2223"/>
      <c r="R183" s="529"/>
      <c r="S183" s="2223"/>
      <c r="T183" s="2223"/>
      <c r="U183" s="2223"/>
      <c r="V183" s="2224"/>
      <c r="W183" s="2224"/>
      <c r="X183" s="2224"/>
    </row>
    <row r="184" spans="1:24" ht="15.75" customHeight="1">
      <c r="A184" s="2238" t="s">
        <v>98</v>
      </c>
      <c r="B184" s="2235" t="s">
        <v>410</v>
      </c>
      <c r="C184" s="513">
        <f>C182</f>
        <v>6</v>
      </c>
      <c r="D184" s="513"/>
      <c r="E184" s="513"/>
      <c r="F184" s="513">
        <v>4</v>
      </c>
      <c r="G184" s="513"/>
      <c r="H184" s="513"/>
      <c r="I184" s="513"/>
      <c r="J184" s="513"/>
      <c r="K184" s="513"/>
      <c r="L184" s="513">
        <f>L170</f>
        <v>0.61650000000000005</v>
      </c>
      <c r="M184" s="513">
        <f>M183</f>
        <v>1</v>
      </c>
      <c r="N184" s="513">
        <f>C184*F184*L184*M184</f>
        <v>14.796000000000001</v>
      </c>
      <c r="O184" s="2205" t="s">
        <v>100</v>
      </c>
      <c r="P184" s="2234">
        <f>ROUND((N184),2)</f>
        <v>14.8</v>
      </c>
      <c r="Q184" s="2223"/>
      <c r="R184" s="529"/>
      <c r="S184" s="2223"/>
      <c r="T184" s="2223"/>
      <c r="U184" s="2223"/>
      <c r="V184" s="2224"/>
      <c r="W184" s="2224"/>
      <c r="X184" s="2224"/>
    </row>
    <row r="185" spans="1:24" ht="15.75" customHeight="1">
      <c r="A185" s="2238" t="s">
        <v>101</v>
      </c>
      <c r="B185" s="2235" t="s">
        <v>411</v>
      </c>
      <c r="C185" s="513">
        <f>(0.1+0.15)*2</f>
        <v>0.5</v>
      </c>
      <c r="D185" s="513"/>
      <c r="E185" s="513"/>
      <c r="F185" s="513">
        <f>ROUNDDOWN((C184/0.15),0.1)</f>
        <v>40</v>
      </c>
      <c r="G185" s="513"/>
      <c r="H185" s="513"/>
      <c r="I185" s="513">
        <f>0.05*2</f>
        <v>0.1</v>
      </c>
      <c r="J185" s="513"/>
      <c r="K185" s="513"/>
      <c r="L185" s="513">
        <f>L174</f>
        <v>0.39456000000000002</v>
      </c>
      <c r="M185" s="513">
        <f>M184</f>
        <v>1</v>
      </c>
      <c r="N185" s="513">
        <f>(C185+I185)*F185*L185*M185</f>
        <v>9.4694400000000005</v>
      </c>
      <c r="O185" s="2205" t="s">
        <v>100</v>
      </c>
      <c r="P185" s="2234">
        <f>ROUND((N185),2)</f>
        <v>9.4700000000000006</v>
      </c>
      <c r="Q185" s="2223"/>
      <c r="R185" s="529"/>
      <c r="S185" s="2223"/>
      <c r="T185" s="2223"/>
      <c r="U185" s="2223"/>
      <c r="V185" s="2224"/>
      <c r="W185" s="2224"/>
      <c r="X185" s="2224"/>
    </row>
    <row r="186" spans="1:24" ht="15.75" customHeight="1">
      <c r="A186" s="2238" t="s">
        <v>121</v>
      </c>
      <c r="B186" s="1585" t="s">
        <v>429</v>
      </c>
      <c r="C186" s="513">
        <f>C182</f>
        <v>6</v>
      </c>
      <c r="D186" s="513">
        <f>D183</f>
        <v>0.15</v>
      </c>
      <c r="E186" s="513">
        <f>E182</f>
        <v>0.2</v>
      </c>
      <c r="F186" s="513"/>
      <c r="G186" s="513"/>
      <c r="H186" s="513"/>
      <c r="I186" s="513"/>
      <c r="J186" s="513"/>
      <c r="K186" s="513"/>
      <c r="L186" s="513"/>
      <c r="M186" s="513">
        <f>M185</f>
        <v>1</v>
      </c>
      <c r="N186" s="513">
        <f>C186*D186*E186*M186</f>
        <v>0.18</v>
      </c>
      <c r="O186" s="2205" t="s">
        <v>103</v>
      </c>
      <c r="P186" s="2234">
        <f>ROUND((N186),2)</f>
        <v>0.18</v>
      </c>
      <c r="Q186" s="2223"/>
      <c r="R186" s="529"/>
      <c r="S186" s="2223"/>
      <c r="T186" s="2223"/>
      <c r="U186" s="2223"/>
      <c r="V186" s="2224"/>
      <c r="W186" s="2224"/>
      <c r="X186" s="2224"/>
    </row>
    <row r="187" spans="1:24" s="2244" customFormat="1" ht="15.75" customHeight="1">
      <c r="A187" s="353">
        <f>A181+1</f>
        <v>15</v>
      </c>
      <c r="B187" s="2235" t="s">
        <v>424</v>
      </c>
      <c r="C187" s="2204"/>
      <c r="D187" s="2204"/>
      <c r="E187" s="2204"/>
      <c r="F187" s="2204"/>
      <c r="G187" s="2204"/>
      <c r="H187" s="2204"/>
      <c r="I187" s="2204"/>
      <c r="J187" s="2204"/>
      <c r="K187" s="2204"/>
      <c r="L187" s="2204"/>
      <c r="M187" s="513"/>
      <c r="N187" s="2204"/>
      <c r="O187" s="2205"/>
      <c r="P187" s="2234"/>
      <c r="Q187" s="2223"/>
      <c r="R187" s="2266"/>
      <c r="S187" s="2223"/>
      <c r="T187" s="2223"/>
      <c r="U187" s="2223"/>
      <c r="V187" s="2267"/>
      <c r="W187" s="2267"/>
      <c r="X187" s="2267"/>
    </row>
    <row r="188" spans="1:24" s="2244" customFormat="1" ht="15.75" customHeight="1">
      <c r="A188" s="353"/>
      <c r="B188" s="890" t="s">
        <v>964</v>
      </c>
      <c r="C188" s="2204"/>
      <c r="D188" s="2204"/>
      <c r="E188" s="2204"/>
      <c r="F188" s="2204"/>
      <c r="G188" s="2204"/>
      <c r="H188" s="2204"/>
      <c r="I188" s="2204"/>
      <c r="J188" s="2204"/>
      <c r="K188" s="2204"/>
      <c r="L188" s="2204"/>
      <c r="M188" s="2204"/>
      <c r="N188" s="2204"/>
      <c r="O188" s="2205"/>
      <c r="P188" s="2234"/>
      <c r="Q188" s="2223"/>
      <c r="R188" s="2266"/>
      <c r="S188" s="2223"/>
      <c r="T188" s="2223"/>
      <c r="U188" s="2223"/>
      <c r="V188" s="2267"/>
      <c r="W188" s="2267"/>
      <c r="X188" s="2267"/>
    </row>
    <row r="189" spans="1:24" s="2244" customFormat="1" ht="15.75" customHeight="1">
      <c r="A189" s="2238" t="s">
        <v>95</v>
      </c>
      <c r="B189" s="2235" t="s">
        <v>423</v>
      </c>
      <c r="C189" s="2204"/>
      <c r="D189" s="2204"/>
      <c r="E189" s="2204"/>
      <c r="F189" s="2204"/>
      <c r="G189" s="2204"/>
      <c r="H189" s="2204"/>
      <c r="I189" s="2204"/>
      <c r="J189" s="2204"/>
      <c r="K189" s="2204"/>
      <c r="L189" s="2204"/>
      <c r="M189" s="2204"/>
      <c r="N189" s="2204"/>
      <c r="O189" s="2205"/>
      <c r="P189" s="2234"/>
      <c r="Q189" s="2223"/>
      <c r="R189" s="2266"/>
      <c r="S189" s="2223"/>
      <c r="T189" s="2223"/>
      <c r="U189" s="2223"/>
      <c r="V189" s="2267"/>
      <c r="W189" s="2267"/>
      <c r="X189" s="2267"/>
    </row>
    <row r="190" spans="1:24" s="2244" customFormat="1" ht="15.75" customHeight="1">
      <c r="A190" s="2238"/>
      <c r="B190" s="2210" t="s">
        <v>1010</v>
      </c>
      <c r="C190" s="2204">
        <f>D283*2</f>
        <v>9.734</v>
      </c>
      <c r="D190" s="2204"/>
      <c r="E190" s="2204">
        <v>0.2</v>
      </c>
      <c r="F190" s="2204">
        <v>1</v>
      </c>
      <c r="G190" s="2204"/>
      <c r="H190" s="2204">
        <v>2</v>
      </c>
      <c r="I190" s="2204"/>
      <c r="J190" s="2204"/>
      <c r="K190" s="2204"/>
      <c r="L190" s="2204"/>
      <c r="M190" s="2204">
        <v>2</v>
      </c>
      <c r="N190" s="2204">
        <f>C190*E190*H190*M190</f>
        <v>7.7872000000000003</v>
      </c>
      <c r="O190" s="2205"/>
      <c r="P190" s="2234"/>
      <c r="Q190" s="2223"/>
      <c r="R190" s="2266"/>
      <c r="S190" s="2223"/>
      <c r="T190" s="2223"/>
      <c r="U190" s="2223"/>
      <c r="V190" s="2267"/>
      <c r="W190" s="2267"/>
      <c r="X190" s="2267"/>
    </row>
    <row r="191" spans="1:24" s="2244" customFormat="1" ht="15.75" customHeight="1">
      <c r="A191" s="2238"/>
      <c r="B191" s="2235"/>
      <c r="C191" s="2204">
        <f>C190</f>
        <v>9.734</v>
      </c>
      <c r="D191" s="2204">
        <v>0.15</v>
      </c>
      <c r="E191" s="2204"/>
      <c r="F191" s="2204">
        <f>F190</f>
        <v>1</v>
      </c>
      <c r="G191" s="2204"/>
      <c r="H191" s="2204">
        <v>1</v>
      </c>
      <c r="I191" s="2204"/>
      <c r="J191" s="2204"/>
      <c r="K191" s="2204"/>
      <c r="L191" s="2204"/>
      <c r="M191" s="2204">
        <f>M190</f>
        <v>2</v>
      </c>
      <c r="N191" s="2204">
        <f>C191*D191*H191*M191</f>
        <v>2.9201999999999999</v>
      </c>
      <c r="O191" s="2205"/>
      <c r="P191" s="2234"/>
      <c r="Q191" s="2223"/>
      <c r="R191" s="2266"/>
      <c r="S191" s="2223"/>
      <c r="T191" s="2223"/>
      <c r="U191" s="2223"/>
      <c r="V191" s="2267"/>
      <c r="W191" s="2267"/>
      <c r="X191" s="2267"/>
    </row>
    <row r="192" spans="1:24" s="2244" customFormat="1" ht="15.75" customHeight="1">
      <c r="A192" s="2238"/>
      <c r="B192" s="2210" t="s">
        <v>1011</v>
      </c>
      <c r="C192" s="2204">
        <v>1.5</v>
      </c>
      <c r="D192" s="2204"/>
      <c r="E192" s="2204">
        <v>0.2</v>
      </c>
      <c r="F192" s="2204">
        <v>2</v>
      </c>
      <c r="G192" s="2204"/>
      <c r="H192" s="2204">
        <v>2</v>
      </c>
      <c r="I192" s="2204"/>
      <c r="J192" s="2204"/>
      <c r="K192" s="2204"/>
      <c r="L192" s="2204"/>
      <c r="M192" s="2204">
        <f>M191</f>
        <v>2</v>
      </c>
      <c r="N192" s="2204">
        <f>C192*E192*H192*M192</f>
        <v>1.2000000000000002</v>
      </c>
      <c r="O192" s="2205"/>
      <c r="P192" s="2234"/>
      <c r="Q192" s="2223"/>
      <c r="R192" s="2266"/>
      <c r="S192" s="2223"/>
      <c r="T192" s="2223"/>
      <c r="U192" s="2223"/>
      <c r="V192" s="2267"/>
      <c r="W192" s="2267"/>
      <c r="X192" s="2267"/>
    </row>
    <row r="193" spans="1:24" s="2244" customFormat="1" ht="15.75" customHeight="1">
      <c r="A193" s="2238"/>
      <c r="B193" s="2235"/>
      <c r="C193" s="2204">
        <f>C192</f>
        <v>1.5</v>
      </c>
      <c r="D193" s="2204">
        <f>D191</f>
        <v>0.15</v>
      </c>
      <c r="E193" s="2204"/>
      <c r="F193" s="2204">
        <f>F192</f>
        <v>2</v>
      </c>
      <c r="G193" s="2204"/>
      <c r="H193" s="2204">
        <v>1</v>
      </c>
      <c r="I193" s="2204"/>
      <c r="J193" s="2204"/>
      <c r="K193" s="2204"/>
      <c r="L193" s="2204"/>
      <c r="M193" s="2204">
        <f>M192</f>
        <v>2</v>
      </c>
      <c r="N193" s="2268">
        <f>C193*D193*H193*M193</f>
        <v>0.44999999999999996</v>
      </c>
      <c r="O193" s="2205"/>
      <c r="P193" s="2234"/>
      <c r="Q193" s="2223"/>
      <c r="R193" s="2266"/>
      <c r="S193" s="2223"/>
      <c r="T193" s="2223"/>
      <c r="U193" s="2223"/>
      <c r="V193" s="2267"/>
      <c r="W193" s="2267"/>
      <c r="X193" s="2267"/>
    </row>
    <row r="194" spans="1:24" s="2244" customFormat="1" ht="15.75" customHeight="1">
      <c r="A194" s="2238"/>
      <c r="B194" s="2235"/>
      <c r="C194" s="2204"/>
      <c r="D194" s="2204"/>
      <c r="E194" s="2204"/>
      <c r="F194" s="2204"/>
      <c r="G194" s="2204"/>
      <c r="H194" s="2204"/>
      <c r="I194" s="2204"/>
      <c r="J194" s="2204"/>
      <c r="K194" s="2204"/>
      <c r="L194" s="2204"/>
      <c r="M194" s="2204"/>
      <c r="N194" s="2203">
        <f>SUM(N190:N193)/2</f>
        <v>6.1786999999999992</v>
      </c>
      <c r="O194" s="2205" t="s">
        <v>89</v>
      </c>
      <c r="P194" s="2234">
        <f>ROUND((N194),2)</f>
        <v>6.18</v>
      </c>
      <c r="Q194" s="2223"/>
      <c r="R194" s="2266"/>
      <c r="S194" s="2223"/>
      <c r="T194" s="2223"/>
      <c r="U194" s="2223"/>
      <c r="V194" s="2267"/>
      <c r="W194" s="2267"/>
      <c r="X194" s="2267"/>
    </row>
    <row r="195" spans="1:24" s="2244" customFormat="1" ht="15.75" customHeight="1">
      <c r="A195" s="2238" t="s">
        <v>98</v>
      </c>
      <c r="B195" s="2235" t="s">
        <v>427</v>
      </c>
      <c r="C195" s="2204"/>
      <c r="D195" s="2204"/>
      <c r="E195" s="2204"/>
      <c r="F195" s="2204"/>
      <c r="G195" s="2204"/>
      <c r="H195" s="2204"/>
      <c r="I195" s="2204"/>
      <c r="J195" s="2204"/>
      <c r="K195" s="2204"/>
      <c r="L195" s="2204"/>
      <c r="M195" s="2204"/>
      <c r="N195" s="2204"/>
      <c r="O195" s="2205"/>
      <c r="P195" s="2234"/>
      <c r="Q195" s="2223"/>
      <c r="R195" s="2266"/>
      <c r="S195" s="2223"/>
      <c r="T195" s="2223"/>
      <c r="U195" s="2223"/>
      <c r="V195" s="2267"/>
      <c r="W195" s="2267"/>
      <c r="X195" s="2267"/>
    </row>
    <row r="196" spans="1:24" s="2244" customFormat="1" ht="15.75" customHeight="1">
      <c r="A196" s="2238"/>
      <c r="B196" s="2210" t="s">
        <v>1010</v>
      </c>
      <c r="C196" s="2204">
        <f>C190</f>
        <v>9.734</v>
      </c>
      <c r="D196" s="2204"/>
      <c r="E196" s="2204"/>
      <c r="F196" s="2204">
        <v>4</v>
      </c>
      <c r="G196" s="2204"/>
      <c r="H196" s="2204"/>
      <c r="I196" s="2204">
        <v>0.1</v>
      </c>
      <c r="J196" s="2204"/>
      <c r="K196" s="2204"/>
      <c r="L196" s="2204">
        <f>0.006165*10*10</f>
        <v>0.61650000000000005</v>
      </c>
      <c r="M196" s="2204">
        <f>M190*F190</f>
        <v>2</v>
      </c>
      <c r="N196" s="2204">
        <f>(C196+I196)*F196*L196*M196</f>
        <v>48.501288000000002</v>
      </c>
      <c r="O196" s="2205"/>
      <c r="P196" s="2234"/>
      <c r="Q196" s="2223"/>
      <c r="R196" s="2266"/>
      <c r="S196" s="2223"/>
      <c r="T196" s="2223"/>
      <c r="U196" s="2223"/>
      <c r="V196" s="2267"/>
      <c r="W196" s="2267"/>
      <c r="X196" s="2267"/>
    </row>
    <row r="197" spans="1:24" s="2244" customFormat="1" ht="15.75" customHeight="1">
      <c r="A197" s="2238"/>
      <c r="B197" s="2210" t="s">
        <v>1011</v>
      </c>
      <c r="C197" s="2204">
        <f>C193</f>
        <v>1.5</v>
      </c>
      <c r="D197" s="2204"/>
      <c r="E197" s="2204"/>
      <c r="F197" s="2204">
        <f>F196</f>
        <v>4</v>
      </c>
      <c r="G197" s="2204"/>
      <c r="H197" s="2204"/>
      <c r="I197" s="2204">
        <f>I196</f>
        <v>0.1</v>
      </c>
      <c r="J197" s="2204"/>
      <c r="K197" s="2204"/>
      <c r="L197" s="2204">
        <f>L196</f>
        <v>0.61650000000000005</v>
      </c>
      <c r="M197" s="2204">
        <f>M192*F192</f>
        <v>4</v>
      </c>
      <c r="N197" s="2268">
        <f>(C197+I197)*F197*L197*M197</f>
        <v>15.782400000000003</v>
      </c>
      <c r="O197" s="2205"/>
      <c r="P197" s="2234"/>
      <c r="Q197" s="2223"/>
      <c r="R197" s="2266"/>
      <c r="S197" s="2223"/>
      <c r="T197" s="2223"/>
      <c r="U197" s="2223"/>
      <c r="V197" s="2267"/>
      <c r="W197" s="2267"/>
      <c r="X197" s="2267"/>
    </row>
    <row r="198" spans="1:24" s="2244" customFormat="1" ht="15.75" customHeight="1">
      <c r="A198" s="2238"/>
      <c r="B198" s="2235"/>
      <c r="C198" s="2204"/>
      <c r="D198" s="2204"/>
      <c r="E198" s="2204"/>
      <c r="F198" s="2204"/>
      <c r="G198" s="2204"/>
      <c r="H198" s="2204"/>
      <c r="I198" s="2204"/>
      <c r="J198" s="2204"/>
      <c r="K198" s="2204"/>
      <c r="L198" s="2204"/>
      <c r="M198" s="2204"/>
      <c r="N198" s="2203">
        <f>SUM(N196:N197)</f>
        <v>64.283688000000012</v>
      </c>
      <c r="O198" s="2205" t="s">
        <v>100</v>
      </c>
      <c r="P198" s="2234">
        <f>ROUND((N198),2)</f>
        <v>64.28</v>
      </c>
      <c r="Q198" s="2223"/>
      <c r="R198" s="2266"/>
      <c r="S198" s="2223"/>
      <c r="T198" s="2223"/>
      <c r="U198" s="2223"/>
      <c r="V198" s="2267"/>
      <c r="W198" s="2267"/>
      <c r="X198" s="2267"/>
    </row>
    <row r="199" spans="1:24" s="2244" customFormat="1" ht="15.75" customHeight="1">
      <c r="A199" s="2238" t="s">
        <v>101</v>
      </c>
      <c r="B199" s="2235" t="s">
        <v>428</v>
      </c>
      <c r="C199" s="2204"/>
      <c r="D199" s="2204"/>
      <c r="E199" s="2204"/>
      <c r="F199" s="2204"/>
      <c r="G199" s="2204"/>
      <c r="H199" s="2204"/>
      <c r="I199" s="2204"/>
      <c r="J199" s="2204"/>
      <c r="K199" s="2204"/>
      <c r="L199" s="2204"/>
      <c r="M199" s="2204"/>
      <c r="N199" s="2204"/>
      <c r="O199" s="2205"/>
      <c r="P199" s="2234"/>
      <c r="Q199" s="2223"/>
      <c r="R199" s="2266"/>
      <c r="S199" s="2223"/>
      <c r="T199" s="2223"/>
      <c r="U199" s="2223"/>
      <c r="V199" s="2267"/>
      <c r="W199" s="2267"/>
      <c r="X199" s="2267"/>
    </row>
    <row r="200" spans="1:24" s="2244" customFormat="1" ht="15.75" customHeight="1">
      <c r="A200" s="2238"/>
      <c r="B200" s="2210" t="s">
        <v>1010</v>
      </c>
      <c r="C200" s="2204">
        <f>(0.1+0.15)*2</f>
        <v>0.5</v>
      </c>
      <c r="D200" s="2204"/>
      <c r="E200" s="2204"/>
      <c r="F200" s="2204">
        <f>ROUNDDOWN((C196/0.125),0.1)</f>
        <v>77</v>
      </c>
      <c r="G200" s="2204"/>
      <c r="H200" s="2204"/>
      <c r="I200" s="2204">
        <v>0.1</v>
      </c>
      <c r="J200" s="2204"/>
      <c r="K200" s="2204"/>
      <c r="L200" s="2204">
        <f>L174</f>
        <v>0.39456000000000002</v>
      </c>
      <c r="M200" s="2204">
        <f>M196</f>
        <v>2</v>
      </c>
      <c r="N200" s="2204">
        <f>(C200+I200)*F200*L200*M200</f>
        <v>36.457343999999999</v>
      </c>
      <c r="O200" s="2205"/>
      <c r="P200" s="2234"/>
      <c r="Q200" s="2223"/>
      <c r="R200" s="2266"/>
      <c r="S200" s="2223"/>
      <c r="T200" s="2223"/>
      <c r="U200" s="2223"/>
      <c r="V200" s="2267"/>
      <c r="W200" s="2267"/>
      <c r="X200" s="2267"/>
    </row>
    <row r="201" spans="1:24" s="2244" customFormat="1" ht="15.75" customHeight="1">
      <c r="A201" s="2238"/>
      <c r="B201" s="2210" t="s">
        <v>1011</v>
      </c>
      <c r="C201" s="2204">
        <f>C200</f>
        <v>0.5</v>
      </c>
      <c r="D201" s="2204"/>
      <c r="E201" s="2204"/>
      <c r="F201" s="2204">
        <f>ROUNDDOWN((C197/0.125),0.1)</f>
        <v>12</v>
      </c>
      <c r="G201" s="2204"/>
      <c r="H201" s="2204"/>
      <c r="I201" s="2204">
        <v>0.1</v>
      </c>
      <c r="J201" s="2204"/>
      <c r="K201" s="2204"/>
      <c r="L201" s="2204">
        <f>L200</f>
        <v>0.39456000000000002</v>
      </c>
      <c r="M201" s="2204">
        <f>M197</f>
        <v>4</v>
      </c>
      <c r="N201" s="2268">
        <f>(C201+I201)*F201*L201*M201</f>
        <v>11.363327999999999</v>
      </c>
      <c r="O201" s="2205"/>
      <c r="P201" s="2234"/>
      <c r="Q201" s="2223"/>
      <c r="R201" s="2266"/>
      <c r="S201" s="2223"/>
      <c r="T201" s="2223"/>
      <c r="U201" s="2223"/>
      <c r="V201" s="2267"/>
      <c r="W201" s="2267"/>
      <c r="X201" s="2267"/>
    </row>
    <row r="202" spans="1:24" s="2244" customFormat="1" ht="15.75" customHeight="1">
      <c r="A202" s="2238"/>
      <c r="B202" s="2235"/>
      <c r="C202" s="2204"/>
      <c r="D202" s="2204"/>
      <c r="E202" s="2204"/>
      <c r="F202" s="2204"/>
      <c r="G202" s="2204"/>
      <c r="H202" s="2204"/>
      <c r="I202" s="2204"/>
      <c r="J202" s="2204"/>
      <c r="K202" s="2204"/>
      <c r="L202" s="2204"/>
      <c r="M202" s="2204"/>
      <c r="N202" s="2203">
        <f>SUM(N200:N201)</f>
        <v>47.820672000000002</v>
      </c>
      <c r="O202" s="2205" t="s">
        <v>100</v>
      </c>
      <c r="P202" s="2234">
        <f>ROUND((N202),2)</f>
        <v>47.82</v>
      </c>
      <c r="Q202" s="2223"/>
      <c r="R202" s="2266"/>
      <c r="S202" s="2223"/>
      <c r="T202" s="2223"/>
      <c r="U202" s="2223"/>
      <c r="V202" s="2267"/>
      <c r="W202" s="2267"/>
      <c r="X202" s="2267"/>
    </row>
    <row r="203" spans="1:24" s="2244" customFormat="1" ht="15.75" customHeight="1">
      <c r="A203" s="2238" t="s">
        <v>121</v>
      </c>
      <c r="B203" s="2235" t="s">
        <v>1043</v>
      </c>
      <c r="C203" s="2204"/>
      <c r="D203" s="2204"/>
      <c r="E203" s="2204"/>
      <c r="F203" s="2204"/>
      <c r="G203" s="2204"/>
      <c r="H203" s="2204"/>
      <c r="I203" s="2204"/>
      <c r="J203" s="2204"/>
      <c r="K203" s="2204"/>
      <c r="L203" s="2204"/>
      <c r="M203" s="2204"/>
      <c r="N203" s="2204"/>
      <c r="O203" s="2205"/>
      <c r="P203" s="2234"/>
      <c r="Q203" s="2223"/>
      <c r="R203" s="2266"/>
      <c r="S203" s="2223"/>
      <c r="T203" s="2223"/>
      <c r="U203" s="2223"/>
      <c r="V203" s="2267"/>
      <c r="W203" s="2267"/>
      <c r="X203" s="2267"/>
    </row>
    <row r="204" spans="1:24" s="2244" customFormat="1" ht="15.75" customHeight="1">
      <c r="A204" s="2238"/>
      <c r="B204" s="2210" t="s">
        <v>1010</v>
      </c>
      <c r="C204" s="2204">
        <f>C196</f>
        <v>9.734</v>
      </c>
      <c r="D204" s="2204">
        <f>D191</f>
        <v>0.15</v>
      </c>
      <c r="E204" s="2204">
        <f>E190</f>
        <v>0.2</v>
      </c>
      <c r="F204" s="2204">
        <f>F190</f>
        <v>1</v>
      </c>
      <c r="G204" s="2204"/>
      <c r="H204" s="2204"/>
      <c r="I204" s="2204"/>
      <c r="J204" s="2204"/>
      <c r="K204" s="2204"/>
      <c r="L204" s="2204"/>
      <c r="M204" s="2204">
        <f>M190</f>
        <v>2</v>
      </c>
      <c r="N204" s="2204">
        <f>C204*D204*E204*F204*M204</f>
        <v>0.58404</v>
      </c>
      <c r="O204" s="2205"/>
      <c r="P204" s="2234"/>
      <c r="Q204" s="2223"/>
      <c r="R204" s="2266"/>
      <c r="S204" s="2223"/>
      <c r="T204" s="2223"/>
      <c r="U204" s="2223"/>
      <c r="V204" s="2267"/>
      <c r="W204" s="2267"/>
      <c r="X204" s="2267"/>
    </row>
    <row r="205" spans="1:24" s="2244" customFormat="1" ht="15.75" customHeight="1">
      <c r="A205" s="2238"/>
      <c r="B205" s="2210" t="s">
        <v>1011</v>
      </c>
      <c r="C205" s="2204">
        <f>C197</f>
        <v>1.5</v>
      </c>
      <c r="D205" s="2204">
        <f>D204</f>
        <v>0.15</v>
      </c>
      <c r="E205" s="2204">
        <f>E204</f>
        <v>0.2</v>
      </c>
      <c r="F205" s="2204">
        <f>F192</f>
        <v>2</v>
      </c>
      <c r="G205" s="2204"/>
      <c r="H205" s="2204"/>
      <c r="I205" s="2204"/>
      <c r="J205" s="2204"/>
      <c r="K205" s="2204"/>
      <c r="L205" s="2204"/>
      <c r="M205" s="2204">
        <f>M192</f>
        <v>2</v>
      </c>
      <c r="N205" s="2268">
        <f>C205*D205*E205*F205*M205</f>
        <v>0.18</v>
      </c>
      <c r="O205" s="2205"/>
      <c r="P205" s="2234"/>
      <c r="Q205" s="2223"/>
      <c r="R205" s="2266"/>
      <c r="S205" s="2223"/>
      <c r="T205" s="2223"/>
      <c r="U205" s="2223"/>
      <c r="V205" s="2267"/>
      <c r="W205" s="2267"/>
      <c r="X205" s="2267"/>
    </row>
    <row r="206" spans="1:24" s="2244" customFormat="1" ht="15.75" customHeight="1">
      <c r="A206" s="2238"/>
      <c r="B206" s="2235"/>
      <c r="C206" s="2204"/>
      <c r="D206" s="2204"/>
      <c r="E206" s="2204"/>
      <c r="F206" s="2204"/>
      <c r="G206" s="2204"/>
      <c r="H206" s="2204"/>
      <c r="I206" s="2204"/>
      <c r="J206" s="2204"/>
      <c r="K206" s="2204"/>
      <c r="L206" s="2204"/>
      <c r="M206" s="2204"/>
      <c r="N206" s="2203">
        <f>SUM(N204:N205)</f>
        <v>0.76404000000000005</v>
      </c>
      <c r="O206" s="2205" t="s">
        <v>103</v>
      </c>
      <c r="P206" s="2234">
        <f>ROUND((N206),2)</f>
        <v>0.76</v>
      </c>
      <c r="Q206" s="2223"/>
      <c r="R206" s="2266"/>
      <c r="S206" s="2223"/>
      <c r="T206" s="2223"/>
      <c r="U206" s="2223"/>
      <c r="V206" s="2267"/>
      <c r="W206" s="2267"/>
      <c r="X206" s="2267"/>
    </row>
    <row r="207" spans="1:24" s="2244" customFormat="1" ht="15.75" customHeight="1">
      <c r="A207" s="353"/>
      <c r="B207" s="890" t="s">
        <v>965</v>
      </c>
      <c r="C207" s="2204"/>
      <c r="D207" s="2204"/>
      <c r="E207" s="2204"/>
      <c r="F207" s="2204"/>
      <c r="G207" s="2204"/>
      <c r="H207" s="2204"/>
      <c r="I207" s="2204"/>
      <c r="J207" s="2204"/>
      <c r="K207" s="2204"/>
      <c r="L207" s="2204"/>
      <c r="M207" s="2204"/>
      <c r="N207" s="2204"/>
      <c r="O207" s="2205"/>
      <c r="P207" s="2234"/>
      <c r="Q207" s="2223"/>
      <c r="R207" s="2266"/>
      <c r="S207" s="2223"/>
      <c r="T207" s="2223"/>
      <c r="U207" s="2223"/>
      <c r="V207" s="2267"/>
      <c r="W207" s="2267"/>
      <c r="X207" s="2267"/>
    </row>
    <row r="208" spans="1:24" s="2244" customFormat="1" ht="15.75" customHeight="1">
      <c r="A208" s="2238" t="s">
        <v>95</v>
      </c>
      <c r="B208" s="2235" t="s">
        <v>423</v>
      </c>
      <c r="C208" s="2204"/>
      <c r="D208" s="2204"/>
      <c r="E208" s="2204"/>
      <c r="F208" s="2204"/>
      <c r="G208" s="2204"/>
      <c r="H208" s="2204"/>
      <c r="I208" s="2204"/>
      <c r="J208" s="2204"/>
      <c r="K208" s="2204"/>
      <c r="L208" s="2204"/>
      <c r="M208" s="2204"/>
      <c r="N208" s="2204"/>
      <c r="O208" s="2205"/>
      <c r="P208" s="2234"/>
      <c r="Q208" s="2223"/>
      <c r="R208" s="2266"/>
      <c r="S208" s="2223"/>
      <c r="T208" s="2223"/>
      <c r="U208" s="2223"/>
      <c r="V208" s="2267"/>
      <c r="W208" s="2267"/>
      <c r="X208" s="2267"/>
    </row>
    <row r="209" spans="1:24" s="2244" customFormat="1" ht="15.75" customHeight="1">
      <c r="A209" s="2238"/>
      <c r="B209" s="2210"/>
      <c r="C209" s="2204">
        <v>1</v>
      </c>
      <c r="D209" s="2204">
        <v>0.15</v>
      </c>
      <c r="E209" s="2204">
        <v>0.2</v>
      </c>
      <c r="F209" s="2204">
        <v>2</v>
      </c>
      <c r="G209" s="2204"/>
      <c r="H209" s="2204"/>
      <c r="I209" s="2204"/>
      <c r="J209" s="2204"/>
      <c r="K209" s="2204"/>
      <c r="L209" s="2204"/>
      <c r="M209" s="2204">
        <v>4</v>
      </c>
      <c r="N209" s="2204">
        <f>C209*((E209+D209)*2)*F209*M209</f>
        <v>5.6</v>
      </c>
      <c r="O209" s="2205"/>
      <c r="P209" s="2234"/>
      <c r="Q209" s="2223"/>
      <c r="R209" s="2266"/>
      <c r="S209" s="2223"/>
      <c r="T209" s="2223"/>
      <c r="U209" s="2223"/>
      <c r="V209" s="2267"/>
      <c r="W209" s="2267"/>
      <c r="X209" s="2267"/>
    </row>
    <row r="210" spans="1:24" s="2244" customFormat="1" ht="15.75" customHeight="1">
      <c r="A210" s="2238"/>
      <c r="B210" s="2235"/>
      <c r="C210" s="2204"/>
      <c r="D210" s="2204"/>
      <c r="E210" s="2204"/>
      <c r="F210" s="2204"/>
      <c r="G210" s="2204"/>
      <c r="H210" s="2204"/>
      <c r="I210" s="2204"/>
      <c r="J210" s="2204"/>
      <c r="K210" s="2204"/>
      <c r="L210" s="2204"/>
      <c r="M210" s="2204"/>
      <c r="N210" s="2203">
        <f>SUM(N209:N209)/2</f>
        <v>2.8</v>
      </c>
      <c r="O210" s="2205" t="s">
        <v>89</v>
      </c>
      <c r="P210" s="2234">
        <f>ROUND((N210),2)</f>
        <v>2.8</v>
      </c>
      <c r="Q210" s="2223"/>
      <c r="R210" s="2266"/>
      <c r="S210" s="2223"/>
      <c r="T210" s="2223"/>
      <c r="U210" s="2223"/>
      <c r="V210" s="2267"/>
      <c r="W210" s="2267"/>
      <c r="X210" s="2267"/>
    </row>
    <row r="211" spans="1:24" s="2244" customFormat="1" ht="15.75" customHeight="1">
      <c r="A211" s="2238" t="s">
        <v>98</v>
      </c>
      <c r="B211" s="2235" t="s">
        <v>427</v>
      </c>
      <c r="C211" s="2204"/>
      <c r="D211" s="2204"/>
      <c r="E211" s="2204"/>
      <c r="F211" s="2204"/>
      <c r="G211" s="2204"/>
      <c r="H211" s="2204"/>
      <c r="I211" s="2204"/>
      <c r="J211" s="2204"/>
      <c r="K211" s="2204"/>
      <c r="L211" s="2204"/>
      <c r="M211" s="2204"/>
      <c r="N211" s="2204"/>
      <c r="O211" s="2205"/>
      <c r="P211" s="2234"/>
      <c r="Q211" s="2223"/>
      <c r="R211" s="2266"/>
      <c r="S211" s="2223"/>
      <c r="T211" s="2223"/>
      <c r="U211" s="2223"/>
      <c r="V211" s="2267"/>
      <c r="W211" s="2267"/>
      <c r="X211" s="2267"/>
    </row>
    <row r="212" spans="1:24" s="2244" customFormat="1" ht="15.75" customHeight="1">
      <c r="A212" s="2238"/>
      <c r="B212" s="2210"/>
      <c r="C212" s="2204">
        <f>C209</f>
        <v>1</v>
      </c>
      <c r="D212" s="2204"/>
      <c r="E212" s="2204"/>
      <c r="F212" s="2204">
        <v>4</v>
      </c>
      <c r="G212" s="2204">
        <v>2</v>
      </c>
      <c r="H212" s="2204"/>
      <c r="I212" s="2204">
        <v>0.1</v>
      </c>
      <c r="J212" s="2204"/>
      <c r="K212" s="2204"/>
      <c r="L212" s="2204">
        <f>L196</f>
        <v>0.61650000000000005</v>
      </c>
      <c r="M212" s="2204">
        <f>M209</f>
        <v>4</v>
      </c>
      <c r="N212" s="2268">
        <f>(C212+I212)*F212*L212*M212*G212</f>
        <v>21.700800000000005</v>
      </c>
      <c r="O212" s="2205"/>
      <c r="P212" s="2234"/>
      <c r="Q212" s="2223"/>
      <c r="R212" s="2266"/>
      <c r="S212" s="2223"/>
      <c r="T212" s="2223"/>
      <c r="U212" s="2223"/>
      <c r="V212" s="2267"/>
      <c r="W212" s="2267"/>
      <c r="X212" s="2267"/>
    </row>
    <row r="213" spans="1:24" s="2244" customFormat="1" ht="15.75" customHeight="1">
      <c r="A213" s="2238"/>
      <c r="B213" s="2235"/>
      <c r="C213" s="2204"/>
      <c r="D213" s="2204"/>
      <c r="E213" s="2204"/>
      <c r="F213" s="2204"/>
      <c r="G213" s="2204"/>
      <c r="H213" s="2204"/>
      <c r="I213" s="2204"/>
      <c r="J213" s="2204"/>
      <c r="K213" s="2204"/>
      <c r="L213" s="2204"/>
      <c r="M213" s="2204"/>
      <c r="N213" s="2203">
        <f>SUM(N212:N212)</f>
        <v>21.700800000000005</v>
      </c>
      <c r="O213" s="2205" t="s">
        <v>100</v>
      </c>
      <c r="P213" s="2234">
        <f>ROUND((N213),2)</f>
        <v>21.7</v>
      </c>
      <c r="Q213" s="2223"/>
      <c r="R213" s="2266"/>
      <c r="S213" s="2223"/>
      <c r="T213" s="2223"/>
      <c r="U213" s="2223"/>
      <c r="V213" s="2267"/>
      <c r="W213" s="2267"/>
      <c r="X213" s="2267"/>
    </row>
    <row r="214" spans="1:24" s="2244" customFormat="1" ht="15.75" customHeight="1">
      <c r="A214" s="2238" t="s">
        <v>101</v>
      </c>
      <c r="B214" s="2235" t="s">
        <v>525</v>
      </c>
      <c r="C214" s="2204"/>
      <c r="D214" s="2204"/>
      <c r="E214" s="2204"/>
      <c r="F214" s="2204"/>
      <c r="G214" s="2204"/>
      <c r="H214" s="2204"/>
      <c r="I214" s="2204"/>
      <c r="J214" s="2204"/>
      <c r="K214" s="2204"/>
      <c r="L214" s="2204"/>
      <c r="M214" s="2204"/>
      <c r="N214" s="2204"/>
      <c r="O214" s="2205"/>
      <c r="P214" s="2234"/>
      <c r="Q214" s="2223"/>
      <c r="R214" s="2266"/>
      <c r="S214" s="2223"/>
      <c r="T214" s="2223"/>
      <c r="U214" s="2223"/>
      <c r="V214" s="2267"/>
      <c r="W214" s="2267"/>
      <c r="X214" s="2267"/>
    </row>
    <row r="215" spans="1:24" s="2244" customFormat="1" ht="15.75" customHeight="1">
      <c r="A215" s="2238"/>
      <c r="B215" s="2210"/>
      <c r="C215" s="2204">
        <f>(0.09+0.14)*2</f>
        <v>0.46</v>
      </c>
      <c r="D215" s="2204"/>
      <c r="E215" s="2204"/>
      <c r="F215" s="2204">
        <f>ROUNDDOWN((C212/0.125),0.1)</f>
        <v>8</v>
      </c>
      <c r="G215" s="2204">
        <v>2</v>
      </c>
      <c r="H215" s="2204"/>
      <c r="I215" s="2204">
        <v>0.1</v>
      </c>
      <c r="J215" s="2204"/>
      <c r="K215" s="2204"/>
      <c r="L215" s="2204">
        <f>L200</f>
        <v>0.39456000000000002</v>
      </c>
      <c r="M215" s="2204">
        <f>M212</f>
        <v>4</v>
      </c>
      <c r="N215" s="2268">
        <f>(C215+I215)*F215*L215*M215*G215</f>
        <v>14.141030400000002</v>
      </c>
      <c r="O215" s="2205"/>
      <c r="P215" s="2234"/>
      <c r="Q215" s="2223"/>
      <c r="R215" s="2266"/>
      <c r="S215" s="2223"/>
      <c r="T215" s="2223"/>
      <c r="U215" s="2223"/>
      <c r="V215" s="2267"/>
      <c r="W215" s="2267"/>
      <c r="X215" s="2267"/>
    </row>
    <row r="216" spans="1:24" s="2244" customFormat="1" ht="15.75" customHeight="1">
      <c r="A216" s="2238"/>
      <c r="B216" s="2235"/>
      <c r="C216" s="2204"/>
      <c r="D216" s="2204"/>
      <c r="E216" s="2204"/>
      <c r="F216" s="2204"/>
      <c r="G216" s="2204"/>
      <c r="H216" s="2204"/>
      <c r="I216" s="2204"/>
      <c r="J216" s="2204"/>
      <c r="K216" s="2204"/>
      <c r="L216" s="2204"/>
      <c r="M216" s="2204"/>
      <c r="N216" s="2203">
        <f>SUM(N215:N215)</f>
        <v>14.141030400000002</v>
      </c>
      <c r="O216" s="2205" t="s">
        <v>100</v>
      </c>
      <c r="P216" s="2234">
        <f>ROUND((N216),2)</f>
        <v>14.14</v>
      </c>
      <c r="Q216" s="2223"/>
      <c r="R216" s="2266"/>
      <c r="S216" s="2223"/>
      <c r="T216" s="2223"/>
      <c r="U216" s="2223"/>
      <c r="V216" s="2267"/>
      <c r="W216" s="2267"/>
      <c r="X216" s="2267"/>
    </row>
    <row r="217" spans="1:24" s="2244" customFormat="1" ht="15.75" customHeight="1">
      <c r="A217" s="2238" t="s">
        <v>121</v>
      </c>
      <c r="B217" s="2235" t="s">
        <v>1043</v>
      </c>
      <c r="C217" s="2204"/>
      <c r="D217" s="2204"/>
      <c r="E217" s="2204"/>
      <c r="F217" s="2204"/>
      <c r="G217" s="2204"/>
      <c r="H217" s="2204"/>
      <c r="I217" s="2204"/>
      <c r="J217" s="2204"/>
      <c r="K217" s="2204"/>
      <c r="L217" s="2204"/>
      <c r="M217" s="2204"/>
      <c r="N217" s="2204"/>
      <c r="O217" s="2205"/>
      <c r="P217" s="2234"/>
      <c r="Q217" s="2223"/>
      <c r="R217" s="2266"/>
      <c r="S217" s="2223"/>
      <c r="T217" s="2223"/>
      <c r="U217" s="2223"/>
      <c r="V217" s="2267"/>
      <c r="W217" s="2267"/>
      <c r="X217" s="2267"/>
    </row>
    <row r="218" spans="1:24" s="2244" customFormat="1" ht="15.75" customHeight="1">
      <c r="A218" s="2238"/>
      <c r="B218" s="2210"/>
      <c r="C218" s="2204">
        <f>C212</f>
        <v>1</v>
      </c>
      <c r="D218" s="2204">
        <f>D204</f>
        <v>0.15</v>
      </c>
      <c r="E218" s="2204">
        <f>E209</f>
        <v>0.2</v>
      </c>
      <c r="F218" s="2204">
        <v>2</v>
      </c>
      <c r="G218" s="2204"/>
      <c r="H218" s="2204"/>
      <c r="I218" s="2204"/>
      <c r="J218" s="2204"/>
      <c r="K218" s="2204"/>
      <c r="L218" s="2204"/>
      <c r="M218" s="2204">
        <f>M215*F218</f>
        <v>8</v>
      </c>
      <c r="N218" s="2268">
        <f>C218*D218*E218*M218</f>
        <v>0.24</v>
      </c>
      <c r="O218" s="2205"/>
      <c r="P218" s="2234"/>
      <c r="Q218" s="2223"/>
      <c r="R218" s="2266"/>
      <c r="S218" s="2223"/>
      <c r="T218" s="2223"/>
      <c r="U218" s="2223"/>
      <c r="V218" s="2267"/>
      <c r="W218" s="2267"/>
      <c r="X218" s="2267"/>
    </row>
    <row r="219" spans="1:24" s="2244" customFormat="1" ht="15.75" customHeight="1">
      <c r="A219" s="2238"/>
      <c r="B219" s="2235"/>
      <c r="C219" s="2204"/>
      <c r="D219" s="2204"/>
      <c r="E219" s="2204"/>
      <c r="F219" s="2204"/>
      <c r="G219" s="2204"/>
      <c r="H219" s="2204"/>
      <c r="I219" s="2204"/>
      <c r="J219" s="2204"/>
      <c r="K219" s="2204"/>
      <c r="L219" s="2204"/>
      <c r="M219" s="2204"/>
      <c r="N219" s="2203">
        <f>SUM(N218:N218)</f>
        <v>0.24</v>
      </c>
      <c r="O219" s="2205" t="s">
        <v>103</v>
      </c>
      <c r="P219" s="2234">
        <f>ROUND((N219),2)</f>
        <v>0.24</v>
      </c>
      <c r="Q219" s="2223"/>
      <c r="R219" s="2266"/>
      <c r="S219" s="2223"/>
      <c r="T219" s="2223"/>
      <c r="U219" s="2223"/>
      <c r="V219" s="2267"/>
      <c r="W219" s="2267"/>
      <c r="X219" s="2267"/>
    </row>
    <row r="220" spans="1:24" s="2274" customFormat="1" ht="15.75" customHeight="1">
      <c r="A220" s="2269">
        <f>A187+1</f>
        <v>16</v>
      </c>
      <c r="B220" s="2270" t="s">
        <v>837</v>
      </c>
      <c r="C220" s="1048"/>
      <c r="D220" s="1048"/>
      <c r="E220" s="1048"/>
      <c r="F220" s="1048"/>
      <c r="G220" s="1048"/>
      <c r="H220" s="1048"/>
      <c r="I220" s="1048"/>
      <c r="J220" s="1048"/>
      <c r="K220" s="1048"/>
      <c r="L220" s="1048"/>
      <c r="M220" s="1048"/>
      <c r="N220" s="2271"/>
      <c r="O220" s="2205"/>
      <c r="P220" s="2234"/>
      <c r="Q220" s="2272"/>
      <c r="R220" s="2272"/>
      <c r="S220" s="2272"/>
      <c r="T220" s="2272"/>
      <c r="U220" s="2273"/>
      <c r="V220" s="2273"/>
      <c r="W220" s="2273"/>
    </row>
    <row r="221" spans="1:24" s="2274" customFormat="1" ht="15.75" customHeight="1">
      <c r="A221" s="2275" t="s">
        <v>95</v>
      </c>
      <c r="B221" s="339" t="s">
        <v>1634</v>
      </c>
      <c r="C221" s="1048">
        <v>5.35</v>
      </c>
      <c r="D221" s="1048">
        <v>3</v>
      </c>
      <c r="E221" s="1048">
        <v>0.25</v>
      </c>
      <c r="F221" s="1048"/>
      <c r="G221" s="1048"/>
      <c r="H221" s="1048"/>
      <c r="I221" s="1048"/>
      <c r="J221" s="1048"/>
      <c r="K221" s="1048"/>
      <c r="L221" s="1048"/>
      <c r="M221" s="1048"/>
      <c r="N221" s="1048">
        <f>C221*D221*E221</f>
        <v>4.0124999999999993</v>
      </c>
      <c r="O221" s="2205" t="s">
        <v>103</v>
      </c>
      <c r="P221" s="2234">
        <f t="shared" ref="P221:P228" si="7">ROUND((N221),2)</f>
        <v>4.01</v>
      </c>
      <c r="Q221" s="2272"/>
      <c r="R221" s="2272" t="s">
        <v>837</v>
      </c>
      <c r="S221" s="2272"/>
      <c r="T221" s="2272"/>
      <c r="U221" s="2273"/>
      <c r="V221" s="2273"/>
      <c r="W221" s="2273"/>
    </row>
    <row r="222" spans="1:24" s="2274" customFormat="1" ht="15.75" customHeight="1">
      <c r="A222" s="2275"/>
      <c r="B222" s="339" t="s">
        <v>1642</v>
      </c>
      <c r="C222" s="1048"/>
      <c r="D222" s="1048"/>
      <c r="E222" s="1048"/>
      <c r="F222" s="1048"/>
      <c r="G222" s="1048"/>
      <c r="H222" s="1048"/>
      <c r="I222" s="1048"/>
      <c r="J222" s="1048"/>
      <c r="K222" s="1048"/>
      <c r="L222" s="1048"/>
      <c r="M222" s="1048"/>
      <c r="N222" s="1048">
        <f>N221</f>
        <v>4.0124999999999993</v>
      </c>
      <c r="O222" s="2205" t="s">
        <v>103</v>
      </c>
      <c r="P222" s="2234">
        <f t="shared" si="7"/>
        <v>4.01</v>
      </c>
      <c r="Q222" s="2272"/>
      <c r="R222" s="2272" t="s">
        <v>413</v>
      </c>
      <c r="S222" s="2272"/>
      <c r="T222" s="2272"/>
      <c r="U222" s="2273"/>
      <c r="V222" s="2273"/>
      <c r="W222" s="2273"/>
    </row>
    <row r="223" spans="1:24" s="2274" customFormat="1" ht="15.75" customHeight="1">
      <c r="A223" s="2275" t="s">
        <v>98</v>
      </c>
      <c r="B223" s="339" t="s">
        <v>966</v>
      </c>
      <c r="C223" s="1048">
        <f>C221</f>
        <v>5.35</v>
      </c>
      <c r="D223" s="1048">
        <f>D221</f>
        <v>3</v>
      </c>
      <c r="E223" s="1048">
        <v>0.15</v>
      </c>
      <c r="F223" s="1048"/>
      <c r="G223" s="1048"/>
      <c r="H223" s="1048"/>
      <c r="I223" s="1048"/>
      <c r="J223" s="1048"/>
      <c r="K223" s="1048"/>
      <c r="L223" s="1048"/>
      <c r="M223" s="1048"/>
      <c r="N223" s="1048">
        <f>C223*D223*E223</f>
        <v>2.4074999999999993</v>
      </c>
      <c r="O223" s="2205" t="s">
        <v>103</v>
      </c>
      <c r="P223" s="2234">
        <f t="shared" si="7"/>
        <v>2.41</v>
      </c>
      <c r="Q223" s="2272"/>
      <c r="R223" s="2272" t="s">
        <v>414</v>
      </c>
      <c r="S223" s="2272"/>
      <c r="T223" s="2272"/>
      <c r="U223" s="2273"/>
      <c r="V223" s="2273"/>
      <c r="W223" s="2273"/>
    </row>
    <row r="224" spans="1:24" s="2274" customFormat="1" ht="15.75" customHeight="1">
      <c r="A224" s="2275" t="s">
        <v>101</v>
      </c>
      <c r="B224" s="339" t="s">
        <v>496</v>
      </c>
      <c r="C224" s="1048">
        <f>C223</f>
        <v>5.35</v>
      </c>
      <c r="D224" s="1048">
        <f>D223</f>
        <v>3</v>
      </c>
      <c r="E224" s="1048">
        <v>0.05</v>
      </c>
      <c r="F224" s="1048"/>
      <c r="G224" s="1048"/>
      <c r="H224" s="1048"/>
      <c r="I224" s="1048"/>
      <c r="J224" s="1048"/>
      <c r="K224" s="1048"/>
      <c r="L224" s="1048"/>
      <c r="M224" s="1048"/>
      <c r="N224" s="1048">
        <f>C224*D224*E224</f>
        <v>0.80249999999999988</v>
      </c>
      <c r="O224" s="2205" t="s">
        <v>103</v>
      </c>
      <c r="P224" s="2234">
        <f t="shared" si="7"/>
        <v>0.8</v>
      </c>
      <c r="Q224" s="2272"/>
      <c r="R224" s="2272" t="s">
        <v>415</v>
      </c>
      <c r="S224" s="2272"/>
      <c r="T224" s="2272"/>
      <c r="U224" s="2273"/>
      <c r="V224" s="2273"/>
      <c r="W224" s="2273"/>
    </row>
    <row r="225" spans="1:24" s="2274" customFormat="1" ht="15.75" customHeight="1">
      <c r="A225" s="2275" t="s">
        <v>121</v>
      </c>
      <c r="B225" s="2270" t="s">
        <v>838</v>
      </c>
      <c r="C225" s="1048">
        <f>D224</f>
        <v>3</v>
      </c>
      <c r="D225" s="1048"/>
      <c r="E225" s="1048">
        <f>0.3/2</f>
        <v>0.15</v>
      </c>
      <c r="F225" s="1048">
        <v>2</v>
      </c>
      <c r="G225" s="1048"/>
      <c r="H225" s="1048"/>
      <c r="I225" s="1048"/>
      <c r="J225" s="1048"/>
      <c r="K225" s="1048"/>
      <c r="L225" s="1048"/>
      <c r="M225" s="1048"/>
      <c r="N225" s="2276">
        <f>C225*E225*F225</f>
        <v>0.89999999999999991</v>
      </c>
      <c r="O225" s="2205" t="s">
        <v>89</v>
      </c>
      <c r="P225" s="2234">
        <f t="shared" si="7"/>
        <v>0.9</v>
      </c>
      <c r="Q225" s="2272"/>
      <c r="R225" s="2272" t="s">
        <v>496</v>
      </c>
      <c r="S225" s="2272"/>
      <c r="T225" s="2272"/>
      <c r="U225" s="2273"/>
      <c r="V225" s="2273"/>
      <c r="W225" s="2273"/>
    </row>
    <row r="226" spans="1:24" s="2274" customFormat="1" ht="15.75" customHeight="1">
      <c r="A226" s="2275" t="s">
        <v>142</v>
      </c>
      <c r="B226" s="339" t="s">
        <v>1635</v>
      </c>
      <c r="C226" s="1048">
        <f>C224</f>
        <v>5.35</v>
      </c>
      <c r="D226" s="1048">
        <f>D224</f>
        <v>3</v>
      </c>
      <c r="E226" s="1048"/>
      <c r="F226" s="1048"/>
      <c r="G226" s="1048"/>
      <c r="H226" s="1048"/>
      <c r="I226" s="1048"/>
      <c r="J226" s="1048"/>
      <c r="K226" s="1048"/>
      <c r="L226" s="1048"/>
      <c r="M226" s="1048"/>
      <c r="N226" s="2276">
        <f>C226*D226</f>
        <v>16.049999999999997</v>
      </c>
      <c r="O226" s="2205" t="s">
        <v>89</v>
      </c>
      <c r="P226" s="2234">
        <f t="shared" si="7"/>
        <v>16.05</v>
      </c>
      <c r="Q226" s="2272"/>
      <c r="R226" s="2272" t="s">
        <v>838</v>
      </c>
      <c r="S226" s="2272"/>
      <c r="T226" s="2272"/>
      <c r="U226" s="2273"/>
      <c r="V226" s="2273"/>
      <c r="W226" s="2273"/>
    </row>
    <row r="227" spans="1:24" s="2274" customFormat="1" ht="15.75" customHeight="1">
      <c r="A227" s="2275" t="s">
        <v>217</v>
      </c>
      <c r="B227" s="2270" t="s">
        <v>420</v>
      </c>
      <c r="C227" s="1048">
        <f>C226</f>
        <v>5.35</v>
      </c>
      <c r="D227" s="1048">
        <f>D226</f>
        <v>3</v>
      </c>
      <c r="E227" s="1048">
        <v>0.1</v>
      </c>
      <c r="F227" s="1048"/>
      <c r="G227" s="1048"/>
      <c r="H227" s="1048"/>
      <c r="I227" s="1048"/>
      <c r="J227" s="1048"/>
      <c r="K227" s="1048"/>
      <c r="L227" s="1048"/>
      <c r="M227" s="1048"/>
      <c r="N227" s="2276">
        <f>C227*D227*E227</f>
        <v>1.6049999999999998</v>
      </c>
      <c r="O227" s="2205" t="s">
        <v>103</v>
      </c>
      <c r="P227" s="2234">
        <f t="shared" si="7"/>
        <v>1.61</v>
      </c>
      <c r="Q227" s="2272"/>
      <c r="R227" s="2272" t="s">
        <v>839</v>
      </c>
      <c r="S227" s="2272"/>
      <c r="T227" s="2272"/>
      <c r="U227" s="2273"/>
      <c r="V227" s="2273"/>
      <c r="W227" s="2273"/>
    </row>
    <row r="228" spans="1:24" s="2274" customFormat="1" ht="15.75" customHeight="1">
      <c r="A228" s="2275" t="s">
        <v>366</v>
      </c>
      <c r="B228" s="339" t="s">
        <v>194</v>
      </c>
      <c r="C228" s="1048"/>
      <c r="D228" s="1048"/>
      <c r="E228" s="1048"/>
      <c r="F228" s="1048"/>
      <c r="G228" s="1048"/>
      <c r="H228" s="1048"/>
      <c r="I228" s="1048"/>
      <c r="J228" s="1048"/>
      <c r="K228" s="1048"/>
      <c r="L228" s="1048"/>
      <c r="M228" s="1048"/>
      <c r="N228" s="2277">
        <f>SUM(N229:N230)</f>
        <v>16.949999999999996</v>
      </c>
      <c r="O228" s="2264" t="s">
        <v>89</v>
      </c>
      <c r="P228" s="2234">
        <f t="shared" si="7"/>
        <v>16.95</v>
      </c>
      <c r="Q228" s="2272"/>
      <c r="R228" s="2272" t="s">
        <v>420</v>
      </c>
      <c r="S228" s="2272"/>
      <c r="T228" s="2272"/>
      <c r="U228" s="2273"/>
      <c r="V228" s="2273"/>
      <c r="W228" s="2273"/>
    </row>
    <row r="229" spans="1:24" ht="15.75" customHeight="1">
      <c r="A229" s="2238"/>
      <c r="B229" s="2278" t="s">
        <v>1092</v>
      </c>
      <c r="C229" s="1048">
        <f>C225</f>
        <v>3</v>
      </c>
      <c r="D229" s="1048"/>
      <c r="E229" s="1048">
        <f>E225</f>
        <v>0.15</v>
      </c>
      <c r="F229" s="1048">
        <f>F225</f>
        <v>2</v>
      </c>
      <c r="G229" s="513"/>
      <c r="H229" s="513"/>
      <c r="I229" s="513"/>
      <c r="J229" s="513"/>
      <c r="K229" s="513"/>
      <c r="L229" s="513"/>
      <c r="M229" s="513"/>
      <c r="N229" s="2276">
        <f>F229*E229*C229</f>
        <v>0.89999999999999991</v>
      </c>
      <c r="O229" s="2205"/>
      <c r="P229" s="2234"/>
      <c r="Q229" s="2223"/>
      <c r="R229" s="2272" t="s">
        <v>193</v>
      </c>
      <c r="S229" s="2223"/>
      <c r="T229" s="2223"/>
      <c r="U229" s="2223"/>
      <c r="V229" s="2224"/>
      <c r="W229" s="2224"/>
      <c r="X229" s="2224"/>
    </row>
    <row r="230" spans="1:24" ht="15.75" customHeight="1">
      <c r="A230" s="2238"/>
      <c r="B230" s="2278" t="s">
        <v>1089</v>
      </c>
      <c r="C230" s="1048">
        <f>C227</f>
        <v>5.35</v>
      </c>
      <c r="D230" s="1048">
        <f>D227</f>
        <v>3</v>
      </c>
      <c r="E230" s="1048"/>
      <c r="F230" s="1048"/>
      <c r="G230" s="513"/>
      <c r="H230" s="513"/>
      <c r="I230" s="513"/>
      <c r="J230" s="513"/>
      <c r="K230" s="513"/>
      <c r="L230" s="513"/>
      <c r="M230" s="513"/>
      <c r="N230" s="2276">
        <f>C230*D230</f>
        <v>16.049999999999997</v>
      </c>
      <c r="O230" s="2205"/>
      <c r="P230" s="2234"/>
      <c r="Q230" s="2223"/>
      <c r="R230" s="2272" t="s">
        <v>194</v>
      </c>
      <c r="S230" s="2223"/>
      <c r="T230" s="2223"/>
      <c r="U230" s="2223"/>
      <c r="V230" s="2224"/>
      <c r="W230" s="2224"/>
      <c r="X230" s="2224"/>
    </row>
    <row r="231" spans="1:24" ht="15.75" customHeight="1">
      <c r="A231" s="2231" t="s">
        <v>1168</v>
      </c>
      <c r="B231" s="2279" t="s">
        <v>434</v>
      </c>
      <c r="C231" s="513"/>
      <c r="D231" s="513"/>
      <c r="E231" s="513"/>
      <c r="F231" s="513"/>
      <c r="G231" s="513"/>
      <c r="H231" s="513"/>
      <c r="I231" s="513"/>
      <c r="J231" s="513"/>
      <c r="K231" s="513"/>
      <c r="L231" s="513"/>
      <c r="M231" s="513"/>
      <c r="N231" s="2271"/>
      <c r="O231" s="2205"/>
      <c r="P231" s="2234"/>
      <c r="Q231" s="2223"/>
      <c r="R231" s="529"/>
      <c r="S231" s="2223"/>
      <c r="T231" s="2223"/>
      <c r="U231" s="2223"/>
      <c r="V231" s="2224"/>
      <c r="W231" s="2224"/>
      <c r="X231" s="2224"/>
    </row>
    <row r="232" spans="1:24" ht="15.75" customHeight="1">
      <c r="A232" s="353">
        <v>1</v>
      </c>
      <c r="B232" s="2280" t="s">
        <v>536</v>
      </c>
      <c r="C232" s="513"/>
      <c r="D232" s="513"/>
      <c r="E232" s="513"/>
      <c r="F232" s="513"/>
      <c r="G232" s="513"/>
      <c r="H232" s="513"/>
      <c r="I232" s="513"/>
      <c r="J232" s="513"/>
      <c r="K232" s="513"/>
      <c r="L232" s="513"/>
      <c r="M232" s="513"/>
      <c r="N232" s="513"/>
      <c r="O232" s="2205"/>
      <c r="P232" s="2234"/>
      <c r="Q232" s="2223"/>
      <c r="R232" s="529"/>
      <c r="S232" s="2223"/>
      <c r="T232" s="2223"/>
      <c r="U232" s="2223"/>
      <c r="V232" s="2224"/>
      <c r="W232" s="2224"/>
      <c r="X232" s="2224"/>
    </row>
    <row r="233" spans="1:24" ht="15.75" customHeight="1">
      <c r="A233" s="353"/>
      <c r="B233" s="2252" t="s">
        <v>1586</v>
      </c>
      <c r="C233" s="513">
        <v>4</v>
      </c>
      <c r="D233" s="513"/>
      <c r="E233" s="513">
        <v>0.28999999999999998</v>
      </c>
      <c r="F233" s="513"/>
      <c r="G233" s="513"/>
      <c r="H233" s="513">
        <v>2</v>
      </c>
      <c r="I233" s="513"/>
      <c r="J233" s="513"/>
      <c r="K233" s="513"/>
      <c r="L233" s="513"/>
      <c r="M233" s="513"/>
      <c r="N233" s="513">
        <f>C233*E233*H233*0</f>
        <v>0</v>
      </c>
      <c r="O233" s="2205"/>
      <c r="P233" s="2234"/>
      <c r="Q233" s="2223"/>
      <c r="R233" s="529"/>
      <c r="S233" s="2223"/>
      <c r="T233" s="2223"/>
      <c r="U233" s="2223"/>
      <c r="V233" s="2224"/>
      <c r="W233" s="2224"/>
      <c r="X233" s="2224"/>
    </row>
    <row r="234" spans="1:24" ht="15.75" customHeight="1">
      <c r="A234" s="353"/>
      <c r="B234" s="2252" t="s">
        <v>1539</v>
      </c>
      <c r="C234" s="513"/>
      <c r="D234" s="513">
        <v>2.9740000000000002</v>
      </c>
      <c r="E234" s="513">
        <v>0.85299999999999998</v>
      </c>
      <c r="F234" s="513"/>
      <c r="G234" s="513"/>
      <c r="H234" s="513"/>
      <c r="I234" s="513"/>
      <c r="J234" s="513"/>
      <c r="K234" s="513"/>
      <c r="L234" s="513"/>
      <c r="M234" s="513"/>
      <c r="N234" s="513">
        <f>D234*E234*0</f>
        <v>0</v>
      </c>
      <c r="O234" s="2205"/>
      <c r="P234" s="2234"/>
      <c r="Q234" s="2223"/>
      <c r="R234" s="529"/>
      <c r="S234" s="2223"/>
      <c r="T234" s="2223"/>
      <c r="U234" s="2223"/>
      <c r="V234" s="2224"/>
      <c r="W234" s="2224"/>
      <c r="X234" s="2224"/>
    </row>
    <row r="235" spans="1:24" ht="15.75" customHeight="1">
      <c r="A235" s="353"/>
      <c r="B235" s="2210"/>
      <c r="C235" s="513"/>
      <c r="D235" s="513">
        <v>1.7829999999999999</v>
      </c>
      <c r="E235" s="513">
        <f>E234</f>
        <v>0.85299999999999998</v>
      </c>
      <c r="F235" s="513"/>
      <c r="G235" s="513"/>
      <c r="H235" s="513"/>
      <c r="I235" s="513"/>
      <c r="J235" s="513"/>
      <c r="K235" s="513"/>
      <c r="L235" s="513"/>
      <c r="M235" s="513"/>
      <c r="N235" s="513">
        <f>D235*E235*0</f>
        <v>0</v>
      </c>
      <c r="O235" s="2205"/>
      <c r="P235" s="2234"/>
      <c r="Q235" s="2223"/>
      <c r="R235" s="529"/>
      <c r="S235" s="2223"/>
      <c r="T235" s="2223"/>
      <c r="U235" s="2223"/>
      <c r="V235" s="2224"/>
      <c r="W235" s="2224"/>
      <c r="X235" s="2224"/>
    </row>
    <row r="236" spans="1:24" ht="15.75" customHeight="1">
      <c r="A236" s="353"/>
      <c r="B236" s="2210"/>
      <c r="C236" s="513"/>
      <c r="D236" s="513">
        <f>D234/2</f>
        <v>1.4870000000000001</v>
      </c>
      <c r="E236" s="513">
        <v>1.196</v>
      </c>
      <c r="F236" s="513"/>
      <c r="G236" s="513"/>
      <c r="H236" s="513"/>
      <c r="I236" s="513"/>
      <c r="J236" s="513"/>
      <c r="K236" s="513"/>
      <c r="L236" s="513"/>
      <c r="M236" s="513"/>
      <c r="N236" s="513">
        <f>D236*E236*0</f>
        <v>0</v>
      </c>
      <c r="O236" s="2205"/>
      <c r="P236" s="2234"/>
      <c r="Q236" s="2223"/>
      <c r="R236" s="529"/>
      <c r="S236" s="2223"/>
      <c r="T236" s="2223"/>
      <c r="U236" s="2223"/>
      <c r="V236" s="2224"/>
      <c r="W236" s="2224"/>
      <c r="X236" s="2224"/>
    </row>
    <row r="237" spans="1:24" ht="15.75" customHeight="1">
      <c r="A237" s="353"/>
      <c r="B237" s="2210" t="s">
        <v>1643</v>
      </c>
      <c r="C237" s="513">
        <v>6</v>
      </c>
      <c r="D237" s="513"/>
      <c r="E237" s="513">
        <f>E142</f>
        <v>3.88</v>
      </c>
      <c r="F237" s="513"/>
      <c r="G237" s="513"/>
      <c r="H237" s="513">
        <v>2</v>
      </c>
      <c r="I237" s="513"/>
      <c r="J237" s="513"/>
      <c r="K237" s="513"/>
      <c r="L237" s="513"/>
      <c r="M237" s="513"/>
      <c r="N237" s="513">
        <f>C237*E237*H237</f>
        <v>46.56</v>
      </c>
      <c r="O237" s="2205"/>
      <c r="P237" s="2234"/>
      <c r="Q237" s="2223"/>
      <c r="R237" s="529"/>
      <c r="S237" s="2223"/>
      <c r="T237" s="2223"/>
      <c r="U237" s="2223"/>
      <c r="V237" s="2224"/>
      <c r="W237" s="2224"/>
      <c r="X237" s="2224"/>
    </row>
    <row r="238" spans="1:24" ht="15.75" customHeight="1">
      <c r="A238" s="353"/>
      <c r="B238" s="2210"/>
      <c r="C238" s="513">
        <v>3.5</v>
      </c>
      <c r="D238" s="513"/>
      <c r="E238" s="513">
        <f>E237</f>
        <v>3.88</v>
      </c>
      <c r="F238" s="513"/>
      <c r="G238" s="513"/>
      <c r="H238" s="513">
        <f>H237</f>
        <v>2</v>
      </c>
      <c r="I238" s="513"/>
      <c r="J238" s="513"/>
      <c r="K238" s="513"/>
      <c r="L238" s="513"/>
      <c r="M238" s="513"/>
      <c r="N238" s="513">
        <f>C238*E238*H238</f>
        <v>27.16</v>
      </c>
      <c r="O238" s="2205"/>
      <c r="P238" s="2234"/>
      <c r="Q238" s="2223"/>
      <c r="R238" s="529"/>
      <c r="S238" s="2223"/>
      <c r="T238" s="2223"/>
      <c r="U238" s="2223"/>
      <c r="V238" s="2224"/>
      <c r="W238" s="2224"/>
      <c r="X238" s="2224"/>
    </row>
    <row r="239" spans="1:24" ht="15.75" customHeight="1">
      <c r="A239" s="353"/>
      <c r="B239" s="2210" t="s">
        <v>1201</v>
      </c>
      <c r="C239" s="513"/>
      <c r="D239" s="513">
        <v>2</v>
      </c>
      <c r="E239" s="513">
        <v>2.5</v>
      </c>
      <c r="F239" s="513"/>
      <c r="G239" s="513"/>
      <c r="H239" s="513"/>
      <c r="I239" s="513"/>
      <c r="J239" s="513"/>
      <c r="K239" s="513"/>
      <c r="L239" s="513"/>
      <c r="M239" s="513"/>
      <c r="N239" s="513">
        <f>-D239*E239</f>
        <v>-5</v>
      </c>
      <c r="O239" s="2205"/>
      <c r="P239" s="2234"/>
      <c r="Q239" s="2223"/>
      <c r="R239" s="529"/>
      <c r="S239" s="2223"/>
      <c r="T239" s="2223"/>
      <c r="U239" s="2223"/>
      <c r="V239" s="2224"/>
      <c r="W239" s="2224"/>
      <c r="X239" s="2224"/>
    </row>
    <row r="240" spans="1:24" ht="15.75" customHeight="1">
      <c r="A240" s="353"/>
      <c r="B240" s="2210" t="s">
        <v>1644</v>
      </c>
      <c r="C240" s="513"/>
      <c r="D240" s="513">
        <v>0.2</v>
      </c>
      <c r="E240" s="513">
        <v>0.2</v>
      </c>
      <c r="F240" s="513"/>
      <c r="G240" s="513"/>
      <c r="H240" s="513">
        <f>11+(4*2)</f>
        <v>19</v>
      </c>
      <c r="I240" s="513"/>
      <c r="J240" s="513"/>
      <c r="K240" s="513"/>
      <c r="L240" s="513"/>
      <c r="M240" s="513"/>
      <c r="N240" s="521">
        <f>-D240*E240*H240</f>
        <v>-0.76000000000000012</v>
      </c>
      <c r="O240" s="2205"/>
      <c r="P240" s="2234"/>
      <c r="Q240" s="2223"/>
      <c r="R240" s="529"/>
      <c r="S240" s="2223"/>
      <c r="T240" s="2223"/>
      <c r="U240" s="2223"/>
      <c r="V240" s="2224"/>
      <c r="W240" s="2224"/>
      <c r="X240" s="2224"/>
    </row>
    <row r="241" spans="1:24" ht="15.75" customHeight="1">
      <c r="A241" s="353"/>
      <c r="B241" s="2210"/>
      <c r="C241" s="513"/>
      <c r="D241" s="513"/>
      <c r="E241" s="513"/>
      <c r="F241" s="513"/>
      <c r="G241" s="513"/>
      <c r="H241" s="513"/>
      <c r="I241" s="513"/>
      <c r="J241" s="513"/>
      <c r="K241" s="513"/>
      <c r="L241" s="513"/>
      <c r="M241" s="513"/>
      <c r="N241" s="527">
        <f>SUM(N233:N240)</f>
        <v>67.959999999999994</v>
      </c>
      <c r="O241" s="2264" t="s">
        <v>89</v>
      </c>
      <c r="P241" s="2234">
        <f>ROUND((N241),2)</f>
        <v>67.959999999999994</v>
      </c>
      <c r="Q241" s="2223"/>
      <c r="R241" s="529"/>
      <c r="S241" s="2223"/>
      <c r="T241" s="2223"/>
      <c r="U241" s="2223"/>
      <c r="V241" s="2224"/>
      <c r="W241" s="2224"/>
      <c r="X241" s="2224"/>
    </row>
    <row r="242" spans="1:24" ht="15.75" customHeight="1">
      <c r="A242" s="353">
        <f>A232+1</f>
        <v>2</v>
      </c>
      <c r="B242" s="2280" t="s">
        <v>193</v>
      </c>
      <c r="C242" s="513" t="s">
        <v>1625</v>
      </c>
      <c r="D242" s="513"/>
      <c r="E242" s="513"/>
      <c r="F242" s="513"/>
      <c r="G242" s="513"/>
      <c r="H242" s="513"/>
      <c r="I242" s="513"/>
      <c r="J242" s="513"/>
      <c r="K242" s="513"/>
      <c r="L242" s="513"/>
      <c r="M242" s="513"/>
      <c r="N242" s="513">
        <f>N241*2</f>
        <v>135.91999999999999</v>
      </c>
      <c r="O242" s="2205" t="s">
        <v>89</v>
      </c>
      <c r="P242" s="2234">
        <f>ROUND((N242),2)</f>
        <v>135.91999999999999</v>
      </c>
      <c r="Q242" s="2223"/>
      <c r="R242" s="529"/>
      <c r="S242" s="2223"/>
      <c r="T242" s="2223"/>
      <c r="U242" s="2223"/>
      <c r="V242" s="2224"/>
      <c r="W242" s="2224"/>
      <c r="X242" s="2224"/>
    </row>
    <row r="243" spans="1:24" ht="15.75" customHeight="1">
      <c r="A243" s="2323"/>
      <c r="B243" s="2335"/>
      <c r="C243" s="2327">
        <v>13.5</v>
      </c>
      <c r="D243" s="2327"/>
      <c r="E243" s="2327">
        <f>(0.7+1.5)/2+0.3</f>
        <v>1.4000000000000001</v>
      </c>
      <c r="F243" s="2327"/>
      <c r="G243" s="2327"/>
      <c r="H243" s="2327"/>
      <c r="I243" s="2327"/>
      <c r="J243" s="2327"/>
      <c r="K243" s="2327"/>
      <c r="L243" s="2327"/>
      <c r="M243" s="2327"/>
      <c r="N243" s="2327">
        <f>E243*C243</f>
        <v>18.900000000000002</v>
      </c>
      <c r="O243" s="2328"/>
      <c r="P243" s="2329"/>
      <c r="Q243" s="2223"/>
      <c r="R243" s="529"/>
      <c r="S243" s="2223"/>
      <c r="T243" s="2223"/>
      <c r="U243" s="2223"/>
      <c r="V243" s="2224"/>
      <c r="W243" s="2224"/>
      <c r="X243" s="2224"/>
    </row>
    <row r="244" spans="1:24" ht="15.75" customHeight="1">
      <c r="A244" s="2323"/>
      <c r="B244" s="2335"/>
      <c r="C244" s="2327">
        <v>12.5</v>
      </c>
      <c r="D244" s="2327"/>
      <c r="E244" s="2327">
        <f>(0.7+1.4)/2+0.3</f>
        <v>1.3499999999999999</v>
      </c>
      <c r="F244" s="2327"/>
      <c r="G244" s="2327"/>
      <c r="H244" s="2327"/>
      <c r="I244" s="2327"/>
      <c r="J244" s="2327"/>
      <c r="K244" s="2327"/>
      <c r="L244" s="2327"/>
      <c r="M244" s="2327"/>
      <c r="N244" s="2327">
        <f>E244*C244</f>
        <v>16.875</v>
      </c>
      <c r="O244" s="2328"/>
      <c r="P244" s="2329">
        <f>N244+N243</f>
        <v>35.775000000000006</v>
      </c>
      <c r="Q244" s="2223"/>
      <c r="R244" s="529"/>
      <c r="S244" s="2223"/>
      <c r="T244" s="2223"/>
      <c r="U244" s="2223"/>
      <c r="V244" s="2224"/>
      <c r="W244" s="2224"/>
      <c r="X244" s="2224"/>
    </row>
    <row r="245" spans="1:24" ht="15.75" customHeight="1">
      <c r="A245" s="353">
        <f>A242+1</f>
        <v>3</v>
      </c>
      <c r="B245" s="2280" t="s">
        <v>194</v>
      </c>
      <c r="C245" s="513" t="s">
        <v>1022</v>
      </c>
      <c r="D245" s="513"/>
      <c r="E245" s="513"/>
      <c r="F245" s="513"/>
      <c r="G245" s="513"/>
      <c r="H245" s="513"/>
      <c r="I245" s="513"/>
      <c r="J245" s="513"/>
      <c r="K245" s="513"/>
      <c r="L245" s="513"/>
      <c r="M245" s="513"/>
      <c r="N245" s="513">
        <f>N242</f>
        <v>135.91999999999999</v>
      </c>
      <c r="O245" s="2205" t="s">
        <v>89</v>
      </c>
      <c r="P245" s="2234">
        <f>ROUND((N245),2)</f>
        <v>135.91999999999999</v>
      </c>
      <c r="Q245" s="2223"/>
      <c r="R245" s="529"/>
      <c r="S245" s="2223"/>
      <c r="T245" s="2223"/>
      <c r="U245" s="2223"/>
      <c r="V245" s="2224"/>
      <c r="W245" s="2224"/>
      <c r="X245" s="2224"/>
    </row>
    <row r="246" spans="1:24" ht="15.75" customHeight="1">
      <c r="A246" s="353">
        <f>A245+1</f>
        <v>4</v>
      </c>
      <c r="B246" s="2280" t="s">
        <v>435</v>
      </c>
      <c r="C246" s="513"/>
      <c r="D246" s="513"/>
      <c r="E246" s="513"/>
      <c r="F246" s="513"/>
      <c r="G246" s="513"/>
      <c r="H246" s="513"/>
      <c r="I246" s="513"/>
      <c r="J246" s="513"/>
      <c r="K246" s="513"/>
      <c r="L246" s="513"/>
      <c r="M246" s="513"/>
      <c r="N246" s="513"/>
      <c r="O246" s="2205"/>
      <c r="P246" s="2234"/>
      <c r="Q246" s="2223"/>
      <c r="R246" s="529"/>
      <c r="S246" s="2223"/>
      <c r="T246" s="2223"/>
      <c r="U246" s="2223"/>
      <c r="V246" s="2224"/>
      <c r="W246" s="2224"/>
      <c r="X246" s="2224"/>
    </row>
    <row r="247" spans="1:24" ht="15.75" customHeight="1">
      <c r="A247" s="353"/>
      <c r="B247" s="2210" t="s">
        <v>1087</v>
      </c>
      <c r="C247" s="2204"/>
      <c r="D247" s="2204">
        <v>0.25</v>
      </c>
      <c r="E247" s="2204">
        <f>E134</f>
        <v>3.88</v>
      </c>
      <c r="F247" s="513"/>
      <c r="G247" s="513"/>
      <c r="H247" s="513">
        <v>4</v>
      </c>
      <c r="I247" s="513"/>
      <c r="J247" s="513"/>
      <c r="K247" s="513"/>
      <c r="L247" s="513"/>
      <c r="M247" s="513">
        <v>8</v>
      </c>
      <c r="N247" s="513">
        <f>D247*E247*H247*M247</f>
        <v>31.04</v>
      </c>
      <c r="O247" s="2205"/>
      <c r="P247" s="2234"/>
      <c r="Q247" s="2223"/>
      <c r="R247" s="529"/>
      <c r="S247" s="2223"/>
      <c r="T247" s="2223"/>
      <c r="U247" s="2223"/>
      <c r="V247" s="2224"/>
      <c r="W247" s="2224"/>
      <c r="X247" s="2224"/>
    </row>
    <row r="248" spans="1:24" ht="15.75" customHeight="1">
      <c r="A248" s="353"/>
      <c r="B248" s="2210" t="s">
        <v>1361</v>
      </c>
      <c r="C248" s="2204">
        <v>6</v>
      </c>
      <c r="D248" s="2204"/>
      <c r="E248" s="2204">
        <v>0.35</v>
      </c>
      <c r="F248" s="513"/>
      <c r="G248" s="513"/>
      <c r="H248" s="513">
        <v>2</v>
      </c>
      <c r="I248" s="513"/>
      <c r="J248" s="513"/>
      <c r="K248" s="513"/>
      <c r="L248" s="513"/>
      <c r="M248" s="513">
        <v>4</v>
      </c>
      <c r="N248" s="513">
        <f>C248*E248*H248*M248</f>
        <v>16.799999999999997</v>
      </c>
      <c r="O248" s="2205"/>
      <c r="P248" s="2234"/>
      <c r="Q248" s="2223"/>
      <c r="R248" s="529"/>
      <c r="S248" s="2223"/>
      <c r="T248" s="2223"/>
      <c r="U248" s="2223"/>
      <c r="V248" s="2224"/>
      <c r="W248" s="2224"/>
      <c r="X248" s="2224"/>
    </row>
    <row r="249" spans="1:24" ht="15.75" customHeight="1">
      <c r="A249" s="353"/>
      <c r="B249" s="2210"/>
      <c r="C249" s="2204">
        <f>C248</f>
        <v>6</v>
      </c>
      <c r="D249" s="2204">
        <v>0.2</v>
      </c>
      <c r="E249" s="2204"/>
      <c r="F249" s="513"/>
      <c r="G249" s="513"/>
      <c r="H249" s="513">
        <v>1</v>
      </c>
      <c r="I249" s="513"/>
      <c r="J249" s="513"/>
      <c r="K249" s="513"/>
      <c r="L249" s="513"/>
      <c r="M249" s="513">
        <f>M248</f>
        <v>4</v>
      </c>
      <c r="N249" s="513">
        <f>C249*D249*H249*M249</f>
        <v>4.8000000000000007</v>
      </c>
      <c r="O249" s="2205"/>
      <c r="P249" s="2234"/>
      <c r="Q249" s="2223"/>
      <c r="R249" s="529"/>
      <c r="S249" s="2223"/>
      <c r="T249" s="2223"/>
      <c r="U249" s="2223"/>
      <c r="V249" s="2224"/>
      <c r="W249" s="2224"/>
      <c r="X249" s="2224"/>
    </row>
    <row r="250" spans="1:24" ht="15.75" customHeight="1">
      <c r="A250" s="353"/>
      <c r="B250" s="2280"/>
      <c r="C250" s="2204">
        <v>12</v>
      </c>
      <c r="D250" s="2204"/>
      <c r="E250" s="2204">
        <f>E248</f>
        <v>0.35</v>
      </c>
      <c r="F250" s="513"/>
      <c r="G250" s="513"/>
      <c r="H250" s="513">
        <f>H248</f>
        <v>2</v>
      </c>
      <c r="I250" s="513"/>
      <c r="J250" s="513"/>
      <c r="K250" s="513"/>
      <c r="L250" s="513"/>
      <c r="M250" s="513">
        <v>2</v>
      </c>
      <c r="N250" s="513">
        <f>C250*E250*H250*M250</f>
        <v>16.799999999999997</v>
      </c>
      <c r="O250" s="2205"/>
      <c r="P250" s="2234"/>
      <c r="Q250" s="2223"/>
      <c r="R250" s="529"/>
      <c r="S250" s="2223"/>
      <c r="T250" s="2223"/>
      <c r="U250" s="2223"/>
      <c r="V250" s="2224"/>
      <c r="W250" s="2224"/>
      <c r="X250" s="2224"/>
    </row>
    <row r="251" spans="1:24" ht="15.75" customHeight="1">
      <c r="A251" s="353"/>
      <c r="B251" s="2280"/>
      <c r="C251" s="2204">
        <f>C250</f>
        <v>12</v>
      </c>
      <c r="D251" s="2204">
        <f>D249</f>
        <v>0.2</v>
      </c>
      <c r="E251" s="2204"/>
      <c r="F251" s="513"/>
      <c r="G251" s="513"/>
      <c r="H251" s="513">
        <f>H249</f>
        <v>1</v>
      </c>
      <c r="I251" s="513"/>
      <c r="J251" s="513"/>
      <c r="K251" s="513"/>
      <c r="L251" s="513"/>
      <c r="M251" s="513">
        <f>M250</f>
        <v>2</v>
      </c>
      <c r="N251" s="513">
        <f>C251*D251*H251*M251</f>
        <v>4.8000000000000007</v>
      </c>
      <c r="O251" s="2205"/>
      <c r="P251" s="2234"/>
      <c r="Q251" s="2223"/>
      <c r="R251" s="529"/>
      <c r="S251" s="2223"/>
      <c r="T251" s="2223"/>
      <c r="U251" s="2223"/>
      <c r="V251" s="2224"/>
      <c r="W251" s="2224"/>
      <c r="X251" s="2224"/>
    </row>
    <row r="252" spans="1:24" ht="15.75" customHeight="1">
      <c r="A252" s="353"/>
      <c r="B252" s="2280"/>
      <c r="C252" s="2204">
        <v>4</v>
      </c>
      <c r="D252" s="2204"/>
      <c r="E252" s="2204">
        <v>0.15</v>
      </c>
      <c r="F252" s="513"/>
      <c r="G252" s="513"/>
      <c r="H252" s="513">
        <v>3</v>
      </c>
      <c r="I252" s="513"/>
      <c r="J252" s="513"/>
      <c r="K252" s="513"/>
      <c r="L252" s="513"/>
      <c r="M252" s="513">
        <v>2</v>
      </c>
      <c r="N252" s="521">
        <f>C252*E252*H252*M252</f>
        <v>3.5999999999999996</v>
      </c>
      <c r="O252" s="2205"/>
      <c r="P252" s="2234"/>
      <c r="Q252" s="2223"/>
      <c r="R252" s="529"/>
      <c r="S252" s="2223"/>
      <c r="T252" s="2223"/>
      <c r="U252" s="2223"/>
      <c r="V252" s="2224"/>
      <c r="W252" s="2224"/>
      <c r="X252" s="2224"/>
    </row>
    <row r="253" spans="1:24" ht="15.75" customHeight="1">
      <c r="A253" s="353"/>
      <c r="B253" s="2280"/>
      <c r="C253" s="513"/>
      <c r="D253" s="513"/>
      <c r="E253" s="513"/>
      <c r="F253" s="513"/>
      <c r="G253" s="513"/>
      <c r="H253" s="513"/>
      <c r="I253" s="513"/>
      <c r="J253" s="513"/>
      <c r="K253" s="513"/>
      <c r="L253" s="513"/>
      <c r="M253" s="513"/>
      <c r="N253" s="2265">
        <f>SUM(N247:N252)</f>
        <v>77.839999999999989</v>
      </c>
      <c r="O253" s="2264" t="s">
        <v>89</v>
      </c>
      <c r="P253" s="2234">
        <f>ROUND((N253),2)</f>
        <v>77.84</v>
      </c>
      <c r="Q253" s="2223"/>
      <c r="R253" s="529"/>
      <c r="S253" s="2223"/>
      <c r="T253" s="2223"/>
      <c r="U253" s="2223"/>
      <c r="V253" s="2224"/>
      <c r="W253" s="2224"/>
      <c r="X253" s="2224"/>
    </row>
    <row r="254" spans="1:24" ht="15.75" customHeight="1">
      <c r="A254" s="353">
        <f>A246+1</f>
        <v>5</v>
      </c>
      <c r="B254" s="890" t="s">
        <v>436</v>
      </c>
      <c r="C254" s="513"/>
      <c r="D254" s="513"/>
      <c r="E254" s="513"/>
      <c r="F254" s="513"/>
      <c r="G254" s="513"/>
      <c r="H254" s="513"/>
      <c r="I254" s="513"/>
      <c r="J254" s="513"/>
      <c r="K254" s="513"/>
      <c r="L254" s="513"/>
      <c r="M254" s="513"/>
      <c r="N254" s="513"/>
      <c r="O254" s="2205"/>
      <c r="P254" s="2234"/>
      <c r="Q254" s="2223"/>
      <c r="R254" s="529"/>
      <c r="S254" s="2223"/>
      <c r="T254" s="2223"/>
      <c r="U254" s="2223"/>
      <c r="V254" s="2224"/>
      <c r="W254" s="2224"/>
      <c r="X254" s="2224"/>
    </row>
    <row r="255" spans="1:24" ht="15.75" customHeight="1">
      <c r="A255" s="353"/>
      <c r="B255" s="2210" t="s">
        <v>1539</v>
      </c>
      <c r="C255" s="513"/>
      <c r="D255" s="513">
        <v>2.9740000000000002</v>
      </c>
      <c r="E255" s="513">
        <v>0.85299999999999998</v>
      </c>
      <c r="F255" s="513"/>
      <c r="G255" s="513"/>
      <c r="H255" s="513"/>
      <c r="I255" s="513"/>
      <c r="J255" s="513"/>
      <c r="K255" s="513"/>
      <c r="L255" s="513"/>
      <c r="M255" s="513"/>
      <c r="N255" s="513">
        <f>D255*E255</f>
        <v>2.5368219999999999</v>
      </c>
      <c r="O255" s="2205"/>
      <c r="P255" s="2234"/>
      <c r="Q255" s="2223"/>
      <c r="R255" s="529"/>
      <c r="S255" s="2223"/>
      <c r="T255" s="2223"/>
      <c r="U255" s="2223"/>
      <c r="V255" s="2224"/>
      <c r="W255" s="2224"/>
      <c r="X255" s="2224"/>
    </row>
    <row r="256" spans="1:24" ht="15.75" customHeight="1">
      <c r="A256" s="353"/>
      <c r="B256" s="2210"/>
      <c r="C256" s="513"/>
      <c r="D256" s="513">
        <v>1.7829999999999999</v>
      </c>
      <c r="E256" s="513">
        <f>E255</f>
        <v>0.85299999999999998</v>
      </c>
      <c r="F256" s="513"/>
      <c r="G256" s="513"/>
      <c r="H256" s="513"/>
      <c r="I256" s="513"/>
      <c r="J256" s="513"/>
      <c r="K256" s="513"/>
      <c r="L256" s="513"/>
      <c r="M256" s="513"/>
      <c r="N256" s="513">
        <f>D256*E256</f>
        <v>1.520899</v>
      </c>
      <c r="O256" s="2205"/>
      <c r="P256" s="2234"/>
      <c r="Q256" s="2223"/>
      <c r="R256" s="529"/>
      <c r="S256" s="2223"/>
      <c r="T256" s="2223"/>
      <c r="U256" s="2223"/>
      <c r="V256" s="2224"/>
      <c r="W256" s="2224"/>
      <c r="X256" s="2224"/>
    </row>
    <row r="257" spans="1:24" ht="15.75" customHeight="1">
      <c r="A257" s="353"/>
      <c r="B257" s="2210"/>
      <c r="C257" s="513"/>
      <c r="D257" s="513">
        <f>D255/2</f>
        <v>1.4870000000000001</v>
      </c>
      <c r="E257" s="513">
        <v>1.196</v>
      </c>
      <c r="F257" s="513"/>
      <c r="G257" s="513"/>
      <c r="H257" s="513"/>
      <c r="I257" s="513"/>
      <c r="J257" s="513"/>
      <c r="K257" s="513"/>
      <c r="L257" s="513"/>
      <c r="M257" s="513"/>
      <c r="N257" s="521">
        <f>D257*E257</f>
        <v>1.7784520000000001</v>
      </c>
      <c r="O257" s="2205"/>
      <c r="P257" s="2234"/>
      <c r="Q257" s="2223"/>
      <c r="R257" s="529"/>
      <c r="S257" s="2223"/>
      <c r="T257" s="2223"/>
      <c r="U257" s="2223"/>
      <c r="V257" s="2224"/>
      <c r="W257" s="2224"/>
      <c r="X257" s="2224"/>
    </row>
    <row r="258" spans="1:24" ht="15.75" customHeight="1">
      <c r="A258" s="353"/>
      <c r="B258" s="680"/>
      <c r="C258" s="513"/>
      <c r="D258" s="513"/>
      <c r="E258" s="513"/>
      <c r="F258" s="513"/>
      <c r="G258" s="513"/>
      <c r="H258" s="513"/>
      <c r="I258" s="513"/>
      <c r="J258" s="513"/>
      <c r="K258" s="513"/>
      <c r="L258" s="513"/>
      <c r="M258" s="513"/>
      <c r="N258" s="514">
        <f>SUM(N255:N257)</f>
        <v>5.8361730000000005</v>
      </c>
      <c r="O258" s="2264" t="s">
        <v>89</v>
      </c>
      <c r="P258" s="2234">
        <f>ROUND((N258),2)</f>
        <v>5.84</v>
      </c>
      <c r="Q258" s="2223"/>
      <c r="R258" s="529"/>
      <c r="S258" s="2223"/>
      <c r="T258" s="2223"/>
      <c r="U258" s="2223"/>
      <c r="V258" s="2224"/>
      <c r="W258" s="2224"/>
      <c r="X258" s="2224"/>
    </row>
    <row r="259" spans="1:24" ht="15.75" customHeight="1">
      <c r="A259" s="353">
        <f>A254+1</f>
        <v>6</v>
      </c>
      <c r="B259" s="2281" t="s">
        <v>632</v>
      </c>
      <c r="C259" s="513"/>
      <c r="D259" s="513">
        <v>0.2</v>
      </c>
      <c r="E259" s="513">
        <v>0.2</v>
      </c>
      <c r="F259" s="513"/>
      <c r="G259" s="513"/>
      <c r="H259" s="513">
        <f>11+(4*2)</f>
        <v>19</v>
      </c>
      <c r="I259" s="513"/>
      <c r="J259" s="513"/>
      <c r="K259" s="513"/>
      <c r="L259" s="513"/>
      <c r="M259" s="513"/>
      <c r="N259" s="513">
        <f>D259*E259*H259</f>
        <v>0.76000000000000012</v>
      </c>
      <c r="O259" s="2205" t="s">
        <v>89</v>
      </c>
      <c r="P259" s="2234">
        <f>ROUND((N259),2)</f>
        <v>0.76</v>
      </c>
      <c r="Q259" s="2223"/>
      <c r="R259" s="529"/>
      <c r="S259" s="2223"/>
      <c r="T259" s="2223"/>
      <c r="U259" s="2223"/>
      <c r="V259" s="2224"/>
      <c r="W259" s="2224"/>
      <c r="X259" s="2224"/>
    </row>
    <row r="260" spans="1:24" s="2251" customFormat="1" ht="15.75" hidden="1" customHeight="1">
      <c r="A260" s="2282">
        <f>A254+1</f>
        <v>6</v>
      </c>
      <c r="B260" s="951" t="s">
        <v>1640</v>
      </c>
      <c r="C260" s="1444"/>
      <c r="D260" s="1444"/>
      <c r="E260" s="1444"/>
      <c r="F260" s="1444"/>
      <c r="G260" s="1444"/>
      <c r="H260" s="1444"/>
      <c r="I260" s="1444"/>
      <c r="J260" s="1444"/>
      <c r="K260" s="1444"/>
      <c r="L260" s="1444"/>
      <c r="M260" s="1444"/>
      <c r="N260" s="1444"/>
      <c r="O260" s="2246"/>
      <c r="P260" s="2247"/>
      <c r="Q260" s="2248"/>
      <c r="R260" s="2249"/>
      <c r="S260" s="2248"/>
      <c r="T260" s="2248"/>
      <c r="U260" s="2248"/>
      <c r="V260" s="2250"/>
      <c r="W260" s="2250"/>
      <c r="X260" s="2250"/>
    </row>
    <row r="261" spans="1:24" s="2251" customFormat="1" ht="15.75" hidden="1" customHeight="1">
      <c r="A261" s="2245" t="s">
        <v>95</v>
      </c>
      <c r="B261" s="951" t="s">
        <v>438</v>
      </c>
      <c r="C261" s="1444">
        <v>1.2</v>
      </c>
      <c r="D261" s="1444">
        <v>0.15</v>
      </c>
      <c r="E261" s="1444">
        <v>0.1</v>
      </c>
      <c r="F261" s="1444"/>
      <c r="G261" s="1444"/>
      <c r="H261" s="1444"/>
      <c r="I261" s="1444"/>
      <c r="J261" s="1444"/>
      <c r="K261" s="1444"/>
      <c r="L261" s="1444"/>
      <c r="M261" s="1444">
        <f>9*0</f>
        <v>0</v>
      </c>
      <c r="N261" s="1444">
        <f>C261*D261*E261*M261</f>
        <v>0</v>
      </c>
      <c r="O261" s="2246" t="s">
        <v>103</v>
      </c>
      <c r="P261" s="2247">
        <f>ROUND((N261),2)</f>
        <v>0</v>
      </c>
      <c r="Q261" s="2248"/>
      <c r="R261" s="2249"/>
      <c r="S261" s="2248"/>
      <c r="T261" s="2248"/>
      <c r="U261" s="2248"/>
      <c r="V261" s="2250"/>
      <c r="W261" s="2250"/>
      <c r="X261" s="2250"/>
    </row>
    <row r="262" spans="1:24" s="2251" customFormat="1" ht="15.75" hidden="1" customHeight="1">
      <c r="A262" s="2245" t="s">
        <v>98</v>
      </c>
      <c r="B262" s="951" t="s">
        <v>439</v>
      </c>
      <c r="C262" s="1444">
        <f>C261+(0.3*2)</f>
        <v>1.7999999999999998</v>
      </c>
      <c r="D262" s="1444"/>
      <c r="E262" s="1444">
        <v>0.15</v>
      </c>
      <c r="F262" s="1444"/>
      <c r="G262" s="1444"/>
      <c r="H262" s="1444"/>
      <c r="I262" s="1444"/>
      <c r="J262" s="1444"/>
      <c r="K262" s="1444"/>
      <c r="L262" s="1444"/>
      <c r="M262" s="1444">
        <f>M261</f>
        <v>0</v>
      </c>
      <c r="N262" s="1444">
        <f>C262*E262*M262</f>
        <v>0</v>
      </c>
      <c r="O262" s="2246" t="s">
        <v>89</v>
      </c>
      <c r="P262" s="2247">
        <f>ROUND((N262),2)</f>
        <v>0</v>
      </c>
      <c r="Q262" s="2248"/>
      <c r="R262" s="2249"/>
      <c r="S262" s="2248"/>
      <c r="T262" s="2248"/>
      <c r="U262" s="2248"/>
      <c r="V262" s="2250"/>
      <c r="W262" s="2250"/>
      <c r="X262" s="2250"/>
    </row>
    <row r="263" spans="1:24" s="2251" customFormat="1" ht="15.75" hidden="1" customHeight="1">
      <c r="A263" s="2245" t="s">
        <v>101</v>
      </c>
      <c r="B263" s="951" t="s">
        <v>916</v>
      </c>
      <c r="C263" s="1444">
        <f>C261</f>
        <v>1.2</v>
      </c>
      <c r="D263" s="1444">
        <v>0.3</v>
      </c>
      <c r="E263" s="1444">
        <f>E262-E264</f>
        <v>0.09</v>
      </c>
      <c r="F263" s="1444"/>
      <c r="G263" s="1444"/>
      <c r="H263" s="1444"/>
      <c r="I263" s="1444"/>
      <c r="J263" s="1444"/>
      <c r="K263" s="1444"/>
      <c r="L263" s="1444"/>
      <c r="M263" s="1444">
        <f>M262</f>
        <v>0</v>
      </c>
      <c r="N263" s="1444">
        <f>C263*D263*E263*M263</f>
        <v>0</v>
      </c>
      <c r="O263" s="2246" t="s">
        <v>103</v>
      </c>
      <c r="P263" s="2247">
        <f>ROUND((N263),2)</f>
        <v>0</v>
      </c>
      <c r="Q263" s="2248"/>
      <c r="R263" s="2249"/>
      <c r="S263" s="2248"/>
      <c r="T263" s="2248"/>
      <c r="U263" s="2248"/>
      <c r="V263" s="2250"/>
      <c r="W263" s="2250"/>
      <c r="X263" s="2250"/>
    </row>
    <row r="264" spans="1:24" s="2251" customFormat="1" ht="15.75" hidden="1" customHeight="1">
      <c r="A264" s="2245" t="s">
        <v>121</v>
      </c>
      <c r="B264" s="951" t="s">
        <v>935</v>
      </c>
      <c r="C264" s="1444">
        <f>C263</f>
        <v>1.2</v>
      </c>
      <c r="D264" s="1444">
        <f>D263</f>
        <v>0.3</v>
      </c>
      <c r="E264" s="1444">
        <v>0.06</v>
      </c>
      <c r="F264" s="1444"/>
      <c r="G264" s="1444"/>
      <c r="H264" s="1444"/>
      <c r="I264" s="1444"/>
      <c r="J264" s="1444"/>
      <c r="K264" s="1444"/>
      <c r="L264" s="1444"/>
      <c r="M264" s="1444">
        <f>M263</f>
        <v>0</v>
      </c>
      <c r="N264" s="1444">
        <f>C264*D264*E264*M264</f>
        <v>0</v>
      </c>
      <c r="O264" s="2246" t="s">
        <v>103</v>
      </c>
      <c r="P264" s="2247">
        <f>ROUND((N264),2)</f>
        <v>0</v>
      </c>
      <c r="Q264" s="2248"/>
      <c r="R264" s="2249"/>
      <c r="S264" s="2248"/>
      <c r="T264" s="2248"/>
      <c r="U264" s="2248"/>
      <c r="V264" s="2250"/>
      <c r="W264" s="2250"/>
      <c r="X264" s="2250"/>
    </row>
    <row r="265" spans="1:24" s="2291" customFormat="1" ht="15.75" customHeight="1">
      <c r="A265" s="2283">
        <f>A259+1</f>
        <v>7</v>
      </c>
      <c r="B265" s="2284" t="s">
        <v>967</v>
      </c>
      <c r="C265" s="2285">
        <v>12</v>
      </c>
      <c r="D265" s="2285">
        <v>6</v>
      </c>
      <c r="E265" s="2285"/>
      <c r="F265" s="2285"/>
      <c r="G265" s="2285"/>
      <c r="H265" s="2285"/>
      <c r="I265" s="2285"/>
      <c r="J265" s="2285"/>
      <c r="K265" s="2285"/>
      <c r="L265" s="2285"/>
      <c r="M265" s="2285"/>
      <c r="N265" s="2285">
        <f>C265*D265+N266</f>
        <v>88.05</v>
      </c>
      <c r="O265" s="2286" t="s">
        <v>89</v>
      </c>
      <c r="P265" s="2287">
        <f>ROUND((N265),2)</f>
        <v>88.05</v>
      </c>
      <c r="Q265" s="2288"/>
      <c r="R265" s="2289"/>
      <c r="S265" s="2288"/>
      <c r="T265" s="2288"/>
      <c r="U265" s="2288"/>
      <c r="V265" s="2290"/>
      <c r="W265" s="2290"/>
      <c r="X265" s="2290"/>
    </row>
    <row r="266" spans="1:24" s="2291" customFormat="1" ht="15.75" customHeight="1">
      <c r="A266" s="2283"/>
      <c r="B266" s="2284"/>
      <c r="C266" s="2285">
        <v>5.35</v>
      </c>
      <c r="D266" s="2285">
        <v>3</v>
      </c>
      <c r="E266" s="2285"/>
      <c r="F266" s="2285"/>
      <c r="G266" s="2285"/>
      <c r="H266" s="2285"/>
      <c r="I266" s="2285"/>
      <c r="J266" s="2285"/>
      <c r="K266" s="2285"/>
      <c r="L266" s="2285"/>
      <c r="M266" s="2285"/>
      <c r="N266" s="2285">
        <f>C266*D266</f>
        <v>16.049999999999997</v>
      </c>
      <c r="O266" s="2286"/>
      <c r="P266" s="2287"/>
      <c r="Q266" s="2288"/>
      <c r="R266" s="2289"/>
      <c r="S266" s="2288"/>
      <c r="T266" s="2288"/>
      <c r="U266" s="2288"/>
      <c r="V266" s="2290"/>
      <c r="W266" s="2290"/>
      <c r="X266" s="2290"/>
    </row>
    <row r="267" spans="1:24" ht="15.75" customHeight="1">
      <c r="A267" s="353">
        <f>A265+1</f>
        <v>8</v>
      </c>
      <c r="B267" s="2280" t="s">
        <v>580</v>
      </c>
      <c r="C267" s="513"/>
      <c r="D267" s="513"/>
      <c r="E267" s="513"/>
      <c r="F267" s="513"/>
      <c r="G267" s="513"/>
      <c r="H267" s="513"/>
      <c r="I267" s="513"/>
      <c r="J267" s="513"/>
      <c r="K267" s="513"/>
      <c r="L267" s="513"/>
      <c r="M267" s="513"/>
      <c r="N267" s="513"/>
      <c r="O267" s="2205"/>
      <c r="P267" s="2234"/>
      <c r="Q267" s="2223"/>
      <c r="R267" s="529"/>
      <c r="S267" s="2223"/>
      <c r="T267" s="2223"/>
      <c r="U267" s="2223"/>
      <c r="V267" s="2224"/>
      <c r="W267" s="2224"/>
      <c r="X267" s="2224"/>
    </row>
    <row r="268" spans="1:24" ht="15.75" customHeight="1">
      <c r="A268" s="353"/>
      <c r="B268" s="2210" t="s">
        <v>1636</v>
      </c>
      <c r="C268" s="513"/>
      <c r="D268" s="513"/>
      <c r="E268" s="513"/>
      <c r="F268" s="513"/>
      <c r="G268" s="513"/>
      <c r="H268" s="513"/>
      <c r="I268" s="513"/>
      <c r="J268" s="513"/>
      <c r="K268" s="513"/>
      <c r="L268" s="513"/>
      <c r="M268" s="513"/>
      <c r="N268" s="513">
        <f>N241</f>
        <v>67.959999999999994</v>
      </c>
      <c r="O268" s="2205"/>
      <c r="P268" s="2234"/>
      <c r="Q268" s="2223"/>
      <c r="R268" s="529"/>
      <c r="S268" s="2223"/>
      <c r="T268" s="2223"/>
      <c r="U268" s="2223"/>
      <c r="V268" s="2224"/>
      <c r="W268" s="2224"/>
      <c r="X268" s="2224"/>
    </row>
    <row r="269" spans="1:24" ht="15.75" customHeight="1">
      <c r="A269" s="353"/>
      <c r="B269" s="2210" t="s">
        <v>1629</v>
      </c>
      <c r="C269" s="513"/>
      <c r="D269" s="513"/>
      <c r="E269" s="513"/>
      <c r="F269" s="513"/>
      <c r="G269" s="513"/>
      <c r="H269" s="513"/>
      <c r="I269" s="513"/>
      <c r="J269" s="513"/>
      <c r="K269" s="513"/>
      <c r="L269" s="513"/>
      <c r="M269" s="513"/>
      <c r="N269" s="521">
        <f>N253</f>
        <v>77.839999999999989</v>
      </c>
      <c r="O269" s="2205"/>
      <c r="P269" s="2234"/>
      <c r="Q269" s="2223"/>
      <c r="R269" s="529"/>
      <c r="S269" s="2223"/>
      <c r="T269" s="2223"/>
      <c r="U269" s="2223"/>
      <c r="V269" s="2224"/>
      <c r="W269" s="2224"/>
      <c r="X269" s="2224"/>
    </row>
    <row r="270" spans="1:24" ht="15.75" customHeight="1">
      <c r="A270" s="353"/>
      <c r="B270" s="2210"/>
      <c r="C270" s="513"/>
      <c r="D270" s="513"/>
      <c r="E270" s="513"/>
      <c r="F270" s="513"/>
      <c r="G270" s="513"/>
      <c r="H270" s="513"/>
      <c r="I270" s="513"/>
      <c r="J270" s="513"/>
      <c r="K270" s="513"/>
      <c r="L270" s="513"/>
      <c r="M270" s="513"/>
      <c r="N270" s="513">
        <f>SUM(N268:N269)</f>
        <v>145.79999999999998</v>
      </c>
      <c r="O270" s="2205" t="s">
        <v>89</v>
      </c>
      <c r="P270" s="2234">
        <f>ROUND((N270),2)</f>
        <v>145.80000000000001</v>
      </c>
      <c r="Q270" s="2223"/>
      <c r="R270" s="529"/>
      <c r="S270" s="2223"/>
      <c r="T270" s="2223"/>
      <c r="U270" s="2223"/>
      <c r="V270" s="2224"/>
      <c r="W270" s="2224"/>
      <c r="X270" s="2224"/>
    </row>
    <row r="271" spans="1:24" ht="31.5" customHeight="1">
      <c r="A271" s="353">
        <f>A267+1</f>
        <v>9</v>
      </c>
      <c r="B271" s="2292" t="s">
        <v>1213</v>
      </c>
      <c r="C271" s="513"/>
      <c r="D271" s="513"/>
      <c r="E271" s="513"/>
      <c r="F271" s="513"/>
      <c r="G271" s="513"/>
      <c r="H271" s="513"/>
      <c r="I271" s="513"/>
      <c r="J271" s="513"/>
      <c r="K271" s="513"/>
      <c r="L271" s="513"/>
      <c r="M271" s="513"/>
      <c r="N271" s="513"/>
      <c r="O271" s="2205"/>
      <c r="P271" s="2234"/>
      <c r="Q271" s="2223"/>
      <c r="R271" s="529"/>
      <c r="S271" s="2223"/>
      <c r="T271" s="2223"/>
      <c r="U271" s="2223"/>
      <c r="V271" s="2224"/>
      <c r="W271" s="2224"/>
      <c r="X271" s="2224"/>
    </row>
    <row r="272" spans="1:24" ht="15.75" customHeight="1">
      <c r="A272" s="353"/>
      <c r="B272" s="2210" t="s">
        <v>1637</v>
      </c>
      <c r="C272" s="513">
        <f>C265</f>
        <v>12</v>
      </c>
      <c r="D272" s="513">
        <f>D265</f>
        <v>6</v>
      </c>
      <c r="E272" s="513"/>
      <c r="F272" s="513"/>
      <c r="G272" s="513"/>
      <c r="H272" s="513"/>
      <c r="I272" s="513"/>
      <c r="J272" s="513"/>
      <c r="K272" s="513"/>
      <c r="L272" s="513"/>
      <c r="M272" s="513"/>
      <c r="N272" s="513">
        <f>C272*D272</f>
        <v>72</v>
      </c>
      <c r="O272" s="2205"/>
      <c r="P272" s="2234"/>
      <c r="Q272" s="2223"/>
      <c r="R272" s="529"/>
      <c r="S272" s="2223"/>
      <c r="T272" s="2223"/>
      <c r="U272" s="2223"/>
      <c r="V272" s="2224"/>
      <c r="W272" s="2224"/>
      <c r="X272" s="2224"/>
    </row>
    <row r="273" spans="1:24" ht="15.75" customHeight="1">
      <c r="A273" s="353"/>
      <c r="B273" s="2210" t="s">
        <v>1638</v>
      </c>
      <c r="C273" s="513">
        <f>C287</f>
        <v>14.15</v>
      </c>
      <c r="D273" s="513">
        <v>1</v>
      </c>
      <c r="E273" s="513"/>
      <c r="F273" s="513"/>
      <c r="G273" s="513"/>
      <c r="H273" s="513">
        <v>2</v>
      </c>
      <c r="I273" s="513"/>
      <c r="J273" s="513"/>
      <c r="K273" s="513"/>
      <c r="L273" s="513"/>
      <c r="M273" s="513"/>
      <c r="N273" s="513">
        <f>C273*D273*H273</f>
        <v>28.3</v>
      </c>
      <c r="O273" s="2205"/>
      <c r="P273" s="2234"/>
      <c r="Q273" s="2223"/>
      <c r="R273" s="529"/>
      <c r="S273" s="2223"/>
      <c r="T273" s="2223"/>
      <c r="U273" s="2223"/>
      <c r="V273" s="2224"/>
      <c r="W273" s="2224"/>
      <c r="X273" s="2224"/>
    </row>
    <row r="274" spans="1:24" ht="15.75" customHeight="1">
      <c r="A274" s="353"/>
      <c r="B274" s="2210"/>
      <c r="C274" s="513">
        <f>D272</f>
        <v>6</v>
      </c>
      <c r="D274" s="513">
        <v>1</v>
      </c>
      <c r="E274" s="513"/>
      <c r="F274" s="513"/>
      <c r="G274" s="513"/>
      <c r="H274" s="513">
        <v>2</v>
      </c>
      <c r="I274" s="513"/>
      <c r="J274" s="513"/>
      <c r="K274" s="513"/>
      <c r="L274" s="513"/>
      <c r="M274" s="513"/>
      <c r="N274" s="521">
        <f>C274*D274*H274</f>
        <v>12</v>
      </c>
      <c r="O274" s="2205"/>
      <c r="P274" s="2234"/>
      <c r="Q274" s="2223"/>
      <c r="R274" s="529"/>
      <c r="S274" s="2223"/>
      <c r="T274" s="2223"/>
      <c r="U274" s="2223"/>
      <c r="V274" s="2224"/>
      <c r="W274" s="2224"/>
      <c r="X274" s="2224"/>
    </row>
    <row r="275" spans="1:24" ht="15.75" customHeight="1">
      <c r="A275" s="353"/>
      <c r="B275" s="2210"/>
      <c r="C275" s="513"/>
      <c r="D275" s="513"/>
      <c r="E275" s="513"/>
      <c r="F275" s="513"/>
      <c r="G275" s="513"/>
      <c r="H275" s="513"/>
      <c r="I275" s="513"/>
      <c r="J275" s="513"/>
      <c r="K275" s="513"/>
      <c r="L275" s="513"/>
      <c r="M275" s="513"/>
      <c r="N275" s="513">
        <f>SUM(N272:N274)</f>
        <v>112.3</v>
      </c>
      <c r="O275" s="2205" t="s">
        <v>89</v>
      </c>
      <c r="P275" s="2234">
        <f>ROUND((N275),2)</f>
        <v>112.3</v>
      </c>
      <c r="Q275" s="2223"/>
      <c r="R275" s="529"/>
      <c r="S275" s="2223"/>
      <c r="T275" s="2223"/>
      <c r="U275" s="2223"/>
      <c r="V275" s="2224"/>
      <c r="W275" s="2224"/>
      <c r="X275" s="2224"/>
    </row>
    <row r="276" spans="1:24" ht="15.75" customHeight="1">
      <c r="A276" s="353">
        <f>A271+1</f>
        <v>10</v>
      </c>
      <c r="B276" s="2280" t="s">
        <v>451</v>
      </c>
      <c r="C276" s="513" t="s">
        <v>1639</v>
      </c>
      <c r="D276" s="513"/>
      <c r="E276" s="513"/>
      <c r="F276" s="513"/>
      <c r="G276" s="513"/>
      <c r="H276" s="513"/>
      <c r="I276" s="513"/>
      <c r="J276" s="513"/>
      <c r="K276" s="513"/>
      <c r="L276" s="513"/>
      <c r="M276" s="513"/>
      <c r="N276" s="513">
        <f>N275</f>
        <v>112.3</v>
      </c>
      <c r="O276" s="2205" t="s">
        <v>89</v>
      </c>
      <c r="P276" s="2234">
        <f>ROUND((N276),2)</f>
        <v>112.3</v>
      </c>
      <c r="Q276" s="2223"/>
      <c r="R276" s="529"/>
      <c r="S276" s="2223"/>
      <c r="T276" s="2223"/>
      <c r="U276" s="2223"/>
      <c r="V276" s="2224"/>
      <c r="W276" s="2224"/>
      <c r="X276" s="2224"/>
    </row>
    <row r="277" spans="1:24" s="2244" customFormat="1" ht="15.75" customHeight="1">
      <c r="A277" s="353">
        <f>A276+1</f>
        <v>11</v>
      </c>
      <c r="B277" s="2280" t="s">
        <v>443</v>
      </c>
      <c r="C277" s="2209" t="s">
        <v>1023</v>
      </c>
      <c r="D277" s="2204"/>
      <c r="E277" s="2204"/>
      <c r="F277" s="2204"/>
      <c r="G277" s="2204"/>
      <c r="H277" s="2204"/>
      <c r="I277" s="2204"/>
      <c r="J277" s="2204"/>
      <c r="K277" s="2204"/>
      <c r="L277" s="2204"/>
      <c r="M277" s="2204"/>
      <c r="N277" s="2203"/>
      <c r="O277" s="2205"/>
      <c r="P277" s="2234"/>
      <c r="Q277" s="2223"/>
      <c r="R277" s="2266"/>
      <c r="S277" s="2223"/>
      <c r="T277" s="2223"/>
      <c r="U277" s="2223"/>
      <c r="V277" s="2267"/>
      <c r="W277" s="2267"/>
      <c r="X277" s="2267"/>
    </row>
    <row r="278" spans="1:24" s="2244" customFormat="1" ht="24.75" customHeight="1">
      <c r="A278" s="2238" t="s">
        <v>95</v>
      </c>
      <c r="B278" s="2293" t="s">
        <v>537</v>
      </c>
      <c r="C278" s="2209">
        <v>7.71</v>
      </c>
      <c r="D278" s="2294"/>
      <c r="E278" s="2204"/>
      <c r="F278" s="2204">
        <v>13</v>
      </c>
      <c r="G278" s="2204"/>
      <c r="H278" s="2204">
        <v>1</v>
      </c>
      <c r="I278" s="2204"/>
      <c r="J278" s="2204"/>
      <c r="K278" s="2204"/>
      <c r="L278" s="2204"/>
      <c r="M278" s="2204">
        <v>1</v>
      </c>
      <c r="N278" s="2203">
        <f>M278*F278*C278*H278</f>
        <v>100.23</v>
      </c>
      <c r="O278" s="2205" t="s">
        <v>89</v>
      </c>
      <c r="P278" s="2234"/>
      <c r="Q278" s="2223"/>
      <c r="R278" s="2266"/>
      <c r="S278" s="2223"/>
      <c r="T278" s="2223"/>
      <c r="U278" s="2223"/>
      <c r="V278" s="2267"/>
      <c r="W278" s="2267"/>
      <c r="X278" s="2267"/>
    </row>
    <row r="279" spans="1:24" s="2244" customFormat="1" ht="28.5" customHeight="1">
      <c r="A279" s="2238" t="s">
        <v>98</v>
      </c>
      <c r="B279" s="2293" t="s">
        <v>538</v>
      </c>
      <c r="C279" s="2204">
        <f>C287</f>
        <v>14.15</v>
      </c>
      <c r="D279" s="2294"/>
      <c r="E279" s="2204"/>
      <c r="F279" s="2204">
        <f>ROUNDUP((D283/0.5),0)</f>
        <v>10</v>
      </c>
      <c r="G279" s="2204"/>
      <c r="H279" s="2204">
        <v>2</v>
      </c>
      <c r="I279" s="2204"/>
      <c r="J279" s="2204"/>
      <c r="K279" s="2204"/>
      <c r="L279" s="2204"/>
      <c r="M279" s="2204"/>
      <c r="N279" s="2203">
        <f>H279*F279*C279</f>
        <v>283</v>
      </c>
      <c r="O279" s="2205" t="s">
        <v>1178</v>
      </c>
      <c r="P279" s="2234"/>
      <c r="Q279" s="2223"/>
      <c r="R279" s="2266"/>
      <c r="S279" s="2223"/>
      <c r="T279" s="2223"/>
      <c r="U279" s="2223"/>
      <c r="V279" s="2267"/>
      <c r="W279" s="2267"/>
      <c r="X279" s="2267"/>
    </row>
    <row r="280" spans="1:24" s="2244" customFormat="1" ht="15.75" customHeight="1">
      <c r="A280" s="2238" t="s">
        <v>101</v>
      </c>
      <c r="B280" s="354" t="s">
        <v>823</v>
      </c>
      <c r="C280" s="2204"/>
      <c r="D280" s="2295"/>
      <c r="E280" s="2204"/>
      <c r="F280" s="2204"/>
      <c r="G280" s="2204"/>
      <c r="H280" s="2204"/>
      <c r="I280" s="2204"/>
      <c r="J280" s="2204"/>
      <c r="K280" s="2204"/>
      <c r="L280" s="2204"/>
      <c r="M280" s="2204"/>
      <c r="N280" s="2268">
        <f>SUM(N281:N282)</f>
        <v>80</v>
      </c>
      <c r="O280" s="2205" t="s">
        <v>824</v>
      </c>
      <c r="P280" s="2234"/>
      <c r="Q280" s="2223"/>
      <c r="R280" s="2266"/>
      <c r="S280" s="2223"/>
      <c r="T280" s="2223"/>
      <c r="U280" s="2223"/>
      <c r="V280" s="2267"/>
      <c r="W280" s="2267"/>
      <c r="X280" s="2267"/>
    </row>
    <row r="281" spans="1:24" s="2244" customFormat="1" ht="15.75" customHeight="1">
      <c r="A281" s="2238"/>
      <c r="B281" s="680" t="s">
        <v>1024</v>
      </c>
      <c r="C281" s="2204"/>
      <c r="D281" s="2295"/>
      <c r="E281" s="2204"/>
      <c r="F281" s="2204">
        <v>2</v>
      </c>
      <c r="G281" s="2204">
        <v>2</v>
      </c>
      <c r="H281" s="2204">
        <v>2</v>
      </c>
      <c r="I281" s="2204"/>
      <c r="J281" s="2204"/>
      <c r="K281" s="2204"/>
      <c r="L281" s="2204"/>
      <c r="M281" s="2204">
        <f>F279</f>
        <v>10</v>
      </c>
      <c r="N281" s="2203">
        <f>M281*H281*G281*F281</f>
        <v>80</v>
      </c>
      <c r="O281" s="2205" t="s">
        <v>824</v>
      </c>
      <c r="P281" s="2234"/>
      <c r="Q281" s="2223"/>
      <c r="R281" s="2266"/>
      <c r="S281" s="2223"/>
      <c r="T281" s="2223"/>
      <c r="U281" s="2223"/>
      <c r="V281" s="2267"/>
      <c r="W281" s="2267"/>
      <c r="X281" s="2267"/>
    </row>
    <row r="282" spans="1:24" s="2244" customFormat="1" ht="15.75" customHeight="1">
      <c r="A282" s="2238"/>
      <c r="B282" s="680" t="s">
        <v>1025</v>
      </c>
      <c r="C282" s="2204"/>
      <c r="D282" s="2295"/>
      <c r="E282" s="2204"/>
      <c r="F282" s="2204">
        <v>2</v>
      </c>
      <c r="G282" s="2204">
        <v>5</v>
      </c>
      <c r="H282" s="2204">
        <v>1</v>
      </c>
      <c r="I282" s="2204"/>
      <c r="J282" s="2204"/>
      <c r="K282" s="2204"/>
      <c r="L282" s="2204"/>
      <c r="M282" s="2204">
        <v>0</v>
      </c>
      <c r="N282" s="2203">
        <f>M282*H282*G282*F282</f>
        <v>0</v>
      </c>
      <c r="O282" s="2205" t="s">
        <v>824</v>
      </c>
      <c r="P282" s="2234"/>
      <c r="Q282" s="2223"/>
      <c r="R282" s="2266"/>
      <c r="S282" s="2223"/>
      <c r="T282" s="2223"/>
      <c r="U282" s="2223"/>
      <c r="V282" s="2267"/>
      <c r="W282" s="2267"/>
      <c r="X282" s="2267"/>
    </row>
    <row r="283" spans="1:24" s="2244" customFormat="1" ht="15.75" customHeight="1">
      <c r="A283" s="2238" t="s">
        <v>121</v>
      </c>
      <c r="B283" s="890" t="s">
        <v>571</v>
      </c>
      <c r="C283" s="2204">
        <v>14.25</v>
      </c>
      <c r="D283" s="2296">
        <f>2.81+2.057</f>
        <v>4.867</v>
      </c>
      <c r="E283" s="2204"/>
      <c r="F283" s="2204"/>
      <c r="G283" s="2204"/>
      <c r="H283" s="2204"/>
      <c r="I283" s="2204"/>
      <c r="J283" s="2204"/>
      <c r="K283" s="2204"/>
      <c r="L283" s="2204"/>
      <c r="M283" s="2204">
        <v>2</v>
      </c>
      <c r="N283" s="2203">
        <f>M283*D283*C283</f>
        <v>138.70949999999999</v>
      </c>
      <c r="O283" s="2205" t="s">
        <v>89</v>
      </c>
      <c r="P283" s="2234"/>
      <c r="Q283" s="2223"/>
      <c r="R283" s="2266"/>
      <c r="S283" s="2223"/>
      <c r="T283" s="2223"/>
      <c r="U283" s="2223"/>
      <c r="V283" s="2267"/>
      <c r="W283" s="2267"/>
      <c r="X283" s="2267"/>
    </row>
    <row r="284" spans="1:24" s="2244" customFormat="1" ht="15.75" customHeight="1">
      <c r="A284" s="2238" t="s">
        <v>142</v>
      </c>
      <c r="B284" s="890" t="s">
        <v>447</v>
      </c>
      <c r="C284" s="2204">
        <f>C283</f>
        <v>14.25</v>
      </c>
      <c r="D284" s="2295"/>
      <c r="E284" s="2204"/>
      <c r="F284" s="2204"/>
      <c r="G284" s="2204"/>
      <c r="H284" s="2204"/>
      <c r="I284" s="2204"/>
      <c r="J284" s="2204"/>
      <c r="K284" s="2204"/>
      <c r="L284" s="2204"/>
      <c r="M284" s="2204"/>
      <c r="N284" s="2203">
        <f>C284</f>
        <v>14.25</v>
      </c>
      <c r="O284" s="2205" t="s">
        <v>1178</v>
      </c>
      <c r="P284" s="2234"/>
      <c r="Q284" s="2223"/>
      <c r="R284" s="2266"/>
      <c r="S284" s="2223"/>
      <c r="T284" s="2223"/>
      <c r="U284" s="2223"/>
      <c r="V284" s="2267"/>
      <c r="W284" s="2267"/>
      <c r="X284" s="2267"/>
    </row>
    <row r="285" spans="1:24" s="2244" customFormat="1" ht="15.75" customHeight="1">
      <c r="A285" s="353"/>
      <c r="B285" s="2210"/>
      <c r="C285" s="2204"/>
      <c r="D285" s="2204"/>
      <c r="E285" s="2204"/>
      <c r="F285" s="2204"/>
      <c r="G285" s="2204"/>
      <c r="H285" s="2204"/>
      <c r="I285" s="2204"/>
      <c r="J285" s="2204"/>
      <c r="K285" s="2204"/>
      <c r="L285" s="2204"/>
      <c r="M285" s="2204"/>
      <c r="N285" s="2203"/>
      <c r="O285" s="2205"/>
      <c r="P285" s="2234"/>
      <c r="Q285" s="2223"/>
      <c r="R285" s="2266"/>
      <c r="S285" s="2223"/>
      <c r="T285" s="2223"/>
      <c r="U285" s="2223"/>
      <c r="V285" s="2267"/>
      <c r="W285" s="2267"/>
      <c r="X285" s="2267"/>
    </row>
    <row r="286" spans="1:24" ht="15.75" customHeight="1">
      <c r="A286" s="353">
        <f>A277+1</f>
        <v>12</v>
      </c>
      <c r="B286" s="2280" t="s">
        <v>452</v>
      </c>
      <c r="C286" s="513"/>
      <c r="D286" s="513"/>
      <c r="E286" s="513"/>
      <c r="F286" s="513"/>
      <c r="G286" s="513"/>
      <c r="H286" s="513"/>
      <c r="I286" s="513"/>
      <c r="J286" s="513"/>
      <c r="K286" s="513"/>
      <c r="L286" s="513"/>
      <c r="M286" s="513"/>
      <c r="N286" s="513"/>
      <c r="O286" s="2205"/>
      <c r="P286" s="2234"/>
      <c r="Q286" s="2223"/>
      <c r="R286" s="529"/>
      <c r="S286" s="2223"/>
      <c r="T286" s="2223"/>
      <c r="U286" s="2223"/>
      <c r="V286" s="2224"/>
      <c r="W286" s="2224"/>
      <c r="X286" s="2224"/>
    </row>
    <row r="287" spans="1:24" ht="15.75" customHeight="1">
      <c r="A287" s="353"/>
      <c r="B287" s="2280"/>
      <c r="C287" s="513">
        <f>C283-0.1</f>
        <v>14.15</v>
      </c>
      <c r="D287" s="513"/>
      <c r="E287" s="513"/>
      <c r="F287" s="513"/>
      <c r="G287" s="513"/>
      <c r="H287" s="513"/>
      <c r="I287" s="513"/>
      <c r="J287" s="513"/>
      <c r="K287" s="513"/>
      <c r="L287" s="513"/>
      <c r="M287" s="513">
        <v>2</v>
      </c>
      <c r="N287" s="513">
        <f>C287*M287</f>
        <v>28.3</v>
      </c>
      <c r="O287" s="2205"/>
      <c r="P287" s="2234"/>
      <c r="Q287" s="2223"/>
      <c r="R287" s="529"/>
      <c r="S287" s="2223"/>
      <c r="T287" s="2223"/>
      <c r="U287" s="2223"/>
      <c r="V287" s="2224"/>
      <c r="W287" s="2224"/>
      <c r="X287" s="2224"/>
    </row>
    <row r="288" spans="1:24" ht="15.75" customHeight="1">
      <c r="A288" s="353"/>
      <c r="B288" s="2280"/>
      <c r="C288" s="513">
        <f>D283-0.1</f>
        <v>4.7670000000000003</v>
      </c>
      <c r="D288" s="513"/>
      <c r="E288" s="513"/>
      <c r="F288" s="513"/>
      <c r="G288" s="513"/>
      <c r="H288" s="513">
        <v>2</v>
      </c>
      <c r="I288" s="513"/>
      <c r="J288" s="513"/>
      <c r="K288" s="513"/>
      <c r="L288" s="513"/>
      <c r="M288" s="513">
        <v>2</v>
      </c>
      <c r="N288" s="521">
        <f>C288*H288*M288</f>
        <v>19.068000000000001</v>
      </c>
      <c r="O288" s="2205"/>
      <c r="P288" s="2234"/>
      <c r="Q288" s="2223"/>
      <c r="R288" s="529"/>
      <c r="S288" s="2223"/>
      <c r="T288" s="2223"/>
      <c r="U288" s="2223"/>
      <c r="V288" s="2224"/>
      <c r="W288" s="2224"/>
      <c r="X288" s="2224"/>
    </row>
    <row r="289" spans="1:24" ht="15.75" customHeight="1">
      <c r="A289" s="353"/>
      <c r="B289" s="2280"/>
      <c r="C289" s="513"/>
      <c r="D289" s="513"/>
      <c r="E289" s="513"/>
      <c r="F289" s="513"/>
      <c r="G289" s="513"/>
      <c r="H289" s="513"/>
      <c r="I289" s="513"/>
      <c r="J289" s="513"/>
      <c r="K289" s="513"/>
      <c r="L289" s="513"/>
      <c r="M289" s="513"/>
      <c r="N289" s="513">
        <f>SUM(N287:N288)</f>
        <v>47.368000000000002</v>
      </c>
      <c r="O289" s="2205" t="s">
        <v>117</v>
      </c>
      <c r="P289" s="2234">
        <f>ROUND((N289),2)</f>
        <v>47.37</v>
      </c>
      <c r="Q289" s="2223"/>
      <c r="R289" s="529"/>
      <c r="S289" s="2223"/>
      <c r="T289" s="2223"/>
      <c r="U289" s="2223"/>
      <c r="V289" s="2224"/>
      <c r="W289" s="2224"/>
      <c r="X289" s="2224"/>
    </row>
    <row r="290" spans="1:24" ht="15.75" customHeight="1">
      <c r="A290" s="353">
        <f>A286+1</f>
        <v>13</v>
      </c>
      <c r="B290" s="2280" t="s">
        <v>968</v>
      </c>
      <c r="C290" s="513">
        <f>N289</f>
        <v>47.368000000000002</v>
      </c>
      <c r="D290" s="513">
        <v>0.3</v>
      </c>
      <c r="E290" s="513"/>
      <c r="F290" s="513"/>
      <c r="G290" s="513"/>
      <c r="H290" s="513"/>
      <c r="I290" s="513"/>
      <c r="J290" s="513"/>
      <c r="K290" s="513"/>
      <c r="L290" s="513"/>
      <c r="M290" s="513"/>
      <c r="N290" s="513">
        <f>C290*D290</f>
        <v>14.2104</v>
      </c>
      <c r="O290" s="2205" t="s">
        <v>89</v>
      </c>
      <c r="P290" s="2234">
        <f>ROUND((N290),2)</f>
        <v>14.21</v>
      </c>
      <c r="Q290" s="2223"/>
      <c r="R290" s="529"/>
      <c r="S290" s="2223"/>
      <c r="T290" s="2223"/>
      <c r="U290" s="2223"/>
      <c r="V290" s="2224"/>
      <c r="W290" s="2224"/>
      <c r="X290" s="2224"/>
    </row>
    <row r="291" spans="1:24" ht="15.75" customHeight="1">
      <c r="A291" s="353">
        <f>A290+1</f>
        <v>14</v>
      </c>
      <c r="B291" s="354" t="s">
        <v>1030</v>
      </c>
      <c r="C291" s="513"/>
      <c r="D291" s="513"/>
      <c r="E291" s="513"/>
      <c r="F291" s="513"/>
      <c r="G291" s="513"/>
      <c r="H291" s="513"/>
      <c r="I291" s="513"/>
      <c r="J291" s="513"/>
      <c r="K291" s="513"/>
      <c r="L291" s="513"/>
      <c r="M291" s="513"/>
      <c r="N291" s="513"/>
      <c r="O291" s="2205"/>
      <c r="P291" s="2234"/>
      <c r="Q291" s="2223"/>
      <c r="R291" s="529"/>
      <c r="S291" s="2223"/>
      <c r="T291" s="2223"/>
      <c r="U291" s="2223"/>
      <c r="V291" s="2224"/>
      <c r="W291" s="2224"/>
      <c r="X291" s="2224"/>
    </row>
    <row r="292" spans="1:24" ht="15.75" customHeight="1">
      <c r="A292" s="353"/>
      <c r="B292" s="2210" t="s">
        <v>1645</v>
      </c>
      <c r="C292" s="513">
        <f>6-(0.25*2)</f>
        <v>5.5</v>
      </c>
      <c r="D292" s="513"/>
      <c r="E292" s="513">
        <v>0.5</v>
      </c>
      <c r="F292" s="513"/>
      <c r="G292" s="513">
        <v>1</v>
      </c>
      <c r="H292" s="513"/>
      <c r="I292" s="513"/>
      <c r="J292" s="513"/>
      <c r="K292" s="513"/>
      <c r="L292" s="513"/>
      <c r="M292" s="513">
        <v>1</v>
      </c>
      <c r="N292" s="513">
        <f>C292*E292*G292*M292</f>
        <v>2.75</v>
      </c>
      <c r="O292" s="2205"/>
      <c r="P292" s="2234"/>
      <c r="Q292" s="2223"/>
      <c r="R292" s="529"/>
      <c r="S292" s="2223"/>
      <c r="T292" s="2223"/>
      <c r="U292" s="2223"/>
      <c r="V292" s="2224"/>
      <c r="W292" s="2224"/>
      <c r="X292" s="2224"/>
    </row>
    <row r="293" spans="1:24" ht="15.75" customHeight="1">
      <c r="A293" s="353"/>
      <c r="B293" s="2210" t="s">
        <v>1185</v>
      </c>
      <c r="C293" s="513">
        <f>4-(0.25*2)</f>
        <v>3.5</v>
      </c>
      <c r="D293" s="513"/>
      <c r="E293" s="513">
        <f>E292</f>
        <v>0.5</v>
      </c>
      <c r="F293" s="513"/>
      <c r="G293" s="513">
        <v>1</v>
      </c>
      <c r="H293" s="513"/>
      <c r="I293" s="513"/>
      <c r="J293" s="513"/>
      <c r="K293" s="513"/>
      <c r="L293" s="513"/>
      <c r="M293" s="513">
        <v>2</v>
      </c>
      <c r="N293" s="513">
        <f>C293*E293*G293*M293</f>
        <v>3.5</v>
      </c>
      <c r="O293" s="2205"/>
      <c r="P293" s="2234"/>
      <c r="Q293" s="2223"/>
      <c r="R293" s="529"/>
      <c r="S293" s="2223"/>
      <c r="T293" s="2223"/>
      <c r="U293" s="2223"/>
      <c r="V293" s="2224"/>
      <c r="W293" s="2224"/>
      <c r="X293" s="2224"/>
    </row>
    <row r="294" spans="1:24" ht="15.75" customHeight="1">
      <c r="A294" s="353"/>
      <c r="B294" s="2280"/>
      <c r="C294" s="513">
        <f>1.5-(0.25*2)</f>
        <v>1</v>
      </c>
      <c r="D294" s="513"/>
      <c r="E294" s="513">
        <f>E293</f>
        <v>0.5</v>
      </c>
      <c r="F294" s="513"/>
      <c r="G294" s="513">
        <v>1</v>
      </c>
      <c r="H294" s="513"/>
      <c r="I294" s="513"/>
      <c r="J294" s="513"/>
      <c r="K294" s="513"/>
      <c r="L294" s="513"/>
      <c r="M294" s="513">
        <v>2</v>
      </c>
      <c r="N294" s="521">
        <f>C294*E294*G294*M294</f>
        <v>1</v>
      </c>
      <c r="O294" s="2205"/>
      <c r="P294" s="2234"/>
      <c r="Q294" s="2223"/>
      <c r="R294" s="529"/>
      <c r="S294" s="2223"/>
      <c r="T294" s="2223"/>
      <c r="U294" s="2223"/>
      <c r="V294" s="2224"/>
      <c r="W294" s="2224"/>
      <c r="X294" s="2224"/>
    </row>
    <row r="295" spans="1:24" ht="15.75" customHeight="1">
      <c r="A295" s="353"/>
      <c r="B295" s="2280"/>
      <c r="C295" s="513"/>
      <c r="D295" s="513"/>
      <c r="E295" s="513"/>
      <c r="F295" s="513"/>
      <c r="G295" s="513"/>
      <c r="H295" s="513"/>
      <c r="I295" s="513"/>
      <c r="J295" s="513"/>
      <c r="K295" s="513"/>
      <c r="L295" s="513"/>
      <c r="M295" s="513"/>
      <c r="N295" s="513">
        <f>SUM(N292:N294)</f>
        <v>7.25</v>
      </c>
      <c r="O295" s="2205" t="s">
        <v>89</v>
      </c>
      <c r="P295" s="2234">
        <f>ROUND((N295),2)</f>
        <v>7.25</v>
      </c>
      <c r="Q295" s="2223"/>
      <c r="R295" s="529"/>
      <c r="S295" s="2223"/>
      <c r="T295" s="2223"/>
      <c r="U295" s="2223"/>
      <c r="V295" s="2224"/>
      <c r="W295" s="2224"/>
      <c r="X295" s="2224"/>
    </row>
    <row r="296" spans="1:24" ht="15.75" customHeight="1">
      <c r="A296" s="353">
        <f>A291+1</f>
        <v>15</v>
      </c>
      <c r="B296" s="2280" t="s">
        <v>582</v>
      </c>
      <c r="C296" s="513"/>
      <c r="D296" s="513"/>
      <c r="E296" s="513"/>
      <c r="F296" s="513"/>
      <c r="G296" s="513"/>
      <c r="H296" s="513"/>
      <c r="I296" s="513"/>
      <c r="J296" s="513"/>
      <c r="K296" s="513"/>
      <c r="L296" s="513"/>
      <c r="M296" s="513">
        <v>1</v>
      </c>
      <c r="N296" s="513">
        <f>M296</f>
        <v>1</v>
      </c>
      <c r="O296" s="2205" t="s">
        <v>360</v>
      </c>
      <c r="P296" s="2234">
        <f>ROUND((N296),2)</f>
        <v>1</v>
      </c>
      <c r="Q296" s="2223"/>
      <c r="R296" s="529"/>
      <c r="S296" s="2223"/>
      <c r="T296" s="2223"/>
      <c r="U296" s="2223"/>
      <c r="V296" s="2224"/>
      <c r="W296" s="2224"/>
      <c r="X296" s="2224"/>
    </row>
    <row r="297" spans="1:24" ht="25.5" customHeight="1">
      <c r="A297" s="353">
        <f>A296+1</f>
        <v>16</v>
      </c>
      <c r="B297" s="2292" t="s">
        <v>969</v>
      </c>
      <c r="C297" s="513"/>
      <c r="D297" s="513"/>
      <c r="E297" s="513"/>
      <c r="F297" s="513"/>
      <c r="G297" s="513"/>
      <c r="H297" s="513"/>
      <c r="I297" s="513"/>
      <c r="J297" s="513"/>
      <c r="K297" s="513"/>
      <c r="L297" s="513"/>
      <c r="M297" s="513">
        <v>12</v>
      </c>
      <c r="N297" s="513">
        <f>M297</f>
        <v>12</v>
      </c>
      <c r="O297" s="2297" t="s">
        <v>124</v>
      </c>
      <c r="P297" s="2234">
        <f>ROUND((N297),2)</f>
        <v>12</v>
      </c>
      <c r="Q297" s="2223"/>
      <c r="R297" s="529"/>
      <c r="S297" s="2223"/>
      <c r="T297" s="2223"/>
      <c r="U297" s="2223"/>
      <c r="V297" s="2224"/>
      <c r="W297" s="2224"/>
      <c r="X297" s="2224"/>
    </row>
    <row r="298" spans="1:24" ht="15.75" customHeight="1">
      <c r="A298" s="353"/>
      <c r="B298" s="2235"/>
      <c r="C298" s="513"/>
      <c r="D298" s="513"/>
      <c r="E298" s="513"/>
      <c r="F298" s="513"/>
      <c r="G298" s="513"/>
      <c r="H298" s="513"/>
      <c r="I298" s="513"/>
      <c r="J298" s="513"/>
      <c r="K298" s="513"/>
      <c r="L298" s="513"/>
      <c r="M298" s="513"/>
      <c r="N298" s="513"/>
      <c r="O298" s="2205"/>
      <c r="P298" s="2234"/>
      <c r="Q298" s="2223"/>
      <c r="R298" s="529"/>
      <c r="S298" s="2223"/>
      <c r="T298" s="2223"/>
      <c r="U298" s="2223"/>
      <c r="V298" s="2224"/>
      <c r="W298" s="2224"/>
      <c r="X298" s="2224"/>
    </row>
    <row r="299" spans="1:24" ht="15.75" customHeight="1">
      <c r="A299" s="2231" t="s">
        <v>1190</v>
      </c>
      <c r="B299" s="2298" t="s">
        <v>457</v>
      </c>
      <c r="C299" s="1336"/>
      <c r="D299" s="1336"/>
      <c r="E299" s="1336"/>
      <c r="F299" s="1336"/>
      <c r="G299" s="1336"/>
      <c r="H299" s="1336"/>
      <c r="I299" s="1336"/>
      <c r="J299" s="1336"/>
      <c r="K299" s="1336"/>
      <c r="L299" s="1336"/>
      <c r="M299" s="1336"/>
      <c r="N299" s="1336"/>
      <c r="O299" s="2299"/>
      <c r="P299" s="2300"/>
      <c r="Q299" s="2223"/>
      <c r="R299" s="529"/>
      <c r="S299" s="2223"/>
      <c r="T299" s="2223"/>
      <c r="U299" s="2223"/>
      <c r="V299" s="2224"/>
      <c r="W299" s="2224"/>
      <c r="X299" s="2224"/>
    </row>
    <row r="300" spans="1:24" ht="15.75" customHeight="1">
      <c r="A300" s="353">
        <v>1</v>
      </c>
      <c r="B300" s="354" t="s">
        <v>681</v>
      </c>
      <c r="C300" s="1336"/>
      <c r="D300" s="1336"/>
      <c r="E300" s="1336"/>
      <c r="F300" s="2204">
        <f>15+3</f>
        <v>18</v>
      </c>
      <c r="G300" s="1336"/>
      <c r="H300" s="1336"/>
      <c r="I300" s="1336"/>
      <c r="J300" s="1336"/>
      <c r="K300" s="1336"/>
      <c r="L300" s="1336"/>
      <c r="M300" s="1336"/>
      <c r="N300" s="1336">
        <f t="shared" ref="N300:N305" si="8">F300</f>
        <v>18</v>
      </c>
      <c r="O300" s="2205" t="s">
        <v>357</v>
      </c>
      <c r="P300" s="2234">
        <f t="shared" ref="P300:P305" si="9">ROUND((N300),2)</f>
        <v>18</v>
      </c>
      <c r="Q300" s="2223"/>
      <c r="R300" s="529"/>
      <c r="S300" s="2223"/>
      <c r="T300" s="2223"/>
      <c r="U300" s="2223"/>
      <c r="V300" s="2224"/>
      <c r="W300" s="2224"/>
      <c r="X300" s="2224"/>
    </row>
    <row r="301" spans="1:24" ht="15.75" customHeight="1">
      <c r="A301" s="353">
        <f>A300+1</f>
        <v>2</v>
      </c>
      <c r="B301" s="354" t="s">
        <v>682</v>
      </c>
      <c r="C301" s="1336"/>
      <c r="D301" s="1336"/>
      <c r="E301" s="1336"/>
      <c r="F301" s="2204">
        <v>6</v>
      </c>
      <c r="G301" s="1336"/>
      <c r="H301" s="1336"/>
      <c r="I301" s="1336"/>
      <c r="J301" s="1336"/>
      <c r="K301" s="1336"/>
      <c r="L301" s="1336"/>
      <c r="M301" s="1336"/>
      <c r="N301" s="1336">
        <f t="shared" si="8"/>
        <v>6</v>
      </c>
      <c r="O301" s="2205" t="s">
        <v>357</v>
      </c>
      <c r="P301" s="2234">
        <f t="shared" si="9"/>
        <v>6</v>
      </c>
      <c r="Q301" s="2223"/>
      <c r="R301" s="529"/>
      <c r="S301" s="2223"/>
      <c r="T301" s="2223"/>
      <c r="U301" s="2223"/>
      <c r="V301" s="2224"/>
      <c r="W301" s="2224"/>
      <c r="X301" s="2224"/>
    </row>
    <row r="302" spans="1:24" ht="15.75" customHeight="1">
      <c r="A302" s="353">
        <f>A301+1</f>
        <v>3</v>
      </c>
      <c r="B302" s="354" t="s">
        <v>614</v>
      </c>
      <c r="C302" s="1336"/>
      <c r="D302" s="1336"/>
      <c r="E302" s="1336"/>
      <c r="F302" s="2203">
        <v>2</v>
      </c>
      <c r="G302" s="1336"/>
      <c r="H302" s="1336"/>
      <c r="I302" s="1336"/>
      <c r="J302" s="1336"/>
      <c r="K302" s="1336"/>
      <c r="L302" s="1336"/>
      <c r="M302" s="1336"/>
      <c r="N302" s="1336">
        <f t="shared" si="8"/>
        <v>2</v>
      </c>
      <c r="O302" s="2205" t="s">
        <v>124</v>
      </c>
      <c r="P302" s="2234">
        <f t="shared" si="9"/>
        <v>2</v>
      </c>
      <c r="Q302" s="2223"/>
      <c r="R302" s="529"/>
      <c r="S302" s="2223"/>
      <c r="T302" s="2223"/>
      <c r="U302" s="2223"/>
      <c r="V302" s="2224"/>
      <c r="W302" s="2224"/>
      <c r="X302" s="2224"/>
    </row>
    <row r="303" spans="1:24" ht="15.75" customHeight="1">
      <c r="A303" s="353">
        <f>A302+1</f>
        <v>4</v>
      </c>
      <c r="B303" s="354" t="s">
        <v>615</v>
      </c>
      <c r="C303" s="1336"/>
      <c r="D303" s="1336"/>
      <c r="E303" s="1336"/>
      <c r="F303" s="2203">
        <f>F301</f>
        <v>6</v>
      </c>
      <c r="G303" s="1336"/>
      <c r="H303" s="1336"/>
      <c r="I303" s="1336"/>
      <c r="J303" s="1336"/>
      <c r="K303" s="1336"/>
      <c r="L303" s="1336"/>
      <c r="M303" s="1336"/>
      <c r="N303" s="1336">
        <f t="shared" si="8"/>
        <v>6</v>
      </c>
      <c r="O303" s="2205" t="s">
        <v>124</v>
      </c>
      <c r="P303" s="2234">
        <f t="shared" si="9"/>
        <v>6</v>
      </c>
      <c r="Q303" s="2223"/>
      <c r="R303" s="529"/>
      <c r="S303" s="2223"/>
      <c r="T303" s="2223"/>
      <c r="U303" s="2223"/>
      <c r="V303" s="2224"/>
      <c r="W303" s="2224"/>
      <c r="X303" s="2224"/>
    </row>
    <row r="304" spans="1:24" ht="15.75" customHeight="1">
      <c r="A304" s="353">
        <f>A303+1</f>
        <v>5</v>
      </c>
      <c r="B304" s="354" t="s">
        <v>547</v>
      </c>
      <c r="C304" s="1336"/>
      <c r="D304" s="1336"/>
      <c r="E304" s="1336"/>
      <c r="F304" s="2203">
        <f>F300</f>
        <v>18</v>
      </c>
      <c r="G304" s="1336"/>
      <c r="H304" s="1336"/>
      <c r="I304" s="1336"/>
      <c r="J304" s="1336"/>
      <c r="K304" s="1336"/>
      <c r="L304" s="1336"/>
      <c r="M304" s="1336"/>
      <c r="N304" s="1336">
        <f t="shared" si="8"/>
        <v>18</v>
      </c>
      <c r="O304" s="2205" t="s">
        <v>124</v>
      </c>
      <c r="P304" s="2234">
        <f t="shared" si="9"/>
        <v>18</v>
      </c>
      <c r="Q304" s="2223"/>
      <c r="R304" s="529"/>
      <c r="S304" s="2223"/>
      <c r="T304" s="2223"/>
      <c r="U304" s="2223"/>
      <c r="V304" s="2224"/>
      <c r="W304" s="2224"/>
      <c r="X304" s="2224"/>
    </row>
    <row r="305" spans="1:24" ht="15.75" customHeight="1">
      <c r="A305" s="353">
        <f>A304+1</f>
        <v>6</v>
      </c>
      <c r="B305" s="2301" t="s">
        <v>847</v>
      </c>
      <c r="C305" s="1336"/>
      <c r="D305" s="1336"/>
      <c r="E305" s="1336"/>
      <c r="F305" s="2203">
        <v>1</v>
      </c>
      <c r="G305" s="1336"/>
      <c r="H305" s="1336"/>
      <c r="I305" s="1336"/>
      <c r="J305" s="1336"/>
      <c r="K305" s="1336"/>
      <c r="L305" s="1336"/>
      <c r="M305" s="1336"/>
      <c r="N305" s="1336">
        <f t="shared" si="8"/>
        <v>1</v>
      </c>
      <c r="O305" s="2205" t="s">
        <v>124</v>
      </c>
      <c r="P305" s="2300">
        <f t="shared" si="9"/>
        <v>1</v>
      </c>
      <c r="Q305" s="2223"/>
      <c r="R305" s="529"/>
      <c r="S305" s="2223"/>
      <c r="T305" s="2223"/>
      <c r="U305" s="2223"/>
      <c r="V305" s="2224"/>
      <c r="W305" s="2224"/>
      <c r="X305" s="2224"/>
    </row>
    <row r="306" spans="1:24" ht="7.5" customHeight="1" thickBot="1">
      <c r="A306" s="2302"/>
      <c r="B306" s="2303"/>
      <c r="C306" s="547"/>
      <c r="D306" s="547"/>
      <c r="E306" s="547"/>
      <c r="F306" s="547"/>
      <c r="G306" s="547"/>
      <c r="H306" s="547"/>
      <c r="I306" s="547"/>
      <c r="J306" s="547"/>
      <c r="K306" s="547"/>
      <c r="L306" s="547"/>
      <c r="M306" s="547"/>
      <c r="N306" s="547"/>
      <c r="O306" s="2304"/>
      <c r="P306" s="2305"/>
      <c r="Q306" s="2223"/>
      <c r="R306" s="2223"/>
      <c r="S306" s="2223"/>
      <c r="T306" s="2223"/>
      <c r="U306" s="2223"/>
      <c r="V306" s="2224"/>
      <c r="W306" s="2224"/>
      <c r="X306" s="2224"/>
    </row>
    <row r="307" spans="1:24" ht="15.75" customHeight="1">
      <c r="A307" s="2306"/>
      <c r="B307" s="2223"/>
      <c r="C307" s="529"/>
      <c r="D307" s="529"/>
      <c r="E307" s="529"/>
      <c r="F307" s="529"/>
      <c r="G307" s="529"/>
      <c r="H307" s="529"/>
      <c r="I307" s="529"/>
      <c r="J307" s="529"/>
      <c r="K307" s="529"/>
      <c r="L307" s="529"/>
      <c r="M307" s="529"/>
      <c r="N307" s="529"/>
      <c r="O307" s="2306"/>
      <c r="P307" s="2306"/>
      <c r="Q307" s="2223"/>
      <c r="R307" s="2223"/>
      <c r="S307" s="2223"/>
      <c r="T307" s="2223"/>
      <c r="U307" s="2223"/>
      <c r="V307" s="2224"/>
      <c r="W307" s="2224"/>
      <c r="X307" s="2224"/>
    </row>
    <row r="308" spans="1:24" ht="15.75" customHeight="1">
      <c r="A308" s="2306"/>
      <c r="B308" s="2223"/>
      <c r="C308" s="529"/>
      <c r="D308" s="529"/>
      <c r="E308" s="529"/>
      <c r="F308" s="529"/>
      <c r="G308" s="529"/>
      <c r="H308" s="529"/>
      <c r="I308" s="529"/>
      <c r="J308" s="529"/>
      <c r="K308" s="529"/>
      <c r="L308" s="529"/>
      <c r="M308" s="529"/>
      <c r="N308" s="529"/>
      <c r="O308" s="2306"/>
      <c r="P308" s="2306"/>
      <c r="Q308" s="2223"/>
      <c r="R308" s="2223"/>
      <c r="S308" s="2223"/>
      <c r="T308" s="2223"/>
      <c r="U308" s="2223"/>
      <c r="V308" s="2224"/>
      <c r="W308" s="2224"/>
      <c r="X308" s="2224"/>
    </row>
    <row r="309" spans="1:24" ht="15.75" customHeight="1">
      <c r="A309" s="2306"/>
      <c r="B309" s="2223"/>
      <c r="C309" s="529"/>
      <c r="D309" s="529"/>
      <c r="E309" s="529"/>
      <c r="F309" s="529"/>
      <c r="G309" s="529"/>
      <c r="H309" s="529"/>
      <c r="I309" s="529"/>
      <c r="J309" s="529"/>
      <c r="K309" s="529"/>
      <c r="L309" s="529"/>
      <c r="M309" s="529"/>
      <c r="N309" s="529"/>
      <c r="O309" s="2306"/>
      <c r="P309" s="2306"/>
      <c r="Q309" s="2223"/>
      <c r="R309" s="2223"/>
      <c r="S309" s="2223"/>
      <c r="T309" s="2223"/>
      <c r="U309" s="2223"/>
      <c r="V309" s="2224"/>
      <c r="W309" s="2224"/>
      <c r="X309" s="2224"/>
    </row>
    <row r="310" spans="1:24" ht="15.75" customHeight="1">
      <c r="A310" s="2306"/>
      <c r="B310" s="2223"/>
      <c r="C310" s="529"/>
      <c r="D310" s="529"/>
      <c r="E310" s="529"/>
      <c r="F310" s="529"/>
      <c r="G310" s="529"/>
      <c r="H310" s="529"/>
      <c r="I310" s="529"/>
      <c r="J310" s="529"/>
      <c r="K310" s="529"/>
      <c r="L310" s="529"/>
      <c r="M310" s="529"/>
      <c r="N310" s="529"/>
      <c r="O310" s="2306"/>
      <c r="P310" s="2306"/>
      <c r="Q310" s="2223"/>
      <c r="R310" s="2223"/>
      <c r="S310" s="2223"/>
      <c r="T310" s="2223"/>
      <c r="U310" s="2223"/>
      <c r="V310" s="2224"/>
      <c r="W310" s="2224"/>
      <c r="X310" s="2224"/>
    </row>
    <row r="311" spans="1:24" ht="15.75" customHeight="1">
      <c r="A311" s="2223"/>
      <c r="B311" s="2223"/>
      <c r="C311" s="529"/>
      <c r="D311" s="529"/>
      <c r="E311" s="529"/>
      <c r="F311" s="529"/>
      <c r="G311" s="529"/>
      <c r="H311" s="529"/>
      <c r="I311" s="529"/>
      <c r="J311" s="529"/>
      <c r="K311" s="529"/>
      <c r="L311" s="529"/>
      <c r="M311" s="529"/>
      <c r="N311" s="529"/>
      <c r="O311" s="2306"/>
      <c r="P311" s="2306"/>
      <c r="Q311" s="2223"/>
      <c r="R311" s="2223"/>
      <c r="S311" s="2223"/>
      <c r="T311" s="2223"/>
      <c r="U311" s="2223"/>
      <c r="V311" s="2224"/>
      <c r="W311" s="2224"/>
      <c r="X311" s="2224"/>
    </row>
    <row r="312" spans="1:24" ht="15.75" customHeight="1">
      <c r="A312" s="2223"/>
      <c r="B312" s="2223"/>
      <c r="C312" s="529"/>
      <c r="D312" s="529"/>
      <c r="E312" s="529"/>
      <c r="F312" s="529"/>
      <c r="G312" s="529"/>
      <c r="H312" s="529"/>
      <c r="I312" s="529"/>
      <c r="J312" s="529"/>
      <c r="K312" s="529"/>
      <c r="L312" s="529"/>
      <c r="M312" s="529"/>
      <c r="N312" s="529"/>
      <c r="O312" s="2306"/>
      <c r="P312" s="2306"/>
      <c r="Q312" s="2223"/>
      <c r="R312" s="2223"/>
      <c r="S312" s="2223"/>
      <c r="T312" s="2223"/>
      <c r="U312" s="2223"/>
      <c r="V312" s="2224"/>
      <c r="W312" s="2224"/>
      <c r="X312" s="2224"/>
    </row>
    <row r="313" spans="1:24" ht="15.75" customHeight="1">
      <c r="A313" s="2223"/>
      <c r="B313" s="2223"/>
      <c r="C313" s="529"/>
      <c r="D313" s="529"/>
      <c r="E313" s="529"/>
      <c r="F313" s="529"/>
      <c r="G313" s="529"/>
      <c r="H313" s="529"/>
      <c r="I313" s="529"/>
      <c r="J313" s="529"/>
      <c r="K313" s="529"/>
      <c r="L313" s="529"/>
      <c r="M313" s="529"/>
      <c r="N313" s="529"/>
      <c r="O313" s="2306"/>
      <c r="P313" s="2306"/>
      <c r="Q313" s="2223"/>
      <c r="R313" s="2223"/>
      <c r="S313" s="2223"/>
      <c r="T313" s="2223"/>
      <c r="U313" s="2223"/>
      <c r="V313" s="2224"/>
      <c r="W313" s="2224"/>
      <c r="X313" s="2224"/>
    </row>
    <row r="314" spans="1:24" ht="15.75" customHeight="1">
      <c r="A314" s="2223"/>
      <c r="B314" s="2223"/>
      <c r="C314" s="529"/>
      <c r="D314" s="529"/>
      <c r="E314" s="529"/>
      <c r="F314" s="529"/>
      <c r="G314" s="529"/>
      <c r="H314" s="529"/>
      <c r="I314" s="529"/>
      <c r="J314" s="529"/>
      <c r="K314" s="529"/>
      <c r="L314" s="529"/>
      <c r="M314" s="529"/>
      <c r="N314" s="529"/>
      <c r="O314" s="2306"/>
      <c r="P314" s="2306"/>
      <c r="Q314" s="2223"/>
      <c r="R314" s="2223"/>
      <c r="S314" s="2223"/>
      <c r="T314" s="2223"/>
      <c r="U314" s="2223"/>
      <c r="V314" s="2224"/>
      <c r="W314" s="2224"/>
      <c r="X314" s="2224"/>
    </row>
    <row r="315" spans="1:24" ht="15.75" customHeight="1">
      <c r="A315" s="2223"/>
      <c r="B315" s="2223"/>
      <c r="C315" s="529"/>
      <c r="D315" s="529"/>
      <c r="E315" s="529"/>
      <c r="F315" s="529"/>
      <c r="G315" s="529"/>
      <c r="H315" s="529"/>
      <c r="I315" s="529"/>
      <c r="J315" s="529"/>
      <c r="K315" s="529"/>
      <c r="L315" s="529"/>
      <c r="M315" s="529"/>
      <c r="N315" s="529"/>
      <c r="O315" s="2306"/>
      <c r="P315" s="2306"/>
      <c r="Q315" s="2223"/>
      <c r="R315" s="2223"/>
      <c r="S315" s="2223"/>
      <c r="T315" s="2223"/>
      <c r="U315" s="2223"/>
      <c r="V315" s="2224"/>
      <c r="W315" s="2224"/>
      <c r="X315" s="2224"/>
    </row>
    <row r="316" spans="1:24" ht="15.75" customHeight="1">
      <c r="A316" s="2223"/>
      <c r="B316" s="2223"/>
      <c r="C316" s="529"/>
      <c r="D316" s="529"/>
      <c r="E316" s="529"/>
      <c r="F316" s="529"/>
      <c r="G316" s="529"/>
      <c r="H316" s="529"/>
      <c r="I316" s="529"/>
      <c r="J316" s="529"/>
      <c r="K316" s="529"/>
      <c r="L316" s="529"/>
      <c r="M316" s="529"/>
      <c r="N316" s="529"/>
      <c r="O316" s="2306"/>
      <c r="P316" s="2306"/>
      <c r="Q316" s="2223"/>
      <c r="R316" s="2223"/>
      <c r="S316" s="2223"/>
      <c r="T316" s="2223"/>
      <c r="U316" s="2223"/>
      <c r="V316" s="2224"/>
      <c r="W316" s="2224"/>
      <c r="X316" s="2224"/>
    </row>
    <row r="317" spans="1:24" ht="15.75" customHeight="1">
      <c r="A317" s="2223"/>
      <c r="B317" s="2223"/>
      <c r="C317" s="529"/>
      <c r="D317" s="529"/>
      <c r="E317" s="529"/>
      <c r="F317" s="529"/>
      <c r="G317" s="529"/>
      <c r="H317" s="529"/>
      <c r="I317" s="529"/>
      <c r="J317" s="529"/>
      <c r="K317" s="529"/>
      <c r="L317" s="529"/>
      <c r="M317" s="529"/>
      <c r="N317" s="529"/>
      <c r="O317" s="2306"/>
      <c r="P317" s="2306"/>
      <c r="Q317" s="2223"/>
      <c r="R317" s="2223"/>
      <c r="S317" s="2223"/>
      <c r="T317" s="2223"/>
      <c r="U317" s="2223"/>
      <c r="V317" s="2224"/>
      <c r="W317" s="2224"/>
      <c r="X317" s="2224"/>
    </row>
    <row r="318" spans="1:24" ht="15.75" customHeight="1">
      <c r="A318" s="2223"/>
      <c r="B318" s="2223"/>
      <c r="C318" s="529"/>
      <c r="D318" s="529"/>
      <c r="E318" s="529"/>
      <c r="F318" s="529"/>
      <c r="G318" s="529"/>
      <c r="H318" s="529"/>
      <c r="I318" s="529"/>
      <c r="J318" s="529"/>
      <c r="K318" s="529"/>
      <c r="L318" s="529"/>
      <c r="M318" s="529"/>
      <c r="N318" s="529"/>
      <c r="O318" s="2306"/>
      <c r="P318" s="2306"/>
      <c r="Q318" s="2223"/>
      <c r="R318" s="2223"/>
      <c r="S318" s="2223"/>
      <c r="T318" s="2223"/>
      <c r="U318" s="2223"/>
      <c r="V318" s="2224"/>
      <c r="W318" s="2224"/>
      <c r="X318" s="2224"/>
    </row>
    <row r="319" spans="1:24" ht="15.75" customHeight="1">
      <c r="A319" s="2223"/>
      <c r="B319" s="2223"/>
      <c r="C319" s="529"/>
      <c r="D319" s="529"/>
      <c r="E319" s="529"/>
      <c r="F319" s="529"/>
      <c r="G319" s="529"/>
      <c r="H319" s="529"/>
      <c r="I319" s="529"/>
      <c r="J319" s="529"/>
      <c r="K319" s="529"/>
      <c r="L319" s="529"/>
      <c r="M319" s="529"/>
      <c r="N319" s="529"/>
      <c r="O319" s="2306"/>
      <c r="P319" s="2306"/>
      <c r="Q319" s="2223"/>
      <c r="R319" s="2223"/>
      <c r="S319" s="2223"/>
      <c r="T319" s="2223"/>
      <c r="U319" s="2223"/>
      <c r="V319" s="2224"/>
      <c r="W319" s="2224"/>
      <c r="X319" s="2224"/>
    </row>
    <row r="320" spans="1:24" ht="15.75" customHeight="1">
      <c r="A320" s="2223"/>
      <c r="B320" s="2223"/>
      <c r="C320" s="529"/>
      <c r="D320" s="529"/>
      <c r="E320" s="529"/>
      <c r="F320" s="529"/>
      <c r="G320" s="529"/>
      <c r="H320" s="529"/>
      <c r="I320" s="529"/>
      <c r="J320" s="529"/>
      <c r="K320" s="529"/>
      <c r="L320" s="529"/>
      <c r="M320" s="529"/>
      <c r="N320" s="529"/>
      <c r="O320" s="2306"/>
      <c r="P320" s="2306"/>
      <c r="Q320" s="2223"/>
      <c r="R320" s="2223"/>
      <c r="S320" s="2223"/>
      <c r="T320" s="2223"/>
      <c r="U320" s="2223"/>
      <c r="V320" s="2224"/>
      <c r="W320" s="2224"/>
      <c r="X320" s="2224"/>
    </row>
    <row r="321" spans="1:24" ht="15.75" customHeight="1">
      <c r="A321" s="2223"/>
      <c r="B321" s="2223"/>
      <c r="C321" s="529"/>
      <c r="D321" s="529"/>
      <c r="E321" s="529"/>
      <c r="F321" s="529"/>
      <c r="G321" s="529"/>
      <c r="H321" s="529"/>
      <c r="I321" s="529"/>
      <c r="J321" s="529"/>
      <c r="K321" s="529"/>
      <c r="L321" s="529"/>
      <c r="M321" s="529"/>
      <c r="N321" s="529"/>
      <c r="O321" s="2306"/>
      <c r="P321" s="2306"/>
      <c r="Q321" s="2223"/>
      <c r="R321" s="2223"/>
      <c r="S321" s="2223"/>
      <c r="T321" s="2223"/>
      <c r="U321" s="2223"/>
      <c r="V321" s="2224"/>
      <c r="W321" s="2224"/>
      <c r="X321" s="2224"/>
    </row>
    <row r="322" spans="1:24" ht="15.75" customHeight="1">
      <c r="A322" s="2223"/>
      <c r="B322" s="2223"/>
      <c r="C322" s="529"/>
      <c r="D322" s="529"/>
      <c r="E322" s="529"/>
      <c r="F322" s="529"/>
      <c r="G322" s="529"/>
      <c r="H322" s="529"/>
      <c r="I322" s="529"/>
      <c r="J322" s="529"/>
      <c r="K322" s="529"/>
      <c r="L322" s="529"/>
      <c r="M322" s="529"/>
      <c r="N322" s="529"/>
      <c r="O322" s="2306"/>
      <c r="P322" s="2306"/>
      <c r="Q322" s="2223"/>
      <c r="R322" s="2223"/>
      <c r="S322" s="2223"/>
      <c r="T322" s="2223"/>
      <c r="U322" s="2223"/>
      <c r="V322" s="2224"/>
      <c r="W322" s="2224"/>
      <c r="X322" s="2224"/>
    </row>
    <row r="323" spans="1:24" ht="15.75" customHeight="1">
      <c r="A323" s="2223"/>
      <c r="B323" s="2223"/>
      <c r="C323" s="529"/>
      <c r="D323" s="529"/>
      <c r="E323" s="529"/>
      <c r="F323" s="529"/>
      <c r="G323" s="529"/>
      <c r="H323" s="529"/>
      <c r="I323" s="529"/>
      <c r="J323" s="529"/>
      <c r="K323" s="529"/>
      <c r="L323" s="529"/>
      <c r="M323" s="529"/>
      <c r="N323" s="529"/>
      <c r="O323" s="2306"/>
      <c r="P323" s="2306"/>
      <c r="Q323" s="2223"/>
      <c r="R323" s="2223"/>
      <c r="S323" s="2223"/>
      <c r="T323" s="2223"/>
      <c r="U323" s="2223"/>
      <c r="V323" s="2224"/>
      <c r="W323" s="2224"/>
      <c r="X323" s="2224"/>
    </row>
    <row r="324" spans="1:24" ht="15.75" customHeight="1">
      <c r="A324" s="2223"/>
      <c r="B324" s="2223"/>
      <c r="C324" s="529"/>
      <c r="D324" s="529"/>
      <c r="E324" s="529"/>
      <c r="F324" s="529"/>
      <c r="G324" s="529"/>
      <c r="H324" s="529"/>
      <c r="I324" s="529"/>
      <c r="J324" s="529"/>
      <c r="K324" s="529"/>
      <c r="L324" s="529"/>
      <c r="M324" s="529"/>
      <c r="N324" s="529"/>
      <c r="O324" s="2306"/>
      <c r="P324" s="2306"/>
      <c r="Q324" s="2223"/>
      <c r="R324" s="2223"/>
      <c r="S324" s="2223"/>
      <c r="T324" s="2223"/>
      <c r="U324" s="2223"/>
      <c r="V324" s="2224"/>
      <c r="W324" s="2224"/>
      <c r="X324" s="2224"/>
    </row>
    <row r="325" spans="1:24" ht="15.75" customHeight="1">
      <c r="A325" s="2223"/>
      <c r="B325" s="2223"/>
      <c r="C325" s="529"/>
      <c r="D325" s="529"/>
      <c r="E325" s="529"/>
      <c r="F325" s="529"/>
      <c r="G325" s="529"/>
      <c r="H325" s="529"/>
      <c r="I325" s="529"/>
      <c r="J325" s="529"/>
      <c r="K325" s="529"/>
      <c r="L325" s="529"/>
      <c r="M325" s="529"/>
      <c r="N325" s="529"/>
      <c r="O325" s="2306"/>
      <c r="P325" s="2306"/>
      <c r="Q325" s="2223"/>
      <c r="R325" s="2223"/>
      <c r="S325" s="2223"/>
      <c r="T325" s="2223"/>
      <c r="U325" s="2223"/>
      <c r="V325" s="2224"/>
      <c r="W325" s="2224"/>
      <c r="X325" s="2224"/>
    </row>
    <row r="326" spans="1:24" ht="15.75" customHeight="1">
      <c r="A326" s="2223"/>
      <c r="B326" s="2223"/>
      <c r="C326" s="529"/>
      <c r="D326" s="529"/>
      <c r="E326" s="529"/>
      <c r="F326" s="529"/>
      <c r="G326" s="529"/>
      <c r="H326" s="529"/>
      <c r="I326" s="529"/>
      <c r="J326" s="529"/>
      <c r="K326" s="529"/>
      <c r="L326" s="529"/>
      <c r="M326" s="529"/>
      <c r="N326" s="529"/>
      <c r="O326" s="2306"/>
      <c r="P326" s="2306"/>
      <c r="Q326" s="2223"/>
      <c r="R326" s="2223"/>
      <c r="S326" s="2223"/>
      <c r="T326" s="2223"/>
      <c r="U326" s="2223"/>
      <c r="V326" s="2224"/>
      <c r="W326" s="2224"/>
      <c r="X326" s="2224"/>
    </row>
    <row r="327" spans="1:24" ht="15.75" customHeight="1">
      <c r="A327" s="2223"/>
      <c r="B327" s="2223"/>
      <c r="C327" s="529"/>
      <c r="D327" s="529"/>
      <c r="E327" s="529"/>
      <c r="F327" s="529"/>
      <c r="G327" s="529"/>
      <c r="H327" s="529"/>
      <c r="I327" s="529"/>
      <c r="J327" s="529"/>
      <c r="K327" s="529"/>
      <c r="L327" s="529"/>
      <c r="M327" s="529"/>
      <c r="N327" s="529"/>
      <c r="O327" s="2306"/>
      <c r="P327" s="2306"/>
      <c r="Q327" s="2223"/>
      <c r="R327" s="2223"/>
      <c r="S327" s="2223"/>
      <c r="T327" s="2223"/>
      <c r="U327" s="2223"/>
      <c r="V327" s="2224"/>
      <c r="W327" s="2224"/>
      <c r="X327" s="2224"/>
    </row>
    <row r="328" spans="1:24" ht="15.75" customHeight="1">
      <c r="A328" s="2223"/>
      <c r="B328" s="2223"/>
      <c r="C328" s="529"/>
      <c r="D328" s="529"/>
      <c r="E328" s="529"/>
      <c r="F328" s="529"/>
      <c r="G328" s="529"/>
      <c r="H328" s="529"/>
      <c r="I328" s="529"/>
      <c r="J328" s="529"/>
      <c r="K328" s="529"/>
      <c r="L328" s="529"/>
      <c r="M328" s="529"/>
      <c r="N328" s="529"/>
      <c r="O328" s="2306"/>
      <c r="P328" s="2306"/>
      <c r="Q328" s="2223"/>
      <c r="R328" s="2223"/>
      <c r="S328" s="2223"/>
      <c r="T328" s="2223"/>
      <c r="U328" s="2223"/>
      <c r="V328" s="2224"/>
      <c r="W328" s="2224"/>
      <c r="X328" s="2224"/>
    </row>
    <row r="329" spans="1:24" ht="15.75" customHeight="1">
      <c r="A329" s="2223"/>
      <c r="B329" s="2223"/>
      <c r="C329" s="529"/>
      <c r="D329" s="529"/>
      <c r="E329" s="529"/>
      <c r="F329" s="529"/>
      <c r="G329" s="529"/>
      <c r="H329" s="529"/>
      <c r="I329" s="529"/>
      <c r="J329" s="529"/>
      <c r="K329" s="529"/>
      <c r="L329" s="529"/>
      <c r="M329" s="529"/>
      <c r="N329" s="529"/>
      <c r="O329" s="2306"/>
      <c r="P329" s="2306"/>
      <c r="Q329" s="2223"/>
      <c r="R329" s="2223"/>
      <c r="S329" s="2223"/>
      <c r="T329" s="2223"/>
      <c r="U329" s="2223"/>
      <c r="V329" s="2224"/>
      <c r="W329" s="2224"/>
      <c r="X329" s="2224"/>
    </row>
    <row r="330" spans="1:24" ht="15.75" customHeight="1">
      <c r="A330" s="2223"/>
      <c r="B330" s="2223"/>
      <c r="C330" s="529"/>
      <c r="D330" s="529"/>
      <c r="E330" s="529"/>
      <c r="F330" s="529"/>
      <c r="G330" s="529"/>
      <c r="H330" s="529"/>
      <c r="I330" s="529"/>
      <c r="J330" s="529"/>
      <c r="K330" s="529"/>
      <c r="L330" s="529"/>
      <c r="M330" s="529"/>
      <c r="N330" s="529"/>
      <c r="O330" s="2306"/>
      <c r="P330" s="2306"/>
      <c r="Q330" s="2223"/>
      <c r="R330" s="2223"/>
      <c r="S330" s="2223"/>
      <c r="T330" s="2223"/>
      <c r="U330" s="2223"/>
      <c r="V330" s="2224"/>
      <c r="W330" s="2224"/>
      <c r="X330" s="2224"/>
    </row>
    <row r="331" spans="1:24" ht="15.75" customHeight="1">
      <c r="A331" s="2223"/>
      <c r="B331" s="2223"/>
      <c r="C331" s="529"/>
      <c r="D331" s="529"/>
      <c r="E331" s="529"/>
      <c r="F331" s="529"/>
      <c r="G331" s="529"/>
      <c r="H331" s="529"/>
      <c r="I331" s="529"/>
      <c r="J331" s="529"/>
      <c r="K331" s="529"/>
      <c r="L331" s="529"/>
      <c r="M331" s="529"/>
      <c r="N331" s="529"/>
      <c r="O331" s="2306"/>
      <c r="P331" s="2306"/>
      <c r="Q331" s="2223"/>
      <c r="R331" s="2223"/>
      <c r="S331" s="2223"/>
      <c r="T331" s="2223"/>
      <c r="U331" s="2223"/>
      <c r="V331" s="2224"/>
      <c r="W331" s="2224"/>
      <c r="X331" s="2224"/>
    </row>
    <row r="332" spans="1:24" ht="15.75" customHeight="1">
      <c r="A332" s="2223"/>
      <c r="B332" s="2223"/>
      <c r="C332" s="529"/>
      <c r="D332" s="529"/>
      <c r="E332" s="529"/>
      <c r="F332" s="529"/>
      <c r="G332" s="529"/>
      <c r="H332" s="529"/>
      <c r="I332" s="529"/>
      <c r="J332" s="529"/>
      <c r="K332" s="529"/>
      <c r="L332" s="529"/>
      <c r="M332" s="529"/>
      <c r="N332" s="529"/>
      <c r="O332" s="2306"/>
      <c r="P332" s="2306"/>
      <c r="Q332" s="2223"/>
      <c r="R332" s="2223"/>
      <c r="S332" s="2223"/>
      <c r="T332" s="2223"/>
      <c r="U332" s="2223"/>
      <c r="V332" s="2224"/>
      <c r="W332" s="2224"/>
      <c r="X332" s="2224"/>
    </row>
    <row r="333" spans="1:24" ht="15.75" customHeight="1">
      <c r="A333" s="2223"/>
      <c r="B333" s="2223"/>
      <c r="C333" s="529"/>
      <c r="D333" s="529"/>
      <c r="E333" s="529"/>
      <c r="F333" s="529"/>
      <c r="G333" s="529"/>
      <c r="H333" s="529"/>
      <c r="I333" s="529"/>
      <c r="J333" s="529"/>
      <c r="K333" s="529"/>
      <c r="L333" s="529"/>
      <c r="M333" s="529"/>
      <c r="N333" s="529"/>
      <c r="O333" s="2306"/>
      <c r="P333" s="2306"/>
      <c r="Q333" s="2223"/>
      <c r="R333" s="2223"/>
      <c r="S333" s="2223"/>
      <c r="T333" s="2223"/>
      <c r="U333" s="2223"/>
      <c r="V333" s="2224"/>
      <c r="W333" s="2224"/>
      <c r="X333" s="2224"/>
    </row>
    <row r="334" spans="1:24" ht="15.75" customHeight="1">
      <c r="A334" s="2223"/>
      <c r="B334" s="2223"/>
      <c r="C334" s="529"/>
      <c r="D334" s="529"/>
      <c r="E334" s="529"/>
      <c r="F334" s="529"/>
      <c r="G334" s="529"/>
      <c r="H334" s="529"/>
      <c r="I334" s="529"/>
      <c r="J334" s="529"/>
      <c r="K334" s="529"/>
      <c r="L334" s="529"/>
      <c r="M334" s="529"/>
      <c r="N334" s="529"/>
      <c r="O334" s="2306"/>
      <c r="P334" s="2306"/>
      <c r="Q334" s="2223"/>
      <c r="R334" s="2223"/>
      <c r="S334" s="2223"/>
      <c r="T334" s="2223"/>
      <c r="U334" s="2223"/>
      <c r="V334" s="2224"/>
      <c r="W334" s="2224"/>
      <c r="X334" s="2224"/>
    </row>
    <row r="335" spans="1:24" ht="15.75" customHeight="1">
      <c r="A335" s="2223"/>
      <c r="B335" s="2223"/>
      <c r="C335" s="529"/>
      <c r="D335" s="529"/>
      <c r="E335" s="529"/>
      <c r="F335" s="529"/>
      <c r="G335" s="529"/>
      <c r="H335" s="529"/>
      <c r="I335" s="529"/>
      <c r="J335" s="529"/>
      <c r="K335" s="529"/>
      <c r="L335" s="529"/>
      <c r="M335" s="529"/>
      <c r="N335" s="529"/>
      <c r="O335" s="2306"/>
      <c r="P335" s="2306"/>
      <c r="Q335" s="2223"/>
      <c r="R335" s="2223"/>
      <c r="S335" s="2223"/>
      <c r="T335" s="2223"/>
      <c r="U335" s="2223"/>
      <c r="V335" s="2224"/>
      <c r="W335" s="2224"/>
      <c r="X335" s="2224"/>
    </row>
    <row r="336" spans="1:24" ht="15.75" customHeight="1">
      <c r="A336" s="2223"/>
      <c r="B336" s="2223"/>
      <c r="C336" s="529"/>
      <c r="D336" s="529"/>
      <c r="E336" s="529"/>
      <c r="F336" s="529"/>
      <c r="G336" s="529"/>
      <c r="H336" s="529"/>
      <c r="I336" s="529"/>
      <c r="J336" s="529"/>
      <c r="K336" s="529"/>
      <c r="L336" s="529"/>
      <c r="M336" s="529"/>
      <c r="N336" s="529"/>
      <c r="O336" s="2306"/>
      <c r="P336" s="2306"/>
      <c r="Q336" s="2223"/>
      <c r="R336" s="2223"/>
      <c r="S336" s="2223"/>
      <c r="T336" s="2223"/>
      <c r="U336" s="2223"/>
      <c r="V336" s="2224"/>
      <c r="W336" s="2224"/>
      <c r="X336" s="2224"/>
    </row>
    <row r="337" spans="1:24" ht="15.75" customHeight="1">
      <c r="A337" s="2223"/>
      <c r="B337" s="2223"/>
      <c r="C337" s="529"/>
      <c r="D337" s="529"/>
      <c r="E337" s="529"/>
      <c r="F337" s="529"/>
      <c r="G337" s="529"/>
      <c r="H337" s="529"/>
      <c r="I337" s="529"/>
      <c r="J337" s="529"/>
      <c r="K337" s="529"/>
      <c r="L337" s="529"/>
      <c r="M337" s="529"/>
      <c r="N337" s="529"/>
      <c r="O337" s="2306"/>
      <c r="P337" s="2306"/>
      <c r="Q337" s="2223"/>
      <c r="R337" s="2223"/>
      <c r="S337" s="2223"/>
      <c r="T337" s="2223"/>
      <c r="U337" s="2223"/>
      <c r="V337" s="2224"/>
      <c r="W337" s="2224"/>
      <c r="X337" s="2224"/>
    </row>
    <row r="338" spans="1:24" ht="15.75" customHeight="1">
      <c r="A338" s="2223"/>
      <c r="B338" s="2223"/>
      <c r="C338" s="529"/>
      <c r="D338" s="529"/>
      <c r="E338" s="529"/>
      <c r="F338" s="529"/>
      <c r="G338" s="529"/>
      <c r="H338" s="529"/>
      <c r="I338" s="529"/>
      <c r="J338" s="529"/>
      <c r="K338" s="529"/>
      <c r="L338" s="529"/>
      <c r="M338" s="529"/>
      <c r="N338" s="529"/>
      <c r="O338" s="2306"/>
      <c r="P338" s="2306"/>
      <c r="Q338" s="2223"/>
      <c r="R338" s="2223"/>
      <c r="S338" s="2223"/>
      <c r="T338" s="2223"/>
      <c r="U338" s="2223"/>
      <c r="V338" s="2224"/>
      <c r="W338" s="2224"/>
      <c r="X338" s="2224"/>
    </row>
    <row r="339" spans="1:24" ht="15.75" customHeight="1">
      <c r="A339" s="2223"/>
      <c r="B339" s="2223"/>
      <c r="C339" s="529"/>
      <c r="D339" s="529"/>
      <c r="E339" s="529"/>
      <c r="F339" s="529"/>
      <c r="G339" s="529"/>
      <c r="H339" s="529"/>
      <c r="I339" s="529"/>
      <c r="J339" s="529"/>
      <c r="K339" s="529"/>
      <c r="L339" s="529"/>
      <c r="M339" s="529"/>
      <c r="N339" s="529"/>
      <c r="O339" s="2306"/>
      <c r="P339" s="2306"/>
      <c r="Q339" s="2223"/>
      <c r="R339" s="2223"/>
      <c r="S339" s="2223"/>
      <c r="T339" s="2223"/>
      <c r="U339" s="2223"/>
      <c r="V339" s="2224"/>
      <c r="W339" s="2224"/>
      <c r="X339" s="2224"/>
    </row>
    <row r="340" spans="1:24" ht="15.75" customHeight="1">
      <c r="A340" s="2223"/>
      <c r="B340" s="2223"/>
      <c r="C340" s="529"/>
      <c r="D340" s="529"/>
      <c r="E340" s="529"/>
      <c r="F340" s="529"/>
      <c r="G340" s="529"/>
      <c r="H340" s="529"/>
      <c r="I340" s="529"/>
      <c r="J340" s="529"/>
      <c r="K340" s="529"/>
      <c r="L340" s="529"/>
      <c r="M340" s="529"/>
      <c r="N340" s="529"/>
      <c r="O340" s="2306"/>
      <c r="P340" s="2306"/>
      <c r="Q340" s="2223"/>
      <c r="R340" s="2223"/>
      <c r="S340" s="2223"/>
      <c r="T340" s="2223"/>
      <c r="U340" s="2223"/>
      <c r="V340" s="2224"/>
      <c r="W340" s="2224"/>
      <c r="X340" s="2224"/>
    </row>
    <row r="341" spans="1:24" ht="15.75" customHeight="1">
      <c r="A341" s="2223"/>
      <c r="B341" s="2223"/>
      <c r="C341" s="529"/>
      <c r="D341" s="529"/>
      <c r="E341" s="529"/>
      <c r="F341" s="529"/>
      <c r="G341" s="529"/>
      <c r="H341" s="529"/>
      <c r="I341" s="529"/>
      <c r="J341" s="529"/>
      <c r="K341" s="529"/>
      <c r="L341" s="529"/>
      <c r="M341" s="529"/>
      <c r="N341" s="529"/>
      <c r="O341" s="2306"/>
      <c r="P341" s="2306"/>
      <c r="Q341" s="2223"/>
      <c r="R341" s="2223"/>
      <c r="S341" s="2223"/>
      <c r="T341" s="2223"/>
      <c r="U341" s="2223"/>
      <c r="V341" s="2224"/>
      <c r="W341" s="2224"/>
      <c r="X341" s="2224"/>
    </row>
    <row r="342" spans="1:24" ht="15.75" customHeight="1">
      <c r="A342" s="2223"/>
      <c r="B342" s="2223"/>
      <c r="C342" s="529"/>
      <c r="D342" s="529"/>
      <c r="E342" s="529"/>
      <c r="F342" s="529"/>
      <c r="G342" s="529"/>
      <c r="H342" s="529"/>
      <c r="I342" s="529"/>
      <c r="J342" s="529"/>
      <c r="K342" s="529"/>
      <c r="L342" s="529"/>
      <c r="M342" s="529"/>
      <c r="N342" s="529"/>
      <c r="O342" s="2306"/>
      <c r="P342" s="2306"/>
      <c r="Q342" s="2223"/>
      <c r="R342" s="2223"/>
      <c r="S342" s="2223"/>
      <c r="T342" s="2223"/>
      <c r="U342" s="2223"/>
      <c r="V342" s="2224"/>
      <c r="W342" s="2224"/>
      <c r="X342" s="2224"/>
    </row>
    <row r="343" spans="1:24" ht="15.75" customHeight="1">
      <c r="A343" s="2223"/>
      <c r="B343" s="2223"/>
      <c r="C343" s="529"/>
      <c r="D343" s="529"/>
      <c r="E343" s="529"/>
      <c r="F343" s="529"/>
      <c r="G343" s="529"/>
      <c r="H343" s="529"/>
      <c r="I343" s="529"/>
      <c r="J343" s="529"/>
      <c r="K343" s="529"/>
      <c r="L343" s="529"/>
      <c r="M343" s="529"/>
      <c r="N343" s="529"/>
      <c r="O343" s="2306"/>
      <c r="P343" s="2306"/>
      <c r="Q343" s="2223"/>
      <c r="R343" s="2223"/>
      <c r="S343" s="2223"/>
      <c r="T343" s="2223"/>
      <c r="U343" s="2223"/>
      <c r="V343" s="2224"/>
      <c r="W343" s="2224"/>
      <c r="X343" s="2224"/>
    </row>
    <row r="344" spans="1:24" ht="15.75" customHeight="1">
      <c r="A344" s="2223"/>
      <c r="B344" s="2223"/>
      <c r="C344" s="529"/>
      <c r="D344" s="529"/>
      <c r="E344" s="529"/>
      <c r="F344" s="529"/>
      <c r="G344" s="529"/>
      <c r="H344" s="529"/>
      <c r="I344" s="529"/>
      <c r="J344" s="529"/>
      <c r="K344" s="529"/>
      <c r="L344" s="529"/>
      <c r="M344" s="529"/>
      <c r="N344" s="529"/>
      <c r="O344" s="2306"/>
      <c r="P344" s="2306"/>
      <c r="Q344" s="2223"/>
      <c r="R344" s="2223"/>
      <c r="S344" s="2223"/>
      <c r="T344" s="2223"/>
      <c r="U344" s="2223"/>
      <c r="V344" s="2224"/>
      <c r="W344" s="2224"/>
      <c r="X344" s="2224"/>
    </row>
    <row r="345" spans="1:24" ht="15.75" customHeight="1">
      <c r="A345" s="2223"/>
      <c r="B345" s="2223"/>
      <c r="C345" s="529"/>
      <c r="D345" s="529"/>
      <c r="E345" s="529"/>
      <c r="F345" s="529"/>
      <c r="G345" s="529"/>
      <c r="H345" s="529"/>
      <c r="I345" s="529"/>
      <c r="J345" s="529"/>
      <c r="K345" s="529"/>
      <c r="L345" s="529"/>
      <c r="M345" s="529"/>
      <c r="N345" s="529"/>
      <c r="O345" s="2306"/>
      <c r="P345" s="2306"/>
      <c r="Q345" s="2223"/>
      <c r="R345" s="2223"/>
      <c r="S345" s="2223"/>
      <c r="T345" s="2223"/>
      <c r="U345" s="2223"/>
      <c r="V345" s="2224"/>
      <c r="W345" s="2224"/>
      <c r="X345" s="2224"/>
    </row>
    <row r="346" spans="1:24" ht="15.75" customHeight="1">
      <c r="A346" s="2223"/>
      <c r="B346" s="2223"/>
      <c r="C346" s="529"/>
      <c r="D346" s="529"/>
      <c r="E346" s="529"/>
      <c r="F346" s="529"/>
      <c r="G346" s="529"/>
      <c r="H346" s="529"/>
      <c r="I346" s="529"/>
      <c r="J346" s="529"/>
      <c r="K346" s="529"/>
      <c r="L346" s="529"/>
      <c r="M346" s="529"/>
      <c r="N346" s="529"/>
      <c r="O346" s="2306"/>
      <c r="P346" s="2306"/>
      <c r="Q346" s="2223"/>
      <c r="R346" s="2223"/>
      <c r="S346" s="2223"/>
      <c r="T346" s="2223"/>
      <c r="U346" s="2223"/>
      <c r="V346" s="2224"/>
      <c r="W346" s="2224"/>
      <c r="X346" s="2224"/>
    </row>
    <row r="347" spans="1:24" ht="15.75" customHeight="1">
      <c r="A347" s="2223"/>
      <c r="B347" s="2223"/>
      <c r="C347" s="529"/>
      <c r="D347" s="529"/>
      <c r="E347" s="529"/>
      <c r="F347" s="529"/>
      <c r="G347" s="529"/>
      <c r="H347" s="529"/>
      <c r="I347" s="529"/>
      <c r="J347" s="529"/>
      <c r="K347" s="529"/>
      <c r="L347" s="529"/>
      <c r="M347" s="529"/>
      <c r="N347" s="529"/>
      <c r="O347" s="2306"/>
      <c r="P347" s="2306"/>
      <c r="Q347" s="2223"/>
      <c r="R347" s="2223"/>
      <c r="S347" s="2223"/>
      <c r="T347" s="2223"/>
      <c r="U347" s="2223"/>
      <c r="V347" s="2224"/>
      <c r="W347" s="2224"/>
      <c r="X347" s="2224"/>
    </row>
    <row r="348" spans="1:24" ht="15.75" customHeight="1">
      <c r="A348" s="2223"/>
      <c r="B348" s="2223"/>
      <c r="C348" s="529"/>
      <c r="D348" s="529"/>
      <c r="E348" s="529"/>
      <c r="F348" s="529"/>
      <c r="G348" s="529"/>
      <c r="H348" s="529"/>
      <c r="I348" s="529"/>
      <c r="J348" s="529"/>
      <c r="K348" s="529"/>
      <c r="L348" s="529"/>
      <c r="M348" s="529"/>
      <c r="N348" s="529"/>
      <c r="O348" s="2306"/>
      <c r="P348" s="2306"/>
      <c r="Q348" s="2223"/>
      <c r="R348" s="2223"/>
      <c r="S348" s="2223"/>
      <c r="T348" s="2223"/>
      <c r="U348" s="2223"/>
      <c r="V348" s="2224"/>
      <c r="W348" s="2224"/>
      <c r="X348" s="2224"/>
    </row>
    <row r="349" spans="1:24" ht="15.75" customHeight="1">
      <c r="A349" s="2223"/>
      <c r="B349" s="2223"/>
      <c r="C349" s="529"/>
      <c r="D349" s="529"/>
      <c r="E349" s="529"/>
      <c r="F349" s="529"/>
      <c r="G349" s="529"/>
      <c r="H349" s="529"/>
      <c r="I349" s="529"/>
      <c r="J349" s="529"/>
      <c r="K349" s="529"/>
      <c r="L349" s="529"/>
      <c r="M349" s="529"/>
      <c r="N349" s="529"/>
      <c r="O349" s="2306"/>
      <c r="P349" s="2306"/>
      <c r="Q349" s="2223"/>
      <c r="R349" s="2223"/>
      <c r="S349" s="2223"/>
      <c r="T349" s="2223"/>
      <c r="U349" s="2223"/>
      <c r="V349" s="2224"/>
      <c r="W349" s="2224"/>
      <c r="X349" s="2224"/>
    </row>
    <row r="350" spans="1:24" ht="15.75" customHeight="1">
      <c r="A350" s="2223"/>
      <c r="B350" s="2223"/>
      <c r="C350" s="529"/>
      <c r="D350" s="529"/>
      <c r="E350" s="529"/>
      <c r="F350" s="529"/>
      <c r="G350" s="529"/>
      <c r="H350" s="529"/>
      <c r="I350" s="529"/>
      <c r="J350" s="529"/>
      <c r="K350" s="529"/>
      <c r="L350" s="529"/>
      <c r="M350" s="529"/>
      <c r="N350" s="529"/>
      <c r="O350" s="2306"/>
      <c r="P350" s="2306"/>
      <c r="Q350" s="2223"/>
      <c r="R350" s="2223"/>
      <c r="S350" s="2223"/>
      <c r="T350" s="2223"/>
      <c r="U350" s="2223"/>
      <c r="V350" s="2224"/>
      <c r="W350" s="2224"/>
      <c r="X350" s="2224"/>
    </row>
    <row r="351" spans="1:24" ht="15.75" customHeight="1">
      <c r="A351" s="2223"/>
      <c r="B351" s="2223"/>
      <c r="C351" s="529"/>
      <c r="D351" s="529"/>
      <c r="E351" s="529"/>
      <c r="F351" s="529"/>
      <c r="G351" s="529"/>
      <c r="H351" s="529"/>
      <c r="I351" s="529"/>
      <c r="J351" s="529"/>
      <c r="K351" s="529"/>
      <c r="L351" s="529"/>
      <c r="M351" s="529"/>
      <c r="N351" s="529"/>
      <c r="O351" s="2306"/>
      <c r="P351" s="2306"/>
      <c r="Q351" s="2223"/>
      <c r="R351" s="2223"/>
      <c r="S351" s="2223"/>
      <c r="T351" s="2223"/>
      <c r="U351" s="2223"/>
      <c r="V351" s="2224"/>
      <c r="W351" s="2224"/>
      <c r="X351" s="2224"/>
    </row>
    <row r="352" spans="1:24" ht="15.75" customHeight="1">
      <c r="A352" s="2223"/>
      <c r="B352" s="2223"/>
      <c r="C352" s="529"/>
      <c r="D352" s="529"/>
      <c r="E352" s="529"/>
      <c r="F352" s="529"/>
      <c r="G352" s="529"/>
      <c r="H352" s="529"/>
      <c r="I352" s="529"/>
      <c r="J352" s="529"/>
      <c r="K352" s="529"/>
      <c r="L352" s="529"/>
      <c r="M352" s="529"/>
      <c r="N352" s="529"/>
      <c r="O352" s="2306"/>
      <c r="P352" s="2306"/>
      <c r="Q352" s="2223"/>
      <c r="R352" s="2223"/>
      <c r="S352" s="2223"/>
      <c r="T352" s="2223"/>
      <c r="U352" s="2223"/>
      <c r="V352" s="2224"/>
      <c r="W352" s="2224"/>
      <c r="X352" s="2224"/>
    </row>
    <row r="353" spans="1:24" ht="15.75" customHeight="1">
      <c r="A353" s="2223"/>
      <c r="B353" s="2223"/>
      <c r="C353" s="529"/>
      <c r="D353" s="529"/>
      <c r="E353" s="529"/>
      <c r="F353" s="529"/>
      <c r="G353" s="529"/>
      <c r="H353" s="529"/>
      <c r="I353" s="529"/>
      <c r="J353" s="529"/>
      <c r="K353" s="529"/>
      <c r="L353" s="529"/>
      <c r="M353" s="529"/>
      <c r="N353" s="529"/>
      <c r="O353" s="2306"/>
      <c r="P353" s="2306"/>
      <c r="Q353" s="2223"/>
      <c r="R353" s="2223"/>
      <c r="S353" s="2223"/>
      <c r="T353" s="2223"/>
      <c r="U353" s="2223"/>
      <c r="V353" s="2224"/>
      <c r="W353" s="2224"/>
      <c r="X353" s="2224"/>
    </row>
    <row r="354" spans="1:24" ht="15.75" customHeight="1">
      <c r="A354" s="2223"/>
      <c r="B354" s="2223"/>
      <c r="C354" s="529"/>
      <c r="D354" s="529"/>
      <c r="E354" s="529"/>
      <c r="F354" s="529"/>
      <c r="G354" s="529"/>
      <c r="H354" s="529"/>
      <c r="I354" s="529"/>
      <c r="J354" s="529"/>
      <c r="K354" s="529"/>
      <c r="L354" s="529"/>
      <c r="M354" s="529"/>
      <c r="N354" s="529"/>
      <c r="O354" s="2306"/>
      <c r="P354" s="2306"/>
      <c r="Q354" s="2223"/>
      <c r="R354" s="2223"/>
      <c r="S354" s="2223"/>
      <c r="T354" s="2223"/>
      <c r="U354" s="2223"/>
      <c r="V354" s="2224"/>
      <c r="W354" s="2224"/>
      <c r="X354" s="2224"/>
    </row>
    <row r="355" spans="1:24" ht="15.75" customHeight="1">
      <c r="A355" s="2223"/>
      <c r="B355" s="2223"/>
      <c r="C355" s="529"/>
      <c r="D355" s="529"/>
      <c r="E355" s="529"/>
      <c r="F355" s="529"/>
      <c r="G355" s="529"/>
      <c r="H355" s="529"/>
      <c r="I355" s="529"/>
      <c r="J355" s="529"/>
      <c r="K355" s="529"/>
      <c r="L355" s="529"/>
      <c r="M355" s="529"/>
      <c r="N355" s="529"/>
      <c r="O355" s="2306"/>
      <c r="P355" s="2306"/>
      <c r="Q355" s="2223"/>
      <c r="R355" s="2223"/>
      <c r="S355" s="2223"/>
      <c r="T355" s="2223"/>
      <c r="U355" s="2223"/>
      <c r="V355" s="2224"/>
      <c r="W355" s="2224"/>
      <c r="X355" s="2224"/>
    </row>
    <row r="356" spans="1:24" ht="15.75" customHeight="1">
      <c r="A356" s="2223"/>
      <c r="B356" s="2223"/>
      <c r="C356" s="529"/>
      <c r="D356" s="529"/>
      <c r="E356" s="529"/>
      <c r="F356" s="529"/>
      <c r="G356" s="529"/>
      <c r="H356" s="529"/>
      <c r="I356" s="529"/>
      <c r="J356" s="529"/>
      <c r="K356" s="529"/>
      <c r="L356" s="529"/>
      <c r="M356" s="529"/>
      <c r="N356" s="529"/>
      <c r="O356" s="2306"/>
      <c r="P356" s="2306"/>
      <c r="Q356" s="2223"/>
      <c r="R356" s="2223"/>
      <c r="S356" s="2223"/>
      <c r="T356" s="2223"/>
      <c r="U356" s="2223"/>
      <c r="V356" s="2224"/>
      <c r="W356" s="2224"/>
      <c r="X356" s="2224"/>
    </row>
    <row r="357" spans="1:24" ht="15.75" customHeight="1">
      <c r="A357" s="2223"/>
      <c r="B357" s="2223"/>
      <c r="C357" s="529"/>
      <c r="D357" s="529"/>
      <c r="E357" s="529"/>
      <c r="F357" s="529"/>
      <c r="G357" s="529"/>
      <c r="H357" s="529"/>
      <c r="I357" s="529"/>
      <c r="J357" s="529"/>
      <c r="K357" s="529"/>
      <c r="L357" s="529"/>
      <c r="M357" s="529"/>
      <c r="N357" s="529"/>
      <c r="O357" s="2306"/>
      <c r="P357" s="2306"/>
      <c r="Q357" s="2223"/>
      <c r="R357" s="2223"/>
      <c r="S357" s="2223"/>
      <c r="T357" s="2223"/>
      <c r="U357" s="2223"/>
      <c r="V357" s="2224"/>
      <c r="W357" s="2224"/>
      <c r="X357" s="2224"/>
    </row>
    <row r="358" spans="1:24" ht="15.75" customHeight="1">
      <c r="A358" s="2223"/>
      <c r="B358" s="2223"/>
      <c r="C358" s="529"/>
      <c r="D358" s="529"/>
      <c r="E358" s="529"/>
      <c r="F358" s="529"/>
      <c r="G358" s="529"/>
      <c r="H358" s="529"/>
      <c r="I358" s="529"/>
      <c r="J358" s="529"/>
      <c r="K358" s="529"/>
      <c r="L358" s="529"/>
      <c r="M358" s="529"/>
      <c r="N358" s="529"/>
      <c r="O358" s="2306"/>
      <c r="P358" s="2306"/>
      <c r="Q358" s="2223"/>
      <c r="R358" s="2223"/>
      <c r="S358" s="2223"/>
      <c r="T358" s="2223"/>
      <c r="U358" s="2223"/>
      <c r="V358" s="2224"/>
      <c r="W358" s="2224"/>
      <c r="X358" s="2224"/>
    </row>
    <row r="359" spans="1:24" ht="15.75" customHeight="1">
      <c r="A359" s="2223"/>
      <c r="B359" s="2223"/>
      <c r="C359" s="529"/>
      <c r="D359" s="529"/>
      <c r="E359" s="529"/>
      <c r="F359" s="529"/>
      <c r="G359" s="529"/>
      <c r="H359" s="529"/>
      <c r="I359" s="529"/>
      <c r="J359" s="529"/>
      <c r="K359" s="529"/>
      <c r="L359" s="529"/>
      <c r="M359" s="529"/>
      <c r="N359" s="529"/>
      <c r="O359" s="2306"/>
      <c r="P359" s="2306"/>
      <c r="Q359" s="2223"/>
      <c r="R359" s="2223"/>
      <c r="S359" s="2223"/>
      <c r="T359" s="2223"/>
      <c r="U359" s="2223"/>
      <c r="V359" s="2224"/>
      <c r="W359" s="2224"/>
      <c r="X359" s="2224"/>
    </row>
    <row r="360" spans="1:24" ht="15.75" customHeight="1">
      <c r="A360" s="2223"/>
      <c r="B360" s="2223"/>
      <c r="C360" s="529"/>
      <c r="D360" s="529"/>
      <c r="E360" s="529"/>
      <c r="F360" s="529"/>
      <c r="G360" s="529"/>
      <c r="H360" s="529"/>
      <c r="I360" s="529"/>
      <c r="J360" s="529"/>
      <c r="K360" s="529"/>
      <c r="L360" s="529"/>
      <c r="M360" s="529"/>
      <c r="N360" s="529"/>
      <c r="O360" s="2306"/>
      <c r="P360" s="2306"/>
      <c r="Q360" s="2223"/>
      <c r="R360" s="2223"/>
      <c r="S360" s="2223"/>
      <c r="T360" s="2223"/>
      <c r="U360" s="2223"/>
      <c r="V360" s="2224"/>
      <c r="W360" s="2224"/>
      <c r="X360" s="2224"/>
    </row>
    <row r="361" spans="1:24" ht="15.75" customHeight="1">
      <c r="A361" s="2223"/>
      <c r="B361" s="2223"/>
      <c r="C361" s="529"/>
      <c r="D361" s="529"/>
      <c r="E361" s="529"/>
      <c r="F361" s="529"/>
      <c r="G361" s="529"/>
      <c r="H361" s="529"/>
      <c r="I361" s="529"/>
      <c r="J361" s="529"/>
      <c r="K361" s="529"/>
      <c r="L361" s="529"/>
      <c r="M361" s="529"/>
      <c r="N361" s="529"/>
      <c r="O361" s="2306"/>
      <c r="P361" s="2306"/>
      <c r="Q361" s="2223"/>
      <c r="R361" s="2223"/>
      <c r="S361" s="2223"/>
      <c r="T361" s="2223"/>
      <c r="U361" s="2223"/>
      <c r="V361" s="2224"/>
      <c r="W361" s="2224"/>
      <c r="X361" s="2224"/>
    </row>
    <row r="362" spans="1:24" ht="15.75" customHeight="1">
      <c r="A362" s="2223"/>
      <c r="B362" s="2223"/>
      <c r="C362" s="529"/>
      <c r="D362" s="529"/>
      <c r="E362" s="529"/>
      <c r="F362" s="529"/>
      <c r="G362" s="529"/>
      <c r="H362" s="529"/>
      <c r="I362" s="529"/>
      <c r="J362" s="529"/>
      <c r="K362" s="529"/>
      <c r="L362" s="529"/>
      <c r="M362" s="529"/>
      <c r="N362" s="529"/>
      <c r="O362" s="2306"/>
      <c r="P362" s="2306"/>
      <c r="Q362" s="2223"/>
      <c r="R362" s="2223"/>
      <c r="S362" s="2223"/>
      <c r="T362" s="2223"/>
      <c r="U362" s="2223"/>
      <c r="V362" s="2224"/>
      <c r="W362" s="2224"/>
      <c r="X362" s="2224"/>
    </row>
    <row r="363" spans="1:24" ht="15.75" customHeight="1">
      <c r="A363" s="2223"/>
      <c r="B363" s="2223"/>
      <c r="C363" s="529"/>
      <c r="D363" s="529"/>
      <c r="E363" s="529"/>
      <c r="F363" s="529"/>
      <c r="G363" s="529"/>
      <c r="H363" s="529"/>
      <c r="I363" s="529"/>
      <c r="J363" s="529"/>
      <c r="K363" s="529"/>
      <c r="L363" s="529"/>
      <c r="M363" s="529"/>
      <c r="N363" s="529"/>
      <c r="O363" s="2306"/>
      <c r="P363" s="2306"/>
      <c r="Q363" s="2223"/>
      <c r="R363" s="2223"/>
      <c r="S363" s="2223"/>
      <c r="T363" s="2223"/>
      <c r="U363" s="2223"/>
      <c r="V363" s="2224"/>
      <c r="W363" s="2224"/>
      <c r="X363" s="2224"/>
    </row>
    <row r="364" spans="1:24" ht="15.75" customHeight="1">
      <c r="A364" s="2223"/>
      <c r="B364" s="2223"/>
      <c r="C364" s="529"/>
      <c r="D364" s="529"/>
      <c r="E364" s="529"/>
      <c r="F364" s="529"/>
      <c r="G364" s="529"/>
      <c r="H364" s="529"/>
      <c r="I364" s="529"/>
      <c r="J364" s="529"/>
      <c r="K364" s="529"/>
      <c r="L364" s="529"/>
      <c r="M364" s="529"/>
      <c r="N364" s="529"/>
      <c r="O364" s="2306"/>
      <c r="P364" s="2306"/>
      <c r="Q364" s="2223"/>
      <c r="R364" s="2223"/>
      <c r="S364" s="2223"/>
      <c r="T364" s="2223"/>
      <c r="U364" s="2223"/>
      <c r="V364" s="2224"/>
      <c r="W364" s="2224"/>
      <c r="X364" s="2224"/>
    </row>
    <row r="365" spans="1:24" ht="15.75" customHeight="1">
      <c r="A365" s="2223"/>
      <c r="B365" s="2223"/>
      <c r="C365" s="529"/>
      <c r="D365" s="529"/>
      <c r="E365" s="529"/>
      <c r="F365" s="529"/>
      <c r="G365" s="529"/>
      <c r="H365" s="529"/>
      <c r="I365" s="529"/>
      <c r="J365" s="529"/>
      <c r="K365" s="529"/>
      <c r="L365" s="529"/>
      <c r="M365" s="529"/>
      <c r="N365" s="529"/>
      <c r="O365" s="2306"/>
      <c r="P365" s="2306"/>
      <c r="Q365" s="2223"/>
      <c r="R365" s="2223"/>
      <c r="S365" s="2223"/>
      <c r="T365" s="2223"/>
      <c r="U365" s="2223"/>
      <c r="V365" s="2224"/>
      <c r="W365" s="2224"/>
      <c r="X365" s="2224"/>
    </row>
    <row r="366" spans="1:24" ht="15.75" customHeight="1">
      <c r="A366" s="2223"/>
      <c r="B366" s="2223"/>
      <c r="C366" s="529"/>
      <c r="D366" s="529"/>
      <c r="E366" s="529"/>
      <c r="F366" s="529"/>
      <c r="G366" s="529"/>
      <c r="H366" s="529"/>
      <c r="I366" s="529"/>
      <c r="J366" s="529"/>
      <c r="K366" s="529"/>
      <c r="L366" s="529"/>
      <c r="M366" s="529"/>
      <c r="N366" s="529"/>
      <c r="O366" s="2306"/>
      <c r="P366" s="2306"/>
      <c r="Q366" s="2223"/>
      <c r="R366" s="2223"/>
      <c r="S366" s="2223"/>
      <c r="T366" s="2223"/>
      <c r="U366" s="2223"/>
      <c r="V366" s="2224"/>
      <c r="W366" s="2224"/>
      <c r="X366" s="2224"/>
    </row>
    <row r="367" spans="1:24" ht="15.75" customHeight="1">
      <c r="A367" s="2223"/>
      <c r="B367" s="2223"/>
      <c r="C367" s="529"/>
      <c r="D367" s="529"/>
      <c r="E367" s="529"/>
      <c r="F367" s="529"/>
      <c r="G367" s="529"/>
      <c r="H367" s="529"/>
      <c r="I367" s="529"/>
      <c r="J367" s="529"/>
      <c r="K367" s="529"/>
      <c r="L367" s="529"/>
      <c r="M367" s="529"/>
      <c r="N367" s="529"/>
      <c r="O367" s="2306"/>
      <c r="P367" s="2306"/>
      <c r="Q367" s="2223"/>
      <c r="R367" s="2223"/>
      <c r="S367" s="2223"/>
      <c r="T367" s="2223"/>
      <c r="U367" s="2223"/>
      <c r="V367" s="2224"/>
      <c r="W367" s="2224"/>
      <c r="X367" s="2224"/>
    </row>
    <row r="368" spans="1:24" ht="15.75" customHeight="1">
      <c r="A368" s="2223"/>
      <c r="B368" s="2223"/>
      <c r="C368" s="529"/>
      <c r="D368" s="529"/>
      <c r="E368" s="529"/>
      <c r="F368" s="529"/>
      <c r="G368" s="529"/>
      <c r="H368" s="529"/>
      <c r="I368" s="529"/>
      <c r="J368" s="529"/>
      <c r="K368" s="529"/>
      <c r="L368" s="529"/>
      <c r="M368" s="529"/>
      <c r="N368" s="529"/>
      <c r="O368" s="2306"/>
      <c r="P368" s="2306"/>
      <c r="Q368" s="2223"/>
      <c r="R368" s="2223"/>
      <c r="S368" s="2223"/>
      <c r="T368" s="2223"/>
      <c r="U368" s="2223"/>
      <c r="V368" s="2224"/>
      <c r="W368" s="2224"/>
      <c r="X368" s="2224"/>
    </row>
    <row r="369" spans="1:24" ht="15.75" customHeight="1">
      <c r="A369" s="2223"/>
      <c r="B369" s="2223"/>
      <c r="C369" s="529"/>
      <c r="D369" s="529"/>
      <c r="E369" s="529"/>
      <c r="F369" s="529"/>
      <c r="G369" s="529"/>
      <c r="H369" s="529"/>
      <c r="I369" s="529"/>
      <c r="J369" s="529"/>
      <c r="K369" s="529"/>
      <c r="L369" s="529"/>
      <c r="M369" s="529"/>
      <c r="N369" s="529"/>
      <c r="O369" s="2306"/>
      <c r="P369" s="2306"/>
      <c r="Q369" s="2223"/>
      <c r="R369" s="2223"/>
      <c r="S369" s="2223"/>
      <c r="T369" s="2223"/>
      <c r="U369" s="2223"/>
      <c r="V369" s="2224"/>
      <c r="W369" s="2224"/>
      <c r="X369" s="2224"/>
    </row>
    <row r="370" spans="1:24" ht="15.75" customHeight="1">
      <c r="A370" s="2223"/>
      <c r="B370" s="2223"/>
      <c r="C370" s="529"/>
      <c r="D370" s="529"/>
      <c r="E370" s="529"/>
      <c r="F370" s="529"/>
      <c r="G370" s="529"/>
      <c r="H370" s="529"/>
      <c r="I370" s="529"/>
      <c r="J370" s="529"/>
      <c r="K370" s="529"/>
      <c r="L370" s="529"/>
      <c r="M370" s="529"/>
      <c r="N370" s="529"/>
      <c r="O370" s="2306"/>
      <c r="P370" s="2306"/>
      <c r="Q370" s="2223"/>
      <c r="R370" s="2223"/>
      <c r="S370" s="2223"/>
      <c r="T370" s="2223"/>
      <c r="U370" s="2223"/>
      <c r="V370" s="2224"/>
      <c r="W370" s="2224"/>
      <c r="X370" s="2224"/>
    </row>
    <row r="371" spans="1:24" ht="15.75" customHeight="1">
      <c r="A371" s="2223"/>
      <c r="B371" s="2223"/>
      <c r="C371" s="529"/>
      <c r="D371" s="529"/>
      <c r="E371" s="529"/>
      <c r="F371" s="529"/>
      <c r="G371" s="529"/>
      <c r="H371" s="529"/>
      <c r="I371" s="529"/>
      <c r="J371" s="529"/>
      <c r="K371" s="529"/>
      <c r="L371" s="529"/>
      <c r="M371" s="529"/>
      <c r="N371" s="529"/>
      <c r="O371" s="2306"/>
      <c r="P371" s="2306"/>
      <c r="Q371" s="2223"/>
      <c r="R371" s="2223"/>
      <c r="S371" s="2223"/>
      <c r="T371" s="2223"/>
      <c r="U371" s="2223"/>
      <c r="V371" s="2224"/>
      <c r="W371" s="2224"/>
      <c r="X371" s="2224"/>
    </row>
    <row r="372" spans="1:24" ht="15.75" customHeight="1">
      <c r="A372" s="2223"/>
      <c r="B372" s="2223"/>
      <c r="C372" s="529"/>
      <c r="D372" s="529"/>
      <c r="E372" s="529"/>
      <c r="F372" s="529"/>
      <c r="G372" s="529"/>
      <c r="H372" s="529"/>
      <c r="I372" s="529"/>
      <c r="J372" s="529"/>
      <c r="K372" s="529"/>
      <c r="L372" s="529"/>
      <c r="M372" s="529"/>
      <c r="N372" s="529"/>
      <c r="O372" s="2306"/>
      <c r="P372" s="2306"/>
      <c r="Q372" s="2223"/>
      <c r="R372" s="2223"/>
      <c r="S372" s="2223"/>
      <c r="T372" s="2223"/>
      <c r="U372" s="2223"/>
      <c r="V372" s="2224"/>
      <c r="W372" s="2224"/>
      <c r="X372" s="2224"/>
    </row>
    <row r="373" spans="1:24" ht="15.75" customHeight="1">
      <c r="A373" s="2223"/>
      <c r="B373" s="2223"/>
      <c r="C373" s="529"/>
      <c r="D373" s="529"/>
      <c r="E373" s="529"/>
      <c r="F373" s="529"/>
      <c r="G373" s="529"/>
      <c r="H373" s="529"/>
      <c r="I373" s="529"/>
      <c r="J373" s="529"/>
      <c r="K373" s="529"/>
      <c r="L373" s="529"/>
      <c r="M373" s="529"/>
      <c r="N373" s="529"/>
      <c r="O373" s="2306"/>
      <c r="P373" s="2306"/>
      <c r="Q373" s="2223"/>
      <c r="R373" s="2223"/>
      <c r="S373" s="2223"/>
      <c r="T373" s="2223"/>
      <c r="U373" s="2223"/>
      <c r="V373" s="2224"/>
      <c r="W373" s="2224"/>
      <c r="X373" s="2224"/>
    </row>
    <row r="374" spans="1:24" ht="15.75" customHeight="1">
      <c r="A374" s="2223"/>
      <c r="B374" s="2223"/>
      <c r="C374" s="529"/>
      <c r="D374" s="529"/>
      <c r="E374" s="529"/>
      <c r="F374" s="529"/>
      <c r="G374" s="529"/>
      <c r="H374" s="529"/>
      <c r="I374" s="529"/>
      <c r="J374" s="529"/>
      <c r="K374" s="529"/>
      <c r="L374" s="529"/>
      <c r="M374" s="529"/>
      <c r="N374" s="529"/>
      <c r="O374" s="2306"/>
      <c r="P374" s="2306"/>
      <c r="Q374" s="2223"/>
      <c r="R374" s="2223"/>
      <c r="S374" s="2223"/>
      <c r="T374" s="2223"/>
      <c r="U374" s="2223"/>
      <c r="V374" s="2224"/>
      <c r="W374" s="2224"/>
      <c r="X374" s="2224"/>
    </row>
    <row r="375" spans="1:24" ht="15.75" customHeight="1">
      <c r="A375" s="2223"/>
      <c r="B375" s="2223"/>
      <c r="C375" s="529"/>
      <c r="D375" s="529"/>
      <c r="E375" s="529"/>
      <c r="F375" s="529"/>
      <c r="G375" s="529"/>
      <c r="H375" s="529"/>
      <c r="I375" s="529"/>
      <c r="J375" s="529"/>
      <c r="K375" s="529"/>
      <c r="L375" s="529"/>
      <c r="M375" s="529"/>
      <c r="N375" s="529"/>
      <c r="O375" s="2306"/>
      <c r="P375" s="2306"/>
      <c r="Q375" s="2223"/>
      <c r="R375" s="2223"/>
      <c r="S375" s="2223"/>
      <c r="T375" s="2223"/>
      <c r="U375" s="2223"/>
      <c r="V375" s="2224"/>
      <c r="W375" s="2224"/>
      <c r="X375" s="2224"/>
    </row>
    <row r="376" spans="1:24" ht="15.75" customHeight="1">
      <c r="A376" s="2223"/>
      <c r="B376" s="2223"/>
      <c r="C376" s="529"/>
      <c r="D376" s="529"/>
      <c r="E376" s="529"/>
      <c r="F376" s="529"/>
      <c r="G376" s="529"/>
      <c r="H376" s="529"/>
      <c r="I376" s="529"/>
      <c r="J376" s="529"/>
      <c r="K376" s="529"/>
      <c r="L376" s="529"/>
      <c r="M376" s="529"/>
      <c r="N376" s="529"/>
      <c r="O376" s="2306"/>
      <c r="P376" s="2306"/>
      <c r="Q376" s="2223"/>
      <c r="R376" s="2223"/>
      <c r="S376" s="2223"/>
      <c r="T376" s="2223"/>
      <c r="U376" s="2223"/>
      <c r="V376" s="2224"/>
      <c r="W376" s="2224"/>
      <c r="X376" s="2224"/>
    </row>
    <row r="377" spans="1:24" ht="15.75" customHeight="1">
      <c r="A377" s="2223"/>
      <c r="B377" s="2223"/>
      <c r="C377" s="529"/>
      <c r="D377" s="529"/>
      <c r="E377" s="529"/>
      <c r="F377" s="529"/>
      <c r="G377" s="529"/>
      <c r="H377" s="529"/>
      <c r="I377" s="529"/>
      <c r="J377" s="529"/>
      <c r="K377" s="529"/>
      <c r="L377" s="529"/>
      <c r="M377" s="529"/>
      <c r="N377" s="529"/>
      <c r="O377" s="2306"/>
      <c r="P377" s="2306"/>
      <c r="Q377" s="2223"/>
      <c r="R377" s="2223"/>
      <c r="S377" s="2223"/>
      <c r="T377" s="2223"/>
      <c r="U377" s="2223"/>
      <c r="V377" s="2224"/>
      <c r="W377" s="2224"/>
      <c r="X377" s="2224"/>
    </row>
    <row r="378" spans="1:24" ht="15.75" customHeight="1">
      <c r="A378" s="2223"/>
      <c r="B378" s="2223"/>
      <c r="C378" s="529"/>
      <c r="D378" s="529"/>
      <c r="E378" s="529"/>
      <c r="F378" s="529"/>
      <c r="G378" s="529"/>
      <c r="H378" s="529"/>
      <c r="I378" s="529"/>
      <c r="J378" s="529"/>
      <c r="K378" s="529"/>
      <c r="L378" s="529"/>
      <c r="M378" s="529"/>
      <c r="N378" s="529"/>
      <c r="O378" s="2306"/>
      <c r="P378" s="2306"/>
      <c r="Q378" s="2223"/>
      <c r="R378" s="2223"/>
      <c r="S378" s="2223"/>
      <c r="T378" s="2223"/>
      <c r="U378" s="2223"/>
      <c r="V378" s="2224"/>
      <c r="W378" s="2224"/>
      <c r="X378" s="2224"/>
    </row>
    <row r="379" spans="1:24" ht="15.75" customHeight="1">
      <c r="A379" s="2223"/>
      <c r="B379" s="2223"/>
      <c r="C379" s="529"/>
      <c r="D379" s="529"/>
      <c r="E379" s="529"/>
      <c r="F379" s="529"/>
      <c r="G379" s="529"/>
      <c r="H379" s="529"/>
      <c r="I379" s="529"/>
      <c r="J379" s="529"/>
      <c r="K379" s="529"/>
      <c r="L379" s="529"/>
      <c r="M379" s="529"/>
      <c r="N379" s="529"/>
      <c r="O379" s="2306"/>
      <c r="P379" s="2306"/>
      <c r="Q379" s="2223"/>
      <c r="R379" s="2223"/>
      <c r="S379" s="2223"/>
      <c r="T379" s="2223"/>
      <c r="U379" s="2223"/>
      <c r="V379" s="2224"/>
      <c r="W379" s="2224"/>
      <c r="X379" s="2224"/>
    </row>
    <row r="380" spans="1:24" ht="15.75" customHeight="1">
      <c r="A380" s="2223"/>
      <c r="B380" s="2223"/>
      <c r="C380" s="529"/>
      <c r="D380" s="529"/>
      <c r="E380" s="529"/>
      <c r="F380" s="529"/>
      <c r="G380" s="529"/>
      <c r="H380" s="529"/>
      <c r="I380" s="529"/>
      <c r="J380" s="529"/>
      <c r="K380" s="529"/>
      <c r="L380" s="529"/>
      <c r="M380" s="529"/>
      <c r="N380" s="529"/>
      <c r="O380" s="2306"/>
      <c r="P380" s="2306"/>
      <c r="Q380" s="2223"/>
      <c r="R380" s="2223"/>
      <c r="S380" s="2223"/>
      <c r="T380" s="2223"/>
      <c r="U380" s="2223"/>
      <c r="V380" s="2224"/>
      <c r="W380" s="2224"/>
      <c r="X380" s="2224"/>
    </row>
    <row r="381" spans="1:24" ht="15.75" customHeight="1">
      <c r="A381" s="2223"/>
      <c r="B381" s="2223"/>
      <c r="C381" s="529"/>
      <c r="D381" s="529"/>
      <c r="E381" s="529"/>
      <c r="F381" s="529"/>
      <c r="G381" s="529"/>
      <c r="H381" s="529"/>
      <c r="I381" s="529"/>
      <c r="J381" s="529"/>
      <c r="K381" s="529"/>
      <c r="L381" s="529"/>
      <c r="M381" s="529"/>
      <c r="N381" s="529"/>
      <c r="O381" s="2306"/>
      <c r="P381" s="2306"/>
      <c r="Q381" s="2223"/>
      <c r="R381" s="2223"/>
      <c r="S381" s="2223"/>
      <c r="T381" s="2223"/>
      <c r="U381" s="2223"/>
      <c r="V381" s="2224"/>
      <c r="W381" s="2224"/>
      <c r="X381" s="2224"/>
    </row>
    <row r="382" spans="1:24" ht="15.75" customHeight="1">
      <c r="A382" s="2223"/>
      <c r="B382" s="2223"/>
      <c r="C382" s="529"/>
      <c r="D382" s="529"/>
      <c r="E382" s="529"/>
      <c r="F382" s="529"/>
      <c r="G382" s="529"/>
      <c r="H382" s="529"/>
      <c r="I382" s="529"/>
      <c r="J382" s="529"/>
      <c r="K382" s="529"/>
      <c r="L382" s="529"/>
      <c r="M382" s="529"/>
      <c r="N382" s="529"/>
      <c r="O382" s="2306"/>
      <c r="P382" s="2306"/>
      <c r="Q382" s="2223"/>
      <c r="R382" s="2223"/>
      <c r="S382" s="2223"/>
      <c r="T382" s="2223"/>
      <c r="U382" s="2223"/>
      <c r="V382" s="2224"/>
      <c r="W382" s="2224"/>
      <c r="X382" s="2224"/>
    </row>
    <row r="383" spans="1:24" ht="15.75" customHeight="1">
      <c r="A383" s="2223"/>
      <c r="B383" s="2223"/>
      <c r="C383" s="529"/>
      <c r="D383" s="529"/>
      <c r="E383" s="529"/>
      <c r="F383" s="529"/>
      <c r="G383" s="529"/>
      <c r="H383" s="529"/>
      <c r="I383" s="529"/>
      <c r="J383" s="529"/>
      <c r="K383" s="529"/>
      <c r="L383" s="529"/>
      <c r="M383" s="529"/>
      <c r="N383" s="529"/>
      <c r="O383" s="2306"/>
      <c r="P383" s="2306"/>
      <c r="Q383" s="2223"/>
      <c r="R383" s="2223"/>
      <c r="S383" s="2223"/>
      <c r="T383" s="2223"/>
      <c r="U383" s="2223"/>
      <c r="V383" s="2224"/>
      <c r="W383" s="2224"/>
      <c r="X383" s="2224"/>
    </row>
    <row r="384" spans="1:24" ht="15.75" customHeight="1">
      <c r="A384" s="2223"/>
      <c r="B384" s="2223"/>
      <c r="C384" s="529"/>
      <c r="D384" s="529"/>
      <c r="E384" s="529"/>
      <c r="F384" s="529"/>
      <c r="G384" s="529"/>
      <c r="H384" s="529"/>
      <c r="I384" s="529"/>
      <c r="J384" s="529"/>
      <c r="K384" s="529"/>
      <c r="L384" s="529"/>
      <c r="M384" s="529"/>
      <c r="N384" s="529"/>
      <c r="O384" s="2223"/>
      <c r="P384" s="2223"/>
      <c r="Q384" s="2223"/>
      <c r="R384" s="2223"/>
      <c r="S384" s="2223"/>
      <c r="T384" s="2223"/>
      <c r="U384" s="2223"/>
      <c r="V384" s="2224"/>
      <c r="W384" s="2224"/>
      <c r="X384" s="2224"/>
    </row>
    <row r="385" spans="1:24" ht="15.75" customHeight="1">
      <c r="A385" s="2223"/>
      <c r="B385" s="2223"/>
      <c r="C385" s="529"/>
      <c r="D385" s="529"/>
      <c r="E385" s="529"/>
      <c r="F385" s="529"/>
      <c r="G385" s="529"/>
      <c r="H385" s="529"/>
      <c r="I385" s="529"/>
      <c r="J385" s="529"/>
      <c r="K385" s="529"/>
      <c r="L385" s="529"/>
      <c r="M385" s="529"/>
      <c r="N385" s="529"/>
      <c r="O385" s="2223"/>
      <c r="P385" s="2223"/>
      <c r="Q385" s="2223"/>
      <c r="R385" s="2223"/>
      <c r="S385" s="2223"/>
      <c r="T385" s="2223"/>
      <c r="U385" s="2223"/>
      <c r="V385" s="2224"/>
      <c r="W385" s="2224"/>
      <c r="X385" s="2224"/>
    </row>
    <row r="386" spans="1:24" ht="15.75" customHeight="1">
      <c r="A386" s="2223"/>
      <c r="B386" s="2223"/>
      <c r="C386" s="529"/>
      <c r="D386" s="529"/>
      <c r="E386" s="529"/>
      <c r="F386" s="529"/>
      <c r="G386" s="529"/>
      <c r="H386" s="529"/>
      <c r="I386" s="529"/>
      <c r="J386" s="529"/>
      <c r="K386" s="529"/>
      <c r="L386" s="529"/>
      <c r="M386" s="529"/>
      <c r="N386" s="529"/>
      <c r="O386" s="2223"/>
      <c r="P386" s="2223"/>
      <c r="Q386" s="2223"/>
      <c r="R386" s="2223"/>
      <c r="S386" s="2223"/>
      <c r="T386" s="2223"/>
      <c r="U386" s="2223"/>
      <c r="V386" s="2224"/>
      <c r="W386" s="2224"/>
      <c r="X386" s="2224"/>
    </row>
    <row r="387" spans="1:24" ht="15.75" customHeight="1">
      <c r="A387" s="2223"/>
      <c r="B387" s="2223"/>
      <c r="C387" s="529"/>
      <c r="D387" s="529"/>
      <c r="E387" s="529"/>
      <c r="F387" s="529"/>
      <c r="G387" s="529"/>
      <c r="H387" s="529"/>
      <c r="I387" s="529"/>
      <c r="J387" s="529"/>
      <c r="K387" s="529"/>
      <c r="L387" s="529"/>
      <c r="M387" s="529"/>
      <c r="N387" s="529"/>
      <c r="O387" s="2223"/>
      <c r="P387" s="2223"/>
      <c r="Q387" s="2223"/>
      <c r="R387" s="2223"/>
      <c r="S387" s="2223"/>
      <c r="T387" s="2223"/>
      <c r="U387" s="2223"/>
      <c r="V387" s="2224"/>
      <c r="W387" s="2224"/>
      <c r="X387" s="2224"/>
    </row>
    <row r="388" spans="1:24" ht="15.75" customHeight="1">
      <c r="A388" s="2223"/>
      <c r="B388" s="2223"/>
      <c r="C388" s="529"/>
      <c r="D388" s="529"/>
      <c r="E388" s="529"/>
      <c r="F388" s="529"/>
      <c r="G388" s="529"/>
      <c r="H388" s="529"/>
      <c r="I388" s="529"/>
      <c r="J388" s="529"/>
      <c r="K388" s="529"/>
      <c r="L388" s="529"/>
      <c r="M388" s="529"/>
      <c r="N388" s="529"/>
      <c r="O388" s="2223"/>
      <c r="P388" s="2223"/>
      <c r="Q388" s="2223"/>
      <c r="R388" s="2223"/>
      <c r="S388" s="2223"/>
      <c r="T388" s="2223"/>
      <c r="U388" s="2223"/>
      <c r="V388" s="2224"/>
      <c r="W388" s="2224"/>
      <c r="X388" s="2224"/>
    </row>
    <row r="389" spans="1:24" ht="15.75" customHeight="1">
      <c r="A389" s="2223"/>
      <c r="B389" s="2223"/>
      <c r="C389" s="529"/>
      <c r="D389" s="529"/>
      <c r="E389" s="529"/>
      <c r="F389" s="529"/>
      <c r="G389" s="529"/>
      <c r="H389" s="529"/>
      <c r="I389" s="529"/>
      <c r="J389" s="529"/>
      <c r="K389" s="529"/>
      <c r="L389" s="529"/>
      <c r="M389" s="529"/>
      <c r="N389" s="529"/>
      <c r="O389" s="2223"/>
      <c r="P389" s="2223"/>
      <c r="Q389" s="2223"/>
      <c r="R389" s="2223"/>
      <c r="S389" s="2223"/>
      <c r="T389" s="2223"/>
      <c r="U389" s="2223"/>
      <c r="V389" s="2224"/>
      <c r="W389" s="2224"/>
      <c r="X389" s="2224"/>
    </row>
    <row r="390" spans="1:24" ht="15.75" customHeight="1">
      <c r="A390" s="2223"/>
      <c r="B390" s="2223"/>
      <c r="C390" s="529"/>
      <c r="D390" s="529"/>
      <c r="E390" s="529"/>
      <c r="F390" s="529"/>
      <c r="G390" s="529"/>
      <c r="H390" s="529"/>
      <c r="I390" s="529"/>
      <c r="J390" s="529"/>
      <c r="K390" s="529"/>
      <c r="L390" s="529"/>
      <c r="M390" s="529"/>
      <c r="N390" s="529"/>
      <c r="O390" s="2223"/>
      <c r="P390" s="2223"/>
      <c r="Q390" s="2223"/>
      <c r="R390" s="2223"/>
      <c r="S390" s="2223"/>
      <c r="T390" s="2223"/>
      <c r="U390" s="2223"/>
      <c r="V390" s="2224"/>
      <c r="W390" s="2224"/>
      <c r="X390" s="2224"/>
    </row>
    <row r="391" spans="1:24" ht="15.75" customHeight="1">
      <c r="A391" s="2223"/>
      <c r="B391" s="2223"/>
      <c r="C391" s="529"/>
      <c r="D391" s="529"/>
      <c r="E391" s="529"/>
      <c r="F391" s="529"/>
      <c r="G391" s="529"/>
      <c r="H391" s="529"/>
      <c r="I391" s="529"/>
      <c r="J391" s="529"/>
      <c r="K391" s="529"/>
      <c r="L391" s="529"/>
      <c r="M391" s="529"/>
      <c r="N391" s="529"/>
      <c r="O391" s="2223"/>
      <c r="P391" s="2223"/>
      <c r="Q391" s="2223"/>
      <c r="R391" s="2223"/>
      <c r="S391" s="2223"/>
      <c r="T391" s="2223"/>
      <c r="U391" s="2223"/>
      <c r="V391" s="2224"/>
      <c r="W391" s="2224"/>
      <c r="X391" s="2224"/>
    </row>
    <row r="392" spans="1:24" ht="15.75" customHeight="1">
      <c r="A392" s="2223"/>
      <c r="B392" s="2223"/>
      <c r="C392" s="529"/>
      <c r="D392" s="529"/>
      <c r="E392" s="529"/>
      <c r="F392" s="529"/>
      <c r="G392" s="529"/>
      <c r="H392" s="529"/>
      <c r="I392" s="529"/>
      <c r="J392" s="529"/>
      <c r="K392" s="529"/>
      <c r="L392" s="529"/>
      <c r="M392" s="529"/>
      <c r="N392" s="529"/>
      <c r="O392" s="2223"/>
      <c r="P392" s="2223"/>
      <c r="Q392" s="2223"/>
      <c r="R392" s="2223"/>
      <c r="S392" s="2223"/>
      <c r="T392" s="2223"/>
      <c r="U392" s="2223"/>
      <c r="V392" s="2224"/>
      <c r="W392" s="2224"/>
      <c r="X392" s="2224"/>
    </row>
    <row r="393" spans="1:24" ht="15.75" customHeight="1">
      <c r="A393" s="2223"/>
      <c r="B393" s="2223"/>
      <c r="C393" s="529"/>
      <c r="D393" s="529"/>
      <c r="E393" s="529"/>
      <c r="F393" s="529"/>
      <c r="G393" s="529"/>
      <c r="H393" s="529"/>
      <c r="I393" s="529"/>
      <c r="J393" s="529"/>
      <c r="K393" s="529"/>
      <c r="L393" s="529"/>
      <c r="M393" s="529"/>
      <c r="N393" s="529"/>
      <c r="O393" s="2223"/>
      <c r="P393" s="2223"/>
      <c r="Q393" s="2223"/>
      <c r="R393" s="2223"/>
      <c r="S393" s="2223"/>
      <c r="T393" s="2223"/>
      <c r="U393" s="2223"/>
      <c r="V393" s="2224"/>
      <c r="W393" s="2224"/>
      <c r="X393" s="2224"/>
    </row>
    <row r="394" spans="1:24" ht="15.75" customHeight="1">
      <c r="A394" s="2223"/>
      <c r="B394" s="2223"/>
      <c r="C394" s="529"/>
      <c r="D394" s="529"/>
      <c r="E394" s="529"/>
      <c r="F394" s="529"/>
      <c r="G394" s="529"/>
      <c r="H394" s="529"/>
      <c r="I394" s="529"/>
      <c r="J394" s="529"/>
      <c r="K394" s="529"/>
      <c r="L394" s="529"/>
      <c r="M394" s="529"/>
      <c r="N394" s="529"/>
      <c r="O394" s="2223"/>
      <c r="P394" s="2223"/>
      <c r="Q394" s="2223"/>
      <c r="R394" s="2223"/>
      <c r="S394" s="2223"/>
      <c r="T394" s="2223"/>
      <c r="U394" s="2223"/>
      <c r="V394" s="2224"/>
      <c r="W394" s="2224"/>
      <c r="X394" s="2224"/>
    </row>
    <row r="395" spans="1:24" ht="15.75" customHeight="1">
      <c r="A395" s="2223"/>
      <c r="B395" s="2223"/>
      <c r="C395" s="529"/>
      <c r="D395" s="529"/>
      <c r="E395" s="529"/>
      <c r="F395" s="529"/>
      <c r="G395" s="529"/>
      <c r="H395" s="529"/>
      <c r="I395" s="529"/>
      <c r="J395" s="529"/>
      <c r="K395" s="529"/>
      <c r="L395" s="529"/>
      <c r="M395" s="529"/>
      <c r="N395" s="529"/>
      <c r="O395" s="2223"/>
      <c r="P395" s="2223"/>
      <c r="Q395" s="2223"/>
      <c r="R395" s="2223"/>
      <c r="S395" s="2223"/>
      <c r="T395" s="2223"/>
      <c r="U395" s="2223"/>
      <c r="V395" s="2224"/>
      <c r="W395" s="2224"/>
      <c r="X395" s="2224"/>
    </row>
    <row r="396" spans="1:24" ht="15.75" customHeight="1">
      <c r="A396" s="2223"/>
      <c r="B396" s="2223"/>
      <c r="C396" s="529"/>
      <c r="D396" s="529"/>
      <c r="E396" s="529"/>
      <c r="F396" s="529"/>
      <c r="G396" s="529"/>
      <c r="H396" s="529"/>
      <c r="I396" s="529"/>
      <c r="J396" s="529"/>
      <c r="K396" s="529"/>
      <c r="L396" s="529"/>
      <c r="M396" s="529"/>
      <c r="N396" s="529"/>
      <c r="O396" s="2223"/>
      <c r="P396" s="2223"/>
      <c r="Q396" s="2223"/>
      <c r="R396" s="2223"/>
      <c r="S396" s="2223"/>
      <c r="T396" s="2223"/>
      <c r="U396" s="2223"/>
      <c r="V396" s="2224"/>
      <c r="W396" s="2224"/>
      <c r="X396" s="2224"/>
    </row>
    <row r="397" spans="1:24" ht="15.75" customHeight="1">
      <c r="A397" s="2223"/>
      <c r="B397" s="2223"/>
      <c r="C397" s="529"/>
      <c r="D397" s="529"/>
      <c r="E397" s="529"/>
      <c r="F397" s="529"/>
      <c r="G397" s="529"/>
      <c r="H397" s="529"/>
      <c r="I397" s="529"/>
      <c r="J397" s="529"/>
      <c r="K397" s="529"/>
      <c r="L397" s="529"/>
      <c r="M397" s="529"/>
      <c r="N397" s="529"/>
      <c r="O397" s="2223"/>
      <c r="P397" s="2223"/>
      <c r="Q397" s="2223"/>
      <c r="R397" s="2223"/>
      <c r="S397" s="2223"/>
      <c r="T397" s="2223"/>
      <c r="U397" s="2223"/>
      <c r="V397" s="2224"/>
      <c r="W397" s="2224"/>
      <c r="X397" s="2224"/>
    </row>
    <row r="398" spans="1:24" ht="15.75" customHeight="1">
      <c r="A398" s="2223"/>
      <c r="B398" s="2223"/>
      <c r="C398" s="529"/>
      <c r="D398" s="529"/>
      <c r="E398" s="529"/>
      <c r="F398" s="529"/>
      <c r="G398" s="529"/>
      <c r="H398" s="529"/>
      <c r="I398" s="529"/>
      <c r="J398" s="529"/>
      <c r="K398" s="529"/>
      <c r="L398" s="529"/>
      <c r="M398" s="529"/>
      <c r="N398" s="529"/>
      <c r="O398" s="2223"/>
      <c r="P398" s="2223"/>
      <c r="Q398" s="2223"/>
      <c r="R398" s="2223"/>
      <c r="S398" s="2223"/>
      <c r="T398" s="2223"/>
      <c r="U398" s="2223"/>
      <c r="V398" s="2224"/>
      <c r="W398" s="2224"/>
      <c r="X398" s="2224"/>
    </row>
    <row r="399" spans="1:24" ht="15.75" customHeight="1">
      <c r="A399" s="2223"/>
      <c r="B399" s="2223"/>
      <c r="C399" s="529"/>
      <c r="D399" s="529"/>
      <c r="E399" s="529"/>
      <c r="F399" s="529"/>
      <c r="G399" s="529"/>
      <c r="H399" s="529"/>
      <c r="I399" s="529"/>
      <c r="J399" s="529"/>
      <c r="K399" s="529"/>
      <c r="L399" s="529"/>
      <c r="M399" s="529"/>
      <c r="N399" s="529"/>
      <c r="O399" s="2223"/>
      <c r="P399" s="2223"/>
      <c r="Q399" s="2223"/>
      <c r="R399" s="2223"/>
      <c r="S399" s="2223"/>
      <c r="T399" s="2223"/>
      <c r="U399" s="2223"/>
      <c r="V399" s="2224"/>
      <c r="W399" s="2224"/>
      <c r="X399" s="2224"/>
    </row>
    <row r="400" spans="1:24" ht="15.75" customHeight="1">
      <c r="A400" s="2223"/>
      <c r="B400" s="2223"/>
      <c r="C400" s="529"/>
      <c r="D400" s="529"/>
      <c r="E400" s="529"/>
      <c r="F400" s="529"/>
      <c r="G400" s="529"/>
      <c r="H400" s="529"/>
      <c r="I400" s="529"/>
      <c r="J400" s="529"/>
      <c r="K400" s="529"/>
      <c r="L400" s="529"/>
      <c r="M400" s="529"/>
      <c r="N400" s="529"/>
      <c r="O400" s="2223"/>
      <c r="P400" s="2223"/>
      <c r="Q400" s="2223"/>
      <c r="R400" s="2223"/>
      <c r="S400" s="2223"/>
      <c r="T400" s="2223"/>
      <c r="U400" s="2223"/>
      <c r="V400" s="2224"/>
      <c r="W400" s="2224"/>
      <c r="X400" s="2224"/>
    </row>
    <row r="401" spans="1:24" ht="15.75" customHeight="1">
      <c r="A401" s="2223"/>
      <c r="B401" s="2223"/>
      <c r="C401" s="529"/>
      <c r="D401" s="529"/>
      <c r="E401" s="529"/>
      <c r="F401" s="529"/>
      <c r="G401" s="529"/>
      <c r="H401" s="529"/>
      <c r="I401" s="529"/>
      <c r="J401" s="529"/>
      <c r="K401" s="529"/>
      <c r="L401" s="529"/>
      <c r="M401" s="529"/>
      <c r="N401" s="529"/>
      <c r="O401" s="2223"/>
      <c r="P401" s="2223"/>
      <c r="Q401" s="2223"/>
      <c r="R401" s="2223"/>
      <c r="S401" s="2223"/>
      <c r="T401" s="2223"/>
      <c r="U401" s="2223"/>
      <c r="V401" s="2224"/>
      <c r="W401" s="2224"/>
      <c r="X401" s="2224"/>
    </row>
    <row r="402" spans="1:24" ht="15.75" customHeight="1">
      <c r="A402" s="2223"/>
      <c r="B402" s="2223"/>
      <c r="C402" s="529"/>
      <c r="D402" s="529"/>
      <c r="E402" s="529"/>
      <c r="F402" s="529"/>
      <c r="G402" s="529"/>
      <c r="H402" s="529"/>
      <c r="I402" s="529"/>
      <c r="J402" s="529"/>
      <c r="K402" s="529"/>
      <c r="L402" s="529"/>
      <c r="M402" s="529"/>
      <c r="N402" s="529"/>
      <c r="O402" s="2223"/>
      <c r="P402" s="2223"/>
      <c r="Q402" s="2223"/>
      <c r="R402" s="2223"/>
      <c r="S402" s="2223"/>
      <c r="T402" s="2223"/>
      <c r="U402" s="2223"/>
      <c r="V402" s="2224"/>
      <c r="W402" s="2224"/>
      <c r="X402" s="2224"/>
    </row>
    <row r="403" spans="1:24" ht="15.75" customHeight="1">
      <c r="A403" s="2223"/>
      <c r="B403" s="2223"/>
      <c r="C403" s="529"/>
      <c r="D403" s="529"/>
      <c r="E403" s="529"/>
      <c r="F403" s="529"/>
      <c r="G403" s="529"/>
      <c r="H403" s="529"/>
      <c r="I403" s="529"/>
      <c r="J403" s="529"/>
      <c r="K403" s="529"/>
      <c r="L403" s="529"/>
      <c r="M403" s="529"/>
      <c r="N403" s="529"/>
      <c r="O403" s="2223"/>
      <c r="P403" s="2223"/>
      <c r="Q403" s="2223"/>
      <c r="R403" s="2223"/>
      <c r="S403" s="2223"/>
      <c r="T403" s="2223"/>
      <c r="U403" s="2223"/>
      <c r="V403" s="2224"/>
      <c r="W403" s="2224"/>
      <c r="X403" s="2224"/>
    </row>
    <row r="404" spans="1:24" ht="15.75" customHeight="1">
      <c r="A404" s="2223"/>
      <c r="B404" s="2223"/>
      <c r="C404" s="529"/>
      <c r="D404" s="529"/>
      <c r="E404" s="529"/>
      <c r="F404" s="529"/>
      <c r="G404" s="529"/>
      <c r="H404" s="529"/>
      <c r="I404" s="529"/>
      <c r="J404" s="529"/>
      <c r="K404" s="529"/>
      <c r="L404" s="529"/>
      <c r="M404" s="529"/>
      <c r="N404" s="529"/>
      <c r="O404" s="2223"/>
      <c r="P404" s="2223"/>
      <c r="Q404" s="2223"/>
      <c r="R404" s="2223"/>
      <c r="S404" s="2223"/>
      <c r="T404" s="2223"/>
      <c r="U404" s="2223"/>
      <c r="V404" s="2224"/>
      <c r="W404" s="2224"/>
      <c r="X404" s="2224"/>
    </row>
    <row r="405" spans="1:24" ht="15.75" customHeight="1">
      <c r="A405" s="2223"/>
      <c r="B405" s="2223"/>
      <c r="C405" s="529"/>
      <c r="D405" s="529"/>
      <c r="E405" s="529"/>
      <c r="F405" s="529"/>
      <c r="G405" s="529"/>
      <c r="H405" s="529"/>
      <c r="I405" s="529"/>
      <c r="J405" s="529"/>
      <c r="K405" s="529"/>
      <c r="L405" s="529"/>
      <c r="M405" s="529"/>
      <c r="N405" s="529"/>
      <c r="O405" s="2223"/>
      <c r="P405" s="2223"/>
      <c r="Q405" s="2223"/>
      <c r="R405" s="2223"/>
      <c r="S405" s="2223"/>
      <c r="T405" s="2223"/>
      <c r="U405" s="2223"/>
      <c r="V405" s="2224"/>
      <c r="W405" s="2224"/>
      <c r="X405" s="2224"/>
    </row>
    <row r="406" spans="1:24" ht="15.75" customHeight="1">
      <c r="A406" s="2223"/>
      <c r="B406" s="2223"/>
      <c r="C406" s="529"/>
      <c r="D406" s="529"/>
      <c r="E406" s="529"/>
      <c r="F406" s="529"/>
      <c r="G406" s="529"/>
      <c r="H406" s="529"/>
      <c r="I406" s="529"/>
      <c r="J406" s="529"/>
      <c r="K406" s="529"/>
      <c r="L406" s="529"/>
      <c r="M406" s="529"/>
      <c r="N406" s="529"/>
      <c r="O406" s="2223"/>
      <c r="P406" s="2223"/>
      <c r="Q406" s="2223"/>
      <c r="R406" s="2223"/>
      <c r="S406" s="2223"/>
      <c r="T406" s="2223"/>
      <c r="U406" s="2223"/>
      <c r="V406" s="2224"/>
      <c r="W406" s="2224"/>
      <c r="X406" s="2224"/>
    </row>
    <row r="407" spans="1:24" ht="15.75" customHeight="1">
      <c r="A407" s="2223"/>
      <c r="B407" s="2223"/>
      <c r="C407" s="529"/>
      <c r="D407" s="529"/>
      <c r="E407" s="529"/>
      <c r="F407" s="529"/>
      <c r="G407" s="529"/>
      <c r="H407" s="529"/>
      <c r="I407" s="529"/>
      <c r="J407" s="529"/>
      <c r="K407" s="529"/>
      <c r="L407" s="529"/>
      <c r="M407" s="529"/>
      <c r="N407" s="529"/>
      <c r="O407" s="2223"/>
      <c r="P407" s="2223"/>
      <c r="Q407" s="2223"/>
      <c r="R407" s="2223"/>
      <c r="S407" s="2223"/>
      <c r="T407" s="2223"/>
      <c r="U407" s="2223"/>
      <c r="V407" s="2224"/>
      <c r="W407" s="2224"/>
      <c r="X407" s="2224"/>
    </row>
    <row r="408" spans="1:24" ht="15.75" customHeight="1">
      <c r="A408" s="2223"/>
      <c r="B408" s="2223"/>
      <c r="C408" s="529"/>
      <c r="D408" s="529"/>
      <c r="E408" s="529"/>
      <c r="F408" s="529"/>
      <c r="G408" s="529"/>
      <c r="H408" s="529"/>
      <c r="I408" s="529"/>
      <c r="J408" s="529"/>
      <c r="K408" s="529"/>
      <c r="L408" s="529"/>
      <c r="M408" s="529"/>
      <c r="N408" s="529"/>
      <c r="O408" s="2223"/>
      <c r="P408" s="2223"/>
      <c r="Q408" s="2223"/>
      <c r="R408" s="2223"/>
      <c r="S408" s="2223"/>
      <c r="T408" s="2223"/>
      <c r="U408" s="2223"/>
      <c r="V408" s="2224"/>
      <c r="W408" s="2224"/>
      <c r="X408" s="2224"/>
    </row>
    <row r="409" spans="1:24" ht="15.75" customHeight="1">
      <c r="A409" s="2223"/>
      <c r="B409" s="2223"/>
      <c r="C409" s="529"/>
      <c r="D409" s="529"/>
      <c r="E409" s="529"/>
      <c r="F409" s="529"/>
      <c r="G409" s="529"/>
      <c r="H409" s="529"/>
      <c r="I409" s="529"/>
      <c r="J409" s="529"/>
      <c r="K409" s="529"/>
      <c r="L409" s="529"/>
      <c r="M409" s="529"/>
      <c r="N409" s="529"/>
      <c r="O409" s="2223"/>
      <c r="P409" s="2223"/>
      <c r="Q409" s="2223"/>
      <c r="R409" s="2223"/>
      <c r="S409" s="2223"/>
      <c r="T409" s="2223"/>
      <c r="U409" s="2223"/>
      <c r="V409" s="2224"/>
      <c r="W409" s="2224"/>
      <c r="X409" s="2224"/>
    </row>
    <row r="410" spans="1:24" ht="15.75" customHeight="1">
      <c r="A410" s="2223"/>
      <c r="B410" s="2223"/>
      <c r="C410" s="529"/>
      <c r="D410" s="529"/>
      <c r="E410" s="529"/>
      <c r="F410" s="529"/>
      <c r="G410" s="529"/>
      <c r="H410" s="529"/>
      <c r="I410" s="529"/>
      <c r="J410" s="529"/>
      <c r="K410" s="529"/>
      <c r="L410" s="529"/>
      <c r="M410" s="529"/>
      <c r="N410" s="529"/>
      <c r="O410" s="2223"/>
      <c r="P410" s="2223"/>
      <c r="Q410" s="2223"/>
      <c r="R410" s="2223"/>
      <c r="S410" s="2223"/>
      <c r="T410" s="2223"/>
      <c r="U410" s="2223"/>
      <c r="V410" s="2224"/>
      <c r="W410" s="2224"/>
      <c r="X410" s="2224"/>
    </row>
    <row r="411" spans="1:24" ht="15.75" customHeight="1">
      <c r="A411" s="2223"/>
      <c r="B411" s="2223"/>
      <c r="C411" s="529"/>
      <c r="D411" s="529"/>
      <c r="E411" s="529"/>
      <c r="F411" s="529"/>
      <c r="G411" s="529"/>
      <c r="H411" s="529"/>
      <c r="I411" s="529"/>
      <c r="J411" s="529"/>
      <c r="K411" s="529"/>
      <c r="L411" s="529"/>
      <c r="M411" s="529"/>
      <c r="N411" s="529"/>
      <c r="O411" s="2223"/>
      <c r="P411" s="2223"/>
      <c r="Q411" s="2223"/>
      <c r="R411" s="2223"/>
      <c r="S411" s="2223"/>
      <c r="T411" s="2223"/>
      <c r="U411" s="2223"/>
      <c r="V411" s="2224"/>
      <c r="W411" s="2224"/>
      <c r="X411" s="2224"/>
    </row>
    <row r="412" spans="1:24" ht="15.75" customHeight="1">
      <c r="A412" s="2223"/>
      <c r="B412" s="2223"/>
      <c r="C412" s="529"/>
      <c r="D412" s="529"/>
      <c r="E412" s="529"/>
      <c r="F412" s="529"/>
      <c r="G412" s="529"/>
      <c r="H412" s="529"/>
      <c r="I412" s="529"/>
      <c r="J412" s="529"/>
      <c r="K412" s="529"/>
      <c r="L412" s="529"/>
      <c r="M412" s="529"/>
      <c r="N412" s="529"/>
      <c r="O412" s="2223"/>
      <c r="P412" s="2223"/>
      <c r="Q412" s="2223"/>
      <c r="R412" s="2223"/>
      <c r="S412" s="2223"/>
      <c r="T412" s="2223"/>
      <c r="U412" s="2223"/>
      <c r="V412" s="2224"/>
      <c r="W412" s="2224"/>
      <c r="X412" s="2224"/>
    </row>
    <row r="413" spans="1:24" ht="15.75" customHeight="1">
      <c r="A413" s="2223"/>
      <c r="B413" s="2223"/>
      <c r="C413" s="529"/>
      <c r="D413" s="529"/>
      <c r="E413" s="529"/>
      <c r="F413" s="529"/>
      <c r="G413" s="529"/>
      <c r="H413" s="529"/>
      <c r="I413" s="529"/>
      <c r="J413" s="529"/>
      <c r="K413" s="529"/>
      <c r="L413" s="529"/>
      <c r="M413" s="529"/>
      <c r="N413" s="529"/>
      <c r="O413" s="2223"/>
      <c r="P413" s="2223"/>
      <c r="Q413" s="2223"/>
      <c r="R413" s="2223"/>
      <c r="S413" s="2223"/>
      <c r="T413" s="2223"/>
      <c r="U413" s="2223"/>
      <c r="V413" s="2224"/>
      <c r="W413" s="2224"/>
      <c r="X413" s="2224"/>
    </row>
    <row r="414" spans="1:24" ht="15.75" customHeight="1">
      <c r="A414" s="2223"/>
      <c r="B414" s="2223"/>
      <c r="C414" s="529"/>
      <c r="D414" s="529"/>
      <c r="E414" s="529"/>
      <c r="F414" s="529"/>
      <c r="G414" s="529"/>
      <c r="H414" s="529"/>
      <c r="I414" s="529"/>
      <c r="J414" s="529"/>
      <c r="K414" s="529"/>
      <c r="L414" s="529"/>
      <c r="M414" s="529"/>
      <c r="N414" s="529"/>
      <c r="O414" s="2223"/>
      <c r="P414" s="2223"/>
      <c r="Q414" s="2223"/>
      <c r="R414" s="2223"/>
      <c r="S414" s="2223"/>
      <c r="T414" s="2223"/>
      <c r="U414" s="2223"/>
      <c r="V414" s="2224"/>
      <c r="W414" s="2224"/>
      <c r="X414" s="2224"/>
    </row>
    <row r="415" spans="1:24" ht="15.75" customHeight="1">
      <c r="A415" s="2223"/>
      <c r="B415" s="2223"/>
      <c r="C415" s="529"/>
      <c r="D415" s="529"/>
      <c r="E415" s="529"/>
      <c r="F415" s="529"/>
      <c r="G415" s="529"/>
      <c r="H415" s="529"/>
      <c r="I415" s="529"/>
      <c r="J415" s="529"/>
      <c r="K415" s="529"/>
      <c r="L415" s="529"/>
      <c r="M415" s="529"/>
      <c r="N415" s="529"/>
      <c r="O415" s="2223"/>
      <c r="P415" s="2223"/>
      <c r="Q415" s="2223"/>
      <c r="R415" s="2223"/>
      <c r="S415" s="2223"/>
      <c r="T415" s="2223"/>
      <c r="U415" s="2223"/>
      <c r="V415" s="2224"/>
      <c r="W415" s="2224"/>
      <c r="X415" s="2224"/>
    </row>
    <row r="416" spans="1:24" ht="15.75" customHeight="1">
      <c r="A416" s="2223"/>
      <c r="B416" s="2223"/>
      <c r="C416" s="529"/>
      <c r="D416" s="529"/>
      <c r="E416" s="529"/>
      <c r="F416" s="529"/>
      <c r="G416" s="529"/>
      <c r="H416" s="529"/>
      <c r="I416" s="529"/>
      <c r="J416" s="529"/>
      <c r="K416" s="529"/>
      <c r="L416" s="529"/>
      <c r="M416" s="529"/>
      <c r="N416" s="529"/>
      <c r="O416" s="2223"/>
      <c r="P416" s="2223"/>
      <c r="Q416" s="2223"/>
      <c r="R416" s="2223"/>
      <c r="S416" s="2223"/>
      <c r="T416" s="2223"/>
      <c r="U416" s="2223"/>
      <c r="V416" s="2224"/>
      <c r="W416" s="2224"/>
      <c r="X416" s="2224"/>
    </row>
    <row r="417" spans="1:24" ht="15.75" customHeight="1">
      <c r="A417" s="2223"/>
      <c r="B417" s="2223"/>
      <c r="C417" s="529"/>
      <c r="D417" s="529"/>
      <c r="E417" s="529"/>
      <c r="F417" s="529"/>
      <c r="G417" s="529"/>
      <c r="H417" s="529"/>
      <c r="I417" s="529"/>
      <c r="J417" s="529"/>
      <c r="K417" s="529"/>
      <c r="L417" s="529"/>
      <c r="M417" s="529"/>
      <c r="N417" s="529"/>
      <c r="O417" s="2223"/>
      <c r="P417" s="2223"/>
      <c r="Q417" s="2223"/>
      <c r="R417" s="2223"/>
      <c r="S417" s="2223"/>
      <c r="T417" s="2223"/>
      <c r="U417" s="2223"/>
      <c r="V417" s="2224"/>
      <c r="W417" s="2224"/>
      <c r="X417" s="2224"/>
    </row>
    <row r="418" spans="1:24" ht="15.75" customHeight="1">
      <c r="A418" s="2223"/>
      <c r="B418" s="2223"/>
      <c r="C418" s="529"/>
      <c r="D418" s="529"/>
      <c r="E418" s="529"/>
      <c r="F418" s="529"/>
      <c r="G418" s="529"/>
      <c r="H418" s="529"/>
      <c r="I418" s="529"/>
      <c r="J418" s="529"/>
      <c r="K418" s="529"/>
      <c r="L418" s="529"/>
      <c r="M418" s="529"/>
      <c r="N418" s="529"/>
      <c r="O418" s="2223"/>
      <c r="P418" s="2223"/>
      <c r="Q418" s="2223"/>
      <c r="R418" s="2223"/>
      <c r="S418" s="2223"/>
      <c r="T418" s="2223"/>
      <c r="U418" s="2223"/>
      <c r="V418" s="2224"/>
      <c r="W418" s="2224"/>
      <c r="X418" s="2224"/>
    </row>
    <row r="419" spans="1:24" ht="15.75" customHeight="1">
      <c r="A419" s="2223"/>
      <c r="B419" s="2223"/>
      <c r="C419" s="529"/>
      <c r="D419" s="529"/>
      <c r="E419" s="529"/>
      <c r="F419" s="529"/>
      <c r="G419" s="529"/>
      <c r="H419" s="529"/>
      <c r="I419" s="529"/>
      <c r="J419" s="529"/>
      <c r="K419" s="529"/>
      <c r="L419" s="529"/>
      <c r="M419" s="529"/>
      <c r="N419" s="529"/>
      <c r="O419" s="2223"/>
      <c r="P419" s="2223"/>
      <c r="Q419" s="2223"/>
      <c r="R419" s="2223"/>
      <c r="S419" s="2223"/>
      <c r="T419" s="2223"/>
      <c r="U419" s="2223"/>
      <c r="V419" s="2224"/>
      <c r="W419" s="2224"/>
      <c r="X419" s="2224"/>
    </row>
    <row r="420" spans="1:24" ht="15.75" customHeight="1">
      <c r="A420" s="2223"/>
      <c r="B420" s="2223"/>
      <c r="C420" s="529"/>
      <c r="D420" s="529"/>
      <c r="E420" s="529"/>
      <c r="F420" s="529"/>
      <c r="G420" s="529"/>
      <c r="H420" s="529"/>
      <c r="I420" s="529"/>
      <c r="J420" s="529"/>
      <c r="K420" s="529"/>
      <c r="L420" s="529"/>
      <c r="M420" s="529"/>
      <c r="N420" s="529"/>
      <c r="O420" s="2223"/>
      <c r="P420" s="2223"/>
      <c r="Q420" s="2223"/>
      <c r="R420" s="2223"/>
      <c r="S420" s="2223"/>
      <c r="T420" s="2223"/>
      <c r="U420" s="2223"/>
      <c r="V420" s="2224"/>
      <c r="W420" s="2224"/>
      <c r="X420" s="2224"/>
    </row>
    <row r="421" spans="1:24" ht="15.75" customHeight="1">
      <c r="A421" s="2223"/>
      <c r="B421" s="2223"/>
      <c r="C421" s="529"/>
      <c r="D421" s="529"/>
      <c r="E421" s="529"/>
      <c r="F421" s="529"/>
      <c r="G421" s="529"/>
      <c r="H421" s="529"/>
      <c r="I421" s="529"/>
      <c r="J421" s="529"/>
      <c r="K421" s="529"/>
      <c r="L421" s="529"/>
      <c r="M421" s="529"/>
      <c r="N421" s="529"/>
      <c r="O421" s="2223"/>
      <c r="P421" s="2223"/>
      <c r="Q421" s="2223"/>
      <c r="R421" s="2223"/>
      <c r="S421" s="2223"/>
      <c r="T421" s="2223"/>
      <c r="U421" s="2223"/>
      <c r="V421" s="2224"/>
      <c r="W421" s="2224"/>
      <c r="X421" s="2224"/>
    </row>
    <row r="422" spans="1:24" ht="15.75" customHeight="1">
      <c r="A422" s="2223"/>
      <c r="B422" s="2223"/>
      <c r="C422" s="529"/>
      <c r="D422" s="529"/>
      <c r="E422" s="529"/>
      <c r="F422" s="529"/>
      <c r="G422" s="529"/>
      <c r="H422" s="529"/>
      <c r="I422" s="529"/>
      <c r="J422" s="529"/>
      <c r="K422" s="529"/>
      <c r="L422" s="529"/>
      <c r="M422" s="529"/>
      <c r="N422" s="529"/>
      <c r="O422" s="2223"/>
      <c r="P422" s="2223"/>
      <c r="Q422" s="2223"/>
      <c r="R422" s="2223"/>
      <c r="S422" s="2223"/>
      <c r="T422" s="2223"/>
      <c r="U422" s="2223"/>
      <c r="V422" s="2224"/>
      <c r="W422" s="2224"/>
      <c r="X422" s="2224"/>
    </row>
    <row r="423" spans="1:24" ht="15.75" customHeight="1">
      <c r="A423" s="2223"/>
      <c r="B423" s="2223"/>
      <c r="C423" s="529"/>
      <c r="D423" s="529"/>
      <c r="E423" s="529"/>
      <c r="F423" s="529"/>
      <c r="G423" s="529"/>
      <c r="H423" s="529"/>
      <c r="I423" s="529"/>
      <c r="J423" s="529"/>
      <c r="K423" s="529"/>
      <c r="L423" s="529"/>
      <c r="M423" s="529"/>
      <c r="N423" s="529"/>
      <c r="O423" s="2223"/>
      <c r="P423" s="2223"/>
      <c r="Q423" s="2223"/>
      <c r="R423" s="2223"/>
      <c r="S423" s="2223"/>
      <c r="T423" s="2223"/>
      <c r="U423" s="2223"/>
      <c r="V423" s="2224"/>
      <c r="W423" s="2224"/>
      <c r="X423" s="2224"/>
    </row>
    <row r="424" spans="1:24" ht="15.75" customHeight="1">
      <c r="A424" s="2223"/>
      <c r="B424" s="2223"/>
      <c r="C424" s="529"/>
      <c r="D424" s="529"/>
      <c r="E424" s="529"/>
      <c r="F424" s="529"/>
      <c r="G424" s="529"/>
      <c r="H424" s="529"/>
      <c r="I424" s="529"/>
      <c r="J424" s="529"/>
      <c r="K424" s="529"/>
      <c r="L424" s="529"/>
      <c r="M424" s="529"/>
      <c r="N424" s="529"/>
      <c r="O424" s="2223"/>
      <c r="P424" s="2223"/>
      <c r="Q424" s="2223"/>
      <c r="R424" s="2223"/>
      <c r="S424" s="2223"/>
      <c r="T424" s="2223"/>
      <c r="U424" s="2223"/>
      <c r="V424" s="2224"/>
      <c r="W424" s="2224"/>
      <c r="X424" s="2224"/>
    </row>
    <row r="425" spans="1:24" ht="15.75" customHeight="1">
      <c r="A425" s="2223"/>
      <c r="B425" s="2223"/>
      <c r="C425" s="529"/>
      <c r="D425" s="529"/>
      <c r="E425" s="529"/>
      <c r="F425" s="529"/>
      <c r="G425" s="529"/>
      <c r="H425" s="529"/>
      <c r="I425" s="529"/>
      <c r="J425" s="529"/>
      <c r="K425" s="529"/>
      <c r="L425" s="529"/>
      <c r="M425" s="529"/>
      <c r="N425" s="529"/>
      <c r="O425" s="2223"/>
      <c r="P425" s="2223"/>
      <c r="Q425" s="2223"/>
      <c r="R425" s="2223"/>
      <c r="S425" s="2223"/>
      <c r="T425" s="2223"/>
      <c r="U425" s="2223"/>
      <c r="V425" s="2224"/>
      <c r="W425" s="2224"/>
      <c r="X425" s="2224"/>
    </row>
    <row r="426" spans="1:24" ht="15.75" customHeight="1">
      <c r="A426" s="2223"/>
      <c r="B426" s="2223"/>
      <c r="C426" s="529"/>
      <c r="D426" s="529"/>
      <c r="E426" s="529"/>
      <c r="F426" s="529"/>
      <c r="G426" s="529"/>
      <c r="H426" s="529"/>
      <c r="I426" s="529"/>
      <c r="J426" s="529"/>
      <c r="K426" s="529"/>
      <c r="L426" s="529"/>
      <c r="M426" s="529"/>
      <c r="N426" s="529"/>
      <c r="O426" s="2223"/>
      <c r="P426" s="2223"/>
      <c r="Q426" s="2223"/>
      <c r="R426" s="2223"/>
      <c r="S426" s="2223"/>
      <c r="T426" s="2223"/>
      <c r="U426" s="2223"/>
      <c r="V426" s="2224"/>
      <c r="W426" s="2224"/>
      <c r="X426" s="2224"/>
    </row>
    <row r="427" spans="1:24" ht="15.75" customHeight="1">
      <c r="A427" s="2223"/>
      <c r="B427" s="2223"/>
      <c r="C427" s="529"/>
      <c r="D427" s="529"/>
      <c r="E427" s="529"/>
      <c r="F427" s="529"/>
      <c r="G427" s="529"/>
      <c r="H427" s="529"/>
      <c r="I427" s="529"/>
      <c r="J427" s="529"/>
      <c r="K427" s="529"/>
      <c r="L427" s="529"/>
      <c r="M427" s="529"/>
      <c r="N427" s="529"/>
      <c r="O427" s="2223"/>
      <c r="P427" s="2223"/>
      <c r="Q427" s="2223"/>
      <c r="R427" s="2223"/>
      <c r="S427" s="2223"/>
      <c r="T427" s="2223"/>
      <c r="U427" s="2223"/>
      <c r="V427" s="2224"/>
      <c r="W427" s="2224"/>
      <c r="X427" s="2224"/>
    </row>
    <row r="428" spans="1:24" ht="15.75" customHeight="1">
      <c r="A428" s="2223"/>
      <c r="B428" s="2223"/>
      <c r="C428" s="529"/>
      <c r="D428" s="529"/>
      <c r="E428" s="529"/>
      <c r="F428" s="529"/>
      <c r="G428" s="529"/>
      <c r="H428" s="529"/>
      <c r="I428" s="529"/>
      <c r="J428" s="529"/>
      <c r="K428" s="529"/>
      <c r="L428" s="529"/>
      <c r="M428" s="529"/>
      <c r="N428" s="529"/>
      <c r="O428" s="2223"/>
      <c r="P428" s="2223"/>
      <c r="Q428" s="2223"/>
      <c r="R428" s="2223"/>
      <c r="S428" s="2223"/>
      <c r="T428" s="2223"/>
      <c r="U428" s="2223"/>
      <c r="V428" s="2224"/>
      <c r="W428" s="2224"/>
      <c r="X428" s="2224"/>
    </row>
    <row r="429" spans="1:24" ht="15.75" customHeight="1">
      <c r="A429" s="2223"/>
      <c r="B429" s="2223"/>
      <c r="C429" s="529"/>
      <c r="D429" s="529"/>
      <c r="E429" s="529"/>
      <c r="F429" s="529"/>
      <c r="G429" s="529"/>
      <c r="H429" s="529"/>
      <c r="I429" s="529"/>
      <c r="J429" s="529"/>
      <c r="K429" s="529"/>
      <c r="L429" s="529"/>
      <c r="M429" s="529"/>
      <c r="N429" s="529"/>
      <c r="O429" s="2223"/>
      <c r="P429" s="2223"/>
      <c r="Q429" s="2223"/>
      <c r="R429" s="2223"/>
      <c r="S429" s="2223"/>
      <c r="T429" s="2223"/>
      <c r="U429" s="2223"/>
      <c r="V429" s="2224"/>
      <c r="W429" s="2224"/>
      <c r="X429" s="2224"/>
    </row>
    <row r="430" spans="1:24" ht="15.75" customHeight="1">
      <c r="A430" s="2223"/>
      <c r="B430" s="2223"/>
      <c r="C430" s="529"/>
      <c r="D430" s="529"/>
      <c r="E430" s="529"/>
      <c r="F430" s="529"/>
      <c r="G430" s="529"/>
      <c r="H430" s="529"/>
      <c r="I430" s="529"/>
      <c r="J430" s="529"/>
      <c r="K430" s="529"/>
      <c r="L430" s="529"/>
      <c r="M430" s="529"/>
      <c r="N430" s="529"/>
      <c r="O430" s="2223"/>
      <c r="P430" s="2223"/>
      <c r="Q430" s="2223"/>
      <c r="R430" s="2223"/>
      <c r="S430" s="2223"/>
      <c r="T430" s="2223"/>
      <c r="U430" s="2223"/>
      <c r="V430" s="2224"/>
      <c r="W430" s="2224"/>
      <c r="X430" s="2224"/>
    </row>
    <row r="431" spans="1:24" ht="15.75" customHeight="1">
      <c r="A431" s="2223"/>
      <c r="B431" s="2223"/>
      <c r="C431" s="529"/>
      <c r="D431" s="529"/>
      <c r="E431" s="529"/>
      <c r="F431" s="529"/>
      <c r="G431" s="529"/>
      <c r="H431" s="529"/>
      <c r="I431" s="529"/>
      <c r="J431" s="529"/>
      <c r="K431" s="529"/>
      <c r="L431" s="529"/>
      <c r="M431" s="529"/>
      <c r="N431" s="529"/>
      <c r="O431" s="2223"/>
      <c r="P431" s="2223"/>
      <c r="Q431" s="2223"/>
      <c r="R431" s="2223"/>
      <c r="S431" s="2223"/>
      <c r="T431" s="2223"/>
      <c r="U431" s="2223"/>
      <c r="V431" s="2224"/>
      <c r="W431" s="2224"/>
      <c r="X431" s="2224"/>
    </row>
    <row r="432" spans="1:24" ht="15.75" customHeight="1">
      <c r="A432" s="2223"/>
      <c r="B432" s="2223"/>
      <c r="C432" s="529"/>
      <c r="D432" s="529"/>
      <c r="E432" s="529"/>
      <c r="F432" s="529"/>
      <c r="G432" s="529"/>
      <c r="H432" s="529"/>
      <c r="I432" s="529"/>
      <c r="J432" s="529"/>
      <c r="K432" s="529"/>
      <c r="L432" s="529"/>
      <c r="M432" s="529"/>
      <c r="N432" s="529"/>
      <c r="O432" s="2223"/>
      <c r="P432" s="2223"/>
      <c r="Q432" s="2223"/>
      <c r="R432" s="2223"/>
      <c r="S432" s="2223"/>
      <c r="T432" s="2223"/>
      <c r="U432" s="2223"/>
      <c r="V432" s="2224"/>
      <c r="W432" s="2224"/>
      <c r="X432" s="2224"/>
    </row>
    <row r="433" spans="1:24" ht="15.75" customHeight="1">
      <c r="A433" s="2223"/>
      <c r="B433" s="2223"/>
      <c r="C433" s="529"/>
      <c r="D433" s="529"/>
      <c r="E433" s="529"/>
      <c r="F433" s="529"/>
      <c r="G433" s="529"/>
      <c r="H433" s="529"/>
      <c r="I433" s="529"/>
      <c r="J433" s="529"/>
      <c r="K433" s="529"/>
      <c r="L433" s="529"/>
      <c r="M433" s="529"/>
      <c r="N433" s="529"/>
      <c r="O433" s="2223"/>
      <c r="P433" s="2223"/>
      <c r="Q433" s="2223"/>
      <c r="R433" s="2223"/>
      <c r="S433" s="2223"/>
      <c r="T433" s="2223"/>
      <c r="U433" s="2223"/>
      <c r="V433" s="2224"/>
      <c r="W433" s="2224"/>
      <c r="X433" s="2224"/>
    </row>
    <row r="434" spans="1:24" ht="15.75" customHeight="1">
      <c r="A434" s="2223"/>
      <c r="B434" s="2223"/>
      <c r="C434" s="529"/>
      <c r="D434" s="529"/>
      <c r="E434" s="529"/>
      <c r="F434" s="529"/>
      <c r="G434" s="529"/>
      <c r="H434" s="529"/>
      <c r="I434" s="529"/>
      <c r="J434" s="529"/>
      <c r="K434" s="529"/>
      <c r="L434" s="529"/>
      <c r="M434" s="529"/>
      <c r="N434" s="529"/>
      <c r="O434" s="2223"/>
      <c r="P434" s="2223"/>
      <c r="Q434" s="2223"/>
      <c r="R434" s="2223"/>
      <c r="S434" s="2223"/>
      <c r="T434" s="2223"/>
      <c r="U434" s="2223"/>
      <c r="V434" s="2224"/>
      <c r="W434" s="2224"/>
      <c r="X434" s="2224"/>
    </row>
    <row r="435" spans="1:24" ht="15.75" customHeight="1">
      <c r="A435" s="2223"/>
      <c r="B435" s="2223"/>
      <c r="C435" s="529"/>
      <c r="D435" s="529"/>
      <c r="E435" s="529"/>
      <c r="F435" s="529"/>
      <c r="G435" s="529"/>
      <c r="H435" s="529"/>
      <c r="I435" s="529"/>
      <c r="J435" s="529"/>
      <c r="K435" s="529"/>
      <c r="L435" s="529"/>
      <c r="M435" s="529"/>
      <c r="N435" s="529"/>
      <c r="O435" s="2223"/>
      <c r="P435" s="2223"/>
      <c r="Q435" s="2223"/>
      <c r="R435" s="2223"/>
      <c r="S435" s="2223"/>
      <c r="T435" s="2223"/>
      <c r="U435" s="2223"/>
      <c r="V435" s="2224"/>
      <c r="W435" s="2224"/>
      <c r="X435" s="2224"/>
    </row>
    <row r="436" spans="1:24" ht="15.75" customHeight="1">
      <c r="A436" s="2223"/>
      <c r="B436" s="2223"/>
      <c r="C436" s="529"/>
      <c r="D436" s="529"/>
      <c r="E436" s="529"/>
      <c r="F436" s="529"/>
      <c r="G436" s="529"/>
      <c r="H436" s="529"/>
      <c r="I436" s="529"/>
      <c r="J436" s="529"/>
      <c r="K436" s="529"/>
      <c r="L436" s="529"/>
      <c r="M436" s="529"/>
      <c r="N436" s="529"/>
      <c r="O436" s="2223"/>
      <c r="P436" s="2223"/>
      <c r="Q436" s="2223"/>
      <c r="R436" s="2223"/>
      <c r="S436" s="2223"/>
      <c r="T436" s="2223"/>
      <c r="U436" s="2223"/>
      <c r="V436" s="2224"/>
      <c r="W436" s="2224"/>
      <c r="X436" s="2224"/>
    </row>
    <row r="437" spans="1:24" ht="15.75" customHeight="1">
      <c r="A437" s="2223"/>
      <c r="B437" s="2223"/>
      <c r="C437" s="529"/>
      <c r="D437" s="529"/>
      <c r="E437" s="529"/>
      <c r="F437" s="529"/>
      <c r="G437" s="529"/>
      <c r="H437" s="529"/>
      <c r="I437" s="529"/>
      <c r="J437" s="529"/>
      <c r="K437" s="529"/>
      <c r="L437" s="529"/>
      <c r="M437" s="529"/>
      <c r="N437" s="529"/>
      <c r="O437" s="2223"/>
      <c r="P437" s="2223"/>
      <c r="Q437" s="2223"/>
      <c r="R437" s="2223"/>
      <c r="S437" s="2223"/>
      <c r="T437" s="2223"/>
      <c r="U437" s="2223"/>
      <c r="V437" s="2224"/>
      <c r="W437" s="2224"/>
      <c r="X437" s="2224"/>
    </row>
    <row r="438" spans="1:24" ht="15.75" customHeight="1">
      <c r="A438" s="2223"/>
      <c r="B438" s="2223"/>
      <c r="C438" s="529"/>
      <c r="D438" s="529"/>
      <c r="E438" s="529"/>
      <c r="F438" s="529"/>
      <c r="G438" s="529"/>
      <c r="H438" s="529"/>
      <c r="I438" s="529"/>
      <c r="J438" s="529"/>
      <c r="K438" s="529"/>
      <c r="L438" s="529"/>
      <c r="M438" s="529"/>
      <c r="N438" s="529"/>
      <c r="O438" s="2223"/>
      <c r="P438" s="2223"/>
      <c r="Q438" s="2223"/>
      <c r="R438" s="2223"/>
      <c r="S438" s="2223"/>
      <c r="T438" s="2223"/>
      <c r="U438" s="2223"/>
      <c r="V438" s="2224"/>
      <c r="W438" s="2224"/>
      <c r="X438" s="2224"/>
    </row>
    <row r="439" spans="1:24" ht="15.75" customHeight="1">
      <c r="A439" s="2223"/>
      <c r="B439" s="2223"/>
      <c r="C439" s="529"/>
      <c r="D439" s="529"/>
      <c r="E439" s="529"/>
      <c r="F439" s="529"/>
      <c r="G439" s="529"/>
      <c r="H439" s="529"/>
      <c r="I439" s="529"/>
      <c r="J439" s="529"/>
      <c r="K439" s="529"/>
      <c r="L439" s="529"/>
      <c r="M439" s="529"/>
      <c r="N439" s="529"/>
      <c r="O439" s="2223"/>
      <c r="P439" s="2223"/>
      <c r="Q439" s="2223"/>
      <c r="R439" s="2223"/>
      <c r="S439" s="2223"/>
      <c r="T439" s="2223"/>
      <c r="U439" s="2223"/>
      <c r="V439" s="2224"/>
      <c r="W439" s="2224"/>
      <c r="X439" s="2224"/>
    </row>
    <row r="440" spans="1:24" ht="15.75" customHeight="1">
      <c r="A440" s="2223"/>
      <c r="B440" s="2223"/>
      <c r="C440" s="529"/>
      <c r="D440" s="529"/>
      <c r="E440" s="529"/>
      <c r="F440" s="529"/>
      <c r="G440" s="529"/>
      <c r="H440" s="529"/>
      <c r="I440" s="529"/>
      <c r="J440" s="529"/>
      <c r="K440" s="529"/>
      <c r="L440" s="529"/>
      <c r="M440" s="529"/>
      <c r="N440" s="529"/>
      <c r="O440" s="2223"/>
      <c r="P440" s="2223"/>
      <c r="Q440" s="2223"/>
      <c r="R440" s="2223"/>
      <c r="S440" s="2223"/>
      <c r="T440" s="2223"/>
      <c r="U440" s="2223"/>
      <c r="V440" s="2224"/>
      <c r="W440" s="2224"/>
      <c r="X440" s="2224"/>
    </row>
    <row r="441" spans="1:24" ht="15.75" customHeight="1">
      <c r="A441" s="2223"/>
      <c r="B441" s="2223"/>
      <c r="C441" s="529"/>
      <c r="D441" s="529"/>
      <c r="E441" s="529"/>
      <c r="F441" s="529"/>
      <c r="G441" s="529"/>
      <c r="H441" s="529"/>
      <c r="I441" s="529"/>
      <c r="J441" s="529"/>
      <c r="K441" s="529"/>
      <c r="L441" s="529"/>
      <c r="M441" s="529"/>
      <c r="N441" s="529"/>
      <c r="O441" s="2223"/>
      <c r="P441" s="2223"/>
      <c r="Q441" s="2223"/>
      <c r="R441" s="2223"/>
      <c r="S441" s="2223"/>
      <c r="T441" s="2223"/>
      <c r="U441" s="2223"/>
      <c r="V441" s="2224"/>
      <c r="W441" s="2224"/>
      <c r="X441" s="2224"/>
    </row>
    <row r="442" spans="1:24" ht="15.75" customHeight="1">
      <c r="A442" s="2223"/>
      <c r="B442" s="2223"/>
      <c r="C442" s="529"/>
      <c r="D442" s="529"/>
      <c r="E442" s="529"/>
      <c r="F442" s="529"/>
      <c r="G442" s="529"/>
      <c r="H442" s="529"/>
      <c r="I442" s="529"/>
      <c r="J442" s="529"/>
      <c r="K442" s="529"/>
      <c r="L442" s="529"/>
      <c r="M442" s="529"/>
      <c r="N442" s="529"/>
      <c r="O442" s="2223"/>
      <c r="P442" s="2223"/>
      <c r="Q442" s="2223"/>
      <c r="R442" s="2223"/>
      <c r="S442" s="2223"/>
      <c r="T442" s="2223"/>
      <c r="U442" s="2223"/>
      <c r="V442" s="2224"/>
      <c r="W442" s="2224"/>
      <c r="X442" s="2224"/>
    </row>
    <row r="443" spans="1:24" ht="15.75" customHeight="1">
      <c r="A443" s="2223"/>
      <c r="B443" s="2223"/>
      <c r="C443" s="529"/>
      <c r="D443" s="529"/>
      <c r="E443" s="529"/>
      <c r="F443" s="529"/>
      <c r="G443" s="529"/>
      <c r="H443" s="529"/>
      <c r="I443" s="529"/>
      <c r="J443" s="529"/>
      <c r="K443" s="529"/>
      <c r="L443" s="529"/>
      <c r="M443" s="529"/>
      <c r="N443" s="529"/>
      <c r="O443" s="2223"/>
      <c r="P443" s="2223"/>
      <c r="Q443" s="2223"/>
      <c r="R443" s="2223"/>
      <c r="S443" s="2223"/>
      <c r="T443" s="2223"/>
      <c r="U443" s="2223"/>
      <c r="V443" s="2224"/>
      <c r="W443" s="2224"/>
      <c r="X443" s="2224"/>
    </row>
    <row r="444" spans="1:24" ht="15.75" customHeight="1">
      <c r="A444" s="2223"/>
      <c r="B444" s="2223"/>
      <c r="C444" s="529"/>
      <c r="D444" s="529"/>
      <c r="E444" s="529"/>
      <c r="F444" s="529"/>
      <c r="G444" s="529"/>
      <c r="H444" s="529"/>
      <c r="I444" s="529"/>
      <c r="J444" s="529"/>
      <c r="K444" s="529"/>
      <c r="L444" s="529"/>
      <c r="M444" s="529"/>
      <c r="N444" s="529"/>
      <c r="O444" s="2223"/>
      <c r="P444" s="2223"/>
      <c r="Q444" s="2223"/>
      <c r="R444" s="2223"/>
      <c r="S444" s="2223"/>
      <c r="T444" s="2223"/>
      <c r="U444" s="2223"/>
      <c r="V444" s="2224"/>
      <c r="W444" s="2224"/>
      <c r="X444" s="2224"/>
    </row>
    <row r="445" spans="1:24" ht="15.75" customHeight="1">
      <c r="A445" s="2223"/>
      <c r="B445" s="2223"/>
      <c r="C445" s="529"/>
      <c r="D445" s="529"/>
      <c r="E445" s="529"/>
      <c r="F445" s="529"/>
      <c r="G445" s="529"/>
      <c r="H445" s="529"/>
      <c r="I445" s="529"/>
      <c r="J445" s="529"/>
      <c r="K445" s="529"/>
      <c r="L445" s="529"/>
      <c r="M445" s="529"/>
      <c r="N445" s="529"/>
      <c r="O445" s="2223"/>
      <c r="P445" s="2223"/>
      <c r="Q445" s="2223"/>
      <c r="R445" s="2223"/>
      <c r="S445" s="2223"/>
      <c r="T445" s="2223"/>
      <c r="U445" s="2223"/>
      <c r="V445" s="2224"/>
      <c r="W445" s="2224"/>
      <c r="X445" s="2224"/>
    </row>
    <row r="446" spans="1:24" ht="15.75" customHeight="1">
      <c r="A446" s="2223"/>
      <c r="B446" s="2223"/>
      <c r="C446" s="529"/>
      <c r="D446" s="529"/>
      <c r="E446" s="529"/>
      <c r="F446" s="529"/>
      <c r="G446" s="529"/>
      <c r="H446" s="529"/>
      <c r="I446" s="529"/>
      <c r="J446" s="529"/>
      <c r="K446" s="529"/>
      <c r="L446" s="529"/>
      <c r="M446" s="529"/>
      <c r="N446" s="529"/>
      <c r="O446" s="2223"/>
      <c r="P446" s="2223"/>
      <c r="Q446" s="2223"/>
      <c r="R446" s="2223"/>
      <c r="S446" s="2223"/>
      <c r="T446" s="2223"/>
      <c r="U446" s="2223"/>
      <c r="V446" s="2224"/>
      <c r="W446" s="2224"/>
      <c r="X446" s="2224"/>
    </row>
    <row r="447" spans="1:24" ht="15.75" customHeight="1">
      <c r="A447" s="2223"/>
      <c r="B447" s="2223"/>
      <c r="C447" s="529"/>
      <c r="D447" s="529"/>
      <c r="E447" s="529"/>
      <c r="F447" s="529"/>
      <c r="G447" s="529"/>
      <c r="H447" s="529"/>
      <c r="I447" s="529"/>
      <c r="J447" s="529"/>
      <c r="K447" s="529"/>
      <c r="L447" s="529"/>
      <c r="M447" s="529"/>
      <c r="N447" s="529"/>
      <c r="O447" s="2223"/>
      <c r="P447" s="2223"/>
      <c r="Q447" s="2223"/>
      <c r="R447" s="2223"/>
      <c r="S447" s="2223"/>
      <c r="T447" s="2223"/>
      <c r="U447" s="2223"/>
      <c r="V447" s="2224"/>
      <c r="W447" s="2224"/>
      <c r="X447" s="2224"/>
    </row>
    <row r="448" spans="1:24" ht="15.75" customHeight="1">
      <c r="A448" s="2223"/>
      <c r="B448" s="2223"/>
      <c r="C448" s="529"/>
      <c r="D448" s="529"/>
      <c r="E448" s="529"/>
      <c r="F448" s="529"/>
      <c r="G448" s="529"/>
      <c r="H448" s="529"/>
      <c r="I448" s="529"/>
      <c r="J448" s="529"/>
      <c r="K448" s="529"/>
      <c r="L448" s="529"/>
      <c r="M448" s="529"/>
      <c r="N448" s="529"/>
      <c r="O448" s="2223"/>
      <c r="P448" s="2223"/>
      <c r="Q448" s="2223"/>
      <c r="R448" s="2223"/>
      <c r="S448" s="2223"/>
      <c r="T448" s="2223"/>
      <c r="U448" s="2223"/>
      <c r="V448" s="2224"/>
      <c r="W448" s="2224"/>
      <c r="X448" s="2224"/>
    </row>
    <row r="449" spans="1:24" ht="15.75" customHeight="1">
      <c r="A449" s="2223"/>
      <c r="B449" s="2223"/>
      <c r="C449" s="529"/>
      <c r="D449" s="529"/>
      <c r="E449" s="529"/>
      <c r="F449" s="529"/>
      <c r="G449" s="529"/>
      <c r="H449" s="529"/>
      <c r="I449" s="529"/>
      <c r="J449" s="529"/>
      <c r="K449" s="529"/>
      <c r="L449" s="529"/>
      <c r="M449" s="529"/>
      <c r="N449" s="529"/>
      <c r="O449" s="2223"/>
      <c r="P449" s="2223"/>
      <c r="Q449" s="2223"/>
      <c r="R449" s="2223"/>
      <c r="S449" s="2223"/>
      <c r="T449" s="2223"/>
      <c r="U449" s="2223"/>
      <c r="V449" s="2224"/>
      <c r="W449" s="2224"/>
      <c r="X449" s="2224"/>
    </row>
    <row r="450" spans="1:24" ht="15.75" customHeight="1">
      <c r="A450" s="2223"/>
      <c r="B450" s="2223"/>
      <c r="C450" s="529"/>
      <c r="D450" s="529"/>
      <c r="E450" s="529"/>
      <c r="F450" s="529"/>
      <c r="G450" s="529"/>
      <c r="H450" s="529"/>
      <c r="I450" s="529"/>
      <c r="J450" s="529"/>
      <c r="K450" s="529"/>
      <c r="L450" s="529"/>
      <c r="M450" s="529"/>
      <c r="N450" s="529"/>
      <c r="O450" s="2223"/>
      <c r="P450" s="2223"/>
      <c r="Q450" s="2223"/>
      <c r="R450" s="2223"/>
      <c r="S450" s="2223"/>
      <c r="T450" s="2223"/>
      <c r="U450" s="2223"/>
      <c r="V450" s="2224"/>
      <c r="W450" s="2224"/>
      <c r="X450" s="2224"/>
    </row>
    <row r="451" spans="1:24" ht="15.75" customHeight="1">
      <c r="A451" s="2223"/>
      <c r="B451" s="2223"/>
      <c r="C451" s="529"/>
      <c r="D451" s="529"/>
      <c r="E451" s="529"/>
      <c r="F451" s="529"/>
      <c r="G451" s="529"/>
      <c r="H451" s="529"/>
      <c r="I451" s="529"/>
      <c r="J451" s="529"/>
      <c r="K451" s="529"/>
      <c r="L451" s="529"/>
      <c r="M451" s="529"/>
      <c r="N451" s="529"/>
      <c r="O451" s="2223"/>
      <c r="P451" s="2223"/>
      <c r="Q451" s="2223"/>
      <c r="R451" s="2223"/>
      <c r="S451" s="2223"/>
      <c r="T451" s="2223"/>
      <c r="U451" s="2223"/>
      <c r="V451" s="2224"/>
      <c r="W451" s="2224"/>
      <c r="X451" s="2224"/>
    </row>
    <row r="452" spans="1:24" ht="15.75" customHeight="1">
      <c r="A452" s="2223"/>
      <c r="B452" s="2223"/>
      <c r="C452" s="529"/>
      <c r="D452" s="529"/>
      <c r="E452" s="529"/>
      <c r="F452" s="529"/>
      <c r="G452" s="529"/>
      <c r="H452" s="529"/>
      <c r="I452" s="529"/>
      <c r="J452" s="529"/>
      <c r="K452" s="529"/>
      <c r="L452" s="529"/>
      <c r="M452" s="529"/>
      <c r="N452" s="529"/>
      <c r="O452" s="2223"/>
      <c r="P452" s="2223"/>
      <c r="Q452" s="2223"/>
      <c r="R452" s="2223"/>
      <c r="S452" s="2223"/>
      <c r="T452" s="2223"/>
      <c r="U452" s="2223"/>
      <c r="V452" s="2224"/>
      <c r="W452" s="2224"/>
      <c r="X452" s="2224"/>
    </row>
    <row r="453" spans="1:24" ht="15.75" customHeight="1">
      <c r="A453" s="2223"/>
      <c r="B453" s="2223"/>
      <c r="C453" s="529"/>
      <c r="D453" s="529"/>
      <c r="E453" s="529"/>
      <c r="F453" s="529"/>
      <c r="G453" s="529"/>
      <c r="H453" s="529"/>
      <c r="I453" s="529"/>
      <c r="J453" s="529"/>
      <c r="K453" s="529"/>
      <c r="L453" s="529"/>
      <c r="M453" s="529"/>
      <c r="N453" s="529"/>
      <c r="O453" s="2223"/>
      <c r="P453" s="2223"/>
      <c r="Q453" s="2223"/>
      <c r="R453" s="2223"/>
      <c r="S453" s="2223"/>
      <c r="T453" s="2223"/>
      <c r="U453" s="2223"/>
      <c r="V453" s="2224"/>
      <c r="W453" s="2224"/>
      <c r="X453" s="2224"/>
    </row>
    <row r="454" spans="1:24" ht="15.75" customHeight="1">
      <c r="A454" s="2223"/>
      <c r="B454" s="2223"/>
      <c r="C454" s="529"/>
      <c r="D454" s="529"/>
      <c r="E454" s="529"/>
      <c r="F454" s="529"/>
      <c r="G454" s="529"/>
      <c r="H454" s="529"/>
      <c r="I454" s="529"/>
      <c r="J454" s="529"/>
      <c r="K454" s="529"/>
      <c r="L454" s="529"/>
      <c r="M454" s="529"/>
      <c r="N454" s="529"/>
      <c r="O454" s="2223"/>
      <c r="P454" s="2223"/>
      <c r="Q454" s="2223"/>
      <c r="R454" s="2223"/>
      <c r="S454" s="2223"/>
      <c r="T454" s="2223"/>
      <c r="U454" s="2223"/>
      <c r="V454" s="2224"/>
      <c r="W454" s="2224"/>
      <c r="X454" s="2224"/>
    </row>
    <row r="455" spans="1:24" ht="15.75" customHeight="1">
      <c r="A455" s="2223"/>
      <c r="B455" s="2223"/>
      <c r="C455" s="529"/>
      <c r="D455" s="529"/>
      <c r="E455" s="529"/>
      <c r="F455" s="529"/>
      <c r="G455" s="529"/>
      <c r="H455" s="529"/>
      <c r="I455" s="529"/>
      <c r="J455" s="529"/>
      <c r="K455" s="529"/>
      <c r="L455" s="529"/>
      <c r="M455" s="529"/>
      <c r="N455" s="529"/>
      <c r="O455" s="2223"/>
      <c r="P455" s="2223"/>
      <c r="Q455" s="2223"/>
      <c r="R455" s="2223"/>
      <c r="S455" s="2223"/>
      <c r="T455" s="2223"/>
      <c r="U455" s="2223"/>
      <c r="V455" s="2224"/>
      <c r="W455" s="2224"/>
      <c r="X455" s="2224"/>
    </row>
    <row r="456" spans="1:24" ht="15.75" customHeight="1">
      <c r="A456" s="2223"/>
      <c r="B456" s="2223"/>
      <c r="C456" s="529"/>
      <c r="D456" s="529"/>
      <c r="E456" s="529"/>
      <c r="F456" s="529"/>
      <c r="G456" s="529"/>
      <c r="H456" s="529"/>
      <c r="I456" s="529"/>
      <c r="J456" s="529"/>
      <c r="K456" s="529"/>
      <c r="L456" s="529"/>
      <c r="M456" s="529"/>
      <c r="N456" s="529"/>
      <c r="O456" s="2223"/>
      <c r="P456" s="2223"/>
      <c r="Q456" s="2223"/>
      <c r="R456" s="2223"/>
      <c r="S456" s="2223"/>
      <c r="T456" s="2223"/>
      <c r="U456" s="2223"/>
      <c r="V456" s="2224"/>
      <c r="W456" s="2224"/>
      <c r="X456" s="2224"/>
    </row>
    <row r="457" spans="1:24" ht="15.75" customHeight="1">
      <c r="A457" s="2223"/>
      <c r="B457" s="2223"/>
      <c r="C457" s="529"/>
      <c r="D457" s="529"/>
      <c r="E457" s="529"/>
      <c r="F457" s="529"/>
      <c r="G457" s="529"/>
      <c r="H457" s="529"/>
      <c r="I457" s="529"/>
      <c r="J457" s="529"/>
      <c r="K457" s="529"/>
      <c r="L457" s="529"/>
      <c r="M457" s="529"/>
      <c r="N457" s="529"/>
      <c r="O457" s="2223"/>
      <c r="P457" s="2223"/>
      <c r="Q457" s="2223"/>
      <c r="R457" s="2223"/>
      <c r="S457" s="2223"/>
      <c r="T457" s="2223"/>
      <c r="U457" s="2223"/>
      <c r="V457" s="2224"/>
      <c r="W457" s="2224"/>
      <c r="X457" s="2224"/>
    </row>
    <row r="458" spans="1:24" ht="15.75" customHeight="1">
      <c r="A458" s="2223"/>
      <c r="B458" s="2223"/>
      <c r="C458" s="529"/>
      <c r="D458" s="529"/>
      <c r="E458" s="529"/>
      <c r="F458" s="529"/>
      <c r="G458" s="529"/>
      <c r="H458" s="529"/>
      <c r="I458" s="529"/>
      <c r="J458" s="529"/>
      <c r="K458" s="529"/>
      <c r="L458" s="529"/>
      <c r="M458" s="529"/>
      <c r="N458" s="529"/>
      <c r="O458" s="2223"/>
      <c r="P458" s="2223"/>
      <c r="Q458" s="2223"/>
      <c r="R458" s="2223"/>
      <c r="S458" s="2223"/>
      <c r="T458" s="2223"/>
      <c r="U458" s="2223"/>
      <c r="V458" s="2224"/>
      <c r="W458" s="2224"/>
      <c r="X458" s="2224"/>
    </row>
    <row r="459" spans="1:24" ht="15.75" customHeight="1">
      <c r="A459" s="2223"/>
      <c r="B459" s="2223"/>
      <c r="C459" s="529"/>
      <c r="D459" s="529"/>
      <c r="E459" s="529"/>
      <c r="F459" s="529"/>
      <c r="G459" s="529"/>
      <c r="H459" s="529"/>
      <c r="I459" s="529"/>
      <c r="J459" s="529"/>
      <c r="K459" s="529"/>
      <c r="L459" s="529"/>
      <c r="M459" s="529"/>
      <c r="N459" s="529"/>
      <c r="O459" s="2223"/>
      <c r="P459" s="2223"/>
      <c r="Q459" s="2223"/>
      <c r="R459" s="2223"/>
      <c r="S459" s="2223"/>
      <c r="T459" s="2223"/>
      <c r="U459" s="2223"/>
      <c r="V459" s="2224"/>
      <c r="W459" s="2224"/>
      <c r="X459" s="2224"/>
    </row>
    <row r="460" spans="1:24" ht="15.75" customHeight="1">
      <c r="A460" s="2223"/>
      <c r="B460" s="2223"/>
      <c r="C460" s="529"/>
      <c r="D460" s="529"/>
      <c r="E460" s="529"/>
      <c r="F460" s="529"/>
      <c r="G460" s="529"/>
      <c r="H460" s="529"/>
      <c r="I460" s="529"/>
      <c r="J460" s="529"/>
      <c r="K460" s="529"/>
      <c r="L460" s="529"/>
      <c r="M460" s="529"/>
      <c r="N460" s="529"/>
      <c r="O460" s="2223"/>
      <c r="P460" s="2223"/>
      <c r="Q460" s="2223"/>
      <c r="R460" s="2223"/>
      <c r="S460" s="2223"/>
      <c r="T460" s="2223"/>
      <c r="U460" s="2223"/>
      <c r="V460" s="2224"/>
      <c r="W460" s="2224"/>
      <c r="X460" s="2224"/>
    </row>
    <row r="461" spans="1:24" ht="15.75" customHeight="1">
      <c r="A461" s="2223"/>
      <c r="B461" s="2223"/>
      <c r="C461" s="529"/>
      <c r="D461" s="529"/>
      <c r="E461" s="529"/>
      <c r="F461" s="529"/>
      <c r="G461" s="529"/>
      <c r="H461" s="529"/>
      <c r="I461" s="529"/>
      <c r="J461" s="529"/>
      <c r="K461" s="529"/>
      <c r="L461" s="529"/>
      <c r="M461" s="529"/>
      <c r="N461" s="529"/>
      <c r="O461" s="2223"/>
      <c r="P461" s="2223"/>
      <c r="Q461" s="2223"/>
      <c r="R461" s="2223"/>
      <c r="S461" s="2223"/>
      <c r="T461" s="2223"/>
      <c r="U461" s="2223"/>
      <c r="V461" s="2224"/>
      <c r="W461" s="2224"/>
      <c r="X461" s="2224"/>
    </row>
    <row r="462" spans="1:24" ht="15.75" customHeight="1">
      <c r="A462" s="2223"/>
      <c r="B462" s="2223"/>
      <c r="C462" s="529"/>
      <c r="D462" s="529"/>
      <c r="E462" s="529"/>
      <c r="F462" s="529"/>
      <c r="G462" s="529"/>
      <c r="H462" s="529"/>
      <c r="I462" s="529"/>
      <c r="J462" s="529"/>
      <c r="K462" s="529"/>
      <c r="L462" s="529"/>
      <c r="M462" s="529"/>
      <c r="N462" s="529"/>
      <c r="O462" s="2223"/>
      <c r="P462" s="2223"/>
      <c r="Q462" s="2223"/>
      <c r="R462" s="2223"/>
      <c r="S462" s="2223"/>
      <c r="T462" s="2223"/>
      <c r="U462" s="2223"/>
      <c r="V462" s="2224"/>
      <c r="W462" s="2224"/>
      <c r="X462" s="2224"/>
    </row>
    <row r="463" spans="1:24" ht="15.75" customHeight="1">
      <c r="A463" s="2223"/>
      <c r="B463" s="2223"/>
      <c r="C463" s="529"/>
      <c r="D463" s="529"/>
      <c r="E463" s="529"/>
      <c r="F463" s="529"/>
      <c r="G463" s="529"/>
      <c r="H463" s="529"/>
      <c r="I463" s="529"/>
      <c r="J463" s="529"/>
      <c r="K463" s="529"/>
      <c r="L463" s="529"/>
      <c r="M463" s="529"/>
      <c r="N463" s="529"/>
      <c r="O463" s="2223"/>
      <c r="P463" s="2223"/>
      <c r="Q463" s="2223"/>
      <c r="R463" s="2223"/>
      <c r="S463" s="2223"/>
      <c r="T463" s="2223"/>
      <c r="U463" s="2223"/>
      <c r="V463" s="2224"/>
      <c r="W463" s="2224"/>
      <c r="X463" s="2224"/>
    </row>
    <row r="464" spans="1:24" ht="15.75" customHeight="1">
      <c r="A464" s="2223"/>
      <c r="B464" s="2223"/>
      <c r="C464" s="529"/>
      <c r="D464" s="529"/>
      <c r="E464" s="529"/>
      <c r="F464" s="529"/>
      <c r="G464" s="529"/>
      <c r="H464" s="529"/>
      <c r="I464" s="529"/>
      <c r="J464" s="529"/>
      <c r="K464" s="529"/>
      <c r="L464" s="529"/>
      <c r="M464" s="529"/>
      <c r="N464" s="529"/>
      <c r="O464" s="2223"/>
      <c r="P464" s="2223"/>
      <c r="Q464" s="2223"/>
      <c r="R464" s="2223"/>
      <c r="S464" s="2223"/>
      <c r="T464" s="2223"/>
      <c r="U464" s="2223"/>
      <c r="V464" s="2224"/>
      <c r="W464" s="2224"/>
      <c r="X464" s="2224"/>
    </row>
    <row r="465" spans="1:24" ht="15.75" customHeight="1">
      <c r="A465" s="2223"/>
      <c r="B465" s="2223"/>
      <c r="C465" s="529"/>
      <c r="D465" s="529"/>
      <c r="E465" s="529"/>
      <c r="F465" s="529"/>
      <c r="G465" s="529"/>
      <c r="H465" s="529"/>
      <c r="I465" s="529"/>
      <c r="J465" s="529"/>
      <c r="K465" s="529"/>
      <c r="L465" s="529"/>
      <c r="M465" s="529"/>
      <c r="N465" s="529"/>
      <c r="O465" s="2223"/>
      <c r="P465" s="2223"/>
      <c r="Q465" s="2223"/>
      <c r="R465" s="2223"/>
      <c r="S465" s="2223"/>
      <c r="T465" s="2223"/>
      <c r="U465" s="2223"/>
      <c r="V465" s="2224"/>
      <c r="W465" s="2224"/>
      <c r="X465" s="2224"/>
    </row>
    <row r="466" spans="1:24" ht="15.75" customHeight="1">
      <c r="A466" s="2223"/>
      <c r="B466" s="2223"/>
      <c r="C466" s="529"/>
      <c r="D466" s="529"/>
      <c r="E466" s="529"/>
      <c r="F466" s="529"/>
      <c r="G466" s="529"/>
      <c r="H466" s="529"/>
      <c r="I466" s="529"/>
      <c r="J466" s="529"/>
      <c r="K466" s="529"/>
      <c r="L466" s="529"/>
      <c r="M466" s="529"/>
      <c r="N466" s="529"/>
      <c r="O466" s="2223"/>
      <c r="P466" s="2223"/>
      <c r="Q466" s="2223"/>
      <c r="R466" s="2223"/>
      <c r="S466" s="2223"/>
      <c r="T466" s="2223"/>
      <c r="U466" s="2223"/>
      <c r="V466" s="2224"/>
      <c r="W466" s="2224"/>
      <c r="X466" s="2224"/>
    </row>
    <row r="467" spans="1:24" ht="15.75" customHeight="1">
      <c r="A467" s="2223"/>
      <c r="B467" s="2223"/>
      <c r="C467" s="529"/>
      <c r="D467" s="529"/>
      <c r="E467" s="529"/>
      <c r="F467" s="529"/>
      <c r="G467" s="529"/>
      <c r="H467" s="529"/>
      <c r="I467" s="529"/>
      <c r="J467" s="529"/>
      <c r="K467" s="529"/>
      <c r="L467" s="529"/>
      <c r="M467" s="529"/>
      <c r="N467" s="529"/>
      <c r="O467" s="2223"/>
      <c r="P467" s="2223"/>
      <c r="Q467" s="2223"/>
      <c r="R467" s="2223"/>
      <c r="S467" s="2223"/>
      <c r="T467" s="2223"/>
      <c r="U467" s="2223"/>
      <c r="V467" s="2224"/>
      <c r="W467" s="2224"/>
      <c r="X467" s="2224"/>
    </row>
    <row r="468" spans="1:24" ht="15.75" customHeight="1">
      <c r="A468" s="2223"/>
      <c r="B468" s="2223"/>
      <c r="C468" s="529"/>
      <c r="D468" s="529"/>
      <c r="E468" s="529"/>
      <c r="F468" s="529"/>
      <c r="G468" s="529"/>
      <c r="H468" s="529"/>
      <c r="I468" s="529"/>
      <c r="J468" s="529"/>
      <c r="K468" s="529"/>
      <c r="L468" s="529"/>
      <c r="M468" s="529"/>
      <c r="N468" s="529"/>
      <c r="O468" s="2223"/>
      <c r="P468" s="2223"/>
      <c r="Q468" s="2223"/>
      <c r="R468" s="2223"/>
      <c r="S468" s="2223"/>
      <c r="T468" s="2223"/>
      <c r="U468" s="2223"/>
      <c r="V468" s="2224"/>
      <c r="W468" s="2224"/>
      <c r="X468" s="2224"/>
    </row>
    <row r="469" spans="1:24" ht="15.75" customHeight="1">
      <c r="A469" s="2223"/>
      <c r="B469" s="2223"/>
      <c r="C469" s="529"/>
      <c r="D469" s="529"/>
      <c r="E469" s="529"/>
      <c r="F469" s="529"/>
      <c r="G469" s="529"/>
      <c r="H469" s="529"/>
      <c r="I469" s="529"/>
      <c r="J469" s="529"/>
      <c r="K469" s="529"/>
      <c r="L469" s="529"/>
      <c r="M469" s="529"/>
      <c r="N469" s="529"/>
      <c r="O469" s="2223"/>
      <c r="P469" s="2223"/>
      <c r="Q469" s="2223"/>
      <c r="R469" s="2223"/>
      <c r="S469" s="2223"/>
      <c r="T469" s="2223"/>
      <c r="U469" s="2223"/>
      <c r="V469" s="2224"/>
      <c r="W469" s="2224"/>
      <c r="X469" s="2224"/>
    </row>
    <row r="470" spans="1:24" ht="15.75" customHeight="1">
      <c r="A470" s="2223"/>
      <c r="B470" s="2223"/>
      <c r="C470" s="529"/>
      <c r="D470" s="529"/>
      <c r="E470" s="529"/>
      <c r="F470" s="529"/>
      <c r="G470" s="529"/>
      <c r="H470" s="529"/>
      <c r="I470" s="529"/>
      <c r="J470" s="529"/>
      <c r="K470" s="529"/>
      <c r="L470" s="529"/>
      <c r="M470" s="529"/>
      <c r="N470" s="529"/>
      <c r="O470" s="2223"/>
      <c r="P470" s="2223"/>
      <c r="Q470" s="2223"/>
      <c r="R470" s="2223"/>
      <c r="S470" s="2223"/>
      <c r="T470" s="2223"/>
      <c r="U470" s="2223"/>
      <c r="V470" s="2224"/>
      <c r="W470" s="2224"/>
      <c r="X470" s="2224"/>
    </row>
    <row r="471" spans="1:24" ht="15.75" customHeight="1">
      <c r="A471" s="2223"/>
      <c r="B471" s="2223"/>
      <c r="C471" s="529"/>
      <c r="D471" s="529"/>
      <c r="E471" s="529"/>
      <c r="F471" s="529"/>
      <c r="G471" s="529"/>
      <c r="H471" s="529"/>
      <c r="I471" s="529"/>
      <c r="J471" s="529"/>
      <c r="K471" s="529"/>
      <c r="L471" s="529"/>
      <c r="M471" s="529"/>
      <c r="N471" s="529"/>
      <c r="O471" s="2223"/>
      <c r="P471" s="2223"/>
      <c r="Q471" s="2223"/>
      <c r="R471" s="2223"/>
      <c r="S471" s="2223"/>
      <c r="T471" s="2223"/>
      <c r="U471" s="2223"/>
      <c r="V471" s="2224"/>
      <c r="W471" s="2224"/>
      <c r="X471" s="2224"/>
    </row>
    <row r="472" spans="1:24" ht="15.75" customHeight="1">
      <c r="A472" s="2223"/>
      <c r="B472" s="2223"/>
      <c r="C472" s="529"/>
      <c r="D472" s="529"/>
      <c r="E472" s="529"/>
      <c r="F472" s="529"/>
      <c r="G472" s="529"/>
      <c r="H472" s="529"/>
      <c r="I472" s="529"/>
      <c r="J472" s="529"/>
      <c r="K472" s="529"/>
      <c r="L472" s="529"/>
      <c r="M472" s="529"/>
      <c r="N472" s="529"/>
      <c r="O472" s="2223"/>
      <c r="P472" s="2223"/>
      <c r="Q472" s="2223"/>
      <c r="R472" s="2223"/>
      <c r="S472" s="2223"/>
      <c r="T472" s="2223"/>
      <c r="U472" s="2223"/>
      <c r="V472" s="2224"/>
      <c r="W472" s="2224"/>
      <c r="X472" s="2224"/>
    </row>
    <row r="473" spans="1:24" ht="15.75" customHeight="1">
      <c r="A473" s="2223"/>
      <c r="B473" s="2223"/>
      <c r="C473" s="529"/>
      <c r="D473" s="529"/>
      <c r="E473" s="529"/>
      <c r="F473" s="529"/>
      <c r="G473" s="529"/>
      <c r="H473" s="529"/>
      <c r="I473" s="529"/>
      <c r="J473" s="529"/>
      <c r="K473" s="529"/>
      <c r="L473" s="529"/>
      <c r="M473" s="529"/>
      <c r="N473" s="529"/>
      <c r="O473" s="2223"/>
      <c r="P473" s="2223"/>
      <c r="Q473" s="2223"/>
      <c r="R473" s="2223"/>
      <c r="S473" s="2223"/>
      <c r="T473" s="2223"/>
      <c r="U473" s="2223"/>
      <c r="V473" s="2224"/>
      <c r="W473" s="2224"/>
      <c r="X473" s="2224"/>
    </row>
    <row r="474" spans="1:24" ht="15.75" customHeight="1">
      <c r="A474" s="2223"/>
      <c r="B474" s="2223"/>
      <c r="C474" s="529"/>
      <c r="D474" s="529"/>
      <c r="E474" s="529"/>
      <c r="F474" s="529"/>
      <c r="G474" s="529"/>
      <c r="H474" s="529"/>
      <c r="I474" s="529"/>
      <c r="J474" s="529"/>
      <c r="K474" s="529"/>
      <c r="L474" s="529"/>
      <c r="M474" s="529"/>
      <c r="N474" s="529"/>
      <c r="O474" s="2223"/>
      <c r="P474" s="2223"/>
      <c r="Q474" s="2223"/>
      <c r="R474" s="2223"/>
      <c r="S474" s="2223"/>
      <c r="T474" s="2223"/>
      <c r="U474" s="2223"/>
      <c r="V474" s="2224"/>
      <c r="W474" s="2224"/>
      <c r="X474" s="2224"/>
    </row>
    <row r="475" spans="1:24" ht="15.75" customHeight="1">
      <c r="A475" s="2223"/>
      <c r="B475" s="2223"/>
      <c r="C475" s="529"/>
      <c r="D475" s="529"/>
      <c r="E475" s="529"/>
      <c r="F475" s="529"/>
      <c r="G475" s="529"/>
      <c r="H475" s="529"/>
      <c r="I475" s="529"/>
      <c r="J475" s="529"/>
      <c r="K475" s="529"/>
      <c r="L475" s="529"/>
      <c r="M475" s="529"/>
      <c r="N475" s="529"/>
      <c r="O475" s="2223"/>
      <c r="P475" s="2223"/>
      <c r="Q475" s="2223"/>
      <c r="R475" s="2223"/>
      <c r="S475" s="2223"/>
      <c r="T475" s="2223"/>
      <c r="U475" s="2223"/>
      <c r="V475" s="2224"/>
      <c r="W475" s="2224"/>
      <c r="X475" s="2224"/>
    </row>
    <row r="476" spans="1:24" ht="15.75" customHeight="1">
      <c r="A476" s="2223"/>
      <c r="B476" s="2223"/>
      <c r="C476" s="529"/>
      <c r="D476" s="529"/>
      <c r="E476" s="529"/>
      <c r="F476" s="529"/>
      <c r="G476" s="529"/>
      <c r="H476" s="529"/>
      <c r="I476" s="529"/>
      <c r="J476" s="529"/>
      <c r="K476" s="529"/>
      <c r="L476" s="529"/>
      <c r="M476" s="529"/>
      <c r="N476" s="529"/>
      <c r="O476" s="2223"/>
      <c r="P476" s="2223"/>
      <c r="Q476" s="2223"/>
      <c r="R476" s="2223"/>
      <c r="S476" s="2223"/>
      <c r="T476" s="2223"/>
      <c r="U476" s="2223"/>
      <c r="V476" s="2224"/>
      <c r="W476" s="2224"/>
      <c r="X476" s="2224"/>
    </row>
    <row r="477" spans="1:24" ht="15.75" customHeight="1">
      <c r="A477" s="2223"/>
      <c r="B477" s="2223"/>
      <c r="C477" s="529"/>
      <c r="D477" s="529"/>
      <c r="E477" s="529"/>
      <c r="F477" s="529"/>
      <c r="G477" s="529"/>
      <c r="H477" s="529"/>
      <c r="I477" s="529"/>
      <c r="J477" s="529"/>
      <c r="K477" s="529"/>
      <c r="L477" s="529"/>
      <c r="M477" s="529"/>
      <c r="N477" s="529"/>
      <c r="O477" s="2223"/>
      <c r="P477" s="2223"/>
      <c r="Q477" s="2223"/>
      <c r="R477" s="2223"/>
      <c r="S477" s="2223"/>
      <c r="T477" s="2223"/>
      <c r="U477" s="2223"/>
      <c r="V477" s="2224"/>
      <c r="W477" s="2224"/>
      <c r="X477" s="2224"/>
    </row>
    <row r="478" spans="1:24" ht="15.75" customHeight="1">
      <c r="A478" s="2223"/>
      <c r="B478" s="2223"/>
      <c r="C478" s="529"/>
      <c r="D478" s="529"/>
      <c r="E478" s="529"/>
      <c r="F478" s="529"/>
      <c r="G478" s="529"/>
      <c r="H478" s="529"/>
      <c r="I478" s="529"/>
      <c r="J478" s="529"/>
      <c r="K478" s="529"/>
      <c r="L478" s="529"/>
      <c r="M478" s="529"/>
      <c r="N478" s="529"/>
      <c r="O478" s="2223"/>
      <c r="P478" s="2223"/>
      <c r="Q478" s="2223"/>
      <c r="R478" s="2223"/>
      <c r="S478" s="2223"/>
      <c r="T478" s="2223"/>
      <c r="U478" s="2223"/>
      <c r="V478" s="2224"/>
      <c r="W478" s="2224"/>
      <c r="X478" s="2224"/>
    </row>
    <row r="479" spans="1:24" ht="15.75" customHeight="1">
      <c r="A479" s="2223"/>
      <c r="B479" s="2223"/>
      <c r="C479" s="529"/>
      <c r="D479" s="529"/>
      <c r="E479" s="529"/>
      <c r="F479" s="529"/>
      <c r="G479" s="529"/>
      <c r="H479" s="529"/>
      <c r="I479" s="529"/>
      <c r="J479" s="529"/>
      <c r="K479" s="529"/>
      <c r="L479" s="529"/>
      <c r="M479" s="529"/>
      <c r="N479" s="529"/>
      <c r="O479" s="2223"/>
      <c r="P479" s="2223"/>
      <c r="Q479" s="2223"/>
      <c r="R479" s="2223"/>
      <c r="S479" s="2223"/>
      <c r="T479" s="2223"/>
      <c r="U479" s="2223"/>
      <c r="V479" s="2224"/>
      <c r="W479" s="2224"/>
      <c r="X479" s="2224"/>
    </row>
    <row r="480" spans="1:24" ht="15.75" customHeight="1">
      <c r="A480" s="2307"/>
      <c r="B480" s="2307"/>
      <c r="C480" s="551"/>
      <c r="D480" s="551"/>
      <c r="E480" s="551"/>
      <c r="F480" s="551"/>
      <c r="G480" s="551"/>
      <c r="H480" s="551"/>
      <c r="I480" s="551"/>
      <c r="J480" s="551"/>
      <c r="K480" s="551"/>
      <c r="L480" s="551"/>
      <c r="M480" s="551"/>
      <c r="N480" s="551"/>
      <c r="O480" s="2307"/>
      <c r="P480" s="2307"/>
      <c r="Q480" s="2307"/>
      <c r="R480" s="2307"/>
      <c r="S480" s="2307"/>
      <c r="T480" s="2307"/>
      <c r="U480" s="2307"/>
    </row>
    <row r="481" spans="1:21" ht="15.75" customHeight="1">
      <c r="A481" s="2307"/>
      <c r="B481" s="2307"/>
      <c r="C481" s="551"/>
      <c r="D481" s="551"/>
      <c r="E481" s="551"/>
      <c r="F481" s="551"/>
      <c r="G481" s="551"/>
      <c r="H481" s="551"/>
      <c r="I481" s="551"/>
      <c r="J481" s="551"/>
      <c r="K481" s="551"/>
      <c r="L481" s="551"/>
      <c r="M481" s="551"/>
      <c r="N481" s="551"/>
      <c r="O481" s="2307"/>
      <c r="P481" s="2307"/>
      <c r="Q481" s="2307"/>
      <c r="R481" s="2307"/>
      <c r="S481" s="2307"/>
      <c r="T481" s="2307"/>
      <c r="U481" s="2307"/>
    </row>
    <row r="482" spans="1:21" ht="15.75" customHeight="1">
      <c r="A482" s="2307"/>
      <c r="B482" s="2307"/>
      <c r="C482" s="551"/>
      <c r="D482" s="551"/>
      <c r="E482" s="551"/>
      <c r="F482" s="551"/>
      <c r="G482" s="551"/>
      <c r="H482" s="551"/>
      <c r="I482" s="551"/>
      <c r="J482" s="551"/>
      <c r="K482" s="551"/>
      <c r="L482" s="551"/>
      <c r="M482" s="551"/>
      <c r="N482" s="551"/>
      <c r="O482" s="2307"/>
      <c r="P482" s="2307"/>
      <c r="Q482" s="2307"/>
      <c r="R482" s="2307"/>
      <c r="S482" s="2307"/>
      <c r="T482" s="2307"/>
      <c r="U482" s="2307"/>
    </row>
    <row r="483" spans="1:21" ht="15.75" customHeight="1">
      <c r="A483" s="2307"/>
      <c r="B483" s="2307"/>
      <c r="C483" s="551"/>
      <c r="D483" s="551"/>
      <c r="E483" s="551"/>
      <c r="F483" s="551"/>
      <c r="G483" s="551"/>
      <c r="H483" s="551"/>
      <c r="I483" s="551"/>
      <c r="J483" s="551"/>
      <c r="K483" s="551"/>
      <c r="L483" s="551"/>
      <c r="M483" s="551"/>
      <c r="N483" s="551"/>
      <c r="O483" s="2307"/>
      <c r="P483" s="2307"/>
      <c r="Q483" s="2307"/>
      <c r="R483" s="2307"/>
      <c r="S483" s="2307"/>
      <c r="T483" s="2307"/>
      <c r="U483" s="2307"/>
    </row>
    <row r="484" spans="1:21" ht="15.75" customHeight="1">
      <c r="A484" s="2307"/>
      <c r="B484" s="2307"/>
      <c r="C484" s="551"/>
      <c r="D484" s="551"/>
      <c r="E484" s="551"/>
      <c r="F484" s="551"/>
      <c r="G484" s="551"/>
      <c r="H484" s="551"/>
      <c r="I484" s="551"/>
      <c r="J484" s="551"/>
      <c r="K484" s="551"/>
      <c r="L484" s="551"/>
      <c r="M484" s="551"/>
      <c r="N484" s="551"/>
      <c r="O484" s="2307"/>
      <c r="P484" s="2307"/>
      <c r="Q484" s="2307"/>
      <c r="R484" s="2307"/>
      <c r="S484" s="2307"/>
      <c r="T484" s="2307"/>
      <c r="U484" s="2307"/>
    </row>
    <row r="485" spans="1:21" ht="15.75" customHeight="1">
      <c r="A485" s="2307"/>
      <c r="B485" s="2307"/>
      <c r="C485" s="551"/>
      <c r="D485" s="551"/>
      <c r="E485" s="551"/>
      <c r="F485" s="551"/>
      <c r="G485" s="551"/>
      <c r="H485" s="551"/>
      <c r="I485" s="551"/>
      <c r="J485" s="551"/>
      <c r="K485" s="551"/>
      <c r="L485" s="551"/>
      <c r="M485" s="551"/>
      <c r="N485" s="551"/>
      <c r="O485" s="2307"/>
      <c r="P485" s="2307"/>
      <c r="Q485" s="2307"/>
      <c r="R485" s="2307"/>
      <c r="S485" s="2307"/>
      <c r="T485" s="2307"/>
      <c r="U485" s="2307"/>
    </row>
    <row r="486" spans="1:21" ht="15.75" customHeight="1">
      <c r="A486" s="2307"/>
      <c r="B486" s="2307"/>
      <c r="C486" s="551"/>
      <c r="D486" s="551"/>
      <c r="E486" s="551"/>
      <c r="F486" s="551"/>
      <c r="G486" s="551"/>
      <c r="H486" s="551"/>
      <c r="I486" s="551"/>
      <c r="J486" s="551"/>
      <c r="K486" s="551"/>
      <c r="L486" s="551"/>
      <c r="M486" s="551"/>
      <c r="N486" s="551"/>
      <c r="O486" s="2307"/>
      <c r="P486" s="2307"/>
      <c r="Q486" s="2307"/>
      <c r="R486" s="2307"/>
      <c r="S486" s="2307"/>
      <c r="T486" s="2307"/>
      <c r="U486" s="2307"/>
    </row>
    <row r="487" spans="1:21" ht="15.75" customHeight="1">
      <c r="A487" s="2307"/>
      <c r="B487" s="2307"/>
      <c r="C487" s="551"/>
      <c r="D487" s="551"/>
      <c r="E487" s="551"/>
      <c r="F487" s="551"/>
      <c r="G487" s="551"/>
      <c r="H487" s="551"/>
      <c r="I487" s="551"/>
      <c r="J487" s="551"/>
      <c r="K487" s="551"/>
      <c r="L487" s="551"/>
      <c r="M487" s="551"/>
      <c r="N487" s="551"/>
      <c r="O487" s="2307"/>
      <c r="P487" s="2307"/>
      <c r="Q487" s="2307"/>
      <c r="R487" s="2307"/>
      <c r="S487" s="2307"/>
      <c r="T487" s="2307"/>
      <c r="U487" s="2307"/>
    </row>
    <row r="488" spans="1:21" ht="15.75" customHeight="1">
      <c r="A488" s="2307"/>
      <c r="B488" s="2307"/>
      <c r="C488" s="551"/>
      <c r="D488" s="551"/>
      <c r="E488" s="551"/>
      <c r="F488" s="551"/>
      <c r="G488" s="551"/>
      <c r="H488" s="551"/>
      <c r="I488" s="551"/>
      <c r="J488" s="551"/>
      <c r="K488" s="551"/>
      <c r="L488" s="551"/>
      <c r="M488" s="551"/>
      <c r="N488" s="551"/>
      <c r="O488" s="2307"/>
      <c r="P488" s="2307"/>
      <c r="Q488" s="2307"/>
      <c r="R488" s="2307"/>
      <c r="S488" s="2307"/>
      <c r="T488" s="2307"/>
      <c r="U488" s="2307"/>
    </row>
    <row r="489" spans="1:21" ht="15.75" customHeight="1">
      <c r="A489" s="2307"/>
      <c r="B489" s="2307"/>
      <c r="C489" s="551"/>
      <c r="D489" s="551"/>
      <c r="E489" s="551"/>
      <c r="F489" s="551"/>
      <c r="G489" s="551"/>
      <c r="H489" s="551"/>
      <c r="I489" s="551"/>
      <c r="J489" s="551"/>
      <c r="K489" s="551"/>
      <c r="L489" s="551"/>
      <c r="M489" s="551"/>
      <c r="N489" s="551"/>
      <c r="O489" s="2307"/>
      <c r="P489" s="2307"/>
      <c r="Q489" s="2307"/>
      <c r="R489" s="2307"/>
      <c r="S489" s="2307"/>
      <c r="T489" s="2307"/>
      <c r="U489" s="2307"/>
    </row>
    <row r="490" spans="1:21" ht="15.75" customHeight="1">
      <c r="A490" s="2307"/>
      <c r="B490" s="2307"/>
      <c r="C490" s="551"/>
      <c r="D490" s="551"/>
      <c r="E490" s="551"/>
      <c r="F490" s="551"/>
      <c r="G490" s="551"/>
      <c r="H490" s="551"/>
      <c r="I490" s="551"/>
      <c r="J490" s="551"/>
      <c r="K490" s="551"/>
      <c r="L490" s="551"/>
      <c r="M490" s="551"/>
      <c r="N490" s="551"/>
      <c r="O490" s="2307"/>
      <c r="P490" s="2307"/>
      <c r="Q490" s="2307"/>
      <c r="R490" s="2307"/>
      <c r="S490" s="2307"/>
      <c r="T490" s="2307"/>
      <c r="U490" s="2307"/>
    </row>
    <row r="491" spans="1:21" ht="15.75" customHeight="1">
      <c r="A491" s="2307"/>
      <c r="B491" s="2307"/>
      <c r="C491" s="551"/>
      <c r="D491" s="551"/>
      <c r="E491" s="551"/>
      <c r="F491" s="551"/>
      <c r="G491" s="551"/>
      <c r="H491" s="551"/>
      <c r="I491" s="551"/>
      <c r="J491" s="551"/>
      <c r="K491" s="551"/>
      <c r="L491" s="551"/>
      <c r="M491" s="551"/>
      <c r="N491" s="551"/>
      <c r="O491" s="2307"/>
      <c r="P491" s="2307"/>
      <c r="Q491" s="2307"/>
      <c r="R491" s="2307"/>
      <c r="S491" s="2307"/>
      <c r="T491" s="2307"/>
      <c r="U491" s="2307"/>
    </row>
    <row r="492" spans="1:21" ht="15.75" customHeight="1">
      <c r="A492" s="2307"/>
      <c r="B492" s="2307"/>
      <c r="C492" s="551"/>
      <c r="D492" s="551"/>
      <c r="E492" s="551"/>
      <c r="F492" s="551"/>
      <c r="G492" s="551"/>
      <c r="H492" s="551"/>
      <c r="I492" s="551"/>
      <c r="J492" s="551"/>
      <c r="K492" s="551"/>
      <c r="L492" s="551"/>
      <c r="M492" s="551"/>
      <c r="N492" s="551"/>
      <c r="O492" s="2307"/>
      <c r="P492" s="2307"/>
      <c r="Q492" s="2307"/>
      <c r="R492" s="2307"/>
      <c r="S492" s="2307"/>
      <c r="T492" s="2307"/>
      <c r="U492" s="2307"/>
    </row>
    <row r="493" spans="1:21" ht="15.75" customHeight="1">
      <c r="A493" s="2307"/>
      <c r="B493" s="2307"/>
      <c r="C493" s="551"/>
      <c r="D493" s="551"/>
      <c r="E493" s="551"/>
      <c r="F493" s="551"/>
      <c r="G493" s="551"/>
      <c r="H493" s="551"/>
      <c r="I493" s="551"/>
      <c r="J493" s="551"/>
      <c r="K493" s="551"/>
      <c r="L493" s="551"/>
      <c r="M493" s="551"/>
      <c r="N493" s="551"/>
      <c r="O493" s="2307"/>
      <c r="P493" s="2307"/>
      <c r="Q493" s="2307"/>
      <c r="R493" s="2307"/>
      <c r="S493" s="2307"/>
      <c r="T493" s="2307"/>
      <c r="U493" s="2307"/>
    </row>
    <row r="494" spans="1:21" ht="15.75" customHeight="1">
      <c r="C494" s="553"/>
      <c r="D494" s="553"/>
      <c r="E494" s="553"/>
      <c r="F494" s="553"/>
      <c r="G494" s="553"/>
      <c r="H494" s="553"/>
      <c r="I494" s="553"/>
      <c r="J494" s="553"/>
      <c r="K494" s="553"/>
      <c r="L494" s="553"/>
      <c r="M494" s="553"/>
      <c r="N494" s="553"/>
    </row>
    <row r="495" spans="1:21" ht="15.75" customHeight="1">
      <c r="C495" s="553"/>
      <c r="D495" s="553"/>
      <c r="E495" s="553"/>
      <c r="F495" s="553"/>
      <c r="G495" s="553"/>
      <c r="H495" s="553"/>
      <c r="I495" s="553"/>
      <c r="J495" s="553"/>
      <c r="K495" s="553"/>
      <c r="L495" s="553"/>
      <c r="M495" s="553"/>
      <c r="N495" s="553"/>
    </row>
    <row r="496" spans="1:21" ht="15.75" customHeight="1">
      <c r="C496" s="553"/>
      <c r="D496" s="553"/>
      <c r="E496" s="553"/>
      <c r="F496" s="553"/>
      <c r="G496" s="553"/>
      <c r="H496" s="553"/>
      <c r="I496" s="553"/>
      <c r="J496" s="553"/>
      <c r="K496" s="553"/>
      <c r="L496" s="553"/>
      <c r="M496" s="553"/>
      <c r="N496" s="553"/>
    </row>
    <row r="497" spans="3:14" ht="15.75" customHeight="1">
      <c r="C497" s="553"/>
      <c r="D497" s="553"/>
      <c r="E497" s="553"/>
      <c r="F497" s="553"/>
      <c r="G497" s="553"/>
      <c r="H497" s="553"/>
      <c r="I497" s="553"/>
      <c r="J497" s="553"/>
      <c r="K497" s="553"/>
      <c r="L497" s="553"/>
      <c r="M497" s="553"/>
      <c r="N497" s="553"/>
    </row>
    <row r="498" spans="3:14" ht="15.75" customHeight="1">
      <c r="C498" s="553"/>
      <c r="D498" s="553"/>
      <c r="E498" s="553"/>
      <c r="F498" s="553"/>
      <c r="G498" s="553"/>
      <c r="H498" s="553"/>
      <c r="I498" s="553"/>
      <c r="J498" s="553"/>
      <c r="K498" s="553"/>
      <c r="L498" s="553"/>
      <c r="M498" s="553"/>
      <c r="N498" s="553"/>
    </row>
    <row r="499" spans="3:14" ht="15.75" customHeight="1">
      <c r="C499" s="553"/>
      <c r="D499" s="553"/>
      <c r="E499" s="553"/>
      <c r="F499" s="553"/>
      <c r="G499" s="553"/>
      <c r="H499" s="553"/>
      <c r="I499" s="553"/>
      <c r="J499" s="553"/>
      <c r="K499" s="553"/>
      <c r="L499" s="553"/>
      <c r="M499" s="553"/>
      <c r="N499" s="553"/>
    </row>
    <row r="500" spans="3:14" ht="15.75" customHeight="1">
      <c r="C500" s="553"/>
      <c r="D500" s="553"/>
      <c r="E500" s="553"/>
      <c r="F500" s="553"/>
      <c r="G500" s="553"/>
      <c r="H500" s="553"/>
      <c r="I500" s="553"/>
      <c r="J500" s="553"/>
      <c r="K500" s="553"/>
      <c r="L500" s="553"/>
      <c r="M500" s="553"/>
      <c r="N500" s="553"/>
    </row>
    <row r="501" spans="3:14" ht="15.75" customHeight="1">
      <c r="C501" s="553"/>
      <c r="D501" s="553"/>
      <c r="E501" s="553"/>
      <c r="F501" s="553"/>
      <c r="G501" s="553"/>
      <c r="H501" s="553"/>
      <c r="I501" s="553"/>
      <c r="J501" s="553"/>
      <c r="K501" s="553"/>
      <c r="L501" s="553"/>
      <c r="M501" s="553"/>
      <c r="N501" s="553"/>
    </row>
    <row r="502" spans="3:14" ht="15.75" customHeight="1">
      <c r="C502" s="553"/>
      <c r="D502" s="553"/>
      <c r="E502" s="553"/>
      <c r="F502" s="553"/>
      <c r="G502" s="553"/>
      <c r="H502" s="553"/>
      <c r="I502" s="553"/>
      <c r="J502" s="553"/>
      <c r="K502" s="553"/>
      <c r="L502" s="553"/>
      <c r="M502" s="553"/>
      <c r="N502" s="553"/>
    </row>
    <row r="503" spans="3:14" ht="15.75" customHeight="1">
      <c r="C503" s="553"/>
      <c r="D503" s="553"/>
      <c r="E503" s="553"/>
      <c r="F503" s="553"/>
      <c r="G503" s="553"/>
      <c r="H503" s="553"/>
      <c r="I503" s="553"/>
      <c r="J503" s="553"/>
      <c r="K503" s="553"/>
      <c r="L503" s="553"/>
      <c r="M503" s="553"/>
      <c r="N503" s="553"/>
    </row>
    <row r="504" spans="3:14" ht="15.75" customHeight="1">
      <c r="C504" s="553"/>
      <c r="D504" s="553"/>
      <c r="E504" s="553"/>
      <c r="F504" s="553"/>
      <c r="G504" s="553"/>
      <c r="H504" s="553"/>
      <c r="I504" s="553"/>
      <c r="J504" s="553"/>
      <c r="K504" s="553"/>
      <c r="L504" s="553"/>
      <c r="M504" s="553"/>
      <c r="N504" s="553"/>
    </row>
    <row r="505" spans="3:14" ht="15.75" customHeight="1">
      <c r="C505" s="553"/>
      <c r="D505" s="553"/>
      <c r="E505" s="553"/>
      <c r="F505" s="553"/>
      <c r="G505" s="553"/>
      <c r="H505" s="553"/>
      <c r="I505" s="553"/>
      <c r="J505" s="553"/>
      <c r="K505" s="553"/>
      <c r="L505" s="553"/>
      <c r="M505" s="553"/>
      <c r="N505" s="553"/>
    </row>
    <row r="506" spans="3:14" ht="15.75" customHeight="1">
      <c r="C506" s="553"/>
      <c r="D506" s="553"/>
      <c r="E506" s="553"/>
      <c r="F506" s="553"/>
      <c r="G506" s="553"/>
      <c r="H506" s="553"/>
      <c r="I506" s="553"/>
      <c r="J506" s="553"/>
      <c r="K506" s="553"/>
      <c r="L506" s="553"/>
      <c r="M506" s="553"/>
      <c r="N506" s="553"/>
    </row>
    <row r="507" spans="3:14" ht="15.75" customHeight="1">
      <c r="C507" s="553"/>
      <c r="D507" s="553"/>
      <c r="E507" s="553"/>
      <c r="F507" s="553"/>
      <c r="G507" s="553"/>
      <c r="H507" s="553"/>
      <c r="I507" s="553"/>
      <c r="J507" s="553"/>
      <c r="K507" s="553"/>
      <c r="L507" s="553"/>
      <c r="M507" s="553"/>
      <c r="N507" s="553"/>
    </row>
    <row r="508" spans="3:14" ht="15.75" customHeight="1">
      <c r="C508" s="553"/>
      <c r="D508" s="553"/>
      <c r="E508" s="553"/>
      <c r="F508" s="553"/>
      <c r="G508" s="553"/>
      <c r="H508" s="553"/>
      <c r="I508" s="553"/>
      <c r="J508" s="553"/>
      <c r="K508" s="553"/>
      <c r="L508" s="553"/>
      <c r="M508" s="553"/>
      <c r="N508" s="553"/>
    </row>
    <row r="509" spans="3:14" ht="15.75" customHeight="1">
      <c r="C509" s="553"/>
      <c r="D509" s="553"/>
      <c r="E509" s="553"/>
      <c r="F509" s="553"/>
      <c r="G509" s="553"/>
      <c r="H509" s="553"/>
      <c r="I509" s="553"/>
      <c r="J509" s="553"/>
      <c r="K509" s="553"/>
      <c r="L509" s="553"/>
      <c r="M509" s="553"/>
      <c r="N509" s="553"/>
    </row>
    <row r="510" spans="3:14" ht="15.75" customHeight="1">
      <c r="C510" s="553"/>
      <c r="D510" s="553"/>
      <c r="E510" s="553"/>
      <c r="F510" s="553"/>
      <c r="G510" s="553"/>
      <c r="H510" s="553"/>
      <c r="I510" s="553"/>
      <c r="J510" s="553"/>
      <c r="K510" s="553"/>
      <c r="L510" s="553"/>
      <c r="M510" s="553"/>
      <c r="N510" s="553"/>
    </row>
    <row r="511" spans="3:14" ht="15.75" customHeight="1">
      <c r="C511" s="553"/>
      <c r="D511" s="553"/>
      <c r="E511" s="553"/>
      <c r="F511" s="553"/>
      <c r="G511" s="553"/>
      <c r="H511" s="553"/>
      <c r="I511" s="553"/>
      <c r="J511" s="553"/>
      <c r="K511" s="553"/>
      <c r="L511" s="553"/>
      <c r="M511" s="553"/>
      <c r="N511" s="553"/>
    </row>
    <row r="512" spans="3:14" ht="15.75" customHeight="1">
      <c r="C512" s="553"/>
      <c r="D512" s="553"/>
      <c r="E512" s="553"/>
      <c r="F512" s="553"/>
      <c r="G512" s="553"/>
      <c r="H512" s="553"/>
      <c r="I512" s="553"/>
      <c r="J512" s="553"/>
      <c r="K512" s="553"/>
      <c r="L512" s="553"/>
      <c r="M512" s="553"/>
      <c r="N512" s="553"/>
    </row>
    <row r="513" spans="3:14" ht="15.75" customHeight="1">
      <c r="C513" s="553"/>
      <c r="D513" s="553"/>
      <c r="E513" s="553"/>
      <c r="F513" s="553"/>
      <c r="G513" s="553"/>
      <c r="H513" s="553"/>
      <c r="I513" s="553"/>
      <c r="J513" s="553"/>
      <c r="K513" s="553"/>
      <c r="L513" s="553"/>
      <c r="M513" s="553"/>
      <c r="N513" s="553"/>
    </row>
    <row r="514" spans="3:14" ht="15.75" customHeight="1">
      <c r="C514" s="553"/>
      <c r="D514" s="553"/>
      <c r="E514" s="553"/>
      <c r="F514" s="553"/>
      <c r="G514" s="553"/>
      <c r="H514" s="553"/>
      <c r="I514" s="553"/>
      <c r="J514" s="553"/>
      <c r="K514" s="553"/>
      <c r="L514" s="553"/>
      <c r="M514" s="553"/>
      <c r="N514" s="553"/>
    </row>
    <row r="515" spans="3:14" ht="15.75" customHeight="1">
      <c r="C515" s="553"/>
      <c r="D515" s="553"/>
      <c r="E515" s="553"/>
      <c r="F515" s="553"/>
      <c r="G515" s="553"/>
      <c r="H515" s="553"/>
      <c r="I515" s="553"/>
      <c r="J515" s="553"/>
      <c r="K515" s="553"/>
      <c r="L515" s="553"/>
      <c r="M515" s="553"/>
      <c r="N515" s="553"/>
    </row>
    <row r="516" spans="3:14" ht="15.75" customHeight="1">
      <c r="C516" s="553"/>
      <c r="D516" s="553"/>
      <c r="E516" s="553"/>
      <c r="F516" s="553"/>
      <c r="G516" s="553"/>
      <c r="H516" s="553"/>
      <c r="I516" s="553"/>
      <c r="J516" s="553"/>
      <c r="K516" s="553"/>
      <c r="L516" s="553"/>
      <c r="M516" s="553"/>
      <c r="N516" s="553"/>
    </row>
    <row r="517" spans="3:14" ht="15.75" customHeight="1">
      <c r="C517" s="553"/>
      <c r="D517" s="553"/>
      <c r="E517" s="553"/>
      <c r="F517" s="553"/>
      <c r="G517" s="553"/>
      <c r="H517" s="553"/>
      <c r="I517" s="553"/>
      <c r="J517" s="553"/>
      <c r="K517" s="553"/>
      <c r="L517" s="553"/>
      <c r="M517" s="553"/>
      <c r="N517" s="553"/>
    </row>
    <row r="518" spans="3:14" ht="15.75" customHeight="1">
      <c r="C518" s="553"/>
      <c r="D518" s="553"/>
      <c r="E518" s="553"/>
      <c r="F518" s="553"/>
      <c r="G518" s="553"/>
      <c r="H518" s="553"/>
      <c r="I518" s="553"/>
      <c r="J518" s="553"/>
      <c r="K518" s="553"/>
      <c r="L518" s="553"/>
      <c r="M518" s="553"/>
      <c r="N518" s="553"/>
    </row>
    <row r="519" spans="3:14" ht="15.75" customHeight="1">
      <c r="C519" s="553"/>
      <c r="D519" s="553"/>
      <c r="E519" s="553"/>
      <c r="F519" s="553"/>
      <c r="G519" s="553"/>
      <c r="H519" s="553"/>
      <c r="I519" s="553"/>
      <c r="J519" s="553"/>
      <c r="K519" s="553"/>
      <c r="L519" s="553"/>
      <c r="M519" s="553"/>
      <c r="N519" s="553"/>
    </row>
    <row r="520" spans="3:14" ht="15.75" customHeight="1">
      <c r="C520" s="553"/>
      <c r="D520" s="553"/>
      <c r="E520" s="553"/>
      <c r="F520" s="553"/>
      <c r="G520" s="553"/>
      <c r="H520" s="553"/>
      <c r="I520" s="553"/>
      <c r="J520" s="553"/>
      <c r="K520" s="553"/>
      <c r="L520" s="553"/>
      <c r="M520" s="553"/>
      <c r="N520" s="553"/>
    </row>
    <row r="521" spans="3:14" ht="14.25" customHeight="1">
      <c r="C521" s="553"/>
      <c r="D521" s="553"/>
      <c r="E521" s="553"/>
      <c r="F521" s="553"/>
      <c r="G521" s="553"/>
      <c r="H521" s="553"/>
      <c r="I521" s="553"/>
      <c r="J521" s="553"/>
      <c r="K521" s="553"/>
      <c r="L521" s="553"/>
      <c r="M521" s="553"/>
      <c r="N521" s="553"/>
    </row>
    <row r="522" spans="3:14" ht="14.25" customHeight="1">
      <c r="C522" s="553"/>
      <c r="D522" s="553"/>
      <c r="E522" s="553"/>
      <c r="F522" s="553"/>
      <c r="G522" s="553"/>
      <c r="H522" s="553"/>
      <c r="I522" s="553"/>
      <c r="J522" s="553"/>
      <c r="K522" s="553"/>
      <c r="L522" s="553"/>
      <c r="M522" s="553"/>
      <c r="N522" s="553"/>
    </row>
    <row r="523" spans="3:14" ht="14.25" customHeight="1">
      <c r="C523" s="553"/>
      <c r="D523" s="553"/>
      <c r="E523" s="553"/>
      <c r="F523" s="553"/>
      <c r="G523" s="553"/>
      <c r="H523" s="553"/>
      <c r="I523" s="553"/>
      <c r="J523" s="553"/>
      <c r="K523" s="553"/>
      <c r="L523" s="553"/>
      <c r="M523" s="553"/>
      <c r="N523" s="553"/>
    </row>
    <row r="524" spans="3:14" ht="14.25" customHeight="1">
      <c r="C524" s="553"/>
      <c r="D524" s="553"/>
      <c r="E524" s="553"/>
      <c r="F524" s="553"/>
      <c r="G524" s="553"/>
      <c r="H524" s="553"/>
      <c r="I524" s="553"/>
      <c r="J524" s="553"/>
      <c r="K524" s="553"/>
      <c r="L524" s="553"/>
      <c r="M524" s="553"/>
      <c r="N524" s="553"/>
    </row>
    <row r="525" spans="3:14" ht="14.25" customHeight="1">
      <c r="C525" s="553"/>
      <c r="D525" s="553"/>
      <c r="E525" s="553"/>
      <c r="F525" s="553"/>
      <c r="G525" s="553"/>
      <c r="H525" s="553"/>
      <c r="I525" s="553"/>
      <c r="J525" s="553"/>
      <c r="K525" s="553"/>
      <c r="L525" s="553"/>
      <c r="M525" s="553"/>
      <c r="N525" s="553"/>
    </row>
    <row r="526" spans="3:14" ht="14.25" customHeight="1">
      <c r="C526" s="553"/>
      <c r="D526" s="553"/>
      <c r="E526" s="553"/>
      <c r="F526" s="553"/>
      <c r="G526" s="553"/>
      <c r="H526" s="553"/>
      <c r="I526" s="553"/>
      <c r="J526" s="553"/>
      <c r="K526" s="553"/>
      <c r="L526" s="553"/>
      <c r="M526" s="553"/>
      <c r="N526" s="553"/>
    </row>
    <row r="527" spans="3:14" ht="14.25" customHeight="1">
      <c r="C527" s="553"/>
      <c r="D527" s="553"/>
      <c r="E527" s="553"/>
      <c r="F527" s="553"/>
      <c r="G527" s="553"/>
      <c r="H527" s="553"/>
      <c r="I527" s="553"/>
      <c r="J527" s="553"/>
      <c r="K527" s="553"/>
      <c r="L527" s="553"/>
      <c r="M527" s="553"/>
      <c r="N527" s="553"/>
    </row>
    <row r="528" spans="3:14" ht="14.25" customHeight="1">
      <c r="C528" s="553"/>
      <c r="D528" s="553"/>
      <c r="E528" s="553"/>
      <c r="F528" s="553"/>
      <c r="G528" s="553"/>
      <c r="H528" s="553"/>
      <c r="I528" s="553"/>
      <c r="J528" s="553"/>
      <c r="K528" s="553"/>
      <c r="L528" s="553"/>
      <c r="M528" s="553"/>
      <c r="N528" s="553"/>
    </row>
    <row r="529" spans="3:14" ht="14.25" customHeight="1">
      <c r="C529" s="553"/>
      <c r="D529" s="553"/>
      <c r="E529" s="553"/>
      <c r="F529" s="553"/>
      <c r="G529" s="553"/>
      <c r="H529" s="553"/>
      <c r="I529" s="553"/>
      <c r="J529" s="553"/>
      <c r="K529" s="553"/>
      <c r="L529" s="553"/>
      <c r="M529" s="553"/>
      <c r="N529" s="553"/>
    </row>
    <row r="530" spans="3:14" ht="14.25" customHeight="1">
      <c r="C530" s="553"/>
      <c r="D530" s="553"/>
      <c r="E530" s="553"/>
      <c r="F530" s="553"/>
      <c r="G530" s="553"/>
      <c r="H530" s="553"/>
      <c r="I530" s="553"/>
      <c r="J530" s="553"/>
      <c r="K530" s="553"/>
      <c r="L530" s="553"/>
      <c r="M530" s="553"/>
      <c r="N530" s="553"/>
    </row>
    <row r="531" spans="3:14" ht="14.25" customHeight="1">
      <c r="C531" s="553"/>
      <c r="D531" s="553"/>
      <c r="E531" s="553"/>
      <c r="F531" s="553"/>
      <c r="G531" s="553"/>
      <c r="H531" s="553"/>
      <c r="I531" s="553"/>
      <c r="J531" s="553"/>
      <c r="K531" s="553"/>
      <c r="L531" s="553"/>
      <c r="M531" s="553"/>
      <c r="N531" s="553"/>
    </row>
    <row r="532" spans="3:14" ht="14.25" customHeight="1">
      <c r="C532" s="553"/>
      <c r="D532" s="553"/>
      <c r="E532" s="553"/>
      <c r="F532" s="553"/>
      <c r="G532" s="553"/>
      <c r="H532" s="553"/>
      <c r="I532" s="553"/>
      <c r="J532" s="553"/>
      <c r="K532" s="553"/>
      <c r="L532" s="553"/>
      <c r="M532" s="553"/>
      <c r="N532" s="553"/>
    </row>
    <row r="533" spans="3:14" ht="14.25" customHeight="1">
      <c r="C533" s="553"/>
      <c r="D533" s="553"/>
      <c r="E533" s="553"/>
      <c r="F533" s="553"/>
      <c r="G533" s="553"/>
      <c r="H533" s="553"/>
      <c r="I533" s="553"/>
      <c r="J533" s="553"/>
      <c r="K533" s="553"/>
      <c r="L533" s="553"/>
      <c r="M533" s="553"/>
      <c r="N533" s="553"/>
    </row>
    <row r="534" spans="3:14" ht="14.25" customHeight="1">
      <c r="C534" s="553"/>
      <c r="D534" s="553"/>
      <c r="E534" s="553"/>
      <c r="F534" s="553"/>
      <c r="G534" s="553"/>
      <c r="H534" s="553"/>
      <c r="I534" s="553"/>
      <c r="J534" s="553"/>
      <c r="K534" s="553"/>
      <c r="L534" s="553"/>
      <c r="M534" s="553"/>
      <c r="N534" s="553"/>
    </row>
    <row r="535" spans="3:14" ht="14.25" customHeight="1">
      <c r="C535" s="553"/>
      <c r="D535" s="553"/>
      <c r="E535" s="553"/>
      <c r="F535" s="553"/>
      <c r="G535" s="553"/>
      <c r="H535" s="553"/>
      <c r="I535" s="553"/>
      <c r="J535" s="553"/>
      <c r="K535" s="553"/>
      <c r="L535" s="553"/>
      <c r="M535" s="553"/>
      <c r="N535" s="553"/>
    </row>
    <row r="536" spans="3:14" ht="14.25" customHeight="1">
      <c r="C536" s="553"/>
      <c r="D536" s="553"/>
      <c r="E536" s="553"/>
      <c r="F536" s="553"/>
      <c r="G536" s="553"/>
      <c r="H536" s="553"/>
      <c r="I536" s="553"/>
      <c r="J536" s="553"/>
      <c r="K536" s="553"/>
      <c r="L536" s="553"/>
      <c r="M536" s="553"/>
      <c r="N536" s="553"/>
    </row>
    <row r="537" spans="3:14" ht="14.25" customHeight="1">
      <c r="C537" s="553"/>
      <c r="D537" s="553"/>
      <c r="E537" s="553"/>
      <c r="F537" s="553"/>
      <c r="G537" s="553"/>
      <c r="H537" s="553"/>
      <c r="I537" s="553"/>
      <c r="J537" s="553"/>
      <c r="K537" s="553"/>
      <c r="L537" s="553"/>
      <c r="M537" s="553"/>
      <c r="N537" s="553"/>
    </row>
    <row r="538" spans="3:14" ht="14.25" customHeight="1">
      <c r="C538" s="553"/>
      <c r="D538" s="553"/>
      <c r="E538" s="553"/>
      <c r="F538" s="553"/>
      <c r="G538" s="553"/>
      <c r="H538" s="553"/>
      <c r="I538" s="553"/>
      <c r="J538" s="553"/>
      <c r="K538" s="553"/>
      <c r="L538" s="553"/>
      <c r="M538" s="553"/>
      <c r="N538" s="553"/>
    </row>
    <row r="539" spans="3:14" ht="14.25" customHeight="1">
      <c r="C539" s="553"/>
      <c r="D539" s="553"/>
      <c r="E539" s="553"/>
      <c r="F539" s="553"/>
      <c r="G539" s="553"/>
      <c r="H539" s="553"/>
      <c r="I539" s="553"/>
      <c r="J539" s="553"/>
      <c r="K539" s="553"/>
      <c r="L539" s="553"/>
      <c r="M539" s="553"/>
      <c r="N539" s="553"/>
    </row>
    <row r="540" spans="3:14" ht="14.25" customHeight="1">
      <c r="C540" s="553"/>
      <c r="D540" s="553"/>
      <c r="E540" s="553"/>
      <c r="F540" s="553"/>
      <c r="G540" s="553"/>
      <c r="H540" s="553"/>
      <c r="I540" s="553"/>
      <c r="J540" s="553"/>
      <c r="K540" s="553"/>
      <c r="L540" s="553"/>
      <c r="M540" s="553"/>
      <c r="N540" s="553"/>
    </row>
    <row r="541" spans="3:14" ht="14.25" customHeight="1">
      <c r="C541" s="553"/>
      <c r="D541" s="553"/>
      <c r="E541" s="553"/>
      <c r="F541" s="553"/>
      <c r="G541" s="553"/>
      <c r="H541" s="553"/>
      <c r="I541" s="553"/>
      <c r="J541" s="553"/>
      <c r="K541" s="553"/>
      <c r="L541" s="553"/>
      <c r="M541" s="553"/>
      <c r="N541" s="553"/>
    </row>
    <row r="542" spans="3:14" ht="14.25" customHeight="1">
      <c r="C542" s="553"/>
      <c r="D542" s="553"/>
      <c r="E542" s="553"/>
      <c r="F542" s="553"/>
      <c r="G542" s="553"/>
      <c r="H542" s="553"/>
      <c r="I542" s="553"/>
      <c r="J542" s="553"/>
      <c r="K542" s="553"/>
      <c r="L542" s="553"/>
      <c r="M542" s="553"/>
      <c r="N542" s="553"/>
    </row>
    <row r="543" spans="3:14" ht="14.25" customHeight="1">
      <c r="C543" s="553"/>
      <c r="D543" s="553"/>
      <c r="E543" s="553"/>
      <c r="F543" s="553"/>
      <c r="G543" s="553"/>
      <c r="H543" s="553"/>
      <c r="I543" s="553"/>
      <c r="J543" s="553"/>
      <c r="K543" s="553"/>
      <c r="L543" s="553"/>
      <c r="M543" s="553"/>
      <c r="N543" s="553"/>
    </row>
    <row r="544" spans="3:14" ht="14.25" customHeight="1">
      <c r="C544" s="553"/>
      <c r="D544" s="553"/>
      <c r="E544" s="553"/>
      <c r="F544" s="553"/>
      <c r="G544" s="553"/>
      <c r="H544" s="553"/>
      <c r="I544" s="553"/>
      <c r="J544" s="553"/>
      <c r="K544" s="553"/>
      <c r="L544" s="553"/>
      <c r="M544" s="553"/>
      <c r="N544" s="553"/>
    </row>
    <row r="545" spans="3:14" ht="14.25" customHeight="1">
      <c r="C545" s="553"/>
      <c r="D545" s="553"/>
      <c r="E545" s="553"/>
      <c r="F545" s="553"/>
      <c r="G545" s="553"/>
      <c r="H545" s="553"/>
      <c r="I545" s="553"/>
      <c r="J545" s="553"/>
      <c r="K545" s="553"/>
      <c r="L545" s="553"/>
      <c r="M545" s="553"/>
      <c r="N545" s="553"/>
    </row>
    <row r="546" spans="3:14" ht="14.25" customHeight="1">
      <c r="C546" s="553"/>
      <c r="D546" s="553"/>
      <c r="E546" s="553"/>
      <c r="F546" s="553"/>
      <c r="G546" s="553"/>
      <c r="H546" s="553"/>
      <c r="I546" s="553"/>
      <c r="J546" s="553"/>
      <c r="K546" s="553"/>
      <c r="L546" s="553"/>
      <c r="M546" s="553"/>
      <c r="N546" s="553"/>
    </row>
    <row r="547" spans="3:14" ht="14.25" customHeight="1">
      <c r="C547" s="553"/>
      <c r="D547" s="553"/>
      <c r="E547" s="553"/>
      <c r="F547" s="553"/>
      <c r="G547" s="553"/>
      <c r="H547" s="553"/>
      <c r="I547" s="553"/>
      <c r="J547" s="553"/>
      <c r="K547" s="553"/>
      <c r="L547" s="553"/>
      <c r="M547" s="553"/>
      <c r="N547" s="553"/>
    </row>
    <row r="548" spans="3:14" ht="14.25" customHeight="1">
      <c r="C548" s="553"/>
      <c r="D548" s="553"/>
      <c r="E548" s="553"/>
      <c r="F548" s="553"/>
      <c r="G548" s="553"/>
      <c r="H548" s="553"/>
      <c r="I548" s="553"/>
      <c r="J548" s="553"/>
      <c r="K548" s="553"/>
      <c r="L548" s="553"/>
      <c r="M548" s="553"/>
      <c r="N548" s="553"/>
    </row>
    <row r="549" spans="3:14" ht="14.25" customHeight="1">
      <c r="C549" s="553"/>
      <c r="D549" s="553"/>
      <c r="E549" s="553"/>
      <c r="F549" s="553"/>
      <c r="G549" s="553"/>
      <c r="H549" s="553"/>
      <c r="I549" s="553"/>
      <c r="J549" s="553"/>
      <c r="K549" s="553"/>
      <c r="L549" s="553"/>
      <c r="M549" s="553"/>
      <c r="N549" s="553"/>
    </row>
    <row r="550" spans="3:14" ht="14.25" customHeight="1">
      <c r="C550" s="553"/>
      <c r="D550" s="553"/>
      <c r="E550" s="553"/>
      <c r="F550" s="553"/>
      <c r="G550" s="553"/>
      <c r="H550" s="553"/>
      <c r="I550" s="553"/>
      <c r="J550" s="553"/>
      <c r="K550" s="553"/>
      <c r="L550" s="553"/>
      <c r="M550" s="553"/>
      <c r="N550" s="553"/>
    </row>
    <row r="551" spans="3:14" ht="14.25" customHeight="1">
      <c r="C551" s="553"/>
      <c r="D551" s="553"/>
      <c r="E551" s="553"/>
      <c r="F551" s="553"/>
      <c r="G551" s="553"/>
      <c r="H551" s="553"/>
      <c r="I551" s="553"/>
      <c r="J551" s="553"/>
      <c r="K551" s="553"/>
      <c r="L551" s="553"/>
      <c r="M551" s="553"/>
      <c r="N551" s="553"/>
    </row>
    <row r="552" spans="3:14" ht="14.25" customHeight="1">
      <c r="C552" s="553"/>
      <c r="D552" s="553"/>
      <c r="E552" s="553"/>
      <c r="F552" s="553"/>
      <c r="G552" s="553"/>
      <c r="H552" s="553"/>
      <c r="I552" s="553"/>
      <c r="J552" s="553"/>
      <c r="K552" s="553"/>
      <c r="L552" s="553"/>
      <c r="M552" s="553"/>
      <c r="N552" s="553"/>
    </row>
    <row r="553" spans="3:14" ht="14.25" customHeight="1">
      <c r="C553" s="553"/>
      <c r="D553" s="553"/>
      <c r="E553" s="553"/>
      <c r="F553" s="553"/>
      <c r="G553" s="553"/>
      <c r="H553" s="553"/>
      <c r="I553" s="553"/>
      <c r="J553" s="553"/>
      <c r="K553" s="553"/>
      <c r="L553" s="553"/>
      <c r="M553" s="553"/>
      <c r="N553" s="553"/>
    </row>
    <row r="554" spans="3:14" ht="14.25" customHeight="1">
      <c r="C554" s="553"/>
      <c r="D554" s="553"/>
      <c r="E554" s="553"/>
      <c r="F554" s="553"/>
      <c r="G554" s="553"/>
      <c r="H554" s="553"/>
      <c r="I554" s="553"/>
      <c r="J554" s="553"/>
      <c r="K554" s="553"/>
      <c r="L554" s="553"/>
      <c r="M554" s="553"/>
      <c r="N554" s="553"/>
    </row>
    <row r="555" spans="3:14" ht="14.25" customHeight="1">
      <c r="C555" s="553"/>
      <c r="D555" s="553"/>
      <c r="E555" s="553"/>
      <c r="F555" s="553"/>
      <c r="G555" s="553"/>
      <c r="H555" s="553"/>
      <c r="I555" s="553"/>
      <c r="J555" s="553"/>
      <c r="K555" s="553"/>
      <c r="L555" s="553"/>
      <c r="M555" s="553"/>
      <c r="N555" s="553"/>
    </row>
    <row r="556" spans="3:14" ht="14.25" customHeight="1">
      <c r="C556" s="553"/>
      <c r="D556" s="553"/>
      <c r="E556" s="553"/>
      <c r="F556" s="553"/>
      <c r="G556" s="553"/>
      <c r="H556" s="553"/>
      <c r="I556" s="553"/>
      <c r="J556" s="553"/>
      <c r="K556" s="553"/>
      <c r="L556" s="553"/>
      <c r="M556" s="553"/>
      <c r="N556" s="553"/>
    </row>
    <row r="557" spans="3:14" ht="14.25" customHeight="1">
      <c r="C557" s="553"/>
      <c r="D557" s="553"/>
      <c r="E557" s="553"/>
      <c r="F557" s="553"/>
      <c r="G557" s="553"/>
      <c r="H557" s="553"/>
      <c r="I557" s="553"/>
      <c r="J557" s="553"/>
      <c r="K557" s="553"/>
      <c r="L557" s="553"/>
      <c r="M557" s="553"/>
      <c r="N557" s="553"/>
    </row>
    <row r="558" spans="3:14" ht="14.25" customHeight="1">
      <c r="C558" s="553"/>
      <c r="D558" s="553"/>
      <c r="E558" s="553"/>
      <c r="F558" s="553"/>
      <c r="G558" s="553"/>
      <c r="H558" s="553"/>
      <c r="I558" s="553"/>
      <c r="J558" s="553"/>
      <c r="K558" s="553"/>
      <c r="L558" s="553"/>
      <c r="M558" s="553"/>
      <c r="N558" s="553"/>
    </row>
    <row r="559" spans="3:14" ht="14.25" customHeight="1">
      <c r="C559" s="553"/>
      <c r="D559" s="553"/>
      <c r="E559" s="553"/>
      <c r="F559" s="553"/>
      <c r="G559" s="553"/>
      <c r="H559" s="553"/>
      <c r="I559" s="553"/>
      <c r="J559" s="553"/>
      <c r="K559" s="553"/>
      <c r="L559" s="553"/>
      <c r="M559" s="553"/>
      <c r="N559" s="553"/>
    </row>
    <row r="560" spans="3:14" ht="14.25" customHeight="1">
      <c r="C560" s="553"/>
      <c r="D560" s="553"/>
      <c r="E560" s="553"/>
      <c r="F560" s="553"/>
      <c r="G560" s="553"/>
      <c r="H560" s="553"/>
      <c r="I560" s="553"/>
      <c r="J560" s="553"/>
      <c r="K560" s="553"/>
      <c r="L560" s="553"/>
      <c r="M560" s="553"/>
      <c r="N560" s="553"/>
    </row>
    <row r="561" spans="3:14" ht="14.25" customHeight="1">
      <c r="C561" s="553"/>
      <c r="D561" s="553"/>
      <c r="E561" s="553"/>
      <c r="F561" s="553"/>
      <c r="G561" s="553"/>
      <c r="H561" s="553"/>
      <c r="I561" s="553"/>
      <c r="J561" s="553"/>
      <c r="K561" s="553"/>
      <c r="L561" s="553"/>
      <c r="M561" s="553"/>
      <c r="N561" s="553"/>
    </row>
    <row r="562" spans="3:14" ht="14.25" customHeight="1">
      <c r="C562" s="553"/>
      <c r="D562" s="553"/>
      <c r="E562" s="553"/>
      <c r="F562" s="553"/>
      <c r="G562" s="553"/>
      <c r="H562" s="553"/>
      <c r="I562" s="553"/>
      <c r="J562" s="553"/>
      <c r="K562" s="553"/>
      <c r="L562" s="553"/>
      <c r="M562" s="553"/>
      <c r="N562" s="553"/>
    </row>
    <row r="563" spans="3:14" ht="14.25" customHeight="1">
      <c r="C563" s="553"/>
      <c r="D563" s="553"/>
      <c r="E563" s="553"/>
      <c r="F563" s="553"/>
      <c r="G563" s="553"/>
      <c r="H563" s="553"/>
      <c r="I563" s="553"/>
      <c r="J563" s="553"/>
      <c r="K563" s="553"/>
      <c r="L563" s="553"/>
      <c r="M563" s="553"/>
      <c r="N563" s="553"/>
    </row>
    <row r="564" spans="3:14" ht="14.25" customHeight="1">
      <c r="C564" s="553"/>
      <c r="D564" s="553"/>
      <c r="E564" s="553"/>
      <c r="F564" s="553"/>
      <c r="G564" s="553"/>
      <c r="H564" s="553"/>
      <c r="I564" s="553"/>
      <c r="J564" s="553"/>
      <c r="K564" s="553"/>
      <c r="L564" s="553"/>
      <c r="M564" s="553"/>
      <c r="N564" s="553"/>
    </row>
    <row r="565" spans="3:14" ht="14.25" customHeight="1">
      <c r="C565" s="553"/>
      <c r="D565" s="553"/>
      <c r="E565" s="553"/>
      <c r="F565" s="553"/>
      <c r="G565" s="553"/>
      <c r="H565" s="553"/>
      <c r="I565" s="553"/>
      <c r="J565" s="553"/>
      <c r="K565" s="553"/>
      <c r="L565" s="553"/>
      <c r="M565" s="553"/>
      <c r="N565" s="553"/>
    </row>
    <row r="566" spans="3:14" ht="14.25" customHeight="1">
      <c r="C566" s="553"/>
      <c r="D566" s="553"/>
      <c r="E566" s="553"/>
      <c r="F566" s="553"/>
      <c r="G566" s="553"/>
      <c r="H566" s="553"/>
      <c r="I566" s="553"/>
      <c r="J566" s="553"/>
      <c r="K566" s="553"/>
      <c r="L566" s="553"/>
      <c r="M566" s="553"/>
      <c r="N566" s="553"/>
    </row>
    <row r="567" spans="3:14" ht="14.25" customHeight="1">
      <c r="C567" s="553"/>
      <c r="D567" s="553"/>
      <c r="E567" s="553"/>
      <c r="F567" s="553"/>
      <c r="G567" s="553"/>
      <c r="H567" s="553"/>
      <c r="I567" s="553"/>
      <c r="J567" s="553"/>
      <c r="K567" s="553"/>
      <c r="L567" s="553"/>
      <c r="M567" s="553"/>
      <c r="N567" s="553"/>
    </row>
    <row r="568" spans="3:14" ht="14.25" customHeight="1">
      <c r="C568" s="553"/>
      <c r="D568" s="553"/>
      <c r="E568" s="553"/>
      <c r="F568" s="553"/>
      <c r="G568" s="553"/>
      <c r="H568" s="553"/>
      <c r="I568" s="553"/>
      <c r="J568" s="553"/>
      <c r="K568" s="553"/>
      <c r="L568" s="553"/>
      <c r="M568" s="553"/>
      <c r="N568" s="553"/>
    </row>
    <row r="569" spans="3:14" ht="14.25" customHeight="1">
      <c r="C569" s="553"/>
      <c r="D569" s="553"/>
      <c r="E569" s="553"/>
      <c r="F569" s="553"/>
      <c r="G569" s="553"/>
      <c r="H569" s="553"/>
      <c r="I569" s="553"/>
      <c r="J569" s="553"/>
      <c r="K569" s="553"/>
      <c r="L569" s="553"/>
      <c r="M569" s="553"/>
      <c r="N569" s="553"/>
    </row>
    <row r="570" spans="3:14" ht="14.25" customHeight="1">
      <c r="C570" s="553"/>
      <c r="D570" s="553"/>
      <c r="E570" s="553"/>
      <c r="F570" s="553"/>
      <c r="G570" s="553"/>
      <c r="H570" s="553"/>
      <c r="I570" s="553"/>
      <c r="J570" s="553"/>
      <c r="K570" s="553"/>
      <c r="L570" s="553"/>
      <c r="M570" s="553"/>
      <c r="N570" s="553"/>
    </row>
    <row r="571" spans="3:14" ht="14.25" customHeight="1">
      <c r="C571" s="553"/>
      <c r="D571" s="553"/>
      <c r="E571" s="553"/>
      <c r="F571" s="553"/>
      <c r="G571" s="553"/>
      <c r="H571" s="553"/>
      <c r="I571" s="553"/>
      <c r="J571" s="553"/>
      <c r="K571" s="553"/>
      <c r="L571" s="553"/>
      <c r="M571" s="553"/>
      <c r="N571" s="553"/>
    </row>
    <row r="572" spans="3:14" ht="14.25" customHeight="1">
      <c r="C572" s="553"/>
      <c r="D572" s="553"/>
      <c r="E572" s="553"/>
      <c r="F572" s="553"/>
      <c r="G572" s="553"/>
      <c r="H572" s="553"/>
      <c r="I572" s="553"/>
      <c r="J572" s="553"/>
      <c r="K572" s="553"/>
      <c r="L572" s="553"/>
      <c r="M572" s="553"/>
      <c r="N572" s="553"/>
    </row>
    <row r="573" spans="3:14" ht="14.25" customHeight="1">
      <c r="C573" s="553"/>
      <c r="D573" s="553"/>
      <c r="E573" s="553"/>
      <c r="F573" s="553"/>
      <c r="G573" s="553"/>
      <c r="H573" s="553"/>
      <c r="I573" s="553"/>
      <c r="J573" s="553"/>
      <c r="K573" s="553"/>
      <c r="L573" s="553"/>
      <c r="M573" s="553"/>
      <c r="N573" s="553"/>
    </row>
    <row r="574" spans="3:14" ht="14.25" customHeight="1">
      <c r="C574" s="553"/>
      <c r="D574" s="553"/>
      <c r="E574" s="553"/>
      <c r="F574" s="553"/>
      <c r="G574" s="553"/>
      <c r="H574" s="553"/>
      <c r="I574" s="553"/>
      <c r="J574" s="553"/>
      <c r="K574" s="553"/>
      <c r="L574" s="553"/>
      <c r="M574" s="553"/>
      <c r="N574" s="553"/>
    </row>
    <row r="575" spans="3:14" ht="14.25" customHeight="1">
      <c r="C575" s="553"/>
      <c r="D575" s="553"/>
      <c r="E575" s="553"/>
      <c r="F575" s="553"/>
      <c r="G575" s="553"/>
      <c r="H575" s="553"/>
      <c r="I575" s="553"/>
      <c r="J575" s="553"/>
      <c r="K575" s="553"/>
      <c r="L575" s="553"/>
      <c r="M575" s="553"/>
      <c r="N575" s="553"/>
    </row>
    <row r="576" spans="3:14" ht="14.25" customHeight="1">
      <c r="C576" s="553"/>
      <c r="D576" s="553"/>
      <c r="E576" s="553"/>
      <c r="F576" s="553"/>
      <c r="G576" s="553"/>
      <c r="H576" s="553"/>
      <c r="I576" s="553"/>
      <c r="J576" s="553"/>
      <c r="K576" s="553"/>
      <c r="L576" s="553"/>
      <c r="M576" s="553"/>
      <c r="N576" s="553"/>
    </row>
    <row r="577" spans="3:14" ht="14.25" customHeight="1">
      <c r="C577" s="553"/>
      <c r="D577" s="553"/>
      <c r="E577" s="553"/>
      <c r="F577" s="553"/>
      <c r="G577" s="553"/>
      <c r="H577" s="553"/>
      <c r="I577" s="553"/>
      <c r="J577" s="553"/>
      <c r="K577" s="553"/>
      <c r="L577" s="553"/>
      <c r="M577" s="553"/>
      <c r="N577" s="553"/>
    </row>
    <row r="578" spans="3:14" ht="14.25" customHeight="1">
      <c r="C578" s="553"/>
      <c r="D578" s="553"/>
      <c r="E578" s="553"/>
      <c r="F578" s="553"/>
      <c r="G578" s="553"/>
      <c r="H578" s="553"/>
      <c r="I578" s="553"/>
      <c r="J578" s="553"/>
      <c r="K578" s="553"/>
      <c r="L578" s="553"/>
      <c r="M578" s="553"/>
      <c r="N578" s="553"/>
    </row>
    <row r="579" spans="3:14" ht="14.25" customHeight="1">
      <c r="C579" s="553"/>
      <c r="D579" s="553"/>
      <c r="E579" s="553"/>
      <c r="F579" s="553"/>
      <c r="G579" s="553"/>
      <c r="H579" s="553"/>
      <c r="I579" s="553"/>
      <c r="J579" s="553"/>
      <c r="K579" s="553"/>
      <c r="L579" s="553"/>
      <c r="M579" s="553"/>
      <c r="N579" s="553"/>
    </row>
    <row r="580" spans="3:14" ht="14.25" customHeight="1">
      <c r="C580" s="553"/>
      <c r="D580" s="553"/>
      <c r="E580" s="553"/>
      <c r="F580" s="553"/>
      <c r="G580" s="553"/>
      <c r="H580" s="553"/>
      <c r="I580" s="553"/>
      <c r="J580" s="553"/>
      <c r="K580" s="553"/>
      <c r="L580" s="553"/>
      <c r="M580" s="553"/>
      <c r="N580" s="553"/>
    </row>
    <row r="581" spans="3:14" ht="14.25" customHeight="1">
      <c r="C581" s="553"/>
      <c r="D581" s="553"/>
      <c r="E581" s="553"/>
      <c r="F581" s="553"/>
      <c r="G581" s="553"/>
      <c r="H581" s="553"/>
      <c r="I581" s="553"/>
      <c r="J581" s="553"/>
      <c r="K581" s="553"/>
      <c r="L581" s="553"/>
      <c r="M581" s="553"/>
      <c r="N581" s="553"/>
    </row>
    <row r="582" spans="3:14" ht="14.25" customHeight="1">
      <c r="C582" s="553"/>
      <c r="D582" s="553"/>
      <c r="E582" s="553"/>
      <c r="F582" s="553"/>
      <c r="G582" s="553"/>
      <c r="H582" s="553"/>
      <c r="I582" s="553"/>
      <c r="J582" s="553"/>
      <c r="K582" s="553"/>
      <c r="L582" s="553"/>
      <c r="M582" s="553"/>
      <c r="N582" s="553"/>
    </row>
    <row r="583" spans="3:14" ht="14.25" customHeight="1">
      <c r="C583" s="553"/>
      <c r="D583" s="553"/>
      <c r="E583" s="553"/>
      <c r="F583" s="553"/>
      <c r="G583" s="553"/>
      <c r="H583" s="553"/>
      <c r="I583" s="553"/>
      <c r="J583" s="553"/>
      <c r="K583" s="553"/>
      <c r="L583" s="553"/>
      <c r="M583" s="553"/>
      <c r="N583" s="553"/>
    </row>
    <row r="584" spans="3:14" ht="14.25" customHeight="1">
      <c r="C584" s="553"/>
      <c r="D584" s="553"/>
      <c r="E584" s="553"/>
      <c r="F584" s="553"/>
      <c r="G584" s="553"/>
      <c r="H584" s="553"/>
      <c r="I584" s="553"/>
      <c r="J584" s="553"/>
      <c r="K584" s="553"/>
      <c r="L584" s="553"/>
      <c r="M584" s="553"/>
      <c r="N584" s="553"/>
    </row>
    <row r="585" spans="3:14" ht="14.25" customHeight="1">
      <c r="C585" s="553"/>
      <c r="D585" s="553"/>
      <c r="E585" s="553"/>
      <c r="F585" s="553"/>
      <c r="G585" s="553"/>
      <c r="H585" s="553"/>
      <c r="I585" s="553"/>
      <c r="J585" s="553"/>
      <c r="K585" s="553"/>
      <c r="L585" s="553"/>
      <c r="M585" s="553"/>
      <c r="N585" s="553"/>
    </row>
    <row r="586" spans="3:14" ht="14.25" customHeight="1">
      <c r="C586" s="553"/>
      <c r="D586" s="553"/>
      <c r="E586" s="553"/>
      <c r="F586" s="553"/>
      <c r="G586" s="553"/>
      <c r="H586" s="553"/>
      <c r="I586" s="553"/>
      <c r="J586" s="553"/>
      <c r="K586" s="553"/>
      <c r="L586" s="553"/>
      <c r="M586" s="553"/>
      <c r="N586" s="553"/>
    </row>
    <row r="587" spans="3:14" ht="14.25" customHeight="1">
      <c r="C587" s="553"/>
      <c r="D587" s="553"/>
      <c r="E587" s="553"/>
      <c r="F587" s="553"/>
      <c r="G587" s="553"/>
      <c r="H587" s="553"/>
      <c r="I587" s="553"/>
      <c r="J587" s="553"/>
      <c r="K587" s="553"/>
      <c r="L587" s="553"/>
      <c r="M587" s="553"/>
      <c r="N587" s="553"/>
    </row>
    <row r="588" spans="3:14" ht="14.25" customHeight="1">
      <c r="C588" s="553"/>
      <c r="D588" s="553"/>
      <c r="E588" s="553"/>
      <c r="F588" s="553"/>
      <c r="G588" s="553"/>
      <c r="H588" s="553"/>
      <c r="I588" s="553"/>
      <c r="J588" s="553"/>
      <c r="K588" s="553"/>
      <c r="L588" s="553"/>
      <c r="M588" s="553"/>
      <c r="N588" s="553"/>
    </row>
    <row r="589" spans="3:14" ht="14.25" customHeight="1">
      <c r="C589" s="553"/>
      <c r="D589" s="553"/>
      <c r="E589" s="553"/>
      <c r="F589" s="553"/>
      <c r="G589" s="553"/>
      <c r="H589" s="553"/>
      <c r="I589" s="553"/>
      <c r="J589" s="553"/>
      <c r="K589" s="553"/>
      <c r="L589" s="553"/>
      <c r="M589" s="553"/>
      <c r="N589" s="553"/>
    </row>
    <row r="590" spans="3:14" ht="14.25" customHeight="1">
      <c r="C590" s="553"/>
      <c r="D590" s="553"/>
      <c r="E590" s="553"/>
      <c r="F590" s="553"/>
      <c r="G590" s="553"/>
      <c r="H590" s="553"/>
      <c r="I590" s="553"/>
      <c r="J590" s="553"/>
      <c r="K590" s="553"/>
      <c r="L590" s="553"/>
      <c r="M590" s="553"/>
      <c r="N590" s="553"/>
    </row>
    <row r="591" spans="3:14" ht="14.25" customHeight="1">
      <c r="C591" s="553"/>
      <c r="D591" s="553"/>
      <c r="E591" s="553"/>
      <c r="F591" s="553"/>
      <c r="G591" s="553"/>
      <c r="H591" s="553"/>
      <c r="I591" s="553"/>
      <c r="J591" s="553"/>
      <c r="K591" s="553"/>
      <c r="L591" s="553"/>
      <c r="M591" s="553"/>
      <c r="N591" s="553"/>
    </row>
    <row r="592" spans="3:14" ht="14.25" customHeight="1">
      <c r="C592" s="553"/>
      <c r="D592" s="553"/>
      <c r="E592" s="553"/>
      <c r="F592" s="553"/>
      <c r="G592" s="553"/>
      <c r="H592" s="553"/>
      <c r="I592" s="553"/>
      <c r="J592" s="553"/>
      <c r="K592" s="553"/>
      <c r="L592" s="553"/>
      <c r="M592" s="553"/>
      <c r="N592" s="553"/>
    </row>
    <row r="593" spans="3:14" ht="14.25" customHeight="1">
      <c r="C593" s="553"/>
      <c r="D593" s="553"/>
      <c r="E593" s="553"/>
      <c r="F593" s="553"/>
      <c r="G593" s="553"/>
      <c r="H593" s="553"/>
      <c r="I593" s="553"/>
      <c r="J593" s="553"/>
      <c r="K593" s="553"/>
      <c r="L593" s="553"/>
      <c r="M593" s="553"/>
      <c r="N593" s="553"/>
    </row>
    <row r="594" spans="3:14" ht="14.25" customHeight="1">
      <c r="C594" s="553"/>
      <c r="D594" s="553"/>
      <c r="E594" s="553"/>
      <c r="F594" s="553"/>
      <c r="G594" s="553"/>
      <c r="H594" s="553"/>
      <c r="I594" s="553"/>
      <c r="J594" s="553"/>
      <c r="K594" s="553"/>
      <c r="L594" s="553"/>
      <c r="M594" s="553"/>
      <c r="N594" s="553"/>
    </row>
    <row r="595" spans="3:14" ht="14.25" customHeight="1">
      <c r="C595" s="553"/>
      <c r="D595" s="553"/>
      <c r="E595" s="553"/>
      <c r="F595" s="553"/>
      <c r="G595" s="553"/>
      <c r="H595" s="553"/>
      <c r="I595" s="553"/>
      <c r="J595" s="553"/>
      <c r="K595" s="553"/>
      <c r="L595" s="553"/>
      <c r="M595" s="553"/>
      <c r="N595" s="553"/>
    </row>
    <row r="596" spans="3:14" ht="14.25" customHeight="1">
      <c r="C596" s="553"/>
      <c r="D596" s="553"/>
      <c r="E596" s="553"/>
      <c r="F596" s="553"/>
      <c r="G596" s="553"/>
      <c r="H596" s="553"/>
      <c r="I596" s="553"/>
      <c r="J596" s="553"/>
      <c r="K596" s="553"/>
      <c r="L596" s="553"/>
      <c r="M596" s="553"/>
      <c r="N596" s="553"/>
    </row>
    <row r="597" spans="3:14" ht="14.25" customHeight="1">
      <c r="C597" s="553"/>
      <c r="D597" s="553"/>
      <c r="E597" s="553"/>
      <c r="F597" s="553"/>
      <c r="G597" s="553"/>
      <c r="H597" s="553"/>
      <c r="I597" s="553"/>
      <c r="J597" s="553"/>
      <c r="K597" s="553"/>
      <c r="L597" s="553"/>
      <c r="M597" s="553"/>
      <c r="N597" s="553"/>
    </row>
    <row r="598" spans="3:14" ht="14.25" customHeight="1">
      <c r="C598" s="553"/>
      <c r="D598" s="553"/>
      <c r="E598" s="553"/>
      <c r="F598" s="553"/>
      <c r="G598" s="553"/>
      <c r="H598" s="553"/>
      <c r="I598" s="553"/>
      <c r="J598" s="553"/>
      <c r="K598" s="553"/>
      <c r="L598" s="553"/>
      <c r="M598" s="553"/>
      <c r="N598" s="553"/>
    </row>
    <row r="599" spans="3:14" ht="14.25" customHeight="1">
      <c r="C599" s="553"/>
      <c r="D599" s="553"/>
      <c r="E599" s="553"/>
      <c r="F599" s="553"/>
      <c r="G599" s="553"/>
      <c r="H599" s="553"/>
      <c r="I599" s="553"/>
      <c r="J599" s="553"/>
      <c r="K599" s="553"/>
      <c r="L599" s="553"/>
      <c r="M599" s="553"/>
      <c r="N599" s="553"/>
    </row>
    <row r="600" spans="3:14" ht="14.25" customHeight="1">
      <c r="C600" s="553"/>
      <c r="D600" s="553"/>
      <c r="E600" s="553"/>
      <c r="F600" s="553"/>
      <c r="G600" s="553"/>
      <c r="H600" s="553"/>
      <c r="I600" s="553"/>
      <c r="J600" s="553"/>
      <c r="K600" s="553"/>
      <c r="L600" s="553"/>
      <c r="M600" s="553"/>
      <c r="N600" s="553"/>
    </row>
    <row r="601" spans="3:14" ht="14.25" customHeight="1">
      <c r="C601" s="553"/>
      <c r="D601" s="553"/>
      <c r="E601" s="553"/>
      <c r="F601" s="553"/>
      <c r="G601" s="553"/>
      <c r="H601" s="553"/>
      <c r="I601" s="553"/>
      <c r="J601" s="553"/>
      <c r="K601" s="553"/>
      <c r="L601" s="553"/>
      <c r="M601" s="553"/>
      <c r="N601" s="553"/>
    </row>
    <row r="602" spans="3:14" ht="14.25" customHeight="1">
      <c r="C602" s="553"/>
      <c r="D602" s="553"/>
      <c r="E602" s="553"/>
      <c r="F602" s="553"/>
      <c r="G602" s="553"/>
      <c r="H602" s="553"/>
      <c r="I602" s="553"/>
      <c r="J602" s="553"/>
      <c r="K602" s="553"/>
      <c r="L602" s="553"/>
      <c r="M602" s="553"/>
      <c r="N602" s="553"/>
    </row>
    <row r="603" spans="3:14" ht="14.25" customHeight="1">
      <c r="C603" s="553"/>
      <c r="D603" s="553"/>
      <c r="E603" s="553"/>
      <c r="F603" s="553"/>
      <c r="G603" s="553"/>
      <c r="H603" s="553"/>
      <c r="I603" s="553"/>
      <c r="J603" s="553"/>
      <c r="K603" s="553"/>
      <c r="L603" s="553"/>
      <c r="M603" s="553"/>
      <c r="N603" s="553"/>
    </row>
    <row r="604" spans="3:14" ht="14.25" customHeight="1">
      <c r="C604" s="553"/>
      <c r="D604" s="553"/>
      <c r="E604" s="553"/>
      <c r="F604" s="553"/>
      <c r="G604" s="553"/>
      <c r="H604" s="553"/>
      <c r="I604" s="553"/>
      <c r="J604" s="553"/>
      <c r="K604" s="553"/>
      <c r="L604" s="553"/>
      <c r="M604" s="553"/>
      <c r="N604" s="553"/>
    </row>
    <row r="605" spans="3:14" ht="14.25" customHeight="1">
      <c r="C605" s="553"/>
      <c r="D605" s="553"/>
      <c r="E605" s="553"/>
      <c r="F605" s="553"/>
      <c r="G605" s="553"/>
      <c r="H605" s="553"/>
      <c r="I605" s="553"/>
      <c r="J605" s="553"/>
      <c r="K605" s="553"/>
      <c r="L605" s="553"/>
      <c r="M605" s="553"/>
      <c r="N605" s="553"/>
    </row>
    <row r="606" spans="3:14" ht="14.25" customHeight="1">
      <c r="C606" s="553"/>
      <c r="D606" s="553"/>
      <c r="E606" s="553"/>
      <c r="F606" s="553"/>
      <c r="G606" s="553"/>
      <c r="H606" s="553"/>
      <c r="I606" s="553"/>
      <c r="J606" s="553"/>
      <c r="K606" s="553"/>
      <c r="L606" s="553"/>
      <c r="M606" s="553"/>
      <c r="N606" s="553"/>
    </row>
    <row r="607" spans="3:14" ht="14.25" customHeight="1">
      <c r="C607" s="553"/>
      <c r="D607" s="553"/>
      <c r="E607" s="553"/>
      <c r="F607" s="553"/>
      <c r="G607" s="553"/>
      <c r="H607" s="553"/>
      <c r="I607" s="553"/>
      <c r="J607" s="553"/>
      <c r="K607" s="553"/>
      <c r="L607" s="553"/>
      <c r="M607" s="553"/>
      <c r="N607" s="553"/>
    </row>
    <row r="608" spans="3:14" ht="14.25" customHeight="1">
      <c r="C608" s="553"/>
      <c r="D608" s="553"/>
      <c r="E608" s="553"/>
      <c r="F608" s="553"/>
      <c r="G608" s="553"/>
      <c r="H608" s="553"/>
      <c r="I608" s="553"/>
      <c r="J608" s="553"/>
      <c r="K608" s="553"/>
      <c r="L608" s="553"/>
      <c r="M608" s="553"/>
      <c r="N608" s="553"/>
    </row>
    <row r="609" spans="3:14" ht="14.25" customHeight="1">
      <c r="C609" s="553"/>
      <c r="D609" s="553"/>
      <c r="E609" s="553"/>
      <c r="F609" s="553"/>
      <c r="G609" s="553"/>
      <c r="H609" s="553"/>
      <c r="I609" s="553"/>
      <c r="J609" s="553"/>
      <c r="K609" s="553"/>
      <c r="L609" s="553"/>
      <c r="M609" s="553"/>
      <c r="N609" s="553"/>
    </row>
    <row r="610" spans="3:14" ht="14.25" customHeight="1">
      <c r="C610" s="553"/>
      <c r="D610" s="553"/>
      <c r="E610" s="553"/>
      <c r="F610" s="553"/>
      <c r="G610" s="553"/>
      <c r="H610" s="553"/>
      <c r="I610" s="553"/>
      <c r="J610" s="553"/>
      <c r="K610" s="553"/>
      <c r="L610" s="553"/>
      <c r="M610" s="553"/>
      <c r="N610" s="553"/>
    </row>
    <row r="611" spans="3:14" ht="14.25" customHeight="1">
      <c r="C611" s="553"/>
      <c r="D611" s="553"/>
      <c r="E611" s="553"/>
      <c r="F611" s="553"/>
      <c r="G611" s="553"/>
      <c r="H611" s="553"/>
      <c r="I611" s="553"/>
      <c r="J611" s="553"/>
      <c r="K611" s="553"/>
      <c r="L611" s="553"/>
      <c r="M611" s="553"/>
      <c r="N611" s="553"/>
    </row>
    <row r="612" spans="3:14" ht="14.25" customHeight="1">
      <c r="C612" s="553"/>
      <c r="D612" s="553"/>
      <c r="E612" s="553"/>
      <c r="F612" s="553"/>
      <c r="G612" s="553"/>
      <c r="H612" s="553"/>
      <c r="I612" s="553"/>
      <c r="J612" s="553"/>
      <c r="K612" s="553"/>
      <c r="L612" s="553"/>
      <c r="M612" s="553"/>
      <c r="N612" s="553"/>
    </row>
    <row r="613" spans="3:14" ht="14.25" customHeight="1">
      <c r="C613" s="553"/>
      <c r="D613" s="553"/>
      <c r="E613" s="553"/>
      <c r="F613" s="553"/>
      <c r="G613" s="553"/>
      <c r="H613" s="553"/>
      <c r="I613" s="553"/>
      <c r="J613" s="553"/>
      <c r="K613" s="553"/>
      <c r="L613" s="553"/>
      <c r="M613" s="553"/>
      <c r="N613" s="553"/>
    </row>
    <row r="614" spans="3:14" ht="14.25" customHeight="1">
      <c r="C614" s="553"/>
      <c r="D614" s="553"/>
      <c r="E614" s="553"/>
      <c r="F614" s="553"/>
      <c r="G614" s="553"/>
      <c r="H614" s="553"/>
      <c r="I614" s="553"/>
      <c r="J614" s="553"/>
      <c r="K614" s="553"/>
      <c r="L614" s="553"/>
      <c r="M614" s="553"/>
      <c r="N614" s="553"/>
    </row>
    <row r="615" spans="3:14" ht="14.25" customHeight="1">
      <c r="C615" s="553"/>
      <c r="D615" s="553"/>
      <c r="E615" s="553"/>
      <c r="F615" s="553"/>
      <c r="G615" s="553"/>
      <c r="H615" s="553"/>
      <c r="I615" s="553"/>
      <c r="J615" s="553"/>
      <c r="K615" s="553"/>
      <c r="L615" s="553"/>
      <c r="M615" s="553"/>
      <c r="N615" s="553"/>
    </row>
    <row r="616" spans="3:14" ht="14.25" customHeight="1">
      <c r="C616" s="553"/>
      <c r="D616" s="553"/>
      <c r="E616" s="553"/>
      <c r="F616" s="553"/>
      <c r="G616" s="553"/>
      <c r="H616" s="553"/>
      <c r="I616" s="553"/>
      <c r="J616" s="553"/>
      <c r="K616" s="553"/>
      <c r="L616" s="553"/>
      <c r="M616" s="553"/>
      <c r="N616" s="553"/>
    </row>
    <row r="617" spans="3:14" ht="14.25" customHeight="1">
      <c r="C617" s="553"/>
      <c r="D617" s="553"/>
      <c r="E617" s="553"/>
      <c r="F617" s="553"/>
      <c r="G617" s="553"/>
      <c r="H617" s="553"/>
      <c r="I617" s="553"/>
      <c r="J617" s="553"/>
      <c r="K617" s="553"/>
      <c r="L617" s="553"/>
      <c r="M617" s="553"/>
      <c r="N617" s="553"/>
    </row>
    <row r="618" spans="3:14" ht="14.25" customHeight="1">
      <c r="C618" s="553"/>
      <c r="D618" s="553"/>
      <c r="E618" s="553"/>
      <c r="F618" s="553"/>
      <c r="G618" s="553"/>
      <c r="H618" s="553"/>
      <c r="I618" s="553"/>
      <c r="J618" s="553"/>
      <c r="K618" s="553"/>
      <c r="L618" s="553"/>
      <c r="M618" s="553"/>
      <c r="N618" s="553"/>
    </row>
    <row r="619" spans="3:14" ht="14.25" customHeight="1">
      <c r="C619" s="553"/>
      <c r="D619" s="553"/>
      <c r="E619" s="553"/>
      <c r="F619" s="553"/>
      <c r="G619" s="553"/>
      <c r="H619" s="553"/>
      <c r="I619" s="553"/>
      <c r="J619" s="553"/>
      <c r="K619" s="553"/>
      <c r="L619" s="553"/>
      <c r="M619" s="553"/>
      <c r="N619" s="553"/>
    </row>
    <row r="620" spans="3:14" ht="14.25" customHeight="1">
      <c r="C620" s="553"/>
      <c r="D620" s="553"/>
      <c r="E620" s="553"/>
      <c r="F620" s="553"/>
      <c r="G620" s="553"/>
      <c r="H620" s="553"/>
      <c r="I620" s="553"/>
      <c r="J620" s="553"/>
      <c r="K620" s="553"/>
      <c r="L620" s="553"/>
      <c r="M620" s="553"/>
      <c r="N620" s="553"/>
    </row>
    <row r="621" spans="3:14" ht="14.25" customHeight="1">
      <c r="C621" s="553"/>
      <c r="D621" s="553"/>
      <c r="E621" s="553"/>
      <c r="F621" s="553"/>
      <c r="G621" s="553"/>
      <c r="H621" s="553"/>
      <c r="I621" s="553"/>
      <c r="J621" s="553"/>
      <c r="K621" s="553"/>
      <c r="L621" s="553"/>
      <c r="M621" s="553"/>
      <c r="N621" s="553"/>
    </row>
    <row r="622" spans="3:14" ht="14.25" customHeight="1">
      <c r="C622" s="553"/>
      <c r="D622" s="553"/>
      <c r="E622" s="553"/>
      <c r="F622" s="553"/>
      <c r="G622" s="553"/>
      <c r="H622" s="553"/>
      <c r="I622" s="553"/>
      <c r="J622" s="553"/>
      <c r="K622" s="553"/>
      <c r="L622" s="553"/>
      <c r="M622" s="553"/>
      <c r="N622" s="553"/>
    </row>
    <row r="623" spans="3:14" ht="14.25" customHeight="1">
      <c r="C623" s="553"/>
      <c r="D623" s="553"/>
      <c r="E623" s="553"/>
      <c r="F623" s="553"/>
      <c r="G623" s="553"/>
      <c r="H623" s="553"/>
      <c r="I623" s="553"/>
      <c r="J623" s="553"/>
      <c r="K623" s="553"/>
      <c r="L623" s="553"/>
      <c r="M623" s="553"/>
      <c r="N623" s="553"/>
    </row>
    <row r="624" spans="3:14" ht="14.25" customHeight="1">
      <c r="C624" s="553"/>
      <c r="D624" s="553"/>
      <c r="E624" s="553"/>
      <c r="F624" s="553"/>
      <c r="G624" s="553"/>
      <c r="H624" s="553"/>
      <c r="I624" s="553"/>
      <c r="J624" s="553"/>
      <c r="K624" s="553"/>
      <c r="L624" s="553"/>
      <c r="M624" s="553"/>
      <c r="N624" s="553"/>
    </row>
    <row r="625" spans="3:14" ht="14.25" customHeight="1">
      <c r="C625" s="553"/>
      <c r="D625" s="553"/>
      <c r="E625" s="553"/>
      <c r="F625" s="553"/>
      <c r="G625" s="553"/>
      <c r="H625" s="553"/>
      <c r="I625" s="553"/>
      <c r="J625" s="553"/>
      <c r="K625" s="553"/>
      <c r="L625" s="553"/>
      <c r="M625" s="553"/>
      <c r="N625" s="553"/>
    </row>
    <row r="626" spans="3:14" ht="14.25" customHeight="1">
      <c r="C626" s="553"/>
      <c r="D626" s="553"/>
      <c r="E626" s="553"/>
      <c r="F626" s="553"/>
      <c r="G626" s="553"/>
      <c r="H626" s="553"/>
      <c r="I626" s="553"/>
      <c r="J626" s="553"/>
      <c r="K626" s="553"/>
      <c r="L626" s="553"/>
      <c r="M626" s="553"/>
      <c r="N626" s="553"/>
    </row>
    <row r="627" spans="3:14" ht="14.25" customHeight="1">
      <c r="C627" s="553"/>
      <c r="D627" s="553"/>
      <c r="E627" s="553"/>
      <c r="F627" s="553"/>
      <c r="G627" s="553"/>
      <c r="H627" s="553"/>
      <c r="I627" s="553"/>
      <c r="J627" s="553"/>
      <c r="K627" s="553"/>
      <c r="L627" s="553"/>
      <c r="M627" s="553"/>
      <c r="N627" s="553"/>
    </row>
    <row r="628" spans="3:14" ht="14.25" customHeight="1">
      <c r="C628" s="553"/>
      <c r="D628" s="553"/>
      <c r="E628" s="553"/>
      <c r="F628" s="553"/>
      <c r="G628" s="553"/>
      <c r="H628" s="553"/>
      <c r="I628" s="553"/>
      <c r="J628" s="553"/>
      <c r="K628" s="553"/>
      <c r="L628" s="553"/>
      <c r="M628" s="553"/>
      <c r="N628" s="553"/>
    </row>
    <row r="629" spans="3:14" ht="14.25" customHeight="1">
      <c r="C629" s="553"/>
      <c r="D629" s="553"/>
      <c r="E629" s="553"/>
      <c r="F629" s="553"/>
      <c r="G629" s="553"/>
      <c r="H629" s="553"/>
      <c r="I629" s="553"/>
      <c r="J629" s="553"/>
      <c r="K629" s="553"/>
      <c r="L629" s="553"/>
      <c r="M629" s="553"/>
      <c r="N629" s="553"/>
    </row>
    <row r="630" spans="3:14" ht="14.25" customHeight="1">
      <c r="C630" s="553"/>
      <c r="D630" s="553"/>
      <c r="E630" s="553"/>
      <c r="F630" s="553"/>
      <c r="G630" s="553"/>
      <c r="H630" s="553"/>
      <c r="I630" s="553"/>
      <c r="J630" s="553"/>
      <c r="K630" s="553"/>
      <c r="L630" s="553"/>
      <c r="M630" s="553"/>
      <c r="N630" s="553"/>
    </row>
    <row r="631" spans="3:14" ht="14.25" customHeight="1">
      <c r="C631" s="553"/>
      <c r="D631" s="553"/>
      <c r="E631" s="553"/>
      <c r="F631" s="553"/>
      <c r="G631" s="553"/>
      <c r="H631" s="553"/>
      <c r="I631" s="553"/>
      <c r="J631" s="553"/>
      <c r="K631" s="553"/>
      <c r="L631" s="553"/>
      <c r="M631" s="553"/>
      <c r="N631" s="553"/>
    </row>
    <row r="632" spans="3:14" ht="14.25" customHeight="1">
      <c r="C632" s="553"/>
      <c r="D632" s="553"/>
      <c r="E632" s="553"/>
      <c r="F632" s="553"/>
      <c r="G632" s="553"/>
      <c r="H632" s="553"/>
      <c r="I632" s="553"/>
      <c r="J632" s="553"/>
      <c r="K632" s="553"/>
      <c r="L632" s="553"/>
      <c r="M632" s="553"/>
      <c r="N632" s="553"/>
    </row>
    <row r="633" spans="3:14" ht="14.25" customHeight="1">
      <c r="C633" s="553"/>
      <c r="D633" s="553"/>
      <c r="E633" s="553"/>
      <c r="F633" s="553"/>
      <c r="G633" s="553"/>
      <c r="H633" s="553"/>
      <c r="I633" s="553"/>
      <c r="J633" s="553"/>
      <c r="K633" s="553"/>
      <c r="L633" s="553"/>
      <c r="M633" s="553"/>
      <c r="N633" s="553"/>
    </row>
    <row r="634" spans="3:14" ht="14.25" customHeight="1">
      <c r="C634" s="553"/>
      <c r="D634" s="553"/>
      <c r="E634" s="553"/>
      <c r="F634" s="553"/>
      <c r="G634" s="553"/>
      <c r="H634" s="553"/>
      <c r="I634" s="553"/>
      <c r="J634" s="553"/>
      <c r="K634" s="553"/>
      <c r="L634" s="553"/>
      <c r="M634" s="553"/>
      <c r="N634" s="553"/>
    </row>
    <row r="635" spans="3:14" ht="14.25" customHeight="1">
      <c r="C635" s="553"/>
      <c r="D635" s="553"/>
      <c r="E635" s="553"/>
      <c r="F635" s="553"/>
      <c r="G635" s="553"/>
      <c r="H635" s="553"/>
      <c r="I635" s="553"/>
      <c r="J635" s="553"/>
      <c r="K635" s="553"/>
      <c r="L635" s="553"/>
      <c r="M635" s="553"/>
      <c r="N635" s="553"/>
    </row>
    <row r="636" spans="3:14" ht="14.25" customHeight="1">
      <c r="C636" s="553"/>
      <c r="D636" s="553"/>
      <c r="E636" s="553"/>
      <c r="F636" s="553"/>
      <c r="G636" s="553"/>
      <c r="H636" s="553"/>
      <c r="I636" s="553"/>
      <c r="J636" s="553"/>
      <c r="K636" s="553"/>
      <c r="L636" s="553"/>
      <c r="M636" s="553"/>
      <c r="N636" s="553"/>
    </row>
    <row r="637" spans="3:14" ht="14.25" customHeight="1">
      <c r="C637" s="553"/>
      <c r="D637" s="553"/>
      <c r="E637" s="553"/>
      <c r="F637" s="553"/>
      <c r="G637" s="553"/>
      <c r="H637" s="553"/>
      <c r="I637" s="553"/>
      <c r="J637" s="553"/>
      <c r="K637" s="553"/>
      <c r="L637" s="553"/>
      <c r="M637" s="553"/>
      <c r="N637" s="553"/>
    </row>
    <row r="638" spans="3:14" ht="14.25" customHeight="1">
      <c r="C638" s="553"/>
      <c r="D638" s="553"/>
      <c r="E638" s="553"/>
      <c r="F638" s="553"/>
      <c r="G638" s="553"/>
      <c r="H638" s="553"/>
      <c r="I638" s="553"/>
      <c r="J638" s="553"/>
      <c r="K638" s="553"/>
      <c r="L638" s="553"/>
      <c r="M638" s="553"/>
      <c r="N638" s="553"/>
    </row>
    <row r="639" spans="3:14" ht="14.25" customHeight="1">
      <c r="C639" s="553"/>
      <c r="D639" s="553"/>
      <c r="E639" s="553"/>
      <c r="F639" s="553"/>
      <c r="G639" s="553"/>
      <c r="H639" s="553"/>
      <c r="I639" s="553"/>
      <c r="J639" s="553"/>
      <c r="K639" s="553"/>
      <c r="L639" s="553"/>
      <c r="M639" s="553"/>
      <c r="N639" s="553"/>
    </row>
    <row r="640" spans="3:14" ht="14.25" customHeight="1">
      <c r="C640" s="553"/>
      <c r="D640" s="553"/>
      <c r="E640" s="553"/>
      <c r="F640" s="553"/>
      <c r="G640" s="553"/>
      <c r="H640" s="553"/>
      <c r="I640" s="553"/>
      <c r="J640" s="553"/>
      <c r="K640" s="553"/>
      <c r="L640" s="553"/>
      <c r="M640" s="553"/>
      <c r="N640" s="553"/>
    </row>
    <row r="641" spans="3:14" ht="14.25" customHeight="1">
      <c r="C641" s="553"/>
      <c r="D641" s="553"/>
      <c r="E641" s="553"/>
      <c r="F641" s="553"/>
      <c r="G641" s="553"/>
      <c r="H641" s="553"/>
      <c r="I641" s="553"/>
      <c r="J641" s="553"/>
      <c r="K641" s="553"/>
      <c r="L641" s="553"/>
      <c r="M641" s="553"/>
      <c r="N641" s="553"/>
    </row>
    <row r="642" spans="3:14" ht="14.25" customHeight="1">
      <c r="C642" s="553"/>
      <c r="D642" s="553"/>
      <c r="E642" s="553"/>
      <c r="F642" s="553"/>
      <c r="G642" s="553"/>
      <c r="H642" s="553"/>
      <c r="I642" s="553"/>
      <c r="J642" s="553"/>
      <c r="K642" s="553"/>
      <c r="L642" s="553"/>
      <c r="M642" s="553"/>
      <c r="N642" s="553"/>
    </row>
    <row r="643" spans="3:14" ht="14.25" customHeight="1">
      <c r="C643" s="553"/>
      <c r="D643" s="553"/>
      <c r="E643" s="553"/>
      <c r="F643" s="553"/>
      <c r="G643" s="553"/>
      <c r="H643" s="553"/>
      <c r="I643" s="553"/>
      <c r="J643" s="553"/>
      <c r="K643" s="553"/>
      <c r="L643" s="553"/>
      <c r="M643" s="553"/>
      <c r="N643" s="553"/>
    </row>
    <row r="644" spans="3:14" ht="14.25" customHeight="1">
      <c r="C644" s="553"/>
      <c r="D644" s="553"/>
      <c r="E644" s="553"/>
      <c r="F644" s="553"/>
      <c r="G644" s="553"/>
      <c r="H644" s="553"/>
      <c r="I644" s="553"/>
      <c r="J644" s="553"/>
      <c r="K644" s="553"/>
      <c r="L644" s="553"/>
      <c r="M644" s="553"/>
      <c r="N644" s="553"/>
    </row>
    <row r="645" spans="3:14" ht="14.25" customHeight="1">
      <c r="C645" s="553"/>
      <c r="D645" s="553"/>
      <c r="E645" s="553"/>
      <c r="F645" s="553"/>
      <c r="G645" s="553"/>
      <c r="H645" s="553"/>
      <c r="I645" s="553"/>
      <c r="J645" s="553"/>
      <c r="K645" s="553"/>
      <c r="L645" s="553"/>
      <c r="M645" s="553"/>
      <c r="N645" s="553"/>
    </row>
    <row r="646" spans="3:14" ht="14.25" customHeight="1">
      <c r="C646" s="553"/>
      <c r="D646" s="553"/>
      <c r="E646" s="553"/>
      <c r="F646" s="553"/>
      <c r="G646" s="553"/>
      <c r="H646" s="553"/>
      <c r="I646" s="553"/>
      <c r="J646" s="553"/>
      <c r="K646" s="553"/>
      <c r="L646" s="553"/>
      <c r="M646" s="553"/>
      <c r="N646" s="553"/>
    </row>
    <row r="647" spans="3:14" ht="14.25" customHeight="1">
      <c r="C647" s="553"/>
      <c r="D647" s="553"/>
      <c r="E647" s="553"/>
      <c r="F647" s="553"/>
      <c r="G647" s="553"/>
      <c r="H647" s="553"/>
      <c r="I647" s="553"/>
      <c r="J647" s="553"/>
      <c r="K647" s="553"/>
      <c r="L647" s="553"/>
      <c r="M647" s="553"/>
      <c r="N647" s="553"/>
    </row>
    <row r="648" spans="3:14" ht="14.25" customHeight="1">
      <c r="C648" s="553"/>
      <c r="D648" s="553"/>
      <c r="E648" s="553"/>
      <c r="F648" s="553"/>
      <c r="G648" s="553"/>
      <c r="H648" s="553"/>
      <c r="I648" s="553"/>
      <c r="J648" s="553"/>
      <c r="K648" s="553"/>
      <c r="L648" s="553"/>
      <c r="M648" s="553"/>
      <c r="N648" s="553"/>
    </row>
    <row r="649" spans="3:14" ht="14.25" customHeight="1">
      <c r="C649" s="553"/>
      <c r="D649" s="553"/>
      <c r="E649" s="553"/>
      <c r="F649" s="553"/>
      <c r="G649" s="553"/>
      <c r="H649" s="553"/>
      <c r="I649" s="553"/>
      <c r="J649" s="553"/>
      <c r="K649" s="553"/>
      <c r="L649" s="553"/>
      <c r="M649" s="553"/>
      <c r="N649" s="553"/>
    </row>
    <row r="650" spans="3:14" ht="14.25" customHeight="1">
      <c r="C650" s="553"/>
      <c r="D650" s="553"/>
      <c r="E650" s="553"/>
      <c r="F650" s="553"/>
      <c r="G650" s="553"/>
      <c r="H650" s="553"/>
      <c r="I650" s="553"/>
      <c r="J650" s="553"/>
      <c r="K650" s="553"/>
      <c r="L650" s="553"/>
      <c r="M650" s="553"/>
      <c r="N650" s="553"/>
    </row>
    <row r="651" spans="3:14" ht="14.25" customHeight="1">
      <c r="C651" s="553"/>
      <c r="D651" s="553"/>
      <c r="E651" s="553"/>
      <c r="F651" s="553"/>
      <c r="G651" s="553"/>
      <c r="H651" s="553"/>
      <c r="I651" s="553"/>
      <c r="J651" s="553"/>
      <c r="K651" s="553"/>
      <c r="L651" s="553"/>
      <c r="M651" s="553"/>
      <c r="N651" s="553"/>
    </row>
    <row r="652" spans="3:14" ht="14.25" customHeight="1">
      <c r="C652" s="553"/>
      <c r="D652" s="553"/>
      <c r="E652" s="553"/>
      <c r="F652" s="553"/>
      <c r="G652" s="553"/>
      <c r="H652" s="553"/>
      <c r="I652" s="553"/>
      <c r="J652" s="553"/>
      <c r="K652" s="553"/>
      <c r="L652" s="553"/>
      <c r="M652" s="553"/>
      <c r="N652" s="553"/>
    </row>
    <row r="653" spans="3:14" ht="14.25" customHeight="1">
      <c r="C653" s="553"/>
      <c r="D653" s="553"/>
      <c r="E653" s="553"/>
      <c r="F653" s="553"/>
      <c r="G653" s="553"/>
      <c r="H653" s="553"/>
      <c r="I653" s="553"/>
      <c r="J653" s="553"/>
      <c r="K653" s="553"/>
      <c r="L653" s="553"/>
      <c r="M653" s="553"/>
      <c r="N653" s="553"/>
    </row>
    <row r="654" spans="3:14" ht="14.25" customHeight="1">
      <c r="C654" s="553"/>
      <c r="D654" s="553"/>
      <c r="E654" s="553"/>
      <c r="F654" s="553"/>
      <c r="G654" s="553"/>
      <c r="H654" s="553"/>
      <c r="I654" s="553"/>
      <c r="J654" s="553"/>
      <c r="K654" s="553"/>
      <c r="L654" s="553"/>
      <c r="M654" s="553"/>
      <c r="N654" s="553"/>
    </row>
    <row r="655" spans="3:14" ht="14.25" customHeight="1">
      <c r="C655" s="553"/>
      <c r="D655" s="553"/>
      <c r="E655" s="553"/>
      <c r="F655" s="553"/>
      <c r="G655" s="553"/>
      <c r="H655" s="553"/>
      <c r="I655" s="553"/>
      <c r="J655" s="553"/>
      <c r="K655" s="553"/>
      <c r="L655" s="553"/>
      <c r="M655" s="553"/>
      <c r="N655" s="553"/>
    </row>
    <row r="656" spans="3:14" ht="14.25" customHeight="1">
      <c r="C656" s="553"/>
      <c r="D656" s="553"/>
      <c r="E656" s="553"/>
      <c r="F656" s="553"/>
      <c r="G656" s="553"/>
      <c r="H656" s="553"/>
      <c r="I656" s="553"/>
      <c r="J656" s="553"/>
      <c r="K656" s="553"/>
      <c r="L656" s="553"/>
      <c r="M656" s="553"/>
      <c r="N656" s="553"/>
    </row>
    <row r="657" spans="3:14" ht="14.25" customHeight="1">
      <c r="C657" s="553"/>
      <c r="D657" s="553"/>
      <c r="E657" s="553"/>
      <c r="F657" s="553"/>
      <c r="G657" s="553"/>
      <c r="H657" s="553"/>
      <c r="I657" s="553"/>
      <c r="J657" s="553"/>
      <c r="K657" s="553"/>
      <c r="L657" s="553"/>
      <c r="M657" s="553"/>
      <c r="N657" s="553"/>
    </row>
    <row r="658" spans="3:14" ht="14.25" customHeight="1">
      <c r="C658" s="553"/>
      <c r="D658" s="553"/>
      <c r="E658" s="553"/>
      <c r="F658" s="553"/>
      <c r="G658" s="553"/>
      <c r="H658" s="553"/>
      <c r="I658" s="553"/>
      <c r="J658" s="553"/>
      <c r="K658" s="553"/>
      <c r="L658" s="553"/>
      <c r="M658" s="553"/>
      <c r="N658" s="553"/>
    </row>
    <row r="659" spans="3:14" ht="14.25" customHeight="1">
      <c r="C659" s="553"/>
      <c r="D659" s="553"/>
      <c r="E659" s="553"/>
      <c r="F659" s="553"/>
      <c r="G659" s="553"/>
      <c r="H659" s="553"/>
      <c r="I659" s="553"/>
      <c r="J659" s="553"/>
      <c r="K659" s="553"/>
      <c r="L659" s="553"/>
      <c r="M659" s="553"/>
      <c r="N659" s="553"/>
    </row>
    <row r="660" spans="3:14" ht="14.25" customHeight="1">
      <c r="C660" s="553"/>
      <c r="D660" s="553"/>
      <c r="E660" s="553"/>
      <c r="F660" s="553"/>
      <c r="G660" s="553"/>
      <c r="H660" s="553"/>
      <c r="I660" s="553"/>
      <c r="J660" s="553"/>
      <c r="K660" s="553"/>
      <c r="L660" s="553"/>
      <c r="M660" s="553"/>
      <c r="N660" s="553"/>
    </row>
    <row r="661" spans="3:14" ht="14.25" customHeight="1">
      <c r="C661" s="553"/>
      <c r="D661" s="553"/>
      <c r="E661" s="553"/>
      <c r="F661" s="553"/>
      <c r="G661" s="553"/>
      <c r="H661" s="553"/>
      <c r="I661" s="553"/>
      <c r="J661" s="553"/>
      <c r="K661" s="553"/>
      <c r="L661" s="553"/>
      <c r="M661" s="553"/>
      <c r="N661" s="553"/>
    </row>
    <row r="662" spans="3:14" ht="14.25" customHeight="1">
      <c r="C662" s="553"/>
      <c r="D662" s="553"/>
      <c r="E662" s="553"/>
      <c r="F662" s="553"/>
      <c r="G662" s="553"/>
      <c r="H662" s="553"/>
      <c r="I662" s="553"/>
      <c r="J662" s="553"/>
      <c r="K662" s="553"/>
      <c r="L662" s="553"/>
      <c r="M662" s="553"/>
      <c r="N662" s="553"/>
    </row>
    <row r="663" spans="3:14" ht="14.25" customHeight="1">
      <c r="C663" s="553"/>
      <c r="D663" s="553"/>
      <c r="E663" s="553"/>
      <c r="F663" s="553"/>
      <c r="G663" s="553"/>
      <c r="H663" s="553"/>
      <c r="I663" s="553"/>
      <c r="J663" s="553"/>
      <c r="K663" s="553"/>
      <c r="L663" s="553"/>
      <c r="M663" s="553"/>
      <c r="N663" s="553"/>
    </row>
    <row r="664" spans="3:14" ht="14.25" customHeight="1">
      <c r="C664" s="553"/>
      <c r="D664" s="553"/>
      <c r="E664" s="553"/>
      <c r="F664" s="553"/>
      <c r="G664" s="553"/>
      <c r="H664" s="553"/>
      <c r="I664" s="553"/>
      <c r="J664" s="553"/>
      <c r="K664" s="553"/>
      <c r="L664" s="553"/>
      <c r="M664" s="553"/>
      <c r="N664" s="553"/>
    </row>
    <row r="665" spans="3:14" ht="14.25" customHeight="1">
      <c r="C665" s="553"/>
      <c r="D665" s="553"/>
      <c r="E665" s="553"/>
      <c r="F665" s="553"/>
      <c r="G665" s="553"/>
      <c r="H665" s="553"/>
      <c r="I665" s="553"/>
      <c r="J665" s="553"/>
      <c r="K665" s="553"/>
      <c r="L665" s="553"/>
      <c r="M665" s="553"/>
      <c r="N665" s="553"/>
    </row>
    <row r="666" spans="3:14" ht="14.25" customHeight="1">
      <c r="C666" s="553"/>
      <c r="D666" s="553"/>
      <c r="E666" s="553"/>
      <c r="F666" s="553"/>
      <c r="G666" s="553"/>
      <c r="H666" s="553"/>
      <c r="I666" s="553"/>
      <c r="J666" s="553"/>
      <c r="K666" s="553"/>
      <c r="L666" s="553"/>
      <c r="M666" s="553"/>
      <c r="N666" s="553"/>
    </row>
    <row r="667" spans="3:14" ht="14.25" customHeight="1">
      <c r="C667" s="553"/>
      <c r="D667" s="553"/>
      <c r="E667" s="553"/>
      <c r="F667" s="553"/>
      <c r="G667" s="553"/>
      <c r="H667" s="553"/>
      <c r="I667" s="553"/>
      <c r="J667" s="553"/>
      <c r="K667" s="553"/>
      <c r="L667" s="553"/>
      <c r="M667" s="553"/>
      <c r="N667" s="553"/>
    </row>
    <row r="668" spans="3:14" ht="14.25" customHeight="1">
      <c r="C668" s="553"/>
      <c r="D668" s="553"/>
      <c r="E668" s="553"/>
      <c r="F668" s="553"/>
      <c r="G668" s="553"/>
      <c r="H668" s="553"/>
      <c r="I668" s="553"/>
      <c r="J668" s="553"/>
      <c r="K668" s="553"/>
      <c r="L668" s="553"/>
      <c r="M668" s="553"/>
      <c r="N668" s="553"/>
    </row>
    <row r="669" spans="3:14" ht="14.25" customHeight="1">
      <c r="C669" s="553"/>
      <c r="D669" s="553"/>
      <c r="E669" s="553"/>
      <c r="F669" s="553"/>
      <c r="G669" s="553"/>
      <c r="H669" s="553"/>
      <c r="I669" s="553"/>
      <c r="J669" s="553"/>
      <c r="K669" s="553"/>
      <c r="L669" s="553"/>
      <c r="M669" s="553"/>
      <c r="N669" s="553"/>
    </row>
    <row r="670" spans="3:14" ht="14.25" customHeight="1">
      <c r="C670" s="553"/>
      <c r="D670" s="553"/>
      <c r="E670" s="553"/>
      <c r="F670" s="553"/>
      <c r="G670" s="553"/>
      <c r="H670" s="553"/>
      <c r="I670" s="553"/>
      <c r="J670" s="553"/>
      <c r="K670" s="553"/>
      <c r="L670" s="553"/>
      <c r="M670" s="553"/>
      <c r="N670" s="553"/>
    </row>
    <row r="671" spans="3:14" ht="14.25" customHeight="1">
      <c r="C671" s="553"/>
      <c r="D671" s="553"/>
      <c r="E671" s="553"/>
      <c r="F671" s="553"/>
      <c r="G671" s="553"/>
      <c r="H671" s="553"/>
      <c r="I671" s="553"/>
      <c r="J671" s="553"/>
      <c r="K671" s="553"/>
      <c r="L671" s="553"/>
      <c r="M671" s="553"/>
      <c r="N671" s="553"/>
    </row>
    <row r="672" spans="3:14" ht="14.25" customHeight="1">
      <c r="C672" s="553"/>
      <c r="D672" s="553"/>
      <c r="E672" s="553"/>
      <c r="F672" s="553"/>
      <c r="G672" s="553"/>
      <c r="H672" s="553"/>
      <c r="I672" s="553"/>
      <c r="J672" s="553"/>
      <c r="K672" s="553"/>
      <c r="L672" s="553"/>
      <c r="M672" s="553"/>
      <c r="N672" s="553"/>
    </row>
    <row r="673" spans="3:14" ht="14.25" customHeight="1">
      <c r="C673" s="553"/>
      <c r="D673" s="553"/>
      <c r="E673" s="553"/>
      <c r="F673" s="553"/>
      <c r="G673" s="553"/>
      <c r="H673" s="553"/>
      <c r="I673" s="553"/>
      <c r="J673" s="553"/>
      <c r="K673" s="553"/>
      <c r="L673" s="553"/>
      <c r="M673" s="553"/>
      <c r="N673" s="553"/>
    </row>
    <row r="674" spans="3:14" ht="14.25" customHeight="1">
      <c r="C674" s="553"/>
      <c r="D674" s="553"/>
      <c r="E674" s="553"/>
      <c r="F674" s="553"/>
      <c r="G674" s="553"/>
      <c r="H674" s="553"/>
      <c r="I674" s="553"/>
      <c r="J674" s="553"/>
      <c r="K674" s="553"/>
      <c r="L674" s="553"/>
      <c r="M674" s="553"/>
      <c r="N674" s="553"/>
    </row>
    <row r="675" spans="3:14" ht="14.25" customHeight="1">
      <c r="C675" s="553"/>
      <c r="D675" s="553"/>
      <c r="E675" s="553"/>
      <c r="F675" s="553"/>
      <c r="G675" s="553"/>
      <c r="H675" s="553"/>
      <c r="I675" s="553"/>
      <c r="J675" s="553"/>
      <c r="K675" s="553"/>
      <c r="L675" s="553"/>
      <c r="M675" s="553"/>
      <c r="N675" s="553"/>
    </row>
    <row r="676" spans="3:14" ht="14.25" customHeight="1">
      <c r="C676" s="553"/>
      <c r="D676" s="553"/>
      <c r="E676" s="553"/>
      <c r="F676" s="553"/>
      <c r="G676" s="553"/>
      <c r="H676" s="553"/>
      <c r="I676" s="553"/>
      <c r="J676" s="553"/>
      <c r="K676" s="553"/>
      <c r="L676" s="553"/>
      <c r="M676" s="553"/>
      <c r="N676" s="553"/>
    </row>
    <row r="677" spans="3:14" ht="14.25" customHeight="1">
      <c r="C677" s="553"/>
      <c r="D677" s="553"/>
      <c r="E677" s="553"/>
      <c r="F677" s="553"/>
      <c r="G677" s="553"/>
      <c r="H677" s="553"/>
      <c r="I677" s="553"/>
      <c r="J677" s="553"/>
      <c r="K677" s="553"/>
      <c r="L677" s="553"/>
      <c r="M677" s="553"/>
      <c r="N677" s="553"/>
    </row>
    <row r="678" spans="3:14" ht="14.25" customHeight="1">
      <c r="C678" s="553"/>
      <c r="D678" s="553"/>
      <c r="E678" s="553"/>
      <c r="F678" s="553"/>
      <c r="G678" s="553"/>
      <c r="H678" s="553"/>
      <c r="I678" s="553"/>
      <c r="J678" s="553"/>
      <c r="K678" s="553"/>
      <c r="L678" s="553"/>
      <c r="M678" s="553"/>
      <c r="N678" s="553"/>
    </row>
    <row r="679" spans="3:14" ht="14.25" customHeight="1">
      <c r="C679" s="553"/>
      <c r="D679" s="553"/>
      <c r="E679" s="553"/>
      <c r="F679" s="553"/>
      <c r="G679" s="553"/>
      <c r="H679" s="553"/>
      <c r="I679" s="553"/>
      <c r="J679" s="553"/>
      <c r="K679" s="553"/>
      <c r="L679" s="553"/>
      <c r="M679" s="553"/>
      <c r="N679" s="553"/>
    </row>
    <row r="680" spans="3:14" ht="14.25" customHeight="1">
      <c r="C680" s="553"/>
      <c r="D680" s="553"/>
      <c r="E680" s="553"/>
      <c r="F680" s="553"/>
      <c r="G680" s="553"/>
      <c r="H680" s="553"/>
      <c r="I680" s="553"/>
      <c r="J680" s="553"/>
      <c r="K680" s="553"/>
      <c r="L680" s="553"/>
      <c r="M680" s="553"/>
      <c r="N680" s="553"/>
    </row>
    <row r="681" spans="3:14" ht="14.25" customHeight="1">
      <c r="C681" s="553"/>
      <c r="D681" s="553"/>
      <c r="E681" s="553"/>
      <c r="F681" s="553"/>
      <c r="G681" s="553"/>
      <c r="H681" s="553"/>
      <c r="I681" s="553"/>
      <c r="J681" s="553"/>
      <c r="K681" s="553"/>
      <c r="L681" s="553"/>
      <c r="M681" s="553"/>
      <c r="N681" s="553"/>
    </row>
    <row r="682" spans="3:14" ht="14.25" customHeight="1">
      <c r="C682" s="553"/>
      <c r="D682" s="553"/>
      <c r="E682" s="553"/>
      <c r="F682" s="553"/>
      <c r="G682" s="553"/>
      <c r="H682" s="553"/>
      <c r="I682" s="553"/>
      <c r="J682" s="553"/>
      <c r="K682" s="553"/>
      <c r="L682" s="553"/>
      <c r="M682" s="553"/>
      <c r="N682" s="553"/>
    </row>
    <row r="683" spans="3:14" ht="14.25" customHeight="1">
      <c r="C683" s="553"/>
      <c r="D683" s="553"/>
      <c r="E683" s="553"/>
      <c r="F683" s="553"/>
      <c r="G683" s="553"/>
      <c r="H683" s="553"/>
      <c r="I683" s="553"/>
      <c r="J683" s="553"/>
      <c r="K683" s="553"/>
      <c r="L683" s="553"/>
      <c r="M683" s="553"/>
      <c r="N683" s="553"/>
    </row>
    <row r="684" spans="3:14" ht="14.25" customHeight="1">
      <c r="C684" s="553"/>
      <c r="D684" s="553"/>
      <c r="E684" s="553"/>
      <c r="F684" s="553"/>
      <c r="G684" s="553"/>
      <c r="H684" s="553"/>
      <c r="I684" s="553"/>
      <c r="J684" s="553"/>
      <c r="K684" s="553"/>
      <c r="L684" s="553"/>
      <c r="M684" s="553"/>
      <c r="N684" s="553"/>
    </row>
    <row r="685" spans="3:14" ht="14.25" customHeight="1">
      <c r="C685" s="553"/>
      <c r="D685" s="553"/>
      <c r="E685" s="553"/>
      <c r="F685" s="553"/>
      <c r="G685" s="553"/>
      <c r="H685" s="553"/>
      <c r="I685" s="553"/>
      <c r="J685" s="553"/>
      <c r="K685" s="553"/>
      <c r="L685" s="553"/>
      <c r="M685" s="553"/>
      <c r="N685" s="553"/>
    </row>
    <row r="686" spans="3:14" ht="14.25" customHeight="1">
      <c r="C686" s="553"/>
      <c r="D686" s="553"/>
      <c r="E686" s="553"/>
      <c r="F686" s="553"/>
      <c r="G686" s="553"/>
      <c r="H686" s="553"/>
      <c r="I686" s="553"/>
      <c r="J686" s="553"/>
      <c r="K686" s="553"/>
      <c r="L686" s="553"/>
      <c r="M686" s="553"/>
      <c r="N686" s="553"/>
    </row>
    <row r="687" spans="3:14" ht="14.25" customHeight="1">
      <c r="C687" s="553"/>
      <c r="D687" s="553"/>
      <c r="E687" s="553"/>
      <c r="F687" s="553"/>
      <c r="G687" s="553"/>
      <c r="H687" s="553"/>
      <c r="I687" s="553"/>
      <c r="J687" s="553"/>
      <c r="K687" s="553"/>
      <c r="L687" s="553"/>
      <c r="M687" s="553"/>
      <c r="N687" s="553"/>
    </row>
    <row r="688" spans="3:14" ht="14.25" customHeight="1">
      <c r="C688" s="553"/>
      <c r="D688" s="553"/>
      <c r="E688" s="553"/>
      <c r="F688" s="553"/>
      <c r="G688" s="553"/>
      <c r="H688" s="553"/>
      <c r="I688" s="553"/>
      <c r="J688" s="553"/>
      <c r="K688" s="553"/>
      <c r="L688" s="553"/>
      <c r="M688" s="553"/>
      <c r="N688" s="553"/>
    </row>
    <row r="689" spans="3:14" ht="14.25" customHeight="1">
      <c r="C689" s="553"/>
      <c r="D689" s="553"/>
      <c r="E689" s="553"/>
      <c r="F689" s="553"/>
      <c r="G689" s="553"/>
      <c r="H689" s="553"/>
      <c r="I689" s="553"/>
      <c r="J689" s="553"/>
      <c r="K689" s="553"/>
      <c r="L689" s="553"/>
      <c r="M689" s="553"/>
      <c r="N689" s="553"/>
    </row>
    <row r="690" spans="3:14" ht="14.25" customHeight="1">
      <c r="C690" s="553"/>
      <c r="D690" s="553"/>
      <c r="E690" s="553"/>
      <c r="F690" s="553"/>
      <c r="G690" s="553"/>
      <c r="H690" s="553"/>
      <c r="I690" s="553"/>
      <c r="J690" s="553"/>
      <c r="K690" s="553"/>
      <c r="L690" s="553"/>
      <c r="M690" s="553"/>
      <c r="N690" s="553"/>
    </row>
    <row r="691" spans="3:14" ht="14.25" customHeight="1">
      <c r="C691" s="553"/>
      <c r="D691" s="553"/>
      <c r="E691" s="553"/>
      <c r="F691" s="553"/>
      <c r="G691" s="553"/>
      <c r="H691" s="553"/>
      <c r="I691" s="553"/>
      <c r="J691" s="553"/>
      <c r="K691" s="553"/>
      <c r="L691" s="553"/>
      <c r="M691" s="553"/>
      <c r="N691" s="553"/>
    </row>
    <row r="692" spans="3:14" ht="14.25" customHeight="1">
      <c r="C692" s="553"/>
      <c r="D692" s="553"/>
      <c r="E692" s="553"/>
      <c r="F692" s="553"/>
      <c r="G692" s="553"/>
      <c r="H692" s="553"/>
      <c r="I692" s="553"/>
      <c r="J692" s="553"/>
      <c r="K692" s="553"/>
      <c r="L692" s="553"/>
      <c r="M692" s="553"/>
      <c r="N692" s="553"/>
    </row>
    <row r="693" spans="3:14" ht="14.25" customHeight="1">
      <c r="C693" s="553"/>
      <c r="D693" s="553"/>
      <c r="E693" s="553"/>
      <c r="F693" s="553"/>
      <c r="G693" s="553"/>
      <c r="H693" s="553"/>
      <c r="I693" s="553"/>
      <c r="J693" s="553"/>
      <c r="K693" s="553"/>
      <c r="L693" s="553"/>
      <c r="M693" s="553"/>
      <c r="N693" s="553"/>
    </row>
    <row r="694" spans="3:14" ht="14.25" customHeight="1">
      <c r="C694" s="553"/>
      <c r="D694" s="553"/>
      <c r="E694" s="553"/>
      <c r="F694" s="553"/>
      <c r="G694" s="553"/>
      <c r="H694" s="553"/>
      <c r="I694" s="553"/>
      <c r="J694" s="553"/>
      <c r="K694" s="553"/>
      <c r="L694" s="553"/>
      <c r="M694" s="553"/>
      <c r="N694" s="553"/>
    </row>
    <row r="695" spans="3:14" ht="14.25" customHeight="1">
      <c r="C695" s="553"/>
      <c r="D695" s="553"/>
      <c r="E695" s="553"/>
      <c r="F695" s="553"/>
      <c r="G695" s="553"/>
      <c r="H695" s="553"/>
      <c r="I695" s="553"/>
      <c r="J695" s="553"/>
      <c r="K695" s="553"/>
      <c r="L695" s="553"/>
      <c r="M695" s="553"/>
      <c r="N695" s="553"/>
    </row>
    <row r="696" spans="3:14" ht="14.25" customHeight="1">
      <c r="C696" s="553"/>
      <c r="D696" s="553"/>
      <c r="E696" s="553"/>
      <c r="F696" s="553"/>
      <c r="G696" s="553"/>
      <c r="H696" s="553"/>
      <c r="I696" s="553"/>
      <c r="J696" s="553"/>
      <c r="K696" s="553"/>
      <c r="L696" s="553"/>
      <c r="M696" s="553"/>
      <c r="N696" s="553"/>
    </row>
    <row r="697" spans="3:14" ht="14.25" customHeight="1">
      <c r="C697" s="553"/>
      <c r="D697" s="553"/>
      <c r="E697" s="553"/>
      <c r="F697" s="553"/>
      <c r="G697" s="553"/>
      <c r="H697" s="553"/>
      <c r="I697" s="553"/>
      <c r="J697" s="553"/>
      <c r="K697" s="553"/>
      <c r="L697" s="553"/>
      <c r="M697" s="553"/>
      <c r="N697" s="553"/>
    </row>
    <row r="698" spans="3:14" ht="14.25" customHeight="1">
      <c r="C698" s="553"/>
      <c r="D698" s="553"/>
      <c r="E698" s="553"/>
      <c r="F698" s="553"/>
      <c r="G698" s="553"/>
      <c r="H698" s="553"/>
      <c r="I698" s="553"/>
      <c r="J698" s="553"/>
      <c r="K698" s="553"/>
      <c r="L698" s="553"/>
      <c r="M698" s="553"/>
      <c r="N698" s="553"/>
    </row>
    <row r="699" spans="3:14" ht="14.25" customHeight="1">
      <c r="C699" s="553"/>
      <c r="D699" s="553"/>
      <c r="E699" s="553"/>
      <c r="F699" s="553"/>
      <c r="G699" s="553"/>
      <c r="H699" s="553"/>
      <c r="I699" s="553"/>
      <c r="J699" s="553"/>
      <c r="K699" s="553"/>
      <c r="L699" s="553"/>
      <c r="M699" s="553"/>
      <c r="N699" s="553"/>
    </row>
    <row r="700" spans="3:14" ht="14.25" customHeight="1">
      <c r="C700" s="553"/>
      <c r="D700" s="553"/>
      <c r="E700" s="553"/>
      <c r="F700" s="553"/>
      <c r="G700" s="553"/>
      <c r="H700" s="553"/>
      <c r="I700" s="553"/>
      <c r="J700" s="553"/>
      <c r="K700" s="553"/>
      <c r="L700" s="553"/>
      <c r="M700" s="553"/>
      <c r="N700" s="553"/>
    </row>
    <row r="701" spans="3:14" ht="14.25" customHeight="1">
      <c r="C701" s="553"/>
      <c r="D701" s="553"/>
      <c r="E701" s="553"/>
      <c r="F701" s="553"/>
      <c r="G701" s="553"/>
      <c r="H701" s="553"/>
      <c r="I701" s="553"/>
      <c r="J701" s="553"/>
      <c r="K701" s="553"/>
      <c r="L701" s="553"/>
      <c r="M701" s="553"/>
      <c r="N701" s="553"/>
    </row>
    <row r="702" spans="3:14" ht="14.25" customHeight="1">
      <c r="C702" s="553"/>
      <c r="D702" s="553"/>
      <c r="E702" s="553"/>
      <c r="F702" s="553"/>
      <c r="G702" s="553"/>
      <c r="H702" s="553"/>
      <c r="I702" s="553"/>
      <c r="J702" s="553"/>
      <c r="K702" s="553"/>
      <c r="L702" s="553"/>
      <c r="M702" s="553"/>
      <c r="N702" s="553"/>
    </row>
    <row r="703" spans="3:14" ht="14.25" customHeight="1">
      <c r="C703" s="553"/>
      <c r="D703" s="553"/>
      <c r="E703" s="553"/>
      <c r="F703" s="553"/>
      <c r="G703" s="553"/>
      <c r="H703" s="553"/>
      <c r="I703" s="553"/>
      <c r="J703" s="553"/>
      <c r="K703" s="553"/>
      <c r="L703" s="553"/>
      <c r="M703" s="553"/>
      <c r="N703" s="553"/>
    </row>
    <row r="704" spans="3:14" ht="14.25" customHeight="1">
      <c r="C704" s="553"/>
      <c r="D704" s="553"/>
      <c r="E704" s="553"/>
      <c r="F704" s="553"/>
      <c r="G704" s="553"/>
      <c r="H704" s="553"/>
      <c r="I704" s="553"/>
      <c r="J704" s="553"/>
      <c r="K704" s="553"/>
      <c r="L704" s="553"/>
      <c r="M704" s="553"/>
      <c r="N704" s="553"/>
    </row>
    <row r="705" spans="3:14" ht="14.25" customHeight="1">
      <c r="C705" s="553"/>
      <c r="D705" s="553"/>
      <c r="E705" s="553"/>
      <c r="F705" s="553"/>
      <c r="G705" s="553"/>
      <c r="H705" s="553"/>
      <c r="I705" s="553"/>
      <c r="J705" s="553"/>
      <c r="K705" s="553"/>
      <c r="L705" s="553"/>
      <c r="M705" s="553"/>
      <c r="N705" s="553"/>
    </row>
    <row r="706" spans="3:14" ht="14.25" customHeight="1">
      <c r="C706" s="553"/>
      <c r="D706" s="553"/>
      <c r="E706" s="553"/>
      <c r="F706" s="553"/>
      <c r="G706" s="553"/>
      <c r="H706" s="553"/>
      <c r="I706" s="553"/>
      <c r="J706" s="553"/>
      <c r="K706" s="553"/>
      <c r="L706" s="553"/>
      <c r="M706" s="553"/>
      <c r="N706" s="553"/>
    </row>
    <row r="707" spans="3:14" ht="14.25" customHeight="1">
      <c r="C707" s="553"/>
      <c r="D707" s="553"/>
      <c r="E707" s="553"/>
      <c r="F707" s="553"/>
      <c r="G707" s="553"/>
      <c r="H707" s="553"/>
      <c r="I707" s="553"/>
      <c r="J707" s="553"/>
      <c r="K707" s="553"/>
      <c r="L707" s="553"/>
      <c r="M707" s="553"/>
      <c r="N707" s="553"/>
    </row>
    <row r="708" spans="3:14" ht="14.25" customHeight="1">
      <c r="C708" s="553"/>
      <c r="D708" s="553"/>
      <c r="E708" s="553"/>
      <c r="F708" s="553"/>
      <c r="G708" s="553"/>
      <c r="H708" s="553"/>
      <c r="I708" s="553"/>
      <c r="J708" s="553"/>
      <c r="K708" s="553"/>
      <c r="L708" s="553"/>
      <c r="M708" s="553"/>
      <c r="N708" s="553"/>
    </row>
    <row r="709" spans="3:14" ht="14.25" customHeight="1">
      <c r="C709" s="553"/>
      <c r="D709" s="553"/>
      <c r="E709" s="553"/>
      <c r="F709" s="553"/>
      <c r="G709" s="553"/>
      <c r="H709" s="553"/>
      <c r="I709" s="553"/>
      <c r="J709" s="553"/>
      <c r="K709" s="553"/>
      <c r="L709" s="553"/>
      <c r="M709" s="553"/>
      <c r="N709" s="553"/>
    </row>
    <row r="710" spans="3:14" ht="14.25" customHeight="1">
      <c r="C710" s="553"/>
      <c r="D710" s="553"/>
      <c r="E710" s="553"/>
      <c r="F710" s="553"/>
      <c r="G710" s="553"/>
      <c r="H710" s="553"/>
      <c r="I710" s="553"/>
      <c r="J710" s="553"/>
      <c r="K710" s="553"/>
      <c r="L710" s="553"/>
      <c r="M710" s="553"/>
      <c r="N710" s="553"/>
    </row>
    <row r="711" spans="3:14" ht="14.25" customHeight="1">
      <c r="C711" s="553"/>
      <c r="D711" s="553"/>
      <c r="E711" s="553"/>
      <c r="F711" s="553"/>
      <c r="G711" s="553"/>
      <c r="H711" s="553"/>
      <c r="I711" s="553"/>
      <c r="J711" s="553"/>
      <c r="K711" s="553"/>
      <c r="L711" s="553"/>
      <c r="M711" s="553"/>
      <c r="N711" s="553"/>
    </row>
    <row r="712" spans="3:14" ht="14.25" customHeight="1">
      <c r="C712" s="553"/>
      <c r="D712" s="553"/>
      <c r="E712" s="553"/>
      <c r="F712" s="553"/>
      <c r="G712" s="553"/>
      <c r="H712" s="553"/>
      <c r="I712" s="553"/>
      <c r="J712" s="553"/>
      <c r="K712" s="553"/>
      <c r="L712" s="553"/>
      <c r="M712" s="553"/>
      <c r="N712" s="553"/>
    </row>
    <row r="713" spans="3:14" ht="14.25" customHeight="1">
      <c r="C713" s="553"/>
      <c r="D713" s="553"/>
      <c r="E713" s="553"/>
      <c r="F713" s="553"/>
      <c r="G713" s="553"/>
      <c r="H713" s="553"/>
      <c r="I713" s="553"/>
      <c r="J713" s="553"/>
      <c r="K713" s="553"/>
      <c r="L713" s="553"/>
      <c r="M713" s="553"/>
      <c r="N713" s="553"/>
    </row>
    <row r="714" spans="3:14" ht="14.25" customHeight="1">
      <c r="C714" s="553"/>
      <c r="D714" s="553"/>
      <c r="E714" s="553"/>
      <c r="F714" s="553"/>
      <c r="G714" s="553"/>
      <c r="H714" s="553"/>
      <c r="I714" s="553"/>
      <c r="J714" s="553"/>
      <c r="K714" s="553"/>
      <c r="L714" s="553"/>
      <c r="M714" s="553"/>
      <c r="N714" s="553"/>
    </row>
    <row r="715" spans="3:14" ht="14.25" customHeight="1">
      <c r="C715" s="553"/>
      <c r="D715" s="553"/>
      <c r="E715" s="553"/>
      <c r="F715" s="553"/>
      <c r="G715" s="553"/>
      <c r="H715" s="553"/>
      <c r="I715" s="553"/>
      <c r="J715" s="553"/>
      <c r="K715" s="553"/>
      <c r="L715" s="553"/>
      <c r="M715" s="553"/>
      <c r="N715" s="553"/>
    </row>
    <row r="716" spans="3:14" ht="14.25" customHeight="1">
      <c r="C716" s="553"/>
      <c r="D716" s="553"/>
      <c r="E716" s="553"/>
      <c r="F716" s="553"/>
      <c r="G716" s="553"/>
      <c r="H716" s="553"/>
      <c r="I716" s="553"/>
      <c r="J716" s="553"/>
      <c r="K716" s="553"/>
      <c r="L716" s="553"/>
      <c r="M716" s="553"/>
      <c r="N716" s="553"/>
    </row>
    <row r="717" spans="3:14" ht="14.25" customHeight="1">
      <c r="C717" s="553"/>
      <c r="D717" s="553"/>
      <c r="E717" s="553"/>
      <c r="F717" s="553"/>
      <c r="G717" s="553"/>
      <c r="H717" s="553"/>
      <c r="I717" s="553"/>
      <c r="J717" s="553"/>
      <c r="K717" s="553"/>
      <c r="L717" s="553"/>
      <c r="M717" s="553"/>
      <c r="N717" s="553"/>
    </row>
    <row r="718" spans="3:14" ht="14.25" customHeight="1">
      <c r="C718" s="553"/>
      <c r="D718" s="553"/>
      <c r="E718" s="553"/>
      <c r="F718" s="553"/>
      <c r="G718" s="553"/>
      <c r="H718" s="553"/>
      <c r="I718" s="553"/>
      <c r="J718" s="553"/>
      <c r="K718" s="553"/>
      <c r="L718" s="553"/>
      <c r="M718" s="553"/>
      <c r="N718" s="553"/>
    </row>
    <row r="719" spans="3:14" ht="14.25" customHeight="1">
      <c r="C719" s="553"/>
      <c r="D719" s="553"/>
      <c r="E719" s="553"/>
      <c r="F719" s="553"/>
      <c r="G719" s="553"/>
      <c r="H719" s="553"/>
      <c r="I719" s="553"/>
      <c r="J719" s="553"/>
      <c r="K719" s="553"/>
      <c r="L719" s="553"/>
      <c r="M719" s="553"/>
      <c r="N719" s="553"/>
    </row>
    <row r="720" spans="3:14" ht="14.25" customHeight="1">
      <c r="C720" s="553"/>
      <c r="D720" s="553"/>
      <c r="E720" s="553"/>
      <c r="F720" s="553"/>
      <c r="G720" s="553"/>
      <c r="H720" s="553"/>
      <c r="I720" s="553"/>
      <c r="J720" s="553"/>
      <c r="K720" s="553"/>
      <c r="L720" s="553"/>
      <c r="M720" s="553"/>
      <c r="N720" s="553"/>
    </row>
    <row r="721" spans="3:14" ht="14.25" customHeight="1">
      <c r="C721" s="553"/>
      <c r="D721" s="553"/>
      <c r="E721" s="553"/>
      <c r="F721" s="553"/>
      <c r="G721" s="553"/>
      <c r="H721" s="553"/>
      <c r="I721" s="553"/>
      <c r="J721" s="553"/>
      <c r="K721" s="553"/>
      <c r="L721" s="553"/>
      <c r="M721" s="553"/>
      <c r="N721" s="553"/>
    </row>
    <row r="722" spans="3:14" ht="14.25" customHeight="1">
      <c r="C722" s="553"/>
      <c r="D722" s="553"/>
      <c r="E722" s="553"/>
      <c r="F722" s="553"/>
      <c r="G722" s="553"/>
      <c r="H722" s="553"/>
      <c r="I722" s="553"/>
      <c r="J722" s="553"/>
      <c r="K722" s="553"/>
      <c r="L722" s="553"/>
      <c r="M722" s="553"/>
      <c r="N722" s="553"/>
    </row>
    <row r="723" spans="3:14" ht="14.25" customHeight="1">
      <c r="C723" s="553"/>
      <c r="D723" s="553"/>
      <c r="E723" s="553"/>
      <c r="F723" s="553"/>
      <c r="G723" s="553"/>
      <c r="H723" s="553"/>
      <c r="I723" s="553"/>
      <c r="J723" s="553"/>
      <c r="K723" s="553"/>
      <c r="L723" s="553"/>
      <c r="M723" s="553"/>
      <c r="N723" s="553"/>
    </row>
    <row r="724" spans="3:14" ht="14.25" customHeight="1">
      <c r="C724" s="553"/>
      <c r="D724" s="553"/>
      <c r="E724" s="553"/>
      <c r="F724" s="553"/>
      <c r="G724" s="553"/>
      <c r="H724" s="553"/>
      <c r="I724" s="553"/>
      <c r="J724" s="553"/>
      <c r="K724" s="553"/>
      <c r="L724" s="553"/>
      <c r="M724" s="553"/>
      <c r="N724" s="553"/>
    </row>
    <row r="725" spans="3:14" ht="14.25" customHeight="1">
      <c r="C725" s="553"/>
      <c r="D725" s="553"/>
      <c r="E725" s="553"/>
      <c r="F725" s="553"/>
      <c r="G725" s="553"/>
      <c r="H725" s="553"/>
      <c r="I725" s="553"/>
      <c r="J725" s="553"/>
      <c r="K725" s="553"/>
      <c r="L725" s="553"/>
      <c r="M725" s="553"/>
      <c r="N725" s="553"/>
    </row>
    <row r="726" spans="3:14" ht="14.25" customHeight="1">
      <c r="C726" s="553"/>
      <c r="D726" s="553"/>
      <c r="E726" s="553"/>
      <c r="F726" s="553"/>
      <c r="G726" s="553"/>
      <c r="H726" s="553"/>
      <c r="I726" s="553"/>
      <c r="J726" s="553"/>
      <c r="K726" s="553"/>
      <c r="L726" s="553"/>
      <c r="M726" s="553"/>
      <c r="N726" s="553"/>
    </row>
    <row r="727" spans="3:14" ht="14.25" customHeight="1">
      <c r="C727" s="553"/>
      <c r="D727" s="553"/>
      <c r="E727" s="553"/>
      <c r="F727" s="553"/>
      <c r="G727" s="553"/>
      <c r="H727" s="553"/>
      <c r="I727" s="553"/>
      <c r="J727" s="553"/>
      <c r="K727" s="553"/>
      <c r="L727" s="553"/>
      <c r="M727" s="553"/>
      <c r="N727" s="553"/>
    </row>
    <row r="728" spans="3:14" ht="14.25" customHeight="1">
      <c r="C728" s="553"/>
      <c r="D728" s="553"/>
      <c r="E728" s="553"/>
      <c r="F728" s="553"/>
      <c r="G728" s="553"/>
      <c r="H728" s="553"/>
      <c r="I728" s="553"/>
      <c r="J728" s="553"/>
      <c r="K728" s="553"/>
      <c r="L728" s="553"/>
      <c r="M728" s="553"/>
      <c r="N728" s="553"/>
    </row>
    <row r="729" spans="3:14" ht="14.25" customHeight="1">
      <c r="C729" s="553"/>
      <c r="D729" s="553"/>
      <c r="E729" s="553"/>
      <c r="F729" s="553"/>
      <c r="G729" s="553"/>
      <c r="H729" s="553"/>
      <c r="I729" s="553"/>
      <c r="J729" s="553"/>
      <c r="K729" s="553"/>
      <c r="L729" s="553"/>
      <c r="M729" s="553"/>
      <c r="N729" s="553"/>
    </row>
    <row r="730" spans="3:14" ht="14.25" customHeight="1">
      <c r="C730" s="553"/>
      <c r="D730" s="553"/>
      <c r="E730" s="553"/>
      <c r="F730" s="553"/>
      <c r="G730" s="553"/>
      <c r="H730" s="553"/>
      <c r="I730" s="553"/>
      <c r="J730" s="553"/>
      <c r="K730" s="553"/>
      <c r="L730" s="553"/>
      <c r="M730" s="553"/>
      <c r="N730" s="553"/>
    </row>
    <row r="731" spans="3:14" ht="14.25" customHeight="1">
      <c r="C731" s="553"/>
      <c r="D731" s="553"/>
      <c r="E731" s="553"/>
      <c r="F731" s="553"/>
      <c r="G731" s="553"/>
      <c r="H731" s="553"/>
      <c r="I731" s="553"/>
      <c r="J731" s="553"/>
      <c r="K731" s="553"/>
      <c r="L731" s="553"/>
      <c r="M731" s="553"/>
      <c r="N731" s="553"/>
    </row>
    <row r="732" spans="3:14" ht="14.25" customHeight="1">
      <c r="C732" s="553"/>
      <c r="D732" s="553"/>
      <c r="E732" s="553"/>
      <c r="F732" s="553"/>
      <c r="G732" s="553"/>
      <c r="H732" s="553"/>
      <c r="I732" s="553"/>
      <c r="J732" s="553"/>
      <c r="K732" s="553"/>
      <c r="L732" s="553"/>
      <c r="M732" s="553"/>
      <c r="N732" s="553"/>
    </row>
    <row r="733" spans="3:14" ht="14.25" customHeight="1">
      <c r="C733" s="553"/>
      <c r="D733" s="553"/>
      <c r="E733" s="553"/>
      <c r="F733" s="553"/>
      <c r="G733" s="553"/>
      <c r="H733" s="553"/>
      <c r="I733" s="553"/>
      <c r="J733" s="553"/>
      <c r="K733" s="553"/>
      <c r="L733" s="553"/>
      <c r="M733" s="553"/>
      <c r="N733" s="553"/>
    </row>
    <row r="734" spans="3:14" ht="14.25" customHeight="1">
      <c r="C734" s="553"/>
      <c r="D734" s="553"/>
      <c r="E734" s="553"/>
      <c r="F734" s="553"/>
      <c r="G734" s="553"/>
      <c r="H734" s="553"/>
      <c r="I734" s="553"/>
      <c r="J734" s="553"/>
      <c r="K734" s="553"/>
      <c r="L734" s="553"/>
      <c r="M734" s="553"/>
      <c r="N734" s="553"/>
    </row>
    <row r="735" spans="3:14" ht="14.25" customHeight="1">
      <c r="C735" s="553"/>
      <c r="D735" s="553"/>
      <c r="E735" s="553"/>
      <c r="F735" s="553"/>
      <c r="G735" s="553"/>
      <c r="H735" s="553"/>
      <c r="I735" s="553"/>
      <c r="J735" s="553"/>
      <c r="K735" s="553"/>
      <c r="L735" s="553"/>
      <c r="M735" s="553"/>
      <c r="N735" s="553"/>
    </row>
    <row r="736" spans="3:14" ht="14.25" customHeight="1">
      <c r="C736" s="553"/>
      <c r="D736" s="553"/>
      <c r="E736" s="553"/>
      <c r="F736" s="553"/>
      <c r="G736" s="553"/>
      <c r="H736" s="553"/>
      <c r="I736" s="553"/>
      <c r="J736" s="553"/>
      <c r="K736" s="553"/>
      <c r="L736" s="553"/>
      <c r="M736" s="553"/>
      <c r="N736" s="553"/>
    </row>
    <row r="737" spans="3:14" ht="14.25" customHeight="1">
      <c r="C737" s="553"/>
      <c r="D737" s="553"/>
      <c r="E737" s="553"/>
      <c r="F737" s="553"/>
      <c r="G737" s="553"/>
      <c r="H737" s="553"/>
      <c r="I737" s="553"/>
      <c r="J737" s="553"/>
      <c r="K737" s="553"/>
      <c r="L737" s="553"/>
      <c r="M737" s="553"/>
      <c r="N737" s="553"/>
    </row>
    <row r="738" spans="3:14" ht="14.25" customHeight="1">
      <c r="C738" s="553"/>
      <c r="D738" s="553"/>
      <c r="E738" s="553"/>
      <c r="F738" s="553"/>
      <c r="G738" s="553"/>
      <c r="H738" s="553"/>
      <c r="I738" s="553"/>
      <c r="J738" s="553"/>
      <c r="K738" s="553"/>
      <c r="L738" s="553"/>
      <c r="M738" s="553"/>
      <c r="N738" s="553"/>
    </row>
    <row r="739" spans="3:14" ht="14.25" customHeight="1">
      <c r="C739" s="553"/>
      <c r="D739" s="553"/>
      <c r="E739" s="553"/>
      <c r="F739" s="553"/>
      <c r="G739" s="553"/>
      <c r="H739" s="553"/>
      <c r="I739" s="553"/>
      <c r="J739" s="553"/>
      <c r="K739" s="553"/>
      <c r="L739" s="553"/>
      <c r="M739" s="553"/>
      <c r="N739" s="553"/>
    </row>
    <row r="740" spans="3:14" ht="14.25" customHeight="1">
      <c r="C740" s="553"/>
      <c r="D740" s="553"/>
      <c r="E740" s="553"/>
      <c r="F740" s="553"/>
      <c r="G740" s="553"/>
      <c r="H740" s="553"/>
      <c r="I740" s="553"/>
      <c r="J740" s="553"/>
      <c r="K740" s="553"/>
      <c r="L740" s="553"/>
      <c r="M740" s="553"/>
      <c r="N740" s="553"/>
    </row>
    <row r="741" spans="3:14" ht="14.25" customHeight="1">
      <c r="C741" s="553"/>
      <c r="D741" s="553"/>
      <c r="E741" s="553"/>
      <c r="F741" s="553"/>
      <c r="G741" s="553"/>
      <c r="H741" s="553"/>
      <c r="I741" s="553"/>
      <c r="J741" s="553"/>
      <c r="K741" s="553"/>
      <c r="L741" s="553"/>
      <c r="M741" s="553"/>
      <c r="N741" s="553"/>
    </row>
    <row r="742" spans="3:14" ht="14.25" customHeight="1">
      <c r="C742" s="553"/>
      <c r="D742" s="553"/>
      <c r="E742" s="553"/>
      <c r="F742" s="553"/>
      <c r="G742" s="553"/>
      <c r="H742" s="553"/>
      <c r="I742" s="553"/>
      <c r="J742" s="553"/>
      <c r="K742" s="553"/>
      <c r="L742" s="553"/>
      <c r="M742" s="553"/>
      <c r="N742" s="553"/>
    </row>
    <row r="743" spans="3:14" ht="14.25" customHeight="1">
      <c r="C743" s="553"/>
      <c r="D743" s="553"/>
      <c r="E743" s="553"/>
      <c r="F743" s="553"/>
      <c r="G743" s="553"/>
      <c r="H743" s="553"/>
      <c r="I743" s="553"/>
      <c r="J743" s="553"/>
      <c r="K743" s="553"/>
      <c r="L743" s="553"/>
      <c r="M743" s="553"/>
      <c r="N743" s="553"/>
    </row>
    <row r="744" spans="3:14" ht="14.25" customHeight="1">
      <c r="C744" s="553"/>
      <c r="D744" s="553"/>
      <c r="E744" s="553"/>
      <c r="F744" s="553"/>
      <c r="G744" s="553"/>
      <c r="H744" s="553"/>
      <c r="I744" s="553"/>
      <c r="J744" s="553"/>
      <c r="K744" s="553"/>
      <c r="L744" s="553"/>
      <c r="M744" s="553"/>
      <c r="N744" s="553"/>
    </row>
    <row r="745" spans="3:14" ht="14.25" customHeight="1">
      <c r="C745" s="553"/>
      <c r="D745" s="553"/>
      <c r="E745" s="553"/>
      <c r="F745" s="553"/>
      <c r="G745" s="553"/>
      <c r="H745" s="553"/>
      <c r="I745" s="553"/>
      <c r="J745" s="553"/>
      <c r="K745" s="553"/>
      <c r="L745" s="553"/>
      <c r="M745" s="553"/>
      <c r="N745" s="553"/>
    </row>
    <row r="746" spans="3:14" ht="14.25" customHeight="1">
      <c r="C746" s="553"/>
      <c r="D746" s="553"/>
      <c r="E746" s="553"/>
      <c r="F746" s="553"/>
      <c r="G746" s="553"/>
      <c r="H746" s="553"/>
      <c r="I746" s="553"/>
      <c r="J746" s="553"/>
      <c r="K746" s="553"/>
      <c r="L746" s="553"/>
      <c r="M746" s="553"/>
      <c r="N746" s="553"/>
    </row>
    <row r="747" spans="3:14" ht="14.25" customHeight="1">
      <c r="C747" s="553"/>
      <c r="D747" s="553"/>
      <c r="E747" s="553"/>
      <c r="F747" s="553"/>
      <c r="G747" s="553"/>
      <c r="H747" s="553"/>
      <c r="I747" s="553"/>
      <c r="J747" s="553"/>
      <c r="K747" s="553"/>
      <c r="L747" s="553"/>
      <c r="M747" s="553"/>
      <c r="N747" s="553"/>
    </row>
    <row r="748" spans="3:14" ht="14.25" customHeight="1">
      <c r="C748" s="553"/>
      <c r="D748" s="553"/>
      <c r="E748" s="553"/>
      <c r="F748" s="553"/>
      <c r="G748" s="553"/>
      <c r="H748" s="553"/>
      <c r="I748" s="553"/>
      <c r="J748" s="553"/>
      <c r="K748" s="553"/>
      <c r="L748" s="553"/>
      <c r="M748" s="553"/>
      <c r="N748" s="553"/>
    </row>
    <row r="749" spans="3:14" ht="14.25" customHeight="1">
      <c r="C749" s="553"/>
      <c r="D749" s="553"/>
      <c r="E749" s="553"/>
      <c r="F749" s="553"/>
      <c r="G749" s="553"/>
      <c r="H749" s="553"/>
      <c r="I749" s="553"/>
      <c r="J749" s="553"/>
      <c r="K749" s="553"/>
      <c r="L749" s="553"/>
      <c r="M749" s="553"/>
      <c r="N749" s="553"/>
    </row>
    <row r="750" spans="3:14" ht="14.25" customHeight="1">
      <c r="C750" s="553"/>
      <c r="D750" s="553"/>
      <c r="E750" s="553"/>
      <c r="F750" s="553"/>
      <c r="G750" s="553"/>
      <c r="H750" s="553"/>
      <c r="I750" s="553"/>
      <c r="J750" s="553"/>
      <c r="K750" s="553"/>
      <c r="L750" s="553"/>
      <c r="M750" s="553"/>
      <c r="N750" s="553"/>
    </row>
    <row r="751" spans="3:14" ht="14.25" customHeight="1">
      <c r="C751" s="553"/>
      <c r="D751" s="553"/>
      <c r="E751" s="553"/>
      <c r="F751" s="553"/>
      <c r="G751" s="553"/>
      <c r="H751" s="553"/>
      <c r="I751" s="553"/>
      <c r="J751" s="553"/>
      <c r="K751" s="553"/>
      <c r="L751" s="553"/>
      <c r="M751" s="553"/>
      <c r="N751" s="553"/>
    </row>
    <row r="752" spans="3:14" ht="14.25" customHeight="1">
      <c r="C752" s="553"/>
      <c r="D752" s="553"/>
      <c r="E752" s="553"/>
      <c r="F752" s="553"/>
      <c r="G752" s="553"/>
      <c r="H752" s="553"/>
      <c r="I752" s="553"/>
      <c r="J752" s="553"/>
      <c r="K752" s="553"/>
      <c r="L752" s="553"/>
      <c r="M752" s="553"/>
      <c r="N752" s="553"/>
    </row>
    <row r="753" spans="3:14" ht="14.25" customHeight="1">
      <c r="C753" s="553"/>
      <c r="D753" s="553"/>
      <c r="E753" s="553"/>
      <c r="F753" s="553"/>
      <c r="G753" s="553"/>
      <c r="H753" s="553"/>
      <c r="I753" s="553"/>
      <c r="J753" s="553"/>
      <c r="K753" s="553"/>
      <c r="L753" s="553"/>
      <c r="M753" s="553"/>
      <c r="N753" s="553"/>
    </row>
    <row r="754" spans="3:14" ht="14.25" customHeight="1">
      <c r="C754" s="553"/>
      <c r="D754" s="553"/>
      <c r="E754" s="553"/>
      <c r="F754" s="553"/>
      <c r="G754" s="553"/>
      <c r="H754" s="553"/>
      <c r="I754" s="553"/>
      <c r="J754" s="553"/>
      <c r="K754" s="553"/>
      <c r="L754" s="553"/>
      <c r="M754" s="553"/>
      <c r="N754" s="553"/>
    </row>
    <row r="755" spans="3:14" ht="14.25" customHeight="1">
      <c r="C755" s="553"/>
      <c r="D755" s="553"/>
      <c r="E755" s="553"/>
      <c r="F755" s="553"/>
      <c r="G755" s="553"/>
      <c r="H755" s="553"/>
      <c r="I755" s="553"/>
      <c r="J755" s="553"/>
      <c r="K755" s="553"/>
      <c r="L755" s="553"/>
      <c r="M755" s="553"/>
      <c r="N755" s="553"/>
    </row>
    <row r="756" spans="3:14" ht="14.25" customHeight="1">
      <c r="C756" s="553"/>
      <c r="D756" s="553"/>
      <c r="E756" s="553"/>
      <c r="F756" s="553"/>
      <c r="G756" s="553"/>
      <c r="H756" s="553"/>
      <c r="I756" s="553"/>
      <c r="J756" s="553"/>
      <c r="K756" s="553"/>
      <c r="L756" s="553"/>
      <c r="M756" s="553"/>
      <c r="N756" s="553"/>
    </row>
    <row r="757" spans="3:14" ht="14.25" customHeight="1">
      <c r="C757" s="553"/>
      <c r="D757" s="553"/>
      <c r="E757" s="553"/>
      <c r="F757" s="553"/>
      <c r="G757" s="553"/>
      <c r="H757" s="553"/>
      <c r="I757" s="553"/>
      <c r="J757" s="553"/>
      <c r="K757" s="553"/>
      <c r="L757" s="553"/>
      <c r="M757" s="553"/>
      <c r="N757" s="553"/>
    </row>
    <row r="758" spans="3:14" ht="14.25" customHeight="1">
      <c r="C758" s="553"/>
      <c r="D758" s="553"/>
      <c r="E758" s="553"/>
      <c r="F758" s="553"/>
      <c r="G758" s="553"/>
      <c r="H758" s="553"/>
      <c r="I758" s="553"/>
      <c r="J758" s="553"/>
      <c r="K758" s="553"/>
      <c r="L758" s="553"/>
      <c r="M758" s="553"/>
      <c r="N758" s="553"/>
    </row>
    <row r="759" spans="3:14" ht="14.25" customHeight="1">
      <c r="C759" s="553"/>
      <c r="D759" s="553"/>
      <c r="E759" s="553"/>
      <c r="F759" s="553"/>
      <c r="G759" s="553"/>
      <c r="H759" s="553"/>
      <c r="I759" s="553"/>
      <c r="J759" s="553"/>
      <c r="K759" s="553"/>
      <c r="L759" s="553"/>
      <c r="M759" s="553"/>
      <c r="N759" s="553"/>
    </row>
    <row r="760" spans="3:14" ht="14.25" customHeight="1">
      <c r="C760" s="553"/>
      <c r="D760" s="553"/>
      <c r="E760" s="553"/>
      <c r="F760" s="553"/>
      <c r="G760" s="553"/>
      <c r="H760" s="553"/>
      <c r="I760" s="553"/>
      <c r="J760" s="553"/>
      <c r="K760" s="553"/>
      <c r="L760" s="553"/>
      <c r="M760" s="553"/>
      <c r="N760" s="553"/>
    </row>
    <row r="761" spans="3:14" ht="14.25" customHeight="1">
      <c r="C761" s="553"/>
      <c r="D761" s="553"/>
      <c r="E761" s="553"/>
      <c r="F761" s="553"/>
      <c r="G761" s="553"/>
      <c r="H761" s="553"/>
      <c r="I761" s="553"/>
      <c r="J761" s="553"/>
      <c r="K761" s="553"/>
      <c r="L761" s="553"/>
      <c r="M761" s="553"/>
      <c r="N761" s="553"/>
    </row>
    <row r="762" spans="3:14" ht="14.25" customHeight="1">
      <c r="C762" s="553"/>
      <c r="D762" s="553"/>
      <c r="E762" s="553"/>
      <c r="F762" s="553"/>
      <c r="G762" s="553"/>
      <c r="H762" s="553"/>
      <c r="I762" s="553"/>
      <c r="J762" s="553"/>
      <c r="K762" s="553"/>
      <c r="L762" s="553"/>
      <c r="M762" s="553"/>
      <c r="N762" s="553"/>
    </row>
    <row r="763" spans="3:14" ht="14.25" customHeight="1">
      <c r="C763" s="553"/>
      <c r="D763" s="553"/>
      <c r="E763" s="553"/>
      <c r="F763" s="553"/>
      <c r="G763" s="553"/>
      <c r="H763" s="553"/>
      <c r="I763" s="553"/>
      <c r="J763" s="553"/>
      <c r="K763" s="553"/>
      <c r="L763" s="553"/>
      <c r="M763" s="553"/>
      <c r="N763" s="553"/>
    </row>
    <row r="764" spans="3:14" ht="14.25" customHeight="1">
      <c r="C764" s="553"/>
      <c r="D764" s="553"/>
      <c r="E764" s="553"/>
      <c r="F764" s="553"/>
      <c r="G764" s="553"/>
      <c r="H764" s="553"/>
      <c r="I764" s="553"/>
      <c r="J764" s="553"/>
      <c r="K764" s="553"/>
      <c r="L764" s="553"/>
      <c r="M764" s="553"/>
      <c r="N764" s="553"/>
    </row>
    <row r="765" spans="3:14" ht="14.25" customHeight="1">
      <c r="C765" s="553"/>
      <c r="D765" s="553"/>
      <c r="E765" s="553"/>
      <c r="F765" s="553"/>
      <c r="G765" s="553"/>
      <c r="H765" s="553"/>
      <c r="I765" s="553"/>
      <c r="J765" s="553"/>
      <c r="K765" s="553"/>
      <c r="L765" s="553"/>
      <c r="M765" s="553"/>
      <c r="N765" s="553"/>
    </row>
    <row r="766" spans="3:14" ht="14.25" customHeight="1">
      <c r="C766" s="553"/>
      <c r="D766" s="553"/>
      <c r="E766" s="553"/>
      <c r="F766" s="553"/>
      <c r="G766" s="553"/>
      <c r="H766" s="553"/>
      <c r="I766" s="553"/>
      <c r="J766" s="553"/>
      <c r="K766" s="553"/>
      <c r="L766" s="553"/>
      <c r="M766" s="553"/>
      <c r="N766" s="553"/>
    </row>
    <row r="767" spans="3:14" ht="14.25" customHeight="1">
      <c r="C767" s="553"/>
      <c r="D767" s="553"/>
      <c r="E767" s="553"/>
      <c r="F767" s="553"/>
      <c r="G767" s="553"/>
      <c r="H767" s="553"/>
      <c r="I767" s="553"/>
      <c r="J767" s="553"/>
      <c r="K767" s="553"/>
      <c r="L767" s="553"/>
      <c r="M767" s="553"/>
      <c r="N767" s="553"/>
    </row>
    <row r="768" spans="3:14" ht="14.25" customHeight="1">
      <c r="C768" s="553"/>
      <c r="D768" s="553"/>
      <c r="E768" s="553"/>
      <c r="F768" s="553"/>
      <c r="G768" s="553"/>
      <c r="H768" s="553"/>
      <c r="I768" s="553"/>
      <c r="J768" s="553"/>
      <c r="K768" s="553"/>
      <c r="L768" s="553"/>
      <c r="M768" s="553"/>
      <c r="N768" s="553"/>
    </row>
    <row r="769" spans="3:14" ht="14.25" customHeight="1">
      <c r="C769" s="553"/>
      <c r="D769" s="553"/>
      <c r="E769" s="553"/>
      <c r="F769" s="553"/>
      <c r="G769" s="553"/>
      <c r="H769" s="553"/>
      <c r="I769" s="553"/>
      <c r="J769" s="553"/>
      <c r="K769" s="553"/>
      <c r="L769" s="553"/>
      <c r="M769" s="553"/>
      <c r="N769" s="553"/>
    </row>
    <row r="770" spans="3:14" ht="14.25" customHeight="1">
      <c r="C770" s="553"/>
      <c r="D770" s="553"/>
      <c r="E770" s="553"/>
      <c r="F770" s="553"/>
      <c r="G770" s="553"/>
      <c r="H770" s="553"/>
      <c r="I770" s="553"/>
      <c r="J770" s="553"/>
      <c r="K770" s="553"/>
      <c r="L770" s="553"/>
      <c r="M770" s="553"/>
      <c r="N770" s="553"/>
    </row>
    <row r="771" spans="3:14" ht="14.25" customHeight="1">
      <c r="C771" s="553"/>
      <c r="D771" s="553"/>
      <c r="E771" s="553"/>
      <c r="F771" s="553"/>
      <c r="G771" s="553"/>
      <c r="H771" s="553"/>
      <c r="I771" s="553"/>
      <c r="J771" s="553"/>
      <c r="K771" s="553"/>
      <c r="L771" s="553"/>
      <c r="M771" s="553"/>
      <c r="N771" s="553"/>
    </row>
    <row r="772" spans="3:14" ht="14.25" customHeight="1">
      <c r="C772" s="553"/>
      <c r="D772" s="553"/>
      <c r="E772" s="553"/>
      <c r="F772" s="553"/>
      <c r="G772" s="553"/>
      <c r="H772" s="553"/>
      <c r="I772" s="553"/>
      <c r="J772" s="553"/>
      <c r="K772" s="553"/>
      <c r="L772" s="553"/>
      <c r="M772" s="553"/>
      <c r="N772" s="553"/>
    </row>
    <row r="773" spans="3:14" ht="14.25" customHeight="1">
      <c r="C773" s="553"/>
      <c r="D773" s="553"/>
      <c r="E773" s="553"/>
      <c r="F773" s="553"/>
      <c r="G773" s="553"/>
      <c r="H773" s="553"/>
      <c r="I773" s="553"/>
      <c r="J773" s="553"/>
      <c r="K773" s="553"/>
      <c r="L773" s="553"/>
      <c r="M773" s="553"/>
      <c r="N773" s="553"/>
    </row>
    <row r="774" spans="3:14" ht="14.25" customHeight="1">
      <c r="C774" s="553"/>
      <c r="D774" s="553"/>
      <c r="E774" s="553"/>
      <c r="F774" s="553"/>
      <c r="G774" s="553"/>
      <c r="H774" s="553"/>
      <c r="I774" s="553"/>
      <c r="J774" s="553"/>
      <c r="K774" s="553"/>
      <c r="L774" s="553"/>
      <c r="M774" s="553"/>
      <c r="N774" s="553"/>
    </row>
    <row r="775" spans="3:14" ht="14.25" customHeight="1">
      <c r="C775" s="553"/>
      <c r="D775" s="553"/>
      <c r="E775" s="553"/>
      <c r="F775" s="553"/>
      <c r="G775" s="553"/>
      <c r="H775" s="553"/>
      <c r="I775" s="553"/>
      <c r="J775" s="553"/>
      <c r="K775" s="553"/>
      <c r="L775" s="553"/>
      <c r="M775" s="553"/>
      <c r="N775" s="553"/>
    </row>
    <row r="776" spans="3:14" ht="14.25" customHeight="1">
      <c r="C776" s="553"/>
      <c r="D776" s="553"/>
      <c r="E776" s="553"/>
      <c r="F776" s="553"/>
      <c r="G776" s="553"/>
      <c r="H776" s="553"/>
      <c r="I776" s="553"/>
      <c r="J776" s="553"/>
      <c r="K776" s="553"/>
      <c r="L776" s="553"/>
      <c r="M776" s="553"/>
      <c r="N776" s="553"/>
    </row>
    <row r="777" spans="3:14" ht="14.25" customHeight="1">
      <c r="C777" s="553"/>
      <c r="D777" s="553"/>
      <c r="E777" s="553"/>
      <c r="F777" s="553"/>
      <c r="G777" s="553"/>
      <c r="H777" s="553"/>
      <c r="I777" s="553"/>
      <c r="J777" s="553"/>
      <c r="K777" s="553"/>
      <c r="L777" s="553"/>
      <c r="M777" s="553"/>
      <c r="N777" s="553"/>
    </row>
    <row r="778" spans="3:14" ht="14.25" customHeight="1">
      <c r="C778" s="553"/>
      <c r="D778" s="553"/>
      <c r="E778" s="553"/>
      <c r="F778" s="553"/>
      <c r="G778" s="553"/>
      <c r="H778" s="553"/>
      <c r="I778" s="553"/>
      <c r="J778" s="553"/>
      <c r="K778" s="553"/>
      <c r="L778" s="553"/>
      <c r="M778" s="553"/>
      <c r="N778" s="553"/>
    </row>
    <row r="779" spans="3:14" ht="14.25" customHeight="1">
      <c r="C779" s="553"/>
      <c r="D779" s="553"/>
      <c r="E779" s="553"/>
      <c r="F779" s="553"/>
      <c r="G779" s="553"/>
      <c r="H779" s="553"/>
      <c r="I779" s="553"/>
      <c r="J779" s="553"/>
      <c r="K779" s="553"/>
      <c r="L779" s="553"/>
      <c r="M779" s="553"/>
      <c r="N779" s="553"/>
    </row>
    <row r="780" spans="3:14" ht="14.25" customHeight="1">
      <c r="C780" s="553"/>
      <c r="D780" s="553"/>
      <c r="E780" s="553"/>
      <c r="F780" s="553"/>
      <c r="G780" s="553"/>
      <c r="H780" s="553"/>
      <c r="I780" s="553"/>
      <c r="J780" s="553"/>
      <c r="K780" s="553"/>
      <c r="L780" s="553"/>
      <c r="M780" s="553"/>
      <c r="N780" s="553"/>
    </row>
    <row r="781" spans="3:14" ht="14.25" customHeight="1">
      <c r="C781" s="553"/>
      <c r="D781" s="553"/>
      <c r="E781" s="553"/>
      <c r="F781" s="553"/>
      <c r="G781" s="553"/>
      <c r="H781" s="553"/>
      <c r="I781" s="553"/>
      <c r="J781" s="553"/>
      <c r="K781" s="553"/>
      <c r="L781" s="553"/>
      <c r="M781" s="553"/>
      <c r="N781" s="553"/>
    </row>
    <row r="782" spans="3:14" ht="14.25" customHeight="1">
      <c r="C782" s="553"/>
      <c r="D782" s="553"/>
      <c r="E782" s="553"/>
      <c r="F782" s="553"/>
      <c r="G782" s="553"/>
      <c r="H782" s="553"/>
      <c r="I782" s="553"/>
      <c r="J782" s="553"/>
      <c r="K782" s="553"/>
      <c r="L782" s="553"/>
      <c r="M782" s="553"/>
      <c r="N782" s="553"/>
    </row>
    <row r="783" spans="3:14" ht="14.25" customHeight="1">
      <c r="C783" s="553"/>
      <c r="D783" s="553"/>
      <c r="E783" s="553"/>
      <c r="F783" s="553"/>
      <c r="G783" s="553"/>
      <c r="H783" s="553"/>
      <c r="I783" s="553"/>
      <c r="J783" s="553"/>
      <c r="K783" s="553"/>
      <c r="L783" s="553"/>
      <c r="M783" s="553"/>
      <c r="N783" s="553"/>
    </row>
    <row r="784" spans="3:14" ht="14.25" customHeight="1">
      <c r="C784" s="553"/>
      <c r="D784" s="553"/>
      <c r="E784" s="553"/>
      <c r="F784" s="553"/>
      <c r="G784" s="553"/>
      <c r="H784" s="553"/>
      <c r="I784" s="553"/>
      <c r="J784" s="553"/>
      <c r="K784" s="553"/>
      <c r="L784" s="553"/>
      <c r="M784" s="553"/>
      <c r="N784" s="553"/>
    </row>
    <row r="785" spans="3:14" ht="14.25" customHeight="1">
      <c r="C785" s="553"/>
      <c r="D785" s="553"/>
      <c r="E785" s="553"/>
      <c r="F785" s="553"/>
      <c r="G785" s="553"/>
      <c r="H785" s="553"/>
      <c r="I785" s="553"/>
      <c r="J785" s="553"/>
      <c r="K785" s="553"/>
      <c r="L785" s="553"/>
      <c r="M785" s="553"/>
      <c r="N785" s="553"/>
    </row>
    <row r="786" spans="3:14" ht="14.25" customHeight="1">
      <c r="C786" s="553"/>
      <c r="D786" s="553"/>
      <c r="E786" s="553"/>
      <c r="F786" s="553"/>
      <c r="G786" s="553"/>
      <c r="H786" s="553"/>
      <c r="I786" s="553"/>
      <c r="J786" s="553"/>
      <c r="K786" s="553"/>
      <c r="L786" s="553"/>
      <c r="M786" s="553"/>
      <c r="N786" s="553"/>
    </row>
    <row r="787" spans="3:14" ht="14.25" customHeight="1">
      <c r="C787" s="553"/>
      <c r="D787" s="553"/>
      <c r="E787" s="553"/>
      <c r="F787" s="553"/>
      <c r="G787" s="553"/>
      <c r="H787" s="553"/>
      <c r="I787" s="553"/>
      <c r="J787" s="553"/>
      <c r="K787" s="553"/>
      <c r="L787" s="553"/>
      <c r="M787" s="553"/>
      <c r="N787" s="553"/>
    </row>
    <row r="788" spans="3:14" ht="14.25" customHeight="1">
      <c r="C788" s="553"/>
      <c r="D788" s="553"/>
      <c r="E788" s="553"/>
      <c r="F788" s="553"/>
      <c r="G788" s="553"/>
      <c r="H788" s="553"/>
      <c r="I788" s="553"/>
      <c r="J788" s="553"/>
      <c r="K788" s="553"/>
      <c r="L788" s="553"/>
      <c r="M788" s="553"/>
      <c r="N788" s="553"/>
    </row>
    <row r="789" spans="3:14" ht="14.25" customHeight="1">
      <c r="C789" s="553"/>
      <c r="D789" s="553"/>
      <c r="E789" s="553"/>
      <c r="F789" s="553"/>
      <c r="G789" s="553"/>
      <c r="H789" s="553"/>
      <c r="I789" s="553"/>
      <c r="J789" s="553"/>
      <c r="K789" s="553"/>
      <c r="L789" s="553"/>
      <c r="M789" s="553"/>
      <c r="N789" s="553"/>
    </row>
    <row r="790" spans="3:14" ht="14.25" customHeight="1">
      <c r="C790" s="553"/>
      <c r="D790" s="553"/>
      <c r="E790" s="553"/>
      <c r="F790" s="553"/>
      <c r="G790" s="553"/>
      <c r="H790" s="553"/>
      <c r="I790" s="553"/>
      <c r="J790" s="553"/>
      <c r="K790" s="553"/>
      <c r="L790" s="553"/>
      <c r="M790" s="553"/>
      <c r="N790" s="553"/>
    </row>
    <row r="791" spans="3:14" ht="14.25" customHeight="1">
      <c r="C791" s="553"/>
      <c r="D791" s="553"/>
      <c r="E791" s="553"/>
      <c r="F791" s="553"/>
      <c r="G791" s="553"/>
      <c r="H791" s="553"/>
      <c r="I791" s="553"/>
      <c r="J791" s="553"/>
      <c r="K791" s="553"/>
      <c r="L791" s="553"/>
      <c r="M791" s="553"/>
      <c r="N791" s="553"/>
    </row>
    <row r="792" spans="3:14" ht="14.25" customHeight="1">
      <c r="C792" s="553"/>
      <c r="D792" s="553"/>
      <c r="E792" s="553"/>
      <c r="F792" s="553"/>
      <c r="G792" s="553"/>
      <c r="H792" s="553"/>
      <c r="I792" s="553"/>
      <c r="J792" s="553"/>
      <c r="K792" s="553"/>
      <c r="L792" s="553"/>
      <c r="M792" s="553"/>
      <c r="N792" s="553"/>
    </row>
    <row r="793" spans="3:14" ht="14.25" customHeight="1">
      <c r="C793" s="553"/>
      <c r="D793" s="553"/>
      <c r="E793" s="553"/>
      <c r="F793" s="553"/>
      <c r="G793" s="553"/>
      <c r="H793" s="553"/>
      <c r="I793" s="553"/>
      <c r="J793" s="553"/>
      <c r="K793" s="553"/>
      <c r="L793" s="553"/>
      <c r="M793" s="553"/>
      <c r="N793" s="553"/>
    </row>
    <row r="794" spans="3:14" ht="14.25" customHeight="1">
      <c r="C794" s="553"/>
      <c r="D794" s="553"/>
      <c r="E794" s="553"/>
      <c r="F794" s="553"/>
      <c r="G794" s="553"/>
      <c r="H794" s="553"/>
      <c r="I794" s="553"/>
      <c r="J794" s="553"/>
      <c r="K794" s="553"/>
      <c r="L794" s="553"/>
      <c r="M794" s="553"/>
      <c r="N794" s="553"/>
    </row>
    <row r="795" spans="3:14" ht="14.25" customHeight="1">
      <c r="C795" s="553"/>
      <c r="D795" s="553"/>
      <c r="E795" s="553"/>
      <c r="F795" s="553"/>
      <c r="G795" s="553"/>
      <c r="H795" s="553"/>
      <c r="I795" s="553"/>
      <c r="J795" s="553"/>
      <c r="K795" s="553"/>
      <c r="L795" s="553"/>
      <c r="M795" s="553"/>
      <c r="N795" s="553"/>
    </row>
    <row r="796" spans="3:14" ht="14.25" customHeight="1">
      <c r="C796" s="553"/>
      <c r="D796" s="553"/>
      <c r="E796" s="553"/>
      <c r="F796" s="553"/>
      <c r="G796" s="553"/>
      <c r="H796" s="553"/>
      <c r="I796" s="553"/>
      <c r="J796" s="553"/>
      <c r="K796" s="553"/>
      <c r="L796" s="553"/>
      <c r="M796" s="553"/>
      <c r="N796" s="553"/>
    </row>
    <row r="797" spans="3:14" ht="14.25" customHeight="1">
      <c r="C797" s="553"/>
      <c r="D797" s="553"/>
      <c r="E797" s="553"/>
      <c r="F797" s="553"/>
      <c r="G797" s="553"/>
      <c r="H797" s="553"/>
      <c r="I797" s="553"/>
      <c r="J797" s="553"/>
      <c r="K797" s="553"/>
      <c r="L797" s="553"/>
      <c r="M797" s="553"/>
      <c r="N797" s="553"/>
    </row>
    <row r="798" spans="3:14" ht="14.25" customHeight="1">
      <c r="C798" s="553"/>
      <c r="D798" s="553"/>
      <c r="E798" s="553"/>
      <c r="F798" s="553"/>
      <c r="G798" s="553"/>
      <c r="H798" s="553"/>
      <c r="I798" s="553"/>
      <c r="J798" s="553"/>
      <c r="K798" s="553"/>
      <c r="L798" s="553"/>
      <c r="M798" s="553"/>
      <c r="N798" s="553"/>
    </row>
    <row r="799" spans="3:14" ht="14.25" customHeight="1">
      <c r="C799" s="553"/>
      <c r="D799" s="553"/>
      <c r="E799" s="553"/>
      <c r="F799" s="553"/>
      <c r="G799" s="553"/>
      <c r="H799" s="553"/>
      <c r="I799" s="553"/>
      <c r="J799" s="553"/>
      <c r="K799" s="553"/>
      <c r="L799" s="553"/>
      <c r="M799" s="553"/>
      <c r="N799" s="553"/>
    </row>
    <row r="800" spans="3:14" ht="14.25" customHeight="1">
      <c r="C800" s="553"/>
      <c r="D800" s="553"/>
      <c r="E800" s="553"/>
      <c r="F800" s="553"/>
      <c r="G800" s="553"/>
      <c r="H800" s="553"/>
      <c r="I800" s="553"/>
      <c r="J800" s="553"/>
      <c r="K800" s="553"/>
      <c r="L800" s="553"/>
      <c r="M800" s="553"/>
      <c r="N800" s="553"/>
    </row>
    <row r="801" spans="3:14" ht="14.25" customHeight="1">
      <c r="C801" s="553"/>
      <c r="D801" s="553"/>
      <c r="E801" s="553"/>
      <c r="F801" s="553"/>
      <c r="G801" s="553"/>
      <c r="H801" s="553"/>
      <c r="I801" s="553"/>
      <c r="J801" s="553"/>
      <c r="K801" s="553"/>
      <c r="L801" s="553"/>
      <c r="M801" s="553"/>
      <c r="N801" s="553"/>
    </row>
    <row r="802" spans="3:14" ht="14.25" customHeight="1">
      <c r="C802" s="553"/>
      <c r="D802" s="553"/>
      <c r="E802" s="553"/>
      <c r="F802" s="553"/>
      <c r="G802" s="553"/>
      <c r="H802" s="553"/>
      <c r="I802" s="553"/>
      <c r="J802" s="553"/>
      <c r="K802" s="553"/>
      <c r="L802" s="553"/>
      <c r="M802" s="553"/>
      <c r="N802" s="553"/>
    </row>
    <row r="803" spans="3:14" ht="14.25" customHeight="1">
      <c r="C803" s="553"/>
      <c r="D803" s="553"/>
      <c r="E803" s="553"/>
      <c r="F803" s="553"/>
      <c r="G803" s="553"/>
      <c r="H803" s="553"/>
      <c r="I803" s="553"/>
      <c r="J803" s="553"/>
      <c r="K803" s="553"/>
      <c r="L803" s="553"/>
      <c r="M803" s="553"/>
      <c r="N803" s="553"/>
    </row>
    <row r="804" spans="3:14" ht="14.25" customHeight="1">
      <c r="C804" s="553"/>
      <c r="D804" s="553"/>
      <c r="E804" s="553"/>
      <c r="F804" s="553"/>
      <c r="G804" s="553"/>
      <c r="H804" s="553"/>
      <c r="I804" s="553"/>
      <c r="J804" s="553"/>
      <c r="K804" s="553"/>
      <c r="L804" s="553"/>
      <c r="M804" s="553"/>
      <c r="N804" s="553"/>
    </row>
    <row r="805" spans="3:14" ht="14.25" customHeight="1">
      <c r="C805" s="553"/>
      <c r="D805" s="553"/>
      <c r="E805" s="553"/>
      <c r="F805" s="553"/>
      <c r="G805" s="553"/>
      <c r="H805" s="553"/>
      <c r="I805" s="553"/>
      <c r="J805" s="553"/>
      <c r="K805" s="553"/>
      <c r="L805" s="553"/>
      <c r="M805" s="553"/>
      <c r="N805" s="553"/>
    </row>
    <row r="806" spans="3:14" ht="14.25" customHeight="1">
      <c r="C806" s="553"/>
      <c r="D806" s="553"/>
      <c r="E806" s="553"/>
      <c r="F806" s="553"/>
      <c r="G806" s="553"/>
      <c r="H806" s="553"/>
      <c r="I806" s="553"/>
      <c r="J806" s="553"/>
      <c r="K806" s="553"/>
      <c r="L806" s="553"/>
      <c r="M806" s="553"/>
      <c r="N806" s="553"/>
    </row>
    <row r="807" spans="3:14" ht="14.25" customHeight="1">
      <c r="C807" s="553"/>
      <c r="D807" s="553"/>
      <c r="E807" s="553"/>
      <c r="F807" s="553"/>
      <c r="G807" s="553"/>
      <c r="H807" s="553"/>
      <c r="I807" s="553"/>
      <c r="J807" s="553"/>
      <c r="K807" s="553"/>
      <c r="L807" s="553"/>
      <c r="M807" s="553"/>
      <c r="N807" s="553"/>
    </row>
    <row r="808" spans="3:14" ht="14.25" customHeight="1">
      <c r="C808" s="553"/>
      <c r="D808" s="553"/>
      <c r="E808" s="553"/>
      <c r="F808" s="553"/>
      <c r="G808" s="553"/>
      <c r="H808" s="553"/>
      <c r="I808" s="553"/>
      <c r="J808" s="553"/>
      <c r="K808" s="553"/>
      <c r="L808" s="553"/>
      <c r="M808" s="553"/>
      <c r="N808" s="553"/>
    </row>
    <row r="809" spans="3:14" ht="14.25" customHeight="1">
      <c r="C809" s="553"/>
      <c r="D809" s="553"/>
      <c r="E809" s="553"/>
      <c r="F809" s="553"/>
      <c r="G809" s="553"/>
      <c r="H809" s="553"/>
      <c r="I809" s="553"/>
      <c r="J809" s="553"/>
      <c r="K809" s="553"/>
      <c r="L809" s="553"/>
      <c r="M809" s="553"/>
      <c r="N809" s="553"/>
    </row>
  </sheetData>
  <mergeCells count="15">
    <mergeCell ref="N3:N4"/>
    <mergeCell ref="O3:O4"/>
    <mergeCell ref="P3:P4"/>
    <mergeCell ref="G3:G4"/>
    <mergeCell ref="H3:H4"/>
    <mergeCell ref="I3:I4"/>
    <mergeCell ref="J3:K3"/>
    <mergeCell ref="L3:L4"/>
    <mergeCell ref="M3:M4"/>
    <mergeCell ref="F3:F4"/>
    <mergeCell ref="A3:A4"/>
    <mergeCell ref="B3:B4"/>
    <mergeCell ref="C3:C4"/>
    <mergeCell ref="D3:D4"/>
    <mergeCell ref="E3:E4"/>
  </mergeCells>
  <pageMargins left="0.7" right="0.7" top="0.75" bottom="0.75" header="0.3" footer="0.3"/>
  <pageSetup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1264"/>
  <sheetViews>
    <sheetView zoomScale="80" zoomScaleNormal="80" workbookViewId="0">
      <pane ySplit="2" topLeftCell="A210" activePane="bottomLeft" state="frozen"/>
      <selection pane="bottomLeft" activeCell="C515" sqref="C515"/>
    </sheetView>
  </sheetViews>
  <sheetFormatPr baseColWidth="10" defaultColWidth="8.83203125" defaultRowHeight="13"/>
  <cols>
    <col min="2" max="2" width="55.5" customWidth="1"/>
    <col min="3" max="3" width="12.5" customWidth="1"/>
    <col min="4" max="13" width="10.5" customWidth="1"/>
    <col min="14" max="14" width="12.5" customWidth="1"/>
    <col min="15" max="15" width="10.5" customWidth="1"/>
    <col min="16" max="16" width="20.5" customWidth="1"/>
  </cols>
  <sheetData>
    <row r="1" spans="1:16" ht="19.5" customHeight="1">
      <c r="A1" s="3239" t="s">
        <v>1</v>
      </c>
      <c r="B1" s="3240" t="s">
        <v>68</v>
      </c>
      <c r="C1" s="3240" t="s">
        <v>77</v>
      </c>
      <c r="D1" s="3240" t="s">
        <v>78</v>
      </c>
      <c r="E1" s="3240" t="s">
        <v>79</v>
      </c>
      <c r="F1" s="3240" t="s">
        <v>6</v>
      </c>
      <c r="G1" s="3240" t="s">
        <v>999</v>
      </c>
      <c r="H1" s="3240" t="s">
        <v>977</v>
      </c>
      <c r="I1" s="3240" t="s">
        <v>978</v>
      </c>
      <c r="J1" s="3240" t="s">
        <v>1000</v>
      </c>
      <c r="K1" s="3240"/>
      <c r="L1" s="3240" t="s">
        <v>213</v>
      </c>
      <c r="M1" s="3240" t="s">
        <v>80</v>
      </c>
      <c r="N1" s="3240" t="s">
        <v>81</v>
      </c>
      <c r="O1" s="3240" t="s">
        <v>82</v>
      </c>
      <c r="P1" s="3241" t="s">
        <v>83</v>
      </c>
    </row>
    <row r="2" spans="1:16" ht="19.5" customHeight="1">
      <c r="A2" s="3239"/>
      <c r="B2" s="3240"/>
      <c r="C2" s="3240"/>
      <c r="D2" s="3240"/>
      <c r="E2" s="3240"/>
      <c r="F2" s="3240"/>
      <c r="G2" s="3240"/>
      <c r="H2" s="3240"/>
      <c r="I2" s="3240"/>
      <c r="J2" s="921" t="s">
        <v>1001</v>
      </c>
      <c r="K2" s="921" t="s">
        <v>1002</v>
      </c>
      <c r="L2" s="3240"/>
      <c r="M2" s="3240"/>
      <c r="N2" s="3240"/>
      <c r="O2" s="3240"/>
      <c r="P2" s="3241"/>
    </row>
    <row r="3" spans="1:16" ht="7.5" customHeight="1">
      <c r="A3" s="442"/>
      <c r="B3" s="442"/>
      <c r="C3" s="442"/>
      <c r="D3" s="442"/>
      <c r="E3" s="442"/>
      <c r="F3" s="442"/>
      <c r="G3" s="442"/>
      <c r="H3" s="442"/>
      <c r="I3" s="442"/>
      <c r="J3" s="442"/>
      <c r="K3" s="442"/>
      <c r="L3" s="442"/>
      <c r="M3" s="442"/>
      <c r="N3" s="442"/>
      <c r="O3" s="442"/>
      <c r="P3" s="922"/>
    </row>
    <row r="4" spans="1:16" ht="7.5" customHeight="1">
      <c r="A4" s="857"/>
      <c r="B4" s="858"/>
      <c r="C4" s="858"/>
      <c r="D4" s="858"/>
      <c r="E4" s="858"/>
      <c r="F4" s="858"/>
      <c r="G4" s="858"/>
      <c r="H4" s="858"/>
      <c r="I4" s="858"/>
      <c r="J4" s="858"/>
      <c r="K4" s="858"/>
      <c r="L4" s="858"/>
      <c r="M4" s="858"/>
      <c r="N4" s="858"/>
      <c r="O4" s="858"/>
      <c r="P4" s="923"/>
    </row>
    <row r="5" spans="1:16" ht="15.75" customHeight="1">
      <c r="A5" s="425" t="s">
        <v>392</v>
      </c>
      <c r="B5" s="426" t="s">
        <v>1428</v>
      </c>
      <c r="C5" s="428"/>
      <c r="D5" s="428" t="s">
        <v>1429</v>
      </c>
      <c r="E5" s="428"/>
      <c r="F5" s="428"/>
      <c r="G5" s="428"/>
      <c r="H5" s="428"/>
      <c r="I5" s="428"/>
      <c r="J5" s="428"/>
      <c r="K5" s="428"/>
      <c r="L5" s="428"/>
      <c r="M5" s="428"/>
      <c r="N5" s="428"/>
      <c r="O5" s="362"/>
      <c r="P5" s="842"/>
    </row>
    <row r="6" spans="1:16" ht="15.75" customHeight="1">
      <c r="A6" s="425"/>
      <c r="B6" s="1056" t="s">
        <v>1430</v>
      </c>
      <c r="C6" s="428"/>
      <c r="D6" s="428"/>
      <c r="E6" s="428"/>
      <c r="F6" s="428"/>
      <c r="G6" s="428"/>
      <c r="H6" s="428"/>
      <c r="I6" s="428"/>
      <c r="J6" s="428"/>
      <c r="K6" s="428"/>
      <c r="L6" s="428"/>
      <c r="M6" s="428"/>
      <c r="N6" s="443">
        <f>SUM(N7:N8)</f>
        <v>3.73</v>
      </c>
      <c r="O6" s="362"/>
      <c r="P6" s="842"/>
    </row>
    <row r="7" spans="1:16" ht="15.75" customHeight="1">
      <c r="A7" s="425"/>
      <c r="B7" s="843" t="s">
        <v>1431</v>
      </c>
      <c r="C7" s="428">
        <v>0</v>
      </c>
      <c r="D7" s="428">
        <v>0</v>
      </c>
      <c r="E7" s="428"/>
      <c r="F7" s="428"/>
      <c r="G7" s="428"/>
      <c r="H7" s="428"/>
      <c r="I7" s="428"/>
      <c r="J7" s="428"/>
      <c r="K7" s="428"/>
      <c r="L7" s="428"/>
      <c r="M7" s="428"/>
      <c r="N7" s="428">
        <f>SUM(C7:M7)</f>
        <v>0</v>
      </c>
      <c r="O7" s="362"/>
      <c r="P7" s="842"/>
    </row>
    <row r="8" spans="1:16" ht="15.75" customHeight="1">
      <c r="A8" s="425"/>
      <c r="B8" s="843" t="s">
        <v>1432</v>
      </c>
      <c r="C8" s="428">
        <v>3.13</v>
      </c>
      <c r="D8" s="428">
        <v>0.6</v>
      </c>
      <c r="E8" s="428"/>
      <c r="F8" s="428"/>
      <c r="G8" s="428"/>
      <c r="H8" s="428"/>
      <c r="I8" s="428"/>
      <c r="J8" s="428"/>
      <c r="K8" s="428"/>
      <c r="L8" s="428"/>
      <c r="M8" s="428"/>
      <c r="N8" s="428">
        <f>SUM(C8:M8)</f>
        <v>3.73</v>
      </c>
      <c r="O8" s="362"/>
      <c r="P8" s="842"/>
    </row>
    <row r="9" spans="1:16" ht="15.75" customHeight="1">
      <c r="A9" s="425"/>
      <c r="B9" s="1056" t="s">
        <v>1433</v>
      </c>
      <c r="C9" s="428"/>
      <c r="D9" s="428"/>
      <c r="E9" s="428"/>
      <c r="F9" s="428"/>
      <c r="G9" s="428"/>
      <c r="H9" s="428"/>
      <c r="I9" s="428"/>
      <c r="J9" s="428"/>
      <c r="K9" s="428"/>
      <c r="L9" s="428"/>
      <c r="M9" s="428"/>
      <c r="N9" s="443">
        <f>SUM(N10:N13)</f>
        <v>34.72</v>
      </c>
      <c r="O9" s="362"/>
      <c r="P9" s="842"/>
    </row>
    <row r="10" spans="1:16" ht="15.75" customHeight="1">
      <c r="A10" s="425"/>
      <c r="B10" s="843" t="s">
        <v>1434</v>
      </c>
      <c r="C10" s="428">
        <v>2.04</v>
      </c>
      <c r="D10" s="428">
        <v>3.8</v>
      </c>
      <c r="E10" s="428"/>
      <c r="F10" s="428"/>
      <c r="G10" s="428"/>
      <c r="H10" s="428">
        <v>2</v>
      </c>
      <c r="I10" s="428"/>
      <c r="J10" s="428"/>
      <c r="K10" s="428"/>
      <c r="L10" s="428"/>
      <c r="M10" s="428"/>
      <c r="N10" s="428">
        <f>C10*H10</f>
        <v>4.08</v>
      </c>
      <c r="O10" s="362"/>
      <c r="P10" s="842"/>
    </row>
    <row r="11" spans="1:16" ht="15.75" customHeight="1">
      <c r="A11" s="425"/>
      <c r="B11" s="843" t="s">
        <v>223</v>
      </c>
      <c r="C11" s="428">
        <v>15.32</v>
      </c>
      <c r="D11" s="428">
        <v>3</v>
      </c>
      <c r="E11" s="428"/>
      <c r="F11" s="428"/>
      <c r="G11" s="428"/>
      <c r="H11" s="428">
        <f>H10</f>
        <v>2</v>
      </c>
      <c r="I11" s="428"/>
      <c r="J11" s="428"/>
      <c r="K11" s="428"/>
      <c r="L11" s="428"/>
      <c r="M11" s="428"/>
      <c r="N11" s="428">
        <f>C11*H11</f>
        <v>30.64</v>
      </c>
      <c r="O11" s="362"/>
      <c r="P11" s="842"/>
    </row>
    <row r="12" spans="1:16" ht="15.75" customHeight="1">
      <c r="A12" s="425"/>
      <c r="B12" s="843" t="s">
        <v>1435</v>
      </c>
      <c r="C12" s="428">
        <v>0</v>
      </c>
      <c r="D12" s="428"/>
      <c r="E12" s="428"/>
      <c r="F12" s="428"/>
      <c r="G12" s="428"/>
      <c r="H12" s="428">
        <v>4</v>
      </c>
      <c r="I12" s="428"/>
      <c r="J12" s="428"/>
      <c r="K12" s="428"/>
      <c r="L12" s="428"/>
      <c r="M12" s="428">
        <v>12</v>
      </c>
      <c r="N12" s="428">
        <f>C12*H12</f>
        <v>0</v>
      </c>
      <c r="O12" s="362"/>
      <c r="P12" s="842"/>
    </row>
    <row r="13" spans="1:16" ht="15.75" customHeight="1">
      <c r="A13" s="425"/>
      <c r="B13" s="843" t="s">
        <v>1436</v>
      </c>
      <c r="C13" s="428">
        <v>0</v>
      </c>
      <c r="D13" s="428"/>
      <c r="E13" s="428"/>
      <c r="F13" s="428"/>
      <c r="G13" s="428"/>
      <c r="H13" s="428">
        <v>1</v>
      </c>
      <c r="I13" s="428"/>
      <c r="J13" s="428"/>
      <c r="K13" s="428"/>
      <c r="L13" s="428"/>
      <c r="M13" s="428"/>
      <c r="N13" s="428">
        <f>C13*H13</f>
        <v>0</v>
      </c>
      <c r="O13" s="362"/>
      <c r="P13" s="842"/>
    </row>
    <row r="14" spans="1:16" ht="15.75" customHeight="1">
      <c r="A14" s="425"/>
      <c r="B14" s="1057" t="s">
        <v>1437</v>
      </c>
      <c r="C14" s="428"/>
      <c r="D14" s="428"/>
      <c r="E14" s="428"/>
      <c r="F14" s="428"/>
      <c r="G14" s="428"/>
      <c r="H14" s="428"/>
      <c r="I14" s="428"/>
      <c r="J14" s="428"/>
      <c r="K14" s="428"/>
      <c r="L14" s="428"/>
      <c r="M14" s="428"/>
      <c r="N14" s="1058">
        <f>SUM(N15:N27)</f>
        <v>3.12</v>
      </c>
      <c r="O14" s="362"/>
      <c r="P14" s="842"/>
    </row>
    <row r="15" spans="1:16" ht="15.75" customHeight="1">
      <c r="A15" s="425"/>
      <c r="B15" s="843"/>
      <c r="C15" s="428">
        <v>0</v>
      </c>
      <c r="D15" s="428"/>
      <c r="E15" s="428"/>
      <c r="F15" s="428"/>
      <c r="G15" s="428"/>
      <c r="H15" s="428"/>
      <c r="I15" s="428"/>
      <c r="J15" s="428"/>
      <c r="K15" s="428"/>
      <c r="L15" s="428"/>
      <c r="M15" s="428"/>
      <c r="N15" s="1059">
        <f t="shared" ref="N15:N27" si="0">C15</f>
        <v>0</v>
      </c>
      <c r="O15" s="362"/>
      <c r="P15" s="842"/>
    </row>
    <row r="16" spans="1:16" ht="15.75" customHeight="1">
      <c r="A16" s="425"/>
      <c r="B16" s="843" t="s">
        <v>1438</v>
      </c>
      <c r="C16" s="428">
        <v>1.65</v>
      </c>
      <c r="D16" s="428">
        <v>3.2</v>
      </c>
      <c r="E16" s="428"/>
      <c r="F16" s="428"/>
      <c r="G16" s="428"/>
      <c r="H16" s="428"/>
      <c r="I16" s="428"/>
      <c r="J16" s="428"/>
      <c r="K16" s="428"/>
      <c r="L16" s="428"/>
      <c r="M16" s="428"/>
      <c r="N16" s="1059">
        <f t="shared" si="0"/>
        <v>1.65</v>
      </c>
      <c r="O16" s="362"/>
      <c r="P16" s="842"/>
    </row>
    <row r="17" spans="1:16" ht="15.75" customHeight="1">
      <c r="A17" s="425"/>
      <c r="B17" s="843" t="s">
        <v>1439</v>
      </c>
      <c r="C17" s="428">
        <v>1.47</v>
      </c>
      <c r="D17" s="428">
        <v>2</v>
      </c>
      <c r="E17" s="428"/>
      <c r="F17" s="428"/>
      <c r="G17" s="428"/>
      <c r="H17" s="428"/>
      <c r="I17" s="428"/>
      <c r="J17" s="428"/>
      <c r="K17" s="428"/>
      <c r="L17" s="428"/>
      <c r="M17" s="428"/>
      <c r="N17" s="1059">
        <f t="shared" si="0"/>
        <v>1.47</v>
      </c>
      <c r="O17" s="362"/>
      <c r="P17" s="842"/>
    </row>
    <row r="18" spans="1:16" ht="15.75" customHeight="1">
      <c r="A18" s="425"/>
      <c r="B18" s="843"/>
      <c r="C18" s="428">
        <v>0</v>
      </c>
      <c r="D18" s="428"/>
      <c r="E18" s="428"/>
      <c r="F18" s="428"/>
      <c r="G18" s="428"/>
      <c r="H18" s="428"/>
      <c r="I18" s="428"/>
      <c r="J18" s="428"/>
      <c r="K18" s="428"/>
      <c r="L18" s="428"/>
      <c r="M18" s="428"/>
      <c r="N18" s="1059">
        <f t="shared" si="0"/>
        <v>0</v>
      </c>
      <c r="O18" s="362"/>
      <c r="P18" s="842"/>
    </row>
    <row r="19" spans="1:16" ht="15.75" customHeight="1">
      <c r="A19" s="425"/>
      <c r="B19" s="843" t="s">
        <v>1440</v>
      </c>
      <c r="C19" s="428">
        <v>0</v>
      </c>
      <c r="D19" s="428"/>
      <c r="E19" s="428"/>
      <c r="F19" s="428"/>
      <c r="G19" s="428"/>
      <c r="H19" s="428"/>
      <c r="I19" s="428"/>
      <c r="J19" s="428"/>
      <c r="K19" s="428"/>
      <c r="L19" s="428"/>
      <c r="M19" s="428"/>
      <c r="N19" s="1059">
        <f t="shared" si="0"/>
        <v>0</v>
      </c>
      <c r="O19" s="362"/>
      <c r="P19" s="842"/>
    </row>
    <row r="20" spans="1:16" ht="15.75" customHeight="1">
      <c r="A20" s="425"/>
      <c r="B20" s="843" t="s">
        <v>1441</v>
      </c>
      <c r="C20" s="428">
        <v>0</v>
      </c>
      <c r="D20" s="428"/>
      <c r="E20" s="428"/>
      <c r="F20" s="428"/>
      <c r="G20" s="428"/>
      <c r="H20" s="428"/>
      <c r="I20" s="428"/>
      <c r="J20" s="428"/>
      <c r="K20" s="428"/>
      <c r="L20" s="428"/>
      <c r="M20" s="428"/>
      <c r="N20" s="1059">
        <f t="shared" si="0"/>
        <v>0</v>
      </c>
      <c r="O20" s="362"/>
      <c r="P20" s="842"/>
    </row>
    <row r="21" spans="1:16" ht="15.75" customHeight="1">
      <c r="A21" s="425"/>
      <c r="B21" s="843"/>
      <c r="C21" s="428">
        <v>0</v>
      </c>
      <c r="D21" s="428"/>
      <c r="E21" s="428"/>
      <c r="F21" s="428"/>
      <c r="G21" s="428"/>
      <c r="H21" s="428"/>
      <c r="I21" s="428"/>
      <c r="J21" s="428"/>
      <c r="K21" s="428"/>
      <c r="L21" s="428"/>
      <c r="M21" s="428"/>
      <c r="N21" s="1059">
        <f t="shared" si="0"/>
        <v>0</v>
      </c>
      <c r="O21" s="362"/>
      <c r="P21" s="842"/>
    </row>
    <row r="22" spans="1:16" ht="15.75" customHeight="1">
      <c r="A22" s="425"/>
      <c r="B22" s="843" t="s">
        <v>1442</v>
      </c>
      <c r="C22" s="428">
        <v>0</v>
      </c>
      <c r="D22" s="428"/>
      <c r="E22" s="428"/>
      <c r="F22" s="428"/>
      <c r="G22" s="428"/>
      <c r="H22" s="428"/>
      <c r="I22" s="428"/>
      <c r="J22" s="428"/>
      <c r="K22" s="428"/>
      <c r="L22" s="428"/>
      <c r="M22" s="428"/>
      <c r="N22" s="1059">
        <f t="shared" si="0"/>
        <v>0</v>
      </c>
      <c r="O22" s="362"/>
      <c r="P22" s="842"/>
    </row>
    <row r="23" spans="1:16" ht="15.75" customHeight="1">
      <c r="A23" s="425"/>
      <c r="B23" s="843" t="s">
        <v>1443</v>
      </c>
      <c r="C23" s="428">
        <v>0</v>
      </c>
      <c r="D23" s="428"/>
      <c r="E23" s="428"/>
      <c r="F23" s="428"/>
      <c r="G23" s="428"/>
      <c r="H23" s="428"/>
      <c r="I23" s="428"/>
      <c r="J23" s="428"/>
      <c r="K23" s="428"/>
      <c r="L23" s="428"/>
      <c r="M23" s="428"/>
      <c r="N23" s="1059">
        <f t="shared" si="0"/>
        <v>0</v>
      </c>
      <c r="O23" s="362"/>
      <c r="P23" s="842"/>
    </row>
    <row r="24" spans="1:16" ht="15.75" customHeight="1">
      <c r="A24" s="425"/>
      <c r="B24" s="843" t="s">
        <v>1444</v>
      </c>
      <c r="C24" s="428">
        <v>0</v>
      </c>
      <c r="D24" s="428"/>
      <c r="E24" s="428"/>
      <c r="F24" s="428"/>
      <c r="G24" s="428"/>
      <c r="H24" s="428"/>
      <c r="I24" s="428"/>
      <c r="J24" s="428"/>
      <c r="K24" s="428"/>
      <c r="L24" s="428"/>
      <c r="M24" s="428"/>
      <c r="N24" s="1059">
        <f t="shared" si="0"/>
        <v>0</v>
      </c>
      <c r="O24" s="362"/>
      <c r="P24" s="842"/>
    </row>
    <row r="25" spans="1:16" ht="15.75" customHeight="1">
      <c r="A25" s="425"/>
      <c r="B25" s="843" t="s">
        <v>1445</v>
      </c>
      <c r="C25" s="428">
        <v>0</v>
      </c>
      <c r="D25" s="428"/>
      <c r="E25" s="428"/>
      <c r="F25" s="428"/>
      <c r="G25" s="428"/>
      <c r="H25" s="428"/>
      <c r="I25" s="428"/>
      <c r="J25" s="428"/>
      <c r="K25" s="428"/>
      <c r="L25" s="428"/>
      <c r="M25" s="428"/>
      <c r="N25" s="1059">
        <f t="shared" si="0"/>
        <v>0</v>
      </c>
      <c r="O25" s="362"/>
      <c r="P25" s="842"/>
    </row>
    <row r="26" spans="1:16" ht="15.75" customHeight="1">
      <c r="A26" s="425"/>
      <c r="B26" s="843"/>
      <c r="C26" s="428">
        <v>0</v>
      </c>
      <c r="D26" s="428"/>
      <c r="E26" s="428"/>
      <c r="F26" s="428"/>
      <c r="G26" s="428"/>
      <c r="H26" s="428"/>
      <c r="I26" s="428"/>
      <c r="J26" s="428"/>
      <c r="K26" s="428"/>
      <c r="L26" s="428"/>
      <c r="M26" s="428"/>
      <c r="N26" s="1059">
        <f t="shared" si="0"/>
        <v>0</v>
      </c>
      <c r="O26" s="362"/>
      <c r="P26" s="842"/>
    </row>
    <row r="27" spans="1:16" ht="15.75" customHeight="1">
      <c r="A27" s="425"/>
      <c r="B27" s="843"/>
      <c r="C27" s="428">
        <v>0</v>
      </c>
      <c r="D27" s="428"/>
      <c r="E27" s="428"/>
      <c r="F27" s="428"/>
      <c r="G27" s="428"/>
      <c r="H27" s="428"/>
      <c r="I27" s="428"/>
      <c r="J27" s="428"/>
      <c r="K27" s="428"/>
      <c r="L27" s="428"/>
      <c r="M27" s="428"/>
      <c r="N27" s="1059">
        <f t="shared" si="0"/>
        <v>0</v>
      </c>
      <c r="O27" s="362"/>
      <c r="P27" s="842"/>
    </row>
    <row r="28" spans="1:16" ht="15.75" customHeight="1">
      <c r="A28" s="425" t="s">
        <v>394</v>
      </c>
      <c r="B28" s="446" t="s">
        <v>1446</v>
      </c>
      <c r="C28" s="428"/>
      <c r="D28" s="428"/>
      <c r="E28" s="428"/>
      <c r="F28" s="428"/>
      <c r="G28" s="428"/>
      <c r="H28" s="428"/>
      <c r="I28" s="428"/>
      <c r="J28" s="428"/>
      <c r="K28" s="428"/>
      <c r="L28" s="428"/>
      <c r="M28" s="428"/>
      <c r="N28" s="428"/>
      <c r="O28" s="362"/>
      <c r="P28" s="860"/>
    </row>
    <row r="29" spans="1:16" ht="15.75" customHeight="1">
      <c r="A29" s="429">
        <v>1</v>
      </c>
      <c r="B29" s="71" t="s">
        <v>850</v>
      </c>
      <c r="C29" s="428"/>
      <c r="D29" s="428"/>
      <c r="E29" s="428"/>
      <c r="F29" s="428"/>
      <c r="G29" s="428"/>
      <c r="H29" s="428"/>
      <c r="I29" s="428"/>
      <c r="J29" s="428"/>
      <c r="K29" s="428"/>
      <c r="L29" s="428"/>
      <c r="M29" s="428"/>
      <c r="N29" s="428"/>
      <c r="O29" s="362"/>
      <c r="P29" s="860"/>
    </row>
    <row r="30" spans="1:16" ht="15.75" customHeight="1">
      <c r="A30" s="429"/>
      <c r="B30" s="458" t="str">
        <f>B6</f>
        <v>Panjang Saluran Akses Jalan Masuk</v>
      </c>
      <c r="C30" s="428">
        <f>N6</f>
        <v>3.73</v>
      </c>
      <c r="D30" s="428"/>
      <c r="E30" s="428"/>
      <c r="F30" s="428"/>
      <c r="G30" s="428"/>
      <c r="H30" s="428"/>
      <c r="I30" s="428"/>
      <c r="J30" s="428"/>
      <c r="K30" s="428"/>
      <c r="L30" s="428"/>
      <c r="M30" s="428"/>
      <c r="N30" s="1060">
        <f>SUM(C30:M30)</f>
        <v>3.73</v>
      </c>
      <c r="O30" s="1060"/>
      <c r="P30" s="860"/>
    </row>
    <row r="31" spans="1:16" ht="15.75" customHeight="1">
      <c r="A31" s="429"/>
      <c r="B31" s="458" t="str">
        <f>B9</f>
        <v>Jalan Utama</v>
      </c>
      <c r="C31" s="428">
        <f>N9</f>
        <v>34.72</v>
      </c>
      <c r="D31" s="428"/>
      <c r="E31" s="428"/>
      <c r="F31" s="428"/>
      <c r="G31" s="428"/>
      <c r="H31" s="428"/>
      <c r="I31" s="428"/>
      <c r="J31" s="428"/>
      <c r="K31" s="428"/>
      <c r="L31" s="428"/>
      <c r="M31" s="428"/>
      <c r="N31" s="1060">
        <f>SUM(C31:M31)</f>
        <v>34.72</v>
      </c>
      <c r="O31" s="1060"/>
      <c r="P31" s="860"/>
    </row>
    <row r="32" spans="1:16" ht="15.75" customHeight="1">
      <c r="A32" s="429"/>
      <c r="B32" s="458" t="str">
        <f>B14</f>
        <v>Pedestrian sisi Luar dari kiri</v>
      </c>
      <c r="C32" s="428">
        <f>N14</f>
        <v>3.12</v>
      </c>
      <c r="D32" s="428"/>
      <c r="E32" s="428"/>
      <c r="F32" s="428"/>
      <c r="G32" s="428"/>
      <c r="H32" s="428"/>
      <c r="I32" s="428"/>
      <c r="J32" s="428"/>
      <c r="K32" s="428"/>
      <c r="L32" s="428"/>
      <c r="M32" s="428"/>
      <c r="N32" s="1061">
        <f>SUM(C32:M32)</f>
        <v>3.12</v>
      </c>
      <c r="O32" s="1060"/>
      <c r="P32" s="860"/>
    </row>
    <row r="33" spans="1:18" ht="15.75" customHeight="1">
      <c r="A33" s="429"/>
      <c r="B33" s="458"/>
      <c r="C33" s="428"/>
      <c r="D33" s="428"/>
      <c r="E33" s="428"/>
      <c r="F33" s="428"/>
      <c r="G33" s="428"/>
      <c r="H33" s="428"/>
      <c r="I33" s="428"/>
      <c r="J33" s="428" t="s">
        <v>1447</v>
      </c>
      <c r="K33" s="428"/>
      <c r="L33" s="428"/>
      <c r="M33" s="428"/>
      <c r="N33" s="1062">
        <f>SUM(N30:N32)*0+100</f>
        <v>100</v>
      </c>
      <c r="O33" s="1062" t="s">
        <v>117</v>
      </c>
      <c r="P33" s="860">
        <f>ROUND((N33),2)</f>
        <v>100</v>
      </c>
      <c r="R33" t="s">
        <v>1448</v>
      </c>
    </row>
    <row r="34" spans="1:18" ht="15.75" customHeight="1">
      <c r="A34" s="429">
        <f>A29+1</f>
        <v>2</v>
      </c>
      <c r="B34" s="71" t="s">
        <v>851</v>
      </c>
      <c r="C34" s="428">
        <f>N33</f>
        <v>100</v>
      </c>
      <c r="D34" s="428">
        <v>1</v>
      </c>
      <c r="E34" s="428">
        <v>0.8</v>
      </c>
      <c r="F34" s="428"/>
      <c r="G34" s="428"/>
      <c r="H34" s="428"/>
      <c r="I34" s="428"/>
      <c r="J34" s="428"/>
      <c r="K34" s="428"/>
      <c r="L34" s="428"/>
      <c r="M34" s="428"/>
      <c r="N34" s="428">
        <f>C34*D34*E34</f>
        <v>80</v>
      </c>
      <c r="O34" s="362" t="s">
        <v>103</v>
      </c>
      <c r="P34" s="1063">
        <f>ROUND((N34),2)</f>
        <v>80</v>
      </c>
    </row>
    <row r="35" spans="1:18" ht="15.75" customHeight="1">
      <c r="A35" s="429">
        <f>A34+1</f>
        <v>3</v>
      </c>
      <c r="B35" s="71" t="s">
        <v>852</v>
      </c>
      <c r="C35" s="428">
        <f>C34</f>
        <v>100</v>
      </c>
      <c r="D35" s="428">
        <f>D34</f>
        <v>1</v>
      </c>
      <c r="E35" s="428">
        <v>0.8</v>
      </c>
      <c r="F35" s="428"/>
      <c r="G35" s="428"/>
      <c r="H35" s="428"/>
      <c r="I35" s="428"/>
      <c r="J35" s="428"/>
      <c r="K35" s="428"/>
      <c r="L35" s="428"/>
      <c r="M35" s="428"/>
      <c r="N35" s="428">
        <f>C35*D35*E35</f>
        <v>80</v>
      </c>
      <c r="O35" s="362" t="s">
        <v>103</v>
      </c>
      <c r="P35" s="1063">
        <f>ROUND((N35),2)</f>
        <v>80</v>
      </c>
    </row>
    <row r="36" spans="1:18" ht="15.75" customHeight="1">
      <c r="A36" s="429">
        <f>A35+1</f>
        <v>4</v>
      </c>
      <c r="B36" s="46" t="s">
        <v>853</v>
      </c>
      <c r="C36" s="428"/>
      <c r="D36" s="1064"/>
      <c r="E36" s="428"/>
      <c r="F36" s="428"/>
      <c r="G36" s="428"/>
      <c r="H36" s="428"/>
      <c r="I36" s="428"/>
      <c r="J36" s="428"/>
      <c r="K36" s="428"/>
      <c r="L36" s="428"/>
      <c r="M36" s="428"/>
      <c r="N36" s="428"/>
      <c r="O36" s="1065"/>
      <c r="P36" s="860"/>
    </row>
    <row r="37" spans="1:18" ht="15.75" customHeight="1">
      <c r="A37" s="429"/>
      <c r="B37" s="458" t="s">
        <v>1449</v>
      </c>
      <c r="C37" s="428">
        <f>C35</f>
        <v>100</v>
      </c>
      <c r="D37" s="428">
        <v>0.2</v>
      </c>
      <c r="E37" s="428">
        <v>0.8</v>
      </c>
      <c r="F37" s="428"/>
      <c r="G37" s="428"/>
      <c r="H37" s="428">
        <v>2</v>
      </c>
      <c r="I37" s="428"/>
      <c r="J37" s="428"/>
      <c r="K37" s="428"/>
      <c r="L37" s="428"/>
      <c r="M37" s="428"/>
      <c r="N37" s="428">
        <f>C37*D37*E37*H37</f>
        <v>32</v>
      </c>
      <c r="O37" s="1065"/>
      <c r="P37" s="860"/>
    </row>
    <row r="38" spans="1:18" ht="15.75" customHeight="1">
      <c r="A38" s="429"/>
      <c r="B38" s="458" t="s">
        <v>1450</v>
      </c>
      <c r="C38" s="428">
        <f>C37</f>
        <v>100</v>
      </c>
      <c r="D38" s="428">
        <v>0.6</v>
      </c>
      <c r="E38" s="428">
        <v>0.05</v>
      </c>
      <c r="F38" s="428"/>
      <c r="G38" s="428"/>
      <c r="H38" s="428"/>
      <c r="I38" s="428"/>
      <c r="J38" s="428"/>
      <c r="K38" s="428"/>
      <c r="L38" s="428"/>
      <c r="M38" s="428"/>
      <c r="N38" s="428">
        <f>C38*D38*E38</f>
        <v>3</v>
      </c>
      <c r="O38" s="1065"/>
      <c r="P38" s="860"/>
    </row>
    <row r="39" spans="1:18" ht="15.75" customHeight="1">
      <c r="A39" s="429"/>
      <c r="B39" s="46"/>
      <c r="C39" s="428"/>
      <c r="D39" s="428"/>
      <c r="E39" s="428"/>
      <c r="F39" s="428"/>
      <c r="G39" s="428"/>
      <c r="H39" s="428"/>
      <c r="I39" s="428"/>
      <c r="J39" s="428"/>
      <c r="K39" s="428"/>
      <c r="L39" s="428"/>
      <c r="M39" s="428"/>
      <c r="N39" s="443">
        <f>SUM(N37:N38)</f>
        <v>35</v>
      </c>
      <c r="O39" s="444" t="s">
        <v>103</v>
      </c>
      <c r="P39" s="860">
        <f>ROUND((N39),2)</f>
        <v>35</v>
      </c>
    </row>
    <row r="40" spans="1:18" ht="15.75" customHeight="1">
      <c r="A40" s="429">
        <f>A36+1</f>
        <v>5</v>
      </c>
      <c r="B40" s="327" t="s">
        <v>854</v>
      </c>
      <c r="C40" s="428">
        <f>C38</f>
        <v>100</v>
      </c>
      <c r="D40" s="428">
        <v>0.6</v>
      </c>
      <c r="E40" s="428">
        <v>0.05</v>
      </c>
      <c r="F40" s="428"/>
      <c r="G40" s="428"/>
      <c r="H40" s="428"/>
      <c r="I40" s="428"/>
      <c r="J40" s="428"/>
      <c r="K40" s="428"/>
      <c r="L40" s="428"/>
      <c r="M40" s="428"/>
      <c r="N40" s="428">
        <f>C40*D40*E40</f>
        <v>3</v>
      </c>
      <c r="O40" s="362" t="s">
        <v>103</v>
      </c>
      <c r="P40" s="860">
        <f>ROUND((N40),2)</f>
        <v>3</v>
      </c>
    </row>
    <row r="41" spans="1:18" ht="15.75" customHeight="1">
      <c r="A41" s="429">
        <f>A40+1</f>
        <v>6</v>
      </c>
      <c r="B41" s="351" t="s">
        <v>855</v>
      </c>
      <c r="C41" s="428">
        <f>(1.595+1.61)/2</f>
        <v>1.6025</v>
      </c>
      <c r="D41" s="428"/>
      <c r="E41" s="428"/>
      <c r="F41" s="1066">
        <f>ROUNDUP((C34/3),0.1)</f>
        <v>34</v>
      </c>
      <c r="G41" s="428"/>
      <c r="H41" s="428"/>
      <c r="I41" s="428"/>
      <c r="J41" s="428">
        <v>0.05</v>
      </c>
      <c r="K41" s="428"/>
      <c r="L41" s="428"/>
      <c r="M41" s="428"/>
      <c r="N41" s="390">
        <f>(C41+J41)*F41</f>
        <v>56.185000000000002</v>
      </c>
      <c r="O41" s="349" t="s">
        <v>117</v>
      </c>
      <c r="P41" s="860">
        <f>ROUND((N41),2)</f>
        <v>56.19</v>
      </c>
    </row>
    <row r="42" spans="1:18" ht="15.75" customHeight="1">
      <c r="A42" s="429">
        <f>A41+1</f>
        <v>7</v>
      </c>
      <c r="B42" s="327" t="s">
        <v>193</v>
      </c>
      <c r="C42" s="428"/>
      <c r="D42" s="428"/>
      <c r="E42" s="428"/>
      <c r="F42" s="428"/>
      <c r="G42" s="428"/>
      <c r="H42" s="428"/>
      <c r="I42" s="428"/>
      <c r="J42" s="428"/>
      <c r="K42" s="428"/>
      <c r="L42" s="428"/>
      <c r="M42" s="428"/>
      <c r="N42" s="390"/>
      <c r="O42" s="433"/>
      <c r="P42" s="860"/>
    </row>
    <row r="43" spans="1:18" ht="15.75" customHeight="1">
      <c r="A43" s="429"/>
      <c r="B43" s="458" t="s">
        <v>1345</v>
      </c>
      <c r="C43" s="428">
        <f>C37</f>
        <v>100</v>
      </c>
      <c r="D43" s="428">
        <v>0.1</v>
      </c>
      <c r="E43" s="428"/>
      <c r="F43" s="428"/>
      <c r="G43" s="428"/>
      <c r="H43" s="428"/>
      <c r="I43" s="428"/>
      <c r="J43" s="428"/>
      <c r="K43" s="428"/>
      <c r="L43" s="428"/>
      <c r="M43" s="428"/>
      <c r="N43" s="428">
        <f>C43*D43</f>
        <v>10</v>
      </c>
      <c r="O43" s="1065"/>
      <c r="P43" s="860"/>
    </row>
    <row r="44" spans="1:18" ht="15.75" customHeight="1">
      <c r="A44" s="429"/>
      <c r="B44" s="458" t="s">
        <v>1451</v>
      </c>
      <c r="C44" s="428">
        <f>C43</f>
        <v>100</v>
      </c>
      <c r="D44" s="428"/>
      <c r="E44" s="428">
        <f>0.1+0.2</f>
        <v>0.30000000000000004</v>
      </c>
      <c r="F44" s="428"/>
      <c r="G44" s="428"/>
      <c r="H44" s="428"/>
      <c r="I44" s="428"/>
      <c r="J44" s="428"/>
      <c r="K44" s="428"/>
      <c r="L44" s="428"/>
      <c r="M44" s="428"/>
      <c r="N44" s="590">
        <f>C44*E44</f>
        <v>30.000000000000004</v>
      </c>
      <c r="O44" s="1065"/>
      <c r="P44" s="860"/>
    </row>
    <row r="45" spans="1:18" ht="15.75" customHeight="1">
      <c r="A45" s="429"/>
      <c r="B45" s="327"/>
      <c r="C45" s="428"/>
      <c r="D45" s="428"/>
      <c r="E45" s="428"/>
      <c r="F45" s="428"/>
      <c r="G45" s="428"/>
      <c r="H45" s="428"/>
      <c r="I45" s="428"/>
      <c r="J45" s="428"/>
      <c r="K45" s="428"/>
      <c r="L45" s="428"/>
      <c r="M45" s="428"/>
      <c r="N45" s="841">
        <f>SUM(N43:N44)</f>
        <v>40</v>
      </c>
      <c r="O45" s="85" t="s">
        <v>89</v>
      </c>
      <c r="P45" s="860">
        <f>ROUND((N45),2)</f>
        <v>40</v>
      </c>
    </row>
    <row r="46" spans="1:18" ht="15.75" customHeight="1">
      <c r="A46" s="429">
        <f>A42+1</f>
        <v>8</v>
      </c>
      <c r="B46" s="327" t="s">
        <v>857</v>
      </c>
      <c r="C46" s="428" t="s">
        <v>1022</v>
      </c>
      <c r="D46" s="428"/>
      <c r="E46" s="428"/>
      <c r="F46" s="428"/>
      <c r="G46" s="428"/>
      <c r="H46" s="428"/>
      <c r="I46" s="428"/>
      <c r="J46" s="428"/>
      <c r="K46" s="428"/>
      <c r="L46" s="428"/>
      <c r="M46" s="428"/>
      <c r="N46" s="390">
        <f>N45</f>
        <v>40</v>
      </c>
      <c r="O46" s="84" t="s">
        <v>89</v>
      </c>
      <c r="P46" s="860">
        <f>ROUND((N46),2)</f>
        <v>40</v>
      </c>
    </row>
    <row r="47" spans="1:18" ht="15.75" customHeight="1">
      <c r="A47" s="429">
        <f>A46+1</f>
        <v>9</v>
      </c>
      <c r="B47" s="327" t="s">
        <v>858</v>
      </c>
      <c r="C47" s="428">
        <f>C43</f>
        <v>100</v>
      </c>
      <c r="D47" s="428"/>
      <c r="E47" s="428"/>
      <c r="F47" s="428"/>
      <c r="G47" s="428"/>
      <c r="H47" s="428">
        <v>2</v>
      </c>
      <c r="I47" s="428"/>
      <c r="J47" s="428"/>
      <c r="K47" s="428"/>
      <c r="L47" s="428"/>
      <c r="M47" s="428"/>
      <c r="N47" s="428">
        <f>C47*H47</f>
        <v>200</v>
      </c>
      <c r="O47" s="1065" t="s">
        <v>117</v>
      </c>
      <c r="P47" s="860">
        <f>ROUND((N47),2)</f>
        <v>200</v>
      </c>
    </row>
    <row r="48" spans="1:18" ht="15.75" customHeight="1">
      <c r="A48" s="429">
        <f>A47+1</f>
        <v>10</v>
      </c>
      <c r="B48" s="71" t="s">
        <v>859</v>
      </c>
      <c r="C48" s="428"/>
      <c r="D48" s="428"/>
      <c r="E48" s="428"/>
      <c r="F48" s="428"/>
      <c r="G48" s="428"/>
      <c r="H48" s="428"/>
      <c r="I48" s="428"/>
      <c r="J48" s="428"/>
      <c r="K48" s="428"/>
      <c r="L48" s="428"/>
      <c r="M48" s="428"/>
      <c r="N48" s="390"/>
      <c r="O48" s="1065"/>
      <c r="P48" s="860"/>
    </row>
    <row r="49" spans="1:16" ht="15.75" customHeight="1">
      <c r="A49" s="458" t="s">
        <v>95</v>
      </c>
      <c r="B49" s="71" t="s">
        <v>211</v>
      </c>
      <c r="C49" s="428"/>
      <c r="D49" s="428"/>
      <c r="E49" s="428"/>
      <c r="F49" s="428"/>
      <c r="G49" s="428"/>
      <c r="H49" s="428"/>
      <c r="I49" s="428"/>
      <c r="J49" s="428"/>
      <c r="K49" s="428"/>
      <c r="L49" s="428"/>
      <c r="M49" s="428"/>
      <c r="N49" s="390"/>
      <c r="O49" s="1065"/>
      <c r="P49" s="860"/>
    </row>
    <row r="50" spans="1:16" ht="15.75" customHeight="1">
      <c r="A50" s="458"/>
      <c r="B50" s="458" t="str">
        <f>B13</f>
        <v>Akses masuk Bangunan Beku</v>
      </c>
      <c r="C50" s="428">
        <v>1.5</v>
      </c>
      <c r="D50" s="1065">
        <v>50</v>
      </c>
      <c r="E50" s="428"/>
      <c r="F50" s="428"/>
      <c r="G50" s="428"/>
      <c r="H50" s="428"/>
      <c r="I50" s="428"/>
      <c r="J50" s="428"/>
      <c r="K50" s="428"/>
      <c r="L50" s="428"/>
      <c r="M50" s="428">
        <v>1</v>
      </c>
      <c r="N50" s="390">
        <f t="shared" ref="N50:N55" si="1">C50*D50*M50</f>
        <v>75</v>
      </c>
      <c r="O50" s="1065"/>
      <c r="P50" s="860"/>
    </row>
    <row r="51" spans="1:16" ht="15.75" customHeight="1">
      <c r="A51" s="458"/>
      <c r="B51" s="458" t="str">
        <f>B16</f>
        <v>Jalan Samping Parkiran</v>
      </c>
      <c r="C51" s="428">
        <f>C50</f>
        <v>1.5</v>
      </c>
      <c r="D51" s="428">
        <f>C17</f>
        <v>1.47</v>
      </c>
      <c r="E51" s="428"/>
      <c r="F51" s="428"/>
      <c r="G51" s="428"/>
      <c r="H51" s="428"/>
      <c r="I51" s="428"/>
      <c r="J51" s="428"/>
      <c r="K51" s="428"/>
      <c r="L51" s="428"/>
      <c r="M51" s="428"/>
      <c r="N51" s="390">
        <f t="shared" si="1"/>
        <v>0</v>
      </c>
      <c r="O51" s="1065"/>
      <c r="P51" s="860"/>
    </row>
    <row r="52" spans="1:16" ht="15.75" customHeight="1">
      <c r="A52" s="458"/>
      <c r="B52" s="458" t="str">
        <f>B19</f>
        <v>depan bangunan beku</v>
      </c>
      <c r="C52" s="428">
        <f>C51</f>
        <v>1.5</v>
      </c>
      <c r="D52" s="428">
        <f>C19</f>
        <v>0</v>
      </c>
      <c r="E52" s="428"/>
      <c r="F52" s="428"/>
      <c r="G52" s="428"/>
      <c r="H52" s="428"/>
      <c r="I52" s="428"/>
      <c r="J52" s="428"/>
      <c r="K52" s="428"/>
      <c r="L52" s="428"/>
      <c r="M52" s="428"/>
      <c r="N52" s="390">
        <f t="shared" si="1"/>
        <v>0</v>
      </c>
      <c r="O52" s="1065"/>
      <c r="P52" s="860"/>
    </row>
    <row r="53" spans="1:16" ht="15.75" customHeight="1">
      <c r="A53" s="458"/>
      <c r="B53" s="458" t="str">
        <f>B20</f>
        <v>depan area parkir</v>
      </c>
      <c r="C53" s="428">
        <f>C52</f>
        <v>1.5</v>
      </c>
      <c r="D53" s="428">
        <f>C21</f>
        <v>0</v>
      </c>
      <c r="E53" s="428"/>
      <c r="F53" s="428"/>
      <c r="G53" s="428"/>
      <c r="H53" s="428"/>
      <c r="I53" s="428"/>
      <c r="J53" s="428"/>
      <c r="K53" s="428"/>
      <c r="L53" s="428"/>
      <c r="M53" s="428"/>
      <c r="N53" s="390">
        <f t="shared" si="1"/>
        <v>0</v>
      </c>
      <c r="O53" s="1065"/>
      <c r="P53" s="860"/>
    </row>
    <row r="54" spans="1:16" ht="15.75" customHeight="1">
      <c r="A54" s="458"/>
      <c r="B54" s="458" t="str">
        <f>B23</f>
        <v>sodetan depan Bale Nelayan</v>
      </c>
      <c r="C54" s="428">
        <f>C53</f>
        <v>1.5</v>
      </c>
      <c r="D54" s="428">
        <f>C23</f>
        <v>0</v>
      </c>
      <c r="E54" s="428"/>
      <c r="F54" s="428"/>
      <c r="G54" s="428"/>
      <c r="H54" s="428"/>
      <c r="I54" s="428"/>
      <c r="J54" s="428"/>
      <c r="K54" s="428"/>
      <c r="L54" s="428"/>
      <c r="M54" s="428"/>
      <c r="N54" s="390">
        <f t="shared" si="1"/>
        <v>0</v>
      </c>
      <c r="O54" s="1065"/>
      <c r="P54" s="860"/>
    </row>
    <row r="55" spans="1:16" ht="15.75" customHeight="1">
      <c r="A55" s="458"/>
      <c r="B55" s="458" t="str">
        <f>B25</f>
        <v>depan bengkel</v>
      </c>
      <c r="C55" s="428">
        <f>C54</f>
        <v>1.5</v>
      </c>
      <c r="D55" s="428">
        <f>C25</f>
        <v>0</v>
      </c>
      <c r="E55" s="428"/>
      <c r="F55" s="428"/>
      <c r="G55" s="428"/>
      <c r="H55" s="428"/>
      <c r="I55" s="428"/>
      <c r="J55" s="428"/>
      <c r="K55" s="428"/>
      <c r="L55" s="428"/>
      <c r="M55" s="428"/>
      <c r="N55" s="390">
        <f t="shared" si="1"/>
        <v>0</v>
      </c>
      <c r="O55" s="1065"/>
      <c r="P55" s="860"/>
    </row>
    <row r="56" spans="1:16" ht="15.75" customHeight="1">
      <c r="A56" s="458"/>
      <c r="B56" s="458" t="s">
        <v>1452</v>
      </c>
      <c r="C56" s="428">
        <v>1.5</v>
      </c>
      <c r="D56" s="428"/>
      <c r="E56" s="428"/>
      <c r="F56" s="428"/>
      <c r="G56" s="428"/>
      <c r="H56" s="428"/>
      <c r="I56" s="428"/>
      <c r="J56" s="428"/>
      <c r="K56" s="428"/>
      <c r="L56" s="428"/>
      <c r="M56" s="428"/>
      <c r="N56" s="390"/>
      <c r="O56" s="1065"/>
      <c r="P56" s="860"/>
    </row>
    <row r="57" spans="1:16" ht="15.75" customHeight="1">
      <c r="A57" s="458"/>
      <c r="B57" s="458" t="s">
        <v>1453</v>
      </c>
      <c r="C57" s="428">
        <f t="shared" ref="C57:C73" si="2">C56</f>
        <v>1.5</v>
      </c>
      <c r="D57" s="428"/>
      <c r="E57" s="428"/>
      <c r="F57" s="428"/>
      <c r="G57" s="428"/>
      <c r="H57" s="428"/>
      <c r="I57" s="428"/>
      <c r="J57" s="428"/>
      <c r="K57" s="428"/>
      <c r="L57" s="428"/>
      <c r="M57" s="428"/>
      <c r="N57" s="390"/>
      <c r="O57" s="1065"/>
      <c r="P57" s="860"/>
    </row>
    <row r="58" spans="1:16" ht="15.75" customHeight="1">
      <c r="A58" s="458"/>
      <c r="B58" s="458" t="s">
        <v>1454</v>
      </c>
      <c r="C58" s="428">
        <f t="shared" si="2"/>
        <v>1.5</v>
      </c>
      <c r="D58" s="428"/>
      <c r="E58" s="428"/>
      <c r="F58" s="428"/>
      <c r="G58" s="428"/>
      <c r="H58" s="428"/>
      <c r="I58" s="428"/>
      <c r="J58" s="428"/>
      <c r="K58" s="428"/>
      <c r="L58" s="428"/>
      <c r="M58" s="428"/>
      <c r="N58" s="390"/>
      <c r="O58" s="1065"/>
      <c r="P58" s="860"/>
    </row>
    <row r="59" spans="1:16" ht="15.75" customHeight="1">
      <c r="A59" s="458"/>
      <c r="B59" s="458" t="s">
        <v>1455</v>
      </c>
      <c r="C59" s="428">
        <f t="shared" si="2"/>
        <v>1.5</v>
      </c>
      <c r="D59" s="428"/>
      <c r="E59" s="428"/>
      <c r="F59" s="428"/>
      <c r="G59" s="428"/>
      <c r="H59" s="428"/>
      <c r="I59" s="428"/>
      <c r="J59" s="428"/>
      <c r="K59" s="428"/>
      <c r="L59" s="428"/>
      <c r="M59" s="428"/>
      <c r="N59" s="390"/>
      <c r="O59" s="1065"/>
      <c r="P59" s="860"/>
    </row>
    <row r="60" spans="1:16" ht="15.75" customHeight="1">
      <c r="A60" s="458"/>
      <c r="B60" s="458" t="s">
        <v>1456</v>
      </c>
      <c r="C60" s="428">
        <f t="shared" si="2"/>
        <v>1.5</v>
      </c>
      <c r="D60" s="428"/>
      <c r="E60" s="428"/>
      <c r="F60" s="428"/>
      <c r="G60" s="428"/>
      <c r="H60" s="428"/>
      <c r="I60" s="428"/>
      <c r="J60" s="428"/>
      <c r="K60" s="428"/>
      <c r="L60" s="428"/>
      <c r="M60" s="428"/>
      <c r="N60" s="390"/>
      <c r="O60" s="1065"/>
      <c r="P60" s="860"/>
    </row>
    <row r="61" spans="1:16" ht="15.75" customHeight="1">
      <c r="A61" s="458"/>
      <c r="B61" s="458" t="s">
        <v>1457</v>
      </c>
      <c r="C61" s="428">
        <f t="shared" si="2"/>
        <v>1.5</v>
      </c>
      <c r="D61" s="428"/>
      <c r="E61" s="428"/>
      <c r="F61" s="428"/>
      <c r="G61" s="428"/>
      <c r="H61" s="428"/>
      <c r="I61" s="428"/>
      <c r="J61" s="428"/>
      <c r="K61" s="428"/>
      <c r="L61" s="428"/>
      <c r="M61" s="428"/>
      <c r="N61" s="390"/>
      <c r="O61" s="1065"/>
      <c r="P61" s="860"/>
    </row>
    <row r="62" spans="1:16" ht="15.75" customHeight="1">
      <c r="A62" s="458"/>
      <c r="B62" s="458" t="s">
        <v>1458</v>
      </c>
      <c r="C62" s="428">
        <f t="shared" si="2"/>
        <v>1.5</v>
      </c>
      <c r="D62" s="428"/>
      <c r="E62" s="428"/>
      <c r="F62" s="428"/>
      <c r="G62" s="428"/>
      <c r="H62" s="428"/>
      <c r="I62" s="428"/>
      <c r="J62" s="428"/>
      <c r="K62" s="428"/>
      <c r="L62" s="428"/>
      <c r="M62" s="428"/>
      <c r="N62" s="390"/>
      <c r="O62" s="1065"/>
      <c r="P62" s="860"/>
    </row>
    <row r="63" spans="1:16" ht="15.75" customHeight="1">
      <c r="A63" s="458"/>
      <c r="B63" s="458" t="s">
        <v>1459</v>
      </c>
      <c r="C63" s="428">
        <f t="shared" si="2"/>
        <v>1.5</v>
      </c>
      <c r="D63" s="428"/>
      <c r="E63" s="428"/>
      <c r="F63" s="428"/>
      <c r="G63" s="428"/>
      <c r="H63" s="428"/>
      <c r="I63" s="428"/>
      <c r="J63" s="428"/>
      <c r="K63" s="428"/>
      <c r="L63" s="428"/>
      <c r="M63" s="428"/>
      <c r="N63" s="390"/>
      <c r="O63" s="1065"/>
      <c r="P63" s="860"/>
    </row>
    <row r="64" spans="1:16" ht="15.75" customHeight="1">
      <c r="A64" s="458"/>
      <c r="B64" s="458" t="s">
        <v>1460</v>
      </c>
      <c r="C64" s="428">
        <f t="shared" si="2"/>
        <v>1.5</v>
      </c>
      <c r="D64" s="428"/>
      <c r="E64" s="428"/>
      <c r="F64" s="428"/>
      <c r="G64" s="428"/>
      <c r="H64" s="428"/>
      <c r="I64" s="428"/>
      <c r="J64" s="428"/>
      <c r="K64" s="428"/>
      <c r="L64" s="428"/>
      <c r="M64" s="428"/>
      <c r="N64" s="390"/>
      <c r="O64" s="1065"/>
      <c r="P64" s="860"/>
    </row>
    <row r="65" spans="1:16" ht="15.75" customHeight="1">
      <c r="A65" s="458"/>
      <c r="B65" s="458" t="s">
        <v>1461</v>
      </c>
      <c r="C65" s="428">
        <f t="shared" si="2"/>
        <v>1.5</v>
      </c>
      <c r="D65" s="428"/>
      <c r="E65" s="428"/>
      <c r="F65" s="428"/>
      <c r="G65" s="428"/>
      <c r="H65" s="428"/>
      <c r="I65" s="428"/>
      <c r="J65" s="428"/>
      <c r="K65" s="428"/>
      <c r="L65" s="428"/>
      <c r="M65" s="428"/>
      <c r="N65" s="390"/>
      <c r="O65" s="1065"/>
      <c r="P65" s="860"/>
    </row>
    <row r="66" spans="1:16" ht="15.75" customHeight="1">
      <c r="A66" s="458"/>
      <c r="B66" s="458" t="s">
        <v>1462</v>
      </c>
      <c r="C66" s="428">
        <f t="shared" si="2"/>
        <v>1.5</v>
      </c>
      <c r="D66" s="428">
        <v>0</v>
      </c>
      <c r="E66" s="428"/>
      <c r="F66" s="428"/>
      <c r="G66" s="428"/>
      <c r="H66" s="428"/>
      <c r="I66" s="428"/>
      <c r="J66" s="428"/>
      <c r="K66" s="428"/>
      <c r="L66" s="428"/>
      <c r="M66" s="428"/>
      <c r="N66" s="390">
        <f>C66*D66*M66</f>
        <v>0</v>
      </c>
      <c r="O66" s="1065"/>
      <c r="P66" s="860"/>
    </row>
    <row r="67" spans="1:16" ht="15.75" customHeight="1">
      <c r="A67" s="458"/>
      <c r="B67" s="458" t="s">
        <v>1463</v>
      </c>
      <c r="C67" s="428">
        <f t="shared" si="2"/>
        <v>1.5</v>
      </c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390"/>
      <c r="O67" s="1065"/>
      <c r="P67" s="860"/>
    </row>
    <row r="68" spans="1:16" ht="15.75" customHeight="1">
      <c r="A68" s="458"/>
      <c r="B68" s="458" t="s">
        <v>1464</v>
      </c>
      <c r="C68" s="428">
        <f t="shared" si="2"/>
        <v>1.5</v>
      </c>
      <c r="D68" s="428">
        <v>5</v>
      </c>
      <c r="E68" s="428"/>
      <c r="F68" s="428"/>
      <c r="G68" s="428"/>
      <c r="H68" s="428"/>
      <c r="I68" s="428"/>
      <c r="J68" s="428"/>
      <c r="K68" s="428"/>
      <c r="L68" s="428"/>
      <c r="M68" s="428"/>
      <c r="N68" s="390">
        <f>C68*D68*M68</f>
        <v>0</v>
      </c>
      <c r="O68" s="1065"/>
      <c r="P68" s="860"/>
    </row>
    <row r="69" spans="1:16" ht="15.75" customHeight="1">
      <c r="A69" s="458"/>
      <c r="B69" s="458" t="s">
        <v>1465</v>
      </c>
      <c r="C69" s="428">
        <f t="shared" si="2"/>
        <v>1.5</v>
      </c>
      <c r="D69" s="428">
        <v>0</v>
      </c>
      <c r="E69" s="428"/>
      <c r="F69" s="428"/>
      <c r="G69" s="428"/>
      <c r="H69" s="428"/>
      <c r="I69" s="428"/>
      <c r="J69" s="428"/>
      <c r="K69" s="428"/>
      <c r="L69" s="428"/>
      <c r="M69" s="428"/>
      <c r="N69" s="390"/>
      <c r="O69" s="1065"/>
      <c r="P69" s="860"/>
    </row>
    <row r="70" spans="1:16" ht="15.75" customHeight="1">
      <c r="A70" s="458"/>
      <c r="B70" s="458" t="s">
        <v>1466</v>
      </c>
      <c r="C70" s="428">
        <f t="shared" si="2"/>
        <v>1.5</v>
      </c>
      <c r="D70" s="428"/>
      <c r="E70" s="428"/>
      <c r="F70" s="428"/>
      <c r="G70" s="428"/>
      <c r="H70" s="428"/>
      <c r="I70" s="428"/>
      <c r="J70" s="428"/>
      <c r="K70" s="428"/>
      <c r="L70" s="428"/>
      <c r="M70" s="428"/>
      <c r="N70" s="390"/>
      <c r="O70" s="1065"/>
      <c r="P70" s="860"/>
    </row>
    <row r="71" spans="1:16" ht="15.75" customHeight="1">
      <c r="A71" s="458"/>
      <c r="B71" s="458" t="s">
        <v>1467</v>
      </c>
      <c r="C71" s="428">
        <f t="shared" si="2"/>
        <v>1.5</v>
      </c>
      <c r="D71" s="428">
        <v>3</v>
      </c>
      <c r="E71" s="428"/>
      <c r="F71" s="428"/>
      <c r="G71" s="428"/>
      <c r="H71" s="428"/>
      <c r="I71" s="428"/>
      <c r="J71" s="428"/>
      <c r="K71" s="428"/>
      <c r="L71" s="428"/>
      <c r="M71" s="428"/>
      <c r="N71" s="390">
        <f>C71*D71*M71</f>
        <v>0</v>
      </c>
      <c r="O71" s="1065"/>
      <c r="P71" s="860"/>
    </row>
    <row r="72" spans="1:16" ht="15.75" customHeight="1">
      <c r="A72" s="458"/>
      <c r="B72" s="458" t="s">
        <v>1468</v>
      </c>
      <c r="C72" s="428">
        <f t="shared" si="2"/>
        <v>1.5</v>
      </c>
      <c r="D72" s="428">
        <v>0</v>
      </c>
      <c r="E72" s="428"/>
      <c r="F72" s="428"/>
      <c r="G72" s="428"/>
      <c r="H72" s="428"/>
      <c r="I72" s="428"/>
      <c r="J72" s="428"/>
      <c r="K72" s="428"/>
      <c r="L72" s="428"/>
      <c r="M72" s="428"/>
      <c r="N72" s="390"/>
      <c r="O72" s="1065"/>
      <c r="P72" s="860"/>
    </row>
    <row r="73" spans="1:16" ht="15.75" customHeight="1">
      <c r="A73" s="458"/>
      <c r="B73" s="458" t="s">
        <v>1469</v>
      </c>
      <c r="C73" s="428">
        <f t="shared" si="2"/>
        <v>1.5</v>
      </c>
      <c r="D73" s="428"/>
      <c r="E73" s="428"/>
      <c r="F73" s="428"/>
      <c r="G73" s="428"/>
      <c r="H73" s="428"/>
      <c r="I73" s="428"/>
      <c r="J73" s="428"/>
      <c r="K73" s="428"/>
      <c r="L73" s="428"/>
      <c r="M73" s="428"/>
      <c r="N73" s="869"/>
      <c r="O73" s="1065"/>
      <c r="P73" s="860"/>
    </row>
    <row r="74" spans="1:16" ht="15.75" customHeight="1">
      <c r="A74" s="458"/>
      <c r="B74" s="71"/>
      <c r="C74" s="428"/>
      <c r="D74" s="428"/>
      <c r="E74" s="428"/>
      <c r="F74" s="428"/>
      <c r="G74" s="428"/>
      <c r="H74" s="428"/>
      <c r="I74" s="428"/>
      <c r="J74" s="428"/>
      <c r="K74" s="428"/>
      <c r="L74" s="428"/>
      <c r="M74" s="428"/>
      <c r="N74" s="390">
        <f>SUM(N50:N73)</f>
        <v>75</v>
      </c>
      <c r="O74" s="84" t="s">
        <v>89</v>
      </c>
      <c r="P74" s="860">
        <f>ROUND((N74),2)</f>
        <v>75</v>
      </c>
    </row>
    <row r="75" spans="1:16" ht="15.75" customHeight="1">
      <c r="A75" s="458" t="s">
        <v>98</v>
      </c>
      <c r="B75" s="71" t="s">
        <v>385</v>
      </c>
      <c r="C75" s="428"/>
      <c r="D75" s="428"/>
      <c r="E75" s="428"/>
      <c r="F75" s="428"/>
      <c r="G75" s="428"/>
      <c r="H75" s="428"/>
      <c r="I75" s="428"/>
      <c r="J75" s="428"/>
      <c r="K75" s="428"/>
      <c r="L75" s="428"/>
      <c r="M75" s="428"/>
      <c r="N75" s="390"/>
      <c r="O75" s="1065"/>
      <c r="P75" s="860"/>
    </row>
    <row r="76" spans="1:16" ht="15.75" customHeight="1">
      <c r="A76" s="458"/>
      <c r="B76" s="1067" t="str">
        <f>B50</f>
        <v>Akses masuk Bangunan Beku</v>
      </c>
      <c r="C76" s="428">
        <f>C50</f>
        <v>1.5</v>
      </c>
      <c r="D76" s="428"/>
      <c r="E76" s="428"/>
      <c r="F76" s="428"/>
      <c r="G76" s="428"/>
      <c r="H76" s="428"/>
      <c r="I76" s="428"/>
      <c r="J76" s="428"/>
      <c r="K76" s="428"/>
      <c r="L76" s="428"/>
      <c r="M76" s="428"/>
      <c r="N76" s="390"/>
      <c r="O76" s="1065"/>
      <c r="P76" s="860"/>
    </row>
    <row r="77" spans="1:16" ht="15.75" customHeight="1">
      <c r="A77" s="458"/>
      <c r="B77" s="1067" t="s">
        <v>227</v>
      </c>
      <c r="C77" s="428">
        <f>C76</f>
        <v>1.5</v>
      </c>
      <c r="D77" s="428"/>
      <c r="E77" s="1066"/>
      <c r="F77" s="1066">
        <f>ROUNDUP((C78/0.15),0.1)</f>
        <v>334</v>
      </c>
      <c r="G77" s="428"/>
      <c r="H77" s="428">
        <v>2</v>
      </c>
      <c r="I77" s="428"/>
      <c r="J77" s="428"/>
      <c r="K77" s="428"/>
      <c r="L77" s="428">
        <f>13*13*0.006165</f>
        <v>1.041885</v>
      </c>
      <c r="M77" s="428"/>
      <c r="N77" s="390">
        <f>C77*F77*H77*L77</f>
        <v>1043.9687699999999</v>
      </c>
      <c r="O77" s="1065"/>
      <c r="P77" s="860"/>
    </row>
    <row r="78" spans="1:16" ht="15.75" customHeight="1">
      <c r="A78" s="458"/>
      <c r="B78" s="1067" t="s">
        <v>226</v>
      </c>
      <c r="C78" s="428">
        <f>D50</f>
        <v>50</v>
      </c>
      <c r="D78" s="428"/>
      <c r="E78" s="1066"/>
      <c r="F78" s="1066">
        <f>ROUNDUP((C77/0.15),0.1)</f>
        <v>10</v>
      </c>
      <c r="G78" s="428"/>
      <c r="H78" s="428">
        <f>H77</f>
        <v>2</v>
      </c>
      <c r="I78" s="428"/>
      <c r="J78" s="428"/>
      <c r="K78" s="428"/>
      <c r="L78" s="428">
        <f>L77</f>
        <v>1.041885</v>
      </c>
      <c r="M78" s="428"/>
      <c r="N78" s="390">
        <f>C78*F78*H78*L78</f>
        <v>1041.885</v>
      </c>
      <c r="O78" s="1065"/>
      <c r="P78" s="860"/>
    </row>
    <row r="79" spans="1:16" ht="15.75" customHeight="1">
      <c r="A79" s="458"/>
      <c r="B79" s="1067" t="str">
        <f>B51</f>
        <v>Jalan Samping Parkiran</v>
      </c>
      <c r="C79" s="428">
        <f>C51</f>
        <v>1.5</v>
      </c>
      <c r="D79" s="428"/>
      <c r="E79" s="428"/>
      <c r="F79" s="428"/>
      <c r="G79" s="428"/>
      <c r="H79" s="428"/>
      <c r="I79" s="428"/>
      <c r="J79" s="428"/>
      <c r="K79" s="428"/>
      <c r="L79" s="428"/>
      <c r="M79" s="428"/>
      <c r="N79" s="390"/>
      <c r="O79" s="1065"/>
      <c r="P79" s="860"/>
    </row>
    <row r="80" spans="1:16" ht="15.75" customHeight="1">
      <c r="A80" s="458"/>
      <c r="B80" s="1067" t="s">
        <v>227</v>
      </c>
      <c r="C80" s="428">
        <f>C79</f>
        <v>1.5</v>
      </c>
      <c r="D80" s="428"/>
      <c r="E80" s="428"/>
      <c r="F80" s="1066">
        <f>ROUNDUP((C81/0.15),0.1)</f>
        <v>10</v>
      </c>
      <c r="G80" s="428"/>
      <c r="H80" s="428">
        <v>2</v>
      </c>
      <c r="I80" s="428"/>
      <c r="J80" s="428"/>
      <c r="K80" s="428"/>
      <c r="L80" s="428"/>
      <c r="M80" s="428"/>
      <c r="N80" s="390">
        <f>C80*F80*H80*L80</f>
        <v>0</v>
      </c>
      <c r="O80" s="1065"/>
      <c r="P80" s="860"/>
    </row>
    <row r="81" spans="1:16" ht="15.75" customHeight="1">
      <c r="A81" s="458"/>
      <c r="B81" s="1067" t="s">
        <v>226</v>
      </c>
      <c r="C81" s="428">
        <f>D51</f>
        <v>1.47</v>
      </c>
      <c r="D81" s="428"/>
      <c r="E81" s="428"/>
      <c r="F81" s="1066">
        <f>ROUNDUP((C80/0.15),0.1)</f>
        <v>10</v>
      </c>
      <c r="G81" s="428"/>
      <c r="H81" s="428">
        <f>H80</f>
        <v>2</v>
      </c>
      <c r="I81" s="428"/>
      <c r="J81" s="428"/>
      <c r="K81" s="428"/>
      <c r="L81" s="428"/>
      <c r="M81" s="428"/>
      <c r="N81" s="390">
        <f>C81*F81*H81*L81</f>
        <v>0</v>
      </c>
      <c r="O81" s="1065"/>
      <c r="P81" s="860"/>
    </row>
    <row r="82" spans="1:16" ht="15.75" customHeight="1">
      <c r="A82" s="458"/>
      <c r="B82" s="1067" t="str">
        <f>B52</f>
        <v>depan bangunan beku</v>
      </c>
      <c r="C82" s="428">
        <f>C52</f>
        <v>1.5</v>
      </c>
      <c r="D82" s="428"/>
      <c r="E82" s="428"/>
      <c r="F82" s="428"/>
      <c r="G82" s="428"/>
      <c r="H82" s="428"/>
      <c r="I82" s="428"/>
      <c r="J82" s="428"/>
      <c r="K82" s="428"/>
      <c r="L82" s="428"/>
      <c r="M82" s="428"/>
      <c r="N82" s="390"/>
      <c r="O82" s="1065"/>
      <c r="P82" s="860"/>
    </row>
    <row r="83" spans="1:16" ht="15.75" customHeight="1">
      <c r="A83" s="458"/>
      <c r="B83" s="1067" t="s">
        <v>227</v>
      </c>
      <c r="C83" s="428">
        <f>C82</f>
        <v>1.5</v>
      </c>
      <c r="D83" s="428"/>
      <c r="E83" s="428"/>
      <c r="F83" s="1066">
        <f>ROUNDUP((C84/0.15),0.1)</f>
        <v>0</v>
      </c>
      <c r="G83" s="428"/>
      <c r="H83" s="428">
        <v>2</v>
      </c>
      <c r="I83" s="428"/>
      <c r="J83" s="428"/>
      <c r="K83" s="428"/>
      <c r="L83" s="428"/>
      <c r="M83" s="428"/>
      <c r="N83" s="390">
        <f>C83*F83*H83*L83</f>
        <v>0</v>
      </c>
      <c r="O83" s="1065"/>
      <c r="P83" s="860"/>
    </row>
    <row r="84" spans="1:16" ht="15.75" customHeight="1">
      <c r="A84" s="458"/>
      <c r="B84" s="1067" t="s">
        <v>226</v>
      </c>
      <c r="C84" s="428">
        <f>D52</f>
        <v>0</v>
      </c>
      <c r="D84" s="428"/>
      <c r="E84" s="428"/>
      <c r="F84" s="1066">
        <f>ROUNDUP((C83/0.15),0.1)</f>
        <v>10</v>
      </c>
      <c r="G84" s="428"/>
      <c r="H84" s="428">
        <f>H83</f>
        <v>2</v>
      </c>
      <c r="I84" s="428"/>
      <c r="J84" s="428"/>
      <c r="K84" s="428"/>
      <c r="L84" s="428"/>
      <c r="M84" s="428"/>
      <c r="N84" s="390">
        <f>C84*F84*H84*L84</f>
        <v>0</v>
      </c>
      <c r="O84" s="1065"/>
      <c r="P84" s="860"/>
    </row>
    <row r="85" spans="1:16" ht="15.75" customHeight="1">
      <c r="A85" s="458"/>
      <c r="B85" s="1067" t="str">
        <f>B53</f>
        <v>depan area parkir</v>
      </c>
      <c r="C85" s="428">
        <f>C53</f>
        <v>1.5</v>
      </c>
      <c r="D85" s="428"/>
      <c r="E85" s="428"/>
      <c r="F85" s="428"/>
      <c r="G85" s="428"/>
      <c r="H85" s="428"/>
      <c r="I85" s="428"/>
      <c r="J85" s="428"/>
      <c r="K85" s="428"/>
      <c r="L85" s="428"/>
      <c r="M85" s="428"/>
      <c r="N85" s="390"/>
      <c r="O85" s="1065"/>
      <c r="P85" s="860"/>
    </row>
    <row r="86" spans="1:16" ht="15.75" customHeight="1">
      <c r="A86" s="458"/>
      <c r="B86" s="1067" t="s">
        <v>227</v>
      </c>
      <c r="C86" s="428">
        <f>C85</f>
        <v>1.5</v>
      </c>
      <c r="D86" s="428"/>
      <c r="E86" s="428"/>
      <c r="F86" s="1066">
        <f>ROUNDUP((C87/0.15),0.1)</f>
        <v>0</v>
      </c>
      <c r="G86" s="428"/>
      <c r="H86" s="428">
        <v>2</v>
      </c>
      <c r="I86" s="428"/>
      <c r="J86" s="428"/>
      <c r="K86" s="428"/>
      <c r="L86" s="428"/>
      <c r="M86" s="428"/>
      <c r="N86" s="390">
        <f>C86*F86*H86*L86</f>
        <v>0</v>
      </c>
      <c r="O86" s="1065"/>
      <c r="P86" s="860"/>
    </row>
    <row r="87" spans="1:16" ht="15.75" customHeight="1">
      <c r="A87" s="458"/>
      <c r="B87" s="1067" t="s">
        <v>226</v>
      </c>
      <c r="C87" s="428">
        <f>D53</f>
        <v>0</v>
      </c>
      <c r="D87" s="428"/>
      <c r="E87" s="428"/>
      <c r="F87" s="1066">
        <f>ROUNDUP((C86/0.15),0.1)</f>
        <v>10</v>
      </c>
      <c r="G87" s="428"/>
      <c r="H87" s="428">
        <f>H86</f>
        <v>2</v>
      </c>
      <c r="I87" s="428"/>
      <c r="J87" s="428"/>
      <c r="K87" s="428"/>
      <c r="L87" s="428"/>
      <c r="M87" s="428"/>
      <c r="N87" s="390">
        <f>C87*F87*H87*L87</f>
        <v>0</v>
      </c>
      <c r="O87" s="1065"/>
      <c r="P87" s="860"/>
    </row>
    <row r="88" spans="1:16" ht="15.75" customHeight="1">
      <c r="A88" s="458"/>
      <c r="B88" s="1067" t="str">
        <f>B54</f>
        <v>sodetan depan Bale Nelayan</v>
      </c>
      <c r="C88" s="428">
        <f>C54</f>
        <v>1.5</v>
      </c>
      <c r="D88" s="428"/>
      <c r="E88" s="428"/>
      <c r="F88" s="428"/>
      <c r="G88" s="428"/>
      <c r="H88" s="428"/>
      <c r="I88" s="428"/>
      <c r="J88" s="428"/>
      <c r="K88" s="428"/>
      <c r="L88" s="428"/>
      <c r="M88" s="428"/>
      <c r="N88" s="390"/>
      <c r="O88" s="1065"/>
      <c r="P88" s="860"/>
    </row>
    <row r="89" spans="1:16" ht="15.75" customHeight="1">
      <c r="A89" s="458"/>
      <c r="B89" s="1067" t="s">
        <v>227</v>
      </c>
      <c r="C89" s="428">
        <f>C88</f>
        <v>1.5</v>
      </c>
      <c r="D89" s="428"/>
      <c r="E89" s="428"/>
      <c r="F89" s="1066">
        <f>ROUNDUP((C90/0.15),0.1)</f>
        <v>0</v>
      </c>
      <c r="G89" s="428"/>
      <c r="H89" s="428">
        <v>2</v>
      </c>
      <c r="I89" s="428"/>
      <c r="J89" s="428"/>
      <c r="K89" s="428"/>
      <c r="L89" s="428"/>
      <c r="M89" s="428"/>
      <c r="N89" s="390">
        <f>C89*F89*H89*L89</f>
        <v>0</v>
      </c>
      <c r="O89" s="1065"/>
      <c r="P89" s="860"/>
    </row>
    <row r="90" spans="1:16" ht="15.75" customHeight="1">
      <c r="A90" s="458"/>
      <c r="B90" s="1067" t="s">
        <v>226</v>
      </c>
      <c r="C90" s="428">
        <f>D54</f>
        <v>0</v>
      </c>
      <c r="D90" s="428"/>
      <c r="E90" s="428"/>
      <c r="F90" s="1066">
        <f>ROUNDUP((C89/0.15),0.1)</f>
        <v>10</v>
      </c>
      <c r="G90" s="428"/>
      <c r="H90" s="428">
        <f>H89</f>
        <v>2</v>
      </c>
      <c r="I90" s="428"/>
      <c r="J90" s="428"/>
      <c r="K90" s="428"/>
      <c r="L90" s="428"/>
      <c r="M90" s="428"/>
      <c r="N90" s="390">
        <f>C90*F90*H90*L90</f>
        <v>0</v>
      </c>
      <c r="O90" s="1065"/>
      <c r="P90" s="860"/>
    </row>
    <row r="91" spans="1:16" ht="15.75" customHeight="1">
      <c r="A91" s="458"/>
      <c r="B91" s="1067" t="str">
        <f>B55</f>
        <v>depan bengkel</v>
      </c>
      <c r="C91" s="428">
        <f>C55</f>
        <v>1.5</v>
      </c>
      <c r="D91" s="428"/>
      <c r="E91" s="428"/>
      <c r="F91" s="428"/>
      <c r="G91" s="428"/>
      <c r="H91" s="428"/>
      <c r="I91" s="428"/>
      <c r="J91" s="428"/>
      <c r="K91" s="428"/>
      <c r="L91" s="428"/>
      <c r="M91" s="428"/>
      <c r="N91" s="390"/>
      <c r="O91" s="1065"/>
      <c r="P91" s="860"/>
    </row>
    <row r="92" spans="1:16" ht="15.75" customHeight="1">
      <c r="A92" s="458"/>
      <c r="B92" s="1067" t="s">
        <v>227</v>
      </c>
      <c r="C92" s="428">
        <f>C91</f>
        <v>1.5</v>
      </c>
      <c r="D92" s="428"/>
      <c r="E92" s="428"/>
      <c r="F92" s="1066">
        <f>ROUNDUP((C93/0.15),0.1)</f>
        <v>0</v>
      </c>
      <c r="G92" s="428"/>
      <c r="H92" s="428">
        <v>2</v>
      </c>
      <c r="I92" s="428"/>
      <c r="J92" s="428"/>
      <c r="K92" s="428"/>
      <c r="L92" s="428"/>
      <c r="M92" s="428"/>
      <c r="N92" s="390">
        <f>C92*F92*H92*L92</f>
        <v>0</v>
      </c>
      <c r="O92" s="1065"/>
      <c r="P92" s="860"/>
    </row>
    <row r="93" spans="1:16" ht="15.75" customHeight="1">
      <c r="A93" s="458"/>
      <c r="B93" s="1067" t="s">
        <v>226</v>
      </c>
      <c r="C93" s="428">
        <f>D55</f>
        <v>0</v>
      </c>
      <c r="D93" s="428"/>
      <c r="E93" s="428"/>
      <c r="F93" s="1066">
        <f>ROUNDUP((C92/0.15),0.1)</f>
        <v>10</v>
      </c>
      <c r="G93" s="428"/>
      <c r="H93" s="428">
        <f>H92</f>
        <v>2</v>
      </c>
      <c r="I93" s="428"/>
      <c r="J93" s="428"/>
      <c r="K93" s="428"/>
      <c r="L93" s="428"/>
      <c r="M93" s="428"/>
      <c r="N93" s="390">
        <f>C93*F93*H93*L93</f>
        <v>0</v>
      </c>
      <c r="O93" s="1065"/>
      <c r="P93" s="860"/>
    </row>
    <row r="94" spans="1:16" ht="15.75" customHeight="1">
      <c r="A94" s="458"/>
      <c r="B94" s="1067" t="str">
        <f>B56</f>
        <v>Sentral Kuliner</v>
      </c>
      <c r="C94" s="428"/>
      <c r="D94" s="428"/>
      <c r="E94" s="428"/>
      <c r="F94" s="428"/>
      <c r="G94" s="428"/>
      <c r="H94" s="428"/>
      <c r="I94" s="428"/>
      <c r="J94" s="428"/>
      <c r="K94" s="428"/>
      <c r="L94" s="428"/>
      <c r="M94" s="428"/>
      <c r="N94" s="390"/>
      <c r="O94" s="1065"/>
      <c r="P94" s="860"/>
    </row>
    <row r="95" spans="1:16" ht="15.75" customHeight="1">
      <c r="A95" s="458"/>
      <c r="B95" s="1067" t="s">
        <v>227</v>
      </c>
      <c r="C95" s="428">
        <f>C56</f>
        <v>1.5</v>
      </c>
      <c r="D95" s="428"/>
      <c r="E95" s="428"/>
      <c r="F95" s="1066">
        <f>ROUNDUP((C96/0.15),0.1)</f>
        <v>10</v>
      </c>
      <c r="G95" s="428"/>
      <c r="H95" s="428">
        <v>2</v>
      </c>
      <c r="I95" s="428"/>
      <c r="J95" s="428"/>
      <c r="K95" s="428"/>
      <c r="L95" s="428"/>
      <c r="M95" s="428"/>
      <c r="N95" s="390"/>
      <c r="O95" s="1065"/>
      <c r="P95" s="860"/>
    </row>
    <row r="96" spans="1:16" ht="15.75" customHeight="1">
      <c r="A96" s="458"/>
      <c r="B96" s="1067" t="s">
        <v>226</v>
      </c>
      <c r="C96" s="428">
        <f>C95</f>
        <v>1.5</v>
      </c>
      <c r="D96" s="428"/>
      <c r="E96" s="428"/>
      <c r="F96" s="1066">
        <f>ROUNDUP((C95/0.15),0.1)</f>
        <v>10</v>
      </c>
      <c r="G96" s="428"/>
      <c r="H96" s="428">
        <f>H95</f>
        <v>2</v>
      </c>
      <c r="I96" s="428"/>
      <c r="J96" s="428"/>
      <c r="K96" s="428"/>
      <c r="L96" s="428"/>
      <c r="M96" s="428"/>
      <c r="N96" s="428"/>
      <c r="O96" s="1065"/>
      <c r="P96" s="860"/>
    </row>
    <row r="97" spans="1:16" ht="15.75" customHeight="1">
      <c r="A97" s="458"/>
      <c r="B97" s="1067" t="str">
        <f>B57</f>
        <v>SPBUN</v>
      </c>
      <c r="C97" s="428"/>
      <c r="D97" s="428"/>
      <c r="E97" s="428"/>
      <c r="F97" s="428"/>
      <c r="G97" s="428"/>
      <c r="H97" s="428"/>
      <c r="I97" s="428"/>
      <c r="J97" s="428"/>
      <c r="K97" s="428"/>
      <c r="L97" s="428"/>
      <c r="M97" s="428"/>
      <c r="N97" s="390"/>
      <c r="O97" s="1065"/>
      <c r="P97" s="860"/>
    </row>
    <row r="98" spans="1:16" ht="15.75" customHeight="1">
      <c r="A98" s="458"/>
      <c r="B98" s="1067" t="s">
        <v>227</v>
      </c>
      <c r="C98" s="428">
        <f>C57</f>
        <v>1.5</v>
      </c>
      <c r="D98" s="428"/>
      <c r="E98" s="428"/>
      <c r="F98" s="1066">
        <f>ROUNDUP((C99/0.15),0.1)</f>
        <v>0</v>
      </c>
      <c r="G98" s="428"/>
      <c r="H98" s="428">
        <f>H96</f>
        <v>2</v>
      </c>
      <c r="I98" s="428"/>
      <c r="J98" s="428"/>
      <c r="K98" s="428"/>
      <c r="L98" s="428"/>
      <c r="M98" s="428"/>
      <c r="N98" s="390"/>
      <c r="O98" s="1065"/>
      <c r="P98" s="860"/>
    </row>
    <row r="99" spans="1:16" ht="15.75" customHeight="1">
      <c r="A99" s="458"/>
      <c r="B99" s="1067" t="s">
        <v>226</v>
      </c>
      <c r="C99" s="428">
        <f>D57</f>
        <v>0</v>
      </c>
      <c r="D99" s="428"/>
      <c r="E99" s="428"/>
      <c r="F99" s="1066">
        <f>ROUNDUP((C98/0.15),0.1)</f>
        <v>10</v>
      </c>
      <c r="G99" s="428"/>
      <c r="H99" s="428">
        <f>H98</f>
        <v>2</v>
      </c>
      <c r="I99" s="428"/>
      <c r="J99" s="428"/>
      <c r="K99" s="428"/>
      <c r="L99" s="428"/>
      <c r="M99" s="428"/>
      <c r="N99" s="390"/>
      <c r="O99" s="1065"/>
      <c r="P99" s="860"/>
    </row>
    <row r="100" spans="1:16" ht="15.75" customHeight="1">
      <c r="A100" s="458"/>
      <c r="B100" s="1067" t="str">
        <f>B58</f>
        <v>Shelter Pendaratan Ikan</v>
      </c>
      <c r="C100" s="428"/>
      <c r="D100" s="428"/>
      <c r="E100" s="428"/>
      <c r="F100" s="428"/>
      <c r="G100" s="428"/>
      <c r="H100" s="428"/>
      <c r="I100" s="428"/>
      <c r="J100" s="428"/>
      <c r="K100" s="428"/>
      <c r="L100" s="428"/>
      <c r="M100" s="428"/>
      <c r="N100" s="390"/>
      <c r="O100" s="1065"/>
      <c r="P100" s="860"/>
    </row>
    <row r="101" spans="1:16" ht="15.75" customHeight="1">
      <c r="A101" s="458"/>
      <c r="B101" s="1067" t="s">
        <v>227</v>
      </c>
      <c r="C101" s="428">
        <f>C58</f>
        <v>1.5</v>
      </c>
      <c r="D101" s="428"/>
      <c r="E101" s="428"/>
      <c r="F101" s="1066">
        <f>ROUNDUP((C102/0.15),0.1)</f>
        <v>0</v>
      </c>
      <c r="G101" s="428"/>
      <c r="H101" s="428">
        <f>H99</f>
        <v>2</v>
      </c>
      <c r="I101" s="428"/>
      <c r="J101" s="428"/>
      <c r="K101" s="428"/>
      <c r="L101" s="428"/>
      <c r="M101" s="428"/>
      <c r="N101" s="390"/>
      <c r="O101" s="1065"/>
      <c r="P101" s="860"/>
    </row>
    <row r="102" spans="1:16" ht="15.75" customHeight="1">
      <c r="A102" s="458"/>
      <c r="B102" s="1067" t="s">
        <v>226</v>
      </c>
      <c r="C102" s="428">
        <f>D58</f>
        <v>0</v>
      </c>
      <c r="D102" s="428"/>
      <c r="E102" s="428"/>
      <c r="F102" s="1066">
        <f>ROUNDUP((C101/0.15),0.1)</f>
        <v>10</v>
      </c>
      <c r="G102" s="428"/>
      <c r="H102" s="428">
        <f>H101</f>
        <v>2</v>
      </c>
      <c r="I102" s="428"/>
      <c r="J102" s="428"/>
      <c r="K102" s="428"/>
      <c r="L102" s="428"/>
      <c r="M102" s="428"/>
      <c r="N102" s="390"/>
      <c r="O102" s="1065"/>
      <c r="P102" s="860"/>
    </row>
    <row r="103" spans="1:16" ht="15.75" customHeight="1">
      <c r="A103" s="458"/>
      <c r="B103" s="1067" t="str">
        <f>B59</f>
        <v>Pabrik Es</v>
      </c>
      <c r="C103" s="428"/>
      <c r="D103" s="428"/>
      <c r="E103" s="428"/>
      <c r="F103" s="428"/>
      <c r="G103" s="428"/>
      <c r="H103" s="428"/>
      <c r="I103" s="428"/>
      <c r="J103" s="428"/>
      <c r="K103" s="428"/>
      <c r="L103" s="428"/>
      <c r="M103" s="428"/>
      <c r="N103" s="390"/>
      <c r="O103" s="1065"/>
      <c r="P103" s="860"/>
    </row>
    <row r="104" spans="1:16" ht="15.75" customHeight="1">
      <c r="A104" s="458"/>
      <c r="B104" s="1067" t="s">
        <v>227</v>
      </c>
      <c r="C104" s="428">
        <f>C59</f>
        <v>1.5</v>
      </c>
      <c r="D104" s="428"/>
      <c r="E104" s="428"/>
      <c r="F104" s="1066">
        <f>ROUNDUP((C105/0.15),0.1)</f>
        <v>0</v>
      </c>
      <c r="G104" s="428"/>
      <c r="H104" s="428">
        <f>H102</f>
        <v>2</v>
      </c>
      <c r="I104" s="428"/>
      <c r="J104" s="428"/>
      <c r="K104" s="428"/>
      <c r="L104" s="428"/>
      <c r="M104" s="428"/>
      <c r="N104" s="390"/>
      <c r="O104" s="1065"/>
      <c r="P104" s="860"/>
    </row>
    <row r="105" spans="1:16" ht="15.75" customHeight="1">
      <c r="A105" s="458"/>
      <c r="B105" s="1067" t="s">
        <v>226</v>
      </c>
      <c r="C105" s="428">
        <f>D59</f>
        <v>0</v>
      </c>
      <c r="D105" s="428"/>
      <c r="E105" s="428"/>
      <c r="F105" s="1066">
        <f>ROUNDUP((C104/0.15),0.1)</f>
        <v>10</v>
      </c>
      <c r="G105" s="428"/>
      <c r="H105" s="428">
        <f>H104</f>
        <v>2</v>
      </c>
      <c r="I105" s="428"/>
      <c r="J105" s="428"/>
      <c r="K105" s="428"/>
      <c r="L105" s="428"/>
      <c r="M105" s="428"/>
      <c r="N105" s="390"/>
      <c r="O105" s="1065"/>
      <c r="P105" s="860"/>
    </row>
    <row r="106" spans="1:16" ht="15.75" customHeight="1">
      <c r="A106" s="458"/>
      <c r="B106" s="1067" t="str">
        <f>B60</f>
        <v>Kios Perbekalan</v>
      </c>
      <c r="C106" s="428"/>
      <c r="D106" s="428"/>
      <c r="E106" s="428"/>
      <c r="F106" s="428"/>
      <c r="G106" s="428"/>
      <c r="H106" s="428"/>
      <c r="I106" s="428"/>
      <c r="J106" s="428"/>
      <c r="K106" s="428"/>
      <c r="L106" s="428"/>
      <c r="M106" s="428"/>
      <c r="N106" s="390"/>
      <c r="O106" s="1065"/>
      <c r="P106" s="860"/>
    </row>
    <row r="107" spans="1:16" ht="15.75" customHeight="1">
      <c r="A107" s="458"/>
      <c r="B107" s="1067" t="s">
        <v>227</v>
      </c>
      <c r="C107" s="428">
        <f>C60</f>
        <v>1.5</v>
      </c>
      <c r="D107" s="428"/>
      <c r="E107" s="428"/>
      <c r="F107" s="1066">
        <f>ROUNDUP((C108/0.15),0.1)</f>
        <v>0</v>
      </c>
      <c r="G107" s="428"/>
      <c r="H107" s="428">
        <f>H105</f>
        <v>2</v>
      </c>
      <c r="I107" s="428"/>
      <c r="J107" s="428"/>
      <c r="K107" s="428"/>
      <c r="L107" s="428"/>
      <c r="M107" s="428"/>
      <c r="N107" s="390"/>
      <c r="O107" s="1065"/>
      <c r="P107" s="860"/>
    </row>
    <row r="108" spans="1:16" ht="15.75" customHeight="1">
      <c r="A108" s="458"/>
      <c r="B108" s="1067" t="s">
        <v>226</v>
      </c>
      <c r="C108" s="428">
        <f>D60</f>
        <v>0</v>
      </c>
      <c r="D108" s="428"/>
      <c r="E108" s="428"/>
      <c r="F108" s="1066">
        <f>ROUNDUP((C107/0.15),0.1)</f>
        <v>10</v>
      </c>
      <c r="G108" s="428"/>
      <c r="H108" s="428">
        <f>H107</f>
        <v>2</v>
      </c>
      <c r="I108" s="428"/>
      <c r="J108" s="428"/>
      <c r="K108" s="428"/>
      <c r="L108" s="428"/>
      <c r="M108" s="428"/>
      <c r="N108" s="390"/>
      <c r="O108" s="1065"/>
      <c r="P108" s="860"/>
    </row>
    <row r="109" spans="1:16" ht="15.75" customHeight="1">
      <c r="A109" s="458"/>
      <c r="B109" s="1067" t="str">
        <f>B61</f>
        <v>Kantor</v>
      </c>
      <c r="C109" s="428"/>
      <c r="D109" s="428"/>
      <c r="E109" s="428"/>
      <c r="F109" s="428"/>
      <c r="G109" s="428"/>
      <c r="H109" s="428"/>
      <c r="I109" s="428"/>
      <c r="J109" s="428"/>
      <c r="K109" s="428"/>
      <c r="L109" s="428"/>
      <c r="M109" s="428"/>
      <c r="N109" s="390"/>
      <c r="O109" s="1065"/>
      <c r="P109" s="860"/>
    </row>
    <row r="110" spans="1:16" ht="15.75" customHeight="1">
      <c r="A110" s="458"/>
      <c r="B110" s="1067" t="s">
        <v>227</v>
      </c>
      <c r="C110" s="428">
        <f>C61</f>
        <v>1.5</v>
      </c>
      <c r="D110" s="428"/>
      <c r="E110" s="428"/>
      <c r="F110" s="1066">
        <f>ROUNDUP((C111/0.15),0.1)</f>
        <v>0</v>
      </c>
      <c r="G110" s="428"/>
      <c r="H110" s="428">
        <f>H108</f>
        <v>2</v>
      </c>
      <c r="I110" s="428"/>
      <c r="J110" s="428"/>
      <c r="K110" s="428"/>
      <c r="L110" s="428"/>
      <c r="M110" s="428"/>
      <c r="N110" s="390"/>
      <c r="O110" s="1065"/>
      <c r="P110" s="860"/>
    </row>
    <row r="111" spans="1:16" ht="15.75" customHeight="1">
      <c r="A111" s="458"/>
      <c r="B111" s="1067" t="s">
        <v>226</v>
      </c>
      <c r="C111" s="428">
        <f>D61</f>
        <v>0</v>
      </c>
      <c r="D111" s="428"/>
      <c r="E111" s="428"/>
      <c r="F111" s="1066">
        <f>ROUNDUP((C110/0.15),0.1)</f>
        <v>10</v>
      </c>
      <c r="G111" s="428"/>
      <c r="H111" s="428">
        <f>H110</f>
        <v>2</v>
      </c>
      <c r="I111" s="428"/>
      <c r="J111" s="428"/>
      <c r="K111" s="428"/>
      <c r="L111" s="428"/>
      <c r="M111" s="428"/>
      <c r="N111" s="390"/>
      <c r="O111" s="1065"/>
      <c r="P111" s="860"/>
    </row>
    <row r="112" spans="1:16" ht="15.75" customHeight="1">
      <c r="A112" s="458"/>
      <c r="B112" s="1067" t="str">
        <f>B62</f>
        <v>Toilet Umum</v>
      </c>
      <c r="C112" s="428"/>
      <c r="D112" s="428"/>
      <c r="E112" s="428"/>
      <c r="F112" s="428"/>
      <c r="G112" s="428"/>
      <c r="H112" s="428"/>
      <c r="I112" s="428"/>
      <c r="J112" s="428"/>
      <c r="K112" s="428"/>
      <c r="L112" s="428"/>
      <c r="M112" s="428"/>
      <c r="N112" s="390"/>
      <c r="O112" s="1065"/>
      <c r="P112" s="860"/>
    </row>
    <row r="113" spans="1:16" ht="15.75" customHeight="1">
      <c r="A113" s="458"/>
      <c r="B113" s="1067" t="s">
        <v>227</v>
      </c>
      <c r="C113" s="428">
        <f>C62</f>
        <v>1.5</v>
      </c>
      <c r="D113" s="428"/>
      <c r="E113" s="428"/>
      <c r="F113" s="1066">
        <f>ROUNDUP((C114/0.15),0.1)</f>
        <v>0</v>
      </c>
      <c r="G113" s="428"/>
      <c r="H113" s="428">
        <f>H111</f>
        <v>2</v>
      </c>
      <c r="I113" s="428"/>
      <c r="J113" s="428"/>
      <c r="K113" s="428"/>
      <c r="L113" s="428"/>
      <c r="M113" s="428"/>
      <c r="N113" s="390"/>
      <c r="O113" s="1065"/>
      <c r="P113" s="860"/>
    </row>
    <row r="114" spans="1:16" ht="15.75" customHeight="1">
      <c r="A114" s="458"/>
      <c r="B114" s="1067" t="s">
        <v>226</v>
      </c>
      <c r="C114" s="428">
        <f>D62</f>
        <v>0</v>
      </c>
      <c r="D114" s="428"/>
      <c r="E114" s="428"/>
      <c r="F114" s="1066">
        <f>ROUNDUP((C113/0.15),0.1)</f>
        <v>10</v>
      </c>
      <c r="G114" s="428"/>
      <c r="H114" s="428">
        <f>H113</f>
        <v>2</v>
      </c>
      <c r="I114" s="428"/>
      <c r="J114" s="428"/>
      <c r="K114" s="428"/>
      <c r="L114" s="428"/>
      <c r="M114" s="428"/>
      <c r="N114" s="390"/>
      <c r="O114" s="1065"/>
      <c r="P114" s="860"/>
    </row>
    <row r="115" spans="1:16" ht="15.75" customHeight="1">
      <c r="A115" s="458"/>
      <c r="B115" s="1067" t="str">
        <f>B63</f>
        <v>Tangki Air</v>
      </c>
      <c r="C115" s="428"/>
      <c r="D115" s="428"/>
      <c r="E115" s="428"/>
      <c r="F115" s="428"/>
      <c r="G115" s="428"/>
      <c r="H115" s="428"/>
      <c r="I115" s="428"/>
      <c r="J115" s="428"/>
      <c r="K115" s="428"/>
      <c r="L115" s="428"/>
      <c r="M115" s="428"/>
      <c r="N115" s="390"/>
      <c r="O115" s="1065"/>
      <c r="P115" s="860"/>
    </row>
    <row r="116" spans="1:16" ht="15.75" customHeight="1">
      <c r="A116" s="458"/>
      <c r="B116" s="1067" t="s">
        <v>227</v>
      </c>
      <c r="C116" s="428">
        <f>C63</f>
        <v>1.5</v>
      </c>
      <c r="D116" s="428"/>
      <c r="E116" s="428"/>
      <c r="F116" s="1066">
        <f>ROUNDUP((C117/0.15),0.1)</f>
        <v>0</v>
      </c>
      <c r="G116" s="428"/>
      <c r="H116" s="428">
        <f>H114</f>
        <v>2</v>
      </c>
      <c r="I116" s="428"/>
      <c r="J116" s="428"/>
      <c r="K116" s="428"/>
      <c r="L116" s="428"/>
      <c r="M116" s="428"/>
      <c r="N116" s="390"/>
      <c r="O116" s="1065"/>
      <c r="P116" s="860"/>
    </row>
    <row r="117" spans="1:16" ht="15.75" customHeight="1">
      <c r="A117" s="458"/>
      <c r="B117" s="1067" t="s">
        <v>226</v>
      </c>
      <c r="C117" s="428">
        <f>D63</f>
        <v>0</v>
      </c>
      <c r="D117" s="428"/>
      <c r="E117" s="428"/>
      <c r="F117" s="1066">
        <f>ROUNDUP((C116/0.15),0.1)</f>
        <v>10</v>
      </c>
      <c r="G117" s="428"/>
      <c r="H117" s="428">
        <f>H116</f>
        <v>2</v>
      </c>
      <c r="I117" s="428"/>
      <c r="J117" s="428"/>
      <c r="K117" s="428"/>
      <c r="L117" s="428"/>
      <c r="M117" s="428"/>
      <c r="N117" s="390"/>
      <c r="O117" s="1065"/>
      <c r="P117" s="860"/>
    </row>
    <row r="118" spans="1:16" ht="15.75" customHeight="1">
      <c r="A118" s="458"/>
      <c r="B118" s="1067" t="str">
        <f>B64</f>
        <v>Mushollah</v>
      </c>
      <c r="C118" s="428"/>
      <c r="D118" s="428"/>
      <c r="E118" s="428"/>
      <c r="F118" s="428"/>
      <c r="G118" s="428"/>
      <c r="H118" s="428"/>
      <c r="I118" s="428"/>
      <c r="J118" s="428"/>
      <c r="K118" s="428"/>
      <c r="L118" s="428"/>
      <c r="M118" s="428"/>
      <c r="N118" s="390"/>
      <c r="O118" s="1065"/>
      <c r="P118" s="860"/>
    </row>
    <row r="119" spans="1:16" ht="15.75" customHeight="1">
      <c r="A119" s="458"/>
      <c r="B119" s="1067" t="s">
        <v>227</v>
      </c>
      <c r="C119" s="428">
        <f>C64</f>
        <v>1.5</v>
      </c>
      <c r="D119" s="428"/>
      <c r="E119" s="428"/>
      <c r="F119" s="1066">
        <f>ROUNDUP((C120/0.15),0.1)</f>
        <v>0</v>
      </c>
      <c r="G119" s="428"/>
      <c r="H119" s="428">
        <f>H117</f>
        <v>2</v>
      </c>
      <c r="I119" s="428"/>
      <c r="J119" s="428"/>
      <c r="K119" s="428"/>
      <c r="L119" s="428"/>
      <c r="M119" s="428"/>
      <c r="N119" s="390"/>
      <c r="O119" s="1065"/>
      <c r="P119" s="860"/>
    </row>
    <row r="120" spans="1:16" ht="15.75" customHeight="1">
      <c r="A120" s="458"/>
      <c r="B120" s="1067" t="s">
        <v>226</v>
      </c>
      <c r="C120" s="428">
        <f>D64</f>
        <v>0</v>
      </c>
      <c r="D120" s="428"/>
      <c r="E120" s="428"/>
      <c r="F120" s="1066">
        <f>ROUNDUP((C119/0.15),0.1)</f>
        <v>10</v>
      </c>
      <c r="G120" s="428"/>
      <c r="H120" s="428">
        <f>H119</f>
        <v>2</v>
      </c>
      <c r="I120" s="428"/>
      <c r="J120" s="428"/>
      <c r="K120" s="428"/>
      <c r="L120" s="428"/>
      <c r="M120" s="428"/>
      <c r="N120" s="390"/>
      <c r="O120" s="1065"/>
      <c r="P120" s="860"/>
    </row>
    <row r="121" spans="1:16" ht="15.75" customHeight="1">
      <c r="A121" s="458"/>
      <c r="B121" s="1067" t="str">
        <f>B65</f>
        <v>TPS</v>
      </c>
      <c r="C121" s="428"/>
      <c r="D121" s="428"/>
      <c r="E121" s="428"/>
      <c r="F121" s="428"/>
      <c r="G121" s="428"/>
      <c r="H121" s="428"/>
      <c r="I121" s="428"/>
      <c r="J121" s="428"/>
      <c r="K121" s="428"/>
      <c r="L121" s="428"/>
      <c r="M121" s="428"/>
      <c r="N121" s="390"/>
      <c r="O121" s="1065"/>
      <c r="P121" s="860"/>
    </row>
    <row r="122" spans="1:16" ht="15.75" customHeight="1">
      <c r="A122" s="458"/>
      <c r="B122" s="1067" t="s">
        <v>227</v>
      </c>
      <c r="C122" s="428">
        <f>C65</f>
        <v>1.5</v>
      </c>
      <c r="D122" s="428"/>
      <c r="E122" s="428"/>
      <c r="F122" s="1066">
        <f>ROUNDUP((C123/0.15),0.1)</f>
        <v>0</v>
      </c>
      <c r="G122" s="428"/>
      <c r="H122" s="428">
        <f>H120</f>
        <v>2</v>
      </c>
      <c r="I122" s="428"/>
      <c r="J122" s="428"/>
      <c r="K122" s="428"/>
      <c r="L122" s="428"/>
      <c r="M122" s="428"/>
      <c r="N122" s="390"/>
      <c r="O122" s="1065"/>
      <c r="P122" s="860"/>
    </row>
    <row r="123" spans="1:16" ht="15.75" customHeight="1">
      <c r="A123" s="458"/>
      <c r="B123" s="1067" t="s">
        <v>226</v>
      </c>
      <c r="C123" s="428">
        <f>D65</f>
        <v>0</v>
      </c>
      <c r="D123" s="428"/>
      <c r="E123" s="428"/>
      <c r="F123" s="1066">
        <f>ROUNDUP((C122/0.15),0.1)</f>
        <v>10</v>
      </c>
      <c r="G123" s="428"/>
      <c r="H123" s="428">
        <f>H122</f>
        <v>2</v>
      </c>
      <c r="I123" s="428"/>
      <c r="J123" s="428"/>
      <c r="K123" s="428"/>
      <c r="L123" s="428"/>
      <c r="M123" s="428"/>
      <c r="N123" s="390"/>
      <c r="O123" s="1065"/>
      <c r="P123" s="860"/>
    </row>
    <row r="124" spans="1:16" ht="15.75" customHeight="1">
      <c r="A124" s="458"/>
      <c r="B124" s="1067" t="str">
        <f>B66</f>
        <v xml:space="preserve">Pos Jaga </v>
      </c>
      <c r="C124" s="428"/>
      <c r="D124" s="428"/>
      <c r="E124" s="428"/>
      <c r="F124" s="428"/>
      <c r="G124" s="428"/>
      <c r="H124" s="428"/>
      <c r="I124" s="428"/>
      <c r="J124" s="428"/>
      <c r="K124" s="428"/>
      <c r="L124" s="428"/>
      <c r="M124" s="428"/>
      <c r="N124" s="390"/>
      <c r="O124" s="1065"/>
      <c r="P124" s="860"/>
    </row>
    <row r="125" spans="1:16" ht="15.75" customHeight="1">
      <c r="A125" s="458"/>
      <c r="B125" s="1067" t="s">
        <v>227</v>
      </c>
      <c r="C125" s="428">
        <f>C66</f>
        <v>1.5</v>
      </c>
      <c r="D125" s="428"/>
      <c r="E125" s="428"/>
      <c r="F125" s="1066">
        <f>ROUNDUP((C126/0.15),0.1)</f>
        <v>0</v>
      </c>
      <c r="G125" s="428"/>
      <c r="H125" s="428">
        <f>H123</f>
        <v>2</v>
      </c>
      <c r="I125" s="428"/>
      <c r="J125" s="428"/>
      <c r="K125" s="428"/>
      <c r="L125" s="428"/>
      <c r="M125" s="428"/>
      <c r="N125" s="390">
        <f>C125*F125*H125*L125</f>
        <v>0</v>
      </c>
      <c r="O125" s="1065"/>
      <c r="P125" s="860"/>
    </row>
    <row r="126" spans="1:16" ht="15.75" customHeight="1">
      <c r="A126" s="458"/>
      <c r="B126" s="1067" t="s">
        <v>226</v>
      </c>
      <c r="C126" s="428">
        <f>D66</f>
        <v>0</v>
      </c>
      <c r="D126" s="428"/>
      <c r="E126" s="428"/>
      <c r="F126" s="1066">
        <f>ROUNDUP((C125/0.15),0.1)</f>
        <v>10</v>
      </c>
      <c r="G126" s="428"/>
      <c r="H126" s="428">
        <f>H125</f>
        <v>2</v>
      </c>
      <c r="I126" s="428"/>
      <c r="J126" s="428"/>
      <c r="K126" s="428"/>
      <c r="L126" s="428"/>
      <c r="M126" s="428"/>
      <c r="N126" s="390">
        <f>C126*F126*H126*L126</f>
        <v>0</v>
      </c>
      <c r="O126" s="1065"/>
      <c r="P126" s="860"/>
    </row>
    <row r="127" spans="1:16" ht="15.75" customHeight="1">
      <c r="A127" s="458"/>
      <c r="B127" s="1067" t="str">
        <f>B67</f>
        <v>Bengkel + jaring</v>
      </c>
      <c r="C127" s="428"/>
      <c r="D127" s="428"/>
      <c r="E127" s="428"/>
      <c r="F127" s="428"/>
      <c r="G127" s="428"/>
      <c r="H127" s="428"/>
      <c r="I127" s="428"/>
      <c r="J127" s="428"/>
      <c r="K127" s="428"/>
      <c r="L127" s="428"/>
      <c r="M127" s="428"/>
      <c r="N127" s="390"/>
      <c r="O127" s="1065"/>
      <c r="P127" s="860"/>
    </row>
    <row r="128" spans="1:16" ht="15.75" customHeight="1">
      <c r="A128" s="458"/>
      <c r="B128" s="1067" t="s">
        <v>227</v>
      </c>
      <c r="C128" s="428">
        <f>C67</f>
        <v>1.5</v>
      </c>
      <c r="D128" s="428"/>
      <c r="E128" s="428"/>
      <c r="F128" s="1066">
        <f>ROUNDUP((C129/0.15),0.1)</f>
        <v>0</v>
      </c>
      <c r="G128" s="428"/>
      <c r="H128" s="428">
        <f>H126</f>
        <v>2</v>
      </c>
      <c r="I128" s="428"/>
      <c r="J128" s="428"/>
      <c r="K128" s="428"/>
      <c r="L128" s="428"/>
      <c r="M128" s="428"/>
      <c r="N128" s="390"/>
      <c r="O128" s="1065"/>
      <c r="P128" s="860"/>
    </row>
    <row r="129" spans="1:16" ht="15.75" customHeight="1">
      <c r="A129" s="458"/>
      <c r="B129" s="1067" t="s">
        <v>226</v>
      </c>
      <c r="C129" s="428">
        <f>D67</f>
        <v>0</v>
      </c>
      <c r="D129" s="428"/>
      <c r="E129" s="428"/>
      <c r="F129" s="1066">
        <f>ROUNDUP((C128/0.15),0.1)</f>
        <v>10</v>
      </c>
      <c r="G129" s="428"/>
      <c r="H129" s="428">
        <f>H128</f>
        <v>2</v>
      </c>
      <c r="I129" s="428"/>
      <c r="J129" s="428"/>
      <c r="K129" s="428"/>
      <c r="L129" s="428"/>
      <c r="M129" s="428"/>
      <c r="N129" s="390"/>
      <c r="O129" s="1065"/>
      <c r="P129" s="860"/>
    </row>
    <row r="130" spans="1:16" ht="15.75" customHeight="1">
      <c r="A130" s="458"/>
      <c r="B130" s="1067" t="str">
        <f>B69</f>
        <v>Gudang Beku</v>
      </c>
      <c r="C130" s="428"/>
      <c r="D130" s="428"/>
      <c r="E130" s="428"/>
      <c r="F130" s="428"/>
      <c r="G130" s="428"/>
      <c r="H130" s="428"/>
      <c r="I130" s="428"/>
      <c r="J130" s="428"/>
      <c r="K130" s="428"/>
      <c r="L130" s="428"/>
      <c r="M130" s="428"/>
      <c r="N130" s="390"/>
      <c r="O130" s="1065"/>
      <c r="P130" s="860"/>
    </row>
    <row r="131" spans="1:16" ht="15.75" customHeight="1">
      <c r="A131" s="458"/>
      <c r="B131" s="1067" t="s">
        <v>227</v>
      </c>
      <c r="C131" s="428">
        <f>C69</f>
        <v>1.5</v>
      </c>
      <c r="D131" s="428"/>
      <c r="E131" s="428"/>
      <c r="F131" s="1066">
        <f>ROUNDUP((C132/0.15),0.1)</f>
        <v>0</v>
      </c>
      <c r="G131" s="428"/>
      <c r="H131" s="428">
        <f>H129</f>
        <v>2</v>
      </c>
      <c r="I131" s="428"/>
      <c r="J131" s="428"/>
      <c r="K131" s="428"/>
      <c r="L131" s="428"/>
      <c r="M131" s="428"/>
      <c r="N131" s="390"/>
      <c r="O131" s="1065"/>
      <c r="P131" s="860"/>
    </row>
    <row r="132" spans="1:16" ht="15.75" customHeight="1">
      <c r="A132" s="458"/>
      <c r="B132" s="1067" t="s">
        <v>226</v>
      </c>
      <c r="C132" s="428">
        <f>D69</f>
        <v>0</v>
      </c>
      <c r="D132" s="428"/>
      <c r="E132" s="428"/>
      <c r="F132" s="1066">
        <f>ROUNDUP((C131/0.15),0.1)</f>
        <v>10</v>
      </c>
      <c r="G132" s="428"/>
      <c r="H132" s="428">
        <f>H131</f>
        <v>2</v>
      </c>
      <c r="I132" s="428"/>
      <c r="J132" s="428"/>
      <c r="K132" s="428"/>
      <c r="L132" s="428"/>
      <c r="M132" s="428"/>
      <c r="N132" s="390"/>
      <c r="O132" s="1065"/>
      <c r="P132" s="860"/>
    </row>
    <row r="133" spans="1:16" ht="15.75" customHeight="1">
      <c r="A133" s="458"/>
      <c r="B133" s="1067" t="str">
        <f>B70</f>
        <v>Pasar Ikan</v>
      </c>
      <c r="C133" s="428"/>
      <c r="D133" s="428"/>
      <c r="E133" s="428"/>
      <c r="F133" s="428"/>
      <c r="G133" s="428"/>
      <c r="H133" s="428"/>
      <c r="I133" s="428"/>
      <c r="J133" s="428"/>
      <c r="K133" s="428"/>
      <c r="L133" s="428"/>
      <c r="M133" s="428"/>
      <c r="N133" s="390"/>
      <c r="O133" s="1065"/>
      <c r="P133" s="860"/>
    </row>
    <row r="134" spans="1:16" ht="15.75" customHeight="1">
      <c r="A134" s="458"/>
      <c r="B134" s="1067" t="s">
        <v>227</v>
      </c>
      <c r="C134" s="428">
        <f>C70</f>
        <v>1.5</v>
      </c>
      <c r="D134" s="428"/>
      <c r="E134" s="428"/>
      <c r="F134" s="1066">
        <f>ROUNDUP((C135/0.15),0.1)</f>
        <v>0</v>
      </c>
      <c r="G134" s="428"/>
      <c r="H134" s="428">
        <f>H132</f>
        <v>2</v>
      </c>
      <c r="I134" s="428"/>
      <c r="J134" s="428"/>
      <c r="K134" s="428"/>
      <c r="L134" s="428"/>
      <c r="M134" s="428"/>
      <c r="N134" s="390"/>
      <c r="O134" s="1065"/>
      <c r="P134" s="860"/>
    </row>
    <row r="135" spans="1:16" ht="15.75" customHeight="1">
      <c r="A135" s="458"/>
      <c r="B135" s="1067" t="s">
        <v>226</v>
      </c>
      <c r="C135" s="428">
        <f>D70</f>
        <v>0</v>
      </c>
      <c r="D135" s="428"/>
      <c r="E135" s="428"/>
      <c r="F135" s="1066">
        <f>ROUNDUP((C134/0.15),0.1)</f>
        <v>10</v>
      </c>
      <c r="G135" s="428"/>
      <c r="H135" s="428">
        <f>H134</f>
        <v>2</v>
      </c>
      <c r="I135" s="428"/>
      <c r="J135" s="428"/>
      <c r="K135" s="428"/>
      <c r="L135" s="428"/>
      <c r="M135" s="428"/>
      <c r="N135" s="390"/>
      <c r="O135" s="1065"/>
      <c r="P135" s="860"/>
    </row>
    <row r="136" spans="1:16" ht="15.75" customHeight="1">
      <c r="A136" s="458"/>
      <c r="B136" s="1067" t="str">
        <f>B71</f>
        <v>Docking Kapal</v>
      </c>
      <c r="C136" s="428"/>
      <c r="D136" s="428"/>
      <c r="E136" s="428"/>
      <c r="F136" s="428"/>
      <c r="G136" s="428"/>
      <c r="H136" s="428"/>
      <c r="I136" s="428"/>
      <c r="J136" s="428"/>
      <c r="K136" s="428"/>
      <c r="L136" s="428"/>
      <c r="M136" s="428"/>
      <c r="N136" s="390"/>
      <c r="O136" s="1065"/>
      <c r="P136" s="860"/>
    </row>
    <row r="137" spans="1:16" ht="15.75" customHeight="1">
      <c r="A137" s="458"/>
      <c r="B137" s="1067" t="s">
        <v>227</v>
      </c>
      <c r="C137" s="428">
        <f>C71</f>
        <v>1.5</v>
      </c>
      <c r="D137" s="428"/>
      <c r="E137" s="428"/>
      <c r="F137" s="1066">
        <f>ROUNDUP((C138/0.15),0.1)</f>
        <v>20</v>
      </c>
      <c r="G137" s="428"/>
      <c r="H137" s="428">
        <f>H135</f>
        <v>2</v>
      </c>
      <c r="I137" s="428"/>
      <c r="J137" s="428"/>
      <c r="K137" s="428"/>
      <c r="L137" s="428"/>
      <c r="M137" s="428"/>
      <c r="N137" s="390">
        <f>C137*F137*H137*L137</f>
        <v>0</v>
      </c>
      <c r="O137" s="1065"/>
      <c r="P137" s="860"/>
    </row>
    <row r="138" spans="1:16" ht="15.75" customHeight="1">
      <c r="A138" s="458"/>
      <c r="B138" s="1067" t="s">
        <v>226</v>
      </c>
      <c r="C138" s="428">
        <f>D71</f>
        <v>3</v>
      </c>
      <c r="D138" s="428"/>
      <c r="E138" s="428"/>
      <c r="F138" s="1066">
        <f>ROUNDUP((C137/0.15),0.1)</f>
        <v>10</v>
      </c>
      <c r="G138" s="428"/>
      <c r="H138" s="428">
        <f>H137</f>
        <v>2</v>
      </c>
      <c r="I138" s="428"/>
      <c r="J138" s="428"/>
      <c r="K138" s="428"/>
      <c r="L138" s="428"/>
      <c r="M138" s="428"/>
      <c r="N138" s="390">
        <f>C138*F138*H138*L138</f>
        <v>0</v>
      </c>
      <c r="O138" s="1065"/>
      <c r="P138" s="860"/>
    </row>
    <row r="139" spans="1:16" ht="15.75" customHeight="1">
      <c r="A139" s="458"/>
      <c r="B139" s="1067" t="str">
        <f>B72</f>
        <v>Bale Nelayan</v>
      </c>
      <c r="C139" s="428"/>
      <c r="D139" s="428"/>
      <c r="E139" s="428"/>
      <c r="F139" s="428"/>
      <c r="G139" s="428"/>
      <c r="H139" s="428"/>
      <c r="I139" s="428"/>
      <c r="J139" s="428"/>
      <c r="K139" s="428"/>
      <c r="L139" s="428"/>
      <c r="M139" s="428"/>
      <c r="N139" s="390"/>
      <c r="O139" s="1065"/>
      <c r="P139" s="860"/>
    </row>
    <row r="140" spans="1:16" ht="15.75" customHeight="1">
      <c r="A140" s="458"/>
      <c r="B140" s="1067" t="s">
        <v>227</v>
      </c>
      <c r="C140" s="428">
        <f>C72</f>
        <v>1.5</v>
      </c>
      <c r="D140" s="428"/>
      <c r="E140" s="428"/>
      <c r="F140" s="1066">
        <f>ROUNDUP((C141/0.15),0.1)</f>
        <v>0</v>
      </c>
      <c r="G140" s="428"/>
      <c r="H140" s="428">
        <f>H138</f>
        <v>2</v>
      </c>
      <c r="I140" s="428"/>
      <c r="J140" s="428"/>
      <c r="K140" s="428"/>
      <c r="L140" s="428"/>
      <c r="M140" s="428"/>
      <c r="N140" s="390"/>
      <c r="O140" s="1065"/>
      <c r="P140" s="860"/>
    </row>
    <row r="141" spans="1:16" ht="15.75" customHeight="1">
      <c r="A141" s="458"/>
      <c r="B141" s="1067" t="s">
        <v>226</v>
      </c>
      <c r="C141" s="428">
        <f>D72</f>
        <v>0</v>
      </c>
      <c r="D141" s="428"/>
      <c r="E141" s="428"/>
      <c r="F141" s="1066">
        <f>ROUNDUP((C140/0.15),0.1)</f>
        <v>10</v>
      </c>
      <c r="G141" s="428"/>
      <c r="H141" s="428">
        <f>H140</f>
        <v>2</v>
      </c>
      <c r="I141" s="428"/>
      <c r="J141" s="428"/>
      <c r="K141" s="428"/>
      <c r="L141" s="428"/>
      <c r="M141" s="428"/>
      <c r="N141" s="390"/>
      <c r="O141" s="1065"/>
      <c r="P141" s="860"/>
    </row>
    <row r="142" spans="1:16" ht="15.75" customHeight="1">
      <c r="A142" s="458"/>
      <c r="B142" s="1067" t="str">
        <f>B73</f>
        <v>Cool Box</v>
      </c>
      <c r="C142" s="428"/>
      <c r="D142" s="428"/>
      <c r="E142" s="428"/>
      <c r="F142" s="428"/>
      <c r="G142" s="428"/>
      <c r="H142" s="428"/>
      <c r="I142" s="428"/>
      <c r="J142" s="428"/>
      <c r="K142" s="428"/>
      <c r="L142" s="428"/>
      <c r="M142" s="428"/>
      <c r="N142" s="390"/>
      <c r="O142" s="1065"/>
      <c r="P142" s="860"/>
    </row>
    <row r="143" spans="1:16" ht="15.75" customHeight="1">
      <c r="A143" s="458"/>
      <c r="B143" s="1067" t="s">
        <v>227</v>
      </c>
      <c r="C143" s="428">
        <f>C73</f>
        <v>1.5</v>
      </c>
      <c r="D143" s="428"/>
      <c r="E143" s="428"/>
      <c r="F143" s="1066">
        <f>ROUNDUP((C144/0.15),0.1)</f>
        <v>0</v>
      </c>
      <c r="G143" s="428"/>
      <c r="H143" s="428">
        <f>H141</f>
        <v>2</v>
      </c>
      <c r="I143" s="428"/>
      <c r="J143" s="428"/>
      <c r="K143" s="428"/>
      <c r="L143" s="428"/>
      <c r="M143" s="428"/>
      <c r="N143" s="390"/>
      <c r="O143" s="1065"/>
      <c r="P143" s="860"/>
    </row>
    <row r="144" spans="1:16" ht="15.75" customHeight="1">
      <c r="A144" s="458"/>
      <c r="B144" s="1067" t="s">
        <v>226</v>
      </c>
      <c r="C144" s="428">
        <f>D73</f>
        <v>0</v>
      </c>
      <c r="D144" s="428"/>
      <c r="E144" s="428"/>
      <c r="F144" s="1066">
        <f>ROUNDUP((C143/0.15),0.1)</f>
        <v>10</v>
      </c>
      <c r="G144" s="428"/>
      <c r="H144" s="428">
        <f>H143</f>
        <v>2</v>
      </c>
      <c r="I144" s="428"/>
      <c r="J144" s="428"/>
      <c r="K144" s="428"/>
      <c r="L144" s="428"/>
      <c r="M144" s="428"/>
      <c r="N144" s="869"/>
      <c r="O144" s="1065"/>
      <c r="P144" s="860"/>
    </row>
    <row r="145" spans="1:16" ht="15.75" customHeight="1">
      <c r="A145" s="458"/>
      <c r="B145" s="82"/>
      <c r="C145" s="428"/>
      <c r="D145" s="428"/>
      <c r="E145" s="428"/>
      <c r="F145" s="428"/>
      <c r="G145" s="428"/>
      <c r="H145" s="428"/>
      <c r="I145" s="428"/>
      <c r="J145" s="428"/>
      <c r="K145" s="428"/>
      <c r="L145" s="428"/>
      <c r="M145" s="428"/>
      <c r="N145" s="390">
        <f>SUM(N77:N144)</f>
        <v>2085.8537699999997</v>
      </c>
      <c r="O145" s="1065" t="s">
        <v>100</v>
      </c>
      <c r="P145" s="860">
        <f>ROUND((N145),2)</f>
        <v>2085.85</v>
      </c>
    </row>
    <row r="146" spans="1:16" ht="15.75" customHeight="1">
      <c r="A146" s="458" t="s">
        <v>101</v>
      </c>
      <c r="B146" s="427" t="s">
        <v>420</v>
      </c>
      <c r="C146" s="428"/>
      <c r="D146" s="428"/>
      <c r="E146" s="428"/>
      <c r="F146" s="428"/>
      <c r="G146" s="428"/>
      <c r="H146" s="428"/>
      <c r="I146" s="428"/>
      <c r="J146" s="428"/>
      <c r="K146" s="428"/>
      <c r="L146" s="428"/>
      <c r="M146" s="428"/>
      <c r="N146" s="390"/>
      <c r="O146" s="1065"/>
      <c r="P146" s="860"/>
    </row>
    <row r="147" spans="1:16" ht="15.75" customHeight="1">
      <c r="A147" s="1068"/>
      <c r="B147" s="843" t="str">
        <f t="shared" ref="B147:D164" si="3">B50</f>
        <v>Akses masuk Bangunan Beku</v>
      </c>
      <c r="C147" s="428">
        <f t="shared" si="3"/>
        <v>1.5</v>
      </c>
      <c r="D147" s="428">
        <f t="shared" si="3"/>
        <v>50</v>
      </c>
      <c r="E147" s="428">
        <v>0.15</v>
      </c>
      <c r="F147" s="428"/>
      <c r="G147" s="428"/>
      <c r="H147" s="428"/>
      <c r="I147" s="428"/>
      <c r="J147" s="428"/>
      <c r="K147" s="428"/>
      <c r="L147" s="428"/>
      <c r="M147" s="428"/>
      <c r="N147" s="390">
        <f t="shared" ref="N147:N169" si="4">C147*D147*E147</f>
        <v>11.25</v>
      </c>
      <c r="O147" s="1065"/>
      <c r="P147" s="860"/>
    </row>
    <row r="148" spans="1:16" ht="15.75" customHeight="1">
      <c r="A148" s="1068"/>
      <c r="B148" s="843" t="str">
        <f t="shared" si="3"/>
        <v>Jalan Samping Parkiran</v>
      </c>
      <c r="C148" s="428">
        <f t="shared" si="3"/>
        <v>1.5</v>
      </c>
      <c r="D148" s="428">
        <f t="shared" si="3"/>
        <v>1.47</v>
      </c>
      <c r="E148" s="428"/>
      <c r="F148" s="428"/>
      <c r="G148" s="428"/>
      <c r="H148" s="428"/>
      <c r="I148" s="428"/>
      <c r="J148" s="428"/>
      <c r="K148" s="428"/>
      <c r="L148" s="428"/>
      <c r="M148" s="428"/>
      <c r="N148" s="390">
        <f t="shared" si="4"/>
        <v>0</v>
      </c>
      <c r="O148" s="1065"/>
      <c r="P148" s="860"/>
    </row>
    <row r="149" spans="1:16" ht="15.75" customHeight="1">
      <c r="A149" s="1068"/>
      <c r="B149" s="843" t="str">
        <f t="shared" si="3"/>
        <v>depan bangunan beku</v>
      </c>
      <c r="C149" s="428">
        <f t="shared" si="3"/>
        <v>1.5</v>
      </c>
      <c r="D149" s="428">
        <f t="shared" si="3"/>
        <v>0</v>
      </c>
      <c r="E149" s="428"/>
      <c r="F149" s="428"/>
      <c r="G149" s="428"/>
      <c r="H149" s="428"/>
      <c r="I149" s="428"/>
      <c r="J149" s="428"/>
      <c r="K149" s="428"/>
      <c r="L149" s="428"/>
      <c r="M149" s="428"/>
      <c r="N149" s="390">
        <f t="shared" si="4"/>
        <v>0</v>
      </c>
      <c r="O149" s="1065"/>
      <c r="P149" s="860"/>
    </row>
    <row r="150" spans="1:16" ht="15.75" customHeight="1">
      <c r="A150" s="1068"/>
      <c r="B150" s="843" t="str">
        <f t="shared" si="3"/>
        <v>depan area parkir</v>
      </c>
      <c r="C150" s="428">
        <f t="shared" si="3"/>
        <v>1.5</v>
      </c>
      <c r="D150" s="428">
        <f t="shared" si="3"/>
        <v>0</v>
      </c>
      <c r="E150" s="428"/>
      <c r="F150" s="428"/>
      <c r="G150" s="428"/>
      <c r="H150" s="428"/>
      <c r="I150" s="428"/>
      <c r="J150" s="428"/>
      <c r="K150" s="428"/>
      <c r="L150" s="428"/>
      <c r="M150" s="428"/>
      <c r="N150" s="390">
        <f t="shared" si="4"/>
        <v>0</v>
      </c>
      <c r="O150" s="1065"/>
      <c r="P150" s="860"/>
    </row>
    <row r="151" spans="1:16" ht="15.75" customHeight="1">
      <c r="A151" s="1068"/>
      <c r="B151" s="843" t="str">
        <f t="shared" si="3"/>
        <v>sodetan depan Bale Nelayan</v>
      </c>
      <c r="C151" s="428">
        <f t="shared" si="3"/>
        <v>1.5</v>
      </c>
      <c r="D151" s="428">
        <f t="shared" si="3"/>
        <v>0</v>
      </c>
      <c r="E151" s="428"/>
      <c r="F151" s="428"/>
      <c r="G151" s="428"/>
      <c r="H151" s="428"/>
      <c r="I151" s="428"/>
      <c r="J151" s="428"/>
      <c r="K151" s="428"/>
      <c r="L151" s="428"/>
      <c r="M151" s="428"/>
      <c r="N151" s="390">
        <f t="shared" si="4"/>
        <v>0</v>
      </c>
      <c r="O151" s="1065"/>
      <c r="P151" s="860"/>
    </row>
    <row r="152" spans="1:16" ht="15.75" customHeight="1">
      <c r="A152" s="1068"/>
      <c r="B152" s="843" t="str">
        <f t="shared" si="3"/>
        <v>depan bengkel</v>
      </c>
      <c r="C152" s="428">
        <f t="shared" si="3"/>
        <v>1.5</v>
      </c>
      <c r="D152" s="428">
        <f t="shared" si="3"/>
        <v>0</v>
      </c>
      <c r="E152" s="428"/>
      <c r="F152" s="428"/>
      <c r="G152" s="428"/>
      <c r="H152" s="428"/>
      <c r="I152" s="428"/>
      <c r="J152" s="428"/>
      <c r="K152" s="428"/>
      <c r="L152" s="428"/>
      <c r="M152" s="428"/>
      <c r="N152" s="390">
        <f t="shared" si="4"/>
        <v>0</v>
      </c>
      <c r="O152" s="1065"/>
      <c r="P152" s="860"/>
    </row>
    <row r="153" spans="1:16" ht="15.75" customHeight="1">
      <c r="A153" s="1069"/>
      <c r="B153" s="458" t="str">
        <f t="shared" si="3"/>
        <v>Sentral Kuliner</v>
      </c>
      <c r="C153" s="428">
        <f t="shared" si="3"/>
        <v>1.5</v>
      </c>
      <c r="D153" s="428">
        <f t="shared" si="3"/>
        <v>0</v>
      </c>
      <c r="E153" s="428"/>
      <c r="F153" s="428"/>
      <c r="G153" s="428"/>
      <c r="H153" s="428"/>
      <c r="I153" s="428"/>
      <c r="J153" s="428"/>
      <c r="K153" s="428"/>
      <c r="L153" s="428"/>
      <c r="M153" s="428"/>
      <c r="N153" s="390">
        <f t="shared" si="4"/>
        <v>0</v>
      </c>
      <c r="O153" s="1065"/>
      <c r="P153" s="860"/>
    </row>
    <row r="154" spans="1:16" ht="15.75" customHeight="1">
      <c r="A154" s="1069"/>
      <c r="B154" s="458" t="str">
        <f t="shared" si="3"/>
        <v>SPBUN</v>
      </c>
      <c r="C154" s="428">
        <f t="shared" si="3"/>
        <v>1.5</v>
      </c>
      <c r="D154" s="428">
        <f t="shared" si="3"/>
        <v>0</v>
      </c>
      <c r="E154" s="428"/>
      <c r="F154" s="428"/>
      <c r="G154" s="428"/>
      <c r="H154" s="428"/>
      <c r="I154" s="428"/>
      <c r="J154" s="428"/>
      <c r="K154" s="428"/>
      <c r="L154" s="428"/>
      <c r="M154" s="428"/>
      <c r="N154" s="428">
        <f t="shared" si="4"/>
        <v>0</v>
      </c>
      <c r="O154" s="1065"/>
      <c r="P154" s="860"/>
    </row>
    <row r="155" spans="1:16" ht="15.75" customHeight="1">
      <c r="A155" s="1069"/>
      <c r="B155" s="458" t="str">
        <f t="shared" si="3"/>
        <v>Shelter Pendaratan Ikan</v>
      </c>
      <c r="C155" s="428">
        <f t="shared" si="3"/>
        <v>1.5</v>
      </c>
      <c r="D155" s="428">
        <f t="shared" si="3"/>
        <v>0</v>
      </c>
      <c r="E155" s="428"/>
      <c r="F155" s="428"/>
      <c r="G155" s="428"/>
      <c r="H155" s="428"/>
      <c r="I155" s="428"/>
      <c r="J155" s="428"/>
      <c r="K155" s="428"/>
      <c r="L155" s="428"/>
      <c r="M155" s="428"/>
      <c r="N155" s="390">
        <f t="shared" si="4"/>
        <v>0</v>
      </c>
      <c r="O155" s="1065"/>
      <c r="P155" s="860"/>
    </row>
    <row r="156" spans="1:16" ht="15.75" customHeight="1">
      <c r="A156" s="1069"/>
      <c r="B156" s="458" t="str">
        <f t="shared" si="3"/>
        <v>Pabrik Es</v>
      </c>
      <c r="C156" s="428">
        <f t="shared" si="3"/>
        <v>1.5</v>
      </c>
      <c r="D156" s="428">
        <f t="shared" si="3"/>
        <v>0</v>
      </c>
      <c r="E156" s="428"/>
      <c r="F156" s="428"/>
      <c r="G156" s="428"/>
      <c r="H156" s="428"/>
      <c r="I156" s="428"/>
      <c r="J156" s="428"/>
      <c r="K156" s="428"/>
      <c r="L156" s="428"/>
      <c r="M156" s="428"/>
      <c r="N156" s="390">
        <f t="shared" si="4"/>
        <v>0</v>
      </c>
      <c r="O156" s="1065"/>
      <c r="P156" s="860"/>
    </row>
    <row r="157" spans="1:16" ht="15.75" customHeight="1">
      <c r="A157" s="1069"/>
      <c r="B157" s="458" t="str">
        <f t="shared" si="3"/>
        <v>Kios Perbekalan</v>
      </c>
      <c r="C157" s="428">
        <f t="shared" si="3"/>
        <v>1.5</v>
      </c>
      <c r="D157" s="428">
        <f t="shared" si="3"/>
        <v>0</v>
      </c>
      <c r="E157" s="428"/>
      <c r="F157" s="428"/>
      <c r="G157" s="428"/>
      <c r="H157" s="428"/>
      <c r="I157" s="428"/>
      <c r="J157" s="428"/>
      <c r="K157" s="428"/>
      <c r="L157" s="428"/>
      <c r="M157" s="428"/>
      <c r="N157" s="390">
        <f t="shared" si="4"/>
        <v>0</v>
      </c>
      <c r="O157" s="1065"/>
      <c r="P157" s="860"/>
    </row>
    <row r="158" spans="1:16" ht="15.75" customHeight="1">
      <c r="A158" s="1069"/>
      <c r="B158" s="458" t="str">
        <f t="shared" si="3"/>
        <v>Kantor</v>
      </c>
      <c r="C158" s="428">
        <f t="shared" si="3"/>
        <v>1.5</v>
      </c>
      <c r="D158" s="428">
        <f t="shared" si="3"/>
        <v>0</v>
      </c>
      <c r="E158" s="428"/>
      <c r="F158" s="428"/>
      <c r="G158" s="428"/>
      <c r="H158" s="428"/>
      <c r="I158" s="428"/>
      <c r="J158" s="428"/>
      <c r="K158" s="428"/>
      <c r="L158" s="428"/>
      <c r="M158" s="428"/>
      <c r="N158" s="390">
        <f t="shared" si="4"/>
        <v>0</v>
      </c>
      <c r="O158" s="1065"/>
      <c r="P158" s="860"/>
    </row>
    <row r="159" spans="1:16" ht="15.75" customHeight="1">
      <c r="A159" s="1069"/>
      <c r="B159" s="458" t="str">
        <f t="shared" si="3"/>
        <v>Toilet Umum</v>
      </c>
      <c r="C159" s="428">
        <f t="shared" si="3"/>
        <v>1.5</v>
      </c>
      <c r="D159" s="428">
        <f t="shared" si="3"/>
        <v>0</v>
      </c>
      <c r="E159" s="428"/>
      <c r="F159" s="428"/>
      <c r="G159" s="428"/>
      <c r="H159" s="428"/>
      <c r="I159" s="428"/>
      <c r="J159" s="428"/>
      <c r="K159" s="428"/>
      <c r="L159" s="428"/>
      <c r="M159" s="428"/>
      <c r="N159" s="390">
        <f t="shared" si="4"/>
        <v>0</v>
      </c>
      <c r="O159" s="1065"/>
      <c r="P159" s="860"/>
    </row>
    <row r="160" spans="1:16" ht="15.75" customHeight="1">
      <c r="A160" s="1069"/>
      <c r="B160" s="458" t="str">
        <f t="shared" si="3"/>
        <v>Tangki Air</v>
      </c>
      <c r="C160" s="428">
        <f t="shared" si="3"/>
        <v>1.5</v>
      </c>
      <c r="D160" s="428">
        <f t="shared" si="3"/>
        <v>0</v>
      </c>
      <c r="E160" s="428"/>
      <c r="F160" s="428"/>
      <c r="G160" s="428"/>
      <c r="H160" s="428"/>
      <c r="I160" s="428"/>
      <c r="J160" s="428"/>
      <c r="K160" s="428"/>
      <c r="L160" s="428"/>
      <c r="M160" s="428"/>
      <c r="N160" s="390">
        <f t="shared" si="4"/>
        <v>0</v>
      </c>
      <c r="O160" s="1065"/>
      <c r="P160" s="860"/>
    </row>
    <row r="161" spans="1:16" ht="15.75" customHeight="1">
      <c r="A161" s="1069"/>
      <c r="B161" s="458" t="str">
        <f t="shared" si="3"/>
        <v>Mushollah</v>
      </c>
      <c r="C161" s="428">
        <f t="shared" si="3"/>
        <v>1.5</v>
      </c>
      <c r="D161" s="428">
        <f t="shared" si="3"/>
        <v>0</v>
      </c>
      <c r="E161" s="428"/>
      <c r="F161" s="428"/>
      <c r="G161" s="428"/>
      <c r="H161" s="428"/>
      <c r="I161" s="428"/>
      <c r="J161" s="428"/>
      <c r="K161" s="428"/>
      <c r="L161" s="428"/>
      <c r="M161" s="428"/>
      <c r="N161" s="390">
        <f t="shared" si="4"/>
        <v>0</v>
      </c>
      <c r="O161" s="1065"/>
      <c r="P161" s="860"/>
    </row>
    <row r="162" spans="1:16" ht="15.75" customHeight="1">
      <c r="A162" s="1069"/>
      <c r="B162" s="458" t="str">
        <f t="shared" si="3"/>
        <v>TPS</v>
      </c>
      <c r="C162" s="428">
        <f t="shared" si="3"/>
        <v>1.5</v>
      </c>
      <c r="D162" s="428">
        <f t="shared" si="3"/>
        <v>0</v>
      </c>
      <c r="E162" s="428"/>
      <c r="F162" s="428"/>
      <c r="G162" s="428"/>
      <c r="H162" s="428"/>
      <c r="I162" s="428"/>
      <c r="J162" s="428"/>
      <c r="K162" s="428"/>
      <c r="L162" s="428"/>
      <c r="M162" s="428"/>
      <c r="N162" s="390">
        <f t="shared" si="4"/>
        <v>0</v>
      </c>
      <c r="O162" s="1065"/>
      <c r="P162" s="860"/>
    </row>
    <row r="163" spans="1:16" ht="15.75" customHeight="1">
      <c r="A163" s="1069"/>
      <c r="B163" s="458" t="str">
        <f t="shared" si="3"/>
        <v xml:space="preserve">Pos Jaga </v>
      </c>
      <c r="C163" s="428">
        <f t="shared" si="3"/>
        <v>1.5</v>
      </c>
      <c r="D163" s="428">
        <f t="shared" si="3"/>
        <v>0</v>
      </c>
      <c r="E163" s="428"/>
      <c r="F163" s="428"/>
      <c r="G163" s="428"/>
      <c r="H163" s="428"/>
      <c r="I163" s="428"/>
      <c r="J163" s="428"/>
      <c r="K163" s="428"/>
      <c r="L163" s="428"/>
      <c r="M163" s="428"/>
      <c r="N163" s="390">
        <f t="shared" si="4"/>
        <v>0</v>
      </c>
      <c r="O163" s="1065"/>
      <c r="P163" s="860"/>
    </row>
    <row r="164" spans="1:16" ht="15.75" customHeight="1">
      <c r="A164" s="1069"/>
      <c r="B164" s="458" t="str">
        <f t="shared" si="3"/>
        <v>Bengkel + jaring</v>
      </c>
      <c r="C164" s="428">
        <f t="shared" si="3"/>
        <v>1.5</v>
      </c>
      <c r="D164" s="428">
        <f t="shared" si="3"/>
        <v>0</v>
      </c>
      <c r="E164" s="428"/>
      <c r="F164" s="428"/>
      <c r="G164" s="428"/>
      <c r="H164" s="428"/>
      <c r="I164" s="428"/>
      <c r="J164" s="428"/>
      <c r="K164" s="428"/>
      <c r="L164" s="428"/>
      <c r="M164" s="428"/>
      <c r="N164" s="390">
        <f t="shared" si="4"/>
        <v>0</v>
      </c>
      <c r="O164" s="1065"/>
      <c r="P164" s="860"/>
    </row>
    <row r="165" spans="1:16" ht="15.75" customHeight="1">
      <c r="A165" s="1069"/>
      <c r="B165" s="458" t="str">
        <f t="shared" ref="B165:D169" si="5">B69</f>
        <v>Gudang Beku</v>
      </c>
      <c r="C165" s="428">
        <f t="shared" si="5"/>
        <v>1.5</v>
      </c>
      <c r="D165" s="428">
        <f t="shared" si="5"/>
        <v>0</v>
      </c>
      <c r="E165" s="428"/>
      <c r="F165" s="428"/>
      <c r="G165" s="428"/>
      <c r="H165" s="428"/>
      <c r="I165" s="428"/>
      <c r="J165" s="428"/>
      <c r="K165" s="428"/>
      <c r="L165" s="428"/>
      <c r="M165" s="428"/>
      <c r="N165" s="390">
        <f t="shared" si="4"/>
        <v>0</v>
      </c>
      <c r="O165" s="1065"/>
      <c r="P165" s="860"/>
    </row>
    <row r="166" spans="1:16" ht="15.75" customHeight="1">
      <c r="A166" s="1069"/>
      <c r="B166" s="458" t="str">
        <f t="shared" si="5"/>
        <v>Pasar Ikan</v>
      </c>
      <c r="C166" s="428">
        <f t="shared" si="5"/>
        <v>1.5</v>
      </c>
      <c r="D166" s="428">
        <f t="shared" si="5"/>
        <v>0</v>
      </c>
      <c r="E166" s="428"/>
      <c r="F166" s="428"/>
      <c r="G166" s="428"/>
      <c r="H166" s="428"/>
      <c r="I166" s="428"/>
      <c r="J166" s="428"/>
      <c r="K166" s="428"/>
      <c r="L166" s="428"/>
      <c r="M166" s="428"/>
      <c r="N166" s="390">
        <f t="shared" si="4"/>
        <v>0</v>
      </c>
      <c r="O166" s="1065"/>
      <c r="P166" s="860"/>
    </row>
    <row r="167" spans="1:16" ht="15.75" customHeight="1">
      <c r="A167" s="1069"/>
      <c r="B167" s="458" t="str">
        <f t="shared" si="5"/>
        <v>Docking Kapal</v>
      </c>
      <c r="C167" s="428">
        <f t="shared" si="5"/>
        <v>1.5</v>
      </c>
      <c r="D167" s="428">
        <f t="shared" si="5"/>
        <v>3</v>
      </c>
      <c r="E167" s="428"/>
      <c r="F167" s="428"/>
      <c r="G167" s="428"/>
      <c r="H167" s="428"/>
      <c r="I167" s="428"/>
      <c r="J167" s="428"/>
      <c r="K167" s="428"/>
      <c r="L167" s="428"/>
      <c r="M167" s="428"/>
      <c r="N167" s="390">
        <f t="shared" si="4"/>
        <v>0</v>
      </c>
      <c r="O167" s="1065"/>
      <c r="P167" s="860"/>
    </row>
    <row r="168" spans="1:16" ht="15.75" customHeight="1">
      <c r="A168" s="1069"/>
      <c r="B168" s="458" t="str">
        <f t="shared" si="5"/>
        <v>Bale Nelayan</v>
      </c>
      <c r="C168" s="428">
        <f t="shared" si="5"/>
        <v>1.5</v>
      </c>
      <c r="D168" s="428">
        <f t="shared" si="5"/>
        <v>0</v>
      </c>
      <c r="E168" s="428"/>
      <c r="F168" s="428"/>
      <c r="G168" s="428"/>
      <c r="H168" s="428"/>
      <c r="I168" s="428"/>
      <c r="J168" s="428"/>
      <c r="K168" s="428"/>
      <c r="L168" s="428"/>
      <c r="M168" s="428"/>
      <c r="N168" s="390">
        <f t="shared" si="4"/>
        <v>0</v>
      </c>
      <c r="O168" s="1065"/>
      <c r="P168" s="860"/>
    </row>
    <row r="169" spans="1:16" ht="15.75" customHeight="1">
      <c r="A169" s="1069"/>
      <c r="B169" s="458" t="str">
        <f t="shared" si="5"/>
        <v>Cool Box</v>
      </c>
      <c r="C169" s="428">
        <f t="shared" si="5"/>
        <v>1.5</v>
      </c>
      <c r="D169" s="428">
        <f t="shared" si="5"/>
        <v>0</v>
      </c>
      <c r="E169" s="428"/>
      <c r="F169" s="428"/>
      <c r="G169" s="428"/>
      <c r="H169" s="428"/>
      <c r="I169" s="428"/>
      <c r="J169" s="428"/>
      <c r="K169" s="428"/>
      <c r="L169" s="428"/>
      <c r="M169" s="428"/>
      <c r="N169" s="869">
        <f t="shared" si="4"/>
        <v>0</v>
      </c>
      <c r="O169" s="1065"/>
      <c r="P169" s="860"/>
    </row>
    <row r="170" spans="1:16" ht="15.75" customHeight="1">
      <c r="A170" s="1069"/>
      <c r="B170" s="46"/>
      <c r="C170" s="428"/>
      <c r="D170" s="428"/>
      <c r="E170" s="428"/>
      <c r="F170" s="428"/>
      <c r="G170" s="428"/>
      <c r="H170" s="428"/>
      <c r="I170" s="428"/>
      <c r="J170" s="428"/>
      <c r="K170" s="428"/>
      <c r="L170" s="428"/>
      <c r="M170" s="428"/>
      <c r="N170" s="390">
        <f>SUM(N147:N169)</f>
        <v>11.25</v>
      </c>
      <c r="O170" s="362" t="s">
        <v>103</v>
      </c>
      <c r="P170" s="860">
        <f>ROUND((N170),2)</f>
        <v>11.25</v>
      </c>
    </row>
    <row r="171" spans="1:16" ht="15.75" customHeight="1">
      <c r="A171" s="84">
        <f>A48+1</f>
        <v>11</v>
      </c>
      <c r="B171" s="71" t="s">
        <v>860</v>
      </c>
      <c r="C171" s="428"/>
      <c r="D171" s="428"/>
      <c r="E171" s="428"/>
      <c r="F171" s="428"/>
      <c r="G171" s="428"/>
      <c r="H171" s="428"/>
      <c r="I171" s="428"/>
      <c r="J171" s="428"/>
      <c r="K171" s="428"/>
      <c r="L171" s="428"/>
      <c r="M171" s="428"/>
      <c r="N171" s="428"/>
      <c r="O171" s="362"/>
      <c r="P171" s="860"/>
    </row>
    <row r="172" spans="1:16" ht="15.75" customHeight="1">
      <c r="A172" s="458" t="s">
        <v>95</v>
      </c>
      <c r="B172" s="46" t="s">
        <v>851</v>
      </c>
      <c r="C172" s="956">
        <v>1.1000000000000001</v>
      </c>
      <c r="D172" s="956">
        <v>1.1000000000000001</v>
      </c>
      <c r="E172" s="956">
        <v>1.2</v>
      </c>
      <c r="F172" s="956"/>
      <c r="G172" s="956"/>
      <c r="H172" s="956"/>
      <c r="I172" s="956"/>
      <c r="J172" s="956"/>
      <c r="K172" s="956"/>
      <c r="L172" s="956"/>
      <c r="M172" s="956">
        <v>2</v>
      </c>
      <c r="N172" s="956">
        <f>C172*D172*E172*M172</f>
        <v>2.9040000000000004</v>
      </c>
      <c r="O172" s="362" t="s">
        <v>103</v>
      </c>
      <c r="P172" s="860">
        <f>ROUND((N172),2)</f>
        <v>2.9</v>
      </c>
    </row>
    <row r="173" spans="1:16" ht="15.75" customHeight="1">
      <c r="A173" s="458" t="s">
        <v>98</v>
      </c>
      <c r="B173" s="71" t="s">
        <v>221</v>
      </c>
      <c r="C173" s="1070"/>
      <c r="D173" s="1070">
        <v>0.8</v>
      </c>
      <c r="E173" s="1070">
        <v>0.9</v>
      </c>
      <c r="F173" s="1070">
        <v>4</v>
      </c>
      <c r="G173" s="1070"/>
      <c r="H173" s="1070">
        <v>2</v>
      </c>
      <c r="I173" s="1070"/>
      <c r="J173" s="1070"/>
      <c r="K173" s="1070"/>
      <c r="L173" s="1070"/>
      <c r="M173" s="1070">
        <f>M172</f>
        <v>2</v>
      </c>
      <c r="N173" s="1070">
        <f>D173*E173*F173*H173*M173</f>
        <v>11.520000000000001</v>
      </c>
      <c r="O173" s="84" t="s">
        <v>89</v>
      </c>
      <c r="P173" s="860">
        <f>ROUND((N173),2)</f>
        <v>11.52</v>
      </c>
    </row>
    <row r="174" spans="1:16" ht="15.75" customHeight="1">
      <c r="A174" s="458" t="s">
        <v>101</v>
      </c>
      <c r="B174" s="71" t="s">
        <v>385</v>
      </c>
      <c r="C174" s="1070"/>
      <c r="D174" s="1070"/>
      <c r="E174" s="1070"/>
      <c r="F174" s="1070"/>
      <c r="G174" s="1070"/>
      <c r="H174" s="1070"/>
      <c r="I174" s="1070"/>
      <c r="J174" s="1070"/>
      <c r="K174" s="1070"/>
      <c r="L174" s="1070"/>
      <c r="M174" s="1070"/>
      <c r="N174" s="1070"/>
      <c r="O174" s="84"/>
      <c r="P174" s="860"/>
    </row>
    <row r="175" spans="1:16" ht="15.75" customHeight="1">
      <c r="A175" s="458"/>
      <c r="B175" s="458" t="s">
        <v>227</v>
      </c>
      <c r="C175" s="1070">
        <v>0.75</v>
      </c>
      <c r="D175" s="1070"/>
      <c r="E175" s="1070"/>
      <c r="F175" s="1070">
        <f>ROUNDUP((C176/0.15),0.1)+1</f>
        <v>6</v>
      </c>
      <c r="G175" s="1070"/>
      <c r="H175" s="1070">
        <v>4</v>
      </c>
      <c r="I175" s="1070"/>
      <c r="J175" s="1070"/>
      <c r="K175" s="1070"/>
      <c r="L175" s="1070">
        <f>13*13*0.006165</f>
        <v>1.041885</v>
      </c>
      <c r="M175" s="1070">
        <f>M173</f>
        <v>2</v>
      </c>
      <c r="N175" s="1070">
        <f>C175*F175*H175*L175*M175</f>
        <v>37.507860000000001</v>
      </c>
      <c r="O175" s="84"/>
      <c r="P175" s="860"/>
    </row>
    <row r="176" spans="1:16" ht="15.75" customHeight="1">
      <c r="A176" s="458"/>
      <c r="B176" s="458" t="s">
        <v>226</v>
      </c>
      <c r="C176" s="1070">
        <v>0.65</v>
      </c>
      <c r="D176" s="1070"/>
      <c r="E176" s="1070"/>
      <c r="F176" s="1070">
        <f>ROUNDUP((C175/0.15),0.1)+1</f>
        <v>6</v>
      </c>
      <c r="G176" s="1070"/>
      <c r="H176" s="1070">
        <v>4</v>
      </c>
      <c r="I176" s="1070"/>
      <c r="J176" s="1070"/>
      <c r="K176" s="1070"/>
      <c r="L176" s="1070">
        <f>L175</f>
        <v>1.041885</v>
      </c>
      <c r="M176" s="1070">
        <f>M175</f>
        <v>2</v>
      </c>
      <c r="N176" s="1070">
        <f>C176*F176*H176*L176*M176</f>
        <v>32.506812000000004</v>
      </c>
      <c r="O176" s="84"/>
      <c r="P176" s="860"/>
    </row>
    <row r="177" spans="1:16" ht="15.75" customHeight="1">
      <c r="A177" s="458"/>
      <c r="B177" s="458" t="s">
        <v>1470</v>
      </c>
      <c r="C177" s="1070">
        <v>0.3</v>
      </c>
      <c r="D177" s="1070"/>
      <c r="E177" s="1070"/>
      <c r="F177" s="1070"/>
      <c r="G177" s="1070"/>
      <c r="H177" s="1070">
        <v>4</v>
      </c>
      <c r="I177" s="1070"/>
      <c r="J177" s="1070"/>
      <c r="K177" s="1070"/>
      <c r="L177" s="1070">
        <f>L175</f>
        <v>1.041885</v>
      </c>
      <c r="M177" s="1070">
        <f>M175</f>
        <v>2</v>
      </c>
      <c r="N177" s="1070">
        <f>C177*H177*L177*M177</f>
        <v>2.500524</v>
      </c>
      <c r="O177" s="84"/>
      <c r="P177" s="860"/>
    </row>
    <row r="178" spans="1:16" ht="15.75" customHeight="1">
      <c r="A178" s="458"/>
      <c r="B178" s="1071" t="s">
        <v>1135</v>
      </c>
      <c r="C178" s="1070"/>
      <c r="D178" s="1070"/>
      <c r="E178" s="1070"/>
      <c r="F178" s="1070"/>
      <c r="G178" s="1070"/>
      <c r="H178" s="1070"/>
      <c r="I178" s="1070"/>
      <c r="J178" s="1070"/>
      <c r="K178" s="1070"/>
      <c r="L178" s="1070"/>
      <c r="M178" s="1070"/>
      <c r="N178" s="1072"/>
      <c r="O178" s="84"/>
      <c r="P178" s="860"/>
    </row>
    <row r="179" spans="1:16" ht="15.75" customHeight="1">
      <c r="A179" s="458"/>
      <c r="B179" s="458" t="s">
        <v>227</v>
      </c>
      <c r="C179" s="1070">
        <v>0.65</v>
      </c>
      <c r="D179" s="1070"/>
      <c r="E179" s="1070"/>
      <c r="F179" s="1070">
        <f>ROUNDUP((C179/0.15),0.1)+1</f>
        <v>6</v>
      </c>
      <c r="G179" s="1070"/>
      <c r="H179" s="1070"/>
      <c r="I179" s="1070"/>
      <c r="J179" s="1070"/>
      <c r="K179" s="1070"/>
      <c r="L179" s="1070">
        <f>L177</f>
        <v>1.041885</v>
      </c>
      <c r="M179" s="1070">
        <f>M177</f>
        <v>2</v>
      </c>
      <c r="N179" s="1072">
        <f>C179*F179*L179*M179</f>
        <v>8.1267030000000009</v>
      </c>
      <c r="O179" s="84"/>
      <c r="P179" s="860"/>
    </row>
    <row r="180" spans="1:16" ht="15.75" customHeight="1">
      <c r="A180" s="458"/>
      <c r="B180" s="458" t="s">
        <v>226</v>
      </c>
      <c r="C180" s="1070">
        <f>C179</f>
        <v>0.65</v>
      </c>
      <c r="D180" s="1070"/>
      <c r="E180" s="1070"/>
      <c r="F180" s="1070">
        <f>ROUNDUP((C180/0.15),0.1)+1</f>
        <v>6</v>
      </c>
      <c r="G180" s="1070"/>
      <c r="H180" s="1070"/>
      <c r="I180" s="1070"/>
      <c r="J180" s="1070"/>
      <c r="K180" s="1070"/>
      <c r="L180" s="1070">
        <f>L179</f>
        <v>1.041885</v>
      </c>
      <c r="M180" s="1070">
        <f>M179</f>
        <v>2</v>
      </c>
      <c r="N180" s="1073">
        <f>C180*F180*L180*M180</f>
        <v>8.1267030000000009</v>
      </c>
      <c r="O180" s="84"/>
      <c r="P180" s="860"/>
    </row>
    <row r="181" spans="1:16" ht="15.75" customHeight="1">
      <c r="A181" s="458"/>
      <c r="B181" s="71"/>
      <c r="C181" s="1070"/>
      <c r="D181" s="1070"/>
      <c r="E181" s="1070"/>
      <c r="F181" s="1070"/>
      <c r="G181" s="1070"/>
      <c r="H181" s="1070"/>
      <c r="I181" s="1070"/>
      <c r="J181" s="1070"/>
      <c r="K181" s="1070"/>
      <c r="L181" s="1070"/>
      <c r="M181" s="1070"/>
      <c r="N181" s="1074">
        <f>SUM(N175:N180)</f>
        <v>88.768602000000016</v>
      </c>
      <c r="O181" s="84" t="s">
        <v>100</v>
      </c>
      <c r="P181" s="860">
        <f>ROUND((N181),2)</f>
        <v>88.77</v>
      </c>
    </row>
    <row r="182" spans="1:16" ht="15.75" customHeight="1">
      <c r="A182" s="458" t="s">
        <v>121</v>
      </c>
      <c r="B182" s="71" t="s">
        <v>1043</v>
      </c>
      <c r="C182" s="1070"/>
      <c r="D182" s="1070"/>
      <c r="E182" s="1070"/>
      <c r="F182" s="1070"/>
      <c r="G182" s="1070"/>
      <c r="H182" s="1070"/>
      <c r="I182" s="1070"/>
      <c r="J182" s="1070"/>
      <c r="K182" s="1070"/>
      <c r="L182" s="1070"/>
      <c r="M182" s="1070"/>
      <c r="N182" s="1070"/>
      <c r="O182" s="84"/>
      <c r="P182" s="860"/>
    </row>
    <row r="183" spans="1:16" ht="15.75" customHeight="1">
      <c r="A183" s="458"/>
      <c r="B183" s="458" t="s">
        <v>1092</v>
      </c>
      <c r="C183" s="1070">
        <v>0.9</v>
      </c>
      <c r="D183" s="1070">
        <v>0.8</v>
      </c>
      <c r="E183" s="1070">
        <v>0.12</v>
      </c>
      <c r="F183" s="1070"/>
      <c r="G183" s="1070"/>
      <c r="H183" s="1070">
        <v>4</v>
      </c>
      <c r="I183" s="1070"/>
      <c r="J183" s="1070"/>
      <c r="K183" s="1070"/>
      <c r="L183" s="1070"/>
      <c r="M183" s="1070">
        <f>M180</f>
        <v>2</v>
      </c>
      <c r="N183" s="1070">
        <f>C183*D183*E183*H183*M183</f>
        <v>0.69120000000000004</v>
      </c>
      <c r="O183" s="84"/>
      <c r="P183" s="860"/>
    </row>
    <row r="184" spans="1:16" ht="15.75" customHeight="1">
      <c r="A184" s="458"/>
      <c r="B184" s="458" t="s">
        <v>1089</v>
      </c>
      <c r="C184" s="1070">
        <v>0.8</v>
      </c>
      <c r="D184" s="1070">
        <v>0.8</v>
      </c>
      <c r="E184" s="1070">
        <f>E183</f>
        <v>0.12</v>
      </c>
      <c r="F184" s="1070"/>
      <c r="G184" s="1070"/>
      <c r="H184" s="1070">
        <v>1</v>
      </c>
      <c r="I184" s="1070"/>
      <c r="J184" s="1070"/>
      <c r="K184" s="1070"/>
      <c r="L184" s="1070"/>
      <c r="M184" s="1070">
        <f>M183</f>
        <v>2</v>
      </c>
      <c r="N184" s="1073">
        <f>C184*D184*E184*H184*M184</f>
        <v>0.15360000000000001</v>
      </c>
      <c r="O184" s="84"/>
      <c r="P184" s="860"/>
    </row>
    <row r="185" spans="1:16" ht="15.75" customHeight="1">
      <c r="A185" s="458"/>
      <c r="B185" s="843"/>
      <c r="C185" s="1070"/>
      <c r="D185" s="1070"/>
      <c r="E185" s="1070"/>
      <c r="F185" s="1070"/>
      <c r="G185" s="1070"/>
      <c r="H185" s="1070"/>
      <c r="I185" s="1070"/>
      <c r="J185" s="1070"/>
      <c r="K185" s="1070"/>
      <c r="L185" s="1070"/>
      <c r="M185" s="1070"/>
      <c r="N185" s="1074">
        <f>SUM(N183:N184)</f>
        <v>0.8448</v>
      </c>
      <c r="O185" s="84" t="s">
        <v>103</v>
      </c>
      <c r="P185" s="860">
        <f>ROUND((N185),2)</f>
        <v>0.84</v>
      </c>
    </row>
    <row r="186" spans="1:16" ht="15.75" customHeight="1">
      <c r="A186" s="458" t="s">
        <v>142</v>
      </c>
      <c r="B186" s="71" t="s">
        <v>861</v>
      </c>
      <c r="C186" s="1070"/>
      <c r="D186" s="1070"/>
      <c r="E186" s="1070"/>
      <c r="F186" s="1070"/>
      <c r="G186" s="1070"/>
      <c r="H186" s="71"/>
      <c r="I186" s="71"/>
      <c r="J186" s="71"/>
      <c r="K186" s="71"/>
      <c r="L186" s="71"/>
      <c r="M186" s="1075">
        <f>M184</f>
        <v>2</v>
      </c>
      <c r="N186" s="1070">
        <f>M186</f>
        <v>2</v>
      </c>
      <c r="O186" s="84" t="s">
        <v>360</v>
      </c>
      <c r="P186" s="860">
        <f>ROUND((N186),2)</f>
        <v>2</v>
      </c>
    </row>
    <row r="187" spans="1:16" ht="15.75" customHeight="1">
      <c r="A187" s="429">
        <f>A171+1</f>
        <v>12</v>
      </c>
      <c r="B187" s="46" t="s">
        <v>1471</v>
      </c>
      <c r="C187" s="428"/>
      <c r="D187" s="428"/>
      <c r="E187" s="428"/>
      <c r="F187" s="428"/>
      <c r="G187" s="428"/>
      <c r="H187" s="428"/>
      <c r="I187" s="428"/>
      <c r="J187" s="428"/>
      <c r="K187" s="428"/>
      <c r="L187" s="428"/>
      <c r="M187" s="428"/>
      <c r="N187" s="390"/>
      <c r="O187" s="433"/>
      <c r="P187" s="860"/>
    </row>
    <row r="188" spans="1:16" ht="15.75" customHeight="1">
      <c r="A188" s="430" t="s">
        <v>95</v>
      </c>
      <c r="B188" s="46" t="s">
        <v>851</v>
      </c>
      <c r="C188" s="428"/>
      <c r="D188" s="428"/>
      <c r="E188" s="428"/>
      <c r="F188" s="428"/>
      <c r="G188" s="428"/>
      <c r="H188" s="428"/>
      <c r="I188" s="428"/>
      <c r="J188" s="428"/>
      <c r="K188" s="428"/>
      <c r="L188" s="428"/>
      <c r="M188" s="428"/>
      <c r="N188" s="390"/>
      <c r="O188" s="433"/>
      <c r="P188" s="860"/>
    </row>
    <row r="189" spans="1:16" ht="15.75" customHeight="1">
      <c r="A189" s="430"/>
      <c r="B189" s="1071" t="s">
        <v>1452</v>
      </c>
      <c r="C189" s="428"/>
      <c r="D189" s="428"/>
      <c r="E189" s="428"/>
      <c r="F189" s="428"/>
      <c r="G189" s="428"/>
      <c r="H189" s="428"/>
      <c r="I189" s="428"/>
      <c r="J189" s="428"/>
      <c r="K189" s="428"/>
      <c r="L189" s="428"/>
      <c r="M189" s="428"/>
      <c r="N189" s="390"/>
      <c r="O189" s="433"/>
      <c r="P189" s="860"/>
    </row>
    <row r="190" spans="1:16" ht="15.75" customHeight="1">
      <c r="A190" s="430"/>
      <c r="B190" s="458" t="s">
        <v>226</v>
      </c>
      <c r="C190" s="428">
        <v>22</v>
      </c>
      <c r="D190" s="428">
        <v>0.5</v>
      </c>
      <c r="E190" s="428">
        <v>0.5</v>
      </c>
      <c r="F190" s="428"/>
      <c r="G190" s="428"/>
      <c r="H190" s="428">
        <v>2</v>
      </c>
      <c r="I190" s="428"/>
      <c r="J190" s="428"/>
      <c r="K190" s="428"/>
      <c r="L190" s="428"/>
      <c r="M190" s="428"/>
      <c r="N190" s="390">
        <f>C190*D190*E190*H190</f>
        <v>11</v>
      </c>
      <c r="O190" s="433"/>
      <c r="P190" s="860"/>
    </row>
    <row r="191" spans="1:16" ht="15.75" customHeight="1">
      <c r="A191" s="430"/>
      <c r="B191" s="458" t="s">
        <v>227</v>
      </c>
      <c r="C191" s="428">
        <v>14.5</v>
      </c>
      <c r="D191" s="428">
        <f>D190</f>
        <v>0.5</v>
      </c>
      <c r="E191" s="428">
        <f>E190</f>
        <v>0.5</v>
      </c>
      <c r="F191" s="428"/>
      <c r="G191" s="428"/>
      <c r="H191" s="428">
        <f>H190</f>
        <v>2</v>
      </c>
      <c r="I191" s="428"/>
      <c r="J191" s="428"/>
      <c r="K191" s="428"/>
      <c r="L191" s="428"/>
      <c r="M191" s="428"/>
      <c r="N191" s="390">
        <f>C191*D191*E191*H191</f>
        <v>7.25</v>
      </c>
      <c r="O191" s="433"/>
      <c r="P191" s="860"/>
    </row>
    <row r="192" spans="1:16" ht="15.75" customHeight="1">
      <c r="A192" s="430"/>
      <c r="B192" s="1071" t="s">
        <v>1453</v>
      </c>
      <c r="C192" s="428"/>
      <c r="D192" s="428"/>
      <c r="E192" s="428"/>
      <c r="F192" s="428"/>
      <c r="G192" s="428"/>
      <c r="H192" s="428"/>
      <c r="I192" s="428"/>
      <c r="J192" s="428"/>
      <c r="K192" s="428"/>
      <c r="L192" s="428"/>
      <c r="M192" s="428"/>
      <c r="N192" s="390"/>
      <c r="O192" s="433"/>
      <c r="P192" s="860"/>
    </row>
    <row r="193" spans="1:16" ht="15.75" customHeight="1">
      <c r="A193" s="430"/>
      <c r="B193" s="458" t="s">
        <v>226</v>
      </c>
      <c r="C193" s="428">
        <v>10</v>
      </c>
      <c r="D193" s="428">
        <f>D191</f>
        <v>0.5</v>
      </c>
      <c r="E193" s="428">
        <f>E191</f>
        <v>0.5</v>
      </c>
      <c r="F193" s="428"/>
      <c r="G193" s="428"/>
      <c r="H193" s="428">
        <v>1</v>
      </c>
      <c r="I193" s="428"/>
      <c r="J193" s="428"/>
      <c r="K193" s="428"/>
      <c r="L193" s="428"/>
      <c r="M193" s="428"/>
      <c r="N193" s="390"/>
      <c r="O193" s="433"/>
      <c r="P193" s="860"/>
    </row>
    <row r="194" spans="1:16" ht="15.75" customHeight="1">
      <c r="A194" s="430"/>
      <c r="B194" s="458" t="s">
        <v>227</v>
      </c>
      <c r="C194" s="428">
        <v>25</v>
      </c>
      <c r="D194" s="428">
        <f>D193</f>
        <v>0.5</v>
      </c>
      <c r="E194" s="428">
        <f>E193</f>
        <v>0.5</v>
      </c>
      <c r="F194" s="428"/>
      <c r="G194" s="428"/>
      <c r="H194" s="428">
        <v>1</v>
      </c>
      <c r="I194" s="428"/>
      <c r="J194" s="428"/>
      <c r="K194" s="428"/>
      <c r="L194" s="428"/>
      <c r="M194" s="428"/>
      <c r="N194" s="390"/>
      <c r="O194" s="433"/>
      <c r="P194" s="860"/>
    </row>
    <row r="195" spans="1:16" ht="15.75" customHeight="1">
      <c r="A195" s="430"/>
      <c r="B195" s="1071" t="s">
        <v>1454</v>
      </c>
      <c r="C195" s="428"/>
      <c r="D195" s="428"/>
      <c r="E195" s="428"/>
      <c r="F195" s="428"/>
      <c r="G195" s="428"/>
      <c r="H195" s="428"/>
      <c r="I195" s="428"/>
      <c r="J195" s="428"/>
      <c r="K195" s="428"/>
      <c r="L195" s="428"/>
      <c r="M195" s="428"/>
      <c r="N195" s="390"/>
      <c r="O195" s="433"/>
      <c r="P195" s="860"/>
    </row>
    <row r="196" spans="1:16" ht="15.75" customHeight="1">
      <c r="A196" s="430"/>
      <c r="B196" s="458" t="s">
        <v>226</v>
      </c>
      <c r="C196" s="428">
        <v>15</v>
      </c>
      <c r="D196" s="428">
        <f>D193</f>
        <v>0.5</v>
      </c>
      <c r="E196" s="428">
        <f>E193</f>
        <v>0.5</v>
      </c>
      <c r="F196" s="428"/>
      <c r="G196" s="428"/>
      <c r="H196" s="428">
        <v>2</v>
      </c>
      <c r="I196" s="428"/>
      <c r="J196" s="428"/>
      <c r="K196" s="428"/>
      <c r="L196" s="428"/>
      <c r="M196" s="428"/>
      <c r="N196" s="390">
        <f>C196*D196*E196*H196</f>
        <v>7.5</v>
      </c>
      <c r="O196" s="433"/>
      <c r="P196" s="860"/>
    </row>
    <row r="197" spans="1:16" ht="15.75" customHeight="1">
      <c r="A197" s="430"/>
      <c r="B197" s="458" t="s">
        <v>227</v>
      </c>
      <c r="C197" s="428">
        <v>8</v>
      </c>
      <c r="D197" s="428">
        <f>D194</f>
        <v>0.5</v>
      </c>
      <c r="E197" s="428">
        <f>E194</f>
        <v>0.5</v>
      </c>
      <c r="F197" s="428"/>
      <c r="G197" s="428"/>
      <c r="H197" s="428">
        <v>2</v>
      </c>
      <c r="I197" s="428"/>
      <c r="J197" s="428"/>
      <c r="K197" s="428"/>
      <c r="L197" s="428"/>
      <c r="M197" s="428"/>
      <c r="N197" s="390">
        <f>C197*D197*E197*H197</f>
        <v>4</v>
      </c>
      <c r="O197" s="433"/>
      <c r="P197" s="860"/>
    </row>
    <row r="198" spans="1:16" ht="15.75" customHeight="1">
      <c r="A198" s="430"/>
      <c r="B198" s="1071" t="s">
        <v>1455</v>
      </c>
      <c r="C198" s="428"/>
      <c r="D198" s="428"/>
      <c r="E198" s="428"/>
      <c r="F198" s="428"/>
      <c r="G198" s="428"/>
      <c r="H198" s="428"/>
      <c r="I198" s="428"/>
      <c r="J198" s="428"/>
      <c r="K198" s="428"/>
      <c r="L198" s="428"/>
      <c r="M198" s="428"/>
      <c r="N198" s="390"/>
      <c r="O198" s="433"/>
      <c r="P198" s="860"/>
    </row>
    <row r="199" spans="1:16" ht="15.75" customHeight="1">
      <c r="A199" s="430"/>
      <c r="B199" s="458" t="s">
        <v>226</v>
      </c>
      <c r="C199" s="428">
        <v>70</v>
      </c>
      <c r="D199" s="428">
        <f>D196</f>
        <v>0.5</v>
      </c>
      <c r="E199" s="428">
        <f>E196</f>
        <v>0.5</v>
      </c>
      <c r="F199" s="428"/>
      <c r="G199" s="428"/>
      <c r="H199" s="428">
        <v>2</v>
      </c>
      <c r="I199" s="428"/>
      <c r="J199" s="428"/>
      <c r="K199" s="428"/>
      <c r="L199" s="428"/>
      <c r="M199" s="428"/>
      <c r="N199" s="390">
        <f>C199*D199*E199*H199</f>
        <v>35</v>
      </c>
      <c r="O199" s="433"/>
      <c r="P199" s="860"/>
    </row>
    <row r="200" spans="1:16" ht="15.75" customHeight="1">
      <c r="A200" s="430"/>
      <c r="B200" s="458" t="s">
        <v>227</v>
      </c>
      <c r="C200" s="428">
        <v>70</v>
      </c>
      <c r="D200" s="428">
        <f>D197</f>
        <v>0.5</v>
      </c>
      <c r="E200" s="428">
        <f>E197</f>
        <v>0.5</v>
      </c>
      <c r="F200" s="428"/>
      <c r="G200" s="428"/>
      <c r="H200" s="428">
        <v>1</v>
      </c>
      <c r="I200" s="428"/>
      <c r="J200" s="428"/>
      <c r="K200" s="428"/>
      <c r="L200" s="428"/>
      <c r="M200" s="428"/>
      <c r="N200" s="390">
        <f>C200*D200*E200*H200</f>
        <v>17.5</v>
      </c>
      <c r="O200" s="433"/>
      <c r="P200" s="860"/>
    </row>
    <row r="201" spans="1:16" ht="15.75" customHeight="1">
      <c r="A201" s="430"/>
      <c r="B201" s="1071" t="s">
        <v>1456</v>
      </c>
      <c r="C201" s="428"/>
      <c r="D201" s="428"/>
      <c r="E201" s="428"/>
      <c r="F201" s="428"/>
      <c r="G201" s="428"/>
      <c r="H201" s="428"/>
      <c r="I201" s="428"/>
      <c r="J201" s="428"/>
      <c r="K201" s="428"/>
      <c r="L201" s="428"/>
      <c r="M201" s="428"/>
      <c r="N201" s="390"/>
      <c r="O201" s="433"/>
      <c r="P201" s="860"/>
    </row>
    <row r="202" spans="1:16" ht="15.75" customHeight="1">
      <c r="A202" s="430"/>
      <c r="B202" s="458" t="s">
        <v>226</v>
      </c>
      <c r="C202" s="428">
        <v>30</v>
      </c>
      <c r="D202" s="428">
        <f>D199</f>
        <v>0.5</v>
      </c>
      <c r="E202" s="428">
        <f>E199</f>
        <v>0.5</v>
      </c>
      <c r="F202" s="428"/>
      <c r="G202" s="428"/>
      <c r="H202" s="428">
        <v>1</v>
      </c>
      <c r="I202" s="428"/>
      <c r="J202" s="428"/>
      <c r="K202" s="428"/>
      <c r="L202" s="428"/>
      <c r="M202" s="428"/>
      <c r="N202" s="390">
        <f>C202*D202*E202*H202</f>
        <v>7.5</v>
      </c>
      <c r="O202" s="433"/>
      <c r="P202" s="860"/>
    </row>
    <row r="203" spans="1:16" ht="15.75" customHeight="1">
      <c r="A203" s="430"/>
      <c r="B203" s="458" t="s">
        <v>227</v>
      </c>
      <c r="C203" s="428">
        <v>10</v>
      </c>
      <c r="D203" s="428">
        <f>D200</f>
        <v>0.5</v>
      </c>
      <c r="E203" s="428">
        <f>E200</f>
        <v>0.5</v>
      </c>
      <c r="F203" s="428"/>
      <c r="G203" s="428"/>
      <c r="H203" s="428">
        <v>2</v>
      </c>
      <c r="I203" s="428"/>
      <c r="J203" s="428"/>
      <c r="K203" s="428"/>
      <c r="L203" s="428"/>
      <c r="M203" s="428"/>
      <c r="N203" s="390">
        <f>C203*D203*E203*H203</f>
        <v>5</v>
      </c>
      <c r="O203" s="433"/>
      <c r="P203" s="860"/>
    </row>
    <row r="204" spans="1:16" ht="15.75" customHeight="1">
      <c r="A204" s="430"/>
      <c r="B204" s="1071" t="s">
        <v>1457</v>
      </c>
      <c r="C204" s="428"/>
      <c r="D204" s="428"/>
      <c r="E204" s="428"/>
      <c r="F204" s="428"/>
      <c r="G204" s="428"/>
      <c r="H204" s="428"/>
      <c r="I204" s="428"/>
      <c r="J204" s="428"/>
      <c r="K204" s="428"/>
      <c r="L204" s="428"/>
      <c r="M204" s="428"/>
      <c r="N204" s="390"/>
      <c r="O204" s="433"/>
      <c r="P204" s="860"/>
    </row>
    <row r="205" spans="1:16" ht="15.75" customHeight="1">
      <c r="A205" s="430"/>
      <c r="B205" s="458" t="s">
        <v>226</v>
      </c>
      <c r="C205" s="428">
        <v>15</v>
      </c>
      <c r="D205" s="428">
        <f>D202</f>
        <v>0.5</v>
      </c>
      <c r="E205" s="428">
        <f>E202</f>
        <v>0.5</v>
      </c>
      <c r="F205" s="428"/>
      <c r="G205" s="428"/>
      <c r="H205" s="428">
        <v>1</v>
      </c>
      <c r="I205" s="428"/>
      <c r="J205" s="428"/>
      <c r="K205" s="428"/>
      <c r="L205" s="428"/>
      <c r="M205" s="428"/>
      <c r="N205" s="390">
        <f>C205*D205*E205*H205</f>
        <v>3.75</v>
      </c>
      <c r="O205" s="433"/>
      <c r="P205" s="860"/>
    </row>
    <row r="206" spans="1:16" ht="15.75" customHeight="1">
      <c r="A206" s="430"/>
      <c r="B206" s="458" t="s">
        <v>227</v>
      </c>
      <c r="C206" s="428">
        <v>20</v>
      </c>
      <c r="D206" s="428">
        <f>D203</f>
        <v>0.5</v>
      </c>
      <c r="E206" s="428">
        <f>E203</f>
        <v>0.5</v>
      </c>
      <c r="F206" s="428"/>
      <c r="G206" s="428"/>
      <c r="H206" s="428">
        <v>2</v>
      </c>
      <c r="I206" s="428"/>
      <c r="J206" s="428"/>
      <c r="K206" s="428"/>
      <c r="L206" s="428"/>
      <c r="M206" s="428"/>
      <c r="N206" s="390">
        <f>C206*D206*E206*H206</f>
        <v>10</v>
      </c>
      <c r="O206" s="433"/>
      <c r="P206" s="860"/>
    </row>
    <row r="207" spans="1:16" ht="15.75" customHeight="1">
      <c r="A207" s="430"/>
      <c r="B207" s="1071" t="s">
        <v>1458</v>
      </c>
      <c r="C207" s="428"/>
      <c r="D207" s="428"/>
      <c r="E207" s="428"/>
      <c r="F207" s="428"/>
      <c r="G207" s="428"/>
      <c r="H207" s="428"/>
      <c r="I207" s="428"/>
      <c r="J207" s="428"/>
      <c r="K207" s="428"/>
      <c r="L207" s="428"/>
      <c r="M207" s="428"/>
      <c r="N207" s="390"/>
      <c r="O207" s="433"/>
      <c r="P207" s="860"/>
    </row>
    <row r="208" spans="1:16" ht="15.75" customHeight="1">
      <c r="A208" s="430"/>
      <c r="B208" s="458" t="s">
        <v>226</v>
      </c>
      <c r="C208" s="428">
        <v>20</v>
      </c>
      <c r="D208" s="428">
        <f>D205</f>
        <v>0.5</v>
      </c>
      <c r="E208" s="428">
        <f>E205</f>
        <v>0.5</v>
      </c>
      <c r="F208" s="428"/>
      <c r="G208" s="428"/>
      <c r="H208" s="428">
        <v>2</v>
      </c>
      <c r="I208" s="428"/>
      <c r="J208" s="428"/>
      <c r="K208" s="428"/>
      <c r="L208" s="428"/>
      <c r="M208" s="428"/>
      <c r="N208" s="390">
        <f>C208*D208*E208*H208</f>
        <v>10</v>
      </c>
      <c r="O208" s="433"/>
      <c r="P208" s="860"/>
    </row>
    <row r="209" spans="1:16" ht="15.75" customHeight="1">
      <c r="A209" s="430"/>
      <c r="B209" s="458" t="s">
        <v>227</v>
      </c>
      <c r="C209" s="428">
        <v>8</v>
      </c>
      <c r="D209" s="428">
        <f>D206</f>
        <v>0.5</v>
      </c>
      <c r="E209" s="428">
        <f>E206</f>
        <v>0.5</v>
      </c>
      <c r="F209" s="428"/>
      <c r="G209" s="428"/>
      <c r="H209" s="428">
        <v>1</v>
      </c>
      <c r="I209" s="428"/>
      <c r="J209" s="428"/>
      <c r="K209" s="428"/>
      <c r="L209" s="428"/>
      <c r="M209" s="428"/>
      <c r="N209" s="390">
        <f>C209*D209*E209*H209</f>
        <v>2</v>
      </c>
      <c r="O209" s="433"/>
      <c r="P209" s="860"/>
    </row>
    <row r="210" spans="1:16" ht="15.75" customHeight="1">
      <c r="A210" s="430"/>
      <c r="B210" s="1071" t="s">
        <v>1459</v>
      </c>
      <c r="C210" s="428"/>
      <c r="D210" s="428"/>
      <c r="E210" s="428"/>
      <c r="F210" s="428"/>
      <c r="G210" s="428"/>
      <c r="H210" s="428"/>
      <c r="I210" s="428"/>
      <c r="J210" s="428"/>
      <c r="K210" s="428"/>
      <c r="L210" s="428"/>
      <c r="M210" s="428"/>
      <c r="N210" s="390"/>
      <c r="O210" s="433"/>
      <c r="P210" s="860"/>
    </row>
    <row r="211" spans="1:16" ht="15.75" customHeight="1">
      <c r="A211" s="430"/>
      <c r="B211" s="458" t="s">
        <v>226</v>
      </c>
      <c r="C211" s="428">
        <v>11</v>
      </c>
      <c r="D211" s="428">
        <f>D208</f>
        <v>0.5</v>
      </c>
      <c r="E211" s="428">
        <f>E208</f>
        <v>0.5</v>
      </c>
      <c r="F211" s="428"/>
      <c r="G211" s="428"/>
      <c r="H211" s="428">
        <v>2</v>
      </c>
      <c r="I211" s="428"/>
      <c r="J211" s="428"/>
      <c r="K211" s="428"/>
      <c r="L211" s="428"/>
      <c r="M211" s="428"/>
      <c r="N211" s="390">
        <f>C211*D211*E211*H211</f>
        <v>5.5</v>
      </c>
      <c r="O211" s="433"/>
      <c r="P211" s="860"/>
    </row>
    <row r="212" spans="1:16" ht="15.75" customHeight="1">
      <c r="A212" s="430"/>
      <c r="B212" s="458" t="s">
        <v>227</v>
      </c>
      <c r="C212" s="428">
        <v>11</v>
      </c>
      <c r="D212" s="428">
        <f>D209</f>
        <v>0.5</v>
      </c>
      <c r="E212" s="428">
        <f>E209</f>
        <v>0.5</v>
      </c>
      <c r="F212" s="428"/>
      <c r="G212" s="428"/>
      <c r="H212" s="428">
        <v>2</v>
      </c>
      <c r="I212" s="428"/>
      <c r="J212" s="428"/>
      <c r="K212" s="428"/>
      <c r="L212" s="428"/>
      <c r="M212" s="428"/>
      <c r="N212" s="390">
        <f>C212*D212*E212*H212</f>
        <v>5.5</v>
      </c>
      <c r="O212" s="433"/>
      <c r="P212" s="860"/>
    </row>
    <row r="213" spans="1:16" ht="15.75" customHeight="1">
      <c r="A213" s="430"/>
      <c r="B213" s="1071" t="s">
        <v>1460</v>
      </c>
      <c r="C213" s="428"/>
      <c r="D213" s="428"/>
      <c r="E213" s="428"/>
      <c r="F213" s="428"/>
      <c r="G213" s="428"/>
      <c r="H213" s="428"/>
      <c r="I213" s="428"/>
      <c r="J213" s="428"/>
      <c r="K213" s="428"/>
      <c r="L213" s="428"/>
      <c r="M213" s="428"/>
      <c r="N213" s="390"/>
      <c r="O213" s="433"/>
      <c r="P213" s="860"/>
    </row>
    <row r="214" spans="1:16" ht="15.75" customHeight="1">
      <c r="A214" s="430"/>
      <c r="B214" s="458" t="s">
        <v>226</v>
      </c>
      <c r="C214" s="428">
        <v>20</v>
      </c>
      <c r="D214" s="428">
        <f>D211</f>
        <v>0.5</v>
      </c>
      <c r="E214" s="428">
        <f>E211</f>
        <v>0.5</v>
      </c>
      <c r="F214" s="428"/>
      <c r="G214" s="428"/>
      <c r="H214" s="428">
        <v>2</v>
      </c>
      <c r="I214" s="428"/>
      <c r="J214" s="428"/>
      <c r="K214" s="428"/>
      <c r="L214" s="428"/>
      <c r="M214" s="428"/>
      <c r="N214" s="390"/>
      <c r="O214" s="433"/>
      <c r="P214" s="860"/>
    </row>
    <row r="215" spans="1:16" ht="15.75" customHeight="1">
      <c r="A215" s="430"/>
      <c r="B215" s="458" t="s">
        <v>227</v>
      </c>
      <c r="C215" s="428">
        <v>25</v>
      </c>
      <c r="D215" s="428">
        <f>D212</f>
        <v>0.5</v>
      </c>
      <c r="E215" s="428">
        <f>E212</f>
        <v>0.5</v>
      </c>
      <c r="F215" s="428"/>
      <c r="G215" s="428"/>
      <c r="H215" s="428">
        <v>1</v>
      </c>
      <c r="I215" s="428"/>
      <c r="J215" s="428"/>
      <c r="K215" s="428"/>
      <c r="L215" s="428"/>
      <c r="M215" s="428"/>
      <c r="N215" s="390"/>
      <c r="O215" s="433"/>
      <c r="P215" s="860"/>
    </row>
    <row r="216" spans="1:16" ht="15.75" customHeight="1">
      <c r="A216" s="430"/>
      <c r="B216" s="1071" t="s">
        <v>1461</v>
      </c>
      <c r="C216" s="428"/>
      <c r="D216" s="428"/>
      <c r="E216" s="428"/>
      <c r="F216" s="428"/>
      <c r="G216" s="428"/>
      <c r="H216" s="428"/>
      <c r="I216" s="428"/>
      <c r="J216" s="428"/>
      <c r="K216" s="428"/>
      <c r="L216" s="428"/>
      <c r="M216" s="428"/>
      <c r="N216" s="390"/>
      <c r="O216" s="433"/>
      <c r="P216" s="860"/>
    </row>
    <row r="217" spans="1:16" ht="15.75" customHeight="1">
      <c r="A217" s="430"/>
      <c r="B217" s="458" t="s">
        <v>226</v>
      </c>
      <c r="C217" s="428">
        <v>8</v>
      </c>
      <c r="D217" s="428">
        <f>D214</f>
        <v>0.5</v>
      </c>
      <c r="E217" s="428">
        <f>E214</f>
        <v>0.5</v>
      </c>
      <c r="F217" s="428"/>
      <c r="G217" s="428"/>
      <c r="H217" s="428">
        <v>1</v>
      </c>
      <c r="I217" s="428"/>
      <c r="J217" s="428"/>
      <c r="K217" s="428"/>
      <c r="L217" s="428"/>
      <c r="M217" s="428"/>
      <c r="N217" s="390">
        <f>C217*D217*E217*H217</f>
        <v>2</v>
      </c>
      <c r="O217" s="433"/>
      <c r="P217" s="860"/>
    </row>
    <row r="218" spans="1:16" ht="15.75" customHeight="1">
      <c r="A218" s="430"/>
      <c r="B218" s="458" t="s">
        <v>227</v>
      </c>
      <c r="C218" s="428">
        <v>10</v>
      </c>
      <c r="D218" s="428">
        <f>D215</f>
        <v>0.5</v>
      </c>
      <c r="E218" s="428">
        <f>E215</f>
        <v>0.5</v>
      </c>
      <c r="F218" s="428"/>
      <c r="G218" s="428"/>
      <c r="H218" s="428">
        <v>2</v>
      </c>
      <c r="I218" s="428"/>
      <c r="J218" s="428"/>
      <c r="K218" s="428"/>
      <c r="L218" s="428"/>
      <c r="M218" s="428"/>
      <c r="N218" s="390">
        <f>C218*D218*E218*H218</f>
        <v>5</v>
      </c>
      <c r="O218" s="433"/>
      <c r="P218" s="860"/>
    </row>
    <row r="219" spans="1:16" ht="15.75" customHeight="1">
      <c r="A219" s="430"/>
      <c r="B219" s="1071" t="s">
        <v>1472</v>
      </c>
      <c r="C219" s="428"/>
      <c r="D219" s="428"/>
      <c r="E219" s="428"/>
      <c r="F219" s="428"/>
      <c r="G219" s="428"/>
      <c r="H219" s="428"/>
      <c r="I219" s="428"/>
      <c r="J219" s="428"/>
      <c r="K219" s="428"/>
      <c r="L219" s="428"/>
      <c r="M219" s="428"/>
      <c r="N219" s="390"/>
      <c r="O219" s="433"/>
      <c r="P219" s="860"/>
    </row>
    <row r="220" spans="1:16" ht="15.75" customHeight="1">
      <c r="A220" s="430"/>
      <c r="B220" s="458" t="s">
        <v>226</v>
      </c>
      <c r="C220" s="428">
        <v>4</v>
      </c>
      <c r="D220" s="428">
        <f>D217</f>
        <v>0.5</v>
      </c>
      <c r="E220" s="428">
        <f>E217</f>
        <v>0.5</v>
      </c>
      <c r="F220" s="428"/>
      <c r="G220" s="428"/>
      <c r="H220" s="428">
        <v>1</v>
      </c>
      <c r="I220" s="428"/>
      <c r="J220" s="428"/>
      <c r="K220" s="428"/>
      <c r="L220" s="428"/>
      <c r="M220" s="428"/>
      <c r="N220" s="390">
        <f>C220*D220*E220*H220</f>
        <v>1</v>
      </c>
      <c r="O220" s="433"/>
      <c r="P220" s="860"/>
    </row>
    <row r="221" spans="1:16" ht="15.75" customHeight="1">
      <c r="A221" s="430"/>
      <c r="B221" s="458" t="s">
        <v>227</v>
      </c>
      <c r="C221" s="428">
        <v>12</v>
      </c>
      <c r="D221" s="428">
        <f>D218</f>
        <v>0.5</v>
      </c>
      <c r="E221" s="428">
        <f>E218</f>
        <v>0.5</v>
      </c>
      <c r="F221" s="428"/>
      <c r="G221" s="428"/>
      <c r="H221" s="428">
        <v>2</v>
      </c>
      <c r="I221" s="428"/>
      <c r="J221" s="428"/>
      <c r="K221" s="428"/>
      <c r="L221" s="428"/>
      <c r="M221" s="428"/>
      <c r="N221" s="390">
        <f>C221*D221*E221*H221</f>
        <v>6</v>
      </c>
      <c r="O221" s="433"/>
      <c r="P221" s="860"/>
    </row>
    <row r="222" spans="1:16" ht="15.75" customHeight="1">
      <c r="A222" s="430"/>
      <c r="B222" s="1071" t="s">
        <v>1473</v>
      </c>
      <c r="C222" s="428"/>
      <c r="D222" s="428"/>
      <c r="E222" s="428"/>
      <c r="F222" s="428"/>
      <c r="G222" s="428"/>
      <c r="H222" s="428"/>
      <c r="I222" s="428"/>
      <c r="J222" s="428"/>
      <c r="K222" s="428"/>
      <c r="L222" s="428"/>
      <c r="M222" s="428"/>
      <c r="N222" s="390"/>
      <c r="O222" s="433"/>
      <c r="P222" s="860"/>
    </row>
    <row r="223" spans="1:16" ht="15.75" customHeight="1">
      <c r="A223" s="430"/>
      <c r="B223" s="458" t="s">
        <v>226</v>
      </c>
      <c r="C223" s="428">
        <v>10</v>
      </c>
      <c r="D223" s="428">
        <f>D220</f>
        <v>0.5</v>
      </c>
      <c r="E223" s="428">
        <f>E220</f>
        <v>0.5</v>
      </c>
      <c r="F223" s="428"/>
      <c r="G223" s="428"/>
      <c r="H223" s="428">
        <v>1</v>
      </c>
      <c r="I223" s="428"/>
      <c r="J223" s="428"/>
      <c r="K223" s="428"/>
      <c r="L223" s="428"/>
      <c r="M223" s="428"/>
      <c r="N223" s="390">
        <f>C223*D223*E223*H223</f>
        <v>2.5</v>
      </c>
      <c r="O223" s="433"/>
      <c r="P223" s="860"/>
    </row>
    <row r="224" spans="1:16" ht="15.75" customHeight="1">
      <c r="A224" s="430"/>
      <c r="B224" s="458" t="s">
        <v>227</v>
      </c>
      <c r="C224" s="428">
        <v>15</v>
      </c>
      <c r="D224" s="428">
        <f>D221</f>
        <v>0.5</v>
      </c>
      <c r="E224" s="428">
        <f>E221</f>
        <v>0.5</v>
      </c>
      <c r="F224" s="428"/>
      <c r="G224" s="428"/>
      <c r="H224" s="428">
        <v>2</v>
      </c>
      <c r="I224" s="428"/>
      <c r="J224" s="428"/>
      <c r="K224" s="428"/>
      <c r="L224" s="428"/>
      <c r="M224" s="428"/>
      <c r="N224" s="390">
        <f>C224*D224*E224*H224</f>
        <v>7.5</v>
      </c>
      <c r="O224" s="433"/>
      <c r="P224" s="860"/>
    </row>
    <row r="225" spans="1:16" ht="15.75" customHeight="1">
      <c r="A225" s="430"/>
      <c r="B225" s="1071" t="s">
        <v>1465</v>
      </c>
      <c r="C225" s="428"/>
      <c r="D225" s="428"/>
      <c r="E225" s="428"/>
      <c r="F225" s="428"/>
      <c r="G225" s="428"/>
      <c r="H225" s="428"/>
      <c r="I225" s="428"/>
      <c r="J225" s="428"/>
      <c r="K225" s="428"/>
      <c r="L225" s="428"/>
      <c r="M225" s="428"/>
      <c r="N225" s="390"/>
      <c r="O225" s="433"/>
      <c r="P225" s="860"/>
    </row>
    <row r="226" spans="1:16" ht="15.75" customHeight="1">
      <c r="A226" s="430"/>
      <c r="B226" s="458" t="s">
        <v>226</v>
      </c>
      <c r="C226" s="428">
        <v>70</v>
      </c>
      <c r="D226" s="428">
        <f>D223</f>
        <v>0.5</v>
      </c>
      <c r="E226" s="428">
        <f>E223</f>
        <v>0.5</v>
      </c>
      <c r="F226" s="428"/>
      <c r="G226" s="428"/>
      <c r="H226" s="428">
        <v>2</v>
      </c>
      <c r="I226" s="428"/>
      <c r="J226" s="428"/>
      <c r="K226" s="428"/>
      <c r="L226" s="428"/>
      <c r="M226" s="428"/>
      <c r="N226" s="390">
        <f>C226*D226*E226*H226</f>
        <v>35</v>
      </c>
      <c r="O226" s="433"/>
      <c r="P226" s="860"/>
    </row>
    <row r="227" spans="1:16" ht="15.75" customHeight="1">
      <c r="A227" s="430"/>
      <c r="B227" s="458" t="s">
        <v>227</v>
      </c>
      <c r="C227" s="428">
        <v>70</v>
      </c>
      <c r="D227" s="428">
        <f>D224</f>
        <v>0.5</v>
      </c>
      <c r="E227" s="428">
        <f>E224</f>
        <v>0.5</v>
      </c>
      <c r="F227" s="428"/>
      <c r="G227" s="428"/>
      <c r="H227" s="428">
        <v>1</v>
      </c>
      <c r="I227" s="428"/>
      <c r="J227" s="428"/>
      <c r="K227" s="428"/>
      <c r="L227" s="428"/>
      <c r="M227" s="428"/>
      <c r="N227" s="390">
        <f>C227*D227*E227*H227</f>
        <v>17.5</v>
      </c>
      <c r="O227" s="433"/>
      <c r="P227" s="860"/>
    </row>
    <row r="228" spans="1:16" ht="15.75" customHeight="1">
      <c r="A228" s="430"/>
      <c r="B228" s="1071" t="s">
        <v>1466</v>
      </c>
      <c r="C228" s="428"/>
      <c r="D228" s="428"/>
      <c r="E228" s="428"/>
      <c r="F228" s="428"/>
      <c r="G228" s="428"/>
      <c r="H228" s="428"/>
      <c r="I228" s="428"/>
      <c r="J228" s="428"/>
      <c r="K228" s="428"/>
      <c r="L228" s="428"/>
      <c r="M228" s="428"/>
      <c r="N228" s="390"/>
      <c r="O228" s="433"/>
      <c r="P228" s="860"/>
    </row>
    <row r="229" spans="1:16" ht="15.75" customHeight="1">
      <c r="A229" s="430"/>
      <c r="B229" s="458" t="s">
        <v>226</v>
      </c>
      <c r="C229" s="428">
        <v>25</v>
      </c>
      <c r="D229" s="428">
        <f>D226</f>
        <v>0.5</v>
      </c>
      <c r="E229" s="428">
        <f>E226</f>
        <v>0.5</v>
      </c>
      <c r="F229" s="428"/>
      <c r="G229" s="428"/>
      <c r="H229" s="428">
        <v>2</v>
      </c>
      <c r="I229" s="428"/>
      <c r="J229" s="428"/>
      <c r="K229" s="428"/>
      <c r="L229" s="428"/>
      <c r="M229" s="428"/>
      <c r="N229" s="390"/>
      <c r="O229" s="433"/>
      <c r="P229" s="860"/>
    </row>
    <row r="230" spans="1:16" ht="15.75" customHeight="1">
      <c r="A230" s="430"/>
      <c r="B230" s="458" t="s">
        <v>227</v>
      </c>
      <c r="C230" s="428">
        <v>17</v>
      </c>
      <c r="D230" s="428">
        <f>D227</f>
        <v>0.5</v>
      </c>
      <c r="E230" s="428">
        <f>E227</f>
        <v>0.5</v>
      </c>
      <c r="F230" s="428"/>
      <c r="G230" s="428"/>
      <c r="H230" s="428">
        <v>1</v>
      </c>
      <c r="I230" s="428"/>
      <c r="J230" s="428"/>
      <c r="K230" s="428"/>
      <c r="L230" s="428"/>
      <c r="M230" s="428"/>
      <c r="N230" s="390"/>
      <c r="O230" s="433"/>
      <c r="P230" s="860"/>
    </row>
    <row r="231" spans="1:16" ht="15.75" customHeight="1">
      <c r="A231" s="430"/>
      <c r="B231" s="1071" t="s">
        <v>1467</v>
      </c>
      <c r="C231" s="428"/>
      <c r="D231" s="428"/>
      <c r="E231" s="428"/>
      <c r="F231" s="428"/>
      <c r="G231" s="428"/>
      <c r="H231" s="428"/>
      <c r="I231" s="428"/>
      <c r="J231" s="428"/>
      <c r="K231" s="428"/>
      <c r="L231" s="428"/>
      <c r="M231" s="428"/>
      <c r="N231" s="390"/>
      <c r="O231" s="433"/>
      <c r="P231" s="860"/>
    </row>
    <row r="232" spans="1:16" ht="15.75" customHeight="1">
      <c r="A232" s="430"/>
      <c r="B232" s="458" t="s">
        <v>226</v>
      </c>
      <c r="C232" s="428">
        <v>10</v>
      </c>
      <c r="D232" s="428">
        <f>D229</f>
        <v>0.5</v>
      </c>
      <c r="E232" s="428">
        <f>E229</f>
        <v>0.5</v>
      </c>
      <c r="F232" s="428"/>
      <c r="G232" s="428"/>
      <c r="H232" s="428">
        <v>1</v>
      </c>
      <c r="I232" s="428"/>
      <c r="J232" s="428"/>
      <c r="K232" s="428"/>
      <c r="L232" s="428"/>
      <c r="M232" s="428"/>
      <c r="N232" s="390">
        <f>C232*D232*E232*H232</f>
        <v>2.5</v>
      </c>
      <c r="O232" s="433"/>
      <c r="P232" s="860"/>
    </row>
    <row r="233" spans="1:16" ht="15.75" customHeight="1">
      <c r="A233" s="430"/>
      <c r="B233" s="458" t="s">
        <v>227</v>
      </c>
      <c r="C233" s="428">
        <v>20</v>
      </c>
      <c r="D233" s="428">
        <f>D230</f>
        <v>0.5</v>
      </c>
      <c r="E233" s="428">
        <f>E230</f>
        <v>0.5</v>
      </c>
      <c r="F233" s="428"/>
      <c r="G233" s="428"/>
      <c r="H233" s="428">
        <v>2</v>
      </c>
      <c r="I233" s="428"/>
      <c r="J233" s="428"/>
      <c r="K233" s="428"/>
      <c r="L233" s="428"/>
      <c r="M233" s="428"/>
      <c r="N233" s="390">
        <f>C233*D233*E233*H233</f>
        <v>10</v>
      </c>
      <c r="O233" s="433"/>
      <c r="P233" s="860"/>
    </row>
    <row r="234" spans="1:16" ht="15.75" customHeight="1">
      <c r="A234" s="430"/>
      <c r="B234" s="1071" t="s">
        <v>1468</v>
      </c>
      <c r="C234" s="428"/>
      <c r="D234" s="428"/>
      <c r="E234" s="428"/>
      <c r="F234" s="428"/>
      <c r="G234" s="428"/>
      <c r="H234" s="428"/>
      <c r="I234" s="428"/>
      <c r="J234" s="428"/>
      <c r="K234" s="428"/>
      <c r="L234" s="428"/>
      <c r="M234" s="428"/>
      <c r="N234" s="390"/>
      <c r="O234" s="433"/>
      <c r="P234" s="860"/>
    </row>
    <row r="235" spans="1:16" ht="15.75" customHeight="1">
      <c r="A235" s="430"/>
      <c r="B235" s="458" t="s">
        <v>226</v>
      </c>
      <c r="C235" s="428">
        <v>15</v>
      </c>
      <c r="D235" s="428">
        <f>D232</f>
        <v>0.5</v>
      </c>
      <c r="E235" s="428">
        <f>E232</f>
        <v>0.5</v>
      </c>
      <c r="F235" s="428"/>
      <c r="G235" s="428"/>
      <c r="H235" s="428">
        <v>2</v>
      </c>
      <c r="I235" s="428"/>
      <c r="J235" s="428"/>
      <c r="K235" s="428"/>
      <c r="L235" s="428"/>
      <c r="M235" s="428"/>
      <c r="N235" s="390">
        <f>C235*D235*E235*H235</f>
        <v>7.5</v>
      </c>
      <c r="O235" s="433"/>
      <c r="P235" s="860"/>
    </row>
    <row r="236" spans="1:16" ht="15.75" customHeight="1">
      <c r="A236" s="430"/>
      <c r="B236" s="458" t="s">
        <v>227</v>
      </c>
      <c r="C236" s="428">
        <v>8</v>
      </c>
      <c r="D236" s="428">
        <f>D233</f>
        <v>0.5</v>
      </c>
      <c r="E236" s="428">
        <f>E233</f>
        <v>0.5</v>
      </c>
      <c r="F236" s="428"/>
      <c r="G236" s="428"/>
      <c r="H236" s="428">
        <v>2</v>
      </c>
      <c r="I236" s="428"/>
      <c r="J236" s="428"/>
      <c r="K236" s="428"/>
      <c r="L236" s="428"/>
      <c r="M236" s="428"/>
      <c r="N236" s="390">
        <f>C236*D236*E236*H236</f>
        <v>4</v>
      </c>
      <c r="O236" s="433"/>
      <c r="P236" s="860"/>
    </row>
    <row r="237" spans="1:16" ht="15.75" customHeight="1">
      <c r="A237" s="430"/>
      <c r="B237" s="1071" t="s">
        <v>1469</v>
      </c>
      <c r="C237" s="428"/>
      <c r="D237" s="428"/>
      <c r="E237" s="428"/>
      <c r="F237" s="428"/>
      <c r="G237" s="428"/>
      <c r="H237" s="428"/>
      <c r="I237" s="428"/>
      <c r="J237" s="428"/>
      <c r="K237" s="428"/>
      <c r="L237" s="428"/>
      <c r="M237" s="428"/>
      <c r="N237" s="390"/>
      <c r="O237" s="433"/>
      <c r="P237" s="860"/>
    </row>
    <row r="238" spans="1:16" ht="15.75" customHeight="1">
      <c r="A238" s="430"/>
      <c r="B238" s="458" t="s">
        <v>226</v>
      </c>
      <c r="C238" s="428">
        <v>15</v>
      </c>
      <c r="D238" s="428">
        <f>D235</f>
        <v>0.5</v>
      </c>
      <c r="E238" s="428">
        <f>E235</f>
        <v>0.5</v>
      </c>
      <c r="F238" s="428"/>
      <c r="G238" s="428"/>
      <c r="H238" s="428">
        <v>2</v>
      </c>
      <c r="I238" s="428"/>
      <c r="J238" s="428"/>
      <c r="K238" s="428"/>
      <c r="L238" s="428"/>
      <c r="M238" s="428"/>
      <c r="N238" s="390">
        <f>C238*D238*E238*H238</f>
        <v>7.5</v>
      </c>
      <c r="O238" s="433"/>
      <c r="P238" s="860"/>
    </row>
    <row r="239" spans="1:16" ht="15.75" customHeight="1">
      <c r="A239" s="430"/>
      <c r="B239" s="458" t="s">
        <v>227</v>
      </c>
      <c r="C239" s="428">
        <v>8</v>
      </c>
      <c r="D239" s="428">
        <f>D236</f>
        <v>0.5</v>
      </c>
      <c r="E239" s="428">
        <f>E236</f>
        <v>0.5</v>
      </c>
      <c r="F239" s="428"/>
      <c r="G239" s="428"/>
      <c r="H239" s="428">
        <v>2</v>
      </c>
      <c r="I239" s="428"/>
      <c r="J239" s="428"/>
      <c r="K239" s="428"/>
      <c r="L239" s="428"/>
      <c r="M239" s="428"/>
      <c r="N239" s="590">
        <f>C239*D239*E239*H239</f>
        <v>4</v>
      </c>
      <c r="O239" s="433"/>
      <c r="P239" s="860"/>
    </row>
    <row r="240" spans="1:16" ht="15.75" customHeight="1">
      <c r="A240" s="430"/>
      <c r="B240" s="46"/>
      <c r="C240" s="428"/>
      <c r="D240" s="428"/>
      <c r="E240" s="428"/>
      <c r="F240" s="428"/>
      <c r="G240" s="428"/>
      <c r="H240" s="428"/>
      <c r="I240" s="428"/>
      <c r="J240" s="428"/>
      <c r="K240" s="428"/>
      <c r="L240" s="428"/>
      <c r="M240" s="428"/>
      <c r="N240" s="390">
        <f>SUM(N190:N239)</f>
        <v>243.5</v>
      </c>
      <c r="O240" s="362" t="s">
        <v>103</v>
      </c>
      <c r="P240" s="860">
        <f>ROUND((N240),2)</f>
        <v>243.5</v>
      </c>
    </row>
    <row r="241" spans="1:16" ht="15.75" customHeight="1">
      <c r="A241" s="430" t="s">
        <v>98</v>
      </c>
      <c r="B241" s="46" t="s">
        <v>441</v>
      </c>
      <c r="C241" s="428"/>
      <c r="D241" s="428"/>
      <c r="E241" s="428"/>
      <c r="F241" s="428"/>
      <c r="G241" s="428"/>
      <c r="H241" s="428"/>
      <c r="I241" s="428"/>
      <c r="J241" s="428"/>
      <c r="K241" s="428"/>
      <c r="L241" s="428"/>
      <c r="M241" s="428"/>
      <c r="N241" s="390"/>
      <c r="O241" s="433"/>
      <c r="P241" s="860"/>
    </row>
    <row r="242" spans="1:16" ht="15.75" customHeight="1">
      <c r="A242" s="430"/>
      <c r="B242" s="1071" t="s">
        <v>1452</v>
      </c>
      <c r="C242" s="428"/>
      <c r="D242" s="428"/>
      <c r="E242" s="428"/>
      <c r="F242" s="428"/>
      <c r="G242" s="428"/>
      <c r="H242" s="428"/>
      <c r="I242" s="428"/>
      <c r="J242" s="428"/>
      <c r="K242" s="428"/>
      <c r="L242" s="428"/>
      <c r="M242" s="428"/>
      <c r="N242" s="390"/>
      <c r="O242" s="433"/>
      <c r="P242" s="860"/>
    </row>
    <row r="243" spans="1:16" ht="15.75" customHeight="1">
      <c r="A243" s="430"/>
      <c r="B243" s="458" t="s">
        <v>226</v>
      </c>
      <c r="C243" s="428">
        <f>C190</f>
        <v>22</v>
      </c>
      <c r="D243" s="428">
        <v>0.5</v>
      </c>
      <c r="E243" s="428">
        <v>0.03</v>
      </c>
      <c r="F243" s="428"/>
      <c r="G243" s="428"/>
      <c r="H243" s="428"/>
      <c r="I243" s="428"/>
      <c r="J243" s="428"/>
      <c r="K243" s="428"/>
      <c r="L243" s="428"/>
      <c r="M243" s="428"/>
      <c r="N243" s="390">
        <f>C243*D243*E243</f>
        <v>0.32999999999999996</v>
      </c>
      <c r="O243" s="433"/>
      <c r="P243" s="860"/>
    </row>
    <row r="244" spans="1:16" ht="15.75" customHeight="1">
      <c r="A244" s="430"/>
      <c r="B244" s="458" t="s">
        <v>227</v>
      </c>
      <c r="C244" s="428">
        <f>C191</f>
        <v>14.5</v>
      </c>
      <c r="D244" s="428">
        <f>D243</f>
        <v>0.5</v>
      </c>
      <c r="E244" s="428">
        <f>E243</f>
        <v>0.03</v>
      </c>
      <c r="F244" s="428"/>
      <c r="G244" s="428"/>
      <c r="H244" s="428"/>
      <c r="I244" s="428"/>
      <c r="J244" s="428"/>
      <c r="K244" s="428"/>
      <c r="L244" s="428"/>
      <c r="M244" s="428"/>
      <c r="N244" s="390">
        <f>C244*D244*E244</f>
        <v>0.2175</v>
      </c>
      <c r="O244" s="433"/>
      <c r="P244" s="860"/>
    </row>
    <row r="245" spans="1:16" ht="15.75" customHeight="1">
      <c r="A245" s="430"/>
      <c r="B245" s="1071" t="s">
        <v>1453</v>
      </c>
      <c r="C245" s="428"/>
      <c r="D245" s="428"/>
      <c r="E245" s="428"/>
      <c r="F245" s="428"/>
      <c r="G245" s="428"/>
      <c r="H245" s="428"/>
      <c r="I245" s="428"/>
      <c r="J245" s="428"/>
      <c r="K245" s="428"/>
      <c r="L245" s="428"/>
      <c r="M245" s="428"/>
      <c r="N245" s="390"/>
      <c r="O245" s="433"/>
      <c r="P245" s="860"/>
    </row>
    <row r="246" spans="1:16" ht="15.75" customHeight="1">
      <c r="A246" s="430"/>
      <c r="B246" s="458" t="s">
        <v>226</v>
      </c>
      <c r="C246" s="428">
        <f>C193</f>
        <v>10</v>
      </c>
      <c r="D246" s="428">
        <f>D243</f>
        <v>0.5</v>
      </c>
      <c r="E246" s="428">
        <f>E243</f>
        <v>0.03</v>
      </c>
      <c r="F246" s="428"/>
      <c r="G246" s="428"/>
      <c r="H246" s="428"/>
      <c r="I246" s="428"/>
      <c r="J246" s="428"/>
      <c r="K246" s="428"/>
      <c r="L246" s="428"/>
      <c r="M246" s="428"/>
      <c r="N246" s="390"/>
      <c r="O246" s="433"/>
      <c r="P246" s="860"/>
    </row>
    <row r="247" spans="1:16" ht="15.75" customHeight="1">
      <c r="A247" s="430"/>
      <c r="B247" s="458" t="s">
        <v>227</v>
      </c>
      <c r="C247" s="428">
        <f>C194</f>
        <v>25</v>
      </c>
      <c r="D247" s="428">
        <f>D246</f>
        <v>0.5</v>
      </c>
      <c r="E247" s="428">
        <f>E246</f>
        <v>0.03</v>
      </c>
      <c r="F247" s="428"/>
      <c r="G247" s="428"/>
      <c r="H247" s="428"/>
      <c r="I247" s="428"/>
      <c r="J247" s="428"/>
      <c r="K247" s="428"/>
      <c r="L247" s="428"/>
      <c r="M247" s="428"/>
      <c r="N247" s="390"/>
      <c r="O247" s="433"/>
      <c r="P247" s="860"/>
    </row>
    <row r="248" spans="1:16" ht="15.75" customHeight="1">
      <c r="A248" s="430"/>
      <c r="B248" s="1071" t="s">
        <v>1454</v>
      </c>
      <c r="C248" s="428"/>
      <c r="D248" s="428"/>
      <c r="E248" s="428"/>
      <c r="F248" s="428"/>
      <c r="G248" s="428"/>
      <c r="H248" s="428"/>
      <c r="I248" s="428"/>
      <c r="J248" s="428"/>
      <c r="K248" s="428"/>
      <c r="L248" s="428"/>
      <c r="M248" s="428"/>
      <c r="N248" s="390"/>
      <c r="O248" s="433"/>
      <c r="P248" s="860"/>
    </row>
    <row r="249" spans="1:16" ht="15.75" customHeight="1">
      <c r="A249" s="430"/>
      <c r="B249" s="458" t="s">
        <v>226</v>
      </c>
      <c r="C249" s="428">
        <f>C196</f>
        <v>15</v>
      </c>
      <c r="D249" s="428">
        <f>D246</f>
        <v>0.5</v>
      </c>
      <c r="E249" s="428">
        <f>E246</f>
        <v>0.03</v>
      </c>
      <c r="F249" s="428"/>
      <c r="G249" s="428"/>
      <c r="H249" s="428"/>
      <c r="I249" s="428"/>
      <c r="J249" s="428"/>
      <c r="K249" s="428"/>
      <c r="L249" s="428"/>
      <c r="M249" s="428"/>
      <c r="N249" s="390">
        <f>C249*D249*E249</f>
        <v>0.22499999999999998</v>
      </c>
      <c r="O249" s="433"/>
      <c r="P249" s="860"/>
    </row>
    <row r="250" spans="1:16" ht="15.75" customHeight="1">
      <c r="A250" s="430"/>
      <c r="B250" s="458" t="s">
        <v>227</v>
      </c>
      <c r="C250" s="428">
        <f>C197</f>
        <v>8</v>
      </c>
      <c r="D250" s="428">
        <f>D249</f>
        <v>0.5</v>
      </c>
      <c r="E250" s="428">
        <f>E249</f>
        <v>0.03</v>
      </c>
      <c r="F250" s="428"/>
      <c r="G250" s="428"/>
      <c r="H250" s="428"/>
      <c r="I250" s="428"/>
      <c r="J250" s="428"/>
      <c r="K250" s="428"/>
      <c r="L250" s="428"/>
      <c r="M250" s="428"/>
      <c r="N250" s="390">
        <f>C250*D250*E250</f>
        <v>0.12</v>
      </c>
      <c r="O250" s="433"/>
      <c r="P250" s="860"/>
    </row>
    <row r="251" spans="1:16" ht="15.75" customHeight="1">
      <c r="A251" s="430"/>
      <c r="B251" s="1071" t="s">
        <v>1455</v>
      </c>
      <c r="C251" s="428"/>
      <c r="D251" s="428"/>
      <c r="E251" s="428"/>
      <c r="F251" s="428"/>
      <c r="G251" s="428"/>
      <c r="H251" s="428"/>
      <c r="I251" s="428"/>
      <c r="J251" s="428"/>
      <c r="K251" s="428"/>
      <c r="L251" s="428"/>
      <c r="M251" s="428"/>
      <c r="N251" s="390"/>
      <c r="O251" s="433"/>
      <c r="P251" s="860"/>
    </row>
    <row r="252" spans="1:16" ht="15.75" customHeight="1">
      <c r="A252" s="430"/>
      <c r="B252" s="458" t="s">
        <v>226</v>
      </c>
      <c r="C252" s="428">
        <f>C199</f>
        <v>70</v>
      </c>
      <c r="D252" s="428">
        <f>D249</f>
        <v>0.5</v>
      </c>
      <c r="E252" s="428">
        <f>E249</f>
        <v>0.03</v>
      </c>
      <c r="F252" s="428"/>
      <c r="G252" s="428"/>
      <c r="H252" s="428"/>
      <c r="I252" s="428"/>
      <c r="J252" s="428"/>
      <c r="K252" s="428"/>
      <c r="L252" s="428"/>
      <c r="M252" s="428"/>
      <c r="N252" s="390">
        <f>C252*D252*E252</f>
        <v>1.05</v>
      </c>
      <c r="O252" s="433"/>
      <c r="P252" s="860"/>
    </row>
    <row r="253" spans="1:16" ht="15.75" customHeight="1">
      <c r="A253" s="430"/>
      <c r="B253" s="458" t="s">
        <v>227</v>
      </c>
      <c r="C253" s="428">
        <f>C200</f>
        <v>70</v>
      </c>
      <c r="D253" s="428">
        <f>D252</f>
        <v>0.5</v>
      </c>
      <c r="E253" s="428">
        <f>E252</f>
        <v>0.03</v>
      </c>
      <c r="F253" s="428"/>
      <c r="G253" s="428"/>
      <c r="H253" s="428"/>
      <c r="I253" s="428"/>
      <c r="J253" s="428"/>
      <c r="K253" s="428"/>
      <c r="L253" s="428"/>
      <c r="M253" s="428"/>
      <c r="N253" s="390">
        <f>C253*D253*E253</f>
        <v>1.05</v>
      </c>
      <c r="O253" s="433"/>
      <c r="P253" s="860"/>
    </row>
    <row r="254" spans="1:16" ht="15.75" customHeight="1">
      <c r="A254" s="430"/>
      <c r="B254" s="1071" t="s">
        <v>1456</v>
      </c>
      <c r="C254" s="428"/>
      <c r="D254" s="428"/>
      <c r="E254" s="428"/>
      <c r="F254" s="428"/>
      <c r="G254" s="428"/>
      <c r="H254" s="428"/>
      <c r="I254" s="428"/>
      <c r="J254" s="428"/>
      <c r="K254" s="428"/>
      <c r="L254" s="428"/>
      <c r="M254" s="428"/>
      <c r="N254" s="390"/>
      <c r="O254" s="433"/>
      <c r="P254" s="860"/>
    </row>
    <row r="255" spans="1:16" ht="15.75" customHeight="1">
      <c r="A255" s="430"/>
      <c r="B255" s="458" t="s">
        <v>226</v>
      </c>
      <c r="C255" s="428">
        <f>C202</f>
        <v>30</v>
      </c>
      <c r="D255" s="428">
        <f>D252</f>
        <v>0.5</v>
      </c>
      <c r="E255" s="428">
        <f>E252</f>
        <v>0.03</v>
      </c>
      <c r="F255" s="428"/>
      <c r="G255" s="428"/>
      <c r="H255" s="428"/>
      <c r="I255" s="428"/>
      <c r="J255" s="428"/>
      <c r="K255" s="428"/>
      <c r="L255" s="428"/>
      <c r="M255" s="428"/>
      <c r="N255" s="390">
        <f>C255*D255*E255</f>
        <v>0.44999999999999996</v>
      </c>
      <c r="O255" s="433"/>
      <c r="P255" s="860"/>
    </row>
    <row r="256" spans="1:16" ht="15.75" customHeight="1">
      <c r="A256" s="430"/>
      <c r="B256" s="458" t="s">
        <v>227</v>
      </c>
      <c r="C256" s="428">
        <f>C203</f>
        <v>10</v>
      </c>
      <c r="D256" s="428">
        <f>D255</f>
        <v>0.5</v>
      </c>
      <c r="E256" s="428">
        <f>E255</f>
        <v>0.03</v>
      </c>
      <c r="F256" s="428"/>
      <c r="G256" s="428"/>
      <c r="H256" s="428"/>
      <c r="I256" s="428"/>
      <c r="J256" s="428"/>
      <c r="K256" s="428"/>
      <c r="L256" s="428"/>
      <c r="M256" s="428"/>
      <c r="N256" s="390">
        <f>C256*D256*E256</f>
        <v>0.15</v>
      </c>
      <c r="O256" s="433"/>
      <c r="P256" s="860"/>
    </row>
    <row r="257" spans="1:16" ht="15.75" customHeight="1">
      <c r="A257" s="430"/>
      <c r="B257" s="1071" t="s">
        <v>1457</v>
      </c>
      <c r="C257" s="428"/>
      <c r="D257" s="428"/>
      <c r="E257" s="428"/>
      <c r="F257" s="428"/>
      <c r="G257" s="428"/>
      <c r="H257" s="428"/>
      <c r="I257" s="428"/>
      <c r="J257" s="428"/>
      <c r="K257" s="428"/>
      <c r="L257" s="428"/>
      <c r="M257" s="428"/>
      <c r="N257" s="390"/>
      <c r="O257" s="433"/>
      <c r="P257" s="860"/>
    </row>
    <row r="258" spans="1:16" ht="15.75" customHeight="1">
      <c r="A258" s="430"/>
      <c r="B258" s="458" t="s">
        <v>226</v>
      </c>
      <c r="C258" s="428">
        <f>C205</f>
        <v>15</v>
      </c>
      <c r="D258" s="428">
        <f>D255</f>
        <v>0.5</v>
      </c>
      <c r="E258" s="428">
        <f>E255</f>
        <v>0.03</v>
      </c>
      <c r="F258" s="428"/>
      <c r="G258" s="428"/>
      <c r="H258" s="428"/>
      <c r="I258" s="428"/>
      <c r="J258" s="428"/>
      <c r="K258" s="428"/>
      <c r="L258" s="428"/>
      <c r="M258" s="428"/>
      <c r="N258" s="390">
        <f>C258*D258*E258</f>
        <v>0.22499999999999998</v>
      </c>
      <c r="O258" s="433"/>
      <c r="P258" s="860"/>
    </row>
    <row r="259" spans="1:16" ht="15.75" customHeight="1">
      <c r="A259" s="430"/>
      <c r="B259" s="458" t="s">
        <v>227</v>
      </c>
      <c r="C259" s="428">
        <f>C206</f>
        <v>20</v>
      </c>
      <c r="D259" s="428">
        <f>D258</f>
        <v>0.5</v>
      </c>
      <c r="E259" s="428">
        <f>E258</f>
        <v>0.03</v>
      </c>
      <c r="F259" s="428"/>
      <c r="G259" s="428"/>
      <c r="H259" s="428"/>
      <c r="I259" s="428"/>
      <c r="J259" s="428"/>
      <c r="K259" s="428"/>
      <c r="L259" s="428"/>
      <c r="M259" s="428"/>
      <c r="N259" s="390">
        <f>C259*D259*E259</f>
        <v>0.3</v>
      </c>
      <c r="O259" s="433"/>
      <c r="P259" s="860"/>
    </row>
    <row r="260" spans="1:16" ht="15.75" customHeight="1">
      <c r="A260" s="430"/>
      <c r="B260" s="1071" t="s">
        <v>1458</v>
      </c>
      <c r="C260" s="428"/>
      <c r="D260" s="428"/>
      <c r="E260" s="428"/>
      <c r="F260" s="428"/>
      <c r="G260" s="428"/>
      <c r="H260" s="428"/>
      <c r="I260" s="428"/>
      <c r="J260" s="428"/>
      <c r="K260" s="428"/>
      <c r="L260" s="428"/>
      <c r="M260" s="428"/>
      <c r="N260" s="390"/>
      <c r="O260" s="433"/>
      <c r="P260" s="860"/>
    </row>
    <row r="261" spans="1:16" ht="15.75" customHeight="1">
      <c r="A261" s="430"/>
      <c r="B261" s="458" t="s">
        <v>226</v>
      </c>
      <c r="C261" s="428">
        <f>C208</f>
        <v>20</v>
      </c>
      <c r="D261" s="428">
        <f>D258</f>
        <v>0.5</v>
      </c>
      <c r="E261" s="428">
        <f>E258</f>
        <v>0.03</v>
      </c>
      <c r="F261" s="428"/>
      <c r="G261" s="428"/>
      <c r="H261" s="428"/>
      <c r="I261" s="428"/>
      <c r="J261" s="428"/>
      <c r="K261" s="428"/>
      <c r="L261" s="428"/>
      <c r="M261" s="428"/>
      <c r="N261" s="390">
        <f>C261*D261*E261</f>
        <v>0.3</v>
      </c>
      <c r="O261" s="433"/>
      <c r="P261" s="860"/>
    </row>
    <row r="262" spans="1:16" ht="15.75" customHeight="1">
      <c r="A262" s="430"/>
      <c r="B262" s="458" t="s">
        <v>227</v>
      </c>
      <c r="C262" s="428">
        <f>C209</f>
        <v>8</v>
      </c>
      <c r="D262" s="428">
        <f>D261</f>
        <v>0.5</v>
      </c>
      <c r="E262" s="428">
        <f>E261</f>
        <v>0.03</v>
      </c>
      <c r="F262" s="428"/>
      <c r="G262" s="428"/>
      <c r="H262" s="428"/>
      <c r="I262" s="428"/>
      <c r="J262" s="428"/>
      <c r="K262" s="428"/>
      <c r="L262" s="428"/>
      <c r="M262" s="428"/>
      <c r="N262" s="390">
        <f>C262*D262*E262</f>
        <v>0.12</v>
      </c>
      <c r="O262" s="433"/>
      <c r="P262" s="860"/>
    </row>
    <row r="263" spans="1:16" ht="15.75" customHeight="1">
      <c r="A263" s="430"/>
      <c r="B263" s="1071" t="s">
        <v>1459</v>
      </c>
      <c r="C263" s="428"/>
      <c r="D263" s="428"/>
      <c r="E263" s="428"/>
      <c r="F263" s="428"/>
      <c r="G263" s="428"/>
      <c r="H263" s="428"/>
      <c r="I263" s="428"/>
      <c r="J263" s="428"/>
      <c r="K263" s="428"/>
      <c r="L263" s="428"/>
      <c r="M263" s="428"/>
      <c r="N263" s="390"/>
      <c r="O263" s="433"/>
      <c r="P263" s="860"/>
    </row>
    <row r="264" spans="1:16" ht="15.75" customHeight="1">
      <c r="A264" s="430"/>
      <c r="B264" s="458" t="s">
        <v>226</v>
      </c>
      <c r="C264" s="428">
        <f>C211</f>
        <v>11</v>
      </c>
      <c r="D264" s="428">
        <f>D261</f>
        <v>0.5</v>
      </c>
      <c r="E264" s="428">
        <f>E261</f>
        <v>0.03</v>
      </c>
      <c r="F264" s="428"/>
      <c r="G264" s="428"/>
      <c r="H264" s="428"/>
      <c r="I264" s="428"/>
      <c r="J264" s="428"/>
      <c r="K264" s="428"/>
      <c r="L264" s="428"/>
      <c r="M264" s="428"/>
      <c r="N264" s="390">
        <f>C264*D264*E264</f>
        <v>0.16499999999999998</v>
      </c>
      <c r="O264" s="433"/>
      <c r="P264" s="860"/>
    </row>
    <row r="265" spans="1:16" ht="15.75" customHeight="1">
      <c r="A265" s="430"/>
      <c r="B265" s="458" t="s">
        <v>227</v>
      </c>
      <c r="C265" s="428">
        <f>C212</f>
        <v>11</v>
      </c>
      <c r="D265" s="428">
        <f>D264</f>
        <v>0.5</v>
      </c>
      <c r="E265" s="428">
        <f>E264</f>
        <v>0.03</v>
      </c>
      <c r="F265" s="428"/>
      <c r="G265" s="428"/>
      <c r="H265" s="428"/>
      <c r="I265" s="428"/>
      <c r="J265" s="428"/>
      <c r="K265" s="428"/>
      <c r="L265" s="428"/>
      <c r="M265" s="428"/>
      <c r="N265" s="390">
        <f>C265*D265*E265</f>
        <v>0.16499999999999998</v>
      </c>
      <c r="O265" s="433"/>
      <c r="P265" s="860"/>
    </row>
    <row r="266" spans="1:16" ht="15.75" customHeight="1">
      <c r="A266" s="430"/>
      <c r="B266" s="1071" t="s">
        <v>1460</v>
      </c>
      <c r="C266" s="428"/>
      <c r="D266" s="428"/>
      <c r="E266" s="428"/>
      <c r="F266" s="428"/>
      <c r="G266" s="428"/>
      <c r="H266" s="428"/>
      <c r="I266" s="428"/>
      <c r="J266" s="428"/>
      <c r="K266" s="428"/>
      <c r="L266" s="428"/>
      <c r="M266" s="428"/>
      <c r="N266" s="390"/>
      <c r="O266" s="433"/>
      <c r="P266" s="860"/>
    </row>
    <row r="267" spans="1:16" ht="15.75" customHeight="1">
      <c r="A267" s="430"/>
      <c r="B267" s="458" t="s">
        <v>226</v>
      </c>
      <c r="C267" s="428">
        <f>C214</f>
        <v>20</v>
      </c>
      <c r="D267" s="428">
        <f>D264</f>
        <v>0.5</v>
      </c>
      <c r="E267" s="428">
        <f>E264</f>
        <v>0.03</v>
      </c>
      <c r="F267" s="428"/>
      <c r="G267" s="428"/>
      <c r="H267" s="428"/>
      <c r="I267" s="428"/>
      <c r="J267" s="428"/>
      <c r="K267" s="428"/>
      <c r="L267" s="428"/>
      <c r="M267" s="428"/>
      <c r="N267" s="390"/>
      <c r="O267" s="433"/>
      <c r="P267" s="860"/>
    </row>
    <row r="268" spans="1:16" ht="15.75" customHeight="1">
      <c r="A268" s="430"/>
      <c r="B268" s="458" t="s">
        <v>227</v>
      </c>
      <c r="C268" s="428">
        <f>C215</f>
        <v>25</v>
      </c>
      <c r="D268" s="428">
        <f>D267</f>
        <v>0.5</v>
      </c>
      <c r="E268" s="428">
        <f>E267</f>
        <v>0.03</v>
      </c>
      <c r="F268" s="428"/>
      <c r="G268" s="428"/>
      <c r="H268" s="428"/>
      <c r="I268" s="428"/>
      <c r="J268" s="428"/>
      <c r="K268" s="428"/>
      <c r="L268" s="428"/>
      <c r="M268" s="428"/>
      <c r="N268" s="390"/>
      <c r="O268" s="433"/>
      <c r="P268" s="860"/>
    </row>
    <row r="269" spans="1:16" ht="15.75" customHeight="1">
      <c r="A269" s="430"/>
      <c r="B269" s="1071" t="s">
        <v>1461</v>
      </c>
      <c r="C269" s="428"/>
      <c r="D269" s="428"/>
      <c r="E269" s="428"/>
      <c r="F269" s="428"/>
      <c r="G269" s="428"/>
      <c r="H269" s="428"/>
      <c r="I269" s="428"/>
      <c r="J269" s="428"/>
      <c r="K269" s="428"/>
      <c r="L269" s="428"/>
      <c r="M269" s="428"/>
      <c r="N269" s="390"/>
      <c r="O269" s="433"/>
      <c r="P269" s="860"/>
    </row>
    <row r="270" spans="1:16" ht="15.75" customHeight="1">
      <c r="A270" s="430"/>
      <c r="B270" s="458" t="s">
        <v>226</v>
      </c>
      <c r="C270" s="428">
        <f>C217</f>
        <v>8</v>
      </c>
      <c r="D270" s="428">
        <f>D267</f>
        <v>0.5</v>
      </c>
      <c r="E270" s="428">
        <f>E267</f>
        <v>0.03</v>
      </c>
      <c r="F270" s="428"/>
      <c r="G270" s="428"/>
      <c r="H270" s="428"/>
      <c r="I270" s="428"/>
      <c r="J270" s="428"/>
      <c r="K270" s="428"/>
      <c r="L270" s="428"/>
      <c r="M270" s="428"/>
      <c r="N270" s="390">
        <f>C270*D270*E270</f>
        <v>0.12</v>
      </c>
      <c r="O270" s="433"/>
      <c r="P270" s="860"/>
    </row>
    <row r="271" spans="1:16" ht="15.75" customHeight="1">
      <c r="A271" s="430"/>
      <c r="B271" s="458" t="s">
        <v>227</v>
      </c>
      <c r="C271" s="428">
        <f>C218</f>
        <v>10</v>
      </c>
      <c r="D271" s="428">
        <f>D270</f>
        <v>0.5</v>
      </c>
      <c r="E271" s="428">
        <f>E270</f>
        <v>0.03</v>
      </c>
      <c r="F271" s="428"/>
      <c r="G271" s="428"/>
      <c r="H271" s="428"/>
      <c r="I271" s="428"/>
      <c r="J271" s="428"/>
      <c r="K271" s="428"/>
      <c r="L271" s="428"/>
      <c r="M271" s="428"/>
      <c r="N271" s="390">
        <f>C271*D271*E271</f>
        <v>0.15</v>
      </c>
      <c r="O271" s="433"/>
      <c r="P271" s="860"/>
    </row>
    <row r="272" spans="1:16" ht="15.75" customHeight="1">
      <c r="A272" s="430"/>
      <c r="B272" s="1071" t="s">
        <v>1472</v>
      </c>
      <c r="C272" s="428"/>
      <c r="D272" s="428"/>
      <c r="E272" s="428"/>
      <c r="F272" s="428"/>
      <c r="G272" s="428"/>
      <c r="H272" s="428"/>
      <c r="I272" s="428"/>
      <c r="J272" s="428"/>
      <c r="K272" s="428"/>
      <c r="L272" s="428"/>
      <c r="M272" s="428"/>
      <c r="N272" s="390"/>
      <c r="O272" s="433"/>
      <c r="P272" s="860"/>
    </row>
    <row r="273" spans="1:16" ht="15.75" customHeight="1">
      <c r="A273" s="430"/>
      <c r="B273" s="458" t="s">
        <v>226</v>
      </c>
      <c r="C273" s="428">
        <f>C220</f>
        <v>4</v>
      </c>
      <c r="D273" s="428">
        <f>D270</f>
        <v>0.5</v>
      </c>
      <c r="E273" s="428">
        <f>E270</f>
        <v>0.03</v>
      </c>
      <c r="F273" s="428"/>
      <c r="G273" s="428"/>
      <c r="H273" s="428"/>
      <c r="I273" s="428"/>
      <c r="J273" s="428"/>
      <c r="K273" s="428"/>
      <c r="L273" s="428"/>
      <c r="M273" s="428"/>
      <c r="N273" s="390">
        <f>C273*D273*E273</f>
        <v>0.06</v>
      </c>
      <c r="O273" s="433"/>
      <c r="P273" s="860"/>
    </row>
    <row r="274" spans="1:16" ht="15.75" customHeight="1">
      <c r="A274" s="430"/>
      <c r="B274" s="458" t="s">
        <v>227</v>
      </c>
      <c r="C274" s="428">
        <f>C221</f>
        <v>12</v>
      </c>
      <c r="D274" s="428">
        <f>D273</f>
        <v>0.5</v>
      </c>
      <c r="E274" s="428">
        <f>E273</f>
        <v>0.03</v>
      </c>
      <c r="F274" s="428"/>
      <c r="G274" s="428"/>
      <c r="H274" s="428"/>
      <c r="I274" s="428"/>
      <c r="J274" s="428"/>
      <c r="K274" s="428"/>
      <c r="L274" s="428"/>
      <c r="M274" s="428"/>
      <c r="N274" s="390">
        <f>C274*D274*E274</f>
        <v>0.18</v>
      </c>
      <c r="O274" s="433"/>
      <c r="P274" s="860"/>
    </row>
    <row r="275" spans="1:16" ht="15.75" customHeight="1">
      <c r="A275" s="430"/>
      <c r="B275" s="1071" t="s">
        <v>1473</v>
      </c>
      <c r="C275" s="428"/>
      <c r="D275" s="428"/>
      <c r="E275" s="428"/>
      <c r="F275" s="428"/>
      <c r="G275" s="428"/>
      <c r="H275" s="428"/>
      <c r="I275" s="428"/>
      <c r="J275" s="428"/>
      <c r="K275" s="428"/>
      <c r="L275" s="428"/>
      <c r="M275" s="428"/>
      <c r="N275" s="390"/>
      <c r="O275" s="433"/>
      <c r="P275" s="860"/>
    </row>
    <row r="276" spans="1:16" ht="15.75" customHeight="1">
      <c r="A276" s="430"/>
      <c r="B276" s="458" t="s">
        <v>226</v>
      </c>
      <c r="C276" s="428">
        <f>C223</f>
        <v>10</v>
      </c>
      <c r="D276" s="428">
        <f>D273</f>
        <v>0.5</v>
      </c>
      <c r="E276" s="428">
        <f>E273</f>
        <v>0.03</v>
      </c>
      <c r="F276" s="428"/>
      <c r="G276" s="428"/>
      <c r="H276" s="428"/>
      <c r="I276" s="428"/>
      <c r="J276" s="428"/>
      <c r="K276" s="428"/>
      <c r="L276" s="428"/>
      <c r="M276" s="428"/>
      <c r="N276" s="390">
        <f>C276*D276*E276</f>
        <v>0.15</v>
      </c>
      <c r="O276" s="433"/>
      <c r="P276" s="860"/>
    </row>
    <row r="277" spans="1:16" ht="15.75" customHeight="1">
      <c r="A277" s="430"/>
      <c r="B277" s="458" t="s">
        <v>227</v>
      </c>
      <c r="C277" s="428">
        <f>C224</f>
        <v>15</v>
      </c>
      <c r="D277" s="428">
        <f>D276</f>
        <v>0.5</v>
      </c>
      <c r="E277" s="428">
        <f>E276</f>
        <v>0.03</v>
      </c>
      <c r="F277" s="428"/>
      <c r="G277" s="428"/>
      <c r="H277" s="428"/>
      <c r="I277" s="428"/>
      <c r="J277" s="428"/>
      <c r="K277" s="428"/>
      <c r="L277" s="428"/>
      <c r="M277" s="428"/>
      <c r="N277" s="390">
        <f>C277*D277*E277</f>
        <v>0.22499999999999998</v>
      </c>
      <c r="O277" s="433"/>
      <c r="P277" s="860"/>
    </row>
    <row r="278" spans="1:16" ht="15.75" customHeight="1">
      <c r="A278" s="430"/>
      <c r="B278" s="1071" t="s">
        <v>1465</v>
      </c>
      <c r="C278" s="428"/>
      <c r="D278" s="428"/>
      <c r="E278" s="428"/>
      <c r="F278" s="428"/>
      <c r="G278" s="428"/>
      <c r="H278" s="428"/>
      <c r="I278" s="428"/>
      <c r="J278" s="428"/>
      <c r="K278" s="428"/>
      <c r="L278" s="428"/>
      <c r="M278" s="428"/>
      <c r="N278" s="390"/>
      <c r="O278" s="433"/>
      <c r="P278" s="860"/>
    </row>
    <row r="279" spans="1:16" ht="15.75" customHeight="1">
      <c r="A279" s="430"/>
      <c r="B279" s="458" t="s">
        <v>226</v>
      </c>
      <c r="C279" s="428">
        <f>C226</f>
        <v>70</v>
      </c>
      <c r="D279" s="428">
        <f>D276</f>
        <v>0.5</v>
      </c>
      <c r="E279" s="428">
        <f>E276</f>
        <v>0.03</v>
      </c>
      <c r="F279" s="428"/>
      <c r="G279" s="428"/>
      <c r="H279" s="428"/>
      <c r="I279" s="428"/>
      <c r="J279" s="428"/>
      <c r="K279" s="428"/>
      <c r="L279" s="428"/>
      <c r="M279" s="428"/>
      <c r="N279" s="390">
        <f>C279*D279*E279</f>
        <v>1.05</v>
      </c>
      <c r="O279" s="433"/>
      <c r="P279" s="860"/>
    </row>
    <row r="280" spans="1:16" ht="15.75" customHeight="1">
      <c r="A280" s="430"/>
      <c r="B280" s="458" t="s">
        <v>227</v>
      </c>
      <c r="C280" s="428">
        <f>C227</f>
        <v>70</v>
      </c>
      <c r="D280" s="428">
        <f>D279</f>
        <v>0.5</v>
      </c>
      <c r="E280" s="428">
        <f>E279</f>
        <v>0.03</v>
      </c>
      <c r="F280" s="428"/>
      <c r="G280" s="428"/>
      <c r="H280" s="428"/>
      <c r="I280" s="428"/>
      <c r="J280" s="428"/>
      <c r="K280" s="428"/>
      <c r="L280" s="428"/>
      <c r="M280" s="428"/>
      <c r="N280" s="390">
        <f>C280*D280*E280</f>
        <v>1.05</v>
      </c>
      <c r="O280" s="433"/>
      <c r="P280" s="860"/>
    </row>
    <row r="281" spans="1:16" ht="15.75" customHeight="1">
      <c r="A281" s="430"/>
      <c r="B281" s="1071" t="s">
        <v>1466</v>
      </c>
      <c r="C281" s="428"/>
      <c r="D281" s="428"/>
      <c r="E281" s="428"/>
      <c r="F281" s="428"/>
      <c r="G281" s="428"/>
      <c r="H281" s="428"/>
      <c r="I281" s="428"/>
      <c r="J281" s="428"/>
      <c r="K281" s="428"/>
      <c r="L281" s="428"/>
      <c r="M281" s="428"/>
      <c r="N281" s="390"/>
      <c r="O281" s="433"/>
      <c r="P281" s="860"/>
    </row>
    <row r="282" spans="1:16" ht="15.75" customHeight="1">
      <c r="A282" s="430"/>
      <c r="B282" s="458" t="s">
        <v>226</v>
      </c>
      <c r="C282" s="428">
        <f>C229</f>
        <v>25</v>
      </c>
      <c r="D282" s="428">
        <f>D279</f>
        <v>0.5</v>
      </c>
      <c r="E282" s="428">
        <f>E279</f>
        <v>0.03</v>
      </c>
      <c r="F282" s="428"/>
      <c r="G282" s="428"/>
      <c r="H282" s="428"/>
      <c r="I282" s="428"/>
      <c r="J282" s="428"/>
      <c r="K282" s="428"/>
      <c r="L282" s="428"/>
      <c r="M282" s="428"/>
      <c r="N282" s="390"/>
      <c r="O282" s="433"/>
      <c r="P282" s="860"/>
    </row>
    <row r="283" spans="1:16" ht="15.75" customHeight="1">
      <c r="A283" s="430"/>
      <c r="B283" s="458" t="s">
        <v>227</v>
      </c>
      <c r="C283" s="428">
        <f>C230</f>
        <v>17</v>
      </c>
      <c r="D283" s="428">
        <f>D282</f>
        <v>0.5</v>
      </c>
      <c r="E283" s="428">
        <f>E282</f>
        <v>0.03</v>
      </c>
      <c r="F283" s="428"/>
      <c r="G283" s="428"/>
      <c r="H283" s="428"/>
      <c r="I283" s="428"/>
      <c r="J283" s="428"/>
      <c r="K283" s="428"/>
      <c r="L283" s="428"/>
      <c r="M283" s="428"/>
      <c r="N283" s="390"/>
      <c r="O283" s="433"/>
      <c r="P283" s="860"/>
    </row>
    <row r="284" spans="1:16" ht="15.75" customHeight="1">
      <c r="A284" s="430"/>
      <c r="B284" s="1071" t="s">
        <v>1467</v>
      </c>
      <c r="C284" s="428"/>
      <c r="D284" s="428"/>
      <c r="E284" s="428"/>
      <c r="F284" s="428"/>
      <c r="G284" s="428"/>
      <c r="H284" s="428"/>
      <c r="I284" s="428"/>
      <c r="J284" s="428"/>
      <c r="K284" s="428"/>
      <c r="L284" s="428"/>
      <c r="M284" s="428"/>
      <c r="N284" s="390"/>
      <c r="O284" s="433"/>
      <c r="P284" s="860"/>
    </row>
    <row r="285" spans="1:16" ht="15.75" customHeight="1">
      <c r="A285" s="430"/>
      <c r="B285" s="458" t="s">
        <v>226</v>
      </c>
      <c r="C285" s="428">
        <f>C232</f>
        <v>10</v>
      </c>
      <c r="D285" s="428">
        <f>D282</f>
        <v>0.5</v>
      </c>
      <c r="E285" s="428">
        <f>E282</f>
        <v>0.03</v>
      </c>
      <c r="F285" s="428"/>
      <c r="G285" s="428"/>
      <c r="H285" s="428"/>
      <c r="I285" s="428"/>
      <c r="J285" s="428"/>
      <c r="K285" s="428"/>
      <c r="L285" s="428"/>
      <c r="M285" s="428"/>
      <c r="N285" s="390">
        <f>C285*D285*E285</f>
        <v>0.15</v>
      </c>
      <c r="O285" s="433"/>
      <c r="P285" s="860"/>
    </row>
    <row r="286" spans="1:16" ht="15.75" customHeight="1">
      <c r="A286" s="430"/>
      <c r="B286" s="458" t="s">
        <v>227</v>
      </c>
      <c r="C286" s="428">
        <f>C233</f>
        <v>20</v>
      </c>
      <c r="D286" s="428">
        <f>D285</f>
        <v>0.5</v>
      </c>
      <c r="E286" s="428">
        <f>E285</f>
        <v>0.03</v>
      </c>
      <c r="F286" s="428"/>
      <c r="G286" s="428"/>
      <c r="H286" s="428"/>
      <c r="I286" s="428"/>
      <c r="J286" s="428"/>
      <c r="K286" s="428"/>
      <c r="L286" s="428"/>
      <c r="M286" s="428"/>
      <c r="N286" s="390">
        <f>C286*D286*E286</f>
        <v>0.3</v>
      </c>
      <c r="O286" s="433"/>
      <c r="P286" s="860"/>
    </row>
    <row r="287" spans="1:16" ht="15.75" customHeight="1">
      <c r="A287" s="430"/>
      <c r="B287" s="1071" t="s">
        <v>1468</v>
      </c>
      <c r="C287" s="428"/>
      <c r="D287" s="428"/>
      <c r="E287" s="428"/>
      <c r="F287" s="428"/>
      <c r="G287" s="428"/>
      <c r="H287" s="428"/>
      <c r="I287" s="428"/>
      <c r="J287" s="428"/>
      <c r="K287" s="428"/>
      <c r="L287" s="428"/>
      <c r="M287" s="428"/>
      <c r="N287" s="390"/>
      <c r="O287" s="433"/>
      <c r="P287" s="860"/>
    </row>
    <row r="288" spans="1:16" ht="15.75" customHeight="1">
      <c r="A288" s="430"/>
      <c r="B288" s="458" t="s">
        <v>226</v>
      </c>
      <c r="C288" s="428">
        <f>C235</f>
        <v>15</v>
      </c>
      <c r="D288" s="428">
        <f>D285</f>
        <v>0.5</v>
      </c>
      <c r="E288" s="428">
        <f>E285</f>
        <v>0.03</v>
      </c>
      <c r="F288" s="428"/>
      <c r="G288" s="428"/>
      <c r="H288" s="428"/>
      <c r="I288" s="428"/>
      <c r="J288" s="428"/>
      <c r="K288" s="428"/>
      <c r="L288" s="428"/>
      <c r="M288" s="428"/>
      <c r="N288" s="390">
        <f>C288*D288*E288</f>
        <v>0.22499999999999998</v>
      </c>
      <c r="O288" s="433"/>
      <c r="P288" s="860"/>
    </row>
    <row r="289" spans="1:16" ht="15.75" customHeight="1">
      <c r="A289" s="430"/>
      <c r="B289" s="458" t="s">
        <v>227</v>
      </c>
      <c r="C289" s="428">
        <f>C236</f>
        <v>8</v>
      </c>
      <c r="D289" s="428">
        <f>D288</f>
        <v>0.5</v>
      </c>
      <c r="E289" s="428">
        <f>E288</f>
        <v>0.03</v>
      </c>
      <c r="F289" s="428"/>
      <c r="G289" s="428"/>
      <c r="H289" s="428"/>
      <c r="I289" s="428"/>
      <c r="J289" s="428"/>
      <c r="K289" s="428"/>
      <c r="L289" s="428"/>
      <c r="M289" s="428"/>
      <c r="N289" s="390">
        <f>C289*D289*E289</f>
        <v>0.12</v>
      </c>
      <c r="O289" s="433"/>
      <c r="P289" s="860"/>
    </row>
    <row r="290" spans="1:16" ht="15.75" customHeight="1">
      <c r="A290" s="430"/>
      <c r="B290" s="1071" t="s">
        <v>1469</v>
      </c>
      <c r="C290" s="428"/>
      <c r="D290" s="428"/>
      <c r="E290" s="428"/>
      <c r="F290" s="428"/>
      <c r="G290" s="428"/>
      <c r="H290" s="428"/>
      <c r="I290" s="428"/>
      <c r="J290" s="428"/>
      <c r="K290" s="428"/>
      <c r="L290" s="428"/>
      <c r="M290" s="428"/>
      <c r="N290" s="390"/>
      <c r="O290" s="433"/>
      <c r="P290" s="860"/>
    </row>
    <row r="291" spans="1:16" ht="15.75" customHeight="1">
      <c r="A291" s="430"/>
      <c r="B291" s="458" t="s">
        <v>226</v>
      </c>
      <c r="C291" s="428">
        <f>C238</f>
        <v>15</v>
      </c>
      <c r="D291" s="428">
        <f>D288</f>
        <v>0.5</v>
      </c>
      <c r="E291" s="428">
        <f>E288</f>
        <v>0.03</v>
      </c>
      <c r="F291" s="428"/>
      <c r="G291" s="428"/>
      <c r="H291" s="428"/>
      <c r="I291" s="428"/>
      <c r="J291" s="428"/>
      <c r="K291" s="428"/>
      <c r="L291" s="428"/>
      <c r="M291" s="428"/>
      <c r="N291" s="390">
        <f>C291*D291*E291</f>
        <v>0.22499999999999998</v>
      </c>
      <c r="O291" s="433"/>
      <c r="P291" s="860"/>
    </row>
    <row r="292" spans="1:16" ht="15.75" customHeight="1">
      <c r="A292" s="430"/>
      <c r="B292" s="458" t="s">
        <v>227</v>
      </c>
      <c r="C292" s="428">
        <f>C239</f>
        <v>8</v>
      </c>
      <c r="D292" s="428">
        <f>D291</f>
        <v>0.5</v>
      </c>
      <c r="E292" s="428">
        <f>E291</f>
        <v>0.03</v>
      </c>
      <c r="F292" s="428"/>
      <c r="G292" s="428"/>
      <c r="H292" s="428"/>
      <c r="I292" s="428"/>
      <c r="J292" s="428"/>
      <c r="K292" s="428"/>
      <c r="L292" s="428"/>
      <c r="M292" s="428"/>
      <c r="N292" s="590">
        <f>C292*D292*E292</f>
        <v>0.12</v>
      </c>
      <c r="O292" s="433"/>
      <c r="P292" s="860"/>
    </row>
    <row r="293" spans="1:16" ht="15.75" customHeight="1">
      <c r="A293" s="430"/>
      <c r="B293" s="46"/>
      <c r="C293" s="428"/>
      <c r="D293" s="428"/>
      <c r="E293" s="428"/>
      <c r="F293" s="428"/>
      <c r="G293" s="428"/>
      <c r="H293" s="428"/>
      <c r="I293" s="428"/>
      <c r="J293" s="428"/>
      <c r="K293" s="428"/>
      <c r="L293" s="428"/>
      <c r="M293" s="428"/>
      <c r="N293" s="390">
        <f>SUM(N243:N292)</f>
        <v>8.9924999999999979</v>
      </c>
      <c r="O293" s="362" t="s">
        <v>103</v>
      </c>
      <c r="P293" s="860">
        <f>ROUND((N293),2)</f>
        <v>8.99</v>
      </c>
    </row>
    <row r="294" spans="1:16" ht="15.75" customHeight="1">
      <c r="A294" s="430" t="s">
        <v>101</v>
      </c>
      <c r="B294" s="46" t="s">
        <v>777</v>
      </c>
      <c r="C294" s="428"/>
      <c r="D294" s="428"/>
      <c r="E294" s="428"/>
      <c r="F294" s="428"/>
      <c r="G294" s="428"/>
      <c r="H294" s="428"/>
      <c r="I294" s="428"/>
      <c r="J294" s="428"/>
      <c r="K294" s="428"/>
      <c r="L294" s="428"/>
      <c r="M294" s="428"/>
      <c r="N294" s="390"/>
      <c r="O294" s="433"/>
      <c r="P294" s="860"/>
    </row>
    <row r="295" spans="1:16" ht="15.75" customHeight="1">
      <c r="A295" s="430"/>
      <c r="B295" s="1071" t="s">
        <v>1452</v>
      </c>
      <c r="C295" s="428"/>
      <c r="D295" s="428"/>
      <c r="E295" s="428"/>
      <c r="F295" s="428"/>
      <c r="G295" s="428"/>
      <c r="H295" s="428"/>
      <c r="I295" s="428"/>
      <c r="J295" s="428"/>
      <c r="K295" s="428"/>
      <c r="L295" s="428"/>
      <c r="M295" s="428"/>
      <c r="N295" s="390"/>
      <c r="O295" s="433"/>
      <c r="P295" s="860"/>
    </row>
    <row r="296" spans="1:16" ht="15.75" customHeight="1">
      <c r="A296" s="430"/>
      <c r="B296" s="458" t="s">
        <v>226</v>
      </c>
      <c r="C296" s="428">
        <v>0</v>
      </c>
      <c r="D296" s="428"/>
      <c r="E296" s="428">
        <v>0.45</v>
      </c>
      <c r="F296" s="428"/>
      <c r="G296" s="428"/>
      <c r="H296" s="428">
        <v>2</v>
      </c>
      <c r="I296" s="428"/>
      <c r="J296" s="428"/>
      <c r="K296" s="428"/>
      <c r="L296" s="428"/>
      <c r="M296" s="428"/>
      <c r="N296" s="390">
        <f>C296*E296*H296</f>
        <v>0</v>
      </c>
      <c r="O296" s="433"/>
      <c r="P296" s="860"/>
    </row>
    <row r="297" spans="1:16" ht="15.75" customHeight="1">
      <c r="A297" s="430"/>
      <c r="B297" s="458" t="s">
        <v>227</v>
      </c>
      <c r="C297" s="428">
        <v>0</v>
      </c>
      <c r="D297" s="428"/>
      <c r="E297" s="428">
        <f>E296</f>
        <v>0.45</v>
      </c>
      <c r="F297" s="428"/>
      <c r="G297" s="428"/>
      <c r="H297" s="428">
        <f>H296</f>
        <v>2</v>
      </c>
      <c r="I297" s="428"/>
      <c r="J297" s="428"/>
      <c r="K297" s="428"/>
      <c r="L297" s="428"/>
      <c r="M297" s="428"/>
      <c r="N297" s="390">
        <f>C297*E297*H297</f>
        <v>0</v>
      </c>
      <c r="O297" s="433"/>
      <c r="P297" s="860"/>
    </row>
    <row r="298" spans="1:16" ht="15.75" customHeight="1">
      <c r="A298" s="430"/>
      <c r="B298" s="1071" t="s">
        <v>1453</v>
      </c>
      <c r="C298" s="428">
        <f>C245</f>
        <v>0</v>
      </c>
      <c r="D298" s="428"/>
      <c r="E298" s="428"/>
      <c r="F298" s="428"/>
      <c r="G298" s="428"/>
      <c r="H298" s="428"/>
      <c r="I298" s="428"/>
      <c r="J298" s="428"/>
      <c r="K298" s="428"/>
      <c r="L298" s="428"/>
      <c r="M298" s="428"/>
      <c r="N298" s="390"/>
      <c r="O298" s="433"/>
      <c r="P298" s="860"/>
    </row>
    <row r="299" spans="1:16" ht="15.75" customHeight="1">
      <c r="A299" s="430"/>
      <c r="B299" s="458" t="s">
        <v>226</v>
      </c>
      <c r="C299" s="428">
        <v>0</v>
      </c>
      <c r="D299" s="428"/>
      <c r="E299" s="428">
        <f>E297</f>
        <v>0.45</v>
      </c>
      <c r="F299" s="428"/>
      <c r="G299" s="428"/>
      <c r="H299" s="428">
        <f>H297</f>
        <v>2</v>
      </c>
      <c r="I299" s="428"/>
      <c r="J299" s="428"/>
      <c r="K299" s="428"/>
      <c r="L299" s="428"/>
      <c r="M299" s="428"/>
      <c r="N299" s="390"/>
      <c r="O299" s="433"/>
      <c r="P299" s="860"/>
    </row>
    <row r="300" spans="1:16" ht="15.75" customHeight="1">
      <c r="A300" s="430"/>
      <c r="B300" s="458" t="s">
        <v>227</v>
      </c>
      <c r="C300" s="428">
        <v>0</v>
      </c>
      <c r="D300" s="428"/>
      <c r="E300" s="428">
        <f>E299</f>
        <v>0.45</v>
      </c>
      <c r="F300" s="428"/>
      <c r="G300" s="428"/>
      <c r="H300" s="428">
        <f>H299</f>
        <v>2</v>
      </c>
      <c r="I300" s="428"/>
      <c r="J300" s="428"/>
      <c r="K300" s="428"/>
      <c r="L300" s="428"/>
      <c r="M300" s="428"/>
      <c r="N300" s="390"/>
      <c r="O300" s="433"/>
      <c r="P300" s="860"/>
    </row>
    <row r="301" spans="1:16" ht="15.75" customHeight="1">
      <c r="A301" s="430"/>
      <c r="B301" s="1071" t="s">
        <v>1454</v>
      </c>
      <c r="C301" s="428">
        <f>C248</f>
        <v>0</v>
      </c>
      <c r="D301" s="428"/>
      <c r="E301" s="428"/>
      <c r="F301" s="428"/>
      <c r="G301" s="428"/>
      <c r="H301" s="428"/>
      <c r="I301" s="428"/>
      <c r="J301" s="428"/>
      <c r="K301" s="428"/>
      <c r="L301" s="428"/>
      <c r="M301" s="428"/>
      <c r="N301" s="390"/>
      <c r="O301" s="433"/>
      <c r="P301" s="860"/>
    </row>
    <row r="302" spans="1:16" ht="15.75" customHeight="1">
      <c r="A302" s="430"/>
      <c r="B302" s="458" t="s">
        <v>226</v>
      </c>
      <c r="C302" s="428">
        <f>C249</f>
        <v>15</v>
      </c>
      <c r="D302" s="428"/>
      <c r="E302" s="428">
        <f>E300</f>
        <v>0.45</v>
      </c>
      <c r="F302" s="428"/>
      <c r="G302" s="428"/>
      <c r="H302" s="428">
        <f>H300</f>
        <v>2</v>
      </c>
      <c r="I302" s="428"/>
      <c r="J302" s="428"/>
      <c r="K302" s="428"/>
      <c r="L302" s="428"/>
      <c r="M302" s="428"/>
      <c r="N302" s="390">
        <f>C302*E302*H302</f>
        <v>13.5</v>
      </c>
      <c r="O302" s="433"/>
      <c r="P302" s="860"/>
    </row>
    <row r="303" spans="1:16" ht="15.75" customHeight="1">
      <c r="A303" s="430"/>
      <c r="B303" s="458" t="s">
        <v>227</v>
      </c>
      <c r="C303" s="428">
        <f>C250</f>
        <v>8</v>
      </c>
      <c r="D303" s="428"/>
      <c r="E303" s="428">
        <f>E302</f>
        <v>0.45</v>
      </c>
      <c r="F303" s="428"/>
      <c r="G303" s="428"/>
      <c r="H303" s="428">
        <f>H302</f>
        <v>2</v>
      </c>
      <c r="I303" s="428"/>
      <c r="J303" s="428"/>
      <c r="K303" s="428"/>
      <c r="L303" s="428"/>
      <c r="M303" s="428"/>
      <c r="N303" s="390">
        <f>C303*E303*H303</f>
        <v>7.2</v>
      </c>
      <c r="O303" s="433"/>
      <c r="P303" s="860"/>
    </row>
    <row r="304" spans="1:16" ht="15.75" customHeight="1">
      <c r="A304" s="430"/>
      <c r="B304" s="1071" t="s">
        <v>1455</v>
      </c>
      <c r="C304" s="428">
        <f>C251</f>
        <v>0</v>
      </c>
      <c r="D304" s="428"/>
      <c r="E304" s="428"/>
      <c r="F304" s="428"/>
      <c r="G304" s="428"/>
      <c r="H304" s="428"/>
      <c r="I304" s="428"/>
      <c r="J304" s="428"/>
      <c r="K304" s="428"/>
      <c r="L304" s="428"/>
      <c r="M304" s="428"/>
      <c r="N304" s="390"/>
      <c r="O304" s="433"/>
      <c r="P304" s="860"/>
    </row>
    <row r="305" spans="1:16" ht="15.75" customHeight="1">
      <c r="A305" s="430"/>
      <c r="B305" s="458" t="s">
        <v>226</v>
      </c>
      <c r="C305" s="428">
        <v>0</v>
      </c>
      <c r="D305" s="428"/>
      <c r="E305" s="428">
        <f>E303</f>
        <v>0.45</v>
      </c>
      <c r="F305" s="428"/>
      <c r="G305" s="428"/>
      <c r="H305" s="428">
        <f>H303</f>
        <v>2</v>
      </c>
      <c r="I305" s="428"/>
      <c r="J305" s="428"/>
      <c r="K305" s="428"/>
      <c r="L305" s="428"/>
      <c r="M305" s="428"/>
      <c r="N305" s="390">
        <f>C305*E305*H305</f>
        <v>0</v>
      </c>
      <c r="O305" s="433"/>
      <c r="P305" s="860"/>
    </row>
    <row r="306" spans="1:16" ht="15.75" customHeight="1">
      <c r="A306" s="430"/>
      <c r="B306" s="458" t="s">
        <v>227</v>
      </c>
      <c r="C306" s="428">
        <v>0</v>
      </c>
      <c r="D306" s="428"/>
      <c r="E306" s="428">
        <f>E305</f>
        <v>0.45</v>
      </c>
      <c r="F306" s="428"/>
      <c r="G306" s="428"/>
      <c r="H306" s="428">
        <f>H305</f>
        <v>2</v>
      </c>
      <c r="I306" s="428"/>
      <c r="J306" s="428"/>
      <c r="K306" s="428"/>
      <c r="L306" s="428"/>
      <c r="M306" s="428"/>
      <c r="N306" s="390">
        <f>C306*E306*H306</f>
        <v>0</v>
      </c>
      <c r="O306" s="433"/>
      <c r="P306" s="860"/>
    </row>
    <row r="307" spans="1:16" ht="15.75" customHeight="1">
      <c r="A307" s="430"/>
      <c r="B307" s="1071" t="s">
        <v>1456</v>
      </c>
      <c r="C307" s="428">
        <f>C254</f>
        <v>0</v>
      </c>
      <c r="D307" s="428"/>
      <c r="E307" s="428"/>
      <c r="F307" s="428"/>
      <c r="G307" s="428"/>
      <c r="H307" s="428"/>
      <c r="I307" s="428"/>
      <c r="J307" s="428"/>
      <c r="K307" s="428"/>
      <c r="L307" s="428"/>
      <c r="M307" s="428"/>
      <c r="N307" s="390"/>
      <c r="O307" s="433"/>
      <c r="P307" s="860"/>
    </row>
    <row r="308" spans="1:16" ht="15.75" customHeight="1">
      <c r="A308" s="430"/>
      <c r="B308" s="458" t="s">
        <v>226</v>
      </c>
      <c r="C308" s="428">
        <f>C255</f>
        <v>30</v>
      </c>
      <c r="D308" s="428"/>
      <c r="E308" s="428">
        <f>E306</f>
        <v>0.45</v>
      </c>
      <c r="F308" s="428"/>
      <c r="G308" s="428"/>
      <c r="H308" s="428">
        <f>H306</f>
        <v>2</v>
      </c>
      <c r="I308" s="428"/>
      <c r="J308" s="428"/>
      <c r="K308" s="428"/>
      <c r="L308" s="428"/>
      <c r="M308" s="428"/>
      <c r="N308" s="390">
        <f>C308*E308*H308</f>
        <v>27</v>
      </c>
      <c r="O308" s="433"/>
      <c r="P308" s="860"/>
    </row>
    <row r="309" spans="1:16" ht="15.75" customHeight="1">
      <c r="A309" s="430"/>
      <c r="B309" s="458" t="s">
        <v>227</v>
      </c>
      <c r="C309" s="428">
        <f>C256</f>
        <v>10</v>
      </c>
      <c r="D309" s="428"/>
      <c r="E309" s="428">
        <f>E308</f>
        <v>0.45</v>
      </c>
      <c r="F309" s="428"/>
      <c r="G309" s="428"/>
      <c r="H309" s="428">
        <f>H308</f>
        <v>2</v>
      </c>
      <c r="I309" s="428"/>
      <c r="J309" s="428"/>
      <c r="K309" s="428"/>
      <c r="L309" s="428"/>
      <c r="M309" s="428"/>
      <c r="N309" s="390">
        <f>C309*E309*H309</f>
        <v>9</v>
      </c>
      <c r="O309" s="433"/>
      <c r="P309" s="860"/>
    </row>
    <row r="310" spans="1:16" ht="15.75" customHeight="1">
      <c r="A310" s="430"/>
      <c r="B310" s="1071" t="s">
        <v>1457</v>
      </c>
      <c r="C310" s="428">
        <f>C257</f>
        <v>0</v>
      </c>
      <c r="D310" s="428"/>
      <c r="E310" s="428"/>
      <c r="F310" s="428"/>
      <c r="G310" s="428"/>
      <c r="H310" s="428"/>
      <c r="I310" s="428"/>
      <c r="J310" s="428"/>
      <c r="K310" s="428"/>
      <c r="L310" s="428"/>
      <c r="M310" s="428"/>
      <c r="N310" s="390"/>
      <c r="O310" s="433"/>
      <c r="P310" s="860"/>
    </row>
    <row r="311" spans="1:16" ht="15.75" customHeight="1">
      <c r="A311" s="430"/>
      <c r="B311" s="458" t="s">
        <v>226</v>
      </c>
      <c r="C311" s="428">
        <f>C258</f>
        <v>15</v>
      </c>
      <c r="D311" s="428"/>
      <c r="E311" s="428">
        <f>E309</f>
        <v>0.45</v>
      </c>
      <c r="F311" s="428"/>
      <c r="G311" s="428"/>
      <c r="H311" s="428">
        <f>H309</f>
        <v>2</v>
      </c>
      <c r="I311" s="428"/>
      <c r="J311" s="428"/>
      <c r="K311" s="428"/>
      <c r="L311" s="428"/>
      <c r="M311" s="428"/>
      <c r="N311" s="390">
        <f>C311*E311*H311</f>
        <v>13.5</v>
      </c>
      <c r="O311" s="433"/>
      <c r="P311" s="860"/>
    </row>
    <row r="312" spans="1:16" ht="15.75" customHeight="1">
      <c r="A312" s="430"/>
      <c r="B312" s="458" t="s">
        <v>227</v>
      </c>
      <c r="C312" s="428">
        <v>10</v>
      </c>
      <c r="D312" s="428"/>
      <c r="E312" s="428">
        <f>E311</f>
        <v>0.45</v>
      </c>
      <c r="F312" s="428"/>
      <c r="G312" s="428"/>
      <c r="H312" s="428">
        <f>H311</f>
        <v>2</v>
      </c>
      <c r="I312" s="428"/>
      <c r="J312" s="428"/>
      <c r="K312" s="428"/>
      <c r="L312" s="428"/>
      <c r="M312" s="428"/>
      <c r="N312" s="390">
        <f>C312*E312*H312</f>
        <v>9</v>
      </c>
      <c r="O312" s="433"/>
      <c r="P312" s="860"/>
    </row>
    <row r="313" spans="1:16" ht="15.75" customHeight="1">
      <c r="A313" s="430"/>
      <c r="B313" s="1071" t="s">
        <v>1458</v>
      </c>
      <c r="C313" s="428">
        <f>C260</f>
        <v>0</v>
      </c>
      <c r="D313" s="428"/>
      <c r="E313" s="428"/>
      <c r="F313" s="428"/>
      <c r="G313" s="428"/>
      <c r="H313" s="428"/>
      <c r="I313" s="428"/>
      <c r="J313" s="428"/>
      <c r="K313" s="428"/>
      <c r="L313" s="428"/>
      <c r="M313" s="428"/>
      <c r="N313" s="390"/>
      <c r="O313" s="433"/>
      <c r="P313" s="860"/>
    </row>
    <row r="314" spans="1:16" ht="15.75" customHeight="1">
      <c r="A314" s="430"/>
      <c r="B314" s="458" t="s">
        <v>226</v>
      </c>
      <c r="C314" s="428">
        <v>8</v>
      </c>
      <c r="D314" s="428"/>
      <c r="E314" s="428">
        <f>E312</f>
        <v>0.45</v>
      </c>
      <c r="F314" s="428"/>
      <c r="G314" s="428"/>
      <c r="H314" s="428">
        <f>H312</f>
        <v>2</v>
      </c>
      <c r="I314" s="428"/>
      <c r="J314" s="428"/>
      <c r="K314" s="428"/>
      <c r="L314" s="428"/>
      <c r="M314" s="428"/>
      <c r="N314" s="390">
        <f>C314*E314*H314</f>
        <v>7.2</v>
      </c>
      <c r="O314" s="433"/>
      <c r="P314" s="860"/>
    </row>
    <row r="315" spans="1:16" ht="15.75" customHeight="1">
      <c r="A315" s="430"/>
      <c r="B315" s="458" t="s">
        <v>227</v>
      </c>
      <c r="C315" s="428">
        <v>6</v>
      </c>
      <c r="D315" s="428"/>
      <c r="E315" s="428">
        <f>E314</f>
        <v>0.45</v>
      </c>
      <c r="F315" s="428"/>
      <c r="G315" s="428"/>
      <c r="H315" s="428">
        <f>H314</f>
        <v>2</v>
      </c>
      <c r="I315" s="428"/>
      <c r="J315" s="428"/>
      <c r="K315" s="428"/>
      <c r="L315" s="428"/>
      <c r="M315" s="428"/>
      <c r="N315" s="390">
        <f>C315*E315*H315</f>
        <v>5.4</v>
      </c>
      <c r="O315" s="433"/>
      <c r="P315" s="860"/>
    </row>
    <row r="316" spans="1:16" ht="15.75" customHeight="1">
      <c r="A316" s="430"/>
      <c r="B316" s="1071" t="s">
        <v>1459</v>
      </c>
      <c r="C316" s="428">
        <f>C263</f>
        <v>0</v>
      </c>
      <c r="D316" s="428"/>
      <c r="E316" s="428"/>
      <c r="F316" s="428"/>
      <c r="G316" s="428"/>
      <c r="H316" s="428"/>
      <c r="I316" s="428"/>
      <c r="J316" s="428"/>
      <c r="K316" s="428"/>
      <c r="L316" s="428"/>
      <c r="M316" s="428"/>
      <c r="N316" s="390"/>
      <c r="O316" s="433"/>
      <c r="P316" s="860"/>
    </row>
    <row r="317" spans="1:16" ht="15.75" customHeight="1">
      <c r="A317" s="430"/>
      <c r="B317" s="458" t="s">
        <v>226</v>
      </c>
      <c r="C317" s="428">
        <v>0</v>
      </c>
      <c r="D317" s="428"/>
      <c r="E317" s="428">
        <f>E315</f>
        <v>0.45</v>
      </c>
      <c r="F317" s="428"/>
      <c r="G317" s="428"/>
      <c r="H317" s="428">
        <f>H315</f>
        <v>2</v>
      </c>
      <c r="I317" s="428"/>
      <c r="J317" s="428"/>
      <c r="K317" s="428"/>
      <c r="L317" s="428"/>
      <c r="M317" s="428"/>
      <c r="N317" s="390">
        <f>C317*E317*H317</f>
        <v>0</v>
      </c>
      <c r="O317" s="433"/>
      <c r="P317" s="860"/>
    </row>
    <row r="318" spans="1:16" ht="15.75" customHeight="1">
      <c r="A318" s="430"/>
      <c r="B318" s="458" t="s">
        <v>227</v>
      </c>
      <c r="C318" s="428">
        <v>0</v>
      </c>
      <c r="D318" s="428"/>
      <c r="E318" s="428">
        <f>E317</f>
        <v>0.45</v>
      </c>
      <c r="F318" s="428"/>
      <c r="G318" s="428"/>
      <c r="H318" s="428">
        <f>H317</f>
        <v>2</v>
      </c>
      <c r="I318" s="428"/>
      <c r="J318" s="428"/>
      <c r="K318" s="428"/>
      <c r="L318" s="428"/>
      <c r="M318" s="428"/>
      <c r="N318" s="390">
        <f>C318*E318*H318</f>
        <v>0</v>
      </c>
      <c r="O318" s="433"/>
      <c r="P318" s="860"/>
    </row>
    <row r="319" spans="1:16" ht="15.75" customHeight="1">
      <c r="A319" s="430"/>
      <c r="B319" s="1071" t="s">
        <v>1460</v>
      </c>
      <c r="C319" s="428">
        <f>C266</f>
        <v>0</v>
      </c>
      <c r="D319" s="428"/>
      <c r="E319" s="428"/>
      <c r="F319" s="428"/>
      <c r="G319" s="428"/>
      <c r="H319" s="428"/>
      <c r="I319" s="428"/>
      <c r="J319" s="428"/>
      <c r="K319" s="428"/>
      <c r="L319" s="428"/>
      <c r="M319" s="428"/>
      <c r="N319" s="390"/>
      <c r="O319" s="433"/>
      <c r="P319" s="860"/>
    </row>
    <row r="320" spans="1:16" ht="15.75" customHeight="1">
      <c r="A320" s="430"/>
      <c r="B320" s="458" t="s">
        <v>226</v>
      </c>
      <c r="C320" s="428">
        <v>0</v>
      </c>
      <c r="D320" s="428"/>
      <c r="E320" s="428">
        <f>E318</f>
        <v>0.45</v>
      </c>
      <c r="F320" s="428"/>
      <c r="G320" s="428"/>
      <c r="H320" s="428">
        <f>H318</f>
        <v>2</v>
      </c>
      <c r="I320" s="428"/>
      <c r="J320" s="428"/>
      <c r="K320" s="428"/>
      <c r="L320" s="428"/>
      <c r="M320" s="428"/>
      <c r="N320" s="390"/>
      <c r="O320" s="433"/>
      <c r="P320" s="860"/>
    </row>
    <row r="321" spans="1:16" ht="15.75" customHeight="1">
      <c r="A321" s="430"/>
      <c r="B321" s="458" t="s">
        <v>227</v>
      </c>
      <c r="C321" s="428">
        <v>0</v>
      </c>
      <c r="D321" s="428"/>
      <c r="E321" s="428">
        <f>E320</f>
        <v>0.45</v>
      </c>
      <c r="F321" s="428"/>
      <c r="G321" s="428"/>
      <c r="H321" s="428">
        <f>H320</f>
        <v>2</v>
      </c>
      <c r="I321" s="428"/>
      <c r="J321" s="428"/>
      <c r="K321" s="428"/>
      <c r="L321" s="428"/>
      <c r="M321" s="428"/>
      <c r="N321" s="390"/>
      <c r="O321" s="433"/>
      <c r="P321" s="860"/>
    </row>
    <row r="322" spans="1:16" ht="15.75" customHeight="1">
      <c r="A322" s="430"/>
      <c r="B322" s="1071" t="s">
        <v>1461</v>
      </c>
      <c r="C322" s="428">
        <f>C269</f>
        <v>0</v>
      </c>
      <c r="D322" s="428"/>
      <c r="E322" s="428"/>
      <c r="F322" s="428"/>
      <c r="G322" s="428"/>
      <c r="H322" s="428"/>
      <c r="I322" s="428"/>
      <c r="J322" s="428"/>
      <c r="K322" s="428"/>
      <c r="L322" s="428"/>
      <c r="M322" s="428"/>
      <c r="N322" s="390"/>
      <c r="O322" s="433"/>
      <c r="P322" s="860"/>
    </row>
    <row r="323" spans="1:16" ht="15.75" customHeight="1">
      <c r="A323" s="430"/>
      <c r="B323" s="458" t="s">
        <v>226</v>
      </c>
      <c r="C323" s="428">
        <v>5</v>
      </c>
      <c r="D323" s="428"/>
      <c r="E323" s="428">
        <f>E321</f>
        <v>0.45</v>
      </c>
      <c r="F323" s="428"/>
      <c r="G323" s="428"/>
      <c r="H323" s="428">
        <f>H321</f>
        <v>2</v>
      </c>
      <c r="I323" s="428"/>
      <c r="J323" s="428"/>
      <c r="K323" s="428"/>
      <c r="L323" s="428"/>
      <c r="M323" s="428"/>
      <c r="N323" s="390">
        <f>C323*E323*H323</f>
        <v>4.5</v>
      </c>
      <c r="O323" s="433"/>
      <c r="P323" s="860"/>
    </row>
    <row r="324" spans="1:16" ht="15.75" customHeight="1">
      <c r="A324" s="430"/>
      <c r="B324" s="458" t="s">
        <v>227</v>
      </c>
      <c r="C324" s="428">
        <v>6</v>
      </c>
      <c r="D324" s="428"/>
      <c r="E324" s="428">
        <f>E323</f>
        <v>0.45</v>
      </c>
      <c r="F324" s="428"/>
      <c r="G324" s="428"/>
      <c r="H324" s="428">
        <f>H323</f>
        <v>2</v>
      </c>
      <c r="I324" s="428"/>
      <c r="J324" s="428"/>
      <c r="K324" s="428"/>
      <c r="L324" s="428"/>
      <c r="M324" s="428"/>
      <c r="N324" s="390">
        <f>C324*E324*H324</f>
        <v>5.4</v>
      </c>
      <c r="O324" s="433"/>
      <c r="P324" s="860"/>
    </row>
    <row r="325" spans="1:16" ht="15.75" customHeight="1">
      <c r="A325" s="430"/>
      <c r="B325" s="1071" t="s">
        <v>1472</v>
      </c>
      <c r="C325" s="428">
        <f>C272</f>
        <v>0</v>
      </c>
      <c r="D325" s="428"/>
      <c r="E325" s="428"/>
      <c r="F325" s="428"/>
      <c r="G325" s="428"/>
      <c r="H325" s="428"/>
      <c r="I325" s="428"/>
      <c r="J325" s="428"/>
      <c r="K325" s="428"/>
      <c r="L325" s="428"/>
      <c r="M325" s="428"/>
      <c r="N325" s="390"/>
      <c r="O325" s="433"/>
      <c r="P325" s="860"/>
    </row>
    <row r="326" spans="1:16" ht="15.75" customHeight="1">
      <c r="A326" s="430"/>
      <c r="B326" s="458" t="s">
        <v>226</v>
      </c>
      <c r="C326" s="428">
        <v>0</v>
      </c>
      <c r="D326" s="428"/>
      <c r="E326" s="428">
        <f>E324</f>
        <v>0.45</v>
      </c>
      <c r="F326" s="428"/>
      <c r="G326" s="428"/>
      <c r="H326" s="428">
        <f>H324</f>
        <v>2</v>
      </c>
      <c r="I326" s="428"/>
      <c r="J326" s="428"/>
      <c r="K326" s="428"/>
      <c r="L326" s="428"/>
      <c r="M326" s="428"/>
      <c r="N326" s="390">
        <f>C326*E326*H326</f>
        <v>0</v>
      </c>
      <c r="O326" s="433"/>
      <c r="P326" s="860"/>
    </row>
    <row r="327" spans="1:16" ht="15.75" customHeight="1">
      <c r="A327" s="430"/>
      <c r="B327" s="458" t="s">
        <v>227</v>
      </c>
      <c r="C327" s="428">
        <v>0</v>
      </c>
      <c r="D327" s="428"/>
      <c r="E327" s="428">
        <f>E326</f>
        <v>0.45</v>
      </c>
      <c r="F327" s="428"/>
      <c r="G327" s="428"/>
      <c r="H327" s="428">
        <f>H326</f>
        <v>2</v>
      </c>
      <c r="I327" s="428"/>
      <c r="J327" s="428"/>
      <c r="K327" s="428"/>
      <c r="L327" s="428"/>
      <c r="M327" s="428"/>
      <c r="N327" s="390">
        <f>C327*E327*H327</f>
        <v>0</v>
      </c>
      <c r="O327" s="433"/>
      <c r="P327" s="860"/>
    </row>
    <row r="328" spans="1:16" ht="15.75" customHeight="1">
      <c r="A328" s="430"/>
      <c r="B328" s="1071" t="s">
        <v>1473</v>
      </c>
      <c r="C328" s="428">
        <f>C275</f>
        <v>0</v>
      </c>
      <c r="D328" s="428"/>
      <c r="E328" s="428"/>
      <c r="F328" s="428"/>
      <c r="G328" s="428"/>
      <c r="H328" s="428"/>
      <c r="I328" s="428"/>
      <c r="J328" s="428"/>
      <c r="K328" s="428"/>
      <c r="L328" s="428"/>
      <c r="M328" s="428"/>
      <c r="N328" s="390"/>
      <c r="O328" s="433"/>
      <c r="P328" s="860"/>
    </row>
    <row r="329" spans="1:16" ht="15.75" customHeight="1">
      <c r="A329" s="430"/>
      <c r="B329" s="458" t="s">
        <v>226</v>
      </c>
      <c r="C329" s="428">
        <v>8</v>
      </c>
      <c r="D329" s="428"/>
      <c r="E329" s="428">
        <f>E327</f>
        <v>0.45</v>
      </c>
      <c r="F329" s="428"/>
      <c r="G329" s="428"/>
      <c r="H329" s="428">
        <f>H327</f>
        <v>2</v>
      </c>
      <c r="I329" s="428"/>
      <c r="J329" s="428"/>
      <c r="K329" s="428"/>
      <c r="L329" s="428"/>
      <c r="M329" s="428"/>
      <c r="N329" s="390">
        <f>C329*E329*H329</f>
        <v>7.2</v>
      </c>
      <c r="O329" s="433"/>
      <c r="P329" s="860"/>
    </row>
    <row r="330" spans="1:16" ht="15.75" customHeight="1">
      <c r="A330" s="430"/>
      <c r="B330" s="458" t="s">
        <v>227</v>
      </c>
      <c r="C330" s="428">
        <v>5</v>
      </c>
      <c r="D330" s="428"/>
      <c r="E330" s="428">
        <f>E329</f>
        <v>0.45</v>
      </c>
      <c r="F330" s="428"/>
      <c r="G330" s="428"/>
      <c r="H330" s="428">
        <f>H329</f>
        <v>2</v>
      </c>
      <c r="I330" s="428"/>
      <c r="J330" s="428"/>
      <c r="K330" s="428"/>
      <c r="L330" s="428"/>
      <c r="M330" s="428"/>
      <c r="N330" s="390">
        <f>C330*E330*H330</f>
        <v>4.5</v>
      </c>
      <c r="O330" s="433"/>
      <c r="P330" s="860"/>
    </row>
    <row r="331" spans="1:16" ht="15.75" customHeight="1">
      <c r="A331" s="430"/>
      <c r="B331" s="1071" t="s">
        <v>1465</v>
      </c>
      <c r="C331" s="428">
        <f>C278</f>
        <v>0</v>
      </c>
      <c r="D331" s="428"/>
      <c r="E331" s="428"/>
      <c r="F331" s="428"/>
      <c r="G331" s="428"/>
      <c r="H331" s="428"/>
      <c r="I331" s="428"/>
      <c r="J331" s="428"/>
      <c r="K331" s="428"/>
      <c r="L331" s="428"/>
      <c r="M331" s="428"/>
      <c r="N331" s="390"/>
      <c r="O331" s="433"/>
      <c r="P331" s="860"/>
    </row>
    <row r="332" spans="1:16" ht="15.75" customHeight="1">
      <c r="A332" s="430"/>
      <c r="B332" s="458" t="s">
        <v>226</v>
      </c>
      <c r="C332" s="428">
        <v>0</v>
      </c>
      <c r="D332" s="428"/>
      <c r="E332" s="428">
        <f>E330</f>
        <v>0.45</v>
      </c>
      <c r="F332" s="428"/>
      <c r="G332" s="428"/>
      <c r="H332" s="428">
        <f>H330</f>
        <v>2</v>
      </c>
      <c r="I332" s="428"/>
      <c r="J332" s="428"/>
      <c r="K332" s="428"/>
      <c r="L332" s="428"/>
      <c r="M332" s="428"/>
      <c r="N332" s="390">
        <f>C332*E332*H332</f>
        <v>0</v>
      </c>
      <c r="O332" s="433"/>
      <c r="P332" s="860"/>
    </row>
    <row r="333" spans="1:16" ht="15.75" customHeight="1">
      <c r="A333" s="430"/>
      <c r="B333" s="458" t="s">
        <v>227</v>
      </c>
      <c r="C333" s="428">
        <v>0</v>
      </c>
      <c r="D333" s="428"/>
      <c r="E333" s="428">
        <f>E332</f>
        <v>0.45</v>
      </c>
      <c r="F333" s="428"/>
      <c r="G333" s="428"/>
      <c r="H333" s="428">
        <f>H332</f>
        <v>2</v>
      </c>
      <c r="I333" s="428"/>
      <c r="J333" s="428"/>
      <c r="K333" s="428"/>
      <c r="L333" s="428"/>
      <c r="M333" s="428"/>
      <c r="N333" s="390">
        <f>C333*E333*H333</f>
        <v>0</v>
      </c>
      <c r="O333" s="433"/>
      <c r="P333" s="860"/>
    </row>
    <row r="334" spans="1:16" ht="15.75" customHeight="1">
      <c r="A334" s="430"/>
      <c r="B334" s="1071" t="s">
        <v>1466</v>
      </c>
      <c r="C334" s="428">
        <f>C281</f>
        <v>0</v>
      </c>
      <c r="D334" s="428"/>
      <c r="E334" s="428"/>
      <c r="F334" s="428"/>
      <c r="G334" s="428"/>
      <c r="H334" s="428"/>
      <c r="I334" s="428"/>
      <c r="J334" s="428"/>
      <c r="K334" s="428"/>
      <c r="L334" s="428"/>
      <c r="M334" s="428"/>
      <c r="N334" s="390"/>
      <c r="O334" s="433"/>
      <c r="P334" s="860"/>
    </row>
    <row r="335" spans="1:16" ht="15.75" customHeight="1">
      <c r="A335" s="430"/>
      <c r="B335" s="458" t="s">
        <v>226</v>
      </c>
      <c r="C335" s="428">
        <v>10</v>
      </c>
      <c r="D335" s="428"/>
      <c r="E335" s="428">
        <f>E333</f>
        <v>0.45</v>
      </c>
      <c r="F335" s="428"/>
      <c r="G335" s="428"/>
      <c r="H335" s="428">
        <f>H333</f>
        <v>2</v>
      </c>
      <c r="I335" s="428"/>
      <c r="J335" s="428"/>
      <c r="K335" s="428"/>
      <c r="L335" s="428"/>
      <c r="M335" s="428"/>
      <c r="N335" s="390"/>
      <c r="O335" s="433"/>
      <c r="P335" s="860"/>
    </row>
    <row r="336" spans="1:16" ht="15.75" customHeight="1">
      <c r="A336" s="430"/>
      <c r="B336" s="458" t="s">
        <v>227</v>
      </c>
      <c r="C336" s="428">
        <v>15</v>
      </c>
      <c r="D336" s="428"/>
      <c r="E336" s="428">
        <f>E335</f>
        <v>0.45</v>
      </c>
      <c r="F336" s="428"/>
      <c r="G336" s="428"/>
      <c r="H336" s="428">
        <f>H335</f>
        <v>2</v>
      </c>
      <c r="I336" s="428"/>
      <c r="J336" s="428"/>
      <c r="K336" s="428"/>
      <c r="L336" s="428"/>
      <c r="M336" s="428"/>
      <c r="N336" s="390"/>
      <c r="O336" s="433"/>
      <c r="P336" s="860"/>
    </row>
    <row r="337" spans="1:16" ht="15.75" customHeight="1">
      <c r="A337" s="430"/>
      <c r="B337" s="1071" t="s">
        <v>1467</v>
      </c>
      <c r="C337" s="428">
        <f>C284</f>
        <v>0</v>
      </c>
      <c r="D337" s="428"/>
      <c r="E337" s="428"/>
      <c r="F337" s="428"/>
      <c r="G337" s="428"/>
      <c r="H337" s="428"/>
      <c r="I337" s="428"/>
      <c r="J337" s="428"/>
      <c r="K337" s="428"/>
      <c r="L337" s="428"/>
      <c r="M337" s="428"/>
      <c r="N337" s="390"/>
      <c r="O337" s="433"/>
      <c r="P337" s="860"/>
    </row>
    <row r="338" spans="1:16" ht="15.75" customHeight="1">
      <c r="A338" s="430"/>
      <c r="B338" s="458" t="s">
        <v>226</v>
      </c>
      <c r="C338" s="428">
        <v>0</v>
      </c>
      <c r="D338" s="428"/>
      <c r="E338" s="428">
        <f>E336</f>
        <v>0.45</v>
      </c>
      <c r="F338" s="428"/>
      <c r="G338" s="428"/>
      <c r="H338" s="428">
        <f>H336</f>
        <v>2</v>
      </c>
      <c r="I338" s="428"/>
      <c r="J338" s="428"/>
      <c r="K338" s="428"/>
      <c r="L338" s="428"/>
      <c r="M338" s="428"/>
      <c r="N338" s="390">
        <f>C338*E338*H338</f>
        <v>0</v>
      </c>
      <c r="O338" s="433"/>
      <c r="P338" s="860"/>
    </row>
    <row r="339" spans="1:16" ht="15.75" customHeight="1">
      <c r="A339" s="430"/>
      <c r="B339" s="458" t="s">
        <v>227</v>
      </c>
      <c r="C339" s="428">
        <v>0</v>
      </c>
      <c r="D339" s="428"/>
      <c r="E339" s="428">
        <f>E338</f>
        <v>0.45</v>
      </c>
      <c r="F339" s="428"/>
      <c r="G339" s="428"/>
      <c r="H339" s="428">
        <f>H338</f>
        <v>2</v>
      </c>
      <c r="I339" s="428"/>
      <c r="J339" s="428"/>
      <c r="K339" s="428"/>
      <c r="L339" s="428"/>
      <c r="M339" s="428"/>
      <c r="N339" s="390">
        <f>C339*E339*H339</f>
        <v>0</v>
      </c>
      <c r="O339" s="433"/>
      <c r="P339" s="860"/>
    </row>
    <row r="340" spans="1:16" ht="15.75" customHeight="1">
      <c r="A340" s="430"/>
      <c r="B340" s="1071" t="s">
        <v>1468</v>
      </c>
      <c r="C340" s="428">
        <f>C287</f>
        <v>0</v>
      </c>
      <c r="D340" s="428"/>
      <c r="E340" s="428"/>
      <c r="F340" s="428"/>
      <c r="G340" s="428"/>
      <c r="H340" s="428"/>
      <c r="I340" s="428"/>
      <c r="J340" s="428"/>
      <c r="K340" s="428"/>
      <c r="L340" s="428"/>
      <c r="M340" s="428"/>
      <c r="N340" s="390"/>
      <c r="O340" s="433"/>
      <c r="P340" s="860"/>
    </row>
    <row r="341" spans="1:16" ht="15.75" customHeight="1">
      <c r="A341" s="430"/>
      <c r="B341" s="458" t="s">
        <v>226</v>
      </c>
      <c r="C341" s="428">
        <f>C288</f>
        <v>15</v>
      </c>
      <c r="D341" s="428"/>
      <c r="E341" s="428">
        <f>E339</f>
        <v>0.45</v>
      </c>
      <c r="F341" s="428"/>
      <c r="G341" s="428"/>
      <c r="H341" s="428">
        <f>H339</f>
        <v>2</v>
      </c>
      <c r="I341" s="428"/>
      <c r="J341" s="428"/>
      <c r="K341" s="428"/>
      <c r="L341" s="428"/>
      <c r="M341" s="428"/>
      <c r="N341" s="390">
        <f>C341*E341*H341</f>
        <v>13.5</v>
      </c>
      <c r="O341" s="433"/>
      <c r="P341" s="860"/>
    </row>
    <row r="342" spans="1:16" ht="15.75" customHeight="1">
      <c r="A342" s="430"/>
      <c r="B342" s="458" t="s">
        <v>227</v>
      </c>
      <c r="C342" s="428">
        <f>C289</f>
        <v>8</v>
      </c>
      <c r="D342" s="428"/>
      <c r="E342" s="428">
        <f>E341</f>
        <v>0.45</v>
      </c>
      <c r="F342" s="428"/>
      <c r="G342" s="428"/>
      <c r="H342" s="428">
        <f>H341</f>
        <v>2</v>
      </c>
      <c r="I342" s="428"/>
      <c r="J342" s="428"/>
      <c r="K342" s="428"/>
      <c r="L342" s="428"/>
      <c r="M342" s="428"/>
      <c r="N342" s="390">
        <f>C342*E342*H342</f>
        <v>7.2</v>
      </c>
      <c r="O342" s="433"/>
      <c r="P342" s="860"/>
    </row>
    <row r="343" spans="1:16" ht="15.75" customHeight="1">
      <c r="A343" s="430"/>
      <c r="B343" s="1071" t="s">
        <v>1469</v>
      </c>
      <c r="C343" s="428">
        <f>C290</f>
        <v>0</v>
      </c>
      <c r="D343" s="428"/>
      <c r="E343" s="428"/>
      <c r="F343" s="428"/>
      <c r="G343" s="428"/>
      <c r="H343" s="428"/>
      <c r="I343" s="428"/>
      <c r="J343" s="428"/>
      <c r="K343" s="428"/>
      <c r="L343" s="428"/>
      <c r="M343" s="428"/>
      <c r="N343" s="390"/>
      <c r="O343" s="433"/>
      <c r="P343" s="860"/>
    </row>
    <row r="344" spans="1:16" ht="15.75" customHeight="1">
      <c r="A344" s="430"/>
      <c r="B344" s="458" t="s">
        <v>226</v>
      </c>
      <c r="C344" s="428">
        <v>10</v>
      </c>
      <c r="D344" s="428"/>
      <c r="E344" s="428">
        <f>E342</f>
        <v>0.45</v>
      </c>
      <c r="F344" s="428"/>
      <c r="G344" s="428"/>
      <c r="H344" s="428">
        <f>H342</f>
        <v>2</v>
      </c>
      <c r="I344" s="428"/>
      <c r="J344" s="428"/>
      <c r="K344" s="428"/>
      <c r="L344" s="428"/>
      <c r="M344" s="428"/>
      <c r="N344" s="428">
        <f>C344*E344*H344</f>
        <v>9</v>
      </c>
      <c r="O344" s="433"/>
      <c r="P344" s="860"/>
    </row>
    <row r="345" spans="1:16" ht="15.75" customHeight="1">
      <c r="A345" s="430"/>
      <c r="B345" s="458" t="s">
        <v>227</v>
      </c>
      <c r="C345" s="428">
        <f>C292</f>
        <v>8</v>
      </c>
      <c r="D345" s="428"/>
      <c r="E345" s="428">
        <f>E344</f>
        <v>0.45</v>
      </c>
      <c r="F345" s="428"/>
      <c r="G345" s="428"/>
      <c r="H345" s="428">
        <f>H344</f>
        <v>2</v>
      </c>
      <c r="I345" s="428"/>
      <c r="J345" s="428"/>
      <c r="K345" s="428"/>
      <c r="L345" s="428"/>
      <c r="M345" s="428"/>
      <c r="N345" s="869">
        <f>C345*E345*H345</f>
        <v>7.2</v>
      </c>
      <c r="O345" s="433"/>
      <c r="P345" s="860"/>
    </row>
    <row r="346" spans="1:16" ht="15.75" customHeight="1">
      <c r="A346" s="430"/>
      <c r="B346" s="46"/>
      <c r="C346" s="428"/>
      <c r="D346" s="428"/>
      <c r="E346" s="428"/>
      <c r="F346" s="428"/>
      <c r="G346" s="428"/>
      <c r="H346" s="428"/>
      <c r="I346" s="428"/>
      <c r="J346" s="428"/>
      <c r="K346" s="428"/>
      <c r="L346" s="428"/>
      <c r="M346" s="428"/>
      <c r="N346" s="390">
        <f>SUM(N296:N345)</f>
        <v>150.30000000000001</v>
      </c>
      <c r="O346" s="1076" t="s">
        <v>89</v>
      </c>
      <c r="P346" s="860">
        <f>ROUND((N346),2)</f>
        <v>150.30000000000001</v>
      </c>
    </row>
    <row r="347" spans="1:16" ht="15.75" customHeight="1">
      <c r="A347" s="430" t="s">
        <v>121</v>
      </c>
      <c r="B347" s="46" t="s">
        <v>193</v>
      </c>
      <c r="C347" s="428"/>
      <c r="D347" s="428"/>
      <c r="E347" s="428"/>
      <c r="F347" s="428"/>
      <c r="G347" s="428"/>
      <c r="H347" s="428"/>
      <c r="I347" s="428"/>
      <c r="J347" s="428"/>
      <c r="K347" s="428"/>
      <c r="L347" s="428"/>
      <c r="M347" s="428"/>
      <c r="N347" s="390"/>
      <c r="O347" s="433"/>
      <c r="P347" s="860"/>
    </row>
    <row r="348" spans="1:16" ht="15.75" customHeight="1">
      <c r="A348" s="430"/>
      <c r="B348" s="1071" t="s">
        <v>1452</v>
      </c>
      <c r="C348" s="428"/>
      <c r="D348" s="428"/>
      <c r="E348" s="428"/>
      <c r="F348" s="428"/>
      <c r="G348" s="428"/>
      <c r="H348" s="428"/>
      <c r="I348" s="428"/>
      <c r="J348" s="428"/>
      <c r="K348" s="428"/>
      <c r="L348" s="428"/>
      <c r="M348" s="428"/>
      <c r="N348" s="390"/>
      <c r="O348" s="433"/>
      <c r="P348" s="860"/>
    </row>
    <row r="349" spans="1:16" ht="15.75" customHeight="1">
      <c r="A349" s="430"/>
      <c r="B349" s="458" t="s">
        <v>226</v>
      </c>
      <c r="C349" s="428">
        <f t="shared" ref="C349:C380" si="6">C296</f>
        <v>0</v>
      </c>
      <c r="D349" s="428">
        <v>0.5</v>
      </c>
      <c r="E349" s="428"/>
      <c r="F349" s="428"/>
      <c r="G349" s="428"/>
      <c r="H349" s="428">
        <v>2</v>
      </c>
      <c r="I349" s="428"/>
      <c r="J349" s="428"/>
      <c r="K349" s="428"/>
      <c r="L349" s="428"/>
      <c r="M349" s="428"/>
      <c r="N349" s="390">
        <f>C349*D349*H349</f>
        <v>0</v>
      </c>
      <c r="O349" s="433"/>
      <c r="P349" s="860"/>
    </row>
    <row r="350" spans="1:16" ht="15.75" customHeight="1">
      <c r="A350" s="430"/>
      <c r="B350" s="458" t="s">
        <v>227</v>
      </c>
      <c r="C350" s="428">
        <f t="shared" si="6"/>
        <v>0</v>
      </c>
      <c r="D350" s="428">
        <f>D349</f>
        <v>0.5</v>
      </c>
      <c r="E350" s="428"/>
      <c r="F350" s="428"/>
      <c r="G350" s="428"/>
      <c r="H350" s="428">
        <f>H349</f>
        <v>2</v>
      </c>
      <c r="I350" s="428"/>
      <c r="J350" s="428"/>
      <c r="K350" s="428"/>
      <c r="L350" s="428"/>
      <c r="M350" s="428"/>
      <c r="N350" s="390">
        <f>C350*D350*H350</f>
        <v>0</v>
      </c>
      <c r="O350" s="433"/>
      <c r="P350" s="860"/>
    </row>
    <row r="351" spans="1:16" ht="15.75" customHeight="1">
      <c r="A351" s="430"/>
      <c r="B351" s="1071" t="s">
        <v>1453</v>
      </c>
      <c r="C351" s="428">
        <f t="shared" si="6"/>
        <v>0</v>
      </c>
      <c r="D351" s="428"/>
      <c r="E351" s="428"/>
      <c r="F351" s="428"/>
      <c r="G351" s="428"/>
      <c r="H351" s="428"/>
      <c r="I351" s="428"/>
      <c r="J351" s="428"/>
      <c r="K351" s="428"/>
      <c r="L351" s="428"/>
      <c r="M351" s="428"/>
      <c r="N351" s="390"/>
      <c r="O351" s="433"/>
      <c r="P351" s="860"/>
    </row>
    <row r="352" spans="1:16" ht="15.75" customHeight="1">
      <c r="A352" s="430"/>
      <c r="B352" s="458" t="s">
        <v>226</v>
      </c>
      <c r="C352" s="428">
        <f t="shared" si="6"/>
        <v>0</v>
      </c>
      <c r="D352" s="428">
        <f>D350</f>
        <v>0.5</v>
      </c>
      <c r="E352" s="428"/>
      <c r="F352" s="428"/>
      <c r="G352" s="428"/>
      <c r="H352" s="428">
        <f>H350</f>
        <v>2</v>
      </c>
      <c r="I352" s="428"/>
      <c r="J352" s="428"/>
      <c r="K352" s="428"/>
      <c r="L352" s="428"/>
      <c r="M352" s="428"/>
      <c r="N352" s="390"/>
      <c r="O352" s="433"/>
      <c r="P352" s="860"/>
    </row>
    <row r="353" spans="1:16" ht="15.75" customHeight="1">
      <c r="A353" s="430"/>
      <c r="B353" s="458" t="s">
        <v>227</v>
      </c>
      <c r="C353" s="428">
        <f t="shared" si="6"/>
        <v>0</v>
      </c>
      <c r="D353" s="428">
        <f>D352</f>
        <v>0.5</v>
      </c>
      <c r="E353" s="428"/>
      <c r="F353" s="428"/>
      <c r="G353" s="428"/>
      <c r="H353" s="428">
        <f>H352</f>
        <v>2</v>
      </c>
      <c r="I353" s="428"/>
      <c r="J353" s="428"/>
      <c r="K353" s="428"/>
      <c r="L353" s="428"/>
      <c r="M353" s="428"/>
      <c r="N353" s="390"/>
      <c r="O353" s="433"/>
      <c r="P353" s="860"/>
    </row>
    <row r="354" spans="1:16" ht="15.75" customHeight="1">
      <c r="A354" s="430"/>
      <c r="B354" s="1071" t="s">
        <v>1454</v>
      </c>
      <c r="C354" s="428">
        <f t="shared" si="6"/>
        <v>0</v>
      </c>
      <c r="D354" s="428"/>
      <c r="E354" s="428"/>
      <c r="F354" s="428"/>
      <c r="G354" s="428"/>
      <c r="H354" s="428"/>
      <c r="I354" s="428"/>
      <c r="J354" s="428"/>
      <c r="K354" s="428"/>
      <c r="L354" s="428"/>
      <c r="M354" s="428"/>
      <c r="N354" s="390"/>
      <c r="O354" s="433"/>
      <c r="P354" s="860"/>
    </row>
    <row r="355" spans="1:16" ht="15.75" customHeight="1">
      <c r="A355" s="430"/>
      <c r="B355" s="458" t="s">
        <v>226</v>
      </c>
      <c r="C355" s="428">
        <f t="shared" si="6"/>
        <v>15</v>
      </c>
      <c r="D355" s="428">
        <f>D353</f>
        <v>0.5</v>
      </c>
      <c r="E355" s="428"/>
      <c r="F355" s="428"/>
      <c r="G355" s="428"/>
      <c r="H355" s="428">
        <f>H353</f>
        <v>2</v>
      </c>
      <c r="I355" s="428"/>
      <c r="J355" s="428"/>
      <c r="K355" s="428"/>
      <c r="L355" s="428"/>
      <c r="M355" s="428"/>
      <c r="N355" s="390">
        <f>C355*D355*H355</f>
        <v>15</v>
      </c>
      <c r="O355" s="433"/>
      <c r="P355" s="860"/>
    </row>
    <row r="356" spans="1:16" ht="15.75" customHeight="1">
      <c r="A356" s="430"/>
      <c r="B356" s="458" t="s">
        <v>227</v>
      </c>
      <c r="C356" s="428">
        <f t="shared" si="6"/>
        <v>8</v>
      </c>
      <c r="D356" s="428">
        <f>D355</f>
        <v>0.5</v>
      </c>
      <c r="E356" s="428"/>
      <c r="F356" s="428"/>
      <c r="G356" s="428"/>
      <c r="H356" s="428">
        <f>H355</f>
        <v>2</v>
      </c>
      <c r="I356" s="428"/>
      <c r="J356" s="428"/>
      <c r="K356" s="428"/>
      <c r="L356" s="428"/>
      <c r="M356" s="428"/>
      <c r="N356" s="390">
        <f>C356*D356*H356</f>
        <v>8</v>
      </c>
      <c r="O356" s="433"/>
      <c r="P356" s="860"/>
    </row>
    <row r="357" spans="1:16" ht="15.75" customHeight="1">
      <c r="A357" s="430"/>
      <c r="B357" s="1071" t="s">
        <v>1455</v>
      </c>
      <c r="C357" s="428">
        <f t="shared" si="6"/>
        <v>0</v>
      </c>
      <c r="D357" s="428"/>
      <c r="E357" s="428"/>
      <c r="F357" s="428"/>
      <c r="G357" s="428"/>
      <c r="H357" s="428"/>
      <c r="I357" s="428"/>
      <c r="J357" s="428"/>
      <c r="K357" s="428"/>
      <c r="L357" s="428"/>
      <c r="M357" s="428"/>
      <c r="N357" s="390"/>
      <c r="O357" s="433"/>
      <c r="P357" s="860"/>
    </row>
    <row r="358" spans="1:16" ht="15.75" customHeight="1">
      <c r="A358" s="430"/>
      <c r="B358" s="458" t="s">
        <v>226</v>
      </c>
      <c r="C358" s="428">
        <f t="shared" si="6"/>
        <v>0</v>
      </c>
      <c r="D358" s="428">
        <f>D356</f>
        <v>0.5</v>
      </c>
      <c r="E358" s="428"/>
      <c r="F358" s="428"/>
      <c r="G358" s="428"/>
      <c r="H358" s="428">
        <f>H356</f>
        <v>2</v>
      </c>
      <c r="I358" s="428"/>
      <c r="J358" s="428"/>
      <c r="K358" s="428"/>
      <c r="L358" s="428"/>
      <c r="M358" s="428"/>
      <c r="N358" s="390">
        <f>C358*D358*H358</f>
        <v>0</v>
      </c>
      <c r="O358" s="433"/>
      <c r="P358" s="860"/>
    </row>
    <row r="359" spans="1:16" ht="15.75" customHeight="1">
      <c r="A359" s="430"/>
      <c r="B359" s="458" t="s">
        <v>227</v>
      </c>
      <c r="C359" s="428">
        <f t="shared" si="6"/>
        <v>0</v>
      </c>
      <c r="D359" s="428">
        <f>D358</f>
        <v>0.5</v>
      </c>
      <c r="E359" s="428"/>
      <c r="F359" s="428"/>
      <c r="G359" s="428"/>
      <c r="H359" s="428">
        <f>H358</f>
        <v>2</v>
      </c>
      <c r="I359" s="428"/>
      <c r="J359" s="428"/>
      <c r="K359" s="428"/>
      <c r="L359" s="428"/>
      <c r="M359" s="428"/>
      <c r="N359" s="390">
        <f>C359*D359*H359</f>
        <v>0</v>
      </c>
      <c r="O359" s="433"/>
      <c r="P359" s="860"/>
    </row>
    <row r="360" spans="1:16" ht="15.75" customHeight="1">
      <c r="A360" s="430"/>
      <c r="B360" s="1071" t="s">
        <v>1456</v>
      </c>
      <c r="C360" s="428">
        <f t="shared" si="6"/>
        <v>0</v>
      </c>
      <c r="D360" s="428"/>
      <c r="E360" s="428"/>
      <c r="F360" s="428"/>
      <c r="G360" s="428"/>
      <c r="H360" s="428"/>
      <c r="I360" s="428"/>
      <c r="J360" s="428"/>
      <c r="K360" s="428"/>
      <c r="L360" s="428"/>
      <c r="M360" s="428"/>
      <c r="N360" s="390"/>
      <c r="O360" s="433"/>
      <c r="P360" s="860"/>
    </row>
    <row r="361" spans="1:16" ht="15.75" customHeight="1">
      <c r="A361" s="430"/>
      <c r="B361" s="458" t="s">
        <v>226</v>
      </c>
      <c r="C361" s="428">
        <f t="shared" si="6"/>
        <v>30</v>
      </c>
      <c r="D361" s="428">
        <f>D359</f>
        <v>0.5</v>
      </c>
      <c r="E361" s="428"/>
      <c r="F361" s="428"/>
      <c r="G361" s="428"/>
      <c r="H361" s="428">
        <f>H359</f>
        <v>2</v>
      </c>
      <c r="I361" s="428"/>
      <c r="J361" s="428"/>
      <c r="K361" s="428"/>
      <c r="L361" s="428"/>
      <c r="M361" s="428"/>
      <c r="N361" s="390">
        <f>C361*D361*H361</f>
        <v>30</v>
      </c>
      <c r="O361" s="433"/>
      <c r="P361" s="860"/>
    </row>
    <row r="362" spans="1:16" ht="15.75" customHeight="1">
      <c r="A362" s="430"/>
      <c r="B362" s="458" t="s">
        <v>227</v>
      </c>
      <c r="C362" s="428">
        <f t="shared" si="6"/>
        <v>10</v>
      </c>
      <c r="D362" s="428">
        <f>D361</f>
        <v>0.5</v>
      </c>
      <c r="E362" s="428"/>
      <c r="F362" s="428"/>
      <c r="G362" s="428"/>
      <c r="H362" s="428">
        <f>H361</f>
        <v>2</v>
      </c>
      <c r="I362" s="428"/>
      <c r="J362" s="428"/>
      <c r="K362" s="428"/>
      <c r="L362" s="428"/>
      <c r="M362" s="428"/>
      <c r="N362" s="390">
        <f>C362*D362*H362</f>
        <v>10</v>
      </c>
      <c r="O362" s="433"/>
      <c r="P362" s="860"/>
    </row>
    <row r="363" spans="1:16" ht="15.75" customHeight="1">
      <c r="A363" s="430"/>
      <c r="B363" s="1071" t="s">
        <v>1457</v>
      </c>
      <c r="C363" s="428">
        <f t="shared" si="6"/>
        <v>0</v>
      </c>
      <c r="D363" s="428"/>
      <c r="E363" s="428"/>
      <c r="F363" s="428"/>
      <c r="G363" s="428"/>
      <c r="H363" s="428"/>
      <c r="I363" s="428"/>
      <c r="J363" s="428"/>
      <c r="K363" s="428"/>
      <c r="L363" s="428"/>
      <c r="M363" s="428"/>
      <c r="N363" s="390"/>
      <c r="O363" s="433"/>
      <c r="P363" s="860"/>
    </row>
    <row r="364" spans="1:16" ht="15.75" customHeight="1">
      <c r="A364" s="430"/>
      <c r="B364" s="458" t="s">
        <v>226</v>
      </c>
      <c r="C364" s="428">
        <f t="shared" si="6"/>
        <v>15</v>
      </c>
      <c r="D364" s="428">
        <f>D362</f>
        <v>0.5</v>
      </c>
      <c r="E364" s="428"/>
      <c r="F364" s="428"/>
      <c r="G364" s="428"/>
      <c r="H364" s="428">
        <f>H362</f>
        <v>2</v>
      </c>
      <c r="I364" s="428"/>
      <c r="J364" s="428"/>
      <c r="K364" s="428"/>
      <c r="L364" s="428"/>
      <c r="M364" s="428"/>
      <c r="N364" s="390">
        <f>C364*D364*H364</f>
        <v>15</v>
      </c>
      <c r="O364" s="433"/>
      <c r="P364" s="860"/>
    </row>
    <row r="365" spans="1:16" ht="15.75" customHeight="1">
      <c r="A365" s="430"/>
      <c r="B365" s="458" t="s">
        <v>227</v>
      </c>
      <c r="C365" s="428">
        <f t="shared" si="6"/>
        <v>10</v>
      </c>
      <c r="D365" s="428">
        <f>D364</f>
        <v>0.5</v>
      </c>
      <c r="E365" s="428"/>
      <c r="F365" s="428"/>
      <c r="G365" s="428"/>
      <c r="H365" s="428">
        <f>H364</f>
        <v>2</v>
      </c>
      <c r="I365" s="428"/>
      <c r="J365" s="428"/>
      <c r="K365" s="428"/>
      <c r="L365" s="428"/>
      <c r="M365" s="428"/>
      <c r="N365" s="390">
        <f>C365*D365*H365</f>
        <v>10</v>
      </c>
      <c r="O365" s="433"/>
      <c r="P365" s="860"/>
    </row>
    <row r="366" spans="1:16" ht="15.75" customHeight="1">
      <c r="A366" s="430"/>
      <c r="B366" s="1071" t="s">
        <v>1458</v>
      </c>
      <c r="C366" s="428">
        <f t="shared" si="6"/>
        <v>0</v>
      </c>
      <c r="D366" s="428"/>
      <c r="E366" s="428"/>
      <c r="F366" s="428"/>
      <c r="G366" s="428"/>
      <c r="H366" s="428"/>
      <c r="I366" s="428"/>
      <c r="J366" s="428"/>
      <c r="K366" s="428"/>
      <c r="L366" s="428"/>
      <c r="M366" s="428"/>
      <c r="N366" s="390"/>
      <c r="O366" s="433"/>
      <c r="P366" s="860"/>
    </row>
    <row r="367" spans="1:16" ht="15.75" customHeight="1">
      <c r="A367" s="430"/>
      <c r="B367" s="458" t="s">
        <v>226</v>
      </c>
      <c r="C367" s="428">
        <f t="shared" si="6"/>
        <v>8</v>
      </c>
      <c r="D367" s="428">
        <f>D365</f>
        <v>0.5</v>
      </c>
      <c r="E367" s="428"/>
      <c r="F367" s="428"/>
      <c r="G367" s="428"/>
      <c r="H367" s="428">
        <f>H365</f>
        <v>2</v>
      </c>
      <c r="I367" s="428"/>
      <c r="J367" s="428"/>
      <c r="K367" s="428"/>
      <c r="L367" s="428"/>
      <c r="M367" s="428"/>
      <c r="N367" s="390">
        <f>C367*D367*H367</f>
        <v>8</v>
      </c>
      <c r="O367" s="433"/>
      <c r="P367" s="860"/>
    </row>
    <row r="368" spans="1:16" ht="15.75" customHeight="1">
      <c r="A368" s="430"/>
      <c r="B368" s="458" t="s">
        <v>227</v>
      </c>
      <c r="C368" s="428">
        <f t="shared" si="6"/>
        <v>6</v>
      </c>
      <c r="D368" s="428">
        <f>D367</f>
        <v>0.5</v>
      </c>
      <c r="E368" s="428"/>
      <c r="F368" s="428"/>
      <c r="G368" s="428"/>
      <c r="H368" s="428">
        <f>H367</f>
        <v>2</v>
      </c>
      <c r="I368" s="428"/>
      <c r="J368" s="428"/>
      <c r="K368" s="428"/>
      <c r="L368" s="428"/>
      <c r="M368" s="428"/>
      <c r="N368" s="390">
        <f>C368*D368*H368</f>
        <v>6</v>
      </c>
      <c r="O368" s="433"/>
      <c r="P368" s="860"/>
    </row>
    <row r="369" spans="1:16" ht="15.75" customHeight="1">
      <c r="A369" s="430"/>
      <c r="B369" s="1071" t="s">
        <v>1459</v>
      </c>
      <c r="C369" s="428">
        <f t="shared" si="6"/>
        <v>0</v>
      </c>
      <c r="D369" s="428"/>
      <c r="E369" s="428"/>
      <c r="F369" s="428"/>
      <c r="G369" s="428"/>
      <c r="H369" s="428"/>
      <c r="I369" s="428"/>
      <c r="J369" s="428"/>
      <c r="K369" s="428"/>
      <c r="L369" s="428"/>
      <c r="M369" s="428"/>
      <c r="N369" s="390"/>
      <c r="O369" s="433"/>
      <c r="P369" s="860"/>
    </row>
    <row r="370" spans="1:16" ht="15.75" customHeight="1">
      <c r="A370" s="430"/>
      <c r="B370" s="458" t="s">
        <v>226</v>
      </c>
      <c r="C370" s="428">
        <f t="shared" si="6"/>
        <v>0</v>
      </c>
      <c r="D370" s="428">
        <f>D368</f>
        <v>0.5</v>
      </c>
      <c r="E370" s="428"/>
      <c r="F370" s="428"/>
      <c r="G370" s="428"/>
      <c r="H370" s="428">
        <f>H368</f>
        <v>2</v>
      </c>
      <c r="I370" s="428"/>
      <c r="J370" s="428"/>
      <c r="K370" s="428"/>
      <c r="L370" s="428"/>
      <c r="M370" s="428"/>
      <c r="N370" s="390">
        <f>C370*D370*H370</f>
        <v>0</v>
      </c>
      <c r="O370" s="433"/>
      <c r="P370" s="860"/>
    </row>
    <row r="371" spans="1:16" ht="15.75" customHeight="1">
      <c r="A371" s="430"/>
      <c r="B371" s="458" t="s">
        <v>227</v>
      </c>
      <c r="C371" s="428">
        <f t="shared" si="6"/>
        <v>0</v>
      </c>
      <c r="D371" s="428">
        <f>D370</f>
        <v>0.5</v>
      </c>
      <c r="E371" s="428"/>
      <c r="F371" s="428"/>
      <c r="G371" s="428"/>
      <c r="H371" s="428">
        <f>H370</f>
        <v>2</v>
      </c>
      <c r="I371" s="428"/>
      <c r="J371" s="428"/>
      <c r="K371" s="428"/>
      <c r="L371" s="428"/>
      <c r="M371" s="428"/>
      <c r="N371" s="390">
        <f>C371*D371*H371</f>
        <v>0</v>
      </c>
      <c r="O371" s="433"/>
      <c r="P371" s="860"/>
    </row>
    <row r="372" spans="1:16" ht="15.75" customHeight="1">
      <c r="A372" s="430"/>
      <c r="B372" s="1071" t="s">
        <v>1460</v>
      </c>
      <c r="C372" s="428">
        <f t="shared" si="6"/>
        <v>0</v>
      </c>
      <c r="D372" s="428"/>
      <c r="E372" s="428"/>
      <c r="F372" s="428"/>
      <c r="G372" s="428"/>
      <c r="H372" s="428"/>
      <c r="I372" s="428"/>
      <c r="J372" s="428"/>
      <c r="K372" s="428"/>
      <c r="L372" s="428"/>
      <c r="M372" s="428"/>
      <c r="N372" s="390"/>
      <c r="O372" s="433"/>
      <c r="P372" s="860"/>
    </row>
    <row r="373" spans="1:16" ht="15.75" customHeight="1">
      <c r="A373" s="430"/>
      <c r="B373" s="458" t="s">
        <v>226</v>
      </c>
      <c r="C373" s="428">
        <f t="shared" si="6"/>
        <v>0</v>
      </c>
      <c r="D373" s="428">
        <f>D371</f>
        <v>0.5</v>
      </c>
      <c r="E373" s="428"/>
      <c r="F373" s="428"/>
      <c r="G373" s="428"/>
      <c r="H373" s="428">
        <f>H371</f>
        <v>2</v>
      </c>
      <c r="I373" s="428"/>
      <c r="J373" s="428"/>
      <c r="K373" s="428"/>
      <c r="L373" s="428"/>
      <c r="M373" s="428"/>
      <c r="N373" s="390"/>
      <c r="O373" s="433"/>
      <c r="P373" s="860"/>
    </row>
    <row r="374" spans="1:16" ht="15.75" customHeight="1">
      <c r="A374" s="430"/>
      <c r="B374" s="458" t="s">
        <v>227</v>
      </c>
      <c r="C374" s="428">
        <f t="shared" si="6"/>
        <v>0</v>
      </c>
      <c r="D374" s="428">
        <f>D373</f>
        <v>0.5</v>
      </c>
      <c r="E374" s="428"/>
      <c r="F374" s="428"/>
      <c r="G374" s="428"/>
      <c r="H374" s="428">
        <f>H373</f>
        <v>2</v>
      </c>
      <c r="I374" s="428"/>
      <c r="J374" s="428"/>
      <c r="K374" s="428"/>
      <c r="L374" s="428"/>
      <c r="M374" s="428"/>
      <c r="N374" s="390"/>
      <c r="O374" s="433"/>
      <c r="P374" s="860"/>
    </row>
    <row r="375" spans="1:16" ht="15.75" customHeight="1">
      <c r="A375" s="430"/>
      <c r="B375" s="1071" t="s">
        <v>1461</v>
      </c>
      <c r="C375" s="428">
        <f t="shared" si="6"/>
        <v>0</v>
      </c>
      <c r="D375" s="428"/>
      <c r="E375" s="428"/>
      <c r="F375" s="428"/>
      <c r="G375" s="428"/>
      <c r="H375" s="428"/>
      <c r="I375" s="428"/>
      <c r="J375" s="428"/>
      <c r="K375" s="428"/>
      <c r="L375" s="428"/>
      <c r="M375" s="428"/>
      <c r="N375" s="390"/>
      <c r="O375" s="433"/>
      <c r="P375" s="860"/>
    </row>
    <row r="376" spans="1:16" ht="15.75" customHeight="1">
      <c r="A376" s="430"/>
      <c r="B376" s="458" t="s">
        <v>226</v>
      </c>
      <c r="C376" s="428">
        <f t="shared" si="6"/>
        <v>5</v>
      </c>
      <c r="D376" s="428">
        <f>D374</f>
        <v>0.5</v>
      </c>
      <c r="E376" s="428"/>
      <c r="F376" s="428"/>
      <c r="G376" s="428"/>
      <c r="H376" s="428">
        <f>H374</f>
        <v>2</v>
      </c>
      <c r="I376" s="428"/>
      <c r="J376" s="428"/>
      <c r="K376" s="428"/>
      <c r="L376" s="428"/>
      <c r="M376" s="428"/>
      <c r="N376" s="390">
        <f>C376*D376*H376</f>
        <v>5</v>
      </c>
      <c r="O376" s="433"/>
      <c r="P376" s="860"/>
    </row>
    <row r="377" spans="1:16" ht="15.75" customHeight="1">
      <c r="A377" s="430"/>
      <c r="B377" s="458" t="s">
        <v>227</v>
      </c>
      <c r="C377" s="428">
        <f t="shared" si="6"/>
        <v>6</v>
      </c>
      <c r="D377" s="428">
        <f>D376</f>
        <v>0.5</v>
      </c>
      <c r="E377" s="428"/>
      <c r="F377" s="428"/>
      <c r="G377" s="428"/>
      <c r="H377" s="428">
        <f>H376</f>
        <v>2</v>
      </c>
      <c r="I377" s="428"/>
      <c r="J377" s="428"/>
      <c r="K377" s="428"/>
      <c r="L377" s="428"/>
      <c r="M377" s="428"/>
      <c r="N377" s="390">
        <f>C377*D377*H377</f>
        <v>6</v>
      </c>
      <c r="O377" s="433"/>
      <c r="P377" s="860"/>
    </row>
    <row r="378" spans="1:16" ht="15.75" customHeight="1">
      <c r="A378" s="430"/>
      <c r="B378" s="1071" t="s">
        <v>1472</v>
      </c>
      <c r="C378" s="428">
        <f t="shared" si="6"/>
        <v>0</v>
      </c>
      <c r="D378" s="428"/>
      <c r="E378" s="428"/>
      <c r="F378" s="428"/>
      <c r="G378" s="428"/>
      <c r="H378" s="428"/>
      <c r="I378" s="428"/>
      <c r="J378" s="428"/>
      <c r="K378" s="428"/>
      <c r="L378" s="428"/>
      <c r="M378" s="428"/>
      <c r="N378" s="390"/>
      <c r="O378" s="433"/>
      <c r="P378" s="860"/>
    </row>
    <row r="379" spans="1:16" ht="15.75" customHeight="1">
      <c r="A379" s="430"/>
      <c r="B379" s="458" t="s">
        <v>226</v>
      </c>
      <c r="C379" s="428">
        <f t="shared" si="6"/>
        <v>0</v>
      </c>
      <c r="D379" s="428">
        <f>D377</f>
        <v>0.5</v>
      </c>
      <c r="E379" s="428"/>
      <c r="F379" s="428"/>
      <c r="G379" s="428"/>
      <c r="H379" s="428">
        <f>H377</f>
        <v>2</v>
      </c>
      <c r="I379" s="428"/>
      <c r="J379" s="428"/>
      <c r="K379" s="428"/>
      <c r="L379" s="428"/>
      <c r="M379" s="428"/>
      <c r="N379" s="390">
        <f>C379*D379*H379</f>
        <v>0</v>
      </c>
      <c r="O379" s="433"/>
      <c r="P379" s="860"/>
    </row>
    <row r="380" spans="1:16" ht="15.75" customHeight="1">
      <c r="A380" s="430"/>
      <c r="B380" s="458" t="s">
        <v>227</v>
      </c>
      <c r="C380" s="428">
        <f t="shared" si="6"/>
        <v>0</v>
      </c>
      <c r="D380" s="428">
        <f>D379</f>
        <v>0.5</v>
      </c>
      <c r="E380" s="428"/>
      <c r="F380" s="428"/>
      <c r="G380" s="428"/>
      <c r="H380" s="428">
        <f>H379</f>
        <v>2</v>
      </c>
      <c r="I380" s="428"/>
      <c r="J380" s="428"/>
      <c r="K380" s="428"/>
      <c r="L380" s="428"/>
      <c r="M380" s="428"/>
      <c r="N380" s="390">
        <f>C380*D380*H380</f>
        <v>0</v>
      </c>
      <c r="O380" s="433"/>
      <c r="P380" s="860"/>
    </row>
    <row r="381" spans="1:16" ht="15.75" customHeight="1">
      <c r="A381" s="430"/>
      <c r="B381" s="1071" t="s">
        <v>1473</v>
      </c>
      <c r="C381" s="428">
        <f t="shared" ref="C381:C398" si="7">C328</f>
        <v>0</v>
      </c>
      <c r="D381" s="428"/>
      <c r="E381" s="428"/>
      <c r="F381" s="428"/>
      <c r="G381" s="428"/>
      <c r="H381" s="428"/>
      <c r="I381" s="428"/>
      <c r="J381" s="428"/>
      <c r="K381" s="428"/>
      <c r="L381" s="428"/>
      <c r="M381" s="428"/>
      <c r="N381" s="390"/>
      <c r="O381" s="433"/>
      <c r="P381" s="860"/>
    </row>
    <row r="382" spans="1:16" ht="15.75" customHeight="1">
      <c r="A382" s="430"/>
      <c r="B382" s="458" t="s">
        <v>226</v>
      </c>
      <c r="C382" s="428">
        <f t="shared" si="7"/>
        <v>8</v>
      </c>
      <c r="D382" s="428">
        <f>D380</f>
        <v>0.5</v>
      </c>
      <c r="E382" s="428"/>
      <c r="F382" s="428"/>
      <c r="G382" s="428"/>
      <c r="H382" s="428">
        <f>H380</f>
        <v>2</v>
      </c>
      <c r="I382" s="428"/>
      <c r="J382" s="428"/>
      <c r="K382" s="428"/>
      <c r="L382" s="428"/>
      <c r="M382" s="428"/>
      <c r="N382" s="390">
        <f>C382*D382*H382</f>
        <v>8</v>
      </c>
      <c r="O382" s="433"/>
      <c r="P382" s="860"/>
    </row>
    <row r="383" spans="1:16" ht="15.75" customHeight="1">
      <c r="A383" s="430"/>
      <c r="B383" s="458" t="s">
        <v>227</v>
      </c>
      <c r="C383" s="428">
        <f t="shared" si="7"/>
        <v>5</v>
      </c>
      <c r="D383" s="428">
        <f>D382</f>
        <v>0.5</v>
      </c>
      <c r="E383" s="428"/>
      <c r="F383" s="428"/>
      <c r="G383" s="428"/>
      <c r="H383" s="428">
        <f>H382</f>
        <v>2</v>
      </c>
      <c r="I383" s="428"/>
      <c r="J383" s="428"/>
      <c r="K383" s="428"/>
      <c r="L383" s="428"/>
      <c r="M383" s="428"/>
      <c r="N383" s="390">
        <f>C383*D383*H383</f>
        <v>5</v>
      </c>
      <c r="O383" s="433"/>
      <c r="P383" s="860"/>
    </row>
    <row r="384" spans="1:16" ht="15.75" customHeight="1">
      <c r="A384" s="430"/>
      <c r="B384" s="1071" t="s">
        <v>1465</v>
      </c>
      <c r="C384" s="428">
        <f t="shared" si="7"/>
        <v>0</v>
      </c>
      <c r="D384" s="428"/>
      <c r="E384" s="428"/>
      <c r="F384" s="428"/>
      <c r="G384" s="428"/>
      <c r="H384" s="428"/>
      <c r="I384" s="428"/>
      <c r="J384" s="428"/>
      <c r="K384" s="428"/>
      <c r="L384" s="428"/>
      <c r="M384" s="428"/>
      <c r="N384" s="390"/>
      <c r="O384" s="433"/>
      <c r="P384" s="860"/>
    </row>
    <row r="385" spans="1:16" ht="15.75" customHeight="1">
      <c r="A385" s="430"/>
      <c r="B385" s="458" t="s">
        <v>226</v>
      </c>
      <c r="C385" s="428">
        <f t="shared" si="7"/>
        <v>0</v>
      </c>
      <c r="D385" s="428">
        <f>D383</f>
        <v>0.5</v>
      </c>
      <c r="E385" s="428"/>
      <c r="F385" s="428"/>
      <c r="G385" s="428"/>
      <c r="H385" s="428">
        <f>H383</f>
        <v>2</v>
      </c>
      <c r="I385" s="428"/>
      <c r="J385" s="428"/>
      <c r="K385" s="428"/>
      <c r="L385" s="428"/>
      <c r="M385" s="428"/>
      <c r="N385" s="390">
        <f>C385*D385*H385</f>
        <v>0</v>
      </c>
      <c r="O385" s="433"/>
      <c r="P385" s="860"/>
    </row>
    <row r="386" spans="1:16" ht="15.75" customHeight="1">
      <c r="A386" s="430"/>
      <c r="B386" s="458" t="s">
        <v>227</v>
      </c>
      <c r="C386" s="428">
        <f t="shared" si="7"/>
        <v>0</v>
      </c>
      <c r="D386" s="428">
        <f>D385</f>
        <v>0.5</v>
      </c>
      <c r="E386" s="428"/>
      <c r="F386" s="428"/>
      <c r="G386" s="428"/>
      <c r="H386" s="428">
        <f>H385</f>
        <v>2</v>
      </c>
      <c r="I386" s="428"/>
      <c r="J386" s="428"/>
      <c r="K386" s="428"/>
      <c r="L386" s="428"/>
      <c r="M386" s="428"/>
      <c r="N386" s="390">
        <f>C386*D386*H386</f>
        <v>0</v>
      </c>
      <c r="O386" s="433"/>
      <c r="P386" s="860"/>
    </row>
    <row r="387" spans="1:16" ht="15.75" customHeight="1">
      <c r="A387" s="430"/>
      <c r="B387" s="1071" t="s">
        <v>1466</v>
      </c>
      <c r="C387" s="428">
        <f t="shared" si="7"/>
        <v>0</v>
      </c>
      <c r="D387" s="428"/>
      <c r="E387" s="428"/>
      <c r="F387" s="428"/>
      <c r="G387" s="428"/>
      <c r="H387" s="428"/>
      <c r="I387" s="428"/>
      <c r="J387" s="428"/>
      <c r="K387" s="428"/>
      <c r="L387" s="428"/>
      <c r="M387" s="428"/>
      <c r="N387" s="390"/>
      <c r="O387" s="433"/>
      <c r="P387" s="860"/>
    </row>
    <row r="388" spans="1:16" ht="15.75" customHeight="1">
      <c r="A388" s="430"/>
      <c r="B388" s="458" t="s">
        <v>226</v>
      </c>
      <c r="C388" s="428">
        <f t="shared" si="7"/>
        <v>10</v>
      </c>
      <c r="D388" s="428">
        <f>D386</f>
        <v>0.5</v>
      </c>
      <c r="E388" s="428"/>
      <c r="F388" s="428"/>
      <c r="G388" s="428"/>
      <c r="H388" s="428">
        <f>H386</f>
        <v>2</v>
      </c>
      <c r="I388" s="428"/>
      <c r="J388" s="428"/>
      <c r="K388" s="428"/>
      <c r="L388" s="428"/>
      <c r="M388" s="428"/>
      <c r="N388" s="390"/>
      <c r="O388" s="433"/>
      <c r="P388" s="860"/>
    </row>
    <row r="389" spans="1:16" ht="15.75" customHeight="1">
      <c r="A389" s="430"/>
      <c r="B389" s="458" t="s">
        <v>227</v>
      </c>
      <c r="C389" s="428">
        <f t="shared" si="7"/>
        <v>15</v>
      </c>
      <c r="D389" s="428">
        <f>D388</f>
        <v>0.5</v>
      </c>
      <c r="E389" s="428"/>
      <c r="F389" s="428"/>
      <c r="G389" s="428"/>
      <c r="H389" s="428">
        <f>H388</f>
        <v>2</v>
      </c>
      <c r="I389" s="428"/>
      <c r="J389" s="428"/>
      <c r="K389" s="428"/>
      <c r="L389" s="428"/>
      <c r="M389" s="428"/>
      <c r="N389" s="390"/>
      <c r="O389" s="433"/>
      <c r="P389" s="860"/>
    </row>
    <row r="390" spans="1:16" ht="15.75" customHeight="1">
      <c r="A390" s="430"/>
      <c r="B390" s="1071" t="s">
        <v>1467</v>
      </c>
      <c r="C390" s="428">
        <f t="shared" si="7"/>
        <v>0</v>
      </c>
      <c r="D390" s="428"/>
      <c r="E390" s="428"/>
      <c r="F390" s="428"/>
      <c r="G390" s="428"/>
      <c r="H390" s="428"/>
      <c r="I390" s="428"/>
      <c r="J390" s="428"/>
      <c r="K390" s="428"/>
      <c r="L390" s="428"/>
      <c r="M390" s="428"/>
      <c r="N390" s="390"/>
      <c r="O390" s="433"/>
      <c r="P390" s="860"/>
    </row>
    <row r="391" spans="1:16" ht="15.75" customHeight="1">
      <c r="A391" s="430"/>
      <c r="B391" s="458" t="s">
        <v>226</v>
      </c>
      <c r="C391" s="428">
        <f t="shared" si="7"/>
        <v>0</v>
      </c>
      <c r="D391" s="428">
        <f>D389</f>
        <v>0.5</v>
      </c>
      <c r="E391" s="428"/>
      <c r="F391" s="428"/>
      <c r="G391" s="428"/>
      <c r="H391" s="428">
        <f>H389</f>
        <v>2</v>
      </c>
      <c r="I391" s="428"/>
      <c r="J391" s="428"/>
      <c r="K391" s="428"/>
      <c r="L391" s="428"/>
      <c r="M391" s="428"/>
      <c r="N391" s="390">
        <f>C391*D391*H391</f>
        <v>0</v>
      </c>
      <c r="O391" s="433"/>
      <c r="P391" s="860"/>
    </row>
    <row r="392" spans="1:16" ht="15.75" customHeight="1">
      <c r="A392" s="430"/>
      <c r="B392" s="458" t="s">
        <v>227</v>
      </c>
      <c r="C392" s="428">
        <f t="shared" si="7"/>
        <v>0</v>
      </c>
      <c r="D392" s="428">
        <f>D391</f>
        <v>0.5</v>
      </c>
      <c r="E392" s="428"/>
      <c r="F392" s="428"/>
      <c r="G392" s="428"/>
      <c r="H392" s="428">
        <f>H391</f>
        <v>2</v>
      </c>
      <c r="I392" s="428"/>
      <c r="J392" s="428"/>
      <c r="K392" s="428"/>
      <c r="L392" s="428"/>
      <c r="M392" s="428"/>
      <c r="N392" s="390">
        <f>C392*D392*H392</f>
        <v>0</v>
      </c>
      <c r="O392" s="433"/>
      <c r="P392" s="860"/>
    </row>
    <row r="393" spans="1:16" ht="15.75" customHeight="1">
      <c r="A393" s="430"/>
      <c r="B393" s="1071" t="s">
        <v>1468</v>
      </c>
      <c r="C393" s="428">
        <f t="shared" si="7"/>
        <v>0</v>
      </c>
      <c r="D393" s="428"/>
      <c r="E393" s="428"/>
      <c r="F393" s="428"/>
      <c r="G393" s="428"/>
      <c r="H393" s="428"/>
      <c r="I393" s="428"/>
      <c r="J393" s="428"/>
      <c r="K393" s="428"/>
      <c r="L393" s="428"/>
      <c r="M393" s="428"/>
      <c r="N393" s="390"/>
      <c r="O393" s="433"/>
      <c r="P393" s="860"/>
    </row>
    <row r="394" spans="1:16" ht="15.75" customHeight="1">
      <c r="A394" s="430"/>
      <c r="B394" s="458" t="s">
        <v>226</v>
      </c>
      <c r="C394" s="428">
        <f t="shared" si="7"/>
        <v>15</v>
      </c>
      <c r="D394" s="428">
        <f>D392</f>
        <v>0.5</v>
      </c>
      <c r="E394" s="428"/>
      <c r="F394" s="428"/>
      <c r="G394" s="428"/>
      <c r="H394" s="428">
        <f>H392</f>
        <v>2</v>
      </c>
      <c r="I394" s="428"/>
      <c r="J394" s="428"/>
      <c r="K394" s="428"/>
      <c r="L394" s="428"/>
      <c r="M394" s="428"/>
      <c r="N394" s="390">
        <f>C394*D394*H394</f>
        <v>15</v>
      </c>
      <c r="O394" s="433"/>
      <c r="P394" s="860"/>
    </row>
    <row r="395" spans="1:16" ht="15.75" customHeight="1">
      <c r="A395" s="430"/>
      <c r="B395" s="458" t="s">
        <v>227</v>
      </c>
      <c r="C395" s="428">
        <f t="shared" si="7"/>
        <v>8</v>
      </c>
      <c r="D395" s="428">
        <f>D394</f>
        <v>0.5</v>
      </c>
      <c r="E395" s="428"/>
      <c r="F395" s="428"/>
      <c r="G395" s="428"/>
      <c r="H395" s="428">
        <f>H394</f>
        <v>2</v>
      </c>
      <c r="I395" s="428"/>
      <c r="J395" s="428"/>
      <c r="K395" s="428"/>
      <c r="L395" s="428"/>
      <c r="M395" s="428"/>
      <c r="N395" s="390">
        <f>C395*D395*H395</f>
        <v>8</v>
      </c>
      <c r="O395" s="433"/>
      <c r="P395" s="860"/>
    </row>
    <row r="396" spans="1:16" ht="15.75" customHeight="1">
      <c r="A396" s="430"/>
      <c r="B396" s="1071" t="s">
        <v>1469</v>
      </c>
      <c r="C396" s="428">
        <f t="shared" si="7"/>
        <v>0</v>
      </c>
      <c r="D396" s="428"/>
      <c r="E396" s="428"/>
      <c r="F396" s="428"/>
      <c r="G396" s="428"/>
      <c r="H396" s="428"/>
      <c r="I396" s="428"/>
      <c r="J396" s="428"/>
      <c r="K396" s="428"/>
      <c r="L396" s="428"/>
      <c r="M396" s="428"/>
      <c r="N396" s="390"/>
      <c r="O396" s="433"/>
      <c r="P396" s="860"/>
    </row>
    <row r="397" spans="1:16" ht="15.75" customHeight="1">
      <c r="A397" s="430"/>
      <c r="B397" s="458" t="s">
        <v>226</v>
      </c>
      <c r="C397" s="428">
        <f t="shared" si="7"/>
        <v>10</v>
      </c>
      <c r="D397" s="428">
        <f>D395</f>
        <v>0.5</v>
      </c>
      <c r="E397" s="428"/>
      <c r="F397" s="428"/>
      <c r="G397" s="428"/>
      <c r="H397" s="428">
        <f>H395</f>
        <v>2</v>
      </c>
      <c r="I397" s="428"/>
      <c r="J397" s="428"/>
      <c r="K397" s="428"/>
      <c r="L397" s="428"/>
      <c r="M397" s="428"/>
      <c r="N397" s="390">
        <f>C397*D397*H397</f>
        <v>10</v>
      </c>
      <c r="O397" s="433"/>
      <c r="P397" s="860"/>
    </row>
    <row r="398" spans="1:16" ht="15.75" customHeight="1">
      <c r="A398" s="430"/>
      <c r="B398" s="458" t="s">
        <v>227</v>
      </c>
      <c r="C398" s="428">
        <f t="shared" si="7"/>
        <v>8</v>
      </c>
      <c r="D398" s="428">
        <f>D397</f>
        <v>0.5</v>
      </c>
      <c r="E398" s="428"/>
      <c r="F398" s="428"/>
      <c r="G398" s="428"/>
      <c r="H398" s="428">
        <f>H397</f>
        <v>2</v>
      </c>
      <c r="I398" s="428"/>
      <c r="J398" s="428"/>
      <c r="K398" s="428"/>
      <c r="L398" s="428"/>
      <c r="M398" s="428"/>
      <c r="N398" s="590">
        <f>C398*D398*H398</f>
        <v>8</v>
      </c>
      <c r="O398" s="433"/>
      <c r="P398" s="860"/>
    </row>
    <row r="399" spans="1:16" ht="15.75" customHeight="1">
      <c r="A399" s="430"/>
      <c r="B399" s="46"/>
      <c r="C399" s="428"/>
      <c r="D399" s="428"/>
      <c r="E399" s="428"/>
      <c r="F399" s="428"/>
      <c r="G399" s="428"/>
      <c r="H399" s="428"/>
      <c r="I399" s="428"/>
      <c r="J399" s="428"/>
      <c r="K399" s="428"/>
      <c r="L399" s="428"/>
      <c r="M399" s="428"/>
      <c r="N399" s="390">
        <f>SUM(N349:N398)</f>
        <v>167</v>
      </c>
      <c r="O399" s="1076" t="s">
        <v>89</v>
      </c>
      <c r="P399" s="860">
        <f>ROUND((N399),2)</f>
        <v>167</v>
      </c>
    </row>
    <row r="400" spans="1:16" ht="15.75" customHeight="1">
      <c r="A400" s="430" t="s">
        <v>142</v>
      </c>
      <c r="B400" s="46" t="s">
        <v>857</v>
      </c>
      <c r="C400" s="428"/>
      <c r="D400" s="428"/>
      <c r="E400" s="428"/>
      <c r="F400" s="428"/>
      <c r="G400" s="428"/>
      <c r="H400" s="428"/>
      <c r="I400" s="428"/>
      <c r="J400" s="428"/>
      <c r="K400" s="428"/>
      <c r="L400" s="428"/>
      <c r="M400" s="428"/>
      <c r="N400" s="390">
        <f>N399</f>
        <v>167</v>
      </c>
      <c r="O400" s="1076" t="s">
        <v>89</v>
      </c>
      <c r="P400" s="860">
        <f>ROUND((N400),2)</f>
        <v>167</v>
      </c>
    </row>
    <row r="401" spans="1:16" ht="15.75" customHeight="1">
      <c r="A401" s="430" t="s">
        <v>217</v>
      </c>
      <c r="B401" s="46" t="s">
        <v>863</v>
      </c>
      <c r="C401" s="428"/>
      <c r="D401" s="428"/>
      <c r="E401" s="428"/>
      <c r="F401" s="428"/>
      <c r="G401" s="428"/>
      <c r="H401" s="428"/>
      <c r="I401" s="428"/>
      <c r="J401" s="428"/>
      <c r="K401" s="428"/>
      <c r="L401" s="428"/>
      <c r="M401" s="428"/>
      <c r="N401" s="390"/>
      <c r="O401" s="433"/>
      <c r="P401" s="860"/>
    </row>
    <row r="402" spans="1:16" ht="15.75" customHeight="1">
      <c r="A402" s="430"/>
      <c r="B402" s="1071" t="s">
        <v>1452</v>
      </c>
      <c r="C402" s="428"/>
      <c r="D402" s="428"/>
      <c r="E402" s="428"/>
      <c r="F402" s="428"/>
      <c r="G402" s="428"/>
      <c r="H402" s="428"/>
      <c r="I402" s="428"/>
      <c r="J402" s="428"/>
      <c r="K402" s="428"/>
      <c r="L402" s="428"/>
      <c r="M402" s="428"/>
      <c r="N402" s="390"/>
      <c r="O402" s="433"/>
      <c r="P402" s="860"/>
    </row>
    <row r="403" spans="1:16" ht="15.75" customHeight="1">
      <c r="A403" s="430"/>
      <c r="B403" s="458" t="s">
        <v>226</v>
      </c>
      <c r="C403" s="428">
        <f t="shared" ref="C403:C434" si="8">C349</f>
        <v>0</v>
      </c>
      <c r="D403" s="428">
        <v>0.25</v>
      </c>
      <c r="E403" s="428">
        <v>0.05</v>
      </c>
      <c r="F403" s="428"/>
      <c r="G403" s="428"/>
      <c r="H403" s="428"/>
      <c r="I403" s="428"/>
      <c r="J403" s="428"/>
      <c r="K403" s="428"/>
      <c r="L403" s="428"/>
      <c r="M403" s="428"/>
      <c r="N403" s="390">
        <f>C403*D403*E403</f>
        <v>0</v>
      </c>
      <c r="O403" s="433"/>
      <c r="P403" s="860"/>
    </row>
    <row r="404" spans="1:16" ht="15.75" customHeight="1">
      <c r="A404" s="430"/>
      <c r="B404" s="458" t="s">
        <v>227</v>
      </c>
      <c r="C404" s="428">
        <f t="shared" si="8"/>
        <v>0</v>
      </c>
      <c r="D404" s="428">
        <f>D403</f>
        <v>0.25</v>
      </c>
      <c r="E404" s="428">
        <f>E403</f>
        <v>0.05</v>
      </c>
      <c r="F404" s="428"/>
      <c r="G404" s="428"/>
      <c r="H404" s="428"/>
      <c r="I404" s="428"/>
      <c r="J404" s="428"/>
      <c r="K404" s="428"/>
      <c r="L404" s="428"/>
      <c r="M404" s="428"/>
      <c r="N404" s="428">
        <f>C404*D404*E404</f>
        <v>0</v>
      </c>
      <c r="O404" s="433"/>
      <c r="P404" s="860"/>
    </row>
    <row r="405" spans="1:16" ht="15.75" customHeight="1">
      <c r="A405" s="430"/>
      <c r="B405" s="1071" t="s">
        <v>1453</v>
      </c>
      <c r="C405" s="428">
        <f t="shared" si="8"/>
        <v>0</v>
      </c>
      <c r="D405" s="428"/>
      <c r="E405" s="428"/>
      <c r="F405" s="428"/>
      <c r="G405" s="428"/>
      <c r="H405" s="428"/>
      <c r="I405" s="428"/>
      <c r="J405" s="428"/>
      <c r="K405" s="428"/>
      <c r="L405" s="428"/>
      <c r="M405" s="428"/>
      <c r="N405" s="390">
        <f>C405*D405*E405</f>
        <v>0</v>
      </c>
      <c r="O405" s="433"/>
      <c r="P405" s="860"/>
    </row>
    <row r="406" spans="1:16" ht="15.75" customHeight="1">
      <c r="A406" s="430"/>
      <c r="B406" s="458" t="s">
        <v>226</v>
      </c>
      <c r="C406" s="428">
        <f t="shared" si="8"/>
        <v>0</v>
      </c>
      <c r="D406" s="428">
        <f>D404</f>
        <v>0.25</v>
      </c>
      <c r="E406" s="428">
        <f>E404</f>
        <v>0.05</v>
      </c>
      <c r="F406" s="428"/>
      <c r="G406" s="428"/>
      <c r="H406" s="428"/>
      <c r="I406" s="428"/>
      <c r="J406" s="428"/>
      <c r="K406" s="428"/>
      <c r="L406" s="428"/>
      <c r="M406" s="428"/>
      <c r="N406" s="390"/>
      <c r="O406" s="433"/>
      <c r="P406" s="860"/>
    </row>
    <row r="407" spans="1:16" ht="15.75" customHeight="1">
      <c r="A407" s="430"/>
      <c r="B407" s="458" t="s">
        <v>227</v>
      </c>
      <c r="C407" s="428">
        <f t="shared" si="8"/>
        <v>0</v>
      </c>
      <c r="D407" s="428">
        <f>D406</f>
        <v>0.25</v>
      </c>
      <c r="E407" s="428">
        <f>E406</f>
        <v>0.05</v>
      </c>
      <c r="F407" s="428"/>
      <c r="G407" s="428"/>
      <c r="H407" s="428"/>
      <c r="I407" s="428"/>
      <c r="J407" s="428"/>
      <c r="K407" s="428"/>
      <c r="L407" s="428"/>
      <c r="M407" s="428"/>
      <c r="N407" s="390"/>
      <c r="O407" s="433"/>
      <c r="P407" s="860"/>
    </row>
    <row r="408" spans="1:16" ht="15.75" customHeight="1">
      <c r="A408" s="430"/>
      <c r="B408" s="1071" t="s">
        <v>1454</v>
      </c>
      <c r="C408" s="428">
        <f t="shared" si="8"/>
        <v>0</v>
      </c>
      <c r="D408" s="428"/>
      <c r="E408" s="428"/>
      <c r="F408" s="428"/>
      <c r="G408" s="428"/>
      <c r="H408" s="428"/>
      <c r="I408" s="428"/>
      <c r="J408" s="428"/>
      <c r="K408" s="428"/>
      <c r="L408" s="428"/>
      <c r="M408" s="428"/>
      <c r="N408" s="390">
        <f t="shared" ref="N408:N426" si="9">C408*D408*E408</f>
        <v>0</v>
      </c>
      <c r="O408" s="433"/>
      <c r="P408" s="860"/>
    </row>
    <row r="409" spans="1:16" ht="15.75" customHeight="1">
      <c r="A409" s="430"/>
      <c r="B409" s="458" t="s">
        <v>226</v>
      </c>
      <c r="C409" s="428">
        <f t="shared" si="8"/>
        <v>15</v>
      </c>
      <c r="D409" s="428">
        <f>D407</f>
        <v>0.25</v>
      </c>
      <c r="E409" s="428">
        <f>E407</f>
        <v>0.05</v>
      </c>
      <c r="F409" s="428"/>
      <c r="G409" s="428"/>
      <c r="H409" s="428"/>
      <c r="I409" s="428"/>
      <c r="J409" s="428"/>
      <c r="K409" s="428"/>
      <c r="L409" s="428"/>
      <c r="M409" s="428"/>
      <c r="N409" s="390">
        <f t="shared" si="9"/>
        <v>0.1875</v>
      </c>
      <c r="O409" s="433"/>
      <c r="P409" s="860"/>
    </row>
    <row r="410" spans="1:16" ht="15.75" customHeight="1">
      <c r="A410" s="430"/>
      <c r="B410" s="458" t="s">
        <v>227</v>
      </c>
      <c r="C410" s="428">
        <f t="shared" si="8"/>
        <v>8</v>
      </c>
      <c r="D410" s="428">
        <f>D409</f>
        <v>0.25</v>
      </c>
      <c r="E410" s="428">
        <f>E409</f>
        <v>0.05</v>
      </c>
      <c r="F410" s="428"/>
      <c r="G410" s="428"/>
      <c r="H410" s="428"/>
      <c r="I410" s="428"/>
      <c r="J410" s="428"/>
      <c r="K410" s="428"/>
      <c r="L410" s="428"/>
      <c r="M410" s="428"/>
      <c r="N410" s="390">
        <f t="shared" si="9"/>
        <v>0.1</v>
      </c>
      <c r="O410" s="433"/>
      <c r="P410" s="860"/>
    </row>
    <row r="411" spans="1:16" ht="15.75" customHeight="1">
      <c r="A411" s="430"/>
      <c r="B411" s="1071" t="s">
        <v>1455</v>
      </c>
      <c r="C411" s="428">
        <f t="shared" si="8"/>
        <v>0</v>
      </c>
      <c r="D411" s="428"/>
      <c r="E411" s="428"/>
      <c r="F411" s="428"/>
      <c r="G411" s="428"/>
      <c r="H411" s="428"/>
      <c r="I411" s="428"/>
      <c r="J411" s="428"/>
      <c r="K411" s="428"/>
      <c r="L411" s="428"/>
      <c r="M411" s="428"/>
      <c r="N411" s="390">
        <f t="shared" si="9"/>
        <v>0</v>
      </c>
      <c r="O411" s="433"/>
      <c r="P411" s="860"/>
    </row>
    <row r="412" spans="1:16" ht="15.75" customHeight="1">
      <c r="A412" s="430"/>
      <c r="B412" s="458" t="s">
        <v>226</v>
      </c>
      <c r="C412" s="428">
        <f t="shared" si="8"/>
        <v>0</v>
      </c>
      <c r="D412" s="428">
        <f>D410</f>
        <v>0.25</v>
      </c>
      <c r="E412" s="428">
        <f>E410</f>
        <v>0.05</v>
      </c>
      <c r="F412" s="428"/>
      <c r="G412" s="428"/>
      <c r="H412" s="428"/>
      <c r="I412" s="428"/>
      <c r="J412" s="428"/>
      <c r="K412" s="428"/>
      <c r="L412" s="428"/>
      <c r="M412" s="428"/>
      <c r="N412" s="390">
        <f t="shared" si="9"/>
        <v>0</v>
      </c>
      <c r="O412" s="433"/>
      <c r="P412" s="860"/>
    </row>
    <row r="413" spans="1:16" ht="15.75" customHeight="1">
      <c r="A413" s="430"/>
      <c r="B413" s="458" t="s">
        <v>227</v>
      </c>
      <c r="C413" s="428">
        <f t="shared" si="8"/>
        <v>0</v>
      </c>
      <c r="D413" s="428">
        <f>D412</f>
        <v>0.25</v>
      </c>
      <c r="E413" s="428">
        <f>E412</f>
        <v>0.05</v>
      </c>
      <c r="F413" s="428"/>
      <c r="G413" s="428"/>
      <c r="H413" s="428"/>
      <c r="I413" s="428"/>
      <c r="J413" s="428"/>
      <c r="K413" s="428"/>
      <c r="L413" s="428"/>
      <c r="M413" s="428"/>
      <c r="N413" s="390">
        <f t="shared" si="9"/>
        <v>0</v>
      </c>
      <c r="O413" s="433"/>
      <c r="P413" s="860"/>
    </row>
    <row r="414" spans="1:16" ht="15.75" customHeight="1">
      <c r="A414" s="430"/>
      <c r="B414" s="1071" t="s">
        <v>1456</v>
      </c>
      <c r="C414" s="428">
        <f t="shared" si="8"/>
        <v>0</v>
      </c>
      <c r="D414" s="428"/>
      <c r="E414" s="428"/>
      <c r="F414" s="428"/>
      <c r="G414" s="428"/>
      <c r="H414" s="428"/>
      <c r="I414" s="428"/>
      <c r="J414" s="428"/>
      <c r="K414" s="428"/>
      <c r="L414" s="428"/>
      <c r="M414" s="428"/>
      <c r="N414" s="390">
        <f t="shared" si="9"/>
        <v>0</v>
      </c>
      <c r="O414" s="433"/>
      <c r="P414" s="860"/>
    </row>
    <row r="415" spans="1:16" ht="15.75" customHeight="1">
      <c r="A415" s="430"/>
      <c r="B415" s="458" t="s">
        <v>226</v>
      </c>
      <c r="C415" s="428">
        <f t="shared" si="8"/>
        <v>30</v>
      </c>
      <c r="D415" s="428">
        <f>D413</f>
        <v>0.25</v>
      </c>
      <c r="E415" s="428">
        <f>E413</f>
        <v>0.05</v>
      </c>
      <c r="F415" s="428"/>
      <c r="G415" s="428"/>
      <c r="H415" s="428"/>
      <c r="I415" s="428"/>
      <c r="J415" s="428"/>
      <c r="K415" s="428"/>
      <c r="L415" s="428"/>
      <c r="M415" s="428"/>
      <c r="N415" s="390">
        <f t="shared" si="9"/>
        <v>0.375</v>
      </c>
      <c r="O415" s="433"/>
      <c r="P415" s="860"/>
    </row>
    <row r="416" spans="1:16" ht="15.75" customHeight="1">
      <c r="A416" s="430"/>
      <c r="B416" s="458" t="s">
        <v>227</v>
      </c>
      <c r="C416" s="428">
        <f t="shared" si="8"/>
        <v>10</v>
      </c>
      <c r="D416" s="428">
        <f>D415</f>
        <v>0.25</v>
      </c>
      <c r="E416" s="428">
        <f>E415</f>
        <v>0.05</v>
      </c>
      <c r="F416" s="428"/>
      <c r="G416" s="428"/>
      <c r="H416" s="428"/>
      <c r="I416" s="428"/>
      <c r="J416" s="428"/>
      <c r="K416" s="428"/>
      <c r="L416" s="428"/>
      <c r="M416" s="428"/>
      <c r="N416" s="390">
        <f t="shared" si="9"/>
        <v>0.125</v>
      </c>
      <c r="O416" s="433"/>
      <c r="P416" s="860"/>
    </row>
    <row r="417" spans="1:16" ht="15.75" customHeight="1">
      <c r="A417" s="430"/>
      <c r="B417" s="1071" t="s">
        <v>1457</v>
      </c>
      <c r="C417" s="428">
        <f t="shared" si="8"/>
        <v>0</v>
      </c>
      <c r="D417" s="428"/>
      <c r="E417" s="428"/>
      <c r="F417" s="428"/>
      <c r="G417" s="428"/>
      <c r="H417" s="428"/>
      <c r="I417" s="428"/>
      <c r="J417" s="428"/>
      <c r="K417" s="428"/>
      <c r="L417" s="428"/>
      <c r="M417" s="428"/>
      <c r="N417" s="390">
        <f t="shared" si="9"/>
        <v>0</v>
      </c>
      <c r="O417" s="433"/>
      <c r="P417" s="860"/>
    </row>
    <row r="418" spans="1:16" ht="15.75" customHeight="1">
      <c r="A418" s="430"/>
      <c r="B418" s="458" t="s">
        <v>226</v>
      </c>
      <c r="C418" s="428">
        <f t="shared" si="8"/>
        <v>15</v>
      </c>
      <c r="D418" s="428">
        <f>D416</f>
        <v>0.25</v>
      </c>
      <c r="E418" s="428">
        <f>E416</f>
        <v>0.05</v>
      </c>
      <c r="F418" s="428"/>
      <c r="G418" s="428"/>
      <c r="H418" s="428"/>
      <c r="I418" s="428"/>
      <c r="J418" s="428"/>
      <c r="K418" s="428"/>
      <c r="L418" s="428"/>
      <c r="M418" s="428"/>
      <c r="N418" s="390">
        <f t="shared" si="9"/>
        <v>0.1875</v>
      </c>
      <c r="O418" s="433"/>
      <c r="P418" s="860"/>
    </row>
    <row r="419" spans="1:16" ht="15.75" customHeight="1">
      <c r="A419" s="430"/>
      <c r="B419" s="458" t="s">
        <v>227</v>
      </c>
      <c r="C419" s="428">
        <f t="shared" si="8"/>
        <v>10</v>
      </c>
      <c r="D419" s="428">
        <f>D418</f>
        <v>0.25</v>
      </c>
      <c r="E419" s="428">
        <f>E418</f>
        <v>0.05</v>
      </c>
      <c r="F419" s="428"/>
      <c r="G419" s="428"/>
      <c r="H419" s="428"/>
      <c r="I419" s="428"/>
      <c r="J419" s="428"/>
      <c r="K419" s="428"/>
      <c r="L419" s="428"/>
      <c r="M419" s="428"/>
      <c r="N419" s="390">
        <f t="shared" si="9"/>
        <v>0.125</v>
      </c>
      <c r="O419" s="433"/>
      <c r="P419" s="860"/>
    </row>
    <row r="420" spans="1:16" ht="15.75" customHeight="1">
      <c r="A420" s="430"/>
      <c r="B420" s="1071" t="s">
        <v>1458</v>
      </c>
      <c r="C420" s="428">
        <f t="shared" si="8"/>
        <v>0</v>
      </c>
      <c r="D420" s="428"/>
      <c r="E420" s="428"/>
      <c r="F420" s="428"/>
      <c r="G420" s="428"/>
      <c r="H420" s="428"/>
      <c r="I420" s="428"/>
      <c r="J420" s="428"/>
      <c r="K420" s="428"/>
      <c r="L420" s="428"/>
      <c r="M420" s="428"/>
      <c r="N420" s="390">
        <f t="shared" si="9"/>
        <v>0</v>
      </c>
      <c r="O420" s="433"/>
      <c r="P420" s="860"/>
    </row>
    <row r="421" spans="1:16" ht="15.75" customHeight="1">
      <c r="A421" s="430"/>
      <c r="B421" s="458" t="s">
        <v>226</v>
      </c>
      <c r="C421" s="428">
        <f t="shared" si="8"/>
        <v>8</v>
      </c>
      <c r="D421" s="428">
        <f>D419</f>
        <v>0.25</v>
      </c>
      <c r="E421" s="428">
        <f>E419</f>
        <v>0.05</v>
      </c>
      <c r="F421" s="428"/>
      <c r="G421" s="428"/>
      <c r="H421" s="428"/>
      <c r="I421" s="428"/>
      <c r="J421" s="428"/>
      <c r="K421" s="428"/>
      <c r="L421" s="428"/>
      <c r="M421" s="428"/>
      <c r="N421" s="390">
        <f t="shared" si="9"/>
        <v>0.1</v>
      </c>
      <c r="O421" s="433"/>
      <c r="P421" s="860"/>
    </row>
    <row r="422" spans="1:16" ht="15.75" customHeight="1">
      <c r="A422" s="430"/>
      <c r="B422" s="458" t="s">
        <v>227</v>
      </c>
      <c r="C422" s="428">
        <f t="shared" si="8"/>
        <v>6</v>
      </c>
      <c r="D422" s="428">
        <f>D421</f>
        <v>0.25</v>
      </c>
      <c r="E422" s="428">
        <f>E421</f>
        <v>0.05</v>
      </c>
      <c r="F422" s="428"/>
      <c r="G422" s="428"/>
      <c r="H422" s="428"/>
      <c r="I422" s="428"/>
      <c r="J422" s="428"/>
      <c r="K422" s="428"/>
      <c r="L422" s="428"/>
      <c r="M422" s="428"/>
      <c r="N422" s="390">
        <f t="shared" si="9"/>
        <v>7.5000000000000011E-2</v>
      </c>
      <c r="O422" s="433"/>
      <c r="P422" s="860"/>
    </row>
    <row r="423" spans="1:16" ht="15.75" customHeight="1">
      <c r="A423" s="430"/>
      <c r="B423" s="1071" t="s">
        <v>1459</v>
      </c>
      <c r="C423" s="428">
        <f t="shared" si="8"/>
        <v>0</v>
      </c>
      <c r="D423" s="428"/>
      <c r="E423" s="428"/>
      <c r="F423" s="428"/>
      <c r="G423" s="428"/>
      <c r="H423" s="428"/>
      <c r="I423" s="428"/>
      <c r="J423" s="428"/>
      <c r="K423" s="428"/>
      <c r="L423" s="428"/>
      <c r="M423" s="428"/>
      <c r="N423" s="390">
        <f t="shared" si="9"/>
        <v>0</v>
      </c>
      <c r="O423" s="433"/>
      <c r="P423" s="860"/>
    </row>
    <row r="424" spans="1:16" ht="15.75" customHeight="1">
      <c r="A424" s="430"/>
      <c r="B424" s="458" t="s">
        <v>226</v>
      </c>
      <c r="C424" s="428">
        <f t="shared" si="8"/>
        <v>0</v>
      </c>
      <c r="D424" s="428">
        <f>D422</f>
        <v>0.25</v>
      </c>
      <c r="E424" s="428">
        <f>E422</f>
        <v>0.05</v>
      </c>
      <c r="F424" s="428"/>
      <c r="G424" s="428"/>
      <c r="H424" s="428"/>
      <c r="I424" s="428"/>
      <c r="J424" s="428"/>
      <c r="K424" s="428"/>
      <c r="L424" s="428"/>
      <c r="M424" s="428"/>
      <c r="N424" s="390">
        <f t="shared" si="9"/>
        <v>0</v>
      </c>
      <c r="O424" s="433"/>
      <c r="P424" s="860"/>
    </row>
    <row r="425" spans="1:16" ht="15.75" customHeight="1">
      <c r="A425" s="430"/>
      <c r="B425" s="458" t="s">
        <v>227</v>
      </c>
      <c r="C425" s="428">
        <f t="shared" si="8"/>
        <v>0</v>
      </c>
      <c r="D425" s="428">
        <f>D424</f>
        <v>0.25</v>
      </c>
      <c r="E425" s="428">
        <f>E424</f>
        <v>0.05</v>
      </c>
      <c r="F425" s="428"/>
      <c r="G425" s="428"/>
      <c r="H425" s="428"/>
      <c r="I425" s="428"/>
      <c r="J425" s="428"/>
      <c r="K425" s="428"/>
      <c r="L425" s="428"/>
      <c r="M425" s="428"/>
      <c r="N425" s="390">
        <f t="shared" si="9"/>
        <v>0</v>
      </c>
      <c r="O425" s="433"/>
      <c r="P425" s="860"/>
    </row>
    <row r="426" spans="1:16" ht="15.75" customHeight="1">
      <c r="A426" s="430"/>
      <c r="B426" s="1071" t="s">
        <v>1460</v>
      </c>
      <c r="C426" s="428">
        <f t="shared" si="8"/>
        <v>0</v>
      </c>
      <c r="D426" s="428"/>
      <c r="E426" s="428"/>
      <c r="F426" s="428"/>
      <c r="G426" s="428"/>
      <c r="H426" s="428"/>
      <c r="I426" s="428"/>
      <c r="J426" s="428"/>
      <c r="K426" s="428"/>
      <c r="L426" s="428"/>
      <c r="M426" s="428"/>
      <c r="N426" s="390">
        <f t="shared" si="9"/>
        <v>0</v>
      </c>
      <c r="O426" s="433"/>
      <c r="P426" s="860"/>
    </row>
    <row r="427" spans="1:16" ht="15.75" customHeight="1">
      <c r="A427" s="430"/>
      <c r="B427" s="458" t="s">
        <v>226</v>
      </c>
      <c r="C427" s="428">
        <f t="shared" si="8"/>
        <v>0</v>
      </c>
      <c r="D427" s="428">
        <f>D425</f>
        <v>0.25</v>
      </c>
      <c r="E427" s="428">
        <f>E425</f>
        <v>0.05</v>
      </c>
      <c r="F427" s="428"/>
      <c r="G427" s="428"/>
      <c r="H427" s="428"/>
      <c r="I427" s="428"/>
      <c r="J427" s="428"/>
      <c r="K427" s="428"/>
      <c r="L427" s="428"/>
      <c r="M427" s="428"/>
      <c r="N427" s="390"/>
      <c r="O427" s="433"/>
      <c r="P427" s="860"/>
    </row>
    <row r="428" spans="1:16" ht="15.75" customHeight="1">
      <c r="A428" s="430"/>
      <c r="B428" s="458" t="s">
        <v>227</v>
      </c>
      <c r="C428" s="428">
        <f t="shared" si="8"/>
        <v>0</v>
      </c>
      <c r="D428" s="428">
        <f>D427</f>
        <v>0.25</v>
      </c>
      <c r="E428" s="428">
        <f>E427</f>
        <v>0.05</v>
      </c>
      <c r="F428" s="428"/>
      <c r="G428" s="428"/>
      <c r="H428" s="428"/>
      <c r="I428" s="428"/>
      <c r="J428" s="428"/>
      <c r="K428" s="428"/>
      <c r="L428" s="428"/>
      <c r="M428" s="428"/>
      <c r="N428" s="390"/>
      <c r="O428" s="433"/>
      <c r="P428" s="860"/>
    </row>
    <row r="429" spans="1:16" ht="15.75" customHeight="1">
      <c r="A429" s="430"/>
      <c r="B429" s="1071" t="s">
        <v>1461</v>
      </c>
      <c r="C429" s="428">
        <f t="shared" si="8"/>
        <v>0</v>
      </c>
      <c r="D429" s="428"/>
      <c r="E429" s="428"/>
      <c r="F429" s="428"/>
      <c r="G429" s="428"/>
      <c r="H429" s="428"/>
      <c r="I429" s="428"/>
      <c r="J429" s="428"/>
      <c r="K429" s="428"/>
      <c r="L429" s="428"/>
      <c r="M429" s="428"/>
      <c r="N429" s="390">
        <f t="shared" ref="N429:N441" si="10">C429*D429*E429</f>
        <v>0</v>
      </c>
      <c r="O429" s="433"/>
      <c r="P429" s="860"/>
    </row>
    <row r="430" spans="1:16" ht="15.75" customHeight="1">
      <c r="A430" s="430"/>
      <c r="B430" s="458" t="s">
        <v>226</v>
      </c>
      <c r="C430" s="428">
        <f t="shared" si="8"/>
        <v>5</v>
      </c>
      <c r="D430" s="428">
        <f>D428</f>
        <v>0.25</v>
      </c>
      <c r="E430" s="428">
        <f>E428</f>
        <v>0.05</v>
      </c>
      <c r="F430" s="428"/>
      <c r="G430" s="428"/>
      <c r="H430" s="428"/>
      <c r="I430" s="428"/>
      <c r="J430" s="428"/>
      <c r="K430" s="428"/>
      <c r="L430" s="428"/>
      <c r="M430" s="428"/>
      <c r="N430" s="390">
        <f t="shared" si="10"/>
        <v>6.25E-2</v>
      </c>
      <c r="O430" s="433"/>
      <c r="P430" s="860"/>
    </row>
    <row r="431" spans="1:16" ht="15.75" customHeight="1">
      <c r="A431" s="430"/>
      <c r="B431" s="458" t="s">
        <v>227</v>
      </c>
      <c r="C431" s="428">
        <f t="shared" si="8"/>
        <v>6</v>
      </c>
      <c r="D431" s="428">
        <f>D430</f>
        <v>0.25</v>
      </c>
      <c r="E431" s="428">
        <f>E430</f>
        <v>0.05</v>
      </c>
      <c r="F431" s="428"/>
      <c r="G431" s="428"/>
      <c r="H431" s="428"/>
      <c r="I431" s="428"/>
      <c r="J431" s="428"/>
      <c r="K431" s="428"/>
      <c r="L431" s="428"/>
      <c r="M431" s="428"/>
      <c r="N431" s="390">
        <f t="shared" si="10"/>
        <v>7.5000000000000011E-2</v>
      </c>
      <c r="O431" s="433"/>
      <c r="P431" s="860"/>
    </row>
    <row r="432" spans="1:16" ht="15.75" customHeight="1">
      <c r="A432" s="430"/>
      <c r="B432" s="1071" t="s">
        <v>1472</v>
      </c>
      <c r="C432" s="428">
        <f t="shared" si="8"/>
        <v>0</v>
      </c>
      <c r="D432" s="428"/>
      <c r="E432" s="428"/>
      <c r="F432" s="428"/>
      <c r="G432" s="428"/>
      <c r="H432" s="428"/>
      <c r="I432" s="428"/>
      <c r="J432" s="428"/>
      <c r="K432" s="428"/>
      <c r="L432" s="428"/>
      <c r="M432" s="428"/>
      <c r="N432" s="390">
        <f t="shared" si="10"/>
        <v>0</v>
      </c>
      <c r="O432" s="433"/>
      <c r="P432" s="860"/>
    </row>
    <row r="433" spans="1:16" ht="15.75" customHeight="1">
      <c r="A433" s="430"/>
      <c r="B433" s="458" t="s">
        <v>226</v>
      </c>
      <c r="C433" s="428">
        <f t="shared" si="8"/>
        <v>0</v>
      </c>
      <c r="D433" s="428">
        <f>D431</f>
        <v>0.25</v>
      </c>
      <c r="E433" s="428">
        <f>E431</f>
        <v>0.05</v>
      </c>
      <c r="F433" s="428"/>
      <c r="G433" s="428"/>
      <c r="H433" s="428"/>
      <c r="I433" s="428"/>
      <c r="J433" s="428"/>
      <c r="K433" s="428"/>
      <c r="L433" s="428"/>
      <c r="M433" s="428"/>
      <c r="N433" s="390">
        <f t="shared" si="10"/>
        <v>0</v>
      </c>
      <c r="O433" s="433"/>
      <c r="P433" s="860"/>
    </row>
    <row r="434" spans="1:16" ht="15.75" customHeight="1">
      <c r="A434" s="430"/>
      <c r="B434" s="458" t="s">
        <v>227</v>
      </c>
      <c r="C434" s="428">
        <f t="shared" si="8"/>
        <v>0</v>
      </c>
      <c r="D434" s="428">
        <f>D433</f>
        <v>0.25</v>
      </c>
      <c r="E434" s="428">
        <f>E433</f>
        <v>0.05</v>
      </c>
      <c r="F434" s="428"/>
      <c r="G434" s="428"/>
      <c r="H434" s="428"/>
      <c r="I434" s="428"/>
      <c r="J434" s="428"/>
      <c r="K434" s="428"/>
      <c r="L434" s="428"/>
      <c r="M434" s="428"/>
      <c r="N434" s="390">
        <f t="shared" si="10"/>
        <v>0</v>
      </c>
      <c r="O434" s="433"/>
      <c r="P434" s="860"/>
    </row>
    <row r="435" spans="1:16" ht="15.75" customHeight="1">
      <c r="A435" s="430"/>
      <c r="B435" s="1071" t="s">
        <v>1473</v>
      </c>
      <c r="C435" s="428">
        <f t="shared" ref="C435:C452" si="11">C381</f>
        <v>0</v>
      </c>
      <c r="D435" s="428"/>
      <c r="E435" s="428"/>
      <c r="F435" s="428"/>
      <c r="G435" s="428"/>
      <c r="H435" s="428"/>
      <c r="I435" s="428"/>
      <c r="J435" s="428"/>
      <c r="K435" s="428"/>
      <c r="L435" s="428"/>
      <c r="M435" s="428"/>
      <c r="N435" s="390">
        <f t="shared" si="10"/>
        <v>0</v>
      </c>
      <c r="O435" s="433"/>
      <c r="P435" s="860"/>
    </row>
    <row r="436" spans="1:16" ht="15.75" customHeight="1">
      <c r="A436" s="430"/>
      <c r="B436" s="458" t="s">
        <v>226</v>
      </c>
      <c r="C436" s="428">
        <f t="shared" si="11"/>
        <v>8</v>
      </c>
      <c r="D436" s="428">
        <f>D434</f>
        <v>0.25</v>
      </c>
      <c r="E436" s="428">
        <f>E434</f>
        <v>0.05</v>
      </c>
      <c r="F436" s="428"/>
      <c r="G436" s="428"/>
      <c r="H436" s="428"/>
      <c r="I436" s="428"/>
      <c r="J436" s="428"/>
      <c r="K436" s="428"/>
      <c r="L436" s="428"/>
      <c r="M436" s="428"/>
      <c r="N436" s="390">
        <f t="shared" si="10"/>
        <v>0.1</v>
      </c>
      <c r="O436" s="433"/>
      <c r="P436" s="860"/>
    </row>
    <row r="437" spans="1:16" ht="15.75" customHeight="1">
      <c r="A437" s="430"/>
      <c r="B437" s="458" t="s">
        <v>227</v>
      </c>
      <c r="C437" s="428">
        <f t="shared" si="11"/>
        <v>5</v>
      </c>
      <c r="D437" s="428">
        <f>D436</f>
        <v>0.25</v>
      </c>
      <c r="E437" s="428">
        <f>E436</f>
        <v>0.05</v>
      </c>
      <c r="F437" s="428"/>
      <c r="G437" s="428"/>
      <c r="H437" s="428"/>
      <c r="I437" s="428"/>
      <c r="J437" s="428"/>
      <c r="K437" s="428"/>
      <c r="L437" s="428"/>
      <c r="M437" s="428"/>
      <c r="N437" s="390">
        <f t="shared" si="10"/>
        <v>6.25E-2</v>
      </c>
      <c r="O437" s="433"/>
      <c r="P437" s="860"/>
    </row>
    <row r="438" spans="1:16" ht="15.75" customHeight="1">
      <c r="A438" s="430"/>
      <c r="B438" s="1071" t="s">
        <v>1465</v>
      </c>
      <c r="C438" s="428">
        <f t="shared" si="11"/>
        <v>0</v>
      </c>
      <c r="D438" s="428"/>
      <c r="E438" s="428"/>
      <c r="F438" s="428"/>
      <c r="G438" s="428"/>
      <c r="H438" s="428"/>
      <c r="I438" s="428"/>
      <c r="J438" s="428"/>
      <c r="K438" s="428"/>
      <c r="L438" s="428"/>
      <c r="M438" s="428"/>
      <c r="N438" s="390">
        <f t="shared" si="10"/>
        <v>0</v>
      </c>
      <c r="O438" s="433"/>
      <c r="P438" s="860"/>
    </row>
    <row r="439" spans="1:16" ht="15.75" customHeight="1">
      <c r="A439" s="430"/>
      <c r="B439" s="458" t="s">
        <v>226</v>
      </c>
      <c r="C439" s="428">
        <f t="shared" si="11"/>
        <v>0</v>
      </c>
      <c r="D439" s="428">
        <f>D437</f>
        <v>0.25</v>
      </c>
      <c r="E439" s="428">
        <f>E437</f>
        <v>0.05</v>
      </c>
      <c r="F439" s="428"/>
      <c r="G439" s="428"/>
      <c r="H439" s="428"/>
      <c r="I439" s="428"/>
      <c r="J439" s="428"/>
      <c r="K439" s="428"/>
      <c r="L439" s="428"/>
      <c r="M439" s="428"/>
      <c r="N439" s="390">
        <f t="shared" si="10"/>
        <v>0</v>
      </c>
      <c r="O439" s="433"/>
      <c r="P439" s="860"/>
    </row>
    <row r="440" spans="1:16" ht="15.75" customHeight="1">
      <c r="A440" s="430"/>
      <c r="B440" s="458" t="s">
        <v>227</v>
      </c>
      <c r="C440" s="428">
        <f t="shared" si="11"/>
        <v>0</v>
      </c>
      <c r="D440" s="428">
        <f>D439</f>
        <v>0.25</v>
      </c>
      <c r="E440" s="428">
        <f>E439</f>
        <v>0.05</v>
      </c>
      <c r="F440" s="428"/>
      <c r="G440" s="428"/>
      <c r="H440" s="428"/>
      <c r="I440" s="428"/>
      <c r="J440" s="428"/>
      <c r="K440" s="428"/>
      <c r="L440" s="428"/>
      <c r="M440" s="428"/>
      <c r="N440" s="390">
        <f t="shared" si="10"/>
        <v>0</v>
      </c>
      <c r="O440" s="433"/>
      <c r="P440" s="860"/>
    </row>
    <row r="441" spans="1:16" ht="15.75" customHeight="1">
      <c r="A441" s="430"/>
      <c r="B441" s="1071" t="s">
        <v>1466</v>
      </c>
      <c r="C441" s="428">
        <f t="shared" si="11"/>
        <v>0</v>
      </c>
      <c r="D441" s="428"/>
      <c r="E441" s="428"/>
      <c r="F441" s="428"/>
      <c r="G441" s="428"/>
      <c r="H441" s="428"/>
      <c r="I441" s="428"/>
      <c r="J441" s="428"/>
      <c r="K441" s="428"/>
      <c r="L441" s="428"/>
      <c r="M441" s="428"/>
      <c r="N441" s="390">
        <f t="shared" si="10"/>
        <v>0</v>
      </c>
      <c r="O441" s="433"/>
      <c r="P441" s="860"/>
    </row>
    <row r="442" spans="1:16" ht="15.75" customHeight="1">
      <c r="A442" s="430"/>
      <c r="B442" s="458" t="s">
        <v>226</v>
      </c>
      <c r="C442" s="428">
        <f t="shared" si="11"/>
        <v>10</v>
      </c>
      <c r="D442" s="428">
        <f>D440</f>
        <v>0.25</v>
      </c>
      <c r="E442" s="428">
        <f>E440</f>
        <v>0.05</v>
      </c>
      <c r="F442" s="428"/>
      <c r="G442" s="428"/>
      <c r="H442" s="428"/>
      <c r="I442" s="428"/>
      <c r="J442" s="428"/>
      <c r="K442" s="428"/>
      <c r="L442" s="428"/>
      <c r="M442" s="428"/>
      <c r="N442" s="390"/>
      <c r="O442" s="433"/>
      <c r="P442" s="860"/>
    </row>
    <row r="443" spans="1:16" ht="15.75" customHeight="1">
      <c r="A443" s="430"/>
      <c r="B443" s="458" t="s">
        <v>227</v>
      </c>
      <c r="C443" s="428">
        <f t="shared" si="11"/>
        <v>15</v>
      </c>
      <c r="D443" s="428">
        <f>D442</f>
        <v>0.25</v>
      </c>
      <c r="E443" s="428">
        <f>E442</f>
        <v>0.05</v>
      </c>
      <c r="F443" s="428"/>
      <c r="G443" s="428"/>
      <c r="H443" s="428"/>
      <c r="I443" s="428"/>
      <c r="J443" s="428"/>
      <c r="K443" s="428"/>
      <c r="L443" s="428"/>
      <c r="M443" s="428"/>
      <c r="N443" s="390"/>
      <c r="O443" s="433"/>
      <c r="P443" s="860"/>
    </row>
    <row r="444" spans="1:16" ht="15.75" customHeight="1">
      <c r="A444" s="430"/>
      <c r="B444" s="1071" t="s">
        <v>1467</v>
      </c>
      <c r="C444" s="428">
        <f t="shared" si="11"/>
        <v>0</v>
      </c>
      <c r="D444" s="428"/>
      <c r="E444" s="428"/>
      <c r="F444" s="428"/>
      <c r="G444" s="428"/>
      <c r="H444" s="428"/>
      <c r="I444" s="428"/>
      <c r="J444" s="428"/>
      <c r="K444" s="428"/>
      <c r="L444" s="428"/>
      <c r="M444" s="428"/>
      <c r="N444" s="390">
        <f t="shared" ref="N444:N452" si="12">C444*D444*E444</f>
        <v>0</v>
      </c>
      <c r="O444" s="433"/>
      <c r="P444" s="860"/>
    </row>
    <row r="445" spans="1:16" ht="15.75" customHeight="1">
      <c r="A445" s="430"/>
      <c r="B445" s="458" t="s">
        <v>226</v>
      </c>
      <c r="C445" s="428">
        <f t="shared" si="11"/>
        <v>0</v>
      </c>
      <c r="D445" s="428">
        <f>D443</f>
        <v>0.25</v>
      </c>
      <c r="E445" s="428">
        <f>E443</f>
        <v>0.05</v>
      </c>
      <c r="F445" s="428"/>
      <c r="G445" s="428"/>
      <c r="H445" s="428"/>
      <c r="I445" s="428"/>
      <c r="J445" s="428"/>
      <c r="K445" s="428"/>
      <c r="L445" s="428"/>
      <c r="M445" s="428"/>
      <c r="N445" s="390">
        <f t="shared" si="12"/>
        <v>0</v>
      </c>
      <c r="O445" s="433"/>
      <c r="P445" s="860"/>
    </row>
    <row r="446" spans="1:16" ht="15.75" customHeight="1">
      <c r="A446" s="430"/>
      <c r="B446" s="458" t="s">
        <v>227</v>
      </c>
      <c r="C446" s="428">
        <f t="shared" si="11"/>
        <v>0</v>
      </c>
      <c r="D446" s="428">
        <f>D445</f>
        <v>0.25</v>
      </c>
      <c r="E446" s="428">
        <f>E445</f>
        <v>0.05</v>
      </c>
      <c r="F446" s="428"/>
      <c r="G446" s="428"/>
      <c r="H446" s="428"/>
      <c r="I446" s="428"/>
      <c r="J446" s="428"/>
      <c r="K446" s="428"/>
      <c r="L446" s="428"/>
      <c r="M446" s="428"/>
      <c r="N446" s="390">
        <f t="shared" si="12"/>
        <v>0</v>
      </c>
      <c r="O446" s="433"/>
      <c r="P446" s="860"/>
    </row>
    <row r="447" spans="1:16" ht="15.75" customHeight="1">
      <c r="A447" s="430"/>
      <c r="B447" s="1071" t="s">
        <v>1468</v>
      </c>
      <c r="C447" s="428">
        <f t="shared" si="11"/>
        <v>0</v>
      </c>
      <c r="D447" s="428"/>
      <c r="E447" s="428"/>
      <c r="F447" s="428"/>
      <c r="G447" s="428"/>
      <c r="H447" s="428"/>
      <c r="I447" s="428"/>
      <c r="J447" s="428"/>
      <c r="K447" s="428"/>
      <c r="L447" s="428"/>
      <c r="M447" s="428"/>
      <c r="N447" s="390">
        <f t="shared" si="12"/>
        <v>0</v>
      </c>
      <c r="O447" s="433"/>
      <c r="P447" s="860"/>
    </row>
    <row r="448" spans="1:16" ht="15.75" customHeight="1">
      <c r="A448" s="430"/>
      <c r="B448" s="458" t="s">
        <v>226</v>
      </c>
      <c r="C448" s="428">
        <f t="shared" si="11"/>
        <v>15</v>
      </c>
      <c r="D448" s="428">
        <f>D446</f>
        <v>0.25</v>
      </c>
      <c r="E448" s="428">
        <f>E446</f>
        <v>0.05</v>
      </c>
      <c r="F448" s="428"/>
      <c r="G448" s="428"/>
      <c r="H448" s="428"/>
      <c r="I448" s="428"/>
      <c r="J448" s="428"/>
      <c r="K448" s="428"/>
      <c r="L448" s="428"/>
      <c r="M448" s="428"/>
      <c r="N448" s="390">
        <f t="shared" si="12"/>
        <v>0.1875</v>
      </c>
      <c r="O448" s="433"/>
      <c r="P448" s="860"/>
    </row>
    <row r="449" spans="1:16" ht="15.75" customHeight="1">
      <c r="A449" s="430"/>
      <c r="B449" s="458" t="s">
        <v>227</v>
      </c>
      <c r="C449" s="428">
        <f t="shared" si="11"/>
        <v>8</v>
      </c>
      <c r="D449" s="428">
        <f>D448</f>
        <v>0.25</v>
      </c>
      <c r="E449" s="428">
        <f>E448</f>
        <v>0.05</v>
      </c>
      <c r="F449" s="428"/>
      <c r="G449" s="428"/>
      <c r="H449" s="428"/>
      <c r="I449" s="428"/>
      <c r="J449" s="428"/>
      <c r="K449" s="428"/>
      <c r="L449" s="428"/>
      <c r="M449" s="428"/>
      <c r="N449" s="390">
        <f t="shared" si="12"/>
        <v>0.1</v>
      </c>
      <c r="O449" s="433"/>
      <c r="P449" s="860"/>
    </row>
    <row r="450" spans="1:16" ht="15.75" customHeight="1">
      <c r="A450" s="430"/>
      <c r="B450" s="1071" t="s">
        <v>1469</v>
      </c>
      <c r="C450" s="428">
        <f t="shared" si="11"/>
        <v>0</v>
      </c>
      <c r="D450" s="428"/>
      <c r="E450" s="428"/>
      <c r="F450" s="428"/>
      <c r="G450" s="428"/>
      <c r="H450" s="428"/>
      <c r="I450" s="428"/>
      <c r="J450" s="428"/>
      <c r="K450" s="428"/>
      <c r="L450" s="428"/>
      <c r="M450" s="428"/>
      <c r="N450" s="390">
        <f t="shared" si="12"/>
        <v>0</v>
      </c>
      <c r="O450" s="433"/>
      <c r="P450" s="860"/>
    </row>
    <row r="451" spans="1:16" ht="15.75" customHeight="1">
      <c r="A451" s="430"/>
      <c r="B451" s="458" t="s">
        <v>226</v>
      </c>
      <c r="C451" s="428">
        <f t="shared" si="11"/>
        <v>10</v>
      </c>
      <c r="D451" s="428">
        <f>D449</f>
        <v>0.25</v>
      </c>
      <c r="E451" s="428">
        <f>E449</f>
        <v>0.05</v>
      </c>
      <c r="F451" s="428"/>
      <c r="G451" s="428"/>
      <c r="H451" s="428"/>
      <c r="I451" s="428"/>
      <c r="J451" s="428"/>
      <c r="K451" s="428"/>
      <c r="L451" s="428"/>
      <c r="M451" s="428"/>
      <c r="N451" s="390">
        <f t="shared" si="12"/>
        <v>0.125</v>
      </c>
      <c r="O451" s="433"/>
      <c r="P451" s="860"/>
    </row>
    <row r="452" spans="1:16" ht="15.75" customHeight="1">
      <c r="A452" s="430"/>
      <c r="B452" s="458" t="s">
        <v>227</v>
      </c>
      <c r="C452" s="428">
        <f t="shared" si="11"/>
        <v>8</v>
      </c>
      <c r="D452" s="428">
        <f>D451</f>
        <v>0.25</v>
      </c>
      <c r="E452" s="428">
        <f>E451</f>
        <v>0.05</v>
      </c>
      <c r="F452" s="428"/>
      <c r="G452" s="428"/>
      <c r="H452" s="428"/>
      <c r="I452" s="428"/>
      <c r="J452" s="428"/>
      <c r="K452" s="428"/>
      <c r="L452" s="428"/>
      <c r="M452" s="428"/>
      <c r="N452" s="869">
        <f t="shared" si="12"/>
        <v>0.1</v>
      </c>
      <c r="O452" s="433"/>
      <c r="P452" s="860"/>
    </row>
    <row r="453" spans="1:16" ht="15.75" customHeight="1">
      <c r="A453" s="430"/>
      <c r="B453" s="46"/>
      <c r="C453" s="428"/>
      <c r="D453" s="428"/>
      <c r="E453" s="428"/>
      <c r="F453" s="428"/>
      <c r="G453" s="428"/>
      <c r="H453" s="428"/>
      <c r="I453" s="428"/>
      <c r="J453" s="428"/>
      <c r="K453" s="428"/>
      <c r="L453" s="428"/>
      <c r="M453" s="428"/>
      <c r="N453" s="390">
        <f>SUM(N403:N452)</f>
        <v>2.0875000000000004</v>
      </c>
      <c r="O453" s="362" t="s">
        <v>103</v>
      </c>
      <c r="P453" s="860">
        <f>ROUND((N453),2)</f>
        <v>2.09</v>
      </c>
    </row>
    <row r="454" spans="1:16" s="18" customFormat="1" ht="15.75" customHeight="1">
      <c r="A454" s="1077"/>
      <c r="B454" s="46"/>
      <c r="C454" s="956"/>
      <c r="D454" s="956"/>
      <c r="E454" s="956"/>
      <c r="F454" s="956"/>
      <c r="G454" s="956"/>
      <c r="H454" s="956"/>
      <c r="I454" s="956"/>
      <c r="J454" s="956"/>
      <c r="K454" s="956"/>
      <c r="L454" s="956"/>
      <c r="M454" s="956"/>
      <c r="N454" s="1078"/>
      <c r="O454" s="840"/>
      <c r="P454" s="1063"/>
    </row>
    <row r="455" spans="1:16" ht="15.75" customHeight="1">
      <c r="A455" s="425" t="s">
        <v>433</v>
      </c>
      <c r="B455" s="446" t="s">
        <v>1474</v>
      </c>
      <c r="C455" s="1079" t="s">
        <v>1475</v>
      </c>
      <c r="D455" s="1080">
        <v>4</v>
      </c>
      <c r="E455" s="1080" t="s">
        <v>10</v>
      </c>
      <c r="F455" s="1070"/>
      <c r="G455" s="1070"/>
      <c r="H455" s="71"/>
      <c r="I455" s="71"/>
      <c r="J455" s="71"/>
      <c r="K455" s="71"/>
      <c r="L455" s="71"/>
      <c r="M455" s="71"/>
      <c r="N455" s="71"/>
      <c r="O455" s="71"/>
      <c r="P455" s="860"/>
    </row>
    <row r="456" spans="1:16" ht="15.75" customHeight="1">
      <c r="A456" s="425"/>
      <c r="B456" s="926" t="str">
        <f>B6</f>
        <v>Panjang Saluran Akses Jalan Masuk</v>
      </c>
      <c r="C456" s="1081"/>
      <c r="D456" s="1081"/>
      <c r="E456" s="1081"/>
      <c r="F456" s="1081"/>
      <c r="G456" s="1081"/>
      <c r="H456" s="1081"/>
      <c r="I456" s="71"/>
      <c r="J456" s="71"/>
      <c r="K456" s="71"/>
      <c r="L456" s="71"/>
      <c r="M456" s="71"/>
      <c r="N456" s="1075"/>
      <c r="O456" s="71"/>
      <c r="P456" s="860"/>
    </row>
    <row r="457" spans="1:16" ht="15.75" customHeight="1">
      <c r="A457" s="425"/>
      <c r="B457" s="682" t="str">
        <f>B7</f>
        <v>sisi kiri</v>
      </c>
      <c r="C457" s="1081">
        <f>(C7+D7)/2</f>
        <v>0</v>
      </c>
      <c r="D457" s="1081"/>
      <c r="E457" s="1081"/>
      <c r="F457" s="1081"/>
      <c r="G457" s="1081"/>
      <c r="H457" s="1081">
        <v>2</v>
      </c>
      <c r="I457" s="71"/>
      <c r="J457" s="71"/>
      <c r="K457" s="71"/>
      <c r="L457" s="71"/>
      <c r="M457" s="71"/>
      <c r="N457" s="1075">
        <f t="shared" ref="N457:N467" si="13">C457*H457</f>
        <v>0</v>
      </c>
      <c r="O457" s="71"/>
      <c r="P457" s="860"/>
    </row>
    <row r="458" spans="1:16" ht="15.75" customHeight="1">
      <c r="A458" s="425"/>
      <c r="B458" s="682"/>
      <c r="C458" s="1081">
        <v>5</v>
      </c>
      <c r="D458" s="1081"/>
      <c r="E458" s="1081"/>
      <c r="F458" s="1081"/>
      <c r="G458" s="1081"/>
      <c r="H458" s="1081">
        <f>H457</f>
        <v>2</v>
      </c>
      <c r="I458" s="71"/>
      <c r="J458" s="71"/>
      <c r="K458" s="71"/>
      <c r="L458" s="71"/>
      <c r="M458" s="71"/>
      <c r="N458" s="461">
        <f t="shared" si="13"/>
        <v>10</v>
      </c>
      <c r="O458" s="71"/>
      <c r="P458" s="860"/>
    </row>
    <row r="459" spans="1:16" ht="15.75" customHeight="1">
      <c r="A459" s="425"/>
      <c r="B459" s="682" t="str">
        <f>B8</f>
        <v>sisi kanan</v>
      </c>
      <c r="C459" s="1081">
        <f>(C8+D8)/2</f>
        <v>1.865</v>
      </c>
      <c r="D459" s="1081"/>
      <c r="E459" s="1081"/>
      <c r="F459" s="1081"/>
      <c r="G459" s="1081"/>
      <c r="H459" s="1081">
        <f>H458</f>
        <v>2</v>
      </c>
      <c r="I459" s="71"/>
      <c r="J459" s="71"/>
      <c r="K459" s="71"/>
      <c r="L459" s="71"/>
      <c r="M459" s="71"/>
      <c r="N459" s="461">
        <f t="shared" si="13"/>
        <v>3.73</v>
      </c>
      <c r="O459" s="71"/>
      <c r="P459" s="860"/>
    </row>
    <row r="460" spans="1:16" ht="15.75" customHeight="1">
      <c r="A460" s="425"/>
      <c r="B460" s="682"/>
      <c r="C460" s="1081">
        <f>C458</f>
        <v>5</v>
      </c>
      <c r="D460" s="1081"/>
      <c r="E460" s="1081"/>
      <c r="F460" s="1081"/>
      <c r="G460" s="1081"/>
      <c r="H460" s="1081">
        <f>H459</f>
        <v>2</v>
      </c>
      <c r="I460" s="71"/>
      <c r="J460" s="71"/>
      <c r="K460" s="71"/>
      <c r="L460" s="71"/>
      <c r="M460" s="71"/>
      <c r="N460" s="461">
        <f t="shared" si="13"/>
        <v>10</v>
      </c>
      <c r="O460" s="71"/>
      <c r="P460" s="860"/>
    </row>
    <row r="461" spans="1:16" ht="15.75" customHeight="1">
      <c r="A461" s="425"/>
      <c r="B461" s="926" t="str">
        <f>B9</f>
        <v>Jalan Utama</v>
      </c>
      <c r="C461" s="1081"/>
      <c r="D461" s="1081"/>
      <c r="E461" s="1081"/>
      <c r="F461" s="1081"/>
      <c r="G461" s="1081"/>
      <c r="H461" s="1081"/>
      <c r="I461" s="71"/>
      <c r="J461" s="71"/>
      <c r="K461" s="71"/>
      <c r="L461" s="71"/>
      <c r="M461" s="71"/>
      <c r="N461" s="461">
        <f t="shared" si="13"/>
        <v>0</v>
      </c>
      <c r="O461" s="71"/>
      <c r="P461" s="860"/>
    </row>
    <row r="462" spans="1:16" ht="15.75" customHeight="1">
      <c r="A462" s="425"/>
      <c r="B462" s="682" t="str">
        <f>B10</f>
        <v>sisi depan &amp; blkg</v>
      </c>
      <c r="C462" s="1081">
        <f>C10</f>
        <v>2.04</v>
      </c>
      <c r="D462" s="1081"/>
      <c r="E462" s="1081"/>
      <c r="F462" s="1081"/>
      <c r="G462" s="1081"/>
      <c r="H462" s="1081">
        <f>H10</f>
        <v>2</v>
      </c>
      <c r="I462" s="71"/>
      <c r="J462" s="71"/>
      <c r="K462" s="71"/>
      <c r="L462" s="71"/>
      <c r="M462" s="71"/>
      <c r="N462" s="461">
        <f t="shared" si="13"/>
        <v>4.08</v>
      </c>
      <c r="O462" s="71"/>
      <c r="P462" s="860"/>
    </row>
    <row r="463" spans="1:16" ht="15.75" customHeight="1">
      <c r="A463" s="425"/>
      <c r="B463" s="682"/>
      <c r="C463" s="1081">
        <f>C460</f>
        <v>5</v>
      </c>
      <c r="D463" s="1081"/>
      <c r="E463" s="1081"/>
      <c r="F463" s="1081"/>
      <c r="G463" s="1081"/>
      <c r="H463" s="1081">
        <f>H462</f>
        <v>2</v>
      </c>
      <c r="I463" s="71"/>
      <c r="J463" s="71"/>
      <c r="K463" s="71"/>
      <c r="L463" s="71"/>
      <c r="M463" s="71"/>
      <c r="N463" s="461">
        <f t="shared" si="13"/>
        <v>10</v>
      </c>
      <c r="O463" s="71"/>
      <c r="P463" s="860"/>
    </row>
    <row r="464" spans="1:16" ht="15.75" customHeight="1">
      <c r="A464" s="425"/>
      <c r="B464" s="682" t="str">
        <f>B11</f>
        <v>sisi samping</v>
      </c>
      <c r="C464" s="1081">
        <f>C11</f>
        <v>15.32</v>
      </c>
      <c r="D464" s="1081"/>
      <c r="E464" s="1081"/>
      <c r="F464" s="1081"/>
      <c r="G464" s="1081"/>
      <c r="H464" s="1081">
        <f>H11</f>
        <v>2</v>
      </c>
      <c r="I464" s="71"/>
      <c r="J464" s="71"/>
      <c r="K464" s="71"/>
      <c r="L464" s="71"/>
      <c r="M464" s="71"/>
      <c r="N464" s="461">
        <f t="shared" si="13"/>
        <v>30.64</v>
      </c>
      <c r="O464" s="71"/>
      <c r="P464" s="860"/>
    </row>
    <row r="465" spans="1:16" ht="15.75" customHeight="1">
      <c r="A465" s="425"/>
      <c r="B465" s="682"/>
      <c r="C465" s="1081">
        <f>C463</f>
        <v>5</v>
      </c>
      <c r="D465" s="1081"/>
      <c r="E465" s="1081"/>
      <c r="F465" s="1081"/>
      <c r="G465" s="1081"/>
      <c r="H465" s="1081">
        <f>H464</f>
        <v>2</v>
      </c>
      <c r="I465" s="71"/>
      <c r="J465" s="71"/>
      <c r="K465" s="71"/>
      <c r="L465" s="71"/>
      <c r="M465" s="71"/>
      <c r="N465" s="461">
        <f t="shared" si="13"/>
        <v>10</v>
      </c>
      <c r="O465" s="71"/>
      <c r="P465" s="860"/>
    </row>
    <row r="466" spans="1:16" ht="15.75" customHeight="1">
      <c r="A466" s="425"/>
      <c r="B466" s="682" t="str">
        <f>B12</f>
        <v>belokan 4 sisi</v>
      </c>
      <c r="C466" s="1081">
        <f>C12</f>
        <v>0</v>
      </c>
      <c r="D466" s="1081"/>
      <c r="E466" s="1081"/>
      <c r="F466" s="1081"/>
      <c r="G466" s="1081"/>
      <c r="H466" s="1081">
        <f>H12</f>
        <v>4</v>
      </c>
      <c r="I466" s="71"/>
      <c r="J466" s="71"/>
      <c r="K466" s="71"/>
      <c r="L466" s="71"/>
      <c r="M466" s="71"/>
      <c r="N466" s="461">
        <f t="shared" si="13"/>
        <v>0</v>
      </c>
      <c r="O466" s="71"/>
      <c r="P466" s="860"/>
    </row>
    <row r="467" spans="1:16" ht="15.75" customHeight="1">
      <c r="A467" s="425"/>
      <c r="B467" s="682"/>
      <c r="C467" s="1081">
        <f>C465</f>
        <v>5</v>
      </c>
      <c r="D467" s="1081"/>
      <c r="E467" s="1081"/>
      <c r="F467" s="1081"/>
      <c r="G467" s="1081"/>
      <c r="H467" s="1081">
        <f>H466</f>
        <v>4</v>
      </c>
      <c r="I467" s="71"/>
      <c r="J467" s="71"/>
      <c r="K467" s="71"/>
      <c r="L467" s="71"/>
      <c r="M467" s="71"/>
      <c r="N467" s="1082">
        <f t="shared" si="13"/>
        <v>20</v>
      </c>
      <c r="O467" s="71"/>
      <c r="P467" s="860"/>
    </row>
    <row r="468" spans="1:16" ht="15.75" customHeight="1">
      <c r="A468" s="425"/>
      <c r="B468" s="446"/>
      <c r="C468" s="1070"/>
      <c r="D468" s="1070"/>
      <c r="E468" s="1070"/>
      <c r="F468" s="1070"/>
      <c r="G468" s="1070"/>
      <c r="H468" s="71"/>
      <c r="I468" s="71"/>
      <c r="J468" s="71"/>
      <c r="K468" s="71"/>
      <c r="L468" s="71"/>
      <c r="M468" s="71"/>
      <c r="N468" s="1062">
        <f>SUM(N457:N467)*0+100</f>
        <v>100</v>
      </c>
      <c r="O468" s="84" t="s">
        <v>117</v>
      </c>
      <c r="P468" s="860"/>
    </row>
    <row r="469" spans="1:16" ht="15.75" customHeight="1">
      <c r="A469" s="62">
        <v>1</v>
      </c>
      <c r="B469" s="71" t="s">
        <v>865</v>
      </c>
      <c r="C469" s="1070">
        <f>N468</f>
        <v>100</v>
      </c>
      <c r="D469" s="1070"/>
      <c r="E469" s="1070"/>
      <c r="F469" s="1070"/>
      <c r="G469" s="1070"/>
      <c r="H469" s="428"/>
      <c r="I469" s="428"/>
      <c r="J469" s="428"/>
      <c r="K469" s="428"/>
      <c r="L469" s="428"/>
      <c r="M469" s="428"/>
      <c r="N469" s="428">
        <f>C469</f>
        <v>100</v>
      </c>
      <c r="O469" s="1065" t="s">
        <v>117</v>
      </c>
      <c r="P469" s="860">
        <f t="shared" ref="P469:P475" si="14">ROUND((N469),2)</f>
        <v>100</v>
      </c>
    </row>
    <row r="470" spans="1:16" ht="15.75" customHeight="1">
      <c r="A470" s="62">
        <f>A469+1</f>
        <v>2</v>
      </c>
      <c r="B470" s="71" t="s">
        <v>866</v>
      </c>
      <c r="C470" s="1070">
        <f>C469</f>
        <v>100</v>
      </c>
      <c r="D470" s="1070">
        <f>D455</f>
        <v>4</v>
      </c>
      <c r="E470" s="1070">
        <v>0.2</v>
      </c>
      <c r="F470" s="1070"/>
      <c r="G470" s="1070"/>
      <c r="H470" s="428"/>
      <c r="I470" s="428"/>
      <c r="J470" s="428"/>
      <c r="K470" s="428"/>
      <c r="L470" s="428"/>
      <c r="M470" s="428"/>
      <c r="N470" s="428">
        <f>C470*D470*E470</f>
        <v>80</v>
      </c>
      <c r="O470" s="362" t="s">
        <v>103</v>
      </c>
      <c r="P470" s="860">
        <f t="shared" si="14"/>
        <v>80</v>
      </c>
    </row>
    <row r="471" spans="1:16" ht="15.75" customHeight="1">
      <c r="A471" s="62">
        <f>A470+1</f>
        <v>3</v>
      </c>
      <c r="B471" s="1083" t="s">
        <v>1476</v>
      </c>
      <c r="C471" s="1070">
        <f>C470</f>
        <v>100</v>
      </c>
      <c r="D471" s="1070">
        <f>D470</f>
        <v>4</v>
      </c>
      <c r="E471" s="1070">
        <v>0.3</v>
      </c>
      <c r="F471" s="1070"/>
      <c r="G471" s="1070"/>
      <c r="H471" s="428"/>
      <c r="I471" s="428"/>
      <c r="J471" s="428"/>
      <c r="K471" s="428"/>
      <c r="L471" s="428"/>
      <c r="M471" s="428"/>
      <c r="N471" s="428">
        <f>C471*D471*E471</f>
        <v>120</v>
      </c>
      <c r="O471" s="362" t="s">
        <v>103</v>
      </c>
      <c r="P471" s="860">
        <f t="shared" si="14"/>
        <v>120</v>
      </c>
    </row>
    <row r="472" spans="1:16" s="437" customFormat="1" ht="15.75" hidden="1" customHeight="1">
      <c r="A472" s="881">
        <f>A471+1</f>
        <v>4</v>
      </c>
      <c r="B472" s="1084" t="s">
        <v>1477</v>
      </c>
      <c r="C472" s="1085"/>
      <c r="D472" s="1085"/>
      <c r="E472" s="1085"/>
      <c r="F472" s="1085"/>
      <c r="G472" s="1085"/>
      <c r="H472" s="587"/>
      <c r="I472" s="587"/>
      <c r="J472" s="587"/>
      <c r="K472" s="587"/>
      <c r="L472" s="587"/>
      <c r="M472" s="587"/>
      <c r="N472" s="587">
        <f>N471</f>
        <v>120</v>
      </c>
      <c r="O472" s="1086" t="s">
        <v>103</v>
      </c>
      <c r="P472" s="867">
        <f t="shared" si="14"/>
        <v>120</v>
      </c>
    </row>
    <row r="473" spans="1:16" ht="15.75" customHeight="1">
      <c r="A473" s="62">
        <f>A471+1</f>
        <v>4</v>
      </c>
      <c r="B473" s="1083" t="s">
        <v>516</v>
      </c>
      <c r="C473" s="1070">
        <f>C471</f>
        <v>100</v>
      </c>
      <c r="D473" s="1070">
        <f>D471</f>
        <v>4</v>
      </c>
      <c r="E473" s="1070">
        <v>0.1</v>
      </c>
      <c r="F473" s="1070"/>
      <c r="G473" s="1070"/>
      <c r="H473" s="428"/>
      <c r="I473" s="428"/>
      <c r="J473" s="428"/>
      <c r="K473" s="428"/>
      <c r="L473" s="428"/>
      <c r="M473" s="428"/>
      <c r="N473" s="428">
        <f>C473*D473*E473</f>
        <v>40</v>
      </c>
      <c r="O473" s="362" t="s">
        <v>103</v>
      </c>
      <c r="P473" s="860">
        <f t="shared" si="14"/>
        <v>40</v>
      </c>
    </row>
    <row r="474" spans="1:16" ht="15.75" customHeight="1">
      <c r="A474" s="62">
        <f>A473+1</f>
        <v>5</v>
      </c>
      <c r="B474" s="328" t="s">
        <v>517</v>
      </c>
      <c r="C474" s="1070"/>
      <c r="D474" s="1070"/>
      <c r="E474" s="1070"/>
      <c r="F474" s="1070"/>
      <c r="G474" s="1070"/>
      <c r="H474" s="428"/>
      <c r="I474" s="428"/>
      <c r="J474" s="428"/>
      <c r="K474" s="428"/>
      <c r="L474" s="428"/>
      <c r="M474" s="428"/>
      <c r="N474" s="390">
        <f>N473</f>
        <v>40</v>
      </c>
      <c r="O474" s="362" t="s">
        <v>103</v>
      </c>
      <c r="P474" s="860">
        <f t="shared" si="14"/>
        <v>40</v>
      </c>
    </row>
    <row r="475" spans="1:16" ht="15.75" customHeight="1">
      <c r="A475" s="62">
        <f>A474+1</f>
        <v>6</v>
      </c>
      <c r="B475" s="328" t="s">
        <v>496</v>
      </c>
      <c r="C475" s="1070">
        <f>C473</f>
        <v>100</v>
      </c>
      <c r="D475" s="1070">
        <f>D473</f>
        <v>4</v>
      </c>
      <c r="E475" s="1070">
        <v>0.05</v>
      </c>
      <c r="F475" s="1070"/>
      <c r="G475" s="1070"/>
      <c r="H475" s="428"/>
      <c r="I475" s="428"/>
      <c r="J475" s="428"/>
      <c r="K475" s="428"/>
      <c r="L475" s="428"/>
      <c r="M475" s="428"/>
      <c r="N475" s="428">
        <f>C475*D475*E475</f>
        <v>20</v>
      </c>
      <c r="O475" s="362" t="s">
        <v>103</v>
      </c>
      <c r="P475" s="860">
        <f t="shared" si="14"/>
        <v>20</v>
      </c>
    </row>
    <row r="476" spans="1:16" ht="15.75" customHeight="1">
      <c r="A476" s="62">
        <f>A475+1</f>
        <v>7</v>
      </c>
      <c r="B476" s="1083" t="s">
        <v>868</v>
      </c>
      <c r="C476" s="1070"/>
      <c r="D476" s="1070"/>
      <c r="E476" s="1070"/>
      <c r="F476" s="1070"/>
      <c r="G476" s="1070"/>
      <c r="H476" s="428"/>
      <c r="I476" s="428"/>
      <c r="J476" s="428"/>
      <c r="K476" s="428"/>
      <c r="L476" s="428"/>
      <c r="M476" s="428"/>
      <c r="N476" s="390"/>
      <c r="O476" s="85"/>
      <c r="P476" s="860"/>
    </row>
    <row r="477" spans="1:16" ht="15.75" customHeight="1">
      <c r="A477" s="460" t="s">
        <v>95</v>
      </c>
      <c r="B477" s="1083" t="s">
        <v>221</v>
      </c>
      <c r="C477" s="1070">
        <f>C473</f>
        <v>100</v>
      </c>
      <c r="D477" s="1070"/>
      <c r="E477" s="1070">
        <v>0.15</v>
      </c>
      <c r="F477" s="1070"/>
      <c r="G477" s="1070"/>
      <c r="H477" s="428">
        <v>2</v>
      </c>
      <c r="I477" s="428"/>
      <c r="J477" s="428"/>
      <c r="K477" s="428"/>
      <c r="L477" s="428"/>
      <c r="M477" s="428"/>
      <c r="N477" s="390">
        <f>C477*E477*H477</f>
        <v>30</v>
      </c>
      <c r="O477" s="84" t="s">
        <v>89</v>
      </c>
      <c r="P477" s="860">
        <f>ROUND((N477),2)</f>
        <v>30</v>
      </c>
    </row>
    <row r="478" spans="1:16" ht="15.75" customHeight="1">
      <c r="A478" s="460" t="s">
        <v>98</v>
      </c>
      <c r="B478" s="71" t="s">
        <v>1478</v>
      </c>
      <c r="C478" s="1070">
        <f>C469</f>
        <v>100</v>
      </c>
      <c r="D478" s="1070">
        <f>D470+0.2</f>
        <v>4.2</v>
      </c>
      <c r="E478" s="1070"/>
      <c r="F478" s="1070"/>
      <c r="G478" s="1070"/>
      <c r="H478" s="428"/>
      <c r="I478" s="428"/>
      <c r="J478" s="428"/>
      <c r="K478" s="428"/>
      <c r="L478" s="428"/>
      <c r="M478" s="428"/>
      <c r="N478" s="390">
        <f>C478*D478</f>
        <v>420</v>
      </c>
      <c r="O478" s="84" t="s">
        <v>89</v>
      </c>
      <c r="P478" s="860">
        <f>ROUND((N478),2)</f>
        <v>420</v>
      </c>
    </row>
    <row r="479" spans="1:16" ht="15.75" customHeight="1">
      <c r="A479" s="460" t="s">
        <v>101</v>
      </c>
      <c r="B479" s="71" t="s">
        <v>1479</v>
      </c>
      <c r="C479" s="1070">
        <v>0.05</v>
      </c>
      <c r="D479" s="1070">
        <v>7.0000000000000007E-2</v>
      </c>
      <c r="E479" s="1070">
        <v>4</v>
      </c>
      <c r="F479" s="1070">
        <v>11</v>
      </c>
      <c r="G479" s="1070">
        <v>1</v>
      </c>
      <c r="H479" s="428"/>
      <c r="I479" s="428"/>
      <c r="J479" s="428"/>
      <c r="K479" s="428"/>
      <c r="L479" s="428"/>
      <c r="M479" s="428">
        <v>3</v>
      </c>
      <c r="N479" s="390">
        <f>C479*D479*E479*F479*G479*M479</f>
        <v>0.46200000000000008</v>
      </c>
      <c r="O479" s="84" t="s">
        <v>100</v>
      </c>
      <c r="P479" s="860">
        <f>ROUND((N479),2)</f>
        <v>0.46</v>
      </c>
    </row>
    <row r="480" spans="1:16" ht="15.75" customHeight="1">
      <c r="A480" s="460" t="s">
        <v>121</v>
      </c>
      <c r="B480" s="71" t="s">
        <v>1480</v>
      </c>
      <c r="C480" s="1070">
        <f>N470</f>
        <v>80</v>
      </c>
      <c r="D480" s="1070">
        <v>3</v>
      </c>
      <c r="E480" s="1070"/>
      <c r="F480" s="1070"/>
      <c r="G480" s="1070"/>
      <c r="H480" s="428"/>
      <c r="I480" s="428"/>
      <c r="J480" s="428"/>
      <c r="K480" s="428"/>
      <c r="L480" s="428"/>
      <c r="M480" s="428"/>
      <c r="N480" s="390">
        <f>C480*D480</f>
        <v>240</v>
      </c>
      <c r="O480" s="84" t="s">
        <v>89</v>
      </c>
      <c r="P480" s="860">
        <f>ROUND((N480),2)</f>
        <v>240</v>
      </c>
    </row>
    <row r="481" spans="1:16" ht="15.75" customHeight="1">
      <c r="A481" s="460" t="s">
        <v>142</v>
      </c>
      <c r="B481" s="71" t="s">
        <v>873</v>
      </c>
      <c r="C481" s="1070"/>
      <c r="D481" s="1070"/>
      <c r="E481" s="1070"/>
      <c r="F481" s="1070"/>
      <c r="G481" s="1070"/>
      <c r="H481" s="428"/>
      <c r="I481" s="428"/>
      <c r="J481" s="428"/>
      <c r="K481" s="428"/>
      <c r="L481" s="428"/>
      <c r="M481" s="428"/>
      <c r="N481" s="390"/>
      <c r="O481" s="85"/>
      <c r="P481" s="860"/>
    </row>
    <row r="482" spans="1:16" ht="15.75" customHeight="1">
      <c r="A482" s="460"/>
      <c r="B482" s="71" t="s">
        <v>874</v>
      </c>
      <c r="C482" s="1070">
        <v>4</v>
      </c>
      <c r="D482" s="1070"/>
      <c r="E482" s="1070"/>
      <c r="F482" s="1070">
        <v>4</v>
      </c>
      <c r="G482" s="1070">
        <f>ROUNDDOWN((C469/6),0.5)+1</f>
        <v>17</v>
      </c>
      <c r="H482" s="428"/>
      <c r="I482" s="428"/>
      <c r="J482" s="428"/>
      <c r="K482" s="428"/>
      <c r="L482" s="428">
        <f>8*8*0.006165</f>
        <v>0.39456000000000002</v>
      </c>
      <c r="M482" s="428"/>
      <c r="N482" s="390">
        <f>C482*F482*G482*L482</f>
        <v>107.32032000000001</v>
      </c>
      <c r="O482" s="84" t="s">
        <v>100</v>
      </c>
      <c r="P482" s="860">
        <f t="shared" ref="P482:P487" si="15">ROUND((N482),2)</f>
        <v>107.32</v>
      </c>
    </row>
    <row r="483" spans="1:16" ht="15.75" customHeight="1">
      <c r="A483" s="460"/>
      <c r="B483" s="71" t="s">
        <v>875</v>
      </c>
      <c r="C483" s="1070">
        <f>(0.144*2)+0.137</f>
        <v>0.42499999999999999</v>
      </c>
      <c r="D483" s="1070"/>
      <c r="E483" s="1070"/>
      <c r="F483" s="1070">
        <f>ROUNDDOWN((C482/0.3),0.5)+1</f>
        <v>14</v>
      </c>
      <c r="G483" s="1070">
        <f>G482</f>
        <v>17</v>
      </c>
      <c r="H483" s="428">
        <v>2</v>
      </c>
      <c r="I483" s="428"/>
      <c r="J483" s="428"/>
      <c r="K483" s="428"/>
      <c r="L483" s="428">
        <f>8*8*0.006165</f>
        <v>0.39456000000000002</v>
      </c>
      <c r="M483" s="428"/>
      <c r="N483" s="390">
        <f>C483*F483*G483*H483*L483</f>
        <v>79.819488000000007</v>
      </c>
      <c r="O483" s="84" t="s">
        <v>100</v>
      </c>
      <c r="P483" s="860">
        <f t="shared" si="15"/>
        <v>79.819999999999993</v>
      </c>
    </row>
    <row r="484" spans="1:16" ht="15.75" customHeight="1">
      <c r="A484" s="460" t="s">
        <v>121</v>
      </c>
      <c r="B484" s="71" t="s">
        <v>876</v>
      </c>
      <c r="C484" s="1070">
        <v>0.7</v>
      </c>
      <c r="D484" s="1070"/>
      <c r="E484" s="1070"/>
      <c r="F484" s="1070">
        <f>F483</f>
        <v>14</v>
      </c>
      <c r="G484" s="1070">
        <f>G483</f>
        <v>17</v>
      </c>
      <c r="H484" s="428"/>
      <c r="I484" s="428"/>
      <c r="J484" s="428"/>
      <c r="K484" s="428"/>
      <c r="L484" s="428">
        <f>13*13*0.006165</f>
        <v>1.041885</v>
      </c>
      <c r="M484" s="428"/>
      <c r="N484" s="390">
        <f>C484*F484*G484*L484</f>
        <v>173.57804099999998</v>
      </c>
      <c r="O484" s="84" t="s">
        <v>100</v>
      </c>
      <c r="P484" s="860">
        <f t="shared" si="15"/>
        <v>173.58</v>
      </c>
    </row>
    <row r="485" spans="1:16" ht="15.75" customHeight="1">
      <c r="A485" s="460" t="s">
        <v>142</v>
      </c>
      <c r="B485" s="71" t="s">
        <v>877</v>
      </c>
      <c r="C485" s="1070">
        <v>0.4</v>
      </c>
      <c r="D485" s="1070"/>
      <c r="E485" s="1070"/>
      <c r="F485" s="1070">
        <f>F484</f>
        <v>14</v>
      </c>
      <c r="G485" s="1070">
        <f>G484</f>
        <v>17</v>
      </c>
      <c r="H485" s="428"/>
      <c r="I485" s="428"/>
      <c r="J485" s="428"/>
      <c r="K485" s="428"/>
      <c r="L485" s="428"/>
      <c r="M485" s="428"/>
      <c r="N485" s="390">
        <f>C485*F485*G485</f>
        <v>95.2</v>
      </c>
      <c r="O485" s="84" t="s">
        <v>117</v>
      </c>
      <c r="P485" s="860">
        <f t="shared" si="15"/>
        <v>95.2</v>
      </c>
    </row>
    <row r="486" spans="1:16" ht="27.75" customHeight="1">
      <c r="A486" s="460" t="s">
        <v>217</v>
      </c>
      <c r="B486" s="1087" t="s">
        <v>1481</v>
      </c>
      <c r="C486" s="1070">
        <f>C470</f>
        <v>100</v>
      </c>
      <c r="D486" s="1070">
        <f>D470</f>
        <v>4</v>
      </c>
      <c r="E486" s="1070">
        <f>E477</f>
        <v>0.15</v>
      </c>
      <c r="F486" s="1070"/>
      <c r="G486" s="1070"/>
      <c r="H486" s="428"/>
      <c r="I486" s="428"/>
      <c r="J486" s="428"/>
      <c r="K486" s="428"/>
      <c r="L486" s="428"/>
      <c r="M486" s="428"/>
      <c r="N486" s="390">
        <f>C486*D486*E486</f>
        <v>60</v>
      </c>
      <c r="O486" s="362" t="s">
        <v>103</v>
      </c>
      <c r="P486" s="860">
        <f t="shared" si="15"/>
        <v>60</v>
      </c>
    </row>
    <row r="487" spans="1:16" ht="15.75" customHeight="1">
      <c r="A487" s="460" t="s">
        <v>366</v>
      </c>
      <c r="B487" s="71" t="s">
        <v>218</v>
      </c>
      <c r="C487" s="1070"/>
      <c r="D487" s="1070"/>
      <c r="E487" s="1070"/>
      <c r="F487" s="1070"/>
      <c r="G487" s="1070"/>
      <c r="H487" s="428"/>
      <c r="I487" s="428"/>
      <c r="J487" s="428"/>
      <c r="K487" s="428"/>
      <c r="L487" s="428"/>
      <c r="M487" s="428"/>
      <c r="N487" s="390">
        <f>N486</f>
        <v>60</v>
      </c>
      <c r="O487" s="362" t="s">
        <v>103</v>
      </c>
      <c r="P487" s="860">
        <f t="shared" si="15"/>
        <v>60</v>
      </c>
    </row>
    <row r="488" spans="1:16" ht="15.75" customHeight="1">
      <c r="A488" s="1088"/>
      <c r="B488" s="71"/>
      <c r="C488" s="1070"/>
      <c r="D488" s="1070"/>
      <c r="E488" s="1070"/>
      <c r="F488" s="1070"/>
      <c r="G488" s="1070"/>
      <c r="H488" s="428"/>
      <c r="I488" s="428"/>
      <c r="J488" s="428"/>
      <c r="K488" s="428"/>
      <c r="L488" s="428"/>
      <c r="M488" s="428"/>
      <c r="N488" s="390"/>
      <c r="O488" s="85"/>
      <c r="P488" s="860"/>
    </row>
    <row r="489" spans="1:16" ht="15.75" customHeight="1">
      <c r="A489" s="425" t="s">
        <v>1482</v>
      </c>
      <c r="B489" s="446" t="s">
        <v>879</v>
      </c>
      <c r="C489" s="1070"/>
      <c r="D489" s="1070"/>
      <c r="E489" s="1070"/>
      <c r="F489" s="1070"/>
      <c r="G489" s="1070"/>
      <c r="H489" s="428"/>
      <c r="I489" s="428"/>
      <c r="J489" s="428"/>
      <c r="K489" s="428"/>
      <c r="L489" s="428"/>
      <c r="M489" s="428"/>
      <c r="N489" s="390"/>
      <c r="O489" s="85"/>
      <c r="P489" s="860"/>
    </row>
    <row r="490" spans="1:16" ht="15.75" customHeight="1">
      <c r="A490" s="425"/>
      <c r="B490" s="926" t="str">
        <f>B6</f>
        <v>Panjang Saluran Akses Jalan Masuk</v>
      </c>
      <c r="C490" s="1070"/>
      <c r="D490" s="1070"/>
      <c r="E490" s="1070"/>
      <c r="F490" s="1070"/>
      <c r="G490" s="1070"/>
      <c r="H490" s="428"/>
      <c r="I490" s="428"/>
      <c r="J490" s="428"/>
      <c r="K490" s="428"/>
      <c r="L490" s="428"/>
      <c r="M490" s="428"/>
      <c r="N490" s="443">
        <f>SUM(N491:N494)</f>
        <v>3.73</v>
      </c>
      <c r="O490" s="362"/>
      <c r="P490" s="860"/>
    </row>
    <row r="491" spans="1:16" ht="15.75" customHeight="1">
      <c r="A491" s="425"/>
      <c r="B491" s="682" t="str">
        <f>B7</f>
        <v>sisi kiri</v>
      </c>
      <c r="C491" s="1070">
        <f>C7</f>
        <v>0</v>
      </c>
      <c r="D491" s="1070"/>
      <c r="E491" s="1070"/>
      <c r="F491" s="1070"/>
      <c r="G491" s="1070"/>
      <c r="H491" s="1070"/>
      <c r="I491" s="1070"/>
      <c r="J491" s="1070"/>
      <c r="K491" s="1070"/>
      <c r="L491" s="1070"/>
      <c r="M491" s="1070"/>
      <c r="N491" s="428">
        <f>C491</f>
        <v>0</v>
      </c>
      <c r="O491" s="362"/>
      <c r="P491" s="860"/>
    </row>
    <row r="492" spans="1:16" ht="15.75" customHeight="1">
      <c r="A492" s="425"/>
      <c r="B492" s="682"/>
      <c r="C492" s="1070">
        <f>D7</f>
        <v>0</v>
      </c>
      <c r="D492" s="1070"/>
      <c r="E492" s="1070"/>
      <c r="F492" s="1070"/>
      <c r="G492" s="1070"/>
      <c r="H492" s="1070"/>
      <c r="I492" s="1070"/>
      <c r="J492" s="1070"/>
      <c r="K492" s="1070"/>
      <c r="L492" s="1070"/>
      <c r="M492" s="1070"/>
      <c r="N492" s="428">
        <f>C492</f>
        <v>0</v>
      </c>
      <c r="O492" s="362"/>
      <c r="P492" s="860"/>
    </row>
    <row r="493" spans="1:16" ht="15.75" customHeight="1">
      <c r="A493" s="425"/>
      <c r="B493" s="682" t="str">
        <f>B8</f>
        <v>sisi kanan</v>
      </c>
      <c r="C493" s="1070">
        <f>C8</f>
        <v>3.13</v>
      </c>
      <c r="D493" s="1070"/>
      <c r="E493" s="1070"/>
      <c r="F493" s="1070"/>
      <c r="G493" s="1070"/>
      <c r="H493" s="1070"/>
      <c r="I493" s="1070"/>
      <c r="J493" s="1070"/>
      <c r="K493" s="1070"/>
      <c r="L493" s="1070"/>
      <c r="M493" s="1070"/>
      <c r="N493" s="428">
        <f>C493</f>
        <v>3.13</v>
      </c>
      <c r="O493" s="362"/>
      <c r="P493" s="860"/>
    </row>
    <row r="494" spans="1:16" ht="15.75" customHeight="1">
      <c r="A494" s="425"/>
      <c r="B494" s="682"/>
      <c r="C494" s="1070">
        <f>D8</f>
        <v>0.6</v>
      </c>
      <c r="D494" s="1070"/>
      <c r="E494" s="1070"/>
      <c r="F494" s="1070"/>
      <c r="G494" s="1070"/>
      <c r="H494" s="1070"/>
      <c r="I494" s="1070"/>
      <c r="J494" s="1070"/>
      <c r="K494" s="1070"/>
      <c r="L494" s="1070"/>
      <c r="M494" s="1070"/>
      <c r="N494" s="428">
        <f>C494</f>
        <v>0.6</v>
      </c>
      <c r="O494" s="362"/>
      <c r="P494" s="860"/>
    </row>
    <row r="495" spans="1:16" ht="15.75" customHeight="1">
      <c r="A495" s="425"/>
      <c r="B495" s="926" t="str">
        <f t="shared" ref="B495:B500" si="16">B9</f>
        <v>Jalan Utama</v>
      </c>
      <c r="C495" s="1070"/>
      <c r="D495" s="1070"/>
      <c r="E495" s="1070"/>
      <c r="F495" s="1070"/>
      <c r="G495" s="1070"/>
      <c r="H495" s="1070"/>
      <c r="I495" s="1070"/>
      <c r="J495" s="1070"/>
      <c r="K495" s="1070"/>
      <c r="L495" s="1070"/>
      <c r="M495" s="1070"/>
      <c r="N495" s="443">
        <f>SUM(N496:N498)</f>
        <v>34.72</v>
      </c>
      <c r="O495" s="362"/>
      <c r="P495" s="860"/>
    </row>
    <row r="496" spans="1:16" ht="15.75" customHeight="1">
      <c r="A496" s="425"/>
      <c r="B496" s="682" t="str">
        <f t="shared" si="16"/>
        <v>sisi depan &amp; blkg</v>
      </c>
      <c r="C496" s="1070">
        <f>C10</f>
        <v>2.04</v>
      </c>
      <c r="D496" s="1070"/>
      <c r="E496" s="1070"/>
      <c r="F496" s="1070"/>
      <c r="G496" s="1070"/>
      <c r="H496" s="1070">
        <f>H10</f>
        <v>2</v>
      </c>
      <c r="I496" s="1070"/>
      <c r="J496" s="1070"/>
      <c r="K496" s="1070"/>
      <c r="L496" s="1070"/>
      <c r="M496" s="1070"/>
      <c r="N496" s="428">
        <f>C496*H496</f>
        <v>4.08</v>
      </c>
      <c r="O496" s="362"/>
      <c r="P496" s="860"/>
    </row>
    <row r="497" spans="1:16" ht="15.75" customHeight="1">
      <c r="A497" s="425"/>
      <c r="B497" s="682" t="str">
        <f t="shared" si="16"/>
        <v>sisi samping</v>
      </c>
      <c r="C497" s="1070">
        <f>C11</f>
        <v>15.32</v>
      </c>
      <c r="D497" s="1070"/>
      <c r="E497" s="1070"/>
      <c r="F497" s="1070"/>
      <c r="G497" s="1070"/>
      <c r="H497" s="1070">
        <f>H11</f>
        <v>2</v>
      </c>
      <c r="I497" s="1070"/>
      <c r="J497" s="1070"/>
      <c r="K497" s="1070"/>
      <c r="L497" s="1070"/>
      <c r="M497" s="1070"/>
      <c r="N497" s="428">
        <f>C497*H497</f>
        <v>30.64</v>
      </c>
      <c r="O497" s="362"/>
      <c r="P497" s="860"/>
    </row>
    <row r="498" spans="1:16" ht="15.75" customHeight="1">
      <c r="A498" s="425"/>
      <c r="B498" s="682" t="str">
        <f t="shared" si="16"/>
        <v>belokan 4 sisi</v>
      </c>
      <c r="C498" s="1070">
        <f>C12</f>
        <v>0</v>
      </c>
      <c r="D498" s="1070"/>
      <c r="E498" s="1070"/>
      <c r="F498" s="1070"/>
      <c r="G498" s="1070"/>
      <c r="H498" s="1070">
        <f>H12</f>
        <v>4</v>
      </c>
      <c r="I498" s="1070"/>
      <c r="J498" s="1070"/>
      <c r="K498" s="1070"/>
      <c r="L498" s="1070"/>
      <c r="M498" s="1070"/>
      <c r="N498" s="428">
        <f>C498*H498</f>
        <v>0</v>
      </c>
      <c r="O498" s="362"/>
      <c r="P498" s="860"/>
    </row>
    <row r="499" spans="1:16" ht="15.75" customHeight="1">
      <c r="A499" s="425"/>
      <c r="B499" s="926" t="str">
        <f t="shared" si="16"/>
        <v>Akses masuk Bangunan Beku</v>
      </c>
      <c r="C499" s="1070"/>
      <c r="D499" s="1070"/>
      <c r="E499" s="1070"/>
      <c r="F499" s="1070"/>
      <c r="G499" s="1070"/>
      <c r="H499" s="1070"/>
      <c r="I499" s="1070"/>
      <c r="J499" s="1070"/>
      <c r="K499" s="1070"/>
      <c r="L499" s="1070"/>
      <c r="M499" s="1070"/>
      <c r="N499" s="428">
        <f>C499</f>
        <v>0</v>
      </c>
      <c r="O499" s="362"/>
      <c r="P499" s="860"/>
    </row>
    <row r="500" spans="1:16" ht="15.75" customHeight="1">
      <c r="A500" s="425"/>
      <c r="B500" s="926" t="str">
        <f t="shared" si="16"/>
        <v>Pedestrian sisi Luar dari kiri</v>
      </c>
      <c r="C500" s="1070"/>
      <c r="D500" s="1070"/>
      <c r="E500" s="1070"/>
      <c r="F500" s="1070"/>
      <c r="G500" s="1070"/>
      <c r="H500" s="1070"/>
      <c r="I500" s="1070"/>
      <c r="J500" s="1070"/>
      <c r="K500" s="1070"/>
      <c r="L500" s="1070"/>
      <c r="M500" s="1070"/>
      <c r="N500" s="443">
        <f>SUM(N501:N502)</f>
        <v>1.65</v>
      </c>
      <c r="O500" s="362"/>
      <c r="P500" s="860"/>
    </row>
    <row r="501" spans="1:16" ht="15.75" customHeight="1">
      <c r="A501" s="425"/>
      <c r="B501" s="926"/>
      <c r="C501" s="1070">
        <f>C15</f>
        <v>0</v>
      </c>
      <c r="D501" s="1070"/>
      <c r="E501" s="1070"/>
      <c r="F501" s="1070"/>
      <c r="G501" s="1070"/>
      <c r="H501" s="1070"/>
      <c r="I501" s="1070"/>
      <c r="J501" s="1070"/>
      <c r="K501" s="1070"/>
      <c r="L501" s="1070"/>
      <c r="M501" s="1070"/>
      <c r="N501" s="428">
        <f t="shared" ref="N501:N510" si="17">C501</f>
        <v>0</v>
      </c>
      <c r="O501" s="362"/>
      <c r="P501" s="860"/>
    </row>
    <row r="502" spans="1:16" ht="15.75" customHeight="1">
      <c r="A502" s="425"/>
      <c r="B502" s="926" t="str">
        <f>B16</f>
        <v>Jalan Samping Parkiran</v>
      </c>
      <c r="C502" s="1070">
        <f>C16</f>
        <v>1.65</v>
      </c>
      <c r="D502" s="1070">
        <f>D16</f>
        <v>3.2</v>
      </c>
      <c r="E502" s="1070"/>
      <c r="F502" s="1070"/>
      <c r="G502" s="1070"/>
      <c r="H502" s="1070"/>
      <c r="I502" s="1070"/>
      <c r="J502" s="1070"/>
      <c r="K502" s="1070"/>
      <c r="L502" s="1070"/>
      <c r="M502" s="1070"/>
      <c r="N502" s="428">
        <f t="shared" si="17"/>
        <v>1.65</v>
      </c>
      <c r="O502" s="362"/>
      <c r="P502" s="860"/>
    </row>
    <row r="503" spans="1:16" ht="15.75" customHeight="1">
      <c r="A503" s="425"/>
      <c r="B503" s="926"/>
      <c r="C503" s="1070"/>
      <c r="D503" s="1070"/>
      <c r="E503" s="1070"/>
      <c r="F503" s="1070"/>
      <c r="G503" s="1070"/>
      <c r="H503" s="1070"/>
      <c r="I503" s="1070"/>
      <c r="J503" s="1070"/>
      <c r="K503" s="1070"/>
      <c r="L503" s="1070"/>
      <c r="M503" s="1070"/>
      <c r="N503" s="428">
        <f t="shared" si="17"/>
        <v>0</v>
      </c>
      <c r="O503" s="362"/>
      <c r="P503" s="860"/>
    </row>
    <row r="504" spans="1:16" ht="15.75" customHeight="1">
      <c r="A504" s="425"/>
      <c r="B504" s="926"/>
      <c r="C504" s="1070">
        <f>C18</f>
        <v>0</v>
      </c>
      <c r="D504" s="1070"/>
      <c r="E504" s="1070"/>
      <c r="F504" s="1070"/>
      <c r="G504" s="1070"/>
      <c r="H504" s="1070"/>
      <c r="I504" s="1070"/>
      <c r="J504" s="1070"/>
      <c r="K504" s="1070"/>
      <c r="L504" s="1070"/>
      <c r="M504" s="1070"/>
      <c r="N504" s="443">
        <f t="shared" si="17"/>
        <v>0</v>
      </c>
      <c r="O504" s="362"/>
      <c r="P504" s="860"/>
    </row>
    <row r="505" spans="1:16" ht="15.75" customHeight="1">
      <c r="A505" s="425"/>
      <c r="B505" s="926" t="str">
        <f>B19</f>
        <v>depan bangunan beku</v>
      </c>
      <c r="C505" s="1070"/>
      <c r="D505" s="1070"/>
      <c r="E505" s="1070"/>
      <c r="F505" s="1070"/>
      <c r="G505" s="1070"/>
      <c r="H505" s="1070"/>
      <c r="I505" s="1070"/>
      <c r="J505" s="1070"/>
      <c r="K505" s="1070"/>
      <c r="L505" s="1070"/>
      <c r="M505" s="1070"/>
      <c r="N505" s="428">
        <f t="shared" si="17"/>
        <v>0</v>
      </c>
      <c r="O505" s="362"/>
      <c r="P505" s="860"/>
    </row>
    <row r="506" spans="1:16" ht="15.75" customHeight="1">
      <c r="A506" s="425"/>
      <c r="B506" s="926" t="str">
        <f>B20</f>
        <v>depan area parkir</v>
      </c>
      <c r="C506" s="1070">
        <f>C20</f>
        <v>0</v>
      </c>
      <c r="D506" s="1070"/>
      <c r="E506" s="1070"/>
      <c r="F506" s="1070"/>
      <c r="G506" s="1070"/>
      <c r="H506" s="1070"/>
      <c r="I506" s="1070"/>
      <c r="J506" s="1070"/>
      <c r="K506" s="1070"/>
      <c r="L506" s="1070"/>
      <c r="M506" s="1070"/>
      <c r="N506" s="443">
        <f t="shared" si="17"/>
        <v>0</v>
      </c>
      <c r="O506" s="362"/>
      <c r="P506" s="860"/>
    </row>
    <row r="507" spans="1:16" ht="15.75" customHeight="1">
      <c r="A507" s="425"/>
      <c r="B507" s="926"/>
      <c r="C507" s="1070"/>
      <c r="D507" s="1070"/>
      <c r="E507" s="1070"/>
      <c r="F507" s="1070"/>
      <c r="G507" s="1070"/>
      <c r="H507" s="1070"/>
      <c r="I507" s="1070"/>
      <c r="J507" s="1070"/>
      <c r="K507" s="1070"/>
      <c r="L507" s="1070"/>
      <c r="M507" s="1070"/>
      <c r="N507" s="428">
        <f t="shared" si="17"/>
        <v>0</v>
      </c>
      <c r="O507" s="362"/>
      <c r="P507" s="860"/>
    </row>
    <row r="508" spans="1:16" ht="15.75" customHeight="1">
      <c r="A508" s="425"/>
      <c r="B508" s="926" t="str">
        <f>B22</f>
        <v>sodetan samping Senkul</v>
      </c>
      <c r="C508" s="1070">
        <f>C22</f>
        <v>0</v>
      </c>
      <c r="D508" s="1070"/>
      <c r="E508" s="1070"/>
      <c r="F508" s="1070"/>
      <c r="G508" s="1070"/>
      <c r="H508" s="1070"/>
      <c r="I508" s="1070"/>
      <c r="J508" s="1070"/>
      <c r="K508" s="1070"/>
      <c r="L508" s="1070"/>
      <c r="M508" s="1070"/>
      <c r="N508" s="443">
        <f t="shared" si="17"/>
        <v>0</v>
      </c>
      <c r="O508" s="362"/>
      <c r="P508" s="860"/>
    </row>
    <row r="509" spans="1:16" ht="15.75" customHeight="1">
      <c r="A509" s="425"/>
      <c r="B509" s="926" t="str">
        <f>B23</f>
        <v>sodetan depan Bale Nelayan</v>
      </c>
      <c r="C509" s="1070"/>
      <c r="D509" s="1070"/>
      <c r="E509" s="1070"/>
      <c r="F509" s="1070"/>
      <c r="G509" s="1070"/>
      <c r="H509" s="1070"/>
      <c r="I509" s="1070"/>
      <c r="J509" s="1070"/>
      <c r="K509" s="1070"/>
      <c r="L509" s="1070"/>
      <c r="M509" s="1070"/>
      <c r="N509" s="428">
        <f t="shared" si="17"/>
        <v>0</v>
      </c>
      <c r="O509" s="362"/>
      <c r="P509" s="860"/>
    </row>
    <row r="510" spans="1:16" ht="15.75" customHeight="1">
      <c r="A510" s="425"/>
      <c r="B510" s="926" t="str">
        <f>B24</f>
        <v>sodetan blkg Toilet</v>
      </c>
      <c r="C510" s="1070">
        <f>C24</f>
        <v>0</v>
      </c>
      <c r="D510" s="1070"/>
      <c r="E510" s="1070"/>
      <c r="F510" s="1070"/>
      <c r="G510" s="1070"/>
      <c r="H510" s="1070"/>
      <c r="I510" s="1070"/>
      <c r="J510" s="1070"/>
      <c r="K510" s="1070"/>
      <c r="L510" s="1070"/>
      <c r="M510" s="1070"/>
      <c r="N510" s="443">
        <f t="shared" si="17"/>
        <v>0</v>
      </c>
      <c r="O510" s="362"/>
      <c r="P510" s="860"/>
    </row>
    <row r="511" spans="1:16" ht="15.75" customHeight="1">
      <c r="A511" s="425"/>
      <c r="B511" s="926" t="str">
        <f>B25</f>
        <v>depan bengkel</v>
      </c>
      <c r="C511" s="1070"/>
      <c r="D511" s="1070"/>
      <c r="E511" s="1070"/>
      <c r="F511" s="1070"/>
      <c r="G511" s="1070"/>
      <c r="H511" s="1070"/>
      <c r="I511" s="1070"/>
      <c r="J511" s="1070"/>
      <c r="K511" s="1070"/>
      <c r="L511" s="1070"/>
      <c r="M511" s="1070"/>
      <c r="N511" s="443">
        <f>SUM(N512:N513)</f>
        <v>0</v>
      </c>
      <c r="O511" s="362"/>
      <c r="P511" s="860"/>
    </row>
    <row r="512" spans="1:16" ht="15.75" customHeight="1">
      <c r="A512" s="425"/>
      <c r="B512" s="682"/>
      <c r="C512" s="1070">
        <f>C26</f>
        <v>0</v>
      </c>
      <c r="D512" s="1070"/>
      <c r="E512" s="1070"/>
      <c r="F512" s="1070"/>
      <c r="G512" s="1070"/>
      <c r="H512" s="1070"/>
      <c r="I512" s="1070"/>
      <c r="J512" s="1070"/>
      <c r="K512" s="1070"/>
      <c r="L512" s="1070"/>
      <c r="M512" s="1070"/>
      <c r="N512" s="428">
        <f>C512</f>
        <v>0</v>
      </c>
      <c r="O512" s="362"/>
      <c r="P512" s="860"/>
    </row>
    <row r="513" spans="1:16" ht="15.75" customHeight="1">
      <c r="A513" s="425"/>
      <c r="B513" s="682"/>
      <c r="C513" s="1070">
        <f>C27</f>
        <v>0</v>
      </c>
      <c r="D513" s="1070"/>
      <c r="E513" s="1070"/>
      <c r="F513" s="1070"/>
      <c r="G513" s="1070"/>
      <c r="H513" s="1070"/>
      <c r="I513" s="1070"/>
      <c r="J513" s="1070"/>
      <c r="K513" s="1070"/>
      <c r="L513" s="1070"/>
      <c r="M513" s="1070"/>
      <c r="N513" s="590">
        <f>C513</f>
        <v>0</v>
      </c>
      <c r="O513" s="362"/>
      <c r="P513" s="860"/>
    </row>
    <row r="514" spans="1:16" ht="15.75" customHeight="1">
      <c r="A514" s="425"/>
      <c r="B514" s="682"/>
      <c r="C514" s="1070"/>
      <c r="D514" s="1070"/>
      <c r="E514" s="1070"/>
      <c r="F514" s="1070"/>
      <c r="G514" s="1070"/>
      <c r="H514" s="1070"/>
      <c r="I514" s="1070"/>
      <c r="J514" s="1070"/>
      <c r="K514" s="1070"/>
      <c r="L514" s="1070"/>
      <c r="M514" s="1070"/>
      <c r="N514" s="1062">
        <f>(N511+N510+N508+N506+N504+N500+N495+N490)*0+100</f>
        <v>100</v>
      </c>
      <c r="O514" s="362"/>
      <c r="P514" s="860"/>
    </row>
    <row r="515" spans="1:16" ht="15.75" customHeight="1">
      <c r="A515" s="62">
        <v>1</v>
      </c>
      <c r="B515" s="71" t="s">
        <v>880</v>
      </c>
      <c r="C515" s="1070">
        <f>N514</f>
        <v>100</v>
      </c>
      <c r="D515" s="1070">
        <v>0.25</v>
      </c>
      <c r="E515" s="1070">
        <v>0.1</v>
      </c>
      <c r="F515" s="1070"/>
      <c r="G515" s="1070"/>
      <c r="H515" s="428"/>
      <c r="I515" s="428"/>
      <c r="J515" s="428"/>
      <c r="K515" s="428"/>
      <c r="L515" s="428"/>
      <c r="M515" s="428"/>
      <c r="N515" s="428">
        <f>C515*D515*E515</f>
        <v>2.5</v>
      </c>
      <c r="O515" s="362" t="s">
        <v>103</v>
      </c>
      <c r="P515" s="860">
        <f>ROUND((N515),2)</f>
        <v>2.5</v>
      </c>
    </row>
    <row r="516" spans="1:16" ht="15.75" customHeight="1">
      <c r="A516" s="62">
        <f>A515+1</f>
        <v>2</v>
      </c>
      <c r="B516" s="328" t="s">
        <v>415</v>
      </c>
      <c r="C516" s="1070">
        <f>C515</f>
        <v>100</v>
      </c>
      <c r="D516" s="1070">
        <f>D515</f>
        <v>0.25</v>
      </c>
      <c r="E516" s="1070">
        <v>0.05</v>
      </c>
      <c r="F516" s="1070"/>
      <c r="G516" s="1070"/>
      <c r="H516" s="1070"/>
      <c r="I516" s="1070"/>
      <c r="J516" s="428"/>
      <c r="K516" s="428"/>
      <c r="L516" s="428"/>
      <c r="M516" s="428"/>
      <c r="N516" s="428">
        <f>C516*D516*E516</f>
        <v>1.25</v>
      </c>
      <c r="O516" s="362" t="s">
        <v>103</v>
      </c>
      <c r="P516" s="860">
        <f>ROUND((N516),2)</f>
        <v>1.25</v>
      </c>
    </row>
    <row r="517" spans="1:16" ht="15.75" customHeight="1">
      <c r="A517" s="62">
        <f>A516+1</f>
        <v>3</v>
      </c>
      <c r="B517" s="71" t="s">
        <v>881</v>
      </c>
      <c r="C517" s="1070"/>
      <c r="D517" s="1070"/>
      <c r="E517" s="1070"/>
      <c r="F517" s="1070"/>
      <c r="G517" s="1070"/>
      <c r="H517" s="1070"/>
      <c r="I517" s="1070"/>
      <c r="J517" s="428"/>
      <c r="K517" s="428"/>
      <c r="L517" s="428"/>
      <c r="M517" s="428"/>
      <c r="N517" s="1058">
        <f>SUM(N518:N519)</f>
        <v>102.4</v>
      </c>
      <c r="O517" s="1062" t="s">
        <v>117</v>
      </c>
      <c r="P517" s="860">
        <f>ROUND((N517),2)</f>
        <v>102.4</v>
      </c>
    </row>
    <row r="518" spans="1:16" ht="15.75" customHeight="1">
      <c r="A518" s="62"/>
      <c r="B518" s="71"/>
      <c r="C518" s="1070">
        <f>C515</f>
        <v>100</v>
      </c>
      <c r="D518" s="1070"/>
      <c r="E518" s="1070"/>
      <c r="F518" s="1070"/>
      <c r="G518" s="1070"/>
      <c r="H518" s="1070"/>
      <c r="I518" s="1070"/>
      <c r="J518" s="428"/>
      <c r="K518" s="428"/>
      <c r="L518" s="428"/>
      <c r="M518" s="428"/>
      <c r="N518" s="390">
        <f>C518</f>
        <v>100</v>
      </c>
      <c r="O518" s="1065"/>
      <c r="P518" s="860"/>
    </row>
    <row r="519" spans="1:16" ht="15.75" customHeight="1">
      <c r="A519" s="62"/>
      <c r="B519" s="71"/>
      <c r="C519" s="1070"/>
      <c r="D519" s="1070">
        <v>1.2</v>
      </c>
      <c r="E519" s="1070"/>
      <c r="F519" s="1070"/>
      <c r="G519" s="1070"/>
      <c r="H519" s="1070">
        <v>2</v>
      </c>
      <c r="I519" s="1070"/>
      <c r="J519" s="428"/>
      <c r="K519" s="428"/>
      <c r="L519" s="428"/>
      <c r="M519" s="428"/>
      <c r="N519" s="428">
        <f>D519*H519</f>
        <v>2.4</v>
      </c>
      <c r="O519" s="1065"/>
      <c r="P519" s="860"/>
    </row>
    <row r="520" spans="1:16" ht="15.75" customHeight="1">
      <c r="A520" s="62">
        <f>A517+1</f>
        <v>4</v>
      </c>
      <c r="B520" s="71" t="s">
        <v>882</v>
      </c>
      <c r="C520" s="1070">
        <f>C515</f>
        <v>100</v>
      </c>
      <c r="D520" s="1070">
        <v>1.2</v>
      </c>
      <c r="E520" s="1070">
        <v>0.12</v>
      </c>
      <c r="F520" s="1070"/>
      <c r="G520" s="1070"/>
      <c r="H520" s="428"/>
      <c r="I520" s="428"/>
      <c r="J520" s="428"/>
      <c r="K520" s="428"/>
      <c r="L520" s="428"/>
      <c r="M520" s="428"/>
      <c r="N520" s="428">
        <f>C520*D520*E520</f>
        <v>14.399999999999999</v>
      </c>
      <c r="O520" s="362" t="s">
        <v>103</v>
      </c>
      <c r="P520" s="860">
        <f>ROUND((N520),2)</f>
        <v>14.4</v>
      </c>
    </row>
    <row r="521" spans="1:16" ht="15.75" customHeight="1">
      <c r="A521" s="62">
        <f>A520+1</f>
        <v>5</v>
      </c>
      <c r="B521" s="71" t="s">
        <v>399</v>
      </c>
      <c r="C521" s="1070">
        <f>C520</f>
        <v>100</v>
      </c>
      <c r="D521" s="1070">
        <f>D520</f>
        <v>1.2</v>
      </c>
      <c r="E521" s="1070">
        <v>7.0000000000000007E-2</v>
      </c>
      <c r="F521" s="1070"/>
      <c r="G521" s="1070"/>
      <c r="H521" s="428"/>
      <c r="I521" s="428"/>
      <c r="J521" s="428"/>
      <c r="K521" s="428"/>
      <c r="L521" s="428"/>
      <c r="M521" s="428"/>
      <c r="N521" s="1065">
        <f>C521*D521*E521</f>
        <v>8.4</v>
      </c>
      <c r="O521" s="362" t="s">
        <v>103</v>
      </c>
      <c r="P521" s="860">
        <f>ROUND((N521),2)</f>
        <v>8.4</v>
      </c>
    </row>
    <row r="522" spans="1:16" ht="15.75" customHeight="1">
      <c r="A522" s="62">
        <f>A521+1</f>
        <v>6</v>
      </c>
      <c r="B522" s="71" t="s">
        <v>883</v>
      </c>
      <c r="C522" s="1070"/>
      <c r="D522" s="1070"/>
      <c r="E522" s="1070"/>
      <c r="F522" s="1070"/>
      <c r="G522" s="1070"/>
      <c r="H522" s="428"/>
      <c r="I522" s="428"/>
      <c r="J522" s="428"/>
      <c r="K522" s="428"/>
      <c r="L522" s="428"/>
      <c r="M522" s="428"/>
      <c r="N522" s="428">
        <f>N521</f>
        <v>8.4</v>
      </c>
      <c r="O522" s="362" t="s">
        <v>103</v>
      </c>
      <c r="P522" s="860">
        <f>ROUND((N522),2)</f>
        <v>8.4</v>
      </c>
    </row>
    <row r="523" spans="1:16" ht="15.75" customHeight="1">
      <c r="A523" s="62">
        <f>A522+1</f>
        <v>7</v>
      </c>
      <c r="B523" s="71" t="s">
        <v>884</v>
      </c>
      <c r="C523" s="1070">
        <f>C521</f>
        <v>100</v>
      </c>
      <c r="D523" s="1070">
        <f>D521</f>
        <v>1.2</v>
      </c>
      <c r="E523" s="1070"/>
      <c r="F523" s="1070"/>
      <c r="G523" s="1070"/>
      <c r="H523" s="428"/>
      <c r="I523" s="428"/>
      <c r="J523" s="428"/>
      <c r="K523" s="428"/>
      <c r="L523" s="428"/>
      <c r="M523" s="428"/>
      <c r="N523" s="428">
        <f>C523*D523</f>
        <v>120</v>
      </c>
      <c r="O523" s="84" t="s">
        <v>89</v>
      </c>
      <c r="P523" s="860">
        <f>ROUND((N523),2)</f>
        <v>120</v>
      </c>
    </row>
    <row r="524" spans="1:16" s="437" customFormat="1" ht="15.75" hidden="1" customHeight="1">
      <c r="A524" s="881">
        <f>A523+1</f>
        <v>8</v>
      </c>
      <c r="B524" s="1089" t="s">
        <v>1358</v>
      </c>
      <c r="C524" s="1085"/>
      <c r="D524" s="1085"/>
      <c r="E524" s="1085"/>
      <c r="F524" s="1085"/>
      <c r="G524" s="1085"/>
      <c r="H524" s="587"/>
      <c r="I524" s="587"/>
      <c r="J524" s="587"/>
      <c r="K524" s="587"/>
      <c r="L524" s="587"/>
      <c r="M524" s="587"/>
      <c r="N524" s="587"/>
      <c r="O524" s="1086"/>
      <c r="P524" s="867"/>
    </row>
    <row r="525" spans="1:16" s="437" customFormat="1" ht="15.75" hidden="1" customHeight="1">
      <c r="A525" s="1090" t="s">
        <v>95</v>
      </c>
      <c r="B525" s="1089" t="s">
        <v>851</v>
      </c>
      <c r="C525" s="1085">
        <f>C521</f>
        <v>100</v>
      </c>
      <c r="D525" s="1085">
        <v>0.15</v>
      </c>
      <c r="E525" s="1085">
        <v>0.1</v>
      </c>
      <c r="F525" s="1085"/>
      <c r="G525" s="1085"/>
      <c r="H525" s="587"/>
      <c r="I525" s="587"/>
      <c r="J525" s="587"/>
      <c r="K525" s="587"/>
      <c r="L525" s="587"/>
      <c r="M525" s="587"/>
      <c r="N525" s="587">
        <f>C525*D525*E525</f>
        <v>1.5</v>
      </c>
      <c r="O525" s="1086" t="s">
        <v>103</v>
      </c>
      <c r="P525" s="867">
        <f>ROUND((N525),2)</f>
        <v>1.5</v>
      </c>
    </row>
    <row r="526" spans="1:16" s="437" customFormat="1" ht="15.75" hidden="1" customHeight="1">
      <c r="A526" s="1090" t="s">
        <v>98</v>
      </c>
      <c r="B526" s="1089" t="s">
        <v>777</v>
      </c>
      <c r="C526" s="1085">
        <f>C525</f>
        <v>100</v>
      </c>
      <c r="D526" s="1085"/>
      <c r="E526" s="1085">
        <v>0.3</v>
      </c>
      <c r="F526" s="1085"/>
      <c r="G526" s="1085"/>
      <c r="H526" s="587"/>
      <c r="I526" s="587"/>
      <c r="J526" s="587"/>
      <c r="K526" s="587"/>
      <c r="L526" s="587"/>
      <c r="M526" s="587"/>
      <c r="N526" s="587">
        <f>C526*E526</f>
        <v>30</v>
      </c>
      <c r="O526" s="439" t="s">
        <v>89</v>
      </c>
      <c r="P526" s="867">
        <f>ROUND((N526),2)</f>
        <v>30</v>
      </c>
    </row>
    <row r="527" spans="1:16" s="437" customFormat="1" ht="15.75" hidden="1" customHeight="1">
      <c r="A527" s="1090" t="s">
        <v>101</v>
      </c>
      <c r="B527" s="1089" t="s">
        <v>193</v>
      </c>
      <c r="C527" s="1085"/>
      <c r="D527" s="1085"/>
      <c r="E527" s="1085"/>
      <c r="F527" s="1085"/>
      <c r="G527" s="1085"/>
      <c r="H527" s="587"/>
      <c r="I527" s="587"/>
      <c r="J527" s="587"/>
      <c r="K527" s="587"/>
      <c r="L527" s="587"/>
      <c r="M527" s="587"/>
      <c r="N527" s="587"/>
      <c r="O527" s="1086"/>
      <c r="P527" s="867"/>
    </row>
    <row r="528" spans="1:16" s="437" customFormat="1" ht="15.75" hidden="1" customHeight="1">
      <c r="A528" s="1090"/>
      <c r="B528" s="1091" t="s">
        <v>1345</v>
      </c>
      <c r="C528" s="1085">
        <f>C526</f>
        <v>100</v>
      </c>
      <c r="D528" s="587">
        <v>0.1</v>
      </c>
      <c r="E528" s="587"/>
      <c r="F528" s="1085"/>
      <c r="G528" s="1085"/>
      <c r="H528" s="587"/>
      <c r="I528" s="587"/>
      <c r="J528" s="587"/>
      <c r="K528" s="587"/>
      <c r="L528" s="587"/>
      <c r="M528" s="587"/>
      <c r="N528" s="587">
        <f>C528*D528</f>
        <v>10</v>
      </c>
      <c r="O528" s="1086"/>
      <c r="P528" s="867"/>
    </row>
    <row r="529" spans="1:16" s="437" customFormat="1" ht="15.75" hidden="1" customHeight="1">
      <c r="A529" s="1090"/>
      <c r="B529" s="1091" t="s">
        <v>1451</v>
      </c>
      <c r="C529" s="1085">
        <f>C528</f>
        <v>100</v>
      </c>
      <c r="D529" s="587"/>
      <c r="E529" s="587">
        <f>0.1+0.2</f>
        <v>0.30000000000000004</v>
      </c>
      <c r="F529" s="1085"/>
      <c r="G529" s="1085"/>
      <c r="H529" s="587"/>
      <c r="I529" s="587"/>
      <c r="J529" s="587"/>
      <c r="K529" s="587"/>
      <c r="L529" s="587"/>
      <c r="M529" s="587"/>
      <c r="N529" s="587">
        <f>C529*E529</f>
        <v>30.000000000000004</v>
      </c>
      <c r="O529" s="1086"/>
      <c r="P529" s="867"/>
    </row>
    <row r="530" spans="1:16" s="437" customFormat="1" ht="15.75" hidden="1" customHeight="1">
      <c r="A530" s="1090"/>
      <c r="B530" s="1089"/>
      <c r="C530" s="1085"/>
      <c r="D530" s="1085"/>
      <c r="E530" s="1085"/>
      <c r="F530" s="1085"/>
      <c r="G530" s="1085"/>
      <c r="H530" s="587"/>
      <c r="I530" s="587"/>
      <c r="J530" s="587"/>
      <c r="K530" s="587"/>
      <c r="L530" s="587"/>
      <c r="M530" s="587"/>
      <c r="N530" s="436">
        <f>SUM(N528:N529)</f>
        <v>40</v>
      </c>
      <c r="O530" s="439" t="s">
        <v>89</v>
      </c>
      <c r="P530" s="867">
        <f>ROUND((N530),2)</f>
        <v>40</v>
      </c>
    </row>
    <row r="531" spans="1:16" s="437" customFormat="1" ht="15.75" hidden="1" customHeight="1">
      <c r="A531" s="1090" t="s">
        <v>121</v>
      </c>
      <c r="B531" s="1089" t="s">
        <v>857</v>
      </c>
      <c r="C531" s="1085"/>
      <c r="D531" s="1085"/>
      <c r="E531" s="1085"/>
      <c r="F531" s="1085"/>
      <c r="G531" s="1085"/>
      <c r="H531" s="587"/>
      <c r="I531" s="587"/>
      <c r="J531" s="587"/>
      <c r="K531" s="587"/>
      <c r="L531" s="587"/>
      <c r="M531" s="587"/>
      <c r="N531" s="587">
        <f>N530</f>
        <v>40</v>
      </c>
      <c r="O531" s="439" t="s">
        <v>89</v>
      </c>
      <c r="P531" s="867">
        <f>ROUND((N531),2)</f>
        <v>40</v>
      </c>
    </row>
    <row r="532" spans="1:16" s="437" customFormat="1" ht="15.75" hidden="1" customHeight="1">
      <c r="A532" s="1090" t="s">
        <v>142</v>
      </c>
      <c r="B532" s="1089" t="s">
        <v>858</v>
      </c>
      <c r="C532" s="1085">
        <f>C528</f>
        <v>100</v>
      </c>
      <c r="D532" s="1085"/>
      <c r="E532" s="1085"/>
      <c r="F532" s="1085"/>
      <c r="G532" s="1085"/>
      <c r="H532" s="587">
        <v>1</v>
      </c>
      <c r="I532" s="587"/>
      <c r="J532" s="587"/>
      <c r="K532" s="587"/>
      <c r="L532" s="587"/>
      <c r="M532" s="587"/>
      <c r="N532" s="587">
        <f>C532*H532</f>
        <v>100</v>
      </c>
      <c r="O532" s="1092" t="s">
        <v>117</v>
      </c>
      <c r="P532" s="867">
        <f>ROUND((N532),2)</f>
        <v>100</v>
      </c>
    </row>
    <row r="533" spans="1:16" ht="15.75" customHeight="1">
      <c r="A533" s="1093"/>
      <c r="B533" s="1094"/>
      <c r="C533" s="917"/>
      <c r="D533" s="917"/>
      <c r="E533" s="917"/>
      <c r="F533" s="917"/>
      <c r="G533" s="917"/>
      <c r="H533" s="917"/>
      <c r="I533" s="917"/>
      <c r="J533" s="917"/>
      <c r="K533" s="917"/>
      <c r="L533" s="917"/>
      <c r="M533" s="917"/>
      <c r="N533" s="917"/>
      <c r="O533" s="941"/>
      <c r="P533" s="1095"/>
    </row>
    <row r="534" spans="1:16" ht="15.75" customHeight="1"/>
    <row r="535" spans="1:16" ht="15.75" customHeight="1"/>
    <row r="536" spans="1:16" ht="15.75" customHeight="1"/>
    <row r="537" spans="1:16" ht="15.75" customHeight="1"/>
    <row r="538" spans="1:16" ht="15.75" customHeight="1"/>
    <row r="539" spans="1:16" ht="15.75" customHeight="1"/>
    <row r="540" spans="1:16" ht="15.75" customHeight="1"/>
    <row r="541" spans="1:16" ht="15.75" customHeight="1"/>
    <row r="542" spans="1:16" ht="15.75" customHeight="1"/>
    <row r="543" spans="1:16" ht="15.75" customHeight="1"/>
    <row r="544" spans="1:16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</sheetData>
  <mergeCells count="15">
    <mergeCell ref="L1:L2"/>
    <mergeCell ref="M1:M2"/>
    <mergeCell ref="N1:N2"/>
    <mergeCell ref="O1:O2"/>
    <mergeCell ref="P1:P2"/>
    <mergeCell ref="F1:F2"/>
    <mergeCell ref="G1:G2"/>
    <mergeCell ref="H1:H2"/>
    <mergeCell ref="I1:I2"/>
    <mergeCell ref="J1:K1"/>
    <mergeCell ref="A1:A2"/>
    <mergeCell ref="B1:B2"/>
    <mergeCell ref="C1:C2"/>
    <mergeCell ref="D1:D2"/>
    <mergeCell ref="E1:E2"/>
  </mergeCells>
  <pageMargins left="0.7" right="0.7" top="0.75" bottom="0.75" header="0.511811023622047" footer="0.511811023622047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41"/>
  <sheetViews>
    <sheetView topLeftCell="A6" zoomScale="91" zoomScaleNormal="91" workbookViewId="0">
      <pane ySplit="1" topLeftCell="A12" activePane="bottomLeft" state="frozen"/>
      <selection activeCell="A6" sqref="A6"/>
      <selection pane="bottomLeft" activeCell="D41" sqref="D41"/>
    </sheetView>
  </sheetViews>
  <sheetFormatPr baseColWidth="10" defaultColWidth="9.1640625" defaultRowHeight="15"/>
  <cols>
    <col min="1" max="1" width="9.1640625" style="497"/>
    <col min="2" max="2" width="55.83203125" style="497" customWidth="1"/>
    <col min="3" max="5" width="12.5" style="497" customWidth="1"/>
    <col min="6" max="6" width="10.83203125" style="497" bestFit="1" customWidth="1"/>
    <col min="7" max="9" width="10.5" style="497" customWidth="1"/>
    <col min="10" max="10" width="12.5" style="497" customWidth="1"/>
    <col min="11" max="11" width="14.5" style="497" customWidth="1"/>
    <col min="12" max="12" width="6.5" style="497" customWidth="1"/>
    <col min="13" max="13" width="15.5" style="498" customWidth="1"/>
    <col min="14" max="14" width="10.5" style="497" customWidth="1"/>
    <col min="15" max="15" width="15.83203125" style="497" customWidth="1"/>
    <col min="16" max="17" width="9.1640625" style="497"/>
    <col min="18" max="18" width="12.1640625" style="497" customWidth="1"/>
    <col min="19" max="16384" width="9.1640625" style="497"/>
  </cols>
  <sheetData>
    <row r="1" spans="1:21" ht="15.75" customHeight="1">
      <c r="A1" s="499"/>
      <c r="B1" s="499"/>
      <c r="C1" s="499"/>
      <c r="D1" s="499"/>
      <c r="E1" s="499"/>
      <c r="F1" s="499"/>
      <c r="G1" s="499"/>
      <c r="H1" s="499"/>
      <c r="I1" s="499"/>
      <c r="J1" s="499"/>
      <c r="K1" s="499"/>
      <c r="L1" s="499"/>
      <c r="M1" s="500"/>
      <c r="N1" s="499"/>
      <c r="O1" s="499"/>
      <c r="P1" s="499"/>
      <c r="Q1" s="499"/>
      <c r="R1" s="499"/>
      <c r="S1" s="501"/>
      <c r="T1" s="501"/>
      <c r="U1" s="501"/>
    </row>
    <row r="2" spans="1:21" ht="15.75" customHeight="1">
      <c r="A2" s="499"/>
      <c r="B2" s="499"/>
      <c r="C2" s="499"/>
      <c r="D2" s="499"/>
      <c r="E2" s="499"/>
      <c r="F2" s="499"/>
      <c r="G2" s="499"/>
      <c r="H2" s="499"/>
      <c r="I2" s="499"/>
      <c r="J2" s="499"/>
      <c r="K2" s="499"/>
      <c r="L2" s="499"/>
      <c r="M2" s="500"/>
      <c r="N2" s="499"/>
      <c r="O2" s="499"/>
      <c r="P2" s="499"/>
      <c r="Q2" s="499"/>
      <c r="R2" s="499"/>
      <c r="S2" s="501"/>
      <c r="T2" s="501"/>
      <c r="U2" s="501"/>
    </row>
    <row r="3" spans="1:21" ht="15.75" customHeight="1">
      <c r="A3" s="499"/>
      <c r="B3" s="499"/>
      <c r="C3" s="499"/>
      <c r="D3" s="499"/>
      <c r="E3" s="499"/>
      <c r="F3" s="499"/>
      <c r="G3" s="499"/>
      <c r="H3" s="499"/>
      <c r="I3" s="499"/>
      <c r="J3" s="499"/>
      <c r="K3" s="499"/>
      <c r="L3" s="499"/>
      <c r="M3" s="500"/>
      <c r="N3" s="499"/>
      <c r="O3" s="499"/>
      <c r="P3" s="499"/>
      <c r="Q3" s="499"/>
      <c r="R3" s="499"/>
      <c r="S3" s="501"/>
      <c r="T3" s="501"/>
      <c r="U3" s="501"/>
    </row>
    <row r="4" spans="1:21" ht="24" customHeight="1">
      <c r="A4" s="502" t="s">
        <v>76</v>
      </c>
      <c r="B4" s="499"/>
      <c r="C4" s="499"/>
      <c r="D4" s="499"/>
      <c r="E4" s="499"/>
      <c r="F4" s="499"/>
      <c r="G4" s="499"/>
      <c r="H4" s="499"/>
      <c r="I4" s="499"/>
      <c r="J4" s="499"/>
      <c r="K4" s="499"/>
      <c r="L4" s="499"/>
      <c r="M4" s="500"/>
      <c r="N4" s="499"/>
      <c r="O4" s="499"/>
      <c r="P4" s="499"/>
      <c r="Q4" s="499"/>
      <c r="R4" s="499"/>
      <c r="S4" s="501"/>
      <c r="T4" s="501"/>
      <c r="U4" s="501"/>
    </row>
    <row r="5" spans="1:21" ht="15.75" customHeight="1">
      <c r="A5" s="499"/>
      <c r="B5" s="499"/>
      <c r="C5" s="499"/>
      <c r="D5" s="499"/>
      <c r="E5" s="499"/>
      <c r="F5" s="499"/>
      <c r="G5" s="499"/>
      <c r="H5" s="499"/>
      <c r="I5" s="499"/>
      <c r="J5" s="499"/>
      <c r="K5" s="499"/>
      <c r="L5" s="499"/>
      <c r="M5" s="500"/>
      <c r="N5" s="499"/>
      <c r="O5" s="499"/>
      <c r="P5" s="499"/>
      <c r="Q5" s="499"/>
      <c r="R5" s="499"/>
      <c r="S5" s="501"/>
      <c r="T5" s="501"/>
      <c r="U5" s="501"/>
    </row>
    <row r="6" spans="1:21" s="498" customFormat="1" ht="21.75" customHeight="1">
      <c r="A6" s="503" t="s">
        <v>1</v>
      </c>
      <c r="B6" s="504" t="s">
        <v>68</v>
      </c>
      <c r="C6" s="504" t="s">
        <v>77</v>
      </c>
      <c r="D6" s="504" t="s">
        <v>78</v>
      </c>
      <c r="E6" s="504" t="s">
        <v>79</v>
      </c>
      <c r="F6" s="504" t="s">
        <v>6</v>
      </c>
      <c r="G6" s="504" t="s">
        <v>977</v>
      </c>
      <c r="H6" s="504" t="s">
        <v>978</v>
      </c>
      <c r="I6" s="504" t="s">
        <v>213</v>
      </c>
      <c r="J6" s="504" t="s">
        <v>80</v>
      </c>
      <c r="K6" s="504" t="s">
        <v>81</v>
      </c>
      <c r="L6" s="505" t="s">
        <v>82</v>
      </c>
      <c r="M6" s="506" t="s">
        <v>83</v>
      </c>
      <c r="N6" s="500"/>
      <c r="O6" s="500"/>
      <c r="P6" s="500"/>
      <c r="Q6" s="500"/>
      <c r="R6" s="500"/>
      <c r="S6" s="507"/>
      <c r="T6" s="507"/>
      <c r="U6" s="507"/>
    </row>
    <row r="7" spans="1:21" ht="7.5" customHeight="1">
      <c r="A7" s="499"/>
      <c r="B7" s="499"/>
      <c r="C7" s="499"/>
      <c r="D7" s="499"/>
      <c r="E7" s="499"/>
      <c r="F7" s="499"/>
      <c r="G7" s="499"/>
      <c r="H7" s="499"/>
      <c r="I7" s="499"/>
      <c r="J7" s="499"/>
      <c r="K7" s="499"/>
      <c r="L7" s="499"/>
      <c r="M7" s="500"/>
      <c r="N7" s="499"/>
      <c r="O7" s="499"/>
      <c r="P7" s="499"/>
      <c r="Q7" s="499"/>
      <c r="R7" s="499"/>
      <c r="S7" s="501"/>
      <c r="T7" s="501"/>
      <c r="U7" s="501"/>
    </row>
    <row r="8" spans="1:21" ht="7.5" customHeight="1">
      <c r="A8" s="508"/>
      <c r="B8" s="509"/>
      <c r="C8" s="509"/>
      <c r="D8" s="509"/>
      <c r="E8" s="509"/>
      <c r="F8" s="509"/>
      <c r="G8" s="509"/>
      <c r="H8" s="509"/>
      <c r="I8" s="509"/>
      <c r="J8" s="509"/>
      <c r="K8" s="509"/>
      <c r="L8" s="510"/>
      <c r="M8" s="500"/>
      <c r="N8" s="499"/>
      <c r="O8" s="499"/>
      <c r="P8" s="499"/>
      <c r="Q8" s="499"/>
      <c r="R8" s="499"/>
      <c r="S8" s="501"/>
      <c r="T8" s="501"/>
      <c r="U8" s="501"/>
    </row>
    <row r="9" spans="1:21" ht="15.75" customHeight="1">
      <c r="A9" s="511" t="s">
        <v>979</v>
      </c>
      <c r="B9" s="512" t="s">
        <v>980</v>
      </c>
      <c r="C9" s="513"/>
      <c r="D9" s="514"/>
      <c r="E9" s="514"/>
      <c r="F9" s="514"/>
      <c r="G9" s="514"/>
      <c r="H9" s="514"/>
      <c r="I9" s="514"/>
      <c r="J9" s="514"/>
      <c r="K9" s="514"/>
      <c r="L9" s="515"/>
      <c r="M9" s="516"/>
      <c r="N9" s="499"/>
      <c r="O9" s="499"/>
      <c r="P9" s="499"/>
      <c r="Q9" s="499"/>
      <c r="R9" s="499"/>
      <c r="S9" s="501"/>
      <c r="T9" s="501"/>
      <c r="U9" s="501"/>
    </row>
    <row r="10" spans="1:21" ht="15.75" customHeight="1">
      <c r="A10" s="511" t="s">
        <v>981</v>
      </c>
      <c r="B10" s="517" t="s">
        <v>982</v>
      </c>
      <c r="C10" s="513"/>
      <c r="D10" s="514"/>
      <c r="E10" s="514"/>
      <c r="F10" s="514"/>
      <c r="G10" s="514"/>
      <c r="H10" s="514"/>
      <c r="I10" s="514"/>
      <c r="J10" s="514"/>
      <c r="K10" s="514"/>
      <c r="L10" s="515"/>
      <c r="M10" s="516">
        <f>ROUND((K10),2)</f>
        <v>0</v>
      </c>
      <c r="N10" s="499"/>
      <c r="O10" s="499"/>
      <c r="P10" s="499"/>
      <c r="Q10" s="499"/>
      <c r="R10" s="499"/>
      <c r="S10" s="501"/>
      <c r="T10" s="501"/>
      <c r="U10" s="501"/>
    </row>
    <row r="11" spans="1:21" ht="15.75" customHeight="1">
      <c r="A11" s="518">
        <v>1</v>
      </c>
      <c r="B11" s="336" t="s">
        <v>983</v>
      </c>
      <c r="C11" s="513"/>
      <c r="D11" s="514"/>
      <c r="E11" s="514"/>
      <c r="F11" s="514"/>
      <c r="G11" s="514"/>
      <c r="H11" s="514"/>
      <c r="I11" s="514"/>
      <c r="J11" s="514"/>
      <c r="K11" s="514"/>
      <c r="L11" s="515"/>
      <c r="M11" s="516">
        <f>ROUND((K11),2)</f>
        <v>0</v>
      </c>
      <c r="N11" s="499"/>
      <c r="O11" s="499"/>
      <c r="P11" s="499"/>
      <c r="Q11" s="499"/>
      <c r="R11" s="499"/>
      <c r="S11" s="501"/>
      <c r="T11" s="501"/>
      <c r="U11" s="501"/>
    </row>
    <row r="12" spans="1:21" ht="15.75" customHeight="1">
      <c r="A12" s="518"/>
      <c r="B12" s="519" t="s">
        <v>984</v>
      </c>
      <c r="C12" s="520">
        <v>10</v>
      </c>
      <c r="D12" s="514"/>
      <c r="E12" s="514"/>
      <c r="F12" s="514"/>
      <c r="G12" s="514"/>
      <c r="H12" s="514"/>
      <c r="I12" s="514"/>
      <c r="J12" s="514"/>
      <c r="K12" s="514">
        <f>SUM(C12:J12)</f>
        <v>10</v>
      </c>
      <c r="L12" s="515"/>
      <c r="M12" s="516"/>
      <c r="N12" s="499"/>
      <c r="O12" s="499" t="s">
        <v>985</v>
      </c>
      <c r="P12" s="499"/>
      <c r="Q12" s="499"/>
      <c r="R12" s="499"/>
      <c r="S12" s="501"/>
      <c r="T12" s="501"/>
      <c r="U12" s="501"/>
    </row>
    <row r="13" spans="1:21" ht="15.75" customHeight="1">
      <c r="A13" s="518"/>
      <c r="B13" s="519" t="s">
        <v>986</v>
      </c>
      <c r="C13" s="520">
        <v>20</v>
      </c>
      <c r="D13" s="514"/>
      <c r="E13" s="514"/>
      <c r="F13" s="514"/>
      <c r="G13" s="514"/>
      <c r="H13" s="514"/>
      <c r="I13" s="514"/>
      <c r="J13" s="514"/>
      <c r="K13" s="514">
        <v>20</v>
      </c>
      <c r="L13" s="515"/>
      <c r="M13" s="516"/>
      <c r="N13" s="499"/>
      <c r="O13" s="499" t="s">
        <v>985</v>
      </c>
      <c r="P13" s="499"/>
      <c r="Q13" s="499"/>
      <c r="R13" s="499"/>
      <c r="S13" s="501"/>
      <c r="T13" s="501"/>
      <c r="U13" s="501"/>
    </row>
    <row r="14" spans="1:21" ht="15.75" customHeight="1">
      <c r="A14" s="518"/>
      <c r="B14" s="519" t="s">
        <v>987</v>
      </c>
      <c r="C14" s="520">
        <v>20</v>
      </c>
      <c r="D14" s="514"/>
      <c r="E14" s="514"/>
      <c r="F14" s="514"/>
      <c r="G14" s="514"/>
      <c r="H14" s="514"/>
      <c r="I14" s="514"/>
      <c r="J14" s="514"/>
      <c r="K14" s="521">
        <v>20</v>
      </c>
      <c r="L14" s="515"/>
      <c r="M14" s="516"/>
      <c r="N14" s="499"/>
      <c r="O14" s="499"/>
      <c r="P14" s="499"/>
      <c r="Q14" s="499"/>
      <c r="R14" s="499"/>
      <c r="S14" s="501"/>
      <c r="T14" s="501"/>
      <c r="U14" s="501"/>
    </row>
    <row r="15" spans="1:21" ht="15.75" customHeight="1">
      <c r="A15" s="518"/>
      <c r="B15" s="336"/>
      <c r="C15" s="514"/>
      <c r="D15" s="514"/>
      <c r="E15" s="514"/>
      <c r="F15" s="514"/>
      <c r="G15" s="514"/>
      <c r="H15" s="514"/>
      <c r="I15" s="514"/>
      <c r="J15" s="514"/>
      <c r="K15" s="514">
        <f>SUM(K12:K14)</f>
        <v>50</v>
      </c>
      <c r="L15" s="515" t="s">
        <v>117</v>
      </c>
      <c r="M15" s="516"/>
      <c r="N15" s="499"/>
      <c r="O15" s="499"/>
      <c r="P15" s="499"/>
      <c r="Q15" s="499"/>
      <c r="R15" s="499"/>
      <c r="S15" s="501"/>
      <c r="T15" s="501"/>
      <c r="U15" s="501"/>
    </row>
    <row r="16" spans="1:21" ht="15.75" customHeight="1">
      <c r="A16" s="522" t="s">
        <v>95</v>
      </c>
      <c r="B16" s="336" t="s">
        <v>382</v>
      </c>
      <c r="C16" s="514">
        <v>50</v>
      </c>
      <c r="D16" s="520">
        <f>0.2+0.5+0.5+0.2</f>
        <v>1.4</v>
      </c>
      <c r="E16" s="514">
        <v>0.4</v>
      </c>
      <c r="F16" s="514"/>
      <c r="G16" s="514"/>
      <c r="H16" s="514"/>
      <c r="I16" s="514"/>
      <c r="J16" s="514"/>
      <c r="K16" s="514">
        <f>C16*D16*E16</f>
        <v>28</v>
      </c>
      <c r="L16" s="515" t="s">
        <v>103</v>
      </c>
      <c r="M16" s="516">
        <f>ROUND((K16),2)</f>
        <v>28</v>
      </c>
      <c r="N16" s="499"/>
      <c r="O16" s="499"/>
      <c r="P16" s="499"/>
      <c r="Q16" s="499"/>
      <c r="R16" s="499"/>
      <c r="S16" s="501"/>
      <c r="T16" s="501"/>
      <c r="U16" s="501"/>
    </row>
    <row r="17" spans="1:21" ht="15.75" customHeight="1">
      <c r="A17" s="522"/>
      <c r="B17" s="2309" t="s">
        <v>3346</v>
      </c>
      <c r="C17" s="2310">
        <v>71</v>
      </c>
      <c r="D17" s="2311">
        <f>D16</f>
        <v>1.4</v>
      </c>
      <c r="E17" s="2310">
        <f>E16</f>
        <v>0.4</v>
      </c>
      <c r="F17" s="2310"/>
      <c r="G17" s="2310"/>
      <c r="H17" s="2310"/>
      <c r="I17" s="2310"/>
      <c r="J17" s="2310"/>
      <c r="K17" s="2310">
        <f>C17*D17*E17</f>
        <v>39.76</v>
      </c>
      <c r="L17" s="2312" t="s">
        <v>103</v>
      </c>
      <c r="M17" s="2308">
        <f>K17-K16</f>
        <v>11.759999999999998</v>
      </c>
      <c r="N17" s="499"/>
      <c r="O17" s="499"/>
      <c r="P17" s="499"/>
      <c r="Q17" s="499"/>
      <c r="R17" s="499"/>
      <c r="S17" s="501"/>
      <c r="T17" s="501"/>
      <c r="U17" s="501"/>
    </row>
    <row r="18" spans="1:21" ht="15.75" customHeight="1">
      <c r="A18" s="522" t="s">
        <v>98</v>
      </c>
      <c r="B18" s="339" t="s">
        <v>383</v>
      </c>
      <c r="C18" s="514"/>
      <c r="D18" s="514"/>
      <c r="E18" s="514">
        <v>4</v>
      </c>
      <c r="F18" s="514">
        <f>ROUNDDOWN((K15/0.5),0.5)+1</f>
        <v>101</v>
      </c>
      <c r="G18" s="514"/>
      <c r="H18" s="514"/>
      <c r="I18" s="514"/>
      <c r="J18" s="514">
        <v>3</v>
      </c>
      <c r="K18" s="514">
        <f>E18*F18*J18</f>
        <v>1212</v>
      </c>
      <c r="L18" s="523" t="s">
        <v>117</v>
      </c>
      <c r="M18" s="516">
        <f>ROUND((K18),2)</f>
        <v>1212</v>
      </c>
      <c r="N18" s="499"/>
      <c r="O18" s="499"/>
      <c r="P18" s="499"/>
      <c r="Q18" s="499"/>
      <c r="R18" s="499"/>
      <c r="S18" s="501"/>
      <c r="T18" s="501"/>
      <c r="U18" s="501"/>
    </row>
    <row r="19" spans="1:21" ht="15.75" customHeight="1">
      <c r="A19" s="522"/>
      <c r="B19" s="2313" t="s">
        <v>3346</v>
      </c>
      <c r="C19" s="2310"/>
      <c r="D19" s="2310"/>
      <c r="E19" s="2310">
        <v>4</v>
      </c>
      <c r="F19" s="2310">
        <f>ROUNDDOWN((C17/0.5),0.5)+1</f>
        <v>143</v>
      </c>
      <c r="G19" s="2310"/>
      <c r="H19" s="2310"/>
      <c r="I19" s="2310"/>
      <c r="J19" s="2310">
        <v>3</v>
      </c>
      <c r="K19" s="2310">
        <f>E19*F19*J19</f>
        <v>1716</v>
      </c>
      <c r="L19" s="2314" t="s">
        <v>3362</v>
      </c>
      <c r="M19" s="2308">
        <f>K19-K18</f>
        <v>504</v>
      </c>
      <c r="N19" s="499"/>
      <c r="O19" s="499"/>
      <c r="P19" s="499"/>
      <c r="Q19" s="499"/>
      <c r="R19" s="499"/>
      <c r="S19" s="501"/>
      <c r="T19" s="501"/>
      <c r="U19" s="501"/>
    </row>
    <row r="20" spans="1:21" ht="15.75" customHeight="1">
      <c r="A20" s="522" t="s">
        <v>98</v>
      </c>
      <c r="B20" s="336" t="s">
        <v>384</v>
      </c>
      <c r="C20" s="514">
        <f>C16</f>
        <v>50</v>
      </c>
      <c r="D20" s="514"/>
      <c r="E20" s="514">
        <f>E16</f>
        <v>0.4</v>
      </c>
      <c r="F20" s="514">
        <v>2</v>
      </c>
      <c r="G20" s="514"/>
      <c r="H20" s="514"/>
      <c r="I20" s="514"/>
      <c r="J20" s="514"/>
      <c r="K20" s="514">
        <f>(C20+F20)*E20</f>
        <v>20.8</v>
      </c>
      <c r="L20" s="515" t="s">
        <v>89</v>
      </c>
      <c r="M20" s="516">
        <f>ROUND((K20),2)</f>
        <v>20.8</v>
      </c>
      <c r="N20" s="499"/>
      <c r="O20" s="499"/>
      <c r="P20" s="499"/>
      <c r="Q20" s="499"/>
      <c r="R20" s="499"/>
      <c r="S20" s="501"/>
      <c r="T20" s="501"/>
      <c r="U20" s="501"/>
    </row>
    <row r="21" spans="1:21" ht="15.75" customHeight="1">
      <c r="A21" s="522" t="s">
        <v>101</v>
      </c>
      <c r="B21" s="336" t="s">
        <v>385</v>
      </c>
      <c r="C21" s="514"/>
      <c r="D21" s="524" t="s">
        <v>988</v>
      </c>
      <c r="E21" s="524" t="s">
        <v>133</v>
      </c>
      <c r="F21" s="524" t="s">
        <v>107</v>
      </c>
      <c r="G21" s="524"/>
      <c r="H21" s="524"/>
      <c r="I21" s="524"/>
      <c r="J21" s="514" t="s">
        <v>228</v>
      </c>
      <c r="K21" s="514"/>
      <c r="L21" s="515"/>
      <c r="M21" s="516"/>
      <c r="N21" s="499"/>
      <c r="O21" s="499"/>
      <c r="P21" s="499"/>
      <c r="Q21" s="499"/>
      <c r="R21" s="499"/>
      <c r="S21" s="501"/>
      <c r="T21" s="501"/>
      <c r="U21" s="501"/>
    </row>
    <row r="22" spans="1:21" ht="15.75" customHeight="1">
      <c r="A22" s="522"/>
      <c r="B22" s="525" t="s">
        <v>989</v>
      </c>
      <c r="C22" s="514">
        <f>D16-0.05*2</f>
        <v>1.2999999999999998</v>
      </c>
      <c r="D22" s="514">
        <f>0.2*2</f>
        <v>0.4</v>
      </c>
      <c r="E22" s="514">
        <f>13*13*0.006165</f>
        <v>1.041885</v>
      </c>
      <c r="F22" s="514">
        <v>2</v>
      </c>
      <c r="G22" s="514"/>
      <c r="H22" s="514"/>
      <c r="I22" s="514"/>
      <c r="J22" s="514">
        <f>ROUNDUP((C26/0.15),0.1)+1</f>
        <v>334</v>
      </c>
      <c r="K22" s="514">
        <f>(C22+D22)*E22*F22*J22</f>
        <v>1183.1646059999998</v>
      </c>
      <c r="L22" s="515"/>
      <c r="M22" s="516"/>
      <c r="N22" s="526" t="s">
        <v>990</v>
      </c>
      <c r="O22" s="499"/>
      <c r="P22" s="499"/>
      <c r="Q22" s="499"/>
      <c r="R22" s="499"/>
      <c r="S22" s="501"/>
      <c r="T22" s="501"/>
      <c r="U22" s="501"/>
    </row>
    <row r="23" spans="1:21" ht="15.75" customHeight="1">
      <c r="A23" s="522"/>
      <c r="B23" s="336"/>
      <c r="K23" s="527">
        <f>ROUNDUP((SUM(K22:K22)),5)</f>
        <v>1183.16461</v>
      </c>
      <c r="L23" s="523" t="s">
        <v>100</v>
      </c>
      <c r="M23" s="516">
        <f>ROUND((K23),2)</f>
        <v>1183.1600000000001</v>
      </c>
      <c r="N23" s="499"/>
      <c r="O23" s="499"/>
      <c r="P23" s="499"/>
      <c r="Q23" s="499"/>
      <c r="R23" s="499"/>
      <c r="S23" s="501"/>
      <c r="T23" s="501"/>
      <c r="U23" s="501"/>
    </row>
    <row r="24" spans="1:21" ht="15.75" customHeight="1">
      <c r="A24" s="522"/>
      <c r="B24" s="2309" t="s">
        <v>3346</v>
      </c>
      <c r="C24" s="2310">
        <f>D17-0.05*2</f>
        <v>1.2999999999999998</v>
      </c>
      <c r="D24" s="2310">
        <f>0.2*2</f>
        <v>0.4</v>
      </c>
      <c r="E24" s="2310">
        <f>13*13*0.006165</f>
        <v>1.041885</v>
      </c>
      <c r="F24" s="2310">
        <v>2</v>
      </c>
      <c r="G24" s="2310"/>
      <c r="H24" s="2310"/>
      <c r="I24" s="2310"/>
      <c r="J24" s="2310">
        <f>ROUNDUP((C27/0.15),0.1)+1</f>
        <v>474</v>
      </c>
      <c r="K24" s="2310">
        <f>(C24+D24)*E24*F24*J24</f>
        <v>1679.1018659999997</v>
      </c>
      <c r="L24" s="2314"/>
      <c r="M24" s="2308">
        <f>K24-K23</f>
        <v>495.93725599999971</v>
      </c>
      <c r="N24" s="499"/>
      <c r="O24" s="499"/>
      <c r="P24" s="499"/>
      <c r="Q24" s="499"/>
      <c r="R24" s="499"/>
      <c r="S24" s="501"/>
      <c r="T24" s="501"/>
      <c r="U24" s="501"/>
    </row>
    <row r="25" spans="1:21" ht="15.75" customHeight="1">
      <c r="A25" s="522" t="s">
        <v>121</v>
      </c>
      <c r="B25" s="336" t="s">
        <v>386</v>
      </c>
      <c r="C25" s="514"/>
      <c r="D25" s="524" t="s">
        <v>988</v>
      </c>
      <c r="E25" s="524" t="s">
        <v>133</v>
      </c>
      <c r="F25" s="524" t="s">
        <v>107</v>
      </c>
      <c r="G25" s="524"/>
      <c r="H25" s="524"/>
      <c r="I25" s="524"/>
      <c r="J25" s="514" t="s">
        <v>228</v>
      </c>
      <c r="K25" s="527"/>
      <c r="L25" s="523"/>
      <c r="M25" s="516"/>
      <c r="N25" s="499"/>
      <c r="O25" s="499"/>
      <c r="P25" s="499"/>
      <c r="Q25" s="499"/>
      <c r="R25" s="499"/>
      <c r="S25" s="501"/>
      <c r="T25" s="501"/>
      <c r="U25" s="501"/>
    </row>
    <row r="26" spans="1:21" ht="15.75" customHeight="1">
      <c r="A26" s="528"/>
      <c r="B26" s="525" t="s">
        <v>991</v>
      </c>
      <c r="C26" s="514">
        <f>C20-0.05*2</f>
        <v>49.9</v>
      </c>
      <c r="D26" s="514">
        <f>0.2*2</f>
        <v>0.4</v>
      </c>
      <c r="E26" s="321">
        <f>10*10*0.006165</f>
        <v>0.61650000000000005</v>
      </c>
      <c r="F26" s="514">
        <v>2</v>
      </c>
      <c r="G26" s="514"/>
      <c r="H26" s="514"/>
      <c r="I26" s="514"/>
      <c r="J26" s="514">
        <f>ROUNDUP((C22/0.15),0.1)+1</f>
        <v>10</v>
      </c>
      <c r="K26" s="514">
        <f>(C26+D26)*E26*F26*J26</f>
        <v>620.19899999999996</v>
      </c>
      <c r="L26" s="523" t="s">
        <v>100</v>
      </c>
      <c r="M26" s="516">
        <f>ROUND((K26),2)</f>
        <v>620.20000000000005</v>
      </c>
      <c r="N26" s="499"/>
      <c r="O26" s="499"/>
      <c r="P26" s="499"/>
      <c r="Q26" s="499"/>
      <c r="R26" s="499"/>
      <c r="S26" s="501"/>
      <c r="T26" s="501"/>
      <c r="U26" s="501"/>
    </row>
    <row r="27" spans="1:21" ht="15.75" customHeight="1">
      <c r="A27" s="528"/>
      <c r="B27" s="2309" t="s">
        <v>3346</v>
      </c>
      <c r="C27" s="2310">
        <v>70.900000000000006</v>
      </c>
      <c r="D27" s="2310">
        <f>0.2*2</f>
        <v>0.4</v>
      </c>
      <c r="E27" s="2315">
        <f>10*10*0.006165</f>
        <v>0.61650000000000005</v>
      </c>
      <c r="F27" s="2310">
        <v>2</v>
      </c>
      <c r="G27" s="2310"/>
      <c r="H27" s="2310"/>
      <c r="I27" s="2310"/>
      <c r="J27" s="2310">
        <f>J26</f>
        <v>10</v>
      </c>
      <c r="K27" s="2310">
        <f>(C27+D27)*E27*F27*J27</f>
        <v>879.12900000000025</v>
      </c>
      <c r="L27" s="2314"/>
      <c r="M27" s="2308">
        <f>K27-K26</f>
        <v>258.93000000000029</v>
      </c>
      <c r="N27" s="499"/>
      <c r="O27" s="499"/>
      <c r="P27" s="499"/>
      <c r="Q27" s="499"/>
      <c r="R27" s="499"/>
      <c r="S27" s="501"/>
      <c r="T27" s="501"/>
      <c r="U27" s="501"/>
    </row>
    <row r="28" spans="1:21" ht="15.75" customHeight="1">
      <c r="A28" s="338" t="s">
        <v>142</v>
      </c>
      <c r="B28" s="336" t="s">
        <v>992</v>
      </c>
      <c r="C28" s="514">
        <f>C20</f>
        <v>50</v>
      </c>
      <c r="D28" s="520">
        <f>D16</f>
        <v>1.4</v>
      </c>
      <c r="E28" s="321">
        <v>0.3</v>
      </c>
      <c r="F28" s="514"/>
      <c r="G28" s="514"/>
      <c r="H28" s="514"/>
      <c r="I28" s="514"/>
      <c r="J28" s="514"/>
      <c r="K28" s="514">
        <f>ROUNDUP((C28*D28*E28),5)</f>
        <v>21</v>
      </c>
      <c r="L28" s="515" t="s">
        <v>103</v>
      </c>
      <c r="M28" s="516">
        <f>ROUND((K28),2)</f>
        <v>21</v>
      </c>
      <c r="N28" s="499"/>
      <c r="O28" s="499"/>
      <c r="P28" s="499"/>
      <c r="Q28" s="499"/>
      <c r="R28" s="499"/>
      <c r="S28" s="501"/>
      <c r="T28" s="501"/>
      <c r="U28" s="501"/>
    </row>
    <row r="29" spans="1:21" ht="15.75" customHeight="1">
      <c r="A29" s="338"/>
      <c r="B29" s="2309" t="s">
        <v>3346</v>
      </c>
      <c r="C29" s="2310">
        <f>C17</f>
        <v>71</v>
      </c>
      <c r="D29" s="2311">
        <f>D17</f>
        <v>1.4</v>
      </c>
      <c r="E29" s="2315">
        <v>0.3</v>
      </c>
      <c r="F29" s="2310"/>
      <c r="G29" s="2310"/>
      <c r="H29" s="2310"/>
      <c r="I29" s="2310"/>
      <c r="J29" s="2310"/>
      <c r="K29" s="2310">
        <f>ROUNDUP((C29*D29*E29),5)</f>
        <v>29.82</v>
      </c>
      <c r="L29" s="2312"/>
      <c r="M29" s="2308">
        <f>K29-K28</f>
        <v>8.82</v>
      </c>
      <c r="N29" s="499"/>
      <c r="O29" s="499"/>
      <c r="P29" s="499"/>
      <c r="Q29" s="499"/>
      <c r="R29" s="499"/>
      <c r="S29" s="501"/>
      <c r="T29" s="501"/>
      <c r="U29" s="501"/>
    </row>
    <row r="30" spans="1:21" ht="15.75" customHeight="1">
      <c r="A30" s="338" t="s">
        <v>217</v>
      </c>
      <c r="B30" s="336" t="s">
        <v>993</v>
      </c>
      <c r="C30" s="514"/>
      <c r="D30" s="514"/>
      <c r="E30" s="514"/>
      <c r="F30" s="514"/>
      <c r="G30" s="514"/>
      <c r="H30" s="514"/>
      <c r="I30" s="514"/>
      <c r="J30" s="514"/>
      <c r="K30" s="514">
        <f>K28</f>
        <v>21</v>
      </c>
      <c r="L30" s="515" t="s">
        <v>103</v>
      </c>
      <c r="M30" s="516">
        <f>ROUND((K30),2)</f>
        <v>21</v>
      </c>
      <c r="N30" s="499"/>
      <c r="O30" s="499"/>
      <c r="P30" s="499"/>
      <c r="Q30" s="499"/>
      <c r="R30" s="499"/>
      <c r="S30" s="501"/>
      <c r="T30" s="501"/>
      <c r="U30" s="501"/>
    </row>
    <row r="31" spans="1:21" ht="15.75" customHeight="1">
      <c r="A31" s="338" t="s">
        <v>366</v>
      </c>
      <c r="B31" s="336" t="s">
        <v>218</v>
      </c>
      <c r="C31" s="514"/>
      <c r="D31" s="514"/>
      <c r="E31" s="514"/>
      <c r="F31" s="514"/>
      <c r="G31" s="514"/>
      <c r="H31" s="514"/>
      <c r="I31" s="514"/>
      <c r="J31" s="514"/>
      <c r="K31" s="514">
        <f>K30</f>
        <v>21</v>
      </c>
      <c r="L31" s="515" t="s">
        <v>103</v>
      </c>
      <c r="M31" s="516">
        <f>ROUND((K31),2)</f>
        <v>21</v>
      </c>
      <c r="N31" s="499"/>
      <c r="O31" s="499"/>
      <c r="P31" s="499"/>
      <c r="Q31" s="499"/>
      <c r="R31" s="499"/>
      <c r="S31" s="501"/>
      <c r="T31" s="501"/>
      <c r="U31" s="501"/>
    </row>
    <row r="32" spans="1:21" ht="15.75" customHeight="1">
      <c r="A32" s="518">
        <f>A11+1</f>
        <v>2</v>
      </c>
      <c r="B32" s="336" t="s">
        <v>388</v>
      </c>
      <c r="C32" s="514"/>
      <c r="D32" s="514"/>
      <c r="E32" s="514"/>
      <c r="F32" s="514"/>
      <c r="G32" s="514"/>
      <c r="H32" s="514"/>
      <c r="I32" s="514"/>
      <c r="J32" s="514"/>
      <c r="K32" s="514"/>
      <c r="L32" s="515"/>
      <c r="M32" s="516"/>
      <c r="N32" s="499"/>
      <c r="O32" s="499"/>
      <c r="P32" s="499"/>
      <c r="Q32" s="499"/>
      <c r="R32" s="499"/>
      <c r="S32" s="501"/>
      <c r="T32" s="501"/>
      <c r="U32" s="501"/>
    </row>
    <row r="33" spans="1:21" ht="15.75" customHeight="1">
      <c r="A33" s="522" t="s">
        <v>95</v>
      </c>
      <c r="B33" s="336" t="s">
        <v>994</v>
      </c>
      <c r="C33" s="514">
        <f>C20</f>
        <v>50</v>
      </c>
      <c r="D33" s="514"/>
      <c r="E33" s="514">
        <v>0.7</v>
      </c>
      <c r="F33" s="514">
        <v>2</v>
      </c>
      <c r="G33" s="514"/>
      <c r="H33" s="514"/>
      <c r="I33" s="514"/>
      <c r="J33" s="514"/>
      <c r="K33" s="514">
        <f>ROUNDUP((C33*E33*F33),5)</f>
        <v>70</v>
      </c>
      <c r="L33" s="515" t="s">
        <v>89</v>
      </c>
      <c r="M33" s="516">
        <f>ROUND((K33),2)</f>
        <v>70</v>
      </c>
      <c r="N33" s="499"/>
      <c r="O33" s="499"/>
      <c r="P33" s="499"/>
      <c r="Q33" s="499"/>
      <c r="R33" s="499"/>
      <c r="S33" s="501"/>
      <c r="T33" s="501"/>
      <c r="U33" s="501"/>
    </row>
    <row r="34" spans="1:21" ht="15.75" customHeight="1">
      <c r="A34" s="522"/>
      <c r="B34" s="530" t="s">
        <v>995</v>
      </c>
      <c r="C34" s="530"/>
      <c r="D34" s="524" t="s">
        <v>988</v>
      </c>
      <c r="E34" s="524" t="s">
        <v>133</v>
      </c>
      <c r="F34" s="514" t="s">
        <v>228</v>
      </c>
      <c r="G34" s="514"/>
      <c r="H34" s="514"/>
      <c r="I34" s="514"/>
      <c r="J34" s="524" t="s">
        <v>107</v>
      </c>
      <c r="K34" s="514"/>
      <c r="L34" s="515"/>
      <c r="M34" s="516"/>
      <c r="N34" s="499"/>
      <c r="O34" s="499"/>
      <c r="P34" s="499"/>
      <c r="Q34" s="499"/>
      <c r="R34" s="499"/>
      <c r="S34" s="501"/>
      <c r="T34" s="501"/>
      <c r="U34" s="501"/>
    </row>
    <row r="35" spans="1:21" ht="15.75" customHeight="1">
      <c r="A35" s="522"/>
      <c r="B35" s="2309" t="s">
        <v>3346</v>
      </c>
      <c r="C35" s="2310">
        <f>C17</f>
        <v>71</v>
      </c>
      <c r="D35" s="2310"/>
      <c r="E35" s="2310">
        <v>1.5</v>
      </c>
      <c r="F35" s="2310">
        <v>2</v>
      </c>
      <c r="G35" s="2310"/>
      <c r="H35" s="2310"/>
      <c r="I35" s="2310"/>
      <c r="J35" s="2310"/>
      <c r="K35" s="2310">
        <f>ROUNDUP((C35*E35*F35),5)</f>
        <v>213</v>
      </c>
      <c r="L35" s="2312" t="s">
        <v>89</v>
      </c>
      <c r="M35" s="2308">
        <f>K35-K33</f>
        <v>143</v>
      </c>
      <c r="N35" s="499"/>
      <c r="O35" s="499"/>
      <c r="P35" s="499"/>
      <c r="Q35" s="499"/>
      <c r="R35" s="499"/>
      <c r="S35" s="501"/>
      <c r="T35" s="501"/>
      <c r="U35" s="501"/>
    </row>
    <row r="36" spans="1:21" ht="15.75" customHeight="1">
      <c r="A36" s="522" t="s">
        <v>98</v>
      </c>
      <c r="B36" s="336" t="s">
        <v>390</v>
      </c>
      <c r="C36" s="514">
        <f>(E33-0.05*2)*2</f>
        <v>1.2</v>
      </c>
      <c r="D36" s="514">
        <f>0.1*2</f>
        <v>0.2</v>
      </c>
      <c r="E36" s="514">
        <f>13*13*0.006165</f>
        <v>1.041885</v>
      </c>
      <c r="F36" s="514">
        <f>ROUNDUP(((C33-0.05*2)/0.2),0.1)+1</f>
        <v>251</v>
      </c>
      <c r="G36" s="514"/>
      <c r="H36" s="514"/>
      <c r="I36" s="514"/>
      <c r="J36" s="514">
        <v>2</v>
      </c>
      <c r="K36" s="514">
        <f>(C36+D36)*E36*F36*J36</f>
        <v>732.23677799999984</v>
      </c>
      <c r="L36" s="515" t="s">
        <v>100</v>
      </c>
      <c r="M36" s="516">
        <f t="shared" ref="M36:M50" si="0">ROUND((K36),2)</f>
        <v>732.24</v>
      </c>
      <c r="N36" s="531">
        <f>(K15/0.2)+1</f>
        <v>251</v>
      </c>
      <c r="O36" s="499"/>
      <c r="P36" s="499">
        <f>0.1+1*2+0.5</f>
        <v>2.6</v>
      </c>
      <c r="Q36" s="499">
        <f>P36*E36*F36</f>
        <v>679.93415100000004</v>
      </c>
      <c r="R36" s="499"/>
      <c r="S36" s="501"/>
      <c r="T36" s="501"/>
      <c r="U36" s="501"/>
    </row>
    <row r="37" spans="1:21" ht="15.75" customHeight="1">
      <c r="A37" s="522"/>
      <c r="B37" s="2309" t="s">
        <v>3346</v>
      </c>
      <c r="C37" s="2310">
        <f>(E35-0.05*2)*2</f>
        <v>2.8</v>
      </c>
      <c r="D37" s="2310">
        <f>0.1*2</f>
        <v>0.2</v>
      </c>
      <c r="E37" s="2310">
        <f>13*13*0.006165</f>
        <v>1.041885</v>
      </c>
      <c r="F37" s="2310">
        <f>ROUNDUP(((C35-0.05*2)/0.2),0.1)+1</f>
        <v>356</v>
      </c>
      <c r="G37" s="2310"/>
      <c r="H37" s="2310"/>
      <c r="I37" s="2310"/>
      <c r="J37" s="2310">
        <v>2</v>
      </c>
      <c r="K37" s="2310">
        <f>(C37+D37)*E37*F37*J37</f>
        <v>2225.4663599999999</v>
      </c>
      <c r="L37" s="2312" t="s">
        <v>100</v>
      </c>
      <c r="M37" s="2308">
        <f>K37-K36</f>
        <v>1493.2295819999999</v>
      </c>
      <c r="N37" s="531"/>
      <c r="O37" s="499"/>
      <c r="P37" s="499"/>
      <c r="Q37" s="499"/>
      <c r="R37" s="499"/>
      <c r="S37" s="501"/>
      <c r="T37" s="501"/>
      <c r="U37" s="501"/>
    </row>
    <row r="38" spans="1:21" ht="15.75" customHeight="1">
      <c r="A38" s="522" t="s">
        <v>101</v>
      </c>
      <c r="B38" s="336" t="s">
        <v>391</v>
      </c>
      <c r="C38" s="514">
        <f>C33-0.05*2</f>
        <v>49.9</v>
      </c>
      <c r="D38" s="514">
        <f>D36</f>
        <v>0.2</v>
      </c>
      <c r="E38" s="321">
        <f>10*10*0.006165</f>
        <v>0.61650000000000005</v>
      </c>
      <c r="F38" s="514">
        <f>ROUNDUP(((E33-0.05*2)/0.2),0.1)+1</f>
        <v>4</v>
      </c>
      <c r="G38" s="514"/>
      <c r="H38" s="514"/>
      <c r="I38" s="514"/>
      <c r="J38" s="514">
        <v>2</v>
      </c>
      <c r="K38" s="514">
        <f>(C38+D38)*E38*F38*J38</f>
        <v>247.09320000000002</v>
      </c>
      <c r="L38" s="515" t="s">
        <v>100</v>
      </c>
      <c r="M38" s="516">
        <f t="shared" si="0"/>
        <v>247.09</v>
      </c>
      <c r="N38" s="499">
        <f>(3.2/0.2)+1</f>
        <v>17</v>
      </c>
      <c r="O38" s="499"/>
      <c r="P38" s="499"/>
      <c r="Q38" s="499"/>
      <c r="R38" s="499"/>
      <c r="S38" s="501"/>
      <c r="T38" s="501"/>
      <c r="U38" s="501"/>
    </row>
    <row r="39" spans="1:21" ht="15.75" customHeight="1">
      <c r="A39" s="528"/>
      <c r="B39" s="2309" t="s">
        <v>3346</v>
      </c>
      <c r="C39" s="2310">
        <f>C27</f>
        <v>70.900000000000006</v>
      </c>
      <c r="D39" s="2310">
        <f>D37</f>
        <v>0.2</v>
      </c>
      <c r="E39" s="2315">
        <f>10*10*0.006165</f>
        <v>0.61650000000000005</v>
      </c>
      <c r="F39" s="2310">
        <f>ROUNDUP(((E33-0.05*2)/0.2),0.1)+1</f>
        <v>4</v>
      </c>
      <c r="G39" s="2310"/>
      <c r="H39" s="2310"/>
      <c r="I39" s="2310"/>
      <c r="J39" s="2310">
        <v>2</v>
      </c>
      <c r="K39" s="2310">
        <f>(C39+D39)*E39*F39*J39</f>
        <v>350.66520000000008</v>
      </c>
      <c r="L39" s="2312" t="s">
        <v>100</v>
      </c>
      <c r="M39" s="2308">
        <f>K39-K38</f>
        <v>103.57200000000006</v>
      </c>
      <c r="N39" s="499"/>
      <c r="O39" s="499"/>
      <c r="P39" s="499"/>
      <c r="Q39" s="499"/>
      <c r="R39" s="499"/>
      <c r="S39" s="501"/>
      <c r="T39" s="501"/>
      <c r="U39" s="501"/>
    </row>
    <row r="40" spans="1:21" ht="15.75" customHeight="1">
      <c r="A40" s="338" t="s">
        <v>121</v>
      </c>
      <c r="B40" s="336" t="s">
        <v>992</v>
      </c>
      <c r="C40" s="514">
        <f>C33</f>
        <v>50</v>
      </c>
      <c r="D40" s="514">
        <v>0.2</v>
      </c>
      <c r="E40" s="514">
        <v>0.7</v>
      </c>
      <c r="F40" s="514"/>
      <c r="G40" s="514"/>
      <c r="H40" s="514"/>
      <c r="I40" s="514"/>
      <c r="J40" s="514"/>
      <c r="K40" s="514">
        <f>ROUNDUP((C40*D40*E40),5)</f>
        <v>7</v>
      </c>
      <c r="L40" s="515" t="s">
        <v>103</v>
      </c>
      <c r="M40" s="516">
        <f t="shared" si="0"/>
        <v>7</v>
      </c>
      <c r="N40" s="499"/>
      <c r="O40" s="499"/>
      <c r="P40" s="499"/>
      <c r="Q40" s="499"/>
      <c r="R40" s="499"/>
      <c r="S40" s="501"/>
      <c r="T40" s="501"/>
      <c r="U40" s="501"/>
    </row>
    <row r="41" spans="1:21" ht="15.75" customHeight="1">
      <c r="A41" s="338"/>
      <c r="B41" s="2309" t="s">
        <v>3346</v>
      </c>
      <c r="C41" s="2310">
        <f>C35</f>
        <v>71</v>
      </c>
      <c r="D41" s="2310">
        <v>0.27500000000000002</v>
      </c>
      <c r="E41" s="2310">
        <v>1.5</v>
      </c>
      <c r="F41" s="2310"/>
      <c r="G41" s="2310"/>
      <c r="H41" s="2310"/>
      <c r="I41" s="2310"/>
      <c r="J41" s="2310"/>
      <c r="K41" s="2310">
        <f>ROUNDUP((C41*D41*E41),5)</f>
        <v>29.287500000000001</v>
      </c>
      <c r="L41" s="2312" t="s">
        <v>103</v>
      </c>
      <c r="M41" s="2308">
        <f>K41-K40</f>
        <v>22.287500000000001</v>
      </c>
      <c r="N41" s="499"/>
      <c r="O41" s="499"/>
      <c r="P41" s="499"/>
      <c r="Q41" s="499"/>
      <c r="R41" s="499"/>
      <c r="S41" s="501"/>
      <c r="T41" s="501"/>
      <c r="U41" s="501"/>
    </row>
    <row r="42" spans="1:21" ht="15.75" customHeight="1">
      <c r="A42" s="338" t="s">
        <v>142</v>
      </c>
      <c r="B42" s="336" t="s">
        <v>993</v>
      </c>
      <c r="C42" s="514"/>
      <c r="D42" s="514"/>
      <c r="E42" s="514"/>
      <c r="F42" s="514"/>
      <c r="G42" s="514"/>
      <c r="H42" s="514"/>
      <c r="I42" s="514"/>
      <c r="J42" s="514"/>
      <c r="K42" s="514">
        <f>K41</f>
        <v>29.287500000000001</v>
      </c>
      <c r="L42" s="515" t="s">
        <v>103</v>
      </c>
      <c r="M42" s="516">
        <f t="shared" si="0"/>
        <v>29.29</v>
      </c>
      <c r="N42" s="499">
        <f>(25+35)/2</f>
        <v>30</v>
      </c>
      <c r="O42" s="499"/>
      <c r="P42" s="499"/>
      <c r="Q42" s="499"/>
      <c r="R42" s="499"/>
      <c r="S42" s="501"/>
      <c r="T42" s="501"/>
      <c r="U42" s="501"/>
    </row>
    <row r="43" spans="1:21" ht="15.75" customHeight="1">
      <c r="A43" s="338" t="s">
        <v>217</v>
      </c>
      <c r="B43" s="336" t="s">
        <v>218</v>
      </c>
      <c r="C43" s="514"/>
      <c r="D43" s="514"/>
      <c r="E43" s="514"/>
      <c r="F43" s="514"/>
      <c r="G43" s="514"/>
      <c r="H43" s="514"/>
      <c r="I43" s="514"/>
      <c r="J43" s="514"/>
      <c r="K43" s="514">
        <f>K42</f>
        <v>29.287500000000001</v>
      </c>
      <c r="L43" s="515" t="s">
        <v>103</v>
      </c>
      <c r="M43" s="516">
        <f t="shared" si="0"/>
        <v>29.29</v>
      </c>
      <c r="N43" s="499"/>
      <c r="O43" s="499"/>
      <c r="P43" s="499"/>
      <c r="Q43" s="499"/>
      <c r="R43" s="499"/>
      <c r="S43" s="501"/>
      <c r="T43" s="501"/>
      <c r="U43" s="501"/>
    </row>
    <row r="44" spans="1:21" s="540" customFormat="1" ht="15.75" hidden="1" customHeight="1">
      <c r="A44" s="532" t="e">
        <f>#REF!+1</f>
        <v>#REF!</v>
      </c>
      <c r="B44" s="533" t="s">
        <v>996</v>
      </c>
      <c r="C44" s="534"/>
      <c r="D44" s="534"/>
      <c r="E44" s="534"/>
      <c r="F44" s="534"/>
      <c r="G44" s="534"/>
      <c r="H44" s="534"/>
      <c r="I44" s="534"/>
      <c r="J44" s="534"/>
      <c r="K44" s="534"/>
      <c r="L44" s="535"/>
      <c r="M44" s="536">
        <f t="shared" si="0"/>
        <v>0</v>
      </c>
      <c r="N44" s="537"/>
      <c r="O44" s="537"/>
      <c r="P44" s="537"/>
      <c r="Q44" s="537"/>
      <c r="R44" s="538"/>
      <c r="S44" s="539"/>
      <c r="T44" s="539"/>
      <c r="U44" s="539"/>
    </row>
    <row r="45" spans="1:21" s="540" customFormat="1" ht="15.75" hidden="1" customHeight="1">
      <c r="A45" s="541" t="s">
        <v>95</v>
      </c>
      <c r="B45" s="533" t="s">
        <v>997</v>
      </c>
      <c r="C45" s="534"/>
      <c r="D45" s="534"/>
      <c r="E45" s="534"/>
      <c r="F45" s="534"/>
      <c r="G45" s="534"/>
      <c r="H45" s="534"/>
      <c r="I45" s="534"/>
      <c r="J45" s="534"/>
      <c r="K45" s="534"/>
      <c r="L45" s="535"/>
      <c r="M45" s="536">
        <f t="shared" si="0"/>
        <v>0</v>
      </c>
      <c r="N45" s="537"/>
      <c r="O45" s="537"/>
      <c r="P45" s="537"/>
      <c r="Q45" s="537"/>
      <c r="R45" s="538"/>
      <c r="S45" s="539"/>
      <c r="T45" s="539"/>
      <c r="U45" s="539"/>
    </row>
    <row r="46" spans="1:21" s="540" customFormat="1" ht="15.75" hidden="1" customHeight="1">
      <c r="A46" s="541"/>
      <c r="B46" s="533"/>
      <c r="C46" s="534"/>
      <c r="D46" s="534">
        <f>6*0.15</f>
        <v>0.89999999999999991</v>
      </c>
      <c r="E46" s="534">
        <v>1</v>
      </c>
      <c r="F46" s="534">
        <v>0.5</v>
      </c>
      <c r="G46" s="534"/>
      <c r="H46" s="534"/>
      <c r="I46" s="534"/>
      <c r="J46" s="534">
        <f>2*2</f>
        <v>4</v>
      </c>
      <c r="K46" s="534">
        <f>D46*E46*F46*J46</f>
        <v>1.7999999999999998</v>
      </c>
      <c r="L46" s="542" t="s">
        <v>89</v>
      </c>
      <c r="M46" s="536">
        <f t="shared" si="0"/>
        <v>1.8</v>
      </c>
      <c r="N46" s="537"/>
      <c r="O46" s="537"/>
      <c r="P46" s="537"/>
      <c r="Q46" s="537"/>
      <c r="R46" s="538"/>
      <c r="S46" s="539"/>
      <c r="T46" s="539"/>
      <c r="U46" s="539"/>
    </row>
    <row r="47" spans="1:21" s="540" customFormat="1" ht="15.75" hidden="1" customHeight="1">
      <c r="A47" s="541" t="s">
        <v>98</v>
      </c>
      <c r="B47" s="533" t="s">
        <v>102</v>
      </c>
      <c r="C47" s="534">
        <v>0.9</v>
      </c>
      <c r="D47" s="534">
        <v>0.6</v>
      </c>
      <c r="E47" s="534">
        <v>1</v>
      </c>
      <c r="F47" s="534">
        <v>0.5</v>
      </c>
      <c r="G47" s="534"/>
      <c r="H47" s="534"/>
      <c r="I47" s="534"/>
      <c r="J47" s="534">
        <v>2</v>
      </c>
      <c r="K47" s="534">
        <f>C47*D47*E47*F47*J47</f>
        <v>0.54</v>
      </c>
      <c r="L47" s="535" t="s">
        <v>103</v>
      </c>
      <c r="M47" s="536">
        <f t="shared" si="0"/>
        <v>0.54</v>
      </c>
      <c r="N47" s="537"/>
      <c r="O47" s="537"/>
      <c r="P47" s="537"/>
      <c r="Q47" s="537"/>
      <c r="R47" s="538"/>
      <c r="S47" s="539"/>
      <c r="T47" s="539"/>
      <c r="U47" s="539"/>
    </row>
    <row r="48" spans="1:21" s="540" customFormat="1" ht="15.75" hidden="1" customHeight="1">
      <c r="A48" s="541" t="s">
        <v>101</v>
      </c>
      <c r="B48" s="543" t="s">
        <v>145</v>
      </c>
      <c r="C48" s="534"/>
      <c r="D48" s="534"/>
      <c r="E48" s="534"/>
      <c r="F48" s="534"/>
      <c r="G48" s="534"/>
      <c r="H48" s="534"/>
      <c r="I48" s="534"/>
      <c r="J48" s="534"/>
      <c r="K48" s="534">
        <f>K47</f>
        <v>0.54</v>
      </c>
      <c r="L48" s="535" t="s">
        <v>103</v>
      </c>
      <c r="M48" s="536">
        <f t="shared" si="0"/>
        <v>0.54</v>
      </c>
      <c r="N48" s="537"/>
      <c r="O48" s="537"/>
      <c r="P48" s="537"/>
      <c r="Q48" s="537"/>
      <c r="R48" s="538"/>
      <c r="S48" s="539"/>
      <c r="T48" s="539"/>
      <c r="U48" s="539"/>
    </row>
    <row r="49" spans="1:21" s="540" customFormat="1" ht="15.75" hidden="1" customHeight="1">
      <c r="A49" s="541" t="s">
        <v>121</v>
      </c>
      <c r="B49" s="533" t="s">
        <v>908</v>
      </c>
      <c r="C49" s="534"/>
      <c r="D49" s="534">
        <f>6*0.15</f>
        <v>0.89999999999999991</v>
      </c>
      <c r="E49" s="534">
        <v>1</v>
      </c>
      <c r="F49" s="534">
        <v>0.5</v>
      </c>
      <c r="G49" s="534"/>
      <c r="H49" s="534"/>
      <c r="I49" s="534"/>
      <c r="J49" s="534">
        <f>2*2</f>
        <v>4</v>
      </c>
      <c r="K49" s="534">
        <f>D49*E49*F49*J49</f>
        <v>1.7999999999999998</v>
      </c>
      <c r="L49" s="542" t="s">
        <v>89</v>
      </c>
      <c r="M49" s="536">
        <f t="shared" si="0"/>
        <v>1.8</v>
      </c>
      <c r="N49" s="537"/>
      <c r="O49" s="537"/>
      <c r="P49" s="537"/>
      <c r="Q49" s="537"/>
      <c r="R49" s="538"/>
      <c r="S49" s="539"/>
      <c r="T49" s="539"/>
      <c r="U49" s="539"/>
    </row>
    <row r="50" spans="1:21" s="540" customFormat="1" ht="15.75" hidden="1" customHeight="1">
      <c r="A50" s="544" t="s">
        <v>142</v>
      </c>
      <c r="B50" s="533" t="s">
        <v>194</v>
      </c>
      <c r="C50" s="534"/>
      <c r="D50" s="534"/>
      <c r="E50" s="534"/>
      <c r="F50" s="534"/>
      <c r="G50" s="534"/>
      <c r="H50" s="534"/>
      <c r="I50" s="534"/>
      <c r="J50" s="534"/>
      <c r="K50" s="534">
        <f>K49</f>
        <v>1.7999999999999998</v>
      </c>
      <c r="L50" s="542" t="s">
        <v>89</v>
      </c>
      <c r="M50" s="536">
        <f t="shared" si="0"/>
        <v>1.8</v>
      </c>
      <c r="N50" s="537"/>
      <c r="O50" s="537"/>
      <c r="P50" s="537"/>
      <c r="Q50" s="537"/>
      <c r="R50" s="538"/>
      <c r="S50" s="539"/>
      <c r="T50" s="539"/>
      <c r="U50" s="539"/>
    </row>
    <row r="51" spans="1:21" ht="15.75" customHeight="1">
      <c r="A51" s="545"/>
      <c r="B51" s="546"/>
      <c r="C51" s="547"/>
      <c r="D51" s="547"/>
      <c r="E51" s="547"/>
      <c r="F51" s="547"/>
      <c r="G51" s="547"/>
      <c r="H51" s="547"/>
      <c r="I51" s="547"/>
      <c r="J51" s="547"/>
      <c r="K51" s="547"/>
      <c r="L51" s="548"/>
      <c r="M51" s="506"/>
      <c r="N51" s="499"/>
      <c r="O51" s="499"/>
      <c r="P51" s="499"/>
      <c r="Q51" s="499"/>
      <c r="R51" s="499"/>
      <c r="S51" s="501"/>
      <c r="T51" s="501"/>
      <c r="U51" s="501"/>
    </row>
    <row r="52" spans="1:21" ht="15.75" customHeight="1">
      <c r="A52" s="499"/>
      <c r="B52" s="499"/>
      <c r="C52" s="529"/>
      <c r="D52" s="529"/>
      <c r="E52" s="529"/>
      <c r="F52" s="529"/>
      <c r="G52" s="529"/>
      <c r="H52" s="529"/>
      <c r="I52" s="529"/>
      <c r="J52" s="529"/>
      <c r="K52" s="529"/>
      <c r="L52" s="549"/>
      <c r="M52" s="506"/>
      <c r="N52" s="499"/>
      <c r="O52" s="499"/>
      <c r="P52" s="499"/>
      <c r="Q52" s="499"/>
      <c r="R52" s="499"/>
      <c r="S52" s="501"/>
      <c r="T52" s="501"/>
      <c r="U52" s="501"/>
    </row>
    <row r="53" spans="1:21" ht="15.75" customHeight="1">
      <c r="A53" s="499"/>
      <c r="B53" s="499"/>
      <c r="C53" s="529"/>
      <c r="D53" s="529"/>
      <c r="E53" s="529"/>
      <c r="F53" s="529"/>
      <c r="G53" s="529"/>
      <c r="H53" s="529"/>
      <c r="I53" s="529"/>
      <c r="J53" s="529"/>
      <c r="K53" s="529"/>
      <c r="L53" s="549"/>
      <c r="M53" s="506"/>
      <c r="N53" s="499"/>
      <c r="O53" s="499"/>
      <c r="P53" s="499"/>
      <c r="Q53" s="499"/>
      <c r="R53" s="499"/>
      <c r="S53" s="501"/>
      <c r="T53" s="501"/>
      <c r="U53" s="501"/>
    </row>
    <row r="54" spans="1:21" ht="15.75" customHeight="1">
      <c r="A54" s="499"/>
      <c r="B54" s="499"/>
      <c r="C54" s="529"/>
      <c r="D54" s="529"/>
      <c r="E54" s="529"/>
      <c r="F54" s="529"/>
      <c r="G54" s="529"/>
      <c r="H54" s="529"/>
      <c r="I54" s="529"/>
      <c r="J54" s="529"/>
      <c r="K54" s="529"/>
      <c r="L54" s="549"/>
      <c r="M54" s="506"/>
      <c r="N54" s="499"/>
      <c r="O54" s="499"/>
      <c r="P54" s="499"/>
      <c r="Q54" s="499"/>
      <c r="R54" s="499"/>
      <c r="S54" s="501"/>
      <c r="T54" s="501"/>
      <c r="U54" s="501"/>
    </row>
    <row r="55" spans="1:21" ht="15.75" customHeight="1">
      <c r="A55" s="499"/>
      <c r="B55" s="499"/>
      <c r="C55" s="529"/>
      <c r="D55" s="529"/>
      <c r="E55" s="529"/>
      <c r="F55" s="529"/>
      <c r="G55" s="529"/>
      <c r="H55" s="529"/>
      <c r="I55" s="529"/>
      <c r="J55" s="529"/>
      <c r="K55" s="529"/>
      <c r="L55" s="549"/>
      <c r="M55" s="506"/>
      <c r="N55" s="499"/>
      <c r="O55" s="499"/>
      <c r="P55" s="499"/>
      <c r="Q55" s="499"/>
      <c r="R55" s="499"/>
      <c r="S55" s="501"/>
      <c r="T55" s="501"/>
      <c r="U55" s="501"/>
    </row>
    <row r="56" spans="1:21" ht="15.75" customHeight="1">
      <c r="A56" s="499"/>
      <c r="B56" s="499"/>
      <c r="C56" s="529"/>
      <c r="D56" s="529"/>
      <c r="E56" s="529"/>
      <c r="F56" s="529"/>
      <c r="G56" s="529"/>
      <c r="H56" s="529"/>
      <c r="I56" s="529"/>
      <c r="J56" s="529"/>
      <c r="K56" s="529"/>
      <c r="L56" s="549"/>
      <c r="M56" s="506"/>
      <c r="N56" s="499"/>
      <c r="O56" s="499"/>
      <c r="P56" s="499"/>
      <c r="Q56" s="499"/>
      <c r="R56" s="499"/>
      <c r="S56" s="501"/>
      <c r="T56" s="501"/>
      <c r="U56" s="501"/>
    </row>
    <row r="57" spans="1:21" ht="15.75" customHeight="1">
      <c r="A57" s="499"/>
      <c r="B57" s="499"/>
      <c r="C57" s="529"/>
      <c r="D57" s="529"/>
      <c r="E57" s="529"/>
      <c r="F57" s="529"/>
      <c r="G57" s="529"/>
      <c r="H57" s="529"/>
      <c r="I57" s="529"/>
      <c r="J57" s="529"/>
      <c r="K57" s="529"/>
      <c r="L57" s="549"/>
      <c r="M57" s="506"/>
      <c r="N57" s="499"/>
      <c r="O57" s="499"/>
      <c r="P57" s="499"/>
      <c r="Q57" s="499"/>
      <c r="R57" s="499"/>
      <c r="S57" s="501"/>
      <c r="T57" s="501"/>
      <c r="U57" s="501"/>
    </row>
    <row r="58" spans="1:21" ht="15.75" customHeight="1">
      <c r="A58" s="499"/>
      <c r="B58" s="499"/>
      <c r="C58" s="529"/>
      <c r="D58" s="529"/>
      <c r="E58" s="529"/>
      <c r="F58" s="529"/>
      <c r="G58" s="529"/>
      <c r="H58" s="529"/>
      <c r="I58" s="529"/>
      <c r="J58" s="529"/>
      <c r="K58" s="529"/>
      <c r="L58" s="549"/>
      <c r="M58" s="506"/>
      <c r="N58" s="499"/>
      <c r="O58" s="499"/>
      <c r="P58" s="499"/>
      <c r="Q58" s="499"/>
      <c r="R58" s="499"/>
      <c r="S58" s="501"/>
      <c r="T58" s="501"/>
      <c r="U58" s="501"/>
    </row>
    <row r="59" spans="1:21" ht="15.75" customHeight="1">
      <c r="A59" s="499"/>
      <c r="B59" s="499"/>
      <c r="C59" s="529"/>
      <c r="D59" s="529"/>
      <c r="E59" s="529"/>
      <c r="F59" s="529"/>
      <c r="G59" s="529"/>
      <c r="H59" s="529"/>
      <c r="I59" s="529"/>
      <c r="J59" s="529"/>
      <c r="K59" s="529"/>
      <c r="L59" s="549"/>
      <c r="M59" s="506"/>
      <c r="N59" s="499"/>
      <c r="O59" s="499"/>
      <c r="P59" s="499"/>
      <c r="Q59" s="499"/>
      <c r="R59" s="499"/>
      <c r="S59" s="501"/>
      <c r="T59" s="501"/>
      <c r="U59" s="501"/>
    </row>
    <row r="60" spans="1:21" ht="15.75" customHeight="1">
      <c r="A60" s="499"/>
      <c r="B60" s="499"/>
      <c r="C60" s="529"/>
      <c r="D60" s="529"/>
      <c r="E60" s="529"/>
      <c r="F60" s="529"/>
      <c r="G60" s="529"/>
      <c r="H60" s="529"/>
      <c r="I60" s="529"/>
      <c r="J60" s="529"/>
      <c r="K60" s="529"/>
      <c r="L60" s="549"/>
      <c r="M60" s="506"/>
      <c r="N60" s="499"/>
      <c r="O60" s="499"/>
      <c r="P60" s="499"/>
      <c r="Q60" s="499"/>
      <c r="R60" s="499"/>
      <c r="S60" s="501"/>
      <c r="T60" s="501"/>
      <c r="U60" s="501"/>
    </row>
    <row r="61" spans="1:21" ht="15.75" customHeight="1">
      <c r="A61" s="499"/>
      <c r="B61" s="499"/>
      <c r="C61" s="529"/>
      <c r="D61" s="529"/>
      <c r="E61" s="529"/>
      <c r="F61" s="529"/>
      <c r="G61" s="529"/>
      <c r="H61" s="529"/>
      <c r="I61" s="529"/>
      <c r="J61" s="529"/>
      <c r="K61" s="529"/>
      <c r="L61" s="549"/>
      <c r="M61" s="506"/>
      <c r="N61" s="499"/>
      <c r="O61" s="499"/>
      <c r="P61" s="499"/>
      <c r="Q61" s="499"/>
      <c r="R61" s="499"/>
      <c r="S61" s="501"/>
      <c r="T61" s="501"/>
      <c r="U61" s="501"/>
    </row>
    <row r="62" spans="1:21" ht="15.75" customHeight="1">
      <c r="A62" s="499"/>
      <c r="B62" s="499"/>
      <c r="C62" s="529"/>
      <c r="D62" s="529"/>
      <c r="E62" s="529"/>
      <c r="F62" s="529"/>
      <c r="G62" s="529"/>
      <c r="H62" s="529"/>
      <c r="I62" s="529"/>
      <c r="J62" s="529"/>
      <c r="K62" s="529"/>
      <c r="L62" s="549"/>
      <c r="M62" s="506"/>
      <c r="N62" s="499"/>
      <c r="O62" s="499"/>
      <c r="P62" s="499"/>
      <c r="Q62" s="499"/>
      <c r="R62" s="499"/>
      <c r="S62" s="501"/>
      <c r="T62" s="501"/>
      <c r="U62" s="501"/>
    </row>
    <row r="63" spans="1:21" ht="15.75" customHeight="1">
      <c r="A63" s="499"/>
      <c r="B63" s="499"/>
      <c r="C63" s="529"/>
      <c r="D63" s="529"/>
      <c r="E63" s="529"/>
      <c r="F63" s="529"/>
      <c r="G63" s="529"/>
      <c r="H63" s="529"/>
      <c r="I63" s="529"/>
      <c r="J63" s="529"/>
      <c r="K63" s="529"/>
      <c r="L63" s="549"/>
      <c r="M63" s="506"/>
      <c r="N63" s="499"/>
      <c r="O63" s="499"/>
      <c r="P63" s="499"/>
      <c r="Q63" s="499"/>
      <c r="R63" s="499"/>
      <c r="S63" s="501"/>
      <c r="T63" s="501"/>
      <c r="U63" s="501"/>
    </row>
    <row r="64" spans="1:21" ht="15.75" customHeight="1">
      <c r="A64" s="499"/>
      <c r="B64" s="499"/>
      <c r="C64" s="529"/>
      <c r="D64" s="529"/>
      <c r="E64" s="529"/>
      <c r="F64" s="529"/>
      <c r="G64" s="529"/>
      <c r="H64" s="529"/>
      <c r="I64" s="529"/>
      <c r="J64" s="529"/>
      <c r="K64" s="529"/>
      <c r="L64" s="549"/>
      <c r="M64" s="506"/>
      <c r="N64" s="499"/>
      <c r="O64" s="499"/>
      <c r="P64" s="499"/>
      <c r="Q64" s="499"/>
      <c r="R64" s="499"/>
      <c r="S64" s="501"/>
      <c r="T64" s="501"/>
      <c r="U64" s="501"/>
    </row>
    <row r="65" spans="1:21" ht="15.75" customHeight="1">
      <c r="A65" s="499"/>
      <c r="B65" s="499"/>
      <c r="C65" s="529"/>
      <c r="D65" s="529"/>
      <c r="E65" s="529"/>
      <c r="F65" s="529"/>
      <c r="G65" s="529"/>
      <c r="H65" s="529"/>
      <c r="I65" s="529"/>
      <c r="J65" s="529"/>
      <c r="K65" s="529"/>
      <c r="L65" s="549"/>
      <c r="M65" s="506"/>
      <c r="N65" s="499"/>
      <c r="O65" s="499"/>
      <c r="P65" s="499"/>
      <c r="Q65" s="499"/>
      <c r="R65" s="499"/>
      <c r="S65" s="501"/>
      <c r="T65" s="501"/>
      <c r="U65" s="501"/>
    </row>
    <row r="66" spans="1:21" ht="15.75" customHeight="1">
      <c r="A66" s="499"/>
      <c r="B66" s="499"/>
      <c r="C66" s="529"/>
      <c r="D66" s="529"/>
      <c r="E66" s="529"/>
      <c r="F66" s="529"/>
      <c r="G66" s="529"/>
      <c r="H66" s="529"/>
      <c r="I66" s="529"/>
      <c r="J66" s="529"/>
      <c r="K66" s="529"/>
      <c r="L66" s="549"/>
      <c r="M66" s="506"/>
      <c r="N66" s="499"/>
      <c r="O66" s="499"/>
      <c r="P66" s="499"/>
      <c r="Q66" s="499"/>
      <c r="R66" s="499"/>
      <c r="S66" s="501"/>
      <c r="T66" s="501"/>
      <c r="U66" s="501"/>
    </row>
    <row r="67" spans="1:21" ht="15.75" customHeight="1">
      <c r="A67" s="499"/>
      <c r="B67" s="499"/>
      <c r="C67" s="529"/>
      <c r="D67" s="529"/>
      <c r="E67" s="529"/>
      <c r="F67" s="529"/>
      <c r="G67" s="529"/>
      <c r="H67" s="529"/>
      <c r="I67" s="529"/>
      <c r="J67" s="529"/>
      <c r="K67" s="529"/>
      <c r="L67" s="549"/>
      <c r="M67" s="506"/>
      <c r="N67" s="499"/>
      <c r="O67" s="499"/>
      <c r="P67" s="499"/>
      <c r="Q67" s="499"/>
      <c r="R67" s="499"/>
      <c r="S67" s="501"/>
      <c r="T67" s="501"/>
      <c r="U67" s="501"/>
    </row>
    <row r="68" spans="1:21" ht="15.75" customHeight="1">
      <c r="A68" s="499"/>
      <c r="B68" s="499"/>
      <c r="C68" s="529"/>
      <c r="D68" s="529"/>
      <c r="E68" s="529"/>
      <c r="F68" s="529"/>
      <c r="G68" s="529"/>
      <c r="H68" s="529"/>
      <c r="I68" s="529"/>
      <c r="J68" s="529"/>
      <c r="K68" s="529"/>
      <c r="L68" s="549"/>
      <c r="M68" s="506"/>
      <c r="N68" s="499"/>
      <c r="O68" s="499"/>
      <c r="P68" s="499"/>
      <c r="Q68" s="499"/>
      <c r="R68" s="499"/>
      <c r="S68" s="501"/>
      <c r="T68" s="501"/>
      <c r="U68" s="501"/>
    </row>
    <row r="69" spans="1:21" ht="15.75" customHeight="1">
      <c r="A69" s="499"/>
      <c r="B69" s="499"/>
      <c r="C69" s="529"/>
      <c r="D69" s="529"/>
      <c r="E69" s="529"/>
      <c r="F69" s="529"/>
      <c r="G69" s="529"/>
      <c r="H69" s="529"/>
      <c r="I69" s="529"/>
      <c r="J69" s="529"/>
      <c r="K69" s="529"/>
      <c r="L69" s="549"/>
      <c r="M69" s="506"/>
      <c r="N69" s="499"/>
      <c r="O69" s="499"/>
      <c r="P69" s="499"/>
      <c r="Q69" s="499"/>
      <c r="R69" s="499"/>
      <c r="S69" s="501"/>
      <c r="T69" s="501"/>
      <c r="U69" s="501"/>
    </row>
    <row r="70" spans="1:21" ht="15.75" customHeight="1">
      <c r="A70" s="499"/>
      <c r="B70" s="499"/>
      <c r="C70" s="529"/>
      <c r="D70" s="529"/>
      <c r="E70" s="529"/>
      <c r="F70" s="529"/>
      <c r="G70" s="529"/>
      <c r="H70" s="529"/>
      <c r="I70" s="529"/>
      <c r="J70" s="529"/>
      <c r="K70" s="529"/>
      <c r="L70" s="549"/>
      <c r="M70" s="506"/>
      <c r="N70" s="499"/>
      <c r="O70" s="499"/>
      <c r="P70" s="499"/>
      <c r="Q70" s="499"/>
      <c r="R70" s="499"/>
      <c r="S70" s="501"/>
      <c r="T70" s="501"/>
      <c r="U70" s="501"/>
    </row>
    <row r="71" spans="1:21" ht="15.75" customHeight="1">
      <c r="A71" s="499"/>
      <c r="B71" s="499"/>
      <c r="C71" s="529"/>
      <c r="D71" s="529"/>
      <c r="E71" s="529"/>
      <c r="F71" s="529"/>
      <c r="G71" s="529"/>
      <c r="H71" s="529"/>
      <c r="I71" s="529"/>
      <c r="J71" s="529"/>
      <c r="K71" s="529"/>
      <c r="L71" s="549"/>
      <c r="M71" s="506"/>
      <c r="N71" s="499"/>
      <c r="O71" s="499"/>
      <c r="P71" s="499"/>
      <c r="Q71" s="499"/>
      <c r="R71" s="499"/>
      <c r="S71" s="501"/>
      <c r="T71" s="501"/>
      <c r="U71" s="501"/>
    </row>
    <row r="72" spans="1:21" ht="15.75" customHeight="1">
      <c r="A72" s="499"/>
      <c r="B72" s="499"/>
      <c r="C72" s="529"/>
      <c r="D72" s="529"/>
      <c r="E72" s="529"/>
      <c r="F72" s="529"/>
      <c r="G72" s="529"/>
      <c r="H72" s="529"/>
      <c r="I72" s="529"/>
      <c r="J72" s="529"/>
      <c r="K72" s="529"/>
      <c r="L72" s="549"/>
      <c r="M72" s="506"/>
      <c r="N72" s="499"/>
      <c r="O72" s="499"/>
      <c r="P72" s="499"/>
      <c r="Q72" s="499"/>
      <c r="R72" s="499"/>
      <c r="S72" s="501"/>
      <c r="T72" s="501"/>
      <c r="U72" s="501"/>
    </row>
    <row r="73" spans="1:21" ht="15.75" customHeight="1">
      <c r="A73" s="499"/>
      <c r="B73" s="499"/>
      <c r="C73" s="529"/>
      <c r="D73" s="529"/>
      <c r="E73" s="529"/>
      <c r="F73" s="529"/>
      <c r="G73" s="529"/>
      <c r="H73" s="529"/>
      <c r="I73" s="529"/>
      <c r="J73" s="529"/>
      <c r="K73" s="529"/>
      <c r="L73" s="549"/>
      <c r="M73" s="506"/>
      <c r="N73" s="499"/>
      <c r="O73" s="499"/>
      <c r="P73" s="499"/>
      <c r="Q73" s="499"/>
      <c r="R73" s="499"/>
      <c r="S73" s="501"/>
      <c r="T73" s="501"/>
      <c r="U73" s="501"/>
    </row>
    <row r="74" spans="1:21" ht="15.75" customHeight="1">
      <c r="A74" s="499"/>
      <c r="B74" s="499"/>
      <c r="C74" s="529"/>
      <c r="D74" s="529"/>
      <c r="E74" s="529"/>
      <c r="F74" s="529"/>
      <c r="G74" s="529"/>
      <c r="H74" s="529"/>
      <c r="I74" s="529"/>
      <c r="J74" s="529"/>
      <c r="K74" s="529"/>
      <c r="L74" s="549"/>
      <c r="M74" s="506"/>
      <c r="N74" s="499"/>
      <c r="O74" s="499"/>
      <c r="P74" s="499"/>
      <c r="Q74" s="499"/>
      <c r="R74" s="499"/>
      <c r="S74" s="501"/>
      <c r="T74" s="501"/>
      <c r="U74" s="501"/>
    </row>
    <row r="75" spans="1:21" ht="15.75" customHeight="1">
      <c r="A75" s="499"/>
      <c r="B75" s="499"/>
      <c r="C75" s="529"/>
      <c r="D75" s="529"/>
      <c r="E75" s="529"/>
      <c r="F75" s="529"/>
      <c r="G75" s="529"/>
      <c r="H75" s="529"/>
      <c r="I75" s="529"/>
      <c r="J75" s="529"/>
      <c r="K75" s="529"/>
      <c r="L75" s="549"/>
      <c r="M75" s="506"/>
      <c r="N75" s="499"/>
      <c r="O75" s="499"/>
      <c r="P75" s="499"/>
      <c r="Q75" s="499"/>
      <c r="R75" s="499"/>
      <c r="S75" s="501"/>
      <c r="T75" s="501"/>
      <c r="U75" s="501"/>
    </row>
    <row r="76" spans="1:21" ht="15.75" customHeight="1">
      <c r="A76" s="499"/>
      <c r="B76" s="499"/>
      <c r="C76" s="529"/>
      <c r="D76" s="529"/>
      <c r="E76" s="529"/>
      <c r="F76" s="529"/>
      <c r="G76" s="529"/>
      <c r="H76" s="529"/>
      <c r="I76" s="529"/>
      <c r="J76" s="529"/>
      <c r="K76" s="529"/>
      <c r="L76" s="549"/>
      <c r="M76" s="506"/>
      <c r="N76" s="499"/>
      <c r="O76" s="499"/>
      <c r="P76" s="499"/>
      <c r="Q76" s="499"/>
      <c r="R76" s="499"/>
      <c r="S76" s="501"/>
      <c r="T76" s="501"/>
      <c r="U76" s="501"/>
    </row>
    <row r="77" spans="1:21" ht="15.75" customHeight="1">
      <c r="A77" s="499"/>
      <c r="B77" s="499"/>
      <c r="C77" s="529"/>
      <c r="D77" s="529"/>
      <c r="E77" s="529"/>
      <c r="F77" s="529"/>
      <c r="G77" s="529"/>
      <c r="H77" s="529"/>
      <c r="I77" s="529"/>
      <c r="J77" s="529"/>
      <c r="K77" s="529"/>
      <c r="L77" s="549"/>
      <c r="M77" s="506"/>
      <c r="N77" s="499"/>
      <c r="O77" s="499"/>
      <c r="P77" s="499"/>
      <c r="Q77" s="499"/>
      <c r="R77" s="499"/>
      <c r="S77" s="501"/>
      <c r="T77" s="501"/>
      <c r="U77" s="501"/>
    </row>
    <row r="78" spans="1:21" ht="15.75" customHeight="1">
      <c r="A78" s="499"/>
      <c r="B78" s="499"/>
      <c r="C78" s="529"/>
      <c r="D78" s="529"/>
      <c r="E78" s="529"/>
      <c r="F78" s="529"/>
      <c r="G78" s="529"/>
      <c r="H78" s="529"/>
      <c r="I78" s="529"/>
      <c r="J78" s="529"/>
      <c r="K78" s="529"/>
      <c r="L78" s="549"/>
      <c r="M78" s="506"/>
      <c r="N78" s="499"/>
      <c r="O78" s="499"/>
      <c r="P78" s="499"/>
      <c r="Q78" s="499"/>
      <c r="R78" s="499"/>
      <c r="S78" s="501"/>
      <c r="T78" s="501"/>
      <c r="U78" s="501"/>
    </row>
    <row r="79" spans="1:21" ht="15.75" customHeight="1">
      <c r="A79" s="499"/>
      <c r="B79" s="499"/>
      <c r="C79" s="529"/>
      <c r="D79" s="529"/>
      <c r="E79" s="529"/>
      <c r="F79" s="529"/>
      <c r="G79" s="529"/>
      <c r="H79" s="529"/>
      <c r="I79" s="529"/>
      <c r="J79" s="529"/>
      <c r="K79" s="529"/>
      <c r="L79" s="549"/>
      <c r="M79" s="506"/>
      <c r="N79" s="499"/>
      <c r="O79" s="499"/>
      <c r="P79" s="499"/>
      <c r="Q79" s="499"/>
      <c r="R79" s="499"/>
      <c r="S79" s="501"/>
      <c r="T79" s="501"/>
      <c r="U79" s="501"/>
    </row>
    <row r="80" spans="1:21" ht="15.75" customHeight="1">
      <c r="A80" s="499"/>
      <c r="B80" s="499"/>
      <c r="C80" s="529"/>
      <c r="D80" s="529"/>
      <c r="E80" s="529"/>
      <c r="F80" s="529"/>
      <c r="G80" s="529"/>
      <c r="H80" s="529"/>
      <c r="I80" s="529"/>
      <c r="J80" s="529"/>
      <c r="K80" s="529"/>
      <c r="L80" s="549"/>
      <c r="M80" s="506"/>
      <c r="N80" s="499"/>
      <c r="O80" s="499"/>
      <c r="P80" s="499"/>
      <c r="Q80" s="499"/>
      <c r="R80" s="499"/>
      <c r="S80" s="501"/>
      <c r="T80" s="501"/>
      <c r="U80" s="501"/>
    </row>
    <row r="81" spans="1:21" ht="15.75" customHeight="1">
      <c r="A81" s="499"/>
      <c r="B81" s="499"/>
      <c r="C81" s="529"/>
      <c r="D81" s="529"/>
      <c r="E81" s="529"/>
      <c r="F81" s="529"/>
      <c r="G81" s="529"/>
      <c r="H81" s="529"/>
      <c r="I81" s="529"/>
      <c r="J81" s="529"/>
      <c r="K81" s="529"/>
      <c r="L81" s="549"/>
      <c r="M81" s="506"/>
      <c r="N81" s="499"/>
      <c r="O81" s="499"/>
      <c r="P81" s="499"/>
      <c r="Q81" s="499"/>
      <c r="R81" s="499"/>
      <c r="S81" s="501"/>
      <c r="T81" s="501"/>
      <c r="U81" s="501"/>
    </row>
    <row r="82" spans="1:21" ht="15.75" customHeight="1">
      <c r="A82" s="499"/>
      <c r="B82" s="499"/>
      <c r="C82" s="529"/>
      <c r="D82" s="529"/>
      <c r="E82" s="529"/>
      <c r="F82" s="529"/>
      <c r="G82" s="529"/>
      <c r="H82" s="529"/>
      <c r="I82" s="529"/>
      <c r="J82" s="529"/>
      <c r="K82" s="529"/>
      <c r="L82" s="549"/>
      <c r="M82" s="506"/>
      <c r="N82" s="499"/>
      <c r="O82" s="499"/>
      <c r="P82" s="499"/>
      <c r="Q82" s="499"/>
      <c r="R82" s="499"/>
      <c r="S82" s="501"/>
      <c r="T82" s="501"/>
      <c r="U82" s="501"/>
    </row>
    <row r="83" spans="1:21" ht="15.75" customHeight="1">
      <c r="A83" s="499"/>
      <c r="B83" s="499"/>
      <c r="C83" s="529"/>
      <c r="D83" s="529"/>
      <c r="E83" s="529"/>
      <c r="F83" s="529"/>
      <c r="G83" s="529"/>
      <c r="H83" s="529"/>
      <c r="I83" s="529"/>
      <c r="J83" s="529"/>
      <c r="K83" s="529"/>
      <c r="L83" s="549"/>
      <c r="M83" s="506"/>
      <c r="N83" s="499"/>
      <c r="O83" s="499"/>
      <c r="P83" s="499"/>
      <c r="Q83" s="499"/>
      <c r="R83" s="499"/>
      <c r="S83" s="501"/>
      <c r="T83" s="501"/>
      <c r="U83" s="501"/>
    </row>
    <row r="84" spans="1:21" ht="15.75" customHeight="1">
      <c r="A84" s="499"/>
      <c r="B84" s="499"/>
      <c r="C84" s="529"/>
      <c r="D84" s="529"/>
      <c r="E84" s="529"/>
      <c r="F84" s="529"/>
      <c r="G84" s="529"/>
      <c r="H84" s="529"/>
      <c r="I84" s="529"/>
      <c r="J84" s="529"/>
      <c r="K84" s="529"/>
      <c r="L84" s="549"/>
      <c r="M84" s="506"/>
      <c r="N84" s="499"/>
      <c r="O84" s="499"/>
      <c r="P84" s="499"/>
      <c r="Q84" s="499"/>
      <c r="R84" s="499"/>
      <c r="S84" s="501"/>
      <c r="T84" s="501"/>
      <c r="U84" s="501"/>
    </row>
    <row r="85" spans="1:21" ht="15.75" customHeight="1">
      <c r="A85" s="499"/>
      <c r="B85" s="499"/>
      <c r="C85" s="529"/>
      <c r="D85" s="529"/>
      <c r="E85" s="529"/>
      <c r="F85" s="529"/>
      <c r="G85" s="529"/>
      <c r="H85" s="529"/>
      <c r="I85" s="529"/>
      <c r="J85" s="529"/>
      <c r="K85" s="529"/>
      <c r="L85" s="549"/>
      <c r="M85" s="506"/>
      <c r="N85" s="499"/>
      <c r="O85" s="499"/>
      <c r="P85" s="499"/>
      <c r="Q85" s="499"/>
      <c r="R85" s="499"/>
      <c r="S85" s="501"/>
      <c r="T85" s="501"/>
      <c r="U85" s="501"/>
    </row>
    <row r="86" spans="1:21" ht="15.75" customHeight="1">
      <c r="A86" s="499"/>
      <c r="B86" s="499"/>
      <c r="C86" s="529"/>
      <c r="D86" s="529"/>
      <c r="E86" s="529"/>
      <c r="F86" s="529"/>
      <c r="G86" s="529"/>
      <c r="H86" s="529"/>
      <c r="I86" s="529"/>
      <c r="J86" s="529"/>
      <c r="K86" s="529"/>
      <c r="L86" s="549"/>
      <c r="M86" s="506"/>
      <c r="N86" s="499"/>
      <c r="O86" s="499"/>
      <c r="P86" s="499"/>
      <c r="Q86" s="499"/>
      <c r="R86" s="499"/>
      <c r="S86" s="501"/>
      <c r="T86" s="501"/>
      <c r="U86" s="501"/>
    </row>
    <row r="87" spans="1:21" ht="15.75" customHeight="1">
      <c r="A87" s="499"/>
      <c r="B87" s="499"/>
      <c r="C87" s="529"/>
      <c r="D87" s="529"/>
      <c r="E87" s="529"/>
      <c r="F87" s="529"/>
      <c r="G87" s="529"/>
      <c r="H87" s="529"/>
      <c r="I87" s="529"/>
      <c r="J87" s="529"/>
      <c r="K87" s="529"/>
      <c r="L87" s="549"/>
      <c r="M87" s="506"/>
      <c r="N87" s="499"/>
      <c r="O87" s="499"/>
      <c r="P87" s="499"/>
      <c r="Q87" s="499"/>
      <c r="R87" s="499"/>
      <c r="S87" s="501"/>
      <c r="T87" s="501"/>
      <c r="U87" s="501"/>
    </row>
    <row r="88" spans="1:21" ht="15.75" customHeight="1">
      <c r="A88" s="499"/>
      <c r="B88" s="499"/>
      <c r="C88" s="529"/>
      <c r="D88" s="529"/>
      <c r="E88" s="529"/>
      <c r="F88" s="529"/>
      <c r="G88" s="529"/>
      <c r="H88" s="529"/>
      <c r="I88" s="529"/>
      <c r="J88" s="529"/>
      <c r="K88" s="529"/>
      <c r="L88" s="549"/>
      <c r="M88" s="506"/>
      <c r="N88" s="499"/>
      <c r="O88" s="499"/>
      <c r="P88" s="499"/>
      <c r="Q88" s="499"/>
      <c r="R88" s="499"/>
      <c r="S88" s="501"/>
      <c r="T88" s="501"/>
      <c r="U88" s="501"/>
    </row>
    <row r="89" spans="1:21" ht="15.75" customHeight="1">
      <c r="A89" s="499"/>
      <c r="B89" s="499"/>
      <c r="C89" s="529"/>
      <c r="D89" s="529"/>
      <c r="E89" s="529"/>
      <c r="F89" s="529"/>
      <c r="G89" s="529"/>
      <c r="H89" s="529"/>
      <c r="I89" s="529"/>
      <c r="J89" s="529"/>
      <c r="K89" s="529"/>
      <c r="L89" s="549"/>
      <c r="M89" s="506"/>
      <c r="N89" s="499"/>
      <c r="O89" s="499"/>
      <c r="P89" s="499"/>
      <c r="Q89" s="499"/>
      <c r="R89" s="499"/>
      <c r="S89" s="501"/>
      <c r="T89" s="501"/>
      <c r="U89" s="501"/>
    </row>
    <row r="90" spans="1:21" ht="15.75" customHeight="1">
      <c r="A90" s="499"/>
      <c r="B90" s="499"/>
      <c r="C90" s="529"/>
      <c r="D90" s="529"/>
      <c r="E90" s="529"/>
      <c r="F90" s="529"/>
      <c r="G90" s="529"/>
      <c r="H90" s="529"/>
      <c r="I90" s="529"/>
      <c r="J90" s="529"/>
      <c r="K90" s="529"/>
      <c r="L90" s="549"/>
      <c r="M90" s="506"/>
      <c r="N90" s="499"/>
      <c r="O90" s="499"/>
      <c r="P90" s="499"/>
      <c r="Q90" s="499"/>
      <c r="R90" s="499"/>
      <c r="S90" s="501"/>
      <c r="T90" s="501"/>
      <c r="U90" s="501"/>
    </row>
    <row r="91" spans="1:21" ht="15.75" customHeight="1">
      <c r="A91" s="499"/>
      <c r="B91" s="499"/>
      <c r="C91" s="529"/>
      <c r="D91" s="529"/>
      <c r="E91" s="529"/>
      <c r="F91" s="529"/>
      <c r="G91" s="529"/>
      <c r="H91" s="529"/>
      <c r="I91" s="529"/>
      <c r="J91" s="529"/>
      <c r="K91" s="529"/>
      <c r="L91" s="549"/>
      <c r="M91" s="506"/>
      <c r="N91" s="499"/>
      <c r="O91" s="499"/>
      <c r="P91" s="499"/>
      <c r="Q91" s="499"/>
      <c r="R91" s="499"/>
      <c r="S91" s="501"/>
      <c r="T91" s="501"/>
      <c r="U91" s="501"/>
    </row>
    <row r="92" spans="1:21" ht="15.75" customHeight="1">
      <c r="A92" s="499"/>
      <c r="B92" s="499"/>
      <c r="C92" s="529"/>
      <c r="D92" s="529"/>
      <c r="E92" s="529"/>
      <c r="F92" s="529"/>
      <c r="G92" s="529"/>
      <c r="H92" s="529"/>
      <c r="I92" s="529"/>
      <c r="J92" s="529"/>
      <c r="K92" s="529"/>
      <c r="L92" s="549"/>
      <c r="M92" s="506"/>
      <c r="N92" s="499"/>
      <c r="O92" s="499"/>
      <c r="P92" s="499"/>
      <c r="Q92" s="499"/>
      <c r="R92" s="499"/>
      <c r="S92" s="501"/>
      <c r="T92" s="501"/>
      <c r="U92" s="501"/>
    </row>
    <row r="93" spans="1:21" ht="15.75" customHeight="1">
      <c r="A93" s="499"/>
      <c r="B93" s="499"/>
      <c r="C93" s="529"/>
      <c r="D93" s="529"/>
      <c r="E93" s="529"/>
      <c r="F93" s="529"/>
      <c r="G93" s="529"/>
      <c r="H93" s="529"/>
      <c r="I93" s="529"/>
      <c r="J93" s="529"/>
      <c r="K93" s="529"/>
      <c r="L93" s="549"/>
      <c r="M93" s="506"/>
      <c r="N93" s="499"/>
      <c r="O93" s="499"/>
      <c r="P93" s="499"/>
      <c r="Q93" s="499"/>
      <c r="R93" s="499"/>
      <c r="S93" s="501"/>
      <c r="T93" s="501"/>
      <c r="U93" s="501"/>
    </row>
    <row r="94" spans="1:21" ht="15.75" customHeight="1">
      <c r="A94" s="499"/>
      <c r="B94" s="499"/>
      <c r="C94" s="529"/>
      <c r="D94" s="529"/>
      <c r="E94" s="529"/>
      <c r="F94" s="529"/>
      <c r="G94" s="529"/>
      <c r="H94" s="529"/>
      <c r="I94" s="529"/>
      <c r="J94" s="529"/>
      <c r="K94" s="529"/>
      <c r="L94" s="549"/>
      <c r="M94" s="506"/>
      <c r="N94" s="499"/>
      <c r="O94" s="499"/>
      <c r="P94" s="499"/>
      <c r="Q94" s="499"/>
      <c r="R94" s="499"/>
      <c r="S94" s="501"/>
      <c r="T94" s="501"/>
      <c r="U94" s="501"/>
    </row>
    <row r="95" spans="1:21" ht="15.75" customHeight="1">
      <c r="A95" s="499"/>
      <c r="B95" s="499"/>
      <c r="C95" s="529"/>
      <c r="D95" s="529"/>
      <c r="E95" s="529"/>
      <c r="F95" s="529"/>
      <c r="G95" s="529"/>
      <c r="H95" s="529"/>
      <c r="I95" s="529"/>
      <c r="J95" s="529"/>
      <c r="K95" s="529"/>
      <c r="L95" s="549"/>
      <c r="M95" s="506"/>
      <c r="N95" s="499"/>
      <c r="O95" s="499"/>
      <c r="P95" s="499"/>
      <c r="Q95" s="499"/>
      <c r="R95" s="499"/>
      <c r="S95" s="501"/>
      <c r="T95" s="501"/>
      <c r="U95" s="501"/>
    </row>
    <row r="96" spans="1:21" ht="15.75" customHeight="1">
      <c r="A96" s="499"/>
      <c r="B96" s="499"/>
      <c r="C96" s="529"/>
      <c r="D96" s="529"/>
      <c r="E96" s="529"/>
      <c r="F96" s="529"/>
      <c r="G96" s="529"/>
      <c r="H96" s="529"/>
      <c r="I96" s="529"/>
      <c r="J96" s="529"/>
      <c r="K96" s="529"/>
      <c r="L96" s="549"/>
      <c r="M96" s="506"/>
      <c r="N96" s="499"/>
      <c r="O96" s="499"/>
      <c r="P96" s="499"/>
      <c r="Q96" s="499"/>
      <c r="R96" s="499"/>
      <c r="S96" s="501"/>
      <c r="T96" s="501"/>
      <c r="U96" s="501"/>
    </row>
    <row r="97" spans="1:21" ht="15.75" customHeight="1">
      <c r="A97" s="499"/>
      <c r="B97" s="499"/>
      <c r="C97" s="529"/>
      <c r="D97" s="529"/>
      <c r="E97" s="529"/>
      <c r="F97" s="529"/>
      <c r="G97" s="529"/>
      <c r="H97" s="529"/>
      <c r="I97" s="529"/>
      <c r="J97" s="529"/>
      <c r="K97" s="529"/>
      <c r="L97" s="549"/>
      <c r="M97" s="506"/>
      <c r="N97" s="499"/>
      <c r="O97" s="499"/>
      <c r="P97" s="499"/>
      <c r="Q97" s="499"/>
      <c r="R97" s="499"/>
      <c r="S97" s="501"/>
      <c r="T97" s="501"/>
      <c r="U97" s="501"/>
    </row>
    <row r="98" spans="1:21" ht="15.75" customHeight="1">
      <c r="A98" s="499"/>
      <c r="B98" s="499"/>
      <c r="C98" s="529"/>
      <c r="D98" s="529"/>
      <c r="E98" s="529"/>
      <c r="F98" s="529"/>
      <c r="G98" s="529"/>
      <c r="H98" s="529"/>
      <c r="I98" s="529"/>
      <c r="J98" s="529"/>
      <c r="K98" s="529"/>
      <c r="L98" s="549"/>
      <c r="M98" s="506"/>
      <c r="N98" s="499"/>
      <c r="O98" s="499"/>
      <c r="P98" s="499"/>
      <c r="Q98" s="499"/>
      <c r="R98" s="499"/>
      <c r="S98" s="501"/>
      <c r="T98" s="501"/>
      <c r="U98" s="501"/>
    </row>
    <row r="99" spans="1:21" ht="15.75" customHeight="1">
      <c r="A99" s="499"/>
      <c r="B99" s="499"/>
      <c r="C99" s="529"/>
      <c r="D99" s="529"/>
      <c r="E99" s="529"/>
      <c r="F99" s="529"/>
      <c r="G99" s="529"/>
      <c r="H99" s="529"/>
      <c r="I99" s="529"/>
      <c r="J99" s="529"/>
      <c r="K99" s="529"/>
      <c r="L99" s="549"/>
      <c r="M99" s="506"/>
      <c r="N99" s="499"/>
      <c r="O99" s="499"/>
      <c r="P99" s="499"/>
      <c r="Q99" s="499"/>
      <c r="R99" s="499"/>
      <c r="S99" s="501"/>
      <c r="T99" s="501"/>
      <c r="U99" s="501"/>
    </row>
    <row r="100" spans="1:21" ht="15.75" customHeight="1">
      <c r="A100" s="499"/>
      <c r="B100" s="499"/>
      <c r="C100" s="529"/>
      <c r="D100" s="529"/>
      <c r="E100" s="529"/>
      <c r="F100" s="529"/>
      <c r="G100" s="529"/>
      <c r="H100" s="529"/>
      <c r="I100" s="529"/>
      <c r="J100" s="529"/>
      <c r="K100" s="529"/>
      <c r="L100" s="549"/>
      <c r="M100" s="506"/>
      <c r="N100" s="499"/>
      <c r="O100" s="499"/>
      <c r="P100" s="499"/>
      <c r="Q100" s="499"/>
      <c r="R100" s="499"/>
      <c r="S100" s="501"/>
      <c r="T100" s="501"/>
      <c r="U100" s="501"/>
    </row>
    <row r="101" spans="1:21" ht="15.75" customHeight="1">
      <c r="A101" s="499"/>
      <c r="B101" s="499"/>
      <c r="C101" s="529"/>
      <c r="D101" s="529"/>
      <c r="E101" s="529"/>
      <c r="F101" s="529"/>
      <c r="G101" s="529"/>
      <c r="H101" s="529"/>
      <c r="I101" s="529"/>
      <c r="J101" s="529"/>
      <c r="K101" s="529"/>
      <c r="L101" s="549"/>
      <c r="M101" s="506"/>
      <c r="N101" s="499"/>
      <c r="O101" s="499"/>
      <c r="P101" s="499"/>
      <c r="Q101" s="499"/>
      <c r="R101" s="499"/>
      <c r="S101" s="501"/>
      <c r="T101" s="501"/>
      <c r="U101" s="501"/>
    </row>
    <row r="102" spans="1:21" ht="15.75" customHeight="1">
      <c r="A102" s="499"/>
      <c r="B102" s="499"/>
      <c r="C102" s="529"/>
      <c r="D102" s="529"/>
      <c r="E102" s="529"/>
      <c r="F102" s="529"/>
      <c r="G102" s="529"/>
      <c r="H102" s="529"/>
      <c r="I102" s="529"/>
      <c r="J102" s="529"/>
      <c r="K102" s="529"/>
      <c r="L102" s="549"/>
      <c r="M102" s="506"/>
      <c r="N102" s="499"/>
      <c r="O102" s="499"/>
      <c r="P102" s="499"/>
      <c r="Q102" s="499"/>
      <c r="R102" s="499"/>
      <c r="S102" s="501"/>
      <c r="T102" s="501"/>
      <c r="U102" s="501"/>
    </row>
    <row r="103" spans="1:21" ht="15.75" customHeight="1">
      <c r="A103" s="499"/>
      <c r="B103" s="499"/>
      <c r="C103" s="529"/>
      <c r="D103" s="529"/>
      <c r="E103" s="529"/>
      <c r="F103" s="529"/>
      <c r="G103" s="529"/>
      <c r="H103" s="529"/>
      <c r="I103" s="529"/>
      <c r="J103" s="529"/>
      <c r="K103" s="529"/>
      <c r="L103" s="549"/>
      <c r="M103" s="506"/>
      <c r="N103" s="499"/>
      <c r="O103" s="499"/>
      <c r="P103" s="499"/>
      <c r="Q103" s="499"/>
      <c r="R103" s="499"/>
      <c r="S103" s="501"/>
      <c r="T103" s="501"/>
      <c r="U103" s="501"/>
    </row>
    <row r="104" spans="1:21" ht="15.75" customHeight="1">
      <c r="A104" s="499"/>
      <c r="B104" s="499"/>
      <c r="C104" s="529"/>
      <c r="D104" s="529"/>
      <c r="E104" s="529"/>
      <c r="F104" s="529"/>
      <c r="G104" s="529"/>
      <c r="H104" s="529"/>
      <c r="I104" s="529"/>
      <c r="J104" s="529"/>
      <c r="K104" s="529"/>
      <c r="L104" s="549"/>
      <c r="M104" s="506"/>
      <c r="N104" s="499"/>
      <c r="O104" s="499"/>
      <c r="P104" s="499"/>
      <c r="Q104" s="499"/>
      <c r="R104" s="499"/>
      <c r="S104" s="501"/>
      <c r="T104" s="501"/>
      <c r="U104" s="501"/>
    </row>
    <row r="105" spans="1:21" ht="15.75" customHeight="1">
      <c r="A105" s="499"/>
      <c r="B105" s="499"/>
      <c r="C105" s="529"/>
      <c r="D105" s="529"/>
      <c r="E105" s="529"/>
      <c r="F105" s="529"/>
      <c r="G105" s="529"/>
      <c r="H105" s="529"/>
      <c r="I105" s="529"/>
      <c r="J105" s="529"/>
      <c r="K105" s="529"/>
      <c r="L105" s="549"/>
      <c r="M105" s="506"/>
      <c r="N105" s="499"/>
      <c r="O105" s="499"/>
      <c r="P105" s="499"/>
      <c r="Q105" s="499"/>
      <c r="R105" s="499"/>
      <c r="S105" s="501"/>
      <c r="T105" s="501"/>
      <c r="U105" s="501"/>
    </row>
    <row r="106" spans="1:21" ht="15.75" customHeight="1">
      <c r="A106" s="499"/>
      <c r="B106" s="499"/>
      <c r="C106" s="529"/>
      <c r="D106" s="529"/>
      <c r="E106" s="529"/>
      <c r="F106" s="529"/>
      <c r="G106" s="529"/>
      <c r="H106" s="529"/>
      <c r="I106" s="529"/>
      <c r="J106" s="529"/>
      <c r="K106" s="529"/>
      <c r="L106" s="549"/>
      <c r="M106" s="506"/>
      <c r="N106" s="499"/>
      <c r="O106" s="499"/>
      <c r="P106" s="499"/>
      <c r="Q106" s="499"/>
      <c r="R106" s="499"/>
      <c r="S106" s="501"/>
      <c r="T106" s="501"/>
      <c r="U106" s="501"/>
    </row>
    <row r="107" spans="1:21" ht="15.75" customHeight="1">
      <c r="A107" s="499"/>
      <c r="B107" s="499"/>
      <c r="C107" s="529"/>
      <c r="D107" s="529"/>
      <c r="E107" s="529"/>
      <c r="F107" s="529"/>
      <c r="G107" s="529"/>
      <c r="H107" s="529"/>
      <c r="I107" s="529"/>
      <c r="J107" s="529"/>
      <c r="K107" s="529"/>
      <c r="L107" s="549"/>
      <c r="M107" s="506"/>
      <c r="N107" s="499"/>
      <c r="O107" s="499"/>
      <c r="P107" s="499"/>
      <c r="Q107" s="499"/>
      <c r="R107" s="499"/>
      <c r="S107" s="501"/>
      <c r="T107" s="501"/>
      <c r="U107" s="501"/>
    </row>
    <row r="108" spans="1:21" ht="15.75" customHeight="1">
      <c r="A108" s="499"/>
      <c r="B108" s="499"/>
      <c r="C108" s="529"/>
      <c r="D108" s="529"/>
      <c r="E108" s="529"/>
      <c r="F108" s="529"/>
      <c r="G108" s="529"/>
      <c r="H108" s="529"/>
      <c r="I108" s="529"/>
      <c r="J108" s="529"/>
      <c r="K108" s="529"/>
      <c r="L108" s="549"/>
      <c r="M108" s="506"/>
      <c r="N108" s="499"/>
      <c r="O108" s="499"/>
      <c r="P108" s="499"/>
      <c r="Q108" s="499"/>
      <c r="R108" s="499"/>
      <c r="S108" s="501"/>
      <c r="T108" s="501"/>
      <c r="U108" s="501"/>
    </row>
    <row r="109" spans="1:21" ht="15.75" customHeight="1">
      <c r="A109" s="499"/>
      <c r="B109" s="499"/>
      <c r="C109" s="529"/>
      <c r="D109" s="529"/>
      <c r="E109" s="529"/>
      <c r="F109" s="529"/>
      <c r="G109" s="529"/>
      <c r="H109" s="529"/>
      <c r="I109" s="529"/>
      <c r="J109" s="529"/>
      <c r="K109" s="529"/>
      <c r="L109" s="549"/>
      <c r="M109" s="506"/>
      <c r="N109" s="499"/>
      <c r="O109" s="499"/>
      <c r="P109" s="499"/>
      <c r="Q109" s="499"/>
      <c r="R109" s="499"/>
      <c r="S109" s="501"/>
      <c r="T109" s="501"/>
      <c r="U109" s="501"/>
    </row>
    <row r="110" spans="1:21" ht="15.75" customHeight="1">
      <c r="A110" s="499"/>
      <c r="B110" s="499"/>
      <c r="C110" s="529"/>
      <c r="D110" s="529"/>
      <c r="E110" s="529"/>
      <c r="F110" s="529"/>
      <c r="G110" s="529"/>
      <c r="H110" s="529"/>
      <c r="I110" s="529"/>
      <c r="J110" s="529"/>
      <c r="K110" s="529"/>
      <c r="L110" s="549"/>
      <c r="M110" s="506"/>
      <c r="N110" s="499"/>
      <c r="O110" s="499"/>
      <c r="P110" s="499"/>
      <c r="Q110" s="499"/>
      <c r="R110" s="499"/>
      <c r="S110" s="501"/>
      <c r="T110" s="501"/>
      <c r="U110" s="501"/>
    </row>
    <row r="111" spans="1:21" ht="15.75" customHeight="1">
      <c r="A111" s="499"/>
      <c r="B111" s="499"/>
      <c r="C111" s="529"/>
      <c r="D111" s="529"/>
      <c r="E111" s="529"/>
      <c r="F111" s="529"/>
      <c r="G111" s="529"/>
      <c r="H111" s="529"/>
      <c r="I111" s="529"/>
      <c r="J111" s="529"/>
      <c r="K111" s="529"/>
      <c r="L111" s="549"/>
      <c r="M111" s="506"/>
      <c r="N111" s="499"/>
      <c r="O111" s="499"/>
      <c r="P111" s="499"/>
      <c r="Q111" s="499"/>
      <c r="R111" s="499"/>
      <c r="S111" s="501"/>
      <c r="T111" s="501"/>
      <c r="U111" s="501"/>
    </row>
    <row r="112" spans="1:21" ht="15.75" customHeight="1">
      <c r="A112" s="499"/>
      <c r="B112" s="499"/>
      <c r="C112" s="529"/>
      <c r="D112" s="529"/>
      <c r="E112" s="529"/>
      <c r="F112" s="529"/>
      <c r="G112" s="529"/>
      <c r="H112" s="529"/>
      <c r="I112" s="529"/>
      <c r="J112" s="529"/>
      <c r="K112" s="529"/>
      <c r="L112" s="549"/>
      <c r="M112" s="506"/>
      <c r="N112" s="499"/>
      <c r="O112" s="499"/>
      <c r="P112" s="499"/>
      <c r="Q112" s="499"/>
      <c r="R112" s="499"/>
      <c r="S112" s="501"/>
      <c r="T112" s="501"/>
      <c r="U112" s="501"/>
    </row>
    <row r="113" spans="1:21" ht="15.75" customHeight="1">
      <c r="A113" s="499"/>
      <c r="B113" s="499"/>
      <c r="C113" s="529"/>
      <c r="D113" s="529"/>
      <c r="E113" s="529"/>
      <c r="F113" s="529"/>
      <c r="G113" s="529"/>
      <c r="H113" s="529"/>
      <c r="I113" s="529"/>
      <c r="J113" s="529"/>
      <c r="K113" s="529"/>
      <c r="L113" s="549"/>
      <c r="M113" s="506"/>
      <c r="N113" s="499"/>
      <c r="O113" s="499"/>
      <c r="P113" s="499"/>
      <c r="Q113" s="499"/>
      <c r="R113" s="499"/>
      <c r="S113" s="501"/>
      <c r="T113" s="501"/>
      <c r="U113" s="501"/>
    </row>
    <row r="114" spans="1:21" ht="15.75" customHeight="1">
      <c r="A114" s="499"/>
      <c r="B114" s="499"/>
      <c r="C114" s="529"/>
      <c r="D114" s="529"/>
      <c r="E114" s="529"/>
      <c r="F114" s="529"/>
      <c r="G114" s="529"/>
      <c r="H114" s="529"/>
      <c r="I114" s="529"/>
      <c r="J114" s="529"/>
      <c r="K114" s="529"/>
      <c r="L114" s="549"/>
      <c r="M114" s="506"/>
      <c r="N114" s="499"/>
      <c r="O114" s="499"/>
      <c r="P114" s="499"/>
      <c r="Q114" s="499"/>
      <c r="R114" s="499"/>
      <c r="S114" s="501"/>
      <c r="T114" s="501"/>
      <c r="U114" s="501"/>
    </row>
    <row r="115" spans="1:21" ht="15.75" customHeight="1">
      <c r="A115" s="499"/>
      <c r="B115" s="499"/>
      <c r="C115" s="529"/>
      <c r="D115" s="529"/>
      <c r="E115" s="529"/>
      <c r="F115" s="529"/>
      <c r="G115" s="529"/>
      <c r="H115" s="529"/>
      <c r="I115" s="529"/>
      <c r="J115" s="529"/>
      <c r="K115" s="529"/>
      <c r="L115" s="549"/>
      <c r="M115" s="506"/>
      <c r="N115" s="499"/>
      <c r="O115" s="499"/>
      <c r="P115" s="499"/>
      <c r="Q115" s="499"/>
      <c r="R115" s="499"/>
      <c r="S115" s="501"/>
      <c r="T115" s="501"/>
      <c r="U115" s="501"/>
    </row>
    <row r="116" spans="1:21" ht="15.75" customHeight="1">
      <c r="A116" s="499"/>
      <c r="B116" s="499"/>
      <c r="C116" s="529"/>
      <c r="D116" s="529"/>
      <c r="E116" s="529"/>
      <c r="F116" s="529"/>
      <c r="G116" s="529"/>
      <c r="H116" s="529"/>
      <c r="I116" s="529"/>
      <c r="J116" s="529"/>
      <c r="K116" s="529"/>
      <c r="L116" s="499"/>
      <c r="M116" s="500"/>
      <c r="N116" s="499"/>
      <c r="O116" s="499"/>
      <c r="P116" s="499"/>
      <c r="Q116" s="499"/>
      <c r="R116" s="499"/>
      <c r="S116" s="501"/>
      <c r="T116" s="501"/>
      <c r="U116" s="501"/>
    </row>
    <row r="117" spans="1:21" ht="15.75" customHeight="1">
      <c r="A117" s="499"/>
      <c r="B117" s="499"/>
      <c r="C117" s="529"/>
      <c r="D117" s="529"/>
      <c r="E117" s="529"/>
      <c r="F117" s="529"/>
      <c r="G117" s="529"/>
      <c r="H117" s="529"/>
      <c r="I117" s="529"/>
      <c r="J117" s="529"/>
      <c r="K117" s="529"/>
      <c r="L117" s="499"/>
      <c r="M117" s="500"/>
      <c r="N117" s="499"/>
      <c r="O117" s="499"/>
      <c r="P117" s="499"/>
      <c r="Q117" s="499"/>
      <c r="R117" s="499"/>
      <c r="S117" s="501"/>
      <c r="T117" s="501"/>
      <c r="U117" s="501"/>
    </row>
    <row r="118" spans="1:21" ht="15.75" customHeight="1">
      <c r="A118" s="499"/>
      <c r="B118" s="499"/>
      <c r="C118" s="529"/>
      <c r="D118" s="529"/>
      <c r="E118" s="529"/>
      <c r="F118" s="529"/>
      <c r="G118" s="529"/>
      <c r="H118" s="529"/>
      <c r="I118" s="529"/>
      <c r="J118" s="529"/>
      <c r="K118" s="529"/>
      <c r="L118" s="499"/>
      <c r="M118" s="500"/>
      <c r="N118" s="499"/>
      <c r="O118" s="499"/>
      <c r="P118" s="499"/>
      <c r="Q118" s="499"/>
      <c r="R118" s="499"/>
      <c r="S118" s="501"/>
      <c r="T118" s="501"/>
      <c r="U118" s="501"/>
    </row>
    <row r="119" spans="1:21" ht="15.75" customHeight="1">
      <c r="A119" s="499"/>
      <c r="B119" s="499"/>
      <c r="C119" s="529"/>
      <c r="D119" s="529"/>
      <c r="E119" s="529"/>
      <c r="F119" s="529"/>
      <c r="G119" s="529"/>
      <c r="H119" s="529"/>
      <c r="I119" s="529"/>
      <c r="J119" s="529"/>
      <c r="K119" s="529"/>
      <c r="L119" s="499"/>
      <c r="M119" s="500"/>
      <c r="N119" s="499"/>
      <c r="O119" s="499"/>
      <c r="P119" s="499"/>
      <c r="Q119" s="499"/>
      <c r="R119" s="499"/>
      <c r="S119" s="501"/>
      <c r="T119" s="501"/>
      <c r="U119" s="501"/>
    </row>
    <row r="120" spans="1:21" ht="15.75" customHeight="1">
      <c r="A120" s="499"/>
      <c r="B120" s="499"/>
      <c r="C120" s="529"/>
      <c r="D120" s="529"/>
      <c r="E120" s="529"/>
      <c r="F120" s="529"/>
      <c r="G120" s="529"/>
      <c r="H120" s="529"/>
      <c r="I120" s="529"/>
      <c r="J120" s="529"/>
      <c r="K120" s="529"/>
      <c r="L120" s="499"/>
      <c r="M120" s="500"/>
      <c r="N120" s="499"/>
      <c r="O120" s="499"/>
      <c r="P120" s="499"/>
      <c r="Q120" s="499"/>
      <c r="R120" s="499"/>
      <c r="S120" s="501"/>
      <c r="T120" s="501"/>
      <c r="U120" s="501"/>
    </row>
    <row r="121" spans="1:21" ht="15.75" customHeight="1">
      <c r="A121" s="499"/>
      <c r="B121" s="499"/>
      <c r="C121" s="529"/>
      <c r="D121" s="529"/>
      <c r="E121" s="529"/>
      <c r="F121" s="529"/>
      <c r="G121" s="529"/>
      <c r="H121" s="529"/>
      <c r="I121" s="529"/>
      <c r="J121" s="529"/>
      <c r="K121" s="529"/>
      <c r="L121" s="499"/>
      <c r="M121" s="500"/>
      <c r="N121" s="499"/>
      <c r="O121" s="499"/>
      <c r="P121" s="499"/>
      <c r="Q121" s="499"/>
      <c r="R121" s="499"/>
      <c r="S121" s="501"/>
      <c r="T121" s="501"/>
      <c r="U121" s="501"/>
    </row>
    <row r="122" spans="1:21" ht="15.75" customHeight="1">
      <c r="A122" s="499"/>
      <c r="B122" s="499"/>
      <c r="C122" s="529"/>
      <c r="D122" s="529"/>
      <c r="E122" s="529"/>
      <c r="F122" s="529"/>
      <c r="G122" s="529"/>
      <c r="H122" s="529"/>
      <c r="I122" s="529"/>
      <c r="J122" s="529"/>
      <c r="K122" s="529"/>
      <c r="L122" s="499"/>
      <c r="M122" s="500"/>
      <c r="N122" s="499"/>
      <c r="O122" s="499"/>
      <c r="P122" s="499"/>
      <c r="Q122" s="499"/>
      <c r="R122" s="499"/>
      <c r="S122" s="501"/>
      <c r="T122" s="501"/>
      <c r="U122" s="501"/>
    </row>
    <row r="123" spans="1:21" ht="15.75" customHeight="1">
      <c r="A123" s="499"/>
      <c r="B123" s="499"/>
      <c r="C123" s="529"/>
      <c r="D123" s="529"/>
      <c r="E123" s="529"/>
      <c r="F123" s="529"/>
      <c r="G123" s="529"/>
      <c r="H123" s="529"/>
      <c r="I123" s="529"/>
      <c r="J123" s="529"/>
      <c r="K123" s="529"/>
      <c r="L123" s="499"/>
      <c r="M123" s="500"/>
      <c r="N123" s="499"/>
      <c r="O123" s="499"/>
      <c r="P123" s="499"/>
      <c r="Q123" s="499"/>
      <c r="R123" s="499"/>
      <c r="S123" s="501"/>
      <c r="T123" s="501"/>
      <c r="U123" s="501"/>
    </row>
    <row r="124" spans="1:21" ht="15.75" customHeight="1">
      <c r="A124" s="499"/>
      <c r="B124" s="499"/>
      <c r="C124" s="529"/>
      <c r="D124" s="529"/>
      <c r="E124" s="529"/>
      <c r="F124" s="529"/>
      <c r="G124" s="529"/>
      <c r="H124" s="529"/>
      <c r="I124" s="529"/>
      <c r="J124" s="529"/>
      <c r="K124" s="529"/>
      <c r="L124" s="499"/>
      <c r="M124" s="500"/>
      <c r="N124" s="499"/>
      <c r="O124" s="499"/>
      <c r="P124" s="499"/>
      <c r="Q124" s="499"/>
      <c r="R124" s="499"/>
      <c r="S124" s="501"/>
      <c r="T124" s="501"/>
      <c r="U124" s="501"/>
    </row>
    <row r="125" spans="1:21" ht="15.75" customHeight="1">
      <c r="A125" s="499"/>
      <c r="B125" s="499"/>
      <c r="C125" s="529"/>
      <c r="D125" s="529"/>
      <c r="E125" s="529"/>
      <c r="F125" s="529"/>
      <c r="G125" s="529"/>
      <c r="H125" s="529"/>
      <c r="I125" s="529"/>
      <c r="J125" s="529"/>
      <c r="K125" s="529"/>
      <c r="L125" s="499"/>
      <c r="M125" s="500"/>
      <c r="N125" s="499"/>
      <c r="O125" s="499"/>
      <c r="P125" s="499"/>
      <c r="Q125" s="499"/>
      <c r="R125" s="499"/>
      <c r="S125" s="501"/>
      <c r="T125" s="501"/>
      <c r="U125" s="501"/>
    </row>
    <row r="126" spans="1:21" ht="15.75" customHeight="1">
      <c r="A126" s="499"/>
      <c r="B126" s="499"/>
      <c r="C126" s="529"/>
      <c r="D126" s="529"/>
      <c r="E126" s="529"/>
      <c r="F126" s="529"/>
      <c r="G126" s="529"/>
      <c r="H126" s="529"/>
      <c r="I126" s="529"/>
      <c r="J126" s="529"/>
      <c r="K126" s="529"/>
      <c r="L126" s="499"/>
      <c r="M126" s="500"/>
      <c r="N126" s="499"/>
      <c r="O126" s="499"/>
      <c r="P126" s="499"/>
      <c r="Q126" s="499"/>
      <c r="R126" s="499"/>
      <c r="S126" s="501"/>
      <c r="T126" s="501"/>
      <c r="U126" s="501"/>
    </row>
    <row r="127" spans="1:21" ht="15.75" customHeight="1">
      <c r="A127" s="499"/>
      <c r="B127" s="499"/>
      <c r="C127" s="529"/>
      <c r="D127" s="529"/>
      <c r="E127" s="529"/>
      <c r="F127" s="529"/>
      <c r="G127" s="529"/>
      <c r="H127" s="529"/>
      <c r="I127" s="529"/>
      <c r="J127" s="529"/>
      <c r="K127" s="529"/>
      <c r="L127" s="499"/>
      <c r="M127" s="500"/>
      <c r="N127" s="499"/>
      <c r="O127" s="499"/>
      <c r="P127" s="499"/>
      <c r="Q127" s="499"/>
      <c r="R127" s="499"/>
      <c r="S127" s="501"/>
      <c r="T127" s="501"/>
      <c r="U127" s="501"/>
    </row>
    <row r="128" spans="1:21" ht="15.75" customHeight="1">
      <c r="A128" s="499"/>
      <c r="B128" s="499"/>
      <c r="C128" s="529"/>
      <c r="D128" s="529"/>
      <c r="E128" s="529"/>
      <c r="F128" s="529"/>
      <c r="G128" s="529"/>
      <c r="H128" s="529"/>
      <c r="I128" s="529"/>
      <c r="J128" s="529"/>
      <c r="K128" s="529"/>
      <c r="L128" s="499"/>
      <c r="M128" s="500"/>
      <c r="N128" s="499"/>
      <c r="O128" s="499"/>
      <c r="P128" s="499"/>
      <c r="Q128" s="499"/>
      <c r="R128" s="499"/>
      <c r="S128" s="501"/>
      <c r="T128" s="501"/>
      <c r="U128" s="501"/>
    </row>
    <row r="129" spans="1:21" ht="15.75" customHeight="1">
      <c r="A129" s="499"/>
      <c r="B129" s="499"/>
      <c r="C129" s="529"/>
      <c r="D129" s="529"/>
      <c r="E129" s="529"/>
      <c r="F129" s="529"/>
      <c r="G129" s="529"/>
      <c r="H129" s="529"/>
      <c r="I129" s="529"/>
      <c r="J129" s="529"/>
      <c r="K129" s="529"/>
      <c r="L129" s="499"/>
      <c r="M129" s="500"/>
      <c r="N129" s="499"/>
      <c r="O129" s="499"/>
      <c r="P129" s="499"/>
      <c r="Q129" s="499"/>
      <c r="R129" s="499"/>
      <c r="S129" s="501"/>
      <c r="T129" s="501"/>
      <c r="U129" s="501"/>
    </row>
    <row r="130" spans="1:21" ht="15.75" customHeight="1">
      <c r="A130" s="499"/>
      <c r="B130" s="499"/>
      <c r="C130" s="529"/>
      <c r="D130" s="529"/>
      <c r="E130" s="529"/>
      <c r="F130" s="529"/>
      <c r="G130" s="529"/>
      <c r="H130" s="529"/>
      <c r="I130" s="529"/>
      <c r="J130" s="529"/>
      <c r="K130" s="529"/>
      <c r="L130" s="499"/>
      <c r="M130" s="500"/>
      <c r="N130" s="499"/>
      <c r="O130" s="499"/>
      <c r="P130" s="499"/>
      <c r="Q130" s="499"/>
      <c r="R130" s="499"/>
      <c r="S130" s="501"/>
      <c r="T130" s="501"/>
      <c r="U130" s="501"/>
    </row>
    <row r="131" spans="1:21" ht="15.75" customHeight="1">
      <c r="A131" s="499"/>
      <c r="B131" s="499"/>
      <c r="C131" s="529"/>
      <c r="D131" s="529"/>
      <c r="E131" s="529"/>
      <c r="F131" s="529"/>
      <c r="G131" s="529"/>
      <c r="H131" s="529"/>
      <c r="I131" s="529"/>
      <c r="J131" s="529"/>
      <c r="K131" s="529"/>
      <c r="L131" s="499"/>
      <c r="M131" s="500"/>
      <c r="N131" s="499"/>
      <c r="O131" s="499"/>
      <c r="P131" s="499"/>
      <c r="Q131" s="499"/>
      <c r="R131" s="499"/>
      <c r="S131" s="501"/>
      <c r="T131" s="501"/>
      <c r="U131" s="501"/>
    </row>
    <row r="132" spans="1:21" ht="15.75" customHeight="1">
      <c r="A132" s="499"/>
      <c r="B132" s="499"/>
      <c r="C132" s="529"/>
      <c r="D132" s="529"/>
      <c r="E132" s="529"/>
      <c r="F132" s="529"/>
      <c r="G132" s="529"/>
      <c r="H132" s="529"/>
      <c r="I132" s="529"/>
      <c r="J132" s="529"/>
      <c r="K132" s="529"/>
      <c r="L132" s="499"/>
      <c r="M132" s="500"/>
      <c r="N132" s="499"/>
      <c r="O132" s="499"/>
      <c r="P132" s="499"/>
      <c r="Q132" s="499"/>
      <c r="R132" s="499"/>
      <c r="S132" s="501"/>
      <c r="T132" s="501"/>
      <c r="U132" s="501"/>
    </row>
    <row r="133" spans="1:21" ht="15.75" customHeight="1">
      <c r="A133" s="499"/>
      <c r="B133" s="499"/>
      <c r="C133" s="529"/>
      <c r="D133" s="529"/>
      <c r="E133" s="529"/>
      <c r="F133" s="529"/>
      <c r="G133" s="529"/>
      <c r="H133" s="529"/>
      <c r="I133" s="529"/>
      <c r="J133" s="529"/>
      <c r="K133" s="529"/>
      <c r="L133" s="499"/>
      <c r="M133" s="500"/>
      <c r="N133" s="499"/>
      <c r="O133" s="499"/>
      <c r="P133" s="499"/>
      <c r="Q133" s="499"/>
      <c r="R133" s="499"/>
      <c r="S133" s="501"/>
      <c r="T133" s="501"/>
      <c r="U133" s="501"/>
    </row>
    <row r="134" spans="1:21" ht="15.75" customHeight="1">
      <c r="A134" s="499"/>
      <c r="B134" s="499"/>
      <c r="C134" s="529"/>
      <c r="D134" s="529"/>
      <c r="E134" s="529"/>
      <c r="F134" s="529"/>
      <c r="G134" s="529"/>
      <c r="H134" s="529"/>
      <c r="I134" s="529"/>
      <c r="J134" s="529"/>
      <c r="K134" s="529"/>
      <c r="L134" s="499"/>
      <c r="M134" s="500"/>
      <c r="N134" s="499"/>
      <c r="O134" s="499"/>
      <c r="P134" s="499"/>
      <c r="Q134" s="499"/>
      <c r="R134" s="499"/>
      <c r="S134" s="501"/>
      <c r="T134" s="501"/>
      <c r="U134" s="501"/>
    </row>
    <row r="135" spans="1:21" ht="15.75" customHeight="1">
      <c r="A135" s="499"/>
      <c r="B135" s="499"/>
      <c r="C135" s="529"/>
      <c r="D135" s="529"/>
      <c r="E135" s="529"/>
      <c r="F135" s="529"/>
      <c r="G135" s="529"/>
      <c r="H135" s="529"/>
      <c r="I135" s="529"/>
      <c r="J135" s="529"/>
      <c r="K135" s="529"/>
      <c r="L135" s="499"/>
      <c r="M135" s="500"/>
      <c r="N135" s="499"/>
      <c r="O135" s="499"/>
      <c r="P135" s="499"/>
      <c r="Q135" s="499"/>
      <c r="R135" s="499"/>
      <c r="S135" s="501"/>
      <c r="T135" s="501"/>
      <c r="U135" s="501"/>
    </row>
    <row r="136" spans="1:21" ht="15.75" customHeight="1">
      <c r="A136" s="499"/>
      <c r="B136" s="499"/>
      <c r="C136" s="529"/>
      <c r="D136" s="529"/>
      <c r="E136" s="529"/>
      <c r="F136" s="529"/>
      <c r="G136" s="529"/>
      <c r="H136" s="529"/>
      <c r="I136" s="529"/>
      <c r="J136" s="529"/>
      <c r="K136" s="529"/>
      <c r="L136" s="499"/>
      <c r="M136" s="500"/>
      <c r="N136" s="499"/>
      <c r="O136" s="499"/>
      <c r="P136" s="499"/>
      <c r="Q136" s="499"/>
      <c r="R136" s="499"/>
      <c r="S136" s="501"/>
      <c r="T136" s="501"/>
      <c r="U136" s="501"/>
    </row>
    <row r="137" spans="1:21" ht="15.75" customHeight="1">
      <c r="A137" s="499"/>
      <c r="B137" s="499"/>
      <c r="C137" s="529"/>
      <c r="D137" s="529"/>
      <c r="E137" s="529"/>
      <c r="F137" s="529"/>
      <c r="G137" s="529"/>
      <c r="H137" s="529"/>
      <c r="I137" s="529"/>
      <c r="J137" s="529"/>
      <c r="K137" s="529"/>
      <c r="L137" s="499"/>
      <c r="M137" s="500"/>
      <c r="N137" s="499"/>
      <c r="O137" s="499"/>
      <c r="P137" s="499"/>
      <c r="Q137" s="499"/>
      <c r="R137" s="499"/>
      <c r="S137" s="501"/>
      <c r="T137" s="501"/>
      <c r="U137" s="501"/>
    </row>
    <row r="138" spans="1:21" ht="15.75" customHeight="1">
      <c r="A138" s="499"/>
      <c r="B138" s="499"/>
      <c r="C138" s="529"/>
      <c r="D138" s="529"/>
      <c r="E138" s="529"/>
      <c r="F138" s="529"/>
      <c r="G138" s="529"/>
      <c r="H138" s="529"/>
      <c r="I138" s="529"/>
      <c r="J138" s="529"/>
      <c r="K138" s="529"/>
      <c r="L138" s="499"/>
      <c r="M138" s="500"/>
      <c r="N138" s="499"/>
      <c r="O138" s="499"/>
      <c r="P138" s="499"/>
      <c r="Q138" s="499"/>
      <c r="R138" s="499"/>
      <c r="S138" s="501"/>
      <c r="T138" s="501"/>
      <c r="U138" s="501"/>
    </row>
    <row r="139" spans="1:21" ht="15.75" customHeight="1">
      <c r="A139" s="499"/>
      <c r="B139" s="499"/>
      <c r="C139" s="529"/>
      <c r="D139" s="529"/>
      <c r="E139" s="529"/>
      <c r="F139" s="529"/>
      <c r="G139" s="529"/>
      <c r="H139" s="529"/>
      <c r="I139" s="529"/>
      <c r="J139" s="529"/>
      <c r="K139" s="529"/>
      <c r="L139" s="499"/>
      <c r="M139" s="500"/>
      <c r="N139" s="499"/>
      <c r="O139" s="499"/>
      <c r="P139" s="499"/>
      <c r="Q139" s="499"/>
      <c r="R139" s="499"/>
      <c r="S139" s="501"/>
      <c r="T139" s="501"/>
      <c r="U139" s="501"/>
    </row>
    <row r="140" spans="1:21" ht="15.75" customHeight="1">
      <c r="A140" s="499"/>
      <c r="B140" s="499"/>
      <c r="C140" s="529"/>
      <c r="D140" s="529"/>
      <c r="E140" s="529"/>
      <c r="F140" s="529"/>
      <c r="G140" s="529"/>
      <c r="H140" s="529"/>
      <c r="I140" s="529"/>
      <c r="J140" s="529"/>
      <c r="K140" s="529"/>
      <c r="L140" s="499"/>
      <c r="M140" s="500"/>
      <c r="N140" s="499"/>
      <c r="O140" s="499"/>
      <c r="P140" s="499"/>
      <c r="Q140" s="499"/>
      <c r="R140" s="499"/>
      <c r="S140" s="501"/>
      <c r="T140" s="501"/>
      <c r="U140" s="501"/>
    </row>
    <row r="141" spans="1:21" ht="15.75" customHeight="1">
      <c r="A141" s="499"/>
      <c r="B141" s="499"/>
      <c r="C141" s="529"/>
      <c r="D141" s="529"/>
      <c r="E141" s="529"/>
      <c r="F141" s="529"/>
      <c r="G141" s="529"/>
      <c r="H141" s="529"/>
      <c r="I141" s="529"/>
      <c r="J141" s="529"/>
      <c r="K141" s="529"/>
      <c r="L141" s="499"/>
      <c r="M141" s="500"/>
      <c r="N141" s="499"/>
      <c r="O141" s="499"/>
      <c r="P141" s="499"/>
      <c r="Q141" s="499"/>
      <c r="R141" s="499"/>
      <c r="S141" s="501"/>
      <c r="T141" s="501"/>
      <c r="U141" s="501"/>
    </row>
    <row r="142" spans="1:21" ht="15.75" customHeight="1">
      <c r="A142" s="499"/>
      <c r="B142" s="499"/>
      <c r="C142" s="529"/>
      <c r="D142" s="529"/>
      <c r="E142" s="529"/>
      <c r="F142" s="529"/>
      <c r="G142" s="529"/>
      <c r="H142" s="529"/>
      <c r="I142" s="529"/>
      <c r="J142" s="529"/>
      <c r="K142" s="529"/>
      <c r="L142" s="499"/>
      <c r="M142" s="500"/>
      <c r="N142" s="499"/>
      <c r="O142" s="499"/>
      <c r="P142" s="499"/>
      <c r="Q142" s="499"/>
      <c r="R142" s="499"/>
      <c r="S142" s="501"/>
      <c r="T142" s="501"/>
      <c r="U142" s="501"/>
    </row>
    <row r="143" spans="1:21" ht="15.75" customHeight="1">
      <c r="A143" s="499"/>
      <c r="B143" s="499"/>
      <c r="C143" s="529"/>
      <c r="D143" s="529"/>
      <c r="E143" s="529"/>
      <c r="F143" s="529"/>
      <c r="G143" s="529"/>
      <c r="H143" s="529"/>
      <c r="I143" s="529"/>
      <c r="J143" s="529"/>
      <c r="K143" s="529"/>
      <c r="L143" s="499"/>
      <c r="M143" s="500"/>
      <c r="N143" s="499"/>
      <c r="O143" s="499"/>
      <c r="P143" s="499"/>
      <c r="Q143" s="499"/>
      <c r="R143" s="499"/>
      <c r="S143" s="501"/>
      <c r="T143" s="501"/>
      <c r="U143" s="501"/>
    </row>
    <row r="144" spans="1:21" ht="15.75" customHeight="1">
      <c r="A144" s="499"/>
      <c r="B144" s="499"/>
      <c r="C144" s="529"/>
      <c r="D144" s="529"/>
      <c r="E144" s="529"/>
      <c r="F144" s="529"/>
      <c r="G144" s="529"/>
      <c r="H144" s="529"/>
      <c r="I144" s="529"/>
      <c r="J144" s="529"/>
      <c r="K144" s="529"/>
      <c r="L144" s="499"/>
      <c r="M144" s="500"/>
      <c r="N144" s="499"/>
      <c r="O144" s="499"/>
      <c r="P144" s="499"/>
      <c r="Q144" s="499"/>
      <c r="R144" s="499"/>
      <c r="S144" s="501"/>
      <c r="T144" s="501"/>
      <c r="U144" s="501"/>
    </row>
    <row r="145" spans="1:21" ht="15.75" customHeight="1">
      <c r="A145" s="499"/>
      <c r="B145" s="499"/>
      <c r="C145" s="529"/>
      <c r="D145" s="529"/>
      <c r="E145" s="529"/>
      <c r="F145" s="529"/>
      <c r="G145" s="529"/>
      <c r="H145" s="529"/>
      <c r="I145" s="529"/>
      <c r="J145" s="529"/>
      <c r="K145" s="529"/>
      <c r="L145" s="499"/>
      <c r="M145" s="500"/>
      <c r="N145" s="499"/>
      <c r="O145" s="499"/>
      <c r="P145" s="499"/>
      <c r="Q145" s="499"/>
      <c r="R145" s="499"/>
      <c r="S145" s="501"/>
      <c r="T145" s="501"/>
      <c r="U145" s="501"/>
    </row>
    <row r="146" spans="1:21" ht="15.75" customHeight="1">
      <c r="A146" s="499"/>
      <c r="B146" s="499"/>
      <c r="C146" s="529"/>
      <c r="D146" s="529"/>
      <c r="E146" s="529"/>
      <c r="F146" s="529"/>
      <c r="G146" s="529"/>
      <c r="H146" s="529"/>
      <c r="I146" s="529"/>
      <c r="J146" s="529"/>
      <c r="K146" s="529"/>
      <c r="L146" s="499"/>
      <c r="M146" s="500"/>
      <c r="N146" s="499"/>
      <c r="O146" s="499"/>
      <c r="P146" s="499"/>
      <c r="Q146" s="499"/>
      <c r="R146" s="499"/>
      <c r="S146" s="501"/>
      <c r="T146" s="501"/>
      <c r="U146" s="501"/>
    </row>
    <row r="147" spans="1:21" ht="15.75" customHeight="1">
      <c r="A147" s="499"/>
      <c r="B147" s="499"/>
      <c r="C147" s="529"/>
      <c r="D147" s="529"/>
      <c r="E147" s="529"/>
      <c r="F147" s="529"/>
      <c r="G147" s="529"/>
      <c r="H147" s="529"/>
      <c r="I147" s="529"/>
      <c r="J147" s="529"/>
      <c r="K147" s="529"/>
      <c r="L147" s="499"/>
      <c r="M147" s="500"/>
      <c r="N147" s="499"/>
      <c r="O147" s="499"/>
      <c r="P147" s="499"/>
      <c r="Q147" s="499"/>
      <c r="R147" s="499"/>
      <c r="S147" s="501"/>
      <c r="T147" s="501"/>
      <c r="U147" s="501"/>
    </row>
    <row r="148" spans="1:21" ht="15.75" customHeight="1">
      <c r="A148" s="499"/>
      <c r="B148" s="499"/>
      <c r="C148" s="529"/>
      <c r="D148" s="529"/>
      <c r="E148" s="529"/>
      <c r="F148" s="529"/>
      <c r="G148" s="529"/>
      <c r="H148" s="529"/>
      <c r="I148" s="529"/>
      <c r="J148" s="529"/>
      <c r="K148" s="529"/>
      <c r="L148" s="499"/>
      <c r="M148" s="500"/>
      <c r="N148" s="499"/>
      <c r="O148" s="499"/>
      <c r="P148" s="499"/>
      <c r="Q148" s="499"/>
      <c r="R148" s="499"/>
      <c r="S148" s="501"/>
      <c r="T148" s="501"/>
      <c r="U148" s="501"/>
    </row>
    <row r="149" spans="1:21" ht="15.75" customHeight="1">
      <c r="A149" s="499"/>
      <c r="B149" s="499"/>
      <c r="C149" s="529"/>
      <c r="D149" s="529"/>
      <c r="E149" s="529"/>
      <c r="F149" s="529"/>
      <c r="G149" s="529"/>
      <c r="H149" s="529"/>
      <c r="I149" s="529"/>
      <c r="J149" s="529"/>
      <c r="K149" s="529"/>
      <c r="L149" s="499"/>
      <c r="M149" s="500"/>
      <c r="N149" s="499"/>
      <c r="O149" s="499"/>
      <c r="P149" s="499"/>
      <c r="Q149" s="499"/>
      <c r="R149" s="499"/>
      <c r="S149" s="501"/>
      <c r="T149" s="501"/>
      <c r="U149" s="501"/>
    </row>
    <row r="150" spans="1:21" ht="15.75" customHeight="1">
      <c r="A150" s="499"/>
      <c r="B150" s="499"/>
      <c r="C150" s="529"/>
      <c r="D150" s="529"/>
      <c r="E150" s="529"/>
      <c r="F150" s="529"/>
      <c r="G150" s="529"/>
      <c r="H150" s="529"/>
      <c r="I150" s="529"/>
      <c r="J150" s="529"/>
      <c r="K150" s="529"/>
      <c r="L150" s="499"/>
      <c r="M150" s="500"/>
      <c r="N150" s="499"/>
      <c r="O150" s="499"/>
      <c r="P150" s="499"/>
      <c r="Q150" s="499"/>
      <c r="R150" s="499"/>
      <c r="S150" s="501"/>
      <c r="T150" s="501"/>
      <c r="U150" s="501"/>
    </row>
    <row r="151" spans="1:21" ht="15.75" customHeight="1">
      <c r="A151" s="499"/>
      <c r="B151" s="499"/>
      <c r="C151" s="529"/>
      <c r="D151" s="529"/>
      <c r="E151" s="529"/>
      <c r="F151" s="529"/>
      <c r="G151" s="529"/>
      <c r="H151" s="529"/>
      <c r="I151" s="529"/>
      <c r="J151" s="529"/>
      <c r="K151" s="529"/>
      <c r="L151" s="499"/>
      <c r="M151" s="500"/>
      <c r="N151" s="499"/>
      <c r="O151" s="499"/>
      <c r="P151" s="499"/>
      <c r="Q151" s="499"/>
      <c r="R151" s="499"/>
      <c r="S151" s="501"/>
      <c r="T151" s="501"/>
      <c r="U151" s="501"/>
    </row>
    <row r="152" spans="1:21" ht="15.75" customHeight="1">
      <c r="A152" s="499"/>
      <c r="B152" s="499"/>
      <c r="C152" s="529"/>
      <c r="D152" s="529"/>
      <c r="E152" s="529"/>
      <c r="F152" s="529"/>
      <c r="G152" s="529"/>
      <c r="H152" s="529"/>
      <c r="I152" s="529"/>
      <c r="J152" s="529"/>
      <c r="K152" s="529"/>
      <c r="L152" s="499"/>
      <c r="M152" s="500"/>
      <c r="N152" s="499"/>
      <c r="O152" s="499"/>
      <c r="P152" s="499"/>
      <c r="Q152" s="499"/>
      <c r="R152" s="499"/>
      <c r="S152" s="501"/>
      <c r="T152" s="501"/>
      <c r="U152" s="501"/>
    </row>
    <row r="153" spans="1:21" ht="15.75" customHeight="1">
      <c r="A153" s="499"/>
      <c r="B153" s="499"/>
      <c r="C153" s="529"/>
      <c r="D153" s="529"/>
      <c r="E153" s="529"/>
      <c r="F153" s="529"/>
      <c r="G153" s="529"/>
      <c r="H153" s="529"/>
      <c r="I153" s="529"/>
      <c r="J153" s="529"/>
      <c r="K153" s="529"/>
      <c r="L153" s="499"/>
      <c r="M153" s="500"/>
      <c r="N153" s="499"/>
      <c r="O153" s="499"/>
      <c r="P153" s="499"/>
      <c r="Q153" s="499"/>
      <c r="R153" s="499"/>
      <c r="S153" s="501"/>
      <c r="T153" s="501"/>
      <c r="U153" s="501"/>
    </row>
    <row r="154" spans="1:21" ht="15.75" customHeight="1">
      <c r="A154" s="499"/>
      <c r="B154" s="499"/>
      <c r="C154" s="529"/>
      <c r="D154" s="529"/>
      <c r="E154" s="529"/>
      <c r="F154" s="529"/>
      <c r="G154" s="529"/>
      <c r="H154" s="529"/>
      <c r="I154" s="529"/>
      <c r="J154" s="529"/>
      <c r="K154" s="529"/>
      <c r="L154" s="499"/>
      <c r="M154" s="500"/>
      <c r="N154" s="499"/>
      <c r="O154" s="499"/>
      <c r="P154" s="499"/>
      <c r="Q154" s="499"/>
      <c r="R154" s="499"/>
      <c r="S154" s="501"/>
      <c r="T154" s="501"/>
      <c r="U154" s="501"/>
    </row>
    <row r="155" spans="1:21" ht="15.75" customHeight="1">
      <c r="A155" s="499"/>
      <c r="B155" s="499"/>
      <c r="C155" s="529"/>
      <c r="D155" s="529"/>
      <c r="E155" s="529"/>
      <c r="F155" s="529"/>
      <c r="G155" s="529"/>
      <c r="H155" s="529"/>
      <c r="I155" s="529"/>
      <c r="J155" s="529"/>
      <c r="K155" s="529"/>
      <c r="L155" s="499"/>
      <c r="M155" s="500"/>
      <c r="N155" s="499"/>
      <c r="O155" s="499"/>
      <c r="P155" s="499"/>
      <c r="Q155" s="499"/>
      <c r="R155" s="499"/>
      <c r="S155" s="501"/>
      <c r="T155" s="501"/>
      <c r="U155" s="501"/>
    </row>
    <row r="156" spans="1:21" ht="15.75" customHeight="1">
      <c r="A156" s="499"/>
      <c r="B156" s="499"/>
      <c r="C156" s="529"/>
      <c r="D156" s="529"/>
      <c r="E156" s="529"/>
      <c r="F156" s="529"/>
      <c r="G156" s="529"/>
      <c r="H156" s="529"/>
      <c r="I156" s="529"/>
      <c r="J156" s="529"/>
      <c r="K156" s="529"/>
      <c r="L156" s="499"/>
      <c r="M156" s="500"/>
      <c r="N156" s="499"/>
      <c r="O156" s="499"/>
      <c r="P156" s="499"/>
      <c r="Q156" s="499"/>
      <c r="R156" s="499"/>
      <c r="S156" s="501"/>
      <c r="T156" s="501"/>
      <c r="U156" s="501"/>
    </row>
    <row r="157" spans="1:21" ht="15.75" customHeight="1">
      <c r="A157" s="499"/>
      <c r="B157" s="499"/>
      <c r="C157" s="529"/>
      <c r="D157" s="529"/>
      <c r="E157" s="529"/>
      <c r="F157" s="529"/>
      <c r="G157" s="529"/>
      <c r="H157" s="529"/>
      <c r="I157" s="529"/>
      <c r="J157" s="529"/>
      <c r="K157" s="529"/>
      <c r="L157" s="499"/>
      <c r="M157" s="500"/>
      <c r="N157" s="499"/>
      <c r="O157" s="499"/>
      <c r="P157" s="499"/>
      <c r="Q157" s="499"/>
      <c r="R157" s="499"/>
      <c r="S157" s="501"/>
      <c r="T157" s="501"/>
      <c r="U157" s="501"/>
    </row>
    <row r="158" spans="1:21" ht="15.75" customHeight="1">
      <c r="A158" s="499"/>
      <c r="B158" s="499"/>
      <c r="C158" s="529"/>
      <c r="D158" s="529"/>
      <c r="E158" s="529"/>
      <c r="F158" s="529"/>
      <c r="G158" s="529"/>
      <c r="H158" s="529"/>
      <c r="I158" s="529"/>
      <c r="J158" s="529"/>
      <c r="K158" s="529"/>
      <c r="L158" s="499"/>
      <c r="M158" s="500"/>
      <c r="N158" s="499"/>
      <c r="O158" s="499"/>
      <c r="P158" s="499"/>
      <c r="Q158" s="499"/>
      <c r="R158" s="499"/>
      <c r="S158" s="501"/>
      <c r="T158" s="501"/>
      <c r="U158" s="501"/>
    </row>
    <row r="159" spans="1:21" ht="15.75" customHeight="1">
      <c r="A159" s="499"/>
      <c r="B159" s="499"/>
      <c r="C159" s="529"/>
      <c r="D159" s="529"/>
      <c r="E159" s="529"/>
      <c r="F159" s="529"/>
      <c r="G159" s="529"/>
      <c r="H159" s="529"/>
      <c r="I159" s="529"/>
      <c r="J159" s="529"/>
      <c r="K159" s="529"/>
      <c r="L159" s="499"/>
      <c r="M159" s="500"/>
      <c r="N159" s="499"/>
      <c r="O159" s="499"/>
      <c r="P159" s="499"/>
      <c r="Q159" s="499"/>
      <c r="R159" s="499"/>
      <c r="S159" s="501"/>
      <c r="T159" s="501"/>
      <c r="U159" s="501"/>
    </row>
    <row r="160" spans="1:21" ht="15.75" customHeight="1">
      <c r="A160" s="499"/>
      <c r="B160" s="499"/>
      <c r="C160" s="529"/>
      <c r="D160" s="529"/>
      <c r="E160" s="529"/>
      <c r="F160" s="529"/>
      <c r="G160" s="529"/>
      <c r="H160" s="529"/>
      <c r="I160" s="529"/>
      <c r="J160" s="529"/>
      <c r="K160" s="529"/>
      <c r="L160" s="499"/>
      <c r="M160" s="500"/>
      <c r="N160" s="499"/>
      <c r="O160" s="499"/>
      <c r="P160" s="499"/>
      <c r="Q160" s="499"/>
      <c r="R160" s="499"/>
      <c r="S160" s="501"/>
      <c r="T160" s="501"/>
      <c r="U160" s="501"/>
    </row>
    <row r="161" spans="1:21" ht="15.75" customHeight="1">
      <c r="A161" s="499"/>
      <c r="B161" s="499"/>
      <c r="C161" s="529"/>
      <c r="D161" s="529"/>
      <c r="E161" s="529"/>
      <c r="F161" s="529"/>
      <c r="G161" s="529"/>
      <c r="H161" s="529"/>
      <c r="I161" s="529"/>
      <c r="J161" s="529"/>
      <c r="K161" s="529"/>
      <c r="L161" s="499"/>
      <c r="M161" s="500"/>
      <c r="N161" s="499"/>
      <c r="O161" s="499"/>
      <c r="P161" s="499"/>
      <c r="Q161" s="499"/>
      <c r="R161" s="499"/>
      <c r="S161" s="501"/>
      <c r="T161" s="501"/>
      <c r="U161" s="501"/>
    </row>
    <row r="162" spans="1:21" ht="15.75" customHeight="1">
      <c r="A162" s="499"/>
      <c r="B162" s="499"/>
      <c r="C162" s="529"/>
      <c r="D162" s="529"/>
      <c r="E162" s="529"/>
      <c r="F162" s="529"/>
      <c r="G162" s="529"/>
      <c r="H162" s="529"/>
      <c r="I162" s="529"/>
      <c r="J162" s="529"/>
      <c r="K162" s="529"/>
      <c r="L162" s="499"/>
      <c r="M162" s="500"/>
      <c r="N162" s="499"/>
      <c r="O162" s="499"/>
      <c r="P162" s="499"/>
      <c r="Q162" s="499"/>
      <c r="R162" s="499"/>
      <c r="S162" s="501"/>
      <c r="T162" s="501"/>
      <c r="U162" s="501"/>
    </row>
    <row r="163" spans="1:21" ht="15.75" customHeight="1">
      <c r="A163" s="499"/>
      <c r="B163" s="499"/>
      <c r="C163" s="529"/>
      <c r="D163" s="529"/>
      <c r="E163" s="529"/>
      <c r="F163" s="529"/>
      <c r="G163" s="529"/>
      <c r="H163" s="529"/>
      <c r="I163" s="529"/>
      <c r="J163" s="529"/>
      <c r="K163" s="529"/>
      <c r="L163" s="499"/>
      <c r="M163" s="500"/>
      <c r="N163" s="499"/>
      <c r="O163" s="499"/>
      <c r="P163" s="499"/>
      <c r="Q163" s="499"/>
      <c r="R163" s="499"/>
      <c r="S163" s="501"/>
      <c r="T163" s="501"/>
      <c r="U163" s="501"/>
    </row>
    <row r="164" spans="1:21" ht="15.75" customHeight="1">
      <c r="A164" s="499"/>
      <c r="B164" s="499"/>
      <c r="C164" s="529"/>
      <c r="D164" s="529"/>
      <c r="E164" s="529"/>
      <c r="F164" s="529"/>
      <c r="G164" s="529"/>
      <c r="H164" s="529"/>
      <c r="I164" s="529"/>
      <c r="J164" s="529"/>
      <c r="K164" s="529"/>
      <c r="L164" s="499"/>
      <c r="M164" s="500"/>
      <c r="N164" s="499"/>
      <c r="O164" s="499"/>
      <c r="P164" s="499"/>
      <c r="Q164" s="499"/>
      <c r="R164" s="499"/>
      <c r="S164" s="501"/>
      <c r="T164" s="501"/>
      <c r="U164" s="501"/>
    </row>
    <row r="165" spans="1:21" ht="15.75" customHeight="1">
      <c r="A165" s="499"/>
      <c r="B165" s="499"/>
      <c r="C165" s="529"/>
      <c r="D165" s="529"/>
      <c r="E165" s="529"/>
      <c r="F165" s="529"/>
      <c r="G165" s="529"/>
      <c r="H165" s="529"/>
      <c r="I165" s="529"/>
      <c r="J165" s="529"/>
      <c r="K165" s="529"/>
      <c r="L165" s="499"/>
      <c r="M165" s="500"/>
      <c r="N165" s="499"/>
      <c r="O165" s="499"/>
      <c r="P165" s="499"/>
      <c r="Q165" s="499"/>
      <c r="R165" s="499"/>
      <c r="S165" s="501"/>
      <c r="T165" s="501"/>
      <c r="U165" s="501"/>
    </row>
    <row r="166" spans="1:21" ht="15.75" customHeight="1">
      <c r="A166" s="499"/>
      <c r="B166" s="499"/>
      <c r="C166" s="529"/>
      <c r="D166" s="529"/>
      <c r="E166" s="529"/>
      <c r="F166" s="529"/>
      <c r="G166" s="529"/>
      <c r="H166" s="529"/>
      <c r="I166" s="529"/>
      <c r="J166" s="529"/>
      <c r="K166" s="529"/>
      <c r="L166" s="499"/>
      <c r="M166" s="500"/>
      <c r="N166" s="499"/>
      <c r="O166" s="499"/>
      <c r="P166" s="499"/>
      <c r="Q166" s="499"/>
      <c r="R166" s="499"/>
      <c r="S166" s="501"/>
      <c r="T166" s="501"/>
      <c r="U166" s="501"/>
    </row>
    <row r="167" spans="1:21" ht="15.75" customHeight="1">
      <c r="A167" s="499"/>
      <c r="B167" s="499"/>
      <c r="C167" s="529"/>
      <c r="D167" s="529"/>
      <c r="E167" s="529"/>
      <c r="F167" s="529"/>
      <c r="G167" s="529"/>
      <c r="H167" s="529"/>
      <c r="I167" s="529"/>
      <c r="J167" s="529"/>
      <c r="K167" s="529"/>
      <c r="L167" s="499"/>
      <c r="M167" s="500"/>
      <c r="N167" s="499"/>
      <c r="O167" s="499"/>
      <c r="P167" s="499"/>
      <c r="Q167" s="499"/>
      <c r="R167" s="499"/>
      <c r="S167" s="501"/>
      <c r="T167" s="501"/>
      <c r="U167" s="501"/>
    </row>
    <row r="168" spans="1:21" ht="15.75" customHeight="1">
      <c r="A168" s="499"/>
      <c r="B168" s="499"/>
      <c r="C168" s="529"/>
      <c r="D168" s="529"/>
      <c r="E168" s="529"/>
      <c r="F168" s="529"/>
      <c r="G168" s="529"/>
      <c r="H168" s="529"/>
      <c r="I168" s="529"/>
      <c r="J168" s="529"/>
      <c r="K168" s="529"/>
      <c r="L168" s="499"/>
      <c r="M168" s="500"/>
      <c r="N168" s="499"/>
      <c r="O168" s="499"/>
      <c r="P168" s="499"/>
      <c r="Q168" s="499"/>
      <c r="R168" s="499"/>
      <c r="S168" s="501"/>
      <c r="T168" s="501"/>
      <c r="U168" s="501"/>
    </row>
    <row r="169" spans="1:21" ht="15.75" customHeight="1">
      <c r="A169" s="499"/>
      <c r="B169" s="499"/>
      <c r="C169" s="529"/>
      <c r="D169" s="529"/>
      <c r="E169" s="529"/>
      <c r="F169" s="529"/>
      <c r="G169" s="529"/>
      <c r="H169" s="529"/>
      <c r="I169" s="529"/>
      <c r="J169" s="529"/>
      <c r="K169" s="529"/>
      <c r="L169" s="499"/>
      <c r="M169" s="500"/>
      <c r="N169" s="499"/>
      <c r="O169" s="499"/>
      <c r="P169" s="499"/>
      <c r="Q169" s="499"/>
      <c r="R169" s="499"/>
      <c r="S169" s="501"/>
      <c r="T169" s="501"/>
      <c r="U169" s="501"/>
    </row>
    <row r="170" spans="1:21" ht="15.75" customHeight="1">
      <c r="A170" s="499"/>
      <c r="B170" s="499"/>
      <c r="C170" s="529"/>
      <c r="D170" s="529"/>
      <c r="E170" s="529"/>
      <c r="F170" s="529"/>
      <c r="G170" s="529"/>
      <c r="H170" s="529"/>
      <c r="I170" s="529"/>
      <c r="J170" s="529"/>
      <c r="K170" s="529"/>
      <c r="L170" s="499"/>
      <c r="M170" s="500"/>
      <c r="N170" s="499"/>
      <c r="O170" s="499"/>
      <c r="P170" s="499"/>
      <c r="Q170" s="499"/>
      <c r="R170" s="499"/>
      <c r="S170" s="501"/>
      <c r="T170" s="501"/>
      <c r="U170" s="501"/>
    </row>
    <row r="171" spans="1:21" ht="15.75" customHeight="1">
      <c r="A171" s="499"/>
      <c r="B171" s="499"/>
      <c r="C171" s="529"/>
      <c r="D171" s="529"/>
      <c r="E171" s="529"/>
      <c r="F171" s="529"/>
      <c r="G171" s="529"/>
      <c r="H171" s="529"/>
      <c r="I171" s="529"/>
      <c r="J171" s="529"/>
      <c r="K171" s="529"/>
      <c r="L171" s="499"/>
      <c r="M171" s="500"/>
      <c r="N171" s="499"/>
      <c r="O171" s="499"/>
      <c r="P171" s="499"/>
      <c r="Q171" s="499"/>
      <c r="R171" s="499"/>
      <c r="S171" s="501"/>
      <c r="T171" s="501"/>
      <c r="U171" s="501"/>
    </row>
    <row r="172" spans="1:21" ht="15.75" customHeight="1">
      <c r="A172" s="499"/>
      <c r="B172" s="499"/>
      <c r="C172" s="529"/>
      <c r="D172" s="529"/>
      <c r="E172" s="529"/>
      <c r="F172" s="529"/>
      <c r="G172" s="529"/>
      <c r="H172" s="529"/>
      <c r="I172" s="529"/>
      <c r="J172" s="529"/>
      <c r="K172" s="529"/>
      <c r="L172" s="499"/>
      <c r="M172" s="500"/>
      <c r="N172" s="499"/>
      <c r="O172" s="499"/>
      <c r="P172" s="499"/>
      <c r="Q172" s="499"/>
      <c r="R172" s="499"/>
      <c r="S172" s="501"/>
      <c r="T172" s="501"/>
      <c r="U172" s="501"/>
    </row>
    <row r="173" spans="1:21" ht="15.75" customHeight="1">
      <c r="A173" s="499"/>
      <c r="B173" s="499"/>
      <c r="C173" s="529"/>
      <c r="D173" s="529"/>
      <c r="E173" s="529"/>
      <c r="F173" s="529"/>
      <c r="G173" s="529"/>
      <c r="H173" s="529"/>
      <c r="I173" s="529"/>
      <c r="J173" s="529"/>
      <c r="K173" s="529"/>
      <c r="L173" s="499"/>
      <c r="M173" s="500"/>
      <c r="N173" s="499"/>
      <c r="O173" s="499"/>
      <c r="P173" s="499"/>
      <c r="Q173" s="499"/>
      <c r="R173" s="499"/>
      <c r="S173" s="501"/>
      <c r="T173" s="501"/>
      <c r="U173" s="501"/>
    </row>
    <row r="174" spans="1:21" ht="15.75" customHeight="1">
      <c r="A174" s="499"/>
      <c r="B174" s="499"/>
      <c r="C174" s="529"/>
      <c r="D174" s="529"/>
      <c r="E174" s="529"/>
      <c r="F174" s="529"/>
      <c r="G174" s="529"/>
      <c r="H174" s="529"/>
      <c r="I174" s="529"/>
      <c r="J174" s="529"/>
      <c r="K174" s="529"/>
      <c r="L174" s="499"/>
      <c r="M174" s="500"/>
      <c r="N174" s="499"/>
      <c r="O174" s="499"/>
      <c r="P174" s="499"/>
      <c r="Q174" s="499"/>
      <c r="R174" s="499"/>
      <c r="S174" s="501"/>
      <c r="T174" s="501"/>
      <c r="U174" s="501"/>
    </row>
    <row r="175" spans="1:21" ht="15.75" customHeight="1">
      <c r="A175" s="499"/>
      <c r="B175" s="499"/>
      <c r="C175" s="529"/>
      <c r="D175" s="529"/>
      <c r="E175" s="529"/>
      <c r="F175" s="529"/>
      <c r="G175" s="529"/>
      <c r="H175" s="529"/>
      <c r="I175" s="529"/>
      <c r="J175" s="529"/>
      <c r="K175" s="529"/>
      <c r="L175" s="499"/>
      <c r="M175" s="500"/>
      <c r="N175" s="499"/>
      <c r="O175" s="499"/>
      <c r="P175" s="499"/>
      <c r="Q175" s="499"/>
      <c r="R175" s="499"/>
      <c r="S175" s="501"/>
      <c r="T175" s="501"/>
      <c r="U175" s="501"/>
    </row>
    <row r="176" spans="1:21" ht="15.75" customHeight="1">
      <c r="A176" s="499"/>
      <c r="B176" s="499"/>
      <c r="C176" s="529"/>
      <c r="D176" s="529"/>
      <c r="E176" s="529"/>
      <c r="F176" s="529"/>
      <c r="G176" s="529"/>
      <c r="H176" s="529"/>
      <c r="I176" s="529"/>
      <c r="J176" s="529"/>
      <c r="K176" s="529"/>
      <c r="L176" s="499"/>
      <c r="M176" s="500"/>
      <c r="N176" s="499"/>
      <c r="O176" s="499"/>
      <c r="P176" s="499"/>
      <c r="Q176" s="499"/>
      <c r="R176" s="499"/>
      <c r="S176" s="501"/>
      <c r="T176" s="501"/>
      <c r="U176" s="501"/>
    </row>
    <row r="177" spans="1:21" ht="15.75" customHeight="1">
      <c r="A177" s="499"/>
      <c r="B177" s="499"/>
      <c r="C177" s="529"/>
      <c r="D177" s="529"/>
      <c r="E177" s="529"/>
      <c r="F177" s="529"/>
      <c r="G177" s="529"/>
      <c r="H177" s="529"/>
      <c r="I177" s="529"/>
      <c r="J177" s="529"/>
      <c r="K177" s="529"/>
      <c r="L177" s="499"/>
      <c r="M177" s="500"/>
      <c r="N177" s="499"/>
      <c r="O177" s="499"/>
      <c r="P177" s="499"/>
      <c r="Q177" s="499"/>
      <c r="R177" s="499"/>
      <c r="S177" s="501"/>
      <c r="T177" s="501"/>
      <c r="U177" s="501"/>
    </row>
    <row r="178" spans="1:21" ht="15.75" customHeight="1">
      <c r="A178" s="499"/>
      <c r="B178" s="499"/>
      <c r="C178" s="529"/>
      <c r="D178" s="529"/>
      <c r="E178" s="529"/>
      <c r="F178" s="529"/>
      <c r="G178" s="529"/>
      <c r="H178" s="529"/>
      <c r="I178" s="529"/>
      <c r="J178" s="529"/>
      <c r="K178" s="529"/>
      <c r="L178" s="499"/>
      <c r="M178" s="500"/>
      <c r="N178" s="499"/>
      <c r="O178" s="499"/>
      <c r="P178" s="499"/>
      <c r="Q178" s="499"/>
      <c r="R178" s="499"/>
      <c r="S178" s="501"/>
      <c r="T178" s="501"/>
      <c r="U178" s="501"/>
    </row>
    <row r="179" spans="1:21" ht="15.75" customHeight="1">
      <c r="A179" s="499"/>
      <c r="B179" s="499"/>
      <c r="C179" s="529"/>
      <c r="D179" s="529"/>
      <c r="E179" s="529"/>
      <c r="F179" s="529"/>
      <c r="G179" s="529"/>
      <c r="H179" s="529"/>
      <c r="I179" s="529"/>
      <c r="J179" s="529"/>
      <c r="K179" s="529"/>
      <c r="L179" s="499"/>
      <c r="M179" s="500"/>
      <c r="N179" s="499"/>
      <c r="O179" s="499"/>
      <c r="P179" s="499"/>
      <c r="Q179" s="499"/>
      <c r="R179" s="499"/>
      <c r="S179" s="501"/>
      <c r="T179" s="501"/>
      <c r="U179" s="501"/>
    </row>
    <row r="180" spans="1:21" ht="15.75" customHeight="1">
      <c r="A180" s="499"/>
      <c r="B180" s="499"/>
      <c r="C180" s="529"/>
      <c r="D180" s="529"/>
      <c r="E180" s="529"/>
      <c r="F180" s="529"/>
      <c r="G180" s="529"/>
      <c r="H180" s="529"/>
      <c r="I180" s="529"/>
      <c r="J180" s="529"/>
      <c r="K180" s="529"/>
      <c r="L180" s="499"/>
      <c r="M180" s="500"/>
      <c r="N180" s="499"/>
      <c r="O180" s="499"/>
      <c r="P180" s="499"/>
      <c r="Q180" s="499"/>
      <c r="R180" s="499"/>
      <c r="S180" s="501"/>
      <c r="T180" s="501"/>
      <c r="U180" s="501"/>
    </row>
    <row r="181" spans="1:21" ht="15.75" customHeight="1">
      <c r="A181" s="499"/>
      <c r="B181" s="499"/>
      <c r="C181" s="529"/>
      <c r="D181" s="529"/>
      <c r="E181" s="529"/>
      <c r="F181" s="529"/>
      <c r="G181" s="529"/>
      <c r="H181" s="529"/>
      <c r="I181" s="529"/>
      <c r="J181" s="529"/>
      <c r="K181" s="529"/>
      <c r="L181" s="499"/>
      <c r="M181" s="500"/>
      <c r="N181" s="499"/>
      <c r="O181" s="499"/>
      <c r="P181" s="499"/>
      <c r="Q181" s="499"/>
      <c r="R181" s="499"/>
      <c r="S181" s="501"/>
      <c r="T181" s="501"/>
      <c r="U181" s="501"/>
    </row>
    <row r="182" spans="1:21" ht="15.75" customHeight="1">
      <c r="A182" s="499"/>
      <c r="B182" s="499"/>
      <c r="C182" s="529"/>
      <c r="D182" s="529"/>
      <c r="E182" s="529"/>
      <c r="F182" s="529"/>
      <c r="G182" s="529"/>
      <c r="H182" s="529"/>
      <c r="I182" s="529"/>
      <c r="J182" s="529"/>
      <c r="K182" s="529"/>
      <c r="L182" s="499"/>
      <c r="M182" s="500"/>
      <c r="N182" s="499"/>
      <c r="O182" s="499"/>
      <c r="P182" s="499"/>
      <c r="Q182" s="499"/>
      <c r="R182" s="499"/>
      <c r="S182" s="501"/>
      <c r="T182" s="501"/>
      <c r="U182" s="501"/>
    </row>
    <row r="183" spans="1:21" ht="15.75" customHeight="1">
      <c r="A183" s="499"/>
      <c r="B183" s="499"/>
      <c r="C183" s="529"/>
      <c r="D183" s="529"/>
      <c r="E183" s="529"/>
      <c r="F183" s="529"/>
      <c r="G183" s="529"/>
      <c r="H183" s="529"/>
      <c r="I183" s="529"/>
      <c r="J183" s="529"/>
      <c r="K183" s="529"/>
      <c r="L183" s="499"/>
      <c r="M183" s="500"/>
      <c r="N183" s="499"/>
      <c r="O183" s="499"/>
      <c r="P183" s="499"/>
      <c r="Q183" s="499"/>
      <c r="R183" s="499"/>
      <c r="S183" s="501"/>
      <c r="T183" s="501"/>
      <c r="U183" s="501"/>
    </row>
    <row r="184" spans="1:21" ht="15.75" customHeight="1">
      <c r="A184" s="499"/>
      <c r="B184" s="499"/>
      <c r="C184" s="529"/>
      <c r="D184" s="529"/>
      <c r="E184" s="529"/>
      <c r="F184" s="529"/>
      <c r="G184" s="529"/>
      <c r="H184" s="529"/>
      <c r="I184" s="529"/>
      <c r="J184" s="529"/>
      <c r="K184" s="529"/>
      <c r="L184" s="499"/>
      <c r="M184" s="500"/>
      <c r="N184" s="499"/>
      <c r="O184" s="499"/>
      <c r="P184" s="499"/>
      <c r="Q184" s="499"/>
      <c r="R184" s="499"/>
      <c r="S184" s="501"/>
      <c r="T184" s="501"/>
      <c r="U184" s="501"/>
    </row>
    <row r="185" spans="1:21" ht="15.75" customHeight="1">
      <c r="A185" s="499"/>
      <c r="B185" s="499"/>
      <c r="C185" s="529"/>
      <c r="D185" s="529"/>
      <c r="E185" s="529"/>
      <c r="F185" s="529"/>
      <c r="G185" s="529"/>
      <c r="H185" s="529"/>
      <c r="I185" s="529"/>
      <c r="J185" s="529"/>
      <c r="K185" s="529"/>
      <c r="L185" s="499"/>
      <c r="M185" s="500"/>
      <c r="N185" s="499"/>
      <c r="O185" s="499"/>
      <c r="P185" s="499"/>
      <c r="Q185" s="499"/>
      <c r="R185" s="499"/>
      <c r="S185" s="501"/>
      <c r="T185" s="501"/>
      <c r="U185" s="501"/>
    </row>
    <row r="186" spans="1:21" ht="15.75" customHeight="1">
      <c r="A186" s="499"/>
      <c r="B186" s="499"/>
      <c r="C186" s="529"/>
      <c r="D186" s="529"/>
      <c r="E186" s="529"/>
      <c r="F186" s="529"/>
      <c r="G186" s="529"/>
      <c r="H186" s="529"/>
      <c r="I186" s="529"/>
      <c r="J186" s="529"/>
      <c r="K186" s="529"/>
      <c r="L186" s="499"/>
      <c r="M186" s="500"/>
      <c r="N186" s="499"/>
      <c r="O186" s="499"/>
      <c r="P186" s="499"/>
      <c r="Q186" s="499"/>
      <c r="R186" s="499"/>
      <c r="S186" s="501"/>
      <c r="T186" s="501"/>
      <c r="U186" s="501"/>
    </row>
    <row r="187" spans="1:21" ht="15.75" customHeight="1">
      <c r="A187" s="499"/>
      <c r="B187" s="499"/>
      <c r="C187" s="529"/>
      <c r="D187" s="529"/>
      <c r="E187" s="529"/>
      <c r="F187" s="529"/>
      <c r="G187" s="529"/>
      <c r="H187" s="529"/>
      <c r="I187" s="529"/>
      <c r="J187" s="529"/>
      <c r="K187" s="529"/>
      <c r="L187" s="499"/>
      <c r="M187" s="500"/>
      <c r="N187" s="499"/>
      <c r="O187" s="499"/>
      <c r="P187" s="499"/>
      <c r="Q187" s="499"/>
      <c r="R187" s="499"/>
      <c r="S187" s="501"/>
      <c r="T187" s="501"/>
      <c r="U187" s="501"/>
    </row>
    <row r="188" spans="1:21" ht="15.75" customHeight="1">
      <c r="A188" s="499"/>
      <c r="B188" s="499"/>
      <c r="C188" s="529"/>
      <c r="D188" s="529"/>
      <c r="E188" s="529"/>
      <c r="F188" s="529"/>
      <c r="G188" s="529"/>
      <c r="H188" s="529"/>
      <c r="I188" s="529"/>
      <c r="J188" s="529"/>
      <c r="K188" s="529"/>
      <c r="L188" s="499"/>
      <c r="M188" s="500"/>
      <c r="N188" s="499"/>
      <c r="O188" s="499"/>
      <c r="P188" s="499"/>
      <c r="Q188" s="499"/>
      <c r="R188" s="499"/>
      <c r="S188" s="501"/>
      <c r="T188" s="501"/>
      <c r="U188" s="501"/>
    </row>
    <row r="189" spans="1:21" ht="15.75" customHeight="1">
      <c r="A189" s="499"/>
      <c r="B189" s="499"/>
      <c r="C189" s="529"/>
      <c r="D189" s="529"/>
      <c r="E189" s="529"/>
      <c r="F189" s="529"/>
      <c r="G189" s="529"/>
      <c r="H189" s="529"/>
      <c r="I189" s="529"/>
      <c r="J189" s="529"/>
      <c r="K189" s="529"/>
      <c r="L189" s="499"/>
      <c r="M189" s="500"/>
      <c r="N189" s="499"/>
      <c r="O189" s="499"/>
      <c r="P189" s="499"/>
      <c r="Q189" s="499"/>
      <c r="R189" s="499"/>
      <c r="S189" s="501"/>
      <c r="T189" s="501"/>
      <c r="U189" s="501"/>
    </row>
    <row r="190" spans="1:21" ht="15.75" customHeight="1">
      <c r="A190" s="499"/>
      <c r="B190" s="499"/>
      <c r="C190" s="529"/>
      <c r="D190" s="529"/>
      <c r="E190" s="529"/>
      <c r="F190" s="529"/>
      <c r="G190" s="529"/>
      <c r="H190" s="529"/>
      <c r="I190" s="529"/>
      <c r="J190" s="529"/>
      <c r="K190" s="529"/>
      <c r="L190" s="499"/>
      <c r="M190" s="500"/>
      <c r="N190" s="499"/>
      <c r="O190" s="499"/>
      <c r="P190" s="499"/>
      <c r="Q190" s="499"/>
      <c r="R190" s="499"/>
      <c r="S190" s="501"/>
      <c r="T190" s="501"/>
      <c r="U190" s="501"/>
    </row>
    <row r="191" spans="1:21" ht="15.75" customHeight="1">
      <c r="A191" s="499"/>
      <c r="B191" s="499"/>
      <c r="C191" s="529"/>
      <c r="D191" s="529"/>
      <c r="E191" s="529"/>
      <c r="F191" s="529"/>
      <c r="G191" s="529"/>
      <c r="H191" s="529"/>
      <c r="I191" s="529"/>
      <c r="J191" s="529"/>
      <c r="K191" s="529"/>
      <c r="L191" s="499"/>
      <c r="M191" s="500"/>
      <c r="N191" s="499"/>
      <c r="O191" s="499"/>
      <c r="P191" s="499"/>
      <c r="Q191" s="499"/>
      <c r="R191" s="499"/>
      <c r="S191" s="501"/>
      <c r="T191" s="501"/>
      <c r="U191" s="501"/>
    </row>
    <row r="192" spans="1:21" ht="15.75" customHeight="1">
      <c r="A192" s="499"/>
      <c r="B192" s="499"/>
      <c r="C192" s="529"/>
      <c r="D192" s="529"/>
      <c r="E192" s="529"/>
      <c r="F192" s="529"/>
      <c r="G192" s="529"/>
      <c r="H192" s="529"/>
      <c r="I192" s="529"/>
      <c r="J192" s="529"/>
      <c r="K192" s="529"/>
      <c r="L192" s="499"/>
      <c r="M192" s="500"/>
      <c r="N192" s="499"/>
      <c r="O192" s="499"/>
      <c r="P192" s="499"/>
      <c r="Q192" s="499"/>
      <c r="R192" s="499"/>
      <c r="S192" s="501"/>
      <c r="T192" s="501"/>
      <c r="U192" s="501"/>
    </row>
    <row r="193" spans="1:21" ht="15.75" customHeight="1">
      <c r="A193" s="499"/>
      <c r="B193" s="499"/>
      <c r="C193" s="529"/>
      <c r="D193" s="529"/>
      <c r="E193" s="529"/>
      <c r="F193" s="529"/>
      <c r="G193" s="529"/>
      <c r="H193" s="529"/>
      <c r="I193" s="529"/>
      <c r="J193" s="529"/>
      <c r="K193" s="529"/>
      <c r="L193" s="499"/>
      <c r="M193" s="500"/>
      <c r="N193" s="499"/>
      <c r="O193" s="499"/>
      <c r="P193" s="499"/>
      <c r="Q193" s="499"/>
      <c r="R193" s="499"/>
      <c r="S193" s="501"/>
      <c r="T193" s="501"/>
      <c r="U193" s="501"/>
    </row>
    <row r="194" spans="1:21" ht="15.75" customHeight="1">
      <c r="A194" s="499"/>
      <c r="B194" s="499"/>
      <c r="C194" s="529"/>
      <c r="D194" s="529"/>
      <c r="E194" s="529"/>
      <c r="F194" s="529"/>
      <c r="G194" s="529"/>
      <c r="H194" s="529"/>
      <c r="I194" s="529"/>
      <c r="J194" s="529"/>
      <c r="K194" s="529"/>
      <c r="L194" s="499"/>
      <c r="M194" s="500"/>
      <c r="N194" s="499"/>
      <c r="O194" s="499"/>
      <c r="P194" s="499"/>
      <c r="Q194" s="499"/>
      <c r="R194" s="499"/>
      <c r="S194" s="501"/>
      <c r="T194" s="501"/>
      <c r="U194" s="501"/>
    </row>
    <row r="195" spans="1:21" ht="15.75" customHeight="1">
      <c r="A195" s="499"/>
      <c r="B195" s="499"/>
      <c r="C195" s="529"/>
      <c r="D195" s="529"/>
      <c r="E195" s="529"/>
      <c r="F195" s="529"/>
      <c r="G195" s="529"/>
      <c r="H195" s="529"/>
      <c r="I195" s="529"/>
      <c r="J195" s="529"/>
      <c r="K195" s="529"/>
      <c r="L195" s="499"/>
      <c r="M195" s="500"/>
      <c r="N195" s="499"/>
      <c r="O195" s="499"/>
      <c r="P195" s="499"/>
      <c r="Q195" s="499"/>
      <c r="R195" s="499"/>
      <c r="S195" s="501"/>
      <c r="T195" s="501"/>
      <c r="U195" s="501"/>
    </row>
    <row r="196" spans="1:21" ht="15.75" customHeight="1">
      <c r="A196" s="499"/>
      <c r="B196" s="499"/>
      <c r="C196" s="529"/>
      <c r="D196" s="529"/>
      <c r="E196" s="529"/>
      <c r="F196" s="529"/>
      <c r="G196" s="529"/>
      <c r="H196" s="529"/>
      <c r="I196" s="529"/>
      <c r="J196" s="529"/>
      <c r="K196" s="529"/>
      <c r="L196" s="499"/>
      <c r="M196" s="500"/>
      <c r="N196" s="499"/>
      <c r="O196" s="499"/>
      <c r="P196" s="499"/>
      <c r="Q196" s="499"/>
      <c r="R196" s="499"/>
      <c r="S196" s="501"/>
      <c r="T196" s="501"/>
      <c r="U196" s="501"/>
    </row>
    <row r="197" spans="1:21" ht="15.75" customHeight="1">
      <c r="A197" s="499"/>
      <c r="B197" s="499"/>
      <c r="C197" s="529"/>
      <c r="D197" s="529"/>
      <c r="E197" s="529"/>
      <c r="F197" s="529"/>
      <c r="G197" s="529"/>
      <c r="H197" s="529"/>
      <c r="I197" s="529"/>
      <c r="J197" s="529"/>
      <c r="K197" s="529"/>
      <c r="L197" s="499"/>
      <c r="M197" s="500"/>
      <c r="N197" s="499"/>
      <c r="O197" s="499"/>
      <c r="P197" s="499"/>
      <c r="Q197" s="499"/>
      <c r="R197" s="499"/>
      <c r="S197" s="501"/>
      <c r="T197" s="501"/>
      <c r="U197" s="501"/>
    </row>
    <row r="198" spans="1:21" ht="15.75" customHeight="1">
      <c r="A198" s="499"/>
      <c r="B198" s="499"/>
      <c r="C198" s="529"/>
      <c r="D198" s="529"/>
      <c r="E198" s="529"/>
      <c r="F198" s="529"/>
      <c r="G198" s="529"/>
      <c r="H198" s="529"/>
      <c r="I198" s="529"/>
      <c r="J198" s="529"/>
      <c r="K198" s="529"/>
      <c r="L198" s="499"/>
      <c r="M198" s="500"/>
      <c r="N198" s="499"/>
      <c r="O198" s="499"/>
      <c r="P198" s="499"/>
      <c r="Q198" s="499"/>
      <c r="R198" s="499"/>
      <c r="S198" s="501"/>
      <c r="T198" s="501"/>
      <c r="U198" s="501"/>
    </row>
    <row r="199" spans="1:21" ht="15.75" customHeight="1">
      <c r="A199" s="499"/>
      <c r="B199" s="499"/>
      <c r="C199" s="529"/>
      <c r="D199" s="529"/>
      <c r="E199" s="529"/>
      <c r="F199" s="529"/>
      <c r="G199" s="529"/>
      <c r="H199" s="529"/>
      <c r="I199" s="529"/>
      <c r="J199" s="529"/>
      <c r="K199" s="529"/>
      <c r="L199" s="499"/>
      <c r="M199" s="500"/>
      <c r="N199" s="499"/>
      <c r="O199" s="499"/>
      <c r="P199" s="499"/>
      <c r="Q199" s="499"/>
      <c r="R199" s="499"/>
      <c r="S199" s="501"/>
      <c r="T199" s="501"/>
      <c r="U199" s="501"/>
    </row>
    <row r="200" spans="1:21" ht="15.75" customHeight="1">
      <c r="A200" s="499"/>
      <c r="B200" s="499"/>
      <c r="C200" s="529"/>
      <c r="D200" s="529"/>
      <c r="E200" s="529"/>
      <c r="F200" s="529"/>
      <c r="G200" s="529"/>
      <c r="H200" s="529"/>
      <c r="I200" s="529"/>
      <c r="J200" s="529"/>
      <c r="K200" s="529"/>
      <c r="L200" s="499"/>
      <c r="M200" s="500"/>
      <c r="N200" s="499"/>
      <c r="O200" s="499"/>
      <c r="P200" s="499"/>
      <c r="Q200" s="499"/>
      <c r="R200" s="499"/>
      <c r="S200" s="501"/>
      <c r="T200" s="501"/>
      <c r="U200" s="501"/>
    </row>
    <row r="201" spans="1:21" ht="15.75" customHeight="1">
      <c r="A201" s="499"/>
      <c r="B201" s="499"/>
      <c r="C201" s="529"/>
      <c r="D201" s="529"/>
      <c r="E201" s="529"/>
      <c r="F201" s="529"/>
      <c r="G201" s="529"/>
      <c r="H201" s="529"/>
      <c r="I201" s="529"/>
      <c r="J201" s="529"/>
      <c r="K201" s="529"/>
      <c r="L201" s="499"/>
      <c r="M201" s="500"/>
      <c r="N201" s="499"/>
      <c r="O201" s="499"/>
      <c r="P201" s="499"/>
      <c r="Q201" s="499"/>
      <c r="R201" s="499"/>
      <c r="S201" s="501"/>
      <c r="T201" s="501"/>
      <c r="U201" s="501"/>
    </row>
    <row r="202" spans="1:21" ht="15.75" customHeight="1">
      <c r="A202" s="499"/>
      <c r="B202" s="499"/>
      <c r="C202" s="529"/>
      <c r="D202" s="529"/>
      <c r="E202" s="529"/>
      <c r="F202" s="529"/>
      <c r="G202" s="529"/>
      <c r="H202" s="529"/>
      <c r="I202" s="529"/>
      <c r="J202" s="529"/>
      <c r="K202" s="529"/>
      <c r="L202" s="499"/>
      <c r="M202" s="500"/>
      <c r="N202" s="499"/>
      <c r="O202" s="499"/>
      <c r="P202" s="499"/>
      <c r="Q202" s="499"/>
      <c r="R202" s="499"/>
      <c r="S202" s="501"/>
      <c r="T202" s="501"/>
      <c r="U202" s="501"/>
    </row>
    <row r="203" spans="1:21" ht="15.75" customHeight="1">
      <c r="A203" s="499"/>
      <c r="B203" s="499"/>
      <c r="C203" s="529"/>
      <c r="D203" s="529"/>
      <c r="E203" s="529"/>
      <c r="F203" s="529"/>
      <c r="G203" s="529"/>
      <c r="H203" s="529"/>
      <c r="I203" s="529"/>
      <c r="J203" s="529"/>
      <c r="K203" s="529"/>
      <c r="L203" s="499"/>
      <c r="M203" s="500"/>
      <c r="N203" s="499"/>
      <c r="O203" s="499"/>
      <c r="P203" s="499"/>
      <c r="Q203" s="499"/>
      <c r="R203" s="499"/>
      <c r="S203" s="501"/>
      <c r="T203" s="501"/>
      <c r="U203" s="501"/>
    </row>
    <row r="204" spans="1:21" ht="15.75" customHeight="1">
      <c r="A204" s="499"/>
      <c r="B204" s="499"/>
      <c r="C204" s="529"/>
      <c r="D204" s="529"/>
      <c r="E204" s="529"/>
      <c r="F204" s="529"/>
      <c r="G204" s="529"/>
      <c r="H204" s="529"/>
      <c r="I204" s="529"/>
      <c r="J204" s="529"/>
      <c r="K204" s="529"/>
      <c r="L204" s="499"/>
      <c r="M204" s="500"/>
      <c r="N204" s="499"/>
      <c r="O204" s="499"/>
      <c r="P204" s="499"/>
      <c r="Q204" s="499"/>
      <c r="R204" s="499"/>
      <c r="S204" s="501"/>
      <c r="T204" s="501"/>
      <c r="U204" s="501"/>
    </row>
    <row r="205" spans="1:21" ht="15.75" customHeight="1">
      <c r="A205" s="499"/>
      <c r="B205" s="499"/>
      <c r="C205" s="529"/>
      <c r="D205" s="529"/>
      <c r="E205" s="529"/>
      <c r="F205" s="529"/>
      <c r="G205" s="529"/>
      <c r="H205" s="529"/>
      <c r="I205" s="529"/>
      <c r="J205" s="529"/>
      <c r="K205" s="529"/>
      <c r="L205" s="499"/>
      <c r="M205" s="500"/>
      <c r="N205" s="499"/>
      <c r="O205" s="499"/>
      <c r="P205" s="499"/>
      <c r="Q205" s="499"/>
      <c r="R205" s="499"/>
      <c r="S205" s="501"/>
      <c r="T205" s="501"/>
      <c r="U205" s="501"/>
    </row>
    <row r="206" spans="1:21" ht="15.75" customHeight="1">
      <c r="A206" s="499"/>
      <c r="B206" s="499"/>
      <c r="C206" s="529"/>
      <c r="D206" s="529"/>
      <c r="E206" s="529"/>
      <c r="F206" s="529"/>
      <c r="G206" s="529"/>
      <c r="H206" s="529"/>
      <c r="I206" s="529"/>
      <c r="J206" s="529"/>
      <c r="K206" s="529"/>
      <c r="L206" s="499"/>
      <c r="M206" s="500"/>
      <c r="N206" s="499"/>
      <c r="O206" s="499"/>
      <c r="P206" s="499"/>
      <c r="Q206" s="499"/>
      <c r="R206" s="499"/>
      <c r="S206" s="501"/>
      <c r="T206" s="501"/>
      <c r="U206" s="501"/>
    </row>
    <row r="207" spans="1:21" ht="15.75" customHeight="1">
      <c r="A207" s="499"/>
      <c r="B207" s="499"/>
      <c r="C207" s="529"/>
      <c r="D207" s="529"/>
      <c r="E207" s="529"/>
      <c r="F207" s="529"/>
      <c r="G207" s="529"/>
      <c r="H207" s="529"/>
      <c r="I207" s="529"/>
      <c r="J207" s="529"/>
      <c r="K207" s="529"/>
      <c r="L207" s="499"/>
      <c r="M207" s="500"/>
      <c r="N207" s="499"/>
      <c r="O207" s="499"/>
      <c r="P207" s="499"/>
      <c r="Q207" s="499"/>
      <c r="R207" s="499"/>
      <c r="S207" s="501"/>
      <c r="T207" s="501"/>
      <c r="U207" s="501"/>
    </row>
    <row r="208" spans="1:21" ht="15.75" customHeight="1">
      <c r="A208" s="499"/>
      <c r="B208" s="499"/>
      <c r="C208" s="529"/>
      <c r="D208" s="529"/>
      <c r="E208" s="529"/>
      <c r="F208" s="529"/>
      <c r="G208" s="529"/>
      <c r="H208" s="529"/>
      <c r="I208" s="529"/>
      <c r="J208" s="529"/>
      <c r="K208" s="529"/>
      <c r="L208" s="499"/>
      <c r="M208" s="500"/>
      <c r="N208" s="499"/>
      <c r="O208" s="499"/>
      <c r="P208" s="499"/>
      <c r="Q208" s="499"/>
      <c r="R208" s="499"/>
      <c r="S208" s="501"/>
      <c r="T208" s="501"/>
      <c r="U208" s="501"/>
    </row>
    <row r="209" spans="1:21" ht="15.75" customHeight="1">
      <c r="A209" s="499"/>
      <c r="B209" s="499"/>
      <c r="C209" s="529"/>
      <c r="D209" s="529"/>
      <c r="E209" s="529"/>
      <c r="F209" s="529"/>
      <c r="G209" s="529"/>
      <c r="H209" s="529"/>
      <c r="I209" s="529"/>
      <c r="J209" s="529"/>
      <c r="K209" s="529"/>
      <c r="L209" s="499"/>
      <c r="M209" s="500"/>
      <c r="N209" s="499"/>
      <c r="O209" s="499"/>
      <c r="P209" s="499"/>
      <c r="Q209" s="499"/>
      <c r="R209" s="499"/>
      <c r="S209" s="501"/>
      <c r="T209" s="501"/>
      <c r="U209" s="501"/>
    </row>
    <row r="210" spans="1:21" ht="15.75" customHeight="1">
      <c r="A210" s="499"/>
      <c r="B210" s="499"/>
      <c r="C210" s="529"/>
      <c r="D210" s="529"/>
      <c r="E210" s="529"/>
      <c r="F210" s="529"/>
      <c r="G210" s="529"/>
      <c r="H210" s="529"/>
      <c r="I210" s="529"/>
      <c r="J210" s="529"/>
      <c r="K210" s="529"/>
      <c r="L210" s="499"/>
      <c r="M210" s="500"/>
      <c r="N210" s="499"/>
      <c r="O210" s="499"/>
      <c r="P210" s="499"/>
      <c r="Q210" s="499"/>
      <c r="R210" s="499"/>
      <c r="S210" s="501"/>
      <c r="T210" s="501"/>
      <c r="U210" s="501"/>
    </row>
    <row r="211" spans="1:21" ht="15.75" customHeight="1">
      <c r="A211" s="499"/>
      <c r="B211" s="499"/>
      <c r="C211" s="529"/>
      <c r="D211" s="529"/>
      <c r="E211" s="529"/>
      <c r="F211" s="529"/>
      <c r="G211" s="529"/>
      <c r="H211" s="529"/>
      <c r="I211" s="529"/>
      <c r="J211" s="529"/>
      <c r="K211" s="529"/>
      <c r="L211" s="499"/>
      <c r="M211" s="500"/>
      <c r="N211" s="499"/>
      <c r="O211" s="499"/>
      <c r="P211" s="499"/>
      <c r="Q211" s="499"/>
      <c r="R211" s="499"/>
      <c r="S211" s="501"/>
      <c r="T211" s="501"/>
      <c r="U211" s="501"/>
    </row>
    <row r="212" spans="1:21" ht="15.75" customHeight="1">
      <c r="A212" s="550"/>
      <c r="B212" s="550"/>
      <c r="C212" s="551"/>
      <c r="D212" s="551"/>
      <c r="E212" s="551"/>
      <c r="F212" s="551"/>
      <c r="G212" s="551"/>
      <c r="H212" s="551"/>
      <c r="I212" s="551"/>
      <c r="J212" s="551"/>
      <c r="K212" s="551"/>
      <c r="L212" s="550"/>
      <c r="M212" s="552"/>
      <c r="N212" s="550"/>
      <c r="O212" s="550"/>
      <c r="P212" s="550"/>
      <c r="Q212" s="550"/>
      <c r="R212" s="550"/>
    </row>
    <row r="213" spans="1:21" ht="15.75" customHeight="1">
      <c r="A213" s="550"/>
      <c r="B213" s="550"/>
      <c r="C213" s="551"/>
      <c r="D213" s="551"/>
      <c r="E213" s="551"/>
      <c r="F213" s="551"/>
      <c r="G213" s="551"/>
      <c r="H213" s="551"/>
      <c r="I213" s="551"/>
      <c r="J213" s="551"/>
      <c r="K213" s="551"/>
      <c r="L213" s="550"/>
      <c r="M213" s="552"/>
      <c r="N213" s="550"/>
      <c r="O213" s="550"/>
      <c r="P213" s="550"/>
      <c r="Q213" s="550"/>
      <c r="R213" s="550"/>
    </row>
    <row r="214" spans="1:21" ht="15.75" customHeight="1">
      <c r="A214" s="550"/>
      <c r="B214" s="550"/>
      <c r="C214" s="551"/>
      <c r="D214" s="551"/>
      <c r="E214" s="551"/>
      <c r="F214" s="551"/>
      <c r="G214" s="551"/>
      <c r="H214" s="551"/>
      <c r="I214" s="551"/>
      <c r="J214" s="551"/>
      <c r="K214" s="551"/>
      <c r="L214" s="550"/>
      <c r="M214" s="552"/>
      <c r="N214" s="550"/>
      <c r="O214" s="550"/>
      <c r="P214" s="550"/>
      <c r="Q214" s="550"/>
      <c r="R214" s="550"/>
    </row>
    <row r="215" spans="1:21" ht="15.75" customHeight="1">
      <c r="A215" s="550"/>
      <c r="B215" s="550"/>
      <c r="C215" s="551"/>
      <c r="D215" s="551"/>
      <c r="E215" s="551"/>
      <c r="F215" s="551"/>
      <c r="G215" s="551"/>
      <c r="H215" s="551"/>
      <c r="I215" s="551"/>
      <c r="J215" s="551"/>
      <c r="K215" s="551"/>
      <c r="L215" s="550"/>
      <c r="M215" s="552"/>
      <c r="N215" s="550"/>
      <c r="O215" s="550"/>
      <c r="P215" s="550"/>
      <c r="Q215" s="550"/>
      <c r="R215" s="550"/>
    </row>
    <row r="216" spans="1:21" ht="15.75" customHeight="1">
      <c r="A216" s="550"/>
      <c r="B216" s="550"/>
      <c r="C216" s="551"/>
      <c r="D216" s="551"/>
      <c r="E216" s="551"/>
      <c r="F216" s="551"/>
      <c r="G216" s="551"/>
      <c r="H216" s="551"/>
      <c r="I216" s="551"/>
      <c r="J216" s="551"/>
      <c r="K216" s="551"/>
      <c r="L216" s="550"/>
      <c r="M216" s="552"/>
      <c r="N216" s="550"/>
      <c r="O216" s="550"/>
      <c r="P216" s="550"/>
      <c r="Q216" s="550"/>
      <c r="R216" s="550"/>
    </row>
    <row r="217" spans="1:21" ht="15.75" customHeight="1">
      <c r="A217" s="550"/>
      <c r="B217" s="550"/>
      <c r="C217" s="551"/>
      <c r="D217" s="551"/>
      <c r="E217" s="551"/>
      <c r="F217" s="551"/>
      <c r="G217" s="551"/>
      <c r="H217" s="551"/>
      <c r="I217" s="551"/>
      <c r="J217" s="551"/>
      <c r="K217" s="551"/>
      <c r="L217" s="550"/>
      <c r="M217" s="552"/>
      <c r="N217" s="550"/>
      <c r="O217" s="550"/>
      <c r="P217" s="550"/>
      <c r="Q217" s="550"/>
      <c r="R217" s="550"/>
    </row>
    <row r="218" spans="1:21" ht="15.75" customHeight="1">
      <c r="A218" s="550"/>
      <c r="B218" s="550"/>
      <c r="C218" s="551"/>
      <c r="D218" s="551"/>
      <c r="E218" s="551"/>
      <c r="F218" s="551"/>
      <c r="G218" s="551"/>
      <c r="H218" s="551"/>
      <c r="I218" s="551"/>
      <c r="J218" s="551"/>
      <c r="K218" s="551"/>
      <c r="L218" s="550"/>
      <c r="M218" s="552"/>
      <c r="N218" s="550"/>
      <c r="O218" s="550"/>
      <c r="P218" s="550"/>
      <c r="Q218" s="550"/>
      <c r="R218" s="550"/>
    </row>
    <row r="219" spans="1:21" ht="15.75" customHeight="1">
      <c r="A219" s="550"/>
      <c r="B219" s="550"/>
      <c r="C219" s="551"/>
      <c r="D219" s="551"/>
      <c r="E219" s="551"/>
      <c r="F219" s="551"/>
      <c r="G219" s="551"/>
      <c r="H219" s="551"/>
      <c r="I219" s="551"/>
      <c r="J219" s="551"/>
      <c r="K219" s="551"/>
      <c r="L219" s="550"/>
      <c r="M219" s="552"/>
      <c r="N219" s="550"/>
      <c r="O219" s="550"/>
      <c r="P219" s="550"/>
      <c r="Q219" s="550"/>
      <c r="R219" s="550"/>
    </row>
    <row r="220" spans="1:21" ht="15.75" customHeight="1">
      <c r="A220" s="550"/>
      <c r="B220" s="550"/>
      <c r="C220" s="551"/>
      <c r="D220" s="551"/>
      <c r="E220" s="551"/>
      <c r="F220" s="551"/>
      <c r="G220" s="551"/>
      <c r="H220" s="551"/>
      <c r="I220" s="551"/>
      <c r="J220" s="551"/>
      <c r="K220" s="551"/>
      <c r="L220" s="550"/>
      <c r="M220" s="552"/>
      <c r="N220" s="550"/>
      <c r="O220" s="550"/>
      <c r="P220" s="550"/>
      <c r="Q220" s="550"/>
      <c r="R220" s="550"/>
    </row>
    <row r="221" spans="1:21" ht="15.75" customHeight="1">
      <c r="A221" s="550"/>
      <c r="B221" s="550"/>
      <c r="C221" s="551"/>
      <c r="D221" s="551"/>
      <c r="E221" s="551"/>
      <c r="F221" s="551"/>
      <c r="G221" s="551"/>
      <c r="H221" s="551"/>
      <c r="I221" s="551"/>
      <c r="J221" s="551"/>
      <c r="K221" s="551"/>
      <c r="L221" s="550"/>
      <c r="M221" s="552"/>
      <c r="N221" s="550"/>
      <c r="O221" s="550"/>
      <c r="P221" s="550"/>
      <c r="Q221" s="550"/>
      <c r="R221" s="550"/>
    </row>
    <row r="222" spans="1:21" ht="15.75" customHeight="1">
      <c r="A222" s="550"/>
      <c r="B222" s="550"/>
      <c r="C222" s="551"/>
      <c r="D222" s="551"/>
      <c r="E222" s="551"/>
      <c r="F222" s="551"/>
      <c r="G222" s="551"/>
      <c r="H222" s="551"/>
      <c r="I222" s="551"/>
      <c r="J222" s="551"/>
      <c r="K222" s="551"/>
      <c r="L222" s="550"/>
      <c r="M222" s="552"/>
      <c r="N222" s="550"/>
      <c r="O222" s="550"/>
      <c r="P222" s="550"/>
      <c r="Q222" s="550"/>
      <c r="R222" s="550"/>
    </row>
    <row r="223" spans="1:21" ht="15.75" customHeight="1">
      <c r="A223" s="550"/>
      <c r="B223" s="550"/>
      <c r="C223" s="551"/>
      <c r="D223" s="551"/>
      <c r="E223" s="551"/>
      <c r="F223" s="551"/>
      <c r="G223" s="551"/>
      <c r="H223" s="551"/>
      <c r="I223" s="551"/>
      <c r="J223" s="551"/>
      <c r="K223" s="551"/>
      <c r="L223" s="550"/>
      <c r="M223" s="552"/>
      <c r="N223" s="550"/>
      <c r="O223" s="550"/>
      <c r="P223" s="550"/>
      <c r="Q223" s="550"/>
      <c r="R223" s="550"/>
    </row>
    <row r="224" spans="1:21" ht="15.75" customHeight="1">
      <c r="A224" s="550"/>
      <c r="B224" s="550"/>
      <c r="C224" s="551"/>
      <c r="D224" s="551"/>
      <c r="E224" s="551"/>
      <c r="F224" s="551"/>
      <c r="G224" s="551"/>
      <c r="H224" s="551"/>
      <c r="I224" s="551"/>
      <c r="J224" s="551"/>
      <c r="K224" s="551"/>
      <c r="L224" s="550"/>
      <c r="M224" s="552"/>
      <c r="N224" s="550"/>
      <c r="O224" s="550"/>
      <c r="P224" s="550"/>
      <c r="Q224" s="550"/>
      <c r="R224" s="550"/>
    </row>
    <row r="225" spans="1:18" ht="15.75" customHeight="1">
      <c r="A225" s="550"/>
      <c r="B225" s="550"/>
      <c r="C225" s="551"/>
      <c r="D225" s="551"/>
      <c r="E225" s="551"/>
      <c r="F225" s="551"/>
      <c r="G225" s="551"/>
      <c r="H225" s="551"/>
      <c r="I225" s="551"/>
      <c r="J225" s="551"/>
      <c r="K225" s="551"/>
      <c r="L225" s="550"/>
      <c r="M225" s="552"/>
      <c r="N225" s="550"/>
      <c r="O225" s="550"/>
      <c r="P225" s="550"/>
      <c r="Q225" s="550"/>
      <c r="R225" s="550"/>
    </row>
    <row r="226" spans="1:18" ht="15.75" customHeight="1">
      <c r="C226" s="553"/>
      <c r="D226" s="553"/>
      <c r="E226" s="553"/>
      <c r="F226" s="553"/>
      <c r="G226" s="553"/>
      <c r="H226" s="553"/>
      <c r="I226" s="553"/>
      <c r="J226" s="553"/>
      <c r="K226" s="553"/>
    </row>
    <row r="227" spans="1:18" ht="15.75" customHeight="1">
      <c r="C227" s="553"/>
      <c r="D227" s="553"/>
      <c r="E227" s="553"/>
      <c r="F227" s="553"/>
      <c r="G227" s="553"/>
      <c r="H227" s="553"/>
      <c r="I227" s="553"/>
      <c r="J227" s="553"/>
      <c r="K227" s="553"/>
    </row>
    <row r="228" spans="1:18" ht="15.75" customHeight="1">
      <c r="C228" s="553"/>
      <c r="D228" s="553"/>
      <c r="E228" s="553"/>
      <c r="F228" s="553"/>
      <c r="G228" s="553"/>
      <c r="H228" s="553"/>
      <c r="I228" s="553"/>
      <c r="J228" s="553"/>
      <c r="K228" s="553"/>
    </row>
    <row r="229" spans="1:18" ht="15.75" customHeight="1">
      <c r="C229" s="553"/>
      <c r="D229" s="553"/>
      <c r="E229" s="553"/>
      <c r="F229" s="553"/>
      <c r="G229" s="553"/>
      <c r="H229" s="553"/>
      <c r="I229" s="553"/>
      <c r="J229" s="553"/>
      <c r="K229" s="553"/>
    </row>
    <row r="230" spans="1:18" ht="15.75" customHeight="1">
      <c r="C230" s="553"/>
      <c r="D230" s="553"/>
      <c r="E230" s="553"/>
      <c r="F230" s="553"/>
      <c r="G230" s="553"/>
      <c r="H230" s="553"/>
      <c r="I230" s="553"/>
      <c r="J230" s="553"/>
      <c r="K230" s="553"/>
    </row>
    <row r="231" spans="1:18" ht="15.75" customHeight="1">
      <c r="C231" s="553"/>
      <c r="D231" s="553"/>
      <c r="E231" s="553"/>
      <c r="F231" s="553"/>
      <c r="G231" s="553"/>
      <c r="H231" s="553"/>
      <c r="I231" s="553"/>
      <c r="J231" s="553"/>
      <c r="K231" s="553"/>
    </row>
    <row r="232" spans="1:18" ht="15.75" customHeight="1">
      <c r="C232" s="553"/>
      <c r="D232" s="553"/>
      <c r="E232" s="553"/>
      <c r="F232" s="553"/>
      <c r="G232" s="553"/>
      <c r="H232" s="553"/>
      <c r="I232" s="553"/>
      <c r="J232" s="553"/>
      <c r="K232" s="553"/>
    </row>
    <row r="233" spans="1:18" ht="15.75" customHeight="1">
      <c r="C233" s="553"/>
      <c r="D233" s="553"/>
      <c r="E233" s="553"/>
      <c r="F233" s="553"/>
      <c r="G233" s="553"/>
      <c r="H233" s="553"/>
      <c r="I233" s="553"/>
      <c r="J233" s="553"/>
      <c r="K233" s="553"/>
    </row>
    <row r="234" spans="1:18" ht="15.75" customHeight="1">
      <c r="C234" s="553"/>
      <c r="D234" s="553"/>
      <c r="E234" s="553"/>
      <c r="F234" s="553"/>
      <c r="G234" s="553"/>
      <c r="H234" s="553"/>
      <c r="I234" s="553"/>
      <c r="J234" s="553"/>
      <c r="K234" s="553"/>
    </row>
    <row r="235" spans="1:18" ht="15.75" customHeight="1">
      <c r="C235" s="553"/>
      <c r="D235" s="553"/>
      <c r="E235" s="553"/>
      <c r="F235" s="553"/>
      <c r="G235" s="553"/>
      <c r="H235" s="553"/>
      <c r="I235" s="553"/>
      <c r="J235" s="553"/>
      <c r="K235" s="553"/>
    </row>
    <row r="236" spans="1:18" ht="15.75" customHeight="1">
      <c r="C236" s="553"/>
      <c r="D236" s="553"/>
      <c r="E236" s="553"/>
      <c r="F236" s="553"/>
      <c r="G236" s="553"/>
      <c r="H236" s="553"/>
      <c r="I236" s="553"/>
      <c r="J236" s="553"/>
      <c r="K236" s="553"/>
    </row>
    <row r="237" spans="1:18" ht="15.75" customHeight="1">
      <c r="C237" s="553"/>
      <c r="D237" s="553"/>
      <c r="E237" s="553"/>
      <c r="F237" s="553"/>
      <c r="G237" s="553"/>
      <c r="H237" s="553"/>
      <c r="I237" s="553"/>
      <c r="J237" s="553"/>
      <c r="K237" s="553"/>
    </row>
    <row r="238" spans="1:18" ht="15.75" customHeight="1">
      <c r="C238" s="553"/>
      <c r="D238" s="553"/>
      <c r="E238" s="553"/>
      <c r="F238" s="553"/>
      <c r="G238" s="553"/>
      <c r="H238" s="553"/>
      <c r="I238" s="553"/>
      <c r="J238" s="553"/>
      <c r="K238" s="553"/>
    </row>
    <row r="239" spans="1:18" ht="15.75" customHeight="1">
      <c r="C239" s="553"/>
      <c r="D239" s="553"/>
      <c r="E239" s="553"/>
      <c r="F239" s="553"/>
      <c r="G239" s="553"/>
      <c r="H239" s="553"/>
      <c r="I239" s="553"/>
      <c r="J239" s="553"/>
      <c r="K239" s="553"/>
    </row>
    <row r="240" spans="1:18" ht="15.75" customHeight="1">
      <c r="C240" s="553"/>
      <c r="D240" s="553"/>
      <c r="E240" s="553"/>
      <c r="F240" s="553"/>
      <c r="G240" s="553"/>
      <c r="H240" s="553"/>
      <c r="I240" s="553"/>
      <c r="J240" s="553"/>
      <c r="K240" s="553"/>
    </row>
    <row r="241" spans="3:11" ht="15.75" customHeight="1">
      <c r="C241" s="553"/>
      <c r="D241" s="553"/>
      <c r="E241" s="553"/>
      <c r="F241" s="553"/>
      <c r="G241" s="553"/>
      <c r="H241" s="553"/>
      <c r="I241" s="553"/>
      <c r="J241" s="553"/>
      <c r="K241" s="553"/>
    </row>
    <row r="242" spans="3:11" ht="15.75" customHeight="1">
      <c r="C242" s="553"/>
      <c r="D242" s="553"/>
      <c r="E242" s="553"/>
      <c r="F242" s="553"/>
      <c r="G242" s="553"/>
      <c r="H242" s="553"/>
      <c r="I242" s="553"/>
      <c r="J242" s="553"/>
      <c r="K242" s="553"/>
    </row>
    <row r="243" spans="3:11" ht="15.75" customHeight="1">
      <c r="C243" s="553"/>
      <c r="D243" s="553"/>
      <c r="E243" s="553"/>
      <c r="F243" s="553"/>
      <c r="G243" s="553"/>
      <c r="H243" s="553"/>
      <c r="I243" s="553"/>
      <c r="J243" s="553"/>
      <c r="K243" s="553"/>
    </row>
    <row r="244" spans="3:11" ht="15.75" customHeight="1">
      <c r="C244" s="553"/>
      <c r="D244" s="553"/>
      <c r="E244" s="553"/>
      <c r="F244" s="553"/>
      <c r="G244" s="553"/>
      <c r="H244" s="553"/>
      <c r="I244" s="553"/>
      <c r="J244" s="553"/>
      <c r="K244" s="553"/>
    </row>
    <row r="245" spans="3:11" ht="15.75" customHeight="1">
      <c r="C245" s="553"/>
      <c r="D245" s="553"/>
      <c r="E245" s="553"/>
      <c r="F245" s="553"/>
      <c r="G245" s="553"/>
      <c r="H245" s="553"/>
      <c r="I245" s="553"/>
      <c r="J245" s="553"/>
      <c r="K245" s="553"/>
    </row>
    <row r="246" spans="3:11" ht="15.75" customHeight="1">
      <c r="C246" s="553"/>
      <c r="D246" s="553"/>
      <c r="E246" s="553"/>
      <c r="F246" s="553"/>
      <c r="G246" s="553"/>
      <c r="H246" s="553"/>
      <c r="I246" s="553"/>
      <c r="J246" s="553"/>
      <c r="K246" s="553"/>
    </row>
    <row r="247" spans="3:11" ht="15.75" customHeight="1">
      <c r="C247" s="553"/>
      <c r="D247" s="553"/>
      <c r="E247" s="553"/>
      <c r="F247" s="553"/>
      <c r="G247" s="553"/>
      <c r="H247" s="553"/>
      <c r="I247" s="553"/>
      <c r="J247" s="553"/>
      <c r="K247" s="553"/>
    </row>
    <row r="248" spans="3:11" ht="15.75" customHeight="1">
      <c r="C248" s="553"/>
      <c r="D248" s="553"/>
      <c r="E248" s="553"/>
      <c r="F248" s="553"/>
      <c r="G248" s="553"/>
      <c r="H248" s="553"/>
      <c r="I248" s="553"/>
      <c r="J248" s="553"/>
      <c r="K248" s="553"/>
    </row>
    <row r="249" spans="3:11" ht="15.75" customHeight="1">
      <c r="C249" s="553"/>
      <c r="D249" s="553"/>
      <c r="E249" s="553"/>
      <c r="F249" s="553"/>
      <c r="G249" s="553"/>
      <c r="H249" s="553"/>
      <c r="I249" s="553"/>
      <c r="J249" s="553"/>
      <c r="K249" s="553"/>
    </row>
    <row r="250" spans="3:11" ht="15.75" customHeight="1">
      <c r="C250" s="553"/>
      <c r="D250" s="553"/>
      <c r="E250" s="553"/>
      <c r="F250" s="553"/>
      <c r="G250" s="553"/>
      <c r="H250" s="553"/>
      <c r="I250" s="553"/>
      <c r="J250" s="553"/>
      <c r="K250" s="553"/>
    </row>
    <row r="251" spans="3:11" ht="15.75" customHeight="1">
      <c r="C251" s="553"/>
      <c r="D251" s="553"/>
      <c r="E251" s="553"/>
      <c r="F251" s="553"/>
      <c r="G251" s="553"/>
      <c r="H251" s="553"/>
      <c r="I251" s="553"/>
      <c r="J251" s="553"/>
      <c r="K251" s="553"/>
    </row>
    <row r="252" spans="3:11" ht="15.75" customHeight="1">
      <c r="C252" s="553"/>
      <c r="D252" s="553"/>
      <c r="E252" s="553"/>
      <c r="F252" s="553"/>
      <c r="G252" s="553"/>
      <c r="H252" s="553"/>
      <c r="I252" s="553"/>
      <c r="J252" s="553"/>
      <c r="K252" s="553"/>
    </row>
    <row r="253" spans="3:11" ht="14.25" customHeight="1">
      <c r="C253" s="553"/>
      <c r="D253" s="553"/>
      <c r="E253" s="553"/>
      <c r="F253" s="553"/>
      <c r="G253" s="553"/>
      <c r="H253" s="553"/>
      <c r="I253" s="553"/>
      <c r="J253" s="553"/>
      <c r="K253" s="553"/>
    </row>
    <row r="254" spans="3:11" ht="14.25" customHeight="1">
      <c r="C254" s="553"/>
      <c r="D254" s="553"/>
      <c r="E254" s="553"/>
      <c r="F254" s="553"/>
      <c r="G254" s="553"/>
      <c r="H254" s="553"/>
      <c r="I254" s="553"/>
      <c r="J254" s="553"/>
      <c r="K254" s="553"/>
    </row>
    <row r="255" spans="3:11" ht="14.25" customHeight="1">
      <c r="C255" s="553"/>
      <c r="D255" s="553"/>
      <c r="E255" s="553"/>
      <c r="F255" s="553"/>
      <c r="G255" s="553"/>
      <c r="H255" s="553"/>
      <c r="I255" s="553"/>
      <c r="J255" s="553"/>
      <c r="K255" s="553"/>
    </row>
    <row r="256" spans="3:11" ht="14.25" customHeight="1">
      <c r="C256" s="553"/>
      <c r="D256" s="553"/>
      <c r="E256" s="553"/>
      <c r="F256" s="553"/>
      <c r="G256" s="553"/>
      <c r="H256" s="553"/>
      <c r="I256" s="553"/>
      <c r="J256" s="553"/>
      <c r="K256" s="553"/>
    </row>
    <row r="257" spans="3:11" ht="14.25" customHeight="1">
      <c r="C257" s="553"/>
      <c r="D257" s="553"/>
      <c r="E257" s="553"/>
      <c r="F257" s="553"/>
      <c r="G257" s="553"/>
      <c r="H257" s="553"/>
      <c r="I257" s="553"/>
      <c r="J257" s="553"/>
      <c r="K257" s="553"/>
    </row>
    <row r="258" spans="3:11" ht="14.25" customHeight="1">
      <c r="C258" s="553"/>
      <c r="D258" s="553"/>
      <c r="E258" s="553"/>
      <c r="F258" s="553"/>
      <c r="G258" s="553"/>
      <c r="H258" s="553"/>
      <c r="I258" s="553"/>
      <c r="J258" s="553"/>
      <c r="K258" s="553"/>
    </row>
    <row r="259" spans="3:11" ht="14.25" customHeight="1">
      <c r="C259" s="553"/>
      <c r="D259" s="553"/>
      <c r="E259" s="553"/>
      <c r="F259" s="553"/>
      <c r="G259" s="553"/>
      <c r="H259" s="553"/>
      <c r="I259" s="553"/>
      <c r="J259" s="553"/>
      <c r="K259" s="553"/>
    </row>
    <row r="260" spans="3:11" ht="14.25" customHeight="1">
      <c r="C260" s="553"/>
      <c r="D260" s="553"/>
      <c r="E260" s="553"/>
      <c r="F260" s="553"/>
      <c r="G260" s="553"/>
      <c r="H260" s="553"/>
      <c r="I260" s="553"/>
      <c r="J260" s="553"/>
      <c r="K260" s="553"/>
    </row>
    <row r="261" spans="3:11" ht="14.25" customHeight="1">
      <c r="C261" s="553"/>
      <c r="D261" s="553"/>
      <c r="E261" s="553"/>
      <c r="F261" s="553"/>
      <c r="G261" s="553"/>
      <c r="H261" s="553"/>
      <c r="I261" s="553"/>
      <c r="J261" s="553"/>
      <c r="K261" s="553"/>
    </row>
    <row r="262" spans="3:11" ht="14.25" customHeight="1">
      <c r="C262" s="553"/>
      <c r="D262" s="553"/>
      <c r="E262" s="553"/>
      <c r="F262" s="553"/>
      <c r="G262" s="553"/>
      <c r="H262" s="553"/>
      <c r="I262" s="553"/>
      <c r="J262" s="553"/>
      <c r="K262" s="553"/>
    </row>
    <row r="263" spans="3:11" ht="14.25" customHeight="1">
      <c r="C263" s="553"/>
      <c r="D263" s="553"/>
      <c r="E263" s="553"/>
      <c r="F263" s="553"/>
      <c r="G263" s="553"/>
      <c r="H263" s="553"/>
      <c r="I263" s="553"/>
      <c r="J263" s="553"/>
      <c r="K263" s="553"/>
    </row>
    <row r="264" spans="3:11" ht="14.25" customHeight="1">
      <c r="C264" s="553"/>
      <c r="D264" s="553"/>
      <c r="E264" s="553"/>
      <c r="F264" s="553"/>
      <c r="G264" s="553"/>
      <c r="H264" s="553"/>
      <c r="I264" s="553"/>
      <c r="J264" s="553"/>
      <c r="K264" s="553"/>
    </row>
    <row r="265" spans="3:11" ht="14.25" customHeight="1">
      <c r="C265" s="553"/>
      <c r="D265" s="553"/>
      <c r="E265" s="553"/>
      <c r="F265" s="553"/>
      <c r="G265" s="553"/>
      <c r="H265" s="553"/>
      <c r="I265" s="553"/>
      <c r="J265" s="553"/>
      <c r="K265" s="553"/>
    </row>
    <row r="266" spans="3:11" ht="14.25" customHeight="1">
      <c r="C266" s="553"/>
      <c r="D266" s="553"/>
      <c r="E266" s="553"/>
      <c r="F266" s="553"/>
      <c r="G266" s="553"/>
      <c r="H266" s="553"/>
      <c r="I266" s="553"/>
      <c r="J266" s="553"/>
      <c r="K266" s="553"/>
    </row>
    <row r="267" spans="3:11" ht="14.25" customHeight="1">
      <c r="C267" s="553"/>
      <c r="D267" s="553"/>
      <c r="E267" s="553"/>
      <c r="F267" s="553"/>
      <c r="G267" s="553"/>
      <c r="H267" s="553"/>
      <c r="I267" s="553"/>
      <c r="J267" s="553"/>
      <c r="K267" s="553"/>
    </row>
    <row r="268" spans="3:11" ht="14.25" customHeight="1">
      <c r="C268" s="553"/>
      <c r="D268" s="553"/>
      <c r="E268" s="553"/>
      <c r="F268" s="553"/>
      <c r="G268" s="553"/>
      <c r="H268" s="553"/>
      <c r="I268" s="553"/>
      <c r="J268" s="553"/>
      <c r="K268" s="553"/>
    </row>
    <row r="269" spans="3:11" ht="14.25" customHeight="1">
      <c r="C269" s="553"/>
      <c r="D269" s="553"/>
      <c r="E269" s="553"/>
      <c r="F269" s="553"/>
      <c r="G269" s="553"/>
      <c r="H269" s="553"/>
      <c r="I269" s="553"/>
      <c r="J269" s="553"/>
      <c r="K269" s="553"/>
    </row>
    <row r="270" spans="3:11" ht="14.25" customHeight="1">
      <c r="C270" s="553"/>
      <c r="D270" s="553"/>
      <c r="E270" s="553"/>
      <c r="F270" s="553"/>
      <c r="G270" s="553"/>
      <c r="H270" s="553"/>
      <c r="I270" s="553"/>
      <c r="J270" s="553"/>
      <c r="K270" s="553"/>
    </row>
    <row r="271" spans="3:11" ht="14.25" customHeight="1">
      <c r="C271" s="553"/>
      <c r="D271" s="553"/>
      <c r="E271" s="553"/>
      <c r="F271" s="553"/>
      <c r="G271" s="553"/>
      <c r="H271" s="553"/>
      <c r="I271" s="553"/>
      <c r="J271" s="553"/>
      <c r="K271" s="553"/>
    </row>
    <row r="272" spans="3:11" ht="14.25" customHeight="1">
      <c r="C272" s="553"/>
      <c r="D272" s="553"/>
      <c r="E272" s="553"/>
      <c r="F272" s="553"/>
      <c r="G272" s="553"/>
      <c r="H272" s="553"/>
      <c r="I272" s="553"/>
      <c r="J272" s="553"/>
      <c r="K272" s="553"/>
    </row>
    <row r="273" spans="3:11" ht="14.25" customHeight="1">
      <c r="C273" s="553"/>
      <c r="D273" s="553"/>
      <c r="E273" s="553"/>
      <c r="F273" s="553"/>
      <c r="G273" s="553"/>
      <c r="H273" s="553"/>
      <c r="I273" s="553"/>
      <c r="J273" s="553"/>
      <c r="K273" s="553"/>
    </row>
    <row r="274" spans="3:11" ht="14.25" customHeight="1">
      <c r="C274" s="553"/>
      <c r="D274" s="553"/>
      <c r="E274" s="553"/>
      <c r="F274" s="553"/>
      <c r="G274" s="553"/>
      <c r="H274" s="553"/>
      <c r="I274" s="553"/>
      <c r="J274" s="553"/>
      <c r="K274" s="553"/>
    </row>
    <row r="275" spans="3:11" ht="14.25" customHeight="1">
      <c r="C275" s="553"/>
      <c r="D275" s="553"/>
      <c r="E275" s="553"/>
      <c r="F275" s="553"/>
      <c r="G275" s="553"/>
      <c r="H275" s="553"/>
      <c r="I275" s="553"/>
      <c r="J275" s="553"/>
      <c r="K275" s="553"/>
    </row>
    <row r="276" spans="3:11" ht="14.25" customHeight="1">
      <c r="C276" s="553"/>
      <c r="D276" s="553"/>
      <c r="E276" s="553"/>
      <c r="F276" s="553"/>
      <c r="G276" s="553"/>
      <c r="H276" s="553"/>
      <c r="I276" s="553"/>
      <c r="J276" s="553"/>
      <c r="K276" s="553"/>
    </row>
    <row r="277" spans="3:11" ht="14.25" customHeight="1">
      <c r="C277" s="553"/>
      <c r="D277" s="553"/>
      <c r="E277" s="553"/>
      <c r="F277" s="553"/>
      <c r="G277" s="553"/>
      <c r="H277" s="553"/>
      <c r="I277" s="553"/>
      <c r="J277" s="553"/>
      <c r="K277" s="553"/>
    </row>
    <row r="278" spans="3:11" ht="14.25" customHeight="1">
      <c r="C278" s="553"/>
      <c r="D278" s="553"/>
      <c r="E278" s="553"/>
      <c r="F278" s="553"/>
      <c r="G278" s="553"/>
      <c r="H278" s="553"/>
      <c r="I278" s="553"/>
      <c r="J278" s="553"/>
      <c r="K278" s="553"/>
    </row>
    <row r="279" spans="3:11" ht="14.25" customHeight="1">
      <c r="C279" s="553"/>
      <c r="D279" s="553"/>
      <c r="E279" s="553"/>
      <c r="F279" s="553"/>
      <c r="G279" s="553"/>
      <c r="H279" s="553"/>
      <c r="I279" s="553"/>
      <c r="J279" s="553"/>
      <c r="K279" s="553"/>
    </row>
    <row r="280" spans="3:11" ht="14.25" customHeight="1">
      <c r="C280" s="553"/>
      <c r="D280" s="553"/>
      <c r="E280" s="553"/>
      <c r="F280" s="553"/>
      <c r="G280" s="553"/>
      <c r="H280" s="553"/>
      <c r="I280" s="553"/>
      <c r="J280" s="553"/>
      <c r="K280" s="553"/>
    </row>
    <row r="281" spans="3:11" ht="14.25" customHeight="1">
      <c r="C281" s="553"/>
      <c r="D281" s="553"/>
      <c r="E281" s="553"/>
      <c r="F281" s="553"/>
      <c r="G281" s="553"/>
      <c r="H281" s="553"/>
      <c r="I281" s="553"/>
      <c r="J281" s="553"/>
      <c r="K281" s="553"/>
    </row>
    <row r="282" spans="3:11" ht="14.25" customHeight="1">
      <c r="C282" s="553"/>
      <c r="D282" s="553"/>
      <c r="E282" s="553"/>
      <c r="F282" s="553"/>
      <c r="G282" s="553"/>
      <c r="H282" s="553"/>
      <c r="I282" s="553"/>
      <c r="J282" s="553"/>
      <c r="K282" s="553"/>
    </row>
    <row r="283" spans="3:11" ht="14.25" customHeight="1">
      <c r="C283" s="553"/>
      <c r="D283" s="553"/>
      <c r="E283" s="553"/>
      <c r="F283" s="553"/>
      <c r="G283" s="553"/>
      <c r="H283" s="553"/>
      <c r="I283" s="553"/>
      <c r="J283" s="553"/>
      <c r="K283" s="553"/>
    </row>
    <row r="284" spans="3:11" ht="14.25" customHeight="1">
      <c r="C284" s="553"/>
      <c r="D284" s="553"/>
      <c r="E284" s="553"/>
      <c r="F284" s="553"/>
      <c r="G284" s="553"/>
      <c r="H284" s="553"/>
      <c r="I284" s="553"/>
      <c r="J284" s="553"/>
      <c r="K284" s="553"/>
    </row>
    <row r="285" spans="3:11" ht="14.25" customHeight="1">
      <c r="C285" s="553"/>
      <c r="D285" s="553"/>
      <c r="E285" s="553"/>
      <c r="F285" s="553"/>
      <c r="G285" s="553"/>
      <c r="H285" s="553"/>
      <c r="I285" s="553"/>
      <c r="J285" s="553"/>
      <c r="K285" s="553"/>
    </row>
    <row r="286" spans="3:11" ht="14.25" customHeight="1">
      <c r="C286" s="553"/>
      <c r="D286" s="553"/>
      <c r="E286" s="553"/>
      <c r="F286" s="553"/>
      <c r="G286" s="553"/>
      <c r="H286" s="553"/>
      <c r="I286" s="553"/>
      <c r="J286" s="553"/>
      <c r="K286" s="553"/>
    </row>
    <row r="287" spans="3:11" ht="14.25" customHeight="1">
      <c r="C287" s="553"/>
      <c r="D287" s="553"/>
      <c r="E287" s="553"/>
      <c r="F287" s="553"/>
      <c r="G287" s="553"/>
      <c r="H287" s="553"/>
      <c r="I287" s="553"/>
      <c r="J287" s="553"/>
      <c r="K287" s="553"/>
    </row>
    <row r="288" spans="3:11" ht="14.25" customHeight="1">
      <c r="C288" s="553"/>
      <c r="D288" s="553"/>
      <c r="E288" s="553"/>
      <c r="F288" s="553"/>
      <c r="G288" s="553"/>
      <c r="H288" s="553"/>
      <c r="I288" s="553"/>
      <c r="J288" s="553"/>
      <c r="K288" s="553"/>
    </row>
    <row r="289" spans="3:11" ht="14.25" customHeight="1">
      <c r="C289" s="553"/>
      <c r="D289" s="553"/>
      <c r="E289" s="553"/>
      <c r="F289" s="553"/>
      <c r="G289" s="553"/>
      <c r="H289" s="553"/>
      <c r="I289" s="553"/>
      <c r="J289" s="553"/>
      <c r="K289" s="553"/>
    </row>
    <row r="290" spans="3:11" ht="14.25" customHeight="1">
      <c r="C290" s="553"/>
      <c r="D290" s="553"/>
      <c r="E290" s="553"/>
      <c r="F290" s="553"/>
      <c r="G290" s="553"/>
      <c r="H290" s="553"/>
      <c r="I290" s="553"/>
      <c r="J290" s="553"/>
      <c r="K290" s="553"/>
    </row>
    <row r="291" spans="3:11" ht="14.25" customHeight="1">
      <c r="C291" s="553"/>
      <c r="D291" s="553"/>
      <c r="E291" s="553"/>
      <c r="F291" s="553"/>
      <c r="G291" s="553"/>
      <c r="H291" s="553"/>
      <c r="I291" s="553"/>
      <c r="J291" s="553"/>
      <c r="K291" s="553"/>
    </row>
    <row r="292" spans="3:11" ht="14.25" customHeight="1">
      <c r="C292" s="553"/>
      <c r="D292" s="553"/>
      <c r="E292" s="553"/>
      <c r="F292" s="553"/>
      <c r="G292" s="553"/>
      <c r="H292" s="553"/>
      <c r="I292" s="553"/>
      <c r="J292" s="553"/>
      <c r="K292" s="553"/>
    </row>
    <row r="293" spans="3:11" ht="14.25" customHeight="1">
      <c r="C293" s="553"/>
      <c r="D293" s="553"/>
      <c r="E293" s="553"/>
      <c r="F293" s="553"/>
      <c r="G293" s="553"/>
      <c r="H293" s="553"/>
      <c r="I293" s="553"/>
      <c r="J293" s="553"/>
      <c r="K293" s="553"/>
    </row>
    <row r="294" spans="3:11" ht="14.25" customHeight="1">
      <c r="C294" s="553"/>
      <c r="D294" s="553"/>
      <c r="E294" s="553"/>
      <c r="F294" s="553"/>
      <c r="G294" s="553"/>
      <c r="H294" s="553"/>
      <c r="I294" s="553"/>
      <c r="J294" s="553"/>
      <c r="K294" s="553"/>
    </row>
    <row r="295" spans="3:11" ht="14.25" customHeight="1">
      <c r="C295" s="553"/>
      <c r="D295" s="553"/>
      <c r="E295" s="553"/>
      <c r="F295" s="553"/>
      <c r="G295" s="553"/>
      <c r="H295" s="553"/>
      <c r="I295" s="553"/>
      <c r="J295" s="553"/>
      <c r="K295" s="553"/>
    </row>
    <row r="296" spans="3:11" ht="14.25" customHeight="1">
      <c r="C296" s="553"/>
      <c r="D296" s="553"/>
      <c r="E296" s="553"/>
      <c r="F296" s="553"/>
      <c r="G296" s="553"/>
      <c r="H296" s="553"/>
      <c r="I296" s="553"/>
      <c r="J296" s="553"/>
      <c r="K296" s="553"/>
    </row>
    <row r="297" spans="3:11" ht="14.25" customHeight="1">
      <c r="C297" s="553"/>
      <c r="D297" s="553"/>
      <c r="E297" s="553"/>
      <c r="F297" s="553"/>
      <c r="G297" s="553"/>
      <c r="H297" s="553"/>
      <c r="I297" s="553"/>
      <c r="J297" s="553"/>
      <c r="K297" s="553"/>
    </row>
    <row r="298" spans="3:11" ht="14.25" customHeight="1">
      <c r="C298" s="553"/>
      <c r="D298" s="553"/>
      <c r="E298" s="553"/>
      <c r="F298" s="553"/>
      <c r="G298" s="553"/>
      <c r="H298" s="553"/>
      <c r="I298" s="553"/>
      <c r="J298" s="553"/>
      <c r="K298" s="553"/>
    </row>
    <row r="299" spans="3:11" ht="14.25" customHeight="1">
      <c r="C299" s="553"/>
      <c r="D299" s="553"/>
      <c r="E299" s="553"/>
      <c r="F299" s="553"/>
      <c r="G299" s="553"/>
      <c r="H299" s="553"/>
      <c r="I299" s="553"/>
      <c r="J299" s="553"/>
      <c r="K299" s="553"/>
    </row>
    <row r="300" spans="3:11" ht="14.25" customHeight="1">
      <c r="C300" s="553"/>
      <c r="D300" s="553"/>
      <c r="E300" s="553"/>
      <c r="F300" s="553"/>
      <c r="G300" s="553"/>
      <c r="H300" s="553"/>
      <c r="I300" s="553"/>
      <c r="J300" s="553"/>
      <c r="K300" s="553"/>
    </row>
    <row r="301" spans="3:11" ht="14.25" customHeight="1">
      <c r="C301" s="553"/>
      <c r="D301" s="553"/>
      <c r="E301" s="553"/>
      <c r="F301" s="553"/>
      <c r="G301" s="553"/>
      <c r="H301" s="553"/>
      <c r="I301" s="553"/>
      <c r="J301" s="553"/>
      <c r="K301" s="553"/>
    </row>
    <row r="302" spans="3:11" ht="14.25" customHeight="1">
      <c r="C302" s="553"/>
      <c r="D302" s="553"/>
      <c r="E302" s="553"/>
      <c r="F302" s="553"/>
      <c r="G302" s="553"/>
      <c r="H302" s="553"/>
      <c r="I302" s="553"/>
      <c r="J302" s="553"/>
      <c r="K302" s="553"/>
    </row>
    <row r="303" spans="3:11" ht="14.25" customHeight="1">
      <c r="C303" s="553"/>
      <c r="D303" s="553"/>
      <c r="E303" s="553"/>
      <c r="F303" s="553"/>
      <c r="G303" s="553"/>
      <c r="H303" s="553"/>
      <c r="I303" s="553"/>
      <c r="J303" s="553"/>
      <c r="K303" s="553"/>
    </row>
    <row r="304" spans="3:11" ht="14.25" customHeight="1">
      <c r="C304" s="553"/>
      <c r="D304" s="553"/>
      <c r="E304" s="553"/>
      <c r="F304" s="553"/>
      <c r="G304" s="553"/>
      <c r="H304" s="553"/>
      <c r="I304" s="553"/>
      <c r="J304" s="553"/>
      <c r="K304" s="553"/>
    </row>
    <row r="305" spans="3:11" ht="14.25" customHeight="1">
      <c r="C305" s="553"/>
      <c r="D305" s="553"/>
      <c r="E305" s="553"/>
      <c r="F305" s="553"/>
      <c r="G305" s="553"/>
      <c r="H305" s="553"/>
      <c r="I305" s="553"/>
      <c r="J305" s="553"/>
      <c r="K305" s="553"/>
    </row>
    <row r="306" spans="3:11" ht="14.25" customHeight="1">
      <c r="C306" s="553"/>
      <c r="D306" s="553"/>
      <c r="E306" s="553"/>
      <c r="F306" s="553"/>
      <c r="G306" s="553"/>
      <c r="H306" s="553"/>
      <c r="I306" s="553"/>
      <c r="J306" s="553"/>
      <c r="K306" s="553"/>
    </row>
    <row r="307" spans="3:11" ht="14.25" customHeight="1">
      <c r="C307" s="553"/>
      <c r="D307" s="553"/>
      <c r="E307" s="553"/>
      <c r="F307" s="553"/>
      <c r="G307" s="553"/>
      <c r="H307" s="553"/>
      <c r="I307" s="553"/>
      <c r="J307" s="553"/>
      <c r="K307" s="553"/>
    </row>
    <row r="308" spans="3:11" ht="14.25" customHeight="1">
      <c r="C308" s="553"/>
      <c r="D308" s="553"/>
      <c r="E308" s="553"/>
      <c r="F308" s="553"/>
      <c r="G308" s="553"/>
      <c r="H308" s="553"/>
      <c r="I308" s="553"/>
      <c r="J308" s="553"/>
      <c r="K308" s="553"/>
    </row>
    <row r="309" spans="3:11" ht="14.25" customHeight="1">
      <c r="C309" s="553"/>
      <c r="D309" s="553"/>
      <c r="E309" s="553"/>
      <c r="F309" s="553"/>
      <c r="G309" s="553"/>
      <c r="H309" s="553"/>
      <c r="I309" s="553"/>
      <c r="J309" s="553"/>
      <c r="K309" s="553"/>
    </row>
    <row r="310" spans="3:11" ht="14.25" customHeight="1">
      <c r="C310" s="553"/>
      <c r="D310" s="553"/>
      <c r="E310" s="553"/>
      <c r="F310" s="553"/>
      <c r="G310" s="553"/>
      <c r="H310" s="553"/>
      <c r="I310" s="553"/>
      <c r="J310" s="553"/>
      <c r="K310" s="553"/>
    </row>
    <row r="311" spans="3:11" ht="14.25" customHeight="1">
      <c r="C311" s="553"/>
      <c r="D311" s="553"/>
      <c r="E311" s="553"/>
      <c r="F311" s="553"/>
      <c r="G311" s="553"/>
      <c r="H311" s="553"/>
      <c r="I311" s="553"/>
      <c r="J311" s="553"/>
      <c r="K311" s="553"/>
    </row>
    <row r="312" spans="3:11" ht="14.25" customHeight="1">
      <c r="C312" s="553"/>
      <c r="D312" s="553"/>
      <c r="E312" s="553"/>
      <c r="F312" s="553"/>
      <c r="G312" s="553"/>
      <c r="H312" s="553"/>
      <c r="I312" s="553"/>
      <c r="J312" s="553"/>
      <c r="K312" s="553"/>
    </row>
    <row r="313" spans="3:11" ht="14.25" customHeight="1">
      <c r="C313" s="553"/>
      <c r="D313" s="553"/>
      <c r="E313" s="553"/>
      <c r="F313" s="553"/>
      <c r="G313" s="553"/>
      <c r="H313" s="553"/>
      <c r="I313" s="553"/>
      <c r="J313" s="553"/>
      <c r="K313" s="553"/>
    </row>
    <row r="314" spans="3:11" ht="14.25" customHeight="1">
      <c r="C314" s="553"/>
      <c r="D314" s="553"/>
      <c r="E314" s="553"/>
      <c r="F314" s="553"/>
      <c r="G314" s="553"/>
      <c r="H314" s="553"/>
      <c r="I314" s="553"/>
      <c r="J314" s="553"/>
      <c r="K314" s="553"/>
    </row>
    <row r="315" spans="3:11" ht="14.25" customHeight="1">
      <c r="C315" s="553"/>
      <c r="D315" s="553"/>
      <c r="E315" s="553"/>
      <c r="F315" s="553"/>
      <c r="G315" s="553"/>
      <c r="H315" s="553"/>
      <c r="I315" s="553"/>
      <c r="J315" s="553"/>
      <c r="K315" s="553"/>
    </row>
    <row r="316" spans="3:11" ht="14.25" customHeight="1">
      <c r="C316" s="553"/>
      <c r="D316" s="553"/>
      <c r="E316" s="553"/>
      <c r="F316" s="553"/>
      <c r="G316" s="553"/>
      <c r="H316" s="553"/>
      <c r="I316" s="553"/>
      <c r="J316" s="553"/>
      <c r="K316" s="553"/>
    </row>
    <row r="317" spans="3:11" ht="14.25" customHeight="1">
      <c r="C317" s="553"/>
      <c r="D317" s="553"/>
      <c r="E317" s="553"/>
      <c r="F317" s="553"/>
      <c r="G317" s="553"/>
      <c r="H317" s="553"/>
      <c r="I317" s="553"/>
      <c r="J317" s="553"/>
      <c r="K317" s="553"/>
    </row>
    <row r="318" spans="3:11" ht="14.25" customHeight="1">
      <c r="C318" s="553"/>
      <c r="D318" s="553"/>
      <c r="E318" s="553"/>
      <c r="F318" s="553"/>
      <c r="G318" s="553"/>
      <c r="H318" s="553"/>
      <c r="I318" s="553"/>
      <c r="J318" s="553"/>
      <c r="K318" s="553"/>
    </row>
    <row r="319" spans="3:11" ht="14.25" customHeight="1">
      <c r="C319" s="553"/>
      <c r="D319" s="553"/>
      <c r="E319" s="553"/>
      <c r="F319" s="553"/>
      <c r="G319" s="553"/>
      <c r="H319" s="553"/>
      <c r="I319" s="553"/>
      <c r="J319" s="553"/>
      <c r="K319" s="553"/>
    </row>
    <row r="320" spans="3:11" ht="14.25" customHeight="1">
      <c r="C320" s="553"/>
      <c r="D320" s="553"/>
      <c r="E320" s="553"/>
      <c r="F320" s="553"/>
      <c r="G320" s="553"/>
      <c r="H320" s="553"/>
      <c r="I320" s="553"/>
      <c r="J320" s="553"/>
      <c r="K320" s="553"/>
    </row>
    <row r="321" spans="3:11" ht="14.25" customHeight="1">
      <c r="C321" s="553"/>
      <c r="D321" s="553"/>
      <c r="E321" s="553"/>
      <c r="F321" s="553"/>
      <c r="G321" s="553"/>
      <c r="H321" s="553"/>
      <c r="I321" s="553"/>
      <c r="J321" s="553"/>
      <c r="K321" s="553"/>
    </row>
    <row r="322" spans="3:11" ht="14.25" customHeight="1">
      <c r="C322" s="553"/>
      <c r="D322" s="553"/>
      <c r="E322" s="553"/>
      <c r="F322" s="553"/>
      <c r="G322" s="553"/>
      <c r="H322" s="553"/>
      <c r="I322" s="553"/>
      <c r="J322" s="553"/>
      <c r="K322" s="553"/>
    </row>
    <row r="323" spans="3:11" ht="14.25" customHeight="1">
      <c r="C323" s="553"/>
      <c r="D323" s="553"/>
      <c r="E323" s="553"/>
      <c r="F323" s="553"/>
      <c r="G323" s="553"/>
      <c r="H323" s="553"/>
      <c r="I323" s="553"/>
      <c r="J323" s="553"/>
      <c r="K323" s="553"/>
    </row>
    <row r="324" spans="3:11" ht="14.25" customHeight="1">
      <c r="C324" s="553"/>
      <c r="D324" s="553"/>
      <c r="E324" s="553"/>
      <c r="F324" s="553"/>
      <c r="G324" s="553"/>
      <c r="H324" s="553"/>
      <c r="I324" s="553"/>
      <c r="J324" s="553"/>
      <c r="K324" s="553"/>
    </row>
    <row r="325" spans="3:11" ht="14.25" customHeight="1">
      <c r="C325" s="553"/>
      <c r="D325" s="553"/>
      <c r="E325" s="553"/>
      <c r="F325" s="553"/>
      <c r="G325" s="553"/>
      <c r="H325" s="553"/>
      <c r="I325" s="553"/>
      <c r="J325" s="553"/>
      <c r="K325" s="553"/>
    </row>
    <row r="326" spans="3:11" ht="14.25" customHeight="1">
      <c r="C326" s="553"/>
      <c r="D326" s="553"/>
      <c r="E326" s="553"/>
      <c r="F326" s="553"/>
      <c r="G326" s="553"/>
      <c r="H326" s="553"/>
      <c r="I326" s="553"/>
      <c r="J326" s="553"/>
      <c r="K326" s="553"/>
    </row>
    <row r="327" spans="3:11" ht="14.25" customHeight="1">
      <c r="C327" s="553"/>
      <c r="D327" s="553"/>
      <c r="E327" s="553"/>
      <c r="F327" s="553"/>
      <c r="G327" s="553"/>
      <c r="H327" s="553"/>
      <c r="I327" s="553"/>
      <c r="J327" s="553"/>
      <c r="K327" s="553"/>
    </row>
    <row r="328" spans="3:11" ht="14.25" customHeight="1">
      <c r="C328" s="553"/>
      <c r="D328" s="553"/>
      <c r="E328" s="553"/>
      <c r="F328" s="553"/>
      <c r="G328" s="553"/>
      <c r="H328" s="553"/>
      <c r="I328" s="553"/>
      <c r="J328" s="553"/>
      <c r="K328" s="553"/>
    </row>
    <row r="329" spans="3:11" ht="14.25" customHeight="1">
      <c r="C329" s="553"/>
      <c r="D329" s="553"/>
      <c r="E329" s="553"/>
      <c r="F329" s="553"/>
      <c r="G329" s="553"/>
      <c r="H329" s="553"/>
      <c r="I329" s="553"/>
      <c r="J329" s="553"/>
      <c r="K329" s="553"/>
    </row>
    <row r="330" spans="3:11" ht="14.25" customHeight="1">
      <c r="C330" s="553"/>
      <c r="D330" s="553"/>
      <c r="E330" s="553"/>
      <c r="F330" s="553"/>
      <c r="G330" s="553"/>
      <c r="H330" s="553"/>
      <c r="I330" s="553"/>
      <c r="J330" s="553"/>
      <c r="K330" s="553"/>
    </row>
    <row r="331" spans="3:11" ht="14.25" customHeight="1">
      <c r="C331" s="553"/>
      <c r="D331" s="553"/>
      <c r="E331" s="553"/>
      <c r="F331" s="553"/>
      <c r="G331" s="553"/>
      <c r="H331" s="553"/>
      <c r="I331" s="553"/>
      <c r="J331" s="553"/>
      <c r="K331" s="553"/>
    </row>
    <row r="332" spans="3:11" ht="14.25" customHeight="1">
      <c r="C332" s="553"/>
      <c r="D332" s="553"/>
      <c r="E332" s="553"/>
      <c r="F332" s="553"/>
      <c r="G332" s="553"/>
      <c r="H332" s="553"/>
      <c r="I332" s="553"/>
      <c r="J332" s="553"/>
      <c r="K332" s="553"/>
    </row>
    <row r="333" spans="3:11" ht="14.25" customHeight="1">
      <c r="C333" s="553"/>
      <c r="D333" s="553"/>
      <c r="E333" s="553"/>
      <c r="F333" s="553"/>
      <c r="G333" s="553"/>
      <c r="H333" s="553"/>
      <c r="I333" s="553"/>
      <c r="J333" s="553"/>
      <c r="K333" s="553"/>
    </row>
    <row r="334" spans="3:11" ht="14.25" customHeight="1">
      <c r="C334" s="553"/>
      <c r="D334" s="553"/>
      <c r="E334" s="553"/>
      <c r="F334" s="553"/>
      <c r="G334" s="553"/>
      <c r="H334" s="553"/>
      <c r="I334" s="553"/>
      <c r="J334" s="553"/>
      <c r="K334" s="553"/>
    </row>
    <row r="335" spans="3:11" ht="14.25" customHeight="1">
      <c r="C335" s="553"/>
      <c r="D335" s="553"/>
      <c r="E335" s="553"/>
      <c r="F335" s="553"/>
      <c r="G335" s="553"/>
      <c r="H335" s="553"/>
      <c r="I335" s="553"/>
      <c r="J335" s="553"/>
      <c r="K335" s="553"/>
    </row>
    <row r="336" spans="3:11" ht="14.25" customHeight="1">
      <c r="C336" s="553"/>
      <c r="D336" s="553"/>
      <c r="E336" s="553"/>
      <c r="F336" s="553"/>
      <c r="G336" s="553"/>
      <c r="H336" s="553"/>
      <c r="I336" s="553"/>
      <c r="J336" s="553"/>
      <c r="K336" s="553"/>
    </row>
    <row r="337" spans="3:11" ht="14.25" customHeight="1">
      <c r="C337" s="553"/>
      <c r="D337" s="553"/>
      <c r="E337" s="553"/>
      <c r="F337" s="553"/>
      <c r="G337" s="553"/>
      <c r="H337" s="553"/>
      <c r="I337" s="553"/>
      <c r="J337" s="553"/>
      <c r="K337" s="553"/>
    </row>
    <row r="338" spans="3:11" ht="14.25" customHeight="1">
      <c r="C338" s="553"/>
      <c r="D338" s="553"/>
      <c r="E338" s="553"/>
      <c r="F338" s="553"/>
      <c r="G338" s="553"/>
      <c r="H338" s="553"/>
      <c r="I338" s="553"/>
      <c r="J338" s="553"/>
      <c r="K338" s="553"/>
    </row>
    <row r="339" spans="3:11" ht="14.25" customHeight="1">
      <c r="C339" s="553"/>
      <c r="D339" s="553"/>
      <c r="E339" s="553"/>
      <c r="F339" s="553"/>
      <c r="G339" s="553"/>
      <c r="H339" s="553"/>
      <c r="I339" s="553"/>
      <c r="J339" s="553"/>
      <c r="K339" s="553"/>
    </row>
    <row r="340" spans="3:11" ht="14.25" customHeight="1">
      <c r="C340" s="553"/>
      <c r="D340" s="553"/>
      <c r="E340" s="553"/>
      <c r="F340" s="553"/>
      <c r="G340" s="553"/>
      <c r="H340" s="553"/>
      <c r="I340" s="553"/>
      <c r="J340" s="553"/>
      <c r="K340" s="553"/>
    </row>
    <row r="341" spans="3:11" ht="14.25" customHeight="1">
      <c r="C341" s="553"/>
      <c r="D341" s="553"/>
      <c r="E341" s="553"/>
      <c r="F341" s="553"/>
      <c r="G341" s="553"/>
      <c r="H341" s="553"/>
      <c r="I341" s="553"/>
      <c r="J341" s="553"/>
      <c r="K341" s="553"/>
    </row>
    <row r="342" spans="3:11" ht="14.25" customHeight="1">
      <c r="C342" s="553"/>
      <c r="D342" s="553"/>
      <c r="E342" s="553"/>
      <c r="F342" s="553"/>
      <c r="G342" s="553"/>
      <c r="H342" s="553"/>
      <c r="I342" s="553"/>
      <c r="J342" s="553"/>
      <c r="K342" s="553"/>
    </row>
    <row r="343" spans="3:11" ht="14.25" customHeight="1">
      <c r="C343" s="553"/>
      <c r="D343" s="553"/>
      <c r="E343" s="553"/>
      <c r="F343" s="553"/>
      <c r="G343" s="553"/>
      <c r="H343" s="553"/>
      <c r="I343" s="553"/>
      <c r="J343" s="553"/>
      <c r="K343" s="553"/>
    </row>
    <row r="344" spans="3:11" ht="14.25" customHeight="1">
      <c r="C344" s="553"/>
      <c r="D344" s="553"/>
      <c r="E344" s="553"/>
      <c r="F344" s="553"/>
      <c r="G344" s="553"/>
      <c r="H344" s="553"/>
      <c r="I344" s="553"/>
      <c r="J344" s="553"/>
      <c r="K344" s="553"/>
    </row>
    <row r="345" spans="3:11" ht="14.25" customHeight="1">
      <c r="C345" s="553"/>
      <c r="D345" s="553"/>
      <c r="E345" s="553"/>
      <c r="F345" s="553"/>
      <c r="G345" s="553"/>
      <c r="H345" s="553"/>
      <c r="I345" s="553"/>
      <c r="J345" s="553"/>
      <c r="K345" s="553"/>
    </row>
    <row r="346" spans="3:11" ht="14.25" customHeight="1">
      <c r="C346" s="553"/>
      <c r="D346" s="553"/>
      <c r="E346" s="553"/>
      <c r="F346" s="553"/>
      <c r="G346" s="553"/>
      <c r="H346" s="553"/>
      <c r="I346" s="553"/>
      <c r="J346" s="553"/>
      <c r="K346" s="553"/>
    </row>
    <row r="347" spans="3:11" ht="14.25" customHeight="1">
      <c r="C347" s="553"/>
      <c r="D347" s="553"/>
      <c r="E347" s="553"/>
      <c r="F347" s="553"/>
      <c r="G347" s="553"/>
      <c r="H347" s="553"/>
      <c r="I347" s="553"/>
      <c r="J347" s="553"/>
      <c r="K347" s="553"/>
    </row>
    <row r="348" spans="3:11" ht="14.25" customHeight="1">
      <c r="C348" s="553"/>
      <c r="D348" s="553"/>
      <c r="E348" s="553"/>
      <c r="F348" s="553"/>
      <c r="G348" s="553"/>
      <c r="H348" s="553"/>
      <c r="I348" s="553"/>
      <c r="J348" s="553"/>
      <c r="K348" s="553"/>
    </row>
    <row r="349" spans="3:11" ht="14.25" customHeight="1">
      <c r="C349" s="553"/>
      <c r="D349" s="553"/>
      <c r="E349" s="553"/>
      <c r="F349" s="553"/>
      <c r="G349" s="553"/>
      <c r="H349" s="553"/>
      <c r="I349" s="553"/>
      <c r="J349" s="553"/>
      <c r="K349" s="553"/>
    </row>
    <row r="350" spans="3:11" ht="14.25" customHeight="1">
      <c r="C350" s="553"/>
      <c r="D350" s="553"/>
      <c r="E350" s="553"/>
      <c r="F350" s="553"/>
      <c r="G350" s="553"/>
      <c r="H350" s="553"/>
      <c r="I350" s="553"/>
      <c r="J350" s="553"/>
      <c r="K350" s="553"/>
    </row>
    <row r="351" spans="3:11" ht="14.25" customHeight="1">
      <c r="C351" s="553"/>
      <c r="D351" s="553"/>
      <c r="E351" s="553"/>
      <c r="F351" s="553"/>
      <c r="G351" s="553"/>
      <c r="H351" s="553"/>
      <c r="I351" s="553"/>
      <c r="J351" s="553"/>
      <c r="K351" s="553"/>
    </row>
    <row r="352" spans="3:11" ht="14.25" customHeight="1">
      <c r="C352" s="553"/>
      <c r="D352" s="553"/>
      <c r="E352" s="553"/>
      <c r="F352" s="553"/>
      <c r="G352" s="553"/>
      <c r="H352" s="553"/>
      <c r="I352" s="553"/>
      <c r="J352" s="553"/>
      <c r="K352" s="553"/>
    </row>
    <row r="353" spans="3:11" ht="14.25" customHeight="1">
      <c r="C353" s="553"/>
      <c r="D353" s="553"/>
      <c r="E353" s="553"/>
      <c r="F353" s="553"/>
      <c r="G353" s="553"/>
      <c r="H353" s="553"/>
      <c r="I353" s="553"/>
      <c r="J353" s="553"/>
      <c r="K353" s="553"/>
    </row>
    <row r="354" spans="3:11" ht="14.25" customHeight="1">
      <c r="C354" s="553"/>
      <c r="D354" s="553"/>
      <c r="E354" s="553"/>
      <c r="F354" s="553"/>
      <c r="G354" s="553"/>
      <c r="H354" s="553"/>
      <c r="I354" s="553"/>
      <c r="J354" s="553"/>
      <c r="K354" s="553"/>
    </row>
    <row r="355" spans="3:11" ht="14.25" customHeight="1">
      <c r="C355" s="553"/>
      <c r="D355" s="553"/>
      <c r="E355" s="553"/>
      <c r="F355" s="553"/>
      <c r="G355" s="553"/>
      <c r="H355" s="553"/>
      <c r="I355" s="553"/>
      <c r="J355" s="553"/>
      <c r="K355" s="553"/>
    </row>
    <row r="356" spans="3:11" ht="14.25" customHeight="1">
      <c r="C356" s="553"/>
      <c r="D356" s="553"/>
      <c r="E356" s="553"/>
      <c r="F356" s="553"/>
      <c r="G356" s="553"/>
      <c r="H356" s="553"/>
      <c r="I356" s="553"/>
      <c r="J356" s="553"/>
      <c r="K356" s="553"/>
    </row>
    <row r="357" spans="3:11" ht="14.25" customHeight="1">
      <c r="C357" s="553"/>
      <c r="D357" s="553"/>
      <c r="E357" s="553"/>
      <c r="F357" s="553"/>
      <c r="G357" s="553"/>
      <c r="H357" s="553"/>
      <c r="I357" s="553"/>
      <c r="J357" s="553"/>
      <c r="K357" s="553"/>
    </row>
    <row r="358" spans="3:11" ht="14.25" customHeight="1">
      <c r="C358" s="553"/>
      <c r="D358" s="553"/>
      <c r="E358" s="553"/>
      <c r="F358" s="553"/>
      <c r="G358" s="553"/>
      <c r="H358" s="553"/>
      <c r="I358" s="553"/>
      <c r="J358" s="553"/>
      <c r="K358" s="553"/>
    </row>
    <row r="359" spans="3:11" ht="14.25" customHeight="1">
      <c r="C359" s="553"/>
      <c r="D359" s="553"/>
      <c r="E359" s="553"/>
      <c r="F359" s="553"/>
      <c r="G359" s="553"/>
      <c r="H359" s="553"/>
      <c r="I359" s="553"/>
      <c r="J359" s="553"/>
      <c r="K359" s="553"/>
    </row>
    <row r="360" spans="3:11" ht="14.25" customHeight="1">
      <c r="C360" s="553"/>
      <c r="D360" s="553"/>
      <c r="E360" s="553"/>
      <c r="F360" s="553"/>
      <c r="G360" s="553"/>
      <c r="H360" s="553"/>
      <c r="I360" s="553"/>
      <c r="J360" s="553"/>
      <c r="K360" s="553"/>
    </row>
    <row r="361" spans="3:11" ht="14.25" customHeight="1">
      <c r="C361" s="553"/>
      <c r="D361" s="553"/>
      <c r="E361" s="553"/>
      <c r="F361" s="553"/>
      <c r="G361" s="553"/>
      <c r="H361" s="553"/>
      <c r="I361" s="553"/>
      <c r="J361" s="553"/>
      <c r="K361" s="553"/>
    </row>
    <row r="362" spans="3:11" ht="14.25" customHeight="1">
      <c r="C362" s="553"/>
      <c r="D362" s="553"/>
      <c r="E362" s="553"/>
      <c r="F362" s="553"/>
      <c r="G362" s="553"/>
      <c r="H362" s="553"/>
      <c r="I362" s="553"/>
      <c r="J362" s="553"/>
      <c r="K362" s="553"/>
    </row>
    <row r="363" spans="3:11" ht="14.25" customHeight="1">
      <c r="C363" s="553"/>
      <c r="D363" s="553"/>
      <c r="E363" s="553"/>
      <c r="F363" s="553"/>
      <c r="G363" s="553"/>
      <c r="H363" s="553"/>
      <c r="I363" s="553"/>
      <c r="J363" s="553"/>
      <c r="K363" s="553"/>
    </row>
    <row r="364" spans="3:11" ht="14.25" customHeight="1">
      <c r="C364" s="553"/>
      <c r="D364" s="553"/>
      <c r="E364" s="553"/>
      <c r="F364" s="553"/>
      <c r="G364" s="553"/>
      <c r="H364" s="553"/>
      <c r="I364" s="553"/>
      <c r="J364" s="553"/>
      <c r="K364" s="553"/>
    </row>
    <row r="365" spans="3:11" ht="14.25" customHeight="1">
      <c r="C365" s="553"/>
      <c r="D365" s="553"/>
      <c r="E365" s="553"/>
      <c r="F365" s="553"/>
      <c r="G365" s="553"/>
      <c r="H365" s="553"/>
      <c r="I365" s="553"/>
      <c r="J365" s="553"/>
      <c r="K365" s="553"/>
    </row>
    <row r="366" spans="3:11" ht="14.25" customHeight="1">
      <c r="C366" s="553"/>
      <c r="D366" s="553"/>
      <c r="E366" s="553"/>
      <c r="F366" s="553"/>
      <c r="G366" s="553"/>
      <c r="H366" s="553"/>
      <c r="I366" s="553"/>
      <c r="J366" s="553"/>
      <c r="K366" s="553"/>
    </row>
    <row r="367" spans="3:11" ht="14.25" customHeight="1">
      <c r="C367" s="553"/>
      <c r="D367" s="553"/>
      <c r="E367" s="553"/>
      <c r="F367" s="553"/>
      <c r="G367" s="553"/>
      <c r="H367" s="553"/>
      <c r="I367" s="553"/>
      <c r="J367" s="553"/>
      <c r="K367" s="553"/>
    </row>
    <row r="368" spans="3:11" ht="14.25" customHeight="1">
      <c r="C368" s="553"/>
      <c r="D368" s="553"/>
      <c r="E368" s="553"/>
      <c r="F368" s="553"/>
      <c r="G368" s="553"/>
      <c r="H368" s="553"/>
      <c r="I368" s="553"/>
      <c r="J368" s="553"/>
      <c r="K368" s="553"/>
    </row>
    <row r="369" spans="3:11" ht="14.25" customHeight="1">
      <c r="C369" s="553"/>
      <c r="D369" s="553"/>
      <c r="E369" s="553"/>
      <c r="F369" s="553"/>
      <c r="G369" s="553"/>
      <c r="H369" s="553"/>
      <c r="I369" s="553"/>
      <c r="J369" s="553"/>
      <c r="K369" s="553"/>
    </row>
    <row r="370" spans="3:11" ht="14.25" customHeight="1">
      <c r="C370" s="553"/>
      <c r="D370" s="553"/>
      <c r="E370" s="553"/>
      <c r="F370" s="553"/>
      <c r="G370" s="553"/>
      <c r="H370" s="553"/>
      <c r="I370" s="553"/>
      <c r="J370" s="553"/>
      <c r="K370" s="553"/>
    </row>
    <row r="371" spans="3:11" ht="14.25" customHeight="1">
      <c r="C371" s="553"/>
      <c r="D371" s="553"/>
      <c r="E371" s="553"/>
      <c r="F371" s="553"/>
      <c r="G371" s="553"/>
      <c r="H371" s="553"/>
      <c r="I371" s="553"/>
      <c r="J371" s="553"/>
      <c r="K371" s="553"/>
    </row>
    <row r="372" spans="3:11" ht="14.25" customHeight="1">
      <c r="C372" s="553"/>
      <c r="D372" s="553"/>
      <c r="E372" s="553"/>
      <c r="F372" s="553"/>
      <c r="G372" s="553"/>
      <c r="H372" s="553"/>
      <c r="I372" s="553"/>
      <c r="J372" s="553"/>
      <c r="K372" s="553"/>
    </row>
    <row r="373" spans="3:11" ht="14.25" customHeight="1">
      <c r="C373" s="553"/>
      <c r="D373" s="553"/>
      <c r="E373" s="553"/>
      <c r="F373" s="553"/>
      <c r="G373" s="553"/>
      <c r="H373" s="553"/>
      <c r="I373" s="553"/>
      <c r="J373" s="553"/>
      <c r="K373" s="553"/>
    </row>
    <row r="374" spans="3:11" ht="14.25" customHeight="1">
      <c r="C374" s="553"/>
      <c r="D374" s="553"/>
      <c r="E374" s="553"/>
      <c r="F374" s="553"/>
      <c r="G374" s="553"/>
      <c r="H374" s="553"/>
      <c r="I374" s="553"/>
      <c r="J374" s="553"/>
      <c r="K374" s="553"/>
    </row>
    <row r="375" spans="3:11" ht="14.25" customHeight="1">
      <c r="C375" s="553"/>
      <c r="D375" s="553"/>
      <c r="E375" s="553"/>
      <c r="F375" s="553"/>
      <c r="G375" s="553"/>
      <c r="H375" s="553"/>
      <c r="I375" s="553"/>
      <c r="J375" s="553"/>
      <c r="K375" s="553"/>
    </row>
    <row r="376" spans="3:11" ht="14.25" customHeight="1">
      <c r="C376" s="553"/>
      <c r="D376" s="553"/>
      <c r="E376" s="553"/>
      <c r="F376" s="553"/>
      <c r="G376" s="553"/>
      <c r="H376" s="553"/>
      <c r="I376" s="553"/>
      <c r="J376" s="553"/>
      <c r="K376" s="553"/>
    </row>
    <row r="377" spans="3:11" ht="14.25" customHeight="1">
      <c r="C377" s="553"/>
      <c r="D377" s="553"/>
      <c r="E377" s="553"/>
      <c r="F377" s="553"/>
      <c r="G377" s="553"/>
      <c r="H377" s="553"/>
      <c r="I377" s="553"/>
      <c r="J377" s="553"/>
      <c r="K377" s="553"/>
    </row>
    <row r="378" spans="3:11" ht="14.25" customHeight="1">
      <c r="C378" s="553"/>
      <c r="D378" s="553"/>
      <c r="E378" s="553"/>
      <c r="F378" s="553"/>
      <c r="G378" s="553"/>
      <c r="H378" s="553"/>
      <c r="I378" s="553"/>
      <c r="J378" s="553"/>
      <c r="K378" s="553"/>
    </row>
    <row r="379" spans="3:11" ht="14.25" customHeight="1">
      <c r="C379" s="553"/>
      <c r="D379" s="553"/>
      <c r="E379" s="553"/>
      <c r="F379" s="553"/>
      <c r="G379" s="553"/>
      <c r="H379" s="553"/>
      <c r="I379" s="553"/>
      <c r="J379" s="553"/>
      <c r="K379" s="553"/>
    </row>
    <row r="380" spans="3:11" ht="14.25" customHeight="1">
      <c r="C380" s="553"/>
      <c r="D380" s="553"/>
      <c r="E380" s="553"/>
      <c r="F380" s="553"/>
      <c r="G380" s="553"/>
      <c r="H380" s="553"/>
      <c r="I380" s="553"/>
      <c r="J380" s="553"/>
      <c r="K380" s="553"/>
    </row>
    <row r="381" spans="3:11" ht="14.25" customHeight="1">
      <c r="C381" s="553"/>
      <c r="D381" s="553"/>
      <c r="E381" s="553"/>
      <c r="F381" s="553"/>
      <c r="G381" s="553"/>
      <c r="H381" s="553"/>
      <c r="I381" s="553"/>
      <c r="J381" s="553"/>
      <c r="K381" s="553"/>
    </row>
    <row r="382" spans="3:11" ht="14.25" customHeight="1">
      <c r="C382" s="553"/>
      <c r="D382" s="553"/>
      <c r="E382" s="553"/>
      <c r="F382" s="553"/>
      <c r="G382" s="553"/>
      <c r="H382" s="553"/>
      <c r="I382" s="553"/>
      <c r="J382" s="553"/>
      <c r="K382" s="553"/>
    </row>
    <row r="383" spans="3:11" ht="14.25" customHeight="1">
      <c r="C383" s="553"/>
      <c r="D383" s="553"/>
      <c r="E383" s="553"/>
      <c r="F383" s="553"/>
      <c r="G383" s="553"/>
      <c r="H383" s="553"/>
      <c r="I383" s="553"/>
      <c r="J383" s="553"/>
      <c r="K383" s="553"/>
    </row>
    <row r="384" spans="3:11" ht="14.25" customHeight="1">
      <c r="C384" s="553"/>
      <c r="D384" s="553"/>
      <c r="E384" s="553"/>
      <c r="F384" s="553"/>
      <c r="G384" s="553"/>
      <c r="H384" s="553"/>
      <c r="I384" s="553"/>
      <c r="J384" s="553"/>
      <c r="K384" s="553"/>
    </row>
    <row r="385" spans="3:11" ht="14.25" customHeight="1">
      <c r="C385" s="553"/>
      <c r="D385" s="553"/>
      <c r="E385" s="553"/>
      <c r="F385" s="553"/>
      <c r="G385" s="553"/>
      <c r="H385" s="553"/>
      <c r="I385" s="553"/>
      <c r="J385" s="553"/>
      <c r="K385" s="553"/>
    </row>
    <row r="386" spans="3:11" ht="14.25" customHeight="1">
      <c r="C386" s="553"/>
      <c r="D386" s="553"/>
      <c r="E386" s="553"/>
      <c r="F386" s="553"/>
      <c r="G386" s="553"/>
      <c r="H386" s="553"/>
      <c r="I386" s="553"/>
      <c r="J386" s="553"/>
      <c r="K386" s="553"/>
    </row>
    <row r="387" spans="3:11" ht="14.25" customHeight="1">
      <c r="C387" s="553"/>
      <c r="D387" s="553"/>
      <c r="E387" s="553"/>
      <c r="F387" s="553"/>
      <c r="G387" s="553"/>
      <c r="H387" s="553"/>
      <c r="I387" s="553"/>
      <c r="J387" s="553"/>
      <c r="K387" s="553"/>
    </row>
    <row r="388" spans="3:11" ht="14.25" customHeight="1">
      <c r="C388" s="553"/>
      <c r="D388" s="553"/>
      <c r="E388" s="553"/>
      <c r="F388" s="553"/>
      <c r="G388" s="553"/>
      <c r="H388" s="553"/>
      <c r="I388" s="553"/>
      <c r="J388" s="553"/>
      <c r="K388" s="553"/>
    </row>
    <row r="389" spans="3:11" ht="14.25" customHeight="1">
      <c r="C389" s="553"/>
      <c r="D389" s="553"/>
      <c r="E389" s="553"/>
      <c r="F389" s="553"/>
      <c r="G389" s="553"/>
      <c r="H389" s="553"/>
      <c r="I389" s="553"/>
      <c r="J389" s="553"/>
      <c r="K389" s="553"/>
    </row>
    <row r="390" spans="3:11" ht="14.25" customHeight="1">
      <c r="C390" s="553"/>
      <c r="D390" s="553"/>
      <c r="E390" s="553"/>
      <c r="F390" s="553"/>
      <c r="G390" s="553"/>
      <c r="H390" s="553"/>
      <c r="I390" s="553"/>
      <c r="J390" s="553"/>
      <c r="K390" s="553"/>
    </row>
    <row r="391" spans="3:11" ht="14.25" customHeight="1">
      <c r="C391" s="553"/>
      <c r="D391" s="553"/>
      <c r="E391" s="553"/>
      <c r="F391" s="553"/>
      <c r="G391" s="553"/>
      <c r="H391" s="553"/>
      <c r="I391" s="553"/>
      <c r="J391" s="553"/>
      <c r="K391" s="553"/>
    </row>
    <row r="392" spans="3:11" ht="14.25" customHeight="1">
      <c r="C392" s="553"/>
      <c r="D392" s="553"/>
      <c r="E392" s="553"/>
      <c r="F392" s="553"/>
      <c r="G392" s="553"/>
      <c r="H392" s="553"/>
      <c r="I392" s="553"/>
      <c r="J392" s="553"/>
      <c r="K392" s="553"/>
    </row>
    <row r="393" spans="3:11" ht="14.25" customHeight="1">
      <c r="C393" s="553"/>
      <c r="D393" s="553"/>
      <c r="E393" s="553"/>
      <c r="F393" s="553"/>
      <c r="G393" s="553"/>
      <c r="H393" s="553"/>
      <c r="I393" s="553"/>
      <c r="J393" s="553"/>
      <c r="K393" s="553"/>
    </row>
    <row r="394" spans="3:11" ht="14.25" customHeight="1">
      <c r="C394" s="553"/>
      <c r="D394" s="553"/>
      <c r="E394" s="553"/>
      <c r="F394" s="553"/>
      <c r="G394" s="553"/>
      <c r="H394" s="553"/>
      <c r="I394" s="553"/>
      <c r="J394" s="553"/>
      <c r="K394" s="553"/>
    </row>
    <row r="395" spans="3:11" ht="14.25" customHeight="1">
      <c r="C395" s="553"/>
      <c r="D395" s="553"/>
      <c r="E395" s="553"/>
      <c r="F395" s="553"/>
      <c r="G395" s="553"/>
      <c r="H395" s="553"/>
      <c r="I395" s="553"/>
      <c r="J395" s="553"/>
      <c r="K395" s="553"/>
    </row>
    <row r="396" spans="3:11" ht="14.25" customHeight="1">
      <c r="C396" s="553"/>
      <c r="D396" s="553"/>
      <c r="E396" s="553"/>
      <c r="F396" s="553"/>
      <c r="G396" s="553"/>
      <c r="H396" s="553"/>
      <c r="I396" s="553"/>
      <c r="J396" s="553"/>
      <c r="K396" s="553"/>
    </row>
    <row r="397" spans="3:11" ht="14.25" customHeight="1">
      <c r="C397" s="553"/>
      <c r="D397" s="553"/>
      <c r="E397" s="553"/>
      <c r="F397" s="553"/>
      <c r="G397" s="553"/>
      <c r="H397" s="553"/>
      <c r="I397" s="553"/>
      <c r="J397" s="553"/>
      <c r="K397" s="553"/>
    </row>
    <row r="398" spans="3:11" ht="14.25" customHeight="1">
      <c r="C398" s="553"/>
      <c r="D398" s="553"/>
      <c r="E398" s="553"/>
      <c r="F398" s="553"/>
      <c r="G398" s="553"/>
      <c r="H398" s="553"/>
      <c r="I398" s="553"/>
      <c r="J398" s="553"/>
      <c r="K398" s="553"/>
    </row>
    <row r="399" spans="3:11" ht="14.25" customHeight="1">
      <c r="C399" s="553"/>
      <c r="D399" s="553"/>
      <c r="E399" s="553"/>
      <c r="F399" s="553"/>
      <c r="G399" s="553"/>
      <c r="H399" s="553"/>
      <c r="I399" s="553"/>
      <c r="J399" s="553"/>
      <c r="K399" s="553"/>
    </row>
    <row r="400" spans="3:11" ht="14.25" customHeight="1">
      <c r="C400" s="553"/>
      <c r="D400" s="553"/>
      <c r="E400" s="553"/>
      <c r="F400" s="553"/>
      <c r="G400" s="553"/>
      <c r="H400" s="553"/>
      <c r="I400" s="553"/>
      <c r="J400" s="553"/>
      <c r="K400" s="553"/>
    </row>
    <row r="401" spans="3:11" ht="14.25" customHeight="1">
      <c r="C401" s="553"/>
      <c r="D401" s="553"/>
      <c r="E401" s="553"/>
      <c r="F401" s="553"/>
      <c r="G401" s="553"/>
      <c r="H401" s="553"/>
      <c r="I401" s="553"/>
      <c r="J401" s="553"/>
      <c r="K401" s="553"/>
    </row>
    <row r="402" spans="3:11" ht="14.25" customHeight="1">
      <c r="C402" s="553"/>
      <c r="D402" s="553"/>
      <c r="E402" s="553"/>
      <c r="F402" s="553"/>
      <c r="G402" s="553"/>
      <c r="H402" s="553"/>
      <c r="I402" s="553"/>
      <c r="J402" s="553"/>
      <c r="K402" s="553"/>
    </row>
    <row r="403" spans="3:11" ht="14.25" customHeight="1">
      <c r="C403" s="553"/>
      <c r="D403" s="553"/>
      <c r="E403" s="553"/>
      <c r="F403" s="553"/>
      <c r="G403" s="553"/>
      <c r="H403" s="553"/>
      <c r="I403" s="553"/>
      <c r="J403" s="553"/>
      <c r="K403" s="553"/>
    </row>
    <row r="404" spans="3:11" ht="14.25" customHeight="1">
      <c r="C404" s="553"/>
      <c r="D404" s="553"/>
      <c r="E404" s="553"/>
      <c r="F404" s="553"/>
      <c r="G404" s="553"/>
      <c r="H404" s="553"/>
      <c r="I404" s="553"/>
      <c r="J404" s="553"/>
      <c r="K404" s="553"/>
    </row>
    <row r="405" spans="3:11" ht="14.25" customHeight="1">
      <c r="C405" s="553"/>
      <c r="D405" s="553"/>
      <c r="E405" s="553"/>
      <c r="F405" s="553"/>
      <c r="G405" s="553"/>
      <c r="H405" s="553"/>
      <c r="I405" s="553"/>
      <c r="J405" s="553"/>
      <c r="K405" s="553"/>
    </row>
    <row r="406" spans="3:11" ht="14.25" customHeight="1">
      <c r="C406" s="553"/>
      <c r="D406" s="553"/>
      <c r="E406" s="553"/>
      <c r="F406" s="553"/>
      <c r="G406" s="553"/>
      <c r="H406" s="553"/>
      <c r="I406" s="553"/>
      <c r="J406" s="553"/>
      <c r="K406" s="553"/>
    </row>
    <row r="407" spans="3:11" ht="14.25" customHeight="1">
      <c r="C407" s="553"/>
      <c r="D407" s="553"/>
      <c r="E407" s="553"/>
      <c r="F407" s="553"/>
      <c r="G407" s="553"/>
      <c r="H407" s="553"/>
      <c r="I407" s="553"/>
      <c r="J407" s="553"/>
      <c r="K407" s="553"/>
    </row>
    <row r="408" spans="3:11" ht="14.25" customHeight="1">
      <c r="C408" s="553"/>
      <c r="D408" s="553"/>
      <c r="E408" s="553"/>
      <c r="F408" s="553"/>
      <c r="G408" s="553"/>
      <c r="H408" s="553"/>
      <c r="I408" s="553"/>
      <c r="J408" s="553"/>
      <c r="K408" s="553"/>
    </row>
    <row r="409" spans="3:11" ht="14.25" customHeight="1">
      <c r="C409" s="553"/>
      <c r="D409" s="553"/>
      <c r="E409" s="553"/>
      <c r="F409" s="553"/>
      <c r="G409" s="553"/>
      <c r="H409" s="553"/>
      <c r="I409" s="553"/>
      <c r="J409" s="553"/>
      <c r="K409" s="553"/>
    </row>
    <row r="410" spans="3:11" ht="14.25" customHeight="1">
      <c r="C410" s="553"/>
      <c r="D410" s="553"/>
      <c r="E410" s="553"/>
      <c r="F410" s="553"/>
      <c r="G410" s="553"/>
      <c r="H410" s="553"/>
      <c r="I410" s="553"/>
      <c r="J410" s="553"/>
      <c r="K410" s="553"/>
    </row>
    <row r="411" spans="3:11" ht="14.25" customHeight="1">
      <c r="C411" s="553"/>
      <c r="D411" s="553"/>
      <c r="E411" s="553"/>
      <c r="F411" s="553"/>
      <c r="G411" s="553"/>
      <c r="H411" s="553"/>
      <c r="I411" s="553"/>
      <c r="J411" s="553"/>
      <c r="K411" s="553"/>
    </row>
    <row r="412" spans="3:11" ht="14.25" customHeight="1">
      <c r="C412" s="553"/>
      <c r="D412" s="553"/>
      <c r="E412" s="553"/>
      <c r="F412" s="553"/>
      <c r="G412" s="553"/>
      <c r="H412" s="553"/>
      <c r="I412" s="553"/>
      <c r="J412" s="553"/>
      <c r="K412" s="553"/>
    </row>
    <row r="413" spans="3:11" ht="14.25" customHeight="1">
      <c r="C413" s="553"/>
      <c r="D413" s="553"/>
      <c r="E413" s="553"/>
      <c r="F413" s="553"/>
      <c r="G413" s="553"/>
      <c r="H413" s="553"/>
      <c r="I413" s="553"/>
      <c r="J413" s="553"/>
      <c r="K413" s="553"/>
    </row>
    <row r="414" spans="3:11" ht="14.25" customHeight="1">
      <c r="C414" s="553"/>
      <c r="D414" s="553"/>
      <c r="E414" s="553"/>
      <c r="F414" s="553"/>
      <c r="G414" s="553"/>
      <c r="H414" s="553"/>
      <c r="I414" s="553"/>
      <c r="J414" s="553"/>
      <c r="K414" s="553"/>
    </row>
    <row r="415" spans="3:11" ht="14.25" customHeight="1">
      <c r="C415" s="553"/>
      <c r="D415" s="553"/>
      <c r="E415" s="553"/>
      <c r="F415" s="553"/>
      <c r="G415" s="553"/>
      <c r="H415" s="553"/>
      <c r="I415" s="553"/>
      <c r="J415" s="553"/>
      <c r="K415" s="553"/>
    </row>
    <row r="416" spans="3:11" ht="14.25" customHeight="1">
      <c r="C416" s="553"/>
      <c r="D416" s="553"/>
      <c r="E416" s="553"/>
      <c r="F416" s="553"/>
      <c r="G416" s="553"/>
      <c r="H416" s="553"/>
      <c r="I416" s="553"/>
      <c r="J416" s="553"/>
      <c r="K416" s="553"/>
    </row>
    <row r="417" spans="3:11" ht="14.25" customHeight="1">
      <c r="C417" s="553"/>
      <c r="D417" s="553"/>
      <c r="E417" s="553"/>
      <c r="F417" s="553"/>
      <c r="G417" s="553"/>
      <c r="H417" s="553"/>
      <c r="I417" s="553"/>
      <c r="J417" s="553"/>
      <c r="K417" s="553"/>
    </row>
    <row r="418" spans="3:11" ht="14.25" customHeight="1">
      <c r="C418" s="553"/>
      <c r="D418" s="553"/>
      <c r="E418" s="553"/>
      <c r="F418" s="553"/>
      <c r="G418" s="553"/>
      <c r="H418" s="553"/>
      <c r="I418" s="553"/>
      <c r="J418" s="553"/>
      <c r="K418" s="553"/>
    </row>
    <row r="419" spans="3:11" ht="14.25" customHeight="1">
      <c r="C419" s="553"/>
      <c r="D419" s="553"/>
      <c r="E419" s="553"/>
      <c r="F419" s="553"/>
      <c r="G419" s="553"/>
      <c r="H419" s="553"/>
      <c r="I419" s="553"/>
      <c r="J419" s="553"/>
      <c r="K419" s="553"/>
    </row>
    <row r="420" spans="3:11" ht="14.25" customHeight="1">
      <c r="C420" s="553"/>
      <c r="D420" s="553"/>
      <c r="E420" s="553"/>
      <c r="F420" s="553"/>
      <c r="G420" s="553"/>
      <c r="H420" s="553"/>
      <c r="I420" s="553"/>
      <c r="J420" s="553"/>
      <c r="K420" s="553"/>
    </row>
    <row r="421" spans="3:11" ht="14.25" customHeight="1">
      <c r="C421" s="553"/>
      <c r="D421" s="553"/>
      <c r="E421" s="553"/>
      <c r="F421" s="553"/>
      <c r="G421" s="553"/>
      <c r="H421" s="553"/>
      <c r="I421" s="553"/>
      <c r="J421" s="553"/>
      <c r="K421" s="553"/>
    </row>
    <row r="422" spans="3:11" ht="14.25" customHeight="1">
      <c r="C422" s="553"/>
      <c r="D422" s="553"/>
      <c r="E422" s="553"/>
      <c r="F422" s="553"/>
      <c r="G422" s="553"/>
      <c r="H422" s="553"/>
      <c r="I422" s="553"/>
      <c r="J422" s="553"/>
      <c r="K422" s="553"/>
    </row>
    <row r="423" spans="3:11" ht="14.25" customHeight="1">
      <c r="C423" s="553"/>
      <c r="D423" s="553"/>
      <c r="E423" s="553"/>
      <c r="F423" s="553"/>
      <c r="G423" s="553"/>
      <c r="H423" s="553"/>
      <c r="I423" s="553"/>
      <c r="J423" s="553"/>
      <c r="K423" s="553"/>
    </row>
    <row r="424" spans="3:11" ht="14.25" customHeight="1">
      <c r="C424" s="553"/>
      <c r="D424" s="553"/>
      <c r="E424" s="553"/>
      <c r="F424" s="553"/>
      <c r="G424" s="553"/>
      <c r="H424" s="553"/>
      <c r="I424" s="553"/>
      <c r="J424" s="553"/>
      <c r="K424" s="553"/>
    </row>
    <row r="425" spans="3:11" ht="14.25" customHeight="1">
      <c r="C425" s="553"/>
      <c r="D425" s="553"/>
      <c r="E425" s="553"/>
      <c r="F425" s="553"/>
      <c r="G425" s="553"/>
      <c r="H425" s="553"/>
      <c r="I425" s="553"/>
      <c r="J425" s="553"/>
      <c r="K425" s="553"/>
    </row>
    <row r="426" spans="3:11" ht="14.25" customHeight="1">
      <c r="C426" s="553"/>
      <c r="D426" s="553"/>
      <c r="E426" s="553"/>
      <c r="F426" s="553"/>
      <c r="G426" s="553"/>
      <c r="H426" s="553"/>
      <c r="I426" s="553"/>
      <c r="J426" s="553"/>
      <c r="K426" s="553"/>
    </row>
    <row r="427" spans="3:11" ht="14.25" customHeight="1">
      <c r="C427" s="553"/>
      <c r="D427" s="553"/>
      <c r="E427" s="553"/>
      <c r="F427" s="553"/>
      <c r="G427" s="553"/>
      <c r="H427" s="553"/>
      <c r="I427" s="553"/>
      <c r="J427" s="553"/>
      <c r="K427" s="553"/>
    </row>
    <row r="428" spans="3:11" ht="14.25" customHeight="1">
      <c r="C428" s="553"/>
      <c r="D428" s="553"/>
      <c r="E428" s="553"/>
      <c r="F428" s="553"/>
      <c r="G428" s="553"/>
      <c r="H428" s="553"/>
      <c r="I428" s="553"/>
      <c r="J428" s="553"/>
      <c r="K428" s="553"/>
    </row>
    <row r="429" spans="3:11" ht="14.25" customHeight="1">
      <c r="C429" s="553"/>
      <c r="D429" s="553"/>
      <c r="E429" s="553"/>
      <c r="F429" s="553"/>
      <c r="G429" s="553"/>
      <c r="H429" s="553"/>
      <c r="I429" s="553"/>
      <c r="J429" s="553"/>
      <c r="K429" s="553"/>
    </row>
    <row r="430" spans="3:11" ht="14.25" customHeight="1">
      <c r="C430" s="553"/>
      <c r="D430" s="553"/>
      <c r="E430" s="553"/>
      <c r="F430" s="553"/>
      <c r="G430" s="553"/>
      <c r="H430" s="553"/>
      <c r="I430" s="553"/>
      <c r="J430" s="553"/>
      <c r="K430" s="553"/>
    </row>
    <row r="431" spans="3:11" ht="14.25" customHeight="1">
      <c r="C431" s="553"/>
      <c r="D431" s="553"/>
      <c r="E431" s="553"/>
      <c r="F431" s="553"/>
      <c r="G431" s="553"/>
      <c r="H431" s="553"/>
      <c r="I431" s="553"/>
      <c r="J431" s="553"/>
      <c r="K431" s="553"/>
    </row>
    <row r="432" spans="3:11" ht="14.25" customHeight="1">
      <c r="C432" s="553"/>
      <c r="D432" s="553"/>
      <c r="E432" s="553"/>
      <c r="F432" s="553"/>
      <c r="G432" s="553"/>
      <c r="H432" s="553"/>
      <c r="I432" s="553"/>
      <c r="J432" s="553"/>
      <c r="K432" s="553"/>
    </row>
    <row r="433" spans="3:11" ht="14.25" customHeight="1">
      <c r="C433" s="553"/>
      <c r="D433" s="553"/>
      <c r="E433" s="553"/>
      <c r="F433" s="553"/>
      <c r="G433" s="553"/>
      <c r="H433" s="553"/>
      <c r="I433" s="553"/>
      <c r="J433" s="553"/>
      <c r="K433" s="553"/>
    </row>
    <row r="434" spans="3:11" ht="14.25" customHeight="1">
      <c r="C434" s="553"/>
      <c r="D434" s="553"/>
      <c r="E434" s="553"/>
      <c r="F434" s="553"/>
      <c r="G434" s="553"/>
      <c r="H434" s="553"/>
      <c r="I434" s="553"/>
      <c r="J434" s="553"/>
      <c r="K434" s="553"/>
    </row>
    <row r="435" spans="3:11" ht="14.25" customHeight="1">
      <c r="C435" s="553"/>
      <c r="D435" s="553"/>
      <c r="E435" s="553"/>
      <c r="F435" s="553"/>
      <c r="G435" s="553"/>
      <c r="H435" s="553"/>
      <c r="I435" s="553"/>
      <c r="J435" s="553"/>
      <c r="K435" s="553"/>
    </row>
    <row r="436" spans="3:11" ht="14.25" customHeight="1">
      <c r="C436" s="553"/>
      <c r="D436" s="553"/>
      <c r="E436" s="553"/>
      <c r="F436" s="553"/>
      <c r="G436" s="553"/>
      <c r="H436" s="553"/>
      <c r="I436" s="553"/>
      <c r="J436" s="553"/>
      <c r="K436" s="553"/>
    </row>
    <row r="437" spans="3:11" ht="14.25" customHeight="1">
      <c r="C437" s="553"/>
      <c r="D437" s="553"/>
      <c r="E437" s="553"/>
      <c r="F437" s="553"/>
      <c r="G437" s="553"/>
      <c r="H437" s="553"/>
      <c r="I437" s="553"/>
      <c r="J437" s="553"/>
      <c r="K437" s="553"/>
    </row>
    <row r="438" spans="3:11" ht="14.25" customHeight="1">
      <c r="C438" s="553"/>
      <c r="D438" s="553"/>
      <c r="E438" s="553"/>
      <c r="F438" s="553"/>
      <c r="G438" s="553"/>
      <c r="H438" s="553"/>
      <c r="I438" s="553"/>
      <c r="J438" s="553"/>
      <c r="K438" s="553"/>
    </row>
    <row r="439" spans="3:11" ht="14.25" customHeight="1">
      <c r="C439" s="553"/>
      <c r="D439" s="553"/>
      <c r="E439" s="553"/>
      <c r="F439" s="553"/>
      <c r="G439" s="553"/>
      <c r="H439" s="553"/>
      <c r="I439" s="553"/>
      <c r="J439" s="553"/>
      <c r="K439" s="553"/>
    </row>
    <row r="440" spans="3:11" ht="14.25" customHeight="1">
      <c r="C440" s="553"/>
      <c r="D440" s="553"/>
      <c r="E440" s="553"/>
      <c r="F440" s="553"/>
      <c r="G440" s="553"/>
      <c r="H440" s="553"/>
      <c r="I440" s="553"/>
      <c r="J440" s="553"/>
      <c r="K440" s="553"/>
    </row>
    <row r="441" spans="3:11" ht="14.25" customHeight="1">
      <c r="C441" s="553"/>
      <c r="D441" s="553"/>
      <c r="E441" s="553"/>
      <c r="F441" s="553"/>
      <c r="G441" s="553"/>
      <c r="H441" s="553"/>
      <c r="I441" s="553"/>
      <c r="J441" s="553"/>
      <c r="K441" s="553"/>
    </row>
    <row r="442" spans="3:11" ht="14.25" customHeight="1">
      <c r="C442" s="553"/>
      <c r="D442" s="553"/>
      <c r="E442" s="553"/>
      <c r="F442" s="553"/>
      <c r="G442" s="553"/>
      <c r="H442" s="553"/>
      <c r="I442" s="553"/>
      <c r="J442" s="553"/>
      <c r="K442" s="553"/>
    </row>
    <row r="443" spans="3:11" ht="14.25" customHeight="1">
      <c r="C443" s="553"/>
      <c r="D443" s="553"/>
      <c r="E443" s="553"/>
      <c r="F443" s="553"/>
      <c r="G443" s="553"/>
      <c r="H443" s="553"/>
      <c r="I443" s="553"/>
      <c r="J443" s="553"/>
      <c r="K443" s="553"/>
    </row>
    <row r="444" spans="3:11" ht="14.25" customHeight="1">
      <c r="C444" s="553"/>
      <c r="D444" s="553"/>
      <c r="E444" s="553"/>
      <c r="F444" s="553"/>
      <c r="G444" s="553"/>
      <c r="H444" s="553"/>
      <c r="I444" s="553"/>
      <c r="J444" s="553"/>
      <c r="K444" s="553"/>
    </row>
    <row r="445" spans="3:11" ht="14.25" customHeight="1">
      <c r="C445" s="553"/>
      <c r="D445" s="553"/>
      <c r="E445" s="553"/>
      <c r="F445" s="553"/>
      <c r="G445" s="553"/>
      <c r="H445" s="553"/>
      <c r="I445" s="553"/>
      <c r="J445" s="553"/>
      <c r="K445" s="553"/>
    </row>
    <row r="446" spans="3:11" ht="14.25" customHeight="1">
      <c r="C446" s="553"/>
      <c r="D446" s="553"/>
      <c r="E446" s="553"/>
      <c r="F446" s="553"/>
      <c r="G446" s="553"/>
      <c r="H446" s="553"/>
      <c r="I446" s="553"/>
      <c r="J446" s="553"/>
      <c r="K446" s="553"/>
    </row>
    <row r="447" spans="3:11" ht="14.25" customHeight="1">
      <c r="C447" s="553"/>
      <c r="D447" s="553"/>
      <c r="E447" s="553"/>
      <c r="F447" s="553"/>
      <c r="G447" s="553"/>
      <c r="H447" s="553"/>
      <c r="I447" s="553"/>
      <c r="J447" s="553"/>
      <c r="K447" s="553"/>
    </row>
    <row r="448" spans="3:11" ht="14.25" customHeight="1">
      <c r="C448" s="553"/>
      <c r="D448" s="553"/>
      <c r="E448" s="553"/>
      <c r="F448" s="553"/>
      <c r="G448" s="553"/>
      <c r="H448" s="553"/>
      <c r="I448" s="553"/>
      <c r="J448" s="553"/>
      <c r="K448" s="553"/>
    </row>
    <row r="449" spans="3:11" ht="14.25" customHeight="1">
      <c r="C449" s="553"/>
      <c r="D449" s="553"/>
      <c r="E449" s="553"/>
      <c r="F449" s="553"/>
      <c r="G449" s="553"/>
      <c r="H449" s="553"/>
      <c r="I449" s="553"/>
      <c r="J449" s="553"/>
      <c r="K449" s="553"/>
    </row>
    <row r="450" spans="3:11" ht="14.25" customHeight="1">
      <c r="C450" s="553"/>
      <c r="D450" s="553"/>
      <c r="E450" s="553"/>
      <c r="F450" s="553"/>
      <c r="G450" s="553"/>
      <c r="H450" s="553"/>
      <c r="I450" s="553"/>
      <c r="J450" s="553"/>
      <c r="K450" s="553"/>
    </row>
    <row r="451" spans="3:11" ht="14.25" customHeight="1">
      <c r="C451" s="553"/>
      <c r="D451" s="553"/>
      <c r="E451" s="553"/>
      <c r="F451" s="553"/>
      <c r="G451" s="553"/>
      <c r="H451" s="553"/>
      <c r="I451" s="553"/>
      <c r="J451" s="553"/>
      <c r="K451" s="553"/>
    </row>
    <row r="452" spans="3:11" ht="14.25" customHeight="1">
      <c r="C452" s="553"/>
      <c r="D452" s="553"/>
      <c r="E452" s="553"/>
      <c r="F452" s="553"/>
      <c r="G452" s="553"/>
      <c r="H452" s="553"/>
      <c r="I452" s="553"/>
      <c r="J452" s="553"/>
      <c r="K452" s="553"/>
    </row>
    <row r="453" spans="3:11" ht="14.25" customHeight="1">
      <c r="C453" s="553"/>
      <c r="D453" s="553"/>
      <c r="E453" s="553"/>
      <c r="F453" s="553"/>
      <c r="G453" s="553"/>
      <c r="H453" s="553"/>
      <c r="I453" s="553"/>
      <c r="J453" s="553"/>
      <c r="K453" s="553"/>
    </row>
    <row r="454" spans="3:11" ht="14.25" customHeight="1">
      <c r="C454" s="553"/>
      <c r="D454" s="553"/>
      <c r="E454" s="553"/>
      <c r="F454" s="553"/>
      <c r="G454" s="553"/>
      <c r="H454" s="553"/>
      <c r="I454" s="553"/>
      <c r="J454" s="553"/>
      <c r="K454" s="553"/>
    </row>
    <row r="455" spans="3:11" ht="14.25" customHeight="1">
      <c r="C455" s="553"/>
      <c r="D455" s="553"/>
      <c r="E455" s="553"/>
      <c r="F455" s="553"/>
      <c r="G455" s="553"/>
      <c r="H455" s="553"/>
      <c r="I455" s="553"/>
      <c r="J455" s="553"/>
      <c r="K455" s="553"/>
    </row>
    <row r="456" spans="3:11" ht="14.25" customHeight="1">
      <c r="C456" s="553"/>
      <c r="D456" s="553"/>
      <c r="E456" s="553"/>
      <c r="F456" s="553"/>
      <c r="G456" s="553"/>
      <c r="H456" s="553"/>
      <c r="I456" s="553"/>
      <c r="J456" s="553"/>
      <c r="K456" s="553"/>
    </row>
    <row r="457" spans="3:11" ht="14.25" customHeight="1">
      <c r="C457" s="553"/>
      <c r="D457" s="553"/>
      <c r="E457" s="553"/>
      <c r="F457" s="553"/>
      <c r="G457" s="553"/>
      <c r="H457" s="553"/>
      <c r="I457" s="553"/>
      <c r="J457" s="553"/>
      <c r="K457" s="553"/>
    </row>
    <row r="458" spans="3:11" ht="14.25" customHeight="1">
      <c r="C458" s="553"/>
      <c r="D458" s="553"/>
      <c r="E458" s="553"/>
      <c r="F458" s="553"/>
      <c r="G458" s="553"/>
      <c r="H458" s="553"/>
      <c r="I458" s="553"/>
      <c r="J458" s="553"/>
      <c r="K458" s="553"/>
    </row>
    <row r="459" spans="3:11" ht="14.25" customHeight="1">
      <c r="C459" s="553"/>
      <c r="D459" s="553"/>
      <c r="E459" s="553"/>
      <c r="F459" s="553"/>
      <c r="G459" s="553"/>
      <c r="H459" s="553"/>
      <c r="I459" s="553"/>
      <c r="J459" s="553"/>
      <c r="K459" s="553"/>
    </row>
    <row r="460" spans="3:11" ht="14.25" customHeight="1">
      <c r="C460" s="553"/>
      <c r="D460" s="553"/>
      <c r="E460" s="553"/>
      <c r="F460" s="553"/>
      <c r="G460" s="553"/>
      <c r="H460" s="553"/>
      <c r="I460" s="553"/>
      <c r="J460" s="553"/>
      <c r="K460" s="553"/>
    </row>
    <row r="461" spans="3:11" ht="14.25" customHeight="1">
      <c r="C461" s="553"/>
      <c r="D461" s="553"/>
      <c r="E461" s="553"/>
      <c r="F461" s="553"/>
      <c r="G461" s="553"/>
      <c r="H461" s="553"/>
      <c r="I461" s="553"/>
      <c r="J461" s="553"/>
      <c r="K461" s="553"/>
    </row>
    <row r="462" spans="3:11" ht="14.25" customHeight="1">
      <c r="C462" s="553"/>
      <c r="D462" s="553"/>
      <c r="E462" s="553"/>
      <c r="F462" s="553"/>
      <c r="G462" s="553"/>
      <c r="H462" s="553"/>
      <c r="I462" s="553"/>
      <c r="J462" s="553"/>
      <c r="K462" s="553"/>
    </row>
    <row r="463" spans="3:11" ht="14.25" customHeight="1">
      <c r="C463" s="553"/>
      <c r="D463" s="553"/>
      <c r="E463" s="553"/>
      <c r="F463" s="553"/>
      <c r="G463" s="553"/>
      <c r="H463" s="553"/>
      <c r="I463" s="553"/>
      <c r="J463" s="553"/>
      <c r="K463" s="553"/>
    </row>
    <row r="464" spans="3:11" ht="14.25" customHeight="1">
      <c r="C464" s="553"/>
      <c r="D464" s="553"/>
      <c r="E464" s="553"/>
      <c r="F464" s="553"/>
      <c r="G464" s="553"/>
      <c r="H464" s="553"/>
      <c r="I464" s="553"/>
      <c r="J464" s="553"/>
      <c r="K464" s="553"/>
    </row>
    <row r="465" spans="3:11" ht="14.25" customHeight="1">
      <c r="C465" s="553"/>
      <c r="D465" s="553"/>
      <c r="E465" s="553"/>
      <c r="F465" s="553"/>
      <c r="G465" s="553"/>
      <c r="H465" s="553"/>
      <c r="I465" s="553"/>
      <c r="J465" s="553"/>
      <c r="K465" s="553"/>
    </row>
    <row r="466" spans="3:11" ht="14.25" customHeight="1">
      <c r="C466" s="553"/>
      <c r="D466" s="553"/>
      <c r="E466" s="553"/>
      <c r="F466" s="553"/>
      <c r="G466" s="553"/>
      <c r="H466" s="553"/>
      <c r="I466" s="553"/>
      <c r="J466" s="553"/>
      <c r="K466" s="553"/>
    </row>
    <row r="467" spans="3:11" ht="14.25" customHeight="1">
      <c r="C467" s="553"/>
      <c r="D467" s="553"/>
      <c r="E467" s="553"/>
      <c r="F467" s="553"/>
      <c r="G467" s="553"/>
      <c r="H467" s="553"/>
      <c r="I467" s="553"/>
      <c r="J467" s="553"/>
      <c r="K467" s="553"/>
    </row>
    <row r="468" spans="3:11" ht="14.25" customHeight="1">
      <c r="C468" s="553"/>
      <c r="D468" s="553"/>
      <c r="E468" s="553"/>
      <c r="F468" s="553"/>
      <c r="G468" s="553"/>
      <c r="H468" s="553"/>
      <c r="I468" s="553"/>
      <c r="J468" s="553"/>
      <c r="K468" s="553"/>
    </row>
    <row r="469" spans="3:11" ht="14.25" customHeight="1">
      <c r="C469" s="553"/>
      <c r="D469" s="553"/>
      <c r="E469" s="553"/>
      <c r="F469" s="553"/>
      <c r="G469" s="553"/>
      <c r="H469" s="553"/>
      <c r="I469" s="553"/>
      <c r="J469" s="553"/>
      <c r="K469" s="553"/>
    </row>
    <row r="470" spans="3:11" ht="14.25" customHeight="1">
      <c r="C470" s="553"/>
      <c r="D470" s="553"/>
      <c r="E470" s="553"/>
      <c r="F470" s="553"/>
      <c r="G470" s="553"/>
      <c r="H470" s="553"/>
      <c r="I470" s="553"/>
      <c r="J470" s="553"/>
      <c r="K470" s="553"/>
    </row>
    <row r="471" spans="3:11" ht="14.25" customHeight="1">
      <c r="C471" s="553"/>
      <c r="D471" s="553"/>
      <c r="E471" s="553"/>
      <c r="F471" s="553"/>
      <c r="G471" s="553"/>
      <c r="H471" s="553"/>
      <c r="I471" s="553"/>
      <c r="J471" s="553"/>
      <c r="K471" s="553"/>
    </row>
    <row r="472" spans="3:11" ht="14.25" customHeight="1">
      <c r="C472" s="553"/>
      <c r="D472" s="553"/>
      <c r="E472" s="553"/>
      <c r="F472" s="553"/>
      <c r="G472" s="553"/>
      <c r="H472" s="553"/>
      <c r="I472" s="553"/>
      <c r="J472" s="553"/>
      <c r="K472" s="553"/>
    </row>
    <row r="473" spans="3:11" ht="14.25" customHeight="1">
      <c r="C473" s="553"/>
      <c r="D473" s="553"/>
      <c r="E473" s="553"/>
      <c r="F473" s="553"/>
      <c r="G473" s="553"/>
      <c r="H473" s="553"/>
      <c r="I473" s="553"/>
      <c r="J473" s="553"/>
      <c r="K473" s="553"/>
    </row>
    <row r="474" spans="3:11" ht="14.25" customHeight="1">
      <c r="C474" s="553"/>
      <c r="D474" s="553"/>
      <c r="E474" s="553"/>
      <c r="F474" s="553"/>
      <c r="G474" s="553"/>
      <c r="H474" s="553"/>
      <c r="I474" s="553"/>
      <c r="J474" s="553"/>
      <c r="K474" s="553"/>
    </row>
    <row r="475" spans="3:11" ht="14.25" customHeight="1">
      <c r="C475" s="553"/>
      <c r="D475" s="553"/>
      <c r="E475" s="553"/>
      <c r="F475" s="553"/>
      <c r="G475" s="553"/>
      <c r="H475" s="553"/>
      <c r="I475" s="553"/>
      <c r="J475" s="553"/>
      <c r="K475" s="553"/>
    </row>
    <row r="476" spans="3:11" ht="14.25" customHeight="1">
      <c r="C476" s="553"/>
      <c r="D476" s="553"/>
      <c r="E476" s="553"/>
      <c r="F476" s="553"/>
      <c r="G476" s="553"/>
      <c r="H476" s="553"/>
      <c r="I476" s="553"/>
      <c r="J476" s="553"/>
      <c r="K476" s="553"/>
    </row>
    <row r="477" spans="3:11" ht="14.25" customHeight="1">
      <c r="C477" s="553"/>
      <c r="D477" s="553"/>
      <c r="E477" s="553"/>
      <c r="F477" s="553"/>
      <c r="G477" s="553"/>
      <c r="H477" s="553"/>
      <c r="I477" s="553"/>
      <c r="J477" s="553"/>
      <c r="K477" s="553"/>
    </row>
    <row r="478" spans="3:11" ht="14.25" customHeight="1">
      <c r="C478" s="553"/>
      <c r="D478" s="553"/>
      <c r="E478" s="553"/>
      <c r="F478" s="553"/>
      <c r="G478" s="553"/>
      <c r="H478" s="553"/>
      <c r="I478" s="553"/>
      <c r="J478" s="553"/>
      <c r="K478" s="553"/>
    </row>
    <row r="479" spans="3:11" ht="14.25" customHeight="1">
      <c r="C479" s="553"/>
      <c r="D479" s="553"/>
      <c r="E479" s="553"/>
      <c r="F479" s="553"/>
      <c r="G479" s="553"/>
      <c r="H479" s="553"/>
      <c r="I479" s="553"/>
      <c r="J479" s="553"/>
      <c r="K479" s="553"/>
    </row>
    <row r="480" spans="3:11" ht="14.25" customHeight="1">
      <c r="C480" s="553"/>
      <c r="D480" s="553"/>
      <c r="E480" s="553"/>
      <c r="F480" s="553"/>
      <c r="G480" s="553"/>
      <c r="H480" s="553"/>
      <c r="I480" s="553"/>
      <c r="J480" s="553"/>
      <c r="K480" s="553"/>
    </row>
    <row r="481" spans="3:11" ht="14.25" customHeight="1">
      <c r="C481" s="553"/>
      <c r="D481" s="553"/>
      <c r="E481" s="553"/>
      <c r="F481" s="553"/>
      <c r="G481" s="553"/>
      <c r="H481" s="553"/>
      <c r="I481" s="553"/>
      <c r="J481" s="553"/>
      <c r="K481" s="553"/>
    </row>
    <row r="482" spans="3:11" ht="14.25" customHeight="1">
      <c r="C482" s="553"/>
      <c r="D482" s="553"/>
      <c r="E482" s="553"/>
      <c r="F482" s="553"/>
      <c r="G482" s="553"/>
      <c r="H482" s="553"/>
      <c r="I482" s="553"/>
      <c r="J482" s="553"/>
      <c r="K482" s="553"/>
    </row>
    <row r="483" spans="3:11" ht="14.25" customHeight="1">
      <c r="C483" s="553"/>
      <c r="D483" s="553"/>
      <c r="E483" s="553"/>
      <c r="F483" s="553"/>
      <c r="G483" s="553"/>
      <c r="H483" s="553"/>
      <c r="I483" s="553"/>
      <c r="J483" s="553"/>
      <c r="K483" s="553"/>
    </row>
    <row r="484" spans="3:11" ht="14.25" customHeight="1">
      <c r="C484" s="553"/>
      <c r="D484" s="553"/>
      <c r="E484" s="553"/>
      <c r="F484" s="553"/>
      <c r="G484" s="553"/>
      <c r="H484" s="553"/>
      <c r="I484" s="553"/>
      <c r="J484" s="553"/>
      <c r="K484" s="553"/>
    </row>
    <row r="485" spans="3:11" ht="14.25" customHeight="1">
      <c r="C485" s="553"/>
      <c r="D485" s="553"/>
      <c r="E485" s="553"/>
      <c r="F485" s="553"/>
      <c r="G485" s="553"/>
      <c r="H485" s="553"/>
      <c r="I485" s="553"/>
      <c r="J485" s="553"/>
      <c r="K485" s="553"/>
    </row>
    <row r="486" spans="3:11" ht="14.25" customHeight="1">
      <c r="C486" s="553"/>
      <c r="D486" s="553"/>
      <c r="E486" s="553"/>
      <c r="F486" s="553"/>
      <c r="G486" s="553"/>
      <c r="H486" s="553"/>
      <c r="I486" s="553"/>
      <c r="J486" s="553"/>
      <c r="K486" s="553"/>
    </row>
    <row r="487" spans="3:11" ht="14.25" customHeight="1">
      <c r="C487" s="553"/>
      <c r="D487" s="553"/>
      <c r="E487" s="553"/>
      <c r="F487" s="553"/>
      <c r="G487" s="553"/>
      <c r="H487" s="553"/>
      <c r="I487" s="553"/>
      <c r="J487" s="553"/>
      <c r="K487" s="553"/>
    </row>
    <row r="488" spans="3:11" ht="14.25" customHeight="1">
      <c r="C488" s="553"/>
      <c r="D488" s="553"/>
      <c r="E488" s="553"/>
      <c r="F488" s="553"/>
      <c r="G488" s="553"/>
      <c r="H488" s="553"/>
      <c r="I488" s="553"/>
      <c r="J488" s="553"/>
      <c r="K488" s="553"/>
    </row>
    <row r="489" spans="3:11" ht="14.25" customHeight="1">
      <c r="C489" s="553"/>
      <c r="D489" s="553"/>
      <c r="E489" s="553"/>
      <c r="F489" s="553"/>
      <c r="G489" s="553"/>
      <c r="H489" s="553"/>
      <c r="I489" s="553"/>
      <c r="J489" s="553"/>
      <c r="K489" s="553"/>
    </row>
    <row r="490" spans="3:11" ht="14.25" customHeight="1">
      <c r="C490" s="553"/>
      <c r="D490" s="553"/>
      <c r="E490" s="553"/>
      <c r="F490" s="553"/>
      <c r="G490" s="553"/>
      <c r="H490" s="553"/>
      <c r="I490" s="553"/>
      <c r="J490" s="553"/>
      <c r="K490" s="553"/>
    </row>
    <row r="491" spans="3:11" ht="14.25" customHeight="1">
      <c r="C491" s="553"/>
      <c r="D491" s="553"/>
      <c r="E491" s="553"/>
      <c r="F491" s="553"/>
      <c r="G491" s="553"/>
      <c r="H491" s="553"/>
      <c r="I491" s="553"/>
      <c r="J491" s="553"/>
      <c r="K491" s="553"/>
    </row>
    <row r="492" spans="3:11" ht="14.25" customHeight="1">
      <c r="C492" s="553"/>
      <c r="D492" s="553"/>
      <c r="E492" s="553"/>
      <c r="F492" s="553"/>
      <c r="G492" s="553"/>
      <c r="H492" s="553"/>
      <c r="I492" s="553"/>
      <c r="J492" s="553"/>
      <c r="K492" s="553"/>
    </row>
    <row r="493" spans="3:11" ht="14.25" customHeight="1">
      <c r="C493" s="553"/>
      <c r="D493" s="553"/>
      <c r="E493" s="553"/>
      <c r="F493" s="553"/>
      <c r="G493" s="553"/>
      <c r="H493" s="553"/>
      <c r="I493" s="553"/>
      <c r="J493" s="553"/>
      <c r="K493" s="553"/>
    </row>
    <row r="494" spans="3:11" ht="14.25" customHeight="1">
      <c r="C494" s="553"/>
      <c r="D494" s="553"/>
      <c r="E494" s="553"/>
      <c r="F494" s="553"/>
      <c r="G494" s="553"/>
      <c r="H494" s="553"/>
      <c r="I494" s="553"/>
      <c r="J494" s="553"/>
      <c r="K494" s="553"/>
    </row>
    <row r="495" spans="3:11" ht="14.25" customHeight="1">
      <c r="C495" s="553"/>
      <c r="D495" s="553"/>
      <c r="E495" s="553"/>
      <c r="F495" s="553"/>
      <c r="G495" s="553"/>
      <c r="H495" s="553"/>
      <c r="I495" s="553"/>
      <c r="J495" s="553"/>
      <c r="K495" s="553"/>
    </row>
    <row r="496" spans="3:11" ht="14.25" customHeight="1">
      <c r="C496" s="553"/>
      <c r="D496" s="553"/>
      <c r="E496" s="553"/>
      <c r="F496" s="553"/>
      <c r="G496" s="553"/>
      <c r="H496" s="553"/>
      <c r="I496" s="553"/>
      <c r="J496" s="553"/>
      <c r="K496" s="553"/>
    </row>
    <row r="497" spans="3:11" ht="14.25" customHeight="1">
      <c r="C497" s="553"/>
      <c r="D497" s="553"/>
      <c r="E497" s="553"/>
      <c r="F497" s="553"/>
      <c r="G497" s="553"/>
      <c r="H497" s="553"/>
      <c r="I497" s="553"/>
      <c r="J497" s="553"/>
      <c r="K497" s="553"/>
    </row>
    <row r="498" spans="3:11" ht="14.25" customHeight="1">
      <c r="C498" s="553"/>
      <c r="D498" s="553"/>
      <c r="E498" s="553"/>
      <c r="F498" s="553"/>
      <c r="G498" s="553"/>
      <c r="H498" s="553"/>
      <c r="I498" s="553"/>
      <c r="J498" s="553"/>
      <c r="K498" s="553"/>
    </row>
    <row r="499" spans="3:11" ht="14.25" customHeight="1">
      <c r="C499" s="553"/>
      <c r="D499" s="553"/>
      <c r="E499" s="553"/>
      <c r="F499" s="553"/>
      <c r="G499" s="553"/>
      <c r="H499" s="553"/>
      <c r="I499" s="553"/>
      <c r="J499" s="553"/>
      <c r="K499" s="553"/>
    </row>
    <row r="500" spans="3:11" ht="14.25" customHeight="1">
      <c r="C500" s="553"/>
      <c r="D500" s="553"/>
      <c r="E500" s="553"/>
      <c r="F500" s="553"/>
      <c r="G500" s="553"/>
      <c r="H500" s="553"/>
      <c r="I500" s="553"/>
      <c r="J500" s="553"/>
      <c r="K500" s="553"/>
    </row>
    <row r="501" spans="3:11" ht="14.25" customHeight="1">
      <c r="C501" s="553"/>
      <c r="D501" s="553"/>
      <c r="E501" s="553"/>
      <c r="F501" s="553"/>
      <c r="G501" s="553"/>
      <c r="H501" s="553"/>
      <c r="I501" s="553"/>
      <c r="J501" s="553"/>
      <c r="K501" s="553"/>
    </row>
    <row r="502" spans="3:11" ht="14.25" customHeight="1">
      <c r="C502" s="553"/>
      <c r="D502" s="553"/>
      <c r="E502" s="553"/>
      <c r="F502" s="553"/>
      <c r="G502" s="553"/>
      <c r="H502" s="553"/>
      <c r="I502" s="553"/>
      <c r="J502" s="553"/>
      <c r="K502" s="553"/>
    </row>
    <row r="503" spans="3:11" ht="14.25" customHeight="1">
      <c r="C503" s="553"/>
      <c r="D503" s="553"/>
      <c r="E503" s="553"/>
      <c r="F503" s="553"/>
      <c r="G503" s="553"/>
      <c r="H503" s="553"/>
      <c r="I503" s="553"/>
      <c r="J503" s="553"/>
      <c r="K503" s="553"/>
    </row>
    <row r="504" spans="3:11" ht="14.25" customHeight="1">
      <c r="C504" s="553"/>
      <c r="D504" s="553"/>
      <c r="E504" s="553"/>
      <c r="F504" s="553"/>
      <c r="G504" s="553"/>
      <c r="H504" s="553"/>
      <c r="I504" s="553"/>
      <c r="J504" s="553"/>
      <c r="K504" s="553"/>
    </row>
    <row r="505" spans="3:11" ht="14.25" customHeight="1">
      <c r="C505" s="553"/>
      <c r="D505" s="553"/>
      <c r="E505" s="553"/>
      <c r="F505" s="553"/>
      <c r="G505" s="553"/>
      <c r="H505" s="553"/>
      <c r="I505" s="553"/>
      <c r="J505" s="553"/>
      <c r="K505" s="553"/>
    </row>
    <row r="506" spans="3:11" ht="14.25" customHeight="1">
      <c r="C506" s="553"/>
      <c r="D506" s="553"/>
      <c r="E506" s="553"/>
      <c r="F506" s="553"/>
      <c r="G506" s="553"/>
      <c r="H506" s="553"/>
      <c r="I506" s="553"/>
      <c r="J506" s="553"/>
      <c r="K506" s="553"/>
    </row>
    <row r="507" spans="3:11" ht="14.25" customHeight="1">
      <c r="C507" s="553"/>
      <c r="D507" s="553"/>
      <c r="E507" s="553"/>
      <c r="F507" s="553"/>
      <c r="G507" s="553"/>
      <c r="H507" s="553"/>
      <c r="I507" s="553"/>
      <c r="J507" s="553"/>
      <c r="K507" s="553"/>
    </row>
    <row r="508" spans="3:11" ht="14.25" customHeight="1">
      <c r="C508" s="553"/>
      <c r="D508" s="553"/>
      <c r="E508" s="553"/>
      <c r="F508" s="553"/>
      <c r="G508" s="553"/>
      <c r="H508" s="553"/>
      <c r="I508" s="553"/>
      <c r="J508" s="553"/>
      <c r="K508" s="553"/>
    </row>
    <row r="509" spans="3:11" ht="14.25" customHeight="1">
      <c r="C509" s="553"/>
      <c r="D509" s="553"/>
      <c r="E509" s="553"/>
      <c r="F509" s="553"/>
      <c r="G509" s="553"/>
      <c r="H509" s="553"/>
      <c r="I509" s="553"/>
      <c r="J509" s="553"/>
      <c r="K509" s="553"/>
    </row>
    <row r="510" spans="3:11" ht="14.25" customHeight="1">
      <c r="C510" s="553"/>
      <c r="D510" s="553"/>
      <c r="E510" s="553"/>
      <c r="F510" s="553"/>
      <c r="G510" s="553"/>
      <c r="H510" s="553"/>
      <c r="I510" s="553"/>
      <c r="J510" s="553"/>
      <c r="K510" s="553"/>
    </row>
    <row r="511" spans="3:11" ht="14.25" customHeight="1">
      <c r="C511" s="553"/>
      <c r="D511" s="553"/>
      <c r="E511" s="553"/>
      <c r="F511" s="553"/>
      <c r="G511" s="553"/>
      <c r="H511" s="553"/>
      <c r="I511" s="553"/>
      <c r="J511" s="553"/>
      <c r="K511" s="553"/>
    </row>
    <row r="512" spans="3:11" ht="14.25" customHeight="1">
      <c r="C512" s="553"/>
      <c r="D512" s="553"/>
      <c r="E512" s="553"/>
      <c r="F512" s="553"/>
      <c r="G512" s="553"/>
      <c r="H512" s="553"/>
      <c r="I512" s="553"/>
      <c r="J512" s="553"/>
      <c r="K512" s="553"/>
    </row>
    <row r="513" spans="3:11" ht="14.25" customHeight="1">
      <c r="C513" s="553"/>
      <c r="D513" s="553"/>
      <c r="E513" s="553"/>
      <c r="F513" s="553"/>
      <c r="G513" s="553"/>
      <c r="H513" s="553"/>
      <c r="I513" s="553"/>
      <c r="J513" s="553"/>
      <c r="K513" s="553"/>
    </row>
    <row r="514" spans="3:11" ht="14.25" customHeight="1">
      <c r="C514" s="553"/>
      <c r="D514" s="553"/>
      <c r="E514" s="553"/>
      <c r="F514" s="553"/>
      <c r="G514" s="553"/>
      <c r="H514" s="553"/>
      <c r="I514" s="553"/>
      <c r="J514" s="553"/>
      <c r="K514" s="553"/>
    </row>
    <row r="515" spans="3:11" ht="14.25" customHeight="1">
      <c r="C515" s="553"/>
      <c r="D515" s="553"/>
      <c r="E515" s="553"/>
      <c r="F515" s="553"/>
      <c r="G515" s="553"/>
      <c r="H515" s="553"/>
      <c r="I515" s="553"/>
      <c r="J515" s="553"/>
      <c r="K515" s="553"/>
    </row>
    <row r="516" spans="3:11" ht="14.25" customHeight="1">
      <c r="C516" s="553"/>
      <c r="D516" s="553"/>
      <c r="E516" s="553"/>
      <c r="F516" s="553"/>
      <c r="G516" s="553"/>
      <c r="H516" s="553"/>
      <c r="I516" s="553"/>
      <c r="J516" s="553"/>
      <c r="K516" s="553"/>
    </row>
    <row r="517" spans="3:11" ht="14.25" customHeight="1">
      <c r="C517" s="553"/>
      <c r="D517" s="553"/>
      <c r="E517" s="553"/>
      <c r="F517" s="553"/>
      <c r="G517" s="553"/>
      <c r="H517" s="553"/>
      <c r="I517" s="553"/>
      <c r="J517" s="553"/>
      <c r="K517" s="553"/>
    </row>
    <row r="518" spans="3:11" ht="14.25" customHeight="1">
      <c r="C518" s="553"/>
      <c r="D518" s="553"/>
      <c r="E518" s="553"/>
      <c r="F518" s="553"/>
      <c r="G518" s="553"/>
      <c r="H518" s="553"/>
      <c r="I518" s="553"/>
      <c r="J518" s="553"/>
      <c r="K518" s="553"/>
    </row>
    <row r="519" spans="3:11" ht="14.25" customHeight="1">
      <c r="C519" s="553"/>
      <c r="D519" s="553"/>
      <c r="E519" s="553"/>
      <c r="F519" s="553"/>
      <c r="G519" s="553"/>
      <c r="H519" s="553"/>
      <c r="I519" s="553"/>
      <c r="J519" s="553"/>
      <c r="K519" s="553"/>
    </row>
    <row r="520" spans="3:11" ht="14.25" customHeight="1">
      <c r="C520" s="553"/>
      <c r="D520" s="553"/>
      <c r="E520" s="553"/>
      <c r="F520" s="553"/>
      <c r="G520" s="553"/>
      <c r="H520" s="553"/>
      <c r="I520" s="553"/>
      <c r="J520" s="553"/>
      <c r="K520" s="553"/>
    </row>
    <row r="521" spans="3:11" ht="14.25" customHeight="1">
      <c r="C521" s="553"/>
      <c r="D521" s="553"/>
      <c r="E521" s="553"/>
      <c r="F521" s="553"/>
      <c r="G521" s="553"/>
      <c r="H521" s="553"/>
      <c r="I521" s="553"/>
      <c r="J521" s="553"/>
      <c r="K521" s="553"/>
    </row>
    <row r="522" spans="3:11" ht="14.25" customHeight="1">
      <c r="C522" s="553"/>
      <c r="D522" s="553"/>
      <c r="E522" s="553"/>
      <c r="F522" s="553"/>
      <c r="G522" s="553"/>
      <c r="H522" s="553"/>
      <c r="I522" s="553"/>
      <c r="J522" s="553"/>
      <c r="K522" s="553"/>
    </row>
    <row r="523" spans="3:11" ht="14.25" customHeight="1">
      <c r="C523" s="553"/>
      <c r="D523" s="553"/>
      <c r="E523" s="553"/>
      <c r="F523" s="553"/>
      <c r="G523" s="553"/>
      <c r="H523" s="553"/>
      <c r="I523" s="553"/>
      <c r="J523" s="553"/>
      <c r="K523" s="553"/>
    </row>
    <row r="524" spans="3:11" ht="14.25" customHeight="1">
      <c r="C524" s="553"/>
      <c r="D524" s="553"/>
      <c r="E524" s="553"/>
      <c r="F524" s="553"/>
      <c r="G524" s="553"/>
      <c r="H524" s="553"/>
      <c r="I524" s="553"/>
      <c r="J524" s="553"/>
      <c r="K524" s="553"/>
    </row>
    <row r="525" spans="3:11" ht="14.25" customHeight="1">
      <c r="C525" s="553"/>
      <c r="D525" s="553"/>
      <c r="E525" s="553"/>
      <c r="F525" s="553"/>
      <c r="G525" s="553"/>
      <c r="H525" s="553"/>
      <c r="I525" s="553"/>
      <c r="J525" s="553"/>
      <c r="K525" s="553"/>
    </row>
    <row r="526" spans="3:11" ht="14.25" customHeight="1">
      <c r="C526" s="553"/>
      <c r="D526" s="553"/>
      <c r="E526" s="553"/>
      <c r="F526" s="553"/>
      <c r="G526" s="553"/>
      <c r="H526" s="553"/>
      <c r="I526" s="553"/>
      <c r="J526" s="553"/>
      <c r="K526" s="553"/>
    </row>
    <row r="527" spans="3:11" ht="14.25" customHeight="1">
      <c r="C527" s="553"/>
      <c r="D527" s="553"/>
      <c r="E527" s="553"/>
      <c r="F527" s="553"/>
      <c r="G527" s="553"/>
      <c r="H527" s="553"/>
      <c r="I527" s="553"/>
      <c r="J527" s="553"/>
      <c r="K527" s="553"/>
    </row>
    <row r="528" spans="3:11" ht="14.25" customHeight="1">
      <c r="C528" s="553"/>
      <c r="D528" s="553"/>
      <c r="E528" s="553"/>
      <c r="F528" s="553"/>
      <c r="G528" s="553"/>
      <c r="H528" s="553"/>
      <c r="I528" s="553"/>
      <c r="J528" s="553"/>
      <c r="K528" s="553"/>
    </row>
    <row r="529" spans="3:11" ht="14.25" customHeight="1">
      <c r="C529" s="553"/>
      <c r="D529" s="553"/>
      <c r="E529" s="553"/>
      <c r="F529" s="553"/>
      <c r="G529" s="553"/>
      <c r="H529" s="553"/>
      <c r="I529" s="553"/>
      <c r="J529" s="553"/>
      <c r="K529" s="553"/>
    </row>
    <row r="530" spans="3:11" ht="14.25" customHeight="1">
      <c r="C530" s="553"/>
      <c r="D530" s="553"/>
      <c r="E530" s="553"/>
      <c r="F530" s="553"/>
      <c r="G530" s="553"/>
      <c r="H530" s="553"/>
      <c r="I530" s="553"/>
      <c r="J530" s="553"/>
      <c r="K530" s="553"/>
    </row>
    <row r="531" spans="3:11" ht="14.25" customHeight="1">
      <c r="C531" s="553"/>
      <c r="D531" s="553"/>
      <c r="E531" s="553"/>
      <c r="F531" s="553"/>
      <c r="G531" s="553"/>
      <c r="H531" s="553"/>
      <c r="I531" s="553"/>
      <c r="J531" s="553"/>
      <c r="K531" s="553"/>
    </row>
    <row r="532" spans="3:11" ht="14.25" customHeight="1">
      <c r="C532" s="553"/>
      <c r="D532" s="553"/>
      <c r="E532" s="553"/>
      <c r="F532" s="553"/>
      <c r="G532" s="553"/>
      <c r="H532" s="553"/>
      <c r="I532" s="553"/>
      <c r="J532" s="553"/>
      <c r="K532" s="553"/>
    </row>
    <row r="533" spans="3:11" ht="14.25" customHeight="1">
      <c r="C533" s="553"/>
      <c r="D533" s="553"/>
      <c r="E533" s="553"/>
      <c r="F533" s="553"/>
      <c r="G533" s="553"/>
      <c r="H533" s="553"/>
      <c r="I533" s="553"/>
      <c r="J533" s="553"/>
      <c r="K533" s="553"/>
    </row>
    <row r="534" spans="3:11" ht="14.25" customHeight="1">
      <c r="C534" s="553"/>
      <c r="D534" s="553"/>
      <c r="E534" s="553"/>
      <c r="F534" s="553"/>
      <c r="G534" s="553"/>
      <c r="H534" s="553"/>
      <c r="I534" s="553"/>
      <c r="J534" s="553"/>
      <c r="K534" s="553"/>
    </row>
    <row r="535" spans="3:11" ht="14.25" customHeight="1">
      <c r="C535" s="553"/>
      <c r="D535" s="553"/>
      <c r="E535" s="553"/>
      <c r="F535" s="553"/>
      <c r="G535" s="553"/>
      <c r="H535" s="553"/>
      <c r="I535" s="553"/>
      <c r="J535" s="553"/>
      <c r="K535" s="553"/>
    </row>
    <row r="536" spans="3:11" ht="14.25" customHeight="1">
      <c r="C536" s="553"/>
      <c r="D536" s="553"/>
      <c r="E536" s="553"/>
      <c r="F536" s="553"/>
      <c r="G536" s="553"/>
      <c r="H536" s="553"/>
      <c r="I536" s="553"/>
      <c r="J536" s="553"/>
      <c r="K536" s="553"/>
    </row>
    <row r="537" spans="3:11" ht="14.25" customHeight="1">
      <c r="C537" s="553"/>
      <c r="D537" s="553"/>
      <c r="E537" s="553"/>
      <c r="F537" s="553"/>
      <c r="G537" s="553"/>
      <c r="H537" s="553"/>
      <c r="I537" s="553"/>
      <c r="J537" s="553"/>
      <c r="K537" s="553"/>
    </row>
    <row r="538" spans="3:11" ht="14.25" customHeight="1">
      <c r="C538" s="553"/>
      <c r="D538" s="553"/>
      <c r="E538" s="553"/>
      <c r="F538" s="553"/>
      <c r="G538" s="553"/>
      <c r="H538" s="553"/>
      <c r="I538" s="553"/>
      <c r="J538" s="553"/>
      <c r="K538" s="553"/>
    </row>
    <row r="539" spans="3:11" ht="14.25" customHeight="1">
      <c r="C539" s="553"/>
      <c r="D539" s="553"/>
      <c r="E539" s="553"/>
      <c r="F539" s="553"/>
      <c r="G539" s="553"/>
      <c r="H539" s="553"/>
      <c r="I539" s="553"/>
      <c r="J539" s="553"/>
      <c r="K539" s="553"/>
    </row>
    <row r="540" spans="3:11" ht="14.25" customHeight="1">
      <c r="C540" s="553"/>
      <c r="D540" s="553"/>
      <c r="E540" s="553"/>
      <c r="F540" s="553"/>
      <c r="G540" s="553"/>
      <c r="H540" s="553"/>
      <c r="I540" s="553"/>
      <c r="J540" s="553"/>
      <c r="K540" s="553"/>
    </row>
    <row r="541" spans="3:11" ht="14.25" customHeight="1">
      <c r="C541" s="553"/>
      <c r="D541" s="553"/>
      <c r="E541" s="553"/>
      <c r="F541" s="553"/>
      <c r="G541" s="553"/>
      <c r="H541" s="553"/>
      <c r="I541" s="553"/>
      <c r="J541" s="553"/>
      <c r="K541" s="553"/>
    </row>
  </sheetData>
  <phoneticPr fontId="72" type="noConversion"/>
  <pageMargins left="0.7" right="0.7" top="0.75" bottom="0.75" header="0.511811023622047" footer="0.511811023622047"/>
  <pageSetup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760"/>
  <sheetViews>
    <sheetView workbookViewId="0">
      <selection activeCell="A18" sqref="A18"/>
    </sheetView>
  </sheetViews>
  <sheetFormatPr baseColWidth="10" defaultColWidth="8.83203125" defaultRowHeight="13"/>
  <cols>
    <col min="2" max="2" width="55.5" customWidth="1"/>
    <col min="3" max="3" width="12.5" customWidth="1"/>
    <col min="4" max="13" width="10.5" customWidth="1"/>
    <col min="14" max="14" width="12.5" customWidth="1"/>
    <col min="15" max="15" width="10.5" customWidth="1"/>
    <col min="16" max="16" width="20.5" customWidth="1"/>
  </cols>
  <sheetData>
    <row r="1" spans="1:16" ht="19.5" customHeight="1" thickBot="1">
      <c r="A1" s="3239" t="s">
        <v>1</v>
      </c>
      <c r="B1" s="3240" t="s">
        <v>68</v>
      </c>
      <c r="C1" s="3240" t="s">
        <v>77</v>
      </c>
      <c r="D1" s="3240" t="s">
        <v>78</v>
      </c>
      <c r="E1" s="3240" t="s">
        <v>79</v>
      </c>
      <c r="F1" s="3240" t="s">
        <v>6</v>
      </c>
      <c r="G1" s="3240" t="s">
        <v>999</v>
      </c>
      <c r="H1" s="3240" t="s">
        <v>977</v>
      </c>
      <c r="I1" s="3240" t="s">
        <v>978</v>
      </c>
      <c r="J1" s="3240" t="s">
        <v>1000</v>
      </c>
      <c r="K1" s="3240"/>
      <c r="L1" s="3240" t="s">
        <v>213</v>
      </c>
      <c r="M1" s="3240" t="s">
        <v>80</v>
      </c>
      <c r="N1" s="3240" t="s">
        <v>81</v>
      </c>
      <c r="O1" s="3240" t="s">
        <v>82</v>
      </c>
      <c r="P1" s="3241" t="s">
        <v>83</v>
      </c>
    </row>
    <row r="2" spans="1:16" ht="19.5" customHeight="1" thickBot="1">
      <c r="A2" s="3239"/>
      <c r="B2" s="3240"/>
      <c r="C2" s="3240"/>
      <c r="D2" s="3240"/>
      <c r="E2" s="3240"/>
      <c r="F2" s="3240"/>
      <c r="G2" s="3240"/>
      <c r="H2" s="3240"/>
      <c r="I2" s="3240"/>
      <c r="J2" s="921" t="s">
        <v>1001</v>
      </c>
      <c r="K2" s="921" t="s">
        <v>1002</v>
      </c>
      <c r="L2" s="3240"/>
      <c r="M2" s="3240"/>
      <c r="N2" s="3240"/>
      <c r="O2" s="3240"/>
      <c r="P2" s="3241"/>
    </row>
    <row r="3" spans="1:16" ht="7.5" customHeight="1" thickTop="1" thickBot="1">
      <c r="A3" s="442"/>
      <c r="B3" s="442"/>
      <c r="C3" s="442"/>
      <c r="D3" s="442"/>
      <c r="E3" s="442"/>
      <c r="F3" s="442"/>
      <c r="G3" s="442"/>
      <c r="H3" s="442"/>
      <c r="I3" s="442"/>
      <c r="J3" s="442"/>
      <c r="K3" s="442"/>
      <c r="L3" s="442"/>
      <c r="M3" s="442"/>
      <c r="N3" s="442"/>
      <c r="O3" s="442"/>
      <c r="P3" s="922"/>
    </row>
    <row r="4" spans="1:16" ht="7.5" customHeight="1" thickTop="1">
      <c r="A4" s="857"/>
      <c r="B4" s="858"/>
      <c r="C4" s="858"/>
      <c r="D4" s="858"/>
      <c r="E4" s="858"/>
      <c r="F4" s="858"/>
      <c r="G4" s="858"/>
      <c r="H4" s="858"/>
      <c r="I4" s="858"/>
      <c r="J4" s="858"/>
      <c r="K4" s="858"/>
      <c r="L4" s="858"/>
      <c r="M4" s="858"/>
      <c r="N4" s="858"/>
      <c r="O4" s="858"/>
      <c r="P4" s="923"/>
    </row>
    <row r="5" spans="1:16" s="18" customFormat="1" ht="15.75" customHeight="1">
      <c r="A5" s="1077"/>
      <c r="B5" s="46"/>
      <c r="C5" s="956"/>
      <c r="D5" s="956"/>
      <c r="E5" s="956"/>
      <c r="F5" s="956"/>
      <c r="G5" s="956"/>
      <c r="H5" s="956"/>
      <c r="I5" s="956"/>
      <c r="J5" s="956"/>
      <c r="K5" s="956"/>
      <c r="L5" s="956"/>
      <c r="M5" s="956"/>
      <c r="N5" s="1078"/>
      <c r="O5" s="840"/>
      <c r="P5" s="1063"/>
    </row>
    <row r="6" spans="1:16" ht="15.75" customHeight="1">
      <c r="A6" s="2201" t="s">
        <v>690</v>
      </c>
      <c r="B6" s="2202" t="s">
        <v>3351</v>
      </c>
      <c r="C6" s="1079" t="s">
        <v>3352</v>
      </c>
      <c r="D6" s="1080">
        <v>12</v>
      </c>
      <c r="E6" s="1080" t="s">
        <v>10</v>
      </c>
      <c r="F6" s="1070"/>
      <c r="G6" s="1070"/>
      <c r="H6" s="71"/>
      <c r="I6" s="71"/>
      <c r="J6" s="71"/>
      <c r="K6" s="71"/>
      <c r="L6" s="71"/>
      <c r="M6" s="71"/>
      <c r="N6" s="71"/>
      <c r="O6" s="71"/>
      <c r="P6" s="860"/>
    </row>
    <row r="7" spans="1:16" ht="15.75" customHeight="1">
      <c r="A7" s="425"/>
      <c r="B7" s="446"/>
      <c r="C7" s="1070"/>
      <c r="D7" s="1070"/>
      <c r="E7" s="1070"/>
      <c r="F7" s="1070"/>
      <c r="G7" s="1070"/>
      <c r="H7" s="71"/>
      <c r="I7" s="71"/>
      <c r="J7" s="71"/>
      <c r="K7" s="71"/>
      <c r="L7" s="71"/>
      <c r="M7" s="71"/>
      <c r="N7" s="1062">
        <f>N8</f>
        <v>30</v>
      </c>
      <c r="O7" s="84" t="s">
        <v>117</v>
      </c>
      <c r="P7" s="860"/>
    </row>
    <row r="8" spans="1:16" ht="15.75" customHeight="1">
      <c r="A8" s="62">
        <v>1</v>
      </c>
      <c r="B8" s="71" t="s">
        <v>3353</v>
      </c>
      <c r="C8" s="1070">
        <v>15</v>
      </c>
      <c r="D8" s="1070"/>
      <c r="E8" s="1070"/>
      <c r="F8" s="1070"/>
      <c r="G8" s="1070"/>
      <c r="H8" s="428">
        <v>2</v>
      </c>
      <c r="I8" s="428"/>
      <c r="J8" s="428"/>
      <c r="K8" s="428"/>
      <c r="L8" s="428"/>
      <c r="M8" s="428"/>
      <c r="N8" s="428">
        <f>H8*C8</f>
        <v>30</v>
      </c>
      <c r="O8" s="1065" t="s">
        <v>117</v>
      </c>
      <c r="P8" s="860">
        <f t="shared" ref="P8:P13" si="0">ROUND((N8),2)</f>
        <v>30</v>
      </c>
    </row>
    <row r="9" spans="1:16" ht="15.75" customHeight="1">
      <c r="A9" s="62">
        <f>A8+1</f>
        <v>2</v>
      </c>
      <c r="B9" s="71" t="s">
        <v>866</v>
      </c>
      <c r="C9" s="1070">
        <f>C8</f>
        <v>15</v>
      </c>
      <c r="D9" s="1070">
        <f>D6</f>
        <v>12</v>
      </c>
      <c r="E9" s="1070">
        <v>0.2</v>
      </c>
      <c r="F9" s="1070"/>
      <c r="G9" s="1070"/>
      <c r="H9" s="428"/>
      <c r="I9" s="428"/>
      <c r="J9" s="428"/>
      <c r="K9" s="428"/>
      <c r="L9" s="428"/>
      <c r="M9" s="428"/>
      <c r="N9" s="428">
        <f>C9*D9*E9</f>
        <v>36</v>
      </c>
      <c r="O9" s="362" t="s">
        <v>103</v>
      </c>
      <c r="P9" s="860">
        <f t="shared" si="0"/>
        <v>36</v>
      </c>
    </row>
    <row r="10" spans="1:16" s="437" customFormat="1" ht="15.75" hidden="1" customHeight="1">
      <c r="A10" s="62">
        <v>2</v>
      </c>
      <c r="B10" s="1084" t="s">
        <v>1477</v>
      </c>
      <c r="C10" s="1085"/>
      <c r="D10" s="1085"/>
      <c r="E10" s="1085"/>
      <c r="F10" s="1085"/>
      <c r="G10" s="1085"/>
      <c r="H10" s="587"/>
      <c r="I10" s="587"/>
      <c r="J10" s="587"/>
      <c r="K10" s="587"/>
      <c r="L10" s="587"/>
      <c r="M10" s="587"/>
      <c r="N10" s="587" t="e">
        <f>#REF!</f>
        <v>#REF!</v>
      </c>
      <c r="O10" s="1086" t="s">
        <v>103</v>
      </c>
      <c r="P10" s="867" t="e">
        <f t="shared" si="0"/>
        <v>#REF!</v>
      </c>
    </row>
    <row r="11" spans="1:16" ht="15.75" customHeight="1">
      <c r="A11" s="62">
        <f t="shared" ref="A11" si="1">A10+1</f>
        <v>3</v>
      </c>
      <c r="B11" s="1083" t="s">
        <v>516</v>
      </c>
      <c r="C11" s="1070">
        <f>C8</f>
        <v>15</v>
      </c>
      <c r="D11" s="1070">
        <f>D6</f>
        <v>12</v>
      </c>
      <c r="E11" s="1070">
        <v>0.1</v>
      </c>
      <c r="F11" s="1070"/>
      <c r="G11" s="1070"/>
      <c r="H11" s="428"/>
      <c r="I11" s="428"/>
      <c r="J11" s="428"/>
      <c r="K11" s="428"/>
      <c r="L11" s="428"/>
      <c r="M11" s="428"/>
      <c r="N11" s="428">
        <f>C11*D11*E11</f>
        <v>18</v>
      </c>
      <c r="O11" s="362" t="s">
        <v>103</v>
      </c>
      <c r="P11" s="860">
        <f t="shared" si="0"/>
        <v>18</v>
      </c>
    </row>
    <row r="12" spans="1:16" ht="15.75" customHeight="1">
      <c r="A12" s="62">
        <v>4</v>
      </c>
      <c r="B12" s="328" t="s">
        <v>517</v>
      </c>
      <c r="C12" s="1070"/>
      <c r="D12" s="1070"/>
      <c r="E12" s="1070"/>
      <c r="F12" s="1070"/>
      <c r="G12" s="1070"/>
      <c r="H12" s="428"/>
      <c r="I12" s="428"/>
      <c r="J12" s="428"/>
      <c r="K12" s="428"/>
      <c r="L12" s="428"/>
      <c r="M12" s="428"/>
      <c r="N12" s="390">
        <f>N11</f>
        <v>18</v>
      </c>
      <c r="O12" s="362" t="s">
        <v>103</v>
      </c>
      <c r="P12" s="860">
        <f t="shared" si="0"/>
        <v>18</v>
      </c>
    </row>
    <row r="13" spans="1:16" ht="15.75" customHeight="1">
      <c r="A13" s="62">
        <v>5</v>
      </c>
      <c r="B13" s="328" t="s">
        <v>496</v>
      </c>
      <c r="C13" s="1070">
        <f>C11</f>
        <v>15</v>
      </c>
      <c r="D13" s="1070">
        <f>D11</f>
        <v>12</v>
      </c>
      <c r="E13" s="1070">
        <v>0.05</v>
      </c>
      <c r="F13" s="1070"/>
      <c r="G13" s="1070"/>
      <c r="H13" s="428"/>
      <c r="I13" s="428"/>
      <c r="J13" s="428"/>
      <c r="K13" s="428"/>
      <c r="L13" s="428"/>
      <c r="M13" s="428"/>
      <c r="N13" s="428">
        <f>C13*D13*E13</f>
        <v>9</v>
      </c>
      <c r="O13" s="362" t="s">
        <v>103</v>
      </c>
      <c r="P13" s="860">
        <f t="shared" si="0"/>
        <v>9</v>
      </c>
    </row>
    <row r="14" spans="1:16" ht="15.75" customHeight="1">
      <c r="A14" s="62">
        <v>6</v>
      </c>
      <c r="B14" s="1083" t="s">
        <v>3354</v>
      </c>
      <c r="C14" s="1070"/>
      <c r="D14" s="1070"/>
      <c r="E14" s="1070"/>
      <c r="F14" s="1070"/>
      <c r="G14" s="1070"/>
      <c r="H14" s="428"/>
      <c r="I14" s="428"/>
      <c r="J14" s="428"/>
      <c r="K14" s="428"/>
      <c r="L14" s="428"/>
      <c r="M14" s="428"/>
      <c r="N14" s="390"/>
      <c r="O14" s="85"/>
      <c r="P14" s="860"/>
    </row>
    <row r="15" spans="1:16" ht="15.75" customHeight="1">
      <c r="A15" s="460" t="s">
        <v>95</v>
      </c>
      <c r="B15" s="1083" t="s">
        <v>221</v>
      </c>
      <c r="C15" s="1070">
        <f>C11</f>
        <v>15</v>
      </c>
      <c r="D15" s="1070"/>
      <c r="E15" s="1070">
        <v>0.15</v>
      </c>
      <c r="F15" s="1070"/>
      <c r="G15" s="1070"/>
      <c r="H15" s="428">
        <v>2</v>
      </c>
      <c r="I15" s="428"/>
      <c r="J15" s="428"/>
      <c r="K15" s="428"/>
      <c r="L15" s="428"/>
      <c r="M15" s="428"/>
      <c r="N15" s="390">
        <f>C15*E15*H15</f>
        <v>4.5</v>
      </c>
      <c r="O15" s="84" t="s">
        <v>89</v>
      </c>
      <c r="P15" s="860">
        <f>ROUND((N15),2)</f>
        <v>4.5</v>
      </c>
    </row>
    <row r="16" spans="1:16" ht="15.75" customHeight="1">
      <c r="A16" s="460" t="s">
        <v>98</v>
      </c>
      <c r="B16" s="71" t="s">
        <v>1478</v>
      </c>
      <c r="C16" s="1070">
        <f>C8</f>
        <v>15</v>
      </c>
      <c r="D16" s="1070">
        <f>D9+0.2</f>
        <v>12.2</v>
      </c>
      <c r="E16" s="1070"/>
      <c r="F16" s="1070"/>
      <c r="G16" s="1070"/>
      <c r="H16" s="428"/>
      <c r="I16" s="428"/>
      <c r="J16" s="428"/>
      <c r="K16" s="428"/>
      <c r="L16" s="428"/>
      <c r="M16" s="428"/>
      <c r="N16" s="390">
        <f>C16*D16</f>
        <v>183</v>
      </c>
      <c r="O16" s="84" t="s">
        <v>89</v>
      </c>
      <c r="P16" s="860">
        <f>ROUND((N16),2)</f>
        <v>183</v>
      </c>
    </row>
    <row r="17" spans="1:16" ht="27.75" customHeight="1">
      <c r="A17" s="460" t="s">
        <v>101</v>
      </c>
      <c r="B17" s="1087" t="s">
        <v>1481</v>
      </c>
      <c r="C17" s="1070">
        <f>C9</f>
        <v>15</v>
      </c>
      <c r="D17" s="1070">
        <f>D9</f>
        <v>12</v>
      </c>
      <c r="E17" s="1070">
        <v>0.15</v>
      </c>
      <c r="F17" s="1070"/>
      <c r="G17" s="1070"/>
      <c r="H17" s="428"/>
      <c r="I17" s="428"/>
      <c r="J17" s="428"/>
      <c r="K17" s="428"/>
      <c r="L17" s="428"/>
      <c r="M17" s="428"/>
      <c r="N17" s="390">
        <f>C17*D17*E17</f>
        <v>27</v>
      </c>
      <c r="O17" s="362" t="s">
        <v>103</v>
      </c>
      <c r="P17" s="860">
        <f t="shared" ref="P17:P18" si="2">ROUND((N17),2)</f>
        <v>27</v>
      </c>
    </row>
    <row r="18" spans="1:16" ht="15.75" customHeight="1">
      <c r="A18" s="460" t="s">
        <v>121</v>
      </c>
      <c r="B18" s="71" t="s">
        <v>218</v>
      </c>
      <c r="C18" s="1070"/>
      <c r="D18" s="1070"/>
      <c r="E18" s="1070"/>
      <c r="F18" s="1070"/>
      <c r="G18" s="1070"/>
      <c r="H18" s="428"/>
      <c r="I18" s="428"/>
      <c r="J18" s="428"/>
      <c r="K18" s="428"/>
      <c r="L18" s="428"/>
      <c r="M18" s="428"/>
      <c r="N18" s="390">
        <f>N17</f>
        <v>27</v>
      </c>
      <c r="O18" s="362" t="s">
        <v>103</v>
      </c>
      <c r="P18" s="860">
        <f t="shared" si="2"/>
        <v>27</v>
      </c>
    </row>
    <row r="19" spans="1:16" ht="15.75" customHeight="1">
      <c r="A19" s="1088"/>
      <c r="B19" s="71"/>
      <c r="C19" s="1070"/>
      <c r="D19" s="1070"/>
      <c r="E19" s="1070"/>
      <c r="F19" s="1070"/>
      <c r="G19" s="1070"/>
      <c r="H19" s="428"/>
      <c r="I19" s="428"/>
      <c r="J19" s="428"/>
      <c r="K19" s="428"/>
      <c r="L19" s="428"/>
      <c r="M19" s="428"/>
      <c r="N19" s="390"/>
      <c r="O19" s="85"/>
      <c r="P19" s="860"/>
    </row>
    <row r="20" spans="1:16" s="437" customFormat="1" ht="15.75" hidden="1" customHeight="1">
      <c r="A20" s="881" t="e">
        <f>#REF!+1</f>
        <v>#REF!</v>
      </c>
      <c r="B20" s="1089" t="s">
        <v>1358</v>
      </c>
      <c r="C20" s="1085"/>
      <c r="D20" s="1085"/>
      <c r="E20" s="1085"/>
      <c r="F20" s="1085"/>
      <c r="G20" s="1085"/>
      <c r="H20" s="587"/>
      <c r="I20" s="587"/>
      <c r="J20" s="587"/>
      <c r="K20" s="587"/>
      <c r="L20" s="587"/>
      <c r="M20" s="587"/>
      <c r="N20" s="587"/>
      <c r="O20" s="1086"/>
      <c r="P20" s="867"/>
    </row>
    <row r="21" spans="1:16" s="437" customFormat="1" ht="15.75" hidden="1" customHeight="1">
      <c r="A21" s="1090" t="s">
        <v>95</v>
      </c>
      <c r="B21" s="1089" t="s">
        <v>851</v>
      </c>
      <c r="C21" s="1085" t="e">
        <f>#REF!</f>
        <v>#REF!</v>
      </c>
      <c r="D21" s="1085">
        <v>0.15</v>
      </c>
      <c r="E21" s="1085">
        <v>0.1</v>
      </c>
      <c r="F21" s="1085"/>
      <c r="G21" s="1085"/>
      <c r="H21" s="587"/>
      <c r="I21" s="587"/>
      <c r="J21" s="587"/>
      <c r="K21" s="587"/>
      <c r="L21" s="587"/>
      <c r="M21" s="587"/>
      <c r="N21" s="587" t="e">
        <f>C21*D21*E21</f>
        <v>#REF!</v>
      </c>
      <c r="O21" s="1086" t="s">
        <v>103</v>
      </c>
      <c r="P21" s="867" t="e">
        <f>ROUND((N21),2)</f>
        <v>#REF!</v>
      </c>
    </row>
    <row r="22" spans="1:16" s="437" customFormat="1" ht="15.75" hidden="1" customHeight="1">
      <c r="A22" s="1090" t="s">
        <v>98</v>
      </c>
      <c r="B22" s="1089" t="s">
        <v>777</v>
      </c>
      <c r="C22" s="1085" t="e">
        <f>C21</f>
        <v>#REF!</v>
      </c>
      <c r="D22" s="1085"/>
      <c r="E22" s="1085">
        <v>0.3</v>
      </c>
      <c r="F22" s="1085"/>
      <c r="G22" s="1085"/>
      <c r="H22" s="587"/>
      <c r="I22" s="587"/>
      <c r="J22" s="587"/>
      <c r="K22" s="587"/>
      <c r="L22" s="587"/>
      <c r="M22" s="587"/>
      <c r="N22" s="587" t="e">
        <f>C22*E22</f>
        <v>#REF!</v>
      </c>
      <c r="O22" s="439" t="s">
        <v>89</v>
      </c>
      <c r="P22" s="867" t="e">
        <f>ROUND((N22),2)</f>
        <v>#REF!</v>
      </c>
    </row>
    <row r="23" spans="1:16" s="437" customFormat="1" ht="15.75" hidden="1" customHeight="1">
      <c r="A23" s="1090" t="s">
        <v>101</v>
      </c>
      <c r="B23" s="1089" t="s">
        <v>193</v>
      </c>
      <c r="C23" s="1085"/>
      <c r="D23" s="1085"/>
      <c r="E23" s="1085"/>
      <c r="F23" s="1085"/>
      <c r="G23" s="1085"/>
      <c r="H23" s="587"/>
      <c r="I23" s="587"/>
      <c r="J23" s="587"/>
      <c r="K23" s="587"/>
      <c r="L23" s="587"/>
      <c r="M23" s="587"/>
      <c r="N23" s="587"/>
      <c r="O23" s="1086"/>
      <c r="P23" s="867"/>
    </row>
    <row r="24" spans="1:16" s="437" customFormat="1" ht="15.75" hidden="1" customHeight="1">
      <c r="A24" s="1090"/>
      <c r="B24" s="1091" t="s">
        <v>1345</v>
      </c>
      <c r="C24" s="1085" t="e">
        <f>C22</f>
        <v>#REF!</v>
      </c>
      <c r="D24" s="587">
        <v>0.1</v>
      </c>
      <c r="E24" s="587"/>
      <c r="F24" s="1085"/>
      <c r="G24" s="1085"/>
      <c r="H24" s="587"/>
      <c r="I24" s="587"/>
      <c r="J24" s="587"/>
      <c r="K24" s="587"/>
      <c r="L24" s="587"/>
      <c r="M24" s="587"/>
      <c r="N24" s="587" t="e">
        <f>C24*D24</f>
        <v>#REF!</v>
      </c>
      <c r="O24" s="1086"/>
      <c r="P24" s="867"/>
    </row>
    <row r="25" spans="1:16" s="437" customFormat="1" ht="15.75" hidden="1" customHeight="1">
      <c r="A25" s="1090"/>
      <c r="B25" s="1091" t="s">
        <v>1451</v>
      </c>
      <c r="C25" s="1085" t="e">
        <f>C24</f>
        <v>#REF!</v>
      </c>
      <c r="D25" s="587"/>
      <c r="E25" s="587">
        <f>0.1+0.2</f>
        <v>0.30000000000000004</v>
      </c>
      <c r="F25" s="1085"/>
      <c r="G25" s="1085"/>
      <c r="H25" s="587"/>
      <c r="I25" s="587"/>
      <c r="J25" s="587"/>
      <c r="K25" s="587"/>
      <c r="L25" s="587"/>
      <c r="M25" s="587"/>
      <c r="N25" s="587" t="e">
        <f>C25*E25</f>
        <v>#REF!</v>
      </c>
      <c r="O25" s="1086"/>
      <c r="P25" s="867"/>
    </row>
    <row r="26" spans="1:16" s="437" customFormat="1" ht="15.75" hidden="1" customHeight="1">
      <c r="A26" s="1090"/>
      <c r="B26" s="1089"/>
      <c r="C26" s="1085"/>
      <c r="D26" s="1085"/>
      <c r="E26" s="1085"/>
      <c r="F26" s="1085"/>
      <c r="G26" s="1085"/>
      <c r="H26" s="587"/>
      <c r="I26" s="587"/>
      <c r="J26" s="587"/>
      <c r="K26" s="587"/>
      <c r="L26" s="587"/>
      <c r="M26" s="587"/>
      <c r="N26" s="436" t="e">
        <f>SUM(N24:N25)</f>
        <v>#REF!</v>
      </c>
      <c r="O26" s="439" t="s">
        <v>89</v>
      </c>
      <c r="P26" s="867" t="e">
        <f>ROUND((N26),2)</f>
        <v>#REF!</v>
      </c>
    </row>
    <row r="27" spans="1:16" s="437" customFormat="1" ht="15.75" hidden="1" customHeight="1">
      <c r="A27" s="1090" t="s">
        <v>121</v>
      </c>
      <c r="B27" s="1089" t="s">
        <v>857</v>
      </c>
      <c r="C27" s="1085"/>
      <c r="D27" s="1085"/>
      <c r="E27" s="1085"/>
      <c r="F27" s="1085"/>
      <c r="G27" s="1085"/>
      <c r="H27" s="587"/>
      <c r="I27" s="587"/>
      <c r="J27" s="587"/>
      <c r="K27" s="587"/>
      <c r="L27" s="587"/>
      <c r="M27" s="587"/>
      <c r="N27" s="587" t="e">
        <f>N26</f>
        <v>#REF!</v>
      </c>
      <c r="O27" s="439" t="s">
        <v>89</v>
      </c>
      <c r="P27" s="867" t="e">
        <f>ROUND((N27),2)</f>
        <v>#REF!</v>
      </c>
    </row>
    <row r="28" spans="1:16" s="437" customFormat="1" ht="15.75" hidden="1" customHeight="1">
      <c r="A28" s="1090" t="s">
        <v>142</v>
      </c>
      <c r="B28" s="1089" t="s">
        <v>858</v>
      </c>
      <c r="C28" s="1085" t="e">
        <f>C24</f>
        <v>#REF!</v>
      </c>
      <c r="D28" s="1085"/>
      <c r="E28" s="1085"/>
      <c r="F28" s="1085"/>
      <c r="G28" s="1085"/>
      <c r="H28" s="587">
        <v>1</v>
      </c>
      <c r="I28" s="587"/>
      <c r="J28" s="587"/>
      <c r="K28" s="587"/>
      <c r="L28" s="587"/>
      <c r="M28" s="587"/>
      <c r="N28" s="587" t="e">
        <f>C28*H28</f>
        <v>#REF!</v>
      </c>
      <c r="O28" s="1092" t="s">
        <v>117</v>
      </c>
      <c r="P28" s="867" t="e">
        <f>ROUND((N28),2)</f>
        <v>#REF!</v>
      </c>
    </row>
    <row r="29" spans="1:16" ht="15.75" customHeight="1" thickBot="1">
      <c r="A29" s="1093"/>
      <c r="B29" s="1094"/>
      <c r="C29" s="917"/>
      <c r="D29" s="917"/>
      <c r="E29" s="917"/>
      <c r="F29" s="917"/>
      <c r="G29" s="917"/>
      <c r="H29" s="917"/>
      <c r="I29" s="917"/>
      <c r="J29" s="917"/>
      <c r="K29" s="917"/>
      <c r="L29" s="917"/>
      <c r="M29" s="917"/>
      <c r="N29" s="917"/>
      <c r="O29" s="941"/>
      <c r="P29" s="1095"/>
    </row>
    <row r="30" spans="1:16" ht="15.75" customHeight="1"/>
    <row r="31" spans="1:16" ht="15.75" customHeight="1"/>
    <row r="32" spans="1:1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</sheetData>
  <mergeCells count="15">
    <mergeCell ref="F1:F2"/>
    <mergeCell ref="A1:A2"/>
    <mergeCell ref="B1:B2"/>
    <mergeCell ref="C1:C2"/>
    <mergeCell ref="D1:D2"/>
    <mergeCell ref="E1:E2"/>
    <mergeCell ref="N1:N2"/>
    <mergeCell ref="O1:O2"/>
    <mergeCell ref="P1:P2"/>
    <mergeCell ref="G1:G2"/>
    <mergeCell ref="H1:H2"/>
    <mergeCell ref="I1:I2"/>
    <mergeCell ref="J1:K1"/>
    <mergeCell ref="L1:L2"/>
    <mergeCell ref="M1:M2"/>
  </mergeCells>
  <pageMargins left="0.7" right="0.7" top="0.75" bottom="0.75" header="0.3" footer="0.3"/>
  <pageSetup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X787"/>
  <sheetViews>
    <sheetView topLeftCell="A3" zoomScale="70" zoomScaleNormal="70" workbookViewId="0">
      <pane ySplit="2" topLeftCell="A152" activePane="bottomLeft" state="frozen"/>
      <selection activeCell="F3" sqref="F3"/>
      <selection pane="bottomLeft" activeCell="J197" sqref="J197"/>
    </sheetView>
  </sheetViews>
  <sheetFormatPr baseColWidth="10" defaultColWidth="9.1640625" defaultRowHeight="14"/>
  <cols>
    <col min="1" max="1" width="9.1640625" style="554"/>
    <col min="2" max="2" width="53.1640625" style="554" customWidth="1"/>
    <col min="3" max="5" width="12.5" style="554" customWidth="1"/>
    <col min="6" max="12" width="10.5" style="554" customWidth="1"/>
    <col min="13" max="13" width="8.5" style="554" customWidth="1"/>
    <col min="14" max="14" width="14.5" style="554" customWidth="1"/>
    <col min="15" max="15" width="6.5" style="554" customWidth="1"/>
    <col min="16" max="16" width="15.5" style="554" customWidth="1"/>
    <col min="17" max="17" width="18.1640625" style="554" customWidth="1"/>
    <col min="18" max="18" width="11.83203125" style="554" customWidth="1"/>
    <col min="19" max="20" width="9.1640625" style="554"/>
    <col min="21" max="21" width="12.1640625" style="554" customWidth="1"/>
    <col min="22" max="24" width="9.1640625" style="554"/>
    <col min="25" max="25" width="12.5" style="554" customWidth="1"/>
    <col min="26" max="16384" width="9.1640625" style="554"/>
  </cols>
  <sheetData>
    <row r="1" spans="1:24" ht="24" customHeight="1">
      <c r="A1" s="398" t="s">
        <v>998</v>
      </c>
      <c r="B1" s="398"/>
      <c r="C1" s="398"/>
      <c r="D1" s="398"/>
      <c r="E1" s="398"/>
      <c r="F1" s="398"/>
      <c r="G1" s="398"/>
      <c r="H1" s="398"/>
      <c r="I1" s="398"/>
      <c r="J1" s="398"/>
      <c r="K1" s="398"/>
      <c r="L1" s="398"/>
      <c r="M1" s="398"/>
      <c r="N1" s="398"/>
      <c r="O1" s="398"/>
      <c r="P1" s="398"/>
      <c r="Q1" s="398"/>
      <c r="R1" s="398"/>
      <c r="S1" s="398"/>
      <c r="T1" s="398"/>
      <c r="U1" s="398"/>
      <c r="V1" s="555"/>
      <c r="W1" s="555"/>
      <c r="X1" s="555"/>
    </row>
    <row r="2" spans="1:24" ht="15.75" customHeight="1">
      <c r="A2" s="398"/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398"/>
      <c r="M2" s="398"/>
      <c r="N2" s="398"/>
      <c r="O2" s="398"/>
      <c r="P2" s="398"/>
      <c r="Q2" s="398"/>
      <c r="R2" s="398"/>
      <c r="S2" s="398"/>
      <c r="T2" s="398"/>
      <c r="U2" s="398"/>
      <c r="V2" s="555"/>
      <c r="W2" s="555"/>
      <c r="X2" s="555"/>
    </row>
    <row r="3" spans="1:24" ht="21.75" customHeight="1">
      <c r="A3" s="3245" t="s">
        <v>1</v>
      </c>
      <c r="B3" s="3246" t="s">
        <v>68</v>
      </c>
      <c r="C3" s="3246" t="s">
        <v>77</v>
      </c>
      <c r="D3" s="3246" t="s">
        <v>78</v>
      </c>
      <c r="E3" s="3246" t="s">
        <v>79</v>
      </c>
      <c r="F3" s="3246" t="s">
        <v>6</v>
      </c>
      <c r="G3" s="3246" t="s">
        <v>999</v>
      </c>
      <c r="H3" s="3246" t="s">
        <v>977</v>
      </c>
      <c r="I3" s="3246" t="s">
        <v>978</v>
      </c>
      <c r="J3" s="3246" t="s">
        <v>1000</v>
      </c>
      <c r="K3" s="3246"/>
      <c r="L3" s="3246" t="s">
        <v>213</v>
      </c>
      <c r="M3" s="3246" t="s">
        <v>80</v>
      </c>
      <c r="N3" s="3246" t="s">
        <v>81</v>
      </c>
      <c r="O3" s="3246" t="s">
        <v>82</v>
      </c>
      <c r="P3" s="3247" t="s">
        <v>83</v>
      </c>
      <c r="Q3" s="398"/>
      <c r="R3" s="398"/>
      <c r="S3" s="398"/>
      <c r="T3" s="398"/>
      <c r="U3" s="398"/>
      <c r="V3" s="555"/>
      <c r="W3" s="555"/>
      <c r="X3" s="555"/>
    </row>
    <row r="4" spans="1:24" ht="21.75" customHeight="1">
      <c r="A4" s="3245"/>
      <c r="B4" s="3246"/>
      <c r="C4" s="3246"/>
      <c r="D4" s="3246"/>
      <c r="E4" s="3246"/>
      <c r="F4" s="3246"/>
      <c r="G4" s="3246"/>
      <c r="H4" s="3246"/>
      <c r="I4" s="3246"/>
      <c r="J4" s="556" t="s">
        <v>1001</v>
      </c>
      <c r="K4" s="556" t="s">
        <v>1002</v>
      </c>
      <c r="L4" s="3246"/>
      <c r="M4" s="3246"/>
      <c r="N4" s="3246"/>
      <c r="O4" s="3246"/>
      <c r="P4" s="3247"/>
      <c r="Q4" s="398"/>
      <c r="R4" s="398"/>
      <c r="S4" s="398"/>
      <c r="T4" s="398"/>
      <c r="U4" s="398"/>
      <c r="V4" s="555"/>
      <c r="W4" s="555"/>
      <c r="X4" s="555"/>
    </row>
    <row r="5" spans="1:24" ht="7.5" customHeight="1">
      <c r="A5" s="398"/>
      <c r="B5" s="398"/>
      <c r="C5" s="398"/>
      <c r="D5" s="398"/>
      <c r="E5" s="398"/>
      <c r="F5" s="398"/>
      <c r="G5" s="398"/>
      <c r="H5" s="398"/>
      <c r="I5" s="398"/>
      <c r="J5" s="398"/>
      <c r="K5" s="398"/>
      <c r="L5" s="398"/>
      <c r="M5" s="398"/>
      <c r="N5" s="398"/>
      <c r="O5" s="398"/>
      <c r="P5" s="557"/>
      <c r="Q5" s="398"/>
      <c r="R5" s="398"/>
      <c r="S5" s="398"/>
      <c r="T5" s="398"/>
      <c r="U5" s="398"/>
      <c r="V5" s="555"/>
      <c r="W5" s="555"/>
      <c r="X5" s="555"/>
    </row>
    <row r="6" spans="1:24" ht="7.5" customHeight="1">
      <c r="A6" s="558"/>
      <c r="B6" s="559"/>
      <c r="C6" s="559"/>
      <c r="D6" s="559"/>
      <c r="E6" s="559"/>
      <c r="F6" s="559"/>
      <c r="G6" s="559"/>
      <c r="H6" s="559"/>
      <c r="I6" s="559"/>
      <c r="J6" s="559"/>
      <c r="K6" s="559"/>
      <c r="L6" s="559"/>
      <c r="M6" s="559"/>
      <c r="N6" s="559"/>
      <c r="O6" s="559"/>
      <c r="P6" s="560"/>
      <c r="Q6" s="398"/>
      <c r="R6" s="398"/>
      <c r="S6" s="398"/>
      <c r="T6" s="398"/>
      <c r="U6" s="398"/>
      <c r="V6" s="555"/>
      <c r="W6" s="555"/>
      <c r="X6" s="555"/>
    </row>
    <row r="7" spans="1:24" ht="15.75" customHeight="1">
      <c r="A7" s="346"/>
      <c r="B7" s="561" t="s">
        <v>1003</v>
      </c>
      <c r="C7" s="348"/>
      <c r="D7" s="348"/>
      <c r="E7" s="348"/>
      <c r="F7" s="348"/>
      <c r="G7" s="348"/>
      <c r="H7" s="348"/>
      <c r="I7" s="348"/>
      <c r="J7" s="348"/>
      <c r="K7" s="348"/>
      <c r="L7" s="348"/>
      <c r="M7" s="348"/>
      <c r="N7" s="348"/>
      <c r="O7" s="349"/>
      <c r="P7" s="562"/>
      <c r="Q7" s="398"/>
      <c r="R7" s="398"/>
      <c r="S7" s="398"/>
      <c r="T7" s="398"/>
      <c r="U7" s="398"/>
      <c r="V7" s="555"/>
      <c r="W7" s="555"/>
      <c r="X7" s="555"/>
    </row>
    <row r="8" spans="1:24" ht="15.75" customHeight="1">
      <c r="A8" s="346" t="s">
        <v>1004</v>
      </c>
      <c r="B8" s="561" t="s">
        <v>395</v>
      </c>
      <c r="C8" s="348"/>
      <c r="D8" s="348"/>
      <c r="E8" s="348"/>
      <c r="F8" s="348"/>
      <c r="G8" s="348"/>
      <c r="H8" s="348"/>
      <c r="I8" s="348"/>
      <c r="J8" s="348"/>
      <c r="K8" s="348"/>
      <c r="L8" s="348"/>
      <c r="M8" s="348"/>
      <c r="N8" s="348"/>
      <c r="O8" s="349"/>
      <c r="P8" s="563"/>
      <c r="Q8" s="398"/>
      <c r="R8" s="564"/>
      <c r="S8" s="398"/>
      <c r="T8" s="398"/>
      <c r="U8" s="398"/>
      <c r="V8" s="555"/>
      <c r="W8" s="555"/>
      <c r="X8" s="555"/>
    </row>
    <row r="9" spans="1:24" ht="15.75" customHeight="1">
      <c r="A9" s="350">
        <v>1</v>
      </c>
      <c r="B9" s="359" t="s">
        <v>396</v>
      </c>
      <c r="C9" s="348" t="s">
        <v>1005</v>
      </c>
      <c r="D9" s="348"/>
      <c r="E9" s="348"/>
      <c r="F9" s="348"/>
      <c r="G9" s="348"/>
      <c r="H9" s="348"/>
      <c r="I9" s="348"/>
      <c r="J9" s="348"/>
      <c r="K9" s="348"/>
      <c r="L9" s="348"/>
      <c r="M9" s="348"/>
      <c r="N9" s="348"/>
      <c r="O9" s="349"/>
      <c r="P9" s="563"/>
      <c r="Q9" s="398"/>
      <c r="R9" s="564"/>
      <c r="S9" s="398"/>
      <c r="T9" s="398"/>
      <c r="U9" s="398"/>
      <c r="V9" s="555"/>
      <c r="W9" s="555"/>
      <c r="X9" s="555"/>
    </row>
    <row r="10" spans="1:24" ht="15.75" customHeight="1">
      <c r="A10" s="350"/>
      <c r="B10" s="359"/>
      <c r="C10" s="348">
        <f>(5+1)</f>
        <v>6</v>
      </c>
      <c r="D10" s="348"/>
      <c r="E10" s="348"/>
      <c r="F10" s="348"/>
      <c r="G10" s="348"/>
      <c r="H10" s="348">
        <v>2</v>
      </c>
      <c r="I10" s="348"/>
      <c r="J10" s="348"/>
      <c r="K10" s="348"/>
      <c r="L10" s="348"/>
      <c r="M10" s="348"/>
      <c r="N10" s="348">
        <f>C10*H10</f>
        <v>12</v>
      </c>
      <c r="O10" s="349"/>
      <c r="P10" s="563"/>
      <c r="Q10" s="398"/>
      <c r="R10" s="564"/>
      <c r="S10" s="398"/>
      <c r="T10" s="398"/>
      <c r="U10" s="398"/>
      <c r="V10" s="555"/>
      <c r="W10" s="555"/>
      <c r="X10" s="555"/>
    </row>
    <row r="11" spans="1:24" ht="15.75" customHeight="1">
      <c r="A11" s="350"/>
      <c r="B11" s="359"/>
      <c r="C11" s="348"/>
      <c r="D11" s="348">
        <f>4+1</f>
        <v>5</v>
      </c>
      <c r="E11" s="348"/>
      <c r="F11" s="348"/>
      <c r="G11" s="348"/>
      <c r="H11" s="348">
        <v>2</v>
      </c>
      <c r="I11" s="348"/>
      <c r="J11" s="348"/>
      <c r="K11" s="348"/>
      <c r="L11" s="348"/>
      <c r="M11" s="348"/>
      <c r="N11" s="565">
        <f>D11*H11</f>
        <v>10</v>
      </c>
      <c r="O11" s="349"/>
      <c r="P11" s="563"/>
      <c r="Q11" s="398"/>
      <c r="R11" s="564"/>
      <c r="S11" s="398"/>
      <c r="T11" s="398"/>
      <c r="U11" s="398"/>
      <c r="V11" s="555"/>
      <c r="W11" s="555"/>
      <c r="X11" s="555"/>
    </row>
    <row r="12" spans="1:24" ht="15.75" customHeight="1">
      <c r="A12" s="350"/>
      <c r="B12" s="359"/>
      <c r="C12" s="348"/>
      <c r="D12" s="348"/>
      <c r="E12" s="348"/>
      <c r="F12" s="348"/>
      <c r="G12" s="348"/>
      <c r="H12" s="348"/>
      <c r="I12" s="348"/>
      <c r="J12" s="348"/>
      <c r="K12" s="348"/>
      <c r="L12" s="348"/>
      <c r="M12" s="348"/>
      <c r="N12" s="343">
        <f>SUM(N10:N11)</f>
        <v>22</v>
      </c>
      <c r="O12" s="349" t="s">
        <v>89</v>
      </c>
      <c r="P12" s="563">
        <f>ROUND((N12),2)</f>
        <v>22</v>
      </c>
      <c r="Q12" s="398"/>
      <c r="R12" s="564"/>
      <c r="S12" s="398"/>
      <c r="T12" s="398"/>
      <c r="U12" s="398"/>
      <c r="V12" s="555"/>
      <c r="W12" s="555"/>
      <c r="X12" s="555"/>
    </row>
    <row r="13" spans="1:24" ht="15.75" customHeight="1">
      <c r="A13" s="353">
        <f>A9+1</f>
        <v>2</v>
      </c>
      <c r="B13" s="354" t="s">
        <v>397</v>
      </c>
      <c r="C13" s="566"/>
      <c r="D13" s="343"/>
      <c r="E13" s="343"/>
      <c r="F13" s="343"/>
      <c r="G13" s="343"/>
      <c r="H13" s="343"/>
      <c r="I13" s="343"/>
      <c r="J13" s="343"/>
      <c r="K13" s="343"/>
      <c r="L13" s="343"/>
      <c r="M13" s="343"/>
      <c r="N13" s="343"/>
      <c r="O13" s="349"/>
      <c r="P13" s="563"/>
      <c r="Q13" s="398"/>
      <c r="R13" s="564"/>
      <c r="S13" s="398"/>
      <c r="T13" s="398"/>
      <c r="U13" s="398"/>
      <c r="V13" s="555"/>
      <c r="W13" s="555"/>
      <c r="X13" s="555"/>
    </row>
    <row r="14" spans="1:24" ht="15.75" customHeight="1">
      <c r="A14" s="402" t="s">
        <v>95</v>
      </c>
      <c r="B14" s="354" t="s">
        <v>398</v>
      </c>
      <c r="C14" s="343">
        <f>0.8+0.1+0.1</f>
        <v>1</v>
      </c>
      <c r="D14" s="343">
        <f>C14</f>
        <v>1</v>
      </c>
      <c r="E14" s="343">
        <f>0.8+0.3+0.03+0.07</f>
        <v>1.2000000000000002</v>
      </c>
      <c r="F14" s="343"/>
      <c r="G14" s="343"/>
      <c r="H14" s="343"/>
      <c r="I14" s="343"/>
      <c r="J14" s="343"/>
      <c r="K14" s="343"/>
      <c r="L14" s="343"/>
      <c r="M14" s="343">
        <v>4</v>
      </c>
      <c r="N14" s="343">
        <f>C14*D14*E14*M14</f>
        <v>4.8000000000000007</v>
      </c>
      <c r="O14" s="349" t="s">
        <v>103</v>
      </c>
      <c r="P14" s="563">
        <f t="shared" ref="P14:P20" si="0">ROUND((N14),2)</f>
        <v>4.8</v>
      </c>
      <c r="Q14" s="398"/>
      <c r="R14" s="564"/>
      <c r="S14" s="398"/>
      <c r="T14" s="398"/>
      <c r="U14" s="398"/>
      <c r="V14" s="555"/>
      <c r="W14" s="555"/>
      <c r="X14" s="555"/>
    </row>
    <row r="15" spans="1:24" ht="15.75" customHeight="1">
      <c r="A15" s="402" t="s">
        <v>98</v>
      </c>
      <c r="B15" s="354" t="s">
        <v>399</v>
      </c>
      <c r="C15" s="343">
        <f>C14</f>
        <v>1</v>
      </c>
      <c r="D15" s="343">
        <f>D14</f>
        <v>1</v>
      </c>
      <c r="E15" s="343">
        <v>7.0000000000000007E-2</v>
      </c>
      <c r="F15" s="343"/>
      <c r="G15" s="343"/>
      <c r="H15" s="343"/>
      <c r="I15" s="343"/>
      <c r="J15" s="343"/>
      <c r="K15" s="343"/>
      <c r="L15" s="343"/>
      <c r="M15" s="343">
        <f t="shared" ref="M15:M20" si="1">M14</f>
        <v>4</v>
      </c>
      <c r="N15" s="343">
        <f>C15*D15*E15*M15</f>
        <v>0.28000000000000003</v>
      </c>
      <c r="O15" s="349" t="s">
        <v>103</v>
      </c>
      <c r="P15" s="563">
        <f t="shared" si="0"/>
        <v>0.28000000000000003</v>
      </c>
      <c r="Q15" s="398"/>
      <c r="R15" s="564"/>
      <c r="S15" s="398"/>
      <c r="T15" s="398"/>
      <c r="U15" s="398"/>
      <c r="V15" s="555"/>
      <c r="W15" s="555"/>
      <c r="X15" s="555"/>
    </row>
    <row r="16" spans="1:24" ht="15.75" customHeight="1">
      <c r="A16" s="402" t="s">
        <v>101</v>
      </c>
      <c r="B16" s="354" t="s">
        <v>400</v>
      </c>
      <c r="C16" s="343">
        <f>C15</f>
        <v>1</v>
      </c>
      <c r="D16" s="343">
        <f>D15</f>
        <v>1</v>
      </c>
      <c r="E16" s="343">
        <v>0.03</v>
      </c>
      <c r="F16" s="343"/>
      <c r="G16" s="343"/>
      <c r="H16" s="343"/>
      <c r="I16" s="343"/>
      <c r="J16" s="343"/>
      <c r="K16" s="343"/>
      <c r="L16" s="343"/>
      <c r="M16" s="343">
        <f t="shared" si="1"/>
        <v>4</v>
      </c>
      <c r="N16" s="343">
        <f>C16*D16*E16*M16</f>
        <v>0.12</v>
      </c>
      <c r="O16" s="349" t="s">
        <v>103</v>
      </c>
      <c r="P16" s="563">
        <f t="shared" si="0"/>
        <v>0.12</v>
      </c>
      <c r="Q16" s="398"/>
      <c r="R16" s="564"/>
      <c r="S16" s="398"/>
      <c r="T16" s="398"/>
      <c r="U16" s="398"/>
      <c r="V16" s="555"/>
      <c r="W16" s="555"/>
      <c r="X16" s="555"/>
    </row>
    <row r="17" spans="1:24" ht="15.75" customHeight="1">
      <c r="A17" s="402" t="s">
        <v>121</v>
      </c>
      <c r="B17" s="354" t="s">
        <v>401</v>
      </c>
      <c r="C17" s="343">
        <f>C16</f>
        <v>1</v>
      </c>
      <c r="D17" s="343"/>
      <c r="E17" s="343">
        <f>E14-0.8-E15-E16</f>
        <v>0.30000000000000016</v>
      </c>
      <c r="F17" s="343"/>
      <c r="G17" s="343"/>
      <c r="H17" s="343">
        <v>4</v>
      </c>
      <c r="I17" s="343"/>
      <c r="J17" s="343"/>
      <c r="K17" s="343"/>
      <c r="L17" s="343"/>
      <c r="M17" s="343">
        <f t="shared" si="1"/>
        <v>4</v>
      </c>
      <c r="N17" s="343">
        <f>C17*E17*H17*M17</f>
        <v>4.8000000000000025</v>
      </c>
      <c r="O17" s="349" t="s">
        <v>89</v>
      </c>
      <c r="P17" s="563">
        <f t="shared" si="0"/>
        <v>4.8</v>
      </c>
      <c r="Q17" s="398"/>
      <c r="R17" s="564"/>
      <c r="S17" s="398"/>
      <c r="T17" s="398"/>
      <c r="U17" s="398"/>
      <c r="V17" s="555"/>
      <c r="W17" s="555"/>
      <c r="X17" s="555"/>
    </row>
    <row r="18" spans="1:24" ht="15.75" customHeight="1">
      <c r="A18" s="402" t="s">
        <v>142</v>
      </c>
      <c r="B18" s="354" t="s">
        <v>504</v>
      </c>
      <c r="C18" s="343">
        <f>C15-0.075*2</f>
        <v>0.85</v>
      </c>
      <c r="D18" s="343"/>
      <c r="E18" s="343"/>
      <c r="F18" s="343">
        <f>10*10*0.006165</f>
        <v>0.61650000000000005</v>
      </c>
      <c r="G18" s="343">
        <f>0.15*2</f>
        <v>0.3</v>
      </c>
      <c r="H18" s="343">
        <v>4</v>
      </c>
      <c r="I18" s="343"/>
      <c r="J18" s="343"/>
      <c r="K18" s="343"/>
      <c r="L18" s="343">
        <f>ROUNDUP((C18/0.15),0.5)</f>
        <v>6</v>
      </c>
      <c r="M18" s="343">
        <f t="shared" si="1"/>
        <v>4</v>
      </c>
      <c r="N18" s="343">
        <f>(C18+G18)*F18*H18*L18*M18</f>
        <v>68.061599999999999</v>
      </c>
      <c r="O18" s="349" t="s">
        <v>100</v>
      </c>
      <c r="P18" s="563">
        <f t="shared" si="0"/>
        <v>68.06</v>
      </c>
      <c r="Q18" s="398"/>
      <c r="R18" s="564"/>
      <c r="S18" s="398"/>
      <c r="T18" s="398"/>
      <c r="U18" s="398"/>
      <c r="V18" s="555"/>
      <c r="W18" s="555"/>
      <c r="X18" s="555"/>
    </row>
    <row r="19" spans="1:24" ht="15.75" customHeight="1">
      <c r="A19" s="402" t="s">
        <v>217</v>
      </c>
      <c r="B19" s="356" t="s">
        <v>169</v>
      </c>
      <c r="C19" s="343">
        <f>C14-0.2</f>
        <v>0.8</v>
      </c>
      <c r="D19" s="343">
        <f>D14-0.2</f>
        <v>0.8</v>
      </c>
      <c r="E19" s="343">
        <f>E17</f>
        <v>0.30000000000000016</v>
      </c>
      <c r="F19" s="343"/>
      <c r="G19" s="343"/>
      <c r="H19" s="343"/>
      <c r="I19" s="343"/>
      <c r="J19" s="343"/>
      <c r="K19" s="343"/>
      <c r="L19" s="343"/>
      <c r="M19" s="343">
        <f t="shared" si="1"/>
        <v>4</v>
      </c>
      <c r="N19" s="343">
        <f>C19*D19*E19*M19</f>
        <v>0.76800000000000057</v>
      </c>
      <c r="O19" s="349" t="s">
        <v>103</v>
      </c>
      <c r="P19" s="563">
        <f t="shared" si="0"/>
        <v>0.77</v>
      </c>
      <c r="Q19" s="398"/>
      <c r="R19" s="564"/>
      <c r="S19" s="398"/>
      <c r="T19" s="398"/>
      <c r="U19" s="398"/>
      <c r="V19" s="555"/>
      <c r="W19" s="555"/>
      <c r="X19" s="555"/>
    </row>
    <row r="20" spans="1:24" ht="15.75" customHeight="1">
      <c r="A20" s="402" t="s">
        <v>366</v>
      </c>
      <c r="B20" s="354" t="s">
        <v>383</v>
      </c>
      <c r="C20" s="343"/>
      <c r="D20" s="343"/>
      <c r="E20" s="343">
        <v>4</v>
      </c>
      <c r="F20" s="343"/>
      <c r="G20" s="343"/>
      <c r="H20" s="343"/>
      <c r="I20" s="343"/>
      <c r="J20" s="343"/>
      <c r="K20" s="343"/>
      <c r="L20" s="343">
        <v>5</v>
      </c>
      <c r="M20" s="343">
        <f t="shared" si="1"/>
        <v>4</v>
      </c>
      <c r="N20" s="343">
        <f>E20*L20*M20</f>
        <v>80</v>
      </c>
      <c r="O20" s="349" t="s">
        <v>117</v>
      </c>
      <c r="P20" s="563">
        <f t="shared" si="0"/>
        <v>80</v>
      </c>
      <c r="Q20" s="398"/>
      <c r="R20" s="564"/>
      <c r="S20" s="398"/>
      <c r="T20" s="398"/>
      <c r="U20" s="398"/>
      <c r="V20" s="555"/>
      <c r="W20" s="555"/>
      <c r="X20" s="555"/>
    </row>
    <row r="21" spans="1:24" ht="15.75" customHeight="1">
      <c r="A21" s="350">
        <f>A13+1</f>
        <v>3</v>
      </c>
      <c r="B21" s="359" t="s">
        <v>403</v>
      </c>
      <c r="C21" s="348"/>
      <c r="D21" s="348"/>
      <c r="E21" s="348"/>
      <c r="F21" s="348"/>
      <c r="G21" s="348"/>
      <c r="H21" s="348"/>
      <c r="I21" s="348"/>
      <c r="J21" s="348"/>
      <c r="K21" s="348"/>
      <c r="L21" s="348"/>
      <c r="M21" s="348"/>
      <c r="N21" s="348"/>
      <c r="O21" s="349"/>
      <c r="P21" s="563"/>
      <c r="Q21" s="398"/>
      <c r="R21" s="564"/>
      <c r="S21" s="398"/>
      <c r="T21" s="398"/>
      <c r="U21" s="398"/>
      <c r="V21" s="555"/>
      <c r="W21" s="555"/>
      <c r="X21" s="555"/>
    </row>
    <row r="22" spans="1:24" ht="15.75" customHeight="1">
      <c r="A22" s="355" t="s">
        <v>95</v>
      </c>
      <c r="B22" s="359" t="s">
        <v>930</v>
      </c>
      <c r="C22" s="348"/>
      <c r="D22" s="488"/>
      <c r="E22" s="348"/>
      <c r="F22" s="348"/>
      <c r="G22" s="348"/>
      <c r="H22" s="348"/>
      <c r="I22" s="348"/>
      <c r="J22" s="348"/>
      <c r="K22" s="348"/>
      <c r="L22" s="348"/>
      <c r="M22" s="348"/>
      <c r="N22" s="348"/>
      <c r="O22" s="349"/>
      <c r="P22" s="563"/>
      <c r="Q22" s="398"/>
      <c r="R22" s="564"/>
      <c r="S22" s="398"/>
      <c r="T22" s="398"/>
      <c r="U22" s="398"/>
      <c r="V22" s="555"/>
      <c r="W22" s="555"/>
      <c r="X22" s="555"/>
    </row>
    <row r="23" spans="1:24" ht="15.75" customHeight="1">
      <c r="A23" s="355"/>
      <c r="B23" s="567" t="s">
        <v>226</v>
      </c>
      <c r="C23" s="348">
        <v>5</v>
      </c>
      <c r="D23" s="348">
        <v>0.8</v>
      </c>
      <c r="E23" s="348">
        <f>0.8+0.07</f>
        <v>0.87000000000000011</v>
      </c>
      <c r="F23" s="348"/>
      <c r="G23" s="348"/>
      <c r="H23" s="348"/>
      <c r="I23" s="348"/>
      <c r="J23" s="348"/>
      <c r="K23" s="348"/>
      <c r="L23" s="348"/>
      <c r="M23" s="348">
        <v>2</v>
      </c>
      <c r="N23" s="348">
        <f>C23*D23*E23*M23</f>
        <v>6.9600000000000009</v>
      </c>
      <c r="O23" s="349"/>
      <c r="P23" s="563"/>
      <c r="Q23" s="398"/>
      <c r="R23" s="564"/>
      <c r="S23" s="398"/>
      <c r="T23" s="398"/>
      <c r="U23" s="398"/>
      <c r="V23" s="555"/>
      <c r="W23" s="555"/>
      <c r="X23" s="555"/>
    </row>
    <row r="24" spans="1:24" ht="15.75" customHeight="1">
      <c r="A24" s="355"/>
      <c r="B24" s="567" t="s">
        <v>227</v>
      </c>
      <c r="C24" s="348">
        <v>4</v>
      </c>
      <c r="D24" s="348">
        <f>D23</f>
        <v>0.8</v>
      </c>
      <c r="E24" s="348">
        <f>E23</f>
        <v>0.87000000000000011</v>
      </c>
      <c r="F24" s="348"/>
      <c r="G24" s="348"/>
      <c r="H24" s="348"/>
      <c r="I24" s="348"/>
      <c r="J24" s="348"/>
      <c r="K24" s="348"/>
      <c r="L24" s="348"/>
      <c r="M24" s="348">
        <v>2</v>
      </c>
      <c r="N24" s="565">
        <f>C24*D24*E24*M24</f>
        <v>5.5680000000000014</v>
      </c>
      <c r="O24" s="349"/>
      <c r="P24" s="563"/>
      <c r="Q24" s="398"/>
      <c r="R24" s="564"/>
      <c r="S24" s="398"/>
      <c r="T24" s="398"/>
      <c r="U24" s="398"/>
      <c r="V24" s="555"/>
      <c r="W24" s="555"/>
      <c r="X24" s="555"/>
    </row>
    <row r="25" spans="1:24" ht="15.75" customHeight="1">
      <c r="A25" s="355"/>
      <c r="B25" s="359"/>
      <c r="C25" s="348"/>
      <c r="D25" s="348"/>
      <c r="E25" s="348"/>
      <c r="F25" s="348"/>
      <c r="G25" s="348"/>
      <c r="H25" s="348"/>
      <c r="I25" s="348"/>
      <c r="J25" s="348"/>
      <c r="K25" s="348"/>
      <c r="L25" s="348"/>
      <c r="M25" s="348"/>
      <c r="N25" s="343">
        <f>SUM(N23:N24)</f>
        <v>12.528000000000002</v>
      </c>
      <c r="O25" s="349" t="s">
        <v>103</v>
      </c>
      <c r="P25" s="563">
        <f>ROUND((N25),2)</f>
        <v>12.53</v>
      </c>
      <c r="Q25" s="398"/>
      <c r="R25" s="564"/>
      <c r="S25" s="398"/>
      <c r="T25" s="398"/>
      <c r="U25" s="398"/>
      <c r="V25" s="555"/>
      <c r="W25" s="555"/>
      <c r="X25" s="555"/>
    </row>
    <row r="26" spans="1:24" ht="15.75" customHeight="1">
      <c r="A26" s="404" t="s">
        <v>98</v>
      </c>
      <c r="B26" s="357" t="s">
        <v>405</v>
      </c>
      <c r="C26" s="348"/>
      <c r="D26" s="348"/>
      <c r="E26" s="348"/>
      <c r="F26" s="343"/>
      <c r="G26" s="343"/>
      <c r="H26" s="348"/>
      <c r="I26" s="343"/>
      <c r="J26" s="343"/>
      <c r="K26" s="348"/>
      <c r="L26" s="348"/>
      <c r="M26" s="343"/>
      <c r="N26" s="348"/>
      <c r="O26" s="348"/>
      <c r="P26" s="563"/>
      <c r="Q26" s="398"/>
      <c r="R26" s="568"/>
      <c r="S26" s="568"/>
      <c r="T26" s="568"/>
      <c r="U26" s="398"/>
      <c r="V26" s="555"/>
      <c r="W26" s="555"/>
      <c r="X26" s="555"/>
    </row>
    <row r="27" spans="1:24" ht="15.75" customHeight="1">
      <c r="A27" s="404"/>
      <c r="B27" s="569" t="str">
        <f>B23</f>
        <v>horisontal</v>
      </c>
      <c r="C27" s="348">
        <f>C23</f>
        <v>5</v>
      </c>
      <c r="D27" s="348"/>
      <c r="E27" s="348"/>
      <c r="F27" s="343"/>
      <c r="G27" s="343"/>
      <c r="H27" s="348"/>
      <c r="I27" s="343"/>
      <c r="J27" s="343"/>
      <c r="K27" s="348"/>
      <c r="L27" s="348"/>
      <c r="M27" s="343">
        <f>M23</f>
        <v>2</v>
      </c>
      <c r="N27" s="570">
        <f>C27*M27</f>
        <v>10</v>
      </c>
      <c r="O27" s="395"/>
      <c r="P27" s="563"/>
      <c r="Q27" s="398"/>
      <c r="R27" s="568"/>
      <c r="S27" s="568"/>
      <c r="T27" s="568"/>
      <c r="U27" s="398"/>
      <c r="V27" s="555"/>
      <c r="W27" s="555"/>
      <c r="X27" s="555"/>
    </row>
    <row r="28" spans="1:24" ht="15.75" customHeight="1">
      <c r="A28" s="404"/>
      <c r="B28" s="569" t="str">
        <f>B24</f>
        <v>vertikal</v>
      </c>
      <c r="C28" s="348">
        <f>C24</f>
        <v>4</v>
      </c>
      <c r="D28" s="348"/>
      <c r="E28" s="348"/>
      <c r="F28" s="343"/>
      <c r="G28" s="343"/>
      <c r="H28" s="348"/>
      <c r="I28" s="343"/>
      <c r="J28" s="343"/>
      <c r="K28" s="348"/>
      <c r="L28" s="348"/>
      <c r="M28" s="343">
        <f>M24</f>
        <v>2</v>
      </c>
      <c r="N28" s="570">
        <f>C28*M28</f>
        <v>8</v>
      </c>
      <c r="O28" s="395"/>
      <c r="P28" s="563"/>
      <c r="Q28" s="398"/>
      <c r="R28" s="568"/>
      <c r="S28" s="568"/>
      <c r="T28" s="568"/>
      <c r="U28" s="398"/>
      <c r="V28" s="555"/>
      <c r="W28" s="555"/>
      <c r="X28" s="555"/>
    </row>
    <row r="29" spans="1:24" ht="15.75" customHeight="1">
      <c r="A29" s="404"/>
      <c r="B29" s="357"/>
      <c r="C29" s="343"/>
      <c r="D29" s="343"/>
      <c r="E29" s="343"/>
      <c r="F29" s="343"/>
      <c r="G29" s="343"/>
      <c r="H29" s="343"/>
      <c r="I29" s="343"/>
      <c r="J29" s="343"/>
      <c r="K29" s="343"/>
      <c r="L29" s="343"/>
      <c r="M29" s="343"/>
      <c r="N29" s="343">
        <f>SUM(N27:N28)</f>
        <v>18</v>
      </c>
      <c r="O29" s="395"/>
      <c r="P29" s="563"/>
      <c r="Q29" s="398"/>
      <c r="R29" s="568"/>
      <c r="S29" s="568"/>
      <c r="T29" s="568"/>
      <c r="U29" s="398"/>
      <c r="V29" s="555"/>
      <c r="W29" s="555"/>
      <c r="X29" s="555"/>
    </row>
    <row r="30" spans="1:24" ht="15.75" customHeight="1">
      <c r="A30" s="404"/>
      <c r="B30" s="569" t="s">
        <v>1006</v>
      </c>
      <c r="C30" s="343"/>
      <c r="D30" s="343"/>
      <c r="E30" s="343">
        <v>4</v>
      </c>
      <c r="F30" s="343">
        <f>N29/0.5</f>
        <v>36</v>
      </c>
      <c r="G30" s="343"/>
      <c r="H30" s="343">
        <v>2</v>
      </c>
      <c r="I30" s="343"/>
      <c r="J30" s="343"/>
      <c r="L30" s="343"/>
      <c r="M30" s="343"/>
      <c r="N30" s="343">
        <f>E30*H30*F30</f>
        <v>288</v>
      </c>
      <c r="O30" s="395" t="s">
        <v>117</v>
      </c>
      <c r="P30" s="563">
        <f>ROUND((N30),2)</f>
        <v>288</v>
      </c>
      <c r="Q30" s="398"/>
      <c r="R30" s="568"/>
      <c r="S30" s="568"/>
      <c r="T30" s="568"/>
      <c r="U30" s="398"/>
      <c r="V30" s="555"/>
      <c r="W30" s="555"/>
      <c r="X30" s="555"/>
    </row>
    <row r="31" spans="1:24" ht="15.75" customHeight="1">
      <c r="A31" s="355" t="s">
        <v>101</v>
      </c>
      <c r="B31" s="359" t="s">
        <v>406</v>
      </c>
      <c r="C31" s="348"/>
      <c r="D31" s="348"/>
      <c r="E31" s="348"/>
      <c r="F31" s="348"/>
      <c r="G31" s="348"/>
      <c r="H31" s="348"/>
      <c r="I31" s="348"/>
      <c r="J31" s="348"/>
      <c r="K31" s="348"/>
      <c r="L31" s="348"/>
      <c r="M31" s="348"/>
      <c r="N31" s="343"/>
      <c r="O31" s="349"/>
      <c r="P31" s="563"/>
      <c r="Q31" s="398"/>
      <c r="R31" s="568"/>
      <c r="S31" s="568"/>
      <c r="T31" s="568"/>
      <c r="U31" s="398"/>
      <c r="V31" s="555"/>
      <c r="W31" s="555"/>
      <c r="X31" s="555"/>
    </row>
    <row r="32" spans="1:24" ht="15.75" customHeight="1">
      <c r="A32" s="355"/>
      <c r="B32" s="567" t="str">
        <f t="shared" ref="B32:D33" si="2">B23</f>
        <v>horisontal</v>
      </c>
      <c r="C32" s="348">
        <f t="shared" si="2"/>
        <v>5</v>
      </c>
      <c r="D32" s="348">
        <f t="shared" si="2"/>
        <v>0.8</v>
      </c>
      <c r="E32" s="348">
        <f>E23-0.8</f>
        <v>7.0000000000000062E-2</v>
      </c>
      <c r="F32" s="348"/>
      <c r="G32" s="348"/>
      <c r="H32" s="348"/>
      <c r="I32" s="348"/>
      <c r="J32" s="348"/>
      <c r="K32" s="348"/>
      <c r="L32" s="348"/>
      <c r="M32" s="348">
        <f>M23</f>
        <v>2</v>
      </c>
      <c r="N32" s="348">
        <f>C32*D32*E32*M32</f>
        <v>0.5600000000000005</v>
      </c>
      <c r="O32" s="349"/>
      <c r="P32" s="563"/>
      <c r="Q32" s="398"/>
      <c r="R32" s="564"/>
      <c r="S32" s="398"/>
      <c r="T32" s="398"/>
      <c r="U32" s="398"/>
      <c r="V32" s="555"/>
      <c r="W32" s="555"/>
      <c r="X32" s="555"/>
    </row>
    <row r="33" spans="1:24" ht="15.75" customHeight="1">
      <c r="A33" s="355"/>
      <c r="B33" s="567" t="str">
        <f t="shared" si="2"/>
        <v>vertikal</v>
      </c>
      <c r="C33" s="348">
        <f t="shared" si="2"/>
        <v>4</v>
      </c>
      <c r="D33" s="348">
        <f t="shared" si="2"/>
        <v>0.8</v>
      </c>
      <c r="E33" s="348">
        <f>E32</f>
        <v>7.0000000000000062E-2</v>
      </c>
      <c r="F33" s="348"/>
      <c r="G33" s="348"/>
      <c r="H33" s="348"/>
      <c r="I33" s="348"/>
      <c r="J33" s="348"/>
      <c r="K33" s="348"/>
      <c r="L33" s="348"/>
      <c r="M33" s="348">
        <f>M24</f>
        <v>2</v>
      </c>
      <c r="N33" s="565">
        <f>C33*D33*E33*M33</f>
        <v>0.4480000000000004</v>
      </c>
      <c r="O33" s="349"/>
      <c r="P33" s="563"/>
      <c r="Q33" s="398"/>
      <c r="R33" s="564"/>
      <c r="S33" s="398"/>
      <c r="T33" s="398"/>
      <c r="U33" s="398"/>
      <c r="V33" s="555"/>
      <c r="W33" s="555"/>
      <c r="X33" s="555"/>
    </row>
    <row r="34" spans="1:24" ht="15.75" customHeight="1">
      <c r="A34" s="355"/>
      <c r="B34" s="359"/>
      <c r="C34" s="348"/>
      <c r="D34" s="348"/>
      <c r="E34" s="348"/>
      <c r="F34" s="348"/>
      <c r="G34" s="348"/>
      <c r="H34" s="348"/>
      <c r="I34" s="348"/>
      <c r="J34" s="348"/>
      <c r="K34" s="348"/>
      <c r="L34" s="348"/>
      <c r="M34" s="348"/>
      <c r="N34" s="343">
        <f>SUM(N32:N33)</f>
        <v>1.0080000000000009</v>
      </c>
      <c r="O34" s="349" t="s">
        <v>103</v>
      </c>
      <c r="P34" s="563">
        <f>ROUND((N34),2)</f>
        <v>1.01</v>
      </c>
      <c r="Q34" s="398"/>
      <c r="R34" s="564"/>
      <c r="S34" s="398"/>
      <c r="T34" s="398"/>
      <c r="U34" s="398"/>
      <c r="V34" s="555"/>
      <c r="W34" s="555"/>
      <c r="X34" s="555"/>
    </row>
    <row r="35" spans="1:24" s="580" customFormat="1" ht="15.75" hidden="1" customHeight="1">
      <c r="A35" s="571" t="s">
        <v>121</v>
      </c>
      <c r="B35" s="572" t="s">
        <v>400</v>
      </c>
      <c r="C35" s="573"/>
      <c r="D35" s="573"/>
      <c r="E35" s="573"/>
      <c r="F35" s="573"/>
      <c r="G35" s="573"/>
      <c r="H35" s="573"/>
      <c r="I35" s="573"/>
      <c r="J35" s="573"/>
      <c r="K35" s="573"/>
      <c r="L35" s="573"/>
      <c r="M35" s="573"/>
      <c r="N35" s="574"/>
      <c r="O35" s="575"/>
      <c r="P35" s="576"/>
      <c r="Q35" s="577"/>
      <c r="R35" s="578"/>
      <c r="S35" s="577"/>
      <c r="T35" s="577"/>
      <c r="U35" s="577"/>
      <c r="V35" s="579"/>
      <c r="W35" s="579"/>
      <c r="X35" s="579"/>
    </row>
    <row r="36" spans="1:24" s="580" customFormat="1" ht="15.75" hidden="1" customHeight="1">
      <c r="A36" s="571"/>
      <c r="B36" s="581" t="str">
        <f t="shared" ref="B36:D37" si="3">B32</f>
        <v>horisontal</v>
      </c>
      <c r="C36" s="573">
        <f t="shared" si="3"/>
        <v>5</v>
      </c>
      <c r="D36" s="573">
        <f t="shared" si="3"/>
        <v>0.8</v>
      </c>
      <c r="E36" s="573">
        <v>0</v>
      </c>
      <c r="F36" s="573"/>
      <c r="G36" s="573"/>
      <c r="H36" s="573"/>
      <c r="I36" s="573"/>
      <c r="J36" s="573"/>
      <c r="K36" s="573"/>
      <c r="L36" s="573"/>
      <c r="M36" s="573">
        <f>M32</f>
        <v>2</v>
      </c>
      <c r="N36" s="573">
        <f>C36*D36*E36*M36</f>
        <v>0</v>
      </c>
      <c r="O36" s="575"/>
      <c r="P36" s="576"/>
      <c r="Q36" s="577"/>
      <c r="R36" s="578"/>
      <c r="S36" s="577"/>
      <c r="T36" s="577"/>
      <c r="U36" s="577"/>
      <c r="V36" s="579"/>
      <c r="W36" s="579"/>
      <c r="X36" s="579"/>
    </row>
    <row r="37" spans="1:24" s="580" customFormat="1" ht="15.75" hidden="1" customHeight="1">
      <c r="A37" s="571"/>
      <c r="B37" s="581" t="str">
        <f t="shared" si="3"/>
        <v>vertikal</v>
      </c>
      <c r="C37" s="573">
        <f t="shared" si="3"/>
        <v>4</v>
      </c>
      <c r="D37" s="573">
        <f t="shared" si="3"/>
        <v>0.8</v>
      </c>
      <c r="E37" s="573">
        <f>E36</f>
        <v>0</v>
      </c>
      <c r="F37" s="573"/>
      <c r="G37" s="573"/>
      <c r="H37" s="573"/>
      <c r="I37" s="573"/>
      <c r="J37" s="573"/>
      <c r="K37" s="573"/>
      <c r="L37" s="573"/>
      <c r="M37" s="573">
        <f>M33</f>
        <v>2</v>
      </c>
      <c r="N37" s="582">
        <f>C37*D37*E37*M37</f>
        <v>0</v>
      </c>
      <c r="O37" s="575"/>
      <c r="P37" s="576"/>
      <c r="Q37" s="577"/>
      <c r="R37" s="578"/>
      <c r="S37" s="577"/>
      <c r="T37" s="577"/>
      <c r="U37" s="577"/>
      <c r="V37" s="579"/>
      <c r="W37" s="579"/>
      <c r="X37" s="579"/>
    </row>
    <row r="38" spans="1:24" s="580" customFormat="1" ht="15.75" hidden="1" customHeight="1">
      <c r="A38" s="571"/>
      <c r="B38" s="583"/>
      <c r="C38" s="573"/>
      <c r="D38" s="573"/>
      <c r="E38" s="573"/>
      <c r="F38" s="573"/>
      <c r="G38" s="573"/>
      <c r="H38" s="573"/>
      <c r="I38" s="573"/>
      <c r="J38" s="573"/>
      <c r="K38" s="573"/>
      <c r="L38" s="573"/>
      <c r="M38" s="573"/>
      <c r="N38" s="574">
        <f>SUM(N36:N37)</f>
        <v>0</v>
      </c>
      <c r="O38" s="575" t="s">
        <v>103</v>
      </c>
      <c r="P38" s="576">
        <f>ROUND((N38),2)</f>
        <v>0</v>
      </c>
      <c r="Q38" s="577"/>
      <c r="R38" s="578"/>
      <c r="S38" s="577"/>
      <c r="T38" s="577"/>
      <c r="U38" s="577"/>
      <c r="V38" s="579"/>
      <c r="W38" s="579"/>
      <c r="X38" s="579"/>
    </row>
    <row r="39" spans="1:24" ht="15.75" customHeight="1">
      <c r="A39" s="355" t="s">
        <v>121</v>
      </c>
      <c r="B39" s="359" t="s">
        <v>407</v>
      </c>
      <c r="C39" s="348"/>
      <c r="D39" s="348"/>
      <c r="E39" s="348"/>
      <c r="F39" s="348"/>
      <c r="G39" s="348"/>
      <c r="H39" s="348"/>
      <c r="I39" s="348"/>
      <c r="J39" s="348"/>
      <c r="K39" s="348"/>
      <c r="L39" s="348"/>
      <c r="M39" s="348"/>
      <c r="N39" s="348"/>
      <c r="O39" s="349"/>
      <c r="P39" s="563"/>
      <c r="Q39" s="398"/>
      <c r="R39" s="564"/>
      <c r="S39" s="398"/>
      <c r="T39" s="398"/>
      <c r="U39" s="398"/>
      <c r="V39" s="555"/>
      <c r="W39" s="555"/>
      <c r="X39" s="555"/>
    </row>
    <row r="40" spans="1:24" ht="15.75" customHeight="1">
      <c r="A40" s="355"/>
      <c r="B40" s="567"/>
      <c r="C40" s="348"/>
      <c r="D40" s="488" t="s">
        <v>1007</v>
      </c>
      <c r="E40" s="348"/>
      <c r="F40" s="348"/>
      <c r="G40" s="348"/>
      <c r="H40" s="348"/>
      <c r="I40" s="348"/>
      <c r="J40" s="348"/>
      <c r="K40" s="348"/>
      <c r="L40" s="348"/>
      <c r="M40" s="348"/>
      <c r="N40" s="348"/>
      <c r="O40" s="349"/>
      <c r="P40" s="563"/>
      <c r="Q40" s="398"/>
      <c r="R40" s="564"/>
      <c r="S40" s="398"/>
      <c r="T40" s="398"/>
      <c r="U40" s="398"/>
      <c r="V40" s="555"/>
      <c r="W40" s="555"/>
      <c r="X40" s="555"/>
    </row>
    <row r="41" spans="1:24" ht="15.75" customHeight="1">
      <c r="A41" s="355"/>
      <c r="B41" s="567" t="str">
        <f>B32</f>
        <v>horisontal</v>
      </c>
      <c r="C41" s="348">
        <f>C23</f>
        <v>5</v>
      </c>
      <c r="D41" s="348">
        <f>(0.3+D23)/2</f>
        <v>0.55000000000000004</v>
      </c>
      <c r="E41" s="348">
        <f>E23-E32</f>
        <v>0.8</v>
      </c>
      <c r="F41" s="348"/>
      <c r="G41" s="348"/>
      <c r="H41" s="348"/>
      <c r="I41" s="348"/>
      <c r="J41" s="348"/>
      <c r="K41" s="348"/>
      <c r="L41" s="348"/>
      <c r="M41" s="348">
        <f>M32</f>
        <v>2</v>
      </c>
      <c r="N41" s="348">
        <f>C41*D41*E41*M41</f>
        <v>4.4000000000000004</v>
      </c>
      <c r="O41" s="349"/>
      <c r="P41" s="563"/>
      <c r="Q41" s="398"/>
      <c r="R41" s="564"/>
      <c r="S41" s="398"/>
      <c r="T41" s="398"/>
      <c r="U41" s="398"/>
      <c r="V41" s="555"/>
      <c r="W41" s="555"/>
      <c r="X41" s="555"/>
    </row>
    <row r="42" spans="1:24" ht="15.75" customHeight="1">
      <c r="A42" s="355"/>
      <c r="B42" s="567" t="str">
        <f>B33</f>
        <v>vertikal</v>
      </c>
      <c r="C42" s="348">
        <f>C33</f>
        <v>4</v>
      </c>
      <c r="D42" s="348">
        <f>D41</f>
        <v>0.55000000000000004</v>
      </c>
      <c r="E42" s="348">
        <f>E41</f>
        <v>0.8</v>
      </c>
      <c r="F42" s="348"/>
      <c r="G42" s="348"/>
      <c r="H42" s="348"/>
      <c r="I42" s="348"/>
      <c r="J42" s="348"/>
      <c r="K42" s="348"/>
      <c r="L42" s="348"/>
      <c r="M42" s="348">
        <f>M33</f>
        <v>2</v>
      </c>
      <c r="N42" s="565">
        <f>C42*D42*E42*M42</f>
        <v>3.5200000000000005</v>
      </c>
      <c r="O42" s="349"/>
      <c r="P42" s="563"/>
      <c r="Q42" s="398"/>
      <c r="R42" s="564"/>
      <c r="S42" s="398"/>
      <c r="T42" s="398"/>
      <c r="U42" s="398"/>
      <c r="V42" s="555"/>
      <c r="W42" s="555"/>
      <c r="X42" s="555"/>
    </row>
    <row r="43" spans="1:24" ht="15.75" customHeight="1">
      <c r="A43" s="350"/>
      <c r="B43" s="359"/>
      <c r="C43" s="348"/>
      <c r="D43" s="348"/>
      <c r="E43" s="348"/>
      <c r="F43" s="348"/>
      <c r="G43" s="348"/>
      <c r="H43" s="348"/>
      <c r="I43" s="348"/>
      <c r="J43" s="348"/>
      <c r="K43" s="348"/>
      <c r="L43" s="348"/>
      <c r="M43" s="348"/>
      <c r="N43" s="343">
        <f>SUM(N41:N42)</f>
        <v>7.9200000000000008</v>
      </c>
      <c r="O43" s="349" t="s">
        <v>103</v>
      </c>
      <c r="P43" s="563">
        <f>ROUND((N43),2)</f>
        <v>7.92</v>
      </c>
      <c r="Q43" s="398"/>
      <c r="R43" s="564"/>
      <c r="S43" s="398"/>
      <c r="T43" s="398"/>
      <c r="U43" s="398"/>
      <c r="V43" s="555"/>
      <c r="W43" s="555"/>
      <c r="X43" s="555"/>
    </row>
    <row r="44" spans="1:24" ht="15.75" customHeight="1">
      <c r="A44" s="350">
        <f>A21+1</f>
        <v>4</v>
      </c>
      <c r="B44" s="351" t="s">
        <v>408</v>
      </c>
      <c r="C44" s="348"/>
      <c r="D44" s="348"/>
      <c r="E44" s="348"/>
      <c r="F44" s="348"/>
      <c r="G44" s="348"/>
      <c r="H44" s="348"/>
      <c r="I44" s="348"/>
      <c r="J44" s="348"/>
      <c r="K44" s="348"/>
      <c r="L44" s="348"/>
      <c r="M44" s="348"/>
      <c r="N44" s="343"/>
      <c r="O44" s="349"/>
      <c r="P44" s="563"/>
      <c r="Q44" s="398"/>
      <c r="R44" s="564"/>
      <c r="S44" s="398"/>
      <c r="T44" s="398"/>
      <c r="U44" s="398"/>
      <c r="V44" s="555"/>
      <c r="W44" s="555"/>
      <c r="X44" s="555"/>
    </row>
    <row r="45" spans="1:24" ht="15.75" customHeight="1">
      <c r="A45" s="350"/>
      <c r="B45" s="567" t="s">
        <v>1008</v>
      </c>
      <c r="C45" s="348">
        <f>C63</f>
        <v>5</v>
      </c>
      <c r="D45" s="348"/>
      <c r="E45" s="348"/>
      <c r="F45" s="348"/>
      <c r="G45" s="348"/>
      <c r="H45" s="348"/>
      <c r="I45" s="348"/>
      <c r="J45" s="348"/>
      <c r="K45" s="348"/>
      <c r="L45" s="348"/>
      <c r="M45" s="348">
        <f>M63</f>
        <v>2</v>
      </c>
      <c r="N45" s="343">
        <f>C45*M45</f>
        <v>10</v>
      </c>
      <c r="O45" s="349"/>
      <c r="P45" s="563"/>
      <c r="Q45" s="398"/>
      <c r="R45" s="564"/>
      <c r="S45" s="398"/>
      <c r="T45" s="398"/>
      <c r="U45" s="398"/>
      <c r="V45" s="555"/>
      <c r="W45" s="555"/>
      <c r="X45" s="555"/>
    </row>
    <row r="46" spans="1:24" ht="15.75" customHeight="1">
      <c r="A46" s="350"/>
      <c r="B46" s="359"/>
      <c r="C46" s="348">
        <f>C64</f>
        <v>4</v>
      </c>
      <c r="D46" s="348"/>
      <c r="E46" s="348"/>
      <c r="F46" s="348"/>
      <c r="G46" s="348"/>
      <c r="H46" s="348"/>
      <c r="I46" s="348"/>
      <c r="J46" s="348"/>
      <c r="K46" s="348"/>
      <c r="L46" s="348"/>
      <c r="M46" s="348">
        <f>M64</f>
        <v>2</v>
      </c>
      <c r="N46" s="343">
        <f>C46*M46</f>
        <v>8</v>
      </c>
      <c r="O46" s="349"/>
      <c r="P46" s="563"/>
      <c r="Q46" s="398"/>
      <c r="R46" s="564"/>
      <c r="S46" s="398"/>
      <c r="T46" s="398"/>
      <c r="U46" s="398"/>
      <c r="V46" s="555"/>
      <c r="W46" s="555"/>
      <c r="X46" s="555"/>
    </row>
    <row r="47" spans="1:24" ht="15.75" customHeight="1">
      <c r="A47" s="350"/>
      <c r="B47" s="359"/>
      <c r="C47" s="348"/>
      <c r="D47" s="348"/>
      <c r="E47" s="348"/>
      <c r="F47" s="348"/>
      <c r="G47" s="348"/>
      <c r="H47" s="348"/>
      <c r="I47" s="348"/>
      <c r="J47" s="348"/>
      <c r="K47" s="348"/>
      <c r="L47" s="348"/>
      <c r="M47" s="348"/>
      <c r="N47" s="343">
        <f>SUM(N45:N46)</f>
        <v>18</v>
      </c>
      <c r="O47" s="349"/>
      <c r="P47" s="563"/>
      <c r="Q47" s="398"/>
      <c r="R47" s="564"/>
      <c r="S47" s="398"/>
      <c r="T47" s="398"/>
      <c r="U47" s="398"/>
      <c r="V47" s="555"/>
      <c r="W47" s="555"/>
      <c r="X47" s="555"/>
    </row>
    <row r="48" spans="1:24" ht="15.75" customHeight="1">
      <c r="A48" s="350"/>
      <c r="B48" s="359"/>
      <c r="C48" s="348">
        <v>0.5</v>
      </c>
      <c r="D48" s="348"/>
      <c r="E48" s="348"/>
      <c r="F48" s="348">
        <f>N47</f>
        <v>18</v>
      </c>
      <c r="G48" s="348"/>
      <c r="H48" s="348">
        <v>1</v>
      </c>
      <c r="I48" s="348"/>
      <c r="J48" s="348"/>
      <c r="K48" s="348"/>
      <c r="L48" s="348">
        <f>10*10*0.006165</f>
        <v>0.61650000000000005</v>
      </c>
      <c r="M48" s="348"/>
      <c r="N48" s="343">
        <f>C48*F48*H48*L48</f>
        <v>5.5485000000000007</v>
      </c>
      <c r="O48" s="349" t="s">
        <v>100</v>
      </c>
      <c r="P48" s="563">
        <f>ROUND((N48),2)</f>
        <v>5.55</v>
      </c>
      <c r="Q48" s="398"/>
      <c r="R48" s="564"/>
      <c r="S48" s="398"/>
      <c r="T48" s="398"/>
      <c r="U48" s="398"/>
      <c r="V48" s="555"/>
      <c r="W48" s="555"/>
      <c r="X48" s="555"/>
    </row>
    <row r="49" spans="1:24" ht="15.75" customHeight="1">
      <c r="A49" s="350">
        <f>A44+1</f>
        <v>5</v>
      </c>
      <c r="B49" s="359" t="s">
        <v>409</v>
      </c>
      <c r="C49" s="348"/>
      <c r="D49" s="348"/>
      <c r="E49" s="348"/>
      <c r="F49" s="348"/>
      <c r="G49" s="348"/>
      <c r="H49" s="348"/>
      <c r="I49" s="348"/>
      <c r="J49" s="348"/>
      <c r="K49" s="348"/>
      <c r="L49" s="348"/>
      <c r="M49" s="348"/>
      <c r="N49" s="343"/>
      <c r="O49" s="349"/>
      <c r="P49" s="563"/>
      <c r="Q49" s="398"/>
      <c r="R49" s="564"/>
      <c r="S49" s="398"/>
      <c r="T49" s="398"/>
      <c r="U49" s="398"/>
      <c r="V49" s="555"/>
      <c r="W49" s="555"/>
      <c r="X49" s="555"/>
    </row>
    <row r="50" spans="1:24" ht="15.75" customHeight="1">
      <c r="A50" s="355" t="s">
        <v>95</v>
      </c>
      <c r="B50" s="359" t="s">
        <v>221</v>
      </c>
      <c r="C50" s="348"/>
      <c r="D50" s="348"/>
      <c r="E50" s="348"/>
      <c r="F50" s="348"/>
      <c r="G50" s="348"/>
      <c r="H50" s="348"/>
      <c r="I50" s="348"/>
      <c r="J50" s="348"/>
      <c r="K50" s="348"/>
      <c r="L50" s="348"/>
      <c r="M50" s="348"/>
      <c r="N50" s="348"/>
      <c r="O50" s="349"/>
      <c r="P50" s="563"/>
      <c r="Q50" s="398"/>
      <c r="R50" s="564"/>
      <c r="S50" s="398"/>
      <c r="T50" s="398"/>
      <c r="U50" s="398"/>
      <c r="V50" s="555"/>
      <c r="W50" s="555"/>
      <c r="X50" s="555"/>
    </row>
    <row r="51" spans="1:24" ht="15.75" customHeight="1">
      <c r="A51" s="355"/>
      <c r="B51" s="567" t="str">
        <f>B41</f>
        <v>horisontal</v>
      </c>
      <c r="C51" s="348">
        <f>C41</f>
        <v>5</v>
      </c>
      <c r="D51" s="348"/>
      <c r="E51" s="348">
        <v>0.3</v>
      </c>
      <c r="F51" s="348"/>
      <c r="G51" s="348"/>
      <c r="H51" s="348">
        <v>2</v>
      </c>
      <c r="I51" s="348"/>
      <c r="J51" s="348"/>
      <c r="K51" s="348"/>
      <c r="L51" s="348"/>
      <c r="M51" s="348">
        <f>M41</f>
        <v>2</v>
      </c>
      <c r="N51" s="348">
        <f>C51*E51*H51*M51</f>
        <v>6</v>
      </c>
      <c r="O51" s="349"/>
      <c r="P51" s="563"/>
      <c r="Q51" s="398"/>
      <c r="R51" s="564"/>
      <c r="S51" s="398"/>
      <c r="T51" s="398"/>
      <c r="U51" s="398"/>
      <c r="V51" s="555"/>
      <c r="W51" s="555"/>
      <c r="X51" s="555"/>
    </row>
    <row r="52" spans="1:24" ht="15.75" customHeight="1">
      <c r="A52" s="355"/>
      <c r="B52" s="567" t="str">
        <f>B42</f>
        <v>vertikal</v>
      </c>
      <c r="C52" s="348">
        <f>C42</f>
        <v>4</v>
      </c>
      <c r="D52" s="348"/>
      <c r="E52" s="348">
        <f>E51</f>
        <v>0.3</v>
      </c>
      <c r="F52" s="348"/>
      <c r="G52" s="348"/>
      <c r="H52" s="348">
        <f>H51</f>
        <v>2</v>
      </c>
      <c r="I52" s="348"/>
      <c r="J52" s="348"/>
      <c r="K52" s="348"/>
      <c r="L52" s="348"/>
      <c r="M52" s="348">
        <f>M42</f>
        <v>2</v>
      </c>
      <c r="N52" s="565">
        <f>C52*E52*H52*M52</f>
        <v>4.8</v>
      </c>
      <c r="O52" s="349"/>
      <c r="P52" s="563"/>
      <c r="Q52" s="398"/>
      <c r="R52" s="564"/>
      <c r="S52" s="398"/>
      <c r="T52" s="398"/>
      <c r="U52" s="398"/>
      <c r="V52" s="555"/>
      <c r="W52" s="555"/>
      <c r="X52" s="555"/>
    </row>
    <row r="53" spans="1:24" ht="15.75" customHeight="1">
      <c r="A53" s="355"/>
      <c r="B53" s="359"/>
      <c r="C53" s="348"/>
      <c r="D53" s="348"/>
      <c r="E53" s="348"/>
      <c r="F53" s="348"/>
      <c r="G53" s="348"/>
      <c r="H53" s="348"/>
      <c r="I53" s="348"/>
      <c r="J53" s="348"/>
      <c r="K53" s="348"/>
      <c r="L53" s="348"/>
      <c r="M53" s="348"/>
      <c r="N53" s="343">
        <f>SUM(N51:N52)</f>
        <v>10.8</v>
      </c>
      <c r="O53" s="349" t="s">
        <v>89</v>
      </c>
      <c r="P53" s="563">
        <f>ROUND((N53),2)</f>
        <v>10.8</v>
      </c>
      <c r="Q53" s="398"/>
      <c r="R53" s="564"/>
      <c r="S53" s="398"/>
      <c r="T53" s="398"/>
      <c r="U53" s="398"/>
      <c r="V53" s="555"/>
      <c r="W53" s="555"/>
      <c r="X53" s="555"/>
    </row>
    <row r="54" spans="1:24" ht="15.75" customHeight="1">
      <c r="A54" s="355" t="s">
        <v>98</v>
      </c>
      <c r="B54" s="359" t="s">
        <v>741</v>
      </c>
      <c r="C54" s="348"/>
      <c r="D54" s="348"/>
      <c r="E54" s="348"/>
      <c r="F54" s="348"/>
      <c r="G54" s="348"/>
      <c r="H54" s="348"/>
      <c r="I54" s="348"/>
      <c r="J54" s="348"/>
      <c r="K54" s="348"/>
      <c r="L54" s="348"/>
      <c r="M54" s="348"/>
      <c r="N54" s="348"/>
      <c r="O54" s="349"/>
      <c r="P54" s="563"/>
      <c r="Q54" s="398"/>
      <c r="R54" s="564"/>
      <c r="S54" s="398"/>
      <c r="T54" s="398"/>
      <c r="U54" s="398"/>
      <c r="V54" s="555"/>
      <c r="W54" s="555"/>
      <c r="X54" s="555"/>
    </row>
    <row r="55" spans="1:24" ht="15.75" customHeight="1">
      <c r="A55" s="355"/>
      <c r="B55" s="567" t="str">
        <f>B51</f>
        <v>horisontal</v>
      </c>
      <c r="C55" s="348">
        <f>C51</f>
        <v>5</v>
      </c>
      <c r="D55" s="348"/>
      <c r="E55" s="348"/>
      <c r="F55" s="348">
        <v>5</v>
      </c>
      <c r="G55" s="348"/>
      <c r="H55" s="348"/>
      <c r="I55" s="348"/>
      <c r="J55" s="348"/>
      <c r="K55" s="348"/>
      <c r="L55" s="348">
        <f>10*10*0.006165</f>
        <v>0.61650000000000005</v>
      </c>
      <c r="M55" s="348">
        <f>M51</f>
        <v>2</v>
      </c>
      <c r="N55" s="348">
        <f>C55*F55*L55*M55</f>
        <v>30.825000000000003</v>
      </c>
      <c r="O55" s="349"/>
      <c r="P55" s="563"/>
      <c r="Q55" s="398"/>
      <c r="R55" s="564"/>
      <c r="S55" s="398"/>
      <c r="T55" s="398"/>
      <c r="U55" s="398"/>
      <c r="V55" s="555"/>
      <c r="W55" s="555"/>
      <c r="X55" s="555"/>
    </row>
    <row r="56" spans="1:24" ht="15.75" customHeight="1">
      <c r="A56" s="355"/>
      <c r="B56" s="567" t="str">
        <f>B52</f>
        <v>vertikal</v>
      </c>
      <c r="C56" s="348">
        <f>C52</f>
        <v>4</v>
      </c>
      <c r="D56" s="348"/>
      <c r="E56" s="348"/>
      <c r="F56" s="348">
        <f>F55</f>
        <v>5</v>
      </c>
      <c r="G56" s="348"/>
      <c r="H56" s="348"/>
      <c r="I56" s="348"/>
      <c r="J56" s="348"/>
      <c r="K56" s="348"/>
      <c r="L56" s="348">
        <f>L55</f>
        <v>0.61650000000000005</v>
      </c>
      <c r="M56" s="348">
        <f>M52</f>
        <v>2</v>
      </c>
      <c r="N56" s="565">
        <f>C56*F56*L56*M56</f>
        <v>24.660000000000004</v>
      </c>
      <c r="O56" s="349"/>
      <c r="P56" s="563"/>
      <c r="Q56" s="398"/>
      <c r="R56" s="564"/>
      <c r="S56" s="398"/>
      <c r="T56" s="398"/>
      <c r="U56" s="398"/>
      <c r="V56" s="555"/>
      <c r="W56" s="555"/>
      <c r="X56" s="555"/>
    </row>
    <row r="57" spans="1:24" ht="15.75" customHeight="1">
      <c r="A57" s="355"/>
      <c r="B57" s="359"/>
      <c r="C57" s="348"/>
      <c r="D57" s="348"/>
      <c r="E57" s="348"/>
      <c r="F57" s="348"/>
      <c r="G57" s="348"/>
      <c r="H57" s="348"/>
      <c r="I57" s="348"/>
      <c r="J57" s="348"/>
      <c r="K57" s="348"/>
      <c r="L57" s="348"/>
      <c r="M57" s="348"/>
      <c r="N57" s="343">
        <f>SUM(N55:N56)</f>
        <v>55.485000000000007</v>
      </c>
      <c r="O57" s="349" t="s">
        <v>100</v>
      </c>
      <c r="P57" s="563">
        <f>ROUND((N57),2)</f>
        <v>55.49</v>
      </c>
      <c r="Q57" s="398"/>
      <c r="R57" s="564"/>
      <c r="S57" s="398"/>
      <c r="T57" s="398"/>
      <c r="U57" s="398"/>
      <c r="V57" s="555"/>
      <c r="W57" s="555"/>
      <c r="X57" s="555"/>
    </row>
    <row r="58" spans="1:24" ht="15.75" customHeight="1">
      <c r="A58" s="355" t="s">
        <v>101</v>
      </c>
      <c r="B58" s="359" t="s">
        <v>428</v>
      </c>
      <c r="C58" s="348"/>
      <c r="D58" s="348"/>
      <c r="E58" s="348"/>
      <c r="F58" s="348"/>
      <c r="G58" s="348"/>
      <c r="H58" s="348"/>
      <c r="I58" s="348"/>
      <c r="J58" s="348"/>
      <c r="K58" s="348"/>
      <c r="L58" s="348"/>
      <c r="M58" s="348"/>
      <c r="N58" s="348"/>
      <c r="O58" s="349"/>
      <c r="P58" s="563"/>
      <c r="Q58" s="398"/>
      <c r="R58" s="564"/>
      <c r="S58" s="398"/>
      <c r="T58" s="398"/>
      <c r="U58" s="398"/>
      <c r="V58" s="555"/>
      <c r="W58" s="555"/>
      <c r="X58" s="555"/>
    </row>
    <row r="59" spans="1:24" ht="15.75" customHeight="1">
      <c r="A59" s="355"/>
      <c r="B59" s="567" t="str">
        <f>B55</f>
        <v>horisontal</v>
      </c>
      <c r="C59" s="348">
        <f>(0.17+0.22)*2</f>
        <v>0.78</v>
      </c>
      <c r="D59" s="348"/>
      <c r="E59" s="348"/>
      <c r="F59" s="348">
        <f>ROUNDDOWN((C55/0.125),0.1)</f>
        <v>40</v>
      </c>
      <c r="G59" s="348"/>
      <c r="H59" s="348"/>
      <c r="I59" s="348">
        <f>0.05*2</f>
        <v>0.1</v>
      </c>
      <c r="J59" s="348"/>
      <c r="K59" s="348"/>
      <c r="L59" s="348">
        <f>8*8*0.006165</f>
        <v>0.39456000000000002</v>
      </c>
      <c r="M59" s="348">
        <f>M55</f>
        <v>2</v>
      </c>
      <c r="N59" s="348">
        <f>(C59+I59)*F59*L59*M59</f>
        <v>27.777024000000004</v>
      </c>
      <c r="O59" s="349"/>
      <c r="P59" s="563"/>
      <c r="Q59" s="398"/>
      <c r="R59" s="564"/>
      <c r="S59" s="398"/>
      <c r="T59" s="398"/>
      <c r="U59" s="398"/>
      <c r="V59" s="555"/>
      <c r="W59" s="555"/>
      <c r="X59" s="555"/>
    </row>
    <row r="60" spans="1:24" ht="15.75" customHeight="1">
      <c r="A60" s="355"/>
      <c r="B60" s="567" t="str">
        <f>B56</f>
        <v>vertikal</v>
      </c>
      <c r="C60" s="348">
        <f>C59</f>
        <v>0.78</v>
      </c>
      <c r="D60" s="348"/>
      <c r="E60" s="348"/>
      <c r="F60" s="348">
        <f>ROUNDDOWN((C56/0.125),0.1)</f>
        <v>32</v>
      </c>
      <c r="G60" s="348"/>
      <c r="H60" s="348"/>
      <c r="I60" s="348">
        <f>I59</f>
        <v>0.1</v>
      </c>
      <c r="J60" s="348"/>
      <c r="K60" s="348"/>
      <c r="L60" s="348">
        <f>L59</f>
        <v>0.39456000000000002</v>
      </c>
      <c r="M60" s="348">
        <f>M56</f>
        <v>2</v>
      </c>
      <c r="N60" s="565">
        <f>(C60+I60)*F60*L60*M60</f>
        <v>22.221619200000003</v>
      </c>
      <c r="O60" s="349"/>
      <c r="P60" s="563"/>
      <c r="Q60" s="398"/>
      <c r="R60" s="564"/>
      <c r="S60" s="398"/>
      <c r="T60" s="398"/>
      <c r="U60" s="398"/>
      <c r="V60" s="555"/>
      <c r="W60" s="555"/>
      <c r="X60" s="555"/>
    </row>
    <row r="61" spans="1:24" ht="15.75" customHeight="1">
      <c r="A61" s="355"/>
      <c r="B61" s="359"/>
      <c r="C61" s="348"/>
      <c r="D61" s="348"/>
      <c r="E61" s="348"/>
      <c r="F61" s="348"/>
      <c r="G61" s="348"/>
      <c r="H61" s="348"/>
      <c r="I61" s="348"/>
      <c r="J61" s="348"/>
      <c r="K61" s="348"/>
      <c r="L61" s="348"/>
      <c r="M61" s="348"/>
      <c r="N61" s="343">
        <f>SUM(N59:N60)</f>
        <v>49.998643200000004</v>
      </c>
      <c r="O61" s="349" t="s">
        <v>100</v>
      </c>
      <c r="P61" s="563">
        <f>ROUND((N61),2)</f>
        <v>50</v>
      </c>
      <c r="Q61" s="398"/>
      <c r="R61" s="564"/>
      <c r="S61" s="398"/>
      <c r="T61" s="398"/>
      <c r="U61" s="398"/>
      <c r="V61" s="555"/>
      <c r="W61" s="555"/>
      <c r="X61" s="555"/>
    </row>
    <row r="62" spans="1:24" ht="15.75" customHeight="1">
      <c r="A62" s="355" t="s">
        <v>121</v>
      </c>
      <c r="B62" s="356" t="s">
        <v>169</v>
      </c>
      <c r="C62" s="348"/>
      <c r="D62" s="348"/>
      <c r="E62" s="348"/>
      <c r="F62" s="348"/>
      <c r="G62" s="348"/>
      <c r="H62" s="348"/>
      <c r="I62" s="348"/>
      <c r="J62" s="348"/>
      <c r="K62" s="348"/>
      <c r="L62" s="348"/>
      <c r="M62" s="348"/>
      <c r="N62" s="348"/>
      <c r="O62" s="349"/>
      <c r="P62" s="563"/>
      <c r="Q62" s="398"/>
      <c r="R62" s="564"/>
      <c r="S62" s="398"/>
      <c r="T62" s="398"/>
      <c r="U62" s="398"/>
      <c r="V62" s="555"/>
      <c r="W62" s="555"/>
      <c r="X62" s="555"/>
    </row>
    <row r="63" spans="1:24" ht="15.75" customHeight="1">
      <c r="A63" s="355"/>
      <c r="B63" s="567" t="str">
        <f>B59</f>
        <v>horisontal</v>
      </c>
      <c r="C63" s="348">
        <f>C55</f>
        <v>5</v>
      </c>
      <c r="D63" s="348">
        <v>0.25</v>
      </c>
      <c r="E63" s="348">
        <v>0.3</v>
      </c>
      <c r="F63" s="348"/>
      <c r="G63" s="348"/>
      <c r="H63" s="348"/>
      <c r="I63" s="348"/>
      <c r="J63" s="348"/>
      <c r="K63" s="348"/>
      <c r="L63" s="348"/>
      <c r="M63" s="348">
        <f>M59</f>
        <v>2</v>
      </c>
      <c r="N63" s="348">
        <f>C63*D63*E63*M63</f>
        <v>0.75</v>
      </c>
      <c r="O63" s="349"/>
      <c r="P63" s="563"/>
      <c r="Q63" s="398"/>
      <c r="R63" s="564"/>
      <c r="S63" s="398"/>
      <c r="T63" s="398"/>
      <c r="U63" s="398"/>
      <c r="V63" s="555"/>
      <c r="W63" s="555"/>
      <c r="X63" s="555"/>
    </row>
    <row r="64" spans="1:24" ht="15.75" customHeight="1">
      <c r="A64" s="355"/>
      <c r="B64" s="567" t="str">
        <f>B60</f>
        <v>vertikal</v>
      </c>
      <c r="C64" s="348">
        <f>C56</f>
        <v>4</v>
      </c>
      <c r="D64" s="348">
        <f>D63</f>
        <v>0.25</v>
      </c>
      <c r="E64" s="348">
        <f>E63</f>
        <v>0.3</v>
      </c>
      <c r="F64" s="348"/>
      <c r="G64" s="348"/>
      <c r="H64" s="348"/>
      <c r="I64" s="348"/>
      <c r="J64" s="348"/>
      <c r="K64" s="348"/>
      <c r="L64" s="348"/>
      <c r="M64" s="348">
        <f>M60</f>
        <v>2</v>
      </c>
      <c r="N64" s="565">
        <f>C64*D64*E64*M64</f>
        <v>0.6</v>
      </c>
      <c r="O64" s="349"/>
      <c r="P64" s="563"/>
      <c r="Q64" s="398"/>
      <c r="R64" s="564"/>
      <c r="S64" s="398"/>
      <c r="T64" s="398"/>
      <c r="U64" s="398"/>
      <c r="V64" s="555"/>
      <c r="W64" s="555"/>
      <c r="X64" s="555"/>
    </row>
    <row r="65" spans="1:24" ht="15.75" customHeight="1">
      <c r="A65" s="355"/>
      <c r="B65" s="359"/>
      <c r="C65" s="348"/>
      <c r="D65" s="348"/>
      <c r="E65" s="348"/>
      <c r="F65" s="348"/>
      <c r="G65" s="348"/>
      <c r="H65" s="348"/>
      <c r="I65" s="348"/>
      <c r="J65" s="348"/>
      <c r="K65" s="348"/>
      <c r="L65" s="348"/>
      <c r="M65" s="348"/>
      <c r="N65" s="343">
        <f>SUM(N63:N64)</f>
        <v>1.35</v>
      </c>
      <c r="O65" s="349" t="s">
        <v>103</v>
      </c>
      <c r="P65" s="563">
        <f>ROUND((N65),2)</f>
        <v>1.35</v>
      </c>
      <c r="Q65" s="398"/>
      <c r="R65" s="564"/>
      <c r="S65" s="398"/>
      <c r="T65" s="398"/>
      <c r="U65" s="398"/>
      <c r="V65" s="555"/>
      <c r="W65" s="555"/>
      <c r="X65" s="555"/>
    </row>
    <row r="66" spans="1:24" ht="15.75" customHeight="1">
      <c r="A66" s="350">
        <f>A49+1</f>
        <v>6</v>
      </c>
      <c r="B66" s="359" t="s">
        <v>412</v>
      </c>
      <c r="C66" s="348"/>
      <c r="D66" s="348"/>
      <c r="E66" s="348"/>
      <c r="F66" s="348"/>
      <c r="G66" s="348"/>
      <c r="H66" s="348"/>
      <c r="I66" s="348"/>
      <c r="J66" s="348"/>
      <c r="K66" s="348"/>
      <c r="L66" s="348"/>
      <c r="M66" s="348"/>
      <c r="N66" s="348"/>
      <c r="O66" s="349"/>
      <c r="P66" s="563"/>
      <c r="Q66" s="398"/>
      <c r="R66" s="564"/>
      <c r="S66" s="398"/>
      <c r="T66" s="398"/>
      <c r="U66" s="398"/>
      <c r="V66" s="555"/>
      <c r="W66" s="555"/>
      <c r="X66" s="555"/>
    </row>
    <row r="67" spans="1:24" ht="15.75" customHeight="1">
      <c r="A67" s="355" t="s">
        <v>95</v>
      </c>
      <c r="B67" s="359" t="s">
        <v>413</v>
      </c>
      <c r="C67" s="348">
        <f>C63-(0.125*2)</f>
        <v>4.75</v>
      </c>
      <c r="D67" s="348">
        <f>C64-(0.125*2)</f>
        <v>3.75</v>
      </c>
      <c r="E67" s="348">
        <v>0.18</v>
      </c>
      <c r="F67" s="348"/>
      <c r="G67" s="348"/>
      <c r="H67" s="348"/>
      <c r="I67" s="348"/>
      <c r="J67" s="348"/>
      <c r="K67" s="348"/>
      <c r="L67" s="348"/>
      <c r="M67" s="348"/>
      <c r="N67" s="348">
        <f>C67*D67*E67</f>
        <v>3.2062499999999998</v>
      </c>
      <c r="O67" s="349" t="s">
        <v>103</v>
      </c>
      <c r="P67" s="563">
        <f>ROUND((N67),2)</f>
        <v>3.21</v>
      </c>
      <c r="Q67" s="398"/>
      <c r="R67" s="564"/>
      <c r="S67" s="398"/>
      <c r="T67" s="398"/>
      <c r="U67" s="398"/>
      <c r="V67" s="555"/>
      <c r="W67" s="555"/>
      <c r="X67" s="555"/>
    </row>
    <row r="68" spans="1:24" ht="15.75" customHeight="1">
      <c r="A68" s="355" t="s">
        <v>98</v>
      </c>
      <c r="B68" s="359" t="s">
        <v>415</v>
      </c>
      <c r="C68" s="348">
        <f>C67</f>
        <v>4.75</v>
      </c>
      <c r="D68" s="348">
        <f>D67</f>
        <v>3.75</v>
      </c>
      <c r="E68" s="348">
        <v>0.05</v>
      </c>
      <c r="F68" s="348"/>
      <c r="G68" s="348"/>
      <c r="H68" s="348"/>
      <c r="I68" s="348"/>
      <c r="J68" s="348"/>
      <c r="K68" s="348"/>
      <c r="L68" s="348"/>
      <c r="M68" s="348"/>
      <c r="N68" s="348">
        <f>C68*D68*E68</f>
        <v>0.890625</v>
      </c>
      <c r="O68" s="349" t="s">
        <v>103</v>
      </c>
      <c r="P68" s="563">
        <f>ROUND((N68),2)</f>
        <v>0.89</v>
      </c>
      <c r="Q68" s="398"/>
      <c r="R68" s="564"/>
      <c r="S68" s="398"/>
      <c r="T68" s="398"/>
      <c r="U68" s="398"/>
      <c r="V68" s="555"/>
      <c r="W68" s="555"/>
      <c r="X68" s="555"/>
    </row>
    <row r="69" spans="1:24" ht="15.75" customHeight="1">
      <c r="A69" s="355" t="s">
        <v>101</v>
      </c>
      <c r="B69" s="359" t="s">
        <v>192</v>
      </c>
      <c r="C69" s="348">
        <f>C68</f>
        <v>4.75</v>
      </c>
      <c r="D69" s="348">
        <f>D68</f>
        <v>3.75</v>
      </c>
      <c r="E69" s="348">
        <v>7.0000000000000007E-2</v>
      </c>
      <c r="F69" s="348"/>
      <c r="G69" s="348"/>
      <c r="H69" s="348"/>
      <c r="I69" s="348"/>
      <c r="J69" s="348"/>
      <c r="K69" s="348"/>
      <c r="L69" s="348"/>
      <c r="M69" s="348"/>
      <c r="N69" s="348">
        <f>C69*D69*E69</f>
        <v>1.2468750000000002</v>
      </c>
      <c r="O69" s="349" t="s">
        <v>103</v>
      </c>
      <c r="P69" s="563">
        <f>ROUND((N69),2)</f>
        <v>1.25</v>
      </c>
      <c r="Q69" s="398"/>
      <c r="R69" s="564"/>
      <c r="S69" s="398"/>
      <c r="T69" s="398"/>
      <c r="U69" s="398"/>
      <c r="V69" s="555"/>
      <c r="W69" s="555"/>
      <c r="X69" s="555"/>
    </row>
    <row r="70" spans="1:24" ht="15.75" hidden="1" customHeight="1">
      <c r="A70" s="571" t="s">
        <v>121</v>
      </c>
      <c r="B70" s="583" t="s">
        <v>1009</v>
      </c>
      <c r="C70" s="348"/>
      <c r="D70" s="348"/>
      <c r="E70" s="348"/>
      <c r="F70" s="348"/>
      <c r="G70" s="348"/>
      <c r="H70" s="348"/>
      <c r="I70" s="348"/>
      <c r="J70" s="348"/>
      <c r="K70" s="348"/>
      <c r="L70" s="348"/>
      <c r="M70" s="348"/>
      <c r="N70" s="348"/>
      <c r="O70" s="349"/>
      <c r="P70" s="563"/>
      <c r="Q70" s="398"/>
      <c r="R70" s="564"/>
      <c r="S70" s="398"/>
      <c r="T70" s="398"/>
      <c r="U70" s="398"/>
      <c r="V70" s="555"/>
      <c r="W70" s="555"/>
      <c r="X70" s="555"/>
    </row>
    <row r="71" spans="1:24" ht="15.75" hidden="1" customHeight="1">
      <c r="A71" s="355"/>
      <c r="B71" s="359"/>
      <c r="C71" s="348">
        <f>C67</f>
        <v>4.75</v>
      </c>
      <c r="D71" s="348"/>
      <c r="E71" s="348">
        <v>0.15</v>
      </c>
      <c r="F71" s="348"/>
      <c r="G71" s="348"/>
      <c r="H71" s="348">
        <v>2</v>
      </c>
      <c r="I71" s="348"/>
      <c r="J71" s="348"/>
      <c r="K71" s="348"/>
      <c r="L71" s="348"/>
      <c r="M71" s="348"/>
      <c r="N71" s="348">
        <f>C71*E71*H71</f>
        <v>1.425</v>
      </c>
      <c r="O71" s="349"/>
      <c r="P71" s="563"/>
      <c r="Q71" s="398"/>
      <c r="R71" s="564"/>
      <c r="S71" s="398"/>
      <c r="T71" s="398"/>
      <c r="U71" s="398"/>
      <c r="V71" s="555"/>
      <c r="W71" s="555"/>
      <c r="X71" s="555"/>
    </row>
    <row r="72" spans="1:24" ht="15.75" hidden="1" customHeight="1">
      <c r="A72" s="355"/>
      <c r="B72" s="359"/>
      <c r="C72" s="348">
        <f>D67</f>
        <v>3.75</v>
      </c>
      <c r="D72" s="348"/>
      <c r="E72" s="348">
        <f>E71</f>
        <v>0.15</v>
      </c>
      <c r="F72" s="348"/>
      <c r="G72" s="348"/>
      <c r="H72" s="348">
        <f>H71</f>
        <v>2</v>
      </c>
      <c r="I72" s="348"/>
      <c r="J72" s="348"/>
      <c r="K72" s="348"/>
      <c r="L72" s="348"/>
      <c r="M72" s="348"/>
      <c r="N72" s="565">
        <f>C72*E72*H72</f>
        <v>1.125</v>
      </c>
      <c r="O72" s="349"/>
      <c r="P72" s="563"/>
      <c r="Q72" s="398"/>
      <c r="R72" s="564"/>
      <c r="S72" s="398"/>
      <c r="T72" s="398"/>
      <c r="U72" s="398"/>
      <c r="V72" s="555"/>
      <c r="W72" s="555"/>
      <c r="X72" s="555"/>
    </row>
    <row r="73" spans="1:24" ht="15.75" hidden="1" customHeight="1">
      <c r="A73" s="355"/>
      <c r="B73" s="359"/>
      <c r="C73" s="348"/>
      <c r="D73" s="348"/>
      <c r="E73" s="348"/>
      <c r="F73" s="348"/>
      <c r="G73" s="348"/>
      <c r="H73" s="348"/>
      <c r="I73" s="348"/>
      <c r="J73" s="348"/>
      <c r="K73" s="348"/>
      <c r="L73" s="348"/>
      <c r="M73" s="348"/>
      <c r="N73" s="343">
        <f>SUM(N71:N72)</f>
        <v>2.5499999999999998</v>
      </c>
      <c r="O73" s="349" t="s">
        <v>89</v>
      </c>
      <c r="P73" s="563">
        <f>ROUND((N73),2)</f>
        <v>2.5499999999999998</v>
      </c>
      <c r="Q73" s="398"/>
      <c r="R73" s="564"/>
      <c r="S73" s="398"/>
      <c r="T73" s="398"/>
      <c r="U73" s="398"/>
      <c r="V73" s="555"/>
      <c r="W73" s="555"/>
      <c r="X73" s="555"/>
    </row>
    <row r="74" spans="1:24" ht="15.75" hidden="1" customHeight="1">
      <c r="A74" s="571" t="s">
        <v>142</v>
      </c>
      <c r="B74" s="572" t="s">
        <v>193</v>
      </c>
      <c r="C74" s="348"/>
      <c r="D74" s="348"/>
      <c r="E74" s="348"/>
      <c r="F74" s="348"/>
      <c r="G74" s="348"/>
      <c r="H74" s="348"/>
      <c r="I74" s="348"/>
      <c r="J74" s="348"/>
      <c r="K74" s="348"/>
      <c r="L74" s="348"/>
      <c r="M74" s="348"/>
      <c r="N74" s="343">
        <f>N73</f>
        <v>2.5499999999999998</v>
      </c>
      <c r="O74" s="349" t="s">
        <v>89</v>
      </c>
      <c r="P74" s="563">
        <f>ROUND((N74),2)</f>
        <v>2.5499999999999998</v>
      </c>
      <c r="Q74" s="398"/>
      <c r="R74" s="564"/>
      <c r="S74" s="398"/>
      <c r="T74" s="398"/>
      <c r="U74" s="398"/>
      <c r="V74" s="555"/>
      <c r="W74" s="555"/>
      <c r="X74" s="555"/>
    </row>
    <row r="75" spans="1:24" ht="15.75" customHeight="1">
      <c r="A75" s="355" t="s">
        <v>121</v>
      </c>
      <c r="B75" s="351" t="s">
        <v>194</v>
      </c>
      <c r="C75" s="348">
        <f>C69</f>
        <v>4.75</v>
      </c>
      <c r="D75" s="348">
        <f>D69</f>
        <v>3.75</v>
      </c>
      <c r="E75" s="348"/>
      <c r="F75" s="348"/>
      <c r="G75" s="348"/>
      <c r="H75" s="348"/>
      <c r="I75" s="348"/>
      <c r="J75" s="348"/>
      <c r="K75" s="348"/>
      <c r="L75" s="348"/>
      <c r="M75" s="348"/>
      <c r="N75" s="343">
        <f>C75*D75</f>
        <v>17.8125</v>
      </c>
      <c r="O75" s="349" t="s">
        <v>89</v>
      </c>
      <c r="P75" s="563">
        <f>ROUND((N75),2)</f>
        <v>17.809999999999999</v>
      </c>
      <c r="Q75" s="398"/>
      <c r="R75" s="564"/>
      <c r="S75" s="398"/>
      <c r="T75" s="398"/>
      <c r="U75" s="398"/>
      <c r="V75" s="555"/>
      <c r="W75" s="555"/>
      <c r="X75" s="555"/>
    </row>
    <row r="76" spans="1:24" ht="15.75" customHeight="1">
      <c r="A76" s="350">
        <f>A66+1</f>
        <v>7</v>
      </c>
      <c r="B76" s="359" t="s">
        <v>416</v>
      </c>
      <c r="C76" s="348"/>
      <c r="D76" s="348"/>
      <c r="E76" s="348"/>
      <c r="F76" s="348"/>
      <c r="G76" s="348"/>
      <c r="H76" s="348"/>
      <c r="I76" s="348"/>
      <c r="J76" s="348"/>
      <c r="K76" s="348"/>
      <c r="L76" s="348"/>
      <c r="M76" s="348"/>
      <c r="N76" s="348"/>
      <c r="O76" s="349"/>
      <c r="P76" s="563"/>
      <c r="Q76" s="398"/>
      <c r="R76" s="564"/>
      <c r="S76" s="398"/>
      <c r="T76" s="398"/>
      <c r="U76" s="398"/>
      <c r="V76" s="555"/>
      <c r="W76" s="555"/>
      <c r="X76" s="555"/>
    </row>
    <row r="77" spans="1:24" ht="15.75" customHeight="1">
      <c r="A77" s="355" t="s">
        <v>95</v>
      </c>
      <c r="B77" s="359" t="s">
        <v>417</v>
      </c>
      <c r="C77" s="348"/>
      <c r="D77" s="348">
        <v>0.25</v>
      </c>
      <c r="E77" s="348">
        <v>0.8</v>
      </c>
      <c r="F77" s="348"/>
      <c r="G77" s="348"/>
      <c r="H77" s="348">
        <v>4</v>
      </c>
      <c r="I77" s="348"/>
      <c r="J77" s="348"/>
      <c r="K77" s="348"/>
      <c r="L77" s="348"/>
      <c r="M77" s="348">
        <f>M14</f>
        <v>4</v>
      </c>
      <c r="N77" s="348">
        <f>D77*E77*H77*M77</f>
        <v>3.2</v>
      </c>
      <c r="O77" s="349" t="s">
        <v>89</v>
      </c>
      <c r="P77" s="563">
        <f>ROUND((N77),2)</f>
        <v>3.2</v>
      </c>
      <c r="Q77" s="398"/>
      <c r="R77" s="564"/>
      <c r="S77" s="398"/>
      <c r="T77" s="398"/>
      <c r="U77" s="398"/>
      <c r="V77" s="555"/>
      <c r="W77" s="555"/>
      <c r="X77" s="555"/>
    </row>
    <row r="78" spans="1:24" ht="15.75" customHeight="1">
      <c r="A78" s="355" t="s">
        <v>98</v>
      </c>
      <c r="B78" s="359" t="s">
        <v>793</v>
      </c>
      <c r="C78" s="348"/>
      <c r="D78" s="348"/>
      <c r="E78" s="348">
        <f>E77</f>
        <v>0.8</v>
      </c>
      <c r="F78" s="348">
        <v>8</v>
      </c>
      <c r="G78" s="348"/>
      <c r="H78" s="348"/>
      <c r="I78" s="348"/>
      <c r="J78" s="348">
        <v>0.25</v>
      </c>
      <c r="K78" s="348"/>
      <c r="L78" s="348">
        <f>10*10*0.006165</f>
        <v>0.61650000000000005</v>
      </c>
      <c r="M78" s="348">
        <f>M77</f>
        <v>4</v>
      </c>
      <c r="N78" s="348">
        <f>(E78+J78)*F78*L78*M78</f>
        <v>20.714400000000001</v>
      </c>
      <c r="O78" s="349" t="s">
        <v>100</v>
      </c>
      <c r="P78" s="563">
        <f>ROUND((N78),2)</f>
        <v>20.71</v>
      </c>
      <c r="Q78" s="398"/>
      <c r="R78" s="564"/>
      <c r="S78" s="398"/>
      <c r="T78" s="398"/>
      <c r="U78" s="398"/>
      <c r="V78" s="555"/>
      <c r="W78" s="555"/>
      <c r="X78" s="555"/>
    </row>
    <row r="79" spans="1:24" ht="15.75" customHeight="1">
      <c r="A79" s="355" t="s">
        <v>101</v>
      </c>
      <c r="B79" s="359" t="s">
        <v>905</v>
      </c>
      <c r="C79" s="348">
        <f>(0.17)*4</f>
        <v>0.68</v>
      </c>
      <c r="D79" s="348"/>
      <c r="E79" s="348"/>
      <c r="F79" s="348">
        <f>ROUNDDOWN((E78/0.15),0.1)</f>
        <v>5</v>
      </c>
      <c r="G79" s="348"/>
      <c r="H79" s="348"/>
      <c r="I79" s="348">
        <f>0.05*2</f>
        <v>0.1</v>
      </c>
      <c r="J79" s="348"/>
      <c r="K79" s="348"/>
      <c r="L79" s="348">
        <f>8*8*0.006165</f>
        <v>0.39456000000000002</v>
      </c>
      <c r="M79" s="348">
        <f>M78</f>
        <v>4</v>
      </c>
      <c r="N79" s="348">
        <f>(C79+I79)*F79*L79*M79</f>
        <v>6.1551360000000006</v>
      </c>
      <c r="O79" s="349" t="s">
        <v>100</v>
      </c>
      <c r="P79" s="563">
        <f>ROUND((N79),2)</f>
        <v>6.16</v>
      </c>
      <c r="Q79" s="398"/>
      <c r="R79" s="564"/>
      <c r="S79" s="398"/>
      <c r="T79" s="398"/>
      <c r="U79" s="398"/>
      <c r="V79" s="555"/>
      <c r="W79" s="555"/>
      <c r="X79" s="555"/>
    </row>
    <row r="80" spans="1:24" ht="15.75" customHeight="1">
      <c r="A80" s="355" t="s">
        <v>121</v>
      </c>
      <c r="B80" s="356" t="s">
        <v>169</v>
      </c>
      <c r="C80" s="348">
        <v>0.25</v>
      </c>
      <c r="D80" s="348">
        <v>0.25</v>
      </c>
      <c r="E80" s="348">
        <f>E77</f>
        <v>0.8</v>
      </c>
      <c r="F80" s="348"/>
      <c r="G80" s="348"/>
      <c r="H80" s="348"/>
      <c r="I80" s="348"/>
      <c r="J80" s="348"/>
      <c r="K80" s="348"/>
      <c r="L80" s="348"/>
      <c r="M80" s="348">
        <f>M78</f>
        <v>4</v>
      </c>
      <c r="N80" s="348">
        <f>C80*D80*E80*M80</f>
        <v>0.2</v>
      </c>
      <c r="O80" s="349" t="s">
        <v>103</v>
      </c>
      <c r="P80" s="563">
        <f>ROUND((N80),2)</f>
        <v>0.2</v>
      </c>
      <c r="Q80" s="398"/>
      <c r="R80" s="564"/>
      <c r="S80" s="398"/>
      <c r="T80" s="398"/>
      <c r="U80" s="398"/>
      <c r="V80" s="555"/>
      <c r="W80" s="555"/>
      <c r="X80" s="555"/>
    </row>
    <row r="81" spans="1:24" ht="15.75" customHeight="1">
      <c r="A81" s="350">
        <f>A76+1</f>
        <v>8</v>
      </c>
      <c r="B81" s="359" t="s">
        <v>421</v>
      </c>
      <c r="C81" s="348"/>
      <c r="D81" s="348"/>
      <c r="E81" s="348"/>
      <c r="F81" s="348"/>
      <c r="G81" s="348"/>
      <c r="H81" s="348"/>
      <c r="I81" s="348"/>
      <c r="J81" s="348"/>
      <c r="K81" s="348"/>
      <c r="L81" s="348"/>
      <c r="M81" s="348"/>
      <c r="N81" s="348"/>
      <c r="O81" s="349"/>
      <c r="P81" s="563"/>
      <c r="Q81" s="398"/>
      <c r="R81" s="564"/>
      <c r="S81" s="398"/>
      <c r="T81" s="398"/>
      <c r="U81" s="398"/>
      <c r="V81" s="555"/>
      <c r="W81" s="555"/>
      <c r="X81" s="555"/>
    </row>
    <row r="82" spans="1:24" ht="15.75" customHeight="1">
      <c r="A82" s="355" t="s">
        <v>95</v>
      </c>
      <c r="B82" s="359" t="s">
        <v>417</v>
      </c>
      <c r="C82" s="348"/>
      <c r="D82" s="348">
        <f>D77</f>
        <v>0.25</v>
      </c>
      <c r="E82" s="348">
        <f>3.88-0.3</f>
        <v>3.58</v>
      </c>
      <c r="F82" s="348"/>
      <c r="G82" s="348"/>
      <c r="H82" s="348">
        <f>H77</f>
        <v>4</v>
      </c>
      <c r="I82" s="348"/>
      <c r="J82" s="348"/>
      <c r="K82" s="348"/>
      <c r="L82" s="348"/>
      <c r="M82" s="348">
        <f>M77</f>
        <v>4</v>
      </c>
      <c r="N82" s="348">
        <f>D82*E82*H82*M82</f>
        <v>14.32</v>
      </c>
      <c r="O82" s="349" t="s">
        <v>89</v>
      </c>
      <c r="P82" s="563">
        <f>ROUND((N82),2)</f>
        <v>14.32</v>
      </c>
      <c r="Q82" s="398"/>
      <c r="R82" s="564"/>
      <c r="S82" s="398"/>
      <c r="T82" s="398"/>
      <c r="U82" s="398"/>
      <c r="V82" s="555"/>
      <c r="W82" s="555"/>
      <c r="X82" s="555"/>
    </row>
    <row r="83" spans="1:24" ht="15.75" customHeight="1">
      <c r="A83" s="355" t="s">
        <v>98</v>
      </c>
      <c r="B83" s="359" t="s">
        <v>793</v>
      </c>
      <c r="C83" s="348"/>
      <c r="D83" s="348"/>
      <c r="E83" s="348">
        <f>E82</f>
        <v>3.58</v>
      </c>
      <c r="F83" s="348">
        <f>F78</f>
        <v>8</v>
      </c>
      <c r="G83" s="348"/>
      <c r="H83" s="348"/>
      <c r="I83" s="348"/>
      <c r="J83" s="348">
        <f>J78</f>
        <v>0.25</v>
      </c>
      <c r="K83" s="348"/>
      <c r="L83" s="348">
        <f>L78</f>
        <v>0.61650000000000005</v>
      </c>
      <c r="M83" s="348">
        <f>M82</f>
        <v>4</v>
      </c>
      <c r="N83" s="348">
        <f>(E83+J83)*F83*L83*M83</f>
        <v>75.558240000000012</v>
      </c>
      <c r="O83" s="349" t="s">
        <v>100</v>
      </c>
      <c r="P83" s="563">
        <f>ROUND((N83),2)</f>
        <v>75.56</v>
      </c>
      <c r="Q83" s="398"/>
      <c r="R83" s="564"/>
      <c r="S83" s="398"/>
      <c r="T83" s="398"/>
      <c r="U83" s="398"/>
      <c r="V83" s="555"/>
      <c r="W83" s="555"/>
      <c r="X83" s="555"/>
    </row>
    <row r="84" spans="1:24" ht="15.75" customHeight="1">
      <c r="A84" s="355" t="s">
        <v>101</v>
      </c>
      <c r="B84" s="359" t="s">
        <v>905</v>
      </c>
      <c r="C84" s="348">
        <f>C79</f>
        <v>0.68</v>
      </c>
      <c r="D84" s="348"/>
      <c r="E84" s="348"/>
      <c r="F84" s="348">
        <f>ROUNDDOWN((E83/0.15),0.1)</f>
        <v>23</v>
      </c>
      <c r="G84" s="348"/>
      <c r="H84" s="348"/>
      <c r="I84" s="348">
        <f>I79</f>
        <v>0.1</v>
      </c>
      <c r="J84" s="348"/>
      <c r="K84" s="348"/>
      <c r="L84" s="348">
        <f>L79</f>
        <v>0.39456000000000002</v>
      </c>
      <c r="M84" s="348">
        <f>M83</f>
        <v>4</v>
      </c>
      <c r="N84" s="348">
        <f>(C84+I84)*F84*L84*M84</f>
        <v>28.313625600000005</v>
      </c>
      <c r="O84" s="349" t="s">
        <v>100</v>
      </c>
      <c r="P84" s="563">
        <f>ROUND((N84),2)</f>
        <v>28.31</v>
      </c>
      <c r="Q84" s="398"/>
      <c r="R84" s="564"/>
      <c r="S84" s="398"/>
      <c r="T84" s="398"/>
      <c r="U84" s="398"/>
      <c r="V84" s="555"/>
      <c r="W84" s="555"/>
      <c r="X84" s="555"/>
    </row>
    <row r="85" spans="1:24" ht="15.75" customHeight="1">
      <c r="A85" s="355" t="s">
        <v>121</v>
      </c>
      <c r="B85" s="356" t="s">
        <v>169</v>
      </c>
      <c r="C85" s="348">
        <f>C80</f>
        <v>0.25</v>
      </c>
      <c r="D85" s="348">
        <f>D80</f>
        <v>0.25</v>
      </c>
      <c r="E85" s="348">
        <f>E83</f>
        <v>3.58</v>
      </c>
      <c r="F85" s="348"/>
      <c r="G85" s="348"/>
      <c r="H85" s="348"/>
      <c r="I85" s="348"/>
      <c r="J85" s="348"/>
      <c r="K85" s="348"/>
      <c r="L85" s="348"/>
      <c r="M85" s="348">
        <f>M83</f>
        <v>4</v>
      </c>
      <c r="N85" s="348">
        <f>C85*D85*E85*M85</f>
        <v>0.89500000000000002</v>
      </c>
      <c r="O85" s="349" t="s">
        <v>103</v>
      </c>
      <c r="P85" s="563">
        <f>ROUND((N85),2)</f>
        <v>0.9</v>
      </c>
      <c r="Q85" s="398"/>
      <c r="R85" s="564"/>
      <c r="S85" s="398"/>
      <c r="T85" s="398"/>
      <c r="U85" s="398"/>
      <c r="V85" s="555"/>
      <c r="W85" s="555"/>
      <c r="X85" s="555"/>
    </row>
    <row r="86" spans="1:24" ht="15.75" customHeight="1">
      <c r="A86" s="350">
        <f>A81+1</f>
        <v>9</v>
      </c>
      <c r="B86" s="359" t="s">
        <v>422</v>
      </c>
      <c r="C86" s="348"/>
      <c r="D86" s="348"/>
      <c r="E86" s="348"/>
      <c r="F86" s="348"/>
      <c r="G86" s="348"/>
      <c r="H86" s="348"/>
      <c r="I86" s="348"/>
      <c r="J86" s="348"/>
      <c r="K86" s="348"/>
      <c r="L86" s="348"/>
      <c r="M86" s="348"/>
      <c r="N86" s="348"/>
      <c r="O86" s="349"/>
      <c r="P86" s="563"/>
      <c r="Q86" s="398"/>
      <c r="R86" s="564"/>
      <c r="S86" s="398"/>
      <c r="T86" s="398"/>
      <c r="U86" s="398"/>
      <c r="V86" s="555"/>
      <c r="W86" s="555"/>
      <c r="X86" s="555"/>
    </row>
    <row r="87" spans="1:24" ht="15.75" customHeight="1">
      <c r="A87" s="355" t="s">
        <v>95</v>
      </c>
      <c r="B87" s="359" t="s">
        <v>423</v>
      </c>
      <c r="C87" s="348"/>
      <c r="D87" s="348"/>
      <c r="E87" s="348"/>
      <c r="F87" s="348"/>
      <c r="G87" s="348"/>
      <c r="H87" s="348"/>
      <c r="I87" s="348"/>
      <c r="J87" s="348"/>
      <c r="K87" s="348"/>
      <c r="L87" s="348"/>
      <c r="M87" s="348"/>
      <c r="N87" s="348"/>
      <c r="O87" s="349"/>
      <c r="P87" s="563"/>
      <c r="Q87" s="398"/>
      <c r="R87" s="564"/>
      <c r="S87" s="398"/>
      <c r="T87" s="398"/>
      <c r="U87" s="398"/>
      <c r="V87" s="555"/>
      <c r="W87" s="555"/>
      <c r="X87" s="555"/>
    </row>
    <row r="88" spans="1:24" ht="15.75" customHeight="1">
      <c r="A88" s="355"/>
      <c r="B88" s="567" t="s">
        <v>201</v>
      </c>
      <c r="C88" s="348">
        <f>C63</f>
        <v>5</v>
      </c>
      <c r="D88" s="348"/>
      <c r="E88" s="348">
        <v>0.35</v>
      </c>
      <c r="F88" s="348"/>
      <c r="G88" s="348"/>
      <c r="H88" s="348">
        <v>2</v>
      </c>
      <c r="I88" s="348"/>
      <c r="J88" s="348"/>
      <c r="K88" s="348"/>
      <c r="L88" s="348"/>
      <c r="M88" s="348">
        <v>2</v>
      </c>
      <c r="N88" s="348">
        <f>C88*E88*H88*M88</f>
        <v>7</v>
      </c>
      <c r="O88" s="349"/>
      <c r="P88" s="563"/>
      <c r="Q88" s="398"/>
      <c r="R88" s="564"/>
      <c r="S88" s="398"/>
      <c r="T88" s="398"/>
      <c r="U88" s="398"/>
      <c r="V88" s="555"/>
      <c r="W88" s="555"/>
      <c r="X88" s="555"/>
    </row>
    <row r="89" spans="1:24" ht="15.75" customHeight="1">
      <c r="A89" s="355"/>
      <c r="B89" s="359"/>
      <c r="C89" s="348">
        <f>C88</f>
        <v>5</v>
      </c>
      <c r="D89" s="348">
        <v>0.2</v>
      </c>
      <c r="E89" s="348"/>
      <c r="F89" s="348"/>
      <c r="G89" s="348"/>
      <c r="H89" s="348">
        <v>1</v>
      </c>
      <c r="I89" s="348"/>
      <c r="J89" s="348"/>
      <c r="K89" s="348"/>
      <c r="L89" s="348"/>
      <c r="M89" s="348">
        <f>M88</f>
        <v>2</v>
      </c>
      <c r="N89" s="348">
        <f>C89*D89*H89*M89</f>
        <v>2</v>
      </c>
      <c r="O89" s="349"/>
      <c r="P89" s="563"/>
      <c r="Q89" s="398"/>
      <c r="R89" s="564"/>
      <c r="S89" s="398"/>
      <c r="T89" s="398"/>
      <c r="U89" s="398"/>
      <c r="V89" s="555"/>
      <c r="W89" s="555"/>
      <c r="X89" s="555"/>
    </row>
    <row r="90" spans="1:24" ht="15.75" customHeight="1">
      <c r="A90" s="355"/>
      <c r="B90" s="567" t="s">
        <v>202</v>
      </c>
      <c r="C90" s="348">
        <f>C64</f>
        <v>4</v>
      </c>
      <c r="D90" s="348"/>
      <c r="E90" s="348">
        <f>E88</f>
        <v>0.35</v>
      </c>
      <c r="F90" s="348"/>
      <c r="G90" s="348"/>
      <c r="H90" s="348">
        <f>H88</f>
        <v>2</v>
      </c>
      <c r="I90" s="348"/>
      <c r="J90" s="348"/>
      <c r="K90" s="348"/>
      <c r="L90" s="348"/>
      <c r="M90" s="348">
        <f>M88</f>
        <v>2</v>
      </c>
      <c r="N90" s="348">
        <f>C90*E90*H90*M90</f>
        <v>5.6</v>
      </c>
      <c r="O90" s="349"/>
      <c r="P90" s="563"/>
      <c r="Q90" s="398"/>
      <c r="R90" s="564"/>
      <c r="S90" s="398"/>
      <c r="T90" s="398"/>
      <c r="U90" s="398"/>
      <c r="V90" s="555"/>
      <c r="W90" s="555"/>
      <c r="X90" s="555"/>
    </row>
    <row r="91" spans="1:24" ht="15.75" customHeight="1">
      <c r="A91" s="355"/>
      <c r="B91" s="359"/>
      <c r="C91" s="348">
        <f>C90</f>
        <v>4</v>
      </c>
      <c r="D91" s="348">
        <f>D89</f>
        <v>0.2</v>
      </c>
      <c r="E91" s="348"/>
      <c r="F91" s="348"/>
      <c r="G91" s="348"/>
      <c r="H91" s="348">
        <f>H89</f>
        <v>1</v>
      </c>
      <c r="I91" s="348"/>
      <c r="J91" s="348"/>
      <c r="K91" s="348"/>
      <c r="L91" s="348"/>
      <c r="M91" s="348">
        <f>M90</f>
        <v>2</v>
      </c>
      <c r="N91" s="565">
        <f>C91*D91*H91*M91</f>
        <v>1.6</v>
      </c>
      <c r="O91" s="349"/>
      <c r="P91" s="563"/>
      <c r="Q91" s="398"/>
      <c r="R91" s="564"/>
      <c r="S91" s="398"/>
      <c r="T91" s="398"/>
      <c r="U91" s="398"/>
      <c r="V91" s="555"/>
      <c r="W91" s="555"/>
      <c r="X91" s="555"/>
    </row>
    <row r="92" spans="1:24" ht="15.75" customHeight="1">
      <c r="A92" s="355"/>
      <c r="B92" s="359"/>
      <c r="C92" s="348"/>
      <c r="D92" s="348"/>
      <c r="E92" s="348"/>
      <c r="F92" s="348"/>
      <c r="G92" s="348"/>
      <c r="H92" s="348"/>
      <c r="I92" s="348"/>
      <c r="J92" s="348"/>
      <c r="K92" s="348"/>
      <c r="L92" s="348"/>
      <c r="M92" s="348"/>
      <c r="N92" s="343">
        <f>SUM(N88:N91)/2</f>
        <v>8.1</v>
      </c>
      <c r="O92" s="349" t="s">
        <v>89</v>
      </c>
      <c r="P92" s="563">
        <f>ROUND((N92),2)</f>
        <v>8.1</v>
      </c>
      <c r="Q92" s="398"/>
      <c r="R92" s="564"/>
      <c r="S92" s="398"/>
      <c r="T92" s="398"/>
      <c r="U92" s="398"/>
      <c r="V92" s="555"/>
      <c r="W92" s="555"/>
      <c r="X92" s="555"/>
    </row>
    <row r="93" spans="1:24" ht="15.75" customHeight="1">
      <c r="A93" s="355" t="s">
        <v>98</v>
      </c>
      <c r="B93" s="359" t="s">
        <v>741</v>
      </c>
      <c r="C93" s="348"/>
      <c r="D93" s="348"/>
      <c r="E93" s="348"/>
      <c r="F93" s="348"/>
      <c r="G93" s="348"/>
      <c r="H93" s="348"/>
      <c r="I93" s="348"/>
      <c r="J93" s="348"/>
      <c r="K93" s="348"/>
      <c r="L93" s="348"/>
      <c r="M93" s="348"/>
      <c r="N93" s="348"/>
      <c r="O93" s="349"/>
      <c r="P93" s="563"/>
      <c r="Q93" s="398"/>
      <c r="R93" s="564"/>
      <c r="S93" s="398"/>
      <c r="T93" s="398"/>
      <c r="U93" s="398"/>
      <c r="V93" s="555"/>
      <c r="W93" s="555"/>
      <c r="X93" s="555"/>
    </row>
    <row r="94" spans="1:24" ht="15.75" customHeight="1">
      <c r="A94" s="355"/>
      <c r="B94" s="567" t="str">
        <f>B88</f>
        <v>vertical</v>
      </c>
      <c r="C94" s="348">
        <f>C88</f>
        <v>5</v>
      </c>
      <c r="D94" s="348"/>
      <c r="E94" s="348"/>
      <c r="F94" s="348">
        <v>5</v>
      </c>
      <c r="G94" s="348"/>
      <c r="H94" s="348"/>
      <c r="I94" s="348"/>
      <c r="J94" s="348"/>
      <c r="K94" s="348"/>
      <c r="L94" s="348">
        <f>10*10*0.006165</f>
        <v>0.61650000000000005</v>
      </c>
      <c r="M94" s="348">
        <f>M88</f>
        <v>2</v>
      </c>
      <c r="N94" s="348">
        <f>C94*F94*L94*M94</f>
        <v>30.825000000000003</v>
      </c>
      <c r="O94" s="349"/>
      <c r="P94" s="563"/>
      <c r="Q94" s="398"/>
      <c r="R94" s="564"/>
      <c r="S94" s="398"/>
      <c r="T94" s="398"/>
      <c r="U94" s="398"/>
      <c r="V94" s="555"/>
      <c r="W94" s="555"/>
      <c r="X94" s="555"/>
    </row>
    <row r="95" spans="1:24" ht="15.75" customHeight="1">
      <c r="A95" s="355"/>
      <c r="B95" s="567" t="str">
        <f>B90</f>
        <v>horizontal</v>
      </c>
      <c r="C95" s="348">
        <f>C90</f>
        <v>4</v>
      </c>
      <c r="D95" s="348"/>
      <c r="E95" s="348"/>
      <c r="F95" s="348">
        <f>F94</f>
        <v>5</v>
      </c>
      <c r="G95" s="348"/>
      <c r="H95" s="348"/>
      <c r="I95" s="348"/>
      <c r="J95" s="348"/>
      <c r="K95" s="348"/>
      <c r="L95" s="348">
        <f>L94</f>
        <v>0.61650000000000005</v>
      </c>
      <c r="M95" s="348">
        <f>M90</f>
        <v>2</v>
      </c>
      <c r="N95" s="565">
        <f>C95*F95*L95*M95</f>
        <v>24.660000000000004</v>
      </c>
      <c r="O95" s="349"/>
      <c r="P95" s="563"/>
      <c r="Q95" s="398"/>
      <c r="R95" s="564"/>
      <c r="S95" s="398"/>
      <c r="T95" s="398"/>
      <c r="U95" s="398"/>
      <c r="V95" s="555"/>
      <c r="W95" s="555"/>
      <c r="X95" s="555"/>
    </row>
    <row r="96" spans="1:24" ht="15.75" customHeight="1">
      <c r="A96" s="355"/>
      <c r="B96" s="359"/>
      <c r="C96" s="348"/>
      <c r="D96" s="348"/>
      <c r="E96" s="348"/>
      <c r="F96" s="348"/>
      <c r="G96" s="348"/>
      <c r="H96" s="348"/>
      <c r="I96" s="348"/>
      <c r="J96" s="348"/>
      <c r="K96" s="348"/>
      <c r="L96" s="348"/>
      <c r="M96" s="348"/>
      <c r="N96" s="343">
        <f>SUM(N94:N95)</f>
        <v>55.485000000000007</v>
      </c>
      <c r="O96" s="349" t="s">
        <v>100</v>
      </c>
      <c r="P96" s="563">
        <f>ROUND((N96),2)</f>
        <v>55.49</v>
      </c>
      <c r="Q96" s="398"/>
      <c r="R96" s="564"/>
      <c r="S96" s="398"/>
      <c r="T96" s="398"/>
      <c r="U96" s="398"/>
      <c r="V96" s="555"/>
      <c r="W96" s="555"/>
      <c r="X96" s="555"/>
    </row>
    <row r="97" spans="1:24" ht="15.75" customHeight="1">
      <c r="A97" s="355" t="s">
        <v>101</v>
      </c>
      <c r="B97" s="359" t="s">
        <v>428</v>
      </c>
      <c r="C97" s="348"/>
      <c r="D97" s="348"/>
      <c r="E97" s="348"/>
      <c r="F97" s="348"/>
      <c r="G97" s="348"/>
      <c r="H97" s="348"/>
      <c r="I97" s="348"/>
      <c r="J97" s="348"/>
      <c r="K97" s="348"/>
      <c r="L97" s="348"/>
      <c r="M97" s="348"/>
      <c r="N97" s="348"/>
      <c r="O97" s="349"/>
      <c r="P97" s="563"/>
      <c r="Q97" s="398"/>
      <c r="R97" s="564"/>
      <c r="S97" s="398"/>
      <c r="T97" s="398"/>
      <c r="U97" s="398"/>
      <c r="V97" s="555"/>
      <c r="W97" s="555"/>
      <c r="X97" s="555"/>
    </row>
    <row r="98" spans="1:24" ht="15.75" customHeight="1">
      <c r="A98" s="355"/>
      <c r="B98" s="567" t="str">
        <f>B94</f>
        <v>vertical</v>
      </c>
      <c r="C98" s="348">
        <f>(0.12+0.27)*2</f>
        <v>0.78</v>
      </c>
      <c r="D98" s="348"/>
      <c r="E98" s="348"/>
      <c r="F98" s="348">
        <f>ROUNDDOWN((C94/0.125),0.1)</f>
        <v>40</v>
      </c>
      <c r="G98" s="348"/>
      <c r="H98" s="348"/>
      <c r="I98" s="348">
        <f>0.05*2</f>
        <v>0.1</v>
      </c>
      <c r="J98" s="348"/>
      <c r="K98" s="348"/>
      <c r="L98" s="348">
        <f>8*8*0.006165</f>
        <v>0.39456000000000002</v>
      </c>
      <c r="M98" s="348">
        <f>M94</f>
        <v>2</v>
      </c>
      <c r="N98" s="348">
        <f>(C98+I98)*F98*L98*M98</f>
        <v>27.777024000000004</v>
      </c>
      <c r="O98" s="349"/>
      <c r="P98" s="563"/>
      <c r="Q98" s="398"/>
      <c r="R98" s="564"/>
      <c r="S98" s="398"/>
      <c r="T98" s="398"/>
      <c r="U98" s="398"/>
      <c r="V98" s="555"/>
      <c r="W98" s="555"/>
      <c r="X98" s="555"/>
    </row>
    <row r="99" spans="1:24" ht="15.75" customHeight="1">
      <c r="A99" s="355"/>
      <c r="B99" s="567" t="str">
        <f>B95</f>
        <v>horizontal</v>
      </c>
      <c r="C99" s="348">
        <f>C98</f>
        <v>0.78</v>
      </c>
      <c r="D99" s="348"/>
      <c r="E99" s="348"/>
      <c r="F99" s="348">
        <f>ROUNDDOWN((C95/0.125),0.1)</f>
        <v>32</v>
      </c>
      <c r="G99" s="348"/>
      <c r="H99" s="348"/>
      <c r="I99" s="348">
        <f>I98</f>
        <v>0.1</v>
      </c>
      <c r="J99" s="348"/>
      <c r="K99" s="348"/>
      <c r="L99" s="348">
        <f>L98</f>
        <v>0.39456000000000002</v>
      </c>
      <c r="M99" s="348">
        <f>M95</f>
        <v>2</v>
      </c>
      <c r="N99" s="565">
        <f>(C99+I99)*F99*L99*M99</f>
        <v>22.221619200000003</v>
      </c>
      <c r="O99" s="349"/>
      <c r="P99" s="563"/>
      <c r="Q99" s="398"/>
      <c r="R99" s="564"/>
      <c r="S99" s="398"/>
      <c r="T99" s="398"/>
      <c r="U99" s="398"/>
      <c r="V99" s="555"/>
      <c r="W99" s="555"/>
      <c r="X99" s="555"/>
    </row>
    <row r="100" spans="1:24" ht="15.75" customHeight="1">
      <c r="A100" s="355"/>
      <c r="B100" s="359"/>
      <c r="C100" s="348"/>
      <c r="D100" s="348"/>
      <c r="E100" s="348"/>
      <c r="F100" s="348"/>
      <c r="G100" s="348"/>
      <c r="H100" s="348"/>
      <c r="I100" s="348"/>
      <c r="J100" s="348"/>
      <c r="K100" s="348"/>
      <c r="L100" s="348"/>
      <c r="M100" s="348"/>
      <c r="N100" s="343">
        <f>SUM(N98:N99)</f>
        <v>49.998643200000004</v>
      </c>
      <c r="O100" s="349" t="s">
        <v>100</v>
      </c>
      <c r="P100" s="563">
        <f>ROUND((N100),2)</f>
        <v>50</v>
      </c>
      <c r="Q100" s="398"/>
      <c r="R100" s="564"/>
      <c r="S100" s="398"/>
      <c r="T100" s="398"/>
      <c r="U100" s="398"/>
      <c r="V100" s="555"/>
      <c r="W100" s="555"/>
      <c r="X100" s="555"/>
    </row>
    <row r="101" spans="1:24" ht="15.75" customHeight="1">
      <c r="A101" s="355" t="s">
        <v>121</v>
      </c>
      <c r="B101" s="356" t="s">
        <v>169</v>
      </c>
      <c r="C101" s="348"/>
      <c r="D101" s="348"/>
      <c r="E101" s="348"/>
      <c r="F101" s="348"/>
      <c r="G101" s="348"/>
      <c r="H101" s="348"/>
      <c r="I101" s="348"/>
      <c r="J101" s="348"/>
      <c r="K101" s="348"/>
      <c r="L101" s="348"/>
      <c r="M101" s="348"/>
      <c r="N101" s="348"/>
      <c r="O101" s="349"/>
      <c r="P101" s="563"/>
      <c r="Q101" s="398"/>
      <c r="R101" s="564"/>
      <c r="S101" s="398"/>
      <c r="T101" s="398"/>
      <c r="U101" s="398"/>
      <c r="V101" s="555"/>
      <c r="W101" s="555"/>
      <c r="X101" s="555"/>
    </row>
    <row r="102" spans="1:24" ht="15.75" customHeight="1">
      <c r="A102" s="355"/>
      <c r="B102" s="567" t="str">
        <f>B98</f>
        <v>vertical</v>
      </c>
      <c r="C102" s="348">
        <f>C94</f>
        <v>5</v>
      </c>
      <c r="D102" s="348">
        <f>D89</f>
        <v>0.2</v>
      </c>
      <c r="E102" s="348">
        <f>E88</f>
        <v>0.35</v>
      </c>
      <c r="F102" s="348"/>
      <c r="G102" s="348"/>
      <c r="H102" s="348"/>
      <c r="I102" s="348"/>
      <c r="J102" s="348"/>
      <c r="K102" s="348"/>
      <c r="L102" s="348"/>
      <c r="M102" s="348">
        <f>M98</f>
        <v>2</v>
      </c>
      <c r="N102" s="348">
        <f>C102*D102*E102*M102</f>
        <v>0.7</v>
      </c>
      <c r="O102" s="349"/>
      <c r="P102" s="563"/>
      <c r="Q102" s="398"/>
      <c r="R102" s="564"/>
      <c r="S102" s="398"/>
      <c r="T102" s="398"/>
      <c r="U102" s="398"/>
      <c r="V102" s="555"/>
      <c r="W102" s="555"/>
      <c r="X102" s="555"/>
    </row>
    <row r="103" spans="1:24" ht="15.75" customHeight="1">
      <c r="A103" s="355"/>
      <c r="B103" s="567" t="str">
        <f>B99</f>
        <v>horizontal</v>
      </c>
      <c r="C103" s="348">
        <f>C95</f>
        <v>4</v>
      </c>
      <c r="D103" s="348">
        <f>D102</f>
        <v>0.2</v>
      </c>
      <c r="E103" s="348">
        <f>E102</f>
        <v>0.35</v>
      </c>
      <c r="F103" s="348"/>
      <c r="G103" s="348"/>
      <c r="H103" s="348"/>
      <c r="I103" s="348"/>
      <c r="J103" s="348"/>
      <c r="K103" s="348"/>
      <c r="L103" s="348"/>
      <c r="M103" s="348">
        <f>M99</f>
        <v>2</v>
      </c>
      <c r="N103" s="565">
        <f>C103*D103*E103*M103</f>
        <v>0.55999999999999994</v>
      </c>
      <c r="O103" s="349"/>
      <c r="P103" s="563"/>
      <c r="Q103" s="398"/>
      <c r="R103" s="564"/>
      <c r="S103" s="398"/>
      <c r="T103" s="398"/>
      <c r="U103" s="398"/>
      <c r="V103" s="555"/>
      <c r="W103" s="555"/>
      <c r="X103" s="555"/>
    </row>
    <row r="104" spans="1:24" ht="15.75" customHeight="1">
      <c r="A104" s="355"/>
      <c r="B104" s="359"/>
      <c r="C104" s="348"/>
      <c r="D104" s="348"/>
      <c r="E104" s="348"/>
      <c r="F104" s="348"/>
      <c r="G104" s="348"/>
      <c r="H104" s="348"/>
      <c r="I104" s="348"/>
      <c r="J104" s="348"/>
      <c r="K104" s="348"/>
      <c r="L104" s="348"/>
      <c r="M104" s="348"/>
      <c r="N104" s="343">
        <f>SUM(N102:N103)</f>
        <v>1.2599999999999998</v>
      </c>
      <c r="O104" s="349" t="s">
        <v>103</v>
      </c>
      <c r="P104" s="563">
        <f>ROUND((N104),2)</f>
        <v>1.26</v>
      </c>
      <c r="Q104" s="398"/>
      <c r="R104" s="564"/>
      <c r="S104" s="398"/>
      <c r="T104" s="398"/>
      <c r="U104" s="398"/>
      <c r="V104" s="555"/>
      <c r="W104" s="555"/>
      <c r="X104" s="555"/>
    </row>
    <row r="105" spans="1:24" ht="15.75" hidden="1" customHeight="1">
      <c r="A105" s="350">
        <f>A86+1</f>
        <v>10</v>
      </c>
      <c r="B105" s="359" t="s">
        <v>532</v>
      </c>
      <c r="C105" s="348"/>
      <c r="D105" s="348"/>
      <c r="E105" s="348"/>
      <c r="F105" s="348"/>
      <c r="G105" s="348"/>
      <c r="H105" s="348"/>
      <c r="I105" s="348"/>
      <c r="J105" s="348"/>
      <c r="K105" s="348"/>
      <c r="L105" s="348"/>
      <c r="M105" s="348"/>
      <c r="N105" s="343"/>
      <c r="O105" s="349"/>
      <c r="P105" s="563"/>
      <c r="Q105" s="398"/>
      <c r="R105" s="564"/>
      <c r="S105" s="398"/>
      <c r="T105" s="398"/>
      <c r="U105" s="398"/>
      <c r="V105" s="555"/>
      <c r="W105" s="555"/>
      <c r="X105" s="555"/>
    </row>
    <row r="106" spans="1:24" ht="15.75" hidden="1" customHeight="1">
      <c r="A106" s="355" t="s">
        <v>95</v>
      </c>
      <c r="B106" s="359" t="s">
        <v>423</v>
      </c>
      <c r="C106" s="348">
        <f>1/8*4</f>
        <v>0.5</v>
      </c>
      <c r="D106" s="348"/>
      <c r="E106" s="348">
        <v>0.15</v>
      </c>
      <c r="F106" s="348"/>
      <c r="G106" s="348"/>
      <c r="H106" s="348">
        <v>3</v>
      </c>
      <c r="I106" s="348"/>
      <c r="J106" s="348"/>
      <c r="K106" s="348"/>
      <c r="L106" s="348"/>
      <c r="M106" s="348">
        <f>M82</f>
        <v>4</v>
      </c>
      <c r="N106" s="343">
        <f>C106*E106*H106*M106</f>
        <v>0.89999999999999991</v>
      </c>
      <c r="O106" s="349" t="s">
        <v>89</v>
      </c>
      <c r="P106" s="563">
        <f>ROUND((N106),2)</f>
        <v>0.9</v>
      </c>
      <c r="Q106" s="398"/>
      <c r="R106" s="564"/>
      <c r="S106" s="398"/>
      <c r="T106" s="398"/>
      <c r="U106" s="398"/>
      <c r="V106" s="555"/>
      <c r="W106" s="555"/>
      <c r="X106" s="555"/>
    </row>
    <row r="107" spans="1:24" ht="15.75" hidden="1" customHeight="1">
      <c r="A107" s="355" t="s">
        <v>98</v>
      </c>
      <c r="B107" s="359" t="s">
        <v>741</v>
      </c>
      <c r="C107" s="348">
        <f>C106+(0.05*2)</f>
        <v>0.6</v>
      </c>
      <c r="D107" s="348"/>
      <c r="E107" s="348"/>
      <c r="F107" s="348">
        <v>5</v>
      </c>
      <c r="G107" s="348"/>
      <c r="H107" s="348"/>
      <c r="I107" s="348">
        <f>0.02*2</f>
        <v>0.04</v>
      </c>
      <c r="J107" s="348">
        <f>0.05*2</f>
        <v>0.1</v>
      </c>
      <c r="K107" s="348"/>
      <c r="L107" s="348">
        <f>10*10*0.006165</f>
        <v>0.61650000000000005</v>
      </c>
      <c r="M107" s="348">
        <f>M106</f>
        <v>4</v>
      </c>
      <c r="N107" s="348">
        <f>(C107+I107+J107)*F107*L107*M107</f>
        <v>9.1242000000000019</v>
      </c>
      <c r="O107" s="349" t="s">
        <v>100</v>
      </c>
      <c r="P107" s="563">
        <f>ROUND((N107),2)</f>
        <v>9.1199999999999992</v>
      </c>
      <c r="Q107" s="398"/>
      <c r="R107" s="564"/>
      <c r="S107" s="398"/>
      <c r="T107" s="398"/>
      <c r="U107" s="398"/>
      <c r="V107" s="555"/>
      <c r="W107" s="555"/>
      <c r="X107" s="555"/>
    </row>
    <row r="108" spans="1:24" ht="15.75" hidden="1" customHeight="1">
      <c r="A108" s="355" t="s">
        <v>101</v>
      </c>
      <c r="B108" s="359" t="s">
        <v>525</v>
      </c>
      <c r="C108" s="348">
        <f>C79</f>
        <v>0.68</v>
      </c>
      <c r="D108" s="348"/>
      <c r="E108" s="348"/>
      <c r="F108" s="348">
        <f>ROUNDDOWN((C107/0.125),0.1)</f>
        <v>4</v>
      </c>
      <c r="G108" s="348"/>
      <c r="H108" s="348"/>
      <c r="I108" s="348">
        <f>0.05*2</f>
        <v>0.1</v>
      </c>
      <c r="J108" s="348"/>
      <c r="K108" s="348"/>
      <c r="L108" s="348">
        <f>6*6*0.006165</f>
        <v>0.22194000000000003</v>
      </c>
      <c r="M108" s="348">
        <f>M107</f>
        <v>4</v>
      </c>
      <c r="N108" s="348">
        <f>(C108+I108)*F108*L108*M108</f>
        <v>2.7698112000000004</v>
      </c>
      <c r="O108" s="349" t="s">
        <v>100</v>
      </c>
      <c r="P108" s="563">
        <f>ROUND((N108),2)</f>
        <v>2.77</v>
      </c>
      <c r="Q108" s="398"/>
      <c r="R108" s="564"/>
      <c r="S108" s="398"/>
      <c r="T108" s="398"/>
      <c r="U108" s="398"/>
      <c r="V108" s="555"/>
      <c r="W108" s="555"/>
      <c r="X108" s="555"/>
    </row>
    <row r="109" spans="1:24" ht="15.75" hidden="1" customHeight="1">
      <c r="A109" s="355" t="s">
        <v>121</v>
      </c>
      <c r="B109" s="356" t="s">
        <v>169</v>
      </c>
      <c r="C109" s="348">
        <f>C106</f>
        <v>0.5</v>
      </c>
      <c r="D109" s="348">
        <v>0.15</v>
      </c>
      <c r="E109" s="348">
        <v>0.15</v>
      </c>
      <c r="F109" s="348"/>
      <c r="G109" s="348"/>
      <c r="H109" s="348"/>
      <c r="I109" s="348"/>
      <c r="J109" s="348"/>
      <c r="K109" s="348"/>
      <c r="L109" s="348"/>
      <c r="M109" s="348">
        <f>M108</f>
        <v>4</v>
      </c>
      <c r="N109" s="343">
        <f>C109*D109*E109*M109</f>
        <v>4.4999999999999998E-2</v>
      </c>
      <c r="O109" s="349" t="s">
        <v>103</v>
      </c>
      <c r="P109" s="563">
        <f>ROUND((N109),2)</f>
        <v>0.05</v>
      </c>
      <c r="Q109" s="398"/>
      <c r="R109" s="564"/>
      <c r="S109" s="398"/>
      <c r="T109" s="398"/>
      <c r="U109" s="398"/>
      <c r="V109" s="555"/>
      <c r="W109" s="555"/>
      <c r="X109" s="555"/>
    </row>
    <row r="110" spans="1:24" s="580" customFormat="1" ht="15.75" hidden="1" customHeight="1">
      <c r="A110" s="584">
        <f>A86+1</f>
        <v>10</v>
      </c>
      <c r="B110" s="583" t="s">
        <v>553</v>
      </c>
      <c r="C110" s="573"/>
      <c r="D110" s="573"/>
      <c r="E110" s="573"/>
      <c r="F110" s="573"/>
      <c r="G110" s="573"/>
      <c r="H110" s="573"/>
      <c r="I110" s="573"/>
      <c r="J110" s="573"/>
      <c r="K110" s="573"/>
      <c r="L110" s="573"/>
      <c r="M110" s="573"/>
      <c r="N110" s="573"/>
      <c r="O110" s="575"/>
      <c r="P110" s="576"/>
      <c r="Q110" s="577"/>
      <c r="R110" s="578"/>
      <c r="S110" s="577"/>
      <c r="T110" s="577"/>
      <c r="U110" s="577"/>
      <c r="V110" s="579"/>
      <c r="W110" s="579"/>
      <c r="X110" s="579"/>
    </row>
    <row r="111" spans="1:24" s="580" customFormat="1" ht="15.75" hidden="1" customHeight="1">
      <c r="A111" s="571" t="s">
        <v>95</v>
      </c>
      <c r="B111" s="583" t="s">
        <v>423</v>
      </c>
      <c r="C111" s="573"/>
      <c r="D111" s="573"/>
      <c r="E111" s="573"/>
      <c r="F111" s="573"/>
      <c r="G111" s="573"/>
      <c r="H111" s="573"/>
      <c r="I111" s="573"/>
      <c r="J111" s="573"/>
      <c r="K111" s="573"/>
      <c r="L111" s="573"/>
      <c r="M111" s="573"/>
      <c r="N111" s="573"/>
      <c r="O111" s="575"/>
      <c r="P111" s="576"/>
      <c r="Q111" s="577"/>
      <c r="R111" s="578"/>
      <c r="S111" s="577"/>
      <c r="T111" s="577"/>
      <c r="U111" s="577"/>
      <c r="V111" s="579"/>
      <c r="W111" s="579"/>
      <c r="X111" s="579"/>
    </row>
    <row r="112" spans="1:24" s="580" customFormat="1" ht="15.75" hidden="1" customHeight="1">
      <c r="A112" s="571"/>
      <c r="B112" s="581" t="s">
        <v>202</v>
      </c>
      <c r="C112" s="573">
        <v>5</v>
      </c>
      <c r="D112" s="573"/>
      <c r="E112" s="573">
        <f>E88</f>
        <v>0.35</v>
      </c>
      <c r="F112" s="573"/>
      <c r="G112" s="573"/>
      <c r="H112" s="573">
        <f>H88</f>
        <v>2</v>
      </c>
      <c r="I112" s="573"/>
      <c r="J112" s="573"/>
      <c r="K112" s="573"/>
      <c r="L112" s="573"/>
      <c r="M112" s="573">
        <v>0</v>
      </c>
      <c r="N112" s="573">
        <f>C112*E112*H112*M112</f>
        <v>0</v>
      </c>
      <c r="O112" s="575"/>
      <c r="P112" s="576"/>
      <c r="Q112" s="577"/>
      <c r="R112" s="578"/>
      <c r="S112" s="577"/>
      <c r="T112" s="577"/>
      <c r="U112" s="577"/>
      <c r="V112" s="579"/>
      <c r="W112" s="579"/>
      <c r="X112" s="579"/>
    </row>
    <row r="113" spans="1:24" s="580" customFormat="1" ht="15.75" hidden="1" customHeight="1">
      <c r="A113" s="571"/>
      <c r="B113" s="583"/>
      <c r="C113" s="573">
        <f>C112</f>
        <v>5</v>
      </c>
      <c r="D113" s="573">
        <f>D89</f>
        <v>0.2</v>
      </c>
      <c r="E113" s="573"/>
      <c r="F113" s="573"/>
      <c r="G113" s="573"/>
      <c r="H113" s="573">
        <f>H89</f>
        <v>1</v>
      </c>
      <c r="I113" s="573"/>
      <c r="J113" s="573"/>
      <c r="K113" s="573"/>
      <c r="L113" s="573"/>
      <c r="M113" s="573">
        <f>M112</f>
        <v>0</v>
      </c>
      <c r="N113" s="582">
        <f>C113*D113*H113*M113</f>
        <v>0</v>
      </c>
      <c r="O113" s="575"/>
      <c r="P113" s="576"/>
      <c r="Q113" s="577"/>
      <c r="R113" s="578"/>
      <c r="S113" s="577"/>
      <c r="T113" s="577"/>
      <c r="U113" s="577"/>
      <c r="V113" s="579"/>
      <c r="W113" s="579"/>
      <c r="X113" s="579"/>
    </row>
    <row r="114" spans="1:24" s="580" customFormat="1" ht="15.75" hidden="1" customHeight="1">
      <c r="A114" s="571"/>
      <c r="B114" s="583"/>
      <c r="C114" s="573"/>
      <c r="D114" s="573"/>
      <c r="E114" s="573"/>
      <c r="F114" s="573"/>
      <c r="G114" s="573"/>
      <c r="H114" s="573"/>
      <c r="I114" s="573"/>
      <c r="J114" s="573"/>
      <c r="K114" s="573"/>
      <c r="L114" s="573"/>
      <c r="M114" s="573"/>
      <c r="N114" s="574">
        <f>SUM(N112:N113)</f>
        <v>0</v>
      </c>
      <c r="O114" s="575" t="s">
        <v>89</v>
      </c>
      <c r="P114" s="576">
        <f>ROUND((N114),2)</f>
        <v>0</v>
      </c>
      <c r="Q114" s="577"/>
      <c r="R114" s="578"/>
      <c r="S114" s="577"/>
      <c r="T114" s="577"/>
      <c r="U114" s="577"/>
      <c r="V114" s="579"/>
      <c r="W114" s="579"/>
      <c r="X114" s="579"/>
    </row>
    <row r="115" spans="1:24" s="580" customFormat="1" ht="15.75" hidden="1" customHeight="1">
      <c r="A115" s="571" t="s">
        <v>98</v>
      </c>
      <c r="B115" s="583" t="s">
        <v>741</v>
      </c>
      <c r="C115" s="573"/>
      <c r="D115" s="573"/>
      <c r="E115" s="573"/>
      <c r="F115" s="573"/>
      <c r="G115" s="573"/>
      <c r="H115" s="573"/>
      <c r="I115" s="573"/>
      <c r="J115" s="573"/>
      <c r="K115" s="573"/>
      <c r="L115" s="573"/>
      <c r="M115" s="573"/>
      <c r="N115" s="573"/>
      <c r="O115" s="575"/>
      <c r="P115" s="576"/>
      <c r="Q115" s="577"/>
      <c r="R115" s="578"/>
      <c r="S115" s="577"/>
      <c r="T115" s="577"/>
      <c r="U115" s="577"/>
      <c r="V115" s="579"/>
      <c r="W115" s="579"/>
      <c r="X115" s="579"/>
    </row>
    <row r="116" spans="1:24" s="580" customFormat="1" ht="15.75" hidden="1" customHeight="1">
      <c r="A116" s="571"/>
      <c r="B116" s="581" t="str">
        <f>B112</f>
        <v>horizontal</v>
      </c>
      <c r="C116" s="573">
        <f>C112</f>
        <v>5</v>
      </c>
      <c r="D116" s="573"/>
      <c r="E116" s="573"/>
      <c r="F116" s="573">
        <v>5</v>
      </c>
      <c r="G116" s="573"/>
      <c r="H116" s="573"/>
      <c r="I116" s="573"/>
      <c r="J116" s="573"/>
      <c r="K116" s="573"/>
      <c r="L116" s="573">
        <f>10*10*0.006165</f>
        <v>0.61650000000000005</v>
      </c>
      <c r="M116" s="573">
        <f>M112</f>
        <v>0</v>
      </c>
      <c r="N116" s="582">
        <f>C116*F116*L116*M116</f>
        <v>0</v>
      </c>
      <c r="O116" s="575"/>
      <c r="P116" s="576"/>
      <c r="Q116" s="577"/>
      <c r="R116" s="578"/>
      <c r="S116" s="577"/>
      <c r="T116" s="577"/>
      <c r="U116" s="577"/>
      <c r="V116" s="579"/>
      <c r="W116" s="579"/>
      <c r="X116" s="579"/>
    </row>
    <row r="117" spans="1:24" s="580" customFormat="1" ht="15.75" hidden="1" customHeight="1">
      <c r="A117" s="571"/>
      <c r="B117" s="583"/>
      <c r="C117" s="573"/>
      <c r="D117" s="573"/>
      <c r="E117" s="573"/>
      <c r="F117" s="573"/>
      <c r="G117" s="573"/>
      <c r="H117" s="573"/>
      <c r="I117" s="573"/>
      <c r="J117" s="573"/>
      <c r="K117" s="573"/>
      <c r="L117" s="573"/>
      <c r="M117" s="573"/>
      <c r="N117" s="574">
        <f>SUM(N116:N116)</f>
        <v>0</v>
      </c>
      <c r="O117" s="575" t="s">
        <v>100</v>
      </c>
      <c r="P117" s="576">
        <f>ROUND((N117),2)</f>
        <v>0</v>
      </c>
      <c r="Q117" s="577"/>
      <c r="R117" s="578"/>
      <c r="S117" s="577"/>
      <c r="T117" s="577"/>
      <c r="U117" s="577"/>
      <c r="V117" s="579"/>
      <c r="W117" s="579"/>
      <c r="X117" s="579"/>
    </row>
    <row r="118" spans="1:24" s="580" customFormat="1" ht="15.75" hidden="1" customHeight="1">
      <c r="A118" s="571" t="s">
        <v>101</v>
      </c>
      <c r="B118" s="583" t="s">
        <v>428</v>
      </c>
      <c r="C118" s="573"/>
      <c r="D118" s="573"/>
      <c r="E118" s="573"/>
      <c r="F118" s="573"/>
      <c r="G118" s="573"/>
      <c r="H118" s="573"/>
      <c r="I118" s="573"/>
      <c r="J118" s="573"/>
      <c r="K118" s="573"/>
      <c r="L118" s="573"/>
      <c r="M118" s="573"/>
      <c r="N118" s="573"/>
      <c r="O118" s="575"/>
      <c r="P118" s="576"/>
      <c r="Q118" s="577"/>
      <c r="R118" s="578"/>
      <c r="S118" s="577"/>
      <c r="T118" s="577"/>
      <c r="U118" s="577"/>
      <c r="V118" s="579"/>
      <c r="W118" s="579"/>
      <c r="X118" s="579"/>
    </row>
    <row r="119" spans="1:24" s="580" customFormat="1" ht="15.75" hidden="1" customHeight="1">
      <c r="A119" s="571"/>
      <c r="B119" s="581" t="str">
        <f>B116</f>
        <v>horizontal</v>
      </c>
      <c r="C119" s="573">
        <f>C98</f>
        <v>0.78</v>
      </c>
      <c r="D119" s="573"/>
      <c r="E119" s="573"/>
      <c r="F119" s="573">
        <f>ROUNDDOWN((C116/0.125),0.1)</f>
        <v>40</v>
      </c>
      <c r="G119" s="573"/>
      <c r="H119" s="573"/>
      <c r="I119" s="573">
        <f>0.05*2</f>
        <v>0.1</v>
      </c>
      <c r="J119" s="573"/>
      <c r="K119" s="573"/>
      <c r="L119" s="573">
        <f>8*8*0.006165</f>
        <v>0.39456000000000002</v>
      </c>
      <c r="M119" s="573">
        <f>M116</f>
        <v>0</v>
      </c>
      <c r="N119" s="582">
        <f>(C119+I119)*F119*L119*M119</f>
        <v>0</v>
      </c>
      <c r="O119" s="575"/>
      <c r="P119" s="576"/>
      <c r="Q119" s="577"/>
      <c r="R119" s="578"/>
      <c r="S119" s="577"/>
      <c r="T119" s="577"/>
      <c r="U119" s="577"/>
      <c r="V119" s="579"/>
      <c r="W119" s="579"/>
      <c r="X119" s="579"/>
    </row>
    <row r="120" spans="1:24" s="580" customFormat="1" ht="15.75" hidden="1" customHeight="1">
      <c r="A120" s="571"/>
      <c r="B120" s="583"/>
      <c r="C120" s="573"/>
      <c r="D120" s="573"/>
      <c r="E120" s="573"/>
      <c r="F120" s="573"/>
      <c r="G120" s="573"/>
      <c r="H120" s="573"/>
      <c r="I120" s="573"/>
      <c r="J120" s="573"/>
      <c r="K120" s="573"/>
      <c r="L120" s="573"/>
      <c r="M120" s="573"/>
      <c r="N120" s="574">
        <f>SUM(N119:N119)</f>
        <v>0</v>
      </c>
      <c r="O120" s="575" t="s">
        <v>100</v>
      </c>
      <c r="P120" s="576">
        <f>ROUND((N120),2)</f>
        <v>0</v>
      </c>
      <c r="Q120" s="577"/>
      <c r="R120" s="578"/>
      <c r="S120" s="577"/>
      <c r="T120" s="577"/>
      <c r="U120" s="577"/>
      <c r="V120" s="579"/>
      <c r="W120" s="579"/>
      <c r="X120" s="579"/>
    </row>
    <row r="121" spans="1:24" s="580" customFormat="1" ht="15.75" hidden="1" customHeight="1">
      <c r="A121" s="571" t="s">
        <v>121</v>
      </c>
      <c r="B121" s="585" t="s">
        <v>169</v>
      </c>
      <c r="C121" s="573"/>
      <c r="D121" s="573"/>
      <c r="E121" s="573"/>
      <c r="F121" s="573"/>
      <c r="G121" s="573"/>
      <c r="H121" s="573"/>
      <c r="I121" s="573"/>
      <c r="J121" s="573"/>
      <c r="K121" s="573"/>
      <c r="L121" s="573"/>
      <c r="M121" s="573"/>
      <c r="N121" s="573"/>
      <c r="O121" s="575"/>
      <c r="P121" s="576"/>
      <c r="Q121" s="577"/>
      <c r="R121" s="578"/>
      <c r="S121" s="577"/>
      <c r="T121" s="577"/>
      <c r="U121" s="577"/>
      <c r="V121" s="579"/>
      <c r="W121" s="579"/>
      <c r="X121" s="579"/>
    </row>
    <row r="122" spans="1:24" s="580" customFormat="1" ht="15.75" hidden="1" customHeight="1">
      <c r="A122" s="571"/>
      <c r="B122" s="581" t="str">
        <f>B119</f>
        <v>horizontal</v>
      </c>
      <c r="C122" s="573">
        <f>C116</f>
        <v>5</v>
      </c>
      <c r="D122" s="573">
        <f>D113</f>
        <v>0.2</v>
      </c>
      <c r="E122" s="573">
        <f>E112</f>
        <v>0.35</v>
      </c>
      <c r="F122" s="573"/>
      <c r="G122" s="573"/>
      <c r="H122" s="573"/>
      <c r="I122" s="573"/>
      <c r="J122" s="573"/>
      <c r="K122" s="573"/>
      <c r="L122" s="573"/>
      <c r="M122" s="573">
        <f>M119</f>
        <v>0</v>
      </c>
      <c r="N122" s="582">
        <f>C122*D122*E122*M122</f>
        <v>0</v>
      </c>
      <c r="O122" s="575"/>
      <c r="P122" s="576"/>
      <c r="Q122" s="577"/>
      <c r="R122" s="578"/>
      <c r="S122" s="577"/>
      <c r="T122" s="577"/>
      <c r="U122" s="577"/>
      <c r="V122" s="579"/>
      <c r="W122" s="579"/>
      <c r="X122" s="579"/>
    </row>
    <row r="123" spans="1:24" s="580" customFormat="1" ht="15.75" hidden="1" customHeight="1">
      <c r="A123" s="571"/>
      <c r="B123" s="583"/>
      <c r="C123" s="573"/>
      <c r="D123" s="573"/>
      <c r="E123" s="573"/>
      <c r="F123" s="573"/>
      <c r="G123" s="573"/>
      <c r="H123" s="573"/>
      <c r="I123" s="573"/>
      <c r="J123" s="573"/>
      <c r="K123" s="573"/>
      <c r="L123" s="573"/>
      <c r="M123" s="573"/>
      <c r="N123" s="574">
        <f>SUM(N122:N122)</f>
        <v>0</v>
      </c>
      <c r="O123" s="575" t="s">
        <v>103</v>
      </c>
      <c r="P123" s="576">
        <f>ROUND((N123),2)</f>
        <v>0</v>
      </c>
      <c r="Q123" s="577"/>
      <c r="R123" s="578"/>
      <c r="S123" s="577"/>
      <c r="T123" s="577"/>
      <c r="U123" s="577"/>
      <c r="V123" s="579"/>
      <c r="W123" s="579"/>
      <c r="X123" s="579"/>
    </row>
    <row r="124" spans="1:24" s="580" customFormat="1" ht="15.75" hidden="1" customHeight="1">
      <c r="A124" s="584">
        <f>A110+1</f>
        <v>11</v>
      </c>
      <c r="B124" s="583" t="s">
        <v>534</v>
      </c>
      <c r="C124" s="573"/>
      <c r="D124" s="573"/>
      <c r="E124" s="573"/>
      <c r="F124" s="573"/>
      <c r="G124" s="573"/>
      <c r="H124" s="573"/>
      <c r="I124" s="573"/>
      <c r="J124" s="573"/>
      <c r="K124" s="573"/>
      <c r="L124" s="573"/>
      <c r="M124" s="573"/>
      <c r="N124" s="573"/>
      <c r="O124" s="575"/>
      <c r="P124" s="576"/>
      <c r="Q124" s="577"/>
      <c r="R124" s="578"/>
      <c r="S124" s="577"/>
      <c r="T124" s="577"/>
      <c r="U124" s="577"/>
      <c r="V124" s="579"/>
      <c r="W124" s="579"/>
      <c r="X124" s="579"/>
    </row>
    <row r="125" spans="1:24" s="580" customFormat="1" ht="15.75" hidden="1" customHeight="1">
      <c r="A125" s="571" t="s">
        <v>95</v>
      </c>
      <c r="B125" s="583" t="s">
        <v>423</v>
      </c>
      <c r="C125" s="573">
        <v>4</v>
      </c>
      <c r="D125" s="573"/>
      <c r="E125" s="573">
        <v>0.15</v>
      </c>
      <c r="F125" s="573"/>
      <c r="G125" s="573"/>
      <c r="H125" s="573">
        <v>3</v>
      </c>
      <c r="I125" s="573"/>
      <c r="J125" s="573"/>
      <c r="K125" s="573"/>
      <c r="L125" s="573"/>
      <c r="M125" s="573">
        <v>0</v>
      </c>
      <c r="N125" s="573">
        <f>C125*E125*H125*M125</f>
        <v>0</v>
      </c>
      <c r="O125" s="575" t="s">
        <v>89</v>
      </c>
      <c r="P125" s="576">
        <f>ROUND((N125),2)</f>
        <v>0</v>
      </c>
      <c r="Q125" s="577"/>
      <c r="R125" s="578"/>
      <c r="S125" s="577"/>
      <c r="T125" s="577"/>
      <c r="U125" s="577"/>
      <c r="V125" s="579"/>
      <c r="W125" s="579"/>
      <c r="X125" s="579"/>
    </row>
    <row r="126" spans="1:24" s="580" customFormat="1" ht="15.75" hidden="1" customHeight="1">
      <c r="A126" s="571" t="s">
        <v>98</v>
      </c>
      <c r="B126" s="583" t="s">
        <v>427</v>
      </c>
      <c r="C126" s="573">
        <f>C125</f>
        <v>4</v>
      </c>
      <c r="D126" s="573"/>
      <c r="E126" s="573"/>
      <c r="F126" s="573">
        <v>4</v>
      </c>
      <c r="G126" s="573"/>
      <c r="H126" s="573"/>
      <c r="I126" s="573"/>
      <c r="J126" s="573"/>
      <c r="K126" s="573"/>
      <c r="L126" s="573">
        <f>10*10*0.006165</f>
        <v>0.61650000000000005</v>
      </c>
      <c r="M126" s="573">
        <f>M125</f>
        <v>0</v>
      </c>
      <c r="N126" s="573">
        <f>C126*F126*L126*M126</f>
        <v>0</v>
      </c>
      <c r="O126" s="575" t="s">
        <v>100</v>
      </c>
      <c r="P126" s="576">
        <f>ROUND((N126),2)</f>
        <v>0</v>
      </c>
      <c r="Q126" s="577"/>
      <c r="R126" s="578"/>
      <c r="S126" s="577"/>
      <c r="T126" s="577"/>
      <c r="U126" s="577"/>
      <c r="V126" s="579"/>
      <c r="W126" s="579"/>
      <c r="X126" s="579"/>
    </row>
    <row r="127" spans="1:24" s="580" customFormat="1" ht="15.75" hidden="1" customHeight="1">
      <c r="A127" s="571" t="s">
        <v>101</v>
      </c>
      <c r="B127" s="583" t="s">
        <v>428</v>
      </c>
      <c r="C127" s="573">
        <f>0.1*4</f>
        <v>0.4</v>
      </c>
      <c r="D127" s="573"/>
      <c r="E127" s="573"/>
      <c r="F127" s="573">
        <f>ROUNDDOWN((C126/0.125),0.1)</f>
        <v>32</v>
      </c>
      <c r="G127" s="573"/>
      <c r="H127" s="573"/>
      <c r="I127" s="573">
        <f>0.05*2</f>
        <v>0.1</v>
      </c>
      <c r="J127" s="573"/>
      <c r="K127" s="573"/>
      <c r="L127" s="573">
        <f>8*8*0.006165</f>
        <v>0.39456000000000002</v>
      </c>
      <c r="M127" s="573">
        <f>M126</f>
        <v>0</v>
      </c>
      <c r="N127" s="573">
        <f>(C127+I127)*F127*L127*M127</f>
        <v>0</v>
      </c>
      <c r="O127" s="575" t="s">
        <v>100</v>
      </c>
      <c r="P127" s="576">
        <f>ROUND((N127),2)</f>
        <v>0</v>
      </c>
      <c r="Q127" s="577"/>
      <c r="R127" s="578"/>
      <c r="S127" s="577"/>
      <c r="T127" s="577"/>
      <c r="U127" s="577"/>
      <c r="V127" s="579"/>
      <c r="W127" s="579"/>
      <c r="X127" s="579"/>
    </row>
    <row r="128" spans="1:24" s="580" customFormat="1" ht="15.75" hidden="1" customHeight="1">
      <c r="A128" s="571" t="s">
        <v>121</v>
      </c>
      <c r="B128" s="585" t="s">
        <v>169</v>
      </c>
      <c r="C128" s="573">
        <f>C126</f>
        <v>4</v>
      </c>
      <c r="D128" s="573">
        <v>0.15</v>
      </c>
      <c r="E128" s="573">
        <v>0.15</v>
      </c>
      <c r="F128" s="573"/>
      <c r="G128" s="573"/>
      <c r="H128" s="573"/>
      <c r="I128" s="573"/>
      <c r="J128" s="573"/>
      <c r="K128" s="573"/>
      <c r="L128" s="573"/>
      <c r="M128" s="573">
        <f>M127</f>
        <v>0</v>
      </c>
      <c r="N128" s="573">
        <f>C128*D128*E128*M128</f>
        <v>0</v>
      </c>
      <c r="O128" s="575" t="s">
        <v>103</v>
      </c>
      <c r="P128" s="576">
        <f>ROUND((N128),2)</f>
        <v>0</v>
      </c>
      <c r="Q128" s="577"/>
      <c r="R128" s="578"/>
      <c r="S128" s="577"/>
      <c r="T128" s="577"/>
      <c r="U128" s="577"/>
      <c r="V128" s="579"/>
      <c r="W128" s="579"/>
      <c r="X128" s="579"/>
    </row>
    <row r="129" spans="1:24" ht="15.75" customHeight="1">
      <c r="A129" s="350">
        <f>A86+1</f>
        <v>10</v>
      </c>
      <c r="B129" s="359" t="s">
        <v>424</v>
      </c>
      <c r="C129" s="348"/>
      <c r="D129" s="348"/>
      <c r="E129" s="348"/>
      <c r="F129" s="348"/>
      <c r="G129" s="348"/>
      <c r="H129" s="348"/>
      <c r="I129" s="348"/>
      <c r="J129" s="348"/>
      <c r="K129" s="348"/>
      <c r="L129" s="348"/>
      <c r="M129" s="348"/>
      <c r="N129" s="348"/>
      <c r="O129" s="349"/>
      <c r="P129" s="563"/>
      <c r="Q129" s="398"/>
      <c r="R129" s="564"/>
      <c r="S129" s="398"/>
      <c r="T129" s="398"/>
      <c r="U129" s="398"/>
      <c r="V129" s="555"/>
      <c r="W129" s="555"/>
      <c r="X129" s="555"/>
    </row>
    <row r="130" spans="1:24" ht="15.75" customHeight="1">
      <c r="A130" s="350"/>
      <c r="B130" s="356" t="s">
        <v>426</v>
      </c>
      <c r="C130" s="348"/>
      <c r="D130" s="348"/>
      <c r="E130" s="348"/>
      <c r="F130" s="348"/>
      <c r="G130" s="348"/>
      <c r="H130" s="348"/>
      <c r="I130" s="348"/>
      <c r="J130" s="348"/>
      <c r="K130" s="348"/>
      <c r="L130" s="348"/>
      <c r="M130" s="348"/>
      <c r="N130" s="348"/>
      <c r="O130" s="349"/>
      <c r="P130" s="563"/>
      <c r="Q130" s="398"/>
      <c r="R130" s="564"/>
      <c r="S130" s="398"/>
      <c r="T130" s="398"/>
      <c r="U130" s="398"/>
      <c r="V130" s="555"/>
      <c r="W130" s="555"/>
      <c r="X130" s="555"/>
    </row>
    <row r="131" spans="1:24" ht="15.75" customHeight="1">
      <c r="A131" s="355" t="s">
        <v>95</v>
      </c>
      <c r="B131" s="359" t="s">
        <v>423</v>
      </c>
      <c r="C131" s="348"/>
      <c r="D131" s="348"/>
      <c r="E131" s="348"/>
      <c r="F131" s="348"/>
      <c r="G131" s="348"/>
      <c r="H131" s="348"/>
      <c r="I131" s="348"/>
      <c r="J131" s="348"/>
      <c r="K131" s="348"/>
      <c r="L131" s="348"/>
      <c r="M131" s="348"/>
      <c r="N131" s="348"/>
      <c r="O131" s="349"/>
      <c r="P131" s="563"/>
      <c r="Q131" s="398"/>
      <c r="R131" s="564"/>
      <c r="S131" s="398"/>
      <c r="T131" s="398"/>
      <c r="U131" s="398"/>
      <c r="V131" s="555"/>
      <c r="W131" s="555"/>
      <c r="X131" s="555"/>
    </row>
    <row r="132" spans="1:24" ht="15.75" customHeight="1">
      <c r="A132" s="355"/>
      <c r="B132" s="567" t="s">
        <v>1010</v>
      </c>
      <c r="C132" s="348">
        <f>C266*2</f>
        <v>8.3940000000000019</v>
      </c>
      <c r="D132" s="348"/>
      <c r="E132" s="348">
        <v>0.2</v>
      </c>
      <c r="F132" s="348"/>
      <c r="G132" s="348"/>
      <c r="H132" s="348">
        <v>2</v>
      </c>
      <c r="I132" s="348"/>
      <c r="J132" s="348"/>
      <c r="K132" s="348"/>
      <c r="L132" s="348"/>
      <c r="M132" s="348">
        <v>2</v>
      </c>
      <c r="N132" s="348">
        <f>C132*E132*H132*M132</f>
        <v>6.7152000000000021</v>
      </c>
      <c r="O132" s="349"/>
      <c r="P132" s="563"/>
      <c r="Q132" s="398"/>
      <c r="R132" s="564"/>
      <c r="S132" s="398"/>
      <c r="T132" s="398"/>
      <c r="U132" s="398"/>
      <c r="V132" s="555"/>
      <c r="W132" s="555"/>
      <c r="X132" s="555"/>
    </row>
    <row r="133" spans="1:24" ht="15.75" customHeight="1">
      <c r="A133" s="355"/>
      <c r="B133" s="397"/>
      <c r="C133" s="348">
        <f>C132</f>
        <v>8.3940000000000019</v>
      </c>
      <c r="D133" s="348">
        <v>0.15</v>
      </c>
      <c r="E133" s="348"/>
      <c r="F133" s="348"/>
      <c r="G133" s="348"/>
      <c r="H133" s="348">
        <v>1</v>
      </c>
      <c r="I133" s="348"/>
      <c r="J133" s="348"/>
      <c r="K133" s="348"/>
      <c r="L133" s="348"/>
      <c r="M133" s="348">
        <f>M132</f>
        <v>2</v>
      </c>
      <c r="N133" s="348">
        <f>C133*D133*H133*M133</f>
        <v>2.5182000000000007</v>
      </c>
      <c r="O133" s="349"/>
      <c r="P133" s="563"/>
      <c r="Q133" s="398"/>
      <c r="R133" s="564"/>
      <c r="S133" s="398"/>
      <c r="T133" s="398"/>
      <c r="U133" s="398"/>
      <c r="V133" s="555"/>
      <c r="W133" s="555"/>
      <c r="X133" s="555"/>
    </row>
    <row r="134" spans="1:24" ht="15.75" customHeight="1">
      <c r="A134" s="355"/>
      <c r="B134" s="567" t="s">
        <v>1011</v>
      </c>
      <c r="C134" s="348">
        <v>1.05</v>
      </c>
      <c r="D134" s="348"/>
      <c r="E134" s="348">
        <v>0.2</v>
      </c>
      <c r="F134" s="348">
        <v>2</v>
      </c>
      <c r="G134" s="348"/>
      <c r="H134" s="348">
        <v>2</v>
      </c>
      <c r="I134" s="348"/>
      <c r="J134" s="348"/>
      <c r="K134" s="348"/>
      <c r="L134" s="348"/>
      <c r="M134" s="348">
        <f>M133</f>
        <v>2</v>
      </c>
      <c r="N134" s="348">
        <f>C134*E134*H134*M134*F134</f>
        <v>1.6800000000000002</v>
      </c>
      <c r="O134" s="349"/>
      <c r="P134" s="563"/>
      <c r="Q134" s="398"/>
      <c r="R134" s="564"/>
      <c r="S134" s="398"/>
      <c r="T134" s="398"/>
      <c r="U134" s="398"/>
      <c r="V134" s="555"/>
      <c r="W134" s="555"/>
      <c r="X134" s="555"/>
    </row>
    <row r="135" spans="1:24" ht="15.75" customHeight="1">
      <c r="A135" s="355"/>
      <c r="B135" s="359"/>
      <c r="C135" s="348">
        <f>C134</f>
        <v>1.05</v>
      </c>
      <c r="D135" s="348">
        <f>D133</f>
        <v>0.15</v>
      </c>
      <c r="E135" s="348"/>
      <c r="F135" s="348">
        <v>2</v>
      </c>
      <c r="G135" s="348"/>
      <c r="H135" s="348">
        <v>1</v>
      </c>
      <c r="I135" s="348"/>
      <c r="J135" s="348"/>
      <c r="K135" s="348"/>
      <c r="L135" s="348"/>
      <c r="M135" s="348">
        <f>M134</f>
        <v>2</v>
      </c>
      <c r="N135" s="565">
        <f>C135*D135*H135*M135*F135</f>
        <v>0.63</v>
      </c>
      <c r="O135" s="349"/>
      <c r="P135" s="563"/>
      <c r="Q135" s="398"/>
      <c r="R135" s="564"/>
      <c r="S135" s="398"/>
      <c r="T135" s="398"/>
      <c r="U135" s="398"/>
      <c r="V135" s="555"/>
      <c r="W135" s="555"/>
      <c r="X135" s="555"/>
    </row>
    <row r="136" spans="1:24" ht="15.75" customHeight="1">
      <c r="A136" s="355"/>
      <c r="B136" s="359"/>
      <c r="C136" s="348"/>
      <c r="D136" s="348"/>
      <c r="E136" s="348"/>
      <c r="F136" s="348"/>
      <c r="G136" s="348"/>
      <c r="H136" s="348"/>
      <c r="I136" s="348"/>
      <c r="J136" s="348"/>
      <c r="K136" s="348"/>
      <c r="L136" s="348"/>
      <c r="M136" s="348"/>
      <c r="N136" s="343">
        <f>SUM(N132:N135)</f>
        <v>11.543400000000004</v>
      </c>
      <c r="O136" s="349" t="s">
        <v>89</v>
      </c>
      <c r="P136" s="563">
        <f>ROUND((N136),2)</f>
        <v>11.54</v>
      </c>
      <c r="Q136" s="398"/>
      <c r="R136" s="564"/>
      <c r="S136" s="398"/>
      <c r="T136" s="398"/>
      <c r="U136" s="398"/>
      <c r="V136" s="555"/>
      <c r="W136" s="555"/>
      <c r="X136" s="555"/>
    </row>
    <row r="137" spans="1:24" ht="15.75" customHeight="1">
      <c r="A137" s="355" t="s">
        <v>98</v>
      </c>
      <c r="B137" s="359" t="s">
        <v>741</v>
      </c>
      <c r="C137" s="348"/>
      <c r="D137" s="348"/>
      <c r="E137" s="348"/>
      <c r="F137" s="348"/>
      <c r="G137" s="348"/>
      <c r="H137" s="348"/>
      <c r="I137" s="348"/>
      <c r="J137" s="348"/>
      <c r="K137" s="348"/>
      <c r="L137" s="348"/>
      <c r="M137" s="348"/>
      <c r="N137" s="348"/>
      <c r="O137" s="349"/>
      <c r="P137" s="563"/>
      <c r="Q137" s="398"/>
      <c r="R137" s="564"/>
      <c r="S137" s="398"/>
      <c r="T137" s="398"/>
      <c r="U137" s="398"/>
      <c r="V137" s="555"/>
      <c r="W137" s="555"/>
      <c r="X137" s="555"/>
    </row>
    <row r="138" spans="1:24" ht="15.75" customHeight="1">
      <c r="A138" s="355"/>
      <c r="B138" s="567" t="s">
        <v>1010</v>
      </c>
      <c r="C138" s="348">
        <f>C132</f>
        <v>8.3940000000000019</v>
      </c>
      <c r="D138" s="348"/>
      <c r="E138" s="348"/>
      <c r="F138" s="348">
        <v>4</v>
      </c>
      <c r="G138" s="348"/>
      <c r="H138" s="348"/>
      <c r="I138" s="348"/>
      <c r="J138" s="348">
        <v>0.1</v>
      </c>
      <c r="K138" s="348"/>
      <c r="L138" s="348">
        <f>0.006165*10*10</f>
        <v>0.61650000000000005</v>
      </c>
      <c r="M138" s="348">
        <f>M132</f>
        <v>2</v>
      </c>
      <c r="N138" s="348">
        <f>(C138+J138)*F138*L138*M138</f>
        <v>41.89240800000001</v>
      </c>
      <c r="O138" s="349"/>
      <c r="P138" s="563"/>
      <c r="Q138" s="398"/>
      <c r="R138" s="564"/>
      <c r="S138" s="398"/>
      <c r="T138" s="398"/>
      <c r="U138" s="398"/>
      <c r="V138" s="555"/>
      <c r="W138" s="555"/>
      <c r="X138" s="555"/>
    </row>
    <row r="139" spans="1:24" ht="15.75" customHeight="1">
      <c r="A139" s="355"/>
      <c r="B139" s="567" t="s">
        <v>1011</v>
      </c>
      <c r="C139" s="348">
        <f>C135</f>
        <v>1.05</v>
      </c>
      <c r="D139" s="348"/>
      <c r="E139" s="348"/>
      <c r="F139" s="348">
        <f>F138</f>
        <v>4</v>
      </c>
      <c r="G139" s="348"/>
      <c r="H139" s="348"/>
      <c r="I139" s="348"/>
      <c r="J139" s="348">
        <f>J138*2</f>
        <v>0.2</v>
      </c>
      <c r="K139" s="348"/>
      <c r="L139" s="348">
        <f>L138</f>
        <v>0.61650000000000005</v>
      </c>
      <c r="M139" s="348">
        <f>M134*F134</f>
        <v>4</v>
      </c>
      <c r="N139" s="565">
        <f>(C139+J139)*F139*L139*M139</f>
        <v>12.330000000000002</v>
      </c>
      <c r="O139" s="349"/>
      <c r="P139" s="563"/>
      <c r="Q139" s="398"/>
      <c r="R139" s="564"/>
      <c r="S139" s="398"/>
      <c r="T139" s="398"/>
      <c r="U139" s="398"/>
      <c r="V139" s="555"/>
      <c r="W139" s="555"/>
      <c r="X139" s="555"/>
    </row>
    <row r="140" spans="1:24" ht="15.75" customHeight="1">
      <c r="A140" s="355"/>
      <c r="B140" s="359"/>
      <c r="C140" s="348"/>
      <c r="D140" s="348"/>
      <c r="E140" s="348"/>
      <c r="F140" s="348"/>
      <c r="G140" s="348"/>
      <c r="H140" s="348"/>
      <c r="I140" s="348"/>
      <c r="J140" s="348"/>
      <c r="K140" s="348"/>
      <c r="L140" s="348"/>
      <c r="M140" s="348"/>
      <c r="N140" s="343">
        <f>SUM(N138:N139)</f>
        <v>54.222408000000016</v>
      </c>
      <c r="O140" s="349" t="s">
        <v>100</v>
      </c>
      <c r="P140" s="563">
        <f>ROUND((N140),2)</f>
        <v>54.22</v>
      </c>
      <c r="Q140" s="398"/>
      <c r="R140" s="564"/>
      <c r="S140" s="398"/>
      <c r="T140" s="398"/>
      <c r="U140" s="398"/>
      <c r="V140" s="555"/>
      <c r="W140" s="555"/>
      <c r="X140" s="555"/>
    </row>
    <row r="141" spans="1:24" ht="15.75" customHeight="1">
      <c r="A141" s="355" t="s">
        <v>101</v>
      </c>
      <c r="B141" s="359" t="s">
        <v>428</v>
      </c>
      <c r="C141" s="348"/>
      <c r="D141" s="348"/>
      <c r="E141" s="348"/>
      <c r="F141" s="348"/>
      <c r="G141" s="348"/>
      <c r="H141" s="348"/>
      <c r="I141" s="348"/>
      <c r="J141" s="348"/>
      <c r="K141" s="348"/>
      <c r="L141" s="348"/>
      <c r="M141" s="348"/>
      <c r="N141" s="348"/>
      <c r="O141" s="349"/>
      <c r="P141" s="563"/>
      <c r="Q141" s="398"/>
      <c r="R141" s="564"/>
      <c r="S141" s="398"/>
      <c r="T141" s="398"/>
      <c r="U141" s="398"/>
      <c r="V141" s="555"/>
      <c r="W141" s="555"/>
      <c r="X141" s="555"/>
    </row>
    <row r="142" spans="1:24" ht="15.75" customHeight="1">
      <c r="A142" s="355"/>
      <c r="B142" s="567" t="s">
        <v>1010</v>
      </c>
      <c r="C142" s="348">
        <f>(0.1+0.15)*2</f>
        <v>0.5</v>
      </c>
      <c r="D142" s="348"/>
      <c r="E142" s="348"/>
      <c r="F142" s="348">
        <f>ROUNDDOWN((C138/0.125),0.1)</f>
        <v>67</v>
      </c>
      <c r="G142" s="348"/>
      <c r="H142" s="348"/>
      <c r="I142" s="348">
        <v>0.1</v>
      </c>
      <c r="J142" s="348"/>
      <c r="K142" s="348"/>
      <c r="L142" s="348">
        <f>L119</f>
        <v>0.39456000000000002</v>
      </c>
      <c r="M142" s="348">
        <f>M138</f>
        <v>2</v>
      </c>
      <c r="N142" s="348">
        <f>(C142+I142)*F142*L142*M142</f>
        <v>31.722624</v>
      </c>
      <c r="O142" s="349"/>
      <c r="P142" s="563"/>
      <c r="Q142" s="398"/>
      <c r="R142" s="564"/>
      <c r="S142" s="398"/>
      <c r="T142" s="398"/>
      <c r="U142" s="398"/>
      <c r="V142" s="555"/>
      <c r="W142" s="555"/>
      <c r="X142" s="555"/>
    </row>
    <row r="143" spans="1:24" ht="15.75" customHeight="1">
      <c r="A143" s="355"/>
      <c r="B143" s="567" t="s">
        <v>1011</v>
      </c>
      <c r="C143" s="348">
        <f>(0.1+0.15)*2</f>
        <v>0.5</v>
      </c>
      <c r="D143" s="348"/>
      <c r="E143" s="348"/>
      <c r="F143" s="348">
        <f>ROUNDDOWN((C139/0.125),0.1)</f>
        <v>8</v>
      </c>
      <c r="G143" s="348"/>
      <c r="H143" s="348"/>
      <c r="I143" s="348">
        <v>0.1</v>
      </c>
      <c r="J143" s="348"/>
      <c r="K143" s="348"/>
      <c r="L143" s="348">
        <f>L142</f>
        <v>0.39456000000000002</v>
      </c>
      <c r="M143" s="348">
        <f>M139</f>
        <v>4</v>
      </c>
      <c r="N143" s="348">
        <f>(C143+I143)*F143*L143*M143</f>
        <v>7.5755520000000001</v>
      </c>
      <c r="O143" s="349"/>
      <c r="P143" s="563"/>
      <c r="Q143" s="398"/>
      <c r="R143" s="564"/>
      <c r="S143" s="398"/>
      <c r="T143" s="398"/>
      <c r="U143" s="398"/>
      <c r="V143" s="555"/>
      <c r="W143" s="555"/>
      <c r="X143" s="555"/>
    </row>
    <row r="144" spans="1:24" ht="15.75" customHeight="1">
      <c r="A144" s="355"/>
      <c r="B144" s="359"/>
      <c r="C144" s="348"/>
      <c r="D144" s="348"/>
      <c r="E144" s="348"/>
      <c r="F144" s="348"/>
      <c r="G144" s="348"/>
      <c r="H144" s="348"/>
      <c r="I144" s="348"/>
      <c r="J144" s="348"/>
      <c r="K144" s="348"/>
      <c r="L144" s="348"/>
      <c r="M144" s="348"/>
      <c r="N144" s="343">
        <f>SUM(N142:N143)</f>
        <v>39.298175999999998</v>
      </c>
      <c r="O144" s="349" t="s">
        <v>100</v>
      </c>
      <c r="P144" s="563">
        <f>ROUND((N144),2)</f>
        <v>39.299999999999997</v>
      </c>
      <c r="Q144" s="398"/>
      <c r="R144" s="564"/>
      <c r="S144" s="398"/>
      <c r="T144" s="398"/>
      <c r="U144" s="398"/>
      <c r="V144" s="555"/>
      <c r="W144" s="555"/>
      <c r="X144" s="555"/>
    </row>
    <row r="145" spans="1:24" ht="15.75" customHeight="1">
      <c r="A145" s="355" t="s">
        <v>121</v>
      </c>
      <c r="B145" s="356" t="s">
        <v>169</v>
      </c>
      <c r="C145" s="348"/>
      <c r="D145" s="348"/>
      <c r="E145" s="348"/>
      <c r="F145" s="348"/>
      <c r="G145" s="348"/>
      <c r="H145" s="348"/>
      <c r="I145" s="348"/>
      <c r="J145" s="348"/>
      <c r="K145" s="348"/>
      <c r="L145" s="348"/>
      <c r="M145" s="348"/>
      <c r="N145" s="348"/>
      <c r="O145" s="349"/>
      <c r="P145" s="563"/>
      <c r="Q145" s="398"/>
      <c r="R145" s="564"/>
      <c r="S145" s="398"/>
      <c r="T145" s="398"/>
      <c r="U145" s="398"/>
      <c r="V145" s="555"/>
      <c r="W145" s="555"/>
      <c r="X145" s="555"/>
    </row>
    <row r="146" spans="1:24" ht="15.75" customHeight="1">
      <c r="A146" s="355"/>
      <c r="B146" s="567" t="s">
        <v>1010</v>
      </c>
      <c r="C146" s="348">
        <f>C138</f>
        <v>8.3940000000000019</v>
      </c>
      <c r="D146" s="348">
        <f>D133</f>
        <v>0.15</v>
      </c>
      <c r="E146" s="348">
        <f>E132</f>
        <v>0.2</v>
      </c>
      <c r="F146" s="348"/>
      <c r="G146" s="348"/>
      <c r="H146" s="348"/>
      <c r="I146" s="348"/>
      <c r="J146" s="348"/>
      <c r="K146" s="348"/>
      <c r="L146" s="348"/>
      <c r="M146" s="348">
        <f>M142</f>
        <v>2</v>
      </c>
      <c r="N146" s="348">
        <f>C146*D146*E146*M146</f>
        <v>0.5036400000000002</v>
      </c>
      <c r="O146" s="349"/>
      <c r="P146" s="563"/>
      <c r="Q146" s="398"/>
      <c r="R146" s="564"/>
      <c r="S146" s="398"/>
      <c r="T146" s="398"/>
      <c r="U146" s="398"/>
      <c r="V146" s="555"/>
      <c r="W146" s="555"/>
      <c r="X146" s="555"/>
    </row>
    <row r="147" spans="1:24" ht="15.75" customHeight="1">
      <c r="A147" s="355"/>
      <c r="B147" s="567" t="s">
        <v>1011</v>
      </c>
      <c r="C147" s="348">
        <f>C139</f>
        <v>1.05</v>
      </c>
      <c r="D147" s="348">
        <f>D146</f>
        <v>0.15</v>
      </c>
      <c r="E147" s="348">
        <f>E146</f>
        <v>0.2</v>
      </c>
      <c r="F147" s="348"/>
      <c r="G147" s="348"/>
      <c r="H147" s="348"/>
      <c r="I147" s="348"/>
      <c r="J147" s="348"/>
      <c r="K147" s="348"/>
      <c r="L147" s="348"/>
      <c r="M147" s="348">
        <f>M143</f>
        <v>4</v>
      </c>
      <c r="N147" s="565">
        <f>C147*D147*E147*M147</f>
        <v>0.126</v>
      </c>
      <c r="O147" s="349"/>
      <c r="P147" s="563"/>
      <c r="Q147" s="398"/>
      <c r="R147" s="564"/>
      <c r="S147" s="398"/>
      <c r="T147" s="398"/>
      <c r="U147" s="398"/>
      <c r="V147" s="555"/>
      <c r="W147" s="555"/>
      <c r="X147" s="555"/>
    </row>
    <row r="148" spans="1:24" ht="15.75" customHeight="1">
      <c r="A148" s="355"/>
      <c r="B148" s="359"/>
      <c r="C148" s="348"/>
      <c r="D148" s="348"/>
      <c r="E148" s="348"/>
      <c r="F148" s="348"/>
      <c r="G148" s="348"/>
      <c r="H148" s="348"/>
      <c r="I148" s="348"/>
      <c r="J148" s="348"/>
      <c r="K148" s="348"/>
      <c r="L148" s="348"/>
      <c r="M148" s="348"/>
      <c r="N148" s="343">
        <f>SUM(N146:N147)</f>
        <v>0.6296400000000002</v>
      </c>
      <c r="O148" s="349" t="s">
        <v>103</v>
      </c>
      <c r="P148" s="563">
        <f>ROUND((N148),2)</f>
        <v>0.63</v>
      </c>
      <c r="Q148" s="398"/>
      <c r="R148" s="564"/>
      <c r="S148" s="398"/>
      <c r="T148" s="398"/>
      <c r="U148" s="398"/>
      <c r="V148" s="555"/>
      <c r="W148" s="555"/>
      <c r="X148" s="555"/>
    </row>
    <row r="149" spans="1:24" ht="15.75" customHeight="1">
      <c r="A149" s="350"/>
      <c r="B149" s="356" t="s">
        <v>431</v>
      </c>
      <c r="C149" s="348"/>
      <c r="D149" s="348"/>
      <c r="E149" s="348"/>
      <c r="F149" s="348"/>
      <c r="G149" s="348"/>
      <c r="H149" s="348"/>
      <c r="I149" s="348"/>
      <c r="J149" s="348"/>
      <c r="K149" s="348"/>
      <c r="L149" s="348"/>
      <c r="M149" s="348"/>
      <c r="N149" s="348"/>
      <c r="O149" s="349"/>
      <c r="P149" s="563"/>
      <c r="Q149" s="398"/>
      <c r="R149" s="564"/>
      <c r="S149" s="398"/>
      <c r="T149" s="398"/>
      <c r="U149" s="398"/>
      <c r="V149" s="555"/>
      <c r="W149" s="555"/>
      <c r="X149" s="555"/>
    </row>
    <row r="150" spans="1:24" ht="15.75" customHeight="1">
      <c r="A150" s="355" t="s">
        <v>95</v>
      </c>
      <c r="B150" s="359" t="s">
        <v>423</v>
      </c>
      <c r="C150" s="348"/>
      <c r="D150" s="348"/>
      <c r="E150" s="348"/>
      <c r="F150" s="348"/>
      <c r="G150" s="348"/>
      <c r="H150" s="348"/>
      <c r="I150" s="348"/>
      <c r="J150" s="348"/>
      <c r="K150" s="348"/>
      <c r="L150" s="348"/>
      <c r="M150" s="348"/>
      <c r="N150" s="348"/>
      <c r="O150" s="349"/>
      <c r="P150" s="563"/>
      <c r="Q150" s="398"/>
      <c r="R150" s="564"/>
      <c r="S150" s="398"/>
      <c r="T150" s="398"/>
      <c r="U150" s="398"/>
      <c r="V150" s="555"/>
      <c r="W150" s="555"/>
      <c r="X150" s="555"/>
    </row>
    <row r="151" spans="1:24" ht="15.75" customHeight="1">
      <c r="A151" s="355"/>
      <c r="B151" s="567"/>
      <c r="C151" s="348">
        <v>0.2</v>
      </c>
      <c r="E151" s="348">
        <v>1</v>
      </c>
      <c r="F151" s="348">
        <v>3</v>
      </c>
      <c r="G151" s="348"/>
      <c r="H151" s="348">
        <v>2</v>
      </c>
      <c r="I151" s="348"/>
      <c r="J151" s="348"/>
      <c r="K151" s="348"/>
      <c r="L151" s="348"/>
      <c r="M151" s="348">
        <v>2</v>
      </c>
      <c r="N151" s="348">
        <f>C151*E151*H151*M151*F151</f>
        <v>2.4000000000000004</v>
      </c>
      <c r="O151" s="349"/>
      <c r="P151" s="563"/>
      <c r="Q151" s="398"/>
      <c r="R151" s="564"/>
      <c r="S151" s="398"/>
      <c r="T151" s="398"/>
      <c r="U151" s="398"/>
      <c r="V151" s="555"/>
      <c r="W151" s="555"/>
      <c r="X151" s="555"/>
    </row>
    <row r="152" spans="1:24" ht="15.75" customHeight="1">
      <c r="A152" s="355"/>
      <c r="B152" s="567"/>
      <c r="C152" s="348"/>
      <c r="D152" s="348">
        <v>0.15</v>
      </c>
      <c r="E152" s="348">
        <f>E151</f>
        <v>1</v>
      </c>
      <c r="F152" s="348">
        <f>F151</f>
        <v>3</v>
      </c>
      <c r="G152" s="348"/>
      <c r="H152" s="348">
        <f>H151</f>
        <v>2</v>
      </c>
      <c r="I152" s="348"/>
      <c r="J152" s="348"/>
      <c r="K152" s="348"/>
      <c r="L152" s="348"/>
      <c r="M152" s="348">
        <f>M151</f>
        <v>2</v>
      </c>
      <c r="N152" s="565">
        <f>E152*D152*H152*M152*F152</f>
        <v>1.7999999999999998</v>
      </c>
      <c r="O152" s="349"/>
      <c r="P152" s="563"/>
      <c r="Q152" s="398"/>
      <c r="R152" s="564"/>
      <c r="S152" s="398"/>
      <c r="T152" s="398"/>
      <c r="U152" s="398"/>
      <c r="V152" s="555"/>
      <c r="W152" s="555"/>
      <c r="X152" s="555"/>
    </row>
    <row r="153" spans="1:24" ht="15.75" customHeight="1">
      <c r="A153" s="355"/>
      <c r="B153" s="359"/>
      <c r="C153" s="348"/>
      <c r="D153" s="348"/>
      <c r="E153" s="348"/>
      <c r="F153" s="348"/>
      <c r="G153" s="348"/>
      <c r="H153" s="348"/>
      <c r="I153" s="348"/>
      <c r="J153" s="348"/>
      <c r="K153" s="348"/>
      <c r="L153" s="348"/>
      <c r="M153" s="348"/>
      <c r="N153" s="343">
        <f>SUM(N151:N152)</f>
        <v>4.2</v>
      </c>
      <c r="O153" s="349" t="s">
        <v>89</v>
      </c>
      <c r="P153" s="563">
        <f>ROUND((N153),2)</f>
        <v>4.2</v>
      </c>
      <c r="Q153" s="398"/>
      <c r="R153" s="564"/>
      <c r="S153" s="398"/>
      <c r="T153" s="398"/>
      <c r="U153" s="398"/>
      <c r="V153" s="555"/>
      <c r="W153" s="555"/>
      <c r="X153" s="555"/>
    </row>
    <row r="154" spans="1:24" ht="15.75" customHeight="1">
      <c r="A154" s="355" t="s">
        <v>98</v>
      </c>
      <c r="B154" s="359" t="s">
        <v>427</v>
      </c>
      <c r="C154" s="348"/>
      <c r="D154" s="348"/>
      <c r="E154" s="348"/>
      <c r="F154" s="348"/>
      <c r="G154" s="348"/>
      <c r="H154" s="348"/>
      <c r="I154" s="348"/>
      <c r="J154" s="348"/>
      <c r="K154" s="348"/>
      <c r="L154" s="348"/>
      <c r="M154" s="348"/>
      <c r="N154" s="348"/>
      <c r="O154" s="349"/>
      <c r="P154" s="563"/>
      <c r="Q154" s="398"/>
      <c r="R154" s="564"/>
      <c r="S154" s="398"/>
      <c r="T154" s="398"/>
      <c r="U154" s="398"/>
      <c r="V154" s="555"/>
      <c r="W154" s="555"/>
      <c r="X154" s="555"/>
    </row>
    <row r="155" spans="1:24" ht="15.75" customHeight="1">
      <c r="A155" s="355"/>
      <c r="B155" s="567"/>
      <c r="D155" s="348"/>
      <c r="E155" s="348">
        <f>E151</f>
        <v>1</v>
      </c>
      <c r="F155" s="348">
        <v>4</v>
      </c>
      <c r="G155" s="348"/>
      <c r="H155" s="348"/>
      <c r="I155" s="348"/>
      <c r="J155" s="348">
        <v>0.1</v>
      </c>
      <c r="K155" s="348"/>
      <c r="L155" s="348">
        <f>0.006165*10*10</f>
        <v>0.61650000000000005</v>
      </c>
      <c r="M155" s="348">
        <f>M151*F151</f>
        <v>6</v>
      </c>
      <c r="N155" s="565">
        <f>(E155+J155)*F155*L155*M155</f>
        <v>16.275600000000004</v>
      </c>
      <c r="O155" s="349"/>
      <c r="P155" s="563"/>
      <c r="Q155" s="398"/>
      <c r="R155" s="564"/>
      <c r="S155" s="398"/>
      <c r="T155" s="398"/>
      <c r="U155" s="398"/>
      <c r="V155" s="555"/>
      <c r="W155" s="555"/>
      <c r="X155" s="555"/>
    </row>
    <row r="156" spans="1:24" ht="15.75" customHeight="1">
      <c r="A156" s="355"/>
      <c r="B156" s="359"/>
      <c r="C156" s="348"/>
      <c r="D156" s="348"/>
      <c r="E156" s="348"/>
      <c r="F156" s="348"/>
      <c r="G156" s="348"/>
      <c r="H156" s="348"/>
      <c r="I156" s="348"/>
      <c r="J156" s="348"/>
      <c r="K156" s="348"/>
      <c r="L156" s="348"/>
      <c r="M156" s="348"/>
      <c r="N156" s="343">
        <f>SUM(N155:N155)</f>
        <v>16.275600000000004</v>
      </c>
      <c r="O156" s="349" t="s">
        <v>100</v>
      </c>
      <c r="P156" s="563">
        <f>ROUND((N156),2)</f>
        <v>16.28</v>
      </c>
      <c r="Q156" s="398"/>
      <c r="R156" s="564"/>
      <c r="S156" s="398"/>
      <c r="T156" s="398"/>
      <c r="U156" s="398"/>
      <c r="V156" s="555"/>
      <c r="W156" s="555"/>
      <c r="X156" s="555"/>
    </row>
    <row r="157" spans="1:24" ht="15.75" customHeight="1">
      <c r="A157" s="355" t="s">
        <v>101</v>
      </c>
      <c r="B157" s="359" t="s">
        <v>428</v>
      </c>
      <c r="C157" s="348"/>
      <c r="D157" s="348"/>
      <c r="E157" s="348"/>
      <c r="F157" s="348"/>
      <c r="G157" s="348"/>
      <c r="H157" s="348"/>
      <c r="I157" s="348"/>
      <c r="J157" s="348"/>
      <c r="K157" s="348"/>
      <c r="L157" s="348"/>
      <c r="M157" s="348"/>
      <c r="N157" s="348"/>
      <c r="O157" s="349"/>
      <c r="P157" s="563"/>
      <c r="Q157" s="398"/>
      <c r="R157" s="564"/>
      <c r="S157" s="398"/>
      <c r="T157" s="398"/>
      <c r="U157" s="398"/>
      <c r="V157" s="555"/>
      <c r="W157" s="555"/>
      <c r="X157" s="555"/>
    </row>
    <row r="158" spans="1:24" ht="15.75" customHeight="1">
      <c r="A158" s="355"/>
      <c r="B158" s="567"/>
      <c r="C158" s="348">
        <f>(0.1+0.15)*2</f>
        <v>0.5</v>
      </c>
      <c r="D158" s="348"/>
      <c r="E158" s="348"/>
      <c r="F158" s="348">
        <f>ROUNDDOWN((E155/0.125),0.1)</f>
        <v>8</v>
      </c>
      <c r="G158" s="348"/>
      <c r="H158" s="348"/>
      <c r="I158" s="348">
        <v>0.1</v>
      </c>
      <c r="J158" s="348"/>
      <c r="K158" s="348"/>
      <c r="L158" s="348">
        <f>L142</f>
        <v>0.39456000000000002</v>
      </c>
      <c r="M158" s="348">
        <f>M155</f>
        <v>6</v>
      </c>
      <c r="N158" s="565">
        <f>(C158+J158)*F158*L158*M158</f>
        <v>9.4694400000000005</v>
      </c>
      <c r="O158" s="349"/>
      <c r="P158" s="563"/>
      <c r="Q158" s="398"/>
      <c r="R158" s="564"/>
      <c r="S158" s="398"/>
      <c r="T158" s="398"/>
      <c r="U158" s="398"/>
      <c r="V158" s="555"/>
      <c r="W158" s="555"/>
      <c r="X158" s="555"/>
    </row>
    <row r="159" spans="1:24" ht="15.75" customHeight="1">
      <c r="A159" s="355"/>
      <c r="B159" s="359"/>
      <c r="C159" s="348"/>
      <c r="D159" s="348"/>
      <c r="E159" s="348"/>
      <c r="F159" s="348"/>
      <c r="G159" s="348"/>
      <c r="H159" s="348"/>
      <c r="I159" s="348"/>
      <c r="J159" s="348"/>
      <c r="K159" s="348"/>
      <c r="L159" s="348"/>
      <c r="M159" s="348"/>
      <c r="N159" s="343">
        <f>SUM(N158:N158)</f>
        <v>9.4694400000000005</v>
      </c>
      <c r="O159" s="349" t="s">
        <v>100</v>
      </c>
      <c r="P159" s="563">
        <f>ROUND((N159),2)</f>
        <v>9.4700000000000006</v>
      </c>
      <c r="Q159" s="398"/>
      <c r="R159" s="564"/>
      <c r="S159" s="398"/>
      <c r="T159" s="398"/>
      <c r="U159" s="398"/>
      <c r="V159" s="555"/>
      <c r="W159" s="555"/>
      <c r="X159" s="555"/>
    </row>
    <row r="160" spans="1:24" ht="15.75" customHeight="1">
      <c r="A160" s="355" t="s">
        <v>121</v>
      </c>
      <c r="B160" s="356" t="s">
        <v>169</v>
      </c>
      <c r="C160" s="348"/>
      <c r="D160" s="348"/>
      <c r="E160" s="348"/>
      <c r="F160" s="348"/>
      <c r="G160" s="348"/>
      <c r="H160" s="348"/>
      <c r="I160" s="348"/>
      <c r="J160" s="348"/>
      <c r="K160" s="348"/>
      <c r="L160" s="348"/>
      <c r="M160" s="348"/>
      <c r="N160" s="348"/>
      <c r="O160" s="349"/>
      <c r="P160" s="563"/>
      <c r="Q160" s="398"/>
      <c r="R160" s="564"/>
      <c r="S160" s="398"/>
      <c r="T160" s="398"/>
      <c r="U160" s="398"/>
      <c r="V160" s="555"/>
      <c r="W160" s="555"/>
      <c r="X160" s="555"/>
    </row>
    <row r="161" spans="1:24" ht="15.75" customHeight="1">
      <c r="A161" s="355"/>
      <c r="B161" s="567"/>
      <c r="C161" s="348">
        <f>C151</f>
        <v>0.2</v>
      </c>
      <c r="D161" s="348">
        <f>D152</f>
        <v>0.15</v>
      </c>
      <c r="E161" s="348">
        <f>E151</f>
        <v>1</v>
      </c>
      <c r="F161" s="348">
        <f>F151</f>
        <v>3</v>
      </c>
      <c r="G161" s="348"/>
      <c r="H161" s="348"/>
      <c r="I161" s="348"/>
      <c r="J161" s="348"/>
      <c r="K161" s="348"/>
      <c r="L161" s="348"/>
      <c r="M161" s="348">
        <f>M151</f>
        <v>2</v>
      </c>
      <c r="N161" s="565">
        <f>C161*D161*E161*M161*F161</f>
        <v>0.18</v>
      </c>
      <c r="O161" s="349"/>
      <c r="P161" s="563"/>
      <c r="Q161" s="398"/>
      <c r="R161" s="564"/>
      <c r="S161" s="398"/>
      <c r="T161" s="398"/>
      <c r="U161" s="398"/>
      <c r="V161" s="555"/>
      <c r="W161" s="555"/>
      <c r="X161" s="555"/>
    </row>
    <row r="162" spans="1:24" ht="15.75" customHeight="1">
      <c r="A162" s="355"/>
      <c r="B162" s="359"/>
      <c r="C162" s="348"/>
      <c r="D162" s="348"/>
      <c r="E162" s="348"/>
      <c r="F162" s="348"/>
      <c r="G162" s="348"/>
      <c r="H162" s="348"/>
      <c r="I162" s="348"/>
      <c r="J162" s="348"/>
      <c r="K162" s="348"/>
      <c r="L162" s="348"/>
      <c r="M162" s="348"/>
      <c r="N162" s="343">
        <f>SUM(N161:N161)</f>
        <v>0.18</v>
      </c>
      <c r="O162" s="349" t="s">
        <v>103</v>
      </c>
      <c r="P162" s="563">
        <f>ROUND((N162),2)</f>
        <v>0.18</v>
      </c>
      <c r="Q162" s="398"/>
      <c r="R162" s="564"/>
      <c r="S162" s="398"/>
      <c r="T162" s="398"/>
      <c r="U162" s="398"/>
      <c r="V162" s="555"/>
      <c r="W162" s="555"/>
      <c r="X162" s="555"/>
    </row>
    <row r="163" spans="1:24" ht="15.75" customHeight="1">
      <c r="A163" s="355"/>
      <c r="B163" s="359"/>
      <c r="C163" s="348"/>
      <c r="D163" s="348"/>
      <c r="E163" s="348"/>
      <c r="F163" s="348"/>
      <c r="G163" s="348"/>
      <c r="H163" s="348"/>
      <c r="I163" s="348"/>
      <c r="J163" s="348"/>
      <c r="K163" s="348"/>
      <c r="L163" s="348"/>
      <c r="M163" s="348"/>
      <c r="N163" s="343"/>
      <c r="O163" s="349"/>
      <c r="P163" s="563"/>
      <c r="Q163" s="398"/>
      <c r="R163" s="564"/>
      <c r="S163" s="398"/>
      <c r="T163" s="398"/>
      <c r="U163" s="398"/>
      <c r="V163" s="555"/>
      <c r="W163" s="555"/>
      <c r="X163" s="555"/>
    </row>
    <row r="164" spans="1:24" s="580" customFormat="1" ht="15.75" hidden="1" customHeight="1">
      <c r="A164" s="584">
        <f>A124+1</f>
        <v>12</v>
      </c>
      <c r="B164" s="583" t="s">
        <v>1012</v>
      </c>
      <c r="C164" s="573">
        <v>5.8</v>
      </c>
      <c r="D164" s="573">
        <v>5.25</v>
      </c>
      <c r="E164" s="573"/>
      <c r="F164" s="573"/>
      <c r="G164" s="573"/>
      <c r="H164" s="573">
        <v>1</v>
      </c>
      <c r="I164" s="573"/>
      <c r="J164" s="573"/>
      <c r="K164" s="573"/>
      <c r="L164" s="573"/>
      <c r="M164" s="573"/>
      <c r="N164" s="573">
        <f>C164*D164*H164</f>
        <v>30.45</v>
      </c>
      <c r="O164" s="349" t="s">
        <v>89</v>
      </c>
      <c r="P164" s="576">
        <f>ROUND((N164),2)</f>
        <v>30.45</v>
      </c>
      <c r="Q164" s="577"/>
      <c r="R164" s="578"/>
      <c r="S164" s="577"/>
      <c r="T164" s="577"/>
      <c r="U164" s="577"/>
      <c r="V164" s="579"/>
      <c r="W164" s="579"/>
      <c r="X164" s="579"/>
    </row>
    <row r="165" spans="1:24" s="580" customFormat="1" ht="15.75" hidden="1" customHeight="1">
      <c r="A165" s="584">
        <f>A164+1</f>
        <v>13</v>
      </c>
      <c r="B165" s="583" t="s">
        <v>1013</v>
      </c>
      <c r="C165" s="573">
        <f>C164</f>
        <v>5.8</v>
      </c>
      <c r="D165" s="573">
        <f>D164</f>
        <v>5.25</v>
      </c>
      <c r="E165" s="573"/>
      <c r="F165" s="573"/>
      <c r="G165" s="573"/>
      <c r="H165" s="573">
        <v>1</v>
      </c>
      <c r="I165" s="573"/>
      <c r="J165" s="573"/>
      <c r="K165" s="573"/>
      <c r="L165" s="573"/>
      <c r="M165" s="573"/>
      <c r="N165" s="573">
        <f>C165*D165*H165</f>
        <v>30.45</v>
      </c>
      <c r="O165" s="349" t="s">
        <v>89</v>
      </c>
      <c r="P165" s="576">
        <f>ROUND((N165),2)</f>
        <v>30.45</v>
      </c>
      <c r="Q165" s="577"/>
      <c r="R165" s="578"/>
      <c r="S165" s="577"/>
      <c r="T165" s="577"/>
      <c r="U165" s="577"/>
      <c r="V165" s="579"/>
      <c r="W165" s="579"/>
      <c r="X165" s="579"/>
    </row>
    <row r="166" spans="1:24" s="580" customFormat="1" ht="15.75" hidden="1" customHeight="1">
      <c r="A166" s="584">
        <f>A165+1</f>
        <v>14</v>
      </c>
      <c r="B166" s="583" t="s">
        <v>1014</v>
      </c>
      <c r="C166" s="573">
        <v>13.65</v>
      </c>
      <c r="D166" s="573"/>
      <c r="E166" s="573"/>
      <c r="F166" s="573"/>
      <c r="G166" s="573"/>
      <c r="H166" s="573"/>
      <c r="I166" s="573"/>
      <c r="J166" s="573"/>
      <c r="K166" s="573"/>
      <c r="L166" s="573"/>
      <c r="M166" s="573"/>
      <c r="N166" s="573">
        <f>C166</f>
        <v>13.65</v>
      </c>
      <c r="O166" s="349" t="s">
        <v>117</v>
      </c>
      <c r="P166" s="576">
        <f>ROUND((N166),2)</f>
        <v>13.65</v>
      </c>
      <c r="Q166" s="577"/>
      <c r="R166" s="578"/>
      <c r="S166" s="577"/>
      <c r="T166" s="577"/>
      <c r="U166" s="577"/>
      <c r="V166" s="579"/>
      <c r="W166" s="579"/>
      <c r="X166" s="579"/>
    </row>
    <row r="167" spans="1:24" ht="15.75" customHeight="1">
      <c r="A167" s="346" t="s">
        <v>1015</v>
      </c>
      <c r="B167" s="586" t="s">
        <v>434</v>
      </c>
      <c r="C167" s="348"/>
      <c r="D167" s="348"/>
      <c r="E167" s="348"/>
      <c r="F167" s="348"/>
      <c r="G167" s="348"/>
      <c r="H167" s="348"/>
      <c r="I167" s="348"/>
      <c r="J167" s="348"/>
      <c r="K167" s="348"/>
      <c r="L167" s="348"/>
      <c r="M167" s="348"/>
      <c r="N167" s="348"/>
      <c r="O167" s="349"/>
      <c r="P167" s="563"/>
      <c r="Q167" s="398"/>
      <c r="R167" s="564"/>
      <c r="S167" s="398"/>
      <c r="T167" s="398"/>
      <c r="U167" s="398"/>
      <c r="V167" s="555"/>
      <c r="W167" s="555"/>
      <c r="X167" s="555"/>
    </row>
    <row r="168" spans="1:24" s="580" customFormat="1" ht="15.75" hidden="1" customHeight="1">
      <c r="A168" s="584">
        <v>1</v>
      </c>
      <c r="B168" s="583" t="s">
        <v>536</v>
      </c>
      <c r="C168" s="573"/>
      <c r="D168" s="573"/>
      <c r="E168" s="573"/>
      <c r="F168" s="573"/>
      <c r="G168" s="573"/>
      <c r="H168" s="573"/>
      <c r="I168" s="573"/>
      <c r="J168" s="573"/>
      <c r="K168" s="573"/>
      <c r="L168" s="573"/>
      <c r="M168" s="573"/>
      <c r="N168" s="573"/>
      <c r="O168" s="575"/>
      <c r="P168" s="576"/>
      <c r="Q168" s="577"/>
      <c r="R168" s="578"/>
      <c r="S168" s="577"/>
      <c r="T168" s="577"/>
      <c r="U168" s="577"/>
      <c r="V168" s="579"/>
      <c r="W168" s="579"/>
      <c r="X168" s="579"/>
    </row>
    <row r="169" spans="1:24" s="580" customFormat="1" ht="15.75" hidden="1" customHeight="1">
      <c r="A169" s="584"/>
      <c r="B169" s="581" t="s">
        <v>1016</v>
      </c>
      <c r="C169" s="573">
        <v>4</v>
      </c>
      <c r="D169" s="573"/>
      <c r="E169" s="573">
        <v>0.8</v>
      </c>
      <c r="F169" s="573"/>
      <c r="G169" s="573"/>
      <c r="H169" s="573">
        <f>1*0</f>
        <v>0</v>
      </c>
      <c r="I169" s="573"/>
      <c r="J169" s="573"/>
      <c r="K169" s="573"/>
      <c r="L169" s="573"/>
      <c r="M169" s="573"/>
      <c r="N169" s="573">
        <f>C169*E169*H169</f>
        <v>0</v>
      </c>
      <c r="O169" s="575"/>
      <c r="P169" s="576"/>
      <c r="Q169" s="577"/>
      <c r="R169" s="578"/>
      <c r="S169" s="577"/>
      <c r="T169" s="577"/>
      <c r="U169" s="577"/>
      <c r="V169" s="579"/>
      <c r="W169" s="579"/>
      <c r="X169" s="579"/>
    </row>
    <row r="170" spans="1:24" s="580" customFormat="1" ht="15.75" hidden="1" customHeight="1">
      <c r="A170" s="584"/>
      <c r="B170" s="581"/>
      <c r="C170" s="573"/>
      <c r="D170" s="587">
        <v>2.6440000000000001</v>
      </c>
      <c r="E170" s="587">
        <v>1.2769999999999999</v>
      </c>
      <c r="F170" s="587"/>
      <c r="G170" s="587"/>
      <c r="H170" s="587">
        <v>2</v>
      </c>
      <c r="I170" s="587"/>
      <c r="J170" s="587"/>
      <c r="K170" s="587"/>
      <c r="L170" s="587"/>
      <c r="M170" s="587"/>
      <c r="N170" s="587">
        <f>D170*E170*H170*Q170</f>
        <v>0</v>
      </c>
      <c r="O170" s="575"/>
      <c r="P170" s="576"/>
      <c r="Q170" s="577"/>
      <c r="R170" s="578"/>
      <c r="S170" s="577"/>
      <c r="T170" s="577"/>
      <c r="U170" s="577"/>
      <c r="V170" s="579"/>
      <c r="W170" s="579"/>
      <c r="X170" s="579"/>
    </row>
    <row r="171" spans="1:24" s="580" customFormat="1" ht="15.75" hidden="1" customHeight="1">
      <c r="A171" s="584"/>
      <c r="B171" s="581"/>
      <c r="C171" s="573"/>
      <c r="D171" s="587">
        <v>1.3029999999999999</v>
      </c>
      <c r="E171" s="587">
        <v>1.2769999999999999</v>
      </c>
      <c r="F171" s="587"/>
      <c r="G171" s="587"/>
      <c r="H171" s="587">
        <v>2</v>
      </c>
      <c r="I171" s="587"/>
      <c r="J171" s="587"/>
      <c r="K171" s="587"/>
      <c r="L171" s="587"/>
      <c r="M171" s="587"/>
      <c r="N171" s="587">
        <f>D171*E171*H171*Q171</f>
        <v>0</v>
      </c>
      <c r="O171" s="575"/>
      <c r="P171" s="576"/>
      <c r="Q171" s="577"/>
      <c r="R171" s="578"/>
      <c r="S171" s="577"/>
      <c r="T171" s="577"/>
      <c r="U171" s="577"/>
      <c r="V171" s="579"/>
      <c r="W171" s="579"/>
      <c r="X171" s="579"/>
    </row>
    <row r="172" spans="1:24" s="580" customFormat="1" ht="15.75" hidden="1" customHeight="1">
      <c r="A172" s="584"/>
      <c r="B172" s="581"/>
      <c r="C172" s="573"/>
      <c r="D172" s="587">
        <f>2.644/2</f>
        <v>1.3220000000000001</v>
      </c>
      <c r="E172" s="587">
        <v>1.1459999999999999</v>
      </c>
      <c r="F172" s="587"/>
      <c r="G172" s="587"/>
      <c r="H172" s="587">
        <v>2</v>
      </c>
      <c r="I172" s="587"/>
      <c r="J172" s="587"/>
      <c r="K172" s="587"/>
      <c r="L172" s="587"/>
      <c r="M172" s="587"/>
      <c r="N172" s="588">
        <f>D172*E172*H172*Q172</f>
        <v>0</v>
      </c>
      <c r="O172" s="575"/>
      <c r="P172" s="576"/>
      <c r="Q172" s="577"/>
      <c r="R172" s="578"/>
      <c r="S172" s="577"/>
      <c r="T172" s="577"/>
      <c r="U172" s="577"/>
      <c r="V172" s="579"/>
      <c r="W172" s="579"/>
      <c r="X172" s="579"/>
    </row>
    <row r="173" spans="1:24" s="580" customFormat="1" ht="15.75" hidden="1" customHeight="1">
      <c r="A173" s="584"/>
      <c r="B173" s="581"/>
      <c r="C173" s="573"/>
      <c r="D173" s="573"/>
      <c r="E173" s="573"/>
      <c r="F173" s="573"/>
      <c r="G173" s="573"/>
      <c r="H173" s="573"/>
      <c r="I173" s="573"/>
      <c r="J173" s="573"/>
      <c r="K173" s="573"/>
      <c r="L173" s="573"/>
      <c r="M173" s="573"/>
      <c r="N173" s="574">
        <f>SUM(N169:N169)</f>
        <v>0</v>
      </c>
      <c r="O173" s="575" t="s">
        <v>89</v>
      </c>
      <c r="P173" s="576">
        <f>ROUND((N173),2)</f>
        <v>0</v>
      </c>
      <c r="Q173" s="577"/>
      <c r="R173" s="578"/>
      <c r="S173" s="577"/>
      <c r="T173" s="577"/>
      <c r="U173" s="577"/>
      <c r="V173" s="579"/>
      <c r="W173" s="579"/>
      <c r="X173" s="579"/>
    </row>
    <row r="174" spans="1:24" s="580" customFormat="1" ht="15.75" hidden="1" customHeight="1">
      <c r="A174" s="584">
        <f>A168+1</f>
        <v>2</v>
      </c>
      <c r="B174" s="583" t="s">
        <v>193</v>
      </c>
      <c r="C174" s="573"/>
      <c r="D174" s="573"/>
      <c r="E174" s="573"/>
      <c r="F174" s="573"/>
      <c r="G174" s="573"/>
      <c r="H174" s="573"/>
      <c r="I174" s="573"/>
      <c r="J174" s="573"/>
      <c r="K174" s="573"/>
      <c r="L174" s="573"/>
      <c r="M174" s="573"/>
      <c r="N174" s="573">
        <f>N173*2</f>
        <v>0</v>
      </c>
      <c r="O174" s="575" t="s">
        <v>89</v>
      </c>
      <c r="P174" s="576">
        <f>ROUND((N174),2)</f>
        <v>0</v>
      </c>
      <c r="Q174" s="577"/>
      <c r="R174" s="578"/>
      <c r="S174" s="577"/>
      <c r="T174" s="577"/>
      <c r="U174" s="577"/>
      <c r="V174" s="579"/>
      <c r="W174" s="579"/>
      <c r="X174" s="579"/>
    </row>
    <row r="175" spans="1:24" s="580" customFormat="1" ht="15.75" hidden="1" customHeight="1">
      <c r="A175" s="584">
        <f>A174+1</f>
        <v>3</v>
      </c>
      <c r="B175" s="583" t="s">
        <v>194</v>
      </c>
      <c r="C175" s="573"/>
      <c r="D175" s="573"/>
      <c r="E175" s="573"/>
      <c r="F175" s="573"/>
      <c r="G175" s="573"/>
      <c r="H175" s="573"/>
      <c r="I175" s="573"/>
      <c r="J175" s="573"/>
      <c r="K175" s="573"/>
      <c r="L175" s="573"/>
      <c r="M175" s="573"/>
      <c r="N175" s="573">
        <f>N174</f>
        <v>0</v>
      </c>
      <c r="O175" s="575" t="s">
        <v>89</v>
      </c>
      <c r="P175" s="576">
        <f>ROUND((N175),2)</f>
        <v>0</v>
      </c>
      <c r="Q175" s="577"/>
      <c r="R175" s="578"/>
      <c r="S175" s="577"/>
      <c r="T175" s="577"/>
      <c r="U175" s="577"/>
      <c r="V175" s="579"/>
      <c r="W175" s="579"/>
      <c r="X175" s="579"/>
    </row>
    <row r="176" spans="1:24" ht="15.75" customHeight="1">
      <c r="A176" s="350">
        <v>1</v>
      </c>
      <c r="B176" s="359" t="s">
        <v>435</v>
      </c>
      <c r="C176" s="348"/>
      <c r="D176" s="348"/>
      <c r="E176" s="348"/>
      <c r="F176" s="348"/>
      <c r="G176" s="348"/>
      <c r="H176" s="348"/>
      <c r="I176" s="348"/>
      <c r="J176" s="348"/>
      <c r="K176" s="348"/>
      <c r="L176" s="348"/>
      <c r="M176" s="348"/>
      <c r="N176" s="348"/>
      <c r="O176" s="349"/>
      <c r="P176" s="563"/>
      <c r="Q176" s="398"/>
      <c r="R176" s="564"/>
      <c r="S176" s="398"/>
      <c r="T176" s="398"/>
      <c r="U176" s="398"/>
      <c r="V176" s="555"/>
      <c r="W176" s="555"/>
      <c r="X176" s="555"/>
    </row>
    <row r="177" spans="1:24" ht="15.75" customHeight="1">
      <c r="A177" s="350"/>
      <c r="B177" s="567" t="s">
        <v>1017</v>
      </c>
      <c r="C177" s="348"/>
      <c r="D177" s="348">
        <v>0.25</v>
      </c>
      <c r="E177" s="348">
        <f>E82</f>
        <v>3.58</v>
      </c>
      <c r="F177" s="348"/>
      <c r="G177" s="348"/>
      <c r="H177" s="348">
        <v>4</v>
      </c>
      <c r="I177" s="348"/>
      <c r="J177" s="348"/>
      <c r="K177" s="348"/>
      <c r="L177" s="348"/>
      <c r="M177" s="348">
        <v>8</v>
      </c>
      <c r="N177" s="348">
        <f>D177*E177*H177*M177</f>
        <v>28.64</v>
      </c>
      <c r="O177" s="349"/>
      <c r="P177" s="563"/>
      <c r="Q177" s="398"/>
      <c r="R177" s="564"/>
      <c r="S177" s="398"/>
      <c r="T177" s="398"/>
      <c r="U177" s="398"/>
      <c r="V177" s="555"/>
      <c r="W177" s="555"/>
      <c r="X177" s="555"/>
    </row>
    <row r="178" spans="1:24" ht="15.75" customHeight="1">
      <c r="A178" s="350"/>
      <c r="B178" s="567" t="s">
        <v>1018</v>
      </c>
      <c r="C178" s="348">
        <f>C88-(0.2*4)</f>
        <v>4.2</v>
      </c>
      <c r="D178" s="348"/>
      <c r="E178" s="348">
        <v>0.35</v>
      </c>
      <c r="F178" s="348"/>
      <c r="G178" s="348"/>
      <c r="H178" s="348">
        <v>2</v>
      </c>
      <c r="I178" s="348"/>
      <c r="J178" s="348"/>
      <c r="K178" s="348"/>
      <c r="L178" s="348"/>
      <c r="M178" s="348">
        <v>2</v>
      </c>
      <c r="N178" s="348">
        <f>C178*E178*H178*M178</f>
        <v>5.88</v>
      </c>
      <c r="O178" s="349"/>
      <c r="P178" s="563"/>
      <c r="Q178" s="398"/>
      <c r="R178" s="564"/>
      <c r="S178" s="398"/>
      <c r="T178" s="398"/>
      <c r="U178" s="398"/>
      <c r="V178" s="555"/>
      <c r="W178" s="555"/>
      <c r="X178" s="555"/>
    </row>
    <row r="179" spans="1:24" ht="15.75" customHeight="1">
      <c r="A179" s="350"/>
      <c r="B179" s="567"/>
      <c r="C179" s="348">
        <f>C178</f>
        <v>4.2</v>
      </c>
      <c r="D179" s="348"/>
      <c r="E179" s="348">
        <v>0.2</v>
      </c>
      <c r="F179" s="348"/>
      <c r="G179" s="348"/>
      <c r="H179" s="348">
        <v>1</v>
      </c>
      <c r="I179" s="348"/>
      <c r="J179" s="348"/>
      <c r="K179" s="348"/>
      <c r="L179" s="348"/>
      <c r="M179" s="348">
        <f>M178</f>
        <v>2</v>
      </c>
      <c r="N179" s="348">
        <f>C179*E179*H179*M179</f>
        <v>1.6800000000000002</v>
      </c>
      <c r="O179" s="349"/>
      <c r="P179" s="563"/>
      <c r="Q179" s="398"/>
      <c r="R179" s="564"/>
      <c r="S179" s="398"/>
      <c r="T179" s="398"/>
      <c r="U179" s="398"/>
      <c r="V179" s="555"/>
      <c r="W179" s="555"/>
      <c r="X179" s="555"/>
    </row>
    <row r="180" spans="1:24" ht="15.75" customHeight="1">
      <c r="A180" s="350"/>
      <c r="B180" s="567"/>
      <c r="C180" s="348">
        <f>C90-(0.2*2)</f>
        <v>3.6</v>
      </c>
      <c r="D180" s="348"/>
      <c r="E180" s="348">
        <f>E178</f>
        <v>0.35</v>
      </c>
      <c r="F180" s="348"/>
      <c r="G180" s="348"/>
      <c r="H180" s="348">
        <v>2</v>
      </c>
      <c r="I180" s="348"/>
      <c r="J180" s="348"/>
      <c r="K180" s="348">
        <v>0</v>
      </c>
      <c r="L180" s="348"/>
      <c r="M180" s="348">
        <v>2</v>
      </c>
      <c r="N180" s="348">
        <f>C180*(E180*H180+K180*2)*M180</f>
        <v>5.04</v>
      </c>
      <c r="O180" s="349"/>
      <c r="P180" s="563"/>
      <c r="Q180" s="398"/>
      <c r="R180" s="564"/>
      <c r="S180" s="398"/>
      <c r="T180" s="398"/>
      <c r="U180" s="398"/>
      <c r="V180" s="555"/>
      <c r="W180" s="555"/>
      <c r="X180" s="555"/>
    </row>
    <row r="181" spans="1:24" ht="15.75" customHeight="1">
      <c r="A181" s="350"/>
      <c r="B181" s="567"/>
      <c r="C181" s="348">
        <f>C180</f>
        <v>3.6</v>
      </c>
      <c r="D181" s="348"/>
      <c r="E181" s="348">
        <f>E179</f>
        <v>0.2</v>
      </c>
      <c r="F181" s="348"/>
      <c r="G181" s="348"/>
      <c r="H181" s="348">
        <v>1</v>
      </c>
      <c r="I181" s="348"/>
      <c r="J181" s="348">
        <v>0</v>
      </c>
      <c r="K181" s="348"/>
      <c r="L181" s="348"/>
      <c r="M181" s="348">
        <f>M180</f>
        <v>2</v>
      </c>
      <c r="N181" s="348">
        <f>C181*(E181*H181+J181)*M181</f>
        <v>1.4400000000000002</v>
      </c>
      <c r="O181" s="349"/>
      <c r="P181" s="563"/>
      <c r="Q181" s="398"/>
      <c r="R181" s="564"/>
      <c r="S181" s="398"/>
      <c r="T181" s="398"/>
      <c r="U181" s="398"/>
      <c r="V181" s="555"/>
      <c r="W181" s="555"/>
      <c r="X181" s="555"/>
    </row>
    <row r="182" spans="1:24" ht="15.75" customHeight="1">
      <c r="A182" s="350"/>
      <c r="B182" s="567" t="s">
        <v>1019</v>
      </c>
      <c r="C182" s="348">
        <v>12</v>
      </c>
      <c r="D182" s="348"/>
      <c r="E182" s="348">
        <v>0.2</v>
      </c>
      <c r="F182" s="348"/>
      <c r="G182" s="348"/>
      <c r="H182" s="348">
        <v>2</v>
      </c>
      <c r="I182" s="348"/>
      <c r="J182" s="348"/>
      <c r="K182" s="348"/>
      <c r="L182" s="348"/>
      <c r="M182" s="348">
        <f>1*0</f>
        <v>0</v>
      </c>
      <c r="N182" s="348">
        <f>C182*E182*H182*M182</f>
        <v>0</v>
      </c>
      <c r="O182" s="349"/>
      <c r="P182" s="563"/>
      <c r="Q182" s="398"/>
      <c r="R182" s="564"/>
      <c r="S182" s="398"/>
      <c r="T182" s="398"/>
      <c r="U182" s="398"/>
      <c r="V182" s="555"/>
      <c r="W182" s="555"/>
      <c r="X182" s="555"/>
    </row>
    <row r="183" spans="1:24" ht="15.75" customHeight="1">
      <c r="A183" s="350"/>
      <c r="B183" s="567"/>
      <c r="C183" s="348">
        <v>5</v>
      </c>
      <c r="D183" s="348"/>
      <c r="E183" s="348">
        <f>E182</f>
        <v>0.2</v>
      </c>
      <c r="F183" s="348"/>
      <c r="G183" s="348"/>
      <c r="H183" s="348">
        <v>3</v>
      </c>
      <c r="I183" s="348"/>
      <c r="J183" s="348"/>
      <c r="K183" s="348"/>
      <c r="L183" s="348"/>
      <c r="M183" s="348">
        <f>2*0</f>
        <v>0</v>
      </c>
      <c r="N183" s="565">
        <f>C183*E183*H183*M183</f>
        <v>0</v>
      </c>
      <c r="O183" s="349"/>
      <c r="P183" s="563"/>
      <c r="Q183" s="398"/>
      <c r="R183" s="564"/>
      <c r="S183" s="398"/>
      <c r="T183" s="398"/>
      <c r="U183" s="398"/>
      <c r="V183" s="555"/>
      <c r="W183" s="555"/>
      <c r="X183" s="555"/>
    </row>
    <row r="184" spans="1:24" ht="15.75" customHeight="1">
      <c r="A184" s="350"/>
      <c r="B184" s="567"/>
      <c r="C184" s="348"/>
      <c r="D184" s="348"/>
      <c r="E184" s="348"/>
      <c r="F184" s="348"/>
      <c r="G184" s="348"/>
      <c r="H184" s="348"/>
      <c r="I184" s="348"/>
      <c r="J184" s="348"/>
      <c r="K184" s="348"/>
      <c r="L184" s="348"/>
      <c r="M184" s="348"/>
      <c r="N184" s="343">
        <f>SUM(N176:N183)</f>
        <v>42.68</v>
      </c>
      <c r="O184" s="349" t="s">
        <v>89</v>
      </c>
      <c r="P184" s="563">
        <f>ROUND((N184),2)</f>
        <v>42.68</v>
      </c>
      <c r="Q184" s="398"/>
      <c r="R184" s="564"/>
      <c r="S184" s="398"/>
      <c r="T184" s="398"/>
      <c r="U184" s="398"/>
      <c r="V184" s="555"/>
      <c r="W184" s="555"/>
      <c r="X184" s="555"/>
    </row>
    <row r="185" spans="1:24" ht="15.75" customHeight="1">
      <c r="A185" s="350">
        <f>A176+1</f>
        <v>2</v>
      </c>
      <c r="B185" s="351" t="s">
        <v>436</v>
      </c>
      <c r="C185" s="348"/>
      <c r="D185" s="428">
        <v>1.6619999999999999</v>
      </c>
      <c r="E185" s="428">
        <v>1.1499999999999999</v>
      </c>
      <c r="F185" s="428"/>
      <c r="G185" s="428"/>
      <c r="H185" s="428">
        <v>2</v>
      </c>
      <c r="I185" s="428"/>
      <c r="J185" s="428"/>
      <c r="K185" s="428"/>
      <c r="L185" s="428"/>
      <c r="M185" s="428"/>
      <c r="N185" s="428">
        <f>D185*E185*H185</f>
        <v>3.8225999999999996</v>
      </c>
      <c r="O185" s="349"/>
      <c r="P185" s="563"/>
      <c r="Q185" s="398"/>
      <c r="R185" s="564"/>
      <c r="S185" s="398"/>
      <c r="T185" s="398"/>
      <c r="U185" s="398"/>
      <c r="V185" s="555"/>
      <c r="W185" s="555"/>
      <c r="X185" s="555"/>
    </row>
    <row r="186" spans="1:24" ht="15.75" customHeight="1">
      <c r="A186" s="350"/>
      <c r="B186" s="589"/>
      <c r="C186" s="348"/>
      <c r="D186" s="428">
        <v>1.294</v>
      </c>
      <c r="E186" s="428">
        <v>1.1499999999999999</v>
      </c>
      <c r="F186" s="428"/>
      <c r="G186" s="428"/>
      <c r="H186" s="428">
        <v>2</v>
      </c>
      <c r="I186" s="428"/>
      <c r="J186" s="428"/>
      <c r="K186" s="428"/>
      <c r="L186" s="428"/>
      <c r="M186" s="428"/>
      <c r="N186" s="428">
        <f>D186*E186*H186</f>
        <v>2.9762</v>
      </c>
      <c r="O186" s="349"/>
      <c r="P186" s="563"/>
      <c r="Q186" s="398"/>
      <c r="R186" s="564"/>
      <c r="S186" s="398"/>
      <c r="T186" s="398"/>
      <c r="U186" s="398"/>
      <c r="V186" s="555"/>
      <c r="W186" s="555"/>
      <c r="X186" s="555"/>
    </row>
    <row r="187" spans="1:24" ht="15.75" customHeight="1">
      <c r="A187" s="350"/>
      <c r="B187" s="589"/>
      <c r="C187" s="348"/>
      <c r="D187" s="428">
        <f>D185/2</f>
        <v>0.83099999999999996</v>
      </c>
      <c r="E187" s="428">
        <v>1.3129999999999999</v>
      </c>
      <c r="F187" s="428"/>
      <c r="G187" s="428"/>
      <c r="H187" s="428">
        <v>2</v>
      </c>
      <c r="I187" s="428"/>
      <c r="J187" s="428"/>
      <c r="K187" s="428"/>
      <c r="L187" s="428"/>
      <c r="M187" s="428"/>
      <c r="N187" s="590">
        <f>D187*E187*H187</f>
        <v>2.1822059999999999</v>
      </c>
      <c r="O187" s="349"/>
      <c r="P187" s="563"/>
      <c r="Q187" s="398"/>
      <c r="R187" s="564"/>
      <c r="S187" s="398"/>
      <c r="T187" s="398"/>
      <c r="U187" s="398"/>
      <c r="V187" s="555"/>
      <c r="W187" s="555"/>
      <c r="X187" s="555"/>
    </row>
    <row r="188" spans="1:24" ht="15.75" customHeight="1">
      <c r="A188" s="350"/>
      <c r="B188" s="589"/>
      <c r="C188" s="348"/>
      <c r="D188" s="348"/>
      <c r="E188" s="348"/>
      <c r="F188" s="348"/>
      <c r="G188" s="348"/>
      <c r="H188" s="348"/>
      <c r="I188" s="348"/>
      <c r="J188" s="348"/>
      <c r="K188" s="348"/>
      <c r="L188" s="348"/>
      <c r="M188" s="348"/>
      <c r="N188" s="343">
        <f>SUM(N185:N187)</f>
        <v>8.9810060000000007</v>
      </c>
      <c r="O188" s="349" t="s">
        <v>89</v>
      </c>
      <c r="P188" s="563">
        <f>ROUND((N188),2)</f>
        <v>8.98</v>
      </c>
      <c r="Q188" s="398"/>
      <c r="R188" s="564"/>
      <c r="S188" s="398"/>
      <c r="T188" s="398"/>
      <c r="U188" s="398"/>
      <c r="V188" s="555"/>
      <c r="W188" s="555"/>
      <c r="X188" s="555"/>
    </row>
    <row r="189" spans="1:24" ht="15.75" customHeight="1">
      <c r="A189" s="350">
        <f>A185+1</f>
        <v>3</v>
      </c>
      <c r="B189" s="359" t="s">
        <v>437</v>
      </c>
      <c r="C189" s="348"/>
      <c r="D189" s="348"/>
      <c r="E189" s="348"/>
      <c r="F189" s="348"/>
      <c r="G189" s="348"/>
      <c r="H189" s="348"/>
      <c r="I189" s="348"/>
      <c r="J189" s="348"/>
      <c r="K189" s="348"/>
      <c r="L189" s="348"/>
      <c r="M189" s="348"/>
      <c r="N189" s="343"/>
      <c r="O189" s="349"/>
      <c r="P189" s="563"/>
      <c r="Q189" s="398"/>
      <c r="R189" s="564"/>
      <c r="S189" s="398"/>
      <c r="T189" s="398"/>
      <c r="U189" s="398"/>
      <c r="V189" s="555"/>
      <c r="W189" s="555"/>
      <c r="X189" s="555"/>
    </row>
    <row r="190" spans="1:24" ht="15.75" customHeight="1">
      <c r="A190" s="355" t="s">
        <v>95</v>
      </c>
      <c r="B190" s="351" t="s">
        <v>438</v>
      </c>
      <c r="C190" s="348"/>
      <c r="D190" s="348"/>
      <c r="E190" s="348"/>
      <c r="F190" s="348"/>
      <c r="G190" s="348"/>
      <c r="H190" s="348"/>
      <c r="I190" s="348"/>
      <c r="J190" s="348"/>
      <c r="K190" s="348"/>
      <c r="L190" s="348"/>
      <c r="M190" s="348"/>
      <c r="N190" s="348"/>
      <c r="O190" s="349"/>
      <c r="P190" s="563"/>
      <c r="Q190" s="398"/>
      <c r="R190" s="564"/>
      <c r="S190" s="398"/>
      <c r="T190" s="398"/>
      <c r="U190" s="398"/>
      <c r="V190" s="555"/>
      <c r="W190" s="555"/>
      <c r="X190" s="555"/>
    </row>
    <row r="191" spans="1:24" ht="15.75" customHeight="1">
      <c r="A191" s="350"/>
      <c r="B191" s="567" t="s">
        <v>1020</v>
      </c>
      <c r="C191" s="348">
        <v>6.35</v>
      </c>
      <c r="D191" s="348">
        <v>0.12</v>
      </c>
      <c r="E191" s="348">
        <v>0.2</v>
      </c>
      <c r="F191" s="348"/>
      <c r="G191" s="348"/>
      <c r="H191" s="348">
        <f>H197</f>
        <v>2</v>
      </c>
      <c r="I191" s="348"/>
      <c r="J191" s="348"/>
      <c r="K191" s="348"/>
      <c r="L191" s="348"/>
      <c r="M191" s="348"/>
      <c r="N191" s="343">
        <f>C191*E191*H191*D191</f>
        <v>0.30480000000000002</v>
      </c>
      <c r="O191" s="349"/>
      <c r="P191" s="563"/>
      <c r="Q191" s="398"/>
      <c r="R191" s="564"/>
      <c r="S191" s="398"/>
      <c r="T191" s="398"/>
      <c r="U191" s="398"/>
      <c r="V191" s="555"/>
      <c r="W191" s="555"/>
      <c r="X191" s="555"/>
    </row>
    <row r="192" spans="1:24" ht="15.75" customHeight="1">
      <c r="A192" s="350"/>
      <c r="B192" s="567"/>
      <c r="C192" s="348">
        <v>5.35</v>
      </c>
      <c r="D192" s="348">
        <f t="shared" ref="D192:E194" si="4">D191</f>
        <v>0.12</v>
      </c>
      <c r="E192" s="348">
        <f t="shared" si="4"/>
        <v>0.2</v>
      </c>
      <c r="F192" s="348"/>
      <c r="G192" s="348"/>
      <c r="H192" s="348">
        <f>H198</f>
        <v>2</v>
      </c>
      <c r="I192" s="348"/>
      <c r="J192" s="348"/>
      <c r="K192" s="348"/>
      <c r="L192" s="348"/>
      <c r="M192" s="348"/>
      <c r="N192" s="343">
        <f>C192*E192*H192*D192</f>
        <v>0.25680000000000003</v>
      </c>
      <c r="O192" s="349"/>
      <c r="P192" s="563"/>
      <c r="Q192" s="398"/>
      <c r="R192" s="564"/>
      <c r="S192" s="398"/>
      <c r="T192" s="398"/>
      <c r="U192" s="398"/>
      <c r="V192" s="555"/>
      <c r="W192" s="555"/>
      <c r="X192" s="555"/>
    </row>
    <row r="193" spans="1:24" ht="15.75" customHeight="1">
      <c r="A193" s="350"/>
      <c r="B193" s="567" t="s">
        <v>1021</v>
      </c>
      <c r="C193" s="348">
        <f>C191-0.6</f>
        <v>5.75</v>
      </c>
      <c r="D193" s="348">
        <f t="shared" si="4"/>
        <v>0.12</v>
      </c>
      <c r="E193" s="348">
        <f t="shared" si="4"/>
        <v>0.2</v>
      </c>
      <c r="F193" s="348"/>
      <c r="G193" s="348"/>
      <c r="H193" s="348">
        <f>H199</f>
        <v>2</v>
      </c>
      <c r="I193" s="348"/>
      <c r="J193" s="348"/>
      <c r="K193" s="348"/>
      <c r="L193" s="348"/>
      <c r="M193" s="348"/>
      <c r="N193" s="343">
        <f>C193*E193*H193*D193</f>
        <v>0.27600000000000002</v>
      </c>
      <c r="O193" s="349"/>
      <c r="P193" s="563"/>
      <c r="Q193" s="398"/>
      <c r="R193" s="564"/>
      <c r="S193" s="398"/>
      <c r="T193" s="398"/>
      <c r="U193" s="398"/>
      <c r="V193" s="555"/>
      <c r="W193" s="555"/>
      <c r="X193" s="555"/>
    </row>
    <row r="194" spans="1:24" ht="15.75" customHeight="1">
      <c r="A194" s="350"/>
      <c r="B194" s="359"/>
      <c r="C194" s="348">
        <f>C192-0.6</f>
        <v>4.75</v>
      </c>
      <c r="D194" s="348">
        <f t="shared" si="4"/>
        <v>0.12</v>
      </c>
      <c r="E194" s="348">
        <f t="shared" si="4"/>
        <v>0.2</v>
      </c>
      <c r="F194" s="348"/>
      <c r="G194" s="348"/>
      <c r="H194" s="348">
        <f>H200</f>
        <v>2</v>
      </c>
      <c r="I194" s="348"/>
      <c r="J194" s="348"/>
      <c r="K194" s="348"/>
      <c r="L194" s="348"/>
      <c r="M194" s="348"/>
      <c r="N194" s="565">
        <f>C194*E194*H194*D194</f>
        <v>0.22800000000000001</v>
      </c>
      <c r="O194" s="349"/>
      <c r="P194" s="563"/>
      <c r="Q194" s="398"/>
      <c r="R194" s="564"/>
      <c r="S194" s="398"/>
      <c r="T194" s="398"/>
      <c r="U194" s="398"/>
      <c r="V194" s="555"/>
      <c r="W194" s="555"/>
      <c r="X194" s="555"/>
    </row>
    <row r="195" spans="1:24" ht="15.75" customHeight="1">
      <c r="A195" s="350"/>
      <c r="B195" s="359"/>
      <c r="C195" s="348"/>
      <c r="D195" s="348"/>
      <c r="E195" s="348"/>
      <c r="F195" s="348"/>
      <c r="G195" s="348"/>
      <c r="H195" s="348"/>
      <c r="I195" s="348"/>
      <c r="J195" s="348"/>
      <c r="K195" s="348"/>
      <c r="L195" s="348"/>
      <c r="M195" s="348"/>
      <c r="N195" s="343">
        <f>SUM(N191:N194)</f>
        <v>1.0656000000000001</v>
      </c>
      <c r="O195" s="349" t="s">
        <v>89</v>
      </c>
      <c r="P195" s="563">
        <f>ROUND((N195),2)</f>
        <v>1.07</v>
      </c>
      <c r="Q195" s="398"/>
      <c r="R195" s="564"/>
      <c r="S195" s="398"/>
      <c r="T195" s="398"/>
      <c r="U195" s="398"/>
      <c r="V195" s="555"/>
      <c r="W195" s="555"/>
      <c r="X195" s="555"/>
    </row>
    <row r="196" spans="1:24" ht="15.75" customHeight="1">
      <c r="A196" s="355" t="s">
        <v>98</v>
      </c>
      <c r="B196" s="359" t="s">
        <v>439</v>
      </c>
      <c r="C196" s="348"/>
      <c r="D196" s="348"/>
      <c r="E196" s="348"/>
      <c r="F196" s="348"/>
      <c r="G196" s="348"/>
      <c r="H196" s="348"/>
      <c r="I196" s="348"/>
      <c r="J196" s="348"/>
      <c r="K196" s="348"/>
      <c r="L196" s="348"/>
      <c r="M196" s="348"/>
      <c r="N196" s="348"/>
      <c r="O196" s="349"/>
      <c r="P196" s="563"/>
      <c r="Q196" s="398"/>
      <c r="R196" s="564"/>
      <c r="S196" s="398"/>
      <c r="T196" s="398"/>
      <c r="U196" s="398"/>
      <c r="V196" s="555"/>
      <c r="W196" s="555"/>
      <c r="X196" s="555"/>
    </row>
    <row r="197" spans="1:24" ht="15.75" customHeight="1">
      <c r="A197" s="355"/>
      <c r="B197" s="567" t="s">
        <v>1020</v>
      </c>
      <c r="C197" s="348">
        <f>C191</f>
        <v>6.35</v>
      </c>
      <c r="D197" s="348"/>
      <c r="E197" s="348">
        <f>0.15+E191</f>
        <v>0.35</v>
      </c>
      <c r="F197" s="348"/>
      <c r="G197" s="348"/>
      <c r="H197" s="348">
        <v>2</v>
      </c>
      <c r="I197" s="348"/>
      <c r="J197" s="348"/>
      <c r="K197" s="348"/>
      <c r="L197" s="348"/>
      <c r="M197" s="348"/>
      <c r="N197" s="348">
        <f>C197*E197*H197</f>
        <v>4.4449999999999994</v>
      </c>
      <c r="O197" s="349"/>
      <c r="P197" s="563"/>
      <c r="Q197" s="398"/>
      <c r="R197" s="564"/>
      <c r="S197" s="398"/>
      <c r="T197" s="398"/>
      <c r="U197" s="398"/>
      <c r="V197" s="555"/>
      <c r="W197" s="555"/>
      <c r="X197" s="555"/>
    </row>
    <row r="198" spans="1:24" ht="15.75" customHeight="1">
      <c r="A198" s="355"/>
      <c r="B198" s="567"/>
      <c r="C198" s="348">
        <f>C192</f>
        <v>5.35</v>
      </c>
      <c r="D198" s="348"/>
      <c r="E198" s="348">
        <f>E197</f>
        <v>0.35</v>
      </c>
      <c r="F198" s="348"/>
      <c r="G198" s="348"/>
      <c r="H198" s="348">
        <f>H197</f>
        <v>2</v>
      </c>
      <c r="I198" s="348"/>
      <c r="J198" s="348"/>
      <c r="K198" s="348"/>
      <c r="L198" s="348"/>
      <c r="M198" s="348"/>
      <c r="N198" s="348">
        <f>C198*E198*H198</f>
        <v>3.7449999999999997</v>
      </c>
      <c r="O198" s="349"/>
      <c r="P198" s="563"/>
      <c r="Q198" s="398"/>
      <c r="R198" s="564"/>
      <c r="S198" s="398"/>
      <c r="T198" s="398"/>
      <c r="U198" s="398"/>
      <c r="V198" s="555"/>
      <c r="W198" s="555"/>
      <c r="X198" s="555"/>
    </row>
    <row r="199" spans="1:24" ht="15.75" customHeight="1">
      <c r="A199" s="355"/>
      <c r="B199" s="567" t="s">
        <v>1021</v>
      </c>
      <c r="C199" s="348">
        <f>C193</f>
        <v>5.75</v>
      </c>
      <c r="D199" s="348"/>
      <c r="E199" s="348">
        <f>0.3+E193</f>
        <v>0.5</v>
      </c>
      <c r="F199" s="348"/>
      <c r="G199" s="348"/>
      <c r="H199" s="348">
        <f>H198</f>
        <v>2</v>
      </c>
      <c r="I199" s="348"/>
      <c r="J199" s="348"/>
      <c r="K199" s="348"/>
      <c r="L199" s="348"/>
      <c r="M199" s="348"/>
      <c r="N199" s="348">
        <f>C199*E199*H199</f>
        <v>5.75</v>
      </c>
      <c r="O199" s="349"/>
      <c r="P199" s="563"/>
      <c r="Q199" s="398"/>
      <c r="R199" s="564"/>
      <c r="S199" s="398"/>
      <c r="T199" s="398"/>
      <c r="U199" s="398"/>
      <c r="V199" s="555"/>
      <c r="W199" s="555"/>
      <c r="X199" s="555"/>
    </row>
    <row r="200" spans="1:24" ht="15.75" customHeight="1">
      <c r="A200" s="355"/>
      <c r="B200" s="567"/>
      <c r="C200" s="348">
        <f>C194</f>
        <v>4.75</v>
      </c>
      <c r="D200" s="348"/>
      <c r="E200" s="348">
        <f>E199</f>
        <v>0.5</v>
      </c>
      <c r="F200" s="348"/>
      <c r="G200" s="348"/>
      <c r="H200" s="348">
        <f>H199</f>
        <v>2</v>
      </c>
      <c r="I200" s="348"/>
      <c r="J200" s="348"/>
      <c r="K200" s="348"/>
      <c r="L200" s="348"/>
      <c r="M200" s="348"/>
      <c r="N200" s="565">
        <f>C200*E200*H200</f>
        <v>4.75</v>
      </c>
      <c r="O200" s="349"/>
      <c r="P200" s="563"/>
      <c r="Q200" s="398"/>
      <c r="R200" s="564"/>
      <c r="S200" s="398"/>
      <c r="T200" s="398"/>
      <c r="U200" s="398"/>
      <c r="V200" s="555"/>
      <c r="W200" s="555"/>
      <c r="X200" s="555"/>
    </row>
    <row r="201" spans="1:24" ht="15.75" customHeight="1">
      <c r="A201" s="355"/>
      <c r="B201" s="359"/>
      <c r="C201" s="348"/>
      <c r="D201" s="348"/>
      <c r="E201" s="348"/>
      <c r="F201" s="348"/>
      <c r="G201" s="348"/>
      <c r="H201" s="348"/>
      <c r="I201" s="348"/>
      <c r="J201" s="348"/>
      <c r="K201" s="348"/>
      <c r="L201" s="348"/>
      <c r="M201" s="348"/>
      <c r="N201" s="343">
        <f>SUM(N197:N200)</f>
        <v>18.689999999999998</v>
      </c>
      <c r="O201" s="349" t="s">
        <v>89</v>
      </c>
      <c r="P201" s="563">
        <f>ROUND((N201),2)</f>
        <v>18.690000000000001</v>
      </c>
      <c r="Q201" s="398"/>
      <c r="R201" s="564"/>
      <c r="S201" s="398"/>
      <c r="T201" s="398"/>
      <c r="U201" s="398"/>
      <c r="V201" s="555"/>
      <c r="W201" s="555"/>
      <c r="X201" s="555"/>
    </row>
    <row r="202" spans="1:24" ht="15.75" customHeight="1">
      <c r="A202" s="355" t="s">
        <v>101</v>
      </c>
      <c r="B202" s="359" t="s">
        <v>413</v>
      </c>
      <c r="C202" s="348"/>
      <c r="D202" s="348"/>
      <c r="E202" s="348"/>
      <c r="F202" s="348"/>
      <c r="G202" s="348"/>
      <c r="H202" s="348"/>
      <c r="I202" s="348"/>
      <c r="J202" s="348"/>
      <c r="K202" s="348"/>
      <c r="L202" s="348"/>
      <c r="M202" s="348"/>
      <c r="N202" s="348"/>
      <c r="O202" s="349"/>
      <c r="P202" s="563"/>
      <c r="Q202" s="398"/>
      <c r="R202" s="564"/>
      <c r="S202" s="398"/>
      <c r="T202" s="398"/>
      <c r="U202" s="398"/>
      <c r="V202" s="555"/>
      <c r="W202" s="555"/>
      <c r="X202" s="555"/>
    </row>
    <row r="203" spans="1:24" ht="15.75" customHeight="1">
      <c r="A203" s="355"/>
      <c r="B203" s="567" t="s">
        <v>1020</v>
      </c>
      <c r="C203" s="348">
        <f>C197</f>
        <v>6.35</v>
      </c>
      <c r="D203" s="348">
        <v>0.3</v>
      </c>
      <c r="E203" s="348">
        <f>E197-E191-E209-E215</f>
        <v>4.9999999999999961E-2</v>
      </c>
      <c r="F203" s="348"/>
      <c r="G203" s="348"/>
      <c r="H203" s="348">
        <f>H197</f>
        <v>2</v>
      </c>
      <c r="I203" s="348"/>
      <c r="J203" s="348"/>
      <c r="K203" s="348"/>
      <c r="L203" s="348"/>
      <c r="M203" s="348"/>
      <c r="N203" s="348">
        <f>C203*D203*E203*H203</f>
        <v>0.19049999999999984</v>
      </c>
      <c r="O203" s="349"/>
      <c r="P203" s="563"/>
      <c r="Q203" s="398"/>
      <c r="R203" s="564"/>
      <c r="S203" s="398"/>
      <c r="T203" s="398"/>
      <c r="U203" s="398"/>
      <c r="V203" s="555"/>
      <c r="W203" s="555"/>
      <c r="X203" s="555"/>
    </row>
    <row r="204" spans="1:24" ht="15.75" customHeight="1">
      <c r="A204" s="355"/>
      <c r="B204" s="567"/>
      <c r="C204" s="348">
        <f>C198</f>
        <v>5.35</v>
      </c>
      <c r="D204" s="348">
        <f>D203</f>
        <v>0.3</v>
      </c>
      <c r="E204" s="348">
        <f>E203</f>
        <v>4.9999999999999961E-2</v>
      </c>
      <c r="F204" s="348"/>
      <c r="G204" s="348"/>
      <c r="H204" s="348">
        <f>H198</f>
        <v>2</v>
      </c>
      <c r="I204" s="348"/>
      <c r="J204" s="348"/>
      <c r="K204" s="348"/>
      <c r="L204" s="348"/>
      <c r="M204" s="348"/>
      <c r="N204" s="348">
        <f>C204*D204*E204*H204</f>
        <v>0.16049999999999986</v>
      </c>
      <c r="O204" s="349"/>
      <c r="P204" s="563"/>
      <c r="Q204" s="398"/>
      <c r="R204" s="564"/>
      <c r="S204" s="398"/>
      <c r="T204" s="398"/>
      <c r="U204" s="398"/>
      <c r="V204" s="555"/>
      <c r="W204" s="555"/>
      <c r="X204" s="555"/>
    </row>
    <row r="205" spans="1:24" ht="15.75" customHeight="1">
      <c r="A205" s="355"/>
      <c r="B205" s="567" t="s">
        <v>1021</v>
      </c>
      <c r="C205" s="348">
        <f>C199</f>
        <v>5.75</v>
      </c>
      <c r="D205" s="348">
        <f>D204</f>
        <v>0.3</v>
      </c>
      <c r="E205" s="348">
        <f>E199-E193-E211-E217</f>
        <v>0.2</v>
      </c>
      <c r="F205" s="348"/>
      <c r="G205" s="348"/>
      <c r="H205" s="348">
        <f>H199</f>
        <v>2</v>
      </c>
      <c r="I205" s="348"/>
      <c r="J205" s="348"/>
      <c r="K205" s="348"/>
      <c r="L205" s="348"/>
      <c r="M205" s="348"/>
      <c r="N205" s="348">
        <f>C205*D205*E205*H205</f>
        <v>0.69</v>
      </c>
      <c r="O205" s="349"/>
      <c r="P205" s="563"/>
      <c r="Q205" s="398"/>
      <c r="R205" s="564"/>
      <c r="S205" s="398"/>
      <c r="T205" s="398"/>
      <c r="U205" s="398"/>
      <c r="V205" s="555"/>
      <c r="W205" s="555"/>
      <c r="X205" s="555"/>
    </row>
    <row r="206" spans="1:24" ht="15.75" customHeight="1">
      <c r="A206" s="355"/>
      <c r="B206" s="567"/>
      <c r="C206" s="348">
        <f>C200</f>
        <v>4.75</v>
      </c>
      <c r="D206" s="348">
        <f>D205</f>
        <v>0.3</v>
      </c>
      <c r="E206" s="348">
        <f>E205</f>
        <v>0.2</v>
      </c>
      <c r="F206" s="348"/>
      <c r="G206" s="348"/>
      <c r="H206" s="348">
        <f>H200</f>
        <v>2</v>
      </c>
      <c r="I206" s="348"/>
      <c r="J206" s="348"/>
      <c r="K206" s="348"/>
      <c r="L206" s="348"/>
      <c r="M206" s="348"/>
      <c r="N206" s="565">
        <f>C206*D206*E206*H206</f>
        <v>0.57000000000000006</v>
      </c>
      <c r="O206" s="349"/>
      <c r="P206" s="563"/>
      <c r="Q206" s="398"/>
      <c r="R206" s="564"/>
      <c r="S206" s="398"/>
      <c r="T206" s="398"/>
      <c r="U206" s="398"/>
      <c r="V206" s="555"/>
      <c r="W206" s="555"/>
      <c r="X206" s="555"/>
    </row>
    <row r="207" spans="1:24" ht="15.75" customHeight="1">
      <c r="A207" s="355"/>
      <c r="B207" s="359"/>
      <c r="C207" s="348"/>
      <c r="D207" s="348"/>
      <c r="E207" s="348"/>
      <c r="F207" s="348"/>
      <c r="G207" s="348"/>
      <c r="H207" s="348"/>
      <c r="I207" s="348"/>
      <c r="J207" s="348"/>
      <c r="K207" s="348"/>
      <c r="L207" s="348"/>
      <c r="M207" s="348"/>
      <c r="N207" s="343">
        <f>SUM(N203:N206)</f>
        <v>1.6109999999999998</v>
      </c>
      <c r="O207" s="349" t="s">
        <v>103</v>
      </c>
      <c r="P207" s="563">
        <f>ROUND((N207),2)</f>
        <v>1.61</v>
      </c>
      <c r="Q207" s="398"/>
      <c r="R207" s="564"/>
      <c r="S207" s="398"/>
      <c r="T207" s="398"/>
      <c r="U207" s="398"/>
      <c r="V207" s="555"/>
      <c r="W207" s="555"/>
      <c r="X207" s="555"/>
    </row>
    <row r="208" spans="1:24" ht="15.75" customHeight="1">
      <c r="A208" s="355" t="s">
        <v>121</v>
      </c>
      <c r="B208" s="359" t="s">
        <v>484</v>
      </c>
      <c r="C208" s="348"/>
      <c r="D208" s="348"/>
      <c r="E208" s="348"/>
      <c r="F208" s="348"/>
      <c r="G208" s="348"/>
      <c r="H208" s="348"/>
      <c r="I208" s="348"/>
      <c r="J208" s="348"/>
      <c r="K208" s="348"/>
      <c r="L208" s="348"/>
      <c r="M208" s="348"/>
      <c r="N208" s="348"/>
      <c r="O208" s="349"/>
      <c r="P208" s="563"/>
      <c r="Q208" s="398"/>
      <c r="R208" s="564"/>
      <c r="S208" s="398"/>
      <c r="T208" s="398"/>
      <c r="U208" s="398"/>
      <c r="V208" s="555"/>
      <c r="W208" s="555"/>
      <c r="X208" s="555"/>
    </row>
    <row r="209" spans="1:24" ht="15.75" customHeight="1">
      <c r="A209" s="355"/>
      <c r="B209" s="567" t="s">
        <v>1020</v>
      </c>
      <c r="C209" s="348">
        <f>C203</f>
        <v>6.35</v>
      </c>
      <c r="D209" s="348">
        <v>0.3</v>
      </c>
      <c r="E209" s="348">
        <v>0.03</v>
      </c>
      <c r="F209" s="348"/>
      <c r="G209" s="348"/>
      <c r="H209" s="348">
        <f>H203</f>
        <v>2</v>
      </c>
      <c r="I209" s="348"/>
      <c r="J209" s="348"/>
      <c r="K209" s="348"/>
      <c r="L209" s="348"/>
      <c r="M209" s="348"/>
      <c r="N209" s="348">
        <f>C209*D209*E209*H209</f>
        <v>0.11429999999999998</v>
      </c>
      <c r="O209" s="349"/>
      <c r="P209" s="563"/>
      <c r="Q209" s="398"/>
      <c r="R209" s="564"/>
      <c r="S209" s="398"/>
      <c r="T209" s="398"/>
      <c r="U209" s="398"/>
      <c r="V209" s="555"/>
      <c r="W209" s="555"/>
      <c r="X209" s="555"/>
    </row>
    <row r="210" spans="1:24" ht="15.75" customHeight="1">
      <c r="A210" s="355"/>
      <c r="B210" s="567"/>
      <c r="C210" s="348">
        <f>C204</f>
        <v>5.35</v>
      </c>
      <c r="D210" s="348">
        <f t="shared" ref="D210:E212" si="5">D209</f>
        <v>0.3</v>
      </c>
      <c r="E210" s="348">
        <f t="shared" si="5"/>
        <v>0.03</v>
      </c>
      <c r="F210" s="348"/>
      <c r="G210" s="348"/>
      <c r="H210" s="348">
        <f>H204</f>
        <v>2</v>
      </c>
      <c r="I210" s="348"/>
      <c r="J210" s="348"/>
      <c r="K210" s="348"/>
      <c r="L210" s="348"/>
      <c r="M210" s="348"/>
      <c r="N210" s="348">
        <f>C210*D210*E210*H210</f>
        <v>9.6299999999999983E-2</v>
      </c>
      <c r="O210" s="349"/>
      <c r="P210" s="563"/>
      <c r="Q210" s="398"/>
      <c r="R210" s="564"/>
      <c r="S210" s="398"/>
      <c r="T210" s="398"/>
      <c r="U210" s="398"/>
      <c r="V210" s="555"/>
      <c r="W210" s="555"/>
      <c r="X210" s="555"/>
    </row>
    <row r="211" spans="1:24" ht="15.75" customHeight="1">
      <c r="A211" s="355"/>
      <c r="B211" s="567" t="s">
        <v>1021</v>
      </c>
      <c r="C211" s="348">
        <f>C205</f>
        <v>5.75</v>
      </c>
      <c r="D211" s="348">
        <f t="shared" si="5"/>
        <v>0.3</v>
      </c>
      <c r="E211" s="348">
        <f t="shared" si="5"/>
        <v>0.03</v>
      </c>
      <c r="F211" s="348"/>
      <c r="G211" s="348"/>
      <c r="H211" s="348">
        <f>H205</f>
        <v>2</v>
      </c>
      <c r="I211" s="348"/>
      <c r="J211" s="348"/>
      <c r="K211" s="348"/>
      <c r="L211" s="348"/>
      <c r="M211" s="348"/>
      <c r="N211" s="348">
        <f>C211*D211*E211*H211</f>
        <v>0.10349999999999999</v>
      </c>
      <c r="O211" s="349"/>
      <c r="P211" s="563"/>
      <c r="Q211" s="398"/>
      <c r="R211" s="564"/>
      <c r="S211" s="398"/>
      <c r="T211" s="398"/>
      <c r="U211" s="398"/>
      <c r="V211" s="555"/>
      <c r="W211" s="555"/>
      <c r="X211" s="555"/>
    </row>
    <row r="212" spans="1:24" ht="15.75" customHeight="1">
      <c r="A212" s="355"/>
      <c r="B212" s="567"/>
      <c r="C212" s="348">
        <f>C206</f>
        <v>4.75</v>
      </c>
      <c r="D212" s="348">
        <f t="shared" si="5"/>
        <v>0.3</v>
      </c>
      <c r="E212" s="348">
        <f t="shared" si="5"/>
        <v>0.03</v>
      </c>
      <c r="F212" s="348"/>
      <c r="G212" s="348"/>
      <c r="H212" s="348">
        <f>H206</f>
        <v>2</v>
      </c>
      <c r="I212" s="348"/>
      <c r="J212" s="348"/>
      <c r="K212" s="348"/>
      <c r="L212" s="348"/>
      <c r="M212" s="348"/>
      <c r="N212" s="565">
        <f>C212*D212*E212*H212</f>
        <v>8.5499999999999993E-2</v>
      </c>
      <c r="O212" s="349"/>
      <c r="P212" s="563"/>
      <c r="Q212" s="398"/>
      <c r="R212" s="564"/>
      <c r="S212" s="398"/>
      <c r="T212" s="398"/>
      <c r="U212" s="398"/>
      <c r="V212" s="555"/>
      <c r="W212" s="555"/>
      <c r="X212" s="555"/>
    </row>
    <row r="213" spans="1:24" ht="15.75" customHeight="1">
      <c r="A213" s="355"/>
      <c r="B213" s="359"/>
      <c r="C213" s="348"/>
      <c r="D213" s="348"/>
      <c r="E213" s="348"/>
      <c r="F213" s="348"/>
      <c r="G213" s="348"/>
      <c r="H213" s="348"/>
      <c r="I213" s="348"/>
      <c r="J213" s="348"/>
      <c r="K213" s="348"/>
      <c r="L213" s="348"/>
      <c r="M213" s="348"/>
      <c r="N213" s="343">
        <f>SUM(N209:N212)</f>
        <v>0.39959999999999996</v>
      </c>
      <c r="O213" s="349" t="s">
        <v>103</v>
      </c>
      <c r="P213" s="563">
        <f>ROUND((N213),2)</f>
        <v>0.4</v>
      </c>
      <c r="Q213" s="398"/>
      <c r="R213" s="564"/>
      <c r="S213" s="398"/>
      <c r="T213" s="398"/>
      <c r="U213" s="398"/>
      <c r="V213" s="555"/>
      <c r="W213" s="555"/>
      <c r="X213" s="555"/>
    </row>
    <row r="214" spans="1:24" ht="15.75" customHeight="1">
      <c r="A214" s="355" t="s">
        <v>142</v>
      </c>
      <c r="B214" s="359" t="s">
        <v>192</v>
      </c>
      <c r="C214" s="348"/>
      <c r="D214" s="348"/>
      <c r="E214" s="348"/>
      <c r="F214" s="348"/>
      <c r="G214" s="348"/>
      <c r="H214" s="348"/>
      <c r="I214" s="348"/>
      <c r="J214" s="348"/>
      <c r="K214" s="348"/>
      <c r="L214" s="348"/>
      <c r="M214" s="348"/>
      <c r="N214" s="348"/>
      <c r="O214" s="349"/>
      <c r="P214" s="563"/>
      <c r="Q214" s="398"/>
      <c r="R214" s="564"/>
      <c r="S214" s="398"/>
      <c r="T214" s="398"/>
      <c r="U214" s="398"/>
      <c r="V214" s="555"/>
      <c r="W214" s="555"/>
      <c r="X214" s="555"/>
    </row>
    <row r="215" spans="1:24" ht="15.75" customHeight="1">
      <c r="A215" s="355"/>
      <c r="B215" s="567" t="s">
        <v>1020</v>
      </c>
      <c r="C215" s="348">
        <f t="shared" ref="C215:D218" si="6">C203</f>
        <v>6.35</v>
      </c>
      <c r="D215" s="348">
        <f t="shared" si="6"/>
        <v>0.3</v>
      </c>
      <c r="E215" s="348">
        <v>7.0000000000000007E-2</v>
      </c>
      <c r="F215" s="348"/>
      <c r="G215" s="348"/>
      <c r="H215" s="348">
        <f>H203</f>
        <v>2</v>
      </c>
      <c r="I215" s="348"/>
      <c r="J215" s="348"/>
      <c r="K215" s="348"/>
      <c r="L215" s="348"/>
      <c r="M215" s="348"/>
      <c r="N215" s="348">
        <f>C215*D215*E215*H215</f>
        <v>0.26669999999999999</v>
      </c>
      <c r="O215" s="349"/>
      <c r="P215" s="563"/>
      <c r="Q215" s="398"/>
      <c r="R215" s="564"/>
      <c r="S215" s="398"/>
      <c r="T215" s="398"/>
      <c r="U215" s="398"/>
      <c r="V215" s="555"/>
      <c r="W215" s="555"/>
      <c r="X215" s="555"/>
    </row>
    <row r="216" spans="1:24" ht="15.75" customHeight="1">
      <c r="A216" s="355"/>
      <c r="B216" s="567"/>
      <c r="C216" s="348">
        <f t="shared" si="6"/>
        <v>5.35</v>
      </c>
      <c r="D216" s="348">
        <f t="shared" si="6"/>
        <v>0.3</v>
      </c>
      <c r="E216" s="348">
        <f>E215</f>
        <v>7.0000000000000007E-2</v>
      </c>
      <c r="F216" s="348"/>
      <c r="G216" s="348"/>
      <c r="H216" s="348">
        <f>H204</f>
        <v>2</v>
      </c>
      <c r="I216" s="348"/>
      <c r="J216" s="348"/>
      <c r="K216" s="348"/>
      <c r="L216" s="348"/>
      <c r="M216" s="348"/>
      <c r="N216" s="348">
        <f>C216*D216*E216*H216</f>
        <v>0.22469999999999998</v>
      </c>
      <c r="O216" s="349"/>
      <c r="P216" s="563"/>
      <c r="Q216" s="398"/>
      <c r="R216" s="564"/>
      <c r="S216" s="398"/>
      <c r="T216" s="398"/>
      <c r="U216" s="398"/>
      <c r="V216" s="555"/>
      <c r="W216" s="555"/>
      <c r="X216" s="555"/>
    </row>
    <row r="217" spans="1:24" ht="15.75" customHeight="1">
      <c r="A217" s="355"/>
      <c r="B217" s="567" t="s">
        <v>1021</v>
      </c>
      <c r="C217" s="348">
        <f t="shared" si="6"/>
        <v>5.75</v>
      </c>
      <c r="D217" s="348">
        <f t="shared" si="6"/>
        <v>0.3</v>
      </c>
      <c r="E217" s="348">
        <f>E216</f>
        <v>7.0000000000000007E-2</v>
      </c>
      <c r="F217" s="348"/>
      <c r="G217" s="348"/>
      <c r="H217" s="348">
        <f>H205</f>
        <v>2</v>
      </c>
      <c r="I217" s="348"/>
      <c r="J217" s="348"/>
      <c r="K217" s="348"/>
      <c r="L217" s="348"/>
      <c r="M217" s="348"/>
      <c r="N217" s="348">
        <f>C217*D217*E217*H217</f>
        <v>0.24149999999999999</v>
      </c>
      <c r="O217" s="349"/>
      <c r="P217" s="563"/>
      <c r="Q217" s="398"/>
      <c r="R217" s="564"/>
      <c r="S217" s="398"/>
      <c r="T217" s="398"/>
      <c r="U217" s="398"/>
      <c r="V217" s="555"/>
      <c r="W217" s="555"/>
      <c r="X217" s="555"/>
    </row>
    <row r="218" spans="1:24" ht="15.75" customHeight="1">
      <c r="A218" s="355"/>
      <c r="B218" s="567"/>
      <c r="C218" s="348">
        <f t="shared" si="6"/>
        <v>4.75</v>
      </c>
      <c r="D218" s="348">
        <f t="shared" si="6"/>
        <v>0.3</v>
      </c>
      <c r="E218" s="348">
        <f>E217</f>
        <v>7.0000000000000007E-2</v>
      </c>
      <c r="F218" s="348"/>
      <c r="G218" s="348"/>
      <c r="H218" s="348">
        <f>H206</f>
        <v>2</v>
      </c>
      <c r="I218" s="348"/>
      <c r="J218" s="348"/>
      <c r="K218" s="348"/>
      <c r="L218" s="348"/>
      <c r="M218" s="348"/>
      <c r="N218" s="565">
        <f>C218*D218*E218*H218</f>
        <v>0.19950000000000004</v>
      </c>
      <c r="O218" s="349"/>
      <c r="P218" s="563"/>
      <c r="Q218" s="398"/>
      <c r="R218" s="564"/>
      <c r="S218" s="398"/>
      <c r="T218" s="398"/>
      <c r="U218" s="398"/>
      <c r="V218" s="555"/>
      <c r="W218" s="555"/>
      <c r="X218" s="555"/>
    </row>
    <row r="219" spans="1:24" ht="15.75" customHeight="1">
      <c r="A219" s="355"/>
      <c r="B219" s="359"/>
      <c r="C219" s="348"/>
      <c r="D219" s="348"/>
      <c r="E219" s="348"/>
      <c r="F219" s="348"/>
      <c r="G219" s="348"/>
      <c r="H219" s="348"/>
      <c r="I219" s="348"/>
      <c r="J219" s="348"/>
      <c r="K219" s="348"/>
      <c r="L219" s="348"/>
      <c r="M219" s="348"/>
      <c r="N219" s="343">
        <f>SUM(N215:N218)</f>
        <v>0.9323999999999999</v>
      </c>
      <c r="O219" s="349" t="s">
        <v>103</v>
      </c>
      <c r="P219" s="563">
        <f>ROUND((N219),2)</f>
        <v>0.93</v>
      </c>
      <c r="Q219" s="398"/>
      <c r="R219" s="564"/>
      <c r="S219" s="398"/>
      <c r="T219" s="398"/>
      <c r="U219" s="398"/>
      <c r="V219" s="555"/>
      <c r="W219" s="555"/>
      <c r="X219" s="555"/>
    </row>
    <row r="220" spans="1:24" ht="15.75" customHeight="1">
      <c r="A220" s="355" t="s">
        <v>217</v>
      </c>
      <c r="B220" s="359" t="s">
        <v>193</v>
      </c>
      <c r="C220" s="348"/>
      <c r="D220" s="348"/>
      <c r="E220" s="348"/>
      <c r="F220" s="348"/>
      <c r="G220" s="348"/>
      <c r="H220" s="348"/>
      <c r="I220" s="348"/>
      <c r="J220" s="348"/>
      <c r="K220" s="348"/>
      <c r="L220" s="348"/>
      <c r="M220" s="348"/>
      <c r="N220" s="343"/>
      <c r="O220" s="349"/>
      <c r="P220" s="563"/>
      <c r="Q220" s="398"/>
      <c r="R220" s="564"/>
      <c r="S220" s="398"/>
      <c r="T220" s="398"/>
      <c r="U220" s="398"/>
      <c r="V220" s="555"/>
      <c r="W220" s="555"/>
      <c r="X220" s="555"/>
    </row>
    <row r="221" spans="1:24" ht="15.75" customHeight="1">
      <c r="A221" s="355"/>
      <c r="B221" s="567" t="s">
        <v>1020</v>
      </c>
      <c r="C221" s="348">
        <f>C209</f>
        <v>6.35</v>
      </c>
      <c r="D221" s="348"/>
      <c r="E221" s="348">
        <v>0.15</v>
      </c>
      <c r="F221" s="348"/>
      <c r="G221" s="348"/>
      <c r="H221" s="348">
        <v>2</v>
      </c>
      <c r="I221" s="348"/>
      <c r="J221" s="348"/>
      <c r="K221" s="348"/>
      <c r="L221" s="348"/>
      <c r="M221" s="348"/>
      <c r="N221" s="348">
        <f>C221*E221*H221</f>
        <v>1.9049999999999998</v>
      </c>
      <c r="O221" s="349"/>
      <c r="P221" s="563"/>
      <c r="Q221" s="398"/>
      <c r="R221" s="564"/>
      <c r="S221" s="398"/>
      <c r="T221" s="398"/>
      <c r="U221" s="398"/>
      <c r="V221" s="555"/>
      <c r="W221" s="555"/>
      <c r="X221" s="555"/>
    </row>
    <row r="222" spans="1:24" ht="15.75" customHeight="1">
      <c r="A222" s="355"/>
      <c r="B222" s="567"/>
      <c r="C222" s="348">
        <f>C210</f>
        <v>5.35</v>
      </c>
      <c r="D222" s="348"/>
      <c r="E222" s="348">
        <f>E221</f>
        <v>0.15</v>
      </c>
      <c r="F222" s="348"/>
      <c r="G222" s="348"/>
      <c r="H222" s="348">
        <f>H221</f>
        <v>2</v>
      </c>
      <c r="I222" s="348"/>
      <c r="J222" s="348"/>
      <c r="K222" s="348"/>
      <c r="L222" s="348"/>
      <c r="M222" s="348"/>
      <c r="N222" s="348">
        <f>C222*E222*H222</f>
        <v>1.6049999999999998</v>
      </c>
      <c r="O222" s="349"/>
      <c r="P222" s="563"/>
      <c r="Q222" s="398"/>
      <c r="R222" s="564"/>
      <c r="S222" s="398"/>
      <c r="T222" s="398"/>
      <c r="U222" s="398"/>
      <c r="V222" s="555"/>
      <c r="W222" s="555"/>
      <c r="X222" s="555"/>
    </row>
    <row r="223" spans="1:24" ht="15.75" customHeight="1">
      <c r="A223" s="355"/>
      <c r="B223" s="567" t="s">
        <v>1021</v>
      </c>
      <c r="C223" s="348">
        <f>C211</f>
        <v>5.75</v>
      </c>
      <c r="D223" s="348"/>
      <c r="E223" s="348">
        <f>E222</f>
        <v>0.15</v>
      </c>
      <c r="F223" s="348"/>
      <c r="G223" s="348"/>
      <c r="H223" s="348">
        <f>H222</f>
        <v>2</v>
      </c>
      <c r="I223" s="348"/>
      <c r="J223" s="348"/>
      <c r="K223" s="348"/>
      <c r="L223" s="348"/>
      <c r="M223" s="348"/>
      <c r="N223" s="348">
        <f>C223*E223*H223</f>
        <v>1.7249999999999999</v>
      </c>
      <c r="O223" s="349"/>
      <c r="P223" s="563"/>
      <c r="Q223" s="398"/>
      <c r="R223" s="564"/>
      <c r="S223" s="398"/>
      <c r="T223" s="398"/>
      <c r="U223" s="398"/>
      <c r="V223" s="555"/>
      <c r="W223" s="555"/>
      <c r="X223" s="555"/>
    </row>
    <row r="224" spans="1:24" ht="15.75" customHeight="1">
      <c r="A224" s="355"/>
      <c r="B224" s="567"/>
      <c r="C224" s="348">
        <f>C212</f>
        <v>4.75</v>
      </c>
      <c r="D224" s="348"/>
      <c r="E224" s="348">
        <f>E223</f>
        <v>0.15</v>
      </c>
      <c r="F224" s="348"/>
      <c r="G224" s="348"/>
      <c r="H224" s="348">
        <f>H223</f>
        <v>2</v>
      </c>
      <c r="I224" s="348"/>
      <c r="J224" s="348"/>
      <c r="K224" s="348"/>
      <c r="L224" s="348"/>
      <c r="M224" s="348"/>
      <c r="N224" s="565">
        <f>C224*E224*H224</f>
        <v>1.425</v>
      </c>
      <c r="O224" s="349"/>
      <c r="P224" s="563"/>
      <c r="Q224" s="398"/>
      <c r="R224" s="564"/>
      <c r="S224" s="398"/>
      <c r="T224" s="398"/>
      <c r="U224" s="398"/>
      <c r="V224" s="555"/>
      <c r="W224" s="555"/>
      <c r="X224" s="555"/>
    </row>
    <row r="225" spans="1:24" ht="15.75" customHeight="1">
      <c r="A225" s="355"/>
      <c r="B225" s="351"/>
      <c r="C225" s="348"/>
      <c r="D225" s="348"/>
      <c r="E225" s="348"/>
      <c r="F225" s="348"/>
      <c r="G225" s="348"/>
      <c r="H225" s="348"/>
      <c r="I225" s="348"/>
      <c r="J225" s="348"/>
      <c r="K225" s="348"/>
      <c r="L225" s="348"/>
      <c r="M225" s="348"/>
      <c r="N225" s="343">
        <f>SUM(N221:N224)</f>
        <v>6.6599999999999993</v>
      </c>
      <c r="O225" s="349" t="s">
        <v>89</v>
      </c>
      <c r="P225" s="563">
        <f>ROUND((N225),2)</f>
        <v>6.66</v>
      </c>
      <c r="Q225" s="398"/>
      <c r="R225" s="564"/>
      <c r="S225" s="398"/>
      <c r="T225" s="398"/>
      <c r="U225" s="398"/>
      <c r="V225" s="555"/>
      <c r="W225" s="555"/>
      <c r="X225" s="555"/>
    </row>
    <row r="226" spans="1:24" ht="15.75" customHeight="1">
      <c r="A226" s="355" t="s">
        <v>366</v>
      </c>
      <c r="B226" s="359" t="s">
        <v>194</v>
      </c>
      <c r="C226" s="348"/>
      <c r="D226" s="348"/>
      <c r="E226" s="348"/>
      <c r="F226" s="348"/>
      <c r="G226" s="348"/>
      <c r="H226" s="348"/>
      <c r="I226" s="348"/>
      <c r="J226" s="348"/>
      <c r="K226" s="348"/>
      <c r="L226" s="348"/>
      <c r="M226" s="348"/>
      <c r="N226" s="343"/>
      <c r="O226" s="349"/>
      <c r="P226" s="563"/>
      <c r="Q226" s="398"/>
      <c r="R226" s="564"/>
      <c r="S226" s="398"/>
      <c r="T226" s="398"/>
      <c r="U226" s="398"/>
      <c r="V226" s="555"/>
      <c r="W226" s="555"/>
      <c r="X226" s="555"/>
    </row>
    <row r="227" spans="1:24" ht="15.75" customHeight="1">
      <c r="A227" s="355"/>
      <c r="B227" s="359"/>
      <c r="C227" s="348" t="s">
        <v>1022</v>
      </c>
      <c r="D227" s="348"/>
      <c r="E227" s="348"/>
      <c r="F227" s="348"/>
      <c r="G227" s="348"/>
      <c r="H227" s="348"/>
      <c r="I227" s="348"/>
      <c r="J227" s="348"/>
      <c r="K227" s="348"/>
      <c r="L227" s="348"/>
      <c r="M227" s="348"/>
      <c r="N227" s="343">
        <f>N225</f>
        <v>6.6599999999999993</v>
      </c>
      <c r="O227" s="349"/>
      <c r="P227" s="563"/>
      <c r="Q227" s="398"/>
      <c r="R227" s="564"/>
      <c r="S227" s="398"/>
      <c r="T227" s="398"/>
      <c r="U227" s="398"/>
      <c r="V227" s="555"/>
      <c r="W227" s="555"/>
      <c r="X227" s="555"/>
    </row>
    <row r="228" spans="1:24" ht="15.75" customHeight="1">
      <c r="A228" s="355"/>
      <c r="B228" s="567" t="str">
        <f>B215</f>
        <v>trap 1</v>
      </c>
      <c r="C228" s="348">
        <f>C203</f>
        <v>6.35</v>
      </c>
      <c r="D228" s="348"/>
      <c r="E228" s="348">
        <f>D215</f>
        <v>0.3</v>
      </c>
      <c r="F228" s="348"/>
      <c r="G228" s="348"/>
      <c r="H228" s="348">
        <f>H215</f>
        <v>2</v>
      </c>
      <c r="I228" s="348"/>
      <c r="J228" s="348"/>
      <c r="K228" s="348"/>
      <c r="L228" s="348"/>
      <c r="M228" s="348"/>
      <c r="N228" s="343">
        <f>C228*E228*H228</f>
        <v>3.8099999999999996</v>
      </c>
      <c r="O228" s="349"/>
      <c r="P228" s="563"/>
      <c r="Q228" s="398"/>
      <c r="R228" s="564"/>
      <c r="S228" s="398"/>
      <c r="T228" s="398"/>
      <c r="U228" s="398"/>
      <c r="V228" s="555"/>
      <c r="W228" s="555"/>
      <c r="X228" s="555"/>
    </row>
    <row r="229" spans="1:24" ht="15.75" customHeight="1">
      <c r="A229" s="355"/>
      <c r="B229" s="567"/>
      <c r="C229" s="348">
        <f>C204</f>
        <v>5.35</v>
      </c>
      <c r="D229" s="348"/>
      <c r="E229" s="348">
        <f>E228</f>
        <v>0.3</v>
      </c>
      <c r="F229" s="348"/>
      <c r="G229" s="348"/>
      <c r="H229" s="348">
        <f>H216</f>
        <v>2</v>
      </c>
      <c r="I229" s="348"/>
      <c r="J229" s="348"/>
      <c r="K229" s="348"/>
      <c r="L229" s="348"/>
      <c r="M229" s="348"/>
      <c r="N229" s="343">
        <f>C229*E229*H229</f>
        <v>3.2099999999999995</v>
      </c>
      <c r="O229" s="349"/>
      <c r="P229" s="563"/>
      <c r="Q229" s="398"/>
      <c r="R229" s="564"/>
      <c r="S229" s="398"/>
      <c r="T229" s="398"/>
      <c r="U229" s="398"/>
      <c r="V229" s="555"/>
      <c r="W229" s="555"/>
      <c r="X229" s="555"/>
    </row>
    <row r="230" spans="1:24" ht="15.75" customHeight="1">
      <c r="A230" s="355"/>
      <c r="B230" s="567" t="str">
        <f>B217</f>
        <v>trap 2</v>
      </c>
      <c r="C230" s="348">
        <f>C205</f>
        <v>5.75</v>
      </c>
      <c r="D230" s="348"/>
      <c r="E230" s="348">
        <f>E229</f>
        <v>0.3</v>
      </c>
      <c r="F230" s="348"/>
      <c r="G230" s="348"/>
      <c r="H230" s="348">
        <f>H217</f>
        <v>2</v>
      </c>
      <c r="I230" s="348"/>
      <c r="J230" s="348"/>
      <c r="K230" s="348"/>
      <c r="L230" s="348"/>
      <c r="M230" s="348"/>
      <c r="N230" s="343">
        <f>C230*E230*H230</f>
        <v>3.4499999999999997</v>
      </c>
      <c r="O230" s="349"/>
      <c r="P230" s="563"/>
      <c r="Q230" s="398"/>
      <c r="R230" s="564"/>
      <c r="S230" s="398"/>
      <c r="T230" s="398"/>
      <c r="U230" s="398"/>
      <c r="V230" s="555"/>
      <c r="W230" s="555"/>
      <c r="X230" s="555"/>
    </row>
    <row r="231" spans="1:24" ht="15.75" customHeight="1">
      <c r="A231" s="355"/>
      <c r="B231" s="359"/>
      <c r="C231" s="348">
        <f>C206</f>
        <v>4.75</v>
      </c>
      <c r="D231" s="348"/>
      <c r="E231" s="348">
        <f>E230</f>
        <v>0.3</v>
      </c>
      <c r="F231" s="348"/>
      <c r="G231" s="348"/>
      <c r="H231" s="348">
        <f>H218</f>
        <v>2</v>
      </c>
      <c r="I231" s="348"/>
      <c r="J231" s="348"/>
      <c r="K231" s="348"/>
      <c r="L231" s="348"/>
      <c r="M231" s="348"/>
      <c r="N231" s="565">
        <f>C231*E231*H231</f>
        <v>2.85</v>
      </c>
      <c r="O231" s="349"/>
      <c r="P231" s="563"/>
      <c r="Q231" s="398"/>
      <c r="R231" s="564"/>
      <c r="S231" s="398"/>
      <c r="T231" s="398"/>
      <c r="U231" s="398"/>
      <c r="V231" s="555"/>
      <c r="W231" s="555"/>
      <c r="X231" s="555"/>
    </row>
    <row r="232" spans="1:24" ht="15.75" customHeight="1">
      <c r="A232" s="355"/>
      <c r="B232" s="359"/>
      <c r="C232" s="348"/>
      <c r="D232" s="348"/>
      <c r="E232" s="348"/>
      <c r="F232" s="348"/>
      <c r="G232" s="348"/>
      <c r="H232" s="348"/>
      <c r="I232" s="348"/>
      <c r="J232" s="348"/>
      <c r="K232" s="348"/>
      <c r="L232" s="348"/>
      <c r="M232" s="348"/>
      <c r="N232" s="343">
        <f>SUM(N227:N231)</f>
        <v>19.98</v>
      </c>
      <c r="O232" s="349" t="s">
        <v>89</v>
      </c>
      <c r="P232" s="563">
        <f>ROUND((N232),2)</f>
        <v>19.98</v>
      </c>
      <c r="Q232" s="398"/>
      <c r="R232" s="564"/>
      <c r="S232" s="398"/>
      <c r="T232" s="398"/>
      <c r="U232" s="398"/>
      <c r="V232" s="555"/>
      <c r="W232" s="555"/>
      <c r="X232" s="555"/>
    </row>
    <row r="233" spans="1:24" ht="15.75" hidden="1" customHeight="1">
      <c r="A233" s="571" t="s">
        <v>121</v>
      </c>
      <c r="B233" s="583" t="s">
        <v>912</v>
      </c>
      <c r="C233" s="348"/>
      <c r="D233" s="348"/>
      <c r="E233" s="348"/>
      <c r="F233" s="348"/>
      <c r="G233" s="348"/>
      <c r="H233" s="348"/>
      <c r="I233" s="348"/>
      <c r="J233" s="348"/>
      <c r="K233" s="348"/>
      <c r="L233" s="348"/>
      <c r="M233" s="348"/>
      <c r="N233" s="348"/>
      <c r="O233" s="349"/>
      <c r="P233" s="563"/>
      <c r="Q233" s="398"/>
      <c r="R233" s="564"/>
      <c r="S233" s="398"/>
      <c r="T233" s="398"/>
      <c r="U233" s="398"/>
      <c r="V233" s="555"/>
      <c r="W233" s="555"/>
      <c r="X233" s="555"/>
    </row>
    <row r="234" spans="1:24" ht="15.75" hidden="1" customHeight="1">
      <c r="A234" s="571"/>
      <c r="B234" s="581" t="s">
        <v>1020</v>
      </c>
      <c r="C234" s="348">
        <f>C215</f>
        <v>6.35</v>
      </c>
      <c r="D234" s="348">
        <f>D215</f>
        <v>0.3</v>
      </c>
      <c r="E234" s="348"/>
      <c r="F234" s="348"/>
      <c r="G234" s="348"/>
      <c r="H234" s="348"/>
      <c r="I234" s="348"/>
      <c r="J234" s="348"/>
      <c r="K234" s="348"/>
      <c r="L234" s="348"/>
      <c r="M234" s="348"/>
      <c r="N234" s="348">
        <f>C234*D234</f>
        <v>1.9049999999999998</v>
      </c>
      <c r="O234" s="349"/>
      <c r="P234" s="563"/>
      <c r="Q234" s="398"/>
      <c r="R234" s="564"/>
      <c r="S234" s="398"/>
      <c r="T234" s="398"/>
      <c r="U234" s="398"/>
      <c r="V234" s="555"/>
      <c r="W234" s="555"/>
      <c r="X234" s="555"/>
    </row>
    <row r="235" spans="1:24" ht="15.75" hidden="1" customHeight="1">
      <c r="A235" s="571"/>
      <c r="B235" s="581"/>
      <c r="C235" s="348">
        <f>C236</f>
        <v>5.75</v>
      </c>
      <c r="D235" s="348"/>
      <c r="E235" s="348">
        <v>0.15</v>
      </c>
      <c r="F235" s="348"/>
      <c r="G235" s="348"/>
      <c r="H235" s="348"/>
      <c r="I235" s="348"/>
      <c r="J235" s="348"/>
      <c r="K235" s="348"/>
      <c r="L235" s="348"/>
      <c r="M235" s="348"/>
      <c r="N235" s="348">
        <f>C235*E235</f>
        <v>0.86249999999999993</v>
      </c>
      <c r="O235" s="349"/>
      <c r="P235" s="563"/>
      <c r="Q235" s="398"/>
      <c r="R235" s="564"/>
      <c r="S235" s="398"/>
      <c r="T235" s="398"/>
      <c r="U235" s="398"/>
      <c r="V235" s="555"/>
      <c r="W235" s="555"/>
      <c r="X235" s="555"/>
    </row>
    <row r="236" spans="1:24" ht="15.75" hidden="1" customHeight="1">
      <c r="A236" s="571"/>
      <c r="B236" s="581" t="s">
        <v>1021</v>
      </c>
      <c r="C236" s="348">
        <f>C217</f>
        <v>5.75</v>
      </c>
      <c r="D236" s="348">
        <f>D217</f>
        <v>0.3</v>
      </c>
      <c r="E236" s="348"/>
      <c r="F236" s="348"/>
      <c r="G236" s="348"/>
      <c r="H236" s="348"/>
      <c r="I236" s="348"/>
      <c r="J236" s="348"/>
      <c r="K236" s="348"/>
      <c r="L236" s="348"/>
      <c r="M236" s="348"/>
      <c r="N236" s="348">
        <f>C236*D236</f>
        <v>1.7249999999999999</v>
      </c>
      <c r="O236" s="349"/>
      <c r="P236" s="563"/>
      <c r="Q236" s="398"/>
      <c r="R236" s="564"/>
      <c r="S236" s="398"/>
      <c r="T236" s="398"/>
      <c r="U236" s="398"/>
      <c r="V236" s="555"/>
      <c r="W236" s="555"/>
      <c r="X236" s="555"/>
    </row>
    <row r="237" spans="1:24" ht="15.75" hidden="1" customHeight="1">
      <c r="A237" s="571"/>
      <c r="B237" s="581"/>
      <c r="C237" s="348">
        <f>C236</f>
        <v>5.75</v>
      </c>
      <c r="D237" s="348"/>
      <c r="E237" s="348">
        <f>E235</f>
        <v>0.15</v>
      </c>
      <c r="F237" s="348"/>
      <c r="G237" s="348"/>
      <c r="H237" s="348"/>
      <c r="I237" s="348"/>
      <c r="J237" s="348"/>
      <c r="K237" s="348"/>
      <c r="L237" s="348"/>
      <c r="M237" s="348"/>
      <c r="N237" s="565">
        <f>C237*E237</f>
        <v>0.86249999999999993</v>
      </c>
      <c r="O237" s="349"/>
      <c r="P237" s="563"/>
      <c r="Q237" s="398"/>
      <c r="R237" s="564"/>
      <c r="S237" s="398"/>
      <c r="T237" s="398"/>
      <c r="U237" s="398"/>
      <c r="V237" s="555"/>
      <c r="W237" s="555"/>
      <c r="X237" s="555"/>
    </row>
    <row r="238" spans="1:24" ht="15.75" hidden="1" customHeight="1">
      <c r="A238" s="571"/>
      <c r="B238" s="583"/>
      <c r="C238" s="348"/>
      <c r="D238" s="348"/>
      <c r="E238" s="348"/>
      <c r="F238" s="348"/>
      <c r="G238" s="348"/>
      <c r="H238" s="348"/>
      <c r="I238" s="348"/>
      <c r="J238" s="348"/>
      <c r="K238" s="348"/>
      <c r="L238" s="348"/>
      <c r="M238" s="348"/>
      <c r="N238" s="343">
        <f>SUM(N234:N237)</f>
        <v>5.3549999999999995</v>
      </c>
      <c r="O238" s="349" t="s">
        <v>89</v>
      </c>
      <c r="P238" s="563">
        <f>ROUND((N238),2)</f>
        <v>5.36</v>
      </c>
      <c r="Q238" s="398"/>
      <c r="R238" s="564"/>
      <c r="S238" s="398"/>
      <c r="T238" s="398"/>
      <c r="U238" s="398"/>
      <c r="V238" s="555"/>
      <c r="W238" s="555"/>
      <c r="X238" s="555"/>
    </row>
    <row r="239" spans="1:24" ht="15.75" hidden="1" customHeight="1">
      <c r="A239" s="584">
        <f>A189+1</f>
        <v>4</v>
      </c>
      <c r="B239" s="583" t="s">
        <v>936</v>
      </c>
      <c r="C239" s="348">
        <v>12</v>
      </c>
      <c r="D239" s="348">
        <v>5</v>
      </c>
      <c r="E239" s="348"/>
      <c r="F239" s="348"/>
      <c r="G239" s="348"/>
      <c r="H239" s="348"/>
      <c r="I239" s="348"/>
      <c r="J239" s="348"/>
      <c r="K239" s="348"/>
      <c r="L239" s="348"/>
      <c r="M239" s="348"/>
      <c r="N239" s="348">
        <f>C239*D239</f>
        <v>60</v>
      </c>
      <c r="O239" s="349" t="s">
        <v>89</v>
      </c>
      <c r="P239" s="563">
        <f>ROUND((N239),2)</f>
        <v>60</v>
      </c>
      <c r="Q239" s="398"/>
      <c r="R239" s="564"/>
      <c r="S239" s="398"/>
      <c r="T239" s="398"/>
      <c r="U239" s="398"/>
      <c r="V239" s="555"/>
      <c r="W239" s="555"/>
      <c r="X239" s="555"/>
    </row>
    <row r="240" spans="1:24" ht="15.75" customHeight="1">
      <c r="A240" s="350">
        <f>A189+1</f>
        <v>4</v>
      </c>
      <c r="B240" s="591" t="s">
        <v>443</v>
      </c>
      <c r="C240" s="592" t="s">
        <v>1023</v>
      </c>
      <c r="D240" s="348"/>
      <c r="E240" s="348"/>
      <c r="F240" s="348"/>
      <c r="G240" s="348"/>
      <c r="H240" s="348"/>
      <c r="I240" s="348"/>
      <c r="J240" s="348"/>
      <c r="K240" s="348"/>
      <c r="L240" s="348"/>
      <c r="M240" s="348"/>
      <c r="N240" s="343"/>
      <c r="O240" s="349"/>
      <c r="P240" s="563"/>
      <c r="Q240" s="398"/>
      <c r="R240" s="564"/>
      <c r="S240" s="398"/>
      <c r="T240" s="398"/>
      <c r="U240" s="398"/>
      <c r="V240" s="555"/>
      <c r="W240" s="555"/>
      <c r="X240" s="555"/>
    </row>
    <row r="241" spans="1:24" ht="37.5" customHeight="1">
      <c r="A241" s="355" t="s">
        <v>95</v>
      </c>
      <c r="B241" s="593" t="s">
        <v>537</v>
      </c>
      <c r="C241" s="592">
        <v>5.78</v>
      </c>
      <c r="D241" s="493"/>
      <c r="E241" s="348"/>
      <c r="F241" s="348">
        <v>6</v>
      </c>
      <c r="G241" s="348"/>
      <c r="H241" s="348">
        <v>1</v>
      </c>
      <c r="I241" s="348"/>
      <c r="J241" s="348"/>
      <c r="K241" s="348"/>
      <c r="L241" s="348"/>
      <c r="M241" s="348">
        <v>1</v>
      </c>
      <c r="N241" s="343">
        <f>M241*F241*C241*H241</f>
        <v>34.68</v>
      </c>
      <c r="O241" s="349" t="s">
        <v>89</v>
      </c>
      <c r="P241" s="563"/>
      <c r="Q241" s="398"/>
      <c r="R241" s="564"/>
      <c r="S241" s="398"/>
      <c r="T241" s="398"/>
      <c r="U241" s="398"/>
      <c r="V241" s="555"/>
      <c r="W241" s="555"/>
      <c r="X241" s="555"/>
    </row>
    <row r="242" spans="1:24" ht="28.5" customHeight="1">
      <c r="A242" s="355" t="s">
        <v>98</v>
      </c>
      <c r="B242" s="593" t="s">
        <v>538</v>
      </c>
      <c r="C242" s="348">
        <f>C265</f>
        <v>7.15</v>
      </c>
      <c r="D242" s="493"/>
      <c r="E242" s="348"/>
      <c r="F242" s="348">
        <f>ROUNDUP((D246/0.5),0)</f>
        <v>9</v>
      </c>
      <c r="G242" s="348"/>
      <c r="H242" s="348">
        <v>2</v>
      </c>
      <c r="I242" s="348"/>
      <c r="J242" s="348"/>
      <c r="K242" s="348"/>
      <c r="L242" s="348"/>
      <c r="M242" s="348"/>
      <c r="N242" s="343">
        <f>H242*F242*C242</f>
        <v>128.70000000000002</v>
      </c>
      <c r="O242" s="349" t="s">
        <v>117</v>
      </c>
      <c r="P242" s="563"/>
      <c r="Q242" s="398"/>
      <c r="R242" s="564"/>
      <c r="S242" s="398"/>
      <c r="T242" s="398"/>
      <c r="U242" s="398"/>
      <c r="V242" s="555"/>
      <c r="W242" s="555"/>
      <c r="X242" s="555"/>
    </row>
    <row r="243" spans="1:24" ht="15.75" customHeight="1">
      <c r="A243" s="355" t="s">
        <v>101</v>
      </c>
      <c r="B243" s="351" t="s">
        <v>823</v>
      </c>
      <c r="C243" s="348"/>
      <c r="D243" s="352"/>
      <c r="E243" s="348"/>
      <c r="F243" s="348"/>
      <c r="G243" s="348"/>
      <c r="H243" s="348"/>
      <c r="I243" s="348"/>
      <c r="J243" s="348"/>
      <c r="K243" s="348"/>
      <c r="L243" s="348"/>
      <c r="M243" s="348"/>
      <c r="N243" s="565">
        <f>SUM(N244:N245)</f>
        <v>24</v>
      </c>
      <c r="O243" s="349" t="s">
        <v>824</v>
      </c>
      <c r="P243" s="563"/>
      <c r="Q243" s="398"/>
      <c r="R243" s="564"/>
      <c r="S243" s="398"/>
      <c r="T243" s="398"/>
      <c r="U243" s="398"/>
      <c r="V243" s="555"/>
      <c r="W243" s="555"/>
      <c r="X243" s="555"/>
    </row>
    <row r="244" spans="1:24" ht="15.75" customHeight="1">
      <c r="A244" s="355"/>
      <c r="B244" s="589" t="s">
        <v>1024</v>
      </c>
      <c r="C244" s="348"/>
      <c r="D244" s="352"/>
      <c r="E244" s="348"/>
      <c r="F244" s="348">
        <v>2</v>
      </c>
      <c r="G244" s="348">
        <v>2</v>
      </c>
      <c r="H244" s="348">
        <v>1</v>
      </c>
      <c r="I244" s="348"/>
      <c r="J244" s="348"/>
      <c r="K244" s="348"/>
      <c r="L244" s="348"/>
      <c r="M244" s="348">
        <f>F241</f>
        <v>6</v>
      </c>
      <c r="N244" s="343">
        <f>M244*H244*G244*F244</f>
        <v>24</v>
      </c>
      <c r="O244" s="349" t="s">
        <v>824</v>
      </c>
      <c r="P244" s="563"/>
      <c r="Q244" s="398"/>
      <c r="R244" s="564"/>
      <c r="S244" s="398"/>
      <c r="T244" s="398"/>
      <c r="U244" s="398"/>
      <c r="V244" s="555"/>
      <c r="W244" s="555"/>
      <c r="X244" s="555"/>
    </row>
    <row r="245" spans="1:24" ht="15.75" customHeight="1">
      <c r="A245" s="355"/>
      <c r="B245" s="589" t="s">
        <v>1025</v>
      </c>
      <c r="C245" s="348"/>
      <c r="D245" s="352"/>
      <c r="E245" s="348"/>
      <c r="F245" s="348">
        <v>2</v>
      </c>
      <c r="G245" s="348">
        <v>5</v>
      </c>
      <c r="H245" s="348">
        <v>1</v>
      </c>
      <c r="I245" s="348"/>
      <c r="J245" s="348"/>
      <c r="K245" s="348"/>
      <c r="L245" s="348"/>
      <c r="M245" s="348">
        <v>0</v>
      </c>
      <c r="N245" s="343">
        <f>M245*H245*G245*F245</f>
        <v>0</v>
      </c>
      <c r="O245" s="349" t="s">
        <v>824</v>
      </c>
      <c r="P245" s="563"/>
      <c r="Q245" s="398"/>
      <c r="R245" s="564"/>
      <c r="S245" s="398"/>
      <c r="T245" s="398"/>
      <c r="U245" s="398"/>
      <c r="V245" s="555"/>
      <c r="W245" s="555"/>
      <c r="X245" s="555"/>
    </row>
    <row r="246" spans="1:24" ht="15.75" customHeight="1">
      <c r="A246" s="355" t="s">
        <v>121</v>
      </c>
      <c r="B246" s="351" t="s">
        <v>1026</v>
      </c>
      <c r="C246" s="348">
        <v>7.25</v>
      </c>
      <c r="D246" s="594">
        <f>2.349+1.948</f>
        <v>4.2970000000000006</v>
      </c>
      <c r="E246" s="348"/>
      <c r="F246" s="348"/>
      <c r="G246" s="348"/>
      <c r="H246" s="348"/>
      <c r="I246" s="348"/>
      <c r="J246" s="348"/>
      <c r="K246" s="348"/>
      <c r="L246" s="348"/>
      <c r="M246" s="348">
        <v>2</v>
      </c>
      <c r="N246" s="343">
        <f>M246*D246*C246</f>
        <v>62.306500000000007</v>
      </c>
      <c r="O246" s="349" t="s">
        <v>89</v>
      </c>
      <c r="P246" s="563"/>
      <c r="Q246" s="398"/>
      <c r="R246" s="564"/>
      <c r="S246" s="398"/>
      <c r="T246" s="398"/>
      <c r="U246" s="398"/>
      <c r="V246" s="555"/>
      <c r="W246" s="555"/>
      <c r="X246" s="555"/>
    </row>
    <row r="247" spans="1:24" ht="15.75" customHeight="1">
      <c r="A247" s="355" t="s">
        <v>142</v>
      </c>
      <c r="B247" s="351" t="s">
        <v>540</v>
      </c>
      <c r="C247" s="348">
        <f>C246</f>
        <v>7.25</v>
      </c>
      <c r="D247" s="352"/>
      <c r="E247" s="348"/>
      <c r="F247" s="348"/>
      <c r="G247" s="348"/>
      <c r="H247" s="348"/>
      <c r="I247" s="348"/>
      <c r="J247" s="348"/>
      <c r="K247" s="348"/>
      <c r="L247" s="348"/>
      <c r="M247" s="348"/>
      <c r="N247" s="343">
        <f>C247</f>
        <v>7.25</v>
      </c>
      <c r="O247" s="349" t="s">
        <v>117</v>
      </c>
      <c r="P247" s="563"/>
      <c r="Q247" s="398"/>
      <c r="R247" s="564"/>
      <c r="S247" s="398"/>
      <c r="T247" s="398"/>
      <c r="U247" s="398"/>
      <c r="V247" s="555"/>
      <c r="W247" s="555"/>
      <c r="X247" s="555"/>
    </row>
    <row r="248" spans="1:24" ht="15.75" customHeight="1">
      <c r="A248" s="350">
        <f>A240+1</f>
        <v>5</v>
      </c>
      <c r="B248" s="351" t="s">
        <v>1027</v>
      </c>
      <c r="C248" s="348"/>
      <c r="D248" s="348"/>
      <c r="E248" s="348"/>
      <c r="F248" s="348"/>
      <c r="G248" s="348"/>
      <c r="H248" s="348"/>
      <c r="I248" s="348"/>
      <c r="J248" s="348"/>
      <c r="K248" s="348"/>
      <c r="L248" s="348"/>
      <c r="M248" s="348"/>
      <c r="N248" s="343"/>
      <c r="O248" s="349"/>
      <c r="P248" s="563"/>
      <c r="Q248" s="398"/>
      <c r="R248" s="564"/>
      <c r="S248" s="398"/>
      <c r="T248" s="398"/>
      <c r="U248" s="398"/>
      <c r="V248" s="555"/>
      <c r="W248" s="555"/>
      <c r="X248" s="555"/>
    </row>
    <row r="249" spans="1:24" ht="15.75" customHeight="1">
      <c r="A249" s="350"/>
      <c r="B249" s="567" t="s">
        <v>1028</v>
      </c>
      <c r="C249" s="348">
        <v>5</v>
      </c>
      <c r="D249" s="348">
        <v>4</v>
      </c>
      <c r="E249" s="348"/>
      <c r="F249" s="348"/>
      <c r="G249" s="348"/>
      <c r="H249" s="348"/>
      <c r="I249" s="348"/>
      <c r="J249" s="348"/>
      <c r="K249" s="348"/>
      <c r="L249" s="348"/>
      <c r="M249" s="348"/>
      <c r="N249" s="343">
        <f>C249*D249</f>
        <v>20</v>
      </c>
      <c r="O249" s="349"/>
      <c r="P249" s="563"/>
      <c r="Q249" s="398"/>
      <c r="R249" s="564"/>
      <c r="S249" s="398"/>
      <c r="T249" s="398"/>
      <c r="U249" s="398"/>
      <c r="V249" s="555"/>
      <c r="W249" s="555"/>
      <c r="X249" s="555"/>
    </row>
    <row r="250" spans="1:24" ht="15.75" customHeight="1">
      <c r="A250" s="350"/>
      <c r="B250" s="567" t="s">
        <v>1029</v>
      </c>
      <c r="C250" s="348">
        <f>C265</f>
        <v>7.15</v>
      </c>
      <c r="D250" s="348">
        <v>1</v>
      </c>
      <c r="E250" s="348"/>
      <c r="F250" s="348"/>
      <c r="G250" s="348"/>
      <c r="H250" s="348">
        <v>2</v>
      </c>
      <c r="I250" s="348"/>
      <c r="J250" s="348"/>
      <c r="K250" s="348"/>
      <c r="L250" s="348"/>
      <c r="M250" s="348"/>
      <c r="N250" s="343">
        <f>C250*D250*H250</f>
        <v>14.3</v>
      </c>
      <c r="O250" s="349"/>
      <c r="P250" s="563"/>
      <c r="Q250" s="398"/>
      <c r="R250" s="564"/>
      <c r="S250" s="398"/>
      <c r="T250" s="398"/>
      <c r="U250" s="398"/>
      <c r="V250" s="555"/>
      <c r="W250" s="555"/>
      <c r="X250" s="555"/>
    </row>
    <row r="251" spans="1:24" ht="15.75" customHeight="1">
      <c r="A251" s="350"/>
      <c r="B251" s="567"/>
      <c r="C251" s="348">
        <f>D249</f>
        <v>4</v>
      </c>
      <c r="D251" s="348">
        <f>D250</f>
        <v>1</v>
      </c>
      <c r="E251" s="348"/>
      <c r="F251" s="348"/>
      <c r="G251" s="348"/>
      <c r="H251" s="348">
        <f>H250</f>
        <v>2</v>
      </c>
      <c r="I251" s="348"/>
      <c r="J251" s="348"/>
      <c r="K251" s="348"/>
      <c r="L251" s="348"/>
      <c r="M251" s="348"/>
      <c r="N251" s="565">
        <f>C251*D251*H251</f>
        <v>8</v>
      </c>
      <c r="O251" s="349"/>
      <c r="P251" s="563"/>
      <c r="Q251" s="398"/>
      <c r="R251" s="564"/>
      <c r="S251" s="398"/>
      <c r="T251" s="398"/>
      <c r="U251" s="398"/>
      <c r="V251" s="555"/>
      <c r="W251" s="555"/>
      <c r="X251" s="555"/>
    </row>
    <row r="252" spans="1:24" ht="15.75" customHeight="1">
      <c r="A252" s="350"/>
      <c r="B252" s="567"/>
      <c r="C252" s="348"/>
      <c r="D252" s="348"/>
      <c r="E252" s="348"/>
      <c r="F252" s="348"/>
      <c r="G252" s="348"/>
      <c r="H252" s="348"/>
      <c r="I252" s="348"/>
      <c r="J252" s="348"/>
      <c r="K252" s="348"/>
      <c r="L252" s="348"/>
      <c r="M252" s="348"/>
      <c r="N252" s="343">
        <f>SUM(N249:N251)</f>
        <v>42.3</v>
      </c>
      <c r="O252" s="349" t="s">
        <v>89</v>
      </c>
      <c r="P252" s="563">
        <f>ROUND((N252),2)</f>
        <v>42.3</v>
      </c>
      <c r="Q252" s="398"/>
      <c r="R252" s="564"/>
      <c r="S252" s="398"/>
      <c r="T252" s="398"/>
      <c r="U252" s="398"/>
      <c r="V252" s="555"/>
      <c r="W252" s="555"/>
      <c r="X252" s="555"/>
    </row>
    <row r="253" spans="1:24" ht="15.75" customHeight="1">
      <c r="A253" s="350"/>
      <c r="B253" s="567"/>
      <c r="C253" s="348"/>
      <c r="D253" s="348"/>
      <c r="E253" s="348"/>
      <c r="F253" s="348"/>
      <c r="G253" s="348"/>
      <c r="H253" s="348"/>
      <c r="I253" s="348"/>
      <c r="J253" s="348"/>
      <c r="K253" s="348"/>
      <c r="L253" s="348"/>
      <c r="M253" s="348"/>
      <c r="N253" s="343"/>
      <c r="O253" s="349"/>
      <c r="P253" s="563"/>
      <c r="Q253" s="398"/>
      <c r="R253" s="564"/>
      <c r="S253" s="398"/>
      <c r="T253" s="398"/>
      <c r="U253" s="398"/>
      <c r="V253" s="555"/>
      <c r="W253" s="555"/>
      <c r="X253" s="555"/>
    </row>
    <row r="254" spans="1:24" ht="15.75" customHeight="1">
      <c r="A254" s="350">
        <f>A248+1</f>
        <v>6</v>
      </c>
      <c r="B254" s="595" t="s">
        <v>1030</v>
      </c>
      <c r="C254" s="348"/>
      <c r="D254" s="348"/>
      <c r="E254" s="348"/>
      <c r="F254" s="348"/>
      <c r="G254" s="348"/>
      <c r="H254" s="348"/>
      <c r="I254" s="348"/>
      <c r="J254" s="348"/>
      <c r="K254" s="348"/>
      <c r="L254" s="348"/>
      <c r="M254" s="348"/>
      <c r="N254" s="348"/>
      <c r="O254" s="349"/>
      <c r="P254" s="563"/>
      <c r="Q254" s="398"/>
      <c r="R254" s="564"/>
      <c r="S254" s="398"/>
      <c r="T254" s="398"/>
      <c r="U254" s="398"/>
      <c r="V254" s="555"/>
      <c r="W254" s="555"/>
      <c r="X254" s="555"/>
    </row>
    <row r="255" spans="1:24" ht="15.75" customHeight="1">
      <c r="A255" s="350"/>
      <c r="B255" s="567" t="s">
        <v>1031</v>
      </c>
      <c r="C255" s="348">
        <f>4-(0.15*2)</f>
        <v>3.7</v>
      </c>
      <c r="D255" s="348"/>
      <c r="E255" s="348">
        <v>0.8</v>
      </c>
      <c r="F255" s="348"/>
      <c r="G255" s="348"/>
      <c r="H255" s="348">
        <v>1</v>
      </c>
      <c r="I255" s="348"/>
      <c r="J255" s="348"/>
      <c r="K255" s="348"/>
      <c r="L255" s="348"/>
      <c r="M255" s="348">
        <v>2</v>
      </c>
      <c r="N255" s="348">
        <f>C255*E255*M255*H255</f>
        <v>5.9200000000000008</v>
      </c>
      <c r="O255" s="349"/>
      <c r="P255" s="563"/>
      <c r="Q255" s="398"/>
      <c r="R255" s="564"/>
      <c r="S255" s="398"/>
      <c r="T255" s="398"/>
      <c r="U255" s="398"/>
      <c r="V255" s="555"/>
      <c r="W255" s="555"/>
      <c r="X255" s="555"/>
    </row>
    <row r="256" spans="1:24" ht="15.75" customHeight="1">
      <c r="A256" s="350"/>
      <c r="B256" s="567" t="s">
        <v>1032</v>
      </c>
      <c r="C256" s="348">
        <f>5-(0.15*2)</f>
        <v>4.7</v>
      </c>
      <c r="D256" s="348"/>
      <c r="E256" s="348">
        <f>E255</f>
        <v>0.8</v>
      </c>
      <c r="F256" s="348"/>
      <c r="G256" s="348"/>
      <c r="H256" s="348"/>
      <c r="I256" s="348"/>
      <c r="J256" s="348"/>
      <c r="K256" s="348"/>
      <c r="L256" s="348"/>
      <c r="M256" s="348">
        <v>2</v>
      </c>
      <c r="N256" s="565">
        <f>C256*E256*M256</f>
        <v>7.5200000000000005</v>
      </c>
      <c r="O256" s="349"/>
      <c r="P256" s="563"/>
      <c r="Q256" s="398"/>
      <c r="R256" s="564"/>
      <c r="S256" s="398"/>
      <c r="T256" s="398"/>
      <c r="U256" s="398"/>
      <c r="V256" s="555"/>
      <c r="W256" s="555"/>
      <c r="X256" s="555"/>
    </row>
    <row r="257" spans="1:24" ht="15.75" customHeight="1">
      <c r="A257" s="350"/>
      <c r="B257" s="595"/>
      <c r="C257" s="348"/>
      <c r="D257" s="348"/>
      <c r="E257" s="348"/>
      <c r="F257" s="348"/>
      <c r="G257" s="348"/>
      <c r="H257" s="348"/>
      <c r="I257" s="348"/>
      <c r="J257" s="348"/>
      <c r="K257" s="348"/>
      <c r="L257" s="348"/>
      <c r="M257" s="348"/>
      <c r="N257" s="343">
        <f>SUM(N255:N256)</f>
        <v>13.440000000000001</v>
      </c>
      <c r="O257" s="349" t="s">
        <v>89</v>
      </c>
      <c r="P257" s="563">
        <f>ROUND((N257),2)</f>
        <v>13.44</v>
      </c>
      <c r="Q257" s="398"/>
      <c r="R257" s="564"/>
      <c r="S257" s="398"/>
      <c r="T257" s="398"/>
      <c r="U257" s="398"/>
      <c r="V257" s="555"/>
      <c r="W257" s="555"/>
      <c r="X257" s="555"/>
    </row>
    <row r="258" spans="1:24" ht="15.75" customHeight="1">
      <c r="A258" s="350">
        <f>A254+1</f>
        <v>7</v>
      </c>
      <c r="B258" s="359" t="s">
        <v>580</v>
      </c>
      <c r="C258" s="348"/>
      <c r="D258" s="348"/>
      <c r="E258" s="348"/>
      <c r="F258" s="348"/>
      <c r="G258" s="348"/>
      <c r="H258" s="348"/>
      <c r="I258" s="348"/>
      <c r="J258" s="348"/>
      <c r="K258" s="348"/>
      <c r="L258" s="348"/>
      <c r="M258" s="348"/>
      <c r="N258" s="348"/>
      <c r="O258" s="349"/>
      <c r="P258" s="563"/>
      <c r="Q258" s="398"/>
      <c r="R258" s="564"/>
      <c r="S258" s="398"/>
      <c r="T258" s="398"/>
      <c r="U258" s="398"/>
      <c r="V258" s="555"/>
      <c r="W258" s="555"/>
      <c r="X258" s="555"/>
    </row>
    <row r="259" spans="1:24" ht="15.75" customHeight="1">
      <c r="A259" s="350"/>
      <c r="B259" s="567" t="s">
        <v>1033</v>
      </c>
      <c r="C259" s="348"/>
      <c r="D259" s="348"/>
      <c r="E259" s="348"/>
      <c r="F259" s="348"/>
      <c r="G259" s="348"/>
      <c r="H259" s="348"/>
      <c r="I259" s="348"/>
      <c r="J259" s="348"/>
      <c r="K259" s="348"/>
      <c r="L259" s="348"/>
      <c r="M259" s="348"/>
      <c r="N259" s="348">
        <f>N175</f>
        <v>0</v>
      </c>
      <c r="O259" s="349"/>
      <c r="P259" s="563"/>
      <c r="Q259" s="398"/>
      <c r="R259" s="564"/>
      <c r="S259" s="398"/>
      <c r="T259" s="398"/>
      <c r="U259" s="398"/>
      <c r="V259" s="555"/>
      <c r="W259" s="555"/>
      <c r="X259" s="555"/>
    </row>
    <row r="260" spans="1:24" ht="15.75" customHeight="1">
      <c r="A260" s="350"/>
      <c r="B260" s="567" t="s">
        <v>1034</v>
      </c>
      <c r="C260" s="348"/>
      <c r="D260" s="348"/>
      <c r="E260" s="348"/>
      <c r="F260" s="348"/>
      <c r="G260" s="348"/>
      <c r="H260" s="348"/>
      <c r="I260" s="348"/>
      <c r="J260" s="348"/>
      <c r="K260" s="348"/>
      <c r="L260" s="348"/>
      <c r="M260" s="348"/>
      <c r="N260" s="364">
        <f>N188</f>
        <v>8.9810060000000007</v>
      </c>
      <c r="O260" s="349"/>
      <c r="P260" s="563"/>
      <c r="Q260" s="398"/>
      <c r="R260" s="564"/>
      <c r="S260" s="398"/>
      <c r="T260" s="398"/>
      <c r="U260" s="398"/>
      <c r="V260" s="555"/>
      <c r="W260" s="555"/>
      <c r="X260" s="555"/>
    </row>
    <row r="261" spans="1:24" ht="15.75" customHeight="1">
      <c r="A261" s="350"/>
      <c r="B261" s="567" t="s">
        <v>1035</v>
      </c>
      <c r="C261" s="348"/>
      <c r="D261" s="348"/>
      <c r="E261" s="348"/>
      <c r="F261" s="348"/>
      <c r="G261" s="348"/>
      <c r="H261" s="348"/>
      <c r="I261" s="348"/>
      <c r="J261" s="348"/>
      <c r="K261" s="348"/>
      <c r="L261" s="348"/>
      <c r="M261" s="348"/>
      <c r="N261" s="565">
        <f>N184</f>
        <v>42.68</v>
      </c>
      <c r="O261" s="349"/>
      <c r="P261" s="563"/>
      <c r="Q261" s="398"/>
      <c r="R261" s="564"/>
      <c r="S261" s="398"/>
      <c r="T261" s="398"/>
      <c r="U261" s="398"/>
      <c r="V261" s="555"/>
      <c r="W261" s="555"/>
      <c r="X261" s="555"/>
    </row>
    <row r="262" spans="1:24" ht="15.75" customHeight="1">
      <c r="A262" s="350"/>
      <c r="B262" s="567"/>
      <c r="C262" s="348"/>
      <c r="D262" s="348"/>
      <c r="E262" s="348"/>
      <c r="F262" s="348"/>
      <c r="G262" s="348"/>
      <c r="H262" s="348"/>
      <c r="I262" s="348"/>
      <c r="J262" s="348"/>
      <c r="K262" s="348"/>
      <c r="L262" s="348"/>
      <c r="M262" s="348"/>
      <c r="N262" s="343">
        <f>SUM(N259:N261)</f>
        <v>51.661006</v>
      </c>
      <c r="O262" s="349" t="s">
        <v>89</v>
      </c>
      <c r="P262" s="563">
        <f>ROUND((N262),2)</f>
        <v>51.66</v>
      </c>
      <c r="Q262" s="398"/>
      <c r="R262" s="564"/>
      <c r="S262" s="398"/>
      <c r="T262" s="398"/>
      <c r="U262" s="398"/>
      <c r="V262" s="555"/>
      <c r="W262" s="555"/>
      <c r="X262" s="555"/>
    </row>
    <row r="263" spans="1:24" ht="15.75" customHeight="1">
      <c r="A263" s="350">
        <f>A258+1</f>
        <v>8</v>
      </c>
      <c r="B263" s="591" t="s">
        <v>451</v>
      </c>
      <c r="C263" s="348" t="s">
        <v>1036</v>
      </c>
      <c r="D263" s="348"/>
      <c r="E263" s="348"/>
      <c r="F263" s="348"/>
      <c r="G263" s="348"/>
      <c r="H263" s="348"/>
      <c r="I263" s="348"/>
      <c r="J263" s="348"/>
      <c r="K263" s="348"/>
      <c r="L263" s="348"/>
      <c r="M263" s="348"/>
      <c r="N263" s="343">
        <f>N252</f>
        <v>42.3</v>
      </c>
      <c r="O263" s="349" t="s">
        <v>89</v>
      </c>
      <c r="P263" s="563">
        <f>ROUND((N263),2)</f>
        <v>42.3</v>
      </c>
      <c r="Q263" s="398"/>
      <c r="R263" s="564"/>
      <c r="S263" s="398"/>
      <c r="T263" s="398"/>
      <c r="U263" s="398"/>
      <c r="V263" s="555"/>
      <c r="W263" s="555"/>
      <c r="X263" s="555"/>
    </row>
    <row r="264" spans="1:24" ht="15.75" customHeight="1">
      <c r="A264" s="350">
        <f>A263+1</f>
        <v>9</v>
      </c>
      <c r="B264" s="359" t="s">
        <v>1037</v>
      </c>
      <c r="C264" s="348"/>
      <c r="D264" s="348"/>
      <c r="E264" s="348"/>
      <c r="F264" s="348"/>
      <c r="G264" s="348"/>
      <c r="H264" s="348"/>
      <c r="I264" s="348"/>
      <c r="J264" s="348"/>
      <c r="K264" s="348"/>
      <c r="L264" s="348"/>
      <c r="M264" s="348"/>
      <c r="N264" s="348"/>
      <c r="O264" s="349"/>
      <c r="P264" s="563"/>
      <c r="Q264" s="398"/>
      <c r="R264" s="564"/>
      <c r="S264" s="398"/>
      <c r="T264" s="398"/>
      <c r="U264" s="398"/>
      <c r="V264" s="555"/>
      <c r="W264" s="555"/>
      <c r="X264" s="555"/>
    </row>
    <row r="265" spans="1:24" ht="15.75" customHeight="1">
      <c r="A265" s="350"/>
      <c r="B265" s="596" t="s">
        <v>227</v>
      </c>
      <c r="C265" s="348">
        <f>C246-0.1</f>
        <v>7.15</v>
      </c>
      <c r="D265" s="348"/>
      <c r="E265" s="348"/>
      <c r="F265" s="348"/>
      <c r="G265" s="348"/>
      <c r="H265" s="348"/>
      <c r="I265" s="348"/>
      <c r="J265" s="348"/>
      <c r="K265" s="348"/>
      <c r="L265" s="348"/>
      <c r="M265" s="348">
        <v>2</v>
      </c>
      <c r="N265" s="348">
        <f>C265*M265</f>
        <v>14.3</v>
      </c>
      <c r="O265" s="349"/>
      <c r="P265" s="563"/>
      <c r="Q265" s="398"/>
      <c r="R265" s="564"/>
      <c r="S265" s="398"/>
      <c r="T265" s="398"/>
      <c r="U265" s="398"/>
      <c r="V265" s="555"/>
      <c r="W265" s="555"/>
      <c r="X265" s="555"/>
    </row>
    <row r="266" spans="1:24" ht="15.75" customHeight="1">
      <c r="A266" s="350"/>
      <c r="B266" s="596" t="s">
        <v>226</v>
      </c>
      <c r="C266" s="348">
        <f>D246-0.1</f>
        <v>4.197000000000001</v>
      </c>
      <c r="D266" s="348"/>
      <c r="E266" s="348"/>
      <c r="F266" s="348"/>
      <c r="G266" s="348"/>
      <c r="H266" s="348"/>
      <c r="I266" s="348"/>
      <c r="J266" s="348"/>
      <c r="K266" s="348"/>
      <c r="L266" s="348"/>
      <c r="M266" s="348">
        <v>2</v>
      </c>
      <c r="N266" s="565">
        <f>C266*M266</f>
        <v>8.3940000000000019</v>
      </c>
      <c r="O266" s="349"/>
      <c r="P266" s="563"/>
      <c r="Q266" s="398"/>
      <c r="R266" s="564"/>
      <c r="S266" s="398"/>
      <c r="T266" s="398"/>
      <c r="U266" s="398"/>
      <c r="V266" s="555"/>
      <c r="W266" s="555"/>
      <c r="X266" s="555"/>
    </row>
    <row r="267" spans="1:24" ht="15.75" customHeight="1">
      <c r="A267" s="350"/>
      <c r="B267" s="597"/>
      <c r="C267" s="348"/>
      <c r="D267" s="348"/>
      <c r="E267" s="348"/>
      <c r="F267" s="348"/>
      <c r="G267" s="348"/>
      <c r="H267" s="348"/>
      <c r="I267" s="348"/>
      <c r="J267" s="348"/>
      <c r="K267" s="348"/>
      <c r="L267" s="348"/>
      <c r="M267" s="348"/>
      <c r="N267" s="343">
        <f>SUM(N265:N266)</f>
        <v>22.694000000000003</v>
      </c>
      <c r="O267" s="349" t="s">
        <v>117</v>
      </c>
      <c r="P267" s="563">
        <f>ROUND((N267),2)</f>
        <v>22.69</v>
      </c>
      <c r="Q267" s="398"/>
      <c r="R267" s="564"/>
      <c r="S267" s="398"/>
      <c r="T267" s="398"/>
      <c r="U267" s="398"/>
      <c r="V267" s="555"/>
      <c r="W267" s="555"/>
      <c r="X267" s="555"/>
    </row>
    <row r="268" spans="1:24" ht="15.75" customHeight="1">
      <c r="A268" s="350">
        <f>A264+1</f>
        <v>10</v>
      </c>
      <c r="B268" s="597" t="s">
        <v>968</v>
      </c>
      <c r="C268" s="348"/>
      <c r="D268" s="348"/>
      <c r="E268" s="348"/>
      <c r="F268" s="348"/>
      <c r="G268" s="348"/>
      <c r="H268" s="348"/>
      <c r="I268" s="348"/>
      <c r="J268" s="348"/>
      <c r="K268" s="348"/>
      <c r="L268" s="348"/>
      <c r="M268" s="348"/>
      <c r="N268" s="348"/>
      <c r="O268" s="349"/>
      <c r="P268" s="563"/>
      <c r="Q268" s="398"/>
      <c r="R268" s="564"/>
      <c r="S268" s="398"/>
      <c r="T268" s="398"/>
      <c r="U268" s="398"/>
      <c r="V268" s="555"/>
      <c r="W268" s="555"/>
      <c r="X268" s="555"/>
    </row>
    <row r="269" spans="1:24" ht="15.75" customHeight="1">
      <c r="A269" s="350"/>
      <c r="B269" s="567" t="str">
        <f>B265</f>
        <v>vertikal</v>
      </c>
      <c r="C269" s="348">
        <f>C265</f>
        <v>7.15</v>
      </c>
      <c r="D269" s="348">
        <v>0.3</v>
      </c>
      <c r="E269" s="348"/>
      <c r="F269" s="348"/>
      <c r="G269" s="348"/>
      <c r="H269" s="348"/>
      <c r="I269" s="348"/>
      <c r="J269" s="348"/>
      <c r="K269" s="348"/>
      <c r="L269" s="348"/>
      <c r="M269" s="348">
        <f>M265</f>
        <v>2</v>
      </c>
      <c r="N269" s="348">
        <f>C269*D269*M269</f>
        <v>4.29</v>
      </c>
      <c r="O269" s="349"/>
      <c r="P269" s="563"/>
      <c r="Q269" s="398"/>
      <c r="R269" s="564"/>
      <c r="S269" s="398"/>
      <c r="T269" s="398"/>
      <c r="U269" s="398"/>
      <c r="V269" s="555"/>
      <c r="W269" s="555"/>
      <c r="X269" s="555"/>
    </row>
    <row r="270" spans="1:24" ht="15.75" customHeight="1">
      <c r="A270" s="350"/>
      <c r="B270" s="567" t="str">
        <f>B266</f>
        <v>horisontal</v>
      </c>
      <c r="C270" s="348">
        <f>C266</f>
        <v>4.197000000000001</v>
      </c>
      <c r="D270" s="348">
        <f>D269</f>
        <v>0.3</v>
      </c>
      <c r="E270" s="348"/>
      <c r="F270" s="348"/>
      <c r="G270" s="348"/>
      <c r="H270" s="348"/>
      <c r="I270" s="348"/>
      <c r="J270" s="348"/>
      <c r="K270" s="348"/>
      <c r="L270" s="348"/>
      <c r="M270" s="348">
        <f>M266</f>
        <v>2</v>
      </c>
      <c r="N270" s="565">
        <f>C270*D270*M270</f>
        <v>2.5182000000000007</v>
      </c>
      <c r="O270" s="349"/>
      <c r="P270" s="563"/>
      <c r="Q270" s="398"/>
      <c r="R270" s="564"/>
      <c r="S270" s="398"/>
      <c r="T270" s="398"/>
      <c r="U270" s="398"/>
      <c r="V270" s="555"/>
      <c r="W270" s="555"/>
      <c r="X270" s="555"/>
    </row>
    <row r="271" spans="1:24" ht="15.75" customHeight="1">
      <c r="A271" s="350"/>
      <c r="B271" s="359"/>
      <c r="C271" s="348"/>
      <c r="D271" s="348"/>
      <c r="E271" s="348"/>
      <c r="F271" s="348"/>
      <c r="G271" s="348"/>
      <c r="H271" s="348"/>
      <c r="I271" s="348"/>
      <c r="J271" s="348"/>
      <c r="K271" s="348"/>
      <c r="L271" s="348"/>
      <c r="M271" s="348"/>
      <c r="N271" s="343">
        <f>SUM(N269:N270)</f>
        <v>6.8082000000000011</v>
      </c>
      <c r="O271" s="349" t="s">
        <v>89</v>
      </c>
      <c r="P271" s="563">
        <f>ROUND((N271),2)</f>
        <v>6.81</v>
      </c>
      <c r="Q271" s="398"/>
      <c r="R271" s="564"/>
      <c r="S271" s="398"/>
      <c r="T271" s="398"/>
      <c r="U271" s="398"/>
      <c r="V271" s="555"/>
      <c r="W271" s="555"/>
      <c r="X271" s="555"/>
    </row>
    <row r="272" spans="1:24" ht="15.75" customHeight="1">
      <c r="A272" s="350">
        <f>A268+1</f>
        <v>11</v>
      </c>
      <c r="B272" s="359" t="s">
        <v>582</v>
      </c>
      <c r="C272" s="348"/>
      <c r="D272" s="348"/>
      <c r="E272" s="348"/>
      <c r="F272" s="348">
        <v>1</v>
      </c>
      <c r="G272" s="348"/>
      <c r="H272" s="348"/>
      <c r="I272" s="348"/>
      <c r="J272" s="348"/>
      <c r="K272" s="348"/>
      <c r="L272" s="348"/>
      <c r="M272" s="348">
        <v>1</v>
      </c>
      <c r="N272" s="348">
        <f>F272*M272</f>
        <v>1</v>
      </c>
      <c r="O272" s="349" t="s">
        <v>124</v>
      </c>
      <c r="P272" s="563">
        <f>ROUND((N272),2)</f>
        <v>1</v>
      </c>
      <c r="Q272" s="398"/>
      <c r="R272" s="564"/>
      <c r="S272" s="398"/>
      <c r="T272" s="398"/>
      <c r="U272" s="398"/>
      <c r="V272" s="555"/>
      <c r="W272" s="555"/>
      <c r="X272" s="555"/>
    </row>
    <row r="273" spans="1:24" ht="27.75" customHeight="1">
      <c r="A273" s="350">
        <f>A272+1</f>
        <v>12</v>
      </c>
      <c r="B273" s="598" t="s">
        <v>455</v>
      </c>
      <c r="C273" s="348"/>
      <c r="D273" s="348"/>
      <c r="E273" s="348"/>
      <c r="F273" s="348">
        <v>21</v>
      </c>
      <c r="G273" s="348"/>
      <c r="H273" s="348"/>
      <c r="I273" s="348"/>
      <c r="J273" s="348"/>
      <c r="K273" s="348"/>
      <c r="L273" s="348"/>
      <c r="M273" s="348">
        <f>M272</f>
        <v>1</v>
      </c>
      <c r="N273" s="348">
        <f>F273*M273</f>
        <v>21</v>
      </c>
      <c r="O273" s="349" t="s">
        <v>124</v>
      </c>
      <c r="P273" s="563">
        <f>ROUND((N273),2)</f>
        <v>21</v>
      </c>
      <c r="Q273" s="398"/>
      <c r="R273" s="564"/>
      <c r="S273" s="398"/>
      <c r="T273" s="398"/>
      <c r="U273" s="398"/>
      <c r="V273" s="555"/>
      <c r="W273" s="555"/>
      <c r="X273" s="555"/>
    </row>
    <row r="274" spans="1:24" ht="15.75" customHeight="1">
      <c r="A274" s="346" t="s">
        <v>1038</v>
      </c>
      <c r="B274" s="342" t="s">
        <v>457</v>
      </c>
      <c r="C274" s="364"/>
      <c r="D274" s="364"/>
      <c r="E274" s="364"/>
      <c r="F274" s="364"/>
      <c r="G274" s="364"/>
      <c r="H274" s="364"/>
      <c r="I274" s="364"/>
      <c r="J274" s="364"/>
      <c r="K274" s="364"/>
      <c r="L274" s="364"/>
      <c r="M274" s="364"/>
      <c r="N274" s="364"/>
      <c r="O274" s="599"/>
      <c r="P274" s="600"/>
      <c r="Q274" s="398"/>
      <c r="R274" s="564"/>
      <c r="S274" s="398"/>
      <c r="T274" s="398"/>
      <c r="U274" s="398"/>
      <c r="V274" s="555"/>
      <c r="W274" s="555"/>
      <c r="X274" s="555"/>
    </row>
    <row r="275" spans="1:24" ht="15.75" customHeight="1">
      <c r="A275" s="350">
        <v>1</v>
      </c>
      <c r="B275" s="357" t="s">
        <v>458</v>
      </c>
      <c r="C275" s="364"/>
      <c r="D275" s="364"/>
      <c r="E275" s="364"/>
      <c r="F275" s="348">
        <v>4</v>
      </c>
      <c r="G275" s="364"/>
      <c r="H275" s="364"/>
      <c r="I275" s="364"/>
      <c r="J275" s="364"/>
      <c r="K275" s="364"/>
      <c r="L275" s="364"/>
      <c r="M275" s="364"/>
      <c r="N275" s="364">
        <f t="shared" ref="N275:N280" si="7">F275</f>
        <v>4</v>
      </c>
      <c r="O275" s="360" t="s">
        <v>357</v>
      </c>
      <c r="P275" s="563">
        <f t="shared" ref="P275:P280" si="8">ROUND((N275),2)</f>
        <v>4</v>
      </c>
      <c r="Q275" s="398"/>
      <c r="R275" s="564"/>
      <c r="S275" s="398"/>
      <c r="T275" s="398"/>
      <c r="U275" s="398"/>
      <c r="V275" s="555"/>
      <c r="W275" s="555"/>
      <c r="X275" s="555"/>
    </row>
    <row r="276" spans="1:24" ht="15.75" customHeight="1">
      <c r="A276" s="350">
        <f>A275+1</f>
        <v>2</v>
      </c>
      <c r="B276" s="366" t="s">
        <v>459</v>
      </c>
      <c r="C276" s="364"/>
      <c r="D276" s="364"/>
      <c r="E276" s="364"/>
      <c r="F276" s="348">
        <v>4</v>
      </c>
      <c r="G276" s="364"/>
      <c r="H276" s="364"/>
      <c r="I276" s="364"/>
      <c r="J276" s="364"/>
      <c r="K276" s="364"/>
      <c r="L276" s="364"/>
      <c r="M276" s="364"/>
      <c r="N276" s="364">
        <f t="shared" si="7"/>
        <v>4</v>
      </c>
      <c r="O276" s="360" t="s">
        <v>357</v>
      </c>
      <c r="P276" s="563">
        <f t="shared" si="8"/>
        <v>4</v>
      </c>
      <c r="Q276" s="398"/>
      <c r="R276" s="564"/>
      <c r="S276" s="398"/>
      <c r="T276" s="398"/>
      <c r="U276" s="398"/>
      <c r="V276" s="555"/>
      <c r="W276" s="555"/>
      <c r="X276" s="555"/>
    </row>
    <row r="277" spans="1:24" ht="15.75" customHeight="1">
      <c r="A277" s="350">
        <f>A276+1</f>
        <v>3</v>
      </c>
      <c r="B277" s="351" t="s">
        <v>460</v>
      </c>
      <c r="C277" s="364"/>
      <c r="D277" s="364"/>
      <c r="E277" s="364"/>
      <c r="F277" s="348">
        <v>1</v>
      </c>
      <c r="G277" s="364"/>
      <c r="H277" s="364"/>
      <c r="I277" s="364"/>
      <c r="J277" s="364"/>
      <c r="K277" s="364"/>
      <c r="L277" s="364"/>
      <c r="M277" s="364"/>
      <c r="N277" s="364">
        <f t="shared" si="7"/>
        <v>1</v>
      </c>
      <c r="O277" s="349" t="s">
        <v>124</v>
      </c>
      <c r="P277" s="563">
        <f t="shared" si="8"/>
        <v>1</v>
      </c>
      <c r="Q277" s="398"/>
      <c r="R277" s="564"/>
      <c r="S277" s="398"/>
      <c r="T277" s="398"/>
      <c r="U277" s="398"/>
      <c r="V277" s="555"/>
      <c r="W277" s="555"/>
      <c r="X277" s="555"/>
    </row>
    <row r="278" spans="1:24" ht="15.75" customHeight="1">
      <c r="A278" s="350">
        <f>A277+1</f>
        <v>4</v>
      </c>
      <c r="B278" s="351" t="s">
        <v>461</v>
      </c>
      <c r="C278" s="364"/>
      <c r="D278" s="364"/>
      <c r="E278" s="364"/>
      <c r="F278" s="348">
        <f>F276</f>
        <v>4</v>
      </c>
      <c r="G278" s="364"/>
      <c r="H278" s="364"/>
      <c r="I278" s="364"/>
      <c r="J278" s="364"/>
      <c r="K278" s="364"/>
      <c r="L278" s="364"/>
      <c r="M278" s="364"/>
      <c r="N278" s="364">
        <f t="shared" si="7"/>
        <v>4</v>
      </c>
      <c r="O278" s="349" t="s">
        <v>124</v>
      </c>
      <c r="P278" s="563">
        <f t="shared" si="8"/>
        <v>4</v>
      </c>
      <c r="Q278" s="398"/>
      <c r="R278" s="564"/>
      <c r="S278" s="398"/>
      <c r="T278" s="398"/>
      <c r="U278" s="398"/>
      <c r="V278" s="555"/>
      <c r="W278" s="555"/>
      <c r="X278" s="555"/>
    </row>
    <row r="279" spans="1:24" ht="15.75" customHeight="1">
      <c r="A279" s="350">
        <f>A278+1</f>
        <v>5</v>
      </c>
      <c r="B279" s="351" t="s">
        <v>462</v>
      </c>
      <c r="C279" s="364"/>
      <c r="D279" s="364"/>
      <c r="E279" s="364"/>
      <c r="F279" s="348">
        <f>F275</f>
        <v>4</v>
      </c>
      <c r="G279" s="364"/>
      <c r="H279" s="364"/>
      <c r="I279" s="364"/>
      <c r="J279" s="364"/>
      <c r="K279" s="364"/>
      <c r="L279" s="364"/>
      <c r="M279" s="364"/>
      <c r="N279" s="364">
        <f t="shared" si="7"/>
        <v>4</v>
      </c>
      <c r="O279" s="360" t="s">
        <v>124</v>
      </c>
      <c r="P279" s="563">
        <f t="shared" si="8"/>
        <v>4</v>
      </c>
      <c r="Q279" s="398"/>
      <c r="R279" s="564"/>
      <c r="S279" s="398"/>
      <c r="T279" s="398"/>
      <c r="U279" s="398"/>
      <c r="V279" s="555"/>
      <c r="W279" s="555"/>
      <c r="X279" s="555"/>
    </row>
    <row r="280" spans="1:24" ht="15.75" customHeight="1">
      <c r="A280" s="350">
        <f>A279+1</f>
        <v>6</v>
      </c>
      <c r="B280" s="351" t="s">
        <v>463</v>
      </c>
      <c r="C280" s="364"/>
      <c r="D280" s="364"/>
      <c r="E280" s="364"/>
      <c r="F280" s="348">
        <v>1</v>
      </c>
      <c r="G280" s="364"/>
      <c r="H280" s="364"/>
      <c r="I280" s="364"/>
      <c r="J280" s="364"/>
      <c r="K280" s="364"/>
      <c r="L280" s="364"/>
      <c r="M280" s="364"/>
      <c r="N280" s="364">
        <f t="shared" si="7"/>
        <v>1</v>
      </c>
      <c r="O280" s="349" t="s">
        <v>360</v>
      </c>
      <c r="P280" s="563">
        <f t="shared" si="8"/>
        <v>1</v>
      </c>
      <c r="Q280" s="398"/>
      <c r="R280" s="564"/>
      <c r="S280" s="398"/>
      <c r="T280" s="398"/>
      <c r="U280" s="398"/>
      <c r="V280" s="555"/>
      <c r="W280" s="555"/>
      <c r="X280" s="555"/>
    </row>
    <row r="281" spans="1:24" ht="15.75" customHeight="1">
      <c r="A281" s="350"/>
      <c r="B281" s="363" t="s">
        <v>464</v>
      </c>
      <c r="C281" s="364"/>
      <c r="D281" s="364"/>
      <c r="E281" s="364"/>
      <c r="F281" s="364"/>
      <c r="G281" s="364"/>
      <c r="H281" s="364"/>
      <c r="I281" s="364"/>
      <c r="J281" s="364"/>
      <c r="K281" s="364"/>
      <c r="L281" s="364"/>
      <c r="M281" s="364"/>
      <c r="N281" s="364"/>
      <c r="O281" s="349"/>
      <c r="P281" s="600"/>
      <c r="Q281" s="398"/>
      <c r="R281" s="564"/>
      <c r="S281" s="398"/>
      <c r="T281" s="398"/>
      <c r="U281" s="398"/>
      <c r="V281" s="555"/>
      <c r="W281" s="555"/>
      <c r="X281" s="555"/>
    </row>
    <row r="282" spans="1:24" ht="15.75" customHeight="1">
      <c r="A282" s="350"/>
      <c r="B282" s="363" t="s">
        <v>465</v>
      </c>
      <c r="C282" s="364"/>
      <c r="D282" s="364"/>
      <c r="E282" s="364"/>
      <c r="F282" s="364"/>
      <c r="G282" s="364"/>
      <c r="H282" s="364"/>
      <c r="I282" s="364"/>
      <c r="J282" s="364"/>
      <c r="K282" s="364"/>
      <c r="L282" s="364"/>
      <c r="M282" s="364"/>
      <c r="N282" s="364"/>
      <c r="O282" s="349"/>
      <c r="P282" s="600"/>
      <c r="Q282" s="398"/>
      <c r="R282" s="564"/>
      <c r="S282" s="398"/>
      <c r="T282" s="398"/>
      <c r="U282" s="398"/>
      <c r="V282" s="555"/>
      <c r="W282" s="555"/>
      <c r="X282" s="555"/>
    </row>
    <row r="283" spans="1:24" ht="15.75" customHeight="1">
      <c r="A283" s="350"/>
      <c r="B283" s="363" t="s">
        <v>466</v>
      </c>
      <c r="C283" s="364"/>
      <c r="D283" s="364"/>
      <c r="E283" s="364"/>
      <c r="F283" s="364"/>
      <c r="G283" s="364"/>
      <c r="H283" s="364"/>
      <c r="I283" s="364"/>
      <c r="J283" s="364"/>
      <c r="K283" s="364"/>
      <c r="L283" s="364"/>
      <c r="M283" s="364"/>
      <c r="N283" s="364"/>
      <c r="O283" s="599"/>
      <c r="P283" s="600"/>
      <c r="Q283" s="398"/>
      <c r="R283" s="564"/>
      <c r="S283" s="398"/>
      <c r="T283" s="398"/>
      <c r="U283" s="398"/>
      <c r="V283" s="555"/>
      <c r="W283" s="555"/>
      <c r="X283" s="555"/>
    </row>
    <row r="284" spans="1:24" ht="7.5" customHeight="1">
      <c r="A284" s="601"/>
      <c r="B284" s="602"/>
      <c r="C284" s="603"/>
      <c r="D284" s="603"/>
      <c r="E284" s="603"/>
      <c r="F284" s="603"/>
      <c r="G284" s="603"/>
      <c r="H284" s="603"/>
      <c r="I284" s="603"/>
      <c r="J284" s="603"/>
      <c r="K284" s="603"/>
      <c r="L284" s="603"/>
      <c r="M284" s="603"/>
      <c r="N284" s="603"/>
      <c r="O284" s="604"/>
      <c r="P284" s="605"/>
      <c r="Q284" s="398"/>
      <c r="R284" s="398"/>
      <c r="S284" s="398"/>
      <c r="T284" s="398"/>
      <c r="U284" s="398"/>
      <c r="V284" s="555"/>
      <c r="W284" s="555"/>
      <c r="X284" s="555"/>
    </row>
    <row r="285" spans="1:24" ht="15.75" customHeight="1">
      <c r="A285" s="606"/>
      <c r="B285" s="398"/>
      <c r="C285" s="564"/>
      <c r="D285" s="564"/>
      <c r="E285" s="564"/>
      <c r="F285" s="564"/>
      <c r="G285" s="564"/>
      <c r="H285" s="564"/>
      <c r="I285" s="564"/>
      <c r="J285" s="564"/>
      <c r="K285" s="564"/>
      <c r="L285" s="564"/>
      <c r="M285" s="564"/>
      <c r="N285" s="564"/>
      <c r="O285" s="606"/>
      <c r="P285" s="606"/>
      <c r="Q285" s="398"/>
      <c r="R285" s="398"/>
      <c r="S285" s="398"/>
      <c r="T285" s="398"/>
      <c r="U285" s="398"/>
      <c r="V285" s="555"/>
      <c r="W285" s="555"/>
      <c r="X285" s="555"/>
    </row>
    <row r="286" spans="1:24" ht="15.75" customHeight="1">
      <c r="A286" s="606"/>
      <c r="B286" s="398"/>
      <c r="C286" s="564"/>
      <c r="D286" s="564"/>
      <c r="E286" s="564"/>
      <c r="F286" s="564"/>
      <c r="G286" s="564"/>
      <c r="H286" s="564"/>
      <c r="I286" s="564"/>
      <c r="J286" s="564"/>
      <c r="K286" s="564"/>
      <c r="L286" s="564"/>
      <c r="M286" s="564"/>
      <c r="N286" s="564"/>
      <c r="O286" s="606"/>
      <c r="P286" s="606"/>
      <c r="Q286" s="398"/>
      <c r="R286" s="398"/>
      <c r="S286" s="398"/>
      <c r="T286" s="398"/>
      <c r="U286" s="398"/>
      <c r="V286" s="555"/>
      <c r="W286" s="555"/>
      <c r="X286" s="555"/>
    </row>
    <row r="287" spans="1:24" ht="15.75" customHeight="1">
      <c r="A287" s="606"/>
      <c r="B287" s="398"/>
      <c r="C287" s="564"/>
      <c r="D287" s="564"/>
      <c r="E287" s="564"/>
      <c r="F287" s="564"/>
      <c r="G287" s="564"/>
      <c r="H287" s="564"/>
      <c r="I287" s="564"/>
      <c r="J287" s="564"/>
      <c r="K287" s="564"/>
      <c r="L287" s="564"/>
      <c r="M287" s="564"/>
      <c r="N287" s="564"/>
      <c r="O287" s="606"/>
      <c r="P287" s="606"/>
      <c r="Q287" s="398"/>
      <c r="R287" s="398"/>
      <c r="S287" s="398"/>
      <c r="T287" s="398"/>
      <c r="U287" s="398"/>
      <c r="V287" s="555"/>
      <c r="W287" s="555"/>
      <c r="X287" s="555"/>
    </row>
    <row r="288" spans="1:24" ht="15.75" customHeight="1">
      <c r="A288" s="606"/>
      <c r="B288" s="398"/>
      <c r="C288" s="564"/>
      <c r="D288" s="564"/>
      <c r="E288" s="564"/>
      <c r="F288" s="564"/>
      <c r="G288" s="564"/>
      <c r="H288" s="564"/>
      <c r="I288" s="564"/>
      <c r="J288" s="564"/>
      <c r="K288" s="564"/>
      <c r="L288" s="564"/>
      <c r="M288" s="564"/>
      <c r="N288" s="564"/>
      <c r="O288" s="606"/>
      <c r="P288" s="606"/>
      <c r="Q288" s="398"/>
      <c r="R288" s="398"/>
      <c r="S288" s="398"/>
      <c r="T288" s="398"/>
      <c r="U288" s="398"/>
      <c r="V288" s="555"/>
      <c r="W288" s="555"/>
      <c r="X288" s="555"/>
    </row>
    <row r="289" spans="1:24" ht="15.75" customHeight="1">
      <c r="A289" s="398"/>
      <c r="B289" s="398"/>
      <c r="C289" s="564"/>
      <c r="D289" s="564"/>
      <c r="E289" s="564"/>
      <c r="F289" s="564"/>
      <c r="G289" s="564"/>
      <c r="H289" s="564"/>
      <c r="I289" s="564"/>
      <c r="J289" s="564"/>
      <c r="K289" s="564"/>
      <c r="L289" s="564"/>
      <c r="M289" s="564"/>
      <c r="N289" s="564"/>
      <c r="O289" s="606"/>
      <c r="P289" s="606"/>
      <c r="Q289" s="398"/>
      <c r="R289" s="398"/>
      <c r="S289" s="398"/>
      <c r="T289" s="398"/>
      <c r="U289" s="398"/>
      <c r="V289" s="555"/>
      <c r="W289" s="555"/>
      <c r="X289" s="555"/>
    </row>
    <row r="290" spans="1:24" ht="15.75" customHeight="1">
      <c r="A290" s="398"/>
      <c r="B290" s="398"/>
      <c r="C290" s="564"/>
      <c r="D290" s="564"/>
      <c r="E290" s="564"/>
      <c r="F290" s="564"/>
      <c r="G290" s="564"/>
      <c r="H290" s="564"/>
      <c r="I290" s="564"/>
      <c r="J290" s="564"/>
      <c r="K290" s="564"/>
      <c r="L290" s="564"/>
      <c r="M290" s="564"/>
      <c r="N290" s="564"/>
      <c r="O290" s="606"/>
      <c r="P290" s="606"/>
      <c r="Q290" s="398"/>
      <c r="R290" s="398"/>
      <c r="S290" s="398"/>
      <c r="T290" s="398"/>
      <c r="U290" s="398"/>
      <c r="V290" s="555"/>
      <c r="W290" s="555"/>
      <c r="X290" s="555"/>
    </row>
    <row r="291" spans="1:24" ht="15.75" customHeight="1">
      <c r="A291" s="398"/>
      <c r="B291" s="398"/>
      <c r="C291" s="564"/>
      <c r="D291" s="564"/>
      <c r="E291" s="564"/>
      <c r="F291" s="564"/>
      <c r="G291" s="564"/>
      <c r="H291" s="564"/>
      <c r="I291" s="564"/>
      <c r="J291" s="564"/>
      <c r="K291" s="564"/>
      <c r="L291" s="564"/>
      <c r="M291" s="564"/>
      <c r="N291" s="564"/>
      <c r="O291" s="606"/>
      <c r="P291" s="606"/>
      <c r="Q291" s="398"/>
      <c r="R291" s="398"/>
      <c r="S291" s="398"/>
      <c r="T291" s="398"/>
      <c r="U291" s="398"/>
      <c r="V291" s="555"/>
      <c r="W291" s="555"/>
      <c r="X291" s="555"/>
    </row>
    <row r="292" spans="1:24" ht="15.75" customHeight="1">
      <c r="A292" s="398"/>
      <c r="B292" s="398"/>
      <c r="C292" s="564"/>
      <c r="D292" s="564"/>
      <c r="E292" s="564"/>
      <c r="F292" s="564"/>
      <c r="G292" s="564"/>
      <c r="H292" s="564"/>
      <c r="I292" s="564"/>
      <c r="J292" s="564"/>
      <c r="K292" s="564"/>
      <c r="L292" s="564"/>
      <c r="M292" s="564"/>
      <c r="N292" s="564"/>
      <c r="O292" s="606"/>
      <c r="P292" s="606"/>
      <c r="Q292" s="398"/>
      <c r="R292" s="398"/>
      <c r="S292" s="398"/>
      <c r="T292" s="398"/>
      <c r="U292" s="398"/>
      <c r="V292" s="555"/>
      <c r="W292" s="555"/>
      <c r="X292" s="555"/>
    </row>
    <row r="293" spans="1:24" ht="15.75" customHeight="1">
      <c r="A293" s="398"/>
      <c r="B293" s="398"/>
      <c r="C293" s="564"/>
      <c r="D293" s="564"/>
      <c r="E293" s="564"/>
      <c r="F293" s="564"/>
      <c r="G293" s="564"/>
      <c r="H293" s="564"/>
      <c r="I293" s="564"/>
      <c r="J293" s="564"/>
      <c r="K293" s="564"/>
      <c r="L293" s="564"/>
      <c r="M293" s="564"/>
      <c r="N293" s="564"/>
      <c r="O293" s="606"/>
      <c r="P293" s="606"/>
      <c r="Q293" s="398"/>
      <c r="R293" s="398"/>
      <c r="S293" s="398"/>
      <c r="T293" s="398"/>
      <c r="U293" s="398"/>
      <c r="V293" s="555"/>
      <c r="W293" s="555"/>
      <c r="X293" s="555"/>
    </row>
    <row r="294" spans="1:24" ht="15.75" customHeight="1">
      <c r="A294" s="398"/>
      <c r="B294" s="398"/>
      <c r="C294" s="564"/>
      <c r="D294" s="564"/>
      <c r="E294" s="564"/>
      <c r="F294" s="564"/>
      <c r="G294" s="564"/>
      <c r="H294" s="564"/>
      <c r="I294" s="564"/>
      <c r="J294" s="564"/>
      <c r="K294" s="564"/>
      <c r="L294" s="564"/>
      <c r="M294" s="564"/>
      <c r="N294" s="564"/>
      <c r="O294" s="606"/>
      <c r="P294" s="606"/>
      <c r="Q294" s="398"/>
      <c r="R294" s="398"/>
      <c r="S294" s="398"/>
      <c r="T294" s="398"/>
      <c r="U294" s="398"/>
      <c r="V294" s="555"/>
      <c r="W294" s="555"/>
      <c r="X294" s="555"/>
    </row>
    <row r="295" spans="1:24" ht="15.75" customHeight="1">
      <c r="A295" s="398"/>
      <c r="B295" s="398"/>
      <c r="C295" s="564"/>
      <c r="D295" s="564"/>
      <c r="E295" s="564"/>
      <c r="F295" s="564"/>
      <c r="G295" s="564"/>
      <c r="H295" s="564"/>
      <c r="I295" s="564"/>
      <c r="J295" s="564"/>
      <c r="K295" s="564"/>
      <c r="L295" s="564"/>
      <c r="M295" s="564"/>
      <c r="N295" s="564"/>
      <c r="O295" s="606"/>
      <c r="P295" s="606"/>
      <c r="Q295" s="398"/>
      <c r="R295" s="398"/>
      <c r="S295" s="398"/>
      <c r="T295" s="398"/>
      <c r="U295" s="398"/>
      <c r="V295" s="555"/>
      <c r="W295" s="555"/>
      <c r="X295" s="555"/>
    </row>
    <row r="296" spans="1:24" ht="15.75" customHeight="1">
      <c r="A296" s="398"/>
      <c r="B296" s="398"/>
      <c r="C296" s="564"/>
      <c r="D296" s="564"/>
      <c r="E296" s="564"/>
      <c r="F296" s="564"/>
      <c r="G296" s="564"/>
      <c r="H296" s="564"/>
      <c r="I296" s="564"/>
      <c r="J296" s="564"/>
      <c r="K296" s="564"/>
      <c r="L296" s="564"/>
      <c r="M296" s="564"/>
      <c r="N296" s="564"/>
      <c r="O296" s="606"/>
      <c r="P296" s="606"/>
      <c r="Q296" s="398"/>
      <c r="R296" s="398"/>
      <c r="S296" s="398"/>
      <c r="T296" s="398"/>
      <c r="U296" s="398"/>
      <c r="V296" s="555"/>
      <c r="W296" s="555"/>
      <c r="X296" s="555"/>
    </row>
    <row r="297" spans="1:24" ht="15.75" customHeight="1">
      <c r="A297" s="398"/>
      <c r="B297" s="398"/>
      <c r="C297" s="564"/>
      <c r="D297" s="564"/>
      <c r="E297" s="564"/>
      <c r="F297" s="564"/>
      <c r="G297" s="564"/>
      <c r="H297" s="564"/>
      <c r="I297" s="564"/>
      <c r="J297" s="564"/>
      <c r="K297" s="564"/>
      <c r="L297" s="564"/>
      <c r="M297" s="564"/>
      <c r="N297" s="564"/>
      <c r="O297" s="606"/>
      <c r="P297" s="606"/>
      <c r="Q297" s="398"/>
      <c r="R297" s="398"/>
      <c r="S297" s="398"/>
      <c r="T297" s="398"/>
      <c r="U297" s="398"/>
      <c r="V297" s="555"/>
      <c r="W297" s="555"/>
      <c r="X297" s="555"/>
    </row>
    <row r="298" spans="1:24" ht="15.75" customHeight="1">
      <c r="A298" s="398"/>
      <c r="B298" s="398"/>
      <c r="C298" s="564"/>
      <c r="D298" s="564"/>
      <c r="E298" s="564"/>
      <c r="F298" s="564"/>
      <c r="G298" s="564"/>
      <c r="H298" s="564"/>
      <c r="I298" s="564"/>
      <c r="J298" s="564"/>
      <c r="K298" s="564"/>
      <c r="L298" s="564"/>
      <c r="M298" s="564"/>
      <c r="N298" s="564"/>
      <c r="O298" s="606"/>
      <c r="P298" s="606"/>
      <c r="Q298" s="398"/>
      <c r="R298" s="398"/>
      <c r="S298" s="398"/>
      <c r="T298" s="398"/>
      <c r="U298" s="398"/>
      <c r="V298" s="555"/>
      <c r="W298" s="555"/>
      <c r="X298" s="555"/>
    </row>
    <row r="299" spans="1:24" ht="15.75" customHeight="1">
      <c r="A299" s="398"/>
      <c r="B299" s="398"/>
      <c r="C299" s="564"/>
      <c r="D299" s="564"/>
      <c r="E299" s="564"/>
      <c r="F299" s="564"/>
      <c r="G299" s="564"/>
      <c r="H299" s="564"/>
      <c r="I299" s="564"/>
      <c r="J299" s="564"/>
      <c r="K299" s="564"/>
      <c r="L299" s="564"/>
      <c r="M299" s="564"/>
      <c r="N299" s="564"/>
      <c r="O299" s="606"/>
      <c r="P299" s="606"/>
      <c r="Q299" s="398"/>
      <c r="R299" s="398"/>
      <c r="S299" s="398"/>
      <c r="T299" s="398"/>
      <c r="U299" s="398"/>
      <c r="V299" s="555"/>
      <c r="W299" s="555"/>
      <c r="X299" s="555"/>
    </row>
    <row r="300" spans="1:24" ht="15.75" customHeight="1">
      <c r="A300" s="398"/>
      <c r="B300" s="398"/>
      <c r="C300" s="564"/>
      <c r="D300" s="564"/>
      <c r="E300" s="564"/>
      <c r="F300" s="564"/>
      <c r="G300" s="564"/>
      <c r="H300" s="564"/>
      <c r="I300" s="564"/>
      <c r="J300" s="564"/>
      <c r="K300" s="564"/>
      <c r="L300" s="564"/>
      <c r="M300" s="564"/>
      <c r="N300" s="564"/>
      <c r="O300" s="606"/>
      <c r="P300" s="606"/>
      <c r="Q300" s="398"/>
      <c r="R300" s="398"/>
      <c r="S300" s="398"/>
      <c r="T300" s="398"/>
      <c r="U300" s="398"/>
      <c r="V300" s="555"/>
      <c r="W300" s="555"/>
      <c r="X300" s="555"/>
    </row>
    <row r="301" spans="1:24" ht="15.75" customHeight="1">
      <c r="A301" s="398"/>
      <c r="B301" s="398"/>
      <c r="C301" s="564"/>
      <c r="D301" s="564"/>
      <c r="E301" s="564"/>
      <c r="F301" s="564"/>
      <c r="G301" s="564"/>
      <c r="H301" s="564"/>
      <c r="I301" s="564"/>
      <c r="J301" s="564"/>
      <c r="K301" s="564"/>
      <c r="L301" s="564"/>
      <c r="M301" s="564"/>
      <c r="N301" s="564"/>
      <c r="O301" s="606"/>
      <c r="P301" s="606"/>
      <c r="Q301" s="398"/>
      <c r="R301" s="398"/>
      <c r="S301" s="398"/>
      <c r="T301" s="398"/>
      <c r="U301" s="398"/>
      <c r="V301" s="555"/>
      <c r="W301" s="555"/>
      <c r="X301" s="555"/>
    </row>
    <row r="302" spans="1:24" ht="15.75" customHeight="1">
      <c r="A302" s="398"/>
      <c r="B302" s="398"/>
      <c r="C302" s="564"/>
      <c r="D302" s="564"/>
      <c r="E302" s="564"/>
      <c r="F302" s="564"/>
      <c r="G302" s="564"/>
      <c r="H302" s="564"/>
      <c r="I302" s="564"/>
      <c r="J302" s="564"/>
      <c r="K302" s="564"/>
      <c r="L302" s="564"/>
      <c r="M302" s="564"/>
      <c r="N302" s="564"/>
      <c r="O302" s="606"/>
      <c r="P302" s="606"/>
      <c r="Q302" s="398"/>
      <c r="R302" s="398"/>
      <c r="S302" s="398"/>
      <c r="T302" s="398"/>
      <c r="U302" s="398"/>
      <c r="V302" s="555"/>
      <c r="W302" s="555"/>
      <c r="X302" s="555"/>
    </row>
    <row r="303" spans="1:24" ht="15.75" customHeight="1">
      <c r="A303" s="398"/>
      <c r="B303" s="398"/>
      <c r="C303" s="564"/>
      <c r="D303" s="564"/>
      <c r="E303" s="564"/>
      <c r="F303" s="564"/>
      <c r="G303" s="564"/>
      <c r="H303" s="564"/>
      <c r="I303" s="564"/>
      <c r="J303" s="564"/>
      <c r="K303" s="564"/>
      <c r="L303" s="564"/>
      <c r="M303" s="564"/>
      <c r="N303" s="564"/>
      <c r="O303" s="606"/>
      <c r="P303" s="606"/>
      <c r="Q303" s="398"/>
      <c r="R303" s="398"/>
      <c r="S303" s="398"/>
      <c r="T303" s="398"/>
      <c r="U303" s="398"/>
      <c r="V303" s="555"/>
      <c r="W303" s="555"/>
      <c r="X303" s="555"/>
    </row>
    <row r="304" spans="1:24" ht="15.75" customHeight="1">
      <c r="A304" s="398"/>
      <c r="B304" s="398"/>
      <c r="C304" s="564"/>
      <c r="D304" s="564"/>
      <c r="E304" s="564"/>
      <c r="F304" s="564"/>
      <c r="G304" s="564"/>
      <c r="H304" s="564"/>
      <c r="I304" s="564"/>
      <c r="J304" s="564"/>
      <c r="K304" s="564"/>
      <c r="L304" s="564"/>
      <c r="M304" s="564"/>
      <c r="N304" s="564"/>
      <c r="O304" s="606"/>
      <c r="P304" s="606"/>
      <c r="Q304" s="398"/>
      <c r="R304" s="398"/>
      <c r="S304" s="398"/>
      <c r="T304" s="398"/>
      <c r="U304" s="398"/>
      <c r="V304" s="555"/>
      <c r="W304" s="555"/>
      <c r="X304" s="555"/>
    </row>
    <row r="305" spans="1:24" ht="15.75" customHeight="1">
      <c r="A305" s="398"/>
      <c r="B305" s="398"/>
      <c r="C305" s="564"/>
      <c r="D305" s="564"/>
      <c r="E305" s="564"/>
      <c r="F305" s="564"/>
      <c r="G305" s="564"/>
      <c r="H305" s="564"/>
      <c r="I305" s="564"/>
      <c r="J305" s="564"/>
      <c r="K305" s="564"/>
      <c r="L305" s="564"/>
      <c r="M305" s="564"/>
      <c r="N305" s="564"/>
      <c r="O305" s="606"/>
      <c r="P305" s="606"/>
      <c r="Q305" s="398"/>
      <c r="R305" s="398"/>
      <c r="S305" s="398"/>
      <c r="T305" s="398"/>
      <c r="U305" s="398"/>
      <c r="V305" s="555"/>
      <c r="W305" s="555"/>
      <c r="X305" s="555"/>
    </row>
    <row r="306" spans="1:24" ht="15.75" customHeight="1">
      <c r="A306" s="398"/>
      <c r="B306" s="398"/>
      <c r="C306" s="564"/>
      <c r="D306" s="564"/>
      <c r="E306" s="564"/>
      <c r="F306" s="564"/>
      <c r="G306" s="564"/>
      <c r="H306" s="564"/>
      <c r="I306" s="564"/>
      <c r="J306" s="564"/>
      <c r="K306" s="564"/>
      <c r="L306" s="564"/>
      <c r="M306" s="564"/>
      <c r="N306" s="564"/>
      <c r="O306" s="606"/>
      <c r="P306" s="606"/>
      <c r="Q306" s="398"/>
      <c r="R306" s="398"/>
      <c r="S306" s="398"/>
      <c r="T306" s="398"/>
      <c r="U306" s="398"/>
      <c r="V306" s="555"/>
      <c r="W306" s="555"/>
      <c r="X306" s="555"/>
    </row>
    <row r="307" spans="1:24" ht="15.75" customHeight="1">
      <c r="A307" s="398"/>
      <c r="B307" s="398"/>
      <c r="C307" s="564"/>
      <c r="D307" s="564"/>
      <c r="E307" s="564"/>
      <c r="F307" s="564"/>
      <c r="G307" s="564"/>
      <c r="H307" s="564"/>
      <c r="I307" s="564"/>
      <c r="J307" s="564"/>
      <c r="K307" s="564"/>
      <c r="L307" s="564"/>
      <c r="M307" s="564"/>
      <c r="N307" s="564"/>
      <c r="O307" s="606"/>
      <c r="P307" s="606"/>
      <c r="Q307" s="398"/>
      <c r="R307" s="398"/>
      <c r="S307" s="398"/>
      <c r="T307" s="398"/>
      <c r="U307" s="398"/>
      <c r="V307" s="555"/>
      <c r="W307" s="555"/>
      <c r="X307" s="555"/>
    </row>
    <row r="308" spans="1:24" ht="15.75" customHeight="1">
      <c r="A308" s="398"/>
      <c r="B308" s="398"/>
      <c r="C308" s="564"/>
      <c r="D308" s="564"/>
      <c r="E308" s="564"/>
      <c r="F308" s="564"/>
      <c r="G308" s="564"/>
      <c r="H308" s="564"/>
      <c r="I308" s="564"/>
      <c r="J308" s="564"/>
      <c r="K308" s="564"/>
      <c r="L308" s="564"/>
      <c r="M308" s="564"/>
      <c r="N308" s="564"/>
      <c r="O308" s="606"/>
      <c r="P308" s="606"/>
      <c r="Q308" s="398"/>
      <c r="R308" s="398"/>
      <c r="S308" s="398"/>
      <c r="T308" s="398"/>
      <c r="U308" s="398"/>
      <c r="V308" s="555"/>
      <c r="W308" s="555"/>
      <c r="X308" s="555"/>
    </row>
    <row r="309" spans="1:24" ht="15.75" customHeight="1">
      <c r="A309" s="398"/>
      <c r="B309" s="398"/>
      <c r="C309" s="564"/>
      <c r="D309" s="564"/>
      <c r="E309" s="564"/>
      <c r="F309" s="564"/>
      <c r="G309" s="564"/>
      <c r="H309" s="564"/>
      <c r="I309" s="564"/>
      <c r="J309" s="564"/>
      <c r="K309" s="564"/>
      <c r="L309" s="564"/>
      <c r="M309" s="564"/>
      <c r="N309" s="564"/>
      <c r="O309" s="606"/>
      <c r="P309" s="606"/>
      <c r="Q309" s="398"/>
      <c r="R309" s="398"/>
      <c r="S309" s="398"/>
      <c r="T309" s="398"/>
      <c r="U309" s="398"/>
      <c r="V309" s="555"/>
      <c r="W309" s="555"/>
      <c r="X309" s="555"/>
    </row>
    <row r="310" spans="1:24" ht="15.75" customHeight="1">
      <c r="A310" s="398"/>
      <c r="B310" s="398"/>
      <c r="C310" s="564"/>
      <c r="D310" s="564"/>
      <c r="E310" s="564"/>
      <c r="F310" s="564"/>
      <c r="G310" s="564"/>
      <c r="H310" s="564"/>
      <c r="I310" s="564"/>
      <c r="J310" s="564"/>
      <c r="K310" s="564"/>
      <c r="L310" s="564"/>
      <c r="M310" s="564"/>
      <c r="N310" s="564"/>
      <c r="O310" s="606"/>
      <c r="P310" s="606"/>
      <c r="Q310" s="398"/>
      <c r="R310" s="398"/>
      <c r="S310" s="398"/>
      <c r="T310" s="398"/>
      <c r="U310" s="398"/>
      <c r="V310" s="555"/>
      <c r="W310" s="555"/>
      <c r="X310" s="555"/>
    </row>
    <row r="311" spans="1:24" ht="15.75" customHeight="1">
      <c r="A311" s="398"/>
      <c r="B311" s="398"/>
      <c r="C311" s="564"/>
      <c r="D311" s="564"/>
      <c r="E311" s="564"/>
      <c r="F311" s="564"/>
      <c r="G311" s="564"/>
      <c r="H311" s="564"/>
      <c r="I311" s="564"/>
      <c r="J311" s="564"/>
      <c r="K311" s="564"/>
      <c r="L311" s="564"/>
      <c r="M311" s="564"/>
      <c r="N311" s="564"/>
      <c r="O311" s="606"/>
      <c r="P311" s="606"/>
      <c r="Q311" s="398"/>
      <c r="R311" s="398"/>
      <c r="S311" s="398"/>
      <c r="T311" s="398"/>
      <c r="U311" s="398"/>
      <c r="V311" s="555"/>
      <c r="W311" s="555"/>
      <c r="X311" s="555"/>
    </row>
    <row r="312" spans="1:24" ht="15.75" customHeight="1">
      <c r="A312" s="398"/>
      <c r="B312" s="398"/>
      <c r="C312" s="564"/>
      <c r="D312" s="564"/>
      <c r="E312" s="564"/>
      <c r="F312" s="564"/>
      <c r="G312" s="564"/>
      <c r="H312" s="564"/>
      <c r="I312" s="564"/>
      <c r="J312" s="564"/>
      <c r="K312" s="564"/>
      <c r="L312" s="564"/>
      <c r="M312" s="564"/>
      <c r="N312" s="564"/>
      <c r="O312" s="606"/>
      <c r="P312" s="606"/>
      <c r="Q312" s="398"/>
      <c r="R312" s="398"/>
      <c r="S312" s="398"/>
      <c r="T312" s="398"/>
      <c r="U312" s="398"/>
      <c r="V312" s="555"/>
      <c r="W312" s="555"/>
      <c r="X312" s="555"/>
    </row>
    <row r="313" spans="1:24" ht="15.75" customHeight="1">
      <c r="A313" s="398"/>
      <c r="B313" s="398"/>
      <c r="C313" s="564"/>
      <c r="D313" s="564"/>
      <c r="E313" s="564"/>
      <c r="F313" s="564"/>
      <c r="G313" s="564"/>
      <c r="H313" s="564"/>
      <c r="I313" s="564"/>
      <c r="J313" s="564"/>
      <c r="K313" s="564"/>
      <c r="L313" s="564"/>
      <c r="M313" s="564"/>
      <c r="N313" s="564"/>
      <c r="O313" s="606"/>
      <c r="P313" s="606"/>
      <c r="Q313" s="398"/>
      <c r="R313" s="398"/>
      <c r="S313" s="398"/>
      <c r="T313" s="398"/>
      <c r="U313" s="398"/>
      <c r="V313" s="555"/>
      <c r="W313" s="555"/>
      <c r="X313" s="555"/>
    </row>
    <row r="314" spans="1:24" ht="15.75" customHeight="1">
      <c r="A314" s="398"/>
      <c r="B314" s="398"/>
      <c r="C314" s="564"/>
      <c r="D314" s="564"/>
      <c r="E314" s="564"/>
      <c r="F314" s="564"/>
      <c r="G314" s="564"/>
      <c r="H314" s="564"/>
      <c r="I314" s="564"/>
      <c r="J314" s="564"/>
      <c r="K314" s="564"/>
      <c r="L314" s="564"/>
      <c r="M314" s="564"/>
      <c r="N314" s="564"/>
      <c r="O314" s="606"/>
      <c r="P314" s="606"/>
      <c r="Q314" s="398"/>
      <c r="R314" s="398"/>
      <c r="S314" s="398"/>
      <c r="T314" s="398"/>
      <c r="U314" s="398"/>
      <c r="V314" s="555"/>
      <c r="W314" s="555"/>
      <c r="X314" s="555"/>
    </row>
    <row r="315" spans="1:24" ht="15.75" customHeight="1">
      <c r="A315" s="398"/>
      <c r="B315" s="398"/>
      <c r="C315" s="564"/>
      <c r="D315" s="564"/>
      <c r="E315" s="564"/>
      <c r="F315" s="564"/>
      <c r="G315" s="564"/>
      <c r="H315" s="564"/>
      <c r="I315" s="564"/>
      <c r="J315" s="564"/>
      <c r="K315" s="564"/>
      <c r="L315" s="564"/>
      <c r="M315" s="564"/>
      <c r="N315" s="564"/>
      <c r="O315" s="606"/>
      <c r="P315" s="606"/>
      <c r="Q315" s="398"/>
      <c r="R315" s="398"/>
      <c r="S315" s="398"/>
      <c r="T315" s="398"/>
      <c r="U315" s="398"/>
      <c r="V315" s="555"/>
      <c r="W315" s="555"/>
      <c r="X315" s="555"/>
    </row>
    <row r="316" spans="1:24" ht="15.75" customHeight="1">
      <c r="A316" s="398"/>
      <c r="B316" s="398"/>
      <c r="C316" s="564"/>
      <c r="D316" s="564"/>
      <c r="E316" s="564"/>
      <c r="F316" s="564"/>
      <c r="G316" s="564"/>
      <c r="H316" s="564"/>
      <c r="I316" s="564"/>
      <c r="J316" s="564"/>
      <c r="K316" s="564"/>
      <c r="L316" s="564"/>
      <c r="M316" s="564"/>
      <c r="N316" s="564"/>
      <c r="O316" s="606"/>
      <c r="P316" s="606"/>
      <c r="Q316" s="398"/>
      <c r="R316" s="398"/>
      <c r="S316" s="398"/>
      <c r="T316" s="398"/>
      <c r="U316" s="398"/>
      <c r="V316" s="555"/>
      <c r="W316" s="555"/>
      <c r="X316" s="555"/>
    </row>
    <row r="317" spans="1:24" ht="15.75" customHeight="1">
      <c r="A317" s="398"/>
      <c r="B317" s="398"/>
      <c r="C317" s="564"/>
      <c r="D317" s="564"/>
      <c r="E317" s="564"/>
      <c r="F317" s="564"/>
      <c r="G317" s="564"/>
      <c r="H317" s="564"/>
      <c r="I317" s="564"/>
      <c r="J317" s="564"/>
      <c r="K317" s="564"/>
      <c r="L317" s="564"/>
      <c r="M317" s="564"/>
      <c r="N317" s="564"/>
      <c r="O317" s="606"/>
      <c r="P317" s="606"/>
      <c r="Q317" s="398"/>
      <c r="R317" s="398"/>
      <c r="S317" s="398"/>
      <c r="T317" s="398"/>
      <c r="U317" s="398"/>
      <c r="V317" s="555"/>
      <c r="W317" s="555"/>
      <c r="X317" s="555"/>
    </row>
    <row r="318" spans="1:24" ht="15.75" customHeight="1">
      <c r="A318" s="398"/>
      <c r="B318" s="398"/>
      <c r="C318" s="564"/>
      <c r="D318" s="564"/>
      <c r="E318" s="564"/>
      <c r="F318" s="564"/>
      <c r="G318" s="564"/>
      <c r="H318" s="564"/>
      <c r="I318" s="564"/>
      <c r="J318" s="564"/>
      <c r="K318" s="564"/>
      <c r="L318" s="564"/>
      <c r="M318" s="564"/>
      <c r="N318" s="564"/>
      <c r="O318" s="606"/>
      <c r="P318" s="606"/>
      <c r="Q318" s="398"/>
      <c r="R318" s="398"/>
      <c r="S318" s="398"/>
      <c r="T318" s="398"/>
      <c r="U318" s="398"/>
      <c r="V318" s="555"/>
      <c r="W318" s="555"/>
      <c r="X318" s="555"/>
    </row>
    <row r="319" spans="1:24" ht="15.75" customHeight="1">
      <c r="A319" s="398"/>
      <c r="B319" s="398"/>
      <c r="C319" s="564"/>
      <c r="D319" s="564"/>
      <c r="E319" s="564"/>
      <c r="F319" s="564"/>
      <c r="G319" s="564"/>
      <c r="H319" s="564"/>
      <c r="I319" s="564"/>
      <c r="J319" s="564"/>
      <c r="K319" s="564"/>
      <c r="L319" s="564"/>
      <c r="M319" s="564"/>
      <c r="N319" s="564"/>
      <c r="O319" s="606"/>
      <c r="P319" s="606"/>
      <c r="Q319" s="398"/>
      <c r="R319" s="398"/>
      <c r="S319" s="398"/>
      <c r="T319" s="398"/>
      <c r="U319" s="398"/>
      <c r="V319" s="555"/>
      <c r="W319" s="555"/>
      <c r="X319" s="555"/>
    </row>
    <row r="320" spans="1:24" ht="15.75" customHeight="1">
      <c r="A320" s="398"/>
      <c r="B320" s="398"/>
      <c r="C320" s="564"/>
      <c r="D320" s="564"/>
      <c r="E320" s="564"/>
      <c r="F320" s="564"/>
      <c r="G320" s="564"/>
      <c r="H320" s="564"/>
      <c r="I320" s="564"/>
      <c r="J320" s="564"/>
      <c r="K320" s="564"/>
      <c r="L320" s="564"/>
      <c r="M320" s="564"/>
      <c r="N320" s="564"/>
      <c r="O320" s="606"/>
      <c r="P320" s="606"/>
      <c r="Q320" s="398"/>
      <c r="R320" s="398"/>
      <c r="S320" s="398"/>
      <c r="T320" s="398"/>
      <c r="U320" s="398"/>
      <c r="V320" s="555"/>
      <c r="W320" s="555"/>
      <c r="X320" s="555"/>
    </row>
    <row r="321" spans="1:24" ht="15.75" customHeight="1">
      <c r="A321" s="398"/>
      <c r="B321" s="398"/>
      <c r="C321" s="564"/>
      <c r="D321" s="564"/>
      <c r="E321" s="564"/>
      <c r="F321" s="564"/>
      <c r="G321" s="564"/>
      <c r="H321" s="564"/>
      <c r="I321" s="564"/>
      <c r="J321" s="564"/>
      <c r="K321" s="564"/>
      <c r="L321" s="564"/>
      <c r="M321" s="564"/>
      <c r="N321" s="564"/>
      <c r="O321" s="606"/>
      <c r="P321" s="606"/>
      <c r="Q321" s="398"/>
      <c r="R321" s="398"/>
      <c r="S321" s="398"/>
      <c r="T321" s="398"/>
      <c r="U321" s="398"/>
      <c r="V321" s="555"/>
      <c r="W321" s="555"/>
      <c r="X321" s="555"/>
    </row>
    <row r="322" spans="1:24" ht="15.75" customHeight="1">
      <c r="A322" s="398"/>
      <c r="B322" s="398"/>
      <c r="C322" s="564"/>
      <c r="D322" s="564"/>
      <c r="E322" s="564"/>
      <c r="F322" s="564"/>
      <c r="G322" s="564"/>
      <c r="H322" s="564"/>
      <c r="I322" s="564"/>
      <c r="J322" s="564"/>
      <c r="K322" s="564"/>
      <c r="L322" s="564"/>
      <c r="M322" s="564"/>
      <c r="N322" s="564"/>
      <c r="O322" s="606"/>
      <c r="P322" s="606"/>
      <c r="Q322" s="398"/>
      <c r="R322" s="398"/>
      <c r="S322" s="398"/>
      <c r="T322" s="398"/>
      <c r="U322" s="398"/>
      <c r="V322" s="555"/>
      <c r="W322" s="555"/>
      <c r="X322" s="555"/>
    </row>
    <row r="323" spans="1:24" ht="15.75" customHeight="1">
      <c r="A323" s="398"/>
      <c r="B323" s="398"/>
      <c r="C323" s="564"/>
      <c r="D323" s="564"/>
      <c r="E323" s="564"/>
      <c r="F323" s="564"/>
      <c r="G323" s="564"/>
      <c r="H323" s="564"/>
      <c r="I323" s="564"/>
      <c r="J323" s="564"/>
      <c r="K323" s="564"/>
      <c r="L323" s="564"/>
      <c r="M323" s="564"/>
      <c r="N323" s="564"/>
      <c r="O323" s="606"/>
      <c r="P323" s="606"/>
      <c r="Q323" s="398"/>
      <c r="R323" s="398"/>
      <c r="S323" s="398"/>
      <c r="T323" s="398"/>
      <c r="U323" s="398"/>
      <c r="V323" s="555"/>
      <c r="W323" s="555"/>
      <c r="X323" s="555"/>
    </row>
    <row r="324" spans="1:24" ht="15.75" customHeight="1">
      <c r="A324" s="398"/>
      <c r="B324" s="398"/>
      <c r="C324" s="564"/>
      <c r="D324" s="564"/>
      <c r="E324" s="564"/>
      <c r="F324" s="564"/>
      <c r="G324" s="564"/>
      <c r="H324" s="564"/>
      <c r="I324" s="564"/>
      <c r="J324" s="564"/>
      <c r="K324" s="564"/>
      <c r="L324" s="564"/>
      <c r="M324" s="564"/>
      <c r="N324" s="564"/>
      <c r="O324" s="606"/>
      <c r="P324" s="606"/>
      <c r="Q324" s="398"/>
      <c r="R324" s="398"/>
      <c r="S324" s="398"/>
      <c r="T324" s="398"/>
      <c r="U324" s="398"/>
      <c r="V324" s="555"/>
      <c r="W324" s="555"/>
      <c r="X324" s="555"/>
    </row>
    <row r="325" spans="1:24" ht="15.75" customHeight="1">
      <c r="A325" s="398"/>
      <c r="B325" s="398"/>
      <c r="C325" s="564"/>
      <c r="D325" s="564"/>
      <c r="E325" s="564"/>
      <c r="F325" s="564"/>
      <c r="G325" s="564"/>
      <c r="H325" s="564"/>
      <c r="I325" s="564"/>
      <c r="J325" s="564"/>
      <c r="K325" s="564"/>
      <c r="L325" s="564"/>
      <c r="M325" s="564"/>
      <c r="N325" s="564"/>
      <c r="O325" s="606"/>
      <c r="P325" s="606"/>
      <c r="Q325" s="398"/>
      <c r="R325" s="398"/>
      <c r="S325" s="398"/>
      <c r="T325" s="398"/>
      <c r="U325" s="398"/>
      <c r="V325" s="555"/>
      <c r="W325" s="555"/>
      <c r="X325" s="555"/>
    </row>
    <row r="326" spans="1:24" ht="15.75" customHeight="1">
      <c r="A326" s="398"/>
      <c r="B326" s="398"/>
      <c r="C326" s="564"/>
      <c r="D326" s="564"/>
      <c r="E326" s="564"/>
      <c r="F326" s="564"/>
      <c r="G326" s="564"/>
      <c r="H326" s="564"/>
      <c r="I326" s="564"/>
      <c r="J326" s="564"/>
      <c r="K326" s="564"/>
      <c r="L326" s="564"/>
      <c r="M326" s="564"/>
      <c r="N326" s="564"/>
      <c r="O326" s="606"/>
      <c r="P326" s="606"/>
      <c r="Q326" s="398"/>
      <c r="R326" s="398"/>
      <c r="S326" s="398"/>
      <c r="T326" s="398"/>
      <c r="U326" s="398"/>
      <c r="V326" s="555"/>
      <c r="W326" s="555"/>
      <c r="X326" s="555"/>
    </row>
    <row r="327" spans="1:24" ht="15.75" customHeight="1">
      <c r="A327" s="398"/>
      <c r="B327" s="398"/>
      <c r="C327" s="564"/>
      <c r="D327" s="564"/>
      <c r="E327" s="564"/>
      <c r="F327" s="564"/>
      <c r="G327" s="564"/>
      <c r="H327" s="564"/>
      <c r="I327" s="564"/>
      <c r="J327" s="564"/>
      <c r="K327" s="564"/>
      <c r="L327" s="564"/>
      <c r="M327" s="564"/>
      <c r="N327" s="564"/>
      <c r="O327" s="606"/>
      <c r="P327" s="606"/>
      <c r="Q327" s="398"/>
      <c r="R327" s="398"/>
      <c r="S327" s="398"/>
      <c r="T327" s="398"/>
      <c r="U327" s="398"/>
      <c r="V327" s="555"/>
      <c r="W327" s="555"/>
      <c r="X327" s="555"/>
    </row>
    <row r="328" spans="1:24" ht="15.75" customHeight="1">
      <c r="A328" s="398"/>
      <c r="B328" s="398"/>
      <c r="C328" s="564"/>
      <c r="D328" s="564"/>
      <c r="E328" s="564"/>
      <c r="F328" s="564"/>
      <c r="G328" s="564"/>
      <c r="H328" s="564"/>
      <c r="I328" s="564"/>
      <c r="J328" s="564"/>
      <c r="K328" s="564"/>
      <c r="L328" s="564"/>
      <c r="M328" s="564"/>
      <c r="N328" s="564"/>
      <c r="O328" s="606"/>
      <c r="P328" s="606"/>
      <c r="Q328" s="398"/>
      <c r="R328" s="398"/>
      <c r="S328" s="398"/>
      <c r="T328" s="398"/>
      <c r="U328" s="398"/>
      <c r="V328" s="555"/>
      <c r="W328" s="555"/>
      <c r="X328" s="555"/>
    </row>
    <row r="329" spans="1:24" ht="15.75" customHeight="1">
      <c r="A329" s="398"/>
      <c r="B329" s="398"/>
      <c r="C329" s="564"/>
      <c r="D329" s="564"/>
      <c r="E329" s="564"/>
      <c r="F329" s="564"/>
      <c r="G329" s="564"/>
      <c r="H329" s="564"/>
      <c r="I329" s="564"/>
      <c r="J329" s="564"/>
      <c r="K329" s="564"/>
      <c r="L329" s="564"/>
      <c r="M329" s="564"/>
      <c r="N329" s="564"/>
      <c r="O329" s="606"/>
      <c r="P329" s="606"/>
      <c r="Q329" s="398"/>
      <c r="R329" s="398"/>
      <c r="S329" s="398"/>
      <c r="T329" s="398"/>
      <c r="U329" s="398"/>
      <c r="V329" s="555"/>
      <c r="W329" s="555"/>
      <c r="X329" s="555"/>
    </row>
    <row r="330" spans="1:24" ht="15.75" customHeight="1">
      <c r="A330" s="398"/>
      <c r="B330" s="398"/>
      <c r="C330" s="564"/>
      <c r="D330" s="564"/>
      <c r="E330" s="564"/>
      <c r="F330" s="564"/>
      <c r="G330" s="564"/>
      <c r="H330" s="564"/>
      <c r="I330" s="564"/>
      <c r="J330" s="564"/>
      <c r="K330" s="564"/>
      <c r="L330" s="564"/>
      <c r="M330" s="564"/>
      <c r="N330" s="564"/>
      <c r="O330" s="606"/>
      <c r="P330" s="606"/>
      <c r="Q330" s="398"/>
      <c r="R330" s="398"/>
      <c r="S330" s="398"/>
      <c r="T330" s="398"/>
      <c r="U330" s="398"/>
      <c r="V330" s="555"/>
      <c r="W330" s="555"/>
      <c r="X330" s="555"/>
    </row>
    <row r="331" spans="1:24" ht="15.75" customHeight="1">
      <c r="A331" s="398"/>
      <c r="B331" s="398"/>
      <c r="C331" s="564"/>
      <c r="D331" s="564"/>
      <c r="E331" s="564"/>
      <c r="F331" s="564"/>
      <c r="G331" s="564"/>
      <c r="H331" s="564"/>
      <c r="I331" s="564"/>
      <c r="J331" s="564"/>
      <c r="K331" s="564"/>
      <c r="L331" s="564"/>
      <c r="M331" s="564"/>
      <c r="N331" s="564"/>
      <c r="O331" s="606"/>
      <c r="P331" s="606"/>
      <c r="Q331" s="398"/>
      <c r="R331" s="398"/>
      <c r="S331" s="398"/>
      <c r="T331" s="398"/>
      <c r="U331" s="398"/>
      <c r="V331" s="555"/>
      <c r="W331" s="555"/>
      <c r="X331" s="555"/>
    </row>
    <row r="332" spans="1:24" ht="15.75" customHeight="1">
      <c r="A332" s="398"/>
      <c r="B332" s="398"/>
      <c r="C332" s="564"/>
      <c r="D332" s="564"/>
      <c r="E332" s="564"/>
      <c r="F332" s="564"/>
      <c r="G332" s="564"/>
      <c r="H332" s="564"/>
      <c r="I332" s="564"/>
      <c r="J332" s="564"/>
      <c r="K332" s="564"/>
      <c r="L332" s="564"/>
      <c r="M332" s="564"/>
      <c r="N332" s="564"/>
      <c r="O332" s="606"/>
      <c r="P332" s="606"/>
      <c r="Q332" s="398"/>
      <c r="R332" s="398"/>
      <c r="S332" s="398"/>
      <c r="T332" s="398"/>
      <c r="U332" s="398"/>
      <c r="V332" s="555"/>
      <c r="W332" s="555"/>
      <c r="X332" s="555"/>
    </row>
    <row r="333" spans="1:24" ht="15.75" customHeight="1">
      <c r="A333" s="398"/>
      <c r="B333" s="398"/>
      <c r="C333" s="564"/>
      <c r="D333" s="564"/>
      <c r="E333" s="564"/>
      <c r="F333" s="564"/>
      <c r="G333" s="564"/>
      <c r="H333" s="564"/>
      <c r="I333" s="564"/>
      <c r="J333" s="564"/>
      <c r="K333" s="564"/>
      <c r="L333" s="564"/>
      <c r="M333" s="564"/>
      <c r="N333" s="564"/>
      <c r="O333" s="606"/>
      <c r="P333" s="606"/>
      <c r="Q333" s="398"/>
      <c r="R333" s="398"/>
      <c r="S333" s="398"/>
      <c r="T333" s="398"/>
      <c r="U333" s="398"/>
      <c r="V333" s="555"/>
      <c r="W333" s="555"/>
      <c r="X333" s="555"/>
    </row>
    <row r="334" spans="1:24" ht="15.75" customHeight="1">
      <c r="A334" s="398"/>
      <c r="B334" s="398"/>
      <c r="C334" s="564"/>
      <c r="D334" s="564"/>
      <c r="E334" s="564"/>
      <c r="F334" s="564"/>
      <c r="G334" s="564"/>
      <c r="H334" s="564"/>
      <c r="I334" s="564"/>
      <c r="J334" s="564"/>
      <c r="K334" s="564"/>
      <c r="L334" s="564"/>
      <c r="M334" s="564"/>
      <c r="N334" s="564"/>
      <c r="O334" s="606"/>
      <c r="P334" s="606"/>
      <c r="Q334" s="398"/>
      <c r="R334" s="398"/>
      <c r="S334" s="398"/>
      <c r="T334" s="398"/>
      <c r="U334" s="398"/>
      <c r="V334" s="555"/>
      <c r="W334" s="555"/>
      <c r="X334" s="555"/>
    </row>
    <row r="335" spans="1:24" ht="15.75" customHeight="1">
      <c r="A335" s="398"/>
      <c r="B335" s="398"/>
      <c r="C335" s="564"/>
      <c r="D335" s="564"/>
      <c r="E335" s="564"/>
      <c r="F335" s="564"/>
      <c r="G335" s="564"/>
      <c r="H335" s="564"/>
      <c r="I335" s="564"/>
      <c r="J335" s="564"/>
      <c r="K335" s="564"/>
      <c r="L335" s="564"/>
      <c r="M335" s="564"/>
      <c r="N335" s="564"/>
      <c r="O335" s="606"/>
      <c r="P335" s="606"/>
      <c r="Q335" s="398"/>
      <c r="R335" s="398"/>
      <c r="S335" s="398"/>
      <c r="T335" s="398"/>
      <c r="U335" s="398"/>
      <c r="V335" s="555"/>
      <c r="W335" s="555"/>
      <c r="X335" s="555"/>
    </row>
    <row r="336" spans="1:24" ht="15.75" customHeight="1">
      <c r="A336" s="398"/>
      <c r="B336" s="398"/>
      <c r="C336" s="564"/>
      <c r="D336" s="564"/>
      <c r="E336" s="564"/>
      <c r="F336" s="564"/>
      <c r="G336" s="564"/>
      <c r="H336" s="564"/>
      <c r="I336" s="564"/>
      <c r="J336" s="564"/>
      <c r="K336" s="564"/>
      <c r="L336" s="564"/>
      <c r="M336" s="564"/>
      <c r="N336" s="564"/>
      <c r="O336" s="606"/>
      <c r="P336" s="606"/>
      <c r="Q336" s="398"/>
      <c r="R336" s="398"/>
      <c r="S336" s="398"/>
      <c r="T336" s="398"/>
      <c r="U336" s="398"/>
      <c r="V336" s="555"/>
      <c r="W336" s="555"/>
      <c r="X336" s="555"/>
    </row>
    <row r="337" spans="1:24" ht="15.75" customHeight="1">
      <c r="A337" s="398"/>
      <c r="B337" s="398"/>
      <c r="C337" s="564"/>
      <c r="D337" s="564"/>
      <c r="E337" s="564"/>
      <c r="F337" s="564"/>
      <c r="G337" s="564"/>
      <c r="H337" s="564"/>
      <c r="I337" s="564"/>
      <c r="J337" s="564"/>
      <c r="K337" s="564"/>
      <c r="L337" s="564"/>
      <c r="M337" s="564"/>
      <c r="N337" s="564"/>
      <c r="O337" s="606"/>
      <c r="P337" s="606"/>
      <c r="Q337" s="398"/>
      <c r="R337" s="398"/>
      <c r="S337" s="398"/>
      <c r="T337" s="398"/>
      <c r="U337" s="398"/>
      <c r="V337" s="555"/>
      <c r="W337" s="555"/>
      <c r="X337" s="555"/>
    </row>
    <row r="338" spans="1:24" ht="15.75" customHeight="1">
      <c r="A338" s="398"/>
      <c r="B338" s="398"/>
      <c r="C338" s="564"/>
      <c r="D338" s="564"/>
      <c r="E338" s="564"/>
      <c r="F338" s="564"/>
      <c r="G338" s="564"/>
      <c r="H338" s="564"/>
      <c r="I338" s="564"/>
      <c r="J338" s="564"/>
      <c r="K338" s="564"/>
      <c r="L338" s="564"/>
      <c r="M338" s="564"/>
      <c r="N338" s="564"/>
      <c r="O338" s="606"/>
      <c r="P338" s="606"/>
      <c r="Q338" s="398"/>
      <c r="R338" s="398"/>
      <c r="S338" s="398"/>
      <c r="T338" s="398"/>
      <c r="U338" s="398"/>
      <c r="V338" s="555"/>
      <c r="W338" s="555"/>
      <c r="X338" s="555"/>
    </row>
    <row r="339" spans="1:24" ht="15.75" customHeight="1">
      <c r="A339" s="398"/>
      <c r="B339" s="398"/>
      <c r="C339" s="564"/>
      <c r="D339" s="564"/>
      <c r="E339" s="564"/>
      <c r="F339" s="564"/>
      <c r="G339" s="564"/>
      <c r="H339" s="564"/>
      <c r="I339" s="564"/>
      <c r="J339" s="564"/>
      <c r="K339" s="564"/>
      <c r="L339" s="564"/>
      <c r="M339" s="564"/>
      <c r="N339" s="564"/>
      <c r="O339" s="606"/>
      <c r="P339" s="606"/>
      <c r="Q339" s="398"/>
      <c r="R339" s="398"/>
      <c r="S339" s="398"/>
      <c r="T339" s="398"/>
      <c r="U339" s="398"/>
      <c r="V339" s="555"/>
      <c r="W339" s="555"/>
      <c r="X339" s="555"/>
    </row>
    <row r="340" spans="1:24" ht="15.75" customHeight="1">
      <c r="A340" s="398"/>
      <c r="B340" s="398"/>
      <c r="C340" s="564"/>
      <c r="D340" s="564"/>
      <c r="E340" s="564"/>
      <c r="F340" s="564"/>
      <c r="G340" s="564"/>
      <c r="H340" s="564"/>
      <c r="I340" s="564"/>
      <c r="J340" s="564"/>
      <c r="K340" s="564"/>
      <c r="L340" s="564"/>
      <c r="M340" s="564"/>
      <c r="N340" s="564"/>
      <c r="O340" s="606"/>
      <c r="P340" s="606"/>
      <c r="Q340" s="398"/>
      <c r="R340" s="398"/>
      <c r="S340" s="398"/>
      <c r="T340" s="398"/>
      <c r="U340" s="398"/>
      <c r="V340" s="555"/>
      <c r="W340" s="555"/>
      <c r="X340" s="555"/>
    </row>
    <row r="341" spans="1:24" ht="15.75" customHeight="1">
      <c r="A341" s="398"/>
      <c r="B341" s="398"/>
      <c r="C341" s="564"/>
      <c r="D341" s="564"/>
      <c r="E341" s="564"/>
      <c r="F341" s="564"/>
      <c r="G341" s="564"/>
      <c r="H341" s="564"/>
      <c r="I341" s="564"/>
      <c r="J341" s="564"/>
      <c r="K341" s="564"/>
      <c r="L341" s="564"/>
      <c r="M341" s="564"/>
      <c r="N341" s="564"/>
      <c r="O341" s="606"/>
      <c r="P341" s="606"/>
      <c r="Q341" s="398"/>
      <c r="R341" s="398"/>
      <c r="S341" s="398"/>
      <c r="T341" s="398"/>
      <c r="U341" s="398"/>
      <c r="V341" s="555"/>
      <c r="W341" s="555"/>
      <c r="X341" s="555"/>
    </row>
    <row r="342" spans="1:24" ht="15.75" customHeight="1">
      <c r="A342" s="398"/>
      <c r="B342" s="398"/>
      <c r="C342" s="564"/>
      <c r="D342" s="564"/>
      <c r="E342" s="564"/>
      <c r="F342" s="564"/>
      <c r="G342" s="564"/>
      <c r="H342" s="564"/>
      <c r="I342" s="564"/>
      <c r="J342" s="564"/>
      <c r="K342" s="564"/>
      <c r="L342" s="564"/>
      <c r="M342" s="564"/>
      <c r="N342" s="564"/>
      <c r="O342" s="606"/>
      <c r="P342" s="606"/>
      <c r="Q342" s="398"/>
      <c r="R342" s="398"/>
      <c r="S342" s="398"/>
      <c r="T342" s="398"/>
      <c r="U342" s="398"/>
      <c r="V342" s="555"/>
      <c r="W342" s="555"/>
      <c r="X342" s="555"/>
    </row>
    <row r="343" spans="1:24" ht="15.75" customHeight="1">
      <c r="A343" s="398"/>
      <c r="B343" s="398"/>
      <c r="C343" s="564"/>
      <c r="D343" s="564"/>
      <c r="E343" s="564"/>
      <c r="F343" s="564"/>
      <c r="G343" s="564"/>
      <c r="H343" s="564"/>
      <c r="I343" s="564"/>
      <c r="J343" s="564"/>
      <c r="K343" s="564"/>
      <c r="L343" s="564"/>
      <c r="M343" s="564"/>
      <c r="N343" s="564"/>
      <c r="O343" s="606"/>
      <c r="P343" s="606"/>
      <c r="Q343" s="398"/>
      <c r="R343" s="398"/>
      <c r="S343" s="398"/>
      <c r="T343" s="398"/>
      <c r="U343" s="398"/>
      <c r="V343" s="555"/>
      <c r="W343" s="555"/>
      <c r="X343" s="555"/>
    </row>
    <row r="344" spans="1:24" ht="15.75" customHeight="1">
      <c r="A344" s="398"/>
      <c r="B344" s="398"/>
      <c r="C344" s="564"/>
      <c r="D344" s="564"/>
      <c r="E344" s="564"/>
      <c r="F344" s="564"/>
      <c r="G344" s="564"/>
      <c r="H344" s="564"/>
      <c r="I344" s="564"/>
      <c r="J344" s="564"/>
      <c r="K344" s="564"/>
      <c r="L344" s="564"/>
      <c r="M344" s="564"/>
      <c r="N344" s="564"/>
      <c r="O344" s="606"/>
      <c r="P344" s="606"/>
      <c r="Q344" s="398"/>
      <c r="R344" s="398"/>
      <c r="S344" s="398"/>
      <c r="T344" s="398"/>
      <c r="U344" s="398"/>
      <c r="V344" s="555"/>
      <c r="W344" s="555"/>
      <c r="X344" s="555"/>
    </row>
    <row r="345" spans="1:24" ht="15.75" customHeight="1">
      <c r="A345" s="398"/>
      <c r="B345" s="398"/>
      <c r="C345" s="564"/>
      <c r="D345" s="564"/>
      <c r="E345" s="564"/>
      <c r="F345" s="564"/>
      <c r="G345" s="564"/>
      <c r="H345" s="564"/>
      <c r="I345" s="564"/>
      <c r="J345" s="564"/>
      <c r="K345" s="564"/>
      <c r="L345" s="564"/>
      <c r="M345" s="564"/>
      <c r="N345" s="564"/>
      <c r="O345" s="606"/>
      <c r="P345" s="606"/>
      <c r="Q345" s="398"/>
      <c r="R345" s="398"/>
      <c r="S345" s="398"/>
      <c r="T345" s="398"/>
      <c r="U345" s="398"/>
      <c r="V345" s="555"/>
      <c r="W345" s="555"/>
      <c r="X345" s="555"/>
    </row>
    <row r="346" spans="1:24" ht="15.75" customHeight="1">
      <c r="A346" s="398"/>
      <c r="B346" s="398"/>
      <c r="C346" s="564"/>
      <c r="D346" s="564"/>
      <c r="E346" s="564"/>
      <c r="F346" s="564"/>
      <c r="G346" s="564"/>
      <c r="H346" s="564"/>
      <c r="I346" s="564"/>
      <c r="J346" s="564"/>
      <c r="K346" s="564"/>
      <c r="L346" s="564"/>
      <c r="M346" s="564"/>
      <c r="N346" s="564"/>
      <c r="O346" s="606"/>
      <c r="P346" s="606"/>
      <c r="Q346" s="398"/>
      <c r="R346" s="398"/>
      <c r="S346" s="398"/>
      <c r="T346" s="398"/>
      <c r="U346" s="398"/>
      <c r="V346" s="555"/>
      <c r="W346" s="555"/>
      <c r="X346" s="555"/>
    </row>
    <row r="347" spans="1:24" ht="15.75" customHeight="1">
      <c r="A347" s="398"/>
      <c r="B347" s="398"/>
      <c r="C347" s="564"/>
      <c r="D347" s="564"/>
      <c r="E347" s="564"/>
      <c r="F347" s="564"/>
      <c r="G347" s="564"/>
      <c r="H347" s="564"/>
      <c r="I347" s="564"/>
      <c r="J347" s="564"/>
      <c r="K347" s="564"/>
      <c r="L347" s="564"/>
      <c r="M347" s="564"/>
      <c r="N347" s="564"/>
      <c r="O347" s="606"/>
      <c r="P347" s="606"/>
      <c r="Q347" s="398"/>
      <c r="R347" s="398"/>
      <c r="S347" s="398"/>
      <c r="T347" s="398"/>
      <c r="U347" s="398"/>
      <c r="V347" s="555"/>
      <c r="W347" s="555"/>
      <c r="X347" s="555"/>
    </row>
    <row r="348" spans="1:24" ht="15.75" customHeight="1">
      <c r="A348" s="398"/>
      <c r="B348" s="398"/>
      <c r="C348" s="564"/>
      <c r="D348" s="564"/>
      <c r="E348" s="564"/>
      <c r="F348" s="564"/>
      <c r="G348" s="564"/>
      <c r="H348" s="564"/>
      <c r="I348" s="564"/>
      <c r="J348" s="564"/>
      <c r="K348" s="564"/>
      <c r="L348" s="564"/>
      <c r="M348" s="564"/>
      <c r="N348" s="564"/>
      <c r="O348" s="606"/>
      <c r="P348" s="606"/>
      <c r="Q348" s="398"/>
      <c r="R348" s="398"/>
      <c r="S348" s="398"/>
      <c r="T348" s="398"/>
      <c r="U348" s="398"/>
      <c r="V348" s="555"/>
      <c r="W348" s="555"/>
      <c r="X348" s="555"/>
    </row>
    <row r="349" spans="1:24" ht="15.75" customHeight="1">
      <c r="A349" s="398"/>
      <c r="B349" s="398"/>
      <c r="C349" s="564"/>
      <c r="D349" s="564"/>
      <c r="E349" s="564"/>
      <c r="F349" s="564"/>
      <c r="G349" s="564"/>
      <c r="H349" s="564"/>
      <c r="I349" s="564"/>
      <c r="J349" s="564"/>
      <c r="K349" s="564"/>
      <c r="L349" s="564"/>
      <c r="M349" s="564"/>
      <c r="N349" s="564"/>
      <c r="O349" s="606"/>
      <c r="P349" s="606"/>
      <c r="Q349" s="398"/>
      <c r="R349" s="398"/>
      <c r="S349" s="398"/>
      <c r="T349" s="398"/>
      <c r="U349" s="398"/>
      <c r="V349" s="555"/>
      <c r="W349" s="555"/>
      <c r="X349" s="555"/>
    </row>
    <row r="350" spans="1:24" ht="15.75" customHeight="1">
      <c r="A350" s="398"/>
      <c r="B350" s="398"/>
      <c r="C350" s="564"/>
      <c r="D350" s="564"/>
      <c r="E350" s="564"/>
      <c r="F350" s="564"/>
      <c r="G350" s="564"/>
      <c r="H350" s="564"/>
      <c r="I350" s="564"/>
      <c r="J350" s="564"/>
      <c r="K350" s="564"/>
      <c r="L350" s="564"/>
      <c r="M350" s="564"/>
      <c r="N350" s="564"/>
      <c r="O350" s="606"/>
      <c r="P350" s="606"/>
      <c r="Q350" s="398"/>
      <c r="R350" s="398"/>
      <c r="S350" s="398"/>
      <c r="T350" s="398"/>
      <c r="U350" s="398"/>
      <c r="V350" s="555"/>
      <c r="W350" s="555"/>
      <c r="X350" s="555"/>
    </row>
    <row r="351" spans="1:24" ht="15.75" customHeight="1">
      <c r="A351" s="398"/>
      <c r="B351" s="398"/>
      <c r="C351" s="564"/>
      <c r="D351" s="564"/>
      <c r="E351" s="564"/>
      <c r="F351" s="564"/>
      <c r="G351" s="564"/>
      <c r="H351" s="564"/>
      <c r="I351" s="564"/>
      <c r="J351" s="564"/>
      <c r="K351" s="564"/>
      <c r="L351" s="564"/>
      <c r="M351" s="564"/>
      <c r="N351" s="564"/>
      <c r="O351" s="606"/>
      <c r="P351" s="606"/>
      <c r="Q351" s="398"/>
      <c r="R351" s="398"/>
      <c r="S351" s="398"/>
      <c r="T351" s="398"/>
      <c r="U351" s="398"/>
      <c r="V351" s="555"/>
      <c r="W351" s="555"/>
      <c r="X351" s="555"/>
    </row>
    <row r="352" spans="1:24" ht="15.75" customHeight="1">
      <c r="A352" s="398"/>
      <c r="B352" s="398"/>
      <c r="C352" s="564"/>
      <c r="D352" s="564"/>
      <c r="E352" s="564"/>
      <c r="F352" s="564"/>
      <c r="G352" s="564"/>
      <c r="H352" s="564"/>
      <c r="I352" s="564"/>
      <c r="J352" s="564"/>
      <c r="K352" s="564"/>
      <c r="L352" s="564"/>
      <c r="M352" s="564"/>
      <c r="N352" s="564"/>
      <c r="O352" s="606"/>
      <c r="P352" s="606"/>
      <c r="Q352" s="398"/>
      <c r="R352" s="398"/>
      <c r="S352" s="398"/>
      <c r="T352" s="398"/>
      <c r="U352" s="398"/>
      <c r="V352" s="555"/>
      <c r="W352" s="555"/>
      <c r="X352" s="555"/>
    </row>
    <row r="353" spans="1:24" ht="15.75" customHeight="1">
      <c r="A353" s="398"/>
      <c r="B353" s="398"/>
      <c r="C353" s="564"/>
      <c r="D353" s="564"/>
      <c r="E353" s="564"/>
      <c r="F353" s="564"/>
      <c r="G353" s="564"/>
      <c r="H353" s="564"/>
      <c r="I353" s="564"/>
      <c r="J353" s="564"/>
      <c r="K353" s="564"/>
      <c r="L353" s="564"/>
      <c r="M353" s="564"/>
      <c r="N353" s="564"/>
      <c r="O353" s="606"/>
      <c r="P353" s="606"/>
      <c r="Q353" s="398"/>
      <c r="R353" s="398"/>
      <c r="S353" s="398"/>
      <c r="T353" s="398"/>
      <c r="U353" s="398"/>
      <c r="V353" s="555"/>
      <c r="W353" s="555"/>
      <c r="X353" s="555"/>
    </row>
    <row r="354" spans="1:24" ht="15.75" customHeight="1">
      <c r="A354" s="398"/>
      <c r="B354" s="398"/>
      <c r="C354" s="564"/>
      <c r="D354" s="564"/>
      <c r="E354" s="564"/>
      <c r="F354" s="564"/>
      <c r="G354" s="564"/>
      <c r="H354" s="564"/>
      <c r="I354" s="564"/>
      <c r="J354" s="564"/>
      <c r="K354" s="564"/>
      <c r="L354" s="564"/>
      <c r="M354" s="564"/>
      <c r="N354" s="564"/>
      <c r="O354" s="606"/>
      <c r="P354" s="606"/>
      <c r="Q354" s="398"/>
      <c r="R354" s="398"/>
      <c r="S354" s="398"/>
      <c r="T354" s="398"/>
      <c r="U354" s="398"/>
      <c r="V354" s="555"/>
      <c r="W354" s="555"/>
      <c r="X354" s="555"/>
    </row>
    <row r="355" spans="1:24" ht="15.75" customHeight="1">
      <c r="A355" s="398"/>
      <c r="B355" s="398"/>
      <c r="C355" s="564"/>
      <c r="D355" s="564"/>
      <c r="E355" s="564"/>
      <c r="F355" s="564"/>
      <c r="G355" s="564"/>
      <c r="H355" s="564"/>
      <c r="I355" s="564"/>
      <c r="J355" s="564"/>
      <c r="K355" s="564"/>
      <c r="L355" s="564"/>
      <c r="M355" s="564"/>
      <c r="N355" s="564"/>
      <c r="O355" s="606"/>
      <c r="P355" s="606"/>
      <c r="Q355" s="398"/>
      <c r="R355" s="398"/>
      <c r="S355" s="398"/>
      <c r="T355" s="398"/>
      <c r="U355" s="398"/>
      <c r="V355" s="555"/>
      <c r="W355" s="555"/>
      <c r="X355" s="555"/>
    </row>
    <row r="356" spans="1:24" ht="15.75" customHeight="1">
      <c r="A356" s="398"/>
      <c r="B356" s="398"/>
      <c r="C356" s="564"/>
      <c r="D356" s="564"/>
      <c r="E356" s="564"/>
      <c r="F356" s="564"/>
      <c r="G356" s="564"/>
      <c r="H356" s="564"/>
      <c r="I356" s="564"/>
      <c r="J356" s="564"/>
      <c r="K356" s="564"/>
      <c r="L356" s="564"/>
      <c r="M356" s="564"/>
      <c r="N356" s="564"/>
      <c r="O356" s="606"/>
      <c r="P356" s="606"/>
      <c r="Q356" s="398"/>
      <c r="R356" s="398"/>
      <c r="S356" s="398"/>
      <c r="T356" s="398"/>
      <c r="U356" s="398"/>
      <c r="V356" s="555"/>
      <c r="W356" s="555"/>
      <c r="X356" s="555"/>
    </row>
    <row r="357" spans="1:24" ht="15.75" customHeight="1">
      <c r="A357" s="398"/>
      <c r="B357" s="398"/>
      <c r="C357" s="564"/>
      <c r="D357" s="564"/>
      <c r="E357" s="564"/>
      <c r="F357" s="564"/>
      <c r="G357" s="564"/>
      <c r="H357" s="564"/>
      <c r="I357" s="564"/>
      <c r="J357" s="564"/>
      <c r="K357" s="564"/>
      <c r="L357" s="564"/>
      <c r="M357" s="564"/>
      <c r="N357" s="564"/>
      <c r="O357" s="606"/>
      <c r="P357" s="606"/>
      <c r="Q357" s="398"/>
      <c r="R357" s="398"/>
      <c r="S357" s="398"/>
      <c r="T357" s="398"/>
      <c r="U357" s="398"/>
      <c r="V357" s="555"/>
      <c r="W357" s="555"/>
      <c r="X357" s="555"/>
    </row>
    <row r="358" spans="1:24" ht="15.75" customHeight="1">
      <c r="A358" s="398"/>
      <c r="B358" s="398"/>
      <c r="C358" s="564"/>
      <c r="D358" s="564"/>
      <c r="E358" s="564"/>
      <c r="F358" s="564"/>
      <c r="G358" s="564"/>
      <c r="H358" s="564"/>
      <c r="I358" s="564"/>
      <c r="J358" s="564"/>
      <c r="K358" s="564"/>
      <c r="L358" s="564"/>
      <c r="M358" s="564"/>
      <c r="N358" s="564"/>
      <c r="O358" s="606"/>
      <c r="P358" s="606"/>
      <c r="Q358" s="398"/>
      <c r="R358" s="398"/>
      <c r="S358" s="398"/>
      <c r="T358" s="398"/>
      <c r="U358" s="398"/>
      <c r="V358" s="555"/>
      <c r="W358" s="555"/>
      <c r="X358" s="555"/>
    </row>
    <row r="359" spans="1:24" ht="15.75" customHeight="1">
      <c r="A359" s="398"/>
      <c r="B359" s="398"/>
      <c r="C359" s="564"/>
      <c r="D359" s="564"/>
      <c r="E359" s="564"/>
      <c r="F359" s="564"/>
      <c r="G359" s="564"/>
      <c r="H359" s="564"/>
      <c r="I359" s="564"/>
      <c r="J359" s="564"/>
      <c r="K359" s="564"/>
      <c r="L359" s="564"/>
      <c r="M359" s="564"/>
      <c r="N359" s="564"/>
      <c r="O359" s="606"/>
      <c r="P359" s="606"/>
      <c r="Q359" s="398"/>
      <c r="R359" s="398"/>
      <c r="S359" s="398"/>
      <c r="T359" s="398"/>
      <c r="U359" s="398"/>
      <c r="V359" s="555"/>
      <c r="W359" s="555"/>
      <c r="X359" s="555"/>
    </row>
    <row r="360" spans="1:24" ht="15.75" customHeight="1">
      <c r="A360" s="398"/>
      <c r="B360" s="398"/>
      <c r="C360" s="564"/>
      <c r="D360" s="564"/>
      <c r="E360" s="564"/>
      <c r="F360" s="564"/>
      <c r="G360" s="564"/>
      <c r="H360" s="564"/>
      <c r="I360" s="564"/>
      <c r="J360" s="564"/>
      <c r="K360" s="564"/>
      <c r="L360" s="564"/>
      <c r="M360" s="564"/>
      <c r="N360" s="564"/>
      <c r="O360" s="606"/>
      <c r="P360" s="606"/>
      <c r="Q360" s="398"/>
      <c r="R360" s="398"/>
      <c r="S360" s="398"/>
      <c r="T360" s="398"/>
      <c r="U360" s="398"/>
      <c r="V360" s="555"/>
      <c r="W360" s="555"/>
      <c r="X360" s="555"/>
    </row>
    <row r="361" spans="1:24" ht="15.75" customHeight="1">
      <c r="A361" s="398"/>
      <c r="B361" s="398"/>
      <c r="C361" s="564"/>
      <c r="D361" s="564"/>
      <c r="E361" s="564"/>
      <c r="F361" s="564"/>
      <c r="G361" s="564"/>
      <c r="H361" s="564"/>
      <c r="I361" s="564"/>
      <c r="J361" s="564"/>
      <c r="K361" s="564"/>
      <c r="L361" s="564"/>
      <c r="M361" s="564"/>
      <c r="N361" s="564"/>
      <c r="O361" s="606"/>
      <c r="P361" s="606"/>
      <c r="Q361" s="398"/>
      <c r="R361" s="398"/>
      <c r="S361" s="398"/>
      <c r="T361" s="398"/>
      <c r="U361" s="398"/>
      <c r="V361" s="555"/>
      <c r="W361" s="555"/>
      <c r="X361" s="555"/>
    </row>
    <row r="362" spans="1:24" ht="15.75" customHeight="1">
      <c r="A362" s="398"/>
      <c r="B362" s="398"/>
      <c r="C362" s="564"/>
      <c r="D362" s="564"/>
      <c r="E362" s="564"/>
      <c r="F362" s="564"/>
      <c r="G362" s="564"/>
      <c r="H362" s="564"/>
      <c r="I362" s="564"/>
      <c r="J362" s="564"/>
      <c r="K362" s="564"/>
      <c r="L362" s="564"/>
      <c r="M362" s="564"/>
      <c r="N362" s="564"/>
      <c r="O362" s="398"/>
      <c r="P362" s="398"/>
      <c r="Q362" s="398"/>
      <c r="R362" s="398"/>
      <c r="S362" s="398"/>
      <c r="T362" s="398"/>
      <c r="U362" s="398"/>
      <c r="V362" s="555"/>
      <c r="W362" s="555"/>
      <c r="X362" s="555"/>
    </row>
    <row r="363" spans="1:24" ht="15.75" customHeight="1">
      <c r="A363" s="398"/>
      <c r="B363" s="398"/>
      <c r="C363" s="564"/>
      <c r="D363" s="564"/>
      <c r="E363" s="564"/>
      <c r="F363" s="564"/>
      <c r="G363" s="564"/>
      <c r="H363" s="564"/>
      <c r="I363" s="564"/>
      <c r="J363" s="564"/>
      <c r="K363" s="564"/>
      <c r="L363" s="564"/>
      <c r="M363" s="564"/>
      <c r="N363" s="564"/>
      <c r="O363" s="398"/>
      <c r="P363" s="398"/>
      <c r="Q363" s="398"/>
      <c r="R363" s="398"/>
      <c r="S363" s="398"/>
      <c r="T363" s="398"/>
      <c r="U363" s="398"/>
      <c r="V363" s="555"/>
      <c r="W363" s="555"/>
      <c r="X363" s="555"/>
    </row>
    <row r="364" spans="1:24" ht="15.75" customHeight="1">
      <c r="A364" s="398"/>
      <c r="B364" s="398"/>
      <c r="C364" s="564"/>
      <c r="D364" s="564"/>
      <c r="E364" s="564"/>
      <c r="F364" s="564"/>
      <c r="G364" s="564"/>
      <c r="H364" s="564"/>
      <c r="I364" s="564"/>
      <c r="J364" s="564"/>
      <c r="K364" s="564"/>
      <c r="L364" s="564"/>
      <c r="M364" s="564"/>
      <c r="N364" s="564"/>
      <c r="O364" s="398"/>
      <c r="P364" s="398"/>
      <c r="Q364" s="398"/>
      <c r="R364" s="398"/>
      <c r="S364" s="398"/>
      <c r="T364" s="398"/>
      <c r="U364" s="398"/>
      <c r="V364" s="555"/>
      <c r="W364" s="555"/>
      <c r="X364" s="555"/>
    </row>
    <row r="365" spans="1:24" ht="15.75" customHeight="1">
      <c r="A365" s="398"/>
      <c r="B365" s="398"/>
      <c r="C365" s="564"/>
      <c r="D365" s="564"/>
      <c r="E365" s="564"/>
      <c r="F365" s="564"/>
      <c r="G365" s="564"/>
      <c r="H365" s="564"/>
      <c r="I365" s="564"/>
      <c r="J365" s="564"/>
      <c r="K365" s="564"/>
      <c r="L365" s="564"/>
      <c r="M365" s="564"/>
      <c r="N365" s="564"/>
      <c r="O365" s="398"/>
      <c r="P365" s="398"/>
      <c r="Q365" s="398"/>
      <c r="R365" s="398"/>
      <c r="S365" s="398"/>
      <c r="T365" s="398"/>
      <c r="U365" s="398"/>
      <c r="V365" s="555"/>
      <c r="W365" s="555"/>
      <c r="X365" s="555"/>
    </row>
    <row r="366" spans="1:24" ht="15.75" customHeight="1">
      <c r="A366" s="398"/>
      <c r="B366" s="398"/>
      <c r="C366" s="564"/>
      <c r="D366" s="564"/>
      <c r="E366" s="564"/>
      <c r="F366" s="564"/>
      <c r="G366" s="564"/>
      <c r="H366" s="564"/>
      <c r="I366" s="564"/>
      <c r="J366" s="564"/>
      <c r="K366" s="564"/>
      <c r="L366" s="564"/>
      <c r="M366" s="564"/>
      <c r="N366" s="564"/>
      <c r="O366" s="398"/>
      <c r="P366" s="398"/>
      <c r="Q366" s="398"/>
      <c r="R366" s="398"/>
      <c r="S366" s="398"/>
      <c r="T366" s="398"/>
      <c r="U366" s="398"/>
      <c r="V366" s="555"/>
      <c r="W366" s="555"/>
      <c r="X366" s="555"/>
    </row>
    <row r="367" spans="1:24" ht="15.75" customHeight="1">
      <c r="A367" s="398"/>
      <c r="B367" s="398"/>
      <c r="C367" s="564"/>
      <c r="D367" s="564"/>
      <c r="E367" s="564"/>
      <c r="F367" s="564"/>
      <c r="G367" s="564"/>
      <c r="H367" s="564"/>
      <c r="I367" s="564"/>
      <c r="J367" s="564"/>
      <c r="K367" s="564"/>
      <c r="L367" s="564"/>
      <c r="M367" s="564"/>
      <c r="N367" s="564"/>
      <c r="O367" s="398"/>
      <c r="P367" s="398"/>
      <c r="Q367" s="398"/>
      <c r="R367" s="398"/>
      <c r="S367" s="398"/>
      <c r="T367" s="398"/>
      <c r="U367" s="398"/>
      <c r="V367" s="555"/>
      <c r="W367" s="555"/>
      <c r="X367" s="555"/>
    </row>
    <row r="368" spans="1:24" ht="15.75" customHeight="1">
      <c r="A368" s="398"/>
      <c r="B368" s="398"/>
      <c r="C368" s="564"/>
      <c r="D368" s="564"/>
      <c r="E368" s="564"/>
      <c r="F368" s="564"/>
      <c r="G368" s="564"/>
      <c r="H368" s="564"/>
      <c r="I368" s="564"/>
      <c r="J368" s="564"/>
      <c r="K368" s="564"/>
      <c r="L368" s="564"/>
      <c r="M368" s="564"/>
      <c r="N368" s="564"/>
      <c r="O368" s="398"/>
      <c r="P368" s="398"/>
      <c r="Q368" s="398"/>
      <c r="R368" s="398"/>
      <c r="S368" s="398"/>
      <c r="T368" s="398"/>
      <c r="U368" s="398"/>
      <c r="V368" s="555"/>
      <c r="W368" s="555"/>
      <c r="X368" s="555"/>
    </row>
    <row r="369" spans="1:24" ht="15.75" customHeight="1">
      <c r="A369" s="398"/>
      <c r="B369" s="398"/>
      <c r="C369" s="564"/>
      <c r="D369" s="564"/>
      <c r="E369" s="564"/>
      <c r="F369" s="564"/>
      <c r="G369" s="564"/>
      <c r="H369" s="564"/>
      <c r="I369" s="564"/>
      <c r="J369" s="564"/>
      <c r="K369" s="564"/>
      <c r="L369" s="564"/>
      <c r="M369" s="564"/>
      <c r="N369" s="564"/>
      <c r="O369" s="398"/>
      <c r="P369" s="398"/>
      <c r="Q369" s="398"/>
      <c r="R369" s="398"/>
      <c r="S369" s="398"/>
      <c r="T369" s="398"/>
      <c r="U369" s="398"/>
      <c r="V369" s="555"/>
      <c r="W369" s="555"/>
      <c r="X369" s="555"/>
    </row>
    <row r="370" spans="1:24" ht="15.75" customHeight="1">
      <c r="A370" s="398"/>
      <c r="B370" s="398"/>
      <c r="C370" s="564"/>
      <c r="D370" s="564"/>
      <c r="E370" s="564"/>
      <c r="F370" s="564"/>
      <c r="G370" s="564"/>
      <c r="H370" s="564"/>
      <c r="I370" s="564"/>
      <c r="J370" s="564"/>
      <c r="K370" s="564"/>
      <c r="L370" s="564"/>
      <c r="M370" s="564"/>
      <c r="N370" s="564"/>
      <c r="O370" s="398"/>
      <c r="P370" s="398"/>
      <c r="Q370" s="398"/>
      <c r="R370" s="398"/>
      <c r="S370" s="398"/>
      <c r="T370" s="398"/>
      <c r="U370" s="398"/>
      <c r="V370" s="555"/>
      <c r="W370" s="555"/>
      <c r="X370" s="555"/>
    </row>
    <row r="371" spans="1:24" ht="15.75" customHeight="1">
      <c r="A371" s="398"/>
      <c r="B371" s="398"/>
      <c r="C371" s="564"/>
      <c r="D371" s="564"/>
      <c r="E371" s="564"/>
      <c r="F371" s="564"/>
      <c r="G371" s="564"/>
      <c r="H371" s="564"/>
      <c r="I371" s="564"/>
      <c r="J371" s="564"/>
      <c r="K371" s="564"/>
      <c r="L371" s="564"/>
      <c r="M371" s="564"/>
      <c r="N371" s="564"/>
      <c r="O371" s="398"/>
      <c r="P371" s="398"/>
      <c r="Q371" s="398"/>
      <c r="R371" s="398"/>
      <c r="S371" s="398"/>
      <c r="T371" s="398"/>
      <c r="U371" s="398"/>
      <c r="V371" s="555"/>
      <c r="W371" s="555"/>
      <c r="X371" s="555"/>
    </row>
    <row r="372" spans="1:24" ht="15.75" customHeight="1">
      <c r="A372" s="398"/>
      <c r="B372" s="398"/>
      <c r="C372" s="564"/>
      <c r="D372" s="564"/>
      <c r="E372" s="564"/>
      <c r="F372" s="564"/>
      <c r="G372" s="564"/>
      <c r="H372" s="564"/>
      <c r="I372" s="564"/>
      <c r="J372" s="564"/>
      <c r="K372" s="564"/>
      <c r="L372" s="564"/>
      <c r="M372" s="564"/>
      <c r="N372" s="564"/>
      <c r="O372" s="398"/>
      <c r="P372" s="398"/>
      <c r="Q372" s="398"/>
      <c r="R372" s="398"/>
      <c r="S372" s="398"/>
      <c r="T372" s="398"/>
      <c r="U372" s="398"/>
      <c r="V372" s="555"/>
      <c r="W372" s="555"/>
      <c r="X372" s="555"/>
    </row>
    <row r="373" spans="1:24" ht="15.75" customHeight="1">
      <c r="A373" s="398"/>
      <c r="B373" s="398"/>
      <c r="C373" s="564"/>
      <c r="D373" s="564"/>
      <c r="E373" s="564"/>
      <c r="F373" s="564"/>
      <c r="G373" s="564"/>
      <c r="H373" s="564"/>
      <c r="I373" s="564"/>
      <c r="J373" s="564"/>
      <c r="K373" s="564"/>
      <c r="L373" s="564"/>
      <c r="M373" s="564"/>
      <c r="N373" s="564"/>
      <c r="O373" s="398"/>
      <c r="P373" s="398"/>
      <c r="Q373" s="398"/>
      <c r="R373" s="398"/>
      <c r="S373" s="398"/>
      <c r="T373" s="398"/>
      <c r="U373" s="398"/>
      <c r="V373" s="555"/>
      <c r="W373" s="555"/>
      <c r="X373" s="555"/>
    </row>
    <row r="374" spans="1:24" ht="15.75" customHeight="1">
      <c r="A374" s="398"/>
      <c r="B374" s="398"/>
      <c r="C374" s="564"/>
      <c r="D374" s="564"/>
      <c r="E374" s="564"/>
      <c r="F374" s="564"/>
      <c r="G374" s="564"/>
      <c r="H374" s="564"/>
      <c r="I374" s="564"/>
      <c r="J374" s="564"/>
      <c r="K374" s="564"/>
      <c r="L374" s="564"/>
      <c r="M374" s="564"/>
      <c r="N374" s="564"/>
      <c r="O374" s="398"/>
      <c r="P374" s="398"/>
      <c r="Q374" s="398"/>
      <c r="R374" s="398"/>
      <c r="S374" s="398"/>
      <c r="T374" s="398"/>
      <c r="U374" s="398"/>
      <c r="V374" s="555"/>
      <c r="W374" s="555"/>
      <c r="X374" s="555"/>
    </row>
    <row r="375" spans="1:24" ht="15.75" customHeight="1">
      <c r="A375" s="398"/>
      <c r="B375" s="398"/>
      <c r="C375" s="564"/>
      <c r="D375" s="564"/>
      <c r="E375" s="564"/>
      <c r="F375" s="564"/>
      <c r="G375" s="564"/>
      <c r="H375" s="564"/>
      <c r="I375" s="564"/>
      <c r="J375" s="564"/>
      <c r="K375" s="564"/>
      <c r="L375" s="564"/>
      <c r="M375" s="564"/>
      <c r="N375" s="564"/>
      <c r="O375" s="398"/>
      <c r="P375" s="398"/>
      <c r="Q375" s="398"/>
      <c r="R375" s="398"/>
      <c r="S375" s="398"/>
      <c r="T375" s="398"/>
      <c r="U375" s="398"/>
      <c r="V375" s="555"/>
      <c r="W375" s="555"/>
      <c r="X375" s="555"/>
    </row>
    <row r="376" spans="1:24" ht="15.75" customHeight="1">
      <c r="A376" s="398"/>
      <c r="B376" s="398"/>
      <c r="C376" s="564"/>
      <c r="D376" s="564"/>
      <c r="E376" s="564"/>
      <c r="F376" s="564"/>
      <c r="G376" s="564"/>
      <c r="H376" s="564"/>
      <c r="I376" s="564"/>
      <c r="J376" s="564"/>
      <c r="K376" s="564"/>
      <c r="L376" s="564"/>
      <c r="M376" s="564"/>
      <c r="N376" s="564"/>
      <c r="O376" s="398"/>
      <c r="P376" s="398"/>
      <c r="Q376" s="398"/>
      <c r="R376" s="398"/>
      <c r="S376" s="398"/>
      <c r="T376" s="398"/>
      <c r="U376" s="398"/>
      <c r="V376" s="555"/>
      <c r="W376" s="555"/>
      <c r="X376" s="555"/>
    </row>
    <row r="377" spans="1:24" ht="15.75" customHeight="1">
      <c r="A377" s="398"/>
      <c r="B377" s="398"/>
      <c r="C377" s="564"/>
      <c r="D377" s="564"/>
      <c r="E377" s="564"/>
      <c r="F377" s="564"/>
      <c r="G377" s="564"/>
      <c r="H377" s="564"/>
      <c r="I377" s="564"/>
      <c r="J377" s="564"/>
      <c r="K377" s="564"/>
      <c r="L377" s="564"/>
      <c r="M377" s="564"/>
      <c r="N377" s="564"/>
      <c r="O377" s="398"/>
      <c r="P377" s="398"/>
      <c r="Q377" s="398"/>
      <c r="R377" s="398"/>
      <c r="S377" s="398"/>
      <c r="T377" s="398"/>
      <c r="U377" s="398"/>
      <c r="V377" s="555"/>
      <c r="W377" s="555"/>
      <c r="X377" s="555"/>
    </row>
    <row r="378" spans="1:24" ht="15.75" customHeight="1">
      <c r="A378" s="398"/>
      <c r="B378" s="398"/>
      <c r="C378" s="564"/>
      <c r="D378" s="564"/>
      <c r="E378" s="564"/>
      <c r="F378" s="564"/>
      <c r="G378" s="564"/>
      <c r="H378" s="564"/>
      <c r="I378" s="564"/>
      <c r="J378" s="564"/>
      <c r="K378" s="564"/>
      <c r="L378" s="564"/>
      <c r="M378" s="564"/>
      <c r="N378" s="564"/>
      <c r="O378" s="398"/>
      <c r="P378" s="398"/>
      <c r="Q378" s="398"/>
      <c r="R378" s="398"/>
      <c r="S378" s="398"/>
      <c r="T378" s="398"/>
      <c r="U378" s="398"/>
      <c r="V378" s="555"/>
      <c r="W378" s="555"/>
      <c r="X378" s="555"/>
    </row>
    <row r="379" spans="1:24" ht="15.75" customHeight="1">
      <c r="A379" s="398"/>
      <c r="B379" s="398"/>
      <c r="C379" s="564"/>
      <c r="D379" s="564"/>
      <c r="E379" s="564"/>
      <c r="F379" s="564"/>
      <c r="G379" s="564"/>
      <c r="H379" s="564"/>
      <c r="I379" s="564"/>
      <c r="J379" s="564"/>
      <c r="K379" s="564"/>
      <c r="L379" s="564"/>
      <c r="M379" s="564"/>
      <c r="N379" s="564"/>
      <c r="O379" s="398"/>
      <c r="P379" s="398"/>
      <c r="Q379" s="398"/>
      <c r="R379" s="398"/>
      <c r="S379" s="398"/>
      <c r="T379" s="398"/>
      <c r="U379" s="398"/>
      <c r="V379" s="555"/>
      <c r="W379" s="555"/>
      <c r="X379" s="555"/>
    </row>
    <row r="380" spans="1:24" ht="15.75" customHeight="1">
      <c r="A380" s="398"/>
      <c r="B380" s="398"/>
      <c r="C380" s="564"/>
      <c r="D380" s="564"/>
      <c r="E380" s="564"/>
      <c r="F380" s="564"/>
      <c r="G380" s="564"/>
      <c r="H380" s="564"/>
      <c r="I380" s="564"/>
      <c r="J380" s="564"/>
      <c r="K380" s="564"/>
      <c r="L380" s="564"/>
      <c r="M380" s="564"/>
      <c r="N380" s="564"/>
      <c r="O380" s="398"/>
      <c r="P380" s="398"/>
      <c r="Q380" s="398"/>
      <c r="R380" s="398"/>
      <c r="S380" s="398"/>
      <c r="T380" s="398"/>
      <c r="U380" s="398"/>
      <c r="V380" s="555"/>
      <c r="W380" s="555"/>
      <c r="X380" s="555"/>
    </row>
    <row r="381" spans="1:24" ht="15.75" customHeight="1">
      <c r="A381" s="398"/>
      <c r="B381" s="398"/>
      <c r="C381" s="564"/>
      <c r="D381" s="564"/>
      <c r="E381" s="564"/>
      <c r="F381" s="564"/>
      <c r="G381" s="564"/>
      <c r="H381" s="564"/>
      <c r="I381" s="564"/>
      <c r="J381" s="564"/>
      <c r="K381" s="564"/>
      <c r="L381" s="564"/>
      <c r="M381" s="564"/>
      <c r="N381" s="564"/>
      <c r="O381" s="398"/>
      <c r="P381" s="398"/>
      <c r="Q381" s="398"/>
      <c r="R381" s="398"/>
      <c r="S381" s="398"/>
      <c r="T381" s="398"/>
      <c r="U381" s="398"/>
      <c r="V381" s="555"/>
      <c r="W381" s="555"/>
      <c r="X381" s="555"/>
    </row>
    <row r="382" spans="1:24" ht="15.75" customHeight="1">
      <c r="A382" s="398"/>
      <c r="B382" s="398"/>
      <c r="C382" s="564"/>
      <c r="D382" s="564"/>
      <c r="E382" s="564"/>
      <c r="F382" s="564"/>
      <c r="G382" s="564"/>
      <c r="H382" s="564"/>
      <c r="I382" s="564"/>
      <c r="J382" s="564"/>
      <c r="K382" s="564"/>
      <c r="L382" s="564"/>
      <c r="M382" s="564"/>
      <c r="N382" s="564"/>
      <c r="O382" s="398"/>
      <c r="P382" s="398"/>
      <c r="Q382" s="398"/>
      <c r="R382" s="398"/>
      <c r="S382" s="398"/>
      <c r="T382" s="398"/>
      <c r="U382" s="398"/>
      <c r="V382" s="555"/>
      <c r="W382" s="555"/>
      <c r="X382" s="555"/>
    </row>
    <row r="383" spans="1:24" ht="15.75" customHeight="1">
      <c r="A383" s="398"/>
      <c r="B383" s="398"/>
      <c r="C383" s="564"/>
      <c r="D383" s="564"/>
      <c r="E383" s="564"/>
      <c r="F383" s="564"/>
      <c r="G383" s="564"/>
      <c r="H383" s="564"/>
      <c r="I383" s="564"/>
      <c r="J383" s="564"/>
      <c r="K383" s="564"/>
      <c r="L383" s="564"/>
      <c r="M383" s="564"/>
      <c r="N383" s="564"/>
      <c r="O383" s="398"/>
      <c r="P383" s="398"/>
      <c r="Q383" s="398"/>
      <c r="R383" s="398"/>
      <c r="S383" s="398"/>
      <c r="T383" s="398"/>
      <c r="U383" s="398"/>
      <c r="V383" s="555"/>
      <c r="W383" s="555"/>
      <c r="X383" s="555"/>
    </row>
    <row r="384" spans="1:24" ht="15.75" customHeight="1">
      <c r="A384" s="398"/>
      <c r="B384" s="398"/>
      <c r="C384" s="564"/>
      <c r="D384" s="564"/>
      <c r="E384" s="564"/>
      <c r="F384" s="564"/>
      <c r="G384" s="564"/>
      <c r="H384" s="564"/>
      <c r="I384" s="564"/>
      <c r="J384" s="564"/>
      <c r="K384" s="564"/>
      <c r="L384" s="564"/>
      <c r="M384" s="564"/>
      <c r="N384" s="564"/>
      <c r="O384" s="398"/>
      <c r="P384" s="398"/>
      <c r="Q384" s="398"/>
      <c r="R384" s="398"/>
      <c r="S384" s="398"/>
      <c r="T384" s="398"/>
      <c r="U384" s="398"/>
      <c r="V384" s="555"/>
      <c r="W384" s="555"/>
      <c r="X384" s="555"/>
    </row>
    <row r="385" spans="1:24" ht="15.75" customHeight="1">
      <c r="A385" s="398"/>
      <c r="B385" s="398"/>
      <c r="C385" s="564"/>
      <c r="D385" s="564"/>
      <c r="E385" s="564"/>
      <c r="F385" s="564"/>
      <c r="G385" s="564"/>
      <c r="H385" s="564"/>
      <c r="I385" s="564"/>
      <c r="J385" s="564"/>
      <c r="K385" s="564"/>
      <c r="L385" s="564"/>
      <c r="M385" s="564"/>
      <c r="N385" s="564"/>
      <c r="O385" s="398"/>
      <c r="P385" s="398"/>
      <c r="Q385" s="398"/>
      <c r="R385" s="398"/>
      <c r="S385" s="398"/>
      <c r="T385" s="398"/>
      <c r="U385" s="398"/>
      <c r="V385" s="555"/>
      <c r="W385" s="555"/>
      <c r="X385" s="555"/>
    </row>
    <row r="386" spans="1:24" ht="15.75" customHeight="1">
      <c r="A386" s="398"/>
      <c r="B386" s="398"/>
      <c r="C386" s="564"/>
      <c r="D386" s="564"/>
      <c r="E386" s="564"/>
      <c r="F386" s="564"/>
      <c r="G386" s="564"/>
      <c r="H386" s="564"/>
      <c r="I386" s="564"/>
      <c r="J386" s="564"/>
      <c r="K386" s="564"/>
      <c r="L386" s="564"/>
      <c r="M386" s="564"/>
      <c r="N386" s="564"/>
      <c r="O386" s="398"/>
      <c r="P386" s="398"/>
      <c r="Q386" s="398"/>
      <c r="R386" s="398"/>
      <c r="S386" s="398"/>
      <c r="T386" s="398"/>
      <c r="U386" s="398"/>
      <c r="V386" s="555"/>
      <c r="W386" s="555"/>
      <c r="X386" s="555"/>
    </row>
    <row r="387" spans="1:24" ht="15.75" customHeight="1">
      <c r="A387" s="398"/>
      <c r="B387" s="398"/>
      <c r="C387" s="564"/>
      <c r="D387" s="564"/>
      <c r="E387" s="564"/>
      <c r="F387" s="564"/>
      <c r="G387" s="564"/>
      <c r="H387" s="564"/>
      <c r="I387" s="564"/>
      <c r="J387" s="564"/>
      <c r="K387" s="564"/>
      <c r="L387" s="564"/>
      <c r="M387" s="564"/>
      <c r="N387" s="564"/>
      <c r="O387" s="398"/>
      <c r="P387" s="398"/>
      <c r="Q387" s="398"/>
      <c r="R387" s="398"/>
      <c r="S387" s="398"/>
      <c r="T387" s="398"/>
      <c r="U387" s="398"/>
      <c r="V387" s="555"/>
      <c r="W387" s="555"/>
      <c r="X387" s="555"/>
    </row>
    <row r="388" spans="1:24" ht="15.75" customHeight="1">
      <c r="A388" s="398"/>
      <c r="B388" s="398"/>
      <c r="C388" s="564"/>
      <c r="D388" s="564"/>
      <c r="E388" s="564"/>
      <c r="F388" s="564"/>
      <c r="G388" s="564"/>
      <c r="H388" s="564"/>
      <c r="I388" s="564"/>
      <c r="J388" s="564"/>
      <c r="K388" s="564"/>
      <c r="L388" s="564"/>
      <c r="M388" s="564"/>
      <c r="N388" s="564"/>
      <c r="O388" s="398"/>
      <c r="P388" s="398"/>
      <c r="Q388" s="398"/>
      <c r="R388" s="398"/>
      <c r="S388" s="398"/>
      <c r="T388" s="398"/>
      <c r="U388" s="398"/>
      <c r="V388" s="555"/>
      <c r="W388" s="555"/>
      <c r="X388" s="555"/>
    </row>
    <row r="389" spans="1:24" ht="15.75" customHeight="1">
      <c r="A389" s="398"/>
      <c r="B389" s="398"/>
      <c r="C389" s="564"/>
      <c r="D389" s="564"/>
      <c r="E389" s="564"/>
      <c r="F389" s="564"/>
      <c r="G389" s="564"/>
      <c r="H389" s="564"/>
      <c r="I389" s="564"/>
      <c r="J389" s="564"/>
      <c r="K389" s="564"/>
      <c r="L389" s="564"/>
      <c r="M389" s="564"/>
      <c r="N389" s="564"/>
      <c r="O389" s="398"/>
      <c r="P389" s="398"/>
      <c r="Q389" s="398"/>
      <c r="R389" s="398"/>
      <c r="S389" s="398"/>
      <c r="T389" s="398"/>
      <c r="U389" s="398"/>
      <c r="V389" s="555"/>
      <c r="W389" s="555"/>
      <c r="X389" s="555"/>
    </row>
    <row r="390" spans="1:24" ht="15.75" customHeight="1">
      <c r="A390" s="398"/>
      <c r="B390" s="398"/>
      <c r="C390" s="564"/>
      <c r="D390" s="564"/>
      <c r="E390" s="564"/>
      <c r="F390" s="564"/>
      <c r="G390" s="564"/>
      <c r="H390" s="564"/>
      <c r="I390" s="564"/>
      <c r="J390" s="564"/>
      <c r="K390" s="564"/>
      <c r="L390" s="564"/>
      <c r="M390" s="564"/>
      <c r="N390" s="564"/>
      <c r="O390" s="398"/>
      <c r="P390" s="398"/>
      <c r="Q390" s="398"/>
      <c r="R390" s="398"/>
      <c r="S390" s="398"/>
      <c r="T390" s="398"/>
      <c r="U390" s="398"/>
      <c r="V390" s="555"/>
      <c r="W390" s="555"/>
      <c r="X390" s="555"/>
    </row>
    <row r="391" spans="1:24" ht="15.75" customHeight="1">
      <c r="A391" s="398"/>
      <c r="B391" s="398"/>
      <c r="C391" s="564"/>
      <c r="D391" s="564"/>
      <c r="E391" s="564"/>
      <c r="F391" s="564"/>
      <c r="G391" s="564"/>
      <c r="H391" s="564"/>
      <c r="I391" s="564"/>
      <c r="J391" s="564"/>
      <c r="K391" s="564"/>
      <c r="L391" s="564"/>
      <c r="M391" s="564"/>
      <c r="N391" s="564"/>
      <c r="O391" s="398"/>
      <c r="P391" s="398"/>
      <c r="Q391" s="398"/>
      <c r="R391" s="398"/>
      <c r="S391" s="398"/>
      <c r="T391" s="398"/>
      <c r="U391" s="398"/>
      <c r="V391" s="555"/>
      <c r="W391" s="555"/>
      <c r="X391" s="555"/>
    </row>
    <row r="392" spans="1:24" ht="15.75" customHeight="1">
      <c r="A392" s="398"/>
      <c r="B392" s="398"/>
      <c r="C392" s="564"/>
      <c r="D392" s="564"/>
      <c r="E392" s="564"/>
      <c r="F392" s="564"/>
      <c r="G392" s="564"/>
      <c r="H392" s="564"/>
      <c r="I392" s="564"/>
      <c r="J392" s="564"/>
      <c r="K392" s="564"/>
      <c r="L392" s="564"/>
      <c r="M392" s="564"/>
      <c r="N392" s="564"/>
      <c r="O392" s="398"/>
      <c r="P392" s="398"/>
      <c r="Q392" s="398"/>
      <c r="R392" s="398"/>
      <c r="S392" s="398"/>
      <c r="T392" s="398"/>
      <c r="U392" s="398"/>
      <c r="V392" s="555"/>
      <c r="W392" s="555"/>
      <c r="X392" s="555"/>
    </row>
    <row r="393" spans="1:24" ht="15.75" customHeight="1">
      <c r="A393" s="398"/>
      <c r="B393" s="398"/>
      <c r="C393" s="564"/>
      <c r="D393" s="564"/>
      <c r="E393" s="564"/>
      <c r="F393" s="564"/>
      <c r="G393" s="564"/>
      <c r="H393" s="564"/>
      <c r="I393" s="564"/>
      <c r="J393" s="564"/>
      <c r="K393" s="564"/>
      <c r="L393" s="564"/>
      <c r="M393" s="564"/>
      <c r="N393" s="564"/>
      <c r="O393" s="398"/>
      <c r="P393" s="398"/>
      <c r="Q393" s="398"/>
      <c r="R393" s="398"/>
      <c r="S393" s="398"/>
      <c r="T393" s="398"/>
      <c r="U393" s="398"/>
      <c r="V393" s="555"/>
      <c r="W393" s="555"/>
      <c r="X393" s="555"/>
    </row>
    <row r="394" spans="1:24" ht="15.75" customHeight="1">
      <c r="A394" s="398"/>
      <c r="B394" s="398"/>
      <c r="C394" s="564"/>
      <c r="D394" s="564"/>
      <c r="E394" s="564"/>
      <c r="F394" s="564"/>
      <c r="G394" s="564"/>
      <c r="H394" s="564"/>
      <c r="I394" s="564"/>
      <c r="J394" s="564"/>
      <c r="K394" s="564"/>
      <c r="L394" s="564"/>
      <c r="M394" s="564"/>
      <c r="N394" s="564"/>
      <c r="O394" s="398"/>
      <c r="P394" s="398"/>
      <c r="Q394" s="398"/>
      <c r="R394" s="398"/>
      <c r="S394" s="398"/>
      <c r="T394" s="398"/>
      <c r="U394" s="398"/>
      <c r="V394" s="555"/>
      <c r="W394" s="555"/>
      <c r="X394" s="555"/>
    </row>
    <row r="395" spans="1:24" ht="15.75" customHeight="1">
      <c r="A395" s="398"/>
      <c r="B395" s="398"/>
      <c r="C395" s="564"/>
      <c r="D395" s="564"/>
      <c r="E395" s="564"/>
      <c r="F395" s="564"/>
      <c r="G395" s="564"/>
      <c r="H395" s="564"/>
      <c r="I395" s="564"/>
      <c r="J395" s="564"/>
      <c r="K395" s="564"/>
      <c r="L395" s="564"/>
      <c r="M395" s="564"/>
      <c r="N395" s="564"/>
      <c r="O395" s="398"/>
      <c r="P395" s="398"/>
      <c r="Q395" s="398"/>
      <c r="R395" s="398"/>
      <c r="S395" s="398"/>
      <c r="T395" s="398"/>
      <c r="U395" s="398"/>
      <c r="V395" s="555"/>
      <c r="W395" s="555"/>
      <c r="X395" s="555"/>
    </row>
    <row r="396" spans="1:24" ht="15.75" customHeight="1">
      <c r="A396" s="398"/>
      <c r="B396" s="398"/>
      <c r="C396" s="564"/>
      <c r="D396" s="564"/>
      <c r="E396" s="564"/>
      <c r="F396" s="564"/>
      <c r="G396" s="564"/>
      <c r="H396" s="564"/>
      <c r="I396" s="564"/>
      <c r="J396" s="564"/>
      <c r="K396" s="564"/>
      <c r="L396" s="564"/>
      <c r="M396" s="564"/>
      <c r="N396" s="564"/>
      <c r="O396" s="398"/>
      <c r="P396" s="398"/>
      <c r="Q396" s="398"/>
      <c r="R396" s="398"/>
      <c r="S396" s="398"/>
      <c r="T396" s="398"/>
      <c r="U396" s="398"/>
      <c r="V396" s="555"/>
      <c r="W396" s="555"/>
      <c r="X396" s="555"/>
    </row>
    <row r="397" spans="1:24" ht="15.75" customHeight="1">
      <c r="A397" s="398"/>
      <c r="B397" s="398"/>
      <c r="C397" s="564"/>
      <c r="D397" s="564"/>
      <c r="E397" s="564"/>
      <c r="F397" s="564"/>
      <c r="G397" s="564"/>
      <c r="H397" s="564"/>
      <c r="I397" s="564"/>
      <c r="J397" s="564"/>
      <c r="K397" s="564"/>
      <c r="L397" s="564"/>
      <c r="M397" s="564"/>
      <c r="N397" s="564"/>
      <c r="O397" s="398"/>
      <c r="P397" s="398"/>
      <c r="Q397" s="398"/>
      <c r="R397" s="398"/>
      <c r="S397" s="398"/>
      <c r="T397" s="398"/>
      <c r="U397" s="398"/>
      <c r="V397" s="555"/>
      <c r="W397" s="555"/>
      <c r="X397" s="555"/>
    </row>
    <row r="398" spans="1:24" ht="15.75" customHeight="1">
      <c r="A398" s="398"/>
      <c r="B398" s="398"/>
      <c r="C398" s="564"/>
      <c r="D398" s="564"/>
      <c r="E398" s="564"/>
      <c r="F398" s="564"/>
      <c r="G398" s="564"/>
      <c r="H398" s="564"/>
      <c r="I398" s="564"/>
      <c r="J398" s="564"/>
      <c r="K398" s="564"/>
      <c r="L398" s="564"/>
      <c r="M398" s="564"/>
      <c r="N398" s="564"/>
      <c r="O398" s="398"/>
      <c r="P398" s="398"/>
      <c r="Q398" s="398"/>
      <c r="R398" s="398"/>
      <c r="S398" s="398"/>
      <c r="T398" s="398"/>
      <c r="U398" s="398"/>
      <c r="V398" s="555"/>
      <c r="W398" s="555"/>
      <c r="X398" s="555"/>
    </row>
    <row r="399" spans="1:24" ht="15.75" customHeight="1">
      <c r="A399" s="398"/>
      <c r="B399" s="398"/>
      <c r="C399" s="564"/>
      <c r="D399" s="564"/>
      <c r="E399" s="564"/>
      <c r="F399" s="564"/>
      <c r="G399" s="564"/>
      <c r="H399" s="564"/>
      <c r="I399" s="564"/>
      <c r="J399" s="564"/>
      <c r="K399" s="564"/>
      <c r="L399" s="564"/>
      <c r="M399" s="564"/>
      <c r="N399" s="564"/>
      <c r="O399" s="398"/>
      <c r="P399" s="398"/>
      <c r="Q399" s="398"/>
      <c r="R399" s="398"/>
      <c r="S399" s="398"/>
      <c r="T399" s="398"/>
      <c r="U399" s="398"/>
      <c r="V399" s="555"/>
      <c r="W399" s="555"/>
      <c r="X399" s="555"/>
    </row>
    <row r="400" spans="1:24" ht="15.75" customHeight="1">
      <c r="A400" s="398"/>
      <c r="B400" s="398"/>
      <c r="C400" s="564"/>
      <c r="D400" s="564"/>
      <c r="E400" s="564"/>
      <c r="F400" s="564"/>
      <c r="G400" s="564"/>
      <c r="H400" s="564"/>
      <c r="I400" s="564"/>
      <c r="J400" s="564"/>
      <c r="K400" s="564"/>
      <c r="L400" s="564"/>
      <c r="M400" s="564"/>
      <c r="N400" s="564"/>
      <c r="O400" s="398"/>
      <c r="P400" s="398"/>
      <c r="Q400" s="398"/>
      <c r="R400" s="398"/>
      <c r="S400" s="398"/>
      <c r="T400" s="398"/>
      <c r="U400" s="398"/>
      <c r="V400" s="555"/>
      <c r="W400" s="555"/>
      <c r="X400" s="555"/>
    </row>
    <row r="401" spans="1:24" ht="15.75" customHeight="1">
      <c r="A401" s="398"/>
      <c r="B401" s="398"/>
      <c r="C401" s="564"/>
      <c r="D401" s="564"/>
      <c r="E401" s="564"/>
      <c r="F401" s="564"/>
      <c r="G401" s="564"/>
      <c r="H401" s="564"/>
      <c r="I401" s="564"/>
      <c r="J401" s="564"/>
      <c r="K401" s="564"/>
      <c r="L401" s="564"/>
      <c r="M401" s="564"/>
      <c r="N401" s="564"/>
      <c r="O401" s="398"/>
      <c r="P401" s="398"/>
      <c r="Q401" s="398"/>
      <c r="R401" s="398"/>
      <c r="S401" s="398"/>
      <c r="T401" s="398"/>
      <c r="U401" s="398"/>
      <c r="V401" s="555"/>
      <c r="W401" s="555"/>
      <c r="X401" s="555"/>
    </row>
    <row r="402" spans="1:24" ht="15.75" customHeight="1">
      <c r="A402" s="398"/>
      <c r="B402" s="398"/>
      <c r="C402" s="564"/>
      <c r="D402" s="564"/>
      <c r="E402" s="564"/>
      <c r="F402" s="564"/>
      <c r="G402" s="564"/>
      <c r="H402" s="564"/>
      <c r="I402" s="564"/>
      <c r="J402" s="564"/>
      <c r="K402" s="564"/>
      <c r="L402" s="564"/>
      <c r="M402" s="564"/>
      <c r="N402" s="564"/>
      <c r="O402" s="398"/>
      <c r="P402" s="398"/>
      <c r="Q402" s="398"/>
      <c r="R402" s="398"/>
      <c r="S402" s="398"/>
      <c r="T402" s="398"/>
      <c r="U402" s="398"/>
      <c r="V402" s="555"/>
      <c r="W402" s="555"/>
      <c r="X402" s="555"/>
    </row>
    <row r="403" spans="1:24" ht="15.75" customHeight="1">
      <c r="A403" s="398"/>
      <c r="B403" s="398"/>
      <c r="C403" s="564"/>
      <c r="D403" s="564"/>
      <c r="E403" s="564"/>
      <c r="F403" s="564"/>
      <c r="G403" s="564"/>
      <c r="H403" s="564"/>
      <c r="I403" s="564"/>
      <c r="J403" s="564"/>
      <c r="K403" s="564"/>
      <c r="L403" s="564"/>
      <c r="M403" s="564"/>
      <c r="N403" s="564"/>
      <c r="O403" s="398"/>
      <c r="P403" s="398"/>
      <c r="Q403" s="398"/>
      <c r="R403" s="398"/>
      <c r="S403" s="398"/>
      <c r="T403" s="398"/>
      <c r="U403" s="398"/>
      <c r="V403" s="555"/>
      <c r="W403" s="555"/>
      <c r="X403" s="555"/>
    </row>
    <row r="404" spans="1:24" ht="15.75" customHeight="1">
      <c r="A404" s="398"/>
      <c r="B404" s="398"/>
      <c r="C404" s="564"/>
      <c r="D404" s="564"/>
      <c r="E404" s="564"/>
      <c r="F404" s="564"/>
      <c r="G404" s="564"/>
      <c r="H404" s="564"/>
      <c r="I404" s="564"/>
      <c r="J404" s="564"/>
      <c r="K404" s="564"/>
      <c r="L404" s="564"/>
      <c r="M404" s="564"/>
      <c r="N404" s="564"/>
      <c r="O404" s="398"/>
      <c r="P404" s="398"/>
      <c r="Q404" s="398"/>
      <c r="R404" s="398"/>
      <c r="S404" s="398"/>
      <c r="T404" s="398"/>
      <c r="U404" s="398"/>
      <c r="V404" s="555"/>
      <c r="W404" s="555"/>
      <c r="X404" s="555"/>
    </row>
    <row r="405" spans="1:24" ht="15.75" customHeight="1">
      <c r="A405" s="398"/>
      <c r="B405" s="398"/>
      <c r="C405" s="564"/>
      <c r="D405" s="564"/>
      <c r="E405" s="564"/>
      <c r="F405" s="564"/>
      <c r="G405" s="564"/>
      <c r="H405" s="564"/>
      <c r="I405" s="564"/>
      <c r="J405" s="564"/>
      <c r="K405" s="564"/>
      <c r="L405" s="564"/>
      <c r="M405" s="564"/>
      <c r="N405" s="564"/>
      <c r="O405" s="398"/>
      <c r="P405" s="398"/>
      <c r="Q405" s="398"/>
      <c r="R405" s="398"/>
      <c r="S405" s="398"/>
      <c r="T405" s="398"/>
      <c r="U405" s="398"/>
      <c r="V405" s="555"/>
      <c r="W405" s="555"/>
      <c r="X405" s="555"/>
    </row>
    <row r="406" spans="1:24" ht="15.75" customHeight="1">
      <c r="A406" s="398"/>
      <c r="B406" s="398"/>
      <c r="C406" s="564"/>
      <c r="D406" s="564"/>
      <c r="E406" s="564"/>
      <c r="F406" s="564"/>
      <c r="G406" s="564"/>
      <c r="H406" s="564"/>
      <c r="I406" s="564"/>
      <c r="J406" s="564"/>
      <c r="K406" s="564"/>
      <c r="L406" s="564"/>
      <c r="M406" s="564"/>
      <c r="N406" s="564"/>
      <c r="O406" s="398"/>
      <c r="P406" s="398"/>
      <c r="Q406" s="398"/>
      <c r="R406" s="398"/>
      <c r="S406" s="398"/>
      <c r="T406" s="398"/>
      <c r="U406" s="398"/>
      <c r="V406" s="555"/>
      <c r="W406" s="555"/>
      <c r="X406" s="555"/>
    </row>
    <row r="407" spans="1:24" ht="15.75" customHeight="1">
      <c r="A407" s="398"/>
      <c r="B407" s="398"/>
      <c r="C407" s="564"/>
      <c r="D407" s="564"/>
      <c r="E407" s="564"/>
      <c r="F407" s="564"/>
      <c r="G407" s="564"/>
      <c r="H407" s="564"/>
      <c r="I407" s="564"/>
      <c r="J407" s="564"/>
      <c r="K407" s="564"/>
      <c r="L407" s="564"/>
      <c r="M407" s="564"/>
      <c r="N407" s="564"/>
      <c r="O407" s="398"/>
      <c r="P407" s="398"/>
      <c r="Q407" s="398"/>
      <c r="R407" s="398"/>
      <c r="S407" s="398"/>
      <c r="T407" s="398"/>
      <c r="U407" s="398"/>
      <c r="V407" s="555"/>
      <c r="W407" s="555"/>
      <c r="X407" s="555"/>
    </row>
    <row r="408" spans="1:24" ht="15.75" customHeight="1">
      <c r="A408" s="398"/>
      <c r="B408" s="398"/>
      <c r="C408" s="564"/>
      <c r="D408" s="564"/>
      <c r="E408" s="564"/>
      <c r="F408" s="564"/>
      <c r="G408" s="564"/>
      <c r="H408" s="564"/>
      <c r="I408" s="564"/>
      <c r="J408" s="564"/>
      <c r="K408" s="564"/>
      <c r="L408" s="564"/>
      <c r="M408" s="564"/>
      <c r="N408" s="564"/>
      <c r="O408" s="398"/>
      <c r="P408" s="398"/>
      <c r="Q408" s="398"/>
      <c r="R408" s="398"/>
      <c r="S408" s="398"/>
      <c r="T408" s="398"/>
      <c r="U408" s="398"/>
      <c r="V408" s="555"/>
      <c r="W408" s="555"/>
      <c r="X408" s="555"/>
    </row>
    <row r="409" spans="1:24" ht="15.75" customHeight="1">
      <c r="A409" s="398"/>
      <c r="B409" s="398"/>
      <c r="C409" s="564"/>
      <c r="D409" s="564"/>
      <c r="E409" s="564"/>
      <c r="F409" s="564"/>
      <c r="G409" s="564"/>
      <c r="H409" s="564"/>
      <c r="I409" s="564"/>
      <c r="J409" s="564"/>
      <c r="K409" s="564"/>
      <c r="L409" s="564"/>
      <c r="M409" s="564"/>
      <c r="N409" s="564"/>
      <c r="O409" s="398"/>
      <c r="P409" s="398"/>
      <c r="Q409" s="398"/>
      <c r="R409" s="398"/>
      <c r="S409" s="398"/>
      <c r="T409" s="398"/>
      <c r="U409" s="398"/>
      <c r="V409" s="555"/>
      <c r="W409" s="555"/>
      <c r="X409" s="555"/>
    </row>
    <row r="410" spans="1:24" ht="15.75" customHeight="1">
      <c r="A410" s="398"/>
      <c r="B410" s="398"/>
      <c r="C410" s="564"/>
      <c r="D410" s="564"/>
      <c r="E410" s="564"/>
      <c r="F410" s="564"/>
      <c r="G410" s="564"/>
      <c r="H410" s="564"/>
      <c r="I410" s="564"/>
      <c r="J410" s="564"/>
      <c r="K410" s="564"/>
      <c r="L410" s="564"/>
      <c r="M410" s="564"/>
      <c r="N410" s="564"/>
      <c r="O410" s="398"/>
      <c r="P410" s="398"/>
      <c r="Q410" s="398"/>
      <c r="R410" s="398"/>
      <c r="S410" s="398"/>
      <c r="T410" s="398"/>
      <c r="U410" s="398"/>
      <c r="V410" s="555"/>
      <c r="W410" s="555"/>
      <c r="X410" s="555"/>
    </row>
    <row r="411" spans="1:24" ht="15.75" customHeight="1">
      <c r="A411" s="398"/>
      <c r="B411" s="398"/>
      <c r="C411" s="564"/>
      <c r="D411" s="564"/>
      <c r="E411" s="564"/>
      <c r="F411" s="564"/>
      <c r="G411" s="564"/>
      <c r="H411" s="564"/>
      <c r="I411" s="564"/>
      <c r="J411" s="564"/>
      <c r="K411" s="564"/>
      <c r="L411" s="564"/>
      <c r="M411" s="564"/>
      <c r="N411" s="564"/>
      <c r="O411" s="398"/>
      <c r="P411" s="398"/>
      <c r="Q411" s="398"/>
      <c r="R411" s="398"/>
      <c r="S411" s="398"/>
      <c r="T411" s="398"/>
      <c r="U411" s="398"/>
      <c r="V411" s="555"/>
      <c r="W411" s="555"/>
      <c r="X411" s="555"/>
    </row>
    <row r="412" spans="1:24" ht="15.75" customHeight="1">
      <c r="A412" s="398"/>
      <c r="B412" s="398"/>
      <c r="C412" s="564"/>
      <c r="D412" s="564"/>
      <c r="E412" s="564"/>
      <c r="F412" s="564"/>
      <c r="G412" s="564"/>
      <c r="H412" s="564"/>
      <c r="I412" s="564"/>
      <c r="J412" s="564"/>
      <c r="K412" s="564"/>
      <c r="L412" s="564"/>
      <c r="M412" s="564"/>
      <c r="N412" s="564"/>
      <c r="O412" s="398"/>
      <c r="P412" s="398"/>
      <c r="Q412" s="398"/>
      <c r="R412" s="398"/>
      <c r="S412" s="398"/>
      <c r="T412" s="398"/>
      <c r="U412" s="398"/>
      <c r="V412" s="555"/>
      <c r="W412" s="555"/>
      <c r="X412" s="555"/>
    </row>
    <row r="413" spans="1:24" ht="15.75" customHeight="1">
      <c r="A413" s="398"/>
      <c r="B413" s="398"/>
      <c r="C413" s="564"/>
      <c r="D413" s="564"/>
      <c r="E413" s="564"/>
      <c r="F413" s="564"/>
      <c r="G413" s="564"/>
      <c r="H413" s="564"/>
      <c r="I413" s="564"/>
      <c r="J413" s="564"/>
      <c r="K413" s="564"/>
      <c r="L413" s="564"/>
      <c r="M413" s="564"/>
      <c r="N413" s="564"/>
      <c r="O413" s="398"/>
      <c r="P413" s="398"/>
      <c r="Q413" s="398"/>
      <c r="R413" s="398"/>
      <c r="S413" s="398"/>
      <c r="T413" s="398"/>
      <c r="U413" s="398"/>
      <c r="V413" s="555"/>
      <c r="W413" s="555"/>
      <c r="X413" s="555"/>
    </row>
    <row r="414" spans="1:24" ht="15.75" customHeight="1">
      <c r="A414" s="398"/>
      <c r="B414" s="398"/>
      <c r="C414" s="564"/>
      <c r="D414" s="564"/>
      <c r="E414" s="564"/>
      <c r="F414" s="564"/>
      <c r="G414" s="564"/>
      <c r="H414" s="564"/>
      <c r="I414" s="564"/>
      <c r="J414" s="564"/>
      <c r="K414" s="564"/>
      <c r="L414" s="564"/>
      <c r="M414" s="564"/>
      <c r="N414" s="564"/>
      <c r="O414" s="398"/>
      <c r="P414" s="398"/>
      <c r="Q414" s="398"/>
      <c r="R414" s="398"/>
      <c r="S414" s="398"/>
      <c r="T414" s="398"/>
      <c r="U414" s="398"/>
      <c r="V414" s="555"/>
      <c r="W414" s="555"/>
      <c r="X414" s="555"/>
    </row>
    <row r="415" spans="1:24" ht="15.75" customHeight="1">
      <c r="A415" s="398"/>
      <c r="B415" s="398"/>
      <c r="C415" s="564"/>
      <c r="D415" s="564"/>
      <c r="E415" s="564"/>
      <c r="F415" s="564"/>
      <c r="G415" s="564"/>
      <c r="H415" s="564"/>
      <c r="I415" s="564"/>
      <c r="J415" s="564"/>
      <c r="K415" s="564"/>
      <c r="L415" s="564"/>
      <c r="M415" s="564"/>
      <c r="N415" s="564"/>
      <c r="O415" s="398"/>
      <c r="P415" s="398"/>
      <c r="Q415" s="398"/>
      <c r="R415" s="398"/>
      <c r="S415" s="398"/>
      <c r="T415" s="398"/>
      <c r="U415" s="398"/>
      <c r="V415" s="555"/>
      <c r="W415" s="555"/>
      <c r="X415" s="555"/>
    </row>
    <row r="416" spans="1:24" ht="15.75" customHeight="1">
      <c r="A416" s="398"/>
      <c r="B416" s="398"/>
      <c r="C416" s="564"/>
      <c r="D416" s="564"/>
      <c r="E416" s="564"/>
      <c r="F416" s="564"/>
      <c r="G416" s="564"/>
      <c r="H416" s="564"/>
      <c r="I416" s="564"/>
      <c r="J416" s="564"/>
      <c r="K416" s="564"/>
      <c r="L416" s="564"/>
      <c r="M416" s="564"/>
      <c r="N416" s="564"/>
      <c r="O416" s="398"/>
      <c r="P416" s="398"/>
      <c r="Q416" s="398"/>
      <c r="R416" s="398"/>
      <c r="S416" s="398"/>
      <c r="T416" s="398"/>
      <c r="U416" s="398"/>
      <c r="V416" s="555"/>
      <c r="W416" s="555"/>
      <c r="X416" s="555"/>
    </row>
    <row r="417" spans="1:24" ht="15.75" customHeight="1">
      <c r="A417" s="398"/>
      <c r="B417" s="398"/>
      <c r="C417" s="564"/>
      <c r="D417" s="564"/>
      <c r="E417" s="564"/>
      <c r="F417" s="564"/>
      <c r="G417" s="564"/>
      <c r="H417" s="564"/>
      <c r="I417" s="564"/>
      <c r="J417" s="564"/>
      <c r="K417" s="564"/>
      <c r="L417" s="564"/>
      <c r="M417" s="564"/>
      <c r="N417" s="564"/>
      <c r="O417" s="398"/>
      <c r="P417" s="398"/>
      <c r="Q417" s="398"/>
      <c r="R417" s="398"/>
      <c r="S417" s="398"/>
      <c r="T417" s="398"/>
      <c r="U417" s="398"/>
      <c r="V417" s="555"/>
      <c r="W417" s="555"/>
      <c r="X417" s="555"/>
    </row>
    <row r="418" spans="1:24" ht="15.75" customHeight="1">
      <c r="A418" s="398"/>
      <c r="B418" s="398"/>
      <c r="C418" s="564"/>
      <c r="D418" s="564"/>
      <c r="E418" s="564"/>
      <c r="F418" s="564"/>
      <c r="G418" s="564"/>
      <c r="H418" s="564"/>
      <c r="I418" s="564"/>
      <c r="J418" s="564"/>
      <c r="K418" s="564"/>
      <c r="L418" s="564"/>
      <c r="M418" s="564"/>
      <c r="N418" s="564"/>
      <c r="O418" s="398"/>
      <c r="P418" s="398"/>
      <c r="Q418" s="398"/>
      <c r="R418" s="398"/>
      <c r="S418" s="398"/>
      <c r="T418" s="398"/>
      <c r="U418" s="398"/>
      <c r="V418" s="555"/>
      <c r="W418" s="555"/>
      <c r="X418" s="555"/>
    </row>
    <row r="419" spans="1:24" ht="15.75" customHeight="1">
      <c r="A419" s="398"/>
      <c r="B419" s="398"/>
      <c r="C419" s="564"/>
      <c r="D419" s="564"/>
      <c r="E419" s="564"/>
      <c r="F419" s="564"/>
      <c r="G419" s="564"/>
      <c r="H419" s="564"/>
      <c r="I419" s="564"/>
      <c r="J419" s="564"/>
      <c r="K419" s="564"/>
      <c r="L419" s="564"/>
      <c r="M419" s="564"/>
      <c r="N419" s="564"/>
      <c r="O419" s="398"/>
      <c r="P419" s="398"/>
      <c r="Q419" s="398"/>
      <c r="R419" s="398"/>
      <c r="S419" s="398"/>
      <c r="T419" s="398"/>
      <c r="U419" s="398"/>
      <c r="V419" s="555"/>
      <c r="W419" s="555"/>
      <c r="X419" s="555"/>
    </row>
    <row r="420" spans="1:24" ht="15.75" customHeight="1">
      <c r="A420" s="398"/>
      <c r="B420" s="398"/>
      <c r="C420" s="564"/>
      <c r="D420" s="564"/>
      <c r="E420" s="564"/>
      <c r="F420" s="564"/>
      <c r="G420" s="564"/>
      <c r="H420" s="564"/>
      <c r="I420" s="564"/>
      <c r="J420" s="564"/>
      <c r="K420" s="564"/>
      <c r="L420" s="564"/>
      <c r="M420" s="564"/>
      <c r="N420" s="564"/>
      <c r="O420" s="398"/>
      <c r="P420" s="398"/>
      <c r="Q420" s="398"/>
      <c r="R420" s="398"/>
      <c r="S420" s="398"/>
      <c r="T420" s="398"/>
      <c r="U420" s="398"/>
      <c r="V420" s="555"/>
      <c r="W420" s="555"/>
      <c r="X420" s="555"/>
    </row>
    <row r="421" spans="1:24" ht="15.75" customHeight="1">
      <c r="A421" s="398"/>
      <c r="B421" s="398"/>
      <c r="C421" s="564"/>
      <c r="D421" s="564"/>
      <c r="E421" s="564"/>
      <c r="F421" s="564"/>
      <c r="G421" s="564"/>
      <c r="H421" s="564"/>
      <c r="I421" s="564"/>
      <c r="J421" s="564"/>
      <c r="K421" s="564"/>
      <c r="L421" s="564"/>
      <c r="M421" s="564"/>
      <c r="N421" s="564"/>
      <c r="O421" s="398"/>
      <c r="P421" s="398"/>
      <c r="Q421" s="398"/>
      <c r="R421" s="398"/>
      <c r="S421" s="398"/>
      <c r="T421" s="398"/>
      <c r="U421" s="398"/>
      <c r="V421" s="555"/>
      <c r="W421" s="555"/>
      <c r="X421" s="555"/>
    </row>
    <row r="422" spans="1:24" ht="15.75" customHeight="1">
      <c r="A422" s="398"/>
      <c r="B422" s="398"/>
      <c r="C422" s="564"/>
      <c r="D422" s="564"/>
      <c r="E422" s="564"/>
      <c r="F422" s="564"/>
      <c r="G422" s="564"/>
      <c r="H422" s="564"/>
      <c r="I422" s="564"/>
      <c r="J422" s="564"/>
      <c r="K422" s="564"/>
      <c r="L422" s="564"/>
      <c r="M422" s="564"/>
      <c r="N422" s="564"/>
      <c r="O422" s="398"/>
      <c r="P422" s="398"/>
      <c r="Q422" s="398"/>
      <c r="R422" s="398"/>
      <c r="S422" s="398"/>
      <c r="T422" s="398"/>
      <c r="U422" s="398"/>
      <c r="V422" s="555"/>
      <c r="W422" s="555"/>
      <c r="X422" s="555"/>
    </row>
    <row r="423" spans="1:24" ht="15.75" customHeight="1">
      <c r="A423" s="398"/>
      <c r="B423" s="398"/>
      <c r="C423" s="564"/>
      <c r="D423" s="564"/>
      <c r="E423" s="564"/>
      <c r="F423" s="564"/>
      <c r="G423" s="564"/>
      <c r="H423" s="564"/>
      <c r="I423" s="564"/>
      <c r="J423" s="564"/>
      <c r="K423" s="564"/>
      <c r="L423" s="564"/>
      <c r="M423" s="564"/>
      <c r="N423" s="564"/>
      <c r="O423" s="398"/>
      <c r="P423" s="398"/>
      <c r="Q423" s="398"/>
      <c r="R423" s="398"/>
      <c r="S423" s="398"/>
      <c r="T423" s="398"/>
      <c r="U423" s="398"/>
      <c r="V423" s="555"/>
      <c r="W423" s="555"/>
      <c r="X423" s="555"/>
    </row>
    <row r="424" spans="1:24" ht="15.75" customHeight="1">
      <c r="A424" s="398"/>
      <c r="B424" s="398"/>
      <c r="C424" s="564"/>
      <c r="D424" s="564"/>
      <c r="E424" s="564"/>
      <c r="F424" s="564"/>
      <c r="G424" s="564"/>
      <c r="H424" s="564"/>
      <c r="I424" s="564"/>
      <c r="J424" s="564"/>
      <c r="K424" s="564"/>
      <c r="L424" s="564"/>
      <c r="M424" s="564"/>
      <c r="N424" s="564"/>
      <c r="O424" s="398"/>
      <c r="P424" s="398"/>
      <c r="Q424" s="398"/>
      <c r="R424" s="398"/>
      <c r="S424" s="398"/>
      <c r="T424" s="398"/>
      <c r="U424" s="398"/>
      <c r="V424" s="555"/>
      <c r="W424" s="555"/>
      <c r="X424" s="555"/>
    </row>
    <row r="425" spans="1:24" ht="15.75" customHeight="1">
      <c r="A425" s="398"/>
      <c r="B425" s="398"/>
      <c r="C425" s="564"/>
      <c r="D425" s="564"/>
      <c r="E425" s="564"/>
      <c r="F425" s="564"/>
      <c r="G425" s="564"/>
      <c r="H425" s="564"/>
      <c r="I425" s="564"/>
      <c r="J425" s="564"/>
      <c r="K425" s="564"/>
      <c r="L425" s="564"/>
      <c r="M425" s="564"/>
      <c r="N425" s="564"/>
      <c r="O425" s="398"/>
      <c r="P425" s="398"/>
      <c r="Q425" s="398"/>
      <c r="R425" s="398"/>
      <c r="S425" s="398"/>
      <c r="T425" s="398"/>
      <c r="U425" s="398"/>
      <c r="V425" s="555"/>
      <c r="W425" s="555"/>
      <c r="X425" s="555"/>
    </row>
    <row r="426" spans="1:24" ht="15.75" customHeight="1">
      <c r="A426" s="398"/>
      <c r="B426" s="398"/>
      <c r="C426" s="564"/>
      <c r="D426" s="564"/>
      <c r="E426" s="564"/>
      <c r="F426" s="564"/>
      <c r="G426" s="564"/>
      <c r="H426" s="564"/>
      <c r="I426" s="564"/>
      <c r="J426" s="564"/>
      <c r="K426" s="564"/>
      <c r="L426" s="564"/>
      <c r="M426" s="564"/>
      <c r="N426" s="564"/>
      <c r="O426" s="398"/>
      <c r="P426" s="398"/>
      <c r="Q426" s="398"/>
      <c r="R426" s="398"/>
      <c r="S426" s="398"/>
      <c r="T426" s="398"/>
      <c r="U426" s="398"/>
      <c r="V426" s="555"/>
      <c r="W426" s="555"/>
      <c r="X426" s="555"/>
    </row>
    <row r="427" spans="1:24" ht="15.75" customHeight="1">
      <c r="A427" s="398"/>
      <c r="B427" s="398"/>
      <c r="C427" s="564"/>
      <c r="D427" s="564"/>
      <c r="E427" s="564"/>
      <c r="F427" s="564"/>
      <c r="G427" s="564"/>
      <c r="H427" s="564"/>
      <c r="I427" s="564"/>
      <c r="J427" s="564"/>
      <c r="K427" s="564"/>
      <c r="L427" s="564"/>
      <c r="M427" s="564"/>
      <c r="N427" s="564"/>
      <c r="O427" s="398"/>
      <c r="P427" s="398"/>
      <c r="Q427" s="398"/>
      <c r="R427" s="398"/>
      <c r="S427" s="398"/>
      <c r="T427" s="398"/>
      <c r="U427" s="398"/>
      <c r="V427" s="555"/>
      <c r="W427" s="555"/>
      <c r="X427" s="555"/>
    </row>
    <row r="428" spans="1:24" ht="15.75" customHeight="1">
      <c r="A428" s="398"/>
      <c r="B428" s="398"/>
      <c r="C428" s="564"/>
      <c r="D428" s="564"/>
      <c r="E428" s="564"/>
      <c r="F428" s="564"/>
      <c r="G428" s="564"/>
      <c r="H428" s="564"/>
      <c r="I428" s="564"/>
      <c r="J428" s="564"/>
      <c r="K428" s="564"/>
      <c r="L428" s="564"/>
      <c r="M428" s="564"/>
      <c r="N428" s="564"/>
      <c r="O428" s="398"/>
      <c r="P428" s="398"/>
      <c r="Q428" s="398"/>
      <c r="R428" s="398"/>
      <c r="S428" s="398"/>
      <c r="T428" s="398"/>
      <c r="U428" s="398"/>
      <c r="V428" s="555"/>
      <c r="W428" s="555"/>
      <c r="X428" s="555"/>
    </row>
    <row r="429" spans="1:24" ht="15.75" customHeight="1">
      <c r="A429" s="398"/>
      <c r="B429" s="398"/>
      <c r="C429" s="564"/>
      <c r="D429" s="564"/>
      <c r="E429" s="564"/>
      <c r="F429" s="564"/>
      <c r="G429" s="564"/>
      <c r="H429" s="564"/>
      <c r="I429" s="564"/>
      <c r="J429" s="564"/>
      <c r="K429" s="564"/>
      <c r="L429" s="564"/>
      <c r="M429" s="564"/>
      <c r="N429" s="564"/>
      <c r="O429" s="398"/>
      <c r="P429" s="398"/>
      <c r="Q429" s="398"/>
      <c r="R429" s="398"/>
      <c r="S429" s="398"/>
      <c r="T429" s="398"/>
      <c r="U429" s="398"/>
      <c r="V429" s="555"/>
      <c r="W429" s="555"/>
      <c r="X429" s="555"/>
    </row>
    <row r="430" spans="1:24" ht="15.75" customHeight="1">
      <c r="A430" s="398"/>
      <c r="B430" s="398"/>
      <c r="C430" s="564"/>
      <c r="D430" s="564"/>
      <c r="E430" s="564"/>
      <c r="F430" s="564"/>
      <c r="G430" s="564"/>
      <c r="H430" s="564"/>
      <c r="I430" s="564"/>
      <c r="J430" s="564"/>
      <c r="K430" s="564"/>
      <c r="L430" s="564"/>
      <c r="M430" s="564"/>
      <c r="N430" s="564"/>
      <c r="O430" s="398"/>
      <c r="P430" s="398"/>
      <c r="Q430" s="398"/>
      <c r="R430" s="398"/>
      <c r="S430" s="398"/>
      <c r="T430" s="398"/>
      <c r="U430" s="398"/>
      <c r="V430" s="555"/>
      <c r="W430" s="555"/>
      <c r="X430" s="555"/>
    </row>
    <row r="431" spans="1:24" ht="15.75" customHeight="1">
      <c r="A431" s="398"/>
      <c r="B431" s="398"/>
      <c r="C431" s="564"/>
      <c r="D431" s="564"/>
      <c r="E431" s="564"/>
      <c r="F431" s="564"/>
      <c r="G431" s="564"/>
      <c r="H431" s="564"/>
      <c r="I431" s="564"/>
      <c r="J431" s="564"/>
      <c r="K431" s="564"/>
      <c r="L431" s="564"/>
      <c r="M431" s="564"/>
      <c r="N431" s="564"/>
      <c r="O431" s="398"/>
      <c r="P431" s="398"/>
      <c r="Q431" s="398"/>
      <c r="R431" s="398"/>
      <c r="S431" s="398"/>
      <c r="T431" s="398"/>
      <c r="U431" s="398"/>
      <c r="V431" s="555"/>
      <c r="W431" s="555"/>
      <c r="X431" s="555"/>
    </row>
    <row r="432" spans="1:24" ht="15.75" customHeight="1">
      <c r="A432" s="398"/>
      <c r="B432" s="398"/>
      <c r="C432" s="564"/>
      <c r="D432" s="564"/>
      <c r="E432" s="564"/>
      <c r="F432" s="564"/>
      <c r="G432" s="564"/>
      <c r="H432" s="564"/>
      <c r="I432" s="564"/>
      <c r="J432" s="564"/>
      <c r="K432" s="564"/>
      <c r="L432" s="564"/>
      <c r="M432" s="564"/>
      <c r="N432" s="564"/>
      <c r="O432" s="398"/>
      <c r="P432" s="398"/>
      <c r="Q432" s="398"/>
      <c r="R432" s="398"/>
      <c r="S432" s="398"/>
      <c r="T432" s="398"/>
      <c r="U432" s="398"/>
      <c r="V432" s="555"/>
      <c r="W432" s="555"/>
      <c r="X432" s="555"/>
    </row>
    <row r="433" spans="1:24" ht="15.75" customHeight="1">
      <c r="A433" s="398"/>
      <c r="B433" s="398"/>
      <c r="C433" s="564"/>
      <c r="D433" s="564"/>
      <c r="E433" s="564"/>
      <c r="F433" s="564"/>
      <c r="G433" s="564"/>
      <c r="H433" s="564"/>
      <c r="I433" s="564"/>
      <c r="J433" s="564"/>
      <c r="K433" s="564"/>
      <c r="L433" s="564"/>
      <c r="M433" s="564"/>
      <c r="N433" s="564"/>
      <c r="O433" s="398"/>
      <c r="P433" s="398"/>
      <c r="Q433" s="398"/>
      <c r="R433" s="398"/>
      <c r="S433" s="398"/>
      <c r="T433" s="398"/>
      <c r="U433" s="398"/>
      <c r="V433" s="555"/>
      <c r="W433" s="555"/>
      <c r="X433" s="555"/>
    </row>
    <row r="434" spans="1:24" ht="15.75" customHeight="1">
      <c r="A434" s="398"/>
      <c r="B434" s="398"/>
      <c r="C434" s="564"/>
      <c r="D434" s="564"/>
      <c r="E434" s="564"/>
      <c r="F434" s="564"/>
      <c r="G434" s="564"/>
      <c r="H434" s="564"/>
      <c r="I434" s="564"/>
      <c r="J434" s="564"/>
      <c r="K434" s="564"/>
      <c r="L434" s="564"/>
      <c r="M434" s="564"/>
      <c r="N434" s="564"/>
      <c r="O434" s="398"/>
      <c r="P434" s="398"/>
      <c r="Q434" s="398"/>
      <c r="R434" s="398"/>
      <c r="S434" s="398"/>
      <c r="T434" s="398"/>
      <c r="U434" s="398"/>
      <c r="V434" s="555"/>
      <c r="W434" s="555"/>
      <c r="X434" s="555"/>
    </row>
    <row r="435" spans="1:24" ht="15.75" customHeight="1">
      <c r="A435" s="398"/>
      <c r="B435" s="398"/>
      <c r="C435" s="564"/>
      <c r="D435" s="564"/>
      <c r="E435" s="564"/>
      <c r="F435" s="564"/>
      <c r="G435" s="564"/>
      <c r="H435" s="564"/>
      <c r="I435" s="564"/>
      <c r="J435" s="564"/>
      <c r="K435" s="564"/>
      <c r="L435" s="564"/>
      <c r="M435" s="564"/>
      <c r="N435" s="564"/>
      <c r="O435" s="398"/>
      <c r="P435" s="398"/>
      <c r="Q435" s="398"/>
      <c r="R435" s="398"/>
      <c r="S435" s="398"/>
      <c r="T435" s="398"/>
      <c r="U435" s="398"/>
      <c r="V435" s="555"/>
      <c r="W435" s="555"/>
      <c r="X435" s="555"/>
    </row>
    <row r="436" spans="1:24" ht="15.75" customHeight="1">
      <c r="A436" s="398"/>
      <c r="B436" s="398"/>
      <c r="C436" s="564"/>
      <c r="D436" s="564"/>
      <c r="E436" s="564"/>
      <c r="F436" s="564"/>
      <c r="G436" s="564"/>
      <c r="H436" s="564"/>
      <c r="I436" s="564"/>
      <c r="J436" s="564"/>
      <c r="K436" s="564"/>
      <c r="L436" s="564"/>
      <c r="M436" s="564"/>
      <c r="N436" s="564"/>
      <c r="O436" s="398"/>
      <c r="P436" s="398"/>
      <c r="Q436" s="398"/>
      <c r="R436" s="398"/>
      <c r="S436" s="398"/>
      <c r="T436" s="398"/>
      <c r="U436" s="398"/>
      <c r="V436" s="555"/>
      <c r="W436" s="555"/>
      <c r="X436" s="555"/>
    </row>
    <row r="437" spans="1:24" ht="15.75" customHeight="1">
      <c r="A437" s="398"/>
      <c r="B437" s="398"/>
      <c r="C437" s="564"/>
      <c r="D437" s="564"/>
      <c r="E437" s="564"/>
      <c r="F437" s="564"/>
      <c r="G437" s="564"/>
      <c r="H437" s="564"/>
      <c r="I437" s="564"/>
      <c r="J437" s="564"/>
      <c r="K437" s="564"/>
      <c r="L437" s="564"/>
      <c r="M437" s="564"/>
      <c r="N437" s="564"/>
      <c r="O437" s="398"/>
      <c r="P437" s="398"/>
      <c r="Q437" s="398"/>
      <c r="R437" s="398"/>
      <c r="S437" s="398"/>
      <c r="T437" s="398"/>
      <c r="U437" s="398"/>
      <c r="V437" s="555"/>
      <c r="W437" s="555"/>
      <c r="X437" s="555"/>
    </row>
    <row r="438" spans="1:24" ht="15.75" customHeight="1">
      <c r="A438" s="398"/>
      <c r="B438" s="398"/>
      <c r="C438" s="564"/>
      <c r="D438" s="564"/>
      <c r="E438" s="564"/>
      <c r="F438" s="564"/>
      <c r="G438" s="564"/>
      <c r="H438" s="564"/>
      <c r="I438" s="564"/>
      <c r="J438" s="564"/>
      <c r="K438" s="564"/>
      <c r="L438" s="564"/>
      <c r="M438" s="564"/>
      <c r="N438" s="564"/>
      <c r="O438" s="398"/>
      <c r="P438" s="398"/>
      <c r="Q438" s="398"/>
      <c r="R438" s="398"/>
      <c r="S438" s="398"/>
      <c r="T438" s="398"/>
      <c r="U438" s="398"/>
      <c r="V438" s="555"/>
      <c r="W438" s="555"/>
      <c r="X438" s="555"/>
    </row>
    <row r="439" spans="1:24" ht="15.75" customHeight="1">
      <c r="A439" s="398"/>
      <c r="B439" s="398"/>
      <c r="C439" s="564"/>
      <c r="D439" s="564"/>
      <c r="E439" s="564"/>
      <c r="F439" s="564"/>
      <c r="G439" s="564"/>
      <c r="H439" s="564"/>
      <c r="I439" s="564"/>
      <c r="J439" s="564"/>
      <c r="K439" s="564"/>
      <c r="L439" s="564"/>
      <c r="M439" s="564"/>
      <c r="N439" s="564"/>
      <c r="O439" s="398"/>
      <c r="P439" s="398"/>
      <c r="Q439" s="398"/>
      <c r="R439" s="398"/>
      <c r="S439" s="398"/>
      <c r="T439" s="398"/>
      <c r="U439" s="398"/>
      <c r="V439" s="555"/>
      <c r="W439" s="555"/>
      <c r="X439" s="555"/>
    </row>
    <row r="440" spans="1:24" ht="15.75" customHeight="1">
      <c r="A440" s="398"/>
      <c r="B440" s="398"/>
      <c r="C440" s="564"/>
      <c r="D440" s="564"/>
      <c r="E440" s="564"/>
      <c r="F440" s="564"/>
      <c r="G440" s="564"/>
      <c r="H440" s="564"/>
      <c r="I440" s="564"/>
      <c r="J440" s="564"/>
      <c r="K440" s="564"/>
      <c r="L440" s="564"/>
      <c r="M440" s="564"/>
      <c r="N440" s="564"/>
      <c r="O440" s="398"/>
      <c r="P440" s="398"/>
      <c r="Q440" s="398"/>
      <c r="R440" s="398"/>
      <c r="S440" s="398"/>
      <c r="T440" s="398"/>
      <c r="U440" s="398"/>
      <c r="V440" s="555"/>
      <c r="W440" s="555"/>
      <c r="X440" s="555"/>
    </row>
    <row r="441" spans="1:24" ht="15.75" customHeight="1">
      <c r="A441" s="398"/>
      <c r="B441" s="398"/>
      <c r="C441" s="564"/>
      <c r="D441" s="564"/>
      <c r="E441" s="564"/>
      <c r="F441" s="564"/>
      <c r="G441" s="564"/>
      <c r="H441" s="564"/>
      <c r="I441" s="564"/>
      <c r="J441" s="564"/>
      <c r="K441" s="564"/>
      <c r="L441" s="564"/>
      <c r="M441" s="564"/>
      <c r="N441" s="564"/>
      <c r="O441" s="398"/>
      <c r="P441" s="398"/>
      <c r="Q441" s="398"/>
      <c r="R441" s="398"/>
      <c r="S441" s="398"/>
      <c r="T441" s="398"/>
      <c r="U441" s="398"/>
      <c r="V441" s="555"/>
      <c r="W441" s="555"/>
      <c r="X441" s="555"/>
    </row>
    <row r="442" spans="1:24" ht="15.75" customHeight="1">
      <c r="A442" s="398"/>
      <c r="B442" s="398"/>
      <c r="C442" s="564"/>
      <c r="D442" s="564"/>
      <c r="E442" s="564"/>
      <c r="F442" s="564"/>
      <c r="G442" s="564"/>
      <c r="H442" s="564"/>
      <c r="I442" s="564"/>
      <c r="J442" s="564"/>
      <c r="K442" s="564"/>
      <c r="L442" s="564"/>
      <c r="M442" s="564"/>
      <c r="N442" s="564"/>
      <c r="O442" s="398"/>
      <c r="P442" s="398"/>
      <c r="Q442" s="398"/>
      <c r="R442" s="398"/>
      <c r="S442" s="398"/>
      <c r="T442" s="398"/>
      <c r="U442" s="398"/>
      <c r="V442" s="555"/>
      <c r="W442" s="555"/>
      <c r="X442" s="555"/>
    </row>
    <row r="443" spans="1:24" ht="15.75" customHeight="1">
      <c r="A443" s="398"/>
      <c r="B443" s="398"/>
      <c r="C443" s="564"/>
      <c r="D443" s="564"/>
      <c r="E443" s="564"/>
      <c r="F443" s="564"/>
      <c r="G443" s="564"/>
      <c r="H443" s="564"/>
      <c r="I443" s="564"/>
      <c r="J443" s="564"/>
      <c r="K443" s="564"/>
      <c r="L443" s="564"/>
      <c r="M443" s="564"/>
      <c r="N443" s="564"/>
      <c r="O443" s="398"/>
      <c r="P443" s="398"/>
      <c r="Q443" s="398"/>
      <c r="R443" s="398"/>
      <c r="S443" s="398"/>
      <c r="T443" s="398"/>
      <c r="U443" s="398"/>
      <c r="V443" s="555"/>
      <c r="W443" s="555"/>
      <c r="X443" s="555"/>
    </row>
    <row r="444" spans="1:24" ht="15.75" customHeight="1">
      <c r="A444" s="398"/>
      <c r="B444" s="398"/>
      <c r="C444" s="564"/>
      <c r="D444" s="564"/>
      <c r="E444" s="564"/>
      <c r="F444" s="564"/>
      <c r="G444" s="564"/>
      <c r="H444" s="564"/>
      <c r="I444" s="564"/>
      <c r="J444" s="564"/>
      <c r="K444" s="564"/>
      <c r="L444" s="564"/>
      <c r="M444" s="564"/>
      <c r="N444" s="564"/>
      <c r="O444" s="398"/>
      <c r="P444" s="398"/>
      <c r="Q444" s="398"/>
      <c r="R444" s="398"/>
      <c r="S444" s="398"/>
      <c r="T444" s="398"/>
      <c r="U444" s="398"/>
      <c r="V444" s="555"/>
      <c r="W444" s="555"/>
      <c r="X444" s="555"/>
    </row>
    <row r="445" spans="1:24" ht="15.75" customHeight="1">
      <c r="A445" s="398"/>
      <c r="B445" s="398"/>
      <c r="C445" s="564"/>
      <c r="D445" s="564"/>
      <c r="E445" s="564"/>
      <c r="F445" s="564"/>
      <c r="G445" s="564"/>
      <c r="H445" s="564"/>
      <c r="I445" s="564"/>
      <c r="J445" s="564"/>
      <c r="K445" s="564"/>
      <c r="L445" s="564"/>
      <c r="M445" s="564"/>
      <c r="N445" s="564"/>
      <c r="O445" s="398"/>
      <c r="P445" s="398"/>
      <c r="Q445" s="398"/>
      <c r="R445" s="398"/>
      <c r="S445" s="398"/>
      <c r="T445" s="398"/>
      <c r="U445" s="398"/>
      <c r="V445" s="555"/>
      <c r="W445" s="555"/>
      <c r="X445" s="555"/>
    </row>
    <row r="446" spans="1:24" ht="15.75" customHeight="1">
      <c r="A446" s="398"/>
      <c r="B446" s="398"/>
      <c r="C446" s="564"/>
      <c r="D446" s="564"/>
      <c r="E446" s="564"/>
      <c r="F446" s="564"/>
      <c r="G446" s="564"/>
      <c r="H446" s="564"/>
      <c r="I446" s="564"/>
      <c r="J446" s="564"/>
      <c r="K446" s="564"/>
      <c r="L446" s="564"/>
      <c r="M446" s="564"/>
      <c r="N446" s="564"/>
      <c r="O446" s="398"/>
      <c r="P446" s="398"/>
      <c r="Q446" s="398"/>
      <c r="R446" s="398"/>
      <c r="S446" s="398"/>
      <c r="T446" s="398"/>
      <c r="U446" s="398"/>
      <c r="V446" s="555"/>
      <c r="W446" s="555"/>
      <c r="X446" s="555"/>
    </row>
    <row r="447" spans="1:24" ht="15.75" customHeight="1">
      <c r="A447" s="398"/>
      <c r="B447" s="398"/>
      <c r="C447" s="564"/>
      <c r="D447" s="564"/>
      <c r="E447" s="564"/>
      <c r="F447" s="564"/>
      <c r="G447" s="564"/>
      <c r="H447" s="564"/>
      <c r="I447" s="564"/>
      <c r="J447" s="564"/>
      <c r="K447" s="564"/>
      <c r="L447" s="564"/>
      <c r="M447" s="564"/>
      <c r="N447" s="564"/>
      <c r="O447" s="398"/>
      <c r="P447" s="398"/>
      <c r="Q447" s="398"/>
      <c r="R447" s="398"/>
      <c r="S447" s="398"/>
      <c r="T447" s="398"/>
      <c r="U447" s="398"/>
      <c r="V447" s="555"/>
      <c r="W447" s="555"/>
      <c r="X447" s="555"/>
    </row>
    <row r="448" spans="1:24" ht="15.75" customHeight="1">
      <c r="A448" s="398"/>
      <c r="B448" s="398"/>
      <c r="C448" s="564"/>
      <c r="D448" s="564"/>
      <c r="E448" s="564"/>
      <c r="F448" s="564"/>
      <c r="G448" s="564"/>
      <c r="H448" s="564"/>
      <c r="I448" s="564"/>
      <c r="J448" s="564"/>
      <c r="K448" s="564"/>
      <c r="L448" s="564"/>
      <c r="M448" s="564"/>
      <c r="N448" s="564"/>
      <c r="O448" s="398"/>
      <c r="P448" s="398"/>
      <c r="Q448" s="398"/>
      <c r="R448" s="398"/>
      <c r="S448" s="398"/>
      <c r="T448" s="398"/>
      <c r="U448" s="398"/>
      <c r="V448" s="555"/>
      <c r="W448" s="555"/>
      <c r="X448" s="555"/>
    </row>
    <row r="449" spans="1:24" ht="15.75" customHeight="1">
      <c r="A449" s="398"/>
      <c r="B449" s="398"/>
      <c r="C449" s="564"/>
      <c r="D449" s="564"/>
      <c r="E449" s="564"/>
      <c r="F449" s="564"/>
      <c r="G449" s="564"/>
      <c r="H449" s="564"/>
      <c r="I449" s="564"/>
      <c r="J449" s="564"/>
      <c r="K449" s="564"/>
      <c r="L449" s="564"/>
      <c r="M449" s="564"/>
      <c r="N449" s="564"/>
      <c r="O449" s="398"/>
      <c r="P449" s="398"/>
      <c r="Q449" s="398"/>
      <c r="R449" s="398"/>
      <c r="S449" s="398"/>
      <c r="T449" s="398"/>
      <c r="U449" s="398"/>
      <c r="V449" s="555"/>
      <c r="W449" s="555"/>
      <c r="X449" s="555"/>
    </row>
    <row r="450" spans="1:24" ht="15.75" customHeight="1">
      <c r="A450" s="398"/>
      <c r="B450" s="398"/>
      <c r="C450" s="564"/>
      <c r="D450" s="564"/>
      <c r="E450" s="564"/>
      <c r="F450" s="564"/>
      <c r="G450" s="564"/>
      <c r="H450" s="564"/>
      <c r="I450" s="564"/>
      <c r="J450" s="564"/>
      <c r="K450" s="564"/>
      <c r="L450" s="564"/>
      <c r="M450" s="564"/>
      <c r="N450" s="564"/>
      <c r="O450" s="398"/>
      <c r="P450" s="398"/>
      <c r="Q450" s="398"/>
      <c r="R450" s="398"/>
      <c r="S450" s="398"/>
      <c r="T450" s="398"/>
      <c r="U450" s="398"/>
      <c r="V450" s="555"/>
      <c r="W450" s="555"/>
      <c r="X450" s="555"/>
    </row>
    <row r="451" spans="1:24" ht="15.75" customHeight="1">
      <c r="A451" s="398"/>
      <c r="B451" s="398"/>
      <c r="C451" s="564"/>
      <c r="D451" s="564"/>
      <c r="E451" s="564"/>
      <c r="F451" s="564"/>
      <c r="G451" s="564"/>
      <c r="H451" s="564"/>
      <c r="I451" s="564"/>
      <c r="J451" s="564"/>
      <c r="K451" s="564"/>
      <c r="L451" s="564"/>
      <c r="M451" s="564"/>
      <c r="N451" s="564"/>
      <c r="O451" s="398"/>
      <c r="P451" s="398"/>
      <c r="Q451" s="398"/>
      <c r="R451" s="398"/>
      <c r="S451" s="398"/>
      <c r="T451" s="398"/>
      <c r="U451" s="398"/>
      <c r="V451" s="555"/>
      <c r="W451" s="555"/>
      <c r="X451" s="555"/>
    </row>
    <row r="452" spans="1:24" ht="15.75" customHeight="1">
      <c r="A452" s="398"/>
      <c r="B452" s="398"/>
      <c r="C452" s="564"/>
      <c r="D452" s="564"/>
      <c r="E452" s="564"/>
      <c r="F452" s="564"/>
      <c r="G452" s="564"/>
      <c r="H452" s="564"/>
      <c r="I452" s="564"/>
      <c r="J452" s="564"/>
      <c r="K452" s="564"/>
      <c r="L452" s="564"/>
      <c r="M452" s="564"/>
      <c r="N452" s="564"/>
      <c r="O452" s="398"/>
      <c r="P452" s="398"/>
      <c r="Q452" s="398"/>
      <c r="R452" s="398"/>
      <c r="S452" s="398"/>
      <c r="T452" s="398"/>
      <c r="U452" s="398"/>
      <c r="V452" s="555"/>
      <c r="W452" s="555"/>
      <c r="X452" s="555"/>
    </row>
    <row r="453" spans="1:24" ht="15.75" customHeight="1">
      <c r="A453" s="398"/>
      <c r="B453" s="398"/>
      <c r="C453" s="564"/>
      <c r="D453" s="564"/>
      <c r="E453" s="564"/>
      <c r="F453" s="564"/>
      <c r="G453" s="564"/>
      <c r="H453" s="564"/>
      <c r="I453" s="564"/>
      <c r="J453" s="564"/>
      <c r="K453" s="564"/>
      <c r="L453" s="564"/>
      <c r="M453" s="564"/>
      <c r="N453" s="564"/>
      <c r="O453" s="398"/>
      <c r="P453" s="398"/>
      <c r="Q453" s="398"/>
      <c r="R453" s="398"/>
      <c r="S453" s="398"/>
      <c r="T453" s="398"/>
      <c r="U453" s="398"/>
      <c r="V453" s="555"/>
      <c r="W453" s="555"/>
      <c r="X453" s="555"/>
    </row>
    <row r="454" spans="1:24" ht="15.75" customHeight="1">
      <c r="A454" s="398"/>
      <c r="B454" s="398"/>
      <c r="C454" s="564"/>
      <c r="D454" s="564"/>
      <c r="E454" s="564"/>
      <c r="F454" s="564"/>
      <c r="G454" s="564"/>
      <c r="H454" s="564"/>
      <c r="I454" s="564"/>
      <c r="J454" s="564"/>
      <c r="K454" s="564"/>
      <c r="L454" s="564"/>
      <c r="M454" s="564"/>
      <c r="N454" s="564"/>
      <c r="O454" s="398"/>
      <c r="P454" s="398"/>
      <c r="Q454" s="398"/>
      <c r="R454" s="398"/>
      <c r="S454" s="398"/>
      <c r="T454" s="398"/>
      <c r="U454" s="398"/>
      <c r="V454" s="555"/>
      <c r="W454" s="555"/>
      <c r="X454" s="555"/>
    </row>
    <row r="455" spans="1:24" ht="15.75" customHeight="1">
      <c r="A455" s="398"/>
      <c r="B455" s="398"/>
      <c r="C455" s="564"/>
      <c r="D455" s="564"/>
      <c r="E455" s="564"/>
      <c r="F455" s="564"/>
      <c r="G455" s="564"/>
      <c r="H455" s="564"/>
      <c r="I455" s="564"/>
      <c r="J455" s="564"/>
      <c r="K455" s="564"/>
      <c r="L455" s="564"/>
      <c r="M455" s="564"/>
      <c r="N455" s="564"/>
      <c r="O455" s="398"/>
      <c r="P455" s="398"/>
      <c r="Q455" s="398"/>
      <c r="R455" s="398"/>
      <c r="S455" s="398"/>
      <c r="T455" s="398"/>
      <c r="U455" s="398"/>
      <c r="V455" s="555"/>
      <c r="W455" s="555"/>
      <c r="X455" s="555"/>
    </row>
    <row r="456" spans="1:24" ht="15.75" customHeight="1">
      <c r="A456" s="398"/>
      <c r="B456" s="398"/>
      <c r="C456" s="564"/>
      <c r="D456" s="564"/>
      <c r="E456" s="564"/>
      <c r="F456" s="564"/>
      <c r="G456" s="564"/>
      <c r="H456" s="564"/>
      <c r="I456" s="564"/>
      <c r="J456" s="564"/>
      <c r="K456" s="564"/>
      <c r="L456" s="564"/>
      <c r="M456" s="564"/>
      <c r="N456" s="564"/>
      <c r="O456" s="398"/>
      <c r="P456" s="398"/>
      <c r="Q456" s="398"/>
      <c r="R456" s="398"/>
      <c r="S456" s="398"/>
      <c r="T456" s="398"/>
      <c r="U456" s="398"/>
      <c r="V456" s="555"/>
      <c r="W456" s="555"/>
      <c r="X456" s="555"/>
    </row>
    <row r="457" spans="1:24" ht="15.75" customHeight="1">
      <c r="A457" s="398"/>
      <c r="B457" s="398"/>
      <c r="C457" s="564"/>
      <c r="D457" s="564"/>
      <c r="E457" s="564"/>
      <c r="F457" s="564"/>
      <c r="G457" s="564"/>
      <c r="H457" s="564"/>
      <c r="I457" s="564"/>
      <c r="J457" s="564"/>
      <c r="K457" s="564"/>
      <c r="L457" s="564"/>
      <c r="M457" s="564"/>
      <c r="N457" s="564"/>
      <c r="O457" s="398"/>
      <c r="P457" s="398"/>
      <c r="Q457" s="398"/>
      <c r="R457" s="398"/>
      <c r="S457" s="398"/>
      <c r="T457" s="398"/>
      <c r="U457" s="398"/>
      <c r="V457" s="555"/>
      <c r="W457" s="555"/>
      <c r="X457" s="555"/>
    </row>
    <row r="458" spans="1:24" ht="15.75" customHeight="1">
      <c r="A458" s="487"/>
      <c r="B458" s="487"/>
      <c r="C458" s="607"/>
      <c r="D458" s="607"/>
      <c r="E458" s="607"/>
      <c r="F458" s="607"/>
      <c r="G458" s="607"/>
      <c r="H458" s="607"/>
      <c r="I458" s="607"/>
      <c r="J458" s="607"/>
      <c r="K458" s="607"/>
      <c r="L458" s="607"/>
      <c r="M458" s="607"/>
      <c r="N458" s="607"/>
      <c r="O458" s="487"/>
      <c r="P458" s="487"/>
      <c r="Q458" s="487"/>
      <c r="R458" s="487"/>
      <c r="S458" s="487"/>
      <c r="T458" s="487"/>
      <c r="U458" s="487"/>
    </row>
    <row r="459" spans="1:24" ht="15.75" customHeight="1">
      <c r="A459" s="487"/>
      <c r="B459" s="487"/>
      <c r="C459" s="607"/>
      <c r="D459" s="607"/>
      <c r="E459" s="607"/>
      <c r="F459" s="607"/>
      <c r="G459" s="607"/>
      <c r="H459" s="607"/>
      <c r="I459" s="607"/>
      <c r="J459" s="607"/>
      <c r="K459" s="607"/>
      <c r="L459" s="607"/>
      <c r="M459" s="607"/>
      <c r="N459" s="607"/>
      <c r="O459" s="487"/>
      <c r="P459" s="487"/>
      <c r="Q459" s="487"/>
      <c r="R459" s="487"/>
      <c r="S459" s="487"/>
      <c r="T459" s="487"/>
      <c r="U459" s="487"/>
    </row>
    <row r="460" spans="1:24" ht="15.75" customHeight="1">
      <c r="A460" s="487"/>
      <c r="B460" s="487"/>
      <c r="C460" s="607"/>
      <c r="D460" s="607"/>
      <c r="E460" s="607"/>
      <c r="F460" s="607"/>
      <c r="G460" s="607"/>
      <c r="H460" s="607"/>
      <c r="I460" s="607"/>
      <c r="J460" s="607"/>
      <c r="K460" s="607"/>
      <c r="L460" s="607"/>
      <c r="M460" s="607"/>
      <c r="N460" s="607"/>
      <c r="O460" s="487"/>
      <c r="P460" s="487"/>
      <c r="Q460" s="487"/>
      <c r="R460" s="487"/>
      <c r="S460" s="487"/>
      <c r="T460" s="487"/>
      <c r="U460" s="487"/>
    </row>
    <row r="461" spans="1:24" ht="15.75" customHeight="1">
      <c r="A461" s="487"/>
      <c r="B461" s="487"/>
      <c r="C461" s="607"/>
      <c r="D461" s="607"/>
      <c r="E461" s="607"/>
      <c r="F461" s="607"/>
      <c r="G461" s="607"/>
      <c r="H461" s="607"/>
      <c r="I461" s="607"/>
      <c r="J461" s="607"/>
      <c r="K461" s="607"/>
      <c r="L461" s="607"/>
      <c r="M461" s="607"/>
      <c r="N461" s="607"/>
      <c r="O461" s="487"/>
      <c r="P461" s="487"/>
      <c r="Q461" s="487"/>
      <c r="R461" s="487"/>
      <c r="S461" s="487"/>
      <c r="T461" s="487"/>
      <c r="U461" s="487"/>
    </row>
    <row r="462" spans="1:24" ht="15.75" customHeight="1">
      <c r="A462" s="487"/>
      <c r="B462" s="487"/>
      <c r="C462" s="607"/>
      <c r="D462" s="607"/>
      <c r="E462" s="607"/>
      <c r="F462" s="607"/>
      <c r="G462" s="607"/>
      <c r="H462" s="607"/>
      <c r="I462" s="607"/>
      <c r="J462" s="607"/>
      <c r="K462" s="607"/>
      <c r="L462" s="607"/>
      <c r="M462" s="607"/>
      <c r="N462" s="607"/>
      <c r="O462" s="487"/>
      <c r="P462" s="487"/>
      <c r="Q462" s="487"/>
      <c r="R462" s="487"/>
      <c r="S462" s="487"/>
      <c r="T462" s="487"/>
      <c r="U462" s="487"/>
    </row>
    <row r="463" spans="1:24" ht="15.75" customHeight="1">
      <c r="A463" s="487"/>
      <c r="B463" s="487"/>
      <c r="C463" s="607"/>
      <c r="D463" s="607"/>
      <c r="E463" s="607"/>
      <c r="F463" s="607"/>
      <c r="G463" s="607"/>
      <c r="H463" s="607"/>
      <c r="I463" s="607"/>
      <c r="J463" s="607"/>
      <c r="K463" s="607"/>
      <c r="L463" s="607"/>
      <c r="M463" s="607"/>
      <c r="N463" s="607"/>
      <c r="O463" s="487"/>
      <c r="P463" s="487"/>
      <c r="Q463" s="487"/>
      <c r="R463" s="487"/>
      <c r="S463" s="487"/>
      <c r="T463" s="487"/>
      <c r="U463" s="487"/>
    </row>
    <row r="464" spans="1:24" ht="15.75" customHeight="1">
      <c r="A464" s="487"/>
      <c r="B464" s="487"/>
      <c r="C464" s="607"/>
      <c r="D464" s="607"/>
      <c r="E464" s="607"/>
      <c r="F464" s="607"/>
      <c r="G464" s="607"/>
      <c r="H464" s="607"/>
      <c r="I464" s="607"/>
      <c r="J464" s="607"/>
      <c r="K464" s="607"/>
      <c r="L464" s="607"/>
      <c r="M464" s="607"/>
      <c r="N464" s="607"/>
      <c r="O464" s="487"/>
      <c r="P464" s="487"/>
      <c r="Q464" s="487"/>
      <c r="R464" s="487"/>
      <c r="S464" s="487"/>
      <c r="T464" s="487"/>
      <c r="U464" s="487"/>
    </row>
    <row r="465" spans="1:21" ht="15.75" customHeight="1">
      <c r="A465" s="487"/>
      <c r="B465" s="487"/>
      <c r="C465" s="607"/>
      <c r="D465" s="607"/>
      <c r="E465" s="607"/>
      <c r="F465" s="607"/>
      <c r="G465" s="607"/>
      <c r="H465" s="607"/>
      <c r="I465" s="607"/>
      <c r="J465" s="607"/>
      <c r="K465" s="607"/>
      <c r="L465" s="607"/>
      <c r="M465" s="607"/>
      <c r="N465" s="607"/>
      <c r="O465" s="487"/>
      <c r="P465" s="487"/>
      <c r="Q465" s="487"/>
      <c r="R465" s="487"/>
      <c r="S465" s="487"/>
      <c r="T465" s="487"/>
      <c r="U465" s="487"/>
    </row>
    <row r="466" spans="1:21" ht="15.75" customHeight="1">
      <c r="A466" s="487"/>
      <c r="B466" s="487"/>
      <c r="C466" s="607"/>
      <c r="D466" s="607"/>
      <c r="E466" s="607"/>
      <c r="F466" s="607"/>
      <c r="G466" s="607"/>
      <c r="H466" s="607"/>
      <c r="I466" s="607"/>
      <c r="J466" s="607"/>
      <c r="K466" s="607"/>
      <c r="L466" s="607"/>
      <c r="M466" s="607"/>
      <c r="N466" s="607"/>
      <c r="O466" s="487"/>
      <c r="P466" s="487"/>
      <c r="Q466" s="487"/>
      <c r="R466" s="487"/>
      <c r="S466" s="487"/>
      <c r="T466" s="487"/>
      <c r="U466" s="487"/>
    </row>
    <row r="467" spans="1:21" ht="15.75" customHeight="1">
      <c r="A467" s="487"/>
      <c r="B467" s="487"/>
      <c r="C467" s="607"/>
      <c r="D467" s="607"/>
      <c r="E467" s="607"/>
      <c r="F467" s="607"/>
      <c r="G467" s="607"/>
      <c r="H467" s="607"/>
      <c r="I467" s="607"/>
      <c r="J467" s="607"/>
      <c r="K467" s="607"/>
      <c r="L467" s="607"/>
      <c r="M467" s="607"/>
      <c r="N467" s="607"/>
      <c r="O467" s="487"/>
      <c r="P467" s="487"/>
      <c r="Q467" s="487"/>
      <c r="R467" s="487"/>
      <c r="S467" s="487"/>
      <c r="T467" s="487"/>
      <c r="U467" s="487"/>
    </row>
    <row r="468" spans="1:21" ht="15.75" customHeight="1">
      <c r="A468" s="487"/>
      <c r="B468" s="487"/>
      <c r="C468" s="607"/>
      <c r="D468" s="607"/>
      <c r="E468" s="607"/>
      <c r="F468" s="607"/>
      <c r="G468" s="607"/>
      <c r="H468" s="607"/>
      <c r="I468" s="607"/>
      <c r="J468" s="607"/>
      <c r="K468" s="607"/>
      <c r="L468" s="607"/>
      <c r="M468" s="607"/>
      <c r="N468" s="607"/>
      <c r="O468" s="487"/>
      <c r="P468" s="487"/>
      <c r="Q468" s="487"/>
      <c r="R468" s="487"/>
      <c r="S468" s="487"/>
      <c r="T468" s="487"/>
      <c r="U468" s="487"/>
    </row>
    <row r="469" spans="1:21" ht="15.75" customHeight="1">
      <c r="A469" s="487"/>
      <c r="B469" s="487"/>
      <c r="C469" s="607"/>
      <c r="D469" s="607"/>
      <c r="E469" s="607"/>
      <c r="F469" s="607"/>
      <c r="G469" s="607"/>
      <c r="H469" s="607"/>
      <c r="I469" s="607"/>
      <c r="J469" s="607"/>
      <c r="K469" s="607"/>
      <c r="L469" s="607"/>
      <c r="M469" s="607"/>
      <c r="N469" s="607"/>
      <c r="O469" s="487"/>
      <c r="P469" s="487"/>
      <c r="Q469" s="487"/>
      <c r="R469" s="487"/>
      <c r="S469" s="487"/>
      <c r="T469" s="487"/>
      <c r="U469" s="487"/>
    </row>
    <row r="470" spans="1:21" ht="15.75" customHeight="1">
      <c r="A470" s="487"/>
      <c r="B470" s="487"/>
      <c r="C470" s="607"/>
      <c r="D470" s="607"/>
      <c r="E470" s="607"/>
      <c r="F470" s="607"/>
      <c r="G470" s="607"/>
      <c r="H470" s="607"/>
      <c r="I470" s="607"/>
      <c r="J470" s="607"/>
      <c r="K470" s="607"/>
      <c r="L470" s="607"/>
      <c r="M470" s="607"/>
      <c r="N470" s="607"/>
      <c r="O470" s="487"/>
      <c r="P470" s="487"/>
      <c r="Q470" s="487"/>
      <c r="R470" s="487"/>
      <c r="S470" s="487"/>
      <c r="T470" s="487"/>
      <c r="U470" s="487"/>
    </row>
    <row r="471" spans="1:21" ht="15.75" customHeight="1">
      <c r="A471" s="487"/>
      <c r="B471" s="487"/>
      <c r="C471" s="607"/>
      <c r="D471" s="607"/>
      <c r="E471" s="607"/>
      <c r="F471" s="607"/>
      <c r="G471" s="607"/>
      <c r="H471" s="607"/>
      <c r="I471" s="607"/>
      <c r="J471" s="607"/>
      <c r="K471" s="607"/>
      <c r="L471" s="607"/>
      <c r="M471" s="607"/>
      <c r="N471" s="607"/>
      <c r="O471" s="487"/>
      <c r="P471" s="487"/>
      <c r="Q471" s="487"/>
      <c r="R471" s="487"/>
      <c r="S471" s="487"/>
      <c r="T471" s="487"/>
      <c r="U471" s="487"/>
    </row>
    <row r="472" spans="1:21" ht="15.75" customHeight="1">
      <c r="C472" s="608"/>
      <c r="D472" s="608"/>
      <c r="E472" s="608"/>
      <c r="F472" s="608"/>
      <c r="G472" s="608"/>
      <c r="H472" s="608"/>
      <c r="I472" s="608"/>
      <c r="J472" s="608"/>
      <c r="K472" s="608"/>
      <c r="L472" s="608"/>
      <c r="M472" s="608"/>
      <c r="N472" s="608"/>
    </row>
    <row r="473" spans="1:21" ht="15.75" customHeight="1">
      <c r="C473" s="608"/>
      <c r="D473" s="608"/>
      <c r="E473" s="608"/>
      <c r="F473" s="608"/>
      <c r="G473" s="608"/>
      <c r="H473" s="608"/>
      <c r="I473" s="608"/>
      <c r="J473" s="608"/>
      <c r="K473" s="608"/>
      <c r="L473" s="608"/>
      <c r="M473" s="608"/>
      <c r="N473" s="608"/>
    </row>
    <row r="474" spans="1:21" ht="15.75" customHeight="1">
      <c r="C474" s="608"/>
      <c r="D474" s="608"/>
      <c r="E474" s="608"/>
      <c r="F474" s="608"/>
      <c r="G474" s="608"/>
      <c r="H474" s="608"/>
      <c r="I474" s="608"/>
      <c r="J474" s="608"/>
      <c r="K474" s="608"/>
      <c r="L474" s="608"/>
      <c r="M474" s="608"/>
      <c r="N474" s="608"/>
    </row>
    <row r="475" spans="1:21" ht="15.75" customHeight="1">
      <c r="C475" s="608"/>
      <c r="D475" s="608"/>
      <c r="E475" s="608"/>
      <c r="F475" s="608"/>
      <c r="G475" s="608"/>
      <c r="H475" s="608"/>
      <c r="I475" s="608"/>
      <c r="J475" s="608"/>
      <c r="K475" s="608"/>
      <c r="L475" s="608"/>
      <c r="M475" s="608"/>
      <c r="N475" s="608"/>
    </row>
    <row r="476" spans="1:21" ht="15.75" customHeight="1">
      <c r="C476" s="608"/>
      <c r="D476" s="608"/>
      <c r="E476" s="608"/>
      <c r="F476" s="608"/>
      <c r="G476" s="608"/>
      <c r="H476" s="608"/>
      <c r="I476" s="608"/>
      <c r="J476" s="608"/>
      <c r="K476" s="608"/>
      <c r="L476" s="608"/>
      <c r="M476" s="608"/>
      <c r="N476" s="608"/>
    </row>
    <row r="477" spans="1:21" ht="15.75" customHeight="1">
      <c r="C477" s="608"/>
      <c r="D477" s="608"/>
      <c r="E477" s="608"/>
      <c r="F477" s="608"/>
      <c r="G477" s="608"/>
      <c r="H477" s="608"/>
      <c r="I477" s="608"/>
      <c r="J477" s="608"/>
      <c r="K477" s="608"/>
      <c r="L477" s="608"/>
      <c r="M477" s="608"/>
      <c r="N477" s="608"/>
    </row>
    <row r="478" spans="1:21" ht="15.75" customHeight="1">
      <c r="C478" s="608"/>
      <c r="D478" s="608"/>
      <c r="E478" s="608"/>
      <c r="F478" s="608"/>
      <c r="G478" s="608"/>
      <c r="H478" s="608"/>
      <c r="I478" s="608"/>
      <c r="J478" s="608"/>
      <c r="K478" s="608"/>
      <c r="L478" s="608"/>
      <c r="M478" s="608"/>
      <c r="N478" s="608"/>
    </row>
    <row r="479" spans="1:21" ht="15.75" customHeight="1">
      <c r="C479" s="608"/>
      <c r="D479" s="608"/>
      <c r="E479" s="608"/>
      <c r="F479" s="608"/>
      <c r="G479" s="608"/>
      <c r="H479" s="608"/>
      <c r="I479" s="608"/>
      <c r="J479" s="608"/>
      <c r="K479" s="608"/>
      <c r="L479" s="608"/>
      <c r="M479" s="608"/>
      <c r="N479" s="608"/>
    </row>
    <row r="480" spans="1:21" ht="15.75" customHeight="1">
      <c r="C480" s="608"/>
      <c r="D480" s="608"/>
      <c r="E480" s="608"/>
      <c r="F480" s="608"/>
      <c r="G480" s="608"/>
      <c r="H480" s="608"/>
      <c r="I480" s="608"/>
      <c r="J480" s="608"/>
      <c r="K480" s="608"/>
      <c r="L480" s="608"/>
      <c r="M480" s="608"/>
      <c r="N480" s="608"/>
    </row>
    <row r="481" spans="3:14" ht="15.75" customHeight="1">
      <c r="C481" s="608"/>
      <c r="D481" s="608"/>
      <c r="E481" s="608"/>
      <c r="F481" s="608"/>
      <c r="G481" s="608"/>
      <c r="H481" s="608"/>
      <c r="I481" s="608"/>
      <c r="J481" s="608"/>
      <c r="K481" s="608"/>
      <c r="L481" s="608"/>
      <c r="M481" s="608"/>
      <c r="N481" s="608"/>
    </row>
    <row r="482" spans="3:14" ht="15.75" customHeight="1">
      <c r="C482" s="608"/>
      <c r="D482" s="608"/>
      <c r="E482" s="608"/>
      <c r="F482" s="608"/>
      <c r="G482" s="608"/>
      <c r="H482" s="608"/>
      <c r="I482" s="608"/>
      <c r="J482" s="608"/>
      <c r="K482" s="608"/>
      <c r="L482" s="608"/>
      <c r="M482" s="608"/>
      <c r="N482" s="608"/>
    </row>
    <row r="483" spans="3:14" ht="15.75" customHeight="1">
      <c r="C483" s="608"/>
      <c r="D483" s="608"/>
      <c r="E483" s="608"/>
      <c r="F483" s="608"/>
      <c r="G483" s="608"/>
      <c r="H483" s="608"/>
      <c r="I483" s="608"/>
      <c r="J483" s="608"/>
      <c r="K483" s="608"/>
      <c r="L483" s="608"/>
      <c r="M483" s="608"/>
      <c r="N483" s="608"/>
    </row>
    <row r="484" spans="3:14" ht="15.75" customHeight="1">
      <c r="C484" s="608"/>
      <c r="D484" s="608"/>
      <c r="E484" s="608"/>
      <c r="F484" s="608"/>
      <c r="G484" s="608"/>
      <c r="H484" s="608"/>
      <c r="I484" s="608"/>
      <c r="J484" s="608"/>
      <c r="K484" s="608"/>
      <c r="L484" s="608"/>
      <c r="M484" s="608"/>
      <c r="N484" s="608"/>
    </row>
    <row r="485" spans="3:14" ht="15.75" customHeight="1">
      <c r="C485" s="608"/>
      <c r="D485" s="608"/>
      <c r="E485" s="608"/>
      <c r="F485" s="608"/>
      <c r="G485" s="608"/>
      <c r="H485" s="608"/>
      <c r="I485" s="608"/>
      <c r="J485" s="608"/>
      <c r="K485" s="608"/>
      <c r="L485" s="608"/>
      <c r="M485" s="608"/>
      <c r="N485" s="608"/>
    </row>
    <row r="486" spans="3:14" ht="15.75" customHeight="1">
      <c r="C486" s="608"/>
      <c r="D486" s="608"/>
      <c r="E486" s="608"/>
      <c r="F486" s="608"/>
      <c r="G486" s="608"/>
      <c r="H486" s="608"/>
      <c r="I486" s="608"/>
      <c r="J486" s="608"/>
      <c r="K486" s="608"/>
      <c r="L486" s="608"/>
      <c r="M486" s="608"/>
      <c r="N486" s="608"/>
    </row>
    <row r="487" spans="3:14" ht="15.75" customHeight="1">
      <c r="C487" s="608"/>
      <c r="D487" s="608"/>
      <c r="E487" s="608"/>
      <c r="F487" s="608"/>
      <c r="G487" s="608"/>
      <c r="H487" s="608"/>
      <c r="I487" s="608"/>
      <c r="J487" s="608"/>
      <c r="K487" s="608"/>
      <c r="L487" s="608"/>
      <c r="M487" s="608"/>
      <c r="N487" s="608"/>
    </row>
    <row r="488" spans="3:14" ht="15.75" customHeight="1">
      <c r="C488" s="608"/>
      <c r="D488" s="608"/>
      <c r="E488" s="608"/>
      <c r="F488" s="608"/>
      <c r="G488" s="608"/>
      <c r="H488" s="608"/>
      <c r="I488" s="608"/>
      <c r="J488" s="608"/>
      <c r="K488" s="608"/>
      <c r="L488" s="608"/>
      <c r="M488" s="608"/>
      <c r="N488" s="608"/>
    </row>
    <row r="489" spans="3:14" ht="15.75" customHeight="1">
      <c r="C489" s="608"/>
      <c r="D489" s="608"/>
      <c r="E489" s="608"/>
      <c r="F489" s="608"/>
      <c r="G489" s="608"/>
      <c r="H489" s="608"/>
      <c r="I489" s="608"/>
      <c r="J489" s="608"/>
      <c r="K489" s="608"/>
      <c r="L489" s="608"/>
      <c r="M489" s="608"/>
      <c r="N489" s="608"/>
    </row>
    <row r="490" spans="3:14" ht="15.75" customHeight="1">
      <c r="C490" s="608"/>
      <c r="D490" s="608"/>
      <c r="E490" s="608"/>
      <c r="F490" s="608"/>
      <c r="G490" s="608"/>
      <c r="H490" s="608"/>
      <c r="I490" s="608"/>
      <c r="J490" s="608"/>
      <c r="K490" s="608"/>
      <c r="L490" s="608"/>
      <c r="M490" s="608"/>
      <c r="N490" s="608"/>
    </row>
    <row r="491" spans="3:14" ht="15.75" customHeight="1">
      <c r="C491" s="608"/>
      <c r="D491" s="608"/>
      <c r="E491" s="608"/>
      <c r="F491" s="608"/>
      <c r="G491" s="608"/>
      <c r="H491" s="608"/>
      <c r="I491" s="608"/>
      <c r="J491" s="608"/>
      <c r="K491" s="608"/>
      <c r="L491" s="608"/>
      <c r="M491" s="608"/>
      <c r="N491" s="608"/>
    </row>
    <row r="492" spans="3:14" ht="15.75" customHeight="1">
      <c r="C492" s="608"/>
      <c r="D492" s="608"/>
      <c r="E492" s="608"/>
      <c r="F492" s="608"/>
      <c r="G492" s="608"/>
      <c r="H492" s="608"/>
      <c r="I492" s="608"/>
      <c r="J492" s="608"/>
      <c r="K492" s="608"/>
      <c r="L492" s="608"/>
      <c r="M492" s="608"/>
      <c r="N492" s="608"/>
    </row>
    <row r="493" spans="3:14" ht="15.75" customHeight="1">
      <c r="C493" s="608"/>
      <c r="D493" s="608"/>
      <c r="E493" s="608"/>
      <c r="F493" s="608"/>
      <c r="G493" s="608"/>
      <c r="H493" s="608"/>
      <c r="I493" s="608"/>
      <c r="J493" s="608"/>
      <c r="K493" s="608"/>
      <c r="L493" s="608"/>
      <c r="M493" s="608"/>
      <c r="N493" s="608"/>
    </row>
    <row r="494" spans="3:14" ht="15.75" customHeight="1">
      <c r="C494" s="608"/>
      <c r="D494" s="608"/>
      <c r="E494" s="608"/>
      <c r="F494" s="608"/>
      <c r="G494" s="608"/>
      <c r="H494" s="608"/>
      <c r="I494" s="608"/>
      <c r="J494" s="608"/>
      <c r="K494" s="608"/>
      <c r="L494" s="608"/>
      <c r="M494" s="608"/>
      <c r="N494" s="608"/>
    </row>
    <row r="495" spans="3:14" ht="15.75" customHeight="1">
      <c r="C495" s="608"/>
      <c r="D495" s="608"/>
      <c r="E495" s="608"/>
      <c r="F495" s="608"/>
      <c r="G495" s="608"/>
      <c r="H495" s="608"/>
      <c r="I495" s="608"/>
      <c r="J495" s="608"/>
      <c r="K495" s="608"/>
      <c r="L495" s="608"/>
      <c r="M495" s="608"/>
      <c r="N495" s="608"/>
    </row>
    <row r="496" spans="3:14" ht="15.75" customHeight="1">
      <c r="C496" s="608"/>
      <c r="D496" s="608"/>
      <c r="E496" s="608"/>
      <c r="F496" s="608"/>
      <c r="G496" s="608"/>
      <c r="H496" s="608"/>
      <c r="I496" s="608"/>
      <c r="J496" s="608"/>
      <c r="K496" s="608"/>
      <c r="L496" s="608"/>
      <c r="M496" s="608"/>
      <c r="N496" s="608"/>
    </row>
    <row r="497" spans="3:14" ht="15.75" customHeight="1">
      <c r="C497" s="608"/>
      <c r="D497" s="608"/>
      <c r="E497" s="608"/>
      <c r="F497" s="608"/>
      <c r="G497" s="608"/>
      <c r="H497" s="608"/>
      <c r="I497" s="608"/>
      <c r="J497" s="608"/>
      <c r="K497" s="608"/>
      <c r="L497" s="608"/>
      <c r="M497" s="608"/>
      <c r="N497" s="608"/>
    </row>
    <row r="498" spans="3:14" ht="15.75" customHeight="1">
      <c r="C498" s="608"/>
      <c r="D498" s="608"/>
      <c r="E498" s="608"/>
      <c r="F498" s="608"/>
      <c r="G498" s="608"/>
      <c r="H498" s="608"/>
      <c r="I498" s="608"/>
      <c r="J498" s="608"/>
      <c r="K498" s="608"/>
      <c r="L498" s="608"/>
      <c r="M498" s="608"/>
      <c r="N498" s="608"/>
    </row>
    <row r="499" spans="3:14" ht="13.5" customHeight="1">
      <c r="C499" s="608"/>
      <c r="D499" s="608"/>
      <c r="E499" s="608"/>
      <c r="F499" s="608"/>
      <c r="G499" s="608"/>
      <c r="H499" s="608"/>
      <c r="I499" s="608"/>
      <c r="J499" s="608"/>
      <c r="K499" s="608"/>
      <c r="L499" s="608"/>
      <c r="M499" s="608"/>
      <c r="N499" s="608"/>
    </row>
    <row r="500" spans="3:14" ht="13.5" customHeight="1">
      <c r="C500" s="608"/>
      <c r="D500" s="608"/>
      <c r="E500" s="608"/>
      <c r="F500" s="608"/>
      <c r="G500" s="608"/>
      <c r="H500" s="608"/>
      <c r="I500" s="608"/>
      <c r="J500" s="608"/>
      <c r="K500" s="608"/>
      <c r="L500" s="608"/>
      <c r="M500" s="608"/>
      <c r="N500" s="608"/>
    </row>
    <row r="501" spans="3:14" ht="13.5" customHeight="1">
      <c r="C501" s="608"/>
      <c r="D501" s="608"/>
      <c r="E501" s="608"/>
      <c r="F501" s="608"/>
      <c r="G501" s="608"/>
      <c r="H501" s="608"/>
      <c r="I501" s="608"/>
      <c r="J501" s="608"/>
      <c r="K501" s="608"/>
      <c r="L501" s="608"/>
      <c r="M501" s="608"/>
      <c r="N501" s="608"/>
    </row>
    <row r="502" spans="3:14" ht="13.5" customHeight="1">
      <c r="C502" s="608"/>
      <c r="D502" s="608"/>
      <c r="E502" s="608"/>
      <c r="F502" s="608"/>
      <c r="G502" s="608"/>
      <c r="H502" s="608"/>
      <c r="I502" s="608"/>
      <c r="J502" s="608"/>
      <c r="K502" s="608"/>
      <c r="L502" s="608"/>
      <c r="M502" s="608"/>
      <c r="N502" s="608"/>
    </row>
    <row r="503" spans="3:14" ht="13.5" customHeight="1">
      <c r="C503" s="608"/>
      <c r="D503" s="608"/>
      <c r="E503" s="608"/>
      <c r="F503" s="608"/>
      <c r="G503" s="608"/>
      <c r="H503" s="608"/>
      <c r="I503" s="608"/>
      <c r="J503" s="608"/>
      <c r="K503" s="608"/>
      <c r="L503" s="608"/>
      <c r="M503" s="608"/>
      <c r="N503" s="608"/>
    </row>
    <row r="504" spans="3:14" ht="13.5" customHeight="1">
      <c r="C504" s="608"/>
      <c r="D504" s="608"/>
      <c r="E504" s="608"/>
      <c r="F504" s="608"/>
      <c r="G504" s="608"/>
      <c r="H504" s="608"/>
      <c r="I504" s="608"/>
      <c r="J504" s="608"/>
      <c r="K504" s="608"/>
      <c r="L504" s="608"/>
      <c r="M504" s="608"/>
      <c r="N504" s="608"/>
    </row>
    <row r="505" spans="3:14" ht="13.5" customHeight="1">
      <c r="C505" s="608"/>
      <c r="D505" s="608"/>
      <c r="E505" s="608"/>
      <c r="F505" s="608"/>
      <c r="G505" s="608"/>
      <c r="H505" s="608"/>
      <c r="I505" s="608"/>
      <c r="J505" s="608"/>
      <c r="K505" s="608"/>
      <c r="L505" s="608"/>
      <c r="M505" s="608"/>
      <c r="N505" s="608"/>
    </row>
    <row r="506" spans="3:14" ht="13.5" customHeight="1">
      <c r="C506" s="608"/>
      <c r="D506" s="608"/>
      <c r="E506" s="608"/>
      <c r="F506" s="608"/>
      <c r="G506" s="608"/>
      <c r="H506" s="608"/>
      <c r="I506" s="608"/>
      <c r="J506" s="608"/>
      <c r="K506" s="608"/>
      <c r="L506" s="608"/>
      <c r="M506" s="608"/>
      <c r="N506" s="608"/>
    </row>
    <row r="507" spans="3:14" ht="13.5" customHeight="1">
      <c r="C507" s="608"/>
      <c r="D507" s="608"/>
      <c r="E507" s="608"/>
      <c r="F507" s="608"/>
      <c r="G507" s="608"/>
      <c r="H507" s="608"/>
      <c r="I507" s="608"/>
      <c r="J507" s="608"/>
      <c r="K507" s="608"/>
      <c r="L507" s="608"/>
      <c r="M507" s="608"/>
      <c r="N507" s="608"/>
    </row>
    <row r="508" spans="3:14" ht="13.5" customHeight="1">
      <c r="C508" s="608"/>
      <c r="D508" s="608"/>
      <c r="E508" s="608"/>
      <c r="F508" s="608"/>
      <c r="G508" s="608"/>
      <c r="H508" s="608"/>
      <c r="I508" s="608"/>
      <c r="J508" s="608"/>
      <c r="K508" s="608"/>
      <c r="L508" s="608"/>
      <c r="M508" s="608"/>
      <c r="N508" s="608"/>
    </row>
    <row r="509" spans="3:14" ht="13.5" customHeight="1">
      <c r="C509" s="608"/>
      <c r="D509" s="608"/>
      <c r="E509" s="608"/>
      <c r="F509" s="608"/>
      <c r="G509" s="608"/>
      <c r="H509" s="608"/>
      <c r="I509" s="608"/>
      <c r="J509" s="608"/>
      <c r="K509" s="608"/>
      <c r="L509" s="608"/>
      <c r="M509" s="608"/>
      <c r="N509" s="608"/>
    </row>
    <row r="510" spans="3:14" ht="13.5" customHeight="1">
      <c r="C510" s="608"/>
      <c r="D510" s="608"/>
      <c r="E510" s="608"/>
      <c r="F510" s="608"/>
      <c r="G510" s="608"/>
      <c r="H510" s="608"/>
      <c r="I510" s="608"/>
      <c r="J510" s="608"/>
      <c r="K510" s="608"/>
      <c r="L510" s="608"/>
      <c r="M510" s="608"/>
      <c r="N510" s="608"/>
    </row>
    <row r="511" spans="3:14" ht="13.5" customHeight="1">
      <c r="C511" s="608"/>
      <c r="D511" s="608"/>
      <c r="E511" s="608"/>
      <c r="F511" s="608"/>
      <c r="G511" s="608"/>
      <c r="H511" s="608"/>
      <c r="I511" s="608"/>
      <c r="J511" s="608"/>
      <c r="K511" s="608"/>
      <c r="L511" s="608"/>
      <c r="M511" s="608"/>
      <c r="N511" s="608"/>
    </row>
    <row r="512" spans="3:14" ht="13.5" customHeight="1">
      <c r="C512" s="608"/>
      <c r="D512" s="608"/>
      <c r="E512" s="608"/>
      <c r="F512" s="608"/>
      <c r="G512" s="608"/>
      <c r="H512" s="608"/>
      <c r="I512" s="608"/>
      <c r="J512" s="608"/>
      <c r="K512" s="608"/>
      <c r="L512" s="608"/>
      <c r="M512" s="608"/>
      <c r="N512" s="608"/>
    </row>
    <row r="513" spans="3:14" ht="13.5" customHeight="1">
      <c r="C513" s="608"/>
      <c r="D513" s="608"/>
      <c r="E513" s="608"/>
      <c r="F513" s="608"/>
      <c r="G513" s="608"/>
      <c r="H513" s="608"/>
      <c r="I513" s="608"/>
      <c r="J513" s="608"/>
      <c r="K513" s="608"/>
      <c r="L513" s="608"/>
      <c r="M513" s="608"/>
      <c r="N513" s="608"/>
    </row>
    <row r="514" spans="3:14" ht="13.5" customHeight="1">
      <c r="C514" s="608"/>
      <c r="D514" s="608"/>
      <c r="E514" s="608"/>
      <c r="F514" s="608"/>
      <c r="G514" s="608"/>
      <c r="H514" s="608"/>
      <c r="I514" s="608"/>
      <c r="J514" s="608"/>
      <c r="K514" s="608"/>
      <c r="L514" s="608"/>
      <c r="M514" s="608"/>
      <c r="N514" s="608"/>
    </row>
    <row r="515" spans="3:14" ht="13.5" customHeight="1">
      <c r="C515" s="608"/>
      <c r="D515" s="608"/>
      <c r="E515" s="608"/>
      <c r="F515" s="608"/>
      <c r="G515" s="608"/>
      <c r="H515" s="608"/>
      <c r="I515" s="608"/>
      <c r="J515" s="608"/>
      <c r="K515" s="608"/>
      <c r="L515" s="608"/>
      <c r="M515" s="608"/>
      <c r="N515" s="608"/>
    </row>
    <row r="516" spans="3:14" ht="13.5" customHeight="1">
      <c r="C516" s="608"/>
      <c r="D516" s="608"/>
      <c r="E516" s="608"/>
      <c r="F516" s="608"/>
      <c r="G516" s="608"/>
      <c r="H516" s="608"/>
      <c r="I516" s="608"/>
      <c r="J516" s="608"/>
      <c r="K516" s="608"/>
      <c r="L516" s="608"/>
      <c r="M516" s="608"/>
      <c r="N516" s="608"/>
    </row>
    <row r="517" spans="3:14" ht="13.5" customHeight="1">
      <c r="C517" s="608"/>
      <c r="D517" s="608"/>
      <c r="E517" s="608"/>
      <c r="F517" s="608"/>
      <c r="G517" s="608"/>
      <c r="H517" s="608"/>
      <c r="I517" s="608"/>
      <c r="J517" s="608"/>
      <c r="K517" s="608"/>
      <c r="L517" s="608"/>
      <c r="M517" s="608"/>
      <c r="N517" s="608"/>
    </row>
    <row r="518" spans="3:14" ht="13.5" customHeight="1">
      <c r="C518" s="608"/>
      <c r="D518" s="608"/>
      <c r="E518" s="608"/>
      <c r="F518" s="608"/>
      <c r="G518" s="608"/>
      <c r="H518" s="608"/>
      <c r="I518" s="608"/>
      <c r="J518" s="608"/>
      <c r="K518" s="608"/>
      <c r="L518" s="608"/>
      <c r="M518" s="608"/>
      <c r="N518" s="608"/>
    </row>
    <row r="519" spans="3:14" ht="13.5" customHeight="1">
      <c r="C519" s="608"/>
      <c r="D519" s="608"/>
      <c r="E519" s="608"/>
      <c r="F519" s="608"/>
      <c r="G519" s="608"/>
      <c r="H519" s="608"/>
      <c r="I519" s="608"/>
      <c r="J519" s="608"/>
      <c r="K519" s="608"/>
      <c r="L519" s="608"/>
      <c r="M519" s="608"/>
      <c r="N519" s="608"/>
    </row>
    <row r="520" spans="3:14" ht="13.5" customHeight="1">
      <c r="C520" s="608"/>
      <c r="D520" s="608"/>
      <c r="E520" s="608"/>
      <c r="F520" s="608"/>
      <c r="G520" s="608"/>
      <c r="H520" s="608"/>
      <c r="I520" s="608"/>
      <c r="J520" s="608"/>
      <c r="K520" s="608"/>
      <c r="L520" s="608"/>
      <c r="M520" s="608"/>
      <c r="N520" s="608"/>
    </row>
    <row r="521" spans="3:14" ht="13.5" customHeight="1">
      <c r="C521" s="608"/>
      <c r="D521" s="608"/>
      <c r="E521" s="608"/>
      <c r="F521" s="608"/>
      <c r="G521" s="608"/>
      <c r="H521" s="608"/>
      <c r="I521" s="608"/>
      <c r="J521" s="608"/>
      <c r="K521" s="608"/>
      <c r="L521" s="608"/>
      <c r="M521" s="608"/>
      <c r="N521" s="608"/>
    </row>
    <row r="522" spans="3:14" ht="13.5" customHeight="1">
      <c r="C522" s="608"/>
      <c r="D522" s="608"/>
      <c r="E522" s="608"/>
      <c r="F522" s="608"/>
      <c r="G522" s="608"/>
      <c r="H522" s="608"/>
      <c r="I522" s="608"/>
      <c r="J522" s="608"/>
      <c r="K522" s="608"/>
      <c r="L522" s="608"/>
      <c r="M522" s="608"/>
      <c r="N522" s="608"/>
    </row>
    <row r="523" spans="3:14" ht="13.5" customHeight="1">
      <c r="C523" s="608"/>
      <c r="D523" s="608"/>
      <c r="E523" s="608"/>
      <c r="F523" s="608"/>
      <c r="G523" s="608"/>
      <c r="H523" s="608"/>
      <c r="I523" s="608"/>
      <c r="J523" s="608"/>
      <c r="K523" s="608"/>
      <c r="L523" s="608"/>
      <c r="M523" s="608"/>
      <c r="N523" s="608"/>
    </row>
    <row r="524" spans="3:14" ht="13.5" customHeight="1">
      <c r="C524" s="608"/>
      <c r="D524" s="608"/>
      <c r="E524" s="608"/>
      <c r="F524" s="608"/>
      <c r="G524" s="608"/>
      <c r="H524" s="608"/>
      <c r="I524" s="608"/>
      <c r="J524" s="608"/>
      <c r="K524" s="608"/>
      <c r="L524" s="608"/>
      <c r="M524" s="608"/>
      <c r="N524" s="608"/>
    </row>
    <row r="525" spans="3:14" ht="13.5" customHeight="1">
      <c r="C525" s="608"/>
      <c r="D525" s="608"/>
      <c r="E525" s="608"/>
      <c r="F525" s="608"/>
      <c r="G525" s="608"/>
      <c r="H525" s="608"/>
      <c r="I525" s="608"/>
      <c r="J525" s="608"/>
      <c r="K525" s="608"/>
      <c r="L525" s="608"/>
      <c r="M525" s="608"/>
      <c r="N525" s="608"/>
    </row>
    <row r="526" spans="3:14" ht="13.5" customHeight="1">
      <c r="C526" s="608"/>
      <c r="D526" s="608"/>
      <c r="E526" s="608"/>
      <c r="F526" s="608"/>
      <c r="G526" s="608"/>
      <c r="H526" s="608"/>
      <c r="I526" s="608"/>
      <c r="J526" s="608"/>
      <c r="K526" s="608"/>
      <c r="L526" s="608"/>
      <c r="M526" s="608"/>
      <c r="N526" s="608"/>
    </row>
    <row r="527" spans="3:14" ht="13.5" customHeight="1">
      <c r="C527" s="608"/>
      <c r="D527" s="608"/>
      <c r="E527" s="608"/>
      <c r="F527" s="608"/>
      <c r="G527" s="608"/>
      <c r="H527" s="608"/>
      <c r="I527" s="608"/>
      <c r="J527" s="608"/>
      <c r="K527" s="608"/>
      <c r="L527" s="608"/>
      <c r="M527" s="608"/>
      <c r="N527" s="608"/>
    </row>
    <row r="528" spans="3:14" ht="13.5" customHeight="1">
      <c r="C528" s="608"/>
      <c r="D528" s="608"/>
      <c r="E528" s="608"/>
      <c r="F528" s="608"/>
      <c r="G528" s="608"/>
      <c r="H528" s="608"/>
      <c r="I528" s="608"/>
      <c r="J528" s="608"/>
      <c r="K528" s="608"/>
      <c r="L528" s="608"/>
      <c r="M528" s="608"/>
      <c r="N528" s="608"/>
    </row>
    <row r="529" spans="3:14" ht="13.5" customHeight="1">
      <c r="C529" s="608"/>
      <c r="D529" s="608"/>
      <c r="E529" s="608"/>
      <c r="F529" s="608"/>
      <c r="G529" s="608"/>
      <c r="H529" s="608"/>
      <c r="I529" s="608"/>
      <c r="J529" s="608"/>
      <c r="K529" s="608"/>
      <c r="L529" s="608"/>
      <c r="M529" s="608"/>
      <c r="N529" s="608"/>
    </row>
    <row r="530" spans="3:14" ht="13.5" customHeight="1">
      <c r="C530" s="608"/>
      <c r="D530" s="608"/>
      <c r="E530" s="608"/>
      <c r="F530" s="608"/>
      <c r="G530" s="608"/>
      <c r="H530" s="608"/>
      <c r="I530" s="608"/>
      <c r="J530" s="608"/>
      <c r="K530" s="608"/>
      <c r="L530" s="608"/>
      <c r="M530" s="608"/>
      <c r="N530" s="608"/>
    </row>
    <row r="531" spans="3:14" ht="13.5" customHeight="1">
      <c r="C531" s="608"/>
      <c r="D531" s="608"/>
      <c r="E531" s="608"/>
      <c r="F531" s="608"/>
      <c r="G531" s="608"/>
      <c r="H531" s="608"/>
      <c r="I531" s="608"/>
      <c r="J531" s="608"/>
      <c r="K531" s="608"/>
      <c r="L531" s="608"/>
      <c r="M531" s="608"/>
      <c r="N531" s="608"/>
    </row>
    <row r="532" spans="3:14" ht="13.5" customHeight="1">
      <c r="C532" s="608"/>
      <c r="D532" s="608"/>
      <c r="E532" s="608"/>
      <c r="F532" s="608"/>
      <c r="G532" s="608"/>
      <c r="H532" s="608"/>
      <c r="I532" s="608"/>
      <c r="J532" s="608"/>
      <c r="K532" s="608"/>
      <c r="L532" s="608"/>
      <c r="M532" s="608"/>
      <c r="N532" s="608"/>
    </row>
    <row r="533" spans="3:14" ht="13.5" customHeight="1">
      <c r="C533" s="608"/>
      <c r="D533" s="608"/>
      <c r="E533" s="608"/>
      <c r="F533" s="608"/>
      <c r="G533" s="608"/>
      <c r="H533" s="608"/>
      <c r="I533" s="608"/>
      <c r="J533" s="608"/>
      <c r="K533" s="608"/>
      <c r="L533" s="608"/>
      <c r="M533" s="608"/>
      <c r="N533" s="608"/>
    </row>
    <row r="534" spans="3:14" ht="13.5" customHeight="1">
      <c r="C534" s="608"/>
      <c r="D534" s="608"/>
      <c r="E534" s="608"/>
      <c r="F534" s="608"/>
      <c r="G534" s="608"/>
      <c r="H534" s="608"/>
      <c r="I534" s="608"/>
      <c r="J534" s="608"/>
      <c r="K534" s="608"/>
      <c r="L534" s="608"/>
      <c r="M534" s="608"/>
      <c r="N534" s="608"/>
    </row>
    <row r="535" spans="3:14" ht="13.5" customHeight="1">
      <c r="C535" s="608"/>
      <c r="D535" s="608"/>
      <c r="E535" s="608"/>
      <c r="F535" s="608"/>
      <c r="G535" s="608"/>
      <c r="H535" s="608"/>
      <c r="I535" s="608"/>
      <c r="J535" s="608"/>
      <c r="K535" s="608"/>
      <c r="L535" s="608"/>
      <c r="M535" s="608"/>
      <c r="N535" s="608"/>
    </row>
    <row r="536" spans="3:14" ht="13.5" customHeight="1">
      <c r="C536" s="608"/>
      <c r="D536" s="608"/>
      <c r="E536" s="608"/>
      <c r="F536" s="608"/>
      <c r="G536" s="608"/>
      <c r="H536" s="608"/>
      <c r="I536" s="608"/>
      <c r="J536" s="608"/>
      <c r="K536" s="608"/>
      <c r="L536" s="608"/>
      <c r="M536" s="608"/>
      <c r="N536" s="608"/>
    </row>
    <row r="537" spans="3:14" ht="13.5" customHeight="1">
      <c r="C537" s="608"/>
      <c r="D537" s="608"/>
      <c r="E537" s="608"/>
      <c r="F537" s="608"/>
      <c r="G537" s="608"/>
      <c r="H537" s="608"/>
      <c r="I537" s="608"/>
      <c r="J537" s="608"/>
      <c r="K537" s="608"/>
      <c r="L537" s="608"/>
      <c r="M537" s="608"/>
      <c r="N537" s="608"/>
    </row>
    <row r="538" spans="3:14" ht="13.5" customHeight="1">
      <c r="C538" s="608"/>
      <c r="D538" s="608"/>
      <c r="E538" s="608"/>
      <c r="F538" s="608"/>
      <c r="G538" s="608"/>
      <c r="H538" s="608"/>
      <c r="I538" s="608"/>
      <c r="J538" s="608"/>
      <c r="K538" s="608"/>
      <c r="L538" s="608"/>
      <c r="M538" s="608"/>
      <c r="N538" s="608"/>
    </row>
    <row r="539" spans="3:14" ht="13.5" customHeight="1">
      <c r="C539" s="608"/>
      <c r="D539" s="608"/>
      <c r="E539" s="608"/>
      <c r="F539" s="608"/>
      <c r="G539" s="608"/>
      <c r="H539" s="608"/>
      <c r="I539" s="608"/>
      <c r="J539" s="608"/>
      <c r="K539" s="608"/>
      <c r="L539" s="608"/>
      <c r="M539" s="608"/>
      <c r="N539" s="608"/>
    </row>
    <row r="540" spans="3:14" ht="13.5" customHeight="1">
      <c r="C540" s="608"/>
      <c r="D540" s="608"/>
      <c r="E540" s="608"/>
      <c r="F540" s="608"/>
      <c r="G540" s="608"/>
      <c r="H540" s="608"/>
      <c r="I540" s="608"/>
      <c r="J540" s="608"/>
      <c r="K540" s="608"/>
      <c r="L540" s="608"/>
      <c r="M540" s="608"/>
      <c r="N540" s="608"/>
    </row>
    <row r="541" spans="3:14" ht="13.5" customHeight="1">
      <c r="C541" s="608"/>
      <c r="D541" s="608"/>
      <c r="E541" s="608"/>
      <c r="F541" s="608"/>
      <c r="G541" s="608"/>
      <c r="H541" s="608"/>
      <c r="I541" s="608"/>
      <c r="J541" s="608"/>
      <c r="K541" s="608"/>
      <c r="L541" s="608"/>
      <c r="M541" s="608"/>
      <c r="N541" s="608"/>
    </row>
    <row r="542" spans="3:14" ht="13.5" customHeight="1">
      <c r="C542" s="608"/>
      <c r="D542" s="608"/>
      <c r="E542" s="608"/>
      <c r="F542" s="608"/>
      <c r="G542" s="608"/>
      <c r="H542" s="608"/>
      <c r="I542" s="608"/>
      <c r="J542" s="608"/>
      <c r="K542" s="608"/>
      <c r="L542" s="608"/>
      <c r="M542" s="608"/>
      <c r="N542" s="608"/>
    </row>
    <row r="543" spans="3:14" ht="13.5" customHeight="1">
      <c r="C543" s="608"/>
      <c r="D543" s="608"/>
      <c r="E543" s="608"/>
      <c r="F543" s="608"/>
      <c r="G543" s="608"/>
      <c r="H543" s="608"/>
      <c r="I543" s="608"/>
      <c r="J543" s="608"/>
      <c r="K543" s="608"/>
      <c r="L543" s="608"/>
      <c r="M543" s="608"/>
      <c r="N543" s="608"/>
    </row>
    <row r="544" spans="3:14" ht="13.5" customHeight="1">
      <c r="C544" s="608"/>
      <c r="D544" s="608"/>
      <c r="E544" s="608"/>
      <c r="F544" s="608"/>
      <c r="G544" s="608"/>
      <c r="H544" s="608"/>
      <c r="I544" s="608"/>
      <c r="J544" s="608"/>
      <c r="K544" s="608"/>
      <c r="L544" s="608"/>
      <c r="M544" s="608"/>
      <c r="N544" s="608"/>
    </row>
    <row r="545" spans="3:14" ht="13.5" customHeight="1">
      <c r="C545" s="608"/>
      <c r="D545" s="608"/>
      <c r="E545" s="608"/>
      <c r="F545" s="608"/>
      <c r="G545" s="608"/>
      <c r="H545" s="608"/>
      <c r="I545" s="608"/>
      <c r="J545" s="608"/>
      <c r="K545" s="608"/>
      <c r="L545" s="608"/>
      <c r="M545" s="608"/>
      <c r="N545" s="608"/>
    </row>
    <row r="546" spans="3:14" ht="13.5" customHeight="1">
      <c r="C546" s="608"/>
      <c r="D546" s="608"/>
      <c r="E546" s="608"/>
      <c r="F546" s="608"/>
      <c r="G546" s="608"/>
      <c r="H546" s="608"/>
      <c r="I546" s="608"/>
      <c r="J546" s="608"/>
      <c r="K546" s="608"/>
      <c r="L546" s="608"/>
      <c r="M546" s="608"/>
      <c r="N546" s="608"/>
    </row>
    <row r="547" spans="3:14" ht="13.5" customHeight="1">
      <c r="C547" s="608"/>
      <c r="D547" s="608"/>
      <c r="E547" s="608"/>
      <c r="F547" s="608"/>
      <c r="G547" s="608"/>
      <c r="H547" s="608"/>
      <c r="I547" s="608"/>
      <c r="J547" s="608"/>
      <c r="K547" s="608"/>
      <c r="L547" s="608"/>
      <c r="M547" s="608"/>
      <c r="N547" s="608"/>
    </row>
    <row r="548" spans="3:14" ht="13.5" customHeight="1">
      <c r="C548" s="608"/>
      <c r="D548" s="608"/>
      <c r="E548" s="608"/>
      <c r="F548" s="608"/>
      <c r="G548" s="608"/>
      <c r="H548" s="608"/>
      <c r="I548" s="608"/>
      <c r="J548" s="608"/>
      <c r="K548" s="608"/>
      <c r="L548" s="608"/>
      <c r="M548" s="608"/>
      <c r="N548" s="608"/>
    </row>
    <row r="549" spans="3:14" ht="13.5" customHeight="1">
      <c r="C549" s="608"/>
      <c r="D549" s="608"/>
      <c r="E549" s="608"/>
      <c r="F549" s="608"/>
      <c r="G549" s="608"/>
      <c r="H549" s="608"/>
      <c r="I549" s="608"/>
      <c r="J549" s="608"/>
      <c r="K549" s="608"/>
      <c r="L549" s="608"/>
      <c r="M549" s="608"/>
      <c r="N549" s="608"/>
    </row>
    <row r="550" spans="3:14" ht="13.5" customHeight="1">
      <c r="C550" s="608"/>
      <c r="D550" s="608"/>
      <c r="E550" s="608"/>
      <c r="F550" s="608"/>
      <c r="G550" s="608"/>
      <c r="H550" s="608"/>
      <c r="I550" s="608"/>
      <c r="J550" s="608"/>
      <c r="K550" s="608"/>
      <c r="L550" s="608"/>
      <c r="M550" s="608"/>
      <c r="N550" s="608"/>
    </row>
    <row r="551" spans="3:14" ht="13.5" customHeight="1">
      <c r="C551" s="608"/>
      <c r="D551" s="608"/>
      <c r="E551" s="608"/>
      <c r="F551" s="608"/>
      <c r="G551" s="608"/>
      <c r="H551" s="608"/>
      <c r="I551" s="608"/>
      <c r="J551" s="608"/>
      <c r="K551" s="608"/>
      <c r="L551" s="608"/>
      <c r="M551" s="608"/>
      <c r="N551" s="608"/>
    </row>
    <row r="552" spans="3:14" ht="13.5" customHeight="1">
      <c r="C552" s="608"/>
      <c r="D552" s="608"/>
      <c r="E552" s="608"/>
      <c r="F552" s="608"/>
      <c r="G552" s="608"/>
      <c r="H552" s="608"/>
      <c r="I552" s="608"/>
      <c r="J552" s="608"/>
      <c r="K552" s="608"/>
      <c r="L552" s="608"/>
      <c r="M552" s="608"/>
      <c r="N552" s="608"/>
    </row>
    <row r="553" spans="3:14" ht="13.5" customHeight="1">
      <c r="C553" s="608"/>
      <c r="D553" s="608"/>
      <c r="E553" s="608"/>
      <c r="F553" s="608"/>
      <c r="G553" s="608"/>
      <c r="H553" s="608"/>
      <c r="I553" s="608"/>
      <c r="J553" s="608"/>
      <c r="K553" s="608"/>
      <c r="L553" s="608"/>
      <c r="M553" s="608"/>
      <c r="N553" s="608"/>
    </row>
    <row r="554" spans="3:14" ht="13.5" customHeight="1">
      <c r="C554" s="608"/>
      <c r="D554" s="608"/>
      <c r="E554" s="608"/>
      <c r="F554" s="608"/>
      <c r="G554" s="608"/>
      <c r="H554" s="608"/>
      <c r="I554" s="608"/>
      <c r="J554" s="608"/>
      <c r="K554" s="608"/>
      <c r="L554" s="608"/>
      <c r="M554" s="608"/>
      <c r="N554" s="608"/>
    </row>
    <row r="555" spans="3:14" ht="13.5" customHeight="1">
      <c r="C555" s="608"/>
      <c r="D555" s="608"/>
      <c r="E555" s="608"/>
      <c r="F555" s="608"/>
      <c r="G555" s="608"/>
      <c r="H555" s="608"/>
      <c r="I555" s="608"/>
      <c r="J555" s="608"/>
      <c r="K555" s="608"/>
      <c r="L555" s="608"/>
      <c r="M555" s="608"/>
      <c r="N555" s="608"/>
    </row>
    <row r="556" spans="3:14" ht="13.5" customHeight="1">
      <c r="C556" s="608"/>
      <c r="D556" s="608"/>
      <c r="E556" s="608"/>
      <c r="F556" s="608"/>
      <c r="G556" s="608"/>
      <c r="H556" s="608"/>
      <c r="I556" s="608"/>
      <c r="J556" s="608"/>
      <c r="K556" s="608"/>
      <c r="L556" s="608"/>
      <c r="M556" s="608"/>
      <c r="N556" s="608"/>
    </row>
    <row r="557" spans="3:14" ht="13.5" customHeight="1">
      <c r="C557" s="608"/>
      <c r="D557" s="608"/>
      <c r="E557" s="608"/>
      <c r="F557" s="608"/>
      <c r="G557" s="608"/>
      <c r="H557" s="608"/>
      <c r="I557" s="608"/>
      <c r="J557" s="608"/>
      <c r="K557" s="608"/>
      <c r="L557" s="608"/>
      <c r="M557" s="608"/>
      <c r="N557" s="608"/>
    </row>
    <row r="558" spans="3:14" ht="13.5" customHeight="1">
      <c r="C558" s="608"/>
      <c r="D558" s="608"/>
      <c r="E558" s="608"/>
      <c r="F558" s="608"/>
      <c r="G558" s="608"/>
      <c r="H558" s="608"/>
      <c r="I558" s="608"/>
      <c r="J558" s="608"/>
      <c r="K558" s="608"/>
      <c r="L558" s="608"/>
      <c r="M558" s="608"/>
      <c r="N558" s="608"/>
    </row>
    <row r="559" spans="3:14" ht="13.5" customHeight="1">
      <c r="C559" s="608"/>
      <c r="D559" s="608"/>
      <c r="E559" s="608"/>
      <c r="F559" s="608"/>
      <c r="G559" s="608"/>
      <c r="H559" s="608"/>
      <c r="I559" s="608"/>
      <c r="J559" s="608"/>
      <c r="K559" s="608"/>
      <c r="L559" s="608"/>
      <c r="M559" s="608"/>
      <c r="N559" s="608"/>
    </row>
    <row r="560" spans="3:14" ht="13.5" customHeight="1">
      <c r="C560" s="608"/>
      <c r="D560" s="608"/>
      <c r="E560" s="608"/>
      <c r="F560" s="608"/>
      <c r="G560" s="608"/>
      <c r="H560" s="608"/>
      <c r="I560" s="608"/>
      <c r="J560" s="608"/>
      <c r="K560" s="608"/>
      <c r="L560" s="608"/>
      <c r="M560" s="608"/>
      <c r="N560" s="608"/>
    </row>
    <row r="561" spans="3:14" ht="13.5" customHeight="1">
      <c r="C561" s="608"/>
      <c r="D561" s="608"/>
      <c r="E561" s="608"/>
      <c r="F561" s="608"/>
      <c r="G561" s="608"/>
      <c r="H561" s="608"/>
      <c r="I561" s="608"/>
      <c r="J561" s="608"/>
      <c r="K561" s="608"/>
      <c r="L561" s="608"/>
      <c r="M561" s="608"/>
      <c r="N561" s="608"/>
    </row>
    <row r="562" spans="3:14" ht="13.5" customHeight="1">
      <c r="C562" s="608"/>
      <c r="D562" s="608"/>
      <c r="E562" s="608"/>
      <c r="F562" s="608"/>
      <c r="G562" s="608"/>
      <c r="H562" s="608"/>
      <c r="I562" s="608"/>
      <c r="J562" s="608"/>
      <c r="K562" s="608"/>
      <c r="L562" s="608"/>
      <c r="M562" s="608"/>
      <c r="N562" s="608"/>
    </row>
    <row r="563" spans="3:14" ht="13.5" customHeight="1">
      <c r="C563" s="608"/>
      <c r="D563" s="608"/>
      <c r="E563" s="608"/>
      <c r="F563" s="608"/>
      <c r="G563" s="608"/>
      <c r="H563" s="608"/>
      <c r="I563" s="608"/>
      <c r="J563" s="608"/>
      <c r="K563" s="608"/>
      <c r="L563" s="608"/>
      <c r="M563" s="608"/>
      <c r="N563" s="608"/>
    </row>
    <row r="564" spans="3:14" ht="13.5" customHeight="1">
      <c r="C564" s="608"/>
      <c r="D564" s="608"/>
      <c r="E564" s="608"/>
      <c r="F564" s="608"/>
      <c r="G564" s="608"/>
      <c r="H564" s="608"/>
      <c r="I564" s="608"/>
      <c r="J564" s="608"/>
      <c r="K564" s="608"/>
      <c r="L564" s="608"/>
      <c r="M564" s="608"/>
      <c r="N564" s="608"/>
    </row>
    <row r="565" spans="3:14" ht="13.5" customHeight="1">
      <c r="C565" s="608"/>
      <c r="D565" s="608"/>
      <c r="E565" s="608"/>
      <c r="F565" s="608"/>
      <c r="G565" s="608"/>
      <c r="H565" s="608"/>
      <c r="I565" s="608"/>
      <c r="J565" s="608"/>
      <c r="K565" s="608"/>
      <c r="L565" s="608"/>
      <c r="M565" s="608"/>
      <c r="N565" s="608"/>
    </row>
    <row r="566" spans="3:14" ht="13.5" customHeight="1">
      <c r="C566" s="608"/>
      <c r="D566" s="608"/>
      <c r="E566" s="608"/>
      <c r="F566" s="608"/>
      <c r="G566" s="608"/>
      <c r="H566" s="608"/>
      <c r="I566" s="608"/>
      <c r="J566" s="608"/>
      <c r="K566" s="608"/>
      <c r="L566" s="608"/>
      <c r="M566" s="608"/>
      <c r="N566" s="608"/>
    </row>
    <row r="567" spans="3:14" ht="13.5" customHeight="1">
      <c r="C567" s="608"/>
      <c r="D567" s="608"/>
      <c r="E567" s="608"/>
      <c r="F567" s="608"/>
      <c r="G567" s="608"/>
      <c r="H567" s="608"/>
      <c r="I567" s="608"/>
      <c r="J567" s="608"/>
      <c r="K567" s="608"/>
      <c r="L567" s="608"/>
      <c r="M567" s="608"/>
      <c r="N567" s="608"/>
    </row>
    <row r="568" spans="3:14" ht="13.5" customHeight="1">
      <c r="C568" s="608"/>
      <c r="D568" s="608"/>
      <c r="E568" s="608"/>
      <c r="F568" s="608"/>
      <c r="G568" s="608"/>
      <c r="H568" s="608"/>
      <c r="I568" s="608"/>
      <c r="J568" s="608"/>
      <c r="K568" s="608"/>
      <c r="L568" s="608"/>
      <c r="M568" s="608"/>
      <c r="N568" s="608"/>
    </row>
    <row r="569" spans="3:14" ht="13.5" customHeight="1">
      <c r="C569" s="608"/>
      <c r="D569" s="608"/>
      <c r="E569" s="608"/>
      <c r="F569" s="608"/>
      <c r="G569" s="608"/>
      <c r="H569" s="608"/>
      <c r="I569" s="608"/>
      <c r="J569" s="608"/>
      <c r="K569" s="608"/>
      <c r="L569" s="608"/>
      <c r="M569" s="608"/>
      <c r="N569" s="608"/>
    </row>
    <row r="570" spans="3:14" ht="13.5" customHeight="1">
      <c r="C570" s="608"/>
      <c r="D570" s="608"/>
      <c r="E570" s="608"/>
      <c r="F570" s="608"/>
      <c r="G570" s="608"/>
      <c r="H570" s="608"/>
      <c r="I570" s="608"/>
      <c r="J570" s="608"/>
      <c r="K570" s="608"/>
      <c r="L570" s="608"/>
      <c r="M570" s="608"/>
      <c r="N570" s="608"/>
    </row>
    <row r="571" spans="3:14" ht="13.5" customHeight="1">
      <c r="C571" s="608"/>
      <c r="D571" s="608"/>
      <c r="E571" s="608"/>
      <c r="F571" s="608"/>
      <c r="G571" s="608"/>
      <c r="H571" s="608"/>
      <c r="I571" s="608"/>
      <c r="J571" s="608"/>
      <c r="K571" s="608"/>
      <c r="L571" s="608"/>
      <c r="M571" s="608"/>
      <c r="N571" s="608"/>
    </row>
    <row r="572" spans="3:14" ht="13.5" customHeight="1">
      <c r="C572" s="608"/>
      <c r="D572" s="608"/>
      <c r="E572" s="608"/>
      <c r="F572" s="608"/>
      <c r="G572" s="608"/>
      <c r="H572" s="608"/>
      <c r="I572" s="608"/>
      <c r="J572" s="608"/>
      <c r="K572" s="608"/>
      <c r="L572" s="608"/>
      <c r="M572" s="608"/>
      <c r="N572" s="608"/>
    </row>
    <row r="573" spans="3:14" ht="13.5" customHeight="1">
      <c r="C573" s="608"/>
      <c r="D573" s="608"/>
      <c r="E573" s="608"/>
      <c r="F573" s="608"/>
      <c r="G573" s="608"/>
      <c r="H573" s="608"/>
      <c r="I573" s="608"/>
      <c r="J573" s="608"/>
      <c r="K573" s="608"/>
      <c r="L573" s="608"/>
      <c r="M573" s="608"/>
      <c r="N573" s="608"/>
    </row>
    <row r="574" spans="3:14" ht="13.5" customHeight="1">
      <c r="C574" s="608"/>
      <c r="D574" s="608"/>
      <c r="E574" s="608"/>
      <c r="F574" s="608"/>
      <c r="G574" s="608"/>
      <c r="H574" s="608"/>
      <c r="I574" s="608"/>
      <c r="J574" s="608"/>
      <c r="K574" s="608"/>
      <c r="L574" s="608"/>
      <c r="M574" s="608"/>
      <c r="N574" s="608"/>
    </row>
    <row r="575" spans="3:14" ht="13.5" customHeight="1">
      <c r="C575" s="608"/>
      <c r="D575" s="608"/>
      <c r="E575" s="608"/>
      <c r="F575" s="608"/>
      <c r="G575" s="608"/>
      <c r="H575" s="608"/>
      <c r="I575" s="608"/>
      <c r="J575" s="608"/>
      <c r="K575" s="608"/>
      <c r="L575" s="608"/>
      <c r="M575" s="608"/>
      <c r="N575" s="608"/>
    </row>
    <row r="576" spans="3:14" ht="13.5" customHeight="1">
      <c r="C576" s="608"/>
      <c r="D576" s="608"/>
      <c r="E576" s="608"/>
      <c r="F576" s="608"/>
      <c r="G576" s="608"/>
      <c r="H576" s="608"/>
      <c r="I576" s="608"/>
      <c r="J576" s="608"/>
      <c r="K576" s="608"/>
      <c r="L576" s="608"/>
      <c r="M576" s="608"/>
      <c r="N576" s="608"/>
    </row>
    <row r="577" spans="3:14" ht="13.5" customHeight="1">
      <c r="C577" s="608"/>
      <c r="D577" s="608"/>
      <c r="E577" s="608"/>
      <c r="F577" s="608"/>
      <c r="G577" s="608"/>
      <c r="H577" s="608"/>
      <c r="I577" s="608"/>
      <c r="J577" s="608"/>
      <c r="K577" s="608"/>
      <c r="L577" s="608"/>
      <c r="M577" s="608"/>
      <c r="N577" s="608"/>
    </row>
    <row r="578" spans="3:14" ht="13.5" customHeight="1">
      <c r="C578" s="608"/>
      <c r="D578" s="608"/>
      <c r="E578" s="608"/>
      <c r="F578" s="608"/>
      <c r="G578" s="608"/>
      <c r="H578" s="608"/>
      <c r="I578" s="608"/>
      <c r="J578" s="608"/>
      <c r="K578" s="608"/>
      <c r="L578" s="608"/>
      <c r="M578" s="608"/>
      <c r="N578" s="608"/>
    </row>
    <row r="579" spans="3:14" ht="13.5" customHeight="1">
      <c r="C579" s="608"/>
      <c r="D579" s="608"/>
      <c r="E579" s="608"/>
      <c r="F579" s="608"/>
      <c r="G579" s="608"/>
      <c r="H579" s="608"/>
      <c r="I579" s="608"/>
      <c r="J579" s="608"/>
      <c r="K579" s="608"/>
      <c r="L579" s="608"/>
      <c r="M579" s="608"/>
      <c r="N579" s="608"/>
    </row>
    <row r="580" spans="3:14" ht="13.5" customHeight="1">
      <c r="C580" s="608"/>
      <c r="D580" s="608"/>
      <c r="E580" s="608"/>
      <c r="F580" s="608"/>
      <c r="G580" s="608"/>
      <c r="H580" s="608"/>
      <c r="I580" s="608"/>
      <c r="J580" s="608"/>
      <c r="K580" s="608"/>
      <c r="L580" s="608"/>
      <c r="M580" s="608"/>
      <c r="N580" s="608"/>
    </row>
    <row r="581" spans="3:14" ht="13.5" customHeight="1">
      <c r="C581" s="608"/>
      <c r="D581" s="608"/>
      <c r="E581" s="608"/>
      <c r="F581" s="608"/>
      <c r="G581" s="608"/>
      <c r="H581" s="608"/>
      <c r="I581" s="608"/>
      <c r="J581" s="608"/>
      <c r="K581" s="608"/>
      <c r="L581" s="608"/>
      <c r="M581" s="608"/>
      <c r="N581" s="608"/>
    </row>
    <row r="582" spans="3:14" ht="13.5" customHeight="1">
      <c r="C582" s="608"/>
      <c r="D582" s="608"/>
      <c r="E582" s="608"/>
      <c r="F582" s="608"/>
      <c r="G582" s="608"/>
      <c r="H582" s="608"/>
      <c r="I582" s="608"/>
      <c r="J582" s="608"/>
      <c r="K582" s="608"/>
      <c r="L582" s="608"/>
      <c r="M582" s="608"/>
      <c r="N582" s="608"/>
    </row>
    <row r="583" spans="3:14" ht="13.5" customHeight="1">
      <c r="C583" s="608"/>
      <c r="D583" s="608"/>
      <c r="E583" s="608"/>
      <c r="F583" s="608"/>
      <c r="G583" s="608"/>
      <c r="H583" s="608"/>
      <c r="I583" s="608"/>
      <c r="J583" s="608"/>
      <c r="K583" s="608"/>
      <c r="L583" s="608"/>
      <c r="M583" s="608"/>
      <c r="N583" s="608"/>
    </row>
    <row r="584" spans="3:14" ht="13.5" customHeight="1">
      <c r="C584" s="608"/>
      <c r="D584" s="608"/>
      <c r="E584" s="608"/>
      <c r="F584" s="608"/>
      <c r="G584" s="608"/>
      <c r="H584" s="608"/>
      <c r="I584" s="608"/>
      <c r="J584" s="608"/>
      <c r="K584" s="608"/>
      <c r="L584" s="608"/>
      <c r="M584" s="608"/>
      <c r="N584" s="608"/>
    </row>
    <row r="585" spans="3:14" ht="13.5" customHeight="1">
      <c r="C585" s="608"/>
      <c r="D585" s="608"/>
      <c r="E585" s="608"/>
      <c r="F585" s="608"/>
      <c r="G585" s="608"/>
      <c r="H585" s="608"/>
      <c r="I585" s="608"/>
      <c r="J585" s="608"/>
      <c r="K585" s="608"/>
      <c r="L585" s="608"/>
      <c r="M585" s="608"/>
      <c r="N585" s="608"/>
    </row>
    <row r="586" spans="3:14" ht="13.5" customHeight="1">
      <c r="C586" s="608"/>
      <c r="D586" s="608"/>
      <c r="E586" s="608"/>
      <c r="F586" s="608"/>
      <c r="G586" s="608"/>
      <c r="H586" s="608"/>
      <c r="I586" s="608"/>
      <c r="J586" s="608"/>
      <c r="K586" s="608"/>
      <c r="L586" s="608"/>
      <c r="M586" s="608"/>
      <c r="N586" s="608"/>
    </row>
    <row r="587" spans="3:14" ht="13.5" customHeight="1">
      <c r="C587" s="608"/>
      <c r="D587" s="608"/>
      <c r="E587" s="608"/>
      <c r="F587" s="608"/>
      <c r="G587" s="608"/>
      <c r="H587" s="608"/>
      <c r="I587" s="608"/>
      <c r="J587" s="608"/>
      <c r="K587" s="608"/>
      <c r="L587" s="608"/>
      <c r="M587" s="608"/>
      <c r="N587" s="608"/>
    </row>
    <row r="588" spans="3:14" ht="13.5" customHeight="1">
      <c r="C588" s="608"/>
      <c r="D588" s="608"/>
      <c r="E588" s="608"/>
      <c r="F588" s="608"/>
      <c r="G588" s="608"/>
      <c r="H588" s="608"/>
      <c r="I588" s="608"/>
      <c r="J588" s="608"/>
      <c r="K588" s="608"/>
      <c r="L588" s="608"/>
      <c r="M588" s="608"/>
      <c r="N588" s="608"/>
    </row>
    <row r="589" spans="3:14" ht="13.5" customHeight="1">
      <c r="C589" s="608"/>
      <c r="D589" s="608"/>
      <c r="E589" s="608"/>
      <c r="F589" s="608"/>
      <c r="G589" s="608"/>
      <c r="H589" s="608"/>
      <c r="I589" s="608"/>
      <c r="J589" s="608"/>
      <c r="K589" s="608"/>
      <c r="L589" s="608"/>
      <c r="M589" s="608"/>
      <c r="N589" s="608"/>
    </row>
    <row r="590" spans="3:14" ht="13.5" customHeight="1">
      <c r="C590" s="608"/>
      <c r="D590" s="608"/>
      <c r="E590" s="608"/>
      <c r="F590" s="608"/>
      <c r="G590" s="608"/>
      <c r="H590" s="608"/>
      <c r="I590" s="608"/>
      <c r="J590" s="608"/>
      <c r="K590" s="608"/>
      <c r="L590" s="608"/>
      <c r="M590" s="608"/>
      <c r="N590" s="608"/>
    </row>
    <row r="591" spans="3:14" ht="13.5" customHeight="1">
      <c r="C591" s="608"/>
      <c r="D591" s="608"/>
      <c r="E591" s="608"/>
      <c r="F591" s="608"/>
      <c r="G591" s="608"/>
      <c r="H591" s="608"/>
      <c r="I591" s="608"/>
      <c r="J591" s="608"/>
      <c r="K591" s="608"/>
      <c r="L591" s="608"/>
      <c r="M591" s="608"/>
      <c r="N591" s="608"/>
    </row>
    <row r="592" spans="3:14" ht="13.5" customHeight="1">
      <c r="C592" s="608"/>
      <c r="D592" s="608"/>
      <c r="E592" s="608"/>
      <c r="F592" s="608"/>
      <c r="G592" s="608"/>
      <c r="H592" s="608"/>
      <c r="I592" s="608"/>
      <c r="J592" s="608"/>
      <c r="K592" s="608"/>
      <c r="L592" s="608"/>
      <c r="M592" s="608"/>
      <c r="N592" s="608"/>
    </row>
    <row r="593" spans="3:14" ht="13.5" customHeight="1">
      <c r="C593" s="608"/>
      <c r="D593" s="608"/>
      <c r="E593" s="608"/>
      <c r="F593" s="608"/>
      <c r="G593" s="608"/>
      <c r="H593" s="608"/>
      <c r="I593" s="608"/>
      <c r="J593" s="608"/>
      <c r="K593" s="608"/>
      <c r="L593" s="608"/>
      <c r="M593" s="608"/>
      <c r="N593" s="608"/>
    </row>
    <row r="594" spans="3:14" ht="13.5" customHeight="1">
      <c r="C594" s="608"/>
      <c r="D594" s="608"/>
      <c r="E594" s="608"/>
      <c r="F594" s="608"/>
      <c r="G594" s="608"/>
      <c r="H594" s="608"/>
      <c r="I594" s="608"/>
      <c r="J594" s="608"/>
      <c r="K594" s="608"/>
      <c r="L594" s="608"/>
      <c r="M594" s="608"/>
      <c r="N594" s="608"/>
    </row>
    <row r="595" spans="3:14" ht="13.5" customHeight="1">
      <c r="C595" s="608"/>
      <c r="D595" s="608"/>
      <c r="E595" s="608"/>
      <c r="F595" s="608"/>
      <c r="G595" s="608"/>
      <c r="H595" s="608"/>
      <c r="I595" s="608"/>
      <c r="J595" s="608"/>
      <c r="K595" s="608"/>
      <c r="L595" s="608"/>
      <c r="M595" s="608"/>
      <c r="N595" s="608"/>
    </row>
    <row r="596" spans="3:14" ht="13.5" customHeight="1">
      <c r="C596" s="608"/>
      <c r="D596" s="608"/>
      <c r="E596" s="608"/>
      <c r="F596" s="608"/>
      <c r="G596" s="608"/>
      <c r="H596" s="608"/>
      <c r="I596" s="608"/>
      <c r="J596" s="608"/>
      <c r="K596" s="608"/>
      <c r="L596" s="608"/>
      <c r="M596" s="608"/>
      <c r="N596" s="608"/>
    </row>
    <row r="597" spans="3:14" ht="13.5" customHeight="1">
      <c r="C597" s="608"/>
      <c r="D597" s="608"/>
      <c r="E597" s="608"/>
      <c r="F597" s="608"/>
      <c r="G597" s="608"/>
      <c r="H597" s="608"/>
      <c r="I597" s="608"/>
      <c r="J597" s="608"/>
      <c r="K597" s="608"/>
      <c r="L597" s="608"/>
      <c r="M597" s="608"/>
      <c r="N597" s="608"/>
    </row>
    <row r="598" spans="3:14" ht="13.5" customHeight="1">
      <c r="C598" s="608"/>
      <c r="D598" s="608"/>
      <c r="E598" s="608"/>
      <c r="F598" s="608"/>
      <c r="G598" s="608"/>
      <c r="H598" s="608"/>
      <c r="I598" s="608"/>
      <c r="J598" s="608"/>
      <c r="K598" s="608"/>
      <c r="L598" s="608"/>
      <c r="M598" s="608"/>
      <c r="N598" s="608"/>
    </row>
    <row r="599" spans="3:14" ht="13.5" customHeight="1">
      <c r="C599" s="608"/>
      <c r="D599" s="608"/>
      <c r="E599" s="608"/>
      <c r="F599" s="608"/>
      <c r="G599" s="608"/>
      <c r="H599" s="608"/>
      <c r="I599" s="608"/>
      <c r="J599" s="608"/>
      <c r="K599" s="608"/>
      <c r="L599" s="608"/>
      <c r="M599" s="608"/>
      <c r="N599" s="608"/>
    </row>
    <row r="600" spans="3:14" ht="13.5" customHeight="1">
      <c r="C600" s="608"/>
      <c r="D600" s="608"/>
      <c r="E600" s="608"/>
      <c r="F600" s="608"/>
      <c r="G600" s="608"/>
      <c r="H600" s="608"/>
      <c r="I600" s="608"/>
      <c r="J600" s="608"/>
      <c r="K600" s="608"/>
      <c r="L600" s="608"/>
      <c r="M600" s="608"/>
      <c r="N600" s="608"/>
    </row>
    <row r="601" spans="3:14" ht="13.5" customHeight="1">
      <c r="C601" s="608"/>
      <c r="D601" s="608"/>
      <c r="E601" s="608"/>
      <c r="F601" s="608"/>
      <c r="G601" s="608"/>
      <c r="H601" s="608"/>
      <c r="I601" s="608"/>
      <c r="J601" s="608"/>
      <c r="K601" s="608"/>
      <c r="L601" s="608"/>
      <c r="M601" s="608"/>
      <c r="N601" s="608"/>
    </row>
    <row r="602" spans="3:14" ht="13.5" customHeight="1">
      <c r="C602" s="608"/>
      <c r="D602" s="608"/>
      <c r="E602" s="608"/>
      <c r="F602" s="608"/>
      <c r="G602" s="608"/>
      <c r="H602" s="608"/>
      <c r="I602" s="608"/>
      <c r="J602" s="608"/>
      <c r="K602" s="608"/>
      <c r="L602" s="608"/>
      <c r="M602" s="608"/>
      <c r="N602" s="608"/>
    </row>
    <row r="603" spans="3:14" ht="13.5" customHeight="1">
      <c r="C603" s="608"/>
      <c r="D603" s="608"/>
      <c r="E603" s="608"/>
      <c r="F603" s="608"/>
      <c r="G603" s="608"/>
      <c r="H603" s="608"/>
      <c r="I603" s="608"/>
      <c r="J603" s="608"/>
      <c r="K603" s="608"/>
      <c r="L603" s="608"/>
      <c r="M603" s="608"/>
      <c r="N603" s="608"/>
    </row>
    <row r="604" spans="3:14" ht="13.5" customHeight="1">
      <c r="C604" s="608"/>
      <c r="D604" s="608"/>
      <c r="E604" s="608"/>
      <c r="F604" s="608"/>
      <c r="G604" s="608"/>
      <c r="H604" s="608"/>
      <c r="I604" s="608"/>
      <c r="J604" s="608"/>
      <c r="K604" s="608"/>
      <c r="L604" s="608"/>
      <c r="M604" s="608"/>
      <c r="N604" s="608"/>
    </row>
    <row r="605" spans="3:14" ht="13.5" customHeight="1">
      <c r="C605" s="608"/>
      <c r="D605" s="608"/>
      <c r="E605" s="608"/>
      <c r="F605" s="608"/>
      <c r="G605" s="608"/>
      <c r="H605" s="608"/>
      <c r="I605" s="608"/>
      <c r="J605" s="608"/>
      <c r="K605" s="608"/>
      <c r="L605" s="608"/>
      <c r="M605" s="608"/>
      <c r="N605" s="608"/>
    </row>
    <row r="606" spans="3:14" ht="13.5" customHeight="1">
      <c r="C606" s="608"/>
      <c r="D606" s="608"/>
      <c r="E606" s="608"/>
      <c r="F606" s="608"/>
      <c r="G606" s="608"/>
      <c r="H606" s="608"/>
      <c r="I606" s="608"/>
      <c r="J606" s="608"/>
      <c r="K606" s="608"/>
      <c r="L606" s="608"/>
      <c r="M606" s="608"/>
      <c r="N606" s="608"/>
    </row>
    <row r="607" spans="3:14" ht="13.5" customHeight="1">
      <c r="C607" s="608"/>
      <c r="D607" s="608"/>
      <c r="E607" s="608"/>
      <c r="F607" s="608"/>
      <c r="G607" s="608"/>
      <c r="H607" s="608"/>
      <c r="I607" s="608"/>
      <c r="J607" s="608"/>
      <c r="K607" s="608"/>
      <c r="L607" s="608"/>
      <c r="M607" s="608"/>
      <c r="N607" s="608"/>
    </row>
    <row r="608" spans="3:14" ht="13.5" customHeight="1">
      <c r="C608" s="608"/>
      <c r="D608" s="608"/>
      <c r="E608" s="608"/>
      <c r="F608" s="608"/>
      <c r="G608" s="608"/>
      <c r="H608" s="608"/>
      <c r="I608" s="608"/>
      <c r="J608" s="608"/>
      <c r="K608" s="608"/>
      <c r="L608" s="608"/>
      <c r="M608" s="608"/>
      <c r="N608" s="608"/>
    </row>
    <row r="609" spans="3:14" ht="13.5" customHeight="1">
      <c r="C609" s="608"/>
      <c r="D609" s="608"/>
      <c r="E609" s="608"/>
      <c r="F609" s="608"/>
      <c r="G609" s="608"/>
      <c r="H609" s="608"/>
      <c r="I609" s="608"/>
      <c r="J609" s="608"/>
      <c r="K609" s="608"/>
      <c r="L609" s="608"/>
      <c r="M609" s="608"/>
      <c r="N609" s="608"/>
    </row>
    <row r="610" spans="3:14" ht="13.5" customHeight="1">
      <c r="C610" s="608"/>
      <c r="D610" s="608"/>
      <c r="E610" s="608"/>
      <c r="F610" s="608"/>
      <c r="G610" s="608"/>
      <c r="H610" s="608"/>
      <c r="I610" s="608"/>
      <c r="J610" s="608"/>
      <c r="K610" s="608"/>
      <c r="L610" s="608"/>
      <c r="M610" s="608"/>
      <c r="N610" s="608"/>
    </row>
    <row r="611" spans="3:14" ht="13.5" customHeight="1">
      <c r="C611" s="608"/>
      <c r="D611" s="608"/>
      <c r="E611" s="608"/>
      <c r="F611" s="608"/>
      <c r="G611" s="608"/>
      <c r="H611" s="608"/>
      <c r="I611" s="608"/>
      <c r="J611" s="608"/>
      <c r="K611" s="608"/>
      <c r="L611" s="608"/>
      <c r="M611" s="608"/>
      <c r="N611" s="608"/>
    </row>
    <row r="612" spans="3:14" ht="13.5" customHeight="1">
      <c r="C612" s="608"/>
      <c r="D612" s="608"/>
      <c r="E612" s="608"/>
      <c r="F612" s="608"/>
      <c r="G612" s="608"/>
      <c r="H612" s="608"/>
      <c r="I612" s="608"/>
      <c r="J612" s="608"/>
      <c r="K612" s="608"/>
      <c r="L612" s="608"/>
      <c r="M612" s="608"/>
      <c r="N612" s="608"/>
    </row>
    <row r="613" spans="3:14" ht="13.5" customHeight="1">
      <c r="C613" s="608"/>
      <c r="D613" s="608"/>
      <c r="E613" s="608"/>
      <c r="F613" s="608"/>
      <c r="G613" s="608"/>
      <c r="H613" s="608"/>
      <c r="I613" s="608"/>
      <c r="J613" s="608"/>
      <c r="K613" s="608"/>
      <c r="L613" s="608"/>
      <c r="M613" s="608"/>
      <c r="N613" s="608"/>
    </row>
    <row r="614" spans="3:14" ht="13.5" customHeight="1">
      <c r="C614" s="608"/>
      <c r="D614" s="608"/>
      <c r="E614" s="608"/>
      <c r="F614" s="608"/>
      <c r="G614" s="608"/>
      <c r="H614" s="608"/>
      <c r="I614" s="608"/>
      <c r="J614" s="608"/>
      <c r="K614" s="608"/>
      <c r="L614" s="608"/>
      <c r="M614" s="608"/>
      <c r="N614" s="608"/>
    </row>
    <row r="615" spans="3:14" ht="13.5" customHeight="1">
      <c r="C615" s="608"/>
      <c r="D615" s="608"/>
      <c r="E615" s="608"/>
      <c r="F615" s="608"/>
      <c r="G615" s="608"/>
      <c r="H615" s="608"/>
      <c r="I615" s="608"/>
      <c r="J615" s="608"/>
      <c r="K615" s="608"/>
      <c r="L615" s="608"/>
      <c r="M615" s="608"/>
      <c r="N615" s="608"/>
    </row>
    <row r="616" spans="3:14" ht="13.5" customHeight="1">
      <c r="C616" s="608"/>
      <c r="D616" s="608"/>
      <c r="E616" s="608"/>
      <c r="F616" s="608"/>
      <c r="G616" s="608"/>
      <c r="H616" s="608"/>
      <c r="I616" s="608"/>
      <c r="J616" s="608"/>
      <c r="K616" s="608"/>
      <c r="L616" s="608"/>
      <c r="M616" s="608"/>
      <c r="N616" s="608"/>
    </row>
    <row r="617" spans="3:14" ht="13.5" customHeight="1">
      <c r="C617" s="608"/>
      <c r="D617" s="608"/>
      <c r="E617" s="608"/>
      <c r="F617" s="608"/>
      <c r="G617" s="608"/>
      <c r="H617" s="608"/>
      <c r="I617" s="608"/>
      <c r="J617" s="608"/>
      <c r="K617" s="608"/>
      <c r="L617" s="608"/>
      <c r="M617" s="608"/>
      <c r="N617" s="608"/>
    </row>
    <row r="618" spans="3:14" ht="13.5" customHeight="1">
      <c r="C618" s="608"/>
      <c r="D618" s="608"/>
      <c r="E618" s="608"/>
      <c r="F618" s="608"/>
      <c r="G618" s="608"/>
      <c r="H618" s="608"/>
      <c r="I618" s="608"/>
      <c r="J618" s="608"/>
      <c r="K618" s="608"/>
      <c r="L618" s="608"/>
      <c r="M618" s="608"/>
      <c r="N618" s="608"/>
    </row>
    <row r="619" spans="3:14" ht="13.5" customHeight="1">
      <c r="C619" s="608"/>
      <c r="D619" s="608"/>
      <c r="E619" s="608"/>
      <c r="F619" s="608"/>
      <c r="G619" s="608"/>
      <c r="H619" s="608"/>
      <c r="I619" s="608"/>
      <c r="J619" s="608"/>
      <c r="K619" s="608"/>
      <c r="L619" s="608"/>
      <c r="M619" s="608"/>
      <c r="N619" s="608"/>
    </row>
    <row r="620" spans="3:14" ht="13.5" customHeight="1">
      <c r="C620" s="608"/>
      <c r="D620" s="608"/>
      <c r="E620" s="608"/>
      <c r="F620" s="608"/>
      <c r="G620" s="608"/>
      <c r="H620" s="608"/>
      <c r="I620" s="608"/>
      <c r="J620" s="608"/>
      <c r="K620" s="608"/>
      <c r="L620" s="608"/>
      <c r="M620" s="608"/>
      <c r="N620" s="608"/>
    </row>
    <row r="621" spans="3:14" ht="13.5" customHeight="1">
      <c r="C621" s="608"/>
      <c r="D621" s="608"/>
      <c r="E621" s="608"/>
      <c r="F621" s="608"/>
      <c r="G621" s="608"/>
      <c r="H621" s="608"/>
      <c r="I621" s="608"/>
      <c r="J621" s="608"/>
      <c r="K621" s="608"/>
      <c r="L621" s="608"/>
      <c r="M621" s="608"/>
      <c r="N621" s="608"/>
    </row>
    <row r="622" spans="3:14" ht="13.5" customHeight="1">
      <c r="C622" s="608"/>
      <c r="D622" s="608"/>
      <c r="E622" s="608"/>
      <c r="F622" s="608"/>
      <c r="G622" s="608"/>
      <c r="H622" s="608"/>
      <c r="I622" s="608"/>
      <c r="J622" s="608"/>
      <c r="K622" s="608"/>
      <c r="L622" s="608"/>
      <c r="M622" s="608"/>
      <c r="N622" s="608"/>
    </row>
    <row r="623" spans="3:14" ht="13.5" customHeight="1">
      <c r="C623" s="608"/>
      <c r="D623" s="608"/>
      <c r="E623" s="608"/>
      <c r="F623" s="608"/>
      <c r="G623" s="608"/>
      <c r="H623" s="608"/>
      <c r="I623" s="608"/>
      <c r="J623" s="608"/>
      <c r="K623" s="608"/>
      <c r="L623" s="608"/>
      <c r="M623" s="608"/>
      <c r="N623" s="608"/>
    </row>
    <row r="624" spans="3:14" ht="13.5" customHeight="1">
      <c r="C624" s="608"/>
      <c r="D624" s="608"/>
      <c r="E624" s="608"/>
      <c r="F624" s="608"/>
      <c r="G624" s="608"/>
      <c r="H624" s="608"/>
      <c r="I624" s="608"/>
      <c r="J624" s="608"/>
      <c r="K624" s="608"/>
      <c r="L624" s="608"/>
      <c r="M624" s="608"/>
      <c r="N624" s="608"/>
    </row>
    <row r="625" spans="3:14" ht="13.5" customHeight="1">
      <c r="C625" s="608"/>
      <c r="D625" s="608"/>
      <c r="E625" s="608"/>
      <c r="F625" s="608"/>
      <c r="G625" s="608"/>
      <c r="H625" s="608"/>
      <c r="I625" s="608"/>
      <c r="J625" s="608"/>
      <c r="K625" s="608"/>
      <c r="L625" s="608"/>
      <c r="M625" s="608"/>
      <c r="N625" s="608"/>
    </row>
    <row r="626" spans="3:14" ht="13.5" customHeight="1">
      <c r="C626" s="608"/>
      <c r="D626" s="608"/>
      <c r="E626" s="608"/>
      <c r="F626" s="608"/>
      <c r="G626" s="608"/>
      <c r="H626" s="608"/>
      <c r="I626" s="608"/>
      <c r="J626" s="608"/>
      <c r="K626" s="608"/>
      <c r="L626" s="608"/>
      <c r="M626" s="608"/>
      <c r="N626" s="608"/>
    </row>
    <row r="627" spans="3:14" ht="13.5" customHeight="1">
      <c r="C627" s="608"/>
      <c r="D627" s="608"/>
      <c r="E627" s="608"/>
      <c r="F627" s="608"/>
      <c r="G627" s="608"/>
      <c r="H627" s="608"/>
      <c r="I627" s="608"/>
      <c r="J627" s="608"/>
      <c r="K627" s="608"/>
      <c r="L627" s="608"/>
      <c r="M627" s="608"/>
      <c r="N627" s="608"/>
    </row>
    <row r="628" spans="3:14" ht="13.5" customHeight="1">
      <c r="C628" s="608"/>
      <c r="D628" s="608"/>
      <c r="E628" s="608"/>
      <c r="F628" s="608"/>
      <c r="G628" s="608"/>
      <c r="H628" s="608"/>
      <c r="I628" s="608"/>
      <c r="J628" s="608"/>
      <c r="K628" s="608"/>
      <c r="L628" s="608"/>
      <c r="M628" s="608"/>
      <c r="N628" s="608"/>
    </row>
    <row r="629" spans="3:14" ht="13.5" customHeight="1">
      <c r="C629" s="608"/>
      <c r="D629" s="608"/>
      <c r="E629" s="608"/>
      <c r="F629" s="608"/>
      <c r="G629" s="608"/>
      <c r="H629" s="608"/>
      <c r="I629" s="608"/>
      <c r="J629" s="608"/>
      <c r="K629" s="608"/>
      <c r="L629" s="608"/>
      <c r="M629" s="608"/>
      <c r="N629" s="608"/>
    </row>
    <row r="630" spans="3:14" ht="13.5" customHeight="1">
      <c r="C630" s="608"/>
      <c r="D630" s="608"/>
      <c r="E630" s="608"/>
      <c r="F630" s="608"/>
      <c r="G630" s="608"/>
      <c r="H630" s="608"/>
      <c r="I630" s="608"/>
      <c r="J630" s="608"/>
      <c r="K630" s="608"/>
      <c r="L630" s="608"/>
      <c r="M630" s="608"/>
      <c r="N630" s="608"/>
    </row>
    <row r="631" spans="3:14" ht="13.5" customHeight="1">
      <c r="C631" s="608"/>
      <c r="D631" s="608"/>
      <c r="E631" s="608"/>
      <c r="F631" s="608"/>
      <c r="G631" s="608"/>
      <c r="H631" s="608"/>
      <c r="I631" s="608"/>
      <c r="J631" s="608"/>
      <c r="K631" s="608"/>
      <c r="L631" s="608"/>
      <c r="M631" s="608"/>
      <c r="N631" s="608"/>
    </row>
    <row r="632" spans="3:14" ht="13.5" customHeight="1">
      <c r="C632" s="608"/>
      <c r="D632" s="608"/>
      <c r="E632" s="608"/>
      <c r="F632" s="608"/>
      <c r="G632" s="608"/>
      <c r="H632" s="608"/>
      <c r="I632" s="608"/>
      <c r="J632" s="608"/>
      <c r="K632" s="608"/>
      <c r="L632" s="608"/>
      <c r="M632" s="608"/>
      <c r="N632" s="608"/>
    </row>
    <row r="633" spans="3:14" ht="13.5" customHeight="1">
      <c r="C633" s="608"/>
      <c r="D633" s="608"/>
      <c r="E633" s="608"/>
      <c r="F633" s="608"/>
      <c r="G633" s="608"/>
      <c r="H633" s="608"/>
      <c r="I633" s="608"/>
      <c r="J633" s="608"/>
      <c r="K633" s="608"/>
      <c r="L633" s="608"/>
      <c r="M633" s="608"/>
      <c r="N633" s="608"/>
    </row>
    <row r="634" spans="3:14" ht="13.5" customHeight="1">
      <c r="C634" s="608"/>
      <c r="D634" s="608"/>
      <c r="E634" s="608"/>
      <c r="F634" s="608"/>
      <c r="G634" s="608"/>
      <c r="H634" s="608"/>
      <c r="I634" s="608"/>
      <c r="J634" s="608"/>
      <c r="K634" s="608"/>
      <c r="L634" s="608"/>
      <c r="M634" s="608"/>
      <c r="N634" s="608"/>
    </row>
    <row r="635" spans="3:14" ht="13.5" customHeight="1">
      <c r="C635" s="608"/>
      <c r="D635" s="608"/>
      <c r="E635" s="608"/>
      <c r="F635" s="608"/>
      <c r="G635" s="608"/>
      <c r="H635" s="608"/>
      <c r="I635" s="608"/>
      <c r="J635" s="608"/>
      <c r="K635" s="608"/>
      <c r="L635" s="608"/>
      <c r="M635" s="608"/>
      <c r="N635" s="608"/>
    </row>
    <row r="636" spans="3:14" ht="13.5" customHeight="1">
      <c r="C636" s="608"/>
      <c r="D636" s="608"/>
      <c r="E636" s="608"/>
      <c r="F636" s="608"/>
      <c r="G636" s="608"/>
      <c r="H636" s="608"/>
      <c r="I636" s="608"/>
      <c r="J636" s="608"/>
      <c r="K636" s="608"/>
      <c r="L636" s="608"/>
      <c r="M636" s="608"/>
      <c r="N636" s="608"/>
    </row>
    <row r="637" spans="3:14" ht="13.5" customHeight="1">
      <c r="C637" s="608"/>
      <c r="D637" s="608"/>
      <c r="E637" s="608"/>
      <c r="F637" s="608"/>
      <c r="G637" s="608"/>
      <c r="H637" s="608"/>
      <c r="I637" s="608"/>
      <c r="J637" s="608"/>
      <c r="K637" s="608"/>
      <c r="L637" s="608"/>
      <c r="M637" s="608"/>
      <c r="N637" s="608"/>
    </row>
    <row r="638" spans="3:14" ht="13.5" customHeight="1">
      <c r="C638" s="608"/>
      <c r="D638" s="608"/>
      <c r="E638" s="608"/>
      <c r="F638" s="608"/>
      <c r="G638" s="608"/>
      <c r="H638" s="608"/>
      <c r="I638" s="608"/>
      <c r="J638" s="608"/>
      <c r="K638" s="608"/>
      <c r="L638" s="608"/>
      <c r="M638" s="608"/>
      <c r="N638" s="608"/>
    </row>
    <row r="639" spans="3:14" ht="13.5" customHeight="1">
      <c r="C639" s="608"/>
      <c r="D639" s="608"/>
      <c r="E639" s="608"/>
      <c r="F639" s="608"/>
      <c r="G639" s="608"/>
      <c r="H639" s="608"/>
      <c r="I639" s="608"/>
      <c r="J639" s="608"/>
      <c r="K639" s="608"/>
      <c r="L639" s="608"/>
      <c r="M639" s="608"/>
      <c r="N639" s="608"/>
    </row>
    <row r="640" spans="3:14" ht="13.5" customHeight="1">
      <c r="C640" s="608"/>
      <c r="D640" s="608"/>
      <c r="E640" s="608"/>
      <c r="F640" s="608"/>
      <c r="G640" s="608"/>
      <c r="H640" s="608"/>
      <c r="I640" s="608"/>
      <c r="J640" s="608"/>
      <c r="K640" s="608"/>
      <c r="L640" s="608"/>
      <c r="M640" s="608"/>
      <c r="N640" s="608"/>
    </row>
    <row r="641" spans="3:14" ht="13.5" customHeight="1">
      <c r="C641" s="608"/>
      <c r="D641" s="608"/>
      <c r="E641" s="608"/>
      <c r="F641" s="608"/>
      <c r="G641" s="608"/>
      <c r="H641" s="608"/>
      <c r="I641" s="608"/>
      <c r="J641" s="608"/>
      <c r="K641" s="608"/>
      <c r="L641" s="608"/>
      <c r="M641" s="608"/>
      <c r="N641" s="608"/>
    </row>
    <row r="642" spans="3:14" ht="13.5" customHeight="1">
      <c r="C642" s="608"/>
      <c r="D642" s="608"/>
      <c r="E642" s="608"/>
      <c r="F642" s="608"/>
      <c r="G642" s="608"/>
      <c r="H642" s="608"/>
      <c r="I642" s="608"/>
      <c r="J642" s="608"/>
      <c r="K642" s="608"/>
      <c r="L642" s="608"/>
      <c r="M642" s="608"/>
      <c r="N642" s="608"/>
    </row>
    <row r="643" spans="3:14" ht="13.5" customHeight="1">
      <c r="C643" s="608"/>
      <c r="D643" s="608"/>
      <c r="E643" s="608"/>
      <c r="F643" s="608"/>
      <c r="G643" s="608"/>
      <c r="H643" s="608"/>
      <c r="I643" s="608"/>
      <c r="J643" s="608"/>
      <c r="K643" s="608"/>
      <c r="L643" s="608"/>
      <c r="M643" s="608"/>
      <c r="N643" s="608"/>
    </row>
    <row r="644" spans="3:14" ht="13.5" customHeight="1">
      <c r="C644" s="608"/>
      <c r="D644" s="608"/>
      <c r="E644" s="608"/>
      <c r="F644" s="608"/>
      <c r="G644" s="608"/>
      <c r="H644" s="608"/>
      <c r="I644" s="608"/>
      <c r="J644" s="608"/>
      <c r="K644" s="608"/>
      <c r="L644" s="608"/>
      <c r="M644" s="608"/>
      <c r="N644" s="608"/>
    </row>
    <row r="645" spans="3:14" ht="13.5" customHeight="1">
      <c r="C645" s="608"/>
      <c r="D645" s="608"/>
      <c r="E645" s="608"/>
      <c r="F645" s="608"/>
      <c r="G645" s="608"/>
      <c r="H645" s="608"/>
      <c r="I645" s="608"/>
      <c r="J645" s="608"/>
      <c r="K645" s="608"/>
      <c r="L645" s="608"/>
      <c r="M645" s="608"/>
      <c r="N645" s="608"/>
    </row>
    <row r="646" spans="3:14" ht="13.5" customHeight="1">
      <c r="C646" s="608"/>
      <c r="D646" s="608"/>
      <c r="E646" s="608"/>
      <c r="F646" s="608"/>
      <c r="G646" s="608"/>
      <c r="H646" s="608"/>
      <c r="I646" s="608"/>
      <c r="J646" s="608"/>
      <c r="K646" s="608"/>
      <c r="L646" s="608"/>
      <c r="M646" s="608"/>
      <c r="N646" s="608"/>
    </row>
    <row r="647" spans="3:14" ht="13.5" customHeight="1">
      <c r="C647" s="608"/>
      <c r="D647" s="608"/>
      <c r="E647" s="608"/>
      <c r="F647" s="608"/>
      <c r="G647" s="608"/>
      <c r="H647" s="608"/>
      <c r="I647" s="608"/>
      <c r="J647" s="608"/>
      <c r="K647" s="608"/>
      <c r="L647" s="608"/>
      <c r="M647" s="608"/>
      <c r="N647" s="608"/>
    </row>
    <row r="648" spans="3:14" ht="13.5" customHeight="1">
      <c r="C648" s="608"/>
      <c r="D648" s="608"/>
      <c r="E648" s="608"/>
      <c r="F648" s="608"/>
      <c r="G648" s="608"/>
      <c r="H648" s="608"/>
      <c r="I648" s="608"/>
      <c r="J648" s="608"/>
      <c r="K648" s="608"/>
      <c r="L648" s="608"/>
      <c r="M648" s="608"/>
      <c r="N648" s="608"/>
    </row>
    <row r="649" spans="3:14" ht="13.5" customHeight="1">
      <c r="C649" s="608"/>
      <c r="D649" s="608"/>
      <c r="E649" s="608"/>
      <c r="F649" s="608"/>
      <c r="G649" s="608"/>
      <c r="H649" s="608"/>
      <c r="I649" s="608"/>
      <c r="J649" s="608"/>
      <c r="K649" s="608"/>
      <c r="L649" s="608"/>
      <c r="M649" s="608"/>
      <c r="N649" s="608"/>
    </row>
    <row r="650" spans="3:14" ht="13.5" customHeight="1">
      <c r="C650" s="608"/>
      <c r="D650" s="608"/>
      <c r="E650" s="608"/>
      <c r="F650" s="608"/>
      <c r="G650" s="608"/>
      <c r="H650" s="608"/>
      <c r="I650" s="608"/>
      <c r="J650" s="608"/>
      <c r="K650" s="608"/>
      <c r="L650" s="608"/>
      <c r="M650" s="608"/>
      <c r="N650" s="608"/>
    </row>
    <row r="651" spans="3:14" ht="13.5" customHeight="1">
      <c r="C651" s="608"/>
      <c r="D651" s="608"/>
      <c r="E651" s="608"/>
      <c r="F651" s="608"/>
      <c r="G651" s="608"/>
      <c r="H651" s="608"/>
      <c r="I651" s="608"/>
      <c r="J651" s="608"/>
      <c r="K651" s="608"/>
      <c r="L651" s="608"/>
      <c r="M651" s="608"/>
      <c r="N651" s="608"/>
    </row>
    <row r="652" spans="3:14" ht="13.5" customHeight="1">
      <c r="C652" s="608"/>
      <c r="D652" s="608"/>
      <c r="E652" s="608"/>
      <c r="F652" s="608"/>
      <c r="G652" s="608"/>
      <c r="H652" s="608"/>
      <c r="I652" s="608"/>
      <c r="J652" s="608"/>
      <c r="K652" s="608"/>
      <c r="L652" s="608"/>
      <c r="M652" s="608"/>
      <c r="N652" s="608"/>
    </row>
    <row r="653" spans="3:14" ht="13.5" customHeight="1">
      <c r="C653" s="608"/>
      <c r="D653" s="608"/>
      <c r="E653" s="608"/>
      <c r="F653" s="608"/>
      <c r="G653" s="608"/>
      <c r="H653" s="608"/>
      <c r="I653" s="608"/>
      <c r="J653" s="608"/>
      <c r="K653" s="608"/>
      <c r="L653" s="608"/>
      <c r="M653" s="608"/>
      <c r="N653" s="608"/>
    </row>
    <row r="654" spans="3:14" ht="13.5" customHeight="1">
      <c r="C654" s="608"/>
      <c r="D654" s="608"/>
      <c r="E654" s="608"/>
      <c r="F654" s="608"/>
      <c r="G654" s="608"/>
      <c r="H654" s="608"/>
      <c r="I654" s="608"/>
      <c r="J654" s="608"/>
      <c r="K654" s="608"/>
      <c r="L654" s="608"/>
      <c r="M654" s="608"/>
      <c r="N654" s="608"/>
    </row>
    <row r="655" spans="3:14" ht="13.5" customHeight="1">
      <c r="C655" s="608"/>
      <c r="D655" s="608"/>
      <c r="E655" s="608"/>
      <c r="F655" s="608"/>
      <c r="G655" s="608"/>
      <c r="H655" s="608"/>
      <c r="I655" s="608"/>
      <c r="J655" s="608"/>
      <c r="K655" s="608"/>
      <c r="L655" s="608"/>
      <c r="M655" s="608"/>
      <c r="N655" s="608"/>
    </row>
    <row r="656" spans="3:14" ht="13.5" customHeight="1">
      <c r="C656" s="608"/>
      <c r="D656" s="608"/>
      <c r="E656" s="608"/>
      <c r="F656" s="608"/>
      <c r="G656" s="608"/>
      <c r="H656" s="608"/>
      <c r="I656" s="608"/>
      <c r="J656" s="608"/>
      <c r="K656" s="608"/>
      <c r="L656" s="608"/>
      <c r="M656" s="608"/>
      <c r="N656" s="608"/>
    </row>
    <row r="657" spans="3:14" ht="13.5" customHeight="1">
      <c r="C657" s="608"/>
      <c r="D657" s="608"/>
      <c r="E657" s="608"/>
      <c r="F657" s="608"/>
      <c r="G657" s="608"/>
      <c r="H657" s="608"/>
      <c r="I657" s="608"/>
      <c r="J657" s="608"/>
      <c r="K657" s="608"/>
      <c r="L657" s="608"/>
      <c r="M657" s="608"/>
      <c r="N657" s="608"/>
    </row>
    <row r="658" spans="3:14" ht="13.5" customHeight="1">
      <c r="C658" s="608"/>
      <c r="D658" s="608"/>
      <c r="E658" s="608"/>
      <c r="F658" s="608"/>
      <c r="G658" s="608"/>
      <c r="H658" s="608"/>
      <c r="I658" s="608"/>
      <c r="J658" s="608"/>
      <c r="K658" s="608"/>
      <c r="L658" s="608"/>
      <c r="M658" s="608"/>
      <c r="N658" s="608"/>
    </row>
    <row r="659" spans="3:14" ht="13.5" customHeight="1">
      <c r="C659" s="608"/>
      <c r="D659" s="608"/>
      <c r="E659" s="608"/>
      <c r="F659" s="608"/>
      <c r="G659" s="608"/>
      <c r="H659" s="608"/>
      <c r="I659" s="608"/>
      <c r="J659" s="608"/>
      <c r="K659" s="608"/>
      <c r="L659" s="608"/>
      <c r="M659" s="608"/>
      <c r="N659" s="608"/>
    </row>
    <row r="660" spans="3:14" ht="13.5" customHeight="1">
      <c r="C660" s="608"/>
      <c r="D660" s="608"/>
      <c r="E660" s="608"/>
      <c r="F660" s="608"/>
      <c r="G660" s="608"/>
      <c r="H660" s="608"/>
      <c r="I660" s="608"/>
      <c r="J660" s="608"/>
      <c r="K660" s="608"/>
      <c r="L660" s="608"/>
      <c r="M660" s="608"/>
      <c r="N660" s="608"/>
    </row>
    <row r="661" spans="3:14" ht="13.5" customHeight="1">
      <c r="C661" s="608"/>
      <c r="D661" s="608"/>
      <c r="E661" s="608"/>
      <c r="F661" s="608"/>
      <c r="G661" s="608"/>
      <c r="H661" s="608"/>
      <c r="I661" s="608"/>
      <c r="J661" s="608"/>
      <c r="K661" s="608"/>
      <c r="L661" s="608"/>
      <c r="M661" s="608"/>
      <c r="N661" s="608"/>
    </row>
    <row r="662" spans="3:14" ht="13.5" customHeight="1">
      <c r="C662" s="608"/>
      <c r="D662" s="608"/>
      <c r="E662" s="608"/>
      <c r="F662" s="608"/>
      <c r="G662" s="608"/>
      <c r="H662" s="608"/>
      <c r="I662" s="608"/>
      <c r="J662" s="608"/>
      <c r="K662" s="608"/>
      <c r="L662" s="608"/>
      <c r="M662" s="608"/>
      <c r="N662" s="608"/>
    </row>
    <row r="663" spans="3:14" ht="13.5" customHeight="1">
      <c r="C663" s="608"/>
      <c r="D663" s="608"/>
      <c r="E663" s="608"/>
      <c r="F663" s="608"/>
      <c r="G663" s="608"/>
      <c r="H663" s="608"/>
      <c r="I663" s="608"/>
      <c r="J663" s="608"/>
      <c r="K663" s="608"/>
      <c r="L663" s="608"/>
      <c r="M663" s="608"/>
      <c r="N663" s="608"/>
    </row>
    <row r="664" spans="3:14" ht="13.5" customHeight="1">
      <c r="C664" s="608"/>
      <c r="D664" s="608"/>
      <c r="E664" s="608"/>
      <c r="F664" s="608"/>
      <c r="G664" s="608"/>
      <c r="H664" s="608"/>
      <c r="I664" s="608"/>
      <c r="J664" s="608"/>
      <c r="K664" s="608"/>
      <c r="L664" s="608"/>
      <c r="M664" s="608"/>
      <c r="N664" s="608"/>
    </row>
    <row r="665" spans="3:14" ht="13.5" customHeight="1">
      <c r="C665" s="608"/>
      <c r="D665" s="608"/>
      <c r="E665" s="608"/>
      <c r="F665" s="608"/>
      <c r="G665" s="608"/>
      <c r="H665" s="608"/>
      <c r="I665" s="608"/>
      <c r="J665" s="608"/>
      <c r="K665" s="608"/>
      <c r="L665" s="608"/>
      <c r="M665" s="608"/>
      <c r="N665" s="608"/>
    </row>
    <row r="666" spans="3:14" ht="13.5" customHeight="1">
      <c r="C666" s="608"/>
      <c r="D666" s="608"/>
      <c r="E666" s="608"/>
      <c r="F666" s="608"/>
      <c r="G666" s="608"/>
      <c r="H666" s="608"/>
      <c r="I666" s="608"/>
      <c r="J666" s="608"/>
      <c r="K666" s="608"/>
      <c r="L666" s="608"/>
      <c r="M666" s="608"/>
      <c r="N666" s="608"/>
    </row>
    <row r="667" spans="3:14" ht="13.5" customHeight="1">
      <c r="C667" s="608"/>
      <c r="D667" s="608"/>
      <c r="E667" s="608"/>
      <c r="F667" s="608"/>
      <c r="G667" s="608"/>
      <c r="H667" s="608"/>
      <c r="I667" s="608"/>
      <c r="J667" s="608"/>
      <c r="K667" s="608"/>
      <c r="L667" s="608"/>
      <c r="M667" s="608"/>
      <c r="N667" s="608"/>
    </row>
    <row r="668" spans="3:14" ht="13.5" customHeight="1">
      <c r="C668" s="608"/>
      <c r="D668" s="608"/>
      <c r="E668" s="608"/>
      <c r="F668" s="608"/>
      <c r="G668" s="608"/>
      <c r="H668" s="608"/>
      <c r="I668" s="608"/>
      <c r="J668" s="608"/>
      <c r="K668" s="608"/>
      <c r="L668" s="608"/>
      <c r="M668" s="608"/>
      <c r="N668" s="608"/>
    </row>
    <row r="669" spans="3:14" ht="13.5" customHeight="1">
      <c r="C669" s="608"/>
      <c r="D669" s="608"/>
      <c r="E669" s="608"/>
      <c r="F669" s="608"/>
      <c r="G669" s="608"/>
      <c r="H669" s="608"/>
      <c r="I669" s="608"/>
      <c r="J669" s="608"/>
      <c r="K669" s="608"/>
      <c r="L669" s="608"/>
      <c r="M669" s="608"/>
      <c r="N669" s="608"/>
    </row>
    <row r="670" spans="3:14" ht="13.5" customHeight="1">
      <c r="C670" s="608"/>
      <c r="D670" s="608"/>
      <c r="E670" s="608"/>
      <c r="F670" s="608"/>
      <c r="G670" s="608"/>
      <c r="H670" s="608"/>
      <c r="I670" s="608"/>
      <c r="J670" s="608"/>
      <c r="K670" s="608"/>
      <c r="L670" s="608"/>
      <c r="M670" s="608"/>
      <c r="N670" s="608"/>
    </row>
    <row r="671" spans="3:14" ht="13.5" customHeight="1">
      <c r="C671" s="608"/>
      <c r="D671" s="608"/>
      <c r="E671" s="608"/>
      <c r="F671" s="608"/>
      <c r="G671" s="608"/>
      <c r="H671" s="608"/>
      <c r="I671" s="608"/>
      <c r="J671" s="608"/>
      <c r="K671" s="608"/>
      <c r="L671" s="608"/>
      <c r="M671" s="608"/>
      <c r="N671" s="608"/>
    </row>
    <row r="672" spans="3:14" ht="13.5" customHeight="1">
      <c r="C672" s="608"/>
      <c r="D672" s="608"/>
      <c r="E672" s="608"/>
      <c r="F672" s="608"/>
      <c r="G672" s="608"/>
      <c r="H672" s="608"/>
      <c r="I672" s="608"/>
      <c r="J672" s="608"/>
      <c r="K672" s="608"/>
      <c r="L672" s="608"/>
      <c r="M672" s="608"/>
      <c r="N672" s="608"/>
    </row>
    <row r="673" spans="3:14" ht="13.5" customHeight="1">
      <c r="C673" s="608"/>
      <c r="D673" s="608"/>
      <c r="E673" s="608"/>
      <c r="F673" s="608"/>
      <c r="G673" s="608"/>
      <c r="H673" s="608"/>
      <c r="I673" s="608"/>
      <c r="J673" s="608"/>
      <c r="K673" s="608"/>
      <c r="L673" s="608"/>
      <c r="M673" s="608"/>
      <c r="N673" s="608"/>
    </row>
    <row r="674" spans="3:14" ht="13.5" customHeight="1">
      <c r="C674" s="608"/>
      <c r="D674" s="608"/>
      <c r="E674" s="608"/>
      <c r="F674" s="608"/>
      <c r="G674" s="608"/>
      <c r="H674" s="608"/>
      <c r="I674" s="608"/>
      <c r="J674" s="608"/>
      <c r="K674" s="608"/>
      <c r="L674" s="608"/>
      <c r="M674" s="608"/>
      <c r="N674" s="608"/>
    </row>
    <row r="675" spans="3:14" ht="13.5" customHeight="1">
      <c r="C675" s="608"/>
      <c r="D675" s="608"/>
      <c r="E675" s="608"/>
      <c r="F675" s="608"/>
      <c r="G675" s="608"/>
      <c r="H675" s="608"/>
      <c r="I675" s="608"/>
      <c r="J675" s="608"/>
      <c r="K675" s="608"/>
      <c r="L675" s="608"/>
      <c r="M675" s="608"/>
      <c r="N675" s="608"/>
    </row>
    <row r="676" spans="3:14" ht="13.5" customHeight="1">
      <c r="C676" s="608"/>
      <c r="D676" s="608"/>
      <c r="E676" s="608"/>
      <c r="F676" s="608"/>
      <c r="G676" s="608"/>
      <c r="H676" s="608"/>
      <c r="I676" s="608"/>
      <c r="J676" s="608"/>
      <c r="K676" s="608"/>
      <c r="L676" s="608"/>
      <c r="M676" s="608"/>
      <c r="N676" s="608"/>
    </row>
    <row r="677" spans="3:14" ht="13.5" customHeight="1">
      <c r="C677" s="608"/>
      <c r="D677" s="608"/>
      <c r="E677" s="608"/>
      <c r="F677" s="608"/>
      <c r="G677" s="608"/>
      <c r="H677" s="608"/>
      <c r="I677" s="608"/>
      <c r="J677" s="608"/>
      <c r="K677" s="608"/>
      <c r="L677" s="608"/>
      <c r="M677" s="608"/>
      <c r="N677" s="608"/>
    </row>
    <row r="678" spans="3:14" ht="13.5" customHeight="1">
      <c r="C678" s="608"/>
      <c r="D678" s="608"/>
      <c r="E678" s="608"/>
      <c r="F678" s="608"/>
      <c r="G678" s="608"/>
      <c r="H678" s="608"/>
      <c r="I678" s="608"/>
      <c r="J678" s="608"/>
      <c r="K678" s="608"/>
      <c r="L678" s="608"/>
      <c r="M678" s="608"/>
      <c r="N678" s="608"/>
    </row>
    <row r="679" spans="3:14" ht="13.5" customHeight="1">
      <c r="C679" s="608"/>
      <c r="D679" s="608"/>
      <c r="E679" s="608"/>
      <c r="F679" s="608"/>
      <c r="G679" s="608"/>
      <c r="H679" s="608"/>
      <c r="I679" s="608"/>
      <c r="J679" s="608"/>
      <c r="K679" s="608"/>
      <c r="L679" s="608"/>
      <c r="M679" s="608"/>
      <c r="N679" s="608"/>
    </row>
    <row r="680" spans="3:14" ht="13.5" customHeight="1">
      <c r="C680" s="608"/>
      <c r="D680" s="608"/>
      <c r="E680" s="608"/>
      <c r="F680" s="608"/>
      <c r="G680" s="608"/>
      <c r="H680" s="608"/>
      <c r="I680" s="608"/>
      <c r="J680" s="608"/>
      <c r="K680" s="608"/>
      <c r="L680" s="608"/>
      <c r="M680" s="608"/>
      <c r="N680" s="608"/>
    </row>
    <row r="681" spans="3:14" ht="13.5" customHeight="1">
      <c r="C681" s="608"/>
      <c r="D681" s="608"/>
      <c r="E681" s="608"/>
      <c r="F681" s="608"/>
      <c r="G681" s="608"/>
      <c r="H681" s="608"/>
      <c r="I681" s="608"/>
      <c r="J681" s="608"/>
      <c r="K681" s="608"/>
      <c r="L681" s="608"/>
      <c r="M681" s="608"/>
      <c r="N681" s="608"/>
    </row>
    <row r="682" spans="3:14" ht="13.5" customHeight="1">
      <c r="C682" s="608"/>
      <c r="D682" s="608"/>
      <c r="E682" s="608"/>
      <c r="F682" s="608"/>
      <c r="G682" s="608"/>
      <c r="H682" s="608"/>
      <c r="I682" s="608"/>
      <c r="J682" s="608"/>
      <c r="K682" s="608"/>
      <c r="L682" s="608"/>
      <c r="M682" s="608"/>
      <c r="N682" s="608"/>
    </row>
    <row r="683" spans="3:14" ht="13.5" customHeight="1">
      <c r="C683" s="608"/>
      <c r="D683" s="608"/>
      <c r="E683" s="608"/>
      <c r="F683" s="608"/>
      <c r="G683" s="608"/>
      <c r="H683" s="608"/>
      <c r="I683" s="608"/>
      <c r="J683" s="608"/>
      <c r="K683" s="608"/>
      <c r="L683" s="608"/>
      <c r="M683" s="608"/>
      <c r="N683" s="608"/>
    </row>
    <row r="684" spans="3:14" ht="13.5" customHeight="1">
      <c r="C684" s="608"/>
      <c r="D684" s="608"/>
      <c r="E684" s="608"/>
      <c r="F684" s="608"/>
      <c r="G684" s="608"/>
      <c r="H684" s="608"/>
      <c r="I684" s="608"/>
      <c r="J684" s="608"/>
      <c r="K684" s="608"/>
      <c r="L684" s="608"/>
      <c r="M684" s="608"/>
      <c r="N684" s="608"/>
    </row>
    <row r="685" spans="3:14" ht="13.5" customHeight="1">
      <c r="C685" s="608"/>
      <c r="D685" s="608"/>
      <c r="E685" s="608"/>
      <c r="F685" s="608"/>
      <c r="G685" s="608"/>
      <c r="H685" s="608"/>
      <c r="I685" s="608"/>
      <c r="J685" s="608"/>
      <c r="K685" s="608"/>
      <c r="L685" s="608"/>
      <c r="M685" s="608"/>
      <c r="N685" s="608"/>
    </row>
    <row r="686" spans="3:14" ht="13.5" customHeight="1">
      <c r="C686" s="608"/>
      <c r="D686" s="608"/>
      <c r="E686" s="608"/>
      <c r="F686" s="608"/>
      <c r="G686" s="608"/>
      <c r="H686" s="608"/>
      <c r="I686" s="608"/>
      <c r="J686" s="608"/>
      <c r="K686" s="608"/>
      <c r="L686" s="608"/>
      <c r="M686" s="608"/>
      <c r="N686" s="608"/>
    </row>
    <row r="687" spans="3:14" ht="13.5" customHeight="1">
      <c r="C687" s="608"/>
      <c r="D687" s="608"/>
      <c r="E687" s="608"/>
      <c r="F687" s="608"/>
      <c r="G687" s="608"/>
      <c r="H687" s="608"/>
      <c r="I687" s="608"/>
      <c r="J687" s="608"/>
      <c r="K687" s="608"/>
      <c r="L687" s="608"/>
      <c r="M687" s="608"/>
      <c r="N687" s="608"/>
    </row>
    <row r="688" spans="3:14" ht="13.5" customHeight="1">
      <c r="C688" s="608"/>
      <c r="D688" s="608"/>
      <c r="E688" s="608"/>
      <c r="F688" s="608"/>
      <c r="G688" s="608"/>
      <c r="H688" s="608"/>
      <c r="I688" s="608"/>
      <c r="J688" s="608"/>
      <c r="K688" s="608"/>
      <c r="L688" s="608"/>
      <c r="M688" s="608"/>
      <c r="N688" s="608"/>
    </row>
    <row r="689" spans="3:14" ht="13.5" customHeight="1">
      <c r="C689" s="608"/>
      <c r="D689" s="608"/>
      <c r="E689" s="608"/>
      <c r="F689" s="608"/>
      <c r="G689" s="608"/>
      <c r="H689" s="608"/>
      <c r="I689" s="608"/>
      <c r="J689" s="608"/>
      <c r="K689" s="608"/>
      <c r="L689" s="608"/>
      <c r="M689" s="608"/>
      <c r="N689" s="608"/>
    </row>
    <row r="690" spans="3:14" ht="13.5" customHeight="1">
      <c r="C690" s="608"/>
      <c r="D690" s="608"/>
      <c r="E690" s="608"/>
      <c r="F690" s="608"/>
      <c r="G690" s="608"/>
      <c r="H690" s="608"/>
      <c r="I690" s="608"/>
      <c r="J690" s="608"/>
      <c r="K690" s="608"/>
      <c r="L690" s="608"/>
      <c r="M690" s="608"/>
      <c r="N690" s="608"/>
    </row>
    <row r="691" spans="3:14" ht="13.5" customHeight="1">
      <c r="C691" s="608"/>
      <c r="D691" s="608"/>
      <c r="E691" s="608"/>
      <c r="F691" s="608"/>
      <c r="G691" s="608"/>
      <c r="H691" s="608"/>
      <c r="I691" s="608"/>
      <c r="J691" s="608"/>
      <c r="K691" s="608"/>
      <c r="L691" s="608"/>
      <c r="M691" s="608"/>
      <c r="N691" s="608"/>
    </row>
    <row r="692" spans="3:14" ht="13.5" customHeight="1">
      <c r="C692" s="608"/>
      <c r="D692" s="608"/>
      <c r="E692" s="608"/>
      <c r="F692" s="608"/>
      <c r="G692" s="608"/>
      <c r="H692" s="608"/>
      <c r="I692" s="608"/>
      <c r="J692" s="608"/>
      <c r="K692" s="608"/>
      <c r="L692" s="608"/>
      <c r="M692" s="608"/>
      <c r="N692" s="608"/>
    </row>
    <row r="693" spans="3:14" ht="13.5" customHeight="1">
      <c r="C693" s="608"/>
      <c r="D693" s="608"/>
      <c r="E693" s="608"/>
      <c r="F693" s="608"/>
      <c r="G693" s="608"/>
      <c r="H693" s="608"/>
      <c r="I693" s="608"/>
      <c r="J693" s="608"/>
      <c r="K693" s="608"/>
      <c r="L693" s="608"/>
      <c r="M693" s="608"/>
      <c r="N693" s="608"/>
    </row>
    <row r="694" spans="3:14" ht="13.5" customHeight="1">
      <c r="C694" s="608"/>
      <c r="D694" s="608"/>
      <c r="E694" s="608"/>
      <c r="F694" s="608"/>
      <c r="G694" s="608"/>
      <c r="H694" s="608"/>
      <c r="I694" s="608"/>
      <c r="J694" s="608"/>
      <c r="K694" s="608"/>
      <c r="L694" s="608"/>
      <c r="M694" s="608"/>
      <c r="N694" s="608"/>
    </row>
    <row r="695" spans="3:14" ht="13.5" customHeight="1">
      <c r="C695" s="608"/>
      <c r="D695" s="608"/>
      <c r="E695" s="608"/>
      <c r="F695" s="608"/>
      <c r="G695" s="608"/>
      <c r="H695" s="608"/>
      <c r="I695" s="608"/>
      <c r="J695" s="608"/>
      <c r="K695" s="608"/>
      <c r="L695" s="608"/>
      <c r="M695" s="608"/>
      <c r="N695" s="608"/>
    </row>
    <row r="696" spans="3:14" ht="13.5" customHeight="1">
      <c r="C696" s="608"/>
      <c r="D696" s="608"/>
      <c r="E696" s="608"/>
      <c r="F696" s="608"/>
      <c r="G696" s="608"/>
      <c r="H696" s="608"/>
      <c r="I696" s="608"/>
      <c r="J696" s="608"/>
      <c r="K696" s="608"/>
      <c r="L696" s="608"/>
      <c r="M696" s="608"/>
      <c r="N696" s="608"/>
    </row>
    <row r="697" spans="3:14" ht="13.5" customHeight="1">
      <c r="C697" s="608"/>
      <c r="D697" s="608"/>
      <c r="E697" s="608"/>
      <c r="F697" s="608"/>
      <c r="G697" s="608"/>
      <c r="H697" s="608"/>
      <c r="I697" s="608"/>
      <c r="J697" s="608"/>
      <c r="K697" s="608"/>
      <c r="L697" s="608"/>
      <c r="M697" s="608"/>
      <c r="N697" s="608"/>
    </row>
    <row r="698" spans="3:14" ht="13.5" customHeight="1">
      <c r="C698" s="608"/>
      <c r="D698" s="608"/>
      <c r="E698" s="608"/>
      <c r="F698" s="608"/>
      <c r="G698" s="608"/>
      <c r="H698" s="608"/>
      <c r="I698" s="608"/>
      <c r="J698" s="608"/>
      <c r="K698" s="608"/>
      <c r="L698" s="608"/>
      <c r="M698" s="608"/>
      <c r="N698" s="608"/>
    </row>
    <row r="699" spans="3:14" ht="13.5" customHeight="1">
      <c r="C699" s="608"/>
      <c r="D699" s="608"/>
      <c r="E699" s="608"/>
      <c r="F699" s="608"/>
      <c r="G699" s="608"/>
      <c r="H699" s="608"/>
      <c r="I699" s="608"/>
      <c r="J699" s="608"/>
      <c r="K699" s="608"/>
      <c r="L699" s="608"/>
      <c r="M699" s="608"/>
      <c r="N699" s="608"/>
    </row>
    <row r="700" spans="3:14" ht="13.5" customHeight="1">
      <c r="C700" s="608"/>
      <c r="D700" s="608"/>
      <c r="E700" s="608"/>
      <c r="F700" s="608"/>
      <c r="G700" s="608"/>
      <c r="H700" s="608"/>
      <c r="I700" s="608"/>
      <c r="J700" s="608"/>
      <c r="K700" s="608"/>
      <c r="L700" s="608"/>
      <c r="M700" s="608"/>
      <c r="N700" s="608"/>
    </row>
    <row r="701" spans="3:14" ht="13.5" customHeight="1">
      <c r="C701" s="608"/>
      <c r="D701" s="608"/>
      <c r="E701" s="608"/>
      <c r="F701" s="608"/>
      <c r="G701" s="608"/>
      <c r="H701" s="608"/>
      <c r="I701" s="608"/>
      <c r="J701" s="608"/>
      <c r="K701" s="608"/>
      <c r="L701" s="608"/>
      <c r="M701" s="608"/>
      <c r="N701" s="608"/>
    </row>
    <row r="702" spans="3:14" ht="13.5" customHeight="1">
      <c r="C702" s="608"/>
      <c r="D702" s="608"/>
      <c r="E702" s="608"/>
      <c r="F702" s="608"/>
      <c r="G702" s="608"/>
      <c r="H702" s="608"/>
      <c r="I702" s="608"/>
      <c r="J702" s="608"/>
      <c r="K702" s="608"/>
      <c r="L702" s="608"/>
      <c r="M702" s="608"/>
      <c r="N702" s="608"/>
    </row>
    <row r="703" spans="3:14" ht="13.5" customHeight="1">
      <c r="C703" s="608"/>
      <c r="D703" s="608"/>
      <c r="E703" s="608"/>
      <c r="F703" s="608"/>
      <c r="G703" s="608"/>
      <c r="H703" s="608"/>
      <c r="I703" s="608"/>
      <c r="J703" s="608"/>
      <c r="K703" s="608"/>
      <c r="L703" s="608"/>
      <c r="M703" s="608"/>
      <c r="N703" s="608"/>
    </row>
    <row r="704" spans="3:14" ht="13.5" customHeight="1">
      <c r="C704" s="608"/>
      <c r="D704" s="608"/>
      <c r="E704" s="608"/>
      <c r="F704" s="608"/>
      <c r="G704" s="608"/>
      <c r="H704" s="608"/>
      <c r="I704" s="608"/>
      <c r="J704" s="608"/>
      <c r="K704" s="608"/>
      <c r="L704" s="608"/>
      <c r="M704" s="608"/>
      <c r="N704" s="608"/>
    </row>
    <row r="705" spans="3:14" ht="13.5" customHeight="1">
      <c r="C705" s="608"/>
      <c r="D705" s="608"/>
      <c r="E705" s="608"/>
      <c r="F705" s="608"/>
      <c r="G705" s="608"/>
      <c r="H705" s="608"/>
      <c r="I705" s="608"/>
      <c r="J705" s="608"/>
      <c r="K705" s="608"/>
      <c r="L705" s="608"/>
      <c r="M705" s="608"/>
      <c r="N705" s="608"/>
    </row>
    <row r="706" spans="3:14" ht="13.5" customHeight="1">
      <c r="C706" s="608"/>
      <c r="D706" s="608"/>
      <c r="E706" s="608"/>
      <c r="F706" s="608"/>
      <c r="G706" s="608"/>
      <c r="H706" s="608"/>
      <c r="I706" s="608"/>
      <c r="J706" s="608"/>
      <c r="K706" s="608"/>
      <c r="L706" s="608"/>
      <c r="M706" s="608"/>
      <c r="N706" s="608"/>
    </row>
    <row r="707" spans="3:14" ht="13.5" customHeight="1">
      <c r="C707" s="608"/>
      <c r="D707" s="608"/>
      <c r="E707" s="608"/>
      <c r="F707" s="608"/>
      <c r="G707" s="608"/>
      <c r="H707" s="608"/>
      <c r="I707" s="608"/>
      <c r="J707" s="608"/>
      <c r="K707" s="608"/>
      <c r="L707" s="608"/>
      <c r="M707" s="608"/>
      <c r="N707" s="608"/>
    </row>
    <row r="708" spans="3:14" ht="13.5" customHeight="1">
      <c r="C708" s="608"/>
      <c r="D708" s="608"/>
      <c r="E708" s="608"/>
      <c r="F708" s="608"/>
      <c r="G708" s="608"/>
      <c r="H708" s="608"/>
      <c r="I708" s="608"/>
      <c r="J708" s="608"/>
      <c r="K708" s="608"/>
      <c r="L708" s="608"/>
      <c r="M708" s="608"/>
      <c r="N708" s="608"/>
    </row>
    <row r="709" spans="3:14" ht="13.5" customHeight="1">
      <c r="C709" s="608"/>
      <c r="D709" s="608"/>
      <c r="E709" s="608"/>
      <c r="F709" s="608"/>
      <c r="G709" s="608"/>
      <c r="H709" s="608"/>
      <c r="I709" s="608"/>
      <c r="J709" s="608"/>
      <c r="K709" s="608"/>
      <c r="L709" s="608"/>
      <c r="M709" s="608"/>
      <c r="N709" s="608"/>
    </row>
    <row r="710" spans="3:14" ht="13.5" customHeight="1">
      <c r="C710" s="608"/>
      <c r="D710" s="608"/>
      <c r="E710" s="608"/>
      <c r="F710" s="608"/>
      <c r="G710" s="608"/>
      <c r="H710" s="608"/>
      <c r="I710" s="608"/>
      <c r="J710" s="608"/>
      <c r="K710" s="608"/>
      <c r="L710" s="608"/>
      <c r="M710" s="608"/>
      <c r="N710" s="608"/>
    </row>
    <row r="711" spans="3:14" ht="13.5" customHeight="1">
      <c r="C711" s="608"/>
      <c r="D711" s="608"/>
      <c r="E711" s="608"/>
      <c r="F711" s="608"/>
      <c r="G711" s="608"/>
      <c r="H711" s="608"/>
      <c r="I711" s="608"/>
      <c r="J711" s="608"/>
      <c r="K711" s="608"/>
      <c r="L711" s="608"/>
      <c r="M711" s="608"/>
      <c r="N711" s="608"/>
    </row>
    <row r="712" spans="3:14" ht="13.5" customHeight="1">
      <c r="C712" s="608"/>
      <c r="D712" s="608"/>
      <c r="E712" s="608"/>
      <c r="F712" s="608"/>
      <c r="G712" s="608"/>
      <c r="H712" s="608"/>
      <c r="I712" s="608"/>
      <c r="J712" s="608"/>
      <c r="K712" s="608"/>
      <c r="L712" s="608"/>
      <c r="M712" s="608"/>
      <c r="N712" s="608"/>
    </row>
    <row r="713" spans="3:14" ht="13.5" customHeight="1">
      <c r="C713" s="608"/>
      <c r="D713" s="608"/>
      <c r="E713" s="608"/>
      <c r="F713" s="608"/>
      <c r="G713" s="608"/>
      <c r="H713" s="608"/>
      <c r="I713" s="608"/>
      <c r="J713" s="608"/>
      <c r="K713" s="608"/>
      <c r="L713" s="608"/>
      <c r="M713" s="608"/>
      <c r="N713" s="608"/>
    </row>
    <row r="714" spans="3:14" ht="13.5" customHeight="1">
      <c r="C714" s="608"/>
      <c r="D714" s="608"/>
      <c r="E714" s="608"/>
      <c r="F714" s="608"/>
      <c r="G714" s="608"/>
      <c r="H714" s="608"/>
      <c r="I714" s="608"/>
      <c r="J714" s="608"/>
      <c r="K714" s="608"/>
      <c r="L714" s="608"/>
      <c r="M714" s="608"/>
      <c r="N714" s="608"/>
    </row>
    <row r="715" spans="3:14" ht="13.5" customHeight="1">
      <c r="C715" s="608"/>
      <c r="D715" s="608"/>
      <c r="E715" s="608"/>
      <c r="F715" s="608"/>
      <c r="G715" s="608"/>
      <c r="H715" s="608"/>
      <c r="I715" s="608"/>
      <c r="J715" s="608"/>
      <c r="K715" s="608"/>
      <c r="L715" s="608"/>
      <c r="M715" s="608"/>
      <c r="N715" s="608"/>
    </row>
    <row r="716" spans="3:14" ht="13.5" customHeight="1">
      <c r="C716" s="608"/>
      <c r="D716" s="608"/>
      <c r="E716" s="608"/>
      <c r="F716" s="608"/>
      <c r="G716" s="608"/>
      <c r="H716" s="608"/>
      <c r="I716" s="608"/>
      <c r="J716" s="608"/>
      <c r="K716" s="608"/>
      <c r="L716" s="608"/>
      <c r="M716" s="608"/>
      <c r="N716" s="608"/>
    </row>
    <row r="717" spans="3:14" ht="13.5" customHeight="1">
      <c r="C717" s="608"/>
      <c r="D717" s="608"/>
      <c r="E717" s="608"/>
      <c r="F717" s="608"/>
      <c r="G717" s="608"/>
      <c r="H717" s="608"/>
      <c r="I717" s="608"/>
      <c r="J717" s="608"/>
      <c r="K717" s="608"/>
      <c r="L717" s="608"/>
      <c r="M717" s="608"/>
      <c r="N717" s="608"/>
    </row>
    <row r="718" spans="3:14" ht="13.5" customHeight="1">
      <c r="C718" s="608"/>
      <c r="D718" s="608"/>
      <c r="E718" s="608"/>
      <c r="F718" s="608"/>
      <c r="G718" s="608"/>
      <c r="H718" s="608"/>
      <c r="I718" s="608"/>
      <c r="J718" s="608"/>
      <c r="K718" s="608"/>
      <c r="L718" s="608"/>
      <c r="M718" s="608"/>
      <c r="N718" s="608"/>
    </row>
    <row r="719" spans="3:14" ht="13.5" customHeight="1">
      <c r="C719" s="608"/>
      <c r="D719" s="608"/>
      <c r="E719" s="608"/>
      <c r="F719" s="608"/>
      <c r="G719" s="608"/>
      <c r="H719" s="608"/>
      <c r="I719" s="608"/>
      <c r="J719" s="608"/>
      <c r="K719" s="608"/>
      <c r="L719" s="608"/>
      <c r="M719" s="608"/>
      <c r="N719" s="608"/>
    </row>
    <row r="720" spans="3:14" ht="13.5" customHeight="1">
      <c r="C720" s="608"/>
      <c r="D720" s="608"/>
      <c r="E720" s="608"/>
      <c r="F720" s="608"/>
      <c r="G720" s="608"/>
      <c r="H720" s="608"/>
      <c r="I720" s="608"/>
      <c r="J720" s="608"/>
      <c r="K720" s="608"/>
      <c r="L720" s="608"/>
      <c r="M720" s="608"/>
      <c r="N720" s="608"/>
    </row>
    <row r="721" spans="3:14" ht="13.5" customHeight="1">
      <c r="C721" s="608"/>
      <c r="D721" s="608"/>
      <c r="E721" s="608"/>
      <c r="F721" s="608"/>
      <c r="G721" s="608"/>
      <c r="H721" s="608"/>
      <c r="I721" s="608"/>
      <c r="J721" s="608"/>
      <c r="K721" s="608"/>
      <c r="L721" s="608"/>
      <c r="M721" s="608"/>
      <c r="N721" s="608"/>
    </row>
    <row r="722" spans="3:14" ht="13.5" customHeight="1">
      <c r="C722" s="608"/>
      <c r="D722" s="608"/>
      <c r="E722" s="608"/>
      <c r="F722" s="608"/>
      <c r="G722" s="608"/>
      <c r="H722" s="608"/>
      <c r="I722" s="608"/>
      <c r="J722" s="608"/>
      <c r="K722" s="608"/>
      <c r="L722" s="608"/>
      <c r="M722" s="608"/>
      <c r="N722" s="608"/>
    </row>
    <row r="723" spans="3:14" ht="13.5" customHeight="1">
      <c r="C723" s="608"/>
      <c r="D723" s="608"/>
      <c r="E723" s="608"/>
      <c r="F723" s="608"/>
      <c r="G723" s="608"/>
      <c r="H723" s="608"/>
      <c r="I723" s="608"/>
      <c r="J723" s="608"/>
      <c r="K723" s="608"/>
      <c r="L723" s="608"/>
      <c r="M723" s="608"/>
      <c r="N723" s="608"/>
    </row>
    <row r="724" spans="3:14" ht="13.5" customHeight="1">
      <c r="C724" s="608"/>
      <c r="D724" s="608"/>
      <c r="E724" s="608"/>
      <c r="F724" s="608"/>
      <c r="G724" s="608"/>
      <c r="H724" s="608"/>
      <c r="I724" s="608"/>
      <c r="J724" s="608"/>
      <c r="K724" s="608"/>
      <c r="L724" s="608"/>
      <c r="M724" s="608"/>
      <c r="N724" s="608"/>
    </row>
    <row r="725" spans="3:14" ht="13.5" customHeight="1">
      <c r="C725" s="608"/>
      <c r="D725" s="608"/>
      <c r="E725" s="608"/>
      <c r="F725" s="608"/>
      <c r="G725" s="608"/>
      <c r="H725" s="608"/>
      <c r="I725" s="608"/>
      <c r="J725" s="608"/>
      <c r="K725" s="608"/>
      <c r="L725" s="608"/>
      <c r="M725" s="608"/>
      <c r="N725" s="608"/>
    </row>
    <row r="726" spans="3:14" ht="13.5" customHeight="1">
      <c r="C726" s="608"/>
      <c r="D726" s="608"/>
      <c r="E726" s="608"/>
      <c r="F726" s="608"/>
      <c r="G726" s="608"/>
      <c r="H726" s="608"/>
      <c r="I726" s="608"/>
      <c r="J726" s="608"/>
      <c r="K726" s="608"/>
      <c r="L726" s="608"/>
      <c r="M726" s="608"/>
      <c r="N726" s="608"/>
    </row>
    <row r="727" spans="3:14" ht="13.5" customHeight="1">
      <c r="C727" s="608"/>
      <c r="D727" s="608"/>
      <c r="E727" s="608"/>
      <c r="F727" s="608"/>
      <c r="G727" s="608"/>
      <c r="H727" s="608"/>
      <c r="I727" s="608"/>
      <c r="J727" s="608"/>
      <c r="K727" s="608"/>
      <c r="L727" s="608"/>
      <c r="M727" s="608"/>
      <c r="N727" s="608"/>
    </row>
    <row r="728" spans="3:14" ht="13.5" customHeight="1">
      <c r="C728" s="608"/>
      <c r="D728" s="608"/>
      <c r="E728" s="608"/>
      <c r="F728" s="608"/>
      <c r="G728" s="608"/>
      <c r="H728" s="608"/>
      <c r="I728" s="608"/>
      <c r="J728" s="608"/>
      <c r="K728" s="608"/>
      <c r="L728" s="608"/>
      <c r="M728" s="608"/>
      <c r="N728" s="608"/>
    </row>
    <row r="729" spans="3:14" ht="13.5" customHeight="1">
      <c r="C729" s="608"/>
      <c r="D729" s="608"/>
      <c r="E729" s="608"/>
      <c r="F729" s="608"/>
      <c r="G729" s="608"/>
      <c r="H729" s="608"/>
      <c r="I729" s="608"/>
      <c r="J729" s="608"/>
      <c r="K729" s="608"/>
      <c r="L729" s="608"/>
      <c r="M729" s="608"/>
      <c r="N729" s="608"/>
    </row>
    <row r="730" spans="3:14" ht="13.5" customHeight="1">
      <c r="C730" s="608"/>
      <c r="D730" s="608"/>
      <c r="E730" s="608"/>
      <c r="F730" s="608"/>
      <c r="G730" s="608"/>
      <c r="H730" s="608"/>
      <c r="I730" s="608"/>
      <c r="J730" s="608"/>
      <c r="K730" s="608"/>
      <c r="L730" s="608"/>
      <c r="M730" s="608"/>
      <c r="N730" s="608"/>
    </row>
    <row r="731" spans="3:14" ht="13.5" customHeight="1">
      <c r="C731" s="608"/>
      <c r="D731" s="608"/>
      <c r="E731" s="608"/>
      <c r="F731" s="608"/>
      <c r="G731" s="608"/>
      <c r="H731" s="608"/>
      <c r="I731" s="608"/>
      <c r="J731" s="608"/>
      <c r="K731" s="608"/>
      <c r="L731" s="608"/>
      <c r="M731" s="608"/>
      <c r="N731" s="608"/>
    </row>
    <row r="732" spans="3:14" ht="13.5" customHeight="1">
      <c r="C732" s="608"/>
      <c r="D732" s="608"/>
      <c r="E732" s="608"/>
      <c r="F732" s="608"/>
      <c r="G732" s="608"/>
      <c r="H732" s="608"/>
      <c r="I732" s="608"/>
      <c r="J732" s="608"/>
      <c r="K732" s="608"/>
      <c r="L732" s="608"/>
      <c r="M732" s="608"/>
      <c r="N732" s="608"/>
    </row>
    <row r="733" spans="3:14" ht="13.5" customHeight="1">
      <c r="C733" s="608"/>
      <c r="D733" s="608"/>
      <c r="E733" s="608"/>
      <c r="F733" s="608"/>
      <c r="G733" s="608"/>
      <c r="H733" s="608"/>
      <c r="I733" s="608"/>
      <c r="J733" s="608"/>
      <c r="K733" s="608"/>
      <c r="L733" s="608"/>
      <c r="M733" s="608"/>
      <c r="N733" s="608"/>
    </row>
    <row r="734" spans="3:14" ht="13.5" customHeight="1">
      <c r="C734" s="608"/>
      <c r="D734" s="608"/>
      <c r="E734" s="608"/>
      <c r="F734" s="608"/>
      <c r="G734" s="608"/>
      <c r="H734" s="608"/>
      <c r="I734" s="608"/>
      <c r="J734" s="608"/>
      <c r="K734" s="608"/>
      <c r="L734" s="608"/>
      <c r="M734" s="608"/>
      <c r="N734" s="608"/>
    </row>
    <row r="735" spans="3:14" ht="13.5" customHeight="1">
      <c r="C735" s="608"/>
      <c r="D735" s="608"/>
      <c r="E735" s="608"/>
      <c r="F735" s="608"/>
      <c r="G735" s="608"/>
      <c r="H735" s="608"/>
      <c r="I735" s="608"/>
      <c r="J735" s="608"/>
      <c r="K735" s="608"/>
      <c r="L735" s="608"/>
      <c r="M735" s="608"/>
      <c r="N735" s="608"/>
    </row>
    <row r="736" spans="3:14" ht="13.5" customHeight="1">
      <c r="C736" s="608"/>
      <c r="D736" s="608"/>
      <c r="E736" s="608"/>
      <c r="F736" s="608"/>
      <c r="G736" s="608"/>
      <c r="H736" s="608"/>
      <c r="I736" s="608"/>
      <c r="J736" s="608"/>
      <c r="K736" s="608"/>
      <c r="L736" s="608"/>
      <c r="M736" s="608"/>
      <c r="N736" s="608"/>
    </row>
    <row r="737" spans="3:14" ht="13.5" customHeight="1">
      <c r="C737" s="608"/>
      <c r="D737" s="608"/>
      <c r="E737" s="608"/>
      <c r="F737" s="608"/>
      <c r="G737" s="608"/>
      <c r="H737" s="608"/>
      <c r="I737" s="608"/>
      <c r="J737" s="608"/>
      <c r="K737" s="608"/>
      <c r="L737" s="608"/>
      <c r="M737" s="608"/>
      <c r="N737" s="608"/>
    </row>
    <row r="738" spans="3:14" ht="13.5" customHeight="1">
      <c r="C738" s="608"/>
      <c r="D738" s="608"/>
      <c r="E738" s="608"/>
      <c r="F738" s="608"/>
      <c r="G738" s="608"/>
      <c r="H738" s="608"/>
      <c r="I738" s="608"/>
      <c r="J738" s="608"/>
      <c r="K738" s="608"/>
      <c r="L738" s="608"/>
      <c r="M738" s="608"/>
      <c r="N738" s="608"/>
    </row>
    <row r="739" spans="3:14" ht="13.5" customHeight="1">
      <c r="C739" s="608"/>
      <c r="D739" s="608"/>
      <c r="E739" s="608"/>
      <c r="F739" s="608"/>
      <c r="G739" s="608"/>
      <c r="H739" s="608"/>
      <c r="I739" s="608"/>
      <c r="J739" s="608"/>
      <c r="K739" s="608"/>
      <c r="L739" s="608"/>
      <c r="M739" s="608"/>
      <c r="N739" s="608"/>
    </row>
    <row r="740" spans="3:14" ht="13.5" customHeight="1">
      <c r="C740" s="608"/>
      <c r="D740" s="608"/>
      <c r="E740" s="608"/>
      <c r="F740" s="608"/>
      <c r="G740" s="608"/>
      <c r="H740" s="608"/>
      <c r="I740" s="608"/>
      <c r="J740" s="608"/>
      <c r="K740" s="608"/>
      <c r="L740" s="608"/>
      <c r="M740" s="608"/>
      <c r="N740" s="608"/>
    </row>
    <row r="741" spans="3:14" ht="13.5" customHeight="1">
      <c r="C741" s="608"/>
      <c r="D741" s="608"/>
      <c r="E741" s="608"/>
      <c r="F741" s="608"/>
      <c r="G741" s="608"/>
      <c r="H741" s="608"/>
      <c r="I741" s="608"/>
      <c r="J741" s="608"/>
      <c r="K741" s="608"/>
      <c r="L741" s="608"/>
      <c r="M741" s="608"/>
      <c r="N741" s="608"/>
    </row>
    <row r="742" spans="3:14" ht="13.5" customHeight="1">
      <c r="C742" s="608"/>
      <c r="D742" s="608"/>
      <c r="E742" s="608"/>
      <c r="F742" s="608"/>
      <c r="G742" s="608"/>
      <c r="H742" s="608"/>
      <c r="I742" s="608"/>
      <c r="J742" s="608"/>
      <c r="K742" s="608"/>
      <c r="L742" s="608"/>
      <c r="M742" s="608"/>
      <c r="N742" s="608"/>
    </row>
    <row r="743" spans="3:14" ht="13.5" customHeight="1">
      <c r="C743" s="608"/>
      <c r="D743" s="608"/>
      <c r="E743" s="608"/>
      <c r="F743" s="608"/>
      <c r="G743" s="608"/>
      <c r="H743" s="608"/>
      <c r="I743" s="608"/>
      <c r="J743" s="608"/>
      <c r="K743" s="608"/>
      <c r="L743" s="608"/>
      <c r="M743" s="608"/>
      <c r="N743" s="608"/>
    </row>
    <row r="744" spans="3:14" ht="13.5" customHeight="1">
      <c r="C744" s="608"/>
      <c r="D744" s="608"/>
      <c r="E744" s="608"/>
      <c r="F744" s="608"/>
      <c r="G744" s="608"/>
      <c r="H744" s="608"/>
      <c r="I744" s="608"/>
      <c r="J744" s="608"/>
      <c r="K744" s="608"/>
      <c r="L744" s="608"/>
      <c r="M744" s="608"/>
      <c r="N744" s="608"/>
    </row>
    <row r="745" spans="3:14" ht="13.5" customHeight="1">
      <c r="C745" s="608"/>
      <c r="D745" s="608"/>
      <c r="E745" s="608"/>
      <c r="F745" s="608"/>
      <c r="G745" s="608"/>
      <c r="H745" s="608"/>
      <c r="I745" s="608"/>
      <c r="J745" s="608"/>
      <c r="K745" s="608"/>
      <c r="L745" s="608"/>
      <c r="M745" s="608"/>
      <c r="N745" s="608"/>
    </row>
    <row r="746" spans="3:14" ht="13.5" customHeight="1">
      <c r="C746" s="608"/>
      <c r="D746" s="608"/>
      <c r="E746" s="608"/>
      <c r="F746" s="608"/>
      <c r="G746" s="608"/>
      <c r="H746" s="608"/>
      <c r="I746" s="608"/>
      <c r="J746" s="608"/>
      <c r="K746" s="608"/>
      <c r="L746" s="608"/>
      <c r="M746" s="608"/>
      <c r="N746" s="608"/>
    </row>
    <row r="747" spans="3:14" ht="13.5" customHeight="1">
      <c r="C747" s="608"/>
      <c r="D747" s="608"/>
      <c r="E747" s="608"/>
      <c r="F747" s="608"/>
      <c r="G747" s="608"/>
      <c r="H747" s="608"/>
      <c r="I747" s="608"/>
      <c r="J747" s="608"/>
      <c r="K747" s="608"/>
      <c r="L747" s="608"/>
      <c r="M747" s="608"/>
      <c r="N747" s="608"/>
    </row>
    <row r="748" spans="3:14" ht="13.5" customHeight="1">
      <c r="C748" s="608"/>
      <c r="D748" s="608"/>
      <c r="E748" s="608"/>
      <c r="F748" s="608"/>
      <c r="G748" s="608"/>
      <c r="H748" s="608"/>
      <c r="I748" s="608"/>
      <c r="J748" s="608"/>
      <c r="K748" s="608"/>
      <c r="L748" s="608"/>
      <c r="M748" s="608"/>
      <c r="N748" s="608"/>
    </row>
    <row r="749" spans="3:14" ht="13.5" customHeight="1">
      <c r="C749" s="608"/>
      <c r="D749" s="608"/>
      <c r="E749" s="608"/>
      <c r="F749" s="608"/>
      <c r="G749" s="608"/>
      <c r="H749" s="608"/>
      <c r="I749" s="608"/>
      <c r="J749" s="608"/>
      <c r="K749" s="608"/>
      <c r="L749" s="608"/>
      <c r="M749" s="608"/>
      <c r="N749" s="608"/>
    </row>
    <row r="750" spans="3:14" ht="13.5" customHeight="1">
      <c r="C750" s="608"/>
      <c r="D750" s="608"/>
      <c r="E750" s="608"/>
      <c r="F750" s="608"/>
      <c r="G750" s="608"/>
      <c r="H750" s="608"/>
      <c r="I750" s="608"/>
      <c r="J750" s="608"/>
      <c r="K750" s="608"/>
      <c r="L750" s="608"/>
      <c r="M750" s="608"/>
      <c r="N750" s="608"/>
    </row>
    <row r="751" spans="3:14" ht="13.5" customHeight="1">
      <c r="C751" s="608"/>
      <c r="D751" s="608"/>
      <c r="E751" s="608"/>
      <c r="F751" s="608"/>
      <c r="G751" s="608"/>
      <c r="H751" s="608"/>
      <c r="I751" s="608"/>
      <c r="J751" s="608"/>
      <c r="K751" s="608"/>
      <c r="L751" s="608"/>
      <c r="M751" s="608"/>
      <c r="N751" s="608"/>
    </row>
    <row r="752" spans="3:14" ht="13.5" customHeight="1">
      <c r="C752" s="608"/>
      <c r="D752" s="608"/>
      <c r="E752" s="608"/>
      <c r="F752" s="608"/>
      <c r="G752" s="608"/>
      <c r="H752" s="608"/>
      <c r="I752" s="608"/>
      <c r="J752" s="608"/>
      <c r="K752" s="608"/>
      <c r="L752" s="608"/>
      <c r="M752" s="608"/>
      <c r="N752" s="608"/>
    </row>
    <row r="753" spans="3:14" ht="13.5" customHeight="1">
      <c r="C753" s="608"/>
      <c r="D753" s="608"/>
      <c r="E753" s="608"/>
      <c r="F753" s="608"/>
      <c r="G753" s="608"/>
      <c r="H753" s="608"/>
      <c r="I753" s="608"/>
      <c r="J753" s="608"/>
      <c r="K753" s="608"/>
      <c r="L753" s="608"/>
      <c r="M753" s="608"/>
      <c r="N753" s="608"/>
    </row>
    <row r="754" spans="3:14" ht="13.5" customHeight="1">
      <c r="C754" s="608"/>
      <c r="D754" s="608"/>
      <c r="E754" s="608"/>
      <c r="F754" s="608"/>
      <c r="G754" s="608"/>
      <c r="H754" s="608"/>
      <c r="I754" s="608"/>
      <c r="J754" s="608"/>
      <c r="K754" s="608"/>
      <c r="L754" s="608"/>
      <c r="M754" s="608"/>
      <c r="N754" s="608"/>
    </row>
    <row r="755" spans="3:14" ht="13.5" customHeight="1">
      <c r="C755" s="608"/>
      <c r="D755" s="608"/>
      <c r="E755" s="608"/>
      <c r="F755" s="608"/>
      <c r="G755" s="608"/>
      <c r="H755" s="608"/>
      <c r="I755" s="608"/>
      <c r="J755" s="608"/>
      <c r="K755" s="608"/>
      <c r="L755" s="608"/>
      <c r="M755" s="608"/>
      <c r="N755" s="608"/>
    </row>
    <row r="756" spans="3:14" ht="13.5" customHeight="1">
      <c r="C756" s="608"/>
      <c r="D756" s="608"/>
      <c r="E756" s="608"/>
      <c r="F756" s="608"/>
      <c r="G756" s="608"/>
      <c r="H756" s="608"/>
      <c r="I756" s="608"/>
      <c r="J756" s="608"/>
      <c r="K756" s="608"/>
      <c r="L756" s="608"/>
      <c r="M756" s="608"/>
      <c r="N756" s="608"/>
    </row>
    <row r="757" spans="3:14" ht="13.5" customHeight="1">
      <c r="C757" s="608"/>
      <c r="D757" s="608"/>
      <c r="E757" s="608"/>
      <c r="F757" s="608"/>
      <c r="G757" s="608"/>
      <c r="H757" s="608"/>
      <c r="I757" s="608"/>
      <c r="J757" s="608"/>
      <c r="K757" s="608"/>
      <c r="L757" s="608"/>
      <c r="M757" s="608"/>
      <c r="N757" s="608"/>
    </row>
    <row r="758" spans="3:14" ht="13.5" customHeight="1">
      <c r="C758" s="608"/>
      <c r="D758" s="608"/>
      <c r="E758" s="608"/>
      <c r="F758" s="608"/>
      <c r="G758" s="608"/>
      <c r="H758" s="608"/>
      <c r="I758" s="608"/>
      <c r="J758" s="608"/>
      <c r="K758" s="608"/>
      <c r="L758" s="608"/>
      <c r="M758" s="608"/>
      <c r="N758" s="608"/>
    </row>
    <row r="759" spans="3:14" ht="13.5" customHeight="1">
      <c r="C759" s="608"/>
      <c r="D759" s="608"/>
      <c r="E759" s="608"/>
      <c r="F759" s="608"/>
      <c r="G759" s="608"/>
      <c r="H759" s="608"/>
      <c r="I759" s="608"/>
      <c r="J759" s="608"/>
      <c r="K759" s="608"/>
      <c r="L759" s="608"/>
      <c r="M759" s="608"/>
      <c r="N759" s="608"/>
    </row>
    <row r="760" spans="3:14" ht="13.5" customHeight="1">
      <c r="C760" s="608"/>
      <c r="D760" s="608"/>
      <c r="E760" s="608"/>
      <c r="F760" s="608"/>
      <c r="G760" s="608"/>
      <c r="H760" s="608"/>
      <c r="I760" s="608"/>
      <c r="J760" s="608"/>
      <c r="K760" s="608"/>
      <c r="L760" s="608"/>
      <c r="M760" s="608"/>
      <c r="N760" s="608"/>
    </row>
    <row r="761" spans="3:14" ht="13.5" customHeight="1">
      <c r="C761" s="608"/>
      <c r="D761" s="608"/>
      <c r="E761" s="608"/>
      <c r="F761" s="608"/>
      <c r="G761" s="608"/>
      <c r="H761" s="608"/>
      <c r="I761" s="608"/>
      <c r="J761" s="608"/>
      <c r="K761" s="608"/>
      <c r="L761" s="608"/>
      <c r="M761" s="608"/>
      <c r="N761" s="608"/>
    </row>
    <row r="762" spans="3:14" ht="13.5" customHeight="1">
      <c r="C762" s="608"/>
      <c r="D762" s="608"/>
      <c r="E762" s="608"/>
      <c r="F762" s="608"/>
      <c r="G762" s="608"/>
      <c r="H762" s="608"/>
      <c r="I762" s="608"/>
      <c r="J762" s="608"/>
      <c r="K762" s="608"/>
      <c r="L762" s="608"/>
      <c r="M762" s="608"/>
      <c r="N762" s="608"/>
    </row>
    <row r="763" spans="3:14" ht="13.5" customHeight="1">
      <c r="C763" s="608"/>
      <c r="D763" s="608"/>
      <c r="E763" s="608"/>
      <c r="F763" s="608"/>
      <c r="G763" s="608"/>
      <c r="H763" s="608"/>
      <c r="I763" s="608"/>
      <c r="J763" s="608"/>
      <c r="K763" s="608"/>
      <c r="L763" s="608"/>
      <c r="M763" s="608"/>
      <c r="N763" s="608"/>
    </row>
    <row r="764" spans="3:14" ht="13.5" customHeight="1">
      <c r="C764" s="608"/>
      <c r="D764" s="608"/>
      <c r="E764" s="608"/>
      <c r="F764" s="608"/>
      <c r="G764" s="608"/>
      <c r="H764" s="608"/>
      <c r="I764" s="608"/>
      <c r="J764" s="608"/>
      <c r="K764" s="608"/>
      <c r="L764" s="608"/>
      <c r="M764" s="608"/>
      <c r="N764" s="608"/>
    </row>
    <row r="765" spans="3:14" ht="13.5" customHeight="1">
      <c r="C765" s="608"/>
      <c r="D765" s="608"/>
      <c r="E765" s="608"/>
      <c r="F765" s="608"/>
      <c r="G765" s="608"/>
      <c r="H765" s="608"/>
      <c r="I765" s="608"/>
      <c r="J765" s="608"/>
      <c r="K765" s="608"/>
      <c r="L765" s="608"/>
      <c r="M765" s="608"/>
      <c r="N765" s="608"/>
    </row>
    <row r="766" spans="3:14" ht="13.5" customHeight="1">
      <c r="C766" s="608"/>
      <c r="D766" s="608"/>
      <c r="E766" s="608"/>
      <c r="F766" s="608"/>
      <c r="G766" s="608"/>
      <c r="H766" s="608"/>
      <c r="I766" s="608"/>
      <c r="J766" s="608"/>
      <c r="K766" s="608"/>
      <c r="L766" s="608"/>
      <c r="M766" s="608"/>
      <c r="N766" s="608"/>
    </row>
    <row r="767" spans="3:14" ht="13.5" customHeight="1">
      <c r="C767" s="608"/>
      <c r="D767" s="608"/>
      <c r="E767" s="608"/>
      <c r="F767" s="608"/>
      <c r="G767" s="608"/>
      <c r="H767" s="608"/>
      <c r="I767" s="608"/>
      <c r="J767" s="608"/>
      <c r="K767" s="608"/>
      <c r="L767" s="608"/>
      <c r="M767" s="608"/>
      <c r="N767" s="608"/>
    </row>
    <row r="768" spans="3:14" ht="13.5" customHeight="1">
      <c r="C768" s="608"/>
      <c r="D768" s="608"/>
      <c r="E768" s="608"/>
      <c r="F768" s="608"/>
      <c r="G768" s="608"/>
      <c r="H768" s="608"/>
      <c r="I768" s="608"/>
      <c r="J768" s="608"/>
      <c r="K768" s="608"/>
      <c r="L768" s="608"/>
      <c r="M768" s="608"/>
      <c r="N768" s="608"/>
    </row>
    <row r="769" spans="3:14" ht="13.5" customHeight="1">
      <c r="C769" s="608"/>
      <c r="D769" s="608"/>
      <c r="E769" s="608"/>
      <c r="F769" s="608"/>
      <c r="G769" s="608"/>
      <c r="H769" s="608"/>
      <c r="I769" s="608"/>
      <c r="J769" s="608"/>
      <c r="K769" s="608"/>
      <c r="L769" s="608"/>
      <c r="M769" s="608"/>
      <c r="N769" s="608"/>
    </row>
    <row r="770" spans="3:14" ht="13.5" customHeight="1">
      <c r="C770" s="608"/>
      <c r="D770" s="608"/>
      <c r="E770" s="608"/>
      <c r="F770" s="608"/>
      <c r="G770" s="608"/>
      <c r="H770" s="608"/>
      <c r="I770" s="608"/>
      <c r="J770" s="608"/>
      <c r="K770" s="608"/>
      <c r="L770" s="608"/>
      <c r="M770" s="608"/>
      <c r="N770" s="608"/>
    </row>
    <row r="771" spans="3:14" ht="13.5" customHeight="1">
      <c r="C771" s="608"/>
      <c r="D771" s="608"/>
      <c r="E771" s="608"/>
      <c r="F771" s="608"/>
      <c r="G771" s="608"/>
      <c r="H771" s="608"/>
      <c r="I771" s="608"/>
      <c r="J771" s="608"/>
      <c r="K771" s="608"/>
      <c r="L771" s="608"/>
      <c r="M771" s="608"/>
      <c r="N771" s="608"/>
    </row>
    <row r="772" spans="3:14" ht="13.5" customHeight="1">
      <c r="C772" s="608"/>
      <c r="D772" s="608"/>
      <c r="E772" s="608"/>
      <c r="F772" s="608"/>
      <c r="G772" s="608"/>
      <c r="H772" s="608"/>
      <c r="I772" s="608"/>
      <c r="J772" s="608"/>
      <c r="K772" s="608"/>
      <c r="L772" s="608"/>
      <c r="M772" s="608"/>
      <c r="N772" s="608"/>
    </row>
    <row r="773" spans="3:14" ht="13.5" customHeight="1">
      <c r="C773" s="608"/>
      <c r="D773" s="608"/>
      <c r="E773" s="608"/>
      <c r="F773" s="608"/>
      <c r="G773" s="608"/>
      <c r="H773" s="608"/>
      <c r="I773" s="608"/>
      <c r="J773" s="608"/>
      <c r="K773" s="608"/>
      <c r="L773" s="608"/>
      <c r="M773" s="608"/>
      <c r="N773" s="608"/>
    </row>
    <row r="774" spans="3:14" ht="13.5" customHeight="1">
      <c r="C774" s="608"/>
      <c r="D774" s="608"/>
      <c r="E774" s="608"/>
      <c r="F774" s="608"/>
      <c r="G774" s="608"/>
      <c r="H774" s="608"/>
      <c r="I774" s="608"/>
      <c r="J774" s="608"/>
      <c r="K774" s="608"/>
      <c r="L774" s="608"/>
      <c r="M774" s="608"/>
      <c r="N774" s="608"/>
    </row>
    <row r="775" spans="3:14" ht="13.5" customHeight="1">
      <c r="C775" s="608"/>
      <c r="D775" s="608"/>
      <c r="E775" s="608"/>
      <c r="F775" s="608"/>
      <c r="G775" s="608"/>
      <c r="H775" s="608"/>
      <c r="I775" s="608"/>
      <c r="J775" s="608"/>
      <c r="K775" s="608"/>
      <c r="L775" s="608"/>
      <c r="M775" s="608"/>
      <c r="N775" s="608"/>
    </row>
    <row r="776" spans="3:14" ht="13.5" customHeight="1">
      <c r="C776" s="608"/>
      <c r="D776" s="608"/>
      <c r="E776" s="608"/>
      <c r="F776" s="608"/>
      <c r="G776" s="608"/>
      <c r="H776" s="608"/>
      <c r="I776" s="608"/>
      <c r="J776" s="608"/>
      <c r="K776" s="608"/>
      <c r="L776" s="608"/>
      <c r="M776" s="608"/>
      <c r="N776" s="608"/>
    </row>
    <row r="777" spans="3:14" ht="13.5" customHeight="1">
      <c r="C777" s="608"/>
      <c r="D777" s="608"/>
      <c r="E777" s="608"/>
      <c r="F777" s="608"/>
      <c r="G777" s="608"/>
      <c r="H777" s="608"/>
      <c r="I777" s="608"/>
      <c r="J777" s="608"/>
      <c r="K777" s="608"/>
      <c r="L777" s="608"/>
      <c r="M777" s="608"/>
      <c r="N777" s="608"/>
    </row>
    <row r="778" spans="3:14" ht="13.5" customHeight="1">
      <c r="C778" s="608"/>
      <c r="D778" s="608"/>
      <c r="E778" s="608"/>
      <c r="F778" s="608"/>
      <c r="G778" s="608"/>
      <c r="H778" s="608"/>
      <c r="I778" s="608"/>
      <c r="J778" s="608"/>
      <c r="K778" s="608"/>
      <c r="L778" s="608"/>
      <c r="M778" s="608"/>
      <c r="N778" s="608"/>
    </row>
    <row r="779" spans="3:14" ht="13.5" customHeight="1">
      <c r="C779" s="608"/>
      <c r="D779" s="608"/>
      <c r="E779" s="608"/>
      <c r="F779" s="608"/>
      <c r="G779" s="608"/>
      <c r="H779" s="608"/>
      <c r="I779" s="608"/>
      <c r="J779" s="608"/>
      <c r="K779" s="608"/>
      <c r="L779" s="608"/>
      <c r="M779" s="608"/>
      <c r="N779" s="608"/>
    </row>
    <row r="780" spans="3:14" ht="13.5" customHeight="1">
      <c r="C780" s="608"/>
      <c r="D780" s="608"/>
      <c r="E780" s="608"/>
      <c r="F780" s="608"/>
      <c r="G780" s="608"/>
      <c r="H780" s="608"/>
      <c r="I780" s="608"/>
      <c r="J780" s="608"/>
      <c r="K780" s="608"/>
      <c r="L780" s="608"/>
      <c r="M780" s="608"/>
      <c r="N780" s="608"/>
    </row>
    <row r="781" spans="3:14" ht="13.5" customHeight="1">
      <c r="C781" s="608"/>
      <c r="D781" s="608"/>
      <c r="E781" s="608"/>
      <c r="F781" s="608"/>
      <c r="G781" s="608"/>
      <c r="H781" s="608"/>
      <c r="I781" s="608"/>
      <c r="J781" s="608"/>
      <c r="K781" s="608"/>
      <c r="L781" s="608"/>
      <c r="M781" s="608"/>
      <c r="N781" s="608"/>
    </row>
    <row r="782" spans="3:14" ht="13.5" customHeight="1">
      <c r="C782" s="608"/>
      <c r="D782" s="608"/>
      <c r="E782" s="608"/>
      <c r="F782" s="608"/>
      <c r="G782" s="608"/>
      <c r="H782" s="608"/>
      <c r="I782" s="608"/>
      <c r="J782" s="608"/>
      <c r="K782" s="608"/>
      <c r="L782" s="608"/>
      <c r="M782" s="608"/>
      <c r="N782" s="608"/>
    </row>
    <row r="783" spans="3:14" ht="13.5" customHeight="1">
      <c r="C783" s="608"/>
      <c r="D783" s="608"/>
      <c r="E783" s="608"/>
      <c r="F783" s="608"/>
      <c r="G783" s="608"/>
      <c r="H783" s="608"/>
      <c r="I783" s="608"/>
      <c r="J783" s="608"/>
      <c r="K783" s="608"/>
      <c r="L783" s="608"/>
      <c r="M783" s="608"/>
      <c r="N783" s="608"/>
    </row>
    <row r="784" spans="3:14" ht="13.5" customHeight="1">
      <c r="C784" s="608"/>
      <c r="D784" s="608"/>
      <c r="E784" s="608"/>
      <c r="F784" s="608"/>
      <c r="G784" s="608"/>
      <c r="H784" s="608"/>
      <c r="I784" s="608"/>
      <c r="J784" s="608"/>
      <c r="K784" s="608"/>
      <c r="L784" s="608"/>
      <c r="M784" s="608"/>
      <c r="N784" s="608"/>
    </row>
    <row r="785" spans="3:14" ht="13.5" customHeight="1">
      <c r="C785" s="608"/>
      <c r="D785" s="608"/>
      <c r="E785" s="608"/>
      <c r="F785" s="608"/>
      <c r="G785" s="608"/>
      <c r="H785" s="608"/>
      <c r="I785" s="608"/>
      <c r="J785" s="608"/>
      <c r="K785" s="608"/>
      <c r="L785" s="608"/>
      <c r="M785" s="608"/>
      <c r="N785" s="608"/>
    </row>
    <row r="786" spans="3:14" ht="13.5" customHeight="1">
      <c r="C786" s="608"/>
      <c r="D786" s="608"/>
      <c r="E786" s="608"/>
      <c r="F786" s="608"/>
      <c r="G786" s="608"/>
      <c r="H786" s="608"/>
      <c r="I786" s="608"/>
      <c r="J786" s="608"/>
      <c r="K786" s="608"/>
      <c r="L786" s="608"/>
      <c r="M786" s="608"/>
      <c r="N786" s="608"/>
    </row>
    <row r="787" spans="3:14" ht="13.5" customHeight="1">
      <c r="C787" s="608"/>
      <c r="D787" s="608"/>
      <c r="E787" s="608"/>
      <c r="F787" s="608"/>
      <c r="G787" s="608"/>
      <c r="H787" s="608"/>
      <c r="I787" s="608"/>
      <c r="J787" s="608"/>
      <c r="K787" s="608"/>
      <c r="L787" s="608"/>
      <c r="M787" s="608"/>
      <c r="N787" s="608"/>
    </row>
  </sheetData>
  <mergeCells count="15">
    <mergeCell ref="L3:L4"/>
    <mergeCell ref="M3:M4"/>
    <mergeCell ref="N3:N4"/>
    <mergeCell ref="O3:O4"/>
    <mergeCell ref="P3:P4"/>
    <mergeCell ref="F3:F4"/>
    <mergeCell ref="G3:G4"/>
    <mergeCell ref="H3:H4"/>
    <mergeCell ref="I3:I4"/>
    <mergeCell ref="J3:K3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X670"/>
  <sheetViews>
    <sheetView topLeftCell="A6" zoomScale="85" zoomScaleNormal="85" workbookViewId="0">
      <pane ySplit="2" topLeftCell="A68" activePane="bottomLeft" state="frozen"/>
      <selection activeCell="A6" sqref="A6"/>
      <selection pane="bottomLeft" activeCell="C77" sqref="C77"/>
    </sheetView>
  </sheetViews>
  <sheetFormatPr baseColWidth="10" defaultColWidth="9.1640625" defaultRowHeight="15"/>
  <cols>
    <col min="1" max="1" width="9.1640625" style="609"/>
    <col min="2" max="2" width="50.5" style="609" customWidth="1"/>
    <col min="3" max="11" width="12.5" style="609" customWidth="1"/>
    <col min="12" max="13" width="10.5" style="609" customWidth="1"/>
    <col min="14" max="14" width="14.5" style="609" customWidth="1"/>
    <col min="15" max="15" width="10.5" style="609" customWidth="1"/>
    <col min="16" max="16" width="15.5" style="609" customWidth="1"/>
    <col min="17" max="17" width="18.1640625" style="609" customWidth="1"/>
    <col min="18" max="18" width="11.83203125" style="609" customWidth="1"/>
    <col min="19" max="20" width="9.1640625" style="609"/>
    <col min="21" max="21" width="12.1640625" style="609" customWidth="1"/>
    <col min="22" max="24" width="9.1640625" style="609"/>
    <col min="25" max="25" width="12.5" style="609" customWidth="1"/>
    <col min="26" max="16384" width="9.1640625" style="609"/>
  </cols>
  <sheetData>
    <row r="1" spans="1:24" ht="15.75" customHeight="1">
      <c r="A1" s="386"/>
      <c r="B1" s="386"/>
      <c r="C1" s="386"/>
      <c r="D1" s="386"/>
      <c r="E1" s="386"/>
      <c r="F1" s="386"/>
      <c r="G1" s="386"/>
      <c r="H1" s="386"/>
      <c r="I1" s="386"/>
      <c r="J1" s="386"/>
      <c r="K1" s="386"/>
      <c r="L1" s="386"/>
      <c r="M1" s="386"/>
      <c r="N1" s="386"/>
      <c r="O1" s="386"/>
      <c r="P1" s="386"/>
      <c r="Q1" s="386"/>
      <c r="R1" s="386"/>
      <c r="S1" s="386"/>
      <c r="T1" s="386"/>
      <c r="U1" s="386"/>
      <c r="V1" s="610"/>
      <c r="W1" s="610"/>
      <c r="X1" s="610"/>
    </row>
    <row r="2" spans="1:24" ht="15.75" customHeight="1">
      <c r="A2" s="386"/>
      <c r="B2" s="386"/>
      <c r="C2" s="386"/>
      <c r="D2" s="386"/>
      <c r="E2" s="386"/>
      <c r="F2" s="386"/>
      <c r="G2" s="386"/>
      <c r="H2" s="386"/>
      <c r="I2" s="386"/>
      <c r="J2" s="386"/>
      <c r="K2" s="386"/>
      <c r="L2" s="386"/>
      <c r="M2" s="386"/>
      <c r="N2" s="386"/>
      <c r="O2" s="386"/>
      <c r="P2" s="386"/>
      <c r="Q2" s="386"/>
      <c r="R2" s="386"/>
      <c r="S2" s="386"/>
      <c r="T2" s="386"/>
      <c r="U2" s="386"/>
      <c r="V2" s="610"/>
      <c r="W2" s="610"/>
      <c r="X2" s="610"/>
    </row>
    <row r="3" spans="1:24" ht="15.75" customHeight="1">
      <c r="A3" s="386"/>
      <c r="B3" s="386"/>
      <c r="C3" s="386"/>
      <c r="D3" s="386"/>
      <c r="E3" s="386"/>
      <c r="F3" s="386"/>
      <c r="G3" s="386"/>
      <c r="H3" s="386"/>
      <c r="I3" s="386"/>
      <c r="J3" s="386"/>
      <c r="K3" s="386"/>
      <c r="L3" s="386"/>
      <c r="M3" s="386"/>
      <c r="N3" s="386"/>
      <c r="O3" s="386"/>
      <c r="P3" s="386"/>
      <c r="Q3" s="386"/>
      <c r="R3" s="386"/>
      <c r="S3" s="386"/>
      <c r="T3" s="386"/>
      <c r="U3" s="386"/>
      <c r="V3" s="610"/>
      <c r="W3" s="610"/>
      <c r="X3" s="610"/>
    </row>
    <row r="4" spans="1:24" ht="24" customHeight="1">
      <c r="A4" s="611" t="s">
        <v>76</v>
      </c>
      <c r="B4" s="386"/>
      <c r="C4" s="386"/>
      <c r="D4" s="386"/>
      <c r="E4" s="386"/>
      <c r="F4" s="386"/>
      <c r="G4" s="386"/>
      <c r="H4" s="386"/>
      <c r="I4" s="386"/>
      <c r="J4" s="386"/>
      <c r="K4" s="386"/>
      <c r="L4" s="386"/>
      <c r="M4" s="386"/>
      <c r="N4" s="386"/>
      <c r="O4" s="386"/>
      <c r="P4" s="386"/>
      <c r="Q4" s="386"/>
      <c r="R4" s="386"/>
      <c r="S4" s="386"/>
      <c r="T4" s="386"/>
      <c r="U4" s="386"/>
      <c r="V4" s="610"/>
      <c r="W4" s="610"/>
      <c r="X4" s="610"/>
    </row>
    <row r="5" spans="1:24" ht="15.75" customHeight="1">
      <c r="A5" s="386"/>
      <c r="B5" s="386"/>
      <c r="C5" s="386"/>
      <c r="D5" s="386"/>
      <c r="E5" s="386"/>
      <c r="F5" s="386"/>
      <c r="G5" s="386"/>
      <c r="H5" s="386"/>
      <c r="I5" s="386"/>
      <c r="J5" s="386"/>
      <c r="K5" s="386"/>
      <c r="L5" s="386"/>
      <c r="M5" s="386"/>
      <c r="N5" s="386"/>
      <c r="O5" s="386"/>
      <c r="P5" s="386"/>
      <c r="Q5" s="386"/>
      <c r="R5" s="386"/>
      <c r="S5" s="386"/>
      <c r="T5" s="386"/>
      <c r="U5" s="386"/>
      <c r="V5" s="610"/>
      <c r="W5" s="610"/>
      <c r="X5" s="610"/>
    </row>
    <row r="6" spans="1:24" ht="15.75" customHeight="1">
      <c r="A6" s="3248" t="s">
        <v>1</v>
      </c>
      <c r="B6" s="3249" t="s">
        <v>68</v>
      </c>
      <c r="C6" s="3249" t="s">
        <v>77</v>
      </c>
      <c r="D6" s="3249" t="s">
        <v>78</v>
      </c>
      <c r="E6" s="3249" t="s">
        <v>79</v>
      </c>
      <c r="F6" s="3249" t="s">
        <v>6</v>
      </c>
      <c r="G6" s="3249" t="s">
        <v>999</v>
      </c>
      <c r="H6" s="3249" t="s">
        <v>977</v>
      </c>
      <c r="I6" s="3249" t="s">
        <v>978</v>
      </c>
      <c r="J6" s="3249" t="s">
        <v>1000</v>
      </c>
      <c r="K6" s="3249"/>
      <c r="L6" s="3249" t="s">
        <v>213</v>
      </c>
      <c r="M6" s="3249" t="s">
        <v>80</v>
      </c>
      <c r="N6" s="3249" t="s">
        <v>81</v>
      </c>
      <c r="O6" s="3250" t="s">
        <v>82</v>
      </c>
      <c r="P6" s="3251" t="s">
        <v>83</v>
      </c>
      <c r="Q6" s="386"/>
      <c r="R6" s="386"/>
      <c r="S6" s="386"/>
      <c r="T6" s="386"/>
      <c r="U6" s="386"/>
      <c r="V6" s="610"/>
      <c r="W6" s="610"/>
      <c r="X6" s="610"/>
    </row>
    <row r="7" spans="1:24" ht="21.75" customHeight="1">
      <c r="A7" s="3248"/>
      <c r="B7" s="3249"/>
      <c r="C7" s="3249"/>
      <c r="D7" s="3249"/>
      <c r="E7" s="3249"/>
      <c r="F7" s="3249"/>
      <c r="G7" s="3249"/>
      <c r="H7" s="3249"/>
      <c r="I7" s="3249"/>
      <c r="J7" s="612" t="s">
        <v>1001</v>
      </c>
      <c r="K7" s="612" t="s">
        <v>1002</v>
      </c>
      <c r="L7" s="3249"/>
      <c r="M7" s="3249"/>
      <c r="N7" s="3249"/>
      <c r="O7" s="3250"/>
      <c r="P7" s="3251"/>
      <c r="Q7" s="386"/>
      <c r="R7" s="386"/>
      <c r="S7" s="386"/>
      <c r="T7" s="386"/>
      <c r="U7" s="386"/>
      <c r="V7" s="610"/>
      <c r="W7" s="610"/>
      <c r="X7" s="610"/>
    </row>
    <row r="8" spans="1:24" ht="7.5" customHeight="1">
      <c r="A8" s="386"/>
      <c r="B8" s="386"/>
      <c r="C8" s="386"/>
      <c r="D8" s="386"/>
      <c r="E8" s="386"/>
      <c r="F8" s="386"/>
      <c r="G8" s="386"/>
      <c r="H8" s="386"/>
      <c r="I8" s="386"/>
      <c r="J8" s="386"/>
      <c r="K8" s="386"/>
      <c r="L8" s="386"/>
      <c r="M8" s="386"/>
      <c r="N8" s="386"/>
      <c r="O8" s="386"/>
      <c r="P8" s="613"/>
      <c r="Q8" s="386"/>
      <c r="R8" s="386"/>
      <c r="S8" s="386"/>
      <c r="T8" s="386"/>
      <c r="U8" s="386"/>
      <c r="V8" s="610"/>
      <c r="W8" s="610"/>
      <c r="X8" s="610"/>
    </row>
    <row r="9" spans="1:24" ht="7.5" customHeight="1">
      <c r="A9" s="614"/>
      <c r="B9" s="615"/>
      <c r="C9" s="615"/>
      <c r="D9" s="615"/>
      <c r="E9" s="615"/>
      <c r="F9" s="615"/>
      <c r="G9" s="615"/>
      <c r="H9" s="615"/>
      <c r="I9" s="615"/>
      <c r="J9" s="615"/>
      <c r="K9" s="615"/>
      <c r="L9" s="615"/>
      <c r="M9" s="615"/>
      <c r="N9" s="615"/>
      <c r="O9" s="616"/>
      <c r="P9" s="613"/>
      <c r="Q9" s="386"/>
      <c r="R9" s="386"/>
      <c r="S9" s="386"/>
      <c r="T9" s="386"/>
      <c r="U9" s="386"/>
      <c r="V9" s="610"/>
      <c r="W9" s="610"/>
      <c r="X9" s="610"/>
    </row>
    <row r="10" spans="1:24" ht="15.75" customHeight="1">
      <c r="A10" s="377" t="s">
        <v>1039</v>
      </c>
      <c r="B10" s="378" t="s">
        <v>1040</v>
      </c>
      <c r="C10" s="382"/>
      <c r="D10" s="382"/>
      <c r="E10" s="382"/>
      <c r="F10" s="382"/>
      <c r="G10" s="382"/>
      <c r="H10" s="382"/>
      <c r="I10" s="382"/>
      <c r="J10" s="382"/>
      <c r="K10" s="382"/>
      <c r="L10" s="382"/>
      <c r="M10" s="382"/>
      <c r="N10" s="382"/>
      <c r="O10" s="617"/>
      <c r="P10" s="618"/>
      <c r="Q10" s="386"/>
      <c r="R10" s="386"/>
      <c r="S10" s="386"/>
      <c r="T10" s="386"/>
      <c r="U10" s="386"/>
      <c r="V10" s="610"/>
      <c r="W10" s="610"/>
      <c r="X10" s="610"/>
    </row>
    <row r="11" spans="1:24" s="623" customFormat="1" ht="15.75" customHeight="1">
      <c r="A11" s="619" t="s">
        <v>1041</v>
      </c>
      <c r="B11" s="381" t="s">
        <v>470</v>
      </c>
      <c r="C11" s="382"/>
      <c r="D11" s="382"/>
      <c r="E11" s="382"/>
      <c r="F11" s="382"/>
      <c r="G11" s="382"/>
      <c r="H11" s="382"/>
      <c r="I11" s="382"/>
      <c r="J11" s="382"/>
      <c r="K11" s="382"/>
      <c r="L11" s="382"/>
      <c r="M11" s="382"/>
      <c r="N11" s="382"/>
      <c r="O11" s="617"/>
      <c r="P11" s="620"/>
      <c r="Q11" s="386"/>
      <c r="R11" s="386"/>
      <c r="S11" s="386"/>
      <c r="T11" s="386"/>
      <c r="U11" s="621"/>
      <c r="V11" s="622"/>
      <c r="W11" s="622"/>
      <c r="X11" s="622"/>
    </row>
    <row r="12" spans="1:24" s="623" customFormat="1" ht="15.75" customHeight="1">
      <c r="A12" s="372">
        <v>1</v>
      </c>
      <c r="B12" s="366" t="s">
        <v>396</v>
      </c>
      <c r="C12" s="382"/>
      <c r="D12" s="382"/>
      <c r="E12" s="382"/>
      <c r="F12" s="382"/>
      <c r="G12" s="382"/>
      <c r="H12" s="382"/>
      <c r="I12" s="382"/>
      <c r="J12" s="382"/>
      <c r="K12" s="382"/>
      <c r="L12" s="382"/>
      <c r="M12" s="382"/>
      <c r="N12" s="382"/>
      <c r="O12" s="617"/>
      <c r="P12" s="620"/>
      <c r="Q12" s="386"/>
      <c r="R12" s="386"/>
      <c r="S12" s="386"/>
      <c r="T12" s="386"/>
      <c r="U12" s="621"/>
      <c r="V12" s="622"/>
      <c r="W12" s="622"/>
      <c r="X12" s="622"/>
    </row>
    <row r="13" spans="1:24" s="623" customFormat="1" ht="15.75" customHeight="1">
      <c r="A13" s="372"/>
      <c r="B13" s="366"/>
      <c r="C13" s="382">
        <f>12+2+1</f>
        <v>15</v>
      </c>
      <c r="D13" s="382"/>
      <c r="E13" s="382"/>
      <c r="F13" s="382"/>
      <c r="G13" s="382"/>
      <c r="H13" s="382">
        <v>2</v>
      </c>
      <c r="I13" s="382"/>
      <c r="J13" s="382"/>
      <c r="K13" s="382"/>
      <c r="L13" s="382"/>
      <c r="M13" s="382"/>
      <c r="N13" s="382">
        <f>C13*H13</f>
        <v>30</v>
      </c>
      <c r="O13" s="617"/>
      <c r="P13" s="620"/>
      <c r="Q13" s="386"/>
      <c r="R13" s="386"/>
      <c r="S13" s="386"/>
      <c r="T13" s="386"/>
      <c r="U13" s="621"/>
      <c r="V13" s="622"/>
      <c r="W13" s="622"/>
      <c r="X13" s="622"/>
    </row>
    <row r="14" spans="1:24" s="623" customFormat="1" ht="15.75" customHeight="1">
      <c r="A14" s="372"/>
      <c r="B14" s="366"/>
      <c r="C14" s="382"/>
      <c r="D14" s="382">
        <f>8.45+1</f>
        <v>9.4499999999999993</v>
      </c>
      <c r="E14" s="382"/>
      <c r="F14" s="382"/>
      <c r="G14" s="382"/>
      <c r="H14" s="382">
        <f>H13</f>
        <v>2</v>
      </c>
      <c r="I14" s="382"/>
      <c r="J14" s="382"/>
      <c r="K14" s="382"/>
      <c r="L14" s="382"/>
      <c r="M14" s="382"/>
      <c r="N14" s="624">
        <f>D14*H14</f>
        <v>18.899999999999999</v>
      </c>
      <c r="O14" s="617"/>
      <c r="P14" s="620"/>
      <c r="Q14" s="386"/>
      <c r="R14" s="386"/>
      <c r="S14" s="386"/>
      <c r="T14" s="386"/>
      <c r="U14" s="621"/>
      <c r="V14" s="622"/>
      <c r="W14" s="622"/>
      <c r="X14" s="622"/>
    </row>
    <row r="15" spans="1:24" s="623" customFormat="1" ht="15.75" customHeight="1">
      <c r="A15" s="372"/>
      <c r="B15" s="366"/>
      <c r="C15" s="382"/>
      <c r="D15" s="382"/>
      <c r="E15" s="382"/>
      <c r="F15" s="382"/>
      <c r="G15" s="382"/>
      <c r="H15" s="382"/>
      <c r="I15" s="382"/>
      <c r="J15" s="382"/>
      <c r="K15" s="382"/>
      <c r="L15" s="382"/>
      <c r="M15" s="382"/>
      <c r="N15" s="431">
        <f>SUM(N13:N14)</f>
        <v>48.9</v>
      </c>
      <c r="O15" s="617" t="s">
        <v>117</v>
      </c>
      <c r="P15" s="620">
        <f>ROUND((N15),2)</f>
        <v>48.9</v>
      </c>
      <c r="Q15" s="386"/>
      <c r="R15" s="386"/>
      <c r="S15" s="386"/>
      <c r="T15" s="386"/>
      <c r="U15" s="621"/>
      <c r="V15" s="622"/>
      <c r="W15" s="622"/>
      <c r="X15" s="622"/>
    </row>
    <row r="16" spans="1:24" s="634" customFormat="1" ht="15.75" hidden="1" customHeight="1">
      <c r="A16" s="625">
        <f>A12+1</f>
        <v>2</v>
      </c>
      <c r="B16" s="626" t="s">
        <v>397</v>
      </c>
      <c r="C16" s="627"/>
      <c r="D16" s="627"/>
      <c r="E16" s="627"/>
      <c r="F16" s="627"/>
      <c r="G16" s="627"/>
      <c r="H16" s="627"/>
      <c r="I16" s="627"/>
      <c r="J16" s="627"/>
      <c r="K16" s="627"/>
      <c r="L16" s="627"/>
      <c r="M16" s="627"/>
      <c r="N16" s="628"/>
      <c r="O16" s="629"/>
      <c r="P16" s="630"/>
      <c r="Q16" s="631"/>
      <c r="R16" s="631"/>
      <c r="S16" s="631"/>
      <c r="T16" s="631"/>
      <c r="U16" s="632"/>
      <c r="V16" s="633"/>
      <c r="W16" s="633"/>
      <c r="X16" s="633"/>
    </row>
    <row r="17" spans="1:24" s="634" customFormat="1" ht="15.75" hidden="1" customHeight="1">
      <c r="A17" s="635" t="s">
        <v>95</v>
      </c>
      <c r="B17" s="626" t="s">
        <v>398</v>
      </c>
      <c r="C17" s="628">
        <v>1</v>
      </c>
      <c r="D17" s="628">
        <v>1</v>
      </c>
      <c r="E17" s="628">
        <v>0.3</v>
      </c>
      <c r="F17" s="628"/>
      <c r="G17" s="628"/>
      <c r="H17" s="628"/>
      <c r="I17" s="628"/>
      <c r="J17" s="628"/>
      <c r="K17" s="628"/>
      <c r="L17" s="628">
        <f>5*8</f>
        <v>40</v>
      </c>
      <c r="M17" s="628">
        <f>C17*D17*E17*L17</f>
        <v>12</v>
      </c>
      <c r="N17" s="636">
        <f t="shared" ref="N17:N23" si="0">M17</f>
        <v>12</v>
      </c>
      <c r="O17" s="637" t="s">
        <v>103</v>
      </c>
      <c r="P17" s="630">
        <f t="shared" ref="P17:P23" si="1">ROUND((N17),2)</f>
        <v>12</v>
      </c>
      <c r="Q17" s="631"/>
      <c r="R17" s="631"/>
      <c r="S17" s="631"/>
      <c r="T17" s="631"/>
      <c r="U17" s="632"/>
      <c r="V17" s="633"/>
      <c r="W17" s="633"/>
      <c r="X17" s="633"/>
    </row>
    <row r="18" spans="1:24" s="634" customFormat="1" ht="15.75" hidden="1" customHeight="1">
      <c r="A18" s="635" t="s">
        <v>98</v>
      </c>
      <c r="B18" s="626" t="s">
        <v>399</v>
      </c>
      <c r="C18" s="628">
        <v>0.8</v>
      </c>
      <c r="D18" s="628">
        <v>0.8</v>
      </c>
      <c r="E18" s="628">
        <v>7.0000000000000007E-2</v>
      </c>
      <c r="F18" s="628"/>
      <c r="G18" s="628"/>
      <c r="H18" s="628"/>
      <c r="I18" s="628"/>
      <c r="J18" s="628"/>
      <c r="K18" s="628"/>
      <c r="L18" s="628">
        <f t="shared" ref="L18:L23" si="2">L17</f>
        <v>40</v>
      </c>
      <c r="M18" s="628">
        <f>C18*D18*E18*L18</f>
        <v>1.7920000000000005</v>
      </c>
      <c r="N18" s="636">
        <f t="shared" si="0"/>
        <v>1.7920000000000005</v>
      </c>
      <c r="O18" s="637" t="s">
        <v>103</v>
      </c>
      <c r="P18" s="630">
        <f t="shared" si="1"/>
        <v>1.79</v>
      </c>
      <c r="Q18" s="631"/>
      <c r="R18" s="631"/>
      <c r="S18" s="631"/>
      <c r="T18" s="631"/>
      <c r="U18" s="632"/>
      <c r="V18" s="633"/>
      <c r="W18" s="633"/>
      <c r="X18" s="633"/>
    </row>
    <row r="19" spans="1:24" s="634" customFormat="1" ht="15.75" hidden="1" customHeight="1">
      <c r="A19" s="635" t="s">
        <v>101</v>
      </c>
      <c r="B19" s="626" t="s">
        <v>400</v>
      </c>
      <c r="C19" s="628">
        <f>C18</f>
        <v>0.8</v>
      </c>
      <c r="D19" s="628">
        <f>D18</f>
        <v>0.8</v>
      </c>
      <c r="E19" s="628">
        <v>0.03</v>
      </c>
      <c r="F19" s="628"/>
      <c r="G19" s="628"/>
      <c r="H19" s="628"/>
      <c r="I19" s="628"/>
      <c r="J19" s="628"/>
      <c r="K19" s="628"/>
      <c r="L19" s="628">
        <f t="shared" si="2"/>
        <v>40</v>
      </c>
      <c r="M19" s="628">
        <f>C19*D19*E19*L19</f>
        <v>0.76800000000000002</v>
      </c>
      <c r="N19" s="636">
        <f t="shared" si="0"/>
        <v>0.76800000000000002</v>
      </c>
      <c r="O19" s="637" t="s">
        <v>103</v>
      </c>
      <c r="P19" s="630">
        <f t="shared" si="1"/>
        <v>0.77</v>
      </c>
      <c r="Q19" s="631"/>
      <c r="R19" s="631"/>
      <c r="S19" s="631"/>
      <c r="T19" s="631"/>
      <c r="U19" s="632"/>
      <c r="V19" s="633"/>
      <c r="W19" s="633"/>
      <c r="X19" s="633"/>
    </row>
    <row r="20" spans="1:24" s="634" customFormat="1" ht="15.75" hidden="1" customHeight="1">
      <c r="A20" s="635" t="s">
        <v>121</v>
      </c>
      <c r="B20" s="626" t="s">
        <v>384</v>
      </c>
      <c r="C20" s="628">
        <v>1</v>
      </c>
      <c r="D20" s="628"/>
      <c r="E20" s="628">
        <v>0.3</v>
      </c>
      <c r="F20" s="628"/>
      <c r="G20" s="628"/>
      <c r="H20" s="628">
        <v>4</v>
      </c>
      <c r="I20" s="628"/>
      <c r="J20" s="628"/>
      <c r="K20" s="628"/>
      <c r="L20" s="628">
        <f t="shared" si="2"/>
        <v>40</v>
      </c>
      <c r="M20" s="628">
        <f>C20*E20*H20*L20</f>
        <v>48</v>
      </c>
      <c r="N20" s="636">
        <f t="shared" si="0"/>
        <v>48</v>
      </c>
      <c r="O20" s="637" t="s">
        <v>89</v>
      </c>
      <c r="P20" s="630">
        <f t="shared" si="1"/>
        <v>48</v>
      </c>
      <c r="Q20" s="631"/>
      <c r="R20" s="631"/>
      <c r="S20" s="631"/>
      <c r="T20" s="631"/>
      <c r="U20" s="632"/>
      <c r="V20" s="633"/>
      <c r="W20" s="633"/>
      <c r="X20" s="633"/>
    </row>
    <row r="21" spans="1:24" s="634" customFormat="1" ht="15.75" hidden="1" customHeight="1">
      <c r="A21" s="635" t="s">
        <v>142</v>
      </c>
      <c r="B21" s="626" t="s">
        <v>895</v>
      </c>
      <c r="C21" s="628">
        <v>0.65</v>
      </c>
      <c r="D21" s="628"/>
      <c r="E21" s="628"/>
      <c r="F21" s="628">
        <f>13*13*0.006165</f>
        <v>1.041885</v>
      </c>
      <c r="G21" s="628">
        <f>0.15*2</f>
        <v>0.3</v>
      </c>
      <c r="H21" s="628">
        <v>4</v>
      </c>
      <c r="I21" s="628"/>
      <c r="J21" s="628"/>
      <c r="K21" s="628">
        <f>ROUNDUP((C21/0.125),0.5)+1</f>
        <v>7</v>
      </c>
      <c r="L21" s="628">
        <f t="shared" si="2"/>
        <v>40</v>
      </c>
      <c r="M21" s="628">
        <f>(C21+G21)*F21*H21*K21*L21</f>
        <v>1108.5656399999998</v>
      </c>
      <c r="N21" s="636">
        <f t="shared" si="0"/>
        <v>1108.5656399999998</v>
      </c>
      <c r="O21" s="637" t="s">
        <v>100</v>
      </c>
      <c r="P21" s="630">
        <f t="shared" si="1"/>
        <v>1108.57</v>
      </c>
      <c r="Q21" s="631"/>
      <c r="R21" s="631"/>
      <c r="S21" s="631"/>
      <c r="T21" s="631"/>
      <c r="U21" s="632"/>
      <c r="V21" s="633"/>
      <c r="W21" s="633"/>
      <c r="X21" s="633"/>
    </row>
    <row r="22" spans="1:24" s="634" customFormat="1" ht="15.75" hidden="1" customHeight="1">
      <c r="A22" s="635" t="s">
        <v>217</v>
      </c>
      <c r="B22" s="638" t="s">
        <v>420</v>
      </c>
      <c r="C22" s="628">
        <f>C19</f>
        <v>0.8</v>
      </c>
      <c r="D22" s="628">
        <f>D19</f>
        <v>0.8</v>
      </c>
      <c r="E22" s="628">
        <f>E20</f>
        <v>0.3</v>
      </c>
      <c r="F22" s="628"/>
      <c r="G22" s="628"/>
      <c r="H22" s="628"/>
      <c r="I22" s="628"/>
      <c r="J22" s="628"/>
      <c r="K22" s="628"/>
      <c r="L22" s="628">
        <f t="shared" si="2"/>
        <v>40</v>
      </c>
      <c r="M22" s="628">
        <f>C22*D22*E22*L22</f>
        <v>7.6800000000000015</v>
      </c>
      <c r="N22" s="636">
        <f t="shared" si="0"/>
        <v>7.6800000000000015</v>
      </c>
      <c r="O22" s="637" t="s">
        <v>103</v>
      </c>
      <c r="P22" s="630">
        <f t="shared" si="1"/>
        <v>7.68</v>
      </c>
      <c r="Q22" s="631"/>
      <c r="R22" s="631"/>
      <c r="S22" s="631"/>
      <c r="T22" s="631"/>
      <c r="U22" s="632"/>
      <c r="V22" s="633"/>
      <c r="W22" s="633"/>
      <c r="X22" s="633"/>
    </row>
    <row r="23" spans="1:24" s="634" customFormat="1" ht="15.75" hidden="1" customHeight="1">
      <c r="A23" s="635" t="s">
        <v>366</v>
      </c>
      <c r="B23" s="626" t="s">
        <v>383</v>
      </c>
      <c r="C23" s="628"/>
      <c r="D23" s="628"/>
      <c r="E23" s="628">
        <v>4</v>
      </c>
      <c r="F23" s="628"/>
      <c r="G23" s="628"/>
      <c r="H23" s="628"/>
      <c r="I23" s="628"/>
      <c r="J23" s="628"/>
      <c r="K23" s="628">
        <v>4</v>
      </c>
      <c r="L23" s="628">
        <f t="shared" si="2"/>
        <v>40</v>
      </c>
      <c r="M23" s="628">
        <f>E23*K23*L23</f>
        <v>640</v>
      </c>
      <c r="N23" s="636">
        <f t="shared" si="0"/>
        <v>640</v>
      </c>
      <c r="O23" s="637" t="s">
        <v>117</v>
      </c>
      <c r="P23" s="630">
        <f t="shared" si="1"/>
        <v>640</v>
      </c>
      <c r="Q23" s="631"/>
      <c r="R23" s="631"/>
      <c r="S23" s="631"/>
      <c r="T23" s="631"/>
      <c r="U23" s="632"/>
      <c r="V23" s="633"/>
      <c r="W23" s="633"/>
      <c r="X23" s="633"/>
    </row>
    <row r="24" spans="1:24" s="634" customFormat="1" ht="15.75" hidden="1" customHeight="1">
      <c r="A24" s="639">
        <f>A16+1</f>
        <v>3</v>
      </c>
      <c r="B24" s="640" t="s">
        <v>416</v>
      </c>
      <c r="C24" s="627"/>
      <c r="D24" s="627"/>
      <c r="E24" s="627"/>
      <c r="F24" s="627"/>
      <c r="G24" s="627"/>
      <c r="H24" s="627"/>
      <c r="I24" s="627"/>
      <c r="J24" s="627"/>
      <c r="K24" s="627"/>
      <c r="L24" s="627"/>
      <c r="M24" s="627"/>
      <c r="N24" s="627"/>
      <c r="O24" s="641"/>
      <c r="P24" s="630"/>
      <c r="Q24" s="631"/>
      <c r="R24" s="631"/>
      <c r="S24" s="631"/>
      <c r="T24" s="631"/>
      <c r="U24" s="632"/>
      <c r="V24" s="633"/>
      <c r="W24" s="633"/>
      <c r="X24" s="633"/>
    </row>
    <row r="25" spans="1:24" s="634" customFormat="1" ht="15.75" hidden="1" customHeight="1">
      <c r="A25" s="642" t="s">
        <v>95</v>
      </c>
      <c r="B25" s="640" t="s">
        <v>417</v>
      </c>
      <c r="C25" s="627"/>
      <c r="D25" s="627">
        <v>0.25</v>
      </c>
      <c r="E25" s="627">
        <v>0.9</v>
      </c>
      <c r="F25" s="627"/>
      <c r="G25" s="627"/>
      <c r="H25" s="627">
        <v>4</v>
      </c>
      <c r="I25" s="627"/>
      <c r="J25" s="627"/>
      <c r="K25" s="627"/>
      <c r="L25" s="627"/>
      <c r="M25" s="627">
        <f>L23</f>
        <v>40</v>
      </c>
      <c r="N25" s="627">
        <f>D25*E25*H25*M25</f>
        <v>36</v>
      </c>
      <c r="O25" s="641" t="s">
        <v>89</v>
      </c>
      <c r="P25" s="630">
        <f>ROUND((N25),2)</f>
        <v>36</v>
      </c>
      <c r="Q25" s="631"/>
      <c r="R25" s="631"/>
      <c r="S25" s="631"/>
      <c r="T25" s="631"/>
      <c r="U25" s="632"/>
      <c r="V25" s="633"/>
      <c r="W25" s="633"/>
      <c r="X25" s="633"/>
    </row>
    <row r="26" spans="1:24" s="634" customFormat="1" ht="15.75" hidden="1" customHeight="1">
      <c r="A26" s="642" t="s">
        <v>98</v>
      </c>
      <c r="B26" s="640" t="s">
        <v>1042</v>
      </c>
      <c r="C26" s="627"/>
      <c r="D26" s="627"/>
      <c r="E26" s="627">
        <f>E25</f>
        <v>0.9</v>
      </c>
      <c r="F26" s="627">
        <v>8</v>
      </c>
      <c r="G26" s="627"/>
      <c r="H26" s="627"/>
      <c r="I26" s="627"/>
      <c r="J26" s="627">
        <v>0.2</v>
      </c>
      <c r="K26" s="627"/>
      <c r="L26" s="627">
        <f>13*13*0.006165</f>
        <v>1.041885</v>
      </c>
      <c r="M26" s="627">
        <f>M25</f>
        <v>40</v>
      </c>
      <c r="N26" s="627">
        <f>(E26+J26)*F26*L26*M26</f>
        <v>366.74351999999999</v>
      </c>
      <c r="O26" s="641" t="s">
        <v>100</v>
      </c>
      <c r="P26" s="630">
        <f>ROUND((N26),2)</f>
        <v>366.74</v>
      </c>
      <c r="Q26" s="631"/>
      <c r="R26" s="631"/>
      <c r="S26" s="631"/>
      <c r="T26" s="631"/>
      <c r="U26" s="632"/>
      <c r="V26" s="633"/>
      <c r="W26" s="633"/>
      <c r="X26" s="633"/>
    </row>
    <row r="27" spans="1:24" s="634" customFormat="1" ht="15.75" hidden="1" customHeight="1">
      <c r="A27" s="642" t="s">
        <v>101</v>
      </c>
      <c r="B27" s="640" t="s">
        <v>428</v>
      </c>
      <c r="C27" s="627">
        <f>0.22*4</f>
        <v>0.88</v>
      </c>
      <c r="D27" s="627"/>
      <c r="E27" s="627"/>
      <c r="F27" s="627">
        <f>ROUNDDOWN((E26/0.15),0.1)</f>
        <v>6</v>
      </c>
      <c r="G27" s="627"/>
      <c r="H27" s="627"/>
      <c r="I27" s="627">
        <f>0.05*2</f>
        <v>0.1</v>
      </c>
      <c r="J27" s="627"/>
      <c r="K27" s="627"/>
      <c r="L27" s="627">
        <f>8*8*0.006165</f>
        <v>0.39456000000000002</v>
      </c>
      <c r="M27" s="627">
        <f>M26</f>
        <v>40</v>
      </c>
      <c r="N27" s="627">
        <f>(C27+I27)*F27*L27*M27</f>
        <v>92.800512000000012</v>
      </c>
      <c r="O27" s="641" t="s">
        <v>100</v>
      </c>
      <c r="P27" s="630">
        <f>ROUND((N27),2)</f>
        <v>92.8</v>
      </c>
      <c r="Q27" s="631"/>
      <c r="R27" s="631"/>
      <c r="S27" s="631"/>
      <c r="T27" s="631"/>
      <c r="U27" s="632"/>
      <c r="V27" s="633"/>
      <c r="W27" s="633"/>
      <c r="X27" s="633"/>
    </row>
    <row r="28" spans="1:24" s="634" customFormat="1" ht="15.75" hidden="1" customHeight="1">
      <c r="A28" s="642" t="s">
        <v>121</v>
      </c>
      <c r="B28" s="640" t="s">
        <v>1043</v>
      </c>
      <c r="C28" s="627">
        <v>0.25</v>
      </c>
      <c r="D28" s="627">
        <v>0.25</v>
      </c>
      <c r="E28" s="627">
        <f>E26</f>
        <v>0.9</v>
      </c>
      <c r="F28" s="627"/>
      <c r="G28" s="627"/>
      <c r="H28" s="627"/>
      <c r="I28" s="627"/>
      <c r="J28" s="627"/>
      <c r="K28" s="627"/>
      <c r="L28" s="627"/>
      <c r="M28" s="627">
        <f>M26</f>
        <v>40</v>
      </c>
      <c r="N28" s="627">
        <f>C28*D28*E28*M28</f>
        <v>2.25</v>
      </c>
      <c r="O28" s="641" t="s">
        <v>103</v>
      </c>
      <c r="P28" s="630">
        <f>ROUND((N28),2)</f>
        <v>2.25</v>
      </c>
      <c r="Q28" s="631"/>
      <c r="R28" s="631"/>
      <c r="S28" s="631"/>
      <c r="T28" s="631"/>
      <c r="U28" s="632"/>
      <c r="V28" s="633"/>
      <c r="W28" s="633"/>
      <c r="X28" s="633"/>
    </row>
    <row r="29" spans="1:24" s="623" customFormat="1" ht="15.75" customHeight="1">
      <c r="A29" s="372">
        <f>A12+1</f>
        <v>2</v>
      </c>
      <c r="B29" s="368" t="s">
        <v>471</v>
      </c>
      <c r="C29" s="382"/>
      <c r="D29" s="382"/>
      <c r="E29" s="382"/>
      <c r="F29" s="382"/>
      <c r="G29" s="382"/>
      <c r="H29" s="382"/>
      <c r="I29" s="382"/>
      <c r="J29" s="382"/>
      <c r="K29" s="382"/>
      <c r="L29" s="382"/>
      <c r="M29" s="382"/>
      <c r="N29" s="382"/>
      <c r="O29" s="617"/>
      <c r="P29" s="620"/>
      <c r="Q29" s="386"/>
      <c r="R29" s="386"/>
      <c r="S29" s="386"/>
      <c r="T29" s="386"/>
      <c r="U29" s="621"/>
      <c r="V29" s="622"/>
      <c r="W29" s="622"/>
      <c r="X29" s="622"/>
    </row>
    <row r="30" spans="1:24" s="623" customFormat="1" ht="15.75" customHeight="1">
      <c r="A30" s="384" t="s">
        <v>95</v>
      </c>
      <c r="B30" s="366" t="s">
        <v>491</v>
      </c>
      <c r="C30" s="382"/>
      <c r="D30" s="382"/>
      <c r="E30" s="382"/>
      <c r="F30" s="382"/>
      <c r="G30" s="382"/>
      <c r="H30" s="382"/>
      <c r="I30" s="382"/>
      <c r="J30" s="382"/>
      <c r="K30" s="382"/>
      <c r="L30" s="382"/>
      <c r="M30" s="382"/>
      <c r="N30" s="382"/>
      <c r="O30" s="617"/>
      <c r="P30" s="620"/>
      <c r="Q30" s="386"/>
      <c r="R30" s="386"/>
      <c r="S30" s="386"/>
      <c r="T30" s="386"/>
      <c r="U30" s="621"/>
      <c r="V30" s="622"/>
      <c r="W30" s="622"/>
      <c r="X30" s="622"/>
    </row>
    <row r="31" spans="1:24" s="623" customFormat="1" ht="15.75" customHeight="1">
      <c r="A31" s="384"/>
      <c r="B31" s="643" t="s">
        <v>1044</v>
      </c>
      <c r="C31" s="382">
        <v>8.4499999999999993</v>
      </c>
      <c r="D31" s="382">
        <v>1.1000000000000001</v>
      </c>
      <c r="E31" s="382">
        <f>0.5+0.8+0.2</f>
        <v>1.5</v>
      </c>
      <c r="F31" s="382"/>
      <c r="G31" s="382"/>
      <c r="H31" s="382"/>
      <c r="I31" s="382"/>
      <c r="J31" s="382"/>
      <c r="K31" s="382"/>
      <c r="L31" s="382"/>
      <c r="M31" s="382">
        <v>5</v>
      </c>
      <c r="N31" s="382">
        <f>C31*D31*E31*M31</f>
        <v>69.712499999999991</v>
      </c>
      <c r="O31" s="617"/>
      <c r="P31" s="620"/>
      <c r="Q31" s="386"/>
      <c r="R31" s="386"/>
      <c r="S31" s="386"/>
      <c r="T31" s="386"/>
      <c r="U31" s="621"/>
      <c r="V31" s="622"/>
      <c r="W31" s="622"/>
      <c r="X31" s="622"/>
    </row>
    <row r="32" spans="1:24" s="623" customFormat="1" ht="15.75" customHeight="1">
      <c r="A32" s="384"/>
      <c r="B32" s="643" t="s">
        <v>136</v>
      </c>
      <c r="C32" s="382">
        <v>12</v>
      </c>
      <c r="D32" s="382">
        <f>D31</f>
        <v>1.1000000000000001</v>
      </c>
      <c r="E32" s="382">
        <f>E31</f>
        <v>1.5</v>
      </c>
      <c r="F32" s="382"/>
      <c r="G32" s="382"/>
      <c r="H32" s="382"/>
      <c r="I32" s="382"/>
      <c r="J32" s="382"/>
      <c r="K32" s="382"/>
      <c r="L32" s="382"/>
      <c r="M32" s="382">
        <v>2</v>
      </c>
      <c r="N32" s="624">
        <f>C32*D32*E32*M32</f>
        <v>39.6</v>
      </c>
      <c r="O32" s="617"/>
      <c r="P32" s="620"/>
      <c r="Q32" s="386"/>
      <c r="R32" s="386"/>
      <c r="S32" s="386"/>
      <c r="T32" s="386"/>
      <c r="U32" s="621"/>
      <c r="V32" s="622"/>
      <c r="W32" s="622"/>
      <c r="X32" s="622"/>
    </row>
    <row r="33" spans="1:24" s="623" customFormat="1" ht="15.75" customHeight="1">
      <c r="A33" s="384"/>
      <c r="B33" s="366"/>
      <c r="C33" s="382"/>
      <c r="D33" s="382"/>
      <c r="E33" s="382"/>
      <c r="F33" s="382"/>
      <c r="G33" s="382"/>
      <c r="H33" s="382"/>
      <c r="I33" s="382"/>
      <c r="J33" s="382"/>
      <c r="K33" s="382"/>
      <c r="L33" s="382"/>
      <c r="M33" s="382"/>
      <c r="N33" s="431">
        <f>SUM(N31:N32)</f>
        <v>109.3125</v>
      </c>
      <c r="O33" s="617" t="s">
        <v>103</v>
      </c>
      <c r="P33" s="620">
        <f>ROUND((N33),2)</f>
        <v>109.31</v>
      </c>
      <c r="Q33" s="386"/>
      <c r="R33" s="386"/>
      <c r="S33" s="386"/>
      <c r="T33" s="386"/>
      <c r="U33" s="621"/>
      <c r="V33" s="622"/>
      <c r="W33" s="622"/>
      <c r="X33" s="622"/>
    </row>
    <row r="34" spans="1:24" s="623" customFormat="1" ht="15.75" customHeight="1">
      <c r="A34" s="384" t="s">
        <v>98</v>
      </c>
      <c r="B34" s="357" t="s">
        <v>405</v>
      </c>
      <c r="C34" s="382"/>
      <c r="D34" s="382"/>
      <c r="E34" s="382"/>
      <c r="F34" s="382"/>
      <c r="G34" s="382"/>
      <c r="H34" s="382"/>
      <c r="I34" s="382"/>
      <c r="J34" s="382"/>
      <c r="K34" s="382"/>
      <c r="L34" s="382"/>
      <c r="M34" s="382"/>
      <c r="N34" s="382"/>
      <c r="O34" s="617"/>
      <c r="P34" s="620"/>
      <c r="Q34" s="386"/>
      <c r="R34" s="386"/>
      <c r="S34" s="386"/>
      <c r="T34" s="386"/>
      <c r="U34" s="621"/>
      <c r="V34" s="622"/>
      <c r="W34" s="622"/>
      <c r="X34" s="622"/>
    </row>
    <row r="35" spans="1:24" s="623" customFormat="1" ht="15.75" customHeight="1">
      <c r="A35" s="384"/>
      <c r="B35" s="569" t="s">
        <v>1045</v>
      </c>
      <c r="C35" s="382">
        <f>C31</f>
        <v>8.4499999999999993</v>
      </c>
      <c r="D35" s="382"/>
      <c r="E35" s="382"/>
      <c r="F35" s="382"/>
      <c r="G35" s="382"/>
      <c r="H35" s="382"/>
      <c r="I35" s="382"/>
      <c r="J35" s="382"/>
      <c r="K35" s="382"/>
      <c r="L35" s="382"/>
      <c r="M35" s="382">
        <f>SUM(M31:M31)</f>
        <v>5</v>
      </c>
      <c r="N35" s="382">
        <f>C35*M35</f>
        <v>42.25</v>
      </c>
      <c r="O35" s="617"/>
      <c r="P35" s="620"/>
      <c r="Q35" s="386"/>
      <c r="R35" s="386"/>
      <c r="S35" s="386"/>
      <c r="T35" s="386"/>
      <c r="U35" s="621"/>
      <c r="V35" s="622"/>
      <c r="W35" s="622"/>
      <c r="X35" s="622"/>
    </row>
    <row r="36" spans="1:24" s="623" customFormat="1" ht="15.75" customHeight="1">
      <c r="A36" s="384"/>
      <c r="B36" s="569"/>
      <c r="C36" s="382">
        <f>C32</f>
        <v>12</v>
      </c>
      <c r="D36" s="382"/>
      <c r="E36" s="382"/>
      <c r="F36" s="382"/>
      <c r="G36" s="382"/>
      <c r="H36" s="382"/>
      <c r="I36" s="382"/>
      <c r="J36" s="382"/>
      <c r="K36" s="382"/>
      <c r="L36" s="382"/>
      <c r="M36" s="382">
        <f>M32</f>
        <v>2</v>
      </c>
      <c r="N36" s="624">
        <f>C36*M36</f>
        <v>24</v>
      </c>
      <c r="O36" s="617"/>
      <c r="P36" s="620"/>
      <c r="Q36" s="386"/>
      <c r="R36" s="386"/>
      <c r="S36" s="386"/>
      <c r="T36" s="386"/>
      <c r="U36" s="621"/>
      <c r="V36" s="622"/>
      <c r="W36" s="622"/>
      <c r="X36" s="622"/>
    </row>
    <row r="37" spans="1:24" s="623" customFormat="1" ht="15.75" customHeight="1">
      <c r="A37" s="384"/>
      <c r="B37" s="569"/>
      <c r="C37" s="382"/>
      <c r="D37" s="382"/>
      <c r="E37" s="382"/>
      <c r="F37" s="382"/>
      <c r="G37" s="382"/>
      <c r="H37" s="382"/>
      <c r="I37" s="382"/>
      <c r="J37" s="382"/>
      <c r="K37" s="382"/>
      <c r="L37" s="382"/>
      <c r="M37" s="382"/>
      <c r="N37" s="431">
        <f>SUM(N35:N36)</f>
        <v>66.25</v>
      </c>
      <c r="O37" s="617"/>
      <c r="P37" s="620"/>
      <c r="Q37" s="386"/>
      <c r="R37" s="386"/>
      <c r="S37" s="386"/>
      <c r="T37" s="386"/>
      <c r="U37" s="621"/>
      <c r="V37" s="622"/>
      <c r="W37" s="622"/>
      <c r="X37" s="622"/>
    </row>
    <row r="38" spans="1:24" s="623" customFormat="1" ht="15.75" customHeight="1">
      <c r="A38" s="384"/>
      <c r="B38" s="569" t="s">
        <v>1046</v>
      </c>
      <c r="C38" s="382"/>
      <c r="D38" s="382"/>
      <c r="E38" s="382">
        <v>4</v>
      </c>
      <c r="F38" s="382">
        <f>ROUNDUP((N37/0.5),0.1)</f>
        <v>133</v>
      </c>
      <c r="G38" s="382"/>
      <c r="H38" s="382">
        <v>3</v>
      </c>
      <c r="I38" s="382"/>
      <c r="J38" s="382"/>
      <c r="K38" s="382"/>
      <c r="L38" s="382"/>
      <c r="M38" s="382"/>
      <c r="N38" s="382">
        <f>E38*F38*H38</f>
        <v>1596</v>
      </c>
      <c r="O38" s="617" t="s">
        <v>117</v>
      </c>
      <c r="P38" s="620">
        <f>ROUND((N38),2)</f>
        <v>1596</v>
      </c>
      <c r="Q38" s="386"/>
      <c r="R38" s="386"/>
      <c r="S38" s="386"/>
      <c r="T38" s="386"/>
      <c r="U38" s="621"/>
      <c r="V38" s="622"/>
      <c r="W38" s="622"/>
      <c r="X38" s="622"/>
    </row>
    <row r="39" spans="1:24" s="623" customFormat="1" ht="15.75" customHeight="1">
      <c r="A39" s="384" t="s">
        <v>142</v>
      </c>
      <c r="B39" s="366" t="s">
        <v>1047</v>
      </c>
      <c r="C39" s="382"/>
      <c r="D39" s="382"/>
      <c r="E39" s="382"/>
      <c r="F39" s="382"/>
      <c r="G39" s="382"/>
      <c r="H39" s="382"/>
      <c r="I39" s="382"/>
      <c r="J39" s="382"/>
      <c r="K39" s="382"/>
      <c r="L39" s="382"/>
      <c r="M39" s="382"/>
      <c r="N39" s="382"/>
      <c r="O39" s="617"/>
      <c r="P39" s="620"/>
      <c r="Q39" s="386"/>
      <c r="R39" s="386"/>
      <c r="S39" s="386"/>
      <c r="T39" s="386"/>
      <c r="U39" s="621"/>
      <c r="V39" s="622"/>
      <c r="W39" s="622"/>
      <c r="X39" s="622"/>
    </row>
    <row r="40" spans="1:24" s="623" customFormat="1" ht="15.75" customHeight="1">
      <c r="A40" s="384"/>
      <c r="B40" s="643" t="str">
        <f t="shared" ref="B40:D41" si="3">B31</f>
        <v>Horisontal</v>
      </c>
      <c r="C40" s="382">
        <f t="shared" si="3"/>
        <v>8.4499999999999993</v>
      </c>
      <c r="D40" s="382">
        <f t="shared" si="3"/>
        <v>1.1000000000000001</v>
      </c>
      <c r="E40" s="382">
        <f>E31-0.8-0.5</f>
        <v>0.19999999999999996</v>
      </c>
      <c r="F40" s="382"/>
      <c r="G40" s="382"/>
      <c r="H40" s="382"/>
      <c r="I40" s="382"/>
      <c r="J40" s="382"/>
      <c r="K40" s="382"/>
      <c r="L40" s="382"/>
      <c r="M40" s="382">
        <f>M31</f>
        <v>5</v>
      </c>
      <c r="N40" s="382">
        <f>C40*D40*E40*M40</f>
        <v>9.2949999999999982</v>
      </c>
      <c r="O40" s="617"/>
      <c r="P40" s="620"/>
      <c r="Q40" s="386"/>
      <c r="R40" s="386"/>
      <c r="S40" s="386"/>
      <c r="T40" s="386"/>
      <c r="U40" s="621"/>
      <c r="V40" s="622"/>
      <c r="W40" s="622"/>
      <c r="X40" s="622"/>
    </row>
    <row r="41" spans="1:24" s="623" customFormat="1" ht="15.75" customHeight="1">
      <c r="A41" s="384"/>
      <c r="B41" s="643" t="str">
        <f t="shared" si="3"/>
        <v>Vertikal</v>
      </c>
      <c r="C41" s="382">
        <f t="shared" si="3"/>
        <v>12</v>
      </c>
      <c r="D41" s="382">
        <f t="shared" si="3"/>
        <v>1.1000000000000001</v>
      </c>
      <c r="E41" s="382">
        <f>E40</f>
        <v>0.19999999999999996</v>
      </c>
      <c r="F41" s="382"/>
      <c r="G41" s="382"/>
      <c r="H41" s="382"/>
      <c r="I41" s="382"/>
      <c r="J41" s="382"/>
      <c r="K41" s="382"/>
      <c r="L41" s="382"/>
      <c r="M41" s="382">
        <f>M32</f>
        <v>2</v>
      </c>
      <c r="N41" s="624">
        <f>C41*D41*E41*M41</f>
        <v>5.2799999999999994</v>
      </c>
      <c r="O41" s="617"/>
      <c r="P41" s="620"/>
      <c r="Q41" s="386"/>
      <c r="R41" s="386"/>
      <c r="S41" s="386"/>
      <c r="T41" s="386"/>
      <c r="U41" s="621"/>
      <c r="V41" s="622"/>
      <c r="W41" s="622"/>
      <c r="X41" s="622"/>
    </row>
    <row r="42" spans="1:24" s="623" customFormat="1" ht="15.75" customHeight="1">
      <c r="A42" s="384"/>
      <c r="B42" s="366"/>
      <c r="C42" s="382"/>
      <c r="D42" s="382"/>
      <c r="E42" s="382"/>
      <c r="F42" s="382"/>
      <c r="G42" s="382"/>
      <c r="H42" s="382"/>
      <c r="I42" s="382"/>
      <c r="J42" s="382"/>
      <c r="K42" s="382"/>
      <c r="L42" s="382"/>
      <c r="M42" s="382"/>
      <c r="N42" s="431">
        <f>SUM(N40:N41)</f>
        <v>14.574999999999998</v>
      </c>
      <c r="O42" s="617" t="s">
        <v>103</v>
      </c>
      <c r="P42" s="620">
        <f>ROUND((N42),2)</f>
        <v>14.58</v>
      </c>
      <c r="Q42" s="386"/>
      <c r="R42" s="386"/>
      <c r="S42" s="386"/>
      <c r="T42" s="386"/>
      <c r="U42" s="621"/>
      <c r="V42" s="622"/>
      <c r="W42" s="622"/>
      <c r="X42" s="622"/>
    </row>
    <row r="43" spans="1:24" s="623" customFormat="1" ht="15.75" customHeight="1">
      <c r="A43" s="384" t="s">
        <v>217</v>
      </c>
      <c r="B43" s="366" t="s">
        <v>407</v>
      </c>
      <c r="C43" s="382"/>
      <c r="D43" s="644" t="s">
        <v>1007</v>
      </c>
      <c r="E43" s="382"/>
      <c r="F43" s="382"/>
      <c r="G43" s="382"/>
      <c r="H43" s="382"/>
      <c r="I43" s="382"/>
      <c r="J43" s="382"/>
      <c r="K43" s="382"/>
      <c r="L43" s="382"/>
      <c r="M43" s="382"/>
      <c r="N43" s="382"/>
      <c r="O43" s="617"/>
      <c r="P43" s="620"/>
      <c r="Q43" s="386"/>
      <c r="R43" s="386"/>
      <c r="S43" s="386"/>
      <c r="T43" s="386"/>
      <c r="U43" s="621"/>
      <c r="V43" s="622"/>
      <c r="W43" s="622"/>
      <c r="X43" s="622"/>
    </row>
    <row r="44" spans="1:24" s="623" customFormat="1" ht="15.75" customHeight="1">
      <c r="A44" s="384"/>
      <c r="B44" s="643" t="str">
        <f>B40</f>
        <v>Horisontal</v>
      </c>
      <c r="C44" s="382">
        <f>C40</f>
        <v>8.4499999999999993</v>
      </c>
      <c r="D44" s="382">
        <f>(0.3+D40)/2</f>
        <v>0.70000000000000007</v>
      </c>
      <c r="E44" s="382">
        <f>E31-E40</f>
        <v>1.3</v>
      </c>
      <c r="F44" s="382"/>
      <c r="G44" s="382"/>
      <c r="H44" s="382"/>
      <c r="I44" s="382"/>
      <c r="J44" s="382"/>
      <c r="K44" s="382"/>
      <c r="L44" s="382"/>
      <c r="M44" s="382">
        <f>M40</f>
        <v>5</v>
      </c>
      <c r="N44" s="382">
        <f>C44*D44*E44*M44</f>
        <v>38.447500000000005</v>
      </c>
      <c r="O44" s="617"/>
      <c r="P44" s="620"/>
      <c r="Q44" s="386"/>
      <c r="R44" s="386"/>
      <c r="S44" s="386"/>
      <c r="T44" s="386"/>
      <c r="U44" s="621"/>
      <c r="V44" s="622"/>
      <c r="W44" s="622"/>
      <c r="X44" s="622"/>
    </row>
    <row r="45" spans="1:24" s="623" customFormat="1" ht="15.75" customHeight="1">
      <c r="A45" s="384"/>
      <c r="B45" s="643" t="str">
        <f>B41</f>
        <v>Vertikal</v>
      </c>
      <c r="C45" s="382">
        <f>C41</f>
        <v>12</v>
      </c>
      <c r="D45" s="382">
        <f>D44</f>
        <v>0.70000000000000007</v>
      </c>
      <c r="E45" s="382">
        <f>E44</f>
        <v>1.3</v>
      </c>
      <c r="F45" s="382"/>
      <c r="G45" s="382"/>
      <c r="H45" s="382"/>
      <c r="I45" s="382"/>
      <c r="J45" s="382"/>
      <c r="K45" s="382"/>
      <c r="L45" s="382"/>
      <c r="M45" s="382">
        <f>M41</f>
        <v>2</v>
      </c>
      <c r="N45" s="624">
        <f>C45*D45*E45*M45</f>
        <v>21.840000000000003</v>
      </c>
      <c r="O45" s="617"/>
      <c r="P45" s="620"/>
      <c r="Q45" s="386"/>
      <c r="R45" s="386"/>
      <c r="S45" s="386"/>
      <c r="T45" s="386"/>
      <c r="U45" s="621"/>
      <c r="V45" s="622"/>
      <c r="W45" s="622"/>
      <c r="X45" s="622"/>
    </row>
    <row r="46" spans="1:24" s="623" customFormat="1" ht="15.75" customHeight="1">
      <c r="A46" s="384"/>
      <c r="B46" s="366"/>
      <c r="C46" s="382"/>
      <c r="D46" s="382"/>
      <c r="E46" s="382"/>
      <c r="F46" s="382"/>
      <c r="G46" s="382"/>
      <c r="H46" s="382"/>
      <c r="I46" s="382"/>
      <c r="J46" s="382"/>
      <c r="K46" s="382"/>
      <c r="L46" s="382"/>
      <c r="M46" s="382"/>
      <c r="N46" s="431">
        <f>SUM(N44:N45)</f>
        <v>60.287500000000009</v>
      </c>
      <c r="O46" s="617" t="s">
        <v>103</v>
      </c>
      <c r="P46" s="620">
        <f>ROUND((N46),2)</f>
        <v>60.29</v>
      </c>
      <c r="Q46" s="386"/>
      <c r="R46" s="386"/>
      <c r="S46" s="386"/>
      <c r="T46" s="386"/>
      <c r="U46" s="621"/>
      <c r="V46" s="622"/>
      <c r="W46" s="622"/>
      <c r="X46" s="622"/>
    </row>
    <row r="47" spans="1:24" s="623" customFormat="1" ht="15.75" customHeight="1">
      <c r="A47" s="384" t="s">
        <v>366</v>
      </c>
      <c r="B47" s="366" t="s">
        <v>193</v>
      </c>
      <c r="C47" s="382"/>
      <c r="D47" s="382"/>
      <c r="E47" s="382"/>
      <c r="F47" s="382"/>
      <c r="G47" s="382"/>
      <c r="H47" s="382"/>
      <c r="I47" s="382"/>
      <c r="J47" s="382"/>
      <c r="K47" s="382"/>
      <c r="L47" s="382"/>
      <c r="M47" s="382"/>
      <c r="N47" s="431"/>
      <c r="O47" s="617"/>
      <c r="P47" s="620"/>
      <c r="Q47" s="386"/>
      <c r="R47" s="386"/>
      <c r="S47" s="386"/>
      <c r="T47" s="386"/>
      <c r="U47" s="621"/>
      <c r="V47" s="622"/>
      <c r="W47" s="622"/>
      <c r="X47" s="622"/>
    </row>
    <row r="48" spans="1:24" s="623" customFormat="1" ht="15.75" customHeight="1">
      <c r="A48" s="384"/>
      <c r="B48" s="643" t="s">
        <v>1044</v>
      </c>
      <c r="C48" s="382">
        <f>C44</f>
        <v>8.4499999999999993</v>
      </c>
      <c r="D48" s="382"/>
      <c r="E48" s="382">
        <v>0.8</v>
      </c>
      <c r="F48" s="382"/>
      <c r="G48" s="382"/>
      <c r="H48" s="382"/>
      <c r="I48" s="382"/>
      <c r="J48" s="382"/>
      <c r="K48" s="382"/>
      <c r="L48" s="382"/>
      <c r="M48" s="382">
        <v>2</v>
      </c>
      <c r="N48" s="431">
        <f>C48*E48*M48</f>
        <v>13.52</v>
      </c>
      <c r="O48" s="617"/>
      <c r="P48" s="620"/>
      <c r="Q48" s="386"/>
      <c r="R48" s="386"/>
      <c r="S48" s="386"/>
      <c r="T48" s="386"/>
      <c r="U48" s="621"/>
      <c r="V48" s="622"/>
      <c r="W48" s="622"/>
      <c r="X48" s="622"/>
    </row>
    <row r="49" spans="1:24" s="623" customFormat="1" ht="15.75" customHeight="1">
      <c r="A49" s="384"/>
      <c r="B49" s="643" t="s">
        <v>136</v>
      </c>
      <c r="C49" s="382">
        <f>C45</f>
        <v>12</v>
      </c>
      <c r="D49" s="382"/>
      <c r="E49" s="382">
        <f>E48</f>
        <v>0.8</v>
      </c>
      <c r="F49" s="382"/>
      <c r="G49" s="382"/>
      <c r="H49" s="382"/>
      <c r="I49" s="382"/>
      <c r="J49" s="382"/>
      <c r="K49" s="382"/>
      <c r="L49" s="382"/>
      <c r="M49" s="382">
        <f>M48</f>
        <v>2</v>
      </c>
      <c r="N49" s="624">
        <f>C49*E49*M49</f>
        <v>19.200000000000003</v>
      </c>
      <c r="O49" s="617"/>
      <c r="P49" s="620"/>
      <c r="Q49" s="386"/>
      <c r="R49" s="386"/>
      <c r="S49" s="386"/>
      <c r="T49" s="386"/>
      <c r="U49" s="621"/>
      <c r="V49" s="622"/>
      <c r="W49" s="622"/>
      <c r="X49" s="622"/>
    </row>
    <row r="50" spans="1:24" s="623" customFormat="1" ht="15.75" customHeight="1">
      <c r="A50" s="384"/>
      <c r="B50" s="366"/>
      <c r="C50" s="382"/>
      <c r="D50" s="382"/>
      <c r="E50" s="382"/>
      <c r="F50" s="382"/>
      <c r="G50" s="382"/>
      <c r="H50" s="382"/>
      <c r="I50" s="382"/>
      <c r="J50" s="382"/>
      <c r="K50" s="382"/>
      <c r="L50" s="382"/>
      <c r="M50" s="382"/>
      <c r="N50" s="431">
        <f>SUM(N48:N49)</f>
        <v>32.72</v>
      </c>
      <c r="O50" s="617" t="s">
        <v>89</v>
      </c>
      <c r="P50" s="620">
        <f>ROUND((N50),2)</f>
        <v>32.72</v>
      </c>
      <c r="Q50" s="386"/>
      <c r="R50" s="386"/>
      <c r="S50" s="386"/>
      <c r="T50" s="386"/>
      <c r="U50" s="621"/>
      <c r="V50" s="622"/>
      <c r="W50" s="622"/>
      <c r="X50" s="622"/>
    </row>
    <row r="51" spans="1:24" s="623" customFormat="1" ht="15.75" customHeight="1">
      <c r="A51" s="384" t="s">
        <v>476</v>
      </c>
      <c r="B51" s="366" t="s">
        <v>194</v>
      </c>
      <c r="C51" s="382"/>
      <c r="D51" s="382"/>
      <c r="E51" s="382"/>
      <c r="F51" s="382"/>
      <c r="G51" s="382"/>
      <c r="H51" s="382"/>
      <c r="I51" s="382"/>
      <c r="J51" s="382"/>
      <c r="K51" s="382"/>
      <c r="L51" s="382"/>
      <c r="M51" s="382"/>
      <c r="N51" s="431">
        <f>N50</f>
        <v>32.72</v>
      </c>
      <c r="O51" s="617" t="s">
        <v>89</v>
      </c>
      <c r="P51" s="620">
        <f>ROUND((N51),2)</f>
        <v>32.72</v>
      </c>
      <c r="Q51" s="386"/>
      <c r="R51" s="386"/>
      <c r="S51" s="386"/>
      <c r="T51" s="386"/>
      <c r="U51" s="621"/>
      <c r="V51" s="622"/>
      <c r="W51" s="622"/>
      <c r="X51" s="622"/>
    </row>
    <row r="52" spans="1:24" s="623" customFormat="1" ht="15.75" customHeight="1">
      <c r="A52" s="372">
        <f>A29+1</f>
        <v>3</v>
      </c>
      <c r="B52" s="368" t="s">
        <v>477</v>
      </c>
      <c r="C52" s="382"/>
      <c r="D52" s="382"/>
      <c r="E52" s="382"/>
      <c r="F52" s="382"/>
      <c r="G52" s="382"/>
      <c r="H52" s="382"/>
      <c r="I52" s="382"/>
      <c r="J52" s="382"/>
      <c r="K52" s="382"/>
      <c r="L52" s="382"/>
      <c r="M52" s="382"/>
      <c r="N52" s="382"/>
      <c r="O52" s="617"/>
      <c r="P52" s="620"/>
      <c r="Q52" s="386"/>
      <c r="R52" s="386"/>
      <c r="S52" s="386"/>
      <c r="T52" s="386"/>
      <c r="U52" s="621"/>
      <c r="V52" s="622"/>
      <c r="W52" s="622"/>
      <c r="X52" s="622"/>
    </row>
    <row r="53" spans="1:24" s="623" customFormat="1" ht="15.75" customHeight="1">
      <c r="A53" s="384" t="s">
        <v>95</v>
      </c>
      <c r="B53" s="366" t="s">
        <v>491</v>
      </c>
      <c r="C53" s="382"/>
      <c r="D53" s="382"/>
      <c r="E53" s="382"/>
      <c r="F53" s="382"/>
      <c r="G53" s="382"/>
      <c r="H53" s="382"/>
      <c r="I53" s="382"/>
      <c r="J53" s="382"/>
      <c r="K53" s="382"/>
      <c r="L53" s="382"/>
      <c r="M53" s="382"/>
      <c r="N53" s="382"/>
      <c r="O53" s="617"/>
      <c r="P53" s="620"/>
      <c r="Q53" s="386"/>
      <c r="R53" s="386"/>
      <c r="S53" s="386"/>
      <c r="T53" s="386"/>
      <c r="U53" s="621"/>
      <c r="V53" s="622"/>
      <c r="W53" s="622"/>
      <c r="X53" s="622"/>
    </row>
    <row r="54" spans="1:24" s="623" customFormat="1" ht="15.75" customHeight="1">
      <c r="A54" s="384"/>
      <c r="B54" s="643" t="s">
        <v>1044</v>
      </c>
      <c r="C54" s="382">
        <v>8.4499999999999993</v>
      </c>
      <c r="D54" s="382">
        <v>0.6</v>
      </c>
      <c r="E54" s="382">
        <v>0.3</v>
      </c>
      <c r="F54" s="382"/>
      <c r="G54" s="382"/>
      <c r="H54" s="382"/>
      <c r="I54" s="382"/>
      <c r="J54" s="382"/>
      <c r="K54" s="382"/>
      <c r="L54" s="382"/>
      <c r="M54" s="382">
        <v>1</v>
      </c>
      <c r="N54" s="382">
        <f>C54*D54*E54*M54</f>
        <v>1.5209999999999997</v>
      </c>
      <c r="O54" s="617"/>
      <c r="P54" s="620"/>
      <c r="Q54" s="386"/>
      <c r="R54" s="386"/>
      <c r="S54" s="386"/>
      <c r="T54" s="386"/>
      <c r="U54" s="621"/>
      <c r="V54" s="622"/>
      <c r="W54" s="622"/>
      <c r="X54" s="622"/>
    </row>
    <row r="55" spans="1:24" s="623" customFormat="1" ht="15.75" customHeight="1">
      <c r="A55" s="384"/>
      <c r="B55" s="643" t="s">
        <v>136</v>
      </c>
      <c r="C55" s="382">
        <v>2</v>
      </c>
      <c r="D55" s="382">
        <f>D54</f>
        <v>0.6</v>
      </c>
      <c r="E55" s="382">
        <f>E54</f>
        <v>0.3</v>
      </c>
      <c r="F55" s="382"/>
      <c r="G55" s="382"/>
      <c r="H55" s="382"/>
      <c r="I55" s="382"/>
      <c r="J55" s="382"/>
      <c r="K55" s="382"/>
      <c r="L55" s="382"/>
      <c r="M55" s="382">
        <v>4</v>
      </c>
      <c r="N55" s="624">
        <f>C55*D55*E55*M55</f>
        <v>1.44</v>
      </c>
      <c r="O55" s="617"/>
      <c r="P55" s="620"/>
      <c r="Q55" s="386"/>
      <c r="R55" s="386"/>
      <c r="S55" s="386"/>
      <c r="T55" s="386"/>
      <c r="U55" s="621"/>
      <c r="V55" s="622"/>
      <c r="W55" s="622"/>
      <c r="X55" s="622"/>
    </row>
    <row r="56" spans="1:24" s="623" customFormat="1" ht="15.75" customHeight="1">
      <c r="A56" s="384"/>
      <c r="B56" s="366"/>
      <c r="C56" s="382"/>
      <c r="D56" s="382"/>
      <c r="E56" s="382"/>
      <c r="F56" s="382"/>
      <c r="G56" s="382"/>
      <c r="H56" s="382"/>
      <c r="I56" s="382"/>
      <c r="J56" s="382"/>
      <c r="K56" s="382"/>
      <c r="L56" s="382"/>
      <c r="M56" s="382"/>
      <c r="N56" s="431">
        <f>SUM(N54:N55)</f>
        <v>2.9609999999999994</v>
      </c>
      <c r="O56" s="617" t="s">
        <v>103</v>
      </c>
      <c r="P56" s="620">
        <f>ROUND((N56),2)</f>
        <v>2.96</v>
      </c>
      <c r="Q56" s="386"/>
      <c r="R56" s="386"/>
      <c r="S56" s="386"/>
      <c r="T56" s="386"/>
      <c r="U56" s="621"/>
      <c r="V56" s="622"/>
      <c r="W56" s="622"/>
      <c r="X56" s="622"/>
    </row>
    <row r="57" spans="1:24" s="623" customFormat="1" ht="15.75" customHeight="1">
      <c r="A57" s="384" t="s">
        <v>98</v>
      </c>
      <c r="B57" s="357" t="s">
        <v>405</v>
      </c>
      <c r="C57" s="382"/>
      <c r="D57" s="382"/>
      <c r="E57" s="382"/>
      <c r="F57" s="382"/>
      <c r="G57" s="382"/>
      <c r="H57" s="382"/>
      <c r="I57" s="382"/>
      <c r="J57" s="382"/>
      <c r="K57" s="382"/>
      <c r="L57" s="382"/>
      <c r="M57" s="382"/>
      <c r="N57" s="382"/>
      <c r="O57" s="617"/>
      <c r="P57" s="620"/>
      <c r="Q57" s="386"/>
      <c r="R57" s="386"/>
      <c r="S57" s="386"/>
      <c r="T57" s="386"/>
      <c r="U57" s="621"/>
      <c r="V57" s="622"/>
      <c r="W57" s="622"/>
      <c r="X57" s="622"/>
    </row>
    <row r="58" spans="1:24" s="623" customFormat="1" ht="15.75" customHeight="1">
      <c r="A58" s="384"/>
      <c r="B58" s="569" t="s">
        <v>1045</v>
      </c>
      <c r="C58" s="382">
        <f>C54</f>
        <v>8.4499999999999993</v>
      </c>
      <c r="D58" s="382"/>
      <c r="E58" s="382"/>
      <c r="F58" s="382"/>
      <c r="G58" s="382"/>
      <c r="H58" s="382"/>
      <c r="I58" s="382"/>
      <c r="J58" s="382"/>
      <c r="K58" s="382"/>
      <c r="L58" s="382"/>
      <c r="M58" s="382">
        <f>M54</f>
        <v>1</v>
      </c>
      <c r="N58" s="382">
        <f>C58*M58</f>
        <v>8.4499999999999993</v>
      </c>
      <c r="O58" s="617"/>
      <c r="P58" s="620"/>
      <c r="Q58" s="386"/>
      <c r="R58" s="386"/>
      <c r="S58" s="386"/>
      <c r="T58" s="386"/>
      <c r="U58" s="621"/>
      <c r="V58" s="622"/>
      <c r="W58" s="622"/>
      <c r="X58" s="622"/>
    </row>
    <row r="59" spans="1:24" s="623" customFormat="1" ht="15.75" customHeight="1">
      <c r="A59" s="384"/>
      <c r="B59" s="569"/>
      <c r="C59" s="382">
        <f>C55</f>
        <v>2</v>
      </c>
      <c r="D59" s="382"/>
      <c r="E59" s="382"/>
      <c r="F59" s="382"/>
      <c r="G59" s="382"/>
      <c r="H59" s="382"/>
      <c r="I59" s="382"/>
      <c r="J59" s="382"/>
      <c r="K59" s="382"/>
      <c r="L59" s="382"/>
      <c r="M59" s="382">
        <f>M55</f>
        <v>4</v>
      </c>
      <c r="N59" s="382">
        <f>C59*M59</f>
        <v>8</v>
      </c>
      <c r="O59" s="617"/>
      <c r="P59" s="620"/>
      <c r="Q59" s="386"/>
      <c r="R59" s="386"/>
      <c r="S59" s="386"/>
      <c r="T59" s="386"/>
      <c r="U59" s="621"/>
      <c r="V59" s="622"/>
      <c r="W59" s="622"/>
      <c r="X59" s="622"/>
    </row>
    <row r="60" spans="1:24" s="623" customFormat="1" ht="15.75" customHeight="1">
      <c r="A60" s="384"/>
      <c r="B60" s="569"/>
      <c r="C60" s="382"/>
      <c r="D60" s="382"/>
      <c r="E60" s="382"/>
      <c r="F60" s="382"/>
      <c r="G60" s="382"/>
      <c r="H60" s="382"/>
      <c r="I60" s="382"/>
      <c r="J60" s="382"/>
      <c r="K60" s="382"/>
      <c r="L60" s="382"/>
      <c r="M60" s="382"/>
      <c r="N60" s="431">
        <f>SUM(N58:N59)</f>
        <v>16.45</v>
      </c>
      <c r="O60" s="617"/>
      <c r="P60" s="620"/>
      <c r="Q60" s="386"/>
      <c r="R60" s="386"/>
      <c r="S60" s="386"/>
      <c r="T60" s="386"/>
      <c r="U60" s="621"/>
      <c r="V60" s="622"/>
      <c r="W60" s="622"/>
      <c r="X60" s="622"/>
    </row>
    <row r="61" spans="1:24" s="623" customFormat="1" ht="15.75" customHeight="1">
      <c r="A61" s="384"/>
      <c r="B61" s="569" t="s">
        <v>1046</v>
      </c>
      <c r="C61" s="382"/>
      <c r="D61" s="382"/>
      <c r="E61" s="382">
        <v>4</v>
      </c>
      <c r="F61" s="382">
        <f>ROUNDUP((N60/0.5),0.1)</f>
        <v>33</v>
      </c>
      <c r="G61" s="382"/>
      <c r="H61" s="382">
        <v>2</v>
      </c>
      <c r="I61" s="382"/>
      <c r="J61" s="382"/>
      <c r="K61" s="382"/>
      <c r="L61" s="382"/>
      <c r="M61" s="382"/>
      <c r="N61" s="382">
        <f>E61*F61*H61</f>
        <v>264</v>
      </c>
      <c r="O61" s="617" t="s">
        <v>117</v>
      </c>
      <c r="P61" s="620">
        <f>ROUND((N61),2)</f>
        <v>264</v>
      </c>
      <c r="Q61" s="386"/>
      <c r="R61" s="386"/>
      <c r="S61" s="386"/>
      <c r="T61" s="386"/>
      <c r="U61" s="621"/>
      <c r="V61" s="622"/>
      <c r="W61" s="622"/>
      <c r="X61" s="622"/>
    </row>
    <row r="62" spans="1:24" s="623" customFormat="1" ht="15.75" customHeight="1">
      <c r="A62" s="384" t="s">
        <v>1048</v>
      </c>
      <c r="B62" s="366" t="s">
        <v>407</v>
      </c>
      <c r="C62" s="382"/>
      <c r="D62" s="382" t="s">
        <v>1007</v>
      </c>
      <c r="E62" s="382"/>
      <c r="F62" s="382"/>
      <c r="G62" s="382"/>
      <c r="H62" s="382"/>
      <c r="I62" s="382"/>
      <c r="J62" s="382"/>
      <c r="K62" s="382"/>
      <c r="L62" s="382"/>
      <c r="M62" s="382"/>
      <c r="N62" s="382"/>
      <c r="O62" s="617"/>
      <c r="P62" s="620"/>
      <c r="Q62" s="386"/>
      <c r="R62" s="386"/>
      <c r="S62" s="386"/>
      <c r="T62" s="386"/>
      <c r="U62" s="621"/>
      <c r="V62" s="622"/>
      <c r="W62" s="622"/>
      <c r="X62" s="622"/>
    </row>
    <row r="63" spans="1:24" s="623" customFormat="1" ht="15.75" customHeight="1">
      <c r="A63" s="384"/>
      <c r="B63" s="643" t="str">
        <f>B54</f>
        <v>Horisontal</v>
      </c>
      <c r="C63" s="382">
        <f>C54</f>
        <v>8.4499999999999993</v>
      </c>
      <c r="D63" s="644">
        <f>(0.3+D55)/2</f>
        <v>0.44999999999999996</v>
      </c>
      <c r="E63" s="382">
        <f>E54+0.6</f>
        <v>0.89999999999999991</v>
      </c>
      <c r="F63" s="382"/>
      <c r="G63" s="382"/>
      <c r="H63" s="382"/>
      <c r="I63" s="382"/>
      <c r="J63" s="382"/>
      <c r="K63" s="382"/>
      <c r="L63" s="382"/>
      <c r="M63" s="382">
        <f>M58</f>
        <v>1</v>
      </c>
      <c r="N63" s="382">
        <f>C63*D63*E63*M63</f>
        <v>3.4222499999999991</v>
      </c>
      <c r="O63" s="617"/>
      <c r="P63" s="620"/>
      <c r="Q63" s="386"/>
      <c r="R63" s="386"/>
      <c r="S63" s="386"/>
      <c r="T63" s="386"/>
      <c r="U63" s="621"/>
      <c r="V63" s="622"/>
      <c r="W63" s="622"/>
      <c r="X63" s="622"/>
    </row>
    <row r="64" spans="1:24" s="623" customFormat="1" ht="15.75" customHeight="1">
      <c r="A64" s="384"/>
      <c r="B64" s="643" t="str">
        <f>B55</f>
        <v>Vertikal</v>
      </c>
      <c r="C64" s="382">
        <f>C55</f>
        <v>2</v>
      </c>
      <c r="D64" s="382">
        <f>D63</f>
        <v>0.44999999999999996</v>
      </c>
      <c r="E64" s="382">
        <f>E63</f>
        <v>0.89999999999999991</v>
      </c>
      <c r="F64" s="382"/>
      <c r="G64" s="382"/>
      <c r="H64" s="382"/>
      <c r="I64" s="382"/>
      <c r="J64" s="382"/>
      <c r="K64" s="382"/>
      <c r="L64" s="382"/>
      <c r="M64" s="382">
        <f>M59</f>
        <v>4</v>
      </c>
      <c r="N64" s="624">
        <f>C64*D64*E64*M64</f>
        <v>3.2399999999999993</v>
      </c>
      <c r="O64" s="617"/>
      <c r="P64" s="620"/>
      <c r="Q64" s="386"/>
      <c r="R64" s="386"/>
      <c r="S64" s="386"/>
      <c r="T64" s="386"/>
      <c r="U64" s="621"/>
      <c r="V64" s="622"/>
      <c r="W64" s="622"/>
      <c r="X64" s="622"/>
    </row>
    <row r="65" spans="1:24" s="623" customFormat="1" ht="15.75" customHeight="1">
      <c r="A65" s="384"/>
      <c r="B65" s="366"/>
      <c r="C65" s="382"/>
      <c r="D65" s="382"/>
      <c r="E65" s="382"/>
      <c r="F65" s="382"/>
      <c r="G65" s="382"/>
      <c r="H65" s="382"/>
      <c r="I65" s="382"/>
      <c r="J65" s="382"/>
      <c r="K65" s="382"/>
      <c r="L65" s="382"/>
      <c r="M65" s="382"/>
      <c r="N65" s="431">
        <f>SUM(N63:N64)</f>
        <v>6.6622499999999985</v>
      </c>
      <c r="O65" s="617" t="s">
        <v>103</v>
      </c>
      <c r="P65" s="620">
        <f>ROUND((N65),2)</f>
        <v>6.66</v>
      </c>
      <c r="Q65" s="386"/>
      <c r="R65" s="386"/>
      <c r="S65" s="386"/>
      <c r="T65" s="386"/>
      <c r="U65" s="621"/>
      <c r="V65" s="622"/>
      <c r="W65" s="622"/>
      <c r="X65" s="622"/>
    </row>
    <row r="66" spans="1:24" s="623" customFormat="1" ht="15.75" customHeight="1">
      <c r="A66" s="372">
        <f>A52+1</f>
        <v>4</v>
      </c>
      <c r="B66" s="351" t="s">
        <v>408</v>
      </c>
      <c r="C66" s="382"/>
      <c r="D66" s="382"/>
      <c r="E66" s="382"/>
      <c r="F66" s="382"/>
      <c r="G66" s="382"/>
      <c r="H66" s="382"/>
      <c r="I66" s="382"/>
      <c r="J66" s="382"/>
      <c r="K66" s="382"/>
      <c r="L66" s="382"/>
      <c r="M66" s="382"/>
      <c r="N66" s="431"/>
      <c r="O66" s="617"/>
      <c r="P66" s="620"/>
      <c r="Q66" s="386"/>
      <c r="R66" s="386"/>
      <c r="S66" s="386"/>
      <c r="T66" s="386"/>
      <c r="U66" s="621"/>
      <c r="V66" s="622"/>
      <c r="W66" s="622"/>
      <c r="X66" s="622"/>
    </row>
    <row r="67" spans="1:24" s="623" customFormat="1" ht="15.75" customHeight="1">
      <c r="A67" s="384"/>
      <c r="B67" s="567" t="s">
        <v>1049</v>
      </c>
      <c r="C67" s="382">
        <f>C31</f>
        <v>8.4499999999999993</v>
      </c>
      <c r="D67" s="382"/>
      <c r="E67" s="382"/>
      <c r="F67" s="382"/>
      <c r="G67" s="382"/>
      <c r="H67" s="382"/>
      <c r="I67" s="382"/>
      <c r="J67" s="382"/>
      <c r="K67" s="382"/>
      <c r="L67" s="382"/>
      <c r="M67" s="382">
        <f>M31</f>
        <v>5</v>
      </c>
      <c r="N67" s="431">
        <f>C67*M67</f>
        <v>42.25</v>
      </c>
      <c r="O67" s="617"/>
      <c r="P67" s="620"/>
      <c r="Q67" s="386"/>
      <c r="R67" s="386"/>
      <c r="S67" s="386"/>
      <c r="T67" s="386"/>
      <c r="U67" s="621"/>
      <c r="V67" s="622"/>
      <c r="W67" s="622"/>
      <c r="X67" s="622"/>
    </row>
    <row r="68" spans="1:24" s="623" customFormat="1" ht="15.75" customHeight="1">
      <c r="A68" s="384"/>
      <c r="B68" s="589"/>
      <c r="C68" s="382">
        <f>C32</f>
        <v>12</v>
      </c>
      <c r="D68" s="382"/>
      <c r="E68" s="382"/>
      <c r="F68" s="382"/>
      <c r="G68" s="382"/>
      <c r="H68" s="382"/>
      <c r="I68" s="382"/>
      <c r="J68" s="382"/>
      <c r="K68" s="382"/>
      <c r="L68" s="382"/>
      <c r="M68" s="382">
        <f>M32</f>
        <v>2</v>
      </c>
      <c r="N68" s="431">
        <f>C68*M68</f>
        <v>24</v>
      </c>
      <c r="O68" s="617"/>
      <c r="P68" s="620"/>
      <c r="Q68" s="386"/>
      <c r="R68" s="386"/>
      <c r="S68" s="386"/>
      <c r="T68" s="386"/>
      <c r="U68" s="621"/>
      <c r="V68" s="622"/>
      <c r="W68" s="622"/>
      <c r="X68" s="622"/>
    </row>
    <row r="69" spans="1:24" s="623" customFormat="1" ht="15.75" customHeight="1">
      <c r="A69" s="384"/>
      <c r="B69" s="589" t="s">
        <v>1050</v>
      </c>
      <c r="C69" s="382">
        <f>C54</f>
        <v>8.4499999999999993</v>
      </c>
      <c r="D69" s="382"/>
      <c r="E69" s="382"/>
      <c r="F69" s="382"/>
      <c r="G69" s="382"/>
      <c r="H69" s="382"/>
      <c r="I69" s="382"/>
      <c r="J69" s="382"/>
      <c r="K69" s="382"/>
      <c r="L69" s="382"/>
      <c r="M69" s="382">
        <f>M104</f>
        <v>1</v>
      </c>
      <c r="N69" s="431">
        <f>C69*M69</f>
        <v>8.4499999999999993</v>
      </c>
      <c r="O69" s="617"/>
      <c r="P69" s="620"/>
      <c r="Q69" s="386"/>
      <c r="R69" s="386"/>
      <c r="S69" s="386"/>
      <c r="T69" s="386"/>
      <c r="U69" s="621"/>
      <c r="V69" s="622"/>
      <c r="W69" s="622"/>
      <c r="X69" s="622"/>
    </row>
    <row r="70" spans="1:24" s="623" customFormat="1" ht="15.75" customHeight="1">
      <c r="A70" s="384"/>
      <c r="B70" s="589"/>
      <c r="C70" s="382">
        <f>C55</f>
        <v>2</v>
      </c>
      <c r="D70" s="382"/>
      <c r="E70" s="382"/>
      <c r="F70" s="382"/>
      <c r="G70" s="382"/>
      <c r="H70" s="382"/>
      <c r="I70" s="382"/>
      <c r="J70" s="382"/>
      <c r="K70" s="382"/>
      <c r="L70" s="382"/>
      <c r="M70" s="382">
        <f>M105</f>
        <v>4</v>
      </c>
      <c r="N70" s="624">
        <f>C70*M70</f>
        <v>8</v>
      </c>
      <c r="O70" s="617"/>
      <c r="P70" s="620"/>
      <c r="Q70" s="386"/>
      <c r="R70" s="386"/>
      <c r="S70" s="386"/>
      <c r="T70" s="386"/>
      <c r="U70" s="621"/>
      <c r="V70" s="622"/>
      <c r="W70" s="622"/>
      <c r="X70" s="622"/>
    </row>
    <row r="71" spans="1:24" s="623" customFormat="1" ht="15.75" customHeight="1">
      <c r="A71" s="384"/>
      <c r="B71" s="589"/>
      <c r="C71" s="382"/>
      <c r="D71" s="382"/>
      <c r="E71" s="382"/>
      <c r="F71" s="382"/>
      <c r="G71" s="382"/>
      <c r="H71" s="382"/>
      <c r="I71" s="382"/>
      <c r="J71" s="382"/>
      <c r="K71" s="382"/>
      <c r="L71" s="382"/>
      <c r="M71" s="382"/>
      <c r="N71" s="431">
        <f>SUM(N67:N70)</f>
        <v>82.7</v>
      </c>
      <c r="O71" s="617"/>
      <c r="P71" s="620"/>
      <c r="Q71" s="386"/>
      <c r="R71" s="386"/>
      <c r="S71" s="386"/>
      <c r="T71" s="386"/>
      <c r="U71" s="621"/>
      <c r="V71" s="622"/>
      <c r="W71" s="622"/>
      <c r="X71" s="622"/>
    </row>
    <row r="72" spans="1:24" s="623" customFormat="1" ht="15.75" customHeight="1">
      <c r="A72" s="384"/>
      <c r="B72" s="366"/>
      <c r="C72" s="382">
        <v>0.5</v>
      </c>
      <c r="D72" s="382"/>
      <c r="E72" s="382"/>
      <c r="F72" s="382">
        <f>ROUNDUP((N71/1),0.1)+1</f>
        <v>84</v>
      </c>
      <c r="G72" s="382"/>
      <c r="H72" s="382"/>
      <c r="I72" s="382"/>
      <c r="J72" s="382"/>
      <c r="K72" s="382"/>
      <c r="L72" s="382">
        <f>10*10*0.006165</f>
        <v>0.61650000000000005</v>
      </c>
      <c r="M72" s="382"/>
      <c r="N72" s="431">
        <f>C72*F72*L72</f>
        <v>25.893000000000001</v>
      </c>
      <c r="O72" s="617" t="s">
        <v>100</v>
      </c>
      <c r="P72" s="620">
        <f>ROUND((N72),2)</f>
        <v>25.89</v>
      </c>
      <c r="Q72" s="386"/>
      <c r="R72" s="386"/>
      <c r="S72" s="386"/>
      <c r="T72" s="386"/>
      <c r="U72" s="621"/>
      <c r="V72" s="622"/>
      <c r="W72" s="622"/>
      <c r="X72" s="622"/>
    </row>
    <row r="73" spans="1:24" s="623" customFormat="1" ht="15.75" customHeight="1">
      <c r="A73" s="372">
        <f>A66+1</f>
        <v>5</v>
      </c>
      <c r="B73" s="366" t="s">
        <v>1051</v>
      </c>
      <c r="C73" s="382"/>
      <c r="D73" s="382"/>
      <c r="E73" s="382"/>
      <c r="F73" s="382"/>
      <c r="G73" s="382"/>
      <c r="H73" s="382"/>
      <c r="I73" s="382"/>
      <c r="J73" s="382"/>
      <c r="K73" s="382"/>
      <c r="L73" s="382"/>
      <c r="M73" s="382"/>
      <c r="N73" s="431"/>
      <c r="O73" s="617"/>
      <c r="P73" s="620"/>
      <c r="Q73" s="386"/>
      <c r="R73" s="386"/>
      <c r="S73" s="386"/>
      <c r="T73" s="386"/>
      <c r="U73" s="621"/>
      <c r="V73" s="622"/>
      <c r="W73" s="622"/>
      <c r="X73" s="622"/>
    </row>
    <row r="74" spans="1:24" s="623" customFormat="1" ht="15.75" customHeight="1">
      <c r="A74" s="384" t="s">
        <v>95</v>
      </c>
      <c r="B74" s="366" t="s">
        <v>221</v>
      </c>
      <c r="C74" s="382"/>
      <c r="D74" s="382"/>
      <c r="E74" s="382"/>
      <c r="F74" s="382"/>
      <c r="G74" s="382"/>
      <c r="H74" s="382"/>
      <c r="I74" s="382"/>
      <c r="J74" s="382"/>
      <c r="K74" s="382"/>
      <c r="L74" s="382"/>
      <c r="M74" s="382"/>
      <c r="N74" s="431"/>
      <c r="O74" s="617"/>
      <c r="P74" s="620"/>
      <c r="Q74" s="386"/>
      <c r="R74" s="386"/>
      <c r="S74" s="386"/>
      <c r="T74" s="386"/>
      <c r="U74" s="621"/>
      <c r="V74" s="622"/>
      <c r="W74" s="622"/>
      <c r="X74" s="622"/>
    </row>
    <row r="75" spans="1:24" s="623" customFormat="1" ht="15.75" customHeight="1">
      <c r="A75" s="384"/>
      <c r="B75" s="643" t="str">
        <f>B54</f>
        <v>Horisontal</v>
      </c>
      <c r="C75" s="382">
        <f>C54</f>
        <v>8.4499999999999993</v>
      </c>
      <c r="D75" s="382"/>
      <c r="E75" s="382">
        <v>0.3</v>
      </c>
      <c r="F75" s="382"/>
      <c r="G75" s="382"/>
      <c r="H75" s="382">
        <v>2</v>
      </c>
      <c r="I75" s="382"/>
      <c r="J75" s="382"/>
      <c r="K75" s="382"/>
      <c r="L75" s="382"/>
      <c r="M75" s="382">
        <f>SUM(M40:M40)</f>
        <v>5</v>
      </c>
      <c r="N75" s="431">
        <f>C75*E75*H75*M75</f>
        <v>25.349999999999998</v>
      </c>
      <c r="O75" s="617"/>
      <c r="P75" s="620"/>
      <c r="Q75" s="386"/>
      <c r="R75" s="386"/>
      <c r="S75" s="386"/>
      <c r="T75" s="386"/>
      <c r="U75" s="621"/>
      <c r="V75" s="622"/>
      <c r="W75" s="622"/>
      <c r="X75" s="622"/>
    </row>
    <row r="76" spans="1:24" s="623" customFormat="1" ht="15.75" customHeight="1">
      <c r="A76" s="384"/>
      <c r="B76" s="643" t="str">
        <f>B55</f>
        <v>Vertikal</v>
      </c>
      <c r="C76" s="382">
        <v>12</v>
      </c>
      <c r="D76" s="382"/>
      <c r="E76" s="382">
        <f>E75</f>
        <v>0.3</v>
      </c>
      <c r="F76" s="382"/>
      <c r="G76" s="382"/>
      <c r="H76" s="382">
        <f>H75</f>
        <v>2</v>
      </c>
      <c r="I76" s="382"/>
      <c r="J76" s="382"/>
      <c r="K76" s="382"/>
      <c r="L76" s="382"/>
      <c r="M76" s="382">
        <f>M41</f>
        <v>2</v>
      </c>
      <c r="N76" s="624">
        <f>C76*E76*H76*M76</f>
        <v>14.399999999999999</v>
      </c>
      <c r="O76" s="617"/>
      <c r="P76" s="620"/>
      <c r="Q76" s="386"/>
      <c r="R76" s="386"/>
      <c r="S76" s="386"/>
      <c r="T76" s="386"/>
      <c r="U76" s="621"/>
      <c r="V76" s="622"/>
      <c r="W76" s="622"/>
      <c r="X76" s="622"/>
    </row>
    <row r="77" spans="1:24" s="623" customFormat="1" ht="15.75" customHeight="1">
      <c r="A77" s="384"/>
      <c r="B77" s="366"/>
      <c r="C77" s="382"/>
      <c r="D77" s="382"/>
      <c r="E77" s="382"/>
      <c r="F77" s="382"/>
      <c r="G77" s="382"/>
      <c r="H77" s="382"/>
      <c r="I77" s="382"/>
      <c r="J77" s="382"/>
      <c r="K77" s="382"/>
      <c r="L77" s="382"/>
      <c r="M77" s="382"/>
      <c r="N77" s="431">
        <f>SUM(N75:N76)</f>
        <v>39.75</v>
      </c>
      <c r="O77" s="617" t="s">
        <v>89</v>
      </c>
      <c r="P77" s="620">
        <f>ROUND((N77),2)</f>
        <v>39.75</v>
      </c>
      <c r="Q77" s="386"/>
      <c r="R77" s="386"/>
      <c r="S77" s="386"/>
      <c r="T77" s="386"/>
      <c r="U77" s="621"/>
      <c r="V77" s="622"/>
      <c r="W77" s="622"/>
      <c r="X77" s="622"/>
    </row>
    <row r="78" spans="1:24" s="623" customFormat="1" ht="15.75" customHeight="1">
      <c r="A78" s="384" t="s">
        <v>98</v>
      </c>
      <c r="B78" s="366" t="s">
        <v>1052</v>
      </c>
      <c r="C78" s="382"/>
      <c r="D78" s="382"/>
      <c r="E78" s="382"/>
      <c r="F78" s="382"/>
      <c r="G78" s="382"/>
      <c r="H78" s="382"/>
      <c r="I78" s="382"/>
      <c r="J78" s="382"/>
      <c r="K78" s="382"/>
      <c r="L78" s="382"/>
      <c r="M78" s="382"/>
      <c r="N78" s="431"/>
      <c r="O78" s="617"/>
      <c r="P78" s="620"/>
      <c r="Q78" s="386"/>
      <c r="R78" s="386"/>
      <c r="S78" s="386"/>
      <c r="T78" s="386"/>
      <c r="U78" s="621"/>
      <c r="V78" s="622"/>
      <c r="W78" s="622"/>
      <c r="X78" s="622"/>
    </row>
    <row r="79" spans="1:24" s="623" customFormat="1" ht="15.75" customHeight="1">
      <c r="A79" s="384"/>
      <c r="B79" s="643" t="str">
        <f>B75</f>
        <v>Horisontal</v>
      </c>
      <c r="C79" s="382">
        <f>C75</f>
        <v>8.4499999999999993</v>
      </c>
      <c r="D79" s="382"/>
      <c r="E79" s="382"/>
      <c r="F79" s="382">
        <v>11</v>
      </c>
      <c r="G79" s="382"/>
      <c r="H79" s="382"/>
      <c r="I79" s="382"/>
      <c r="J79" s="382"/>
      <c r="K79" s="382"/>
      <c r="L79" s="382">
        <f>10*10*0.006165</f>
        <v>0.61650000000000005</v>
      </c>
      <c r="M79" s="382">
        <f>M75</f>
        <v>5</v>
      </c>
      <c r="N79" s="431">
        <f>C79*F79*L79*M79</f>
        <v>286.51837499999999</v>
      </c>
      <c r="O79" s="617"/>
      <c r="P79" s="620"/>
      <c r="Q79" s="386"/>
      <c r="R79" s="386"/>
      <c r="S79" s="386"/>
      <c r="T79" s="386"/>
      <c r="U79" s="621"/>
      <c r="V79" s="622"/>
      <c r="W79" s="622"/>
      <c r="X79" s="622"/>
    </row>
    <row r="80" spans="1:24" s="623" customFormat="1" ht="15.75" customHeight="1">
      <c r="A80" s="384"/>
      <c r="B80" s="643" t="str">
        <f>B76</f>
        <v>Vertikal</v>
      </c>
      <c r="C80" s="382">
        <f>C76</f>
        <v>12</v>
      </c>
      <c r="D80" s="382"/>
      <c r="E80" s="382"/>
      <c r="F80" s="382">
        <f>F79</f>
        <v>11</v>
      </c>
      <c r="G80" s="382"/>
      <c r="H80" s="382"/>
      <c r="I80" s="382"/>
      <c r="J80" s="382"/>
      <c r="K80" s="382"/>
      <c r="L80" s="382">
        <f>L79</f>
        <v>0.61650000000000005</v>
      </c>
      <c r="M80" s="382">
        <f>M76</f>
        <v>2</v>
      </c>
      <c r="N80" s="624">
        <f>C80*F80*L80*M80</f>
        <v>162.756</v>
      </c>
      <c r="O80" s="617"/>
      <c r="P80" s="620"/>
      <c r="Q80" s="386"/>
      <c r="R80" s="386"/>
      <c r="S80" s="386"/>
      <c r="T80" s="386"/>
      <c r="U80" s="621"/>
      <c r="V80" s="622"/>
      <c r="W80" s="622"/>
      <c r="X80" s="622"/>
    </row>
    <row r="81" spans="1:24" s="623" customFormat="1" ht="15.75" customHeight="1">
      <c r="A81" s="384"/>
      <c r="B81" s="366"/>
      <c r="C81" s="382"/>
      <c r="D81" s="382"/>
      <c r="E81" s="382"/>
      <c r="F81" s="382"/>
      <c r="G81" s="382"/>
      <c r="H81" s="382"/>
      <c r="I81" s="382"/>
      <c r="J81" s="382"/>
      <c r="K81" s="382"/>
      <c r="L81" s="382"/>
      <c r="M81" s="382"/>
      <c r="N81" s="431">
        <f>SUM(N79:N80)</f>
        <v>449.27437499999996</v>
      </c>
      <c r="O81" s="617" t="s">
        <v>100</v>
      </c>
      <c r="P81" s="620">
        <f>ROUND((N81),2)</f>
        <v>449.27</v>
      </c>
      <c r="Q81" s="386"/>
      <c r="R81" s="386"/>
      <c r="S81" s="386"/>
      <c r="T81" s="386"/>
      <c r="U81" s="621"/>
      <c r="V81" s="622"/>
      <c r="W81" s="622"/>
      <c r="X81" s="622"/>
    </row>
    <row r="82" spans="1:24" s="623" customFormat="1" ht="15.75" customHeight="1">
      <c r="A82" s="384" t="s">
        <v>101</v>
      </c>
      <c r="B82" s="366" t="s">
        <v>428</v>
      </c>
      <c r="C82" s="382"/>
      <c r="D82" s="382"/>
      <c r="E82" s="382"/>
      <c r="F82" s="382"/>
      <c r="G82" s="382"/>
      <c r="H82" s="382"/>
      <c r="I82" s="382"/>
      <c r="J82" s="382"/>
      <c r="K82" s="382"/>
      <c r="L82" s="382"/>
      <c r="M82" s="382"/>
      <c r="N82" s="431"/>
      <c r="O82" s="617"/>
      <c r="P82" s="620"/>
      <c r="Q82" s="386"/>
      <c r="R82" s="386"/>
      <c r="S82" s="386"/>
      <c r="T82" s="386"/>
      <c r="U82" s="621"/>
      <c r="V82" s="622"/>
      <c r="W82" s="622"/>
      <c r="X82" s="622"/>
    </row>
    <row r="83" spans="1:24" s="623" customFormat="1" ht="15.75" customHeight="1">
      <c r="A83" s="384"/>
      <c r="B83" s="643" t="str">
        <f>B79</f>
        <v>Horisontal</v>
      </c>
      <c r="C83" s="382">
        <f>0.15*4</f>
        <v>0.6</v>
      </c>
      <c r="D83" s="382"/>
      <c r="E83" s="382"/>
      <c r="F83" s="382">
        <f>ROUNDDOWN((C79/0.125),0.5)+1</f>
        <v>68</v>
      </c>
      <c r="G83" s="382"/>
      <c r="H83" s="382"/>
      <c r="I83" s="382">
        <f>0.05*2</f>
        <v>0.1</v>
      </c>
      <c r="J83" s="382"/>
      <c r="K83" s="382"/>
      <c r="L83" s="382">
        <f>10*10*0.006165</f>
        <v>0.61650000000000005</v>
      </c>
      <c r="M83" s="382">
        <f>M79</f>
        <v>5</v>
      </c>
      <c r="N83" s="431">
        <f>(C83+I83)*F83*L83*M83</f>
        <v>146.72699999999998</v>
      </c>
      <c r="O83" s="617"/>
      <c r="P83" s="620"/>
      <c r="Q83" s="386"/>
      <c r="R83" s="386"/>
      <c r="S83" s="386"/>
      <c r="T83" s="386"/>
      <c r="U83" s="621"/>
      <c r="V83" s="622"/>
      <c r="W83" s="622"/>
      <c r="X83" s="622"/>
    </row>
    <row r="84" spans="1:24" s="623" customFormat="1" ht="15.75" customHeight="1">
      <c r="A84" s="384"/>
      <c r="B84" s="643" t="str">
        <f>B80</f>
        <v>Vertikal</v>
      </c>
      <c r="C84" s="382">
        <f>C83</f>
        <v>0.6</v>
      </c>
      <c r="D84" s="382"/>
      <c r="E84" s="382"/>
      <c r="F84" s="382">
        <f>ROUNDDOWN((C80/0.125),0.5)+1</f>
        <v>97</v>
      </c>
      <c r="G84" s="382"/>
      <c r="H84" s="382"/>
      <c r="I84" s="382">
        <f>I83</f>
        <v>0.1</v>
      </c>
      <c r="J84" s="382"/>
      <c r="K84" s="382"/>
      <c r="L84" s="382">
        <f>L83</f>
        <v>0.61650000000000005</v>
      </c>
      <c r="M84" s="382">
        <f>M80</f>
        <v>2</v>
      </c>
      <c r="N84" s="624">
        <f>(C84+I84)*F84*L84*M84</f>
        <v>83.720699999999994</v>
      </c>
      <c r="O84" s="617"/>
      <c r="P84" s="620"/>
      <c r="Q84" s="386"/>
      <c r="R84" s="386"/>
      <c r="S84" s="386"/>
      <c r="T84" s="386"/>
      <c r="U84" s="621"/>
      <c r="V84" s="622"/>
      <c r="W84" s="622"/>
      <c r="X84" s="622"/>
    </row>
    <row r="85" spans="1:24" s="623" customFormat="1" ht="15.75" customHeight="1">
      <c r="A85" s="384"/>
      <c r="B85" s="366"/>
      <c r="C85" s="382"/>
      <c r="D85" s="382"/>
      <c r="E85" s="382"/>
      <c r="F85" s="382"/>
      <c r="G85" s="382"/>
      <c r="H85" s="382"/>
      <c r="I85" s="382"/>
      <c r="J85" s="382"/>
      <c r="K85" s="382"/>
      <c r="L85" s="382"/>
      <c r="M85" s="382"/>
      <c r="N85" s="431">
        <f>SUM(N83:N84)</f>
        <v>230.44769999999997</v>
      </c>
      <c r="O85" s="617" t="s">
        <v>100</v>
      </c>
      <c r="P85" s="620">
        <f>ROUND((N85),2)</f>
        <v>230.45</v>
      </c>
      <c r="Q85" s="386"/>
      <c r="R85" s="386"/>
      <c r="S85" s="386"/>
      <c r="T85" s="386"/>
      <c r="U85" s="621"/>
      <c r="V85" s="622"/>
      <c r="W85" s="622"/>
      <c r="X85" s="622"/>
    </row>
    <row r="86" spans="1:24" s="623" customFormat="1" ht="15.75" customHeight="1">
      <c r="A86" s="384" t="s">
        <v>121</v>
      </c>
      <c r="B86" s="379" t="s">
        <v>169</v>
      </c>
      <c r="C86" s="382"/>
      <c r="D86" s="382"/>
      <c r="E86" s="382"/>
      <c r="F86" s="382"/>
      <c r="G86" s="382"/>
      <c r="H86" s="382"/>
      <c r="I86" s="382"/>
      <c r="J86" s="382"/>
      <c r="K86" s="382"/>
      <c r="L86" s="382"/>
      <c r="M86" s="382"/>
      <c r="N86" s="431"/>
      <c r="O86" s="617"/>
      <c r="P86" s="620"/>
      <c r="Q86" s="386"/>
      <c r="R86" s="386"/>
      <c r="S86" s="386"/>
      <c r="T86" s="386"/>
      <c r="U86" s="621"/>
      <c r="V86" s="622"/>
      <c r="W86" s="622"/>
      <c r="X86" s="622"/>
    </row>
    <row r="87" spans="1:24" s="623" customFormat="1" ht="15.75" customHeight="1">
      <c r="A87" s="372"/>
      <c r="B87" s="643" t="str">
        <f>B83</f>
        <v>Horisontal</v>
      </c>
      <c r="C87" s="382">
        <f>C79</f>
        <v>8.4499999999999993</v>
      </c>
      <c r="D87" s="382">
        <v>0.3</v>
      </c>
      <c r="E87" s="382">
        <v>0.3</v>
      </c>
      <c r="F87" s="382"/>
      <c r="G87" s="382"/>
      <c r="H87" s="382"/>
      <c r="I87" s="382"/>
      <c r="J87" s="382"/>
      <c r="K87" s="382"/>
      <c r="L87" s="382"/>
      <c r="M87" s="382">
        <f>M83</f>
        <v>5</v>
      </c>
      <c r="N87" s="431">
        <f>C87*D87*E87*M87</f>
        <v>3.8024999999999993</v>
      </c>
      <c r="O87" s="617"/>
      <c r="P87" s="620"/>
      <c r="Q87" s="386"/>
      <c r="R87" s="386"/>
      <c r="S87" s="386"/>
      <c r="T87" s="386"/>
      <c r="U87" s="621"/>
      <c r="V87" s="622"/>
      <c r="W87" s="622"/>
      <c r="X87" s="622"/>
    </row>
    <row r="88" spans="1:24" s="623" customFormat="1" ht="15.75" customHeight="1">
      <c r="A88" s="372"/>
      <c r="B88" s="643" t="str">
        <f>B84</f>
        <v>Vertikal</v>
      </c>
      <c r="C88" s="382">
        <f>C80</f>
        <v>12</v>
      </c>
      <c r="D88" s="382">
        <f>D87</f>
        <v>0.3</v>
      </c>
      <c r="E88" s="382">
        <f>E87</f>
        <v>0.3</v>
      </c>
      <c r="F88" s="382"/>
      <c r="G88" s="382"/>
      <c r="H88" s="382"/>
      <c r="I88" s="382"/>
      <c r="J88" s="382"/>
      <c r="K88" s="382"/>
      <c r="L88" s="382"/>
      <c r="M88" s="382">
        <f>M84</f>
        <v>2</v>
      </c>
      <c r="N88" s="624">
        <f>C88*D88*E88*M88</f>
        <v>2.1599999999999997</v>
      </c>
      <c r="O88" s="617"/>
      <c r="P88" s="620"/>
      <c r="Q88" s="386"/>
      <c r="R88" s="386"/>
      <c r="S88" s="386"/>
      <c r="T88" s="386"/>
      <c r="U88" s="621"/>
      <c r="V88" s="622"/>
      <c r="W88" s="622"/>
      <c r="X88" s="622"/>
    </row>
    <row r="89" spans="1:24" s="623" customFormat="1" ht="15.75" customHeight="1">
      <c r="A89" s="372"/>
      <c r="B89" s="366"/>
      <c r="C89" s="382"/>
      <c r="D89" s="382"/>
      <c r="E89" s="382"/>
      <c r="F89" s="382"/>
      <c r="G89" s="382"/>
      <c r="H89" s="382"/>
      <c r="I89" s="382"/>
      <c r="J89" s="382"/>
      <c r="K89" s="382"/>
      <c r="L89" s="382"/>
      <c r="M89" s="382"/>
      <c r="N89" s="431">
        <f>SUM(N87:N88)</f>
        <v>5.9624999999999986</v>
      </c>
      <c r="O89" s="617" t="s">
        <v>103</v>
      </c>
      <c r="P89" s="620">
        <f>ROUND((N89),2)</f>
        <v>5.96</v>
      </c>
      <c r="Q89" s="386"/>
      <c r="R89" s="386"/>
      <c r="S89" s="386"/>
      <c r="T89" s="386"/>
      <c r="U89" s="621"/>
      <c r="V89" s="622"/>
      <c r="W89" s="622"/>
      <c r="X89" s="622"/>
    </row>
    <row r="90" spans="1:24" s="623" customFormat="1" ht="15.75" customHeight="1">
      <c r="A90" s="372">
        <f>A73+1</f>
        <v>6</v>
      </c>
      <c r="B90" s="366" t="s">
        <v>1053</v>
      </c>
      <c r="C90" s="382"/>
      <c r="D90" s="382"/>
      <c r="E90" s="382"/>
      <c r="F90" s="382"/>
      <c r="G90" s="382"/>
      <c r="H90" s="382"/>
      <c r="I90" s="382"/>
      <c r="J90" s="382"/>
      <c r="K90" s="382"/>
      <c r="L90" s="382"/>
      <c r="M90" s="382"/>
      <c r="N90" s="431"/>
      <c r="O90" s="617"/>
      <c r="P90" s="620"/>
      <c r="Q90" s="386"/>
      <c r="R90" s="386"/>
      <c r="S90" s="386"/>
      <c r="T90" s="386"/>
      <c r="U90" s="621"/>
      <c r="V90" s="622"/>
      <c r="W90" s="622"/>
      <c r="X90" s="622"/>
    </row>
    <row r="91" spans="1:24" s="623" customFormat="1" ht="15.75" customHeight="1">
      <c r="A91" s="384" t="s">
        <v>95</v>
      </c>
      <c r="B91" s="366" t="s">
        <v>221</v>
      </c>
      <c r="C91" s="382"/>
      <c r="D91" s="382"/>
      <c r="E91" s="382"/>
      <c r="F91" s="382"/>
      <c r="G91" s="382"/>
      <c r="H91" s="382"/>
      <c r="I91" s="382"/>
      <c r="J91" s="382"/>
      <c r="K91" s="382"/>
      <c r="L91" s="382"/>
      <c r="M91" s="382"/>
      <c r="N91" s="431"/>
      <c r="O91" s="617"/>
      <c r="P91" s="620"/>
      <c r="Q91" s="386"/>
      <c r="R91" s="386"/>
      <c r="S91" s="386"/>
      <c r="T91" s="386"/>
      <c r="U91" s="621"/>
      <c r="V91" s="622"/>
      <c r="W91" s="622"/>
      <c r="X91" s="622"/>
    </row>
    <row r="92" spans="1:24" s="623" customFormat="1" ht="15.75" customHeight="1">
      <c r="A92" s="384"/>
      <c r="B92" s="643" t="s">
        <v>1054</v>
      </c>
      <c r="C92" s="382">
        <f>C54</f>
        <v>8.4499999999999993</v>
      </c>
      <c r="D92" s="382"/>
      <c r="E92" s="382">
        <f>0.2</f>
        <v>0.2</v>
      </c>
      <c r="F92" s="382"/>
      <c r="G92" s="382"/>
      <c r="H92" s="382">
        <v>2</v>
      </c>
      <c r="I92" s="382"/>
      <c r="J92" s="382"/>
      <c r="K92" s="382"/>
      <c r="L92" s="382"/>
      <c r="M92" s="382">
        <v>1</v>
      </c>
      <c r="N92" s="431">
        <f>C92*E92*H92*M92</f>
        <v>3.38</v>
      </c>
      <c r="O92" s="617"/>
      <c r="P92" s="620"/>
      <c r="Q92" s="386"/>
      <c r="R92" s="386"/>
      <c r="S92" s="386"/>
      <c r="T92" s="386"/>
      <c r="U92" s="621"/>
      <c r="V92" s="622"/>
      <c r="W92" s="622"/>
      <c r="X92" s="622"/>
    </row>
    <row r="93" spans="1:24" s="623" customFormat="1" ht="15.75" customHeight="1">
      <c r="A93" s="384"/>
      <c r="B93" s="643" t="s">
        <v>1055</v>
      </c>
      <c r="C93" s="382">
        <v>2</v>
      </c>
      <c r="D93" s="382"/>
      <c r="E93" s="382">
        <f>E92</f>
        <v>0.2</v>
      </c>
      <c r="F93" s="382"/>
      <c r="G93" s="382"/>
      <c r="H93" s="382">
        <f>H92</f>
        <v>2</v>
      </c>
      <c r="I93" s="382"/>
      <c r="J93" s="382"/>
      <c r="K93" s="382"/>
      <c r="L93" s="382"/>
      <c r="M93" s="382">
        <v>4</v>
      </c>
      <c r="N93" s="624">
        <f>C93*E93*H93*M93</f>
        <v>3.2</v>
      </c>
      <c r="O93" s="617"/>
      <c r="P93" s="620"/>
      <c r="Q93" s="386"/>
      <c r="R93" s="386"/>
      <c r="S93" s="386"/>
      <c r="T93" s="386"/>
      <c r="U93" s="621"/>
      <c r="V93" s="622"/>
      <c r="W93" s="622"/>
      <c r="X93" s="622"/>
    </row>
    <row r="94" spans="1:24" s="623" customFormat="1" ht="15.75" customHeight="1">
      <c r="A94" s="384"/>
      <c r="B94" s="366"/>
      <c r="C94" s="382"/>
      <c r="D94" s="382"/>
      <c r="E94" s="382"/>
      <c r="F94" s="382"/>
      <c r="G94" s="382"/>
      <c r="H94" s="382"/>
      <c r="I94" s="382"/>
      <c r="J94" s="382"/>
      <c r="K94" s="382"/>
      <c r="L94" s="382"/>
      <c r="M94" s="382"/>
      <c r="N94" s="431">
        <f>SUM(N92:N93)</f>
        <v>6.58</v>
      </c>
      <c r="O94" s="617" t="s">
        <v>89</v>
      </c>
      <c r="P94" s="620">
        <f>ROUND((N94),2)</f>
        <v>6.58</v>
      </c>
      <c r="Q94" s="386"/>
      <c r="R94" s="386"/>
      <c r="S94" s="386"/>
      <c r="T94" s="386"/>
      <c r="U94" s="621"/>
      <c r="V94" s="622"/>
      <c r="W94" s="622"/>
      <c r="X94" s="622"/>
    </row>
    <row r="95" spans="1:24" s="623" customFormat="1" ht="15.75" customHeight="1">
      <c r="A95" s="384" t="s">
        <v>98</v>
      </c>
      <c r="B95" s="366" t="s">
        <v>427</v>
      </c>
      <c r="C95" s="382"/>
      <c r="D95" s="382"/>
      <c r="E95" s="382"/>
      <c r="F95" s="382"/>
      <c r="G95" s="382"/>
      <c r="H95" s="382"/>
      <c r="I95" s="382"/>
      <c r="J95" s="382"/>
      <c r="K95" s="382"/>
      <c r="L95" s="382"/>
      <c r="M95" s="382"/>
      <c r="N95" s="431"/>
      <c r="O95" s="617"/>
      <c r="P95" s="620"/>
      <c r="Q95" s="386"/>
      <c r="R95" s="386"/>
      <c r="S95" s="386"/>
      <c r="T95" s="386"/>
      <c r="U95" s="621"/>
      <c r="V95" s="622"/>
      <c r="W95" s="622"/>
      <c r="X95" s="622"/>
    </row>
    <row r="96" spans="1:24" s="623" customFormat="1" ht="15.75" customHeight="1">
      <c r="A96" s="384"/>
      <c r="B96" s="643" t="str">
        <f>B92</f>
        <v>HORISONTAL</v>
      </c>
      <c r="C96" s="382">
        <f>C92</f>
        <v>8.4499999999999993</v>
      </c>
      <c r="D96" s="382"/>
      <c r="E96" s="382"/>
      <c r="F96" s="382">
        <v>4</v>
      </c>
      <c r="G96" s="382"/>
      <c r="H96" s="382"/>
      <c r="I96" s="382"/>
      <c r="J96" s="382"/>
      <c r="K96" s="382"/>
      <c r="L96" s="382">
        <f>10*10*0.006165</f>
        <v>0.61650000000000005</v>
      </c>
      <c r="M96" s="382">
        <f>M92</f>
        <v>1</v>
      </c>
      <c r="N96" s="431">
        <f>C96*F96*L96*M96</f>
        <v>20.837699999999998</v>
      </c>
      <c r="O96" s="617"/>
      <c r="P96" s="620"/>
      <c r="Q96" s="386"/>
      <c r="R96" s="386"/>
      <c r="S96" s="386"/>
      <c r="T96" s="386"/>
      <c r="U96" s="621"/>
      <c r="V96" s="622"/>
      <c r="W96" s="622"/>
      <c r="X96" s="622"/>
    </row>
    <row r="97" spans="1:24" s="623" customFormat="1" ht="15.75" customHeight="1">
      <c r="A97" s="384"/>
      <c r="B97" s="643" t="str">
        <f>B93</f>
        <v>VERTIKAL</v>
      </c>
      <c r="C97" s="382">
        <f>C93</f>
        <v>2</v>
      </c>
      <c r="D97" s="382"/>
      <c r="E97" s="382"/>
      <c r="F97" s="382">
        <f>F96</f>
        <v>4</v>
      </c>
      <c r="G97" s="382"/>
      <c r="H97" s="382"/>
      <c r="I97" s="382"/>
      <c r="J97" s="382"/>
      <c r="K97" s="382"/>
      <c r="L97" s="382">
        <f>L96</f>
        <v>0.61650000000000005</v>
      </c>
      <c r="M97" s="382">
        <f>M93</f>
        <v>4</v>
      </c>
      <c r="N97" s="624">
        <f>C97*F97*L97*M97</f>
        <v>19.728000000000002</v>
      </c>
      <c r="O97" s="617"/>
      <c r="P97" s="620"/>
      <c r="Q97" s="386"/>
      <c r="R97" s="386"/>
      <c r="S97" s="386"/>
      <c r="T97" s="386"/>
      <c r="U97" s="621"/>
      <c r="V97" s="622"/>
      <c r="W97" s="622"/>
      <c r="X97" s="622"/>
    </row>
    <row r="98" spans="1:24" s="623" customFormat="1" ht="15.75" customHeight="1">
      <c r="A98" s="384"/>
      <c r="B98" s="366"/>
      <c r="C98" s="382"/>
      <c r="D98" s="382"/>
      <c r="E98" s="382"/>
      <c r="F98" s="382"/>
      <c r="G98" s="382"/>
      <c r="H98" s="382"/>
      <c r="I98" s="382"/>
      <c r="J98" s="382"/>
      <c r="K98" s="382"/>
      <c r="L98" s="382"/>
      <c r="M98" s="382"/>
      <c r="N98" s="431">
        <f>SUM(N96:N97)</f>
        <v>40.5657</v>
      </c>
      <c r="O98" s="617" t="s">
        <v>100</v>
      </c>
      <c r="P98" s="620">
        <f>ROUND((N98),2)</f>
        <v>40.57</v>
      </c>
      <c r="Q98" s="386"/>
      <c r="R98" s="386"/>
      <c r="S98" s="386"/>
      <c r="T98" s="386"/>
      <c r="U98" s="621"/>
      <c r="V98" s="622"/>
      <c r="W98" s="622"/>
      <c r="X98" s="622"/>
    </row>
    <row r="99" spans="1:24" s="623" customFormat="1" ht="15.75" customHeight="1">
      <c r="A99" s="384" t="s">
        <v>101</v>
      </c>
      <c r="B99" s="366" t="s">
        <v>428</v>
      </c>
      <c r="C99" s="382"/>
      <c r="D99" s="382"/>
      <c r="E99" s="382"/>
      <c r="F99" s="382"/>
      <c r="G99" s="382"/>
      <c r="H99" s="382"/>
      <c r="I99" s="382"/>
      <c r="J99" s="382"/>
      <c r="K99" s="382"/>
      <c r="L99" s="382"/>
      <c r="M99" s="382"/>
      <c r="N99" s="431"/>
      <c r="O99" s="617"/>
      <c r="P99" s="620"/>
      <c r="Q99" s="386"/>
      <c r="R99" s="386"/>
      <c r="S99" s="386"/>
      <c r="T99" s="386"/>
      <c r="U99" s="621"/>
      <c r="V99" s="622"/>
      <c r="W99" s="622"/>
      <c r="X99" s="622"/>
    </row>
    <row r="100" spans="1:24" s="623" customFormat="1" ht="15.75" customHeight="1">
      <c r="A100" s="384"/>
      <c r="B100" s="643" t="str">
        <f>B96</f>
        <v>HORISONTAL</v>
      </c>
      <c r="C100" s="382">
        <f>(0.1*2)+(0.15*2)</f>
        <v>0.5</v>
      </c>
      <c r="D100" s="382"/>
      <c r="E100" s="382"/>
      <c r="F100" s="382">
        <f>ROUNDDOWN((C96/0.125),0.5)+1</f>
        <v>68</v>
      </c>
      <c r="G100" s="382"/>
      <c r="H100" s="382"/>
      <c r="I100" s="382">
        <f>0.05*2</f>
        <v>0.1</v>
      </c>
      <c r="J100" s="382"/>
      <c r="K100" s="382"/>
      <c r="L100" s="382">
        <f>8*8*0.006165</f>
        <v>0.39456000000000002</v>
      </c>
      <c r="M100" s="382">
        <f>M96</f>
        <v>1</v>
      </c>
      <c r="N100" s="431">
        <f>(C100+I100)*F100*L100*M100</f>
        <v>16.098047999999999</v>
      </c>
      <c r="O100" s="617"/>
      <c r="P100" s="620"/>
      <c r="Q100" s="386"/>
      <c r="R100" s="386"/>
      <c r="S100" s="386"/>
      <c r="T100" s="386"/>
      <c r="U100" s="621"/>
      <c r="V100" s="622"/>
      <c r="W100" s="622"/>
      <c r="X100" s="622"/>
    </row>
    <row r="101" spans="1:24" s="623" customFormat="1" ht="15.75" customHeight="1">
      <c r="A101" s="384"/>
      <c r="B101" s="643" t="str">
        <f>B97</f>
        <v>VERTIKAL</v>
      </c>
      <c r="C101" s="382">
        <f>C100</f>
        <v>0.5</v>
      </c>
      <c r="D101" s="382"/>
      <c r="E101" s="382"/>
      <c r="F101" s="382">
        <f>ROUNDDOWN((C97/0.125),0.5)+1</f>
        <v>17</v>
      </c>
      <c r="G101" s="382"/>
      <c r="H101" s="382"/>
      <c r="I101" s="382">
        <f>I100</f>
        <v>0.1</v>
      </c>
      <c r="J101" s="382"/>
      <c r="K101" s="382"/>
      <c r="L101" s="382">
        <f>L100</f>
        <v>0.39456000000000002</v>
      </c>
      <c r="M101" s="382">
        <f>M97</f>
        <v>4</v>
      </c>
      <c r="N101" s="624">
        <f>(C101+I101)*F101*L101*M101</f>
        <v>16.098047999999999</v>
      </c>
      <c r="O101" s="617"/>
      <c r="P101" s="620"/>
      <c r="Q101" s="386"/>
      <c r="R101" s="386"/>
      <c r="S101" s="386"/>
      <c r="T101" s="386"/>
      <c r="U101" s="621"/>
      <c r="V101" s="622"/>
      <c r="W101" s="622"/>
      <c r="X101" s="622"/>
    </row>
    <row r="102" spans="1:24" s="623" customFormat="1" ht="15.75" customHeight="1">
      <c r="A102" s="384"/>
      <c r="B102" s="366"/>
      <c r="C102" s="382"/>
      <c r="D102" s="382"/>
      <c r="E102" s="382"/>
      <c r="F102" s="382"/>
      <c r="G102" s="382"/>
      <c r="H102" s="382"/>
      <c r="I102" s="382"/>
      <c r="J102" s="382"/>
      <c r="K102" s="382"/>
      <c r="L102" s="382"/>
      <c r="M102" s="382"/>
      <c r="N102" s="431">
        <f>SUM(N100:N101)</f>
        <v>32.196095999999997</v>
      </c>
      <c r="O102" s="617" t="s">
        <v>100</v>
      </c>
      <c r="P102" s="620">
        <f>ROUND((N102),2)</f>
        <v>32.200000000000003</v>
      </c>
      <c r="Q102" s="386"/>
      <c r="R102" s="386"/>
      <c r="S102" s="386"/>
      <c r="T102" s="386"/>
      <c r="U102" s="621"/>
      <c r="V102" s="622"/>
      <c r="W102" s="622"/>
      <c r="X102" s="622"/>
    </row>
    <row r="103" spans="1:24" s="623" customFormat="1" ht="15.75" customHeight="1">
      <c r="A103" s="384" t="s">
        <v>121</v>
      </c>
      <c r="B103" s="379" t="s">
        <v>169</v>
      </c>
      <c r="C103" s="382"/>
      <c r="D103" s="382"/>
      <c r="E103" s="382"/>
      <c r="F103" s="645"/>
      <c r="G103" s="382"/>
      <c r="H103" s="382"/>
      <c r="I103" s="382"/>
      <c r="J103" s="382"/>
      <c r="K103" s="382"/>
      <c r="L103" s="382"/>
      <c r="M103" s="382"/>
      <c r="N103" s="431"/>
      <c r="O103" s="617"/>
      <c r="P103" s="620"/>
      <c r="Q103" s="386"/>
      <c r="R103" s="386"/>
      <c r="S103" s="386"/>
      <c r="T103" s="386"/>
      <c r="U103" s="621"/>
      <c r="V103" s="622"/>
      <c r="W103" s="622"/>
      <c r="X103" s="622"/>
    </row>
    <row r="104" spans="1:24" s="623" customFormat="1" ht="15.75" customHeight="1">
      <c r="A104" s="372"/>
      <c r="B104" s="643" t="str">
        <f>B100</f>
        <v>HORISONTAL</v>
      </c>
      <c r="C104" s="382">
        <f>C96</f>
        <v>8.4499999999999993</v>
      </c>
      <c r="D104" s="382">
        <v>0.15</v>
      </c>
      <c r="E104" s="382">
        <v>0.2</v>
      </c>
      <c r="F104" s="382"/>
      <c r="G104" s="382"/>
      <c r="H104" s="382"/>
      <c r="I104" s="382"/>
      <c r="J104" s="382"/>
      <c r="K104" s="382"/>
      <c r="L104" s="382"/>
      <c r="M104" s="382">
        <f>M100</f>
        <v>1</v>
      </c>
      <c r="N104" s="431">
        <f>C104*D104*E104*M104</f>
        <v>0.2535</v>
      </c>
      <c r="O104" s="617"/>
      <c r="P104" s="620"/>
      <c r="Q104" s="386"/>
      <c r="R104" s="386"/>
      <c r="S104" s="386"/>
      <c r="T104" s="386"/>
      <c r="U104" s="621"/>
      <c r="V104" s="622"/>
      <c r="W104" s="622"/>
      <c r="X104" s="622"/>
    </row>
    <row r="105" spans="1:24" s="623" customFormat="1" ht="15.75" customHeight="1">
      <c r="A105" s="372"/>
      <c r="B105" s="643" t="str">
        <f>B101</f>
        <v>VERTIKAL</v>
      </c>
      <c r="C105" s="382">
        <f>C97</f>
        <v>2</v>
      </c>
      <c r="D105" s="382">
        <f>D104</f>
        <v>0.15</v>
      </c>
      <c r="E105" s="382">
        <f>E104</f>
        <v>0.2</v>
      </c>
      <c r="F105" s="382"/>
      <c r="G105" s="382"/>
      <c r="H105" s="382"/>
      <c r="I105" s="382"/>
      <c r="J105" s="382"/>
      <c r="K105" s="382"/>
      <c r="L105" s="382"/>
      <c r="M105" s="382">
        <f>M101</f>
        <v>4</v>
      </c>
      <c r="N105" s="624">
        <f>C105*D105*E105*M105</f>
        <v>0.24</v>
      </c>
      <c r="O105" s="617"/>
      <c r="P105" s="620"/>
      <c r="Q105" s="386"/>
      <c r="R105" s="386"/>
      <c r="S105" s="386"/>
      <c r="T105" s="386"/>
      <c r="U105" s="621"/>
      <c r="V105" s="622"/>
      <c r="W105" s="622"/>
      <c r="X105" s="622"/>
    </row>
    <row r="106" spans="1:24" s="623" customFormat="1" ht="15.75" customHeight="1">
      <c r="A106" s="372"/>
      <c r="B106" s="366"/>
      <c r="C106" s="382"/>
      <c r="D106" s="382"/>
      <c r="E106" s="382"/>
      <c r="F106" s="382"/>
      <c r="G106" s="382"/>
      <c r="H106" s="382"/>
      <c r="I106" s="382"/>
      <c r="J106" s="382"/>
      <c r="K106" s="382"/>
      <c r="L106" s="382"/>
      <c r="M106" s="382"/>
      <c r="N106" s="431">
        <f>SUM(N104:N105)</f>
        <v>0.49349999999999999</v>
      </c>
      <c r="O106" s="617" t="s">
        <v>103</v>
      </c>
      <c r="P106" s="620">
        <f>ROUND((N106),2)</f>
        <v>0.49</v>
      </c>
      <c r="Q106" s="386"/>
      <c r="R106" s="386"/>
      <c r="S106" s="386"/>
      <c r="T106" s="386"/>
      <c r="U106" s="621"/>
      <c r="V106" s="622"/>
      <c r="W106" s="622"/>
      <c r="X106" s="622"/>
    </row>
    <row r="107" spans="1:24" s="623" customFormat="1" ht="15.75" customHeight="1">
      <c r="A107" s="372">
        <f>A90+1</f>
        <v>7</v>
      </c>
      <c r="B107" s="366" t="s">
        <v>483</v>
      </c>
      <c r="C107" s="645" t="s">
        <v>1056</v>
      </c>
      <c r="D107" s="382"/>
      <c r="E107" s="382"/>
      <c r="F107" s="382"/>
      <c r="G107" s="382"/>
      <c r="H107" s="382"/>
      <c r="I107" s="382"/>
      <c r="J107" s="382"/>
      <c r="K107" s="382"/>
      <c r="L107" s="382"/>
      <c r="M107" s="382"/>
      <c r="N107" s="382"/>
      <c r="O107" s="617"/>
      <c r="P107" s="620"/>
      <c r="Q107" s="386"/>
      <c r="R107" s="386"/>
      <c r="S107" s="386"/>
      <c r="T107" s="386"/>
      <c r="U107" s="621"/>
      <c r="V107" s="622"/>
      <c r="W107" s="622"/>
      <c r="X107" s="622"/>
    </row>
    <row r="108" spans="1:24" s="623" customFormat="1" ht="15.75" customHeight="1">
      <c r="A108" s="384" t="s">
        <v>95</v>
      </c>
      <c r="B108" s="482" t="s">
        <v>474</v>
      </c>
      <c r="C108" s="382">
        <v>4.8</v>
      </c>
      <c r="D108" s="382">
        <v>8.4499999999999993</v>
      </c>
      <c r="E108" s="382"/>
      <c r="F108" s="382"/>
      <c r="G108" s="382"/>
      <c r="H108" s="382"/>
      <c r="I108" s="382"/>
      <c r="J108" s="382"/>
      <c r="K108" s="382"/>
      <c r="L108" s="382"/>
      <c r="M108" s="382"/>
      <c r="N108" s="382">
        <f>C108*D108</f>
        <v>40.559999999999995</v>
      </c>
      <c r="O108" s="617" t="s">
        <v>103</v>
      </c>
      <c r="P108" s="620">
        <f>ROUND((N108),2)</f>
        <v>40.56</v>
      </c>
      <c r="Q108" s="386"/>
      <c r="R108" s="386"/>
      <c r="S108" s="386"/>
      <c r="T108" s="386"/>
      <c r="U108" s="621"/>
      <c r="V108" s="622"/>
      <c r="W108" s="622"/>
      <c r="X108" s="622"/>
    </row>
    <row r="109" spans="1:24" s="623" customFormat="1" ht="15.75" customHeight="1">
      <c r="A109" s="384" t="s">
        <v>98</v>
      </c>
      <c r="B109" s="366" t="s">
        <v>475</v>
      </c>
      <c r="C109" s="382"/>
      <c r="D109" s="382"/>
      <c r="E109" s="382"/>
      <c r="F109" s="382"/>
      <c r="G109" s="382"/>
      <c r="H109" s="382"/>
      <c r="I109" s="382"/>
      <c r="J109" s="382"/>
      <c r="K109" s="382"/>
      <c r="L109" s="382"/>
      <c r="M109" s="382"/>
      <c r="N109" s="382">
        <f>N108</f>
        <v>40.559999999999995</v>
      </c>
      <c r="O109" s="617" t="s">
        <v>103</v>
      </c>
      <c r="P109" s="620">
        <f>ROUND((N109),2)</f>
        <v>40.56</v>
      </c>
      <c r="Q109" s="386"/>
      <c r="R109" s="386"/>
      <c r="S109" s="386"/>
      <c r="T109" s="386"/>
      <c r="U109" s="621"/>
      <c r="V109" s="622"/>
      <c r="W109" s="622"/>
      <c r="X109" s="622"/>
    </row>
    <row r="110" spans="1:24" s="623" customFormat="1" ht="15.75" customHeight="1">
      <c r="A110" s="384" t="s">
        <v>101</v>
      </c>
      <c r="B110" s="366" t="s">
        <v>1057</v>
      </c>
      <c r="C110" s="382">
        <v>12</v>
      </c>
      <c r="D110" s="382">
        <f>D108</f>
        <v>8.4499999999999993</v>
      </c>
      <c r="E110" s="382">
        <v>0.1</v>
      </c>
      <c r="F110" s="382"/>
      <c r="G110" s="382"/>
      <c r="H110" s="382"/>
      <c r="I110" s="382"/>
      <c r="J110" s="382"/>
      <c r="K110" s="382"/>
      <c r="L110" s="382"/>
      <c r="M110" s="382"/>
      <c r="N110" s="382">
        <f>C110*D110*E110</f>
        <v>10.14</v>
      </c>
      <c r="O110" s="617" t="s">
        <v>103</v>
      </c>
      <c r="P110" s="620">
        <f>ROUND((N110),2)</f>
        <v>10.14</v>
      </c>
      <c r="Q110" s="386"/>
      <c r="R110" s="386"/>
      <c r="S110" s="386"/>
      <c r="T110" s="386"/>
      <c r="U110" s="621"/>
      <c r="V110" s="622"/>
      <c r="W110" s="622"/>
      <c r="X110" s="622"/>
    </row>
    <row r="111" spans="1:24" s="623" customFormat="1" ht="15.75" customHeight="1">
      <c r="A111" s="384" t="s">
        <v>121</v>
      </c>
      <c r="B111" s="366" t="s">
        <v>496</v>
      </c>
      <c r="C111" s="382">
        <f>C110</f>
        <v>12</v>
      </c>
      <c r="D111" s="382">
        <f>D110</f>
        <v>8.4499999999999993</v>
      </c>
      <c r="E111" s="382">
        <v>0.05</v>
      </c>
      <c r="F111" s="382"/>
      <c r="G111" s="382"/>
      <c r="H111" s="382"/>
      <c r="I111" s="382"/>
      <c r="J111" s="382"/>
      <c r="K111" s="382"/>
      <c r="L111" s="382"/>
      <c r="M111" s="382"/>
      <c r="N111" s="382">
        <f>C111*D111*E111</f>
        <v>5.07</v>
      </c>
      <c r="O111" s="617" t="s">
        <v>103</v>
      </c>
      <c r="P111" s="620">
        <f>ROUND((N111),2)</f>
        <v>5.07</v>
      </c>
      <c r="Q111" s="386"/>
      <c r="R111" s="386"/>
      <c r="S111" s="386"/>
      <c r="T111" s="386"/>
      <c r="U111" s="621"/>
      <c r="V111" s="622"/>
      <c r="W111" s="622"/>
      <c r="X111" s="622"/>
    </row>
    <row r="112" spans="1:24" s="623" customFormat="1" ht="15.75" customHeight="1">
      <c r="A112" s="384" t="s">
        <v>142</v>
      </c>
      <c r="B112" s="366" t="s">
        <v>221</v>
      </c>
      <c r="C112" s="382"/>
      <c r="D112" s="382"/>
      <c r="E112" s="382"/>
      <c r="F112" s="382"/>
      <c r="G112" s="382"/>
      <c r="H112" s="382"/>
      <c r="I112" s="382"/>
      <c r="J112" s="382"/>
      <c r="K112" s="382"/>
      <c r="L112" s="382"/>
      <c r="M112" s="382"/>
      <c r="N112" s="382"/>
      <c r="O112" s="617"/>
      <c r="P112" s="620"/>
      <c r="Q112" s="386"/>
      <c r="R112" s="386"/>
      <c r="S112" s="386"/>
      <c r="T112" s="386"/>
      <c r="U112" s="621"/>
      <c r="V112" s="622"/>
      <c r="W112" s="622"/>
      <c r="X112" s="622"/>
    </row>
    <row r="113" spans="1:24" s="623" customFormat="1" ht="15.75" customHeight="1">
      <c r="A113" s="384"/>
      <c r="B113" s="643" t="s">
        <v>1044</v>
      </c>
      <c r="C113" s="382">
        <f>D110</f>
        <v>8.4499999999999993</v>
      </c>
      <c r="D113" s="382"/>
      <c r="E113" s="382">
        <v>0.15</v>
      </c>
      <c r="F113" s="382"/>
      <c r="G113" s="382"/>
      <c r="H113" s="382">
        <v>2</v>
      </c>
      <c r="I113" s="382"/>
      <c r="J113" s="382"/>
      <c r="K113" s="382"/>
      <c r="L113" s="382"/>
      <c r="M113" s="382"/>
      <c r="N113" s="382">
        <f>C113*E113*H113</f>
        <v>2.5349999999999997</v>
      </c>
      <c r="O113" s="617"/>
      <c r="P113" s="620"/>
      <c r="Q113" s="386"/>
      <c r="R113" s="386"/>
      <c r="S113" s="386"/>
      <c r="T113" s="386"/>
      <c r="U113" s="621"/>
      <c r="V113" s="622"/>
      <c r="W113" s="622"/>
      <c r="X113" s="622"/>
    </row>
    <row r="114" spans="1:24" s="623" customFormat="1" ht="15.75" customHeight="1">
      <c r="A114" s="384"/>
      <c r="B114" s="643" t="s">
        <v>136</v>
      </c>
      <c r="C114" s="382">
        <f>C110</f>
        <v>12</v>
      </c>
      <c r="D114" s="382"/>
      <c r="E114" s="382">
        <f>E113</f>
        <v>0.15</v>
      </c>
      <c r="F114" s="382"/>
      <c r="G114" s="382"/>
      <c r="H114" s="382">
        <f>H113</f>
        <v>2</v>
      </c>
      <c r="I114" s="382"/>
      <c r="J114" s="382"/>
      <c r="K114" s="382"/>
      <c r="L114" s="382"/>
      <c r="M114" s="382"/>
      <c r="N114" s="624">
        <f>C114*E114*H114</f>
        <v>3.5999999999999996</v>
      </c>
      <c r="O114" s="617"/>
      <c r="P114" s="620"/>
      <c r="Q114" s="386"/>
      <c r="R114" s="386"/>
      <c r="S114" s="386"/>
      <c r="T114" s="386"/>
      <c r="U114" s="621"/>
      <c r="V114" s="622"/>
      <c r="W114" s="622"/>
      <c r="X114" s="622"/>
    </row>
    <row r="115" spans="1:24" s="623" customFormat="1" ht="15.75" customHeight="1">
      <c r="A115" s="384"/>
      <c r="B115" s="366"/>
      <c r="C115" s="382"/>
      <c r="D115" s="382"/>
      <c r="E115" s="382"/>
      <c r="F115" s="382"/>
      <c r="G115" s="382"/>
      <c r="H115" s="382"/>
      <c r="I115" s="382"/>
      <c r="J115" s="382"/>
      <c r="K115" s="382"/>
      <c r="L115" s="382"/>
      <c r="M115" s="382"/>
      <c r="N115" s="431">
        <f>SUM(N113:N114)</f>
        <v>6.1349999999999998</v>
      </c>
      <c r="O115" s="617" t="s">
        <v>89</v>
      </c>
      <c r="P115" s="620">
        <f>ROUND((N115),2)</f>
        <v>6.14</v>
      </c>
      <c r="Q115" s="386"/>
      <c r="R115" s="386"/>
      <c r="S115" s="386"/>
      <c r="T115" s="386"/>
      <c r="U115" s="621"/>
      <c r="V115" s="622"/>
      <c r="W115" s="622"/>
      <c r="X115" s="622"/>
    </row>
    <row r="116" spans="1:24" s="623" customFormat="1" ht="15.75" customHeight="1">
      <c r="A116" s="384" t="s">
        <v>217</v>
      </c>
      <c r="B116" s="366" t="s">
        <v>1058</v>
      </c>
      <c r="C116" s="382"/>
      <c r="D116" s="382"/>
      <c r="E116" s="382"/>
      <c r="F116" s="382"/>
      <c r="G116" s="382"/>
      <c r="H116" s="382"/>
      <c r="I116" s="382"/>
      <c r="J116" s="382"/>
      <c r="K116" s="382"/>
      <c r="L116" s="382"/>
      <c r="M116" s="382"/>
      <c r="N116" s="382"/>
      <c r="O116" s="617"/>
      <c r="P116" s="620"/>
      <c r="Q116" s="386"/>
      <c r="R116" s="386"/>
      <c r="S116" s="386"/>
      <c r="T116" s="386"/>
      <c r="U116" s="621"/>
      <c r="V116" s="622"/>
      <c r="W116" s="622"/>
      <c r="X116" s="622"/>
    </row>
    <row r="117" spans="1:24" s="623" customFormat="1" ht="15.75" customHeight="1">
      <c r="A117" s="384"/>
      <c r="B117" s="646" t="s">
        <v>1059</v>
      </c>
      <c r="C117" s="382">
        <f>C113-0.15</f>
        <v>8.2999999999999989</v>
      </c>
      <c r="D117" s="382"/>
      <c r="E117" s="382"/>
      <c r="F117" s="382">
        <f>ROUNDUP((C118/0.15),0.1)+1</f>
        <v>80</v>
      </c>
      <c r="G117" s="382"/>
      <c r="H117" s="382">
        <v>2</v>
      </c>
      <c r="I117" s="382"/>
      <c r="J117" s="382"/>
      <c r="K117" s="382"/>
      <c r="L117" s="382">
        <f>10*10*0.006165</f>
        <v>0.61650000000000005</v>
      </c>
      <c r="M117" s="382"/>
      <c r="N117" s="382">
        <f>C117*F117*H117*L117</f>
        <v>818.71199999999988</v>
      </c>
      <c r="O117" s="617"/>
      <c r="P117" s="620"/>
      <c r="Q117" s="386"/>
      <c r="R117" s="386"/>
      <c r="S117" s="386"/>
      <c r="T117" s="386"/>
      <c r="U117" s="621"/>
      <c r="V117" s="622"/>
      <c r="W117" s="622"/>
      <c r="X117" s="622"/>
    </row>
    <row r="118" spans="1:24" s="623" customFormat="1" ht="15.75" customHeight="1">
      <c r="A118" s="384"/>
      <c r="B118" s="646"/>
      <c r="C118" s="382">
        <f>C114-0.15</f>
        <v>11.85</v>
      </c>
      <c r="D118" s="382"/>
      <c r="E118" s="382"/>
      <c r="F118" s="382">
        <f>ROUNDUP((C117/0.15),0.1)+1</f>
        <v>57</v>
      </c>
      <c r="G118" s="382"/>
      <c r="H118" s="382">
        <f>H117</f>
        <v>2</v>
      </c>
      <c r="I118" s="382"/>
      <c r="J118" s="382"/>
      <c r="K118" s="382"/>
      <c r="L118" s="382">
        <f>10*10*0.006165</f>
        <v>0.61650000000000005</v>
      </c>
      <c r="M118" s="382"/>
      <c r="N118" s="624">
        <f>C118*F118*H118*L118</f>
        <v>832.82984999999996</v>
      </c>
      <c r="O118" s="617"/>
      <c r="P118" s="620"/>
      <c r="Q118" s="386"/>
      <c r="R118" s="386"/>
      <c r="S118" s="386"/>
      <c r="T118" s="386"/>
      <c r="U118" s="621"/>
      <c r="V118" s="622"/>
      <c r="W118" s="622"/>
      <c r="X118" s="622"/>
    </row>
    <row r="119" spans="1:24" s="623" customFormat="1" ht="15.75" customHeight="1">
      <c r="A119" s="384"/>
      <c r="B119" s="647"/>
      <c r="C119" s="382"/>
      <c r="D119" s="382"/>
      <c r="E119" s="382"/>
      <c r="F119" s="382"/>
      <c r="G119" s="382"/>
      <c r="H119" s="382"/>
      <c r="I119" s="382"/>
      <c r="J119" s="382"/>
      <c r="K119" s="382"/>
      <c r="L119" s="382"/>
      <c r="M119" s="382"/>
      <c r="N119" s="648">
        <f>SUM(N117:N118)</f>
        <v>1651.5418499999998</v>
      </c>
      <c r="O119" s="649" t="s">
        <v>100</v>
      </c>
      <c r="P119" s="620">
        <f>ROUND((N119),2)</f>
        <v>1651.54</v>
      </c>
      <c r="Q119" s="386"/>
      <c r="R119" s="386"/>
      <c r="S119" s="386"/>
      <c r="T119" s="386"/>
      <c r="U119" s="621"/>
      <c r="V119" s="622"/>
      <c r="W119" s="622"/>
      <c r="X119" s="622"/>
    </row>
    <row r="120" spans="1:24" s="623" customFormat="1" ht="15.75" customHeight="1">
      <c r="A120" s="384" t="s">
        <v>366</v>
      </c>
      <c r="B120" s="379" t="s">
        <v>420</v>
      </c>
      <c r="C120" s="382">
        <v>12</v>
      </c>
      <c r="D120" s="382">
        <v>8</v>
      </c>
      <c r="E120" s="382">
        <v>0.15</v>
      </c>
      <c r="F120" s="382"/>
      <c r="G120" s="382"/>
      <c r="H120" s="382"/>
      <c r="I120" s="382"/>
      <c r="J120" s="382"/>
      <c r="K120" s="382"/>
      <c r="L120" s="382"/>
      <c r="M120" s="382"/>
      <c r="N120" s="382">
        <f>C120*D120*E120</f>
        <v>14.399999999999999</v>
      </c>
      <c r="O120" s="617" t="s">
        <v>103</v>
      </c>
      <c r="P120" s="620">
        <f>ROUND((N120),2)</f>
        <v>14.4</v>
      </c>
      <c r="Q120" s="386"/>
      <c r="R120" s="386"/>
      <c r="S120" s="386"/>
      <c r="T120" s="386"/>
      <c r="U120" s="621"/>
      <c r="V120" s="622"/>
      <c r="W120" s="622"/>
      <c r="X120" s="622"/>
    </row>
    <row r="121" spans="1:24" s="650" customFormat="1" ht="15" customHeight="1">
      <c r="A121" s="372">
        <f>A107+1</f>
        <v>8</v>
      </c>
      <c r="B121" s="351" t="s">
        <v>437</v>
      </c>
      <c r="C121" s="382"/>
      <c r="D121" s="382"/>
      <c r="E121" s="382"/>
      <c r="F121" s="382"/>
      <c r="G121" s="382"/>
      <c r="H121" s="382"/>
      <c r="I121" s="382"/>
      <c r="J121" s="382"/>
      <c r="K121" s="382"/>
      <c r="L121" s="382"/>
      <c r="M121" s="382"/>
      <c r="N121" s="431"/>
      <c r="O121" s="617"/>
      <c r="P121" s="620"/>
    </row>
    <row r="122" spans="1:24" s="650" customFormat="1" ht="15" customHeight="1">
      <c r="A122" s="355" t="s">
        <v>95</v>
      </c>
      <c r="B122" s="351" t="s">
        <v>438</v>
      </c>
      <c r="C122" s="382"/>
      <c r="D122" s="382"/>
      <c r="E122" s="382"/>
      <c r="F122" s="382"/>
      <c r="G122" s="382"/>
      <c r="H122" s="382"/>
      <c r="I122" s="382"/>
      <c r="J122" s="382"/>
      <c r="K122" s="382"/>
      <c r="L122" s="382"/>
      <c r="M122" s="382"/>
      <c r="N122" s="431"/>
      <c r="O122" s="617"/>
      <c r="P122" s="620"/>
    </row>
    <row r="123" spans="1:24" s="650" customFormat="1" ht="15" customHeight="1">
      <c r="A123" s="355"/>
      <c r="B123" s="589" t="s">
        <v>1020</v>
      </c>
      <c r="C123" s="382">
        <f>2.35+(0.3*2)</f>
        <v>2.95</v>
      </c>
      <c r="D123" s="382">
        <v>0.12</v>
      </c>
      <c r="E123" s="382">
        <v>0.2</v>
      </c>
      <c r="F123" s="382"/>
      <c r="G123" s="382"/>
      <c r="H123" s="382"/>
      <c r="I123" s="382"/>
      <c r="J123" s="382"/>
      <c r="K123" s="382"/>
      <c r="L123" s="382"/>
      <c r="M123" s="382">
        <v>2</v>
      </c>
      <c r="N123" s="431">
        <f>C123*D123*E123*M123</f>
        <v>0.1416</v>
      </c>
      <c r="O123" s="617"/>
      <c r="P123" s="620"/>
    </row>
    <row r="124" spans="1:24" s="650" customFormat="1" ht="15" customHeight="1">
      <c r="A124" s="355"/>
      <c r="B124" s="589" t="s">
        <v>1021</v>
      </c>
      <c r="C124" s="382">
        <f t="shared" ref="C124:E125" si="4">C123</f>
        <v>2.95</v>
      </c>
      <c r="D124" s="382">
        <f t="shared" si="4"/>
        <v>0.12</v>
      </c>
      <c r="E124" s="382">
        <f t="shared" si="4"/>
        <v>0.2</v>
      </c>
      <c r="F124" s="382"/>
      <c r="G124" s="382"/>
      <c r="H124" s="382"/>
      <c r="I124" s="382"/>
      <c r="J124" s="382"/>
      <c r="K124" s="382"/>
      <c r="L124" s="382"/>
      <c r="M124" s="382">
        <f>M123</f>
        <v>2</v>
      </c>
      <c r="N124" s="431">
        <f>C124*D124*E124*M124</f>
        <v>0.1416</v>
      </c>
      <c r="O124" s="617"/>
      <c r="P124" s="620"/>
    </row>
    <row r="125" spans="1:24" s="650" customFormat="1" ht="15" customHeight="1">
      <c r="A125" s="355"/>
      <c r="B125" s="589" t="s">
        <v>1060</v>
      </c>
      <c r="C125" s="382">
        <f t="shared" si="4"/>
        <v>2.95</v>
      </c>
      <c r="D125" s="382">
        <f t="shared" si="4"/>
        <v>0.12</v>
      </c>
      <c r="E125" s="382">
        <f t="shared" si="4"/>
        <v>0.2</v>
      </c>
      <c r="F125" s="382"/>
      <c r="G125" s="382"/>
      <c r="H125" s="382"/>
      <c r="I125" s="382"/>
      <c r="J125" s="382"/>
      <c r="K125" s="382"/>
      <c r="L125" s="382"/>
      <c r="M125" s="382">
        <f>M124</f>
        <v>2</v>
      </c>
      <c r="N125" s="624">
        <f>C125*D125*E125*M125</f>
        <v>0.1416</v>
      </c>
      <c r="O125" s="617"/>
      <c r="P125" s="620"/>
    </row>
    <row r="126" spans="1:24" s="650" customFormat="1" ht="15" customHeight="1">
      <c r="A126" s="355"/>
      <c r="B126" s="351"/>
      <c r="C126" s="382"/>
      <c r="D126" s="382"/>
      <c r="E126" s="382"/>
      <c r="F126" s="382"/>
      <c r="G126" s="382"/>
      <c r="H126" s="382"/>
      <c r="I126" s="382"/>
      <c r="J126" s="382"/>
      <c r="K126" s="382"/>
      <c r="L126" s="382"/>
      <c r="M126" s="382"/>
      <c r="N126" s="431">
        <f>SUM(N123:N125)</f>
        <v>0.42480000000000001</v>
      </c>
      <c r="O126" s="617" t="s">
        <v>103</v>
      </c>
      <c r="P126" s="620">
        <f>ROUND((N126),2)</f>
        <v>0.42</v>
      </c>
    </row>
    <row r="127" spans="1:24" s="650" customFormat="1" ht="15" customHeight="1">
      <c r="A127" s="355" t="s">
        <v>98</v>
      </c>
      <c r="B127" s="351" t="s">
        <v>439</v>
      </c>
      <c r="C127" s="382"/>
      <c r="D127" s="382"/>
      <c r="E127" s="382"/>
      <c r="F127" s="382"/>
      <c r="G127" s="382"/>
      <c r="H127" s="382"/>
      <c r="I127" s="382"/>
      <c r="J127" s="382"/>
      <c r="K127" s="382"/>
      <c r="L127" s="382"/>
      <c r="M127" s="382"/>
      <c r="N127" s="431"/>
      <c r="O127" s="617"/>
      <c r="P127" s="620"/>
    </row>
    <row r="128" spans="1:24" s="650" customFormat="1" ht="15" customHeight="1">
      <c r="A128" s="355"/>
      <c r="B128" s="589" t="str">
        <f>B123</f>
        <v>trap 1</v>
      </c>
      <c r="C128" s="382">
        <f>C123</f>
        <v>2.95</v>
      </c>
      <c r="D128" s="382"/>
      <c r="E128" s="382">
        <f>0.2+E123</f>
        <v>0.4</v>
      </c>
      <c r="F128" s="382"/>
      <c r="G128" s="382"/>
      <c r="H128" s="382"/>
      <c r="I128" s="382"/>
      <c r="J128" s="382"/>
      <c r="K128" s="382"/>
      <c r="L128" s="382"/>
      <c r="M128" s="382">
        <f>M123</f>
        <v>2</v>
      </c>
      <c r="N128" s="431">
        <f>C128*E128*M128</f>
        <v>2.3600000000000003</v>
      </c>
      <c r="O128" s="617"/>
      <c r="P128" s="620"/>
    </row>
    <row r="129" spans="1:16" s="650" customFormat="1" ht="15" customHeight="1">
      <c r="A129" s="355"/>
      <c r="B129" s="589" t="str">
        <f>B124</f>
        <v>trap 2</v>
      </c>
      <c r="C129" s="382">
        <f>C124</f>
        <v>2.95</v>
      </c>
      <c r="D129" s="382"/>
      <c r="E129" s="382">
        <f>(0.2*2)+E124</f>
        <v>0.60000000000000009</v>
      </c>
      <c r="F129" s="382"/>
      <c r="G129" s="382"/>
      <c r="H129" s="382"/>
      <c r="I129" s="382"/>
      <c r="J129" s="382"/>
      <c r="K129" s="382"/>
      <c r="L129" s="382"/>
      <c r="M129" s="382">
        <f>M128</f>
        <v>2</v>
      </c>
      <c r="N129" s="431">
        <f>C129*E129*M129</f>
        <v>3.5400000000000009</v>
      </c>
      <c r="O129" s="617"/>
      <c r="P129" s="620"/>
    </row>
    <row r="130" spans="1:16" s="650" customFormat="1" ht="15" customHeight="1">
      <c r="A130" s="355"/>
      <c r="B130" s="589" t="str">
        <f>B125</f>
        <v>trap 3</v>
      </c>
      <c r="C130" s="382">
        <f>C129</f>
        <v>2.95</v>
      </c>
      <c r="D130" s="382"/>
      <c r="E130" s="382">
        <f>(0.3*2)+E125</f>
        <v>0.8</v>
      </c>
      <c r="F130" s="382"/>
      <c r="G130" s="382"/>
      <c r="H130" s="382"/>
      <c r="I130" s="382"/>
      <c r="J130" s="382"/>
      <c r="K130" s="382"/>
      <c r="L130" s="382"/>
      <c r="M130" s="382">
        <f>M129</f>
        <v>2</v>
      </c>
      <c r="N130" s="624">
        <f>C130*E130*M130</f>
        <v>4.7200000000000006</v>
      </c>
      <c r="O130" s="617"/>
      <c r="P130" s="620"/>
    </row>
    <row r="131" spans="1:16" s="650" customFormat="1" ht="15" customHeight="1">
      <c r="A131" s="355"/>
      <c r="B131" s="351"/>
      <c r="C131" s="382"/>
      <c r="D131" s="382"/>
      <c r="E131" s="382"/>
      <c r="F131" s="382"/>
      <c r="G131" s="382"/>
      <c r="H131" s="382"/>
      <c r="I131" s="382"/>
      <c r="J131" s="382"/>
      <c r="K131" s="382"/>
      <c r="L131" s="382"/>
      <c r="M131" s="382"/>
      <c r="N131" s="431">
        <f>SUM(N128:N130)</f>
        <v>10.620000000000001</v>
      </c>
      <c r="O131" s="617" t="s">
        <v>103</v>
      </c>
      <c r="P131" s="620">
        <f>ROUND((N131),2)</f>
        <v>10.62</v>
      </c>
    </row>
    <row r="132" spans="1:16" s="650" customFormat="1" ht="15" customHeight="1">
      <c r="A132" s="355" t="s">
        <v>101</v>
      </c>
      <c r="B132" s="351" t="s">
        <v>440</v>
      </c>
      <c r="C132" s="382"/>
      <c r="D132" s="382"/>
      <c r="E132" s="382"/>
      <c r="F132" s="382"/>
      <c r="G132" s="382"/>
      <c r="H132" s="382"/>
      <c r="I132" s="382"/>
      <c r="J132" s="382"/>
      <c r="K132" s="382"/>
      <c r="L132" s="382"/>
      <c r="M132" s="382"/>
      <c r="N132" s="431"/>
      <c r="O132" s="617"/>
      <c r="P132" s="620"/>
    </row>
    <row r="133" spans="1:16" s="650" customFormat="1" ht="15" customHeight="1">
      <c r="A133" s="355"/>
      <c r="B133" s="589" t="str">
        <f>B128</f>
        <v>trap 1</v>
      </c>
      <c r="C133" s="382">
        <v>2.35</v>
      </c>
      <c r="D133" s="382">
        <v>0.3</v>
      </c>
      <c r="E133" s="382">
        <f>E128-E123-E138-E143</f>
        <v>0.1</v>
      </c>
      <c r="F133" s="382"/>
      <c r="G133" s="382"/>
      <c r="H133" s="382"/>
      <c r="I133" s="382"/>
      <c r="J133" s="382"/>
      <c r="K133" s="382"/>
      <c r="L133" s="382"/>
      <c r="M133" s="382">
        <f>M128</f>
        <v>2</v>
      </c>
      <c r="N133" s="431">
        <f>C133*D133*E133*M133</f>
        <v>0.14099999999999999</v>
      </c>
      <c r="O133" s="617"/>
      <c r="P133" s="620"/>
    </row>
    <row r="134" spans="1:16" s="650" customFormat="1" ht="15" customHeight="1">
      <c r="A134" s="355"/>
      <c r="B134" s="589" t="str">
        <f>B129</f>
        <v>trap 2</v>
      </c>
      <c r="C134" s="382">
        <f>C133</f>
        <v>2.35</v>
      </c>
      <c r="D134" s="382">
        <f>D133</f>
        <v>0.3</v>
      </c>
      <c r="E134" s="382">
        <f>E129-E124-E139-E144</f>
        <v>0.3000000000000001</v>
      </c>
      <c r="F134" s="382"/>
      <c r="G134" s="382"/>
      <c r="H134" s="382"/>
      <c r="I134" s="382"/>
      <c r="J134" s="382"/>
      <c r="K134" s="382"/>
      <c r="L134" s="382"/>
      <c r="M134" s="382">
        <f>M133</f>
        <v>2</v>
      </c>
      <c r="N134" s="431">
        <f>C134*D134*E134*M134</f>
        <v>0.4230000000000001</v>
      </c>
      <c r="O134" s="617"/>
      <c r="P134" s="620"/>
    </row>
    <row r="135" spans="1:16" s="650" customFormat="1" ht="15" customHeight="1">
      <c r="A135" s="355"/>
      <c r="B135" s="589" t="str">
        <f>B130</f>
        <v>trap 3</v>
      </c>
      <c r="C135" s="382">
        <f>C134</f>
        <v>2.35</v>
      </c>
      <c r="D135" s="382">
        <f>D134</f>
        <v>0.3</v>
      </c>
      <c r="E135" s="382">
        <f>E130-E125-E140-E145</f>
        <v>0.5</v>
      </c>
      <c r="F135" s="382"/>
      <c r="G135" s="382"/>
      <c r="H135" s="382"/>
      <c r="I135" s="382"/>
      <c r="J135" s="382"/>
      <c r="K135" s="382"/>
      <c r="L135" s="382"/>
      <c r="M135" s="382">
        <f>M134</f>
        <v>2</v>
      </c>
      <c r="N135" s="624">
        <f>C135*D135*E135*M135</f>
        <v>0.70499999999999996</v>
      </c>
      <c r="O135" s="617"/>
      <c r="P135" s="620"/>
    </row>
    <row r="136" spans="1:16" s="650" customFormat="1" ht="15" customHeight="1">
      <c r="A136" s="355"/>
      <c r="B136" s="351"/>
      <c r="C136" s="382"/>
      <c r="D136" s="382"/>
      <c r="E136" s="382"/>
      <c r="F136" s="382"/>
      <c r="G136" s="382"/>
      <c r="H136" s="382"/>
      <c r="I136" s="382"/>
      <c r="J136" s="382"/>
      <c r="K136" s="382"/>
      <c r="L136" s="382"/>
      <c r="M136" s="382"/>
      <c r="N136" s="431">
        <f>SUM(N133:N135)</f>
        <v>1.2690000000000001</v>
      </c>
      <c r="O136" s="617" t="s">
        <v>103</v>
      </c>
      <c r="P136" s="620">
        <f>ROUND((N136),2)</f>
        <v>1.27</v>
      </c>
    </row>
    <row r="137" spans="1:16" s="650" customFormat="1" ht="15" customHeight="1">
      <c r="A137" s="355" t="s">
        <v>121</v>
      </c>
      <c r="B137" s="351" t="s">
        <v>441</v>
      </c>
      <c r="C137" s="382"/>
      <c r="D137" s="382"/>
      <c r="E137" s="382"/>
      <c r="F137" s="382"/>
      <c r="G137" s="382"/>
      <c r="H137" s="382"/>
      <c r="I137" s="382"/>
      <c r="J137" s="382"/>
      <c r="K137" s="382"/>
      <c r="L137" s="382"/>
      <c r="M137" s="382"/>
      <c r="N137" s="431"/>
      <c r="O137" s="617"/>
      <c r="P137" s="620"/>
    </row>
    <row r="138" spans="1:16" s="650" customFormat="1" ht="15" customHeight="1">
      <c r="A138" s="355"/>
      <c r="B138" s="589" t="str">
        <f>B133</f>
        <v>trap 1</v>
      </c>
      <c r="C138" s="382">
        <f>C133</f>
        <v>2.35</v>
      </c>
      <c r="D138" s="382">
        <f>D133</f>
        <v>0.3</v>
      </c>
      <c r="E138" s="382">
        <v>0.03</v>
      </c>
      <c r="F138" s="382"/>
      <c r="G138" s="382"/>
      <c r="H138" s="382"/>
      <c r="I138" s="382"/>
      <c r="J138" s="382"/>
      <c r="K138" s="382"/>
      <c r="L138" s="382"/>
      <c r="M138" s="382">
        <f>M133</f>
        <v>2</v>
      </c>
      <c r="N138" s="431">
        <f>C138*D138*E138*M138</f>
        <v>4.2299999999999997E-2</v>
      </c>
      <c r="O138" s="617"/>
      <c r="P138" s="620"/>
    </row>
    <row r="139" spans="1:16" s="650" customFormat="1" ht="15" customHeight="1">
      <c r="A139" s="355"/>
      <c r="B139" s="589" t="str">
        <f>B134</f>
        <v>trap 2</v>
      </c>
      <c r="C139" s="382">
        <f t="shared" ref="C139:E140" si="5">C138</f>
        <v>2.35</v>
      </c>
      <c r="D139" s="382">
        <f t="shared" si="5"/>
        <v>0.3</v>
      </c>
      <c r="E139" s="382">
        <f t="shared" si="5"/>
        <v>0.03</v>
      </c>
      <c r="F139" s="382"/>
      <c r="G139" s="382"/>
      <c r="H139" s="382"/>
      <c r="I139" s="382"/>
      <c r="J139" s="382"/>
      <c r="K139" s="382"/>
      <c r="L139" s="382"/>
      <c r="M139" s="382">
        <f>M138</f>
        <v>2</v>
      </c>
      <c r="N139" s="431">
        <f>C139*D139*E139*M139</f>
        <v>4.2299999999999997E-2</v>
      </c>
      <c r="O139" s="617"/>
      <c r="P139" s="620"/>
    </row>
    <row r="140" spans="1:16" s="650" customFormat="1" ht="15" customHeight="1">
      <c r="A140" s="355"/>
      <c r="B140" s="589" t="str">
        <f>B135</f>
        <v>trap 3</v>
      </c>
      <c r="C140" s="382">
        <f t="shared" si="5"/>
        <v>2.35</v>
      </c>
      <c r="D140" s="382">
        <f t="shared" si="5"/>
        <v>0.3</v>
      </c>
      <c r="E140" s="382">
        <f t="shared" si="5"/>
        <v>0.03</v>
      </c>
      <c r="F140" s="382"/>
      <c r="G140" s="382"/>
      <c r="H140" s="382"/>
      <c r="I140" s="382"/>
      <c r="J140" s="382"/>
      <c r="K140" s="382"/>
      <c r="L140" s="382"/>
      <c r="M140" s="382">
        <f>M139</f>
        <v>2</v>
      </c>
      <c r="N140" s="624">
        <f>C140*D140*E140*M140</f>
        <v>4.2299999999999997E-2</v>
      </c>
      <c r="O140" s="617"/>
      <c r="P140" s="620"/>
    </row>
    <row r="141" spans="1:16" s="650" customFormat="1" ht="15" customHeight="1">
      <c r="A141" s="355"/>
      <c r="B141" s="351"/>
      <c r="C141" s="382"/>
      <c r="D141" s="382"/>
      <c r="E141" s="382"/>
      <c r="F141" s="382"/>
      <c r="G141" s="382"/>
      <c r="H141" s="382"/>
      <c r="I141" s="382"/>
      <c r="J141" s="382"/>
      <c r="K141" s="382"/>
      <c r="L141" s="382"/>
      <c r="M141" s="382"/>
      <c r="N141" s="431">
        <f>SUM(N138:N140)</f>
        <v>0.12689999999999999</v>
      </c>
      <c r="O141" s="617" t="s">
        <v>103</v>
      </c>
      <c r="P141" s="620">
        <f>ROUND((N141),2)</f>
        <v>0.13</v>
      </c>
    </row>
    <row r="142" spans="1:16" s="650" customFormat="1" ht="15" customHeight="1">
      <c r="A142" s="355" t="s">
        <v>142</v>
      </c>
      <c r="B142" s="351" t="s">
        <v>192</v>
      </c>
      <c r="C142" s="382"/>
      <c r="D142" s="382"/>
      <c r="E142" s="382"/>
      <c r="F142" s="382"/>
      <c r="G142" s="382"/>
      <c r="H142" s="382"/>
      <c r="I142" s="382"/>
      <c r="J142" s="382"/>
      <c r="K142" s="382"/>
      <c r="L142" s="382"/>
      <c r="M142" s="382"/>
      <c r="N142" s="431"/>
      <c r="O142" s="617"/>
      <c r="P142" s="620"/>
    </row>
    <row r="143" spans="1:16" s="650" customFormat="1" ht="15" customHeight="1">
      <c r="A143" s="355"/>
      <c r="B143" s="589" t="str">
        <f>B138</f>
        <v>trap 1</v>
      </c>
      <c r="C143" s="382">
        <f>C138</f>
        <v>2.35</v>
      </c>
      <c r="D143" s="382">
        <f>D138</f>
        <v>0.3</v>
      </c>
      <c r="E143" s="382">
        <v>7.0000000000000007E-2</v>
      </c>
      <c r="F143" s="382"/>
      <c r="G143" s="382"/>
      <c r="H143" s="382"/>
      <c r="I143" s="382"/>
      <c r="J143" s="382"/>
      <c r="K143" s="382"/>
      <c r="L143" s="382"/>
      <c r="M143" s="382">
        <f>M138</f>
        <v>2</v>
      </c>
      <c r="N143" s="431">
        <f>C143*D143*E143*M143</f>
        <v>9.870000000000001E-2</v>
      </c>
      <c r="O143" s="617"/>
      <c r="P143" s="620"/>
    </row>
    <row r="144" spans="1:16" s="650" customFormat="1" ht="15" customHeight="1">
      <c r="A144" s="355"/>
      <c r="B144" s="589" t="str">
        <f>B139</f>
        <v>trap 2</v>
      </c>
      <c r="C144" s="382">
        <f t="shared" ref="C144:E145" si="6">C143</f>
        <v>2.35</v>
      </c>
      <c r="D144" s="382">
        <f t="shared" si="6"/>
        <v>0.3</v>
      </c>
      <c r="E144" s="382">
        <f t="shared" si="6"/>
        <v>7.0000000000000007E-2</v>
      </c>
      <c r="F144" s="382"/>
      <c r="G144" s="382"/>
      <c r="H144" s="382"/>
      <c r="I144" s="382"/>
      <c r="J144" s="382"/>
      <c r="K144" s="382"/>
      <c r="L144" s="382"/>
      <c r="M144" s="382">
        <f>M143</f>
        <v>2</v>
      </c>
      <c r="N144" s="431">
        <f>C144*D144*E144*M144</f>
        <v>9.870000000000001E-2</v>
      </c>
      <c r="O144" s="617"/>
      <c r="P144" s="620"/>
    </row>
    <row r="145" spans="1:24" s="650" customFormat="1" ht="15" customHeight="1">
      <c r="A145" s="355"/>
      <c r="B145" s="589" t="str">
        <f>B140</f>
        <v>trap 3</v>
      </c>
      <c r="C145" s="382">
        <f t="shared" si="6"/>
        <v>2.35</v>
      </c>
      <c r="D145" s="382">
        <f t="shared" si="6"/>
        <v>0.3</v>
      </c>
      <c r="E145" s="382">
        <f t="shared" si="6"/>
        <v>7.0000000000000007E-2</v>
      </c>
      <c r="F145" s="382"/>
      <c r="G145" s="382"/>
      <c r="H145" s="382"/>
      <c r="I145" s="382"/>
      <c r="J145" s="382"/>
      <c r="K145" s="382"/>
      <c r="L145" s="382"/>
      <c r="M145" s="382">
        <f>M144</f>
        <v>2</v>
      </c>
      <c r="N145" s="624">
        <f>C145*D145*E145*M145</f>
        <v>9.870000000000001E-2</v>
      </c>
      <c r="O145" s="617"/>
      <c r="P145" s="620"/>
    </row>
    <row r="146" spans="1:24" s="650" customFormat="1" ht="15" customHeight="1">
      <c r="A146" s="355"/>
      <c r="B146" s="351"/>
      <c r="C146" s="382"/>
      <c r="D146" s="382"/>
      <c r="E146" s="382"/>
      <c r="F146" s="382"/>
      <c r="G146" s="382"/>
      <c r="H146" s="382"/>
      <c r="I146" s="382"/>
      <c r="J146" s="382"/>
      <c r="K146" s="382"/>
      <c r="L146" s="382"/>
      <c r="M146" s="382"/>
      <c r="N146" s="431">
        <f>SUM(N143:N145)</f>
        <v>0.29610000000000003</v>
      </c>
      <c r="O146" s="617" t="s">
        <v>103</v>
      </c>
      <c r="P146" s="620">
        <f>ROUND((N146),2)</f>
        <v>0.3</v>
      </c>
    </row>
    <row r="147" spans="1:24" s="650" customFormat="1" ht="15" customHeight="1">
      <c r="A147" s="355" t="s">
        <v>217</v>
      </c>
      <c r="B147" s="351" t="s">
        <v>442</v>
      </c>
      <c r="C147" s="382"/>
      <c r="D147" s="382"/>
      <c r="E147" s="382"/>
      <c r="F147" s="382"/>
      <c r="G147" s="382"/>
      <c r="H147" s="382"/>
      <c r="I147" s="382"/>
      <c r="J147" s="382"/>
      <c r="K147" s="382"/>
      <c r="L147" s="382"/>
      <c r="M147" s="382"/>
      <c r="N147" s="431"/>
      <c r="O147" s="617"/>
      <c r="P147" s="620"/>
    </row>
    <row r="148" spans="1:24" s="650" customFormat="1" ht="15" customHeight="1">
      <c r="A148" s="355"/>
      <c r="B148" s="351"/>
      <c r="C148" s="382">
        <f>C133</f>
        <v>2.35</v>
      </c>
      <c r="D148" s="382"/>
      <c r="E148" s="382">
        <v>0.2</v>
      </c>
      <c r="F148" s="382"/>
      <c r="G148" s="382"/>
      <c r="H148" s="382">
        <v>3</v>
      </c>
      <c r="I148" s="382"/>
      <c r="J148" s="382"/>
      <c r="K148" s="382"/>
      <c r="L148" s="382"/>
      <c r="M148" s="382">
        <f>M143</f>
        <v>2</v>
      </c>
      <c r="N148" s="431">
        <f>C148*E148*H148*M148</f>
        <v>2.8200000000000003</v>
      </c>
      <c r="O148" s="617"/>
      <c r="P148" s="620"/>
    </row>
    <row r="149" spans="1:24" s="650" customFormat="1" ht="15" customHeight="1">
      <c r="A149" s="355"/>
      <c r="B149" s="351"/>
      <c r="C149" s="382"/>
      <c r="D149" s="382">
        <f>D133</f>
        <v>0.3</v>
      </c>
      <c r="E149" s="382">
        <v>0.2</v>
      </c>
      <c r="F149" s="382"/>
      <c r="G149" s="382"/>
      <c r="H149" s="382">
        <v>2</v>
      </c>
      <c r="I149" s="382"/>
      <c r="J149" s="382"/>
      <c r="K149" s="382"/>
      <c r="L149" s="382"/>
      <c r="M149" s="382">
        <f>M148</f>
        <v>2</v>
      </c>
      <c r="N149" s="431">
        <f>D149*E149*H149*M149</f>
        <v>0.24</v>
      </c>
      <c r="O149" s="617"/>
      <c r="P149" s="620"/>
    </row>
    <row r="150" spans="1:24" s="650" customFormat="1" ht="15" customHeight="1">
      <c r="A150" s="355"/>
      <c r="B150" s="351"/>
      <c r="C150" s="382"/>
      <c r="D150" s="382">
        <f>D149</f>
        <v>0.3</v>
      </c>
      <c r="E150" s="382">
        <v>0.4</v>
      </c>
      <c r="F150" s="382"/>
      <c r="G150" s="382"/>
      <c r="H150" s="382">
        <f>H149</f>
        <v>2</v>
      </c>
      <c r="I150" s="382"/>
      <c r="J150" s="382"/>
      <c r="K150" s="382"/>
      <c r="L150" s="382"/>
      <c r="M150" s="382">
        <f>M149</f>
        <v>2</v>
      </c>
      <c r="N150" s="431">
        <f>D150*E150*H150*M150</f>
        <v>0.48</v>
      </c>
      <c r="O150" s="617"/>
      <c r="P150" s="620"/>
    </row>
    <row r="151" spans="1:24" s="650" customFormat="1" ht="15" customHeight="1">
      <c r="A151" s="355"/>
      <c r="B151" s="351"/>
      <c r="C151" s="382"/>
      <c r="D151" s="382">
        <v>0.3</v>
      </c>
      <c r="E151" s="382">
        <v>0.6</v>
      </c>
      <c r="F151" s="382"/>
      <c r="G151" s="382"/>
      <c r="H151" s="382">
        <f>H150</f>
        <v>2</v>
      </c>
      <c r="I151" s="382"/>
      <c r="J151" s="382"/>
      <c r="K151" s="382"/>
      <c r="L151" s="382"/>
      <c r="M151" s="382">
        <f>M150</f>
        <v>2</v>
      </c>
      <c r="N151" s="624">
        <f>D151*E151*H151*M151</f>
        <v>0.72</v>
      </c>
      <c r="O151" s="617"/>
      <c r="P151" s="620"/>
    </row>
    <row r="152" spans="1:24" s="650" customFormat="1" ht="15" customHeight="1">
      <c r="A152" s="355"/>
      <c r="B152" s="351"/>
      <c r="C152" s="382"/>
      <c r="D152" s="382"/>
      <c r="E152" s="382"/>
      <c r="F152" s="382"/>
      <c r="G152" s="382"/>
      <c r="H152" s="382"/>
      <c r="I152" s="382"/>
      <c r="J152" s="382"/>
      <c r="K152" s="382"/>
      <c r="L152" s="382"/>
      <c r="M152" s="382"/>
      <c r="N152" s="431">
        <f>SUM(N148:N151)</f>
        <v>4.2600000000000007</v>
      </c>
      <c r="O152" s="617" t="s">
        <v>89</v>
      </c>
      <c r="P152" s="620">
        <f>ROUND((N152),2)</f>
        <v>4.26</v>
      </c>
    </row>
    <row r="153" spans="1:24" s="650" customFormat="1" ht="15" customHeight="1">
      <c r="A153" s="355" t="s">
        <v>366</v>
      </c>
      <c r="B153" s="351" t="s">
        <v>194</v>
      </c>
      <c r="C153" s="382"/>
      <c r="D153" s="382"/>
      <c r="E153" s="382"/>
      <c r="F153" s="382"/>
      <c r="G153" s="382"/>
      <c r="H153" s="382"/>
      <c r="I153" s="382"/>
      <c r="J153" s="382"/>
      <c r="K153" s="382"/>
      <c r="L153" s="382"/>
      <c r="M153" s="382"/>
      <c r="N153" s="431"/>
      <c r="O153" s="617"/>
      <c r="P153" s="620"/>
    </row>
    <row r="154" spans="1:24" s="650" customFormat="1" ht="15" customHeight="1">
      <c r="A154" s="355"/>
      <c r="B154" s="589" t="s">
        <v>1022</v>
      </c>
      <c r="C154" s="382"/>
      <c r="D154" s="382"/>
      <c r="E154" s="382"/>
      <c r="F154" s="382"/>
      <c r="G154" s="382"/>
      <c r="H154" s="382"/>
      <c r="I154" s="382"/>
      <c r="J154" s="382"/>
      <c r="K154" s="382"/>
      <c r="L154" s="382"/>
      <c r="M154" s="382"/>
      <c r="N154" s="431">
        <f>N152</f>
        <v>4.2600000000000007</v>
      </c>
      <c r="O154" s="617"/>
      <c r="P154" s="620"/>
    </row>
    <row r="155" spans="1:24" s="650" customFormat="1" ht="15" customHeight="1">
      <c r="A155" s="355"/>
      <c r="B155" s="589" t="s">
        <v>1061</v>
      </c>
      <c r="C155" s="382">
        <f>C143</f>
        <v>2.35</v>
      </c>
      <c r="D155" s="382">
        <f>D143</f>
        <v>0.3</v>
      </c>
      <c r="E155" s="382"/>
      <c r="F155" s="382"/>
      <c r="G155" s="382"/>
      <c r="H155" s="382">
        <f>H148</f>
        <v>3</v>
      </c>
      <c r="I155" s="382"/>
      <c r="J155" s="382"/>
      <c r="K155" s="382"/>
      <c r="L155" s="382"/>
      <c r="M155" s="382">
        <f>M151</f>
        <v>2</v>
      </c>
      <c r="N155" s="624">
        <f>C155*D155*H155*M155</f>
        <v>4.2299999999999995</v>
      </c>
      <c r="O155" s="617"/>
      <c r="P155" s="620"/>
    </row>
    <row r="156" spans="1:24" s="650" customFormat="1" ht="15" customHeight="1">
      <c r="A156" s="355"/>
      <c r="B156" s="351"/>
      <c r="C156" s="382"/>
      <c r="D156" s="382"/>
      <c r="E156" s="382"/>
      <c r="F156" s="382"/>
      <c r="G156" s="382"/>
      <c r="H156" s="382"/>
      <c r="I156" s="382"/>
      <c r="J156" s="382"/>
      <c r="K156" s="382"/>
      <c r="L156" s="382"/>
      <c r="M156" s="382"/>
      <c r="N156" s="431">
        <f>SUM(N154:N155)</f>
        <v>8.49</v>
      </c>
      <c r="O156" s="617" t="s">
        <v>89</v>
      </c>
      <c r="P156" s="620">
        <f>ROUND((N156),2)</f>
        <v>8.49</v>
      </c>
    </row>
    <row r="157" spans="1:24" s="623" customFormat="1" ht="15.75" customHeight="1">
      <c r="A157" s="373">
        <f>A121+1</f>
        <v>9</v>
      </c>
      <c r="B157" s="374" t="s">
        <v>487</v>
      </c>
      <c r="C157" s="382"/>
      <c r="D157" s="382"/>
      <c r="E157" s="382"/>
      <c r="F157" s="382"/>
      <c r="G157" s="382"/>
      <c r="H157" s="382"/>
      <c r="I157" s="382"/>
      <c r="J157" s="382"/>
      <c r="K157" s="382"/>
      <c r="L157" s="382"/>
      <c r="M157" s="382"/>
      <c r="N157" s="431"/>
      <c r="O157" s="617"/>
      <c r="P157" s="620"/>
      <c r="Q157" s="386"/>
      <c r="R157" s="386"/>
      <c r="S157" s="386"/>
      <c r="T157" s="386"/>
      <c r="U157" s="621"/>
      <c r="V157" s="622"/>
      <c r="W157" s="622"/>
      <c r="X157" s="622"/>
    </row>
    <row r="158" spans="1:24" s="623" customFormat="1" ht="15.75" customHeight="1">
      <c r="A158" s="375" t="s">
        <v>95</v>
      </c>
      <c r="B158" s="374" t="s">
        <v>488</v>
      </c>
      <c r="C158" s="382">
        <v>12</v>
      </c>
      <c r="D158" s="382"/>
      <c r="E158" s="382">
        <v>0.1</v>
      </c>
      <c r="F158" s="382"/>
      <c r="G158" s="382"/>
      <c r="H158" s="382">
        <v>2</v>
      </c>
      <c r="I158" s="382"/>
      <c r="J158" s="382"/>
      <c r="K158" s="382"/>
      <c r="L158" s="382"/>
      <c r="M158" s="382"/>
      <c r="N158" s="431">
        <f>C158*E158*H158</f>
        <v>2.4000000000000004</v>
      </c>
      <c r="O158" s="617"/>
      <c r="P158" s="620"/>
      <c r="Q158" s="386"/>
      <c r="R158" s="386"/>
      <c r="S158" s="386"/>
      <c r="T158" s="386"/>
      <c r="U158" s="621"/>
      <c r="V158" s="622"/>
      <c r="W158" s="622"/>
      <c r="X158" s="622"/>
    </row>
    <row r="159" spans="1:24" s="623" customFormat="1" ht="15.75" customHeight="1">
      <c r="A159" s="375"/>
      <c r="B159" s="374"/>
      <c r="C159" s="382">
        <v>8.5</v>
      </c>
      <c r="D159" s="382"/>
      <c r="E159" s="382">
        <f>E158</f>
        <v>0.1</v>
      </c>
      <c r="F159" s="382"/>
      <c r="G159" s="382"/>
      <c r="H159" s="382">
        <f>H158</f>
        <v>2</v>
      </c>
      <c r="I159" s="382"/>
      <c r="J159" s="382"/>
      <c r="K159" s="382"/>
      <c r="L159" s="382"/>
      <c r="M159" s="382"/>
      <c r="N159" s="624">
        <f>C159*E159*H159</f>
        <v>1.7000000000000002</v>
      </c>
      <c r="O159" s="617"/>
      <c r="P159" s="620"/>
      <c r="Q159" s="386"/>
      <c r="R159" s="386"/>
      <c r="S159" s="386"/>
      <c r="T159" s="386"/>
      <c r="U159" s="621"/>
      <c r="V159" s="622"/>
      <c r="W159" s="622"/>
      <c r="X159" s="622"/>
    </row>
    <row r="160" spans="1:24" s="623" customFormat="1" ht="15.75" customHeight="1">
      <c r="A160" s="375"/>
      <c r="B160" s="374"/>
      <c r="C160" s="382"/>
      <c r="D160" s="382"/>
      <c r="E160" s="382"/>
      <c r="F160" s="382"/>
      <c r="G160" s="382"/>
      <c r="H160" s="382"/>
      <c r="I160" s="382"/>
      <c r="J160" s="382"/>
      <c r="K160" s="382"/>
      <c r="L160" s="382"/>
      <c r="M160" s="382"/>
      <c r="N160" s="431">
        <f>SUM(N158:N159)</f>
        <v>4.1000000000000005</v>
      </c>
      <c r="O160" s="617" t="s">
        <v>89</v>
      </c>
      <c r="P160" s="620">
        <f>ROUND((N160),2)</f>
        <v>4.0999999999999996</v>
      </c>
      <c r="Q160" s="386"/>
      <c r="R160" s="386"/>
      <c r="S160" s="386"/>
      <c r="T160" s="386"/>
      <c r="U160" s="621"/>
      <c r="V160" s="622"/>
      <c r="W160" s="622"/>
      <c r="X160" s="622"/>
    </row>
    <row r="161" spans="1:24" s="623" customFormat="1" ht="15.75" customHeight="1">
      <c r="A161" s="375" t="s">
        <v>98</v>
      </c>
      <c r="B161" s="374" t="s">
        <v>193</v>
      </c>
      <c r="C161" s="382"/>
      <c r="D161" s="382"/>
      <c r="E161" s="382"/>
      <c r="F161" s="382"/>
      <c r="G161" s="382"/>
      <c r="H161" s="382"/>
      <c r="I161" s="382"/>
      <c r="J161" s="382"/>
      <c r="K161" s="382"/>
      <c r="L161" s="382"/>
      <c r="M161" s="382"/>
      <c r="N161" s="431"/>
      <c r="O161" s="617"/>
      <c r="P161" s="620"/>
      <c r="Q161" s="386"/>
      <c r="R161" s="386"/>
      <c r="S161" s="386"/>
      <c r="T161" s="386"/>
      <c r="U161" s="621"/>
      <c r="V161" s="622"/>
      <c r="W161" s="622"/>
      <c r="X161" s="622"/>
    </row>
    <row r="162" spans="1:24" s="623" customFormat="1" ht="15.75" customHeight="1">
      <c r="A162" s="375"/>
      <c r="B162" s="374"/>
      <c r="C162" s="382">
        <v>12</v>
      </c>
      <c r="D162" s="382"/>
      <c r="E162" s="382">
        <v>0.1</v>
      </c>
      <c r="F162" s="382"/>
      <c r="G162" s="382"/>
      <c r="H162" s="382">
        <v>2</v>
      </c>
      <c r="I162" s="382"/>
      <c r="J162" s="382"/>
      <c r="K162" s="382"/>
      <c r="L162" s="382"/>
      <c r="M162" s="382"/>
      <c r="N162" s="431">
        <f>C162*E162*H162</f>
        <v>2.4000000000000004</v>
      </c>
      <c r="O162" s="617"/>
      <c r="P162" s="620"/>
      <c r="Q162" s="386"/>
      <c r="R162" s="386"/>
      <c r="S162" s="386"/>
      <c r="T162" s="386"/>
      <c r="U162" s="621"/>
      <c r="V162" s="622"/>
      <c r="W162" s="622"/>
      <c r="X162" s="622"/>
    </row>
    <row r="163" spans="1:24" s="623" customFormat="1" ht="15.75" customHeight="1">
      <c r="A163" s="375"/>
      <c r="B163" s="374"/>
      <c r="C163" s="382">
        <v>8.5</v>
      </c>
      <c r="D163" s="382"/>
      <c r="E163" s="382">
        <f>E162</f>
        <v>0.1</v>
      </c>
      <c r="F163" s="382"/>
      <c r="G163" s="382"/>
      <c r="H163" s="382">
        <f>H162</f>
        <v>2</v>
      </c>
      <c r="I163" s="382"/>
      <c r="J163" s="382"/>
      <c r="K163" s="382"/>
      <c r="L163" s="382"/>
      <c r="M163" s="382"/>
      <c r="N163" s="624">
        <f>C163*E163*H163</f>
        <v>1.7000000000000002</v>
      </c>
      <c r="O163" s="617"/>
      <c r="P163" s="620"/>
      <c r="Q163" s="386"/>
      <c r="R163" s="386"/>
      <c r="S163" s="386"/>
      <c r="T163" s="386"/>
      <c r="U163" s="621"/>
      <c r="V163" s="622"/>
      <c r="W163" s="622"/>
      <c r="X163" s="622"/>
    </row>
    <row r="164" spans="1:24" s="623" customFormat="1" ht="15.75" customHeight="1">
      <c r="A164" s="375"/>
      <c r="B164" s="374"/>
      <c r="C164" s="382"/>
      <c r="D164" s="382"/>
      <c r="E164" s="382"/>
      <c r="F164" s="382"/>
      <c r="G164" s="382"/>
      <c r="H164" s="382"/>
      <c r="I164" s="382"/>
      <c r="J164" s="382"/>
      <c r="K164" s="382"/>
      <c r="L164" s="382"/>
      <c r="M164" s="382"/>
      <c r="N164" s="431">
        <f>SUM(N162:N163)</f>
        <v>4.1000000000000005</v>
      </c>
      <c r="O164" s="617" t="s">
        <v>89</v>
      </c>
      <c r="P164" s="620">
        <f>ROUND((N164),2)</f>
        <v>4.0999999999999996</v>
      </c>
      <c r="Q164" s="386"/>
      <c r="R164" s="386"/>
      <c r="S164" s="386"/>
      <c r="T164" s="386"/>
      <c r="U164" s="621"/>
      <c r="V164" s="622"/>
      <c r="W164" s="622"/>
      <c r="X164" s="622"/>
    </row>
    <row r="165" spans="1:24" s="623" customFormat="1" ht="15.75" customHeight="1">
      <c r="A165" s="375" t="s">
        <v>101</v>
      </c>
      <c r="B165" s="374" t="s">
        <v>194</v>
      </c>
      <c r="C165" s="382"/>
      <c r="D165" s="382"/>
      <c r="E165" s="382"/>
      <c r="F165" s="382"/>
      <c r="G165" s="382"/>
      <c r="H165" s="382"/>
      <c r="I165" s="382"/>
      <c r="J165" s="382"/>
      <c r="K165" s="382"/>
      <c r="L165" s="382"/>
      <c r="M165" s="382"/>
      <c r="N165" s="431">
        <f>N164</f>
        <v>4.1000000000000005</v>
      </c>
      <c r="O165" s="617" t="s">
        <v>89</v>
      </c>
      <c r="P165" s="620">
        <f>ROUND((N165),2)</f>
        <v>4.0999999999999996</v>
      </c>
      <c r="Q165" s="386"/>
      <c r="R165" s="386"/>
      <c r="S165" s="386"/>
      <c r="T165" s="386"/>
      <c r="U165" s="621"/>
      <c r="V165" s="622"/>
      <c r="W165" s="622"/>
      <c r="X165" s="622"/>
    </row>
    <row r="166" spans="1:24" s="623" customFormat="1" ht="15.75" customHeight="1">
      <c r="A166" s="376">
        <f>A157+1</f>
        <v>10</v>
      </c>
      <c r="B166" s="374" t="s">
        <v>489</v>
      </c>
      <c r="C166" s="382">
        <f>C158</f>
        <v>12</v>
      </c>
      <c r="D166" s="382">
        <f>C163</f>
        <v>8.5</v>
      </c>
      <c r="E166" s="382"/>
      <c r="F166" s="382"/>
      <c r="G166" s="382"/>
      <c r="H166" s="382"/>
      <c r="I166" s="382"/>
      <c r="J166" s="382"/>
      <c r="K166" s="382"/>
      <c r="L166" s="382"/>
      <c r="M166" s="382"/>
      <c r="N166" s="431">
        <f>C166*D166</f>
        <v>102</v>
      </c>
      <c r="O166" s="617" t="s">
        <v>89</v>
      </c>
      <c r="P166" s="620">
        <f>ROUND((N166),2)</f>
        <v>102</v>
      </c>
      <c r="Q166" s="386"/>
      <c r="R166" s="386"/>
      <c r="S166" s="386"/>
      <c r="T166" s="386"/>
      <c r="U166" s="621"/>
      <c r="V166" s="622"/>
      <c r="W166" s="622"/>
      <c r="X166" s="622"/>
    </row>
    <row r="167" spans="1:24" s="623" customFormat="1" ht="15.75" customHeight="1">
      <c r="A167" s="384"/>
      <c r="B167" s="379"/>
      <c r="C167" s="382"/>
      <c r="D167" s="382"/>
      <c r="E167" s="382"/>
      <c r="F167" s="382"/>
      <c r="G167" s="382"/>
      <c r="H167" s="382"/>
      <c r="I167" s="382"/>
      <c r="J167" s="382"/>
      <c r="K167" s="382"/>
      <c r="L167" s="382"/>
      <c r="M167" s="382"/>
      <c r="N167" s="431"/>
      <c r="O167" s="617"/>
      <c r="P167" s="620"/>
      <c r="Q167" s="386"/>
      <c r="R167" s="386"/>
      <c r="S167" s="386"/>
      <c r="T167" s="386"/>
      <c r="U167" s="621"/>
      <c r="V167" s="622"/>
      <c r="W167" s="622"/>
      <c r="X167" s="622"/>
    </row>
    <row r="168" spans="1:24" ht="7.5" customHeight="1">
      <c r="A168" s="651"/>
      <c r="B168" s="652"/>
      <c r="C168" s="653"/>
      <c r="D168" s="653"/>
      <c r="E168" s="653"/>
      <c r="F168" s="653"/>
      <c r="G168" s="653"/>
      <c r="H168" s="653"/>
      <c r="I168" s="653"/>
      <c r="J168" s="653"/>
      <c r="K168" s="653"/>
      <c r="L168" s="653"/>
      <c r="M168" s="653"/>
      <c r="N168" s="653"/>
      <c r="O168" s="654"/>
      <c r="P168" s="655"/>
      <c r="Q168" s="386"/>
      <c r="R168" s="386"/>
      <c r="S168" s="386"/>
      <c r="T168" s="386"/>
      <c r="U168" s="386"/>
      <c r="V168" s="610"/>
      <c r="W168" s="610"/>
      <c r="X168" s="610"/>
    </row>
    <row r="169" spans="1:24" ht="15.75" customHeight="1">
      <c r="A169" s="656"/>
      <c r="B169" s="386"/>
      <c r="C169" s="621"/>
      <c r="D169" s="621"/>
      <c r="E169" s="621"/>
      <c r="F169" s="621"/>
      <c r="G169" s="621"/>
      <c r="H169" s="621"/>
      <c r="I169" s="621"/>
      <c r="J169" s="621"/>
      <c r="K169" s="621"/>
      <c r="L169" s="621"/>
      <c r="M169" s="621"/>
      <c r="N169" s="621"/>
      <c r="O169" s="656"/>
      <c r="P169" s="656"/>
      <c r="Q169" s="386"/>
      <c r="R169" s="386"/>
      <c r="S169" s="386"/>
      <c r="T169" s="386"/>
      <c r="U169" s="386"/>
      <c r="V169" s="610"/>
      <c r="W169" s="610"/>
      <c r="X169" s="610"/>
    </row>
    <row r="170" spans="1:24" ht="15.75" customHeight="1">
      <c r="A170" s="656"/>
      <c r="B170" s="386"/>
      <c r="C170" s="621"/>
      <c r="D170" s="621"/>
      <c r="E170" s="621"/>
      <c r="F170" s="621"/>
      <c r="G170" s="621"/>
      <c r="H170" s="621"/>
      <c r="I170" s="621"/>
      <c r="J170" s="621"/>
      <c r="K170" s="621"/>
      <c r="L170" s="621"/>
      <c r="M170" s="621"/>
      <c r="N170" s="621"/>
      <c r="O170" s="656"/>
      <c r="P170" s="656"/>
      <c r="Q170" s="386"/>
      <c r="R170" s="386"/>
      <c r="S170" s="386"/>
      <c r="T170" s="386"/>
      <c r="U170" s="386"/>
      <c r="V170" s="610"/>
      <c r="W170" s="610"/>
      <c r="X170" s="610"/>
    </row>
    <row r="171" spans="1:24" ht="15.75" customHeight="1">
      <c r="A171" s="656"/>
      <c r="B171" s="386"/>
      <c r="C171" s="621"/>
      <c r="D171" s="621"/>
      <c r="E171" s="621"/>
      <c r="F171" s="621"/>
      <c r="G171" s="621"/>
      <c r="H171" s="621"/>
      <c r="I171" s="621"/>
      <c r="J171" s="621"/>
      <c r="K171" s="621"/>
      <c r="L171" s="621"/>
      <c r="M171" s="621"/>
      <c r="N171" s="621"/>
      <c r="O171" s="656"/>
      <c r="P171" s="656"/>
      <c r="Q171" s="386"/>
      <c r="R171" s="386"/>
      <c r="S171" s="386"/>
      <c r="T171" s="386"/>
      <c r="U171" s="386"/>
      <c r="V171" s="610"/>
      <c r="W171" s="610"/>
      <c r="X171" s="610"/>
    </row>
    <row r="172" spans="1:24" ht="15.75" customHeight="1">
      <c r="A172" s="386"/>
      <c r="B172" s="386"/>
      <c r="C172" s="621"/>
      <c r="D172" s="621"/>
      <c r="E172" s="621"/>
      <c r="F172" s="621"/>
      <c r="G172" s="621"/>
      <c r="H172" s="621"/>
      <c r="I172" s="621"/>
      <c r="J172" s="621"/>
      <c r="K172" s="621"/>
      <c r="L172" s="621"/>
      <c r="M172" s="621"/>
      <c r="N172" s="621"/>
      <c r="O172" s="656"/>
      <c r="P172" s="656"/>
      <c r="Q172" s="386"/>
      <c r="R172" s="386"/>
      <c r="S172" s="386"/>
      <c r="T172" s="386"/>
      <c r="U172" s="386"/>
      <c r="V172" s="610"/>
      <c r="W172" s="610"/>
      <c r="X172" s="610"/>
    </row>
    <row r="173" spans="1:24" ht="15.75" customHeight="1">
      <c r="A173" s="386"/>
      <c r="B173" s="386"/>
      <c r="C173" s="621"/>
      <c r="D173" s="621"/>
      <c r="E173" s="621"/>
      <c r="F173" s="621"/>
      <c r="G173" s="621"/>
      <c r="H173" s="621"/>
      <c r="I173" s="621"/>
      <c r="J173" s="621"/>
      <c r="K173" s="621"/>
      <c r="L173" s="621"/>
      <c r="M173" s="621"/>
      <c r="N173" s="621"/>
      <c r="O173" s="656"/>
      <c r="P173" s="656"/>
      <c r="Q173" s="386"/>
      <c r="R173" s="386"/>
      <c r="S173" s="386"/>
      <c r="T173" s="386"/>
      <c r="U173" s="386"/>
      <c r="V173" s="610"/>
      <c r="W173" s="610"/>
      <c r="X173" s="610"/>
    </row>
    <row r="174" spans="1:24" ht="15.75" customHeight="1">
      <c r="A174" s="386"/>
      <c r="B174" s="386"/>
      <c r="C174" s="621"/>
      <c r="D174" s="621"/>
      <c r="E174" s="621"/>
      <c r="F174" s="621"/>
      <c r="G174" s="621"/>
      <c r="H174" s="621"/>
      <c r="I174" s="621"/>
      <c r="J174" s="621"/>
      <c r="K174" s="621"/>
      <c r="L174" s="621"/>
      <c r="M174" s="621"/>
      <c r="N174" s="621"/>
      <c r="O174" s="656"/>
      <c r="P174" s="656"/>
      <c r="Q174" s="386"/>
      <c r="R174" s="386"/>
      <c r="S174" s="386"/>
      <c r="T174" s="386"/>
      <c r="U174" s="386"/>
      <c r="V174" s="610"/>
      <c r="W174" s="610"/>
      <c r="X174" s="610"/>
    </row>
    <row r="175" spans="1:24" ht="15.75" customHeight="1">
      <c r="A175" s="386"/>
      <c r="B175" s="386"/>
      <c r="C175" s="621"/>
      <c r="D175" s="621"/>
      <c r="E175" s="621"/>
      <c r="F175" s="621"/>
      <c r="G175" s="621"/>
      <c r="H175" s="621"/>
      <c r="I175" s="621"/>
      <c r="J175" s="621"/>
      <c r="K175" s="621"/>
      <c r="L175" s="621"/>
      <c r="M175" s="621"/>
      <c r="N175" s="621"/>
      <c r="O175" s="656"/>
      <c r="P175" s="656"/>
      <c r="Q175" s="386"/>
      <c r="R175" s="386"/>
      <c r="S175" s="386"/>
      <c r="T175" s="386"/>
      <c r="U175" s="386"/>
      <c r="V175" s="610"/>
      <c r="W175" s="610"/>
      <c r="X175" s="610"/>
    </row>
    <row r="176" spans="1:24" ht="15.75" customHeight="1">
      <c r="A176" s="386"/>
      <c r="B176" s="386"/>
      <c r="C176" s="621"/>
      <c r="D176" s="621"/>
      <c r="E176" s="621"/>
      <c r="F176" s="621"/>
      <c r="G176" s="621"/>
      <c r="H176" s="621"/>
      <c r="I176" s="621"/>
      <c r="J176" s="621"/>
      <c r="K176" s="621"/>
      <c r="L176" s="621"/>
      <c r="M176" s="621"/>
      <c r="N176" s="621"/>
      <c r="O176" s="656"/>
      <c r="P176" s="656"/>
      <c r="Q176" s="386"/>
      <c r="R176" s="386"/>
      <c r="S176" s="386"/>
      <c r="T176" s="386"/>
      <c r="U176" s="386"/>
      <c r="V176" s="610"/>
      <c r="W176" s="610"/>
      <c r="X176" s="610"/>
    </row>
    <row r="177" spans="1:24" ht="15.75" customHeight="1">
      <c r="A177" s="386"/>
      <c r="B177" s="386"/>
      <c r="C177" s="621"/>
      <c r="D177" s="621"/>
      <c r="E177" s="621"/>
      <c r="F177" s="621"/>
      <c r="G177" s="621"/>
      <c r="H177" s="621"/>
      <c r="I177" s="621"/>
      <c r="J177" s="621"/>
      <c r="K177" s="621"/>
      <c r="L177" s="621"/>
      <c r="M177" s="621"/>
      <c r="N177" s="621"/>
      <c r="O177" s="656"/>
      <c r="P177" s="656"/>
      <c r="Q177" s="386"/>
      <c r="R177" s="386"/>
      <c r="S177" s="386"/>
      <c r="T177" s="386"/>
      <c r="U177" s="386"/>
      <c r="V177" s="610"/>
      <c r="W177" s="610"/>
      <c r="X177" s="610"/>
    </row>
    <row r="178" spans="1:24" ht="15.75" customHeight="1">
      <c r="A178" s="386"/>
      <c r="B178" s="386"/>
      <c r="C178" s="621"/>
      <c r="D178" s="621"/>
      <c r="E178" s="621"/>
      <c r="F178" s="621"/>
      <c r="G178" s="621"/>
      <c r="H178" s="621"/>
      <c r="I178" s="621"/>
      <c r="J178" s="621"/>
      <c r="K178" s="621"/>
      <c r="L178" s="621"/>
      <c r="M178" s="621"/>
      <c r="N178" s="621"/>
      <c r="O178" s="656"/>
      <c r="P178" s="656"/>
      <c r="Q178" s="386"/>
      <c r="R178" s="386"/>
      <c r="S178" s="386"/>
      <c r="T178" s="386"/>
      <c r="U178" s="386"/>
      <c r="V178" s="610"/>
      <c r="W178" s="610"/>
      <c r="X178" s="610"/>
    </row>
    <row r="179" spans="1:24" ht="15.75" customHeight="1">
      <c r="A179" s="386"/>
      <c r="B179" s="386"/>
      <c r="C179" s="621"/>
      <c r="D179" s="621"/>
      <c r="E179" s="621"/>
      <c r="F179" s="621"/>
      <c r="G179" s="621"/>
      <c r="H179" s="621"/>
      <c r="I179" s="621"/>
      <c r="J179" s="621"/>
      <c r="K179" s="621"/>
      <c r="L179" s="621"/>
      <c r="M179" s="621"/>
      <c r="N179" s="621"/>
      <c r="O179" s="656"/>
      <c r="P179" s="656"/>
      <c r="Q179" s="386"/>
      <c r="R179" s="386"/>
      <c r="S179" s="386"/>
      <c r="T179" s="386"/>
      <c r="U179" s="386"/>
      <c r="V179" s="610"/>
      <c r="W179" s="610"/>
      <c r="X179" s="610"/>
    </row>
    <row r="180" spans="1:24" ht="15.75" customHeight="1">
      <c r="A180" s="386"/>
      <c r="B180" s="386"/>
      <c r="C180" s="621"/>
      <c r="D180" s="621"/>
      <c r="E180" s="621"/>
      <c r="F180" s="621"/>
      <c r="G180" s="621"/>
      <c r="H180" s="621"/>
      <c r="I180" s="621"/>
      <c r="J180" s="621"/>
      <c r="K180" s="621"/>
      <c r="L180" s="621"/>
      <c r="M180" s="621"/>
      <c r="N180" s="621"/>
      <c r="O180" s="656"/>
      <c r="P180" s="656"/>
      <c r="Q180" s="386"/>
      <c r="R180" s="386"/>
      <c r="S180" s="386"/>
      <c r="T180" s="386"/>
      <c r="U180" s="386"/>
      <c r="V180" s="610"/>
      <c r="W180" s="610"/>
      <c r="X180" s="610"/>
    </row>
    <row r="181" spans="1:24" ht="15.75" customHeight="1">
      <c r="A181" s="386"/>
      <c r="B181" s="386"/>
      <c r="C181" s="621"/>
      <c r="D181" s="621"/>
      <c r="E181" s="621"/>
      <c r="F181" s="621"/>
      <c r="G181" s="621"/>
      <c r="H181" s="621"/>
      <c r="I181" s="621"/>
      <c r="J181" s="621"/>
      <c r="K181" s="621"/>
      <c r="L181" s="621"/>
      <c r="M181" s="621"/>
      <c r="N181" s="621"/>
      <c r="O181" s="656"/>
      <c r="P181" s="656"/>
      <c r="Q181" s="386"/>
      <c r="R181" s="386"/>
      <c r="S181" s="386"/>
      <c r="T181" s="386"/>
      <c r="U181" s="386"/>
      <c r="V181" s="610"/>
      <c r="W181" s="610"/>
      <c r="X181" s="610"/>
    </row>
    <row r="182" spans="1:24" ht="15.75" customHeight="1">
      <c r="A182" s="386"/>
      <c r="B182" s="386"/>
      <c r="C182" s="621"/>
      <c r="D182" s="621"/>
      <c r="E182" s="621"/>
      <c r="F182" s="621"/>
      <c r="G182" s="621"/>
      <c r="H182" s="621"/>
      <c r="I182" s="621"/>
      <c r="J182" s="621"/>
      <c r="K182" s="621"/>
      <c r="L182" s="621"/>
      <c r="M182" s="621"/>
      <c r="N182" s="621"/>
      <c r="O182" s="656"/>
      <c r="P182" s="656"/>
      <c r="Q182" s="386"/>
      <c r="R182" s="386"/>
      <c r="S182" s="386"/>
      <c r="T182" s="386"/>
      <c r="U182" s="386"/>
      <c r="V182" s="610"/>
      <c r="W182" s="610"/>
      <c r="X182" s="610"/>
    </row>
    <row r="183" spans="1:24" ht="15.75" customHeight="1">
      <c r="A183" s="386"/>
      <c r="B183" s="386"/>
      <c r="C183" s="621"/>
      <c r="D183" s="621"/>
      <c r="E183" s="621"/>
      <c r="F183" s="621"/>
      <c r="G183" s="621"/>
      <c r="H183" s="621"/>
      <c r="I183" s="621"/>
      <c r="J183" s="621"/>
      <c r="K183" s="621"/>
      <c r="L183" s="621"/>
      <c r="M183" s="621"/>
      <c r="N183" s="621"/>
      <c r="O183" s="656"/>
      <c r="P183" s="656"/>
      <c r="Q183" s="386"/>
      <c r="R183" s="386"/>
      <c r="S183" s="386"/>
      <c r="T183" s="386"/>
      <c r="U183" s="386"/>
      <c r="V183" s="610"/>
      <c r="W183" s="610"/>
      <c r="X183" s="610"/>
    </row>
    <row r="184" spans="1:24" ht="15.75" customHeight="1">
      <c r="A184" s="386"/>
      <c r="B184" s="386"/>
      <c r="C184" s="621"/>
      <c r="D184" s="621"/>
      <c r="E184" s="621"/>
      <c r="F184" s="621"/>
      <c r="G184" s="621"/>
      <c r="H184" s="621"/>
      <c r="I184" s="621"/>
      <c r="J184" s="621"/>
      <c r="K184" s="621"/>
      <c r="L184" s="621"/>
      <c r="M184" s="621"/>
      <c r="N184" s="621"/>
      <c r="O184" s="656"/>
      <c r="P184" s="656"/>
      <c r="Q184" s="386"/>
      <c r="R184" s="386"/>
      <c r="S184" s="386"/>
      <c r="T184" s="386"/>
      <c r="U184" s="386"/>
      <c r="V184" s="610"/>
      <c r="W184" s="610"/>
      <c r="X184" s="610"/>
    </row>
    <row r="185" spans="1:24" ht="15.75" customHeight="1">
      <c r="A185" s="386"/>
      <c r="B185" s="386"/>
      <c r="C185" s="621"/>
      <c r="D185" s="621"/>
      <c r="E185" s="621"/>
      <c r="F185" s="621"/>
      <c r="G185" s="621"/>
      <c r="H185" s="621"/>
      <c r="I185" s="621"/>
      <c r="J185" s="621"/>
      <c r="K185" s="621"/>
      <c r="L185" s="621"/>
      <c r="M185" s="621"/>
      <c r="N185" s="621"/>
      <c r="O185" s="656"/>
      <c r="P185" s="656"/>
      <c r="Q185" s="386"/>
      <c r="R185" s="386"/>
      <c r="S185" s="386"/>
      <c r="T185" s="386"/>
      <c r="U185" s="386"/>
      <c r="V185" s="610"/>
      <c r="W185" s="610"/>
      <c r="X185" s="610"/>
    </row>
    <row r="186" spans="1:24" ht="15.75" customHeight="1">
      <c r="A186" s="386"/>
      <c r="B186" s="386"/>
      <c r="C186" s="621"/>
      <c r="D186" s="621"/>
      <c r="E186" s="621"/>
      <c r="F186" s="621"/>
      <c r="G186" s="621"/>
      <c r="H186" s="621"/>
      <c r="I186" s="621"/>
      <c r="J186" s="621"/>
      <c r="K186" s="621"/>
      <c r="L186" s="621"/>
      <c r="M186" s="621"/>
      <c r="N186" s="621"/>
      <c r="O186" s="656"/>
      <c r="P186" s="656"/>
      <c r="Q186" s="386"/>
      <c r="R186" s="386"/>
      <c r="S186" s="386"/>
      <c r="T186" s="386"/>
      <c r="U186" s="386"/>
      <c r="V186" s="610"/>
      <c r="W186" s="610"/>
      <c r="X186" s="610"/>
    </row>
    <row r="187" spans="1:24" ht="15.75" customHeight="1">
      <c r="A187" s="386"/>
      <c r="B187" s="386"/>
      <c r="C187" s="621"/>
      <c r="D187" s="621"/>
      <c r="E187" s="621"/>
      <c r="F187" s="621"/>
      <c r="G187" s="621"/>
      <c r="H187" s="621"/>
      <c r="I187" s="621"/>
      <c r="J187" s="621"/>
      <c r="K187" s="621"/>
      <c r="L187" s="621"/>
      <c r="M187" s="621"/>
      <c r="N187" s="621"/>
      <c r="O187" s="656"/>
      <c r="P187" s="656"/>
      <c r="Q187" s="386"/>
      <c r="R187" s="386"/>
      <c r="S187" s="386"/>
      <c r="T187" s="386"/>
      <c r="U187" s="386"/>
      <c r="V187" s="610"/>
      <c r="W187" s="610"/>
      <c r="X187" s="610"/>
    </row>
    <row r="188" spans="1:24" ht="15.75" customHeight="1">
      <c r="A188" s="386"/>
      <c r="B188" s="386"/>
      <c r="C188" s="621"/>
      <c r="D188" s="621"/>
      <c r="E188" s="621"/>
      <c r="F188" s="621"/>
      <c r="G188" s="621"/>
      <c r="H188" s="621"/>
      <c r="I188" s="621"/>
      <c r="J188" s="621"/>
      <c r="K188" s="621"/>
      <c r="L188" s="621"/>
      <c r="M188" s="621"/>
      <c r="N188" s="621"/>
      <c r="O188" s="656"/>
      <c r="P188" s="656"/>
      <c r="Q188" s="386"/>
      <c r="R188" s="386"/>
      <c r="S188" s="386"/>
      <c r="T188" s="386"/>
      <c r="U188" s="386"/>
      <c r="V188" s="610"/>
      <c r="W188" s="610"/>
      <c r="X188" s="610"/>
    </row>
    <row r="189" spans="1:24" ht="15.75" customHeight="1">
      <c r="A189" s="386"/>
      <c r="B189" s="386"/>
      <c r="C189" s="621"/>
      <c r="D189" s="621"/>
      <c r="E189" s="621"/>
      <c r="F189" s="621"/>
      <c r="G189" s="621"/>
      <c r="H189" s="621"/>
      <c r="I189" s="621"/>
      <c r="J189" s="621"/>
      <c r="K189" s="621"/>
      <c r="L189" s="621"/>
      <c r="M189" s="621"/>
      <c r="N189" s="621"/>
      <c r="O189" s="656"/>
      <c r="P189" s="656"/>
      <c r="Q189" s="386"/>
      <c r="R189" s="386"/>
      <c r="S189" s="386"/>
      <c r="T189" s="386"/>
      <c r="U189" s="386"/>
      <c r="V189" s="610"/>
      <c r="W189" s="610"/>
      <c r="X189" s="610"/>
    </row>
    <row r="190" spans="1:24" ht="15.75" customHeight="1">
      <c r="A190" s="386"/>
      <c r="B190" s="386"/>
      <c r="C190" s="621"/>
      <c r="D190" s="621"/>
      <c r="E190" s="621"/>
      <c r="F190" s="621"/>
      <c r="G190" s="621"/>
      <c r="H190" s="621"/>
      <c r="I190" s="621"/>
      <c r="J190" s="621"/>
      <c r="K190" s="621"/>
      <c r="L190" s="621"/>
      <c r="M190" s="621"/>
      <c r="N190" s="621"/>
      <c r="O190" s="656"/>
      <c r="P190" s="656"/>
      <c r="Q190" s="386"/>
      <c r="R190" s="386"/>
      <c r="S190" s="386"/>
      <c r="T190" s="386"/>
      <c r="U190" s="386"/>
      <c r="V190" s="610"/>
      <c r="W190" s="610"/>
      <c r="X190" s="610"/>
    </row>
    <row r="191" spans="1:24" ht="15.75" customHeight="1">
      <c r="A191" s="386"/>
      <c r="B191" s="386"/>
      <c r="C191" s="621"/>
      <c r="D191" s="621"/>
      <c r="E191" s="621"/>
      <c r="F191" s="621"/>
      <c r="G191" s="621"/>
      <c r="H191" s="621"/>
      <c r="I191" s="621"/>
      <c r="J191" s="621"/>
      <c r="K191" s="621"/>
      <c r="L191" s="621"/>
      <c r="M191" s="621"/>
      <c r="N191" s="621"/>
      <c r="O191" s="656"/>
      <c r="P191" s="656"/>
      <c r="Q191" s="386"/>
      <c r="R191" s="386"/>
      <c r="S191" s="386"/>
      <c r="T191" s="386"/>
      <c r="U191" s="386"/>
      <c r="V191" s="610"/>
      <c r="W191" s="610"/>
      <c r="X191" s="610"/>
    </row>
    <row r="192" spans="1:24" ht="15.75" customHeight="1">
      <c r="A192" s="386"/>
      <c r="B192" s="386"/>
      <c r="C192" s="621"/>
      <c r="D192" s="621"/>
      <c r="E192" s="621"/>
      <c r="F192" s="621"/>
      <c r="G192" s="621"/>
      <c r="H192" s="621"/>
      <c r="I192" s="621"/>
      <c r="J192" s="621"/>
      <c r="K192" s="621"/>
      <c r="L192" s="621"/>
      <c r="M192" s="621"/>
      <c r="N192" s="621"/>
      <c r="O192" s="656"/>
      <c r="P192" s="656"/>
      <c r="Q192" s="386"/>
      <c r="R192" s="386"/>
      <c r="S192" s="386"/>
      <c r="T192" s="386"/>
      <c r="U192" s="386"/>
      <c r="V192" s="610"/>
      <c r="W192" s="610"/>
      <c r="X192" s="610"/>
    </row>
    <row r="193" spans="1:24" ht="15.75" customHeight="1">
      <c r="A193" s="386"/>
      <c r="B193" s="386"/>
      <c r="C193" s="621"/>
      <c r="D193" s="621"/>
      <c r="E193" s="621"/>
      <c r="F193" s="621"/>
      <c r="G193" s="621"/>
      <c r="H193" s="621"/>
      <c r="I193" s="621"/>
      <c r="J193" s="621"/>
      <c r="K193" s="621"/>
      <c r="L193" s="621"/>
      <c r="M193" s="621"/>
      <c r="N193" s="621"/>
      <c r="O193" s="656"/>
      <c r="P193" s="656"/>
      <c r="Q193" s="386"/>
      <c r="R193" s="386"/>
      <c r="S193" s="386"/>
      <c r="T193" s="386"/>
      <c r="U193" s="386"/>
      <c r="V193" s="610"/>
      <c r="W193" s="610"/>
      <c r="X193" s="610"/>
    </row>
    <row r="194" spans="1:24" ht="15.75" customHeight="1">
      <c r="A194" s="386"/>
      <c r="B194" s="386"/>
      <c r="C194" s="621"/>
      <c r="D194" s="621"/>
      <c r="E194" s="621"/>
      <c r="F194" s="621"/>
      <c r="G194" s="621"/>
      <c r="H194" s="621"/>
      <c r="I194" s="621"/>
      <c r="J194" s="621"/>
      <c r="K194" s="621"/>
      <c r="L194" s="621"/>
      <c r="M194" s="621"/>
      <c r="N194" s="621"/>
      <c r="O194" s="656"/>
      <c r="P194" s="656"/>
      <c r="Q194" s="386"/>
      <c r="R194" s="386"/>
      <c r="S194" s="386"/>
      <c r="T194" s="386"/>
      <c r="U194" s="386"/>
      <c r="V194" s="610"/>
      <c r="W194" s="610"/>
      <c r="X194" s="610"/>
    </row>
    <row r="195" spans="1:24" ht="15.75" customHeight="1">
      <c r="A195" s="386"/>
      <c r="B195" s="386"/>
      <c r="C195" s="621"/>
      <c r="D195" s="621"/>
      <c r="E195" s="621"/>
      <c r="F195" s="621"/>
      <c r="G195" s="621"/>
      <c r="H195" s="621"/>
      <c r="I195" s="621"/>
      <c r="J195" s="621"/>
      <c r="K195" s="621"/>
      <c r="L195" s="621"/>
      <c r="M195" s="621"/>
      <c r="N195" s="621"/>
      <c r="O195" s="656"/>
      <c r="P195" s="656"/>
      <c r="Q195" s="386"/>
      <c r="R195" s="386"/>
      <c r="S195" s="386"/>
      <c r="T195" s="386"/>
      <c r="U195" s="386"/>
      <c r="V195" s="610"/>
      <c r="W195" s="610"/>
      <c r="X195" s="610"/>
    </row>
    <row r="196" spans="1:24" ht="15.75" customHeight="1">
      <c r="A196" s="386"/>
      <c r="B196" s="386"/>
      <c r="C196" s="621"/>
      <c r="D196" s="621"/>
      <c r="E196" s="621"/>
      <c r="F196" s="621"/>
      <c r="G196" s="621"/>
      <c r="H196" s="621"/>
      <c r="I196" s="621"/>
      <c r="J196" s="621"/>
      <c r="K196" s="621"/>
      <c r="L196" s="621"/>
      <c r="M196" s="621"/>
      <c r="N196" s="621"/>
      <c r="O196" s="656"/>
      <c r="P196" s="656"/>
      <c r="Q196" s="386"/>
      <c r="R196" s="386"/>
      <c r="S196" s="386"/>
      <c r="T196" s="386"/>
      <c r="U196" s="386"/>
      <c r="V196" s="610"/>
      <c r="W196" s="610"/>
      <c r="X196" s="610"/>
    </row>
    <row r="197" spans="1:24" ht="15.75" customHeight="1">
      <c r="A197" s="386"/>
      <c r="B197" s="386"/>
      <c r="C197" s="621"/>
      <c r="D197" s="621"/>
      <c r="E197" s="621"/>
      <c r="F197" s="621"/>
      <c r="G197" s="621"/>
      <c r="H197" s="621"/>
      <c r="I197" s="621"/>
      <c r="J197" s="621"/>
      <c r="K197" s="621"/>
      <c r="L197" s="621"/>
      <c r="M197" s="621"/>
      <c r="N197" s="621"/>
      <c r="O197" s="656"/>
      <c r="P197" s="656"/>
      <c r="Q197" s="386"/>
      <c r="R197" s="386"/>
      <c r="S197" s="386"/>
      <c r="T197" s="386"/>
      <c r="U197" s="386"/>
      <c r="V197" s="610"/>
      <c r="W197" s="610"/>
      <c r="X197" s="610"/>
    </row>
    <row r="198" spans="1:24" ht="15.75" customHeight="1">
      <c r="A198" s="386"/>
      <c r="B198" s="386"/>
      <c r="C198" s="621"/>
      <c r="D198" s="621"/>
      <c r="E198" s="621"/>
      <c r="F198" s="621"/>
      <c r="G198" s="621"/>
      <c r="H198" s="621"/>
      <c r="I198" s="621"/>
      <c r="J198" s="621"/>
      <c r="K198" s="621"/>
      <c r="L198" s="621"/>
      <c r="M198" s="621"/>
      <c r="N198" s="621"/>
      <c r="O198" s="656"/>
      <c r="P198" s="656"/>
      <c r="Q198" s="386"/>
      <c r="R198" s="386"/>
      <c r="S198" s="386"/>
      <c r="T198" s="386"/>
      <c r="U198" s="386"/>
      <c r="V198" s="610"/>
      <c r="W198" s="610"/>
      <c r="X198" s="610"/>
    </row>
    <row r="199" spans="1:24" ht="15.75" customHeight="1">
      <c r="A199" s="386"/>
      <c r="B199" s="386"/>
      <c r="C199" s="621"/>
      <c r="D199" s="621"/>
      <c r="E199" s="621"/>
      <c r="F199" s="621"/>
      <c r="G199" s="621"/>
      <c r="H199" s="621"/>
      <c r="I199" s="621"/>
      <c r="J199" s="621"/>
      <c r="K199" s="621"/>
      <c r="L199" s="621"/>
      <c r="M199" s="621"/>
      <c r="N199" s="621"/>
      <c r="O199" s="656"/>
      <c r="P199" s="656"/>
      <c r="Q199" s="386"/>
      <c r="R199" s="386"/>
      <c r="S199" s="386"/>
      <c r="T199" s="386"/>
      <c r="U199" s="386"/>
      <c r="V199" s="610"/>
      <c r="W199" s="610"/>
      <c r="X199" s="610"/>
    </row>
    <row r="200" spans="1:24" ht="15.75" customHeight="1">
      <c r="A200" s="386"/>
      <c r="B200" s="386"/>
      <c r="C200" s="621"/>
      <c r="D200" s="621"/>
      <c r="E200" s="621"/>
      <c r="F200" s="621"/>
      <c r="G200" s="621"/>
      <c r="H200" s="621"/>
      <c r="I200" s="621"/>
      <c r="J200" s="621"/>
      <c r="K200" s="621"/>
      <c r="L200" s="621"/>
      <c r="M200" s="621"/>
      <c r="N200" s="621"/>
      <c r="O200" s="656"/>
      <c r="P200" s="656"/>
      <c r="Q200" s="386"/>
      <c r="R200" s="386"/>
      <c r="S200" s="386"/>
      <c r="T200" s="386"/>
      <c r="U200" s="386"/>
      <c r="V200" s="610"/>
      <c r="W200" s="610"/>
      <c r="X200" s="610"/>
    </row>
    <row r="201" spans="1:24" ht="15.75" customHeight="1">
      <c r="A201" s="386"/>
      <c r="B201" s="386"/>
      <c r="C201" s="621"/>
      <c r="D201" s="621"/>
      <c r="E201" s="621"/>
      <c r="F201" s="621"/>
      <c r="G201" s="621"/>
      <c r="H201" s="621"/>
      <c r="I201" s="621"/>
      <c r="J201" s="621"/>
      <c r="K201" s="621"/>
      <c r="L201" s="621"/>
      <c r="M201" s="621"/>
      <c r="N201" s="621"/>
      <c r="O201" s="656"/>
      <c r="P201" s="656"/>
      <c r="Q201" s="386"/>
      <c r="R201" s="386"/>
      <c r="S201" s="386"/>
      <c r="T201" s="386"/>
      <c r="U201" s="386"/>
      <c r="V201" s="610"/>
      <c r="W201" s="610"/>
      <c r="X201" s="610"/>
    </row>
    <row r="202" spans="1:24" ht="15.75" customHeight="1">
      <c r="A202" s="386"/>
      <c r="B202" s="386"/>
      <c r="C202" s="621"/>
      <c r="D202" s="621"/>
      <c r="E202" s="621"/>
      <c r="F202" s="621"/>
      <c r="G202" s="621"/>
      <c r="H202" s="621"/>
      <c r="I202" s="621"/>
      <c r="J202" s="621"/>
      <c r="K202" s="621"/>
      <c r="L202" s="621"/>
      <c r="M202" s="621"/>
      <c r="N202" s="621"/>
      <c r="O202" s="656"/>
      <c r="P202" s="656"/>
      <c r="Q202" s="386"/>
      <c r="R202" s="386"/>
      <c r="S202" s="386"/>
      <c r="T202" s="386"/>
      <c r="U202" s="386"/>
      <c r="V202" s="610"/>
      <c r="W202" s="610"/>
      <c r="X202" s="610"/>
    </row>
    <row r="203" spans="1:24" ht="15.75" customHeight="1">
      <c r="A203" s="386"/>
      <c r="B203" s="386"/>
      <c r="C203" s="621"/>
      <c r="D203" s="621"/>
      <c r="E203" s="621"/>
      <c r="F203" s="621"/>
      <c r="G203" s="621"/>
      <c r="H203" s="621"/>
      <c r="I203" s="621"/>
      <c r="J203" s="621"/>
      <c r="K203" s="621"/>
      <c r="L203" s="621"/>
      <c r="M203" s="621"/>
      <c r="N203" s="621"/>
      <c r="O203" s="656"/>
      <c r="P203" s="656"/>
      <c r="Q203" s="386"/>
      <c r="R203" s="386"/>
      <c r="S203" s="386"/>
      <c r="T203" s="386"/>
      <c r="U203" s="386"/>
      <c r="V203" s="610"/>
      <c r="W203" s="610"/>
      <c r="X203" s="610"/>
    </row>
    <row r="204" spans="1:24" ht="15.75" customHeight="1">
      <c r="A204" s="386"/>
      <c r="B204" s="386"/>
      <c r="C204" s="621"/>
      <c r="D204" s="621"/>
      <c r="E204" s="621"/>
      <c r="F204" s="621"/>
      <c r="G204" s="621"/>
      <c r="H204" s="621"/>
      <c r="I204" s="621"/>
      <c r="J204" s="621"/>
      <c r="K204" s="621"/>
      <c r="L204" s="621"/>
      <c r="M204" s="621"/>
      <c r="N204" s="621"/>
      <c r="O204" s="656"/>
      <c r="P204" s="656"/>
      <c r="Q204" s="386"/>
      <c r="R204" s="386"/>
      <c r="S204" s="386"/>
      <c r="T204" s="386"/>
      <c r="U204" s="386"/>
      <c r="V204" s="610"/>
      <c r="W204" s="610"/>
      <c r="X204" s="610"/>
    </row>
    <row r="205" spans="1:24" ht="15.75" customHeight="1">
      <c r="A205" s="386"/>
      <c r="B205" s="386"/>
      <c r="C205" s="621"/>
      <c r="D205" s="621"/>
      <c r="E205" s="621"/>
      <c r="F205" s="621"/>
      <c r="G205" s="621"/>
      <c r="H205" s="621"/>
      <c r="I205" s="621"/>
      <c r="J205" s="621"/>
      <c r="K205" s="621"/>
      <c r="L205" s="621"/>
      <c r="M205" s="621"/>
      <c r="N205" s="621"/>
      <c r="O205" s="656"/>
      <c r="P205" s="656"/>
      <c r="Q205" s="386"/>
      <c r="R205" s="386"/>
      <c r="S205" s="386"/>
      <c r="T205" s="386"/>
      <c r="U205" s="386"/>
      <c r="V205" s="610"/>
      <c r="W205" s="610"/>
      <c r="X205" s="610"/>
    </row>
    <row r="206" spans="1:24" ht="15.75" customHeight="1">
      <c r="A206" s="386"/>
      <c r="B206" s="386"/>
      <c r="C206" s="621"/>
      <c r="D206" s="621"/>
      <c r="E206" s="621"/>
      <c r="F206" s="621"/>
      <c r="G206" s="621"/>
      <c r="H206" s="621"/>
      <c r="I206" s="621"/>
      <c r="J206" s="621"/>
      <c r="K206" s="621"/>
      <c r="L206" s="621"/>
      <c r="M206" s="621"/>
      <c r="N206" s="621"/>
      <c r="O206" s="656"/>
      <c r="P206" s="656"/>
      <c r="Q206" s="386"/>
      <c r="R206" s="386"/>
      <c r="S206" s="386"/>
      <c r="T206" s="386"/>
      <c r="U206" s="386"/>
      <c r="V206" s="610"/>
      <c r="W206" s="610"/>
      <c r="X206" s="610"/>
    </row>
    <row r="207" spans="1:24" ht="15.75" customHeight="1">
      <c r="A207" s="386"/>
      <c r="B207" s="386"/>
      <c r="C207" s="621"/>
      <c r="D207" s="621"/>
      <c r="E207" s="621"/>
      <c r="F207" s="621"/>
      <c r="G207" s="621"/>
      <c r="H207" s="621"/>
      <c r="I207" s="621"/>
      <c r="J207" s="621"/>
      <c r="K207" s="621"/>
      <c r="L207" s="621"/>
      <c r="M207" s="621"/>
      <c r="N207" s="621"/>
      <c r="O207" s="656"/>
      <c r="P207" s="656"/>
      <c r="Q207" s="386"/>
      <c r="R207" s="386"/>
      <c r="S207" s="386"/>
      <c r="T207" s="386"/>
      <c r="U207" s="386"/>
      <c r="V207" s="610"/>
      <c r="W207" s="610"/>
      <c r="X207" s="610"/>
    </row>
    <row r="208" spans="1:24" ht="15.75" customHeight="1">
      <c r="A208" s="386"/>
      <c r="B208" s="386"/>
      <c r="C208" s="621"/>
      <c r="D208" s="621"/>
      <c r="E208" s="621"/>
      <c r="F208" s="621"/>
      <c r="G208" s="621"/>
      <c r="H208" s="621"/>
      <c r="I208" s="621"/>
      <c r="J208" s="621"/>
      <c r="K208" s="621"/>
      <c r="L208" s="621"/>
      <c r="M208" s="621"/>
      <c r="N208" s="621"/>
      <c r="O208" s="656"/>
      <c r="P208" s="656"/>
      <c r="Q208" s="386"/>
      <c r="R208" s="386"/>
      <c r="S208" s="386"/>
      <c r="T208" s="386"/>
      <c r="U208" s="386"/>
      <c r="V208" s="610"/>
      <c r="W208" s="610"/>
      <c r="X208" s="610"/>
    </row>
    <row r="209" spans="1:24" ht="15.75" customHeight="1">
      <c r="A209" s="386"/>
      <c r="B209" s="386"/>
      <c r="C209" s="621"/>
      <c r="D209" s="621"/>
      <c r="E209" s="621"/>
      <c r="F209" s="621"/>
      <c r="G209" s="621"/>
      <c r="H209" s="621"/>
      <c r="I209" s="621"/>
      <c r="J209" s="621"/>
      <c r="K209" s="621"/>
      <c r="L209" s="621"/>
      <c r="M209" s="621"/>
      <c r="N209" s="621"/>
      <c r="O209" s="656"/>
      <c r="P209" s="656"/>
      <c r="Q209" s="386"/>
      <c r="R209" s="386"/>
      <c r="S209" s="386"/>
      <c r="T209" s="386"/>
      <c r="U209" s="386"/>
      <c r="V209" s="610"/>
      <c r="W209" s="610"/>
      <c r="X209" s="610"/>
    </row>
    <row r="210" spans="1:24" ht="15.75" customHeight="1">
      <c r="A210" s="386"/>
      <c r="B210" s="386"/>
      <c r="C210" s="621"/>
      <c r="D210" s="621"/>
      <c r="E210" s="621"/>
      <c r="F210" s="621"/>
      <c r="G210" s="621"/>
      <c r="H210" s="621"/>
      <c r="I210" s="621"/>
      <c r="J210" s="621"/>
      <c r="K210" s="621"/>
      <c r="L210" s="621"/>
      <c r="M210" s="621"/>
      <c r="N210" s="621"/>
      <c r="O210" s="656"/>
      <c r="P210" s="656"/>
      <c r="Q210" s="386"/>
      <c r="R210" s="386"/>
      <c r="S210" s="386"/>
      <c r="T210" s="386"/>
      <c r="U210" s="386"/>
      <c r="V210" s="610"/>
      <c r="W210" s="610"/>
      <c r="X210" s="610"/>
    </row>
    <row r="211" spans="1:24" ht="15.75" customHeight="1">
      <c r="A211" s="386"/>
      <c r="B211" s="386"/>
      <c r="C211" s="621"/>
      <c r="D211" s="621"/>
      <c r="E211" s="621"/>
      <c r="F211" s="621"/>
      <c r="G211" s="621"/>
      <c r="H211" s="621"/>
      <c r="I211" s="621"/>
      <c r="J211" s="621"/>
      <c r="K211" s="621"/>
      <c r="L211" s="621"/>
      <c r="M211" s="621"/>
      <c r="N211" s="621"/>
      <c r="O211" s="656"/>
      <c r="P211" s="656"/>
      <c r="Q211" s="386"/>
      <c r="R211" s="386"/>
      <c r="S211" s="386"/>
      <c r="T211" s="386"/>
      <c r="U211" s="386"/>
      <c r="V211" s="610"/>
      <c r="W211" s="610"/>
      <c r="X211" s="610"/>
    </row>
    <row r="212" spans="1:24" ht="15.75" customHeight="1">
      <c r="A212" s="386"/>
      <c r="B212" s="386"/>
      <c r="C212" s="621"/>
      <c r="D212" s="621"/>
      <c r="E212" s="621"/>
      <c r="F212" s="621"/>
      <c r="G212" s="621"/>
      <c r="H212" s="621"/>
      <c r="I212" s="621"/>
      <c r="J212" s="621"/>
      <c r="K212" s="621"/>
      <c r="L212" s="621"/>
      <c r="M212" s="621"/>
      <c r="N212" s="621"/>
      <c r="O212" s="656"/>
      <c r="P212" s="656"/>
      <c r="Q212" s="386"/>
      <c r="R212" s="386"/>
      <c r="S212" s="386"/>
      <c r="T212" s="386"/>
      <c r="U212" s="386"/>
      <c r="V212" s="610"/>
      <c r="W212" s="610"/>
      <c r="X212" s="610"/>
    </row>
    <row r="213" spans="1:24" ht="15.75" customHeight="1">
      <c r="A213" s="386"/>
      <c r="B213" s="386"/>
      <c r="C213" s="621"/>
      <c r="D213" s="621"/>
      <c r="E213" s="621"/>
      <c r="F213" s="621"/>
      <c r="G213" s="621"/>
      <c r="H213" s="621"/>
      <c r="I213" s="621"/>
      <c r="J213" s="621"/>
      <c r="K213" s="621"/>
      <c r="L213" s="621"/>
      <c r="M213" s="621"/>
      <c r="N213" s="621"/>
      <c r="O213" s="656"/>
      <c r="P213" s="656"/>
      <c r="Q213" s="386"/>
      <c r="R213" s="386"/>
      <c r="S213" s="386"/>
      <c r="T213" s="386"/>
      <c r="U213" s="386"/>
      <c r="V213" s="610"/>
      <c r="W213" s="610"/>
      <c r="X213" s="610"/>
    </row>
    <row r="214" spans="1:24" ht="15.75" customHeight="1">
      <c r="A214" s="386"/>
      <c r="B214" s="386"/>
      <c r="C214" s="621"/>
      <c r="D214" s="621"/>
      <c r="E214" s="621"/>
      <c r="F214" s="621"/>
      <c r="G214" s="621"/>
      <c r="H214" s="621"/>
      <c r="I214" s="621"/>
      <c r="J214" s="621"/>
      <c r="K214" s="621"/>
      <c r="L214" s="621"/>
      <c r="M214" s="621"/>
      <c r="N214" s="621"/>
      <c r="O214" s="656"/>
      <c r="P214" s="656"/>
      <c r="Q214" s="386"/>
      <c r="R214" s="386"/>
      <c r="S214" s="386"/>
      <c r="T214" s="386"/>
      <c r="U214" s="386"/>
      <c r="V214" s="610"/>
      <c r="W214" s="610"/>
      <c r="X214" s="610"/>
    </row>
    <row r="215" spans="1:24" ht="15.75" customHeight="1">
      <c r="A215" s="386"/>
      <c r="B215" s="386"/>
      <c r="C215" s="621"/>
      <c r="D215" s="621"/>
      <c r="E215" s="621"/>
      <c r="F215" s="621"/>
      <c r="G215" s="621"/>
      <c r="H215" s="621"/>
      <c r="I215" s="621"/>
      <c r="J215" s="621"/>
      <c r="K215" s="621"/>
      <c r="L215" s="621"/>
      <c r="M215" s="621"/>
      <c r="N215" s="621"/>
      <c r="O215" s="656"/>
      <c r="P215" s="656"/>
      <c r="Q215" s="386"/>
      <c r="R215" s="386"/>
      <c r="S215" s="386"/>
      <c r="T215" s="386"/>
      <c r="U215" s="386"/>
      <c r="V215" s="610"/>
      <c r="W215" s="610"/>
      <c r="X215" s="610"/>
    </row>
    <row r="216" spans="1:24" ht="15.75" customHeight="1">
      <c r="A216" s="386"/>
      <c r="B216" s="386"/>
      <c r="C216" s="621"/>
      <c r="D216" s="621"/>
      <c r="E216" s="621"/>
      <c r="F216" s="621"/>
      <c r="G216" s="621"/>
      <c r="H216" s="621"/>
      <c r="I216" s="621"/>
      <c r="J216" s="621"/>
      <c r="K216" s="621"/>
      <c r="L216" s="621"/>
      <c r="M216" s="621"/>
      <c r="N216" s="621"/>
      <c r="O216" s="656"/>
      <c r="P216" s="656"/>
      <c r="Q216" s="386"/>
      <c r="R216" s="386"/>
      <c r="S216" s="386"/>
      <c r="T216" s="386"/>
      <c r="U216" s="386"/>
      <c r="V216" s="610"/>
      <c r="W216" s="610"/>
      <c r="X216" s="610"/>
    </row>
    <row r="217" spans="1:24" ht="15.75" customHeight="1">
      <c r="A217" s="386"/>
      <c r="B217" s="386"/>
      <c r="C217" s="621"/>
      <c r="D217" s="621"/>
      <c r="E217" s="621"/>
      <c r="F217" s="621"/>
      <c r="G217" s="621"/>
      <c r="H217" s="621"/>
      <c r="I217" s="621"/>
      <c r="J217" s="621"/>
      <c r="K217" s="621"/>
      <c r="L217" s="621"/>
      <c r="M217" s="621"/>
      <c r="N217" s="621"/>
      <c r="O217" s="656"/>
      <c r="P217" s="656"/>
      <c r="Q217" s="386"/>
      <c r="R217" s="386"/>
      <c r="S217" s="386"/>
      <c r="T217" s="386"/>
      <c r="U217" s="386"/>
      <c r="V217" s="610"/>
      <c r="W217" s="610"/>
      <c r="X217" s="610"/>
    </row>
    <row r="218" spans="1:24" ht="15.75" customHeight="1">
      <c r="A218" s="386"/>
      <c r="B218" s="386"/>
      <c r="C218" s="621"/>
      <c r="D218" s="621"/>
      <c r="E218" s="621"/>
      <c r="F218" s="621"/>
      <c r="G218" s="621"/>
      <c r="H218" s="621"/>
      <c r="I218" s="621"/>
      <c r="J218" s="621"/>
      <c r="K218" s="621"/>
      <c r="L218" s="621"/>
      <c r="M218" s="621"/>
      <c r="N218" s="621"/>
      <c r="O218" s="656"/>
      <c r="P218" s="656"/>
      <c r="Q218" s="386"/>
      <c r="R218" s="386"/>
      <c r="S218" s="386"/>
      <c r="T218" s="386"/>
      <c r="U218" s="386"/>
      <c r="V218" s="610"/>
      <c r="W218" s="610"/>
      <c r="X218" s="610"/>
    </row>
    <row r="219" spans="1:24" ht="15.75" customHeight="1">
      <c r="A219" s="386"/>
      <c r="B219" s="386"/>
      <c r="C219" s="621"/>
      <c r="D219" s="621"/>
      <c r="E219" s="621"/>
      <c r="F219" s="621"/>
      <c r="G219" s="621"/>
      <c r="H219" s="621"/>
      <c r="I219" s="621"/>
      <c r="J219" s="621"/>
      <c r="K219" s="621"/>
      <c r="L219" s="621"/>
      <c r="M219" s="621"/>
      <c r="N219" s="621"/>
      <c r="O219" s="656"/>
      <c r="P219" s="656"/>
      <c r="Q219" s="386"/>
      <c r="R219" s="386"/>
      <c r="S219" s="386"/>
      <c r="T219" s="386"/>
      <c r="U219" s="386"/>
      <c r="V219" s="610"/>
      <c r="W219" s="610"/>
      <c r="X219" s="610"/>
    </row>
    <row r="220" spans="1:24" ht="15.75" customHeight="1">
      <c r="A220" s="386"/>
      <c r="B220" s="386"/>
      <c r="C220" s="621"/>
      <c r="D220" s="621"/>
      <c r="E220" s="621"/>
      <c r="F220" s="621"/>
      <c r="G220" s="621"/>
      <c r="H220" s="621"/>
      <c r="I220" s="621"/>
      <c r="J220" s="621"/>
      <c r="K220" s="621"/>
      <c r="L220" s="621"/>
      <c r="M220" s="621"/>
      <c r="N220" s="621"/>
      <c r="O220" s="656"/>
      <c r="P220" s="656"/>
      <c r="Q220" s="386"/>
      <c r="R220" s="386"/>
      <c r="S220" s="386"/>
      <c r="T220" s="386"/>
      <c r="U220" s="386"/>
      <c r="V220" s="610"/>
      <c r="W220" s="610"/>
      <c r="X220" s="610"/>
    </row>
    <row r="221" spans="1:24" ht="15.75" customHeight="1">
      <c r="A221" s="386"/>
      <c r="B221" s="386"/>
      <c r="C221" s="621"/>
      <c r="D221" s="621"/>
      <c r="E221" s="621"/>
      <c r="F221" s="621"/>
      <c r="G221" s="621"/>
      <c r="H221" s="621"/>
      <c r="I221" s="621"/>
      <c r="J221" s="621"/>
      <c r="K221" s="621"/>
      <c r="L221" s="621"/>
      <c r="M221" s="621"/>
      <c r="N221" s="621"/>
      <c r="O221" s="656"/>
      <c r="P221" s="656"/>
      <c r="Q221" s="386"/>
      <c r="R221" s="386"/>
      <c r="S221" s="386"/>
      <c r="T221" s="386"/>
      <c r="U221" s="386"/>
      <c r="V221" s="610"/>
      <c r="W221" s="610"/>
      <c r="X221" s="610"/>
    </row>
    <row r="222" spans="1:24" ht="15.75" customHeight="1">
      <c r="A222" s="386"/>
      <c r="B222" s="386"/>
      <c r="C222" s="621"/>
      <c r="D222" s="621"/>
      <c r="E222" s="621"/>
      <c r="F222" s="621"/>
      <c r="G222" s="621"/>
      <c r="H222" s="621"/>
      <c r="I222" s="621"/>
      <c r="J222" s="621"/>
      <c r="K222" s="621"/>
      <c r="L222" s="621"/>
      <c r="M222" s="621"/>
      <c r="N222" s="621"/>
      <c r="O222" s="656"/>
      <c r="P222" s="656"/>
      <c r="Q222" s="386"/>
      <c r="R222" s="386"/>
      <c r="S222" s="386"/>
      <c r="T222" s="386"/>
      <c r="U222" s="386"/>
      <c r="V222" s="610"/>
      <c r="W222" s="610"/>
      <c r="X222" s="610"/>
    </row>
    <row r="223" spans="1:24" ht="15.75" customHeight="1">
      <c r="A223" s="386"/>
      <c r="B223" s="386"/>
      <c r="C223" s="621"/>
      <c r="D223" s="621"/>
      <c r="E223" s="621"/>
      <c r="F223" s="621"/>
      <c r="G223" s="621"/>
      <c r="H223" s="621"/>
      <c r="I223" s="621"/>
      <c r="J223" s="621"/>
      <c r="K223" s="621"/>
      <c r="L223" s="621"/>
      <c r="M223" s="621"/>
      <c r="N223" s="621"/>
      <c r="O223" s="656"/>
      <c r="P223" s="656"/>
      <c r="Q223" s="386"/>
      <c r="R223" s="386"/>
      <c r="S223" s="386"/>
      <c r="T223" s="386"/>
      <c r="U223" s="386"/>
      <c r="V223" s="610"/>
      <c r="W223" s="610"/>
      <c r="X223" s="610"/>
    </row>
    <row r="224" spans="1:24" ht="15.75" customHeight="1">
      <c r="A224" s="386"/>
      <c r="B224" s="386"/>
      <c r="C224" s="621"/>
      <c r="D224" s="621"/>
      <c r="E224" s="621"/>
      <c r="F224" s="621"/>
      <c r="G224" s="621"/>
      <c r="H224" s="621"/>
      <c r="I224" s="621"/>
      <c r="J224" s="621"/>
      <c r="K224" s="621"/>
      <c r="L224" s="621"/>
      <c r="M224" s="621"/>
      <c r="N224" s="621"/>
      <c r="O224" s="656"/>
      <c r="P224" s="656"/>
      <c r="Q224" s="386"/>
      <c r="R224" s="386"/>
      <c r="S224" s="386"/>
      <c r="T224" s="386"/>
      <c r="U224" s="386"/>
      <c r="V224" s="610"/>
      <c r="W224" s="610"/>
      <c r="X224" s="610"/>
    </row>
    <row r="225" spans="1:24" ht="15.75" customHeight="1">
      <c r="A225" s="386"/>
      <c r="B225" s="386"/>
      <c r="C225" s="621"/>
      <c r="D225" s="621"/>
      <c r="E225" s="621"/>
      <c r="F225" s="621"/>
      <c r="G225" s="621"/>
      <c r="H225" s="621"/>
      <c r="I225" s="621"/>
      <c r="J225" s="621"/>
      <c r="K225" s="621"/>
      <c r="L225" s="621"/>
      <c r="M225" s="621"/>
      <c r="N225" s="621"/>
      <c r="O225" s="656"/>
      <c r="P225" s="656"/>
      <c r="Q225" s="386"/>
      <c r="R225" s="386"/>
      <c r="S225" s="386"/>
      <c r="T225" s="386"/>
      <c r="U225" s="386"/>
      <c r="V225" s="610"/>
      <c r="W225" s="610"/>
      <c r="X225" s="610"/>
    </row>
    <row r="226" spans="1:24" ht="15.75" customHeight="1">
      <c r="A226" s="386"/>
      <c r="B226" s="386"/>
      <c r="C226" s="621"/>
      <c r="D226" s="621"/>
      <c r="E226" s="621"/>
      <c r="F226" s="621"/>
      <c r="G226" s="621"/>
      <c r="H226" s="621"/>
      <c r="I226" s="621"/>
      <c r="J226" s="621"/>
      <c r="K226" s="621"/>
      <c r="L226" s="621"/>
      <c r="M226" s="621"/>
      <c r="N226" s="621"/>
      <c r="O226" s="656"/>
      <c r="P226" s="656"/>
      <c r="Q226" s="386"/>
      <c r="R226" s="386"/>
      <c r="S226" s="386"/>
      <c r="T226" s="386"/>
      <c r="U226" s="386"/>
      <c r="V226" s="610"/>
      <c r="W226" s="610"/>
      <c r="X226" s="610"/>
    </row>
    <row r="227" spans="1:24" ht="15.75" customHeight="1">
      <c r="A227" s="386"/>
      <c r="B227" s="386"/>
      <c r="C227" s="621"/>
      <c r="D227" s="621"/>
      <c r="E227" s="621"/>
      <c r="F227" s="621"/>
      <c r="G227" s="621"/>
      <c r="H227" s="621"/>
      <c r="I227" s="621"/>
      <c r="J227" s="621"/>
      <c r="K227" s="621"/>
      <c r="L227" s="621"/>
      <c r="M227" s="621"/>
      <c r="N227" s="621"/>
      <c r="O227" s="656"/>
      <c r="P227" s="656"/>
      <c r="Q227" s="386"/>
      <c r="R227" s="386"/>
      <c r="S227" s="386"/>
      <c r="T227" s="386"/>
      <c r="U227" s="386"/>
      <c r="V227" s="610"/>
      <c r="W227" s="610"/>
      <c r="X227" s="610"/>
    </row>
    <row r="228" spans="1:24" ht="15.75" customHeight="1">
      <c r="A228" s="386"/>
      <c r="B228" s="386"/>
      <c r="C228" s="621"/>
      <c r="D228" s="621"/>
      <c r="E228" s="621"/>
      <c r="F228" s="621"/>
      <c r="G228" s="621"/>
      <c r="H228" s="621"/>
      <c r="I228" s="621"/>
      <c r="J228" s="621"/>
      <c r="K228" s="621"/>
      <c r="L228" s="621"/>
      <c r="M228" s="621"/>
      <c r="N228" s="621"/>
      <c r="O228" s="656"/>
      <c r="P228" s="656"/>
      <c r="Q228" s="386"/>
      <c r="R228" s="386"/>
      <c r="S228" s="386"/>
      <c r="T228" s="386"/>
      <c r="U228" s="386"/>
      <c r="V228" s="610"/>
      <c r="W228" s="610"/>
      <c r="X228" s="610"/>
    </row>
    <row r="229" spans="1:24" ht="15.75" customHeight="1">
      <c r="A229" s="386"/>
      <c r="B229" s="386"/>
      <c r="C229" s="621"/>
      <c r="D229" s="621"/>
      <c r="E229" s="621"/>
      <c r="F229" s="621"/>
      <c r="G229" s="621"/>
      <c r="H229" s="621"/>
      <c r="I229" s="621"/>
      <c r="J229" s="621"/>
      <c r="K229" s="621"/>
      <c r="L229" s="621"/>
      <c r="M229" s="621"/>
      <c r="N229" s="621"/>
      <c r="O229" s="656"/>
      <c r="P229" s="656"/>
      <c r="Q229" s="386"/>
      <c r="R229" s="386"/>
      <c r="S229" s="386"/>
      <c r="T229" s="386"/>
      <c r="U229" s="386"/>
      <c r="V229" s="610"/>
      <c r="W229" s="610"/>
      <c r="X229" s="610"/>
    </row>
    <row r="230" spans="1:24" ht="15.75" customHeight="1">
      <c r="A230" s="386"/>
      <c r="B230" s="386"/>
      <c r="C230" s="621"/>
      <c r="D230" s="621"/>
      <c r="E230" s="621"/>
      <c r="F230" s="621"/>
      <c r="G230" s="621"/>
      <c r="H230" s="621"/>
      <c r="I230" s="621"/>
      <c r="J230" s="621"/>
      <c r="K230" s="621"/>
      <c r="L230" s="621"/>
      <c r="M230" s="621"/>
      <c r="N230" s="621"/>
      <c r="O230" s="656"/>
      <c r="P230" s="656"/>
      <c r="Q230" s="386"/>
      <c r="R230" s="386"/>
      <c r="S230" s="386"/>
      <c r="T230" s="386"/>
      <c r="U230" s="386"/>
      <c r="V230" s="610"/>
      <c r="W230" s="610"/>
      <c r="X230" s="610"/>
    </row>
    <row r="231" spans="1:24" ht="15.75" customHeight="1">
      <c r="A231" s="386"/>
      <c r="B231" s="386"/>
      <c r="C231" s="621"/>
      <c r="D231" s="621"/>
      <c r="E231" s="621"/>
      <c r="F231" s="621"/>
      <c r="G231" s="621"/>
      <c r="H231" s="621"/>
      <c r="I231" s="621"/>
      <c r="J231" s="621"/>
      <c r="K231" s="621"/>
      <c r="L231" s="621"/>
      <c r="M231" s="621"/>
      <c r="N231" s="621"/>
      <c r="O231" s="656"/>
      <c r="P231" s="656"/>
      <c r="Q231" s="386"/>
      <c r="R231" s="386"/>
      <c r="S231" s="386"/>
      <c r="T231" s="386"/>
      <c r="U231" s="386"/>
      <c r="V231" s="610"/>
      <c r="W231" s="610"/>
      <c r="X231" s="610"/>
    </row>
    <row r="232" spans="1:24" ht="15.75" customHeight="1">
      <c r="A232" s="386"/>
      <c r="B232" s="386"/>
      <c r="C232" s="621"/>
      <c r="D232" s="621"/>
      <c r="E232" s="621"/>
      <c r="F232" s="621"/>
      <c r="G232" s="621"/>
      <c r="H232" s="621"/>
      <c r="I232" s="621"/>
      <c r="J232" s="621"/>
      <c r="K232" s="621"/>
      <c r="L232" s="621"/>
      <c r="M232" s="621"/>
      <c r="N232" s="621"/>
      <c r="O232" s="656"/>
      <c r="P232" s="656"/>
      <c r="Q232" s="386"/>
      <c r="R232" s="386"/>
      <c r="S232" s="386"/>
      <c r="T232" s="386"/>
      <c r="U232" s="386"/>
      <c r="V232" s="610"/>
      <c r="W232" s="610"/>
      <c r="X232" s="610"/>
    </row>
    <row r="233" spans="1:24" ht="15.75" customHeight="1">
      <c r="A233" s="386"/>
      <c r="B233" s="386"/>
      <c r="C233" s="621"/>
      <c r="D233" s="621"/>
      <c r="E233" s="621"/>
      <c r="F233" s="621"/>
      <c r="G233" s="621"/>
      <c r="H233" s="621"/>
      <c r="I233" s="621"/>
      <c r="J233" s="621"/>
      <c r="K233" s="621"/>
      <c r="L233" s="621"/>
      <c r="M233" s="621"/>
      <c r="N233" s="621"/>
      <c r="O233" s="656"/>
      <c r="P233" s="656"/>
      <c r="Q233" s="386"/>
      <c r="R233" s="386"/>
      <c r="S233" s="386"/>
      <c r="T233" s="386"/>
      <c r="U233" s="386"/>
      <c r="V233" s="610"/>
      <c r="W233" s="610"/>
      <c r="X233" s="610"/>
    </row>
    <row r="234" spans="1:24" ht="15.75" customHeight="1">
      <c r="A234" s="386"/>
      <c r="B234" s="386"/>
      <c r="C234" s="621"/>
      <c r="D234" s="621"/>
      <c r="E234" s="621"/>
      <c r="F234" s="621"/>
      <c r="G234" s="621"/>
      <c r="H234" s="621"/>
      <c r="I234" s="621"/>
      <c r="J234" s="621"/>
      <c r="K234" s="621"/>
      <c r="L234" s="621"/>
      <c r="M234" s="621"/>
      <c r="N234" s="621"/>
      <c r="O234" s="656"/>
      <c r="P234" s="656"/>
      <c r="Q234" s="386"/>
      <c r="R234" s="386"/>
      <c r="S234" s="386"/>
      <c r="T234" s="386"/>
      <c r="U234" s="386"/>
      <c r="V234" s="610"/>
      <c r="W234" s="610"/>
      <c r="X234" s="610"/>
    </row>
    <row r="235" spans="1:24" ht="15.75" customHeight="1">
      <c r="A235" s="386"/>
      <c r="B235" s="386"/>
      <c r="C235" s="621"/>
      <c r="D235" s="621"/>
      <c r="E235" s="621"/>
      <c r="F235" s="621"/>
      <c r="G235" s="621"/>
      <c r="H235" s="621"/>
      <c r="I235" s="621"/>
      <c r="J235" s="621"/>
      <c r="K235" s="621"/>
      <c r="L235" s="621"/>
      <c r="M235" s="621"/>
      <c r="N235" s="621"/>
      <c r="O235" s="656"/>
      <c r="P235" s="656"/>
      <c r="Q235" s="386"/>
      <c r="R235" s="386"/>
      <c r="S235" s="386"/>
      <c r="T235" s="386"/>
      <c r="U235" s="386"/>
      <c r="V235" s="610"/>
      <c r="W235" s="610"/>
      <c r="X235" s="610"/>
    </row>
    <row r="236" spans="1:24" ht="15.75" customHeight="1">
      <c r="A236" s="386"/>
      <c r="B236" s="386"/>
      <c r="C236" s="621"/>
      <c r="D236" s="621"/>
      <c r="E236" s="621"/>
      <c r="F236" s="621"/>
      <c r="G236" s="621"/>
      <c r="H236" s="621"/>
      <c r="I236" s="621"/>
      <c r="J236" s="621"/>
      <c r="K236" s="621"/>
      <c r="L236" s="621"/>
      <c r="M236" s="621"/>
      <c r="N236" s="621"/>
      <c r="O236" s="656"/>
      <c r="P236" s="656"/>
      <c r="Q236" s="386"/>
      <c r="R236" s="386"/>
      <c r="S236" s="386"/>
      <c r="T236" s="386"/>
      <c r="U236" s="386"/>
      <c r="V236" s="610"/>
      <c r="W236" s="610"/>
      <c r="X236" s="610"/>
    </row>
    <row r="237" spans="1:24" ht="15.75" customHeight="1">
      <c r="A237" s="386"/>
      <c r="B237" s="386"/>
      <c r="C237" s="621"/>
      <c r="D237" s="621"/>
      <c r="E237" s="621"/>
      <c r="F237" s="621"/>
      <c r="G237" s="621"/>
      <c r="H237" s="621"/>
      <c r="I237" s="621"/>
      <c r="J237" s="621"/>
      <c r="K237" s="621"/>
      <c r="L237" s="621"/>
      <c r="M237" s="621"/>
      <c r="N237" s="621"/>
      <c r="O237" s="656"/>
      <c r="P237" s="656"/>
      <c r="Q237" s="386"/>
      <c r="R237" s="386"/>
      <c r="S237" s="386"/>
      <c r="T237" s="386"/>
      <c r="U237" s="386"/>
      <c r="V237" s="610"/>
      <c r="W237" s="610"/>
      <c r="X237" s="610"/>
    </row>
    <row r="238" spans="1:24" ht="15.75" customHeight="1">
      <c r="A238" s="386"/>
      <c r="B238" s="386"/>
      <c r="C238" s="621"/>
      <c r="D238" s="621"/>
      <c r="E238" s="621"/>
      <c r="F238" s="621"/>
      <c r="G238" s="621"/>
      <c r="H238" s="621"/>
      <c r="I238" s="621"/>
      <c r="J238" s="621"/>
      <c r="K238" s="621"/>
      <c r="L238" s="621"/>
      <c r="M238" s="621"/>
      <c r="N238" s="621"/>
      <c r="O238" s="656"/>
      <c r="P238" s="656"/>
      <c r="Q238" s="386"/>
      <c r="R238" s="386"/>
      <c r="S238" s="386"/>
      <c r="T238" s="386"/>
      <c r="U238" s="386"/>
      <c r="V238" s="610"/>
      <c r="W238" s="610"/>
      <c r="X238" s="610"/>
    </row>
    <row r="239" spans="1:24" ht="15.75" customHeight="1">
      <c r="A239" s="386"/>
      <c r="B239" s="386"/>
      <c r="C239" s="621"/>
      <c r="D239" s="621"/>
      <c r="E239" s="621"/>
      <c r="F239" s="621"/>
      <c r="G239" s="621"/>
      <c r="H239" s="621"/>
      <c r="I239" s="621"/>
      <c r="J239" s="621"/>
      <c r="K239" s="621"/>
      <c r="L239" s="621"/>
      <c r="M239" s="621"/>
      <c r="N239" s="621"/>
      <c r="O239" s="656"/>
      <c r="P239" s="656"/>
      <c r="Q239" s="386"/>
      <c r="R239" s="386"/>
      <c r="S239" s="386"/>
      <c r="T239" s="386"/>
      <c r="U239" s="386"/>
      <c r="V239" s="610"/>
      <c r="W239" s="610"/>
      <c r="X239" s="610"/>
    </row>
    <row r="240" spans="1:24" ht="15.75" customHeight="1">
      <c r="A240" s="386"/>
      <c r="B240" s="386"/>
      <c r="C240" s="621"/>
      <c r="D240" s="621"/>
      <c r="E240" s="621"/>
      <c r="F240" s="621"/>
      <c r="G240" s="621"/>
      <c r="H240" s="621"/>
      <c r="I240" s="621"/>
      <c r="J240" s="621"/>
      <c r="K240" s="621"/>
      <c r="L240" s="621"/>
      <c r="M240" s="621"/>
      <c r="N240" s="621"/>
      <c r="O240" s="656"/>
      <c r="P240" s="656"/>
      <c r="Q240" s="386"/>
      <c r="R240" s="386"/>
      <c r="S240" s="386"/>
      <c r="T240" s="386"/>
      <c r="U240" s="386"/>
      <c r="V240" s="610"/>
      <c r="W240" s="610"/>
      <c r="X240" s="610"/>
    </row>
    <row r="241" spans="1:24" ht="15.75" customHeight="1">
      <c r="A241" s="386"/>
      <c r="B241" s="386"/>
      <c r="C241" s="621"/>
      <c r="D241" s="621"/>
      <c r="E241" s="621"/>
      <c r="F241" s="621"/>
      <c r="G241" s="621"/>
      <c r="H241" s="621"/>
      <c r="I241" s="621"/>
      <c r="J241" s="621"/>
      <c r="K241" s="621"/>
      <c r="L241" s="621"/>
      <c r="M241" s="621"/>
      <c r="N241" s="621"/>
      <c r="O241" s="656"/>
      <c r="P241" s="656"/>
      <c r="Q241" s="386"/>
      <c r="R241" s="386"/>
      <c r="S241" s="386"/>
      <c r="T241" s="386"/>
      <c r="U241" s="386"/>
      <c r="V241" s="610"/>
      <c r="W241" s="610"/>
      <c r="X241" s="610"/>
    </row>
    <row r="242" spans="1:24" ht="15.75" customHeight="1">
      <c r="A242" s="386"/>
      <c r="B242" s="386"/>
      <c r="C242" s="621"/>
      <c r="D242" s="621"/>
      <c r="E242" s="621"/>
      <c r="F242" s="621"/>
      <c r="G242" s="621"/>
      <c r="H242" s="621"/>
      <c r="I242" s="621"/>
      <c r="J242" s="621"/>
      <c r="K242" s="621"/>
      <c r="L242" s="621"/>
      <c r="M242" s="621"/>
      <c r="N242" s="621"/>
      <c r="O242" s="656"/>
      <c r="P242" s="656"/>
      <c r="Q242" s="386"/>
      <c r="R242" s="386"/>
      <c r="S242" s="386"/>
      <c r="T242" s="386"/>
      <c r="U242" s="386"/>
      <c r="V242" s="610"/>
      <c r="W242" s="610"/>
      <c r="X242" s="610"/>
    </row>
    <row r="243" spans="1:24" ht="15.75" customHeight="1">
      <c r="A243" s="386"/>
      <c r="B243" s="386"/>
      <c r="C243" s="621"/>
      <c r="D243" s="621"/>
      <c r="E243" s="621"/>
      <c r="F243" s="621"/>
      <c r="G243" s="621"/>
      <c r="H243" s="621"/>
      <c r="I243" s="621"/>
      <c r="J243" s="621"/>
      <c r="K243" s="621"/>
      <c r="L243" s="621"/>
      <c r="M243" s="621"/>
      <c r="N243" s="621"/>
      <c r="O243" s="656"/>
      <c r="P243" s="656"/>
      <c r="Q243" s="386"/>
      <c r="R243" s="386"/>
      <c r="S243" s="386"/>
      <c r="T243" s="386"/>
      <c r="U243" s="386"/>
      <c r="V243" s="610"/>
      <c r="W243" s="610"/>
      <c r="X243" s="610"/>
    </row>
    <row r="244" spans="1:24" ht="15.75" customHeight="1">
      <c r="A244" s="386"/>
      <c r="B244" s="386"/>
      <c r="C244" s="621"/>
      <c r="D244" s="621"/>
      <c r="E244" s="621"/>
      <c r="F244" s="621"/>
      <c r="G244" s="621"/>
      <c r="H244" s="621"/>
      <c r="I244" s="621"/>
      <c r="J244" s="621"/>
      <c r="K244" s="621"/>
      <c r="L244" s="621"/>
      <c r="M244" s="621"/>
      <c r="N244" s="621"/>
      <c r="O244" s="656"/>
      <c r="P244" s="656"/>
      <c r="Q244" s="386"/>
      <c r="R244" s="386"/>
      <c r="S244" s="386"/>
      <c r="T244" s="386"/>
      <c r="U244" s="386"/>
      <c r="V244" s="610"/>
      <c r="W244" s="610"/>
      <c r="X244" s="610"/>
    </row>
    <row r="245" spans="1:24" ht="15.75" customHeight="1">
      <c r="A245" s="386"/>
      <c r="B245" s="386"/>
      <c r="C245" s="621"/>
      <c r="D245" s="621"/>
      <c r="E245" s="621"/>
      <c r="F245" s="621"/>
      <c r="G245" s="621"/>
      <c r="H245" s="621"/>
      <c r="I245" s="621"/>
      <c r="J245" s="621"/>
      <c r="K245" s="621"/>
      <c r="L245" s="621"/>
      <c r="M245" s="621"/>
      <c r="N245" s="621"/>
      <c r="O245" s="386"/>
      <c r="P245" s="386"/>
      <c r="Q245" s="386"/>
      <c r="R245" s="386"/>
      <c r="S245" s="386"/>
      <c r="T245" s="386"/>
      <c r="U245" s="386"/>
      <c r="V245" s="610"/>
      <c r="W245" s="610"/>
      <c r="X245" s="610"/>
    </row>
    <row r="246" spans="1:24" ht="15.75" customHeight="1">
      <c r="A246" s="386"/>
      <c r="B246" s="386"/>
      <c r="C246" s="621"/>
      <c r="D246" s="621"/>
      <c r="E246" s="621"/>
      <c r="F246" s="621"/>
      <c r="G246" s="621"/>
      <c r="H246" s="621"/>
      <c r="I246" s="621"/>
      <c r="J246" s="621"/>
      <c r="K246" s="621"/>
      <c r="L246" s="621"/>
      <c r="M246" s="621"/>
      <c r="N246" s="621"/>
      <c r="O246" s="386"/>
      <c r="P246" s="386"/>
      <c r="Q246" s="386"/>
      <c r="R246" s="386"/>
      <c r="S246" s="386"/>
      <c r="T246" s="386"/>
      <c r="U246" s="386"/>
      <c r="V246" s="610"/>
      <c r="W246" s="610"/>
      <c r="X246" s="610"/>
    </row>
    <row r="247" spans="1:24" ht="15.75" customHeight="1">
      <c r="A247" s="386"/>
      <c r="B247" s="386"/>
      <c r="C247" s="621"/>
      <c r="D247" s="621"/>
      <c r="E247" s="621"/>
      <c r="F247" s="621"/>
      <c r="G247" s="621"/>
      <c r="H247" s="621"/>
      <c r="I247" s="621"/>
      <c r="J247" s="621"/>
      <c r="K247" s="621"/>
      <c r="L247" s="621"/>
      <c r="M247" s="621"/>
      <c r="N247" s="621"/>
      <c r="O247" s="386"/>
      <c r="P247" s="386"/>
      <c r="Q247" s="386"/>
      <c r="R247" s="386"/>
      <c r="S247" s="386"/>
      <c r="T247" s="386"/>
      <c r="U247" s="386"/>
      <c r="V247" s="610"/>
      <c r="W247" s="610"/>
      <c r="X247" s="610"/>
    </row>
    <row r="248" spans="1:24" ht="15.75" customHeight="1">
      <c r="A248" s="386"/>
      <c r="B248" s="386"/>
      <c r="C248" s="621"/>
      <c r="D248" s="621"/>
      <c r="E248" s="621"/>
      <c r="F248" s="621"/>
      <c r="G248" s="621"/>
      <c r="H248" s="621"/>
      <c r="I248" s="621"/>
      <c r="J248" s="621"/>
      <c r="K248" s="621"/>
      <c r="L248" s="621"/>
      <c r="M248" s="621"/>
      <c r="N248" s="621"/>
      <c r="O248" s="386"/>
      <c r="P248" s="386"/>
      <c r="Q248" s="386"/>
      <c r="R248" s="386"/>
      <c r="S248" s="386"/>
      <c r="T248" s="386"/>
      <c r="U248" s="386"/>
      <c r="V248" s="610"/>
      <c r="W248" s="610"/>
      <c r="X248" s="610"/>
    </row>
    <row r="249" spans="1:24" ht="15.75" customHeight="1">
      <c r="A249" s="386"/>
      <c r="B249" s="386"/>
      <c r="C249" s="621"/>
      <c r="D249" s="621"/>
      <c r="E249" s="621"/>
      <c r="F249" s="621"/>
      <c r="G249" s="621"/>
      <c r="H249" s="621"/>
      <c r="I249" s="621"/>
      <c r="J249" s="621"/>
      <c r="K249" s="621"/>
      <c r="L249" s="621"/>
      <c r="M249" s="621"/>
      <c r="N249" s="621"/>
      <c r="O249" s="386"/>
      <c r="P249" s="386"/>
      <c r="Q249" s="386"/>
      <c r="R249" s="386"/>
      <c r="S249" s="386"/>
      <c r="T249" s="386"/>
      <c r="U249" s="386"/>
      <c r="V249" s="610"/>
      <c r="W249" s="610"/>
      <c r="X249" s="610"/>
    </row>
    <row r="250" spans="1:24" ht="15.75" customHeight="1">
      <c r="A250" s="386"/>
      <c r="B250" s="386"/>
      <c r="C250" s="621"/>
      <c r="D250" s="621"/>
      <c r="E250" s="621"/>
      <c r="F250" s="621"/>
      <c r="G250" s="621"/>
      <c r="H250" s="621"/>
      <c r="I250" s="621"/>
      <c r="J250" s="621"/>
      <c r="K250" s="621"/>
      <c r="L250" s="621"/>
      <c r="M250" s="621"/>
      <c r="N250" s="621"/>
      <c r="O250" s="386"/>
      <c r="P250" s="386"/>
      <c r="Q250" s="386"/>
      <c r="R250" s="386"/>
      <c r="S250" s="386"/>
      <c r="T250" s="386"/>
      <c r="U250" s="386"/>
      <c r="V250" s="610"/>
      <c r="W250" s="610"/>
      <c r="X250" s="610"/>
    </row>
    <row r="251" spans="1:24" ht="15.75" customHeight="1">
      <c r="A251" s="386"/>
      <c r="B251" s="386"/>
      <c r="C251" s="621"/>
      <c r="D251" s="621"/>
      <c r="E251" s="621"/>
      <c r="F251" s="621"/>
      <c r="G251" s="621"/>
      <c r="H251" s="621"/>
      <c r="I251" s="621"/>
      <c r="J251" s="621"/>
      <c r="K251" s="621"/>
      <c r="L251" s="621"/>
      <c r="M251" s="621"/>
      <c r="N251" s="621"/>
      <c r="O251" s="386"/>
      <c r="P251" s="386"/>
      <c r="Q251" s="386"/>
      <c r="R251" s="386"/>
      <c r="S251" s="386"/>
      <c r="T251" s="386"/>
      <c r="U251" s="386"/>
      <c r="V251" s="610"/>
      <c r="W251" s="610"/>
      <c r="X251" s="610"/>
    </row>
    <row r="252" spans="1:24" ht="15.75" customHeight="1">
      <c r="A252" s="386"/>
      <c r="B252" s="386"/>
      <c r="C252" s="621"/>
      <c r="D252" s="621"/>
      <c r="E252" s="621"/>
      <c r="F252" s="621"/>
      <c r="G252" s="621"/>
      <c r="H252" s="621"/>
      <c r="I252" s="621"/>
      <c r="J252" s="621"/>
      <c r="K252" s="621"/>
      <c r="L252" s="621"/>
      <c r="M252" s="621"/>
      <c r="N252" s="621"/>
      <c r="O252" s="386"/>
      <c r="P252" s="386"/>
      <c r="Q252" s="386"/>
      <c r="R252" s="386"/>
      <c r="S252" s="386"/>
      <c r="T252" s="386"/>
      <c r="U252" s="386"/>
      <c r="V252" s="610"/>
      <c r="W252" s="610"/>
      <c r="X252" s="610"/>
    </row>
    <row r="253" spans="1:24" ht="15.75" customHeight="1">
      <c r="A253" s="386"/>
      <c r="B253" s="386"/>
      <c r="C253" s="621"/>
      <c r="D253" s="621"/>
      <c r="E253" s="621"/>
      <c r="F253" s="621"/>
      <c r="G253" s="621"/>
      <c r="H253" s="621"/>
      <c r="I253" s="621"/>
      <c r="J253" s="621"/>
      <c r="K253" s="621"/>
      <c r="L253" s="621"/>
      <c r="M253" s="621"/>
      <c r="N253" s="621"/>
      <c r="O253" s="386"/>
      <c r="P253" s="386"/>
      <c r="Q253" s="386"/>
      <c r="R253" s="386"/>
      <c r="S253" s="386"/>
      <c r="T253" s="386"/>
      <c r="U253" s="386"/>
      <c r="V253" s="610"/>
      <c r="W253" s="610"/>
      <c r="X253" s="610"/>
    </row>
    <row r="254" spans="1:24" ht="15.75" customHeight="1">
      <c r="A254" s="386"/>
      <c r="B254" s="386"/>
      <c r="C254" s="621"/>
      <c r="D254" s="621"/>
      <c r="E254" s="621"/>
      <c r="F254" s="621"/>
      <c r="G254" s="621"/>
      <c r="H254" s="621"/>
      <c r="I254" s="621"/>
      <c r="J254" s="621"/>
      <c r="K254" s="621"/>
      <c r="L254" s="621"/>
      <c r="M254" s="621"/>
      <c r="N254" s="621"/>
      <c r="O254" s="386"/>
      <c r="P254" s="386"/>
      <c r="Q254" s="386"/>
      <c r="R254" s="386"/>
      <c r="S254" s="386"/>
      <c r="T254" s="386"/>
      <c r="U254" s="386"/>
      <c r="V254" s="610"/>
      <c r="W254" s="610"/>
      <c r="X254" s="610"/>
    </row>
    <row r="255" spans="1:24" ht="15.75" customHeight="1">
      <c r="A255" s="386"/>
      <c r="B255" s="386"/>
      <c r="C255" s="621"/>
      <c r="D255" s="621"/>
      <c r="E255" s="621"/>
      <c r="F255" s="621"/>
      <c r="G255" s="621"/>
      <c r="H255" s="621"/>
      <c r="I255" s="621"/>
      <c r="J255" s="621"/>
      <c r="K255" s="621"/>
      <c r="L255" s="621"/>
      <c r="M255" s="621"/>
      <c r="N255" s="621"/>
      <c r="O255" s="386"/>
      <c r="P255" s="386"/>
      <c r="Q255" s="386"/>
      <c r="R255" s="386"/>
      <c r="S255" s="386"/>
      <c r="T255" s="386"/>
      <c r="U255" s="386"/>
      <c r="V255" s="610"/>
      <c r="W255" s="610"/>
      <c r="X255" s="610"/>
    </row>
    <row r="256" spans="1:24" ht="15.75" customHeight="1">
      <c r="A256" s="386"/>
      <c r="B256" s="386"/>
      <c r="C256" s="621"/>
      <c r="D256" s="621"/>
      <c r="E256" s="621"/>
      <c r="F256" s="621"/>
      <c r="G256" s="621"/>
      <c r="H256" s="621"/>
      <c r="I256" s="621"/>
      <c r="J256" s="621"/>
      <c r="K256" s="621"/>
      <c r="L256" s="621"/>
      <c r="M256" s="621"/>
      <c r="N256" s="621"/>
      <c r="O256" s="386"/>
      <c r="P256" s="386"/>
      <c r="Q256" s="386"/>
      <c r="R256" s="386"/>
      <c r="S256" s="386"/>
      <c r="T256" s="386"/>
      <c r="U256" s="386"/>
      <c r="V256" s="610"/>
      <c r="W256" s="610"/>
      <c r="X256" s="610"/>
    </row>
    <row r="257" spans="1:24" ht="15.75" customHeight="1">
      <c r="A257" s="386"/>
      <c r="B257" s="386"/>
      <c r="C257" s="621"/>
      <c r="D257" s="621"/>
      <c r="E257" s="621"/>
      <c r="F257" s="621"/>
      <c r="G257" s="621"/>
      <c r="H257" s="621"/>
      <c r="I257" s="621"/>
      <c r="J257" s="621"/>
      <c r="K257" s="621"/>
      <c r="L257" s="621"/>
      <c r="M257" s="621"/>
      <c r="N257" s="621"/>
      <c r="O257" s="386"/>
      <c r="P257" s="386"/>
      <c r="Q257" s="386"/>
      <c r="R257" s="386"/>
      <c r="S257" s="386"/>
      <c r="T257" s="386"/>
      <c r="U257" s="386"/>
      <c r="V257" s="610"/>
      <c r="W257" s="610"/>
      <c r="X257" s="610"/>
    </row>
    <row r="258" spans="1:24" ht="15.75" customHeight="1">
      <c r="A258" s="386"/>
      <c r="B258" s="386"/>
      <c r="C258" s="621"/>
      <c r="D258" s="621"/>
      <c r="E258" s="621"/>
      <c r="F258" s="621"/>
      <c r="G258" s="621"/>
      <c r="H258" s="621"/>
      <c r="I258" s="621"/>
      <c r="J258" s="621"/>
      <c r="K258" s="621"/>
      <c r="L258" s="621"/>
      <c r="M258" s="621"/>
      <c r="N258" s="621"/>
      <c r="O258" s="386"/>
      <c r="P258" s="386"/>
      <c r="Q258" s="386"/>
      <c r="R258" s="386"/>
      <c r="S258" s="386"/>
      <c r="T258" s="386"/>
      <c r="U258" s="386"/>
      <c r="V258" s="610"/>
      <c r="W258" s="610"/>
      <c r="X258" s="610"/>
    </row>
    <row r="259" spans="1:24" ht="15.75" customHeight="1">
      <c r="A259" s="386"/>
      <c r="B259" s="386"/>
      <c r="C259" s="621"/>
      <c r="D259" s="621"/>
      <c r="E259" s="621"/>
      <c r="F259" s="621"/>
      <c r="G259" s="621"/>
      <c r="H259" s="621"/>
      <c r="I259" s="621"/>
      <c r="J259" s="621"/>
      <c r="K259" s="621"/>
      <c r="L259" s="621"/>
      <c r="M259" s="621"/>
      <c r="N259" s="621"/>
      <c r="O259" s="386"/>
      <c r="P259" s="386"/>
      <c r="Q259" s="386"/>
      <c r="R259" s="386"/>
      <c r="S259" s="386"/>
      <c r="T259" s="386"/>
      <c r="U259" s="386"/>
      <c r="V259" s="610"/>
      <c r="W259" s="610"/>
      <c r="X259" s="610"/>
    </row>
    <row r="260" spans="1:24" ht="15.75" customHeight="1">
      <c r="A260" s="386"/>
      <c r="B260" s="386"/>
      <c r="C260" s="621"/>
      <c r="D260" s="621"/>
      <c r="E260" s="621"/>
      <c r="F260" s="621"/>
      <c r="G260" s="621"/>
      <c r="H260" s="621"/>
      <c r="I260" s="621"/>
      <c r="J260" s="621"/>
      <c r="K260" s="621"/>
      <c r="L260" s="621"/>
      <c r="M260" s="621"/>
      <c r="N260" s="621"/>
      <c r="O260" s="386"/>
      <c r="P260" s="386"/>
      <c r="Q260" s="386"/>
      <c r="R260" s="386"/>
      <c r="S260" s="386"/>
      <c r="T260" s="386"/>
      <c r="U260" s="386"/>
      <c r="V260" s="610"/>
      <c r="W260" s="610"/>
      <c r="X260" s="610"/>
    </row>
    <row r="261" spans="1:24" ht="15.75" customHeight="1">
      <c r="A261" s="386"/>
      <c r="B261" s="386"/>
      <c r="C261" s="621"/>
      <c r="D261" s="621"/>
      <c r="E261" s="621"/>
      <c r="F261" s="621"/>
      <c r="G261" s="621"/>
      <c r="H261" s="621"/>
      <c r="I261" s="621"/>
      <c r="J261" s="621"/>
      <c r="K261" s="621"/>
      <c r="L261" s="621"/>
      <c r="M261" s="621"/>
      <c r="N261" s="621"/>
      <c r="O261" s="386"/>
      <c r="P261" s="386"/>
      <c r="Q261" s="386"/>
      <c r="R261" s="386"/>
      <c r="S261" s="386"/>
      <c r="T261" s="386"/>
      <c r="U261" s="386"/>
      <c r="V261" s="610"/>
      <c r="W261" s="610"/>
      <c r="X261" s="610"/>
    </row>
    <row r="262" spans="1:24" ht="15.75" customHeight="1">
      <c r="A262" s="386"/>
      <c r="B262" s="386"/>
      <c r="C262" s="621"/>
      <c r="D262" s="621"/>
      <c r="E262" s="621"/>
      <c r="F262" s="621"/>
      <c r="G262" s="621"/>
      <c r="H262" s="621"/>
      <c r="I262" s="621"/>
      <c r="J262" s="621"/>
      <c r="K262" s="621"/>
      <c r="L262" s="621"/>
      <c r="M262" s="621"/>
      <c r="N262" s="621"/>
      <c r="O262" s="386"/>
      <c r="P262" s="386"/>
      <c r="Q262" s="386"/>
      <c r="R262" s="386"/>
      <c r="S262" s="386"/>
      <c r="T262" s="386"/>
      <c r="U262" s="386"/>
      <c r="V262" s="610"/>
      <c r="W262" s="610"/>
      <c r="X262" s="610"/>
    </row>
    <row r="263" spans="1:24" ht="15.75" customHeight="1">
      <c r="A263" s="386"/>
      <c r="B263" s="386"/>
      <c r="C263" s="621"/>
      <c r="D263" s="621"/>
      <c r="E263" s="621"/>
      <c r="F263" s="621"/>
      <c r="G263" s="621"/>
      <c r="H263" s="621"/>
      <c r="I263" s="621"/>
      <c r="J263" s="621"/>
      <c r="K263" s="621"/>
      <c r="L263" s="621"/>
      <c r="M263" s="621"/>
      <c r="N263" s="621"/>
      <c r="O263" s="386"/>
      <c r="P263" s="386"/>
      <c r="Q263" s="386"/>
      <c r="R263" s="386"/>
      <c r="S263" s="386"/>
      <c r="T263" s="386"/>
      <c r="U263" s="386"/>
      <c r="V263" s="610"/>
      <c r="W263" s="610"/>
      <c r="X263" s="610"/>
    </row>
    <row r="264" spans="1:24" ht="15.75" customHeight="1">
      <c r="A264" s="386"/>
      <c r="B264" s="386"/>
      <c r="C264" s="621"/>
      <c r="D264" s="621"/>
      <c r="E264" s="621"/>
      <c r="F264" s="621"/>
      <c r="G264" s="621"/>
      <c r="H264" s="621"/>
      <c r="I264" s="621"/>
      <c r="J264" s="621"/>
      <c r="K264" s="621"/>
      <c r="L264" s="621"/>
      <c r="M264" s="621"/>
      <c r="N264" s="621"/>
      <c r="O264" s="386"/>
      <c r="P264" s="386"/>
      <c r="Q264" s="386"/>
      <c r="R264" s="386"/>
      <c r="S264" s="386"/>
      <c r="T264" s="386"/>
      <c r="U264" s="386"/>
      <c r="V264" s="610"/>
      <c r="W264" s="610"/>
      <c r="X264" s="610"/>
    </row>
    <row r="265" spans="1:24" ht="15.75" customHeight="1">
      <c r="A265" s="386"/>
      <c r="B265" s="386"/>
      <c r="C265" s="621"/>
      <c r="D265" s="621"/>
      <c r="E265" s="621"/>
      <c r="F265" s="621"/>
      <c r="G265" s="621"/>
      <c r="H265" s="621"/>
      <c r="I265" s="621"/>
      <c r="J265" s="621"/>
      <c r="K265" s="621"/>
      <c r="L265" s="621"/>
      <c r="M265" s="621"/>
      <c r="N265" s="621"/>
      <c r="O265" s="386"/>
      <c r="P265" s="386"/>
      <c r="Q265" s="386"/>
      <c r="R265" s="386"/>
      <c r="S265" s="386"/>
      <c r="T265" s="386"/>
      <c r="U265" s="386"/>
      <c r="V265" s="610"/>
      <c r="W265" s="610"/>
      <c r="X265" s="610"/>
    </row>
    <row r="266" spans="1:24" ht="15.75" customHeight="1">
      <c r="A266" s="386"/>
      <c r="B266" s="386"/>
      <c r="C266" s="621"/>
      <c r="D266" s="621"/>
      <c r="E266" s="621"/>
      <c r="F266" s="621"/>
      <c r="G266" s="621"/>
      <c r="H266" s="621"/>
      <c r="I266" s="621"/>
      <c r="J266" s="621"/>
      <c r="K266" s="621"/>
      <c r="L266" s="621"/>
      <c r="M266" s="621"/>
      <c r="N266" s="621"/>
      <c r="O266" s="386"/>
      <c r="P266" s="386"/>
      <c r="Q266" s="386"/>
      <c r="R266" s="386"/>
      <c r="S266" s="386"/>
      <c r="T266" s="386"/>
      <c r="U266" s="386"/>
      <c r="V266" s="610"/>
      <c r="W266" s="610"/>
      <c r="X266" s="610"/>
    </row>
    <row r="267" spans="1:24" ht="15.75" customHeight="1">
      <c r="A267" s="386"/>
      <c r="B267" s="386"/>
      <c r="C267" s="621"/>
      <c r="D267" s="621"/>
      <c r="E267" s="621"/>
      <c r="F267" s="621"/>
      <c r="G267" s="621"/>
      <c r="H267" s="621"/>
      <c r="I267" s="621"/>
      <c r="J267" s="621"/>
      <c r="K267" s="621"/>
      <c r="L267" s="621"/>
      <c r="M267" s="621"/>
      <c r="N267" s="621"/>
      <c r="O267" s="386"/>
      <c r="P267" s="386"/>
      <c r="Q267" s="386"/>
      <c r="R267" s="386"/>
      <c r="S267" s="386"/>
      <c r="T267" s="386"/>
      <c r="U267" s="386"/>
      <c r="V267" s="610"/>
      <c r="W267" s="610"/>
      <c r="X267" s="610"/>
    </row>
    <row r="268" spans="1:24" ht="15.75" customHeight="1">
      <c r="A268" s="386"/>
      <c r="B268" s="386"/>
      <c r="C268" s="621"/>
      <c r="D268" s="621"/>
      <c r="E268" s="621"/>
      <c r="F268" s="621"/>
      <c r="G268" s="621"/>
      <c r="H268" s="621"/>
      <c r="I268" s="621"/>
      <c r="J268" s="621"/>
      <c r="K268" s="621"/>
      <c r="L268" s="621"/>
      <c r="M268" s="621"/>
      <c r="N268" s="621"/>
      <c r="O268" s="386"/>
      <c r="P268" s="386"/>
      <c r="Q268" s="386"/>
      <c r="R268" s="386"/>
      <c r="S268" s="386"/>
      <c r="T268" s="386"/>
      <c r="U268" s="386"/>
      <c r="V268" s="610"/>
      <c r="W268" s="610"/>
      <c r="X268" s="610"/>
    </row>
    <row r="269" spans="1:24" ht="15.75" customHeight="1">
      <c r="A269" s="386"/>
      <c r="B269" s="386"/>
      <c r="C269" s="621"/>
      <c r="D269" s="621"/>
      <c r="E269" s="621"/>
      <c r="F269" s="621"/>
      <c r="G269" s="621"/>
      <c r="H269" s="621"/>
      <c r="I269" s="621"/>
      <c r="J269" s="621"/>
      <c r="K269" s="621"/>
      <c r="L269" s="621"/>
      <c r="M269" s="621"/>
      <c r="N269" s="621"/>
      <c r="O269" s="386"/>
      <c r="P269" s="386"/>
      <c r="Q269" s="386"/>
      <c r="R269" s="386"/>
      <c r="S269" s="386"/>
      <c r="T269" s="386"/>
      <c r="U269" s="386"/>
      <c r="V269" s="610"/>
      <c r="W269" s="610"/>
      <c r="X269" s="610"/>
    </row>
    <row r="270" spans="1:24" ht="15.75" customHeight="1">
      <c r="A270" s="386"/>
      <c r="B270" s="386"/>
      <c r="C270" s="621"/>
      <c r="D270" s="621"/>
      <c r="E270" s="621"/>
      <c r="F270" s="621"/>
      <c r="G270" s="621"/>
      <c r="H270" s="621"/>
      <c r="I270" s="621"/>
      <c r="J270" s="621"/>
      <c r="K270" s="621"/>
      <c r="L270" s="621"/>
      <c r="M270" s="621"/>
      <c r="N270" s="621"/>
      <c r="O270" s="386"/>
      <c r="P270" s="386"/>
      <c r="Q270" s="386"/>
      <c r="R270" s="386"/>
      <c r="S270" s="386"/>
      <c r="T270" s="386"/>
      <c r="U270" s="386"/>
      <c r="V270" s="610"/>
      <c r="W270" s="610"/>
      <c r="X270" s="610"/>
    </row>
    <row r="271" spans="1:24" ht="15.75" customHeight="1">
      <c r="A271" s="386"/>
      <c r="B271" s="386"/>
      <c r="C271" s="621"/>
      <c r="D271" s="621"/>
      <c r="E271" s="621"/>
      <c r="F271" s="621"/>
      <c r="G271" s="621"/>
      <c r="H271" s="621"/>
      <c r="I271" s="621"/>
      <c r="J271" s="621"/>
      <c r="K271" s="621"/>
      <c r="L271" s="621"/>
      <c r="M271" s="621"/>
      <c r="N271" s="621"/>
      <c r="O271" s="386"/>
      <c r="P271" s="386"/>
      <c r="Q271" s="386"/>
      <c r="R271" s="386"/>
      <c r="S271" s="386"/>
      <c r="T271" s="386"/>
      <c r="U271" s="386"/>
      <c r="V271" s="610"/>
      <c r="W271" s="610"/>
      <c r="X271" s="610"/>
    </row>
    <row r="272" spans="1:24" ht="15.75" customHeight="1">
      <c r="A272" s="386"/>
      <c r="B272" s="386"/>
      <c r="C272" s="621"/>
      <c r="D272" s="621"/>
      <c r="E272" s="621"/>
      <c r="F272" s="621"/>
      <c r="G272" s="621"/>
      <c r="H272" s="621"/>
      <c r="I272" s="621"/>
      <c r="J272" s="621"/>
      <c r="K272" s="621"/>
      <c r="L272" s="621"/>
      <c r="M272" s="621"/>
      <c r="N272" s="621"/>
      <c r="O272" s="386"/>
      <c r="P272" s="386"/>
      <c r="Q272" s="386"/>
      <c r="R272" s="386"/>
      <c r="S272" s="386"/>
      <c r="T272" s="386"/>
      <c r="U272" s="386"/>
      <c r="V272" s="610"/>
      <c r="W272" s="610"/>
      <c r="X272" s="610"/>
    </row>
    <row r="273" spans="1:24" ht="15.75" customHeight="1">
      <c r="A273" s="386"/>
      <c r="B273" s="386"/>
      <c r="C273" s="621"/>
      <c r="D273" s="621"/>
      <c r="E273" s="621"/>
      <c r="F273" s="621"/>
      <c r="G273" s="621"/>
      <c r="H273" s="621"/>
      <c r="I273" s="621"/>
      <c r="J273" s="621"/>
      <c r="K273" s="621"/>
      <c r="L273" s="621"/>
      <c r="M273" s="621"/>
      <c r="N273" s="621"/>
      <c r="O273" s="386"/>
      <c r="P273" s="386"/>
      <c r="Q273" s="386"/>
      <c r="R273" s="386"/>
      <c r="S273" s="386"/>
      <c r="T273" s="386"/>
      <c r="U273" s="386"/>
      <c r="V273" s="610"/>
      <c r="W273" s="610"/>
      <c r="X273" s="610"/>
    </row>
    <row r="274" spans="1:24" ht="15.75" customHeight="1">
      <c r="A274" s="386"/>
      <c r="B274" s="386"/>
      <c r="C274" s="621"/>
      <c r="D274" s="621"/>
      <c r="E274" s="621"/>
      <c r="F274" s="621"/>
      <c r="G274" s="621"/>
      <c r="H274" s="621"/>
      <c r="I274" s="621"/>
      <c r="J274" s="621"/>
      <c r="K274" s="621"/>
      <c r="L274" s="621"/>
      <c r="M274" s="621"/>
      <c r="N274" s="621"/>
      <c r="O274" s="386"/>
      <c r="P274" s="386"/>
      <c r="Q274" s="386"/>
      <c r="R274" s="386"/>
      <c r="S274" s="386"/>
      <c r="T274" s="386"/>
      <c r="U274" s="386"/>
      <c r="V274" s="610"/>
      <c r="W274" s="610"/>
      <c r="X274" s="610"/>
    </row>
    <row r="275" spans="1:24" ht="15.75" customHeight="1">
      <c r="A275" s="386"/>
      <c r="B275" s="386"/>
      <c r="C275" s="621"/>
      <c r="D275" s="621"/>
      <c r="E275" s="621"/>
      <c r="F275" s="621"/>
      <c r="G275" s="621"/>
      <c r="H275" s="621"/>
      <c r="I275" s="621"/>
      <c r="J275" s="621"/>
      <c r="K275" s="621"/>
      <c r="L275" s="621"/>
      <c r="M275" s="621"/>
      <c r="N275" s="621"/>
      <c r="O275" s="386"/>
      <c r="P275" s="386"/>
      <c r="Q275" s="386"/>
      <c r="R275" s="386"/>
      <c r="S275" s="386"/>
      <c r="T275" s="386"/>
      <c r="U275" s="386"/>
      <c r="V275" s="610"/>
      <c r="W275" s="610"/>
      <c r="X275" s="610"/>
    </row>
    <row r="276" spans="1:24" ht="15.75" customHeight="1">
      <c r="A276" s="386"/>
      <c r="B276" s="386"/>
      <c r="C276" s="621"/>
      <c r="D276" s="621"/>
      <c r="E276" s="621"/>
      <c r="F276" s="621"/>
      <c r="G276" s="621"/>
      <c r="H276" s="621"/>
      <c r="I276" s="621"/>
      <c r="J276" s="621"/>
      <c r="K276" s="621"/>
      <c r="L276" s="621"/>
      <c r="M276" s="621"/>
      <c r="N276" s="621"/>
      <c r="O276" s="386"/>
      <c r="P276" s="386"/>
      <c r="Q276" s="386"/>
      <c r="R276" s="386"/>
      <c r="S276" s="386"/>
      <c r="T276" s="386"/>
      <c r="U276" s="386"/>
      <c r="V276" s="610"/>
      <c r="W276" s="610"/>
      <c r="X276" s="610"/>
    </row>
    <row r="277" spans="1:24" ht="15.75" customHeight="1">
      <c r="A277" s="386"/>
      <c r="B277" s="386"/>
      <c r="C277" s="621"/>
      <c r="D277" s="621"/>
      <c r="E277" s="621"/>
      <c r="F277" s="621"/>
      <c r="G277" s="621"/>
      <c r="H277" s="621"/>
      <c r="I277" s="621"/>
      <c r="J277" s="621"/>
      <c r="K277" s="621"/>
      <c r="L277" s="621"/>
      <c r="M277" s="621"/>
      <c r="N277" s="621"/>
      <c r="O277" s="386"/>
      <c r="P277" s="386"/>
      <c r="Q277" s="386"/>
      <c r="R277" s="386"/>
      <c r="S277" s="386"/>
      <c r="T277" s="386"/>
      <c r="U277" s="386"/>
      <c r="V277" s="610"/>
      <c r="W277" s="610"/>
      <c r="X277" s="610"/>
    </row>
    <row r="278" spans="1:24" ht="15.75" customHeight="1">
      <c r="A278" s="386"/>
      <c r="B278" s="386"/>
      <c r="C278" s="621"/>
      <c r="D278" s="621"/>
      <c r="E278" s="621"/>
      <c r="F278" s="621"/>
      <c r="G278" s="621"/>
      <c r="H278" s="621"/>
      <c r="I278" s="621"/>
      <c r="J278" s="621"/>
      <c r="K278" s="621"/>
      <c r="L278" s="621"/>
      <c r="M278" s="621"/>
      <c r="N278" s="621"/>
      <c r="O278" s="386"/>
      <c r="P278" s="386"/>
      <c r="Q278" s="386"/>
      <c r="R278" s="386"/>
      <c r="S278" s="386"/>
      <c r="T278" s="386"/>
      <c r="U278" s="386"/>
      <c r="V278" s="610"/>
      <c r="W278" s="610"/>
      <c r="X278" s="610"/>
    </row>
    <row r="279" spans="1:24" ht="15.75" customHeight="1">
      <c r="A279" s="386"/>
      <c r="B279" s="386"/>
      <c r="C279" s="621"/>
      <c r="D279" s="621"/>
      <c r="E279" s="621"/>
      <c r="F279" s="621"/>
      <c r="G279" s="621"/>
      <c r="H279" s="621"/>
      <c r="I279" s="621"/>
      <c r="J279" s="621"/>
      <c r="K279" s="621"/>
      <c r="L279" s="621"/>
      <c r="M279" s="621"/>
      <c r="N279" s="621"/>
      <c r="O279" s="386"/>
      <c r="P279" s="386"/>
      <c r="Q279" s="386"/>
      <c r="R279" s="386"/>
      <c r="S279" s="386"/>
      <c r="T279" s="386"/>
      <c r="U279" s="386"/>
      <c r="V279" s="610"/>
      <c r="W279" s="610"/>
      <c r="X279" s="610"/>
    </row>
    <row r="280" spans="1:24" ht="15.75" customHeight="1">
      <c r="A280" s="386"/>
      <c r="B280" s="386"/>
      <c r="C280" s="621"/>
      <c r="D280" s="621"/>
      <c r="E280" s="621"/>
      <c r="F280" s="621"/>
      <c r="G280" s="621"/>
      <c r="H280" s="621"/>
      <c r="I280" s="621"/>
      <c r="J280" s="621"/>
      <c r="K280" s="621"/>
      <c r="L280" s="621"/>
      <c r="M280" s="621"/>
      <c r="N280" s="621"/>
      <c r="O280" s="386"/>
      <c r="P280" s="386"/>
      <c r="Q280" s="386"/>
      <c r="R280" s="386"/>
      <c r="S280" s="386"/>
      <c r="T280" s="386"/>
      <c r="U280" s="386"/>
      <c r="V280" s="610"/>
      <c r="W280" s="610"/>
      <c r="X280" s="610"/>
    </row>
    <row r="281" spans="1:24" ht="15.75" customHeight="1">
      <c r="A281" s="386"/>
      <c r="B281" s="386"/>
      <c r="C281" s="621"/>
      <c r="D281" s="621"/>
      <c r="E281" s="621"/>
      <c r="F281" s="621"/>
      <c r="G281" s="621"/>
      <c r="H281" s="621"/>
      <c r="I281" s="621"/>
      <c r="J281" s="621"/>
      <c r="K281" s="621"/>
      <c r="L281" s="621"/>
      <c r="M281" s="621"/>
      <c r="N281" s="621"/>
      <c r="O281" s="386"/>
      <c r="P281" s="386"/>
      <c r="Q281" s="386"/>
      <c r="R281" s="386"/>
      <c r="S281" s="386"/>
      <c r="T281" s="386"/>
      <c r="U281" s="386"/>
      <c r="V281" s="610"/>
      <c r="W281" s="610"/>
      <c r="X281" s="610"/>
    </row>
    <row r="282" spans="1:24" ht="15.75" customHeight="1">
      <c r="A282" s="386"/>
      <c r="B282" s="386"/>
      <c r="C282" s="621"/>
      <c r="D282" s="621"/>
      <c r="E282" s="621"/>
      <c r="F282" s="621"/>
      <c r="G282" s="621"/>
      <c r="H282" s="621"/>
      <c r="I282" s="621"/>
      <c r="J282" s="621"/>
      <c r="K282" s="621"/>
      <c r="L282" s="621"/>
      <c r="M282" s="621"/>
      <c r="N282" s="621"/>
      <c r="O282" s="386"/>
      <c r="P282" s="386"/>
      <c r="Q282" s="386"/>
      <c r="R282" s="386"/>
      <c r="S282" s="386"/>
      <c r="T282" s="386"/>
      <c r="U282" s="386"/>
      <c r="V282" s="610"/>
      <c r="W282" s="610"/>
      <c r="X282" s="610"/>
    </row>
    <row r="283" spans="1:24" ht="15.75" customHeight="1">
      <c r="A283" s="386"/>
      <c r="B283" s="386"/>
      <c r="C283" s="621"/>
      <c r="D283" s="621"/>
      <c r="E283" s="621"/>
      <c r="F283" s="621"/>
      <c r="G283" s="621"/>
      <c r="H283" s="621"/>
      <c r="I283" s="621"/>
      <c r="J283" s="621"/>
      <c r="K283" s="621"/>
      <c r="L283" s="621"/>
      <c r="M283" s="621"/>
      <c r="N283" s="621"/>
      <c r="O283" s="386"/>
      <c r="P283" s="386"/>
      <c r="Q283" s="386"/>
      <c r="R283" s="386"/>
      <c r="S283" s="386"/>
      <c r="T283" s="386"/>
      <c r="U283" s="386"/>
      <c r="V283" s="610"/>
      <c r="W283" s="610"/>
      <c r="X283" s="610"/>
    </row>
    <row r="284" spans="1:24" ht="15.75" customHeight="1">
      <c r="A284" s="386"/>
      <c r="B284" s="386"/>
      <c r="C284" s="621"/>
      <c r="D284" s="621"/>
      <c r="E284" s="621"/>
      <c r="F284" s="621"/>
      <c r="G284" s="621"/>
      <c r="H284" s="621"/>
      <c r="I284" s="621"/>
      <c r="J284" s="621"/>
      <c r="K284" s="621"/>
      <c r="L284" s="621"/>
      <c r="M284" s="621"/>
      <c r="N284" s="621"/>
      <c r="O284" s="386"/>
      <c r="P284" s="386"/>
      <c r="Q284" s="386"/>
      <c r="R284" s="386"/>
      <c r="S284" s="386"/>
      <c r="T284" s="386"/>
      <c r="U284" s="386"/>
      <c r="V284" s="610"/>
      <c r="W284" s="610"/>
      <c r="X284" s="610"/>
    </row>
    <row r="285" spans="1:24" ht="15.75" customHeight="1">
      <c r="A285" s="386"/>
      <c r="B285" s="386"/>
      <c r="C285" s="621"/>
      <c r="D285" s="621"/>
      <c r="E285" s="621"/>
      <c r="F285" s="621"/>
      <c r="G285" s="621"/>
      <c r="H285" s="621"/>
      <c r="I285" s="621"/>
      <c r="J285" s="621"/>
      <c r="K285" s="621"/>
      <c r="L285" s="621"/>
      <c r="M285" s="621"/>
      <c r="N285" s="621"/>
      <c r="O285" s="386"/>
      <c r="P285" s="386"/>
      <c r="Q285" s="386"/>
      <c r="R285" s="386"/>
      <c r="S285" s="386"/>
      <c r="T285" s="386"/>
      <c r="U285" s="386"/>
      <c r="V285" s="610"/>
      <c r="W285" s="610"/>
      <c r="X285" s="610"/>
    </row>
    <row r="286" spans="1:24" ht="15.75" customHeight="1">
      <c r="A286" s="386"/>
      <c r="B286" s="386"/>
      <c r="C286" s="621"/>
      <c r="D286" s="621"/>
      <c r="E286" s="621"/>
      <c r="F286" s="621"/>
      <c r="G286" s="621"/>
      <c r="H286" s="621"/>
      <c r="I286" s="621"/>
      <c r="J286" s="621"/>
      <c r="K286" s="621"/>
      <c r="L286" s="621"/>
      <c r="M286" s="621"/>
      <c r="N286" s="621"/>
      <c r="O286" s="386"/>
      <c r="P286" s="386"/>
      <c r="Q286" s="386"/>
      <c r="R286" s="386"/>
      <c r="S286" s="386"/>
      <c r="T286" s="386"/>
      <c r="U286" s="386"/>
      <c r="V286" s="610"/>
      <c r="W286" s="610"/>
      <c r="X286" s="610"/>
    </row>
    <row r="287" spans="1:24" ht="15.75" customHeight="1">
      <c r="A287" s="386"/>
      <c r="B287" s="386"/>
      <c r="C287" s="621"/>
      <c r="D287" s="621"/>
      <c r="E287" s="621"/>
      <c r="F287" s="621"/>
      <c r="G287" s="621"/>
      <c r="H287" s="621"/>
      <c r="I287" s="621"/>
      <c r="J287" s="621"/>
      <c r="K287" s="621"/>
      <c r="L287" s="621"/>
      <c r="M287" s="621"/>
      <c r="N287" s="621"/>
      <c r="O287" s="386"/>
      <c r="P287" s="386"/>
      <c r="Q287" s="386"/>
      <c r="R287" s="386"/>
      <c r="S287" s="386"/>
      <c r="T287" s="386"/>
      <c r="U287" s="386"/>
      <c r="V287" s="610"/>
      <c r="W287" s="610"/>
      <c r="X287" s="610"/>
    </row>
    <row r="288" spans="1:24" ht="15.75" customHeight="1">
      <c r="A288" s="386"/>
      <c r="B288" s="386"/>
      <c r="C288" s="621"/>
      <c r="D288" s="621"/>
      <c r="E288" s="621"/>
      <c r="F288" s="621"/>
      <c r="G288" s="621"/>
      <c r="H288" s="621"/>
      <c r="I288" s="621"/>
      <c r="J288" s="621"/>
      <c r="K288" s="621"/>
      <c r="L288" s="621"/>
      <c r="M288" s="621"/>
      <c r="N288" s="621"/>
      <c r="O288" s="386"/>
      <c r="P288" s="386"/>
      <c r="Q288" s="386"/>
      <c r="R288" s="386"/>
      <c r="S288" s="386"/>
      <c r="T288" s="386"/>
      <c r="U288" s="386"/>
      <c r="V288" s="610"/>
      <c r="W288" s="610"/>
      <c r="X288" s="610"/>
    </row>
    <row r="289" spans="1:24" ht="15.75" customHeight="1">
      <c r="A289" s="386"/>
      <c r="B289" s="386"/>
      <c r="C289" s="621"/>
      <c r="D289" s="621"/>
      <c r="E289" s="621"/>
      <c r="F289" s="621"/>
      <c r="G289" s="621"/>
      <c r="H289" s="621"/>
      <c r="I289" s="621"/>
      <c r="J289" s="621"/>
      <c r="K289" s="621"/>
      <c r="L289" s="621"/>
      <c r="M289" s="621"/>
      <c r="N289" s="621"/>
      <c r="O289" s="386"/>
      <c r="P289" s="386"/>
      <c r="Q289" s="386"/>
      <c r="R289" s="386"/>
      <c r="S289" s="386"/>
      <c r="T289" s="386"/>
      <c r="U289" s="386"/>
      <c r="V289" s="610"/>
      <c r="W289" s="610"/>
      <c r="X289" s="610"/>
    </row>
    <row r="290" spans="1:24" ht="15.75" customHeight="1">
      <c r="A290" s="386"/>
      <c r="B290" s="386"/>
      <c r="C290" s="621"/>
      <c r="D290" s="621"/>
      <c r="E290" s="621"/>
      <c r="F290" s="621"/>
      <c r="G290" s="621"/>
      <c r="H290" s="621"/>
      <c r="I290" s="621"/>
      <c r="J290" s="621"/>
      <c r="K290" s="621"/>
      <c r="L290" s="621"/>
      <c r="M290" s="621"/>
      <c r="N290" s="621"/>
      <c r="O290" s="386"/>
      <c r="P290" s="386"/>
      <c r="Q290" s="386"/>
      <c r="R290" s="386"/>
      <c r="S290" s="386"/>
      <c r="T290" s="386"/>
      <c r="U290" s="386"/>
      <c r="V290" s="610"/>
      <c r="W290" s="610"/>
      <c r="X290" s="610"/>
    </row>
    <row r="291" spans="1:24" ht="15.75" customHeight="1">
      <c r="A291" s="386"/>
      <c r="B291" s="386"/>
      <c r="C291" s="621"/>
      <c r="D291" s="621"/>
      <c r="E291" s="621"/>
      <c r="F291" s="621"/>
      <c r="G291" s="621"/>
      <c r="H291" s="621"/>
      <c r="I291" s="621"/>
      <c r="J291" s="621"/>
      <c r="K291" s="621"/>
      <c r="L291" s="621"/>
      <c r="M291" s="621"/>
      <c r="N291" s="621"/>
      <c r="O291" s="386"/>
      <c r="P291" s="386"/>
      <c r="Q291" s="386"/>
      <c r="R291" s="386"/>
      <c r="S291" s="386"/>
      <c r="T291" s="386"/>
      <c r="U291" s="386"/>
      <c r="V291" s="610"/>
      <c r="W291" s="610"/>
      <c r="X291" s="610"/>
    </row>
    <row r="292" spans="1:24" ht="15.75" customHeight="1">
      <c r="A292" s="386"/>
      <c r="B292" s="386"/>
      <c r="C292" s="621"/>
      <c r="D292" s="621"/>
      <c r="E292" s="621"/>
      <c r="F292" s="621"/>
      <c r="G292" s="621"/>
      <c r="H292" s="621"/>
      <c r="I292" s="621"/>
      <c r="J292" s="621"/>
      <c r="K292" s="621"/>
      <c r="L292" s="621"/>
      <c r="M292" s="621"/>
      <c r="N292" s="621"/>
      <c r="O292" s="386"/>
      <c r="P292" s="386"/>
      <c r="Q292" s="386"/>
      <c r="R292" s="386"/>
      <c r="S292" s="386"/>
      <c r="T292" s="386"/>
      <c r="U292" s="386"/>
      <c r="V292" s="610"/>
      <c r="W292" s="610"/>
      <c r="X292" s="610"/>
    </row>
    <row r="293" spans="1:24" ht="15.75" customHeight="1">
      <c r="A293" s="386"/>
      <c r="B293" s="386"/>
      <c r="C293" s="621"/>
      <c r="D293" s="621"/>
      <c r="E293" s="621"/>
      <c r="F293" s="621"/>
      <c r="G293" s="621"/>
      <c r="H293" s="621"/>
      <c r="I293" s="621"/>
      <c r="J293" s="621"/>
      <c r="K293" s="621"/>
      <c r="L293" s="621"/>
      <c r="M293" s="621"/>
      <c r="N293" s="621"/>
      <c r="O293" s="386"/>
      <c r="P293" s="386"/>
      <c r="Q293" s="386"/>
      <c r="R293" s="386"/>
      <c r="S293" s="386"/>
      <c r="T293" s="386"/>
      <c r="U293" s="386"/>
      <c r="V293" s="610"/>
      <c r="W293" s="610"/>
      <c r="X293" s="610"/>
    </row>
    <row r="294" spans="1:24" ht="15.75" customHeight="1">
      <c r="A294" s="386"/>
      <c r="B294" s="386"/>
      <c r="C294" s="621"/>
      <c r="D294" s="621"/>
      <c r="E294" s="621"/>
      <c r="F294" s="621"/>
      <c r="G294" s="621"/>
      <c r="H294" s="621"/>
      <c r="I294" s="621"/>
      <c r="J294" s="621"/>
      <c r="K294" s="621"/>
      <c r="L294" s="621"/>
      <c r="M294" s="621"/>
      <c r="N294" s="621"/>
      <c r="O294" s="386"/>
      <c r="P294" s="386"/>
      <c r="Q294" s="386"/>
      <c r="R294" s="386"/>
      <c r="S294" s="386"/>
      <c r="T294" s="386"/>
      <c r="U294" s="386"/>
      <c r="V294" s="610"/>
      <c r="W294" s="610"/>
      <c r="X294" s="610"/>
    </row>
    <row r="295" spans="1:24" ht="15.75" customHeight="1">
      <c r="A295" s="386"/>
      <c r="B295" s="386"/>
      <c r="C295" s="621"/>
      <c r="D295" s="621"/>
      <c r="E295" s="621"/>
      <c r="F295" s="621"/>
      <c r="G295" s="621"/>
      <c r="H295" s="621"/>
      <c r="I295" s="621"/>
      <c r="J295" s="621"/>
      <c r="K295" s="621"/>
      <c r="L295" s="621"/>
      <c r="M295" s="621"/>
      <c r="N295" s="621"/>
      <c r="O295" s="386"/>
      <c r="P295" s="386"/>
      <c r="Q295" s="386"/>
      <c r="R295" s="386"/>
      <c r="S295" s="386"/>
      <c r="T295" s="386"/>
      <c r="U295" s="386"/>
      <c r="V295" s="610"/>
      <c r="W295" s="610"/>
      <c r="X295" s="610"/>
    </row>
    <row r="296" spans="1:24" ht="15.75" customHeight="1">
      <c r="A296" s="386"/>
      <c r="B296" s="386"/>
      <c r="C296" s="621"/>
      <c r="D296" s="621"/>
      <c r="E296" s="621"/>
      <c r="F296" s="621"/>
      <c r="G296" s="621"/>
      <c r="H296" s="621"/>
      <c r="I296" s="621"/>
      <c r="J296" s="621"/>
      <c r="K296" s="621"/>
      <c r="L296" s="621"/>
      <c r="M296" s="621"/>
      <c r="N296" s="621"/>
      <c r="O296" s="386"/>
      <c r="P296" s="386"/>
      <c r="Q296" s="386"/>
      <c r="R296" s="386"/>
      <c r="S296" s="386"/>
      <c r="T296" s="386"/>
      <c r="U296" s="386"/>
      <c r="V296" s="610"/>
      <c r="W296" s="610"/>
      <c r="X296" s="610"/>
    </row>
    <row r="297" spans="1:24" ht="15.75" customHeight="1">
      <c r="A297" s="386"/>
      <c r="B297" s="386"/>
      <c r="C297" s="621"/>
      <c r="D297" s="621"/>
      <c r="E297" s="621"/>
      <c r="F297" s="621"/>
      <c r="G297" s="621"/>
      <c r="H297" s="621"/>
      <c r="I297" s="621"/>
      <c r="J297" s="621"/>
      <c r="K297" s="621"/>
      <c r="L297" s="621"/>
      <c r="M297" s="621"/>
      <c r="N297" s="621"/>
      <c r="O297" s="386"/>
      <c r="P297" s="386"/>
      <c r="Q297" s="386"/>
      <c r="R297" s="386"/>
      <c r="S297" s="386"/>
      <c r="T297" s="386"/>
      <c r="U297" s="386"/>
      <c r="V297" s="610"/>
      <c r="W297" s="610"/>
      <c r="X297" s="610"/>
    </row>
    <row r="298" spans="1:24" ht="15.75" customHeight="1">
      <c r="A298" s="386"/>
      <c r="B298" s="386"/>
      <c r="C298" s="621"/>
      <c r="D298" s="621"/>
      <c r="E298" s="621"/>
      <c r="F298" s="621"/>
      <c r="G298" s="621"/>
      <c r="H298" s="621"/>
      <c r="I298" s="621"/>
      <c r="J298" s="621"/>
      <c r="K298" s="621"/>
      <c r="L298" s="621"/>
      <c r="M298" s="621"/>
      <c r="N298" s="621"/>
      <c r="O298" s="386"/>
      <c r="P298" s="386"/>
      <c r="Q298" s="386"/>
      <c r="R298" s="386"/>
      <c r="S298" s="386"/>
      <c r="T298" s="386"/>
      <c r="U298" s="386"/>
      <c r="V298" s="610"/>
      <c r="W298" s="610"/>
      <c r="X298" s="610"/>
    </row>
    <row r="299" spans="1:24" ht="15.75" customHeight="1">
      <c r="A299" s="386"/>
      <c r="B299" s="386"/>
      <c r="C299" s="621"/>
      <c r="D299" s="621"/>
      <c r="E299" s="621"/>
      <c r="F299" s="621"/>
      <c r="G299" s="621"/>
      <c r="H299" s="621"/>
      <c r="I299" s="621"/>
      <c r="J299" s="621"/>
      <c r="K299" s="621"/>
      <c r="L299" s="621"/>
      <c r="M299" s="621"/>
      <c r="N299" s="621"/>
      <c r="O299" s="386"/>
      <c r="P299" s="386"/>
      <c r="Q299" s="386"/>
      <c r="R299" s="386"/>
      <c r="S299" s="386"/>
      <c r="T299" s="386"/>
      <c r="U299" s="386"/>
      <c r="V299" s="610"/>
      <c r="W299" s="610"/>
      <c r="X299" s="610"/>
    </row>
    <row r="300" spans="1:24" ht="15.75" customHeight="1">
      <c r="A300" s="386"/>
      <c r="B300" s="386"/>
      <c r="C300" s="621"/>
      <c r="D300" s="621"/>
      <c r="E300" s="621"/>
      <c r="F300" s="621"/>
      <c r="G300" s="621"/>
      <c r="H300" s="621"/>
      <c r="I300" s="621"/>
      <c r="J300" s="621"/>
      <c r="K300" s="621"/>
      <c r="L300" s="621"/>
      <c r="M300" s="621"/>
      <c r="N300" s="621"/>
      <c r="O300" s="386"/>
      <c r="P300" s="386"/>
      <c r="Q300" s="386"/>
      <c r="R300" s="386"/>
      <c r="S300" s="386"/>
      <c r="T300" s="386"/>
      <c r="U300" s="386"/>
      <c r="V300" s="610"/>
      <c r="W300" s="610"/>
      <c r="X300" s="610"/>
    </row>
    <row r="301" spans="1:24" ht="15.75" customHeight="1">
      <c r="A301" s="386"/>
      <c r="B301" s="386"/>
      <c r="C301" s="621"/>
      <c r="D301" s="621"/>
      <c r="E301" s="621"/>
      <c r="F301" s="621"/>
      <c r="G301" s="621"/>
      <c r="H301" s="621"/>
      <c r="I301" s="621"/>
      <c r="J301" s="621"/>
      <c r="K301" s="621"/>
      <c r="L301" s="621"/>
      <c r="M301" s="621"/>
      <c r="N301" s="621"/>
      <c r="O301" s="386"/>
      <c r="P301" s="386"/>
      <c r="Q301" s="386"/>
      <c r="R301" s="386"/>
      <c r="S301" s="386"/>
      <c r="T301" s="386"/>
      <c r="U301" s="386"/>
      <c r="V301" s="610"/>
      <c r="W301" s="610"/>
      <c r="X301" s="610"/>
    </row>
    <row r="302" spans="1:24" ht="15.75" customHeight="1">
      <c r="A302" s="386"/>
      <c r="B302" s="386"/>
      <c r="C302" s="621"/>
      <c r="D302" s="621"/>
      <c r="E302" s="621"/>
      <c r="F302" s="621"/>
      <c r="G302" s="621"/>
      <c r="H302" s="621"/>
      <c r="I302" s="621"/>
      <c r="J302" s="621"/>
      <c r="K302" s="621"/>
      <c r="L302" s="621"/>
      <c r="M302" s="621"/>
      <c r="N302" s="621"/>
      <c r="O302" s="386"/>
      <c r="P302" s="386"/>
      <c r="Q302" s="386"/>
      <c r="R302" s="386"/>
      <c r="S302" s="386"/>
      <c r="T302" s="386"/>
      <c r="U302" s="386"/>
      <c r="V302" s="610"/>
      <c r="W302" s="610"/>
      <c r="X302" s="610"/>
    </row>
    <row r="303" spans="1:24" ht="15.75" customHeight="1">
      <c r="A303" s="386"/>
      <c r="B303" s="386"/>
      <c r="C303" s="621"/>
      <c r="D303" s="621"/>
      <c r="E303" s="621"/>
      <c r="F303" s="621"/>
      <c r="G303" s="621"/>
      <c r="H303" s="621"/>
      <c r="I303" s="621"/>
      <c r="J303" s="621"/>
      <c r="K303" s="621"/>
      <c r="L303" s="621"/>
      <c r="M303" s="621"/>
      <c r="N303" s="621"/>
      <c r="O303" s="386"/>
      <c r="P303" s="386"/>
      <c r="Q303" s="386"/>
      <c r="R303" s="386"/>
      <c r="S303" s="386"/>
      <c r="T303" s="386"/>
      <c r="U303" s="386"/>
      <c r="V303" s="610"/>
      <c r="W303" s="610"/>
      <c r="X303" s="610"/>
    </row>
    <row r="304" spans="1:24" ht="15.75" customHeight="1">
      <c r="A304" s="386"/>
      <c r="B304" s="386"/>
      <c r="C304" s="621"/>
      <c r="D304" s="621"/>
      <c r="E304" s="621"/>
      <c r="F304" s="621"/>
      <c r="G304" s="621"/>
      <c r="H304" s="621"/>
      <c r="I304" s="621"/>
      <c r="J304" s="621"/>
      <c r="K304" s="621"/>
      <c r="L304" s="621"/>
      <c r="M304" s="621"/>
      <c r="N304" s="621"/>
      <c r="O304" s="386"/>
      <c r="P304" s="386"/>
      <c r="Q304" s="386"/>
      <c r="R304" s="386"/>
      <c r="S304" s="386"/>
      <c r="T304" s="386"/>
      <c r="U304" s="386"/>
      <c r="V304" s="610"/>
      <c r="W304" s="610"/>
      <c r="X304" s="610"/>
    </row>
    <row r="305" spans="1:24" ht="15.75" customHeight="1">
      <c r="A305" s="386"/>
      <c r="B305" s="386"/>
      <c r="C305" s="621"/>
      <c r="D305" s="621"/>
      <c r="E305" s="621"/>
      <c r="F305" s="621"/>
      <c r="G305" s="621"/>
      <c r="H305" s="621"/>
      <c r="I305" s="621"/>
      <c r="J305" s="621"/>
      <c r="K305" s="621"/>
      <c r="L305" s="621"/>
      <c r="M305" s="621"/>
      <c r="N305" s="621"/>
      <c r="O305" s="386"/>
      <c r="P305" s="386"/>
      <c r="Q305" s="386"/>
      <c r="R305" s="386"/>
      <c r="S305" s="386"/>
      <c r="T305" s="386"/>
      <c r="U305" s="386"/>
      <c r="V305" s="610"/>
      <c r="W305" s="610"/>
      <c r="X305" s="610"/>
    </row>
    <row r="306" spans="1:24" ht="15.75" customHeight="1">
      <c r="A306" s="386"/>
      <c r="B306" s="386"/>
      <c r="C306" s="621"/>
      <c r="D306" s="621"/>
      <c r="E306" s="621"/>
      <c r="F306" s="621"/>
      <c r="G306" s="621"/>
      <c r="H306" s="621"/>
      <c r="I306" s="621"/>
      <c r="J306" s="621"/>
      <c r="K306" s="621"/>
      <c r="L306" s="621"/>
      <c r="M306" s="621"/>
      <c r="N306" s="621"/>
      <c r="O306" s="386"/>
      <c r="P306" s="386"/>
      <c r="Q306" s="386"/>
      <c r="R306" s="386"/>
      <c r="S306" s="386"/>
      <c r="T306" s="386"/>
      <c r="U306" s="386"/>
      <c r="V306" s="610"/>
      <c r="W306" s="610"/>
      <c r="X306" s="610"/>
    </row>
    <row r="307" spans="1:24" ht="15.75" customHeight="1">
      <c r="A307" s="386"/>
      <c r="B307" s="386"/>
      <c r="C307" s="621"/>
      <c r="D307" s="621"/>
      <c r="E307" s="621"/>
      <c r="F307" s="621"/>
      <c r="G307" s="621"/>
      <c r="H307" s="621"/>
      <c r="I307" s="621"/>
      <c r="J307" s="621"/>
      <c r="K307" s="621"/>
      <c r="L307" s="621"/>
      <c r="M307" s="621"/>
      <c r="N307" s="621"/>
      <c r="O307" s="386"/>
      <c r="P307" s="386"/>
      <c r="Q307" s="386"/>
      <c r="R307" s="386"/>
      <c r="S307" s="386"/>
      <c r="T307" s="386"/>
      <c r="U307" s="386"/>
      <c r="V307" s="610"/>
      <c r="W307" s="610"/>
      <c r="X307" s="610"/>
    </row>
    <row r="308" spans="1:24" ht="15.75" customHeight="1">
      <c r="A308" s="386"/>
      <c r="B308" s="386"/>
      <c r="C308" s="621"/>
      <c r="D308" s="621"/>
      <c r="E308" s="621"/>
      <c r="F308" s="621"/>
      <c r="G308" s="621"/>
      <c r="H308" s="621"/>
      <c r="I308" s="621"/>
      <c r="J308" s="621"/>
      <c r="K308" s="621"/>
      <c r="L308" s="621"/>
      <c r="M308" s="621"/>
      <c r="N308" s="621"/>
      <c r="O308" s="386"/>
      <c r="P308" s="386"/>
      <c r="Q308" s="386"/>
      <c r="R308" s="386"/>
      <c r="S308" s="386"/>
      <c r="T308" s="386"/>
      <c r="U308" s="386"/>
      <c r="V308" s="610"/>
      <c r="W308" s="610"/>
      <c r="X308" s="610"/>
    </row>
    <row r="309" spans="1:24" ht="15.75" customHeight="1">
      <c r="A309" s="386"/>
      <c r="B309" s="386"/>
      <c r="C309" s="621"/>
      <c r="D309" s="621"/>
      <c r="E309" s="621"/>
      <c r="F309" s="621"/>
      <c r="G309" s="621"/>
      <c r="H309" s="621"/>
      <c r="I309" s="621"/>
      <c r="J309" s="621"/>
      <c r="K309" s="621"/>
      <c r="L309" s="621"/>
      <c r="M309" s="621"/>
      <c r="N309" s="621"/>
      <c r="O309" s="386"/>
      <c r="P309" s="386"/>
      <c r="Q309" s="386"/>
      <c r="R309" s="386"/>
      <c r="S309" s="386"/>
      <c r="T309" s="386"/>
      <c r="U309" s="386"/>
      <c r="V309" s="610"/>
      <c r="W309" s="610"/>
      <c r="X309" s="610"/>
    </row>
    <row r="310" spans="1:24" ht="15.75" customHeight="1">
      <c r="A310" s="386"/>
      <c r="B310" s="386"/>
      <c r="C310" s="621"/>
      <c r="D310" s="621"/>
      <c r="E310" s="621"/>
      <c r="F310" s="621"/>
      <c r="G310" s="621"/>
      <c r="H310" s="621"/>
      <c r="I310" s="621"/>
      <c r="J310" s="621"/>
      <c r="K310" s="621"/>
      <c r="L310" s="621"/>
      <c r="M310" s="621"/>
      <c r="N310" s="621"/>
      <c r="O310" s="386"/>
      <c r="P310" s="386"/>
      <c r="Q310" s="386"/>
      <c r="R310" s="386"/>
      <c r="S310" s="386"/>
      <c r="T310" s="386"/>
      <c r="U310" s="386"/>
      <c r="V310" s="610"/>
      <c r="W310" s="610"/>
      <c r="X310" s="610"/>
    </row>
    <row r="311" spans="1:24" ht="15.75" customHeight="1">
      <c r="A311" s="386"/>
      <c r="B311" s="386"/>
      <c r="C311" s="621"/>
      <c r="D311" s="621"/>
      <c r="E311" s="621"/>
      <c r="F311" s="621"/>
      <c r="G311" s="621"/>
      <c r="H311" s="621"/>
      <c r="I311" s="621"/>
      <c r="J311" s="621"/>
      <c r="K311" s="621"/>
      <c r="L311" s="621"/>
      <c r="M311" s="621"/>
      <c r="N311" s="621"/>
      <c r="O311" s="386"/>
      <c r="P311" s="386"/>
      <c r="Q311" s="386"/>
      <c r="R311" s="386"/>
      <c r="S311" s="386"/>
      <c r="T311" s="386"/>
      <c r="U311" s="386"/>
      <c r="V311" s="610"/>
      <c r="W311" s="610"/>
      <c r="X311" s="610"/>
    </row>
    <row r="312" spans="1:24" ht="15.75" customHeight="1">
      <c r="A312" s="386"/>
      <c r="B312" s="386"/>
      <c r="C312" s="621"/>
      <c r="D312" s="621"/>
      <c r="E312" s="621"/>
      <c r="F312" s="621"/>
      <c r="G312" s="621"/>
      <c r="H312" s="621"/>
      <c r="I312" s="621"/>
      <c r="J312" s="621"/>
      <c r="K312" s="621"/>
      <c r="L312" s="621"/>
      <c r="M312" s="621"/>
      <c r="N312" s="621"/>
      <c r="O312" s="386"/>
      <c r="P312" s="386"/>
      <c r="Q312" s="386"/>
      <c r="R312" s="386"/>
      <c r="S312" s="386"/>
      <c r="T312" s="386"/>
      <c r="U312" s="386"/>
      <c r="V312" s="610"/>
      <c r="W312" s="610"/>
      <c r="X312" s="610"/>
    </row>
    <row r="313" spans="1:24" ht="15.75" customHeight="1">
      <c r="A313" s="386"/>
      <c r="B313" s="386"/>
      <c r="C313" s="621"/>
      <c r="D313" s="621"/>
      <c r="E313" s="621"/>
      <c r="F313" s="621"/>
      <c r="G313" s="621"/>
      <c r="H313" s="621"/>
      <c r="I313" s="621"/>
      <c r="J313" s="621"/>
      <c r="K313" s="621"/>
      <c r="L313" s="621"/>
      <c r="M313" s="621"/>
      <c r="N313" s="621"/>
      <c r="O313" s="386"/>
      <c r="P313" s="386"/>
      <c r="Q313" s="386"/>
      <c r="R313" s="386"/>
      <c r="S313" s="386"/>
      <c r="T313" s="386"/>
      <c r="U313" s="386"/>
      <c r="V313" s="610"/>
      <c r="W313" s="610"/>
      <c r="X313" s="610"/>
    </row>
    <row r="314" spans="1:24" ht="15.75" customHeight="1">
      <c r="A314" s="386"/>
      <c r="B314" s="386"/>
      <c r="C314" s="621"/>
      <c r="D314" s="621"/>
      <c r="E314" s="621"/>
      <c r="F314" s="621"/>
      <c r="G314" s="621"/>
      <c r="H314" s="621"/>
      <c r="I314" s="621"/>
      <c r="J314" s="621"/>
      <c r="K314" s="621"/>
      <c r="L314" s="621"/>
      <c r="M314" s="621"/>
      <c r="N314" s="621"/>
      <c r="O314" s="386"/>
      <c r="P314" s="386"/>
      <c r="Q314" s="386"/>
      <c r="R314" s="386"/>
      <c r="S314" s="386"/>
      <c r="T314" s="386"/>
      <c r="U314" s="386"/>
      <c r="V314" s="610"/>
      <c r="W314" s="610"/>
      <c r="X314" s="610"/>
    </row>
    <row r="315" spans="1:24" ht="15.75" customHeight="1">
      <c r="A315" s="386"/>
      <c r="B315" s="386"/>
      <c r="C315" s="621"/>
      <c r="D315" s="621"/>
      <c r="E315" s="621"/>
      <c r="F315" s="621"/>
      <c r="G315" s="621"/>
      <c r="H315" s="621"/>
      <c r="I315" s="621"/>
      <c r="J315" s="621"/>
      <c r="K315" s="621"/>
      <c r="L315" s="621"/>
      <c r="M315" s="621"/>
      <c r="N315" s="621"/>
      <c r="O315" s="386"/>
      <c r="P315" s="386"/>
      <c r="Q315" s="386"/>
      <c r="R315" s="386"/>
      <c r="S315" s="386"/>
      <c r="T315" s="386"/>
      <c r="U315" s="386"/>
      <c r="V315" s="610"/>
      <c r="W315" s="610"/>
      <c r="X315" s="610"/>
    </row>
    <row r="316" spans="1:24" ht="15.75" customHeight="1">
      <c r="A316" s="386"/>
      <c r="B316" s="386"/>
      <c r="C316" s="621"/>
      <c r="D316" s="621"/>
      <c r="E316" s="621"/>
      <c r="F316" s="621"/>
      <c r="G316" s="621"/>
      <c r="H316" s="621"/>
      <c r="I316" s="621"/>
      <c r="J316" s="621"/>
      <c r="K316" s="621"/>
      <c r="L316" s="621"/>
      <c r="M316" s="621"/>
      <c r="N316" s="621"/>
      <c r="O316" s="386"/>
      <c r="P316" s="386"/>
      <c r="Q316" s="386"/>
      <c r="R316" s="386"/>
      <c r="S316" s="386"/>
      <c r="T316" s="386"/>
      <c r="U316" s="386"/>
      <c r="V316" s="610"/>
      <c r="W316" s="610"/>
      <c r="X316" s="610"/>
    </row>
    <row r="317" spans="1:24" ht="15.75" customHeight="1">
      <c r="A317" s="386"/>
      <c r="B317" s="386"/>
      <c r="C317" s="621"/>
      <c r="D317" s="621"/>
      <c r="E317" s="621"/>
      <c r="F317" s="621"/>
      <c r="G317" s="621"/>
      <c r="H317" s="621"/>
      <c r="I317" s="621"/>
      <c r="J317" s="621"/>
      <c r="K317" s="621"/>
      <c r="L317" s="621"/>
      <c r="M317" s="621"/>
      <c r="N317" s="621"/>
      <c r="O317" s="386"/>
      <c r="P317" s="386"/>
      <c r="Q317" s="386"/>
      <c r="R317" s="386"/>
      <c r="S317" s="386"/>
      <c r="T317" s="386"/>
      <c r="U317" s="386"/>
      <c r="V317" s="610"/>
      <c r="W317" s="610"/>
      <c r="X317" s="610"/>
    </row>
    <row r="318" spans="1:24" ht="15.75" customHeight="1">
      <c r="A318" s="386"/>
      <c r="B318" s="386"/>
      <c r="C318" s="621"/>
      <c r="D318" s="621"/>
      <c r="E318" s="621"/>
      <c r="F318" s="621"/>
      <c r="G318" s="621"/>
      <c r="H318" s="621"/>
      <c r="I318" s="621"/>
      <c r="J318" s="621"/>
      <c r="K318" s="621"/>
      <c r="L318" s="621"/>
      <c r="M318" s="621"/>
      <c r="N318" s="621"/>
      <c r="O318" s="386"/>
      <c r="P318" s="386"/>
      <c r="Q318" s="386"/>
      <c r="R318" s="386"/>
      <c r="S318" s="386"/>
      <c r="T318" s="386"/>
      <c r="U318" s="386"/>
      <c r="V318" s="610"/>
      <c r="W318" s="610"/>
      <c r="X318" s="610"/>
    </row>
    <row r="319" spans="1:24" ht="15.75" customHeight="1">
      <c r="A319" s="386"/>
      <c r="B319" s="386"/>
      <c r="C319" s="621"/>
      <c r="D319" s="621"/>
      <c r="E319" s="621"/>
      <c r="F319" s="621"/>
      <c r="G319" s="621"/>
      <c r="H319" s="621"/>
      <c r="I319" s="621"/>
      <c r="J319" s="621"/>
      <c r="K319" s="621"/>
      <c r="L319" s="621"/>
      <c r="M319" s="621"/>
      <c r="N319" s="621"/>
      <c r="O319" s="386"/>
      <c r="P319" s="386"/>
      <c r="Q319" s="386"/>
      <c r="R319" s="386"/>
      <c r="S319" s="386"/>
      <c r="T319" s="386"/>
      <c r="U319" s="386"/>
      <c r="V319" s="610"/>
      <c r="W319" s="610"/>
      <c r="X319" s="610"/>
    </row>
    <row r="320" spans="1:24" ht="15.75" customHeight="1">
      <c r="A320" s="386"/>
      <c r="B320" s="386"/>
      <c r="C320" s="621"/>
      <c r="D320" s="621"/>
      <c r="E320" s="621"/>
      <c r="F320" s="621"/>
      <c r="G320" s="621"/>
      <c r="H320" s="621"/>
      <c r="I320" s="621"/>
      <c r="J320" s="621"/>
      <c r="K320" s="621"/>
      <c r="L320" s="621"/>
      <c r="M320" s="621"/>
      <c r="N320" s="621"/>
      <c r="O320" s="386"/>
      <c r="P320" s="386"/>
      <c r="Q320" s="386"/>
      <c r="R320" s="386"/>
      <c r="S320" s="386"/>
      <c r="T320" s="386"/>
      <c r="U320" s="386"/>
      <c r="V320" s="610"/>
      <c r="W320" s="610"/>
      <c r="X320" s="610"/>
    </row>
    <row r="321" spans="1:24" ht="15.75" customHeight="1">
      <c r="A321" s="386"/>
      <c r="B321" s="386"/>
      <c r="C321" s="621"/>
      <c r="D321" s="621"/>
      <c r="E321" s="621"/>
      <c r="F321" s="621"/>
      <c r="G321" s="621"/>
      <c r="H321" s="621"/>
      <c r="I321" s="621"/>
      <c r="J321" s="621"/>
      <c r="K321" s="621"/>
      <c r="L321" s="621"/>
      <c r="M321" s="621"/>
      <c r="N321" s="621"/>
      <c r="O321" s="386"/>
      <c r="P321" s="386"/>
      <c r="Q321" s="386"/>
      <c r="R321" s="386"/>
      <c r="S321" s="386"/>
      <c r="T321" s="386"/>
      <c r="U321" s="386"/>
      <c r="V321" s="610"/>
      <c r="W321" s="610"/>
      <c r="X321" s="610"/>
    </row>
    <row r="322" spans="1:24" ht="15.75" customHeight="1">
      <c r="A322" s="386"/>
      <c r="B322" s="386"/>
      <c r="C322" s="621"/>
      <c r="D322" s="621"/>
      <c r="E322" s="621"/>
      <c r="F322" s="621"/>
      <c r="G322" s="621"/>
      <c r="H322" s="621"/>
      <c r="I322" s="621"/>
      <c r="J322" s="621"/>
      <c r="K322" s="621"/>
      <c r="L322" s="621"/>
      <c r="M322" s="621"/>
      <c r="N322" s="621"/>
      <c r="O322" s="386"/>
      <c r="P322" s="386"/>
      <c r="Q322" s="386"/>
      <c r="R322" s="386"/>
      <c r="S322" s="386"/>
      <c r="T322" s="386"/>
      <c r="U322" s="386"/>
      <c r="V322" s="610"/>
      <c r="W322" s="610"/>
      <c r="X322" s="610"/>
    </row>
    <row r="323" spans="1:24" ht="15.75" customHeight="1">
      <c r="A323" s="386"/>
      <c r="B323" s="386"/>
      <c r="C323" s="621"/>
      <c r="D323" s="621"/>
      <c r="E323" s="621"/>
      <c r="F323" s="621"/>
      <c r="G323" s="621"/>
      <c r="H323" s="621"/>
      <c r="I323" s="621"/>
      <c r="J323" s="621"/>
      <c r="K323" s="621"/>
      <c r="L323" s="621"/>
      <c r="M323" s="621"/>
      <c r="N323" s="621"/>
      <c r="O323" s="386"/>
      <c r="P323" s="386"/>
      <c r="Q323" s="386"/>
      <c r="R323" s="386"/>
      <c r="S323" s="386"/>
      <c r="T323" s="386"/>
      <c r="U323" s="386"/>
      <c r="V323" s="610"/>
      <c r="W323" s="610"/>
      <c r="X323" s="610"/>
    </row>
    <row r="324" spans="1:24" ht="15.75" customHeight="1">
      <c r="A324" s="386"/>
      <c r="B324" s="386"/>
      <c r="C324" s="621"/>
      <c r="D324" s="621"/>
      <c r="E324" s="621"/>
      <c r="F324" s="621"/>
      <c r="G324" s="621"/>
      <c r="H324" s="621"/>
      <c r="I324" s="621"/>
      <c r="J324" s="621"/>
      <c r="K324" s="621"/>
      <c r="L324" s="621"/>
      <c r="M324" s="621"/>
      <c r="N324" s="621"/>
      <c r="O324" s="386"/>
      <c r="P324" s="386"/>
      <c r="Q324" s="386"/>
      <c r="R324" s="386"/>
      <c r="S324" s="386"/>
      <c r="T324" s="386"/>
      <c r="U324" s="386"/>
      <c r="V324" s="610"/>
      <c r="W324" s="610"/>
      <c r="X324" s="610"/>
    </row>
    <row r="325" spans="1:24" ht="15.75" customHeight="1">
      <c r="A325" s="386"/>
      <c r="B325" s="386"/>
      <c r="C325" s="621"/>
      <c r="D325" s="621"/>
      <c r="E325" s="621"/>
      <c r="F325" s="621"/>
      <c r="G325" s="621"/>
      <c r="H325" s="621"/>
      <c r="I325" s="621"/>
      <c r="J325" s="621"/>
      <c r="K325" s="621"/>
      <c r="L325" s="621"/>
      <c r="M325" s="621"/>
      <c r="N325" s="621"/>
      <c r="O325" s="386"/>
      <c r="P325" s="386"/>
      <c r="Q325" s="386"/>
      <c r="R325" s="386"/>
      <c r="S325" s="386"/>
      <c r="T325" s="386"/>
      <c r="U325" s="386"/>
      <c r="V325" s="610"/>
      <c r="W325" s="610"/>
      <c r="X325" s="610"/>
    </row>
    <row r="326" spans="1:24" ht="15.75" customHeight="1">
      <c r="A326" s="386"/>
      <c r="B326" s="386"/>
      <c r="C326" s="621"/>
      <c r="D326" s="621"/>
      <c r="E326" s="621"/>
      <c r="F326" s="621"/>
      <c r="G326" s="621"/>
      <c r="H326" s="621"/>
      <c r="I326" s="621"/>
      <c r="J326" s="621"/>
      <c r="K326" s="621"/>
      <c r="L326" s="621"/>
      <c r="M326" s="621"/>
      <c r="N326" s="621"/>
      <c r="O326" s="386"/>
      <c r="P326" s="386"/>
      <c r="Q326" s="386"/>
      <c r="R326" s="386"/>
      <c r="S326" s="386"/>
      <c r="T326" s="386"/>
      <c r="U326" s="386"/>
      <c r="V326" s="610"/>
      <c r="W326" s="610"/>
      <c r="X326" s="610"/>
    </row>
    <row r="327" spans="1:24" ht="15.75" customHeight="1">
      <c r="A327" s="386"/>
      <c r="B327" s="386"/>
      <c r="C327" s="621"/>
      <c r="D327" s="621"/>
      <c r="E327" s="621"/>
      <c r="F327" s="621"/>
      <c r="G327" s="621"/>
      <c r="H327" s="621"/>
      <c r="I327" s="621"/>
      <c r="J327" s="621"/>
      <c r="K327" s="621"/>
      <c r="L327" s="621"/>
      <c r="M327" s="621"/>
      <c r="N327" s="621"/>
      <c r="O327" s="386"/>
      <c r="P327" s="386"/>
      <c r="Q327" s="386"/>
      <c r="R327" s="386"/>
      <c r="S327" s="386"/>
      <c r="T327" s="386"/>
      <c r="U327" s="386"/>
      <c r="V327" s="610"/>
      <c r="W327" s="610"/>
      <c r="X327" s="610"/>
    </row>
    <row r="328" spans="1:24" ht="15.75" customHeight="1">
      <c r="A328" s="386"/>
      <c r="B328" s="386"/>
      <c r="C328" s="621"/>
      <c r="D328" s="621"/>
      <c r="E328" s="621"/>
      <c r="F328" s="621"/>
      <c r="G328" s="621"/>
      <c r="H328" s="621"/>
      <c r="I328" s="621"/>
      <c r="J328" s="621"/>
      <c r="K328" s="621"/>
      <c r="L328" s="621"/>
      <c r="M328" s="621"/>
      <c r="N328" s="621"/>
      <c r="O328" s="386"/>
      <c r="P328" s="386"/>
      <c r="Q328" s="386"/>
      <c r="R328" s="386"/>
      <c r="S328" s="386"/>
      <c r="T328" s="386"/>
      <c r="U328" s="386"/>
      <c r="V328" s="610"/>
      <c r="W328" s="610"/>
      <c r="X328" s="610"/>
    </row>
    <row r="329" spans="1:24" ht="15.75" customHeight="1">
      <c r="A329" s="386"/>
      <c r="B329" s="386"/>
      <c r="C329" s="621"/>
      <c r="D329" s="621"/>
      <c r="E329" s="621"/>
      <c r="F329" s="621"/>
      <c r="G329" s="621"/>
      <c r="H329" s="621"/>
      <c r="I329" s="621"/>
      <c r="J329" s="621"/>
      <c r="K329" s="621"/>
      <c r="L329" s="621"/>
      <c r="M329" s="621"/>
      <c r="N329" s="621"/>
      <c r="O329" s="386"/>
      <c r="P329" s="386"/>
      <c r="Q329" s="386"/>
      <c r="R329" s="386"/>
      <c r="S329" s="386"/>
      <c r="T329" s="386"/>
      <c r="U329" s="386"/>
      <c r="V329" s="610"/>
      <c r="W329" s="610"/>
      <c r="X329" s="610"/>
    </row>
    <row r="330" spans="1:24" ht="15.75" customHeight="1">
      <c r="A330" s="386"/>
      <c r="B330" s="386"/>
      <c r="C330" s="621"/>
      <c r="D330" s="621"/>
      <c r="E330" s="621"/>
      <c r="F330" s="621"/>
      <c r="G330" s="621"/>
      <c r="H330" s="621"/>
      <c r="I330" s="621"/>
      <c r="J330" s="621"/>
      <c r="K330" s="621"/>
      <c r="L330" s="621"/>
      <c r="M330" s="621"/>
      <c r="N330" s="621"/>
      <c r="O330" s="386"/>
      <c r="P330" s="386"/>
      <c r="Q330" s="386"/>
      <c r="R330" s="386"/>
      <c r="S330" s="386"/>
      <c r="T330" s="386"/>
      <c r="U330" s="386"/>
      <c r="V330" s="610"/>
      <c r="W330" s="610"/>
      <c r="X330" s="610"/>
    </row>
    <row r="331" spans="1:24" ht="15.75" customHeight="1">
      <c r="A331" s="386"/>
      <c r="B331" s="386"/>
      <c r="C331" s="621"/>
      <c r="D331" s="621"/>
      <c r="E331" s="621"/>
      <c r="F331" s="621"/>
      <c r="G331" s="621"/>
      <c r="H331" s="621"/>
      <c r="I331" s="621"/>
      <c r="J331" s="621"/>
      <c r="K331" s="621"/>
      <c r="L331" s="621"/>
      <c r="M331" s="621"/>
      <c r="N331" s="621"/>
      <c r="O331" s="386"/>
      <c r="P331" s="386"/>
      <c r="Q331" s="386"/>
      <c r="R331" s="386"/>
      <c r="S331" s="386"/>
      <c r="T331" s="386"/>
      <c r="U331" s="386"/>
      <c r="V331" s="610"/>
      <c r="W331" s="610"/>
      <c r="X331" s="610"/>
    </row>
    <row r="332" spans="1:24" ht="15.75" customHeight="1">
      <c r="A332" s="386"/>
      <c r="B332" s="386"/>
      <c r="C332" s="621"/>
      <c r="D332" s="621"/>
      <c r="E332" s="621"/>
      <c r="F332" s="621"/>
      <c r="G332" s="621"/>
      <c r="H332" s="621"/>
      <c r="I332" s="621"/>
      <c r="J332" s="621"/>
      <c r="K332" s="621"/>
      <c r="L332" s="621"/>
      <c r="M332" s="621"/>
      <c r="N332" s="621"/>
      <c r="O332" s="386"/>
      <c r="P332" s="386"/>
      <c r="Q332" s="386"/>
      <c r="R332" s="386"/>
      <c r="S332" s="386"/>
      <c r="T332" s="386"/>
      <c r="U332" s="386"/>
      <c r="V332" s="610"/>
      <c r="W332" s="610"/>
      <c r="X332" s="610"/>
    </row>
    <row r="333" spans="1:24" ht="15.75" customHeight="1">
      <c r="A333" s="386"/>
      <c r="B333" s="386"/>
      <c r="C333" s="621"/>
      <c r="D333" s="621"/>
      <c r="E333" s="621"/>
      <c r="F333" s="621"/>
      <c r="G333" s="621"/>
      <c r="H333" s="621"/>
      <c r="I333" s="621"/>
      <c r="J333" s="621"/>
      <c r="K333" s="621"/>
      <c r="L333" s="621"/>
      <c r="M333" s="621"/>
      <c r="N333" s="621"/>
      <c r="O333" s="386"/>
      <c r="P333" s="386"/>
      <c r="Q333" s="386"/>
      <c r="R333" s="386"/>
      <c r="S333" s="386"/>
      <c r="T333" s="386"/>
      <c r="U333" s="386"/>
      <c r="V333" s="610"/>
      <c r="W333" s="610"/>
      <c r="X333" s="610"/>
    </row>
    <row r="334" spans="1:24" ht="15.75" customHeight="1">
      <c r="A334" s="386"/>
      <c r="B334" s="386"/>
      <c r="C334" s="621"/>
      <c r="D334" s="621"/>
      <c r="E334" s="621"/>
      <c r="F334" s="621"/>
      <c r="G334" s="621"/>
      <c r="H334" s="621"/>
      <c r="I334" s="621"/>
      <c r="J334" s="621"/>
      <c r="K334" s="621"/>
      <c r="L334" s="621"/>
      <c r="M334" s="621"/>
      <c r="N334" s="621"/>
      <c r="O334" s="386"/>
      <c r="P334" s="386"/>
      <c r="Q334" s="386"/>
      <c r="R334" s="386"/>
      <c r="S334" s="386"/>
      <c r="T334" s="386"/>
      <c r="U334" s="386"/>
      <c r="V334" s="610"/>
      <c r="W334" s="610"/>
      <c r="X334" s="610"/>
    </row>
    <row r="335" spans="1:24" ht="15.75" customHeight="1">
      <c r="A335" s="386"/>
      <c r="B335" s="386"/>
      <c r="C335" s="621"/>
      <c r="D335" s="621"/>
      <c r="E335" s="621"/>
      <c r="F335" s="621"/>
      <c r="G335" s="621"/>
      <c r="H335" s="621"/>
      <c r="I335" s="621"/>
      <c r="J335" s="621"/>
      <c r="K335" s="621"/>
      <c r="L335" s="621"/>
      <c r="M335" s="621"/>
      <c r="N335" s="621"/>
      <c r="O335" s="386"/>
      <c r="P335" s="386"/>
      <c r="Q335" s="386"/>
      <c r="R335" s="386"/>
      <c r="S335" s="386"/>
      <c r="T335" s="386"/>
      <c r="U335" s="386"/>
      <c r="V335" s="610"/>
      <c r="W335" s="610"/>
      <c r="X335" s="610"/>
    </row>
    <row r="336" spans="1:24" ht="15.75" customHeight="1">
      <c r="A336" s="386"/>
      <c r="B336" s="386"/>
      <c r="C336" s="621"/>
      <c r="D336" s="621"/>
      <c r="E336" s="621"/>
      <c r="F336" s="621"/>
      <c r="G336" s="621"/>
      <c r="H336" s="621"/>
      <c r="I336" s="621"/>
      <c r="J336" s="621"/>
      <c r="K336" s="621"/>
      <c r="L336" s="621"/>
      <c r="M336" s="621"/>
      <c r="N336" s="621"/>
      <c r="O336" s="386"/>
      <c r="P336" s="386"/>
      <c r="Q336" s="386"/>
      <c r="R336" s="386"/>
      <c r="S336" s="386"/>
      <c r="T336" s="386"/>
      <c r="U336" s="386"/>
      <c r="V336" s="610"/>
      <c r="W336" s="610"/>
      <c r="X336" s="610"/>
    </row>
    <row r="337" spans="1:24" ht="15.75" customHeight="1">
      <c r="A337" s="386"/>
      <c r="B337" s="386"/>
      <c r="C337" s="621"/>
      <c r="D337" s="621"/>
      <c r="E337" s="621"/>
      <c r="F337" s="621"/>
      <c r="G337" s="621"/>
      <c r="H337" s="621"/>
      <c r="I337" s="621"/>
      <c r="J337" s="621"/>
      <c r="K337" s="621"/>
      <c r="L337" s="621"/>
      <c r="M337" s="621"/>
      <c r="N337" s="621"/>
      <c r="O337" s="386"/>
      <c r="P337" s="386"/>
      <c r="Q337" s="386"/>
      <c r="R337" s="386"/>
      <c r="S337" s="386"/>
      <c r="T337" s="386"/>
      <c r="U337" s="386"/>
      <c r="V337" s="610"/>
      <c r="W337" s="610"/>
      <c r="X337" s="610"/>
    </row>
    <row r="338" spans="1:24" ht="15.75" customHeight="1">
      <c r="A338" s="386"/>
      <c r="B338" s="386"/>
      <c r="C338" s="621"/>
      <c r="D338" s="621"/>
      <c r="E338" s="621"/>
      <c r="F338" s="621"/>
      <c r="G338" s="621"/>
      <c r="H338" s="621"/>
      <c r="I338" s="621"/>
      <c r="J338" s="621"/>
      <c r="K338" s="621"/>
      <c r="L338" s="621"/>
      <c r="M338" s="621"/>
      <c r="N338" s="621"/>
      <c r="O338" s="386"/>
      <c r="P338" s="386"/>
      <c r="Q338" s="386"/>
      <c r="R338" s="386"/>
      <c r="S338" s="386"/>
      <c r="T338" s="386"/>
      <c r="U338" s="386"/>
      <c r="V338" s="610"/>
      <c r="W338" s="610"/>
      <c r="X338" s="610"/>
    </row>
    <row r="339" spans="1:24" ht="15.75" customHeight="1">
      <c r="A339" s="386"/>
      <c r="B339" s="386"/>
      <c r="C339" s="621"/>
      <c r="D339" s="621"/>
      <c r="E339" s="621"/>
      <c r="F339" s="621"/>
      <c r="G339" s="621"/>
      <c r="H339" s="621"/>
      <c r="I339" s="621"/>
      <c r="J339" s="621"/>
      <c r="K339" s="621"/>
      <c r="L339" s="621"/>
      <c r="M339" s="621"/>
      <c r="N339" s="621"/>
      <c r="O339" s="386"/>
      <c r="P339" s="386"/>
      <c r="Q339" s="386"/>
      <c r="R339" s="386"/>
      <c r="S339" s="386"/>
      <c r="T339" s="386"/>
      <c r="U339" s="386"/>
      <c r="V339" s="610"/>
      <c r="W339" s="610"/>
      <c r="X339" s="610"/>
    </row>
    <row r="340" spans="1:24" ht="15.75" customHeight="1">
      <c r="A340" s="386"/>
      <c r="B340" s="386"/>
      <c r="C340" s="621"/>
      <c r="D340" s="621"/>
      <c r="E340" s="621"/>
      <c r="F340" s="621"/>
      <c r="G340" s="621"/>
      <c r="H340" s="621"/>
      <c r="I340" s="621"/>
      <c r="J340" s="621"/>
      <c r="K340" s="621"/>
      <c r="L340" s="621"/>
      <c r="M340" s="621"/>
      <c r="N340" s="621"/>
      <c r="O340" s="386"/>
      <c r="P340" s="386"/>
      <c r="Q340" s="386"/>
      <c r="R340" s="386"/>
      <c r="S340" s="386"/>
      <c r="T340" s="386"/>
      <c r="U340" s="386"/>
      <c r="V340" s="610"/>
      <c r="W340" s="610"/>
      <c r="X340" s="610"/>
    </row>
    <row r="341" spans="1:24" ht="15.75" customHeight="1">
      <c r="A341" s="657"/>
      <c r="B341" s="657"/>
      <c r="C341" s="658"/>
      <c r="D341" s="658"/>
      <c r="E341" s="658"/>
      <c r="F341" s="658"/>
      <c r="G341" s="658"/>
      <c r="H341" s="658"/>
      <c r="I341" s="658"/>
      <c r="J341" s="658"/>
      <c r="K341" s="658"/>
      <c r="L341" s="658"/>
      <c r="M341" s="658"/>
      <c r="N341" s="658"/>
      <c r="O341" s="657"/>
      <c r="P341" s="657"/>
      <c r="Q341" s="657"/>
      <c r="R341" s="657"/>
      <c r="S341" s="657"/>
      <c r="T341" s="657"/>
      <c r="U341" s="657"/>
    </row>
    <row r="342" spans="1:24" ht="15.75" customHeight="1">
      <c r="A342" s="657"/>
      <c r="B342" s="657"/>
      <c r="C342" s="658"/>
      <c r="D342" s="658"/>
      <c r="E342" s="658"/>
      <c r="F342" s="658"/>
      <c r="G342" s="658"/>
      <c r="H342" s="658"/>
      <c r="I342" s="658"/>
      <c r="J342" s="658"/>
      <c r="K342" s="658"/>
      <c r="L342" s="658"/>
      <c r="M342" s="658"/>
      <c r="N342" s="658"/>
      <c r="O342" s="657"/>
      <c r="P342" s="657"/>
      <c r="Q342" s="657"/>
      <c r="R342" s="657"/>
      <c r="S342" s="657"/>
      <c r="T342" s="657"/>
      <c r="U342" s="657"/>
    </row>
    <row r="343" spans="1:24" ht="15.75" customHeight="1">
      <c r="A343" s="657"/>
      <c r="B343" s="657"/>
      <c r="C343" s="658"/>
      <c r="D343" s="658"/>
      <c r="E343" s="658"/>
      <c r="F343" s="658"/>
      <c r="G343" s="658"/>
      <c r="H343" s="658"/>
      <c r="I343" s="658"/>
      <c r="J343" s="658"/>
      <c r="K343" s="658"/>
      <c r="L343" s="658"/>
      <c r="M343" s="658"/>
      <c r="N343" s="658"/>
      <c r="O343" s="657"/>
      <c r="P343" s="657"/>
      <c r="Q343" s="657"/>
      <c r="R343" s="657"/>
      <c r="S343" s="657"/>
      <c r="T343" s="657"/>
      <c r="U343" s="657"/>
    </row>
    <row r="344" spans="1:24" ht="15.75" customHeight="1">
      <c r="A344" s="657"/>
      <c r="B344" s="657"/>
      <c r="C344" s="658"/>
      <c r="D344" s="658"/>
      <c r="E344" s="658"/>
      <c r="F344" s="658"/>
      <c r="G344" s="658"/>
      <c r="H344" s="658"/>
      <c r="I344" s="658"/>
      <c r="J344" s="658"/>
      <c r="K344" s="658"/>
      <c r="L344" s="658"/>
      <c r="M344" s="658"/>
      <c r="N344" s="658"/>
      <c r="O344" s="657"/>
      <c r="P344" s="657"/>
      <c r="Q344" s="657"/>
      <c r="R344" s="657"/>
      <c r="S344" s="657"/>
      <c r="T344" s="657"/>
      <c r="U344" s="657"/>
    </row>
    <row r="345" spans="1:24" ht="15.75" customHeight="1">
      <c r="A345" s="657"/>
      <c r="B345" s="657"/>
      <c r="C345" s="658"/>
      <c r="D345" s="658"/>
      <c r="E345" s="658"/>
      <c r="F345" s="658"/>
      <c r="G345" s="658"/>
      <c r="H345" s="658"/>
      <c r="I345" s="658"/>
      <c r="J345" s="658"/>
      <c r="K345" s="658"/>
      <c r="L345" s="658"/>
      <c r="M345" s="658"/>
      <c r="N345" s="658"/>
      <c r="O345" s="657"/>
      <c r="P345" s="657"/>
      <c r="Q345" s="657"/>
      <c r="R345" s="657"/>
      <c r="S345" s="657"/>
      <c r="T345" s="657"/>
      <c r="U345" s="657"/>
    </row>
    <row r="346" spans="1:24" ht="15.75" customHeight="1">
      <c r="A346" s="657"/>
      <c r="B346" s="657"/>
      <c r="C346" s="658"/>
      <c r="D346" s="658"/>
      <c r="E346" s="658"/>
      <c r="F346" s="658"/>
      <c r="G346" s="658"/>
      <c r="H346" s="658"/>
      <c r="I346" s="658"/>
      <c r="J346" s="658"/>
      <c r="K346" s="658"/>
      <c r="L346" s="658"/>
      <c r="M346" s="658"/>
      <c r="N346" s="658"/>
      <c r="O346" s="657"/>
      <c r="P346" s="657"/>
      <c r="Q346" s="657"/>
      <c r="R346" s="657"/>
      <c r="S346" s="657"/>
      <c r="T346" s="657"/>
      <c r="U346" s="657"/>
    </row>
    <row r="347" spans="1:24" ht="15.75" customHeight="1">
      <c r="A347" s="657"/>
      <c r="B347" s="657"/>
      <c r="C347" s="658"/>
      <c r="D347" s="658"/>
      <c r="E347" s="658"/>
      <c r="F347" s="658"/>
      <c r="G347" s="658"/>
      <c r="H347" s="658"/>
      <c r="I347" s="658"/>
      <c r="J347" s="658"/>
      <c r="K347" s="658"/>
      <c r="L347" s="658"/>
      <c r="M347" s="658"/>
      <c r="N347" s="658"/>
      <c r="O347" s="657"/>
      <c r="P347" s="657"/>
      <c r="Q347" s="657"/>
      <c r="R347" s="657"/>
      <c r="S347" s="657"/>
      <c r="T347" s="657"/>
      <c r="U347" s="657"/>
    </row>
    <row r="348" spans="1:24" ht="15.75" customHeight="1">
      <c r="A348" s="657"/>
      <c r="B348" s="657"/>
      <c r="C348" s="658"/>
      <c r="D348" s="658"/>
      <c r="E348" s="658"/>
      <c r="F348" s="658"/>
      <c r="G348" s="658"/>
      <c r="H348" s="658"/>
      <c r="I348" s="658"/>
      <c r="J348" s="658"/>
      <c r="K348" s="658"/>
      <c r="L348" s="658"/>
      <c r="M348" s="658"/>
      <c r="N348" s="658"/>
      <c r="O348" s="657"/>
      <c r="P348" s="657"/>
      <c r="Q348" s="657"/>
      <c r="R348" s="657"/>
      <c r="S348" s="657"/>
      <c r="T348" s="657"/>
      <c r="U348" s="657"/>
    </row>
    <row r="349" spans="1:24" ht="15.75" customHeight="1">
      <c r="A349" s="657"/>
      <c r="B349" s="657"/>
      <c r="C349" s="658"/>
      <c r="D349" s="658"/>
      <c r="E349" s="658"/>
      <c r="F349" s="658"/>
      <c r="G349" s="658"/>
      <c r="H349" s="658"/>
      <c r="I349" s="658"/>
      <c r="J349" s="658"/>
      <c r="K349" s="658"/>
      <c r="L349" s="658"/>
      <c r="M349" s="658"/>
      <c r="N349" s="658"/>
      <c r="O349" s="657"/>
      <c r="P349" s="657"/>
      <c r="Q349" s="657"/>
      <c r="R349" s="657"/>
      <c r="S349" s="657"/>
      <c r="T349" s="657"/>
      <c r="U349" s="657"/>
    </row>
    <row r="350" spans="1:24" ht="15.75" customHeight="1">
      <c r="A350" s="657"/>
      <c r="B350" s="657"/>
      <c r="C350" s="658"/>
      <c r="D350" s="658"/>
      <c r="E350" s="658"/>
      <c r="F350" s="658"/>
      <c r="G350" s="658"/>
      <c r="H350" s="658"/>
      <c r="I350" s="658"/>
      <c r="J350" s="658"/>
      <c r="K350" s="658"/>
      <c r="L350" s="658"/>
      <c r="M350" s="658"/>
      <c r="N350" s="658"/>
      <c r="O350" s="657"/>
      <c r="P350" s="657"/>
      <c r="Q350" s="657"/>
      <c r="R350" s="657"/>
      <c r="S350" s="657"/>
      <c r="T350" s="657"/>
      <c r="U350" s="657"/>
    </row>
    <row r="351" spans="1:24" ht="15.75" customHeight="1">
      <c r="A351" s="657"/>
      <c r="B351" s="657"/>
      <c r="C351" s="658"/>
      <c r="D351" s="658"/>
      <c r="E351" s="658"/>
      <c r="F351" s="658"/>
      <c r="G351" s="658"/>
      <c r="H351" s="658"/>
      <c r="I351" s="658"/>
      <c r="J351" s="658"/>
      <c r="K351" s="658"/>
      <c r="L351" s="658"/>
      <c r="M351" s="658"/>
      <c r="N351" s="658"/>
      <c r="O351" s="657"/>
      <c r="P351" s="657"/>
      <c r="Q351" s="657"/>
      <c r="R351" s="657"/>
      <c r="S351" s="657"/>
      <c r="T351" s="657"/>
      <c r="U351" s="657"/>
    </row>
    <row r="352" spans="1:24" ht="15.75" customHeight="1">
      <c r="A352" s="657"/>
      <c r="B352" s="657"/>
      <c r="C352" s="658"/>
      <c r="D352" s="658"/>
      <c r="E352" s="658"/>
      <c r="F352" s="658"/>
      <c r="G352" s="658"/>
      <c r="H352" s="658"/>
      <c r="I352" s="658"/>
      <c r="J352" s="658"/>
      <c r="K352" s="658"/>
      <c r="L352" s="658"/>
      <c r="M352" s="658"/>
      <c r="N352" s="658"/>
      <c r="O352" s="657"/>
      <c r="P352" s="657"/>
      <c r="Q352" s="657"/>
      <c r="R352" s="657"/>
      <c r="S352" s="657"/>
      <c r="T352" s="657"/>
      <c r="U352" s="657"/>
    </row>
    <row r="353" spans="1:21" ht="15.75" customHeight="1">
      <c r="A353" s="657"/>
      <c r="B353" s="657"/>
      <c r="C353" s="658"/>
      <c r="D353" s="658"/>
      <c r="E353" s="658"/>
      <c r="F353" s="658"/>
      <c r="G353" s="658"/>
      <c r="H353" s="658"/>
      <c r="I353" s="658"/>
      <c r="J353" s="658"/>
      <c r="K353" s="658"/>
      <c r="L353" s="658"/>
      <c r="M353" s="658"/>
      <c r="N353" s="658"/>
      <c r="O353" s="657"/>
      <c r="P353" s="657"/>
      <c r="Q353" s="657"/>
      <c r="R353" s="657"/>
      <c r="S353" s="657"/>
      <c r="T353" s="657"/>
      <c r="U353" s="657"/>
    </row>
    <row r="354" spans="1:21" ht="15.75" customHeight="1">
      <c r="A354" s="657"/>
      <c r="B354" s="657"/>
      <c r="C354" s="658"/>
      <c r="D354" s="658"/>
      <c r="E354" s="658"/>
      <c r="F354" s="658"/>
      <c r="G354" s="658"/>
      <c r="H354" s="658"/>
      <c r="I354" s="658"/>
      <c r="J354" s="658"/>
      <c r="K354" s="658"/>
      <c r="L354" s="658"/>
      <c r="M354" s="658"/>
      <c r="N354" s="658"/>
      <c r="O354" s="657"/>
      <c r="P354" s="657"/>
      <c r="Q354" s="657"/>
      <c r="R354" s="657"/>
      <c r="S354" s="657"/>
      <c r="T354" s="657"/>
      <c r="U354" s="657"/>
    </row>
    <row r="355" spans="1:21" ht="15.75" customHeight="1">
      <c r="C355" s="659"/>
      <c r="D355" s="659"/>
      <c r="E355" s="659"/>
      <c r="F355" s="659"/>
      <c r="G355" s="659"/>
      <c r="H355" s="659"/>
      <c r="I355" s="659"/>
      <c r="J355" s="659"/>
      <c r="K355" s="659"/>
      <c r="L355" s="659"/>
      <c r="M355" s="659"/>
      <c r="N355" s="659"/>
    </row>
    <row r="356" spans="1:21" ht="15.75" customHeight="1">
      <c r="C356" s="659"/>
      <c r="D356" s="659"/>
      <c r="E356" s="659"/>
      <c r="F356" s="659"/>
      <c r="G356" s="659"/>
      <c r="H356" s="659"/>
      <c r="I356" s="659"/>
      <c r="J356" s="659"/>
      <c r="K356" s="659"/>
      <c r="L356" s="659"/>
      <c r="M356" s="659"/>
      <c r="N356" s="659"/>
    </row>
    <row r="357" spans="1:21" ht="15.75" customHeight="1">
      <c r="C357" s="659"/>
      <c r="D357" s="659"/>
      <c r="E357" s="659"/>
      <c r="F357" s="659"/>
      <c r="G357" s="659"/>
      <c r="H357" s="659"/>
      <c r="I357" s="659"/>
      <c r="J357" s="659"/>
      <c r="K357" s="659"/>
      <c r="L357" s="659"/>
      <c r="M357" s="659"/>
      <c r="N357" s="659"/>
    </row>
    <row r="358" spans="1:21" ht="15.75" customHeight="1">
      <c r="C358" s="659"/>
      <c r="D358" s="659"/>
      <c r="E358" s="659"/>
      <c r="F358" s="659"/>
      <c r="G358" s="659"/>
      <c r="H358" s="659"/>
      <c r="I358" s="659"/>
      <c r="J358" s="659"/>
      <c r="K358" s="659"/>
      <c r="L358" s="659"/>
      <c r="M358" s="659"/>
      <c r="N358" s="659"/>
    </row>
    <row r="359" spans="1:21" ht="15.75" customHeight="1">
      <c r="C359" s="659"/>
      <c r="D359" s="659"/>
      <c r="E359" s="659"/>
      <c r="F359" s="659"/>
      <c r="G359" s="659"/>
      <c r="H359" s="659"/>
      <c r="I359" s="659"/>
      <c r="J359" s="659"/>
      <c r="K359" s="659"/>
      <c r="L359" s="659"/>
      <c r="M359" s="659"/>
      <c r="N359" s="659"/>
    </row>
    <row r="360" spans="1:21" ht="15.75" customHeight="1">
      <c r="C360" s="659"/>
      <c r="D360" s="659"/>
      <c r="E360" s="659"/>
      <c r="F360" s="659"/>
      <c r="G360" s="659"/>
      <c r="H360" s="659"/>
      <c r="I360" s="659"/>
      <c r="J360" s="659"/>
      <c r="K360" s="659"/>
      <c r="L360" s="659"/>
      <c r="M360" s="659"/>
      <c r="N360" s="659"/>
    </row>
    <row r="361" spans="1:21" ht="15.75" customHeight="1">
      <c r="C361" s="659"/>
      <c r="D361" s="659"/>
      <c r="E361" s="659"/>
      <c r="F361" s="659"/>
      <c r="G361" s="659"/>
      <c r="H361" s="659"/>
      <c r="I361" s="659"/>
      <c r="J361" s="659"/>
      <c r="K361" s="659"/>
      <c r="L361" s="659"/>
      <c r="M361" s="659"/>
      <c r="N361" s="659"/>
    </row>
    <row r="362" spans="1:21" ht="15.75" customHeight="1">
      <c r="C362" s="659"/>
      <c r="D362" s="659"/>
      <c r="E362" s="659"/>
      <c r="F362" s="659"/>
      <c r="G362" s="659"/>
      <c r="H362" s="659"/>
      <c r="I362" s="659"/>
      <c r="J362" s="659"/>
      <c r="K362" s="659"/>
      <c r="L362" s="659"/>
      <c r="M362" s="659"/>
      <c r="N362" s="659"/>
    </row>
    <row r="363" spans="1:21" ht="15.75" customHeight="1">
      <c r="C363" s="659"/>
      <c r="D363" s="659"/>
      <c r="E363" s="659"/>
      <c r="F363" s="659"/>
      <c r="G363" s="659"/>
      <c r="H363" s="659"/>
      <c r="I363" s="659"/>
      <c r="J363" s="659"/>
      <c r="K363" s="659"/>
      <c r="L363" s="659"/>
      <c r="M363" s="659"/>
      <c r="N363" s="659"/>
    </row>
    <row r="364" spans="1:21" ht="15.75" customHeight="1">
      <c r="C364" s="659"/>
      <c r="D364" s="659"/>
      <c r="E364" s="659"/>
      <c r="F364" s="659"/>
      <c r="G364" s="659"/>
      <c r="H364" s="659"/>
      <c r="I364" s="659"/>
      <c r="J364" s="659"/>
      <c r="K364" s="659"/>
      <c r="L364" s="659"/>
      <c r="M364" s="659"/>
      <c r="N364" s="659"/>
    </row>
    <row r="365" spans="1:21" ht="15.75" customHeight="1">
      <c r="C365" s="659"/>
      <c r="D365" s="659"/>
      <c r="E365" s="659"/>
      <c r="F365" s="659"/>
      <c r="G365" s="659"/>
      <c r="H365" s="659"/>
      <c r="I365" s="659"/>
      <c r="J365" s="659"/>
      <c r="K365" s="659"/>
      <c r="L365" s="659"/>
      <c r="M365" s="659"/>
      <c r="N365" s="659"/>
    </row>
    <row r="366" spans="1:21" ht="15.75" customHeight="1">
      <c r="C366" s="659"/>
      <c r="D366" s="659"/>
      <c r="E366" s="659"/>
      <c r="F366" s="659"/>
      <c r="G366" s="659"/>
      <c r="H366" s="659"/>
      <c r="I366" s="659"/>
      <c r="J366" s="659"/>
      <c r="K366" s="659"/>
      <c r="L366" s="659"/>
      <c r="M366" s="659"/>
      <c r="N366" s="659"/>
    </row>
    <row r="367" spans="1:21" ht="15.75" customHeight="1">
      <c r="C367" s="659"/>
      <c r="D367" s="659"/>
      <c r="E367" s="659"/>
      <c r="F367" s="659"/>
      <c r="G367" s="659"/>
      <c r="H367" s="659"/>
      <c r="I367" s="659"/>
      <c r="J367" s="659"/>
      <c r="K367" s="659"/>
      <c r="L367" s="659"/>
      <c r="M367" s="659"/>
      <c r="N367" s="659"/>
    </row>
    <row r="368" spans="1:21" ht="15.75" customHeight="1">
      <c r="C368" s="659"/>
      <c r="D368" s="659"/>
      <c r="E368" s="659"/>
      <c r="F368" s="659"/>
      <c r="G368" s="659"/>
      <c r="H368" s="659"/>
      <c r="I368" s="659"/>
      <c r="J368" s="659"/>
      <c r="K368" s="659"/>
      <c r="L368" s="659"/>
      <c r="M368" s="659"/>
      <c r="N368" s="659"/>
    </row>
    <row r="369" spans="3:14" ht="15.75" customHeight="1">
      <c r="C369" s="659"/>
      <c r="D369" s="659"/>
      <c r="E369" s="659"/>
      <c r="F369" s="659"/>
      <c r="G369" s="659"/>
      <c r="H369" s="659"/>
      <c r="I369" s="659"/>
      <c r="J369" s="659"/>
      <c r="K369" s="659"/>
      <c r="L369" s="659"/>
      <c r="M369" s="659"/>
      <c r="N369" s="659"/>
    </row>
    <row r="370" spans="3:14" ht="15.75" customHeight="1">
      <c r="C370" s="659"/>
      <c r="D370" s="659"/>
      <c r="E370" s="659"/>
      <c r="F370" s="659"/>
      <c r="G370" s="659"/>
      <c r="H370" s="659"/>
      <c r="I370" s="659"/>
      <c r="J370" s="659"/>
      <c r="K370" s="659"/>
      <c r="L370" s="659"/>
      <c r="M370" s="659"/>
      <c r="N370" s="659"/>
    </row>
    <row r="371" spans="3:14" ht="15.75" customHeight="1">
      <c r="C371" s="659"/>
      <c r="D371" s="659"/>
      <c r="E371" s="659"/>
      <c r="F371" s="659"/>
      <c r="G371" s="659"/>
      <c r="H371" s="659"/>
      <c r="I371" s="659"/>
      <c r="J371" s="659"/>
      <c r="K371" s="659"/>
      <c r="L371" s="659"/>
      <c r="M371" s="659"/>
      <c r="N371" s="659"/>
    </row>
    <row r="372" spans="3:14" ht="15.75" customHeight="1">
      <c r="C372" s="659"/>
      <c r="D372" s="659"/>
      <c r="E372" s="659"/>
      <c r="F372" s="659"/>
      <c r="G372" s="659"/>
      <c r="H372" s="659"/>
      <c r="I372" s="659"/>
      <c r="J372" s="659"/>
      <c r="K372" s="659"/>
      <c r="L372" s="659"/>
      <c r="M372" s="659"/>
      <c r="N372" s="659"/>
    </row>
    <row r="373" spans="3:14" ht="15.75" customHeight="1">
      <c r="C373" s="659"/>
      <c r="D373" s="659"/>
      <c r="E373" s="659"/>
      <c r="F373" s="659"/>
      <c r="G373" s="659"/>
      <c r="H373" s="659"/>
      <c r="I373" s="659"/>
      <c r="J373" s="659"/>
      <c r="K373" s="659"/>
      <c r="L373" s="659"/>
      <c r="M373" s="659"/>
      <c r="N373" s="659"/>
    </row>
    <row r="374" spans="3:14" ht="15.75" customHeight="1">
      <c r="C374" s="659"/>
      <c r="D374" s="659"/>
      <c r="E374" s="659"/>
      <c r="F374" s="659"/>
      <c r="G374" s="659"/>
      <c r="H374" s="659"/>
      <c r="I374" s="659"/>
      <c r="J374" s="659"/>
      <c r="K374" s="659"/>
      <c r="L374" s="659"/>
      <c r="M374" s="659"/>
      <c r="N374" s="659"/>
    </row>
    <row r="375" spans="3:14" ht="15.75" customHeight="1">
      <c r="C375" s="659"/>
      <c r="D375" s="659"/>
      <c r="E375" s="659"/>
      <c r="F375" s="659"/>
      <c r="G375" s="659"/>
      <c r="H375" s="659"/>
      <c r="I375" s="659"/>
      <c r="J375" s="659"/>
      <c r="K375" s="659"/>
      <c r="L375" s="659"/>
      <c r="M375" s="659"/>
      <c r="N375" s="659"/>
    </row>
    <row r="376" spans="3:14" ht="15.75" customHeight="1">
      <c r="C376" s="659"/>
      <c r="D376" s="659"/>
      <c r="E376" s="659"/>
      <c r="F376" s="659"/>
      <c r="G376" s="659"/>
      <c r="H376" s="659"/>
      <c r="I376" s="659"/>
      <c r="J376" s="659"/>
      <c r="K376" s="659"/>
      <c r="L376" s="659"/>
      <c r="M376" s="659"/>
      <c r="N376" s="659"/>
    </row>
    <row r="377" spans="3:14" ht="15.75" customHeight="1">
      <c r="C377" s="659"/>
      <c r="D377" s="659"/>
      <c r="E377" s="659"/>
      <c r="F377" s="659"/>
      <c r="G377" s="659"/>
      <c r="H377" s="659"/>
      <c r="I377" s="659"/>
      <c r="J377" s="659"/>
      <c r="K377" s="659"/>
      <c r="L377" s="659"/>
      <c r="M377" s="659"/>
      <c r="N377" s="659"/>
    </row>
    <row r="378" spans="3:14" ht="15.75" customHeight="1">
      <c r="C378" s="659"/>
      <c r="D378" s="659"/>
      <c r="E378" s="659"/>
      <c r="F378" s="659"/>
      <c r="G378" s="659"/>
      <c r="H378" s="659"/>
      <c r="I378" s="659"/>
      <c r="J378" s="659"/>
      <c r="K378" s="659"/>
      <c r="L378" s="659"/>
      <c r="M378" s="659"/>
      <c r="N378" s="659"/>
    </row>
    <row r="379" spans="3:14" ht="15.75" customHeight="1">
      <c r="C379" s="659"/>
      <c r="D379" s="659"/>
      <c r="E379" s="659"/>
      <c r="F379" s="659"/>
      <c r="G379" s="659"/>
      <c r="H379" s="659"/>
      <c r="I379" s="659"/>
      <c r="J379" s="659"/>
      <c r="K379" s="659"/>
      <c r="L379" s="659"/>
      <c r="M379" s="659"/>
      <c r="N379" s="659"/>
    </row>
    <row r="380" spans="3:14" ht="15.75" customHeight="1">
      <c r="C380" s="659"/>
      <c r="D380" s="659"/>
      <c r="E380" s="659"/>
      <c r="F380" s="659"/>
      <c r="G380" s="659"/>
      <c r="H380" s="659"/>
      <c r="I380" s="659"/>
      <c r="J380" s="659"/>
      <c r="K380" s="659"/>
      <c r="L380" s="659"/>
      <c r="M380" s="659"/>
      <c r="N380" s="659"/>
    </row>
    <row r="381" spans="3:14" ht="15.75" customHeight="1">
      <c r="C381" s="659"/>
      <c r="D381" s="659"/>
      <c r="E381" s="659"/>
      <c r="F381" s="659"/>
      <c r="G381" s="659"/>
      <c r="H381" s="659"/>
      <c r="I381" s="659"/>
      <c r="J381" s="659"/>
      <c r="K381" s="659"/>
      <c r="L381" s="659"/>
      <c r="M381" s="659"/>
      <c r="N381" s="659"/>
    </row>
    <row r="382" spans="3:14" ht="14.25" customHeight="1">
      <c r="C382" s="659"/>
      <c r="D382" s="659"/>
      <c r="E382" s="659"/>
      <c r="F382" s="659"/>
      <c r="G382" s="659"/>
      <c r="H382" s="659"/>
      <c r="I382" s="659"/>
      <c r="J382" s="659"/>
      <c r="K382" s="659"/>
      <c r="L382" s="659"/>
      <c r="M382" s="659"/>
      <c r="N382" s="659"/>
    </row>
    <row r="383" spans="3:14" ht="14.25" customHeight="1">
      <c r="C383" s="659"/>
      <c r="D383" s="659"/>
      <c r="E383" s="659"/>
      <c r="F383" s="659"/>
      <c r="G383" s="659"/>
      <c r="H383" s="659"/>
      <c r="I383" s="659"/>
      <c r="J383" s="659"/>
      <c r="K383" s="659"/>
      <c r="L383" s="659"/>
      <c r="M383" s="659"/>
      <c r="N383" s="659"/>
    </row>
    <row r="384" spans="3:14" ht="14.25" customHeight="1">
      <c r="C384" s="659"/>
      <c r="D384" s="659"/>
      <c r="E384" s="659"/>
      <c r="F384" s="659"/>
      <c r="G384" s="659"/>
      <c r="H384" s="659"/>
      <c r="I384" s="659"/>
      <c r="J384" s="659"/>
      <c r="K384" s="659"/>
      <c r="L384" s="659"/>
      <c r="M384" s="659"/>
      <c r="N384" s="659"/>
    </row>
    <row r="385" spans="3:14" ht="14.25" customHeight="1">
      <c r="C385" s="659"/>
      <c r="D385" s="659"/>
      <c r="E385" s="659"/>
      <c r="F385" s="659"/>
      <c r="G385" s="659"/>
      <c r="H385" s="659"/>
      <c r="I385" s="659"/>
      <c r="J385" s="659"/>
      <c r="K385" s="659"/>
      <c r="L385" s="659"/>
      <c r="M385" s="659"/>
      <c r="N385" s="659"/>
    </row>
    <row r="386" spans="3:14" ht="14.25" customHeight="1">
      <c r="C386" s="659"/>
      <c r="D386" s="659"/>
      <c r="E386" s="659"/>
      <c r="F386" s="659"/>
      <c r="G386" s="659"/>
      <c r="H386" s="659"/>
      <c r="I386" s="659"/>
      <c r="J386" s="659"/>
      <c r="K386" s="659"/>
      <c r="L386" s="659"/>
      <c r="M386" s="659"/>
      <c r="N386" s="659"/>
    </row>
    <row r="387" spans="3:14" ht="14.25" customHeight="1">
      <c r="C387" s="659"/>
      <c r="D387" s="659"/>
      <c r="E387" s="659"/>
      <c r="F387" s="659"/>
      <c r="G387" s="659"/>
      <c r="H387" s="659"/>
      <c r="I387" s="659"/>
      <c r="J387" s="659"/>
      <c r="K387" s="659"/>
      <c r="L387" s="659"/>
      <c r="M387" s="659"/>
      <c r="N387" s="659"/>
    </row>
    <row r="388" spans="3:14" ht="14.25" customHeight="1">
      <c r="C388" s="659"/>
      <c r="D388" s="659"/>
      <c r="E388" s="659"/>
      <c r="F388" s="659"/>
      <c r="G388" s="659"/>
      <c r="H388" s="659"/>
      <c r="I388" s="659"/>
      <c r="J388" s="659"/>
      <c r="K388" s="659"/>
      <c r="L388" s="659"/>
      <c r="M388" s="659"/>
      <c r="N388" s="659"/>
    </row>
    <row r="389" spans="3:14" ht="14.25" customHeight="1">
      <c r="C389" s="659"/>
      <c r="D389" s="659"/>
      <c r="E389" s="659"/>
      <c r="F389" s="659"/>
      <c r="G389" s="659"/>
      <c r="H389" s="659"/>
      <c r="I389" s="659"/>
      <c r="J389" s="659"/>
      <c r="K389" s="659"/>
      <c r="L389" s="659"/>
      <c r="M389" s="659"/>
      <c r="N389" s="659"/>
    </row>
    <row r="390" spans="3:14" ht="14.25" customHeight="1">
      <c r="C390" s="659"/>
      <c r="D390" s="659"/>
      <c r="E390" s="659"/>
      <c r="F390" s="659"/>
      <c r="G390" s="659"/>
      <c r="H390" s="659"/>
      <c r="I390" s="659"/>
      <c r="J390" s="659"/>
      <c r="K390" s="659"/>
      <c r="L390" s="659"/>
      <c r="M390" s="659"/>
      <c r="N390" s="659"/>
    </row>
    <row r="391" spans="3:14" ht="14.25" customHeight="1">
      <c r="C391" s="659"/>
      <c r="D391" s="659"/>
      <c r="E391" s="659"/>
      <c r="F391" s="659"/>
      <c r="G391" s="659"/>
      <c r="H391" s="659"/>
      <c r="I391" s="659"/>
      <c r="J391" s="659"/>
      <c r="K391" s="659"/>
      <c r="L391" s="659"/>
      <c r="M391" s="659"/>
      <c r="N391" s="659"/>
    </row>
    <row r="392" spans="3:14" ht="14.25" customHeight="1">
      <c r="C392" s="659"/>
      <c r="D392" s="659"/>
      <c r="E392" s="659"/>
      <c r="F392" s="659"/>
      <c r="G392" s="659"/>
      <c r="H392" s="659"/>
      <c r="I392" s="659"/>
      <c r="J392" s="659"/>
      <c r="K392" s="659"/>
      <c r="L392" s="659"/>
      <c r="M392" s="659"/>
      <c r="N392" s="659"/>
    </row>
    <row r="393" spans="3:14" ht="14.25" customHeight="1">
      <c r="C393" s="659"/>
      <c r="D393" s="659"/>
      <c r="E393" s="659"/>
      <c r="F393" s="659"/>
      <c r="G393" s="659"/>
      <c r="H393" s="659"/>
      <c r="I393" s="659"/>
      <c r="J393" s="659"/>
      <c r="K393" s="659"/>
      <c r="L393" s="659"/>
      <c r="M393" s="659"/>
      <c r="N393" s="659"/>
    </row>
    <row r="394" spans="3:14" ht="14.25" customHeight="1">
      <c r="C394" s="659"/>
      <c r="D394" s="659"/>
      <c r="E394" s="659"/>
      <c r="F394" s="659"/>
      <c r="G394" s="659"/>
      <c r="H394" s="659"/>
      <c r="I394" s="659"/>
      <c r="J394" s="659"/>
      <c r="K394" s="659"/>
      <c r="L394" s="659"/>
      <c r="M394" s="659"/>
      <c r="N394" s="659"/>
    </row>
    <row r="395" spans="3:14" ht="14.25" customHeight="1">
      <c r="C395" s="659"/>
      <c r="D395" s="659"/>
      <c r="E395" s="659"/>
      <c r="F395" s="659"/>
      <c r="G395" s="659"/>
      <c r="H395" s="659"/>
      <c r="I395" s="659"/>
      <c r="J395" s="659"/>
      <c r="K395" s="659"/>
      <c r="L395" s="659"/>
      <c r="M395" s="659"/>
      <c r="N395" s="659"/>
    </row>
    <row r="396" spans="3:14" ht="14.25" customHeight="1">
      <c r="C396" s="659"/>
      <c r="D396" s="659"/>
      <c r="E396" s="659"/>
      <c r="F396" s="659"/>
      <c r="G396" s="659"/>
      <c r="H396" s="659"/>
      <c r="I396" s="659"/>
      <c r="J396" s="659"/>
      <c r="K396" s="659"/>
      <c r="L396" s="659"/>
      <c r="M396" s="659"/>
      <c r="N396" s="659"/>
    </row>
    <row r="397" spans="3:14" ht="14.25" customHeight="1">
      <c r="C397" s="659"/>
      <c r="D397" s="659"/>
      <c r="E397" s="659"/>
      <c r="F397" s="659"/>
      <c r="G397" s="659"/>
      <c r="H397" s="659"/>
      <c r="I397" s="659"/>
      <c r="J397" s="659"/>
      <c r="K397" s="659"/>
      <c r="L397" s="659"/>
      <c r="M397" s="659"/>
      <c r="N397" s="659"/>
    </row>
    <row r="398" spans="3:14" ht="14.25" customHeight="1">
      <c r="C398" s="659"/>
      <c r="D398" s="659"/>
      <c r="E398" s="659"/>
      <c r="F398" s="659"/>
      <c r="G398" s="659"/>
      <c r="H398" s="659"/>
      <c r="I398" s="659"/>
      <c r="J398" s="659"/>
      <c r="K398" s="659"/>
      <c r="L398" s="659"/>
      <c r="M398" s="659"/>
      <c r="N398" s="659"/>
    </row>
    <row r="399" spans="3:14" ht="14.25" customHeight="1">
      <c r="C399" s="659"/>
      <c r="D399" s="659"/>
      <c r="E399" s="659"/>
      <c r="F399" s="659"/>
      <c r="G399" s="659"/>
      <c r="H399" s="659"/>
      <c r="I399" s="659"/>
      <c r="J399" s="659"/>
      <c r="K399" s="659"/>
      <c r="L399" s="659"/>
      <c r="M399" s="659"/>
      <c r="N399" s="659"/>
    </row>
    <row r="400" spans="3:14" ht="14.25" customHeight="1">
      <c r="C400" s="659"/>
      <c r="D400" s="659"/>
      <c r="E400" s="659"/>
      <c r="F400" s="659"/>
      <c r="G400" s="659"/>
      <c r="H400" s="659"/>
      <c r="I400" s="659"/>
      <c r="J400" s="659"/>
      <c r="K400" s="659"/>
      <c r="L400" s="659"/>
      <c r="M400" s="659"/>
      <c r="N400" s="659"/>
    </row>
    <row r="401" spans="3:14" ht="14.25" customHeight="1">
      <c r="C401" s="659"/>
      <c r="D401" s="659"/>
      <c r="E401" s="659"/>
      <c r="F401" s="659"/>
      <c r="G401" s="659"/>
      <c r="H401" s="659"/>
      <c r="I401" s="659"/>
      <c r="J401" s="659"/>
      <c r="K401" s="659"/>
      <c r="L401" s="659"/>
      <c r="M401" s="659"/>
      <c r="N401" s="659"/>
    </row>
    <row r="402" spans="3:14" ht="14.25" customHeight="1">
      <c r="C402" s="659"/>
      <c r="D402" s="659"/>
      <c r="E402" s="659"/>
      <c r="F402" s="659"/>
      <c r="G402" s="659"/>
      <c r="H402" s="659"/>
      <c r="I402" s="659"/>
      <c r="J402" s="659"/>
      <c r="K402" s="659"/>
      <c r="L402" s="659"/>
      <c r="M402" s="659"/>
      <c r="N402" s="659"/>
    </row>
    <row r="403" spans="3:14" ht="14.25" customHeight="1">
      <c r="C403" s="659"/>
      <c r="D403" s="659"/>
      <c r="E403" s="659"/>
      <c r="F403" s="659"/>
      <c r="G403" s="659"/>
      <c r="H403" s="659"/>
      <c r="I403" s="659"/>
      <c r="J403" s="659"/>
      <c r="K403" s="659"/>
      <c r="L403" s="659"/>
      <c r="M403" s="659"/>
      <c r="N403" s="659"/>
    </row>
    <row r="404" spans="3:14" ht="14.25" customHeight="1">
      <c r="C404" s="659"/>
      <c r="D404" s="659"/>
      <c r="E404" s="659"/>
      <c r="F404" s="659"/>
      <c r="G404" s="659"/>
      <c r="H404" s="659"/>
      <c r="I404" s="659"/>
      <c r="J404" s="659"/>
      <c r="K404" s="659"/>
      <c r="L404" s="659"/>
      <c r="M404" s="659"/>
      <c r="N404" s="659"/>
    </row>
    <row r="405" spans="3:14" ht="14.25" customHeight="1">
      <c r="C405" s="659"/>
      <c r="D405" s="659"/>
      <c r="E405" s="659"/>
      <c r="F405" s="659"/>
      <c r="G405" s="659"/>
      <c r="H405" s="659"/>
      <c r="I405" s="659"/>
      <c r="J405" s="659"/>
      <c r="K405" s="659"/>
      <c r="L405" s="659"/>
      <c r="M405" s="659"/>
      <c r="N405" s="659"/>
    </row>
    <row r="406" spans="3:14" ht="14.25" customHeight="1">
      <c r="C406" s="659"/>
      <c r="D406" s="659"/>
      <c r="E406" s="659"/>
      <c r="F406" s="659"/>
      <c r="G406" s="659"/>
      <c r="H406" s="659"/>
      <c r="I406" s="659"/>
      <c r="J406" s="659"/>
      <c r="K406" s="659"/>
      <c r="L406" s="659"/>
      <c r="M406" s="659"/>
      <c r="N406" s="659"/>
    </row>
    <row r="407" spans="3:14" ht="14.25" customHeight="1">
      <c r="C407" s="659"/>
      <c r="D407" s="659"/>
      <c r="E407" s="659"/>
      <c r="F407" s="659"/>
      <c r="G407" s="659"/>
      <c r="H407" s="659"/>
      <c r="I407" s="659"/>
      <c r="J407" s="659"/>
      <c r="K407" s="659"/>
      <c r="L407" s="659"/>
      <c r="M407" s="659"/>
      <c r="N407" s="659"/>
    </row>
    <row r="408" spans="3:14" ht="14.25" customHeight="1">
      <c r="C408" s="659"/>
      <c r="D408" s="659"/>
      <c r="E408" s="659"/>
      <c r="F408" s="659"/>
      <c r="G408" s="659"/>
      <c r="H408" s="659"/>
      <c r="I408" s="659"/>
      <c r="J408" s="659"/>
      <c r="K408" s="659"/>
      <c r="L408" s="659"/>
      <c r="M408" s="659"/>
      <c r="N408" s="659"/>
    </row>
    <row r="409" spans="3:14" ht="14.25" customHeight="1">
      <c r="C409" s="659"/>
      <c r="D409" s="659"/>
      <c r="E409" s="659"/>
      <c r="F409" s="659"/>
      <c r="G409" s="659"/>
      <c r="H409" s="659"/>
      <c r="I409" s="659"/>
      <c r="J409" s="659"/>
      <c r="K409" s="659"/>
      <c r="L409" s="659"/>
      <c r="M409" s="659"/>
      <c r="N409" s="659"/>
    </row>
    <row r="410" spans="3:14" ht="14.25" customHeight="1">
      <c r="C410" s="659"/>
      <c r="D410" s="659"/>
      <c r="E410" s="659"/>
      <c r="F410" s="659"/>
      <c r="G410" s="659"/>
      <c r="H410" s="659"/>
      <c r="I410" s="659"/>
      <c r="J410" s="659"/>
      <c r="K410" s="659"/>
      <c r="L410" s="659"/>
      <c r="M410" s="659"/>
      <c r="N410" s="659"/>
    </row>
    <row r="411" spans="3:14" ht="14.25" customHeight="1">
      <c r="C411" s="659"/>
      <c r="D411" s="659"/>
      <c r="E411" s="659"/>
      <c r="F411" s="659"/>
      <c r="G411" s="659"/>
      <c r="H411" s="659"/>
      <c r="I411" s="659"/>
      <c r="J411" s="659"/>
      <c r="K411" s="659"/>
      <c r="L411" s="659"/>
      <c r="M411" s="659"/>
      <c r="N411" s="659"/>
    </row>
    <row r="412" spans="3:14" ht="14.25" customHeight="1">
      <c r="C412" s="659"/>
      <c r="D412" s="659"/>
      <c r="E412" s="659"/>
      <c r="F412" s="659"/>
      <c r="G412" s="659"/>
      <c r="H412" s="659"/>
      <c r="I412" s="659"/>
      <c r="J412" s="659"/>
      <c r="K412" s="659"/>
      <c r="L412" s="659"/>
      <c r="M412" s="659"/>
      <c r="N412" s="659"/>
    </row>
    <row r="413" spans="3:14" ht="14.25" customHeight="1">
      <c r="C413" s="659"/>
      <c r="D413" s="659"/>
      <c r="E413" s="659"/>
      <c r="F413" s="659"/>
      <c r="G413" s="659"/>
      <c r="H413" s="659"/>
      <c r="I413" s="659"/>
      <c r="J413" s="659"/>
      <c r="K413" s="659"/>
      <c r="L413" s="659"/>
      <c r="M413" s="659"/>
      <c r="N413" s="659"/>
    </row>
    <row r="414" spans="3:14" ht="14.25" customHeight="1">
      <c r="C414" s="659"/>
      <c r="D414" s="659"/>
      <c r="E414" s="659"/>
      <c r="F414" s="659"/>
      <c r="G414" s="659"/>
      <c r="H414" s="659"/>
      <c r="I414" s="659"/>
      <c r="J414" s="659"/>
      <c r="K414" s="659"/>
      <c r="L414" s="659"/>
      <c r="M414" s="659"/>
      <c r="N414" s="659"/>
    </row>
    <row r="415" spans="3:14" ht="14.25" customHeight="1">
      <c r="C415" s="659"/>
      <c r="D415" s="659"/>
      <c r="E415" s="659"/>
      <c r="F415" s="659"/>
      <c r="G415" s="659"/>
      <c r="H415" s="659"/>
      <c r="I415" s="659"/>
      <c r="J415" s="659"/>
      <c r="K415" s="659"/>
      <c r="L415" s="659"/>
      <c r="M415" s="659"/>
      <c r="N415" s="659"/>
    </row>
    <row r="416" spans="3:14" ht="14.25" customHeight="1">
      <c r="C416" s="659"/>
      <c r="D416" s="659"/>
      <c r="E416" s="659"/>
      <c r="F416" s="659"/>
      <c r="G416" s="659"/>
      <c r="H416" s="659"/>
      <c r="I416" s="659"/>
      <c r="J416" s="659"/>
      <c r="K416" s="659"/>
      <c r="L416" s="659"/>
      <c r="M416" s="659"/>
      <c r="N416" s="659"/>
    </row>
    <row r="417" spans="3:14" ht="14.25" customHeight="1">
      <c r="C417" s="659"/>
      <c r="D417" s="659"/>
      <c r="E417" s="659"/>
      <c r="F417" s="659"/>
      <c r="G417" s="659"/>
      <c r="H417" s="659"/>
      <c r="I417" s="659"/>
      <c r="J417" s="659"/>
      <c r="K417" s="659"/>
      <c r="L417" s="659"/>
      <c r="M417" s="659"/>
      <c r="N417" s="659"/>
    </row>
    <row r="418" spans="3:14" ht="14.25" customHeight="1">
      <c r="C418" s="659"/>
      <c r="D418" s="659"/>
      <c r="E418" s="659"/>
      <c r="F418" s="659"/>
      <c r="G418" s="659"/>
      <c r="H418" s="659"/>
      <c r="I418" s="659"/>
      <c r="J418" s="659"/>
      <c r="K418" s="659"/>
      <c r="L418" s="659"/>
      <c r="M418" s="659"/>
      <c r="N418" s="659"/>
    </row>
    <row r="419" spans="3:14" ht="14.25" customHeight="1">
      <c r="C419" s="659"/>
      <c r="D419" s="659"/>
      <c r="E419" s="659"/>
      <c r="F419" s="659"/>
      <c r="G419" s="659"/>
      <c r="H419" s="659"/>
      <c r="I419" s="659"/>
      <c r="J419" s="659"/>
      <c r="K419" s="659"/>
      <c r="L419" s="659"/>
      <c r="M419" s="659"/>
      <c r="N419" s="659"/>
    </row>
    <row r="420" spans="3:14" ht="14.25" customHeight="1">
      <c r="C420" s="659"/>
      <c r="D420" s="659"/>
      <c r="E420" s="659"/>
      <c r="F420" s="659"/>
      <c r="G420" s="659"/>
      <c r="H420" s="659"/>
      <c r="I420" s="659"/>
      <c r="J420" s="659"/>
      <c r="K420" s="659"/>
      <c r="L420" s="659"/>
      <c r="M420" s="659"/>
      <c r="N420" s="659"/>
    </row>
    <row r="421" spans="3:14" ht="14.25" customHeight="1">
      <c r="C421" s="659"/>
      <c r="D421" s="659"/>
      <c r="E421" s="659"/>
      <c r="F421" s="659"/>
      <c r="G421" s="659"/>
      <c r="H421" s="659"/>
      <c r="I421" s="659"/>
      <c r="J421" s="659"/>
      <c r="K421" s="659"/>
      <c r="L421" s="659"/>
      <c r="M421" s="659"/>
      <c r="N421" s="659"/>
    </row>
    <row r="422" spans="3:14" ht="14.25" customHeight="1">
      <c r="C422" s="659"/>
      <c r="D422" s="659"/>
      <c r="E422" s="659"/>
      <c r="F422" s="659"/>
      <c r="G422" s="659"/>
      <c r="H422" s="659"/>
      <c r="I422" s="659"/>
      <c r="J422" s="659"/>
      <c r="K422" s="659"/>
      <c r="L422" s="659"/>
      <c r="M422" s="659"/>
      <c r="N422" s="659"/>
    </row>
    <row r="423" spans="3:14" ht="14.25" customHeight="1">
      <c r="C423" s="659"/>
      <c r="D423" s="659"/>
      <c r="E423" s="659"/>
      <c r="F423" s="659"/>
      <c r="G423" s="659"/>
      <c r="H423" s="659"/>
      <c r="I423" s="659"/>
      <c r="J423" s="659"/>
      <c r="K423" s="659"/>
      <c r="L423" s="659"/>
      <c r="M423" s="659"/>
      <c r="N423" s="659"/>
    </row>
    <row r="424" spans="3:14" ht="14.25" customHeight="1">
      <c r="C424" s="659"/>
      <c r="D424" s="659"/>
      <c r="E424" s="659"/>
      <c r="F424" s="659"/>
      <c r="G424" s="659"/>
      <c r="H424" s="659"/>
      <c r="I424" s="659"/>
      <c r="J424" s="659"/>
      <c r="K424" s="659"/>
      <c r="L424" s="659"/>
      <c r="M424" s="659"/>
      <c r="N424" s="659"/>
    </row>
    <row r="425" spans="3:14" ht="14.25" customHeight="1">
      <c r="C425" s="659"/>
      <c r="D425" s="659"/>
      <c r="E425" s="659"/>
      <c r="F425" s="659"/>
      <c r="G425" s="659"/>
      <c r="H425" s="659"/>
      <c r="I425" s="659"/>
      <c r="J425" s="659"/>
      <c r="K425" s="659"/>
      <c r="L425" s="659"/>
      <c r="M425" s="659"/>
      <c r="N425" s="659"/>
    </row>
    <row r="426" spans="3:14" ht="14.25" customHeight="1">
      <c r="C426" s="659"/>
      <c r="D426" s="659"/>
      <c r="E426" s="659"/>
      <c r="F426" s="659"/>
      <c r="G426" s="659"/>
      <c r="H426" s="659"/>
      <c r="I426" s="659"/>
      <c r="J426" s="659"/>
      <c r="K426" s="659"/>
      <c r="L426" s="659"/>
      <c r="M426" s="659"/>
      <c r="N426" s="659"/>
    </row>
    <row r="427" spans="3:14" ht="14.25" customHeight="1">
      <c r="C427" s="659"/>
      <c r="D427" s="659"/>
      <c r="E427" s="659"/>
      <c r="F427" s="659"/>
      <c r="G427" s="659"/>
      <c r="H427" s="659"/>
      <c r="I427" s="659"/>
      <c r="J427" s="659"/>
      <c r="K427" s="659"/>
      <c r="L427" s="659"/>
      <c r="M427" s="659"/>
      <c r="N427" s="659"/>
    </row>
    <row r="428" spans="3:14" ht="14.25" customHeight="1">
      <c r="C428" s="659"/>
      <c r="D428" s="659"/>
      <c r="E428" s="659"/>
      <c r="F428" s="659"/>
      <c r="G428" s="659"/>
      <c r="H428" s="659"/>
      <c r="I428" s="659"/>
      <c r="J428" s="659"/>
      <c r="K428" s="659"/>
      <c r="L428" s="659"/>
      <c r="M428" s="659"/>
      <c r="N428" s="659"/>
    </row>
    <row r="429" spans="3:14" ht="14.25" customHeight="1">
      <c r="C429" s="659"/>
      <c r="D429" s="659"/>
      <c r="E429" s="659"/>
      <c r="F429" s="659"/>
      <c r="G429" s="659"/>
      <c r="H429" s="659"/>
      <c r="I429" s="659"/>
      <c r="J429" s="659"/>
      <c r="K429" s="659"/>
      <c r="L429" s="659"/>
      <c r="M429" s="659"/>
      <c r="N429" s="659"/>
    </row>
    <row r="430" spans="3:14" ht="14.25" customHeight="1">
      <c r="C430" s="659"/>
      <c r="D430" s="659"/>
      <c r="E430" s="659"/>
      <c r="F430" s="659"/>
      <c r="G430" s="659"/>
      <c r="H430" s="659"/>
      <c r="I430" s="659"/>
      <c r="J430" s="659"/>
      <c r="K430" s="659"/>
      <c r="L430" s="659"/>
      <c r="M430" s="659"/>
      <c r="N430" s="659"/>
    </row>
    <row r="431" spans="3:14" ht="14.25" customHeight="1">
      <c r="C431" s="659"/>
      <c r="D431" s="659"/>
      <c r="E431" s="659"/>
      <c r="F431" s="659"/>
      <c r="G431" s="659"/>
      <c r="H431" s="659"/>
      <c r="I431" s="659"/>
      <c r="J431" s="659"/>
      <c r="K431" s="659"/>
      <c r="L431" s="659"/>
      <c r="M431" s="659"/>
      <c r="N431" s="659"/>
    </row>
    <row r="432" spans="3:14" ht="14.25" customHeight="1">
      <c r="C432" s="659"/>
      <c r="D432" s="659"/>
      <c r="E432" s="659"/>
      <c r="F432" s="659"/>
      <c r="G432" s="659"/>
      <c r="H432" s="659"/>
      <c r="I432" s="659"/>
      <c r="J432" s="659"/>
      <c r="K432" s="659"/>
      <c r="L432" s="659"/>
      <c r="M432" s="659"/>
      <c r="N432" s="659"/>
    </row>
    <row r="433" spans="3:14" ht="14.25" customHeight="1">
      <c r="C433" s="659"/>
      <c r="D433" s="659"/>
      <c r="E433" s="659"/>
      <c r="F433" s="659"/>
      <c r="G433" s="659"/>
      <c r="H433" s="659"/>
      <c r="I433" s="659"/>
      <c r="J433" s="659"/>
      <c r="K433" s="659"/>
      <c r="L433" s="659"/>
      <c r="M433" s="659"/>
      <c r="N433" s="659"/>
    </row>
    <row r="434" spans="3:14" ht="14.25" customHeight="1">
      <c r="C434" s="659"/>
      <c r="D434" s="659"/>
      <c r="E434" s="659"/>
      <c r="F434" s="659"/>
      <c r="G434" s="659"/>
      <c r="H434" s="659"/>
      <c r="I434" s="659"/>
      <c r="J434" s="659"/>
      <c r="K434" s="659"/>
      <c r="L434" s="659"/>
      <c r="M434" s="659"/>
      <c r="N434" s="659"/>
    </row>
    <row r="435" spans="3:14" ht="14.25" customHeight="1">
      <c r="C435" s="659"/>
      <c r="D435" s="659"/>
      <c r="E435" s="659"/>
      <c r="F435" s="659"/>
      <c r="G435" s="659"/>
      <c r="H435" s="659"/>
      <c r="I435" s="659"/>
      <c r="J435" s="659"/>
      <c r="K435" s="659"/>
      <c r="L435" s="659"/>
      <c r="M435" s="659"/>
      <c r="N435" s="659"/>
    </row>
    <row r="436" spans="3:14" ht="14.25" customHeight="1">
      <c r="C436" s="659"/>
      <c r="D436" s="659"/>
      <c r="E436" s="659"/>
      <c r="F436" s="659"/>
      <c r="G436" s="659"/>
      <c r="H436" s="659"/>
      <c r="I436" s="659"/>
      <c r="J436" s="659"/>
      <c r="K436" s="659"/>
      <c r="L436" s="659"/>
      <c r="M436" s="659"/>
      <c r="N436" s="659"/>
    </row>
    <row r="437" spans="3:14" ht="14.25" customHeight="1">
      <c r="C437" s="659"/>
      <c r="D437" s="659"/>
      <c r="E437" s="659"/>
      <c r="F437" s="659"/>
      <c r="G437" s="659"/>
      <c r="H437" s="659"/>
      <c r="I437" s="659"/>
      <c r="J437" s="659"/>
      <c r="K437" s="659"/>
      <c r="L437" s="659"/>
      <c r="M437" s="659"/>
      <c r="N437" s="659"/>
    </row>
    <row r="438" spans="3:14" ht="14.25" customHeight="1">
      <c r="C438" s="659"/>
      <c r="D438" s="659"/>
      <c r="E438" s="659"/>
      <c r="F438" s="659"/>
      <c r="G438" s="659"/>
      <c r="H438" s="659"/>
      <c r="I438" s="659"/>
      <c r="J438" s="659"/>
      <c r="K438" s="659"/>
      <c r="L438" s="659"/>
      <c r="M438" s="659"/>
      <c r="N438" s="659"/>
    </row>
    <row r="439" spans="3:14" ht="14.25" customHeight="1">
      <c r="C439" s="659"/>
      <c r="D439" s="659"/>
      <c r="E439" s="659"/>
      <c r="F439" s="659"/>
      <c r="G439" s="659"/>
      <c r="H439" s="659"/>
      <c r="I439" s="659"/>
      <c r="J439" s="659"/>
      <c r="K439" s="659"/>
      <c r="L439" s="659"/>
      <c r="M439" s="659"/>
      <c r="N439" s="659"/>
    </row>
    <row r="440" spans="3:14" ht="14.25" customHeight="1">
      <c r="C440" s="659"/>
      <c r="D440" s="659"/>
      <c r="E440" s="659"/>
      <c r="F440" s="659"/>
      <c r="G440" s="659"/>
      <c r="H440" s="659"/>
      <c r="I440" s="659"/>
      <c r="J440" s="659"/>
      <c r="K440" s="659"/>
      <c r="L440" s="659"/>
      <c r="M440" s="659"/>
      <c r="N440" s="659"/>
    </row>
    <row r="441" spans="3:14" ht="14.25" customHeight="1">
      <c r="C441" s="659"/>
      <c r="D441" s="659"/>
      <c r="E441" s="659"/>
      <c r="F441" s="659"/>
      <c r="G441" s="659"/>
      <c r="H441" s="659"/>
      <c r="I441" s="659"/>
      <c r="J441" s="659"/>
      <c r="K441" s="659"/>
      <c r="L441" s="659"/>
      <c r="M441" s="659"/>
      <c r="N441" s="659"/>
    </row>
    <row r="442" spans="3:14" ht="14.25" customHeight="1">
      <c r="C442" s="659"/>
      <c r="D442" s="659"/>
      <c r="E442" s="659"/>
      <c r="F442" s="659"/>
      <c r="G442" s="659"/>
      <c r="H442" s="659"/>
      <c r="I442" s="659"/>
      <c r="J442" s="659"/>
      <c r="K442" s="659"/>
      <c r="L442" s="659"/>
      <c r="M442" s="659"/>
      <c r="N442" s="659"/>
    </row>
    <row r="443" spans="3:14" ht="14.25" customHeight="1">
      <c r="C443" s="659"/>
      <c r="D443" s="659"/>
      <c r="E443" s="659"/>
      <c r="F443" s="659"/>
      <c r="G443" s="659"/>
      <c r="H443" s="659"/>
      <c r="I443" s="659"/>
      <c r="J443" s="659"/>
      <c r="K443" s="659"/>
      <c r="L443" s="659"/>
      <c r="M443" s="659"/>
      <c r="N443" s="659"/>
    </row>
    <row r="444" spans="3:14" ht="14.25" customHeight="1">
      <c r="C444" s="659"/>
      <c r="D444" s="659"/>
      <c r="E444" s="659"/>
      <c r="F444" s="659"/>
      <c r="G444" s="659"/>
      <c r="H444" s="659"/>
      <c r="I444" s="659"/>
      <c r="J444" s="659"/>
      <c r="K444" s="659"/>
      <c r="L444" s="659"/>
      <c r="M444" s="659"/>
      <c r="N444" s="659"/>
    </row>
    <row r="445" spans="3:14" ht="14.25" customHeight="1">
      <c r="C445" s="659"/>
      <c r="D445" s="659"/>
      <c r="E445" s="659"/>
      <c r="F445" s="659"/>
      <c r="G445" s="659"/>
      <c r="H445" s="659"/>
      <c r="I445" s="659"/>
      <c r="J445" s="659"/>
      <c r="K445" s="659"/>
      <c r="L445" s="659"/>
      <c r="M445" s="659"/>
      <c r="N445" s="659"/>
    </row>
    <row r="446" spans="3:14" ht="14.25" customHeight="1">
      <c r="C446" s="659"/>
      <c r="D446" s="659"/>
      <c r="E446" s="659"/>
      <c r="F446" s="659"/>
      <c r="G446" s="659"/>
      <c r="H446" s="659"/>
      <c r="I446" s="659"/>
      <c r="J446" s="659"/>
      <c r="K446" s="659"/>
      <c r="L446" s="659"/>
      <c r="M446" s="659"/>
      <c r="N446" s="659"/>
    </row>
    <row r="447" spans="3:14" ht="14.25" customHeight="1">
      <c r="C447" s="659"/>
      <c r="D447" s="659"/>
      <c r="E447" s="659"/>
      <c r="F447" s="659"/>
      <c r="G447" s="659"/>
      <c r="H447" s="659"/>
      <c r="I447" s="659"/>
      <c r="J447" s="659"/>
      <c r="K447" s="659"/>
      <c r="L447" s="659"/>
      <c r="M447" s="659"/>
      <c r="N447" s="659"/>
    </row>
    <row r="448" spans="3:14" ht="14.25" customHeight="1">
      <c r="C448" s="659"/>
      <c r="D448" s="659"/>
      <c r="E448" s="659"/>
      <c r="F448" s="659"/>
      <c r="G448" s="659"/>
      <c r="H448" s="659"/>
      <c r="I448" s="659"/>
      <c r="J448" s="659"/>
      <c r="K448" s="659"/>
      <c r="L448" s="659"/>
      <c r="M448" s="659"/>
      <c r="N448" s="659"/>
    </row>
    <row r="449" spans="3:14" ht="14.25" customHeight="1">
      <c r="C449" s="659"/>
      <c r="D449" s="659"/>
      <c r="E449" s="659"/>
      <c r="F449" s="659"/>
      <c r="G449" s="659"/>
      <c r="H449" s="659"/>
      <c r="I449" s="659"/>
      <c r="J449" s="659"/>
      <c r="K449" s="659"/>
      <c r="L449" s="659"/>
      <c r="M449" s="659"/>
      <c r="N449" s="659"/>
    </row>
    <row r="450" spans="3:14" ht="14.25" customHeight="1">
      <c r="C450" s="659"/>
      <c r="D450" s="659"/>
      <c r="E450" s="659"/>
      <c r="F450" s="659"/>
      <c r="G450" s="659"/>
      <c r="H450" s="659"/>
      <c r="I450" s="659"/>
      <c r="J450" s="659"/>
      <c r="K450" s="659"/>
      <c r="L450" s="659"/>
      <c r="M450" s="659"/>
      <c r="N450" s="659"/>
    </row>
    <row r="451" spans="3:14" ht="14.25" customHeight="1">
      <c r="C451" s="659"/>
      <c r="D451" s="659"/>
      <c r="E451" s="659"/>
      <c r="F451" s="659"/>
      <c r="G451" s="659"/>
      <c r="H451" s="659"/>
      <c r="I451" s="659"/>
      <c r="J451" s="659"/>
      <c r="K451" s="659"/>
      <c r="L451" s="659"/>
      <c r="M451" s="659"/>
      <c r="N451" s="659"/>
    </row>
    <row r="452" spans="3:14" ht="14.25" customHeight="1">
      <c r="C452" s="659"/>
      <c r="D452" s="659"/>
      <c r="E452" s="659"/>
      <c r="F452" s="659"/>
      <c r="G452" s="659"/>
      <c r="H452" s="659"/>
      <c r="I452" s="659"/>
      <c r="J452" s="659"/>
      <c r="K452" s="659"/>
      <c r="L452" s="659"/>
      <c r="M452" s="659"/>
      <c r="N452" s="659"/>
    </row>
    <row r="453" spans="3:14" ht="14.25" customHeight="1">
      <c r="C453" s="659"/>
      <c r="D453" s="659"/>
      <c r="E453" s="659"/>
      <c r="F453" s="659"/>
      <c r="G453" s="659"/>
      <c r="H453" s="659"/>
      <c r="I453" s="659"/>
      <c r="J453" s="659"/>
      <c r="K453" s="659"/>
      <c r="L453" s="659"/>
      <c r="M453" s="659"/>
      <c r="N453" s="659"/>
    </row>
    <row r="454" spans="3:14" ht="14.25" customHeight="1">
      <c r="C454" s="659"/>
      <c r="D454" s="659"/>
      <c r="E454" s="659"/>
      <c r="F454" s="659"/>
      <c r="G454" s="659"/>
      <c r="H454" s="659"/>
      <c r="I454" s="659"/>
      <c r="J454" s="659"/>
      <c r="K454" s="659"/>
      <c r="L454" s="659"/>
      <c r="M454" s="659"/>
      <c r="N454" s="659"/>
    </row>
    <row r="455" spans="3:14" ht="14.25" customHeight="1">
      <c r="C455" s="659"/>
      <c r="D455" s="659"/>
      <c r="E455" s="659"/>
      <c r="F455" s="659"/>
      <c r="G455" s="659"/>
      <c r="H455" s="659"/>
      <c r="I455" s="659"/>
      <c r="J455" s="659"/>
      <c r="K455" s="659"/>
      <c r="L455" s="659"/>
      <c r="M455" s="659"/>
      <c r="N455" s="659"/>
    </row>
    <row r="456" spans="3:14" ht="14.25" customHeight="1">
      <c r="C456" s="659"/>
      <c r="D456" s="659"/>
      <c r="E456" s="659"/>
      <c r="F456" s="659"/>
      <c r="G456" s="659"/>
      <c r="H456" s="659"/>
      <c r="I456" s="659"/>
      <c r="J456" s="659"/>
      <c r="K456" s="659"/>
      <c r="L456" s="659"/>
      <c r="M456" s="659"/>
      <c r="N456" s="659"/>
    </row>
    <row r="457" spans="3:14" ht="14.25" customHeight="1">
      <c r="C457" s="659"/>
      <c r="D457" s="659"/>
      <c r="E457" s="659"/>
      <c r="F457" s="659"/>
      <c r="G457" s="659"/>
      <c r="H457" s="659"/>
      <c r="I457" s="659"/>
      <c r="J457" s="659"/>
      <c r="K457" s="659"/>
      <c r="L457" s="659"/>
      <c r="M457" s="659"/>
      <c r="N457" s="659"/>
    </row>
    <row r="458" spans="3:14" ht="14.25" customHeight="1">
      <c r="C458" s="659"/>
      <c r="D458" s="659"/>
      <c r="E458" s="659"/>
      <c r="F458" s="659"/>
      <c r="G458" s="659"/>
      <c r="H458" s="659"/>
      <c r="I458" s="659"/>
      <c r="J458" s="659"/>
      <c r="K458" s="659"/>
      <c r="L458" s="659"/>
      <c r="M458" s="659"/>
      <c r="N458" s="659"/>
    </row>
    <row r="459" spans="3:14" ht="14.25" customHeight="1">
      <c r="C459" s="659"/>
      <c r="D459" s="659"/>
      <c r="E459" s="659"/>
      <c r="F459" s="659"/>
      <c r="G459" s="659"/>
      <c r="H459" s="659"/>
      <c r="I459" s="659"/>
      <c r="J459" s="659"/>
      <c r="K459" s="659"/>
      <c r="L459" s="659"/>
      <c r="M459" s="659"/>
      <c r="N459" s="659"/>
    </row>
    <row r="460" spans="3:14" ht="14.25" customHeight="1">
      <c r="C460" s="659"/>
      <c r="D460" s="659"/>
      <c r="E460" s="659"/>
      <c r="F460" s="659"/>
      <c r="G460" s="659"/>
      <c r="H460" s="659"/>
      <c r="I460" s="659"/>
      <c r="J460" s="659"/>
      <c r="K460" s="659"/>
      <c r="L460" s="659"/>
      <c r="M460" s="659"/>
      <c r="N460" s="659"/>
    </row>
    <row r="461" spans="3:14" ht="14.25" customHeight="1">
      <c r="C461" s="659"/>
      <c r="D461" s="659"/>
      <c r="E461" s="659"/>
      <c r="F461" s="659"/>
      <c r="G461" s="659"/>
      <c r="H461" s="659"/>
      <c r="I461" s="659"/>
      <c r="J461" s="659"/>
      <c r="K461" s="659"/>
      <c r="L461" s="659"/>
      <c r="M461" s="659"/>
      <c r="N461" s="659"/>
    </row>
    <row r="462" spans="3:14" ht="14.25" customHeight="1">
      <c r="C462" s="659"/>
      <c r="D462" s="659"/>
      <c r="E462" s="659"/>
      <c r="F462" s="659"/>
      <c r="G462" s="659"/>
      <c r="H462" s="659"/>
      <c r="I462" s="659"/>
      <c r="J462" s="659"/>
      <c r="K462" s="659"/>
      <c r="L462" s="659"/>
      <c r="M462" s="659"/>
      <c r="N462" s="659"/>
    </row>
    <row r="463" spans="3:14" ht="14.25" customHeight="1">
      <c r="C463" s="659"/>
      <c r="D463" s="659"/>
      <c r="E463" s="659"/>
      <c r="F463" s="659"/>
      <c r="G463" s="659"/>
      <c r="H463" s="659"/>
      <c r="I463" s="659"/>
      <c r="J463" s="659"/>
      <c r="K463" s="659"/>
      <c r="L463" s="659"/>
      <c r="M463" s="659"/>
      <c r="N463" s="659"/>
    </row>
    <row r="464" spans="3:14" ht="14.25" customHeight="1">
      <c r="C464" s="659"/>
      <c r="D464" s="659"/>
      <c r="E464" s="659"/>
      <c r="F464" s="659"/>
      <c r="G464" s="659"/>
      <c r="H464" s="659"/>
      <c r="I464" s="659"/>
      <c r="J464" s="659"/>
      <c r="K464" s="659"/>
      <c r="L464" s="659"/>
      <c r="M464" s="659"/>
      <c r="N464" s="659"/>
    </row>
    <row r="465" spans="3:14" ht="14.25" customHeight="1">
      <c r="C465" s="659"/>
      <c r="D465" s="659"/>
      <c r="E465" s="659"/>
      <c r="F465" s="659"/>
      <c r="G465" s="659"/>
      <c r="H465" s="659"/>
      <c r="I465" s="659"/>
      <c r="J465" s="659"/>
      <c r="K465" s="659"/>
      <c r="L465" s="659"/>
      <c r="M465" s="659"/>
      <c r="N465" s="659"/>
    </row>
    <row r="466" spans="3:14" ht="14.25" customHeight="1">
      <c r="C466" s="659"/>
      <c r="D466" s="659"/>
      <c r="E466" s="659"/>
      <c r="F466" s="659"/>
      <c r="G466" s="659"/>
      <c r="H466" s="659"/>
      <c r="I466" s="659"/>
      <c r="J466" s="659"/>
      <c r="K466" s="659"/>
      <c r="L466" s="659"/>
      <c r="M466" s="659"/>
      <c r="N466" s="659"/>
    </row>
    <row r="467" spans="3:14" ht="14.25" customHeight="1">
      <c r="C467" s="659"/>
      <c r="D467" s="659"/>
      <c r="E467" s="659"/>
      <c r="F467" s="659"/>
      <c r="G467" s="659"/>
      <c r="H467" s="659"/>
      <c r="I467" s="659"/>
      <c r="J467" s="659"/>
      <c r="K467" s="659"/>
      <c r="L467" s="659"/>
      <c r="M467" s="659"/>
      <c r="N467" s="659"/>
    </row>
    <row r="468" spans="3:14" ht="14.25" customHeight="1">
      <c r="C468" s="659"/>
      <c r="D468" s="659"/>
      <c r="E468" s="659"/>
      <c r="F468" s="659"/>
      <c r="G468" s="659"/>
      <c r="H468" s="659"/>
      <c r="I468" s="659"/>
      <c r="J468" s="659"/>
      <c r="K468" s="659"/>
      <c r="L468" s="659"/>
      <c r="M468" s="659"/>
      <c r="N468" s="659"/>
    </row>
    <row r="469" spans="3:14" ht="14.25" customHeight="1">
      <c r="C469" s="659"/>
      <c r="D469" s="659"/>
      <c r="E469" s="659"/>
      <c r="F469" s="659"/>
      <c r="G469" s="659"/>
      <c r="H469" s="659"/>
      <c r="I469" s="659"/>
      <c r="J469" s="659"/>
      <c r="K469" s="659"/>
      <c r="L469" s="659"/>
      <c r="M469" s="659"/>
      <c r="N469" s="659"/>
    </row>
    <row r="470" spans="3:14" ht="14.25" customHeight="1">
      <c r="C470" s="659"/>
      <c r="D470" s="659"/>
      <c r="E470" s="659"/>
      <c r="F470" s="659"/>
      <c r="G470" s="659"/>
      <c r="H470" s="659"/>
      <c r="I470" s="659"/>
      <c r="J470" s="659"/>
      <c r="K470" s="659"/>
      <c r="L470" s="659"/>
      <c r="M470" s="659"/>
      <c r="N470" s="659"/>
    </row>
    <row r="471" spans="3:14" ht="14.25" customHeight="1">
      <c r="C471" s="659"/>
      <c r="D471" s="659"/>
      <c r="E471" s="659"/>
      <c r="F471" s="659"/>
      <c r="G471" s="659"/>
      <c r="H471" s="659"/>
      <c r="I471" s="659"/>
      <c r="J471" s="659"/>
      <c r="K471" s="659"/>
      <c r="L471" s="659"/>
      <c r="M471" s="659"/>
      <c r="N471" s="659"/>
    </row>
    <row r="472" spans="3:14" ht="14.25" customHeight="1">
      <c r="C472" s="659"/>
      <c r="D472" s="659"/>
      <c r="E472" s="659"/>
      <c r="F472" s="659"/>
      <c r="G472" s="659"/>
      <c r="H472" s="659"/>
      <c r="I472" s="659"/>
      <c r="J472" s="659"/>
      <c r="K472" s="659"/>
      <c r="L472" s="659"/>
      <c r="M472" s="659"/>
      <c r="N472" s="659"/>
    </row>
    <row r="473" spans="3:14" ht="14.25" customHeight="1">
      <c r="C473" s="659"/>
      <c r="D473" s="659"/>
      <c r="E473" s="659"/>
      <c r="F473" s="659"/>
      <c r="G473" s="659"/>
      <c r="H473" s="659"/>
      <c r="I473" s="659"/>
      <c r="J473" s="659"/>
      <c r="K473" s="659"/>
      <c r="L473" s="659"/>
      <c r="M473" s="659"/>
      <c r="N473" s="659"/>
    </row>
    <row r="474" spans="3:14" ht="14.25" customHeight="1">
      <c r="C474" s="659"/>
      <c r="D474" s="659"/>
      <c r="E474" s="659"/>
      <c r="F474" s="659"/>
      <c r="G474" s="659"/>
      <c r="H474" s="659"/>
      <c r="I474" s="659"/>
      <c r="J474" s="659"/>
      <c r="K474" s="659"/>
      <c r="L474" s="659"/>
      <c r="M474" s="659"/>
      <c r="N474" s="659"/>
    </row>
    <row r="475" spans="3:14" ht="14.25" customHeight="1">
      <c r="C475" s="659"/>
      <c r="D475" s="659"/>
      <c r="E475" s="659"/>
      <c r="F475" s="659"/>
      <c r="G475" s="659"/>
      <c r="H475" s="659"/>
      <c r="I475" s="659"/>
      <c r="J475" s="659"/>
      <c r="K475" s="659"/>
      <c r="L475" s="659"/>
      <c r="M475" s="659"/>
      <c r="N475" s="659"/>
    </row>
    <row r="476" spans="3:14" ht="14.25" customHeight="1">
      <c r="C476" s="659"/>
      <c r="D476" s="659"/>
      <c r="E476" s="659"/>
      <c r="F476" s="659"/>
      <c r="G476" s="659"/>
      <c r="H476" s="659"/>
      <c r="I476" s="659"/>
      <c r="J476" s="659"/>
      <c r="K476" s="659"/>
      <c r="L476" s="659"/>
      <c r="M476" s="659"/>
      <c r="N476" s="659"/>
    </row>
    <row r="477" spans="3:14" ht="14.25" customHeight="1">
      <c r="C477" s="659"/>
      <c r="D477" s="659"/>
      <c r="E477" s="659"/>
      <c r="F477" s="659"/>
      <c r="G477" s="659"/>
      <c r="H477" s="659"/>
      <c r="I477" s="659"/>
      <c r="J477" s="659"/>
      <c r="K477" s="659"/>
      <c r="L477" s="659"/>
      <c r="M477" s="659"/>
      <c r="N477" s="659"/>
    </row>
    <row r="478" spans="3:14" ht="14.25" customHeight="1">
      <c r="C478" s="659"/>
      <c r="D478" s="659"/>
      <c r="E478" s="659"/>
      <c r="F478" s="659"/>
      <c r="G478" s="659"/>
      <c r="H478" s="659"/>
      <c r="I478" s="659"/>
      <c r="J478" s="659"/>
      <c r="K478" s="659"/>
      <c r="L478" s="659"/>
      <c r="M478" s="659"/>
      <c r="N478" s="659"/>
    </row>
    <row r="479" spans="3:14" ht="14.25" customHeight="1">
      <c r="C479" s="659"/>
      <c r="D479" s="659"/>
      <c r="E479" s="659"/>
      <c r="F479" s="659"/>
      <c r="G479" s="659"/>
      <c r="H479" s="659"/>
      <c r="I479" s="659"/>
      <c r="J479" s="659"/>
      <c r="K479" s="659"/>
      <c r="L479" s="659"/>
      <c r="M479" s="659"/>
      <c r="N479" s="659"/>
    </row>
    <row r="480" spans="3:14" ht="14.25" customHeight="1">
      <c r="C480" s="659"/>
      <c r="D480" s="659"/>
      <c r="E480" s="659"/>
      <c r="F480" s="659"/>
      <c r="G480" s="659"/>
      <c r="H480" s="659"/>
      <c r="I480" s="659"/>
      <c r="J480" s="659"/>
      <c r="K480" s="659"/>
      <c r="L480" s="659"/>
      <c r="M480" s="659"/>
      <c r="N480" s="659"/>
    </row>
    <row r="481" spans="3:14" ht="14.25" customHeight="1">
      <c r="C481" s="659"/>
      <c r="D481" s="659"/>
      <c r="E481" s="659"/>
      <c r="F481" s="659"/>
      <c r="G481" s="659"/>
      <c r="H481" s="659"/>
      <c r="I481" s="659"/>
      <c r="J481" s="659"/>
      <c r="K481" s="659"/>
      <c r="L481" s="659"/>
      <c r="M481" s="659"/>
      <c r="N481" s="659"/>
    </row>
    <row r="482" spans="3:14" ht="14.25" customHeight="1">
      <c r="C482" s="659"/>
      <c r="D482" s="659"/>
      <c r="E482" s="659"/>
      <c r="F482" s="659"/>
      <c r="G482" s="659"/>
      <c r="H482" s="659"/>
      <c r="I482" s="659"/>
      <c r="J482" s="659"/>
      <c r="K482" s="659"/>
      <c r="L482" s="659"/>
      <c r="M482" s="659"/>
      <c r="N482" s="659"/>
    </row>
    <row r="483" spans="3:14" ht="14.25" customHeight="1">
      <c r="C483" s="659"/>
      <c r="D483" s="659"/>
      <c r="E483" s="659"/>
      <c r="F483" s="659"/>
      <c r="G483" s="659"/>
      <c r="H483" s="659"/>
      <c r="I483" s="659"/>
      <c r="J483" s="659"/>
      <c r="K483" s="659"/>
      <c r="L483" s="659"/>
      <c r="M483" s="659"/>
      <c r="N483" s="659"/>
    </row>
    <row r="484" spans="3:14" ht="14.25" customHeight="1">
      <c r="C484" s="659"/>
      <c r="D484" s="659"/>
      <c r="E484" s="659"/>
      <c r="F484" s="659"/>
      <c r="G484" s="659"/>
      <c r="H484" s="659"/>
      <c r="I484" s="659"/>
      <c r="J484" s="659"/>
      <c r="K484" s="659"/>
      <c r="L484" s="659"/>
      <c r="M484" s="659"/>
      <c r="N484" s="659"/>
    </row>
    <row r="485" spans="3:14" ht="14.25" customHeight="1">
      <c r="C485" s="659"/>
      <c r="D485" s="659"/>
      <c r="E485" s="659"/>
      <c r="F485" s="659"/>
      <c r="G485" s="659"/>
      <c r="H485" s="659"/>
      <c r="I485" s="659"/>
      <c r="J485" s="659"/>
      <c r="K485" s="659"/>
      <c r="L485" s="659"/>
      <c r="M485" s="659"/>
      <c r="N485" s="659"/>
    </row>
    <row r="486" spans="3:14" ht="14.25" customHeight="1">
      <c r="C486" s="659"/>
      <c r="D486" s="659"/>
      <c r="E486" s="659"/>
      <c r="F486" s="659"/>
      <c r="G486" s="659"/>
      <c r="H486" s="659"/>
      <c r="I486" s="659"/>
      <c r="J486" s="659"/>
      <c r="K486" s="659"/>
      <c r="L486" s="659"/>
      <c r="M486" s="659"/>
      <c r="N486" s="659"/>
    </row>
    <row r="487" spans="3:14" ht="14.25" customHeight="1">
      <c r="C487" s="659"/>
      <c r="D487" s="659"/>
      <c r="E487" s="659"/>
      <c r="F487" s="659"/>
      <c r="G487" s="659"/>
      <c r="H487" s="659"/>
      <c r="I487" s="659"/>
      <c r="J487" s="659"/>
      <c r="K487" s="659"/>
      <c r="L487" s="659"/>
      <c r="M487" s="659"/>
      <c r="N487" s="659"/>
    </row>
    <row r="488" spans="3:14" ht="14.25" customHeight="1">
      <c r="C488" s="659"/>
      <c r="D488" s="659"/>
      <c r="E488" s="659"/>
      <c r="F488" s="659"/>
      <c r="G488" s="659"/>
      <c r="H488" s="659"/>
      <c r="I488" s="659"/>
      <c r="J488" s="659"/>
      <c r="K488" s="659"/>
      <c r="L488" s="659"/>
      <c r="M488" s="659"/>
      <c r="N488" s="659"/>
    </row>
    <row r="489" spans="3:14" ht="14.25" customHeight="1">
      <c r="C489" s="659"/>
      <c r="D489" s="659"/>
      <c r="E489" s="659"/>
      <c r="F489" s="659"/>
      <c r="G489" s="659"/>
      <c r="H489" s="659"/>
      <c r="I489" s="659"/>
      <c r="J489" s="659"/>
      <c r="K489" s="659"/>
      <c r="L489" s="659"/>
      <c r="M489" s="659"/>
      <c r="N489" s="659"/>
    </row>
    <row r="490" spans="3:14" ht="14.25" customHeight="1">
      <c r="C490" s="659"/>
      <c r="D490" s="659"/>
      <c r="E490" s="659"/>
      <c r="F490" s="659"/>
      <c r="G490" s="659"/>
      <c r="H490" s="659"/>
      <c r="I490" s="659"/>
      <c r="J490" s="659"/>
      <c r="K490" s="659"/>
      <c r="L490" s="659"/>
      <c r="M490" s="659"/>
      <c r="N490" s="659"/>
    </row>
    <row r="491" spans="3:14" ht="14.25" customHeight="1">
      <c r="C491" s="659"/>
      <c r="D491" s="659"/>
      <c r="E491" s="659"/>
      <c r="F491" s="659"/>
      <c r="G491" s="659"/>
      <c r="H491" s="659"/>
      <c r="I491" s="659"/>
      <c r="J491" s="659"/>
      <c r="K491" s="659"/>
      <c r="L491" s="659"/>
      <c r="M491" s="659"/>
      <c r="N491" s="659"/>
    </row>
    <row r="492" spans="3:14" ht="14.25" customHeight="1">
      <c r="C492" s="659"/>
      <c r="D492" s="659"/>
      <c r="E492" s="659"/>
      <c r="F492" s="659"/>
      <c r="G492" s="659"/>
      <c r="H492" s="659"/>
      <c r="I492" s="659"/>
      <c r="J492" s="659"/>
      <c r="K492" s="659"/>
      <c r="L492" s="659"/>
      <c r="M492" s="659"/>
      <c r="N492" s="659"/>
    </row>
    <row r="493" spans="3:14" ht="14.25" customHeight="1">
      <c r="C493" s="659"/>
      <c r="D493" s="659"/>
      <c r="E493" s="659"/>
      <c r="F493" s="659"/>
      <c r="G493" s="659"/>
      <c r="H493" s="659"/>
      <c r="I493" s="659"/>
      <c r="J493" s="659"/>
      <c r="K493" s="659"/>
      <c r="L493" s="659"/>
      <c r="M493" s="659"/>
      <c r="N493" s="659"/>
    </row>
    <row r="494" spans="3:14" ht="14.25" customHeight="1">
      <c r="C494" s="659"/>
      <c r="D494" s="659"/>
      <c r="E494" s="659"/>
      <c r="F494" s="659"/>
      <c r="G494" s="659"/>
      <c r="H494" s="659"/>
      <c r="I494" s="659"/>
      <c r="J494" s="659"/>
      <c r="K494" s="659"/>
      <c r="L494" s="659"/>
      <c r="M494" s="659"/>
      <c r="N494" s="659"/>
    </row>
    <row r="495" spans="3:14" ht="14.25" customHeight="1">
      <c r="C495" s="659"/>
      <c r="D495" s="659"/>
      <c r="E495" s="659"/>
      <c r="F495" s="659"/>
      <c r="G495" s="659"/>
      <c r="H495" s="659"/>
      <c r="I495" s="659"/>
      <c r="J495" s="659"/>
      <c r="K495" s="659"/>
      <c r="L495" s="659"/>
      <c r="M495" s="659"/>
      <c r="N495" s="659"/>
    </row>
    <row r="496" spans="3:14" ht="14.25" customHeight="1">
      <c r="C496" s="659"/>
      <c r="D496" s="659"/>
      <c r="E496" s="659"/>
      <c r="F496" s="659"/>
      <c r="G496" s="659"/>
      <c r="H496" s="659"/>
      <c r="I496" s="659"/>
      <c r="J496" s="659"/>
      <c r="K496" s="659"/>
      <c r="L496" s="659"/>
      <c r="M496" s="659"/>
      <c r="N496" s="659"/>
    </row>
    <row r="497" spans="3:14" ht="14.25" customHeight="1">
      <c r="C497" s="659"/>
      <c r="D497" s="659"/>
      <c r="E497" s="659"/>
      <c r="F497" s="659"/>
      <c r="G497" s="659"/>
      <c r="H497" s="659"/>
      <c r="I497" s="659"/>
      <c r="J497" s="659"/>
      <c r="K497" s="659"/>
      <c r="L497" s="659"/>
      <c r="M497" s="659"/>
      <c r="N497" s="659"/>
    </row>
    <row r="498" spans="3:14" ht="14.25" customHeight="1">
      <c r="C498" s="659"/>
      <c r="D498" s="659"/>
      <c r="E498" s="659"/>
      <c r="F498" s="659"/>
      <c r="G498" s="659"/>
      <c r="H498" s="659"/>
      <c r="I498" s="659"/>
      <c r="J498" s="659"/>
      <c r="K498" s="659"/>
      <c r="L498" s="659"/>
      <c r="M498" s="659"/>
      <c r="N498" s="659"/>
    </row>
    <row r="499" spans="3:14" ht="14.25" customHeight="1">
      <c r="C499" s="659"/>
      <c r="D499" s="659"/>
      <c r="E499" s="659"/>
      <c r="F499" s="659"/>
      <c r="G499" s="659"/>
      <c r="H499" s="659"/>
      <c r="I499" s="659"/>
      <c r="J499" s="659"/>
      <c r="K499" s="659"/>
      <c r="L499" s="659"/>
      <c r="M499" s="659"/>
      <c r="N499" s="659"/>
    </row>
    <row r="500" spans="3:14" ht="14.25" customHeight="1">
      <c r="C500" s="659"/>
      <c r="D500" s="659"/>
      <c r="E500" s="659"/>
      <c r="F500" s="659"/>
      <c r="G500" s="659"/>
      <c r="H500" s="659"/>
      <c r="I500" s="659"/>
      <c r="J500" s="659"/>
      <c r="K500" s="659"/>
      <c r="L500" s="659"/>
      <c r="M500" s="659"/>
      <c r="N500" s="659"/>
    </row>
    <row r="501" spans="3:14" ht="14.25" customHeight="1">
      <c r="C501" s="659"/>
      <c r="D501" s="659"/>
      <c r="E501" s="659"/>
      <c r="F501" s="659"/>
      <c r="G501" s="659"/>
      <c r="H501" s="659"/>
      <c r="I501" s="659"/>
      <c r="J501" s="659"/>
      <c r="K501" s="659"/>
      <c r="L501" s="659"/>
      <c r="M501" s="659"/>
      <c r="N501" s="659"/>
    </row>
    <row r="502" spans="3:14" ht="14.25" customHeight="1">
      <c r="C502" s="659"/>
      <c r="D502" s="659"/>
      <c r="E502" s="659"/>
      <c r="F502" s="659"/>
      <c r="G502" s="659"/>
      <c r="H502" s="659"/>
      <c r="I502" s="659"/>
      <c r="J502" s="659"/>
      <c r="K502" s="659"/>
      <c r="L502" s="659"/>
      <c r="M502" s="659"/>
      <c r="N502" s="659"/>
    </row>
    <row r="503" spans="3:14" ht="14.25" customHeight="1">
      <c r="C503" s="659"/>
      <c r="D503" s="659"/>
      <c r="E503" s="659"/>
      <c r="F503" s="659"/>
      <c r="G503" s="659"/>
      <c r="H503" s="659"/>
      <c r="I503" s="659"/>
      <c r="J503" s="659"/>
      <c r="K503" s="659"/>
      <c r="L503" s="659"/>
      <c r="M503" s="659"/>
      <c r="N503" s="659"/>
    </row>
    <row r="504" spans="3:14" ht="14.25" customHeight="1">
      <c r="C504" s="659"/>
      <c r="D504" s="659"/>
      <c r="E504" s="659"/>
      <c r="F504" s="659"/>
      <c r="G504" s="659"/>
      <c r="H504" s="659"/>
      <c r="I504" s="659"/>
      <c r="J504" s="659"/>
      <c r="K504" s="659"/>
      <c r="L504" s="659"/>
      <c r="M504" s="659"/>
      <c r="N504" s="659"/>
    </row>
    <row r="505" spans="3:14" ht="14.25" customHeight="1">
      <c r="C505" s="659"/>
      <c r="D505" s="659"/>
      <c r="E505" s="659"/>
      <c r="F505" s="659"/>
      <c r="G505" s="659"/>
      <c r="H505" s="659"/>
      <c r="I505" s="659"/>
      <c r="J505" s="659"/>
      <c r="K505" s="659"/>
      <c r="L505" s="659"/>
      <c r="M505" s="659"/>
      <c r="N505" s="659"/>
    </row>
    <row r="506" spans="3:14" ht="14.25" customHeight="1">
      <c r="C506" s="659"/>
      <c r="D506" s="659"/>
      <c r="E506" s="659"/>
      <c r="F506" s="659"/>
      <c r="G506" s="659"/>
      <c r="H506" s="659"/>
      <c r="I506" s="659"/>
      <c r="J506" s="659"/>
      <c r="K506" s="659"/>
      <c r="L506" s="659"/>
      <c r="M506" s="659"/>
      <c r="N506" s="659"/>
    </row>
    <row r="507" spans="3:14" ht="14.25" customHeight="1">
      <c r="C507" s="659"/>
      <c r="D507" s="659"/>
      <c r="E507" s="659"/>
      <c r="F507" s="659"/>
      <c r="G507" s="659"/>
      <c r="H507" s="659"/>
      <c r="I507" s="659"/>
      <c r="J507" s="659"/>
      <c r="K507" s="659"/>
      <c r="L507" s="659"/>
      <c r="M507" s="659"/>
      <c r="N507" s="659"/>
    </row>
    <row r="508" spans="3:14" ht="14.25" customHeight="1">
      <c r="C508" s="659"/>
      <c r="D508" s="659"/>
      <c r="E508" s="659"/>
      <c r="F508" s="659"/>
      <c r="G508" s="659"/>
      <c r="H508" s="659"/>
      <c r="I508" s="659"/>
      <c r="J508" s="659"/>
      <c r="K508" s="659"/>
      <c r="L508" s="659"/>
      <c r="M508" s="659"/>
      <c r="N508" s="659"/>
    </row>
    <row r="509" spans="3:14" ht="14.25" customHeight="1">
      <c r="C509" s="659"/>
      <c r="D509" s="659"/>
      <c r="E509" s="659"/>
      <c r="F509" s="659"/>
      <c r="G509" s="659"/>
      <c r="H509" s="659"/>
      <c r="I509" s="659"/>
      <c r="J509" s="659"/>
      <c r="K509" s="659"/>
      <c r="L509" s="659"/>
      <c r="M509" s="659"/>
      <c r="N509" s="659"/>
    </row>
    <row r="510" spans="3:14" ht="14.25" customHeight="1">
      <c r="C510" s="659"/>
      <c r="D510" s="659"/>
      <c r="E510" s="659"/>
      <c r="F510" s="659"/>
      <c r="G510" s="659"/>
      <c r="H510" s="659"/>
      <c r="I510" s="659"/>
      <c r="J510" s="659"/>
      <c r="K510" s="659"/>
      <c r="L510" s="659"/>
      <c r="M510" s="659"/>
      <c r="N510" s="659"/>
    </row>
    <row r="511" spans="3:14" ht="14.25" customHeight="1">
      <c r="C511" s="659"/>
      <c r="D511" s="659"/>
      <c r="E511" s="659"/>
      <c r="F511" s="659"/>
      <c r="G511" s="659"/>
      <c r="H511" s="659"/>
      <c r="I511" s="659"/>
      <c r="J511" s="659"/>
      <c r="K511" s="659"/>
      <c r="L511" s="659"/>
      <c r="M511" s="659"/>
      <c r="N511" s="659"/>
    </row>
    <row r="512" spans="3:14" ht="14.25" customHeight="1">
      <c r="C512" s="659"/>
      <c r="D512" s="659"/>
      <c r="E512" s="659"/>
      <c r="F512" s="659"/>
      <c r="G512" s="659"/>
      <c r="H512" s="659"/>
      <c r="I512" s="659"/>
      <c r="J512" s="659"/>
      <c r="K512" s="659"/>
      <c r="L512" s="659"/>
      <c r="M512" s="659"/>
      <c r="N512" s="659"/>
    </row>
    <row r="513" spans="3:14" ht="14.25" customHeight="1">
      <c r="C513" s="659"/>
      <c r="D513" s="659"/>
      <c r="E513" s="659"/>
      <c r="F513" s="659"/>
      <c r="G513" s="659"/>
      <c r="H513" s="659"/>
      <c r="I513" s="659"/>
      <c r="J513" s="659"/>
      <c r="K513" s="659"/>
      <c r="L513" s="659"/>
      <c r="M513" s="659"/>
      <c r="N513" s="659"/>
    </row>
    <row r="514" spans="3:14" ht="14.25" customHeight="1">
      <c r="C514" s="659"/>
      <c r="D514" s="659"/>
      <c r="E514" s="659"/>
      <c r="F514" s="659"/>
      <c r="G514" s="659"/>
      <c r="H514" s="659"/>
      <c r="I514" s="659"/>
      <c r="J514" s="659"/>
      <c r="K514" s="659"/>
      <c r="L514" s="659"/>
      <c r="M514" s="659"/>
      <c r="N514" s="659"/>
    </row>
    <row r="515" spans="3:14" ht="14.25" customHeight="1">
      <c r="C515" s="659"/>
      <c r="D515" s="659"/>
      <c r="E515" s="659"/>
      <c r="F515" s="659"/>
      <c r="G515" s="659"/>
      <c r="H515" s="659"/>
      <c r="I515" s="659"/>
      <c r="J515" s="659"/>
      <c r="K515" s="659"/>
      <c r="L515" s="659"/>
      <c r="M515" s="659"/>
      <c r="N515" s="659"/>
    </row>
    <row r="516" spans="3:14" ht="14.25" customHeight="1">
      <c r="C516" s="659"/>
      <c r="D516" s="659"/>
      <c r="E516" s="659"/>
      <c r="F516" s="659"/>
      <c r="G516" s="659"/>
      <c r="H516" s="659"/>
      <c r="I516" s="659"/>
      <c r="J516" s="659"/>
      <c r="K516" s="659"/>
      <c r="L516" s="659"/>
      <c r="M516" s="659"/>
      <c r="N516" s="659"/>
    </row>
    <row r="517" spans="3:14" ht="14.25" customHeight="1">
      <c r="C517" s="659"/>
      <c r="D517" s="659"/>
      <c r="E517" s="659"/>
      <c r="F517" s="659"/>
      <c r="G517" s="659"/>
      <c r="H517" s="659"/>
      <c r="I517" s="659"/>
      <c r="J517" s="659"/>
      <c r="K517" s="659"/>
      <c r="L517" s="659"/>
      <c r="M517" s="659"/>
      <c r="N517" s="659"/>
    </row>
    <row r="518" spans="3:14" ht="14.25" customHeight="1">
      <c r="C518" s="659"/>
      <c r="D518" s="659"/>
      <c r="E518" s="659"/>
      <c r="F518" s="659"/>
      <c r="G518" s="659"/>
      <c r="H518" s="659"/>
      <c r="I518" s="659"/>
      <c r="J518" s="659"/>
      <c r="K518" s="659"/>
      <c r="L518" s="659"/>
      <c r="M518" s="659"/>
      <c r="N518" s="659"/>
    </row>
    <row r="519" spans="3:14" ht="14.25" customHeight="1">
      <c r="C519" s="659"/>
      <c r="D519" s="659"/>
      <c r="E519" s="659"/>
      <c r="F519" s="659"/>
      <c r="G519" s="659"/>
      <c r="H519" s="659"/>
      <c r="I519" s="659"/>
      <c r="J519" s="659"/>
      <c r="K519" s="659"/>
      <c r="L519" s="659"/>
      <c r="M519" s="659"/>
      <c r="N519" s="659"/>
    </row>
    <row r="520" spans="3:14" ht="14.25" customHeight="1">
      <c r="C520" s="659"/>
      <c r="D520" s="659"/>
      <c r="E520" s="659"/>
      <c r="F520" s="659"/>
      <c r="G520" s="659"/>
      <c r="H520" s="659"/>
      <c r="I520" s="659"/>
      <c r="J520" s="659"/>
      <c r="K520" s="659"/>
      <c r="L520" s="659"/>
      <c r="M520" s="659"/>
      <c r="N520" s="659"/>
    </row>
    <row r="521" spans="3:14" ht="14.25" customHeight="1">
      <c r="C521" s="659"/>
      <c r="D521" s="659"/>
      <c r="E521" s="659"/>
      <c r="F521" s="659"/>
      <c r="G521" s="659"/>
      <c r="H521" s="659"/>
      <c r="I521" s="659"/>
      <c r="J521" s="659"/>
      <c r="K521" s="659"/>
      <c r="L521" s="659"/>
      <c r="M521" s="659"/>
      <c r="N521" s="659"/>
    </row>
    <row r="522" spans="3:14" ht="14.25" customHeight="1">
      <c r="C522" s="659"/>
      <c r="D522" s="659"/>
      <c r="E522" s="659"/>
      <c r="F522" s="659"/>
      <c r="G522" s="659"/>
      <c r="H522" s="659"/>
      <c r="I522" s="659"/>
      <c r="J522" s="659"/>
      <c r="K522" s="659"/>
      <c r="L522" s="659"/>
      <c r="M522" s="659"/>
      <c r="N522" s="659"/>
    </row>
    <row r="523" spans="3:14" ht="14.25" customHeight="1">
      <c r="C523" s="659"/>
      <c r="D523" s="659"/>
      <c r="E523" s="659"/>
      <c r="F523" s="659"/>
      <c r="G523" s="659"/>
      <c r="H523" s="659"/>
      <c r="I523" s="659"/>
      <c r="J523" s="659"/>
      <c r="K523" s="659"/>
      <c r="L523" s="659"/>
      <c r="M523" s="659"/>
      <c r="N523" s="659"/>
    </row>
    <row r="524" spans="3:14" ht="14.25" customHeight="1">
      <c r="C524" s="659"/>
      <c r="D524" s="659"/>
      <c r="E524" s="659"/>
      <c r="F524" s="659"/>
      <c r="G524" s="659"/>
      <c r="H524" s="659"/>
      <c r="I524" s="659"/>
      <c r="J524" s="659"/>
      <c r="K524" s="659"/>
      <c r="L524" s="659"/>
      <c r="M524" s="659"/>
      <c r="N524" s="659"/>
    </row>
    <row r="525" spans="3:14" ht="14.25" customHeight="1">
      <c r="C525" s="659"/>
      <c r="D525" s="659"/>
      <c r="E525" s="659"/>
      <c r="F525" s="659"/>
      <c r="G525" s="659"/>
      <c r="H525" s="659"/>
      <c r="I525" s="659"/>
      <c r="J525" s="659"/>
      <c r="K525" s="659"/>
      <c r="L525" s="659"/>
      <c r="M525" s="659"/>
      <c r="N525" s="659"/>
    </row>
    <row r="526" spans="3:14" ht="14.25" customHeight="1">
      <c r="C526" s="659"/>
      <c r="D526" s="659"/>
      <c r="E526" s="659"/>
      <c r="F526" s="659"/>
      <c r="G526" s="659"/>
      <c r="H526" s="659"/>
      <c r="I526" s="659"/>
      <c r="J526" s="659"/>
      <c r="K526" s="659"/>
      <c r="L526" s="659"/>
      <c r="M526" s="659"/>
      <c r="N526" s="659"/>
    </row>
    <row r="527" spans="3:14" ht="14.25" customHeight="1">
      <c r="C527" s="659"/>
      <c r="D527" s="659"/>
      <c r="E527" s="659"/>
      <c r="F527" s="659"/>
      <c r="G527" s="659"/>
      <c r="H527" s="659"/>
      <c r="I527" s="659"/>
      <c r="J527" s="659"/>
      <c r="K527" s="659"/>
      <c r="L527" s="659"/>
      <c r="M527" s="659"/>
      <c r="N527" s="659"/>
    </row>
    <row r="528" spans="3:14" ht="14.25" customHeight="1">
      <c r="C528" s="659"/>
      <c r="D528" s="659"/>
      <c r="E528" s="659"/>
      <c r="F528" s="659"/>
      <c r="G528" s="659"/>
      <c r="H528" s="659"/>
      <c r="I528" s="659"/>
      <c r="J528" s="659"/>
      <c r="K528" s="659"/>
      <c r="L528" s="659"/>
      <c r="M528" s="659"/>
      <c r="N528" s="659"/>
    </row>
    <row r="529" spans="3:14" ht="14.25" customHeight="1">
      <c r="C529" s="659"/>
      <c r="D529" s="659"/>
      <c r="E529" s="659"/>
      <c r="F529" s="659"/>
      <c r="G529" s="659"/>
      <c r="H529" s="659"/>
      <c r="I529" s="659"/>
      <c r="J529" s="659"/>
      <c r="K529" s="659"/>
      <c r="L529" s="659"/>
      <c r="M529" s="659"/>
      <c r="N529" s="659"/>
    </row>
    <row r="530" spans="3:14" ht="14.25" customHeight="1">
      <c r="C530" s="659"/>
      <c r="D530" s="659"/>
      <c r="E530" s="659"/>
      <c r="F530" s="659"/>
      <c r="G530" s="659"/>
      <c r="H530" s="659"/>
      <c r="I530" s="659"/>
      <c r="J530" s="659"/>
      <c r="K530" s="659"/>
      <c r="L530" s="659"/>
      <c r="M530" s="659"/>
      <c r="N530" s="659"/>
    </row>
    <row r="531" spans="3:14" ht="14.25" customHeight="1">
      <c r="C531" s="659"/>
      <c r="D531" s="659"/>
      <c r="E531" s="659"/>
      <c r="F531" s="659"/>
      <c r="G531" s="659"/>
      <c r="H531" s="659"/>
      <c r="I531" s="659"/>
      <c r="J531" s="659"/>
      <c r="K531" s="659"/>
      <c r="L531" s="659"/>
      <c r="M531" s="659"/>
      <c r="N531" s="659"/>
    </row>
    <row r="532" spans="3:14" ht="14.25" customHeight="1">
      <c r="C532" s="659"/>
      <c r="D532" s="659"/>
      <c r="E532" s="659"/>
      <c r="F532" s="659"/>
      <c r="G532" s="659"/>
      <c r="H532" s="659"/>
      <c r="I532" s="659"/>
      <c r="J532" s="659"/>
      <c r="K532" s="659"/>
      <c r="L532" s="659"/>
      <c r="M532" s="659"/>
      <c r="N532" s="659"/>
    </row>
    <row r="533" spans="3:14" ht="14.25" customHeight="1">
      <c r="C533" s="659"/>
      <c r="D533" s="659"/>
      <c r="E533" s="659"/>
      <c r="F533" s="659"/>
      <c r="G533" s="659"/>
      <c r="H533" s="659"/>
      <c r="I533" s="659"/>
      <c r="J533" s="659"/>
      <c r="K533" s="659"/>
      <c r="L533" s="659"/>
      <c r="M533" s="659"/>
      <c r="N533" s="659"/>
    </row>
    <row r="534" spans="3:14" ht="14.25" customHeight="1">
      <c r="C534" s="659"/>
      <c r="D534" s="659"/>
      <c r="E534" s="659"/>
      <c r="F534" s="659"/>
      <c r="G534" s="659"/>
      <c r="H534" s="659"/>
      <c r="I534" s="659"/>
      <c r="J534" s="659"/>
      <c r="K534" s="659"/>
      <c r="L534" s="659"/>
      <c r="M534" s="659"/>
      <c r="N534" s="659"/>
    </row>
    <row r="535" spans="3:14" ht="14.25" customHeight="1">
      <c r="C535" s="659"/>
      <c r="D535" s="659"/>
      <c r="E535" s="659"/>
      <c r="F535" s="659"/>
      <c r="G535" s="659"/>
      <c r="H535" s="659"/>
      <c r="I535" s="659"/>
      <c r="J535" s="659"/>
      <c r="K535" s="659"/>
      <c r="L535" s="659"/>
      <c r="M535" s="659"/>
      <c r="N535" s="659"/>
    </row>
    <row r="536" spans="3:14" ht="14.25" customHeight="1">
      <c r="C536" s="659"/>
      <c r="D536" s="659"/>
      <c r="E536" s="659"/>
      <c r="F536" s="659"/>
      <c r="G536" s="659"/>
      <c r="H536" s="659"/>
      <c r="I536" s="659"/>
      <c r="J536" s="659"/>
      <c r="K536" s="659"/>
      <c r="L536" s="659"/>
      <c r="M536" s="659"/>
      <c r="N536" s="659"/>
    </row>
    <row r="537" spans="3:14" ht="14.25" customHeight="1">
      <c r="C537" s="659"/>
      <c r="D537" s="659"/>
      <c r="E537" s="659"/>
      <c r="F537" s="659"/>
      <c r="G537" s="659"/>
      <c r="H537" s="659"/>
      <c r="I537" s="659"/>
      <c r="J537" s="659"/>
      <c r="K537" s="659"/>
      <c r="L537" s="659"/>
      <c r="M537" s="659"/>
      <c r="N537" s="659"/>
    </row>
    <row r="538" spans="3:14" ht="14.25" customHeight="1">
      <c r="C538" s="659"/>
      <c r="D538" s="659"/>
      <c r="E538" s="659"/>
      <c r="F538" s="659"/>
      <c r="G538" s="659"/>
      <c r="H538" s="659"/>
      <c r="I538" s="659"/>
      <c r="J538" s="659"/>
      <c r="K538" s="659"/>
      <c r="L538" s="659"/>
      <c r="M538" s="659"/>
      <c r="N538" s="659"/>
    </row>
    <row r="539" spans="3:14" ht="14.25" customHeight="1">
      <c r="C539" s="659"/>
      <c r="D539" s="659"/>
      <c r="E539" s="659"/>
      <c r="F539" s="659"/>
      <c r="G539" s="659"/>
      <c r="H539" s="659"/>
      <c r="I539" s="659"/>
      <c r="J539" s="659"/>
      <c r="K539" s="659"/>
      <c r="L539" s="659"/>
      <c r="M539" s="659"/>
      <c r="N539" s="659"/>
    </row>
    <row r="540" spans="3:14" ht="14.25" customHeight="1">
      <c r="C540" s="659"/>
      <c r="D540" s="659"/>
      <c r="E540" s="659"/>
      <c r="F540" s="659"/>
      <c r="G540" s="659"/>
      <c r="H540" s="659"/>
      <c r="I540" s="659"/>
      <c r="J540" s="659"/>
      <c r="K540" s="659"/>
      <c r="L540" s="659"/>
      <c r="M540" s="659"/>
      <c r="N540" s="659"/>
    </row>
    <row r="541" spans="3:14" ht="14.25" customHeight="1">
      <c r="C541" s="659"/>
      <c r="D541" s="659"/>
      <c r="E541" s="659"/>
      <c r="F541" s="659"/>
      <c r="G541" s="659"/>
      <c r="H541" s="659"/>
      <c r="I541" s="659"/>
      <c r="J541" s="659"/>
      <c r="K541" s="659"/>
      <c r="L541" s="659"/>
      <c r="M541" s="659"/>
      <c r="N541" s="659"/>
    </row>
    <row r="542" spans="3:14" ht="14.25" customHeight="1">
      <c r="C542" s="659"/>
      <c r="D542" s="659"/>
      <c r="E542" s="659"/>
      <c r="F542" s="659"/>
      <c r="G542" s="659"/>
      <c r="H542" s="659"/>
      <c r="I542" s="659"/>
      <c r="J542" s="659"/>
      <c r="K542" s="659"/>
      <c r="L542" s="659"/>
      <c r="M542" s="659"/>
      <c r="N542" s="659"/>
    </row>
    <row r="543" spans="3:14" ht="14.25" customHeight="1">
      <c r="C543" s="659"/>
      <c r="D543" s="659"/>
      <c r="E543" s="659"/>
      <c r="F543" s="659"/>
      <c r="G543" s="659"/>
      <c r="H543" s="659"/>
      <c r="I543" s="659"/>
      <c r="J543" s="659"/>
      <c r="K543" s="659"/>
      <c r="L543" s="659"/>
      <c r="M543" s="659"/>
      <c r="N543" s="659"/>
    </row>
    <row r="544" spans="3:14" ht="14.25" customHeight="1">
      <c r="C544" s="659"/>
      <c r="D544" s="659"/>
      <c r="E544" s="659"/>
      <c r="F544" s="659"/>
      <c r="G544" s="659"/>
      <c r="H544" s="659"/>
      <c r="I544" s="659"/>
      <c r="J544" s="659"/>
      <c r="K544" s="659"/>
      <c r="L544" s="659"/>
      <c r="M544" s="659"/>
      <c r="N544" s="659"/>
    </row>
    <row r="545" spans="3:14" ht="14.25" customHeight="1">
      <c r="C545" s="659"/>
      <c r="D545" s="659"/>
      <c r="E545" s="659"/>
      <c r="F545" s="659"/>
      <c r="G545" s="659"/>
      <c r="H545" s="659"/>
      <c r="I545" s="659"/>
      <c r="J545" s="659"/>
      <c r="K545" s="659"/>
      <c r="L545" s="659"/>
      <c r="M545" s="659"/>
      <c r="N545" s="659"/>
    </row>
    <row r="546" spans="3:14" ht="14.25" customHeight="1">
      <c r="C546" s="659"/>
      <c r="D546" s="659"/>
      <c r="E546" s="659"/>
      <c r="F546" s="659"/>
      <c r="G546" s="659"/>
      <c r="H546" s="659"/>
      <c r="I546" s="659"/>
      <c r="J546" s="659"/>
      <c r="K546" s="659"/>
      <c r="L546" s="659"/>
      <c r="M546" s="659"/>
      <c r="N546" s="659"/>
    </row>
    <row r="547" spans="3:14" ht="14.25" customHeight="1">
      <c r="C547" s="659"/>
      <c r="D547" s="659"/>
      <c r="E547" s="659"/>
      <c r="F547" s="659"/>
      <c r="G547" s="659"/>
      <c r="H547" s="659"/>
      <c r="I547" s="659"/>
      <c r="J547" s="659"/>
      <c r="K547" s="659"/>
      <c r="L547" s="659"/>
      <c r="M547" s="659"/>
      <c r="N547" s="659"/>
    </row>
    <row r="548" spans="3:14" ht="14.25" customHeight="1">
      <c r="C548" s="659"/>
      <c r="D548" s="659"/>
      <c r="E548" s="659"/>
      <c r="F548" s="659"/>
      <c r="G548" s="659"/>
      <c r="H548" s="659"/>
      <c r="I548" s="659"/>
      <c r="J548" s="659"/>
      <c r="K548" s="659"/>
      <c r="L548" s="659"/>
      <c r="M548" s="659"/>
      <c r="N548" s="659"/>
    </row>
    <row r="549" spans="3:14" ht="14.25" customHeight="1">
      <c r="C549" s="659"/>
      <c r="D549" s="659"/>
      <c r="E549" s="659"/>
      <c r="F549" s="659"/>
      <c r="G549" s="659"/>
      <c r="H549" s="659"/>
      <c r="I549" s="659"/>
      <c r="J549" s="659"/>
      <c r="K549" s="659"/>
      <c r="L549" s="659"/>
      <c r="M549" s="659"/>
      <c r="N549" s="659"/>
    </row>
    <row r="550" spans="3:14" ht="14.25" customHeight="1">
      <c r="C550" s="659"/>
      <c r="D550" s="659"/>
      <c r="E550" s="659"/>
      <c r="F550" s="659"/>
      <c r="G550" s="659"/>
      <c r="H550" s="659"/>
      <c r="I550" s="659"/>
      <c r="J550" s="659"/>
      <c r="K550" s="659"/>
      <c r="L550" s="659"/>
      <c r="M550" s="659"/>
      <c r="N550" s="659"/>
    </row>
    <row r="551" spans="3:14" ht="14.25" customHeight="1">
      <c r="C551" s="659"/>
      <c r="D551" s="659"/>
      <c r="E551" s="659"/>
      <c r="F551" s="659"/>
      <c r="G551" s="659"/>
      <c r="H551" s="659"/>
      <c r="I551" s="659"/>
      <c r="J551" s="659"/>
      <c r="K551" s="659"/>
      <c r="L551" s="659"/>
      <c r="M551" s="659"/>
      <c r="N551" s="659"/>
    </row>
    <row r="552" spans="3:14" ht="14.25" customHeight="1">
      <c r="C552" s="659"/>
      <c r="D552" s="659"/>
      <c r="E552" s="659"/>
      <c r="F552" s="659"/>
      <c r="G552" s="659"/>
      <c r="H552" s="659"/>
      <c r="I552" s="659"/>
      <c r="J552" s="659"/>
      <c r="K552" s="659"/>
      <c r="L552" s="659"/>
      <c r="M552" s="659"/>
      <c r="N552" s="659"/>
    </row>
    <row r="553" spans="3:14" ht="14.25" customHeight="1">
      <c r="C553" s="659"/>
      <c r="D553" s="659"/>
      <c r="E553" s="659"/>
      <c r="F553" s="659"/>
      <c r="G553" s="659"/>
      <c r="H553" s="659"/>
      <c r="I553" s="659"/>
      <c r="J553" s="659"/>
      <c r="K553" s="659"/>
      <c r="L553" s="659"/>
      <c r="M553" s="659"/>
      <c r="N553" s="659"/>
    </row>
    <row r="554" spans="3:14" ht="14.25" customHeight="1">
      <c r="C554" s="659"/>
      <c r="D554" s="659"/>
      <c r="E554" s="659"/>
      <c r="F554" s="659"/>
      <c r="G554" s="659"/>
      <c r="H554" s="659"/>
      <c r="I554" s="659"/>
      <c r="J554" s="659"/>
      <c r="K554" s="659"/>
      <c r="L554" s="659"/>
      <c r="M554" s="659"/>
      <c r="N554" s="659"/>
    </row>
    <row r="555" spans="3:14" ht="14.25" customHeight="1">
      <c r="C555" s="659"/>
      <c r="D555" s="659"/>
      <c r="E555" s="659"/>
      <c r="F555" s="659"/>
      <c r="G555" s="659"/>
      <c r="H555" s="659"/>
      <c r="I555" s="659"/>
      <c r="J555" s="659"/>
      <c r="K555" s="659"/>
      <c r="L555" s="659"/>
      <c r="M555" s="659"/>
      <c r="N555" s="659"/>
    </row>
    <row r="556" spans="3:14" ht="14.25" customHeight="1">
      <c r="C556" s="659"/>
      <c r="D556" s="659"/>
      <c r="E556" s="659"/>
      <c r="F556" s="659"/>
      <c r="G556" s="659"/>
      <c r="H556" s="659"/>
      <c r="I556" s="659"/>
      <c r="J556" s="659"/>
      <c r="K556" s="659"/>
      <c r="L556" s="659"/>
      <c r="M556" s="659"/>
      <c r="N556" s="659"/>
    </row>
    <row r="557" spans="3:14" ht="14.25" customHeight="1">
      <c r="C557" s="659"/>
      <c r="D557" s="659"/>
      <c r="E557" s="659"/>
      <c r="F557" s="659"/>
      <c r="G557" s="659"/>
      <c r="H557" s="659"/>
      <c r="I557" s="659"/>
      <c r="J557" s="659"/>
      <c r="K557" s="659"/>
      <c r="L557" s="659"/>
      <c r="M557" s="659"/>
      <c r="N557" s="659"/>
    </row>
    <row r="558" spans="3:14" ht="14.25" customHeight="1">
      <c r="C558" s="659"/>
      <c r="D558" s="659"/>
      <c r="E558" s="659"/>
      <c r="F558" s="659"/>
      <c r="G558" s="659"/>
      <c r="H558" s="659"/>
      <c r="I558" s="659"/>
      <c r="J558" s="659"/>
      <c r="K558" s="659"/>
      <c r="L558" s="659"/>
      <c r="M558" s="659"/>
      <c r="N558" s="659"/>
    </row>
    <row r="559" spans="3:14" ht="14.25" customHeight="1">
      <c r="C559" s="659"/>
      <c r="D559" s="659"/>
      <c r="E559" s="659"/>
      <c r="F559" s="659"/>
      <c r="G559" s="659"/>
      <c r="H559" s="659"/>
      <c r="I559" s="659"/>
      <c r="J559" s="659"/>
      <c r="K559" s="659"/>
      <c r="L559" s="659"/>
      <c r="M559" s="659"/>
      <c r="N559" s="659"/>
    </row>
    <row r="560" spans="3:14" ht="14.25" customHeight="1">
      <c r="C560" s="659"/>
      <c r="D560" s="659"/>
      <c r="E560" s="659"/>
      <c r="F560" s="659"/>
      <c r="G560" s="659"/>
      <c r="H560" s="659"/>
      <c r="I560" s="659"/>
      <c r="J560" s="659"/>
      <c r="K560" s="659"/>
      <c r="L560" s="659"/>
      <c r="M560" s="659"/>
      <c r="N560" s="659"/>
    </row>
    <row r="561" spans="3:14" ht="14.25" customHeight="1">
      <c r="C561" s="659"/>
      <c r="D561" s="659"/>
      <c r="E561" s="659"/>
      <c r="F561" s="659"/>
      <c r="G561" s="659"/>
      <c r="H561" s="659"/>
      <c r="I561" s="659"/>
      <c r="J561" s="659"/>
      <c r="K561" s="659"/>
      <c r="L561" s="659"/>
      <c r="M561" s="659"/>
      <c r="N561" s="659"/>
    </row>
    <row r="562" spans="3:14" ht="14.25" customHeight="1">
      <c r="C562" s="659"/>
      <c r="D562" s="659"/>
      <c r="E562" s="659"/>
      <c r="F562" s="659"/>
      <c r="G562" s="659"/>
      <c r="H562" s="659"/>
      <c r="I562" s="659"/>
      <c r="J562" s="659"/>
      <c r="K562" s="659"/>
      <c r="L562" s="659"/>
      <c r="M562" s="659"/>
      <c r="N562" s="659"/>
    </row>
    <row r="563" spans="3:14" ht="14.25" customHeight="1">
      <c r="C563" s="659"/>
      <c r="D563" s="659"/>
      <c r="E563" s="659"/>
      <c r="F563" s="659"/>
      <c r="G563" s="659"/>
      <c r="H563" s="659"/>
      <c r="I563" s="659"/>
      <c r="J563" s="659"/>
      <c r="K563" s="659"/>
      <c r="L563" s="659"/>
      <c r="M563" s="659"/>
      <c r="N563" s="659"/>
    </row>
    <row r="564" spans="3:14" ht="14.25" customHeight="1">
      <c r="C564" s="659"/>
      <c r="D564" s="659"/>
      <c r="E564" s="659"/>
      <c r="F564" s="659"/>
      <c r="G564" s="659"/>
      <c r="H564" s="659"/>
      <c r="I564" s="659"/>
      <c r="J564" s="659"/>
      <c r="K564" s="659"/>
      <c r="L564" s="659"/>
      <c r="M564" s="659"/>
      <c r="N564" s="659"/>
    </row>
    <row r="565" spans="3:14" ht="14.25" customHeight="1">
      <c r="C565" s="659"/>
      <c r="D565" s="659"/>
      <c r="E565" s="659"/>
      <c r="F565" s="659"/>
      <c r="G565" s="659"/>
      <c r="H565" s="659"/>
      <c r="I565" s="659"/>
      <c r="J565" s="659"/>
      <c r="K565" s="659"/>
      <c r="L565" s="659"/>
      <c r="M565" s="659"/>
      <c r="N565" s="659"/>
    </row>
    <row r="566" spans="3:14" ht="14.25" customHeight="1">
      <c r="C566" s="659"/>
      <c r="D566" s="659"/>
      <c r="E566" s="659"/>
      <c r="F566" s="659"/>
      <c r="G566" s="659"/>
      <c r="H566" s="659"/>
      <c r="I566" s="659"/>
      <c r="J566" s="659"/>
      <c r="K566" s="659"/>
      <c r="L566" s="659"/>
      <c r="M566" s="659"/>
      <c r="N566" s="659"/>
    </row>
    <row r="567" spans="3:14" ht="14.25" customHeight="1">
      <c r="C567" s="659"/>
      <c r="D567" s="659"/>
      <c r="E567" s="659"/>
      <c r="F567" s="659"/>
      <c r="G567" s="659"/>
      <c r="H567" s="659"/>
      <c r="I567" s="659"/>
      <c r="J567" s="659"/>
      <c r="K567" s="659"/>
      <c r="L567" s="659"/>
      <c r="M567" s="659"/>
      <c r="N567" s="659"/>
    </row>
    <row r="568" spans="3:14" ht="14.25" customHeight="1">
      <c r="C568" s="659"/>
      <c r="D568" s="659"/>
      <c r="E568" s="659"/>
      <c r="F568" s="659"/>
      <c r="G568" s="659"/>
      <c r="H568" s="659"/>
      <c r="I568" s="659"/>
      <c r="J568" s="659"/>
      <c r="K568" s="659"/>
      <c r="L568" s="659"/>
      <c r="M568" s="659"/>
      <c r="N568" s="659"/>
    </row>
    <row r="569" spans="3:14" ht="14.25" customHeight="1">
      <c r="C569" s="659"/>
      <c r="D569" s="659"/>
      <c r="E569" s="659"/>
      <c r="F569" s="659"/>
      <c r="G569" s="659"/>
      <c r="H569" s="659"/>
      <c r="I569" s="659"/>
      <c r="J569" s="659"/>
      <c r="K569" s="659"/>
      <c r="L569" s="659"/>
      <c r="M569" s="659"/>
      <c r="N569" s="659"/>
    </row>
    <row r="570" spans="3:14" ht="14.25" customHeight="1">
      <c r="C570" s="659"/>
      <c r="D570" s="659"/>
      <c r="E570" s="659"/>
      <c r="F570" s="659"/>
      <c r="G570" s="659"/>
      <c r="H570" s="659"/>
      <c r="I570" s="659"/>
      <c r="J570" s="659"/>
      <c r="K570" s="659"/>
      <c r="L570" s="659"/>
      <c r="M570" s="659"/>
      <c r="N570" s="659"/>
    </row>
    <row r="571" spans="3:14" ht="14.25" customHeight="1">
      <c r="C571" s="659"/>
      <c r="D571" s="659"/>
      <c r="E571" s="659"/>
      <c r="F571" s="659"/>
      <c r="G571" s="659"/>
      <c r="H571" s="659"/>
      <c r="I571" s="659"/>
      <c r="J571" s="659"/>
      <c r="K571" s="659"/>
      <c r="L571" s="659"/>
      <c r="M571" s="659"/>
      <c r="N571" s="659"/>
    </row>
    <row r="572" spans="3:14" ht="14.25" customHeight="1">
      <c r="C572" s="659"/>
      <c r="D572" s="659"/>
      <c r="E572" s="659"/>
      <c r="F572" s="659"/>
      <c r="G572" s="659"/>
      <c r="H572" s="659"/>
      <c r="I572" s="659"/>
      <c r="J572" s="659"/>
      <c r="K572" s="659"/>
      <c r="L572" s="659"/>
      <c r="M572" s="659"/>
      <c r="N572" s="659"/>
    </row>
    <row r="573" spans="3:14" ht="14.25" customHeight="1">
      <c r="C573" s="659"/>
      <c r="D573" s="659"/>
      <c r="E573" s="659"/>
      <c r="F573" s="659"/>
      <c r="G573" s="659"/>
      <c r="H573" s="659"/>
      <c r="I573" s="659"/>
      <c r="J573" s="659"/>
      <c r="K573" s="659"/>
      <c r="L573" s="659"/>
      <c r="M573" s="659"/>
      <c r="N573" s="659"/>
    </row>
    <row r="574" spans="3:14" ht="14.25" customHeight="1">
      <c r="C574" s="659"/>
      <c r="D574" s="659"/>
      <c r="E574" s="659"/>
      <c r="F574" s="659"/>
      <c r="G574" s="659"/>
      <c r="H574" s="659"/>
      <c r="I574" s="659"/>
      <c r="J574" s="659"/>
      <c r="K574" s="659"/>
      <c r="L574" s="659"/>
      <c r="M574" s="659"/>
      <c r="N574" s="659"/>
    </row>
    <row r="575" spans="3:14" ht="14.25" customHeight="1">
      <c r="C575" s="659"/>
      <c r="D575" s="659"/>
      <c r="E575" s="659"/>
      <c r="F575" s="659"/>
      <c r="G575" s="659"/>
      <c r="H575" s="659"/>
      <c r="I575" s="659"/>
      <c r="J575" s="659"/>
      <c r="K575" s="659"/>
      <c r="L575" s="659"/>
      <c r="M575" s="659"/>
      <c r="N575" s="659"/>
    </row>
    <row r="576" spans="3:14" ht="14.25" customHeight="1">
      <c r="C576" s="659"/>
      <c r="D576" s="659"/>
      <c r="E576" s="659"/>
      <c r="F576" s="659"/>
      <c r="G576" s="659"/>
      <c r="H576" s="659"/>
      <c r="I576" s="659"/>
      <c r="J576" s="659"/>
      <c r="K576" s="659"/>
      <c r="L576" s="659"/>
      <c r="M576" s="659"/>
      <c r="N576" s="659"/>
    </row>
    <row r="577" spans="3:14" ht="14.25" customHeight="1">
      <c r="C577" s="659"/>
      <c r="D577" s="659"/>
      <c r="E577" s="659"/>
      <c r="F577" s="659"/>
      <c r="G577" s="659"/>
      <c r="H577" s="659"/>
      <c r="I577" s="659"/>
      <c r="J577" s="659"/>
      <c r="K577" s="659"/>
      <c r="L577" s="659"/>
      <c r="M577" s="659"/>
      <c r="N577" s="659"/>
    </row>
    <row r="578" spans="3:14" ht="14.25" customHeight="1">
      <c r="C578" s="659"/>
      <c r="D578" s="659"/>
      <c r="E578" s="659"/>
      <c r="F578" s="659"/>
      <c r="G578" s="659"/>
      <c r="H578" s="659"/>
      <c r="I578" s="659"/>
      <c r="J578" s="659"/>
      <c r="K578" s="659"/>
      <c r="L578" s="659"/>
      <c r="M578" s="659"/>
      <c r="N578" s="659"/>
    </row>
    <row r="579" spans="3:14" ht="14.25" customHeight="1">
      <c r="C579" s="659"/>
      <c r="D579" s="659"/>
      <c r="E579" s="659"/>
      <c r="F579" s="659"/>
      <c r="G579" s="659"/>
      <c r="H579" s="659"/>
      <c r="I579" s="659"/>
      <c r="J579" s="659"/>
      <c r="K579" s="659"/>
      <c r="L579" s="659"/>
      <c r="M579" s="659"/>
      <c r="N579" s="659"/>
    </row>
    <row r="580" spans="3:14" ht="14.25" customHeight="1">
      <c r="C580" s="659"/>
      <c r="D580" s="659"/>
      <c r="E580" s="659"/>
      <c r="F580" s="659"/>
      <c r="G580" s="659"/>
      <c r="H580" s="659"/>
      <c r="I580" s="659"/>
      <c r="J580" s="659"/>
      <c r="K580" s="659"/>
      <c r="L580" s="659"/>
      <c r="M580" s="659"/>
      <c r="N580" s="659"/>
    </row>
    <row r="581" spans="3:14" ht="14.25" customHeight="1">
      <c r="C581" s="659"/>
      <c r="D581" s="659"/>
      <c r="E581" s="659"/>
      <c r="F581" s="659"/>
      <c r="G581" s="659"/>
      <c r="H581" s="659"/>
      <c r="I581" s="659"/>
      <c r="J581" s="659"/>
      <c r="K581" s="659"/>
      <c r="L581" s="659"/>
      <c r="M581" s="659"/>
      <c r="N581" s="659"/>
    </row>
    <row r="582" spans="3:14" ht="14.25" customHeight="1">
      <c r="C582" s="659"/>
      <c r="D582" s="659"/>
      <c r="E582" s="659"/>
      <c r="F582" s="659"/>
      <c r="G582" s="659"/>
      <c r="H582" s="659"/>
      <c r="I582" s="659"/>
      <c r="J582" s="659"/>
      <c r="K582" s="659"/>
      <c r="L582" s="659"/>
      <c r="M582" s="659"/>
      <c r="N582" s="659"/>
    </row>
    <row r="583" spans="3:14" ht="14.25" customHeight="1">
      <c r="C583" s="659"/>
      <c r="D583" s="659"/>
      <c r="E583" s="659"/>
      <c r="F583" s="659"/>
      <c r="G583" s="659"/>
      <c r="H583" s="659"/>
      <c r="I583" s="659"/>
      <c r="J583" s="659"/>
      <c r="K583" s="659"/>
      <c r="L583" s="659"/>
      <c r="M583" s="659"/>
      <c r="N583" s="659"/>
    </row>
    <row r="584" spans="3:14" ht="14.25" customHeight="1">
      <c r="C584" s="659"/>
      <c r="D584" s="659"/>
      <c r="E584" s="659"/>
      <c r="F584" s="659"/>
      <c r="G584" s="659"/>
      <c r="H584" s="659"/>
      <c r="I584" s="659"/>
      <c r="J584" s="659"/>
      <c r="K584" s="659"/>
      <c r="L584" s="659"/>
      <c r="M584" s="659"/>
      <c r="N584" s="659"/>
    </row>
    <row r="585" spans="3:14" ht="14.25" customHeight="1">
      <c r="C585" s="659"/>
      <c r="D585" s="659"/>
      <c r="E585" s="659"/>
      <c r="F585" s="659"/>
      <c r="G585" s="659"/>
      <c r="H585" s="659"/>
      <c r="I585" s="659"/>
      <c r="J585" s="659"/>
      <c r="K585" s="659"/>
      <c r="L585" s="659"/>
      <c r="M585" s="659"/>
      <c r="N585" s="659"/>
    </row>
    <row r="586" spans="3:14" ht="14.25" customHeight="1">
      <c r="C586" s="659"/>
      <c r="D586" s="659"/>
      <c r="E586" s="659"/>
      <c r="F586" s="659"/>
      <c r="G586" s="659"/>
      <c r="H586" s="659"/>
      <c r="I586" s="659"/>
      <c r="J586" s="659"/>
      <c r="K586" s="659"/>
      <c r="L586" s="659"/>
      <c r="M586" s="659"/>
      <c r="N586" s="659"/>
    </row>
    <row r="587" spans="3:14" ht="14.25" customHeight="1">
      <c r="C587" s="659"/>
      <c r="D587" s="659"/>
      <c r="E587" s="659"/>
      <c r="F587" s="659"/>
      <c r="G587" s="659"/>
      <c r="H587" s="659"/>
      <c r="I587" s="659"/>
      <c r="J587" s="659"/>
      <c r="K587" s="659"/>
      <c r="L587" s="659"/>
      <c r="M587" s="659"/>
      <c r="N587" s="659"/>
    </row>
    <row r="588" spans="3:14" ht="14.25" customHeight="1">
      <c r="C588" s="659"/>
      <c r="D588" s="659"/>
      <c r="E588" s="659"/>
      <c r="F588" s="659"/>
      <c r="G588" s="659"/>
      <c r="H588" s="659"/>
      <c r="I588" s="659"/>
      <c r="J588" s="659"/>
      <c r="K588" s="659"/>
      <c r="L588" s="659"/>
      <c r="M588" s="659"/>
      <c r="N588" s="659"/>
    </row>
    <row r="589" spans="3:14" ht="14.25" customHeight="1">
      <c r="C589" s="659"/>
      <c r="D589" s="659"/>
      <c r="E589" s="659"/>
      <c r="F589" s="659"/>
      <c r="G589" s="659"/>
      <c r="H589" s="659"/>
      <c r="I589" s="659"/>
      <c r="J589" s="659"/>
      <c r="K589" s="659"/>
      <c r="L589" s="659"/>
      <c r="M589" s="659"/>
      <c r="N589" s="659"/>
    </row>
    <row r="590" spans="3:14" ht="14.25" customHeight="1">
      <c r="C590" s="659"/>
      <c r="D590" s="659"/>
      <c r="E590" s="659"/>
      <c r="F590" s="659"/>
      <c r="G590" s="659"/>
      <c r="H590" s="659"/>
      <c r="I590" s="659"/>
      <c r="J590" s="659"/>
      <c r="K590" s="659"/>
      <c r="L590" s="659"/>
      <c r="M590" s="659"/>
      <c r="N590" s="659"/>
    </row>
    <row r="591" spans="3:14" ht="14.25" customHeight="1">
      <c r="C591" s="659"/>
      <c r="D591" s="659"/>
      <c r="E591" s="659"/>
      <c r="F591" s="659"/>
      <c r="G591" s="659"/>
      <c r="H591" s="659"/>
      <c r="I591" s="659"/>
      <c r="J591" s="659"/>
      <c r="K591" s="659"/>
      <c r="L591" s="659"/>
      <c r="M591" s="659"/>
      <c r="N591" s="659"/>
    </row>
    <row r="592" spans="3:14" ht="14.25" customHeight="1">
      <c r="C592" s="659"/>
      <c r="D592" s="659"/>
      <c r="E592" s="659"/>
      <c r="F592" s="659"/>
      <c r="G592" s="659"/>
      <c r="H592" s="659"/>
      <c r="I592" s="659"/>
      <c r="J592" s="659"/>
      <c r="K592" s="659"/>
      <c r="L592" s="659"/>
      <c r="M592" s="659"/>
      <c r="N592" s="659"/>
    </row>
    <row r="593" spans="3:14" ht="14.25" customHeight="1">
      <c r="C593" s="659"/>
      <c r="D593" s="659"/>
      <c r="E593" s="659"/>
      <c r="F593" s="659"/>
      <c r="G593" s="659"/>
      <c r="H593" s="659"/>
      <c r="I593" s="659"/>
      <c r="J593" s="659"/>
      <c r="K593" s="659"/>
      <c r="L593" s="659"/>
      <c r="M593" s="659"/>
      <c r="N593" s="659"/>
    </row>
    <row r="594" spans="3:14" ht="14.25" customHeight="1">
      <c r="C594" s="659"/>
      <c r="D594" s="659"/>
      <c r="E594" s="659"/>
      <c r="F594" s="659"/>
      <c r="G594" s="659"/>
      <c r="H594" s="659"/>
      <c r="I594" s="659"/>
      <c r="J594" s="659"/>
      <c r="K594" s="659"/>
      <c r="L594" s="659"/>
      <c r="M594" s="659"/>
      <c r="N594" s="659"/>
    </row>
    <row r="595" spans="3:14" ht="14.25" customHeight="1">
      <c r="C595" s="659"/>
      <c r="D595" s="659"/>
      <c r="E595" s="659"/>
      <c r="F595" s="659"/>
      <c r="G595" s="659"/>
      <c r="H595" s="659"/>
      <c r="I595" s="659"/>
      <c r="J595" s="659"/>
      <c r="K595" s="659"/>
      <c r="L595" s="659"/>
      <c r="M595" s="659"/>
      <c r="N595" s="659"/>
    </row>
    <row r="596" spans="3:14" ht="14.25" customHeight="1">
      <c r="C596" s="659"/>
      <c r="D596" s="659"/>
      <c r="E596" s="659"/>
      <c r="F596" s="659"/>
      <c r="G596" s="659"/>
      <c r="H596" s="659"/>
      <c r="I596" s="659"/>
      <c r="J596" s="659"/>
      <c r="K596" s="659"/>
      <c r="L596" s="659"/>
      <c r="M596" s="659"/>
      <c r="N596" s="659"/>
    </row>
    <row r="597" spans="3:14" ht="14.25" customHeight="1">
      <c r="C597" s="659"/>
      <c r="D597" s="659"/>
      <c r="E597" s="659"/>
      <c r="F597" s="659"/>
      <c r="G597" s="659"/>
      <c r="H597" s="659"/>
      <c r="I597" s="659"/>
      <c r="J597" s="659"/>
      <c r="K597" s="659"/>
      <c r="L597" s="659"/>
      <c r="M597" s="659"/>
      <c r="N597" s="659"/>
    </row>
    <row r="598" spans="3:14" ht="14.25" customHeight="1">
      <c r="C598" s="659"/>
      <c r="D598" s="659"/>
      <c r="E598" s="659"/>
      <c r="F598" s="659"/>
      <c r="G598" s="659"/>
      <c r="H598" s="659"/>
      <c r="I598" s="659"/>
      <c r="J598" s="659"/>
      <c r="K598" s="659"/>
      <c r="L598" s="659"/>
      <c r="M598" s="659"/>
      <c r="N598" s="659"/>
    </row>
    <row r="599" spans="3:14" ht="14.25" customHeight="1">
      <c r="C599" s="659"/>
      <c r="D599" s="659"/>
      <c r="E599" s="659"/>
      <c r="F599" s="659"/>
      <c r="G599" s="659"/>
      <c r="H599" s="659"/>
      <c r="I599" s="659"/>
      <c r="J599" s="659"/>
      <c r="K599" s="659"/>
      <c r="L599" s="659"/>
      <c r="M599" s="659"/>
      <c r="N599" s="659"/>
    </row>
    <row r="600" spans="3:14" ht="14.25" customHeight="1">
      <c r="C600" s="659"/>
      <c r="D600" s="659"/>
      <c r="E600" s="659"/>
      <c r="F600" s="659"/>
      <c r="G600" s="659"/>
      <c r="H600" s="659"/>
      <c r="I600" s="659"/>
      <c r="J600" s="659"/>
      <c r="K600" s="659"/>
      <c r="L600" s="659"/>
      <c r="M600" s="659"/>
      <c r="N600" s="659"/>
    </row>
    <row r="601" spans="3:14" ht="14.25" customHeight="1">
      <c r="C601" s="659"/>
      <c r="D601" s="659"/>
      <c r="E601" s="659"/>
      <c r="F601" s="659"/>
      <c r="G601" s="659"/>
      <c r="H601" s="659"/>
      <c r="I601" s="659"/>
      <c r="J601" s="659"/>
      <c r="K601" s="659"/>
      <c r="L601" s="659"/>
      <c r="M601" s="659"/>
      <c r="N601" s="659"/>
    </row>
    <row r="602" spans="3:14" ht="14.25" customHeight="1">
      <c r="C602" s="659"/>
      <c r="D602" s="659"/>
      <c r="E602" s="659"/>
      <c r="F602" s="659"/>
      <c r="G602" s="659"/>
      <c r="H602" s="659"/>
      <c r="I602" s="659"/>
      <c r="J602" s="659"/>
      <c r="K602" s="659"/>
      <c r="L602" s="659"/>
      <c r="M602" s="659"/>
      <c r="N602" s="659"/>
    </row>
    <row r="603" spans="3:14" ht="14.25" customHeight="1">
      <c r="C603" s="659"/>
      <c r="D603" s="659"/>
      <c r="E603" s="659"/>
      <c r="F603" s="659"/>
      <c r="G603" s="659"/>
      <c r="H603" s="659"/>
      <c r="I603" s="659"/>
      <c r="J603" s="659"/>
      <c r="K603" s="659"/>
      <c r="L603" s="659"/>
      <c r="M603" s="659"/>
      <c r="N603" s="659"/>
    </row>
    <row r="604" spans="3:14" ht="14.25" customHeight="1">
      <c r="C604" s="659"/>
      <c r="D604" s="659"/>
      <c r="E604" s="659"/>
      <c r="F604" s="659"/>
      <c r="G604" s="659"/>
      <c r="H604" s="659"/>
      <c r="I604" s="659"/>
      <c r="J604" s="659"/>
      <c r="K604" s="659"/>
      <c r="L604" s="659"/>
      <c r="M604" s="659"/>
      <c r="N604" s="659"/>
    </row>
    <row r="605" spans="3:14" ht="14.25" customHeight="1">
      <c r="C605" s="659"/>
      <c r="D605" s="659"/>
      <c r="E605" s="659"/>
      <c r="F605" s="659"/>
      <c r="G605" s="659"/>
      <c r="H605" s="659"/>
      <c r="I605" s="659"/>
      <c r="J605" s="659"/>
      <c r="K605" s="659"/>
      <c r="L605" s="659"/>
      <c r="M605" s="659"/>
      <c r="N605" s="659"/>
    </row>
    <row r="606" spans="3:14" ht="14.25" customHeight="1">
      <c r="C606" s="659"/>
      <c r="D606" s="659"/>
      <c r="E606" s="659"/>
      <c r="F606" s="659"/>
      <c r="G606" s="659"/>
      <c r="H606" s="659"/>
      <c r="I606" s="659"/>
      <c r="J606" s="659"/>
      <c r="K606" s="659"/>
      <c r="L606" s="659"/>
      <c r="M606" s="659"/>
      <c r="N606" s="659"/>
    </row>
    <row r="607" spans="3:14" ht="14.25" customHeight="1">
      <c r="C607" s="659"/>
      <c r="D607" s="659"/>
      <c r="E607" s="659"/>
      <c r="F607" s="659"/>
      <c r="G607" s="659"/>
      <c r="H607" s="659"/>
      <c r="I607" s="659"/>
      <c r="J607" s="659"/>
      <c r="K607" s="659"/>
      <c r="L607" s="659"/>
      <c r="M607" s="659"/>
      <c r="N607" s="659"/>
    </row>
    <row r="608" spans="3:14" ht="14.25" customHeight="1">
      <c r="C608" s="659"/>
      <c r="D608" s="659"/>
      <c r="E608" s="659"/>
      <c r="F608" s="659"/>
      <c r="G608" s="659"/>
      <c r="H608" s="659"/>
      <c r="I608" s="659"/>
      <c r="J608" s="659"/>
      <c r="K608" s="659"/>
      <c r="L608" s="659"/>
      <c r="M608" s="659"/>
      <c r="N608" s="659"/>
    </row>
    <row r="609" spans="3:14" ht="14.25" customHeight="1">
      <c r="C609" s="659"/>
      <c r="D609" s="659"/>
      <c r="E609" s="659"/>
      <c r="F609" s="659"/>
      <c r="G609" s="659"/>
      <c r="H609" s="659"/>
      <c r="I609" s="659"/>
      <c r="J609" s="659"/>
      <c r="K609" s="659"/>
      <c r="L609" s="659"/>
      <c r="M609" s="659"/>
      <c r="N609" s="659"/>
    </row>
    <row r="610" spans="3:14" ht="14.25" customHeight="1">
      <c r="C610" s="659"/>
      <c r="D610" s="659"/>
      <c r="E610" s="659"/>
      <c r="F610" s="659"/>
      <c r="G610" s="659"/>
      <c r="H610" s="659"/>
      <c r="I610" s="659"/>
      <c r="J610" s="659"/>
      <c r="K610" s="659"/>
      <c r="L610" s="659"/>
      <c r="M610" s="659"/>
      <c r="N610" s="659"/>
    </row>
    <row r="611" spans="3:14" ht="14.25" customHeight="1">
      <c r="C611" s="659"/>
      <c r="D611" s="659"/>
      <c r="E611" s="659"/>
      <c r="F611" s="659"/>
      <c r="G611" s="659"/>
      <c r="H611" s="659"/>
      <c r="I611" s="659"/>
      <c r="J611" s="659"/>
      <c r="K611" s="659"/>
      <c r="L611" s="659"/>
      <c r="M611" s="659"/>
      <c r="N611" s="659"/>
    </row>
    <row r="612" spans="3:14" ht="14.25" customHeight="1">
      <c r="C612" s="659"/>
      <c r="D612" s="659"/>
      <c r="E612" s="659"/>
      <c r="F612" s="659"/>
      <c r="G612" s="659"/>
      <c r="H612" s="659"/>
      <c r="I612" s="659"/>
      <c r="J612" s="659"/>
      <c r="K612" s="659"/>
      <c r="L612" s="659"/>
      <c r="M612" s="659"/>
      <c r="N612" s="659"/>
    </row>
    <row r="613" spans="3:14" ht="14.25" customHeight="1">
      <c r="C613" s="659"/>
      <c r="D613" s="659"/>
      <c r="E613" s="659"/>
      <c r="F613" s="659"/>
      <c r="G613" s="659"/>
      <c r="H613" s="659"/>
      <c r="I613" s="659"/>
      <c r="J613" s="659"/>
      <c r="K613" s="659"/>
      <c r="L613" s="659"/>
      <c r="M613" s="659"/>
      <c r="N613" s="659"/>
    </row>
    <row r="614" spans="3:14" ht="14.25" customHeight="1">
      <c r="C614" s="659"/>
      <c r="D614" s="659"/>
      <c r="E614" s="659"/>
      <c r="F614" s="659"/>
      <c r="G614" s="659"/>
      <c r="H614" s="659"/>
      <c r="I614" s="659"/>
      <c r="J614" s="659"/>
      <c r="K614" s="659"/>
      <c r="L614" s="659"/>
      <c r="M614" s="659"/>
      <c r="N614" s="659"/>
    </row>
    <row r="615" spans="3:14" ht="14.25" customHeight="1">
      <c r="C615" s="659"/>
      <c r="D615" s="659"/>
      <c r="E615" s="659"/>
      <c r="F615" s="659"/>
      <c r="G615" s="659"/>
      <c r="H615" s="659"/>
      <c r="I615" s="659"/>
      <c r="J615" s="659"/>
      <c r="K615" s="659"/>
      <c r="L615" s="659"/>
      <c r="M615" s="659"/>
      <c r="N615" s="659"/>
    </row>
    <row r="616" spans="3:14" ht="14.25" customHeight="1">
      <c r="C616" s="659"/>
      <c r="D616" s="659"/>
      <c r="E616" s="659"/>
      <c r="F616" s="659"/>
      <c r="G616" s="659"/>
      <c r="H616" s="659"/>
      <c r="I616" s="659"/>
      <c r="J616" s="659"/>
      <c r="K616" s="659"/>
      <c r="L616" s="659"/>
      <c r="M616" s="659"/>
      <c r="N616" s="659"/>
    </row>
    <row r="617" spans="3:14" ht="14.25" customHeight="1">
      <c r="C617" s="659"/>
      <c r="D617" s="659"/>
      <c r="E617" s="659"/>
      <c r="F617" s="659"/>
      <c r="G617" s="659"/>
      <c r="H617" s="659"/>
      <c r="I617" s="659"/>
      <c r="J617" s="659"/>
      <c r="K617" s="659"/>
      <c r="L617" s="659"/>
      <c r="M617" s="659"/>
      <c r="N617" s="659"/>
    </row>
    <row r="618" spans="3:14" ht="14.25" customHeight="1">
      <c r="C618" s="659"/>
      <c r="D618" s="659"/>
      <c r="E618" s="659"/>
      <c r="F618" s="659"/>
      <c r="G618" s="659"/>
      <c r="H618" s="659"/>
      <c r="I618" s="659"/>
      <c r="J618" s="659"/>
      <c r="K618" s="659"/>
      <c r="L618" s="659"/>
      <c r="M618" s="659"/>
      <c r="N618" s="659"/>
    </row>
    <row r="619" spans="3:14" ht="14.25" customHeight="1">
      <c r="C619" s="659"/>
      <c r="D619" s="659"/>
      <c r="E619" s="659"/>
      <c r="F619" s="659"/>
      <c r="G619" s="659"/>
      <c r="H619" s="659"/>
      <c r="I619" s="659"/>
      <c r="J619" s="659"/>
      <c r="K619" s="659"/>
      <c r="L619" s="659"/>
      <c r="M619" s="659"/>
      <c r="N619" s="659"/>
    </row>
    <row r="620" spans="3:14" ht="14.25" customHeight="1">
      <c r="C620" s="659"/>
      <c r="D620" s="659"/>
      <c r="E620" s="659"/>
      <c r="F620" s="659"/>
      <c r="G620" s="659"/>
      <c r="H620" s="659"/>
      <c r="I620" s="659"/>
      <c r="J620" s="659"/>
      <c r="K620" s="659"/>
      <c r="L620" s="659"/>
      <c r="M620" s="659"/>
      <c r="N620" s="659"/>
    </row>
    <row r="621" spans="3:14" ht="14.25" customHeight="1">
      <c r="C621" s="659"/>
      <c r="D621" s="659"/>
      <c r="E621" s="659"/>
      <c r="F621" s="659"/>
      <c r="G621" s="659"/>
      <c r="H621" s="659"/>
      <c r="I621" s="659"/>
      <c r="J621" s="659"/>
      <c r="K621" s="659"/>
      <c r="L621" s="659"/>
      <c r="M621" s="659"/>
      <c r="N621" s="659"/>
    </row>
    <row r="622" spans="3:14" ht="14.25" customHeight="1">
      <c r="C622" s="659"/>
      <c r="D622" s="659"/>
      <c r="E622" s="659"/>
      <c r="F622" s="659"/>
      <c r="G622" s="659"/>
      <c r="H622" s="659"/>
      <c r="I622" s="659"/>
      <c r="J622" s="659"/>
      <c r="K622" s="659"/>
      <c r="L622" s="659"/>
      <c r="M622" s="659"/>
      <c r="N622" s="659"/>
    </row>
    <row r="623" spans="3:14" ht="14.25" customHeight="1">
      <c r="C623" s="659"/>
      <c r="D623" s="659"/>
      <c r="E623" s="659"/>
      <c r="F623" s="659"/>
      <c r="G623" s="659"/>
      <c r="H623" s="659"/>
      <c r="I623" s="659"/>
      <c r="J623" s="659"/>
      <c r="K623" s="659"/>
      <c r="L623" s="659"/>
      <c r="M623" s="659"/>
      <c r="N623" s="659"/>
    </row>
    <row r="624" spans="3:14" ht="14.25" customHeight="1">
      <c r="C624" s="659"/>
      <c r="D624" s="659"/>
      <c r="E624" s="659"/>
      <c r="F624" s="659"/>
      <c r="G624" s="659"/>
      <c r="H624" s="659"/>
      <c r="I624" s="659"/>
      <c r="J624" s="659"/>
      <c r="K624" s="659"/>
      <c r="L624" s="659"/>
      <c r="M624" s="659"/>
      <c r="N624" s="659"/>
    </row>
    <row r="625" spans="3:14" ht="14.25" customHeight="1">
      <c r="C625" s="659"/>
      <c r="D625" s="659"/>
      <c r="E625" s="659"/>
      <c r="F625" s="659"/>
      <c r="G625" s="659"/>
      <c r="H625" s="659"/>
      <c r="I625" s="659"/>
      <c r="J625" s="659"/>
      <c r="K625" s="659"/>
      <c r="L625" s="659"/>
      <c r="M625" s="659"/>
      <c r="N625" s="659"/>
    </row>
    <row r="626" spans="3:14" ht="14.25" customHeight="1">
      <c r="C626" s="659"/>
      <c r="D626" s="659"/>
      <c r="E626" s="659"/>
      <c r="F626" s="659"/>
      <c r="G626" s="659"/>
      <c r="H626" s="659"/>
      <c r="I626" s="659"/>
      <c r="J626" s="659"/>
      <c r="K626" s="659"/>
      <c r="L626" s="659"/>
      <c r="M626" s="659"/>
      <c r="N626" s="659"/>
    </row>
    <row r="627" spans="3:14" ht="14.25" customHeight="1">
      <c r="C627" s="659"/>
      <c r="D627" s="659"/>
      <c r="E627" s="659"/>
      <c r="F627" s="659"/>
      <c r="G627" s="659"/>
      <c r="H627" s="659"/>
      <c r="I627" s="659"/>
      <c r="J627" s="659"/>
      <c r="K627" s="659"/>
      <c r="L627" s="659"/>
      <c r="M627" s="659"/>
      <c r="N627" s="659"/>
    </row>
    <row r="628" spans="3:14" ht="14.25" customHeight="1">
      <c r="C628" s="659"/>
      <c r="D628" s="659"/>
      <c r="E628" s="659"/>
      <c r="F628" s="659"/>
      <c r="G628" s="659"/>
      <c r="H628" s="659"/>
      <c r="I628" s="659"/>
      <c r="J628" s="659"/>
      <c r="K628" s="659"/>
      <c r="L628" s="659"/>
      <c r="M628" s="659"/>
      <c r="N628" s="659"/>
    </row>
    <row r="629" spans="3:14" ht="14.25" customHeight="1">
      <c r="C629" s="659"/>
      <c r="D629" s="659"/>
      <c r="E629" s="659"/>
      <c r="F629" s="659"/>
      <c r="G629" s="659"/>
      <c r="H629" s="659"/>
      <c r="I629" s="659"/>
      <c r="J629" s="659"/>
      <c r="K629" s="659"/>
      <c r="L629" s="659"/>
      <c r="M629" s="659"/>
      <c r="N629" s="659"/>
    </row>
    <row r="630" spans="3:14" ht="14.25" customHeight="1">
      <c r="C630" s="659"/>
      <c r="D630" s="659"/>
      <c r="E630" s="659"/>
      <c r="F630" s="659"/>
      <c r="G630" s="659"/>
      <c r="H630" s="659"/>
      <c r="I630" s="659"/>
      <c r="J630" s="659"/>
      <c r="K630" s="659"/>
      <c r="L630" s="659"/>
      <c r="M630" s="659"/>
      <c r="N630" s="659"/>
    </row>
    <row r="631" spans="3:14" ht="14.25" customHeight="1">
      <c r="C631" s="659"/>
      <c r="D631" s="659"/>
      <c r="E631" s="659"/>
      <c r="F631" s="659"/>
      <c r="G631" s="659"/>
      <c r="H631" s="659"/>
      <c r="I631" s="659"/>
      <c r="J631" s="659"/>
      <c r="K631" s="659"/>
      <c r="L631" s="659"/>
      <c r="M631" s="659"/>
      <c r="N631" s="659"/>
    </row>
    <row r="632" spans="3:14" ht="14.25" customHeight="1">
      <c r="C632" s="659"/>
      <c r="D632" s="659"/>
      <c r="E632" s="659"/>
      <c r="F632" s="659"/>
      <c r="G632" s="659"/>
      <c r="H632" s="659"/>
      <c r="I632" s="659"/>
      <c r="J632" s="659"/>
      <c r="K632" s="659"/>
      <c r="L632" s="659"/>
      <c r="M632" s="659"/>
      <c r="N632" s="659"/>
    </row>
    <row r="633" spans="3:14" ht="14.25" customHeight="1">
      <c r="C633" s="659"/>
      <c r="D633" s="659"/>
      <c r="E633" s="659"/>
      <c r="F633" s="659"/>
      <c r="G633" s="659"/>
      <c r="H633" s="659"/>
      <c r="I633" s="659"/>
      <c r="J633" s="659"/>
      <c r="K633" s="659"/>
      <c r="L633" s="659"/>
      <c r="M633" s="659"/>
      <c r="N633" s="659"/>
    </row>
    <row r="634" spans="3:14" ht="14.25" customHeight="1">
      <c r="C634" s="659"/>
      <c r="D634" s="659"/>
      <c r="E634" s="659"/>
      <c r="F634" s="659"/>
      <c r="G634" s="659"/>
      <c r="H634" s="659"/>
      <c r="I634" s="659"/>
      <c r="J634" s="659"/>
      <c r="K634" s="659"/>
      <c r="L634" s="659"/>
      <c r="M634" s="659"/>
      <c r="N634" s="659"/>
    </row>
    <row r="635" spans="3:14" ht="14.25" customHeight="1">
      <c r="C635" s="659"/>
      <c r="D635" s="659"/>
      <c r="E635" s="659"/>
      <c r="F635" s="659"/>
      <c r="G635" s="659"/>
      <c r="H635" s="659"/>
      <c r="I635" s="659"/>
      <c r="J635" s="659"/>
      <c r="K635" s="659"/>
      <c r="L635" s="659"/>
      <c r="M635" s="659"/>
      <c r="N635" s="659"/>
    </row>
    <row r="636" spans="3:14" ht="14.25" customHeight="1">
      <c r="C636" s="659"/>
      <c r="D636" s="659"/>
      <c r="E636" s="659"/>
      <c r="F636" s="659"/>
      <c r="G636" s="659"/>
      <c r="H636" s="659"/>
      <c r="I636" s="659"/>
      <c r="J636" s="659"/>
      <c r="K636" s="659"/>
      <c r="L636" s="659"/>
      <c r="M636" s="659"/>
      <c r="N636" s="659"/>
    </row>
    <row r="637" spans="3:14" ht="14.25" customHeight="1">
      <c r="C637" s="659"/>
      <c r="D637" s="659"/>
      <c r="E637" s="659"/>
      <c r="F637" s="659"/>
      <c r="G637" s="659"/>
      <c r="H637" s="659"/>
      <c r="I637" s="659"/>
      <c r="J637" s="659"/>
      <c r="K637" s="659"/>
      <c r="L637" s="659"/>
      <c r="M637" s="659"/>
      <c r="N637" s="659"/>
    </row>
    <row r="638" spans="3:14" ht="14.25" customHeight="1">
      <c r="C638" s="659"/>
      <c r="D638" s="659"/>
      <c r="E638" s="659"/>
      <c r="F638" s="659"/>
      <c r="G638" s="659"/>
      <c r="H638" s="659"/>
      <c r="I638" s="659"/>
      <c r="J638" s="659"/>
      <c r="K638" s="659"/>
      <c r="L638" s="659"/>
      <c r="M638" s="659"/>
      <c r="N638" s="659"/>
    </row>
    <row r="639" spans="3:14" ht="14.25" customHeight="1">
      <c r="C639" s="659"/>
      <c r="D639" s="659"/>
      <c r="E639" s="659"/>
      <c r="F639" s="659"/>
      <c r="G639" s="659"/>
      <c r="H639" s="659"/>
      <c r="I639" s="659"/>
      <c r="J639" s="659"/>
      <c r="K639" s="659"/>
      <c r="L639" s="659"/>
      <c r="M639" s="659"/>
      <c r="N639" s="659"/>
    </row>
    <row r="640" spans="3:14" ht="14.25" customHeight="1">
      <c r="C640" s="659"/>
      <c r="D640" s="659"/>
      <c r="E640" s="659"/>
      <c r="F640" s="659"/>
      <c r="G640" s="659"/>
      <c r="H640" s="659"/>
      <c r="I640" s="659"/>
      <c r="J640" s="659"/>
      <c r="K640" s="659"/>
      <c r="L640" s="659"/>
      <c r="M640" s="659"/>
      <c r="N640" s="659"/>
    </row>
    <row r="641" spans="3:14" ht="14.25" customHeight="1">
      <c r="C641" s="659"/>
      <c r="D641" s="659"/>
      <c r="E641" s="659"/>
      <c r="F641" s="659"/>
      <c r="G641" s="659"/>
      <c r="H641" s="659"/>
      <c r="I641" s="659"/>
      <c r="J641" s="659"/>
      <c r="K641" s="659"/>
      <c r="L641" s="659"/>
      <c r="M641" s="659"/>
      <c r="N641" s="659"/>
    </row>
    <row r="642" spans="3:14" ht="14.25" customHeight="1">
      <c r="C642" s="659"/>
      <c r="D642" s="659"/>
      <c r="E642" s="659"/>
      <c r="F642" s="659"/>
      <c r="G642" s="659"/>
      <c r="H642" s="659"/>
      <c r="I642" s="659"/>
      <c r="J642" s="659"/>
      <c r="K642" s="659"/>
      <c r="L642" s="659"/>
      <c r="M642" s="659"/>
      <c r="N642" s="659"/>
    </row>
    <row r="643" spans="3:14" ht="14.25" customHeight="1">
      <c r="C643" s="659"/>
      <c r="D643" s="659"/>
      <c r="E643" s="659"/>
      <c r="F643" s="659"/>
      <c r="G643" s="659"/>
      <c r="H643" s="659"/>
      <c r="I643" s="659"/>
      <c r="J643" s="659"/>
      <c r="K643" s="659"/>
      <c r="L643" s="659"/>
      <c r="M643" s="659"/>
      <c r="N643" s="659"/>
    </row>
    <row r="644" spans="3:14" ht="14.25" customHeight="1">
      <c r="C644" s="659"/>
      <c r="D644" s="659"/>
      <c r="E644" s="659"/>
      <c r="F644" s="659"/>
      <c r="G644" s="659"/>
      <c r="H644" s="659"/>
      <c r="I644" s="659"/>
      <c r="J644" s="659"/>
      <c r="K644" s="659"/>
      <c r="L644" s="659"/>
      <c r="M644" s="659"/>
      <c r="N644" s="659"/>
    </row>
    <row r="645" spans="3:14" ht="14.25" customHeight="1">
      <c r="C645" s="659"/>
      <c r="D645" s="659"/>
      <c r="E645" s="659"/>
      <c r="F645" s="659"/>
      <c r="G645" s="659"/>
      <c r="H645" s="659"/>
      <c r="I645" s="659"/>
      <c r="J645" s="659"/>
      <c r="K645" s="659"/>
      <c r="L645" s="659"/>
      <c r="M645" s="659"/>
      <c r="N645" s="659"/>
    </row>
    <row r="646" spans="3:14" ht="14.25" customHeight="1">
      <c r="C646" s="659"/>
      <c r="D646" s="659"/>
      <c r="E646" s="659"/>
      <c r="F646" s="659"/>
      <c r="G646" s="659"/>
      <c r="H646" s="659"/>
      <c r="I646" s="659"/>
      <c r="J646" s="659"/>
      <c r="K646" s="659"/>
      <c r="L646" s="659"/>
      <c r="M646" s="659"/>
      <c r="N646" s="659"/>
    </row>
    <row r="647" spans="3:14" ht="14.25" customHeight="1">
      <c r="C647" s="659"/>
      <c r="D647" s="659"/>
      <c r="E647" s="659"/>
      <c r="F647" s="659"/>
      <c r="G647" s="659"/>
      <c r="H647" s="659"/>
      <c r="I647" s="659"/>
      <c r="J647" s="659"/>
      <c r="K647" s="659"/>
      <c r="L647" s="659"/>
      <c r="M647" s="659"/>
      <c r="N647" s="659"/>
    </row>
    <row r="648" spans="3:14" ht="14.25" customHeight="1">
      <c r="C648" s="659"/>
      <c r="D648" s="659"/>
      <c r="E648" s="659"/>
      <c r="F648" s="659"/>
      <c r="G648" s="659"/>
      <c r="H648" s="659"/>
      <c r="I648" s="659"/>
      <c r="J648" s="659"/>
      <c r="K648" s="659"/>
      <c r="L648" s="659"/>
      <c r="M648" s="659"/>
      <c r="N648" s="659"/>
    </row>
    <row r="649" spans="3:14" ht="14.25" customHeight="1">
      <c r="C649" s="659"/>
      <c r="D649" s="659"/>
      <c r="E649" s="659"/>
      <c r="F649" s="659"/>
      <c r="G649" s="659"/>
      <c r="H649" s="659"/>
      <c r="I649" s="659"/>
      <c r="J649" s="659"/>
      <c r="K649" s="659"/>
      <c r="L649" s="659"/>
      <c r="M649" s="659"/>
      <c r="N649" s="659"/>
    </row>
    <row r="650" spans="3:14" ht="14.25" customHeight="1">
      <c r="C650" s="659"/>
      <c r="D650" s="659"/>
      <c r="E650" s="659"/>
      <c r="F650" s="659"/>
      <c r="G650" s="659"/>
      <c r="H650" s="659"/>
      <c r="I650" s="659"/>
      <c r="J650" s="659"/>
      <c r="K650" s="659"/>
      <c r="L650" s="659"/>
      <c r="M650" s="659"/>
      <c r="N650" s="659"/>
    </row>
    <row r="651" spans="3:14" ht="14.25" customHeight="1">
      <c r="C651" s="659"/>
      <c r="D651" s="659"/>
      <c r="E651" s="659"/>
      <c r="F651" s="659"/>
      <c r="G651" s="659"/>
      <c r="H651" s="659"/>
      <c r="I651" s="659"/>
      <c r="J651" s="659"/>
      <c r="K651" s="659"/>
      <c r="L651" s="659"/>
      <c r="M651" s="659"/>
      <c r="N651" s="659"/>
    </row>
    <row r="652" spans="3:14" ht="14.25" customHeight="1">
      <c r="C652" s="659"/>
      <c r="D652" s="659"/>
      <c r="E652" s="659"/>
      <c r="F652" s="659"/>
      <c r="G652" s="659"/>
      <c r="H652" s="659"/>
      <c r="I652" s="659"/>
      <c r="J652" s="659"/>
      <c r="K652" s="659"/>
      <c r="L652" s="659"/>
      <c r="M652" s="659"/>
      <c r="N652" s="659"/>
    </row>
    <row r="653" spans="3:14" ht="14.25" customHeight="1">
      <c r="C653" s="659"/>
      <c r="D653" s="659"/>
      <c r="E653" s="659"/>
      <c r="F653" s="659"/>
      <c r="G653" s="659"/>
      <c r="H653" s="659"/>
      <c r="I653" s="659"/>
      <c r="J653" s="659"/>
      <c r="K653" s="659"/>
      <c r="L653" s="659"/>
      <c r="M653" s="659"/>
      <c r="N653" s="659"/>
    </row>
    <row r="654" spans="3:14" ht="14.25" customHeight="1">
      <c r="C654" s="659"/>
      <c r="D654" s="659"/>
      <c r="E654" s="659"/>
      <c r="F654" s="659"/>
      <c r="G654" s="659"/>
      <c r="H654" s="659"/>
      <c r="I654" s="659"/>
      <c r="J654" s="659"/>
      <c r="K654" s="659"/>
      <c r="L654" s="659"/>
      <c r="M654" s="659"/>
      <c r="N654" s="659"/>
    </row>
    <row r="655" spans="3:14" ht="14.25" customHeight="1">
      <c r="C655" s="659"/>
      <c r="D655" s="659"/>
      <c r="E655" s="659"/>
      <c r="F655" s="659"/>
      <c r="G655" s="659"/>
      <c r="H655" s="659"/>
      <c r="I655" s="659"/>
      <c r="J655" s="659"/>
      <c r="K655" s="659"/>
      <c r="L655" s="659"/>
      <c r="M655" s="659"/>
      <c r="N655" s="659"/>
    </row>
    <row r="656" spans="3:14" ht="14.25" customHeight="1">
      <c r="C656" s="659"/>
      <c r="D656" s="659"/>
      <c r="E656" s="659"/>
      <c r="F656" s="659"/>
      <c r="G656" s="659"/>
      <c r="H656" s="659"/>
      <c r="I656" s="659"/>
      <c r="J656" s="659"/>
      <c r="K656" s="659"/>
      <c r="L656" s="659"/>
      <c r="M656" s="659"/>
      <c r="N656" s="659"/>
    </row>
    <row r="657" spans="3:14" ht="14.25" customHeight="1">
      <c r="C657" s="659"/>
      <c r="D657" s="659"/>
      <c r="E657" s="659"/>
      <c r="F657" s="659"/>
      <c r="G657" s="659"/>
      <c r="H657" s="659"/>
      <c r="I657" s="659"/>
      <c r="J657" s="659"/>
      <c r="K657" s="659"/>
      <c r="L657" s="659"/>
      <c r="M657" s="659"/>
      <c r="N657" s="659"/>
    </row>
    <row r="658" spans="3:14" ht="14.25" customHeight="1">
      <c r="C658" s="659"/>
      <c r="D658" s="659"/>
      <c r="E658" s="659"/>
      <c r="F658" s="659"/>
      <c r="G658" s="659"/>
      <c r="H658" s="659"/>
      <c r="I658" s="659"/>
      <c r="J658" s="659"/>
      <c r="K658" s="659"/>
      <c r="L658" s="659"/>
      <c r="M658" s="659"/>
      <c r="N658" s="659"/>
    </row>
    <row r="659" spans="3:14" ht="14.25" customHeight="1">
      <c r="C659" s="659"/>
      <c r="D659" s="659"/>
      <c r="E659" s="659"/>
      <c r="F659" s="659"/>
      <c r="G659" s="659"/>
      <c r="H659" s="659"/>
      <c r="I659" s="659"/>
      <c r="J659" s="659"/>
      <c r="K659" s="659"/>
      <c r="L659" s="659"/>
      <c r="M659" s="659"/>
      <c r="N659" s="659"/>
    </row>
    <row r="660" spans="3:14" ht="14.25" customHeight="1">
      <c r="C660" s="659"/>
      <c r="D660" s="659"/>
      <c r="E660" s="659"/>
      <c r="F660" s="659"/>
      <c r="G660" s="659"/>
      <c r="H660" s="659"/>
      <c r="I660" s="659"/>
      <c r="J660" s="659"/>
      <c r="K660" s="659"/>
      <c r="L660" s="659"/>
      <c r="M660" s="659"/>
      <c r="N660" s="659"/>
    </row>
    <row r="661" spans="3:14" ht="14.25" customHeight="1">
      <c r="C661" s="659"/>
      <c r="D661" s="659"/>
      <c r="E661" s="659"/>
      <c r="F661" s="659"/>
      <c r="G661" s="659"/>
      <c r="H661" s="659"/>
      <c r="I661" s="659"/>
      <c r="J661" s="659"/>
      <c r="K661" s="659"/>
      <c r="L661" s="659"/>
      <c r="M661" s="659"/>
      <c r="N661" s="659"/>
    </row>
    <row r="662" spans="3:14" ht="14.25" customHeight="1">
      <c r="C662" s="659"/>
      <c r="D662" s="659"/>
      <c r="E662" s="659"/>
      <c r="F662" s="659"/>
      <c r="G662" s="659"/>
      <c r="H662" s="659"/>
      <c r="I662" s="659"/>
      <c r="J662" s="659"/>
      <c r="K662" s="659"/>
      <c r="L662" s="659"/>
      <c r="M662" s="659"/>
      <c r="N662" s="659"/>
    </row>
    <row r="663" spans="3:14" ht="14.25" customHeight="1">
      <c r="C663" s="659"/>
      <c r="D663" s="659"/>
      <c r="E663" s="659"/>
      <c r="F663" s="659"/>
      <c r="G663" s="659"/>
      <c r="H663" s="659"/>
      <c r="I663" s="659"/>
      <c r="J663" s="659"/>
      <c r="K663" s="659"/>
      <c r="L663" s="659"/>
      <c r="M663" s="659"/>
      <c r="N663" s="659"/>
    </row>
    <row r="664" spans="3:14" ht="14.25" customHeight="1">
      <c r="C664" s="659"/>
      <c r="D664" s="659"/>
      <c r="E664" s="659"/>
      <c r="F664" s="659"/>
      <c r="G664" s="659"/>
      <c r="H664" s="659"/>
      <c r="I664" s="659"/>
      <c r="J664" s="659"/>
      <c r="K664" s="659"/>
      <c r="L664" s="659"/>
      <c r="M664" s="659"/>
      <c r="N664" s="659"/>
    </row>
    <row r="665" spans="3:14" ht="14.25" customHeight="1">
      <c r="C665" s="659"/>
      <c r="D665" s="659"/>
      <c r="E665" s="659"/>
      <c r="F665" s="659"/>
      <c r="G665" s="659"/>
      <c r="H665" s="659"/>
      <c r="I665" s="659"/>
      <c r="J665" s="659"/>
      <c r="K665" s="659"/>
      <c r="L665" s="659"/>
      <c r="M665" s="659"/>
      <c r="N665" s="659"/>
    </row>
    <row r="666" spans="3:14" ht="14.25" customHeight="1">
      <c r="C666" s="659"/>
      <c r="D666" s="659"/>
      <c r="E666" s="659"/>
      <c r="F666" s="659"/>
      <c r="G666" s="659"/>
      <c r="H666" s="659"/>
      <c r="I666" s="659"/>
      <c r="J666" s="659"/>
      <c r="K666" s="659"/>
      <c r="L666" s="659"/>
      <c r="M666" s="659"/>
      <c r="N666" s="659"/>
    </row>
    <row r="667" spans="3:14" ht="14.25" customHeight="1">
      <c r="C667" s="659"/>
      <c r="D667" s="659"/>
      <c r="E667" s="659"/>
      <c r="F667" s="659"/>
      <c r="G667" s="659"/>
      <c r="H667" s="659"/>
      <c r="I667" s="659"/>
      <c r="J667" s="659"/>
      <c r="K667" s="659"/>
      <c r="L667" s="659"/>
      <c r="M667" s="659"/>
      <c r="N667" s="659"/>
    </row>
    <row r="668" spans="3:14" ht="14.25" customHeight="1">
      <c r="C668" s="659"/>
      <c r="D668" s="659"/>
      <c r="E668" s="659"/>
      <c r="F668" s="659"/>
      <c r="G668" s="659"/>
      <c r="H668" s="659"/>
      <c r="I668" s="659"/>
      <c r="J668" s="659"/>
      <c r="K668" s="659"/>
      <c r="L668" s="659"/>
      <c r="M668" s="659"/>
      <c r="N668" s="659"/>
    </row>
    <row r="669" spans="3:14" ht="14.25" customHeight="1">
      <c r="C669" s="659"/>
      <c r="D669" s="659"/>
      <c r="E669" s="659"/>
      <c r="F669" s="659"/>
      <c r="G669" s="659"/>
      <c r="H669" s="659"/>
      <c r="I669" s="659"/>
      <c r="J669" s="659"/>
      <c r="K669" s="659"/>
      <c r="L669" s="659"/>
      <c r="M669" s="659"/>
      <c r="N669" s="659"/>
    </row>
    <row r="670" spans="3:14" ht="14.25" customHeight="1">
      <c r="C670" s="659"/>
      <c r="D670" s="659"/>
      <c r="E670" s="659"/>
      <c r="F670" s="659"/>
      <c r="G670" s="659"/>
      <c r="H670" s="659"/>
      <c r="I670" s="659"/>
      <c r="J670" s="659"/>
      <c r="K670" s="659"/>
      <c r="L670" s="659"/>
      <c r="M670" s="659"/>
      <c r="N670" s="659"/>
    </row>
  </sheetData>
  <mergeCells count="15">
    <mergeCell ref="L6:L7"/>
    <mergeCell ref="M6:M7"/>
    <mergeCell ref="N6:N7"/>
    <mergeCell ref="O6:O7"/>
    <mergeCell ref="P6:P7"/>
    <mergeCell ref="F6:F7"/>
    <mergeCell ref="G6:G7"/>
    <mergeCell ref="H6:H7"/>
    <mergeCell ref="I6:I7"/>
    <mergeCell ref="J6:K6"/>
    <mergeCell ref="A6:A7"/>
    <mergeCell ref="B6:B7"/>
    <mergeCell ref="C6:C7"/>
    <mergeCell ref="D6:D7"/>
    <mergeCell ref="E6:E7"/>
  </mergeCells>
  <pageMargins left="0.7" right="0.7" top="0.75" bottom="0.75" header="0.511811023622047" footer="0.511811023622047"/>
  <pageSetup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X451"/>
  <sheetViews>
    <sheetView topLeftCell="D1" zoomScaleNormal="100" workbookViewId="0">
      <pane ySplit="2" topLeftCell="A9" activePane="bottomLeft" state="frozen"/>
      <selection activeCell="D1" sqref="D1"/>
      <selection pane="bottomLeft" activeCell="L24" sqref="L24"/>
    </sheetView>
  </sheetViews>
  <sheetFormatPr baseColWidth="10" defaultColWidth="8.83203125" defaultRowHeight="14"/>
  <cols>
    <col min="1" max="1" width="10.5" style="650" customWidth="1"/>
    <col min="2" max="2" width="53.1640625" style="650" customWidth="1"/>
    <col min="3" max="5" width="10.5" style="650" customWidth="1"/>
    <col min="6" max="6" width="10.5" style="660" customWidth="1"/>
    <col min="7" max="13" width="10.5" style="650" customWidth="1"/>
    <col min="14" max="14" width="12" style="650" customWidth="1"/>
    <col min="15" max="15" width="10.5" style="650" customWidth="1"/>
    <col min="16" max="16" width="15.5" style="650" customWidth="1"/>
    <col min="17" max="16384" width="8.83203125" style="650"/>
  </cols>
  <sheetData>
    <row r="1" spans="1:16" ht="15.75" customHeight="1">
      <c r="A1" s="3248" t="s">
        <v>1</v>
      </c>
      <c r="B1" s="3249" t="s">
        <v>68</v>
      </c>
      <c r="C1" s="3249" t="s">
        <v>77</v>
      </c>
      <c r="D1" s="3249" t="s">
        <v>78</v>
      </c>
      <c r="E1" s="3249" t="s">
        <v>79</v>
      </c>
      <c r="F1" s="3249" t="s">
        <v>6</v>
      </c>
      <c r="G1" s="3249" t="s">
        <v>999</v>
      </c>
      <c r="H1" s="3249" t="s">
        <v>977</v>
      </c>
      <c r="I1" s="3249" t="s">
        <v>978</v>
      </c>
      <c r="J1" s="3249" t="s">
        <v>1000</v>
      </c>
      <c r="K1" s="3249"/>
      <c r="L1" s="3249" t="s">
        <v>213</v>
      </c>
      <c r="M1" s="3249" t="s">
        <v>80</v>
      </c>
      <c r="N1" s="3249" t="s">
        <v>81</v>
      </c>
      <c r="O1" s="3249" t="s">
        <v>82</v>
      </c>
      <c r="P1" s="3252" t="s">
        <v>83</v>
      </c>
    </row>
    <row r="2" spans="1:16" ht="15.75" customHeight="1">
      <c r="A2" s="3248"/>
      <c r="B2" s="3249"/>
      <c r="C2" s="3249"/>
      <c r="D2" s="3249"/>
      <c r="E2" s="3249"/>
      <c r="F2" s="3249"/>
      <c r="G2" s="3249"/>
      <c r="H2" s="3249"/>
      <c r="I2" s="3249"/>
      <c r="J2" s="612" t="s">
        <v>1001</v>
      </c>
      <c r="K2" s="612" t="s">
        <v>1002</v>
      </c>
      <c r="L2" s="3249"/>
      <c r="M2" s="3249"/>
      <c r="N2" s="3249"/>
      <c r="O2" s="3249"/>
      <c r="P2" s="3252"/>
    </row>
    <row r="3" spans="1:16" ht="7.5" customHeight="1">
      <c r="A3" s="386"/>
      <c r="B3" s="386"/>
      <c r="C3" s="386"/>
      <c r="D3" s="386"/>
      <c r="E3" s="386"/>
      <c r="F3" s="386"/>
      <c r="G3" s="386"/>
      <c r="H3" s="386"/>
      <c r="I3" s="386"/>
      <c r="J3" s="386"/>
      <c r="K3" s="386"/>
      <c r="L3" s="386"/>
      <c r="M3" s="386"/>
      <c r="N3" s="386"/>
      <c r="O3" s="386"/>
      <c r="P3" s="661"/>
    </row>
    <row r="4" spans="1:16" ht="7.5" customHeight="1">
      <c r="A4" s="614"/>
      <c r="B4" s="615"/>
      <c r="C4" s="615"/>
      <c r="D4" s="615"/>
      <c r="E4" s="615"/>
      <c r="F4" s="615"/>
      <c r="G4" s="615"/>
      <c r="H4" s="615"/>
      <c r="I4" s="615"/>
      <c r="J4" s="615"/>
      <c r="K4" s="615"/>
      <c r="L4" s="615"/>
      <c r="M4" s="615"/>
      <c r="N4" s="615"/>
      <c r="O4" s="615"/>
      <c r="P4" s="662"/>
    </row>
    <row r="5" spans="1:16" ht="15.75" customHeight="1">
      <c r="A5" s="377" t="s">
        <v>548</v>
      </c>
      <c r="B5" s="378" t="s">
        <v>1062</v>
      </c>
      <c r="C5" s="382"/>
      <c r="D5" s="382"/>
      <c r="E5" s="382"/>
      <c r="F5" s="382"/>
      <c r="G5" s="382"/>
      <c r="H5" s="382"/>
      <c r="I5" s="382"/>
      <c r="J5" s="382"/>
      <c r="K5" s="382"/>
      <c r="L5" s="382"/>
      <c r="M5" s="382"/>
      <c r="N5" s="382"/>
      <c r="O5" s="383"/>
      <c r="P5" s="618"/>
    </row>
    <row r="6" spans="1:16" ht="15" customHeight="1">
      <c r="A6" s="377" t="s">
        <v>1063</v>
      </c>
      <c r="B6" s="381" t="s">
        <v>470</v>
      </c>
      <c r="C6" s="382"/>
      <c r="D6" s="382"/>
      <c r="E6" s="382"/>
      <c r="F6" s="382"/>
      <c r="G6" s="382"/>
      <c r="H6" s="382"/>
      <c r="I6" s="382"/>
      <c r="J6" s="382"/>
      <c r="K6" s="382"/>
      <c r="L6" s="382"/>
      <c r="M6" s="382"/>
      <c r="N6" s="382"/>
      <c r="O6" s="663"/>
      <c r="P6" s="620"/>
    </row>
    <row r="7" spans="1:16" ht="15" customHeight="1">
      <c r="A7" s="372">
        <v>1</v>
      </c>
      <c r="B7" s="366" t="s">
        <v>396</v>
      </c>
      <c r="C7" s="382"/>
      <c r="D7" s="382"/>
      <c r="E7" s="382"/>
      <c r="F7" s="382"/>
      <c r="G7" s="382"/>
      <c r="H7" s="382"/>
      <c r="I7" s="382"/>
      <c r="J7" s="382"/>
      <c r="K7" s="382"/>
      <c r="L7" s="382"/>
      <c r="M7" s="382"/>
      <c r="N7" s="382"/>
      <c r="O7" s="617"/>
      <c r="P7" s="620"/>
    </row>
    <row r="8" spans="1:16" ht="15" customHeight="1">
      <c r="A8" s="372"/>
      <c r="B8" s="366"/>
      <c r="C8" s="382">
        <f>12+1</f>
        <v>13</v>
      </c>
      <c r="D8" s="382"/>
      <c r="E8" s="382"/>
      <c r="F8" s="382"/>
      <c r="G8" s="382"/>
      <c r="H8" s="382">
        <v>2</v>
      </c>
      <c r="I8" s="382"/>
      <c r="J8" s="382"/>
      <c r="K8" s="382"/>
      <c r="L8" s="382"/>
      <c r="M8" s="382"/>
      <c r="N8" s="382">
        <f>C8*H8</f>
        <v>26</v>
      </c>
      <c r="O8" s="617"/>
      <c r="P8" s="620"/>
    </row>
    <row r="9" spans="1:16" ht="15" customHeight="1">
      <c r="A9" s="372"/>
      <c r="B9" s="366"/>
      <c r="C9" s="382"/>
      <c r="D9" s="382">
        <f>6+1</f>
        <v>7</v>
      </c>
      <c r="E9" s="382"/>
      <c r="F9" s="382"/>
      <c r="G9" s="382"/>
      <c r="H9" s="382">
        <f>H8</f>
        <v>2</v>
      </c>
      <c r="I9" s="382"/>
      <c r="J9" s="382"/>
      <c r="K9" s="382"/>
      <c r="L9" s="382"/>
      <c r="M9" s="382"/>
      <c r="N9" s="624">
        <f>D9*H9</f>
        <v>14</v>
      </c>
      <c r="O9" s="617"/>
      <c r="P9" s="620"/>
    </row>
    <row r="10" spans="1:16" ht="15" customHeight="1">
      <c r="A10" s="372"/>
      <c r="B10" s="366"/>
      <c r="C10" s="382"/>
      <c r="D10" s="382"/>
      <c r="E10" s="382"/>
      <c r="F10" s="382"/>
      <c r="G10" s="382"/>
      <c r="H10" s="382"/>
      <c r="I10" s="382"/>
      <c r="J10" s="382"/>
      <c r="K10" s="382"/>
      <c r="L10" s="382"/>
      <c r="M10" s="382"/>
      <c r="N10" s="431">
        <f>SUM(N8:N9)</f>
        <v>40</v>
      </c>
      <c r="O10" s="617" t="s">
        <v>117</v>
      </c>
      <c r="P10" s="620">
        <f>ROUND((N10),2)</f>
        <v>40</v>
      </c>
    </row>
    <row r="11" spans="1:16" ht="15" customHeight="1">
      <c r="A11" s="372">
        <f>A7+1</f>
        <v>2</v>
      </c>
      <c r="B11" s="368" t="s">
        <v>403</v>
      </c>
      <c r="C11" s="382"/>
      <c r="D11" s="382"/>
      <c r="E11" s="382"/>
      <c r="F11" s="382"/>
      <c r="G11" s="382"/>
      <c r="H11" s="382"/>
      <c r="I11" s="382"/>
      <c r="J11" s="382"/>
      <c r="K11" s="382"/>
      <c r="L11" s="382"/>
      <c r="M11" s="382"/>
      <c r="N11" s="382"/>
      <c r="O11" s="617"/>
      <c r="P11" s="620"/>
    </row>
    <row r="12" spans="1:16" ht="15" customHeight="1">
      <c r="A12" s="384" t="s">
        <v>95</v>
      </c>
      <c r="B12" s="366" t="s">
        <v>491</v>
      </c>
      <c r="C12" s="382"/>
      <c r="D12" s="382"/>
      <c r="E12" s="382"/>
      <c r="F12" s="382"/>
      <c r="G12" s="382"/>
      <c r="H12" s="382"/>
      <c r="I12" s="382"/>
      <c r="J12" s="382"/>
      <c r="K12" s="382"/>
      <c r="L12" s="382"/>
      <c r="M12" s="382"/>
      <c r="N12" s="382"/>
      <c r="O12" s="617"/>
      <c r="P12" s="620"/>
    </row>
    <row r="13" spans="1:16" ht="15" customHeight="1">
      <c r="A13" s="384"/>
      <c r="B13" s="643" t="s">
        <v>1044</v>
      </c>
      <c r="C13" s="382">
        <v>5.7</v>
      </c>
      <c r="D13" s="382">
        <v>1.1000000000000001</v>
      </c>
      <c r="E13" s="382">
        <f>0.8+0.2</f>
        <v>1</v>
      </c>
      <c r="F13" s="382"/>
      <c r="G13" s="382"/>
      <c r="H13" s="382"/>
      <c r="I13" s="382"/>
      <c r="J13" s="382"/>
      <c r="K13" s="382"/>
      <c r="L13" s="382"/>
      <c r="M13" s="382">
        <v>5</v>
      </c>
      <c r="N13" s="382">
        <f>C13*D13*E13*M13</f>
        <v>31.35</v>
      </c>
      <c r="O13" s="617"/>
      <c r="P13" s="620"/>
    </row>
    <row r="14" spans="1:16" ht="15" customHeight="1">
      <c r="A14" s="384"/>
      <c r="B14" s="643" t="s">
        <v>136</v>
      </c>
      <c r="C14" s="382">
        <v>11.7</v>
      </c>
      <c r="D14" s="382">
        <f>D13</f>
        <v>1.1000000000000001</v>
      </c>
      <c r="E14" s="382">
        <f>E13</f>
        <v>1</v>
      </c>
      <c r="F14" s="382"/>
      <c r="G14" s="382"/>
      <c r="H14" s="382"/>
      <c r="I14" s="382"/>
      <c r="J14" s="382"/>
      <c r="K14" s="382"/>
      <c r="L14" s="382"/>
      <c r="M14" s="382">
        <v>2</v>
      </c>
      <c r="N14" s="624">
        <f>C14*D14*E14*M14</f>
        <v>25.740000000000002</v>
      </c>
      <c r="O14" s="617"/>
      <c r="P14" s="620"/>
    </row>
    <row r="15" spans="1:16" ht="15" customHeight="1">
      <c r="A15" s="384"/>
      <c r="B15" s="366"/>
      <c r="C15" s="382"/>
      <c r="D15" s="382"/>
      <c r="E15" s="382"/>
      <c r="F15" s="382"/>
      <c r="G15" s="382"/>
      <c r="H15" s="382"/>
      <c r="I15" s="382"/>
      <c r="J15" s="382"/>
      <c r="K15" s="382"/>
      <c r="L15" s="382"/>
      <c r="M15" s="382"/>
      <c r="N15" s="431">
        <f>SUM(N13:N14)</f>
        <v>57.09</v>
      </c>
      <c r="O15" s="617" t="s">
        <v>103</v>
      </c>
      <c r="P15" s="620">
        <f>ROUND((N15),2)</f>
        <v>57.09</v>
      </c>
    </row>
    <row r="16" spans="1:16" ht="15" customHeight="1">
      <c r="A16" s="384" t="s">
        <v>98</v>
      </c>
      <c r="B16" s="357" t="s">
        <v>405</v>
      </c>
      <c r="C16" s="382"/>
      <c r="D16" s="382"/>
      <c r="E16" s="382"/>
      <c r="F16" s="382"/>
      <c r="G16" s="382"/>
      <c r="H16" s="382"/>
      <c r="I16" s="382"/>
      <c r="J16" s="382"/>
      <c r="K16" s="382"/>
      <c r="L16" s="382"/>
      <c r="M16" s="382"/>
      <c r="N16" s="382"/>
      <c r="O16" s="617"/>
      <c r="P16" s="620"/>
    </row>
    <row r="17" spans="1:16" ht="15" customHeight="1">
      <c r="A17" s="384"/>
      <c r="B17" s="569" t="s">
        <v>1045</v>
      </c>
      <c r="C17" s="382">
        <f>C13</f>
        <v>5.7</v>
      </c>
      <c r="D17" s="382"/>
      <c r="E17" s="382"/>
      <c r="F17" s="382"/>
      <c r="G17" s="382"/>
      <c r="H17" s="382"/>
      <c r="I17" s="382"/>
      <c r="J17" s="382"/>
      <c r="K17" s="382"/>
      <c r="L17" s="382"/>
      <c r="M17" s="382">
        <f>M13</f>
        <v>5</v>
      </c>
      <c r="N17" s="382">
        <f>C17*M17</f>
        <v>28.5</v>
      </c>
      <c r="O17" s="617"/>
      <c r="P17" s="620"/>
    </row>
    <row r="18" spans="1:16" ht="15" customHeight="1">
      <c r="A18" s="384"/>
      <c r="B18" s="569"/>
      <c r="C18" s="382">
        <f>C14</f>
        <v>11.7</v>
      </c>
      <c r="D18" s="382"/>
      <c r="E18" s="382"/>
      <c r="F18" s="382"/>
      <c r="G18" s="382"/>
      <c r="H18" s="382"/>
      <c r="I18" s="382"/>
      <c r="J18" s="382"/>
      <c r="K18" s="382"/>
      <c r="L18" s="382"/>
      <c r="M18" s="382">
        <f>M14</f>
        <v>2</v>
      </c>
      <c r="N18" s="382">
        <f>C18*M18</f>
        <v>23.4</v>
      </c>
      <c r="O18" s="617"/>
      <c r="P18" s="620"/>
    </row>
    <row r="19" spans="1:16" ht="15" customHeight="1">
      <c r="A19" s="384"/>
      <c r="B19" s="569"/>
      <c r="C19" s="382"/>
      <c r="D19" s="382"/>
      <c r="E19" s="382"/>
      <c r="F19" s="382"/>
      <c r="G19" s="382"/>
      <c r="H19" s="382"/>
      <c r="I19" s="382"/>
      <c r="J19" s="382"/>
      <c r="K19" s="382"/>
      <c r="L19" s="382"/>
      <c r="M19" s="382"/>
      <c r="N19" s="431">
        <f>SUM(N17:N18)</f>
        <v>51.9</v>
      </c>
      <c r="O19" s="617"/>
      <c r="P19" s="620"/>
    </row>
    <row r="20" spans="1:16" ht="15" customHeight="1">
      <c r="A20" s="384"/>
      <c r="B20" s="569" t="s">
        <v>1046</v>
      </c>
      <c r="C20" s="382"/>
      <c r="D20" s="382"/>
      <c r="E20" s="382">
        <v>4</v>
      </c>
      <c r="F20" s="382">
        <f>ROUNDUP((N19/0.5),0.1)</f>
        <v>104</v>
      </c>
      <c r="G20" s="382"/>
      <c r="H20" s="382">
        <v>3</v>
      </c>
      <c r="I20" s="382"/>
      <c r="J20" s="382"/>
      <c r="K20" s="382"/>
      <c r="L20" s="382"/>
      <c r="M20" s="382"/>
      <c r="N20" s="382">
        <f>E20*F20*H20</f>
        <v>1248</v>
      </c>
      <c r="O20" s="617" t="s">
        <v>117</v>
      </c>
      <c r="P20" s="620">
        <f>ROUND((N20),2)</f>
        <v>1248</v>
      </c>
    </row>
    <row r="21" spans="1:16" ht="15" customHeight="1">
      <c r="A21" s="384" t="s">
        <v>142</v>
      </c>
      <c r="B21" s="366" t="s">
        <v>1047</v>
      </c>
      <c r="C21" s="382"/>
      <c r="D21" s="382"/>
      <c r="E21" s="382"/>
      <c r="F21" s="382"/>
      <c r="G21" s="382"/>
      <c r="H21" s="382"/>
      <c r="I21" s="382"/>
      <c r="J21" s="382"/>
      <c r="K21" s="382"/>
      <c r="L21" s="382"/>
      <c r="M21" s="382"/>
      <c r="N21" s="382"/>
      <c r="O21" s="617"/>
      <c r="P21" s="620"/>
    </row>
    <row r="22" spans="1:16" ht="15" customHeight="1">
      <c r="A22" s="384"/>
      <c r="B22" s="643" t="str">
        <f t="shared" ref="B22:D23" si="0">B13</f>
        <v>Horisontal</v>
      </c>
      <c r="C22" s="382">
        <f t="shared" si="0"/>
        <v>5.7</v>
      </c>
      <c r="D22" s="382">
        <f t="shared" si="0"/>
        <v>1.1000000000000001</v>
      </c>
      <c r="E22" s="382">
        <v>0.2</v>
      </c>
      <c r="F22" s="382"/>
      <c r="G22" s="382"/>
      <c r="H22" s="382"/>
      <c r="I22" s="382"/>
      <c r="J22" s="382"/>
      <c r="K22" s="382"/>
      <c r="L22" s="382"/>
      <c r="M22" s="382">
        <f>M13</f>
        <v>5</v>
      </c>
      <c r="N22" s="382">
        <f>C22*D22*E22*M22</f>
        <v>6.2700000000000014</v>
      </c>
      <c r="O22" s="617"/>
      <c r="P22" s="620"/>
    </row>
    <row r="23" spans="1:16" ht="15" customHeight="1">
      <c r="A23" s="384"/>
      <c r="B23" s="643" t="str">
        <f t="shared" si="0"/>
        <v>Vertikal</v>
      </c>
      <c r="C23" s="382">
        <f t="shared" si="0"/>
        <v>11.7</v>
      </c>
      <c r="D23" s="382">
        <f t="shared" si="0"/>
        <v>1.1000000000000001</v>
      </c>
      <c r="E23" s="382">
        <f>E22</f>
        <v>0.2</v>
      </c>
      <c r="F23" s="382"/>
      <c r="G23" s="382"/>
      <c r="H23" s="382"/>
      <c r="I23" s="382"/>
      <c r="J23" s="382"/>
      <c r="K23" s="382"/>
      <c r="L23" s="382"/>
      <c r="M23" s="382">
        <f>M14</f>
        <v>2</v>
      </c>
      <c r="N23" s="624">
        <f>C23*D23*E23*M23</f>
        <v>5.1480000000000006</v>
      </c>
      <c r="O23" s="617"/>
      <c r="P23" s="620"/>
    </row>
    <row r="24" spans="1:16" ht="15" customHeight="1">
      <c r="A24" s="384"/>
      <c r="B24" s="366"/>
      <c r="C24" s="382"/>
      <c r="D24" s="382"/>
      <c r="E24" s="382"/>
      <c r="F24" s="382"/>
      <c r="G24" s="382"/>
      <c r="H24" s="382"/>
      <c r="I24" s="382"/>
      <c r="J24" s="382"/>
      <c r="K24" s="382"/>
      <c r="L24" s="382"/>
      <c r="M24" s="382"/>
      <c r="N24" s="431">
        <f>SUM(N22:N23)</f>
        <v>11.418000000000003</v>
      </c>
      <c r="O24" s="617" t="s">
        <v>103</v>
      </c>
      <c r="P24" s="620">
        <f>ROUND((N24),2)</f>
        <v>11.42</v>
      </c>
    </row>
    <row r="25" spans="1:16" ht="15" customHeight="1">
      <c r="A25" s="384" t="s">
        <v>217</v>
      </c>
      <c r="B25" s="366" t="s">
        <v>407</v>
      </c>
      <c r="C25" s="382"/>
      <c r="D25" s="644" t="s">
        <v>1007</v>
      </c>
      <c r="E25" s="382"/>
      <c r="F25" s="382"/>
      <c r="G25" s="382"/>
      <c r="H25" s="382"/>
      <c r="I25" s="382"/>
      <c r="J25" s="382"/>
      <c r="K25" s="382"/>
      <c r="L25" s="382"/>
      <c r="M25" s="382"/>
      <c r="N25" s="382"/>
      <c r="O25" s="617"/>
      <c r="P25" s="620"/>
    </row>
    <row r="26" spans="1:16" ht="15" customHeight="1">
      <c r="A26" s="384"/>
      <c r="B26" s="643" t="str">
        <f>B22</f>
        <v>Horisontal</v>
      </c>
      <c r="C26" s="382">
        <f>C22</f>
        <v>5.7</v>
      </c>
      <c r="D26" s="382">
        <f>(0.3+D22)/2</f>
        <v>0.70000000000000007</v>
      </c>
      <c r="E26" s="382">
        <v>1</v>
      </c>
      <c r="F26" s="382"/>
      <c r="G26" s="382"/>
      <c r="H26" s="382"/>
      <c r="I26" s="382"/>
      <c r="J26" s="382"/>
      <c r="K26" s="382"/>
      <c r="L26" s="382"/>
      <c r="M26" s="382">
        <f>M22</f>
        <v>5</v>
      </c>
      <c r="N26" s="382">
        <f>C26*D26*E26*M26</f>
        <v>19.950000000000003</v>
      </c>
      <c r="O26" s="617"/>
      <c r="P26" s="620"/>
    </row>
    <row r="27" spans="1:16" ht="15" customHeight="1">
      <c r="A27" s="384"/>
      <c r="B27" s="643" t="str">
        <f>B23</f>
        <v>Vertikal</v>
      </c>
      <c r="C27" s="382">
        <f>C23</f>
        <v>11.7</v>
      </c>
      <c r="D27" s="382">
        <f>(0.3+D23)/2</f>
        <v>0.70000000000000007</v>
      </c>
      <c r="E27" s="382">
        <f>E26</f>
        <v>1</v>
      </c>
      <c r="F27" s="382"/>
      <c r="G27" s="382"/>
      <c r="H27" s="382"/>
      <c r="I27" s="382"/>
      <c r="J27" s="382"/>
      <c r="K27" s="382"/>
      <c r="L27" s="382"/>
      <c r="M27" s="382">
        <f>M23</f>
        <v>2</v>
      </c>
      <c r="N27" s="624">
        <f>C27*D27*E27*M27</f>
        <v>16.38</v>
      </c>
      <c r="O27" s="617"/>
      <c r="P27" s="620"/>
    </row>
    <row r="28" spans="1:16" ht="15" customHeight="1">
      <c r="A28" s="384"/>
      <c r="B28" s="366"/>
      <c r="C28" s="382"/>
      <c r="D28" s="382"/>
      <c r="E28" s="382"/>
      <c r="F28" s="382"/>
      <c r="G28" s="382"/>
      <c r="H28" s="382"/>
      <c r="I28" s="382"/>
      <c r="J28" s="382"/>
      <c r="K28" s="382"/>
      <c r="L28" s="382"/>
      <c r="M28" s="382"/>
      <c r="N28" s="431">
        <f>SUM(N27:N27)</f>
        <v>16.38</v>
      </c>
      <c r="O28" s="617" t="s">
        <v>103</v>
      </c>
      <c r="P28" s="620">
        <f>ROUND((N28),2)</f>
        <v>16.38</v>
      </c>
    </row>
    <row r="29" spans="1:16" ht="15" customHeight="1">
      <c r="A29" s="384" t="s">
        <v>366</v>
      </c>
      <c r="B29" s="366" t="s">
        <v>193</v>
      </c>
      <c r="C29" s="382"/>
      <c r="D29" s="382"/>
      <c r="E29" s="382"/>
      <c r="F29" s="382"/>
      <c r="G29" s="382"/>
      <c r="H29" s="382"/>
      <c r="I29" s="382"/>
      <c r="J29" s="382"/>
      <c r="K29" s="382"/>
      <c r="L29" s="382"/>
      <c r="M29" s="382"/>
      <c r="N29" s="431"/>
      <c r="O29" s="617"/>
      <c r="P29" s="620"/>
    </row>
    <row r="30" spans="1:16" ht="15" customHeight="1">
      <c r="A30" s="384"/>
      <c r="B30" s="643" t="s">
        <v>1044</v>
      </c>
      <c r="C30" s="382">
        <f>C26</f>
        <v>5.7</v>
      </c>
      <c r="D30" s="382"/>
      <c r="E30" s="382">
        <v>0.5</v>
      </c>
      <c r="F30" s="382"/>
      <c r="G30" s="382"/>
      <c r="H30" s="382"/>
      <c r="I30" s="382"/>
      <c r="J30" s="382"/>
      <c r="K30" s="382"/>
      <c r="L30" s="382"/>
      <c r="M30" s="382">
        <v>2</v>
      </c>
      <c r="N30" s="431">
        <f>C30*E30*M30</f>
        <v>5.7</v>
      </c>
      <c r="O30" s="617"/>
      <c r="P30" s="620"/>
    </row>
    <row r="31" spans="1:16" ht="15" customHeight="1">
      <c r="A31" s="384"/>
      <c r="B31" s="643" t="s">
        <v>136</v>
      </c>
      <c r="C31" s="382">
        <f>C27</f>
        <v>11.7</v>
      </c>
      <c r="D31" s="382"/>
      <c r="E31" s="382">
        <f>E30</f>
        <v>0.5</v>
      </c>
      <c r="F31" s="382"/>
      <c r="G31" s="382"/>
      <c r="H31" s="382"/>
      <c r="I31" s="382"/>
      <c r="J31" s="382"/>
      <c r="K31" s="382"/>
      <c r="L31" s="382"/>
      <c r="M31" s="382">
        <f>M30</f>
        <v>2</v>
      </c>
      <c r="N31" s="624">
        <f>C31*E31*M31</f>
        <v>11.7</v>
      </c>
      <c r="O31" s="617"/>
      <c r="P31" s="620"/>
    </row>
    <row r="32" spans="1:16" ht="15" customHeight="1">
      <c r="A32" s="384"/>
      <c r="B32" s="366"/>
      <c r="C32" s="382"/>
      <c r="D32" s="382"/>
      <c r="E32" s="382"/>
      <c r="F32" s="382"/>
      <c r="G32" s="382"/>
      <c r="H32" s="382"/>
      <c r="I32" s="382"/>
      <c r="J32" s="382"/>
      <c r="K32" s="382"/>
      <c r="L32" s="382"/>
      <c r="M32" s="382"/>
      <c r="N32" s="431">
        <f>SUM(N30:N31)</f>
        <v>17.399999999999999</v>
      </c>
      <c r="O32" s="617" t="s">
        <v>89</v>
      </c>
      <c r="P32" s="620">
        <f>ROUND((N32),2)</f>
        <v>17.399999999999999</v>
      </c>
    </row>
    <row r="33" spans="1:16" ht="15" customHeight="1">
      <c r="A33" s="384" t="s">
        <v>476</v>
      </c>
      <c r="B33" s="366" t="s">
        <v>194</v>
      </c>
      <c r="C33" s="382"/>
      <c r="D33" s="382"/>
      <c r="E33" s="382"/>
      <c r="F33" s="382"/>
      <c r="G33" s="382"/>
      <c r="H33" s="382"/>
      <c r="I33" s="382"/>
      <c r="J33" s="382"/>
      <c r="K33" s="382"/>
      <c r="L33" s="382"/>
      <c r="M33" s="382"/>
      <c r="N33" s="431">
        <f>N32</f>
        <v>17.399999999999999</v>
      </c>
      <c r="O33" s="617" t="s">
        <v>89</v>
      </c>
      <c r="P33" s="620">
        <f>ROUND((N33),2)</f>
        <v>17.399999999999999</v>
      </c>
    </row>
    <row r="34" spans="1:16" s="665" customFormat="1" ht="15" hidden="1" customHeight="1">
      <c r="A34" s="639">
        <f>A11+1</f>
        <v>3</v>
      </c>
      <c r="B34" s="664" t="s">
        <v>1064</v>
      </c>
      <c r="C34" s="627"/>
      <c r="D34" s="627"/>
      <c r="E34" s="627"/>
      <c r="F34" s="627"/>
      <c r="G34" s="627"/>
      <c r="H34" s="627"/>
      <c r="I34" s="627"/>
      <c r="J34" s="627"/>
      <c r="K34" s="627"/>
      <c r="L34" s="627"/>
      <c r="M34" s="627"/>
      <c r="N34" s="628"/>
      <c r="O34" s="629"/>
      <c r="P34" s="630"/>
    </row>
    <row r="35" spans="1:16" s="665" customFormat="1" ht="15" hidden="1" customHeight="1">
      <c r="A35" s="642" t="s">
        <v>95</v>
      </c>
      <c r="B35" s="666" t="s">
        <v>491</v>
      </c>
      <c r="C35" s="627"/>
      <c r="D35" s="627"/>
      <c r="E35" s="627"/>
      <c r="F35" s="627"/>
      <c r="G35" s="627"/>
      <c r="H35" s="627"/>
      <c r="I35" s="627"/>
      <c r="J35" s="627"/>
      <c r="K35" s="627"/>
      <c r="L35" s="627"/>
      <c r="M35" s="627"/>
      <c r="N35" s="628"/>
      <c r="O35" s="629"/>
      <c r="P35" s="630"/>
    </row>
    <row r="36" spans="1:16" s="665" customFormat="1" ht="15" hidden="1" customHeight="1">
      <c r="A36" s="642"/>
      <c r="B36" s="667" t="s">
        <v>140</v>
      </c>
      <c r="C36" s="627">
        <v>6</v>
      </c>
      <c r="D36" s="627">
        <v>0.5</v>
      </c>
      <c r="E36" s="627">
        <f>0.3+0.2</f>
        <v>0.5</v>
      </c>
      <c r="F36" s="627"/>
      <c r="G36" s="627"/>
      <c r="H36" s="627"/>
      <c r="I36" s="627"/>
      <c r="J36" s="627"/>
      <c r="K36" s="627"/>
      <c r="L36" s="627"/>
      <c r="M36" s="627">
        <v>1</v>
      </c>
      <c r="N36" s="628">
        <f>C36*D36*E36*M36</f>
        <v>1.5</v>
      </c>
      <c r="O36" s="629"/>
      <c r="P36" s="630"/>
    </row>
    <row r="37" spans="1:16" s="665" customFormat="1" ht="15" hidden="1" customHeight="1">
      <c r="A37" s="642"/>
      <c r="B37" s="667" t="s">
        <v>136</v>
      </c>
      <c r="C37" s="627">
        <v>1.5</v>
      </c>
      <c r="D37" s="627">
        <f>D36</f>
        <v>0.5</v>
      </c>
      <c r="E37" s="627">
        <f>E36</f>
        <v>0.5</v>
      </c>
      <c r="F37" s="627"/>
      <c r="G37" s="627"/>
      <c r="H37" s="627"/>
      <c r="I37" s="627"/>
      <c r="J37" s="627"/>
      <c r="K37" s="627"/>
      <c r="L37" s="627"/>
      <c r="M37" s="627">
        <v>2</v>
      </c>
      <c r="N37" s="668">
        <f>C37*D37*E37*M37</f>
        <v>0.75</v>
      </c>
      <c r="O37" s="629"/>
      <c r="P37" s="630"/>
    </row>
    <row r="38" spans="1:16" s="665" customFormat="1" ht="15" hidden="1" customHeight="1">
      <c r="A38" s="642"/>
      <c r="B38" s="666"/>
      <c r="C38" s="627"/>
      <c r="D38" s="627"/>
      <c r="E38" s="627"/>
      <c r="F38" s="627"/>
      <c r="G38" s="627"/>
      <c r="H38" s="627"/>
      <c r="I38" s="627"/>
      <c r="J38" s="627"/>
      <c r="K38" s="627"/>
      <c r="L38" s="627"/>
      <c r="M38" s="627"/>
      <c r="N38" s="628">
        <f>SUM(N36:N37)</f>
        <v>2.25</v>
      </c>
      <c r="O38" s="629" t="s">
        <v>103</v>
      </c>
      <c r="P38" s="630">
        <f>ROUND((N38),2)</f>
        <v>2.25</v>
      </c>
    </row>
    <row r="39" spans="1:16" s="665" customFormat="1" ht="15" hidden="1" customHeight="1">
      <c r="A39" s="642" t="s">
        <v>98</v>
      </c>
      <c r="B39" s="669" t="s">
        <v>405</v>
      </c>
      <c r="C39" s="627"/>
      <c r="D39" s="627"/>
      <c r="E39" s="627"/>
      <c r="F39" s="627"/>
      <c r="G39" s="627"/>
      <c r="H39" s="627"/>
      <c r="I39" s="627"/>
      <c r="J39" s="627"/>
      <c r="K39" s="627"/>
      <c r="L39" s="627"/>
      <c r="M39" s="627"/>
      <c r="N39" s="628"/>
      <c r="O39" s="629"/>
      <c r="P39" s="630"/>
    </row>
    <row r="40" spans="1:16" s="665" customFormat="1" ht="15" hidden="1" customHeight="1">
      <c r="A40" s="642"/>
      <c r="B40" s="666"/>
      <c r="C40" s="627">
        <f>C36</f>
        <v>6</v>
      </c>
      <c r="D40" s="627"/>
      <c r="E40" s="627"/>
      <c r="F40" s="627"/>
      <c r="G40" s="627"/>
      <c r="H40" s="627"/>
      <c r="I40" s="627"/>
      <c r="J40" s="627"/>
      <c r="K40" s="627"/>
      <c r="L40" s="627"/>
      <c r="M40" s="627">
        <f>M36</f>
        <v>1</v>
      </c>
      <c r="N40" s="628">
        <f>C40*M40</f>
        <v>6</v>
      </c>
      <c r="O40" s="629"/>
      <c r="P40" s="630"/>
    </row>
    <row r="41" spans="1:16" s="665" customFormat="1" ht="15" hidden="1" customHeight="1">
      <c r="A41" s="642"/>
      <c r="B41" s="666"/>
      <c r="C41" s="627">
        <f>C37</f>
        <v>1.5</v>
      </c>
      <c r="D41" s="627"/>
      <c r="E41" s="627"/>
      <c r="F41" s="627"/>
      <c r="G41" s="627"/>
      <c r="H41" s="627"/>
      <c r="I41" s="627"/>
      <c r="J41" s="627"/>
      <c r="K41" s="627"/>
      <c r="L41" s="627"/>
      <c r="M41" s="627">
        <f>M37</f>
        <v>2</v>
      </c>
      <c r="N41" s="628">
        <f>C41*M41</f>
        <v>3</v>
      </c>
      <c r="O41" s="629"/>
      <c r="P41" s="630"/>
    </row>
    <row r="42" spans="1:16" s="665" customFormat="1" ht="15" hidden="1" customHeight="1">
      <c r="A42" s="642"/>
      <c r="B42" s="666"/>
      <c r="C42" s="627"/>
      <c r="D42" s="627"/>
      <c r="E42" s="627"/>
      <c r="F42" s="627"/>
      <c r="G42" s="627"/>
      <c r="H42" s="627"/>
      <c r="I42" s="627"/>
      <c r="J42" s="627"/>
      <c r="K42" s="627"/>
      <c r="L42" s="627"/>
      <c r="M42" s="627"/>
      <c r="N42" s="628">
        <f>SUM(N40:N41)</f>
        <v>9</v>
      </c>
      <c r="O42" s="629"/>
      <c r="P42" s="630"/>
    </row>
    <row r="43" spans="1:16" s="665" customFormat="1" ht="15" hidden="1" customHeight="1">
      <c r="A43" s="642"/>
      <c r="B43" s="670" t="s">
        <v>1046</v>
      </c>
      <c r="C43" s="627"/>
      <c r="D43" s="627"/>
      <c r="E43" s="627">
        <v>4</v>
      </c>
      <c r="F43" s="627">
        <f>ROUNDUP((N42/0.5),0.1)</f>
        <v>18</v>
      </c>
      <c r="G43" s="627"/>
      <c r="H43" s="627">
        <v>2</v>
      </c>
      <c r="I43" s="627"/>
      <c r="J43" s="627"/>
      <c r="K43" s="627"/>
      <c r="L43" s="627"/>
      <c r="M43" s="627"/>
      <c r="N43" s="627">
        <f>E43*F43*H43</f>
        <v>144</v>
      </c>
      <c r="O43" s="629" t="s">
        <v>117</v>
      </c>
      <c r="P43" s="630">
        <f>ROUND((N43),2)</f>
        <v>144</v>
      </c>
    </row>
    <row r="44" spans="1:16" s="665" customFormat="1" ht="15" hidden="1" customHeight="1">
      <c r="A44" s="642"/>
      <c r="B44" s="666"/>
      <c r="C44" s="627"/>
      <c r="D44" s="627"/>
      <c r="E44" s="627"/>
      <c r="F44" s="627"/>
      <c r="G44" s="627"/>
      <c r="H44" s="627"/>
      <c r="I44" s="627"/>
      <c r="J44" s="627"/>
      <c r="K44" s="627"/>
      <c r="L44" s="627"/>
      <c r="M44" s="627"/>
      <c r="N44" s="628"/>
      <c r="O44" s="629"/>
      <c r="P44" s="630"/>
    </row>
    <row r="45" spans="1:16" s="665" customFormat="1" ht="15" hidden="1" customHeight="1">
      <c r="A45" s="642" t="s">
        <v>101</v>
      </c>
      <c r="B45" s="664" t="s">
        <v>473</v>
      </c>
      <c r="C45" s="627"/>
      <c r="D45" s="627"/>
      <c r="E45" s="627"/>
      <c r="F45" s="627"/>
      <c r="G45" s="627"/>
      <c r="H45" s="627"/>
      <c r="I45" s="627"/>
      <c r="J45" s="627"/>
      <c r="K45" s="627"/>
      <c r="L45" s="627"/>
      <c r="M45" s="627"/>
      <c r="N45" s="628"/>
      <c r="O45" s="629"/>
      <c r="P45" s="630"/>
    </row>
    <row r="46" spans="1:16" s="665" customFormat="1" ht="15" hidden="1" customHeight="1">
      <c r="A46" s="642"/>
      <c r="B46" s="671" t="str">
        <f t="shared" ref="B46:D47" si="1">B36</f>
        <v>Horizontal</v>
      </c>
      <c r="C46" s="627">
        <f t="shared" si="1"/>
        <v>6</v>
      </c>
      <c r="D46" s="627">
        <f t="shared" si="1"/>
        <v>0.5</v>
      </c>
      <c r="E46" s="627">
        <v>0.2</v>
      </c>
      <c r="F46" s="627"/>
      <c r="G46" s="627"/>
      <c r="H46" s="627"/>
      <c r="I46" s="627"/>
      <c r="J46" s="627"/>
      <c r="K46" s="627"/>
      <c r="L46" s="627"/>
      <c r="M46" s="627">
        <f>M36</f>
        <v>1</v>
      </c>
      <c r="N46" s="628">
        <f>C46*D46*E46*M46</f>
        <v>0.60000000000000009</v>
      </c>
      <c r="O46" s="629"/>
      <c r="P46" s="630"/>
    </row>
    <row r="47" spans="1:16" s="665" customFormat="1" ht="15" hidden="1" customHeight="1">
      <c r="A47" s="642"/>
      <c r="B47" s="671" t="str">
        <f t="shared" si="1"/>
        <v>Vertikal</v>
      </c>
      <c r="C47" s="627">
        <f t="shared" si="1"/>
        <v>1.5</v>
      </c>
      <c r="D47" s="627">
        <f t="shared" si="1"/>
        <v>0.5</v>
      </c>
      <c r="E47" s="627">
        <f>E46</f>
        <v>0.2</v>
      </c>
      <c r="F47" s="627"/>
      <c r="G47" s="627"/>
      <c r="H47" s="627"/>
      <c r="I47" s="627"/>
      <c r="J47" s="627"/>
      <c r="K47" s="627"/>
      <c r="L47" s="627"/>
      <c r="M47" s="627">
        <f>M37</f>
        <v>2</v>
      </c>
      <c r="N47" s="668">
        <f>C47*D47*E47*M47</f>
        <v>0.30000000000000004</v>
      </c>
      <c r="O47" s="629"/>
      <c r="P47" s="630"/>
    </row>
    <row r="48" spans="1:16" s="665" customFormat="1" ht="15" hidden="1" customHeight="1">
      <c r="A48" s="642"/>
      <c r="B48" s="664"/>
      <c r="C48" s="627"/>
      <c r="D48" s="627"/>
      <c r="E48" s="627"/>
      <c r="F48" s="627"/>
      <c r="G48" s="627"/>
      <c r="H48" s="627"/>
      <c r="I48" s="627"/>
      <c r="J48" s="627"/>
      <c r="K48" s="627"/>
      <c r="L48" s="627"/>
      <c r="M48" s="627"/>
      <c r="N48" s="628">
        <f>SUM(N46:N47)</f>
        <v>0.90000000000000013</v>
      </c>
      <c r="O48" s="629" t="s">
        <v>103</v>
      </c>
      <c r="P48" s="630">
        <f>ROUND((N48),2)</f>
        <v>0.9</v>
      </c>
    </row>
    <row r="49" spans="1:16" s="665" customFormat="1" ht="15" hidden="1" customHeight="1">
      <c r="A49" s="642" t="s">
        <v>121</v>
      </c>
      <c r="B49" s="666" t="s">
        <v>407</v>
      </c>
      <c r="C49" s="627"/>
      <c r="D49" s="627" t="s">
        <v>1007</v>
      </c>
      <c r="E49" s="627"/>
      <c r="F49" s="627"/>
      <c r="G49" s="627"/>
      <c r="H49" s="627"/>
      <c r="I49" s="627"/>
      <c r="J49" s="627"/>
      <c r="K49" s="627"/>
      <c r="L49" s="627"/>
      <c r="M49" s="627"/>
      <c r="N49" s="628"/>
      <c r="O49" s="629"/>
      <c r="P49" s="630"/>
    </row>
    <row r="50" spans="1:16" s="665" customFormat="1" ht="15" hidden="1" customHeight="1">
      <c r="A50" s="642"/>
      <c r="B50" s="671" t="str">
        <f>B46</f>
        <v>Horizontal</v>
      </c>
      <c r="C50" s="627">
        <f>C46</f>
        <v>6</v>
      </c>
      <c r="D50" s="627">
        <f>(0.3+D46)/2</f>
        <v>0.4</v>
      </c>
      <c r="E50" s="627">
        <v>0.6</v>
      </c>
      <c r="F50" s="627"/>
      <c r="G50" s="627"/>
      <c r="H50" s="627"/>
      <c r="I50" s="627"/>
      <c r="J50" s="627"/>
      <c r="K50" s="627"/>
      <c r="L50" s="627"/>
      <c r="M50" s="627">
        <f>M46</f>
        <v>1</v>
      </c>
      <c r="N50" s="628">
        <f>C50*D50*E50*M50</f>
        <v>1.4400000000000002</v>
      </c>
      <c r="O50" s="629"/>
      <c r="P50" s="630"/>
    </row>
    <row r="51" spans="1:16" s="665" customFormat="1" ht="15" hidden="1" customHeight="1">
      <c r="A51" s="642"/>
      <c r="B51" s="671" t="str">
        <f>B47</f>
        <v>Vertikal</v>
      </c>
      <c r="C51" s="627">
        <f>C47</f>
        <v>1.5</v>
      </c>
      <c r="D51" s="627">
        <f>D50</f>
        <v>0.4</v>
      </c>
      <c r="E51" s="627">
        <f>E50</f>
        <v>0.6</v>
      </c>
      <c r="F51" s="627"/>
      <c r="G51" s="627"/>
      <c r="H51" s="627"/>
      <c r="I51" s="627"/>
      <c r="J51" s="627"/>
      <c r="K51" s="627"/>
      <c r="L51" s="627"/>
      <c r="M51" s="627">
        <f>M47</f>
        <v>2</v>
      </c>
      <c r="N51" s="668">
        <f>C51*D51*E51*M51</f>
        <v>0.72000000000000008</v>
      </c>
      <c r="O51" s="629"/>
      <c r="P51" s="630"/>
    </row>
    <row r="52" spans="1:16" s="665" customFormat="1" ht="15" hidden="1" customHeight="1">
      <c r="A52" s="642"/>
      <c r="B52" s="666"/>
      <c r="C52" s="627"/>
      <c r="D52" s="627"/>
      <c r="E52" s="627"/>
      <c r="F52" s="627"/>
      <c r="G52" s="627"/>
      <c r="H52" s="627"/>
      <c r="I52" s="627"/>
      <c r="J52" s="627"/>
      <c r="K52" s="627"/>
      <c r="L52" s="627"/>
      <c r="M52" s="627"/>
      <c r="N52" s="628">
        <f>SUM(N50:N51)</f>
        <v>2.16</v>
      </c>
      <c r="O52" s="629" t="s">
        <v>103</v>
      </c>
      <c r="P52" s="630">
        <f>ROUND((N52),2)</f>
        <v>2.16</v>
      </c>
    </row>
    <row r="53" spans="1:16" s="665" customFormat="1" ht="15" hidden="1" customHeight="1">
      <c r="A53" s="642" t="s">
        <v>142</v>
      </c>
      <c r="B53" s="666" t="s">
        <v>193</v>
      </c>
      <c r="C53" s="627"/>
      <c r="D53" s="627"/>
      <c r="E53" s="627"/>
      <c r="F53" s="627"/>
      <c r="G53" s="627"/>
      <c r="H53" s="627"/>
      <c r="I53" s="627"/>
      <c r="J53" s="627"/>
      <c r="K53" s="627"/>
      <c r="L53" s="627"/>
      <c r="M53" s="627"/>
      <c r="N53" s="628"/>
      <c r="O53" s="629"/>
      <c r="P53" s="630"/>
    </row>
    <row r="54" spans="1:16" s="665" customFormat="1" ht="15" hidden="1" customHeight="1">
      <c r="A54" s="642"/>
      <c r="B54" s="671" t="str">
        <f>B50</f>
        <v>Horizontal</v>
      </c>
      <c r="C54" s="627">
        <f>C50</f>
        <v>6</v>
      </c>
      <c r="D54" s="627"/>
      <c r="E54" s="627">
        <v>0.5</v>
      </c>
      <c r="F54" s="627"/>
      <c r="G54" s="627"/>
      <c r="H54" s="627">
        <v>1</v>
      </c>
      <c r="I54" s="627"/>
      <c r="J54" s="627"/>
      <c r="K54" s="627"/>
      <c r="L54" s="627"/>
      <c r="M54" s="627"/>
      <c r="N54" s="628">
        <f>C54*E54*H54</f>
        <v>3</v>
      </c>
      <c r="O54" s="629"/>
      <c r="P54" s="630"/>
    </row>
    <row r="55" spans="1:16" s="665" customFormat="1" ht="15" hidden="1" customHeight="1">
      <c r="A55" s="642"/>
      <c r="B55" s="671" t="str">
        <f>B51</f>
        <v>Vertikal</v>
      </c>
      <c r="C55" s="627">
        <f>C51</f>
        <v>1.5</v>
      </c>
      <c r="D55" s="627"/>
      <c r="E55" s="627">
        <f>E54</f>
        <v>0.5</v>
      </c>
      <c r="F55" s="627"/>
      <c r="G55" s="627"/>
      <c r="H55" s="627">
        <v>2</v>
      </c>
      <c r="I55" s="627"/>
      <c r="J55" s="627"/>
      <c r="K55" s="627"/>
      <c r="L55" s="627"/>
      <c r="M55" s="627"/>
      <c r="N55" s="668">
        <f>C55*E55*H55</f>
        <v>1.5</v>
      </c>
      <c r="O55" s="629"/>
      <c r="P55" s="630"/>
    </row>
    <row r="56" spans="1:16" s="665" customFormat="1" ht="15" hidden="1" customHeight="1">
      <c r="A56" s="642"/>
      <c r="B56" s="666"/>
      <c r="C56" s="627"/>
      <c r="D56" s="627"/>
      <c r="E56" s="627"/>
      <c r="F56" s="627"/>
      <c r="G56" s="627"/>
      <c r="H56" s="627"/>
      <c r="I56" s="627"/>
      <c r="J56" s="627"/>
      <c r="K56" s="627"/>
      <c r="L56" s="627"/>
      <c r="M56" s="627"/>
      <c r="N56" s="628">
        <f>SUM(N54:N55)</f>
        <v>4.5</v>
      </c>
      <c r="O56" s="629" t="s">
        <v>89</v>
      </c>
      <c r="P56" s="630">
        <f>ROUND((N56),2)</f>
        <v>4.5</v>
      </c>
    </row>
    <row r="57" spans="1:16" s="665" customFormat="1" ht="15" hidden="1" customHeight="1">
      <c r="A57" s="642" t="s">
        <v>217</v>
      </c>
      <c r="B57" s="666" t="s">
        <v>194</v>
      </c>
      <c r="C57" s="627"/>
      <c r="D57" s="627"/>
      <c r="E57" s="627"/>
      <c r="F57" s="627"/>
      <c r="G57" s="627"/>
      <c r="H57" s="627"/>
      <c r="I57" s="627"/>
      <c r="J57" s="627"/>
      <c r="K57" s="627"/>
      <c r="L57" s="627"/>
      <c r="M57" s="627"/>
      <c r="N57" s="628">
        <f>N56</f>
        <v>4.5</v>
      </c>
      <c r="O57" s="629" t="s">
        <v>89</v>
      </c>
      <c r="P57" s="630">
        <f>ROUND((N57),2)</f>
        <v>4.5</v>
      </c>
    </row>
    <row r="58" spans="1:16" ht="15" customHeight="1">
      <c r="A58" s="372">
        <f>A11+1</f>
        <v>3</v>
      </c>
      <c r="B58" s="351" t="s">
        <v>408</v>
      </c>
      <c r="C58" s="382"/>
      <c r="D58" s="382"/>
      <c r="E58" s="382"/>
      <c r="F58" s="382"/>
      <c r="G58" s="382"/>
      <c r="H58" s="382"/>
      <c r="I58" s="382"/>
      <c r="J58" s="382"/>
      <c r="K58" s="382"/>
      <c r="L58" s="382"/>
      <c r="M58" s="382"/>
      <c r="N58" s="431"/>
      <c r="O58" s="617"/>
      <c r="P58" s="620"/>
    </row>
    <row r="59" spans="1:16" ht="15" customHeight="1">
      <c r="A59" s="384"/>
      <c r="B59" s="567" t="str">
        <f>B26</f>
        <v>Horisontal</v>
      </c>
      <c r="C59" s="382">
        <f>C26</f>
        <v>5.7</v>
      </c>
      <c r="D59" s="382"/>
      <c r="E59" s="382"/>
      <c r="F59" s="382"/>
      <c r="G59" s="382"/>
      <c r="H59" s="382"/>
      <c r="I59" s="382"/>
      <c r="J59" s="382"/>
      <c r="K59" s="382"/>
      <c r="L59" s="382"/>
      <c r="M59" s="382">
        <f>M26</f>
        <v>5</v>
      </c>
      <c r="N59" s="431">
        <f>C59*M59</f>
        <v>28.5</v>
      </c>
      <c r="O59" s="617"/>
      <c r="P59" s="620"/>
    </row>
    <row r="60" spans="1:16" ht="15" customHeight="1">
      <c r="A60" s="384"/>
      <c r="B60" s="567" t="str">
        <f>B27</f>
        <v>Vertikal</v>
      </c>
      <c r="C60" s="382">
        <f>C27</f>
        <v>11.7</v>
      </c>
      <c r="D60" s="382"/>
      <c r="E60" s="382"/>
      <c r="F60" s="382"/>
      <c r="G60" s="382"/>
      <c r="H60" s="382"/>
      <c r="I60" s="382"/>
      <c r="J60" s="382"/>
      <c r="K60" s="382"/>
      <c r="L60" s="382"/>
      <c r="M60" s="382">
        <f>M27</f>
        <v>2</v>
      </c>
      <c r="N60" s="431">
        <f>C60*M60</f>
        <v>23.4</v>
      </c>
      <c r="O60" s="617"/>
      <c r="P60" s="620"/>
    </row>
    <row r="61" spans="1:16" ht="15" customHeight="1">
      <c r="A61" s="384"/>
      <c r="B61" s="589"/>
      <c r="C61" s="382"/>
      <c r="D61" s="382"/>
      <c r="E61" s="382"/>
      <c r="F61" s="382"/>
      <c r="G61" s="382"/>
      <c r="H61" s="382"/>
      <c r="I61" s="382"/>
      <c r="J61" s="382"/>
      <c r="K61" s="382"/>
      <c r="L61" s="382"/>
      <c r="M61" s="382"/>
      <c r="N61" s="431">
        <f>SUM(N59:N60)</f>
        <v>51.9</v>
      </c>
      <c r="O61" s="617"/>
      <c r="P61" s="620"/>
    </row>
    <row r="62" spans="1:16" ht="15" customHeight="1">
      <c r="A62" s="384"/>
      <c r="B62" s="366"/>
      <c r="C62" s="382">
        <v>0.5</v>
      </c>
      <c r="D62" s="382"/>
      <c r="E62" s="382"/>
      <c r="F62" s="382">
        <f>ROUNDUP((N61/1),0.1)+1</f>
        <v>53</v>
      </c>
      <c r="G62" s="382"/>
      <c r="H62" s="382"/>
      <c r="I62" s="382"/>
      <c r="J62" s="382"/>
      <c r="K62" s="382"/>
      <c r="L62" s="382">
        <f>10*10*0.006165</f>
        <v>0.61650000000000005</v>
      </c>
      <c r="M62" s="382"/>
      <c r="N62" s="431">
        <f>C62*F62*L62</f>
        <v>16.337250000000001</v>
      </c>
      <c r="O62" s="617" t="s">
        <v>100</v>
      </c>
      <c r="P62" s="620">
        <f>ROUND((N62),2)</f>
        <v>16.34</v>
      </c>
    </row>
    <row r="63" spans="1:16" ht="15" customHeight="1">
      <c r="A63" s="372">
        <f>A58+1</f>
        <v>4</v>
      </c>
      <c r="B63" s="366" t="s">
        <v>479</v>
      </c>
      <c r="C63" s="645"/>
      <c r="D63" s="382"/>
      <c r="E63" s="645"/>
      <c r="F63" s="382"/>
      <c r="G63" s="382"/>
      <c r="H63" s="382"/>
      <c r="I63" s="382"/>
      <c r="J63" s="382"/>
      <c r="K63" s="382"/>
      <c r="L63" s="382"/>
      <c r="M63" s="382"/>
      <c r="N63" s="431"/>
      <c r="O63" s="617"/>
      <c r="P63" s="620"/>
    </row>
    <row r="64" spans="1:16" ht="15" customHeight="1">
      <c r="A64" s="384" t="s">
        <v>95</v>
      </c>
      <c r="B64" s="366" t="s">
        <v>221</v>
      </c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431"/>
      <c r="O64" s="617"/>
      <c r="P64" s="620"/>
    </row>
    <row r="65" spans="1:16" ht="15" customHeight="1">
      <c r="A65" s="384"/>
      <c r="B65" s="643" t="str">
        <f>B59</f>
        <v>Horisontal</v>
      </c>
      <c r="C65" s="382">
        <f>C26</f>
        <v>5.7</v>
      </c>
      <c r="D65" s="382"/>
      <c r="E65" s="382">
        <v>0.3</v>
      </c>
      <c r="F65" s="382"/>
      <c r="G65" s="382"/>
      <c r="H65" s="382">
        <v>2</v>
      </c>
      <c r="I65" s="382"/>
      <c r="J65" s="382"/>
      <c r="K65" s="382"/>
      <c r="L65" s="382"/>
      <c r="M65" s="382">
        <f>M26</f>
        <v>5</v>
      </c>
      <c r="N65" s="431">
        <f>C65*E65*H65*M65</f>
        <v>17.100000000000001</v>
      </c>
      <c r="O65" s="617"/>
      <c r="P65" s="620"/>
    </row>
    <row r="66" spans="1:16" ht="15" customHeight="1">
      <c r="A66" s="384"/>
      <c r="B66" s="643" t="str">
        <f>B60</f>
        <v>Vertikal</v>
      </c>
      <c r="C66" s="382">
        <f>C27</f>
        <v>11.7</v>
      </c>
      <c r="D66" s="382"/>
      <c r="E66" s="382">
        <f>E65</f>
        <v>0.3</v>
      </c>
      <c r="F66" s="382"/>
      <c r="G66" s="382"/>
      <c r="H66" s="382">
        <f>H65</f>
        <v>2</v>
      </c>
      <c r="I66" s="382"/>
      <c r="J66" s="382"/>
      <c r="K66" s="382"/>
      <c r="L66" s="382"/>
      <c r="M66" s="382">
        <f>M27</f>
        <v>2</v>
      </c>
      <c r="N66" s="624">
        <f>C66*E66*H66*M66</f>
        <v>14.04</v>
      </c>
      <c r="O66" s="617"/>
      <c r="P66" s="620"/>
    </row>
    <row r="67" spans="1:16" ht="15" customHeight="1">
      <c r="A67" s="384"/>
      <c r="B67" s="366"/>
      <c r="C67" s="382"/>
      <c r="D67" s="382"/>
      <c r="E67" s="382"/>
      <c r="F67" s="382"/>
      <c r="G67" s="382"/>
      <c r="H67" s="382"/>
      <c r="I67" s="382"/>
      <c r="J67" s="382"/>
      <c r="K67" s="382"/>
      <c r="L67" s="382"/>
      <c r="M67" s="382"/>
      <c r="N67" s="431">
        <f>SUM(N65:N66)</f>
        <v>31.14</v>
      </c>
      <c r="O67" s="617" t="s">
        <v>89</v>
      </c>
      <c r="P67" s="620">
        <f>ROUND((N67),2)</f>
        <v>31.14</v>
      </c>
    </row>
    <row r="68" spans="1:16" ht="15" customHeight="1">
      <c r="A68" s="384" t="s">
        <v>98</v>
      </c>
      <c r="B68" s="366" t="s">
        <v>1065</v>
      </c>
      <c r="C68" s="382"/>
      <c r="D68" s="382"/>
      <c r="E68" s="382"/>
      <c r="F68" s="382"/>
      <c r="G68" s="382"/>
      <c r="H68" s="382"/>
      <c r="I68" s="382"/>
      <c r="J68" s="382"/>
      <c r="K68" s="382"/>
      <c r="L68" s="382"/>
      <c r="M68" s="382"/>
      <c r="N68" s="431"/>
      <c r="O68" s="617"/>
      <c r="P68" s="620"/>
    </row>
    <row r="69" spans="1:16" ht="15" customHeight="1">
      <c r="A69" s="384"/>
      <c r="B69" s="643" t="str">
        <f>B65</f>
        <v>Horisontal</v>
      </c>
      <c r="C69" s="382">
        <f>C65</f>
        <v>5.7</v>
      </c>
      <c r="D69" s="382"/>
      <c r="E69" s="382"/>
      <c r="F69" s="382">
        <v>11</v>
      </c>
      <c r="G69" s="382"/>
      <c r="H69" s="382"/>
      <c r="I69" s="382"/>
      <c r="J69" s="382"/>
      <c r="K69" s="382"/>
      <c r="L69" s="382">
        <f>10*10*0.006165</f>
        <v>0.61650000000000005</v>
      </c>
      <c r="M69" s="382">
        <f>M65</f>
        <v>5</v>
      </c>
      <c r="N69" s="431">
        <f>C69*F69*L69*M69</f>
        <v>193.27275000000003</v>
      </c>
      <c r="O69" s="617"/>
      <c r="P69" s="620"/>
    </row>
    <row r="70" spans="1:16" ht="15" customHeight="1">
      <c r="A70" s="384"/>
      <c r="B70" s="643" t="str">
        <f>B66</f>
        <v>Vertikal</v>
      </c>
      <c r="C70" s="382">
        <f>C66</f>
        <v>11.7</v>
      </c>
      <c r="D70" s="382"/>
      <c r="E70" s="382"/>
      <c r="F70" s="382">
        <f>F69</f>
        <v>11</v>
      </c>
      <c r="G70" s="382"/>
      <c r="H70" s="382"/>
      <c r="I70" s="382"/>
      <c r="J70" s="382"/>
      <c r="K70" s="382"/>
      <c r="L70" s="382">
        <f>L69</f>
        <v>0.61650000000000005</v>
      </c>
      <c r="M70" s="382">
        <f>M66</f>
        <v>2</v>
      </c>
      <c r="N70" s="624">
        <f>C70*F70*L70*M70</f>
        <v>158.68709999999999</v>
      </c>
      <c r="O70" s="617"/>
      <c r="P70" s="620"/>
    </row>
    <row r="71" spans="1:16" ht="15" customHeight="1">
      <c r="A71" s="384"/>
      <c r="B71" s="366"/>
      <c r="C71" s="382"/>
      <c r="D71" s="382"/>
      <c r="E71" s="382"/>
      <c r="F71" s="382"/>
      <c r="G71" s="382"/>
      <c r="H71" s="382"/>
      <c r="I71" s="382"/>
      <c r="J71" s="382"/>
      <c r="K71" s="382"/>
      <c r="L71" s="382"/>
      <c r="M71" s="382"/>
      <c r="N71" s="431">
        <f>SUM(N69:N70)</f>
        <v>351.95985000000002</v>
      </c>
      <c r="O71" s="617" t="s">
        <v>100</v>
      </c>
      <c r="P71" s="620">
        <f>ROUND((N71),2)</f>
        <v>351.96</v>
      </c>
    </row>
    <row r="72" spans="1:16" ht="15" customHeight="1">
      <c r="A72" s="384" t="s">
        <v>101</v>
      </c>
      <c r="B72" s="366" t="s">
        <v>428</v>
      </c>
      <c r="C72" s="382"/>
      <c r="D72" s="382"/>
      <c r="E72" s="382"/>
      <c r="F72" s="382"/>
      <c r="G72" s="382"/>
      <c r="H72" s="382"/>
      <c r="I72" s="382"/>
      <c r="J72" s="382"/>
      <c r="K72" s="382"/>
      <c r="L72" s="382"/>
      <c r="M72" s="382"/>
      <c r="N72" s="431"/>
      <c r="O72" s="617"/>
      <c r="P72" s="620"/>
    </row>
    <row r="73" spans="1:16" ht="15" customHeight="1">
      <c r="A73" s="384"/>
      <c r="B73" s="643" t="str">
        <f>B69</f>
        <v>Horisontal</v>
      </c>
      <c r="C73" s="382">
        <f>0.15*4</f>
        <v>0.6</v>
      </c>
      <c r="D73" s="382"/>
      <c r="E73" s="382"/>
      <c r="F73" s="382">
        <f>ROUNDDOWN((C69/0.125),0.5)</f>
        <v>45</v>
      </c>
      <c r="G73" s="382"/>
      <c r="H73" s="382"/>
      <c r="I73" s="382">
        <f>0.05*2</f>
        <v>0.1</v>
      </c>
      <c r="J73" s="382"/>
      <c r="K73" s="382"/>
      <c r="L73" s="382">
        <f>8*8*0.006165</f>
        <v>0.39456000000000002</v>
      </c>
      <c r="M73" s="382">
        <f>M69</f>
        <v>5</v>
      </c>
      <c r="N73" s="431">
        <f>(C73+I73)*F73*L73*M73</f>
        <v>62.1432</v>
      </c>
      <c r="O73" s="617"/>
      <c r="P73" s="620"/>
    </row>
    <row r="74" spans="1:16" ht="15" customHeight="1">
      <c r="A74" s="384"/>
      <c r="B74" s="643" t="str">
        <f>B70</f>
        <v>Vertikal</v>
      </c>
      <c r="C74" s="382">
        <f>C73</f>
        <v>0.6</v>
      </c>
      <c r="D74" s="382"/>
      <c r="E74" s="382"/>
      <c r="F74" s="382">
        <f>ROUNDDOWN((C70/0.125),0.5)</f>
        <v>93</v>
      </c>
      <c r="G74" s="382"/>
      <c r="H74" s="382"/>
      <c r="I74" s="382">
        <f>I73</f>
        <v>0.1</v>
      </c>
      <c r="J74" s="382"/>
      <c r="K74" s="382"/>
      <c r="L74" s="382">
        <f>L73</f>
        <v>0.39456000000000002</v>
      </c>
      <c r="M74" s="382">
        <f>M70</f>
        <v>2</v>
      </c>
      <c r="N74" s="624">
        <f>(C74+I74)*F74*L74</f>
        <v>25.685855999999998</v>
      </c>
      <c r="O74" s="617"/>
      <c r="P74" s="620"/>
    </row>
    <row r="75" spans="1:16" ht="15" customHeight="1">
      <c r="A75" s="384"/>
      <c r="B75" s="379"/>
      <c r="C75" s="382"/>
      <c r="D75" s="382"/>
      <c r="E75" s="382"/>
      <c r="F75" s="382"/>
      <c r="G75" s="382"/>
      <c r="H75" s="382"/>
      <c r="I75" s="382"/>
      <c r="J75" s="382"/>
      <c r="K75" s="382"/>
      <c r="L75" s="382"/>
      <c r="M75" s="382"/>
      <c r="N75" s="431">
        <f>SUM(N73:N74)</f>
        <v>87.829055999999994</v>
      </c>
      <c r="O75" s="617" t="s">
        <v>100</v>
      </c>
      <c r="P75" s="620">
        <f>ROUND((N75),2)</f>
        <v>87.83</v>
      </c>
    </row>
    <row r="76" spans="1:16" ht="15" customHeight="1">
      <c r="A76" s="384" t="s">
        <v>121</v>
      </c>
      <c r="B76" s="379" t="s">
        <v>420</v>
      </c>
      <c r="C76" s="382"/>
      <c r="D76" s="382"/>
      <c r="E76" s="382"/>
      <c r="F76" s="382"/>
      <c r="G76" s="382"/>
      <c r="H76" s="382"/>
      <c r="I76" s="382"/>
      <c r="J76" s="382"/>
      <c r="K76" s="382"/>
      <c r="L76" s="382"/>
      <c r="M76" s="382"/>
      <c r="N76" s="431"/>
      <c r="O76" s="617"/>
      <c r="P76" s="620"/>
    </row>
    <row r="77" spans="1:16" ht="15" customHeight="1">
      <c r="A77" s="384"/>
      <c r="B77" s="643" t="str">
        <f>B73</f>
        <v>Horisontal</v>
      </c>
      <c r="C77" s="382">
        <f>C69</f>
        <v>5.7</v>
      </c>
      <c r="D77" s="382">
        <f>E65</f>
        <v>0.3</v>
      </c>
      <c r="E77" s="382">
        <f>E66</f>
        <v>0.3</v>
      </c>
      <c r="F77" s="382"/>
      <c r="G77" s="382"/>
      <c r="H77" s="382"/>
      <c r="I77" s="382"/>
      <c r="J77" s="382"/>
      <c r="K77" s="382"/>
      <c r="L77" s="382"/>
      <c r="M77" s="382">
        <f>M73</f>
        <v>5</v>
      </c>
      <c r="N77" s="431">
        <f>C77*D77*E77*M77</f>
        <v>2.5649999999999999</v>
      </c>
      <c r="O77" s="617"/>
      <c r="P77" s="620"/>
    </row>
    <row r="78" spans="1:16" ht="15" customHeight="1">
      <c r="A78" s="384"/>
      <c r="B78" s="643" t="str">
        <f>B74</f>
        <v>Vertikal</v>
      </c>
      <c r="C78" s="382">
        <f>C70</f>
        <v>11.7</v>
      </c>
      <c r="D78" s="382">
        <f>D77</f>
        <v>0.3</v>
      </c>
      <c r="E78" s="382">
        <f>E77</f>
        <v>0.3</v>
      </c>
      <c r="F78" s="382"/>
      <c r="G78" s="382"/>
      <c r="H78" s="382"/>
      <c r="I78" s="382"/>
      <c r="J78" s="382"/>
      <c r="K78" s="382"/>
      <c r="L78" s="382"/>
      <c r="M78" s="382">
        <f>M74</f>
        <v>2</v>
      </c>
      <c r="N78" s="624">
        <f>C78*D78*E78*M78</f>
        <v>2.1059999999999999</v>
      </c>
      <c r="O78" s="617"/>
      <c r="P78" s="620"/>
    </row>
    <row r="79" spans="1:16" ht="15" customHeight="1">
      <c r="A79" s="384"/>
      <c r="B79" s="379"/>
      <c r="C79" s="382"/>
      <c r="D79" s="382"/>
      <c r="E79" s="382"/>
      <c r="F79" s="382"/>
      <c r="G79" s="382"/>
      <c r="H79" s="382"/>
      <c r="I79" s="382"/>
      <c r="J79" s="382"/>
      <c r="K79" s="382"/>
      <c r="L79" s="382"/>
      <c r="M79" s="382"/>
      <c r="N79" s="431">
        <f>SUM(N77:N78)</f>
        <v>4.6709999999999994</v>
      </c>
      <c r="O79" s="617" t="s">
        <v>103</v>
      </c>
      <c r="P79" s="620">
        <f>ROUND((N79),2)</f>
        <v>4.67</v>
      </c>
    </row>
    <row r="80" spans="1:16" s="665" customFormat="1" ht="15" hidden="1" customHeight="1">
      <c r="A80" s="639">
        <f>A63+1</f>
        <v>5</v>
      </c>
      <c r="B80" s="666" t="s">
        <v>482</v>
      </c>
      <c r="C80" s="672" t="s">
        <v>1066</v>
      </c>
      <c r="D80" s="627"/>
      <c r="E80" s="627"/>
      <c r="F80" s="672">
        <f>N42</f>
        <v>9</v>
      </c>
      <c r="G80" s="627"/>
      <c r="H80" s="627"/>
      <c r="I80" s="627"/>
      <c r="J80" s="627"/>
      <c r="K80" s="627"/>
      <c r="L80" s="627"/>
      <c r="M80" s="627"/>
      <c r="N80" s="628"/>
      <c r="O80" s="629"/>
      <c r="P80" s="630"/>
    </row>
    <row r="81" spans="1:16" s="665" customFormat="1" ht="15" hidden="1" customHeight="1">
      <c r="A81" s="642" t="s">
        <v>95</v>
      </c>
      <c r="B81" s="666" t="s">
        <v>221</v>
      </c>
      <c r="C81" s="627">
        <f>F80</f>
        <v>9</v>
      </c>
      <c r="D81" s="627"/>
      <c r="E81" s="627">
        <v>0.2</v>
      </c>
      <c r="F81" s="627"/>
      <c r="G81" s="627"/>
      <c r="H81" s="627">
        <v>2</v>
      </c>
      <c r="I81" s="627"/>
      <c r="J81" s="627"/>
      <c r="K81" s="627"/>
      <c r="L81" s="627"/>
      <c r="M81" s="627"/>
      <c r="N81" s="628">
        <f>C81*E81*H81</f>
        <v>3.6</v>
      </c>
      <c r="O81" s="629" t="s">
        <v>89</v>
      </c>
      <c r="P81" s="630">
        <f>ROUND((N81),2)</f>
        <v>3.6</v>
      </c>
    </row>
    <row r="82" spans="1:16" s="665" customFormat="1" ht="15" hidden="1" customHeight="1">
      <c r="A82" s="642" t="s">
        <v>98</v>
      </c>
      <c r="B82" s="666" t="s">
        <v>928</v>
      </c>
      <c r="C82" s="627">
        <f>C81</f>
        <v>9</v>
      </c>
      <c r="D82" s="627"/>
      <c r="E82" s="627"/>
      <c r="F82" s="627">
        <v>4</v>
      </c>
      <c r="G82" s="627"/>
      <c r="H82" s="627"/>
      <c r="I82" s="627"/>
      <c r="J82" s="627"/>
      <c r="K82" s="627"/>
      <c r="L82" s="627">
        <f>13*13*0.006165</f>
        <v>1.041885</v>
      </c>
      <c r="M82" s="627"/>
      <c r="N82" s="628">
        <f>C82*F82*L82</f>
        <v>37.507860000000001</v>
      </c>
      <c r="O82" s="629" t="s">
        <v>100</v>
      </c>
      <c r="P82" s="630">
        <f>ROUND((N82),2)</f>
        <v>37.51</v>
      </c>
    </row>
    <row r="83" spans="1:16" s="665" customFormat="1" ht="15" hidden="1" customHeight="1">
      <c r="A83" s="642" t="s">
        <v>101</v>
      </c>
      <c r="B83" s="666" t="s">
        <v>1067</v>
      </c>
      <c r="C83" s="627">
        <f>0.15*4</f>
        <v>0.6</v>
      </c>
      <c r="D83" s="627"/>
      <c r="E83" s="627"/>
      <c r="F83" s="627">
        <f>ROUNDDOWN((C82/0.2),0.5)</f>
        <v>45</v>
      </c>
      <c r="G83" s="627"/>
      <c r="H83" s="627"/>
      <c r="I83" s="627">
        <f>0.05*2</f>
        <v>0.1</v>
      </c>
      <c r="J83" s="627"/>
      <c r="K83" s="627"/>
      <c r="L83" s="627">
        <f>10*10*0.006165</f>
        <v>0.61650000000000005</v>
      </c>
      <c r="M83" s="627"/>
      <c r="N83" s="628">
        <f>(C83+I83)*F83*L83</f>
        <v>19.419750000000001</v>
      </c>
      <c r="O83" s="629" t="s">
        <v>100</v>
      </c>
      <c r="P83" s="630">
        <f>ROUND((N83),2)</f>
        <v>19.420000000000002</v>
      </c>
    </row>
    <row r="84" spans="1:16" s="665" customFormat="1" ht="15" hidden="1" customHeight="1">
      <c r="A84" s="642" t="s">
        <v>121</v>
      </c>
      <c r="B84" s="638" t="s">
        <v>420</v>
      </c>
      <c r="C84" s="627">
        <f>C81</f>
        <v>9</v>
      </c>
      <c r="D84" s="627">
        <v>0.15</v>
      </c>
      <c r="E84" s="627">
        <v>0.2</v>
      </c>
      <c r="F84" s="627"/>
      <c r="G84" s="627"/>
      <c r="H84" s="627"/>
      <c r="I84" s="627"/>
      <c r="J84" s="627"/>
      <c r="K84" s="627"/>
      <c r="L84" s="627"/>
      <c r="M84" s="627"/>
      <c r="N84" s="628">
        <f>C84*D84*E84</f>
        <v>0.26999999999999996</v>
      </c>
      <c r="O84" s="629" t="s">
        <v>103</v>
      </c>
      <c r="P84" s="630">
        <f>ROUND((N84),2)</f>
        <v>0.27</v>
      </c>
    </row>
    <row r="85" spans="1:16" ht="15" customHeight="1">
      <c r="A85" s="372">
        <f>A63+1</f>
        <v>5</v>
      </c>
      <c r="B85" s="366" t="s">
        <v>483</v>
      </c>
      <c r="C85" s="645" t="s">
        <v>1068</v>
      </c>
      <c r="D85" s="382"/>
      <c r="E85" s="382"/>
      <c r="F85" s="382"/>
      <c r="G85" s="382"/>
      <c r="H85" s="382"/>
      <c r="I85" s="382"/>
      <c r="J85" s="382"/>
      <c r="K85" s="382"/>
      <c r="L85" s="382"/>
      <c r="M85" s="382"/>
      <c r="N85" s="382"/>
      <c r="O85" s="617"/>
      <c r="P85" s="620"/>
    </row>
    <row r="86" spans="1:16" ht="15" customHeight="1">
      <c r="A86" s="384" t="s">
        <v>95</v>
      </c>
      <c r="B86" s="482" t="s">
        <v>1069</v>
      </c>
      <c r="C86" s="382">
        <v>1.04</v>
      </c>
      <c r="D86" s="382">
        <f>C30</f>
        <v>5.7</v>
      </c>
      <c r="E86" s="382"/>
      <c r="F86" s="382"/>
      <c r="G86" s="382"/>
      <c r="H86" s="382"/>
      <c r="I86" s="382"/>
      <c r="J86" s="382"/>
      <c r="K86" s="382"/>
      <c r="L86" s="382"/>
      <c r="M86" s="382"/>
      <c r="N86" s="382">
        <f>C86*D86</f>
        <v>5.9280000000000008</v>
      </c>
      <c r="O86" s="617" t="s">
        <v>103</v>
      </c>
      <c r="P86" s="620">
        <f>ROUND((N86),2)</f>
        <v>5.93</v>
      </c>
    </row>
    <row r="87" spans="1:16" ht="15" customHeight="1">
      <c r="A87" s="384" t="s">
        <v>98</v>
      </c>
      <c r="B87" s="366" t="s">
        <v>475</v>
      </c>
      <c r="C87" s="382"/>
      <c r="D87" s="382"/>
      <c r="E87" s="382"/>
      <c r="F87" s="382"/>
      <c r="G87" s="382"/>
      <c r="H87" s="382"/>
      <c r="I87" s="382"/>
      <c r="J87" s="382"/>
      <c r="K87" s="382"/>
      <c r="L87" s="382"/>
      <c r="M87" s="382"/>
      <c r="N87" s="382">
        <f>N86</f>
        <v>5.9280000000000008</v>
      </c>
      <c r="O87" s="617" t="s">
        <v>103</v>
      </c>
      <c r="P87" s="620">
        <f>ROUND((N87),2)</f>
        <v>5.93</v>
      </c>
    </row>
    <row r="88" spans="1:16" ht="15" customHeight="1">
      <c r="A88" s="384" t="s">
        <v>101</v>
      </c>
      <c r="B88" s="366" t="s">
        <v>1070</v>
      </c>
      <c r="C88" s="382">
        <f>C31</f>
        <v>11.7</v>
      </c>
      <c r="D88" s="382">
        <f>D86</f>
        <v>5.7</v>
      </c>
      <c r="E88" s="382">
        <v>0.1</v>
      </c>
      <c r="F88" s="382"/>
      <c r="G88" s="382"/>
      <c r="H88" s="382"/>
      <c r="I88" s="382"/>
      <c r="J88" s="382"/>
      <c r="K88" s="382"/>
      <c r="L88" s="382"/>
      <c r="M88" s="382"/>
      <c r="N88" s="382">
        <f>C88*D88*E88</f>
        <v>6.6690000000000005</v>
      </c>
      <c r="O88" s="617" t="s">
        <v>103</v>
      </c>
      <c r="P88" s="620">
        <f>ROUND((N88),2)</f>
        <v>6.67</v>
      </c>
    </row>
    <row r="89" spans="1:16" ht="15" customHeight="1">
      <c r="A89" s="384"/>
      <c r="B89" s="366" t="s">
        <v>496</v>
      </c>
      <c r="C89" s="382">
        <f>C88</f>
        <v>11.7</v>
      </c>
      <c r="D89" s="382">
        <f>D88</f>
        <v>5.7</v>
      </c>
      <c r="E89" s="382">
        <v>0.05</v>
      </c>
      <c r="F89" s="382"/>
      <c r="G89" s="382"/>
      <c r="H89" s="382"/>
      <c r="I89" s="382"/>
      <c r="J89" s="382"/>
      <c r="K89" s="382"/>
      <c r="L89" s="382"/>
      <c r="M89" s="382"/>
      <c r="N89" s="382">
        <f>C89*D89*E89</f>
        <v>3.3345000000000002</v>
      </c>
      <c r="O89" s="617" t="s">
        <v>103</v>
      </c>
      <c r="P89" s="620">
        <f>ROUND((N89),2)</f>
        <v>3.33</v>
      </c>
    </row>
    <row r="90" spans="1:16" ht="15" customHeight="1">
      <c r="A90" s="384" t="s">
        <v>121</v>
      </c>
      <c r="B90" s="366" t="s">
        <v>221</v>
      </c>
      <c r="C90" s="382"/>
      <c r="D90" s="382"/>
      <c r="E90" s="382"/>
      <c r="F90" s="382"/>
      <c r="G90" s="382"/>
      <c r="H90" s="382"/>
      <c r="I90" s="382"/>
      <c r="J90" s="382"/>
      <c r="K90" s="382"/>
      <c r="L90" s="382"/>
      <c r="M90" s="382"/>
      <c r="N90" s="382"/>
      <c r="O90" s="617"/>
      <c r="P90" s="620"/>
    </row>
    <row r="91" spans="1:16" ht="15" customHeight="1">
      <c r="A91" s="384"/>
      <c r="B91" s="643" t="s">
        <v>1044</v>
      </c>
      <c r="C91" s="382">
        <f>D86</f>
        <v>5.7</v>
      </c>
      <c r="D91" s="382"/>
      <c r="E91" s="382">
        <v>0.15</v>
      </c>
      <c r="F91" s="382"/>
      <c r="G91" s="382"/>
      <c r="H91" s="382">
        <v>2</v>
      </c>
      <c r="I91" s="382"/>
      <c r="J91" s="382"/>
      <c r="K91" s="382"/>
      <c r="L91" s="382"/>
      <c r="M91" s="382"/>
      <c r="N91" s="382">
        <f>C91*E91*H91</f>
        <v>1.71</v>
      </c>
      <c r="O91" s="617"/>
      <c r="P91" s="620"/>
    </row>
    <row r="92" spans="1:16" ht="15" customHeight="1">
      <c r="A92" s="384"/>
      <c r="B92" s="643" t="s">
        <v>136</v>
      </c>
      <c r="C92" s="382">
        <f>C89</f>
        <v>11.7</v>
      </c>
      <c r="D92" s="382"/>
      <c r="E92" s="382">
        <f>E91</f>
        <v>0.15</v>
      </c>
      <c r="F92" s="382"/>
      <c r="G92" s="382"/>
      <c r="H92" s="382">
        <f>H91</f>
        <v>2</v>
      </c>
      <c r="I92" s="382"/>
      <c r="J92" s="382"/>
      <c r="K92" s="382"/>
      <c r="L92" s="382"/>
      <c r="M92" s="382"/>
      <c r="N92" s="624">
        <f>C92*E92*H92</f>
        <v>3.51</v>
      </c>
      <c r="O92" s="617"/>
      <c r="P92" s="620"/>
    </row>
    <row r="93" spans="1:16" ht="15" customHeight="1">
      <c r="A93" s="384"/>
      <c r="B93" s="366"/>
      <c r="C93" s="382"/>
      <c r="D93" s="382"/>
      <c r="E93" s="382"/>
      <c r="F93" s="382"/>
      <c r="G93" s="382"/>
      <c r="H93" s="382"/>
      <c r="I93" s="382"/>
      <c r="J93" s="382"/>
      <c r="K93" s="382"/>
      <c r="L93" s="382"/>
      <c r="M93" s="382"/>
      <c r="N93" s="431">
        <f>SUM(N91:N92)</f>
        <v>5.22</v>
      </c>
      <c r="O93" s="617" t="s">
        <v>89</v>
      </c>
      <c r="P93" s="620">
        <f>ROUND((N93),2)</f>
        <v>5.22</v>
      </c>
    </row>
    <row r="94" spans="1:16" ht="15" customHeight="1">
      <c r="A94" s="384" t="s">
        <v>142</v>
      </c>
      <c r="B94" s="366" t="s">
        <v>1067</v>
      </c>
      <c r="C94" s="382"/>
      <c r="D94" s="382"/>
      <c r="E94" s="382"/>
      <c r="F94" s="382"/>
      <c r="G94" s="382"/>
      <c r="H94" s="382"/>
      <c r="I94" s="382"/>
      <c r="J94" s="382"/>
      <c r="K94" s="382"/>
      <c r="L94" s="382"/>
      <c r="M94" s="382"/>
      <c r="N94" s="382"/>
      <c r="O94" s="617"/>
      <c r="P94" s="620"/>
    </row>
    <row r="95" spans="1:16" ht="15" customHeight="1">
      <c r="A95" s="384"/>
      <c r="B95" s="673" t="str">
        <f>B91</f>
        <v>Horisontal</v>
      </c>
      <c r="C95" s="382">
        <f>C91-0.15</f>
        <v>5.55</v>
      </c>
      <c r="D95" s="382"/>
      <c r="E95" s="382"/>
      <c r="F95" s="382">
        <f>ROUNDUP((C96/0.2),0.1)+1</f>
        <v>59</v>
      </c>
      <c r="G95" s="382"/>
      <c r="H95" s="382">
        <v>2</v>
      </c>
      <c r="I95" s="382"/>
      <c r="J95" s="382"/>
      <c r="K95" s="382"/>
      <c r="L95" s="382">
        <f>10*10*0.006165</f>
        <v>0.61650000000000005</v>
      </c>
      <c r="M95" s="382"/>
      <c r="N95" s="382">
        <f>C95*F95*H95*L95</f>
        <v>403.74585000000002</v>
      </c>
      <c r="O95" s="617"/>
      <c r="P95" s="620"/>
    </row>
    <row r="96" spans="1:16" ht="15" customHeight="1">
      <c r="A96" s="384"/>
      <c r="B96" s="673" t="str">
        <f>B92</f>
        <v>Vertikal</v>
      </c>
      <c r="C96" s="382">
        <f>C92-0.15</f>
        <v>11.549999999999999</v>
      </c>
      <c r="D96" s="382"/>
      <c r="E96" s="382"/>
      <c r="F96" s="382">
        <f>ROUNDUP((C95/0.2),0.1)+1</f>
        <v>29</v>
      </c>
      <c r="G96" s="382"/>
      <c r="H96" s="382">
        <f>H95</f>
        <v>2</v>
      </c>
      <c r="I96" s="382"/>
      <c r="J96" s="382"/>
      <c r="K96" s="382"/>
      <c r="L96" s="382">
        <f>L95</f>
        <v>0.61650000000000005</v>
      </c>
      <c r="M96" s="382"/>
      <c r="N96" s="624">
        <f>C96*F96*H96*L96</f>
        <v>412.99335000000002</v>
      </c>
      <c r="O96" s="617"/>
      <c r="P96" s="620"/>
    </row>
    <row r="97" spans="1:16" ht="15" customHeight="1">
      <c r="A97" s="384"/>
      <c r="B97" s="379"/>
      <c r="C97" s="382"/>
      <c r="D97" s="382"/>
      <c r="E97" s="382"/>
      <c r="F97" s="382"/>
      <c r="G97" s="382"/>
      <c r="H97" s="382"/>
      <c r="I97" s="382"/>
      <c r="J97" s="382"/>
      <c r="K97" s="382"/>
      <c r="L97" s="382"/>
      <c r="M97" s="382"/>
      <c r="N97" s="431">
        <f>SUM(N95:N96)</f>
        <v>816.73919999999998</v>
      </c>
      <c r="O97" s="617" t="s">
        <v>100</v>
      </c>
      <c r="P97" s="620">
        <f>ROUND((N97),2)</f>
        <v>816.74</v>
      </c>
    </row>
    <row r="98" spans="1:16" ht="15" customHeight="1">
      <c r="A98" s="384" t="s">
        <v>217</v>
      </c>
      <c r="B98" s="379" t="s">
        <v>420</v>
      </c>
      <c r="C98" s="382">
        <f>C92</f>
        <v>11.7</v>
      </c>
      <c r="D98" s="382">
        <f>C91</f>
        <v>5.7</v>
      </c>
      <c r="E98" s="382">
        <v>0.15</v>
      </c>
      <c r="F98" s="382"/>
      <c r="G98" s="382"/>
      <c r="H98" s="382"/>
      <c r="I98" s="382"/>
      <c r="J98" s="382"/>
      <c r="K98" s="382"/>
      <c r="L98" s="382"/>
      <c r="M98" s="382"/>
      <c r="N98" s="382">
        <f>C98*D98*E98</f>
        <v>10.003499999999999</v>
      </c>
      <c r="O98" s="617" t="s">
        <v>103</v>
      </c>
      <c r="P98" s="620">
        <f>ROUND((N98),2)</f>
        <v>10</v>
      </c>
    </row>
    <row r="99" spans="1:16" s="665" customFormat="1" ht="15" hidden="1" customHeight="1">
      <c r="A99" s="639">
        <f>A85+1</f>
        <v>6</v>
      </c>
      <c r="B99" s="638" t="s">
        <v>1071</v>
      </c>
      <c r="C99" s="627"/>
      <c r="D99" s="627"/>
      <c r="E99" s="627"/>
      <c r="F99" s="627"/>
      <c r="G99" s="627"/>
      <c r="H99" s="627"/>
      <c r="I99" s="627"/>
      <c r="J99" s="627"/>
      <c r="K99" s="627"/>
      <c r="L99" s="627"/>
      <c r="M99" s="627"/>
      <c r="N99" s="628"/>
      <c r="O99" s="629"/>
      <c r="P99" s="630"/>
    </row>
    <row r="100" spans="1:16" s="665" customFormat="1" ht="15" hidden="1" customHeight="1">
      <c r="A100" s="642" t="s">
        <v>95</v>
      </c>
      <c r="B100" s="638" t="s">
        <v>1072</v>
      </c>
      <c r="C100" s="627">
        <v>6</v>
      </c>
      <c r="D100" s="627">
        <v>1.5</v>
      </c>
      <c r="E100" s="627">
        <f>5-E102-E103</f>
        <v>4.83</v>
      </c>
      <c r="F100" s="627"/>
      <c r="G100" s="627"/>
      <c r="H100" s="627"/>
      <c r="I100" s="627"/>
      <c r="J100" s="627"/>
      <c r="K100" s="627"/>
      <c r="L100" s="627"/>
      <c r="M100" s="627"/>
      <c r="N100" s="628">
        <f>C100*D100*E100</f>
        <v>43.47</v>
      </c>
      <c r="O100" s="629" t="s">
        <v>103</v>
      </c>
      <c r="P100" s="630">
        <f>ROUND((N100),2)</f>
        <v>43.47</v>
      </c>
    </row>
    <row r="101" spans="1:16" s="665" customFormat="1" ht="15" hidden="1" customHeight="1">
      <c r="A101" s="642" t="s">
        <v>98</v>
      </c>
      <c r="B101" s="638" t="s">
        <v>475</v>
      </c>
      <c r="C101" s="627"/>
      <c r="D101" s="627"/>
      <c r="E101" s="627"/>
      <c r="F101" s="627"/>
      <c r="G101" s="627"/>
      <c r="H101" s="627"/>
      <c r="I101" s="627"/>
      <c r="J101" s="627"/>
      <c r="K101" s="627"/>
      <c r="L101" s="627"/>
      <c r="M101" s="627"/>
      <c r="N101" s="628">
        <f>N100</f>
        <v>43.47</v>
      </c>
      <c r="O101" s="629" t="s">
        <v>103</v>
      </c>
      <c r="P101" s="630">
        <f>ROUND((N101),2)</f>
        <v>43.47</v>
      </c>
    </row>
    <row r="102" spans="1:16" s="665" customFormat="1" ht="15" hidden="1" customHeight="1">
      <c r="A102" s="642" t="s">
        <v>101</v>
      </c>
      <c r="B102" s="638" t="s">
        <v>1073</v>
      </c>
      <c r="C102" s="627">
        <f>C100</f>
        <v>6</v>
      </c>
      <c r="D102" s="627">
        <f>D100</f>
        <v>1.5</v>
      </c>
      <c r="E102" s="627">
        <v>0.1</v>
      </c>
      <c r="F102" s="627"/>
      <c r="G102" s="627"/>
      <c r="H102" s="627"/>
      <c r="I102" s="627"/>
      <c r="J102" s="627"/>
      <c r="K102" s="627"/>
      <c r="L102" s="627"/>
      <c r="M102" s="627"/>
      <c r="N102" s="628">
        <f>C102*D102*E102</f>
        <v>0.9</v>
      </c>
      <c r="O102" s="629" t="s">
        <v>103</v>
      </c>
      <c r="P102" s="630">
        <f>ROUND((N102),2)</f>
        <v>0.9</v>
      </c>
    </row>
    <row r="103" spans="1:16" s="665" customFormat="1" ht="15" hidden="1" customHeight="1">
      <c r="A103" s="642" t="s">
        <v>121</v>
      </c>
      <c r="B103" s="638" t="s">
        <v>1074</v>
      </c>
      <c r="C103" s="627">
        <f>C100</f>
        <v>6</v>
      </c>
      <c r="D103" s="627">
        <f>D100</f>
        <v>1.5</v>
      </c>
      <c r="E103" s="627">
        <v>7.0000000000000007E-2</v>
      </c>
      <c r="F103" s="627"/>
      <c r="G103" s="627"/>
      <c r="H103" s="627"/>
      <c r="I103" s="627"/>
      <c r="J103" s="627"/>
      <c r="K103" s="627"/>
      <c r="L103" s="627"/>
      <c r="M103" s="627"/>
      <c r="N103" s="628">
        <f>C103*D103*E103</f>
        <v>0.63000000000000012</v>
      </c>
      <c r="O103" s="629" t="s">
        <v>103</v>
      </c>
      <c r="P103" s="630">
        <f>ROUND((N103),2)</f>
        <v>0.63</v>
      </c>
    </row>
    <row r="104" spans="1:16" ht="15" customHeight="1">
      <c r="A104" s="372">
        <f>A85+1</f>
        <v>6</v>
      </c>
      <c r="B104" s="351" t="s">
        <v>437</v>
      </c>
      <c r="C104" s="382"/>
      <c r="D104" s="382"/>
      <c r="E104" s="382"/>
      <c r="F104" s="382"/>
      <c r="G104" s="382"/>
      <c r="H104" s="382"/>
      <c r="I104" s="382"/>
      <c r="J104" s="382"/>
      <c r="K104" s="382"/>
      <c r="L104" s="382"/>
      <c r="M104" s="382"/>
      <c r="N104" s="431"/>
      <c r="O104" s="617"/>
      <c r="P104" s="620"/>
    </row>
    <row r="105" spans="1:16" ht="15" customHeight="1">
      <c r="A105" s="355" t="s">
        <v>95</v>
      </c>
      <c r="B105" s="351" t="s">
        <v>438</v>
      </c>
      <c r="C105" s="382"/>
      <c r="D105" s="382"/>
      <c r="E105" s="382"/>
      <c r="F105" s="382"/>
      <c r="G105" s="382"/>
      <c r="H105" s="382"/>
      <c r="I105" s="382"/>
      <c r="J105" s="382"/>
      <c r="K105" s="382"/>
      <c r="L105" s="382"/>
      <c r="M105" s="382"/>
      <c r="N105" s="431"/>
      <c r="O105" s="617"/>
      <c r="P105" s="620"/>
    </row>
    <row r="106" spans="1:16" ht="15" customHeight="1">
      <c r="A106" s="355"/>
      <c r="B106" s="589" t="s">
        <v>1020</v>
      </c>
      <c r="C106" s="382">
        <f>2+(0.3*2)</f>
        <v>2.6</v>
      </c>
      <c r="D106" s="382">
        <v>0.12</v>
      </c>
      <c r="E106" s="382">
        <v>0.2</v>
      </c>
      <c r="F106" s="382"/>
      <c r="G106" s="382"/>
      <c r="H106" s="382"/>
      <c r="I106" s="382"/>
      <c r="J106" s="382"/>
      <c r="K106" s="382"/>
      <c r="L106" s="382"/>
      <c r="M106" s="382"/>
      <c r="N106" s="431">
        <f>C106*D106*E106</f>
        <v>6.2400000000000004E-2</v>
      </c>
      <c r="O106" s="617"/>
      <c r="P106" s="620"/>
    </row>
    <row r="107" spans="1:16" ht="15" customHeight="1">
      <c r="A107" s="355"/>
      <c r="B107" s="589" t="s">
        <v>1021</v>
      </c>
      <c r="C107" s="382">
        <f>C106</f>
        <v>2.6</v>
      </c>
      <c r="D107" s="382">
        <f>D106</f>
        <v>0.12</v>
      </c>
      <c r="E107" s="382">
        <f>E106</f>
        <v>0.2</v>
      </c>
      <c r="F107" s="382"/>
      <c r="G107" s="382"/>
      <c r="H107" s="382"/>
      <c r="I107" s="382"/>
      <c r="J107" s="382"/>
      <c r="K107" s="382"/>
      <c r="L107" s="382"/>
      <c r="M107" s="382"/>
      <c r="N107" s="624">
        <f>C107*D107*E107</f>
        <v>6.2400000000000004E-2</v>
      </c>
      <c r="O107" s="617"/>
      <c r="P107" s="620"/>
    </row>
    <row r="108" spans="1:16" ht="15" customHeight="1">
      <c r="A108" s="355"/>
      <c r="B108" s="351"/>
      <c r="C108" s="382"/>
      <c r="D108" s="382"/>
      <c r="E108" s="382"/>
      <c r="F108" s="382"/>
      <c r="G108" s="382"/>
      <c r="H108" s="382"/>
      <c r="I108" s="382"/>
      <c r="J108" s="382"/>
      <c r="K108" s="382"/>
      <c r="L108" s="382"/>
      <c r="M108" s="382"/>
      <c r="N108" s="431">
        <f>SUM(N106:N107)</f>
        <v>0.12480000000000001</v>
      </c>
      <c r="O108" s="617" t="s">
        <v>103</v>
      </c>
      <c r="P108" s="620">
        <f>ROUND((N108),2)</f>
        <v>0.12</v>
      </c>
    </row>
    <row r="109" spans="1:16" ht="15" customHeight="1">
      <c r="A109" s="355" t="s">
        <v>98</v>
      </c>
      <c r="B109" s="351" t="s">
        <v>439</v>
      </c>
      <c r="C109" s="382"/>
      <c r="D109" s="382"/>
      <c r="E109" s="382"/>
      <c r="F109" s="382"/>
      <c r="G109" s="382"/>
      <c r="H109" s="382"/>
      <c r="I109" s="382"/>
      <c r="J109" s="382"/>
      <c r="K109" s="382"/>
      <c r="L109" s="382"/>
      <c r="M109" s="382"/>
      <c r="N109" s="431"/>
      <c r="O109" s="617"/>
      <c r="P109" s="620"/>
    </row>
    <row r="110" spans="1:16" ht="15" customHeight="1">
      <c r="A110" s="355"/>
      <c r="B110" s="589" t="str">
        <f>B106</f>
        <v>trap 1</v>
      </c>
      <c r="C110" s="382">
        <f>C106</f>
        <v>2.6</v>
      </c>
      <c r="D110" s="382"/>
      <c r="E110" s="382">
        <f>0.165+E106</f>
        <v>0.36499999999999999</v>
      </c>
      <c r="F110" s="382"/>
      <c r="G110" s="382"/>
      <c r="H110" s="382"/>
      <c r="I110" s="382"/>
      <c r="J110" s="382"/>
      <c r="K110" s="382"/>
      <c r="L110" s="382"/>
      <c r="M110" s="382"/>
      <c r="N110" s="431">
        <f>C110*E110</f>
        <v>0.94899999999999995</v>
      </c>
      <c r="O110" s="617"/>
      <c r="P110" s="620"/>
    </row>
    <row r="111" spans="1:16" ht="15" customHeight="1">
      <c r="A111" s="355"/>
      <c r="B111" s="589" t="str">
        <f>B107</f>
        <v>trap 2</v>
      </c>
      <c r="C111" s="382">
        <f>C107</f>
        <v>2.6</v>
      </c>
      <c r="D111" s="382"/>
      <c r="E111" s="382">
        <f>(0.165*2)+E107</f>
        <v>0.53</v>
      </c>
      <c r="F111" s="382"/>
      <c r="G111" s="382"/>
      <c r="H111" s="382"/>
      <c r="I111" s="382"/>
      <c r="J111" s="382"/>
      <c r="K111" s="382"/>
      <c r="L111" s="382"/>
      <c r="M111" s="382"/>
      <c r="N111" s="624">
        <f>C111*E111</f>
        <v>1.3780000000000001</v>
      </c>
      <c r="O111" s="617"/>
      <c r="P111" s="620"/>
    </row>
    <row r="112" spans="1:16" ht="15" customHeight="1">
      <c r="A112" s="355"/>
      <c r="B112" s="351"/>
      <c r="C112" s="382"/>
      <c r="D112" s="382"/>
      <c r="E112" s="382"/>
      <c r="F112" s="382"/>
      <c r="G112" s="382"/>
      <c r="H112" s="382"/>
      <c r="I112" s="382"/>
      <c r="J112" s="382"/>
      <c r="K112" s="382"/>
      <c r="L112" s="382"/>
      <c r="M112" s="382"/>
      <c r="N112" s="431">
        <f>SUM(N110:N111)</f>
        <v>2.327</v>
      </c>
      <c r="O112" s="617" t="s">
        <v>103</v>
      </c>
      <c r="P112" s="620">
        <f>ROUND((N112),2)</f>
        <v>2.33</v>
      </c>
    </row>
    <row r="113" spans="1:16" ht="15" customHeight="1">
      <c r="A113" s="355" t="s">
        <v>101</v>
      </c>
      <c r="B113" s="351" t="s">
        <v>440</v>
      </c>
      <c r="C113" s="382"/>
      <c r="D113" s="382"/>
      <c r="E113" s="382"/>
      <c r="F113" s="382"/>
      <c r="G113" s="382"/>
      <c r="H113" s="382"/>
      <c r="I113" s="382"/>
      <c r="J113" s="382"/>
      <c r="K113" s="382"/>
      <c r="L113" s="382"/>
      <c r="M113" s="382"/>
      <c r="N113" s="431"/>
      <c r="O113" s="617"/>
      <c r="P113" s="620"/>
    </row>
    <row r="114" spans="1:16" ht="15" customHeight="1">
      <c r="A114" s="355"/>
      <c r="B114" s="589" t="str">
        <f>B110</f>
        <v>trap 1</v>
      </c>
      <c r="C114" s="382">
        <v>2</v>
      </c>
      <c r="D114" s="382">
        <v>0.3</v>
      </c>
      <c r="E114" s="382">
        <f>E110-E106-E118-E122</f>
        <v>6.4999999999999974E-2</v>
      </c>
      <c r="F114" s="382"/>
      <c r="G114" s="382"/>
      <c r="H114" s="382"/>
      <c r="I114" s="382"/>
      <c r="J114" s="382"/>
      <c r="K114" s="382"/>
      <c r="L114" s="382"/>
      <c r="M114" s="382"/>
      <c r="N114" s="431">
        <f>C114*D114*E114</f>
        <v>3.8999999999999986E-2</v>
      </c>
      <c r="O114" s="617"/>
      <c r="P114" s="620"/>
    </row>
    <row r="115" spans="1:16" ht="15" customHeight="1">
      <c r="A115" s="355"/>
      <c r="B115" s="589" t="str">
        <f>B111</f>
        <v>trap 2</v>
      </c>
      <c r="C115" s="382">
        <f>C114</f>
        <v>2</v>
      </c>
      <c r="D115" s="382">
        <f>D114</f>
        <v>0.3</v>
      </c>
      <c r="E115" s="382">
        <f>E111-E107-E119-E123</f>
        <v>0.23000000000000004</v>
      </c>
      <c r="F115" s="382"/>
      <c r="G115" s="382"/>
      <c r="H115" s="382"/>
      <c r="I115" s="382"/>
      <c r="J115" s="382"/>
      <c r="K115" s="382"/>
      <c r="L115" s="382"/>
      <c r="M115" s="382"/>
      <c r="N115" s="624">
        <f>C115*D115*E115</f>
        <v>0.13800000000000001</v>
      </c>
      <c r="O115" s="617"/>
      <c r="P115" s="620"/>
    </row>
    <row r="116" spans="1:16" ht="15" customHeight="1">
      <c r="A116" s="355"/>
      <c r="B116" s="351"/>
      <c r="C116" s="382"/>
      <c r="D116" s="382"/>
      <c r="E116" s="382"/>
      <c r="F116" s="382"/>
      <c r="G116" s="382"/>
      <c r="H116" s="382"/>
      <c r="I116" s="382"/>
      <c r="J116" s="382"/>
      <c r="K116" s="382"/>
      <c r="L116" s="382"/>
      <c r="M116" s="382"/>
      <c r="N116" s="431">
        <f>SUM(N114:N115)</f>
        <v>0.17699999999999999</v>
      </c>
      <c r="O116" s="617" t="s">
        <v>103</v>
      </c>
      <c r="P116" s="620">
        <f>ROUND((N116),2)</f>
        <v>0.18</v>
      </c>
    </row>
    <row r="117" spans="1:16" ht="15" customHeight="1">
      <c r="A117" s="355" t="s">
        <v>121</v>
      </c>
      <c r="B117" s="351" t="s">
        <v>441</v>
      </c>
      <c r="C117" s="382"/>
      <c r="D117" s="382"/>
      <c r="E117" s="382"/>
      <c r="F117" s="382"/>
      <c r="G117" s="382"/>
      <c r="H117" s="382"/>
      <c r="I117" s="382"/>
      <c r="J117" s="382"/>
      <c r="K117" s="382"/>
      <c r="L117" s="382"/>
      <c r="M117" s="382"/>
      <c r="N117" s="431"/>
      <c r="O117" s="617"/>
      <c r="P117" s="620"/>
    </row>
    <row r="118" spans="1:16" ht="15" customHeight="1">
      <c r="A118" s="355"/>
      <c r="B118" s="589" t="str">
        <f>B114</f>
        <v>trap 1</v>
      </c>
      <c r="C118" s="382">
        <f>C114</f>
        <v>2</v>
      </c>
      <c r="D118" s="382">
        <f>D114</f>
        <v>0.3</v>
      </c>
      <c r="E118" s="382">
        <v>0.03</v>
      </c>
      <c r="F118" s="382"/>
      <c r="G118" s="382"/>
      <c r="H118" s="382"/>
      <c r="I118" s="382"/>
      <c r="J118" s="382"/>
      <c r="K118" s="382"/>
      <c r="L118" s="382"/>
      <c r="M118" s="382"/>
      <c r="N118" s="431">
        <f>C118*D118*E118</f>
        <v>1.7999999999999999E-2</v>
      </c>
      <c r="O118" s="617"/>
      <c r="P118" s="620"/>
    </row>
    <row r="119" spans="1:16" ht="15" customHeight="1">
      <c r="A119" s="355"/>
      <c r="B119" s="589" t="str">
        <f>B115</f>
        <v>trap 2</v>
      </c>
      <c r="C119" s="382">
        <f>C118</f>
        <v>2</v>
      </c>
      <c r="D119" s="382">
        <f>D118</f>
        <v>0.3</v>
      </c>
      <c r="E119" s="382">
        <f>E118</f>
        <v>0.03</v>
      </c>
      <c r="F119" s="382"/>
      <c r="G119" s="382"/>
      <c r="H119" s="382"/>
      <c r="I119" s="382"/>
      <c r="J119" s="382"/>
      <c r="K119" s="382"/>
      <c r="L119" s="382"/>
      <c r="M119" s="382"/>
      <c r="N119" s="624">
        <f>C119*D119*E119</f>
        <v>1.7999999999999999E-2</v>
      </c>
      <c r="O119" s="617"/>
      <c r="P119" s="620"/>
    </row>
    <row r="120" spans="1:16" ht="15" customHeight="1">
      <c r="A120" s="355"/>
      <c r="B120" s="351"/>
      <c r="C120" s="382"/>
      <c r="D120" s="382"/>
      <c r="E120" s="382"/>
      <c r="F120" s="382"/>
      <c r="G120" s="382"/>
      <c r="H120" s="382"/>
      <c r="I120" s="382"/>
      <c r="J120" s="382"/>
      <c r="K120" s="382"/>
      <c r="L120" s="382"/>
      <c r="M120" s="382"/>
      <c r="N120" s="431">
        <f>SUM(N118:N119)</f>
        <v>3.5999999999999997E-2</v>
      </c>
      <c r="O120" s="617" t="s">
        <v>103</v>
      </c>
      <c r="P120" s="620">
        <f>ROUND((N120),2)</f>
        <v>0.04</v>
      </c>
    </row>
    <row r="121" spans="1:16" ht="15" customHeight="1">
      <c r="A121" s="355" t="s">
        <v>142</v>
      </c>
      <c r="B121" s="351" t="s">
        <v>192</v>
      </c>
      <c r="C121" s="382"/>
      <c r="D121" s="382"/>
      <c r="E121" s="382"/>
      <c r="F121" s="382"/>
      <c r="G121" s="382"/>
      <c r="H121" s="382"/>
      <c r="I121" s="382"/>
      <c r="J121" s="382"/>
      <c r="K121" s="382"/>
      <c r="L121" s="382"/>
      <c r="M121" s="382"/>
      <c r="N121" s="431"/>
      <c r="O121" s="617"/>
      <c r="P121" s="620"/>
    </row>
    <row r="122" spans="1:16" ht="15" customHeight="1">
      <c r="A122" s="355"/>
      <c r="B122" s="589" t="str">
        <f>B118</f>
        <v>trap 1</v>
      </c>
      <c r="C122" s="382">
        <f>C118</f>
        <v>2</v>
      </c>
      <c r="D122" s="382">
        <f>D118</f>
        <v>0.3</v>
      </c>
      <c r="E122" s="382">
        <v>7.0000000000000007E-2</v>
      </c>
      <c r="F122" s="382"/>
      <c r="G122" s="382"/>
      <c r="H122" s="382"/>
      <c r="I122" s="382"/>
      <c r="J122" s="382"/>
      <c r="K122" s="382"/>
      <c r="L122" s="382"/>
      <c r="M122" s="382"/>
      <c r="N122" s="431">
        <f>C122*D122*E122</f>
        <v>4.2000000000000003E-2</v>
      </c>
      <c r="O122" s="617"/>
      <c r="P122" s="620"/>
    </row>
    <row r="123" spans="1:16" ht="15" customHeight="1">
      <c r="A123" s="355"/>
      <c r="B123" s="589" t="str">
        <f>B119</f>
        <v>trap 2</v>
      </c>
      <c r="C123" s="382">
        <f>C122</f>
        <v>2</v>
      </c>
      <c r="D123" s="382">
        <f>D122</f>
        <v>0.3</v>
      </c>
      <c r="E123" s="382">
        <f>E122</f>
        <v>7.0000000000000007E-2</v>
      </c>
      <c r="F123" s="382"/>
      <c r="G123" s="382"/>
      <c r="H123" s="382"/>
      <c r="I123" s="382"/>
      <c r="J123" s="382"/>
      <c r="K123" s="382"/>
      <c r="L123" s="382"/>
      <c r="M123" s="382"/>
      <c r="N123" s="624">
        <f>C123*D123*E123</f>
        <v>4.2000000000000003E-2</v>
      </c>
      <c r="O123" s="617"/>
      <c r="P123" s="620"/>
    </row>
    <row r="124" spans="1:16" ht="15" customHeight="1">
      <c r="A124" s="355"/>
      <c r="B124" s="351"/>
      <c r="C124" s="382"/>
      <c r="D124" s="382"/>
      <c r="E124" s="382"/>
      <c r="F124" s="382"/>
      <c r="G124" s="382"/>
      <c r="H124" s="382"/>
      <c r="I124" s="382"/>
      <c r="J124" s="382"/>
      <c r="K124" s="382"/>
      <c r="L124" s="382"/>
      <c r="M124" s="382"/>
      <c r="N124" s="431">
        <f>SUM(N122:N123)</f>
        <v>8.4000000000000005E-2</v>
      </c>
      <c r="O124" s="617" t="s">
        <v>103</v>
      </c>
      <c r="P124" s="620">
        <f>ROUND((N124),2)</f>
        <v>0.08</v>
      </c>
    </row>
    <row r="125" spans="1:16" ht="15" customHeight="1">
      <c r="A125" s="355" t="s">
        <v>217</v>
      </c>
      <c r="B125" s="351" t="s">
        <v>442</v>
      </c>
      <c r="C125" s="382"/>
      <c r="D125" s="382"/>
      <c r="E125" s="382"/>
      <c r="F125" s="382"/>
      <c r="G125" s="382"/>
      <c r="H125" s="382"/>
      <c r="I125" s="382"/>
      <c r="J125" s="382"/>
      <c r="K125" s="382"/>
      <c r="L125" s="382"/>
      <c r="M125" s="382"/>
      <c r="N125" s="431"/>
      <c r="O125" s="617"/>
      <c r="P125" s="620"/>
    </row>
    <row r="126" spans="1:16" ht="15" customHeight="1">
      <c r="A126" s="355"/>
      <c r="B126" s="351"/>
      <c r="C126" s="382">
        <f>C114</f>
        <v>2</v>
      </c>
      <c r="D126" s="382"/>
      <c r="E126" s="382">
        <v>0.16500000000000001</v>
      </c>
      <c r="F126" s="382"/>
      <c r="G126" s="382"/>
      <c r="H126" s="382">
        <v>2</v>
      </c>
      <c r="I126" s="382"/>
      <c r="J126" s="382"/>
      <c r="K126" s="382"/>
      <c r="L126" s="382"/>
      <c r="M126" s="382"/>
      <c r="N126" s="431">
        <f>C126*E126*H126</f>
        <v>0.66</v>
      </c>
      <c r="O126" s="617"/>
      <c r="P126" s="620"/>
    </row>
    <row r="127" spans="1:16" ht="15" customHeight="1">
      <c r="A127" s="355"/>
      <c r="B127" s="351"/>
      <c r="C127" s="382"/>
      <c r="D127" s="382">
        <f>D114</f>
        <v>0.3</v>
      </c>
      <c r="E127" s="382">
        <v>0.16500000000000001</v>
      </c>
      <c r="F127" s="382"/>
      <c r="G127" s="382"/>
      <c r="H127" s="382">
        <v>2</v>
      </c>
      <c r="I127" s="382"/>
      <c r="J127" s="382"/>
      <c r="K127" s="382"/>
      <c r="L127" s="382"/>
      <c r="M127" s="382"/>
      <c r="N127" s="431">
        <f>D127*E127*H127</f>
        <v>9.9000000000000005E-2</v>
      </c>
      <c r="O127" s="617"/>
      <c r="P127" s="620"/>
    </row>
    <row r="128" spans="1:16" ht="15" customHeight="1">
      <c r="A128" s="355"/>
      <c r="B128" s="351"/>
      <c r="C128" s="382"/>
      <c r="D128" s="382">
        <f>D127</f>
        <v>0.3</v>
      </c>
      <c r="E128" s="382">
        <f>0.165*2</f>
        <v>0.33</v>
      </c>
      <c r="F128" s="382"/>
      <c r="G128" s="382"/>
      <c r="H128" s="382">
        <f>H127</f>
        <v>2</v>
      </c>
      <c r="I128" s="382"/>
      <c r="J128" s="382"/>
      <c r="K128" s="382"/>
      <c r="L128" s="382"/>
      <c r="M128" s="382"/>
      <c r="N128" s="624">
        <f>D128*E128*H128</f>
        <v>0.19800000000000001</v>
      </c>
      <c r="O128" s="617"/>
      <c r="P128" s="620"/>
    </row>
    <row r="129" spans="1:24" ht="15" customHeight="1">
      <c r="A129" s="355"/>
      <c r="B129" s="351"/>
      <c r="C129" s="382"/>
      <c r="D129" s="382"/>
      <c r="E129" s="382"/>
      <c r="F129" s="382"/>
      <c r="G129" s="382"/>
      <c r="H129" s="382"/>
      <c r="I129" s="382"/>
      <c r="J129" s="382"/>
      <c r="K129" s="382"/>
      <c r="L129" s="382"/>
      <c r="M129" s="382"/>
      <c r="N129" s="431">
        <f>SUM(N126:N128)</f>
        <v>0.95700000000000007</v>
      </c>
      <c r="O129" s="617" t="s">
        <v>89</v>
      </c>
      <c r="P129" s="620">
        <f>ROUND((N129),2)</f>
        <v>0.96</v>
      </c>
    </row>
    <row r="130" spans="1:24" ht="15" customHeight="1">
      <c r="A130" s="355" t="s">
        <v>366</v>
      </c>
      <c r="B130" s="351" t="s">
        <v>194</v>
      </c>
      <c r="C130" s="382"/>
      <c r="D130" s="382"/>
      <c r="E130" s="382"/>
      <c r="F130" s="382"/>
      <c r="G130" s="382"/>
      <c r="H130" s="382"/>
      <c r="I130" s="382"/>
      <c r="J130" s="382"/>
      <c r="K130" s="382"/>
      <c r="L130" s="382"/>
      <c r="M130" s="382"/>
      <c r="N130" s="431"/>
      <c r="O130" s="617"/>
      <c r="P130" s="620"/>
    </row>
    <row r="131" spans="1:24" ht="15" customHeight="1">
      <c r="A131" s="355"/>
      <c r="B131" s="589" t="s">
        <v>1022</v>
      </c>
      <c r="C131" s="382"/>
      <c r="D131" s="382"/>
      <c r="E131" s="382"/>
      <c r="F131" s="382"/>
      <c r="G131" s="382"/>
      <c r="H131" s="382"/>
      <c r="I131" s="382"/>
      <c r="J131" s="382"/>
      <c r="K131" s="382"/>
      <c r="L131" s="382"/>
      <c r="M131" s="382"/>
      <c r="N131" s="431">
        <f>N129</f>
        <v>0.95700000000000007</v>
      </c>
      <c r="O131" s="617"/>
      <c r="P131" s="620"/>
    </row>
    <row r="132" spans="1:24" ht="15" customHeight="1">
      <c r="A132" s="355"/>
      <c r="B132" s="589" t="s">
        <v>1061</v>
      </c>
      <c r="C132" s="382">
        <f>C122</f>
        <v>2</v>
      </c>
      <c r="D132" s="382">
        <f>D122</f>
        <v>0.3</v>
      </c>
      <c r="E132" s="382"/>
      <c r="F132" s="382"/>
      <c r="G132" s="382"/>
      <c r="H132" s="382">
        <f>H126</f>
        <v>2</v>
      </c>
      <c r="I132" s="382"/>
      <c r="J132" s="382"/>
      <c r="K132" s="382"/>
      <c r="L132" s="382"/>
      <c r="M132" s="382"/>
      <c r="N132" s="624">
        <f>C132*D132*H132</f>
        <v>1.2</v>
      </c>
      <c r="O132" s="617"/>
      <c r="P132" s="620"/>
    </row>
    <row r="133" spans="1:24" ht="15" customHeight="1">
      <c r="A133" s="355"/>
      <c r="B133" s="351"/>
      <c r="C133" s="382"/>
      <c r="D133" s="382"/>
      <c r="E133" s="382"/>
      <c r="F133" s="382"/>
      <c r="G133" s="382"/>
      <c r="H133" s="382"/>
      <c r="I133" s="382"/>
      <c r="J133" s="382"/>
      <c r="K133" s="382"/>
      <c r="L133" s="382"/>
      <c r="M133" s="382"/>
      <c r="N133" s="431">
        <f>SUM(N131:N132)</f>
        <v>2.157</v>
      </c>
      <c r="O133" s="617" t="s">
        <v>89</v>
      </c>
      <c r="P133" s="620">
        <f>ROUND((N133),2)</f>
        <v>2.16</v>
      </c>
    </row>
    <row r="134" spans="1:24" s="623" customFormat="1" ht="15.75" customHeight="1">
      <c r="A134" s="373">
        <f>A104+1</f>
        <v>7</v>
      </c>
      <c r="B134" s="374" t="s">
        <v>487</v>
      </c>
      <c r="C134" s="382"/>
      <c r="D134" s="382"/>
      <c r="E134" s="382"/>
      <c r="F134" s="382"/>
      <c r="G134" s="382"/>
      <c r="H134" s="382"/>
      <c r="I134" s="382"/>
      <c r="J134" s="382"/>
      <c r="K134" s="382"/>
      <c r="L134" s="382"/>
      <c r="M134" s="382"/>
      <c r="N134" s="431"/>
      <c r="O134" s="617"/>
      <c r="P134" s="620"/>
      <c r="Q134" s="386"/>
      <c r="R134" s="386"/>
      <c r="S134" s="386"/>
      <c r="T134" s="386"/>
      <c r="U134" s="621"/>
      <c r="V134" s="622"/>
      <c r="W134" s="622"/>
      <c r="X134" s="622"/>
    </row>
    <row r="135" spans="1:24" s="623" customFormat="1" ht="15.75" customHeight="1">
      <c r="A135" s="375" t="s">
        <v>95</v>
      </c>
      <c r="B135" s="374" t="s">
        <v>488</v>
      </c>
      <c r="C135" s="382">
        <v>10</v>
      </c>
      <c r="D135" s="382"/>
      <c r="E135" s="382">
        <v>0.1</v>
      </c>
      <c r="F135" s="382"/>
      <c r="G135" s="382"/>
      <c r="H135" s="382">
        <v>2</v>
      </c>
      <c r="I135" s="382"/>
      <c r="J135" s="382"/>
      <c r="K135" s="382"/>
      <c r="L135" s="382"/>
      <c r="M135" s="382"/>
      <c r="N135" s="431">
        <f>C135*E135*H135</f>
        <v>2</v>
      </c>
      <c r="O135" s="617"/>
      <c r="P135" s="620"/>
      <c r="Q135" s="386"/>
      <c r="R135" s="386"/>
      <c r="S135" s="386"/>
      <c r="T135" s="386"/>
      <c r="U135" s="621"/>
      <c r="V135" s="622"/>
      <c r="W135" s="622"/>
      <c r="X135" s="622"/>
    </row>
    <row r="136" spans="1:24" s="623" customFormat="1" ht="15.75" customHeight="1">
      <c r="A136" s="375"/>
      <c r="B136" s="374"/>
      <c r="C136" s="382">
        <v>5</v>
      </c>
      <c r="D136" s="382"/>
      <c r="E136" s="382">
        <f>E135</f>
        <v>0.1</v>
      </c>
      <c r="F136" s="382"/>
      <c r="G136" s="382"/>
      <c r="H136" s="382">
        <f>H135</f>
        <v>2</v>
      </c>
      <c r="I136" s="382"/>
      <c r="J136" s="382"/>
      <c r="K136" s="382"/>
      <c r="L136" s="382"/>
      <c r="M136" s="382"/>
      <c r="N136" s="624">
        <f>C136*E136*H136</f>
        <v>1</v>
      </c>
      <c r="O136" s="617"/>
      <c r="P136" s="620"/>
      <c r="Q136" s="386"/>
      <c r="R136" s="386"/>
      <c r="S136" s="386"/>
      <c r="T136" s="386"/>
      <c r="U136" s="621"/>
      <c r="V136" s="622"/>
      <c r="W136" s="622"/>
      <c r="X136" s="622"/>
    </row>
    <row r="137" spans="1:24" s="623" customFormat="1" ht="15.75" customHeight="1">
      <c r="A137" s="375"/>
      <c r="B137" s="374"/>
      <c r="C137" s="382"/>
      <c r="D137" s="382"/>
      <c r="E137" s="382"/>
      <c r="F137" s="382"/>
      <c r="G137" s="382"/>
      <c r="H137" s="382"/>
      <c r="I137" s="382"/>
      <c r="J137" s="382"/>
      <c r="K137" s="382"/>
      <c r="L137" s="382"/>
      <c r="M137" s="382"/>
      <c r="N137" s="431">
        <f>SUM(N135:N136)</f>
        <v>3</v>
      </c>
      <c r="O137" s="617" t="s">
        <v>89</v>
      </c>
      <c r="P137" s="620">
        <f>ROUND((N137),2)</f>
        <v>3</v>
      </c>
      <c r="Q137" s="386"/>
      <c r="R137" s="386"/>
      <c r="S137" s="386"/>
      <c r="T137" s="386"/>
      <c r="U137" s="621"/>
      <c r="V137" s="622"/>
      <c r="W137" s="622"/>
      <c r="X137" s="622"/>
    </row>
    <row r="138" spans="1:24" s="623" customFormat="1" ht="15.75" customHeight="1">
      <c r="A138" s="375" t="s">
        <v>98</v>
      </c>
      <c r="B138" s="374" t="s">
        <v>193</v>
      </c>
      <c r="C138" s="382"/>
      <c r="D138" s="382"/>
      <c r="E138" s="382"/>
      <c r="F138" s="382"/>
      <c r="G138" s="382"/>
      <c r="H138" s="382"/>
      <c r="I138" s="382"/>
      <c r="J138" s="382"/>
      <c r="K138" s="382"/>
      <c r="L138" s="382"/>
      <c r="M138" s="382"/>
      <c r="N138" s="431"/>
      <c r="O138" s="617"/>
      <c r="P138" s="620"/>
      <c r="Q138" s="386"/>
      <c r="R138" s="386"/>
      <c r="S138" s="386"/>
      <c r="T138" s="386"/>
      <c r="U138" s="621"/>
      <c r="V138" s="622"/>
      <c r="W138" s="622"/>
      <c r="X138" s="622"/>
    </row>
    <row r="139" spans="1:24" s="623" customFormat="1" ht="15.75" customHeight="1">
      <c r="A139" s="375"/>
      <c r="B139" s="374"/>
      <c r="C139" s="382">
        <v>10</v>
      </c>
      <c r="D139" s="382"/>
      <c r="E139" s="382">
        <v>0.1</v>
      </c>
      <c r="F139" s="382"/>
      <c r="G139" s="382"/>
      <c r="H139" s="382">
        <v>2</v>
      </c>
      <c r="I139" s="382"/>
      <c r="J139" s="382"/>
      <c r="K139" s="382"/>
      <c r="L139" s="382"/>
      <c r="M139" s="382"/>
      <c r="N139" s="431">
        <f>C139*E139*H139</f>
        <v>2</v>
      </c>
      <c r="O139" s="617"/>
      <c r="P139" s="620"/>
      <c r="Q139" s="386"/>
      <c r="R139" s="386"/>
      <c r="S139" s="386"/>
      <c r="T139" s="386"/>
      <c r="U139" s="621"/>
      <c r="V139" s="622"/>
      <c r="W139" s="622"/>
      <c r="X139" s="622"/>
    </row>
    <row r="140" spans="1:24" s="623" customFormat="1" ht="15.75" customHeight="1">
      <c r="A140" s="375"/>
      <c r="B140" s="374"/>
      <c r="C140" s="382">
        <v>5</v>
      </c>
      <c r="D140" s="382"/>
      <c r="E140" s="382">
        <f>E139</f>
        <v>0.1</v>
      </c>
      <c r="F140" s="382"/>
      <c r="G140" s="382"/>
      <c r="H140" s="382">
        <f>H139</f>
        <v>2</v>
      </c>
      <c r="I140" s="382"/>
      <c r="J140" s="382"/>
      <c r="K140" s="382"/>
      <c r="L140" s="382"/>
      <c r="M140" s="382"/>
      <c r="N140" s="624">
        <f>C140*E140*H140</f>
        <v>1</v>
      </c>
      <c r="O140" s="617"/>
      <c r="P140" s="620"/>
      <c r="Q140" s="386"/>
      <c r="R140" s="386"/>
      <c r="S140" s="386"/>
      <c r="T140" s="386"/>
      <c r="U140" s="621"/>
      <c r="V140" s="622"/>
      <c r="W140" s="622"/>
      <c r="X140" s="622"/>
    </row>
    <row r="141" spans="1:24" s="623" customFormat="1" ht="15.75" customHeight="1">
      <c r="A141" s="375"/>
      <c r="B141" s="374"/>
      <c r="C141" s="382"/>
      <c r="D141" s="382"/>
      <c r="E141" s="382"/>
      <c r="F141" s="382"/>
      <c r="G141" s="382"/>
      <c r="H141" s="382"/>
      <c r="I141" s="382"/>
      <c r="J141" s="382"/>
      <c r="K141" s="382"/>
      <c r="L141" s="382"/>
      <c r="M141" s="382"/>
      <c r="N141" s="431">
        <f>SUM(N139:N140)</f>
        <v>3</v>
      </c>
      <c r="O141" s="617" t="s">
        <v>89</v>
      </c>
      <c r="P141" s="620">
        <f>ROUND((N141),2)</f>
        <v>3</v>
      </c>
      <c r="Q141" s="386"/>
      <c r="R141" s="386"/>
      <c r="S141" s="386"/>
      <c r="T141" s="386"/>
      <c r="U141" s="621"/>
      <c r="V141" s="622"/>
      <c r="W141" s="622"/>
      <c r="X141" s="622"/>
    </row>
    <row r="142" spans="1:24" s="623" customFormat="1" ht="15.75" customHeight="1">
      <c r="A142" s="375" t="s">
        <v>101</v>
      </c>
      <c r="B142" s="374" t="s">
        <v>194</v>
      </c>
      <c r="C142" s="382"/>
      <c r="D142" s="382"/>
      <c r="E142" s="382"/>
      <c r="F142" s="382"/>
      <c r="G142" s="382"/>
      <c r="H142" s="382"/>
      <c r="I142" s="382"/>
      <c r="J142" s="382"/>
      <c r="K142" s="382"/>
      <c r="L142" s="382"/>
      <c r="M142" s="382"/>
      <c r="N142" s="431">
        <f>N141</f>
        <v>3</v>
      </c>
      <c r="O142" s="617" t="s">
        <v>89</v>
      </c>
      <c r="P142" s="620">
        <f>ROUND((N142),2)</f>
        <v>3</v>
      </c>
      <c r="Q142" s="386"/>
      <c r="R142" s="386"/>
      <c r="S142" s="386"/>
      <c r="T142" s="386"/>
      <c r="U142" s="621"/>
      <c r="V142" s="622"/>
      <c r="W142" s="622"/>
      <c r="X142" s="622"/>
    </row>
    <row r="143" spans="1:24" s="623" customFormat="1" ht="15.75" customHeight="1">
      <c r="A143" s="376">
        <f>A134+1</f>
        <v>8</v>
      </c>
      <c r="B143" s="374" t="s">
        <v>489</v>
      </c>
      <c r="C143" s="382">
        <f>C135</f>
        <v>10</v>
      </c>
      <c r="D143" s="382">
        <f>C140</f>
        <v>5</v>
      </c>
      <c r="E143" s="382"/>
      <c r="F143" s="382"/>
      <c r="G143" s="382"/>
      <c r="H143" s="382"/>
      <c r="I143" s="382"/>
      <c r="J143" s="382"/>
      <c r="K143" s="382"/>
      <c r="L143" s="382"/>
      <c r="M143" s="382"/>
      <c r="N143" s="431">
        <f>C143*D143</f>
        <v>50</v>
      </c>
      <c r="O143" s="617" t="s">
        <v>89</v>
      </c>
      <c r="P143" s="620">
        <f>ROUND((N143),2)</f>
        <v>50</v>
      </c>
      <c r="Q143" s="386"/>
      <c r="R143" s="386"/>
      <c r="S143" s="386"/>
      <c r="T143" s="386"/>
      <c r="U143" s="621"/>
      <c r="V143" s="622"/>
      <c r="W143" s="622"/>
      <c r="X143" s="622"/>
    </row>
    <row r="144" spans="1:24" s="623" customFormat="1" ht="15.75" customHeight="1">
      <c r="A144" s="376"/>
      <c r="B144" s="374"/>
      <c r="C144" s="382"/>
      <c r="D144" s="382"/>
      <c r="E144" s="382"/>
      <c r="F144" s="382"/>
      <c r="G144" s="382"/>
      <c r="H144" s="382"/>
      <c r="I144" s="382"/>
      <c r="J144" s="382"/>
      <c r="K144" s="382"/>
      <c r="L144" s="382"/>
      <c r="M144" s="382"/>
      <c r="N144" s="431"/>
      <c r="O144" s="617"/>
      <c r="P144" s="620"/>
      <c r="Q144" s="386"/>
      <c r="R144" s="386"/>
      <c r="S144" s="386"/>
      <c r="T144" s="386"/>
      <c r="U144" s="621"/>
      <c r="V144" s="622"/>
      <c r="W144" s="622"/>
      <c r="X144" s="622"/>
    </row>
    <row r="145" spans="1:24" s="623" customFormat="1" ht="15.75" customHeight="1">
      <c r="A145" s="376"/>
      <c r="B145" s="374"/>
      <c r="C145" s="382"/>
      <c r="D145" s="382"/>
      <c r="E145" s="382"/>
      <c r="F145" s="382"/>
      <c r="G145" s="382"/>
      <c r="H145" s="382"/>
      <c r="I145" s="382"/>
      <c r="J145" s="382"/>
      <c r="K145" s="382"/>
      <c r="L145" s="382"/>
      <c r="M145" s="382"/>
      <c r="N145" s="431"/>
      <c r="O145" s="617"/>
      <c r="P145" s="620"/>
      <c r="Q145" s="386"/>
      <c r="R145" s="386"/>
      <c r="S145" s="386"/>
      <c r="T145" s="386"/>
      <c r="U145" s="621"/>
      <c r="V145" s="622"/>
      <c r="W145" s="622"/>
      <c r="X145" s="622"/>
    </row>
    <row r="146" spans="1:24" s="623" customFormat="1" ht="15.75" hidden="1" customHeight="1">
      <c r="A146" s="674" t="s">
        <v>560</v>
      </c>
      <c r="B146" s="675" t="s">
        <v>1075</v>
      </c>
      <c r="C146" s="627"/>
      <c r="D146" s="627"/>
      <c r="E146" s="627"/>
      <c r="F146" s="627"/>
      <c r="G146" s="627"/>
      <c r="H146" s="627"/>
      <c r="I146" s="627"/>
      <c r="J146" s="627"/>
      <c r="K146" s="627"/>
      <c r="L146" s="627"/>
      <c r="M146" s="627"/>
      <c r="N146" s="628"/>
      <c r="O146" s="629"/>
      <c r="P146" s="630"/>
      <c r="Q146" s="386"/>
      <c r="R146" s="386"/>
      <c r="S146" s="386"/>
      <c r="T146" s="386"/>
      <c r="U146" s="621"/>
      <c r="V146" s="622"/>
      <c r="W146" s="622"/>
      <c r="X146" s="622"/>
    </row>
    <row r="147" spans="1:24" s="623" customFormat="1" ht="15.75" hidden="1" customHeight="1">
      <c r="A147" s="676">
        <v>1</v>
      </c>
      <c r="B147" s="666" t="s">
        <v>396</v>
      </c>
      <c r="C147" s="627">
        <f>2.5+2</f>
        <v>4.5</v>
      </c>
      <c r="D147" s="627"/>
      <c r="E147" s="627"/>
      <c r="F147" s="634"/>
      <c r="G147" s="627"/>
      <c r="H147" s="627"/>
      <c r="I147" s="627"/>
      <c r="J147" s="627"/>
      <c r="K147" s="627"/>
      <c r="L147" s="627"/>
      <c r="M147" s="627">
        <f>2+2</f>
        <v>4</v>
      </c>
      <c r="N147" s="628">
        <f>C147*M147</f>
        <v>18</v>
      </c>
      <c r="O147" s="641" t="s">
        <v>117</v>
      </c>
      <c r="P147" s="630">
        <f>ROUND((N147),2)</f>
        <v>18</v>
      </c>
      <c r="Q147" s="386"/>
      <c r="R147" s="386"/>
      <c r="S147" s="386"/>
      <c r="T147" s="386"/>
      <c r="U147" s="621"/>
      <c r="V147" s="622"/>
      <c r="W147" s="622"/>
      <c r="X147" s="622"/>
    </row>
    <row r="148" spans="1:24" s="623" customFormat="1" ht="15.75" hidden="1" customHeight="1">
      <c r="A148" s="584">
        <f>A147+1</f>
        <v>2</v>
      </c>
      <c r="B148" s="666" t="s">
        <v>403</v>
      </c>
      <c r="C148" s="672"/>
      <c r="D148" s="627"/>
      <c r="E148" s="627"/>
      <c r="F148" s="627"/>
      <c r="G148" s="627"/>
      <c r="H148" s="627"/>
      <c r="I148" s="627"/>
      <c r="J148" s="627"/>
      <c r="K148" s="627"/>
      <c r="L148" s="627"/>
      <c r="M148" s="627"/>
      <c r="N148" s="628"/>
      <c r="O148" s="641"/>
      <c r="P148" s="630"/>
      <c r="Q148" s="386"/>
      <c r="R148" s="386"/>
      <c r="S148" s="386"/>
      <c r="T148" s="386"/>
      <c r="U148" s="621"/>
      <c r="V148" s="622"/>
      <c r="W148" s="622"/>
      <c r="X148" s="622"/>
    </row>
    <row r="149" spans="1:24" s="623" customFormat="1" ht="15.75" hidden="1" customHeight="1">
      <c r="A149" s="677" t="s">
        <v>95</v>
      </c>
      <c r="B149" s="666" t="s">
        <v>1076</v>
      </c>
      <c r="C149" s="627">
        <v>2.5</v>
      </c>
      <c r="D149" s="627">
        <v>1</v>
      </c>
      <c r="E149" s="627">
        <f>1+0.05+0.1</f>
        <v>1.1500000000000001</v>
      </c>
      <c r="F149" s="627"/>
      <c r="G149" s="627"/>
      <c r="H149" s="627"/>
      <c r="I149" s="627"/>
      <c r="J149" s="627"/>
      <c r="K149" s="627"/>
      <c r="L149" s="627"/>
      <c r="M149" s="627">
        <f>M147</f>
        <v>4</v>
      </c>
      <c r="N149" s="628">
        <f>C149*D149*E149*M149</f>
        <v>11.500000000000002</v>
      </c>
      <c r="O149" s="641" t="s">
        <v>103</v>
      </c>
      <c r="P149" s="630">
        <f>ROUND((N149),2)</f>
        <v>11.5</v>
      </c>
      <c r="Q149" s="386"/>
      <c r="R149" s="386"/>
      <c r="S149" s="386"/>
      <c r="T149" s="386"/>
      <c r="U149" s="621"/>
      <c r="V149" s="622"/>
      <c r="W149" s="622"/>
      <c r="X149" s="622"/>
    </row>
    <row r="150" spans="1:24" s="623" customFormat="1" ht="15.75" hidden="1" customHeight="1">
      <c r="A150" s="677" t="s">
        <v>98</v>
      </c>
      <c r="B150" s="666" t="s">
        <v>1077</v>
      </c>
      <c r="C150" s="627">
        <f>C149</f>
        <v>2.5</v>
      </c>
      <c r="D150" s="627">
        <f>D149</f>
        <v>1</v>
      </c>
      <c r="E150" s="627">
        <v>0.1</v>
      </c>
      <c r="F150" s="627"/>
      <c r="G150" s="627"/>
      <c r="H150" s="627"/>
      <c r="I150" s="627"/>
      <c r="J150" s="627"/>
      <c r="K150" s="627"/>
      <c r="L150" s="627"/>
      <c r="M150" s="627">
        <f>M149</f>
        <v>4</v>
      </c>
      <c r="N150" s="628">
        <f>C150*D150*E150*M150</f>
        <v>1</v>
      </c>
      <c r="O150" s="641" t="s">
        <v>103</v>
      </c>
      <c r="P150" s="630">
        <f>ROUND((N150),2)</f>
        <v>1</v>
      </c>
      <c r="Q150" s="386"/>
      <c r="R150" s="386"/>
      <c r="S150" s="386"/>
      <c r="T150" s="386"/>
      <c r="U150" s="621"/>
      <c r="V150" s="622"/>
      <c r="W150" s="622"/>
      <c r="X150" s="622"/>
    </row>
    <row r="151" spans="1:24" s="623" customFormat="1" ht="15.75" hidden="1" customHeight="1">
      <c r="A151" s="677" t="s">
        <v>101</v>
      </c>
      <c r="B151" s="666" t="s">
        <v>496</v>
      </c>
      <c r="C151" s="627">
        <f>C150</f>
        <v>2.5</v>
      </c>
      <c r="D151" s="627">
        <f>D150</f>
        <v>1</v>
      </c>
      <c r="E151" s="627">
        <v>0.05</v>
      </c>
      <c r="F151" s="627"/>
      <c r="G151" s="627"/>
      <c r="H151" s="627"/>
      <c r="I151" s="627"/>
      <c r="J151" s="627"/>
      <c r="K151" s="627"/>
      <c r="L151" s="627"/>
      <c r="M151" s="627">
        <f>M150</f>
        <v>4</v>
      </c>
      <c r="N151" s="628">
        <f>C151*D151*E151*M151</f>
        <v>0.5</v>
      </c>
      <c r="O151" s="641" t="s">
        <v>103</v>
      </c>
      <c r="P151" s="630">
        <f>ROUND((N151),2)</f>
        <v>0.5</v>
      </c>
      <c r="Q151" s="386"/>
      <c r="R151" s="386"/>
      <c r="S151" s="386"/>
      <c r="T151" s="386"/>
      <c r="U151" s="621"/>
      <c r="V151" s="622"/>
      <c r="W151" s="622"/>
      <c r="X151" s="622"/>
    </row>
    <row r="152" spans="1:24" s="623" customFormat="1" ht="15.75" hidden="1" customHeight="1">
      <c r="A152" s="677" t="s">
        <v>121</v>
      </c>
      <c r="B152" s="666" t="s">
        <v>407</v>
      </c>
      <c r="C152" s="627">
        <f>C151</f>
        <v>2.5</v>
      </c>
      <c r="D152" s="627">
        <f>(0.25+D149)/2</f>
        <v>0.625</v>
      </c>
      <c r="E152" s="627">
        <f>E149-E150-E151</f>
        <v>1</v>
      </c>
      <c r="F152" s="627"/>
      <c r="G152" s="627"/>
      <c r="H152" s="627"/>
      <c r="I152" s="627"/>
      <c r="J152" s="627"/>
      <c r="K152" s="627"/>
      <c r="L152" s="627"/>
      <c r="M152" s="627">
        <f>M151</f>
        <v>4</v>
      </c>
      <c r="N152" s="628">
        <f>C152*D152*E152*M152</f>
        <v>6.25</v>
      </c>
      <c r="O152" s="641" t="s">
        <v>103</v>
      </c>
      <c r="P152" s="630">
        <f>ROUND((N152),2)</f>
        <v>6.25</v>
      </c>
      <c r="Q152" s="386"/>
      <c r="R152" s="386"/>
      <c r="S152" s="386"/>
      <c r="T152" s="386"/>
      <c r="U152" s="621"/>
      <c r="V152" s="622"/>
      <c r="W152" s="622"/>
      <c r="X152" s="622"/>
    </row>
    <row r="153" spans="1:24" s="623" customFormat="1" ht="15.75" hidden="1" customHeight="1">
      <c r="A153" s="584">
        <f>A148+1</f>
        <v>3</v>
      </c>
      <c r="B153" s="572" t="s">
        <v>1078</v>
      </c>
      <c r="C153" s="627"/>
      <c r="D153" s="627"/>
      <c r="E153" s="627"/>
      <c r="F153" s="627"/>
      <c r="G153" s="627"/>
      <c r="H153" s="627"/>
      <c r="I153" s="627"/>
      <c r="J153" s="627"/>
      <c r="K153" s="627"/>
      <c r="L153" s="627"/>
      <c r="M153" s="627"/>
      <c r="N153" s="628"/>
      <c r="O153" s="641"/>
      <c r="P153" s="630"/>
      <c r="Q153" s="386"/>
      <c r="R153" s="386"/>
      <c r="S153" s="386"/>
      <c r="T153" s="386"/>
      <c r="U153" s="621"/>
      <c r="V153" s="622"/>
      <c r="W153" s="622"/>
      <c r="X153" s="622"/>
    </row>
    <row r="154" spans="1:24" s="623" customFormat="1" ht="15.75" hidden="1" customHeight="1">
      <c r="A154" s="571" t="s">
        <v>95</v>
      </c>
      <c r="B154" s="666" t="s">
        <v>417</v>
      </c>
      <c r="C154" s="627">
        <f>C152</f>
        <v>2.5</v>
      </c>
      <c r="D154" s="627">
        <v>0.2</v>
      </c>
      <c r="E154" s="627"/>
      <c r="F154" s="627"/>
      <c r="G154" s="627"/>
      <c r="H154" s="627">
        <v>2</v>
      </c>
      <c r="I154" s="627"/>
      <c r="J154" s="627"/>
      <c r="K154" s="627"/>
      <c r="L154" s="627"/>
      <c r="M154" s="627">
        <f>M149</f>
        <v>4</v>
      </c>
      <c r="N154" s="628">
        <f>C154*D154*H154*M154</f>
        <v>4</v>
      </c>
      <c r="O154" s="575" t="s">
        <v>89</v>
      </c>
      <c r="P154" s="630">
        <f>ROUND((N154),2)</f>
        <v>4</v>
      </c>
      <c r="Q154" s="386"/>
      <c r="R154" s="386"/>
      <c r="S154" s="386"/>
      <c r="T154" s="386"/>
      <c r="U154" s="621"/>
      <c r="V154" s="622"/>
      <c r="W154" s="622"/>
      <c r="X154" s="622"/>
    </row>
    <row r="155" spans="1:24" s="623" customFormat="1" ht="15.75" hidden="1" customHeight="1">
      <c r="A155" s="571" t="s">
        <v>98</v>
      </c>
      <c r="B155" s="626" t="s">
        <v>932</v>
      </c>
      <c r="C155" s="627">
        <f>C154</f>
        <v>2.5</v>
      </c>
      <c r="D155" s="627"/>
      <c r="E155" s="627"/>
      <c r="F155" s="627">
        <v>6</v>
      </c>
      <c r="G155" s="627"/>
      <c r="H155" s="627"/>
      <c r="I155" s="627"/>
      <c r="J155" s="627"/>
      <c r="K155" s="627"/>
      <c r="L155" s="627">
        <f>13*13*0.006165</f>
        <v>1.041885</v>
      </c>
      <c r="M155" s="627">
        <f>M154</f>
        <v>4</v>
      </c>
      <c r="N155" s="628">
        <f>C155*F155*L155*M155</f>
        <v>62.513099999999994</v>
      </c>
      <c r="O155" s="575" t="s">
        <v>100</v>
      </c>
      <c r="P155" s="630">
        <f>ROUND((N155),2)</f>
        <v>62.51</v>
      </c>
      <c r="Q155" s="386"/>
      <c r="R155" s="386"/>
      <c r="S155" s="386"/>
      <c r="T155" s="386"/>
      <c r="U155" s="621"/>
      <c r="V155" s="622"/>
      <c r="W155" s="622"/>
      <c r="X155" s="622"/>
    </row>
    <row r="156" spans="1:24" s="623" customFormat="1" ht="15.75" hidden="1" customHeight="1">
      <c r="A156" s="571" t="s">
        <v>101</v>
      </c>
      <c r="B156" s="638" t="s">
        <v>1079</v>
      </c>
      <c r="C156" s="627">
        <f>0.1*4</f>
        <v>0.4</v>
      </c>
      <c r="D156" s="627"/>
      <c r="E156" s="627"/>
      <c r="F156" s="627">
        <f>ROUNDDOWN((C155/0.15),0.5)</f>
        <v>16</v>
      </c>
      <c r="G156" s="627"/>
      <c r="H156" s="627"/>
      <c r="I156" s="627">
        <f>0.05*2</f>
        <v>0.1</v>
      </c>
      <c r="J156" s="627"/>
      <c r="K156" s="627"/>
      <c r="L156" s="627">
        <f>8*8*0.006165</f>
        <v>0.39456000000000002</v>
      </c>
      <c r="M156" s="627">
        <f>M155</f>
        <v>4</v>
      </c>
      <c r="N156" s="628">
        <f>C156*F156*L156*M156</f>
        <v>10.100736000000001</v>
      </c>
      <c r="O156" s="575" t="s">
        <v>100</v>
      </c>
      <c r="P156" s="630">
        <f>ROUND((N156),2)</f>
        <v>10.1</v>
      </c>
      <c r="Q156" s="386"/>
      <c r="R156" s="386"/>
      <c r="S156" s="386"/>
      <c r="T156" s="386"/>
      <c r="U156" s="621"/>
      <c r="V156" s="622"/>
      <c r="W156" s="622"/>
      <c r="X156" s="622"/>
    </row>
    <row r="157" spans="1:24" s="623" customFormat="1" ht="15.75" hidden="1" customHeight="1">
      <c r="A157" s="571" t="s">
        <v>121</v>
      </c>
      <c r="B157" s="638" t="s">
        <v>169</v>
      </c>
      <c r="C157" s="627">
        <f>C155</f>
        <v>2.5</v>
      </c>
      <c r="D157" s="627">
        <f>D154</f>
        <v>0.2</v>
      </c>
      <c r="E157" s="627">
        <f>D154</f>
        <v>0.2</v>
      </c>
      <c r="F157" s="627"/>
      <c r="G157" s="627"/>
      <c r="H157" s="627"/>
      <c r="I157" s="627"/>
      <c r="J157" s="627"/>
      <c r="K157" s="627"/>
      <c r="L157" s="627"/>
      <c r="M157" s="627">
        <f>M154</f>
        <v>4</v>
      </c>
      <c r="N157" s="628">
        <f>C157*D157*E157*M157</f>
        <v>0.4</v>
      </c>
      <c r="O157" s="575" t="s">
        <v>103</v>
      </c>
      <c r="P157" s="630">
        <f>ROUND((N157),2)</f>
        <v>0.4</v>
      </c>
      <c r="Q157" s="386"/>
      <c r="R157" s="386"/>
      <c r="S157" s="386"/>
      <c r="T157" s="386"/>
      <c r="U157" s="621"/>
      <c r="V157" s="622"/>
      <c r="W157" s="622"/>
      <c r="X157" s="622"/>
    </row>
    <row r="158" spans="1:24" s="623" customFormat="1" ht="15.75" hidden="1" customHeight="1">
      <c r="A158" s="676">
        <f>A153+1</f>
        <v>4</v>
      </c>
      <c r="B158" s="666" t="s">
        <v>421</v>
      </c>
      <c r="C158" s="627"/>
      <c r="D158" s="627"/>
      <c r="E158" s="627"/>
      <c r="F158" s="627"/>
      <c r="G158" s="627"/>
      <c r="H158" s="627"/>
      <c r="I158" s="627"/>
      <c r="J158" s="627"/>
      <c r="K158" s="627"/>
      <c r="L158" s="627"/>
      <c r="M158" s="627"/>
      <c r="N158" s="628"/>
      <c r="O158" s="641"/>
      <c r="P158" s="630"/>
      <c r="Q158" s="386"/>
      <c r="R158" s="386"/>
      <c r="S158" s="386"/>
      <c r="T158" s="386"/>
      <c r="U158" s="621"/>
      <c r="V158" s="622"/>
      <c r="W158" s="622"/>
      <c r="X158" s="622"/>
    </row>
    <row r="159" spans="1:24" s="623" customFormat="1" ht="15.75" hidden="1" customHeight="1">
      <c r="A159" s="677" t="s">
        <v>95</v>
      </c>
      <c r="B159" s="666" t="s">
        <v>417</v>
      </c>
      <c r="C159" s="627"/>
      <c r="D159" s="627">
        <v>0.25</v>
      </c>
      <c r="E159" s="627">
        <v>2</v>
      </c>
      <c r="F159" s="627"/>
      <c r="G159" s="627"/>
      <c r="H159" s="627">
        <v>4</v>
      </c>
      <c r="I159" s="627"/>
      <c r="J159" s="627"/>
      <c r="K159" s="627"/>
      <c r="L159" s="627"/>
      <c r="M159" s="627">
        <v>4</v>
      </c>
      <c r="N159" s="628">
        <f>E159*D159*H159*M159</f>
        <v>8</v>
      </c>
      <c r="O159" s="641" t="s">
        <v>89</v>
      </c>
      <c r="P159" s="630">
        <f>ROUND((N159),2)</f>
        <v>8</v>
      </c>
      <c r="Q159" s="386"/>
      <c r="R159" s="386"/>
      <c r="S159" s="386"/>
      <c r="T159" s="386"/>
      <c r="U159" s="621"/>
      <c r="V159" s="622"/>
      <c r="W159" s="622"/>
      <c r="X159" s="622"/>
    </row>
    <row r="160" spans="1:24" s="623" customFormat="1" ht="15.75" hidden="1" customHeight="1">
      <c r="A160" s="677" t="s">
        <v>98</v>
      </c>
      <c r="B160" s="626" t="s">
        <v>901</v>
      </c>
      <c r="C160" s="627"/>
      <c r="D160" s="627"/>
      <c r="E160" s="627">
        <f>E159</f>
        <v>2</v>
      </c>
      <c r="F160" s="627">
        <v>8</v>
      </c>
      <c r="G160" s="627"/>
      <c r="H160" s="627"/>
      <c r="I160" s="627"/>
      <c r="J160" s="627">
        <v>0.45</v>
      </c>
      <c r="K160" s="627"/>
      <c r="L160" s="627">
        <f>13*13*0.006165</f>
        <v>1.041885</v>
      </c>
      <c r="M160" s="627">
        <f>M159</f>
        <v>4</v>
      </c>
      <c r="N160" s="628">
        <f>(E160+J160)*F160*L160*M160</f>
        <v>81.683784000000003</v>
      </c>
      <c r="O160" s="641" t="s">
        <v>100</v>
      </c>
      <c r="P160" s="630">
        <f>ROUND((N160),2)</f>
        <v>81.680000000000007</v>
      </c>
      <c r="Q160" s="386"/>
      <c r="R160" s="386"/>
      <c r="S160" s="386"/>
      <c r="T160" s="386"/>
      <c r="U160" s="621"/>
      <c r="V160" s="622"/>
      <c r="W160" s="622"/>
      <c r="X160" s="622"/>
    </row>
    <row r="161" spans="1:24" s="623" customFormat="1" ht="15.75" hidden="1" customHeight="1">
      <c r="A161" s="677" t="s">
        <v>101</v>
      </c>
      <c r="B161" s="638" t="s">
        <v>1080</v>
      </c>
      <c r="C161" s="627">
        <f>0.15*4</f>
        <v>0.6</v>
      </c>
      <c r="D161" s="627"/>
      <c r="E161" s="627"/>
      <c r="F161" s="627">
        <f>ROUNDDOWN(((E160+J160)/0.15),0.5)</f>
        <v>16</v>
      </c>
      <c r="G161" s="627"/>
      <c r="H161" s="627"/>
      <c r="I161" s="627">
        <f>0.05*2</f>
        <v>0.1</v>
      </c>
      <c r="J161" s="627"/>
      <c r="K161" s="627"/>
      <c r="L161" s="627">
        <f>8*8*0.006165</f>
        <v>0.39456000000000002</v>
      </c>
      <c r="M161" s="627">
        <f>M160</f>
        <v>4</v>
      </c>
      <c r="N161" s="628">
        <f>C161*F161*L161*M161</f>
        <v>15.151104</v>
      </c>
      <c r="O161" s="641" t="s">
        <v>100</v>
      </c>
      <c r="P161" s="630">
        <f>ROUND((N161),2)</f>
        <v>15.15</v>
      </c>
      <c r="Q161" s="386"/>
      <c r="R161" s="386"/>
      <c r="S161" s="386"/>
      <c r="T161" s="386"/>
      <c r="U161" s="621"/>
      <c r="V161" s="622"/>
      <c r="W161" s="622"/>
      <c r="X161" s="622"/>
    </row>
    <row r="162" spans="1:24" s="623" customFormat="1" ht="15.75" hidden="1" customHeight="1">
      <c r="A162" s="677" t="s">
        <v>121</v>
      </c>
      <c r="B162" s="638" t="s">
        <v>169</v>
      </c>
      <c r="C162" s="627">
        <f>D159</f>
        <v>0.25</v>
      </c>
      <c r="D162" s="627">
        <f>D159</f>
        <v>0.25</v>
      </c>
      <c r="E162" s="627">
        <f>E160</f>
        <v>2</v>
      </c>
      <c r="F162" s="627"/>
      <c r="G162" s="627"/>
      <c r="H162" s="627"/>
      <c r="I162" s="627"/>
      <c r="J162" s="627"/>
      <c r="K162" s="627"/>
      <c r="L162" s="627"/>
      <c r="M162" s="627">
        <f>M159</f>
        <v>4</v>
      </c>
      <c r="N162" s="628">
        <f>E162*C162*D162*M162</f>
        <v>0.5</v>
      </c>
      <c r="O162" s="641" t="s">
        <v>103</v>
      </c>
      <c r="P162" s="630">
        <f>ROUND((N162),2)</f>
        <v>0.5</v>
      </c>
      <c r="Q162" s="386"/>
      <c r="R162" s="386"/>
      <c r="S162" s="386"/>
      <c r="T162" s="386"/>
      <c r="U162" s="621"/>
      <c r="V162" s="622"/>
      <c r="W162" s="622"/>
      <c r="X162" s="622"/>
    </row>
    <row r="163" spans="1:24" s="623" customFormat="1" ht="15.75" hidden="1" customHeight="1">
      <c r="A163" s="676">
        <f>A158+1</f>
        <v>5</v>
      </c>
      <c r="B163" s="666" t="s">
        <v>1081</v>
      </c>
      <c r="C163" s="627"/>
      <c r="D163" s="627"/>
      <c r="E163" s="627"/>
      <c r="F163" s="627"/>
      <c r="G163" s="627"/>
      <c r="H163" s="627"/>
      <c r="I163" s="627"/>
      <c r="J163" s="627"/>
      <c r="K163" s="627"/>
      <c r="L163" s="627"/>
      <c r="M163" s="627"/>
      <c r="N163" s="628"/>
      <c r="O163" s="641"/>
      <c r="P163" s="630"/>
      <c r="Q163" s="386"/>
      <c r="R163" s="386"/>
      <c r="S163" s="386"/>
      <c r="T163" s="386"/>
      <c r="U163" s="621"/>
      <c r="V163" s="622"/>
      <c r="W163" s="622"/>
      <c r="X163" s="622"/>
    </row>
    <row r="164" spans="1:24" s="623" customFormat="1" ht="15.75" hidden="1" customHeight="1">
      <c r="A164" s="677" t="s">
        <v>95</v>
      </c>
      <c r="B164" s="666" t="s">
        <v>423</v>
      </c>
      <c r="C164" s="627">
        <f>C154</f>
        <v>2.5</v>
      </c>
      <c r="D164" s="627"/>
      <c r="E164" s="627">
        <v>0.25</v>
      </c>
      <c r="F164" s="627"/>
      <c r="G164" s="627"/>
      <c r="H164" s="627">
        <v>2</v>
      </c>
      <c r="I164" s="627"/>
      <c r="J164" s="627"/>
      <c r="K164" s="627"/>
      <c r="L164" s="627"/>
      <c r="M164" s="627">
        <f>M159</f>
        <v>4</v>
      </c>
      <c r="N164" s="628">
        <f>C164*E164*H164*M164+N165</f>
        <v>7</v>
      </c>
      <c r="O164" s="641" t="s">
        <v>89</v>
      </c>
      <c r="P164" s="630">
        <f>ROUND((N164),2)</f>
        <v>7</v>
      </c>
      <c r="Q164" s="386"/>
      <c r="R164" s="386"/>
      <c r="S164" s="386"/>
      <c r="T164" s="386"/>
      <c r="U164" s="621"/>
      <c r="V164" s="622"/>
      <c r="W164" s="622"/>
      <c r="X164" s="622"/>
    </row>
    <row r="165" spans="1:24" s="623" customFormat="1" ht="15.75" hidden="1" customHeight="1">
      <c r="A165" s="677"/>
      <c r="B165" s="666"/>
      <c r="C165" s="627">
        <f>C164</f>
        <v>2.5</v>
      </c>
      <c r="D165" s="627">
        <v>0.2</v>
      </c>
      <c r="E165" s="627"/>
      <c r="F165" s="627"/>
      <c r="G165" s="627"/>
      <c r="H165" s="627">
        <v>1</v>
      </c>
      <c r="I165" s="627"/>
      <c r="J165" s="627"/>
      <c r="K165" s="627"/>
      <c r="L165" s="627"/>
      <c r="M165" s="627">
        <f>M164</f>
        <v>4</v>
      </c>
      <c r="N165" s="628">
        <f>C165*D165*H165*M165</f>
        <v>2</v>
      </c>
      <c r="O165" s="641"/>
      <c r="P165" s="630"/>
      <c r="Q165" s="386"/>
      <c r="R165" s="386"/>
      <c r="S165" s="386"/>
      <c r="T165" s="386"/>
      <c r="U165" s="621"/>
      <c r="V165" s="622"/>
      <c r="W165" s="622"/>
      <c r="X165" s="622"/>
    </row>
    <row r="166" spans="1:24" s="623" customFormat="1" ht="15.75" hidden="1" customHeight="1">
      <c r="A166" s="677" t="s">
        <v>98</v>
      </c>
      <c r="B166" s="626" t="s">
        <v>925</v>
      </c>
      <c r="C166" s="627">
        <f>C164</f>
        <v>2.5</v>
      </c>
      <c r="D166" s="627"/>
      <c r="E166" s="627"/>
      <c r="F166" s="627">
        <v>5</v>
      </c>
      <c r="G166" s="627"/>
      <c r="H166" s="627"/>
      <c r="I166" s="627"/>
      <c r="J166" s="627"/>
      <c r="K166" s="627"/>
      <c r="L166" s="627">
        <f>13*13*0.006165</f>
        <v>1.041885</v>
      </c>
      <c r="M166" s="627">
        <f>M164</f>
        <v>4</v>
      </c>
      <c r="N166" s="628">
        <f>C166*F166*L166*M166</f>
        <v>52.094249999999995</v>
      </c>
      <c r="O166" s="641" t="s">
        <v>100</v>
      </c>
      <c r="P166" s="630">
        <f>ROUND((N166),2)</f>
        <v>52.09</v>
      </c>
      <c r="Q166" s="386"/>
      <c r="R166" s="386"/>
      <c r="S166" s="386"/>
      <c r="T166" s="386"/>
      <c r="U166" s="621"/>
      <c r="V166" s="622"/>
      <c r="W166" s="622"/>
      <c r="X166" s="622"/>
    </row>
    <row r="167" spans="1:24" s="623" customFormat="1" ht="15.75" hidden="1" customHeight="1">
      <c r="A167" s="677" t="s">
        <v>101</v>
      </c>
      <c r="B167" s="638" t="s">
        <v>1079</v>
      </c>
      <c r="C167" s="627">
        <f>(0.1+0.15)*2</f>
        <v>0.5</v>
      </c>
      <c r="D167" s="627"/>
      <c r="E167" s="627"/>
      <c r="F167" s="627">
        <f>ROUNDDOWN((C166/0.15),0.5)</f>
        <v>16</v>
      </c>
      <c r="G167" s="627"/>
      <c r="H167" s="627"/>
      <c r="I167" s="627">
        <f>0.05*2</f>
        <v>0.1</v>
      </c>
      <c r="J167" s="627"/>
      <c r="K167" s="627"/>
      <c r="L167" s="627">
        <f>8*8*0.006165</f>
        <v>0.39456000000000002</v>
      </c>
      <c r="M167" s="627">
        <f>M166</f>
        <v>4</v>
      </c>
      <c r="N167" s="628">
        <f>C167*F167*L167*M167</f>
        <v>12.625920000000001</v>
      </c>
      <c r="O167" s="641" t="s">
        <v>100</v>
      </c>
      <c r="P167" s="630">
        <f>ROUND((N167),2)</f>
        <v>12.63</v>
      </c>
      <c r="Q167" s="386"/>
      <c r="R167" s="386"/>
      <c r="S167" s="386"/>
      <c r="T167" s="386"/>
      <c r="U167" s="621"/>
      <c r="V167" s="622"/>
      <c r="W167" s="622"/>
      <c r="X167" s="622"/>
    </row>
    <row r="168" spans="1:24" s="623" customFormat="1" ht="15.75" hidden="1" customHeight="1">
      <c r="A168" s="677" t="s">
        <v>121</v>
      </c>
      <c r="B168" s="638" t="s">
        <v>169</v>
      </c>
      <c r="C168" s="627">
        <f>C166</f>
        <v>2.5</v>
      </c>
      <c r="D168" s="627">
        <f>D165</f>
        <v>0.2</v>
      </c>
      <c r="E168" s="627">
        <f>E164</f>
        <v>0.25</v>
      </c>
      <c r="F168" s="627"/>
      <c r="G168" s="627"/>
      <c r="H168" s="627"/>
      <c r="I168" s="627"/>
      <c r="J168" s="627"/>
      <c r="K168" s="627"/>
      <c r="L168" s="627"/>
      <c r="M168" s="627">
        <f>M164</f>
        <v>4</v>
      </c>
      <c r="N168" s="628">
        <f>C168*D168*E168*M168</f>
        <v>0.5</v>
      </c>
      <c r="O168" s="641" t="s">
        <v>103</v>
      </c>
      <c r="P168" s="630">
        <f>ROUND((N168),2)</f>
        <v>0.5</v>
      </c>
      <c r="Q168" s="386"/>
      <c r="R168" s="386"/>
      <c r="S168" s="386"/>
      <c r="T168" s="386"/>
      <c r="U168" s="621"/>
      <c r="V168" s="622"/>
      <c r="W168" s="622"/>
      <c r="X168" s="622"/>
    </row>
    <row r="169" spans="1:24" s="623" customFormat="1" ht="15.75" hidden="1" customHeight="1">
      <c r="A169" s="676">
        <f>A163+1</f>
        <v>6</v>
      </c>
      <c r="B169" s="666" t="s">
        <v>1082</v>
      </c>
      <c r="C169" s="627"/>
      <c r="D169" s="627"/>
      <c r="E169" s="627"/>
      <c r="F169" s="627"/>
      <c r="G169" s="627"/>
      <c r="H169" s="627"/>
      <c r="I169" s="627"/>
      <c r="J169" s="627"/>
      <c r="K169" s="627"/>
      <c r="L169" s="627"/>
      <c r="M169" s="627"/>
      <c r="N169" s="628"/>
      <c r="O169" s="641"/>
      <c r="P169" s="630"/>
      <c r="Q169" s="386"/>
      <c r="R169" s="386"/>
      <c r="S169" s="386"/>
      <c r="T169" s="386"/>
      <c r="U169" s="621"/>
      <c r="V169" s="622"/>
      <c r="W169" s="622"/>
      <c r="X169" s="622"/>
    </row>
    <row r="170" spans="1:24" s="623" customFormat="1" ht="15.75" hidden="1" customHeight="1">
      <c r="A170" s="677" t="s">
        <v>95</v>
      </c>
      <c r="B170" s="666" t="s">
        <v>423</v>
      </c>
      <c r="C170" s="627">
        <f>C164</f>
        <v>2.5</v>
      </c>
      <c r="D170" s="627"/>
      <c r="E170" s="627">
        <v>0.25</v>
      </c>
      <c r="F170" s="627"/>
      <c r="G170" s="627"/>
      <c r="H170" s="627">
        <v>2</v>
      </c>
      <c r="I170" s="627"/>
      <c r="J170" s="627"/>
      <c r="K170" s="627"/>
      <c r="L170" s="627"/>
      <c r="M170" s="627">
        <f>M165-2</f>
        <v>2</v>
      </c>
      <c r="N170" s="628">
        <f>C170*E170*H170*M170+N171</f>
        <v>3.25</v>
      </c>
      <c r="O170" s="641" t="s">
        <v>89</v>
      </c>
      <c r="P170" s="630">
        <f>ROUND((N170),2)</f>
        <v>3.25</v>
      </c>
      <c r="Q170" s="386"/>
      <c r="R170" s="386"/>
      <c r="S170" s="386"/>
      <c r="T170" s="386"/>
      <c r="U170" s="621"/>
      <c r="V170" s="622"/>
      <c r="W170" s="622"/>
      <c r="X170" s="622"/>
    </row>
    <row r="171" spans="1:24" s="623" customFormat="1" ht="15.75" hidden="1" customHeight="1">
      <c r="A171" s="677"/>
      <c r="B171" s="666"/>
      <c r="C171" s="627">
        <f>C170</f>
        <v>2.5</v>
      </c>
      <c r="D171" s="627">
        <v>0.15</v>
      </c>
      <c r="E171" s="627"/>
      <c r="F171" s="627"/>
      <c r="G171" s="627"/>
      <c r="H171" s="627">
        <v>1</v>
      </c>
      <c r="I171" s="627"/>
      <c r="J171" s="627"/>
      <c r="K171" s="627"/>
      <c r="L171" s="627"/>
      <c r="M171" s="627">
        <f>M170</f>
        <v>2</v>
      </c>
      <c r="N171" s="628">
        <f>C171*D171*H171*M171</f>
        <v>0.75</v>
      </c>
      <c r="O171" s="641"/>
      <c r="P171" s="630"/>
      <c r="Q171" s="386"/>
      <c r="R171" s="386"/>
      <c r="S171" s="386"/>
      <c r="T171" s="386"/>
      <c r="U171" s="621"/>
      <c r="V171" s="622"/>
      <c r="W171" s="622"/>
      <c r="X171" s="622"/>
    </row>
    <row r="172" spans="1:24" s="623" customFormat="1" ht="15.75" hidden="1" customHeight="1">
      <c r="A172" s="677" t="s">
        <v>98</v>
      </c>
      <c r="B172" s="626" t="s">
        <v>925</v>
      </c>
      <c r="C172" s="627">
        <f>C170</f>
        <v>2.5</v>
      </c>
      <c r="D172" s="627"/>
      <c r="E172" s="627"/>
      <c r="F172" s="627">
        <v>5</v>
      </c>
      <c r="G172" s="627"/>
      <c r="H172" s="627"/>
      <c r="I172" s="627"/>
      <c r="J172" s="627"/>
      <c r="K172" s="627"/>
      <c r="L172" s="627">
        <f>13*13*0.006165</f>
        <v>1.041885</v>
      </c>
      <c r="M172" s="627">
        <f>M170</f>
        <v>2</v>
      </c>
      <c r="N172" s="628">
        <f>C172*F172*L172*M172</f>
        <v>26.047124999999998</v>
      </c>
      <c r="O172" s="641" t="s">
        <v>100</v>
      </c>
      <c r="P172" s="630">
        <f>ROUND((N172),2)</f>
        <v>26.05</v>
      </c>
      <c r="Q172" s="386"/>
      <c r="R172" s="386"/>
      <c r="S172" s="386"/>
      <c r="T172" s="386"/>
      <c r="U172" s="621"/>
      <c r="V172" s="622"/>
      <c r="W172" s="622"/>
      <c r="X172" s="622"/>
    </row>
    <row r="173" spans="1:24" s="623" customFormat="1" ht="15.75" hidden="1" customHeight="1">
      <c r="A173" s="677" t="s">
        <v>101</v>
      </c>
      <c r="B173" s="638" t="s">
        <v>1079</v>
      </c>
      <c r="C173" s="627">
        <f>(0.05+0.15)*2</f>
        <v>0.4</v>
      </c>
      <c r="D173" s="627"/>
      <c r="E173" s="627"/>
      <c r="F173" s="627">
        <f>ROUNDDOWN((C172/0.15),0.5)</f>
        <v>16</v>
      </c>
      <c r="G173" s="627"/>
      <c r="H173" s="627"/>
      <c r="I173" s="627">
        <f>0.05*2</f>
        <v>0.1</v>
      </c>
      <c r="J173" s="627"/>
      <c r="K173" s="627"/>
      <c r="L173" s="627">
        <f>8*8*0.006165</f>
        <v>0.39456000000000002</v>
      </c>
      <c r="M173" s="627">
        <f>M172</f>
        <v>2</v>
      </c>
      <c r="N173" s="628">
        <f>C173*F173*L173*M173</f>
        <v>5.0503680000000006</v>
      </c>
      <c r="O173" s="641" t="s">
        <v>100</v>
      </c>
      <c r="P173" s="630">
        <f>ROUND((N173),2)</f>
        <v>5.05</v>
      </c>
      <c r="Q173" s="386"/>
      <c r="R173" s="386"/>
      <c r="S173" s="386"/>
      <c r="T173" s="386"/>
      <c r="U173" s="621"/>
      <c r="V173" s="622"/>
      <c r="W173" s="622"/>
      <c r="X173" s="622"/>
    </row>
    <row r="174" spans="1:24" s="623" customFormat="1" ht="15.75" hidden="1" customHeight="1">
      <c r="A174" s="677" t="s">
        <v>121</v>
      </c>
      <c r="B174" s="638" t="s">
        <v>169</v>
      </c>
      <c r="C174" s="627">
        <f>C172</f>
        <v>2.5</v>
      </c>
      <c r="D174" s="627">
        <f>E170</f>
        <v>0.25</v>
      </c>
      <c r="E174" s="627">
        <f>D171</f>
        <v>0.15</v>
      </c>
      <c r="F174" s="627"/>
      <c r="G174" s="627"/>
      <c r="H174" s="627"/>
      <c r="I174" s="627"/>
      <c r="J174" s="627"/>
      <c r="K174" s="627"/>
      <c r="L174" s="627"/>
      <c r="M174" s="627">
        <f>M170</f>
        <v>2</v>
      </c>
      <c r="N174" s="628">
        <f>C174*D174*E174*M174</f>
        <v>0.1875</v>
      </c>
      <c r="O174" s="641" t="s">
        <v>103</v>
      </c>
      <c r="P174" s="630">
        <f>ROUND((N174),2)</f>
        <v>0.19</v>
      </c>
      <c r="Q174" s="386"/>
      <c r="R174" s="386"/>
      <c r="S174" s="386"/>
      <c r="T174" s="386"/>
      <c r="U174" s="621"/>
      <c r="V174" s="622"/>
      <c r="W174" s="622"/>
      <c r="X174" s="622"/>
    </row>
    <row r="175" spans="1:24" s="623" customFormat="1" ht="15.75" hidden="1" customHeight="1">
      <c r="A175" s="676">
        <f>A169+1</f>
        <v>7</v>
      </c>
      <c r="B175" s="666" t="s">
        <v>1083</v>
      </c>
      <c r="C175" s="627"/>
      <c r="D175" s="627"/>
      <c r="E175" s="627"/>
      <c r="F175" s="627"/>
      <c r="G175" s="627"/>
      <c r="H175" s="627"/>
      <c r="I175" s="627"/>
      <c r="J175" s="627"/>
      <c r="K175" s="627"/>
      <c r="L175" s="627"/>
      <c r="M175" s="627"/>
      <c r="N175" s="628"/>
      <c r="O175" s="641"/>
      <c r="P175" s="630"/>
      <c r="Q175" s="386"/>
      <c r="R175" s="386"/>
      <c r="S175" s="386"/>
      <c r="T175" s="386"/>
      <c r="U175" s="621"/>
      <c r="V175" s="622"/>
      <c r="W175" s="622"/>
      <c r="X175" s="622"/>
    </row>
    <row r="176" spans="1:24" s="623" customFormat="1" ht="15.75" hidden="1" customHeight="1">
      <c r="A176" s="677" t="s">
        <v>95</v>
      </c>
      <c r="B176" s="666" t="s">
        <v>1084</v>
      </c>
      <c r="C176" s="627">
        <v>2.5</v>
      </c>
      <c r="D176" s="627">
        <v>2.5</v>
      </c>
      <c r="E176" s="627"/>
      <c r="F176" s="627"/>
      <c r="G176" s="627"/>
      <c r="H176" s="627"/>
      <c r="I176" s="627"/>
      <c r="J176" s="627"/>
      <c r="K176" s="627"/>
      <c r="L176" s="627"/>
      <c r="M176" s="627"/>
      <c r="N176" s="627">
        <f>C176*D176+N177</f>
        <v>7.45</v>
      </c>
      <c r="O176" s="641" t="s">
        <v>89</v>
      </c>
      <c r="P176" s="630">
        <f>ROUND((N176),2)</f>
        <v>7.45</v>
      </c>
      <c r="Q176" s="386"/>
      <c r="R176" s="386"/>
      <c r="S176" s="386"/>
      <c r="T176" s="386"/>
      <c r="U176" s="621"/>
      <c r="V176" s="622"/>
      <c r="W176" s="622"/>
      <c r="X176" s="622"/>
    </row>
    <row r="177" spans="1:24" s="623" customFormat="1" ht="15.75" hidden="1" customHeight="1">
      <c r="A177" s="677"/>
      <c r="B177" s="666"/>
      <c r="C177" s="627">
        <f>C176</f>
        <v>2.5</v>
      </c>
      <c r="D177" s="627"/>
      <c r="E177" s="627">
        <v>0.12</v>
      </c>
      <c r="F177" s="627"/>
      <c r="G177" s="627"/>
      <c r="H177" s="627">
        <v>4</v>
      </c>
      <c r="I177" s="627"/>
      <c r="J177" s="627"/>
      <c r="K177" s="627"/>
      <c r="L177" s="627"/>
      <c r="M177" s="627"/>
      <c r="N177" s="627">
        <f>C177*E177*H177</f>
        <v>1.2</v>
      </c>
      <c r="O177" s="641"/>
      <c r="P177" s="630"/>
      <c r="Q177" s="386"/>
      <c r="R177" s="386"/>
      <c r="S177" s="386"/>
      <c r="T177" s="386"/>
      <c r="U177" s="621"/>
      <c r="V177" s="622"/>
      <c r="W177" s="622"/>
      <c r="X177" s="622"/>
    </row>
    <row r="178" spans="1:24" ht="15" hidden="1" customHeight="1">
      <c r="A178" s="642" t="s">
        <v>98</v>
      </c>
      <c r="B178" s="666" t="s">
        <v>1067</v>
      </c>
      <c r="C178" s="627"/>
      <c r="D178" s="627"/>
      <c r="E178" s="627"/>
      <c r="F178" s="627"/>
      <c r="G178" s="627"/>
      <c r="H178" s="627"/>
      <c r="I178" s="627"/>
      <c r="J178" s="627"/>
      <c r="K178" s="627"/>
      <c r="L178" s="627"/>
      <c r="M178" s="627"/>
      <c r="N178" s="627"/>
      <c r="O178" s="629"/>
      <c r="P178" s="630"/>
    </row>
    <row r="179" spans="1:24" ht="15" hidden="1" customHeight="1">
      <c r="A179" s="642"/>
      <c r="B179" s="678" t="s">
        <v>226</v>
      </c>
      <c r="C179" s="627">
        <f>D176-0.15</f>
        <v>2.35</v>
      </c>
      <c r="D179" s="627"/>
      <c r="E179" s="627"/>
      <c r="F179" s="627">
        <f>ROUNDUP((C180/0.2),0.1)+1</f>
        <v>13</v>
      </c>
      <c r="G179" s="627"/>
      <c r="H179" s="627">
        <v>2</v>
      </c>
      <c r="I179" s="627"/>
      <c r="J179" s="627"/>
      <c r="K179" s="627"/>
      <c r="L179" s="627">
        <f>10*10*0.006165</f>
        <v>0.61650000000000005</v>
      </c>
      <c r="M179" s="627"/>
      <c r="N179" s="627">
        <f>C179*F179*H179*L179</f>
        <v>37.668150000000004</v>
      </c>
      <c r="O179" s="629"/>
      <c r="P179" s="630"/>
    </row>
    <row r="180" spans="1:24" ht="15" hidden="1" customHeight="1">
      <c r="A180" s="642"/>
      <c r="B180" s="678" t="s">
        <v>227</v>
      </c>
      <c r="C180" s="627">
        <f>C176-0.15</f>
        <v>2.35</v>
      </c>
      <c r="D180" s="627"/>
      <c r="E180" s="627"/>
      <c r="F180" s="627">
        <f>ROUNDUP((C179/0.2),0.1)+1</f>
        <v>13</v>
      </c>
      <c r="G180" s="627"/>
      <c r="H180" s="627">
        <f>H179</f>
        <v>2</v>
      </c>
      <c r="I180" s="627"/>
      <c r="J180" s="627"/>
      <c r="K180" s="627"/>
      <c r="L180" s="627">
        <f>L179</f>
        <v>0.61650000000000005</v>
      </c>
      <c r="M180" s="627"/>
      <c r="N180" s="668">
        <f>C180*F180*H180*L180</f>
        <v>37.668150000000004</v>
      </c>
      <c r="O180" s="629"/>
      <c r="P180" s="630"/>
    </row>
    <row r="181" spans="1:24" ht="15" hidden="1" customHeight="1">
      <c r="A181" s="642"/>
      <c r="B181" s="638"/>
      <c r="C181" s="627"/>
      <c r="D181" s="627"/>
      <c r="E181" s="627"/>
      <c r="F181" s="627"/>
      <c r="G181" s="627"/>
      <c r="H181" s="627"/>
      <c r="I181" s="627"/>
      <c r="J181" s="627"/>
      <c r="K181" s="627"/>
      <c r="L181" s="627"/>
      <c r="M181" s="627"/>
      <c r="N181" s="628">
        <f>SUM(N179:N180)</f>
        <v>75.336300000000008</v>
      </c>
      <c r="O181" s="629" t="s">
        <v>100</v>
      </c>
      <c r="P181" s="630">
        <f>ROUND((N181),2)</f>
        <v>75.34</v>
      </c>
    </row>
    <row r="182" spans="1:24" s="623" customFormat="1" ht="15.75" hidden="1" customHeight="1">
      <c r="A182" s="677" t="s">
        <v>101</v>
      </c>
      <c r="B182" s="638" t="s">
        <v>169</v>
      </c>
      <c r="C182" s="627">
        <f>C176</f>
        <v>2.5</v>
      </c>
      <c r="D182" s="627">
        <f>D176</f>
        <v>2.5</v>
      </c>
      <c r="E182" s="627">
        <f>E177</f>
        <v>0.12</v>
      </c>
      <c r="F182" s="627"/>
      <c r="G182" s="627"/>
      <c r="H182" s="627"/>
      <c r="I182" s="627"/>
      <c r="J182" s="627"/>
      <c r="K182" s="627"/>
      <c r="L182" s="627"/>
      <c r="M182" s="627"/>
      <c r="N182" s="627">
        <f>C182*D182*E182</f>
        <v>0.75</v>
      </c>
      <c r="O182" s="641" t="s">
        <v>103</v>
      </c>
      <c r="P182" s="630">
        <f>ROUND((N182),2)</f>
        <v>0.75</v>
      </c>
      <c r="Q182" s="386"/>
      <c r="R182" s="386"/>
      <c r="S182" s="386"/>
      <c r="T182" s="386"/>
      <c r="U182" s="621"/>
      <c r="V182" s="622"/>
      <c r="W182" s="622"/>
      <c r="X182" s="622"/>
    </row>
    <row r="183" spans="1:24" ht="15" customHeight="1">
      <c r="A183" s="375"/>
      <c r="B183" s="379"/>
      <c r="C183" s="382"/>
      <c r="D183" s="382"/>
      <c r="E183" s="382"/>
      <c r="F183" s="382"/>
      <c r="G183" s="382"/>
      <c r="H183" s="382"/>
      <c r="I183" s="382"/>
      <c r="J183" s="382"/>
      <c r="K183" s="382"/>
      <c r="L183" s="382"/>
      <c r="M183" s="382"/>
      <c r="N183" s="382"/>
      <c r="O183" s="383"/>
      <c r="P183" s="620"/>
    </row>
    <row r="184" spans="1:24" ht="15" customHeight="1">
      <c r="A184" s="679" t="s">
        <v>560</v>
      </c>
      <c r="B184" s="378" t="s">
        <v>494</v>
      </c>
      <c r="C184" s="382"/>
      <c r="D184" s="382"/>
      <c r="E184" s="382"/>
      <c r="F184" s="382"/>
      <c r="G184" s="382"/>
      <c r="H184" s="382"/>
      <c r="I184" s="382"/>
      <c r="J184" s="382"/>
      <c r="K184" s="382"/>
      <c r="L184" s="382"/>
      <c r="M184" s="382"/>
      <c r="N184" s="382"/>
      <c r="O184" s="383"/>
      <c r="P184" s="620"/>
    </row>
    <row r="185" spans="1:24" ht="15" customHeight="1">
      <c r="A185" s="373">
        <v>1</v>
      </c>
      <c r="B185" s="366" t="s">
        <v>396</v>
      </c>
      <c r="C185" s="382"/>
      <c r="D185" s="382"/>
      <c r="E185" s="382"/>
      <c r="F185" s="382"/>
      <c r="G185" s="382"/>
      <c r="H185" s="382"/>
      <c r="I185" s="382"/>
      <c r="J185" s="382"/>
      <c r="K185" s="382"/>
      <c r="L185" s="382"/>
      <c r="M185" s="382"/>
      <c r="N185" s="382"/>
      <c r="O185" s="383"/>
      <c r="P185" s="620"/>
    </row>
    <row r="186" spans="1:24" ht="15" customHeight="1">
      <c r="A186" s="373"/>
      <c r="B186" s="366"/>
      <c r="C186" s="382">
        <f>2+1</f>
        <v>3</v>
      </c>
      <c r="D186" s="382"/>
      <c r="E186" s="382"/>
      <c r="F186" s="382"/>
      <c r="G186" s="382"/>
      <c r="H186" s="382">
        <v>2</v>
      </c>
      <c r="I186" s="382"/>
      <c r="J186" s="382"/>
      <c r="K186" s="382"/>
      <c r="L186" s="382"/>
      <c r="M186" s="382"/>
      <c r="N186" s="382">
        <f>C186*H186</f>
        <v>6</v>
      </c>
      <c r="O186" s="617"/>
      <c r="P186" s="620"/>
    </row>
    <row r="187" spans="1:24" ht="15" customHeight="1">
      <c r="A187" s="373"/>
      <c r="B187" s="366"/>
      <c r="C187" s="382"/>
      <c r="D187" s="382">
        <f>2+1</f>
        <v>3</v>
      </c>
      <c r="E187" s="382"/>
      <c r="F187" s="382"/>
      <c r="G187" s="382"/>
      <c r="H187" s="382">
        <f>H186</f>
        <v>2</v>
      </c>
      <c r="I187" s="382"/>
      <c r="J187" s="382"/>
      <c r="K187" s="382"/>
      <c r="L187" s="382"/>
      <c r="M187" s="382"/>
      <c r="N187" s="624">
        <f>D187*H187</f>
        <v>6</v>
      </c>
      <c r="O187" s="617"/>
      <c r="P187" s="620"/>
    </row>
    <row r="188" spans="1:24" ht="15" customHeight="1">
      <c r="A188" s="373"/>
      <c r="B188" s="366"/>
      <c r="C188" s="382"/>
      <c r="D188" s="382"/>
      <c r="E188" s="382"/>
      <c r="F188" s="382"/>
      <c r="G188" s="382"/>
      <c r="H188" s="382"/>
      <c r="I188" s="382"/>
      <c r="J188" s="382"/>
      <c r="K188" s="382"/>
      <c r="L188" s="382"/>
      <c r="M188" s="382"/>
      <c r="N188" s="648">
        <f>SUM(N186:N187)</f>
        <v>12</v>
      </c>
      <c r="O188" s="663" t="s">
        <v>117</v>
      </c>
      <c r="P188" s="620">
        <f>ROUND((N188),2)</f>
        <v>12</v>
      </c>
    </row>
    <row r="189" spans="1:24" ht="15" customHeight="1">
      <c r="A189" s="373">
        <f>A185+1</f>
        <v>2</v>
      </c>
      <c r="B189" s="354" t="s">
        <v>495</v>
      </c>
      <c r="C189" s="382">
        <f>C186-1+0.75</f>
        <v>2.75</v>
      </c>
      <c r="D189" s="382">
        <f>D187-1+0.75</f>
        <v>2.75</v>
      </c>
      <c r="E189" s="382">
        <v>1.7749999999999999</v>
      </c>
      <c r="F189" s="382"/>
      <c r="G189" s="382"/>
      <c r="H189" s="382"/>
      <c r="I189" s="382"/>
      <c r="J189" s="382"/>
      <c r="K189" s="382"/>
      <c r="L189" s="382"/>
      <c r="M189" s="382"/>
      <c r="N189" s="382">
        <f>C189*D189*E189</f>
        <v>13.423437499999999</v>
      </c>
      <c r="O189" s="349" t="s">
        <v>103</v>
      </c>
      <c r="P189" s="620">
        <f>ROUND((N189),2)</f>
        <v>13.42</v>
      </c>
    </row>
    <row r="190" spans="1:24" ht="15" customHeight="1">
      <c r="A190" s="373">
        <f>A189+1</f>
        <v>3</v>
      </c>
      <c r="B190" s="354" t="s">
        <v>415</v>
      </c>
      <c r="C190" s="382">
        <f>C189</f>
        <v>2.75</v>
      </c>
      <c r="D190" s="382">
        <f>D189</f>
        <v>2.75</v>
      </c>
      <c r="E190" s="382">
        <v>0.05</v>
      </c>
      <c r="F190" s="382"/>
      <c r="G190" s="382"/>
      <c r="H190" s="382"/>
      <c r="I190" s="382"/>
      <c r="J190" s="382"/>
      <c r="K190" s="382"/>
      <c r="L190" s="382"/>
      <c r="M190" s="382"/>
      <c r="N190" s="382">
        <f>C190*D190*E190</f>
        <v>0.37812500000000004</v>
      </c>
      <c r="O190" s="349" t="s">
        <v>103</v>
      </c>
      <c r="P190" s="620">
        <f>ROUND((N190),2)</f>
        <v>0.38</v>
      </c>
    </row>
    <row r="191" spans="1:24" ht="15" customHeight="1">
      <c r="A191" s="373">
        <f>A190+1</f>
        <v>4</v>
      </c>
      <c r="B191" s="354" t="s">
        <v>496</v>
      </c>
      <c r="C191" s="382">
        <f>C190</f>
        <v>2.75</v>
      </c>
      <c r="D191" s="382">
        <f>D190</f>
        <v>2.75</v>
      </c>
      <c r="E191" s="382">
        <f>E190</f>
        <v>0.05</v>
      </c>
      <c r="F191" s="382"/>
      <c r="G191" s="382"/>
      <c r="H191" s="382"/>
      <c r="I191" s="382"/>
      <c r="J191" s="382"/>
      <c r="K191" s="382"/>
      <c r="L191" s="382"/>
      <c r="M191" s="382"/>
      <c r="N191" s="382">
        <f>C191*D191*E191</f>
        <v>0.37812500000000004</v>
      </c>
      <c r="O191" s="349" t="s">
        <v>103</v>
      </c>
      <c r="P191" s="620">
        <f>ROUND((N191),2)</f>
        <v>0.38</v>
      </c>
    </row>
    <row r="192" spans="1:24" ht="15" customHeight="1">
      <c r="A192" s="373">
        <f>A191+1</f>
        <v>5</v>
      </c>
      <c r="B192" s="368" t="s">
        <v>474</v>
      </c>
      <c r="C192" s="382">
        <f>C189-0.375</f>
        <v>2.375</v>
      </c>
      <c r="D192" s="382">
        <f>D189-2.375</f>
        <v>0.375</v>
      </c>
      <c r="E192" s="382">
        <f>E189-E190-E191-0.2</f>
        <v>1.4749999999999999</v>
      </c>
      <c r="F192" s="382"/>
      <c r="G192" s="382"/>
      <c r="H192" s="382">
        <v>4</v>
      </c>
      <c r="I192" s="382"/>
      <c r="J192" s="382"/>
      <c r="K192" s="382"/>
      <c r="L192" s="382"/>
      <c r="M192" s="382"/>
      <c r="N192" s="382">
        <f>C192*D192*E192*H192</f>
        <v>5.2546874999999993</v>
      </c>
      <c r="O192" s="349" t="s">
        <v>103</v>
      </c>
      <c r="P192" s="620">
        <f>ROUND((N192),2)</f>
        <v>5.25</v>
      </c>
    </row>
    <row r="193" spans="1:16" ht="15" customHeight="1">
      <c r="A193" s="373">
        <f>A192+1</f>
        <v>6</v>
      </c>
      <c r="B193" s="354" t="s">
        <v>497</v>
      </c>
      <c r="C193" s="382"/>
      <c r="D193" s="382"/>
      <c r="E193" s="382"/>
      <c r="F193" s="382"/>
      <c r="G193" s="382"/>
      <c r="H193" s="382"/>
      <c r="I193" s="382"/>
      <c r="J193" s="382"/>
      <c r="K193" s="382"/>
      <c r="L193" s="382"/>
      <c r="M193" s="382"/>
      <c r="N193" s="382"/>
      <c r="O193" s="349"/>
      <c r="P193" s="620"/>
    </row>
    <row r="194" spans="1:16" ht="15" customHeight="1">
      <c r="A194" s="375" t="s">
        <v>95</v>
      </c>
      <c r="B194" s="354" t="s">
        <v>423</v>
      </c>
      <c r="C194" s="382">
        <f>C189-0.75</f>
        <v>2</v>
      </c>
      <c r="D194" s="382"/>
      <c r="E194" s="382">
        <v>0.2</v>
      </c>
      <c r="F194" s="382"/>
      <c r="G194" s="382"/>
      <c r="H194" s="382">
        <v>2</v>
      </c>
      <c r="I194" s="382"/>
      <c r="J194" s="382"/>
      <c r="K194" s="382"/>
      <c r="L194" s="382"/>
      <c r="M194" s="382">
        <v>4</v>
      </c>
      <c r="N194" s="382">
        <f>C194*E194*H194*M194</f>
        <v>3.2</v>
      </c>
      <c r="O194" s="367" t="s">
        <v>89</v>
      </c>
      <c r="P194" s="620">
        <f>ROUND((N194),2)</f>
        <v>3.2</v>
      </c>
    </row>
    <row r="195" spans="1:16" ht="15" customHeight="1">
      <c r="A195" s="375" t="s">
        <v>98</v>
      </c>
      <c r="B195" s="389" t="s">
        <v>1085</v>
      </c>
      <c r="C195" s="382">
        <f>C194</f>
        <v>2</v>
      </c>
      <c r="D195" s="382"/>
      <c r="E195" s="382"/>
      <c r="F195" s="382">
        <v>4</v>
      </c>
      <c r="G195" s="382"/>
      <c r="H195" s="382"/>
      <c r="I195" s="382"/>
      <c r="J195" s="382"/>
      <c r="K195" s="382"/>
      <c r="L195" s="382">
        <f>10*10*0.006165</f>
        <v>0.61650000000000005</v>
      </c>
      <c r="M195" s="382">
        <f>M194</f>
        <v>4</v>
      </c>
      <c r="N195" s="382">
        <f>C195*F195*L195*M195</f>
        <v>19.728000000000002</v>
      </c>
      <c r="O195" s="367" t="s">
        <v>100</v>
      </c>
      <c r="P195" s="620">
        <f>ROUND((N195),2)</f>
        <v>19.73</v>
      </c>
    </row>
    <row r="196" spans="1:16" ht="15" customHeight="1">
      <c r="A196" s="375" t="s">
        <v>101</v>
      </c>
      <c r="B196" s="389" t="s">
        <v>1086</v>
      </c>
      <c r="C196" s="382">
        <f>(0.07+0.12)*2</f>
        <v>0.38</v>
      </c>
      <c r="D196" s="382"/>
      <c r="E196" s="382"/>
      <c r="F196" s="382">
        <f>ROUNDDOWN((C195/0.15),0.5)</f>
        <v>13</v>
      </c>
      <c r="G196" s="382"/>
      <c r="H196" s="382"/>
      <c r="I196" s="382">
        <f>0.05*2</f>
        <v>0.1</v>
      </c>
      <c r="J196" s="382"/>
      <c r="K196" s="382"/>
      <c r="L196" s="382">
        <f>6*6*0.006165</f>
        <v>0.22194000000000003</v>
      </c>
      <c r="M196" s="382">
        <f>M195</f>
        <v>4</v>
      </c>
      <c r="N196" s="382">
        <f>(C196+I196)*F196*L196*M196</f>
        <v>5.5396224000000007</v>
      </c>
      <c r="O196" s="367" t="s">
        <v>100</v>
      </c>
      <c r="P196" s="620">
        <f>ROUND((N196),2)</f>
        <v>5.54</v>
      </c>
    </row>
    <row r="197" spans="1:16" ht="15" customHeight="1">
      <c r="A197" s="375" t="s">
        <v>121</v>
      </c>
      <c r="B197" s="371" t="s">
        <v>499</v>
      </c>
      <c r="C197" s="382">
        <f>C194</f>
        <v>2</v>
      </c>
      <c r="D197" s="382">
        <v>0.15</v>
      </c>
      <c r="E197" s="382">
        <f>E194</f>
        <v>0.2</v>
      </c>
      <c r="F197" s="382"/>
      <c r="G197" s="382"/>
      <c r="H197" s="382"/>
      <c r="I197" s="382"/>
      <c r="J197" s="382"/>
      <c r="K197" s="382"/>
      <c r="L197" s="382"/>
      <c r="M197" s="382">
        <f>M196</f>
        <v>4</v>
      </c>
      <c r="N197" s="382">
        <f>C197*D197*E197*M197</f>
        <v>0.24</v>
      </c>
      <c r="O197" s="367" t="s">
        <v>103</v>
      </c>
      <c r="P197" s="620">
        <f>ROUND((N197),2)</f>
        <v>0.24</v>
      </c>
    </row>
    <row r="198" spans="1:16" ht="15" customHeight="1">
      <c r="A198" s="373">
        <f>A193+1</f>
        <v>7</v>
      </c>
      <c r="B198" s="354" t="s">
        <v>500</v>
      </c>
      <c r="C198" s="382"/>
      <c r="D198" s="382"/>
      <c r="E198" s="382"/>
      <c r="F198" s="382"/>
      <c r="G198" s="382"/>
      <c r="H198" s="382"/>
      <c r="I198" s="382"/>
      <c r="J198" s="382"/>
      <c r="K198" s="382"/>
      <c r="L198" s="382"/>
      <c r="M198" s="382"/>
      <c r="N198" s="382"/>
      <c r="O198" s="349"/>
      <c r="P198" s="620"/>
    </row>
    <row r="199" spans="1:16" ht="15" customHeight="1">
      <c r="A199" s="375" t="s">
        <v>95</v>
      </c>
      <c r="B199" s="354" t="s">
        <v>423</v>
      </c>
      <c r="C199" s="382"/>
      <c r="D199" s="382"/>
      <c r="E199" s="382"/>
      <c r="F199" s="382"/>
      <c r="G199" s="382"/>
      <c r="H199" s="382"/>
      <c r="I199" s="382"/>
      <c r="J199" s="382"/>
      <c r="K199" s="382"/>
      <c r="L199" s="382"/>
      <c r="M199" s="382"/>
      <c r="N199" s="382"/>
      <c r="O199" s="367"/>
      <c r="P199" s="620"/>
    </row>
    <row r="200" spans="1:16" ht="15" customHeight="1">
      <c r="A200" s="375"/>
      <c r="B200" s="680" t="s">
        <v>1087</v>
      </c>
      <c r="C200" s="382"/>
      <c r="D200" s="382">
        <v>0.15</v>
      </c>
      <c r="E200" s="382">
        <v>1.5</v>
      </c>
      <c r="F200" s="382"/>
      <c r="G200" s="382"/>
      <c r="H200" s="382">
        <v>4</v>
      </c>
      <c r="I200" s="382"/>
      <c r="J200" s="382"/>
      <c r="K200" s="382"/>
      <c r="L200" s="382"/>
      <c r="M200" s="382">
        <v>4</v>
      </c>
      <c r="N200" s="382">
        <f>D200*E200*H200*M200</f>
        <v>3.5999999999999996</v>
      </c>
      <c r="O200" s="367"/>
      <c r="P200" s="620"/>
    </row>
    <row r="201" spans="1:16" ht="15" customHeight="1">
      <c r="A201" s="375"/>
      <c r="B201" s="680" t="s">
        <v>1088</v>
      </c>
      <c r="C201" s="382">
        <f>C194</f>
        <v>2</v>
      </c>
      <c r="D201" s="382"/>
      <c r="E201" s="382">
        <f>D200</f>
        <v>0.15</v>
      </c>
      <c r="F201" s="382"/>
      <c r="G201" s="382"/>
      <c r="H201" s="382">
        <v>2</v>
      </c>
      <c r="I201" s="382"/>
      <c r="J201" s="382"/>
      <c r="K201" s="382"/>
      <c r="L201" s="382"/>
      <c r="M201" s="382">
        <f>M200</f>
        <v>4</v>
      </c>
      <c r="N201" s="624">
        <f>C201*E201*H201*M201</f>
        <v>2.4</v>
      </c>
      <c r="O201" s="367"/>
      <c r="P201" s="620"/>
    </row>
    <row r="202" spans="1:16" ht="15" customHeight="1">
      <c r="A202" s="375"/>
      <c r="B202" s="680"/>
      <c r="C202" s="382"/>
      <c r="D202" s="382"/>
      <c r="E202" s="382"/>
      <c r="F202" s="382"/>
      <c r="G202" s="382"/>
      <c r="H202" s="382"/>
      <c r="I202" s="382"/>
      <c r="K202" s="382"/>
      <c r="L202" s="382"/>
      <c r="M202" s="382"/>
      <c r="N202" s="648">
        <f>SUM(N200:N201)</f>
        <v>6</v>
      </c>
      <c r="O202" s="681" t="s">
        <v>89</v>
      </c>
      <c r="P202" s="620">
        <f>ROUND((N202),2)</f>
        <v>6</v>
      </c>
    </row>
    <row r="203" spans="1:16" ht="15" customHeight="1">
      <c r="A203" s="375" t="s">
        <v>98</v>
      </c>
      <c r="B203" s="389" t="s">
        <v>1085</v>
      </c>
      <c r="C203" s="382"/>
      <c r="D203" s="382"/>
      <c r="E203" s="382"/>
      <c r="F203" s="382"/>
      <c r="G203" s="382"/>
      <c r="H203" s="382"/>
      <c r="I203" s="382"/>
      <c r="J203" s="382"/>
      <c r="K203" s="382"/>
      <c r="L203" s="382"/>
      <c r="M203" s="382"/>
      <c r="N203" s="382"/>
      <c r="O203" s="367"/>
      <c r="P203" s="620"/>
    </row>
    <row r="204" spans="1:16" ht="15" customHeight="1">
      <c r="A204" s="375"/>
      <c r="B204" s="682" t="str">
        <f>B200</f>
        <v>kolom</v>
      </c>
      <c r="C204" s="382">
        <f>E200</f>
        <v>1.5</v>
      </c>
      <c r="D204" s="382"/>
      <c r="E204" s="382"/>
      <c r="F204" s="382">
        <v>4</v>
      </c>
      <c r="G204" s="382"/>
      <c r="H204" s="382"/>
      <c r="I204" s="382"/>
      <c r="J204" s="382">
        <f>E194-0.1</f>
        <v>0.1</v>
      </c>
      <c r="K204" s="382">
        <f>E201-0.075</f>
        <v>7.4999999999999997E-2</v>
      </c>
      <c r="L204" s="382">
        <f>10*10*0.006165</f>
        <v>0.61650000000000005</v>
      </c>
      <c r="M204" s="382">
        <f>M200</f>
        <v>4</v>
      </c>
      <c r="N204" s="382">
        <f>(C204+J204+K204)*F204*L204*M204</f>
        <v>16.522200000000002</v>
      </c>
      <c r="O204" s="367"/>
      <c r="P204" s="620"/>
    </row>
    <row r="205" spans="1:16" ht="15" customHeight="1">
      <c r="A205" s="375"/>
      <c r="B205" s="682" t="str">
        <f>B201</f>
        <v>dak beton</v>
      </c>
      <c r="C205" s="382">
        <f>C201</f>
        <v>2</v>
      </c>
      <c r="D205" s="382"/>
      <c r="E205" s="382"/>
      <c r="F205" s="382">
        <f>F204</f>
        <v>4</v>
      </c>
      <c r="G205" s="382"/>
      <c r="H205" s="382"/>
      <c r="I205" s="382"/>
      <c r="J205" s="382"/>
      <c r="K205" s="382"/>
      <c r="L205" s="382">
        <f>L204</f>
        <v>0.61650000000000005</v>
      </c>
      <c r="M205" s="382">
        <f>M201</f>
        <v>4</v>
      </c>
      <c r="N205" s="624">
        <f>C205*F205*L205*M205</f>
        <v>19.728000000000002</v>
      </c>
      <c r="O205" s="367"/>
      <c r="P205" s="620"/>
    </row>
    <row r="206" spans="1:16" ht="15" customHeight="1">
      <c r="A206" s="375"/>
      <c r="B206" s="389"/>
      <c r="C206" s="382"/>
      <c r="D206" s="382"/>
      <c r="E206" s="382"/>
      <c r="F206" s="382"/>
      <c r="G206" s="382"/>
      <c r="H206" s="382"/>
      <c r="I206" s="382"/>
      <c r="J206" s="382"/>
      <c r="K206" s="382"/>
      <c r="L206" s="382"/>
      <c r="M206" s="382"/>
      <c r="N206" s="648">
        <f>SUM(N204:N205)</f>
        <v>36.250200000000007</v>
      </c>
      <c r="O206" s="681" t="s">
        <v>100</v>
      </c>
      <c r="P206" s="620">
        <f>ROUND((N206),2)</f>
        <v>36.25</v>
      </c>
    </row>
    <row r="207" spans="1:16" ht="15" customHeight="1">
      <c r="A207" s="375" t="s">
        <v>101</v>
      </c>
      <c r="B207" s="389" t="s">
        <v>1086</v>
      </c>
      <c r="C207" s="382"/>
      <c r="D207" s="382"/>
      <c r="E207" s="382"/>
      <c r="F207" s="382"/>
      <c r="G207" s="382"/>
      <c r="H207" s="382"/>
      <c r="I207" s="382"/>
      <c r="J207" s="382"/>
      <c r="K207" s="382"/>
      <c r="L207" s="382"/>
      <c r="M207" s="382"/>
      <c r="N207" s="382"/>
      <c r="O207" s="367"/>
      <c r="P207" s="620"/>
    </row>
    <row r="208" spans="1:16" ht="15" customHeight="1">
      <c r="A208" s="375"/>
      <c r="B208" s="682" t="str">
        <f>B204</f>
        <v>kolom</v>
      </c>
      <c r="C208" s="382">
        <f>0.07*4</f>
        <v>0.28000000000000003</v>
      </c>
      <c r="D208" s="382"/>
      <c r="E208" s="382"/>
      <c r="F208" s="382">
        <f>ROUNDDOWN((C204/0.15),0.5)</f>
        <v>10</v>
      </c>
      <c r="G208" s="382"/>
      <c r="H208" s="382"/>
      <c r="I208" s="382">
        <f>0.05*2</f>
        <v>0.1</v>
      </c>
      <c r="J208" s="382"/>
      <c r="K208" s="382"/>
      <c r="L208" s="382">
        <f>6*6*0.006165</f>
        <v>0.22194000000000003</v>
      </c>
      <c r="M208" s="382">
        <f>M204</f>
        <v>4</v>
      </c>
      <c r="N208" s="382">
        <f>(C208+I208)*F208*L208*M208</f>
        <v>3.373488</v>
      </c>
      <c r="O208" s="367"/>
      <c r="P208" s="620"/>
    </row>
    <row r="209" spans="1:16" ht="15" customHeight="1">
      <c r="A209" s="375"/>
      <c r="B209" s="682" t="str">
        <f>B205</f>
        <v>dak beton</v>
      </c>
      <c r="C209" s="382">
        <f>C208</f>
        <v>0.28000000000000003</v>
      </c>
      <c r="D209" s="382"/>
      <c r="E209" s="382"/>
      <c r="F209" s="382">
        <f>ROUNDDOWN((C205/0.15),0.5)</f>
        <v>13</v>
      </c>
      <c r="G209" s="382"/>
      <c r="H209" s="382"/>
      <c r="I209" s="382">
        <f>I208</f>
        <v>0.1</v>
      </c>
      <c r="J209" s="382"/>
      <c r="K209" s="382"/>
      <c r="L209" s="382">
        <f>L208</f>
        <v>0.22194000000000003</v>
      </c>
      <c r="M209" s="382">
        <f>M205</f>
        <v>4</v>
      </c>
      <c r="N209" s="624">
        <f>(C209+I209)*F209*L209*M209</f>
        <v>4.3855344000000009</v>
      </c>
      <c r="O209" s="367"/>
      <c r="P209" s="620"/>
    </row>
    <row r="210" spans="1:16" ht="15" customHeight="1">
      <c r="A210" s="375"/>
      <c r="B210" s="427"/>
      <c r="C210" s="382"/>
      <c r="D210" s="382"/>
      <c r="E210" s="382"/>
      <c r="F210" s="382"/>
      <c r="G210" s="382"/>
      <c r="H210" s="382"/>
      <c r="I210" s="382"/>
      <c r="J210" s="382"/>
      <c r="K210" s="382"/>
      <c r="L210" s="382"/>
      <c r="M210" s="382"/>
      <c r="N210" s="648">
        <f>SUM(N208:N209)</f>
        <v>7.759022400000001</v>
      </c>
      <c r="O210" s="681" t="s">
        <v>100</v>
      </c>
      <c r="P210" s="620">
        <f>ROUND((N210),2)</f>
        <v>7.76</v>
      </c>
    </row>
    <row r="211" spans="1:16" ht="15" customHeight="1">
      <c r="A211" s="375" t="s">
        <v>121</v>
      </c>
      <c r="B211" s="371" t="s">
        <v>499</v>
      </c>
      <c r="C211" s="382"/>
      <c r="D211" s="382"/>
      <c r="E211" s="382"/>
      <c r="F211" s="382"/>
      <c r="G211" s="382"/>
      <c r="H211" s="382"/>
      <c r="I211" s="382"/>
      <c r="J211" s="382"/>
      <c r="K211" s="382"/>
      <c r="L211" s="382"/>
      <c r="M211" s="382"/>
      <c r="N211" s="382"/>
      <c r="O211" s="367"/>
      <c r="P211" s="620"/>
    </row>
    <row r="212" spans="1:16" ht="15" customHeight="1">
      <c r="A212" s="375"/>
      <c r="B212" s="682" t="str">
        <f>B208</f>
        <v>kolom</v>
      </c>
      <c r="C212" s="382">
        <f>D200</f>
        <v>0.15</v>
      </c>
      <c r="D212" s="382">
        <f>C212</f>
        <v>0.15</v>
      </c>
      <c r="E212" s="382">
        <f>E200</f>
        <v>1.5</v>
      </c>
      <c r="F212" s="382"/>
      <c r="G212" s="382"/>
      <c r="H212" s="382"/>
      <c r="I212" s="382"/>
      <c r="J212" s="382"/>
      <c r="K212" s="382"/>
      <c r="L212" s="382"/>
      <c r="M212" s="382">
        <f>M208</f>
        <v>4</v>
      </c>
      <c r="N212" s="382">
        <f>C212*D212*E212*M212</f>
        <v>0.13500000000000001</v>
      </c>
      <c r="O212" s="367"/>
      <c r="P212" s="620"/>
    </row>
    <row r="213" spans="1:16" ht="15" customHeight="1">
      <c r="A213" s="375"/>
      <c r="B213" s="682" t="str">
        <f>B209</f>
        <v>dak beton</v>
      </c>
      <c r="C213" s="382">
        <f>C201</f>
        <v>2</v>
      </c>
      <c r="D213" s="382">
        <f>E201</f>
        <v>0.15</v>
      </c>
      <c r="E213" s="382">
        <f>D213</f>
        <v>0.15</v>
      </c>
      <c r="F213" s="382"/>
      <c r="G213" s="382"/>
      <c r="H213" s="382"/>
      <c r="I213" s="382"/>
      <c r="J213" s="382"/>
      <c r="K213" s="382"/>
      <c r="L213" s="382"/>
      <c r="M213" s="382">
        <f>M209</f>
        <v>4</v>
      </c>
      <c r="N213" s="624">
        <f>C213*D213*E213*M213</f>
        <v>0.18</v>
      </c>
      <c r="O213" s="367"/>
      <c r="P213" s="620"/>
    </row>
    <row r="214" spans="1:16" ht="15" customHeight="1">
      <c r="A214" s="375"/>
      <c r="B214" s="371"/>
      <c r="C214" s="382"/>
      <c r="D214" s="382"/>
      <c r="E214" s="382"/>
      <c r="F214" s="382"/>
      <c r="G214" s="382"/>
      <c r="H214" s="382"/>
      <c r="I214" s="382"/>
      <c r="J214" s="382"/>
      <c r="K214" s="382"/>
      <c r="L214" s="382"/>
      <c r="M214" s="382"/>
      <c r="N214" s="648">
        <f>SUM(N212:N213)</f>
        <v>0.315</v>
      </c>
      <c r="O214" s="681" t="s">
        <v>103</v>
      </c>
      <c r="P214" s="620">
        <f>ROUND((N214),2)</f>
        <v>0.32</v>
      </c>
    </row>
    <row r="215" spans="1:16" ht="15" customHeight="1">
      <c r="A215" s="373">
        <f>A198+1</f>
        <v>8</v>
      </c>
      <c r="B215" s="366" t="s">
        <v>501</v>
      </c>
      <c r="C215" s="382"/>
      <c r="D215" s="382"/>
      <c r="E215" s="382"/>
      <c r="F215" s="382"/>
      <c r="G215" s="382"/>
      <c r="H215" s="382"/>
      <c r="I215" s="382"/>
      <c r="J215" s="382"/>
      <c r="K215" s="382"/>
      <c r="L215" s="382"/>
      <c r="M215" s="382"/>
      <c r="N215" s="382"/>
      <c r="O215" s="383"/>
      <c r="P215" s="620"/>
    </row>
    <row r="216" spans="1:16" ht="15" customHeight="1">
      <c r="A216" s="375" t="s">
        <v>95</v>
      </c>
      <c r="B216" s="358" t="s">
        <v>221</v>
      </c>
      <c r="C216" s="382">
        <f>C189</f>
        <v>2.75</v>
      </c>
      <c r="D216" s="382"/>
      <c r="E216" s="382">
        <f>E194</f>
        <v>0.2</v>
      </c>
      <c r="F216" s="382"/>
      <c r="G216" s="382"/>
      <c r="H216" s="382">
        <v>4</v>
      </c>
      <c r="I216" s="382"/>
      <c r="J216" s="382"/>
      <c r="K216" s="382"/>
      <c r="L216" s="382"/>
      <c r="M216" s="382"/>
      <c r="N216" s="382">
        <f>C216*E216*H216</f>
        <v>2.2000000000000002</v>
      </c>
      <c r="O216" s="367" t="s">
        <v>89</v>
      </c>
      <c r="P216" s="620">
        <f>ROUND((N216),2)</f>
        <v>2.2000000000000002</v>
      </c>
    </row>
    <row r="217" spans="1:16" ht="15" customHeight="1">
      <c r="A217" s="375" t="s">
        <v>98</v>
      </c>
      <c r="B217" s="358" t="s">
        <v>486</v>
      </c>
      <c r="C217" s="382">
        <f>C216-0.08</f>
        <v>2.67</v>
      </c>
      <c r="D217" s="382"/>
      <c r="E217" s="382"/>
      <c r="F217" s="514">
        <f>ROUNDDOWN((C217/0.15),0.5)+1</f>
        <v>18</v>
      </c>
      <c r="G217" s="382"/>
      <c r="H217" s="382"/>
      <c r="I217" s="382"/>
      <c r="J217" s="382"/>
      <c r="K217" s="382">
        <v>0.2</v>
      </c>
      <c r="L217" s="382">
        <f>10*10*0.006165</f>
        <v>0.61650000000000005</v>
      </c>
      <c r="M217" s="382">
        <v>2</v>
      </c>
      <c r="N217" s="382">
        <f>(C217+K217)*F217*M217*L217</f>
        <v>63.696780000000011</v>
      </c>
      <c r="O217" s="367" t="s">
        <v>100</v>
      </c>
      <c r="P217" s="620">
        <f>ROUND((N217),2)</f>
        <v>63.7</v>
      </c>
    </row>
    <row r="218" spans="1:16" ht="15" customHeight="1">
      <c r="A218" s="375" t="s">
        <v>101</v>
      </c>
      <c r="B218" s="371" t="s">
        <v>499</v>
      </c>
      <c r="C218" s="382">
        <f>C216</f>
        <v>2.75</v>
      </c>
      <c r="D218" s="382">
        <f>C216</f>
        <v>2.75</v>
      </c>
      <c r="E218" s="382">
        <f>E216</f>
        <v>0.2</v>
      </c>
      <c r="F218" s="382"/>
      <c r="G218" s="382"/>
      <c r="H218" s="382"/>
      <c r="I218" s="382"/>
      <c r="J218" s="382"/>
      <c r="K218" s="382"/>
      <c r="L218" s="382"/>
      <c r="M218" s="382"/>
      <c r="N218" s="382">
        <f>C218*D218*E218</f>
        <v>1.5125000000000002</v>
      </c>
      <c r="O218" s="367" t="s">
        <v>103</v>
      </c>
      <c r="P218" s="620">
        <f>ROUND((N218),2)</f>
        <v>1.51</v>
      </c>
    </row>
    <row r="219" spans="1:16" ht="15" customHeight="1">
      <c r="A219" s="373">
        <f>A215+1</f>
        <v>9</v>
      </c>
      <c r="B219" s="366" t="s">
        <v>502</v>
      </c>
      <c r="C219" s="382"/>
      <c r="D219" s="382"/>
      <c r="E219" s="382"/>
      <c r="F219" s="382"/>
      <c r="G219" s="382"/>
      <c r="H219" s="382"/>
      <c r="I219" s="382"/>
      <c r="J219" s="382"/>
      <c r="K219" s="382"/>
      <c r="L219" s="382"/>
      <c r="M219" s="382"/>
      <c r="N219" s="382"/>
      <c r="O219" s="383"/>
      <c r="P219" s="620"/>
    </row>
    <row r="220" spans="1:16" ht="15" customHeight="1">
      <c r="A220" s="375" t="s">
        <v>95</v>
      </c>
      <c r="B220" s="366" t="s">
        <v>503</v>
      </c>
      <c r="C220" s="382">
        <f>C201</f>
        <v>2</v>
      </c>
      <c r="D220" s="382">
        <f>E200</f>
        <v>1.5</v>
      </c>
      <c r="E220" s="382"/>
      <c r="F220" s="382"/>
      <c r="G220" s="382"/>
      <c r="H220" s="382">
        <v>2</v>
      </c>
      <c r="I220" s="382"/>
      <c r="J220" s="382"/>
      <c r="K220" s="382"/>
      <c r="L220" s="382"/>
      <c r="M220" s="382">
        <v>4</v>
      </c>
      <c r="N220" s="382">
        <f>C220*D220*H220*M220</f>
        <v>24</v>
      </c>
      <c r="O220" s="367" t="s">
        <v>89</v>
      </c>
      <c r="P220" s="620">
        <f>ROUND((N220),2)</f>
        <v>24</v>
      </c>
    </row>
    <row r="221" spans="1:16" ht="15" customHeight="1">
      <c r="A221" s="375" t="s">
        <v>98</v>
      </c>
      <c r="B221" s="358" t="s">
        <v>504</v>
      </c>
      <c r="C221" s="382"/>
      <c r="D221" s="382"/>
      <c r="E221" s="382"/>
      <c r="F221" s="382"/>
      <c r="G221" s="382"/>
      <c r="H221" s="382"/>
      <c r="I221" s="382"/>
      <c r="J221" s="382"/>
      <c r="K221" s="382"/>
      <c r="L221" s="382"/>
      <c r="M221" s="382"/>
      <c r="N221" s="382"/>
      <c r="O221" s="367"/>
      <c r="P221" s="620"/>
    </row>
    <row r="222" spans="1:16" ht="15" customHeight="1">
      <c r="A222" s="375"/>
      <c r="B222" s="391"/>
      <c r="C222" s="382">
        <f>C220</f>
        <v>2</v>
      </c>
      <c r="D222" s="382"/>
      <c r="E222" s="382"/>
      <c r="F222" s="514">
        <f>ROUNDDOWN((C223/0.15),0.5)+1</f>
        <v>11</v>
      </c>
      <c r="G222" s="382"/>
      <c r="H222" s="382"/>
      <c r="I222" s="382"/>
      <c r="J222" s="382"/>
      <c r="K222" s="382">
        <v>0.15</v>
      </c>
      <c r="L222" s="382">
        <f>10*10*0.006165</f>
        <v>0.61650000000000005</v>
      </c>
      <c r="M222" s="382">
        <f>M220</f>
        <v>4</v>
      </c>
      <c r="N222" s="382">
        <f>C222*F222*K222*L222*M222</f>
        <v>8.1378000000000004</v>
      </c>
      <c r="O222" s="367"/>
      <c r="P222" s="620"/>
    </row>
    <row r="223" spans="1:16" ht="15" customHeight="1">
      <c r="A223" s="375"/>
      <c r="B223" s="391"/>
      <c r="C223" s="382">
        <f>D220</f>
        <v>1.5</v>
      </c>
      <c r="D223" s="382"/>
      <c r="E223" s="382"/>
      <c r="F223" s="514">
        <f>ROUNDDOWN((C222/0.15),0.5)+1</f>
        <v>14</v>
      </c>
      <c r="G223" s="382"/>
      <c r="H223" s="382"/>
      <c r="I223" s="382"/>
      <c r="J223" s="382"/>
      <c r="K223" s="382">
        <f>K222</f>
        <v>0.15</v>
      </c>
      <c r="L223" s="382">
        <f>L222</f>
        <v>0.61650000000000005</v>
      </c>
      <c r="M223" s="382">
        <f>M222</f>
        <v>4</v>
      </c>
      <c r="N223" s="624">
        <f>C223*F223*K223*L223*M223</f>
        <v>7.7679</v>
      </c>
      <c r="O223" s="367"/>
      <c r="P223" s="620"/>
    </row>
    <row r="224" spans="1:16" ht="15" customHeight="1">
      <c r="A224" s="375"/>
      <c r="B224" s="391"/>
      <c r="C224" s="382"/>
      <c r="D224" s="382"/>
      <c r="E224" s="382"/>
      <c r="F224" s="382"/>
      <c r="G224" s="382"/>
      <c r="H224" s="382"/>
      <c r="I224" s="382"/>
      <c r="J224" s="382"/>
      <c r="K224" s="382"/>
      <c r="L224" s="382"/>
      <c r="M224" s="382"/>
      <c r="N224" s="648">
        <f>SUM(N222:N223)</f>
        <v>15.9057</v>
      </c>
      <c r="O224" s="681" t="s">
        <v>100</v>
      </c>
      <c r="P224" s="620">
        <f>ROUND((N224),2)</f>
        <v>15.91</v>
      </c>
    </row>
    <row r="225" spans="1:16" ht="15" customHeight="1">
      <c r="A225" s="375" t="s">
        <v>101</v>
      </c>
      <c r="B225" s="371" t="s">
        <v>499</v>
      </c>
      <c r="C225" s="382">
        <f>C220</f>
        <v>2</v>
      </c>
      <c r="D225" s="382">
        <f>D220</f>
        <v>1.5</v>
      </c>
      <c r="E225" s="382">
        <v>0.15</v>
      </c>
      <c r="F225" s="382"/>
      <c r="G225" s="382"/>
      <c r="H225" s="382"/>
      <c r="I225" s="382"/>
      <c r="J225" s="382"/>
      <c r="K225" s="382"/>
      <c r="L225" s="382"/>
      <c r="M225" s="382">
        <f>M223</f>
        <v>4</v>
      </c>
      <c r="N225" s="382">
        <f>C225*D225*E225*M225</f>
        <v>1.7999999999999998</v>
      </c>
      <c r="O225" s="367" t="s">
        <v>103</v>
      </c>
      <c r="P225" s="620">
        <f>ROUND((N225),2)</f>
        <v>1.8</v>
      </c>
    </row>
    <row r="226" spans="1:16" ht="15" customHeight="1">
      <c r="A226" s="373">
        <f>A219+1</f>
        <v>10</v>
      </c>
      <c r="B226" s="366" t="s">
        <v>505</v>
      </c>
      <c r="C226" s="382"/>
      <c r="D226" s="382"/>
      <c r="E226" s="382"/>
      <c r="F226" s="382"/>
      <c r="G226" s="382"/>
      <c r="H226" s="382"/>
      <c r="I226" s="382"/>
      <c r="J226" s="382"/>
      <c r="K226" s="382"/>
      <c r="L226" s="382"/>
      <c r="M226" s="382"/>
      <c r="N226" s="382"/>
      <c r="O226" s="383"/>
      <c r="P226" s="620"/>
    </row>
    <row r="227" spans="1:16" ht="15" customHeight="1">
      <c r="A227" s="375" t="s">
        <v>95</v>
      </c>
      <c r="B227" s="366" t="s">
        <v>148</v>
      </c>
      <c r="C227" s="382"/>
      <c r="D227" s="382"/>
      <c r="E227" s="382"/>
      <c r="F227" s="382"/>
      <c r="G227" s="382"/>
      <c r="H227" s="382"/>
      <c r="I227" s="382"/>
      <c r="J227" s="382"/>
      <c r="K227" s="382"/>
      <c r="L227" s="382"/>
      <c r="M227" s="382"/>
      <c r="N227" s="382"/>
      <c r="O227" s="367"/>
      <c r="P227" s="620"/>
    </row>
    <row r="228" spans="1:16" ht="15" customHeight="1">
      <c r="A228" s="375"/>
      <c r="B228" s="643" t="s">
        <v>1089</v>
      </c>
      <c r="C228" s="382">
        <f>C201</f>
        <v>2</v>
      </c>
      <c r="D228" s="382">
        <f>C228</f>
        <v>2</v>
      </c>
      <c r="E228" s="382"/>
      <c r="F228" s="382"/>
      <c r="G228" s="382"/>
      <c r="H228" s="382"/>
      <c r="I228" s="382"/>
      <c r="J228" s="382"/>
      <c r="K228" s="382"/>
      <c r="L228" s="382"/>
      <c r="M228" s="382"/>
      <c r="N228" s="382">
        <f>C228*D228</f>
        <v>4</v>
      </c>
      <c r="O228" s="367"/>
      <c r="P228" s="620"/>
    </row>
    <row r="229" spans="1:16" ht="15" customHeight="1">
      <c r="A229" s="375"/>
      <c r="B229" s="643" t="s">
        <v>1090</v>
      </c>
      <c r="C229" s="382">
        <v>0.6</v>
      </c>
      <c r="D229" s="382">
        <v>0.6</v>
      </c>
      <c r="E229" s="382"/>
      <c r="F229" s="382"/>
      <c r="G229" s="382"/>
      <c r="H229" s="382"/>
      <c r="I229" s="382"/>
      <c r="J229" s="382"/>
      <c r="K229" s="382"/>
      <c r="L229" s="382"/>
      <c r="M229" s="382"/>
      <c r="N229" s="683">
        <f>-C229*D229</f>
        <v>-0.36</v>
      </c>
      <c r="O229" s="367"/>
      <c r="P229" s="620"/>
    </row>
    <row r="230" spans="1:16" ht="15" customHeight="1">
      <c r="A230" s="375"/>
      <c r="B230" s="643" t="s">
        <v>223</v>
      </c>
      <c r="C230" s="382">
        <f>C228</f>
        <v>2</v>
      </c>
      <c r="D230" s="382"/>
      <c r="E230" s="382">
        <v>0.15</v>
      </c>
      <c r="F230" s="382"/>
      <c r="G230" s="382"/>
      <c r="H230" s="382">
        <v>4</v>
      </c>
      <c r="I230" s="382"/>
      <c r="J230" s="382"/>
      <c r="K230" s="382"/>
      <c r="L230" s="382"/>
      <c r="M230" s="382"/>
      <c r="N230" s="624">
        <f>C230*E230*H230</f>
        <v>1.2</v>
      </c>
      <c r="O230" s="367"/>
      <c r="P230" s="620"/>
    </row>
    <row r="231" spans="1:16" ht="15" customHeight="1">
      <c r="A231" s="375"/>
      <c r="B231" s="366"/>
      <c r="C231" s="382"/>
      <c r="D231" s="382"/>
      <c r="E231" s="382"/>
      <c r="F231" s="382"/>
      <c r="G231" s="382"/>
      <c r="H231" s="382"/>
      <c r="I231" s="382"/>
      <c r="J231" s="382"/>
      <c r="K231" s="382"/>
      <c r="L231" s="382"/>
      <c r="M231" s="382"/>
      <c r="N231" s="648">
        <f>SUM(N228:N230)</f>
        <v>4.84</v>
      </c>
      <c r="O231" s="681" t="s">
        <v>89</v>
      </c>
      <c r="P231" s="620">
        <f>ROUND((N231),2)</f>
        <v>4.84</v>
      </c>
    </row>
    <row r="232" spans="1:16" ht="15" customHeight="1">
      <c r="A232" s="375" t="s">
        <v>98</v>
      </c>
      <c r="B232" s="358" t="s">
        <v>504</v>
      </c>
      <c r="C232" s="382"/>
      <c r="D232" s="382"/>
      <c r="E232" s="382"/>
      <c r="F232" s="382"/>
      <c r="G232" s="382"/>
      <c r="H232" s="382"/>
      <c r="I232" s="382"/>
      <c r="J232" s="382"/>
      <c r="K232" s="382"/>
      <c r="L232" s="382"/>
      <c r="M232" s="382"/>
      <c r="N232" s="382"/>
      <c r="O232" s="362"/>
      <c r="P232" s="620"/>
    </row>
    <row r="233" spans="1:16" ht="15" customHeight="1">
      <c r="A233" s="375"/>
      <c r="B233" s="682" t="str">
        <f>B228</f>
        <v>lantai</v>
      </c>
      <c r="C233" s="382">
        <f>C228</f>
        <v>2</v>
      </c>
      <c r="D233" s="382"/>
      <c r="E233" s="382"/>
      <c r="F233" s="514">
        <f>ROUNDDOWN((C228/0.15),0.5)+1</f>
        <v>14</v>
      </c>
      <c r="G233" s="382"/>
      <c r="H233" s="382"/>
      <c r="I233" s="382"/>
      <c r="J233" s="382"/>
      <c r="K233" s="382">
        <v>0.25</v>
      </c>
      <c r="L233" s="382">
        <f>10*10*0.006165</f>
        <v>0.61650000000000005</v>
      </c>
      <c r="M233" s="382">
        <v>2</v>
      </c>
      <c r="N233" s="382">
        <f>(C233+K233)*F233*M233*L233</f>
        <v>38.839500000000001</v>
      </c>
      <c r="O233" s="367"/>
      <c r="P233" s="620"/>
    </row>
    <row r="234" spans="1:16" ht="15" customHeight="1">
      <c r="A234" s="375"/>
      <c r="B234" s="682" t="str">
        <f>B229</f>
        <v>pengurang (manhole)</v>
      </c>
      <c r="C234" s="382">
        <f>C229</f>
        <v>0.6</v>
      </c>
      <c r="D234" s="382"/>
      <c r="E234" s="382"/>
      <c r="F234" s="514">
        <f>ROUNDDOWN((C229/0.15),0.5)+1</f>
        <v>5</v>
      </c>
      <c r="G234" s="382"/>
      <c r="H234" s="382"/>
      <c r="I234" s="382"/>
      <c r="J234" s="382"/>
      <c r="K234" s="382"/>
      <c r="L234" s="382">
        <f>L233</f>
        <v>0.61650000000000005</v>
      </c>
      <c r="M234" s="382">
        <f>M233</f>
        <v>2</v>
      </c>
      <c r="N234" s="624">
        <f>-C234*F234*M234*L234</f>
        <v>-3.6990000000000003</v>
      </c>
      <c r="O234" s="362"/>
      <c r="P234" s="620"/>
    </row>
    <row r="235" spans="1:16" ht="15" customHeight="1">
      <c r="A235" s="375"/>
      <c r="B235" s="673"/>
      <c r="C235" s="382"/>
      <c r="D235" s="382"/>
      <c r="E235" s="382"/>
      <c r="F235" s="382"/>
      <c r="G235" s="382"/>
      <c r="H235" s="382"/>
      <c r="I235" s="382"/>
      <c r="J235" s="382"/>
      <c r="K235" s="382"/>
      <c r="L235" s="382"/>
      <c r="M235" s="382"/>
      <c r="N235" s="648">
        <f>SUM(N233:N234)</f>
        <v>35.140500000000003</v>
      </c>
      <c r="O235" s="681" t="s">
        <v>100</v>
      </c>
      <c r="P235" s="620">
        <f>ROUND((N235),2)</f>
        <v>35.14</v>
      </c>
    </row>
    <row r="236" spans="1:16" ht="15" customHeight="1">
      <c r="A236" s="375" t="s">
        <v>101</v>
      </c>
      <c r="B236" s="371" t="s">
        <v>420</v>
      </c>
      <c r="C236" s="382"/>
      <c r="D236" s="382"/>
      <c r="F236" s="382"/>
      <c r="G236" s="382"/>
      <c r="H236" s="382"/>
      <c r="I236" s="382"/>
      <c r="J236" s="382"/>
      <c r="K236" s="382"/>
      <c r="L236" s="382"/>
      <c r="M236" s="382"/>
      <c r="N236" s="683"/>
      <c r="O236" s="367"/>
      <c r="P236" s="620"/>
    </row>
    <row r="237" spans="1:16" ht="15" customHeight="1">
      <c r="A237" s="375"/>
      <c r="B237" s="682" t="s">
        <v>1089</v>
      </c>
      <c r="C237" s="382">
        <f>C228</f>
        <v>2</v>
      </c>
      <c r="D237" s="382">
        <f>D228</f>
        <v>2</v>
      </c>
      <c r="E237" s="382">
        <f>E230</f>
        <v>0.15</v>
      </c>
      <c r="F237" s="382"/>
      <c r="G237" s="382"/>
      <c r="H237" s="382"/>
      <c r="I237" s="382"/>
      <c r="J237" s="382"/>
      <c r="K237" s="382"/>
      <c r="L237" s="382"/>
      <c r="M237" s="382"/>
      <c r="N237" s="683">
        <f>C237*D237*E237</f>
        <v>0.6</v>
      </c>
      <c r="O237" s="367"/>
      <c r="P237" s="620"/>
    </row>
    <row r="238" spans="1:16" ht="15" customHeight="1">
      <c r="A238" s="375"/>
      <c r="B238" s="682" t="s">
        <v>1091</v>
      </c>
      <c r="C238" s="382">
        <f>0.6+0.05</f>
        <v>0.65</v>
      </c>
      <c r="D238" s="382">
        <v>0.1</v>
      </c>
      <c r="E238" s="382">
        <v>0.1</v>
      </c>
      <c r="F238" s="382"/>
      <c r="G238" s="382"/>
      <c r="H238" s="382">
        <v>4</v>
      </c>
      <c r="I238" s="382"/>
      <c r="J238" s="382"/>
      <c r="K238" s="382"/>
      <c r="L238" s="382"/>
      <c r="M238" s="382"/>
      <c r="N238" s="683">
        <f>C238*D238*E238*H238</f>
        <v>2.6000000000000002E-2</v>
      </c>
      <c r="O238" s="367"/>
      <c r="P238" s="620"/>
    </row>
    <row r="239" spans="1:16" ht="15" customHeight="1">
      <c r="A239" s="375"/>
      <c r="B239" s="682" t="str">
        <f>B234</f>
        <v>pengurang (manhole)</v>
      </c>
      <c r="C239" s="382">
        <v>0.6</v>
      </c>
      <c r="D239" s="382">
        <v>0.6</v>
      </c>
      <c r="E239" s="382">
        <f>E237</f>
        <v>0.15</v>
      </c>
      <c r="F239" s="382"/>
      <c r="G239" s="382"/>
      <c r="H239" s="382"/>
      <c r="I239" s="382"/>
      <c r="J239" s="382"/>
      <c r="K239" s="382"/>
      <c r="L239" s="382"/>
      <c r="M239" s="382"/>
      <c r="N239" s="624">
        <f>-C239*D239*E239</f>
        <v>-5.3999999999999999E-2</v>
      </c>
      <c r="O239" s="367"/>
      <c r="P239" s="620"/>
    </row>
    <row r="240" spans="1:16" ht="15" customHeight="1">
      <c r="A240" s="375"/>
      <c r="B240" s="673"/>
      <c r="C240" s="382"/>
      <c r="D240" s="382"/>
      <c r="E240" s="382"/>
      <c r="F240" s="382"/>
      <c r="G240" s="382"/>
      <c r="H240" s="382"/>
      <c r="I240" s="382"/>
      <c r="J240" s="382"/>
      <c r="K240" s="382"/>
      <c r="L240" s="382"/>
      <c r="M240" s="382"/>
      <c r="N240" s="648">
        <f>SUM(N237:N239)</f>
        <v>0.57199999999999995</v>
      </c>
      <c r="O240" s="681" t="s">
        <v>103</v>
      </c>
      <c r="P240" s="620">
        <f>ROUND((N240),2)</f>
        <v>0.56999999999999995</v>
      </c>
    </row>
    <row r="241" spans="1:16" ht="15" customHeight="1">
      <c r="A241" s="373">
        <f>A226+1</f>
        <v>11</v>
      </c>
      <c r="B241" s="371" t="s">
        <v>506</v>
      </c>
      <c r="C241" s="382"/>
      <c r="D241" s="382"/>
      <c r="E241" s="382"/>
      <c r="F241" s="382"/>
      <c r="G241" s="382"/>
      <c r="H241" s="382"/>
      <c r="I241" s="382"/>
      <c r="J241" s="382"/>
      <c r="K241" s="382"/>
      <c r="L241" s="382"/>
      <c r="M241" s="382"/>
      <c r="N241" s="382"/>
      <c r="O241" s="367"/>
      <c r="P241" s="620"/>
    </row>
    <row r="242" spans="1:16" ht="15" customHeight="1">
      <c r="A242" s="375" t="s">
        <v>95</v>
      </c>
      <c r="B242" s="366" t="s">
        <v>148</v>
      </c>
      <c r="C242" s="382"/>
      <c r="D242" s="382"/>
      <c r="E242" s="382"/>
      <c r="F242" s="382"/>
      <c r="G242" s="382"/>
      <c r="H242" s="382"/>
      <c r="I242" s="382"/>
      <c r="J242" s="382"/>
      <c r="K242" s="382"/>
      <c r="L242" s="382"/>
      <c r="M242" s="382"/>
      <c r="N242" s="382"/>
      <c r="O242" s="367"/>
      <c r="P242" s="620"/>
    </row>
    <row r="243" spans="1:16" ht="15" customHeight="1">
      <c r="A243" s="375"/>
      <c r="B243" s="643" t="s">
        <v>1089</v>
      </c>
      <c r="C243" s="382">
        <v>0.6</v>
      </c>
      <c r="D243" s="382">
        <v>0.6</v>
      </c>
      <c r="E243" s="382"/>
      <c r="F243" s="382"/>
      <c r="G243" s="382"/>
      <c r="H243" s="382"/>
      <c r="I243" s="382"/>
      <c r="J243" s="382"/>
      <c r="K243" s="382"/>
      <c r="L243" s="382"/>
      <c r="M243" s="382"/>
      <c r="N243" s="382">
        <f>C243*D243</f>
        <v>0.36</v>
      </c>
      <c r="O243" s="367"/>
      <c r="P243" s="620"/>
    </row>
    <row r="244" spans="1:16" ht="15" customHeight="1">
      <c r="A244" s="375"/>
      <c r="B244" s="643" t="s">
        <v>223</v>
      </c>
      <c r="C244" s="382">
        <v>0.6</v>
      </c>
      <c r="D244" s="382"/>
      <c r="E244" s="382">
        <v>0.1</v>
      </c>
      <c r="F244" s="382"/>
      <c r="G244" s="382"/>
      <c r="H244" s="382">
        <v>4</v>
      </c>
      <c r="I244" s="382"/>
      <c r="J244" s="382"/>
      <c r="K244" s="382"/>
      <c r="L244" s="382"/>
      <c r="M244" s="382"/>
      <c r="N244" s="624">
        <f>C244*E244*H244</f>
        <v>0.24</v>
      </c>
      <c r="O244" s="367"/>
      <c r="P244" s="620"/>
    </row>
    <row r="245" spans="1:16" ht="15" customHeight="1">
      <c r="A245" s="375"/>
      <c r="B245" s="366"/>
      <c r="C245" s="382"/>
      <c r="D245" s="382"/>
      <c r="E245" s="382"/>
      <c r="F245" s="382"/>
      <c r="G245" s="382"/>
      <c r="H245" s="382"/>
      <c r="I245" s="382"/>
      <c r="J245" s="382"/>
      <c r="K245" s="382"/>
      <c r="L245" s="382"/>
      <c r="M245" s="382"/>
      <c r="N245" s="648">
        <f>SUM(N243:N244)</f>
        <v>0.6</v>
      </c>
      <c r="O245" s="681" t="s">
        <v>89</v>
      </c>
      <c r="P245" s="620">
        <f>ROUND((N245),2)</f>
        <v>0.6</v>
      </c>
    </row>
    <row r="246" spans="1:16" ht="15" customHeight="1">
      <c r="A246" s="375" t="s">
        <v>98</v>
      </c>
      <c r="B246" s="358" t="s">
        <v>498</v>
      </c>
      <c r="C246" s="382">
        <f>C243</f>
        <v>0.6</v>
      </c>
      <c r="D246" s="382"/>
      <c r="E246" s="382"/>
      <c r="F246" s="514">
        <f>ROUNDDOWN((C243/0.15),0.5)+1</f>
        <v>5</v>
      </c>
      <c r="G246" s="382"/>
      <c r="H246" s="382"/>
      <c r="I246" s="382"/>
      <c r="J246" s="382"/>
      <c r="K246" s="382">
        <v>0.1</v>
      </c>
      <c r="L246" s="382">
        <f>10*10*0.006165</f>
        <v>0.61650000000000005</v>
      </c>
      <c r="M246" s="382">
        <v>2</v>
      </c>
      <c r="N246" s="382">
        <f>(C246+K246)*F246*M246*L246</f>
        <v>4.3155000000000001</v>
      </c>
      <c r="O246" s="367" t="s">
        <v>100</v>
      </c>
      <c r="P246" s="620">
        <f>ROUND((N246),2)</f>
        <v>4.32</v>
      </c>
    </row>
    <row r="247" spans="1:16" ht="15" customHeight="1">
      <c r="A247" s="375" t="s">
        <v>101</v>
      </c>
      <c r="B247" s="391" t="s">
        <v>507</v>
      </c>
      <c r="C247" s="382">
        <f>C243/2</f>
        <v>0.3</v>
      </c>
      <c r="D247" s="382"/>
      <c r="E247" s="382"/>
      <c r="F247" s="514">
        <v>2</v>
      </c>
      <c r="G247" s="382"/>
      <c r="H247" s="382"/>
      <c r="I247" s="382"/>
      <c r="J247" s="382"/>
      <c r="K247" s="382"/>
      <c r="L247" s="382">
        <f>8*8*0.006165</f>
        <v>0.39456000000000002</v>
      </c>
      <c r="M247" s="382"/>
      <c r="N247" s="683">
        <f>C247*F247*L247</f>
        <v>0.236736</v>
      </c>
      <c r="O247" s="367" t="s">
        <v>100</v>
      </c>
      <c r="P247" s="620">
        <f>ROUND((N247),2)</f>
        <v>0.24</v>
      </c>
    </row>
    <row r="248" spans="1:16" ht="15" customHeight="1">
      <c r="A248" s="375" t="s">
        <v>121</v>
      </c>
      <c r="B248" s="371" t="s">
        <v>420</v>
      </c>
      <c r="C248" s="382">
        <f>C243</f>
        <v>0.6</v>
      </c>
      <c r="D248" s="382">
        <f>D243</f>
        <v>0.6</v>
      </c>
      <c r="E248" s="382">
        <f>E244</f>
        <v>0.1</v>
      </c>
      <c r="F248" s="382"/>
      <c r="G248" s="382"/>
      <c r="H248" s="382"/>
      <c r="I248" s="382"/>
      <c r="J248" s="382"/>
      <c r="K248" s="382"/>
      <c r="L248" s="382"/>
      <c r="M248" s="382"/>
      <c r="N248" s="683">
        <f>C248*D248*E248</f>
        <v>3.5999999999999997E-2</v>
      </c>
      <c r="O248" s="367" t="s">
        <v>103</v>
      </c>
      <c r="P248" s="620">
        <f>ROUND((N248),2)</f>
        <v>0.04</v>
      </c>
    </row>
    <row r="249" spans="1:16" ht="15" customHeight="1">
      <c r="A249" s="373">
        <f>A241+1</f>
        <v>12</v>
      </c>
      <c r="B249" s="371" t="s">
        <v>508</v>
      </c>
      <c r="C249" s="382"/>
      <c r="D249" s="382"/>
      <c r="E249" s="382"/>
      <c r="F249" s="382"/>
      <c r="G249" s="382"/>
      <c r="H249" s="382"/>
      <c r="I249" s="382"/>
      <c r="J249" s="382"/>
      <c r="K249" s="382"/>
      <c r="L249" s="382"/>
      <c r="M249" s="382"/>
      <c r="N249" s="382"/>
      <c r="O249" s="362"/>
      <c r="P249" s="620"/>
    </row>
    <row r="250" spans="1:16" ht="15" customHeight="1">
      <c r="A250" s="373"/>
      <c r="B250" s="647" t="s">
        <v>1088</v>
      </c>
      <c r="C250" s="382">
        <f>C237</f>
        <v>2</v>
      </c>
      <c r="D250" s="382">
        <f>D237</f>
        <v>2</v>
      </c>
      <c r="E250" s="382"/>
      <c r="F250" s="382"/>
      <c r="G250" s="382"/>
      <c r="H250" s="382">
        <v>1</v>
      </c>
      <c r="I250" s="382"/>
      <c r="J250" s="382"/>
      <c r="K250" s="382"/>
      <c r="L250" s="382"/>
      <c r="M250" s="382"/>
      <c r="N250" s="382">
        <f>C250*D250*H250</f>
        <v>4</v>
      </c>
      <c r="O250" s="362"/>
      <c r="P250" s="620"/>
    </row>
    <row r="251" spans="1:16" ht="15" customHeight="1">
      <c r="A251" s="373"/>
      <c r="B251" s="647" t="s">
        <v>1092</v>
      </c>
      <c r="C251" s="382">
        <f>C225</f>
        <v>2</v>
      </c>
      <c r="D251" s="382">
        <f>D225</f>
        <v>1.5</v>
      </c>
      <c r="E251" s="382"/>
      <c r="F251" s="382"/>
      <c r="G251" s="382"/>
      <c r="H251" s="382">
        <v>4</v>
      </c>
      <c r="I251" s="382"/>
      <c r="J251" s="382"/>
      <c r="K251" s="382"/>
      <c r="L251" s="382"/>
      <c r="M251" s="382"/>
      <c r="N251" s="382">
        <f>C251*D251*H251</f>
        <v>12</v>
      </c>
      <c r="O251" s="362"/>
      <c r="P251" s="620"/>
    </row>
    <row r="252" spans="1:16" ht="15" customHeight="1">
      <c r="A252" s="373"/>
      <c r="B252" s="647" t="s">
        <v>1089</v>
      </c>
      <c r="C252" s="382">
        <f>C218</f>
        <v>2.75</v>
      </c>
      <c r="D252" s="382">
        <f>D218</f>
        <v>2.75</v>
      </c>
      <c r="E252" s="382"/>
      <c r="F252" s="382"/>
      <c r="G252" s="382"/>
      <c r="H252" s="382">
        <v>1</v>
      </c>
      <c r="I252" s="382"/>
      <c r="J252" s="382"/>
      <c r="K252" s="382"/>
      <c r="L252" s="382"/>
      <c r="M252" s="382"/>
      <c r="N252" s="624">
        <f>C252*D252*H252</f>
        <v>7.5625</v>
      </c>
      <c r="O252" s="362"/>
      <c r="P252" s="620"/>
    </row>
    <row r="253" spans="1:16" ht="15" customHeight="1">
      <c r="A253" s="373"/>
      <c r="B253" s="371"/>
      <c r="C253" s="382"/>
      <c r="D253" s="382"/>
      <c r="E253" s="382"/>
      <c r="F253" s="382"/>
      <c r="G253" s="382"/>
      <c r="H253" s="382"/>
      <c r="I253" s="382"/>
      <c r="J253" s="382"/>
      <c r="K253" s="382"/>
      <c r="L253" s="382"/>
      <c r="M253" s="382"/>
      <c r="N253" s="648">
        <f>SUM(N250:N252)</f>
        <v>23.5625</v>
      </c>
      <c r="O253" s="444" t="s">
        <v>89</v>
      </c>
      <c r="P253" s="620">
        <f>ROUND((N253),2)</f>
        <v>23.56</v>
      </c>
    </row>
    <row r="254" spans="1:16" ht="15" customHeight="1">
      <c r="A254" s="373">
        <f>A249+1</f>
        <v>13</v>
      </c>
      <c r="B254" s="371" t="s">
        <v>509</v>
      </c>
      <c r="C254" s="382"/>
      <c r="D254" s="382"/>
      <c r="E254" s="382"/>
      <c r="F254" s="382"/>
      <c r="G254" s="382"/>
      <c r="H254" s="382"/>
      <c r="I254" s="382"/>
      <c r="J254" s="382"/>
      <c r="K254" s="382"/>
      <c r="L254" s="382"/>
      <c r="M254" s="382"/>
      <c r="N254" s="382"/>
      <c r="O254" s="383"/>
      <c r="P254" s="620"/>
    </row>
    <row r="255" spans="1:16" ht="15" customHeight="1">
      <c r="A255" s="373"/>
      <c r="B255" s="647" t="s">
        <v>1093</v>
      </c>
      <c r="C255" s="382">
        <f>C194</f>
        <v>2</v>
      </c>
      <c r="D255" s="382"/>
      <c r="E255" s="382"/>
      <c r="F255" s="382"/>
      <c r="G255" s="382"/>
      <c r="H255" s="382">
        <v>4</v>
      </c>
      <c r="I255" s="382"/>
      <c r="J255" s="382"/>
      <c r="K255" s="382"/>
      <c r="L255" s="382"/>
      <c r="M255" s="382"/>
      <c r="N255" s="382">
        <f>C255*H255</f>
        <v>8</v>
      </c>
      <c r="O255" s="383"/>
      <c r="P255" s="620"/>
    </row>
    <row r="256" spans="1:16" ht="15" customHeight="1">
      <c r="A256" s="373"/>
      <c r="B256" s="647" t="s">
        <v>1094</v>
      </c>
      <c r="C256" s="382"/>
      <c r="D256" s="382"/>
      <c r="E256" s="382"/>
      <c r="F256" s="382"/>
      <c r="G256" s="382"/>
      <c r="H256" s="382"/>
      <c r="I256" s="382"/>
      <c r="J256" s="382"/>
      <c r="K256" s="382"/>
      <c r="L256" s="382"/>
      <c r="M256" s="382"/>
      <c r="N256" s="683"/>
      <c r="O256" s="383"/>
      <c r="P256" s="620"/>
    </row>
    <row r="257" spans="1:24" ht="15" customHeight="1">
      <c r="A257" s="373"/>
      <c r="B257" s="647" t="s">
        <v>1087</v>
      </c>
      <c r="C257" s="382"/>
      <c r="D257" s="382"/>
      <c r="E257" s="382">
        <f>E200</f>
        <v>1.5</v>
      </c>
      <c r="F257" s="382"/>
      <c r="G257" s="382"/>
      <c r="H257" s="382">
        <f>H255</f>
        <v>4</v>
      </c>
      <c r="I257" s="382"/>
      <c r="J257" s="382"/>
      <c r="K257" s="382"/>
      <c r="L257" s="382"/>
      <c r="M257" s="382"/>
      <c r="N257" s="382">
        <f>E257*H257</f>
        <v>6</v>
      </c>
      <c r="O257" s="383"/>
      <c r="P257" s="620"/>
    </row>
    <row r="258" spans="1:24" ht="15" customHeight="1">
      <c r="A258" s="373"/>
      <c r="B258" s="647" t="s">
        <v>1088</v>
      </c>
      <c r="C258" s="382">
        <f>C201</f>
        <v>2</v>
      </c>
      <c r="D258" s="382"/>
      <c r="E258" s="382"/>
      <c r="F258" s="382"/>
      <c r="G258" s="382"/>
      <c r="H258" s="382">
        <f>H257</f>
        <v>4</v>
      </c>
      <c r="I258" s="382"/>
      <c r="J258" s="382"/>
      <c r="K258" s="382"/>
      <c r="L258" s="382"/>
      <c r="M258" s="382"/>
      <c r="N258" s="624">
        <f>C258*H258</f>
        <v>8</v>
      </c>
      <c r="O258" s="383"/>
      <c r="P258" s="620"/>
    </row>
    <row r="259" spans="1:24" ht="15" customHeight="1">
      <c r="A259" s="373"/>
      <c r="B259" s="371"/>
      <c r="C259" s="382"/>
      <c r="D259" s="382"/>
      <c r="E259" s="382"/>
      <c r="F259" s="382"/>
      <c r="G259" s="382"/>
      <c r="H259" s="382"/>
      <c r="I259" s="382"/>
      <c r="J259" s="382"/>
      <c r="K259" s="382"/>
      <c r="L259" s="382"/>
      <c r="M259" s="382"/>
      <c r="N259" s="648">
        <f>SUM(N255:N258)</f>
        <v>22</v>
      </c>
      <c r="O259" s="663" t="s">
        <v>117</v>
      </c>
      <c r="P259" s="620">
        <f>ROUND((N259),2)</f>
        <v>22</v>
      </c>
    </row>
    <row r="260" spans="1:24" ht="15" customHeight="1">
      <c r="A260" s="373">
        <f>A254+1</f>
        <v>14</v>
      </c>
      <c r="B260" s="351" t="s">
        <v>510</v>
      </c>
      <c r="C260" s="382"/>
      <c r="D260" s="382"/>
      <c r="E260" s="382"/>
      <c r="F260" s="382"/>
      <c r="G260" s="382"/>
      <c r="H260" s="382"/>
      <c r="I260" s="382"/>
      <c r="J260" s="382"/>
      <c r="K260" s="382"/>
      <c r="L260" s="382"/>
      <c r="M260" s="382">
        <v>1</v>
      </c>
      <c r="N260" s="382">
        <f>M260</f>
        <v>1</v>
      </c>
      <c r="O260" s="349" t="s">
        <v>360</v>
      </c>
      <c r="P260" s="620">
        <f>ROUND((N260),2)</f>
        <v>1</v>
      </c>
    </row>
    <row r="261" spans="1:24" ht="15" customHeight="1">
      <c r="A261" s="373">
        <f>A260+1</f>
        <v>15</v>
      </c>
      <c r="B261" s="379" t="s">
        <v>511</v>
      </c>
      <c r="C261" s="382">
        <v>10</v>
      </c>
      <c r="D261" s="382"/>
      <c r="E261" s="382"/>
      <c r="F261" s="382"/>
      <c r="G261" s="382"/>
      <c r="H261" s="382"/>
      <c r="I261" s="382"/>
      <c r="J261" s="382"/>
      <c r="K261" s="382"/>
      <c r="L261" s="382"/>
      <c r="M261" s="382"/>
      <c r="N261" s="382">
        <f>C261</f>
        <v>10</v>
      </c>
      <c r="O261" s="383" t="s">
        <v>117</v>
      </c>
      <c r="P261" s="620">
        <f>ROUND((N261),2)</f>
        <v>10</v>
      </c>
    </row>
    <row r="262" spans="1:24" ht="15" customHeight="1">
      <c r="A262" s="373"/>
      <c r="B262" s="379"/>
      <c r="C262" s="382"/>
      <c r="D262" s="382"/>
      <c r="E262" s="382"/>
      <c r="F262" s="382"/>
      <c r="G262" s="382"/>
      <c r="H262" s="382"/>
      <c r="I262" s="382"/>
      <c r="J262" s="382"/>
      <c r="K262" s="382"/>
      <c r="L262" s="382"/>
      <c r="M262" s="382"/>
      <c r="N262" s="382"/>
      <c r="O262" s="383"/>
      <c r="P262" s="620"/>
    </row>
    <row r="263" spans="1:24" s="623" customFormat="1" ht="15.75" customHeight="1">
      <c r="A263" s="375"/>
      <c r="B263" s="379"/>
      <c r="C263" s="382"/>
      <c r="D263" s="382"/>
      <c r="E263" s="382"/>
      <c r="F263" s="382"/>
      <c r="G263" s="382"/>
      <c r="H263" s="382"/>
      <c r="I263" s="382"/>
      <c r="J263" s="382"/>
      <c r="K263" s="382"/>
      <c r="L263" s="382"/>
      <c r="M263" s="382"/>
      <c r="N263" s="382"/>
      <c r="O263" s="383"/>
      <c r="P263" s="620"/>
      <c r="Q263" s="386"/>
      <c r="R263" s="386"/>
      <c r="S263" s="386"/>
      <c r="T263" s="386"/>
      <c r="U263" s="621"/>
      <c r="V263" s="622"/>
      <c r="W263" s="622"/>
      <c r="X263" s="622"/>
    </row>
    <row r="264" spans="1:24" s="623" customFormat="1" ht="15.75" customHeight="1">
      <c r="A264" s="375"/>
      <c r="B264" s="379"/>
      <c r="C264" s="382"/>
      <c r="D264" s="382"/>
      <c r="E264" s="382"/>
      <c r="F264" s="382"/>
      <c r="G264" s="382"/>
      <c r="H264" s="382"/>
      <c r="I264" s="382"/>
      <c r="J264" s="382"/>
      <c r="K264" s="382"/>
      <c r="L264" s="382"/>
      <c r="M264" s="382"/>
      <c r="N264" s="382"/>
      <c r="O264" s="383"/>
      <c r="P264" s="620"/>
      <c r="Q264" s="386"/>
      <c r="R264" s="386"/>
      <c r="S264" s="386"/>
      <c r="T264" s="386"/>
      <c r="U264" s="621"/>
      <c r="V264" s="622"/>
      <c r="W264" s="622"/>
      <c r="X264" s="622"/>
    </row>
    <row r="265" spans="1:24" s="623" customFormat="1" ht="15.75" customHeight="1">
      <c r="A265" s="375"/>
      <c r="B265" s="379"/>
      <c r="C265" s="382"/>
      <c r="D265" s="382"/>
      <c r="E265" s="382"/>
      <c r="F265" s="382"/>
      <c r="G265" s="382"/>
      <c r="H265" s="382"/>
      <c r="I265" s="382"/>
      <c r="J265" s="382"/>
      <c r="K265" s="382"/>
      <c r="L265" s="382"/>
      <c r="M265" s="382"/>
      <c r="N265" s="382"/>
      <c r="O265" s="383"/>
      <c r="P265" s="620"/>
      <c r="Q265" s="386"/>
      <c r="R265" s="386"/>
      <c r="S265" s="386"/>
      <c r="T265" s="386"/>
      <c r="U265" s="621"/>
      <c r="V265" s="622"/>
      <c r="W265" s="622"/>
      <c r="X265" s="622"/>
    </row>
    <row r="266" spans="1:24" ht="15" customHeight="1">
      <c r="A266" s="375"/>
      <c r="B266" s="379"/>
      <c r="C266" s="382"/>
      <c r="D266" s="382"/>
      <c r="E266" s="382"/>
      <c r="F266" s="382"/>
      <c r="G266" s="382"/>
      <c r="H266" s="382"/>
      <c r="I266" s="382"/>
      <c r="J266" s="382"/>
      <c r="K266" s="382"/>
      <c r="L266" s="382"/>
      <c r="M266" s="382"/>
      <c r="N266" s="382"/>
      <c r="O266" s="383"/>
      <c r="P266" s="620"/>
    </row>
    <row r="267" spans="1:24" ht="15" customHeight="1">
      <c r="A267" s="375"/>
      <c r="B267" s="379"/>
      <c r="C267" s="382"/>
      <c r="D267" s="382"/>
      <c r="E267" s="382"/>
      <c r="F267" s="382"/>
      <c r="G267" s="382"/>
      <c r="H267" s="382"/>
      <c r="I267" s="382"/>
      <c r="J267" s="382"/>
      <c r="K267" s="382"/>
      <c r="L267" s="382"/>
      <c r="M267" s="382"/>
      <c r="N267" s="382"/>
      <c r="O267" s="383"/>
      <c r="P267" s="620"/>
    </row>
    <row r="268" spans="1:24" ht="15.75" customHeight="1">
      <c r="A268" s="376"/>
      <c r="B268" s="374"/>
      <c r="C268" s="382"/>
      <c r="D268" s="382"/>
      <c r="E268" s="382"/>
      <c r="F268" s="382"/>
      <c r="G268" s="382"/>
      <c r="H268" s="382"/>
      <c r="I268" s="382"/>
      <c r="J268" s="382"/>
      <c r="K268" s="382"/>
      <c r="L268" s="382"/>
      <c r="M268" s="382"/>
      <c r="N268" s="382"/>
      <c r="O268" s="383"/>
      <c r="P268" s="620"/>
    </row>
    <row r="269" spans="1:24" ht="15.75" customHeight="1">
      <c r="A269" s="376"/>
      <c r="B269" s="374"/>
      <c r="C269" s="382"/>
      <c r="D269" s="382"/>
      <c r="E269" s="382"/>
      <c r="F269" s="382"/>
      <c r="G269" s="382"/>
      <c r="H269" s="382"/>
      <c r="I269" s="382"/>
      <c r="J269" s="382"/>
      <c r="K269" s="382"/>
      <c r="L269" s="382"/>
      <c r="M269" s="382"/>
      <c r="N269" s="382"/>
      <c r="O269" s="383"/>
      <c r="P269" s="620"/>
    </row>
    <row r="270" spans="1:24" ht="15.75" customHeight="1">
      <c r="A270" s="384"/>
      <c r="B270" s="684"/>
      <c r="C270" s="382"/>
      <c r="D270" s="382"/>
      <c r="E270" s="382"/>
      <c r="F270" s="382"/>
      <c r="G270" s="382"/>
      <c r="H270" s="382"/>
      <c r="I270" s="382"/>
      <c r="J270" s="382"/>
      <c r="K270" s="382"/>
      <c r="L270" s="382"/>
      <c r="M270" s="382"/>
      <c r="N270" s="382"/>
      <c r="O270" s="383"/>
      <c r="P270" s="620"/>
    </row>
    <row r="271" spans="1:24" ht="15.75" customHeight="1">
      <c r="A271" s="384"/>
      <c r="B271" s="685"/>
      <c r="C271" s="382"/>
      <c r="D271" s="382"/>
      <c r="E271" s="382"/>
      <c r="F271" s="382"/>
      <c r="G271" s="382"/>
      <c r="H271" s="382"/>
      <c r="I271" s="382"/>
      <c r="J271" s="382"/>
      <c r="K271" s="382"/>
      <c r="L271" s="382"/>
      <c r="M271" s="382"/>
      <c r="N271" s="382"/>
      <c r="O271" s="383"/>
      <c r="P271" s="620"/>
    </row>
    <row r="272" spans="1:24" ht="15.75" customHeight="1">
      <c r="A272" s="384"/>
      <c r="B272" s="685"/>
      <c r="C272" s="382"/>
      <c r="D272" s="382"/>
      <c r="E272" s="382"/>
      <c r="F272" s="382"/>
      <c r="G272" s="382"/>
      <c r="H272" s="382"/>
      <c r="I272" s="382"/>
      <c r="J272" s="382"/>
      <c r="K272" s="382"/>
      <c r="L272" s="382"/>
      <c r="M272" s="382"/>
      <c r="N272" s="382"/>
      <c r="O272" s="383"/>
      <c r="P272" s="620"/>
    </row>
    <row r="273" spans="1:16" ht="15.75" customHeight="1">
      <c r="A273" s="384"/>
      <c r="B273" s="685"/>
      <c r="C273" s="382"/>
      <c r="D273" s="382"/>
      <c r="E273" s="382"/>
      <c r="F273" s="382"/>
      <c r="G273" s="382"/>
      <c r="H273" s="382"/>
      <c r="I273" s="382"/>
      <c r="J273" s="382"/>
      <c r="K273" s="382"/>
      <c r="L273" s="382"/>
      <c r="M273" s="382"/>
      <c r="N273" s="382"/>
      <c r="O273" s="383"/>
      <c r="P273" s="620"/>
    </row>
    <row r="274" spans="1:16" ht="15.75" customHeight="1">
      <c r="A274" s="384"/>
      <c r="B274" s="685"/>
      <c r="C274" s="382"/>
      <c r="D274" s="382"/>
      <c r="E274" s="382"/>
      <c r="F274" s="382"/>
      <c r="G274" s="382"/>
      <c r="H274" s="382"/>
      <c r="I274" s="382"/>
      <c r="J274" s="382"/>
      <c r="K274" s="382"/>
      <c r="L274" s="382"/>
      <c r="M274" s="382"/>
      <c r="N274" s="382"/>
      <c r="O274" s="383"/>
      <c r="P274" s="620"/>
    </row>
    <row r="275" spans="1:16" ht="15.75" customHeight="1">
      <c r="A275" s="384"/>
      <c r="B275" s="685"/>
      <c r="C275" s="382"/>
      <c r="D275" s="382"/>
      <c r="E275" s="382"/>
      <c r="F275" s="382"/>
      <c r="G275" s="382"/>
      <c r="H275" s="382"/>
      <c r="I275" s="382"/>
      <c r="J275" s="382"/>
      <c r="K275" s="382"/>
      <c r="L275" s="382"/>
      <c r="M275" s="382"/>
      <c r="N275" s="431"/>
      <c r="O275" s="617"/>
      <c r="P275" s="620"/>
    </row>
    <row r="276" spans="1:16" ht="15.75" customHeight="1">
      <c r="A276" s="384"/>
      <c r="B276" s="685"/>
      <c r="C276" s="382"/>
      <c r="D276" s="382"/>
      <c r="E276" s="382"/>
      <c r="F276" s="382"/>
      <c r="G276" s="382"/>
      <c r="H276" s="382"/>
      <c r="I276" s="382"/>
      <c r="J276" s="382"/>
      <c r="K276" s="382"/>
      <c r="L276" s="382"/>
      <c r="M276" s="382"/>
      <c r="N276" s="431"/>
      <c r="O276" s="617"/>
      <c r="P276" s="620"/>
    </row>
    <row r="277" spans="1:16" ht="15.75" customHeight="1">
      <c r="A277" s="384"/>
      <c r="B277" s="685"/>
      <c r="C277" s="382"/>
      <c r="D277" s="382"/>
      <c r="E277" s="382"/>
      <c r="F277" s="382"/>
      <c r="G277" s="382"/>
      <c r="H277" s="382"/>
      <c r="I277" s="382"/>
      <c r="J277" s="382"/>
      <c r="K277" s="382"/>
      <c r="L277" s="382"/>
      <c r="M277" s="382"/>
      <c r="N277" s="382"/>
      <c r="O277" s="383"/>
      <c r="P277" s="620"/>
    </row>
    <row r="278" spans="1:16" ht="15.75" hidden="1" customHeight="1">
      <c r="A278" s="384"/>
      <c r="B278" s="366"/>
      <c r="C278" s="382"/>
      <c r="D278" s="382"/>
      <c r="E278" s="382"/>
      <c r="F278" s="382"/>
      <c r="G278" s="382"/>
      <c r="H278" s="382"/>
      <c r="I278" s="382"/>
      <c r="J278" s="382"/>
      <c r="K278" s="382"/>
      <c r="L278" s="382"/>
      <c r="M278" s="382"/>
      <c r="N278" s="382"/>
      <c r="O278" s="617"/>
      <c r="P278" s="620"/>
    </row>
    <row r="279" spans="1:16" ht="15.75" hidden="1" customHeight="1">
      <c r="A279" s="686" t="s">
        <v>1</v>
      </c>
      <c r="B279" s="687" t="s">
        <v>68</v>
      </c>
      <c r="C279" s="687" t="s">
        <v>77</v>
      </c>
      <c r="D279" s="687" t="s">
        <v>78</v>
      </c>
      <c r="E279" s="687" t="s">
        <v>79</v>
      </c>
      <c r="F279" s="687" t="s">
        <v>213</v>
      </c>
      <c r="G279" s="687" t="s">
        <v>978</v>
      </c>
      <c r="H279" s="687" t="s">
        <v>977</v>
      </c>
      <c r="I279" s="688" t="s">
        <v>1095</v>
      </c>
      <c r="J279" s="688" t="s">
        <v>1096</v>
      </c>
      <c r="K279" s="687" t="s">
        <v>6</v>
      </c>
      <c r="L279" s="687" t="s">
        <v>80</v>
      </c>
      <c r="M279" s="687" t="s">
        <v>81</v>
      </c>
      <c r="N279" s="689" t="s">
        <v>82</v>
      </c>
      <c r="O279" s="656"/>
      <c r="P279" s="620"/>
    </row>
    <row r="280" spans="1:16" ht="15.75" hidden="1" customHeight="1">
      <c r="A280" s="690"/>
      <c r="B280" s="366"/>
      <c r="C280" s="382"/>
      <c r="D280" s="382"/>
      <c r="E280" s="382"/>
      <c r="F280" s="431"/>
      <c r="G280" s="431"/>
      <c r="H280" s="431"/>
      <c r="I280" s="431"/>
      <c r="J280" s="431"/>
      <c r="K280" s="382"/>
      <c r="L280" s="382"/>
      <c r="M280" s="431"/>
      <c r="N280" s="691"/>
      <c r="O280" s="656"/>
      <c r="P280" s="620"/>
    </row>
    <row r="281" spans="1:16" ht="15.75" hidden="1" customHeight="1">
      <c r="A281" s="692">
        <v>1</v>
      </c>
      <c r="B281" s="693" t="s">
        <v>396</v>
      </c>
      <c r="C281" s="382">
        <v>4.5</v>
      </c>
      <c r="D281" s="382"/>
      <c r="E281" s="382"/>
      <c r="F281" s="431"/>
      <c r="G281" s="431"/>
      <c r="H281" s="431">
        <v>4</v>
      </c>
      <c r="I281" s="431"/>
      <c r="J281" s="431"/>
      <c r="K281" s="382"/>
      <c r="L281" s="382"/>
      <c r="M281" s="431"/>
      <c r="N281" s="694">
        <f>C281*H281</f>
        <v>18</v>
      </c>
      <c r="O281" s="695" t="s">
        <v>117</v>
      </c>
      <c r="P281" s="620"/>
    </row>
    <row r="282" spans="1:16" ht="15.75" hidden="1" customHeight="1">
      <c r="A282" s="372">
        <f>A281+1</f>
        <v>2</v>
      </c>
      <c r="B282" s="366" t="s">
        <v>403</v>
      </c>
      <c r="C282" s="382"/>
      <c r="D282" s="382"/>
      <c r="E282" s="382"/>
      <c r="F282" s="431"/>
      <c r="G282" s="431"/>
      <c r="H282" s="431"/>
      <c r="I282" s="431"/>
      <c r="J282" s="431"/>
      <c r="K282" s="382"/>
      <c r="L282" s="382"/>
      <c r="M282" s="431"/>
      <c r="N282" s="691"/>
      <c r="O282" s="656"/>
      <c r="P282" s="620"/>
    </row>
    <row r="283" spans="1:16" ht="15.75" hidden="1" customHeight="1">
      <c r="A283" s="384" t="s">
        <v>95</v>
      </c>
      <c r="B283" s="366" t="s">
        <v>404</v>
      </c>
      <c r="C283" s="382">
        <v>2.5</v>
      </c>
      <c r="D283" s="382">
        <v>0.8</v>
      </c>
      <c r="E283" s="382">
        <v>0.75</v>
      </c>
      <c r="F283" s="431"/>
      <c r="G283" s="431"/>
      <c r="H283" s="431">
        <v>4</v>
      </c>
      <c r="I283" s="431"/>
      <c r="J283" s="431"/>
      <c r="K283" s="382"/>
      <c r="L283" s="382"/>
      <c r="M283" s="431"/>
      <c r="N283" s="691">
        <f>C283*D283*E283*H283</f>
        <v>6</v>
      </c>
      <c r="O283" s="656" t="s">
        <v>103</v>
      </c>
      <c r="P283" s="620"/>
    </row>
    <row r="284" spans="1:16" ht="15.75" hidden="1" customHeight="1">
      <c r="A284" s="384" t="s">
        <v>98</v>
      </c>
      <c r="B284" s="357" t="s">
        <v>405</v>
      </c>
      <c r="C284" s="382">
        <f>C283*H283</f>
        <v>10</v>
      </c>
      <c r="D284" s="382">
        <v>0.5</v>
      </c>
      <c r="E284" s="382">
        <v>4</v>
      </c>
      <c r="F284" s="431">
        <f>C284/D284</f>
        <v>20</v>
      </c>
      <c r="G284" s="431"/>
      <c r="H284" s="431">
        <v>2</v>
      </c>
      <c r="I284" s="431"/>
      <c r="J284" s="431"/>
      <c r="K284" s="382"/>
      <c r="L284" s="382"/>
      <c r="M284" s="431"/>
      <c r="N284" s="691">
        <f>E284*F284*H284</f>
        <v>160</v>
      </c>
      <c r="O284" s="656" t="s">
        <v>117</v>
      </c>
      <c r="P284" s="620"/>
    </row>
    <row r="285" spans="1:16" ht="15.75" hidden="1" customHeight="1">
      <c r="A285" s="384" t="s">
        <v>101</v>
      </c>
      <c r="B285" s="366" t="s">
        <v>1097</v>
      </c>
      <c r="C285" s="382">
        <f>C284</f>
        <v>10</v>
      </c>
      <c r="D285" s="382">
        <f>D283</f>
        <v>0.8</v>
      </c>
      <c r="E285" s="382">
        <v>0.1</v>
      </c>
      <c r="F285" s="431"/>
      <c r="G285" s="431"/>
      <c r="H285" s="431"/>
      <c r="I285" s="431"/>
      <c r="J285" s="431"/>
      <c r="K285" s="382"/>
      <c r="L285" s="382"/>
      <c r="M285" s="431"/>
      <c r="N285" s="691">
        <f>C285*D285*E285</f>
        <v>0.8</v>
      </c>
      <c r="O285" s="656" t="s">
        <v>103</v>
      </c>
      <c r="P285" s="620"/>
    </row>
    <row r="286" spans="1:16" ht="15.75" hidden="1" customHeight="1">
      <c r="A286" s="384" t="s">
        <v>121</v>
      </c>
      <c r="B286" s="366" t="s">
        <v>1098</v>
      </c>
      <c r="C286" s="382">
        <f>C285</f>
        <v>10</v>
      </c>
      <c r="D286" s="382">
        <f>D285</f>
        <v>0.8</v>
      </c>
      <c r="E286" s="382">
        <v>0.05</v>
      </c>
      <c r="F286" s="431"/>
      <c r="G286" s="431"/>
      <c r="H286" s="431"/>
      <c r="I286" s="431"/>
      <c r="J286" s="431"/>
      <c r="K286" s="382"/>
      <c r="L286" s="382"/>
      <c r="M286" s="431"/>
      <c r="N286" s="691">
        <f>C286*D286*E286</f>
        <v>0.4</v>
      </c>
      <c r="O286" s="656" t="s">
        <v>103</v>
      </c>
      <c r="P286" s="620"/>
    </row>
    <row r="287" spans="1:16" ht="15.75" hidden="1" customHeight="1">
      <c r="A287" s="384" t="s">
        <v>142</v>
      </c>
      <c r="B287" s="366" t="s">
        <v>407</v>
      </c>
      <c r="C287" s="382">
        <f>C286</f>
        <v>10</v>
      </c>
      <c r="D287" s="382">
        <f>(0.3+D286)/2</f>
        <v>0.55000000000000004</v>
      </c>
      <c r="E287" s="382">
        <v>0.6</v>
      </c>
      <c r="F287" s="431"/>
      <c r="G287" s="431"/>
      <c r="H287" s="431"/>
      <c r="I287" s="431"/>
      <c r="J287" s="431"/>
      <c r="K287" s="382"/>
      <c r="L287" s="382"/>
      <c r="M287" s="431"/>
      <c r="N287" s="691">
        <f>C287*D287*E287</f>
        <v>3.3</v>
      </c>
      <c r="O287" s="656" t="s">
        <v>103</v>
      </c>
      <c r="P287" s="620"/>
    </row>
    <row r="288" spans="1:16" ht="15.75" hidden="1" customHeight="1">
      <c r="A288" s="372">
        <f>A282+1</f>
        <v>3</v>
      </c>
      <c r="B288" s="366" t="s">
        <v>1078</v>
      </c>
      <c r="C288" s="382"/>
      <c r="D288" s="382"/>
      <c r="E288" s="382"/>
      <c r="F288" s="431"/>
      <c r="G288" s="431"/>
      <c r="H288" s="431"/>
      <c r="I288" s="431"/>
      <c r="J288" s="431"/>
      <c r="K288" s="382"/>
      <c r="L288" s="382"/>
      <c r="M288" s="431"/>
      <c r="N288" s="691"/>
      <c r="O288" s="617"/>
      <c r="P288" s="620"/>
    </row>
    <row r="289" spans="1:16" ht="15.75" hidden="1" customHeight="1">
      <c r="A289" s="384" t="s">
        <v>95</v>
      </c>
      <c r="B289" s="366" t="s">
        <v>221</v>
      </c>
      <c r="C289" s="382">
        <f>C287</f>
        <v>10</v>
      </c>
      <c r="D289" s="382">
        <v>0.2</v>
      </c>
      <c r="E289" s="382"/>
      <c r="F289" s="431"/>
      <c r="G289" s="431"/>
      <c r="H289" s="431">
        <v>2</v>
      </c>
      <c r="I289" s="431"/>
      <c r="J289" s="431"/>
      <c r="K289" s="382"/>
      <c r="L289" s="382"/>
      <c r="M289" s="431"/>
      <c r="N289" s="691">
        <f>C289*D289*H289</f>
        <v>4</v>
      </c>
      <c r="O289" s="617" t="s">
        <v>89</v>
      </c>
      <c r="P289" s="620"/>
    </row>
    <row r="290" spans="1:16" ht="15.75" hidden="1" customHeight="1">
      <c r="A290" s="384" t="s">
        <v>98</v>
      </c>
      <c r="B290" s="366" t="s">
        <v>739</v>
      </c>
      <c r="C290" s="382">
        <f>C289</f>
        <v>10</v>
      </c>
      <c r="D290" s="382"/>
      <c r="E290" s="382"/>
      <c r="F290" s="431">
        <v>6</v>
      </c>
      <c r="G290" s="431"/>
      <c r="H290" s="431"/>
      <c r="I290" s="431"/>
      <c r="J290" s="431"/>
      <c r="K290" s="382"/>
      <c r="L290" s="382">
        <f>13*13*0.006165</f>
        <v>1.041885</v>
      </c>
      <c r="M290" s="431"/>
      <c r="N290" s="691">
        <f>C290*F290*L290</f>
        <v>62.513099999999994</v>
      </c>
      <c r="O290" s="656" t="s">
        <v>100</v>
      </c>
      <c r="P290" s="620"/>
    </row>
    <row r="291" spans="1:16" ht="15.75" hidden="1" customHeight="1">
      <c r="A291" s="384" t="s">
        <v>101</v>
      </c>
      <c r="B291" s="366" t="s">
        <v>1099</v>
      </c>
      <c r="C291" s="382">
        <f>0.08*4</f>
        <v>0.32</v>
      </c>
      <c r="D291" s="382"/>
      <c r="E291" s="382"/>
      <c r="F291" s="431">
        <f>ROUNDDOWN((C290/0.15),0.5)</f>
        <v>66</v>
      </c>
      <c r="G291" s="431"/>
      <c r="H291" s="431"/>
      <c r="I291" s="431">
        <f>0.05*2</f>
        <v>0.1</v>
      </c>
      <c r="J291" s="431"/>
      <c r="K291" s="382"/>
      <c r="L291" s="382">
        <f>8*8*0.0006165</f>
        <v>3.9455999999999998E-2</v>
      </c>
      <c r="M291" s="431"/>
      <c r="N291" s="691">
        <f>(C291+I291)*F291*L291</f>
        <v>1.0937203200000001</v>
      </c>
      <c r="O291" s="656" t="s">
        <v>100</v>
      </c>
      <c r="P291" s="620"/>
    </row>
    <row r="292" spans="1:16" ht="15.75" hidden="1" customHeight="1">
      <c r="A292" s="384" t="s">
        <v>121</v>
      </c>
      <c r="B292" s="379" t="s">
        <v>945</v>
      </c>
      <c r="C292" s="382">
        <f>C290</f>
        <v>10</v>
      </c>
      <c r="D292" s="382">
        <v>0.5</v>
      </c>
      <c r="E292" s="382"/>
      <c r="F292" s="431"/>
      <c r="G292" s="431"/>
      <c r="H292" s="431"/>
      <c r="I292" s="431"/>
      <c r="J292" s="431"/>
      <c r="K292" s="382"/>
      <c r="L292" s="382"/>
      <c r="M292" s="431"/>
      <c r="N292" s="691">
        <f>ROUNDDOWN((C292/D292),0.5)</f>
        <v>20</v>
      </c>
      <c r="O292" s="656" t="s">
        <v>124</v>
      </c>
      <c r="P292" s="620"/>
    </row>
    <row r="293" spans="1:16" ht="15.75" hidden="1" customHeight="1">
      <c r="A293" s="384" t="s">
        <v>142</v>
      </c>
      <c r="B293" s="379" t="s">
        <v>420</v>
      </c>
      <c r="C293" s="382">
        <f>C290</f>
        <v>10</v>
      </c>
      <c r="D293" s="382">
        <f>D289</f>
        <v>0.2</v>
      </c>
      <c r="E293" s="382">
        <v>0.2</v>
      </c>
      <c r="F293" s="431"/>
      <c r="G293" s="431"/>
      <c r="H293" s="431"/>
      <c r="I293" s="431"/>
      <c r="J293" s="431"/>
      <c r="K293" s="382"/>
      <c r="L293" s="382"/>
      <c r="M293" s="431"/>
      <c r="N293" s="691">
        <f>C293*D293*E293</f>
        <v>0.4</v>
      </c>
      <c r="O293" s="656" t="s">
        <v>103</v>
      </c>
      <c r="P293" s="620"/>
    </row>
    <row r="294" spans="1:16" ht="15.75" hidden="1" customHeight="1">
      <c r="A294" s="372">
        <f>A288+1</f>
        <v>4</v>
      </c>
      <c r="B294" s="482" t="s">
        <v>421</v>
      </c>
      <c r="C294" s="382"/>
      <c r="D294" s="382"/>
      <c r="E294" s="382"/>
      <c r="F294" s="431"/>
      <c r="G294" s="431"/>
      <c r="H294" s="431"/>
      <c r="I294" s="431"/>
      <c r="J294" s="431"/>
      <c r="K294" s="382"/>
      <c r="L294" s="382"/>
      <c r="M294" s="431"/>
      <c r="N294" s="691"/>
      <c r="O294" s="656"/>
      <c r="P294" s="620"/>
    </row>
    <row r="295" spans="1:16" ht="15.75" hidden="1" customHeight="1">
      <c r="A295" s="384" t="s">
        <v>95</v>
      </c>
      <c r="B295" s="366" t="s">
        <v>417</v>
      </c>
      <c r="C295" s="382"/>
      <c r="D295" s="382">
        <v>0.25</v>
      </c>
      <c r="E295" s="382">
        <v>2</v>
      </c>
      <c r="F295" s="431"/>
      <c r="G295" s="431"/>
      <c r="H295" s="431">
        <v>4</v>
      </c>
      <c r="I295" s="431"/>
      <c r="J295" s="431"/>
      <c r="K295" s="382"/>
      <c r="L295" s="382"/>
      <c r="M295" s="431">
        <v>4</v>
      </c>
      <c r="N295" s="691">
        <f>D295*E295*H295*M295</f>
        <v>8</v>
      </c>
      <c r="O295" s="617" t="s">
        <v>89</v>
      </c>
      <c r="P295" s="620"/>
    </row>
    <row r="296" spans="1:16" ht="15.75" hidden="1" customHeight="1">
      <c r="A296" s="384" t="s">
        <v>98</v>
      </c>
      <c r="B296" s="366" t="s">
        <v>1042</v>
      </c>
      <c r="C296" s="382"/>
      <c r="D296" s="382"/>
      <c r="E296" s="382">
        <v>2</v>
      </c>
      <c r="F296" s="431">
        <v>8</v>
      </c>
      <c r="G296" s="431"/>
      <c r="H296" s="431"/>
      <c r="I296" s="431"/>
      <c r="J296" s="431">
        <v>0.3</v>
      </c>
      <c r="K296" s="382"/>
      <c r="L296" s="382">
        <f>13*13*0.006165</f>
        <v>1.041885</v>
      </c>
      <c r="M296" s="431">
        <f>M295</f>
        <v>4</v>
      </c>
      <c r="N296" s="691">
        <f>(E296+J296)*F296*L296*M296</f>
        <v>76.682735999999991</v>
      </c>
      <c r="O296" s="656" t="s">
        <v>100</v>
      </c>
      <c r="P296" s="620"/>
    </row>
    <row r="297" spans="1:16" ht="15.75" hidden="1" customHeight="1">
      <c r="A297" s="384" t="s">
        <v>101</v>
      </c>
      <c r="B297" s="482" t="s">
        <v>1099</v>
      </c>
      <c r="C297" s="382">
        <f>0.17*4</f>
        <v>0.68</v>
      </c>
      <c r="D297" s="382"/>
      <c r="E297" s="382"/>
      <c r="F297" s="431">
        <f>ROUNDDOWN((E295/0.15),0.5)</f>
        <v>13</v>
      </c>
      <c r="G297" s="431"/>
      <c r="H297" s="431"/>
      <c r="I297" s="431">
        <f>0.05*2</f>
        <v>0.1</v>
      </c>
      <c r="J297" s="431"/>
      <c r="K297" s="382"/>
      <c r="L297" s="382">
        <f>8*8*0.006165</f>
        <v>0.39456000000000002</v>
      </c>
      <c r="M297" s="431">
        <f>M296</f>
        <v>4</v>
      </c>
      <c r="N297" s="691">
        <f>(C297+I297)*F297*L297*M297</f>
        <v>16.003353600000001</v>
      </c>
      <c r="O297" s="656" t="s">
        <v>100</v>
      </c>
      <c r="P297" s="620"/>
    </row>
    <row r="298" spans="1:16" ht="15.75" hidden="1" customHeight="1">
      <c r="A298" s="384" t="s">
        <v>121</v>
      </c>
      <c r="B298" s="379" t="s">
        <v>420</v>
      </c>
      <c r="C298" s="382">
        <v>0.25</v>
      </c>
      <c r="D298" s="382">
        <f>D295</f>
        <v>0.25</v>
      </c>
      <c r="E298" s="382">
        <f>E295</f>
        <v>2</v>
      </c>
      <c r="F298" s="431"/>
      <c r="G298" s="431"/>
      <c r="H298" s="431"/>
      <c r="I298" s="431"/>
      <c r="J298" s="431"/>
      <c r="K298" s="382"/>
      <c r="L298" s="382"/>
      <c r="M298" s="431">
        <f>M297</f>
        <v>4</v>
      </c>
      <c r="N298" s="691">
        <f>C298*D298*E298*M298</f>
        <v>0.5</v>
      </c>
      <c r="O298" s="656" t="s">
        <v>103</v>
      </c>
      <c r="P298" s="620"/>
    </row>
    <row r="299" spans="1:16" ht="15.75" hidden="1" customHeight="1">
      <c r="A299" s="372">
        <f>A294+1</f>
        <v>5</v>
      </c>
      <c r="B299" s="482" t="s">
        <v>1100</v>
      </c>
      <c r="C299" s="382"/>
      <c r="D299" s="382"/>
      <c r="E299" s="382"/>
      <c r="F299" s="431"/>
      <c r="G299" s="431"/>
      <c r="H299" s="431"/>
      <c r="I299" s="431"/>
      <c r="J299" s="431"/>
      <c r="K299" s="382"/>
      <c r="L299" s="382"/>
      <c r="M299" s="431"/>
      <c r="N299" s="691"/>
      <c r="O299" s="656"/>
      <c r="P299" s="620"/>
    </row>
    <row r="300" spans="1:16" ht="15.75" hidden="1" customHeight="1">
      <c r="A300" s="384" t="s">
        <v>95</v>
      </c>
      <c r="B300" s="366" t="s">
        <v>423</v>
      </c>
      <c r="C300" s="382"/>
      <c r="D300" s="382"/>
      <c r="E300" s="382"/>
      <c r="F300" s="431"/>
      <c r="G300" s="431"/>
      <c r="H300" s="431"/>
      <c r="I300" s="431"/>
      <c r="J300" s="431"/>
      <c r="K300" s="382"/>
      <c r="L300" s="382"/>
      <c r="M300" s="431"/>
      <c r="N300" s="691"/>
      <c r="O300" s="656"/>
      <c r="P300" s="620"/>
    </row>
    <row r="301" spans="1:16" ht="15.75" hidden="1" customHeight="1">
      <c r="A301" s="384"/>
      <c r="B301" s="366"/>
      <c r="C301" s="382">
        <v>2</v>
      </c>
      <c r="D301" s="382">
        <v>0.2</v>
      </c>
      <c r="E301" s="382"/>
      <c r="F301" s="431"/>
      <c r="G301" s="431"/>
      <c r="H301" s="431">
        <v>1</v>
      </c>
      <c r="I301" s="431"/>
      <c r="J301" s="431"/>
      <c r="K301" s="382"/>
      <c r="L301" s="382"/>
      <c r="M301" s="431">
        <v>2</v>
      </c>
      <c r="N301" s="691">
        <f>C301*D301*H301*M301</f>
        <v>0.8</v>
      </c>
      <c r="O301" s="656"/>
      <c r="P301" s="620"/>
    </row>
    <row r="302" spans="1:16" ht="15.75" hidden="1" customHeight="1">
      <c r="A302" s="384"/>
      <c r="B302" s="366"/>
      <c r="C302" s="382">
        <f>C301</f>
        <v>2</v>
      </c>
      <c r="D302" s="382"/>
      <c r="E302" s="382">
        <v>0.25</v>
      </c>
      <c r="F302" s="431"/>
      <c r="G302" s="431"/>
      <c r="H302" s="431">
        <v>2</v>
      </c>
      <c r="I302" s="431"/>
      <c r="J302" s="431"/>
      <c r="K302" s="382"/>
      <c r="L302" s="382"/>
      <c r="M302" s="431">
        <f>M301</f>
        <v>2</v>
      </c>
      <c r="N302" s="696">
        <f>C302*E302*H302*M302</f>
        <v>2</v>
      </c>
      <c r="O302" s="656"/>
      <c r="P302" s="620"/>
    </row>
    <row r="303" spans="1:16" ht="15.75" hidden="1" customHeight="1">
      <c r="A303" s="384"/>
      <c r="B303" s="366"/>
      <c r="C303" s="382"/>
      <c r="D303" s="382"/>
      <c r="E303" s="382"/>
      <c r="F303" s="431"/>
      <c r="G303" s="431"/>
      <c r="H303" s="431"/>
      <c r="I303" s="431"/>
      <c r="J303" s="431"/>
      <c r="K303" s="382"/>
      <c r="L303" s="382"/>
      <c r="M303" s="431"/>
      <c r="N303" s="697">
        <f>SUM(N301:N302)</f>
        <v>2.8</v>
      </c>
      <c r="O303" s="617" t="s">
        <v>89</v>
      </c>
      <c r="P303" s="620"/>
    </row>
    <row r="304" spans="1:16" ht="15.75" hidden="1" customHeight="1">
      <c r="A304" s="384" t="s">
        <v>98</v>
      </c>
      <c r="B304" s="366" t="s">
        <v>739</v>
      </c>
      <c r="C304" s="382">
        <f>C302</f>
        <v>2</v>
      </c>
      <c r="D304" s="382"/>
      <c r="E304" s="382"/>
      <c r="F304" s="431">
        <v>6</v>
      </c>
      <c r="G304" s="431"/>
      <c r="H304" s="431"/>
      <c r="I304" s="431"/>
      <c r="J304" s="431"/>
      <c r="K304" s="382"/>
      <c r="L304" s="382">
        <f>13*13*0.006165</f>
        <v>1.041885</v>
      </c>
      <c r="M304" s="431">
        <f>M302</f>
        <v>2</v>
      </c>
      <c r="N304" s="691">
        <f>C304*F304*L304*M304</f>
        <v>25.005240000000001</v>
      </c>
      <c r="O304" s="656" t="s">
        <v>100</v>
      </c>
      <c r="P304" s="620"/>
    </row>
    <row r="305" spans="1:16" ht="15.75" hidden="1" customHeight="1">
      <c r="A305" s="384" t="s">
        <v>101</v>
      </c>
      <c r="B305" s="482" t="s">
        <v>1099</v>
      </c>
      <c r="C305" s="382">
        <f>(0.12+0.17)*2</f>
        <v>0.58000000000000007</v>
      </c>
      <c r="D305" s="382"/>
      <c r="E305" s="382"/>
      <c r="F305" s="431">
        <f>ROUNDDOWN((C304/0.15),0.5)</f>
        <v>13</v>
      </c>
      <c r="G305" s="431"/>
      <c r="H305" s="431"/>
      <c r="I305" s="431">
        <f>0.05*2</f>
        <v>0.1</v>
      </c>
      <c r="J305" s="431"/>
      <c r="K305" s="382"/>
      <c r="L305" s="382">
        <f>8*8*0.006165</f>
        <v>0.39456000000000002</v>
      </c>
      <c r="M305" s="431">
        <f>M304</f>
        <v>2</v>
      </c>
      <c r="N305" s="691">
        <f>(C305+I305)*F305*L305*M305</f>
        <v>6.9758208000000002</v>
      </c>
      <c r="O305" s="656" t="s">
        <v>100</v>
      </c>
      <c r="P305" s="620"/>
    </row>
    <row r="306" spans="1:16" ht="15.75" hidden="1" customHeight="1">
      <c r="A306" s="384" t="s">
        <v>121</v>
      </c>
      <c r="B306" s="379" t="s">
        <v>420</v>
      </c>
      <c r="C306" s="382">
        <f>C304</f>
        <v>2</v>
      </c>
      <c r="D306" s="382">
        <f>D301</f>
        <v>0.2</v>
      </c>
      <c r="E306" s="382">
        <f>E302</f>
        <v>0.25</v>
      </c>
      <c r="F306" s="431"/>
      <c r="G306" s="431"/>
      <c r="H306" s="431"/>
      <c r="I306" s="431"/>
      <c r="J306" s="431"/>
      <c r="K306" s="382"/>
      <c r="L306" s="382"/>
      <c r="M306" s="431">
        <f>M305</f>
        <v>2</v>
      </c>
      <c r="N306" s="691">
        <f>C306*D306*E306*M306</f>
        <v>0.2</v>
      </c>
      <c r="O306" s="656" t="s">
        <v>103</v>
      </c>
      <c r="P306" s="620"/>
    </row>
    <row r="307" spans="1:16" ht="15.75" hidden="1" customHeight="1">
      <c r="A307" s="372">
        <f>A299+1</f>
        <v>6</v>
      </c>
      <c r="B307" s="482" t="s">
        <v>1101</v>
      </c>
      <c r="C307" s="382"/>
      <c r="D307" s="382"/>
      <c r="E307" s="382"/>
      <c r="F307" s="431"/>
      <c r="G307" s="431"/>
      <c r="H307" s="431"/>
      <c r="I307" s="431"/>
      <c r="J307" s="431"/>
      <c r="K307" s="382"/>
      <c r="L307" s="382"/>
      <c r="M307" s="431"/>
      <c r="N307" s="691"/>
      <c r="O307" s="656"/>
      <c r="P307" s="620"/>
    </row>
    <row r="308" spans="1:16" ht="15.75" hidden="1" customHeight="1">
      <c r="A308" s="384" t="s">
        <v>95</v>
      </c>
      <c r="B308" s="366" t="s">
        <v>423</v>
      </c>
      <c r="C308" s="382"/>
      <c r="D308" s="382"/>
      <c r="E308" s="382"/>
      <c r="F308" s="431"/>
      <c r="G308" s="431"/>
      <c r="H308" s="431"/>
      <c r="I308" s="431"/>
      <c r="J308" s="431"/>
      <c r="K308" s="382"/>
      <c r="L308" s="382"/>
      <c r="M308" s="431"/>
      <c r="N308" s="691"/>
      <c r="O308" s="656"/>
      <c r="P308" s="620"/>
    </row>
    <row r="309" spans="1:16" ht="30" hidden="1" customHeight="1">
      <c r="A309" s="384"/>
      <c r="B309" s="366"/>
      <c r="C309" s="382">
        <v>2</v>
      </c>
      <c r="D309" s="382">
        <v>0.15</v>
      </c>
      <c r="E309" s="382"/>
      <c r="F309" s="431"/>
      <c r="G309" s="431"/>
      <c r="H309" s="431">
        <v>1</v>
      </c>
      <c r="I309" s="431"/>
      <c r="J309" s="431"/>
      <c r="K309" s="382"/>
      <c r="L309" s="382"/>
      <c r="M309" s="431">
        <v>2</v>
      </c>
      <c r="N309" s="691">
        <f>C309*D309*H309*M309</f>
        <v>0.6</v>
      </c>
      <c r="O309" s="656"/>
      <c r="P309" s="620"/>
    </row>
    <row r="310" spans="1:16" ht="7.5" hidden="1" customHeight="1">
      <c r="A310" s="384"/>
      <c r="B310" s="366"/>
      <c r="C310" s="382">
        <f>C309</f>
        <v>2</v>
      </c>
      <c r="D310" s="382"/>
      <c r="E310" s="382">
        <v>0.25</v>
      </c>
      <c r="F310" s="431"/>
      <c r="G310" s="431"/>
      <c r="H310" s="431">
        <v>2</v>
      </c>
      <c r="I310" s="431"/>
      <c r="J310" s="431"/>
      <c r="K310" s="382"/>
      <c r="L310" s="382"/>
      <c r="M310" s="431">
        <f>M309</f>
        <v>2</v>
      </c>
      <c r="N310" s="696">
        <f>C310*E310*H310*M310</f>
        <v>2</v>
      </c>
      <c r="O310" s="656"/>
      <c r="P310" s="620"/>
    </row>
    <row r="311" spans="1:16" ht="15" hidden="1" customHeight="1">
      <c r="A311" s="384"/>
      <c r="B311" s="366"/>
      <c r="C311" s="382"/>
      <c r="D311" s="382"/>
      <c r="E311" s="382"/>
      <c r="F311" s="431"/>
      <c r="G311" s="431"/>
      <c r="H311" s="431"/>
      <c r="I311" s="431"/>
      <c r="J311" s="431"/>
      <c r="K311" s="382"/>
      <c r="L311" s="382"/>
      <c r="M311" s="431"/>
      <c r="N311" s="697">
        <f>SUM(N309:N310)</f>
        <v>2.6</v>
      </c>
      <c r="O311" s="617" t="s">
        <v>89</v>
      </c>
      <c r="P311" s="620"/>
    </row>
    <row r="312" spans="1:16" ht="15" hidden="1" customHeight="1">
      <c r="A312" s="384" t="s">
        <v>98</v>
      </c>
      <c r="B312" s="366" t="s">
        <v>731</v>
      </c>
      <c r="C312" s="382">
        <f>C310</f>
        <v>2</v>
      </c>
      <c r="D312" s="382"/>
      <c r="E312" s="382"/>
      <c r="F312" s="431">
        <v>5</v>
      </c>
      <c r="G312" s="431"/>
      <c r="H312" s="431"/>
      <c r="I312" s="431"/>
      <c r="J312" s="431"/>
      <c r="K312" s="382"/>
      <c r="L312" s="382">
        <f>13*13*0.006165</f>
        <v>1.041885</v>
      </c>
      <c r="M312" s="431">
        <f>M310</f>
        <v>2</v>
      </c>
      <c r="N312" s="691">
        <f>C312*F312*L312*M312</f>
        <v>20.837699999999998</v>
      </c>
      <c r="O312" s="656" t="s">
        <v>100</v>
      </c>
      <c r="P312" s="620"/>
    </row>
    <row r="313" spans="1:16" ht="15" hidden="1" customHeight="1">
      <c r="A313" s="384" t="s">
        <v>101</v>
      </c>
      <c r="B313" s="482" t="s">
        <v>1099</v>
      </c>
      <c r="C313" s="382">
        <f>(0.07+0.17)*2</f>
        <v>0.48000000000000004</v>
      </c>
      <c r="D313" s="382"/>
      <c r="E313" s="382"/>
      <c r="F313" s="431">
        <f>ROUNDDOWN((C312/0.15),0.5)</f>
        <v>13</v>
      </c>
      <c r="G313" s="431"/>
      <c r="H313" s="431"/>
      <c r="I313" s="431">
        <f>0.05*2</f>
        <v>0.1</v>
      </c>
      <c r="J313" s="431"/>
      <c r="K313" s="382"/>
      <c r="L313" s="382">
        <f>8*8*0.006165</f>
        <v>0.39456000000000002</v>
      </c>
      <c r="M313" s="431">
        <f>M312</f>
        <v>2</v>
      </c>
      <c r="N313" s="691">
        <f>(C313+I313)*F313*L313*M313</f>
        <v>5.9499648000000009</v>
      </c>
      <c r="O313" s="656" t="s">
        <v>100</v>
      </c>
      <c r="P313" s="620"/>
    </row>
    <row r="314" spans="1:16" ht="15" hidden="1" customHeight="1">
      <c r="A314" s="384" t="s">
        <v>121</v>
      </c>
      <c r="B314" s="379" t="s">
        <v>420</v>
      </c>
      <c r="C314" s="382">
        <f>C312</f>
        <v>2</v>
      </c>
      <c r="D314" s="382">
        <f>D309</f>
        <v>0.15</v>
      </c>
      <c r="E314" s="382">
        <f>E310</f>
        <v>0.25</v>
      </c>
      <c r="F314" s="431"/>
      <c r="G314" s="431"/>
      <c r="H314" s="431"/>
      <c r="I314" s="431"/>
      <c r="J314" s="431"/>
      <c r="K314" s="382"/>
      <c r="L314" s="382"/>
      <c r="M314" s="431">
        <f>M313</f>
        <v>2</v>
      </c>
      <c r="N314" s="691">
        <f>C314*D314*E314*M314</f>
        <v>0.15</v>
      </c>
      <c r="O314" s="656" t="s">
        <v>103</v>
      </c>
      <c r="P314" s="620"/>
    </row>
    <row r="315" spans="1:16" ht="15" hidden="1" customHeight="1">
      <c r="A315" s="372">
        <f>A307+1</f>
        <v>7</v>
      </c>
      <c r="B315" s="366" t="s">
        <v>1102</v>
      </c>
      <c r="C315" s="382"/>
      <c r="D315" s="382"/>
      <c r="E315" s="382"/>
      <c r="F315" s="431"/>
      <c r="G315" s="431"/>
      <c r="H315" s="431"/>
      <c r="I315" s="431"/>
      <c r="J315" s="431"/>
      <c r="K315" s="382"/>
      <c r="L315" s="382"/>
      <c r="M315" s="431"/>
      <c r="N315" s="691"/>
      <c r="O315" s="656"/>
      <c r="P315" s="620"/>
    </row>
    <row r="316" spans="1:16" ht="15" hidden="1" customHeight="1">
      <c r="A316" s="384" t="s">
        <v>95</v>
      </c>
      <c r="B316" s="366" t="s">
        <v>211</v>
      </c>
      <c r="C316" s="382">
        <v>2.5</v>
      </c>
      <c r="D316" s="382">
        <v>2.5</v>
      </c>
      <c r="E316" s="382"/>
      <c r="F316" s="431"/>
      <c r="G316" s="431"/>
      <c r="H316" s="431"/>
      <c r="I316" s="431"/>
      <c r="J316" s="431"/>
      <c r="K316" s="382"/>
      <c r="L316" s="382"/>
      <c r="M316" s="431"/>
      <c r="N316" s="691">
        <f>C316*D316</f>
        <v>6.25</v>
      </c>
      <c r="O316" s="617" t="s">
        <v>89</v>
      </c>
      <c r="P316" s="620"/>
    </row>
    <row r="317" spans="1:16" ht="15" hidden="1" customHeight="1">
      <c r="A317" s="384" t="s">
        <v>98</v>
      </c>
      <c r="B317" s="366" t="s">
        <v>1067</v>
      </c>
      <c r="C317" s="382">
        <f>2.5-0.08</f>
        <v>2.42</v>
      </c>
      <c r="D317" s="382"/>
      <c r="E317" s="382"/>
      <c r="F317" s="431">
        <f>ROUNDDOWN((C317/0.2),0.5)+1</f>
        <v>13</v>
      </c>
      <c r="G317" s="431"/>
      <c r="H317" s="431">
        <v>4</v>
      </c>
      <c r="I317" s="431"/>
      <c r="J317" s="431"/>
      <c r="K317" s="382"/>
      <c r="L317" s="382">
        <f>10*10*0.006165</f>
        <v>0.61650000000000005</v>
      </c>
      <c r="M317" s="431"/>
      <c r="N317" s="691">
        <f>C317*F317*H317*L317</f>
        <v>77.580360000000013</v>
      </c>
      <c r="O317" s="656" t="s">
        <v>100</v>
      </c>
      <c r="P317" s="620"/>
    </row>
    <row r="318" spans="1:16" ht="15" hidden="1" customHeight="1">
      <c r="A318" s="384" t="s">
        <v>101</v>
      </c>
      <c r="B318" s="379" t="s">
        <v>420</v>
      </c>
      <c r="C318" s="382">
        <f>C316</f>
        <v>2.5</v>
      </c>
      <c r="D318" s="382">
        <f>D316</f>
        <v>2.5</v>
      </c>
      <c r="E318" s="382">
        <v>0.15</v>
      </c>
      <c r="F318" s="431"/>
      <c r="G318" s="431"/>
      <c r="H318" s="431"/>
      <c r="I318" s="431"/>
      <c r="J318" s="431"/>
      <c r="K318" s="382"/>
      <c r="L318" s="382"/>
      <c r="M318" s="431"/>
      <c r="N318" s="691">
        <f>C318*D318*E318</f>
        <v>0.9375</v>
      </c>
      <c r="O318" s="656" t="s">
        <v>103</v>
      </c>
      <c r="P318" s="620"/>
    </row>
    <row r="319" spans="1:16" ht="15" hidden="1" customHeight="1">
      <c r="A319" s="690"/>
      <c r="B319" s="366"/>
      <c r="C319" s="382"/>
      <c r="D319" s="382"/>
      <c r="E319" s="382"/>
      <c r="F319" s="431"/>
      <c r="G319" s="431"/>
      <c r="H319" s="431"/>
      <c r="I319" s="431"/>
      <c r="J319" s="431"/>
      <c r="K319" s="382"/>
      <c r="L319" s="382"/>
      <c r="M319" s="431"/>
      <c r="N319" s="691"/>
      <c r="O319" s="656"/>
      <c r="P319" s="620"/>
    </row>
    <row r="320" spans="1:16" ht="15" hidden="1" customHeight="1">
      <c r="A320" s="690"/>
      <c r="B320" s="366"/>
      <c r="C320" s="382"/>
      <c r="D320" s="382"/>
      <c r="E320" s="382"/>
      <c r="F320" s="431"/>
      <c r="G320" s="431"/>
      <c r="H320" s="431"/>
      <c r="I320" s="431"/>
      <c r="J320" s="431"/>
      <c r="K320" s="382"/>
      <c r="L320" s="382"/>
      <c r="M320" s="431"/>
      <c r="N320" s="691"/>
      <c r="O320" s="656"/>
      <c r="P320" s="620"/>
    </row>
    <row r="321" spans="1:16" ht="15" hidden="1" customHeight="1">
      <c r="A321" s="690"/>
      <c r="B321" s="366"/>
      <c r="C321" s="382"/>
      <c r="D321" s="382"/>
      <c r="E321" s="382"/>
      <c r="F321" s="431"/>
      <c r="G321" s="431"/>
      <c r="H321" s="431"/>
      <c r="I321" s="431"/>
      <c r="J321" s="431"/>
      <c r="K321" s="382"/>
      <c r="L321" s="382"/>
      <c r="M321" s="431"/>
      <c r="N321" s="691"/>
      <c r="O321" s="656"/>
      <c r="P321" s="620"/>
    </row>
    <row r="322" spans="1:16" ht="15" hidden="1" customHeight="1">
      <c r="A322" s="686" t="s">
        <v>1</v>
      </c>
      <c r="B322" s="687" t="s">
        <v>68</v>
      </c>
      <c r="C322" s="687" t="s">
        <v>77</v>
      </c>
      <c r="D322" s="687" t="s">
        <v>78</v>
      </c>
      <c r="E322" s="687" t="s">
        <v>79</v>
      </c>
      <c r="F322" s="687" t="s">
        <v>213</v>
      </c>
      <c r="G322" s="687" t="s">
        <v>978</v>
      </c>
      <c r="H322" s="687" t="s">
        <v>977</v>
      </c>
      <c r="I322" s="688" t="s">
        <v>1095</v>
      </c>
      <c r="J322" s="688" t="s">
        <v>1096</v>
      </c>
      <c r="K322" s="687" t="s">
        <v>6</v>
      </c>
      <c r="L322" s="687" t="s">
        <v>80</v>
      </c>
      <c r="M322" s="687" t="s">
        <v>81</v>
      </c>
      <c r="N322" s="689" t="s">
        <v>82</v>
      </c>
      <c r="O322" s="656"/>
      <c r="P322" s="620"/>
    </row>
    <row r="323" spans="1:16" ht="15" hidden="1" customHeight="1">
      <c r="A323" s="690"/>
      <c r="B323" s="366"/>
      <c r="C323" s="382"/>
      <c r="D323" s="382"/>
      <c r="E323" s="382"/>
      <c r="F323" s="431"/>
      <c r="G323" s="431"/>
      <c r="H323" s="431"/>
      <c r="I323" s="431"/>
      <c r="J323" s="431"/>
      <c r="K323" s="382"/>
      <c r="L323" s="382"/>
      <c r="M323" s="431"/>
      <c r="N323" s="691"/>
      <c r="O323" s="656"/>
      <c r="P323" s="620"/>
    </row>
    <row r="324" spans="1:16" ht="15" hidden="1" customHeight="1">
      <c r="A324" s="698">
        <v>1</v>
      </c>
      <c r="B324" s="366" t="s">
        <v>396</v>
      </c>
      <c r="C324" s="382"/>
      <c r="D324" s="382"/>
      <c r="E324" s="382"/>
      <c r="F324" s="431"/>
      <c r="G324" s="431"/>
      <c r="H324" s="431"/>
      <c r="I324" s="431"/>
      <c r="J324" s="431"/>
      <c r="K324" s="382"/>
      <c r="L324" s="382"/>
      <c r="M324" s="431"/>
      <c r="N324" s="699"/>
      <c r="O324" s="386"/>
      <c r="P324" s="620"/>
    </row>
    <row r="325" spans="1:16" ht="15" hidden="1" customHeight="1">
      <c r="A325" s="698"/>
      <c r="B325" s="366"/>
      <c r="C325" s="382">
        <v>4.5</v>
      </c>
      <c r="D325" s="382"/>
      <c r="E325" s="382"/>
      <c r="F325" s="431"/>
      <c r="G325" s="431"/>
      <c r="H325" s="431">
        <v>2</v>
      </c>
      <c r="I325" s="431"/>
      <c r="J325" s="431"/>
      <c r="K325" s="382"/>
      <c r="L325" s="382"/>
      <c r="M325" s="431">
        <f>C325*H325</f>
        <v>9</v>
      </c>
      <c r="N325" s="699"/>
      <c r="O325" s="386"/>
      <c r="P325" s="620"/>
    </row>
    <row r="326" spans="1:16" ht="15" hidden="1" customHeight="1">
      <c r="A326" s="698"/>
      <c r="B326" s="366"/>
      <c r="C326" s="382"/>
      <c r="D326" s="382">
        <v>4.5</v>
      </c>
      <c r="E326" s="382"/>
      <c r="F326" s="431"/>
      <c r="G326" s="431"/>
      <c r="H326" s="431">
        <f>H325</f>
        <v>2</v>
      </c>
      <c r="I326" s="431"/>
      <c r="J326" s="431"/>
      <c r="K326" s="382"/>
      <c r="L326" s="382"/>
      <c r="M326" s="624">
        <f>D326*H326</f>
        <v>9</v>
      </c>
      <c r="N326" s="699"/>
      <c r="O326" s="386"/>
      <c r="P326" s="620"/>
    </row>
    <row r="327" spans="1:16" ht="15" hidden="1" customHeight="1">
      <c r="A327" s="698"/>
      <c r="B327" s="366"/>
      <c r="C327" s="382"/>
      <c r="D327" s="382"/>
      <c r="E327" s="382"/>
      <c r="F327" s="431"/>
      <c r="G327" s="431"/>
      <c r="H327" s="431"/>
      <c r="I327" s="431"/>
      <c r="J327" s="431"/>
      <c r="K327" s="382"/>
      <c r="L327" s="382"/>
      <c r="M327" s="431">
        <f>SUM(M325:M326)</f>
        <v>18</v>
      </c>
      <c r="N327" s="699" t="s">
        <v>117</v>
      </c>
      <c r="O327" s="620">
        <f>ROUND((M327),2)</f>
        <v>18</v>
      </c>
      <c r="P327" s="620"/>
    </row>
    <row r="328" spans="1:16" ht="15" hidden="1" customHeight="1">
      <c r="A328" s="698">
        <f>A324+1</f>
        <v>2</v>
      </c>
      <c r="B328" s="366" t="s">
        <v>1103</v>
      </c>
      <c r="C328" s="382"/>
      <c r="D328" s="382"/>
      <c r="E328" s="382"/>
      <c r="F328" s="431"/>
      <c r="G328" s="431"/>
      <c r="H328" s="431"/>
      <c r="I328" s="431"/>
      <c r="J328" s="431"/>
      <c r="K328" s="382"/>
      <c r="L328" s="382"/>
      <c r="M328" s="431"/>
      <c r="N328" s="699"/>
      <c r="O328" s="386"/>
      <c r="P328" s="620"/>
    </row>
    <row r="329" spans="1:16" ht="15" hidden="1" customHeight="1">
      <c r="A329" s="700" t="s">
        <v>95</v>
      </c>
      <c r="B329" s="366" t="s">
        <v>694</v>
      </c>
      <c r="C329" s="382">
        <v>1.2</v>
      </c>
      <c r="D329" s="382">
        <v>1.2</v>
      </c>
      <c r="E329" s="382">
        <v>0.9</v>
      </c>
      <c r="F329" s="431"/>
      <c r="G329" s="431"/>
      <c r="H329" s="431"/>
      <c r="I329" s="431"/>
      <c r="J329" s="431"/>
      <c r="K329" s="382"/>
      <c r="L329" s="382">
        <v>4</v>
      </c>
      <c r="M329" s="431">
        <f>C329*D329*E329</f>
        <v>1.296</v>
      </c>
      <c r="N329" s="699" t="s">
        <v>103</v>
      </c>
      <c r="O329" s="620">
        <f t="shared" ref="O329:O337" si="2">ROUND((M329),2)</f>
        <v>1.3</v>
      </c>
      <c r="P329" s="620"/>
    </row>
    <row r="330" spans="1:16" ht="15" hidden="1" customHeight="1">
      <c r="A330" s="700" t="s">
        <v>98</v>
      </c>
      <c r="B330" s="357" t="s">
        <v>405</v>
      </c>
      <c r="C330" s="382"/>
      <c r="D330" s="382"/>
      <c r="E330" s="382">
        <v>4</v>
      </c>
      <c r="F330" s="431"/>
      <c r="G330" s="431"/>
      <c r="H330" s="431"/>
      <c r="I330" s="431"/>
      <c r="J330" s="431"/>
      <c r="K330" s="382">
        <v>9</v>
      </c>
      <c r="L330" s="382">
        <f>L329</f>
        <v>4</v>
      </c>
      <c r="M330" s="431">
        <f>E330*K330*L330</f>
        <v>144</v>
      </c>
      <c r="N330" s="699" t="s">
        <v>117</v>
      </c>
      <c r="O330" s="620">
        <f t="shared" si="2"/>
        <v>144</v>
      </c>
      <c r="P330" s="620"/>
    </row>
    <row r="331" spans="1:16" ht="15" hidden="1" customHeight="1">
      <c r="A331" s="700" t="s">
        <v>101</v>
      </c>
      <c r="B331" s="366" t="s">
        <v>1104</v>
      </c>
      <c r="C331" s="382">
        <v>1</v>
      </c>
      <c r="D331" s="382">
        <v>1</v>
      </c>
      <c r="E331" s="382">
        <v>0.1</v>
      </c>
      <c r="F331" s="431"/>
      <c r="G331" s="431"/>
      <c r="H331" s="431"/>
      <c r="I331" s="431"/>
      <c r="J331" s="431"/>
      <c r="K331" s="382"/>
      <c r="L331" s="382">
        <v>4</v>
      </c>
      <c r="M331" s="431">
        <f>C331*D331*E331</f>
        <v>0.1</v>
      </c>
      <c r="N331" s="699" t="s">
        <v>103</v>
      </c>
      <c r="O331" s="620">
        <f t="shared" si="2"/>
        <v>0.1</v>
      </c>
      <c r="P331" s="620"/>
    </row>
    <row r="332" spans="1:16" ht="15" hidden="1" customHeight="1">
      <c r="A332" s="700" t="s">
        <v>121</v>
      </c>
      <c r="B332" s="366" t="s">
        <v>496</v>
      </c>
      <c r="C332" s="382">
        <f>C331</f>
        <v>1</v>
      </c>
      <c r="D332" s="382">
        <f>D331</f>
        <v>1</v>
      </c>
      <c r="E332" s="382">
        <v>0.05</v>
      </c>
      <c r="F332" s="431"/>
      <c r="G332" s="431"/>
      <c r="H332" s="431"/>
      <c r="I332" s="431"/>
      <c r="J332" s="431"/>
      <c r="K332" s="382"/>
      <c r="L332" s="382">
        <v>4</v>
      </c>
      <c r="M332" s="431">
        <f>C332*D332*E332</f>
        <v>0.05</v>
      </c>
      <c r="N332" s="699" t="s">
        <v>103</v>
      </c>
      <c r="O332" s="620">
        <f t="shared" si="2"/>
        <v>0.05</v>
      </c>
      <c r="P332" s="620"/>
    </row>
    <row r="333" spans="1:16" ht="15" hidden="1" customHeight="1">
      <c r="A333" s="700" t="s">
        <v>142</v>
      </c>
      <c r="B333" s="366" t="s">
        <v>401</v>
      </c>
      <c r="C333" s="382">
        <v>1.2</v>
      </c>
      <c r="D333" s="382"/>
      <c r="E333" s="382">
        <v>0.4</v>
      </c>
      <c r="F333" s="431"/>
      <c r="G333" s="431"/>
      <c r="H333" s="431">
        <v>4</v>
      </c>
      <c r="I333" s="431"/>
      <c r="J333" s="431"/>
      <c r="K333" s="382"/>
      <c r="L333" s="382">
        <f>L332</f>
        <v>4</v>
      </c>
      <c r="M333" s="431">
        <f>C333*E333*H333*L333</f>
        <v>7.68</v>
      </c>
      <c r="N333" s="699" t="s">
        <v>89</v>
      </c>
      <c r="O333" s="620">
        <f t="shared" si="2"/>
        <v>7.68</v>
      </c>
      <c r="P333" s="620"/>
    </row>
    <row r="334" spans="1:16" ht="15" hidden="1" customHeight="1">
      <c r="A334" s="700" t="s">
        <v>217</v>
      </c>
      <c r="B334" s="366" t="s">
        <v>1105</v>
      </c>
      <c r="C334" s="382">
        <v>0.85</v>
      </c>
      <c r="D334" s="382"/>
      <c r="E334" s="382"/>
      <c r="F334" s="431">
        <f>16*16*0.006165</f>
        <v>1.5782400000000001</v>
      </c>
      <c r="G334" s="431">
        <f>0.25*2</f>
        <v>0.5</v>
      </c>
      <c r="H334" s="431">
        <v>4</v>
      </c>
      <c r="I334" s="431"/>
      <c r="J334" s="431"/>
      <c r="K334" s="382">
        <f>ROUNDUP((C334/0.15),0.1)+1</f>
        <v>7</v>
      </c>
      <c r="L334" s="382">
        <f>L333</f>
        <v>4</v>
      </c>
      <c r="M334" s="431">
        <f>(C334+G334)*F334*H334*K334*L334</f>
        <v>238.62988799999999</v>
      </c>
      <c r="N334" s="699" t="s">
        <v>100</v>
      </c>
      <c r="O334" s="620">
        <f t="shared" si="2"/>
        <v>238.63</v>
      </c>
      <c r="P334" s="620"/>
    </row>
    <row r="335" spans="1:16" ht="15" hidden="1" customHeight="1">
      <c r="A335" s="700" t="s">
        <v>366</v>
      </c>
      <c r="B335" s="366" t="s">
        <v>1106</v>
      </c>
      <c r="C335" s="382">
        <f>0.25</f>
        <v>0.25</v>
      </c>
      <c r="D335" s="382"/>
      <c r="E335" s="382"/>
      <c r="F335" s="431">
        <f>13*13*0.006165</f>
        <v>1.041885</v>
      </c>
      <c r="G335" s="431">
        <f>0.05*2</f>
        <v>0.1</v>
      </c>
      <c r="H335" s="431"/>
      <c r="I335" s="431"/>
      <c r="J335" s="431"/>
      <c r="K335" s="382">
        <f>3*5</f>
        <v>15</v>
      </c>
      <c r="L335" s="382">
        <f>L334</f>
        <v>4</v>
      </c>
      <c r="M335" s="431">
        <f>(C335+G335)*F335*K335*L335</f>
        <v>21.879584999999999</v>
      </c>
      <c r="N335" s="699" t="s">
        <v>100</v>
      </c>
      <c r="O335" s="620">
        <f t="shared" si="2"/>
        <v>21.88</v>
      </c>
      <c r="P335" s="620"/>
    </row>
    <row r="336" spans="1:16" ht="15" hidden="1" customHeight="1">
      <c r="A336" s="700" t="s">
        <v>476</v>
      </c>
      <c r="B336" s="379" t="s">
        <v>1107</v>
      </c>
      <c r="C336" s="382">
        <f>C332</f>
        <v>1</v>
      </c>
      <c r="D336" s="382">
        <f>D332</f>
        <v>1</v>
      </c>
      <c r="E336" s="382">
        <f>E333</f>
        <v>0.4</v>
      </c>
      <c r="F336" s="431"/>
      <c r="G336" s="431"/>
      <c r="H336" s="431"/>
      <c r="I336" s="431"/>
      <c r="J336" s="431"/>
      <c r="K336" s="382"/>
      <c r="L336" s="382">
        <f>L335</f>
        <v>4</v>
      </c>
      <c r="M336" s="431">
        <f>C336*D336*E336*L336</f>
        <v>1.6</v>
      </c>
      <c r="N336" s="699" t="s">
        <v>103</v>
      </c>
      <c r="O336" s="620">
        <f t="shared" si="2"/>
        <v>1.6</v>
      </c>
      <c r="P336" s="620"/>
    </row>
    <row r="337" spans="1:16" ht="15" hidden="1" customHeight="1">
      <c r="A337" s="700" t="s">
        <v>728</v>
      </c>
      <c r="B337" s="366" t="s">
        <v>729</v>
      </c>
      <c r="C337" s="382"/>
      <c r="D337" s="382"/>
      <c r="E337" s="382"/>
      <c r="F337" s="431"/>
      <c r="G337" s="431"/>
      <c r="H337" s="431"/>
      <c r="I337" s="431"/>
      <c r="J337" s="431"/>
      <c r="K337" s="382"/>
      <c r="L337" s="382"/>
      <c r="M337" s="431">
        <f>M336</f>
        <v>1.6</v>
      </c>
      <c r="N337" s="699" t="s">
        <v>103</v>
      </c>
      <c r="O337" s="620">
        <f t="shared" si="2"/>
        <v>1.6</v>
      </c>
      <c r="P337" s="620"/>
    </row>
    <row r="338" spans="1:16" ht="15" hidden="1" customHeight="1">
      <c r="A338" s="698">
        <f>A328+1</f>
        <v>3</v>
      </c>
      <c r="B338" s="366" t="s">
        <v>1108</v>
      </c>
      <c r="C338" s="382"/>
      <c r="D338" s="382"/>
      <c r="E338" s="382"/>
      <c r="F338" s="431"/>
      <c r="G338" s="431"/>
      <c r="H338" s="431"/>
      <c r="I338" s="431"/>
      <c r="J338" s="431"/>
      <c r="K338" s="382"/>
      <c r="L338" s="382"/>
      <c r="M338" s="431"/>
      <c r="N338" s="699"/>
      <c r="O338" s="386"/>
      <c r="P338" s="620"/>
    </row>
    <row r="339" spans="1:16" ht="15" hidden="1" customHeight="1">
      <c r="A339" s="700" t="s">
        <v>95</v>
      </c>
      <c r="B339" s="366" t="s">
        <v>694</v>
      </c>
      <c r="C339" s="382"/>
      <c r="D339" s="382"/>
      <c r="E339" s="382"/>
      <c r="F339" s="431"/>
      <c r="G339" s="431"/>
      <c r="H339" s="431"/>
      <c r="I339" s="431"/>
      <c r="J339" s="431"/>
      <c r="K339" s="382"/>
      <c r="L339" s="382"/>
      <c r="M339" s="431"/>
      <c r="N339" s="699"/>
      <c r="O339" s="386"/>
      <c r="P339" s="620"/>
    </row>
    <row r="340" spans="1:16" ht="15" hidden="1" customHeight="1">
      <c r="A340" s="700"/>
      <c r="B340" s="643" t="s">
        <v>1044</v>
      </c>
      <c r="C340" s="382">
        <v>0.5</v>
      </c>
      <c r="D340" s="382">
        <v>0.5</v>
      </c>
      <c r="E340" s="382">
        <v>0.6</v>
      </c>
      <c r="F340" s="431"/>
      <c r="G340" s="431"/>
      <c r="H340" s="431"/>
      <c r="I340" s="431"/>
      <c r="J340" s="431"/>
      <c r="K340" s="382"/>
      <c r="L340" s="382">
        <v>2</v>
      </c>
      <c r="M340" s="431">
        <f>C340*D340*E340*L340</f>
        <v>0.3</v>
      </c>
      <c r="N340" s="699"/>
      <c r="O340" s="386"/>
      <c r="P340" s="620"/>
    </row>
    <row r="341" spans="1:16" ht="15" hidden="1" customHeight="1">
      <c r="A341" s="700"/>
      <c r="B341" s="643" t="s">
        <v>136</v>
      </c>
      <c r="C341" s="382">
        <v>0.5</v>
      </c>
      <c r="D341" s="382">
        <f>D340</f>
        <v>0.5</v>
      </c>
      <c r="E341" s="382">
        <f>E340</f>
        <v>0.6</v>
      </c>
      <c r="F341" s="431"/>
      <c r="G341" s="431"/>
      <c r="H341" s="431"/>
      <c r="I341" s="431"/>
      <c r="J341" s="431"/>
      <c r="K341" s="382"/>
      <c r="L341" s="382">
        <v>2</v>
      </c>
      <c r="M341" s="624">
        <f>C341*D341*E341*L341</f>
        <v>0.3</v>
      </c>
      <c r="N341" s="699"/>
      <c r="O341" s="386"/>
      <c r="P341" s="620"/>
    </row>
    <row r="342" spans="1:16" ht="15" hidden="1" customHeight="1">
      <c r="A342" s="700"/>
      <c r="B342" s="366"/>
      <c r="C342" s="382"/>
      <c r="D342" s="382"/>
      <c r="E342" s="382"/>
      <c r="F342" s="431"/>
      <c r="G342" s="431"/>
      <c r="H342" s="431"/>
      <c r="I342" s="431"/>
      <c r="J342" s="431"/>
      <c r="K342" s="382"/>
      <c r="L342" s="382"/>
      <c r="M342" s="431">
        <f>SUM(M340:M341)</f>
        <v>0.6</v>
      </c>
      <c r="N342" s="699" t="s">
        <v>103</v>
      </c>
      <c r="O342" s="620">
        <f>ROUND((M342),2)</f>
        <v>0.6</v>
      </c>
      <c r="P342" s="620"/>
    </row>
    <row r="343" spans="1:16" ht="15" hidden="1" customHeight="1">
      <c r="A343" s="700" t="s">
        <v>98</v>
      </c>
      <c r="B343" s="366" t="s">
        <v>1104</v>
      </c>
      <c r="C343" s="382"/>
      <c r="D343" s="382"/>
      <c r="E343" s="382"/>
      <c r="F343" s="431"/>
      <c r="G343" s="431"/>
      <c r="H343" s="431"/>
      <c r="I343" s="431"/>
      <c r="J343" s="431"/>
      <c r="K343" s="382"/>
      <c r="L343" s="382"/>
      <c r="M343" s="431"/>
      <c r="N343" s="699"/>
      <c r="O343" s="386"/>
      <c r="P343" s="620"/>
    </row>
    <row r="344" spans="1:16" ht="15" hidden="1" customHeight="1">
      <c r="A344" s="700"/>
      <c r="B344" s="643" t="str">
        <f>B340</f>
        <v>Horisontal</v>
      </c>
      <c r="C344" s="382">
        <f>C340</f>
        <v>0.5</v>
      </c>
      <c r="D344" s="382">
        <v>0.3</v>
      </c>
      <c r="E344" s="382">
        <v>0.1</v>
      </c>
      <c r="F344" s="431"/>
      <c r="G344" s="431"/>
      <c r="H344" s="431"/>
      <c r="I344" s="431"/>
      <c r="J344" s="431"/>
      <c r="K344" s="382"/>
      <c r="L344" s="382">
        <f>L340</f>
        <v>2</v>
      </c>
      <c r="M344" s="431">
        <f>C344*D344*E344*L344</f>
        <v>0.03</v>
      </c>
      <c r="N344" s="699"/>
      <c r="O344" s="386"/>
      <c r="P344" s="620"/>
    </row>
    <row r="345" spans="1:16" ht="15" hidden="1" customHeight="1">
      <c r="A345" s="700"/>
      <c r="B345" s="643" t="str">
        <f>B341</f>
        <v>Vertikal</v>
      </c>
      <c r="C345" s="382">
        <f>C341</f>
        <v>0.5</v>
      </c>
      <c r="D345" s="382">
        <f>D344</f>
        <v>0.3</v>
      </c>
      <c r="E345" s="382">
        <f>E344</f>
        <v>0.1</v>
      </c>
      <c r="F345" s="431"/>
      <c r="G345" s="431"/>
      <c r="H345" s="431"/>
      <c r="I345" s="431"/>
      <c r="J345" s="431"/>
      <c r="K345" s="382"/>
      <c r="L345" s="382">
        <f>L341</f>
        <v>2</v>
      </c>
      <c r="M345" s="624">
        <f>C345*D345*E345*L345</f>
        <v>0.03</v>
      </c>
      <c r="N345" s="699"/>
      <c r="O345" s="386"/>
      <c r="P345" s="620"/>
    </row>
    <row r="346" spans="1:16" ht="15" hidden="1" customHeight="1">
      <c r="A346" s="700"/>
      <c r="B346" s="366"/>
      <c r="C346" s="382"/>
      <c r="D346" s="382"/>
      <c r="E346" s="382"/>
      <c r="F346" s="431"/>
      <c r="G346" s="431"/>
      <c r="H346" s="431"/>
      <c r="I346" s="431"/>
      <c r="J346" s="431"/>
      <c r="K346" s="382"/>
      <c r="L346" s="382"/>
      <c r="M346" s="431">
        <f>SUM(M344:M345)</f>
        <v>0.06</v>
      </c>
      <c r="N346" s="699" t="s">
        <v>103</v>
      </c>
      <c r="O346" s="620">
        <f>ROUND((M346),2)</f>
        <v>0.06</v>
      </c>
      <c r="P346" s="620"/>
    </row>
    <row r="347" spans="1:16" ht="15" hidden="1" customHeight="1">
      <c r="A347" s="700" t="s">
        <v>101</v>
      </c>
      <c r="B347" s="366" t="s">
        <v>496</v>
      </c>
      <c r="C347" s="382"/>
      <c r="D347" s="382"/>
      <c r="E347" s="382"/>
      <c r="F347" s="431"/>
      <c r="G347" s="431"/>
      <c r="H347" s="431"/>
      <c r="I347" s="431"/>
      <c r="J347" s="431"/>
      <c r="K347" s="382"/>
      <c r="L347" s="382"/>
      <c r="M347" s="431"/>
      <c r="N347" s="699"/>
      <c r="O347" s="386"/>
      <c r="P347" s="620"/>
    </row>
    <row r="348" spans="1:16" ht="15" hidden="1" customHeight="1">
      <c r="A348" s="700"/>
      <c r="B348" s="643" t="str">
        <f t="shared" ref="B348:D349" si="3">B344</f>
        <v>Horisontal</v>
      </c>
      <c r="C348" s="382">
        <f t="shared" si="3"/>
        <v>0.5</v>
      </c>
      <c r="D348" s="382">
        <f t="shared" si="3"/>
        <v>0.3</v>
      </c>
      <c r="E348" s="382">
        <v>0.05</v>
      </c>
      <c r="F348" s="431"/>
      <c r="G348" s="431"/>
      <c r="H348" s="431"/>
      <c r="I348" s="431"/>
      <c r="J348" s="431"/>
      <c r="K348" s="382"/>
      <c r="L348" s="382">
        <f>L344</f>
        <v>2</v>
      </c>
      <c r="M348" s="431">
        <f>C348*D348*E348*L348</f>
        <v>1.4999999999999999E-2</v>
      </c>
      <c r="N348" s="699"/>
      <c r="O348" s="386"/>
      <c r="P348" s="620"/>
    </row>
    <row r="349" spans="1:16" ht="15" hidden="1" customHeight="1">
      <c r="A349" s="700"/>
      <c r="B349" s="643" t="str">
        <f t="shared" si="3"/>
        <v>Vertikal</v>
      </c>
      <c r="C349" s="382">
        <f t="shared" si="3"/>
        <v>0.5</v>
      </c>
      <c r="D349" s="382">
        <f t="shared" si="3"/>
        <v>0.3</v>
      </c>
      <c r="E349" s="382">
        <f>E348</f>
        <v>0.05</v>
      </c>
      <c r="F349" s="431"/>
      <c r="G349" s="431"/>
      <c r="H349" s="431"/>
      <c r="I349" s="431"/>
      <c r="J349" s="431"/>
      <c r="K349" s="382"/>
      <c r="L349" s="382">
        <f>L345</f>
        <v>2</v>
      </c>
      <c r="M349" s="624">
        <f>C349*D349*E349*L349</f>
        <v>1.4999999999999999E-2</v>
      </c>
      <c r="N349" s="699"/>
      <c r="O349" s="386"/>
      <c r="P349" s="620"/>
    </row>
    <row r="350" spans="1:16" ht="15" hidden="1" customHeight="1">
      <c r="A350" s="700"/>
      <c r="B350" s="366"/>
      <c r="C350" s="382"/>
      <c r="D350" s="382"/>
      <c r="E350" s="382"/>
      <c r="F350" s="431"/>
      <c r="G350" s="431"/>
      <c r="H350" s="431"/>
      <c r="I350" s="431"/>
      <c r="J350" s="431"/>
      <c r="K350" s="382"/>
      <c r="L350" s="382"/>
      <c r="M350" s="431">
        <f>SUM(M348:M349)</f>
        <v>0.03</v>
      </c>
      <c r="N350" s="699" t="s">
        <v>103</v>
      </c>
      <c r="O350" s="620">
        <f>ROUND((M350),2)</f>
        <v>0.03</v>
      </c>
      <c r="P350" s="620"/>
    </row>
    <row r="351" spans="1:16" ht="15" hidden="1" customHeight="1">
      <c r="A351" s="700" t="s">
        <v>121</v>
      </c>
      <c r="B351" s="366" t="s">
        <v>401</v>
      </c>
      <c r="C351" s="382"/>
      <c r="D351" s="382"/>
      <c r="E351" s="382"/>
      <c r="F351" s="431"/>
      <c r="G351" s="431"/>
      <c r="H351" s="431"/>
      <c r="I351" s="431"/>
      <c r="J351" s="431"/>
      <c r="K351" s="382"/>
      <c r="L351" s="382"/>
      <c r="M351" s="431"/>
      <c r="N351" s="699"/>
      <c r="O351" s="386"/>
      <c r="P351" s="620"/>
    </row>
    <row r="352" spans="1:16" ht="15" hidden="1" customHeight="1">
      <c r="A352" s="700"/>
      <c r="B352" s="643" t="str">
        <f>B348</f>
        <v>Horisontal</v>
      </c>
      <c r="C352" s="382">
        <f>C348</f>
        <v>0.5</v>
      </c>
      <c r="D352" s="382"/>
      <c r="E352" s="382">
        <v>0.5</v>
      </c>
      <c r="F352" s="431"/>
      <c r="G352" s="431"/>
      <c r="H352" s="431"/>
      <c r="I352" s="431"/>
      <c r="J352" s="431"/>
      <c r="K352" s="382"/>
      <c r="L352" s="382">
        <f>L348</f>
        <v>2</v>
      </c>
      <c r="M352" s="431">
        <f>C352*E352*L352</f>
        <v>0.5</v>
      </c>
      <c r="N352" s="699"/>
      <c r="O352" s="386"/>
      <c r="P352" s="620"/>
    </row>
    <row r="353" spans="1:17" ht="15" hidden="1" customHeight="1">
      <c r="A353" s="700"/>
      <c r="B353" s="643" t="str">
        <f>B349</f>
        <v>Vertikal</v>
      </c>
      <c r="C353" s="382">
        <f>C349</f>
        <v>0.5</v>
      </c>
      <c r="D353" s="382"/>
      <c r="E353" s="382">
        <f>E352</f>
        <v>0.5</v>
      </c>
      <c r="F353" s="431"/>
      <c r="G353" s="431"/>
      <c r="H353" s="431"/>
      <c r="I353" s="431"/>
      <c r="J353" s="431"/>
      <c r="K353" s="382"/>
      <c r="L353" s="382">
        <f>L349</f>
        <v>2</v>
      </c>
      <c r="M353" s="624">
        <f>C353*E353*L353</f>
        <v>0.5</v>
      </c>
      <c r="N353" s="699"/>
      <c r="O353" s="386"/>
      <c r="P353" s="620"/>
    </row>
    <row r="354" spans="1:17" ht="15" hidden="1" customHeight="1">
      <c r="A354" s="700"/>
      <c r="B354" s="366"/>
      <c r="C354" s="382"/>
      <c r="D354" s="382"/>
      <c r="E354" s="382"/>
      <c r="F354" s="431"/>
      <c r="G354" s="431"/>
      <c r="H354" s="431"/>
      <c r="I354" s="431"/>
      <c r="J354" s="431"/>
      <c r="K354" s="382"/>
      <c r="L354" s="382"/>
      <c r="M354" s="431">
        <f>SUM(M352:M353)</f>
        <v>1</v>
      </c>
      <c r="N354" s="699" t="s">
        <v>89</v>
      </c>
      <c r="O354" s="620">
        <f>ROUND((M354),2)</f>
        <v>1</v>
      </c>
      <c r="P354" s="620"/>
    </row>
    <row r="355" spans="1:17" ht="15" hidden="1" customHeight="1">
      <c r="A355" s="700" t="s">
        <v>142</v>
      </c>
      <c r="B355" s="366" t="s">
        <v>1109</v>
      </c>
      <c r="C355" s="382"/>
      <c r="D355" s="382"/>
      <c r="E355" s="382"/>
      <c r="F355" s="431"/>
      <c r="G355" s="431"/>
      <c r="H355" s="431"/>
      <c r="I355" s="431"/>
      <c r="J355" s="431"/>
      <c r="K355" s="382"/>
      <c r="L355" s="382"/>
      <c r="M355" s="431"/>
      <c r="N355" s="699"/>
      <c r="O355" s="386"/>
      <c r="P355" s="620"/>
    </row>
    <row r="356" spans="1:17" ht="15" hidden="1" customHeight="1">
      <c r="A356" s="700"/>
      <c r="B356" s="643" t="str">
        <f>B352</f>
        <v>Horisontal</v>
      </c>
      <c r="C356" s="382">
        <f>C352</f>
        <v>0.5</v>
      </c>
      <c r="D356" s="382"/>
      <c r="E356" s="382"/>
      <c r="F356" s="431">
        <f>16*16*0.006165</f>
        <v>1.5782400000000001</v>
      </c>
      <c r="G356" s="431"/>
      <c r="H356" s="431"/>
      <c r="I356" s="431">
        <v>0.7</v>
      </c>
      <c r="J356" s="431"/>
      <c r="K356" s="382">
        <v>7</v>
      </c>
      <c r="L356" s="382">
        <f>L352</f>
        <v>2</v>
      </c>
      <c r="M356" s="431">
        <f>(C356+I356)*F356*K356*L356</f>
        <v>26.514431999999999</v>
      </c>
      <c r="N356" s="699"/>
      <c r="O356" s="386"/>
      <c r="P356" s="620"/>
    </row>
    <row r="357" spans="1:17" ht="15" hidden="1" customHeight="1">
      <c r="A357" s="700"/>
      <c r="B357" s="643" t="str">
        <f>B353</f>
        <v>Vertikal</v>
      </c>
      <c r="C357" s="382">
        <f>C353</f>
        <v>0.5</v>
      </c>
      <c r="D357" s="382"/>
      <c r="E357" s="382"/>
      <c r="F357" s="431">
        <f>F356</f>
        <v>1.5782400000000001</v>
      </c>
      <c r="G357" s="431"/>
      <c r="H357" s="431"/>
      <c r="I357" s="431">
        <f>I356</f>
        <v>0.7</v>
      </c>
      <c r="J357" s="431"/>
      <c r="K357" s="382">
        <f>K356</f>
        <v>7</v>
      </c>
      <c r="L357" s="382">
        <f>L353</f>
        <v>2</v>
      </c>
      <c r="M357" s="624">
        <f>(C357+I357)*F357*K357*L357</f>
        <v>26.514431999999999</v>
      </c>
      <c r="N357" s="699"/>
      <c r="O357" s="386"/>
      <c r="P357" s="620"/>
    </row>
    <row r="358" spans="1:17" ht="15" hidden="1" customHeight="1">
      <c r="A358" s="700"/>
      <c r="B358" s="366"/>
      <c r="C358" s="382"/>
      <c r="D358" s="382"/>
      <c r="E358" s="382"/>
      <c r="F358" s="431"/>
      <c r="G358" s="431"/>
      <c r="H358" s="431"/>
      <c r="I358" s="431"/>
      <c r="J358" s="431"/>
      <c r="K358" s="382"/>
      <c r="L358" s="382"/>
      <c r="M358" s="431">
        <f>SUM(M356:M357)</f>
        <v>53.028863999999999</v>
      </c>
      <c r="N358" s="699" t="s">
        <v>100</v>
      </c>
      <c r="O358" s="620">
        <f>ROUND((M358),2)</f>
        <v>53.03</v>
      </c>
      <c r="P358" s="620"/>
      <c r="Q358" s="701"/>
    </row>
    <row r="359" spans="1:17" ht="15" hidden="1" customHeight="1">
      <c r="A359" s="700" t="s">
        <v>217</v>
      </c>
      <c r="B359" s="366" t="s">
        <v>928</v>
      </c>
      <c r="C359" s="382"/>
      <c r="D359" s="382"/>
      <c r="E359" s="382"/>
      <c r="F359" s="431"/>
      <c r="G359" s="431"/>
      <c r="H359" s="431"/>
      <c r="I359" s="431"/>
      <c r="J359" s="431"/>
      <c r="K359" s="382"/>
      <c r="L359" s="382"/>
      <c r="M359" s="431"/>
      <c r="N359" s="699"/>
      <c r="O359" s="386"/>
      <c r="P359" s="620"/>
      <c r="Q359" s="701"/>
    </row>
    <row r="360" spans="1:17" ht="15" hidden="1" customHeight="1">
      <c r="A360" s="700"/>
      <c r="B360" s="643" t="str">
        <f>B356</f>
        <v>Horisontal</v>
      </c>
      <c r="C360" s="382">
        <f>C356</f>
        <v>0.5</v>
      </c>
      <c r="D360" s="382"/>
      <c r="E360" s="382"/>
      <c r="F360" s="431">
        <f>13*13*0.006165</f>
        <v>1.041885</v>
      </c>
      <c r="G360" s="431"/>
      <c r="H360" s="431"/>
      <c r="I360" s="431">
        <v>0.6</v>
      </c>
      <c r="J360" s="431"/>
      <c r="K360" s="382">
        <v>4</v>
      </c>
      <c r="L360" s="382">
        <f>L356</f>
        <v>2</v>
      </c>
      <c r="M360" s="431">
        <f>(C360+I360)*F360*K360*L360</f>
        <v>9.1685879999999997</v>
      </c>
      <c r="N360" s="699"/>
      <c r="O360" s="386"/>
      <c r="P360" s="620"/>
      <c r="Q360" s="701"/>
    </row>
    <row r="361" spans="1:17" ht="15" hidden="1" customHeight="1">
      <c r="A361" s="700"/>
      <c r="B361" s="643" t="str">
        <f>B357</f>
        <v>Vertikal</v>
      </c>
      <c r="C361" s="382">
        <f>C357</f>
        <v>0.5</v>
      </c>
      <c r="D361" s="382"/>
      <c r="E361" s="382"/>
      <c r="F361" s="431">
        <f>F360</f>
        <v>1.041885</v>
      </c>
      <c r="G361" s="431"/>
      <c r="H361" s="431"/>
      <c r="I361" s="431">
        <f>I360</f>
        <v>0.6</v>
      </c>
      <c r="J361" s="431"/>
      <c r="K361" s="382">
        <f>K360</f>
        <v>4</v>
      </c>
      <c r="L361" s="382">
        <f>L357</f>
        <v>2</v>
      </c>
      <c r="M361" s="624">
        <f>(C361+I361)*F361*K361*L361</f>
        <v>9.1685879999999997</v>
      </c>
      <c r="N361" s="699"/>
      <c r="O361" s="386"/>
      <c r="P361" s="620"/>
      <c r="Q361" s="701"/>
    </row>
    <row r="362" spans="1:17" ht="15" hidden="1" customHeight="1">
      <c r="A362" s="700"/>
      <c r="B362" s="366"/>
      <c r="C362" s="382"/>
      <c r="D362" s="382"/>
      <c r="E362" s="382"/>
      <c r="F362" s="431"/>
      <c r="G362" s="431"/>
      <c r="H362" s="431"/>
      <c r="I362" s="431"/>
      <c r="J362" s="431"/>
      <c r="K362" s="382"/>
      <c r="L362" s="382"/>
      <c r="M362" s="431">
        <f>SUM(M360:M361)</f>
        <v>18.337175999999999</v>
      </c>
      <c r="N362" s="699" t="s">
        <v>100</v>
      </c>
      <c r="O362" s="620">
        <f>ROUND((M362),2)</f>
        <v>18.34</v>
      </c>
      <c r="P362" s="620"/>
      <c r="Q362" s="701"/>
    </row>
    <row r="363" spans="1:17" ht="15" hidden="1" customHeight="1">
      <c r="A363" s="700" t="s">
        <v>366</v>
      </c>
      <c r="B363" s="366" t="s">
        <v>1110</v>
      </c>
      <c r="C363" s="382"/>
      <c r="D363" s="382"/>
      <c r="E363" s="382"/>
      <c r="F363" s="431"/>
      <c r="G363" s="431"/>
      <c r="H363" s="431"/>
      <c r="I363" s="431"/>
      <c r="J363" s="431"/>
      <c r="K363" s="382"/>
      <c r="L363" s="382"/>
      <c r="M363" s="431"/>
      <c r="N363" s="699"/>
      <c r="O363" s="386"/>
      <c r="P363" s="620"/>
    </row>
    <row r="364" spans="1:17" ht="15" hidden="1" customHeight="1">
      <c r="A364" s="700"/>
      <c r="B364" s="643" t="str">
        <f>B360</f>
        <v>Horisontal</v>
      </c>
      <c r="C364" s="382">
        <v>0.2</v>
      </c>
      <c r="D364" s="382"/>
      <c r="E364" s="382"/>
      <c r="F364" s="431">
        <f>10*10*0.006165</f>
        <v>0.61650000000000005</v>
      </c>
      <c r="G364" s="431">
        <f>0.05*2</f>
        <v>0.1</v>
      </c>
      <c r="H364" s="431">
        <v>2</v>
      </c>
      <c r="I364" s="431"/>
      <c r="J364" s="431"/>
      <c r="K364" s="382">
        <f>ROUNDDOWN((C360/0.4),0.1)+1</f>
        <v>2</v>
      </c>
      <c r="L364" s="382">
        <f>L360</f>
        <v>2</v>
      </c>
      <c r="M364" s="431">
        <f>(C364+G364)*F364*H364*K364*L364</f>
        <v>1.4796000000000002</v>
      </c>
      <c r="N364" s="699"/>
      <c r="O364" s="386"/>
      <c r="P364" s="620"/>
    </row>
    <row r="365" spans="1:17" ht="15" hidden="1" customHeight="1">
      <c r="A365" s="700"/>
      <c r="B365" s="643" t="str">
        <f>B361</f>
        <v>Vertikal</v>
      </c>
      <c r="C365" s="382">
        <f>C364</f>
        <v>0.2</v>
      </c>
      <c r="D365" s="382"/>
      <c r="E365" s="382"/>
      <c r="F365" s="431">
        <f>F364</f>
        <v>0.61650000000000005</v>
      </c>
      <c r="G365" s="431">
        <f>G364</f>
        <v>0.1</v>
      </c>
      <c r="H365" s="431">
        <f>H364</f>
        <v>2</v>
      </c>
      <c r="I365" s="431"/>
      <c r="J365" s="431"/>
      <c r="K365" s="382">
        <f>ROUNDDOWN((C361/0.4),0.1)+1</f>
        <v>2</v>
      </c>
      <c r="L365" s="382">
        <f>L361</f>
        <v>2</v>
      </c>
      <c r="M365" s="624">
        <f>(C365+G365)*F365*H365*K365*L365</f>
        <v>1.4796000000000002</v>
      </c>
      <c r="N365" s="699"/>
      <c r="O365" s="386"/>
      <c r="P365" s="620"/>
    </row>
    <row r="366" spans="1:17" ht="15" hidden="1" customHeight="1">
      <c r="A366" s="700"/>
      <c r="B366" s="366"/>
      <c r="C366" s="382"/>
      <c r="D366" s="382"/>
      <c r="E366" s="382"/>
      <c r="F366" s="431"/>
      <c r="G366" s="431"/>
      <c r="H366" s="431"/>
      <c r="I366" s="431"/>
      <c r="J366" s="431"/>
      <c r="K366" s="382"/>
      <c r="L366" s="382"/>
      <c r="M366" s="431">
        <f>SUM(M364:M365)</f>
        <v>2.9592000000000005</v>
      </c>
      <c r="N366" s="699" t="s">
        <v>100</v>
      </c>
      <c r="O366" s="620">
        <f>ROUND((M366),2)</f>
        <v>2.96</v>
      </c>
      <c r="P366" s="620"/>
    </row>
    <row r="367" spans="1:17" ht="15" hidden="1" customHeight="1">
      <c r="A367" s="700" t="s">
        <v>476</v>
      </c>
      <c r="B367" s="366" t="s">
        <v>830</v>
      </c>
      <c r="C367" s="382"/>
      <c r="D367" s="382"/>
      <c r="E367" s="382"/>
      <c r="F367" s="431"/>
      <c r="G367" s="431"/>
      <c r="H367" s="431"/>
      <c r="I367" s="431"/>
      <c r="J367" s="431"/>
      <c r="K367" s="382"/>
      <c r="L367" s="382"/>
      <c r="M367" s="431"/>
      <c r="N367" s="699"/>
      <c r="O367" s="386"/>
      <c r="P367" s="620"/>
    </row>
    <row r="368" spans="1:17" ht="15" hidden="1" customHeight="1">
      <c r="A368" s="700"/>
      <c r="B368" s="643" t="str">
        <f>B364</f>
        <v>Horisontal</v>
      </c>
      <c r="C368" s="382">
        <f>(0.15+0.35)*2</f>
        <v>1</v>
      </c>
      <c r="D368" s="382"/>
      <c r="E368" s="382"/>
      <c r="F368" s="431">
        <f>8*8*0.006165</f>
        <v>0.39456000000000002</v>
      </c>
      <c r="G368" s="431">
        <f>0.05*2</f>
        <v>0.1</v>
      </c>
      <c r="H368" s="431"/>
      <c r="I368" s="431"/>
      <c r="J368" s="431"/>
      <c r="K368" s="382">
        <f>ROUNDDOWN((C360/0.125),0.1)+1</f>
        <v>5</v>
      </c>
      <c r="L368" s="382">
        <f>L364</f>
        <v>2</v>
      </c>
      <c r="M368" s="431">
        <f>(C368+G368)*F368*K368*L368</f>
        <v>4.3401600000000009</v>
      </c>
      <c r="N368" s="699"/>
      <c r="O368" s="386"/>
      <c r="P368" s="620"/>
    </row>
    <row r="369" spans="1:16" ht="15" hidden="1" customHeight="1">
      <c r="A369" s="700"/>
      <c r="B369" s="643" t="str">
        <f>B365</f>
        <v>Vertikal</v>
      </c>
      <c r="C369" s="382">
        <f>C368</f>
        <v>1</v>
      </c>
      <c r="D369" s="382"/>
      <c r="E369" s="382"/>
      <c r="F369" s="431">
        <f>F368</f>
        <v>0.39456000000000002</v>
      </c>
      <c r="G369" s="431">
        <f>G368</f>
        <v>0.1</v>
      </c>
      <c r="H369" s="431"/>
      <c r="I369" s="431"/>
      <c r="J369" s="431"/>
      <c r="K369" s="382">
        <f>ROUNDDOWN((C361/0.125),0.1)+1</f>
        <v>5</v>
      </c>
      <c r="L369" s="382">
        <f>L365</f>
        <v>2</v>
      </c>
      <c r="M369" s="624">
        <f>(C369+G369)*F369*K369*L369</f>
        <v>4.3401600000000009</v>
      </c>
      <c r="N369" s="699"/>
      <c r="O369" s="386"/>
      <c r="P369" s="620"/>
    </row>
    <row r="370" spans="1:16" ht="15" hidden="1" customHeight="1">
      <c r="A370" s="700"/>
      <c r="B370" s="366"/>
      <c r="C370" s="382"/>
      <c r="D370" s="382"/>
      <c r="E370" s="382"/>
      <c r="F370" s="431"/>
      <c r="G370" s="431"/>
      <c r="H370" s="431"/>
      <c r="I370" s="431"/>
      <c r="J370" s="431"/>
      <c r="K370" s="382"/>
      <c r="L370" s="382"/>
      <c r="M370" s="431">
        <f>SUM(M368:M369)</f>
        <v>8.6803200000000018</v>
      </c>
      <c r="N370" s="699" t="s">
        <v>100</v>
      </c>
      <c r="O370" s="620">
        <f>ROUND((M370),2)</f>
        <v>8.68</v>
      </c>
      <c r="P370" s="620"/>
    </row>
    <row r="371" spans="1:16" ht="15" hidden="1" customHeight="1">
      <c r="A371" s="384" t="s">
        <v>728</v>
      </c>
      <c r="B371" s="379" t="s">
        <v>945</v>
      </c>
      <c r="C371" s="382"/>
      <c r="D371" s="382"/>
      <c r="E371" s="382"/>
      <c r="F371" s="382"/>
      <c r="G371" s="382"/>
      <c r="H371" s="382"/>
      <c r="I371" s="382"/>
      <c r="J371" s="382"/>
      <c r="K371" s="382"/>
      <c r="L371" s="382"/>
      <c r="M371" s="382"/>
      <c r="N371" s="431"/>
      <c r="O371" s="383"/>
      <c r="P371" s="620"/>
    </row>
    <row r="372" spans="1:16" ht="15" hidden="1" customHeight="1">
      <c r="A372" s="384"/>
      <c r="B372" s="702" t="s">
        <v>1111</v>
      </c>
      <c r="C372" s="382">
        <f>C360</f>
        <v>0.5</v>
      </c>
      <c r="D372" s="382"/>
      <c r="E372" s="382"/>
      <c r="F372" s="382"/>
      <c r="G372" s="382"/>
      <c r="H372" s="382"/>
      <c r="I372" s="382"/>
      <c r="J372" s="382"/>
      <c r="K372" s="382"/>
      <c r="L372" s="382"/>
      <c r="M372" s="382">
        <f>M368</f>
        <v>4.3401600000000009</v>
      </c>
      <c r="N372" s="431">
        <f>C372*M372</f>
        <v>2.1700800000000005</v>
      </c>
      <c r="O372" s="383"/>
      <c r="P372" s="620"/>
    </row>
    <row r="373" spans="1:16" ht="15" hidden="1" customHeight="1">
      <c r="A373" s="384"/>
      <c r="B373" s="702"/>
      <c r="C373" s="382">
        <f>C361</f>
        <v>0.5</v>
      </c>
      <c r="D373" s="382"/>
      <c r="E373" s="382"/>
      <c r="F373" s="382"/>
      <c r="G373" s="382"/>
      <c r="H373" s="382"/>
      <c r="I373" s="382"/>
      <c r="J373" s="382"/>
      <c r="K373" s="382"/>
      <c r="L373" s="382"/>
      <c r="M373" s="382">
        <f>M369</f>
        <v>4.3401600000000009</v>
      </c>
      <c r="N373" s="624">
        <f>C373*M373</f>
        <v>2.1700800000000005</v>
      </c>
      <c r="O373" s="383"/>
      <c r="P373" s="620"/>
    </row>
    <row r="374" spans="1:16" ht="15" hidden="1" customHeight="1">
      <c r="A374" s="384"/>
      <c r="B374" s="702"/>
      <c r="C374" s="382"/>
      <c r="D374" s="382"/>
      <c r="E374" s="382"/>
      <c r="F374" s="382"/>
      <c r="G374" s="382"/>
      <c r="H374" s="382"/>
      <c r="I374" s="382"/>
      <c r="J374" s="382"/>
      <c r="K374" s="382"/>
      <c r="L374" s="382"/>
      <c r="M374" s="382"/>
      <c r="N374" s="431">
        <f>SUM(N372:N373)</f>
        <v>4.3401600000000009</v>
      </c>
      <c r="O374" s="383" t="s">
        <v>117</v>
      </c>
      <c r="P374" s="620"/>
    </row>
    <row r="375" spans="1:16" ht="15" hidden="1" customHeight="1">
      <c r="A375" s="384"/>
      <c r="B375" s="702"/>
      <c r="C375" s="382">
        <f>N374</f>
        <v>4.3401600000000009</v>
      </c>
      <c r="D375" s="382">
        <v>0.5</v>
      </c>
      <c r="E375" s="382"/>
      <c r="F375" s="382"/>
      <c r="G375" s="382"/>
      <c r="H375" s="382"/>
      <c r="I375" s="382"/>
      <c r="J375" s="382"/>
      <c r="K375" s="382"/>
      <c r="L375" s="382"/>
      <c r="M375" s="382"/>
      <c r="N375" s="648">
        <f>ROUNDDOWN((C375/D375),0.5)</f>
        <v>8</v>
      </c>
      <c r="O375" s="663" t="s">
        <v>124</v>
      </c>
      <c r="P375" s="620">
        <f>ROUND((N375),2)</f>
        <v>8</v>
      </c>
    </row>
    <row r="376" spans="1:16" ht="15" hidden="1" customHeight="1">
      <c r="A376" s="700" t="s">
        <v>1112</v>
      </c>
      <c r="B376" s="379" t="s">
        <v>1107</v>
      </c>
      <c r="C376" s="382"/>
      <c r="D376" s="382"/>
      <c r="E376" s="382"/>
      <c r="F376" s="431"/>
      <c r="G376" s="431"/>
      <c r="H376" s="431"/>
      <c r="I376" s="431"/>
      <c r="J376" s="431"/>
      <c r="K376" s="382"/>
      <c r="L376" s="382"/>
      <c r="M376" s="431"/>
      <c r="N376" s="699"/>
      <c r="O376" s="386"/>
      <c r="P376" s="620"/>
    </row>
    <row r="377" spans="1:16" ht="15" hidden="1" customHeight="1">
      <c r="A377" s="700"/>
      <c r="B377" s="643" t="str">
        <f>B368</f>
        <v>Horisontal</v>
      </c>
      <c r="C377" s="382">
        <f>C360</f>
        <v>0.5</v>
      </c>
      <c r="D377" s="382">
        <v>0.3</v>
      </c>
      <c r="E377" s="382">
        <v>0.4</v>
      </c>
      <c r="F377" s="431"/>
      <c r="G377" s="431"/>
      <c r="H377" s="431"/>
      <c r="I377" s="431"/>
      <c r="J377" s="431"/>
      <c r="K377" s="382"/>
      <c r="L377" s="382">
        <f>L368</f>
        <v>2</v>
      </c>
      <c r="M377" s="431">
        <f>C377*D377*E377*L377</f>
        <v>0.12</v>
      </c>
      <c r="N377" s="699"/>
      <c r="O377" s="386"/>
      <c r="P377" s="620"/>
    </row>
    <row r="378" spans="1:16" ht="15" hidden="1" customHeight="1">
      <c r="A378" s="700"/>
      <c r="B378" s="643" t="str">
        <f>B369</f>
        <v>Vertikal</v>
      </c>
      <c r="C378" s="382">
        <f>C361</f>
        <v>0.5</v>
      </c>
      <c r="D378" s="382">
        <f>D377</f>
        <v>0.3</v>
      </c>
      <c r="E378" s="382">
        <f>E377</f>
        <v>0.4</v>
      </c>
      <c r="F378" s="431"/>
      <c r="G378" s="431"/>
      <c r="H378" s="431"/>
      <c r="I378" s="431"/>
      <c r="J378" s="431"/>
      <c r="K378" s="382"/>
      <c r="L378" s="382">
        <f>L369</f>
        <v>2</v>
      </c>
      <c r="M378" s="624">
        <f>C378*D378*E378*L378</f>
        <v>0.12</v>
      </c>
      <c r="N378" s="699"/>
      <c r="O378" s="386"/>
      <c r="P378" s="620"/>
    </row>
    <row r="379" spans="1:16" ht="15" hidden="1" customHeight="1">
      <c r="A379" s="700"/>
      <c r="B379" s="366"/>
      <c r="C379" s="382"/>
      <c r="D379" s="382"/>
      <c r="E379" s="382"/>
      <c r="F379" s="431"/>
      <c r="G379" s="431"/>
      <c r="H379" s="431"/>
      <c r="I379" s="431"/>
      <c r="J379" s="431"/>
      <c r="K379" s="382"/>
      <c r="L379" s="382"/>
      <c r="M379" s="431">
        <f>SUM(M377:M378)</f>
        <v>0.24</v>
      </c>
      <c r="N379" s="699" t="s">
        <v>103</v>
      </c>
      <c r="O379" s="620">
        <f>ROUND((M379),2)</f>
        <v>0.24</v>
      </c>
      <c r="P379" s="620"/>
    </row>
    <row r="380" spans="1:16" ht="15" hidden="1" customHeight="1">
      <c r="A380" s="700" t="s">
        <v>1113</v>
      </c>
      <c r="B380" s="366" t="s">
        <v>729</v>
      </c>
      <c r="C380" s="382"/>
      <c r="D380" s="382"/>
      <c r="E380" s="382"/>
      <c r="F380" s="431"/>
      <c r="G380" s="431"/>
      <c r="H380" s="431"/>
      <c r="I380" s="431"/>
      <c r="J380" s="431"/>
      <c r="K380" s="382"/>
      <c r="L380" s="382"/>
      <c r="M380" s="431">
        <f>M379</f>
        <v>0.24</v>
      </c>
      <c r="N380" s="699" t="s">
        <v>103</v>
      </c>
      <c r="O380" s="620">
        <f>ROUND((M380),2)</f>
        <v>0.24</v>
      </c>
      <c r="P380" s="620"/>
    </row>
    <row r="381" spans="1:16" ht="15" hidden="1" customHeight="1">
      <c r="A381" s="698">
        <f>A338+1</f>
        <v>4</v>
      </c>
      <c r="B381" s="366" t="s">
        <v>733</v>
      </c>
      <c r="C381" s="382"/>
      <c r="D381" s="382"/>
      <c r="E381" s="382"/>
      <c r="F381" s="431"/>
      <c r="G381" s="431"/>
      <c r="H381" s="431"/>
      <c r="I381" s="431"/>
      <c r="J381" s="431"/>
      <c r="K381" s="382"/>
      <c r="L381" s="382"/>
      <c r="M381" s="431"/>
      <c r="N381" s="699"/>
      <c r="O381" s="386"/>
      <c r="P381" s="620"/>
    </row>
    <row r="382" spans="1:16" ht="15" hidden="1" customHeight="1">
      <c r="A382" s="700" t="s">
        <v>95</v>
      </c>
      <c r="B382" s="366" t="s">
        <v>417</v>
      </c>
      <c r="C382" s="382"/>
      <c r="D382" s="382">
        <v>0.3</v>
      </c>
      <c r="E382" s="382">
        <v>3</v>
      </c>
      <c r="F382" s="431"/>
      <c r="G382" s="431"/>
      <c r="H382" s="431">
        <v>4</v>
      </c>
      <c r="I382" s="431"/>
      <c r="J382" s="431"/>
      <c r="K382" s="382"/>
      <c r="L382" s="382">
        <v>4</v>
      </c>
      <c r="M382" s="431">
        <f>D382*E382*H382*L382</f>
        <v>14.399999999999999</v>
      </c>
      <c r="N382" s="699" t="s">
        <v>89</v>
      </c>
      <c r="O382" s="620">
        <f t="shared" ref="O382:O388" si="4">ROUND((M382),2)</f>
        <v>14.4</v>
      </c>
      <c r="P382" s="620"/>
    </row>
    <row r="383" spans="1:16" ht="15" hidden="1" customHeight="1">
      <c r="A383" s="700" t="s">
        <v>98</v>
      </c>
      <c r="B383" s="366" t="s">
        <v>1114</v>
      </c>
      <c r="C383" s="382"/>
      <c r="D383" s="382"/>
      <c r="E383" s="382">
        <v>3</v>
      </c>
      <c r="F383" s="431">
        <f>16*16*0.006165</f>
        <v>1.5782400000000001</v>
      </c>
      <c r="G383" s="431">
        <v>0.3</v>
      </c>
      <c r="H383" s="431"/>
      <c r="I383" s="431">
        <v>0.7</v>
      </c>
      <c r="J383" s="431">
        <v>0.7</v>
      </c>
      <c r="K383" s="382">
        <v>16</v>
      </c>
      <c r="L383" s="382">
        <f>L382</f>
        <v>4</v>
      </c>
      <c r="M383" s="431">
        <f>(E383+G383+I383+J383)*F383*K383*L383</f>
        <v>474.73459200000002</v>
      </c>
      <c r="N383" s="699" t="s">
        <v>100</v>
      </c>
      <c r="O383" s="620">
        <f t="shared" si="4"/>
        <v>474.73</v>
      </c>
      <c r="P383" s="620"/>
    </row>
    <row r="384" spans="1:16" ht="15" hidden="1" customHeight="1">
      <c r="A384" s="700" t="s">
        <v>101</v>
      </c>
      <c r="B384" s="366" t="s">
        <v>735</v>
      </c>
      <c r="C384" s="382">
        <v>0.22</v>
      </c>
      <c r="D384" s="382"/>
      <c r="E384" s="382"/>
      <c r="F384" s="431">
        <f>10*10*0.006165</f>
        <v>0.61650000000000005</v>
      </c>
      <c r="G384" s="431">
        <f>0.05*2</f>
        <v>0.1</v>
      </c>
      <c r="H384" s="431">
        <v>2</v>
      </c>
      <c r="I384" s="431"/>
      <c r="J384" s="431"/>
      <c r="K384" s="382">
        <f>ROUNDDOWN((E383/0.2),0.1)+1</f>
        <v>16</v>
      </c>
      <c r="L384" s="382">
        <f>L383</f>
        <v>4</v>
      </c>
      <c r="M384" s="431">
        <f>(C384+G384)*F384*H384*K384*L384</f>
        <v>25.251840000000001</v>
      </c>
      <c r="N384" s="699" t="s">
        <v>100</v>
      </c>
      <c r="O384" s="620">
        <f t="shared" si="4"/>
        <v>25.25</v>
      </c>
      <c r="P384" s="620"/>
    </row>
    <row r="385" spans="1:16" ht="15" hidden="1" customHeight="1">
      <c r="A385" s="700" t="s">
        <v>121</v>
      </c>
      <c r="B385" s="366" t="s">
        <v>1115</v>
      </c>
      <c r="C385" s="382">
        <f>0.42*4</f>
        <v>1.68</v>
      </c>
      <c r="D385" s="382"/>
      <c r="E385" s="382"/>
      <c r="F385" s="431">
        <f>8*8*0.006165</f>
        <v>0.39456000000000002</v>
      </c>
      <c r="G385" s="431">
        <f>0.05*2</f>
        <v>0.1</v>
      </c>
      <c r="H385" s="431"/>
      <c r="I385" s="431"/>
      <c r="J385" s="431"/>
      <c r="K385" s="382">
        <f>ROUNDDOWN((E383/0.1),0.1)+1</f>
        <v>31</v>
      </c>
      <c r="L385" s="382">
        <f>L384</f>
        <v>4</v>
      </c>
      <c r="M385" s="431">
        <f>(C385+G385)*F385*K385*L385</f>
        <v>87.087283200000016</v>
      </c>
      <c r="N385" s="699" t="s">
        <v>100</v>
      </c>
      <c r="O385" s="620">
        <f t="shared" si="4"/>
        <v>87.09</v>
      </c>
      <c r="P385" s="620"/>
    </row>
    <row r="386" spans="1:16" ht="15" hidden="1" customHeight="1">
      <c r="A386" s="700" t="s">
        <v>142</v>
      </c>
      <c r="B386" s="379" t="s">
        <v>1107</v>
      </c>
      <c r="C386" s="382">
        <v>0.3</v>
      </c>
      <c r="D386" s="382">
        <v>0.3</v>
      </c>
      <c r="E386" s="382">
        <f>E383</f>
        <v>3</v>
      </c>
      <c r="F386" s="431"/>
      <c r="G386" s="431"/>
      <c r="H386" s="431"/>
      <c r="I386" s="431"/>
      <c r="J386" s="431"/>
      <c r="K386" s="382"/>
      <c r="L386" s="382">
        <f>L385</f>
        <v>4</v>
      </c>
      <c r="M386" s="431">
        <f>C386*D386*E386*L386</f>
        <v>1.08</v>
      </c>
      <c r="N386" s="699" t="s">
        <v>103</v>
      </c>
      <c r="O386" s="620">
        <f t="shared" si="4"/>
        <v>1.08</v>
      </c>
      <c r="P386" s="620"/>
    </row>
    <row r="387" spans="1:16" ht="15" hidden="1" customHeight="1">
      <c r="A387" s="700" t="s">
        <v>217</v>
      </c>
      <c r="B387" s="366" t="s">
        <v>729</v>
      </c>
      <c r="C387" s="382"/>
      <c r="D387" s="382"/>
      <c r="E387" s="382"/>
      <c r="F387" s="431"/>
      <c r="G387" s="431"/>
      <c r="H387" s="431"/>
      <c r="I387" s="431"/>
      <c r="J387" s="431"/>
      <c r="K387" s="382"/>
      <c r="L387" s="382"/>
      <c r="M387" s="431">
        <f>M386</f>
        <v>1.08</v>
      </c>
      <c r="N387" s="699" t="s">
        <v>103</v>
      </c>
      <c r="O387" s="620">
        <f t="shared" si="4"/>
        <v>1.08</v>
      </c>
      <c r="P387" s="620"/>
    </row>
    <row r="388" spans="1:16" ht="15" hidden="1" customHeight="1">
      <c r="A388" s="698">
        <f>A381+1</f>
        <v>5</v>
      </c>
      <c r="B388" s="366" t="s">
        <v>737</v>
      </c>
      <c r="C388" s="382">
        <v>2.5</v>
      </c>
      <c r="D388" s="382">
        <v>2.5</v>
      </c>
      <c r="E388" s="382"/>
      <c r="F388" s="431"/>
      <c r="G388" s="431"/>
      <c r="H388" s="431"/>
      <c r="I388" s="431"/>
      <c r="J388" s="431"/>
      <c r="K388" s="382"/>
      <c r="L388" s="382"/>
      <c r="M388" s="431">
        <f>C388*D388</f>
        <v>6.25</v>
      </c>
      <c r="N388" s="699" t="s">
        <v>89</v>
      </c>
      <c r="O388" s="620">
        <f t="shared" si="4"/>
        <v>6.25</v>
      </c>
      <c r="P388" s="620"/>
    </row>
    <row r="389" spans="1:16" ht="15" hidden="1" customHeight="1">
      <c r="A389" s="698">
        <f>A388+1</f>
        <v>6</v>
      </c>
      <c r="B389" s="366" t="s">
        <v>1116</v>
      </c>
      <c r="C389" s="382"/>
      <c r="D389" s="382"/>
      <c r="E389" s="382"/>
      <c r="F389" s="431"/>
      <c r="G389" s="431"/>
      <c r="H389" s="431"/>
      <c r="I389" s="431"/>
      <c r="J389" s="431"/>
      <c r="K389" s="382"/>
      <c r="L389" s="382"/>
      <c r="M389" s="431"/>
      <c r="N389" s="699"/>
      <c r="O389" s="386"/>
      <c r="P389" s="620"/>
    </row>
    <row r="390" spans="1:16" ht="15" hidden="1" customHeight="1">
      <c r="A390" s="700" t="s">
        <v>95</v>
      </c>
      <c r="B390" s="366" t="s">
        <v>423</v>
      </c>
      <c r="C390" s="382"/>
      <c r="D390" s="382"/>
      <c r="E390" s="382"/>
      <c r="F390" s="431"/>
      <c r="G390" s="431"/>
      <c r="H390" s="431"/>
      <c r="I390" s="431"/>
      <c r="J390" s="431"/>
      <c r="K390" s="382"/>
      <c r="L390" s="382"/>
      <c r="M390" s="431"/>
      <c r="N390" s="699"/>
      <c r="O390" s="386"/>
      <c r="P390" s="620"/>
    </row>
    <row r="391" spans="1:16" ht="15" hidden="1" customHeight="1">
      <c r="A391" s="700"/>
      <c r="B391" s="643" t="s">
        <v>1044</v>
      </c>
      <c r="C391" s="382">
        <v>1.2</v>
      </c>
      <c r="D391" s="382">
        <v>0.25</v>
      </c>
      <c r="E391" s="382"/>
      <c r="F391" s="431"/>
      <c r="G391" s="431"/>
      <c r="H391" s="431">
        <v>1</v>
      </c>
      <c r="I391" s="431"/>
      <c r="J391" s="431"/>
      <c r="K391" s="382"/>
      <c r="L391" s="382">
        <v>2</v>
      </c>
      <c r="M391" s="431">
        <f>C391*D391*H391*L391</f>
        <v>0.6</v>
      </c>
      <c r="N391" s="699"/>
      <c r="O391" s="386"/>
      <c r="P391" s="620"/>
    </row>
    <row r="392" spans="1:16" ht="15" hidden="1" customHeight="1">
      <c r="A392" s="700"/>
      <c r="B392" s="643"/>
      <c r="C392" s="382">
        <f>C391</f>
        <v>1.2</v>
      </c>
      <c r="D392" s="382"/>
      <c r="E392" s="382">
        <v>0.4</v>
      </c>
      <c r="F392" s="431"/>
      <c r="G392" s="431"/>
      <c r="H392" s="431">
        <v>2</v>
      </c>
      <c r="I392" s="431"/>
      <c r="J392" s="431"/>
      <c r="K392" s="382"/>
      <c r="L392" s="382">
        <f>L391</f>
        <v>2</v>
      </c>
      <c r="M392" s="431">
        <f>C392*E392*H392*L392</f>
        <v>1.92</v>
      </c>
      <c r="N392" s="699"/>
      <c r="O392" s="386"/>
      <c r="P392" s="620"/>
    </row>
    <row r="393" spans="1:16" ht="15" hidden="1" customHeight="1">
      <c r="A393" s="700"/>
      <c r="B393" s="643"/>
      <c r="C393" s="382">
        <v>0.35</v>
      </c>
      <c r="D393" s="382">
        <f>D391</f>
        <v>0.25</v>
      </c>
      <c r="E393" s="382"/>
      <c r="F393" s="431"/>
      <c r="G393" s="431"/>
      <c r="H393" s="431">
        <f>H391</f>
        <v>1</v>
      </c>
      <c r="I393" s="431"/>
      <c r="J393" s="431"/>
      <c r="K393" s="382"/>
      <c r="L393" s="382">
        <v>4</v>
      </c>
      <c r="M393" s="431">
        <f>C393*D393*H393*L393</f>
        <v>0.35</v>
      </c>
      <c r="N393" s="699"/>
      <c r="O393" s="386"/>
      <c r="P393" s="620"/>
    </row>
    <row r="394" spans="1:16" ht="15" hidden="1" customHeight="1">
      <c r="A394" s="700"/>
      <c r="B394" s="643"/>
      <c r="C394" s="382">
        <f>C393</f>
        <v>0.35</v>
      </c>
      <c r="D394" s="382"/>
      <c r="E394" s="382">
        <f>E392</f>
        <v>0.4</v>
      </c>
      <c r="F394" s="431"/>
      <c r="G394" s="431"/>
      <c r="H394" s="431">
        <f>H392</f>
        <v>2</v>
      </c>
      <c r="I394" s="431"/>
      <c r="J394" s="431"/>
      <c r="K394" s="382"/>
      <c r="L394" s="382">
        <f>L393</f>
        <v>4</v>
      </c>
      <c r="M394" s="624">
        <f>C394*E394*H394*L394</f>
        <v>1.1199999999999999</v>
      </c>
      <c r="N394" s="699"/>
      <c r="O394" s="386"/>
      <c r="P394" s="620"/>
    </row>
    <row r="395" spans="1:16" ht="15" hidden="1" customHeight="1">
      <c r="A395" s="700"/>
      <c r="B395" s="366"/>
      <c r="C395" s="382"/>
      <c r="D395" s="382"/>
      <c r="E395" s="382"/>
      <c r="F395" s="431"/>
      <c r="G395" s="431"/>
      <c r="H395" s="431"/>
      <c r="I395" s="431"/>
      <c r="J395" s="431"/>
      <c r="K395" s="382"/>
      <c r="L395" s="382"/>
      <c r="M395" s="431">
        <f>SUM(M391:M394)</f>
        <v>3.99</v>
      </c>
      <c r="N395" s="699" t="s">
        <v>89</v>
      </c>
      <c r="O395" s="620">
        <f>ROUND((M395),2)</f>
        <v>3.99</v>
      </c>
      <c r="P395" s="620"/>
    </row>
    <row r="396" spans="1:16" ht="15" hidden="1" customHeight="1">
      <c r="A396" s="700" t="s">
        <v>98</v>
      </c>
      <c r="B396" s="366" t="s">
        <v>1109</v>
      </c>
      <c r="C396" s="382"/>
      <c r="D396" s="382"/>
      <c r="E396" s="382"/>
      <c r="F396" s="431"/>
      <c r="G396" s="431"/>
      <c r="H396" s="431"/>
      <c r="I396" s="431"/>
      <c r="J396" s="431"/>
      <c r="K396" s="382"/>
      <c r="L396" s="382"/>
      <c r="M396" s="431"/>
      <c r="N396" s="699"/>
      <c r="O396" s="386"/>
      <c r="P396" s="620"/>
    </row>
    <row r="397" spans="1:16" ht="15" hidden="1" customHeight="1">
      <c r="A397" s="700"/>
      <c r="B397" s="643" t="str">
        <f>B391</f>
        <v>Horisontal</v>
      </c>
      <c r="C397" s="382">
        <v>2.5</v>
      </c>
      <c r="D397" s="382"/>
      <c r="E397" s="382"/>
      <c r="F397" s="431">
        <f>16*16*0.006165</f>
        <v>1.5782400000000001</v>
      </c>
      <c r="G397" s="431"/>
      <c r="H397" s="431"/>
      <c r="I397" s="431"/>
      <c r="J397" s="431"/>
      <c r="K397" s="382">
        <v>7</v>
      </c>
      <c r="L397" s="382">
        <f>L391</f>
        <v>2</v>
      </c>
      <c r="M397" s="431">
        <f>C397*F397*K397*L397</f>
        <v>55.238400000000006</v>
      </c>
      <c r="N397" s="699"/>
      <c r="O397" s="386"/>
      <c r="P397" s="620"/>
    </row>
    <row r="398" spans="1:16" ht="15" hidden="1" customHeight="1">
      <c r="A398" s="700"/>
      <c r="B398" s="643"/>
      <c r="C398" s="382"/>
      <c r="D398" s="382"/>
      <c r="E398" s="382"/>
      <c r="F398" s="431"/>
      <c r="G398" s="431"/>
      <c r="H398" s="431"/>
      <c r="I398" s="431"/>
      <c r="J398" s="431"/>
      <c r="K398" s="382"/>
      <c r="L398" s="382"/>
      <c r="M398" s="624"/>
      <c r="N398" s="699"/>
      <c r="O398" s="386"/>
      <c r="P398" s="620"/>
    </row>
    <row r="399" spans="1:16" ht="15" hidden="1" customHeight="1">
      <c r="A399" s="700"/>
      <c r="B399" s="366"/>
      <c r="C399" s="382"/>
      <c r="D399" s="382"/>
      <c r="E399" s="382"/>
      <c r="F399" s="431"/>
      <c r="G399" s="431"/>
      <c r="H399" s="431"/>
      <c r="I399" s="431"/>
      <c r="J399" s="431"/>
      <c r="K399" s="382"/>
      <c r="L399" s="382"/>
      <c r="M399" s="431">
        <f>SUM(M397:M398)</f>
        <v>55.238400000000006</v>
      </c>
      <c r="N399" s="699" t="s">
        <v>100</v>
      </c>
      <c r="O399" s="620">
        <f>ROUND((M399),2)</f>
        <v>55.24</v>
      </c>
      <c r="P399" s="620"/>
    </row>
    <row r="400" spans="1:16" ht="15" hidden="1" customHeight="1">
      <c r="A400" s="700" t="s">
        <v>101</v>
      </c>
      <c r="B400" s="366" t="s">
        <v>928</v>
      </c>
      <c r="C400" s="382"/>
      <c r="D400" s="382"/>
      <c r="E400" s="382"/>
      <c r="F400" s="431"/>
      <c r="G400" s="431"/>
      <c r="H400" s="431"/>
      <c r="I400" s="431"/>
      <c r="J400" s="431"/>
      <c r="K400" s="382"/>
      <c r="L400" s="382"/>
      <c r="M400" s="431"/>
      <c r="N400" s="699"/>
      <c r="O400" s="386"/>
      <c r="P400" s="620"/>
    </row>
    <row r="401" spans="1:16" ht="15" hidden="1" customHeight="1">
      <c r="A401" s="700"/>
      <c r="B401" s="643" t="str">
        <f>B397</f>
        <v>Horisontal</v>
      </c>
      <c r="C401" s="382">
        <f>C397</f>
        <v>2.5</v>
      </c>
      <c r="D401" s="382"/>
      <c r="E401" s="382"/>
      <c r="F401" s="431">
        <f>13*13*0.006165</f>
        <v>1.041885</v>
      </c>
      <c r="G401" s="431"/>
      <c r="H401" s="431"/>
      <c r="I401" s="431"/>
      <c r="J401" s="431"/>
      <c r="K401" s="382">
        <v>4</v>
      </c>
      <c r="L401" s="382">
        <f>L397</f>
        <v>2</v>
      </c>
      <c r="M401" s="431">
        <f>C401*F401*K401*L401</f>
        <v>20.837699999999998</v>
      </c>
      <c r="N401" s="699"/>
      <c r="O401" s="386"/>
      <c r="P401" s="620"/>
    </row>
    <row r="402" spans="1:16" ht="15" hidden="1" customHeight="1">
      <c r="A402" s="700"/>
      <c r="B402" s="643"/>
      <c r="C402" s="382"/>
      <c r="D402" s="382"/>
      <c r="E402" s="382"/>
      <c r="F402" s="431"/>
      <c r="G402" s="431"/>
      <c r="H402" s="431"/>
      <c r="I402" s="431"/>
      <c r="J402" s="431"/>
      <c r="K402" s="382"/>
      <c r="L402" s="382"/>
      <c r="M402" s="624"/>
      <c r="N402" s="699"/>
      <c r="O402" s="386"/>
      <c r="P402" s="620"/>
    </row>
    <row r="403" spans="1:16" ht="15" hidden="1" customHeight="1">
      <c r="A403" s="700"/>
      <c r="B403" s="366"/>
      <c r="C403" s="382"/>
      <c r="D403" s="382"/>
      <c r="E403" s="382"/>
      <c r="F403" s="431"/>
      <c r="G403" s="431"/>
      <c r="H403" s="431"/>
      <c r="I403" s="431"/>
      <c r="J403" s="431"/>
      <c r="K403" s="382"/>
      <c r="L403" s="382"/>
      <c r="M403" s="431">
        <f>SUM(M401:M402)</f>
        <v>20.837699999999998</v>
      </c>
      <c r="N403" s="699" t="s">
        <v>100</v>
      </c>
      <c r="O403" s="620">
        <f>ROUND((M403),2)</f>
        <v>20.84</v>
      </c>
      <c r="P403" s="620"/>
    </row>
    <row r="404" spans="1:16" ht="15" hidden="1" customHeight="1">
      <c r="A404" s="700" t="s">
        <v>121</v>
      </c>
      <c r="B404" s="366" t="s">
        <v>735</v>
      </c>
      <c r="C404" s="382"/>
      <c r="D404" s="382"/>
      <c r="E404" s="382"/>
      <c r="F404" s="431"/>
      <c r="G404" s="431"/>
      <c r="H404" s="431"/>
      <c r="I404" s="431"/>
      <c r="J404" s="431"/>
      <c r="K404" s="382"/>
      <c r="L404" s="382"/>
      <c r="M404" s="431"/>
      <c r="N404" s="699"/>
      <c r="O404" s="386"/>
      <c r="P404" s="620"/>
    </row>
    <row r="405" spans="1:16" ht="15" hidden="1" customHeight="1">
      <c r="A405" s="700"/>
      <c r="B405" s="643" t="str">
        <f>B401</f>
        <v>Horisontal</v>
      </c>
      <c r="C405" s="382">
        <v>0.32</v>
      </c>
      <c r="D405" s="382"/>
      <c r="E405" s="382"/>
      <c r="F405" s="431">
        <f>10*10*0.006165</f>
        <v>0.61650000000000005</v>
      </c>
      <c r="G405" s="431">
        <f>0.05*2</f>
        <v>0.1</v>
      </c>
      <c r="H405" s="431">
        <v>1</v>
      </c>
      <c r="I405" s="431"/>
      <c r="J405" s="431"/>
      <c r="K405" s="382">
        <f>ROUNDDOWN((C401/0.1),0.1)+1</f>
        <v>26</v>
      </c>
      <c r="L405" s="382">
        <f>L401</f>
        <v>2</v>
      </c>
      <c r="M405" s="431">
        <f>(C405+G405)*F405*H405*K405*L405</f>
        <v>13.464360000000003</v>
      </c>
      <c r="N405" s="699"/>
      <c r="O405" s="386"/>
      <c r="P405" s="620"/>
    </row>
    <row r="406" spans="1:16" ht="15" hidden="1" customHeight="1">
      <c r="A406" s="700"/>
      <c r="B406" s="643"/>
      <c r="C406" s="382">
        <v>0.17</v>
      </c>
      <c r="D406" s="382"/>
      <c r="E406" s="382"/>
      <c r="F406" s="431">
        <f>F405</f>
        <v>0.61650000000000005</v>
      </c>
      <c r="G406" s="431">
        <f>G405</f>
        <v>0.1</v>
      </c>
      <c r="H406" s="431">
        <v>2</v>
      </c>
      <c r="I406" s="431"/>
      <c r="J406" s="431"/>
      <c r="K406" s="382">
        <f>K405</f>
        <v>26</v>
      </c>
      <c r="L406" s="382">
        <f>L405</f>
        <v>2</v>
      </c>
      <c r="M406" s="382">
        <f>(C406+G406)*F406*H406*K406*L406</f>
        <v>17.311320000000002</v>
      </c>
      <c r="N406" s="699"/>
      <c r="O406" s="386"/>
      <c r="P406" s="620"/>
    </row>
    <row r="407" spans="1:16" ht="15" hidden="1" customHeight="1">
      <c r="A407" s="700"/>
      <c r="B407" s="643"/>
      <c r="C407" s="382"/>
      <c r="D407" s="382"/>
      <c r="E407" s="382"/>
      <c r="F407" s="431"/>
      <c r="G407" s="431"/>
      <c r="H407" s="431"/>
      <c r="I407" s="431"/>
      <c r="J407" s="431"/>
      <c r="K407" s="382"/>
      <c r="L407" s="382"/>
      <c r="M407" s="431"/>
      <c r="N407" s="699"/>
      <c r="O407" s="386"/>
      <c r="P407" s="620"/>
    </row>
    <row r="408" spans="1:16" ht="15" hidden="1" customHeight="1">
      <c r="A408" s="700"/>
      <c r="B408" s="643"/>
      <c r="C408" s="382"/>
      <c r="D408" s="382"/>
      <c r="E408" s="382"/>
      <c r="F408" s="431"/>
      <c r="G408" s="431"/>
      <c r="H408" s="431"/>
      <c r="I408" s="431"/>
      <c r="J408" s="431"/>
      <c r="K408" s="382"/>
      <c r="L408" s="382"/>
      <c r="M408" s="703"/>
      <c r="N408" s="699"/>
      <c r="O408" s="386"/>
      <c r="P408" s="620"/>
    </row>
    <row r="409" spans="1:16" ht="15" hidden="1" customHeight="1">
      <c r="A409" s="700"/>
      <c r="B409" s="366"/>
      <c r="C409" s="382"/>
      <c r="D409" s="382"/>
      <c r="E409" s="382"/>
      <c r="F409" s="431"/>
      <c r="G409" s="431"/>
      <c r="H409" s="431"/>
      <c r="I409" s="431"/>
      <c r="J409" s="431"/>
      <c r="K409" s="382"/>
      <c r="L409" s="382"/>
      <c r="M409" s="431">
        <f>SUM(M405:M408)</f>
        <v>30.775680000000005</v>
      </c>
      <c r="N409" s="699" t="s">
        <v>100</v>
      </c>
      <c r="O409" s="620">
        <f>ROUND((M409),2)</f>
        <v>30.78</v>
      </c>
      <c r="P409" s="620"/>
    </row>
    <row r="410" spans="1:16" ht="15" hidden="1" customHeight="1">
      <c r="A410" s="700" t="s">
        <v>142</v>
      </c>
      <c r="B410" s="366" t="s">
        <v>830</v>
      </c>
      <c r="C410" s="382"/>
      <c r="D410" s="382"/>
      <c r="E410" s="382"/>
      <c r="F410" s="431"/>
      <c r="G410" s="431"/>
      <c r="H410" s="431"/>
      <c r="I410" s="431"/>
      <c r="J410" s="431"/>
      <c r="K410" s="382"/>
      <c r="L410" s="382"/>
      <c r="M410" s="431"/>
      <c r="N410" s="699"/>
      <c r="O410" s="386"/>
      <c r="P410" s="620"/>
    </row>
    <row r="411" spans="1:16" ht="15" hidden="1" customHeight="1">
      <c r="A411" s="700"/>
      <c r="B411" s="643" t="str">
        <f>B405</f>
        <v>Horisontal</v>
      </c>
      <c r="C411" s="382">
        <f>(0.17+0.32)*2</f>
        <v>0.98</v>
      </c>
      <c r="D411" s="382"/>
      <c r="E411" s="382"/>
      <c r="F411" s="431">
        <f>8*8*0.006165</f>
        <v>0.39456000000000002</v>
      </c>
      <c r="G411" s="431">
        <f>0.05*2</f>
        <v>0.1</v>
      </c>
      <c r="H411" s="431"/>
      <c r="I411" s="431"/>
      <c r="J411" s="431"/>
      <c r="K411" s="382">
        <f>ROUNDDOWN((C401/0.125),0.1)+1</f>
        <v>21</v>
      </c>
      <c r="L411" s="382">
        <f>L405</f>
        <v>2</v>
      </c>
      <c r="M411" s="431">
        <f>(C411+G411)*F411*K411*L411</f>
        <v>17.897241600000001</v>
      </c>
      <c r="N411" s="699"/>
      <c r="O411" s="386"/>
      <c r="P411" s="620"/>
    </row>
    <row r="412" spans="1:16" ht="15" hidden="1" customHeight="1">
      <c r="A412" s="700"/>
      <c r="B412" s="643"/>
      <c r="C412" s="382"/>
      <c r="D412" s="382"/>
      <c r="E412" s="382"/>
      <c r="F412" s="431"/>
      <c r="G412" s="431"/>
      <c r="H412" s="431"/>
      <c r="I412" s="431"/>
      <c r="J412" s="431"/>
      <c r="K412" s="382"/>
      <c r="L412" s="382"/>
      <c r="M412" s="624"/>
      <c r="N412" s="699"/>
      <c r="O412" s="386"/>
      <c r="P412" s="620"/>
    </row>
    <row r="413" spans="1:16" ht="15" hidden="1" customHeight="1">
      <c r="A413" s="700"/>
      <c r="B413" s="366"/>
      <c r="C413" s="382"/>
      <c r="D413" s="382"/>
      <c r="E413" s="382"/>
      <c r="F413" s="431"/>
      <c r="G413" s="431"/>
      <c r="H413" s="431"/>
      <c r="I413" s="431"/>
      <c r="J413" s="431"/>
      <c r="K413" s="382"/>
      <c r="L413" s="382"/>
      <c r="M413" s="431">
        <f>SUM(M411:M412)</f>
        <v>17.897241600000001</v>
      </c>
      <c r="N413" s="699" t="s">
        <v>100</v>
      </c>
      <c r="O413" s="620">
        <f>ROUND((M413),2)</f>
        <v>17.899999999999999</v>
      </c>
      <c r="P413" s="620"/>
    </row>
    <row r="414" spans="1:16" ht="15" hidden="1" customHeight="1">
      <c r="A414" s="700" t="s">
        <v>217</v>
      </c>
      <c r="B414" s="379" t="s">
        <v>1107</v>
      </c>
      <c r="C414" s="382"/>
      <c r="D414" s="382"/>
      <c r="E414" s="382"/>
      <c r="F414" s="431"/>
      <c r="G414" s="431"/>
      <c r="H414" s="431"/>
      <c r="I414" s="431"/>
      <c r="J414" s="431"/>
      <c r="K414" s="382"/>
      <c r="L414" s="382"/>
      <c r="M414" s="431"/>
      <c r="N414" s="699"/>
      <c r="O414" s="386"/>
      <c r="P414" s="620"/>
    </row>
    <row r="415" spans="1:16" ht="15" hidden="1" customHeight="1">
      <c r="A415" s="700"/>
      <c r="B415" s="643" t="str">
        <f>B411</f>
        <v>Horisontal</v>
      </c>
      <c r="C415" s="382">
        <f>C392+C393</f>
        <v>1.5499999999999998</v>
      </c>
      <c r="D415" s="382">
        <f>D391</f>
        <v>0.25</v>
      </c>
      <c r="E415" s="382">
        <f>E392</f>
        <v>0.4</v>
      </c>
      <c r="F415" s="431"/>
      <c r="G415" s="431"/>
      <c r="H415" s="431"/>
      <c r="I415" s="431"/>
      <c r="J415" s="431"/>
      <c r="K415" s="382"/>
      <c r="L415" s="382">
        <f>L411</f>
        <v>2</v>
      </c>
      <c r="M415" s="431">
        <f>C415*D415*E415*L415</f>
        <v>0.31</v>
      </c>
      <c r="N415" s="699"/>
      <c r="O415" s="386"/>
      <c r="P415" s="620"/>
    </row>
    <row r="416" spans="1:16" ht="15" hidden="1" customHeight="1">
      <c r="A416" s="700"/>
      <c r="B416" s="643"/>
      <c r="C416" s="382"/>
      <c r="D416" s="382"/>
      <c r="E416" s="382"/>
      <c r="F416" s="431"/>
      <c r="G416" s="431"/>
      <c r="H416" s="431"/>
      <c r="I416" s="431"/>
      <c r="J416" s="431"/>
      <c r="K416" s="382"/>
      <c r="L416" s="382"/>
      <c r="M416" s="624"/>
      <c r="N416" s="699"/>
      <c r="O416" s="386"/>
      <c r="P416" s="620"/>
    </row>
    <row r="417" spans="1:16" ht="15" hidden="1" customHeight="1">
      <c r="A417" s="700"/>
      <c r="B417" s="366"/>
      <c r="C417" s="382"/>
      <c r="D417" s="382"/>
      <c r="E417" s="382"/>
      <c r="F417" s="431"/>
      <c r="G417" s="431"/>
      <c r="H417" s="431"/>
      <c r="I417" s="431"/>
      <c r="J417" s="431"/>
      <c r="K417" s="382"/>
      <c r="L417" s="382"/>
      <c r="M417" s="431">
        <f>SUM(M415:M416)</f>
        <v>0.31</v>
      </c>
      <c r="N417" s="699" t="s">
        <v>103</v>
      </c>
      <c r="O417" s="620">
        <f>ROUND((M417),2)</f>
        <v>0.31</v>
      </c>
      <c r="P417" s="620"/>
    </row>
    <row r="418" spans="1:16" ht="15" hidden="1" customHeight="1">
      <c r="A418" s="700" t="s">
        <v>366</v>
      </c>
      <c r="B418" s="366" t="s">
        <v>729</v>
      </c>
      <c r="C418" s="382"/>
      <c r="D418" s="382"/>
      <c r="E418" s="382"/>
      <c r="F418" s="431"/>
      <c r="G418" s="431"/>
      <c r="H418" s="431"/>
      <c r="I418" s="431"/>
      <c r="J418" s="431"/>
      <c r="K418" s="382"/>
      <c r="L418" s="382"/>
      <c r="M418" s="431">
        <f>M417</f>
        <v>0.31</v>
      </c>
      <c r="N418" s="699" t="s">
        <v>103</v>
      </c>
      <c r="O418" s="620">
        <f>ROUND((M418),2)</f>
        <v>0.31</v>
      </c>
      <c r="P418" s="620"/>
    </row>
    <row r="419" spans="1:16" ht="15" hidden="1" customHeight="1">
      <c r="A419" s="698">
        <f>A389+1</f>
        <v>7</v>
      </c>
      <c r="B419" s="366" t="s">
        <v>1117</v>
      </c>
      <c r="C419" s="382"/>
      <c r="D419" s="382"/>
      <c r="E419" s="382"/>
      <c r="F419" s="431"/>
      <c r="G419" s="431"/>
      <c r="H419" s="431"/>
      <c r="I419" s="431"/>
      <c r="J419" s="431"/>
      <c r="K419" s="382"/>
      <c r="L419" s="382"/>
      <c r="M419" s="431"/>
      <c r="N419" s="699"/>
      <c r="O419" s="386"/>
      <c r="P419" s="620"/>
    </row>
    <row r="420" spans="1:16" ht="15" hidden="1" customHeight="1">
      <c r="A420" s="700" t="s">
        <v>95</v>
      </c>
      <c r="B420" s="366" t="s">
        <v>423</v>
      </c>
      <c r="C420" s="382"/>
      <c r="D420" s="382"/>
      <c r="E420" s="382"/>
      <c r="F420" s="431"/>
      <c r="G420" s="431"/>
      <c r="H420" s="431"/>
      <c r="I420" s="431"/>
      <c r="J420" s="431"/>
      <c r="K420" s="382"/>
      <c r="L420" s="382"/>
      <c r="M420" s="431"/>
      <c r="N420" s="699"/>
      <c r="O420" s="386"/>
      <c r="P420" s="620"/>
    </row>
    <row r="421" spans="1:16" ht="15" hidden="1" customHeight="1">
      <c r="A421" s="700"/>
      <c r="B421" s="643" t="s">
        <v>136</v>
      </c>
      <c r="C421" s="382">
        <v>1.2</v>
      </c>
      <c r="D421" s="382">
        <v>0.25</v>
      </c>
      <c r="E421" s="382"/>
      <c r="F421" s="431"/>
      <c r="G421" s="431"/>
      <c r="H421" s="431">
        <v>1</v>
      </c>
      <c r="I421" s="431"/>
      <c r="J421" s="431"/>
      <c r="K421" s="382"/>
      <c r="L421" s="382">
        <v>2</v>
      </c>
      <c r="M421" s="382">
        <f>C421*D421*H421*L421</f>
        <v>0.6</v>
      </c>
      <c r="N421" s="699"/>
      <c r="O421" s="386"/>
      <c r="P421" s="620"/>
    </row>
    <row r="422" spans="1:16" ht="15" hidden="1" customHeight="1">
      <c r="A422" s="700"/>
      <c r="B422" s="643"/>
      <c r="C422" s="382">
        <f>C421</f>
        <v>1.2</v>
      </c>
      <c r="D422" s="382"/>
      <c r="E422" s="382">
        <v>0.3</v>
      </c>
      <c r="F422" s="431"/>
      <c r="G422" s="431"/>
      <c r="H422" s="431">
        <v>2</v>
      </c>
      <c r="I422" s="431"/>
      <c r="J422" s="431"/>
      <c r="K422" s="382"/>
      <c r="L422" s="382">
        <f>L421</f>
        <v>2</v>
      </c>
      <c r="M422" s="703">
        <f>C422*E422*H422*L422</f>
        <v>1.44</v>
      </c>
      <c r="N422" s="699"/>
      <c r="O422" s="386"/>
      <c r="P422" s="620"/>
    </row>
    <row r="423" spans="1:16" ht="15" hidden="1" customHeight="1">
      <c r="A423" s="700"/>
      <c r="B423" s="643"/>
      <c r="C423" s="382">
        <v>0.35</v>
      </c>
      <c r="D423" s="382">
        <f>D421</f>
        <v>0.25</v>
      </c>
      <c r="E423" s="382"/>
      <c r="F423" s="431"/>
      <c r="G423" s="431"/>
      <c r="H423" s="431">
        <f>H421</f>
        <v>1</v>
      </c>
      <c r="I423" s="431"/>
      <c r="J423" s="431"/>
      <c r="K423" s="382"/>
      <c r="L423" s="382">
        <v>4</v>
      </c>
      <c r="M423" s="431">
        <f>C423*D423*H423*L423</f>
        <v>0.35</v>
      </c>
      <c r="N423" s="699"/>
      <c r="O423" s="386"/>
      <c r="P423" s="620"/>
    </row>
    <row r="424" spans="1:16" ht="15" hidden="1" customHeight="1">
      <c r="A424" s="700"/>
      <c r="B424" s="643"/>
      <c r="C424" s="382">
        <f>C423</f>
        <v>0.35</v>
      </c>
      <c r="D424" s="382"/>
      <c r="E424" s="382">
        <f>E422</f>
        <v>0.3</v>
      </c>
      <c r="F424" s="431"/>
      <c r="G424" s="431"/>
      <c r="H424" s="431">
        <f>H422</f>
        <v>2</v>
      </c>
      <c r="I424" s="431"/>
      <c r="J424" s="431"/>
      <c r="K424" s="382"/>
      <c r="L424" s="382">
        <f>L423</f>
        <v>4</v>
      </c>
      <c r="M424" s="624">
        <f>C424*E424*H424*L424</f>
        <v>0.84</v>
      </c>
      <c r="N424" s="699"/>
      <c r="O424" s="386"/>
      <c r="P424" s="620"/>
    </row>
    <row r="425" spans="1:16" ht="15" hidden="1" customHeight="1">
      <c r="A425" s="700"/>
      <c r="B425" s="366"/>
      <c r="C425" s="382"/>
      <c r="D425" s="382"/>
      <c r="E425" s="382"/>
      <c r="F425" s="431"/>
      <c r="G425" s="431"/>
      <c r="H425" s="431"/>
      <c r="I425" s="431"/>
      <c r="J425" s="431"/>
      <c r="K425" s="382"/>
      <c r="L425" s="382"/>
      <c r="M425" s="431">
        <f>SUM(M421:M424)</f>
        <v>3.23</v>
      </c>
      <c r="N425" s="699" t="s">
        <v>89</v>
      </c>
      <c r="O425" s="620">
        <f t="shared" ref="O425:O431" si="5">ROUND((M425),2)</f>
        <v>3.23</v>
      </c>
      <c r="P425" s="620"/>
    </row>
    <row r="426" spans="1:16" ht="15" hidden="1" customHeight="1">
      <c r="A426" s="700" t="s">
        <v>98</v>
      </c>
      <c r="B426" s="366" t="s">
        <v>1118</v>
      </c>
      <c r="C426" s="382">
        <v>2.5</v>
      </c>
      <c r="D426" s="382"/>
      <c r="E426" s="382"/>
      <c r="F426" s="431">
        <f>16*16*0.006165</f>
        <v>1.5782400000000001</v>
      </c>
      <c r="G426" s="431"/>
      <c r="H426" s="431"/>
      <c r="I426" s="431"/>
      <c r="J426" s="431"/>
      <c r="K426" s="382">
        <v>5</v>
      </c>
      <c r="L426" s="382">
        <v>2</v>
      </c>
      <c r="M426" s="624">
        <f>C426*F426*K426*L426</f>
        <v>39.456000000000003</v>
      </c>
      <c r="N426" s="699" t="s">
        <v>100</v>
      </c>
      <c r="O426" s="620">
        <f t="shared" si="5"/>
        <v>39.46</v>
      </c>
      <c r="P426" s="620"/>
    </row>
    <row r="427" spans="1:16" ht="15" hidden="1" customHeight="1">
      <c r="A427" s="700" t="s">
        <v>101</v>
      </c>
      <c r="B427" s="366" t="s">
        <v>427</v>
      </c>
      <c r="C427" s="382">
        <f>C426</f>
        <v>2.5</v>
      </c>
      <c r="D427" s="382"/>
      <c r="E427" s="382"/>
      <c r="F427" s="431">
        <f>10*10*0.006165</f>
        <v>0.61650000000000005</v>
      </c>
      <c r="G427" s="431"/>
      <c r="H427" s="431"/>
      <c r="I427" s="431"/>
      <c r="J427" s="431"/>
      <c r="K427" s="382">
        <v>2</v>
      </c>
      <c r="L427" s="382">
        <f>L426</f>
        <v>2</v>
      </c>
      <c r="M427" s="431">
        <f>C427*F427*K427*L427</f>
        <v>6.1650000000000009</v>
      </c>
      <c r="N427" s="699" t="s">
        <v>100</v>
      </c>
      <c r="O427" s="620">
        <f t="shared" si="5"/>
        <v>6.17</v>
      </c>
      <c r="P427" s="620"/>
    </row>
    <row r="428" spans="1:16" ht="15" hidden="1" customHeight="1">
      <c r="A428" s="700" t="s">
        <v>121</v>
      </c>
      <c r="B428" s="366" t="s">
        <v>735</v>
      </c>
      <c r="C428" s="382">
        <v>0.22</v>
      </c>
      <c r="D428" s="382"/>
      <c r="E428" s="382"/>
      <c r="F428" s="431">
        <f>10*10*0.006165</f>
        <v>0.61650000000000005</v>
      </c>
      <c r="G428" s="431">
        <f>0.05*2</f>
        <v>0.1</v>
      </c>
      <c r="H428" s="431">
        <v>2</v>
      </c>
      <c r="I428" s="431"/>
      <c r="J428" s="431"/>
      <c r="K428" s="382">
        <f>ROUNDDOWN((C427/0.2),0.1)+1</f>
        <v>13</v>
      </c>
      <c r="L428" s="382">
        <f>L427</f>
        <v>2</v>
      </c>
      <c r="M428" s="431">
        <f>(C428+G428)*F428*H428*K428*L428</f>
        <v>10.258560000000001</v>
      </c>
      <c r="N428" s="699" t="s">
        <v>100</v>
      </c>
      <c r="O428" s="620">
        <f t="shared" si="5"/>
        <v>10.26</v>
      </c>
      <c r="P428" s="620"/>
    </row>
    <row r="429" spans="1:16" ht="15" hidden="1" customHeight="1">
      <c r="A429" s="700" t="s">
        <v>142</v>
      </c>
      <c r="B429" s="366" t="s">
        <v>1115</v>
      </c>
      <c r="C429" s="382">
        <f>(0.17+0.32)*2</f>
        <v>0.98</v>
      </c>
      <c r="D429" s="382"/>
      <c r="E429" s="382"/>
      <c r="F429" s="431">
        <f>8*8*0.006165</f>
        <v>0.39456000000000002</v>
      </c>
      <c r="G429" s="431">
        <f>0.05*2</f>
        <v>0.1</v>
      </c>
      <c r="H429" s="431"/>
      <c r="I429" s="431"/>
      <c r="J429" s="431"/>
      <c r="K429" s="382">
        <f>ROUNDDOWN((C427/0.1),0.1)+1</f>
        <v>26</v>
      </c>
      <c r="L429" s="382">
        <f>L428</f>
        <v>2</v>
      </c>
      <c r="M429" s="431">
        <f>(C429+G429)*F429*K429*L429</f>
        <v>22.158489600000003</v>
      </c>
      <c r="N429" s="699" t="s">
        <v>100</v>
      </c>
      <c r="O429" s="620">
        <f t="shared" si="5"/>
        <v>22.16</v>
      </c>
      <c r="P429" s="620"/>
    </row>
    <row r="430" spans="1:16" ht="15" hidden="1" customHeight="1">
      <c r="A430" s="700" t="s">
        <v>217</v>
      </c>
      <c r="B430" s="379" t="s">
        <v>1107</v>
      </c>
      <c r="C430" s="382">
        <f>C422+C424</f>
        <v>1.5499999999999998</v>
      </c>
      <c r="D430" s="382">
        <f>D423</f>
        <v>0.25</v>
      </c>
      <c r="E430" s="382">
        <f>E424</f>
        <v>0.3</v>
      </c>
      <c r="F430" s="431"/>
      <c r="G430" s="431"/>
      <c r="H430" s="431"/>
      <c r="I430" s="431"/>
      <c r="J430" s="431"/>
      <c r="K430" s="382"/>
      <c r="L430" s="382">
        <f>L429</f>
        <v>2</v>
      </c>
      <c r="M430" s="431">
        <f>C430*D430*E430*L430</f>
        <v>0.23249999999999996</v>
      </c>
      <c r="N430" s="699" t="s">
        <v>103</v>
      </c>
      <c r="O430" s="620">
        <f t="shared" si="5"/>
        <v>0.23</v>
      </c>
      <c r="P430" s="620"/>
    </row>
    <row r="431" spans="1:16" ht="15" hidden="1" customHeight="1">
      <c r="A431" s="700" t="s">
        <v>476</v>
      </c>
      <c r="B431" s="366" t="s">
        <v>729</v>
      </c>
      <c r="C431" s="382"/>
      <c r="D431" s="382"/>
      <c r="E431" s="382"/>
      <c r="F431" s="431"/>
      <c r="G431" s="431"/>
      <c r="H431" s="431"/>
      <c r="I431" s="431"/>
      <c r="J431" s="431"/>
      <c r="K431" s="382"/>
      <c r="L431" s="382"/>
      <c r="M431" s="431">
        <f>M430</f>
        <v>0.23249999999999996</v>
      </c>
      <c r="N431" s="699" t="s">
        <v>103</v>
      </c>
      <c r="O431" s="620">
        <f t="shared" si="5"/>
        <v>0.23</v>
      </c>
      <c r="P431" s="620"/>
    </row>
    <row r="432" spans="1:16" ht="15" hidden="1" customHeight="1">
      <c r="A432" s="698">
        <f>A419+1</f>
        <v>8</v>
      </c>
      <c r="B432" s="366" t="s">
        <v>483</v>
      </c>
      <c r="C432" s="382"/>
      <c r="D432" s="382"/>
      <c r="E432" s="382"/>
      <c r="F432" s="431"/>
      <c r="G432" s="431"/>
      <c r="H432" s="431"/>
      <c r="I432" s="431"/>
      <c r="J432" s="431"/>
      <c r="K432" s="382"/>
      <c r="L432" s="382"/>
      <c r="M432" s="431"/>
      <c r="N432" s="699"/>
      <c r="O432" s="386"/>
      <c r="P432" s="620"/>
    </row>
    <row r="433" spans="1:16" ht="15" hidden="1" customHeight="1">
      <c r="A433" s="700" t="s">
        <v>95</v>
      </c>
      <c r="B433" s="366" t="s">
        <v>211</v>
      </c>
      <c r="C433" s="382"/>
      <c r="D433" s="382"/>
      <c r="E433" s="382"/>
      <c r="F433" s="431"/>
      <c r="G433" s="431"/>
      <c r="H433" s="431"/>
      <c r="I433" s="431"/>
      <c r="J433" s="431"/>
      <c r="K433" s="382"/>
      <c r="L433" s="382"/>
      <c r="M433" s="431"/>
      <c r="N433" s="699"/>
      <c r="O433" s="386"/>
      <c r="P433" s="620"/>
    </row>
    <row r="434" spans="1:16" ht="15" hidden="1" customHeight="1">
      <c r="A434" s="700"/>
      <c r="B434" s="643" t="s">
        <v>291</v>
      </c>
      <c r="C434" s="382">
        <v>2.5</v>
      </c>
      <c r="D434" s="382">
        <v>2.5</v>
      </c>
      <c r="E434" s="382"/>
      <c r="F434" s="431"/>
      <c r="G434" s="431"/>
      <c r="H434" s="431"/>
      <c r="I434" s="431"/>
      <c r="J434" s="431"/>
      <c r="K434" s="382"/>
      <c r="L434" s="382"/>
      <c r="M434" s="431">
        <f>C434*D434</f>
        <v>6.25</v>
      </c>
      <c r="N434" s="699"/>
      <c r="O434" s="386"/>
      <c r="P434" s="620"/>
    </row>
    <row r="435" spans="1:16" ht="15" hidden="1" customHeight="1">
      <c r="A435" s="700"/>
      <c r="B435" s="643" t="s">
        <v>223</v>
      </c>
      <c r="C435" s="382">
        <f>C434</f>
        <v>2.5</v>
      </c>
      <c r="D435" s="382"/>
      <c r="E435" s="382">
        <v>0.15</v>
      </c>
      <c r="F435" s="431"/>
      <c r="G435" s="431"/>
      <c r="H435" s="431">
        <v>2</v>
      </c>
      <c r="I435" s="431"/>
      <c r="J435" s="431"/>
      <c r="K435" s="382"/>
      <c r="L435" s="382"/>
      <c r="M435" s="431">
        <f>C435*E435*H435</f>
        <v>0.75</v>
      </c>
      <c r="N435" s="699"/>
      <c r="O435" s="386"/>
      <c r="P435" s="620"/>
    </row>
    <row r="436" spans="1:16" ht="15" hidden="1" customHeight="1">
      <c r="A436" s="700"/>
      <c r="B436" s="643"/>
      <c r="C436" s="382">
        <f>D434</f>
        <v>2.5</v>
      </c>
      <c r="D436" s="382"/>
      <c r="E436" s="382">
        <f>E435</f>
        <v>0.15</v>
      </c>
      <c r="F436" s="431"/>
      <c r="G436" s="431"/>
      <c r="H436" s="431">
        <f>H435</f>
        <v>2</v>
      </c>
      <c r="I436" s="431"/>
      <c r="J436" s="431"/>
      <c r="K436" s="382"/>
      <c r="L436" s="382"/>
      <c r="M436" s="431">
        <f>C436*E436*H436</f>
        <v>0.75</v>
      </c>
      <c r="N436" s="699"/>
      <c r="O436" s="386"/>
      <c r="P436" s="620"/>
    </row>
    <row r="437" spans="1:16" ht="15" hidden="1" customHeight="1">
      <c r="A437" s="700"/>
      <c r="B437" s="643" t="s">
        <v>1119</v>
      </c>
      <c r="C437" s="382"/>
      <c r="D437" s="382"/>
      <c r="E437" s="382"/>
      <c r="F437" s="431"/>
      <c r="G437" s="431"/>
      <c r="H437" s="431"/>
      <c r="I437" s="431"/>
      <c r="J437" s="431"/>
      <c r="K437" s="382"/>
      <c r="L437" s="382"/>
      <c r="M437" s="431"/>
      <c r="N437" s="699"/>
      <c r="O437" s="386"/>
      <c r="P437" s="620"/>
    </row>
    <row r="438" spans="1:16" ht="7.5" hidden="1" customHeight="1">
      <c r="A438" s="700"/>
      <c r="B438" s="643" t="str">
        <f>B391</f>
        <v>Horisontal</v>
      </c>
      <c r="C438" s="382">
        <f>1.2+0.35</f>
        <v>1.5499999999999998</v>
      </c>
      <c r="D438" s="382">
        <f>D415</f>
        <v>0.25</v>
      </c>
      <c r="E438" s="382"/>
      <c r="F438" s="431"/>
      <c r="G438" s="431"/>
      <c r="H438" s="431"/>
      <c r="I438" s="431"/>
      <c r="J438" s="431"/>
      <c r="K438" s="382"/>
      <c r="L438" s="382">
        <f>L415</f>
        <v>2</v>
      </c>
      <c r="M438" s="431">
        <f>-C438*D438*L438</f>
        <v>-0.77499999999999991</v>
      </c>
      <c r="N438" s="699"/>
      <c r="O438" s="386"/>
      <c r="P438" s="620"/>
    </row>
    <row r="439" spans="1:16" ht="13.5" hidden="1" customHeight="1">
      <c r="A439" s="700"/>
      <c r="B439" s="643" t="e">
        <f>#REF!</f>
        <v>#REF!</v>
      </c>
      <c r="C439" s="382">
        <f>C416</f>
        <v>0</v>
      </c>
      <c r="D439" s="382">
        <f>D416</f>
        <v>0</v>
      </c>
      <c r="E439" s="382"/>
      <c r="F439" s="431"/>
      <c r="G439" s="431"/>
      <c r="H439" s="431"/>
      <c r="I439" s="431"/>
      <c r="J439" s="431"/>
      <c r="K439" s="382"/>
      <c r="L439" s="382">
        <f>L416</f>
        <v>0</v>
      </c>
      <c r="M439" s="382">
        <f>-C439*D439*L439</f>
        <v>0</v>
      </c>
      <c r="N439" s="699"/>
      <c r="O439" s="386"/>
      <c r="P439" s="620"/>
    </row>
    <row r="440" spans="1:16" ht="13.5" hidden="1" customHeight="1">
      <c r="A440" s="700"/>
      <c r="B440" s="643" t="s">
        <v>1120</v>
      </c>
      <c r="C440" s="382">
        <f>1.2+0.35</f>
        <v>1.5499999999999998</v>
      </c>
      <c r="D440" s="382">
        <f>D430</f>
        <v>0.25</v>
      </c>
      <c r="E440" s="382"/>
      <c r="F440" s="431"/>
      <c r="G440" s="431"/>
      <c r="H440" s="431"/>
      <c r="I440" s="431"/>
      <c r="J440" s="431"/>
      <c r="K440" s="382"/>
      <c r="L440" s="382">
        <f>L430</f>
        <v>2</v>
      </c>
      <c r="M440" s="703">
        <f>-C440*D440*L440</f>
        <v>-0.77499999999999991</v>
      </c>
      <c r="N440" s="699"/>
      <c r="O440" s="386"/>
      <c r="P440" s="620"/>
    </row>
    <row r="441" spans="1:16" ht="13.5" hidden="1" customHeight="1">
      <c r="A441" s="700"/>
      <c r="B441" s="643"/>
      <c r="C441" s="382"/>
      <c r="D441" s="382"/>
      <c r="E441" s="382"/>
      <c r="F441" s="431"/>
      <c r="G441" s="431"/>
      <c r="H441" s="431"/>
      <c r="I441" s="431"/>
      <c r="J441" s="431"/>
      <c r="K441" s="382"/>
      <c r="L441" s="382"/>
      <c r="M441" s="431">
        <f>SUM(M434:M440)</f>
        <v>6.1999999999999993</v>
      </c>
      <c r="N441" s="699" t="s">
        <v>89</v>
      </c>
      <c r="O441" s="620">
        <f>ROUND((M441),2)</f>
        <v>6.2</v>
      </c>
      <c r="P441" s="620"/>
    </row>
    <row r="442" spans="1:16" ht="13.5" hidden="1" customHeight="1">
      <c r="A442" s="700" t="s">
        <v>98</v>
      </c>
      <c r="B442" s="366" t="s">
        <v>1121</v>
      </c>
      <c r="C442" s="382">
        <f>C434</f>
        <v>2.5</v>
      </c>
      <c r="D442" s="382">
        <f>D434</f>
        <v>2.5</v>
      </c>
      <c r="E442" s="382"/>
      <c r="F442" s="431"/>
      <c r="G442" s="431"/>
      <c r="H442" s="431">
        <v>2</v>
      </c>
      <c r="I442" s="431"/>
      <c r="J442" s="431"/>
      <c r="K442" s="382"/>
      <c r="L442" s="382"/>
      <c r="M442" s="431">
        <f>C442*D442*H442</f>
        <v>12.5</v>
      </c>
      <c r="N442" s="699" t="s">
        <v>89</v>
      </c>
      <c r="O442" s="620">
        <f>ROUND((M442),2)</f>
        <v>12.5</v>
      </c>
      <c r="P442" s="620"/>
    </row>
    <row r="443" spans="1:16" ht="13.5" hidden="1" customHeight="1">
      <c r="A443" s="700" t="s">
        <v>101</v>
      </c>
      <c r="B443" s="379" t="s">
        <v>1107</v>
      </c>
      <c r="C443" s="382"/>
      <c r="D443" s="382"/>
      <c r="E443" s="382"/>
      <c r="F443" s="431"/>
      <c r="G443" s="431"/>
      <c r="H443" s="431"/>
      <c r="I443" s="431"/>
      <c r="J443" s="431"/>
      <c r="K443" s="382"/>
      <c r="L443" s="382"/>
      <c r="M443" s="431"/>
      <c r="N443" s="699"/>
      <c r="O443" s="386"/>
      <c r="P443" s="620"/>
    </row>
    <row r="444" spans="1:16" ht="13.5" hidden="1" customHeight="1">
      <c r="A444" s="700"/>
      <c r="B444" s="643" t="s">
        <v>1122</v>
      </c>
      <c r="C444" s="382">
        <f>C442</f>
        <v>2.5</v>
      </c>
      <c r="D444" s="382">
        <f>D442</f>
        <v>2.5</v>
      </c>
      <c r="E444" s="382">
        <v>0.15</v>
      </c>
      <c r="F444" s="431"/>
      <c r="G444" s="431"/>
      <c r="H444" s="431"/>
      <c r="I444" s="431"/>
      <c r="J444" s="431"/>
      <c r="K444" s="382"/>
      <c r="L444" s="382"/>
      <c r="M444" s="431">
        <f>C444*D444*E444</f>
        <v>0.9375</v>
      </c>
      <c r="N444" s="699"/>
      <c r="O444" s="386"/>
      <c r="P444" s="620"/>
    </row>
    <row r="445" spans="1:16" ht="13.5" hidden="1" customHeight="1">
      <c r="A445" s="700"/>
      <c r="B445" s="643" t="str">
        <f>B437</f>
        <v>Pekerjaan Balok Beton B-1 25/50</v>
      </c>
      <c r="C445" s="382"/>
      <c r="D445" s="382"/>
      <c r="E445" s="382"/>
      <c r="F445" s="431"/>
      <c r="G445" s="431"/>
      <c r="H445" s="431"/>
      <c r="I445" s="431"/>
      <c r="J445" s="431"/>
      <c r="K445" s="382"/>
      <c r="L445" s="382"/>
      <c r="M445" s="431"/>
      <c r="N445" s="699"/>
      <c r="O445" s="386"/>
      <c r="P445" s="620"/>
    </row>
    <row r="446" spans="1:16" ht="13.5" hidden="1" customHeight="1">
      <c r="A446" s="700"/>
      <c r="B446" s="643" t="str">
        <f>B438</f>
        <v>Horisontal</v>
      </c>
      <c r="C446" s="382">
        <f>C438</f>
        <v>1.5499999999999998</v>
      </c>
      <c r="D446" s="382">
        <f>D438</f>
        <v>0.25</v>
      </c>
      <c r="E446" s="382">
        <f>E444</f>
        <v>0.15</v>
      </c>
      <c r="F446" s="431"/>
      <c r="G446" s="431"/>
      <c r="H446" s="431"/>
      <c r="I446" s="431"/>
      <c r="J446" s="431"/>
      <c r="K446" s="382"/>
      <c r="L446" s="382">
        <f>L438</f>
        <v>2</v>
      </c>
      <c r="M446" s="431">
        <f>-C446*D446*E446*L446</f>
        <v>-0.11624999999999998</v>
      </c>
      <c r="N446" s="699"/>
      <c r="O446" s="386"/>
      <c r="P446" s="620"/>
    </row>
    <row r="447" spans="1:16" ht="13.5" hidden="1" customHeight="1">
      <c r="A447" s="700"/>
      <c r="B447" s="643" t="str">
        <f>B440</f>
        <v>Pekerjaan Balok Beton B-2 20/40</v>
      </c>
      <c r="C447" s="382">
        <f>C440</f>
        <v>1.5499999999999998</v>
      </c>
      <c r="D447" s="382">
        <f>D440</f>
        <v>0.25</v>
      </c>
      <c r="E447" s="382">
        <f>E446</f>
        <v>0.15</v>
      </c>
      <c r="F447" s="431"/>
      <c r="G447" s="431"/>
      <c r="H447" s="431"/>
      <c r="I447" s="431"/>
      <c r="J447" s="431"/>
      <c r="K447" s="382"/>
      <c r="L447" s="382">
        <f>L440</f>
        <v>2</v>
      </c>
      <c r="M447" s="703">
        <f>-C447*D447*E447*L447</f>
        <v>-0.11624999999999998</v>
      </c>
      <c r="N447" s="699"/>
      <c r="O447" s="386"/>
      <c r="P447" s="620"/>
    </row>
    <row r="448" spans="1:16" ht="13.5" hidden="1" customHeight="1">
      <c r="A448" s="700"/>
      <c r="B448" s="643"/>
      <c r="C448" s="382"/>
      <c r="D448" s="382"/>
      <c r="E448" s="382"/>
      <c r="F448" s="431"/>
      <c r="G448" s="431"/>
      <c r="H448" s="431"/>
      <c r="I448" s="431"/>
      <c r="J448" s="431"/>
      <c r="K448" s="382"/>
      <c r="L448" s="382"/>
      <c r="M448" s="431">
        <f>SUM(M444:M447)</f>
        <v>0.70500000000000007</v>
      </c>
      <c r="N448" s="699" t="s">
        <v>103</v>
      </c>
      <c r="O448" s="620">
        <f>ROUND((M448),2)</f>
        <v>0.71</v>
      </c>
      <c r="P448" s="620"/>
    </row>
    <row r="449" spans="1:16" ht="13.5" hidden="1" customHeight="1">
      <c r="A449" s="700" t="s">
        <v>121</v>
      </c>
      <c r="B449" s="693" t="s">
        <v>729</v>
      </c>
      <c r="C449" s="382"/>
      <c r="D449" s="382"/>
      <c r="E449" s="382"/>
      <c r="F449" s="431"/>
      <c r="G449" s="431"/>
      <c r="H449" s="431"/>
      <c r="I449" s="431"/>
      <c r="J449" s="431"/>
      <c r="K449" s="382"/>
      <c r="L449" s="382"/>
      <c r="M449" s="431">
        <f>M448</f>
        <v>0.70500000000000007</v>
      </c>
      <c r="N449" s="699" t="s">
        <v>103</v>
      </c>
      <c r="O449" s="620">
        <f>ROUND((M449),2)</f>
        <v>0.71</v>
      </c>
      <c r="P449" s="620"/>
    </row>
    <row r="450" spans="1:16" ht="13.5" hidden="1" customHeight="1">
      <c r="A450" s="698">
        <f>A432+1</f>
        <v>9</v>
      </c>
      <c r="B450" s="704" t="s">
        <v>511</v>
      </c>
      <c r="C450" s="683"/>
      <c r="D450" s="683"/>
      <c r="E450" s="683"/>
      <c r="F450" s="387">
        <v>65</v>
      </c>
      <c r="G450" s="387"/>
      <c r="H450" s="387"/>
      <c r="I450" s="387"/>
      <c r="J450" s="387"/>
      <c r="K450" s="683"/>
      <c r="L450" s="683"/>
      <c r="M450" s="387">
        <f>F450</f>
        <v>65</v>
      </c>
      <c r="N450" s="705" t="s">
        <v>117</v>
      </c>
      <c r="O450" s="620">
        <f>ROUND((M450),2)</f>
        <v>65</v>
      </c>
      <c r="P450" s="706"/>
    </row>
    <row r="451" spans="1:16" ht="14.25" customHeight="1">
      <c r="A451" s="707"/>
      <c r="B451" s="708"/>
      <c r="C451" s="653"/>
      <c r="D451" s="653"/>
      <c r="E451" s="653"/>
      <c r="F451" s="653"/>
      <c r="G451" s="653"/>
      <c r="H451" s="653"/>
      <c r="I451" s="653"/>
      <c r="J451" s="653"/>
      <c r="K451" s="653"/>
      <c r="L451" s="653"/>
      <c r="M451" s="653"/>
      <c r="N451" s="653"/>
      <c r="O451" s="709"/>
      <c r="P451" s="710"/>
    </row>
  </sheetData>
  <mergeCells count="15">
    <mergeCell ref="L1:L2"/>
    <mergeCell ref="M1:M2"/>
    <mergeCell ref="N1:N2"/>
    <mergeCell ref="O1:O2"/>
    <mergeCell ref="P1:P2"/>
    <mergeCell ref="F1:F2"/>
    <mergeCell ref="G1:G2"/>
    <mergeCell ref="H1:H2"/>
    <mergeCell ref="I1:I2"/>
    <mergeCell ref="J1:K1"/>
    <mergeCell ref="A1:A2"/>
    <mergeCell ref="B1:B2"/>
    <mergeCell ref="C1:C2"/>
    <mergeCell ref="D1:D2"/>
    <mergeCell ref="E1:E2"/>
  </mergeCells>
  <pageMargins left="0.7" right="0.7" top="0.75" bottom="0.75" header="0.511811023622047" footer="0.511811023622047"/>
  <pageSetup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540"/>
  <sheetViews>
    <sheetView topLeftCell="A3" zoomScaleNormal="100" workbookViewId="0">
      <pane ySplit="2" topLeftCell="A5" activePane="bottomLeft" state="frozen"/>
      <selection activeCell="A3" sqref="A3"/>
      <selection pane="bottomLeft" activeCell="D35" sqref="D35"/>
    </sheetView>
  </sheetViews>
  <sheetFormatPr baseColWidth="10" defaultColWidth="9.1640625" defaultRowHeight="15"/>
  <cols>
    <col min="1" max="1" width="9.1640625" style="711"/>
    <col min="2" max="2" width="50.5" style="711" customWidth="1"/>
    <col min="3" max="5" width="12.5" style="711" customWidth="1"/>
    <col min="6" max="12" width="10.5" style="711" customWidth="1"/>
    <col min="13" max="13" width="8.5" style="711" customWidth="1"/>
    <col min="14" max="14" width="14.5" style="711" customWidth="1"/>
    <col min="15" max="15" width="6.5" style="711" customWidth="1"/>
    <col min="16" max="16" width="15.5" style="711" customWidth="1"/>
    <col min="17" max="17" width="18.1640625" style="711" customWidth="1"/>
    <col min="18" max="18" width="11.83203125" style="711" customWidth="1"/>
    <col min="19" max="20" width="9.1640625" style="711"/>
    <col min="21" max="21" width="12.1640625" style="711" customWidth="1"/>
    <col min="22" max="24" width="9.1640625" style="711"/>
    <col min="25" max="25" width="12.5" style="711" customWidth="1"/>
    <col min="26" max="257" width="9.1640625" style="711"/>
    <col min="258" max="258" width="50.5" style="711" customWidth="1"/>
    <col min="259" max="261" width="12.5" style="711" customWidth="1"/>
    <col min="262" max="268" width="10.5" style="711" customWidth="1"/>
    <col min="269" max="269" width="8.5" style="711" customWidth="1"/>
    <col min="270" max="270" width="14.5" style="711" customWidth="1"/>
    <col min="271" max="271" width="6.5" style="711" customWidth="1"/>
    <col min="272" max="272" width="15.5" style="711" customWidth="1"/>
    <col min="273" max="273" width="18.1640625" style="711" customWidth="1"/>
    <col min="274" max="274" width="11.83203125" style="711" customWidth="1"/>
    <col min="275" max="276" width="9.1640625" style="711"/>
    <col min="277" max="277" width="12.1640625" style="711" customWidth="1"/>
    <col min="278" max="280" width="9.1640625" style="711"/>
    <col min="281" max="281" width="12.5" style="711" customWidth="1"/>
    <col min="282" max="513" width="9.1640625" style="711"/>
    <col min="514" max="514" width="50.5" style="711" customWidth="1"/>
    <col min="515" max="517" width="12.5" style="711" customWidth="1"/>
    <col min="518" max="524" width="10.5" style="711" customWidth="1"/>
    <col min="525" max="525" width="8.5" style="711" customWidth="1"/>
    <col min="526" max="526" width="14.5" style="711" customWidth="1"/>
    <col min="527" max="527" width="6.5" style="711" customWidth="1"/>
    <col min="528" max="528" width="15.5" style="711" customWidth="1"/>
    <col min="529" max="529" width="18.1640625" style="711" customWidth="1"/>
    <col min="530" max="530" width="11.83203125" style="711" customWidth="1"/>
    <col min="531" max="532" width="9.1640625" style="711"/>
    <col min="533" max="533" width="12.1640625" style="711" customWidth="1"/>
    <col min="534" max="536" width="9.1640625" style="711"/>
    <col min="537" max="537" width="12.5" style="711" customWidth="1"/>
    <col min="538" max="769" width="9.1640625" style="711"/>
    <col min="770" max="770" width="50.5" style="711" customWidth="1"/>
    <col min="771" max="773" width="12.5" style="711" customWidth="1"/>
    <col min="774" max="780" width="10.5" style="711" customWidth="1"/>
    <col min="781" max="781" width="8.5" style="711" customWidth="1"/>
    <col min="782" max="782" width="14.5" style="711" customWidth="1"/>
    <col min="783" max="783" width="6.5" style="711" customWidth="1"/>
    <col min="784" max="784" width="15.5" style="711" customWidth="1"/>
    <col min="785" max="785" width="18.1640625" style="711" customWidth="1"/>
    <col min="786" max="786" width="11.83203125" style="711" customWidth="1"/>
    <col min="787" max="788" width="9.1640625" style="711"/>
    <col min="789" max="789" width="12.1640625" style="711" customWidth="1"/>
    <col min="790" max="792" width="9.1640625" style="711"/>
    <col min="793" max="793" width="12.5" style="711" customWidth="1"/>
    <col min="794" max="1025" width="9.1640625" style="711"/>
    <col min="1026" max="1026" width="50.5" style="711" customWidth="1"/>
    <col min="1027" max="1029" width="12.5" style="711" customWidth="1"/>
    <col min="1030" max="1036" width="10.5" style="711" customWidth="1"/>
    <col min="1037" max="1037" width="8.5" style="711" customWidth="1"/>
    <col min="1038" max="1038" width="14.5" style="711" customWidth="1"/>
    <col min="1039" max="1039" width="6.5" style="711" customWidth="1"/>
    <col min="1040" max="1040" width="15.5" style="711" customWidth="1"/>
    <col min="1041" max="1041" width="18.1640625" style="711" customWidth="1"/>
    <col min="1042" max="1042" width="11.83203125" style="711" customWidth="1"/>
    <col min="1043" max="1044" width="9.1640625" style="711"/>
    <col min="1045" max="1045" width="12.1640625" style="711" customWidth="1"/>
    <col min="1046" max="1048" width="9.1640625" style="711"/>
    <col min="1049" max="1049" width="12.5" style="711" customWidth="1"/>
    <col min="1050" max="1281" width="9.1640625" style="711"/>
    <col min="1282" max="1282" width="50.5" style="711" customWidth="1"/>
    <col min="1283" max="1285" width="12.5" style="711" customWidth="1"/>
    <col min="1286" max="1292" width="10.5" style="711" customWidth="1"/>
    <col min="1293" max="1293" width="8.5" style="711" customWidth="1"/>
    <col min="1294" max="1294" width="14.5" style="711" customWidth="1"/>
    <col min="1295" max="1295" width="6.5" style="711" customWidth="1"/>
    <col min="1296" max="1296" width="15.5" style="711" customWidth="1"/>
    <col min="1297" max="1297" width="18.1640625" style="711" customWidth="1"/>
    <col min="1298" max="1298" width="11.83203125" style="711" customWidth="1"/>
    <col min="1299" max="1300" width="9.1640625" style="711"/>
    <col min="1301" max="1301" width="12.1640625" style="711" customWidth="1"/>
    <col min="1302" max="1304" width="9.1640625" style="711"/>
    <col min="1305" max="1305" width="12.5" style="711" customWidth="1"/>
    <col min="1306" max="1537" width="9.1640625" style="711"/>
    <col min="1538" max="1538" width="50.5" style="711" customWidth="1"/>
    <col min="1539" max="1541" width="12.5" style="711" customWidth="1"/>
    <col min="1542" max="1548" width="10.5" style="711" customWidth="1"/>
    <col min="1549" max="1549" width="8.5" style="711" customWidth="1"/>
    <col min="1550" max="1550" width="14.5" style="711" customWidth="1"/>
    <col min="1551" max="1551" width="6.5" style="711" customWidth="1"/>
    <col min="1552" max="1552" width="15.5" style="711" customWidth="1"/>
    <col min="1553" max="1553" width="18.1640625" style="711" customWidth="1"/>
    <col min="1554" max="1554" width="11.83203125" style="711" customWidth="1"/>
    <col min="1555" max="1556" width="9.1640625" style="711"/>
    <col min="1557" max="1557" width="12.1640625" style="711" customWidth="1"/>
    <col min="1558" max="1560" width="9.1640625" style="711"/>
    <col min="1561" max="1561" width="12.5" style="711" customWidth="1"/>
    <col min="1562" max="1793" width="9.1640625" style="711"/>
    <col min="1794" max="1794" width="50.5" style="711" customWidth="1"/>
    <col min="1795" max="1797" width="12.5" style="711" customWidth="1"/>
    <col min="1798" max="1804" width="10.5" style="711" customWidth="1"/>
    <col min="1805" max="1805" width="8.5" style="711" customWidth="1"/>
    <col min="1806" max="1806" width="14.5" style="711" customWidth="1"/>
    <col min="1807" max="1807" width="6.5" style="711" customWidth="1"/>
    <col min="1808" max="1808" width="15.5" style="711" customWidth="1"/>
    <col min="1809" max="1809" width="18.1640625" style="711" customWidth="1"/>
    <col min="1810" max="1810" width="11.83203125" style="711" customWidth="1"/>
    <col min="1811" max="1812" width="9.1640625" style="711"/>
    <col min="1813" max="1813" width="12.1640625" style="711" customWidth="1"/>
    <col min="1814" max="1816" width="9.1640625" style="711"/>
    <col min="1817" max="1817" width="12.5" style="711" customWidth="1"/>
    <col min="1818" max="2049" width="9.1640625" style="711"/>
    <col min="2050" max="2050" width="50.5" style="711" customWidth="1"/>
    <col min="2051" max="2053" width="12.5" style="711" customWidth="1"/>
    <col min="2054" max="2060" width="10.5" style="711" customWidth="1"/>
    <col min="2061" max="2061" width="8.5" style="711" customWidth="1"/>
    <col min="2062" max="2062" width="14.5" style="711" customWidth="1"/>
    <col min="2063" max="2063" width="6.5" style="711" customWidth="1"/>
    <col min="2064" max="2064" width="15.5" style="711" customWidth="1"/>
    <col min="2065" max="2065" width="18.1640625" style="711" customWidth="1"/>
    <col min="2066" max="2066" width="11.83203125" style="711" customWidth="1"/>
    <col min="2067" max="2068" width="9.1640625" style="711"/>
    <col min="2069" max="2069" width="12.1640625" style="711" customWidth="1"/>
    <col min="2070" max="2072" width="9.1640625" style="711"/>
    <col min="2073" max="2073" width="12.5" style="711" customWidth="1"/>
    <col min="2074" max="2305" width="9.1640625" style="711"/>
    <col min="2306" max="2306" width="50.5" style="711" customWidth="1"/>
    <col min="2307" max="2309" width="12.5" style="711" customWidth="1"/>
    <col min="2310" max="2316" width="10.5" style="711" customWidth="1"/>
    <col min="2317" max="2317" width="8.5" style="711" customWidth="1"/>
    <col min="2318" max="2318" width="14.5" style="711" customWidth="1"/>
    <col min="2319" max="2319" width="6.5" style="711" customWidth="1"/>
    <col min="2320" max="2320" width="15.5" style="711" customWidth="1"/>
    <col min="2321" max="2321" width="18.1640625" style="711" customWidth="1"/>
    <col min="2322" max="2322" width="11.83203125" style="711" customWidth="1"/>
    <col min="2323" max="2324" width="9.1640625" style="711"/>
    <col min="2325" max="2325" width="12.1640625" style="711" customWidth="1"/>
    <col min="2326" max="2328" width="9.1640625" style="711"/>
    <col min="2329" max="2329" width="12.5" style="711" customWidth="1"/>
    <col min="2330" max="2561" width="9.1640625" style="711"/>
    <col min="2562" max="2562" width="50.5" style="711" customWidth="1"/>
    <col min="2563" max="2565" width="12.5" style="711" customWidth="1"/>
    <col min="2566" max="2572" width="10.5" style="711" customWidth="1"/>
    <col min="2573" max="2573" width="8.5" style="711" customWidth="1"/>
    <col min="2574" max="2574" width="14.5" style="711" customWidth="1"/>
    <col min="2575" max="2575" width="6.5" style="711" customWidth="1"/>
    <col min="2576" max="2576" width="15.5" style="711" customWidth="1"/>
    <col min="2577" max="2577" width="18.1640625" style="711" customWidth="1"/>
    <col min="2578" max="2578" width="11.83203125" style="711" customWidth="1"/>
    <col min="2579" max="2580" width="9.1640625" style="711"/>
    <col min="2581" max="2581" width="12.1640625" style="711" customWidth="1"/>
    <col min="2582" max="2584" width="9.1640625" style="711"/>
    <col min="2585" max="2585" width="12.5" style="711" customWidth="1"/>
    <col min="2586" max="2817" width="9.1640625" style="711"/>
    <col min="2818" max="2818" width="50.5" style="711" customWidth="1"/>
    <col min="2819" max="2821" width="12.5" style="711" customWidth="1"/>
    <col min="2822" max="2828" width="10.5" style="711" customWidth="1"/>
    <col min="2829" max="2829" width="8.5" style="711" customWidth="1"/>
    <col min="2830" max="2830" width="14.5" style="711" customWidth="1"/>
    <col min="2831" max="2831" width="6.5" style="711" customWidth="1"/>
    <col min="2832" max="2832" width="15.5" style="711" customWidth="1"/>
    <col min="2833" max="2833" width="18.1640625" style="711" customWidth="1"/>
    <col min="2834" max="2834" width="11.83203125" style="711" customWidth="1"/>
    <col min="2835" max="2836" width="9.1640625" style="711"/>
    <col min="2837" max="2837" width="12.1640625" style="711" customWidth="1"/>
    <col min="2838" max="2840" width="9.1640625" style="711"/>
    <col min="2841" max="2841" width="12.5" style="711" customWidth="1"/>
    <col min="2842" max="3073" width="9.1640625" style="711"/>
    <col min="3074" max="3074" width="50.5" style="711" customWidth="1"/>
    <col min="3075" max="3077" width="12.5" style="711" customWidth="1"/>
    <col min="3078" max="3084" width="10.5" style="711" customWidth="1"/>
    <col min="3085" max="3085" width="8.5" style="711" customWidth="1"/>
    <col min="3086" max="3086" width="14.5" style="711" customWidth="1"/>
    <col min="3087" max="3087" width="6.5" style="711" customWidth="1"/>
    <col min="3088" max="3088" width="15.5" style="711" customWidth="1"/>
    <col min="3089" max="3089" width="18.1640625" style="711" customWidth="1"/>
    <col min="3090" max="3090" width="11.83203125" style="711" customWidth="1"/>
    <col min="3091" max="3092" width="9.1640625" style="711"/>
    <col min="3093" max="3093" width="12.1640625" style="711" customWidth="1"/>
    <col min="3094" max="3096" width="9.1640625" style="711"/>
    <col min="3097" max="3097" width="12.5" style="711" customWidth="1"/>
    <col min="3098" max="3329" width="9.1640625" style="711"/>
    <col min="3330" max="3330" width="50.5" style="711" customWidth="1"/>
    <col min="3331" max="3333" width="12.5" style="711" customWidth="1"/>
    <col min="3334" max="3340" width="10.5" style="711" customWidth="1"/>
    <col min="3341" max="3341" width="8.5" style="711" customWidth="1"/>
    <col min="3342" max="3342" width="14.5" style="711" customWidth="1"/>
    <col min="3343" max="3343" width="6.5" style="711" customWidth="1"/>
    <col min="3344" max="3344" width="15.5" style="711" customWidth="1"/>
    <col min="3345" max="3345" width="18.1640625" style="711" customWidth="1"/>
    <col min="3346" max="3346" width="11.83203125" style="711" customWidth="1"/>
    <col min="3347" max="3348" width="9.1640625" style="711"/>
    <col min="3349" max="3349" width="12.1640625" style="711" customWidth="1"/>
    <col min="3350" max="3352" width="9.1640625" style="711"/>
    <col min="3353" max="3353" width="12.5" style="711" customWidth="1"/>
    <col min="3354" max="3585" width="9.1640625" style="711"/>
    <col min="3586" max="3586" width="50.5" style="711" customWidth="1"/>
    <col min="3587" max="3589" width="12.5" style="711" customWidth="1"/>
    <col min="3590" max="3596" width="10.5" style="711" customWidth="1"/>
    <col min="3597" max="3597" width="8.5" style="711" customWidth="1"/>
    <col min="3598" max="3598" width="14.5" style="711" customWidth="1"/>
    <col min="3599" max="3599" width="6.5" style="711" customWidth="1"/>
    <col min="3600" max="3600" width="15.5" style="711" customWidth="1"/>
    <col min="3601" max="3601" width="18.1640625" style="711" customWidth="1"/>
    <col min="3602" max="3602" width="11.83203125" style="711" customWidth="1"/>
    <col min="3603" max="3604" width="9.1640625" style="711"/>
    <col min="3605" max="3605" width="12.1640625" style="711" customWidth="1"/>
    <col min="3606" max="3608" width="9.1640625" style="711"/>
    <col min="3609" max="3609" width="12.5" style="711" customWidth="1"/>
    <col min="3610" max="3841" width="9.1640625" style="711"/>
    <col min="3842" max="3842" width="50.5" style="711" customWidth="1"/>
    <col min="3843" max="3845" width="12.5" style="711" customWidth="1"/>
    <col min="3846" max="3852" width="10.5" style="711" customWidth="1"/>
    <col min="3853" max="3853" width="8.5" style="711" customWidth="1"/>
    <col min="3854" max="3854" width="14.5" style="711" customWidth="1"/>
    <col min="3855" max="3855" width="6.5" style="711" customWidth="1"/>
    <col min="3856" max="3856" width="15.5" style="711" customWidth="1"/>
    <col min="3857" max="3857" width="18.1640625" style="711" customWidth="1"/>
    <col min="3858" max="3858" width="11.83203125" style="711" customWidth="1"/>
    <col min="3859" max="3860" width="9.1640625" style="711"/>
    <col min="3861" max="3861" width="12.1640625" style="711" customWidth="1"/>
    <col min="3862" max="3864" width="9.1640625" style="711"/>
    <col min="3865" max="3865" width="12.5" style="711" customWidth="1"/>
    <col min="3866" max="4097" width="9.1640625" style="711"/>
    <col min="4098" max="4098" width="50.5" style="711" customWidth="1"/>
    <col min="4099" max="4101" width="12.5" style="711" customWidth="1"/>
    <col min="4102" max="4108" width="10.5" style="711" customWidth="1"/>
    <col min="4109" max="4109" width="8.5" style="711" customWidth="1"/>
    <col min="4110" max="4110" width="14.5" style="711" customWidth="1"/>
    <col min="4111" max="4111" width="6.5" style="711" customWidth="1"/>
    <col min="4112" max="4112" width="15.5" style="711" customWidth="1"/>
    <col min="4113" max="4113" width="18.1640625" style="711" customWidth="1"/>
    <col min="4114" max="4114" width="11.83203125" style="711" customWidth="1"/>
    <col min="4115" max="4116" width="9.1640625" style="711"/>
    <col min="4117" max="4117" width="12.1640625" style="711" customWidth="1"/>
    <col min="4118" max="4120" width="9.1640625" style="711"/>
    <col min="4121" max="4121" width="12.5" style="711" customWidth="1"/>
    <col min="4122" max="4353" width="9.1640625" style="711"/>
    <col min="4354" max="4354" width="50.5" style="711" customWidth="1"/>
    <col min="4355" max="4357" width="12.5" style="711" customWidth="1"/>
    <col min="4358" max="4364" width="10.5" style="711" customWidth="1"/>
    <col min="4365" max="4365" width="8.5" style="711" customWidth="1"/>
    <col min="4366" max="4366" width="14.5" style="711" customWidth="1"/>
    <col min="4367" max="4367" width="6.5" style="711" customWidth="1"/>
    <col min="4368" max="4368" width="15.5" style="711" customWidth="1"/>
    <col min="4369" max="4369" width="18.1640625" style="711" customWidth="1"/>
    <col min="4370" max="4370" width="11.83203125" style="711" customWidth="1"/>
    <col min="4371" max="4372" width="9.1640625" style="711"/>
    <col min="4373" max="4373" width="12.1640625" style="711" customWidth="1"/>
    <col min="4374" max="4376" width="9.1640625" style="711"/>
    <col min="4377" max="4377" width="12.5" style="711" customWidth="1"/>
    <col min="4378" max="4609" width="9.1640625" style="711"/>
    <col min="4610" max="4610" width="50.5" style="711" customWidth="1"/>
    <col min="4611" max="4613" width="12.5" style="711" customWidth="1"/>
    <col min="4614" max="4620" width="10.5" style="711" customWidth="1"/>
    <col min="4621" max="4621" width="8.5" style="711" customWidth="1"/>
    <col min="4622" max="4622" width="14.5" style="711" customWidth="1"/>
    <col min="4623" max="4623" width="6.5" style="711" customWidth="1"/>
    <col min="4624" max="4624" width="15.5" style="711" customWidth="1"/>
    <col min="4625" max="4625" width="18.1640625" style="711" customWidth="1"/>
    <col min="4626" max="4626" width="11.83203125" style="711" customWidth="1"/>
    <col min="4627" max="4628" width="9.1640625" style="711"/>
    <col min="4629" max="4629" width="12.1640625" style="711" customWidth="1"/>
    <col min="4630" max="4632" width="9.1640625" style="711"/>
    <col min="4633" max="4633" width="12.5" style="711" customWidth="1"/>
    <col min="4634" max="4865" width="9.1640625" style="711"/>
    <col min="4866" max="4866" width="50.5" style="711" customWidth="1"/>
    <col min="4867" max="4869" width="12.5" style="711" customWidth="1"/>
    <col min="4870" max="4876" width="10.5" style="711" customWidth="1"/>
    <col min="4877" max="4877" width="8.5" style="711" customWidth="1"/>
    <col min="4878" max="4878" width="14.5" style="711" customWidth="1"/>
    <col min="4879" max="4879" width="6.5" style="711" customWidth="1"/>
    <col min="4880" max="4880" width="15.5" style="711" customWidth="1"/>
    <col min="4881" max="4881" width="18.1640625" style="711" customWidth="1"/>
    <col min="4882" max="4882" width="11.83203125" style="711" customWidth="1"/>
    <col min="4883" max="4884" width="9.1640625" style="711"/>
    <col min="4885" max="4885" width="12.1640625" style="711" customWidth="1"/>
    <col min="4886" max="4888" width="9.1640625" style="711"/>
    <col min="4889" max="4889" width="12.5" style="711" customWidth="1"/>
    <col min="4890" max="5121" width="9.1640625" style="711"/>
    <col min="5122" max="5122" width="50.5" style="711" customWidth="1"/>
    <col min="5123" max="5125" width="12.5" style="711" customWidth="1"/>
    <col min="5126" max="5132" width="10.5" style="711" customWidth="1"/>
    <col min="5133" max="5133" width="8.5" style="711" customWidth="1"/>
    <col min="5134" max="5134" width="14.5" style="711" customWidth="1"/>
    <col min="5135" max="5135" width="6.5" style="711" customWidth="1"/>
    <col min="5136" max="5136" width="15.5" style="711" customWidth="1"/>
    <col min="5137" max="5137" width="18.1640625" style="711" customWidth="1"/>
    <col min="5138" max="5138" width="11.83203125" style="711" customWidth="1"/>
    <col min="5139" max="5140" width="9.1640625" style="711"/>
    <col min="5141" max="5141" width="12.1640625" style="711" customWidth="1"/>
    <col min="5142" max="5144" width="9.1640625" style="711"/>
    <col min="5145" max="5145" width="12.5" style="711" customWidth="1"/>
    <col min="5146" max="5377" width="9.1640625" style="711"/>
    <col min="5378" max="5378" width="50.5" style="711" customWidth="1"/>
    <col min="5379" max="5381" width="12.5" style="711" customWidth="1"/>
    <col min="5382" max="5388" width="10.5" style="711" customWidth="1"/>
    <col min="5389" max="5389" width="8.5" style="711" customWidth="1"/>
    <col min="5390" max="5390" width="14.5" style="711" customWidth="1"/>
    <col min="5391" max="5391" width="6.5" style="711" customWidth="1"/>
    <col min="5392" max="5392" width="15.5" style="711" customWidth="1"/>
    <col min="5393" max="5393" width="18.1640625" style="711" customWidth="1"/>
    <col min="5394" max="5394" width="11.83203125" style="711" customWidth="1"/>
    <col min="5395" max="5396" width="9.1640625" style="711"/>
    <col min="5397" max="5397" width="12.1640625" style="711" customWidth="1"/>
    <col min="5398" max="5400" width="9.1640625" style="711"/>
    <col min="5401" max="5401" width="12.5" style="711" customWidth="1"/>
    <col min="5402" max="5633" width="9.1640625" style="711"/>
    <col min="5634" max="5634" width="50.5" style="711" customWidth="1"/>
    <col min="5635" max="5637" width="12.5" style="711" customWidth="1"/>
    <col min="5638" max="5644" width="10.5" style="711" customWidth="1"/>
    <col min="5645" max="5645" width="8.5" style="711" customWidth="1"/>
    <col min="5646" max="5646" width="14.5" style="711" customWidth="1"/>
    <col min="5647" max="5647" width="6.5" style="711" customWidth="1"/>
    <col min="5648" max="5648" width="15.5" style="711" customWidth="1"/>
    <col min="5649" max="5649" width="18.1640625" style="711" customWidth="1"/>
    <col min="5650" max="5650" width="11.83203125" style="711" customWidth="1"/>
    <col min="5651" max="5652" width="9.1640625" style="711"/>
    <col min="5653" max="5653" width="12.1640625" style="711" customWidth="1"/>
    <col min="5654" max="5656" width="9.1640625" style="711"/>
    <col min="5657" max="5657" width="12.5" style="711" customWidth="1"/>
    <col min="5658" max="5889" width="9.1640625" style="711"/>
    <col min="5890" max="5890" width="50.5" style="711" customWidth="1"/>
    <col min="5891" max="5893" width="12.5" style="711" customWidth="1"/>
    <col min="5894" max="5900" width="10.5" style="711" customWidth="1"/>
    <col min="5901" max="5901" width="8.5" style="711" customWidth="1"/>
    <col min="5902" max="5902" width="14.5" style="711" customWidth="1"/>
    <col min="5903" max="5903" width="6.5" style="711" customWidth="1"/>
    <col min="5904" max="5904" width="15.5" style="711" customWidth="1"/>
    <col min="5905" max="5905" width="18.1640625" style="711" customWidth="1"/>
    <col min="5906" max="5906" width="11.83203125" style="711" customWidth="1"/>
    <col min="5907" max="5908" width="9.1640625" style="711"/>
    <col min="5909" max="5909" width="12.1640625" style="711" customWidth="1"/>
    <col min="5910" max="5912" width="9.1640625" style="711"/>
    <col min="5913" max="5913" width="12.5" style="711" customWidth="1"/>
    <col min="5914" max="6145" width="9.1640625" style="711"/>
    <col min="6146" max="6146" width="50.5" style="711" customWidth="1"/>
    <col min="6147" max="6149" width="12.5" style="711" customWidth="1"/>
    <col min="6150" max="6156" width="10.5" style="711" customWidth="1"/>
    <col min="6157" max="6157" width="8.5" style="711" customWidth="1"/>
    <col min="6158" max="6158" width="14.5" style="711" customWidth="1"/>
    <col min="6159" max="6159" width="6.5" style="711" customWidth="1"/>
    <col min="6160" max="6160" width="15.5" style="711" customWidth="1"/>
    <col min="6161" max="6161" width="18.1640625" style="711" customWidth="1"/>
    <col min="6162" max="6162" width="11.83203125" style="711" customWidth="1"/>
    <col min="6163" max="6164" width="9.1640625" style="711"/>
    <col min="6165" max="6165" width="12.1640625" style="711" customWidth="1"/>
    <col min="6166" max="6168" width="9.1640625" style="711"/>
    <col min="6169" max="6169" width="12.5" style="711" customWidth="1"/>
    <col min="6170" max="6401" width="9.1640625" style="711"/>
    <col min="6402" max="6402" width="50.5" style="711" customWidth="1"/>
    <col min="6403" max="6405" width="12.5" style="711" customWidth="1"/>
    <col min="6406" max="6412" width="10.5" style="711" customWidth="1"/>
    <col min="6413" max="6413" width="8.5" style="711" customWidth="1"/>
    <col min="6414" max="6414" width="14.5" style="711" customWidth="1"/>
    <col min="6415" max="6415" width="6.5" style="711" customWidth="1"/>
    <col min="6416" max="6416" width="15.5" style="711" customWidth="1"/>
    <col min="6417" max="6417" width="18.1640625" style="711" customWidth="1"/>
    <col min="6418" max="6418" width="11.83203125" style="711" customWidth="1"/>
    <col min="6419" max="6420" width="9.1640625" style="711"/>
    <col min="6421" max="6421" width="12.1640625" style="711" customWidth="1"/>
    <col min="6422" max="6424" width="9.1640625" style="711"/>
    <col min="6425" max="6425" width="12.5" style="711" customWidth="1"/>
    <col min="6426" max="6657" width="9.1640625" style="711"/>
    <col min="6658" max="6658" width="50.5" style="711" customWidth="1"/>
    <col min="6659" max="6661" width="12.5" style="711" customWidth="1"/>
    <col min="6662" max="6668" width="10.5" style="711" customWidth="1"/>
    <col min="6669" max="6669" width="8.5" style="711" customWidth="1"/>
    <col min="6670" max="6670" width="14.5" style="711" customWidth="1"/>
    <col min="6671" max="6671" width="6.5" style="711" customWidth="1"/>
    <col min="6672" max="6672" width="15.5" style="711" customWidth="1"/>
    <col min="6673" max="6673" width="18.1640625" style="711" customWidth="1"/>
    <col min="6674" max="6674" width="11.83203125" style="711" customWidth="1"/>
    <col min="6675" max="6676" width="9.1640625" style="711"/>
    <col min="6677" max="6677" width="12.1640625" style="711" customWidth="1"/>
    <col min="6678" max="6680" width="9.1640625" style="711"/>
    <col min="6681" max="6681" width="12.5" style="711" customWidth="1"/>
    <col min="6682" max="6913" width="9.1640625" style="711"/>
    <col min="6914" max="6914" width="50.5" style="711" customWidth="1"/>
    <col min="6915" max="6917" width="12.5" style="711" customWidth="1"/>
    <col min="6918" max="6924" width="10.5" style="711" customWidth="1"/>
    <col min="6925" max="6925" width="8.5" style="711" customWidth="1"/>
    <col min="6926" max="6926" width="14.5" style="711" customWidth="1"/>
    <col min="6927" max="6927" width="6.5" style="711" customWidth="1"/>
    <col min="6928" max="6928" width="15.5" style="711" customWidth="1"/>
    <col min="6929" max="6929" width="18.1640625" style="711" customWidth="1"/>
    <col min="6930" max="6930" width="11.83203125" style="711" customWidth="1"/>
    <col min="6931" max="6932" width="9.1640625" style="711"/>
    <col min="6933" max="6933" width="12.1640625" style="711" customWidth="1"/>
    <col min="6934" max="6936" width="9.1640625" style="711"/>
    <col min="6937" max="6937" width="12.5" style="711" customWidth="1"/>
    <col min="6938" max="7169" width="9.1640625" style="711"/>
    <col min="7170" max="7170" width="50.5" style="711" customWidth="1"/>
    <col min="7171" max="7173" width="12.5" style="711" customWidth="1"/>
    <col min="7174" max="7180" width="10.5" style="711" customWidth="1"/>
    <col min="7181" max="7181" width="8.5" style="711" customWidth="1"/>
    <col min="7182" max="7182" width="14.5" style="711" customWidth="1"/>
    <col min="7183" max="7183" width="6.5" style="711" customWidth="1"/>
    <col min="7184" max="7184" width="15.5" style="711" customWidth="1"/>
    <col min="7185" max="7185" width="18.1640625" style="711" customWidth="1"/>
    <col min="7186" max="7186" width="11.83203125" style="711" customWidth="1"/>
    <col min="7187" max="7188" width="9.1640625" style="711"/>
    <col min="7189" max="7189" width="12.1640625" style="711" customWidth="1"/>
    <col min="7190" max="7192" width="9.1640625" style="711"/>
    <col min="7193" max="7193" width="12.5" style="711" customWidth="1"/>
    <col min="7194" max="7425" width="9.1640625" style="711"/>
    <col min="7426" max="7426" width="50.5" style="711" customWidth="1"/>
    <col min="7427" max="7429" width="12.5" style="711" customWidth="1"/>
    <col min="7430" max="7436" width="10.5" style="711" customWidth="1"/>
    <col min="7437" max="7437" width="8.5" style="711" customWidth="1"/>
    <col min="7438" max="7438" width="14.5" style="711" customWidth="1"/>
    <col min="7439" max="7439" width="6.5" style="711" customWidth="1"/>
    <col min="7440" max="7440" width="15.5" style="711" customWidth="1"/>
    <col min="7441" max="7441" width="18.1640625" style="711" customWidth="1"/>
    <col min="7442" max="7442" width="11.83203125" style="711" customWidth="1"/>
    <col min="7443" max="7444" width="9.1640625" style="711"/>
    <col min="7445" max="7445" width="12.1640625" style="711" customWidth="1"/>
    <col min="7446" max="7448" width="9.1640625" style="711"/>
    <col min="7449" max="7449" width="12.5" style="711" customWidth="1"/>
    <col min="7450" max="7681" width="9.1640625" style="711"/>
    <col min="7682" max="7682" width="50.5" style="711" customWidth="1"/>
    <col min="7683" max="7685" width="12.5" style="711" customWidth="1"/>
    <col min="7686" max="7692" width="10.5" style="711" customWidth="1"/>
    <col min="7693" max="7693" width="8.5" style="711" customWidth="1"/>
    <col min="7694" max="7694" width="14.5" style="711" customWidth="1"/>
    <col min="7695" max="7695" width="6.5" style="711" customWidth="1"/>
    <col min="7696" max="7696" width="15.5" style="711" customWidth="1"/>
    <col min="7697" max="7697" width="18.1640625" style="711" customWidth="1"/>
    <col min="7698" max="7698" width="11.83203125" style="711" customWidth="1"/>
    <col min="7699" max="7700" width="9.1640625" style="711"/>
    <col min="7701" max="7701" width="12.1640625" style="711" customWidth="1"/>
    <col min="7702" max="7704" width="9.1640625" style="711"/>
    <col min="7705" max="7705" width="12.5" style="711" customWidth="1"/>
    <col min="7706" max="7937" width="9.1640625" style="711"/>
    <col min="7938" max="7938" width="50.5" style="711" customWidth="1"/>
    <col min="7939" max="7941" width="12.5" style="711" customWidth="1"/>
    <col min="7942" max="7948" width="10.5" style="711" customWidth="1"/>
    <col min="7949" max="7949" width="8.5" style="711" customWidth="1"/>
    <col min="7950" max="7950" width="14.5" style="711" customWidth="1"/>
    <col min="7951" max="7951" width="6.5" style="711" customWidth="1"/>
    <col min="7952" max="7952" width="15.5" style="711" customWidth="1"/>
    <col min="7953" max="7953" width="18.1640625" style="711" customWidth="1"/>
    <col min="7954" max="7954" width="11.83203125" style="711" customWidth="1"/>
    <col min="7955" max="7956" width="9.1640625" style="711"/>
    <col min="7957" max="7957" width="12.1640625" style="711" customWidth="1"/>
    <col min="7958" max="7960" width="9.1640625" style="711"/>
    <col min="7961" max="7961" width="12.5" style="711" customWidth="1"/>
    <col min="7962" max="8193" width="9.1640625" style="711"/>
    <col min="8194" max="8194" width="50.5" style="711" customWidth="1"/>
    <col min="8195" max="8197" width="12.5" style="711" customWidth="1"/>
    <col min="8198" max="8204" width="10.5" style="711" customWidth="1"/>
    <col min="8205" max="8205" width="8.5" style="711" customWidth="1"/>
    <col min="8206" max="8206" width="14.5" style="711" customWidth="1"/>
    <col min="8207" max="8207" width="6.5" style="711" customWidth="1"/>
    <col min="8208" max="8208" width="15.5" style="711" customWidth="1"/>
    <col min="8209" max="8209" width="18.1640625" style="711" customWidth="1"/>
    <col min="8210" max="8210" width="11.83203125" style="711" customWidth="1"/>
    <col min="8211" max="8212" width="9.1640625" style="711"/>
    <col min="8213" max="8213" width="12.1640625" style="711" customWidth="1"/>
    <col min="8214" max="8216" width="9.1640625" style="711"/>
    <col min="8217" max="8217" width="12.5" style="711" customWidth="1"/>
    <col min="8218" max="8449" width="9.1640625" style="711"/>
    <col min="8450" max="8450" width="50.5" style="711" customWidth="1"/>
    <col min="8451" max="8453" width="12.5" style="711" customWidth="1"/>
    <col min="8454" max="8460" width="10.5" style="711" customWidth="1"/>
    <col min="8461" max="8461" width="8.5" style="711" customWidth="1"/>
    <col min="8462" max="8462" width="14.5" style="711" customWidth="1"/>
    <col min="8463" max="8463" width="6.5" style="711" customWidth="1"/>
    <col min="8464" max="8464" width="15.5" style="711" customWidth="1"/>
    <col min="8465" max="8465" width="18.1640625" style="711" customWidth="1"/>
    <col min="8466" max="8466" width="11.83203125" style="711" customWidth="1"/>
    <col min="8467" max="8468" width="9.1640625" style="711"/>
    <col min="8469" max="8469" width="12.1640625" style="711" customWidth="1"/>
    <col min="8470" max="8472" width="9.1640625" style="711"/>
    <col min="8473" max="8473" width="12.5" style="711" customWidth="1"/>
    <col min="8474" max="8705" width="9.1640625" style="711"/>
    <col min="8706" max="8706" width="50.5" style="711" customWidth="1"/>
    <col min="8707" max="8709" width="12.5" style="711" customWidth="1"/>
    <col min="8710" max="8716" width="10.5" style="711" customWidth="1"/>
    <col min="8717" max="8717" width="8.5" style="711" customWidth="1"/>
    <col min="8718" max="8718" width="14.5" style="711" customWidth="1"/>
    <col min="8719" max="8719" width="6.5" style="711" customWidth="1"/>
    <col min="8720" max="8720" width="15.5" style="711" customWidth="1"/>
    <col min="8721" max="8721" width="18.1640625" style="711" customWidth="1"/>
    <col min="8722" max="8722" width="11.83203125" style="711" customWidth="1"/>
    <col min="8723" max="8724" width="9.1640625" style="711"/>
    <col min="8725" max="8725" width="12.1640625" style="711" customWidth="1"/>
    <col min="8726" max="8728" width="9.1640625" style="711"/>
    <col min="8729" max="8729" width="12.5" style="711" customWidth="1"/>
    <col min="8730" max="8961" width="9.1640625" style="711"/>
    <col min="8962" max="8962" width="50.5" style="711" customWidth="1"/>
    <col min="8963" max="8965" width="12.5" style="711" customWidth="1"/>
    <col min="8966" max="8972" width="10.5" style="711" customWidth="1"/>
    <col min="8973" max="8973" width="8.5" style="711" customWidth="1"/>
    <col min="8974" max="8974" width="14.5" style="711" customWidth="1"/>
    <col min="8975" max="8975" width="6.5" style="711" customWidth="1"/>
    <col min="8976" max="8976" width="15.5" style="711" customWidth="1"/>
    <col min="8977" max="8977" width="18.1640625" style="711" customWidth="1"/>
    <col min="8978" max="8978" width="11.83203125" style="711" customWidth="1"/>
    <col min="8979" max="8980" width="9.1640625" style="711"/>
    <col min="8981" max="8981" width="12.1640625" style="711" customWidth="1"/>
    <col min="8982" max="8984" width="9.1640625" style="711"/>
    <col min="8985" max="8985" width="12.5" style="711" customWidth="1"/>
    <col min="8986" max="9217" width="9.1640625" style="711"/>
    <col min="9218" max="9218" width="50.5" style="711" customWidth="1"/>
    <col min="9219" max="9221" width="12.5" style="711" customWidth="1"/>
    <col min="9222" max="9228" width="10.5" style="711" customWidth="1"/>
    <col min="9229" max="9229" width="8.5" style="711" customWidth="1"/>
    <col min="9230" max="9230" width="14.5" style="711" customWidth="1"/>
    <col min="9231" max="9231" width="6.5" style="711" customWidth="1"/>
    <col min="9232" max="9232" width="15.5" style="711" customWidth="1"/>
    <col min="9233" max="9233" width="18.1640625" style="711" customWidth="1"/>
    <col min="9234" max="9234" width="11.83203125" style="711" customWidth="1"/>
    <col min="9235" max="9236" width="9.1640625" style="711"/>
    <col min="9237" max="9237" width="12.1640625" style="711" customWidth="1"/>
    <col min="9238" max="9240" width="9.1640625" style="711"/>
    <col min="9241" max="9241" width="12.5" style="711" customWidth="1"/>
    <col min="9242" max="9473" width="9.1640625" style="711"/>
    <col min="9474" max="9474" width="50.5" style="711" customWidth="1"/>
    <col min="9475" max="9477" width="12.5" style="711" customWidth="1"/>
    <col min="9478" max="9484" width="10.5" style="711" customWidth="1"/>
    <col min="9485" max="9485" width="8.5" style="711" customWidth="1"/>
    <col min="9486" max="9486" width="14.5" style="711" customWidth="1"/>
    <col min="9487" max="9487" width="6.5" style="711" customWidth="1"/>
    <col min="9488" max="9488" width="15.5" style="711" customWidth="1"/>
    <col min="9489" max="9489" width="18.1640625" style="711" customWidth="1"/>
    <col min="9490" max="9490" width="11.83203125" style="711" customWidth="1"/>
    <col min="9491" max="9492" width="9.1640625" style="711"/>
    <col min="9493" max="9493" width="12.1640625" style="711" customWidth="1"/>
    <col min="9494" max="9496" width="9.1640625" style="711"/>
    <col min="9497" max="9497" width="12.5" style="711" customWidth="1"/>
    <col min="9498" max="9729" width="9.1640625" style="711"/>
    <col min="9730" max="9730" width="50.5" style="711" customWidth="1"/>
    <col min="9731" max="9733" width="12.5" style="711" customWidth="1"/>
    <col min="9734" max="9740" width="10.5" style="711" customWidth="1"/>
    <col min="9741" max="9741" width="8.5" style="711" customWidth="1"/>
    <col min="9742" max="9742" width="14.5" style="711" customWidth="1"/>
    <col min="9743" max="9743" width="6.5" style="711" customWidth="1"/>
    <col min="9744" max="9744" width="15.5" style="711" customWidth="1"/>
    <col min="9745" max="9745" width="18.1640625" style="711" customWidth="1"/>
    <col min="9746" max="9746" width="11.83203125" style="711" customWidth="1"/>
    <col min="9747" max="9748" width="9.1640625" style="711"/>
    <col min="9749" max="9749" width="12.1640625" style="711" customWidth="1"/>
    <col min="9750" max="9752" width="9.1640625" style="711"/>
    <col min="9753" max="9753" width="12.5" style="711" customWidth="1"/>
    <col min="9754" max="9985" width="9.1640625" style="711"/>
    <col min="9986" max="9986" width="50.5" style="711" customWidth="1"/>
    <col min="9987" max="9989" width="12.5" style="711" customWidth="1"/>
    <col min="9990" max="9996" width="10.5" style="711" customWidth="1"/>
    <col min="9997" max="9997" width="8.5" style="711" customWidth="1"/>
    <col min="9998" max="9998" width="14.5" style="711" customWidth="1"/>
    <col min="9999" max="9999" width="6.5" style="711" customWidth="1"/>
    <col min="10000" max="10000" width="15.5" style="711" customWidth="1"/>
    <col min="10001" max="10001" width="18.1640625" style="711" customWidth="1"/>
    <col min="10002" max="10002" width="11.83203125" style="711" customWidth="1"/>
    <col min="10003" max="10004" width="9.1640625" style="711"/>
    <col min="10005" max="10005" width="12.1640625" style="711" customWidth="1"/>
    <col min="10006" max="10008" width="9.1640625" style="711"/>
    <col min="10009" max="10009" width="12.5" style="711" customWidth="1"/>
    <col min="10010" max="10241" width="9.1640625" style="711"/>
    <col min="10242" max="10242" width="50.5" style="711" customWidth="1"/>
    <col min="10243" max="10245" width="12.5" style="711" customWidth="1"/>
    <col min="10246" max="10252" width="10.5" style="711" customWidth="1"/>
    <col min="10253" max="10253" width="8.5" style="711" customWidth="1"/>
    <col min="10254" max="10254" width="14.5" style="711" customWidth="1"/>
    <col min="10255" max="10255" width="6.5" style="711" customWidth="1"/>
    <col min="10256" max="10256" width="15.5" style="711" customWidth="1"/>
    <col min="10257" max="10257" width="18.1640625" style="711" customWidth="1"/>
    <col min="10258" max="10258" width="11.83203125" style="711" customWidth="1"/>
    <col min="10259" max="10260" width="9.1640625" style="711"/>
    <col min="10261" max="10261" width="12.1640625" style="711" customWidth="1"/>
    <col min="10262" max="10264" width="9.1640625" style="711"/>
    <col min="10265" max="10265" width="12.5" style="711" customWidth="1"/>
    <col min="10266" max="10497" width="9.1640625" style="711"/>
    <col min="10498" max="10498" width="50.5" style="711" customWidth="1"/>
    <col min="10499" max="10501" width="12.5" style="711" customWidth="1"/>
    <col min="10502" max="10508" width="10.5" style="711" customWidth="1"/>
    <col min="10509" max="10509" width="8.5" style="711" customWidth="1"/>
    <col min="10510" max="10510" width="14.5" style="711" customWidth="1"/>
    <col min="10511" max="10511" width="6.5" style="711" customWidth="1"/>
    <col min="10512" max="10512" width="15.5" style="711" customWidth="1"/>
    <col min="10513" max="10513" width="18.1640625" style="711" customWidth="1"/>
    <col min="10514" max="10514" width="11.83203125" style="711" customWidth="1"/>
    <col min="10515" max="10516" width="9.1640625" style="711"/>
    <col min="10517" max="10517" width="12.1640625" style="711" customWidth="1"/>
    <col min="10518" max="10520" width="9.1640625" style="711"/>
    <col min="10521" max="10521" width="12.5" style="711" customWidth="1"/>
    <col min="10522" max="10753" width="9.1640625" style="711"/>
    <col min="10754" max="10754" width="50.5" style="711" customWidth="1"/>
    <col min="10755" max="10757" width="12.5" style="711" customWidth="1"/>
    <col min="10758" max="10764" width="10.5" style="711" customWidth="1"/>
    <col min="10765" max="10765" width="8.5" style="711" customWidth="1"/>
    <col min="10766" max="10766" width="14.5" style="711" customWidth="1"/>
    <col min="10767" max="10767" width="6.5" style="711" customWidth="1"/>
    <col min="10768" max="10768" width="15.5" style="711" customWidth="1"/>
    <col min="10769" max="10769" width="18.1640625" style="711" customWidth="1"/>
    <col min="10770" max="10770" width="11.83203125" style="711" customWidth="1"/>
    <col min="10771" max="10772" width="9.1640625" style="711"/>
    <col min="10773" max="10773" width="12.1640625" style="711" customWidth="1"/>
    <col min="10774" max="10776" width="9.1640625" style="711"/>
    <col min="10777" max="10777" width="12.5" style="711" customWidth="1"/>
    <col min="10778" max="11009" width="9.1640625" style="711"/>
    <col min="11010" max="11010" width="50.5" style="711" customWidth="1"/>
    <col min="11011" max="11013" width="12.5" style="711" customWidth="1"/>
    <col min="11014" max="11020" width="10.5" style="711" customWidth="1"/>
    <col min="11021" max="11021" width="8.5" style="711" customWidth="1"/>
    <col min="11022" max="11022" width="14.5" style="711" customWidth="1"/>
    <col min="11023" max="11023" width="6.5" style="711" customWidth="1"/>
    <col min="11024" max="11024" width="15.5" style="711" customWidth="1"/>
    <col min="11025" max="11025" width="18.1640625" style="711" customWidth="1"/>
    <col min="11026" max="11026" width="11.83203125" style="711" customWidth="1"/>
    <col min="11027" max="11028" width="9.1640625" style="711"/>
    <col min="11029" max="11029" width="12.1640625" style="711" customWidth="1"/>
    <col min="11030" max="11032" width="9.1640625" style="711"/>
    <col min="11033" max="11033" width="12.5" style="711" customWidth="1"/>
    <col min="11034" max="11265" width="9.1640625" style="711"/>
    <col min="11266" max="11266" width="50.5" style="711" customWidth="1"/>
    <col min="11267" max="11269" width="12.5" style="711" customWidth="1"/>
    <col min="11270" max="11276" width="10.5" style="711" customWidth="1"/>
    <col min="11277" max="11277" width="8.5" style="711" customWidth="1"/>
    <col min="11278" max="11278" width="14.5" style="711" customWidth="1"/>
    <col min="11279" max="11279" width="6.5" style="711" customWidth="1"/>
    <col min="11280" max="11280" width="15.5" style="711" customWidth="1"/>
    <col min="11281" max="11281" width="18.1640625" style="711" customWidth="1"/>
    <col min="11282" max="11282" width="11.83203125" style="711" customWidth="1"/>
    <col min="11283" max="11284" width="9.1640625" style="711"/>
    <col min="11285" max="11285" width="12.1640625" style="711" customWidth="1"/>
    <col min="11286" max="11288" width="9.1640625" style="711"/>
    <col min="11289" max="11289" width="12.5" style="711" customWidth="1"/>
    <col min="11290" max="11521" width="9.1640625" style="711"/>
    <col min="11522" max="11522" width="50.5" style="711" customWidth="1"/>
    <col min="11523" max="11525" width="12.5" style="711" customWidth="1"/>
    <col min="11526" max="11532" width="10.5" style="711" customWidth="1"/>
    <col min="11533" max="11533" width="8.5" style="711" customWidth="1"/>
    <col min="11534" max="11534" width="14.5" style="711" customWidth="1"/>
    <col min="11535" max="11535" width="6.5" style="711" customWidth="1"/>
    <col min="11536" max="11536" width="15.5" style="711" customWidth="1"/>
    <col min="11537" max="11537" width="18.1640625" style="711" customWidth="1"/>
    <col min="11538" max="11538" width="11.83203125" style="711" customWidth="1"/>
    <col min="11539" max="11540" width="9.1640625" style="711"/>
    <col min="11541" max="11541" width="12.1640625" style="711" customWidth="1"/>
    <col min="11542" max="11544" width="9.1640625" style="711"/>
    <col min="11545" max="11545" width="12.5" style="711" customWidth="1"/>
    <col min="11546" max="11777" width="9.1640625" style="711"/>
    <col min="11778" max="11778" width="50.5" style="711" customWidth="1"/>
    <col min="11779" max="11781" width="12.5" style="711" customWidth="1"/>
    <col min="11782" max="11788" width="10.5" style="711" customWidth="1"/>
    <col min="11789" max="11789" width="8.5" style="711" customWidth="1"/>
    <col min="11790" max="11790" width="14.5" style="711" customWidth="1"/>
    <col min="11791" max="11791" width="6.5" style="711" customWidth="1"/>
    <col min="11792" max="11792" width="15.5" style="711" customWidth="1"/>
    <col min="11793" max="11793" width="18.1640625" style="711" customWidth="1"/>
    <col min="11794" max="11794" width="11.83203125" style="711" customWidth="1"/>
    <col min="11795" max="11796" width="9.1640625" style="711"/>
    <col min="11797" max="11797" width="12.1640625" style="711" customWidth="1"/>
    <col min="11798" max="11800" width="9.1640625" style="711"/>
    <col min="11801" max="11801" width="12.5" style="711" customWidth="1"/>
    <col min="11802" max="12033" width="9.1640625" style="711"/>
    <col min="12034" max="12034" width="50.5" style="711" customWidth="1"/>
    <col min="12035" max="12037" width="12.5" style="711" customWidth="1"/>
    <col min="12038" max="12044" width="10.5" style="711" customWidth="1"/>
    <col min="12045" max="12045" width="8.5" style="711" customWidth="1"/>
    <col min="12046" max="12046" width="14.5" style="711" customWidth="1"/>
    <col min="12047" max="12047" width="6.5" style="711" customWidth="1"/>
    <col min="12048" max="12048" width="15.5" style="711" customWidth="1"/>
    <col min="12049" max="12049" width="18.1640625" style="711" customWidth="1"/>
    <col min="12050" max="12050" width="11.83203125" style="711" customWidth="1"/>
    <col min="12051" max="12052" width="9.1640625" style="711"/>
    <col min="12053" max="12053" width="12.1640625" style="711" customWidth="1"/>
    <col min="12054" max="12056" width="9.1640625" style="711"/>
    <col min="12057" max="12057" width="12.5" style="711" customWidth="1"/>
    <col min="12058" max="12289" width="9.1640625" style="711"/>
    <col min="12290" max="12290" width="50.5" style="711" customWidth="1"/>
    <col min="12291" max="12293" width="12.5" style="711" customWidth="1"/>
    <col min="12294" max="12300" width="10.5" style="711" customWidth="1"/>
    <col min="12301" max="12301" width="8.5" style="711" customWidth="1"/>
    <col min="12302" max="12302" width="14.5" style="711" customWidth="1"/>
    <col min="12303" max="12303" width="6.5" style="711" customWidth="1"/>
    <col min="12304" max="12304" width="15.5" style="711" customWidth="1"/>
    <col min="12305" max="12305" width="18.1640625" style="711" customWidth="1"/>
    <col min="12306" max="12306" width="11.83203125" style="711" customWidth="1"/>
    <col min="12307" max="12308" width="9.1640625" style="711"/>
    <col min="12309" max="12309" width="12.1640625" style="711" customWidth="1"/>
    <col min="12310" max="12312" width="9.1640625" style="711"/>
    <col min="12313" max="12313" width="12.5" style="711" customWidth="1"/>
    <col min="12314" max="12545" width="9.1640625" style="711"/>
    <col min="12546" max="12546" width="50.5" style="711" customWidth="1"/>
    <col min="12547" max="12549" width="12.5" style="711" customWidth="1"/>
    <col min="12550" max="12556" width="10.5" style="711" customWidth="1"/>
    <col min="12557" max="12557" width="8.5" style="711" customWidth="1"/>
    <col min="12558" max="12558" width="14.5" style="711" customWidth="1"/>
    <col min="12559" max="12559" width="6.5" style="711" customWidth="1"/>
    <col min="12560" max="12560" width="15.5" style="711" customWidth="1"/>
    <col min="12561" max="12561" width="18.1640625" style="711" customWidth="1"/>
    <col min="12562" max="12562" width="11.83203125" style="711" customWidth="1"/>
    <col min="12563" max="12564" width="9.1640625" style="711"/>
    <col min="12565" max="12565" width="12.1640625" style="711" customWidth="1"/>
    <col min="12566" max="12568" width="9.1640625" style="711"/>
    <col min="12569" max="12569" width="12.5" style="711" customWidth="1"/>
    <col min="12570" max="12801" width="9.1640625" style="711"/>
    <col min="12802" max="12802" width="50.5" style="711" customWidth="1"/>
    <col min="12803" max="12805" width="12.5" style="711" customWidth="1"/>
    <col min="12806" max="12812" width="10.5" style="711" customWidth="1"/>
    <col min="12813" max="12813" width="8.5" style="711" customWidth="1"/>
    <col min="12814" max="12814" width="14.5" style="711" customWidth="1"/>
    <col min="12815" max="12815" width="6.5" style="711" customWidth="1"/>
    <col min="12816" max="12816" width="15.5" style="711" customWidth="1"/>
    <col min="12817" max="12817" width="18.1640625" style="711" customWidth="1"/>
    <col min="12818" max="12818" width="11.83203125" style="711" customWidth="1"/>
    <col min="12819" max="12820" width="9.1640625" style="711"/>
    <col min="12821" max="12821" width="12.1640625" style="711" customWidth="1"/>
    <col min="12822" max="12824" width="9.1640625" style="711"/>
    <col min="12825" max="12825" width="12.5" style="711" customWidth="1"/>
    <col min="12826" max="13057" width="9.1640625" style="711"/>
    <col min="13058" max="13058" width="50.5" style="711" customWidth="1"/>
    <col min="13059" max="13061" width="12.5" style="711" customWidth="1"/>
    <col min="13062" max="13068" width="10.5" style="711" customWidth="1"/>
    <col min="13069" max="13069" width="8.5" style="711" customWidth="1"/>
    <col min="13070" max="13070" width="14.5" style="711" customWidth="1"/>
    <col min="13071" max="13071" width="6.5" style="711" customWidth="1"/>
    <col min="13072" max="13072" width="15.5" style="711" customWidth="1"/>
    <col min="13073" max="13073" width="18.1640625" style="711" customWidth="1"/>
    <col min="13074" max="13074" width="11.83203125" style="711" customWidth="1"/>
    <col min="13075" max="13076" width="9.1640625" style="711"/>
    <col min="13077" max="13077" width="12.1640625" style="711" customWidth="1"/>
    <col min="13078" max="13080" width="9.1640625" style="711"/>
    <col min="13081" max="13081" width="12.5" style="711" customWidth="1"/>
    <col min="13082" max="13313" width="9.1640625" style="711"/>
    <col min="13314" max="13314" width="50.5" style="711" customWidth="1"/>
    <col min="13315" max="13317" width="12.5" style="711" customWidth="1"/>
    <col min="13318" max="13324" width="10.5" style="711" customWidth="1"/>
    <col min="13325" max="13325" width="8.5" style="711" customWidth="1"/>
    <col min="13326" max="13326" width="14.5" style="711" customWidth="1"/>
    <col min="13327" max="13327" width="6.5" style="711" customWidth="1"/>
    <col min="13328" max="13328" width="15.5" style="711" customWidth="1"/>
    <col min="13329" max="13329" width="18.1640625" style="711" customWidth="1"/>
    <col min="13330" max="13330" width="11.83203125" style="711" customWidth="1"/>
    <col min="13331" max="13332" width="9.1640625" style="711"/>
    <col min="13333" max="13333" width="12.1640625" style="711" customWidth="1"/>
    <col min="13334" max="13336" width="9.1640625" style="711"/>
    <col min="13337" max="13337" width="12.5" style="711" customWidth="1"/>
    <col min="13338" max="13569" width="9.1640625" style="711"/>
    <col min="13570" max="13570" width="50.5" style="711" customWidth="1"/>
    <col min="13571" max="13573" width="12.5" style="711" customWidth="1"/>
    <col min="13574" max="13580" width="10.5" style="711" customWidth="1"/>
    <col min="13581" max="13581" width="8.5" style="711" customWidth="1"/>
    <col min="13582" max="13582" width="14.5" style="711" customWidth="1"/>
    <col min="13583" max="13583" width="6.5" style="711" customWidth="1"/>
    <col min="13584" max="13584" width="15.5" style="711" customWidth="1"/>
    <col min="13585" max="13585" width="18.1640625" style="711" customWidth="1"/>
    <col min="13586" max="13586" width="11.83203125" style="711" customWidth="1"/>
    <col min="13587" max="13588" width="9.1640625" style="711"/>
    <col min="13589" max="13589" width="12.1640625" style="711" customWidth="1"/>
    <col min="13590" max="13592" width="9.1640625" style="711"/>
    <col min="13593" max="13593" width="12.5" style="711" customWidth="1"/>
    <col min="13594" max="13825" width="9.1640625" style="711"/>
    <col min="13826" max="13826" width="50.5" style="711" customWidth="1"/>
    <col min="13827" max="13829" width="12.5" style="711" customWidth="1"/>
    <col min="13830" max="13836" width="10.5" style="711" customWidth="1"/>
    <col min="13837" max="13837" width="8.5" style="711" customWidth="1"/>
    <col min="13838" max="13838" width="14.5" style="711" customWidth="1"/>
    <col min="13839" max="13839" width="6.5" style="711" customWidth="1"/>
    <col min="13840" max="13840" width="15.5" style="711" customWidth="1"/>
    <col min="13841" max="13841" width="18.1640625" style="711" customWidth="1"/>
    <col min="13842" max="13842" width="11.83203125" style="711" customWidth="1"/>
    <col min="13843" max="13844" width="9.1640625" style="711"/>
    <col min="13845" max="13845" width="12.1640625" style="711" customWidth="1"/>
    <col min="13846" max="13848" width="9.1640625" style="711"/>
    <col min="13849" max="13849" width="12.5" style="711" customWidth="1"/>
    <col min="13850" max="14081" width="9.1640625" style="711"/>
    <col min="14082" max="14082" width="50.5" style="711" customWidth="1"/>
    <col min="14083" max="14085" width="12.5" style="711" customWidth="1"/>
    <col min="14086" max="14092" width="10.5" style="711" customWidth="1"/>
    <col min="14093" max="14093" width="8.5" style="711" customWidth="1"/>
    <col min="14094" max="14094" width="14.5" style="711" customWidth="1"/>
    <col min="14095" max="14095" width="6.5" style="711" customWidth="1"/>
    <col min="14096" max="14096" width="15.5" style="711" customWidth="1"/>
    <col min="14097" max="14097" width="18.1640625" style="711" customWidth="1"/>
    <col min="14098" max="14098" width="11.83203125" style="711" customWidth="1"/>
    <col min="14099" max="14100" width="9.1640625" style="711"/>
    <col min="14101" max="14101" width="12.1640625" style="711" customWidth="1"/>
    <col min="14102" max="14104" width="9.1640625" style="711"/>
    <col min="14105" max="14105" width="12.5" style="711" customWidth="1"/>
    <col min="14106" max="14337" width="9.1640625" style="711"/>
    <col min="14338" max="14338" width="50.5" style="711" customWidth="1"/>
    <col min="14339" max="14341" width="12.5" style="711" customWidth="1"/>
    <col min="14342" max="14348" width="10.5" style="711" customWidth="1"/>
    <col min="14349" max="14349" width="8.5" style="711" customWidth="1"/>
    <col min="14350" max="14350" width="14.5" style="711" customWidth="1"/>
    <col min="14351" max="14351" width="6.5" style="711" customWidth="1"/>
    <col min="14352" max="14352" width="15.5" style="711" customWidth="1"/>
    <col min="14353" max="14353" width="18.1640625" style="711" customWidth="1"/>
    <col min="14354" max="14354" width="11.83203125" style="711" customWidth="1"/>
    <col min="14355" max="14356" width="9.1640625" style="711"/>
    <col min="14357" max="14357" width="12.1640625" style="711" customWidth="1"/>
    <col min="14358" max="14360" width="9.1640625" style="711"/>
    <col min="14361" max="14361" width="12.5" style="711" customWidth="1"/>
    <col min="14362" max="14593" width="9.1640625" style="711"/>
    <col min="14594" max="14594" width="50.5" style="711" customWidth="1"/>
    <col min="14595" max="14597" width="12.5" style="711" customWidth="1"/>
    <col min="14598" max="14604" width="10.5" style="711" customWidth="1"/>
    <col min="14605" max="14605" width="8.5" style="711" customWidth="1"/>
    <col min="14606" max="14606" width="14.5" style="711" customWidth="1"/>
    <col min="14607" max="14607" width="6.5" style="711" customWidth="1"/>
    <col min="14608" max="14608" width="15.5" style="711" customWidth="1"/>
    <col min="14609" max="14609" width="18.1640625" style="711" customWidth="1"/>
    <col min="14610" max="14610" width="11.83203125" style="711" customWidth="1"/>
    <col min="14611" max="14612" width="9.1640625" style="711"/>
    <col min="14613" max="14613" width="12.1640625" style="711" customWidth="1"/>
    <col min="14614" max="14616" width="9.1640625" style="711"/>
    <col min="14617" max="14617" width="12.5" style="711" customWidth="1"/>
    <col min="14618" max="14849" width="9.1640625" style="711"/>
    <col min="14850" max="14850" width="50.5" style="711" customWidth="1"/>
    <col min="14851" max="14853" width="12.5" style="711" customWidth="1"/>
    <col min="14854" max="14860" width="10.5" style="711" customWidth="1"/>
    <col min="14861" max="14861" width="8.5" style="711" customWidth="1"/>
    <col min="14862" max="14862" width="14.5" style="711" customWidth="1"/>
    <col min="14863" max="14863" width="6.5" style="711" customWidth="1"/>
    <col min="14864" max="14864" width="15.5" style="711" customWidth="1"/>
    <col min="14865" max="14865" width="18.1640625" style="711" customWidth="1"/>
    <col min="14866" max="14866" width="11.83203125" style="711" customWidth="1"/>
    <col min="14867" max="14868" width="9.1640625" style="711"/>
    <col min="14869" max="14869" width="12.1640625" style="711" customWidth="1"/>
    <col min="14870" max="14872" width="9.1640625" style="711"/>
    <col min="14873" max="14873" width="12.5" style="711" customWidth="1"/>
    <col min="14874" max="15105" width="9.1640625" style="711"/>
    <col min="15106" max="15106" width="50.5" style="711" customWidth="1"/>
    <col min="15107" max="15109" width="12.5" style="711" customWidth="1"/>
    <col min="15110" max="15116" width="10.5" style="711" customWidth="1"/>
    <col min="15117" max="15117" width="8.5" style="711" customWidth="1"/>
    <col min="15118" max="15118" width="14.5" style="711" customWidth="1"/>
    <col min="15119" max="15119" width="6.5" style="711" customWidth="1"/>
    <col min="15120" max="15120" width="15.5" style="711" customWidth="1"/>
    <col min="15121" max="15121" width="18.1640625" style="711" customWidth="1"/>
    <col min="15122" max="15122" width="11.83203125" style="711" customWidth="1"/>
    <col min="15123" max="15124" width="9.1640625" style="711"/>
    <col min="15125" max="15125" width="12.1640625" style="711" customWidth="1"/>
    <col min="15126" max="15128" width="9.1640625" style="711"/>
    <col min="15129" max="15129" width="12.5" style="711" customWidth="1"/>
    <col min="15130" max="15361" width="9.1640625" style="711"/>
    <col min="15362" max="15362" width="50.5" style="711" customWidth="1"/>
    <col min="15363" max="15365" width="12.5" style="711" customWidth="1"/>
    <col min="15366" max="15372" width="10.5" style="711" customWidth="1"/>
    <col min="15373" max="15373" width="8.5" style="711" customWidth="1"/>
    <col min="15374" max="15374" width="14.5" style="711" customWidth="1"/>
    <col min="15375" max="15375" width="6.5" style="711" customWidth="1"/>
    <col min="15376" max="15376" width="15.5" style="711" customWidth="1"/>
    <col min="15377" max="15377" width="18.1640625" style="711" customWidth="1"/>
    <col min="15378" max="15378" width="11.83203125" style="711" customWidth="1"/>
    <col min="15379" max="15380" width="9.1640625" style="711"/>
    <col min="15381" max="15381" width="12.1640625" style="711" customWidth="1"/>
    <col min="15382" max="15384" width="9.1640625" style="711"/>
    <col min="15385" max="15385" width="12.5" style="711" customWidth="1"/>
    <col min="15386" max="15617" width="9.1640625" style="711"/>
    <col min="15618" max="15618" width="50.5" style="711" customWidth="1"/>
    <col min="15619" max="15621" width="12.5" style="711" customWidth="1"/>
    <col min="15622" max="15628" width="10.5" style="711" customWidth="1"/>
    <col min="15629" max="15629" width="8.5" style="711" customWidth="1"/>
    <col min="15630" max="15630" width="14.5" style="711" customWidth="1"/>
    <col min="15631" max="15631" width="6.5" style="711" customWidth="1"/>
    <col min="15632" max="15632" width="15.5" style="711" customWidth="1"/>
    <col min="15633" max="15633" width="18.1640625" style="711" customWidth="1"/>
    <col min="15634" max="15634" width="11.83203125" style="711" customWidth="1"/>
    <col min="15635" max="15636" width="9.1640625" style="711"/>
    <col min="15637" max="15637" width="12.1640625" style="711" customWidth="1"/>
    <col min="15638" max="15640" width="9.1640625" style="711"/>
    <col min="15641" max="15641" width="12.5" style="711" customWidth="1"/>
    <col min="15642" max="15873" width="9.1640625" style="711"/>
    <col min="15874" max="15874" width="50.5" style="711" customWidth="1"/>
    <col min="15875" max="15877" width="12.5" style="711" customWidth="1"/>
    <col min="15878" max="15884" width="10.5" style="711" customWidth="1"/>
    <col min="15885" max="15885" width="8.5" style="711" customWidth="1"/>
    <col min="15886" max="15886" width="14.5" style="711" customWidth="1"/>
    <col min="15887" max="15887" width="6.5" style="711" customWidth="1"/>
    <col min="15888" max="15888" width="15.5" style="711" customWidth="1"/>
    <col min="15889" max="15889" width="18.1640625" style="711" customWidth="1"/>
    <col min="15890" max="15890" width="11.83203125" style="711" customWidth="1"/>
    <col min="15891" max="15892" width="9.1640625" style="711"/>
    <col min="15893" max="15893" width="12.1640625" style="711" customWidth="1"/>
    <col min="15894" max="15896" width="9.1640625" style="711"/>
    <col min="15897" max="15897" width="12.5" style="711" customWidth="1"/>
    <col min="15898" max="16129" width="9.1640625" style="711"/>
    <col min="16130" max="16130" width="50.5" style="711" customWidth="1"/>
    <col min="16131" max="16133" width="12.5" style="711" customWidth="1"/>
    <col min="16134" max="16140" width="10.5" style="711" customWidth="1"/>
    <col min="16141" max="16141" width="8.5" style="711" customWidth="1"/>
    <col min="16142" max="16142" width="14.5" style="711" customWidth="1"/>
    <col min="16143" max="16143" width="6.5" style="711" customWidth="1"/>
    <col min="16144" max="16144" width="15.5" style="711" customWidth="1"/>
    <col min="16145" max="16145" width="18.1640625" style="711" customWidth="1"/>
    <col min="16146" max="16146" width="11.83203125" style="711" customWidth="1"/>
    <col min="16147" max="16148" width="9.1640625" style="711"/>
    <col min="16149" max="16149" width="12.1640625" style="711" customWidth="1"/>
    <col min="16150" max="16152" width="9.1640625" style="711"/>
    <col min="16153" max="16153" width="12.5" style="711" customWidth="1"/>
    <col min="16154" max="16384" width="9.1640625" style="711"/>
  </cols>
  <sheetData>
    <row r="1" spans="1:24" ht="24" customHeight="1">
      <c r="A1" s="712" t="s">
        <v>998</v>
      </c>
      <c r="B1" s="713"/>
      <c r="C1" s="713"/>
      <c r="D1" s="713"/>
      <c r="E1" s="713"/>
      <c r="F1" s="713"/>
      <c r="G1" s="713"/>
      <c r="H1" s="713"/>
      <c r="I1" s="713"/>
      <c r="J1" s="713"/>
      <c r="K1" s="713"/>
      <c r="L1" s="713"/>
      <c r="M1" s="713"/>
      <c r="N1" s="713"/>
      <c r="O1" s="713"/>
      <c r="P1" s="713"/>
      <c r="Q1" s="713"/>
      <c r="R1" s="713"/>
      <c r="S1" s="713"/>
      <c r="T1" s="713"/>
      <c r="U1" s="713"/>
      <c r="V1" s="714"/>
      <c r="W1" s="714"/>
      <c r="X1" s="714"/>
    </row>
    <row r="2" spans="1:24" ht="15.75" customHeight="1">
      <c r="A2" s="713"/>
      <c r="B2" s="713"/>
      <c r="C2" s="713"/>
      <c r="D2" s="713"/>
      <c r="E2" s="713"/>
      <c r="F2" s="713"/>
      <c r="G2" s="713"/>
      <c r="H2" s="713"/>
      <c r="I2" s="713"/>
      <c r="J2" s="713"/>
      <c r="K2" s="713"/>
      <c r="L2" s="713"/>
      <c r="M2" s="713"/>
      <c r="N2" s="713"/>
      <c r="O2" s="713"/>
      <c r="P2" s="713"/>
      <c r="Q2" s="713"/>
      <c r="R2" s="713"/>
      <c r="S2" s="713"/>
      <c r="T2" s="713"/>
      <c r="U2" s="713"/>
      <c r="V2" s="714"/>
      <c r="W2" s="714"/>
      <c r="X2" s="714"/>
    </row>
    <row r="3" spans="1:24" ht="21.75" customHeight="1">
      <c r="A3" s="3253" t="s">
        <v>1</v>
      </c>
      <c r="B3" s="3254" t="s">
        <v>68</v>
      </c>
      <c r="C3" s="3254" t="s">
        <v>77</v>
      </c>
      <c r="D3" s="3254" t="s">
        <v>78</v>
      </c>
      <c r="E3" s="3254" t="s">
        <v>79</v>
      </c>
      <c r="F3" s="3254" t="s">
        <v>6</v>
      </c>
      <c r="G3" s="3254" t="s">
        <v>999</v>
      </c>
      <c r="H3" s="3254" t="s">
        <v>977</v>
      </c>
      <c r="I3" s="3254" t="s">
        <v>978</v>
      </c>
      <c r="J3" s="3254" t="s">
        <v>1000</v>
      </c>
      <c r="K3" s="3254"/>
      <c r="L3" s="3254" t="s">
        <v>213</v>
      </c>
      <c r="M3" s="3254" t="s">
        <v>80</v>
      </c>
      <c r="N3" s="3254" t="s">
        <v>81</v>
      </c>
      <c r="O3" s="3254" t="s">
        <v>82</v>
      </c>
      <c r="P3" s="3255" t="s">
        <v>83</v>
      </c>
      <c r="Q3" s="713"/>
      <c r="R3" s="713"/>
      <c r="S3" s="713"/>
      <c r="T3" s="713"/>
      <c r="U3" s="713"/>
      <c r="V3" s="714"/>
      <c r="W3" s="714"/>
      <c r="X3" s="714"/>
    </row>
    <row r="4" spans="1:24" ht="21.75" customHeight="1">
      <c r="A4" s="3253"/>
      <c r="B4" s="3254"/>
      <c r="C4" s="3254"/>
      <c r="D4" s="3254"/>
      <c r="E4" s="3254"/>
      <c r="F4" s="3254"/>
      <c r="G4" s="3254"/>
      <c r="H4" s="3254"/>
      <c r="I4" s="3254"/>
      <c r="J4" s="715" t="s">
        <v>1001</v>
      </c>
      <c r="K4" s="715" t="s">
        <v>1002</v>
      </c>
      <c r="L4" s="3254"/>
      <c r="M4" s="3254"/>
      <c r="N4" s="3254"/>
      <c r="O4" s="3254"/>
      <c r="P4" s="3255"/>
      <c r="Q4" s="713"/>
      <c r="R4" s="713"/>
      <c r="S4" s="713"/>
      <c r="T4" s="713"/>
      <c r="U4" s="713"/>
      <c r="V4" s="714"/>
      <c r="W4" s="714"/>
      <c r="X4" s="714"/>
    </row>
    <row r="5" spans="1:24" ht="7.5" customHeight="1">
      <c r="A5" s="713"/>
      <c r="B5" s="713"/>
      <c r="C5" s="713"/>
      <c r="D5" s="713"/>
      <c r="E5" s="713"/>
      <c r="F5" s="713"/>
      <c r="G5" s="713"/>
      <c r="H5" s="713"/>
      <c r="I5" s="713"/>
      <c r="J5" s="713"/>
      <c r="K5" s="713"/>
      <c r="L5" s="713"/>
      <c r="M5" s="713"/>
      <c r="N5" s="713"/>
      <c r="O5" s="713"/>
      <c r="P5" s="716"/>
      <c r="Q5" s="713"/>
      <c r="R5" s="713"/>
      <c r="S5" s="713"/>
      <c r="T5" s="713"/>
      <c r="U5" s="713"/>
      <c r="V5" s="714"/>
      <c r="W5" s="714"/>
      <c r="X5" s="714"/>
    </row>
    <row r="6" spans="1:24" ht="7.5" customHeight="1">
      <c r="A6" s="717"/>
      <c r="B6" s="718"/>
      <c r="C6" s="718"/>
      <c r="D6" s="718"/>
      <c r="E6" s="718"/>
      <c r="F6" s="718"/>
      <c r="G6" s="718"/>
      <c r="H6" s="718"/>
      <c r="I6" s="718"/>
      <c r="J6" s="718"/>
      <c r="K6" s="718"/>
      <c r="L6" s="718"/>
      <c r="M6" s="718"/>
      <c r="N6" s="718"/>
      <c r="O6" s="718"/>
      <c r="P6" s="719"/>
      <c r="Q6" s="713"/>
      <c r="R6" s="713"/>
      <c r="S6" s="713"/>
      <c r="T6" s="713"/>
      <c r="U6" s="713"/>
      <c r="V6" s="714"/>
      <c r="W6" s="714"/>
      <c r="X6" s="714"/>
    </row>
    <row r="7" spans="1:24" ht="15.75" customHeight="1">
      <c r="A7" s="396" t="s">
        <v>1123</v>
      </c>
      <c r="B7" s="720" t="s">
        <v>513</v>
      </c>
      <c r="C7" s="392"/>
      <c r="D7" s="392"/>
      <c r="E7" s="392"/>
      <c r="F7" s="392"/>
      <c r="G7" s="392"/>
      <c r="H7" s="392"/>
      <c r="I7" s="392"/>
      <c r="J7" s="392"/>
      <c r="K7" s="392"/>
      <c r="L7" s="392"/>
      <c r="M7" s="392"/>
      <c r="N7" s="392"/>
      <c r="O7" s="393"/>
      <c r="P7" s="721"/>
      <c r="Q7" s="713"/>
      <c r="R7" s="713"/>
      <c r="S7" s="713"/>
      <c r="T7" s="713"/>
      <c r="U7" s="713"/>
      <c r="V7" s="714"/>
      <c r="W7" s="714"/>
      <c r="X7" s="714"/>
    </row>
    <row r="8" spans="1:24" ht="15.75" customHeight="1">
      <c r="A8" s="394">
        <v>1</v>
      </c>
      <c r="B8" s="389" t="s">
        <v>514</v>
      </c>
      <c r="C8" s="392"/>
      <c r="D8" s="392"/>
      <c r="E8" s="392"/>
      <c r="F8" s="392"/>
      <c r="G8" s="392"/>
      <c r="H8" s="392"/>
      <c r="I8" s="392"/>
      <c r="J8" s="392"/>
      <c r="K8" s="392"/>
      <c r="L8" s="392"/>
      <c r="M8" s="392"/>
      <c r="N8" s="392"/>
      <c r="O8" s="393"/>
      <c r="P8" s="722"/>
      <c r="Q8" s="713"/>
      <c r="R8" s="392"/>
      <c r="S8" s="713"/>
      <c r="T8" s="713"/>
      <c r="U8" s="713"/>
      <c r="V8" s="714"/>
      <c r="W8" s="714"/>
      <c r="X8" s="714"/>
    </row>
    <row r="9" spans="1:24" ht="15.75" customHeight="1">
      <c r="A9" s="723" t="s">
        <v>95</v>
      </c>
      <c r="B9" s="389" t="s">
        <v>1124</v>
      </c>
      <c r="C9" s="392">
        <v>10</v>
      </c>
      <c r="D9" s="392">
        <v>10</v>
      </c>
      <c r="E9" s="392">
        <v>0.2</v>
      </c>
      <c r="F9" s="392"/>
      <c r="G9" s="392"/>
      <c r="H9" s="392"/>
      <c r="I9" s="392"/>
      <c r="J9" s="392"/>
      <c r="K9" s="392"/>
      <c r="L9" s="392"/>
      <c r="M9" s="392"/>
      <c r="N9" s="392">
        <f>C9*D9*E9</f>
        <v>20</v>
      </c>
      <c r="O9" s="393"/>
      <c r="P9" s="722"/>
      <c r="Q9" s="713"/>
      <c r="R9" s="392"/>
      <c r="S9" s="713"/>
      <c r="T9" s="713"/>
      <c r="U9" s="713"/>
      <c r="V9" s="714"/>
      <c r="W9" s="714"/>
      <c r="X9" s="714"/>
    </row>
    <row r="10" spans="1:24" ht="15.75" customHeight="1">
      <c r="A10" s="723" t="s">
        <v>98</v>
      </c>
      <c r="B10" s="389" t="s">
        <v>1125</v>
      </c>
      <c r="C10" s="392">
        <v>5</v>
      </c>
      <c r="D10" s="392">
        <v>10</v>
      </c>
      <c r="E10" s="392">
        <v>0.2</v>
      </c>
      <c r="F10" s="392"/>
      <c r="G10" s="392"/>
      <c r="H10" s="392"/>
      <c r="I10" s="392"/>
      <c r="J10" s="392"/>
      <c r="K10" s="392"/>
      <c r="L10" s="392"/>
      <c r="M10" s="392"/>
      <c r="N10" s="724">
        <f>C10*D10*E10</f>
        <v>10</v>
      </c>
      <c r="O10" s="393"/>
      <c r="P10" s="725"/>
      <c r="Q10" s="713"/>
      <c r="R10" s="392"/>
      <c r="S10" s="713"/>
      <c r="T10" s="713"/>
      <c r="U10" s="713"/>
      <c r="V10" s="714"/>
      <c r="W10" s="714"/>
      <c r="X10" s="714"/>
    </row>
    <row r="11" spans="1:24" ht="15.75" customHeight="1">
      <c r="A11" s="723"/>
      <c r="B11" s="389"/>
      <c r="C11" s="392"/>
      <c r="D11" s="392"/>
      <c r="E11" s="392"/>
      <c r="F11" s="392"/>
      <c r="G11" s="392"/>
      <c r="H11" s="392"/>
      <c r="I11" s="392"/>
      <c r="J11" s="392"/>
      <c r="K11" s="392"/>
      <c r="L11" s="392"/>
      <c r="M11" s="392"/>
      <c r="N11" s="726">
        <f>SUM(N9:N10)</f>
        <v>30</v>
      </c>
      <c r="O11" s="393" t="s">
        <v>103</v>
      </c>
      <c r="P11" s="725">
        <f>ROUND((N11),2)</f>
        <v>30</v>
      </c>
      <c r="Q11" s="713"/>
      <c r="R11" s="392"/>
      <c r="S11" s="713"/>
      <c r="T11" s="713"/>
      <c r="U11" s="713"/>
      <c r="V11" s="714"/>
      <c r="W11" s="714"/>
      <c r="X11" s="714"/>
    </row>
    <row r="12" spans="1:24" ht="15.75" customHeight="1">
      <c r="A12" s="394">
        <f>A8+1</f>
        <v>2</v>
      </c>
      <c r="B12" s="389" t="s">
        <v>515</v>
      </c>
      <c r="C12" s="392"/>
      <c r="D12" s="392"/>
      <c r="E12" s="392"/>
      <c r="F12" s="392"/>
      <c r="G12" s="392"/>
      <c r="H12" s="392"/>
      <c r="I12" s="392"/>
      <c r="J12" s="392"/>
      <c r="K12" s="392"/>
      <c r="L12" s="392"/>
      <c r="M12" s="392"/>
      <c r="N12" s="392"/>
      <c r="O12" s="393"/>
      <c r="P12" s="725"/>
      <c r="Q12" s="713"/>
      <c r="R12" s="392"/>
      <c r="S12" s="713"/>
      <c r="T12" s="713"/>
      <c r="U12" s="713"/>
      <c r="V12" s="714"/>
      <c r="W12" s="714"/>
      <c r="X12" s="714"/>
    </row>
    <row r="13" spans="1:24" ht="15.75" customHeight="1">
      <c r="A13" s="723" t="s">
        <v>95</v>
      </c>
      <c r="B13" s="389" t="s">
        <v>1124</v>
      </c>
      <c r="C13" s="392"/>
      <c r="D13" s="392"/>
      <c r="E13" s="392"/>
      <c r="F13" s="392"/>
      <c r="G13" s="392"/>
      <c r="H13" s="392"/>
      <c r="I13" s="392"/>
      <c r="J13" s="392"/>
      <c r="K13" s="392"/>
      <c r="L13" s="392"/>
      <c r="M13" s="392"/>
      <c r="N13" s="392">
        <f>N9</f>
        <v>20</v>
      </c>
      <c r="O13" s="393"/>
      <c r="P13" s="725"/>
      <c r="Q13" s="713"/>
      <c r="R13" s="392"/>
      <c r="S13" s="713"/>
      <c r="T13" s="713"/>
      <c r="U13" s="713"/>
      <c r="V13" s="714"/>
      <c r="W13" s="714"/>
      <c r="X13" s="714"/>
    </row>
    <row r="14" spans="1:24" ht="15.75" customHeight="1">
      <c r="A14" s="723" t="s">
        <v>98</v>
      </c>
      <c r="B14" s="389" t="s">
        <v>1125</v>
      </c>
      <c r="C14" s="392"/>
      <c r="D14" s="392"/>
      <c r="E14" s="392"/>
      <c r="F14" s="392"/>
      <c r="G14" s="392"/>
      <c r="H14" s="392"/>
      <c r="I14" s="392"/>
      <c r="J14" s="392"/>
      <c r="K14" s="392"/>
      <c r="L14" s="392"/>
      <c r="M14" s="392"/>
      <c r="N14" s="724">
        <f>N10</f>
        <v>10</v>
      </c>
      <c r="O14" s="393"/>
      <c r="P14" s="725"/>
      <c r="Q14" s="713"/>
      <c r="R14" s="392"/>
      <c r="S14" s="713"/>
      <c r="T14" s="713"/>
      <c r="U14" s="713"/>
      <c r="V14" s="714"/>
      <c r="W14" s="714"/>
      <c r="X14" s="714"/>
    </row>
    <row r="15" spans="1:24" ht="15.75" customHeight="1">
      <c r="A15" s="723"/>
      <c r="B15" s="389"/>
      <c r="C15" s="392"/>
      <c r="D15" s="392"/>
      <c r="E15" s="392"/>
      <c r="F15" s="392"/>
      <c r="G15" s="392"/>
      <c r="H15" s="392"/>
      <c r="I15" s="392"/>
      <c r="J15" s="392"/>
      <c r="K15" s="392"/>
      <c r="L15" s="392"/>
      <c r="M15" s="392"/>
      <c r="N15" s="726">
        <f>SUM(N13:N14)</f>
        <v>30</v>
      </c>
      <c r="O15" s="393" t="s">
        <v>103</v>
      </c>
      <c r="P15" s="725">
        <f>ROUND((N15),2)</f>
        <v>30</v>
      </c>
      <c r="Q15" s="713"/>
      <c r="R15" s="392"/>
      <c r="S15" s="713"/>
      <c r="T15" s="713"/>
      <c r="U15" s="713"/>
      <c r="V15" s="714"/>
      <c r="W15" s="714"/>
      <c r="X15" s="714"/>
    </row>
    <row r="16" spans="1:24" ht="15.75" customHeight="1">
      <c r="A16" s="394">
        <f>A12+1</f>
        <v>3</v>
      </c>
      <c r="B16" s="389" t="s">
        <v>516</v>
      </c>
      <c r="C16" s="392"/>
      <c r="D16" s="392"/>
      <c r="E16" s="392"/>
      <c r="F16" s="392"/>
      <c r="G16" s="392"/>
      <c r="H16" s="392"/>
      <c r="I16" s="392"/>
      <c r="J16" s="392"/>
      <c r="K16" s="392"/>
      <c r="L16" s="392"/>
      <c r="M16" s="392"/>
      <c r="N16" s="392"/>
      <c r="O16" s="393"/>
      <c r="P16" s="722"/>
      <c r="Q16" s="713"/>
      <c r="R16" s="392"/>
      <c r="S16" s="713"/>
      <c r="T16" s="713"/>
      <c r="U16" s="713"/>
      <c r="V16" s="714"/>
      <c r="W16" s="714"/>
      <c r="X16" s="714"/>
    </row>
    <row r="17" spans="1:24" ht="15.75" customHeight="1">
      <c r="A17" s="723" t="s">
        <v>95</v>
      </c>
      <c r="B17" s="389" t="s">
        <v>1124</v>
      </c>
      <c r="C17" s="392">
        <f>C9</f>
        <v>10</v>
      </c>
      <c r="D17" s="392">
        <f>D9</f>
        <v>10</v>
      </c>
      <c r="E17" s="392">
        <v>0.1</v>
      </c>
      <c r="F17" s="392"/>
      <c r="G17" s="392"/>
      <c r="H17" s="392"/>
      <c r="I17" s="392"/>
      <c r="J17" s="392"/>
      <c r="K17" s="392"/>
      <c r="L17" s="392"/>
      <c r="M17" s="392"/>
      <c r="N17" s="392">
        <f>C17*D17*E17</f>
        <v>10</v>
      </c>
      <c r="O17" s="393"/>
      <c r="P17" s="722"/>
      <c r="Q17" s="713"/>
      <c r="R17" s="392"/>
      <c r="S17" s="713"/>
      <c r="T17" s="713"/>
      <c r="U17" s="713"/>
      <c r="V17" s="714"/>
      <c r="W17" s="714"/>
      <c r="X17" s="714"/>
    </row>
    <row r="18" spans="1:24" ht="15.75" customHeight="1">
      <c r="A18" s="723" t="s">
        <v>98</v>
      </c>
      <c r="B18" s="389" t="s">
        <v>1125</v>
      </c>
      <c r="C18" s="392">
        <f>C10</f>
        <v>5</v>
      </c>
      <c r="D18" s="392">
        <f>D10</f>
        <v>10</v>
      </c>
      <c r="E18" s="392">
        <f>E17</f>
        <v>0.1</v>
      </c>
      <c r="F18" s="392"/>
      <c r="G18" s="392"/>
      <c r="H18" s="392"/>
      <c r="I18" s="392"/>
      <c r="J18" s="392"/>
      <c r="K18" s="392"/>
      <c r="L18" s="392"/>
      <c r="M18" s="392"/>
      <c r="N18" s="724">
        <f>C18*D18*E18</f>
        <v>5</v>
      </c>
      <c r="O18" s="393"/>
      <c r="P18" s="725"/>
      <c r="Q18" s="713"/>
      <c r="R18" s="392"/>
      <c r="S18" s="713"/>
      <c r="T18" s="713"/>
      <c r="U18" s="713"/>
      <c r="V18" s="714"/>
      <c r="W18" s="714"/>
      <c r="X18" s="714"/>
    </row>
    <row r="19" spans="1:24" ht="15.75" customHeight="1">
      <c r="A19" s="723"/>
      <c r="B19" s="682"/>
      <c r="C19" s="392"/>
      <c r="D19" s="392"/>
      <c r="E19" s="392"/>
      <c r="F19" s="392"/>
      <c r="G19" s="392"/>
      <c r="H19" s="392"/>
      <c r="I19" s="392"/>
      <c r="J19" s="392"/>
      <c r="K19" s="392"/>
      <c r="L19" s="392"/>
      <c r="M19" s="392"/>
      <c r="N19" s="726">
        <f>SUM(N17:N18)</f>
        <v>15</v>
      </c>
      <c r="O19" s="393" t="s">
        <v>103</v>
      </c>
      <c r="P19" s="725">
        <f>ROUND((N19),2)</f>
        <v>15</v>
      </c>
      <c r="Q19" s="713"/>
      <c r="R19" s="392"/>
      <c r="S19" s="713"/>
      <c r="T19" s="713"/>
      <c r="U19" s="713"/>
      <c r="V19" s="714"/>
      <c r="W19" s="714"/>
      <c r="X19" s="714"/>
    </row>
    <row r="20" spans="1:24" ht="15.75" customHeight="1">
      <c r="A20" s="394">
        <f>A16+1</f>
        <v>4</v>
      </c>
      <c r="B20" s="389" t="s">
        <v>517</v>
      </c>
      <c r="C20" s="392"/>
      <c r="D20" s="392"/>
      <c r="E20" s="392"/>
      <c r="F20" s="392"/>
      <c r="G20" s="392"/>
      <c r="H20" s="392"/>
      <c r="I20" s="392"/>
      <c r="J20" s="392"/>
      <c r="K20" s="392"/>
      <c r="L20" s="392"/>
      <c r="M20" s="392"/>
      <c r="N20" s="392"/>
      <c r="O20" s="393"/>
      <c r="P20" s="722"/>
      <c r="Q20" s="713"/>
      <c r="R20" s="392"/>
      <c r="S20" s="713"/>
      <c r="T20" s="713"/>
      <c r="U20" s="713"/>
      <c r="V20" s="714"/>
      <c r="W20" s="714"/>
      <c r="X20" s="714"/>
    </row>
    <row r="21" spans="1:24" ht="15.75" customHeight="1">
      <c r="A21" s="723" t="s">
        <v>95</v>
      </c>
      <c r="B21" s="389" t="s">
        <v>1124</v>
      </c>
      <c r="C21" s="392"/>
      <c r="D21" s="392"/>
      <c r="E21" s="392"/>
      <c r="F21" s="392"/>
      <c r="G21" s="392"/>
      <c r="H21" s="392"/>
      <c r="I21" s="392"/>
      <c r="J21" s="392"/>
      <c r="K21" s="392"/>
      <c r="L21" s="392"/>
      <c r="M21" s="392"/>
      <c r="N21" s="392">
        <f>N17</f>
        <v>10</v>
      </c>
      <c r="O21" s="393"/>
      <c r="P21" s="725"/>
      <c r="Q21" s="713"/>
      <c r="R21" s="392"/>
      <c r="S21" s="713"/>
      <c r="T21" s="713"/>
      <c r="U21" s="713"/>
      <c r="V21" s="714"/>
      <c r="W21" s="714"/>
      <c r="X21" s="714"/>
    </row>
    <row r="22" spans="1:24" ht="15.75" customHeight="1">
      <c r="A22" s="723" t="s">
        <v>98</v>
      </c>
      <c r="B22" s="389" t="s">
        <v>1125</v>
      </c>
      <c r="C22" s="392"/>
      <c r="D22" s="392"/>
      <c r="E22" s="392"/>
      <c r="F22" s="392"/>
      <c r="G22" s="392"/>
      <c r="H22" s="392"/>
      <c r="I22" s="392"/>
      <c r="J22" s="392"/>
      <c r="K22" s="392"/>
      <c r="L22" s="392"/>
      <c r="M22" s="392"/>
      <c r="N22" s="724">
        <f>N18</f>
        <v>5</v>
      </c>
      <c r="O22" s="393"/>
      <c r="P22" s="725"/>
      <c r="Q22" s="713"/>
      <c r="R22" s="392"/>
      <c r="S22" s="713"/>
      <c r="T22" s="713"/>
      <c r="U22" s="713"/>
      <c r="V22" s="714"/>
      <c r="W22" s="714"/>
      <c r="X22" s="714"/>
    </row>
    <row r="23" spans="1:24" ht="15.75" customHeight="1">
      <c r="A23" s="723"/>
      <c r="B23" s="389"/>
      <c r="C23" s="392"/>
      <c r="D23" s="392"/>
      <c r="E23" s="392"/>
      <c r="F23" s="392"/>
      <c r="G23" s="392"/>
      <c r="H23" s="392"/>
      <c r="I23" s="392"/>
      <c r="J23" s="392"/>
      <c r="K23" s="392"/>
      <c r="L23" s="392"/>
      <c r="M23" s="392"/>
      <c r="N23" s="726">
        <f>SUM(N21:N22)</f>
        <v>15</v>
      </c>
      <c r="O23" s="393" t="s">
        <v>103</v>
      </c>
      <c r="P23" s="725">
        <f>ROUND((N23),2)</f>
        <v>15</v>
      </c>
      <c r="Q23" s="713"/>
      <c r="R23" s="392"/>
      <c r="S23" s="713"/>
      <c r="T23" s="713"/>
      <c r="U23" s="713"/>
      <c r="V23" s="714"/>
      <c r="W23" s="714"/>
      <c r="X23" s="714"/>
    </row>
    <row r="24" spans="1:24" ht="15.75" customHeight="1">
      <c r="A24" s="394">
        <f>A20+1</f>
        <v>5</v>
      </c>
      <c r="B24" s="389" t="s">
        <v>1126</v>
      </c>
      <c r="C24" s="392"/>
      <c r="D24" s="392"/>
      <c r="E24" s="392"/>
      <c r="F24" s="392"/>
      <c r="G24" s="392"/>
      <c r="H24" s="392"/>
      <c r="I24" s="392"/>
      <c r="J24" s="392"/>
      <c r="K24" s="392"/>
      <c r="L24" s="392"/>
      <c r="M24" s="392"/>
      <c r="N24" s="726"/>
      <c r="O24" s="393"/>
      <c r="P24" s="725"/>
      <c r="Q24" s="713"/>
      <c r="R24" s="392"/>
      <c r="S24" s="713"/>
      <c r="T24" s="713"/>
      <c r="U24" s="713"/>
      <c r="V24" s="714"/>
      <c r="W24" s="714"/>
      <c r="X24" s="714"/>
    </row>
    <row r="25" spans="1:24" ht="15.75" customHeight="1">
      <c r="A25" s="723" t="s">
        <v>95</v>
      </c>
      <c r="B25" s="389" t="s">
        <v>1124</v>
      </c>
      <c r="C25" s="392">
        <f>C17</f>
        <v>10</v>
      </c>
      <c r="D25" s="392">
        <f>D17</f>
        <v>10</v>
      </c>
      <c r="E25" s="392">
        <v>0.05</v>
      </c>
      <c r="F25" s="392"/>
      <c r="G25" s="392"/>
      <c r="H25" s="392"/>
      <c r="I25" s="392"/>
      <c r="J25" s="392"/>
      <c r="K25" s="392"/>
      <c r="L25" s="392"/>
      <c r="M25" s="392"/>
      <c r="N25" s="392">
        <f>C25*D25*E25</f>
        <v>5</v>
      </c>
      <c r="O25" s="393"/>
      <c r="P25" s="722"/>
      <c r="Q25" s="713"/>
      <c r="R25" s="392"/>
      <c r="S25" s="713"/>
      <c r="T25" s="713"/>
      <c r="U25" s="713"/>
      <c r="V25" s="714"/>
      <c r="W25" s="714"/>
      <c r="X25" s="714"/>
    </row>
    <row r="26" spans="1:24" ht="15.75" customHeight="1">
      <c r="A26" s="723" t="s">
        <v>98</v>
      </c>
      <c r="B26" s="389" t="s">
        <v>1125</v>
      </c>
      <c r="C26" s="392">
        <f>C18</f>
        <v>5</v>
      </c>
      <c r="D26" s="392">
        <f>D18</f>
        <v>10</v>
      </c>
      <c r="E26" s="392">
        <f>E25</f>
        <v>0.05</v>
      </c>
      <c r="F26" s="392"/>
      <c r="G26" s="392"/>
      <c r="H26" s="392"/>
      <c r="I26" s="392"/>
      <c r="J26" s="392"/>
      <c r="K26" s="392"/>
      <c r="L26" s="392"/>
      <c r="M26" s="392"/>
      <c r="N26" s="724">
        <f>C26*D26*E26</f>
        <v>2.5</v>
      </c>
      <c r="O26" s="393"/>
      <c r="P26" s="725"/>
      <c r="Q26" s="713"/>
      <c r="R26" s="392"/>
      <c r="S26" s="713"/>
      <c r="T26" s="713"/>
      <c r="U26" s="713"/>
      <c r="V26" s="714"/>
      <c r="W26" s="714"/>
      <c r="X26" s="714"/>
    </row>
    <row r="27" spans="1:24" ht="15.75" customHeight="1">
      <c r="A27" s="723"/>
      <c r="B27" s="682"/>
      <c r="C27" s="392"/>
      <c r="D27" s="392"/>
      <c r="E27" s="392"/>
      <c r="F27" s="392"/>
      <c r="G27" s="392"/>
      <c r="H27" s="392"/>
      <c r="I27" s="392"/>
      <c r="J27" s="392"/>
      <c r="K27" s="392"/>
      <c r="L27" s="392"/>
      <c r="M27" s="392"/>
      <c r="N27" s="726">
        <f>SUM(N25:N26)</f>
        <v>7.5</v>
      </c>
      <c r="O27" s="393" t="s">
        <v>103</v>
      </c>
      <c r="P27" s="725">
        <f>ROUND((N27),2)</f>
        <v>7.5</v>
      </c>
      <c r="Q27" s="713"/>
      <c r="R27" s="392"/>
      <c r="S27" s="713"/>
      <c r="T27" s="713"/>
      <c r="U27" s="713"/>
      <c r="V27" s="714"/>
      <c r="W27" s="714"/>
      <c r="X27" s="714"/>
    </row>
    <row r="28" spans="1:24" ht="15.75" customHeight="1">
      <c r="A28" s="394">
        <f>A24+1</f>
        <v>6</v>
      </c>
      <c r="B28" s="389" t="s">
        <v>518</v>
      </c>
      <c r="C28" s="392"/>
      <c r="D28" s="392"/>
      <c r="E28" s="392"/>
      <c r="F28" s="392"/>
      <c r="G28" s="392"/>
      <c r="H28" s="392"/>
      <c r="I28" s="392"/>
      <c r="J28" s="392"/>
      <c r="K28" s="392"/>
      <c r="L28" s="392"/>
      <c r="M28" s="392"/>
      <c r="N28" s="392"/>
      <c r="O28" s="393"/>
      <c r="P28" s="722"/>
      <c r="Q28" s="713"/>
      <c r="R28" s="392" t="s">
        <v>1127</v>
      </c>
      <c r="S28" s="713"/>
      <c r="T28" s="713"/>
      <c r="U28" s="713"/>
      <c r="V28" s="714"/>
      <c r="W28" s="714"/>
      <c r="X28" s="714"/>
    </row>
    <row r="29" spans="1:24" ht="15.75" customHeight="1">
      <c r="A29" s="723" t="s">
        <v>95</v>
      </c>
      <c r="B29" s="389" t="s">
        <v>1124</v>
      </c>
      <c r="C29" s="392">
        <f>C17</f>
        <v>10</v>
      </c>
      <c r="D29" s="392">
        <f>D17</f>
        <v>10</v>
      </c>
      <c r="E29" s="392"/>
      <c r="F29" s="392"/>
      <c r="G29" s="392"/>
      <c r="H29" s="392"/>
      <c r="I29" s="392"/>
      <c r="J29" s="392"/>
      <c r="K29" s="392"/>
      <c r="L29" s="392"/>
      <c r="M29" s="392"/>
      <c r="N29" s="392">
        <f>C29*D29</f>
        <v>100</v>
      </c>
      <c r="O29" s="393"/>
      <c r="P29" s="722"/>
      <c r="Q29" s="713"/>
      <c r="R29" s="392" t="str">
        <f>R28</f>
        <v>5*7</v>
      </c>
      <c r="S29" s="713"/>
      <c r="T29" s="713"/>
      <c r="U29" s="713"/>
      <c r="V29" s="714"/>
      <c r="W29" s="714"/>
      <c r="X29" s="714"/>
    </row>
    <row r="30" spans="1:24" ht="15.75" customHeight="1">
      <c r="A30" s="723" t="s">
        <v>98</v>
      </c>
      <c r="B30" s="389" t="s">
        <v>1125</v>
      </c>
      <c r="C30" s="392">
        <f>C18</f>
        <v>5</v>
      </c>
      <c r="D30" s="392">
        <f>D18</f>
        <v>10</v>
      </c>
      <c r="E30" s="392"/>
      <c r="F30" s="392"/>
      <c r="G30" s="392"/>
      <c r="H30" s="392"/>
      <c r="I30" s="392"/>
      <c r="J30" s="392"/>
      <c r="K30" s="392"/>
      <c r="L30" s="392"/>
      <c r="M30" s="392"/>
      <c r="N30" s="724">
        <f>C30*D30</f>
        <v>50</v>
      </c>
      <c r="O30" s="393"/>
      <c r="P30" s="725"/>
      <c r="Q30" s="713"/>
      <c r="R30" s="392">
        <v>7</v>
      </c>
      <c r="S30" s="713"/>
      <c r="T30" s="713"/>
      <c r="U30" s="713"/>
      <c r="V30" s="714"/>
      <c r="W30" s="714"/>
      <c r="X30" s="714"/>
    </row>
    <row r="31" spans="1:24" ht="15.75" customHeight="1">
      <c r="A31" s="723"/>
      <c r="B31" s="682"/>
      <c r="C31" s="392"/>
      <c r="D31" s="392"/>
      <c r="E31" s="392"/>
      <c r="F31" s="392"/>
      <c r="G31" s="392"/>
      <c r="H31" s="392"/>
      <c r="I31" s="392"/>
      <c r="J31" s="392"/>
      <c r="K31" s="392"/>
      <c r="L31" s="392"/>
      <c r="M31" s="392"/>
      <c r="N31" s="726">
        <f>SUM(N29:N30)</f>
        <v>150</v>
      </c>
      <c r="O31" s="617" t="s">
        <v>89</v>
      </c>
      <c r="P31" s="725">
        <f>ROUND((N31),2)</f>
        <v>150</v>
      </c>
      <c r="Q31" s="713"/>
      <c r="R31" s="727"/>
      <c r="S31" s="713"/>
      <c r="T31" s="713"/>
      <c r="U31" s="713"/>
      <c r="V31" s="714"/>
      <c r="W31" s="714"/>
      <c r="X31" s="714"/>
    </row>
    <row r="32" spans="1:24" ht="15.75" customHeight="1">
      <c r="A32" s="394">
        <f>A28+1</f>
        <v>7</v>
      </c>
      <c r="B32" s="389" t="s">
        <v>519</v>
      </c>
      <c r="C32" s="392"/>
      <c r="D32" s="392"/>
      <c r="E32" s="392"/>
      <c r="F32" s="392"/>
      <c r="G32" s="392"/>
      <c r="H32" s="392"/>
      <c r="I32" s="392"/>
      <c r="J32" s="392"/>
      <c r="K32" s="392"/>
      <c r="L32" s="392"/>
      <c r="M32" s="392"/>
      <c r="N32" s="392"/>
      <c r="O32" s="393"/>
      <c r="P32" s="722"/>
      <c r="Q32" s="713"/>
      <c r="R32" s="727"/>
      <c r="S32" s="713"/>
      <c r="T32" s="713"/>
      <c r="U32" s="713"/>
      <c r="V32" s="714"/>
      <c r="W32" s="714"/>
      <c r="X32" s="714"/>
    </row>
    <row r="33" spans="1:24" ht="15.75" customHeight="1">
      <c r="A33" s="723" t="s">
        <v>95</v>
      </c>
      <c r="B33" s="389" t="s">
        <v>1124</v>
      </c>
      <c r="C33" s="392">
        <f>C25*3</f>
        <v>30</v>
      </c>
      <c r="D33" s="392"/>
      <c r="E33" s="392"/>
      <c r="F33" s="392"/>
      <c r="G33" s="392"/>
      <c r="H33" s="392"/>
      <c r="I33" s="392"/>
      <c r="J33" s="392"/>
      <c r="K33" s="392"/>
      <c r="L33" s="392"/>
      <c r="M33" s="392"/>
      <c r="N33" s="392">
        <f>C33</f>
        <v>30</v>
      </c>
      <c r="O33" s="393"/>
      <c r="P33" s="722"/>
      <c r="Q33" s="713"/>
      <c r="R33" s="727"/>
      <c r="S33" s="713"/>
      <c r="T33" s="713"/>
      <c r="U33" s="713"/>
      <c r="V33" s="714"/>
      <c r="W33" s="714"/>
      <c r="X33" s="714"/>
    </row>
    <row r="34" spans="1:24" ht="15.75" customHeight="1">
      <c r="A34" s="723" t="s">
        <v>98</v>
      </c>
      <c r="B34" s="389" t="s">
        <v>1125</v>
      </c>
      <c r="C34" s="392">
        <f>C26*2+D26</f>
        <v>20</v>
      </c>
      <c r="D34" s="392"/>
      <c r="E34" s="392"/>
      <c r="F34" s="392"/>
      <c r="G34" s="392"/>
      <c r="H34" s="392"/>
      <c r="I34" s="392"/>
      <c r="J34" s="392"/>
      <c r="K34" s="392"/>
      <c r="L34" s="392"/>
      <c r="M34" s="392"/>
      <c r="N34" s="724">
        <f>C34</f>
        <v>20</v>
      </c>
      <c r="O34" s="393"/>
      <c r="P34" s="722"/>
      <c r="Q34" s="713"/>
      <c r="R34" s="727"/>
      <c r="S34" s="713"/>
      <c r="T34" s="713"/>
      <c r="U34" s="713"/>
      <c r="V34" s="714"/>
      <c r="W34" s="714"/>
      <c r="X34" s="714"/>
    </row>
    <row r="35" spans="1:24" ht="15.75" customHeight="1">
      <c r="A35" s="723"/>
      <c r="B35" s="389"/>
      <c r="C35" s="392"/>
      <c r="D35" s="392"/>
      <c r="E35" s="392"/>
      <c r="F35" s="392"/>
      <c r="G35" s="392"/>
      <c r="H35" s="392"/>
      <c r="I35" s="392"/>
      <c r="J35" s="392"/>
      <c r="K35" s="392"/>
      <c r="L35" s="392"/>
      <c r="M35" s="392"/>
      <c r="N35" s="726">
        <f>SUM(N33:N34)</f>
        <v>50</v>
      </c>
      <c r="O35" s="393" t="s">
        <v>117</v>
      </c>
      <c r="P35" s="725">
        <f>ROUND((N35),2)</f>
        <v>50</v>
      </c>
      <c r="Q35" s="713"/>
      <c r="R35" s="727"/>
      <c r="S35" s="713"/>
      <c r="T35" s="713"/>
      <c r="U35" s="713"/>
      <c r="V35" s="714"/>
      <c r="W35" s="714"/>
      <c r="X35" s="714"/>
    </row>
    <row r="36" spans="1:24" ht="15.75" customHeight="1">
      <c r="A36" s="429"/>
      <c r="B36" s="46"/>
      <c r="C36" s="392"/>
      <c r="D36" s="392"/>
      <c r="E36" s="392"/>
      <c r="F36" s="392"/>
      <c r="G36" s="392"/>
      <c r="H36" s="392"/>
      <c r="I36" s="392"/>
      <c r="J36" s="392"/>
      <c r="K36" s="392"/>
      <c r="L36" s="392"/>
      <c r="M36" s="392"/>
      <c r="N36" s="392"/>
      <c r="O36" s="393"/>
      <c r="P36" s="722"/>
      <c r="Q36" s="713"/>
      <c r="R36" s="727"/>
      <c r="S36" s="713"/>
      <c r="T36" s="713"/>
      <c r="U36" s="713"/>
      <c r="V36" s="714"/>
      <c r="W36" s="714"/>
      <c r="X36" s="714"/>
    </row>
    <row r="37" spans="1:24" ht="7.5" customHeight="1">
      <c r="A37" s="728"/>
      <c r="B37" s="729"/>
      <c r="C37" s="730"/>
      <c r="D37" s="730"/>
      <c r="E37" s="730"/>
      <c r="F37" s="730"/>
      <c r="G37" s="730"/>
      <c r="H37" s="730"/>
      <c r="I37" s="730"/>
      <c r="J37" s="730"/>
      <c r="K37" s="730"/>
      <c r="L37" s="730"/>
      <c r="M37" s="730"/>
      <c r="N37" s="730"/>
      <c r="O37" s="731"/>
      <c r="P37" s="732"/>
      <c r="Q37" s="713"/>
      <c r="R37" s="713"/>
      <c r="S37" s="713"/>
      <c r="T37" s="713"/>
      <c r="U37" s="713"/>
      <c r="V37" s="714"/>
      <c r="W37" s="714"/>
      <c r="X37" s="714"/>
    </row>
    <row r="38" spans="1:24" ht="15.75" customHeight="1">
      <c r="A38" s="733"/>
      <c r="B38" s="713"/>
      <c r="C38" s="727"/>
      <c r="D38" s="727"/>
      <c r="E38" s="727"/>
      <c r="F38" s="727"/>
      <c r="G38" s="727"/>
      <c r="H38" s="727"/>
      <c r="I38" s="727"/>
      <c r="J38" s="727"/>
      <c r="K38" s="727"/>
      <c r="L38" s="727"/>
      <c r="M38" s="727"/>
      <c r="N38" s="727"/>
      <c r="O38" s="733"/>
      <c r="P38" s="733"/>
      <c r="Q38" s="713"/>
      <c r="R38" s="713"/>
      <c r="S38" s="713"/>
      <c r="T38" s="713"/>
      <c r="U38" s="713"/>
      <c r="V38" s="714"/>
      <c r="W38" s="714"/>
      <c r="X38" s="714"/>
    </row>
    <row r="39" spans="1:24" ht="15.75" customHeight="1">
      <c r="A39" s="733"/>
      <c r="B39" s="713"/>
      <c r="C39" s="727"/>
      <c r="D39" s="727"/>
      <c r="E39" s="727"/>
      <c r="F39" s="727"/>
      <c r="G39" s="727"/>
      <c r="H39" s="727"/>
      <c r="I39" s="727"/>
      <c r="J39" s="727"/>
      <c r="K39" s="727"/>
      <c r="L39" s="727"/>
      <c r="M39" s="727"/>
      <c r="N39" s="727"/>
      <c r="O39" s="733"/>
      <c r="P39" s="733"/>
      <c r="Q39" s="713"/>
      <c r="R39" s="713"/>
      <c r="S39" s="713"/>
      <c r="T39" s="713"/>
      <c r="U39" s="713"/>
      <c r="V39" s="714"/>
      <c r="W39" s="714"/>
      <c r="X39" s="714"/>
    </row>
    <row r="40" spans="1:24" ht="15.75" customHeight="1">
      <c r="A40" s="733"/>
      <c r="B40" s="713"/>
      <c r="C40" s="727"/>
      <c r="D40" s="727"/>
      <c r="E40" s="727"/>
      <c r="F40" s="727"/>
      <c r="G40" s="727"/>
      <c r="H40" s="727"/>
      <c r="I40" s="727"/>
      <c r="J40" s="727"/>
      <c r="K40" s="727"/>
      <c r="L40" s="727"/>
      <c r="M40" s="727"/>
      <c r="N40" s="727"/>
      <c r="O40" s="733"/>
      <c r="P40" s="733"/>
      <c r="Q40" s="713"/>
      <c r="R40" s="713"/>
      <c r="S40" s="713"/>
      <c r="T40" s="713"/>
      <c r="U40" s="713"/>
      <c r="V40" s="714"/>
      <c r="W40" s="714"/>
      <c r="X40" s="714"/>
    </row>
    <row r="41" spans="1:24" ht="15.75" customHeight="1">
      <c r="A41" s="733"/>
      <c r="B41" s="713"/>
      <c r="C41" s="727"/>
      <c r="D41" s="727"/>
      <c r="E41" s="727"/>
      <c r="F41" s="727"/>
      <c r="G41" s="727"/>
      <c r="H41" s="727"/>
      <c r="I41" s="727"/>
      <c r="J41" s="727"/>
      <c r="K41" s="727"/>
      <c r="L41" s="727"/>
      <c r="M41" s="727"/>
      <c r="N41" s="727"/>
      <c r="O41" s="733"/>
      <c r="P41" s="733"/>
      <c r="Q41" s="713"/>
      <c r="R41" s="713"/>
      <c r="S41" s="713"/>
      <c r="T41" s="713"/>
      <c r="U41" s="713"/>
      <c r="V41" s="714"/>
      <c r="W41" s="714"/>
      <c r="X41" s="714"/>
    </row>
    <row r="42" spans="1:24" ht="15.75" customHeight="1">
      <c r="A42" s="713"/>
      <c r="B42" s="713"/>
      <c r="C42" s="727"/>
      <c r="D42" s="727"/>
      <c r="E42" s="727"/>
      <c r="F42" s="727"/>
      <c r="G42" s="727"/>
      <c r="H42" s="727"/>
      <c r="I42" s="727"/>
      <c r="J42" s="727"/>
      <c r="K42" s="727"/>
      <c r="L42" s="727"/>
      <c r="M42" s="727"/>
      <c r="N42" s="727"/>
      <c r="O42" s="733"/>
      <c r="P42" s="733"/>
      <c r="Q42" s="713"/>
      <c r="R42" s="713"/>
      <c r="S42" s="713"/>
      <c r="T42" s="713"/>
      <c r="U42" s="713"/>
      <c r="V42" s="714"/>
      <c r="W42" s="714"/>
      <c r="X42" s="714"/>
    </row>
    <row r="43" spans="1:24" ht="15.75" customHeight="1">
      <c r="A43" s="713"/>
      <c r="B43" s="713"/>
      <c r="C43" s="727"/>
      <c r="D43" s="727"/>
      <c r="E43" s="727"/>
      <c r="F43" s="727"/>
      <c r="G43" s="727"/>
      <c r="H43" s="727"/>
      <c r="I43" s="727"/>
      <c r="J43" s="727"/>
      <c r="K43" s="727"/>
      <c r="L43" s="727"/>
      <c r="M43" s="727"/>
      <c r="N43" s="727"/>
      <c r="O43" s="733"/>
      <c r="P43" s="733"/>
      <c r="Q43" s="713"/>
      <c r="R43" s="713"/>
      <c r="S43" s="713"/>
      <c r="T43" s="713"/>
      <c r="U43" s="713"/>
      <c r="V43" s="714"/>
      <c r="W43" s="714"/>
      <c r="X43" s="714"/>
    </row>
    <row r="44" spans="1:24" ht="15.75" customHeight="1">
      <c r="A44" s="713"/>
      <c r="B44" s="713"/>
      <c r="C44" s="727"/>
      <c r="D44" s="727"/>
      <c r="E44" s="727"/>
      <c r="F44" s="727"/>
      <c r="G44" s="727"/>
      <c r="H44" s="727"/>
      <c r="I44" s="727"/>
      <c r="J44" s="727"/>
      <c r="K44" s="727"/>
      <c r="L44" s="727"/>
      <c r="M44" s="727"/>
      <c r="N44" s="727"/>
      <c r="O44" s="733"/>
      <c r="P44" s="733"/>
      <c r="Q44" s="713"/>
      <c r="R44" s="713"/>
      <c r="S44" s="713"/>
      <c r="T44" s="713"/>
      <c r="U44" s="713"/>
      <c r="V44" s="714"/>
      <c r="W44" s="714"/>
      <c r="X44" s="714"/>
    </row>
    <row r="45" spans="1:24" ht="15.75" customHeight="1">
      <c r="A45" s="713"/>
      <c r="B45" s="713"/>
      <c r="C45" s="727"/>
      <c r="D45" s="727"/>
      <c r="E45" s="727"/>
      <c r="F45" s="727"/>
      <c r="G45" s="727"/>
      <c r="H45" s="727"/>
      <c r="I45" s="727"/>
      <c r="J45" s="727"/>
      <c r="K45" s="727"/>
      <c r="L45" s="727"/>
      <c r="M45" s="727"/>
      <c r="N45" s="727"/>
      <c r="O45" s="733"/>
      <c r="P45" s="733"/>
      <c r="Q45" s="713"/>
      <c r="R45" s="713"/>
      <c r="S45" s="713"/>
      <c r="T45" s="713"/>
      <c r="U45" s="713"/>
      <c r="V45" s="714"/>
      <c r="W45" s="714"/>
      <c r="X45" s="714"/>
    </row>
    <row r="46" spans="1:24" ht="15.75" customHeight="1">
      <c r="A46" s="713"/>
      <c r="B46" s="713"/>
      <c r="C46" s="727"/>
      <c r="D46" s="727"/>
      <c r="E46" s="727"/>
      <c r="F46" s="727"/>
      <c r="G46" s="727"/>
      <c r="H46" s="727"/>
      <c r="I46" s="727"/>
      <c r="J46" s="727"/>
      <c r="K46" s="727"/>
      <c r="L46" s="727"/>
      <c r="M46" s="727"/>
      <c r="N46" s="727"/>
      <c r="O46" s="733"/>
      <c r="P46" s="733"/>
      <c r="Q46" s="713"/>
      <c r="R46" s="713"/>
      <c r="S46" s="713"/>
      <c r="T46" s="713"/>
      <c r="U46" s="713"/>
      <c r="V46" s="714"/>
      <c r="W46" s="714"/>
      <c r="X46" s="714"/>
    </row>
    <row r="47" spans="1:24" ht="15.75" customHeight="1">
      <c r="A47" s="713"/>
      <c r="B47" s="713"/>
      <c r="C47" s="727"/>
      <c r="D47" s="727"/>
      <c r="E47" s="727"/>
      <c r="F47" s="727"/>
      <c r="G47" s="727"/>
      <c r="H47" s="727"/>
      <c r="I47" s="727"/>
      <c r="J47" s="727"/>
      <c r="K47" s="727"/>
      <c r="L47" s="727"/>
      <c r="M47" s="727"/>
      <c r="N47" s="727"/>
      <c r="O47" s="733"/>
      <c r="P47" s="733"/>
      <c r="Q47" s="713"/>
      <c r="R47" s="713"/>
      <c r="S47" s="713"/>
      <c r="T47" s="713"/>
      <c r="U47" s="713"/>
      <c r="V47" s="714"/>
      <c r="W47" s="714"/>
      <c r="X47" s="714"/>
    </row>
    <row r="48" spans="1:24" ht="15.75" customHeight="1">
      <c r="A48" s="713"/>
      <c r="B48" s="713"/>
      <c r="C48" s="727"/>
      <c r="D48" s="727"/>
      <c r="E48" s="727"/>
      <c r="F48" s="727"/>
      <c r="G48" s="727"/>
      <c r="H48" s="727"/>
      <c r="I48" s="727"/>
      <c r="J48" s="727"/>
      <c r="K48" s="727"/>
      <c r="L48" s="727"/>
      <c r="M48" s="727"/>
      <c r="N48" s="727"/>
      <c r="O48" s="733"/>
      <c r="P48" s="733"/>
      <c r="Q48" s="713"/>
      <c r="R48" s="713"/>
      <c r="S48" s="713"/>
      <c r="T48" s="713"/>
      <c r="U48" s="713"/>
      <c r="V48" s="714"/>
      <c r="W48" s="714"/>
      <c r="X48" s="714"/>
    </row>
    <row r="49" spans="1:24" ht="15.75" customHeight="1">
      <c r="A49" s="713"/>
      <c r="B49" s="713"/>
      <c r="C49" s="727"/>
      <c r="D49" s="727"/>
      <c r="E49" s="727"/>
      <c r="F49" s="727"/>
      <c r="G49" s="727"/>
      <c r="H49" s="727"/>
      <c r="I49" s="727"/>
      <c r="J49" s="727"/>
      <c r="K49" s="727"/>
      <c r="L49" s="727"/>
      <c r="M49" s="727"/>
      <c r="N49" s="727"/>
      <c r="O49" s="733"/>
      <c r="P49" s="733"/>
      <c r="Q49" s="713"/>
      <c r="R49" s="713"/>
      <c r="S49" s="713"/>
      <c r="T49" s="713"/>
      <c r="U49" s="713"/>
      <c r="V49" s="714"/>
      <c r="W49" s="714"/>
      <c r="X49" s="714"/>
    </row>
    <row r="50" spans="1:24" ht="15.75" customHeight="1">
      <c r="A50" s="713"/>
      <c r="B50" s="713"/>
      <c r="C50" s="727"/>
      <c r="D50" s="727"/>
      <c r="E50" s="727"/>
      <c r="F50" s="727"/>
      <c r="G50" s="727"/>
      <c r="H50" s="727"/>
      <c r="I50" s="727"/>
      <c r="J50" s="727"/>
      <c r="K50" s="727"/>
      <c r="L50" s="727"/>
      <c r="M50" s="727"/>
      <c r="N50" s="727"/>
      <c r="O50" s="733"/>
      <c r="P50" s="733"/>
      <c r="Q50" s="713"/>
      <c r="R50" s="713"/>
      <c r="S50" s="713"/>
      <c r="T50" s="713"/>
      <c r="U50" s="713"/>
      <c r="V50" s="714"/>
      <c r="W50" s="714"/>
      <c r="X50" s="714"/>
    </row>
    <row r="51" spans="1:24" ht="15.75" customHeight="1">
      <c r="A51" s="713"/>
      <c r="B51" s="713"/>
      <c r="C51" s="727"/>
      <c r="D51" s="727"/>
      <c r="E51" s="727"/>
      <c r="F51" s="727"/>
      <c r="G51" s="727"/>
      <c r="H51" s="727"/>
      <c r="I51" s="727"/>
      <c r="J51" s="727"/>
      <c r="K51" s="727"/>
      <c r="L51" s="727"/>
      <c r="M51" s="727"/>
      <c r="N51" s="727"/>
      <c r="O51" s="733"/>
      <c r="P51" s="733"/>
      <c r="Q51" s="713"/>
      <c r="R51" s="713"/>
      <c r="S51" s="713"/>
      <c r="T51" s="713"/>
      <c r="U51" s="713"/>
      <c r="V51" s="714"/>
      <c r="W51" s="714"/>
      <c r="X51" s="714"/>
    </row>
    <row r="52" spans="1:24" ht="15.75" customHeight="1">
      <c r="A52" s="713"/>
      <c r="B52" s="713"/>
      <c r="C52" s="727"/>
      <c r="D52" s="727"/>
      <c r="E52" s="727"/>
      <c r="F52" s="727"/>
      <c r="G52" s="727"/>
      <c r="H52" s="727"/>
      <c r="I52" s="727"/>
      <c r="J52" s="727"/>
      <c r="K52" s="727"/>
      <c r="L52" s="727"/>
      <c r="M52" s="727"/>
      <c r="N52" s="727"/>
      <c r="O52" s="733"/>
      <c r="P52" s="733"/>
      <c r="Q52" s="713"/>
      <c r="R52" s="713"/>
      <c r="S52" s="713"/>
      <c r="T52" s="713"/>
      <c r="U52" s="713"/>
      <c r="V52" s="714"/>
      <c r="W52" s="714"/>
      <c r="X52" s="714"/>
    </row>
    <row r="53" spans="1:24" ht="15.75" customHeight="1">
      <c r="A53" s="713"/>
      <c r="B53" s="713"/>
      <c r="C53" s="727"/>
      <c r="D53" s="727"/>
      <c r="E53" s="727"/>
      <c r="F53" s="727"/>
      <c r="G53" s="727"/>
      <c r="H53" s="727"/>
      <c r="I53" s="727"/>
      <c r="J53" s="727"/>
      <c r="K53" s="727"/>
      <c r="L53" s="727"/>
      <c r="M53" s="727"/>
      <c r="N53" s="727"/>
      <c r="O53" s="733"/>
      <c r="P53" s="733"/>
      <c r="Q53" s="713"/>
      <c r="R53" s="713"/>
      <c r="S53" s="713"/>
      <c r="T53" s="713"/>
      <c r="U53" s="713"/>
      <c r="V53" s="714"/>
      <c r="W53" s="714"/>
      <c r="X53" s="714"/>
    </row>
    <row r="54" spans="1:24" ht="15.75" customHeight="1">
      <c r="A54" s="713"/>
      <c r="B54" s="713"/>
      <c r="C54" s="727"/>
      <c r="D54" s="727"/>
      <c r="E54" s="727"/>
      <c r="F54" s="727"/>
      <c r="G54" s="727"/>
      <c r="H54" s="727"/>
      <c r="I54" s="727"/>
      <c r="J54" s="727"/>
      <c r="K54" s="727"/>
      <c r="L54" s="727"/>
      <c r="M54" s="727"/>
      <c r="N54" s="727"/>
      <c r="O54" s="733"/>
      <c r="P54" s="733"/>
      <c r="Q54" s="713"/>
      <c r="R54" s="713"/>
      <c r="S54" s="713"/>
      <c r="T54" s="713"/>
      <c r="U54" s="713"/>
      <c r="V54" s="714"/>
      <c r="W54" s="714"/>
      <c r="X54" s="714"/>
    </row>
    <row r="55" spans="1:24" ht="15.75" customHeight="1">
      <c r="A55" s="713"/>
      <c r="B55" s="713"/>
      <c r="C55" s="727"/>
      <c r="D55" s="727"/>
      <c r="E55" s="727"/>
      <c r="F55" s="727"/>
      <c r="G55" s="727"/>
      <c r="H55" s="727"/>
      <c r="I55" s="727"/>
      <c r="J55" s="727"/>
      <c r="K55" s="727"/>
      <c r="L55" s="727"/>
      <c r="M55" s="727"/>
      <c r="N55" s="727"/>
      <c r="O55" s="733"/>
      <c r="P55" s="733"/>
      <c r="Q55" s="713"/>
      <c r="R55" s="713"/>
      <c r="S55" s="713"/>
      <c r="T55" s="713"/>
      <c r="U55" s="713"/>
      <c r="V55" s="714"/>
      <c r="W55" s="714"/>
      <c r="X55" s="714"/>
    </row>
    <row r="56" spans="1:24" ht="15.75" customHeight="1">
      <c r="A56" s="713"/>
      <c r="B56" s="713"/>
      <c r="C56" s="727"/>
      <c r="D56" s="727"/>
      <c r="E56" s="727"/>
      <c r="F56" s="727"/>
      <c r="G56" s="727"/>
      <c r="H56" s="727"/>
      <c r="I56" s="727"/>
      <c r="J56" s="727"/>
      <c r="K56" s="727"/>
      <c r="L56" s="727"/>
      <c r="M56" s="727"/>
      <c r="N56" s="727"/>
      <c r="O56" s="733"/>
      <c r="P56" s="733"/>
      <c r="Q56" s="713"/>
      <c r="R56" s="713"/>
      <c r="S56" s="713"/>
      <c r="T56" s="713"/>
      <c r="U56" s="713"/>
      <c r="V56" s="714"/>
      <c r="W56" s="714"/>
      <c r="X56" s="714"/>
    </row>
    <row r="57" spans="1:24" ht="15.75" customHeight="1">
      <c r="A57" s="713"/>
      <c r="B57" s="713"/>
      <c r="C57" s="727"/>
      <c r="D57" s="727"/>
      <c r="E57" s="727"/>
      <c r="F57" s="727"/>
      <c r="G57" s="727"/>
      <c r="H57" s="727"/>
      <c r="I57" s="727"/>
      <c r="J57" s="727"/>
      <c r="K57" s="727"/>
      <c r="L57" s="727"/>
      <c r="M57" s="727"/>
      <c r="N57" s="727"/>
      <c r="O57" s="733"/>
      <c r="P57" s="733"/>
      <c r="Q57" s="713"/>
      <c r="R57" s="713"/>
      <c r="S57" s="713"/>
      <c r="T57" s="713"/>
      <c r="U57" s="713"/>
      <c r="V57" s="714"/>
      <c r="W57" s="714"/>
      <c r="X57" s="714"/>
    </row>
    <row r="58" spans="1:24" ht="15.75" customHeight="1">
      <c r="A58" s="713"/>
      <c r="B58" s="713"/>
      <c r="C58" s="727"/>
      <c r="D58" s="727"/>
      <c r="E58" s="727"/>
      <c r="F58" s="727"/>
      <c r="G58" s="727"/>
      <c r="H58" s="727"/>
      <c r="I58" s="727"/>
      <c r="J58" s="727"/>
      <c r="K58" s="727"/>
      <c r="L58" s="727"/>
      <c r="M58" s="727"/>
      <c r="N58" s="727"/>
      <c r="O58" s="733"/>
      <c r="P58" s="733"/>
      <c r="Q58" s="713"/>
      <c r="R58" s="713"/>
      <c r="S58" s="713"/>
      <c r="T58" s="713"/>
      <c r="U58" s="713"/>
      <c r="V58" s="714"/>
      <c r="W58" s="714"/>
      <c r="X58" s="714"/>
    </row>
    <row r="59" spans="1:24" ht="15.75" customHeight="1">
      <c r="A59" s="713"/>
      <c r="B59" s="713"/>
      <c r="C59" s="727"/>
      <c r="D59" s="727"/>
      <c r="E59" s="727"/>
      <c r="F59" s="727"/>
      <c r="G59" s="727"/>
      <c r="H59" s="727"/>
      <c r="I59" s="727"/>
      <c r="J59" s="727"/>
      <c r="K59" s="727"/>
      <c r="L59" s="727"/>
      <c r="M59" s="727"/>
      <c r="N59" s="727"/>
      <c r="O59" s="733"/>
      <c r="P59" s="733"/>
      <c r="Q59" s="713"/>
      <c r="R59" s="713"/>
      <c r="S59" s="713"/>
      <c r="T59" s="713"/>
      <c r="U59" s="713"/>
      <c r="V59" s="714"/>
      <c r="W59" s="714"/>
      <c r="X59" s="714"/>
    </row>
    <row r="60" spans="1:24" ht="15.75" customHeight="1">
      <c r="A60" s="713"/>
      <c r="B60" s="713"/>
      <c r="C60" s="727"/>
      <c r="D60" s="727"/>
      <c r="E60" s="727"/>
      <c r="F60" s="727"/>
      <c r="G60" s="727"/>
      <c r="H60" s="727"/>
      <c r="I60" s="727"/>
      <c r="J60" s="727"/>
      <c r="K60" s="727"/>
      <c r="L60" s="727"/>
      <c r="M60" s="727"/>
      <c r="N60" s="727"/>
      <c r="O60" s="733"/>
      <c r="P60" s="733"/>
      <c r="Q60" s="713"/>
      <c r="R60" s="713"/>
      <c r="S60" s="713"/>
      <c r="T60" s="713"/>
      <c r="U60" s="713"/>
      <c r="V60" s="714"/>
      <c r="W60" s="714"/>
      <c r="X60" s="714"/>
    </row>
    <row r="61" spans="1:24" ht="15.75" customHeight="1">
      <c r="A61" s="713"/>
      <c r="B61" s="713"/>
      <c r="C61" s="727"/>
      <c r="D61" s="727"/>
      <c r="E61" s="727"/>
      <c r="F61" s="727"/>
      <c r="G61" s="727"/>
      <c r="H61" s="727"/>
      <c r="I61" s="727"/>
      <c r="J61" s="727"/>
      <c r="K61" s="727"/>
      <c r="L61" s="727"/>
      <c r="M61" s="727"/>
      <c r="N61" s="727"/>
      <c r="O61" s="733"/>
      <c r="P61" s="733"/>
      <c r="Q61" s="713"/>
      <c r="R61" s="713"/>
      <c r="S61" s="713"/>
      <c r="T61" s="713"/>
      <c r="U61" s="713"/>
      <c r="V61" s="714"/>
      <c r="W61" s="714"/>
      <c r="X61" s="714"/>
    </row>
    <row r="62" spans="1:24" ht="15.75" customHeight="1">
      <c r="A62" s="713"/>
      <c r="B62" s="713"/>
      <c r="C62" s="727"/>
      <c r="D62" s="727"/>
      <c r="E62" s="727"/>
      <c r="F62" s="727"/>
      <c r="G62" s="727"/>
      <c r="H62" s="727"/>
      <c r="I62" s="727"/>
      <c r="J62" s="727"/>
      <c r="K62" s="727"/>
      <c r="L62" s="727"/>
      <c r="M62" s="727"/>
      <c r="N62" s="727"/>
      <c r="O62" s="733"/>
      <c r="P62" s="733"/>
      <c r="Q62" s="713"/>
      <c r="R62" s="713"/>
      <c r="S62" s="713"/>
      <c r="T62" s="713"/>
      <c r="U62" s="713"/>
      <c r="V62" s="714"/>
      <c r="W62" s="714"/>
      <c r="X62" s="714"/>
    </row>
    <row r="63" spans="1:24" ht="15.75" customHeight="1">
      <c r="A63" s="713"/>
      <c r="B63" s="713"/>
      <c r="C63" s="727"/>
      <c r="D63" s="727"/>
      <c r="E63" s="727"/>
      <c r="F63" s="727"/>
      <c r="G63" s="727"/>
      <c r="H63" s="727"/>
      <c r="I63" s="727"/>
      <c r="J63" s="727"/>
      <c r="K63" s="727"/>
      <c r="L63" s="727"/>
      <c r="M63" s="727"/>
      <c r="N63" s="727"/>
      <c r="O63" s="733"/>
      <c r="P63" s="733"/>
      <c r="Q63" s="713"/>
      <c r="R63" s="713"/>
      <c r="S63" s="713"/>
      <c r="T63" s="713"/>
      <c r="U63" s="713"/>
      <c r="V63" s="714"/>
      <c r="W63" s="714"/>
      <c r="X63" s="714"/>
    </row>
    <row r="64" spans="1:24" ht="15.75" customHeight="1">
      <c r="A64" s="713"/>
      <c r="B64" s="713"/>
      <c r="C64" s="727"/>
      <c r="D64" s="727"/>
      <c r="E64" s="727"/>
      <c r="F64" s="727"/>
      <c r="G64" s="727"/>
      <c r="H64" s="727"/>
      <c r="I64" s="727"/>
      <c r="J64" s="727"/>
      <c r="K64" s="727"/>
      <c r="L64" s="727"/>
      <c r="M64" s="727"/>
      <c r="N64" s="727"/>
      <c r="O64" s="733"/>
      <c r="P64" s="733"/>
      <c r="Q64" s="713"/>
      <c r="R64" s="713"/>
      <c r="S64" s="713"/>
      <c r="T64" s="713"/>
      <c r="U64" s="713"/>
      <c r="V64" s="714"/>
      <c r="W64" s="714"/>
      <c r="X64" s="714"/>
    </row>
    <row r="65" spans="1:24" ht="15.75" customHeight="1">
      <c r="A65" s="713"/>
      <c r="B65" s="713"/>
      <c r="C65" s="727"/>
      <c r="D65" s="727"/>
      <c r="E65" s="727"/>
      <c r="F65" s="727"/>
      <c r="G65" s="727"/>
      <c r="H65" s="727"/>
      <c r="I65" s="727"/>
      <c r="J65" s="727"/>
      <c r="K65" s="727"/>
      <c r="L65" s="727"/>
      <c r="M65" s="727"/>
      <c r="N65" s="727"/>
      <c r="O65" s="733"/>
      <c r="P65" s="733"/>
      <c r="Q65" s="713"/>
      <c r="R65" s="713"/>
      <c r="S65" s="713"/>
      <c r="T65" s="713"/>
      <c r="U65" s="713"/>
      <c r="V65" s="714"/>
      <c r="W65" s="714"/>
      <c r="X65" s="714"/>
    </row>
    <row r="66" spans="1:24" ht="15.75" customHeight="1">
      <c r="A66" s="713"/>
      <c r="B66" s="713"/>
      <c r="C66" s="727"/>
      <c r="D66" s="727"/>
      <c r="E66" s="727"/>
      <c r="F66" s="727"/>
      <c r="G66" s="727"/>
      <c r="H66" s="727"/>
      <c r="I66" s="727"/>
      <c r="J66" s="727"/>
      <c r="K66" s="727"/>
      <c r="L66" s="727"/>
      <c r="M66" s="727"/>
      <c r="N66" s="727"/>
      <c r="O66" s="733"/>
      <c r="P66" s="733"/>
      <c r="Q66" s="713"/>
      <c r="R66" s="713"/>
      <c r="S66" s="713"/>
      <c r="T66" s="713"/>
      <c r="U66" s="713"/>
      <c r="V66" s="714"/>
      <c r="W66" s="714"/>
      <c r="X66" s="714"/>
    </row>
    <row r="67" spans="1:24" ht="15.75" customHeight="1">
      <c r="A67" s="713"/>
      <c r="B67" s="713"/>
      <c r="C67" s="727"/>
      <c r="D67" s="727"/>
      <c r="E67" s="727"/>
      <c r="F67" s="727"/>
      <c r="G67" s="727"/>
      <c r="H67" s="727"/>
      <c r="I67" s="727"/>
      <c r="J67" s="727"/>
      <c r="K67" s="727"/>
      <c r="L67" s="727"/>
      <c r="M67" s="727"/>
      <c r="N67" s="727"/>
      <c r="O67" s="733"/>
      <c r="P67" s="733"/>
      <c r="Q67" s="713"/>
      <c r="R67" s="713"/>
      <c r="S67" s="713"/>
      <c r="T67" s="713"/>
      <c r="U67" s="713"/>
      <c r="V67" s="714"/>
      <c r="W67" s="714"/>
      <c r="X67" s="714"/>
    </row>
    <row r="68" spans="1:24" ht="15.75" customHeight="1">
      <c r="A68" s="713"/>
      <c r="B68" s="713"/>
      <c r="C68" s="727"/>
      <c r="D68" s="727"/>
      <c r="E68" s="727"/>
      <c r="F68" s="727"/>
      <c r="G68" s="727"/>
      <c r="H68" s="727"/>
      <c r="I68" s="727"/>
      <c r="J68" s="727"/>
      <c r="K68" s="727"/>
      <c r="L68" s="727"/>
      <c r="M68" s="727"/>
      <c r="N68" s="727"/>
      <c r="O68" s="733"/>
      <c r="P68" s="733"/>
      <c r="Q68" s="713"/>
      <c r="R68" s="713"/>
      <c r="S68" s="713"/>
      <c r="T68" s="713"/>
      <c r="U68" s="713"/>
      <c r="V68" s="714"/>
      <c r="W68" s="714"/>
      <c r="X68" s="714"/>
    </row>
    <row r="69" spans="1:24" ht="15.75" customHeight="1">
      <c r="A69" s="713"/>
      <c r="B69" s="713"/>
      <c r="C69" s="727"/>
      <c r="D69" s="727"/>
      <c r="E69" s="727"/>
      <c r="F69" s="727"/>
      <c r="G69" s="727"/>
      <c r="H69" s="727"/>
      <c r="I69" s="727"/>
      <c r="J69" s="727"/>
      <c r="K69" s="727"/>
      <c r="L69" s="727"/>
      <c r="M69" s="727"/>
      <c r="N69" s="727"/>
      <c r="O69" s="733"/>
      <c r="P69" s="733"/>
      <c r="Q69" s="713"/>
      <c r="R69" s="713"/>
      <c r="S69" s="713"/>
      <c r="T69" s="713"/>
      <c r="U69" s="713"/>
      <c r="V69" s="714"/>
      <c r="W69" s="714"/>
      <c r="X69" s="714"/>
    </row>
    <row r="70" spans="1:24" ht="15.75" customHeight="1">
      <c r="A70" s="713"/>
      <c r="B70" s="713"/>
      <c r="C70" s="727"/>
      <c r="D70" s="727"/>
      <c r="E70" s="727"/>
      <c r="F70" s="727"/>
      <c r="G70" s="727"/>
      <c r="H70" s="727"/>
      <c r="I70" s="727"/>
      <c r="J70" s="727"/>
      <c r="K70" s="727"/>
      <c r="L70" s="727"/>
      <c r="M70" s="727"/>
      <c r="N70" s="727"/>
      <c r="O70" s="733"/>
      <c r="P70" s="733"/>
      <c r="Q70" s="713"/>
      <c r="R70" s="713"/>
      <c r="S70" s="713"/>
      <c r="T70" s="713"/>
      <c r="U70" s="713"/>
      <c r="V70" s="714"/>
      <c r="W70" s="714"/>
      <c r="X70" s="714"/>
    </row>
    <row r="71" spans="1:24" ht="15.75" customHeight="1">
      <c r="A71" s="713"/>
      <c r="B71" s="713"/>
      <c r="C71" s="727"/>
      <c r="D71" s="727"/>
      <c r="E71" s="727"/>
      <c r="F71" s="727"/>
      <c r="G71" s="727"/>
      <c r="H71" s="727"/>
      <c r="I71" s="727"/>
      <c r="J71" s="727"/>
      <c r="K71" s="727"/>
      <c r="L71" s="727"/>
      <c r="M71" s="727"/>
      <c r="N71" s="727"/>
      <c r="O71" s="733"/>
      <c r="P71" s="733"/>
      <c r="Q71" s="713"/>
      <c r="R71" s="713"/>
      <c r="S71" s="713"/>
      <c r="T71" s="713"/>
      <c r="U71" s="713"/>
      <c r="V71" s="714"/>
      <c r="W71" s="714"/>
      <c r="X71" s="714"/>
    </row>
    <row r="72" spans="1:24" ht="15.75" customHeight="1">
      <c r="A72" s="713"/>
      <c r="B72" s="713"/>
      <c r="C72" s="727"/>
      <c r="D72" s="727"/>
      <c r="E72" s="727"/>
      <c r="F72" s="727"/>
      <c r="G72" s="727"/>
      <c r="H72" s="727"/>
      <c r="I72" s="727"/>
      <c r="J72" s="727"/>
      <c r="K72" s="727"/>
      <c r="L72" s="727"/>
      <c r="M72" s="727"/>
      <c r="N72" s="727"/>
      <c r="O72" s="733"/>
      <c r="P72" s="733"/>
      <c r="Q72" s="713"/>
      <c r="R72" s="713"/>
      <c r="S72" s="713"/>
      <c r="T72" s="713"/>
      <c r="U72" s="713"/>
      <c r="V72" s="714"/>
      <c r="W72" s="714"/>
      <c r="X72" s="714"/>
    </row>
    <row r="73" spans="1:24" ht="15.75" customHeight="1">
      <c r="A73" s="713"/>
      <c r="B73" s="713"/>
      <c r="C73" s="727"/>
      <c r="D73" s="727"/>
      <c r="E73" s="727"/>
      <c r="F73" s="727"/>
      <c r="G73" s="727"/>
      <c r="H73" s="727"/>
      <c r="I73" s="727"/>
      <c r="J73" s="727"/>
      <c r="K73" s="727"/>
      <c r="L73" s="727"/>
      <c r="M73" s="727"/>
      <c r="N73" s="727"/>
      <c r="O73" s="733"/>
      <c r="P73" s="733"/>
      <c r="Q73" s="713"/>
      <c r="R73" s="713"/>
      <c r="S73" s="713"/>
      <c r="T73" s="713"/>
      <c r="U73" s="713"/>
      <c r="V73" s="714"/>
      <c r="W73" s="714"/>
      <c r="X73" s="714"/>
    </row>
    <row r="74" spans="1:24" ht="15.75" customHeight="1">
      <c r="A74" s="713"/>
      <c r="B74" s="713"/>
      <c r="C74" s="727"/>
      <c r="D74" s="727"/>
      <c r="E74" s="727"/>
      <c r="F74" s="727"/>
      <c r="G74" s="727"/>
      <c r="H74" s="727"/>
      <c r="I74" s="727"/>
      <c r="J74" s="727"/>
      <c r="K74" s="727"/>
      <c r="L74" s="727"/>
      <c r="M74" s="727"/>
      <c r="N74" s="727"/>
      <c r="O74" s="733"/>
      <c r="P74" s="733"/>
      <c r="Q74" s="713"/>
      <c r="R74" s="713"/>
      <c r="S74" s="713"/>
      <c r="T74" s="713"/>
      <c r="U74" s="713"/>
      <c r="V74" s="714"/>
      <c r="W74" s="714"/>
      <c r="X74" s="714"/>
    </row>
    <row r="75" spans="1:24" ht="15.75" customHeight="1">
      <c r="A75" s="713"/>
      <c r="B75" s="713"/>
      <c r="C75" s="727"/>
      <c r="D75" s="727"/>
      <c r="E75" s="727"/>
      <c r="F75" s="727"/>
      <c r="G75" s="727"/>
      <c r="H75" s="727"/>
      <c r="I75" s="727"/>
      <c r="J75" s="727"/>
      <c r="K75" s="727"/>
      <c r="L75" s="727"/>
      <c r="M75" s="727"/>
      <c r="N75" s="727"/>
      <c r="O75" s="733"/>
      <c r="P75" s="733"/>
      <c r="Q75" s="713"/>
      <c r="R75" s="713"/>
      <c r="S75" s="713"/>
      <c r="T75" s="713"/>
      <c r="U75" s="713"/>
      <c r="V75" s="714"/>
      <c r="W75" s="714"/>
      <c r="X75" s="714"/>
    </row>
    <row r="76" spans="1:24" ht="15.75" customHeight="1">
      <c r="A76" s="713"/>
      <c r="B76" s="713"/>
      <c r="C76" s="727"/>
      <c r="D76" s="727"/>
      <c r="E76" s="727"/>
      <c r="F76" s="727"/>
      <c r="G76" s="727"/>
      <c r="H76" s="727"/>
      <c r="I76" s="727"/>
      <c r="J76" s="727"/>
      <c r="K76" s="727"/>
      <c r="L76" s="727"/>
      <c r="M76" s="727"/>
      <c r="N76" s="727"/>
      <c r="O76" s="733"/>
      <c r="P76" s="733"/>
      <c r="Q76" s="713"/>
      <c r="R76" s="713"/>
      <c r="S76" s="713"/>
      <c r="T76" s="713"/>
      <c r="U76" s="713"/>
      <c r="V76" s="714"/>
      <c r="W76" s="714"/>
      <c r="X76" s="714"/>
    </row>
    <row r="77" spans="1:24" ht="15.75" customHeight="1">
      <c r="A77" s="713"/>
      <c r="B77" s="713"/>
      <c r="C77" s="727"/>
      <c r="D77" s="727"/>
      <c r="E77" s="727"/>
      <c r="F77" s="727"/>
      <c r="G77" s="727"/>
      <c r="H77" s="727"/>
      <c r="I77" s="727"/>
      <c r="J77" s="727"/>
      <c r="K77" s="727"/>
      <c r="L77" s="727"/>
      <c r="M77" s="727"/>
      <c r="N77" s="727"/>
      <c r="O77" s="733"/>
      <c r="P77" s="733"/>
      <c r="Q77" s="713"/>
      <c r="R77" s="713"/>
      <c r="S77" s="713"/>
      <c r="T77" s="713"/>
      <c r="U77" s="713"/>
      <c r="V77" s="714"/>
      <c r="W77" s="714"/>
      <c r="X77" s="714"/>
    </row>
    <row r="78" spans="1:24" ht="15.75" customHeight="1">
      <c r="A78" s="713"/>
      <c r="B78" s="713"/>
      <c r="C78" s="727"/>
      <c r="D78" s="727"/>
      <c r="E78" s="727"/>
      <c r="F78" s="727"/>
      <c r="G78" s="727"/>
      <c r="H78" s="727"/>
      <c r="I78" s="727"/>
      <c r="J78" s="727"/>
      <c r="K78" s="727"/>
      <c r="L78" s="727"/>
      <c r="M78" s="727"/>
      <c r="N78" s="727"/>
      <c r="O78" s="733"/>
      <c r="P78" s="733"/>
      <c r="Q78" s="713"/>
      <c r="R78" s="713"/>
      <c r="S78" s="713"/>
      <c r="T78" s="713"/>
      <c r="U78" s="713"/>
      <c r="V78" s="714"/>
      <c r="W78" s="714"/>
      <c r="X78" s="714"/>
    </row>
    <row r="79" spans="1:24" ht="15.75" customHeight="1">
      <c r="A79" s="713"/>
      <c r="B79" s="713"/>
      <c r="C79" s="727"/>
      <c r="D79" s="727"/>
      <c r="E79" s="727"/>
      <c r="F79" s="727"/>
      <c r="G79" s="727"/>
      <c r="H79" s="727"/>
      <c r="I79" s="727"/>
      <c r="J79" s="727"/>
      <c r="K79" s="727"/>
      <c r="L79" s="727"/>
      <c r="M79" s="727"/>
      <c r="N79" s="727"/>
      <c r="O79" s="733"/>
      <c r="P79" s="733"/>
      <c r="Q79" s="713"/>
      <c r="R79" s="713"/>
      <c r="S79" s="713"/>
      <c r="T79" s="713"/>
      <c r="U79" s="713"/>
      <c r="V79" s="714"/>
      <c r="W79" s="714"/>
      <c r="X79" s="714"/>
    </row>
    <row r="80" spans="1:24" ht="15.75" customHeight="1">
      <c r="A80" s="713"/>
      <c r="B80" s="713"/>
      <c r="C80" s="727"/>
      <c r="D80" s="727"/>
      <c r="E80" s="727"/>
      <c r="F80" s="727"/>
      <c r="G80" s="727"/>
      <c r="H80" s="727"/>
      <c r="I80" s="727"/>
      <c r="J80" s="727"/>
      <c r="K80" s="727"/>
      <c r="L80" s="727"/>
      <c r="M80" s="727"/>
      <c r="N80" s="727"/>
      <c r="O80" s="733"/>
      <c r="P80" s="733"/>
      <c r="Q80" s="713"/>
      <c r="R80" s="713"/>
      <c r="S80" s="713"/>
      <c r="T80" s="713"/>
      <c r="U80" s="713"/>
      <c r="V80" s="714"/>
      <c r="W80" s="714"/>
      <c r="X80" s="714"/>
    </row>
    <row r="81" spans="1:24" ht="15.75" customHeight="1">
      <c r="A81" s="713"/>
      <c r="B81" s="713"/>
      <c r="C81" s="727"/>
      <c r="D81" s="727"/>
      <c r="E81" s="727"/>
      <c r="F81" s="727"/>
      <c r="G81" s="727"/>
      <c r="H81" s="727"/>
      <c r="I81" s="727"/>
      <c r="J81" s="727"/>
      <c r="K81" s="727"/>
      <c r="L81" s="727"/>
      <c r="M81" s="727"/>
      <c r="N81" s="727"/>
      <c r="O81" s="733"/>
      <c r="P81" s="733"/>
      <c r="Q81" s="713"/>
      <c r="R81" s="713"/>
      <c r="S81" s="713"/>
      <c r="T81" s="713"/>
      <c r="U81" s="713"/>
      <c r="V81" s="714"/>
      <c r="W81" s="714"/>
      <c r="X81" s="714"/>
    </row>
    <row r="82" spans="1:24" ht="15.75" customHeight="1">
      <c r="A82" s="713"/>
      <c r="B82" s="713"/>
      <c r="C82" s="727"/>
      <c r="D82" s="727"/>
      <c r="E82" s="727"/>
      <c r="F82" s="727"/>
      <c r="G82" s="727"/>
      <c r="H82" s="727"/>
      <c r="I82" s="727"/>
      <c r="J82" s="727"/>
      <c r="K82" s="727"/>
      <c r="L82" s="727"/>
      <c r="M82" s="727"/>
      <c r="N82" s="727"/>
      <c r="O82" s="733"/>
      <c r="P82" s="733"/>
      <c r="Q82" s="713"/>
      <c r="R82" s="713"/>
      <c r="S82" s="713"/>
      <c r="T82" s="713"/>
      <c r="U82" s="713"/>
      <c r="V82" s="714"/>
      <c r="W82" s="714"/>
      <c r="X82" s="714"/>
    </row>
    <row r="83" spans="1:24" ht="15.75" customHeight="1">
      <c r="A83" s="713"/>
      <c r="B83" s="713"/>
      <c r="C83" s="727"/>
      <c r="D83" s="727"/>
      <c r="E83" s="727"/>
      <c r="F83" s="727"/>
      <c r="G83" s="727"/>
      <c r="H83" s="727"/>
      <c r="I83" s="727"/>
      <c r="J83" s="727"/>
      <c r="K83" s="727"/>
      <c r="L83" s="727"/>
      <c r="M83" s="727"/>
      <c r="N83" s="727"/>
      <c r="O83" s="733"/>
      <c r="P83" s="733"/>
      <c r="Q83" s="713"/>
      <c r="R83" s="713"/>
      <c r="S83" s="713"/>
      <c r="T83" s="713"/>
      <c r="U83" s="713"/>
      <c r="V83" s="714"/>
      <c r="W83" s="714"/>
      <c r="X83" s="714"/>
    </row>
    <row r="84" spans="1:24" ht="15.75" customHeight="1">
      <c r="A84" s="713"/>
      <c r="B84" s="713"/>
      <c r="C84" s="727"/>
      <c r="D84" s="727"/>
      <c r="E84" s="727"/>
      <c r="F84" s="727"/>
      <c r="G84" s="727"/>
      <c r="H84" s="727"/>
      <c r="I84" s="727"/>
      <c r="J84" s="727"/>
      <c r="K84" s="727"/>
      <c r="L84" s="727"/>
      <c r="M84" s="727"/>
      <c r="N84" s="727"/>
      <c r="O84" s="733"/>
      <c r="P84" s="733"/>
      <c r="Q84" s="713"/>
      <c r="R84" s="713"/>
      <c r="S84" s="713"/>
      <c r="T84" s="713"/>
      <c r="U84" s="713"/>
      <c r="V84" s="714"/>
      <c r="W84" s="714"/>
      <c r="X84" s="714"/>
    </row>
    <row r="85" spans="1:24" ht="15.75" customHeight="1">
      <c r="A85" s="713"/>
      <c r="B85" s="713"/>
      <c r="C85" s="727"/>
      <c r="D85" s="727"/>
      <c r="E85" s="727"/>
      <c r="F85" s="727"/>
      <c r="G85" s="727"/>
      <c r="H85" s="727"/>
      <c r="I85" s="727"/>
      <c r="J85" s="727"/>
      <c r="K85" s="727"/>
      <c r="L85" s="727"/>
      <c r="M85" s="727"/>
      <c r="N85" s="727"/>
      <c r="O85" s="733"/>
      <c r="P85" s="733"/>
      <c r="Q85" s="713"/>
      <c r="R85" s="713"/>
      <c r="S85" s="713"/>
      <c r="T85" s="713"/>
      <c r="U85" s="713"/>
      <c r="V85" s="714"/>
      <c r="W85" s="714"/>
      <c r="X85" s="714"/>
    </row>
    <row r="86" spans="1:24" ht="15.75" customHeight="1">
      <c r="A86" s="713"/>
      <c r="B86" s="713"/>
      <c r="C86" s="727"/>
      <c r="D86" s="727"/>
      <c r="E86" s="727"/>
      <c r="F86" s="727"/>
      <c r="G86" s="727"/>
      <c r="H86" s="727"/>
      <c r="I86" s="727"/>
      <c r="J86" s="727"/>
      <c r="K86" s="727"/>
      <c r="L86" s="727"/>
      <c r="M86" s="727"/>
      <c r="N86" s="727"/>
      <c r="O86" s="733"/>
      <c r="P86" s="733"/>
      <c r="Q86" s="713"/>
      <c r="R86" s="713"/>
      <c r="S86" s="713"/>
      <c r="T86" s="713"/>
      <c r="U86" s="713"/>
      <c r="V86" s="714"/>
      <c r="W86" s="714"/>
      <c r="X86" s="714"/>
    </row>
    <row r="87" spans="1:24" ht="15.75" customHeight="1">
      <c r="A87" s="713"/>
      <c r="B87" s="713"/>
      <c r="C87" s="727"/>
      <c r="D87" s="727"/>
      <c r="E87" s="727"/>
      <c r="F87" s="727"/>
      <c r="G87" s="727"/>
      <c r="H87" s="727"/>
      <c r="I87" s="727"/>
      <c r="J87" s="727"/>
      <c r="K87" s="727"/>
      <c r="L87" s="727"/>
      <c r="M87" s="727"/>
      <c r="N87" s="727"/>
      <c r="O87" s="733"/>
      <c r="P87" s="733"/>
      <c r="Q87" s="713"/>
      <c r="R87" s="713"/>
      <c r="S87" s="713"/>
      <c r="T87" s="713"/>
      <c r="U87" s="713"/>
      <c r="V87" s="714"/>
      <c r="W87" s="714"/>
      <c r="X87" s="714"/>
    </row>
    <row r="88" spans="1:24" ht="15.75" customHeight="1">
      <c r="A88" s="713"/>
      <c r="B88" s="713"/>
      <c r="C88" s="727"/>
      <c r="D88" s="727"/>
      <c r="E88" s="727"/>
      <c r="F88" s="727"/>
      <c r="G88" s="727"/>
      <c r="H88" s="727"/>
      <c r="I88" s="727"/>
      <c r="J88" s="727"/>
      <c r="K88" s="727"/>
      <c r="L88" s="727"/>
      <c r="M88" s="727"/>
      <c r="N88" s="727"/>
      <c r="O88" s="733"/>
      <c r="P88" s="733"/>
      <c r="Q88" s="713"/>
      <c r="R88" s="713"/>
      <c r="S88" s="713"/>
      <c r="T88" s="713"/>
      <c r="U88" s="713"/>
      <c r="V88" s="714"/>
      <c r="W88" s="714"/>
      <c r="X88" s="714"/>
    </row>
    <row r="89" spans="1:24" ht="15.75" customHeight="1">
      <c r="A89" s="713"/>
      <c r="B89" s="713"/>
      <c r="C89" s="727"/>
      <c r="D89" s="727"/>
      <c r="E89" s="727"/>
      <c r="F89" s="727"/>
      <c r="G89" s="727"/>
      <c r="H89" s="727"/>
      <c r="I89" s="727"/>
      <c r="J89" s="727"/>
      <c r="K89" s="727"/>
      <c r="L89" s="727"/>
      <c r="M89" s="727"/>
      <c r="N89" s="727"/>
      <c r="O89" s="733"/>
      <c r="P89" s="733"/>
      <c r="Q89" s="713"/>
      <c r="R89" s="713"/>
      <c r="S89" s="713"/>
      <c r="T89" s="713"/>
      <c r="U89" s="713"/>
      <c r="V89" s="714"/>
      <c r="W89" s="714"/>
      <c r="X89" s="714"/>
    </row>
    <row r="90" spans="1:24" ht="15.75" customHeight="1">
      <c r="A90" s="713"/>
      <c r="B90" s="713"/>
      <c r="C90" s="727"/>
      <c r="D90" s="727"/>
      <c r="E90" s="727"/>
      <c r="F90" s="727"/>
      <c r="G90" s="727"/>
      <c r="H90" s="727"/>
      <c r="I90" s="727"/>
      <c r="J90" s="727"/>
      <c r="K90" s="727"/>
      <c r="L90" s="727"/>
      <c r="M90" s="727"/>
      <c r="N90" s="727"/>
      <c r="O90" s="733"/>
      <c r="P90" s="733"/>
      <c r="Q90" s="713"/>
      <c r="R90" s="713"/>
      <c r="S90" s="713"/>
      <c r="T90" s="713"/>
      <c r="U90" s="713"/>
      <c r="V90" s="714"/>
      <c r="W90" s="714"/>
      <c r="X90" s="714"/>
    </row>
    <row r="91" spans="1:24" ht="15.75" customHeight="1">
      <c r="A91" s="713"/>
      <c r="B91" s="713"/>
      <c r="C91" s="727"/>
      <c r="D91" s="727"/>
      <c r="E91" s="727"/>
      <c r="F91" s="727"/>
      <c r="G91" s="727"/>
      <c r="H91" s="727"/>
      <c r="I91" s="727"/>
      <c r="J91" s="727"/>
      <c r="K91" s="727"/>
      <c r="L91" s="727"/>
      <c r="M91" s="727"/>
      <c r="N91" s="727"/>
      <c r="O91" s="733"/>
      <c r="P91" s="733"/>
      <c r="Q91" s="713"/>
      <c r="R91" s="713"/>
      <c r="S91" s="713"/>
      <c r="T91" s="713"/>
      <c r="U91" s="713"/>
      <c r="V91" s="714"/>
      <c r="W91" s="714"/>
      <c r="X91" s="714"/>
    </row>
    <row r="92" spans="1:24" ht="15.75" customHeight="1">
      <c r="A92" s="713"/>
      <c r="B92" s="713"/>
      <c r="C92" s="727"/>
      <c r="D92" s="727"/>
      <c r="E92" s="727"/>
      <c r="F92" s="727"/>
      <c r="G92" s="727"/>
      <c r="H92" s="727"/>
      <c r="I92" s="727"/>
      <c r="J92" s="727"/>
      <c r="K92" s="727"/>
      <c r="L92" s="727"/>
      <c r="M92" s="727"/>
      <c r="N92" s="727"/>
      <c r="O92" s="733"/>
      <c r="P92" s="733"/>
      <c r="Q92" s="713"/>
      <c r="R92" s="713"/>
      <c r="S92" s="713"/>
      <c r="T92" s="713"/>
      <c r="U92" s="713"/>
      <c r="V92" s="714"/>
      <c r="W92" s="714"/>
      <c r="X92" s="714"/>
    </row>
    <row r="93" spans="1:24" ht="15.75" customHeight="1">
      <c r="A93" s="713"/>
      <c r="B93" s="713"/>
      <c r="C93" s="727"/>
      <c r="D93" s="727"/>
      <c r="E93" s="727"/>
      <c r="F93" s="727"/>
      <c r="G93" s="727"/>
      <c r="H93" s="727"/>
      <c r="I93" s="727"/>
      <c r="J93" s="727"/>
      <c r="K93" s="727"/>
      <c r="L93" s="727"/>
      <c r="M93" s="727"/>
      <c r="N93" s="727"/>
      <c r="O93" s="733"/>
      <c r="P93" s="733"/>
      <c r="Q93" s="713"/>
      <c r="R93" s="713"/>
      <c r="S93" s="713"/>
      <c r="T93" s="713"/>
      <c r="U93" s="713"/>
      <c r="V93" s="714"/>
      <c r="W93" s="714"/>
      <c r="X93" s="714"/>
    </row>
    <row r="94" spans="1:24" ht="15.75" customHeight="1">
      <c r="A94" s="713"/>
      <c r="B94" s="713"/>
      <c r="C94" s="727"/>
      <c r="D94" s="727"/>
      <c r="E94" s="727"/>
      <c r="F94" s="727"/>
      <c r="G94" s="727"/>
      <c r="H94" s="727"/>
      <c r="I94" s="727"/>
      <c r="J94" s="727"/>
      <c r="K94" s="727"/>
      <c r="L94" s="727"/>
      <c r="M94" s="727"/>
      <c r="N94" s="727"/>
      <c r="O94" s="733"/>
      <c r="P94" s="733"/>
      <c r="Q94" s="713"/>
      <c r="R94" s="713"/>
      <c r="S94" s="713"/>
      <c r="T94" s="713"/>
      <c r="U94" s="713"/>
      <c r="V94" s="714"/>
      <c r="W94" s="714"/>
      <c r="X94" s="714"/>
    </row>
    <row r="95" spans="1:24" ht="15.75" customHeight="1">
      <c r="A95" s="713"/>
      <c r="B95" s="713"/>
      <c r="C95" s="727"/>
      <c r="D95" s="727"/>
      <c r="E95" s="727"/>
      <c r="F95" s="727"/>
      <c r="G95" s="727"/>
      <c r="H95" s="727"/>
      <c r="I95" s="727"/>
      <c r="J95" s="727"/>
      <c r="K95" s="727"/>
      <c r="L95" s="727"/>
      <c r="M95" s="727"/>
      <c r="N95" s="727"/>
      <c r="O95" s="733"/>
      <c r="P95" s="733"/>
      <c r="Q95" s="713"/>
      <c r="R95" s="713"/>
      <c r="S95" s="713"/>
      <c r="T95" s="713"/>
      <c r="U95" s="713"/>
      <c r="V95" s="714"/>
      <c r="W95" s="714"/>
      <c r="X95" s="714"/>
    </row>
    <row r="96" spans="1:24" ht="15.75" customHeight="1">
      <c r="A96" s="713"/>
      <c r="B96" s="713"/>
      <c r="C96" s="727"/>
      <c r="D96" s="727"/>
      <c r="E96" s="727"/>
      <c r="F96" s="727"/>
      <c r="G96" s="727"/>
      <c r="H96" s="727"/>
      <c r="I96" s="727"/>
      <c r="J96" s="727"/>
      <c r="K96" s="727"/>
      <c r="L96" s="727"/>
      <c r="M96" s="727"/>
      <c r="N96" s="727"/>
      <c r="O96" s="733"/>
      <c r="P96" s="733"/>
      <c r="Q96" s="713"/>
      <c r="R96" s="713"/>
      <c r="S96" s="713"/>
      <c r="T96" s="713"/>
      <c r="U96" s="713"/>
      <c r="V96" s="714"/>
      <c r="W96" s="714"/>
      <c r="X96" s="714"/>
    </row>
    <row r="97" spans="1:24" ht="15.75" customHeight="1">
      <c r="A97" s="713"/>
      <c r="B97" s="713"/>
      <c r="C97" s="727"/>
      <c r="D97" s="727"/>
      <c r="E97" s="727"/>
      <c r="F97" s="727"/>
      <c r="G97" s="727"/>
      <c r="H97" s="727"/>
      <c r="I97" s="727"/>
      <c r="J97" s="727"/>
      <c r="K97" s="727"/>
      <c r="L97" s="727"/>
      <c r="M97" s="727"/>
      <c r="N97" s="727"/>
      <c r="O97" s="733"/>
      <c r="P97" s="733"/>
      <c r="Q97" s="713"/>
      <c r="R97" s="713"/>
      <c r="S97" s="713"/>
      <c r="T97" s="713"/>
      <c r="U97" s="713"/>
      <c r="V97" s="714"/>
      <c r="W97" s="714"/>
      <c r="X97" s="714"/>
    </row>
    <row r="98" spans="1:24" ht="15.75" customHeight="1">
      <c r="A98" s="713"/>
      <c r="B98" s="713"/>
      <c r="C98" s="727"/>
      <c r="D98" s="727"/>
      <c r="E98" s="727"/>
      <c r="F98" s="727"/>
      <c r="G98" s="727"/>
      <c r="H98" s="727"/>
      <c r="I98" s="727"/>
      <c r="J98" s="727"/>
      <c r="K98" s="727"/>
      <c r="L98" s="727"/>
      <c r="M98" s="727"/>
      <c r="N98" s="727"/>
      <c r="O98" s="733"/>
      <c r="P98" s="733"/>
      <c r="Q98" s="713"/>
      <c r="R98" s="713"/>
      <c r="S98" s="713"/>
      <c r="T98" s="713"/>
      <c r="U98" s="713"/>
      <c r="V98" s="714"/>
      <c r="W98" s="714"/>
      <c r="X98" s="714"/>
    </row>
    <row r="99" spans="1:24" ht="15.75" customHeight="1">
      <c r="A99" s="713"/>
      <c r="B99" s="713"/>
      <c r="C99" s="727"/>
      <c r="D99" s="727"/>
      <c r="E99" s="727"/>
      <c r="F99" s="727"/>
      <c r="G99" s="727"/>
      <c r="H99" s="727"/>
      <c r="I99" s="727"/>
      <c r="J99" s="727"/>
      <c r="K99" s="727"/>
      <c r="L99" s="727"/>
      <c r="M99" s="727"/>
      <c r="N99" s="727"/>
      <c r="O99" s="733"/>
      <c r="P99" s="733"/>
      <c r="Q99" s="713"/>
      <c r="R99" s="713"/>
      <c r="S99" s="713"/>
      <c r="T99" s="713"/>
      <c r="U99" s="713"/>
      <c r="V99" s="714"/>
      <c r="W99" s="714"/>
      <c r="X99" s="714"/>
    </row>
    <row r="100" spans="1:24" ht="15.75" customHeight="1">
      <c r="A100" s="713"/>
      <c r="B100" s="713"/>
      <c r="C100" s="727"/>
      <c r="D100" s="727"/>
      <c r="E100" s="727"/>
      <c r="F100" s="727"/>
      <c r="G100" s="727"/>
      <c r="H100" s="727"/>
      <c r="I100" s="727"/>
      <c r="J100" s="727"/>
      <c r="K100" s="727"/>
      <c r="L100" s="727"/>
      <c r="M100" s="727"/>
      <c r="N100" s="727"/>
      <c r="O100" s="733"/>
      <c r="P100" s="733"/>
      <c r="Q100" s="713"/>
      <c r="R100" s="713"/>
      <c r="S100" s="713"/>
      <c r="T100" s="713"/>
      <c r="U100" s="713"/>
      <c r="V100" s="714"/>
      <c r="W100" s="714"/>
      <c r="X100" s="714"/>
    </row>
    <row r="101" spans="1:24" ht="15.75" customHeight="1">
      <c r="A101" s="713"/>
      <c r="B101" s="713"/>
      <c r="C101" s="727"/>
      <c r="D101" s="727"/>
      <c r="E101" s="727"/>
      <c r="F101" s="727"/>
      <c r="G101" s="727"/>
      <c r="H101" s="727"/>
      <c r="I101" s="727"/>
      <c r="J101" s="727"/>
      <c r="K101" s="727"/>
      <c r="L101" s="727"/>
      <c r="M101" s="727"/>
      <c r="N101" s="727"/>
      <c r="O101" s="733"/>
      <c r="P101" s="733"/>
      <c r="Q101" s="713"/>
      <c r="R101" s="713"/>
      <c r="S101" s="713"/>
      <c r="T101" s="713"/>
      <c r="U101" s="713"/>
      <c r="V101" s="714"/>
      <c r="W101" s="714"/>
      <c r="X101" s="714"/>
    </row>
    <row r="102" spans="1:24" ht="15.75" customHeight="1">
      <c r="A102" s="713"/>
      <c r="B102" s="713"/>
      <c r="C102" s="727"/>
      <c r="D102" s="727"/>
      <c r="E102" s="727"/>
      <c r="F102" s="727"/>
      <c r="G102" s="727"/>
      <c r="H102" s="727"/>
      <c r="I102" s="727"/>
      <c r="J102" s="727"/>
      <c r="K102" s="727"/>
      <c r="L102" s="727"/>
      <c r="M102" s="727"/>
      <c r="N102" s="727"/>
      <c r="O102" s="733"/>
      <c r="P102" s="733"/>
      <c r="Q102" s="713"/>
      <c r="R102" s="713"/>
      <c r="S102" s="713"/>
      <c r="T102" s="713"/>
      <c r="U102" s="713"/>
      <c r="V102" s="714"/>
      <c r="W102" s="714"/>
      <c r="X102" s="714"/>
    </row>
    <row r="103" spans="1:24" ht="15.75" customHeight="1">
      <c r="A103" s="713"/>
      <c r="B103" s="713"/>
      <c r="C103" s="727"/>
      <c r="D103" s="727"/>
      <c r="E103" s="727"/>
      <c r="F103" s="727"/>
      <c r="G103" s="727"/>
      <c r="H103" s="727"/>
      <c r="I103" s="727"/>
      <c r="J103" s="727"/>
      <c r="K103" s="727"/>
      <c r="L103" s="727"/>
      <c r="M103" s="727"/>
      <c r="N103" s="727"/>
      <c r="O103" s="733"/>
      <c r="P103" s="733"/>
      <c r="Q103" s="713"/>
      <c r="R103" s="713"/>
      <c r="S103" s="713"/>
      <c r="T103" s="713"/>
      <c r="U103" s="713"/>
      <c r="V103" s="714"/>
      <c r="W103" s="714"/>
      <c r="X103" s="714"/>
    </row>
    <row r="104" spans="1:24" ht="15.75" customHeight="1">
      <c r="A104" s="713"/>
      <c r="B104" s="713"/>
      <c r="C104" s="727"/>
      <c r="D104" s="727"/>
      <c r="E104" s="727"/>
      <c r="F104" s="727"/>
      <c r="G104" s="727"/>
      <c r="H104" s="727"/>
      <c r="I104" s="727"/>
      <c r="J104" s="727"/>
      <c r="K104" s="727"/>
      <c r="L104" s="727"/>
      <c r="M104" s="727"/>
      <c r="N104" s="727"/>
      <c r="O104" s="733"/>
      <c r="P104" s="733"/>
      <c r="Q104" s="713"/>
      <c r="R104" s="713"/>
      <c r="S104" s="713"/>
      <c r="T104" s="713"/>
      <c r="U104" s="713"/>
      <c r="V104" s="714"/>
      <c r="W104" s="714"/>
      <c r="X104" s="714"/>
    </row>
    <row r="105" spans="1:24" ht="15.75" customHeight="1">
      <c r="A105" s="713"/>
      <c r="B105" s="713"/>
      <c r="C105" s="727"/>
      <c r="D105" s="727"/>
      <c r="E105" s="727"/>
      <c r="F105" s="727"/>
      <c r="G105" s="727"/>
      <c r="H105" s="727"/>
      <c r="I105" s="727"/>
      <c r="J105" s="727"/>
      <c r="K105" s="727"/>
      <c r="L105" s="727"/>
      <c r="M105" s="727"/>
      <c r="N105" s="727"/>
      <c r="O105" s="733"/>
      <c r="P105" s="733"/>
      <c r="Q105" s="713"/>
      <c r="R105" s="713"/>
      <c r="S105" s="713"/>
      <c r="T105" s="713"/>
      <c r="U105" s="713"/>
      <c r="V105" s="714"/>
      <c r="W105" s="714"/>
      <c r="X105" s="714"/>
    </row>
    <row r="106" spans="1:24" ht="15.75" customHeight="1">
      <c r="A106" s="713"/>
      <c r="B106" s="713"/>
      <c r="C106" s="727"/>
      <c r="D106" s="727"/>
      <c r="E106" s="727"/>
      <c r="F106" s="727"/>
      <c r="G106" s="727"/>
      <c r="H106" s="727"/>
      <c r="I106" s="727"/>
      <c r="J106" s="727"/>
      <c r="K106" s="727"/>
      <c r="L106" s="727"/>
      <c r="M106" s="727"/>
      <c r="N106" s="727"/>
      <c r="O106" s="733"/>
      <c r="P106" s="733"/>
      <c r="Q106" s="713"/>
      <c r="R106" s="713"/>
      <c r="S106" s="713"/>
      <c r="T106" s="713"/>
      <c r="U106" s="713"/>
      <c r="V106" s="714"/>
      <c r="W106" s="714"/>
      <c r="X106" s="714"/>
    </row>
    <row r="107" spans="1:24" ht="15.75" customHeight="1">
      <c r="A107" s="713"/>
      <c r="B107" s="713"/>
      <c r="C107" s="727"/>
      <c r="D107" s="727"/>
      <c r="E107" s="727"/>
      <c r="F107" s="727"/>
      <c r="G107" s="727"/>
      <c r="H107" s="727"/>
      <c r="I107" s="727"/>
      <c r="J107" s="727"/>
      <c r="K107" s="727"/>
      <c r="L107" s="727"/>
      <c r="M107" s="727"/>
      <c r="N107" s="727"/>
      <c r="O107" s="733"/>
      <c r="P107" s="733"/>
      <c r="Q107" s="713"/>
      <c r="R107" s="713"/>
      <c r="S107" s="713"/>
      <c r="T107" s="713"/>
      <c r="U107" s="713"/>
      <c r="V107" s="714"/>
      <c r="W107" s="714"/>
      <c r="X107" s="714"/>
    </row>
    <row r="108" spans="1:24" ht="15.75" customHeight="1">
      <c r="A108" s="713"/>
      <c r="B108" s="713"/>
      <c r="C108" s="727"/>
      <c r="D108" s="727"/>
      <c r="E108" s="727"/>
      <c r="F108" s="727"/>
      <c r="G108" s="727"/>
      <c r="H108" s="727"/>
      <c r="I108" s="727"/>
      <c r="J108" s="727"/>
      <c r="K108" s="727"/>
      <c r="L108" s="727"/>
      <c r="M108" s="727"/>
      <c r="N108" s="727"/>
      <c r="O108" s="733"/>
      <c r="P108" s="733"/>
      <c r="Q108" s="713"/>
      <c r="R108" s="713"/>
      <c r="S108" s="713"/>
      <c r="T108" s="713"/>
      <c r="U108" s="713"/>
      <c r="V108" s="714"/>
      <c r="W108" s="714"/>
      <c r="X108" s="714"/>
    </row>
    <row r="109" spans="1:24" ht="15.75" customHeight="1">
      <c r="A109" s="713"/>
      <c r="B109" s="713"/>
      <c r="C109" s="727"/>
      <c r="D109" s="727"/>
      <c r="E109" s="727"/>
      <c r="F109" s="727"/>
      <c r="G109" s="727"/>
      <c r="H109" s="727"/>
      <c r="I109" s="727"/>
      <c r="J109" s="727"/>
      <c r="K109" s="727"/>
      <c r="L109" s="727"/>
      <c r="M109" s="727"/>
      <c r="N109" s="727"/>
      <c r="O109" s="733"/>
      <c r="P109" s="733"/>
      <c r="Q109" s="713"/>
      <c r="R109" s="713"/>
      <c r="S109" s="713"/>
      <c r="T109" s="713"/>
      <c r="U109" s="713"/>
      <c r="V109" s="714"/>
      <c r="W109" s="714"/>
      <c r="X109" s="714"/>
    </row>
    <row r="110" spans="1:24" ht="15.75" customHeight="1">
      <c r="A110" s="713"/>
      <c r="B110" s="713"/>
      <c r="C110" s="727"/>
      <c r="D110" s="727"/>
      <c r="E110" s="727"/>
      <c r="F110" s="727"/>
      <c r="G110" s="727"/>
      <c r="H110" s="727"/>
      <c r="I110" s="727"/>
      <c r="J110" s="727"/>
      <c r="K110" s="727"/>
      <c r="L110" s="727"/>
      <c r="M110" s="727"/>
      <c r="N110" s="727"/>
      <c r="O110" s="733"/>
      <c r="P110" s="733"/>
      <c r="Q110" s="713"/>
      <c r="R110" s="713"/>
      <c r="S110" s="713"/>
      <c r="T110" s="713"/>
      <c r="U110" s="713"/>
      <c r="V110" s="714"/>
      <c r="W110" s="714"/>
      <c r="X110" s="714"/>
    </row>
    <row r="111" spans="1:24" ht="15.75" customHeight="1">
      <c r="A111" s="713"/>
      <c r="B111" s="713"/>
      <c r="C111" s="727"/>
      <c r="D111" s="727"/>
      <c r="E111" s="727"/>
      <c r="F111" s="727"/>
      <c r="G111" s="727"/>
      <c r="H111" s="727"/>
      <c r="I111" s="727"/>
      <c r="J111" s="727"/>
      <c r="K111" s="727"/>
      <c r="L111" s="727"/>
      <c r="M111" s="727"/>
      <c r="N111" s="727"/>
      <c r="O111" s="733"/>
      <c r="P111" s="733"/>
      <c r="Q111" s="713"/>
      <c r="R111" s="713"/>
      <c r="S111" s="713"/>
      <c r="T111" s="713"/>
      <c r="U111" s="713"/>
      <c r="V111" s="714"/>
      <c r="W111" s="714"/>
      <c r="X111" s="714"/>
    </row>
    <row r="112" spans="1:24" ht="15.75" customHeight="1">
      <c r="A112" s="713"/>
      <c r="B112" s="713"/>
      <c r="C112" s="727"/>
      <c r="D112" s="727"/>
      <c r="E112" s="727"/>
      <c r="F112" s="727"/>
      <c r="G112" s="727"/>
      <c r="H112" s="727"/>
      <c r="I112" s="727"/>
      <c r="J112" s="727"/>
      <c r="K112" s="727"/>
      <c r="L112" s="727"/>
      <c r="M112" s="727"/>
      <c r="N112" s="727"/>
      <c r="O112" s="733"/>
      <c r="P112" s="733"/>
      <c r="Q112" s="713"/>
      <c r="R112" s="713"/>
      <c r="S112" s="713"/>
      <c r="T112" s="713"/>
      <c r="U112" s="713"/>
      <c r="V112" s="714"/>
      <c r="W112" s="714"/>
      <c r="X112" s="714"/>
    </row>
    <row r="113" spans="1:24" ht="15.75" customHeight="1">
      <c r="A113" s="713"/>
      <c r="B113" s="713"/>
      <c r="C113" s="727"/>
      <c r="D113" s="727"/>
      <c r="E113" s="727"/>
      <c r="F113" s="727"/>
      <c r="G113" s="727"/>
      <c r="H113" s="727"/>
      <c r="I113" s="727"/>
      <c r="J113" s="727"/>
      <c r="K113" s="727"/>
      <c r="L113" s="727"/>
      <c r="M113" s="727"/>
      <c r="N113" s="727"/>
      <c r="O113" s="733"/>
      <c r="P113" s="733"/>
      <c r="Q113" s="713"/>
      <c r="R113" s="713"/>
      <c r="S113" s="713"/>
      <c r="T113" s="713"/>
      <c r="U113" s="713"/>
      <c r="V113" s="714"/>
      <c r="W113" s="714"/>
      <c r="X113" s="714"/>
    </row>
    <row r="114" spans="1:24" ht="15.75" customHeight="1">
      <c r="A114" s="713"/>
      <c r="B114" s="713"/>
      <c r="C114" s="727"/>
      <c r="D114" s="727"/>
      <c r="E114" s="727"/>
      <c r="F114" s="727"/>
      <c r="G114" s="727"/>
      <c r="H114" s="727"/>
      <c r="I114" s="727"/>
      <c r="J114" s="727"/>
      <c r="K114" s="727"/>
      <c r="L114" s="727"/>
      <c r="M114" s="727"/>
      <c r="N114" s="727"/>
      <c r="O114" s="733"/>
      <c r="P114" s="733"/>
      <c r="Q114" s="713"/>
      <c r="R114" s="713"/>
      <c r="S114" s="713"/>
      <c r="T114" s="713"/>
      <c r="U114" s="713"/>
      <c r="V114" s="714"/>
      <c r="W114" s="714"/>
      <c r="X114" s="714"/>
    </row>
    <row r="115" spans="1:24" ht="15.75" customHeight="1">
      <c r="A115" s="713"/>
      <c r="B115" s="713"/>
      <c r="C115" s="727"/>
      <c r="D115" s="727"/>
      <c r="E115" s="727"/>
      <c r="F115" s="727"/>
      <c r="G115" s="727"/>
      <c r="H115" s="727"/>
      <c r="I115" s="727"/>
      <c r="J115" s="727"/>
      <c r="K115" s="727"/>
      <c r="L115" s="727"/>
      <c r="M115" s="727"/>
      <c r="N115" s="727"/>
      <c r="O115" s="713"/>
      <c r="P115" s="713"/>
      <c r="Q115" s="713"/>
      <c r="R115" s="713"/>
      <c r="S115" s="713"/>
      <c r="T115" s="713"/>
      <c r="U115" s="713"/>
      <c r="V115" s="714"/>
      <c r="W115" s="714"/>
      <c r="X115" s="714"/>
    </row>
    <row r="116" spans="1:24" ht="15.75" customHeight="1">
      <c r="A116" s="713"/>
      <c r="B116" s="713"/>
      <c r="C116" s="727"/>
      <c r="D116" s="727"/>
      <c r="E116" s="727"/>
      <c r="F116" s="727"/>
      <c r="G116" s="727"/>
      <c r="H116" s="727"/>
      <c r="I116" s="727"/>
      <c r="J116" s="727"/>
      <c r="K116" s="727"/>
      <c r="L116" s="727"/>
      <c r="M116" s="727"/>
      <c r="N116" s="727"/>
      <c r="O116" s="713"/>
      <c r="P116" s="713"/>
      <c r="Q116" s="713"/>
      <c r="R116" s="713"/>
      <c r="S116" s="713"/>
      <c r="T116" s="713"/>
      <c r="U116" s="713"/>
      <c r="V116" s="714"/>
      <c r="W116" s="714"/>
      <c r="X116" s="714"/>
    </row>
    <row r="117" spans="1:24" ht="15.75" customHeight="1">
      <c r="A117" s="713"/>
      <c r="B117" s="713"/>
      <c r="C117" s="727"/>
      <c r="D117" s="727"/>
      <c r="E117" s="727"/>
      <c r="F117" s="727"/>
      <c r="G117" s="727"/>
      <c r="H117" s="727"/>
      <c r="I117" s="727"/>
      <c r="J117" s="727"/>
      <c r="K117" s="727"/>
      <c r="L117" s="727"/>
      <c r="M117" s="727"/>
      <c r="N117" s="727"/>
      <c r="O117" s="713"/>
      <c r="P117" s="713"/>
      <c r="Q117" s="713"/>
      <c r="R117" s="713"/>
      <c r="S117" s="713"/>
      <c r="T117" s="713"/>
      <c r="U117" s="713"/>
      <c r="V117" s="714"/>
      <c r="W117" s="714"/>
      <c r="X117" s="714"/>
    </row>
    <row r="118" spans="1:24" ht="15.75" customHeight="1">
      <c r="A118" s="713"/>
      <c r="B118" s="713"/>
      <c r="C118" s="727"/>
      <c r="D118" s="727"/>
      <c r="E118" s="727"/>
      <c r="F118" s="727"/>
      <c r="G118" s="727"/>
      <c r="H118" s="727"/>
      <c r="I118" s="727"/>
      <c r="J118" s="727"/>
      <c r="K118" s="727"/>
      <c r="L118" s="727"/>
      <c r="M118" s="727"/>
      <c r="N118" s="727"/>
      <c r="O118" s="713"/>
      <c r="P118" s="713"/>
      <c r="Q118" s="713"/>
      <c r="R118" s="713"/>
      <c r="S118" s="713"/>
      <c r="T118" s="713"/>
      <c r="U118" s="713"/>
      <c r="V118" s="714"/>
      <c r="W118" s="714"/>
      <c r="X118" s="714"/>
    </row>
    <row r="119" spans="1:24" ht="15.75" customHeight="1">
      <c r="A119" s="713"/>
      <c r="B119" s="713"/>
      <c r="C119" s="727"/>
      <c r="D119" s="727"/>
      <c r="E119" s="727"/>
      <c r="F119" s="727"/>
      <c r="G119" s="727"/>
      <c r="H119" s="727"/>
      <c r="I119" s="727"/>
      <c r="J119" s="727"/>
      <c r="K119" s="727"/>
      <c r="L119" s="727"/>
      <c r="M119" s="727"/>
      <c r="N119" s="727"/>
      <c r="O119" s="713"/>
      <c r="P119" s="713"/>
      <c r="Q119" s="713"/>
      <c r="R119" s="713"/>
      <c r="S119" s="713"/>
      <c r="T119" s="713"/>
      <c r="U119" s="713"/>
      <c r="V119" s="714"/>
      <c r="W119" s="714"/>
      <c r="X119" s="714"/>
    </row>
    <row r="120" spans="1:24" ht="15.75" customHeight="1">
      <c r="A120" s="713"/>
      <c r="B120" s="713"/>
      <c r="C120" s="727"/>
      <c r="D120" s="727"/>
      <c r="E120" s="727"/>
      <c r="F120" s="727"/>
      <c r="G120" s="727"/>
      <c r="H120" s="727"/>
      <c r="I120" s="727"/>
      <c r="J120" s="727"/>
      <c r="K120" s="727"/>
      <c r="L120" s="727"/>
      <c r="M120" s="727"/>
      <c r="N120" s="727"/>
      <c r="O120" s="713"/>
      <c r="P120" s="713"/>
      <c r="Q120" s="713"/>
      <c r="R120" s="713"/>
      <c r="S120" s="713"/>
      <c r="T120" s="713"/>
      <c r="U120" s="713"/>
      <c r="V120" s="714"/>
      <c r="W120" s="714"/>
      <c r="X120" s="714"/>
    </row>
    <row r="121" spans="1:24" ht="15.75" customHeight="1">
      <c r="A121" s="713"/>
      <c r="B121" s="713"/>
      <c r="C121" s="727"/>
      <c r="D121" s="727"/>
      <c r="E121" s="727"/>
      <c r="F121" s="727"/>
      <c r="G121" s="727"/>
      <c r="H121" s="727"/>
      <c r="I121" s="727"/>
      <c r="J121" s="727"/>
      <c r="K121" s="727"/>
      <c r="L121" s="727"/>
      <c r="M121" s="727"/>
      <c r="N121" s="727"/>
      <c r="O121" s="713"/>
      <c r="P121" s="713"/>
      <c r="Q121" s="713"/>
      <c r="R121" s="713"/>
      <c r="S121" s="713"/>
      <c r="T121" s="713"/>
      <c r="U121" s="713"/>
      <c r="V121" s="714"/>
      <c r="W121" s="714"/>
      <c r="X121" s="714"/>
    </row>
    <row r="122" spans="1:24" ht="15.75" customHeight="1">
      <c r="A122" s="713"/>
      <c r="B122" s="713"/>
      <c r="C122" s="727"/>
      <c r="D122" s="727"/>
      <c r="E122" s="727"/>
      <c r="F122" s="727"/>
      <c r="G122" s="727"/>
      <c r="H122" s="727"/>
      <c r="I122" s="727"/>
      <c r="J122" s="727"/>
      <c r="K122" s="727"/>
      <c r="L122" s="727"/>
      <c r="M122" s="727"/>
      <c r="N122" s="727"/>
      <c r="O122" s="713"/>
      <c r="P122" s="713"/>
      <c r="Q122" s="713"/>
      <c r="R122" s="713"/>
      <c r="S122" s="713"/>
      <c r="T122" s="713"/>
      <c r="U122" s="713"/>
      <c r="V122" s="714"/>
      <c r="W122" s="714"/>
      <c r="X122" s="714"/>
    </row>
    <row r="123" spans="1:24" ht="15.75" customHeight="1">
      <c r="A123" s="713"/>
      <c r="B123" s="713"/>
      <c r="C123" s="727"/>
      <c r="D123" s="727"/>
      <c r="E123" s="727"/>
      <c r="F123" s="727"/>
      <c r="G123" s="727"/>
      <c r="H123" s="727"/>
      <c r="I123" s="727"/>
      <c r="J123" s="727"/>
      <c r="K123" s="727"/>
      <c r="L123" s="727"/>
      <c r="M123" s="727"/>
      <c r="N123" s="727"/>
      <c r="O123" s="713"/>
      <c r="P123" s="713"/>
      <c r="Q123" s="713"/>
      <c r="R123" s="713"/>
      <c r="S123" s="713"/>
      <c r="T123" s="713"/>
      <c r="U123" s="713"/>
      <c r="V123" s="714"/>
      <c r="W123" s="714"/>
      <c r="X123" s="714"/>
    </row>
    <row r="124" spans="1:24" ht="15.75" customHeight="1">
      <c r="A124" s="713"/>
      <c r="B124" s="713"/>
      <c r="C124" s="727"/>
      <c r="D124" s="727"/>
      <c r="E124" s="727"/>
      <c r="F124" s="727"/>
      <c r="G124" s="727"/>
      <c r="H124" s="727"/>
      <c r="I124" s="727"/>
      <c r="J124" s="727"/>
      <c r="K124" s="727"/>
      <c r="L124" s="727"/>
      <c r="M124" s="727"/>
      <c r="N124" s="727"/>
      <c r="O124" s="713"/>
      <c r="P124" s="713"/>
      <c r="Q124" s="713"/>
      <c r="R124" s="713"/>
      <c r="S124" s="713"/>
      <c r="T124" s="713"/>
      <c r="U124" s="713"/>
      <c r="V124" s="714"/>
      <c r="W124" s="714"/>
      <c r="X124" s="714"/>
    </row>
    <row r="125" spans="1:24" ht="15.75" customHeight="1">
      <c r="A125" s="713"/>
      <c r="B125" s="713"/>
      <c r="C125" s="727"/>
      <c r="D125" s="727"/>
      <c r="E125" s="727"/>
      <c r="F125" s="727"/>
      <c r="G125" s="727"/>
      <c r="H125" s="727"/>
      <c r="I125" s="727"/>
      <c r="J125" s="727"/>
      <c r="K125" s="727"/>
      <c r="L125" s="727"/>
      <c r="M125" s="727"/>
      <c r="N125" s="727"/>
      <c r="O125" s="713"/>
      <c r="P125" s="713"/>
      <c r="Q125" s="713"/>
      <c r="R125" s="713"/>
      <c r="S125" s="713"/>
      <c r="T125" s="713"/>
      <c r="U125" s="713"/>
      <c r="V125" s="714"/>
      <c r="W125" s="714"/>
      <c r="X125" s="714"/>
    </row>
    <row r="126" spans="1:24" ht="15.75" customHeight="1">
      <c r="A126" s="713"/>
      <c r="B126" s="713"/>
      <c r="C126" s="727"/>
      <c r="D126" s="727"/>
      <c r="E126" s="727"/>
      <c r="F126" s="727"/>
      <c r="G126" s="727"/>
      <c r="H126" s="727"/>
      <c r="I126" s="727"/>
      <c r="J126" s="727"/>
      <c r="K126" s="727"/>
      <c r="L126" s="727"/>
      <c r="M126" s="727"/>
      <c r="N126" s="727"/>
      <c r="O126" s="713"/>
      <c r="P126" s="713"/>
      <c r="Q126" s="713"/>
      <c r="R126" s="713"/>
      <c r="S126" s="713"/>
      <c r="T126" s="713"/>
      <c r="U126" s="713"/>
      <c r="V126" s="714"/>
      <c r="W126" s="714"/>
      <c r="X126" s="714"/>
    </row>
    <row r="127" spans="1:24" ht="15.75" customHeight="1">
      <c r="A127" s="713"/>
      <c r="B127" s="713"/>
      <c r="C127" s="727"/>
      <c r="D127" s="727"/>
      <c r="E127" s="727"/>
      <c r="F127" s="727"/>
      <c r="G127" s="727"/>
      <c r="H127" s="727"/>
      <c r="I127" s="727"/>
      <c r="J127" s="727"/>
      <c r="K127" s="727"/>
      <c r="L127" s="727"/>
      <c r="M127" s="727"/>
      <c r="N127" s="727"/>
      <c r="O127" s="713"/>
      <c r="P127" s="713"/>
      <c r="Q127" s="713"/>
      <c r="R127" s="713"/>
      <c r="S127" s="713"/>
      <c r="T127" s="713"/>
      <c r="U127" s="713"/>
      <c r="V127" s="714"/>
      <c r="W127" s="714"/>
      <c r="X127" s="714"/>
    </row>
    <row r="128" spans="1:24" ht="15.75" customHeight="1">
      <c r="A128" s="713"/>
      <c r="B128" s="713"/>
      <c r="C128" s="727"/>
      <c r="D128" s="727"/>
      <c r="E128" s="727"/>
      <c r="F128" s="727"/>
      <c r="G128" s="727"/>
      <c r="H128" s="727"/>
      <c r="I128" s="727"/>
      <c r="J128" s="727"/>
      <c r="K128" s="727"/>
      <c r="L128" s="727"/>
      <c r="M128" s="727"/>
      <c r="N128" s="727"/>
      <c r="O128" s="713"/>
      <c r="P128" s="713"/>
      <c r="Q128" s="713"/>
      <c r="R128" s="713"/>
      <c r="S128" s="713"/>
      <c r="T128" s="713"/>
      <c r="U128" s="713"/>
      <c r="V128" s="714"/>
      <c r="W128" s="714"/>
      <c r="X128" s="714"/>
    </row>
    <row r="129" spans="1:24" ht="15.75" customHeight="1">
      <c r="A129" s="713"/>
      <c r="B129" s="713"/>
      <c r="C129" s="727"/>
      <c r="D129" s="727"/>
      <c r="E129" s="727"/>
      <c r="F129" s="727"/>
      <c r="G129" s="727"/>
      <c r="H129" s="727"/>
      <c r="I129" s="727"/>
      <c r="J129" s="727"/>
      <c r="K129" s="727"/>
      <c r="L129" s="727"/>
      <c r="M129" s="727"/>
      <c r="N129" s="727"/>
      <c r="O129" s="713"/>
      <c r="P129" s="713"/>
      <c r="Q129" s="713"/>
      <c r="R129" s="713"/>
      <c r="S129" s="713"/>
      <c r="T129" s="713"/>
      <c r="U129" s="713"/>
      <c r="V129" s="714"/>
      <c r="W129" s="714"/>
      <c r="X129" s="714"/>
    </row>
    <row r="130" spans="1:24" ht="15.75" customHeight="1">
      <c r="A130" s="713"/>
      <c r="B130" s="713"/>
      <c r="C130" s="727"/>
      <c r="D130" s="727"/>
      <c r="E130" s="727"/>
      <c r="F130" s="727"/>
      <c r="G130" s="727"/>
      <c r="H130" s="727"/>
      <c r="I130" s="727"/>
      <c r="J130" s="727"/>
      <c r="K130" s="727"/>
      <c r="L130" s="727"/>
      <c r="M130" s="727"/>
      <c r="N130" s="727"/>
      <c r="O130" s="713"/>
      <c r="P130" s="713"/>
      <c r="Q130" s="713"/>
      <c r="R130" s="713"/>
      <c r="S130" s="713"/>
      <c r="T130" s="713"/>
      <c r="U130" s="713"/>
      <c r="V130" s="714"/>
      <c r="W130" s="714"/>
      <c r="X130" s="714"/>
    </row>
    <row r="131" spans="1:24" ht="15.75" customHeight="1">
      <c r="A131" s="713"/>
      <c r="B131" s="713"/>
      <c r="C131" s="727"/>
      <c r="D131" s="727"/>
      <c r="E131" s="727"/>
      <c r="F131" s="727"/>
      <c r="G131" s="727"/>
      <c r="H131" s="727"/>
      <c r="I131" s="727"/>
      <c r="J131" s="727"/>
      <c r="K131" s="727"/>
      <c r="L131" s="727"/>
      <c r="M131" s="727"/>
      <c r="N131" s="727"/>
      <c r="O131" s="713"/>
      <c r="P131" s="713"/>
      <c r="Q131" s="713"/>
      <c r="R131" s="713"/>
      <c r="S131" s="713"/>
      <c r="T131" s="713"/>
      <c r="U131" s="713"/>
      <c r="V131" s="714"/>
      <c r="W131" s="714"/>
      <c r="X131" s="714"/>
    </row>
    <row r="132" spans="1:24" ht="15.75" customHeight="1">
      <c r="A132" s="713"/>
      <c r="B132" s="713"/>
      <c r="C132" s="727"/>
      <c r="D132" s="727"/>
      <c r="E132" s="727"/>
      <c r="F132" s="727"/>
      <c r="G132" s="727"/>
      <c r="H132" s="727"/>
      <c r="I132" s="727"/>
      <c r="J132" s="727"/>
      <c r="K132" s="727"/>
      <c r="L132" s="727"/>
      <c r="M132" s="727"/>
      <c r="N132" s="727"/>
      <c r="O132" s="713"/>
      <c r="P132" s="713"/>
      <c r="Q132" s="713"/>
      <c r="R132" s="713"/>
      <c r="S132" s="713"/>
      <c r="T132" s="713"/>
      <c r="U132" s="713"/>
      <c r="V132" s="714"/>
      <c r="W132" s="714"/>
      <c r="X132" s="714"/>
    </row>
    <row r="133" spans="1:24" ht="15.75" customHeight="1">
      <c r="A133" s="713"/>
      <c r="B133" s="713"/>
      <c r="C133" s="727"/>
      <c r="D133" s="727"/>
      <c r="E133" s="727"/>
      <c r="F133" s="727"/>
      <c r="G133" s="727"/>
      <c r="H133" s="727"/>
      <c r="I133" s="727"/>
      <c r="J133" s="727"/>
      <c r="K133" s="727"/>
      <c r="L133" s="727"/>
      <c r="M133" s="727"/>
      <c r="N133" s="727"/>
      <c r="O133" s="713"/>
      <c r="P133" s="713"/>
      <c r="Q133" s="713"/>
      <c r="R133" s="713"/>
      <c r="S133" s="713"/>
      <c r="T133" s="713"/>
      <c r="U133" s="713"/>
      <c r="V133" s="714"/>
      <c r="W133" s="714"/>
      <c r="X133" s="714"/>
    </row>
    <row r="134" spans="1:24" ht="15.75" customHeight="1">
      <c r="A134" s="713"/>
      <c r="B134" s="713"/>
      <c r="C134" s="727"/>
      <c r="D134" s="727"/>
      <c r="E134" s="727"/>
      <c r="F134" s="727"/>
      <c r="G134" s="727"/>
      <c r="H134" s="727"/>
      <c r="I134" s="727"/>
      <c r="J134" s="727"/>
      <c r="K134" s="727"/>
      <c r="L134" s="727"/>
      <c r="M134" s="727"/>
      <c r="N134" s="727"/>
      <c r="O134" s="713"/>
      <c r="P134" s="713"/>
      <c r="Q134" s="713"/>
      <c r="R134" s="713"/>
      <c r="S134" s="713"/>
      <c r="T134" s="713"/>
      <c r="U134" s="713"/>
      <c r="V134" s="714"/>
      <c r="W134" s="714"/>
      <c r="X134" s="714"/>
    </row>
    <row r="135" spans="1:24" ht="15.75" customHeight="1">
      <c r="A135" s="713"/>
      <c r="B135" s="713"/>
      <c r="C135" s="727"/>
      <c r="D135" s="727"/>
      <c r="E135" s="727"/>
      <c r="F135" s="727"/>
      <c r="G135" s="727"/>
      <c r="H135" s="727"/>
      <c r="I135" s="727"/>
      <c r="J135" s="727"/>
      <c r="K135" s="727"/>
      <c r="L135" s="727"/>
      <c r="M135" s="727"/>
      <c r="N135" s="727"/>
      <c r="O135" s="713"/>
      <c r="P135" s="713"/>
      <c r="Q135" s="713"/>
      <c r="R135" s="713"/>
      <c r="S135" s="713"/>
      <c r="T135" s="713"/>
      <c r="U135" s="713"/>
      <c r="V135" s="714"/>
      <c r="W135" s="714"/>
      <c r="X135" s="714"/>
    </row>
    <row r="136" spans="1:24" ht="15.75" customHeight="1">
      <c r="A136" s="713"/>
      <c r="B136" s="713"/>
      <c r="C136" s="727"/>
      <c r="D136" s="727"/>
      <c r="E136" s="727"/>
      <c r="F136" s="727"/>
      <c r="G136" s="727"/>
      <c r="H136" s="727"/>
      <c r="I136" s="727"/>
      <c r="J136" s="727"/>
      <c r="K136" s="727"/>
      <c r="L136" s="727"/>
      <c r="M136" s="727"/>
      <c r="N136" s="727"/>
      <c r="O136" s="713"/>
      <c r="P136" s="713"/>
      <c r="Q136" s="713"/>
      <c r="R136" s="713"/>
      <c r="S136" s="713"/>
      <c r="T136" s="713"/>
      <c r="U136" s="713"/>
      <c r="V136" s="714"/>
      <c r="W136" s="714"/>
      <c r="X136" s="714"/>
    </row>
    <row r="137" spans="1:24" ht="15.75" customHeight="1">
      <c r="A137" s="713"/>
      <c r="B137" s="713"/>
      <c r="C137" s="727"/>
      <c r="D137" s="727"/>
      <c r="E137" s="727"/>
      <c r="F137" s="727"/>
      <c r="G137" s="727"/>
      <c r="H137" s="727"/>
      <c r="I137" s="727"/>
      <c r="J137" s="727"/>
      <c r="K137" s="727"/>
      <c r="L137" s="727"/>
      <c r="M137" s="727"/>
      <c r="N137" s="727"/>
      <c r="O137" s="713"/>
      <c r="P137" s="713"/>
      <c r="Q137" s="713"/>
      <c r="R137" s="713"/>
      <c r="S137" s="713"/>
      <c r="T137" s="713"/>
      <c r="U137" s="713"/>
      <c r="V137" s="714"/>
      <c r="W137" s="714"/>
      <c r="X137" s="714"/>
    </row>
    <row r="138" spans="1:24" ht="15.75" customHeight="1">
      <c r="A138" s="713"/>
      <c r="B138" s="713"/>
      <c r="C138" s="727"/>
      <c r="D138" s="727"/>
      <c r="E138" s="727"/>
      <c r="F138" s="727"/>
      <c r="G138" s="727"/>
      <c r="H138" s="727"/>
      <c r="I138" s="727"/>
      <c r="J138" s="727"/>
      <c r="K138" s="727"/>
      <c r="L138" s="727"/>
      <c r="M138" s="727"/>
      <c r="N138" s="727"/>
      <c r="O138" s="713"/>
      <c r="P138" s="713"/>
      <c r="Q138" s="713"/>
      <c r="R138" s="713"/>
      <c r="S138" s="713"/>
      <c r="T138" s="713"/>
      <c r="U138" s="713"/>
      <c r="V138" s="714"/>
      <c r="W138" s="714"/>
      <c r="X138" s="714"/>
    </row>
    <row r="139" spans="1:24" ht="15.75" customHeight="1">
      <c r="A139" s="713"/>
      <c r="B139" s="713"/>
      <c r="C139" s="727"/>
      <c r="D139" s="727"/>
      <c r="E139" s="727"/>
      <c r="F139" s="727"/>
      <c r="G139" s="727"/>
      <c r="H139" s="727"/>
      <c r="I139" s="727"/>
      <c r="J139" s="727"/>
      <c r="K139" s="727"/>
      <c r="L139" s="727"/>
      <c r="M139" s="727"/>
      <c r="N139" s="727"/>
      <c r="O139" s="713"/>
      <c r="P139" s="713"/>
      <c r="Q139" s="713"/>
      <c r="R139" s="713"/>
      <c r="S139" s="713"/>
      <c r="T139" s="713"/>
      <c r="U139" s="713"/>
      <c r="V139" s="714"/>
      <c r="W139" s="714"/>
      <c r="X139" s="714"/>
    </row>
    <row r="140" spans="1:24" ht="15.75" customHeight="1">
      <c r="A140" s="713"/>
      <c r="B140" s="713"/>
      <c r="C140" s="727"/>
      <c r="D140" s="727"/>
      <c r="E140" s="727"/>
      <c r="F140" s="727"/>
      <c r="G140" s="727"/>
      <c r="H140" s="727"/>
      <c r="I140" s="727"/>
      <c r="J140" s="727"/>
      <c r="K140" s="727"/>
      <c r="L140" s="727"/>
      <c r="M140" s="727"/>
      <c r="N140" s="727"/>
      <c r="O140" s="713"/>
      <c r="P140" s="713"/>
      <c r="Q140" s="713"/>
      <c r="R140" s="713"/>
      <c r="S140" s="713"/>
      <c r="T140" s="713"/>
      <c r="U140" s="713"/>
      <c r="V140" s="714"/>
      <c r="W140" s="714"/>
      <c r="X140" s="714"/>
    </row>
    <row r="141" spans="1:24" ht="15.75" customHeight="1">
      <c r="A141" s="713"/>
      <c r="B141" s="713"/>
      <c r="C141" s="727"/>
      <c r="D141" s="727"/>
      <c r="E141" s="727"/>
      <c r="F141" s="727"/>
      <c r="G141" s="727"/>
      <c r="H141" s="727"/>
      <c r="I141" s="727"/>
      <c r="J141" s="727"/>
      <c r="K141" s="727"/>
      <c r="L141" s="727"/>
      <c r="M141" s="727"/>
      <c r="N141" s="727"/>
      <c r="O141" s="713"/>
      <c r="P141" s="713"/>
      <c r="Q141" s="713"/>
      <c r="R141" s="713"/>
      <c r="S141" s="713"/>
      <c r="T141" s="713"/>
      <c r="U141" s="713"/>
      <c r="V141" s="714"/>
      <c r="W141" s="714"/>
      <c r="X141" s="714"/>
    </row>
    <row r="142" spans="1:24" ht="15.75" customHeight="1">
      <c r="A142" s="713"/>
      <c r="B142" s="713"/>
      <c r="C142" s="727"/>
      <c r="D142" s="727"/>
      <c r="E142" s="727"/>
      <c r="F142" s="727"/>
      <c r="G142" s="727"/>
      <c r="H142" s="727"/>
      <c r="I142" s="727"/>
      <c r="J142" s="727"/>
      <c r="K142" s="727"/>
      <c r="L142" s="727"/>
      <c r="M142" s="727"/>
      <c r="N142" s="727"/>
      <c r="O142" s="713"/>
      <c r="P142" s="713"/>
      <c r="Q142" s="713"/>
      <c r="R142" s="713"/>
      <c r="S142" s="713"/>
      <c r="T142" s="713"/>
      <c r="U142" s="713"/>
      <c r="V142" s="714"/>
      <c r="W142" s="714"/>
      <c r="X142" s="714"/>
    </row>
    <row r="143" spans="1:24" ht="15.75" customHeight="1">
      <c r="A143" s="713"/>
      <c r="B143" s="713"/>
      <c r="C143" s="727"/>
      <c r="D143" s="727"/>
      <c r="E143" s="727"/>
      <c r="F143" s="727"/>
      <c r="G143" s="727"/>
      <c r="H143" s="727"/>
      <c r="I143" s="727"/>
      <c r="J143" s="727"/>
      <c r="K143" s="727"/>
      <c r="L143" s="727"/>
      <c r="M143" s="727"/>
      <c r="N143" s="727"/>
      <c r="O143" s="713"/>
      <c r="P143" s="713"/>
      <c r="Q143" s="713"/>
      <c r="R143" s="713"/>
      <c r="S143" s="713"/>
      <c r="T143" s="713"/>
      <c r="U143" s="713"/>
      <c r="V143" s="714"/>
      <c r="W143" s="714"/>
      <c r="X143" s="714"/>
    </row>
    <row r="144" spans="1:24" ht="15.75" customHeight="1">
      <c r="A144" s="713"/>
      <c r="B144" s="713"/>
      <c r="C144" s="727"/>
      <c r="D144" s="727"/>
      <c r="E144" s="727"/>
      <c r="F144" s="727"/>
      <c r="G144" s="727"/>
      <c r="H144" s="727"/>
      <c r="I144" s="727"/>
      <c r="J144" s="727"/>
      <c r="K144" s="727"/>
      <c r="L144" s="727"/>
      <c r="M144" s="727"/>
      <c r="N144" s="727"/>
      <c r="O144" s="713"/>
      <c r="P144" s="713"/>
      <c r="Q144" s="713"/>
      <c r="R144" s="713"/>
      <c r="S144" s="713"/>
      <c r="T144" s="713"/>
      <c r="U144" s="713"/>
      <c r="V144" s="714"/>
      <c r="W144" s="714"/>
      <c r="X144" s="714"/>
    </row>
    <row r="145" spans="1:24" ht="15.75" customHeight="1">
      <c r="A145" s="713"/>
      <c r="B145" s="713"/>
      <c r="C145" s="727"/>
      <c r="D145" s="727"/>
      <c r="E145" s="727"/>
      <c r="F145" s="727"/>
      <c r="G145" s="727"/>
      <c r="H145" s="727"/>
      <c r="I145" s="727"/>
      <c r="J145" s="727"/>
      <c r="K145" s="727"/>
      <c r="L145" s="727"/>
      <c r="M145" s="727"/>
      <c r="N145" s="727"/>
      <c r="O145" s="713"/>
      <c r="P145" s="713"/>
      <c r="Q145" s="713"/>
      <c r="R145" s="713"/>
      <c r="S145" s="713"/>
      <c r="T145" s="713"/>
      <c r="U145" s="713"/>
      <c r="V145" s="714"/>
      <c r="W145" s="714"/>
      <c r="X145" s="714"/>
    </row>
    <row r="146" spans="1:24" ht="15.75" customHeight="1">
      <c r="A146" s="713"/>
      <c r="B146" s="713"/>
      <c r="C146" s="727"/>
      <c r="D146" s="727"/>
      <c r="E146" s="727"/>
      <c r="F146" s="727"/>
      <c r="G146" s="727"/>
      <c r="H146" s="727"/>
      <c r="I146" s="727"/>
      <c r="J146" s="727"/>
      <c r="K146" s="727"/>
      <c r="L146" s="727"/>
      <c r="M146" s="727"/>
      <c r="N146" s="727"/>
      <c r="O146" s="713"/>
      <c r="P146" s="713"/>
      <c r="Q146" s="713"/>
      <c r="R146" s="713"/>
      <c r="S146" s="713"/>
      <c r="T146" s="713"/>
      <c r="U146" s="713"/>
      <c r="V146" s="714"/>
      <c r="W146" s="714"/>
      <c r="X146" s="714"/>
    </row>
    <row r="147" spans="1:24" ht="15.75" customHeight="1">
      <c r="A147" s="713"/>
      <c r="B147" s="713"/>
      <c r="C147" s="727"/>
      <c r="D147" s="727"/>
      <c r="E147" s="727"/>
      <c r="F147" s="727"/>
      <c r="G147" s="727"/>
      <c r="H147" s="727"/>
      <c r="I147" s="727"/>
      <c r="J147" s="727"/>
      <c r="K147" s="727"/>
      <c r="L147" s="727"/>
      <c r="M147" s="727"/>
      <c r="N147" s="727"/>
      <c r="O147" s="713"/>
      <c r="P147" s="713"/>
      <c r="Q147" s="713"/>
      <c r="R147" s="713"/>
      <c r="S147" s="713"/>
      <c r="T147" s="713"/>
      <c r="U147" s="713"/>
      <c r="V147" s="714"/>
      <c r="W147" s="714"/>
      <c r="X147" s="714"/>
    </row>
    <row r="148" spans="1:24" ht="15.75" customHeight="1">
      <c r="A148" s="713"/>
      <c r="B148" s="713"/>
      <c r="C148" s="727"/>
      <c r="D148" s="727"/>
      <c r="E148" s="727"/>
      <c r="F148" s="727"/>
      <c r="G148" s="727"/>
      <c r="H148" s="727"/>
      <c r="I148" s="727"/>
      <c r="J148" s="727"/>
      <c r="K148" s="727"/>
      <c r="L148" s="727"/>
      <c r="M148" s="727"/>
      <c r="N148" s="727"/>
      <c r="O148" s="713"/>
      <c r="P148" s="713"/>
      <c r="Q148" s="713"/>
      <c r="R148" s="713"/>
      <c r="S148" s="713"/>
      <c r="T148" s="713"/>
      <c r="U148" s="713"/>
      <c r="V148" s="714"/>
      <c r="W148" s="714"/>
      <c r="X148" s="714"/>
    </row>
    <row r="149" spans="1:24" ht="15.75" customHeight="1">
      <c r="A149" s="713"/>
      <c r="B149" s="713"/>
      <c r="C149" s="727"/>
      <c r="D149" s="727"/>
      <c r="E149" s="727"/>
      <c r="F149" s="727"/>
      <c r="G149" s="727"/>
      <c r="H149" s="727"/>
      <c r="I149" s="727"/>
      <c r="J149" s="727"/>
      <c r="K149" s="727"/>
      <c r="L149" s="727"/>
      <c r="M149" s="727"/>
      <c r="N149" s="727"/>
      <c r="O149" s="713"/>
      <c r="P149" s="713"/>
      <c r="Q149" s="713"/>
      <c r="R149" s="713"/>
      <c r="S149" s="713"/>
      <c r="T149" s="713"/>
      <c r="U149" s="713"/>
      <c r="V149" s="714"/>
      <c r="W149" s="714"/>
      <c r="X149" s="714"/>
    </row>
    <row r="150" spans="1:24" ht="15.75" customHeight="1">
      <c r="A150" s="713"/>
      <c r="B150" s="713"/>
      <c r="C150" s="727"/>
      <c r="D150" s="727"/>
      <c r="E150" s="727"/>
      <c r="F150" s="727"/>
      <c r="G150" s="727"/>
      <c r="H150" s="727"/>
      <c r="I150" s="727"/>
      <c r="J150" s="727"/>
      <c r="K150" s="727"/>
      <c r="L150" s="727"/>
      <c r="M150" s="727"/>
      <c r="N150" s="727"/>
      <c r="O150" s="713"/>
      <c r="P150" s="713"/>
      <c r="Q150" s="713"/>
      <c r="R150" s="713"/>
      <c r="S150" s="713"/>
      <c r="T150" s="713"/>
      <c r="U150" s="713"/>
      <c r="V150" s="714"/>
      <c r="W150" s="714"/>
      <c r="X150" s="714"/>
    </row>
    <row r="151" spans="1:24" ht="15.75" customHeight="1">
      <c r="A151" s="713"/>
      <c r="B151" s="713"/>
      <c r="C151" s="727"/>
      <c r="D151" s="727"/>
      <c r="E151" s="727"/>
      <c r="F151" s="727"/>
      <c r="G151" s="727"/>
      <c r="H151" s="727"/>
      <c r="I151" s="727"/>
      <c r="J151" s="727"/>
      <c r="K151" s="727"/>
      <c r="L151" s="727"/>
      <c r="M151" s="727"/>
      <c r="N151" s="727"/>
      <c r="O151" s="713"/>
      <c r="P151" s="713"/>
      <c r="Q151" s="713"/>
      <c r="R151" s="713"/>
      <c r="S151" s="713"/>
      <c r="T151" s="713"/>
      <c r="U151" s="713"/>
      <c r="V151" s="714"/>
      <c r="W151" s="714"/>
      <c r="X151" s="714"/>
    </row>
    <row r="152" spans="1:24" ht="15.75" customHeight="1">
      <c r="A152" s="713"/>
      <c r="B152" s="713"/>
      <c r="C152" s="727"/>
      <c r="D152" s="727"/>
      <c r="E152" s="727"/>
      <c r="F152" s="727"/>
      <c r="G152" s="727"/>
      <c r="H152" s="727"/>
      <c r="I152" s="727"/>
      <c r="J152" s="727"/>
      <c r="K152" s="727"/>
      <c r="L152" s="727"/>
      <c r="M152" s="727"/>
      <c r="N152" s="727"/>
      <c r="O152" s="713"/>
      <c r="P152" s="713"/>
      <c r="Q152" s="713"/>
      <c r="R152" s="713"/>
      <c r="S152" s="713"/>
      <c r="T152" s="713"/>
      <c r="U152" s="713"/>
      <c r="V152" s="714"/>
      <c r="W152" s="714"/>
      <c r="X152" s="714"/>
    </row>
    <row r="153" spans="1:24" ht="15.75" customHeight="1">
      <c r="A153" s="713"/>
      <c r="B153" s="713"/>
      <c r="C153" s="727"/>
      <c r="D153" s="727"/>
      <c r="E153" s="727"/>
      <c r="F153" s="727"/>
      <c r="G153" s="727"/>
      <c r="H153" s="727"/>
      <c r="I153" s="727"/>
      <c r="J153" s="727"/>
      <c r="K153" s="727"/>
      <c r="L153" s="727"/>
      <c r="M153" s="727"/>
      <c r="N153" s="727"/>
      <c r="O153" s="713"/>
      <c r="P153" s="713"/>
      <c r="Q153" s="713"/>
      <c r="R153" s="713"/>
      <c r="S153" s="713"/>
      <c r="T153" s="713"/>
      <c r="U153" s="713"/>
      <c r="V153" s="714"/>
      <c r="W153" s="714"/>
      <c r="X153" s="714"/>
    </row>
    <row r="154" spans="1:24" ht="15.75" customHeight="1">
      <c r="A154" s="713"/>
      <c r="B154" s="713"/>
      <c r="C154" s="727"/>
      <c r="D154" s="727"/>
      <c r="E154" s="727"/>
      <c r="F154" s="727"/>
      <c r="G154" s="727"/>
      <c r="H154" s="727"/>
      <c r="I154" s="727"/>
      <c r="J154" s="727"/>
      <c r="K154" s="727"/>
      <c r="L154" s="727"/>
      <c r="M154" s="727"/>
      <c r="N154" s="727"/>
      <c r="O154" s="713"/>
      <c r="P154" s="713"/>
      <c r="Q154" s="713"/>
      <c r="R154" s="713"/>
      <c r="S154" s="713"/>
      <c r="T154" s="713"/>
      <c r="U154" s="713"/>
      <c r="V154" s="714"/>
      <c r="W154" s="714"/>
      <c r="X154" s="714"/>
    </row>
    <row r="155" spans="1:24" ht="15.75" customHeight="1">
      <c r="A155" s="713"/>
      <c r="B155" s="713"/>
      <c r="C155" s="727"/>
      <c r="D155" s="727"/>
      <c r="E155" s="727"/>
      <c r="F155" s="727"/>
      <c r="G155" s="727"/>
      <c r="H155" s="727"/>
      <c r="I155" s="727"/>
      <c r="J155" s="727"/>
      <c r="K155" s="727"/>
      <c r="L155" s="727"/>
      <c r="M155" s="727"/>
      <c r="N155" s="727"/>
      <c r="O155" s="713"/>
      <c r="P155" s="713"/>
      <c r="Q155" s="713"/>
      <c r="R155" s="713"/>
      <c r="S155" s="713"/>
      <c r="T155" s="713"/>
      <c r="U155" s="713"/>
      <c r="V155" s="714"/>
      <c r="W155" s="714"/>
      <c r="X155" s="714"/>
    </row>
    <row r="156" spans="1:24" ht="15.75" customHeight="1">
      <c r="A156" s="713"/>
      <c r="B156" s="713"/>
      <c r="C156" s="727"/>
      <c r="D156" s="727"/>
      <c r="E156" s="727"/>
      <c r="F156" s="727"/>
      <c r="G156" s="727"/>
      <c r="H156" s="727"/>
      <c r="I156" s="727"/>
      <c r="J156" s="727"/>
      <c r="K156" s="727"/>
      <c r="L156" s="727"/>
      <c r="M156" s="727"/>
      <c r="N156" s="727"/>
      <c r="O156" s="713"/>
      <c r="P156" s="713"/>
      <c r="Q156" s="713"/>
      <c r="R156" s="713"/>
      <c r="S156" s="713"/>
      <c r="T156" s="713"/>
      <c r="U156" s="713"/>
      <c r="V156" s="714"/>
      <c r="W156" s="714"/>
      <c r="X156" s="714"/>
    </row>
    <row r="157" spans="1:24" ht="15.75" customHeight="1">
      <c r="A157" s="713"/>
      <c r="B157" s="713"/>
      <c r="C157" s="727"/>
      <c r="D157" s="727"/>
      <c r="E157" s="727"/>
      <c r="F157" s="727"/>
      <c r="G157" s="727"/>
      <c r="H157" s="727"/>
      <c r="I157" s="727"/>
      <c r="J157" s="727"/>
      <c r="K157" s="727"/>
      <c r="L157" s="727"/>
      <c r="M157" s="727"/>
      <c r="N157" s="727"/>
      <c r="O157" s="713"/>
      <c r="P157" s="713"/>
      <c r="Q157" s="713"/>
      <c r="R157" s="713"/>
      <c r="S157" s="713"/>
      <c r="T157" s="713"/>
      <c r="U157" s="713"/>
      <c r="V157" s="714"/>
      <c r="W157" s="714"/>
      <c r="X157" s="714"/>
    </row>
    <row r="158" spans="1:24" ht="15.75" customHeight="1">
      <c r="A158" s="713"/>
      <c r="B158" s="713"/>
      <c r="C158" s="727"/>
      <c r="D158" s="727"/>
      <c r="E158" s="727"/>
      <c r="F158" s="727"/>
      <c r="G158" s="727"/>
      <c r="H158" s="727"/>
      <c r="I158" s="727"/>
      <c r="J158" s="727"/>
      <c r="K158" s="727"/>
      <c r="L158" s="727"/>
      <c r="M158" s="727"/>
      <c r="N158" s="727"/>
      <c r="O158" s="713"/>
      <c r="P158" s="713"/>
      <c r="Q158" s="713"/>
      <c r="R158" s="713"/>
      <c r="S158" s="713"/>
      <c r="T158" s="713"/>
      <c r="U158" s="713"/>
      <c r="V158" s="714"/>
      <c r="W158" s="714"/>
      <c r="X158" s="714"/>
    </row>
    <row r="159" spans="1:24" ht="15.75" customHeight="1">
      <c r="A159" s="713"/>
      <c r="B159" s="713"/>
      <c r="C159" s="727"/>
      <c r="D159" s="727"/>
      <c r="E159" s="727"/>
      <c r="F159" s="727"/>
      <c r="G159" s="727"/>
      <c r="H159" s="727"/>
      <c r="I159" s="727"/>
      <c r="J159" s="727"/>
      <c r="K159" s="727"/>
      <c r="L159" s="727"/>
      <c r="M159" s="727"/>
      <c r="N159" s="727"/>
      <c r="O159" s="713"/>
      <c r="P159" s="713"/>
      <c r="Q159" s="713"/>
      <c r="R159" s="713"/>
      <c r="S159" s="713"/>
      <c r="T159" s="713"/>
      <c r="U159" s="713"/>
      <c r="V159" s="714"/>
      <c r="W159" s="714"/>
      <c r="X159" s="714"/>
    </row>
    <row r="160" spans="1:24" ht="15.75" customHeight="1">
      <c r="A160" s="713"/>
      <c r="B160" s="713"/>
      <c r="C160" s="727"/>
      <c r="D160" s="727"/>
      <c r="E160" s="727"/>
      <c r="F160" s="727"/>
      <c r="G160" s="727"/>
      <c r="H160" s="727"/>
      <c r="I160" s="727"/>
      <c r="J160" s="727"/>
      <c r="K160" s="727"/>
      <c r="L160" s="727"/>
      <c r="M160" s="727"/>
      <c r="N160" s="727"/>
      <c r="O160" s="713"/>
      <c r="P160" s="713"/>
      <c r="Q160" s="713"/>
      <c r="R160" s="713"/>
      <c r="S160" s="713"/>
      <c r="T160" s="713"/>
      <c r="U160" s="713"/>
      <c r="V160" s="714"/>
      <c r="W160" s="714"/>
      <c r="X160" s="714"/>
    </row>
    <row r="161" spans="1:24" ht="15.75" customHeight="1">
      <c r="A161" s="713"/>
      <c r="B161" s="713"/>
      <c r="C161" s="727"/>
      <c r="D161" s="727"/>
      <c r="E161" s="727"/>
      <c r="F161" s="727"/>
      <c r="G161" s="727"/>
      <c r="H161" s="727"/>
      <c r="I161" s="727"/>
      <c r="J161" s="727"/>
      <c r="K161" s="727"/>
      <c r="L161" s="727"/>
      <c r="M161" s="727"/>
      <c r="N161" s="727"/>
      <c r="O161" s="713"/>
      <c r="P161" s="713"/>
      <c r="Q161" s="713"/>
      <c r="R161" s="713"/>
      <c r="S161" s="713"/>
      <c r="T161" s="713"/>
      <c r="U161" s="713"/>
      <c r="V161" s="714"/>
      <c r="W161" s="714"/>
      <c r="X161" s="714"/>
    </row>
    <row r="162" spans="1:24" ht="15.75" customHeight="1">
      <c r="A162" s="713"/>
      <c r="B162" s="713"/>
      <c r="C162" s="727"/>
      <c r="D162" s="727"/>
      <c r="E162" s="727"/>
      <c r="F162" s="727"/>
      <c r="G162" s="727"/>
      <c r="H162" s="727"/>
      <c r="I162" s="727"/>
      <c r="J162" s="727"/>
      <c r="K162" s="727"/>
      <c r="L162" s="727"/>
      <c r="M162" s="727"/>
      <c r="N162" s="727"/>
      <c r="O162" s="713"/>
      <c r="P162" s="713"/>
      <c r="Q162" s="713"/>
      <c r="R162" s="713"/>
      <c r="S162" s="713"/>
      <c r="T162" s="713"/>
      <c r="U162" s="713"/>
      <c r="V162" s="714"/>
      <c r="W162" s="714"/>
      <c r="X162" s="714"/>
    </row>
    <row r="163" spans="1:24" ht="15.75" customHeight="1">
      <c r="A163" s="713"/>
      <c r="B163" s="713"/>
      <c r="C163" s="727"/>
      <c r="D163" s="727"/>
      <c r="E163" s="727"/>
      <c r="F163" s="727"/>
      <c r="G163" s="727"/>
      <c r="H163" s="727"/>
      <c r="I163" s="727"/>
      <c r="J163" s="727"/>
      <c r="K163" s="727"/>
      <c r="L163" s="727"/>
      <c r="M163" s="727"/>
      <c r="N163" s="727"/>
      <c r="O163" s="713"/>
      <c r="P163" s="713"/>
      <c r="Q163" s="713"/>
      <c r="R163" s="713"/>
      <c r="S163" s="713"/>
      <c r="T163" s="713"/>
      <c r="U163" s="713"/>
      <c r="V163" s="714"/>
      <c r="W163" s="714"/>
      <c r="X163" s="714"/>
    </row>
    <row r="164" spans="1:24" ht="15.75" customHeight="1">
      <c r="A164" s="713"/>
      <c r="B164" s="713"/>
      <c r="C164" s="727"/>
      <c r="D164" s="727"/>
      <c r="E164" s="727"/>
      <c r="F164" s="727"/>
      <c r="G164" s="727"/>
      <c r="H164" s="727"/>
      <c r="I164" s="727"/>
      <c r="J164" s="727"/>
      <c r="K164" s="727"/>
      <c r="L164" s="727"/>
      <c r="M164" s="727"/>
      <c r="N164" s="727"/>
      <c r="O164" s="713"/>
      <c r="P164" s="713"/>
      <c r="Q164" s="713"/>
      <c r="R164" s="713"/>
      <c r="S164" s="713"/>
      <c r="T164" s="713"/>
      <c r="U164" s="713"/>
      <c r="V164" s="714"/>
      <c r="W164" s="714"/>
      <c r="X164" s="714"/>
    </row>
    <row r="165" spans="1:24" ht="15.75" customHeight="1">
      <c r="A165" s="713"/>
      <c r="B165" s="713"/>
      <c r="C165" s="727"/>
      <c r="D165" s="727"/>
      <c r="E165" s="727"/>
      <c r="F165" s="727"/>
      <c r="G165" s="727"/>
      <c r="H165" s="727"/>
      <c r="I165" s="727"/>
      <c r="J165" s="727"/>
      <c r="K165" s="727"/>
      <c r="L165" s="727"/>
      <c r="M165" s="727"/>
      <c r="N165" s="727"/>
      <c r="O165" s="713"/>
      <c r="P165" s="713"/>
      <c r="Q165" s="713"/>
      <c r="R165" s="713"/>
      <c r="S165" s="713"/>
      <c r="T165" s="713"/>
      <c r="U165" s="713"/>
      <c r="V165" s="714"/>
      <c r="W165" s="714"/>
      <c r="X165" s="714"/>
    </row>
    <row r="166" spans="1:24" ht="15.75" customHeight="1">
      <c r="A166" s="713"/>
      <c r="B166" s="713"/>
      <c r="C166" s="727"/>
      <c r="D166" s="727"/>
      <c r="E166" s="727"/>
      <c r="F166" s="727"/>
      <c r="G166" s="727"/>
      <c r="H166" s="727"/>
      <c r="I166" s="727"/>
      <c r="J166" s="727"/>
      <c r="K166" s="727"/>
      <c r="L166" s="727"/>
      <c r="M166" s="727"/>
      <c r="N166" s="727"/>
      <c r="O166" s="713"/>
      <c r="P166" s="713"/>
      <c r="Q166" s="713"/>
      <c r="R166" s="713"/>
      <c r="S166" s="713"/>
      <c r="T166" s="713"/>
      <c r="U166" s="713"/>
      <c r="V166" s="714"/>
      <c r="W166" s="714"/>
      <c r="X166" s="714"/>
    </row>
    <row r="167" spans="1:24" ht="15.75" customHeight="1">
      <c r="A167" s="713"/>
      <c r="B167" s="713"/>
      <c r="C167" s="727"/>
      <c r="D167" s="727"/>
      <c r="E167" s="727"/>
      <c r="F167" s="727"/>
      <c r="G167" s="727"/>
      <c r="H167" s="727"/>
      <c r="I167" s="727"/>
      <c r="J167" s="727"/>
      <c r="K167" s="727"/>
      <c r="L167" s="727"/>
      <c r="M167" s="727"/>
      <c r="N167" s="727"/>
      <c r="O167" s="713"/>
      <c r="P167" s="713"/>
      <c r="Q167" s="713"/>
      <c r="R167" s="713"/>
      <c r="S167" s="713"/>
      <c r="T167" s="713"/>
      <c r="U167" s="713"/>
      <c r="V167" s="714"/>
      <c r="W167" s="714"/>
      <c r="X167" s="714"/>
    </row>
    <row r="168" spans="1:24" ht="15.75" customHeight="1">
      <c r="A168" s="713"/>
      <c r="B168" s="713"/>
      <c r="C168" s="727"/>
      <c r="D168" s="727"/>
      <c r="E168" s="727"/>
      <c r="F168" s="727"/>
      <c r="G168" s="727"/>
      <c r="H168" s="727"/>
      <c r="I168" s="727"/>
      <c r="J168" s="727"/>
      <c r="K168" s="727"/>
      <c r="L168" s="727"/>
      <c r="M168" s="727"/>
      <c r="N168" s="727"/>
      <c r="O168" s="713"/>
      <c r="P168" s="713"/>
      <c r="Q168" s="713"/>
      <c r="R168" s="713"/>
      <c r="S168" s="713"/>
      <c r="T168" s="713"/>
      <c r="U168" s="713"/>
      <c r="V168" s="714"/>
      <c r="W168" s="714"/>
      <c r="X168" s="714"/>
    </row>
    <row r="169" spans="1:24" ht="15.75" customHeight="1">
      <c r="A169" s="713"/>
      <c r="B169" s="713"/>
      <c r="C169" s="727"/>
      <c r="D169" s="727"/>
      <c r="E169" s="727"/>
      <c r="F169" s="727"/>
      <c r="G169" s="727"/>
      <c r="H169" s="727"/>
      <c r="I169" s="727"/>
      <c r="J169" s="727"/>
      <c r="K169" s="727"/>
      <c r="L169" s="727"/>
      <c r="M169" s="727"/>
      <c r="N169" s="727"/>
      <c r="O169" s="713"/>
      <c r="P169" s="713"/>
      <c r="Q169" s="713"/>
      <c r="R169" s="713"/>
      <c r="S169" s="713"/>
      <c r="T169" s="713"/>
      <c r="U169" s="713"/>
      <c r="V169" s="714"/>
      <c r="W169" s="714"/>
      <c r="X169" s="714"/>
    </row>
    <row r="170" spans="1:24" ht="15.75" customHeight="1">
      <c r="A170" s="713"/>
      <c r="B170" s="713"/>
      <c r="C170" s="727"/>
      <c r="D170" s="727"/>
      <c r="E170" s="727"/>
      <c r="F170" s="727"/>
      <c r="G170" s="727"/>
      <c r="H170" s="727"/>
      <c r="I170" s="727"/>
      <c r="J170" s="727"/>
      <c r="K170" s="727"/>
      <c r="L170" s="727"/>
      <c r="M170" s="727"/>
      <c r="N170" s="727"/>
      <c r="O170" s="713"/>
      <c r="P170" s="713"/>
      <c r="Q170" s="713"/>
      <c r="R170" s="713"/>
      <c r="S170" s="713"/>
      <c r="T170" s="713"/>
      <c r="U170" s="713"/>
      <c r="V170" s="714"/>
      <c r="W170" s="714"/>
      <c r="X170" s="714"/>
    </row>
    <row r="171" spans="1:24" ht="15.75" customHeight="1">
      <c r="A171" s="713"/>
      <c r="B171" s="713"/>
      <c r="C171" s="727"/>
      <c r="D171" s="727"/>
      <c r="E171" s="727"/>
      <c r="F171" s="727"/>
      <c r="G171" s="727"/>
      <c r="H171" s="727"/>
      <c r="I171" s="727"/>
      <c r="J171" s="727"/>
      <c r="K171" s="727"/>
      <c r="L171" s="727"/>
      <c r="M171" s="727"/>
      <c r="N171" s="727"/>
      <c r="O171" s="713"/>
      <c r="P171" s="713"/>
      <c r="Q171" s="713"/>
      <c r="R171" s="713"/>
      <c r="S171" s="713"/>
      <c r="T171" s="713"/>
      <c r="U171" s="713"/>
      <c r="V171" s="714"/>
      <c r="W171" s="714"/>
      <c r="X171" s="714"/>
    </row>
    <row r="172" spans="1:24" ht="15.75" customHeight="1">
      <c r="A172" s="713"/>
      <c r="B172" s="713"/>
      <c r="C172" s="727"/>
      <c r="D172" s="727"/>
      <c r="E172" s="727"/>
      <c r="F172" s="727"/>
      <c r="G172" s="727"/>
      <c r="H172" s="727"/>
      <c r="I172" s="727"/>
      <c r="J172" s="727"/>
      <c r="K172" s="727"/>
      <c r="L172" s="727"/>
      <c r="M172" s="727"/>
      <c r="N172" s="727"/>
      <c r="O172" s="713"/>
      <c r="P172" s="713"/>
      <c r="Q172" s="713"/>
      <c r="R172" s="713"/>
      <c r="S172" s="713"/>
      <c r="T172" s="713"/>
      <c r="U172" s="713"/>
      <c r="V172" s="714"/>
      <c r="W172" s="714"/>
      <c r="X172" s="714"/>
    </row>
    <row r="173" spans="1:24" ht="15.75" customHeight="1">
      <c r="A173" s="713"/>
      <c r="B173" s="713"/>
      <c r="C173" s="727"/>
      <c r="D173" s="727"/>
      <c r="E173" s="727"/>
      <c r="F173" s="727"/>
      <c r="G173" s="727"/>
      <c r="H173" s="727"/>
      <c r="I173" s="727"/>
      <c r="J173" s="727"/>
      <c r="K173" s="727"/>
      <c r="L173" s="727"/>
      <c r="M173" s="727"/>
      <c r="N173" s="727"/>
      <c r="O173" s="713"/>
      <c r="P173" s="713"/>
      <c r="Q173" s="713"/>
      <c r="R173" s="713"/>
      <c r="S173" s="713"/>
      <c r="T173" s="713"/>
      <c r="U173" s="713"/>
      <c r="V173" s="714"/>
      <c r="W173" s="714"/>
      <c r="X173" s="714"/>
    </row>
    <row r="174" spans="1:24" ht="15.75" customHeight="1">
      <c r="A174" s="713"/>
      <c r="B174" s="713"/>
      <c r="C174" s="727"/>
      <c r="D174" s="727"/>
      <c r="E174" s="727"/>
      <c r="F174" s="727"/>
      <c r="G174" s="727"/>
      <c r="H174" s="727"/>
      <c r="I174" s="727"/>
      <c r="J174" s="727"/>
      <c r="K174" s="727"/>
      <c r="L174" s="727"/>
      <c r="M174" s="727"/>
      <c r="N174" s="727"/>
      <c r="O174" s="713"/>
      <c r="P174" s="713"/>
      <c r="Q174" s="713"/>
      <c r="R174" s="713"/>
      <c r="S174" s="713"/>
      <c r="T174" s="713"/>
      <c r="U174" s="713"/>
      <c r="V174" s="714"/>
      <c r="W174" s="714"/>
      <c r="X174" s="714"/>
    </row>
    <row r="175" spans="1:24" ht="15.75" customHeight="1">
      <c r="A175" s="713"/>
      <c r="B175" s="713"/>
      <c r="C175" s="727"/>
      <c r="D175" s="727"/>
      <c r="E175" s="727"/>
      <c r="F175" s="727"/>
      <c r="G175" s="727"/>
      <c r="H175" s="727"/>
      <c r="I175" s="727"/>
      <c r="J175" s="727"/>
      <c r="K175" s="727"/>
      <c r="L175" s="727"/>
      <c r="M175" s="727"/>
      <c r="N175" s="727"/>
      <c r="O175" s="713"/>
      <c r="P175" s="713"/>
      <c r="Q175" s="713"/>
      <c r="R175" s="713"/>
      <c r="S175" s="713"/>
      <c r="T175" s="713"/>
      <c r="U175" s="713"/>
      <c r="V175" s="714"/>
      <c r="W175" s="714"/>
      <c r="X175" s="714"/>
    </row>
    <row r="176" spans="1:24" ht="15.75" customHeight="1">
      <c r="A176" s="713"/>
      <c r="B176" s="713"/>
      <c r="C176" s="727"/>
      <c r="D176" s="727"/>
      <c r="E176" s="727"/>
      <c r="F176" s="727"/>
      <c r="G176" s="727"/>
      <c r="H176" s="727"/>
      <c r="I176" s="727"/>
      <c r="J176" s="727"/>
      <c r="K176" s="727"/>
      <c r="L176" s="727"/>
      <c r="M176" s="727"/>
      <c r="N176" s="727"/>
      <c r="O176" s="713"/>
      <c r="P176" s="713"/>
      <c r="Q176" s="713"/>
      <c r="R176" s="713"/>
      <c r="S176" s="713"/>
      <c r="T176" s="713"/>
      <c r="U176" s="713"/>
      <c r="V176" s="714"/>
      <c r="W176" s="714"/>
      <c r="X176" s="714"/>
    </row>
    <row r="177" spans="1:24" ht="15.75" customHeight="1">
      <c r="A177" s="713"/>
      <c r="B177" s="713"/>
      <c r="C177" s="727"/>
      <c r="D177" s="727"/>
      <c r="E177" s="727"/>
      <c r="F177" s="727"/>
      <c r="G177" s="727"/>
      <c r="H177" s="727"/>
      <c r="I177" s="727"/>
      <c r="J177" s="727"/>
      <c r="K177" s="727"/>
      <c r="L177" s="727"/>
      <c r="M177" s="727"/>
      <c r="N177" s="727"/>
      <c r="O177" s="713"/>
      <c r="P177" s="713"/>
      <c r="Q177" s="713"/>
      <c r="R177" s="713"/>
      <c r="S177" s="713"/>
      <c r="T177" s="713"/>
      <c r="U177" s="713"/>
      <c r="V177" s="714"/>
      <c r="W177" s="714"/>
      <c r="X177" s="714"/>
    </row>
    <row r="178" spans="1:24" ht="15.75" customHeight="1">
      <c r="A178" s="713"/>
      <c r="B178" s="713"/>
      <c r="C178" s="727"/>
      <c r="D178" s="727"/>
      <c r="E178" s="727"/>
      <c r="F178" s="727"/>
      <c r="G178" s="727"/>
      <c r="H178" s="727"/>
      <c r="I178" s="727"/>
      <c r="J178" s="727"/>
      <c r="K178" s="727"/>
      <c r="L178" s="727"/>
      <c r="M178" s="727"/>
      <c r="N178" s="727"/>
      <c r="O178" s="713"/>
      <c r="P178" s="713"/>
      <c r="Q178" s="713"/>
      <c r="R178" s="713"/>
      <c r="S178" s="713"/>
      <c r="T178" s="713"/>
      <c r="U178" s="713"/>
      <c r="V178" s="714"/>
      <c r="W178" s="714"/>
      <c r="X178" s="714"/>
    </row>
    <row r="179" spans="1:24" ht="15.75" customHeight="1">
      <c r="A179" s="713"/>
      <c r="B179" s="713"/>
      <c r="C179" s="727"/>
      <c r="D179" s="727"/>
      <c r="E179" s="727"/>
      <c r="F179" s="727"/>
      <c r="G179" s="727"/>
      <c r="H179" s="727"/>
      <c r="I179" s="727"/>
      <c r="J179" s="727"/>
      <c r="K179" s="727"/>
      <c r="L179" s="727"/>
      <c r="M179" s="727"/>
      <c r="N179" s="727"/>
      <c r="O179" s="713"/>
      <c r="P179" s="713"/>
      <c r="Q179" s="713"/>
      <c r="R179" s="713"/>
      <c r="S179" s="713"/>
      <c r="T179" s="713"/>
      <c r="U179" s="713"/>
      <c r="V179" s="714"/>
      <c r="W179" s="714"/>
      <c r="X179" s="714"/>
    </row>
    <row r="180" spans="1:24" ht="15.75" customHeight="1">
      <c r="A180" s="713"/>
      <c r="B180" s="713"/>
      <c r="C180" s="727"/>
      <c r="D180" s="727"/>
      <c r="E180" s="727"/>
      <c r="F180" s="727"/>
      <c r="G180" s="727"/>
      <c r="H180" s="727"/>
      <c r="I180" s="727"/>
      <c r="J180" s="727"/>
      <c r="K180" s="727"/>
      <c r="L180" s="727"/>
      <c r="M180" s="727"/>
      <c r="N180" s="727"/>
      <c r="O180" s="713"/>
      <c r="P180" s="713"/>
      <c r="Q180" s="713"/>
      <c r="R180" s="713"/>
      <c r="S180" s="713"/>
      <c r="T180" s="713"/>
      <c r="U180" s="713"/>
      <c r="V180" s="714"/>
      <c r="W180" s="714"/>
      <c r="X180" s="714"/>
    </row>
    <row r="181" spans="1:24" ht="15.75" customHeight="1">
      <c r="A181" s="713"/>
      <c r="B181" s="713"/>
      <c r="C181" s="727"/>
      <c r="D181" s="727"/>
      <c r="E181" s="727"/>
      <c r="F181" s="727"/>
      <c r="G181" s="727"/>
      <c r="H181" s="727"/>
      <c r="I181" s="727"/>
      <c r="J181" s="727"/>
      <c r="K181" s="727"/>
      <c r="L181" s="727"/>
      <c r="M181" s="727"/>
      <c r="N181" s="727"/>
      <c r="O181" s="713"/>
      <c r="P181" s="713"/>
      <c r="Q181" s="713"/>
      <c r="R181" s="713"/>
      <c r="S181" s="713"/>
      <c r="T181" s="713"/>
      <c r="U181" s="713"/>
      <c r="V181" s="714"/>
      <c r="W181" s="714"/>
      <c r="X181" s="714"/>
    </row>
    <row r="182" spans="1:24" ht="15.75" customHeight="1">
      <c r="A182" s="713"/>
      <c r="B182" s="713"/>
      <c r="C182" s="727"/>
      <c r="D182" s="727"/>
      <c r="E182" s="727"/>
      <c r="F182" s="727"/>
      <c r="G182" s="727"/>
      <c r="H182" s="727"/>
      <c r="I182" s="727"/>
      <c r="J182" s="727"/>
      <c r="K182" s="727"/>
      <c r="L182" s="727"/>
      <c r="M182" s="727"/>
      <c r="N182" s="727"/>
      <c r="O182" s="713"/>
      <c r="P182" s="713"/>
      <c r="Q182" s="713"/>
      <c r="R182" s="713"/>
      <c r="S182" s="713"/>
      <c r="T182" s="713"/>
      <c r="U182" s="713"/>
      <c r="V182" s="714"/>
      <c r="W182" s="714"/>
      <c r="X182" s="714"/>
    </row>
    <row r="183" spans="1:24" ht="15.75" customHeight="1">
      <c r="A183" s="713"/>
      <c r="B183" s="713"/>
      <c r="C183" s="727"/>
      <c r="D183" s="727"/>
      <c r="E183" s="727"/>
      <c r="F183" s="727"/>
      <c r="G183" s="727"/>
      <c r="H183" s="727"/>
      <c r="I183" s="727"/>
      <c r="J183" s="727"/>
      <c r="K183" s="727"/>
      <c r="L183" s="727"/>
      <c r="M183" s="727"/>
      <c r="N183" s="727"/>
      <c r="O183" s="713"/>
      <c r="P183" s="713"/>
      <c r="Q183" s="713"/>
      <c r="R183" s="713"/>
      <c r="S183" s="713"/>
      <c r="T183" s="713"/>
      <c r="U183" s="713"/>
      <c r="V183" s="714"/>
      <c r="W183" s="714"/>
      <c r="X183" s="714"/>
    </row>
    <row r="184" spans="1:24" ht="15.75" customHeight="1">
      <c r="A184" s="713"/>
      <c r="B184" s="713"/>
      <c r="C184" s="727"/>
      <c r="D184" s="727"/>
      <c r="E184" s="727"/>
      <c r="F184" s="727"/>
      <c r="G184" s="727"/>
      <c r="H184" s="727"/>
      <c r="I184" s="727"/>
      <c r="J184" s="727"/>
      <c r="K184" s="727"/>
      <c r="L184" s="727"/>
      <c r="M184" s="727"/>
      <c r="N184" s="727"/>
      <c r="O184" s="713"/>
      <c r="P184" s="713"/>
      <c r="Q184" s="713"/>
      <c r="R184" s="713"/>
      <c r="S184" s="713"/>
      <c r="T184" s="713"/>
      <c r="U184" s="713"/>
      <c r="V184" s="714"/>
      <c r="W184" s="714"/>
      <c r="X184" s="714"/>
    </row>
    <row r="185" spans="1:24" ht="15.75" customHeight="1">
      <c r="A185" s="713"/>
      <c r="B185" s="713"/>
      <c r="C185" s="727"/>
      <c r="D185" s="727"/>
      <c r="E185" s="727"/>
      <c r="F185" s="727"/>
      <c r="G185" s="727"/>
      <c r="H185" s="727"/>
      <c r="I185" s="727"/>
      <c r="J185" s="727"/>
      <c r="K185" s="727"/>
      <c r="L185" s="727"/>
      <c r="M185" s="727"/>
      <c r="N185" s="727"/>
      <c r="O185" s="713"/>
      <c r="P185" s="713"/>
      <c r="Q185" s="713"/>
      <c r="R185" s="713"/>
      <c r="S185" s="713"/>
      <c r="T185" s="713"/>
      <c r="U185" s="713"/>
      <c r="V185" s="714"/>
      <c r="W185" s="714"/>
      <c r="X185" s="714"/>
    </row>
    <row r="186" spans="1:24" ht="15.75" customHeight="1">
      <c r="A186" s="713"/>
      <c r="B186" s="713"/>
      <c r="C186" s="727"/>
      <c r="D186" s="727"/>
      <c r="E186" s="727"/>
      <c r="F186" s="727"/>
      <c r="G186" s="727"/>
      <c r="H186" s="727"/>
      <c r="I186" s="727"/>
      <c r="J186" s="727"/>
      <c r="K186" s="727"/>
      <c r="L186" s="727"/>
      <c r="M186" s="727"/>
      <c r="N186" s="727"/>
      <c r="O186" s="713"/>
      <c r="P186" s="713"/>
      <c r="Q186" s="713"/>
      <c r="R186" s="713"/>
      <c r="S186" s="713"/>
      <c r="T186" s="713"/>
      <c r="U186" s="713"/>
      <c r="V186" s="714"/>
      <c r="W186" s="714"/>
      <c r="X186" s="714"/>
    </row>
    <row r="187" spans="1:24" ht="15.75" customHeight="1">
      <c r="A187" s="713"/>
      <c r="B187" s="713"/>
      <c r="C187" s="727"/>
      <c r="D187" s="727"/>
      <c r="E187" s="727"/>
      <c r="F187" s="727"/>
      <c r="G187" s="727"/>
      <c r="H187" s="727"/>
      <c r="I187" s="727"/>
      <c r="J187" s="727"/>
      <c r="K187" s="727"/>
      <c r="L187" s="727"/>
      <c r="M187" s="727"/>
      <c r="N187" s="727"/>
      <c r="O187" s="713"/>
      <c r="P187" s="713"/>
      <c r="Q187" s="713"/>
      <c r="R187" s="713"/>
      <c r="S187" s="713"/>
      <c r="T187" s="713"/>
      <c r="U187" s="713"/>
      <c r="V187" s="714"/>
      <c r="W187" s="714"/>
      <c r="X187" s="714"/>
    </row>
    <row r="188" spans="1:24" ht="15.75" customHeight="1">
      <c r="A188" s="713"/>
      <c r="B188" s="713"/>
      <c r="C188" s="727"/>
      <c r="D188" s="727"/>
      <c r="E188" s="727"/>
      <c r="F188" s="727"/>
      <c r="G188" s="727"/>
      <c r="H188" s="727"/>
      <c r="I188" s="727"/>
      <c r="J188" s="727"/>
      <c r="K188" s="727"/>
      <c r="L188" s="727"/>
      <c r="M188" s="727"/>
      <c r="N188" s="727"/>
      <c r="O188" s="713"/>
      <c r="P188" s="713"/>
      <c r="Q188" s="713"/>
      <c r="R188" s="713"/>
      <c r="S188" s="713"/>
      <c r="T188" s="713"/>
      <c r="U188" s="713"/>
      <c r="V188" s="714"/>
      <c r="W188" s="714"/>
      <c r="X188" s="714"/>
    </row>
    <row r="189" spans="1:24" ht="15.75" customHeight="1">
      <c r="A189" s="713"/>
      <c r="B189" s="713"/>
      <c r="C189" s="727"/>
      <c r="D189" s="727"/>
      <c r="E189" s="727"/>
      <c r="F189" s="727"/>
      <c r="G189" s="727"/>
      <c r="H189" s="727"/>
      <c r="I189" s="727"/>
      <c r="J189" s="727"/>
      <c r="K189" s="727"/>
      <c r="L189" s="727"/>
      <c r="M189" s="727"/>
      <c r="N189" s="727"/>
      <c r="O189" s="713"/>
      <c r="P189" s="713"/>
      <c r="Q189" s="713"/>
      <c r="R189" s="713"/>
      <c r="S189" s="713"/>
      <c r="T189" s="713"/>
      <c r="U189" s="713"/>
      <c r="V189" s="714"/>
      <c r="W189" s="714"/>
      <c r="X189" s="714"/>
    </row>
    <row r="190" spans="1:24" ht="15.75" customHeight="1">
      <c r="A190" s="713"/>
      <c r="B190" s="713"/>
      <c r="C190" s="727"/>
      <c r="D190" s="727"/>
      <c r="E190" s="727"/>
      <c r="F190" s="727"/>
      <c r="G190" s="727"/>
      <c r="H190" s="727"/>
      <c r="I190" s="727"/>
      <c r="J190" s="727"/>
      <c r="K190" s="727"/>
      <c r="L190" s="727"/>
      <c r="M190" s="727"/>
      <c r="N190" s="727"/>
      <c r="O190" s="713"/>
      <c r="P190" s="713"/>
      <c r="Q190" s="713"/>
      <c r="R190" s="713"/>
      <c r="S190" s="713"/>
      <c r="T190" s="713"/>
      <c r="U190" s="713"/>
      <c r="V190" s="714"/>
      <c r="W190" s="714"/>
      <c r="X190" s="714"/>
    </row>
    <row r="191" spans="1:24" ht="15.75" customHeight="1">
      <c r="A191" s="713"/>
      <c r="B191" s="713"/>
      <c r="C191" s="727"/>
      <c r="D191" s="727"/>
      <c r="E191" s="727"/>
      <c r="F191" s="727"/>
      <c r="G191" s="727"/>
      <c r="H191" s="727"/>
      <c r="I191" s="727"/>
      <c r="J191" s="727"/>
      <c r="K191" s="727"/>
      <c r="L191" s="727"/>
      <c r="M191" s="727"/>
      <c r="N191" s="727"/>
      <c r="O191" s="713"/>
      <c r="P191" s="713"/>
      <c r="Q191" s="713"/>
      <c r="R191" s="713"/>
      <c r="S191" s="713"/>
      <c r="T191" s="713"/>
      <c r="U191" s="713"/>
      <c r="V191" s="714"/>
      <c r="W191" s="714"/>
      <c r="X191" s="714"/>
    </row>
    <row r="192" spans="1:24" ht="15.75" customHeight="1">
      <c r="A192" s="713"/>
      <c r="B192" s="713"/>
      <c r="C192" s="727"/>
      <c r="D192" s="727"/>
      <c r="E192" s="727"/>
      <c r="F192" s="727"/>
      <c r="G192" s="727"/>
      <c r="H192" s="727"/>
      <c r="I192" s="727"/>
      <c r="J192" s="727"/>
      <c r="K192" s="727"/>
      <c r="L192" s="727"/>
      <c r="M192" s="727"/>
      <c r="N192" s="727"/>
      <c r="O192" s="713"/>
      <c r="P192" s="713"/>
      <c r="Q192" s="713"/>
      <c r="R192" s="713"/>
      <c r="S192" s="713"/>
      <c r="T192" s="713"/>
      <c r="U192" s="713"/>
      <c r="V192" s="714"/>
      <c r="W192" s="714"/>
      <c r="X192" s="714"/>
    </row>
    <row r="193" spans="1:24" ht="15.75" customHeight="1">
      <c r="A193" s="713"/>
      <c r="B193" s="713"/>
      <c r="C193" s="727"/>
      <c r="D193" s="727"/>
      <c r="E193" s="727"/>
      <c r="F193" s="727"/>
      <c r="G193" s="727"/>
      <c r="H193" s="727"/>
      <c r="I193" s="727"/>
      <c r="J193" s="727"/>
      <c r="K193" s="727"/>
      <c r="L193" s="727"/>
      <c r="M193" s="727"/>
      <c r="N193" s="727"/>
      <c r="O193" s="713"/>
      <c r="P193" s="713"/>
      <c r="Q193" s="713"/>
      <c r="R193" s="713"/>
      <c r="S193" s="713"/>
      <c r="T193" s="713"/>
      <c r="U193" s="713"/>
      <c r="V193" s="714"/>
      <c r="W193" s="714"/>
      <c r="X193" s="714"/>
    </row>
    <row r="194" spans="1:24" ht="15.75" customHeight="1">
      <c r="A194" s="713"/>
      <c r="B194" s="713"/>
      <c r="C194" s="727"/>
      <c r="D194" s="727"/>
      <c r="E194" s="727"/>
      <c r="F194" s="727"/>
      <c r="G194" s="727"/>
      <c r="H194" s="727"/>
      <c r="I194" s="727"/>
      <c r="J194" s="727"/>
      <c r="K194" s="727"/>
      <c r="L194" s="727"/>
      <c r="M194" s="727"/>
      <c r="N194" s="727"/>
      <c r="O194" s="713"/>
      <c r="P194" s="713"/>
      <c r="Q194" s="713"/>
      <c r="R194" s="713"/>
      <c r="S194" s="713"/>
      <c r="T194" s="713"/>
      <c r="U194" s="713"/>
      <c r="V194" s="714"/>
      <c r="W194" s="714"/>
      <c r="X194" s="714"/>
    </row>
    <row r="195" spans="1:24" ht="15.75" customHeight="1">
      <c r="A195" s="713"/>
      <c r="B195" s="713"/>
      <c r="C195" s="727"/>
      <c r="D195" s="727"/>
      <c r="E195" s="727"/>
      <c r="F195" s="727"/>
      <c r="G195" s="727"/>
      <c r="H195" s="727"/>
      <c r="I195" s="727"/>
      <c r="J195" s="727"/>
      <c r="K195" s="727"/>
      <c r="L195" s="727"/>
      <c r="M195" s="727"/>
      <c r="N195" s="727"/>
      <c r="O195" s="713"/>
      <c r="P195" s="713"/>
      <c r="Q195" s="713"/>
      <c r="R195" s="713"/>
      <c r="S195" s="713"/>
      <c r="T195" s="713"/>
      <c r="U195" s="713"/>
      <c r="V195" s="714"/>
      <c r="W195" s="714"/>
      <c r="X195" s="714"/>
    </row>
    <row r="196" spans="1:24" ht="15.75" customHeight="1">
      <c r="A196" s="713"/>
      <c r="B196" s="713"/>
      <c r="C196" s="727"/>
      <c r="D196" s="727"/>
      <c r="E196" s="727"/>
      <c r="F196" s="727"/>
      <c r="G196" s="727"/>
      <c r="H196" s="727"/>
      <c r="I196" s="727"/>
      <c r="J196" s="727"/>
      <c r="K196" s="727"/>
      <c r="L196" s="727"/>
      <c r="M196" s="727"/>
      <c r="N196" s="727"/>
      <c r="O196" s="713"/>
      <c r="P196" s="713"/>
      <c r="Q196" s="713"/>
      <c r="R196" s="713"/>
      <c r="S196" s="713"/>
      <c r="T196" s="713"/>
      <c r="U196" s="713"/>
      <c r="V196" s="714"/>
      <c r="W196" s="714"/>
      <c r="X196" s="714"/>
    </row>
    <row r="197" spans="1:24" ht="15.75" customHeight="1">
      <c r="A197" s="713"/>
      <c r="B197" s="713"/>
      <c r="C197" s="727"/>
      <c r="D197" s="727"/>
      <c r="E197" s="727"/>
      <c r="F197" s="727"/>
      <c r="G197" s="727"/>
      <c r="H197" s="727"/>
      <c r="I197" s="727"/>
      <c r="J197" s="727"/>
      <c r="K197" s="727"/>
      <c r="L197" s="727"/>
      <c r="M197" s="727"/>
      <c r="N197" s="727"/>
      <c r="O197" s="713"/>
      <c r="P197" s="713"/>
      <c r="Q197" s="713"/>
      <c r="R197" s="713"/>
      <c r="S197" s="713"/>
      <c r="T197" s="713"/>
      <c r="U197" s="713"/>
      <c r="V197" s="714"/>
      <c r="W197" s="714"/>
      <c r="X197" s="714"/>
    </row>
    <row r="198" spans="1:24" ht="15.75" customHeight="1">
      <c r="A198" s="713"/>
      <c r="B198" s="713"/>
      <c r="C198" s="727"/>
      <c r="D198" s="727"/>
      <c r="E198" s="727"/>
      <c r="F198" s="727"/>
      <c r="G198" s="727"/>
      <c r="H198" s="727"/>
      <c r="I198" s="727"/>
      <c r="J198" s="727"/>
      <c r="K198" s="727"/>
      <c r="L198" s="727"/>
      <c r="M198" s="727"/>
      <c r="N198" s="727"/>
      <c r="O198" s="713"/>
      <c r="P198" s="713"/>
      <c r="Q198" s="713"/>
      <c r="R198" s="713"/>
      <c r="S198" s="713"/>
      <c r="T198" s="713"/>
      <c r="U198" s="713"/>
      <c r="V198" s="714"/>
      <c r="W198" s="714"/>
      <c r="X198" s="714"/>
    </row>
    <row r="199" spans="1:24" ht="15.75" customHeight="1">
      <c r="A199" s="713"/>
      <c r="B199" s="713"/>
      <c r="C199" s="727"/>
      <c r="D199" s="727"/>
      <c r="E199" s="727"/>
      <c r="F199" s="727"/>
      <c r="G199" s="727"/>
      <c r="H199" s="727"/>
      <c r="I199" s="727"/>
      <c r="J199" s="727"/>
      <c r="K199" s="727"/>
      <c r="L199" s="727"/>
      <c r="M199" s="727"/>
      <c r="N199" s="727"/>
      <c r="O199" s="713"/>
      <c r="P199" s="713"/>
      <c r="Q199" s="713"/>
      <c r="R199" s="713"/>
      <c r="S199" s="713"/>
      <c r="T199" s="713"/>
      <c r="U199" s="713"/>
      <c r="V199" s="714"/>
      <c r="W199" s="714"/>
      <c r="X199" s="714"/>
    </row>
    <row r="200" spans="1:24" ht="15.75" customHeight="1">
      <c r="A200" s="713"/>
      <c r="B200" s="713"/>
      <c r="C200" s="727"/>
      <c r="D200" s="727"/>
      <c r="E200" s="727"/>
      <c r="F200" s="727"/>
      <c r="G200" s="727"/>
      <c r="H200" s="727"/>
      <c r="I200" s="727"/>
      <c r="J200" s="727"/>
      <c r="K200" s="727"/>
      <c r="L200" s="727"/>
      <c r="M200" s="727"/>
      <c r="N200" s="727"/>
      <c r="O200" s="713"/>
      <c r="P200" s="713"/>
      <c r="Q200" s="713"/>
      <c r="R200" s="713"/>
      <c r="S200" s="713"/>
      <c r="T200" s="713"/>
      <c r="U200" s="713"/>
      <c r="V200" s="714"/>
      <c r="W200" s="714"/>
      <c r="X200" s="714"/>
    </row>
    <row r="201" spans="1:24" ht="15.75" customHeight="1">
      <c r="A201" s="713"/>
      <c r="B201" s="713"/>
      <c r="C201" s="727"/>
      <c r="D201" s="727"/>
      <c r="E201" s="727"/>
      <c r="F201" s="727"/>
      <c r="G201" s="727"/>
      <c r="H201" s="727"/>
      <c r="I201" s="727"/>
      <c r="J201" s="727"/>
      <c r="K201" s="727"/>
      <c r="L201" s="727"/>
      <c r="M201" s="727"/>
      <c r="N201" s="727"/>
      <c r="O201" s="713"/>
      <c r="P201" s="713"/>
      <c r="Q201" s="713"/>
      <c r="R201" s="713"/>
      <c r="S201" s="713"/>
      <c r="T201" s="713"/>
      <c r="U201" s="713"/>
      <c r="V201" s="714"/>
      <c r="W201" s="714"/>
      <c r="X201" s="714"/>
    </row>
    <row r="202" spans="1:24" ht="15.75" customHeight="1">
      <c r="A202" s="713"/>
      <c r="B202" s="713"/>
      <c r="C202" s="727"/>
      <c r="D202" s="727"/>
      <c r="E202" s="727"/>
      <c r="F202" s="727"/>
      <c r="G202" s="727"/>
      <c r="H202" s="727"/>
      <c r="I202" s="727"/>
      <c r="J202" s="727"/>
      <c r="K202" s="727"/>
      <c r="L202" s="727"/>
      <c r="M202" s="727"/>
      <c r="N202" s="727"/>
      <c r="O202" s="713"/>
      <c r="P202" s="713"/>
      <c r="Q202" s="713"/>
      <c r="R202" s="713"/>
      <c r="S202" s="713"/>
      <c r="T202" s="713"/>
      <c r="U202" s="713"/>
      <c r="V202" s="714"/>
      <c r="W202" s="714"/>
      <c r="X202" s="714"/>
    </row>
    <row r="203" spans="1:24" ht="15.75" customHeight="1">
      <c r="A203" s="713"/>
      <c r="B203" s="713"/>
      <c r="C203" s="727"/>
      <c r="D203" s="727"/>
      <c r="E203" s="727"/>
      <c r="F203" s="727"/>
      <c r="G203" s="727"/>
      <c r="H203" s="727"/>
      <c r="I203" s="727"/>
      <c r="J203" s="727"/>
      <c r="K203" s="727"/>
      <c r="L203" s="727"/>
      <c r="M203" s="727"/>
      <c r="N203" s="727"/>
      <c r="O203" s="713"/>
      <c r="P203" s="713"/>
      <c r="Q203" s="713"/>
      <c r="R203" s="713"/>
      <c r="S203" s="713"/>
      <c r="T203" s="713"/>
      <c r="U203" s="713"/>
      <c r="V203" s="714"/>
      <c r="W203" s="714"/>
      <c r="X203" s="714"/>
    </row>
    <row r="204" spans="1:24" ht="15.75" customHeight="1">
      <c r="A204" s="713"/>
      <c r="B204" s="713"/>
      <c r="C204" s="727"/>
      <c r="D204" s="727"/>
      <c r="E204" s="727"/>
      <c r="F204" s="727"/>
      <c r="G204" s="727"/>
      <c r="H204" s="727"/>
      <c r="I204" s="727"/>
      <c r="J204" s="727"/>
      <c r="K204" s="727"/>
      <c r="L204" s="727"/>
      <c r="M204" s="727"/>
      <c r="N204" s="727"/>
      <c r="O204" s="713"/>
      <c r="P204" s="713"/>
      <c r="Q204" s="713"/>
      <c r="R204" s="713"/>
      <c r="S204" s="713"/>
      <c r="T204" s="713"/>
      <c r="U204" s="713"/>
      <c r="V204" s="714"/>
      <c r="W204" s="714"/>
      <c r="X204" s="714"/>
    </row>
    <row r="205" spans="1:24" ht="15.75" customHeight="1">
      <c r="A205" s="713"/>
      <c r="B205" s="713"/>
      <c r="C205" s="727"/>
      <c r="D205" s="727"/>
      <c r="E205" s="727"/>
      <c r="F205" s="727"/>
      <c r="G205" s="727"/>
      <c r="H205" s="727"/>
      <c r="I205" s="727"/>
      <c r="J205" s="727"/>
      <c r="K205" s="727"/>
      <c r="L205" s="727"/>
      <c r="M205" s="727"/>
      <c r="N205" s="727"/>
      <c r="O205" s="713"/>
      <c r="P205" s="713"/>
      <c r="Q205" s="713"/>
      <c r="R205" s="713"/>
      <c r="S205" s="713"/>
      <c r="T205" s="713"/>
      <c r="U205" s="713"/>
      <c r="V205" s="714"/>
      <c r="W205" s="714"/>
      <c r="X205" s="714"/>
    </row>
    <row r="206" spans="1:24" ht="15.75" customHeight="1">
      <c r="A206" s="713"/>
      <c r="B206" s="713"/>
      <c r="C206" s="727"/>
      <c r="D206" s="727"/>
      <c r="E206" s="727"/>
      <c r="F206" s="727"/>
      <c r="G206" s="727"/>
      <c r="H206" s="727"/>
      <c r="I206" s="727"/>
      <c r="J206" s="727"/>
      <c r="K206" s="727"/>
      <c r="L206" s="727"/>
      <c r="M206" s="727"/>
      <c r="N206" s="727"/>
      <c r="O206" s="713"/>
      <c r="P206" s="713"/>
      <c r="Q206" s="713"/>
      <c r="R206" s="713"/>
      <c r="S206" s="713"/>
      <c r="T206" s="713"/>
      <c r="U206" s="713"/>
      <c r="V206" s="714"/>
      <c r="W206" s="714"/>
      <c r="X206" s="714"/>
    </row>
    <row r="207" spans="1:24" ht="15.75" customHeight="1">
      <c r="A207" s="713"/>
      <c r="B207" s="713"/>
      <c r="C207" s="727"/>
      <c r="D207" s="727"/>
      <c r="E207" s="727"/>
      <c r="F207" s="727"/>
      <c r="G207" s="727"/>
      <c r="H207" s="727"/>
      <c r="I207" s="727"/>
      <c r="J207" s="727"/>
      <c r="K207" s="727"/>
      <c r="L207" s="727"/>
      <c r="M207" s="727"/>
      <c r="N207" s="727"/>
      <c r="O207" s="713"/>
      <c r="P207" s="713"/>
      <c r="Q207" s="713"/>
      <c r="R207" s="713"/>
      <c r="S207" s="713"/>
      <c r="T207" s="713"/>
      <c r="U207" s="713"/>
      <c r="V207" s="714"/>
      <c r="W207" s="714"/>
      <c r="X207" s="714"/>
    </row>
    <row r="208" spans="1:24" ht="15.75" customHeight="1">
      <c r="A208" s="713"/>
      <c r="B208" s="713"/>
      <c r="C208" s="727"/>
      <c r="D208" s="727"/>
      <c r="E208" s="727"/>
      <c r="F208" s="727"/>
      <c r="G208" s="727"/>
      <c r="H208" s="727"/>
      <c r="I208" s="727"/>
      <c r="J208" s="727"/>
      <c r="K208" s="727"/>
      <c r="L208" s="727"/>
      <c r="M208" s="727"/>
      <c r="N208" s="727"/>
      <c r="O208" s="713"/>
      <c r="P208" s="713"/>
      <c r="Q208" s="713"/>
      <c r="R208" s="713"/>
      <c r="S208" s="713"/>
      <c r="T208" s="713"/>
      <c r="U208" s="713"/>
      <c r="V208" s="714"/>
      <c r="W208" s="714"/>
      <c r="X208" s="714"/>
    </row>
    <row r="209" spans="1:24" ht="15.75" customHeight="1">
      <c r="A209" s="713"/>
      <c r="B209" s="713"/>
      <c r="C209" s="727"/>
      <c r="D209" s="727"/>
      <c r="E209" s="727"/>
      <c r="F209" s="727"/>
      <c r="G209" s="727"/>
      <c r="H209" s="727"/>
      <c r="I209" s="727"/>
      <c r="J209" s="727"/>
      <c r="K209" s="727"/>
      <c r="L209" s="727"/>
      <c r="M209" s="727"/>
      <c r="N209" s="727"/>
      <c r="O209" s="713"/>
      <c r="P209" s="713"/>
      <c r="Q209" s="713"/>
      <c r="R209" s="713"/>
      <c r="S209" s="713"/>
      <c r="T209" s="713"/>
      <c r="U209" s="713"/>
      <c r="V209" s="714"/>
      <c r="W209" s="714"/>
      <c r="X209" s="714"/>
    </row>
    <row r="210" spans="1:24" ht="15.75" customHeight="1">
      <c r="A210" s="713"/>
      <c r="B210" s="713"/>
      <c r="C210" s="727"/>
      <c r="D210" s="727"/>
      <c r="E210" s="727"/>
      <c r="F210" s="727"/>
      <c r="G210" s="727"/>
      <c r="H210" s="727"/>
      <c r="I210" s="727"/>
      <c r="J210" s="727"/>
      <c r="K210" s="727"/>
      <c r="L210" s="727"/>
      <c r="M210" s="727"/>
      <c r="N210" s="727"/>
      <c r="O210" s="713"/>
      <c r="P210" s="713"/>
      <c r="Q210" s="713"/>
      <c r="R210" s="713"/>
      <c r="S210" s="713"/>
      <c r="T210" s="713"/>
      <c r="U210" s="713"/>
      <c r="V210" s="714"/>
      <c r="W210" s="714"/>
      <c r="X210" s="714"/>
    </row>
    <row r="211" spans="1:24" ht="15.75" customHeight="1">
      <c r="A211" s="734"/>
      <c r="B211" s="734"/>
      <c r="C211" s="735"/>
      <c r="D211" s="735"/>
      <c r="E211" s="735"/>
      <c r="F211" s="735"/>
      <c r="G211" s="735"/>
      <c r="H211" s="735"/>
      <c r="I211" s="735"/>
      <c r="J211" s="735"/>
      <c r="K211" s="735"/>
      <c r="L211" s="735"/>
      <c r="M211" s="735"/>
      <c r="N211" s="735"/>
      <c r="O211" s="734"/>
      <c r="P211" s="734"/>
      <c r="Q211" s="734"/>
      <c r="R211" s="734"/>
      <c r="S211" s="734"/>
      <c r="T211" s="734"/>
      <c r="U211" s="734"/>
    </row>
    <row r="212" spans="1:24" ht="15.75" customHeight="1">
      <c r="A212" s="734"/>
      <c r="B212" s="734"/>
      <c r="C212" s="735"/>
      <c r="D212" s="735"/>
      <c r="E212" s="735"/>
      <c r="F212" s="735"/>
      <c r="G212" s="735"/>
      <c r="H212" s="735"/>
      <c r="I212" s="735"/>
      <c r="J212" s="735"/>
      <c r="K212" s="735"/>
      <c r="L212" s="735"/>
      <c r="M212" s="735"/>
      <c r="N212" s="735"/>
      <c r="O212" s="734"/>
      <c r="P212" s="734"/>
      <c r="Q212" s="734"/>
      <c r="R212" s="734"/>
      <c r="S212" s="734"/>
      <c r="T212" s="734"/>
      <c r="U212" s="734"/>
    </row>
    <row r="213" spans="1:24" ht="15.75" customHeight="1">
      <c r="A213" s="734"/>
      <c r="B213" s="734"/>
      <c r="C213" s="735"/>
      <c r="D213" s="735"/>
      <c r="E213" s="735"/>
      <c r="F213" s="735"/>
      <c r="G213" s="735"/>
      <c r="H213" s="735"/>
      <c r="I213" s="735"/>
      <c r="J213" s="735"/>
      <c r="K213" s="735"/>
      <c r="L213" s="735"/>
      <c r="M213" s="735"/>
      <c r="N213" s="735"/>
      <c r="O213" s="734"/>
      <c r="P213" s="734"/>
      <c r="Q213" s="734"/>
      <c r="R213" s="734"/>
      <c r="S213" s="734"/>
      <c r="T213" s="734"/>
      <c r="U213" s="734"/>
    </row>
    <row r="214" spans="1:24" ht="15.75" customHeight="1">
      <c r="A214" s="734"/>
      <c r="B214" s="734"/>
      <c r="C214" s="735"/>
      <c r="D214" s="735"/>
      <c r="E214" s="735"/>
      <c r="F214" s="735"/>
      <c r="G214" s="735"/>
      <c r="H214" s="735"/>
      <c r="I214" s="735"/>
      <c r="J214" s="735"/>
      <c r="K214" s="735"/>
      <c r="L214" s="735"/>
      <c r="M214" s="735"/>
      <c r="N214" s="735"/>
      <c r="O214" s="734"/>
      <c r="P214" s="734"/>
      <c r="Q214" s="734"/>
      <c r="R214" s="734"/>
      <c r="S214" s="734"/>
      <c r="T214" s="734"/>
      <c r="U214" s="734"/>
    </row>
    <row r="215" spans="1:24" ht="15.75" customHeight="1">
      <c r="A215" s="734"/>
      <c r="B215" s="734"/>
      <c r="C215" s="735"/>
      <c r="D215" s="735"/>
      <c r="E215" s="735"/>
      <c r="F215" s="735"/>
      <c r="G215" s="735"/>
      <c r="H215" s="735"/>
      <c r="I215" s="735"/>
      <c r="J215" s="735"/>
      <c r="K215" s="735"/>
      <c r="L215" s="735"/>
      <c r="M215" s="735"/>
      <c r="N215" s="735"/>
      <c r="O215" s="734"/>
      <c r="P215" s="734"/>
      <c r="Q215" s="734"/>
      <c r="R215" s="734"/>
      <c r="S215" s="734"/>
      <c r="T215" s="734"/>
      <c r="U215" s="734"/>
    </row>
    <row r="216" spans="1:24" ht="15.75" customHeight="1">
      <c r="A216" s="734"/>
      <c r="B216" s="734"/>
      <c r="C216" s="735"/>
      <c r="D216" s="735"/>
      <c r="E216" s="735"/>
      <c r="F216" s="735"/>
      <c r="G216" s="735"/>
      <c r="H216" s="735"/>
      <c r="I216" s="735"/>
      <c r="J216" s="735"/>
      <c r="K216" s="735"/>
      <c r="L216" s="735"/>
      <c r="M216" s="735"/>
      <c r="N216" s="735"/>
      <c r="O216" s="734"/>
      <c r="P216" s="734"/>
      <c r="Q216" s="734"/>
      <c r="R216" s="734"/>
      <c r="S216" s="734"/>
      <c r="T216" s="734"/>
      <c r="U216" s="734"/>
    </row>
    <row r="217" spans="1:24" ht="15.75" customHeight="1">
      <c r="A217" s="734"/>
      <c r="B217" s="734"/>
      <c r="C217" s="735"/>
      <c r="D217" s="735"/>
      <c r="E217" s="735"/>
      <c r="F217" s="735"/>
      <c r="G217" s="735"/>
      <c r="H217" s="735"/>
      <c r="I217" s="735"/>
      <c r="J217" s="735"/>
      <c r="K217" s="735"/>
      <c r="L217" s="735"/>
      <c r="M217" s="735"/>
      <c r="N217" s="735"/>
      <c r="O217" s="734"/>
      <c r="P217" s="734"/>
      <c r="Q217" s="734"/>
      <c r="R217" s="734"/>
      <c r="S217" s="734"/>
      <c r="T217" s="734"/>
      <c r="U217" s="734"/>
    </row>
    <row r="218" spans="1:24" ht="15.75" customHeight="1">
      <c r="A218" s="734"/>
      <c r="B218" s="734"/>
      <c r="C218" s="735"/>
      <c r="D218" s="735"/>
      <c r="E218" s="735"/>
      <c r="F218" s="735"/>
      <c r="G218" s="735"/>
      <c r="H218" s="735"/>
      <c r="I218" s="735"/>
      <c r="J218" s="735"/>
      <c r="K218" s="735"/>
      <c r="L218" s="735"/>
      <c r="M218" s="735"/>
      <c r="N218" s="735"/>
      <c r="O218" s="734"/>
      <c r="P218" s="734"/>
      <c r="Q218" s="734"/>
      <c r="R218" s="734"/>
      <c r="S218" s="734"/>
      <c r="T218" s="734"/>
      <c r="U218" s="734"/>
    </row>
    <row r="219" spans="1:24" ht="15.75" customHeight="1">
      <c r="A219" s="734"/>
      <c r="B219" s="734"/>
      <c r="C219" s="735"/>
      <c r="D219" s="735"/>
      <c r="E219" s="735"/>
      <c r="F219" s="735"/>
      <c r="G219" s="735"/>
      <c r="H219" s="735"/>
      <c r="I219" s="735"/>
      <c r="J219" s="735"/>
      <c r="K219" s="735"/>
      <c r="L219" s="735"/>
      <c r="M219" s="735"/>
      <c r="N219" s="735"/>
      <c r="O219" s="734"/>
      <c r="P219" s="734"/>
      <c r="Q219" s="734"/>
      <c r="R219" s="734"/>
      <c r="S219" s="734"/>
      <c r="T219" s="734"/>
      <c r="U219" s="734"/>
    </row>
    <row r="220" spans="1:24" ht="15.75" customHeight="1">
      <c r="A220" s="734"/>
      <c r="B220" s="734"/>
      <c r="C220" s="735"/>
      <c r="D220" s="735"/>
      <c r="E220" s="735"/>
      <c r="F220" s="735"/>
      <c r="G220" s="735"/>
      <c r="H220" s="735"/>
      <c r="I220" s="735"/>
      <c r="J220" s="735"/>
      <c r="K220" s="735"/>
      <c r="L220" s="735"/>
      <c r="M220" s="735"/>
      <c r="N220" s="735"/>
      <c r="O220" s="734"/>
      <c r="P220" s="734"/>
      <c r="Q220" s="734"/>
      <c r="R220" s="734"/>
      <c r="S220" s="734"/>
      <c r="T220" s="734"/>
      <c r="U220" s="734"/>
    </row>
    <row r="221" spans="1:24" ht="15.75" customHeight="1">
      <c r="A221" s="734"/>
      <c r="B221" s="734"/>
      <c r="C221" s="735"/>
      <c r="D221" s="735"/>
      <c r="E221" s="735"/>
      <c r="F221" s="735"/>
      <c r="G221" s="735"/>
      <c r="H221" s="735"/>
      <c r="I221" s="735"/>
      <c r="J221" s="735"/>
      <c r="K221" s="735"/>
      <c r="L221" s="735"/>
      <c r="M221" s="735"/>
      <c r="N221" s="735"/>
      <c r="O221" s="734"/>
      <c r="P221" s="734"/>
      <c r="Q221" s="734"/>
      <c r="R221" s="734"/>
      <c r="S221" s="734"/>
      <c r="T221" s="734"/>
      <c r="U221" s="734"/>
    </row>
    <row r="222" spans="1:24" ht="15.75" customHeight="1">
      <c r="A222" s="734"/>
      <c r="B222" s="734"/>
      <c r="C222" s="735"/>
      <c r="D222" s="735"/>
      <c r="E222" s="735"/>
      <c r="F222" s="735"/>
      <c r="G222" s="735"/>
      <c r="H222" s="735"/>
      <c r="I222" s="735"/>
      <c r="J222" s="735"/>
      <c r="K222" s="735"/>
      <c r="L222" s="735"/>
      <c r="M222" s="735"/>
      <c r="N222" s="735"/>
      <c r="O222" s="734"/>
      <c r="P222" s="734"/>
      <c r="Q222" s="734"/>
      <c r="R222" s="734"/>
      <c r="S222" s="734"/>
      <c r="T222" s="734"/>
      <c r="U222" s="734"/>
    </row>
    <row r="223" spans="1:24" ht="15.75" customHeight="1">
      <c r="A223" s="734"/>
      <c r="B223" s="734"/>
      <c r="C223" s="735"/>
      <c r="D223" s="735"/>
      <c r="E223" s="735"/>
      <c r="F223" s="735"/>
      <c r="G223" s="735"/>
      <c r="H223" s="735"/>
      <c r="I223" s="735"/>
      <c r="J223" s="735"/>
      <c r="K223" s="735"/>
      <c r="L223" s="735"/>
      <c r="M223" s="735"/>
      <c r="N223" s="735"/>
      <c r="O223" s="734"/>
      <c r="P223" s="734"/>
      <c r="Q223" s="734"/>
      <c r="R223" s="734"/>
      <c r="S223" s="734"/>
      <c r="T223" s="734"/>
      <c r="U223" s="734"/>
    </row>
    <row r="224" spans="1:24" ht="15.75" customHeight="1">
      <c r="A224" s="734"/>
      <c r="B224" s="734"/>
      <c r="C224" s="735"/>
      <c r="D224" s="735"/>
      <c r="E224" s="735"/>
      <c r="F224" s="735"/>
      <c r="G224" s="735"/>
      <c r="H224" s="735"/>
      <c r="I224" s="735"/>
      <c r="J224" s="735"/>
      <c r="K224" s="735"/>
      <c r="L224" s="735"/>
      <c r="M224" s="735"/>
      <c r="N224" s="735"/>
      <c r="O224" s="734"/>
      <c r="P224" s="734"/>
      <c r="Q224" s="734"/>
      <c r="R224" s="734"/>
      <c r="S224" s="734"/>
      <c r="T224" s="734"/>
      <c r="U224" s="734"/>
    </row>
    <row r="225" spans="3:14" ht="15.75" customHeight="1">
      <c r="C225" s="736"/>
      <c r="D225" s="736"/>
      <c r="E225" s="736"/>
      <c r="F225" s="736"/>
      <c r="G225" s="736"/>
      <c r="H225" s="736"/>
      <c r="I225" s="736"/>
      <c r="J225" s="736"/>
      <c r="K225" s="736"/>
      <c r="L225" s="736"/>
      <c r="M225" s="736"/>
      <c r="N225" s="736"/>
    </row>
    <row r="226" spans="3:14" ht="15.75" customHeight="1">
      <c r="C226" s="736"/>
      <c r="D226" s="736"/>
      <c r="E226" s="736"/>
      <c r="F226" s="736"/>
      <c r="G226" s="736"/>
      <c r="H226" s="736"/>
      <c r="I226" s="736"/>
      <c r="J226" s="736"/>
      <c r="K226" s="736"/>
      <c r="L226" s="736"/>
      <c r="M226" s="736"/>
      <c r="N226" s="736"/>
    </row>
    <row r="227" spans="3:14" ht="15.75" customHeight="1">
      <c r="C227" s="736"/>
      <c r="D227" s="736"/>
      <c r="E227" s="736"/>
      <c r="F227" s="736"/>
      <c r="G227" s="736"/>
      <c r="H227" s="736"/>
      <c r="I227" s="736"/>
      <c r="J227" s="736"/>
      <c r="K227" s="736"/>
      <c r="L227" s="736"/>
      <c r="M227" s="736"/>
      <c r="N227" s="736"/>
    </row>
    <row r="228" spans="3:14" ht="15.75" customHeight="1">
      <c r="C228" s="736"/>
      <c r="D228" s="736"/>
      <c r="E228" s="736"/>
      <c r="F228" s="736"/>
      <c r="G228" s="736"/>
      <c r="H228" s="736"/>
      <c r="I228" s="736"/>
      <c r="J228" s="736"/>
      <c r="K228" s="736"/>
      <c r="L228" s="736"/>
      <c r="M228" s="736"/>
      <c r="N228" s="736"/>
    </row>
    <row r="229" spans="3:14" ht="15.75" customHeight="1">
      <c r="C229" s="736"/>
      <c r="D229" s="736"/>
      <c r="E229" s="736"/>
      <c r="F229" s="736"/>
      <c r="G229" s="736"/>
      <c r="H229" s="736"/>
      <c r="I229" s="736"/>
      <c r="J229" s="736"/>
      <c r="K229" s="736"/>
      <c r="L229" s="736"/>
      <c r="M229" s="736"/>
      <c r="N229" s="736"/>
    </row>
    <row r="230" spans="3:14" ht="15.75" customHeight="1">
      <c r="C230" s="736"/>
      <c r="D230" s="736"/>
      <c r="E230" s="736"/>
      <c r="F230" s="736"/>
      <c r="G230" s="736"/>
      <c r="H230" s="736"/>
      <c r="I230" s="736"/>
      <c r="J230" s="736"/>
      <c r="K230" s="736"/>
      <c r="L230" s="736"/>
      <c r="M230" s="736"/>
      <c r="N230" s="736"/>
    </row>
    <row r="231" spans="3:14" ht="15.75" customHeight="1">
      <c r="C231" s="736"/>
      <c r="D231" s="736"/>
      <c r="E231" s="736"/>
      <c r="F231" s="736"/>
      <c r="G231" s="736"/>
      <c r="H231" s="736"/>
      <c r="I231" s="736"/>
      <c r="J231" s="736"/>
      <c r="K231" s="736"/>
      <c r="L231" s="736"/>
      <c r="M231" s="736"/>
      <c r="N231" s="736"/>
    </row>
    <row r="232" spans="3:14" ht="15.75" customHeight="1">
      <c r="C232" s="736"/>
      <c r="D232" s="736"/>
      <c r="E232" s="736"/>
      <c r="F232" s="736"/>
      <c r="G232" s="736"/>
      <c r="H232" s="736"/>
      <c r="I232" s="736"/>
      <c r="J232" s="736"/>
      <c r="K232" s="736"/>
      <c r="L232" s="736"/>
      <c r="M232" s="736"/>
      <c r="N232" s="736"/>
    </row>
    <row r="233" spans="3:14" ht="15.75" customHeight="1">
      <c r="C233" s="736"/>
      <c r="D233" s="736"/>
      <c r="E233" s="736"/>
      <c r="F233" s="736"/>
      <c r="G233" s="736"/>
      <c r="H233" s="736"/>
      <c r="I233" s="736"/>
      <c r="J233" s="736"/>
      <c r="K233" s="736"/>
      <c r="L233" s="736"/>
      <c r="M233" s="736"/>
      <c r="N233" s="736"/>
    </row>
    <row r="234" spans="3:14" ht="15.75" customHeight="1">
      <c r="C234" s="736"/>
      <c r="D234" s="736"/>
      <c r="E234" s="736"/>
      <c r="F234" s="736"/>
      <c r="G234" s="736"/>
      <c r="H234" s="736"/>
      <c r="I234" s="736"/>
      <c r="J234" s="736"/>
      <c r="K234" s="736"/>
      <c r="L234" s="736"/>
      <c r="M234" s="736"/>
      <c r="N234" s="736"/>
    </row>
    <row r="235" spans="3:14" ht="15.75" customHeight="1">
      <c r="C235" s="736"/>
      <c r="D235" s="736"/>
      <c r="E235" s="736"/>
      <c r="F235" s="736"/>
      <c r="G235" s="736"/>
      <c r="H235" s="736"/>
      <c r="I235" s="736"/>
      <c r="J235" s="736"/>
      <c r="K235" s="736"/>
      <c r="L235" s="736"/>
      <c r="M235" s="736"/>
      <c r="N235" s="736"/>
    </row>
    <row r="236" spans="3:14" ht="15.75" customHeight="1">
      <c r="C236" s="736"/>
      <c r="D236" s="736"/>
      <c r="E236" s="736"/>
      <c r="F236" s="736"/>
      <c r="G236" s="736"/>
      <c r="H236" s="736"/>
      <c r="I236" s="736"/>
      <c r="J236" s="736"/>
      <c r="K236" s="736"/>
      <c r="L236" s="736"/>
      <c r="M236" s="736"/>
      <c r="N236" s="736"/>
    </row>
    <row r="237" spans="3:14" ht="15.75" customHeight="1">
      <c r="C237" s="736"/>
      <c r="D237" s="736"/>
      <c r="E237" s="736"/>
      <c r="F237" s="736"/>
      <c r="G237" s="736"/>
      <c r="H237" s="736"/>
      <c r="I237" s="736"/>
      <c r="J237" s="736"/>
      <c r="K237" s="736"/>
      <c r="L237" s="736"/>
      <c r="M237" s="736"/>
      <c r="N237" s="736"/>
    </row>
    <row r="238" spans="3:14" ht="15.75" customHeight="1">
      <c r="C238" s="736"/>
      <c r="D238" s="736"/>
      <c r="E238" s="736"/>
      <c r="F238" s="736"/>
      <c r="G238" s="736"/>
      <c r="H238" s="736"/>
      <c r="I238" s="736"/>
      <c r="J238" s="736"/>
      <c r="K238" s="736"/>
      <c r="L238" s="736"/>
      <c r="M238" s="736"/>
      <c r="N238" s="736"/>
    </row>
    <row r="239" spans="3:14" ht="15.75" customHeight="1">
      <c r="C239" s="736"/>
      <c r="D239" s="736"/>
      <c r="E239" s="736"/>
      <c r="F239" s="736"/>
      <c r="G239" s="736"/>
      <c r="H239" s="736"/>
      <c r="I239" s="736"/>
      <c r="J239" s="736"/>
      <c r="K239" s="736"/>
      <c r="L239" s="736"/>
      <c r="M239" s="736"/>
      <c r="N239" s="736"/>
    </row>
    <row r="240" spans="3:14" ht="15.75" customHeight="1">
      <c r="C240" s="736"/>
      <c r="D240" s="736"/>
      <c r="E240" s="736"/>
      <c r="F240" s="736"/>
      <c r="G240" s="736"/>
      <c r="H240" s="736"/>
      <c r="I240" s="736"/>
      <c r="J240" s="736"/>
      <c r="K240" s="736"/>
      <c r="L240" s="736"/>
      <c r="M240" s="736"/>
      <c r="N240" s="736"/>
    </row>
    <row r="241" spans="3:14" ht="15.75" customHeight="1">
      <c r="C241" s="736"/>
      <c r="D241" s="736"/>
      <c r="E241" s="736"/>
      <c r="F241" s="736"/>
      <c r="G241" s="736"/>
      <c r="H241" s="736"/>
      <c r="I241" s="736"/>
      <c r="J241" s="736"/>
      <c r="K241" s="736"/>
      <c r="L241" s="736"/>
      <c r="M241" s="736"/>
      <c r="N241" s="736"/>
    </row>
    <row r="242" spans="3:14" ht="15.75" customHeight="1">
      <c r="C242" s="736"/>
      <c r="D242" s="736"/>
      <c r="E242" s="736"/>
      <c r="F242" s="736"/>
      <c r="G242" s="736"/>
      <c r="H242" s="736"/>
      <c r="I242" s="736"/>
      <c r="J242" s="736"/>
      <c r="K242" s="736"/>
      <c r="L242" s="736"/>
      <c r="M242" s="736"/>
      <c r="N242" s="736"/>
    </row>
    <row r="243" spans="3:14" ht="15.75" customHeight="1">
      <c r="C243" s="736"/>
      <c r="D243" s="736"/>
      <c r="E243" s="736"/>
      <c r="F243" s="736"/>
      <c r="G243" s="736"/>
      <c r="H243" s="736"/>
      <c r="I243" s="736"/>
      <c r="J243" s="736"/>
      <c r="K243" s="736"/>
      <c r="L243" s="736"/>
      <c r="M243" s="736"/>
      <c r="N243" s="736"/>
    </row>
    <row r="244" spans="3:14" ht="15.75" customHeight="1">
      <c r="C244" s="736"/>
      <c r="D244" s="736"/>
      <c r="E244" s="736"/>
      <c r="F244" s="736"/>
      <c r="G244" s="736"/>
      <c r="H244" s="736"/>
      <c r="I244" s="736"/>
      <c r="J244" s="736"/>
      <c r="K244" s="736"/>
      <c r="L244" s="736"/>
      <c r="M244" s="736"/>
      <c r="N244" s="736"/>
    </row>
    <row r="245" spans="3:14" ht="15.75" customHeight="1">
      <c r="C245" s="736"/>
      <c r="D245" s="736"/>
      <c r="E245" s="736"/>
      <c r="F245" s="736"/>
      <c r="G245" s="736"/>
      <c r="H245" s="736"/>
      <c r="I245" s="736"/>
      <c r="J245" s="736"/>
      <c r="K245" s="736"/>
      <c r="L245" s="736"/>
      <c r="M245" s="736"/>
      <c r="N245" s="736"/>
    </row>
    <row r="246" spans="3:14" ht="15.75" customHeight="1">
      <c r="C246" s="736"/>
      <c r="D246" s="736"/>
      <c r="E246" s="736"/>
      <c r="F246" s="736"/>
      <c r="G246" s="736"/>
      <c r="H246" s="736"/>
      <c r="I246" s="736"/>
      <c r="J246" s="736"/>
      <c r="K246" s="736"/>
      <c r="L246" s="736"/>
      <c r="M246" s="736"/>
      <c r="N246" s="736"/>
    </row>
    <row r="247" spans="3:14" ht="15.75" customHeight="1">
      <c r="C247" s="736"/>
      <c r="D247" s="736"/>
      <c r="E247" s="736"/>
      <c r="F247" s="736"/>
      <c r="G247" s="736"/>
      <c r="H247" s="736"/>
      <c r="I247" s="736"/>
      <c r="J247" s="736"/>
      <c r="K247" s="736"/>
      <c r="L247" s="736"/>
      <c r="M247" s="736"/>
      <c r="N247" s="736"/>
    </row>
    <row r="248" spans="3:14" ht="15.75" customHeight="1">
      <c r="C248" s="736"/>
      <c r="D248" s="736"/>
      <c r="E248" s="736"/>
      <c r="F248" s="736"/>
      <c r="G248" s="736"/>
      <c r="H248" s="736"/>
      <c r="I248" s="736"/>
      <c r="J248" s="736"/>
      <c r="K248" s="736"/>
      <c r="L248" s="736"/>
      <c r="M248" s="736"/>
      <c r="N248" s="736"/>
    </row>
    <row r="249" spans="3:14" ht="15.75" customHeight="1">
      <c r="C249" s="736"/>
      <c r="D249" s="736"/>
      <c r="E249" s="736"/>
      <c r="F249" s="736"/>
      <c r="G249" s="736"/>
      <c r="H249" s="736"/>
      <c r="I249" s="736"/>
      <c r="J249" s="736"/>
      <c r="K249" s="736"/>
      <c r="L249" s="736"/>
      <c r="M249" s="736"/>
      <c r="N249" s="736"/>
    </row>
    <row r="250" spans="3:14" ht="15.75" customHeight="1">
      <c r="C250" s="736"/>
      <c r="D250" s="736"/>
      <c r="E250" s="736"/>
      <c r="F250" s="736"/>
      <c r="G250" s="736"/>
      <c r="H250" s="736"/>
      <c r="I250" s="736"/>
      <c r="J250" s="736"/>
      <c r="K250" s="736"/>
      <c r="L250" s="736"/>
      <c r="M250" s="736"/>
      <c r="N250" s="736"/>
    </row>
    <row r="251" spans="3:14" ht="15.75" customHeight="1">
      <c r="C251" s="736"/>
      <c r="D251" s="736"/>
      <c r="E251" s="736"/>
      <c r="F251" s="736"/>
      <c r="G251" s="736"/>
      <c r="H251" s="736"/>
      <c r="I251" s="736"/>
      <c r="J251" s="736"/>
      <c r="K251" s="736"/>
      <c r="L251" s="736"/>
      <c r="M251" s="736"/>
      <c r="N251" s="736"/>
    </row>
    <row r="252" spans="3:14" ht="14.25" customHeight="1">
      <c r="C252" s="736"/>
      <c r="D252" s="736"/>
      <c r="E252" s="736"/>
      <c r="F252" s="736"/>
      <c r="G252" s="736"/>
      <c r="H252" s="736"/>
      <c r="I252" s="736"/>
      <c r="J252" s="736"/>
      <c r="K252" s="736"/>
      <c r="L252" s="736"/>
      <c r="M252" s="736"/>
      <c r="N252" s="736"/>
    </row>
    <row r="253" spans="3:14" ht="14.25" customHeight="1">
      <c r="C253" s="736"/>
      <c r="D253" s="736"/>
      <c r="E253" s="736"/>
      <c r="F253" s="736"/>
      <c r="G253" s="736"/>
      <c r="H253" s="736"/>
      <c r="I253" s="736"/>
      <c r="J253" s="736"/>
      <c r="K253" s="736"/>
      <c r="L253" s="736"/>
      <c r="M253" s="736"/>
      <c r="N253" s="736"/>
    </row>
    <row r="254" spans="3:14" ht="14.25" customHeight="1">
      <c r="C254" s="736"/>
      <c r="D254" s="736"/>
      <c r="E254" s="736"/>
      <c r="F254" s="736"/>
      <c r="G254" s="736"/>
      <c r="H254" s="736"/>
      <c r="I254" s="736"/>
      <c r="J254" s="736"/>
      <c r="K254" s="736"/>
      <c r="L254" s="736"/>
      <c r="M254" s="736"/>
      <c r="N254" s="736"/>
    </row>
    <row r="255" spans="3:14" ht="14.25" customHeight="1">
      <c r="C255" s="736"/>
      <c r="D255" s="736"/>
      <c r="E255" s="736"/>
      <c r="F255" s="736"/>
      <c r="G255" s="736"/>
      <c r="H255" s="736"/>
      <c r="I255" s="736"/>
      <c r="J255" s="736"/>
      <c r="K255" s="736"/>
      <c r="L255" s="736"/>
      <c r="M255" s="736"/>
      <c r="N255" s="736"/>
    </row>
    <row r="256" spans="3:14" ht="14.25" customHeight="1">
      <c r="C256" s="736"/>
      <c r="D256" s="736"/>
      <c r="E256" s="736"/>
      <c r="F256" s="736"/>
      <c r="G256" s="736"/>
      <c r="H256" s="736"/>
      <c r="I256" s="736"/>
      <c r="J256" s="736"/>
      <c r="K256" s="736"/>
      <c r="L256" s="736"/>
      <c r="M256" s="736"/>
      <c r="N256" s="736"/>
    </row>
    <row r="257" spans="3:14" ht="14.25" customHeight="1">
      <c r="C257" s="736"/>
      <c r="D257" s="736"/>
      <c r="E257" s="736"/>
      <c r="F257" s="736"/>
      <c r="G257" s="736"/>
      <c r="H257" s="736"/>
      <c r="I257" s="736"/>
      <c r="J257" s="736"/>
      <c r="K257" s="736"/>
      <c r="L257" s="736"/>
      <c r="M257" s="736"/>
      <c r="N257" s="736"/>
    </row>
    <row r="258" spans="3:14" ht="14.25" customHeight="1">
      <c r="C258" s="736"/>
      <c r="D258" s="736"/>
      <c r="E258" s="736"/>
      <c r="F258" s="736"/>
      <c r="G258" s="736"/>
      <c r="H258" s="736"/>
      <c r="I258" s="736"/>
      <c r="J258" s="736"/>
      <c r="K258" s="736"/>
      <c r="L258" s="736"/>
      <c r="M258" s="736"/>
      <c r="N258" s="736"/>
    </row>
    <row r="259" spans="3:14" ht="14.25" customHeight="1">
      <c r="C259" s="736"/>
      <c r="D259" s="736"/>
      <c r="E259" s="736"/>
      <c r="F259" s="736"/>
      <c r="G259" s="736"/>
      <c r="H259" s="736"/>
      <c r="I259" s="736"/>
      <c r="J259" s="736"/>
      <c r="K259" s="736"/>
      <c r="L259" s="736"/>
      <c r="M259" s="736"/>
      <c r="N259" s="736"/>
    </row>
    <row r="260" spans="3:14" ht="14.25" customHeight="1">
      <c r="C260" s="736"/>
      <c r="D260" s="736"/>
      <c r="E260" s="736"/>
      <c r="F260" s="736"/>
      <c r="G260" s="736"/>
      <c r="H260" s="736"/>
      <c r="I260" s="736"/>
      <c r="J260" s="736"/>
      <c r="K260" s="736"/>
      <c r="L260" s="736"/>
      <c r="M260" s="736"/>
      <c r="N260" s="736"/>
    </row>
    <row r="261" spans="3:14" ht="14.25" customHeight="1">
      <c r="C261" s="736"/>
      <c r="D261" s="736"/>
      <c r="E261" s="736"/>
      <c r="F261" s="736"/>
      <c r="G261" s="736"/>
      <c r="H261" s="736"/>
      <c r="I261" s="736"/>
      <c r="J261" s="736"/>
      <c r="K261" s="736"/>
      <c r="L261" s="736"/>
      <c r="M261" s="736"/>
      <c r="N261" s="736"/>
    </row>
    <row r="262" spans="3:14" ht="14.25" customHeight="1">
      <c r="C262" s="736"/>
      <c r="D262" s="736"/>
      <c r="E262" s="736"/>
      <c r="F262" s="736"/>
      <c r="G262" s="736"/>
      <c r="H262" s="736"/>
      <c r="I262" s="736"/>
      <c r="J262" s="736"/>
      <c r="K262" s="736"/>
      <c r="L262" s="736"/>
      <c r="M262" s="736"/>
      <c r="N262" s="736"/>
    </row>
    <row r="263" spans="3:14" ht="14.25" customHeight="1">
      <c r="C263" s="736"/>
      <c r="D263" s="736"/>
      <c r="E263" s="736"/>
      <c r="F263" s="736"/>
      <c r="G263" s="736"/>
      <c r="H263" s="736"/>
      <c r="I263" s="736"/>
      <c r="J263" s="736"/>
      <c r="K263" s="736"/>
      <c r="L263" s="736"/>
      <c r="M263" s="736"/>
      <c r="N263" s="736"/>
    </row>
    <row r="264" spans="3:14" ht="14.25" customHeight="1">
      <c r="C264" s="736"/>
      <c r="D264" s="736"/>
      <c r="E264" s="736"/>
      <c r="F264" s="736"/>
      <c r="G264" s="736"/>
      <c r="H264" s="736"/>
      <c r="I264" s="736"/>
      <c r="J264" s="736"/>
      <c r="K264" s="736"/>
      <c r="L264" s="736"/>
      <c r="M264" s="736"/>
      <c r="N264" s="736"/>
    </row>
    <row r="265" spans="3:14" ht="14.25" customHeight="1">
      <c r="C265" s="736"/>
      <c r="D265" s="736"/>
      <c r="E265" s="736"/>
      <c r="F265" s="736"/>
      <c r="G265" s="736"/>
      <c r="H265" s="736"/>
      <c r="I265" s="736"/>
      <c r="J265" s="736"/>
      <c r="K265" s="736"/>
      <c r="L265" s="736"/>
      <c r="M265" s="736"/>
      <c r="N265" s="736"/>
    </row>
    <row r="266" spans="3:14" ht="14.25" customHeight="1">
      <c r="C266" s="736"/>
      <c r="D266" s="736"/>
      <c r="E266" s="736"/>
      <c r="F266" s="736"/>
      <c r="G266" s="736"/>
      <c r="H266" s="736"/>
      <c r="I266" s="736"/>
      <c r="J266" s="736"/>
      <c r="K266" s="736"/>
      <c r="L266" s="736"/>
      <c r="M266" s="736"/>
      <c r="N266" s="736"/>
    </row>
    <row r="267" spans="3:14" ht="14.25" customHeight="1">
      <c r="C267" s="736"/>
      <c r="D267" s="736"/>
      <c r="E267" s="736"/>
      <c r="F267" s="736"/>
      <c r="G267" s="736"/>
      <c r="H267" s="736"/>
      <c r="I267" s="736"/>
      <c r="J267" s="736"/>
      <c r="K267" s="736"/>
      <c r="L267" s="736"/>
      <c r="M267" s="736"/>
      <c r="N267" s="736"/>
    </row>
    <row r="268" spans="3:14" ht="14.25" customHeight="1">
      <c r="C268" s="736"/>
      <c r="D268" s="736"/>
      <c r="E268" s="736"/>
      <c r="F268" s="736"/>
      <c r="G268" s="736"/>
      <c r="H268" s="736"/>
      <c r="I268" s="736"/>
      <c r="J268" s="736"/>
      <c r="K268" s="736"/>
      <c r="L268" s="736"/>
      <c r="M268" s="736"/>
      <c r="N268" s="736"/>
    </row>
    <row r="269" spans="3:14" ht="14.25" customHeight="1">
      <c r="C269" s="736"/>
      <c r="D269" s="736"/>
      <c r="E269" s="736"/>
      <c r="F269" s="736"/>
      <c r="G269" s="736"/>
      <c r="H269" s="736"/>
      <c r="I269" s="736"/>
      <c r="J269" s="736"/>
      <c r="K269" s="736"/>
      <c r="L269" s="736"/>
      <c r="M269" s="736"/>
      <c r="N269" s="736"/>
    </row>
    <row r="270" spans="3:14" ht="14.25" customHeight="1">
      <c r="C270" s="736"/>
      <c r="D270" s="736"/>
      <c r="E270" s="736"/>
      <c r="F270" s="736"/>
      <c r="G270" s="736"/>
      <c r="H270" s="736"/>
      <c r="I270" s="736"/>
      <c r="J270" s="736"/>
      <c r="K270" s="736"/>
      <c r="L270" s="736"/>
      <c r="M270" s="736"/>
      <c r="N270" s="736"/>
    </row>
    <row r="271" spans="3:14" ht="14.25" customHeight="1">
      <c r="C271" s="736"/>
      <c r="D271" s="736"/>
      <c r="E271" s="736"/>
      <c r="F271" s="736"/>
      <c r="G271" s="736"/>
      <c r="H271" s="736"/>
      <c r="I271" s="736"/>
      <c r="J271" s="736"/>
      <c r="K271" s="736"/>
      <c r="L271" s="736"/>
      <c r="M271" s="736"/>
      <c r="N271" s="736"/>
    </row>
    <row r="272" spans="3:14" ht="14.25" customHeight="1">
      <c r="C272" s="736"/>
      <c r="D272" s="736"/>
      <c r="E272" s="736"/>
      <c r="F272" s="736"/>
      <c r="G272" s="736"/>
      <c r="H272" s="736"/>
      <c r="I272" s="736"/>
      <c r="J272" s="736"/>
      <c r="K272" s="736"/>
      <c r="L272" s="736"/>
      <c r="M272" s="736"/>
      <c r="N272" s="736"/>
    </row>
    <row r="273" spans="3:14" ht="14.25" customHeight="1">
      <c r="C273" s="736"/>
      <c r="D273" s="736"/>
      <c r="E273" s="736"/>
      <c r="F273" s="736"/>
      <c r="G273" s="736"/>
      <c r="H273" s="736"/>
      <c r="I273" s="736"/>
      <c r="J273" s="736"/>
      <c r="K273" s="736"/>
      <c r="L273" s="736"/>
      <c r="M273" s="736"/>
      <c r="N273" s="736"/>
    </row>
    <row r="274" spans="3:14" ht="14.25" customHeight="1">
      <c r="C274" s="736"/>
      <c r="D274" s="736"/>
      <c r="E274" s="736"/>
      <c r="F274" s="736"/>
      <c r="G274" s="736"/>
      <c r="H274" s="736"/>
      <c r="I274" s="736"/>
      <c r="J274" s="736"/>
      <c r="K274" s="736"/>
      <c r="L274" s="736"/>
      <c r="M274" s="736"/>
      <c r="N274" s="736"/>
    </row>
    <row r="275" spans="3:14" ht="14.25" customHeight="1">
      <c r="C275" s="736"/>
      <c r="D275" s="736"/>
      <c r="E275" s="736"/>
      <c r="F275" s="736"/>
      <c r="G275" s="736"/>
      <c r="H275" s="736"/>
      <c r="I275" s="736"/>
      <c r="J275" s="736"/>
      <c r="K275" s="736"/>
      <c r="L275" s="736"/>
      <c r="M275" s="736"/>
      <c r="N275" s="736"/>
    </row>
    <row r="276" spans="3:14" ht="14.25" customHeight="1">
      <c r="C276" s="736"/>
      <c r="D276" s="736"/>
      <c r="E276" s="736"/>
      <c r="F276" s="736"/>
      <c r="G276" s="736"/>
      <c r="H276" s="736"/>
      <c r="I276" s="736"/>
      <c r="J276" s="736"/>
      <c r="K276" s="736"/>
      <c r="L276" s="736"/>
      <c r="M276" s="736"/>
      <c r="N276" s="736"/>
    </row>
    <row r="277" spans="3:14" ht="14.25" customHeight="1">
      <c r="C277" s="736"/>
      <c r="D277" s="736"/>
      <c r="E277" s="736"/>
      <c r="F277" s="736"/>
      <c r="G277" s="736"/>
      <c r="H277" s="736"/>
      <c r="I277" s="736"/>
      <c r="J277" s="736"/>
      <c r="K277" s="736"/>
      <c r="L277" s="736"/>
      <c r="M277" s="736"/>
      <c r="N277" s="736"/>
    </row>
    <row r="278" spans="3:14" ht="14.25" customHeight="1">
      <c r="C278" s="736"/>
      <c r="D278" s="736"/>
      <c r="E278" s="736"/>
      <c r="F278" s="736"/>
      <c r="G278" s="736"/>
      <c r="H278" s="736"/>
      <c r="I278" s="736"/>
      <c r="J278" s="736"/>
      <c r="K278" s="736"/>
      <c r="L278" s="736"/>
      <c r="M278" s="736"/>
      <c r="N278" s="736"/>
    </row>
    <row r="279" spans="3:14" ht="14.25" customHeight="1">
      <c r="C279" s="736"/>
      <c r="D279" s="736"/>
      <c r="E279" s="736"/>
      <c r="F279" s="736"/>
      <c r="G279" s="736"/>
      <c r="H279" s="736"/>
      <c r="I279" s="736"/>
      <c r="J279" s="736"/>
      <c r="K279" s="736"/>
      <c r="L279" s="736"/>
      <c r="M279" s="736"/>
      <c r="N279" s="736"/>
    </row>
    <row r="280" spans="3:14" ht="14.25" customHeight="1">
      <c r="C280" s="736"/>
      <c r="D280" s="736"/>
      <c r="E280" s="736"/>
      <c r="F280" s="736"/>
      <c r="G280" s="736"/>
      <c r="H280" s="736"/>
      <c r="I280" s="736"/>
      <c r="J280" s="736"/>
      <c r="K280" s="736"/>
      <c r="L280" s="736"/>
      <c r="M280" s="736"/>
      <c r="N280" s="736"/>
    </row>
    <row r="281" spans="3:14" ht="14.25" customHeight="1">
      <c r="C281" s="736"/>
      <c r="D281" s="736"/>
      <c r="E281" s="736"/>
      <c r="F281" s="736"/>
      <c r="G281" s="736"/>
      <c r="H281" s="736"/>
      <c r="I281" s="736"/>
      <c r="J281" s="736"/>
      <c r="K281" s="736"/>
      <c r="L281" s="736"/>
      <c r="M281" s="736"/>
      <c r="N281" s="736"/>
    </row>
    <row r="282" spans="3:14" ht="14.25" customHeight="1">
      <c r="C282" s="736"/>
      <c r="D282" s="736"/>
      <c r="E282" s="736"/>
      <c r="F282" s="736"/>
      <c r="G282" s="736"/>
      <c r="H282" s="736"/>
      <c r="I282" s="736"/>
      <c r="J282" s="736"/>
      <c r="K282" s="736"/>
      <c r="L282" s="736"/>
      <c r="M282" s="736"/>
      <c r="N282" s="736"/>
    </row>
    <row r="283" spans="3:14" ht="14.25" customHeight="1">
      <c r="C283" s="736"/>
      <c r="D283" s="736"/>
      <c r="E283" s="736"/>
      <c r="F283" s="736"/>
      <c r="G283" s="736"/>
      <c r="H283" s="736"/>
      <c r="I283" s="736"/>
      <c r="J283" s="736"/>
      <c r="K283" s="736"/>
      <c r="L283" s="736"/>
      <c r="M283" s="736"/>
      <c r="N283" s="736"/>
    </row>
    <row r="284" spans="3:14" ht="14.25" customHeight="1">
      <c r="C284" s="736"/>
      <c r="D284" s="736"/>
      <c r="E284" s="736"/>
      <c r="F284" s="736"/>
      <c r="G284" s="736"/>
      <c r="H284" s="736"/>
      <c r="I284" s="736"/>
      <c r="J284" s="736"/>
      <c r="K284" s="736"/>
      <c r="L284" s="736"/>
      <c r="M284" s="736"/>
      <c r="N284" s="736"/>
    </row>
    <row r="285" spans="3:14" ht="14.25" customHeight="1">
      <c r="C285" s="736"/>
      <c r="D285" s="736"/>
      <c r="E285" s="736"/>
      <c r="F285" s="736"/>
      <c r="G285" s="736"/>
      <c r="H285" s="736"/>
      <c r="I285" s="736"/>
      <c r="J285" s="736"/>
      <c r="K285" s="736"/>
      <c r="L285" s="736"/>
      <c r="M285" s="736"/>
      <c r="N285" s="736"/>
    </row>
    <row r="286" spans="3:14" ht="14.25" customHeight="1">
      <c r="C286" s="736"/>
      <c r="D286" s="736"/>
      <c r="E286" s="736"/>
      <c r="F286" s="736"/>
      <c r="G286" s="736"/>
      <c r="H286" s="736"/>
      <c r="I286" s="736"/>
      <c r="J286" s="736"/>
      <c r="K286" s="736"/>
      <c r="L286" s="736"/>
      <c r="M286" s="736"/>
      <c r="N286" s="736"/>
    </row>
    <row r="287" spans="3:14" ht="14.25" customHeight="1">
      <c r="C287" s="736"/>
      <c r="D287" s="736"/>
      <c r="E287" s="736"/>
      <c r="F287" s="736"/>
      <c r="G287" s="736"/>
      <c r="H287" s="736"/>
      <c r="I287" s="736"/>
      <c r="J287" s="736"/>
      <c r="K287" s="736"/>
      <c r="L287" s="736"/>
      <c r="M287" s="736"/>
      <c r="N287" s="736"/>
    </row>
    <row r="288" spans="3:14" ht="14.25" customHeight="1">
      <c r="C288" s="736"/>
      <c r="D288" s="736"/>
      <c r="E288" s="736"/>
      <c r="F288" s="736"/>
      <c r="G288" s="736"/>
      <c r="H288" s="736"/>
      <c r="I288" s="736"/>
      <c r="J288" s="736"/>
      <c r="K288" s="736"/>
      <c r="L288" s="736"/>
      <c r="M288" s="736"/>
      <c r="N288" s="736"/>
    </row>
    <row r="289" spans="3:14" ht="14.25" customHeight="1">
      <c r="C289" s="736"/>
      <c r="D289" s="736"/>
      <c r="E289" s="736"/>
      <c r="F289" s="736"/>
      <c r="G289" s="736"/>
      <c r="H289" s="736"/>
      <c r="I289" s="736"/>
      <c r="J289" s="736"/>
      <c r="K289" s="736"/>
      <c r="L289" s="736"/>
      <c r="M289" s="736"/>
      <c r="N289" s="736"/>
    </row>
    <row r="290" spans="3:14" ht="14.25" customHeight="1">
      <c r="C290" s="736"/>
      <c r="D290" s="736"/>
      <c r="E290" s="736"/>
      <c r="F290" s="736"/>
      <c r="G290" s="736"/>
      <c r="H290" s="736"/>
      <c r="I290" s="736"/>
      <c r="J290" s="736"/>
      <c r="K290" s="736"/>
      <c r="L290" s="736"/>
      <c r="M290" s="736"/>
      <c r="N290" s="736"/>
    </row>
    <row r="291" spans="3:14" ht="14.25" customHeight="1">
      <c r="C291" s="736"/>
      <c r="D291" s="736"/>
      <c r="E291" s="736"/>
      <c r="F291" s="736"/>
      <c r="G291" s="736"/>
      <c r="H291" s="736"/>
      <c r="I291" s="736"/>
      <c r="J291" s="736"/>
      <c r="K291" s="736"/>
      <c r="L291" s="736"/>
      <c r="M291" s="736"/>
      <c r="N291" s="736"/>
    </row>
    <row r="292" spans="3:14" ht="14.25" customHeight="1">
      <c r="C292" s="736"/>
      <c r="D292" s="736"/>
      <c r="E292" s="736"/>
      <c r="F292" s="736"/>
      <c r="G292" s="736"/>
      <c r="H292" s="736"/>
      <c r="I292" s="736"/>
      <c r="J292" s="736"/>
      <c r="K292" s="736"/>
      <c r="L292" s="736"/>
      <c r="M292" s="736"/>
      <c r="N292" s="736"/>
    </row>
    <row r="293" spans="3:14" ht="14.25" customHeight="1">
      <c r="C293" s="736"/>
      <c r="D293" s="736"/>
      <c r="E293" s="736"/>
      <c r="F293" s="736"/>
      <c r="G293" s="736"/>
      <c r="H293" s="736"/>
      <c r="I293" s="736"/>
      <c r="J293" s="736"/>
      <c r="K293" s="736"/>
      <c r="L293" s="736"/>
      <c r="M293" s="736"/>
      <c r="N293" s="736"/>
    </row>
    <row r="294" spans="3:14" ht="14.25" customHeight="1">
      <c r="C294" s="736"/>
      <c r="D294" s="736"/>
      <c r="E294" s="736"/>
      <c r="F294" s="736"/>
      <c r="G294" s="736"/>
      <c r="H294" s="736"/>
      <c r="I294" s="736"/>
      <c r="J294" s="736"/>
      <c r="K294" s="736"/>
      <c r="L294" s="736"/>
      <c r="M294" s="736"/>
      <c r="N294" s="736"/>
    </row>
    <row r="295" spans="3:14" ht="14.25" customHeight="1">
      <c r="C295" s="736"/>
      <c r="D295" s="736"/>
      <c r="E295" s="736"/>
      <c r="F295" s="736"/>
      <c r="G295" s="736"/>
      <c r="H295" s="736"/>
      <c r="I295" s="736"/>
      <c r="J295" s="736"/>
      <c r="K295" s="736"/>
      <c r="L295" s="736"/>
      <c r="M295" s="736"/>
      <c r="N295" s="736"/>
    </row>
    <row r="296" spans="3:14" ht="14.25" customHeight="1">
      <c r="C296" s="736"/>
      <c r="D296" s="736"/>
      <c r="E296" s="736"/>
      <c r="F296" s="736"/>
      <c r="G296" s="736"/>
      <c r="H296" s="736"/>
      <c r="I296" s="736"/>
      <c r="J296" s="736"/>
      <c r="K296" s="736"/>
      <c r="L296" s="736"/>
      <c r="M296" s="736"/>
      <c r="N296" s="736"/>
    </row>
    <row r="297" spans="3:14" ht="14.25" customHeight="1">
      <c r="C297" s="736"/>
      <c r="D297" s="736"/>
      <c r="E297" s="736"/>
      <c r="F297" s="736"/>
      <c r="G297" s="736"/>
      <c r="H297" s="736"/>
      <c r="I297" s="736"/>
      <c r="J297" s="736"/>
      <c r="K297" s="736"/>
      <c r="L297" s="736"/>
      <c r="M297" s="736"/>
      <c r="N297" s="736"/>
    </row>
    <row r="298" spans="3:14" ht="14.25" customHeight="1">
      <c r="C298" s="736"/>
      <c r="D298" s="736"/>
      <c r="E298" s="736"/>
      <c r="F298" s="736"/>
      <c r="G298" s="736"/>
      <c r="H298" s="736"/>
      <c r="I298" s="736"/>
      <c r="J298" s="736"/>
      <c r="K298" s="736"/>
      <c r="L298" s="736"/>
      <c r="M298" s="736"/>
      <c r="N298" s="736"/>
    </row>
    <row r="299" spans="3:14" ht="14.25" customHeight="1">
      <c r="C299" s="736"/>
      <c r="D299" s="736"/>
      <c r="E299" s="736"/>
      <c r="F299" s="736"/>
      <c r="G299" s="736"/>
      <c r="H299" s="736"/>
      <c r="I299" s="736"/>
      <c r="J299" s="736"/>
      <c r="K299" s="736"/>
      <c r="L299" s="736"/>
      <c r="M299" s="736"/>
      <c r="N299" s="736"/>
    </row>
    <row r="300" spans="3:14" ht="14.25" customHeight="1">
      <c r="C300" s="736"/>
      <c r="D300" s="736"/>
      <c r="E300" s="736"/>
      <c r="F300" s="736"/>
      <c r="G300" s="736"/>
      <c r="H300" s="736"/>
      <c r="I300" s="736"/>
      <c r="J300" s="736"/>
      <c r="K300" s="736"/>
      <c r="L300" s="736"/>
      <c r="M300" s="736"/>
      <c r="N300" s="736"/>
    </row>
    <row r="301" spans="3:14" ht="14.25" customHeight="1">
      <c r="C301" s="736"/>
      <c r="D301" s="736"/>
      <c r="E301" s="736"/>
      <c r="F301" s="736"/>
      <c r="G301" s="736"/>
      <c r="H301" s="736"/>
      <c r="I301" s="736"/>
      <c r="J301" s="736"/>
      <c r="K301" s="736"/>
      <c r="L301" s="736"/>
      <c r="M301" s="736"/>
      <c r="N301" s="736"/>
    </row>
    <row r="302" spans="3:14" ht="14.25" customHeight="1">
      <c r="C302" s="736"/>
      <c r="D302" s="736"/>
      <c r="E302" s="736"/>
      <c r="F302" s="736"/>
      <c r="G302" s="736"/>
      <c r="H302" s="736"/>
      <c r="I302" s="736"/>
      <c r="J302" s="736"/>
      <c r="K302" s="736"/>
      <c r="L302" s="736"/>
      <c r="M302" s="736"/>
      <c r="N302" s="736"/>
    </row>
    <row r="303" spans="3:14" ht="14.25" customHeight="1">
      <c r="C303" s="736"/>
      <c r="D303" s="736"/>
      <c r="E303" s="736"/>
      <c r="F303" s="736"/>
      <c r="G303" s="736"/>
      <c r="H303" s="736"/>
      <c r="I303" s="736"/>
      <c r="J303" s="736"/>
      <c r="K303" s="736"/>
      <c r="L303" s="736"/>
      <c r="M303" s="736"/>
      <c r="N303" s="736"/>
    </row>
    <row r="304" spans="3:14" ht="14.25" customHeight="1">
      <c r="C304" s="736"/>
      <c r="D304" s="736"/>
      <c r="E304" s="736"/>
      <c r="F304" s="736"/>
      <c r="G304" s="736"/>
      <c r="H304" s="736"/>
      <c r="I304" s="736"/>
      <c r="J304" s="736"/>
      <c r="K304" s="736"/>
      <c r="L304" s="736"/>
      <c r="M304" s="736"/>
      <c r="N304" s="736"/>
    </row>
    <row r="305" spans="3:14" ht="14.25" customHeight="1">
      <c r="C305" s="736"/>
      <c r="D305" s="736"/>
      <c r="E305" s="736"/>
      <c r="F305" s="736"/>
      <c r="G305" s="736"/>
      <c r="H305" s="736"/>
      <c r="I305" s="736"/>
      <c r="J305" s="736"/>
      <c r="K305" s="736"/>
      <c r="L305" s="736"/>
      <c r="M305" s="736"/>
      <c r="N305" s="736"/>
    </row>
    <row r="306" spans="3:14" ht="14.25" customHeight="1">
      <c r="C306" s="736"/>
      <c r="D306" s="736"/>
      <c r="E306" s="736"/>
      <c r="F306" s="736"/>
      <c r="G306" s="736"/>
      <c r="H306" s="736"/>
      <c r="I306" s="736"/>
      <c r="J306" s="736"/>
      <c r="K306" s="736"/>
      <c r="L306" s="736"/>
      <c r="M306" s="736"/>
      <c r="N306" s="736"/>
    </row>
    <row r="307" spans="3:14" ht="14.25" customHeight="1">
      <c r="C307" s="736"/>
      <c r="D307" s="736"/>
      <c r="E307" s="736"/>
      <c r="F307" s="736"/>
      <c r="G307" s="736"/>
      <c r="H307" s="736"/>
      <c r="I307" s="736"/>
      <c r="J307" s="736"/>
      <c r="K307" s="736"/>
      <c r="L307" s="736"/>
      <c r="M307" s="736"/>
      <c r="N307" s="736"/>
    </row>
    <row r="308" spans="3:14" ht="14.25" customHeight="1">
      <c r="C308" s="736"/>
      <c r="D308" s="736"/>
      <c r="E308" s="736"/>
      <c r="F308" s="736"/>
      <c r="G308" s="736"/>
      <c r="H308" s="736"/>
      <c r="I308" s="736"/>
      <c r="J308" s="736"/>
      <c r="K308" s="736"/>
      <c r="L308" s="736"/>
      <c r="M308" s="736"/>
      <c r="N308" s="736"/>
    </row>
    <row r="309" spans="3:14" ht="14.25" customHeight="1">
      <c r="C309" s="736"/>
      <c r="D309" s="736"/>
      <c r="E309" s="736"/>
      <c r="F309" s="736"/>
      <c r="G309" s="736"/>
      <c r="H309" s="736"/>
      <c r="I309" s="736"/>
      <c r="J309" s="736"/>
      <c r="K309" s="736"/>
      <c r="L309" s="736"/>
      <c r="M309" s="736"/>
      <c r="N309" s="736"/>
    </row>
    <row r="310" spans="3:14" ht="14.25" customHeight="1">
      <c r="C310" s="736"/>
      <c r="D310" s="736"/>
      <c r="E310" s="736"/>
      <c r="F310" s="736"/>
      <c r="G310" s="736"/>
      <c r="H310" s="736"/>
      <c r="I310" s="736"/>
      <c r="J310" s="736"/>
      <c r="K310" s="736"/>
      <c r="L310" s="736"/>
      <c r="M310" s="736"/>
      <c r="N310" s="736"/>
    </row>
    <row r="311" spans="3:14" ht="14.25" customHeight="1">
      <c r="C311" s="736"/>
      <c r="D311" s="736"/>
      <c r="E311" s="736"/>
      <c r="F311" s="736"/>
      <c r="G311" s="736"/>
      <c r="H311" s="736"/>
      <c r="I311" s="736"/>
      <c r="J311" s="736"/>
      <c r="K311" s="736"/>
      <c r="L311" s="736"/>
      <c r="M311" s="736"/>
      <c r="N311" s="736"/>
    </row>
    <row r="312" spans="3:14" ht="14.25" customHeight="1">
      <c r="C312" s="736"/>
      <c r="D312" s="736"/>
      <c r="E312" s="736"/>
      <c r="F312" s="736"/>
      <c r="G312" s="736"/>
      <c r="H312" s="736"/>
      <c r="I312" s="736"/>
      <c r="J312" s="736"/>
      <c r="K312" s="736"/>
      <c r="L312" s="736"/>
      <c r="M312" s="736"/>
      <c r="N312" s="736"/>
    </row>
    <row r="313" spans="3:14" ht="14.25" customHeight="1">
      <c r="C313" s="736"/>
      <c r="D313" s="736"/>
      <c r="E313" s="736"/>
      <c r="F313" s="736"/>
      <c r="G313" s="736"/>
      <c r="H313" s="736"/>
      <c r="I313" s="736"/>
      <c r="J313" s="736"/>
      <c r="K313" s="736"/>
      <c r="L313" s="736"/>
      <c r="M313" s="736"/>
      <c r="N313" s="736"/>
    </row>
    <row r="314" spans="3:14" ht="14.25" customHeight="1">
      <c r="C314" s="736"/>
      <c r="D314" s="736"/>
      <c r="E314" s="736"/>
      <c r="F314" s="736"/>
      <c r="G314" s="736"/>
      <c r="H314" s="736"/>
      <c r="I314" s="736"/>
      <c r="J314" s="736"/>
      <c r="K314" s="736"/>
      <c r="L314" s="736"/>
      <c r="M314" s="736"/>
      <c r="N314" s="736"/>
    </row>
    <row r="315" spans="3:14" ht="14.25" customHeight="1">
      <c r="C315" s="736"/>
      <c r="D315" s="736"/>
      <c r="E315" s="736"/>
      <c r="F315" s="736"/>
      <c r="G315" s="736"/>
      <c r="H315" s="736"/>
      <c r="I315" s="736"/>
      <c r="J315" s="736"/>
      <c r="K315" s="736"/>
      <c r="L315" s="736"/>
      <c r="M315" s="736"/>
      <c r="N315" s="736"/>
    </row>
    <row r="316" spans="3:14" ht="14.25" customHeight="1">
      <c r="C316" s="736"/>
      <c r="D316" s="736"/>
      <c r="E316" s="736"/>
      <c r="F316" s="736"/>
      <c r="G316" s="736"/>
      <c r="H316" s="736"/>
      <c r="I316" s="736"/>
      <c r="J316" s="736"/>
      <c r="K316" s="736"/>
      <c r="L316" s="736"/>
      <c r="M316" s="736"/>
      <c r="N316" s="736"/>
    </row>
    <row r="317" spans="3:14" ht="14.25" customHeight="1">
      <c r="C317" s="736"/>
      <c r="D317" s="736"/>
      <c r="E317" s="736"/>
      <c r="F317" s="736"/>
      <c r="G317" s="736"/>
      <c r="H317" s="736"/>
      <c r="I317" s="736"/>
      <c r="J317" s="736"/>
      <c r="K317" s="736"/>
      <c r="L317" s="736"/>
      <c r="M317" s="736"/>
      <c r="N317" s="736"/>
    </row>
    <row r="318" spans="3:14" ht="14.25" customHeight="1">
      <c r="C318" s="736"/>
      <c r="D318" s="736"/>
      <c r="E318" s="736"/>
      <c r="F318" s="736"/>
      <c r="G318" s="736"/>
      <c r="H318" s="736"/>
      <c r="I318" s="736"/>
      <c r="J318" s="736"/>
      <c r="K318" s="736"/>
      <c r="L318" s="736"/>
      <c r="M318" s="736"/>
      <c r="N318" s="736"/>
    </row>
    <row r="319" spans="3:14" ht="14.25" customHeight="1">
      <c r="C319" s="736"/>
      <c r="D319" s="736"/>
      <c r="E319" s="736"/>
      <c r="F319" s="736"/>
      <c r="G319" s="736"/>
      <c r="H319" s="736"/>
      <c r="I319" s="736"/>
      <c r="J319" s="736"/>
      <c r="K319" s="736"/>
      <c r="L319" s="736"/>
      <c r="M319" s="736"/>
      <c r="N319" s="736"/>
    </row>
    <row r="320" spans="3:14" ht="14.25" customHeight="1">
      <c r="C320" s="736"/>
      <c r="D320" s="736"/>
      <c r="E320" s="736"/>
      <c r="F320" s="736"/>
      <c r="G320" s="736"/>
      <c r="H320" s="736"/>
      <c r="I320" s="736"/>
      <c r="J320" s="736"/>
      <c r="K320" s="736"/>
      <c r="L320" s="736"/>
      <c r="M320" s="736"/>
      <c r="N320" s="736"/>
    </row>
    <row r="321" spans="3:14" ht="14.25" customHeight="1">
      <c r="C321" s="736"/>
      <c r="D321" s="736"/>
      <c r="E321" s="736"/>
      <c r="F321" s="736"/>
      <c r="G321" s="736"/>
      <c r="H321" s="736"/>
      <c r="I321" s="736"/>
      <c r="J321" s="736"/>
      <c r="K321" s="736"/>
      <c r="L321" s="736"/>
      <c r="M321" s="736"/>
      <c r="N321" s="736"/>
    </row>
    <row r="322" spans="3:14" ht="14.25" customHeight="1">
      <c r="C322" s="736"/>
      <c r="D322" s="736"/>
      <c r="E322" s="736"/>
      <c r="F322" s="736"/>
      <c r="G322" s="736"/>
      <c r="H322" s="736"/>
      <c r="I322" s="736"/>
      <c r="J322" s="736"/>
      <c r="K322" s="736"/>
      <c r="L322" s="736"/>
      <c r="M322" s="736"/>
      <c r="N322" s="736"/>
    </row>
    <row r="323" spans="3:14" ht="14.25" customHeight="1">
      <c r="C323" s="736"/>
      <c r="D323" s="736"/>
      <c r="E323" s="736"/>
      <c r="F323" s="736"/>
      <c r="G323" s="736"/>
      <c r="H323" s="736"/>
      <c r="I323" s="736"/>
      <c r="J323" s="736"/>
      <c r="K323" s="736"/>
      <c r="L323" s="736"/>
      <c r="M323" s="736"/>
      <c r="N323" s="736"/>
    </row>
    <row r="324" spans="3:14" ht="14.25" customHeight="1">
      <c r="C324" s="736"/>
      <c r="D324" s="736"/>
      <c r="E324" s="736"/>
      <c r="F324" s="736"/>
      <c r="G324" s="736"/>
      <c r="H324" s="736"/>
      <c r="I324" s="736"/>
      <c r="J324" s="736"/>
      <c r="K324" s="736"/>
      <c r="L324" s="736"/>
      <c r="M324" s="736"/>
      <c r="N324" s="736"/>
    </row>
    <row r="325" spans="3:14" ht="14.25" customHeight="1">
      <c r="C325" s="736"/>
      <c r="D325" s="736"/>
      <c r="E325" s="736"/>
      <c r="F325" s="736"/>
      <c r="G325" s="736"/>
      <c r="H325" s="736"/>
      <c r="I325" s="736"/>
      <c r="J325" s="736"/>
      <c r="K325" s="736"/>
      <c r="L325" s="736"/>
      <c r="M325" s="736"/>
      <c r="N325" s="736"/>
    </row>
    <row r="326" spans="3:14" ht="14.25" customHeight="1">
      <c r="C326" s="736"/>
      <c r="D326" s="736"/>
      <c r="E326" s="736"/>
      <c r="F326" s="736"/>
      <c r="G326" s="736"/>
      <c r="H326" s="736"/>
      <c r="I326" s="736"/>
      <c r="J326" s="736"/>
      <c r="K326" s="736"/>
      <c r="L326" s="736"/>
      <c r="M326" s="736"/>
      <c r="N326" s="736"/>
    </row>
    <row r="327" spans="3:14" ht="14.25" customHeight="1">
      <c r="C327" s="736"/>
      <c r="D327" s="736"/>
      <c r="E327" s="736"/>
      <c r="F327" s="736"/>
      <c r="G327" s="736"/>
      <c r="H327" s="736"/>
      <c r="I327" s="736"/>
      <c r="J327" s="736"/>
      <c r="K327" s="736"/>
      <c r="L327" s="736"/>
      <c r="M327" s="736"/>
      <c r="N327" s="736"/>
    </row>
    <row r="328" spans="3:14" ht="14.25" customHeight="1">
      <c r="C328" s="736"/>
      <c r="D328" s="736"/>
      <c r="E328" s="736"/>
      <c r="F328" s="736"/>
      <c r="G328" s="736"/>
      <c r="H328" s="736"/>
      <c r="I328" s="736"/>
      <c r="J328" s="736"/>
      <c r="K328" s="736"/>
      <c r="L328" s="736"/>
      <c r="M328" s="736"/>
      <c r="N328" s="736"/>
    </row>
    <row r="329" spans="3:14" ht="14.25" customHeight="1">
      <c r="C329" s="736"/>
      <c r="D329" s="736"/>
      <c r="E329" s="736"/>
      <c r="F329" s="736"/>
      <c r="G329" s="736"/>
      <c r="H329" s="736"/>
      <c r="I329" s="736"/>
      <c r="J329" s="736"/>
      <c r="K329" s="736"/>
      <c r="L329" s="736"/>
      <c r="M329" s="736"/>
      <c r="N329" s="736"/>
    </row>
    <row r="330" spans="3:14" ht="14.25" customHeight="1">
      <c r="C330" s="736"/>
      <c r="D330" s="736"/>
      <c r="E330" s="736"/>
      <c r="F330" s="736"/>
      <c r="G330" s="736"/>
      <c r="H330" s="736"/>
      <c r="I330" s="736"/>
      <c r="J330" s="736"/>
      <c r="K330" s="736"/>
      <c r="L330" s="736"/>
      <c r="M330" s="736"/>
      <c r="N330" s="736"/>
    </row>
    <row r="331" spans="3:14" ht="14.25" customHeight="1">
      <c r="C331" s="736"/>
      <c r="D331" s="736"/>
      <c r="E331" s="736"/>
      <c r="F331" s="736"/>
      <c r="G331" s="736"/>
      <c r="H331" s="736"/>
      <c r="I331" s="736"/>
      <c r="J331" s="736"/>
      <c r="K331" s="736"/>
      <c r="L331" s="736"/>
      <c r="M331" s="736"/>
      <c r="N331" s="736"/>
    </row>
    <row r="332" spans="3:14" ht="14.25" customHeight="1">
      <c r="C332" s="736"/>
      <c r="D332" s="736"/>
      <c r="E332" s="736"/>
      <c r="F332" s="736"/>
      <c r="G332" s="736"/>
      <c r="H332" s="736"/>
      <c r="I332" s="736"/>
      <c r="J332" s="736"/>
      <c r="K332" s="736"/>
      <c r="L332" s="736"/>
      <c r="M332" s="736"/>
      <c r="N332" s="736"/>
    </row>
    <row r="333" spans="3:14" ht="14.25" customHeight="1">
      <c r="C333" s="736"/>
      <c r="D333" s="736"/>
      <c r="E333" s="736"/>
      <c r="F333" s="736"/>
      <c r="G333" s="736"/>
      <c r="H333" s="736"/>
      <c r="I333" s="736"/>
      <c r="J333" s="736"/>
      <c r="K333" s="736"/>
      <c r="L333" s="736"/>
      <c r="M333" s="736"/>
      <c r="N333" s="736"/>
    </row>
    <row r="334" spans="3:14" ht="14.25" customHeight="1">
      <c r="C334" s="736"/>
      <c r="D334" s="736"/>
      <c r="E334" s="736"/>
      <c r="F334" s="736"/>
      <c r="G334" s="736"/>
      <c r="H334" s="736"/>
      <c r="I334" s="736"/>
      <c r="J334" s="736"/>
      <c r="K334" s="736"/>
      <c r="L334" s="736"/>
      <c r="M334" s="736"/>
      <c r="N334" s="736"/>
    </row>
    <row r="335" spans="3:14" ht="14.25" customHeight="1">
      <c r="C335" s="736"/>
      <c r="D335" s="736"/>
      <c r="E335" s="736"/>
      <c r="F335" s="736"/>
      <c r="G335" s="736"/>
      <c r="H335" s="736"/>
      <c r="I335" s="736"/>
      <c r="J335" s="736"/>
      <c r="K335" s="736"/>
      <c r="L335" s="736"/>
      <c r="M335" s="736"/>
      <c r="N335" s="736"/>
    </row>
    <row r="336" spans="3:14" ht="14.25" customHeight="1">
      <c r="C336" s="736"/>
      <c r="D336" s="736"/>
      <c r="E336" s="736"/>
      <c r="F336" s="736"/>
      <c r="G336" s="736"/>
      <c r="H336" s="736"/>
      <c r="I336" s="736"/>
      <c r="J336" s="736"/>
      <c r="K336" s="736"/>
      <c r="L336" s="736"/>
      <c r="M336" s="736"/>
      <c r="N336" s="736"/>
    </row>
    <row r="337" spans="3:14" ht="14.25" customHeight="1">
      <c r="C337" s="736"/>
      <c r="D337" s="736"/>
      <c r="E337" s="736"/>
      <c r="F337" s="736"/>
      <c r="G337" s="736"/>
      <c r="H337" s="736"/>
      <c r="I337" s="736"/>
      <c r="J337" s="736"/>
      <c r="K337" s="736"/>
      <c r="L337" s="736"/>
      <c r="M337" s="736"/>
      <c r="N337" s="736"/>
    </row>
    <row r="338" spans="3:14" ht="14.25" customHeight="1">
      <c r="C338" s="736"/>
      <c r="D338" s="736"/>
      <c r="E338" s="736"/>
      <c r="F338" s="736"/>
      <c r="G338" s="736"/>
      <c r="H338" s="736"/>
      <c r="I338" s="736"/>
      <c r="J338" s="736"/>
      <c r="K338" s="736"/>
      <c r="L338" s="736"/>
      <c r="M338" s="736"/>
      <c r="N338" s="736"/>
    </row>
    <row r="339" spans="3:14" ht="14.25" customHeight="1">
      <c r="C339" s="736"/>
      <c r="D339" s="736"/>
      <c r="E339" s="736"/>
      <c r="F339" s="736"/>
      <c r="G339" s="736"/>
      <c r="H339" s="736"/>
      <c r="I339" s="736"/>
      <c r="J339" s="736"/>
      <c r="K339" s="736"/>
      <c r="L339" s="736"/>
      <c r="M339" s="736"/>
      <c r="N339" s="736"/>
    </row>
    <row r="340" spans="3:14" ht="14.25" customHeight="1">
      <c r="C340" s="736"/>
      <c r="D340" s="736"/>
      <c r="E340" s="736"/>
      <c r="F340" s="736"/>
      <c r="G340" s="736"/>
      <c r="H340" s="736"/>
      <c r="I340" s="736"/>
      <c r="J340" s="736"/>
      <c r="K340" s="736"/>
      <c r="L340" s="736"/>
      <c r="M340" s="736"/>
      <c r="N340" s="736"/>
    </row>
    <row r="341" spans="3:14" ht="14.25" customHeight="1">
      <c r="C341" s="736"/>
      <c r="D341" s="736"/>
      <c r="E341" s="736"/>
      <c r="F341" s="736"/>
      <c r="G341" s="736"/>
      <c r="H341" s="736"/>
      <c r="I341" s="736"/>
      <c r="J341" s="736"/>
      <c r="K341" s="736"/>
      <c r="L341" s="736"/>
      <c r="M341" s="736"/>
      <c r="N341" s="736"/>
    </row>
    <row r="342" spans="3:14" ht="14.25" customHeight="1">
      <c r="C342" s="736"/>
      <c r="D342" s="736"/>
      <c r="E342" s="736"/>
      <c r="F342" s="736"/>
      <c r="G342" s="736"/>
      <c r="H342" s="736"/>
      <c r="I342" s="736"/>
      <c r="J342" s="736"/>
      <c r="K342" s="736"/>
      <c r="L342" s="736"/>
      <c r="M342" s="736"/>
      <c r="N342" s="736"/>
    </row>
    <row r="343" spans="3:14" ht="14.25" customHeight="1">
      <c r="C343" s="736"/>
      <c r="D343" s="736"/>
      <c r="E343" s="736"/>
      <c r="F343" s="736"/>
      <c r="G343" s="736"/>
      <c r="H343" s="736"/>
      <c r="I343" s="736"/>
      <c r="J343" s="736"/>
      <c r="K343" s="736"/>
      <c r="L343" s="736"/>
      <c r="M343" s="736"/>
      <c r="N343" s="736"/>
    </row>
    <row r="344" spans="3:14" ht="14.25" customHeight="1">
      <c r="C344" s="736"/>
      <c r="D344" s="736"/>
      <c r="E344" s="736"/>
      <c r="F344" s="736"/>
      <c r="G344" s="736"/>
      <c r="H344" s="736"/>
      <c r="I344" s="736"/>
      <c r="J344" s="736"/>
      <c r="K344" s="736"/>
      <c r="L344" s="736"/>
      <c r="M344" s="736"/>
      <c r="N344" s="736"/>
    </row>
    <row r="345" spans="3:14" ht="14.25" customHeight="1">
      <c r="C345" s="736"/>
      <c r="D345" s="736"/>
      <c r="E345" s="736"/>
      <c r="F345" s="736"/>
      <c r="G345" s="736"/>
      <c r="H345" s="736"/>
      <c r="I345" s="736"/>
      <c r="J345" s="736"/>
      <c r="K345" s="736"/>
      <c r="L345" s="736"/>
      <c r="M345" s="736"/>
      <c r="N345" s="736"/>
    </row>
    <row r="346" spans="3:14" ht="14.25" customHeight="1">
      <c r="C346" s="736"/>
      <c r="D346" s="736"/>
      <c r="E346" s="736"/>
      <c r="F346" s="736"/>
      <c r="G346" s="736"/>
      <c r="H346" s="736"/>
      <c r="I346" s="736"/>
      <c r="J346" s="736"/>
      <c r="K346" s="736"/>
      <c r="L346" s="736"/>
      <c r="M346" s="736"/>
      <c r="N346" s="736"/>
    </row>
    <row r="347" spans="3:14" ht="14.25" customHeight="1">
      <c r="C347" s="736"/>
      <c r="D347" s="736"/>
      <c r="E347" s="736"/>
      <c r="F347" s="736"/>
      <c r="G347" s="736"/>
      <c r="H347" s="736"/>
      <c r="I347" s="736"/>
      <c r="J347" s="736"/>
      <c r="K347" s="736"/>
      <c r="L347" s="736"/>
      <c r="M347" s="736"/>
      <c r="N347" s="736"/>
    </row>
    <row r="348" spans="3:14" ht="14.25" customHeight="1">
      <c r="C348" s="736"/>
      <c r="D348" s="736"/>
      <c r="E348" s="736"/>
      <c r="F348" s="736"/>
      <c r="G348" s="736"/>
      <c r="H348" s="736"/>
      <c r="I348" s="736"/>
      <c r="J348" s="736"/>
      <c r="K348" s="736"/>
      <c r="L348" s="736"/>
      <c r="M348" s="736"/>
      <c r="N348" s="736"/>
    </row>
    <row r="349" spans="3:14" ht="14.25" customHeight="1">
      <c r="C349" s="736"/>
      <c r="D349" s="736"/>
      <c r="E349" s="736"/>
      <c r="F349" s="736"/>
      <c r="G349" s="736"/>
      <c r="H349" s="736"/>
      <c r="I349" s="736"/>
      <c r="J349" s="736"/>
      <c r="K349" s="736"/>
      <c r="L349" s="736"/>
      <c r="M349" s="736"/>
      <c r="N349" s="736"/>
    </row>
    <row r="350" spans="3:14" ht="14.25" customHeight="1">
      <c r="C350" s="736"/>
      <c r="D350" s="736"/>
      <c r="E350" s="736"/>
      <c r="F350" s="736"/>
      <c r="G350" s="736"/>
      <c r="H350" s="736"/>
      <c r="I350" s="736"/>
      <c r="J350" s="736"/>
      <c r="K350" s="736"/>
      <c r="L350" s="736"/>
      <c r="M350" s="736"/>
      <c r="N350" s="736"/>
    </row>
    <row r="351" spans="3:14" ht="14.25" customHeight="1">
      <c r="C351" s="736"/>
      <c r="D351" s="736"/>
      <c r="E351" s="736"/>
      <c r="F351" s="736"/>
      <c r="G351" s="736"/>
      <c r="H351" s="736"/>
      <c r="I351" s="736"/>
      <c r="J351" s="736"/>
      <c r="K351" s="736"/>
      <c r="L351" s="736"/>
      <c r="M351" s="736"/>
      <c r="N351" s="736"/>
    </row>
    <row r="352" spans="3:14" ht="14.25" customHeight="1">
      <c r="C352" s="736"/>
      <c r="D352" s="736"/>
      <c r="E352" s="736"/>
      <c r="F352" s="736"/>
      <c r="G352" s="736"/>
      <c r="H352" s="736"/>
      <c r="I352" s="736"/>
      <c r="J352" s="736"/>
      <c r="K352" s="736"/>
      <c r="L352" s="736"/>
      <c r="M352" s="736"/>
      <c r="N352" s="736"/>
    </row>
    <row r="353" spans="3:14" ht="14.25" customHeight="1">
      <c r="C353" s="736"/>
      <c r="D353" s="736"/>
      <c r="E353" s="736"/>
      <c r="F353" s="736"/>
      <c r="G353" s="736"/>
      <c r="H353" s="736"/>
      <c r="I353" s="736"/>
      <c r="J353" s="736"/>
      <c r="K353" s="736"/>
      <c r="L353" s="736"/>
      <c r="M353" s="736"/>
      <c r="N353" s="736"/>
    </row>
    <row r="354" spans="3:14" ht="14.25" customHeight="1">
      <c r="C354" s="736"/>
      <c r="D354" s="736"/>
      <c r="E354" s="736"/>
      <c r="F354" s="736"/>
      <c r="G354" s="736"/>
      <c r="H354" s="736"/>
      <c r="I354" s="736"/>
      <c r="J354" s="736"/>
      <c r="K354" s="736"/>
      <c r="L354" s="736"/>
      <c r="M354" s="736"/>
      <c r="N354" s="736"/>
    </row>
    <row r="355" spans="3:14" ht="14.25" customHeight="1">
      <c r="C355" s="736"/>
      <c r="D355" s="736"/>
      <c r="E355" s="736"/>
      <c r="F355" s="736"/>
      <c r="G355" s="736"/>
      <c r="H355" s="736"/>
      <c r="I355" s="736"/>
      <c r="J355" s="736"/>
      <c r="K355" s="736"/>
      <c r="L355" s="736"/>
      <c r="M355" s="736"/>
      <c r="N355" s="736"/>
    </row>
    <row r="356" spans="3:14" ht="14.25" customHeight="1">
      <c r="C356" s="736"/>
      <c r="D356" s="736"/>
      <c r="E356" s="736"/>
      <c r="F356" s="736"/>
      <c r="G356" s="736"/>
      <c r="H356" s="736"/>
      <c r="I356" s="736"/>
      <c r="J356" s="736"/>
      <c r="K356" s="736"/>
      <c r="L356" s="736"/>
      <c r="M356" s="736"/>
      <c r="N356" s="736"/>
    </row>
    <row r="357" spans="3:14" ht="14.25" customHeight="1">
      <c r="C357" s="736"/>
      <c r="D357" s="736"/>
      <c r="E357" s="736"/>
      <c r="F357" s="736"/>
      <c r="G357" s="736"/>
      <c r="H357" s="736"/>
      <c r="I357" s="736"/>
      <c r="J357" s="736"/>
      <c r="K357" s="736"/>
      <c r="L357" s="736"/>
      <c r="M357" s="736"/>
      <c r="N357" s="736"/>
    </row>
    <row r="358" spans="3:14" ht="14.25" customHeight="1">
      <c r="C358" s="736"/>
      <c r="D358" s="736"/>
      <c r="E358" s="736"/>
      <c r="F358" s="736"/>
      <c r="G358" s="736"/>
      <c r="H358" s="736"/>
      <c r="I358" s="736"/>
      <c r="J358" s="736"/>
      <c r="K358" s="736"/>
      <c r="L358" s="736"/>
      <c r="M358" s="736"/>
      <c r="N358" s="736"/>
    </row>
    <row r="359" spans="3:14" ht="14.25" customHeight="1">
      <c r="C359" s="736"/>
      <c r="D359" s="736"/>
      <c r="E359" s="736"/>
      <c r="F359" s="736"/>
      <c r="G359" s="736"/>
      <c r="H359" s="736"/>
      <c r="I359" s="736"/>
      <c r="J359" s="736"/>
      <c r="K359" s="736"/>
      <c r="L359" s="736"/>
      <c r="M359" s="736"/>
      <c r="N359" s="736"/>
    </row>
    <row r="360" spans="3:14" ht="14.25" customHeight="1">
      <c r="C360" s="736"/>
      <c r="D360" s="736"/>
      <c r="E360" s="736"/>
      <c r="F360" s="736"/>
      <c r="G360" s="736"/>
      <c r="H360" s="736"/>
      <c r="I360" s="736"/>
      <c r="J360" s="736"/>
      <c r="K360" s="736"/>
      <c r="L360" s="736"/>
      <c r="M360" s="736"/>
      <c r="N360" s="736"/>
    </row>
    <row r="361" spans="3:14" ht="14.25" customHeight="1">
      <c r="C361" s="736"/>
      <c r="D361" s="736"/>
      <c r="E361" s="736"/>
      <c r="F361" s="736"/>
      <c r="G361" s="736"/>
      <c r="H361" s="736"/>
      <c r="I361" s="736"/>
      <c r="J361" s="736"/>
      <c r="K361" s="736"/>
      <c r="L361" s="736"/>
      <c r="M361" s="736"/>
      <c r="N361" s="736"/>
    </row>
    <row r="362" spans="3:14" ht="14.25" customHeight="1">
      <c r="C362" s="736"/>
      <c r="D362" s="736"/>
      <c r="E362" s="736"/>
      <c r="F362" s="736"/>
      <c r="G362" s="736"/>
      <c r="H362" s="736"/>
      <c r="I362" s="736"/>
      <c r="J362" s="736"/>
      <c r="K362" s="736"/>
      <c r="L362" s="736"/>
      <c r="M362" s="736"/>
      <c r="N362" s="736"/>
    </row>
    <row r="363" spans="3:14" ht="14.25" customHeight="1">
      <c r="C363" s="736"/>
      <c r="D363" s="736"/>
      <c r="E363" s="736"/>
      <c r="F363" s="736"/>
      <c r="G363" s="736"/>
      <c r="H363" s="736"/>
      <c r="I363" s="736"/>
      <c r="J363" s="736"/>
      <c r="K363" s="736"/>
      <c r="L363" s="736"/>
      <c r="M363" s="736"/>
      <c r="N363" s="736"/>
    </row>
    <row r="364" spans="3:14" ht="14.25" customHeight="1">
      <c r="C364" s="736"/>
      <c r="D364" s="736"/>
      <c r="E364" s="736"/>
      <c r="F364" s="736"/>
      <c r="G364" s="736"/>
      <c r="H364" s="736"/>
      <c r="I364" s="736"/>
      <c r="J364" s="736"/>
      <c r="K364" s="736"/>
      <c r="L364" s="736"/>
      <c r="M364" s="736"/>
      <c r="N364" s="736"/>
    </row>
    <row r="365" spans="3:14" ht="14.25" customHeight="1">
      <c r="C365" s="736"/>
      <c r="D365" s="736"/>
      <c r="E365" s="736"/>
      <c r="F365" s="736"/>
      <c r="G365" s="736"/>
      <c r="H365" s="736"/>
      <c r="I365" s="736"/>
      <c r="J365" s="736"/>
      <c r="K365" s="736"/>
      <c r="L365" s="736"/>
      <c r="M365" s="736"/>
      <c r="N365" s="736"/>
    </row>
    <row r="366" spans="3:14" ht="14.25" customHeight="1">
      <c r="C366" s="736"/>
      <c r="D366" s="736"/>
      <c r="E366" s="736"/>
      <c r="F366" s="736"/>
      <c r="G366" s="736"/>
      <c r="H366" s="736"/>
      <c r="I366" s="736"/>
      <c r="J366" s="736"/>
      <c r="K366" s="736"/>
      <c r="L366" s="736"/>
      <c r="M366" s="736"/>
      <c r="N366" s="736"/>
    </row>
    <row r="367" spans="3:14" ht="14.25" customHeight="1">
      <c r="C367" s="736"/>
      <c r="D367" s="736"/>
      <c r="E367" s="736"/>
      <c r="F367" s="736"/>
      <c r="G367" s="736"/>
      <c r="H367" s="736"/>
      <c r="I367" s="736"/>
      <c r="J367" s="736"/>
      <c r="K367" s="736"/>
      <c r="L367" s="736"/>
      <c r="M367" s="736"/>
      <c r="N367" s="736"/>
    </row>
    <row r="368" spans="3:14" ht="14.25" customHeight="1">
      <c r="C368" s="736"/>
      <c r="D368" s="736"/>
      <c r="E368" s="736"/>
      <c r="F368" s="736"/>
      <c r="G368" s="736"/>
      <c r="H368" s="736"/>
      <c r="I368" s="736"/>
      <c r="J368" s="736"/>
      <c r="K368" s="736"/>
      <c r="L368" s="736"/>
      <c r="M368" s="736"/>
      <c r="N368" s="736"/>
    </row>
    <row r="369" spans="3:14" ht="14.25" customHeight="1">
      <c r="C369" s="736"/>
      <c r="D369" s="736"/>
      <c r="E369" s="736"/>
      <c r="F369" s="736"/>
      <c r="G369" s="736"/>
      <c r="H369" s="736"/>
      <c r="I369" s="736"/>
      <c r="J369" s="736"/>
      <c r="K369" s="736"/>
      <c r="L369" s="736"/>
      <c r="M369" s="736"/>
      <c r="N369" s="736"/>
    </row>
    <row r="370" spans="3:14" ht="14.25" customHeight="1">
      <c r="C370" s="736"/>
      <c r="D370" s="736"/>
      <c r="E370" s="736"/>
      <c r="F370" s="736"/>
      <c r="G370" s="736"/>
      <c r="H370" s="736"/>
      <c r="I370" s="736"/>
      <c r="J370" s="736"/>
      <c r="K370" s="736"/>
      <c r="L370" s="736"/>
      <c r="M370" s="736"/>
      <c r="N370" s="736"/>
    </row>
    <row r="371" spans="3:14" ht="14.25" customHeight="1">
      <c r="C371" s="736"/>
      <c r="D371" s="736"/>
      <c r="E371" s="736"/>
      <c r="F371" s="736"/>
      <c r="G371" s="736"/>
      <c r="H371" s="736"/>
      <c r="I371" s="736"/>
      <c r="J371" s="736"/>
      <c r="K371" s="736"/>
      <c r="L371" s="736"/>
      <c r="M371" s="736"/>
      <c r="N371" s="736"/>
    </row>
    <row r="372" spans="3:14" ht="14.25" customHeight="1">
      <c r="C372" s="736"/>
      <c r="D372" s="736"/>
      <c r="E372" s="736"/>
      <c r="F372" s="736"/>
      <c r="G372" s="736"/>
      <c r="H372" s="736"/>
      <c r="I372" s="736"/>
      <c r="J372" s="736"/>
      <c r="K372" s="736"/>
      <c r="L372" s="736"/>
      <c r="M372" s="736"/>
      <c r="N372" s="736"/>
    </row>
    <row r="373" spans="3:14" ht="14.25" customHeight="1">
      <c r="C373" s="736"/>
      <c r="D373" s="736"/>
      <c r="E373" s="736"/>
      <c r="F373" s="736"/>
      <c r="G373" s="736"/>
      <c r="H373" s="736"/>
      <c r="I373" s="736"/>
      <c r="J373" s="736"/>
      <c r="K373" s="736"/>
      <c r="L373" s="736"/>
      <c r="M373" s="736"/>
      <c r="N373" s="736"/>
    </row>
    <row r="374" spans="3:14" ht="14.25" customHeight="1">
      <c r="C374" s="736"/>
      <c r="D374" s="736"/>
      <c r="E374" s="736"/>
      <c r="F374" s="736"/>
      <c r="G374" s="736"/>
      <c r="H374" s="736"/>
      <c r="I374" s="736"/>
      <c r="J374" s="736"/>
      <c r="K374" s="736"/>
      <c r="L374" s="736"/>
      <c r="M374" s="736"/>
      <c r="N374" s="736"/>
    </row>
    <row r="375" spans="3:14" ht="14.25" customHeight="1">
      <c r="C375" s="736"/>
      <c r="D375" s="736"/>
      <c r="E375" s="736"/>
      <c r="F375" s="736"/>
      <c r="G375" s="736"/>
      <c r="H375" s="736"/>
      <c r="I375" s="736"/>
      <c r="J375" s="736"/>
      <c r="K375" s="736"/>
      <c r="L375" s="736"/>
      <c r="M375" s="736"/>
      <c r="N375" s="736"/>
    </row>
    <row r="376" spans="3:14" ht="14.25" customHeight="1">
      <c r="C376" s="736"/>
      <c r="D376" s="736"/>
      <c r="E376" s="736"/>
      <c r="F376" s="736"/>
      <c r="G376" s="736"/>
      <c r="H376" s="736"/>
      <c r="I376" s="736"/>
      <c r="J376" s="736"/>
      <c r="K376" s="736"/>
      <c r="L376" s="736"/>
      <c r="M376" s="736"/>
      <c r="N376" s="736"/>
    </row>
    <row r="377" spans="3:14" ht="14.25" customHeight="1">
      <c r="C377" s="736"/>
      <c r="D377" s="736"/>
      <c r="E377" s="736"/>
      <c r="F377" s="736"/>
      <c r="G377" s="736"/>
      <c r="H377" s="736"/>
      <c r="I377" s="736"/>
      <c r="J377" s="736"/>
      <c r="K377" s="736"/>
      <c r="L377" s="736"/>
      <c r="M377" s="736"/>
      <c r="N377" s="736"/>
    </row>
    <row r="378" spans="3:14" ht="14.25" customHeight="1">
      <c r="C378" s="736"/>
      <c r="D378" s="736"/>
      <c r="E378" s="736"/>
      <c r="F378" s="736"/>
      <c r="G378" s="736"/>
      <c r="H378" s="736"/>
      <c r="I378" s="736"/>
      <c r="J378" s="736"/>
      <c r="K378" s="736"/>
      <c r="L378" s="736"/>
      <c r="M378" s="736"/>
      <c r="N378" s="736"/>
    </row>
    <row r="379" spans="3:14" ht="14.25" customHeight="1">
      <c r="C379" s="736"/>
      <c r="D379" s="736"/>
      <c r="E379" s="736"/>
      <c r="F379" s="736"/>
      <c r="G379" s="736"/>
      <c r="H379" s="736"/>
      <c r="I379" s="736"/>
      <c r="J379" s="736"/>
      <c r="K379" s="736"/>
      <c r="L379" s="736"/>
      <c r="M379" s="736"/>
      <c r="N379" s="736"/>
    </row>
    <row r="380" spans="3:14" ht="14.25" customHeight="1">
      <c r="C380" s="736"/>
      <c r="D380" s="736"/>
      <c r="E380" s="736"/>
      <c r="F380" s="736"/>
      <c r="G380" s="736"/>
      <c r="H380" s="736"/>
      <c r="I380" s="736"/>
      <c r="J380" s="736"/>
      <c r="K380" s="736"/>
      <c r="L380" s="736"/>
      <c r="M380" s="736"/>
      <c r="N380" s="736"/>
    </row>
    <row r="381" spans="3:14" ht="14.25" customHeight="1">
      <c r="C381" s="736"/>
      <c r="D381" s="736"/>
      <c r="E381" s="736"/>
      <c r="F381" s="736"/>
      <c r="G381" s="736"/>
      <c r="H381" s="736"/>
      <c r="I381" s="736"/>
      <c r="J381" s="736"/>
      <c r="K381" s="736"/>
      <c r="L381" s="736"/>
      <c r="M381" s="736"/>
      <c r="N381" s="736"/>
    </row>
    <row r="382" spans="3:14" ht="14.25" customHeight="1">
      <c r="C382" s="736"/>
      <c r="D382" s="736"/>
      <c r="E382" s="736"/>
      <c r="F382" s="736"/>
      <c r="G382" s="736"/>
      <c r="H382" s="736"/>
      <c r="I382" s="736"/>
      <c r="J382" s="736"/>
      <c r="K382" s="736"/>
      <c r="L382" s="736"/>
      <c r="M382" s="736"/>
      <c r="N382" s="736"/>
    </row>
    <row r="383" spans="3:14" ht="14.25" customHeight="1">
      <c r="C383" s="736"/>
      <c r="D383" s="736"/>
      <c r="E383" s="736"/>
      <c r="F383" s="736"/>
      <c r="G383" s="736"/>
      <c r="H383" s="736"/>
      <c r="I383" s="736"/>
      <c r="J383" s="736"/>
      <c r="K383" s="736"/>
      <c r="L383" s="736"/>
      <c r="M383" s="736"/>
      <c r="N383" s="736"/>
    </row>
    <row r="384" spans="3:14" ht="14.25" customHeight="1">
      <c r="C384" s="736"/>
      <c r="D384" s="736"/>
      <c r="E384" s="736"/>
      <c r="F384" s="736"/>
      <c r="G384" s="736"/>
      <c r="H384" s="736"/>
      <c r="I384" s="736"/>
      <c r="J384" s="736"/>
      <c r="K384" s="736"/>
      <c r="L384" s="736"/>
      <c r="M384" s="736"/>
      <c r="N384" s="736"/>
    </row>
    <row r="385" spans="3:14" ht="14.25" customHeight="1">
      <c r="C385" s="736"/>
      <c r="D385" s="736"/>
      <c r="E385" s="736"/>
      <c r="F385" s="736"/>
      <c r="G385" s="736"/>
      <c r="H385" s="736"/>
      <c r="I385" s="736"/>
      <c r="J385" s="736"/>
      <c r="K385" s="736"/>
      <c r="L385" s="736"/>
      <c r="M385" s="736"/>
      <c r="N385" s="736"/>
    </row>
    <row r="386" spans="3:14" ht="14.25" customHeight="1">
      <c r="C386" s="736"/>
      <c r="D386" s="736"/>
      <c r="E386" s="736"/>
      <c r="F386" s="736"/>
      <c r="G386" s="736"/>
      <c r="H386" s="736"/>
      <c r="I386" s="736"/>
      <c r="J386" s="736"/>
      <c r="K386" s="736"/>
      <c r="L386" s="736"/>
      <c r="M386" s="736"/>
      <c r="N386" s="736"/>
    </row>
    <row r="387" spans="3:14" ht="14.25" customHeight="1">
      <c r="C387" s="736"/>
      <c r="D387" s="736"/>
      <c r="E387" s="736"/>
      <c r="F387" s="736"/>
      <c r="G387" s="736"/>
      <c r="H387" s="736"/>
      <c r="I387" s="736"/>
      <c r="J387" s="736"/>
      <c r="K387" s="736"/>
      <c r="L387" s="736"/>
      <c r="M387" s="736"/>
      <c r="N387" s="736"/>
    </row>
    <row r="388" spans="3:14" ht="14.25" customHeight="1">
      <c r="C388" s="736"/>
      <c r="D388" s="736"/>
      <c r="E388" s="736"/>
      <c r="F388" s="736"/>
      <c r="G388" s="736"/>
      <c r="H388" s="736"/>
      <c r="I388" s="736"/>
      <c r="J388" s="736"/>
      <c r="K388" s="736"/>
      <c r="L388" s="736"/>
      <c r="M388" s="736"/>
      <c r="N388" s="736"/>
    </row>
    <row r="389" spans="3:14" ht="14.25" customHeight="1">
      <c r="C389" s="736"/>
      <c r="D389" s="736"/>
      <c r="E389" s="736"/>
      <c r="F389" s="736"/>
      <c r="G389" s="736"/>
      <c r="H389" s="736"/>
      <c r="I389" s="736"/>
      <c r="J389" s="736"/>
      <c r="K389" s="736"/>
      <c r="L389" s="736"/>
      <c r="M389" s="736"/>
      <c r="N389" s="736"/>
    </row>
    <row r="390" spans="3:14" ht="14.25" customHeight="1">
      <c r="C390" s="736"/>
      <c r="D390" s="736"/>
      <c r="E390" s="736"/>
      <c r="F390" s="736"/>
      <c r="G390" s="736"/>
      <c r="H390" s="736"/>
      <c r="I390" s="736"/>
      <c r="J390" s="736"/>
      <c r="K390" s="736"/>
      <c r="L390" s="736"/>
      <c r="M390" s="736"/>
      <c r="N390" s="736"/>
    </row>
    <row r="391" spans="3:14" ht="14.25" customHeight="1">
      <c r="C391" s="736"/>
      <c r="D391" s="736"/>
      <c r="E391" s="736"/>
      <c r="F391" s="736"/>
      <c r="G391" s="736"/>
      <c r="H391" s="736"/>
      <c r="I391" s="736"/>
      <c r="J391" s="736"/>
      <c r="K391" s="736"/>
      <c r="L391" s="736"/>
      <c r="M391" s="736"/>
      <c r="N391" s="736"/>
    </row>
    <row r="392" spans="3:14" ht="14.25" customHeight="1">
      <c r="C392" s="736"/>
      <c r="D392" s="736"/>
      <c r="E392" s="736"/>
      <c r="F392" s="736"/>
      <c r="G392" s="736"/>
      <c r="H392" s="736"/>
      <c r="I392" s="736"/>
      <c r="J392" s="736"/>
      <c r="K392" s="736"/>
      <c r="L392" s="736"/>
      <c r="M392" s="736"/>
      <c r="N392" s="736"/>
    </row>
    <row r="393" spans="3:14" ht="14.25" customHeight="1">
      <c r="C393" s="736"/>
      <c r="D393" s="736"/>
      <c r="E393" s="736"/>
      <c r="F393" s="736"/>
      <c r="G393" s="736"/>
      <c r="H393" s="736"/>
      <c r="I393" s="736"/>
      <c r="J393" s="736"/>
      <c r="K393" s="736"/>
      <c r="L393" s="736"/>
      <c r="M393" s="736"/>
      <c r="N393" s="736"/>
    </row>
    <row r="394" spans="3:14" ht="14.25" customHeight="1">
      <c r="C394" s="736"/>
      <c r="D394" s="736"/>
      <c r="E394" s="736"/>
      <c r="F394" s="736"/>
      <c r="G394" s="736"/>
      <c r="H394" s="736"/>
      <c r="I394" s="736"/>
      <c r="J394" s="736"/>
      <c r="K394" s="736"/>
      <c r="L394" s="736"/>
      <c r="M394" s="736"/>
      <c r="N394" s="736"/>
    </row>
    <row r="395" spans="3:14" ht="14.25" customHeight="1">
      <c r="C395" s="736"/>
      <c r="D395" s="736"/>
      <c r="E395" s="736"/>
      <c r="F395" s="736"/>
      <c r="G395" s="736"/>
      <c r="H395" s="736"/>
      <c r="I395" s="736"/>
      <c r="J395" s="736"/>
      <c r="K395" s="736"/>
      <c r="L395" s="736"/>
      <c r="M395" s="736"/>
      <c r="N395" s="736"/>
    </row>
    <row r="396" spans="3:14" ht="14.25" customHeight="1">
      <c r="C396" s="736"/>
      <c r="D396" s="736"/>
      <c r="E396" s="736"/>
      <c r="F396" s="736"/>
      <c r="G396" s="736"/>
      <c r="H396" s="736"/>
      <c r="I396" s="736"/>
      <c r="J396" s="736"/>
      <c r="K396" s="736"/>
      <c r="L396" s="736"/>
      <c r="M396" s="736"/>
      <c r="N396" s="736"/>
    </row>
    <row r="397" spans="3:14" ht="14.25" customHeight="1">
      <c r="C397" s="736"/>
      <c r="D397" s="736"/>
      <c r="E397" s="736"/>
      <c r="F397" s="736"/>
      <c r="G397" s="736"/>
      <c r="H397" s="736"/>
      <c r="I397" s="736"/>
      <c r="J397" s="736"/>
      <c r="K397" s="736"/>
      <c r="L397" s="736"/>
      <c r="M397" s="736"/>
      <c r="N397" s="736"/>
    </row>
    <row r="398" spans="3:14" ht="14.25" customHeight="1">
      <c r="C398" s="736"/>
      <c r="D398" s="736"/>
      <c r="E398" s="736"/>
      <c r="F398" s="736"/>
      <c r="G398" s="736"/>
      <c r="H398" s="736"/>
      <c r="I398" s="736"/>
      <c r="J398" s="736"/>
      <c r="K398" s="736"/>
      <c r="L398" s="736"/>
      <c r="M398" s="736"/>
      <c r="N398" s="736"/>
    </row>
    <row r="399" spans="3:14" ht="14.25" customHeight="1">
      <c r="C399" s="736"/>
      <c r="D399" s="736"/>
      <c r="E399" s="736"/>
      <c r="F399" s="736"/>
      <c r="G399" s="736"/>
      <c r="H399" s="736"/>
      <c r="I399" s="736"/>
      <c r="J399" s="736"/>
      <c r="K399" s="736"/>
      <c r="L399" s="736"/>
      <c r="M399" s="736"/>
      <c r="N399" s="736"/>
    </row>
    <row r="400" spans="3:14" ht="14.25" customHeight="1">
      <c r="C400" s="736"/>
      <c r="D400" s="736"/>
      <c r="E400" s="736"/>
      <c r="F400" s="736"/>
      <c r="G400" s="736"/>
      <c r="H400" s="736"/>
      <c r="I400" s="736"/>
      <c r="J400" s="736"/>
      <c r="K400" s="736"/>
      <c r="L400" s="736"/>
      <c r="M400" s="736"/>
      <c r="N400" s="736"/>
    </row>
    <row r="401" spans="3:14" ht="14.25" customHeight="1">
      <c r="C401" s="736"/>
      <c r="D401" s="736"/>
      <c r="E401" s="736"/>
      <c r="F401" s="736"/>
      <c r="G401" s="736"/>
      <c r="H401" s="736"/>
      <c r="I401" s="736"/>
      <c r="J401" s="736"/>
      <c r="K401" s="736"/>
      <c r="L401" s="736"/>
      <c r="M401" s="736"/>
      <c r="N401" s="736"/>
    </row>
    <row r="402" spans="3:14" ht="14.25" customHeight="1">
      <c r="C402" s="736"/>
      <c r="D402" s="736"/>
      <c r="E402" s="736"/>
      <c r="F402" s="736"/>
      <c r="G402" s="736"/>
      <c r="H402" s="736"/>
      <c r="I402" s="736"/>
      <c r="J402" s="736"/>
      <c r="K402" s="736"/>
      <c r="L402" s="736"/>
      <c r="M402" s="736"/>
      <c r="N402" s="736"/>
    </row>
    <row r="403" spans="3:14" ht="14.25" customHeight="1">
      <c r="C403" s="736"/>
      <c r="D403" s="736"/>
      <c r="E403" s="736"/>
      <c r="F403" s="736"/>
      <c r="G403" s="736"/>
      <c r="H403" s="736"/>
      <c r="I403" s="736"/>
      <c r="J403" s="736"/>
      <c r="K403" s="736"/>
      <c r="L403" s="736"/>
      <c r="M403" s="736"/>
      <c r="N403" s="736"/>
    </row>
    <row r="404" spans="3:14" ht="14.25" customHeight="1">
      <c r="C404" s="736"/>
      <c r="D404" s="736"/>
      <c r="E404" s="736"/>
      <c r="F404" s="736"/>
      <c r="G404" s="736"/>
      <c r="H404" s="736"/>
      <c r="I404" s="736"/>
      <c r="J404" s="736"/>
      <c r="K404" s="736"/>
      <c r="L404" s="736"/>
      <c r="M404" s="736"/>
      <c r="N404" s="736"/>
    </row>
    <row r="405" spans="3:14" ht="14.25" customHeight="1">
      <c r="C405" s="736"/>
      <c r="D405" s="736"/>
      <c r="E405" s="736"/>
      <c r="F405" s="736"/>
      <c r="G405" s="736"/>
      <c r="H405" s="736"/>
      <c r="I405" s="736"/>
      <c r="J405" s="736"/>
      <c r="K405" s="736"/>
      <c r="L405" s="736"/>
      <c r="M405" s="736"/>
      <c r="N405" s="736"/>
    </row>
    <row r="406" spans="3:14" ht="14.25" customHeight="1">
      <c r="C406" s="736"/>
      <c r="D406" s="736"/>
      <c r="E406" s="736"/>
      <c r="F406" s="736"/>
      <c r="G406" s="736"/>
      <c r="H406" s="736"/>
      <c r="I406" s="736"/>
      <c r="J406" s="736"/>
      <c r="K406" s="736"/>
      <c r="L406" s="736"/>
      <c r="M406" s="736"/>
      <c r="N406" s="736"/>
    </row>
    <row r="407" spans="3:14" ht="14.25" customHeight="1">
      <c r="C407" s="736"/>
      <c r="D407" s="736"/>
      <c r="E407" s="736"/>
      <c r="F407" s="736"/>
      <c r="G407" s="736"/>
      <c r="H407" s="736"/>
      <c r="I407" s="736"/>
      <c r="J407" s="736"/>
      <c r="K407" s="736"/>
      <c r="L407" s="736"/>
      <c r="M407" s="736"/>
      <c r="N407" s="736"/>
    </row>
    <row r="408" spans="3:14" ht="14.25" customHeight="1">
      <c r="C408" s="736"/>
      <c r="D408" s="736"/>
      <c r="E408" s="736"/>
      <c r="F408" s="736"/>
      <c r="G408" s="736"/>
      <c r="H408" s="736"/>
      <c r="I408" s="736"/>
      <c r="J408" s="736"/>
      <c r="K408" s="736"/>
      <c r="L408" s="736"/>
      <c r="M408" s="736"/>
      <c r="N408" s="736"/>
    </row>
    <row r="409" spans="3:14" ht="14.25" customHeight="1">
      <c r="C409" s="736"/>
      <c r="D409" s="736"/>
      <c r="E409" s="736"/>
      <c r="F409" s="736"/>
      <c r="G409" s="736"/>
      <c r="H409" s="736"/>
      <c r="I409" s="736"/>
      <c r="J409" s="736"/>
      <c r="K409" s="736"/>
      <c r="L409" s="736"/>
      <c r="M409" s="736"/>
      <c r="N409" s="736"/>
    </row>
    <row r="410" spans="3:14" ht="14.25" customHeight="1">
      <c r="C410" s="736"/>
      <c r="D410" s="736"/>
      <c r="E410" s="736"/>
      <c r="F410" s="736"/>
      <c r="G410" s="736"/>
      <c r="H410" s="736"/>
      <c r="I410" s="736"/>
      <c r="J410" s="736"/>
      <c r="K410" s="736"/>
      <c r="L410" s="736"/>
      <c r="M410" s="736"/>
      <c r="N410" s="736"/>
    </row>
    <row r="411" spans="3:14" ht="14.25" customHeight="1">
      <c r="C411" s="736"/>
      <c r="D411" s="736"/>
      <c r="E411" s="736"/>
      <c r="F411" s="736"/>
      <c r="G411" s="736"/>
      <c r="H411" s="736"/>
      <c r="I411" s="736"/>
      <c r="J411" s="736"/>
      <c r="K411" s="736"/>
      <c r="L411" s="736"/>
      <c r="M411" s="736"/>
      <c r="N411" s="736"/>
    </row>
    <row r="412" spans="3:14" ht="14.25" customHeight="1">
      <c r="C412" s="736"/>
      <c r="D412" s="736"/>
      <c r="E412" s="736"/>
      <c r="F412" s="736"/>
      <c r="G412" s="736"/>
      <c r="H412" s="736"/>
      <c r="I412" s="736"/>
      <c r="J412" s="736"/>
      <c r="K412" s="736"/>
      <c r="L412" s="736"/>
      <c r="M412" s="736"/>
      <c r="N412" s="736"/>
    </row>
    <row r="413" spans="3:14" ht="14.25" customHeight="1">
      <c r="C413" s="736"/>
      <c r="D413" s="736"/>
      <c r="E413" s="736"/>
      <c r="F413" s="736"/>
      <c r="G413" s="736"/>
      <c r="H413" s="736"/>
      <c r="I413" s="736"/>
      <c r="J413" s="736"/>
      <c r="K413" s="736"/>
      <c r="L413" s="736"/>
      <c r="M413" s="736"/>
      <c r="N413" s="736"/>
    </row>
    <row r="414" spans="3:14" ht="14.25" customHeight="1">
      <c r="C414" s="736"/>
      <c r="D414" s="736"/>
      <c r="E414" s="736"/>
      <c r="F414" s="736"/>
      <c r="G414" s="736"/>
      <c r="H414" s="736"/>
      <c r="I414" s="736"/>
      <c r="J414" s="736"/>
      <c r="K414" s="736"/>
      <c r="L414" s="736"/>
      <c r="M414" s="736"/>
      <c r="N414" s="736"/>
    </row>
    <row r="415" spans="3:14" ht="14.25" customHeight="1">
      <c r="C415" s="736"/>
      <c r="D415" s="736"/>
      <c r="E415" s="736"/>
      <c r="F415" s="736"/>
      <c r="G415" s="736"/>
      <c r="H415" s="736"/>
      <c r="I415" s="736"/>
      <c r="J415" s="736"/>
      <c r="K415" s="736"/>
      <c r="L415" s="736"/>
      <c r="M415" s="736"/>
      <c r="N415" s="736"/>
    </row>
    <row r="416" spans="3:14" ht="14.25" customHeight="1">
      <c r="C416" s="736"/>
      <c r="D416" s="736"/>
      <c r="E416" s="736"/>
      <c r="F416" s="736"/>
      <c r="G416" s="736"/>
      <c r="H416" s="736"/>
      <c r="I416" s="736"/>
      <c r="J416" s="736"/>
      <c r="K416" s="736"/>
      <c r="L416" s="736"/>
      <c r="M416" s="736"/>
      <c r="N416" s="736"/>
    </row>
    <row r="417" spans="3:14" ht="14.25" customHeight="1">
      <c r="C417" s="736"/>
      <c r="D417" s="736"/>
      <c r="E417" s="736"/>
      <c r="F417" s="736"/>
      <c r="G417" s="736"/>
      <c r="H417" s="736"/>
      <c r="I417" s="736"/>
      <c r="J417" s="736"/>
      <c r="K417" s="736"/>
      <c r="L417" s="736"/>
      <c r="M417" s="736"/>
      <c r="N417" s="736"/>
    </row>
    <row r="418" spans="3:14" ht="14.25" customHeight="1">
      <c r="C418" s="736"/>
      <c r="D418" s="736"/>
      <c r="E418" s="736"/>
      <c r="F418" s="736"/>
      <c r="G418" s="736"/>
      <c r="H418" s="736"/>
      <c r="I418" s="736"/>
      <c r="J418" s="736"/>
      <c r="K418" s="736"/>
      <c r="L418" s="736"/>
      <c r="M418" s="736"/>
      <c r="N418" s="736"/>
    </row>
    <row r="419" spans="3:14" ht="14.25" customHeight="1">
      <c r="C419" s="736"/>
      <c r="D419" s="736"/>
      <c r="E419" s="736"/>
      <c r="F419" s="736"/>
      <c r="G419" s="736"/>
      <c r="H419" s="736"/>
      <c r="I419" s="736"/>
      <c r="J419" s="736"/>
      <c r="K419" s="736"/>
      <c r="L419" s="736"/>
      <c r="M419" s="736"/>
      <c r="N419" s="736"/>
    </row>
    <row r="420" spans="3:14" ht="14.25" customHeight="1">
      <c r="C420" s="736"/>
      <c r="D420" s="736"/>
      <c r="E420" s="736"/>
      <c r="F420" s="736"/>
      <c r="G420" s="736"/>
      <c r="H420" s="736"/>
      <c r="I420" s="736"/>
      <c r="J420" s="736"/>
      <c r="K420" s="736"/>
      <c r="L420" s="736"/>
      <c r="M420" s="736"/>
      <c r="N420" s="736"/>
    </row>
    <row r="421" spans="3:14" ht="14.25" customHeight="1">
      <c r="C421" s="736"/>
      <c r="D421" s="736"/>
      <c r="E421" s="736"/>
      <c r="F421" s="736"/>
      <c r="G421" s="736"/>
      <c r="H421" s="736"/>
      <c r="I421" s="736"/>
      <c r="J421" s="736"/>
      <c r="K421" s="736"/>
      <c r="L421" s="736"/>
      <c r="M421" s="736"/>
      <c r="N421" s="736"/>
    </row>
    <row r="422" spans="3:14" ht="14.25" customHeight="1">
      <c r="C422" s="736"/>
      <c r="D422" s="736"/>
      <c r="E422" s="736"/>
      <c r="F422" s="736"/>
      <c r="G422" s="736"/>
      <c r="H422" s="736"/>
      <c r="I422" s="736"/>
      <c r="J422" s="736"/>
      <c r="K422" s="736"/>
      <c r="L422" s="736"/>
      <c r="M422" s="736"/>
      <c r="N422" s="736"/>
    </row>
    <row r="423" spans="3:14" ht="14.25" customHeight="1">
      <c r="C423" s="736"/>
      <c r="D423" s="736"/>
      <c r="E423" s="736"/>
      <c r="F423" s="736"/>
      <c r="G423" s="736"/>
      <c r="H423" s="736"/>
      <c r="I423" s="736"/>
      <c r="J423" s="736"/>
      <c r="K423" s="736"/>
      <c r="L423" s="736"/>
      <c r="M423" s="736"/>
      <c r="N423" s="736"/>
    </row>
    <row r="424" spans="3:14" ht="14.25" customHeight="1">
      <c r="C424" s="736"/>
      <c r="D424" s="736"/>
      <c r="E424" s="736"/>
      <c r="F424" s="736"/>
      <c r="G424" s="736"/>
      <c r="H424" s="736"/>
      <c r="I424" s="736"/>
      <c r="J424" s="736"/>
      <c r="K424" s="736"/>
      <c r="L424" s="736"/>
      <c r="M424" s="736"/>
      <c r="N424" s="736"/>
    </row>
    <row r="425" spans="3:14" ht="14.25" customHeight="1">
      <c r="C425" s="736"/>
      <c r="D425" s="736"/>
      <c r="E425" s="736"/>
      <c r="F425" s="736"/>
      <c r="G425" s="736"/>
      <c r="H425" s="736"/>
      <c r="I425" s="736"/>
      <c r="J425" s="736"/>
      <c r="K425" s="736"/>
      <c r="L425" s="736"/>
      <c r="M425" s="736"/>
      <c r="N425" s="736"/>
    </row>
    <row r="426" spans="3:14" ht="14.25" customHeight="1">
      <c r="C426" s="736"/>
      <c r="D426" s="736"/>
      <c r="E426" s="736"/>
      <c r="F426" s="736"/>
      <c r="G426" s="736"/>
      <c r="H426" s="736"/>
      <c r="I426" s="736"/>
      <c r="J426" s="736"/>
      <c r="K426" s="736"/>
      <c r="L426" s="736"/>
      <c r="M426" s="736"/>
      <c r="N426" s="736"/>
    </row>
    <row r="427" spans="3:14" ht="14.25" customHeight="1">
      <c r="C427" s="736"/>
      <c r="D427" s="736"/>
      <c r="E427" s="736"/>
      <c r="F427" s="736"/>
      <c r="G427" s="736"/>
      <c r="H427" s="736"/>
      <c r="I427" s="736"/>
      <c r="J427" s="736"/>
      <c r="K427" s="736"/>
      <c r="L427" s="736"/>
      <c r="M427" s="736"/>
      <c r="N427" s="736"/>
    </row>
    <row r="428" spans="3:14" ht="14.25" customHeight="1">
      <c r="C428" s="736"/>
      <c r="D428" s="736"/>
      <c r="E428" s="736"/>
      <c r="F428" s="736"/>
      <c r="G428" s="736"/>
      <c r="H428" s="736"/>
      <c r="I428" s="736"/>
      <c r="J428" s="736"/>
      <c r="K428" s="736"/>
      <c r="L428" s="736"/>
      <c r="M428" s="736"/>
      <c r="N428" s="736"/>
    </row>
    <row r="429" spans="3:14" ht="14.25" customHeight="1">
      <c r="C429" s="736"/>
      <c r="D429" s="736"/>
      <c r="E429" s="736"/>
      <c r="F429" s="736"/>
      <c r="G429" s="736"/>
      <c r="H429" s="736"/>
      <c r="I429" s="736"/>
      <c r="J429" s="736"/>
      <c r="K429" s="736"/>
      <c r="L429" s="736"/>
      <c r="M429" s="736"/>
      <c r="N429" s="736"/>
    </row>
    <row r="430" spans="3:14" ht="14.25" customHeight="1">
      <c r="C430" s="736"/>
      <c r="D430" s="736"/>
      <c r="E430" s="736"/>
      <c r="F430" s="736"/>
      <c r="G430" s="736"/>
      <c r="H430" s="736"/>
      <c r="I430" s="736"/>
      <c r="J430" s="736"/>
      <c r="K430" s="736"/>
      <c r="L430" s="736"/>
      <c r="M430" s="736"/>
      <c r="N430" s="736"/>
    </row>
    <row r="431" spans="3:14" ht="14.25" customHeight="1">
      <c r="C431" s="736"/>
      <c r="D431" s="736"/>
      <c r="E431" s="736"/>
      <c r="F431" s="736"/>
      <c r="G431" s="736"/>
      <c r="H431" s="736"/>
      <c r="I431" s="736"/>
      <c r="J431" s="736"/>
      <c r="K431" s="736"/>
      <c r="L431" s="736"/>
      <c r="M431" s="736"/>
      <c r="N431" s="736"/>
    </row>
    <row r="432" spans="3:14" ht="14.25" customHeight="1">
      <c r="C432" s="736"/>
      <c r="D432" s="736"/>
      <c r="E432" s="736"/>
      <c r="F432" s="736"/>
      <c r="G432" s="736"/>
      <c r="H432" s="736"/>
      <c r="I432" s="736"/>
      <c r="J432" s="736"/>
      <c r="K432" s="736"/>
      <c r="L432" s="736"/>
      <c r="M432" s="736"/>
      <c r="N432" s="736"/>
    </row>
    <row r="433" spans="3:14" ht="14.25" customHeight="1">
      <c r="C433" s="736"/>
      <c r="D433" s="736"/>
      <c r="E433" s="736"/>
      <c r="F433" s="736"/>
      <c r="G433" s="736"/>
      <c r="H433" s="736"/>
      <c r="I433" s="736"/>
      <c r="J433" s="736"/>
      <c r="K433" s="736"/>
      <c r="L433" s="736"/>
      <c r="M433" s="736"/>
      <c r="N433" s="736"/>
    </row>
    <row r="434" spans="3:14" ht="14.25" customHeight="1">
      <c r="C434" s="736"/>
      <c r="D434" s="736"/>
      <c r="E434" s="736"/>
      <c r="F434" s="736"/>
      <c r="G434" s="736"/>
      <c r="H434" s="736"/>
      <c r="I434" s="736"/>
      <c r="J434" s="736"/>
      <c r="K434" s="736"/>
      <c r="L434" s="736"/>
      <c r="M434" s="736"/>
      <c r="N434" s="736"/>
    </row>
    <row r="435" spans="3:14" ht="14.25" customHeight="1">
      <c r="C435" s="736"/>
      <c r="D435" s="736"/>
      <c r="E435" s="736"/>
      <c r="F435" s="736"/>
      <c r="G435" s="736"/>
      <c r="H435" s="736"/>
      <c r="I435" s="736"/>
      <c r="J435" s="736"/>
      <c r="K435" s="736"/>
      <c r="L435" s="736"/>
      <c r="M435" s="736"/>
      <c r="N435" s="736"/>
    </row>
    <row r="436" spans="3:14" ht="14.25" customHeight="1">
      <c r="C436" s="736"/>
      <c r="D436" s="736"/>
      <c r="E436" s="736"/>
      <c r="F436" s="736"/>
      <c r="G436" s="736"/>
      <c r="H436" s="736"/>
      <c r="I436" s="736"/>
      <c r="J436" s="736"/>
      <c r="K436" s="736"/>
      <c r="L436" s="736"/>
      <c r="M436" s="736"/>
      <c r="N436" s="736"/>
    </row>
    <row r="437" spans="3:14" ht="14.25" customHeight="1">
      <c r="C437" s="736"/>
      <c r="D437" s="736"/>
      <c r="E437" s="736"/>
      <c r="F437" s="736"/>
      <c r="G437" s="736"/>
      <c r="H437" s="736"/>
      <c r="I437" s="736"/>
      <c r="J437" s="736"/>
      <c r="K437" s="736"/>
      <c r="L437" s="736"/>
      <c r="M437" s="736"/>
      <c r="N437" s="736"/>
    </row>
    <row r="438" spans="3:14" ht="14.25" customHeight="1">
      <c r="C438" s="736"/>
      <c r="D438" s="736"/>
      <c r="E438" s="736"/>
      <c r="F438" s="736"/>
      <c r="G438" s="736"/>
      <c r="H438" s="736"/>
      <c r="I438" s="736"/>
      <c r="J438" s="736"/>
      <c r="K438" s="736"/>
      <c r="L438" s="736"/>
      <c r="M438" s="736"/>
      <c r="N438" s="736"/>
    </row>
    <row r="439" spans="3:14" ht="14.25" customHeight="1">
      <c r="C439" s="736"/>
      <c r="D439" s="736"/>
      <c r="E439" s="736"/>
      <c r="F439" s="736"/>
      <c r="G439" s="736"/>
      <c r="H439" s="736"/>
      <c r="I439" s="736"/>
      <c r="J439" s="736"/>
      <c r="K439" s="736"/>
      <c r="L439" s="736"/>
      <c r="M439" s="736"/>
      <c r="N439" s="736"/>
    </row>
    <row r="440" spans="3:14" ht="14.25" customHeight="1">
      <c r="C440" s="736"/>
      <c r="D440" s="736"/>
      <c r="E440" s="736"/>
      <c r="F440" s="736"/>
      <c r="G440" s="736"/>
      <c r="H440" s="736"/>
      <c r="I440" s="736"/>
      <c r="J440" s="736"/>
      <c r="K440" s="736"/>
      <c r="L440" s="736"/>
      <c r="M440" s="736"/>
      <c r="N440" s="736"/>
    </row>
    <row r="441" spans="3:14" ht="14.25" customHeight="1">
      <c r="C441" s="736"/>
      <c r="D441" s="736"/>
      <c r="E441" s="736"/>
      <c r="F441" s="736"/>
      <c r="G441" s="736"/>
      <c r="H441" s="736"/>
      <c r="I441" s="736"/>
      <c r="J441" s="736"/>
      <c r="K441" s="736"/>
      <c r="L441" s="736"/>
      <c r="M441" s="736"/>
      <c r="N441" s="736"/>
    </row>
    <row r="442" spans="3:14" ht="14.25" customHeight="1">
      <c r="C442" s="736"/>
      <c r="D442" s="736"/>
      <c r="E442" s="736"/>
      <c r="F442" s="736"/>
      <c r="G442" s="736"/>
      <c r="H442" s="736"/>
      <c r="I442" s="736"/>
      <c r="J442" s="736"/>
      <c r="K442" s="736"/>
      <c r="L442" s="736"/>
      <c r="M442" s="736"/>
      <c r="N442" s="736"/>
    </row>
    <row r="443" spans="3:14" ht="14.25" customHeight="1">
      <c r="C443" s="736"/>
      <c r="D443" s="736"/>
      <c r="E443" s="736"/>
      <c r="F443" s="736"/>
      <c r="G443" s="736"/>
      <c r="H443" s="736"/>
      <c r="I443" s="736"/>
      <c r="J443" s="736"/>
      <c r="K443" s="736"/>
      <c r="L443" s="736"/>
      <c r="M443" s="736"/>
      <c r="N443" s="736"/>
    </row>
    <row r="444" spans="3:14" ht="14.25" customHeight="1">
      <c r="C444" s="736"/>
      <c r="D444" s="736"/>
      <c r="E444" s="736"/>
      <c r="F444" s="736"/>
      <c r="G444" s="736"/>
      <c r="H444" s="736"/>
      <c r="I444" s="736"/>
      <c r="J444" s="736"/>
      <c r="K444" s="736"/>
      <c r="L444" s="736"/>
      <c r="M444" s="736"/>
      <c r="N444" s="736"/>
    </row>
    <row r="445" spans="3:14" ht="14.25" customHeight="1">
      <c r="C445" s="736"/>
      <c r="D445" s="736"/>
      <c r="E445" s="736"/>
      <c r="F445" s="736"/>
      <c r="G445" s="736"/>
      <c r="H445" s="736"/>
      <c r="I445" s="736"/>
      <c r="J445" s="736"/>
      <c r="K445" s="736"/>
      <c r="L445" s="736"/>
      <c r="M445" s="736"/>
      <c r="N445" s="736"/>
    </row>
    <row r="446" spans="3:14" ht="14.25" customHeight="1">
      <c r="C446" s="736"/>
      <c r="D446" s="736"/>
      <c r="E446" s="736"/>
      <c r="F446" s="736"/>
      <c r="G446" s="736"/>
      <c r="H446" s="736"/>
      <c r="I446" s="736"/>
      <c r="J446" s="736"/>
      <c r="K446" s="736"/>
      <c r="L446" s="736"/>
      <c r="M446" s="736"/>
      <c r="N446" s="736"/>
    </row>
    <row r="447" spans="3:14" ht="14.25" customHeight="1">
      <c r="C447" s="736"/>
      <c r="D447" s="736"/>
      <c r="E447" s="736"/>
      <c r="F447" s="736"/>
      <c r="G447" s="736"/>
      <c r="H447" s="736"/>
      <c r="I447" s="736"/>
      <c r="J447" s="736"/>
      <c r="K447" s="736"/>
      <c r="L447" s="736"/>
      <c r="M447" s="736"/>
      <c r="N447" s="736"/>
    </row>
    <row r="448" spans="3:14" ht="14.25" customHeight="1">
      <c r="C448" s="736"/>
      <c r="D448" s="736"/>
      <c r="E448" s="736"/>
      <c r="F448" s="736"/>
      <c r="G448" s="736"/>
      <c r="H448" s="736"/>
      <c r="I448" s="736"/>
      <c r="J448" s="736"/>
      <c r="K448" s="736"/>
      <c r="L448" s="736"/>
      <c r="M448" s="736"/>
      <c r="N448" s="736"/>
    </row>
    <row r="449" spans="3:14" ht="14.25" customHeight="1">
      <c r="C449" s="736"/>
      <c r="D449" s="736"/>
      <c r="E449" s="736"/>
      <c r="F449" s="736"/>
      <c r="G449" s="736"/>
      <c r="H449" s="736"/>
      <c r="I449" s="736"/>
      <c r="J449" s="736"/>
      <c r="K449" s="736"/>
      <c r="L449" s="736"/>
      <c r="M449" s="736"/>
      <c r="N449" s="736"/>
    </row>
    <row r="450" spans="3:14" ht="14.25" customHeight="1">
      <c r="C450" s="736"/>
      <c r="D450" s="736"/>
      <c r="E450" s="736"/>
      <c r="F450" s="736"/>
      <c r="G450" s="736"/>
      <c r="H450" s="736"/>
      <c r="I450" s="736"/>
      <c r="J450" s="736"/>
      <c r="K450" s="736"/>
      <c r="L450" s="736"/>
      <c r="M450" s="736"/>
      <c r="N450" s="736"/>
    </row>
    <row r="451" spans="3:14" ht="14.25" customHeight="1">
      <c r="C451" s="736"/>
      <c r="D451" s="736"/>
      <c r="E451" s="736"/>
      <c r="F451" s="736"/>
      <c r="G451" s="736"/>
      <c r="H451" s="736"/>
      <c r="I451" s="736"/>
      <c r="J451" s="736"/>
      <c r="K451" s="736"/>
      <c r="L451" s="736"/>
      <c r="M451" s="736"/>
      <c r="N451" s="736"/>
    </row>
    <row r="452" spans="3:14" ht="14.25" customHeight="1">
      <c r="C452" s="736"/>
      <c r="D452" s="736"/>
      <c r="E452" s="736"/>
      <c r="F452" s="736"/>
      <c r="G452" s="736"/>
      <c r="H452" s="736"/>
      <c r="I452" s="736"/>
      <c r="J452" s="736"/>
      <c r="K452" s="736"/>
      <c r="L452" s="736"/>
      <c r="M452" s="736"/>
      <c r="N452" s="736"/>
    </row>
    <row r="453" spans="3:14" ht="14.25" customHeight="1">
      <c r="C453" s="736"/>
      <c r="D453" s="736"/>
      <c r="E453" s="736"/>
      <c r="F453" s="736"/>
      <c r="G453" s="736"/>
      <c r="H453" s="736"/>
      <c r="I453" s="736"/>
      <c r="J453" s="736"/>
      <c r="K453" s="736"/>
      <c r="L453" s="736"/>
      <c r="M453" s="736"/>
      <c r="N453" s="736"/>
    </row>
    <row r="454" spans="3:14" ht="14.25" customHeight="1">
      <c r="C454" s="736"/>
      <c r="D454" s="736"/>
      <c r="E454" s="736"/>
      <c r="F454" s="736"/>
      <c r="G454" s="736"/>
      <c r="H454" s="736"/>
      <c r="I454" s="736"/>
      <c r="J454" s="736"/>
      <c r="K454" s="736"/>
      <c r="L454" s="736"/>
      <c r="M454" s="736"/>
      <c r="N454" s="736"/>
    </row>
    <row r="455" spans="3:14" ht="14.25" customHeight="1">
      <c r="C455" s="736"/>
      <c r="D455" s="736"/>
      <c r="E455" s="736"/>
      <c r="F455" s="736"/>
      <c r="G455" s="736"/>
      <c r="H455" s="736"/>
      <c r="I455" s="736"/>
      <c r="J455" s="736"/>
      <c r="K455" s="736"/>
      <c r="L455" s="736"/>
      <c r="M455" s="736"/>
      <c r="N455" s="736"/>
    </row>
    <row r="456" spans="3:14" ht="14.25" customHeight="1">
      <c r="C456" s="736"/>
      <c r="D456" s="736"/>
      <c r="E456" s="736"/>
      <c r="F456" s="736"/>
      <c r="G456" s="736"/>
      <c r="H456" s="736"/>
      <c r="I456" s="736"/>
      <c r="J456" s="736"/>
      <c r="K456" s="736"/>
      <c r="L456" s="736"/>
      <c r="M456" s="736"/>
      <c r="N456" s="736"/>
    </row>
    <row r="457" spans="3:14" ht="14.25" customHeight="1">
      <c r="C457" s="736"/>
      <c r="D457" s="736"/>
      <c r="E457" s="736"/>
      <c r="F457" s="736"/>
      <c r="G457" s="736"/>
      <c r="H457" s="736"/>
      <c r="I457" s="736"/>
      <c r="J457" s="736"/>
      <c r="K457" s="736"/>
      <c r="L457" s="736"/>
      <c r="M457" s="736"/>
      <c r="N457" s="736"/>
    </row>
    <row r="458" spans="3:14" ht="14.25" customHeight="1">
      <c r="C458" s="736"/>
      <c r="D458" s="736"/>
      <c r="E458" s="736"/>
      <c r="F458" s="736"/>
      <c r="G458" s="736"/>
      <c r="H458" s="736"/>
      <c r="I458" s="736"/>
      <c r="J458" s="736"/>
      <c r="K458" s="736"/>
      <c r="L458" s="736"/>
      <c r="M458" s="736"/>
      <c r="N458" s="736"/>
    </row>
    <row r="459" spans="3:14" ht="14.25" customHeight="1">
      <c r="C459" s="736"/>
      <c r="D459" s="736"/>
      <c r="E459" s="736"/>
      <c r="F459" s="736"/>
      <c r="G459" s="736"/>
      <c r="H459" s="736"/>
      <c r="I459" s="736"/>
      <c r="J459" s="736"/>
      <c r="K459" s="736"/>
      <c r="L459" s="736"/>
      <c r="M459" s="736"/>
      <c r="N459" s="736"/>
    </row>
    <row r="460" spans="3:14" ht="14.25" customHeight="1">
      <c r="C460" s="736"/>
      <c r="D460" s="736"/>
      <c r="E460" s="736"/>
      <c r="F460" s="736"/>
      <c r="G460" s="736"/>
      <c r="H460" s="736"/>
      <c r="I460" s="736"/>
      <c r="J460" s="736"/>
      <c r="K460" s="736"/>
      <c r="L460" s="736"/>
      <c r="M460" s="736"/>
      <c r="N460" s="736"/>
    </row>
    <row r="461" spans="3:14" ht="14.25" customHeight="1">
      <c r="C461" s="736"/>
      <c r="D461" s="736"/>
      <c r="E461" s="736"/>
      <c r="F461" s="736"/>
      <c r="G461" s="736"/>
      <c r="H461" s="736"/>
      <c r="I461" s="736"/>
      <c r="J461" s="736"/>
      <c r="K461" s="736"/>
      <c r="L461" s="736"/>
      <c r="M461" s="736"/>
      <c r="N461" s="736"/>
    </row>
    <row r="462" spans="3:14" ht="14.25" customHeight="1">
      <c r="C462" s="736"/>
      <c r="D462" s="736"/>
      <c r="E462" s="736"/>
      <c r="F462" s="736"/>
      <c r="G462" s="736"/>
      <c r="H462" s="736"/>
      <c r="I462" s="736"/>
      <c r="J462" s="736"/>
      <c r="K462" s="736"/>
      <c r="L462" s="736"/>
      <c r="M462" s="736"/>
      <c r="N462" s="736"/>
    </row>
    <row r="463" spans="3:14" ht="14.25" customHeight="1">
      <c r="C463" s="736"/>
      <c r="D463" s="736"/>
      <c r="E463" s="736"/>
      <c r="F463" s="736"/>
      <c r="G463" s="736"/>
      <c r="H463" s="736"/>
      <c r="I463" s="736"/>
      <c r="J463" s="736"/>
      <c r="K463" s="736"/>
      <c r="L463" s="736"/>
      <c r="M463" s="736"/>
      <c r="N463" s="736"/>
    </row>
    <row r="464" spans="3:14" ht="14.25" customHeight="1">
      <c r="C464" s="736"/>
      <c r="D464" s="736"/>
      <c r="E464" s="736"/>
      <c r="F464" s="736"/>
      <c r="G464" s="736"/>
      <c r="H464" s="736"/>
      <c r="I464" s="736"/>
      <c r="J464" s="736"/>
      <c r="K464" s="736"/>
      <c r="L464" s="736"/>
      <c r="M464" s="736"/>
      <c r="N464" s="736"/>
    </row>
    <row r="465" spans="3:14" ht="14.25" customHeight="1">
      <c r="C465" s="736"/>
      <c r="D465" s="736"/>
      <c r="E465" s="736"/>
      <c r="F465" s="736"/>
      <c r="G465" s="736"/>
      <c r="H465" s="736"/>
      <c r="I465" s="736"/>
      <c r="J465" s="736"/>
      <c r="K465" s="736"/>
      <c r="L465" s="736"/>
      <c r="M465" s="736"/>
      <c r="N465" s="736"/>
    </row>
    <row r="466" spans="3:14" ht="14.25" customHeight="1">
      <c r="C466" s="736"/>
      <c r="D466" s="736"/>
      <c r="E466" s="736"/>
      <c r="F466" s="736"/>
      <c r="G466" s="736"/>
      <c r="H466" s="736"/>
      <c r="I466" s="736"/>
      <c r="J466" s="736"/>
      <c r="K466" s="736"/>
      <c r="L466" s="736"/>
      <c r="M466" s="736"/>
      <c r="N466" s="736"/>
    </row>
    <row r="467" spans="3:14" ht="14.25" customHeight="1">
      <c r="C467" s="736"/>
      <c r="D467" s="736"/>
      <c r="E467" s="736"/>
      <c r="F467" s="736"/>
      <c r="G467" s="736"/>
      <c r="H467" s="736"/>
      <c r="I467" s="736"/>
      <c r="J467" s="736"/>
      <c r="K467" s="736"/>
      <c r="L467" s="736"/>
      <c r="M467" s="736"/>
      <c r="N467" s="736"/>
    </row>
    <row r="468" spans="3:14" ht="14.25" customHeight="1">
      <c r="C468" s="736"/>
      <c r="D468" s="736"/>
      <c r="E468" s="736"/>
      <c r="F468" s="736"/>
      <c r="G468" s="736"/>
      <c r="H468" s="736"/>
      <c r="I468" s="736"/>
      <c r="J468" s="736"/>
      <c r="K468" s="736"/>
      <c r="L468" s="736"/>
      <c r="M468" s="736"/>
      <c r="N468" s="736"/>
    </row>
    <row r="469" spans="3:14" ht="14.25" customHeight="1">
      <c r="C469" s="736"/>
      <c r="D469" s="736"/>
      <c r="E469" s="736"/>
      <c r="F469" s="736"/>
      <c r="G469" s="736"/>
      <c r="H469" s="736"/>
      <c r="I469" s="736"/>
      <c r="J469" s="736"/>
      <c r="K469" s="736"/>
      <c r="L469" s="736"/>
      <c r="M469" s="736"/>
      <c r="N469" s="736"/>
    </row>
    <row r="470" spans="3:14" ht="14.25" customHeight="1">
      <c r="C470" s="736"/>
      <c r="D470" s="736"/>
      <c r="E470" s="736"/>
      <c r="F470" s="736"/>
      <c r="G470" s="736"/>
      <c r="H470" s="736"/>
      <c r="I470" s="736"/>
      <c r="J470" s="736"/>
      <c r="K470" s="736"/>
      <c r="L470" s="736"/>
      <c r="M470" s="736"/>
      <c r="N470" s="736"/>
    </row>
    <row r="471" spans="3:14" ht="14.25" customHeight="1">
      <c r="C471" s="736"/>
      <c r="D471" s="736"/>
      <c r="E471" s="736"/>
      <c r="F471" s="736"/>
      <c r="G471" s="736"/>
      <c r="H471" s="736"/>
      <c r="I471" s="736"/>
      <c r="J471" s="736"/>
      <c r="K471" s="736"/>
      <c r="L471" s="736"/>
      <c r="M471" s="736"/>
      <c r="N471" s="736"/>
    </row>
    <row r="472" spans="3:14" ht="14.25" customHeight="1">
      <c r="C472" s="736"/>
      <c r="D472" s="736"/>
      <c r="E472" s="736"/>
      <c r="F472" s="736"/>
      <c r="G472" s="736"/>
      <c r="H472" s="736"/>
      <c r="I472" s="736"/>
      <c r="J472" s="736"/>
      <c r="K472" s="736"/>
      <c r="L472" s="736"/>
      <c r="M472" s="736"/>
      <c r="N472" s="736"/>
    </row>
    <row r="473" spans="3:14" ht="14.25" customHeight="1">
      <c r="C473" s="736"/>
      <c r="D473" s="736"/>
      <c r="E473" s="736"/>
      <c r="F473" s="736"/>
      <c r="G473" s="736"/>
      <c r="H473" s="736"/>
      <c r="I473" s="736"/>
      <c r="J473" s="736"/>
      <c r="K473" s="736"/>
      <c r="L473" s="736"/>
      <c r="M473" s="736"/>
      <c r="N473" s="736"/>
    </row>
    <row r="474" spans="3:14" ht="14.25" customHeight="1">
      <c r="C474" s="736"/>
      <c r="D474" s="736"/>
      <c r="E474" s="736"/>
      <c r="F474" s="736"/>
      <c r="G474" s="736"/>
      <c r="H474" s="736"/>
      <c r="I474" s="736"/>
      <c r="J474" s="736"/>
      <c r="K474" s="736"/>
      <c r="L474" s="736"/>
      <c r="M474" s="736"/>
      <c r="N474" s="736"/>
    </row>
    <row r="475" spans="3:14" ht="14.25" customHeight="1">
      <c r="C475" s="736"/>
      <c r="D475" s="736"/>
      <c r="E475" s="736"/>
      <c r="F475" s="736"/>
      <c r="G475" s="736"/>
      <c r="H475" s="736"/>
      <c r="I475" s="736"/>
      <c r="J475" s="736"/>
      <c r="K475" s="736"/>
      <c r="L475" s="736"/>
      <c r="M475" s="736"/>
      <c r="N475" s="736"/>
    </row>
    <row r="476" spans="3:14" ht="14.25" customHeight="1">
      <c r="C476" s="736"/>
      <c r="D476" s="736"/>
      <c r="E476" s="736"/>
      <c r="F476" s="736"/>
      <c r="G476" s="736"/>
      <c r="H476" s="736"/>
      <c r="I476" s="736"/>
      <c r="J476" s="736"/>
      <c r="K476" s="736"/>
      <c r="L476" s="736"/>
      <c r="M476" s="736"/>
      <c r="N476" s="736"/>
    </row>
    <row r="477" spans="3:14" ht="14.25" customHeight="1">
      <c r="C477" s="736"/>
      <c r="D477" s="736"/>
      <c r="E477" s="736"/>
      <c r="F477" s="736"/>
      <c r="G477" s="736"/>
      <c r="H477" s="736"/>
      <c r="I477" s="736"/>
      <c r="J477" s="736"/>
      <c r="K477" s="736"/>
      <c r="L477" s="736"/>
      <c r="M477" s="736"/>
      <c r="N477" s="736"/>
    </row>
    <row r="478" spans="3:14" ht="14.25" customHeight="1">
      <c r="C478" s="736"/>
      <c r="D478" s="736"/>
      <c r="E478" s="736"/>
      <c r="F478" s="736"/>
      <c r="G478" s="736"/>
      <c r="H478" s="736"/>
      <c r="I478" s="736"/>
      <c r="J478" s="736"/>
      <c r="K478" s="736"/>
      <c r="L478" s="736"/>
      <c r="M478" s="736"/>
      <c r="N478" s="736"/>
    </row>
    <row r="479" spans="3:14" ht="14.25" customHeight="1">
      <c r="C479" s="736"/>
      <c r="D479" s="736"/>
      <c r="E479" s="736"/>
      <c r="F479" s="736"/>
      <c r="G479" s="736"/>
      <c r="H479" s="736"/>
      <c r="I479" s="736"/>
      <c r="J479" s="736"/>
      <c r="K479" s="736"/>
      <c r="L479" s="736"/>
      <c r="M479" s="736"/>
      <c r="N479" s="736"/>
    </row>
    <row r="480" spans="3:14" ht="14.25" customHeight="1">
      <c r="C480" s="736"/>
      <c r="D480" s="736"/>
      <c r="E480" s="736"/>
      <c r="F480" s="736"/>
      <c r="G480" s="736"/>
      <c r="H480" s="736"/>
      <c r="I480" s="736"/>
      <c r="J480" s="736"/>
      <c r="K480" s="736"/>
      <c r="L480" s="736"/>
      <c r="M480" s="736"/>
      <c r="N480" s="736"/>
    </row>
    <row r="481" spans="3:14" ht="14.25" customHeight="1">
      <c r="C481" s="736"/>
      <c r="D481" s="736"/>
      <c r="E481" s="736"/>
      <c r="F481" s="736"/>
      <c r="G481" s="736"/>
      <c r="H481" s="736"/>
      <c r="I481" s="736"/>
      <c r="J481" s="736"/>
      <c r="K481" s="736"/>
      <c r="L481" s="736"/>
      <c r="M481" s="736"/>
      <c r="N481" s="736"/>
    </row>
    <row r="482" spans="3:14" ht="14.25" customHeight="1">
      <c r="C482" s="736"/>
      <c r="D482" s="736"/>
      <c r="E482" s="736"/>
      <c r="F482" s="736"/>
      <c r="G482" s="736"/>
      <c r="H482" s="736"/>
      <c r="I482" s="736"/>
      <c r="J482" s="736"/>
      <c r="K482" s="736"/>
      <c r="L482" s="736"/>
      <c r="M482" s="736"/>
      <c r="N482" s="736"/>
    </row>
    <row r="483" spans="3:14" ht="14.25" customHeight="1">
      <c r="C483" s="736"/>
      <c r="D483" s="736"/>
      <c r="E483" s="736"/>
      <c r="F483" s="736"/>
      <c r="G483" s="736"/>
      <c r="H483" s="736"/>
      <c r="I483" s="736"/>
      <c r="J483" s="736"/>
      <c r="K483" s="736"/>
      <c r="L483" s="736"/>
      <c r="M483" s="736"/>
      <c r="N483" s="736"/>
    </row>
    <row r="484" spans="3:14" ht="14.25" customHeight="1">
      <c r="C484" s="736"/>
      <c r="D484" s="736"/>
      <c r="E484" s="736"/>
      <c r="F484" s="736"/>
      <c r="G484" s="736"/>
      <c r="H484" s="736"/>
      <c r="I484" s="736"/>
      <c r="J484" s="736"/>
      <c r="K484" s="736"/>
      <c r="L484" s="736"/>
      <c r="M484" s="736"/>
      <c r="N484" s="736"/>
    </row>
    <row r="485" spans="3:14" ht="14.25" customHeight="1">
      <c r="C485" s="736"/>
      <c r="D485" s="736"/>
      <c r="E485" s="736"/>
      <c r="F485" s="736"/>
      <c r="G485" s="736"/>
      <c r="H485" s="736"/>
      <c r="I485" s="736"/>
      <c r="J485" s="736"/>
      <c r="K485" s="736"/>
      <c r="L485" s="736"/>
      <c r="M485" s="736"/>
      <c r="N485" s="736"/>
    </row>
    <row r="486" spans="3:14" ht="14.25" customHeight="1">
      <c r="C486" s="736"/>
      <c r="D486" s="736"/>
      <c r="E486" s="736"/>
      <c r="F486" s="736"/>
      <c r="G486" s="736"/>
      <c r="H486" s="736"/>
      <c r="I486" s="736"/>
      <c r="J486" s="736"/>
      <c r="K486" s="736"/>
      <c r="L486" s="736"/>
      <c r="M486" s="736"/>
      <c r="N486" s="736"/>
    </row>
    <row r="487" spans="3:14" ht="14.25" customHeight="1">
      <c r="C487" s="736"/>
      <c r="D487" s="736"/>
      <c r="E487" s="736"/>
      <c r="F487" s="736"/>
      <c r="G487" s="736"/>
      <c r="H487" s="736"/>
      <c r="I487" s="736"/>
      <c r="J487" s="736"/>
      <c r="K487" s="736"/>
      <c r="L487" s="736"/>
      <c r="M487" s="736"/>
      <c r="N487" s="736"/>
    </row>
    <row r="488" spans="3:14" ht="14.25" customHeight="1">
      <c r="C488" s="736"/>
      <c r="D488" s="736"/>
      <c r="E488" s="736"/>
      <c r="F488" s="736"/>
      <c r="G488" s="736"/>
      <c r="H488" s="736"/>
      <c r="I488" s="736"/>
      <c r="J488" s="736"/>
      <c r="K488" s="736"/>
      <c r="L488" s="736"/>
      <c r="M488" s="736"/>
      <c r="N488" s="736"/>
    </row>
    <row r="489" spans="3:14" ht="14.25" customHeight="1">
      <c r="C489" s="736"/>
      <c r="D489" s="736"/>
      <c r="E489" s="736"/>
      <c r="F489" s="736"/>
      <c r="G489" s="736"/>
      <c r="H489" s="736"/>
      <c r="I489" s="736"/>
      <c r="J489" s="736"/>
      <c r="K489" s="736"/>
      <c r="L489" s="736"/>
      <c r="M489" s="736"/>
      <c r="N489" s="736"/>
    </row>
    <row r="490" spans="3:14" ht="14.25" customHeight="1">
      <c r="C490" s="736"/>
      <c r="D490" s="736"/>
      <c r="E490" s="736"/>
      <c r="F490" s="736"/>
      <c r="G490" s="736"/>
      <c r="H490" s="736"/>
      <c r="I490" s="736"/>
      <c r="J490" s="736"/>
      <c r="K490" s="736"/>
      <c r="L490" s="736"/>
      <c r="M490" s="736"/>
      <c r="N490" s="736"/>
    </row>
    <row r="491" spans="3:14" ht="14.25" customHeight="1">
      <c r="C491" s="736"/>
      <c r="D491" s="736"/>
      <c r="E491" s="736"/>
      <c r="F491" s="736"/>
      <c r="G491" s="736"/>
      <c r="H491" s="736"/>
      <c r="I491" s="736"/>
      <c r="J491" s="736"/>
      <c r="K491" s="736"/>
      <c r="L491" s="736"/>
      <c r="M491" s="736"/>
      <c r="N491" s="736"/>
    </row>
    <row r="492" spans="3:14" ht="14.25" customHeight="1">
      <c r="C492" s="736"/>
      <c r="D492" s="736"/>
      <c r="E492" s="736"/>
      <c r="F492" s="736"/>
      <c r="G492" s="736"/>
      <c r="H492" s="736"/>
      <c r="I492" s="736"/>
      <c r="J492" s="736"/>
      <c r="K492" s="736"/>
      <c r="L492" s="736"/>
      <c r="M492" s="736"/>
      <c r="N492" s="736"/>
    </row>
    <row r="493" spans="3:14" ht="14.25" customHeight="1">
      <c r="C493" s="736"/>
      <c r="D493" s="736"/>
      <c r="E493" s="736"/>
      <c r="F493" s="736"/>
      <c r="G493" s="736"/>
      <c r="H493" s="736"/>
      <c r="I493" s="736"/>
      <c r="J493" s="736"/>
      <c r="K493" s="736"/>
      <c r="L493" s="736"/>
      <c r="M493" s="736"/>
      <c r="N493" s="736"/>
    </row>
    <row r="494" spans="3:14" ht="14.25" customHeight="1">
      <c r="C494" s="736"/>
      <c r="D494" s="736"/>
      <c r="E494" s="736"/>
      <c r="F494" s="736"/>
      <c r="G494" s="736"/>
      <c r="H494" s="736"/>
      <c r="I494" s="736"/>
      <c r="J494" s="736"/>
      <c r="K494" s="736"/>
      <c r="L494" s="736"/>
      <c r="M494" s="736"/>
      <c r="N494" s="736"/>
    </row>
    <row r="495" spans="3:14" ht="14.25" customHeight="1">
      <c r="C495" s="736"/>
      <c r="D495" s="736"/>
      <c r="E495" s="736"/>
      <c r="F495" s="736"/>
      <c r="G495" s="736"/>
      <c r="H495" s="736"/>
      <c r="I495" s="736"/>
      <c r="J495" s="736"/>
      <c r="K495" s="736"/>
      <c r="L495" s="736"/>
      <c r="M495" s="736"/>
      <c r="N495" s="736"/>
    </row>
    <row r="496" spans="3:14" ht="14.25" customHeight="1">
      <c r="C496" s="736"/>
      <c r="D496" s="736"/>
      <c r="E496" s="736"/>
      <c r="F496" s="736"/>
      <c r="G496" s="736"/>
      <c r="H496" s="736"/>
      <c r="I496" s="736"/>
      <c r="J496" s="736"/>
      <c r="K496" s="736"/>
      <c r="L496" s="736"/>
      <c r="M496" s="736"/>
      <c r="N496" s="736"/>
    </row>
    <row r="497" spans="3:14" ht="14.25" customHeight="1">
      <c r="C497" s="736"/>
      <c r="D497" s="736"/>
      <c r="E497" s="736"/>
      <c r="F497" s="736"/>
      <c r="G497" s="736"/>
      <c r="H497" s="736"/>
      <c r="I497" s="736"/>
      <c r="J497" s="736"/>
      <c r="K497" s="736"/>
      <c r="L497" s="736"/>
      <c r="M497" s="736"/>
      <c r="N497" s="736"/>
    </row>
    <row r="498" spans="3:14" ht="14.25" customHeight="1">
      <c r="C498" s="736"/>
      <c r="D498" s="736"/>
      <c r="E498" s="736"/>
      <c r="F498" s="736"/>
      <c r="G498" s="736"/>
      <c r="H498" s="736"/>
      <c r="I498" s="736"/>
      <c r="J498" s="736"/>
      <c r="K498" s="736"/>
      <c r="L498" s="736"/>
      <c r="M498" s="736"/>
      <c r="N498" s="736"/>
    </row>
    <row r="499" spans="3:14" ht="14.25" customHeight="1">
      <c r="C499" s="736"/>
      <c r="D499" s="736"/>
      <c r="E499" s="736"/>
      <c r="F499" s="736"/>
      <c r="G499" s="736"/>
      <c r="H499" s="736"/>
      <c r="I499" s="736"/>
      <c r="J499" s="736"/>
      <c r="K499" s="736"/>
      <c r="L499" s="736"/>
      <c r="M499" s="736"/>
      <c r="N499" s="736"/>
    </row>
    <row r="500" spans="3:14" ht="14.25" customHeight="1">
      <c r="C500" s="736"/>
      <c r="D500" s="736"/>
      <c r="E500" s="736"/>
      <c r="F500" s="736"/>
      <c r="G500" s="736"/>
      <c r="H500" s="736"/>
      <c r="I500" s="736"/>
      <c r="J500" s="736"/>
      <c r="K500" s="736"/>
      <c r="L500" s="736"/>
      <c r="M500" s="736"/>
      <c r="N500" s="736"/>
    </row>
    <row r="501" spans="3:14" ht="14.25" customHeight="1">
      <c r="C501" s="736"/>
      <c r="D501" s="736"/>
      <c r="E501" s="736"/>
      <c r="F501" s="736"/>
      <c r="G501" s="736"/>
      <c r="H501" s="736"/>
      <c r="I501" s="736"/>
      <c r="J501" s="736"/>
      <c r="K501" s="736"/>
      <c r="L501" s="736"/>
      <c r="M501" s="736"/>
      <c r="N501" s="736"/>
    </row>
    <row r="502" spans="3:14" ht="14.25" customHeight="1">
      <c r="C502" s="736"/>
      <c r="D502" s="736"/>
      <c r="E502" s="736"/>
      <c r="F502" s="736"/>
      <c r="G502" s="736"/>
      <c r="H502" s="736"/>
      <c r="I502" s="736"/>
      <c r="J502" s="736"/>
      <c r="K502" s="736"/>
      <c r="L502" s="736"/>
      <c r="M502" s="736"/>
      <c r="N502" s="736"/>
    </row>
    <row r="503" spans="3:14" ht="14.25" customHeight="1">
      <c r="C503" s="736"/>
      <c r="D503" s="736"/>
      <c r="E503" s="736"/>
      <c r="F503" s="736"/>
      <c r="G503" s="736"/>
      <c r="H503" s="736"/>
      <c r="I503" s="736"/>
      <c r="J503" s="736"/>
      <c r="K503" s="736"/>
      <c r="L503" s="736"/>
      <c r="M503" s="736"/>
      <c r="N503" s="736"/>
    </row>
    <row r="504" spans="3:14" ht="14.25" customHeight="1">
      <c r="C504" s="736"/>
      <c r="D504" s="736"/>
      <c r="E504" s="736"/>
      <c r="F504" s="736"/>
      <c r="G504" s="736"/>
      <c r="H504" s="736"/>
      <c r="I504" s="736"/>
      <c r="J504" s="736"/>
      <c r="K504" s="736"/>
      <c r="L504" s="736"/>
      <c r="M504" s="736"/>
      <c r="N504" s="736"/>
    </row>
    <row r="505" spans="3:14" ht="14.25" customHeight="1">
      <c r="C505" s="736"/>
      <c r="D505" s="736"/>
      <c r="E505" s="736"/>
      <c r="F505" s="736"/>
      <c r="G505" s="736"/>
      <c r="H505" s="736"/>
      <c r="I505" s="736"/>
      <c r="J505" s="736"/>
      <c r="K505" s="736"/>
      <c r="L505" s="736"/>
      <c r="M505" s="736"/>
      <c r="N505" s="736"/>
    </row>
    <row r="506" spans="3:14" ht="14.25" customHeight="1">
      <c r="C506" s="736"/>
      <c r="D506" s="736"/>
      <c r="E506" s="736"/>
      <c r="F506" s="736"/>
      <c r="G506" s="736"/>
      <c r="H506" s="736"/>
      <c r="I506" s="736"/>
      <c r="J506" s="736"/>
      <c r="K506" s="736"/>
      <c r="L506" s="736"/>
      <c r="M506" s="736"/>
      <c r="N506" s="736"/>
    </row>
    <row r="507" spans="3:14" ht="14.25" customHeight="1">
      <c r="C507" s="736"/>
      <c r="D507" s="736"/>
      <c r="E507" s="736"/>
      <c r="F507" s="736"/>
      <c r="G507" s="736"/>
      <c r="H507" s="736"/>
      <c r="I507" s="736"/>
      <c r="J507" s="736"/>
      <c r="K507" s="736"/>
      <c r="L507" s="736"/>
      <c r="M507" s="736"/>
      <c r="N507" s="736"/>
    </row>
    <row r="508" spans="3:14" ht="14.25" customHeight="1">
      <c r="C508" s="736"/>
      <c r="D508" s="736"/>
      <c r="E508" s="736"/>
      <c r="F508" s="736"/>
      <c r="G508" s="736"/>
      <c r="H508" s="736"/>
      <c r="I508" s="736"/>
      <c r="J508" s="736"/>
      <c r="K508" s="736"/>
      <c r="L508" s="736"/>
      <c r="M508" s="736"/>
      <c r="N508" s="736"/>
    </row>
    <row r="509" spans="3:14" ht="14.25" customHeight="1">
      <c r="C509" s="736"/>
      <c r="D509" s="736"/>
      <c r="E509" s="736"/>
      <c r="F509" s="736"/>
      <c r="G509" s="736"/>
      <c r="H509" s="736"/>
      <c r="I509" s="736"/>
      <c r="J509" s="736"/>
      <c r="K509" s="736"/>
      <c r="L509" s="736"/>
      <c r="M509" s="736"/>
      <c r="N509" s="736"/>
    </row>
    <row r="510" spans="3:14" ht="14.25" customHeight="1">
      <c r="C510" s="736"/>
      <c r="D510" s="736"/>
      <c r="E510" s="736"/>
      <c r="F510" s="736"/>
      <c r="G510" s="736"/>
      <c r="H510" s="736"/>
      <c r="I510" s="736"/>
      <c r="J510" s="736"/>
      <c r="K510" s="736"/>
      <c r="L510" s="736"/>
      <c r="M510" s="736"/>
      <c r="N510" s="736"/>
    </row>
    <row r="511" spans="3:14" ht="14.25" customHeight="1">
      <c r="C511" s="736"/>
      <c r="D511" s="736"/>
      <c r="E511" s="736"/>
      <c r="F511" s="736"/>
      <c r="G511" s="736"/>
      <c r="H511" s="736"/>
      <c r="I511" s="736"/>
      <c r="J511" s="736"/>
      <c r="K511" s="736"/>
      <c r="L511" s="736"/>
      <c r="M511" s="736"/>
      <c r="N511" s="736"/>
    </row>
    <row r="512" spans="3:14" ht="14.25" customHeight="1">
      <c r="C512" s="736"/>
      <c r="D512" s="736"/>
      <c r="E512" s="736"/>
      <c r="F512" s="736"/>
      <c r="G512" s="736"/>
      <c r="H512" s="736"/>
      <c r="I512" s="736"/>
      <c r="J512" s="736"/>
      <c r="K512" s="736"/>
      <c r="L512" s="736"/>
      <c r="M512" s="736"/>
      <c r="N512" s="736"/>
    </row>
    <row r="513" spans="3:14" ht="14.25" customHeight="1">
      <c r="C513" s="736"/>
      <c r="D513" s="736"/>
      <c r="E513" s="736"/>
      <c r="F513" s="736"/>
      <c r="G513" s="736"/>
      <c r="H513" s="736"/>
      <c r="I513" s="736"/>
      <c r="J513" s="736"/>
      <c r="K513" s="736"/>
      <c r="L513" s="736"/>
      <c r="M513" s="736"/>
      <c r="N513" s="736"/>
    </row>
    <row r="514" spans="3:14" ht="14.25" customHeight="1">
      <c r="C514" s="736"/>
      <c r="D514" s="736"/>
      <c r="E514" s="736"/>
      <c r="F514" s="736"/>
      <c r="G514" s="736"/>
      <c r="H514" s="736"/>
      <c r="I514" s="736"/>
      <c r="J514" s="736"/>
      <c r="K514" s="736"/>
      <c r="L514" s="736"/>
      <c r="M514" s="736"/>
      <c r="N514" s="736"/>
    </row>
    <row r="515" spans="3:14" ht="14.25" customHeight="1">
      <c r="C515" s="736"/>
      <c r="D515" s="736"/>
      <c r="E515" s="736"/>
      <c r="F515" s="736"/>
      <c r="G515" s="736"/>
      <c r="H515" s="736"/>
      <c r="I515" s="736"/>
      <c r="J515" s="736"/>
      <c r="K515" s="736"/>
      <c r="L515" s="736"/>
      <c r="M515" s="736"/>
      <c r="N515" s="736"/>
    </row>
    <row r="516" spans="3:14" ht="14.25" customHeight="1">
      <c r="C516" s="736"/>
      <c r="D516" s="736"/>
      <c r="E516" s="736"/>
      <c r="F516" s="736"/>
      <c r="G516" s="736"/>
      <c r="H516" s="736"/>
      <c r="I516" s="736"/>
      <c r="J516" s="736"/>
      <c r="K516" s="736"/>
      <c r="L516" s="736"/>
      <c r="M516" s="736"/>
      <c r="N516" s="736"/>
    </row>
    <row r="517" spans="3:14" ht="14.25" customHeight="1">
      <c r="C517" s="736"/>
      <c r="D517" s="736"/>
      <c r="E517" s="736"/>
      <c r="F517" s="736"/>
      <c r="G517" s="736"/>
      <c r="H517" s="736"/>
      <c r="I517" s="736"/>
      <c r="J517" s="736"/>
      <c r="K517" s="736"/>
      <c r="L517" s="736"/>
      <c r="M517" s="736"/>
      <c r="N517" s="736"/>
    </row>
    <row r="518" spans="3:14" ht="14.25" customHeight="1">
      <c r="C518" s="736"/>
      <c r="D518" s="736"/>
      <c r="E518" s="736"/>
      <c r="F518" s="736"/>
      <c r="G518" s="736"/>
      <c r="H518" s="736"/>
      <c r="I518" s="736"/>
      <c r="J518" s="736"/>
      <c r="K518" s="736"/>
      <c r="L518" s="736"/>
      <c r="M518" s="736"/>
      <c r="N518" s="736"/>
    </row>
    <row r="519" spans="3:14" ht="14.25" customHeight="1">
      <c r="C519" s="736"/>
      <c r="D519" s="736"/>
      <c r="E519" s="736"/>
      <c r="F519" s="736"/>
      <c r="G519" s="736"/>
      <c r="H519" s="736"/>
      <c r="I519" s="736"/>
      <c r="J519" s="736"/>
      <c r="K519" s="736"/>
      <c r="L519" s="736"/>
      <c r="M519" s="736"/>
      <c r="N519" s="736"/>
    </row>
    <row r="520" spans="3:14" ht="14.25" customHeight="1">
      <c r="C520" s="736"/>
      <c r="D520" s="736"/>
      <c r="E520" s="736"/>
      <c r="F520" s="736"/>
      <c r="G520" s="736"/>
      <c r="H520" s="736"/>
      <c r="I520" s="736"/>
      <c r="J520" s="736"/>
      <c r="K520" s="736"/>
      <c r="L520" s="736"/>
      <c r="M520" s="736"/>
      <c r="N520" s="736"/>
    </row>
    <row r="521" spans="3:14" ht="14.25" customHeight="1">
      <c r="C521" s="736"/>
      <c r="D521" s="736"/>
      <c r="E521" s="736"/>
      <c r="F521" s="736"/>
      <c r="G521" s="736"/>
      <c r="H521" s="736"/>
      <c r="I521" s="736"/>
      <c r="J521" s="736"/>
      <c r="K521" s="736"/>
      <c r="L521" s="736"/>
      <c r="M521" s="736"/>
      <c r="N521" s="736"/>
    </row>
    <row r="522" spans="3:14" ht="14.25" customHeight="1">
      <c r="C522" s="736"/>
      <c r="D522" s="736"/>
      <c r="E522" s="736"/>
      <c r="F522" s="736"/>
      <c r="G522" s="736"/>
      <c r="H522" s="736"/>
      <c r="I522" s="736"/>
      <c r="J522" s="736"/>
      <c r="K522" s="736"/>
      <c r="L522" s="736"/>
      <c r="M522" s="736"/>
      <c r="N522" s="736"/>
    </row>
    <row r="523" spans="3:14" ht="14.25" customHeight="1">
      <c r="C523" s="736"/>
      <c r="D523" s="736"/>
      <c r="E523" s="736"/>
      <c r="F523" s="736"/>
      <c r="G523" s="736"/>
      <c r="H523" s="736"/>
      <c r="I523" s="736"/>
      <c r="J523" s="736"/>
      <c r="K523" s="736"/>
      <c r="L523" s="736"/>
      <c r="M523" s="736"/>
      <c r="N523" s="736"/>
    </row>
    <row r="524" spans="3:14" ht="14.25" customHeight="1">
      <c r="C524" s="736"/>
      <c r="D524" s="736"/>
      <c r="E524" s="736"/>
      <c r="F524" s="736"/>
      <c r="G524" s="736"/>
      <c r="H524" s="736"/>
      <c r="I524" s="736"/>
      <c r="J524" s="736"/>
      <c r="K524" s="736"/>
      <c r="L524" s="736"/>
      <c r="M524" s="736"/>
      <c r="N524" s="736"/>
    </row>
    <row r="525" spans="3:14" ht="14.25" customHeight="1">
      <c r="C525" s="736"/>
      <c r="D525" s="736"/>
      <c r="E525" s="736"/>
      <c r="F525" s="736"/>
      <c r="G525" s="736"/>
      <c r="H525" s="736"/>
      <c r="I525" s="736"/>
      <c r="J525" s="736"/>
      <c r="K525" s="736"/>
      <c r="L525" s="736"/>
      <c r="M525" s="736"/>
      <c r="N525" s="736"/>
    </row>
    <row r="526" spans="3:14" ht="14.25" customHeight="1">
      <c r="C526" s="736"/>
      <c r="D526" s="736"/>
      <c r="E526" s="736"/>
      <c r="F526" s="736"/>
      <c r="G526" s="736"/>
      <c r="H526" s="736"/>
      <c r="I526" s="736"/>
      <c r="J526" s="736"/>
      <c r="K526" s="736"/>
      <c r="L526" s="736"/>
      <c r="M526" s="736"/>
      <c r="N526" s="736"/>
    </row>
    <row r="527" spans="3:14" ht="14.25" customHeight="1">
      <c r="C527" s="736"/>
      <c r="D527" s="736"/>
      <c r="E527" s="736"/>
      <c r="F527" s="736"/>
      <c r="G527" s="736"/>
      <c r="H527" s="736"/>
      <c r="I527" s="736"/>
      <c r="J527" s="736"/>
      <c r="K527" s="736"/>
      <c r="L527" s="736"/>
      <c r="M527" s="736"/>
      <c r="N527" s="736"/>
    </row>
    <row r="528" spans="3:14" ht="14.25" customHeight="1">
      <c r="C528" s="736"/>
      <c r="D528" s="736"/>
      <c r="E528" s="736"/>
      <c r="F528" s="736"/>
      <c r="G528" s="736"/>
      <c r="H528" s="736"/>
      <c r="I528" s="736"/>
      <c r="J528" s="736"/>
      <c r="K528" s="736"/>
      <c r="L528" s="736"/>
      <c r="M528" s="736"/>
      <c r="N528" s="736"/>
    </row>
    <row r="529" spans="3:14" ht="14.25" customHeight="1">
      <c r="C529" s="736"/>
      <c r="D529" s="736"/>
      <c r="E529" s="736"/>
      <c r="F529" s="736"/>
      <c r="G529" s="736"/>
      <c r="H529" s="736"/>
      <c r="I529" s="736"/>
      <c r="J529" s="736"/>
      <c r="K529" s="736"/>
      <c r="L529" s="736"/>
      <c r="M529" s="736"/>
      <c r="N529" s="736"/>
    </row>
    <row r="530" spans="3:14" ht="14.25" customHeight="1">
      <c r="C530" s="736"/>
      <c r="D530" s="736"/>
      <c r="E530" s="736"/>
      <c r="F530" s="736"/>
      <c r="G530" s="736"/>
      <c r="H530" s="736"/>
      <c r="I530" s="736"/>
      <c r="J530" s="736"/>
      <c r="K530" s="736"/>
      <c r="L530" s="736"/>
      <c r="M530" s="736"/>
      <c r="N530" s="736"/>
    </row>
    <row r="531" spans="3:14" ht="14.25" customHeight="1">
      <c r="C531" s="736"/>
      <c r="D531" s="736"/>
      <c r="E531" s="736"/>
      <c r="F531" s="736"/>
      <c r="G531" s="736"/>
      <c r="H531" s="736"/>
      <c r="I531" s="736"/>
      <c r="J531" s="736"/>
      <c r="K531" s="736"/>
      <c r="L531" s="736"/>
      <c r="M531" s="736"/>
      <c r="N531" s="736"/>
    </row>
    <row r="532" spans="3:14" ht="14.25" customHeight="1">
      <c r="C532" s="736"/>
      <c r="D532" s="736"/>
      <c r="E532" s="736"/>
      <c r="F532" s="736"/>
      <c r="G532" s="736"/>
      <c r="H532" s="736"/>
      <c r="I532" s="736"/>
      <c r="J532" s="736"/>
      <c r="K532" s="736"/>
      <c r="L532" s="736"/>
      <c r="M532" s="736"/>
      <c r="N532" s="736"/>
    </row>
    <row r="533" spans="3:14" ht="14.25" customHeight="1">
      <c r="C533" s="736"/>
      <c r="D533" s="736"/>
      <c r="E533" s="736"/>
      <c r="F533" s="736"/>
      <c r="G533" s="736"/>
      <c r="H533" s="736"/>
      <c r="I533" s="736"/>
      <c r="J533" s="736"/>
      <c r="K533" s="736"/>
      <c r="L533" s="736"/>
      <c r="M533" s="736"/>
      <c r="N533" s="736"/>
    </row>
    <row r="534" spans="3:14" ht="14.25" customHeight="1">
      <c r="C534" s="736"/>
      <c r="D534" s="736"/>
      <c r="E534" s="736"/>
      <c r="F534" s="736"/>
      <c r="G534" s="736"/>
      <c r="H534" s="736"/>
      <c r="I534" s="736"/>
      <c r="J534" s="736"/>
      <c r="K534" s="736"/>
      <c r="L534" s="736"/>
      <c r="M534" s="736"/>
      <c r="N534" s="736"/>
    </row>
    <row r="535" spans="3:14" ht="14.25" customHeight="1">
      <c r="C535" s="736"/>
      <c r="D535" s="736"/>
      <c r="E535" s="736"/>
      <c r="F535" s="736"/>
      <c r="G535" s="736"/>
      <c r="H535" s="736"/>
      <c r="I535" s="736"/>
      <c r="J535" s="736"/>
      <c r="K535" s="736"/>
      <c r="L535" s="736"/>
      <c r="M535" s="736"/>
      <c r="N535" s="736"/>
    </row>
    <row r="536" spans="3:14" ht="14.25" customHeight="1">
      <c r="C536" s="736"/>
      <c r="D536" s="736"/>
      <c r="E536" s="736"/>
      <c r="F536" s="736"/>
      <c r="G536" s="736"/>
      <c r="H536" s="736"/>
      <c r="I536" s="736"/>
      <c r="J536" s="736"/>
      <c r="K536" s="736"/>
      <c r="L536" s="736"/>
      <c r="M536" s="736"/>
      <c r="N536" s="736"/>
    </row>
    <row r="537" spans="3:14" ht="14.25" customHeight="1">
      <c r="C537" s="736"/>
      <c r="D537" s="736"/>
      <c r="E537" s="736"/>
      <c r="F537" s="736"/>
      <c r="G537" s="736"/>
      <c r="H537" s="736"/>
      <c r="I537" s="736"/>
      <c r="J537" s="736"/>
      <c r="K537" s="736"/>
      <c r="L537" s="736"/>
      <c r="M537" s="736"/>
      <c r="N537" s="736"/>
    </row>
    <row r="538" spans="3:14" ht="14.25" customHeight="1">
      <c r="C538" s="736"/>
      <c r="D538" s="736"/>
      <c r="E538" s="736"/>
      <c r="F538" s="736"/>
      <c r="G538" s="736"/>
      <c r="H538" s="736"/>
      <c r="I538" s="736"/>
      <c r="J538" s="736"/>
      <c r="K538" s="736"/>
      <c r="L538" s="736"/>
      <c r="M538" s="736"/>
      <c r="N538" s="736"/>
    </row>
    <row r="539" spans="3:14" ht="14.25" customHeight="1">
      <c r="C539" s="736"/>
      <c r="D539" s="736"/>
      <c r="E539" s="736"/>
      <c r="F539" s="736"/>
      <c r="G539" s="736"/>
      <c r="H539" s="736"/>
      <c r="I539" s="736"/>
      <c r="J539" s="736"/>
      <c r="K539" s="736"/>
      <c r="L539" s="736"/>
      <c r="M539" s="736"/>
      <c r="N539" s="736"/>
    </row>
    <row r="540" spans="3:14" ht="14.25" customHeight="1">
      <c r="C540" s="736"/>
      <c r="D540" s="736"/>
      <c r="E540" s="736"/>
      <c r="F540" s="736"/>
      <c r="G540" s="736"/>
      <c r="H540" s="736"/>
      <c r="I540" s="736"/>
      <c r="J540" s="736"/>
      <c r="K540" s="736"/>
      <c r="L540" s="736"/>
      <c r="M540" s="736"/>
      <c r="N540" s="736"/>
    </row>
  </sheetData>
  <mergeCells count="15">
    <mergeCell ref="L3:L4"/>
    <mergeCell ref="M3:M4"/>
    <mergeCell ref="N3:N4"/>
    <mergeCell ref="O3:O4"/>
    <mergeCell ref="P3:P4"/>
    <mergeCell ref="F3:F4"/>
    <mergeCell ref="G3:G4"/>
    <mergeCell ref="H3:H4"/>
    <mergeCell ref="I3:I4"/>
    <mergeCell ref="J3:K3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X1812"/>
  <sheetViews>
    <sheetView topLeftCell="A6" zoomScale="85" zoomScaleNormal="85" workbookViewId="0">
      <pane ySplit="1" topLeftCell="A300" activePane="bottomLeft" state="frozen"/>
      <selection activeCell="A6" sqref="A6"/>
      <selection pane="bottomLeft" activeCell="E311" sqref="E311"/>
    </sheetView>
  </sheetViews>
  <sheetFormatPr baseColWidth="10" defaultColWidth="9.1640625" defaultRowHeight="15"/>
  <cols>
    <col min="1" max="1" width="9.1640625" style="399"/>
    <col min="2" max="2" width="61.83203125" style="399" customWidth="1"/>
    <col min="3" max="10" width="12.5" style="399" customWidth="1"/>
    <col min="11" max="11" width="10.5" style="399" customWidth="1"/>
    <col min="12" max="12" width="8.5" style="399" customWidth="1"/>
    <col min="13" max="13" width="14.5" style="399" customWidth="1"/>
    <col min="14" max="14" width="9.5" style="737" customWidth="1"/>
    <col min="15" max="15" width="18.5" style="399" customWidth="1"/>
    <col min="16" max="16" width="11.83203125" style="399" customWidth="1"/>
    <col min="17" max="18" width="9.1640625" style="399"/>
    <col min="19" max="19" width="12.1640625" style="399" customWidth="1"/>
    <col min="20" max="16384" width="9.1640625" style="399"/>
  </cols>
  <sheetData>
    <row r="1" spans="1:22" ht="15.75" customHeight="1">
      <c r="A1" s="398"/>
      <c r="B1" s="398"/>
      <c r="C1" s="398"/>
      <c r="D1" s="398"/>
      <c r="E1" s="398"/>
      <c r="F1" s="398"/>
      <c r="G1" s="398"/>
      <c r="H1" s="398"/>
      <c r="I1" s="398"/>
      <c r="J1" s="398"/>
      <c r="K1" s="398"/>
      <c r="L1" s="398"/>
      <c r="M1" s="398"/>
      <c r="N1" s="606"/>
      <c r="O1" s="398"/>
      <c r="P1" s="398"/>
      <c r="Q1" s="398"/>
      <c r="R1" s="398"/>
      <c r="S1" s="398"/>
      <c r="T1" s="738"/>
      <c r="U1" s="738"/>
      <c r="V1" s="738"/>
    </row>
    <row r="2" spans="1:22" ht="15.75" customHeight="1">
      <c r="A2" s="398"/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398"/>
      <c r="M2" s="398"/>
      <c r="N2" s="606"/>
      <c r="O2" s="398"/>
      <c r="P2" s="398"/>
      <c r="Q2" s="398"/>
      <c r="R2" s="398"/>
      <c r="S2" s="398"/>
      <c r="T2" s="738"/>
      <c r="U2" s="738"/>
      <c r="V2" s="738"/>
    </row>
    <row r="3" spans="1:22" ht="15.75" customHeight="1">
      <c r="A3" s="398"/>
      <c r="B3" s="398"/>
      <c r="C3" s="398"/>
      <c r="D3" s="398"/>
      <c r="E3" s="398"/>
      <c r="F3" s="398"/>
      <c r="G3" s="398"/>
      <c r="H3" s="398"/>
      <c r="I3" s="398"/>
      <c r="J3" s="398"/>
      <c r="K3" s="398"/>
      <c r="L3" s="398"/>
      <c r="M3" s="398"/>
      <c r="N3" s="606"/>
      <c r="O3" s="398"/>
      <c r="P3" s="398"/>
      <c r="Q3" s="398"/>
      <c r="R3" s="398"/>
      <c r="S3" s="398"/>
      <c r="T3" s="738"/>
      <c r="U3" s="738"/>
      <c r="V3" s="738"/>
    </row>
    <row r="4" spans="1:22" ht="24" customHeight="1">
      <c r="A4" s="739" t="s">
        <v>76</v>
      </c>
      <c r="B4" s="398"/>
      <c r="C4" s="398"/>
      <c r="D4" s="398"/>
      <c r="E4" s="398"/>
      <c r="F4" s="398"/>
      <c r="G4" s="398"/>
      <c r="H4" s="398"/>
      <c r="I4" s="398"/>
      <c r="J4" s="398"/>
      <c r="K4" s="398"/>
      <c r="L4" s="398"/>
      <c r="M4" s="398"/>
      <c r="N4" s="606"/>
      <c r="O4" s="398"/>
      <c r="P4" s="398"/>
      <c r="Q4" s="398"/>
      <c r="R4" s="398"/>
      <c r="S4" s="398"/>
      <c r="T4" s="738"/>
      <c r="U4" s="738"/>
      <c r="V4" s="738"/>
    </row>
    <row r="5" spans="1:22" ht="15.75" customHeight="1">
      <c r="A5" s="398"/>
      <c r="B5" s="398"/>
      <c r="C5" s="398"/>
      <c r="D5" s="398"/>
      <c r="E5" s="398"/>
      <c r="F5" s="398"/>
      <c r="G5" s="398"/>
      <c r="H5" s="398"/>
      <c r="I5" s="398"/>
      <c r="J5" s="398"/>
      <c r="K5" s="398"/>
      <c r="L5" s="398"/>
      <c r="M5" s="398"/>
      <c r="N5" s="606"/>
      <c r="O5" s="398"/>
      <c r="P5" s="398"/>
      <c r="Q5" s="398"/>
      <c r="R5" s="398"/>
      <c r="S5" s="398"/>
      <c r="T5" s="738"/>
      <c r="U5" s="738"/>
      <c r="V5" s="738"/>
    </row>
    <row r="6" spans="1:22" s="487" customFormat="1" ht="27.75" customHeight="1">
      <c r="A6" s="740" t="s">
        <v>1</v>
      </c>
      <c r="B6" s="741" t="s">
        <v>68</v>
      </c>
      <c r="C6" s="741" t="s">
        <v>77</v>
      </c>
      <c r="D6" s="741" t="s">
        <v>78</v>
      </c>
      <c r="E6" s="741" t="s">
        <v>79</v>
      </c>
      <c r="F6" s="741" t="s">
        <v>978</v>
      </c>
      <c r="G6" s="742" t="s">
        <v>1095</v>
      </c>
      <c r="H6" s="742" t="s">
        <v>1096</v>
      </c>
      <c r="I6" s="741" t="s">
        <v>213</v>
      </c>
      <c r="J6" s="741" t="s">
        <v>977</v>
      </c>
      <c r="K6" s="741" t="s">
        <v>6</v>
      </c>
      <c r="L6" s="741" t="s">
        <v>80</v>
      </c>
      <c r="M6" s="741" t="s">
        <v>81</v>
      </c>
      <c r="N6" s="743" t="s">
        <v>82</v>
      </c>
      <c r="O6" s="398"/>
      <c r="P6" s="398"/>
      <c r="Q6" s="398"/>
      <c r="R6" s="398"/>
      <c r="S6" s="398"/>
      <c r="T6" s="398"/>
      <c r="U6" s="398"/>
      <c r="V6" s="398"/>
    </row>
    <row r="7" spans="1:22" s="487" customFormat="1" ht="7.5" customHeight="1">
      <c r="A7" s="744"/>
      <c r="B7" s="398"/>
      <c r="C7" s="398"/>
      <c r="D7" s="398"/>
      <c r="E7" s="398"/>
      <c r="F7" s="398"/>
      <c r="G7" s="398"/>
      <c r="H7" s="398"/>
      <c r="I7" s="398"/>
      <c r="J7" s="398"/>
      <c r="K7" s="398"/>
      <c r="L7" s="398"/>
      <c r="M7" s="398"/>
      <c r="N7" s="745"/>
      <c r="O7" s="398"/>
      <c r="P7" s="398"/>
      <c r="Q7" s="398"/>
      <c r="R7" s="398"/>
      <c r="S7" s="398"/>
      <c r="T7" s="398"/>
      <c r="U7" s="398"/>
      <c r="V7" s="398"/>
    </row>
    <row r="8" spans="1:22" s="487" customFormat="1" ht="7.5" customHeight="1">
      <c r="A8" s="558"/>
      <c r="B8" s="559"/>
      <c r="C8" s="559"/>
      <c r="D8" s="559"/>
      <c r="E8" s="559"/>
      <c r="F8" s="559"/>
      <c r="G8" s="559"/>
      <c r="H8" s="559"/>
      <c r="I8" s="559"/>
      <c r="J8" s="559"/>
      <c r="K8" s="559"/>
      <c r="L8" s="559"/>
      <c r="M8" s="559"/>
      <c r="N8" s="746"/>
      <c r="O8" s="398"/>
      <c r="P8" s="398"/>
      <c r="Q8" s="398"/>
      <c r="R8" s="398"/>
      <c r="S8" s="398"/>
      <c r="T8" s="398"/>
      <c r="U8" s="398"/>
      <c r="V8" s="398"/>
    </row>
    <row r="9" spans="1:22" s="487" customFormat="1" ht="15.75" customHeight="1">
      <c r="A9" s="747"/>
      <c r="B9" s="359"/>
      <c r="C9" s="330"/>
      <c r="D9" s="330"/>
      <c r="E9" s="330"/>
      <c r="F9" s="330"/>
      <c r="G9" s="330"/>
      <c r="H9" s="330"/>
      <c r="I9" s="330"/>
      <c r="J9" s="330"/>
      <c r="K9" s="330"/>
      <c r="L9" s="330"/>
      <c r="M9" s="330"/>
      <c r="N9" s="748"/>
    </row>
    <row r="10" spans="1:22" s="487" customFormat="1" ht="15.75" customHeight="1">
      <c r="A10" s="749">
        <v>8</v>
      </c>
      <c r="B10" s="750" t="s">
        <v>1128</v>
      </c>
      <c r="C10" s="330"/>
      <c r="D10" s="330"/>
      <c r="E10" s="330"/>
      <c r="F10" s="330"/>
      <c r="G10" s="330"/>
      <c r="H10" s="330"/>
      <c r="I10" s="330"/>
      <c r="J10" s="330"/>
      <c r="K10" s="330"/>
      <c r="L10" s="330"/>
      <c r="M10" s="330"/>
      <c r="N10" s="748"/>
    </row>
    <row r="11" spans="1:22" s="487" customFormat="1" ht="15.75" customHeight="1">
      <c r="A11" s="749" t="s">
        <v>280</v>
      </c>
      <c r="B11" s="750" t="s">
        <v>395</v>
      </c>
      <c r="C11" s="330"/>
      <c r="D11" s="330"/>
      <c r="E11" s="330"/>
      <c r="F11" s="330"/>
      <c r="G11" s="330"/>
      <c r="H11" s="330"/>
      <c r="I11" s="330"/>
      <c r="J11" s="330"/>
      <c r="K11" s="330"/>
      <c r="L11" s="330"/>
      <c r="M11" s="330"/>
      <c r="N11" s="748"/>
    </row>
    <row r="12" spans="1:22" s="487" customFormat="1" ht="15.75" customHeight="1">
      <c r="A12" s="400">
        <v>1</v>
      </c>
      <c r="B12" s="356" t="s">
        <v>396</v>
      </c>
      <c r="C12" s="330"/>
      <c r="D12" s="330"/>
      <c r="E12" s="330"/>
      <c r="F12" s="330"/>
      <c r="G12" s="330"/>
      <c r="H12" s="330"/>
      <c r="I12" s="330"/>
      <c r="J12" s="330"/>
      <c r="K12" s="330"/>
      <c r="L12" s="330"/>
      <c r="M12" s="330"/>
      <c r="N12" s="748"/>
    </row>
    <row r="13" spans="1:22" s="487" customFormat="1" ht="15.75" customHeight="1">
      <c r="A13" s="751"/>
      <c r="B13" s="356"/>
      <c r="C13" s="330">
        <f>3+1</f>
        <v>4</v>
      </c>
      <c r="D13" s="330"/>
      <c r="E13" s="330"/>
      <c r="F13" s="330"/>
      <c r="G13" s="330"/>
      <c r="H13" s="330"/>
      <c r="I13" s="330"/>
      <c r="J13" s="330">
        <v>2</v>
      </c>
      <c r="K13" s="330"/>
      <c r="L13" s="330"/>
      <c r="M13" s="330">
        <f>C13*J13</f>
        <v>8</v>
      </c>
      <c r="N13" s="748"/>
    </row>
    <row r="14" spans="1:22" s="487" customFormat="1" ht="15.75" customHeight="1">
      <c r="A14" s="751"/>
      <c r="B14" s="356"/>
      <c r="C14" s="330"/>
      <c r="D14" s="330">
        <f>4+1</f>
        <v>5</v>
      </c>
      <c r="E14" s="330"/>
      <c r="F14" s="330"/>
      <c r="G14" s="330"/>
      <c r="H14" s="330"/>
      <c r="I14" s="330"/>
      <c r="J14" s="330">
        <f>J13</f>
        <v>2</v>
      </c>
      <c r="K14" s="330"/>
      <c r="L14" s="330"/>
      <c r="M14" s="752">
        <f>D14*J14</f>
        <v>10</v>
      </c>
      <c r="N14" s="748"/>
    </row>
    <row r="15" spans="1:22" s="487" customFormat="1" ht="15.75" customHeight="1">
      <c r="A15" s="751"/>
      <c r="B15" s="356"/>
      <c r="C15" s="330"/>
      <c r="D15" s="330"/>
      <c r="E15" s="330"/>
      <c r="F15" s="330"/>
      <c r="G15" s="330"/>
      <c r="H15" s="330"/>
      <c r="I15" s="330"/>
      <c r="J15" s="330"/>
      <c r="K15" s="330"/>
      <c r="L15" s="330"/>
      <c r="M15" s="474">
        <f>SUM(M13:M14)</f>
        <v>18</v>
      </c>
      <c r="N15" s="562" t="s">
        <v>117</v>
      </c>
    </row>
    <row r="16" spans="1:22" s="487" customFormat="1" ht="15.75" customHeight="1">
      <c r="A16" s="400">
        <f>A12+1</f>
        <v>2</v>
      </c>
      <c r="B16" s="354" t="s">
        <v>397</v>
      </c>
      <c r="C16" s="330"/>
      <c r="D16" s="330"/>
      <c r="E16" s="330"/>
      <c r="F16" s="330"/>
      <c r="G16" s="330"/>
      <c r="H16" s="330"/>
      <c r="I16" s="330"/>
      <c r="J16" s="330"/>
      <c r="K16" s="330"/>
      <c r="L16" s="330"/>
      <c r="M16" s="474"/>
      <c r="N16" s="748"/>
    </row>
    <row r="17" spans="1:18" s="487" customFormat="1" ht="15.75" customHeight="1">
      <c r="A17" s="402" t="s">
        <v>95</v>
      </c>
      <c r="B17" s="354" t="s">
        <v>398</v>
      </c>
      <c r="C17" s="343">
        <f>0.8+0.1+0.1</f>
        <v>1</v>
      </c>
      <c r="D17" s="343">
        <f>C17</f>
        <v>1</v>
      </c>
      <c r="E17" s="343">
        <f>0.8+0.3+0.03+0.07</f>
        <v>1.2000000000000002</v>
      </c>
      <c r="F17" s="343"/>
      <c r="G17" s="343"/>
      <c r="H17" s="343"/>
      <c r="I17" s="401"/>
      <c r="J17" s="401"/>
      <c r="K17" s="401"/>
      <c r="L17" s="401">
        <v>4</v>
      </c>
      <c r="M17" s="401">
        <f>C17*D17*E17*L17</f>
        <v>4.8000000000000007</v>
      </c>
      <c r="N17" s="748" t="s">
        <v>103</v>
      </c>
    </row>
    <row r="18" spans="1:18" s="487" customFormat="1" ht="15.75" customHeight="1">
      <c r="A18" s="402" t="s">
        <v>98</v>
      </c>
      <c r="B18" s="354" t="s">
        <v>399</v>
      </c>
      <c r="C18" s="343">
        <f>C17</f>
        <v>1</v>
      </c>
      <c r="D18" s="343">
        <f>D17</f>
        <v>1</v>
      </c>
      <c r="E18" s="343">
        <v>7.0000000000000007E-2</v>
      </c>
      <c r="F18" s="343"/>
      <c r="G18" s="343"/>
      <c r="H18" s="343"/>
      <c r="I18" s="401"/>
      <c r="J18" s="401"/>
      <c r="K18" s="401"/>
      <c r="L18" s="401">
        <f t="shared" ref="L18:L23" si="0">L17</f>
        <v>4</v>
      </c>
      <c r="M18" s="401">
        <f>C18*D18*E18*L18</f>
        <v>0.28000000000000003</v>
      </c>
      <c r="N18" s="748" t="s">
        <v>103</v>
      </c>
    </row>
    <row r="19" spans="1:18" s="487" customFormat="1" ht="15.75" customHeight="1">
      <c r="A19" s="402" t="s">
        <v>101</v>
      </c>
      <c r="B19" s="354" t="s">
        <v>400</v>
      </c>
      <c r="C19" s="343">
        <f>C18</f>
        <v>1</v>
      </c>
      <c r="D19" s="343">
        <f>D18</f>
        <v>1</v>
      </c>
      <c r="E19" s="343">
        <v>0.03</v>
      </c>
      <c r="F19" s="343"/>
      <c r="G19" s="343"/>
      <c r="H19" s="343"/>
      <c r="I19" s="401"/>
      <c r="J19" s="401"/>
      <c r="K19" s="401"/>
      <c r="L19" s="401">
        <f t="shared" si="0"/>
        <v>4</v>
      </c>
      <c r="M19" s="401">
        <f>C19*D19*E19*L19</f>
        <v>0.12</v>
      </c>
      <c r="N19" s="748" t="s">
        <v>103</v>
      </c>
    </row>
    <row r="20" spans="1:18" s="487" customFormat="1" ht="15.75" customHeight="1">
      <c r="A20" s="402" t="s">
        <v>121</v>
      </c>
      <c r="B20" s="354" t="s">
        <v>401</v>
      </c>
      <c r="C20" s="343">
        <f>C19</f>
        <v>1</v>
      </c>
      <c r="D20" s="343"/>
      <c r="E20" s="343">
        <f>E17-0.8-E18-E19</f>
        <v>0.30000000000000016</v>
      </c>
      <c r="F20" s="343"/>
      <c r="G20" s="343"/>
      <c r="H20" s="343">
        <v>4</v>
      </c>
      <c r="I20" s="401"/>
      <c r="J20" s="401"/>
      <c r="K20" s="401"/>
      <c r="L20" s="401">
        <f t="shared" si="0"/>
        <v>4</v>
      </c>
      <c r="M20" s="401">
        <f>C20*E20*H20*L20</f>
        <v>4.8000000000000025</v>
      </c>
      <c r="N20" s="748" t="s">
        <v>89</v>
      </c>
    </row>
    <row r="21" spans="1:18" s="487" customFormat="1" ht="15.75" customHeight="1">
      <c r="A21" s="402" t="s">
        <v>142</v>
      </c>
      <c r="B21" s="354" t="s">
        <v>504</v>
      </c>
      <c r="C21" s="343">
        <v>0.45</v>
      </c>
      <c r="D21" s="343"/>
      <c r="E21" s="343"/>
      <c r="F21" s="343">
        <f>10*10*0.006165</f>
        <v>0.61650000000000005</v>
      </c>
      <c r="G21" s="343">
        <f>0.15*2</f>
        <v>0.3</v>
      </c>
      <c r="H21" s="343">
        <v>4</v>
      </c>
      <c r="I21" s="401"/>
      <c r="J21" s="401"/>
      <c r="K21" s="343">
        <f>ROUNDUP((C21/0.15),0.5)</f>
        <v>3</v>
      </c>
      <c r="L21" s="401">
        <f t="shared" si="0"/>
        <v>4</v>
      </c>
      <c r="M21" s="401">
        <f>(C21+G21)*F21*H21*K21*L21</f>
        <v>22.194000000000003</v>
      </c>
      <c r="N21" s="748" t="s">
        <v>100</v>
      </c>
    </row>
    <row r="22" spans="1:18" s="487" customFormat="1" ht="15.75" customHeight="1">
      <c r="A22" s="402" t="s">
        <v>217</v>
      </c>
      <c r="B22" s="356" t="s">
        <v>169</v>
      </c>
      <c r="C22" s="343">
        <f>C17-0.2</f>
        <v>0.8</v>
      </c>
      <c r="D22" s="343">
        <f>D17-0.2</f>
        <v>0.8</v>
      </c>
      <c r="E22" s="343">
        <f>E20</f>
        <v>0.30000000000000016</v>
      </c>
      <c r="F22" s="343"/>
      <c r="G22" s="343"/>
      <c r="H22" s="343"/>
      <c r="I22" s="401"/>
      <c r="J22" s="401"/>
      <c r="K22" s="401"/>
      <c r="L22" s="401">
        <f t="shared" si="0"/>
        <v>4</v>
      </c>
      <c r="M22" s="401">
        <f>C22*D22*E22*L22</f>
        <v>0.76800000000000057</v>
      </c>
      <c r="N22" s="748" t="s">
        <v>103</v>
      </c>
    </row>
    <row r="23" spans="1:18" s="487" customFormat="1" ht="15.75" customHeight="1">
      <c r="A23" s="402" t="s">
        <v>366</v>
      </c>
      <c r="B23" s="354" t="s">
        <v>383</v>
      </c>
      <c r="C23" s="343"/>
      <c r="D23" s="343"/>
      <c r="E23" s="343">
        <v>4</v>
      </c>
      <c r="F23" s="343"/>
      <c r="G23" s="343"/>
      <c r="H23" s="343"/>
      <c r="I23" s="401"/>
      <c r="J23" s="401"/>
      <c r="K23" s="343">
        <v>5</v>
      </c>
      <c r="L23" s="401">
        <f t="shared" si="0"/>
        <v>4</v>
      </c>
      <c r="M23" s="401">
        <f>E23*K23*L23</f>
        <v>80</v>
      </c>
      <c r="N23" s="748" t="s">
        <v>117</v>
      </c>
    </row>
    <row r="24" spans="1:18" s="487" customFormat="1" ht="15.75" customHeight="1">
      <c r="A24" s="418">
        <f>A16+1</f>
        <v>3</v>
      </c>
      <c r="B24" s="351" t="s">
        <v>551</v>
      </c>
      <c r="C24" s="330"/>
      <c r="D24" s="330"/>
      <c r="E24" s="330"/>
      <c r="F24" s="330"/>
      <c r="G24" s="330"/>
      <c r="H24" s="330"/>
      <c r="I24" s="330"/>
      <c r="J24" s="330"/>
      <c r="K24" s="330"/>
      <c r="L24" s="330"/>
      <c r="M24" s="330"/>
      <c r="N24" s="748"/>
    </row>
    <row r="25" spans="1:18" s="487" customFormat="1" ht="15.75" customHeight="1">
      <c r="A25" s="419" t="s">
        <v>95</v>
      </c>
      <c r="B25" s="351" t="s">
        <v>382</v>
      </c>
      <c r="C25" s="330"/>
      <c r="D25" s="330"/>
      <c r="E25" s="330"/>
      <c r="F25" s="330"/>
      <c r="G25" s="330"/>
      <c r="H25" s="330"/>
      <c r="I25" s="330"/>
      <c r="J25" s="330"/>
      <c r="K25" s="330"/>
      <c r="L25" s="330"/>
      <c r="M25" s="330"/>
      <c r="N25" s="748"/>
    </row>
    <row r="26" spans="1:18" s="487" customFormat="1" ht="15.75" customHeight="1">
      <c r="A26" s="419"/>
      <c r="B26" s="589" t="s">
        <v>155</v>
      </c>
      <c r="C26" s="330">
        <v>3</v>
      </c>
      <c r="D26" s="348">
        <v>0.8</v>
      </c>
      <c r="E26" s="348">
        <f>0.8+0.07</f>
        <v>0.87000000000000011</v>
      </c>
      <c r="F26" s="330"/>
      <c r="G26" s="330"/>
      <c r="H26" s="330"/>
      <c r="I26" s="330"/>
      <c r="J26" s="330"/>
      <c r="K26" s="330"/>
      <c r="L26" s="330">
        <v>2</v>
      </c>
      <c r="M26" s="330">
        <f>C26*D26*E26*L26</f>
        <v>4.176000000000001</v>
      </c>
      <c r="N26" s="748"/>
    </row>
    <row r="27" spans="1:18" s="487" customFormat="1" ht="15.75" customHeight="1">
      <c r="A27" s="419"/>
      <c r="B27" s="589"/>
      <c r="C27" s="330">
        <v>1.5</v>
      </c>
      <c r="D27" s="348">
        <f t="shared" ref="D27:E29" si="1">D26</f>
        <v>0.8</v>
      </c>
      <c r="E27" s="348">
        <f t="shared" si="1"/>
        <v>0.87000000000000011</v>
      </c>
      <c r="F27" s="330"/>
      <c r="G27" s="330"/>
      <c r="H27" s="330"/>
      <c r="I27" s="330"/>
      <c r="J27" s="330"/>
      <c r="K27" s="330"/>
      <c r="L27" s="330">
        <v>1</v>
      </c>
      <c r="M27" s="330">
        <f>C27*D27*E27*L27</f>
        <v>1.0440000000000003</v>
      </c>
      <c r="N27" s="748"/>
    </row>
    <row r="28" spans="1:18" s="487" customFormat="1" ht="15.75" customHeight="1">
      <c r="A28" s="419"/>
      <c r="B28" s="589" t="s">
        <v>1129</v>
      </c>
      <c r="C28" s="330">
        <v>4</v>
      </c>
      <c r="D28" s="348">
        <f t="shared" si="1"/>
        <v>0.8</v>
      </c>
      <c r="E28" s="348">
        <f t="shared" si="1"/>
        <v>0.87000000000000011</v>
      </c>
      <c r="F28" s="330"/>
      <c r="G28" s="330"/>
      <c r="H28" s="330"/>
      <c r="I28" s="330"/>
      <c r="J28" s="330"/>
      <c r="K28" s="330"/>
      <c r="L28" s="330">
        <f>L26</f>
        <v>2</v>
      </c>
      <c r="M28" s="330">
        <f>C28*D28*E28*L28</f>
        <v>5.5680000000000014</v>
      </c>
      <c r="N28" s="748"/>
    </row>
    <row r="29" spans="1:18" s="487" customFormat="1" ht="15.75" customHeight="1">
      <c r="A29" s="419"/>
      <c r="B29" s="589"/>
      <c r="C29" s="330">
        <v>1.5</v>
      </c>
      <c r="D29" s="348">
        <f t="shared" si="1"/>
        <v>0.8</v>
      </c>
      <c r="E29" s="348">
        <f t="shared" si="1"/>
        <v>0.87000000000000011</v>
      </c>
      <c r="F29" s="330"/>
      <c r="G29" s="330"/>
      <c r="H29" s="330"/>
      <c r="I29" s="330"/>
      <c r="J29" s="330"/>
      <c r="K29" s="330"/>
      <c r="L29" s="330">
        <f>L27</f>
        <v>1</v>
      </c>
      <c r="M29" s="752">
        <f>C29*D29*E29*L29</f>
        <v>1.0440000000000003</v>
      </c>
      <c r="N29" s="748"/>
    </row>
    <row r="30" spans="1:18" s="487" customFormat="1" ht="15.75" customHeight="1">
      <c r="A30" s="419"/>
      <c r="B30" s="351"/>
      <c r="C30" s="330"/>
      <c r="D30" s="330"/>
      <c r="E30" s="330"/>
      <c r="F30" s="330"/>
      <c r="G30" s="330"/>
      <c r="H30" s="330"/>
      <c r="I30" s="330"/>
      <c r="J30" s="330"/>
      <c r="K30" s="330"/>
      <c r="L30" s="330"/>
      <c r="M30" s="474">
        <f>SUM(M26:M29)</f>
        <v>11.832000000000004</v>
      </c>
      <c r="N30" s="562" t="s">
        <v>103</v>
      </c>
    </row>
    <row r="31" spans="1:18" s="487" customFormat="1" ht="15.75" customHeight="1">
      <c r="A31" s="419" t="s">
        <v>98</v>
      </c>
      <c r="B31" s="357" t="s">
        <v>405</v>
      </c>
      <c r="C31" s="401"/>
      <c r="D31" s="401"/>
      <c r="E31" s="401"/>
      <c r="F31" s="401"/>
      <c r="G31" s="401"/>
      <c r="H31" s="401"/>
      <c r="I31" s="401"/>
      <c r="J31" s="401"/>
      <c r="K31" s="401"/>
      <c r="L31" s="401"/>
      <c r="M31" s="474"/>
      <c r="N31" s="753"/>
      <c r="O31" s="398"/>
      <c r="P31" s="568"/>
      <c r="Q31" s="568"/>
      <c r="R31" s="568"/>
    </row>
    <row r="32" spans="1:18" s="487" customFormat="1" ht="15.75" customHeight="1">
      <c r="A32" s="419"/>
      <c r="B32" s="569"/>
      <c r="C32" s="401">
        <f>C26</f>
        <v>3</v>
      </c>
      <c r="D32" s="401"/>
      <c r="E32" s="401"/>
      <c r="F32" s="401"/>
      <c r="G32" s="401"/>
      <c r="H32" s="401"/>
      <c r="I32" s="401"/>
      <c r="J32" s="401"/>
      <c r="K32" s="401"/>
      <c r="L32" s="401">
        <f>L26</f>
        <v>2</v>
      </c>
      <c r="M32" s="330">
        <f>C32*L32</f>
        <v>6</v>
      </c>
      <c r="N32" s="753"/>
      <c r="O32" s="398"/>
      <c r="P32" s="568"/>
      <c r="Q32" s="568"/>
      <c r="R32" s="568"/>
    </row>
    <row r="33" spans="1:18" s="487" customFormat="1" ht="15.75" customHeight="1">
      <c r="A33" s="419"/>
      <c r="B33" s="569"/>
      <c r="C33" s="401">
        <f>C27</f>
        <v>1.5</v>
      </c>
      <c r="D33" s="401"/>
      <c r="E33" s="401"/>
      <c r="F33" s="401"/>
      <c r="G33" s="401"/>
      <c r="H33" s="401"/>
      <c r="I33" s="401"/>
      <c r="J33" s="401"/>
      <c r="K33" s="401"/>
      <c r="L33" s="401">
        <f>L27</f>
        <v>1</v>
      </c>
      <c r="M33" s="330">
        <f>C33*L33</f>
        <v>1.5</v>
      </c>
      <c r="N33" s="753"/>
      <c r="O33" s="398"/>
      <c r="P33" s="568"/>
      <c r="Q33" s="568"/>
      <c r="R33" s="568"/>
    </row>
    <row r="34" spans="1:18" s="487" customFormat="1" ht="15.75" customHeight="1">
      <c r="A34" s="419"/>
      <c r="B34" s="357"/>
      <c r="C34" s="401">
        <f>C28</f>
        <v>4</v>
      </c>
      <c r="D34" s="401"/>
      <c r="E34" s="401"/>
      <c r="F34" s="401"/>
      <c r="G34" s="401"/>
      <c r="H34" s="401"/>
      <c r="I34" s="401"/>
      <c r="J34" s="401"/>
      <c r="K34" s="401"/>
      <c r="L34" s="401">
        <f>L28</f>
        <v>2</v>
      </c>
      <c r="M34" s="330">
        <f>C34*L34</f>
        <v>8</v>
      </c>
      <c r="N34" s="753"/>
      <c r="O34" s="398"/>
      <c r="P34" s="568"/>
      <c r="Q34" s="568"/>
      <c r="R34" s="568"/>
    </row>
    <row r="35" spans="1:18" s="487" customFormat="1" ht="15.75" customHeight="1">
      <c r="A35" s="419"/>
      <c r="B35" s="357"/>
      <c r="C35" s="401">
        <f>C29</f>
        <v>1.5</v>
      </c>
      <c r="D35" s="401"/>
      <c r="E35" s="401"/>
      <c r="F35" s="401"/>
      <c r="G35" s="401"/>
      <c r="H35" s="401"/>
      <c r="I35" s="401"/>
      <c r="J35" s="401"/>
      <c r="K35" s="401"/>
      <c r="L35" s="401">
        <f>L29</f>
        <v>1</v>
      </c>
      <c r="M35" s="752">
        <f>C35*L35</f>
        <v>1.5</v>
      </c>
      <c r="N35" s="753"/>
      <c r="O35" s="398"/>
      <c r="P35" s="568"/>
      <c r="Q35" s="568"/>
      <c r="R35" s="568"/>
    </row>
    <row r="36" spans="1:18" s="487" customFormat="1" ht="15.75" customHeight="1">
      <c r="A36" s="419"/>
      <c r="B36" s="357"/>
      <c r="C36" s="401"/>
      <c r="D36" s="401"/>
      <c r="E36" s="401"/>
      <c r="F36" s="401"/>
      <c r="G36" s="401"/>
      <c r="H36" s="401"/>
      <c r="I36" s="401"/>
      <c r="J36" s="401"/>
      <c r="K36" s="401"/>
      <c r="L36" s="401"/>
      <c r="M36" s="401">
        <f>SUM(M32:M35)</f>
        <v>17</v>
      </c>
      <c r="N36" s="753"/>
      <c r="O36" s="398"/>
      <c r="P36" s="568"/>
      <c r="Q36" s="568"/>
      <c r="R36" s="568"/>
    </row>
    <row r="37" spans="1:18" s="487" customFormat="1" ht="15.75" customHeight="1">
      <c r="A37" s="419"/>
      <c r="B37" s="569" t="s">
        <v>1006</v>
      </c>
      <c r="C37" s="401"/>
      <c r="D37" s="401"/>
      <c r="E37" s="401">
        <v>4</v>
      </c>
      <c r="F37" s="401"/>
      <c r="G37" s="401"/>
      <c r="H37" s="401"/>
      <c r="I37" s="401"/>
      <c r="J37" s="401">
        <v>2</v>
      </c>
      <c r="K37" s="401">
        <f>M36/0.5</f>
        <v>34</v>
      </c>
      <c r="L37" s="401"/>
      <c r="M37" s="474">
        <f>E37*J37*K37</f>
        <v>272</v>
      </c>
      <c r="N37" s="753" t="s">
        <v>117</v>
      </c>
      <c r="O37" s="398"/>
      <c r="P37" s="568"/>
      <c r="Q37" s="568"/>
      <c r="R37" s="568"/>
    </row>
    <row r="38" spans="1:18" s="487" customFormat="1" ht="15.75" customHeight="1">
      <c r="A38" s="419" t="s">
        <v>101</v>
      </c>
      <c r="B38" s="351" t="s">
        <v>406</v>
      </c>
      <c r="C38" s="330"/>
      <c r="D38" s="330"/>
      <c r="E38" s="330"/>
      <c r="F38" s="330"/>
      <c r="G38" s="330"/>
      <c r="H38" s="330"/>
      <c r="I38" s="330"/>
      <c r="J38" s="330"/>
      <c r="K38" s="330"/>
      <c r="L38" s="330"/>
      <c r="M38" s="330"/>
      <c r="N38" s="748"/>
      <c r="O38" s="398"/>
      <c r="P38" s="568"/>
      <c r="Q38" s="568"/>
      <c r="R38" s="568"/>
    </row>
    <row r="39" spans="1:18" s="487" customFormat="1" ht="15.75" customHeight="1">
      <c r="A39" s="419"/>
      <c r="B39" s="589" t="s">
        <v>155</v>
      </c>
      <c r="C39" s="330">
        <f t="shared" ref="C39:D42" si="2">C26</f>
        <v>3</v>
      </c>
      <c r="D39" s="330">
        <f t="shared" si="2"/>
        <v>0.8</v>
      </c>
      <c r="E39" s="330">
        <f>E26-0.8</f>
        <v>7.0000000000000062E-2</v>
      </c>
      <c r="F39" s="330"/>
      <c r="G39" s="330"/>
      <c r="H39" s="330"/>
      <c r="I39" s="330"/>
      <c r="J39" s="330"/>
      <c r="K39" s="330"/>
      <c r="L39" s="330">
        <f>L26</f>
        <v>2</v>
      </c>
      <c r="M39" s="330">
        <f>C39*D39*E39*L39</f>
        <v>0.33600000000000035</v>
      </c>
      <c r="N39" s="748"/>
    </row>
    <row r="40" spans="1:18" s="487" customFormat="1" ht="15.75" customHeight="1">
      <c r="A40" s="419"/>
      <c r="B40" s="589"/>
      <c r="C40" s="330">
        <f t="shared" si="2"/>
        <v>1.5</v>
      </c>
      <c r="D40" s="330">
        <f t="shared" si="2"/>
        <v>0.8</v>
      </c>
      <c r="E40" s="330">
        <f>E39</f>
        <v>7.0000000000000062E-2</v>
      </c>
      <c r="F40" s="330"/>
      <c r="G40" s="330"/>
      <c r="H40" s="330"/>
      <c r="I40" s="330"/>
      <c r="J40" s="330"/>
      <c r="K40" s="330"/>
      <c r="L40" s="330">
        <f>L27</f>
        <v>1</v>
      </c>
      <c r="M40" s="330">
        <f>C40*D40*E40*L40</f>
        <v>8.4000000000000088E-2</v>
      </c>
      <c r="N40" s="748"/>
    </row>
    <row r="41" spans="1:18" s="487" customFormat="1" ht="15.75" customHeight="1">
      <c r="A41" s="419"/>
      <c r="B41" s="589" t="s">
        <v>1129</v>
      </c>
      <c r="C41" s="330">
        <f t="shared" si="2"/>
        <v>4</v>
      </c>
      <c r="D41" s="330">
        <f t="shared" si="2"/>
        <v>0.8</v>
      </c>
      <c r="E41" s="330">
        <f>E40</f>
        <v>7.0000000000000062E-2</v>
      </c>
      <c r="F41" s="330"/>
      <c r="G41" s="330"/>
      <c r="H41" s="330"/>
      <c r="I41" s="330"/>
      <c r="J41" s="330"/>
      <c r="K41" s="330"/>
      <c r="L41" s="330">
        <f>L28</f>
        <v>2</v>
      </c>
      <c r="M41" s="330">
        <f>C41*D41*E41*L41</f>
        <v>0.4480000000000004</v>
      </c>
      <c r="N41" s="748"/>
    </row>
    <row r="42" spans="1:18" s="487" customFormat="1" ht="15.75" customHeight="1">
      <c r="A42" s="419"/>
      <c r="B42" s="589"/>
      <c r="C42" s="330">
        <f t="shared" si="2"/>
        <v>1.5</v>
      </c>
      <c r="D42" s="330">
        <f t="shared" si="2"/>
        <v>0.8</v>
      </c>
      <c r="E42" s="330">
        <f>E41</f>
        <v>7.0000000000000062E-2</v>
      </c>
      <c r="F42" s="330"/>
      <c r="G42" s="330"/>
      <c r="H42" s="330"/>
      <c r="I42" s="330"/>
      <c r="J42" s="330"/>
      <c r="K42" s="330"/>
      <c r="L42" s="330">
        <f>L29</f>
        <v>1</v>
      </c>
      <c r="M42" s="752">
        <f>C42*D42*E42*L42</f>
        <v>8.4000000000000088E-2</v>
      </c>
      <c r="N42" s="748"/>
    </row>
    <row r="43" spans="1:18" s="487" customFormat="1" ht="15.75" customHeight="1">
      <c r="A43" s="419"/>
      <c r="B43" s="351"/>
      <c r="C43" s="330"/>
      <c r="D43" s="330"/>
      <c r="E43" s="330"/>
      <c r="F43" s="330"/>
      <c r="G43" s="330"/>
      <c r="H43" s="330"/>
      <c r="I43" s="330"/>
      <c r="J43" s="330"/>
      <c r="K43" s="330"/>
      <c r="L43" s="330"/>
      <c r="M43" s="474">
        <f>SUM(M39:M42)</f>
        <v>0.95200000000000085</v>
      </c>
      <c r="N43" s="562" t="s">
        <v>103</v>
      </c>
    </row>
    <row r="44" spans="1:18" s="757" customFormat="1" ht="15.75" hidden="1" customHeight="1">
      <c r="A44" s="571" t="s">
        <v>121</v>
      </c>
      <c r="B44" s="572" t="s">
        <v>400</v>
      </c>
      <c r="C44" s="754"/>
      <c r="D44" s="754"/>
      <c r="E44" s="754"/>
      <c r="F44" s="754"/>
      <c r="G44" s="754"/>
      <c r="H44" s="754"/>
      <c r="I44" s="754"/>
      <c r="J44" s="754"/>
      <c r="K44" s="754"/>
      <c r="L44" s="754"/>
      <c r="M44" s="755"/>
      <c r="N44" s="756"/>
    </row>
    <row r="45" spans="1:18" s="757" customFormat="1" ht="15.75" hidden="1" customHeight="1">
      <c r="A45" s="571"/>
      <c r="B45" s="581" t="str">
        <f>B39</f>
        <v>Memanjang</v>
      </c>
      <c r="C45" s="754">
        <f>C39</f>
        <v>3</v>
      </c>
      <c r="D45" s="754">
        <f>D39</f>
        <v>0.8</v>
      </c>
      <c r="E45" s="754">
        <v>0</v>
      </c>
      <c r="F45" s="754"/>
      <c r="G45" s="754"/>
      <c r="H45" s="754"/>
      <c r="I45" s="754"/>
      <c r="J45" s="754"/>
      <c r="K45" s="754"/>
      <c r="L45" s="754">
        <f>L32</f>
        <v>2</v>
      </c>
      <c r="M45" s="754">
        <f>C45*D45*E45*L45</f>
        <v>0</v>
      </c>
      <c r="N45" s="758"/>
    </row>
    <row r="46" spans="1:18" s="757" customFormat="1" ht="15.75" hidden="1" customHeight="1">
      <c r="A46" s="571"/>
      <c r="B46" s="581" t="str">
        <f>B41</f>
        <v>melintang</v>
      </c>
      <c r="C46" s="754">
        <f>C41</f>
        <v>4</v>
      </c>
      <c r="D46" s="754">
        <f>D41</f>
        <v>0.8</v>
      </c>
      <c r="E46" s="754">
        <v>0</v>
      </c>
      <c r="F46" s="754"/>
      <c r="G46" s="754"/>
      <c r="H46" s="754"/>
      <c r="I46" s="754"/>
      <c r="J46" s="754"/>
      <c r="K46" s="754"/>
      <c r="L46" s="754">
        <f>L34</f>
        <v>2</v>
      </c>
      <c r="M46" s="759">
        <f>C46*D46*E46*L46</f>
        <v>0</v>
      </c>
      <c r="N46" s="758"/>
    </row>
    <row r="47" spans="1:18" s="757" customFormat="1" ht="15.75" hidden="1" customHeight="1">
      <c r="A47" s="571"/>
      <c r="B47" s="583"/>
      <c r="C47" s="754"/>
      <c r="D47" s="754"/>
      <c r="E47" s="754"/>
      <c r="F47" s="754"/>
      <c r="G47" s="754"/>
      <c r="H47" s="754"/>
      <c r="I47" s="754"/>
      <c r="J47" s="754"/>
      <c r="K47" s="754"/>
      <c r="L47" s="754"/>
      <c r="M47" s="755">
        <f>SUM(M45:M46)</f>
        <v>0</v>
      </c>
      <c r="N47" s="756" t="s">
        <v>103</v>
      </c>
    </row>
    <row r="48" spans="1:18" s="487" customFormat="1" ht="15.75" customHeight="1">
      <c r="A48" s="419" t="s">
        <v>121</v>
      </c>
      <c r="B48" s="351" t="s">
        <v>403</v>
      </c>
      <c r="C48" s="330"/>
      <c r="D48" s="330"/>
      <c r="E48" s="330"/>
      <c r="F48" s="330"/>
      <c r="G48" s="330"/>
      <c r="H48" s="330"/>
      <c r="I48" s="330"/>
      <c r="J48" s="330"/>
      <c r="K48" s="330"/>
      <c r="L48" s="330"/>
      <c r="M48" s="330"/>
      <c r="N48" s="748"/>
    </row>
    <row r="49" spans="1:14" s="487" customFormat="1" ht="15.75" customHeight="1">
      <c r="A49" s="760"/>
      <c r="B49" s="589" t="s">
        <v>155</v>
      </c>
      <c r="C49" s="330">
        <f>C39</f>
        <v>3</v>
      </c>
      <c r="D49" s="330">
        <f>(0.3+D39)/2</f>
        <v>0.55000000000000004</v>
      </c>
      <c r="E49" s="330">
        <f>E26-E39-E45</f>
        <v>0.8</v>
      </c>
      <c r="F49" s="330"/>
      <c r="G49" s="330"/>
      <c r="H49" s="330"/>
      <c r="I49" s="330"/>
      <c r="J49" s="330"/>
      <c r="K49" s="330"/>
      <c r="L49" s="330">
        <f>L39</f>
        <v>2</v>
      </c>
      <c r="M49" s="330">
        <f>C49*D49*E49*L49</f>
        <v>2.6400000000000006</v>
      </c>
      <c r="N49" s="748"/>
    </row>
    <row r="50" spans="1:14" s="487" customFormat="1" ht="15.75" customHeight="1">
      <c r="A50" s="760"/>
      <c r="B50" s="589"/>
      <c r="C50" s="330">
        <f>C40</f>
        <v>1.5</v>
      </c>
      <c r="D50" s="330">
        <f>(0.3+D40)/2</f>
        <v>0.55000000000000004</v>
      </c>
      <c r="E50" s="330">
        <f>E27-E40-E46</f>
        <v>0.8</v>
      </c>
      <c r="F50" s="330"/>
      <c r="G50" s="330"/>
      <c r="H50" s="330"/>
      <c r="I50" s="330"/>
      <c r="J50" s="330"/>
      <c r="K50" s="330"/>
      <c r="L50" s="330">
        <f>L40</f>
        <v>1</v>
      </c>
      <c r="M50" s="330">
        <f>C50*D50*E50*L50</f>
        <v>0.66000000000000014</v>
      </c>
      <c r="N50" s="748"/>
    </row>
    <row r="51" spans="1:14" s="487" customFormat="1" ht="15.75" customHeight="1">
      <c r="A51" s="760"/>
      <c r="B51" s="589" t="s">
        <v>1129</v>
      </c>
      <c r="C51" s="330">
        <f>C41</f>
        <v>4</v>
      </c>
      <c r="D51" s="330">
        <f>(0.3+D41)/2</f>
        <v>0.55000000000000004</v>
      </c>
      <c r="E51" s="330">
        <f>E28-E41-E47</f>
        <v>0.8</v>
      </c>
      <c r="F51" s="330"/>
      <c r="G51" s="330"/>
      <c r="H51" s="330"/>
      <c r="I51" s="330"/>
      <c r="J51" s="330"/>
      <c r="K51" s="330"/>
      <c r="L51" s="330">
        <f>L41</f>
        <v>2</v>
      </c>
      <c r="M51" s="330">
        <f>C51*D51*E51*L51</f>
        <v>3.5200000000000005</v>
      </c>
      <c r="N51" s="748"/>
    </row>
    <row r="52" spans="1:14" s="487" customFormat="1" ht="15.75" customHeight="1">
      <c r="A52" s="760"/>
      <c r="B52" s="589"/>
      <c r="C52" s="330">
        <f>C42</f>
        <v>1.5</v>
      </c>
      <c r="D52" s="330">
        <f>(0.3+D42)/2</f>
        <v>0.55000000000000004</v>
      </c>
      <c r="E52" s="330">
        <f>E29-E42-E48</f>
        <v>0.8</v>
      </c>
      <c r="F52" s="330"/>
      <c r="G52" s="330"/>
      <c r="H52" s="330"/>
      <c r="I52" s="330"/>
      <c r="J52" s="330"/>
      <c r="K52" s="330"/>
      <c r="L52" s="330">
        <f>L42</f>
        <v>1</v>
      </c>
      <c r="M52" s="752">
        <f>C52*D52*E52*L52</f>
        <v>0.66000000000000014</v>
      </c>
      <c r="N52" s="748"/>
    </row>
    <row r="53" spans="1:14" s="487" customFormat="1" ht="15.75" customHeight="1">
      <c r="A53" s="760"/>
      <c r="B53" s="351"/>
      <c r="C53" s="330"/>
      <c r="D53" s="330"/>
      <c r="E53" s="330"/>
      <c r="F53" s="330"/>
      <c r="G53" s="330"/>
      <c r="H53" s="330"/>
      <c r="I53" s="330"/>
      <c r="J53" s="330"/>
      <c r="K53" s="330"/>
      <c r="L53" s="330"/>
      <c r="M53" s="474">
        <f>SUM(M49:M52)</f>
        <v>7.4800000000000013</v>
      </c>
      <c r="N53" s="562" t="s">
        <v>103</v>
      </c>
    </row>
    <row r="54" spans="1:14" s="487" customFormat="1" ht="15.75" customHeight="1">
      <c r="A54" s="350">
        <f>A24+1</f>
        <v>4</v>
      </c>
      <c r="B54" s="351" t="s">
        <v>1130</v>
      </c>
      <c r="C54" s="330"/>
      <c r="D54" s="330"/>
      <c r="E54" s="330"/>
      <c r="F54" s="330"/>
      <c r="G54" s="330"/>
      <c r="H54" s="330"/>
      <c r="I54" s="330"/>
      <c r="J54" s="330"/>
      <c r="K54" s="330"/>
      <c r="L54" s="330"/>
      <c r="M54" s="401"/>
      <c r="N54" s="748"/>
    </row>
    <row r="55" spans="1:14" s="487" customFormat="1" ht="15.75" customHeight="1">
      <c r="A55" s="350"/>
      <c r="B55" s="567" t="s">
        <v>1111</v>
      </c>
      <c r="C55" s="330">
        <f>C49</f>
        <v>3</v>
      </c>
      <c r="D55" s="330"/>
      <c r="E55" s="330"/>
      <c r="F55" s="330"/>
      <c r="G55" s="330"/>
      <c r="H55" s="330"/>
      <c r="I55" s="330"/>
      <c r="J55" s="330"/>
      <c r="K55" s="330"/>
      <c r="L55" s="330">
        <f>L49</f>
        <v>2</v>
      </c>
      <c r="M55" s="401">
        <f>C55*L55</f>
        <v>6</v>
      </c>
      <c r="N55" s="748"/>
    </row>
    <row r="56" spans="1:14" s="487" customFormat="1" ht="15.75" customHeight="1">
      <c r="A56" s="350"/>
      <c r="B56" s="567"/>
      <c r="C56" s="330">
        <f>C50</f>
        <v>1.5</v>
      </c>
      <c r="D56" s="330"/>
      <c r="E56" s="330"/>
      <c r="F56" s="330"/>
      <c r="G56" s="330"/>
      <c r="H56" s="330"/>
      <c r="I56" s="330"/>
      <c r="J56" s="330"/>
      <c r="K56" s="330"/>
      <c r="L56" s="330">
        <f>L50</f>
        <v>1</v>
      </c>
      <c r="M56" s="401">
        <f>C56*L56</f>
        <v>1.5</v>
      </c>
      <c r="N56" s="748"/>
    </row>
    <row r="57" spans="1:14" s="487" customFormat="1" ht="15.75" customHeight="1">
      <c r="A57" s="350"/>
      <c r="B57" s="359"/>
      <c r="C57" s="330">
        <f>C51</f>
        <v>4</v>
      </c>
      <c r="D57" s="330"/>
      <c r="E57" s="330"/>
      <c r="F57" s="330"/>
      <c r="G57" s="330"/>
      <c r="H57" s="330"/>
      <c r="I57" s="330"/>
      <c r="J57" s="330"/>
      <c r="K57" s="330"/>
      <c r="L57" s="330">
        <f>L51</f>
        <v>2</v>
      </c>
      <c r="M57" s="401">
        <f>C57*L57</f>
        <v>8</v>
      </c>
      <c r="N57" s="748"/>
    </row>
    <row r="58" spans="1:14" s="487" customFormat="1" ht="15.75" customHeight="1">
      <c r="A58" s="350"/>
      <c r="B58" s="359"/>
      <c r="C58" s="330">
        <f>C52</f>
        <v>1.5</v>
      </c>
      <c r="D58" s="330"/>
      <c r="E58" s="330"/>
      <c r="F58" s="330"/>
      <c r="G58" s="330"/>
      <c r="H58" s="330"/>
      <c r="I58" s="330"/>
      <c r="J58" s="330"/>
      <c r="K58" s="330"/>
      <c r="L58" s="330">
        <f>L52</f>
        <v>1</v>
      </c>
      <c r="M58" s="401">
        <f>C58*L58</f>
        <v>1.5</v>
      </c>
      <c r="N58" s="748"/>
    </row>
    <row r="59" spans="1:14" s="487" customFormat="1" ht="15.75" customHeight="1">
      <c r="A59" s="350"/>
      <c r="B59" s="359"/>
      <c r="C59" s="330"/>
      <c r="D59" s="330"/>
      <c r="E59" s="330"/>
      <c r="F59" s="330"/>
      <c r="G59" s="330"/>
      <c r="H59" s="330"/>
      <c r="I59" s="330"/>
      <c r="J59" s="330"/>
      <c r="K59" s="330"/>
      <c r="L59" s="330"/>
      <c r="M59" s="401">
        <f>SUM(M55:M58)</f>
        <v>17</v>
      </c>
      <c r="N59" s="748" t="s">
        <v>117</v>
      </c>
    </row>
    <row r="60" spans="1:14" s="487" customFormat="1" ht="15.75" customHeight="1">
      <c r="A60" s="350"/>
      <c r="B60" s="567" t="s">
        <v>1131</v>
      </c>
      <c r="C60" s="330">
        <f>M59</f>
        <v>17</v>
      </c>
      <c r="D60" s="330">
        <v>1</v>
      </c>
      <c r="E60" s="330"/>
      <c r="F60" s="330"/>
      <c r="G60" s="330"/>
      <c r="H60" s="330"/>
      <c r="I60" s="330"/>
      <c r="J60" s="330"/>
      <c r="K60" s="330"/>
      <c r="L60" s="330"/>
      <c r="M60" s="401">
        <f>ROUNDDOWN((C60/D60),0.5)</f>
        <v>17</v>
      </c>
      <c r="N60" s="748" t="s">
        <v>124</v>
      </c>
    </row>
    <row r="61" spans="1:14" s="487" customFormat="1" ht="15.75" customHeight="1">
      <c r="A61" s="350"/>
      <c r="B61" s="567" t="s">
        <v>1132</v>
      </c>
      <c r="C61" s="330">
        <v>0.5</v>
      </c>
      <c r="D61" s="330"/>
      <c r="E61" s="330"/>
      <c r="F61" s="330">
        <f>M60</f>
        <v>17</v>
      </c>
      <c r="G61" s="330"/>
      <c r="H61" s="330"/>
      <c r="I61" s="330"/>
      <c r="J61" s="330"/>
      <c r="K61" s="330">
        <f>10*10*0.006165</f>
        <v>0.61650000000000005</v>
      </c>
      <c r="L61" s="330"/>
      <c r="M61" s="474">
        <f>F61*K61*C61</f>
        <v>5.2402500000000005</v>
      </c>
      <c r="N61" s="562" t="s">
        <v>100</v>
      </c>
    </row>
    <row r="62" spans="1:14" s="487" customFormat="1" ht="15.75" customHeight="1">
      <c r="A62" s="400">
        <f>A54+1</f>
        <v>5</v>
      </c>
      <c r="B62" s="351" t="s">
        <v>409</v>
      </c>
      <c r="C62" s="330"/>
      <c r="D62" s="330"/>
      <c r="E62" s="330"/>
      <c r="F62" s="330"/>
      <c r="G62" s="330"/>
      <c r="H62" s="330"/>
      <c r="I62" s="330"/>
      <c r="J62" s="330"/>
      <c r="K62" s="330"/>
      <c r="L62" s="330"/>
      <c r="M62" s="330"/>
      <c r="N62" s="748"/>
    </row>
    <row r="63" spans="1:14" s="487" customFormat="1" ht="15.75" customHeight="1">
      <c r="A63" s="419" t="s">
        <v>95</v>
      </c>
      <c r="B63" s="351" t="s">
        <v>1133</v>
      </c>
      <c r="C63" s="330"/>
      <c r="D63" s="330"/>
      <c r="E63" s="330"/>
      <c r="F63" s="330"/>
      <c r="G63" s="330"/>
      <c r="H63" s="330"/>
      <c r="I63" s="330"/>
      <c r="J63" s="330"/>
      <c r="K63" s="330"/>
      <c r="L63" s="330"/>
      <c r="M63" s="330"/>
      <c r="N63" s="748"/>
    </row>
    <row r="64" spans="1:14" s="487" customFormat="1" ht="15.75" customHeight="1">
      <c r="A64" s="419"/>
      <c r="B64" s="589" t="s">
        <v>155</v>
      </c>
      <c r="C64" s="330">
        <f>C49</f>
        <v>3</v>
      </c>
      <c r="D64" s="330"/>
      <c r="E64" s="330">
        <v>0.3</v>
      </c>
      <c r="F64" s="330"/>
      <c r="G64" s="330"/>
      <c r="H64" s="330"/>
      <c r="I64" s="330"/>
      <c r="J64" s="330">
        <v>2</v>
      </c>
      <c r="K64" s="330"/>
      <c r="L64" s="330">
        <f>L49</f>
        <v>2</v>
      </c>
      <c r="M64" s="330">
        <f>C64*E64*J64*L64</f>
        <v>3.5999999999999996</v>
      </c>
      <c r="N64" s="748"/>
    </row>
    <row r="65" spans="1:14" s="487" customFormat="1" ht="15.75" customHeight="1">
      <c r="A65" s="419"/>
      <c r="B65" s="589"/>
      <c r="C65" s="330">
        <f>C50</f>
        <v>1.5</v>
      </c>
      <c r="D65" s="330"/>
      <c r="E65" s="330">
        <f>E64</f>
        <v>0.3</v>
      </c>
      <c r="F65" s="330"/>
      <c r="G65" s="330"/>
      <c r="H65" s="330"/>
      <c r="I65" s="330"/>
      <c r="J65" s="330">
        <f>J64</f>
        <v>2</v>
      </c>
      <c r="K65" s="330"/>
      <c r="L65" s="330">
        <f>L50</f>
        <v>1</v>
      </c>
      <c r="M65" s="330">
        <f>C65*E65*J65*L65</f>
        <v>0.89999999999999991</v>
      </c>
      <c r="N65" s="748"/>
    </row>
    <row r="66" spans="1:14" s="487" customFormat="1" ht="15.75" customHeight="1">
      <c r="A66" s="419"/>
      <c r="B66" s="589" t="s">
        <v>1129</v>
      </c>
      <c r="C66" s="330">
        <f>C51</f>
        <v>4</v>
      </c>
      <c r="D66" s="330"/>
      <c r="E66" s="330">
        <f>E65</f>
        <v>0.3</v>
      </c>
      <c r="F66" s="330"/>
      <c r="G66" s="330"/>
      <c r="H66" s="330"/>
      <c r="I66" s="330"/>
      <c r="J66" s="330">
        <f>J65</f>
        <v>2</v>
      </c>
      <c r="K66" s="330"/>
      <c r="L66" s="330">
        <f>L51</f>
        <v>2</v>
      </c>
      <c r="M66" s="330">
        <f>C66*E66*J66*L66</f>
        <v>4.8</v>
      </c>
      <c r="N66" s="748"/>
    </row>
    <row r="67" spans="1:14" s="487" customFormat="1" ht="15.75" customHeight="1">
      <c r="A67" s="419"/>
      <c r="B67" s="589"/>
      <c r="C67" s="330">
        <f>C52</f>
        <v>1.5</v>
      </c>
      <c r="D67" s="330"/>
      <c r="E67" s="330">
        <f>E66</f>
        <v>0.3</v>
      </c>
      <c r="F67" s="330"/>
      <c r="G67" s="330"/>
      <c r="H67" s="330"/>
      <c r="I67" s="330"/>
      <c r="J67" s="330">
        <f>J66</f>
        <v>2</v>
      </c>
      <c r="K67" s="330"/>
      <c r="L67" s="330">
        <f>L52</f>
        <v>1</v>
      </c>
      <c r="M67" s="752">
        <f>C67*E67*J67*L67</f>
        <v>0.89999999999999991</v>
      </c>
      <c r="N67" s="748"/>
    </row>
    <row r="68" spans="1:14" s="487" customFormat="1" ht="15.75" customHeight="1">
      <c r="A68" s="419"/>
      <c r="B68" s="351"/>
      <c r="C68" s="330"/>
      <c r="D68" s="330"/>
      <c r="E68" s="330"/>
      <c r="F68" s="330"/>
      <c r="G68" s="330"/>
      <c r="H68" s="330"/>
      <c r="I68" s="330"/>
      <c r="J68" s="330"/>
      <c r="K68" s="330"/>
      <c r="L68" s="330"/>
      <c r="M68" s="474">
        <f>SUM(M64:M66)/3</f>
        <v>3.1</v>
      </c>
      <c r="N68" s="562" t="s">
        <v>89</v>
      </c>
    </row>
    <row r="69" spans="1:14" s="487" customFormat="1" ht="15.75" customHeight="1">
      <c r="A69" s="419" t="s">
        <v>98</v>
      </c>
      <c r="B69" s="351" t="s">
        <v>410</v>
      </c>
      <c r="C69" s="330"/>
      <c r="D69" s="330"/>
      <c r="E69" s="330"/>
      <c r="F69" s="330"/>
      <c r="G69" s="330"/>
      <c r="H69" s="330"/>
      <c r="I69" s="330"/>
      <c r="J69" s="330"/>
      <c r="K69" s="330"/>
      <c r="L69" s="330"/>
      <c r="M69" s="330"/>
      <c r="N69" s="748"/>
    </row>
    <row r="70" spans="1:14" s="487" customFormat="1" ht="15.75" customHeight="1">
      <c r="A70" s="419"/>
      <c r="B70" s="589" t="s">
        <v>155</v>
      </c>
      <c r="C70" s="330">
        <f>C64</f>
        <v>3</v>
      </c>
      <c r="D70" s="330"/>
      <c r="E70" s="330"/>
      <c r="F70" s="330"/>
      <c r="G70" s="330"/>
      <c r="H70" s="330"/>
      <c r="I70" s="330">
        <f>10*10*0.006165</f>
        <v>0.61650000000000005</v>
      </c>
      <c r="J70" s="330"/>
      <c r="K70" s="330">
        <v>5</v>
      </c>
      <c r="L70" s="330">
        <f>L64</f>
        <v>2</v>
      </c>
      <c r="M70" s="330">
        <f>C70*I70*K70*L70</f>
        <v>18.495000000000001</v>
      </c>
      <c r="N70" s="748"/>
    </row>
    <row r="71" spans="1:14" s="487" customFormat="1" ht="15.75" customHeight="1">
      <c r="A71" s="419"/>
      <c r="B71" s="589"/>
      <c r="C71" s="330">
        <f>C65</f>
        <v>1.5</v>
      </c>
      <c r="D71" s="330"/>
      <c r="E71" s="330"/>
      <c r="F71" s="330"/>
      <c r="G71" s="330"/>
      <c r="H71" s="330"/>
      <c r="I71" s="330">
        <f>I70</f>
        <v>0.61650000000000005</v>
      </c>
      <c r="J71" s="330"/>
      <c r="K71" s="330">
        <f>K70</f>
        <v>5</v>
      </c>
      <c r="L71" s="330">
        <f>L65</f>
        <v>1</v>
      </c>
      <c r="M71" s="330">
        <f>C71*I71*K71*L71</f>
        <v>4.6237500000000002</v>
      </c>
      <c r="N71" s="748"/>
    </row>
    <row r="72" spans="1:14" s="487" customFormat="1" ht="15.75" customHeight="1">
      <c r="A72" s="419"/>
      <c r="B72" s="589" t="s">
        <v>1129</v>
      </c>
      <c r="C72" s="330">
        <f>C66</f>
        <v>4</v>
      </c>
      <c r="D72" s="330"/>
      <c r="E72" s="330"/>
      <c r="F72" s="330"/>
      <c r="G72" s="330"/>
      <c r="H72" s="330"/>
      <c r="I72" s="330">
        <f>I71</f>
        <v>0.61650000000000005</v>
      </c>
      <c r="J72" s="330"/>
      <c r="K72" s="330">
        <f>K71</f>
        <v>5</v>
      </c>
      <c r="L72" s="330">
        <f>L66</f>
        <v>2</v>
      </c>
      <c r="M72" s="330">
        <f>C72*I72*K72*L72</f>
        <v>24.660000000000004</v>
      </c>
      <c r="N72" s="748"/>
    </row>
    <row r="73" spans="1:14" s="487" customFormat="1" ht="15.75" customHeight="1">
      <c r="A73" s="419"/>
      <c r="B73" s="589"/>
      <c r="C73" s="330">
        <f>C67</f>
        <v>1.5</v>
      </c>
      <c r="D73" s="330"/>
      <c r="E73" s="330"/>
      <c r="F73" s="330"/>
      <c r="G73" s="330"/>
      <c r="H73" s="330"/>
      <c r="I73" s="330">
        <f>I72</f>
        <v>0.61650000000000005</v>
      </c>
      <c r="J73" s="330"/>
      <c r="K73" s="330">
        <f>K72</f>
        <v>5</v>
      </c>
      <c r="L73" s="330">
        <f>L67</f>
        <v>1</v>
      </c>
      <c r="M73" s="752">
        <f>C73*I73*K73*L73</f>
        <v>4.6237500000000002</v>
      </c>
      <c r="N73" s="748"/>
    </row>
    <row r="74" spans="1:14" s="487" customFormat="1" ht="15.75" customHeight="1">
      <c r="A74" s="419"/>
      <c r="B74" s="351"/>
      <c r="C74" s="330"/>
      <c r="D74" s="330"/>
      <c r="E74" s="330"/>
      <c r="F74" s="330"/>
      <c r="G74" s="330"/>
      <c r="H74" s="330"/>
      <c r="I74" s="330"/>
      <c r="J74" s="330"/>
      <c r="K74" s="330"/>
      <c r="L74" s="330"/>
      <c r="M74" s="474">
        <f>SUM(M70:M72)</f>
        <v>47.778750000000002</v>
      </c>
      <c r="N74" s="562" t="s">
        <v>100</v>
      </c>
    </row>
    <row r="75" spans="1:14" s="487" customFormat="1" ht="15.75" customHeight="1">
      <c r="A75" s="419" t="s">
        <v>101</v>
      </c>
      <c r="B75" s="351" t="s">
        <v>411</v>
      </c>
      <c r="C75" s="330"/>
      <c r="D75" s="330"/>
      <c r="E75" s="330"/>
      <c r="F75" s="330"/>
      <c r="G75" s="330"/>
      <c r="H75" s="330"/>
      <c r="I75" s="330"/>
      <c r="J75" s="330"/>
      <c r="K75" s="330"/>
      <c r="L75" s="330"/>
      <c r="M75" s="330"/>
      <c r="N75" s="748"/>
    </row>
    <row r="76" spans="1:14" s="487" customFormat="1" ht="15.75" customHeight="1">
      <c r="A76" s="419"/>
      <c r="B76" s="589" t="s">
        <v>155</v>
      </c>
      <c r="C76" s="348">
        <f>(0.17+0.22)*2</f>
        <v>0.78</v>
      </c>
      <c r="D76" s="330"/>
      <c r="E76" s="330"/>
      <c r="F76" s="330">
        <f>0.05*2</f>
        <v>0.1</v>
      </c>
      <c r="G76" s="330"/>
      <c r="H76" s="330"/>
      <c r="I76" s="330">
        <f>8*8*0.006165</f>
        <v>0.39456000000000002</v>
      </c>
      <c r="J76" s="330"/>
      <c r="K76" s="330">
        <f>ROUNDUP((C70/0.125),0.5)</f>
        <v>24</v>
      </c>
      <c r="L76" s="330">
        <f>L70</f>
        <v>2</v>
      </c>
      <c r="M76" s="330">
        <f>(C76+F76)*I76*K76*L76</f>
        <v>16.666214400000001</v>
      </c>
      <c r="N76" s="748"/>
    </row>
    <row r="77" spans="1:14" s="487" customFormat="1" ht="15.75" customHeight="1">
      <c r="A77" s="419"/>
      <c r="B77" s="589"/>
      <c r="C77" s="348">
        <f>C76</f>
        <v>0.78</v>
      </c>
      <c r="D77" s="330"/>
      <c r="E77" s="330"/>
      <c r="F77" s="330">
        <f>F76</f>
        <v>0.1</v>
      </c>
      <c r="G77" s="330"/>
      <c r="H77" s="330"/>
      <c r="I77" s="330">
        <f>I76</f>
        <v>0.39456000000000002</v>
      </c>
      <c r="J77" s="330"/>
      <c r="K77" s="330">
        <f>ROUNDUP((C71/0.125),0.5)</f>
        <v>12</v>
      </c>
      <c r="L77" s="330">
        <f>L71</f>
        <v>1</v>
      </c>
      <c r="M77" s="330">
        <f>(C77+F77)*I77*K77*L77</f>
        <v>4.1665536000000003</v>
      </c>
      <c r="N77" s="748"/>
    </row>
    <row r="78" spans="1:14" s="487" customFormat="1" ht="15.75" customHeight="1">
      <c r="A78" s="419"/>
      <c r="B78" s="589" t="s">
        <v>1129</v>
      </c>
      <c r="C78" s="348">
        <f>C77</f>
        <v>0.78</v>
      </c>
      <c r="D78" s="330"/>
      <c r="E78" s="330"/>
      <c r="F78" s="330">
        <f>F77</f>
        <v>0.1</v>
      </c>
      <c r="G78" s="330"/>
      <c r="H78" s="330"/>
      <c r="I78" s="330">
        <f>I77</f>
        <v>0.39456000000000002</v>
      </c>
      <c r="J78" s="330"/>
      <c r="K78" s="330">
        <f>ROUNDUP((C72/0.125),0.5)</f>
        <v>32</v>
      </c>
      <c r="L78" s="330">
        <f>L72</f>
        <v>2</v>
      </c>
      <c r="M78" s="330">
        <f>(C78+F78)*I78*K78*L78</f>
        <v>22.221619200000003</v>
      </c>
      <c r="N78" s="748"/>
    </row>
    <row r="79" spans="1:14" s="487" customFormat="1" ht="15.75" customHeight="1">
      <c r="A79" s="419"/>
      <c r="B79" s="589"/>
      <c r="C79" s="348">
        <f>C78</f>
        <v>0.78</v>
      </c>
      <c r="D79" s="330"/>
      <c r="E79" s="330"/>
      <c r="F79" s="330">
        <f>F78</f>
        <v>0.1</v>
      </c>
      <c r="G79" s="330"/>
      <c r="H79" s="330"/>
      <c r="I79" s="330">
        <f>I78</f>
        <v>0.39456000000000002</v>
      </c>
      <c r="J79" s="330"/>
      <c r="K79" s="330">
        <f>ROUNDUP((C73/0.125),0.5)</f>
        <v>12</v>
      </c>
      <c r="L79" s="330">
        <f>L73</f>
        <v>1</v>
      </c>
      <c r="M79" s="752">
        <f>(C79+F79)*I79*K79*L79</f>
        <v>4.1665536000000003</v>
      </c>
      <c r="N79" s="748"/>
    </row>
    <row r="80" spans="1:14" s="487" customFormat="1" ht="15.75" customHeight="1">
      <c r="A80" s="419"/>
      <c r="B80" s="351"/>
      <c r="C80" s="330"/>
      <c r="D80" s="330"/>
      <c r="E80" s="330"/>
      <c r="F80" s="330"/>
      <c r="G80" s="330"/>
      <c r="H80" s="330"/>
      <c r="I80" s="330"/>
      <c r="J80" s="330"/>
      <c r="K80" s="330"/>
      <c r="L80" s="330"/>
      <c r="M80" s="474">
        <f>SUM(M76:M78)</f>
        <v>43.054387200000008</v>
      </c>
      <c r="N80" s="562" t="s">
        <v>100</v>
      </c>
    </row>
    <row r="81" spans="1:14" s="487" customFormat="1" ht="15.75" customHeight="1">
      <c r="A81" s="419" t="s">
        <v>121</v>
      </c>
      <c r="B81" s="356" t="s">
        <v>429</v>
      </c>
      <c r="C81" s="330"/>
      <c r="D81" s="330"/>
      <c r="E81" s="330"/>
      <c r="F81" s="330"/>
      <c r="G81" s="330"/>
      <c r="H81" s="330"/>
      <c r="I81" s="330"/>
      <c r="J81" s="330"/>
      <c r="K81" s="330"/>
      <c r="L81" s="330"/>
      <c r="M81" s="330"/>
      <c r="N81" s="748"/>
    </row>
    <row r="82" spans="1:14" s="487" customFormat="1" ht="15.75" customHeight="1">
      <c r="A82" s="419"/>
      <c r="B82" s="589" t="s">
        <v>155</v>
      </c>
      <c r="C82" s="330">
        <f>C70</f>
        <v>3</v>
      </c>
      <c r="D82" s="330">
        <v>0.25</v>
      </c>
      <c r="E82" s="330">
        <v>0.3</v>
      </c>
      <c r="F82" s="330"/>
      <c r="G82" s="330"/>
      <c r="H82" s="330"/>
      <c r="I82" s="330"/>
      <c r="J82" s="330"/>
      <c r="K82" s="330"/>
      <c r="L82" s="330">
        <f>L76</f>
        <v>2</v>
      </c>
      <c r="M82" s="330">
        <f>C82*D82*E82</f>
        <v>0.22499999999999998</v>
      </c>
      <c r="N82" s="748"/>
    </row>
    <row r="83" spans="1:14" s="487" customFormat="1" ht="15.75" customHeight="1">
      <c r="A83" s="419"/>
      <c r="B83" s="589"/>
      <c r="C83" s="330">
        <f>C71</f>
        <v>1.5</v>
      </c>
      <c r="D83" s="330">
        <f t="shared" ref="D83:E85" si="3">D82</f>
        <v>0.25</v>
      </c>
      <c r="E83" s="330">
        <f t="shared" si="3"/>
        <v>0.3</v>
      </c>
      <c r="F83" s="330"/>
      <c r="G83" s="330"/>
      <c r="H83" s="330"/>
      <c r="I83" s="330"/>
      <c r="J83" s="330"/>
      <c r="K83" s="330"/>
      <c r="L83" s="330">
        <f>L77</f>
        <v>1</v>
      </c>
      <c r="M83" s="330">
        <f>C83*D83*E83</f>
        <v>0.11249999999999999</v>
      </c>
      <c r="N83" s="748"/>
    </row>
    <row r="84" spans="1:14" s="487" customFormat="1" ht="15.75" customHeight="1">
      <c r="A84" s="419"/>
      <c r="B84" s="589" t="s">
        <v>1129</v>
      </c>
      <c r="C84" s="330">
        <f>C72</f>
        <v>4</v>
      </c>
      <c r="D84" s="330">
        <f t="shared" si="3"/>
        <v>0.25</v>
      </c>
      <c r="E84" s="330">
        <f t="shared" si="3"/>
        <v>0.3</v>
      </c>
      <c r="F84" s="330"/>
      <c r="G84" s="330"/>
      <c r="H84" s="330"/>
      <c r="I84" s="330"/>
      <c r="J84" s="330"/>
      <c r="K84" s="330"/>
      <c r="L84" s="330">
        <f>L78</f>
        <v>2</v>
      </c>
      <c r="M84" s="330">
        <f>C84*D84*E84</f>
        <v>0.3</v>
      </c>
      <c r="N84" s="748"/>
    </row>
    <row r="85" spans="1:14" s="487" customFormat="1" ht="15.75" customHeight="1">
      <c r="A85" s="419"/>
      <c r="B85" s="589"/>
      <c r="C85" s="330">
        <f>C73</f>
        <v>1.5</v>
      </c>
      <c r="D85" s="330">
        <f t="shared" si="3"/>
        <v>0.25</v>
      </c>
      <c r="E85" s="330">
        <f t="shared" si="3"/>
        <v>0.3</v>
      </c>
      <c r="F85" s="330"/>
      <c r="G85" s="330"/>
      <c r="H85" s="330"/>
      <c r="I85" s="330"/>
      <c r="J85" s="330"/>
      <c r="K85" s="330"/>
      <c r="L85" s="330">
        <f>L79</f>
        <v>1</v>
      </c>
      <c r="M85" s="752">
        <f>C85*D85*E85</f>
        <v>0.11249999999999999</v>
      </c>
      <c r="N85" s="748"/>
    </row>
    <row r="86" spans="1:14" s="487" customFormat="1" ht="15.75" customHeight="1">
      <c r="A86" s="419"/>
      <c r="B86" s="351"/>
      <c r="C86" s="330"/>
      <c r="D86" s="330"/>
      <c r="E86" s="330"/>
      <c r="F86" s="330"/>
      <c r="G86" s="330"/>
      <c r="H86" s="330"/>
      <c r="I86" s="330"/>
      <c r="J86" s="330"/>
      <c r="K86" s="330"/>
      <c r="L86" s="330"/>
      <c r="M86" s="474">
        <f>SUM(M82:M84)</f>
        <v>0.63749999999999996</v>
      </c>
      <c r="N86" s="562" t="s">
        <v>103</v>
      </c>
    </row>
    <row r="87" spans="1:14" s="487" customFormat="1" ht="15.75" customHeight="1">
      <c r="A87" s="418">
        <f>A62+1</f>
        <v>6</v>
      </c>
      <c r="B87" s="351" t="s">
        <v>416</v>
      </c>
      <c r="C87" s="330"/>
      <c r="D87" s="330"/>
      <c r="E87" s="330"/>
      <c r="F87" s="330"/>
      <c r="G87" s="330"/>
      <c r="H87" s="330"/>
      <c r="I87" s="330"/>
      <c r="J87" s="330"/>
      <c r="K87" s="330"/>
      <c r="L87" s="330"/>
      <c r="M87" s="330"/>
      <c r="N87" s="748"/>
    </row>
    <row r="88" spans="1:14" s="487" customFormat="1" ht="15.75" customHeight="1">
      <c r="A88" s="355" t="s">
        <v>95</v>
      </c>
      <c r="B88" s="359" t="s">
        <v>417</v>
      </c>
      <c r="C88" s="348"/>
      <c r="D88" s="348">
        <v>0.25</v>
      </c>
      <c r="E88" s="348">
        <v>0.8</v>
      </c>
      <c r="F88" s="348"/>
      <c r="G88" s="348">
        <v>4</v>
      </c>
      <c r="H88" s="348"/>
      <c r="I88" s="348"/>
      <c r="J88" s="348"/>
      <c r="K88" s="348"/>
      <c r="L88" s="348">
        <f>L17</f>
        <v>4</v>
      </c>
      <c r="M88" s="348">
        <f>D88*E88*G88*L88</f>
        <v>3.2</v>
      </c>
      <c r="N88" s="748" t="s">
        <v>89</v>
      </c>
    </row>
    <row r="89" spans="1:14" s="487" customFormat="1" ht="15.75" customHeight="1">
      <c r="A89" s="355" t="s">
        <v>98</v>
      </c>
      <c r="B89" s="359" t="s">
        <v>418</v>
      </c>
      <c r="C89" s="348"/>
      <c r="D89" s="348"/>
      <c r="E89" s="348">
        <f>E88</f>
        <v>0.8</v>
      </c>
      <c r="F89" s="348">
        <v>8</v>
      </c>
      <c r="G89" s="348"/>
      <c r="H89" s="348"/>
      <c r="I89" s="348">
        <v>0.25</v>
      </c>
      <c r="J89" s="348"/>
      <c r="K89" s="348">
        <f>10*10*0.006165</f>
        <v>0.61650000000000005</v>
      </c>
      <c r="L89" s="348">
        <f>L88</f>
        <v>4</v>
      </c>
      <c r="M89" s="348">
        <f>(E89+I89)*F89*K89*L89</f>
        <v>20.714400000000001</v>
      </c>
      <c r="N89" s="748" t="s">
        <v>100</v>
      </c>
    </row>
    <row r="90" spans="1:14" s="487" customFormat="1" ht="15.75" customHeight="1">
      <c r="A90" s="355" t="s">
        <v>101</v>
      </c>
      <c r="B90" s="359" t="s">
        <v>419</v>
      </c>
      <c r="C90" s="348">
        <f>(0.17)*4</f>
        <v>0.68</v>
      </c>
      <c r="D90" s="348"/>
      <c r="E90" s="348"/>
      <c r="F90" s="348">
        <f>ROUNDDOWN((E89/0.15),0.1)</f>
        <v>5</v>
      </c>
      <c r="G90" s="348"/>
      <c r="H90" s="348">
        <f>0.05*2</f>
        <v>0.1</v>
      </c>
      <c r="I90" s="348"/>
      <c r="J90" s="348"/>
      <c r="K90" s="348">
        <f>8*8*0.006165</f>
        <v>0.39456000000000002</v>
      </c>
      <c r="L90" s="348">
        <f>L89</f>
        <v>4</v>
      </c>
      <c r="M90" s="348">
        <f>(C90+H90)*F90*K90*L90</f>
        <v>6.1551360000000006</v>
      </c>
      <c r="N90" s="748" t="s">
        <v>100</v>
      </c>
    </row>
    <row r="91" spans="1:14" s="487" customFormat="1" ht="15.75" customHeight="1">
      <c r="A91" s="355" t="s">
        <v>121</v>
      </c>
      <c r="B91" s="356" t="s">
        <v>429</v>
      </c>
      <c r="C91" s="348">
        <v>0.25</v>
      </c>
      <c r="D91" s="348">
        <v>0.25</v>
      </c>
      <c r="E91" s="348">
        <f>E88</f>
        <v>0.8</v>
      </c>
      <c r="F91" s="348"/>
      <c r="G91" s="348"/>
      <c r="H91" s="348"/>
      <c r="I91" s="348"/>
      <c r="J91" s="348"/>
      <c r="K91" s="348"/>
      <c r="L91" s="348">
        <f>L89</f>
        <v>4</v>
      </c>
      <c r="M91" s="348">
        <f>C91*D91*E91*L91</f>
        <v>0.2</v>
      </c>
      <c r="N91" s="748" t="s">
        <v>103</v>
      </c>
    </row>
    <row r="92" spans="1:14" s="487" customFormat="1" ht="15.75" customHeight="1">
      <c r="A92" s="350">
        <f>A87+1</f>
        <v>7</v>
      </c>
      <c r="B92" s="359" t="s">
        <v>421</v>
      </c>
      <c r="C92" s="330"/>
      <c r="D92" s="330"/>
      <c r="E92" s="330"/>
      <c r="F92" s="330"/>
      <c r="G92" s="330"/>
      <c r="H92" s="330"/>
      <c r="I92" s="330"/>
      <c r="J92" s="330"/>
      <c r="K92" s="330"/>
      <c r="L92" s="330"/>
      <c r="M92" s="330"/>
      <c r="N92" s="748"/>
    </row>
    <row r="93" spans="1:14" s="487" customFormat="1" ht="15.75" customHeight="1">
      <c r="A93" s="355" t="s">
        <v>95</v>
      </c>
      <c r="B93" s="359" t="s">
        <v>417</v>
      </c>
      <c r="C93" s="348"/>
      <c r="D93" s="348">
        <f>D88</f>
        <v>0.25</v>
      </c>
      <c r="E93" s="348">
        <f>3.88-0.3</f>
        <v>3.58</v>
      </c>
      <c r="F93" s="348"/>
      <c r="G93" s="348">
        <f>G88</f>
        <v>4</v>
      </c>
      <c r="H93" s="348"/>
      <c r="I93" s="348"/>
      <c r="J93" s="348"/>
      <c r="K93" s="348"/>
      <c r="L93" s="348">
        <f>L88</f>
        <v>4</v>
      </c>
      <c r="M93" s="348">
        <f>D93*E93*G93*L93</f>
        <v>14.32</v>
      </c>
      <c r="N93" s="748" t="s">
        <v>89</v>
      </c>
    </row>
    <row r="94" spans="1:14" s="487" customFormat="1" ht="15.75" customHeight="1">
      <c r="A94" s="355" t="s">
        <v>98</v>
      </c>
      <c r="B94" s="359" t="s">
        <v>418</v>
      </c>
      <c r="C94" s="348"/>
      <c r="D94" s="348"/>
      <c r="E94" s="348">
        <f>E93</f>
        <v>3.58</v>
      </c>
      <c r="F94" s="348">
        <f>F89</f>
        <v>8</v>
      </c>
      <c r="G94" s="348"/>
      <c r="H94" s="348"/>
      <c r="I94" s="348">
        <f>I89</f>
        <v>0.25</v>
      </c>
      <c r="J94" s="348"/>
      <c r="K94" s="348">
        <f>K89</f>
        <v>0.61650000000000005</v>
      </c>
      <c r="L94" s="348">
        <f>L93</f>
        <v>4</v>
      </c>
      <c r="M94" s="348">
        <f>(E94+I94)*F94*K94*L94</f>
        <v>75.558240000000012</v>
      </c>
      <c r="N94" s="748" t="s">
        <v>100</v>
      </c>
    </row>
    <row r="95" spans="1:14" s="487" customFormat="1" ht="15.75" customHeight="1">
      <c r="A95" s="355" t="s">
        <v>101</v>
      </c>
      <c r="B95" s="359" t="s">
        <v>419</v>
      </c>
      <c r="C95" s="348">
        <f>C90</f>
        <v>0.68</v>
      </c>
      <c r="D95" s="348"/>
      <c r="E95" s="348"/>
      <c r="F95" s="348">
        <f>ROUNDDOWN((E94/0.15),0.1)</f>
        <v>23</v>
      </c>
      <c r="G95" s="348"/>
      <c r="H95" s="348">
        <f>H90</f>
        <v>0.1</v>
      </c>
      <c r="I95" s="348"/>
      <c r="J95" s="348"/>
      <c r="K95" s="348">
        <f>K90</f>
        <v>0.39456000000000002</v>
      </c>
      <c r="L95" s="348">
        <f>L94</f>
        <v>4</v>
      </c>
      <c r="M95" s="348">
        <f>(C95+H95)*F95*K95*L95</f>
        <v>28.313625600000005</v>
      </c>
      <c r="N95" s="748" t="s">
        <v>100</v>
      </c>
    </row>
    <row r="96" spans="1:14" s="487" customFormat="1" ht="15.75" customHeight="1">
      <c r="A96" s="355" t="s">
        <v>121</v>
      </c>
      <c r="B96" s="356" t="s">
        <v>429</v>
      </c>
      <c r="C96" s="348">
        <f>C91</f>
        <v>0.25</v>
      </c>
      <c r="D96" s="348">
        <f>D91</f>
        <v>0.25</v>
      </c>
      <c r="E96" s="348">
        <f>E94</f>
        <v>3.58</v>
      </c>
      <c r="F96" s="348"/>
      <c r="G96" s="348"/>
      <c r="H96" s="348"/>
      <c r="I96" s="348"/>
      <c r="J96" s="348"/>
      <c r="K96" s="348"/>
      <c r="L96" s="348">
        <f>L94</f>
        <v>4</v>
      </c>
      <c r="M96" s="348">
        <f>C96*D96*E96*L96</f>
        <v>0.89500000000000002</v>
      </c>
      <c r="N96" s="748" t="s">
        <v>103</v>
      </c>
    </row>
    <row r="97" spans="1:14" s="487" customFormat="1" ht="15.75" customHeight="1">
      <c r="A97" s="418">
        <f>A92+1</f>
        <v>8</v>
      </c>
      <c r="B97" s="351" t="s">
        <v>552</v>
      </c>
      <c r="C97" s="330"/>
      <c r="D97" s="330"/>
      <c r="E97" s="330"/>
      <c r="F97" s="330"/>
      <c r="G97" s="330"/>
      <c r="H97" s="330"/>
      <c r="I97" s="330"/>
      <c r="J97" s="330"/>
      <c r="K97" s="330"/>
      <c r="L97" s="330"/>
      <c r="M97" s="330"/>
      <c r="N97" s="748"/>
    </row>
    <row r="98" spans="1:14" s="487" customFormat="1" ht="15.75" customHeight="1">
      <c r="A98" s="355" t="s">
        <v>95</v>
      </c>
      <c r="B98" s="359" t="s">
        <v>417</v>
      </c>
      <c r="C98" s="330"/>
      <c r="D98" s="330">
        <v>0.15</v>
      </c>
      <c r="E98" s="330">
        <f>E93</f>
        <v>3.58</v>
      </c>
      <c r="F98" s="330"/>
      <c r="G98" s="330">
        <v>4</v>
      </c>
      <c r="H98" s="330"/>
      <c r="I98" s="330"/>
      <c r="J98" s="330"/>
      <c r="K98" s="330"/>
      <c r="L98" s="330">
        <v>3</v>
      </c>
      <c r="M98" s="330">
        <f>D98*E98*G98*L98*0.5</f>
        <v>3.2220000000000004</v>
      </c>
      <c r="N98" s="748" t="s">
        <v>89</v>
      </c>
    </row>
    <row r="99" spans="1:14" s="487" customFormat="1" ht="15.75" customHeight="1">
      <c r="A99" s="355" t="s">
        <v>98</v>
      </c>
      <c r="B99" s="351" t="s">
        <v>432</v>
      </c>
      <c r="C99" s="330"/>
      <c r="D99" s="330"/>
      <c r="E99" s="330">
        <f>E98</f>
        <v>3.58</v>
      </c>
      <c r="F99" s="330">
        <v>4</v>
      </c>
      <c r="G99" s="330"/>
      <c r="H99" s="330"/>
      <c r="I99" s="348">
        <f>I94</f>
        <v>0.25</v>
      </c>
      <c r="J99" s="330"/>
      <c r="K99" s="348">
        <f>10*10*0.006165</f>
        <v>0.61650000000000005</v>
      </c>
      <c r="L99" s="330">
        <f>L98</f>
        <v>3</v>
      </c>
      <c r="M99" s="330">
        <f>(E99+I99)*F99*K99*L99</f>
        <v>28.334340000000005</v>
      </c>
      <c r="N99" s="748" t="s">
        <v>100</v>
      </c>
    </row>
    <row r="100" spans="1:14" s="487" customFormat="1" ht="15.75" customHeight="1">
      <c r="A100" s="355" t="s">
        <v>101</v>
      </c>
      <c r="B100" s="351" t="s">
        <v>411</v>
      </c>
      <c r="C100" s="330">
        <f>0.1*4</f>
        <v>0.4</v>
      </c>
      <c r="D100" s="330"/>
      <c r="E100" s="330"/>
      <c r="F100" s="330">
        <f>ROUNDDOWN((E99/0.125),0.5)</f>
        <v>28</v>
      </c>
      <c r="G100" s="330"/>
      <c r="H100" s="330">
        <f>0.05*2</f>
        <v>0.1</v>
      </c>
      <c r="I100" s="330"/>
      <c r="J100" s="330"/>
      <c r="K100" s="330">
        <f>8*8*0.006165</f>
        <v>0.39456000000000002</v>
      </c>
      <c r="L100" s="330">
        <f>L99</f>
        <v>3</v>
      </c>
      <c r="M100" s="330">
        <f>(C100+H100)*F100*K100*L100</f>
        <v>16.57152</v>
      </c>
      <c r="N100" s="748" t="s">
        <v>100</v>
      </c>
    </row>
    <row r="101" spans="1:14" s="487" customFormat="1" ht="15.75" customHeight="1">
      <c r="A101" s="355" t="s">
        <v>121</v>
      </c>
      <c r="B101" s="356" t="s">
        <v>429</v>
      </c>
      <c r="C101" s="330">
        <v>0.15</v>
      </c>
      <c r="D101" s="330">
        <v>0.15</v>
      </c>
      <c r="E101" s="330">
        <f>E99</f>
        <v>3.58</v>
      </c>
      <c r="F101" s="330"/>
      <c r="G101" s="330"/>
      <c r="H101" s="330"/>
      <c r="I101" s="330"/>
      <c r="J101" s="330"/>
      <c r="K101" s="330"/>
      <c r="L101" s="330">
        <f>L99</f>
        <v>3</v>
      </c>
      <c r="M101" s="330">
        <f>C101*D101*E101*L101</f>
        <v>0.24164999999999998</v>
      </c>
      <c r="N101" s="748" t="s">
        <v>103</v>
      </c>
    </row>
    <row r="102" spans="1:14" s="487" customFormat="1" ht="15.75" customHeight="1">
      <c r="A102" s="350">
        <f>A97+1</f>
        <v>9</v>
      </c>
      <c r="B102" s="351" t="s">
        <v>422</v>
      </c>
      <c r="C102" s="330"/>
      <c r="D102" s="330"/>
      <c r="E102" s="330"/>
      <c r="F102" s="330"/>
      <c r="G102" s="330"/>
      <c r="H102" s="330"/>
      <c r="I102" s="330"/>
      <c r="J102" s="330"/>
      <c r="K102" s="330"/>
      <c r="L102" s="330"/>
      <c r="M102" s="330"/>
      <c r="N102" s="748"/>
    </row>
    <row r="103" spans="1:14" s="487" customFormat="1" ht="15.75" customHeight="1">
      <c r="A103" s="355" t="s">
        <v>95</v>
      </c>
      <c r="B103" s="359" t="s">
        <v>1134</v>
      </c>
      <c r="C103" s="330"/>
      <c r="D103" s="330"/>
      <c r="E103" s="330"/>
      <c r="F103" s="330"/>
      <c r="G103" s="330"/>
      <c r="H103" s="330"/>
      <c r="I103" s="330"/>
      <c r="J103" s="330"/>
      <c r="K103" s="330"/>
      <c r="L103" s="330"/>
      <c r="M103" s="330"/>
      <c r="N103" s="748"/>
    </row>
    <row r="104" spans="1:14" s="487" customFormat="1" ht="15.75" customHeight="1">
      <c r="A104" s="355"/>
      <c r="B104" s="567" t="s">
        <v>1044</v>
      </c>
      <c r="C104" s="382">
        <f>C64</f>
        <v>3</v>
      </c>
      <c r="D104" s="382"/>
      <c r="E104" s="382">
        <v>0.35</v>
      </c>
      <c r="F104" s="382"/>
      <c r="G104" s="382"/>
      <c r="H104" s="382"/>
      <c r="I104" s="382"/>
      <c r="J104" s="382">
        <v>2</v>
      </c>
      <c r="K104" s="382"/>
      <c r="L104" s="382">
        <v>2</v>
      </c>
      <c r="M104" s="382">
        <f>C104*E104*J104*L104</f>
        <v>4.1999999999999993</v>
      </c>
      <c r="N104" s="748"/>
    </row>
    <row r="105" spans="1:14" s="487" customFormat="1" ht="15.75" customHeight="1">
      <c r="A105" s="355"/>
      <c r="B105" s="567"/>
      <c r="C105" s="382">
        <f>C104</f>
        <v>3</v>
      </c>
      <c r="D105" s="382">
        <v>0.2</v>
      </c>
      <c r="E105" s="382"/>
      <c r="F105" s="382"/>
      <c r="G105" s="382"/>
      <c r="H105" s="382"/>
      <c r="I105" s="382"/>
      <c r="J105" s="382">
        <v>1</v>
      </c>
      <c r="K105" s="382"/>
      <c r="L105" s="382">
        <f>L104</f>
        <v>2</v>
      </c>
      <c r="M105" s="683">
        <f>C105*D105*J105*L105</f>
        <v>1.2000000000000002</v>
      </c>
      <c r="N105" s="748"/>
    </row>
    <row r="106" spans="1:14" s="487" customFormat="1" ht="15.75" customHeight="1">
      <c r="A106" s="355"/>
      <c r="B106" s="567" t="s">
        <v>136</v>
      </c>
      <c r="C106" s="382">
        <v>4</v>
      </c>
      <c r="D106" s="382"/>
      <c r="E106" s="382">
        <f>E104</f>
        <v>0.35</v>
      </c>
      <c r="F106" s="382"/>
      <c r="G106" s="382"/>
      <c r="H106" s="382"/>
      <c r="I106" s="382"/>
      <c r="J106" s="382">
        <f>J104</f>
        <v>2</v>
      </c>
      <c r="K106" s="382"/>
      <c r="L106" s="382">
        <v>2</v>
      </c>
      <c r="M106" s="382">
        <f>C106*E106*J106*L106</f>
        <v>5.6</v>
      </c>
      <c r="N106" s="748"/>
    </row>
    <row r="107" spans="1:14" s="487" customFormat="1" ht="15.75" customHeight="1">
      <c r="A107" s="355"/>
      <c r="B107" s="359"/>
      <c r="C107" s="382">
        <f>C106</f>
        <v>4</v>
      </c>
      <c r="D107" s="382">
        <f>D105</f>
        <v>0.2</v>
      </c>
      <c r="E107" s="382"/>
      <c r="F107" s="382"/>
      <c r="G107" s="382"/>
      <c r="H107" s="382"/>
      <c r="I107" s="382"/>
      <c r="J107" s="382">
        <v>1</v>
      </c>
      <c r="K107" s="382"/>
      <c r="L107" s="382">
        <f>L106</f>
        <v>2</v>
      </c>
      <c r="M107" s="624">
        <f>C107*D107*J107*L107</f>
        <v>1.6</v>
      </c>
      <c r="N107" s="748"/>
    </row>
    <row r="108" spans="1:14" s="487" customFormat="1" ht="15.75" customHeight="1">
      <c r="A108" s="355"/>
      <c r="B108" s="359"/>
      <c r="C108" s="330"/>
      <c r="D108" s="330"/>
      <c r="E108" s="330"/>
      <c r="F108" s="330"/>
      <c r="G108" s="330"/>
      <c r="H108" s="330"/>
      <c r="I108" s="330"/>
      <c r="J108" s="330"/>
      <c r="K108" s="330"/>
      <c r="L108" s="330"/>
      <c r="M108" s="474">
        <f>SUM(M104:M107)/2</f>
        <v>6.3</v>
      </c>
      <c r="N108" s="562" t="s">
        <v>89</v>
      </c>
    </row>
    <row r="109" spans="1:14" s="487" customFormat="1" ht="15.75" customHeight="1">
      <c r="A109" s="355" t="s">
        <v>98</v>
      </c>
      <c r="B109" s="351" t="s">
        <v>410</v>
      </c>
      <c r="C109" s="330"/>
      <c r="D109" s="330"/>
      <c r="E109" s="330"/>
      <c r="F109" s="330"/>
      <c r="G109" s="330"/>
      <c r="H109" s="330"/>
      <c r="I109" s="330"/>
      <c r="J109" s="330"/>
      <c r="K109" s="330"/>
      <c r="L109" s="330"/>
      <c r="M109" s="330"/>
      <c r="N109" s="748"/>
    </row>
    <row r="110" spans="1:14" s="487" customFormat="1" ht="15.75" customHeight="1">
      <c r="A110" s="355"/>
      <c r="B110" s="567" t="str">
        <f>B104</f>
        <v>Horisontal</v>
      </c>
      <c r="C110" s="382">
        <f>C104</f>
        <v>3</v>
      </c>
      <c r="D110" s="382"/>
      <c r="E110" s="382"/>
      <c r="F110" s="382"/>
      <c r="G110" s="382"/>
      <c r="H110" s="382"/>
      <c r="I110" s="382">
        <f>10*10*0.006165</f>
        <v>0.61650000000000005</v>
      </c>
      <c r="J110" s="382"/>
      <c r="K110" s="382">
        <v>5</v>
      </c>
      <c r="L110" s="382">
        <f>L104</f>
        <v>2</v>
      </c>
      <c r="M110" s="382">
        <f>C110*I110*K110*L110</f>
        <v>18.495000000000001</v>
      </c>
      <c r="N110" s="748"/>
    </row>
    <row r="111" spans="1:14" s="487" customFormat="1" ht="15.75" customHeight="1">
      <c r="A111" s="355"/>
      <c r="B111" s="567" t="str">
        <f>B106</f>
        <v>Vertikal</v>
      </c>
      <c r="C111" s="382">
        <f>C106</f>
        <v>4</v>
      </c>
      <c r="D111" s="382"/>
      <c r="E111" s="382"/>
      <c r="F111" s="382"/>
      <c r="G111" s="382"/>
      <c r="H111" s="382"/>
      <c r="I111" s="382">
        <f>I110</f>
        <v>0.61650000000000005</v>
      </c>
      <c r="J111" s="382"/>
      <c r="K111" s="382">
        <f>K110</f>
        <v>5</v>
      </c>
      <c r="L111" s="382">
        <f>L106</f>
        <v>2</v>
      </c>
      <c r="M111" s="624">
        <f>C111*I111*K111*L111</f>
        <v>24.660000000000004</v>
      </c>
      <c r="N111" s="748"/>
    </row>
    <row r="112" spans="1:14" s="487" customFormat="1" ht="15.75" customHeight="1">
      <c r="A112" s="355"/>
      <c r="B112" s="359"/>
      <c r="C112" s="330"/>
      <c r="D112" s="330"/>
      <c r="E112" s="330"/>
      <c r="F112" s="330"/>
      <c r="G112" s="330"/>
      <c r="H112" s="330"/>
      <c r="I112" s="330"/>
      <c r="J112" s="330"/>
      <c r="K112" s="330"/>
      <c r="L112" s="330"/>
      <c r="M112" s="474">
        <f>SUM(M110:M111)</f>
        <v>43.155000000000001</v>
      </c>
      <c r="N112" s="562" t="s">
        <v>100</v>
      </c>
    </row>
    <row r="113" spans="1:23" s="487" customFormat="1" ht="15.75" customHeight="1">
      <c r="A113" s="355" t="s">
        <v>101</v>
      </c>
      <c r="B113" s="351" t="s">
        <v>411</v>
      </c>
      <c r="C113" s="330"/>
      <c r="D113" s="330"/>
      <c r="E113" s="330"/>
      <c r="F113" s="330"/>
      <c r="G113" s="330"/>
      <c r="H113" s="330"/>
      <c r="I113" s="330"/>
      <c r="J113" s="330"/>
      <c r="K113" s="330"/>
      <c r="L113" s="330"/>
      <c r="M113" s="330"/>
      <c r="N113" s="748"/>
    </row>
    <row r="114" spans="1:23" s="487" customFormat="1" ht="15.75" customHeight="1">
      <c r="A114" s="355"/>
      <c r="B114" s="567" t="str">
        <f>B110</f>
        <v>Horisontal</v>
      </c>
      <c r="C114" s="348">
        <f>(0.12+0.27)*2</f>
        <v>0.78</v>
      </c>
      <c r="D114" s="382"/>
      <c r="E114" s="382"/>
      <c r="F114" s="382">
        <v>0.1</v>
      </c>
      <c r="G114" s="382"/>
      <c r="H114" s="382"/>
      <c r="I114" s="330">
        <f>8*8*0.006165</f>
        <v>0.39456000000000002</v>
      </c>
      <c r="J114" s="382"/>
      <c r="K114" s="382">
        <f>ROUNDUP((C110/0.125),0.5)</f>
        <v>24</v>
      </c>
      <c r="L114" s="382">
        <f>L110</f>
        <v>2</v>
      </c>
      <c r="M114" s="382">
        <f>(C114+F114)*I114*K114*L114</f>
        <v>16.666214400000001</v>
      </c>
      <c r="N114" s="748"/>
    </row>
    <row r="115" spans="1:23" s="487" customFormat="1" ht="15.75" customHeight="1">
      <c r="A115" s="355"/>
      <c r="B115" s="567" t="str">
        <f>B111</f>
        <v>Vertikal</v>
      </c>
      <c r="C115" s="382">
        <f>C114</f>
        <v>0.78</v>
      </c>
      <c r="D115" s="382"/>
      <c r="E115" s="382"/>
      <c r="F115" s="382">
        <f>F114</f>
        <v>0.1</v>
      </c>
      <c r="G115" s="382"/>
      <c r="H115" s="382"/>
      <c r="I115" s="382">
        <f>I114</f>
        <v>0.39456000000000002</v>
      </c>
      <c r="J115" s="382"/>
      <c r="K115" s="382">
        <f>ROUNDUP((C111/0.125),0.5)</f>
        <v>32</v>
      </c>
      <c r="L115" s="382">
        <f>L111</f>
        <v>2</v>
      </c>
      <c r="M115" s="624">
        <f>(C115+F115)*I115*K115*L115</f>
        <v>22.221619200000003</v>
      </c>
      <c r="N115" s="748"/>
    </row>
    <row r="116" spans="1:23" s="487" customFormat="1" ht="15.75" customHeight="1">
      <c r="A116" s="355"/>
      <c r="B116" s="359"/>
      <c r="C116" s="330"/>
      <c r="D116" s="330"/>
      <c r="E116" s="330"/>
      <c r="F116" s="330"/>
      <c r="G116" s="330"/>
      <c r="H116" s="330"/>
      <c r="I116" s="330"/>
      <c r="J116" s="330"/>
      <c r="K116" s="330"/>
      <c r="L116" s="330"/>
      <c r="M116" s="474">
        <f>SUM(M114:M115)</f>
        <v>38.887833600000008</v>
      </c>
      <c r="N116" s="562" t="s">
        <v>100</v>
      </c>
    </row>
    <row r="117" spans="1:23" s="487" customFormat="1" ht="15.75" customHeight="1">
      <c r="A117" s="355" t="s">
        <v>121</v>
      </c>
      <c r="B117" s="356" t="s">
        <v>429</v>
      </c>
      <c r="C117" s="330"/>
      <c r="D117" s="330"/>
      <c r="E117" s="330"/>
      <c r="F117" s="330"/>
      <c r="G117" s="330"/>
      <c r="H117" s="330"/>
      <c r="I117" s="330"/>
      <c r="J117" s="330"/>
      <c r="K117" s="330"/>
      <c r="L117" s="330"/>
      <c r="M117" s="330"/>
      <c r="N117" s="748"/>
    </row>
    <row r="118" spans="1:23" s="487" customFormat="1" ht="15.75" customHeight="1">
      <c r="A118" s="355"/>
      <c r="B118" s="567" t="str">
        <f>B114</f>
        <v>Horisontal</v>
      </c>
      <c r="C118" s="382">
        <f>C110</f>
        <v>3</v>
      </c>
      <c r="D118" s="382">
        <f>D105</f>
        <v>0.2</v>
      </c>
      <c r="E118" s="382">
        <f>E104</f>
        <v>0.35</v>
      </c>
      <c r="F118" s="382"/>
      <c r="G118" s="382"/>
      <c r="H118" s="382"/>
      <c r="I118" s="382"/>
      <c r="J118" s="382"/>
      <c r="K118" s="382"/>
      <c r="L118" s="382">
        <f>L114</f>
        <v>2</v>
      </c>
      <c r="M118" s="382">
        <f>C118*D118*E118*L118</f>
        <v>0.42000000000000004</v>
      </c>
      <c r="N118" s="748"/>
    </row>
    <row r="119" spans="1:23" s="487" customFormat="1" ht="15.75" customHeight="1">
      <c r="A119" s="355"/>
      <c r="B119" s="567" t="str">
        <f>B115</f>
        <v>Vertikal</v>
      </c>
      <c r="C119" s="382">
        <f>C111</f>
        <v>4</v>
      </c>
      <c r="D119" s="382">
        <f>D118</f>
        <v>0.2</v>
      </c>
      <c r="E119" s="382">
        <f>E118</f>
        <v>0.35</v>
      </c>
      <c r="F119" s="382"/>
      <c r="G119" s="382"/>
      <c r="H119" s="382"/>
      <c r="I119" s="382"/>
      <c r="J119" s="382"/>
      <c r="K119" s="382"/>
      <c r="L119" s="382">
        <f>L115</f>
        <v>2</v>
      </c>
      <c r="M119" s="624">
        <f>C119*D119*E119*L119</f>
        <v>0.55999999999999994</v>
      </c>
      <c r="N119" s="748"/>
    </row>
    <row r="120" spans="1:23" s="487" customFormat="1" ht="15.75" customHeight="1">
      <c r="A120" s="355"/>
      <c r="B120" s="359"/>
      <c r="C120" s="330"/>
      <c r="D120" s="330"/>
      <c r="E120" s="330"/>
      <c r="F120" s="330"/>
      <c r="G120" s="330"/>
      <c r="H120" s="330"/>
      <c r="I120" s="330"/>
      <c r="J120" s="330"/>
      <c r="K120" s="330"/>
      <c r="L120" s="330"/>
      <c r="M120" s="474">
        <f>SUM(M118:M119)</f>
        <v>0.98</v>
      </c>
      <c r="N120" s="562" t="s">
        <v>103</v>
      </c>
    </row>
    <row r="121" spans="1:23" s="580" customFormat="1" ht="15.75" hidden="1" customHeight="1">
      <c r="A121" s="584">
        <f>A102+1</f>
        <v>10</v>
      </c>
      <c r="B121" s="583" t="s">
        <v>532</v>
      </c>
      <c r="C121" s="573"/>
      <c r="D121" s="573"/>
      <c r="E121" s="573"/>
      <c r="F121" s="573"/>
      <c r="G121" s="573"/>
      <c r="H121" s="573"/>
      <c r="I121" s="573"/>
      <c r="J121" s="573"/>
      <c r="K121" s="573"/>
      <c r="L121" s="573"/>
      <c r="M121" s="574"/>
      <c r="N121" s="761"/>
      <c r="O121" s="757"/>
      <c r="P121" s="577"/>
      <c r="Q121" s="578"/>
      <c r="R121" s="577"/>
      <c r="S121" s="577"/>
      <c r="T121" s="577"/>
      <c r="U121" s="579"/>
      <c r="V121" s="579"/>
      <c r="W121" s="579"/>
    </row>
    <row r="122" spans="1:23" s="580" customFormat="1" ht="15.75" hidden="1" customHeight="1">
      <c r="A122" s="571" t="s">
        <v>95</v>
      </c>
      <c r="B122" s="583" t="s">
        <v>423</v>
      </c>
      <c r="C122" s="573">
        <f>1/8*4</f>
        <v>0.5</v>
      </c>
      <c r="D122" s="573"/>
      <c r="E122" s="573">
        <v>0.15</v>
      </c>
      <c r="F122" s="573"/>
      <c r="G122" s="573">
        <v>3</v>
      </c>
      <c r="H122" s="573"/>
      <c r="I122" s="573"/>
      <c r="J122" s="573"/>
      <c r="K122" s="573"/>
      <c r="L122" s="573">
        <f>K93</f>
        <v>0</v>
      </c>
      <c r="M122" s="574">
        <f>C122*E122*G122*L122</f>
        <v>0</v>
      </c>
      <c r="N122" s="761" t="s">
        <v>89</v>
      </c>
      <c r="O122" s="757"/>
      <c r="P122" s="577"/>
      <c r="Q122" s="578"/>
      <c r="R122" s="577"/>
      <c r="S122" s="577"/>
      <c r="T122" s="577"/>
      <c r="U122" s="579"/>
      <c r="V122" s="579"/>
      <c r="W122" s="579"/>
    </row>
    <row r="123" spans="1:23" s="580" customFormat="1" ht="15.75" hidden="1" customHeight="1">
      <c r="A123" s="571" t="s">
        <v>98</v>
      </c>
      <c r="B123" s="583" t="s">
        <v>741</v>
      </c>
      <c r="C123" s="573">
        <f>C122+(0.05*2)</f>
        <v>0.6</v>
      </c>
      <c r="D123" s="573"/>
      <c r="E123" s="573"/>
      <c r="F123" s="573">
        <v>5</v>
      </c>
      <c r="G123" s="573"/>
      <c r="H123" s="573">
        <f>0.02*2</f>
        <v>0.04</v>
      </c>
      <c r="I123" s="573">
        <f>0.05*2</f>
        <v>0.1</v>
      </c>
      <c r="J123" s="573"/>
      <c r="K123" s="573">
        <f>10*10*0.006165</f>
        <v>0.61650000000000005</v>
      </c>
      <c r="L123" s="573">
        <f>L122</f>
        <v>0</v>
      </c>
      <c r="M123" s="573">
        <f>(C123+H123+I123)*F123*K123*L123</f>
        <v>0</v>
      </c>
      <c r="N123" s="761" t="s">
        <v>100</v>
      </c>
      <c r="O123" s="757"/>
      <c r="P123" s="577"/>
      <c r="Q123" s="578"/>
      <c r="R123" s="577"/>
      <c r="S123" s="577"/>
      <c r="T123" s="577"/>
      <c r="U123" s="579"/>
      <c r="V123" s="579"/>
      <c r="W123" s="579"/>
    </row>
    <row r="124" spans="1:23" s="580" customFormat="1" ht="15.75" hidden="1" customHeight="1">
      <c r="A124" s="571" t="s">
        <v>101</v>
      </c>
      <c r="B124" s="583" t="s">
        <v>525</v>
      </c>
      <c r="C124" s="573">
        <f>C95</f>
        <v>0.68</v>
      </c>
      <c r="D124" s="573"/>
      <c r="E124" s="573"/>
      <c r="F124" s="573">
        <f>ROUNDDOWN((C123/0.125),0.1)</f>
        <v>4</v>
      </c>
      <c r="G124" s="573"/>
      <c r="H124" s="573">
        <f>0.05*2</f>
        <v>0.1</v>
      </c>
      <c r="I124" s="573"/>
      <c r="J124" s="573"/>
      <c r="K124" s="573">
        <f>6*6*0.006165</f>
        <v>0.22194000000000003</v>
      </c>
      <c r="L124" s="573">
        <f>L123</f>
        <v>0</v>
      </c>
      <c r="M124" s="573">
        <f>(C124+H124)*F124*K124*L124</f>
        <v>0</v>
      </c>
      <c r="N124" s="761" t="s">
        <v>100</v>
      </c>
      <c r="O124" s="757"/>
      <c r="P124" s="577"/>
      <c r="Q124" s="578"/>
      <c r="R124" s="577"/>
      <c r="S124" s="577"/>
      <c r="T124" s="577"/>
      <c r="U124" s="579"/>
      <c r="V124" s="579"/>
      <c r="W124" s="579"/>
    </row>
    <row r="125" spans="1:23" s="580" customFormat="1" ht="15.75" hidden="1" customHeight="1">
      <c r="A125" s="571" t="s">
        <v>121</v>
      </c>
      <c r="B125" s="585" t="s">
        <v>169</v>
      </c>
      <c r="C125" s="573">
        <f>C122</f>
        <v>0.5</v>
      </c>
      <c r="D125" s="573">
        <v>0.15</v>
      </c>
      <c r="E125" s="573">
        <v>0.15</v>
      </c>
      <c r="F125" s="573"/>
      <c r="G125" s="573"/>
      <c r="H125" s="573"/>
      <c r="I125" s="573"/>
      <c r="J125" s="573"/>
      <c r="K125" s="573"/>
      <c r="L125" s="573">
        <f>L124</f>
        <v>0</v>
      </c>
      <c r="M125" s="574">
        <f>C125*D125*E125*L125</f>
        <v>0</v>
      </c>
      <c r="N125" s="761" t="s">
        <v>103</v>
      </c>
      <c r="O125" s="757"/>
      <c r="P125" s="577"/>
      <c r="Q125" s="578"/>
      <c r="R125" s="577"/>
      <c r="S125" s="577"/>
      <c r="T125" s="577"/>
      <c r="U125" s="579"/>
      <c r="V125" s="579"/>
      <c r="W125" s="579"/>
    </row>
    <row r="126" spans="1:23" s="487" customFormat="1" ht="15.75" customHeight="1">
      <c r="A126" s="350">
        <f>A102+1</f>
        <v>10</v>
      </c>
      <c r="B126" s="351" t="s">
        <v>553</v>
      </c>
      <c r="C126" s="330"/>
      <c r="D126" s="330"/>
      <c r="E126" s="330"/>
      <c r="F126" s="330"/>
      <c r="G126" s="330"/>
      <c r="H126" s="330"/>
      <c r="I126" s="330"/>
      <c r="J126" s="330"/>
      <c r="K126" s="330"/>
      <c r="L126" s="330"/>
      <c r="M126" s="474"/>
      <c r="N126" s="562"/>
    </row>
    <row r="127" spans="1:23" s="487" customFormat="1" ht="15.75" customHeight="1">
      <c r="A127" s="355" t="s">
        <v>95</v>
      </c>
      <c r="B127" s="351" t="s">
        <v>1134</v>
      </c>
      <c r="C127" s="330"/>
      <c r="D127" s="330"/>
      <c r="E127" s="330"/>
      <c r="F127" s="330"/>
      <c r="G127" s="330"/>
      <c r="H127" s="330"/>
      <c r="I127" s="330"/>
      <c r="J127" s="330"/>
      <c r="K127" s="330"/>
      <c r="L127" s="330"/>
      <c r="M127" s="474"/>
      <c r="N127" s="562"/>
    </row>
    <row r="128" spans="1:23" s="487" customFormat="1" ht="15.75" customHeight="1">
      <c r="A128" s="355"/>
      <c r="B128" s="351"/>
      <c r="C128" s="330">
        <f>C65</f>
        <v>1.5</v>
      </c>
      <c r="D128" s="330"/>
      <c r="E128" s="330">
        <f>E104</f>
        <v>0.35</v>
      </c>
      <c r="F128" s="330"/>
      <c r="G128" s="330"/>
      <c r="H128" s="330"/>
      <c r="I128" s="330"/>
      <c r="J128" s="330">
        <f>J106</f>
        <v>2</v>
      </c>
      <c r="K128" s="330"/>
      <c r="L128" s="330">
        <v>2</v>
      </c>
      <c r="M128" s="382">
        <f>C128*E128*J128*L128</f>
        <v>2.0999999999999996</v>
      </c>
      <c r="N128" s="748"/>
    </row>
    <row r="129" spans="1:14" s="487" customFormat="1" ht="15.75" customHeight="1">
      <c r="A129" s="355"/>
      <c r="B129" s="351"/>
      <c r="C129" s="330">
        <f>C128</f>
        <v>1.5</v>
      </c>
      <c r="D129" s="330">
        <f>D105</f>
        <v>0.2</v>
      </c>
      <c r="E129" s="330"/>
      <c r="F129" s="330"/>
      <c r="G129" s="330"/>
      <c r="H129" s="330"/>
      <c r="I129" s="330"/>
      <c r="J129" s="330">
        <f>J107</f>
        <v>1</v>
      </c>
      <c r="K129" s="330"/>
      <c r="L129" s="330">
        <f>L128</f>
        <v>2</v>
      </c>
      <c r="M129" s="624">
        <f>C129*D129*J129*L129</f>
        <v>0.60000000000000009</v>
      </c>
      <c r="N129" s="748"/>
    </row>
    <row r="130" spans="1:14" s="487" customFormat="1" ht="15.75" customHeight="1">
      <c r="A130" s="355"/>
      <c r="B130" s="351"/>
      <c r="C130" s="330"/>
      <c r="D130" s="330"/>
      <c r="E130" s="330"/>
      <c r="F130" s="330"/>
      <c r="G130" s="330"/>
      <c r="H130" s="330"/>
      <c r="I130" s="330"/>
      <c r="J130" s="330"/>
      <c r="K130" s="330"/>
      <c r="L130" s="330"/>
      <c r="M130" s="474">
        <f>SUM(M126:M129)/2</f>
        <v>1.3499999999999999</v>
      </c>
      <c r="N130" s="562" t="s">
        <v>89</v>
      </c>
    </row>
    <row r="131" spans="1:14" s="487" customFormat="1" ht="15.75" customHeight="1">
      <c r="A131" s="355" t="s">
        <v>98</v>
      </c>
      <c r="B131" s="351" t="s">
        <v>410</v>
      </c>
      <c r="C131" s="330">
        <f>C128</f>
        <v>1.5</v>
      </c>
      <c r="D131" s="330"/>
      <c r="E131" s="330"/>
      <c r="F131" s="330"/>
      <c r="G131" s="330"/>
      <c r="H131" s="330"/>
      <c r="I131" s="382">
        <f>I110</f>
        <v>0.61650000000000005</v>
      </c>
      <c r="J131" s="330"/>
      <c r="K131" s="330">
        <v>5</v>
      </c>
      <c r="L131" s="330">
        <f>L129</f>
        <v>2</v>
      </c>
      <c r="M131" s="401">
        <f>C131*I131*K131*L131</f>
        <v>9.2475000000000005</v>
      </c>
      <c r="N131" s="748" t="s">
        <v>100</v>
      </c>
    </row>
    <row r="132" spans="1:14" s="487" customFormat="1" ht="15.75" customHeight="1">
      <c r="A132" s="355" t="s">
        <v>101</v>
      </c>
      <c r="B132" s="351" t="s">
        <v>411</v>
      </c>
      <c r="C132" s="382">
        <f>C114</f>
        <v>0.78</v>
      </c>
      <c r="D132" s="330"/>
      <c r="E132" s="330"/>
      <c r="F132" s="330">
        <f>F115</f>
        <v>0.1</v>
      </c>
      <c r="G132" s="330"/>
      <c r="H132" s="330"/>
      <c r="I132" s="382">
        <f>I114</f>
        <v>0.39456000000000002</v>
      </c>
      <c r="J132" s="330"/>
      <c r="K132" s="382">
        <f>ROUNDUP((C128/0.125),0.5)</f>
        <v>12</v>
      </c>
      <c r="L132" s="330">
        <f>L131</f>
        <v>2</v>
      </c>
      <c r="M132" s="382">
        <f>(C132+F132)*I132*K132*L132</f>
        <v>8.3331072000000006</v>
      </c>
      <c r="N132" s="748" t="s">
        <v>100</v>
      </c>
    </row>
    <row r="133" spans="1:14" s="487" customFormat="1" ht="15.75" customHeight="1">
      <c r="A133" s="355" t="s">
        <v>121</v>
      </c>
      <c r="B133" s="356" t="s">
        <v>429</v>
      </c>
      <c r="C133" s="330">
        <f>C131</f>
        <v>1.5</v>
      </c>
      <c r="D133" s="330">
        <f>D129</f>
        <v>0.2</v>
      </c>
      <c r="E133" s="330">
        <f>E128</f>
        <v>0.35</v>
      </c>
      <c r="F133" s="330"/>
      <c r="G133" s="330"/>
      <c r="H133" s="330"/>
      <c r="I133" s="330"/>
      <c r="J133" s="330"/>
      <c r="K133" s="330"/>
      <c r="L133" s="330">
        <f>L132</f>
        <v>2</v>
      </c>
      <c r="M133" s="330">
        <f>C133*D133*E133*L133</f>
        <v>0.21000000000000002</v>
      </c>
      <c r="N133" s="748" t="s">
        <v>103</v>
      </c>
    </row>
    <row r="134" spans="1:14" s="487" customFormat="1" ht="15.75" customHeight="1">
      <c r="A134" s="350">
        <f>A126+1</f>
        <v>11</v>
      </c>
      <c r="B134" s="351" t="s">
        <v>534</v>
      </c>
      <c r="C134" s="330"/>
      <c r="D134" s="330"/>
      <c r="E134" s="330"/>
      <c r="F134" s="330"/>
      <c r="G134" s="330"/>
      <c r="H134" s="330"/>
      <c r="I134" s="330"/>
      <c r="J134" s="330"/>
      <c r="K134" s="330"/>
      <c r="L134" s="330"/>
      <c r="M134" s="330"/>
      <c r="N134" s="748"/>
    </row>
    <row r="135" spans="1:14" s="487" customFormat="1" ht="15.75" customHeight="1">
      <c r="A135" s="355" t="s">
        <v>95</v>
      </c>
      <c r="B135" s="351" t="s">
        <v>1134</v>
      </c>
      <c r="C135" s="330">
        <v>3</v>
      </c>
      <c r="D135" s="330">
        <v>0.15</v>
      </c>
      <c r="E135" s="330"/>
      <c r="F135" s="330"/>
      <c r="G135" s="330"/>
      <c r="H135" s="330"/>
      <c r="I135" s="330"/>
      <c r="J135" s="330">
        <v>3</v>
      </c>
      <c r="K135" s="330"/>
      <c r="L135" s="330">
        <v>1</v>
      </c>
      <c r="M135" s="382">
        <f>C135*D135*J135*L135*0.5</f>
        <v>0.67499999999999993</v>
      </c>
      <c r="N135" s="748" t="s">
        <v>89</v>
      </c>
    </row>
    <row r="136" spans="1:14" s="487" customFormat="1" ht="15.75" customHeight="1">
      <c r="A136" s="355" t="s">
        <v>98</v>
      </c>
      <c r="B136" s="351" t="s">
        <v>432</v>
      </c>
      <c r="C136" s="382">
        <f>C135</f>
        <v>3</v>
      </c>
      <c r="D136" s="330"/>
      <c r="E136" s="330"/>
      <c r="F136" s="330"/>
      <c r="G136" s="330"/>
      <c r="H136" s="330"/>
      <c r="I136" s="382">
        <f>I131</f>
        <v>0.61650000000000005</v>
      </c>
      <c r="J136" s="330"/>
      <c r="K136" s="330">
        <v>4</v>
      </c>
      <c r="L136" s="330">
        <f>L135</f>
        <v>1</v>
      </c>
      <c r="M136" s="401">
        <f>C136*I136*K136*L136</f>
        <v>7.3980000000000006</v>
      </c>
      <c r="N136" s="748" t="s">
        <v>100</v>
      </c>
    </row>
    <row r="137" spans="1:14" s="487" customFormat="1" ht="15.75" customHeight="1">
      <c r="A137" s="355" t="s">
        <v>101</v>
      </c>
      <c r="B137" s="351" t="s">
        <v>411</v>
      </c>
      <c r="C137" s="382">
        <f>0.1*4</f>
        <v>0.4</v>
      </c>
      <c r="D137" s="330"/>
      <c r="E137" s="330"/>
      <c r="F137" s="330">
        <v>0.1</v>
      </c>
      <c r="G137" s="330"/>
      <c r="H137" s="330"/>
      <c r="I137" s="382">
        <f>I132</f>
        <v>0.39456000000000002</v>
      </c>
      <c r="J137" s="330"/>
      <c r="K137" s="382">
        <f>ROUNDUP((C136/0.125),0.5)</f>
        <v>24</v>
      </c>
      <c r="L137" s="382">
        <f>L136</f>
        <v>1</v>
      </c>
      <c r="M137" s="382">
        <f>(C137+F137)*I137*K137*L137</f>
        <v>4.7347200000000003</v>
      </c>
      <c r="N137" s="748" t="s">
        <v>100</v>
      </c>
    </row>
    <row r="138" spans="1:14" s="487" customFormat="1" ht="15.75" customHeight="1">
      <c r="A138" s="355" t="s">
        <v>121</v>
      </c>
      <c r="B138" s="356" t="s">
        <v>429</v>
      </c>
      <c r="C138" s="382">
        <f>C135</f>
        <v>3</v>
      </c>
      <c r="D138" s="330">
        <f>D135</f>
        <v>0.15</v>
      </c>
      <c r="E138" s="330">
        <f>D138</f>
        <v>0.15</v>
      </c>
      <c r="F138" s="330"/>
      <c r="G138" s="330"/>
      <c r="H138" s="330"/>
      <c r="I138" s="330"/>
      <c r="J138" s="330"/>
      <c r="K138" s="330"/>
      <c r="L138" s="382">
        <f>L137</f>
        <v>1</v>
      </c>
      <c r="M138" s="330">
        <f>C138*D138*E138*L138</f>
        <v>6.7499999999999991E-2</v>
      </c>
      <c r="N138" s="748" t="s">
        <v>103</v>
      </c>
    </row>
    <row r="139" spans="1:14" s="757" customFormat="1" ht="15.75" hidden="1" customHeight="1">
      <c r="A139" s="584">
        <f>A134+1</f>
        <v>12</v>
      </c>
      <c r="B139" s="572" t="s">
        <v>933</v>
      </c>
      <c r="C139" s="627"/>
      <c r="D139" s="754"/>
      <c r="E139" s="754"/>
      <c r="F139" s="754"/>
      <c r="G139" s="754"/>
      <c r="H139" s="754"/>
      <c r="I139" s="754"/>
      <c r="J139" s="754"/>
      <c r="K139" s="754"/>
      <c r="L139" s="627"/>
      <c r="M139" s="762"/>
      <c r="N139" s="758"/>
    </row>
    <row r="140" spans="1:14" s="757" customFormat="1" ht="15.75" hidden="1" customHeight="1">
      <c r="A140" s="571" t="s">
        <v>95</v>
      </c>
      <c r="B140" s="572" t="s">
        <v>1134</v>
      </c>
      <c r="C140" s="627"/>
      <c r="D140" s="754"/>
      <c r="E140" s="754"/>
      <c r="F140" s="754"/>
      <c r="G140" s="754"/>
      <c r="H140" s="754"/>
      <c r="I140" s="754"/>
      <c r="J140" s="754"/>
      <c r="K140" s="754"/>
      <c r="L140" s="627"/>
      <c r="M140" s="762"/>
      <c r="N140" s="758"/>
    </row>
    <row r="141" spans="1:14" s="757" customFormat="1" ht="15.75" hidden="1" customHeight="1">
      <c r="A141" s="571"/>
      <c r="B141" s="572"/>
      <c r="C141" s="627">
        <v>6</v>
      </c>
      <c r="D141" s="754"/>
      <c r="E141" s="754">
        <v>0.2</v>
      </c>
      <c r="F141" s="754"/>
      <c r="G141" s="754"/>
      <c r="H141" s="754"/>
      <c r="I141" s="754"/>
      <c r="J141" s="754">
        <v>2</v>
      </c>
      <c r="K141" s="754"/>
      <c r="L141" s="627">
        <v>1</v>
      </c>
      <c r="M141" s="627">
        <f>C141*E141*J141*L141*0.5</f>
        <v>1.2000000000000002</v>
      </c>
      <c r="N141" s="758"/>
    </row>
    <row r="142" spans="1:14" s="757" customFormat="1" ht="15.75" hidden="1" customHeight="1">
      <c r="A142" s="571"/>
      <c r="B142" s="572"/>
      <c r="C142" s="627">
        <f>C141</f>
        <v>6</v>
      </c>
      <c r="D142" s="754">
        <v>0.15</v>
      </c>
      <c r="E142" s="754"/>
      <c r="F142" s="754"/>
      <c r="G142" s="754"/>
      <c r="H142" s="754"/>
      <c r="I142" s="754"/>
      <c r="J142" s="754">
        <v>1</v>
      </c>
      <c r="K142" s="754"/>
      <c r="L142" s="627">
        <f>L141</f>
        <v>1</v>
      </c>
      <c r="M142" s="668">
        <f>C142*D142*J142*L142</f>
        <v>0.89999999999999991</v>
      </c>
      <c r="N142" s="758"/>
    </row>
    <row r="143" spans="1:14" s="757" customFormat="1" ht="15.75" hidden="1" customHeight="1">
      <c r="A143" s="571"/>
      <c r="B143" s="572"/>
      <c r="C143" s="627"/>
      <c r="D143" s="754"/>
      <c r="E143" s="754"/>
      <c r="F143" s="754"/>
      <c r="G143" s="754"/>
      <c r="H143" s="754"/>
      <c r="I143" s="754"/>
      <c r="J143" s="754"/>
      <c r="K143" s="754"/>
      <c r="L143" s="627"/>
      <c r="M143" s="755">
        <f>SUM(M139:M142)</f>
        <v>2.1</v>
      </c>
      <c r="N143" s="756" t="s">
        <v>89</v>
      </c>
    </row>
    <row r="144" spans="1:14" s="757" customFormat="1" ht="15.75" hidden="1" customHeight="1">
      <c r="A144" s="571" t="s">
        <v>98</v>
      </c>
      <c r="B144" s="572" t="s">
        <v>432</v>
      </c>
      <c r="C144" s="627">
        <f>C141</f>
        <v>6</v>
      </c>
      <c r="D144" s="754"/>
      <c r="E144" s="754"/>
      <c r="F144" s="754"/>
      <c r="G144" s="754"/>
      <c r="H144" s="754"/>
      <c r="I144" s="627">
        <f>I136</f>
        <v>0.61650000000000005</v>
      </c>
      <c r="J144" s="754"/>
      <c r="K144" s="754">
        <v>4</v>
      </c>
      <c r="L144" s="627">
        <f>L142</f>
        <v>1</v>
      </c>
      <c r="M144" s="762">
        <f>C144*I144*K144*L144</f>
        <v>14.796000000000001</v>
      </c>
      <c r="N144" s="758" t="s">
        <v>100</v>
      </c>
    </row>
    <row r="145" spans="1:24" s="757" customFormat="1" ht="15.75" hidden="1" customHeight="1">
      <c r="A145" s="571" t="s">
        <v>101</v>
      </c>
      <c r="B145" s="572" t="s">
        <v>498</v>
      </c>
      <c r="C145" s="627">
        <f>(0.07+0.12)*2</f>
        <v>0.38</v>
      </c>
      <c r="D145" s="754"/>
      <c r="E145" s="754"/>
      <c r="F145" s="754">
        <v>0.1</v>
      </c>
      <c r="G145" s="754"/>
      <c r="H145" s="754"/>
      <c r="I145" s="627">
        <f>I137</f>
        <v>0.39456000000000002</v>
      </c>
      <c r="J145" s="754"/>
      <c r="K145" s="627">
        <f>ROUNDUP((C144/0.15),0.5)</f>
        <v>40</v>
      </c>
      <c r="L145" s="627">
        <f>L144</f>
        <v>1</v>
      </c>
      <c r="M145" s="627">
        <f>(C145+F145)*I145*K145*L145</f>
        <v>7.5755520000000001</v>
      </c>
      <c r="N145" s="758" t="s">
        <v>100</v>
      </c>
    </row>
    <row r="146" spans="1:24" s="757" customFormat="1" ht="15.75" hidden="1" customHeight="1">
      <c r="A146" s="571" t="s">
        <v>121</v>
      </c>
      <c r="B146" s="585" t="s">
        <v>429</v>
      </c>
      <c r="C146" s="627">
        <f>C144</f>
        <v>6</v>
      </c>
      <c r="D146" s="754">
        <v>0.15</v>
      </c>
      <c r="E146" s="754">
        <v>0.2</v>
      </c>
      <c r="F146" s="754"/>
      <c r="G146" s="754"/>
      <c r="H146" s="754"/>
      <c r="I146" s="754"/>
      <c r="J146" s="754"/>
      <c r="K146" s="754"/>
      <c r="L146" s="627">
        <f>L145</f>
        <v>1</v>
      </c>
      <c r="M146" s="754">
        <f>C146*D146*E146*L146</f>
        <v>0.18</v>
      </c>
      <c r="N146" s="758" t="s">
        <v>103</v>
      </c>
    </row>
    <row r="147" spans="1:24" s="769" customFormat="1" ht="15.75" customHeight="1">
      <c r="A147" s="421">
        <f>A134+1</f>
        <v>12</v>
      </c>
      <c r="B147" s="763" t="s">
        <v>424</v>
      </c>
      <c r="C147" s="764"/>
      <c r="D147" s="764"/>
      <c r="E147" s="764"/>
      <c r="F147" s="764"/>
      <c r="G147" s="764"/>
      <c r="H147" s="764"/>
      <c r="I147" s="764"/>
      <c r="J147" s="764"/>
      <c r="K147" s="764"/>
      <c r="L147" s="764"/>
      <c r="M147" s="764"/>
      <c r="N147" s="764"/>
      <c r="O147" s="765"/>
      <c r="P147" s="766"/>
      <c r="Q147" s="767"/>
      <c r="R147" s="766"/>
      <c r="S147" s="766"/>
      <c r="T147" s="766"/>
      <c r="U147" s="768"/>
      <c r="V147" s="768"/>
      <c r="W147" s="768"/>
    </row>
    <row r="148" spans="1:24" s="769" customFormat="1" ht="15.75" customHeight="1">
      <c r="A148" s="421"/>
      <c r="B148" s="356" t="s">
        <v>426</v>
      </c>
      <c r="C148" s="764"/>
      <c r="D148" s="764"/>
      <c r="E148" s="764"/>
      <c r="F148" s="764"/>
      <c r="G148" s="764"/>
      <c r="H148" s="764"/>
      <c r="I148" s="764"/>
      <c r="J148" s="764"/>
      <c r="K148" s="764"/>
      <c r="L148" s="764"/>
      <c r="M148" s="764"/>
      <c r="N148" s="770"/>
      <c r="O148" s="765"/>
      <c r="Q148" s="766"/>
      <c r="R148" s="767"/>
      <c r="S148" s="766"/>
      <c r="T148" s="766"/>
      <c r="U148" s="766"/>
      <c r="V148" s="768"/>
      <c r="W148" s="768"/>
      <c r="X148" s="768"/>
    </row>
    <row r="149" spans="1:24" s="769" customFormat="1" ht="15.75" customHeight="1">
      <c r="A149" s="771" t="s">
        <v>95</v>
      </c>
      <c r="B149" s="763" t="s">
        <v>423</v>
      </c>
      <c r="C149" s="764"/>
      <c r="D149" s="764"/>
      <c r="E149" s="764"/>
      <c r="F149" s="764"/>
      <c r="G149" s="764"/>
      <c r="H149" s="764"/>
      <c r="I149" s="764"/>
      <c r="J149" s="764"/>
      <c r="K149" s="764"/>
      <c r="L149" s="764"/>
      <c r="M149" s="764"/>
      <c r="N149" s="770"/>
      <c r="O149" s="765"/>
      <c r="Q149" s="766"/>
      <c r="R149" s="767"/>
      <c r="S149" s="766"/>
      <c r="T149" s="766"/>
      <c r="U149" s="766"/>
      <c r="V149" s="768"/>
      <c r="W149" s="768"/>
      <c r="X149" s="768"/>
    </row>
    <row r="150" spans="1:24" s="769" customFormat="1" ht="15.75" customHeight="1">
      <c r="A150" s="771"/>
      <c r="B150" s="772" t="s">
        <v>1010</v>
      </c>
      <c r="C150" s="764">
        <f>D301*2</f>
        <v>7.8979999999999997</v>
      </c>
      <c r="D150" s="764"/>
      <c r="E150" s="764">
        <v>0.2</v>
      </c>
      <c r="F150" s="764"/>
      <c r="G150" s="764"/>
      <c r="H150" s="764">
        <v>2</v>
      </c>
      <c r="I150" s="764"/>
      <c r="J150" s="764"/>
      <c r="K150" s="764"/>
      <c r="L150" s="764">
        <v>2</v>
      </c>
      <c r="M150" s="764">
        <f>C150*E150*H150*L150</f>
        <v>6.3184000000000005</v>
      </c>
      <c r="N150" s="770"/>
      <c r="O150" s="765"/>
      <c r="Q150" s="766"/>
      <c r="R150" s="767"/>
      <c r="S150" s="766"/>
      <c r="T150" s="766"/>
      <c r="U150" s="766"/>
      <c r="V150" s="768"/>
      <c r="W150" s="768"/>
      <c r="X150" s="768"/>
    </row>
    <row r="151" spans="1:24" s="769" customFormat="1" ht="15.75" customHeight="1">
      <c r="A151" s="771"/>
      <c r="B151" s="763"/>
      <c r="C151" s="764">
        <f>C150</f>
        <v>7.8979999999999997</v>
      </c>
      <c r="D151" s="764">
        <v>0.15</v>
      </c>
      <c r="E151" s="764"/>
      <c r="F151" s="764"/>
      <c r="G151" s="764"/>
      <c r="H151" s="764">
        <v>1</v>
      </c>
      <c r="I151" s="764"/>
      <c r="J151" s="764"/>
      <c r="K151" s="764"/>
      <c r="L151" s="764">
        <f>L150</f>
        <v>2</v>
      </c>
      <c r="M151" s="764">
        <f>C151*D151*H151*L151</f>
        <v>2.3693999999999997</v>
      </c>
      <c r="N151" s="770"/>
      <c r="O151" s="765"/>
      <c r="Q151" s="766"/>
      <c r="R151" s="767"/>
      <c r="S151" s="766"/>
      <c r="T151" s="766"/>
      <c r="U151" s="766"/>
      <c r="V151" s="768"/>
      <c r="W151" s="768"/>
      <c r="X151" s="768"/>
    </row>
    <row r="152" spans="1:24" s="769" customFormat="1" ht="15.75" customHeight="1">
      <c r="A152" s="771"/>
      <c r="B152" s="772" t="s">
        <v>1011</v>
      </c>
      <c r="C152" s="764">
        <v>1.3</v>
      </c>
      <c r="D152" s="764"/>
      <c r="E152" s="764">
        <v>0.2</v>
      </c>
      <c r="F152" s="764"/>
      <c r="G152" s="764"/>
      <c r="H152" s="764">
        <v>2</v>
      </c>
      <c r="I152" s="764"/>
      <c r="J152" s="764"/>
      <c r="K152" s="764"/>
      <c r="L152" s="764">
        <f>L151</f>
        <v>2</v>
      </c>
      <c r="M152" s="764">
        <f>C152*E152*H152*L152</f>
        <v>1.04</v>
      </c>
      <c r="N152" s="770"/>
      <c r="O152" s="765"/>
      <c r="Q152" s="766"/>
      <c r="R152" s="767"/>
      <c r="S152" s="766"/>
      <c r="T152" s="766"/>
      <c r="U152" s="766"/>
      <c r="V152" s="768"/>
      <c r="W152" s="768"/>
      <c r="X152" s="768"/>
    </row>
    <row r="153" spans="1:24" s="769" customFormat="1" ht="15.75" customHeight="1">
      <c r="A153" s="771"/>
      <c r="B153" s="763"/>
      <c r="C153" s="764">
        <f>C152</f>
        <v>1.3</v>
      </c>
      <c r="D153" s="764">
        <f>D151</f>
        <v>0.15</v>
      </c>
      <c r="E153" s="764"/>
      <c r="F153" s="764"/>
      <c r="G153" s="764"/>
      <c r="H153" s="764">
        <v>1</v>
      </c>
      <c r="I153" s="764"/>
      <c r="J153" s="764"/>
      <c r="K153" s="764"/>
      <c r="L153" s="764">
        <f>L152</f>
        <v>2</v>
      </c>
      <c r="M153" s="773">
        <f>C153*D153*H153*L153</f>
        <v>0.39</v>
      </c>
      <c r="N153" s="770"/>
      <c r="O153" s="765"/>
      <c r="Q153" s="766"/>
      <c r="R153" s="767"/>
      <c r="S153" s="766"/>
      <c r="T153" s="766"/>
      <c r="U153" s="766"/>
      <c r="V153" s="768"/>
      <c r="W153" s="768"/>
      <c r="X153" s="768"/>
    </row>
    <row r="154" spans="1:24" s="769" customFormat="1" ht="15.75" customHeight="1">
      <c r="A154" s="771"/>
      <c r="B154" s="763"/>
      <c r="C154" s="764"/>
      <c r="D154" s="764"/>
      <c r="E154" s="764"/>
      <c r="F154" s="764"/>
      <c r="G154" s="764"/>
      <c r="H154" s="764"/>
      <c r="I154" s="764"/>
      <c r="J154" s="764"/>
      <c r="K154" s="764"/>
      <c r="L154" s="764"/>
      <c r="M154" s="774">
        <f>SUM(M150:M153)</f>
        <v>10.117799999999999</v>
      </c>
      <c r="N154" s="770" t="s">
        <v>89</v>
      </c>
      <c r="O154" s="765">
        <f>ROUND((M154),2)</f>
        <v>10.119999999999999</v>
      </c>
      <c r="Q154" s="766"/>
      <c r="R154" s="767"/>
      <c r="S154" s="766"/>
      <c r="T154" s="766"/>
      <c r="U154" s="766"/>
      <c r="V154" s="768"/>
      <c r="W154" s="768"/>
      <c r="X154" s="768"/>
    </row>
    <row r="155" spans="1:24" s="769" customFormat="1" ht="15.75" customHeight="1">
      <c r="A155" s="771" t="s">
        <v>98</v>
      </c>
      <c r="B155" s="763" t="s">
        <v>427</v>
      </c>
      <c r="C155" s="764"/>
      <c r="D155" s="764"/>
      <c r="E155" s="764"/>
      <c r="F155" s="764"/>
      <c r="G155" s="764"/>
      <c r="H155" s="764"/>
      <c r="I155" s="764"/>
      <c r="J155" s="764"/>
      <c r="K155" s="764"/>
      <c r="L155" s="764"/>
      <c r="M155" s="764"/>
      <c r="N155" s="770"/>
      <c r="O155" s="765"/>
      <c r="Q155" s="766"/>
      <c r="R155" s="767"/>
      <c r="S155" s="766"/>
      <c r="T155" s="766"/>
      <c r="U155" s="766"/>
      <c r="V155" s="768"/>
      <c r="W155" s="768"/>
      <c r="X155" s="768"/>
    </row>
    <row r="156" spans="1:24" s="769" customFormat="1" ht="15.75" customHeight="1">
      <c r="A156" s="771"/>
      <c r="B156" s="772" t="s">
        <v>1010</v>
      </c>
      <c r="C156" s="764">
        <f>C150</f>
        <v>7.8979999999999997</v>
      </c>
      <c r="D156" s="764"/>
      <c r="E156" s="764"/>
      <c r="F156" s="764">
        <v>4</v>
      </c>
      <c r="G156" s="764"/>
      <c r="H156" s="764"/>
      <c r="I156" s="764">
        <v>0.1</v>
      </c>
      <c r="J156" s="764"/>
      <c r="K156" s="764">
        <f>0.006165*10*10</f>
        <v>0.61650000000000005</v>
      </c>
      <c r="L156" s="764">
        <f>L150</f>
        <v>2</v>
      </c>
      <c r="M156" s="764">
        <f>(C156+I156)*F156*K156*L156</f>
        <v>39.446136000000003</v>
      </c>
      <c r="N156" s="770"/>
      <c r="O156" s="765"/>
      <c r="Q156" s="766"/>
      <c r="R156" s="767"/>
      <c r="S156" s="766"/>
      <c r="T156" s="766"/>
      <c r="U156" s="766"/>
      <c r="V156" s="768"/>
      <c r="W156" s="768"/>
      <c r="X156" s="768"/>
    </row>
    <row r="157" spans="1:24" s="769" customFormat="1" ht="15.75" customHeight="1">
      <c r="A157" s="771"/>
      <c r="B157" s="772" t="s">
        <v>1011</v>
      </c>
      <c r="C157" s="764">
        <f>C153</f>
        <v>1.3</v>
      </c>
      <c r="D157" s="764"/>
      <c r="E157" s="764"/>
      <c r="F157" s="764">
        <f>F156</f>
        <v>4</v>
      </c>
      <c r="G157" s="764"/>
      <c r="H157" s="764"/>
      <c r="I157" s="764">
        <f>I156*2</f>
        <v>0.2</v>
      </c>
      <c r="J157" s="764"/>
      <c r="K157" s="764">
        <f>K156</f>
        <v>0.61650000000000005</v>
      </c>
      <c r="L157" s="764">
        <f>L156</f>
        <v>2</v>
      </c>
      <c r="M157" s="773">
        <f>(C157+I157)*F157*K157*L157</f>
        <v>7.3980000000000006</v>
      </c>
      <c r="N157" s="770"/>
      <c r="O157" s="765"/>
      <c r="Q157" s="766"/>
      <c r="R157" s="767"/>
      <c r="S157" s="766"/>
      <c r="T157" s="766"/>
      <c r="U157" s="766"/>
      <c r="V157" s="768"/>
      <c r="W157" s="768"/>
      <c r="X157" s="768"/>
    </row>
    <row r="158" spans="1:24" s="769" customFormat="1" ht="15.75" customHeight="1">
      <c r="A158" s="771"/>
      <c r="B158" s="763"/>
      <c r="C158" s="764"/>
      <c r="D158" s="764"/>
      <c r="E158" s="764"/>
      <c r="F158" s="764"/>
      <c r="G158" s="764"/>
      <c r="H158" s="764"/>
      <c r="I158" s="764"/>
      <c r="J158" s="764"/>
      <c r="K158" s="764"/>
      <c r="L158" s="764"/>
      <c r="M158" s="774">
        <f>SUM(M156:M157)</f>
        <v>46.844136000000006</v>
      </c>
      <c r="N158" s="770" t="s">
        <v>100</v>
      </c>
      <c r="O158" s="765">
        <f>ROUND((M158),2)</f>
        <v>46.84</v>
      </c>
      <c r="Q158" s="766"/>
      <c r="R158" s="767"/>
      <c r="S158" s="766"/>
      <c r="T158" s="766"/>
      <c r="U158" s="766"/>
      <c r="V158" s="768"/>
      <c r="W158" s="768"/>
      <c r="X158" s="768"/>
    </row>
    <row r="159" spans="1:24" s="769" customFormat="1" ht="15.75" customHeight="1">
      <c r="A159" s="771" t="s">
        <v>101</v>
      </c>
      <c r="B159" s="763" t="s">
        <v>428</v>
      </c>
      <c r="C159" s="764"/>
      <c r="D159" s="764"/>
      <c r="E159" s="764"/>
      <c r="F159" s="764"/>
      <c r="G159" s="764"/>
      <c r="H159" s="764"/>
      <c r="I159" s="764"/>
      <c r="J159" s="764"/>
      <c r="K159" s="764"/>
      <c r="L159" s="764"/>
      <c r="M159" s="764"/>
      <c r="N159" s="770"/>
      <c r="O159" s="765"/>
      <c r="Q159" s="766"/>
      <c r="R159" s="767"/>
      <c r="S159" s="766"/>
      <c r="T159" s="766"/>
      <c r="U159" s="766"/>
      <c r="V159" s="768"/>
      <c r="W159" s="768"/>
      <c r="X159" s="768"/>
    </row>
    <row r="160" spans="1:24" s="769" customFormat="1" ht="15.75" customHeight="1">
      <c r="A160" s="771"/>
      <c r="B160" s="772" t="s">
        <v>1010</v>
      </c>
      <c r="C160" s="764">
        <f>(0.1+0.15)*2</f>
        <v>0.5</v>
      </c>
      <c r="D160" s="764"/>
      <c r="E160" s="764"/>
      <c r="F160" s="764">
        <f>ROUNDDOWN((C156/0.125),0.1)</f>
        <v>63</v>
      </c>
      <c r="G160" s="764"/>
      <c r="H160" s="764"/>
      <c r="I160" s="764">
        <v>0.1</v>
      </c>
      <c r="J160" s="764"/>
      <c r="K160" s="764">
        <f>L141</f>
        <v>1</v>
      </c>
      <c r="L160" s="764">
        <f>L156</f>
        <v>2</v>
      </c>
      <c r="M160" s="764">
        <f>(C160+I160)*F160*K160*L160</f>
        <v>75.599999999999994</v>
      </c>
      <c r="N160" s="770"/>
      <c r="O160" s="765"/>
      <c r="Q160" s="766"/>
      <c r="R160" s="767"/>
      <c r="S160" s="766"/>
      <c r="T160" s="766"/>
      <c r="U160" s="766"/>
      <c r="V160" s="768"/>
      <c r="W160" s="768"/>
      <c r="X160" s="768"/>
    </row>
    <row r="161" spans="1:24" s="769" customFormat="1" ht="15.75" customHeight="1">
      <c r="A161" s="771"/>
      <c r="B161" s="772" t="s">
        <v>1011</v>
      </c>
      <c r="C161" s="764">
        <f>C160</f>
        <v>0.5</v>
      </c>
      <c r="D161" s="764"/>
      <c r="E161" s="764"/>
      <c r="F161" s="764">
        <f>ROUNDDOWN((C157/0.125),0.1)</f>
        <v>10</v>
      </c>
      <c r="G161" s="764"/>
      <c r="H161" s="764"/>
      <c r="I161" s="764">
        <v>0.1</v>
      </c>
      <c r="J161" s="764"/>
      <c r="K161" s="764">
        <f>K160</f>
        <v>1</v>
      </c>
      <c r="L161" s="764">
        <f>L157</f>
        <v>2</v>
      </c>
      <c r="M161" s="773">
        <f>(C161+I161)*F161*K161*L161</f>
        <v>12</v>
      </c>
      <c r="N161" s="770"/>
      <c r="O161" s="765"/>
      <c r="Q161" s="766"/>
      <c r="R161" s="767"/>
      <c r="S161" s="766"/>
      <c r="T161" s="766"/>
      <c r="U161" s="766"/>
      <c r="V161" s="768"/>
      <c r="W161" s="768"/>
      <c r="X161" s="768"/>
    </row>
    <row r="162" spans="1:24" s="769" customFormat="1" ht="15.75" customHeight="1">
      <c r="A162" s="771"/>
      <c r="B162" s="763"/>
      <c r="C162" s="764"/>
      <c r="D162" s="764"/>
      <c r="E162" s="764"/>
      <c r="F162" s="764"/>
      <c r="G162" s="764"/>
      <c r="H162" s="764"/>
      <c r="I162" s="764"/>
      <c r="J162" s="764"/>
      <c r="K162" s="764"/>
      <c r="L162" s="764"/>
      <c r="M162" s="774">
        <f>SUM(M160:M161)</f>
        <v>87.6</v>
      </c>
      <c r="N162" s="770" t="s">
        <v>100</v>
      </c>
      <c r="O162" s="765">
        <f>ROUND((M162),2)</f>
        <v>87.6</v>
      </c>
      <c r="Q162" s="766"/>
      <c r="R162" s="767"/>
      <c r="S162" s="766"/>
      <c r="T162" s="766"/>
      <c r="U162" s="766"/>
      <c r="V162" s="768"/>
      <c r="W162" s="768"/>
      <c r="X162" s="768"/>
    </row>
    <row r="163" spans="1:24" s="769" customFormat="1" ht="15.75" customHeight="1">
      <c r="A163" s="771" t="s">
        <v>121</v>
      </c>
      <c r="B163" s="356" t="s">
        <v>429</v>
      </c>
      <c r="C163" s="764"/>
      <c r="D163" s="764"/>
      <c r="E163" s="764"/>
      <c r="F163" s="764"/>
      <c r="G163" s="764"/>
      <c r="H163" s="764"/>
      <c r="I163" s="764"/>
      <c r="J163" s="764"/>
      <c r="K163" s="764"/>
      <c r="L163" s="764"/>
      <c r="M163" s="764"/>
      <c r="N163" s="770"/>
      <c r="O163" s="765"/>
      <c r="Q163" s="766"/>
      <c r="R163" s="767"/>
      <c r="S163" s="766"/>
      <c r="T163" s="766"/>
      <c r="U163" s="766"/>
      <c r="V163" s="768"/>
      <c r="W163" s="768"/>
      <c r="X163" s="768"/>
    </row>
    <row r="164" spans="1:24" s="769" customFormat="1" ht="15.75" customHeight="1">
      <c r="A164" s="771"/>
      <c r="B164" s="772" t="s">
        <v>1010</v>
      </c>
      <c r="C164" s="764">
        <f>C156</f>
        <v>7.8979999999999997</v>
      </c>
      <c r="D164" s="764">
        <f>D151</f>
        <v>0.15</v>
      </c>
      <c r="E164" s="764">
        <f>E150</f>
        <v>0.2</v>
      </c>
      <c r="F164" s="764"/>
      <c r="G164" s="764"/>
      <c r="H164" s="764"/>
      <c r="I164" s="764"/>
      <c r="J164" s="764"/>
      <c r="K164" s="764"/>
      <c r="L164" s="764">
        <f>L160</f>
        <v>2</v>
      </c>
      <c r="M164" s="764">
        <f>C164*D164*E164*L164</f>
        <v>0.47387999999999997</v>
      </c>
      <c r="N164" s="770"/>
      <c r="O164" s="765"/>
      <c r="Q164" s="766"/>
      <c r="R164" s="767"/>
      <c r="S164" s="766"/>
      <c r="T164" s="766"/>
      <c r="U164" s="766"/>
      <c r="V164" s="768"/>
      <c r="W164" s="768"/>
      <c r="X164" s="768"/>
    </row>
    <row r="165" spans="1:24" s="769" customFormat="1" ht="15.75" customHeight="1">
      <c r="A165" s="771"/>
      <c r="B165" s="772" t="s">
        <v>1011</v>
      </c>
      <c r="C165" s="764">
        <f>C157</f>
        <v>1.3</v>
      </c>
      <c r="D165" s="764">
        <f>D164</f>
        <v>0.15</v>
      </c>
      <c r="E165" s="764">
        <f>E164</f>
        <v>0.2</v>
      </c>
      <c r="F165" s="764"/>
      <c r="G165" s="764"/>
      <c r="H165" s="764"/>
      <c r="I165" s="764"/>
      <c r="J165" s="764"/>
      <c r="K165" s="764"/>
      <c r="L165" s="764">
        <f>L161</f>
        <v>2</v>
      </c>
      <c r="M165" s="773">
        <f>C165*D165*E165*L165</f>
        <v>7.8000000000000014E-2</v>
      </c>
      <c r="N165" s="770"/>
      <c r="O165" s="765"/>
      <c r="Q165" s="766"/>
      <c r="R165" s="767"/>
      <c r="S165" s="766"/>
      <c r="T165" s="766"/>
      <c r="U165" s="766"/>
      <c r="V165" s="768"/>
      <c r="W165" s="768"/>
      <c r="X165" s="768"/>
    </row>
    <row r="166" spans="1:24" s="769" customFormat="1" ht="15.75" customHeight="1">
      <c r="A166" s="771"/>
      <c r="B166" s="763"/>
      <c r="C166" s="764"/>
      <c r="D166" s="764"/>
      <c r="E166" s="764"/>
      <c r="F166" s="764"/>
      <c r="G166" s="764"/>
      <c r="H166" s="764"/>
      <c r="I166" s="764"/>
      <c r="J166" s="764"/>
      <c r="K166" s="764"/>
      <c r="L166" s="764"/>
      <c r="M166" s="774">
        <f>SUM(M164:M165)</f>
        <v>0.55187999999999993</v>
      </c>
      <c r="N166" s="770" t="s">
        <v>103</v>
      </c>
      <c r="O166" s="765">
        <f>ROUND((M166),2)</f>
        <v>0.55000000000000004</v>
      </c>
      <c r="Q166" s="766"/>
      <c r="R166" s="767"/>
      <c r="S166" s="766"/>
      <c r="T166" s="766"/>
      <c r="U166" s="766"/>
      <c r="V166" s="768"/>
      <c r="W166" s="768"/>
      <c r="X166" s="768"/>
    </row>
    <row r="167" spans="1:24" s="769" customFormat="1" ht="15.75" customHeight="1">
      <c r="A167" s="421"/>
      <c r="B167" s="356" t="s">
        <v>431</v>
      </c>
      <c r="C167" s="764"/>
      <c r="D167" s="764"/>
      <c r="E167" s="764"/>
      <c r="F167" s="764"/>
      <c r="G167" s="764"/>
      <c r="H167" s="764"/>
      <c r="I167" s="764"/>
      <c r="J167" s="764"/>
      <c r="K167" s="764"/>
      <c r="L167" s="764"/>
      <c r="M167" s="764"/>
      <c r="N167" s="770"/>
      <c r="O167" s="765"/>
      <c r="Q167" s="766"/>
      <c r="R167" s="767"/>
      <c r="S167" s="766"/>
      <c r="T167" s="766"/>
      <c r="U167" s="766"/>
      <c r="V167" s="768"/>
      <c r="W167" s="768"/>
      <c r="X167" s="768"/>
    </row>
    <row r="168" spans="1:24" s="769" customFormat="1" ht="15.75" customHeight="1">
      <c r="A168" s="771" t="s">
        <v>95</v>
      </c>
      <c r="B168" s="763" t="s">
        <v>423</v>
      </c>
      <c r="C168" s="764"/>
      <c r="D168" s="764"/>
      <c r="E168" s="764"/>
      <c r="F168" s="764"/>
      <c r="G168" s="764"/>
      <c r="H168" s="764"/>
      <c r="I168" s="764"/>
      <c r="J168" s="764"/>
      <c r="K168" s="764"/>
      <c r="L168" s="764"/>
      <c r="M168" s="764"/>
      <c r="N168" s="770"/>
      <c r="O168" s="765"/>
      <c r="Q168" s="766"/>
      <c r="R168" s="767"/>
      <c r="S168" s="766"/>
      <c r="T168" s="766"/>
      <c r="U168" s="766"/>
      <c r="V168" s="768"/>
      <c r="W168" s="768"/>
      <c r="X168" s="768"/>
    </row>
    <row r="169" spans="1:24" s="769" customFormat="1" ht="15.75" customHeight="1">
      <c r="A169" s="771"/>
      <c r="B169" s="772"/>
      <c r="C169" s="764">
        <v>1</v>
      </c>
      <c r="D169" s="764"/>
      <c r="E169" s="764">
        <v>0.2</v>
      </c>
      <c r="F169" s="764"/>
      <c r="G169" s="764"/>
      <c r="H169" s="764"/>
      <c r="I169" s="764"/>
      <c r="J169" s="764">
        <v>2</v>
      </c>
      <c r="K169" s="764">
        <v>2</v>
      </c>
      <c r="L169" s="764">
        <f>L165</f>
        <v>2</v>
      </c>
      <c r="M169" s="764">
        <f>C169*E169*J169*K169*L169</f>
        <v>1.6</v>
      </c>
      <c r="N169" s="770"/>
      <c r="O169" s="765"/>
      <c r="Q169" s="766"/>
      <c r="R169" s="767"/>
      <c r="S169" s="766"/>
      <c r="T169" s="766"/>
      <c r="U169" s="766"/>
      <c r="V169" s="768"/>
      <c r="W169" s="768"/>
      <c r="X169" s="768"/>
    </row>
    <row r="170" spans="1:24" s="769" customFormat="1" ht="15.75" customHeight="1">
      <c r="A170" s="771"/>
      <c r="B170" s="772"/>
      <c r="C170" s="764">
        <f>C169</f>
        <v>1</v>
      </c>
      <c r="D170" s="764">
        <v>0.15</v>
      </c>
      <c r="E170" s="764"/>
      <c r="F170" s="764"/>
      <c r="G170" s="764"/>
      <c r="H170" s="764"/>
      <c r="I170" s="764"/>
      <c r="J170" s="764">
        <f>J169</f>
        <v>2</v>
      </c>
      <c r="K170" s="764">
        <f>K169</f>
        <v>2</v>
      </c>
      <c r="L170" s="764">
        <f>L169</f>
        <v>2</v>
      </c>
      <c r="M170" s="773">
        <f>C170*D170*J170*K170*L170</f>
        <v>1.2</v>
      </c>
      <c r="N170" s="770"/>
      <c r="O170" s="765"/>
      <c r="Q170" s="766"/>
      <c r="R170" s="767"/>
      <c r="S170" s="766"/>
      <c r="T170" s="766"/>
      <c r="U170" s="766"/>
      <c r="V170" s="768"/>
      <c r="W170" s="768"/>
      <c r="X170" s="768"/>
    </row>
    <row r="171" spans="1:24" s="769" customFormat="1" ht="15.75" customHeight="1">
      <c r="A171" s="771"/>
      <c r="B171" s="763"/>
      <c r="C171" s="764"/>
      <c r="D171" s="764"/>
      <c r="E171" s="764"/>
      <c r="F171" s="764"/>
      <c r="G171" s="764"/>
      <c r="H171" s="764"/>
      <c r="I171" s="764"/>
      <c r="J171" s="764"/>
      <c r="K171" s="764"/>
      <c r="L171" s="764"/>
      <c r="M171" s="774">
        <f>SUM(M169:M170)</f>
        <v>2.8</v>
      </c>
      <c r="N171" s="770" t="s">
        <v>89</v>
      </c>
      <c r="O171" s="765">
        <f>ROUND((M171),2)</f>
        <v>2.8</v>
      </c>
      <c r="Q171" s="766"/>
      <c r="R171" s="767"/>
      <c r="S171" s="766"/>
      <c r="T171" s="766"/>
      <c r="U171" s="766"/>
      <c r="V171" s="768"/>
      <c r="W171" s="768"/>
      <c r="X171" s="768"/>
    </row>
    <row r="172" spans="1:24" s="769" customFormat="1" ht="15.75" customHeight="1">
      <c r="A172" s="771" t="s">
        <v>98</v>
      </c>
      <c r="B172" s="763" t="s">
        <v>427</v>
      </c>
      <c r="C172" s="764"/>
      <c r="D172" s="764"/>
      <c r="E172" s="764"/>
      <c r="F172" s="764"/>
      <c r="G172" s="764"/>
      <c r="H172" s="764"/>
      <c r="I172" s="764"/>
      <c r="J172" s="764"/>
      <c r="K172" s="764"/>
      <c r="L172" s="764"/>
      <c r="M172" s="764"/>
      <c r="N172" s="770"/>
      <c r="O172" s="765"/>
      <c r="Q172" s="766"/>
      <c r="R172" s="767"/>
      <c r="S172" s="766"/>
      <c r="T172" s="766"/>
      <c r="U172" s="766"/>
      <c r="V172" s="768"/>
      <c r="W172" s="768"/>
      <c r="X172" s="768"/>
    </row>
    <row r="173" spans="1:24" s="769" customFormat="1" ht="15.75" customHeight="1">
      <c r="A173" s="771"/>
      <c r="B173" s="772"/>
      <c r="C173" s="764">
        <f>C169</f>
        <v>1</v>
      </c>
      <c r="D173" s="764"/>
      <c r="E173" s="764"/>
      <c r="F173" s="764"/>
      <c r="G173" s="764"/>
      <c r="H173" s="764">
        <v>0.1</v>
      </c>
      <c r="I173" s="764">
        <f>0.006165*10*10</f>
        <v>0.61650000000000005</v>
      </c>
      <c r="J173" s="764"/>
      <c r="K173" s="764">
        <v>4</v>
      </c>
      <c r="L173" s="764">
        <f>L169*K169</f>
        <v>4</v>
      </c>
      <c r="M173" s="773">
        <f>(C173+H173)*K173*I173*L173</f>
        <v>10.850400000000002</v>
      </c>
      <c r="N173" s="770"/>
      <c r="O173" s="765"/>
      <c r="Q173" s="766"/>
      <c r="R173" s="767"/>
      <c r="S173" s="766"/>
      <c r="T173" s="766"/>
      <c r="U173" s="766"/>
      <c r="V173" s="768"/>
      <c r="W173" s="768"/>
      <c r="X173" s="768"/>
    </row>
    <row r="174" spans="1:24" s="769" customFormat="1" ht="15.75" customHeight="1">
      <c r="A174" s="771"/>
      <c r="B174" s="763"/>
      <c r="C174" s="764"/>
      <c r="D174" s="764"/>
      <c r="E174" s="764"/>
      <c r="F174" s="764"/>
      <c r="G174" s="764"/>
      <c r="H174" s="764"/>
      <c r="I174" s="764"/>
      <c r="J174" s="764"/>
      <c r="K174" s="764"/>
      <c r="L174" s="764"/>
      <c r="M174" s="774">
        <f>SUM(M173:M173)</f>
        <v>10.850400000000002</v>
      </c>
      <c r="N174" s="770" t="s">
        <v>100</v>
      </c>
      <c r="O174" s="765">
        <f>ROUND((M174),2)</f>
        <v>10.85</v>
      </c>
      <c r="Q174" s="766"/>
      <c r="R174" s="767"/>
      <c r="S174" s="766"/>
      <c r="T174" s="766"/>
      <c r="U174" s="766"/>
      <c r="V174" s="768"/>
      <c r="W174" s="768"/>
      <c r="X174" s="768"/>
    </row>
    <row r="175" spans="1:24" s="769" customFormat="1" ht="15.75" customHeight="1">
      <c r="A175" s="771" t="s">
        <v>101</v>
      </c>
      <c r="B175" s="763" t="s">
        <v>428</v>
      </c>
      <c r="C175" s="764"/>
      <c r="D175" s="764"/>
      <c r="E175" s="764"/>
      <c r="F175" s="764"/>
      <c r="G175" s="764"/>
      <c r="H175" s="764"/>
      <c r="I175" s="764"/>
      <c r="J175" s="764"/>
      <c r="K175" s="764"/>
      <c r="L175" s="764"/>
      <c r="M175" s="764"/>
      <c r="N175" s="770"/>
      <c r="O175" s="765"/>
      <c r="Q175" s="766"/>
      <c r="R175" s="767"/>
      <c r="S175" s="766"/>
      <c r="T175" s="766"/>
      <c r="U175" s="766"/>
      <c r="V175" s="768"/>
      <c r="W175" s="768"/>
      <c r="X175" s="768"/>
    </row>
    <row r="176" spans="1:24" s="769" customFormat="1" ht="15.75" customHeight="1">
      <c r="A176" s="771"/>
      <c r="B176" s="772"/>
      <c r="C176" s="764">
        <f>(0.1+0.15)*2</f>
        <v>0.5</v>
      </c>
      <c r="D176" s="764"/>
      <c r="E176" s="764"/>
      <c r="G176" s="764"/>
      <c r="H176" s="764">
        <v>0.1</v>
      </c>
      <c r="I176" s="764">
        <f>0.006165*8*8</f>
        <v>0.39456000000000002</v>
      </c>
      <c r="J176" s="764"/>
      <c r="K176" s="764">
        <f>ROUNDDOWN((C173/0.125),0.1)</f>
        <v>8</v>
      </c>
      <c r="L176" s="764">
        <f>L173</f>
        <v>4</v>
      </c>
      <c r="M176" s="773">
        <f>(C176+H176)*I176*K176*L176</f>
        <v>7.5755520000000001</v>
      </c>
      <c r="N176" s="770"/>
      <c r="O176" s="765"/>
      <c r="Q176" s="766"/>
      <c r="R176" s="767"/>
      <c r="S176" s="766"/>
      <c r="T176" s="766"/>
      <c r="U176" s="766"/>
      <c r="V176" s="768"/>
      <c r="W176" s="768"/>
      <c r="X176" s="768"/>
    </row>
    <row r="177" spans="1:24" s="769" customFormat="1" ht="15.75" customHeight="1">
      <c r="A177" s="771"/>
      <c r="B177" s="763"/>
      <c r="C177" s="764"/>
      <c r="D177" s="764"/>
      <c r="E177" s="764"/>
      <c r="F177" s="764"/>
      <c r="G177" s="764"/>
      <c r="H177" s="764"/>
      <c r="I177" s="764"/>
      <c r="J177" s="764"/>
      <c r="K177" s="764"/>
      <c r="L177" s="764"/>
      <c r="M177" s="774">
        <f>SUM(M176:M176)</f>
        <v>7.5755520000000001</v>
      </c>
      <c r="N177" s="770" t="s">
        <v>100</v>
      </c>
      <c r="O177" s="765">
        <f>ROUND((M177),2)</f>
        <v>7.58</v>
      </c>
      <c r="Q177" s="766"/>
      <c r="R177" s="767"/>
      <c r="S177" s="766"/>
      <c r="T177" s="766"/>
      <c r="U177" s="766"/>
      <c r="V177" s="768"/>
      <c r="W177" s="768"/>
      <c r="X177" s="768"/>
    </row>
    <row r="178" spans="1:24" s="769" customFormat="1" ht="15.75" customHeight="1">
      <c r="A178" s="771" t="s">
        <v>121</v>
      </c>
      <c r="B178" s="356" t="s">
        <v>429</v>
      </c>
      <c r="C178" s="764"/>
      <c r="D178" s="764"/>
      <c r="E178" s="764"/>
      <c r="F178" s="764"/>
      <c r="G178" s="764"/>
      <c r="H178" s="764"/>
      <c r="I178" s="764"/>
      <c r="J178" s="764"/>
      <c r="K178" s="764"/>
      <c r="L178" s="764"/>
      <c r="M178" s="764"/>
      <c r="N178" s="770"/>
      <c r="O178" s="765"/>
      <c r="Q178" s="766"/>
      <c r="R178" s="767"/>
      <c r="S178" s="766"/>
      <c r="T178" s="766"/>
      <c r="U178" s="766"/>
      <c r="V178" s="768"/>
      <c r="W178" s="768"/>
      <c r="X178" s="768"/>
    </row>
    <row r="179" spans="1:24" s="769" customFormat="1" ht="15.75" customHeight="1">
      <c r="A179" s="771"/>
      <c r="B179" s="772"/>
      <c r="C179" s="764">
        <f>C173</f>
        <v>1</v>
      </c>
      <c r="D179" s="764">
        <f>D164</f>
        <v>0.15</v>
      </c>
      <c r="E179" s="764">
        <f>E169</f>
        <v>0.2</v>
      </c>
      <c r="F179" s="764"/>
      <c r="G179" s="764"/>
      <c r="H179" s="764"/>
      <c r="I179" s="764"/>
      <c r="J179" s="764"/>
      <c r="K179" s="764">
        <f>K169</f>
        <v>2</v>
      </c>
      <c r="L179" s="764">
        <f>L169</f>
        <v>2</v>
      </c>
      <c r="M179" s="773">
        <f>C179*D179*E179*K179*L179</f>
        <v>0.12</v>
      </c>
      <c r="N179" s="770"/>
      <c r="O179" s="765"/>
      <c r="Q179" s="766"/>
      <c r="R179" s="767"/>
      <c r="S179" s="766"/>
      <c r="T179" s="766"/>
      <c r="U179" s="766"/>
      <c r="V179" s="768"/>
      <c r="W179" s="768"/>
      <c r="X179" s="768"/>
    </row>
    <row r="180" spans="1:24" s="769" customFormat="1" ht="15.75" customHeight="1">
      <c r="A180" s="771"/>
      <c r="B180" s="763"/>
      <c r="C180" s="764"/>
      <c r="D180" s="764"/>
      <c r="E180" s="764"/>
      <c r="F180" s="764"/>
      <c r="G180" s="764"/>
      <c r="H180" s="764"/>
      <c r="I180" s="764"/>
      <c r="J180" s="764"/>
      <c r="K180" s="764"/>
      <c r="L180" s="764"/>
      <c r="M180" s="774">
        <f>SUM(M179:M179)</f>
        <v>0.12</v>
      </c>
      <c r="N180" s="770" t="s">
        <v>103</v>
      </c>
      <c r="O180" s="765">
        <f>ROUND((M180),2)</f>
        <v>0.12</v>
      </c>
      <c r="Q180" s="766"/>
      <c r="R180" s="767"/>
      <c r="S180" s="766"/>
      <c r="T180" s="766"/>
      <c r="U180" s="766"/>
      <c r="V180" s="768"/>
      <c r="W180" s="768"/>
      <c r="X180" s="768"/>
    </row>
    <row r="181" spans="1:24" s="757" customFormat="1" ht="15.75" hidden="1" customHeight="1">
      <c r="A181" s="584">
        <f>A139+1</f>
        <v>13</v>
      </c>
      <c r="B181" s="572" t="s">
        <v>934</v>
      </c>
      <c r="C181" s="764"/>
      <c r="D181" s="764"/>
      <c r="E181" s="764"/>
      <c r="F181" s="764"/>
      <c r="G181" s="764"/>
      <c r="H181" s="764"/>
      <c r="I181" s="764"/>
      <c r="J181" s="764"/>
      <c r="K181" s="764"/>
      <c r="L181" s="764"/>
      <c r="M181" s="762"/>
      <c r="N181" s="758"/>
    </row>
    <row r="182" spans="1:24" s="757" customFormat="1" ht="15.75" hidden="1" customHeight="1">
      <c r="A182" s="571" t="s">
        <v>95</v>
      </c>
      <c r="B182" s="572" t="s">
        <v>211</v>
      </c>
      <c r="C182" s="764"/>
      <c r="D182" s="764"/>
      <c r="E182" s="764"/>
      <c r="F182" s="764"/>
      <c r="G182" s="764"/>
      <c r="H182" s="764"/>
      <c r="I182" s="764"/>
      <c r="J182" s="764"/>
      <c r="K182" s="764"/>
      <c r="L182" s="764"/>
      <c r="M182" s="762"/>
      <c r="N182" s="758"/>
    </row>
    <row r="183" spans="1:24" s="757" customFormat="1" ht="15.75" hidden="1" customHeight="1">
      <c r="A183" s="571"/>
      <c r="B183" s="775" t="s">
        <v>1135</v>
      </c>
      <c r="C183" s="764">
        <v>6</v>
      </c>
      <c r="D183" s="764">
        <v>0.95</v>
      </c>
      <c r="E183" s="764"/>
      <c r="F183" s="764"/>
      <c r="G183" s="764"/>
      <c r="H183" s="764"/>
      <c r="I183" s="764"/>
      <c r="J183" s="764"/>
      <c r="K183" s="764"/>
      <c r="L183" s="764"/>
      <c r="M183" s="762">
        <f>C183*D183</f>
        <v>5.6999999999999993</v>
      </c>
      <c r="N183" s="758"/>
    </row>
    <row r="184" spans="1:24" s="757" customFormat="1" ht="15.75" hidden="1" customHeight="1">
      <c r="A184" s="571"/>
      <c r="B184" s="775" t="s">
        <v>1136</v>
      </c>
      <c r="C184" s="764">
        <f>C183</f>
        <v>6</v>
      </c>
      <c r="D184" s="764"/>
      <c r="E184" s="764">
        <v>0.1</v>
      </c>
      <c r="F184" s="764"/>
      <c r="G184" s="764"/>
      <c r="H184" s="764">
        <v>1</v>
      </c>
      <c r="I184" s="764"/>
      <c r="J184" s="764"/>
      <c r="K184" s="764"/>
      <c r="L184" s="764"/>
      <c r="M184" s="762">
        <f>C184*E184*H184</f>
        <v>0.60000000000000009</v>
      </c>
      <c r="N184" s="758"/>
    </row>
    <row r="185" spans="1:24" s="757" customFormat="1" ht="15.75" hidden="1" customHeight="1">
      <c r="A185" s="571"/>
      <c r="B185" s="775" t="s">
        <v>1137</v>
      </c>
      <c r="C185" s="764">
        <f>D183</f>
        <v>0.95</v>
      </c>
      <c r="D185" s="764"/>
      <c r="E185" s="764">
        <f>E184</f>
        <v>0.1</v>
      </c>
      <c r="F185" s="764"/>
      <c r="G185" s="764"/>
      <c r="H185" s="764">
        <v>2</v>
      </c>
      <c r="I185" s="764"/>
      <c r="J185" s="764"/>
      <c r="K185" s="764"/>
      <c r="L185" s="764"/>
      <c r="M185" s="759">
        <f>C185*E185*H185</f>
        <v>0.19</v>
      </c>
      <c r="N185" s="758"/>
    </row>
    <row r="186" spans="1:24" s="757" customFormat="1" ht="15.75" hidden="1" customHeight="1">
      <c r="A186" s="571"/>
      <c r="B186" s="572"/>
      <c r="C186" s="764"/>
      <c r="D186" s="764"/>
      <c r="E186" s="764"/>
      <c r="F186" s="764"/>
      <c r="G186" s="764"/>
      <c r="H186" s="764"/>
      <c r="I186" s="764"/>
      <c r="J186" s="764"/>
      <c r="K186" s="764"/>
      <c r="L186" s="764"/>
      <c r="M186" s="762">
        <f>SUM(M183:M185)</f>
        <v>6.4899999999999993</v>
      </c>
      <c r="N186" s="758" t="s">
        <v>89</v>
      </c>
    </row>
    <row r="187" spans="1:24" s="757" customFormat="1" ht="15.75" hidden="1" customHeight="1">
      <c r="A187" s="571" t="s">
        <v>98</v>
      </c>
      <c r="B187" s="583" t="s">
        <v>621</v>
      </c>
      <c r="C187" s="764"/>
      <c r="D187" s="764"/>
      <c r="E187" s="764"/>
      <c r="F187" s="764"/>
      <c r="G187" s="764"/>
      <c r="H187" s="764"/>
      <c r="I187" s="764"/>
      <c r="J187" s="764"/>
      <c r="K187" s="764"/>
      <c r="L187" s="764"/>
      <c r="M187" s="762"/>
      <c r="N187" s="758"/>
    </row>
    <row r="188" spans="1:24" s="757" customFormat="1" ht="15.75" hidden="1" customHeight="1">
      <c r="A188" s="571"/>
      <c r="B188" s="775"/>
      <c r="C188" s="764">
        <f>D183</f>
        <v>0.95</v>
      </c>
      <c r="D188" s="764"/>
      <c r="E188" s="764"/>
      <c r="F188" s="764">
        <f>ROUNDUP((C183/0.15),0.1)+1</f>
        <v>41</v>
      </c>
      <c r="G188" s="764"/>
      <c r="H188" s="764"/>
      <c r="I188" s="764"/>
      <c r="J188" s="764"/>
      <c r="K188" s="764">
        <f>6*6*0.006165</f>
        <v>0.22194000000000003</v>
      </c>
      <c r="L188" s="764"/>
      <c r="M188" s="762">
        <f>C188*F188*K188</f>
        <v>8.6445629999999998</v>
      </c>
      <c r="N188" s="758"/>
    </row>
    <row r="189" spans="1:24" s="757" customFormat="1" ht="15.75" hidden="1" customHeight="1">
      <c r="A189" s="571"/>
      <c r="B189" s="775"/>
      <c r="C189" s="764">
        <f>C183</f>
        <v>6</v>
      </c>
      <c r="D189" s="764"/>
      <c r="E189" s="764"/>
      <c r="F189" s="764">
        <f>ROUNDUP((D183/0.15),0.1)+1</f>
        <v>8</v>
      </c>
      <c r="G189" s="764"/>
      <c r="H189" s="764"/>
      <c r="I189" s="764"/>
      <c r="J189" s="764"/>
      <c r="K189" s="764">
        <f>K188</f>
        <v>0.22194000000000003</v>
      </c>
      <c r="L189" s="764"/>
      <c r="M189" s="759">
        <f>C189*F189*K189</f>
        <v>10.653120000000001</v>
      </c>
      <c r="N189" s="758"/>
    </row>
    <row r="190" spans="1:24" s="757" customFormat="1" ht="15.75" hidden="1" customHeight="1">
      <c r="A190" s="571"/>
      <c r="B190" s="572"/>
      <c r="C190" s="764"/>
      <c r="D190" s="764"/>
      <c r="E190" s="764"/>
      <c r="F190" s="764"/>
      <c r="G190" s="764"/>
      <c r="H190" s="764"/>
      <c r="I190" s="764"/>
      <c r="J190" s="764"/>
      <c r="K190" s="764"/>
      <c r="L190" s="764"/>
      <c r="M190" s="762">
        <f>SUM(M188:M189)</f>
        <v>19.297682999999999</v>
      </c>
      <c r="N190" s="758" t="s">
        <v>100</v>
      </c>
    </row>
    <row r="191" spans="1:24" s="757" customFormat="1" ht="15.75" hidden="1" customHeight="1">
      <c r="A191" s="571" t="s">
        <v>101</v>
      </c>
      <c r="B191" s="585" t="s">
        <v>429</v>
      </c>
      <c r="C191" s="764">
        <f>C189</f>
        <v>6</v>
      </c>
      <c r="D191" s="764">
        <f>C188</f>
        <v>0.95</v>
      </c>
      <c r="E191" s="764">
        <v>0.1</v>
      </c>
      <c r="F191" s="764"/>
      <c r="G191" s="764"/>
      <c r="H191" s="764"/>
      <c r="I191" s="764"/>
      <c r="J191" s="764"/>
      <c r="K191" s="764"/>
      <c r="L191" s="764"/>
      <c r="M191" s="762">
        <f>C191*D191*E191</f>
        <v>0.56999999999999995</v>
      </c>
      <c r="N191" s="758" t="s">
        <v>103</v>
      </c>
    </row>
    <row r="192" spans="1:24" s="757" customFormat="1" ht="15.75" hidden="1" customHeight="1">
      <c r="A192" s="571" t="s">
        <v>121</v>
      </c>
      <c r="B192" s="585" t="s">
        <v>1138</v>
      </c>
      <c r="C192" s="764" t="s">
        <v>1139</v>
      </c>
      <c r="D192" s="764"/>
      <c r="E192" s="764"/>
      <c r="F192" s="764"/>
      <c r="G192" s="764"/>
      <c r="H192" s="764"/>
      <c r="I192" s="764"/>
      <c r="J192" s="764"/>
      <c r="K192" s="764"/>
      <c r="L192" s="764"/>
      <c r="M192" s="762">
        <f>M183</f>
        <v>5.6999999999999993</v>
      </c>
      <c r="N192" s="758" t="s">
        <v>89</v>
      </c>
    </row>
    <row r="193" spans="1:14" s="757" customFormat="1" ht="15.75" hidden="1" customHeight="1">
      <c r="A193" s="571" t="s">
        <v>142</v>
      </c>
      <c r="B193" s="585" t="s">
        <v>1140</v>
      </c>
      <c r="C193" s="764" t="s">
        <v>1141</v>
      </c>
      <c r="D193" s="764"/>
      <c r="E193" s="764"/>
      <c r="F193" s="764"/>
      <c r="G193" s="764"/>
      <c r="H193" s="764"/>
      <c r="I193" s="764"/>
      <c r="J193" s="764"/>
      <c r="K193" s="764"/>
      <c r="L193" s="764"/>
      <c r="M193" s="762">
        <f>M192</f>
        <v>5.6999999999999993</v>
      </c>
      <c r="N193" s="758" t="s">
        <v>89</v>
      </c>
    </row>
    <row r="194" spans="1:14" s="487" customFormat="1" ht="15.75" customHeight="1">
      <c r="A194" s="350">
        <f>A147+1</f>
        <v>13</v>
      </c>
      <c r="B194" s="351" t="s">
        <v>556</v>
      </c>
      <c r="C194" s="764"/>
      <c r="D194" s="764"/>
      <c r="E194" s="764"/>
      <c r="F194" s="764"/>
      <c r="G194" s="764"/>
      <c r="H194" s="764"/>
      <c r="I194" s="764"/>
      <c r="J194" s="764"/>
      <c r="K194" s="764"/>
      <c r="L194" s="764"/>
      <c r="M194" s="330"/>
      <c r="N194" s="748"/>
    </row>
    <row r="195" spans="1:14" s="487" customFormat="1" ht="15.75" customHeight="1">
      <c r="A195" s="355" t="s">
        <v>95</v>
      </c>
      <c r="B195" s="359" t="s">
        <v>438</v>
      </c>
      <c r="C195" s="764">
        <f>C198+(D198*2)</f>
        <v>5.15</v>
      </c>
      <c r="D195" s="764">
        <v>0.12</v>
      </c>
      <c r="E195" s="764">
        <v>0.2</v>
      </c>
      <c r="F195" s="764"/>
      <c r="G195" s="764"/>
      <c r="H195" s="764"/>
      <c r="I195" s="764"/>
      <c r="J195" s="764"/>
      <c r="K195" s="764"/>
      <c r="L195" s="764"/>
      <c r="M195" s="424">
        <f>C195*D195*E195</f>
        <v>0.1236</v>
      </c>
      <c r="N195" s="748" t="s">
        <v>103</v>
      </c>
    </row>
    <row r="196" spans="1:14" s="487" customFormat="1" ht="15.75" customHeight="1">
      <c r="A196" s="355" t="s">
        <v>98</v>
      </c>
      <c r="B196" s="359" t="s">
        <v>439</v>
      </c>
      <c r="C196" s="764">
        <f>C195</f>
        <v>5.15</v>
      </c>
      <c r="D196" s="764"/>
      <c r="E196" s="764">
        <f>0.25+E195</f>
        <v>0.45</v>
      </c>
      <c r="F196" s="764"/>
      <c r="G196" s="764"/>
      <c r="H196" s="764"/>
      <c r="I196" s="764"/>
      <c r="J196" s="764"/>
      <c r="K196" s="764"/>
      <c r="L196" s="764"/>
      <c r="M196" s="424">
        <f>C196*E196</f>
        <v>2.3175000000000003</v>
      </c>
      <c r="N196" s="748" t="s">
        <v>89</v>
      </c>
    </row>
    <row r="197" spans="1:14" s="487" customFormat="1" ht="15.75" customHeight="1">
      <c r="A197" s="355" t="s">
        <v>101</v>
      </c>
      <c r="B197" s="359" t="s">
        <v>413</v>
      </c>
      <c r="C197" s="764"/>
      <c r="D197" s="764"/>
      <c r="E197" s="764"/>
      <c r="F197" s="764"/>
      <c r="G197" s="764"/>
      <c r="H197" s="764"/>
      <c r="I197" s="764"/>
      <c r="J197" s="764"/>
      <c r="K197" s="764"/>
      <c r="L197" s="764"/>
      <c r="M197" s="776">
        <f>SUM(M198:M201)</f>
        <v>2.0100000000000002</v>
      </c>
      <c r="N197" s="562" t="s">
        <v>103</v>
      </c>
    </row>
    <row r="198" spans="1:14" s="487" customFormat="1" ht="15.75" customHeight="1">
      <c r="A198" s="355"/>
      <c r="B198" s="589" t="s">
        <v>1029</v>
      </c>
      <c r="C198" s="330">
        <v>3</v>
      </c>
      <c r="D198" s="330">
        <v>1.075</v>
      </c>
      <c r="E198" s="330">
        <f>0.25-0.05-0.05-0.05</f>
        <v>0.10000000000000002</v>
      </c>
      <c r="F198" s="330"/>
      <c r="G198" s="330"/>
      <c r="H198" s="330"/>
      <c r="I198" s="330"/>
      <c r="J198" s="330"/>
      <c r="K198" s="330"/>
      <c r="L198" s="330"/>
      <c r="M198" s="401">
        <f>C198*D198*E198</f>
        <v>0.32250000000000001</v>
      </c>
      <c r="N198" s="748"/>
    </row>
    <row r="199" spans="1:14" s="487" customFormat="1" ht="15.75" customHeight="1">
      <c r="A199" s="355"/>
      <c r="B199" s="589" t="s">
        <v>1142</v>
      </c>
      <c r="C199" s="330">
        <v>3</v>
      </c>
      <c r="D199" s="330">
        <v>2.5</v>
      </c>
      <c r="E199" s="330">
        <f>0.3-0.05-0.05-0.05</f>
        <v>0.15000000000000002</v>
      </c>
      <c r="F199" s="330"/>
      <c r="G199" s="330"/>
      <c r="H199" s="330"/>
      <c r="I199" s="330"/>
      <c r="J199" s="330"/>
      <c r="K199" s="330"/>
      <c r="L199" s="330"/>
      <c r="M199" s="330">
        <f>C199*D199*E199</f>
        <v>1.1250000000000002</v>
      </c>
      <c r="N199" s="748"/>
    </row>
    <row r="200" spans="1:14" s="487" customFormat="1" ht="15.75" customHeight="1">
      <c r="A200" s="355"/>
      <c r="B200" s="589"/>
      <c r="C200" s="330">
        <v>1.5</v>
      </c>
      <c r="D200" s="330">
        <v>1.5</v>
      </c>
      <c r="E200" s="330">
        <f>E199</f>
        <v>0.15000000000000002</v>
      </c>
      <c r="F200" s="330"/>
      <c r="G200" s="330"/>
      <c r="H200" s="330"/>
      <c r="I200" s="330"/>
      <c r="J200" s="330"/>
      <c r="K200" s="330"/>
      <c r="L200" s="330"/>
      <c r="M200" s="330">
        <f>C200*D200*E200</f>
        <v>0.33750000000000002</v>
      </c>
      <c r="N200" s="748"/>
    </row>
    <row r="201" spans="1:14" s="487" customFormat="1" ht="15.75" customHeight="1">
      <c r="A201" s="355"/>
      <c r="B201" s="589" t="s">
        <v>1143</v>
      </c>
      <c r="C201" s="330">
        <v>1.5</v>
      </c>
      <c r="D201" s="330">
        <v>1.5</v>
      </c>
      <c r="E201" s="330">
        <f>E198</f>
        <v>0.10000000000000002</v>
      </c>
      <c r="F201" s="330"/>
      <c r="G201" s="330"/>
      <c r="H201" s="330"/>
      <c r="I201" s="330"/>
      <c r="J201" s="330"/>
      <c r="K201" s="330"/>
      <c r="L201" s="330"/>
      <c r="M201" s="330">
        <f>C201*D201*E201</f>
        <v>0.22500000000000003</v>
      </c>
      <c r="N201" s="748"/>
    </row>
    <row r="202" spans="1:14" s="487" customFormat="1" ht="15.75" customHeight="1">
      <c r="A202" s="355" t="s">
        <v>121</v>
      </c>
      <c r="B202" s="351" t="s">
        <v>414</v>
      </c>
      <c r="C202" s="330"/>
      <c r="D202" s="330"/>
      <c r="E202" s="330"/>
      <c r="F202" s="330"/>
      <c r="G202" s="330"/>
      <c r="H202" s="330"/>
      <c r="I202" s="330"/>
      <c r="J202" s="330"/>
      <c r="K202" s="330"/>
      <c r="L202" s="330"/>
      <c r="M202" s="330">
        <f>M197</f>
        <v>2.0100000000000002</v>
      </c>
      <c r="N202" s="748" t="s">
        <v>103</v>
      </c>
    </row>
    <row r="203" spans="1:14" s="487" customFormat="1" ht="15.75" customHeight="1">
      <c r="A203" s="355" t="s">
        <v>142</v>
      </c>
      <c r="B203" s="351" t="s">
        <v>415</v>
      </c>
      <c r="C203" s="330"/>
      <c r="D203" s="330"/>
      <c r="E203" s="330"/>
      <c r="F203" s="330"/>
      <c r="G203" s="330"/>
      <c r="H203" s="330"/>
      <c r="I203" s="330"/>
      <c r="J203" s="330"/>
      <c r="K203" s="330"/>
      <c r="L203" s="330"/>
      <c r="M203" s="776">
        <f>SUM(M204:M207)</f>
        <v>0.76125000000000009</v>
      </c>
      <c r="N203" s="748" t="s">
        <v>103</v>
      </c>
    </row>
    <row r="204" spans="1:14" s="487" customFormat="1" ht="15.75" customHeight="1">
      <c r="A204" s="355"/>
      <c r="B204" s="589" t="str">
        <f t="shared" ref="B204:D205" si="4">B198</f>
        <v>teras</v>
      </c>
      <c r="C204" s="330">
        <f t="shared" si="4"/>
        <v>3</v>
      </c>
      <c r="D204" s="330">
        <f t="shared" si="4"/>
        <v>1.075</v>
      </c>
      <c r="E204" s="330">
        <v>0.05</v>
      </c>
      <c r="F204" s="330"/>
      <c r="G204" s="330"/>
      <c r="H204" s="330"/>
      <c r="I204" s="330"/>
      <c r="J204" s="330"/>
      <c r="K204" s="330"/>
      <c r="L204" s="330"/>
      <c r="M204" s="401">
        <f>C204*D204*E204</f>
        <v>0.16125</v>
      </c>
      <c r="N204" s="748"/>
    </row>
    <row r="205" spans="1:14" s="487" customFormat="1" ht="15.75" customHeight="1">
      <c r="A205" s="355"/>
      <c r="B205" s="589" t="str">
        <f t="shared" si="4"/>
        <v>ruang kios</v>
      </c>
      <c r="C205" s="330">
        <f t="shared" si="4"/>
        <v>3</v>
      </c>
      <c r="D205" s="330">
        <f t="shared" si="4"/>
        <v>2.5</v>
      </c>
      <c r="E205" s="330">
        <f>E204</f>
        <v>0.05</v>
      </c>
      <c r="F205" s="330"/>
      <c r="G205" s="330"/>
      <c r="H205" s="330"/>
      <c r="I205" s="330"/>
      <c r="J205" s="330"/>
      <c r="K205" s="330"/>
      <c r="L205" s="330"/>
      <c r="M205" s="330">
        <f>C205*D205*E205</f>
        <v>0.375</v>
      </c>
      <c r="N205" s="748"/>
    </row>
    <row r="206" spans="1:14" s="487" customFormat="1" ht="15.75" customHeight="1">
      <c r="A206" s="355"/>
      <c r="B206" s="589"/>
      <c r="C206" s="330">
        <f>C200</f>
        <v>1.5</v>
      </c>
      <c r="D206" s="330">
        <f>D200</f>
        <v>1.5</v>
      </c>
      <c r="E206" s="330">
        <f>E205</f>
        <v>0.05</v>
      </c>
      <c r="F206" s="330"/>
      <c r="G206" s="330"/>
      <c r="H206" s="330"/>
      <c r="I206" s="330"/>
      <c r="J206" s="330"/>
      <c r="K206" s="330"/>
      <c r="L206" s="330"/>
      <c r="M206" s="330">
        <f>C206*D206*E206</f>
        <v>0.1125</v>
      </c>
      <c r="N206" s="748"/>
    </row>
    <row r="207" spans="1:14" s="487" customFormat="1" ht="15.75" customHeight="1">
      <c r="A207" s="355"/>
      <c r="B207" s="589" t="str">
        <f>B201</f>
        <v>toilet</v>
      </c>
      <c r="C207" s="330">
        <f>C201</f>
        <v>1.5</v>
      </c>
      <c r="D207" s="330">
        <f>D201</f>
        <v>1.5</v>
      </c>
      <c r="E207" s="330">
        <f>E205</f>
        <v>0.05</v>
      </c>
      <c r="F207" s="330"/>
      <c r="G207" s="330"/>
      <c r="H207" s="330"/>
      <c r="I207" s="330"/>
      <c r="J207" s="330"/>
      <c r="K207" s="330"/>
      <c r="L207" s="330"/>
      <c r="M207" s="330">
        <f>C207*D207*E207</f>
        <v>0.1125</v>
      </c>
      <c r="N207" s="748"/>
    </row>
    <row r="208" spans="1:14" s="487" customFormat="1" ht="15.75" customHeight="1">
      <c r="A208" s="355" t="s">
        <v>217</v>
      </c>
      <c r="B208" s="351" t="s">
        <v>496</v>
      </c>
      <c r="C208" s="330"/>
      <c r="D208" s="330"/>
      <c r="E208" s="330"/>
      <c r="F208" s="330"/>
      <c r="G208" s="330"/>
      <c r="H208" s="330"/>
      <c r="I208" s="330"/>
      <c r="J208" s="330"/>
      <c r="K208" s="330"/>
      <c r="L208" s="330"/>
      <c r="M208" s="776">
        <f>SUM(M209:M212)</f>
        <v>0.76125000000000009</v>
      </c>
      <c r="N208" s="748" t="s">
        <v>103</v>
      </c>
    </row>
    <row r="209" spans="1:14" s="487" customFormat="1" ht="15.75" customHeight="1">
      <c r="A209" s="404"/>
      <c r="B209" s="589" t="str">
        <f t="shared" ref="B209:E210" si="5">B204</f>
        <v>teras</v>
      </c>
      <c r="C209" s="330">
        <f t="shared" si="5"/>
        <v>3</v>
      </c>
      <c r="D209" s="330">
        <f t="shared" si="5"/>
        <v>1.075</v>
      </c>
      <c r="E209" s="330">
        <f t="shared" si="5"/>
        <v>0.05</v>
      </c>
      <c r="F209" s="330"/>
      <c r="G209" s="330"/>
      <c r="H209" s="330"/>
      <c r="I209" s="330"/>
      <c r="J209" s="330"/>
      <c r="K209" s="330"/>
      <c r="L209" s="330"/>
      <c r="M209" s="401">
        <f>C209*D209*E209</f>
        <v>0.16125</v>
      </c>
      <c r="N209" s="748"/>
    </row>
    <row r="210" spans="1:14" s="487" customFormat="1" ht="15.75" customHeight="1">
      <c r="A210" s="404"/>
      <c r="B210" s="589" t="str">
        <f t="shared" si="5"/>
        <v>ruang kios</v>
      </c>
      <c r="C210" s="330">
        <f t="shared" si="5"/>
        <v>3</v>
      </c>
      <c r="D210" s="330">
        <f t="shared" si="5"/>
        <v>2.5</v>
      </c>
      <c r="E210" s="330">
        <f t="shared" si="5"/>
        <v>0.05</v>
      </c>
      <c r="F210" s="330"/>
      <c r="G210" s="330"/>
      <c r="H210" s="330"/>
      <c r="I210" s="330"/>
      <c r="J210" s="330"/>
      <c r="K210" s="330"/>
      <c r="L210" s="330"/>
      <c r="M210" s="330">
        <f>C210*D210*E210</f>
        <v>0.375</v>
      </c>
      <c r="N210" s="748"/>
    </row>
    <row r="211" spans="1:14" s="487" customFormat="1" ht="15.75" customHeight="1">
      <c r="A211" s="404"/>
      <c r="B211" s="589"/>
      <c r="C211" s="330">
        <f t="shared" ref="C211:E212" si="6">C206</f>
        <v>1.5</v>
      </c>
      <c r="D211" s="330">
        <f t="shared" si="6"/>
        <v>1.5</v>
      </c>
      <c r="E211" s="330">
        <f t="shared" si="6"/>
        <v>0.05</v>
      </c>
      <c r="F211" s="330"/>
      <c r="G211" s="330"/>
      <c r="H211" s="330"/>
      <c r="I211" s="330"/>
      <c r="J211" s="330"/>
      <c r="K211" s="330"/>
      <c r="L211" s="330"/>
      <c r="M211" s="330">
        <f>C211*D211*E211</f>
        <v>0.1125</v>
      </c>
      <c r="N211" s="748"/>
    </row>
    <row r="212" spans="1:14" s="487" customFormat="1" ht="15.75" customHeight="1">
      <c r="A212" s="404"/>
      <c r="B212" s="589" t="str">
        <f>B207</f>
        <v>toilet</v>
      </c>
      <c r="C212" s="330">
        <f t="shared" si="6"/>
        <v>1.5</v>
      </c>
      <c r="D212" s="330">
        <f t="shared" si="6"/>
        <v>1.5</v>
      </c>
      <c r="E212" s="330">
        <f t="shared" si="6"/>
        <v>0.05</v>
      </c>
      <c r="F212" s="330"/>
      <c r="G212" s="330"/>
      <c r="H212" s="330"/>
      <c r="I212" s="330"/>
      <c r="J212" s="330"/>
      <c r="K212" s="330"/>
      <c r="L212" s="330"/>
      <c r="M212" s="330">
        <f>C212*D212*E212</f>
        <v>0.1125</v>
      </c>
      <c r="N212" s="748"/>
    </row>
    <row r="213" spans="1:14" s="487" customFormat="1" ht="15.75" customHeight="1">
      <c r="A213" s="404"/>
      <c r="B213" s="351"/>
      <c r="C213" s="330"/>
      <c r="D213" s="330"/>
      <c r="E213" s="330"/>
      <c r="F213" s="330"/>
      <c r="G213" s="330"/>
      <c r="H213" s="330"/>
      <c r="I213" s="330"/>
      <c r="J213" s="330"/>
      <c r="K213" s="330"/>
      <c r="L213" s="330"/>
      <c r="M213" s="330"/>
      <c r="N213" s="748"/>
    </row>
    <row r="214" spans="1:14" s="487" customFormat="1" ht="15.75" customHeight="1">
      <c r="A214" s="341" t="s">
        <v>430</v>
      </c>
      <c r="B214" s="347" t="s">
        <v>434</v>
      </c>
      <c r="C214" s="330"/>
      <c r="D214" s="330"/>
      <c r="E214" s="330"/>
      <c r="F214" s="330"/>
      <c r="G214" s="330"/>
      <c r="H214" s="330"/>
      <c r="I214" s="330"/>
      <c r="J214" s="330"/>
      <c r="K214" s="330"/>
      <c r="L214" s="330"/>
      <c r="M214" s="330"/>
      <c r="N214" s="748"/>
    </row>
    <row r="215" spans="1:14" s="487" customFormat="1" ht="15.75" customHeight="1">
      <c r="A215" s="400">
        <v>1</v>
      </c>
      <c r="B215" s="351" t="s">
        <v>629</v>
      </c>
      <c r="C215" s="330"/>
      <c r="D215" s="330"/>
      <c r="E215" s="330"/>
      <c r="F215" s="330"/>
      <c r="G215" s="330"/>
      <c r="H215" s="330"/>
      <c r="I215" s="330"/>
      <c r="J215" s="330"/>
      <c r="K215" s="330"/>
      <c r="L215" s="330"/>
      <c r="M215" s="330"/>
      <c r="N215" s="748"/>
    </row>
    <row r="216" spans="1:14" s="487" customFormat="1" ht="15.75" customHeight="1">
      <c r="A216" s="400"/>
      <c r="B216" s="589" t="s">
        <v>140</v>
      </c>
      <c r="C216" s="382">
        <f>C26</f>
        <v>3</v>
      </c>
      <c r="D216" s="382"/>
      <c r="E216" s="382">
        <f>E93-E64</f>
        <v>3.2800000000000002</v>
      </c>
      <c r="F216" s="330"/>
      <c r="G216" s="330"/>
      <c r="H216" s="330"/>
      <c r="I216" s="330"/>
      <c r="J216" s="330"/>
      <c r="K216" s="330"/>
      <c r="L216" s="330">
        <v>2</v>
      </c>
      <c r="M216" s="330">
        <f>C216*E216*L216</f>
        <v>19.68</v>
      </c>
      <c r="N216" s="748"/>
    </row>
    <row r="217" spans="1:14" s="487" customFormat="1" ht="15.75" customHeight="1">
      <c r="A217" s="400"/>
      <c r="B217" s="589"/>
      <c r="C217" s="382">
        <f>C27</f>
        <v>1.5</v>
      </c>
      <c r="D217" s="382"/>
      <c r="E217" s="382">
        <f>E216</f>
        <v>3.2800000000000002</v>
      </c>
      <c r="F217" s="330"/>
      <c r="G217" s="330"/>
      <c r="H217" s="330"/>
      <c r="I217" s="330"/>
      <c r="J217" s="330"/>
      <c r="K217" s="330"/>
      <c r="L217" s="330">
        <v>1</v>
      </c>
      <c r="M217" s="330">
        <f>C217*E217*L217</f>
        <v>4.92</v>
      </c>
      <c r="N217" s="748"/>
    </row>
    <row r="218" spans="1:14" s="487" customFormat="1" ht="15.75" customHeight="1">
      <c r="A218" s="400"/>
      <c r="B218" s="589" t="s">
        <v>136</v>
      </c>
      <c r="C218" s="382"/>
      <c r="D218" s="382">
        <f>C28</f>
        <v>4</v>
      </c>
      <c r="E218" s="382">
        <f>E217</f>
        <v>3.2800000000000002</v>
      </c>
      <c r="F218" s="330"/>
      <c r="G218" s="330"/>
      <c r="H218" s="330"/>
      <c r="I218" s="330"/>
      <c r="J218" s="330"/>
      <c r="K218" s="330"/>
      <c r="L218" s="330">
        <v>2</v>
      </c>
      <c r="M218" s="330">
        <f>D218*E218*L218</f>
        <v>26.240000000000002</v>
      </c>
      <c r="N218" s="748"/>
    </row>
    <row r="219" spans="1:14" s="487" customFormat="1" ht="15.75" customHeight="1">
      <c r="A219" s="400"/>
      <c r="B219" s="589"/>
      <c r="C219" s="382"/>
      <c r="D219" s="382">
        <f>C29</f>
        <v>1.5</v>
      </c>
      <c r="E219" s="382">
        <f>E218</f>
        <v>3.2800000000000002</v>
      </c>
      <c r="F219" s="330"/>
      <c r="G219" s="330"/>
      <c r="H219" s="330"/>
      <c r="I219" s="330"/>
      <c r="J219" s="330"/>
      <c r="K219" s="330"/>
      <c r="L219" s="330">
        <v>2</v>
      </c>
      <c r="M219" s="330">
        <f>D219*E219*L219</f>
        <v>9.84</v>
      </c>
      <c r="N219" s="748"/>
    </row>
    <row r="220" spans="1:14" s="487" customFormat="1" ht="15.75" customHeight="1">
      <c r="A220" s="400"/>
      <c r="B220" s="589" t="s">
        <v>1144</v>
      </c>
      <c r="C220" s="382"/>
      <c r="D220" s="382">
        <v>2</v>
      </c>
      <c r="E220" s="382">
        <v>2.5</v>
      </c>
      <c r="F220" s="330"/>
      <c r="G220" s="330"/>
      <c r="H220" s="330"/>
      <c r="I220" s="330"/>
      <c r="J220" s="330"/>
      <c r="K220" s="330"/>
      <c r="L220" s="330">
        <v>1</v>
      </c>
      <c r="M220" s="330">
        <f>-D220*E220*L220</f>
        <v>-5</v>
      </c>
      <c r="N220" s="748"/>
    </row>
    <row r="221" spans="1:14" s="487" customFormat="1" ht="15.75" customHeight="1">
      <c r="A221" s="400"/>
      <c r="B221" s="589" t="s">
        <v>1145</v>
      </c>
      <c r="C221" s="382"/>
      <c r="D221" s="382">
        <v>2.04</v>
      </c>
      <c r="E221" s="382">
        <v>0.86</v>
      </c>
      <c r="F221" s="330"/>
      <c r="G221" s="330"/>
      <c r="H221" s="330"/>
      <c r="I221" s="330"/>
      <c r="J221" s="330"/>
      <c r="K221" s="330"/>
      <c r="L221" s="330">
        <v>1</v>
      </c>
      <c r="M221" s="330">
        <f>-D221*E221*L221</f>
        <v>-1.7544</v>
      </c>
      <c r="N221" s="748"/>
    </row>
    <row r="222" spans="1:14" s="487" customFormat="1" ht="15.75" customHeight="1">
      <c r="A222" s="400"/>
      <c r="B222" s="589" t="s">
        <v>1146</v>
      </c>
      <c r="C222" s="382">
        <v>0.64500000000000002</v>
      </c>
      <c r="D222" s="382"/>
      <c r="E222" s="382">
        <v>0.4</v>
      </c>
      <c r="F222" s="330"/>
      <c r="G222" s="330"/>
      <c r="H222" s="330"/>
      <c r="I222" s="330"/>
      <c r="J222" s="330"/>
      <c r="K222" s="330"/>
      <c r="L222" s="330">
        <v>2</v>
      </c>
      <c r="M222" s="752">
        <f>-C222*E222*L222</f>
        <v>-0.51600000000000001</v>
      </c>
      <c r="N222" s="748"/>
    </row>
    <row r="223" spans="1:14" s="487" customFormat="1" ht="15.75" customHeight="1">
      <c r="A223" s="400"/>
      <c r="B223" s="351"/>
      <c r="C223" s="330"/>
      <c r="D223" s="330"/>
      <c r="E223" s="330"/>
      <c r="F223" s="330"/>
      <c r="G223" s="330"/>
      <c r="H223" s="330"/>
      <c r="I223" s="330"/>
      <c r="J223" s="330"/>
      <c r="K223" s="330"/>
      <c r="L223" s="330"/>
      <c r="M223" s="474">
        <f>SUM(M216:M222)</f>
        <v>53.409600000000012</v>
      </c>
      <c r="N223" s="562" t="s">
        <v>89</v>
      </c>
    </row>
    <row r="224" spans="1:14" s="487" customFormat="1" ht="15.75" customHeight="1">
      <c r="A224" s="400">
        <f>A215+1</f>
        <v>2</v>
      </c>
      <c r="B224" s="351" t="s">
        <v>630</v>
      </c>
      <c r="C224" s="330" t="s">
        <v>1147</v>
      </c>
      <c r="D224" s="330"/>
      <c r="E224" s="330"/>
      <c r="F224" s="330"/>
      <c r="G224" s="330"/>
      <c r="H224" s="330"/>
      <c r="I224" s="330"/>
      <c r="J224" s="330"/>
      <c r="K224" s="330"/>
      <c r="L224" s="330"/>
      <c r="M224" s="330">
        <f>M223*2</f>
        <v>106.81920000000002</v>
      </c>
      <c r="N224" s="748" t="s">
        <v>89</v>
      </c>
    </row>
    <row r="225" spans="1:14" s="487" customFormat="1" ht="15.75" customHeight="1">
      <c r="A225" s="400">
        <f>A224+1</f>
        <v>3</v>
      </c>
      <c r="B225" s="351" t="s">
        <v>631</v>
      </c>
      <c r="C225" s="330"/>
      <c r="D225" s="330"/>
      <c r="E225" s="330"/>
      <c r="F225" s="330"/>
      <c r="G225" s="330"/>
      <c r="H225" s="330"/>
      <c r="I225" s="330"/>
      <c r="J225" s="330"/>
      <c r="K225" s="330"/>
      <c r="L225" s="330"/>
      <c r="M225" s="330"/>
      <c r="N225" s="748"/>
    </row>
    <row r="226" spans="1:14" s="487" customFormat="1" ht="15.75" customHeight="1">
      <c r="A226" s="400"/>
      <c r="B226" s="351"/>
      <c r="C226" s="330" t="s">
        <v>1148</v>
      </c>
      <c r="D226" s="330"/>
      <c r="E226" s="330"/>
      <c r="F226" s="330"/>
      <c r="G226" s="330"/>
      <c r="H226" s="330"/>
      <c r="I226" s="330"/>
      <c r="J226" s="330"/>
      <c r="K226" s="330"/>
      <c r="L226" s="330"/>
      <c r="M226" s="752">
        <f>M224</f>
        <v>106.81920000000002</v>
      </c>
      <c r="N226" s="748"/>
    </row>
    <row r="227" spans="1:14" s="487" customFormat="1" ht="15.75" customHeight="1">
      <c r="A227" s="400"/>
      <c r="B227" s="351"/>
      <c r="C227" s="330"/>
      <c r="D227" s="330"/>
      <c r="E227" s="330"/>
      <c r="F227" s="330"/>
      <c r="G227" s="330"/>
      <c r="H227" s="330"/>
      <c r="I227" s="330"/>
      <c r="J227" s="330"/>
      <c r="K227" s="330"/>
      <c r="L227" s="330"/>
      <c r="M227" s="474">
        <f>SUM(M226:M226)</f>
        <v>106.81920000000002</v>
      </c>
      <c r="N227" s="562" t="s">
        <v>89</v>
      </c>
    </row>
    <row r="228" spans="1:14" s="487" customFormat="1" ht="15.75" customHeight="1">
      <c r="A228" s="350">
        <f>A225+1</f>
        <v>4</v>
      </c>
      <c r="B228" s="351" t="s">
        <v>436</v>
      </c>
      <c r="C228" s="330"/>
      <c r="D228" s="330"/>
      <c r="E228" s="330"/>
      <c r="F228" s="330"/>
      <c r="G228" s="330"/>
      <c r="H228" s="330"/>
      <c r="I228" s="330"/>
      <c r="J228" s="330"/>
      <c r="K228" s="330"/>
      <c r="L228" s="330"/>
      <c r="M228" s="474"/>
      <c r="N228" s="562"/>
    </row>
    <row r="229" spans="1:14" s="487" customFormat="1" ht="15.75" customHeight="1">
      <c r="A229" s="350"/>
      <c r="B229" s="567" t="s">
        <v>1149</v>
      </c>
      <c r="C229" s="382">
        <v>1.6020000000000001</v>
      </c>
      <c r="D229" s="382"/>
      <c r="E229" s="382">
        <v>0.92800000000000005</v>
      </c>
      <c r="F229" s="330"/>
      <c r="G229" s="330"/>
      <c r="H229" s="330"/>
      <c r="I229" s="330"/>
      <c r="J229" s="330"/>
      <c r="K229" s="330"/>
      <c r="L229" s="330">
        <v>2</v>
      </c>
      <c r="M229" s="330">
        <f>C229*E229*L229</f>
        <v>2.9733120000000004</v>
      </c>
      <c r="N229" s="562"/>
    </row>
    <row r="230" spans="1:14" s="487" customFormat="1" ht="15.75" customHeight="1">
      <c r="A230" s="400"/>
      <c r="B230" s="351"/>
      <c r="C230" s="382">
        <v>1.304</v>
      </c>
      <c r="D230" s="382"/>
      <c r="E230" s="382">
        <v>0.92800000000000005</v>
      </c>
      <c r="F230" s="330"/>
      <c r="G230" s="330"/>
      <c r="H230" s="330"/>
      <c r="I230" s="330"/>
      <c r="J230" s="330"/>
      <c r="K230" s="330"/>
      <c r="L230" s="330">
        <f>L229</f>
        <v>2</v>
      </c>
      <c r="M230" s="330">
        <f>C230*E230*L230</f>
        <v>2.4202240000000002</v>
      </c>
      <c r="N230" s="562"/>
    </row>
    <row r="231" spans="1:14" s="487" customFormat="1" ht="15.75" customHeight="1">
      <c r="A231" s="400"/>
      <c r="B231" s="351"/>
      <c r="C231" s="382">
        <f>(1/2*1.602)</f>
        <v>0.80100000000000005</v>
      </c>
      <c r="D231" s="382"/>
      <c r="E231" s="382">
        <v>1.341</v>
      </c>
      <c r="F231" s="330"/>
      <c r="G231" s="330"/>
      <c r="H231" s="330"/>
      <c r="I231" s="330"/>
      <c r="J231" s="330"/>
      <c r="K231" s="330"/>
      <c r="L231" s="330">
        <f>L230</f>
        <v>2</v>
      </c>
      <c r="M231" s="752">
        <f>C231*E231*L231</f>
        <v>2.148282</v>
      </c>
      <c r="N231" s="562"/>
    </row>
    <row r="232" spans="1:14" s="487" customFormat="1" ht="15.75" customHeight="1">
      <c r="A232" s="400"/>
      <c r="B232" s="351"/>
      <c r="C232" s="330"/>
      <c r="D232" s="330"/>
      <c r="E232" s="330"/>
      <c r="F232" s="330"/>
      <c r="G232" s="330"/>
      <c r="H232" s="330"/>
      <c r="I232" s="330"/>
      <c r="J232" s="330"/>
      <c r="K232" s="330"/>
      <c r="L232" s="330"/>
      <c r="M232" s="474">
        <f>SUM(M230:M231)</f>
        <v>4.5685060000000002</v>
      </c>
      <c r="N232" s="562" t="s">
        <v>89</v>
      </c>
    </row>
    <row r="233" spans="1:14" s="487" customFormat="1" ht="15.75" customHeight="1">
      <c r="A233" s="350">
        <f>A228+1</f>
        <v>5</v>
      </c>
      <c r="B233" s="351" t="s">
        <v>822</v>
      </c>
      <c r="C233" s="330"/>
      <c r="D233" s="330"/>
      <c r="E233" s="330"/>
      <c r="F233" s="330"/>
      <c r="G233" s="330"/>
      <c r="H233" s="330"/>
      <c r="I233" s="330"/>
      <c r="J233" s="330"/>
      <c r="K233" s="330"/>
      <c r="L233" s="330"/>
      <c r="M233" s="330"/>
      <c r="N233" s="748"/>
    </row>
    <row r="234" spans="1:14" s="487" customFormat="1" ht="15.75" customHeight="1">
      <c r="A234" s="350"/>
      <c r="B234" s="589" t="s">
        <v>1150</v>
      </c>
      <c r="C234" s="330"/>
      <c r="D234" s="330">
        <f>D220</f>
        <v>2</v>
      </c>
      <c r="E234" s="330"/>
      <c r="F234" s="330"/>
      <c r="G234" s="330"/>
      <c r="H234" s="330"/>
      <c r="I234" s="330"/>
      <c r="J234" s="330">
        <v>2</v>
      </c>
      <c r="K234" s="330">
        <v>1</v>
      </c>
      <c r="L234" s="330">
        <v>1</v>
      </c>
      <c r="M234" s="330">
        <f>D234*J234*K234*L234</f>
        <v>4</v>
      </c>
      <c r="N234" s="748"/>
    </row>
    <row r="235" spans="1:14" s="487" customFormat="1" ht="15.75" customHeight="1">
      <c r="A235" s="350"/>
      <c r="B235" s="589"/>
      <c r="C235" s="330"/>
      <c r="D235" s="330"/>
      <c r="E235" s="330">
        <f>E220</f>
        <v>2.5</v>
      </c>
      <c r="F235" s="330"/>
      <c r="G235" s="330"/>
      <c r="H235" s="330"/>
      <c r="I235" s="330"/>
      <c r="J235" s="330">
        <f>J234</f>
        <v>2</v>
      </c>
      <c r="K235" s="330">
        <v>2</v>
      </c>
      <c r="L235" s="330">
        <f>L234</f>
        <v>1</v>
      </c>
      <c r="M235" s="330">
        <f>E235*J235*K235*L235</f>
        <v>10</v>
      </c>
      <c r="N235" s="748"/>
    </row>
    <row r="236" spans="1:14" s="487" customFormat="1" ht="15.75" customHeight="1">
      <c r="A236" s="350"/>
      <c r="B236" s="589" t="s">
        <v>1145</v>
      </c>
      <c r="C236" s="330"/>
      <c r="D236" s="330">
        <f>D221</f>
        <v>2.04</v>
      </c>
      <c r="E236" s="330"/>
      <c r="F236" s="330"/>
      <c r="G236" s="330"/>
      <c r="H236" s="330"/>
      <c r="I236" s="330"/>
      <c r="J236" s="330">
        <f>J235</f>
        <v>2</v>
      </c>
      <c r="K236" s="330">
        <f>K234</f>
        <v>1</v>
      </c>
      <c r="L236" s="330">
        <v>1</v>
      </c>
      <c r="M236" s="330">
        <f>D236*J236*K236*L236</f>
        <v>4.08</v>
      </c>
      <c r="N236" s="748"/>
    </row>
    <row r="237" spans="1:14" s="487" customFormat="1" ht="15.75" customHeight="1">
      <c r="A237" s="350"/>
      <c r="B237" s="589"/>
      <c r="C237" s="330"/>
      <c r="D237" s="330"/>
      <c r="E237" s="330">
        <f>E221</f>
        <v>0.86</v>
      </c>
      <c r="F237" s="330"/>
      <c r="G237" s="330"/>
      <c r="H237" s="330"/>
      <c r="I237" s="330"/>
      <c r="J237" s="330">
        <f>J236</f>
        <v>2</v>
      </c>
      <c r="K237" s="330">
        <f>K235</f>
        <v>2</v>
      </c>
      <c r="L237" s="330">
        <f>L236</f>
        <v>1</v>
      </c>
      <c r="M237" s="330">
        <f>E237*J237*K237*L237</f>
        <v>3.44</v>
      </c>
      <c r="N237" s="748"/>
    </row>
    <row r="238" spans="1:14" s="487" customFormat="1" ht="15.75" customHeight="1">
      <c r="A238" s="350"/>
      <c r="B238" s="589" t="s">
        <v>1146</v>
      </c>
      <c r="C238" s="330">
        <f>C222</f>
        <v>0.64500000000000002</v>
      </c>
      <c r="D238" s="330"/>
      <c r="E238" s="330"/>
      <c r="F238" s="330"/>
      <c r="G238" s="330"/>
      <c r="H238" s="330"/>
      <c r="I238" s="330"/>
      <c r="J238" s="330">
        <f>J237</f>
        <v>2</v>
      </c>
      <c r="K238" s="330">
        <v>2</v>
      </c>
      <c r="L238" s="330">
        <v>2</v>
      </c>
      <c r="M238" s="330">
        <f>C238*J238*K238*L238</f>
        <v>5.16</v>
      </c>
      <c r="N238" s="748"/>
    </row>
    <row r="239" spans="1:14" s="487" customFormat="1" ht="15.75" customHeight="1">
      <c r="A239" s="350"/>
      <c r="B239" s="589"/>
      <c r="C239" s="330"/>
      <c r="D239" s="330"/>
      <c r="E239" s="330">
        <f>E222</f>
        <v>0.4</v>
      </c>
      <c r="F239" s="330"/>
      <c r="G239" s="330"/>
      <c r="H239" s="330"/>
      <c r="I239" s="330"/>
      <c r="J239" s="330">
        <f>J238</f>
        <v>2</v>
      </c>
      <c r="K239" s="330">
        <v>2</v>
      </c>
      <c r="L239" s="330">
        <f>L238</f>
        <v>2</v>
      </c>
      <c r="M239" s="752">
        <f>E239*J239*K239*L239</f>
        <v>3.2</v>
      </c>
      <c r="N239" s="748"/>
    </row>
    <row r="240" spans="1:14" s="487" customFormat="1" ht="15.75" customHeight="1">
      <c r="A240" s="350"/>
      <c r="B240" s="589"/>
      <c r="C240" s="330"/>
      <c r="D240" s="330"/>
      <c r="E240" s="330"/>
      <c r="F240" s="330"/>
      <c r="G240" s="330"/>
      <c r="H240" s="330"/>
      <c r="I240" s="330"/>
      <c r="J240" s="330"/>
      <c r="K240" s="330"/>
      <c r="L240" s="330"/>
      <c r="M240" s="474">
        <f>SUM(M234:M239)</f>
        <v>29.88</v>
      </c>
      <c r="N240" s="562" t="s">
        <v>117</v>
      </c>
    </row>
    <row r="241" spans="1:23" s="487" customFormat="1" ht="27.75" customHeight="1">
      <c r="A241" s="400">
        <f>A233+1</f>
        <v>6</v>
      </c>
      <c r="B241" s="593" t="s">
        <v>1151</v>
      </c>
      <c r="C241" s="330"/>
      <c r="D241" s="330">
        <v>2</v>
      </c>
      <c r="E241" s="330">
        <v>2.5</v>
      </c>
      <c r="F241" s="330"/>
      <c r="G241" s="330"/>
      <c r="H241" s="330"/>
      <c r="I241" s="330"/>
      <c r="J241" s="330"/>
      <c r="K241" s="330"/>
      <c r="L241" s="330">
        <v>1</v>
      </c>
      <c r="M241" s="330">
        <f>D241*E241*L241</f>
        <v>5</v>
      </c>
      <c r="N241" s="748" t="s">
        <v>89</v>
      </c>
    </row>
    <row r="242" spans="1:23" s="487" customFormat="1" ht="15.75" customHeight="1">
      <c r="A242" s="400">
        <f>A241+1</f>
        <v>7</v>
      </c>
      <c r="B242" s="403" t="s">
        <v>704</v>
      </c>
      <c r="C242" s="330"/>
      <c r="D242" s="330"/>
      <c r="E242" s="330"/>
      <c r="F242" s="330"/>
      <c r="G242" s="330"/>
      <c r="H242" s="330"/>
      <c r="I242" s="330"/>
      <c r="J242" s="330"/>
      <c r="K242" s="330"/>
      <c r="L242" s="330">
        <v>1</v>
      </c>
      <c r="M242" s="330">
        <f>L242</f>
        <v>1</v>
      </c>
      <c r="N242" s="748" t="s">
        <v>360</v>
      </c>
    </row>
    <row r="243" spans="1:23" s="487" customFormat="1" ht="15.75" customHeight="1">
      <c r="A243" s="400">
        <f>A242+1</f>
        <v>8</v>
      </c>
      <c r="B243" s="351" t="s">
        <v>565</v>
      </c>
      <c r="C243" s="330"/>
      <c r="D243" s="330"/>
      <c r="E243" s="330"/>
      <c r="F243" s="330"/>
      <c r="G243" s="330"/>
      <c r="H243" s="330"/>
      <c r="I243" s="330"/>
      <c r="J243" s="330"/>
      <c r="K243" s="330"/>
      <c r="L243" s="330"/>
      <c r="M243" s="330"/>
      <c r="N243" s="748"/>
    </row>
    <row r="244" spans="1:23" s="487" customFormat="1" ht="15.75" customHeight="1">
      <c r="A244" s="419" t="s">
        <v>95</v>
      </c>
      <c r="B244" s="351" t="s">
        <v>566</v>
      </c>
      <c r="C244" s="330"/>
      <c r="D244" s="330"/>
      <c r="E244" s="330"/>
      <c r="F244" s="330"/>
      <c r="G244" s="330"/>
      <c r="H244" s="330"/>
      <c r="I244" s="330"/>
      <c r="J244" s="330"/>
      <c r="K244" s="330"/>
      <c r="L244" s="330"/>
      <c r="M244" s="330"/>
      <c r="N244" s="748"/>
    </row>
    <row r="245" spans="1:23" s="487" customFormat="1" ht="15.75" customHeight="1">
      <c r="A245" s="419"/>
      <c r="B245" s="351"/>
      <c r="C245" s="330">
        <f>C238</f>
        <v>0.64500000000000002</v>
      </c>
      <c r="D245" s="330"/>
      <c r="E245" s="330"/>
      <c r="F245" s="330"/>
      <c r="G245" s="330"/>
      <c r="H245" s="330"/>
      <c r="I245" s="330"/>
      <c r="J245" s="330">
        <v>2</v>
      </c>
      <c r="K245" s="330"/>
      <c r="L245" s="330">
        <f>L241</f>
        <v>1</v>
      </c>
      <c r="M245" s="330">
        <f>C245*J245*L245</f>
        <v>1.29</v>
      </c>
      <c r="N245" s="748"/>
    </row>
    <row r="246" spans="1:23" s="487" customFormat="1" ht="15.75" customHeight="1">
      <c r="A246" s="419"/>
      <c r="B246" s="351"/>
      <c r="C246" s="330"/>
      <c r="D246" s="330"/>
      <c r="E246" s="330">
        <f>E239</f>
        <v>0.4</v>
      </c>
      <c r="F246" s="330"/>
      <c r="G246" s="330"/>
      <c r="H246" s="330"/>
      <c r="I246" s="330"/>
      <c r="J246" s="330">
        <f>J245</f>
        <v>2</v>
      </c>
      <c r="K246" s="330"/>
      <c r="L246" s="330">
        <f>L245</f>
        <v>1</v>
      </c>
      <c r="M246" s="752">
        <f>E246*J246*L246</f>
        <v>0.8</v>
      </c>
      <c r="N246" s="748"/>
    </row>
    <row r="247" spans="1:23" s="487" customFormat="1" ht="15.75" customHeight="1">
      <c r="A247" s="419"/>
      <c r="B247" s="351"/>
      <c r="C247" s="330"/>
      <c r="D247" s="330"/>
      <c r="E247" s="330"/>
      <c r="F247" s="330"/>
      <c r="G247" s="330"/>
      <c r="H247" s="330"/>
      <c r="I247" s="330"/>
      <c r="J247" s="330"/>
      <c r="K247" s="330"/>
      <c r="L247" s="330"/>
      <c r="M247" s="474">
        <f>SUM(M245:M246)</f>
        <v>2.09</v>
      </c>
      <c r="N247" s="562" t="s">
        <v>117</v>
      </c>
    </row>
    <row r="248" spans="1:23" s="487" customFormat="1" ht="15.75" customHeight="1">
      <c r="A248" s="419" t="s">
        <v>98</v>
      </c>
      <c r="B248" s="351" t="s">
        <v>567</v>
      </c>
      <c r="C248" s="330">
        <f>C245-0.08</f>
        <v>0.56500000000000006</v>
      </c>
      <c r="D248" s="330"/>
      <c r="E248" s="330">
        <f>E246-0.08-0.13</f>
        <v>0.19</v>
      </c>
      <c r="F248" s="330"/>
      <c r="G248" s="330"/>
      <c r="H248" s="330"/>
      <c r="I248" s="330"/>
      <c r="J248" s="330">
        <v>2</v>
      </c>
      <c r="K248" s="330"/>
      <c r="L248" s="330">
        <f>L246</f>
        <v>1</v>
      </c>
      <c r="M248" s="330">
        <f>C248*E248*L248*J248</f>
        <v>0.21470000000000003</v>
      </c>
      <c r="N248" s="748" t="s">
        <v>89</v>
      </c>
    </row>
    <row r="249" spans="1:23" ht="15.75" customHeight="1">
      <c r="A249" s="350">
        <f>A243+1</f>
        <v>9</v>
      </c>
      <c r="B249" s="359" t="s">
        <v>437</v>
      </c>
      <c r="C249" s="348"/>
      <c r="D249" s="348"/>
      <c r="E249" s="348"/>
      <c r="F249" s="348"/>
      <c r="G249" s="348"/>
      <c r="H249" s="348"/>
      <c r="I249" s="348"/>
      <c r="J249" s="348"/>
      <c r="K249" s="348"/>
      <c r="L249" s="348"/>
      <c r="M249" s="348"/>
      <c r="N249" s="748"/>
      <c r="O249" s="563"/>
      <c r="P249" s="398"/>
      <c r="Q249" s="564"/>
      <c r="R249" s="398"/>
      <c r="S249" s="398"/>
      <c r="T249" s="398"/>
      <c r="U249" s="738"/>
      <c r="V249" s="738"/>
      <c r="W249" s="738"/>
    </row>
    <row r="250" spans="1:23" ht="15.75" customHeight="1">
      <c r="A250" s="355" t="s">
        <v>95</v>
      </c>
      <c r="B250" s="359" t="s">
        <v>438</v>
      </c>
      <c r="C250" s="348"/>
      <c r="D250" s="348"/>
      <c r="E250" s="348"/>
      <c r="F250" s="348"/>
      <c r="G250" s="348"/>
      <c r="H250" s="348"/>
      <c r="I250" s="348"/>
      <c r="J250" s="348"/>
      <c r="K250" s="348"/>
      <c r="L250" s="348"/>
      <c r="M250" s="348"/>
      <c r="N250" s="748"/>
      <c r="O250" s="563"/>
      <c r="P250" s="398"/>
      <c r="Q250" s="564"/>
      <c r="R250" s="398"/>
      <c r="S250" s="398"/>
      <c r="T250" s="398"/>
      <c r="U250" s="738"/>
      <c r="V250" s="738"/>
      <c r="W250" s="738"/>
    </row>
    <row r="251" spans="1:23" ht="15.75" customHeight="1">
      <c r="A251" s="350"/>
      <c r="B251" s="567" t="s">
        <v>1152</v>
      </c>
      <c r="C251" s="348">
        <f>3+(0.3*2)</f>
        <v>3.6</v>
      </c>
      <c r="D251" s="348">
        <v>0.12</v>
      </c>
      <c r="E251" s="348">
        <v>0.2</v>
      </c>
      <c r="F251" s="348"/>
      <c r="G251" s="348"/>
      <c r="H251" s="348"/>
      <c r="I251" s="348"/>
      <c r="J251" s="348"/>
      <c r="K251" s="348"/>
      <c r="L251" s="348"/>
      <c r="M251" s="348">
        <f>C251*E251*D251</f>
        <v>8.6400000000000005E-2</v>
      </c>
      <c r="N251" s="748"/>
      <c r="O251" s="563"/>
      <c r="P251" s="398"/>
      <c r="Q251" s="564"/>
      <c r="R251" s="398"/>
      <c r="S251" s="398"/>
      <c r="T251" s="398"/>
      <c r="U251" s="738"/>
      <c r="V251" s="738"/>
      <c r="W251" s="738"/>
    </row>
    <row r="252" spans="1:23" ht="15.75" customHeight="1">
      <c r="A252" s="350"/>
      <c r="B252" s="567" t="s">
        <v>1153</v>
      </c>
      <c r="C252" s="348">
        <f>1.5+(0.3*2)</f>
        <v>2.1</v>
      </c>
      <c r="D252" s="348">
        <f>D251</f>
        <v>0.12</v>
      </c>
      <c r="E252" s="348">
        <f>E251</f>
        <v>0.2</v>
      </c>
      <c r="F252" s="348"/>
      <c r="G252" s="348"/>
      <c r="H252" s="348"/>
      <c r="I252" s="348"/>
      <c r="J252" s="348"/>
      <c r="K252" s="348"/>
      <c r="L252" s="348"/>
      <c r="M252" s="565">
        <f>C252*E252*D252</f>
        <v>5.04E-2</v>
      </c>
      <c r="N252" s="748"/>
      <c r="O252" s="563"/>
      <c r="P252" s="398"/>
      <c r="Q252" s="564"/>
      <c r="R252" s="398"/>
      <c r="S252" s="398"/>
      <c r="T252" s="398"/>
      <c r="U252" s="738"/>
      <c r="V252" s="738"/>
      <c r="W252" s="738"/>
    </row>
    <row r="253" spans="1:23" ht="15.75" customHeight="1">
      <c r="A253" s="350"/>
      <c r="B253" s="359"/>
      <c r="C253" s="348"/>
      <c r="D253" s="348"/>
      <c r="E253" s="348"/>
      <c r="F253" s="348"/>
      <c r="G253" s="348"/>
      <c r="H253" s="348"/>
      <c r="I253" s="348"/>
      <c r="J253" s="348"/>
      <c r="K253" s="348"/>
      <c r="L253" s="348"/>
      <c r="M253" s="343">
        <f>SUM(M251:M252)</f>
        <v>0.1368</v>
      </c>
      <c r="N253" s="748" t="s">
        <v>103</v>
      </c>
      <c r="O253" s="563">
        <f>ROUND((M253),2)</f>
        <v>0.14000000000000001</v>
      </c>
      <c r="P253" s="398"/>
      <c r="Q253" s="564"/>
      <c r="R253" s="398"/>
      <c r="S253" s="398"/>
      <c r="T253" s="398"/>
      <c r="U253" s="738"/>
      <c r="V253" s="738"/>
      <c r="W253" s="738"/>
    </row>
    <row r="254" spans="1:23" ht="15.75" customHeight="1">
      <c r="A254" s="355" t="s">
        <v>98</v>
      </c>
      <c r="B254" s="359" t="s">
        <v>439</v>
      </c>
      <c r="C254" s="348"/>
      <c r="D254" s="348"/>
      <c r="E254" s="348"/>
      <c r="F254" s="348"/>
      <c r="G254" s="348"/>
      <c r="H254" s="348"/>
      <c r="I254" s="348"/>
      <c r="J254" s="348"/>
      <c r="K254" s="348"/>
      <c r="L254" s="348"/>
      <c r="M254" s="348"/>
      <c r="N254" s="748"/>
      <c r="O254" s="563"/>
      <c r="P254" s="398"/>
      <c r="Q254" s="564"/>
      <c r="R254" s="398"/>
      <c r="S254" s="398"/>
      <c r="T254" s="398"/>
      <c r="U254" s="738"/>
      <c r="V254" s="738"/>
      <c r="W254" s="738"/>
    </row>
    <row r="255" spans="1:23" ht="15.75" customHeight="1">
      <c r="A255" s="355"/>
      <c r="B255" s="567" t="str">
        <f>B251</f>
        <v>entrance kios</v>
      </c>
      <c r="C255" s="348">
        <f>C251</f>
        <v>3.6</v>
      </c>
      <c r="D255" s="348"/>
      <c r="E255" s="348">
        <f>0.1+E251</f>
        <v>0.30000000000000004</v>
      </c>
      <c r="F255" s="348"/>
      <c r="G255" s="348"/>
      <c r="H255" s="348"/>
      <c r="I255" s="348"/>
      <c r="J255" s="348"/>
      <c r="K255" s="348"/>
      <c r="L255" s="348"/>
      <c r="M255" s="348">
        <f>C255*E255</f>
        <v>1.0800000000000003</v>
      </c>
      <c r="N255" s="748"/>
      <c r="O255" s="563"/>
      <c r="P255" s="398"/>
      <c r="Q255" s="564"/>
      <c r="R255" s="398"/>
      <c r="S255" s="398"/>
      <c r="T255" s="398"/>
      <c r="U255" s="738"/>
      <c r="V255" s="738"/>
      <c r="W255" s="738"/>
    </row>
    <row r="256" spans="1:23" ht="15.75" customHeight="1">
      <c r="A256" s="355"/>
      <c r="B256" s="567" t="str">
        <f>B252</f>
        <v>entrance toilet</v>
      </c>
      <c r="C256" s="348">
        <f>C252</f>
        <v>2.1</v>
      </c>
      <c r="D256" s="348"/>
      <c r="E256" s="348">
        <f>0.3+E252</f>
        <v>0.5</v>
      </c>
      <c r="F256" s="348"/>
      <c r="G256" s="348"/>
      <c r="H256" s="348"/>
      <c r="I256" s="348"/>
      <c r="J256" s="348"/>
      <c r="K256" s="348"/>
      <c r="L256" s="348"/>
      <c r="M256" s="565">
        <f>C256*E256</f>
        <v>1.05</v>
      </c>
      <c r="N256" s="748"/>
      <c r="O256" s="563"/>
      <c r="P256" s="398"/>
      <c r="Q256" s="564"/>
      <c r="R256" s="398"/>
      <c r="S256" s="398"/>
      <c r="T256" s="398"/>
      <c r="U256" s="738"/>
      <c r="V256" s="738"/>
      <c r="W256" s="738"/>
    </row>
    <row r="257" spans="1:23" ht="15.75" customHeight="1">
      <c r="A257" s="355"/>
      <c r="B257" s="359"/>
      <c r="C257" s="348"/>
      <c r="D257" s="348"/>
      <c r="E257" s="348"/>
      <c r="F257" s="348"/>
      <c r="G257" s="348"/>
      <c r="H257" s="348"/>
      <c r="I257" s="348"/>
      <c r="J257" s="348"/>
      <c r="K257" s="348"/>
      <c r="L257" s="348"/>
      <c r="M257" s="343">
        <f>SUM(M255:M256)</f>
        <v>2.1300000000000003</v>
      </c>
      <c r="N257" s="748" t="s">
        <v>89</v>
      </c>
      <c r="O257" s="563">
        <f>ROUND((M257),2)</f>
        <v>2.13</v>
      </c>
      <c r="P257" s="398"/>
      <c r="Q257" s="564"/>
      <c r="R257" s="398"/>
      <c r="S257" s="398"/>
      <c r="T257" s="398"/>
      <c r="U257" s="738"/>
      <c r="V257" s="738"/>
      <c r="W257" s="738"/>
    </row>
    <row r="258" spans="1:23" ht="15.75" customHeight="1">
      <c r="A258" s="355" t="s">
        <v>121</v>
      </c>
      <c r="B258" s="359" t="s">
        <v>441</v>
      </c>
      <c r="C258" s="348"/>
      <c r="D258" s="348"/>
      <c r="E258" s="348"/>
      <c r="F258" s="348"/>
      <c r="G258" s="348"/>
      <c r="H258" s="348"/>
      <c r="I258" s="348"/>
      <c r="J258" s="348"/>
      <c r="K258" s="348"/>
      <c r="L258" s="348"/>
      <c r="M258" s="348"/>
      <c r="N258" s="748"/>
      <c r="O258" s="563"/>
      <c r="P258" s="398"/>
      <c r="Q258" s="564"/>
      <c r="R258" s="398"/>
      <c r="S258" s="398"/>
      <c r="T258" s="398"/>
      <c r="U258" s="738"/>
      <c r="V258" s="738"/>
      <c r="W258" s="738"/>
    </row>
    <row r="259" spans="1:23" ht="15.75" customHeight="1">
      <c r="A259" s="355"/>
      <c r="B259" s="567" t="str">
        <f>B255</f>
        <v>entrance kios</v>
      </c>
      <c r="C259" s="348">
        <f>C255-0.6</f>
        <v>3</v>
      </c>
      <c r="D259" s="348">
        <v>0.3</v>
      </c>
      <c r="E259" s="348">
        <v>0.03</v>
      </c>
      <c r="F259" s="348"/>
      <c r="G259" s="348"/>
      <c r="H259" s="348"/>
      <c r="I259" s="348"/>
      <c r="J259" s="348"/>
      <c r="K259" s="348"/>
      <c r="L259" s="348"/>
      <c r="M259" s="348">
        <f>C259*E259*D259</f>
        <v>2.7E-2</v>
      </c>
      <c r="N259" s="748"/>
      <c r="O259" s="563"/>
      <c r="P259" s="398"/>
      <c r="Q259" s="564"/>
      <c r="R259" s="398"/>
      <c r="S259" s="398"/>
      <c r="T259" s="398"/>
      <c r="U259" s="738"/>
      <c r="V259" s="738"/>
      <c r="W259" s="738"/>
    </row>
    <row r="260" spans="1:23" ht="15.75" customHeight="1">
      <c r="A260" s="355"/>
      <c r="B260" s="567" t="str">
        <f>B256</f>
        <v>entrance toilet</v>
      </c>
      <c r="C260" s="348">
        <f>C256-0.6</f>
        <v>1.5</v>
      </c>
      <c r="D260" s="348">
        <f>D259</f>
        <v>0.3</v>
      </c>
      <c r="E260" s="348">
        <f>E259</f>
        <v>0.03</v>
      </c>
      <c r="F260" s="348"/>
      <c r="G260" s="348"/>
      <c r="H260" s="348"/>
      <c r="I260" s="348"/>
      <c r="J260" s="348"/>
      <c r="K260" s="348"/>
      <c r="L260" s="348"/>
      <c r="M260" s="565">
        <f>C260*E260*D260</f>
        <v>1.35E-2</v>
      </c>
      <c r="N260" s="748"/>
      <c r="O260" s="563"/>
      <c r="P260" s="398"/>
      <c r="Q260" s="564"/>
      <c r="R260" s="398"/>
      <c r="S260" s="398"/>
      <c r="T260" s="398"/>
      <c r="U260" s="738"/>
      <c r="V260" s="738"/>
      <c r="W260" s="738"/>
    </row>
    <row r="261" spans="1:23" ht="15.75" customHeight="1">
      <c r="A261" s="355"/>
      <c r="B261" s="351"/>
      <c r="C261" s="348"/>
      <c r="D261" s="348"/>
      <c r="E261" s="348"/>
      <c r="F261" s="348"/>
      <c r="G261" s="348"/>
      <c r="H261" s="348"/>
      <c r="I261" s="348"/>
      <c r="J261" s="348"/>
      <c r="K261" s="348"/>
      <c r="L261" s="348"/>
      <c r="M261" s="343">
        <f>SUM(M259:M260)</f>
        <v>4.0500000000000001E-2</v>
      </c>
      <c r="N261" s="748" t="s">
        <v>103</v>
      </c>
      <c r="O261" s="563">
        <f>ROUND((M261),2)</f>
        <v>0.04</v>
      </c>
      <c r="P261" s="398"/>
      <c r="Q261" s="564"/>
      <c r="R261" s="398"/>
      <c r="S261" s="398"/>
      <c r="T261" s="398"/>
      <c r="U261" s="738"/>
      <c r="V261" s="738"/>
      <c r="W261" s="738"/>
    </row>
    <row r="262" spans="1:23" ht="15.75" customHeight="1">
      <c r="A262" s="355" t="s">
        <v>142</v>
      </c>
      <c r="B262" s="359" t="s">
        <v>192</v>
      </c>
      <c r="C262" s="348"/>
      <c r="D262" s="348"/>
      <c r="E262" s="348"/>
      <c r="F262" s="348"/>
      <c r="G262" s="348"/>
      <c r="H262" s="348"/>
      <c r="I262" s="348"/>
      <c r="J262" s="348"/>
      <c r="K262" s="348"/>
      <c r="L262" s="348"/>
      <c r="M262" s="348"/>
      <c r="N262" s="748"/>
      <c r="O262" s="563"/>
      <c r="P262" s="398"/>
      <c r="Q262" s="564"/>
      <c r="R262" s="398"/>
      <c r="S262" s="398"/>
      <c r="T262" s="398"/>
      <c r="U262" s="738"/>
      <c r="V262" s="738"/>
      <c r="W262" s="738"/>
    </row>
    <row r="263" spans="1:23" ht="15.75" customHeight="1">
      <c r="A263" s="355"/>
      <c r="B263" s="567" t="str">
        <f t="shared" ref="B263:D264" si="7">B259</f>
        <v>entrance kios</v>
      </c>
      <c r="C263" s="348">
        <f t="shared" si="7"/>
        <v>3</v>
      </c>
      <c r="D263" s="348">
        <f t="shared" si="7"/>
        <v>0.3</v>
      </c>
      <c r="E263" s="348">
        <v>7.0000000000000007E-2</v>
      </c>
      <c r="F263" s="348"/>
      <c r="G263" s="348"/>
      <c r="H263" s="348"/>
      <c r="I263" s="348"/>
      <c r="J263" s="348"/>
      <c r="K263" s="348"/>
      <c r="L263" s="348"/>
      <c r="M263" s="348">
        <f>C263*D263*E263</f>
        <v>6.3E-2</v>
      </c>
      <c r="N263" s="748"/>
      <c r="O263" s="563"/>
      <c r="P263" s="398"/>
      <c r="Q263" s="564"/>
      <c r="R263" s="398"/>
      <c r="S263" s="398"/>
      <c r="T263" s="398"/>
      <c r="U263" s="738"/>
      <c r="V263" s="738"/>
      <c r="W263" s="738"/>
    </row>
    <row r="264" spans="1:23" ht="15.75" customHeight="1">
      <c r="A264" s="355"/>
      <c r="B264" s="567" t="str">
        <f t="shared" si="7"/>
        <v>entrance toilet</v>
      </c>
      <c r="C264" s="348">
        <f t="shared" si="7"/>
        <v>1.5</v>
      </c>
      <c r="D264" s="348">
        <f t="shared" si="7"/>
        <v>0.3</v>
      </c>
      <c r="E264" s="348">
        <f>E263</f>
        <v>7.0000000000000007E-2</v>
      </c>
      <c r="F264" s="348"/>
      <c r="G264" s="348"/>
      <c r="H264" s="348"/>
      <c r="I264" s="348"/>
      <c r="J264" s="348"/>
      <c r="K264" s="348"/>
      <c r="L264" s="348"/>
      <c r="M264" s="565">
        <f>C264*D264*E264</f>
        <v>3.15E-2</v>
      </c>
      <c r="N264" s="748"/>
      <c r="O264" s="563"/>
      <c r="P264" s="398"/>
      <c r="Q264" s="564"/>
      <c r="R264" s="398"/>
      <c r="S264" s="398"/>
      <c r="T264" s="398"/>
      <c r="U264" s="738"/>
      <c r="V264" s="738"/>
      <c r="W264" s="738"/>
    </row>
    <row r="265" spans="1:23" ht="15.75" customHeight="1">
      <c r="A265" s="355"/>
      <c r="B265" s="359"/>
      <c r="C265" s="348"/>
      <c r="D265" s="348"/>
      <c r="E265" s="348"/>
      <c r="F265" s="348"/>
      <c r="G265" s="348"/>
      <c r="H265" s="348"/>
      <c r="I265" s="348"/>
      <c r="J265" s="348"/>
      <c r="K265" s="348"/>
      <c r="L265" s="348"/>
      <c r="M265" s="343">
        <f>SUM(M263:M264)</f>
        <v>9.4500000000000001E-2</v>
      </c>
      <c r="N265" s="748" t="s">
        <v>103</v>
      </c>
      <c r="O265" s="563">
        <f>ROUND((M265),2)</f>
        <v>0.09</v>
      </c>
      <c r="P265" s="398"/>
      <c r="Q265" s="564"/>
      <c r="R265" s="398"/>
      <c r="S265" s="398"/>
      <c r="T265" s="398"/>
      <c r="U265" s="738"/>
      <c r="V265" s="738"/>
      <c r="W265" s="738"/>
    </row>
    <row r="266" spans="1:23" ht="15.75" customHeight="1">
      <c r="A266" s="355" t="s">
        <v>217</v>
      </c>
      <c r="B266" s="359" t="s">
        <v>442</v>
      </c>
      <c r="C266" s="348"/>
      <c r="D266" s="348"/>
      <c r="E266" s="348"/>
      <c r="F266" s="348"/>
      <c r="G266" s="348"/>
      <c r="H266" s="348"/>
      <c r="I266" s="348"/>
      <c r="J266" s="348"/>
      <c r="K266" s="348"/>
      <c r="L266" s="348"/>
      <c r="M266" s="343"/>
      <c r="N266" s="748"/>
      <c r="O266" s="563"/>
      <c r="P266" s="398"/>
      <c r="Q266" s="564"/>
      <c r="R266" s="398"/>
      <c r="S266" s="398"/>
      <c r="T266" s="398"/>
      <c r="U266" s="738"/>
      <c r="V266" s="738"/>
      <c r="W266" s="738"/>
    </row>
    <row r="267" spans="1:23" ht="15.75" customHeight="1">
      <c r="A267" s="355"/>
      <c r="B267" s="567" t="str">
        <f>B251</f>
        <v>entrance kios</v>
      </c>
      <c r="C267" s="348">
        <f>C263</f>
        <v>3</v>
      </c>
      <c r="D267" s="348"/>
      <c r="E267" s="348">
        <v>0.15</v>
      </c>
      <c r="F267" s="348"/>
      <c r="G267" s="348"/>
      <c r="H267" s="348"/>
      <c r="I267" s="348"/>
      <c r="J267" s="348"/>
      <c r="K267" s="348"/>
      <c r="L267" s="348"/>
      <c r="M267" s="348">
        <f>C267*E267</f>
        <v>0.44999999999999996</v>
      </c>
      <c r="N267" s="748"/>
      <c r="O267" s="563"/>
      <c r="P267" s="398"/>
      <c r="Q267" s="564"/>
      <c r="R267" s="398"/>
      <c r="S267" s="398"/>
      <c r="T267" s="398"/>
      <c r="U267" s="738"/>
      <c r="V267" s="738"/>
      <c r="W267" s="738"/>
    </row>
    <row r="268" spans="1:23" ht="15.75" customHeight="1">
      <c r="A268" s="355"/>
      <c r="B268" s="567" t="str">
        <f>B252</f>
        <v>entrance toilet</v>
      </c>
      <c r="C268" s="348">
        <f>C264</f>
        <v>1.5</v>
      </c>
      <c r="D268" s="348"/>
      <c r="E268" s="348">
        <v>0.15</v>
      </c>
      <c r="F268" s="348"/>
      <c r="G268" s="348"/>
      <c r="H268" s="348"/>
      <c r="I268" s="348"/>
      <c r="J268" s="348"/>
      <c r="K268" s="348"/>
      <c r="L268" s="348"/>
      <c r="M268" s="565">
        <f>C268*E268</f>
        <v>0.22499999999999998</v>
      </c>
      <c r="N268" s="748"/>
      <c r="O268" s="563"/>
      <c r="P268" s="398"/>
      <c r="Q268" s="564"/>
      <c r="R268" s="398"/>
      <c r="S268" s="398"/>
      <c r="T268" s="398"/>
      <c r="U268" s="738"/>
      <c r="V268" s="738"/>
      <c r="W268" s="738"/>
    </row>
    <row r="269" spans="1:23" ht="15.75" customHeight="1">
      <c r="A269" s="355"/>
      <c r="B269" s="359"/>
      <c r="C269" s="348"/>
      <c r="D269" s="348"/>
      <c r="E269" s="348"/>
      <c r="F269" s="348"/>
      <c r="G269" s="348"/>
      <c r="H269" s="348"/>
      <c r="I269" s="348"/>
      <c r="J269" s="348"/>
      <c r="K269" s="348"/>
      <c r="L269" s="348"/>
      <c r="M269" s="343">
        <f>SUM(M267:M268)</f>
        <v>0.67499999999999993</v>
      </c>
      <c r="N269" s="748" t="s">
        <v>89</v>
      </c>
      <c r="O269" s="563">
        <f>ROUND((M269),2)</f>
        <v>0.68</v>
      </c>
      <c r="P269" s="398"/>
      <c r="Q269" s="564"/>
      <c r="R269" s="398"/>
      <c r="S269" s="398"/>
      <c r="T269" s="398"/>
      <c r="U269" s="738"/>
      <c r="V269" s="738"/>
      <c r="W269" s="738"/>
    </row>
    <row r="270" spans="1:23" ht="15.75" customHeight="1">
      <c r="A270" s="355" t="s">
        <v>366</v>
      </c>
      <c r="B270" s="359" t="s">
        <v>194</v>
      </c>
      <c r="C270" s="348"/>
      <c r="D270" s="348"/>
      <c r="E270" s="348"/>
      <c r="F270" s="348"/>
      <c r="G270" s="348"/>
      <c r="H270" s="348"/>
      <c r="I270" s="348"/>
      <c r="J270" s="348"/>
      <c r="K270" s="348"/>
      <c r="L270" s="348"/>
      <c r="M270" s="343"/>
      <c r="N270" s="748"/>
      <c r="O270" s="563"/>
      <c r="P270" s="398"/>
      <c r="Q270" s="564"/>
      <c r="R270" s="398"/>
      <c r="S270" s="398"/>
      <c r="T270" s="398"/>
      <c r="U270" s="738"/>
      <c r="V270" s="738"/>
      <c r="W270" s="738"/>
    </row>
    <row r="271" spans="1:23" ht="15.75" customHeight="1">
      <c r="A271" s="355"/>
      <c r="B271" s="567" t="s">
        <v>1154</v>
      </c>
      <c r="C271" s="348"/>
      <c r="D271" s="348"/>
      <c r="E271" s="348"/>
      <c r="F271" s="348"/>
      <c r="G271" s="348"/>
      <c r="H271" s="348"/>
      <c r="I271" s="348"/>
      <c r="J271" s="348"/>
      <c r="K271" s="348"/>
      <c r="L271" s="348"/>
      <c r="M271" s="343">
        <f>M269</f>
        <v>0.67499999999999993</v>
      </c>
      <c r="N271" s="748" t="s">
        <v>89</v>
      </c>
      <c r="O271" s="563">
        <f>ROUND((M271),2)</f>
        <v>0.68</v>
      </c>
      <c r="P271" s="398"/>
      <c r="Q271" s="564"/>
      <c r="R271" s="398"/>
      <c r="S271" s="398"/>
      <c r="T271" s="398"/>
      <c r="U271" s="738"/>
      <c r="V271" s="738"/>
      <c r="W271" s="738"/>
    </row>
    <row r="272" spans="1:23" s="487" customFormat="1" ht="15.75" customHeight="1">
      <c r="A272" s="751">
        <f>A249+1</f>
        <v>10</v>
      </c>
      <c r="B272" s="351" t="s">
        <v>568</v>
      </c>
      <c r="C272" s="330">
        <f>C210</f>
        <v>3</v>
      </c>
      <c r="D272" s="330">
        <f>D210</f>
        <v>2.5</v>
      </c>
      <c r="E272" s="330"/>
      <c r="F272" s="330"/>
      <c r="G272" s="330"/>
      <c r="H272" s="330"/>
      <c r="I272" s="330"/>
      <c r="J272" s="330"/>
      <c r="K272" s="330"/>
      <c r="L272" s="330">
        <f>L248</f>
        <v>1</v>
      </c>
      <c r="M272" s="330">
        <f>C272*D272*L272+M273</f>
        <v>9.75</v>
      </c>
      <c r="N272" s="748" t="s">
        <v>89</v>
      </c>
    </row>
    <row r="273" spans="1:14" s="487" customFormat="1" ht="15.75" customHeight="1">
      <c r="A273" s="751"/>
      <c r="B273" s="351"/>
      <c r="C273" s="330">
        <f>C211</f>
        <v>1.5</v>
      </c>
      <c r="D273" s="330">
        <f>D211</f>
        <v>1.5</v>
      </c>
      <c r="E273" s="330"/>
      <c r="F273" s="330"/>
      <c r="G273" s="330"/>
      <c r="H273" s="330"/>
      <c r="I273" s="330"/>
      <c r="J273" s="330"/>
      <c r="K273" s="330"/>
      <c r="L273" s="330">
        <v>1</v>
      </c>
      <c r="M273" s="330">
        <f>C273*D273*L273</f>
        <v>2.25</v>
      </c>
      <c r="N273" s="748"/>
    </row>
    <row r="274" spans="1:14" s="487" customFormat="1" ht="15.75" customHeight="1">
      <c r="A274" s="751">
        <f>A272+1</f>
        <v>11</v>
      </c>
      <c r="B274" s="351" t="s">
        <v>569</v>
      </c>
      <c r="C274" s="330">
        <f>C209</f>
        <v>3</v>
      </c>
      <c r="D274" s="330">
        <f>D209</f>
        <v>1.075</v>
      </c>
      <c r="E274" s="330"/>
      <c r="F274" s="330"/>
      <c r="G274" s="330"/>
      <c r="H274" s="330"/>
      <c r="I274" s="330"/>
      <c r="J274" s="330"/>
      <c r="K274" s="330"/>
      <c r="L274" s="330">
        <v>1</v>
      </c>
      <c r="M274" s="330">
        <f>C274*D274*L274+M275</f>
        <v>5.4749999999999996</v>
      </c>
      <c r="N274" s="748" t="s">
        <v>89</v>
      </c>
    </row>
    <row r="275" spans="1:14" s="487" customFormat="1" ht="15.75" customHeight="1">
      <c r="A275" s="751"/>
      <c r="B275" s="589"/>
      <c r="C275" s="330">
        <f>C212</f>
        <v>1.5</v>
      </c>
      <c r="D275" s="330">
        <f>D212</f>
        <v>1.5</v>
      </c>
      <c r="E275" s="330"/>
      <c r="F275" s="330"/>
      <c r="G275" s="330"/>
      <c r="H275" s="330"/>
      <c r="I275" s="330"/>
      <c r="J275" s="330"/>
      <c r="K275" s="330"/>
      <c r="L275" s="330">
        <v>1</v>
      </c>
      <c r="M275" s="330">
        <f>C275*D275*L275</f>
        <v>2.25</v>
      </c>
      <c r="N275" s="748"/>
    </row>
    <row r="276" spans="1:14" s="487" customFormat="1" ht="15.75" customHeight="1">
      <c r="A276" s="751">
        <f>A274+1</f>
        <v>12</v>
      </c>
      <c r="B276" s="351" t="s">
        <v>570</v>
      </c>
      <c r="C276" s="330">
        <v>1.5</v>
      </c>
      <c r="D276" s="330"/>
      <c r="E276" s="330">
        <v>1.2</v>
      </c>
      <c r="F276" s="330"/>
      <c r="G276" s="330"/>
      <c r="H276" s="330"/>
      <c r="I276" s="330"/>
      <c r="J276" s="330"/>
      <c r="K276" s="330"/>
      <c r="L276" s="330">
        <v>4</v>
      </c>
      <c r="M276" s="330">
        <f>C276*E276*L276</f>
        <v>7.1999999999999993</v>
      </c>
      <c r="N276" s="748"/>
    </row>
    <row r="277" spans="1:14" s="487" customFormat="1" ht="15.75" customHeight="1">
      <c r="A277" s="751"/>
      <c r="B277" s="589" t="s">
        <v>1145</v>
      </c>
      <c r="C277" s="382"/>
      <c r="D277" s="382">
        <v>2.04</v>
      </c>
      <c r="E277" s="382">
        <v>0.86</v>
      </c>
      <c r="F277" s="330"/>
      <c r="G277" s="330"/>
      <c r="H277" s="330"/>
      <c r="I277" s="330"/>
      <c r="J277" s="330"/>
      <c r="K277" s="330"/>
      <c r="L277" s="330">
        <v>1</v>
      </c>
      <c r="M277" s="330">
        <f>-D277*E277*L277</f>
        <v>-1.7544</v>
      </c>
      <c r="N277" s="748"/>
    </row>
    <row r="278" spans="1:14" s="487" customFormat="1" ht="15.75" customHeight="1">
      <c r="A278" s="751"/>
      <c r="B278" s="589" t="s">
        <v>1146</v>
      </c>
      <c r="C278" s="382">
        <v>0.64500000000000002</v>
      </c>
      <c r="D278" s="382"/>
      <c r="E278" s="382">
        <v>0.4</v>
      </c>
      <c r="F278" s="330"/>
      <c r="G278" s="330"/>
      <c r="H278" s="330"/>
      <c r="I278" s="330"/>
      <c r="J278" s="330"/>
      <c r="K278" s="330"/>
      <c r="L278" s="330">
        <v>1</v>
      </c>
      <c r="M278" s="752">
        <f>-C278*E278*L278</f>
        <v>-0.25800000000000001</v>
      </c>
      <c r="N278" s="748"/>
    </row>
    <row r="279" spans="1:14" s="487" customFormat="1" ht="15.75" customHeight="1">
      <c r="A279" s="751"/>
      <c r="B279" s="589"/>
      <c r="C279" s="330"/>
      <c r="D279" s="330"/>
      <c r="E279" s="330"/>
      <c r="F279" s="330"/>
      <c r="G279" s="330"/>
      <c r="H279" s="330"/>
      <c r="I279" s="330"/>
      <c r="J279" s="330"/>
      <c r="K279" s="330"/>
      <c r="L279" s="330"/>
      <c r="M279" s="330">
        <f>SUM(M276:M278)</f>
        <v>5.1875999999999989</v>
      </c>
      <c r="N279" s="748" t="s">
        <v>89</v>
      </c>
    </row>
    <row r="280" spans="1:14" s="487" customFormat="1" ht="15.75" customHeight="1">
      <c r="A280" s="751">
        <f>A276+1</f>
        <v>13</v>
      </c>
      <c r="B280" s="351" t="s">
        <v>1155</v>
      </c>
      <c r="C280" s="330" t="s">
        <v>1156</v>
      </c>
      <c r="D280" s="330"/>
      <c r="E280" s="330"/>
      <c r="F280" s="330"/>
      <c r="G280" s="330"/>
      <c r="H280" s="330"/>
      <c r="I280" s="330"/>
      <c r="J280" s="330"/>
      <c r="K280" s="330"/>
      <c r="L280" s="330"/>
      <c r="M280" s="330">
        <f>M272+M274</f>
        <v>15.225</v>
      </c>
      <c r="N280" s="748" t="s">
        <v>89</v>
      </c>
    </row>
    <row r="281" spans="1:14" s="487" customFormat="1" ht="15.75" customHeight="1">
      <c r="A281" s="751">
        <f>A280+1</f>
        <v>14</v>
      </c>
      <c r="B281" s="351" t="s">
        <v>572</v>
      </c>
      <c r="C281" s="330"/>
      <c r="D281" s="330"/>
      <c r="E281" s="330"/>
      <c r="F281" s="330"/>
      <c r="G281" s="330"/>
      <c r="H281" s="330"/>
      <c r="I281" s="330"/>
      <c r="J281" s="330"/>
      <c r="K281" s="330"/>
      <c r="L281" s="330"/>
      <c r="M281" s="330"/>
      <c r="N281" s="748"/>
    </row>
    <row r="282" spans="1:14" s="487" customFormat="1" ht="15.75" customHeight="1">
      <c r="A282" s="760" t="s">
        <v>95</v>
      </c>
      <c r="B282" s="351" t="s">
        <v>573</v>
      </c>
      <c r="C282" s="330"/>
      <c r="D282" s="330"/>
      <c r="E282" s="330"/>
      <c r="F282" s="330"/>
      <c r="G282" s="330"/>
      <c r="H282" s="330"/>
      <c r="I282" s="330"/>
      <c r="J282" s="330"/>
      <c r="K282" s="330"/>
      <c r="L282" s="330"/>
      <c r="M282" s="330"/>
      <c r="N282" s="748"/>
    </row>
    <row r="283" spans="1:14" s="487" customFormat="1" ht="15.75" customHeight="1">
      <c r="A283" s="760"/>
      <c r="B283" s="351" t="s">
        <v>574</v>
      </c>
      <c r="C283" s="330">
        <v>0.2</v>
      </c>
      <c r="D283" s="330">
        <v>0.35</v>
      </c>
      <c r="E283" s="330">
        <v>0.15</v>
      </c>
      <c r="F283" s="330"/>
      <c r="G283" s="330"/>
      <c r="H283" s="330"/>
      <c r="I283" s="330"/>
      <c r="J283" s="330"/>
      <c r="K283" s="330"/>
      <c r="L283" s="330">
        <v>2</v>
      </c>
      <c r="M283" s="330">
        <f>C283*D283*E283*L283</f>
        <v>2.0999999999999998E-2</v>
      </c>
      <c r="N283" s="748" t="s">
        <v>103</v>
      </c>
    </row>
    <row r="284" spans="1:14" s="487" customFormat="1" ht="15.75" customHeight="1">
      <c r="A284" s="760"/>
      <c r="B284" s="351" t="s">
        <v>575</v>
      </c>
      <c r="C284" s="330">
        <f>C283</f>
        <v>0.2</v>
      </c>
      <c r="D284" s="330"/>
      <c r="E284" s="330">
        <v>0.2</v>
      </c>
      <c r="F284" s="330"/>
      <c r="G284" s="330"/>
      <c r="H284" s="330"/>
      <c r="I284" s="330"/>
      <c r="J284" s="330">
        <v>2</v>
      </c>
      <c r="K284" s="330"/>
      <c r="L284" s="330">
        <f>L283</f>
        <v>2</v>
      </c>
      <c r="M284" s="330">
        <f>C284*E284*J284*L284</f>
        <v>0.16000000000000003</v>
      </c>
      <c r="N284" s="748"/>
    </row>
    <row r="285" spans="1:14" s="487" customFormat="1" ht="15.75" customHeight="1">
      <c r="A285" s="760"/>
      <c r="B285" s="351"/>
      <c r="C285" s="330"/>
      <c r="D285" s="330">
        <f>D283</f>
        <v>0.35</v>
      </c>
      <c r="E285" s="330">
        <v>0.2</v>
      </c>
      <c r="F285" s="330"/>
      <c r="G285" s="330"/>
      <c r="H285" s="330"/>
      <c r="I285" s="330"/>
      <c r="J285" s="330">
        <f>J284</f>
        <v>2</v>
      </c>
      <c r="K285" s="330"/>
      <c r="L285" s="330">
        <f>L284</f>
        <v>2</v>
      </c>
      <c r="M285" s="752">
        <f>D285*E285*J285*L285</f>
        <v>0.27999999999999997</v>
      </c>
      <c r="N285" s="748"/>
    </row>
    <row r="286" spans="1:14" s="487" customFormat="1" ht="15.75" customHeight="1">
      <c r="A286" s="760"/>
      <c r="B286" s="351"/>
      <c r="C286" s="330"/>
      <c r="D286" s="330"/>
      <c r="E286" s="330"/>
      <c r="F286" s="330"/>
      <c r="G286" s="330"/>
      <c r="H286" s="330"/>
      <c r="I286" s="330"/>
      <c r="J286" s="330"/>
      <c r="K286" s="330"/>
      <c r="L286" s="330"/>
      <c r="M286" s="474">
        <f>SUM(M284:M285)</f>
        <v>0.44</v>
      </c>
      <c r="N286" s="562" t="s">
        <v>89</v>
      </c>
    </row>
    <row r="287" spans="1:14" s="487" customFormat="1" ht="15.75" customHeight="1">
      <c r="A287" s="760"/>
      <c r="B287" s="351" t="s">
        <v>576</v>
      </c>
      <c r="C287" s="330">
        <f>C283</f>
        <v>0.2</v>
      </c>
      <c r="D287" s="330">
        <f>D283</f>
        <v>0.35</v>
      </c>
      <c r="E287" s="330">
        <f>E284</f>
        <v>0.2</v>
      </c>
      <c r="F287" s="330"/>
      <c r="G287" s="330"/>
      <c r="H287" s="330"/>
      <c r="I287" s="330"/>
      <c r="J287" s="330"/>
      <c r="K287" s="330"/>
      <c r="L287" s="330">
        <f>L283</f>
        <v>2</v>
      </c>
      <c r="M287" s="330">
        <f>C287*D287*E287*L287</f>
        <v>2.7999999999999997E-2</v>
      </c>
      <c r="N287" s="748" t="s">
        <v>103</v>
      </c>
    </row>
    <row r="288" spans="1:14" s="487" customFormat="1" ht="15.75" customHeight="1">
      <c r="A288" s="760"/>
      <c r="B288" s="351" t="s">
        <v>577</v>
      </c>
      <c r="C288" s="330"/>
      <c r="D288" s="330"/>
      <c r="E288" s="330"/>
      <c r="F288" s="330"/>
      <c r="G288" s="330"/>
      <c r="H288" s="330"/>
      <c r="I288" s="330"/>
      <c r="J288" s="330"/>
      <c r="K288" s="330">
        <v>4</v>
      </c>
      <c r="L288" s="330">
        <f>L285</f>
        <v>2</v>
      </c>
      <c r="M288" s="330">
        <f>K288*L288</f>
        <v>8</v>
      </c>
      <c r="N288" s="748" t="s">
        <v>124</v>
      </c>
    </row>
    <row r="289" spans="1:24" s="487" customFormat="1" ht="15.75" customHeight="1">
      <c r="A289" s="760" t="s">
        <v>98</v>
      </c>
      <c r="B289" s="351" t="s">
        <v>578</v>
      </c>
      <c r="C289" s="330">
        <f>1.1+(0.85*2)</f>
        <v>2.8</v>
      </c>
      <c r="D289" s="330">
        <v>2.52</v>
      </c>
      <c r="E289" s="330"/>
      <c r="F289" s="330"/>
      <c r="G289" s="330"/>
      <c r="H289" s="330"/>
      <c r="I289" s="330"/>
      <c r="J289" s="330"/>
      <c r="K289" s="330"/>
      <c r="L289" s="330"/>
      <c r="M289" s="330">
        <f>C289*D289</f>
        <v>7.0559999999999992</v>
      </c>
      <c r="N289" s="748" t="s">
        <v>89</v>
      </c>
    </row>
    <row r="290" spans="1:24" s="487" customFormat="1" ht="15.75" customHeight="1">
      <c r="A290" s="760" t="s">
        <v>101</v>
      </c>
      <c r="B290" s="351" t="s">
        <v>1157</v>
      </c>
      <c r="C290" s="330">
        <f>C289+(0.27*2)</f>
        <v>3.34</v>
      </c>
      <c r="D290" s="330">
        <f>D289</f>
        <v>2.52</v>
      </c>
      <c r="E290" s="330"/>
      <c r="F290" s="330"/>
      <c r="G290" s="330"/>
      <c r="H290" s="330"/>
      <c r="I290" s="330"/>
      <c r="J290" s="330"/>
      <c r="K290" s="330"/>
      <c r="L290" s="330"/>
      <c r="M290" s="330">
        <f>C290*D290</f>
        <v>8.4168000000000003</v>
      </c>
      <c r="N290" s="748" t="s">
        <v>89</v>
      </c>
    </row>
    <row r="291" spans="1:24" s="487" customFormat="1" ht="15.75" customHeight="1">
      <c r="A291" s="751">
        <f>A281+1</f>
        <v>15</v>
      </c>
      <c r="B291" s="351" t="s">
        <v>671</v>
      </c>
      <c r="C291" s="330" t="s">
        <v>1158</v>
      </c>
      <c r="D291" s="330"/>
      <c r="E291" s="330"/>
      <c r="F291" s="330"/>
      <c r="G291" s="330"/>
      <c r="H291" s="330"/>
      <c r="I291" s="330"/>
      <c r="J291" s="330"/>
      <c r="K291" s="330"/>
      <c r="L291" s="330"/>
      <c r="M291" s="330">
        <f>M227</f>
        <v>106.81920000000002</v>
      </c>
      <c r="N291" s="748" t="s">
        <v>89</v>
      </c>
    </row>
    <row r="292" spans="1:24" s="487" customFormat="1" ht="15.75" customHeight="1">
      <c r="A292" s="751">
        <f>A291+1</f>
        <v>16</v>
      </c>
      <c r="B292" s="351" t="s">
        <v>581</v>
      </c>
      <c r="C292" s="330" t="s">
        <v>1159</v>
      </c>
      <c r="D292" s="330"/>
      <c r="E292" s="330"/>
      <c r="F292" s="330"/>
      <c r="G292" s="330"/>
      <c r="H292" s="330"/>
      <c r="I292" s="330"/>
      <c r="J292" s="330"/>
      <c r="K292" s="330"/>
      <c r="L292" s="330"/>
      <c r="M292" s="330">
        <f>M280</f>
        <v>15.225</v>
      </c>
      <c r="N292" s="748" t="s">
        <v>89</v>
      </c>
    </row>
    <row r="293" spans="1:24" s="487" customFormat="1" ht="15.75" customHeight="1">
      <c r="A293" s="751">
        <f>A292+1</f>
        <v>17</v>
      </c>
      <c r="B293" s="351" t="s">
        <v>582</v>
      </c>
      <c r="C293" s="330"/>
      <c r="D293" s="330"/>
      <c r="E293" s="330"/>
      <c r="F293" s="330"/>
      <c r="G293" s="330"/>
      <c r="H293" s="330"/>
      <c r="I293" s="330"/>
      <c r="J293" s="330"/>
      <c r="K293" s="330"/>
      <c r="L293" s="330"/>
      <c r="M293" s="330">
        <v>1</v>
      </c>
      <c r="N293" s="748" t="s">
        <v>360</v>
      </c>
    </row>
    <row r="294" spans="1:24" s="487" customFormat="1" ht="27.75" customHeight="1">
      <c r="A294" s="751">
        <f>A293+1</f>
        <v>18</v>
      </c>
      <c r="B294" s="593" t="s">
        <v>583</v>
      </c>
      <c r="C294" s="330"/>
      <c r="D294" s="330"/>
      <c r="E294" s="330"/>
      <c r="F294" s="330"/>
      <c r="G294" s="330"/>
      <c r="H294" s="330"/>
      <c r="I294" s="330"/>
      <c r="J294" s="330"/>
      <c r="K294" s="330"/>
      <c r="L294" s="330"/>
      <c r="M294" s="330">
        <v>14</v>
      </c>
      <c r="N294" s="748" t="s">
        <v>124</v>
      </c>
    </row>
    <row r="295" spans="1:24" s="554" customFormat="1" ht="15.75" customHeight="1">
      <c r="A295" s="350">
        <f>A294+1</f>
        <v>19</v>
      </c>
      <c r="B295" s="591" t="s">
        <v>443</v>
      </c>
      <c r="C295" s="592" t="s">
        <v>1023</v>
      </c>
      <c r="D295" s="348"/>
      <c r="E295" s="348"/>
      <c r="F295" s="348"/>
      <c r="G295" s="348"/>
      <c r="H295" s="348"/>
      <c r="I295" s="348"/>
      <c r="J295" s="348"/>
      <c r="K295" s="348"/>
      <c r="L295" s="348"/>
      <c r="M295" s="343"/>
      <c r="N295" s="748"/>
      <c r="O295" s="487"/>
      <c r="Q295" s="398"/>
      <c r="R295" s="564"/>
      <c r="S295" s="398"/>
      <c r="T295" s="398"/>
      <c r="U295" s="398"/>
      <c r="V295" s="555"/>
      <c r="W295" s="555"/>
      <c r="X295" s="555"/>
    </row>
    <row r="296" spans="1:24" s="554" customFormat="1" ht="24.75" customHeight="1">
      <c r="A296" s="355" t="s">
        <v>95</v>
      </c>
      <c r="B296" s="593" t="s">
        <v>537</v>
      </c>
      <c r="C296" s="592">
        <v>4.62</v>
      </c>
      <c r="D296" s="493"/>
      <c r="E296" s="348"/>
      <c r="F296" s="348"/>
      <c r="G296" s="348"/>
      <c r="H296" s="348"/>
      <c r="I296" s="348"/>
      <c r="J296" s="348">
        <v>5</v>
      </c>
      <c r="K296" s="348">
        <v>1</v>
      </c>
      <c r="L296" s="348">
        <v>1</v>
      </c>
      <c r="M296" s="343">
        <f>L296*K296*J296*C296</f>
        <v>23.1</v>
      </c>
      <c r="N296" s="748" t="s">
        <v>89</v>
      </c>
      <c r="O296" s="487"/>
      <c r="Q296" s="398"/>
      <c r="R296" s="564"/>
      <c r="S296" s="398"/>
      <c r="T296" s="398"/>
      <c r="U296" s="398"/>
      <c r="V296" s="555"/>
      <c r="W296" s="555"/>
      <c r="X296" s="555"/>
    </row>
    <row r="297" spans="1:24" s="554" customFormat="1" ht="28.5" customHeight="1">
      <c r="A297" s="355" t="s">
        <v>98</v>
      </c>
      <c r="B297" s="593" t="s">
        <v>538</v>
      </c>
      <c r="C297" s="348">
        <f>C305</f>
        <v>6.15</v>
      </c>
      <c r="D297" s="493"/>
      <c r="E297" s="348"/>
      <c r="F297" s="348"/>
      <c r="G297" s="348"/>
      <c r="H297" s="348"/>
      <c r="I297" s="348"/>
      <c r="J297" s="348"/>
      <c r="K297" s="348">
        <f>ROUNDUP((D301/0.5),0)</f>
        <v>8</v>
      </c>
      <c r="L297" s="348">
        <v>2</v>
      </c>
      <c r="M297" s="343">
        <f>L297*K297*C297</f>
        <v>98.4</v>
      </c>
      <c r="N297" s="748" t="s">
        <v>117</v>
      </c>
      <c r="O297" s="487"/>
      <c r="Q297" s="398"/>
      <c r="R297" s="564"/>
      <c r="S297" s="398"/>
      <c r="T297" s="398"/>
      <c r="U297" s="398"/>
      <c r="V297" s="555"/>
      <c r="W297" s="555"/>
      <c r="X297" s="555"/>
    </row>
    <row r="298" spans="1:24" s="554" customFormat="1" ht="15.75" customHeight="1">
      <c r="A298" s="355" t="s">
        <v>101</v>
      </c>
      <c r="B298" s="351" t="s">
        <v>823</v>
      </c>
      <c r="C298" s="348"/>
      <c r="D298" s="352"/>
      <c r="E298" s="348"/>
      <c r="F298" s="348"/>
      <c r="G298" s="348"/>
      <c r="H298" s="348"/>
      <c r="I298" s="348"/>
      <c r="J298" s="348"/>
      <c r="K298" s="348"/>
      <c r="L298" s="348"/>
      <c r="M298" s="565">
        <f>SUM(M299:M300)</f>
        <v>40</v>
      </c>
      <c r="N298" s="748" t="s">
        <v>824</v>
      </c>
      <c r="O298" s="487"/>
      <c r="Q298" s="398"/>
      <c r="R298" s="564"/>
      <c r="S298" s="398"/>
      <c r="T298" s="398"/>
      <c r="U298" s="398"/>
      <c r="V298" s="555"/>
      <c r="W298" s="555"/>
      <c r="X298" s="555"/>
    </row>
    <row r="299" spans="1:24" s="554" customFormat="1" ht="15.75" customHeight="1">
      <c r="A299" s="355"/>
      <c r="B299" s="589" t="s">
        <v>1024</v>
      </c>
      <c r="C299" s="348"/>
      <c r="D299" s="352"/>
      <c r="E299" s="348"/>
      <c r="F299" s="348">
        <v>2</v>
      </c>
      <c r="G299" s="348">
        <v>2</v>
      </c>
      <c r="H299" s="348">
        <v>2</v>
      </c>
      <c r="I299" s="348"/>
      <c r="J299" s="348"/>
      <c r="K299" s="348"/>
      <c r="L299" s="348">
        <f>J296</f>
        <v>5</v>
      </c>
      <c r="M299" s="343">
        <f>L299*H299*G299*F299</f>
        <v>40</v>
      </c>
      <c r="N299" s="748" t="s">
        <v>824</v>
      </c>
      <c r="O299" s="487"/>
      <c r="Q299" s="398"/>
      <c r="R299" s="564"/>
      <c r="S299" s="398"/>
      <c r="T299" s="398"/>
      <c r="U299" s="398"/>
      <c r="V299" s="555"/>
      <c r="W299" s="555"/>
      <c r="X299" s="555"/>
    </row>
    <row r="300" spans="1:24" s="554" customFormat="1" ht="15.75" customHeight="1">
      <c r="A300" s="355"/>
      <c r="B300" s="589" t="s">
        <v>1025</v>
      </c>
      <c r="C300" s="348"/>
      <c r="D300" s="352"/>
      <c r="E300" s="348"/>
      <c r="F300" s="348">
        <v>2</v>
      </c>
      <c r="G300" s="348">
        <v>5</v>
      </c>
      <c r="H300" s="348">
        <v>1</v>
      </c>
      <c r="I300" s="348"/>
      <c r="J300" s="348"/>
      <c r="K300" s="348"/>
      <c r="L300" s="348">
        <v>0</v>
      </c>
      <c r="M300" s="343">
        <f>L300*H300*G300*F300</f>
        <v>0</v>
      </c>
      <c r="N300" s="748" t="s">
        <v>824</v>
      </c>
      <c r="O300" s="487"/>
      <c r="Q300" s="398"/>
      <c r="R300" s="564"/>
      <c r="S300" s="398"/>
      <c r="T300" s="398"/>
      <c r="U300" s="398"/>
      <c r="V300" s="555"/>
      <c r="W300" s="555"/>
      <c r="X300" s="555"/>
    </row>
    <row r="301" spans="1:24" s="554" customFormat="1" ht="15.75" customHeight="1">
      <c r="A301" s="355" t="s">
        <v>121</v>
      </c>
      <c r="B301" s="351" t="s">
        <v>539</v>
      </c>
      <c r="C301" s="348">
        <v>6.25</v>
      </c>
      <c r="D301" s="348">
        <f>2.125+1.824</f>
        <v>3.9489999999999998</v>
      </c>
      <c r="E301" s="348"/>
      <c r="F301" s="348"/>
      <c r="G301" s="348"/>
      <c r="H301" s="348"/>
      <c r="I301" s="348"/>
      <c r="J301" s="348"/>
      <c r="K301" s="348"/>
      <c r="L301" s="348">
        <v>2</v>
      </c>
      <c r="M301" s="343">
        <f>L301*D301*C301</f>
        <v>49.362499999999997</v>
      </c>
      <c r="N301" s="748" t="s">
        <v>89</v>
      </c>
      <c r="O301" s="487"/>
      <c r="Q301" s="398"/>
      <c r="R301" s="564"/>
      <c r="S301" s="398"/>
      <c r="T301" s="398"/>
      <c r="U301" s="398"/>
      <c r="V301" s="555"/>
      <c r="W301" s="555"/>
      <c r="X301" s="555"/>
    </row>
    <row r="302" spans="1:24" s="554" customFormat="1" ht="15.75" customHeight="1">
      <c r="A302" s="355" t="s">
        <v>142</v>
      </c>
      <c r="B302" s="351" t="s">
        <v>540</v>
      </c>
      <c r="C302" s="348">
        <f>C301</f>
        <v>6.25</v>
      </c>
      <c r="D302" s="352"/>
      <c r="E302" s="348"/>
      <c r="F302" s="348"/>
      <c r="G302" s="348"/>
      <c r="H302" s="348"/>
      <c r="I302" s="348"/>
      <c r="J302" s="348"/>
      <c r="K302" s="348"/>
      <c r="L302" s="348"/>
      <c r="M302" s="343">
        <f>C302</f>
        <v>6.25</v>
      </c>
      <c r="N302" s="748" t="s">
        <v>117</v>
      </c>
      <c r="O302" s="487"/>
      <c r="Q302" s="398"/>
      <c r="R302" s="564"/>
      <c r="S302" s="398"/>
      <c r="T302" s="398"/>
      <c r="U302" s="398"/>
      <c r="V302" s="555"/>
      <c r="W302" s="555"/>
      <c r="X302" s="555"/>
    </row>
    <row r="303" spans="1:24" s="554" customFormat="1" ht="15.75" customHeight="1">
      <c r="A303" s="350"/>
      <c r="B303" s="567"/>
      <c r="C303" s="348"/>
      <c r="D303" s="348"/>
      <c r="E303" s="348"/>
      <c r="F303" s="348"/>
      <c r="G303" s="348"/>
      <c r="H303" s="348"/>
      <c r="I303" s="348"/>
      <c r="J303" s="348"/>
      <c r="K303" s="348"/>
      <c r="L303" s="348"/>
      <c r="M303" s="343"/>
      <c r="N303" s="748"/>
      <c r="O303" s="487"/>
      <c r="Q303" s="398"/>
      <c r="R303" s="564"/>
      <c r="S303" s="398"/>
      <c r="T303" s="398"/>
      <c r="U303" s="398"/>
      <c r="V303" s="555"/>
      <c r="W303" s="555"/>
      <c r="X303" s="555"/>
    </row>
    <row r="304" spans="1:24" s="487" customFormat="1" ht="15.75" customHeight="1">
      <c r="A304" s="350">
        <f>A295+1</f>
        <v>20</v>
      </c>
      <c r="B304" s="351" t="s">
        <v>1037</v>
      </c>
      <c r="C304" s="330"/>
      <c r="D304" s="330"/>
      <c r="E304" s="330"/>
      <c r="F304" s="330"/>
      <c r="G304" s="330"/>
      <c r="H304" s="330"/>
      <c r="I304" s="330"/>
      <c r="J304" s="330"/>
      <c r="K304" s="330"/>
      <c r="L304" s="330"/>
      <c r="M304" s="330"/>
      <c r="N304" s="748"/>
    </row>
    <row r="305" spans="1:14" s="487" customFormat="1" ht="15.75" customHeight="1">
      <c r="A305" s="350"/>
      <c r="B305" s="363"/>
      <c r="C305" s="330">
        <f>C302-0.1</f>
        <v>6.15</v>
      </c>
      <c r="D305" s="330"/>
      <c r="E305" s="330"/>
      <c r="F305" s="330"/>
      <c r="G305" s="330"/>
      <c r="H305" s="330"/>
      <c r="I305" s="330"/>
      <c r="J305" s="330"/>
      <c r="K305" s="330"/>
      <c r="L305" s="330">
        <v>2</v>
      </c>
      <c r="M305" s="330">
        <f>C305*L305</f>
        <v>12.3</v>
      </c>
      <c r="N305" s="748"/>
    </row>
    <row r="306" spans="1:14" s="487" customFormat="1" ht="15.75" customHeight="1">
      <c r="A306" s="350"/>
      <c r="B306" s="363"/>
      <c r="C306" s="382"/>
      <c r="D306" s="382">
        <f>D301-0.1</f>
        <v>3.8489999999999998</v>
      </c>
      <c r="E306" s="382"/>
      <c r="F306" s="382"/>
      <c r="G306" s="382"/>
      <c r="H306" s="382"/>
      <c r="I306" s="382"/>
      <c r="J306" s="382"/>
      <c r="K306" s="382"/>
      <c r="L306" s="382">
        <f>L305</f>
        <v>2</v>
      </c>
      <c r="M306" s="752">
        <f>D306*L306</f>
        <v>7.6979999999999995</v>
      </c>
      <c r="N306" s="748"/>
    </row>
    <row r="307" spans="1:14" s="487" customFormat="1" ht="15.75" customHeight="1">
      <c r="A307" s="350"/>
      <c r="B307" s="363"/>
      <c r="C307" s="330"/>
      <c r="D307" s="330"/>
      <c r="E307" s="330"/>
      <c r="F307" s="330"/>
      <c r="G307" s="330"/>
      <c r="H307" s="330"/>
      <c r="I307" s="330"/>
      <c r="J307" s="330"/>
      <c r="K307" s="330"/>
      <c r="L307" s="330"/>
      <c r="M307" s="474">
        <f>SUM(M305:M306)</f>
        <v>19.998000000000001</v>
      </c>
      <c r="N307" s="562" t="s">
        <v>117</v>
      </c>
    </row>
    <row r="308" spans="1:14" s="487" customFormat="1" ht="15.75" customHeight="1">
      <c r="A308" s="350">
        <f>A304+1</f>
        <v>21</v>
      </c>
      <c r="B308" s="363" t="s">
        <v>453</v>
      </c>
      <c r="C308" s="330">
        <f>M307</f>
        <v>19.998000000000001</v>
      </c>
      <c r="D308" s="330">
        <v>0.3</v>
      </c>
      <c r="E308" s="330"/>
      <c r="F308" s="330"/>
      <c r="G308" s="330"/>
      <c r="H308" s="330"/>
      <c r="I308" s="330"/>
      <c r="J308" s="330"/>
      <c r="K308" s="330"/>
      <c r="L308" s="330"/>
      <c r="M308" s="330">
        <f>C308*D308</f>
        <v>5.9994000000000005</v>
      </c>
      <c r="N308" s="748" t="s">
        <v>89</v>
      </c>
    </row>
    <row r="309" spans="1:14" s="487" customFormat="1" ht="15.75" customHeight="1">
      <c r="A309" s="341" t="s">
        <v>1160</v>
      </c>
      <c r="B309" s="347" t="s">
        <v>585</v>
      </c>
      <c r="C309" s="330"/>
      <c r="D309" s="330"/>
      <c r="E309" s="330"/>
      <c r="F309" s="330"/>
      <c r="G309" s="330"/>
      <c r="H309" s="330"/>
      <c r="I309" s="330"/>
      <c r="J309" s="330"/>
      <c r="K309" s="330"/>
      <c r="L309" s="330"/>
      <c r="M309" s="330"/>
      <c r="N309" s="748"/>
    </row>
    <row r="310" spans="1:14" s="487" customFormat="1" ht="15.75" customHeight="1">
      <c r="A310" s="751">
        <v>1</v>
      </c>
      <c r="B310" s="351" t="s">
        <v>586</v>
      </c>
      <c r="C310" s="330"/>
      <c r="D310" s="330"/>
      <c r="E310" s="401">
        <v>2</v>
      </c>
      <c r="F310" s="330"/>
      <c r="G310" s="330"/>
      <c r="H310" s="330"/>
      <c r="I310" s="330"/>
      <c r="J310" s="330"/>
      <c r="K310" s="330"/>
      <c r="L310" s="330"/>
      <c r="M310" s="330">
        <f>E310</f>
        <v>2</v>
      </c>
      <c r="N310" s="748" t="s">
        <v>117</v>
      </c>
    </row>
    <row r="311" spans="1:14" s="487" customFormat="1" ht="15.75" customHeight="1">
      <c r="A311" s="751">
        <f t="shared" ref="A311:A319" si="8">A310+1</f>
        <v>2</v>
      </c>
      <c r="B311" s="351" t="s">
        <v>587</v>
      </c>
      <c r="C311" s="330">
        <v>1.5</v>
      </c>
      <c r="D311" s="330"/>
      <c r="E311" s="330"/>
      <c r="F311" s="330">
        <v>2</v>
      </c>
      <c r="G311" s="330"/>
      <c r="H311" s="330">
        <v>1.5</v>
      </c>
      <c r="I311" s="330"/>
      <c r="J311" s="330"/>
      <c r="K311" s="330"/>
      <c r="L311" s="330"/>
      <c r="M311" s="330">
        <f>C311+F311+H311</f>
        <v>5</v>
      </c>
      <c r="N311" s="748" t="s">
        <v>117</v>
      </c>
    </row>
    <row r="312" spans="1:14" s="487" customFormat="1" ht="15.75" customHeight="1">
      <c r="A312" s="751">
        <f t="shared" si="8"/>
        <v>3</v>
      </c>
      <c r="B312" s="351" t="s">
        <v>588</v>
      </c>
      <c r="C312" s="330">
        <v>1.5</v>
      </c>
      <c r="D312" s="330"/>
      <c r="E312" s="330">
        <f>E310</f>
        <v>2</v>
      </c>
      <c r="F312" s="330"/>
      <c r="G312" s="330"/>
      <c r="H312" s="330"/>
      <c r="I312" s="330"/>
      <c r="J312" s="330"/>
      <c r="K312" s="330"/>
      <c r="L312" s="330"/>
      <c r="M312" s="330">
        <f>C312+E312</f>
        <v>3.5</v>
      </c>
      <c r="N312" s="748" t="s">
        <v>117</v>
      </c>
    </row>
    <row r="313" spans="1:14" s="487" customFormat="1" ht="15.75" customHeight="1">
      <c r="A313" s="751">
        <f t="shared" si="8"/>
        <v>4</v>
      </c>
      <c r="B313" s="351" t="s">
        <v>589</v>
      </c>
      <c r="C313" s="330">
        <v>1.5</v>
      </c>
      <c r="D313" s="330"/>
      <c r="E313" s="330">
        <v>1</v>
      </c>
      <c r="F313" s="330"/>
      <c r="G313" s="330"/>
      <c r="H313" s="330"/>
      <c r="I313" s="330"/>
      <c r="J313" s="330"/>
      <c r="K313" s="330"/>
      <c r="L313" s="330"/>
      <c r="M313" s="330">
        <f>C313+E313</f>
        <v>2.5</v>
      </c>
      <c r="N313" s="748" t="s">
        <v>117</v>
      </c>
    </row>
    <row r="314" spans="1:14" s="487" customFormat="1" ht="15.75" customHeight="1">
      <c r="A314" s="751">
        <f t="shared" si="8"/>
        <v>5</v>
      </c>
      <c r="B314" s="351" t="s">
        <v>711</v>
      </c>
      <c r="C314" s="330"/>
      <c r="D314" s="330"/>
      <c r="E314" s="330"/>
      <c r="F314" s="330"/>
      <c r="G314" s="330"/>
      <c r="H314" s="330"/>
      <c r="I314" s="330"/>
      <c r="J314" s="330"/>
      <c r="K314" s="330">
        <v>1</v>
      </c>
      <c r="L314" s="330"/>
      <c r="M314" s="330">
        <f>K314</f>
        <v>1</v>
      </c>
      <c r="N314" s="748" t="s">
        <v>124</v>
      </c>
    </row>
    <row r="315" spans="1:14" s="487" customFormat="1" ht="15.75" customHeight="1">
      <c r="A315" s="751">
        <f t="shared" si="8"/>
        <v>6</v>
      </c>
      <c r="B315" s="351" t="s">
        <v>591</v>
      </c>
      <c r="C315" s="330"/>
      <c r="D315" s="330"/>
      <c r="E315" s="330"/>
      <c r="F315" s="330"/>
      <c r="G315" s="330"/>
      <c r="H315" s="330"/>
      <c r="I315" s="330"/>
      <c r="J315" s="330"/>
      <c r="K315" s="330">
        <v>1</v>
      </c>
      <c r="L315" s="330"/>
      <c r="M315" s="330">
        <f>K315</f>
        <v>1</v>
      </c>
      <c r="N315" s="748" t="s">
        <v>124</v>
      </c>
    </row>
    <row r="316" spans="1:14" s="487" customFormat="1" ht="15.75" customHeight="1">
      <c r="A316" s="751">
        <f t="shared" si="8"/>
        <v>7</v>
      </c>
      <c r="B316" s="351" t="s">
        <v>712</v>
      </c>
      <c r="C316" s="330"/>
      <c r="D316" s="330"/>
      <c r="E316" s="330"/>
      <c r="F316" s="330"/>
      <c r="G316" s="330"/>
      <c r="H316" s="330"/>
      <c r="I316" s="330"/>
      <c r="J316" s="330"/>
      <c r="K316" s="330">
        <v>1</v>
      </c>
      <c r="L316" s="330"/>
      <c r="M316" s="330">
        <f>K316</f>
        <v>1</v>
      </c>
      <c r="N316" s="748" t="s">
        <v>124</v>
      </c>
    </row>
    <row r="317" spans="1:14" s="487" customFormat="1" ht="15.75" customHeight="1">
      <c r="A317" s="751">
        <f t="shared" si="8"/>
        <v>8</v>
      </c>
      <c r="B317" s="351" t="s">
        <v>593</v>
      </c>
      <c r="C317" s="330"/>
      <c r="D317" s="330"/>
      <c r="E317" s="330"/>
      <c r="F317" s="330"/>
      <c r="G317" s="330"/>
      <c r="H317" s="330"/>
      <c r="I317" s="330"/>
      <c r="J317" s="330"/>
      <c r="K317" s="330">
        <v>1</v>
      </c>
      <c r="L317" s="330"/>
      <c r="M317" s="330">
        <f>K317</f>
        <v>1</v>
      </c>
      <c r="N317" s="748" t="s">
        <v>124</v>
      </c>
    </row>
    <row r="318" spans="1:14" s="487" customFormat="1" ht="15.75" customHeight="1">
      <c r="A318" s="751">
        <f t="shared" si="8"/>
        <v>9</v>
      </c>
      <c r="B318" s="351" t="s">
        <v>713</v>
      </c>
      <c r="C318" s="330"/>
      <c r="D318" s="330"/>
      <c r="E318" s="330"/>
      <c r="F318" s="330"/>
      <c r="G318" s="330"/>
      <c r="H318" s="330"/>
      <c r="I318" s="330"/>
      <c r="J318" s="330"/>
      <c r="K318" s="330"/>
      <c r="L318" s="330">
        <v>1</v>
      </c>
      <c r="M318" s="330">
        <f>L318</f>
        <v>1</v>
      </c>
      <c r="N318" s="748" t="s">
        <v>360</v>
      </c>
    </row>
    <row r="319" spans="1:14" s="487" customFormat="1" ht="15.75" customHeight="1">
      <c r="A319" s="751">
        <f t="shared" si="8"/>
        <v>10</v>
      </c>
      <c r="B319" s="351" t="s">
        <v>714</v>
      </c>
      <c r="C319" s="330"/>
      <c r="D319" s="330"/>
      <c r="E319" s="330"/>
      <c r="F319" s="330"/>
      <c r="G319" s="330"/>
      <c r="H319" s="330"/>
      <c r="I319" s="330"/>
      <c r="J319" s="330"/>
      <c r="K319" s="330"/>
      <c r="L319" s="330"/>
      <c r="M319" s="330"/>
      <c r="N319" s="748"/>
    </row>
    <row r="320" spans="1:14" s="487" customFormat="1" ht="15.75" customHeight="1">
      <c r="A320" s="760" t="s">
        <v>95</v>
      </c>
      <c r="B320" s="351" t="s">
        <v>596</v>
      </c>
      <c r="C320" s="330"/>
      <c r="D320" s="330"/>
      <c r="E320" s="330"/>
      <c r="F320" s="330"/>
      <c r="G320" s="330"/>
      <c r="H320" s="330"/>
      <c r="I320" s="330"/>
      <c r="J320" s="330"/>
      <c r="K320" s="330"/>
      <c r="L320" s="330">
        <v>1</v>
      </c>
      <c r="M320" s="330">
        <f>L320</f>
        <v>1</v>
      </c>
      <c r="N320" s="748" t="s">
        <v>360</v>
      </c>
    </row>
    <row r="321" spans="1:14" s="487" customFormat="1" ht="15.75" customHeight="1">
      <c r="A321" s="760" t="s">
        <v>98</v>
      </c>
      <c r="B321" s="351" t="s">
        <v>597</v>
      </c>
      <c r="C321" s="330"/>
      <c r="D321" s="330"/>
      <c r="E321" s="330"/>
      <c r="F321" s="330"/>
      <c r="G321" s="330"/>
      <c r="H321" s="330"/>
      <c r="I321" s="330"/>
      <c r="J321" s="330"/>
      <c r="K321" s="330"/>
      <c r="L321" s="330">
        <v>1</v>
      </c>
      <c r="M321" s="330">
        <f>L321</f>
        <v>1</v>
      </c>
      <c r="N321" s="748" t="s">
        <v>360</v>
      </c>
    </row>
    <row r="322" spans="1:14" s="487" customFormat="1" ht="15.75" customHeight="1">
      <c r="A322" s="760" t="s">
        <v>101</v>
      </c>
      <c r="B322" s="351" t="s">
        <v>598</v>
      </c>
      <c r="C322" s="330"/>
      <c r="D322" s="330"/>
      <c r="E322" s="330"/>
      <c r="F322" s="330"/>
      <c r="G322" s="330"/>
      <c r="H322" s="330"/>
      <c r="I322" s="330"/>
      <c r="J322" s="330"/>
      <c r="K322" s="330"/>
      <c r="L322" s="330"/>
      <c r="M322" s="330"/>
      <c r="N322" s="748"/>
    </row>
    <row r="323" spans="1:14" s="487" customFormat="1" ht="15.75" customHeight="1">
      <c r="A323" s="760"/>
      <c r="B323" s="351" t="s">
        <v>599</v>
      </c>
      <c r="C323" s="330">
        <v>0.8</v>
      </c>
      <c r="D323" s="330">
        <v>0.8</v>
      </c>
      <c r="E323" s="330">
        <v>0.9</v>
      </c>
      <c r="F323" s="330"/>
      <c r="G323" s="330"/>
      <c r="H323" s="330"/>
      <c r="I323" s="330"/>
      <c r="J323" s="330"/>
      <c r="K323" s="330"/>
      <c r="L323" s="330">
        <v>4</v>
      </c>
      <c r="M323" s="401">
        <f>C323*D323*E323*L323</f>
        <v>2.3040000000000007</v>
      </c>
      <c r="N323" s="748" t="s">
        <v>103</v>
      </c>
    </row>
    <row r="324" spans="1:14" s="487" customFormat="1" ht="15.75" customHeight="1">
      <c r="A324" s="760"/>
      <c r="B324" s="351" t="s">
        <v>600</v>
      </c>
      <c r="C324" s="330">
        <v>0.6</v>
      </c>
      <c r="D324" s="330"/>
      <c r="E324" s="330">
        <v>0.3</v>
      </c>
      <c r="F324" s="330"/>
      <c r="G324" s="330">
        <v>4</v>
      </c>
      <c r="H324" s="330"/>
      <c r="I324" s="330"/>
      <c r="J324" s="330"/>
      <c r="K324" s="330"/>
      <c r="L324" s="330">
        <f>L323</f>
        <v>4</v>
      </c>
      <c r="M324" s="401">
        <f>C324*E324*G324*L324</f>
        <v>2.88</v>
      </c>
      <c r="N324" s="748" t="s">
        <v>89</v>
      </c>
    </row>
    <row r="325" spans="1:14" s="487" customFormat="1" ht="15.75" customHeight="1">
      <c r="A325" s="760"/>
      <c r="B325" s="351" t="s">
        <v>601</v>
      </c>
      <c r="C325" s="330">
        <v>0.45</v>
      </c>
      <c r="D325" s="330"/>
      <c r="E325" s="330"/>
      <c r="F325" s="330">
        <f>0.15*2</f>
        <v>0.3</v>
      </c>
      <c r="G325" s="330">
        <v>4</v>
      </c>
      <c r="H325" s="330"/>
      <c r="I325" s="330"/>
      <c r="J325" s="330"/>
      <c r="K325" s="330">
        <f>13*13*0.006165</f>
        <v>1.041885</v>
      </c>
      <c r="L325" s="330">
        <f>L324</f>
        <v>4</v>
      </c>
      <c r="M325" s="401">
        <f>(C325+F325)*G325*K325*L325</f>
        <v>12.50262</v>
      </c>
      <c r="N325" s="748" t="s">
        <v>100</v>
      </c>
    </row>
    <row r="326" spans="1:14" s="487" customFormat="1" ht="15.75" customHeight="1">
      <c r="A326" s="760"/>
      <c r="B326" s="351" t="s">
        <v>602</v>
      </c>
      <c r="C326" s="330">
        <f>C324</f>
        <v>0.6</v>
      </c>
      <c r="D326" s="330">
        <f>C326</f>
        <v>0.6</v>
      </c>
      <c r="E326" s="330">
        <v>0.3</v>
      </c>
      <c r="F326" s="330"/>
      <c r="G326" s="330"/>
      <c r="H326" s="330"/>
      <c r="I326" s="330"/>
      <c r="J326" s="330"/>
      <c r="K326" s="330"/>
      <c r="L326" s="330">
        <f>L325</f>
        <v>4</v>
      </c>
      <c r="M326" s="401">
        <f>C326*D326*E326*L326</f>
        <v>0.432</v>
      </c>
      <c r="N326" s="748" t="s">
        <v>103</v>
      </c>
    </row>
    <row r="327" spans="1:14" s="487" customFormat="1" ht="15.75" customHeight="1">
      <c r="A327" s="760" t="s">
        <v>121</v>
      </c>
      <c r="B327" s="351" t="s">
        <v>603</v>
      </c>
      <c r="C327" s="330"/>
      <c r="D327" s="330"/>
      <c r="E327" s="330"/>
      <c r="F327" s="330"/>
      <c r="G327" s="330"/>
      <c r="H327" s="330"/>
      <c r="I327" s="330"/>
      <c r="J327" s="330"/>
      <c r="K327" s="330"/>
      <c r="L327" s="330"/>
      <c r="M327" s="401"/>
      <c r="N327" s="748"/>
    </row>
    <row r="328" spans="1:14" s="487" customFormat="1" ht="15.75" customHeight="1">
      <c r="A328" s="760"/>
      <c r="B328" s="351" t="s">
        <v>604</v>
      </c>
      <c r="C328" s="330"/>
      <c r="D328" s="330">
        <v>0.25</v>
      </c>
      <c r="E328" s="330">
        <v>0.8</v>
      </c>
      <c r="F328" s="330"/>
      <c r="G328" s="330">
        <v>4</v>
      </c>
      <c r="H328" s="330"/>
      <c r="I328" s="330"/>
      <c r="J328" s="330"/>
      <c r="K328" s="330"/>
      <c r="L328" s="330">
        <f>L326</f>
        <v>4</v>
      </c>
      <c r="M328" s="401">
        <f>D328*E328*G328*L328</f>
        <v>3.2</v>
      </c>
      <c r="N328" s="748" t="s">
        <v>89</v>
      </c>
    </row>
    <row r="329" spans="1:14" s="487" customFormat="1" ht="15.75" customHeight="1">
      <c r="A329" s="760"/>
      <c r="B329" s="351" t="s">
        <v>605</v>
      </c>
      <c r="C329" s="330"/>
      <c r="D329" s="330"/>
      <c r="E329" s="330">
        <f>E328</f>
        <v>0.8</v>
      </c>
      <c r="F329" s="330"/>
      <c r="G329" s="330">
        <v>4</v>
      </c>
      <c r="H329" s="330"/>
      <c r="I329" s="330">
        <v>0.55000000000000004</v>
      </c>
      <c r="J329" s="330"/>
      <c r="K329" s="330">
        <f>13*13*0.006165</f>
        <v>1.041885</v>
      </c>
      <c r="L329" s="330">
        <f>L328</f>
        <v>4</v>
      </c>
      <c r="M329" s="401">
        <f>(E329+I329)*G329*K329*L329</f>
        <v>22.504716000000002</v>
      </c>
      <c r="N329" s="748" t="s">
        <v>100</v>
      </c>
    </row>
    <row r="330" spans="1:14" s="487" customFormat="1" ht="15.75" customHeight="1">
      <c r="A330" s="760"/>
      <c r="B330" s="351" t="s">
        <v>606</v>
      </c>
      <c r="C330" s="330">
        <f>0.17*4</f>
        <v>0.68</v>
      </c>
      <c r="D330" s="330"/>
      <c r="E330" s="330"/>
      <c r="F330" s="330">
        <f>0.05*2</f>
        <v>0.1</v>
      </c>
      <c r="G330" s="330"/>
      <c r="H330" s="330">
        <f>ROUNDUP((E329/0.125),0.5)+1</f>
        <v>8</v>
      </c>
      <c r="I330" s="330"/>
      <c r="J330" s="330"/>
      <c r="K330" s="330">
        <f>8*8*0.006165</f>
        <v>0.39456000000000002</v>
      </c>
      <c r="L330" s="330">
        <f>L329</f>
        <v>4</v>
      </c>
      <c r="M330" s="401">
        <f>(C330+F330)*H330*K330*L330</f>
        <v>9.8482176000000017</v>
      </c>
      <c r="N330" s="748" t="s">
        <v>100</v>
      </c>
    </row>
    <row r="331" spans="1:14" s="487" customFormat="1" ht="15.75" customHeight="1">
      <c r="A331" s="760"/>
      <c r="B331" s="351" t="s">
        <v>602</v>
      </c>
      <c r="C331" s="330">
        <v>0.25</v>
      </c>
      <c r="D331" s="330">
        <v>0.25</v>
      </c>
      <c r="E331" s="330">
        <f>E329</f>
        <v>0.8</v>
      </c>
      <c r="F331" s="330"/>
      <c r="G331" s="330"/>
      <c r="H331" s="330"/>
      <c r="I331" s="330"/>
      <c r="J331" s="330"/>
      <c r="K331" s="330"/>
      <c r="L331" s="330">
        <f>L330</f>
        <v>4</v>
      </c>
      <c r="M331" s="401">
        <f>C331*D331*E331*L331</f>
        <v>0.2</v>
      </c>
      <c r="N331" s="748" t="s">
        <v>103</v>
      </c>
    </row>
    <row r="332" spans="1:14" s="487" customFormat="1" ht="15.75" customHeight="1">
      <c r="A332" s="760"/>
      <c r="B332" s="351" t="s">
        <v>607</v>
      </c>
      <c r="C332" s="401">
        <v>0.4</v>
      </c>
      <c r="D332" s="401">
        <v>0.3</v>
      </c>
      <c r="E332" s="401"/>
      <c r="F332" s="401"/>
      <c r="G332" s="401"/>
      <c r="H332" s="401"/>
      <c r="I332" s="401"/>
      <c r="J332" s="401"/>
      <c r="K332" s="401">
        <v>4</v>
      </c>
      <c r="L332" s="401">
        <f>L331</f>
        <v>4</v>
      </c>
      <c r="M332" s="401">
        <f>(C332+D332)*K332*L332</f>
        <v>11.2</v>
      </c>
      <c r="N332" s="748" t="s">
        <v>100</v>
      </c>
    </row>
    <row r="333" spans="1:14" s="487" customFormat="1" ht="15.75" customHeight="1">
      <c r="A333" s="751">
        <f>A319+1</f>
        <v>11</v>
      </c>
      <c r="B333" s="351" t="s">
        <v>715</v>
      </c>
      <c r="C333" s="401"/>
      <c r="D333" s="401"/>
      <c r="E333" s="401"/>
      <c r="F333" s="401"/>
      <c r="G333" s="401"/>
      <c r="H333" s="401"/>
      <c r="I333" s="401"/>
      <c r="J333" s="401"/>
      <c r="K333" s="401"/>
      <c r="L333" s="401"/>
      <c r="M333" s="401">
        <v>1</v>
      </c>
      <c r="N333" s="748" t="s">
        <v>360</v>
      </c>
    </row>
    <row r="334" spans="1:14" s="487" customFormat="1" ht="15.75" customHeight="1">
      <c r="A334" s="751">
        <f>A333+1</f>
        <v>12</v>
      </c>
      <c r="B334" s="351" t="s">
        <v>716</v>
      </c>
      <c r="C334" s="401"/>
      <c r="D334" s="401"/>
      <c r="E334" s="401"/>
      <c r="F334" s="401"/>
      <c r="G334" s="401"/>
      <c r="H334" s="401"/>
      <c r="I334" s="401"/>
      <c r="J334" s="401"/>
      <c r="K334" s="401"/>
      <c r="L334" s="401"/>
      <c r="M334" s="401"/>
      <c r="N334" s="748"/>
    </row>
    <row r="335" spans="1:14" s="487" customFormat="1" ht="15.75" customHeight="1">
      <c r="A335" s="760" t="s">
        <v>95</v>
      </c>
      <c r="B335" s="351" t="s">
        <v>398</v>
      </c>
      <c r="C335" s="401">
        <v>1.5</v>
      </c>
      <c r="D335" s="401">
        <v>1.5</v>
      </c>
      <c r="E335" s="330">
        <f>1.1+0.1+0.05+0.5</f>
        <v>1.7500000000000002</v>
      </c>
      <c r="F335" s="401"/>
      <c r="G335" s="401"/>
      <c r="H335" s="401"/>
      <c r="I335" s="401"/>
      <c r="J335" s="401"/>
      <c r="K335" s="401"/>
      <c r="L335" s="401"/>
      <c r="M335" s="401">
        <f>C335*D335*E335</f>
        <v>3.9375000000000004</v>
      </c>
      <c r="N335" s="748" t="s">
        <v>103</v>
      </c>
    </row>
    <row r="336" spans="1:14" s="487" customFormat="1" ht="15.75" customHeight="1">
      <c r="A336" s="760" t="s">
        <v>98</v>
      </c>
      <c r="B336" s="351" t="s">
        <v>611</v>
      </c>
      <c r="C336" s="401">
        <f>C335</f>
        <v>1.5</v>
      </c>
      <c r="D336" s="401">
        <f>D335</f>
        <v>1.5</v>
      </c>
      <c r="E336" s="401">
        <v>0.1</v>
      </c>
      <c r="F336" s="401"/>
      <c r="G336" s="401"/>
      <c r="H336" s="401"/>
      <c r="I336" s="401"/>
      <c r="J336" s="401"/>
      <c r="K336" s="401"/>
      <c r="L336" s="401"/>
      <c r="M336" s="401">
        <f>C336*D336*E336</f>
        <v>0.22500000000000001</v>
      </c>
      <c r="N336" s="748" t="s">
        <v>103</v>
      </c>
    </row>
    <row r="337" spans="1:14" s="487" customFormat="1" ht="15.75" customHeight="1">
      <c r="A337" s="760" t="s">
        <v>101</v>
      </c>
      <c r="B337" s="351" t="s">
        <v>496</v>
      </c>
      <c r="C337" s="401">
        <f>C336</f>
        <v>1.5</v>
      </c>
      <c r="D337" s="401">
        <f>D336</f>
        <v>1.5</v>
      </c>
      <c r="E337" s="401">
        <v>0.05</v>
      </c>
      <c r="F337" s="401"/>
      <c r="G337" s="401"/>
      <c r="H337" s="401"/>
      <c r="I337" s="401"/>
      <c r="J337" s="401"/>
      <c r="K337" s="401"/>
      <c r="L337" s="401"/>
      <c r="M337" s="401">
        <f>C337*D337*E337</f>
        <v>0.1125</v>
      </c>
      <c r="N337" s="748" t="s">
        <v>103</v>
      </c>
    </row>
    <row r="338" spans="1:14" s="487" customFormat="1" ht="15.75" customHeight="1">
      <c r="A338" s="760" t="s">
        <v>121</v>
      </c>
      <c r="B338" s="351" t="s">
        <v>717</v>
      </c>
      <c r="C338" s="330"/>
      <c r="D338" s="330"/>
      <c r="E338" s="330"/>
      <c r="F338" s="330"/>
      <c r="G338" s="330"/>
      <c r="H338" s="330"/>
      <c r="I338" s="330"/>
      <c r="J338" s="330"/>
      <c r="K338" s="330"/>
      <c r="L338" s="330">
        <v>1</v>
      </c>
      <c r="M338" s="330">
        <f>L338</f>
        <v>1</v>
      </c>
      <c r="N338" s="748" t="s">
        <v>360</v>
      </c>
    </row>
    <row r="339" spans="1:14" s="487" customFormat="1" ht="15.75" customHeight="1">
      <c r="A339" s="751">
        <f>A334+1</f>
        <v>13</v>
      </c>
      <c r="B339" s="351" t="s">
        <v>545</v>
      </c>
      <c r="C339" s="330"/>
      <c r="D339" s="330"/>
      <c r="E339" s="330"/>
      <c r="F339" s="330"/>
      <c r="G339" s="330"/>
      <c r="H339" s="330"/>
      <c r="I339" s="330"/>
      <c r="J339" s="330"/>
      <c r="K339" s="330">
        <v>4</v>
      </c>
      <c r="L339" s="330">
        <v>1</v>
      </c>
      <c r="M339" s="330">
        <f t="shared" ref="M339:M346" si="9">K339*L339</f>
        <v>4</v>
      </c>
      <c r="N339" s="748" t="s">
        <v>357</v>
      </c>
    </row>
    <row r="340" spans="1:14" s="487" customFormat="1" ht="15.75" customHeight="1">
      <c r="A340" s="751">
        <f t="shared" ref="A340:A346" si="10">A339+1</f>
        <v>14</v>
      </c>
      <c r="B340" s="351" t="s">
        <v>638</v>
      </c>
      <c r="C340" s="330"/>
      <c r="D340" s="330"/>
      <c r="E340" s="330"/>
      <c r="F340" s="330"/>
      <c r="G340" s="330"/>
      <c r="H340" s="330"/>
      <c r="I340" s="330"/>
      <c r="J340" s="330"/>
      <c r="K340" s="330">
        <v>2</v>
      </c>
      <c r="L340" s="330">
        <f>L339</f>
        <v>1</v>
      </c>
      <c r="M340" s="330">
        <f t="shared" si="9"/>
        <v>2</v>
      </c>
      <c r="N340" s="748" t="s">
        <v>357</v>
      </c>
    </row>
    <row r="341" spans="1:14" s="487" customFormat="1" ht="15.75" customHeight="1">
      <c r="A341" s="751">
        <f t="shared" si="10"/>
        <v>15</v>
      </c>
      <c r="B341" s="351" t="s">
        <v>547</v>
      </c>
      <c r="C341" s="330"/>
      <c r="D341" s="330"/>
      <c r="E341" s="330"/>
      <c r="F341" s="330"/>
      <c r="G341" s="330"/>
      <c r="H341" s="330"/>
      <c r="I341" s="330"/>
      <c r="J341" s="330"/>
      <c r="K341" s="330">
        <f>K339</f>
        <v>4</v>
      </c>
      <c r="L341" s="330">
        <f>L340</f>
        <v>1</v>
      </c>
      <c r="M341" s="330">
        <f t="shared" si="9"/>
        <v>4</v>
      </c>
      <c r="N341" s="748" t="s">
        <v>124</v>
      </c>
    </row>
    <row r="342" spans="1:14" s="487" customFormat="1" ht="15.75" customHeight="1">
      <c r="A342" s="751">
        <f t="shared" si="10"/>
        <v>16</v>
      </c>
      <c r="B342" s="351" t="s">
        <v>613</v>
      </c>
      <c r="C342" s="330"/>
      <c r="D342" s="330"/>
      <c r="E342" s="330"/>
      <c r="F342" s="330"/>
      <c r="G342" s="330"/>
      <c r="H342" s="330"/>
      <c r="I342" s="330"/>
      <c r="J342" s="330"/>
      <c r="K342" s="330">
        <v>1</v>
      </c>
      <c r="L342" s="330">
        <f>L341</f>
        <v>1</v>
      </c>
      <c r="M342" s="330">
        <f t="shared" si="9"/>
        <v>1</v>
      </c>
      <c r="N342" s="748" t="s">
        <v>124</v>
      </c>
    </row>
    <row r="343" spans="1:14" s="487" customFormat="1" ht="15.75" customHeight="1">
      <c r="A343" s="751">
        <f t="shared" si="10"/>
        <v>17</v>
      </c>
      <c r="B343" s="351" t="s">
        <v>614</v>
      </c>
      <c r="C343" s="330"/>
      <c r="D343" s="330"/>
      <c r="E343" s="330"/>
      <c r="F343" s="330"/>
      <c r="G343" s="330"/>
      <c r="H343" s="330"/>
      <c r="I343" s="330"/>
      <c r="J343" s="330"/>
      <c r="K343" s="330">
        <v>1</v>
      </c>
      <c r="L343" s="330">
        <v>1</v>
      </c>
      <c r="M343" s="330">
        <f t="shared" si="9"/>
        <v>1</v>
      </c>
      <c r="N343" s="748" t="s">
        <v>124</v>
      </c>
    </row>
    <row r="344" spans="1:14" s="487" customFormat="1" ht="15.75" customHeight="1">
      <c r="A344" s="751">
        <f t="shared" si="10"/>
        <v>18</v>
      </c>
      <c r="B344" s="351" t="s">
        <v>615</v>
      </c>
      <c r="C344" s="330"/>
      <c r="D344" s="330"/>
      <c r="E344" s="330"/>
      <c r="F344" s="330"/>
      <c r="G344" s="330"/>
      <c r="H344" s="330"/>
      <c r="I344" s="330"/>
      <c r="J344" s="330"/>
      <c r="K344" s="330">
        <f>K340</f>
        <v>2</v>
      </c>
      <c r="L344" s="330">
        <f>L342</f>
        <v>1</v>
      </c>
      <c r="M344" s="330">
        <f t="shared" si="9"/>
        <v>2</v>
      </c>
      <c r="N344" s="748" t="s">
        <v>124</v>
      </c>
    </row>
    <row r="345" spans="1:14" s="487" customFormat="1" ht="15.75" customHeight="1">
      <c r="A345" s="751">
        <f t="shared" si="10"/>
        <v>19</v>
      </c>
      <c r="B345" s="351" t="s">
        <v>616</v>
      </c>
      <c r="C345" s="330"/>
      <c r="D345" s="330"/>
      <c r="E345" s="330"/>
      <c r="F345" s="330"/>
      <c r="G345" s="330"/>
      <c r="H345" s="330"/>
      <c r="I345" s="330"/>
      <c r="J345" s="330"/>
      <c r="K345" s="330">
        <v>1</v>
      </c>
      <c r="L345" s="330">
        <f>L342</f>
        <v>1</v>
      </c>
      <c r="M345" s="330">
        <f t="shared" si="9"/>
        <v>1</v>
      </c>
      <c r="N345" s="748" t="s">
        <v>124</v>
      </c>
    </row>
    <row r="346" spans="1:14" s="487" customFormat="1" ht="15.75" customHeight="1">
      <c r="A346" s="751">
        <f t="shared" si="10"/>
        <v>20</v>
      </c>
      <c r="B346" s="351" t="s">
        <v>1161</v>
      </c>
      <c r="C346" s="330"/>
      <c r="D346" s="330"/>
      <c r="E346" s="330"/>
      <c r="F346" s="330"/>
      <c r="G346" s="330"/>
      <c r="H346" s="330"/>
      <c r="I346" s="330"/>
      <c r="J346" s="330"/>
      <c r="K346" s="330">
        <v>1</v>
      </c>
      <c r="L346" s="330">
        <f>L345</f>
        <v>1</v>
      </c>
      <c r="M346" s="330">
        <f t="shared" si="9"/>
        <v>1</v>
      </c>
      <c r="N346" s="748" t="s">
        <v>360</v>
      </c>
    </row>
    <row r="347" spans="1:14" s="487" customFormat="1" ht="15.75" customHeight="1">
      <c r="A347" s="777"/>
      <c r="B347" s="602"/>
      <c r="C347" s="778"/>
      <c r="D347" s="778"/>
      <c r="E347" s="778"/>
      <c r="F347" s="778"/>
      <c r="G347" s="778"/>
      <c r="H347" s="778"/>
      <c r="I347" s="778"/>
      <c r="J347" s="778"/>
      <c r="K347" s="778"/>
      <c r="L347" s="778"/>
      <c r="M347" s="778"/>
      <c r="N347" s="605"/>
    </row>
    <row r="348" spans="1:14" s="487" customFormat="1" ht="15.75" customHeight="1">
      <c r="A348" s="398"/>
      <c r="B348" s="398"/>
      <c r="C348" s="779"/>
      <c r="D348" s="779"/>
      <c r="E348" s="779"/>
      <c r="F348" s="779"/>
      <c r="G348" s="779"/>
      <c r="H348" s="779"/>
      <c r="I348" s="779"/>
      <c r="J348" s="779"/>
      <c r="K348" s="779"/>
      <c r="L348" s="779"/>
      <c r="M348" s="779"/>
      <c r="N348" s="606"/>
    </row>
    <row r="349" spans="1:14" s="487" customFormat="1" ht="15.75" customHeight="1">
      <c r="A349" s="398"/>
      <c r="B349" s="398"/>
      <c r="C349" s="779"/>
      <c r="D349" s="779"/>
      <c r="E349" s="779"/>
      <c r="F349" s="779"/>
      <c r="G349" s="779"/>
      <c r="H349" s="779"/>
      <c r="I349" s="779"/>
      <c r="J349" s="779"/>
      <c r="K349" s="779"/>
      <c r="L349" s="779"/>
      <c r="M349" s="779"/>
      <c r="N349" s="606"/>
    </row>
    <row r="350" spans="1:14" s="487" customFormat="1" ht="15.75" customHeight="1">
      <c r="A350" s="398"/>
      <c r="B350" s="398"/>
      <c r="C350" s="779"/>
      <c r="D350" s="779"/>
      <c r="E350" s="779"/>
      <c r="F350" s="779"/>
      <c r="G350" s="779"/>
      <c r="H350" s="779"/>
      <c r="I350" s="779"/>
      <c r="J350" s="779"/>
      <c r="K350" s="779"/>
      <c r="L350" s="779"/>
      <c r="M350" s="779"/>
      <c r="N350" s="606"/>
    </row>
    <row r="351" spans="1:14" s="487" customFormat="1" ht="15.75" customHeight="1">
      <c r="A351" s="398"/>
      <c r="B351" s="398"/>
      <c r="C351" s="779"/>
      <c r="D351" s="779"/>
      <c r="E351" s="779"/>
      <c r="F351" s="779"/>
      <c r="G351" s="779"/>
      <c r="H351" s="779"/>
      <c r="I351" s="779"/>
      <c r="J351" s="779"/>
      <c r="K351" s="779"/>
      <c r="L351" s="779"/>
      <c r="M351" s="779"/>
      <c r="N351" s="606"/>
    </row>
    <row r="352" spans="1:14" s="487" customFormat="1" ht="15.75" customHeight="1">
      <c r="A352" s="398"/>
      <c r="B352" s="398"/>
      <c r="C352" s="779"/>
      <c r="D352" s="779"/>
      <c r="E352" s="779"/>
      <c r="F352" s="779"/>
      <c r="G352" s="779"/>
      <c r="H352" s="779"/>
      <c r="I352" s="779"/>
      <c r="J352" s="779"/>
      <c r="K352" s="779"/>
      <c r="L352" s="779"/>
      <c r="M352" s="779"/>
      <c r="N352" s="606"/>
    </row>
    <row r="353" spans="1:14" s="487" customFormat="1" ht="15.75" customHeight="1">
      <c r="A353" s="398"/>
      <c r="B353" s="398"/>
      <c r="C353" s="779"/>
      <c r="D353" s="779"/>
      <c r="E353" s="779"/>
      <c r="F353" s="779"/>
      <c r="G353" s="779"/>
      <c r="H353" s="779"/>
      <c r="I353" s="779"/>
      <c r="J353" s="779"/>
      <c r="K353" s="779"/>
      <c r="L353" s="779"/>
      <c r="M353" s="779"/>
      <c r="N353" s="606"/>
    </row>
    <row r="354" spans="1:14" s="487" customFormat="1" ht="15.75" customHeight="1">
      <c r="A354" s="398"/>
      <c r="B354" s="398"/>
      <c r="C354" s="779"/>
      <c r="D354" s="779"/>
      <c r="E354" s="779"/>
      <c r="F354" s="779"/>
      <c r="G354" s="779"/>
      <c r="H354" s="779"/>
      <c r="I354" s="779"/>
      <c r="J354" s="779"/>
      <c r="K354" s="779"/>
      <c r="L354" s="779"/>
      <c r="M354" s="779"/>
      <c r="N354" s="606"/>
    </row>
    <row r="355" spans="1:14" s="487" customFormat="1" ht="15.75" customHeight="1">
      <c r="A355" s="398"/>
      <c r="B355" s="398"/>
      <c r="C355" s="779"/>
      <c r="D355" s="779"/>
      <c r="E355" s="779"/>
      <c r="F355" s="779"/>
      <c r="G355" s="779"/>
      <c r="H355" s="779"/>
      <c r="I355" s="779"/>
      <c r="J355" s="779"/>
      <c r="K355" s="779"/>
      <c r="L355" s="779"/>
      <c r="M355" s="779"/>
      <c r="N355" s="606"/>
    </row>
    <row r="356" spans="1:14" s="487" customFormat="1" ht="15.75" customHeight="1">
      <c r="A356" s="398"/>
      <c r="B356" s="398"/>
      <c r="C356" s="779"/>
      <c r="D356" s="779"/>
      <c r="E356" s="779"/>
      <c r="F356" s="779"/>
      <c r="G356" s="779"/>
      <c r="H356" s="779"/>
      <c r="I356" s="779"/>
      <c r="J356" s="779"/>
      <c r="K356" s="779"/>
      <c r="L356" s="779"/>
      <c r="M356" s="779"/>
      <c r="N356" s="606"/>
    </row>
    <row r="357" spans="1:14" s="487" customFormat="1" ht="15.75" customHeight="1">
      <c r="A357" s="398"/>
      <c r="B357" s="398"/>
      <c r="C357" s="779"/>
      <c r="D357" s="779"/>
      <c r="E357" s="779"/>
      <c r="F357" s="779"/>
      <c r="G357" s="779"/>
      <c r="H357" s="779"/>
      <c r="I357" s="779"/>
      <c r="J357" s="779"/>
      <c r="K357" s="779"/>
      <c r="L357" s="779"/>
      <c r="M357" s="779"/>
      <c r="N357" s="606"/>
    </row>
    <row r="358" spans="1:14" s="487" customFormat="1" ht="15.75" customHeight="1">
      <c r="A358" s="398"/>
      <c r="B358" s="398"/>
      <c r="C358" s="779"/>
      <c r="D358" s="779"/>
      <c r="E358" s="779"/>
      <c r="F358" s="779"/>
      <c r="G358" s="779"/>
      <c r="H358" s="779"/>
      <c r="I358" s="779"/>
      <c r="J358" s="779"/>
      <c r="K358" s="779"/>
      <c r="L358" s="779"/>
      <c r="M358" s="779"/>
      <c r="N358" s="606"/>
    </row>
    <row r="359" spans="1:14" s="487" customFormat="1" ht="15.75" customHeight="1">
      <c r="A359" s="398"/>
      <c r="B359" s="398"/>
      <c r="C359" s="779"/>
      <c r="D359" s="779"/>
      <c r="E359" s="779"/>
      <c r="F359" s="779"/>
      <c r="G359" s="779"/>
      <c r="H359" s="779"/>
      <c r="I359" s="779"/>
      <c r="J359" s="779"/>
      <c r="K359" s="779"/>
      <c r="L359" s="779"/>
      <c r="M359" s="779"/>
      <c r="N359" s="606"/>
    </row>
    <row r="360" spans="1:14" s="487" customFormat="1" ht="15.75" customHeight="1">
      <c r="A360" s="398"/>
      <c r="B360" s="398"/>
      <c r="C360" s="779"/>
      <c r="D360" s="779"/>
      <c r="E360" s="779"/>
      <c r="F360" s="779"/>
      <c r="G360" s="779"/>
      <c r="H360" s="779"/>
      <c r="I360" s="779"/>
      <c r="J360" s="779"/>
      <c r="K360" s="779"/>
      <c r="L360" s="779"/>
      <c r="M360" s="779"/>
      <c r="N360" s="606"/>
    </row>
    <row r="361" spans="1:14" s="487" customFormat="1" ht="15.75" customHeight="1">
      <c r="A361" s="398"/>
      <c r="B361" s="398"/>
      <c r="C361" s="779"/>
      <c r="D361" s="779"/>
      <c r="E361" s="779"/>
      <c r="F361" s="779"/>
      <c r="G361" s="779"/>
      <c r="H361" s="779"/>
      <c r="I361" s="779"/>
      <c r="J361" s="779"/>
      <c r="K361" s="779"/>
      <c r="L361" s="779"/>
      <c r="M361" s="779"/>
      <c r="N361" s="606"/>
    </row>
    <row r="362" spans="1:14" s="487" customFormat="1" ht="15.75" customHeight="1">
      <c r="A362" s="398"/>
      <c r="B362" s="398"/>
      <c r="C362" s="779"/>
      <c r="D362" s="779"/>
      <c r="E362" s="779"/>
      <c r="F362" s="779"/>
      <c r="G362" s="779"/>
      <c r="H362" s="779"/>
      <c r="I362" s="779"/>
      <c r="J362" s="779"/>
      <c r="K362" s="779"/>
      <c r="L362" s="779"/>
      <c r="M362" s="779"/>
      <c r="N362" s="606"/>
    </row>
    <row r="363" spans="1:14" s="487" customFormat="1" ht="15.75" customHeight="1">
      <c r="A363" s="398"/>
      <c r="B363" s="398"/>
      <c r="C363" s="779"/>
      <c r="D363" s="779"/>
      <c r="E363" s="779"/>
      <c r="F363" s="779"/>
      <c r="G363" s="779"/>
      <c r="H363" s="779"/>
      <c r="I363" s="779"/>
      <c r="J363" s="779"/>
      <c r="K363" s="779"/>
      <c r="L363" s="779"/>
      <c r="M363" s="779"/>
      <c r="N363" s="606"/>
    </row>
    <row r="364" spans="1:14" s="487" customFormat="1" ht="15.75" customHeight="1">
      <c r="A364" s="398"/>
      <c r="B364" s="398"/>
      <c r="C364" s="779"/>
      <c r="D364" s="779"/>
      <c r="E364" s="779"/>
      <c r="F364" s="779"/>
      <c r="G364" s="779"/>
      <c r="H364" s="779"/>
      <c r="I364" s="779"/>
      <c r="J364" s="779"/>
      <c r="K364" s="779"/>
      <c r="L364" s="779"/>
      <c r="M364" s="779"/>
      <c r="N364" s="606"/>
    </row>
    <row r="365" spans="1:14" s="487" customFormat="1" ht="15.75" customHeight="1">
      <c r="A365" s="398"/>
      <c r="B365" s="398"/>
      <c r="C365" s="779"/>
      <c r="D365" s="779"/>
      <c r="E365" s="779"/>
      <c r="F365" s="779"/>
      <c r="G365" s="779"/>
      <c r="H365" s="779"/>
      <c r="I365" s="779"/>
      <c r="J365" s="779"/>
      <c r="K365" s="779"/>
      <c r="L365" s="779"/>
      <c r="M365" s="779"/>
      <c r="N365" s="606"/>
    </row>
    <row r="366" spans="1:14" s="487" customFormat="1" ht="15.75" customHeight="1">
      <c r="A366" s="398"/>
      <c r="B366" s="398"/>
      <c r="C366" s="779"/>
      <c r="D366" s="779"/>
      <c r="E366" s="779"/>
      <c r="F366" s="779"/>
      <c r="G366" s="779"/>
      <c r="H366" s="779"/>
      <c r="I366" s="779"/>
      <c r="J366" s="779"/>
      <c r="K366" s="779"/>
      <c r="L366" s="779"/>
      <c r="M366" s="779"/>
      <c r="N366" s="606"/>
    </row>
    <row r="367" spans="1:14" s="487" customFormat="1" ht="15.75" customHeight="1">
      <c r="A367" s="398"/>
      <c r="B367" s="398"/>
      <c r="C367" s="779"/>
      <c r="D367" s="779"/>
      <c r="E367" s="779"/>
      <c r="F367" s="779"/>
      <c r="G367" s="779"/>
      <c r="H367" s="779"/>
      <c r="I367" s="779"/>
      <c r="J367" s="779"/>
      <c r="K367" s="779"/>
      <c r="L367" s="779"/>
      <c r="M367" s="779"/>
      <c r="N367" s="606"/>
    </row>
    <row r="368" spans="1:14" s="487" customFormat="1" ht="15.75" customHeight="1">
      <c r="A368" s="398"/>
      <c r="B368" s="398"/>
      <c r="C368" s="779"/>
      <c r="D368" s="779"/>
      <c r="E368" s="779"/>
      <c r="F368" s="779"/>
      <c r="G368" s="779"/>
      <c r="H368" s="779"/>
      <c r="I368" s="779"/>
      <c r="J368" s="779"/>
      <c r="K368" s="779"/>
      <c r="L368" s="779"/>
      <c r="M368" s="779"/>
      <c r="N368" s="606"/>
    </row>
    <row r="369" spans="1:14" s="487" customFormat="1" ht="15.75" customHeight="1">
      <c r="A369" s="398"/>
      <c r="B369" s="398"/>
      <c r="C369" s="779"/>
      <c r="D369" s="779"/>
      <c r="E369" s="779"/>
      <c r="F369" s="779"/>
      <c r="G369" s="779"/>
      <c r="H369" s="779"/>
      <c r="I369" s="779"/>
      <c r="J369" s="779"/>
      <c r="K369" s="779"/>
      <c r="L369" s="779"/>
      <c r="M369" s="779"/>
      <c r="N369" s="606"/>
    </row>
    <row r="370" spans="1:14" s="487" customFormat="1" ht="15.75" customHeight="1">
      <c r="A370" s="398"/>
      <c r="B370" s="398"/>
      <c r="C370" s="779"/>
      <c r="D370" s="779"/>
      <c r="E370" s="779"/>
      <c r="F370" s="779"/>
      <c r="G370" s="779"/>
      <c r="H370" s="779"/>
      <c r="I370" s="779"/>
      <c r="J370" s="779"/>
      <c r="K370" s="779"/>
      <c r="L370" s="779"/>
      <c r="M370" s="779"/>
      <c r="N370" s="606"/>
    </row>
    <row r="371" spans="1:14" s="487" customFormat="1" ht="15.75" customHeight="1">
      <c r="A371" s="398"/>
      <c r="B371" s="398"/>
      <c r="C371" s="779"/>
      <c r="D371" s="779"/>
      <c r="E371" s="779"/>
      <c r="F371" s="779"/>
      <c r="G371" s="779"/>
      <c r="H371" s="779"/>
      <c r="I371" s="779"/>
      <c r="J371" s="779"/>
      <c r="K371" s="779"/>
      <c r="L371" s="779"/>
      <c r="M371" s="779"/>
      <c r="N371" s="606"/>
    </row>
    <row r="372" spans="1:14" s="487" customFormat="1" ht="15.75" customHeight="1">
      <c r="A372" s="398"/>
      <c r="B372" s="398"/>
      <c r="C372" s="779"/>
      <c r="D372" s="779"/>
      <c r="E372" s="779"/>
      <c r="F372" s="779"/>
      <c r="G372" s="779"/>
      <c r="H372" s="779"/>
      <c r="I372" s="779"/>
      <c r="J372" s="779"/>
      <c r="K372" s="779"/>
      <c r="L372" s="779"/>
      <c r="M372" s="779"/>
      <c r="N372" s="606"/>
    </row>
    <row r="373" spans="1:14" s="487" customFormat="1" ht="15.75" customHeight="1">
      <c r="A373" s="398"/>
      <c r="B373" s="398"/>
      <c r="C373" s="779"/>
      <c r="D373" s="779"/>
      <c r="E373" s="779"/>
      <c r="F373" s="779"/>
      <c r="G373" s="779"/>
      <c r="H373" s="779"/>
      <c r="I373" s="779"/>
      <c r="J373" s="779"/>
      <c r="K373" s="779"/>
      <c r="L373" s="779"/>
      <c r="M373" s="779"/>
      <c r="N373" s="606"/>
    </row>
    <row r="374" spans="1:14" s="487" customFormat="1" ht="15.75" customHeight="1">
      <c r="A374" s="398"/>
      <c r="B374" s="398"/>
      <c r="C374" s="779"/>
      <c r="D374" s="779"/>
      <c r="E374" s="779"/>
      <c r="F374" s="779"/>
      <c r="G374" s="779"/>
      <c r="H374" s="779"/>
      <c r="I374" s="779"/>
      <c r="J374" s="779"/>
      <c r="K374" s="779"/>
      <c r="L374" s="779"/>
      <c r="M374" s="779"/>
      <c r="N374" s="606"/>
    </row>
    <row r="375" spans="1:14" s="487" customFormat="1" ht="15.75" customHeight="1">
      <c r="A375" s="398"/>
      <c r="B375" s="398"/>
      <c r="C375" s="779"/>
      <c r="D375" s="779"/>
      <c r="E375" s="779"/>
      <c r="F375" s="779"/>
      <c r="G375" s="779"/>
      <c r="H375" s="779"/>
      <c r="I375" s="779"/>
      <c r="J375" s="779"/>
      <c r="K375" s="779"/>
      <c r="L375" s="779"/>
      <c r="M375" s="779"/>
      <c r="N375" s="606"/>
    </row>
    <row r="376" spans="1:14" s="487" customFormat="1" ht="15.75" customHeight="1">
      <c r="A376" s="398"/>
      <c r="B376" s="398"/>
      <c r="C376" s="779"/>
      <c r="D376" s="779"/>
      <c r="E376" s="779"/>
      <c r="F376" s="779"/>
      <c r="G376" s="779"/>
      <c r="H376" s="779"/>
      <c r="I376" s="779"/>
      <c r="J376" s="779"/>
      <c r="K376" s="779"/>
      <c r="L376" s="779"/>
      <c r="M376" s="779"/>
      <c r="N376" s="606"/>
    </row>
    <row r="377" spans="1:14" s="487" customFormat="1" ht="15.75" customHeight="1">
      <c r="A377" s="398"/>
      <c r="B377" s="398"/>
      <c r="C377" s="779"/>
      <c r="D377" s="779"/>
      <c r="E377" s="779"/>
      <c r="F377" s="779"/>
      <c r="G377" s="779"/>
      <c r="H377" s="779"/>
      <c r="I377" s="779"/>
      <c r="J377" s="779"/>
      <c r="K377" s="779"/>
      <c r="L377" s="779"/>
      <c r="M377" s="779"/>
      <c r="N377" s="606"/>
    </row>
    <row r="378" spans="1:14" s="487" customFormat="1" ht="15.75" customHeight="1">
      <c r="A378" s="398"/>
      <c r="B378" s="398"/>
      <c r="C378" s="779"/>
      <c r="D378" s="779"/>
      <c r="E378" s="779"/>
      <c r="F378" s="779"/>
      <c r="G378" s="779"/>
      <c r="H378" s="779"/>
      <c r="I378" s="779"/>
      <c r="J378" s="779"/>
      <c r="K378" s="779"/>
      <c r="L378" s="779"/>
      <c r="M378" s="779"/>
      <c r="N378" s="606"/>
    </row>
    <row r="379" spans="1:14" s="487" customFormat="1" ht="15.75" customHeight="1">
      <c r="A379" s="398"/>
      <c r="B379" s="398"/>
      <c r="C379" s="779"/>
      <c r="D379" s="779"/>
      <c r="E379" s="779"/>
      <c r="F379" s="779"/>
      <c r="G379" s="779"/>
      <c r="H379" s="779"/>
      <c r="I379" s="779"/>
      <c r="J379" s="779"/>
      <c r="K379" s="779"/>
      <c r="L379" s="779"/>
      <c r="M379" s="779"/>
      <c r="N379" s="606"/>
    </row>
    <row r="380" spans="1:14" s="487" customFormat="1" ht="15.75" customHeight="1">
      <c r="A380" s="398"/>
      <c r="B380" s="398"/>
      <c r="C380" s="779"/>
      <c r="D380" s="779"/>
      <c r="E380" s="779"/>
      <c r="F380" s="779"/>
      <c r="G380" s="779"/>
      <c r="H380" s="779"/>
      <c r="I380" s="779"/>
      <c r="J380" s="779"/>
      <c r="K380" s="779"/>
      <c r="L380" s="779"/>
      <c r="M380" s="779"/>
      <c r="N380" s="606"/>
    </row>
    <row r="381" spans="1:14" s="487" customFormat="1" ht="15.75" customHeight="1">
      <c r="A381" s="398"/>
      <c r="B381" s="398"/>
      <c r="C381" s="779"/>
      <c r="D381" s="779"/>
      <c r="E381" s="779"/>
      <c r="F381" s="779"/>
      <c r="G381" s="779"/>
      <c r="H381" s="779"/>
      <c r="I381" s="779"/>
      <c r="J381" s="779"/>
      <c r="K381" s="779"/>
      <c r="L381" s="779"/>
      <c r="M381" s="779"/>
      <c r="N381" s="606"/>
    </row>
    <row r="382" spans="1:14" s="487" customFormat="1" ht="15.75" customHeight="1">
      <c r="A382" s="398"/>
      <c r="B382" s="398"/>
      <c r="C382" s="779"/>
      <c r="D382" s="779"/>
      <c r="E382" s="779"/>
      <c r="F382" s="779"/>
      <c r="G382" s="779"/>
      <c r="H382" s="779"/>
      <c r="I382" s="779"/>
      <c r="J382" s="779"/>
      <c r="K382" s="779"/>
      <c r="L382" s="779"/>
      <c r="M382" s="779"/>
      <c r="N382" s="606"/>
    </row>
    <row r="383" spans="1:14" s="487" customFormat="1" ht="15.75" customHeight="1">
      <c r="A383" s="398"/>
      <c r="B383" s="398"/>
      <c r="C383" s="779"/>
      <c r="D383" s="779"/>
      <c r="E383" s="779"/>
      <c r="F383" s="779"/>
      <c r="G383" s="779"/>
      <c r="H383" s="779"/>
      <c r="I383" s="779"/>
      <c r="J383" s="779"/>
      <c r="K383" s="779"/>
      <c r="L383" s="779"/>
      <c r="M383" s="779"/>
      <c r="N383" s="606"/>
    </row>
    <row r="384" spans="1:14" s="487" customFormat="1" ht="15.75" customHeight="1">
      <c r="A384" s="398"/>
      <c r="B384" s="398"/>
      <c r="C384" s="779"/>
      <c r="D384" s="779"/>
      <c r="E384" s="779"/>
      <c r="F384" s="779"/>
      <c r="G384" s="779"/>
      <c r="H384" s="779"/>
      <c r="I384" s="779"/>
      <c r="J384" s="779"/>
      <c r="K384" s="779"/>
      <c r="L384" s="779"/>
      <c r="M384" s="779"/>
      <c r="N384" s="606"/>
    </row>
    <row r="385" spans="1:14" s="487" customFormat="1" ht="15.75" customHeight="1">
      <c r="A385" s="398"/>
      <c r="B385" s="398"/>
      <c r="C385" s="779"/>
      <c r="D385" s="779"/>
      <c r="E385" s="779"/>
      <c r="F385" s="779"/>
      <c r="G385" s="779"/>
      <c r="H385" s="779"/>
      <c r="I385" s="779"/>
      <c r="J385" s="779"/>
      <c r="K385" s="779"/>
      <c r="L385" s="779"/>
      <c r="M385" s="779"/>
      <c r="N385" s="606"/>
    </row>
    <row r="386" spans="1:14" s="487" customFormat="1" ht="15.75" customHeight="1">
      <c r="A386" s="398"/>
      <c r="B386" s="398"/>
      <c r="C386" s="779"/>
      <c r="D386" s="779"/>
      <c r="E386" s="779"/>
      <c r="F386" s="779"/>
      <c r="G386" s="779"/>
      <c r="H386" s="779"/>
      <c r="I386" s="779"/>
      <c r="J386" s="779"/>
      <c r="K386" s="779"/>
      <c r="L386" s="779"/>
      <c r="M386" s="779"/>
      <c r="N386" s="606"/>
    </row>
    <row r="387" spans="1:14" s="487" customFormat="1" ht="15.75" customHeight="1">
      <c r="A387" s="398"/>
      <c r="B387" s="398"/>
      <c r="C387" s="779"/>
      <c r="D387" s="779"/>
      <c r="E387" s="779"/>
      <c r="F387" s="779"/>
      <c r="G387" s="779"/>
      <c r="H387" s="779"/>
      <c r="I387" s="779"/>
      <c r="J387" s="779"/>
      <c r="K387" s="779"/>
      <c r="L387" s="779"/>
      <c r="M387" s="779"/>
      <c r="N387" s="606"/>
    </row>
    <row r="388" spans="1:14" s="487" customFormat="1" ht="15.75" customHeight="1">
      <c r="A388" s="398"/>
      <c r="B388" s="398"/>
      <c r="C388" s="779"/>
      <c r="D388" s="779"/>
      <c r="E388" s="779"/>
      <c r="F388" s="779"/>
      <c r="G388" s="779"/>
      <c r="H388" s="779"/>
      <c r="I388" s="779"/>
      <c r="J388" s="779"/>
      <c r="K388" s="779"/>
      <c r="L388" s="779"/>
      <c r="M388" s="779"/>
      <c r="N388" s="606"/>
    </row>
    <row r="389" spans="1:14" s="487" customFormat="1" ht="15.75" customHeight="1">
      <c r="A389" s="398"/>
      <c r="B389" s="398"/>
      <c r="C389" s="779"/>
      <c r="D389" s="779"/>
      <c r="E389" s="779"/>
      <c r="F389" s="779"/>
      <c r="G389" s="779"/>
      <c r="H389" s="779"/>
      <c r="I389" s="779"/>
      <c r="J389" s="779"/>
      <c r="K389" s="779"/>
      <c r="L389" s="779"/>
      <c r="M389" s="779"/>
      <c r="N389" s="606"/>
    </row>
    <row r="390" spans="1:14" s="487" customFormat="1" ht="15.75" customHeight="1">
      <c r="A390" s="398"/>
      <c r="B390" s="398"/>
      <c r="C390" s="779"/>
      <c r="D390" s="779"/>
      <c r="E390" s="779"/>
      <c r="F390" s="779"/>
      <c r="G390" s="779"/>
      <c r="H390" s="779"/>
      <c r="I390" s="779"/>
      <c r="J390" s="779"/>
      <c r="K390" s="779"/>
      <c r="L390" s="779"/>
      <c r="M390" s="779"/>
      <c r="N390" s="606"/>
    </row>
    <row r="391" spans="1:14" s="487" customFormat="1" ht="15.75" customHeight="1">
      <c r="A391" s="398"/>
      <c r="B391" s="398"/>
      <c r="C391" s="779"/>
      <c r="D391" s="779"/>
      <c r="E391" s="779"/>
      <c r="F391" s="779"/>
      <c r="G391" s="779"/>
      <c r="H391" s="779"/>
      <c r="I391" s="779"/>
      <c r="J391" s="779"/>
      <c r="K391" s="779"/>
      <c r="L391" s="779"/>
      <c r="M391" s="779"/>
      <c r="N391" s="606"/>
    </row>
    <row r="392" spans="1:14" s="487" customFormat="1" ht="15.75" customHeight="1">
      <c r="A392" s="398"/>
      <c r="B392" s="398"/>
      <c r="C392" s="779"/>
      <c r="D392" s="779"/>
      <c r="E392" s="779"/>
      <c r="F392" s="779"/>
      <c r="G392" s="779"/>
      <c r="H392" s="779"/>
      <c r="I392" s="779"/>
      <c r="J392" s="779"/>
      <c r="K392" s="779"/>
      <c r="L392" s="779"/>
      <c r="M392" s="779"/>
      <c r="N392" s="606"/>
    </row>
    <row r="393" spans="1:14" s="487" customFormat="1" ht="15.75" customHeight="1">
      <c r="A393" s="398"/>
      <c r="B393" s="398"/>
      <c r="C393" s="779"/>
      <c r="D393" s="779"/>
      <c r="E393" s="779"/>
      <c r="F393" s="779"/>
      <c r="G393" s="779"/>
      <c r="H393" s="779"/>
      <c r="I393" s="779"/>
      <c r="J393" s="779"/>
      <c r="K393" s="779"/>
      <c r="L393" s="779"/>
      <c r="M393" s="779"/>
      <c r="N393" s="606"/>
    </row>
    <row r="394" spans="1:14" s="487" customFormat="1" ht="15.75" customHeight="1">
      <c r="A394" s="398"/>
      <c r="B394" s="398"/>
      <c r="C394" s="779"/>
      <c r="D394" s="779"/>
      <c r="E394" s="779"/>
      <c r="F394" s="779"/>
      <c r="G394" s="779"/>
      <c r="H394" s="779"/>
      <c r="I394" s="779"/>
      <c r="J394" s="779"/>
      <c r="K394" s="779"/>
      <c r="L394" s="779"/>
      <c r="M394" s="779"/>
      <c r="N394" s="606"/>
    </row>
    <row r="395" spans="1:14" s="487" customFormat="1" ht="15.75" customHeight="1">
      <c r="A395" s="398"/>
      <c r="B395" s="398"/>
      <c r="C395" s="779"/>
      <c r="D395" s="779"/>
      <c r="E395" s="779"/>
      <c r="F395" s="779"/>
      <c r="G395" s="779"/>
      <c r="H395" s="779"/>
      <c r="I395" s="779"/>
      <c r="J395" s="779"/>
      <c r="K395" s="779"/>
      <c r="L395" s="779"/>
      <c r="M395" s="779"/>
      <c r="N395" s="606"/>
    </row>
    <row r="396" spans="1:14" s="487" customFormat="1" ht="15.75" customHeight="1">
      <c r="A396" s="398"/>
      <c r="B396" s="398"/>
      <c r="C396" s="779"/>
      <c r="D396" s="779"/>
      <c r="E396" s="779"/>
      <c r="F396" s="779"/>
      <c r="G396" s="779"/>
      <c r="H396" s="779"/>
      <c r="I396" s="779"/>
      <c r="J396" s="779"/>
      <c r="K396" s="779"/>
      <c r="L396" s="779"/>
      <c r="M396" s="779"/>
      <c r="N396" s="606"/>
    </row>
    <row r="397" spans="1:14" s="487" customFormat="1" ht="15.75" customHeight="1">
      <c r="A397" s="398"/>
      <c r="B397" s="398"/>
      <c r="C397" s="779"/>
      <c r="D397" s="779"/>
      <c r="E397" s="779"/>
      <c r="F397" s="779"/>
      <c r="G397" s="779"/>
      <c r="H397" s="779"/>
      <c r="I397" s="779"/>
      <c r="J397" s="779"/>
      <c r="K397" s="779"/>
      <c r="L397" s="779"/>
      <c r="M397" s="779"/>
      <c r="N397" s="606"/>
    </row>
    <row r="398" spans="1:14" s="487" customFormat="1" ht="15.75" customHeight="1">
      <c r="A398" s="398"/>
      <c r="B398" s="398"/>
      <c r="C398" s="779"/>
      <c r="D398" s="779"/>
      <c r="E398" s="779"/>
      <c r="F398" s="779"/>
      <c r="G398" s="779"/>
      <c r="H398" s="779"/>
      <c r="I398" s="779"/>
      <c r="J398" s="779"/>
      <c r="K398" s="779"/>
      <c r="L398" s="779"/>
      <c r="M398" s="779"/>
      <c r="N398" s="606"/>
    </row>
    <row r="399" spans="1:14" s="487" customFormat="1" ht="15.75" customHeight="1">
      <c r="A399" s="398"/>
      <c r="B399" s="398"/>
      <c r="C399" s="779"/>
      <c r="D399" s="779"/>
      <c r="E399" s="779"/>
      <c r="F399" s="779"/>
      <c r="G399" s="779"/>
      <c r="H399" s="779"/>
      <c r="I399" s="779"/>
      <c r="J399" s="779"/>
      <c r="K399" s="779"/>
      <c r="L399" s="779"/>
      <c r="M399" s="779"/>
      <c r="N399" s="606"/>
    </row>
    <row r="400" spans="1:14" s="487" customFormat="1" ht="15.75" customHeight="1">
      <c r="A400" s="398"/>
      <c r="B400" s="398"/>
      <c r="C400" s="779"/>
      <c r="D400" s="779"/>
      <c r="E400" s="779"/>
      <c r="F400" s="779"/>
      <c r="G400" s="779"/>
      <c r="H400" s="779"/>
      <c r="I400" s="779"/>
      <c r="J400" s="779"/>
      <c r="K400" s="779"/>
      <c r="L400" s="779"/>
      <c r="M400" s="779"/>
      <c r="N400" s="606"/>
    </row>
    <row r="401" spans="1:14" s="487" customFormat="1" ht="15.75" customHeight="1">
      <c r="A401" s="398"/>
      <c r="B401" s="398"/>
      <c r="C401" s="779"/>
      <c r="D401" s="779"/>
      <c r="E401" s="779"/>
      <c r="F401" s="779"/>
      <c r="G401" s="779"/>
      <c r="H401" s="779"/>
      <c r="I401" s="779"/>
      <c r="J401" s="779"/>
      <c r="K401" s="779"/>
      <c r="L401" s="779"/>
      <c r="M401" s="779"/>
      <c r="N401" s="606"/>
    </row>
    <row r="402" spans="1:14" s="487" customFormat="1" ht="15.75" customHeight="1">
      <c r="A402" s="398"/>
      <c r="B402" s="398"/>
      <c r="C402" s="779"/>
      <c r="D402" s="779"/>
      <c r="E402" s="779"/>
      <c r="F402" s="779"/>
      <c r="G402" s="779"/>
      <c r="H402" s="779"/>
      <c r="I402" s="779"/>
      <c r="J402" s="779"/>
      <c r="K402" s="779"/>
      <c r="L402" s="779"/>
      <c r="M402" s="779"/>
      <c r="N402" s="606"/>
    </row>
    <row r="403" spans="1:14" s="487" customFormat="1" ht="15.75" customHeight="1">
      <c r="A403" s="398"/>
      <c r="B403" s="398"/>
      <c r="C403" s="779"/>
      <c r="D403" s="779"/>
      <c r="E403" s="779"/>
      <c r="F403" s="779"/>
      <c r="G403" s="779"/>
      <c r="H403" s="779"/>
      <c r="I403" s="779"/>
      <c r="J403" s="779"/>
      <c r="K403" s="779"/>
      <c r="L403" s="779"/>
      <c r="M403" s="779"/>
      <c r="N403" s="606"/>
    </row>
    <row r="404" spans="1:14" s="487" customFormat="1" ht="15.75" customHeight="1">
      <c r="A404" s="398"/>
      <c r="B404" s="398"/>
      <c r="C404" s="779"/>
      <c r="D404" s="779"/>
      <c r="E404" s="779"/>
      <c r="F404" s="779"/>
      <c r="G404" s="779"/>
      <c r="H404" s="779"/>
      <c r="I404" s="779"/>
      <c r="J404" s="779"/>
      <c r="K404" s="779"/>
      <c r="L404" s="779"/>
      <c r="M404" s="779"/>
      <c r="N404" s="606"/>
    </row>
    <row r="405" spans="1:14" s="487" customFormat="1" ht="15.75" customHeight="1">
      <c r="A405" s="398"/>
      <c r="B405" s="398"/>
      <c r="C405" s="779"/>
      <c r="D405" s="779"/>
      <c r="E405" s="779"/>
      <c r="F405" s="779"/>
      <c r="G405" s="779"/>
      <c r="H405" s="779"/>
      <c r="I405" s="779"/>
      <c r="J405" s="779"/>
      <c r="K405" s="779"/>
      <c r="L405" s="779"/>
      <c r="M405" s="779"/>
      <c r="N405" s="606"/>
    </row>
    <row r="406" spans="1:14" s="487" customFormat="1" ht="15.75" customHeight="1">
      <c r="A406" s="398"/>
      <c r="B406" s="398"/>
      <c r="C406" s="779"/>
      <c r="D406" s="779"/>
      <c r="E406" s="779"/>
      <c r="F406" s="779"/>
      <c r="G406" s="779"/>
      <c r="H406" s="779"/>
      <c r="I406" s="779"/>
      <c r="J406" s="779"/>
      <c r="K406" s="779"/>
      <c r="L406" s="779"/>
      <c r="M406" s="779"/>
      <c r="N406" s="606"/>
    </row>
    <row r="407" spans="1:14" s="487" customFormat="1" ht="15.75" customHeight="1">
      <c r="A407" s="398"/>
      <c r="B407" s="398"/>
      <c r="C407" s="779"/>
      <c r="D407" s="779"/>
      <c r="E407" s="779"/>
      <c r="F407" s="779"/>
      <c r="G407" s="779"/>
      <c r="H407" s="779"/>
      <c r="I407" s="779"/>
      <c r="J407" s="779"/>
      <c r="K407" s="779"/>
      <c r="L407" s="779"/>
      <c r="M407" s="779"/>
      <c r="N407" s="606"/>
    </row>
    <row r="408" spans="1:14" s="487" customFormat="1" ht="15.75" customHeight="1">
      <c r="A408" s="398"/>
      <c r="B408" s="398"/>
      <c r="C408" s="779"/>
      <c r="D408" s="779"/>
      <c r="E408" s="779"/>
      <c r="F408" s="779"/>
      <c r="G408" s="779"/>
      <c r="H408" s="779"/>
      <c r="I408" s="779"/>
      <c r="J408" s="779"/>
      <c r="K408" s="779"/>
      <c r="L408" s="779"/>
      <c r="M408" s="779"/>
      <c r="N408" s="606"/>
    </row>
    <row r="409" spans="1:14" s="487" customFormat="1" ht="15.75" customHeight="1">
      <c r="A409" s="398"/>
      <c r="B409" s="398"/>
      <c r="C409" s="779"/>
      <c r="D409" s="779"/>
      <c r="E409" s="779"/>
      <c r="F409" s="779"/>
      <c r="G409" s="779"/>
      <c r="H409" s="779"/>
      <c r="I409" s="779"/>
      <c r="J409" s="779"/>
      <c r="K409" s="779"/>
      <c r="L409" s="779"/>
      <c r="M409" s="779"/>
      <c r="N409" s="606"/>
    </row>
    <row r="410" spans="1:14" s="487" customFormat="1" ht="15.75" customHeight="1">
      <c r="A410" s="398"/>
      <c r="B410" s="398"/>
      <c r="C410" s="779"/>
      <c r="D410" s="779"/>
      <c r="E410" s="779"/>
      <c r="F410" s="779"/>
      <c r="G410" s="779"/>
      <c r="H410" s="779"/>
      <c r="I410" s="779"/>
      <c r="J410" s="779"/>
      <c r="K410" s="779"/>
      <c r="L410" s="779"/>
      <c r="M410" s="779"/>
      <c r="N410" s="606"/>
    </row>
    <row r="411" spans="1:14" s="487" customFormat="1" ht="15.75" customHeight="1">
      <c r="A411" s="398"/>
      <c r="B411" s="398"/>
      <c r="C411" s="779"/>
      <c r="D411" s="779"/>
      <c r="E411" s="779"/>
      <c r="F411" s="779"/>
      <c r="G411" s="779"/>
      <c r="H411" s="779"/>
      <c r="I411" s="779"/>
      <c r="J411" s="779"/>
      <c r="K411" s="779"/>
      <c r="L411" s="779"/>
      <c r="M411" s="779"/>
      <c r="N411" s="606"/>
    </row>
    <row r="412" spans="1:14" s="487" customFormat="1" ht="15.75" customHeight="1">
      <c r="A412" s="398"/>
      <c r="B412" s="398"/>
      <c r="C412" s="779"/>
      <c r="D412" s="779"/>
      <c r="E412" s="779"/>
      <c r="F412" s="779"/>
      <c r="G412" s="779"/>
      <c r="H412" s="779"/>
      <c r="I412" s="779"/>
      <c r="J412" s="779"/>
      <c r="K412" s="779"/>
      <c r="L412" s="779"/>
      <c r="M412" s="779"/>
      <c r="N412" s="606"/>
    </row>
    <row r="413" spans="1:14" s="487" customFormat="1" ht="15.75" customHeight="1">
      <c r="A413" s="398"/>
      <c r="B413" s="398"/>
      <c r="C413" s="779"/>
      <c r="D413" s="779"/>
      <c r="E413" s="779"/>
      <c r="F413" s="779"/>
      <c r="G413" s="779"/>
      <c r="H413" s="779"/>
      <c r="I413" s="779"/>
      <c r="J413" s="779"/>
      <c r="K413" s="779"/>
      <c r="L413" s="779"/>
      <c r="M413" s="779"/>
      <c r="N413" s="606"/>
    </row>
    <row r="414" spans="1:14" s="487" customFormat="1" ht="15.75" customHeight="1">
      <c r="A414" s="398"/>
      <c r="B414" s="398"/>
      <c r="C414" s="779"/>
      <c r="D414" s="779"/>
      <c r="E414" s="779"/>
      <c r="F414" s="779"/>
      <c r="G414" s="779"/>
      <c r="H414" s="779"/>
      <c r="I414" s="779"/>
      <c r="J414" s="779"/>
      <c r="K414" s="779"/>
      <c r="L414" s="779"/>
      <c r="M414" s="779"/>
      <c r="N414" s="606"/>
    </row>
    <row r="415" spans="1:14" s="487" customFormat="1" ht="15.75" customHeight="1">
      <c r="A415" s="398"/>
      <c r="B415" s="398"/>
      <c r="C415" s="779"/>
      <c r="D415" s="779"/>
      <c r="E415" s="779"/>
      <c r="F415" s="779"/>
      <c r="G415" s="779"/>
      <c r="H415" s="779"/>
      <c r="I415" s="779"/>
      <c r="J415" s="779"/>
      <c r="K415" s="779"/>
      <c r="L415" s="779"/>
      <c r="M415" s="779"/>
      <c r="N415" s="606"/>
    </row>
    <row r="416" spans="1:14" s="487" customFormat="1" ht="15.75" customHeight="1">
      <c r="A416" s="398"/>
      <c r="B416" s="398"/>
      <c r="C416" s="779"/>
      <c r="D416" s="779"/>
      <c r="E416" s="779"/>
      <c r="F416" s="779"/>
      <c r="G416" s="779"/>
      <c r="H416" s="779"/>
      <c r="I416" s="779"/>
      <c r="J416" s="779"/>
      <c r="K416" s="779"/>
      <c r="L416" s="779"/>
      <c r="M416" s="779"/>
      <c r="N416" s="606"/>
    </row>
    <row r="417" spans="1:14" s="487" customFormat="1" ht="15.75" customHeight="1">
      <c r="A417" s="398"/>
      <c r="B417" s="398"/>
      <c r="C417" s="779"/>
      <c r="D417" s="779"/>
      <c r="E417" s="779"/>
      <c r="F417" s="779"/>
      <c r="G417" s="779"/>
      <c r="H417" s="779"/>
      <c r="I417" s="779"/>
      <c r="J417" s="779"/>
      <c r="K417" s="779"/>
      <c r="L417" s="779"/>
      <c r="M417" s="779"/>
      <c r="N417" s="606"/>
    </row>
    <row r="418" spans="1:14" s="487" customFormat="1" ht="15.75" customHeight="1">
      <c r="A418" s="398"/>
      <c r="B418" s="398"/>
      <c r="C418" s="779"/>
      <c r="D418" s="779"/>
      <c r="E418" s="779"/>
      <c r="F418" s="779"/>
      <c r="G418" s="779"/>
      <c r="H418" s="779"/>
      <c r="I418" s="779"/>
      <c r="J418" s="779"/>
      <c r="K418" s="779"/>
      <c r="L418" s="779"/>
      <c r="M418" s="779"/>
      <c r="N418" s="606"/>
    </row>
    <row r="419" spans="1:14" s="487" customFormat="1" ht="15.75" customHeight="1">
      <c r="A419" s="398"/>
      <c r="B419" s="398"/>
      <c r="C419" s="779"/>
      <c r="D419" s="779"/>
      <c r="E419" s="779"/>
      <c r="F419" s="779"/>
      <c r="G419" s="779"/>
      <c r="H419" s="779"/>
      <c r="I419" s="779"/>
      <c r="J419" s="779"/>
      <c r="K419" s="779"/>
      <c r="L419" s="779"/>
      <c r="M419" s="779"/>
      <c r="N419" s="606"/>
    </row>
    <row r="420" spans="1:14" s="487" customFormat="1" ht="15.75" customHeight="1">
      <c r="A420" s="398"/>
      <c r="B420" s="398"/>
      <c r="C420" s="779"/>
      <c r="D420" s="779"/>
      <c r="E420" s="779"/>
      <c r="F420" s="779"/>
      <c r="G420" s="779"/>
      <c r="H420" s="779"/>
      <c r="I420" s="779"/>
      <c r="J420" s="779"/>
      <c r="K420" s="779"/>
      <c r="L420" s="779"/>
      <c r="M420" s="779"/>
      <c r="N420" s="606"/>
    </row>
    <row r="421" spans="1:14" s="487" customFormat="1" ht="15.75" customHeight="1">
      <c r="A421" s="398"/>
      <c r="B421" s="398"/>
      <c r="C421" s="779"/>
      <c r="D421" s="779"/>
      <c r="E421" s="779"/>
      <c r="F421" s="779"/>
      <c r="G421" s="779"/>
      <c r="H421" s="779"/>
      <c r="I421" s="779"/>
      <c r="J421" s="779"/>
      <c r="K421" s="779"/>
      <c r="L421" s="779"/>
      <c r="M421" s="779"/>
      <c r="N421" s="606"/>
    </row>
    <row r="422" spans="1:14" s="487" customFormat="1" ht="15.75" customHeight="1">
      <c r="A422" s="398"/>
      <c r="B422" s="398"/>
      <c r="C422" s="779"/>
      <c r="D422" s="779"/>
      <c r="E422" s="779"/>
      <c r="F422" s="779"/>
      <c r="G422" s="779"/>
      <c r="H422" s="779"/>
      <c r="I422" s="779"/>
      <c r="J422" s="779"/>
      <c r="K422" s="779"/>
      <c r="L422" s="779"/>
      <c r="M422" s="779"/>
      <c r="N422" s="606"/>
    </row>
    <row r="423" spans="1:14" s="487" customFormat="1" ht="15.75" customHeight="1">
      <c r="A423" s="398"/>
      <c r="B423" s="398"/>
      <c r="C423" s="779"/>
      <c r="D423" s="779"/>
      <c r="E423" s="779"/>
      <c r="F423" s="779"/>
      <c r="G423" s="779"/>
      <c r="H423" s="779"/>
      <c r="I423" s="779"/>
      <c r="J423" s="779"/>
      <c r="K423" s="779"/>
      <c r="L423" s="779"/>
      <c r="M423" s="779"/>
      <c r="N423" s="606"/>
    </row>
    <row r="424" spans="1:14" s="487" customFormat="1" ht="15.75" customHeight="1">
      <c r="A424" s="398"/>
      <c r="B424" s="398"/>
      <c r="C424" s="779"/>
      <c r="D424" s="779"/>
      <c r="E424" s="779"/>
      <c r="F424" s="779"/>
      <c r="G424" s="779"/>
      <c r="H424" s="779"/>
      <c r="I424" s="779"/>
      <c r="J424" s="779"/>
      <c r="K424" s="779"/>
      <c r="L424" s="779"/>
      <c r="M424" s="779"/>
      <c r="N424" s="606"/>
    </row>
    <row r="425" spans="1:14" s="487" customFormat="1" ht="15.75" customHeight="1">
      <c r="A425" s="398"/>
      <c r="B425" s="398"/>
      <c r="C425" s="779"/>
      <c r="D425" s="779"/>
      <c r="E425" s="779"/>
      <c r="F425" s="779"/>
      <c r="G425" s="779"/>
      <c r="H425" s="779"/>
      <c r="I425" s="779"/>
      <c r="J425" s="779"/>
      <c r="K425" s="779"/>
      <c r="L425" s="779"/>
      <c r="M425" s="779"/>
      <c r="N425" s="606"/>
    </row>
    <row r="426" spans="1:14" s="487" customFormat="1" ht="15.75" customHeight="1">
      <c r="A426" s="398"/>
      <c r="B426" s="398"/>
      <c r="C426" s="779"/>
      <c r="D426" s="779"/>
      <c r="E426" s="779"/>
      <c r="F426" s="779"/>
      <c r="G426" s="779"/>
      <c r="H426" s="779"/>
      <c r="I426" s="779"/>
      <c r="J426" s="779"/>
      <c r="K426" s="779"/>
      <c r="L426" s="779"/>
      <c r="M426" s="779"/>
      <c r="N426" s="606"/>
    </row>
    <row r="427" spans="1:14" s="487" customFormat="1" ht="15.75" customHeight="1">
      <c r="A427" s="398"/>
      <c r="B427" s="398"/>
      <c r="C427" s="779"/>
      <c r="D427" s="779"/>
      <c r="E427" s="779"/>
      <c r="F427" s="779"/>
      <c r="G427" s="779"/>
      <c r="H427" s="779"/>
      <c r="I427" s="779"/>
      <c r="J427" s="779"/>
      <c r="K427" s="779"/>
      <c r="L427" s="779"/>
      <c r="M427" s="779"/>
      <c r="N427" s="606"/>
    </row>
    <row r="428" spans="1:14" s="487" customFormat="1" ht="15.75" customHeight="1">
      <c r="A428" s="398"/>
      <c r="B428" s="398"/>
      <c r="C428" s="779"/>
      <c r="D428" s="779"/>
      <c r="E428" s="779"/>
      <c r="F428" s="779"/>
      <c r="G428" s="779"/>
      <c r="H428" s="779"/>
      <c r="I428" s="779"/>
      <c r="J428" s="779"/>
      <c r="K428" s="779"/>
      <c r="L428" s="779"/>
      <c r="M428" s="779"/>
      <c r="N428" s="606"/>
    </row>
    <row r="429" spans="1:14" s="487" customFormat="1" ht="15.75" customHeight="1">
      <c r="A429" s="398"/>
      <c r="B429" s="398"/>
      <c r="C429" s="779"/>
      <c r="D429" s="779"/>
      <c r="E429" s="779"/>
      <c r="F429" s="779"/>
      <c r="G429" s="779"/>
      <c r="H429" s="779"/>
      <c r="I429" s="779"/>
      <c r="J429" s="779"/>
      <c r="K429" s="779"/>
      <c r="L429" s="779"/>
      <c r="M429" s="779"/>
      <c r="N429" s="606"/>
    </row>
    <row r="430" spans="1:14" s="487" customFormat="1" ht="15.75" customHeight="1">
      <c r="A430" s="398"/>
      <c r="B430" s="398"/>
      <c r="C430" s="779"/>
      <c r="D430" s="779"/>
      <c r="E430" s="779"/>
      <c r="F430" s="779"/>
      <c r="G430" s="779"/>
      <c r="H430" s="779"/>
      <c r="I430" s="779"/>
      <c r="J430" s="779"/>
      <c r="K430" s="779"/>
      <c r="L430" s="779"/>
      <c r="M430" s="779"/>
      <c r="N430" s="606"/>
    </row>
    <row r="431" spans="1:14" s="487" customFormat="1" ht="15.75" customHeight="1">
      <c r="A431" s="398"/>
      <c r="B431" s="398"/>
      <c r="C431" s="779"/>
      <c r="D431" s="779"/>
      <c r="E431" s="779"/>
      <c r="F431" s="779"/>
      <c r="G431" s="779"/>
      <c r="H431" s="779"/>
      <c r="I431" s="779"/>
      <c r="J431" s="779"/>
      <c r="K431" s="779"/>
      <c r="L431" s="779"/>
      <c r="M431" s="779"/>
      <c r="N431" s="606"/>
    </row>
    <row r="432" spans="1:14" s="487" customFormat="1" ht="15.75" customHeight="1">
      <c r="A432" s="398"/>
      <c r="B432" s="398"/>
      <c r="C432" s="779"/>
      <c r="D432" s="779"/>
      <c r="E432" s="779"/>
      <c r="F432" s="779"/>
      <c r="G432" s="779"/>
      <c r="H432" s="779"/>
      <c r="I432" s="779"/>
      <c r="J432" s="779"/>
      <c r="K432" s="779"/>
      <c r="L432" s="779"/>
      <c r="M432" s="779"/>
      <c r="N432" s="606"/>
    </row>
    <row r="433" spans="1:14" s="487" customFormat="1" ht="15.75" customHeight="1">
      <c r="A433" s="398"/>
      <c r="B433" s="398"/>
      <c r="C433" s="779"/>
      <c r="D433" s="779"/>
      <c r="E433" s="779"/>
      <c r="F433" s="779"/>
      <c r="G433" s="779"/>
      <c r="H433" s="779"/>
      <c r="I433" s="779"/>
      <c r="J433" s="779"/>
      <c r="K433" s="779"/>
      <c r="L433" s="779"/>
      <c r="M433" s="779"/>
      <c r="N433" s="606"/>
    </row>
    <row r="434" spans="1:14" s="487" customFormat="1" ht="15.75" customHeight="1">
      <c r="A434" s="398"/>
      <c r="B434" s="398"/>
      <c r="C434" s="779"/>
      <c r="D434" s="779"/>
      <c r="E434" s="779"/>
      <c r="F434" s="779"/>
      <c r="G434" s="779"/>
      <c r="H434" s="779"/>
      <c r="I434" s="779"/>
      <c r="J434" s="779"/>
      <c r="K434" s="779"/>
      <c r="L434" s="779"/>
      <c r="M434" s="779"/>
      <c r="N434" s="606"/>
    </row>
    <row r="435" spans="1:14" s="487" customFormat="1" ht="15.75" customHeight="1">
      <c r="A435" s="398"/>
      <c r="B435" s="398"/>
      <c r="C435" s="779"/>
      <c r="D435" s="779"/>
      <c r="E435" s="779"/>
      <c r="F435" s="779"/>
      <c r="G435" s="779"/>
      <c r="H435" s="779"/>
      <c r="I435" s="779"/>
      <c r="J435" s="779"/>
      <c r="K435" s="779"/>
      <c r="L435" s="779"/>
      <c r="M435" s="779"/>
      <c r="N435" s="606"/>
    </row>
    <row r="436" spans="1:14" s="487" customFormat="1" ht="15.75" customHeight="1">
      <c r="A436" s="398"/>
      <c r="B436" s="398"/>
      <c r="C436" s="779"/>
      <c r="D436" s="779"/>
      <c r="E436" s="779"/>
      <c r="F436" s="779"/>
      <c r="G436" s="779"/>
      <c r="H436" s="779"/>
      <c r="I436" s="779"/>
      <c r="J436" s="779"/>
      <c r="K436" s="779"/>
      <c r="L436" s="779"/>
      <c r="M436" s="779"/>
      <c r="N436" s="606"/>
    </row>
    <row r="437" spans="1:14" s="487" customFormat="1" ht="15.75" customHeight="1">
      <c r="A437" s="398"/>
      <c r="B437" s="398"/>
      <c r="C437" s="779"/>
      <c r="D437" s="779"/>
      <c r="E437" s="779"/>
      <c r="F437" s="779"/>
      <c r="G437" s="779"/>
      <c r="H437" s="779"/>
      <c r="I437" s="779"/>
      <c r="J437" s="779"/>
      <c r="K437" s="779"/>
      <c r="L437" s="779"/>
      <c r="M437" s="779"/>
      <c r="N437" s="606"/>
    </row>
    <row r="438" spans="1:14" s="487" customFormat="1" ht="15.75" customHeight="1">
      <c r="A438" s="398"/>
      <c r="B438" s="398"/>
      <c r="C438" s="779"/>
      <c r="D438" s="779"/>
      <c r="E438" s="779"/>
      <c r="F438" s="779"/>
      <c r="G438" s="779"/>
      <c r="H438" s="779"/>
      <c r="I438" s="779"/>
      <c r="J438" s="779"/>
      <c r="K438" s="779"/>
      <c r="L438" s="779"/>
      <c r="M438" s="779"/>
      <c r="N438" s="606"/>
    </row>
    <row r="439" spans="1:14" s="487" customFormat="1" ht="15.75" customHeight="1">
      <c r="A439" s="398"/>
      <c r="B439" s="398"/>
      <c r="C439" s="779"/>
      <c r="D439" s="779"/>
      <c r="E439" s="779"/>
      <c r="F439" s="779"/>
      <c r="G439" s="779"/>
      <c r="H439" s="779"/>
      <c r="I439" s="779"/>
      <c r="J439" s="779"/>
      <c r="K439" s="779"/>
      <c r="L439" s="779"/>
      <c r="M439" s="779"/>
      <c r="N439" s="606"/>
    </row>
    <row r="440" spans="1:14" s="487" customFormat="1" ht="15.75" customHeight="1">
      <c r="A440" s="398"/>
      <c r="B440" s="398"/>
      <c r="C440" s="779"/>
      <c r="D440" s="779"/>
      <c r="E440" s="779"/>
      <c r="F440" s="779"/>
      <c r="G440" s="779"/>
      <c r="H440" s="779"/>
      <c r="I440" s="779"/>
      <c r="J440" s="779"/>
      <c r="K440" s="779"/>
      <c r="L440" s="779"/>
      <c r="M440" s="779"/>
      <c r="N440" s="606"/>
    </row>
    <row r="441" spans="1:14" s="487" customFormat="1" ht="15.75" customHeight="1">
      <c r="A441" s="398"/>
      <c r="B441" s="398"/>
      <c r="C441" s="779"/>
      <c r="D441" s="779"/>
      <c r="E441" s="779"/>
      <c r="F441" s="779"/>
      <c r="G441" s="779"/>
      <c r="H441" s="779"/>
      <c r="I441" s="779"/>
      <c r="J441" s="779"/>
      <c r="K441" s="779"/>
      <c r="L441" s="779"/>
      <c r="M441" s="779"/>
      <c r="N441" s="606"/>
    </row>
    <row r="442" spans="1:14" s="487" customFormat="1" ht="15.75" customHeight="1">
      <c r="A442" s="398"/>
      <c r="B442" s="398"/>
      <c r="C442" s="779"/>
      <c r="D442" s="779"/>
      <c r="E442" s="779"/>
      <c r="F442" s="779"/>
      <c r="G442" s="779"/>
      <c r="H442" s="779"/>
      <c r="I442" s="779"/>
      <c r="J442" s="779"/>
      <c r="K442" s="779"/>
      <c r="L442" s="779"/>
      <c r="M442" s="779"/>
      <c r="N442" s="606"/>
    </row>
    <row r="443" spans="1:14" s="487" customFormat="1" ht="15.75" customHeight="1">
      <c r="A443" s="398"/>
      <c r="B443" s="398"/>
      <c r="C443" s="779"/>
      <c r="D443" s="779"/>
      <c r="E443" s="779"/>
      <c r="F443" s="779"/>
      <c r="G443" s="779"/>
      <c r="H443" s="779"/>
      <c r="I443" s="779"/>
      <c r="J443" s="779"/>
      <c r="K443" s="779"/>
      <c r="L443" s="779"/>
      <c r="M443" s="779"/>
      <c r="N443" s="606"/>
    </row>
    <row r="444" spans="1:14" s="487" customFormat="1" ht="15.75" customHeight="1">
      <c r="A444" s="398"/>
      <c r="B444" s="398"/>
      <c r="C444" s="779"/>
      <c r="D444" s="779"/>
      <c r="E444" s="779"/>
      <c r="F444" s="779"/>
      <c r="G444" s="779"/>
      <c r="H444" s="779"/>
      <c r="I444" s="779"/>
      <c r="J444" s="779"/>
      <c r="K444" s="779"/>
      <c r="L444" s="779"/>
      <c r="M444" s="779"/>
      <c r="N444" s="606"/>
    </row>
    <row r="445" spans="1:14" s="487" customFormat="1" ht="15.75" customHeight="1">
      <c r="A445" s="398"/>
      <c r="B445" s="398"/>
      <c r="C445" s="779"/>
      <c r="D445" s="779"/>
      <c r="E445" s="779"/>
      <c r="F445" s="779"/>
      <c r="G445" s="779"/>
      <c r="H445" s="779"/>
      <c r="I445" s="779"/>
      <c r="J445" s="779"/>
      <c r="K445" s="779"/>
      <c r="L445" s="779"/>
      <c r="M445" s="779"/>
      <c r="N445" s="606"/>
    </row>
    <row r="446" spans="1:14" s="487" customFormat="1" ht="15.75" customHeight="1">
      <c r="A446" s="398"/>
      <c r="B446" s="398"/>
      <c r="C446" s="779"/>
      <c r="D446" s="779"/>
      <c r="E446" s="779"/>
      <c r="F446" s="779"/>
      <c r="G446" s="779"/>
      <c r="H446" s="779"/>
      <c r="I446" s="779"/>
      <c r="J446" s="779"/>
      <c r="K446" s="779"/>
      <c r="L446" s="779"/>
      <c r="M446" s="779"/>
      <c r="N446" s="606"/>
    </row>
    <row r="447" spans="1:14" s="487" customFormat="1" ht="15.75" customHeight="1">
      <c r="A447" s="398"/>
      <c r="B447" s="398"/>
      <c r="C447" s="779"/>
      <c r="D447" s="779"/>
      <c r="E447" s="779"/>
      <c r="F447" s="779"/>
      <c r="G447" s="779"/>
      <c r="H447" s="779"/>
      <c r="I447" s="779"/>
      <c r="J447" s="779"/>
      <c r="K447" s="779"/>
      <c r="L447" s="779"/>
      <c r="M447" s="779"/>
      <c r="N447" s="606"/>
    </row>
    <row r="448" spans="1:14" s="487" customFormat="1" ht="15.75" customHeight="1">
      <c r="A448" s="398"/>
      <c r="B448" s="398"/>
      <c r="C448" s="779"/>
      <c r="D448" s="779"/>
      <c r="E448" s="779"/>
      <c r="F448" s="779"/>
      <c r="G448" s="779"/>
      <c r="H448" s="779"/>
      <c r="I448" s="779"/>
      <c r="J448" s="779"/>
      <c r="K448" s="779"/>
      <c r="L448" s="779"/>
      <c r="M448" s="779"/>
      <c r="N448" s="606"/>
    </row>
    <row r="449" spans="1:14" s="487" customFormat="1" ht="15.75" customHeight="1">
      <c r="A449" s="398"/>
      <c r="B449" s="398"/>
      <c r="C449" s="779"/>
      <c r="D449" s="779"/>
      <c r="E449" s="779"/>
      <c r="F449" s="779"/>
      <c r="G449" s="779"/>
      <c r="H449" s="779"/>
      <c r="I449" s="779"/>
      <c r="J449" s="779"/>
      <c r="K449" s="779"/>
      <c r="L449" s="779"/>
      <c r="M449" s="779"/>
      <c r="N449" s="606"/>
    </row>
    <row r="450" spans="1:14" s="487" customFormat="1" ht="15.75" customHeight="1">
      <c r="A450" s="398"/>
      <c r="B450" s="398"/>
      <c r="C450" s="779"/>
      <c r="D450" s="779"/>
      <c r="E450" s="779"/>
      <c r="F450" s="779"/>
      <c r="G450" s="779"/>
      <c r="H450" s="779"/>
      <c r="I450" s="779"/>
      <c r="J450" s="779"/>
      <c r="K450" s="779"/>
      <c r="L450" s="779"/>
      <c r="M450" s="779"/>
      <c r="N450" s="606"/>
    </row>
    <row r="451" spans="1:14" s="487" customFormat="1" ht="15.75" customHeight="1">
      <c r="A451" s="398"/>
      <c r="B451" s="398"/>
      <c r="C451" s="779"/>
      <c r="D451" s="779"/>
      <c r="E451" s="779"/>
      <c r="F451" s="779"/>
      <c r="G451" s="779"/>
      <c r="H451" s="779"/>
      <c r="I451" s="779"/>
      <c r="J451" s="779"/>
      <c r="K451" s="779"/>
      <c r="L451" s="779"/>
      <c r="M451" s="779"/>
      <c r="N451" s="606"/>
    </row>
    <row r="452" spans="1:14" s="487" customFormat="1" ht="15.75" customHeight="1">
      <c r="A452" s="398"/>
      <c r="B452" s="398"/>
      <c r="C452" s="779"/>
      <c r="D452" s="779"/>
      <c r="E452" s="779"/>
      <c r="F452" s="779"/>
      <c r="G452" s="779"/>
      <c r="H452" s="779"/>
      <c r="I452" s="779"/>
      <c r="J452" s="779"/>
      <c r="K452" s="779"/>
      <c r="L452" s="779"/>
      <c r="M452" s="779"/>
      <c r="N452" s="606"/>
    </row>
    <row r="453" spans="1:14" s="487" customFormat="1" ht="15.75" customHeight="1">
      <c r="A453" s="398"/>
      <c r="B453" s="398"/>
      <c r="C453" s="779"/>
      <c r="D453" s="779"/>
      <c r="E453" s="779"/>
      <c r="F453" s="779"/>
      <c r="G453" s="779"/>
      <c r="H453" s="779"/>
      <c r="I453" s="779"/>
      <c r="J453" s="779"/>
      <c r="K453" s="779"/>
      <c r="L453" s="779"/>
      <c r="M453" s="779"/>
      <c r="N453" s="606"/>
    </row>
    <row r="454" spans="1:14" s="487" customFormat="1" ht="15.75" customHeight="1">
      <c r="A454" s="398"/>
      <c r="B454" s="398"/>
      <c r="C454" s="779"/>
      <c r="D454" s="779"/>
      <c r="E454" s="779"/>
      <c r="F454" s="779"/>
      <c r="G454" s="779"/>
      <c r="H454" s="779"/>
      <c r="I454" s="779"/>
      <c r="J454" s="779"/>
      <c r="K454" s="779"/>
      <c r="L454" s="779"/>
      <c r="M454" s="779"/>
      <c r="N454" s="606"/>
    </row>
    <row r="455" spans="1:14" s="487" customFormat="1" ht="15.75" customHeight="1">
      <c r="A455" s="398"/>
      <c r="B455" s="398"/>
      <c r="C455" s="779"/>
      <c r="D455" s="779"/>
      <c r="E455" s="779"/>
      <c r="F455" s="779"/>
      <c r="G455" s="779"/>
      <c r="H455" s="779"/>
      <c r="I455" s="779"/>
      <c r="J455" s="779"/>
      <c r="K455" s="779"/>
      <c r="L455" s="779"/>
      <c r="M455" s="779"/>
      <c r="N455" s="606"/>
    </row>
    <row r="456" spans="1:14" s="487" customFormat="1" ht="15.75" customHeight="1">
      <c r="A456" s="398"/>
      <c r="B456" s="398"/>
      <c r="C456" s="779"/>
      <c r="D456" s="779"/>
      <c r="E456" s="779"/>
      <c r="F456" s="779"/>
      <c r="G456" s="779"/>
      <c r="H456" s="779"/>
      <c r="I456" s="779"/>
      <c r="J456" s="779"/>
      <c r="K456" s="779"/>
      <c r="L456" s="779"/>
      <c r="M456" s="779"/>
      <c r="N456" s="606"/>
    </row>
    <row r="457" spans="1:14" s="487" customFormat="1" ht="15.75" customHeight="1">
      <c r="A457" s="398"/>
      <c r="B457" s="398"/>
      <c r="C457" s="779"/>
      <c r="D457" s="779"/>
      <c r="E457" s="779"/>
      <c r="F457" s="779"/>
      <c r="G457" s="779"/>
      <c r="H457" s="779"/>
      <c r="I457" s="779"/>
      <c r="J457" s="779"/>
      <c r="K457" s="779"/>
      <c r="L457" s="779"/>
      <c r="M457" s="779"/>
      <c r="N457" s="606"/>
    </row>
    <row r="458" spans="1:14" s="487" customFormat="1" ht="15.75" customHeight="1">
      <c r="A458" s="398"/>
      <c r="B458" s="398"/>
      <c r="C458" s="779"/>
      <c r="D458" s="779"/>
      <c r="E458" s="779"/>
      <c r="F458" s="779"/>
      <c r="G458" s="779"/>
      <c r="H458" s="779"/>
      <c r="I458" s="779"/>
      <c r="J458" s="779"/>
      <c r="K458" s="779"/>
      <c r="L458" s="779"/>
      <c r="M458" s="779"/>
      <c r="N458" s="606"/>
    </row>
    <row r="459" spans="1:14" s="487" customFormat="1" ht="15.75" customHeight="1">
      <c r="A459" s="398"/>
      <c r="B459" s="398"/>
      <c r="C459" s="779"/>
      <c r="D459" s="779"/>
      <c r="E459" s="779"/>
      <c r="F459" s="779"/>
      <c r="G459" s="779"/>
      <c r="H459" s="779"/>
      <c r="I459" s="779"/>
      <c r="J459" s="779"/>
      <c r="K459" s="779"/>
      <c r="L459" s="779"/>
      <c r="M459" s="779"/>
      <c r="N459" s="606"/>
    </row>
    <row r="460" spans="1:14" s="487" customFormat="1" ht="15.75" customHeight="1">
      <c r="A460" s="398"/>
      <c r="B460" s="398"/>
      <c r="C460" s="779"/>
      <c r="D460" s="779"/>
      <c r="E460" s="779"/>
      <c r="F460" s="779"/>
      <c r="G460" s="779"/>
      <c r="H460" s="779"/>
      <c r="I460" s="779"/>
      <c r="J460" s="779"/>
      <c r="K460" s="779"/>
      <c r="L460" s="779"/>
      <c r="M460" s="779"/>
      <c r="N460" s="606"/>
    </row>
    <row r="461" spans="1:14" s="487" customFormat="1" ht="15.75" customHeight="1">
      <c r="A461" s="398"/>
      <c r="B461" s="398"/>
      <c r="C461" s="779"/>
      <c r="D461" s="779"/>
      <c r="E461" s="779"/>
      <c r="F461" s="779"/>
      <c r="G461" s="779"/>
      <c r="H461" s="779"/>
      <c r="I461" s="779"/>
      <c r="J461" s="779"/>
      <c r="K461" s="779"/>
      <c r="L461" s="779"/>
      <c r="M461" s="779"/>
      <c r="N461" s="606"/>
    </row>
    <row r="462" spans="1:14" s="487" customFormat="1" ht="15.75" customHeight="1">
      <c r="A462" s="398"/>
      <c r="B462" s="398"/>
      <c r="C462" s="779"/>
      <c r="D462" s="779"/>
      <c r="E462" s="779"/>
      <c r="F462" s="779"/>
      <c r="G462" s="779"/>
      <c r="H462" s="779"/>
      <c r="I462" s="779"/>
      <c r="J462" s="779"/>
      <c r="K462" s="779"/>
      <c r="L462" s="779"/>
      <c r="M462" s="779"/>
      <c r="N462" s="606"/>
    </row>
    <row r="463" spans="1:14" s="487" customFormat="1" ht="15.75" customHeight="1">
      <c r="A463" s="398"/>
      <c r="B463" s="398"/>
      <c r="C463" s="779"/>
      <c r="D463" s="779"/>
      <c r="E463" s="779"/>
      <c r="F463" s="779"/>
      <c r="G463" s="779"/>
      <c r="H463" s="779"/>
      <c r="I463" s="779"/>
      <c r="J463" s="779"/>
      <c r="K463" s="779"/>
      <c r="L463" s="779"/>
      <c r="M463" s="779"/>
      <c r="N463" s="606"/>
    </row>
    <row r="464" spans="1:14" s="487" customFormat="1" ht="15.75" customHeight="1">
      <c r="A464" s="398"/>
      <c r="B464" s="398"/>
      <c r="C464" s="779"/>
      <c r="D464" s="779"/>
      <c r="E464" s="779"/>
      <c r="F464" s="779"/>
      <c r="G464" s="779"/>
      <c r="H464" s="779"/>
      <c r="I464" s="779"/>
      <c r="J464" s="779"/>
      <c r="K464" s="779"/>
      <c r="L464" s="779"/>
      <c r="M464" s="779"/>
      <c r="N464" s="606"/>
    </row>
    <row r="465" spans="1:14" s="487" customFormat="1" ht="15.75" customHeight="1">
      <c r="A465" s="398"/>
      <c r="B465" s="398"/>
      <c r="C465" s="398"/>
      <c r="D465" s="398"/>
      <c r="E465" s="398"/>
      <c r="F465" s="398"/>
      <c r="G465" s="398"/>
      <c r="H465" s="398"/>
      <c r="I465" s="398"/>
      <c r="J465" s="398"/>
      <c r="K465" s="398"/>
      <c r="L465" s="398"/>
      <c r="M465" s="398"/>
      <c r="N465" s="606"/>
    </row>
    <row r="466" spans="1:14" s="487" customFormat="1" ht="15.75" customHeight="1">
      <c r="A466" s="398"/>
      <c r="B466" s="398"/>
      <c r="C466" s="398"/>
      <c r="D466" s="398"/>
      <c r="E466" s="398"/>
      <c r="F466" s="398"/>
      <c r="G466" s="398"/>
      <c r="H466" s="398"/>
      <c r="I466" s="398"/>
      <c r="J466" s="398"/>
      <c r="K466" s="398"/>
      <c r="L466" s="398"/>
      <c r="M466" s="398"/>
      <c r="N466" s="606"/>
    </row>
    <row r="467" spans="1:14" s="487" customFormat="1" ht="15.75" customHeight="1">
      <c r="A467" s="398"/>
      <c r="B467" s="398"/>
      <c r="C467" s="398"/>
      <c r="D467" s="398"/>
      <c r="E467" s="398"/>
      <c r="F467" s="398"/>
      <c r="G467" s="398"/>
      <c r="H467" s="398"/>
      <c r="I467" s="398"/>
      <c r="J467" s="398"/>
      <c r="K467" s="398"/>
      <c r="L467" s="398"/>
      <c r="M467" s="398"/>
      <c r="N467" s="606"/>
    </row>
    <row r="468" spans="1:14" s="487" customFormat="1" ht="15.75" customHeight="1">
      <c r="A468" s="398"/>
      <c r="B468" s="398"/>
      <c r="C468" s="398"/>
      <c r="D468" s="398"/>
      <c r="E468" s="398"/>
      <c r="F468" s="398"/>
      <c r="G468" s="398"/>
      <c r="H468" s="398"/>
      <c r="I468" s="398"/>
      <c r="J468" s="398"/>
      <c r="K468" s="398"/>
      <c r="L468" s="398"/>
      <c r="M468" s="398"/>
      <c r="N468" s="606"/>
    </row>
    <row r="469" spans="1:14" s="487" customFormat="1" ht="15.75" customHeight="1">
      <c r="A469" s="398"/>
      <c r="B469" s="398"/>
      <c r="C469" s="398"/>
      <c r="D469" s="398"/>
      <c r="E469" s="398"/>
      <c r="F469" s="398"/>
      <c r="G469" s="398"/>
      <c r="H469" s="398"/>
      <c r="I469" s="398"/>
      <c r="J469" s="398"/>
      <c r="K469" s="398"/>
      <c r="L469" s="398"/>
      <c r="M469" s="398"/>
      <c r="N469" s="606"/>
    </row>
    <row r="470" spans="1:14" s="487" customFormat="1" ht="15.75" customHeight="1">
      <c r="A470" s="398"/>
      <c r="B470" s="398"/>
      <c r="C470" s="398"/>
      <c r="D470" s="398"/>
      <c r="E470" s="398"/>
      <c r="F470" s="398"/>
      <c r="G470" s="398"/>
      <c r="H470" s="398"/>
      <c r="I470" s="398"/>
      <c r="J470" s="398"/>
      <c r="K470" s="398"/>
      <c r="L470" s="398"/>
      <c r="M470" s="398"/>
      <c r="N470" s="606"/>
    </row>
    <row r="471" spans="1:14" s="487" customFormat="1" ht="15.75" customHeight="1">
      <c r="A471" s="398"/>
      <c r="B471" s="398"/>
      <c r="C471" s="398"/>
      <c r="D471" s="398"/>
      <c r="E471" s="398"/>
      <c r="F471" s="398"/>
      <c r="G471" s="398"/>
      <c r="H471" s="398"/>
      <c r="I471" s="398"/>
      <c r="J471" s="398"/>
      <c r="K471" s="398"/>
      <c r="L471" s="398"/>
      <c r="M471" s="398"/>
      <c r="N471" s="606"/>
    </row>
    <row r="472" spans="1:14" s="487" customFormat="1" ht="15.75" customHeight="1">
      <c r="A472" s="398"/>
      <c r="B472" s="398"/>
      <c r="C472" s="398"/>
      <c r="D472" s="398"/>
      <c r="E472" s="398"/>
      <c r="F472" s="398"/>
      <c r="G472" s="398"/>
      <c r="H472" s="398"/>
      <c r="I472" s="398"/>
      <c r="J472" s="398"/>
      <c r="K472" s="398"/>
      <c r="L472" s="398"/>
      <c r="M472" s="398"/>
      <c r="N472" s="606"/>
    </row>
    <row r="473" spans="1:14" s="487" customFormat="1" ht="15.75" customHeight="1">
      <c r="A473" s="398"/>
      <c r="B473" s="398"/>
      <c r="C473" s="398"/>
      <c r="D473" s="398"/>
      <c r="E473" s="398"/>
      <c r="F473" s="398"/>
      <c r="G473" s="398"/>
      <c r="H473" s="398"/>
      <c r="I473" s="398"/>
      <c r="J473" s="398"/>
      <c r="K473" s="398"/>
      <c r="L473" s="398"/>
      <c r="M473" s="398"/>
      <c r="N473" s="606"/>
    </row>
    <row r="474" spans="1:14" s="487" customFormat="1" ht="15.75" customHeight="1">
      <c r="A474" s="398"/>
      <c r="B474" s="398"/>
      <c r="C474" s="398"/>
      <c r="D474" s="398"/>
      <c r="E474" s="398"/>
      <c r="F474" s="398"/>
      <c r="G474" s="398"/>
      <c r="H474" s="398"/>
      <c r="I474" s="398"/>
      <c r="J474" s="398"/>
      <c r="K474" s="398"/>
      <c r="L474" s="398"/>
      <c r="M474" s="398"/>
      <c r="N474" s="606"/>
    </row>
    <row r="475" spans="1:14" s="487" customFormat="1" ht="15.75" customHeight="1">
      <c r="A475" s="398"/>
      <c r="B475" s="398"/>
      <c r="C475" s="398"/>
      <c r="D475" s="398"/>
      <c r="E475" s="398"/>
      <c r="F475" s="398"/>
      <c r="G475" s="398"/>
      <c r="H475" s="398"/>
      <c r="I475" s="398"/>
      <c r="J475" s="398"/>
      <c r="K475" s="398"/>
      <c r="L475" s="398"/>
      <c r="M475" s="398"/>
      <c r="N475" s="606"/>
    </row>
    <row r="476" spans="1:14" s="487" customFormat="1" ht="15.75" customHeight="1">
      <c r="A476" s="398"/>
      <c r="B476" s="398"/>
      <c r="C476" s="398"/>
      <c r="D476" s="398"/>
      <c r="E476" s="398"/>
      <c r="F476" s="398"/>
      <c r="G476" s="398"/>
      <c r="H476" s="398"/>
      <c r="I476" s="398"/>
      <c r="J476" s="398"/>
      <c r="K476" s="398"/>
      <c r="L476" s="398"/>
      <c r="M476" s="398"/>
      <c r="N476" s="606"/>
    </row>
    <row r="477" spans="1:14" s="487" customFormat="1" ht="15.75" customHeight="1">
      <c r="A477" s="398"/>
      <c r="B477" s="398"/>
      <c r="C477" s="398"/>
      <c r="D477" s="398"/>
      <c r="E477" s="398"/>
      <c r="F477" s="398"/>
      <c r="G477" s="398"/>
      <c r="H477" s="398"/>
      <c r="I477" s="398"/>
      <c r="J477" s="398"/>
      <c r="K477" s="398"/>
      <c r="L477" s="398"/>
      <c r="M477" s="398"/>
      <c r="N477" s="606"/>
    </row>
    <row r="478" spans="1:14" s="487" customFormat="1" ht="15.75" customHeight="1">
      <c r="A478" s="398"/>
      <c r="B478" s="398"/>
      <c r="C478" s="398"/>
      <c r="D478" s="398"/>
      <c r="E478" s="398"/>
      <c r="F478" s="398"/>
      <c r="G478" s="398"/>
      <c r="H478" s="398"/>
      <c r="I478" s="398"/>
      <c r="J478" s="398"/>
      <c r="K478" s="398"/>
      <c r="L478" s="398"/>
      <c r="M478" s="398"/>
      <c r="N478" s="606"/>
    </row>
    <row r="479" spans="1:14" s="487" customFormat="1" ht="15.75" customHeight="1">
      <c r="A479" s="398"/>
      <c r="B479" s="398"/>
      <c r="C479" s="398"/>
      <c r="D479" s="398"/>
      <c r="E479" s="398"/>
      <c r="F479" s="398"/>
      <c r="G479" s="398"/>
      <c r="H479" s="398"/>
      <c r="I479" s="398"/>
      <c r="J479" s="398"/>
      <c r="K479" s="398"/>
      <c r="L479" s="398"/>
      <c r="M479" s="398"/>
      <c r="N479" s="606"/>
    </row>
    <row r="480" spans="1:14" s="487" customFormat="1" ht="15.75" customHeight="1">
      <c r="A480" s="398"/>
      <c r="B480" s="398"/>
      <c r="C480" s="398"/>
      <c r="D480" s="398"/>
      <c r="E480" s="398"/>
      <c r="F480" s="398"/>
      <c r="G480" s="398"/>
      <c r="H480" s="398"/>
      <c r="I480" s="398"/>
      <c r="J480" s="398"/>
      <c r="K480" s="398"/>
      <c r="L480" s="398"/>
      <c r="M480" s="398"/>
      <c r="N480" s="606"/>
    </row>
    <row r="481" spans="1:14" s="487" customFormat="1" ht="15.75" customHeight="1">
      <c r="A481" s="398"/>
      <c r="B481" s="398"/>
      <c r="C481" s="398"/>
      <c r="D481" s="398"/>
      <c r="E481" s="398"/>
      <c r="F481" s="398"/>
      <c r="G481" s="398"/>
      <c r="H481" s="398"/>
      <c r="I481" s="398"/>
      <c r="J481" s="398"/>
      <c r="K481" s="398"/>
      <c r="L481" s="398"/>
      <c r="M481" s="398"/>
      <c r="N481" s="606"/>
    </row>
    <row r="482" spans="1:14" s="487" customFormat="1" ht="15.75" customHeight="1">
      <c r="A482" s="398"/>
      <c r="B482" s="398"/>
      <c r="C482" s="398"/>
      <c r="D482" s="398"/>
      <c r="E482" s="398"/>
      <c r="F482" s="398"/>
      <c r="G482" s="398"/>
      <c r="H482" s="398"/>
      <c r="I482" s="398"/>
      <c r="J482" s="398"/>
      <c r="K482" s="398"/>
      <c r="L482" s="398"/>
      <c r="M482" s="398"/>
      <c r="N482" s="606"/>
    </row>
    <row r="483" spans="1:14" s="487" customFormat="1" ht="15.75" customHeight="1">
      <c r="A483" s="398"/>
      <c r="B483" s="398"/>
      <c r="C483" s="398"/>
      <c r="D483" s="398"/>
      <c r="E483" s="398"/>
      <c r="F483" s="398"/>
      <c r="G483" s="398"/>
      <c r="H483" s="398"/>
      <c r="I483" s="398"/>
      <c r="J483" s="398"/>
      <c r="K483" s="398"/>
      <c r="L483" s="398"/>
      <c r="M483" s="398"/>
      <c r="N483" s="606"/>
    </row>
    <row r="484" spans="1:14" s="487" customFormat="1" ht="15.75" customHeight="1">
      <c r="A484" s="398"/>
      <c r="B484" s="398"/>
      <c r="C484" s="398"/>
      <c r="D484" s="398"/>
      <c r="E484" s="398"/>
      <c r="F484" s="398"/>
      <c r="G484" s="398"/>
      <c r="H484" s="398"/>
      <c r="I484" s="398"/>
      <c r="J484" s="398"/>
      <c r="K484" s="398"/>
      <c r="L484" s="398"/>
      <c r="M484" s="398"/>
      <c r="N484" s="606"/>
    </row>
    <row r="485" spans="1:14" s="487" customFormat="1" ht="15.75" customHeight="1">
      <c r="A485" s="398"/>
      <c r="B485" s="398"/>
      <c r="C485" s="398"/>
      <c r="D485" s="398"/>
      <c r="E485" s="398"/>
      <c r="F485" s="398"/>
      <c r="G485" s="398"/>
      <c r="H485" s="398"/>
      <c r="I485" s="398"/>
      <c r="J485" s="398"/>
      <c r="K485" s="398"/>
      <c r="L485" s="398"/>
      <c r="M485" s="398"/>
      <c r="N485" s="606"/>
    </row>
    <row r="486" spans="1:14" s="487" customFormat="1" ht="15.75" customHeight="1">
      <c r="A486" s="398"/>
      <c r="B486" s="398"/>
      <c r="C486" s="398"/>
      <c r="D486" s="398"/>
      <c r="E486" s="398"/>
      <c r="F486" s="398"/>
      <c r="G486" s="398"/>
      <c r="H486" s="398"/>
      <c r="I486" s="398"/>
      <c r="J486" s="398"/>
      <c r="K486" s="398"/>
      <c r="L486" s="398"/>
      <c r="M486" s="398"/>
      <c r="N486" s="606"/>
    </row>
    <row r="487" spans="1:14" s="487" customFormat="1" ht="15.75" customHeight="1">
      <c r="A487" s="398"/>
      <c r="B487" s="398"/>
      <c r="C487" s="398"/>
      <c r="D487" s="398"/>
      <c r="E487" s="398"/>
      <c r="F487" s="398"/>
      <c r="G487" s="398"/>
      <c r="H487" s="398"/>
      <c r="I487" s="398"/>
      <c r="J487" s="398"/>
      <c r="K487" s="398"/>
      <c r="L487" s="398"/>
      <c r="M487" s="398"/>
      <c r="N487" s="606"/>
    </row>
    <row r="488" spans="1:14" s="487" customFormat="1" ht="15.75" customHeight="1">
      <c r="A488" s="398"/>
      <c r="B488" s="398"/>
      <c r="C488" s="398"/>
      <c r="D488" s="398"/>
      <c r="E488" s="398"/>
      <c r="F488" s="398"/>
      <c r="G488" s="398"/>
      <c r="H488" s="398"/>
      <c r="I488" s="398"/>
      <c r="J488" s="398"/>
      <c r="K488" s="398"/>
      <c r="L488" s="398"/>
      <c r="M488" s="398"/>
      <c r="N488" s="606"/>
    </row>
    <row r="489" spans="1:14" s="487" customFormat="1" ht="15.75" customHeight="1">
      <c r="A489" s="398"/>
      <c r="B489" s="398"/>
      <c r="C489" s="398"/>
      <c r="D489" s="398"/>
      <c r="E489" s="398"/>
      <c r="F489" s="398"/>
      <c r="G489" s="398"/>
      <c r="H489" s="398"/>
      <c r="I489" s="398"/>
      <c r="J489" s="398"/>
      <c r="K489" s="398"/>
      <c r="L489" s="398"/>
      <c r="M489" s="398"/>
      <c r="N489" s="606"/>
    </row>
    <row r="490" spans="1:14" s="487" customFormat="1" ht="15.75" customHeight="1">
      <c r="A490" s="398"/>
      <c r="B490" s="398"/>
      <c r="C490" s="398"/>
      <c r="D490" s="398"/>
      <c r="E490" s="398"/>
      <c r="F490" s="398"/>
      <c r="G490" s="398"/>
      <c r="H490" s="398"/>
      <c r="I490" s="398"/>
      <c r="J490" s="398"/>
      <c r="K490" s="398"/>
      <c r="L490" s="398"/>
      <c r="M490" s="398"/>
      <c r="N490" s="606"/>
    </row>
    <row r="491" spans="1:14" s="487" customFormat="1" ht="15.75" customHeight="1">
      <c r="A491" s="398"/>
      <c r="B491" s="398"/>
      <c r="C491" s="398"/>
      <c r="D491" s="398"/>
      <c r="E491" s="398"/>
      <c r="F491" s="398"/>
      <c r="G491" s="398"/>
      <c r="H491" s="398"/>
      <c r="I491" s="398"/>
      <c r="J491" s="398"/>
      <c r="K491" s="398"/>
      <c r="L491" s="398"/>
      <c r="M491" s="398"/>
      <c r="N491" s="606"/>
    </row>
    <row r="492" spans="1:14" s="487" customFormat="1" ht="15.75" customHeight="1">
      <c r="A492" s="398"/>
      <c r="B492" s="398"/>
      <c r="C492" s="398"/>
      <c r="D492" s="398"/>
      <c r="E492" s="398"/>
      <c r="F492" s="398"/>
      <c r="G492" s="398"/>
      <c r="H492" s="398"/>
      <c r="I492" s="398"/>
      <c r="J492" s="398"/>
      <c r="K492" s="398"/>
      <c r="L492" s="398"/>
      <c r="M492" s="398"/>
      <c r="N492" s="606"/>
    </row>
    <row r="493" spans="1:14" s="487" customFormat="1" ht="15.75" customHeight="1">
      <c r="A493" s="398"/>
      <c r="B493" s="398"/>
      <c r="C493" s="398"/>
      <c r="D493" s="398"/>
      <c r="E493" s="398"/>
      <c r="F493" s="398"/>
      <c r="G493" s="398"/>
      <c r="H493" s="398"/>
      <c r="I493" s="398"/>
      <c r="J493" s="398"/>
      <c r="K493" s="398"/>
      <c r="L493" s="398"/>
      <c r="M493" s="398"/>
      <c r="N493" s="606"/>
    </row>
    <row r="494" spans="1:14" s="487" customFormat="1" ht="15.75" customHeight="1">
      <c r="A494" s="398"/>
      <c r="B494" s="398"/>
      <c r="C494" s="398"/>
      <c r="D494" s="398"/>
      <c r="E494" s="398"/>
      <c r="F494" s="398"/>
      <c r="G494" s="398"/>
      <c r="H494" s="398"/>
      <c r="I494" s="398"/>
      <c r="J494" s="398"/>
      <c r="K494" s="398"/>
      <c r="L494" s="398"/>
      <c r="M494" s="398"/>
      <c r="N494" s="606"/>
    </row>
    <row r="495" spans="1:14" s="487" customFormat="1" ht="15.75" customHeight="1">
      <c r="A495" s="398"/>
      <c r="B495" s="398"/>
      <c r="C495" s="398"/>
      <c r="D495" s="398"/>
      <c r="E495" s="398"/>
      <c r="F495" s="398"/>
      <c r="G495" s="398"/>
      <c r="H495" s="398"/>
      <c r="I495" s="398"/>
      <c r="J495" s="398"/>
      <c r="K495" s="398"/>
      <c r="L495" s="398"/>
      <c r="M495" s="398"/>
      <c r="N495" s="606"/>
    </row>
    <row r="496" spans="1:14" s="487" customFormat="1" ht="15.75" customHeight="1">
      <c r="A496" s="398"/>
      <c r="B496" s="398"/>
      <c r="C496" s="398"/>
      <c r="D496" s="398"/>
      <c r="E496" s="398"/>
      <c r="F496" s="398"/>
      <c r="G496" s="398"/>
      <c r="H496" s="398"/>
      <c r="I496" s="398"/>
      <c r="J496" s="398"/>
      <c r="K496" s="398"/>
      <c r="L496" s="398"/>
      <c r="M496" s="398"/>
      <c r="N496" s="606"/>
    </row>
    <row r="497" spans="1:14" s="487" customFormat="1" ht="15.75" customHeight="1">
      <c r="A497" s="398"/>
      <c r="B497" s="398"/>
      <c r="C497" s="398"/>
      <c r="D497" s="398"/>
      <c r="E497" s="398"/>
      <c r="F497" s="398"/>
      <c r="G497" s="398"/>
      <c r="H497" s="398"/>
      <c r="I497" s="398"/>
      <c r="J497" s="398"/>
      <c r="K497" s="398"/>
      <c r="L497" s="398"/>
      <c r="M497" s="398"/>
      <c r="N497" s="606"/>
    </row>
    <row r="498" spans="1:14" s="487" customFormat="1" ht="15.75" customHeight="1">
      <c r="A498" s="398"/>
      <c r="B498" s="398"/>
      <c r="C498" s="398"/>
      <c r="D498" s="398"/>
      <c r="E498" s="398"/>
      <c r="F498" s="398"/>
      <c r="G498" s="398"/>
      <c r="H498" s="398"/>
      <c r="I498" s="398"/>
      <c r="J498" s="398"/>
      <c r="K498" s="398"/>
      <c r="L498" s="398"/>
      <c r="M498" s="398"/>
      <c r="N498" s="606"/>
    </row>
    <row r="499" spans="1:14" s="487" customFormat="1" ht="15.75" customHeight="1">
      <c r="A499" s="398"/>
      <c r="B499" s="398"/>
      <c r="C499" s="398"/>
      <c r="D499" s="398"/>
      <c r="E499" s="398"/>
      <c r="F499" s="398"/>
      <c r="G499" s="398"/>
      <c r="H499" s="398"/>
      <c r="I499" s="398"/>
      <c r="J499" s="398"/>
      <c r="K499" s="398"/>
      <c r="L499" s="398"/>
      <c r="M499" s="398"/>
      <c r="N499" s="606"/>
    </row>
    <row r="500" spans="1:14" s="487" customFormat="1" ht="15.75" customHeight="1">
      <c r="A500" s="398"/>
      <c r="B500" s="398"/>
      <c r="C500" s="398"/>
      <c r="D500" s="398"/>
      <c r="E500" s="398"/>
      <c r="F500" s="398"/>
      <c r="G500" s="398"/>
      <c r="H500" s="398"/>
      <c r="I500" s="398"/>
      <c r="J500" s="398"/>
      <c r="K500" s="398"/>
      <c r="L500" s="398"/>
      <c r="M500" s="398"/>
      <c r="N500" s="606"/>
    </row>
    <row r="501" spans="1:14" s="487" customFormat="1" ht="15.75" customHeight="1">
      <c r="A501" s="398"/>
      <c r="B501" s="398"/>
      <c r="C501" s="398"/>
      <c r="D501" s="398"/>
      <c r="E501" s="398"/>
      <c r="F501" s="398"/>
      <c r="G501" s="398"/>
      <c r="H501" s="398"/>
      <c r="I501" s="398"/>
      <c r="J501" s="398"/>
      <c r="K501" s="398"/>
      <c r="L501" s="398"/>
      <c r="M501" s="398"/>
      <c r="N501" s="606"/>
    </row>
    <row r="502" spans="1:14" s="487" customFormat="1" ht="15.75" customHeight="1">
      <c r="A502" s="398"/>
      <c r="B502" s="398"/>
      <c r="C502" s="398"/>
      <c r="D502" s="398"/>
      <c r="E502" s="398"/>
      <c r="F502" s="398"/>
      <c r="G502" s="398"/>
      <c r="H502" s="398"/>
      <c r="I502" s="398"/>
      <c r="J502" s="398"/>
      <c r="K502" s="398"/>
      <c r="L502" s="398"/>
      <c r="M502" s="398"/>
      <c r="N502" s="606"/>
    </row>
    <row r="503" spans="1:14" s="487" customFormat="1" ht="15.75" customHeight="1">
      <c r="A503" s="398"/>
      <c r="B503" s="398"/>
      <c r="C503" s="398"/>
      <c r="D503" s="398"/>
      <c r="E503" s="398"/>
      <c r="F503" s="398"/>
      <c r="G503" s="398"/>
      <c r="H503" s="398"/>
      <c r="I503" s="398"/>
      <c r="J503" s="398"/>
      <c r="K503" s="398"/>
      <c r="L503" s="398"/>
      <c r="M503" s="398"/>
      <c r="N503" s="606"/>
    </row>
    <row r="504" spans="1:14" s="487" customFormat="1" ht="15.75" customHeight="1">
      <c r="A504" s="398"/>
      <c r="B504" s="398"/>
      <c r="C504" s="398"/>
      <c r="D504" s="398"/>
      <c r="E504" s="398"/>
      <c r="F504" s="398"/>
      <c r="G504" s="398"/>
      <c r="H504" s="398"/>
      <c r="I504" s="398"/>
      <c r="J504" s="398"/>
      <c r="K504" s="398"/>
      <c r="L504" s="398"/>
      <c r="M504" s="398"/>
      <c r="N504" s="606"/>
    </row>
    <row r="505" spans="1:14" s="487" customFormat="1" ht="15.75" customHeight="1">
      <c r="A505" s="398"/>
      <c r="B505" s="398"/>
      <c r="C505" s="398"/>
      <c r="D505" s="398"/>
      <c r="E505" s="398"/>
      <c r="F505" s="398"/>
      <c r="G505" s="398"/>
      <c r="H505" s="398"/>
      <c r="I505" s="398"/>
      <c r="J505" s="398"/>
      <c r="K505" s="398"/>
      <c r="L505" s="398"/>
      <c r="M505" s="398"/>
      <c r="N505" s="606"/>
    </row>
    <row r="506" spans="1:14" s="487" customFormat="1" ht="15.75" customHeight="1">
      <c r="A506" s="398"/>
      <c r="B506" s="398"/>
      <c r="C506" s="398"/>
      <c r="D506" s="398"/>
      <c r="E506" s="398"/>
      <c r="F506" s="398"/>
      <c r="G506" s="398"/>
      <c r="H506" s="398"/>
      <c r="I506" s="398"/>
      <c r="J506" s="398"/>
      <c r="K506" s="398"/>
      <c r="L506" s="398"/>
      <c r="M506" s="398"/>
      <c r="N506" s="606"/>
    </row>
    <row r="507" spans="1:14" s="487" customFormat="1" ht="15.75" customHeight="1">
      <c r="A507" s="398"/>
      <c r="B507" s="398"/>
      <c r="C507" s="398"/>
      <c r="D507" s="398"/>
      <c r="E507" s="398"/>
      <c r="F507" s="398"/>
      <c r="G507" s="398"/>
      <c r="H507" s="398"/>
      <c r="I507" s="398"/>
      <c r="J507" s="398"/>
      <c r="K507" s="398"/>
      <c r="L507" s="398"/>
      <c r="M507" s="398"/>
      <c r="N507" s="606"/>
    </row>
    <row r="508" spans="1:14" s="487" customFormat="1" ht="15.75" customHeight="1">
      <c r="A508" s="398"/>
      <c r="B508" s="398"/>
      <c r="C508" s="398"/>
      <c r="D508" s="398"/>
      <c r="E508" s="398"/>
      <c r="F508" s="398"/>
      <c r="G508" s="398"/>
      <c r="H508" s="398"/>
      <c r="I508" s="398"/>
      <c r="J508" s="398"/>
      <c r="K508" s="398"/>
      <c r="L508" s="398"/>
      <c r="M508" s="398"/>
      <c r="N508" s="606"/>
    </row>
    <row r="509" spans="1:14" s="487" customFormat="1" ht="15.75" customHeight="1">
      <c r="A509" s="398"/>
      <c r="B509" s="398"/>
      <c r="C509" s="398"/>
      <c r="D509" s="398"/>
      <c r="E509" s="398"/>
      <c r="F509" s="398"/>
      <c r="G509" s="398"/>
      <c r="H509" s="398"/>
      <c r="I509" s="398"/>
      <c r="J509" s="398"/>
      <c r="K509" s="398"/>
      <c r="L509" s="398"/>
      <c r="M509" s="398"/>
      <c r="N509" s="606"/>
    </row>
    <row r="510" spans="1:14" s="487" customFormat="1" ht="15.75" customHeight="1">
      <c r="A510" s="398"/>
      <c r="B510" s="398"/>
      <c r="C510" s="398"/>
      <c r="D510" s="398"/>
      <c r="E510" s="398"/>
      <c r="F510" s="398"/>
      <c r="G510" s="398"/>
      <c r="H510" s="398"/>
      <c r="I510" s="398"/>
      <c r="J510" s="398"/>
      <c r="K510" s="398"/>
      <c r="L510" s="398"/>
      <c r="M510" s="398"/>
      <c r="N510" s="606"/>
    </row>
    <row r="511" spans="1:14" s="487" customFormat="1" ht="15.75" customHeight="1">
      <c r="A511" s="398"/>
      <c r="B511" s="398"/>
      <c r="C511" s="398"/>
      <c r="D511" s="398"/>
      <c r="E511" s="398"/>
      <c r="F511" s="398"/>
      <c r="G511" s="398"/>
      <c r="H511" s="398"/>
      <c r="I511" s="398"/>
      <c r="J511" s="398"/>
      <c r="K511" s="398"/>
      <c r="L511" s="398"/>
      <c r="M511" s="398"/>
      <c r="N511" s="606"/>
    </row>
    <row r="512" spans="1:14" s="487" customFormat="1" ht="15.75" customHeight="1">
      <c r="A512" s="398"/>
      <c r="B512" s="398"/>
      <c r="C512" s="398"/>
      <c r="D512" s="398"/>
      <c r="E512" s="398"/>
      <c r="F512" s="398"/>
      <c r="G512" s="398"/>
      <c r="H512" s="398"/>
      <c r="I512" s="398"/>
      <c r="J512" s="398"/>
      <c r="K512" s="398"/>
      <c r="L512" s="398"/>
      <c r="M512" s="398"/>
      <c r="N512" s="606"/>
    </row>
    <row r="513" spans="1:14" s="487" customFormat="1" ht="15.75" customHeight="1">
      <c r="A513" s="398"/>
      <c r="B513" s="398"/>
      <c r="C513" s="398"/>
      <c r="D513" s="398"/>
      <c r="E513" s="398"/>
      <c r="F513" s="398"/>
      <c r="G513" s="398"/>
      <c r="H513" s="398"/>
      <c r="I513" s="398"/>
      <c r="J513" s="398"/>
      <c r="K513" s="398"/>
      <c r="L513" s="398"/>
      <c r="M513" s="398"/>
      <c r="N513" s="606"/>
    </row>
    <row r="514" spans="1:14" s="487" customFormat="1" ht="15.75" customHeight="1">
      <c r="A514" s="398"/>
      <c r="B514" s="398"/>
      <c r="C514" s="398"/>
      <c r="D514" s="398"/>
      <c r="E514" s="398"/>
      <c r="F514" s="398"/>
      <c r="G514" s="398"/>
      <c r="H514" s="398"/>
      <c r="I514" s="398"/>
      <c r="J514" s="398"/>
      <c r="K514" s="398"/>
      <c r="L514" s="398"/>
      <c r="M514" s="398"/>
      <c r="N514" s="606"/>
    </row>
    <row r="515" spans="1:14" s="487" customFormat="1" ht="15.75" customHeight="1">
      <c r="A515" s="398"/>
      <c r="B515" s="398"/>
      <c r="C515" s="398"/>
      <c r="D515" s="398"/>
      <c r="E515" s="398"/>
      <c r="F515" s="398"/>
      <c r="G515" s="398"/>
      <c r="H515" s="398"/>
      <c r="I515" s="398"/>
      <c r="J515" s="398"/>
      <c r="K515" s="398"/>
      <c r="L515" s="398"/>
      <c r="M515" s="398"/>
      <c r="N515" s="606"/>
    </row>
    <row r="516" spans="1:14" s="487" customFormat="1" ht="15.75" customHeight="1">
      <c r="A516" s="398"/>
      <c r="B516" s="398"/>
      <c r="C516" s="398"/>
      <c r="D516" s="398"/>
      <c r="E516" s="398"/>
      <c r="F516" s="398"/>
      <c r="G516" s="398"/>
      <c r="H516" s="398"/>
      <c r="I516" s="398"/>
      <c r="J516" s="398"/>
      <c r="K516" s="398"/>
      <c r="L516" s="398"/>
      <c r="M516" s="398"/>
      <c r="N516" s="606"/>
    </row>
    <row r="517" spans="1:14" s="487" customFormat="1" ht="15.75" customHeight="1">
      <c r="A517" s="398"/>
      <c r="B517" s="398"/>
      <c r="C517" s="398"/>
      <c r="D517" s="398"/>
      <c r="E517" s="398"/>
      <c r="F517" s="398"/>
      <c r="G517" s="398"/>
      <c r="H517" s="398"/>
      <c r="I517" s="398"/>
      <c r="J517" s="398"/>
      <c r="K517" s="398"/>
      <c r="L517" s="398"/>
      <c r="M517" s="398"/>
      <c r="N517" s="606"/>
    </row>
    <row r="518" spans="1:14" s="487" customFormat="1" ht="15.75" customHeight="1">
      <c r="A518" s="398"/>
      <c r="B518" s="398"/>
      <c r="C518" s="398"/>
      <c r="D518" s="398"/>
      <c r="E518" s="398"/>
      <c r="F518" s="398"/>
      <c r="G518" s="398"/>
      <c r="H518" s="398"/>
      <c r="I518" s="398"/>
      <c r="J518" s="398"/>
      <c r="K518" s="398"/>
      <c r="L518" s="398"/>
      <c r="M518" s="398"/>
      <c r="N518" s="606"/>
    </row>
    <row r="519" spans="1:14" s="487" customFormat="1" ht="15.75" customHeight="1">
      <c r="A519" s="398"/>
      <c r="B519" s="398"/>
      <c r="C519" s="398"/>
      <c r="D519" s="398"/>
      <c r="E519" s="398"/>
      <c r="F519" s="398"/>
      <c r="G519" s="398"/>
      <c r="H519" s="398"/>
      <c r="I519" s="398"/>
      <c r="J519" s="398"/>
      <c r="K519" s="398"/>
      <c r="L519" s="398"/>
      <c r="M519" s="398"/>
      <c r="N519" s="606"/>
    </row>
    <row r="520" spans="1:14" s="487" customFormat="1" ht="15.75" customHeight="1">
      <c r="A520" s="398"/>
      <c r="B520" s="398"/>
      <c r="C520" s="398"/>
      <c r="D520" s="398"/>
      <c r="E520" s="398"/>
      <c r="F520" s="398"/>
      <c r="G520" s="398"/>
      <c r="H520" s="398"/>
      <c r="I520" s="398"/>
      <c r="J520" s="398"/>
      <c r="K520" s="398"/>
      <c r="L520" s="398"/>
      <c r="M520" s="398"/>
      <c r="N520" s="606"/>
    </row>
    <row r="521" spans="1:14" s="487" customFormat="1" ht="15.75" customHeight="1">
      <c r="A521" s="398"/>
      <c r="B521" s="398"/>
      <c r="C521" s="398"/>
      <c r="D521" s="398"/>
      <c r="E521" s="398"/>
      <c r="F521" s="398"/>
      <c r="G521" s="398"/>
      <c r="H521" s="398"/>
      <c r="I521" s="398"/>
      <c r="J521" s="398"/>
      <c r="K521" s="398"/>
      <c r="L521" s="398"/>
      <c r="M521" s="398"/>
      <c r="N521" s="606"/>
    </row>
    <row r="522" spans="1:14" s="487" customFormat="1" ht="15.75" customHeight="1">
      <c r="A522" s="398"/>
      <c r="B522" s="398"/>
      <c r="C522" s="398"/>
      <c r="D522" s="398"/>
      <c r="E522" s="398"/>
      <c r="F522" s="398"/>
      <c r="G522" s="398"/>
      <c r="H522" s="398"/>
      <c r="I522" s="398"/>
      <c r="J522" s="398"/>
      <c r="K522" s="398"/>
      <c r="L522" s="398"/>
      <c r="M522" s="398"/>
      <c r="N522" s="606"/>
    </row>
    <row r="523" spans="1:14" s="487" customFormat="1" ht="15.75" customHeight="1">
      <c r="A523" s="398"/>
      <c r="B523" s="398"/>
      <c r="C523" s="398"/>
      <c r="D523" s="398"/>
      <c r="E523" s="398"/>
      <c r="F523" s="398"/>
      <c r="G523" s="398"/>
      <c r="H523" s="398"/>
      <c r="I523" s="398"/>
      <c r="J523" s="398"/>
      <c r="K523" s="398"/>
      <c r="L523" s="398"/>
      <c r="M523" s="398"/>
      <c r="N523" s="606"/>
    </row>
    <row r="524" spans="1:14" s="487" customFormat="1" ht="15.75" customHeight="1">
      <c r="A524" s="398"/>
      <c r="B524" s="398"/>
      <c r="C524" s="398"/>
      <c r="D524" s="398"/>
      <c r="E524" s="398"/>
      <c r="F524" s="398"/>
      <c r="G524" s="398"/>
      <c r="H524" s="398"/>
      <c r="I524" s="398"/>
      <c r="J524" s="398"/>
      <c r="K524" s="398"/>
      <c r="L524" s="398"/>
      <c r="M524" s="398"/>
      <c r="N524" s="606"/>
    </row>
    <row r="525" spans="1:14" s="487" customFormat="1" ht="15.75" customHeight="1">
      <c r="A525" s="398"/>
      <c r="B525" s="398"/>
      <c r="C525" s="398"/>
      <c r="D525" s="398"/>
      <c r="E525" s="398"/>
      <c r="F525" s="398"/>
      <c r="G525" s="398"/>
      <c r="H525" s="398"/>
      <c r="I525" s="398"/>
      <c r="J525" s="398"/>
      <c r="K525" s="398"/>
      <c r="L525" s="398"/>
      <c r="M525" s="398"/>
      <c r="N525" s="606"/>
    </row>
    <row r="526" spans="1:14" s="487" customFormat="1" ht="15.75" customHeight="1">
      <c r="A526" s="398"/>
      <c r="B526" s="398"/>
      <c r="C526" s="398"/>
      <c r="D526" s="398"/>
      <c r="E526" s="398"/>
      <c r="F526" s="398"/>
      <c r="G526" s="398"/>
      <c r="H526" s="398"/>
      <c r="I526" s="398"/>
      <c r="J526" s="398"/>
      <c r="K526" s="398"/>
      <c r="L526" s="398"/>
      <c r="M526" s="398"/>
      <c r="N526" s="606"/>
    </row>
    <row r="527" spans="1:14" s="487" customFormat="1" ht="15.75" customHeight="1">
      <c r="A527" s="398"/>
      <c r="B527" s="398"/>
      <c r="C527" s="398"/>
      <c r="D527" s="398"/>
      <c r="E527" s="398"/>
      <c r="F527" s="398"/>
      <c r="G527" s="398"/>
      <c r="H527" s="398"/>
      <c r="I527" s="398"/>
      <c r="J527" s="398"/>
      <c r="K527" s="398"/>
      <c r="L527" s="398"/>
      <c r="M527" s="398"/>
      <c r="N527" s="606"/>
    </row>
    <row r="528" spans="1:14" s="487" customFormat="1" ht="15.75" customHeight="1">
      <c r="A528" s="398"/>
      <c r="B528" s="398"/>
      <c r="C528" s="398"/>
      <c r="D528" s="398"/>
      <c r="E528" s="398"/>
      <c r="F528" s="398"/>
      <c r="G528" s="398"/>
      <c r="H528" s="398"/>
      <c r="I528" s="398"/>
      <c r="J528" s="398"/>
      <c r="K528" s="398"/>
      <c r="L528" s="398"/>
      <c r="M528" s="398"/>
      <c r="N528" s="606"/>
    </row>
    <row r="529" spans="1:14" s="487" customFormat="1" ht="15.75" customHeight="1">
      <c r="A529" s="398"/>
      <c r="B529" s="398"/>
      <c r="C529" s="398"/>
      <c r="D529" s="398"/>
      <c r="E529" s="398"/>
      <c r="F529" s="398"/>
      <c r="G529" s="398"/>
      <c r="H529" s="398"/>
      <c r="I529" s="398"/>
      <c r="J529" s="398"/>
      <c r="K529" s="398"/>
      <c r="L529" s="398"/>
      <c r="M529" s="398"/>
      <c r="N529" s="606"/>
    </row>
    <row r="530" spans="1:14" s="487" customFormat="1" ht="15.75" customHeight="1">
      <c r="A530" s="398"/>
      <c r="B530" s="398"/>
      <c r="C530" s="398"/>
      <c r="D530" s="398"/>
      <c r="E530" s="398"/>
      <c r="F530" s="398"/>
      <c r="G530" s="398"/>
      <c r="H530" s="398"/>
      <c r="I530" s="398"/>
      <c r="J530" s="398"/>
      <c r="K530" s="398"/>
      <c r="L530" s="398"/>
      <c r="M530" s="398"/>
      <c r="N530" s="606"/>
    </row>
    <row r="531" spans="1:14" s="487" customFormat="1" ht="15.75" customHeight="1">
      <c r="A531" s="398"/>
      <c r="B531" s="398"/>
      <c r="C531" s="398"/>
      <c r="D531" s="398"/>
      <c r="E531" s="398"/>
      <c r="F531" s="398"/>
      <c r="G531" s="398"/>
      <c r="H531" s="398"/>
      <c r="I531" s="398"/>
      <c r="J531" s="398"/>
      <c r="K531" s="398"/>
      <c r="L531" s="398"/>
      <c r="M531" s="398"/>
      <c r="N531" s="606"/>
    </row>
    <row r="532" spans="1:14" s="487" customFormat="1" ht="15.75" customHeight="1">
      <c r="A532" s="398"/>
      <c r="B532" s="398"/>
      <c r="C532" s="398"/>
      <c r="D532" s="398"/>
      <c r="E532" s="398"/>
      <c r="F532" s="398"/>
      <c r="G532" s="398"/>
      <c r="H532" s="398"/>
      <c r="I532" s="398"/>
      <c r="J532" s="398"/>
      <c r="K532" s="398"/>
      <c r="L532" s="398"/>
      <c r="M532" s="398"/>
      <c r="N532" s="606"/>
    </row>
    <row r="533" spans="1:14" s="487" customFormat="1" ht="15.75" customHeight="1">
      <c r="A533" s="398"/>
      <c r="B533" s="398"/>
      <c r="C533" s="398"/>
      <c r="D533" s="398"/>
      <c r="E533" s="398"/>
      <c r="F533" s="398"/>
      <c r="G533" s="398"/>
      <c r="H533" s="398"/>
      <c r="I533" s="398"/>
      <c r="J533" s="398"/>
      <c r="K533" s="398"/>
      <c r="L533" s="398"/>
      <c r="M533" s="398"/>
      <c r="N533" s="606"/>
    </row>
    <row r="534" spans="1:14" s="487" customFormat="1" ht="15.75" customHeight="1">
      <c r="A534" s="398"/>
      <c r="B534" s="398"/>
      <c r="C534" s="398"/>
      <c r="D534" s="398"/>
      <c r="E534" s="398"/>
      <c r="F534" s="398"/>
      <c r="G534" s="398"/>
      <c r="H534" s="398"/>
      <c r="I534" s="398"/>
      <c r="J534" s="398"/>
      <c r="K534" s="398"/>
      <c r="L534" s="398"/>
      <c r="M534" s="398"/>
      <c r="N534" s="606"/>
    </row>
    <row r="535" spans="1:14" s="487" customFormat="1" ht="15.75" customHeight="1">
      <c r="A535" s="398"/>
      <c r="B535" s="398"/>
      <c r="C535" s="398"/>
      <c r="D535" s="398"/>
      <c r="E535" s="398"/>
      <c r="F535" s="398"/>
      <c r="G535" s="398"/>
      <c r="H535" s="398"/>
      <c r="I535" s="398"/>
      <c r="J535" s="398"/>
      <c r="K535" s="398"/>
      <c r="L535" s="398"/>
      <c r="M535" s="398"/>
      <c r="N535" s="606"/>
    </row>
    <row r="536" spans="1:14" s="487" customFormat="1" ht="15.75" customHeight="1">
      <c r="A536" s="398"/>
      <c r="B536" s="398"/>
      <c r="C536" s="398"/>
      <c r="D536" s="398"/>
      <c r="E536" s="398"/>
      <c r="F536" s="398"/>
      <c r="G536" s="398"/>
      <c r="H536" s="398"/>
      <c r="I536" s="398"/>
      <c r="J536" s="398"/>
      <c r="K536" s="398"/>
      <c r="L536" s="398"/>
      <c r="M536" s="398"/>
      <c r="N536" s="606"/>
    </row>
    <row r="537" spans="1:14" s="487" customFormat="1" ht="15.75" customHeight="1">
      <c r="A537" s="398"/>
      <c r="B537" s="398"/>
      <c r="C537" s="398"/>
      <c r="D537" s="398"/>
      <c r="E537" s="398"/>
      <c r="F537" s="398"/>
      <c r="G537" s="398"/>
      <c r="H537" s="398"/>
      <c r="I537" s="398"/>
      <c r="J537" s="398"/>
      <c r="K537" s="398"/>
      <c r="L537" s="398"/>
      <c r="M537" s="398"/>
      <c r="N537" s="606"/>
    </row>
    <row r="538" spans="1:14" s="487" customFormat="1" ht="15.75" customHeight="1">
      <c r="A538" s="398"/>
      <c r="B538" s="398"/>
      <c r="C538" s="398"/>
      <c r="D538" s="398"/>
      <c r="E538" s="398"/>
      <c r="F538" s="398"/>
      <c r="G538" s="398"/>
      <c r="H538" s="398"/>
      <c r="I538" s="398"/>
      <c r="J538" s="398"/>
      <c r="K538" s="398"/>
      <c r="L538" s="398"/>
      <c r="M538" s="398"/>
      <c r="N538" s="606"/>
    </row>
    <row r="539" spans="1:14" s="487" customFormat="1" ht="15.75" customHeight="1">
      <c r="A539" s="398"/>
      <c r="B539" s="398"/>
      <c r="C539" s="398"/>
      <c r="D539" s="398"/>
      <c r="E539" s="398"/>
      <c r="F539" s="398"/>
      <c r="G539" s="398"/>
      <c r="H539" s="398"/>
      <c r="I539" s="398"/>
      <c r="J539" s="398"/>
      <c r="K539" s="398"/>
      <c r="L539" s="398"/>
      <c r="M539" s="398"/>
      <c r="N539" s="606"/>
    </row>
    <row r="540" spans="1:14" s="487" customFormat="1" ht="15.75" customHeight="1">
      <c r="A540" s="398"/>
      <c r="B540" s="398"/>
      <c r="C540" s="398"/>
      <c r="D540" s="398"/>
      <c r="E540" s="398"/>
      <c r="F540" s="398"/>
      <c r="G540" s="398"/>
      <c r="H540" s="398"/>
      <c r="I540" s="398"/>
      <c r="J540" s="398"/>
      <c r="K540" s="398"/>
      <c r="L540" s="398"/>
      <c r="M540" s="398"/>
      <c r="N540" s="606"/>
    </row>
    <row r="541" spans="1:14" s="487" customFormat="1" ht="15.75" customHeight="1">
      <c r="A541" s="398"/>
      <c r="B541" s="398"/>
      <c r="C541" s="398"/>
      <c r="D541" s="398"/>
      <c r="E541" s="398"/>
      <c r="F541" s="398"/>
      <c r="G541" s="398"/>
      <c r="H541" s="398"/>
      <c r="I541" s="398"/>
      <c r="J541" s="398"/>
      <c r="K541" s="398"/>
      <c r="L541" s="398"/>
      <c r="M541" s="398"/>
      <c r="N541" s="606"/>
    </row>
    <row r="542" spans="1:14" s="487" customFormat="1" ht="15.75" customHeight="1">
      <c r="A542" s="398"/>
      <c r="B542" s="398"/>
      <c r="C542" s="398"/>
      <c r="D542" s="398"/>
      <c r="E542" s="398"/>
      <c r="F542" s="398"/>
      <c r="G542" s="398"/>
      <c r="H542" s="398"/>
      <c r="I542" s="398"/>
      <c r="J542" s="398"/>
      <c r="K542" s="398"/>
      <c r="L542" s="398"/>
      <c r="M542" s="398"/>
      <c r="N542" s="606"/>
    </row>
    <row r="543" spans="1:14" s="487" customFormat="1" ht="15.75" customHeight="1">
      <c r="A543" s="398"/>
      <c r="B543" s="398"/>
      <c r="C543" s="398"/>
      <c r="D543" s="398"/>
      <c r="E543" s="398"/>
      <c r="F543" s="398"/>
      <c r="G543" s="398"/>
      <c r="H543" s="398"/>
      <c r="I543" s="398"/>
      <c r="J543" s="398"/>
      <c r="K543" s="398"/>
      <c r="L543" s="398"/>
      <c r="M543" s="398"/>
      <c r="N543" s="606"/>
    </row>
    <row r="544" spans="1:14" s="487" customFormat="1" ht="15.75" customHeight="1">
      <c r="A544" s="398"/>
      <c r="B544" s="398"/>
      <c r="C544" s="398"/>
      <c r="D544" s="398"/>
      <c r="E544" s="398"/>
      <c r="F544" s="398"/>
      <c r="G544" s="398"/>
      <c r="H544" s="398"/>
      <c r="I544" s="398"/>
      <c r="J544" s="398"/>
      <c r="K544" s="398"/>
      <c r="L544" s="398"/>
      <c r="M544" s="398"/>
      <c r="N544" s="606"/>
    </row>
    <row r="545" spans="1:14" s="487" customFormat="1" ht="15.75" customHeight="1">
      <c r="A545" s="398"/>
      <c r="B545" s="398"/>
      <c r="C545" s="398"/>
      <c r="D545" s="398"/>
      <c r="E545" s="398"/>
      <c r="F545" s="398"/>
      <c r="G545" s="398"/>
      <c r="H545" s="398"/>
      <c r="I545" s="398"/>
      <c r="J545" s="398"/>
      <c r="K545" s="398"/>
      <c r="L545" s="398"/>
      <c r="M545" s="398"/>
      <c r="N545" s="606"/>
    </row>
    <row r="546" spans="1:14" s="487" customFormat="1" ht="15.75" customHeight="1">
      <c r="A546" s="398"/>
      <c r="B546" s="398"/>
      <c r="C546" s="398"/>
      <c r="D546" s="398"/>
      <c r="E546" s="398"/>
      <c r="F546" s="398"/>
      <c r="G546" s="398"/>
      <c r="H546" s="398"/>
      <c r="I546" s="398"/>
      <c r="J546" s="398"/>
      <c r="K546" s="398"/>
      <c r="L546" s="398"/>
      <c r="M546" s="398"/>
      <c r="N546" s="606"/>
    </row>
    <row r="547" spans="1:14" s="487" customFormat="1" ht="15.75" customHeight="1">
      <c r="A547" s="398"/>
      <c r="B547" s="398"/>
      <c r="C547" s="398"/>
      <c r="D547" s="398"/>
      <c r="E547" s="398"/>
      <c r="F547" s="398"/>
      <c r="G547" s="398"/>
      <c r="H547" s="398"/>
      <c r="I547" s="398"/>
      <c r="J547" s="398"/>
      <c r="K547" s="398"/>
      <c r="L547" s="398"/>
      <c r="M547" s="398"/>
      <c r="N547" s="606"/>
    </row>
    <row r="548" spans="1:14" s="487" customFormat="1" ht="15.75" customHeight="1">
      <c r="A548" s="398"/>
      <c r="B548" s="398"/>
      <c r="C548" s="398"/>
      <c r="D548" s="398"/>
      <c r="E548" s="398"/>
      <c r="F548" s="398"/>
      <c r="G548" s="398"/>
      <c r="H548" s="398"/>
      <c r="I548" s="398"/>
      <c r="J548" s="398"/>
      <c r="K548" s="398"/>
      <c r="L548" s="398"/>
      <c r="M548" s="398"/>
      <c r="N548" s="606"/>
    </row>
    <row r="549" spans="1:14" s="487" customFormat="1" ht="15.75" customHeight="1">
      <c r="A549" s="398"/>
      <c r="B549" s="398"/>
      <c r="C549" s="398"/>
      <c r="D549" s="398"/>
      <c r="E549" s="398"/>
      <c r="F549" s="398"/>
      <c r="G549" s="398"/>
      <c r="H549" s="398"/>
      <c r="I549" s="398"/>
      <c r="J549" s="398"/>
      <c r="K549" s="398"/>
      <c r="L549" s="398"/>
      <c r="M549" s="398"/>
      <c r="N549" s="606"/>
    </row>
    <row r="550" spans="1:14" s="487" customFormat="1" ht="15.75" customHeight="1">
      <c r="A550" s="398"/>
      <c r="B550" s="398"/>
      <c r="C550" s="398"/>
      <c r="D550" s="398"/>
      <c r="E550" s="398"/>
      <c r="F550" s="398"/>
      <c r="G550" s="398"/>
      <c r="H550" s="398"/>
      <c r="I550" s="398"/>
      <c r="J550" s="398"/>
      <c r="K550" s="398"/>
      <c r="L550" s="398"/>
      <c r="M550" s="398"/>
      <c r="N550" s="606"/>
    </row>
    <row r="551" spans="1:14" s="487" customFormat="1" ht="15.75" customHeight="1">
      <c r="A551" s="398"/>
      <c r="B551" s="398"/>
      <c r="C551" s="398"/>
      <c r="D551" s="398"/>
      <c r="E551" s="398"/>
      <c r="F551" s="398"/>
      <c r="G551" s="398"/>
      <c r="H551" s="398"/>
      <c r="I551" s="398"/>
      <c r="J551" s="398"/>
      <c r="K551" s="398"/>
      <c r="L551" s="398"/>
      <c r="M551" s="398"/>
      <c r="N551" s="606"/>
    </row>
    <row r="552" spans="1:14" s="487" customFormat="1" ht="15.75" customHeight="1">
      <c r="A552" s="398"/>
      <c r="B552" s="398"/>
      <c r="C552" s="398"/>
      <c r="D552" s="398"/>
      <c r="E552" s="398"/>
      <c r="F552" s="398"/>
      <c r="G552" s="398"/>
      <c r="H552" s="398"/>
      <c r="I552" s="398"/>
      <c r="J552" s="398"/>
      <c r="K552" s="398"/>
      <c r="L552" s="398"/>
      <c r="M552" s="398"/>
      <c r="N552" s="606"/>
    </row>
    <row r="553" spans="1:14" s="487" customFormat="1" ht="15.75" customHeight="1">
      <c r="A553" s="398"/>
      <c r="B553" s="398"/>
      <c r="C553" s="398"/>
      <c r="D553" s="398"/>
      <c r="E553" s="398"/>
      <c r="F553" s="398"/>
      <c r="G553" s="398"/>
      <c r="H553" s="398"/>
      <c r="I553" s="398"/>
      <c r="J553" s="398"/>
      <c r="K553" s="398"/>
      <c r="L553" s="398"/>
      <c r="M553" s="398"/>
      <c r="N553" s="606"/>
    </row>
    <row r="554" spans="1:14" s="487" customFormat="1" ht="15.75" customHeight="1">
      <c r="A554" s="398"/>
      <c r="B554" s="398"/>
      <c r="C554" s="398"/>
      <c r="D554" s="398"/>
      <c r="E554" s="398"/>
      <c r="F554" s="398"/>
      <c r="G554" s="398"/>
      <c r="H554" s="398"/>
      <c r="I554" s="398"/>
      <c r="J554" s="398"/>
      <c r="K554" s="398"/>
      <c r="L554" s="398"/>
      <c r="M554" s="398"/>
      <c r="N554" s="606"/>
    </row>
    <row r="555" spans="1:14" s="487" customFormat="1" ht="15.75" customHeight="1">
      <c r="A555" s="398"/>
      <c r="B555" s="398"/>
      <c r="C555" s="398"/>
      <c r="D555" s="398"/>
      <c r="E555" s="398"/>
      <c r="F555" s="398"/>
      <c r="G555" s="398"/>
      <c r="H555" s="398"/>
      <c r="I555" s="398"/>
      <c r="J555" s="398"/>
      <c r="K555" s="398"/>
      <c r="L555" s="398"/>
      <c r="M555" s="398"/>
      <c r="N555" s="606"/>
    </row>
    <row r="556" spans="1:14" s="487" customFormat="1" ht="15.75" customHeight="1">
      <c r="A556" s="398"/>
      <c r="B556" s="398"/>
      <c r="C556" s="398"/>
      <c r="D556" s="398"/>
      <c r="E556" s="398"/>
      <c r="F556" s="398"/>
      <c r="G556" s="398"/>
      <c r="H556" s="398"/>
      <c r="I556" s="398"/>
      <c r="J556" s="398"/>
      <c r="K556" s="398"/>
      <c r="L556" s="398"/>
      <c r="M556" s="398"/>
      <c r="N556" s="606"/>
    </row>
    <row r="557" spans="1:14" s="487" customFormat="1" ht="15.75" customHeight="1">
      <c r="A557" s="398"/>
      <c r="B557" s="398"/>
      <c r="C557" s="398"/>
      <c r="D557" s="398"/>
      <c r="E557" s="398"/>
      <c r="F557" s="398"/>
      <c r="G557" s="398"/>
      <c r="H557" s="398"/>
      <c r="I557" s="398"/>
      <c r="J557" s="398"/>
      <c r="K557" s="398"/>
      <c r="L557" s="398"/>
      <c r="M557" s="398"/>
      <c r="N557" s="606"/>
    </row>
    <row r="558" spans="1:14" s="487" customFormat="1" ht="15.75" customHeight="1">
      <c r="A558" s="398"/>
      <c r="B558" s="398"/>
      <c r="C558" s="398"/>
      <c r="D558" s="398"/>
      <c r="E558" s="398"/>
      <c r="F558" s="398"/>
      <c r="G558" s="398"/>
      <c r="H558" s="398"/>
      <c r="I558" s="398"/>
      <c r="J558" s="398"/>
      <c r="K558" s="398"/>
      <c r="L558" s="398"/>
      <c r="M558" s="398"/>
      <c r="N558" s="606"/>
    </row>
    <row r="559" spans="1:14" s="487" customFormat="1" ht="15.75" customHeight="1">
      <c r="N559" s="780"/>
    </row>
    <row r="560" spans="1:14" s="487" customFormat="1" ht="15.75" customHeight="1">
      <c r="N560" s="780"/>
    </row>
    <row r="561" spans="14:14" s="487" customFormat="1" ht="15.75" customHeight="1">
      <c r="N561" s="780"/>
    </row>
    <row r="562" spans="14:14" s="487" customFormat="1" ht="15.75" customHeight="1">
      <c r="N562" s="780"/>
    </row>
    <row r="563" spans="14:14" s="487" customFormat="1" ht="15.75" customHeight="1">
      <c r="N563" s="780"/>
    </row>
    <row r="564" spans="14:14" s="487" customFormat="1" ht="15.75" customHeight="1">
      <c r="N564" s="780"/>
    </row>
    <row r="565" spans="14:14" s="487" customFormat="1" ht="15.75" customHeight="1">
      <c r="N565" s="780"/>
    </row>
    <row r="566" spans="14:14" s="487" customFormat="1" ht="15.75" customHeight="1">
      <c r="N566" s="780"/>
    </row>
    <row r="567" spans="14:14" s="487" customFormat="1" ht="15.75" customHeight="1">
      <c r="N567" s="780"/>
    </row>
    <row r="568" spans="14:14" s="487" customFormat="1" ht="15.75" customHeight="1">
      <c r="N568" s="780"/>
    </row>
    <row r="569" spans="14:14" s="487" customFormat="1" ht="15.75" customHeight="1">
      <c r="N569" s="780"/>
    </row>
    <row r="570" spans="14:14" s="487" customFormat="1" ht="15.75" customHeight="1">
      <c r="N570" s="780"/>
    </row>
    <row r="571" spans="14:14" s="487" customFormat="1" ht="15.75" customHeight="1">
      <c r="N571" s="780"/>
    </row>
    <row r="572" spans="14:14" s="487" customFormat="1" ht="15.75" customHeight="1">
      <c r="N572" s="780"/>
    </row>
    <row r="573" spans="14:14" s="487" customFormat="1" ht="15.75" customHeight="1">
      <c r="N573" s="780"/>
    </row>
    <row r="574" spans="14:14" s="487" customFormat="1" ht="15.75" customHeight="1">
      <c r="N574" s="780"/>
    </row>
    <row r="575" spans="14:14" s="487" customFormat="1" ht="15.75" customHeight="1">
      <c r="N575" s="780"/>
    </row>
    <row r="576" spans="14:14" s="487" customFormat="1" ht="15.75" customHeight="1">
      <c r="N576" s="780"/>
    </row>
    <row r="577" spans="14:14" s="487" customFormat="1" ht="15.75" customHeight="1">
      <c r="N577" s="780"/>
    </row>
    <row r="578" spans="14:14" s="487" customFormat="1" ht="15.75" customHeight="1">
      <c r="N578" s="780"/>
    </row>
    <row r="579" spans="14:14" s="487" customFormat="1" ht="15.75" customHeight="1">
      <c r="N579" s="780"/>
    </row>
    <row r="580" spans="14:14" s="487" customFormat="1" ht="15.75" customHeight="1">
      <c r="N580" s="780"/>
    </row>
    <row r="581" spans="14:14" s="487" customFormat="1" ht="15.75" customHeight="1">
      <c r="N581" s="780"/>
    </row>
    <row r="582" spans="14:14" s="487" customFormat="1" ht="15.75" customHeight="1">
      <c r="N582" s="780"/>
    </row>
    <row r="583" spans="14:14" s="487" customFormat="1" ht="15.75" customHeight="1">
      <c r="N583" s="780"/>
    </row>
    <row r="584" spans="14:14" s="487" customFormat="1" ht="15.75" customHeight="1">
      <c r="N584" s="780"/>
    </row>
    <row r="585" spans="14:14" s="487" customFormat="1" ht="15.75" customHeight="1">
      <c r="N585" s="780"/>
    </row>
    <row r="586" spans="14:14" s="487" customFormat="1" ht="15.75" customHeight="1">
      <c r="N586" s="780"/>
    </row>
    <row r="587" spans="14:14" s="487" customFormat="1" ht="15.75" customHeight="1">
      <c r="N587" s="780"/>
    </row>
    <row r="588" spans="14:14" s="487" customFormat="1" ht="15.75" customHeight="1">
      <c r="N588" s="780"/>
    </row>
    <row r="589" spans="14:14" s="487" customFormat="1" ht="15.75" customHeight="1">
      <c r="N589" s="780"/>
    </row>
    <row r="590" spans="14:14" s="487" customFormat="1" ht="15.75" customHeight="1">
      <c r="N590" s="780"/>
    </row>
    <row r="591" spans="14:14" s="487" customFormat="1" ht="15.75" customHeight="1">
      <c r="N591" s="780"/>
    </row>
    <row r="592" spans="14:14" s="487" customFormat="1" ht="15.75" customHeight="1">
      <c r="N592" s="780"/>
    </row>
    <row r="593" spans="14:14" s="487" customFormat="1" ht="15.75" customHeight="1">
      <c r="N593" s="780"/>
    </row>
    <row r="594" spans="14:14" s="487" customFormat="1" ht="15.75" customHeight="1">
      <c r="N594" s="780"/>
    </row>
    <row r="595" spans="14:14" s="487" customFormat="1" ht="15.75" customHeight="1">
      <c r="N595" s="780"/>
    </row>
    <row r="596" spans="14:14" s="487" customFormat="1" ht="15.75" customHeight="1">
      <c r="N596" s="780"/>
    </row>
    <row r="597" spans="14:14" s="487" customFormat="1" ht="15.75" customHeight="1">
      <c r="N597" s="780"/>
    </row>
    <row r="598" spans="14:14" s="487" customFormat="1" ht="15.75" customHeight="1">
      <c r="N598" s="780"/>
    </row>
    <row r="599" spans="14:14" s="487" customFormat="1" ht="15.75" customHeight="1">
      <c r="N599" s="780"/>
    </row>
    <row r="600" spans="14:14" s="487" customFormat="1" ht="15.75" customHeight="1">
      <c r="N600" s="780"/>
    </row>
    <row r="601" spans="14:14" s="487" customFormat="1" ht="15.75" customHeight="1">
      <c r="N601" s="780"/>
    </row>
    <row r="602" spans="14:14" s="487" customFormat="1" ht="15.75" customHeight="1">
      <c r="N602" s="780"/>
    </row>
    <row r="603" spans="14:14" s="487" customFormat="1" ht="15.75" customHeight="1">
      <c r="N603" s="780"/>
    </row>
    <row r="604" spans="14:14" s="487" customFormat="1" ht="15.75" customHeight="1">
      <c r="N604" s="780"/>
    </row>
    <row r="605" spans="14:14" s="487" customFormat="1" ht="15.75" customHeight="1">
      <c r="N605" s="780"/>
    </row>
    <row r="606" spans="14:14" s="487" customFormat="1" ht="15.75" customHeight="1">
      <c r="N606" s="780"/>
    </row>
    <row r="607" spans="14:14" s="487" customFormat="1" ht="15.75" customHeight="1">
      <c r="N607" s="780"/>
    </row>
    <row r="608" spans="14:14" s="487" customFormat="1" ht="15.75" customHeight="1">
      <c r="N608" s="780"/>
    </row>
    <row r="609" spans="14:14" s="487" customFormat="1" ht="15.75" customHeight="1">
      <c r="N609" s="780"/>
    </row>
    <row r="610" spans="14:14" s="487" customFormat="1" ht="15.75" customHeight="1">
      <c r="N610" s="780"/>
    </row>
    <row r="611" spans="14:14" s="487" customFormat="1" ht="15.75" customHeight="1">
      <c r="N611" s="780"/>
    </row>
    <row r="612" spans="14:14" s="487" customFormat="1" ht="15.75" customHeight="1">
      <c r="N612" s="780"/>
    </row>
    <row r="613" spans="14:14" s="487" customFormat="1" ht="15.75" customHeight="1">
      <c r="N613" s="780"/>
    </row>
    <row r="614" spans="14:14" s="487" customFormat="1" ht="15.75" customHeight="1">
      <c r="N614" s="780"/>
    </row>
    <row r="615" spans="14:14" s="487" customFormat="1" ht="15.75" customHeight="1">
      <c r="N615" s="780"/>
    </row>
    <row r="616" spans="14:14" s="487" customFormat="1" ht="15.75" customHeight="1">
      <c r="N616" s="780"/>
    </row>
    <row r="617" spans="14:14" s="487" customFormat="1" ht="15.75" customHeight="1">
      <c r="N617" s="780"/>
    </row>
    <row r="618" spans="14:14" s="487" customFormat="1" ht="15.75" customHeight="1">
      <c r="N618" s="780"/>
    </row>
    <row r="619" spans="14:14" s="487" customFormat="1" ht="15.75" customHeight="1">
      <c r="N619" s="780"/>
    </row>
    <row r="620" spans="14:14" s="487" customFormat="1" ht="15.75" customHeight="1">
      <c r="N620" s="780"/>
    </row>
    <row r="621" spans="14:14" s="487" customFormat="1" ht="15.75" customHeight="1">
      <c r="N621" s="780"/>
    </row>
    <row r="622" spans="14:14" s="487" customFormat="1" ht="15.75" customHeight="1">
      <c r="N622" s="780"/>
    </row>
    <row r="623" spans="14:14" s="487" customFormat="1" ht="15.75" customHeight="1">
      <c r="N623" s="780"/>
    </row>
    <row r="624" spans="14:14" s="487" customFormat="1" ht="15.75" customHeight="1">
      <c r="N624" s="780"/>
    </row>
    <row r="625" spans="14:14" s="487" customFormat="1" ht="15.75" customHeight="1">
      <c r="N625" s="780"/>
    </row>
    <row r="626" spans="14:14" s="487" customFormat="1" ht="15.75" customHeight="1">
      <c r="N626" s="780"/>
    </row>
    <row r="627" spans="14:14" s="487" customFormat="1" ht="15.75" customHeight="1">
      <c r="N627" s="780"/>
    </row>
    <row r="628" spans="14:14" s="487" customFormat="1" ht="15.75" customHeight="1">
      <c r="N628" s="780"/>
    </row>
    <row r="629" spans="14:14" s="487" customFormat="1" ht="15.75" customHeight="1">
      <c r="N629" s="780"/>
    </row>
    <row r="630" spans="14:14" s="487" customFormat="1" ht="15.75" customHeight="1">
      <c r="N630" s="780"/>
    </row>
    <row r="631" spans="14:14" s="487" customFormat="1" ht="15.75" customHeight="1">
      <c r="N631" s="780"/>
    </row>
    <row r="632" spans="14:14" s="487" customFormat="1" ht="15.75" customHeight="1">
      <c r="N632" s="780"/>
    </row>
    <row r="633" spans="14:14" s="487" customFormat="1" ht="15.75" customHeight="1">
      <c r="N633" s="780"/>
    </row>
    <row r="634" spans="14:14" s="487" customFormat="1" ht="15.75" customHeight="1">
      <c r="N634" s="780"/>
    </row>
    <row r="635" spans="14:14" s="487" customFormat="1" ht="15.75" customHeight="1">
      <c r="N635" s="780"/>
    </row>
    <row r="636" spans="14:14" s="487" customFormat="1" ht="15.75" customHeight="1">
      <c r="N636" s="780"/>
    </row>
    <row r="637" spans="14:14" s="487" customFormat="1" ht="15.75" customHeight="1">
      <c r="N637" s="780"/>
    </row>
    <row r="638" spans="14:14" s="487" customFormat="1" ht="15.75" customHeight="1">
      <c r="N638" s="780"/>
    </row>
    <row r="639" spans="14:14" s="487" customFormat="1" ht="15.75" customHeight="1">
      <c r="N639" s="780"/>
    </row>
    <row r="640" spans="14:14" s="487" customFormat="1" ht="15.75" customHeight="1">
      <c r="N640" s="780"/>
    </row>
    <row r="641" spans="14:14" s="487" customFormat="1" ht="15.75" customHeight="1">
      <c r="N641" s="780"/>
    </row>
    <row r="642" spans="14:14" s="487" customFormat="1" ht="15.75" customHeight="1">
      <c r="N642" s="780"/>
    </row>
    <row r="643" spans="14:14" s="487" customFormat="1" ht="15.75" customHeight="1">
      <c r="N643" s="780"/>
    </row>
    <row r="644" spans="14:14" s="487" customFormat="1" ht="15.75" customHeight="1">
      <c r="N644" s="780"/>
    </row>
    <row r="645" spans="14:14" s="487" customFormat="1" ht="15.75" customHeight="1">
      <c r="N645" s="780"/>
    </row>
    <row r="646" spans="14:14" s="487" customFormat="1" ht="15.75" customHeight="1">
      <c r="N646" s="780"/>
    </row>
    <row r="647" spans="14:14" s="487" customFormat="1" ht="15.75" customHeight="1">
      <c r="N647" s="780"/>
    </row>
    <row r="648" spans="14:14" s="487" customFormat="1" ht="15.75" customHeight="1">
      <c r="N648" s="780"/>
    </row>
    <row r="649" spans="14:14" s="487" customFormat="1" ht="15.75" customHeight="1">
      <c r="N649" s="780"/>
    </row>
    <row r="650" spans="14:14" s="487" customFormat="1" ht="15.75" customHeight="1">
      <c r="N650" s="780"/>
    </row>
    <row r="651" spans="14:14" s="487" customFormat="1" ht="15.75" customHeight="1">
      <c r="N651" s="780"/>
    </row>
    <row r="652" spans="14:14" s="487" customFormat="1" ht="15.75" customHeight="1">
      <c r="N652" s="780"/>
    </row>
    <row r="653" spans="14:14" s="487" customFormat="1" ht="15.75" customHeight="1">
      <c r="N653" s="780"/>
    </row>
    <row r="654" spans="14:14" s="487" customFormat="1" ht="15.75" customHeight="1">
      <c r="N654" s="780"/>
    </row>
    <row r="655" spans="14:14" s="487" customFormat="1" ht="15.75" customHeight="1">
      <c r="N655" s="780"/>
    </row>
    <row r="656" spans="14:14" s="487" customFormat="1" ht="15.75" customHeight="1">
      <c r="N656" s="780"/>
    </row>
    <row r="657" spans="14:14" s="487" customFormat="1" ht="15.75" customHeight="1">
      <c r="N657" s="780"/>
    </row>
    <row r="658" spans="14:14" s="487" customFormat="1" ht="15.75" customHeight="1">
      <c r="N658" s="780"/>
    </row>
    <row r="659" spans="14:14" s="487" customFormat="1" ht="15.75" customHeight="1">
      <c r="N659" s="780"/>
    </row>
    <row r="660" spans="14:14" s="487" customFormat="1" ht="15.75" customHeight="1">
      <c r="N660" s="780"/>
    </row>
    <row r="661" spans="14:14" s="487" customFormat="1" ht="15.75" customHeight="1">
      <c r="N661" s="780"/>
    </row>
    <row r="662" spans="14:14" s="487" customFormat="1" ht="15.75" customHeight="1">
      <c r="N662" s="780"/>
    </row>
    <row r="663" spans="14:14" s="487" customFormat="1" ht="15.75" customHeight="1">
      <c r="N663" s="780"/>
    </row>
    <row r="664" spans="14:14" s="487" customFormat="1" ht="15.75" customHeight="1">
      <c r="N664" s="780"/>
    </row>
    <row r="665" spans="14:14" s="487" customFormat="1" ht="15.75" customHeight="1">
      <c r="N665" s="780"/>
    </row>
    <row r="666" spans="14:14" s="487" customFormat="1" ht="15.75" customHeight="1">
      <c r="N666" s="780"/>
    </row>
    <row r="667" spans="14:14" s="487" customFormat="1" ht="15.75" customHeight="1">
      <c r="N667" s="780"/>
    </row>
    <row r="668" spans="14:14" s="487" customFormat="1" ht="15.75" customHeight="1">
      <c r="N668" s="780"/>
    </row>
    <row r="669" spans="14:14" s="487" customFormat="1" ht="15.75" customHeight="1">
      <c r="N669" s="780"/>
    </row>
    <row r="670" spans="14:14" s="487" customFormat="1" ht="15.75" customHeight="1">
      <c r="N670" s="780"/>
    </row>
    <row r="671" spans="14:14" s="487" customFormat="1" ht="15.75" customHeight="1">
      <c r="N671" s="780"/>
    </row>
    <row r="672" spans="14:14" s="487" customFormat="1" ht="15.75" customHeight="1">
      <c r="N672" s="780"/>
    </row>
    <row r="673" spans="14:14" s="487" customFormat="1" ht="15.75" customHeight="1">
      <c r="N673" s="780"/>
    </row>
    <row r="674" spans="14:14" s="487" customFormat="1" ht="15.75" customHeight="1">
      <c r="N674" s="780"/>
    </row>
    <row r="675" spans="14:14" s="487" customFormat="1" ht="15.75" customHeight="1">
      <c r="N675" s="780"/>
    </row>
    <row r="676" spans="14:14" s="487" customFormat="1" ht="15.75" customHeight="1">
      <c r="N676" s="780"/>
    </row>
    <row r="677" spans="14:14" s="487" customFormat="1" ht="15.75" customHeight="1">
      <c r="N677" s="780"/>
    </row>
    <row r="678" spans="14:14" s="487" customFormat="1" ht="15.75" customHeight="1">
      <c r="N678" s="780"/>
    </row>
    <row r="679" spans="14:14" s="487" customFormat="1" ht="15.75" customHeight="1">
      <c r="N679" s="780"/>
    </row>
    <row r="680" spans="14:14" s="487" customFormat="1" ht="15.75" customHeight="1">
      <c r="N680" s="780"/>
    </row>
    <row r="681" spans="14:14" s="487" customFormat="1" ht="15.75" customHeight="1">
      <c r="N681" s="780"/>
    </row>
    <row r="682" spans="14:14" s="487" customFormat="1" ht="15.75" customHeight="1">
      <c r="N682" s="780"/>
    </row>
    <row r="683" spans="14:14" s="487" customFormat="1" ht="15.75" customHeight="1">
      <c r="N683" s="780"/>
    </row>
    <row r="684" spans="14:14" s="487" customFormat="1" ht="15.75" customHeight="1">
      <c r="N684" s="780"/>
    </row>
    <row r="685" spans="14:14" s="487" customFormat="1" ht="15.75" customHeight="1">
      <c r="N685" s="780"/>
    </row>
    <row r="686" spans="14:14" s="487" customFormat="1" ht="15.75" customHeight="1">
      <c r="N686" s="780"/>
    </row>
    <row r="687" spans="14:14" s="487" customFormat="1" ht="15.75" customHeight="1">
      <c r="N687" s="780"/>
    </row>
    <row r="688" spans="14:14" s="487" customFormat="1" ht="15.75" customHeight="1">
      <c r="N688" s="780"/>
    </row>
    <row r="689" spans="14:14" s="487" customFormat="1" ht="15.75" customHeight="1">
      <c r="N689" s="780"/>
    </row>
    <row r="690" spans="14:14" s="487" customFormat="1" ht="15.75" customHeight="1">
      <c r="N690" s="780"/>
    </row>
    <row r="691" spans="14:14" s="487" customFormat="1" ht="15.75" customHeight="1">
      <c r="N691" s="780"/>
    </row>
    <row r="692" spans="14:14" s="487" customFormat="1" ht="15.75" customHeight="1">
      <c r="N692" s="780"/>
    </row>
    <row r="693" spans="14:14" s="487" customFormat="1" ht="15.75" customHeight="1">
      <c r="N693" s="780"/>
    </row>
    <row r="694" spans="14:14" s="487" customFormat="1" ht="15.75" customHeight="1">
      <c r="N694" s="780"/>
    </row>
    <row r="695" spans="14:14" s="487" customFormat="1" ht="15.75" customHeight="1">
      <c r="N695" s="780"/>
    </row>
    <row r="696" spans="14:14" s="487" customFormat="1" ht="15.75" customHeight="1">
      <c r="N696" s="780"/>
    </row>
    <row r="697" spans="14:14" s="487" customFormat="1" ht="15.75" customHeight="1">
      <c r="N697" s="780"/>
    </row>
    <row r="698" spans="14:14" s="487" customFormat="1" ht="15.75" customHeight="1">
      <c r="N698" s="780"/>
    </row>
    <row r="699" spans="14:14" s="487" customFormat="1" ht="15.75" customHeight="1">
      <c r="N699" s="780"/>
    </row>
    <row r="700" spans="14:14" s="487" customFormat="1" ht="15.75" customHeight="1">
      <c r="N700" s="780"/>
    </row>
    <row r="701" spans="14:14" s="487" customFormat="1" ht="15.75" customHeight="1">
      <c r="N701" s="780"/>
    </row>
    <row r="702" spans="14:14" s="487" customFormat="1" ht="15.75" customHeight="1">
      <c r="N702" s="780"/>
    </row>
    <row r="703" spans="14:14" s="487" customFormat="1" ht="15.75" customHeight="1">
      <c r="N703" s="780"/>
    </row>
    <row r="704" spans="14:14" s="487" customFormat="1" ht="15.75" customHeight="1">
      <c r="N704" s="780"/>
    </row>
    <row r="705" spans="14:14" s="487" customFormat="1" ht="15.75" customHeight="1">
      <c r="N705" s="780"/>
    </row>
    <row r="706" spans="14:14" s="487" customFormat="1" ht="15.75" customHeight="1">
      <c r="N706" s="780"/>
    </row>
    <row r="707" spans="14:14" s="487" customFormat="1" ht="15.75" customHeight="1">
      <c r="N707" s="780"/>
    </row>
    <row r="708" spans="14:14" s="487" customFormat="1" ht="15.75" customHeight="1">
      <c r="N708" s="780"/>
    </row>
    <row r="709" spans="14:14" s="487" customFormat="1" ht="15.75" customHeight="1">
      <c r="N709" s="780"/>
    </row>
    <row r="710" spans="14:14" s="487" customFormat="1" ht="15.75" customHeight="1">
      <c r="N710" s="780"/>
    </row>
    <row r="711" spans="14:14" s="487" customFormat="1" ht="15.75" customHeight="1">
      <c r="N711" s="780"/>
    </row>
    <row r="712" spans="14:14" s="487" customFormat="1" ht="15.75" customHeight="1">
      <c r="N712" s="780"/>
    </row>
    <row r="713" spans="14:14" s="487" customFormat="1" ht="15.75" customHeight="1">
      <c r="N713" s="780"/>
    </row>
    <row r="714" spans="14:14" s="487" customFormat="1" ht="15.75" customHeight="1">
      <c r="N714" s="780"/>
    </row>
    <row r="715" spans="14:14" s="487" customFormat="1" ht="15.75" customHeight="1">
      <c r="N715" s="780"/>
    </row>
    <row r="716" spans="14:14" s="487" customFormat="1" ht="15.75" customHeight="1">
      <c r="N716" s="780"/>
    </row>
    <row r="717" spans="14:14" s="487" customFormat="1" ht="15.75" customHeight="1">
      <c r="N717" s="780"/>
    </row>
    <row r="718" spans="14:14" s="487" customFormat="1" ht="15.75" customHeight="1">
      <c r="N718" s="780"/>
    </row>
    <row r="719" spans="14:14" s="487" customFormat="1" ht="15.75" customHeight="1">
      <c r="N719" s="780"/>
    </row>
    <row r="720" spans="14:14" s="487" customFormat="1" ht="15.75" customHeight="1">
      <c r="N720" s="780"/>
    </row>
    <row r="721" spans="14:14" s="487" customFormat="1" ht="15.75" customHeight="1">
      <c r="N721" s="780"/>
    </row>
    <row r="722" spans="14:14" s="487" customFormat="1" ht="15.75" customHeight="1">
      <c r="N722" s="780"/>
    </row>
    <row r="723" spans="14:14" s="487" customFormat="1" ht="15.75" customHeight="1">
      <c r="N723" s="780"/>
    </row>
    <row r="724" spans="14:14" s="487" customFormat="1" ht="15.75" customHeight="1">
      <c r="N724" s="780"/>
    </row>
    <row r="725" spans="14:14" s="487" customFormat="1" ht="15.75" customHeight="1">
      <c r="N725" s="780"/>
    </row>
    <row r="726" spans="14:14" s="487" customFormat="1" ht="15.75" customHeight="1">
      <c r="N726" s="780"/>
    </row>
    <row r="727" spans="14:14" s="487" customFormat="1" ht="15.75" customHeight="1">
      <c r="N727" s="780"/>
    </row>
    <row r="728" spans="14:14" s="487" customFormat="1" ht="15.75" customHeight="1">
      <c r="N728" s="780"/>
    </row>
    <row r="729" spans="14:14" s="487" customFormat="1" ht="15.75" customHeight="1">
      <c r="N729" s="780"/>
    </row>
    <row r="730" spans="14:14" s="487" customFormat="1" ht="15.75" customHeight="1">
      <c r="N730" s="780"/>
    </row>
    <row r="731" spans="14:14" s="487" customFormat="1" ht="15.75" customHeight="1">
      <c r="N731" s="780"/>
    </row>
    <row r="732" spans="14:14" s="487" customFormat="1" ht="15.75" customHeight="1">
      <c r="N732" s="780"/>
    </row>
    <row r="733" spans="14:14" s="487" customFormat="1" ht="15.75" customHeight="1">
      <c r="N733" s="780"/>
    </row>
    <row r="734" spans="14:14" s="487" customFormat="1" ht="15.75" customHeight="1">
      <c r="N734" s="780"/>
    </row>
    <row r="735" spans="14:14" s="487" customFormat="1" ht="15.75" customHeight="1">
      <c r="N735" s="780"/>
    </row>
    <row r="736" spans="14:14" s="487" customFormat="1" ht="15.75" customHeight="1">
      <c r="N736" s="780"/>
    </row>
    <row r="737" spans="14:14" s="487" customFormat="1" ht="15.75" customHeight="1">
      <c r="N737" s="780"/>
    </row>
    <row r="738" spans="14:14" s="487" customFormat="1" ht="15.75" customHeight="1">
      <c r="N738" s="780"/>
    </row>
    <row r="739" spans="14:14" s="487" customFormat="1" ht="15.75" customHeight="1">
      <c r="N739" s="780"/>
    </row>
    <row r="740" spans="14:14" s="487" customFormat="1" ht="15.75" customHeight="1">
      <c r="N740" s="780"/>
    </row>
    <row r="741" spans="14:14" s="487" customFormat="1" ht="15.75" customHeight="1">
      <c r="N741" s="780"/>
    </row>
    <row r="742" spans="14:14" s="487" customFormat="1" ht="15.75" customHeight="1">
      <c r="N742" s="780"/>
    </row>
    <row r="743" spans="14:14" s="487" customFormat="1" ht="15.75" customHeight="1">
      <c r="N743" s="780"/>
    </row>
    <row r="744" spans="14:14" s="487" customFormat="1" ht="15.75" customHeight="1">
      <c r="N744" s="780"/>
    </row>
    <row r="745" spans="14:14" s="487" customFormat="1" ht="15.75" customHeight="1">
      <c r="N745" s="780"/>
    </row>
    <row r="746" spans="14:14" s="487" customFormat="1" ht="15.75" customHeight="1">
      <c r="N746" s="780"/>
    </row>
    <row r="747" spans="14:14" s="487" customFormat="1" ht="15.75" customHeight="1">
      <c r="N747" s="780"/>
    </row>
    <row r="748" spans="14:14" s="487" customFormat="1" ht="15.75" customHeight="1">
      <c r="N748" s="780"/>
    </row>
    <row r="749" spans="14:14" s="487" customFormat="1" ht="15.75" customHeight="1">
      <c r="N749" s="780"/>
    </row>
    <row r="750" spans="14:14" s="487" customFormat="1" ht="15.75" customHeight="1">
      <c r="N750" s="780"/>
    </row>
    <row r="751" spans="14:14" s="487" customFormat="1" ht="15.75" customHeight="1">
      <c r="N751" s="780"/>
    </row>
    <row r="752" spans="14:14" s="487" customFormat="1" ht="15.75" customHeight="1">
      <c r="N752" s="780"/>
    </row>
    <row r="753" spans="14:14" s="487" customFormat="1" ht="15.75" customHeight="1">
      <c r="N753" s="780"/>
    </row>
    <row r="754" spans="14:14" s="487" customFormat="1" ht="15.75" customHeight="1">
      <c r="N754" s="780"/>
    </row>
    <row r="755" spans="14:14" s="487" customFormat="1" ht="15.75" customHeight="1">
      <c r="N755" s="780"/>
    </row>
    <row r="756" spans="14:14" s="487" customFormat="1" ht="15.75" customHeight="1">
      <c r="N756" s="780"/>
    </row>
    <row r="757" spans="14:14" s="487" customFormat="1" ht="15.75" customHeight="1">
      <c r="N757" s="780"/>
    </row>
    <row r="758" spans="14:14" s="487" customFormat="1" ht="15.75" customHeight="1">
      <c r="N758" s="780"/>
    </row>
    <row r="759" spans="14:14" s="487" customFormat="1" ht="15.75" customHeight="1">
      <c r="N759" s="780"/>
    </row>
    <row r="760" spans="14:14" s="487" customFormat="1" ht="15.75" customHeight="1">
      <c r="N760" s="780"/>
    </row>
    <row r="761" spans="14:14" s="487" customFormat="1" ht="15.75" customHeight="1">
      <c r="N761" s="780"/>
    </row>
    <row r="762" spans="14:14" s="487" customFormat="1" ht="15.75" customHeight="1">
      <c r="N762" s="780"/>
    </row>
    <row r="763" spans="14:14" s="487" customFormat="1" ht="15.75" customHeight="1">
      <c r="N763" s="780"/>
    </row>
    <row r="764" spans="14:14" s="487" customFormat="1" ht="15.75" customHeight="1">
      <c r="N764" s="780"/>
    </row>
    <row r="765" spans="14:14" s="487" customFormat="1" ht="15.75" customHeight="1">
      <c r="N765" s="780"/>
    </row>
    <row r="766" spans="14:14" s="487" customFormat="1" ht="15.75" customHeight="1">
      <c r="N766" s="780"/>
    </row>
    <row r="767" spans="14:14" s="487" customFormat="1" ht="15.75" customHeight="1">
      <c r="N767" s="780"/>
    </row>
    <row r="768" spans="14:14" s="487" customFormat="1" ht="15.75" customHeight="1">
      <c r="N768" s="780"/>
    </row>
    <row r="769" spans="14:14" s="487" customFormat="1" ht="15.75" customHeight="1">
      <c r="N769" s="780"/>
    </row>
    <row r="770" spans="14:14" s="487" customFormat="1" ht="15.75" customHeight="1">
      <c r="N770" s="780"/>
    </row>
    <row r="771" spans="14:14" s="487" customFormat="1" ht="15.75" customHeight="1">
      <c r="N771" s="780"/>
    </row>
    <row r="772" spans="14:14" s="487" customFormat="1" ht="15.75" customHeight="1">
      <c r="N772" s="780"/>
    </row>
    <row r="773" spans="14:14" s="487" customFormat="1" ht="15.75" customHeight="1">
      <c r="N773" s="780"/>
    </row>
    <row r="774" spans="14:14" s="487" customFormat="1" ht="15.75" customHeight="1">
      <c r="N774" s="780"/>
    </row>
    <row r="775" spans="14:14" s="487" customFormat="1" ht="15.75" customHeight="1">
      <c r="N775" s="780"/>
    </row>
    <row r="776" spans="14:14" s="487" customFormat="1" ht="15.75" customHeight="1">
      <c r="N776" s="780"/>
    </row>
    <row r="777" spans="14:14" s="487" customFormat="1" ht="15.75" customHeight="1">
      <c r="N777" s="780"/>
    </row>
    <row r="778" spans="14:14" s="487" customFormat="1" ht="15.75" customHeight="1">
      <c r="N778" s="780"/>
    </row>
    <row r="779" spans="14:14" s="487" customFormat="1" ht="15.75" customHeight="1">
      <c r="N779" s="780"/>
    </row>
    <row r="780" spans="14:14" s="487" customFormat="1" ht="15.75" customHeight="1">
      <c r="N780" s="780"/>
    </row>
    <row r="781" spans="14:14" s="487" customFormat="1" ht="15.75" customHeight="1">
      <c r="N781" s="780"/>
    </row>
    <row r="782" spans="14:14" s="487" customFormat="1" ht="15.75" customHeight="1">
      <c r="N782" s="780"/>
    </row>
    <row r="783" spans="14:14" s="487" customFormat="1" ht="15.75" customHeight="1">
      <c r="N783" s="780"/>
    </row>
    <row r="784" spans="14:14" s="487" customFormat="1" ht="15.75" customHeight="1">
      <c r="N784" s="780"/>
    </row>
    <row r="785" spans="14:14" s="487" customFormat="1" ht="15.75" customHeight="1">
      <c r="N785" s="780"/>
    </row>
    <row r="786" spans="14:14" s="487" customFormat="1" ht="15.75" customHeight="1">
      <c r="N786" s="780"/>
    </row>
    <row r="787" spans="14:14" s="487" customFormat="1" ht="15.75" customHeight="1">
      <c r="N787" s="780"/>
    </row>
    <row r="788" spans="14:14" s="487" customFormat="1" ht="15.75" customHeight="1">
      <c r="N788" s="780"/>
    </row>
    <row r="789" spans="14:14" s="487" customFormat="1" ht="15.75" customHeight="1">
      <c r="N789" s="780"/>
    </row>
    <row r="790" spans="14:14" s="487" customFormat="1" ht="15.75" customHeight="1">
      <c r="N790" s="780"/>
    </row>
    <row r="791" spans="14:14" s="487" customFormat="1" ht="15.75" customHeight="1">
      <c r="N791" s="780"/>
    </row>
    <row r="792" spans="14:14" s="487" customFormat="1" ht="15.75" customHeight="1">
      <c r="N792" s="780"/>
    </row>
    <row r="793" spans="14:14" s="487" customFormat="1" ht="15.75" customHeight="1">
      <c r="N793" s="780"/>
    </row>
    <row r="794" spans="14:14" s="487" customFormat="1" ht="15.75" customHeight="1">
      <c r="N794" s="780"/>
    </row>
    <row r="795" spans="14:14" s="487" customFormat="1" ht="15.75" customHeight="1">
      <c r="N795" s="780"/>
    </row>
    <row r="796" spans="14:14" s="487" customFormat="1" ht="15.75" customHeight="1">
      <c r="N796" s="780"/>
    </row>
    <row r="797" spans="14:14" s="487" customFormat="1" ht="15.75" customHeight="1">
      <c r="N797" s="780"/>
    </row>
    <row r="798" spans="14:14" s="487" customFormat="1" ht="15.75" customHeight="1">
      <c r="N798" s="780"/>
    </row>
    <row r="799" spans="14:14" s="487" customFormat="1" ht="15.75" customHeight="1">
      <c r="N799" s="780"/>
    </row>
    <row r="800" spans="14:14" s="487" customFormat="1" ht="15.75" customHeight="1">
      <c r="N800" s="780"/>
    </row>
    <row r="801" spans="14:14" s="487" customFormat="1" ht="15.75" customHeight="1">
      <c r="N801" s="780"/>
    </row>
    <row r="802" spans="14:14" s="487" customFormat="1" ht="15.75" customHeight="1">
      <c r="N802" s="780"/>
    </row>
    <row r="803" spans="14:14" s="487" customFormat="1" ht="15.75" customHeight="1">
      <c r="N803" s="780"/>
    </row>
    <row r="804" spans="14:14" s="487" customFormat="1" ht="15.75" customHeight="1">
      <c r="N804" s="780"/>
    </row>
    <row r="805" spans="14:14" s="487" customFormat="1" ht="15.75" customHeight="1">
      <c r="N805" s="780"/>
    </row>
    <row r="806" spans="14:14" s="487" customFormat="1" ht="15.75" customHeight="1">
      <c r="N806" s="780"/>
    </row>
    <row r="807" spans="14:14" s="487" customFormat="1" ht="15.75" customHeight="1">
      <c r="N807" s="780"/>
    </row>
    <row r="808" spans="14:14" s="487" customFormat="1" ht="15.75" customHeight="1">
      <c r="N808" s="780"/>
    </row>
    <row r="809" spans="14:14" s="487" customFormat="1" ht="15.75" customHeight="1">
      <c r="N809" s="780"/>
    </row>
    <row r="810" spans="14:14" s="487" customFormat="1" ht="15.75" customHeight="1">
      <c r="N810" s="780"/>
    </row>
    <row r="811" spans="14:14" s="487" customFormat="1" ht="15.75" customHeight="1">
      <c r="N811" s="780"/>
    </row>
    <row r="812" spans="14:14" s="487" customFormat="1" ht="15.75" customHeight="1">
      <c r="N812" s="780"/>
    </row>
    <row r="813" spans="14:14" s="487" customFormat="1" ht="15.75" customHeight="1">
      <c r="N813" s="780"/>
    </row>
    <row r="814" spans="14:14" s="487" customFormat="1" ht="15.75" customHeight="1">
      <c r="N814" s="780"/>
    </row>
    <row r="815" spans="14:14" s="487" customFormat="1" ht="15.75" customHeight="1">
      <c r="N815" s="780"/>
    </row>
    <row r="816" spans="14:14" s="487" customFormat="1" ht="15.75" customHeight="1">
      <c r="N816" s="780"/>
    </row>
    <row r="817" spans="14:14" s="487" customFormat="1" ht="15.75" customHeight="1">
      <c r="N817" s="780"/>
    </row>
    <row r="818" spans="14:14" s="487" customFormat="1" ht="15.75" customHeight="1">
      <c r="N818" s="780"/>
    </row>
    <row r="819" spans="14:14" s="487" customFormat="1" ht="15.75" customHeight="1">
      <c r="N819" s="780"/>
    </row>
    <row r="820" spans="14:14" s="487" customFormat="1" ht="15.75" customHeight="1">
      <c r="N820" s="780"/>
    </row>
    <row r="821" spans="14:14" s="487" customFormat="1" ht="15.75" customHeight="1">
      <c r="N821" s="780"/>
    </row>
    <row r="822" spans="14:14" s="487" customFormat="1" ht="15.75" customHeight="1">
      <c r="N822" s="780"/>
    </row>
    <row r="823" spans="14:14" s="487" customFormat="1" ht="15.75" customHeight="1">
      <c r="N823" s="780"/>
    </row>
    <row r="824" spans="14:14" s="487" customFormat="1" ht="15.75" customHeight="1">
      <c r="N824" s="780"/>
    </row>
    <row r="825" spans="14:14" s="487" customFormat="1" ht="15.75" customHeight="1">
      <c r="N825" s="780"/>
    </row>
    <row r="826" spans="14:14" s="487" customFormat="1" ht="15.75" customHeight="1">
      <c r="N826" s="780"/>
    </row>
    <row r="827" spans="14:14" s="487" customFormat="1" ht="15.75" customHeight="1">
      <c r="N827" s="780"/>
    </row>
    <row r="828" spans="14:14" s="487" customFormat="1" ht="15.75" customHeight="1">
      <c r="N828" s="780"/>
    </row>
    <row r="829" spans="14:14" s="487" customFormat="1" ht="15.75" customHeight="1">
      <c r="N829" s="780"/>
    </row>
    <row r="830" spans="14:14" s="487" customFormat="1" ht="15.75" customHeight="1">
      <c r="N830" s="780"/>
    </row>
    <row r="831" spans="14:14" s="487" customFormat="1" ht="15.75" customHeight="1">
      <c r="N831" s="780"/>
    </row>
    <row r="832" spans="14:14" s="487" customFormat="1" ht="15.75" customHeight="1">
      <c r="N832" s="780"/>
    </row>
    <row r="833" spans="14:14" s="487" customFormat="1" ht="15.75" customHeight="1">
      <c r="N833" s="780"/>
    </row>
    <row r="834" spans="14:14" s="487" customFormat="1" ht="15.75" customHeight="1">
      <c r="N834" s="780"/>
    </row>
    <row r="835" spans="14:14" s="487" customFormat="1" ht="15.75" customHeight="1">
      <c r="N835" s="780"/>
    </row>
    <row r="836" spans="14:14" s="487" customFormat="1" ht="15.75" customHeight="1">
      <c r="N836" s="780"/>
    </row>
    <row r="837" spans="14:14" s="487" customFormat="1" ht="15.75" customHeight="1">
      <c r="N837" s="780"/>
    </row>
    <row r="838" spans="14:14" s="487" customFormat="1" ht="15.75" customHeight="1">
      <c r="N838" s="780"/>
    </row>
    <row r="839" spans="14:14" s="487" customFormat="1" ht="15.75" customHeight="1">
      <c r="N839" s="780"/>
    </row>
    <row r="840" spans="14:14" s="487" customFormat="1" ht="15.75" customHeight="1">
      <c r="N840" s="780"/>
    </row>
    <row r="841" spans="14:14" s="487" customFormat="1" ht="15.75" customHeight="1">
      <c r="N841" s="780"/>
    </row>
    <row r="842" spans="14:14" s="487" customFormat="1" ht="15.75" customHeight="1">
      <c r="N842" s="780"/>
    </row>
    <row r="843" spans="14:14" s="487" customFormat="1" ht="15.75" customHeight="1">
      <c r="N843" s="780"/>
    </row>
    <row r="844" spans="14:14" s="487" customFormat="1" ht="15.75" customHeight="1">
      <c r="N844" s="780"/>
    </row>
    <row r="845" spans="14:14" s="487" customFormat="1" ht="15.75" customHeight="1">
      <c r="N845" s="780"/>
    </row>
    <row r="846" spans="14:14" s="487" customFormat="1" ht="15.75" customHeight="1">
      <c r="N846" s="780"/>
    </row>
    <row r="847" spans="14:14" s="487" customFormat="1" ht="15.75" customHeight="1">
      <c r="N847" s="780"/>
    </row>
    <row r="848" spans="14:14" s="487" customFormat="1" ht="15.75" customHeight="1">
      <c r="N848" s="780"/>
    </row>
    <row r="849" spans="14:14" s="487" customFormat="1" ht="15.75" customHeight="1">
      <c r="N849" s="780"/>
    </row>
    <row r="850" spans="14:14" s="487" customFormat="1" ht="15.75" customHeight="1">
      <c r="N850" s="780"/>
    </row>
    <row r="851" spans="14:14" s="487" customFormat="1" ht="15.75" customHeight="1">
      <c r="N851" s="780"/>
    </row>
    <row r="852" spans="14:14" s="487" customFormat="1" ht="15.75" customHeight="1">
      <c r="N852" s="780"/>
    </row>
    <row r="853" spans="14:14" s="487" customFormat="1" ht="15.75" customHeight="1">
      <c r="N853" s="780"/>
    </row>
    <row r="854" spans="14:14" s="487" customFormat="1" ht="15.75" customHeight="1">
      <c r="N854" s="780"/>
    </row>
    <row r="855" spans="14:14" s="487" customFormat="1" ht="15.75" customHeight="1">
      <c r="N855" s="780"/>
    </row>
    <row r="856" spans="14:14" s="487" customFormat="1" ht="15.75" customHeight="1">
      <c r="N856" s="780"/>
    </row>
    <row r="857" spans="14:14" s="487" customFormat="1" ht="15.75" customHeight="1">
      <c r="N857" s="780"/>
    </row>
    <row r="858" spans="14:14" s="487" customFormat="1" ht="15.75" customHeight="1">
      <c r="N858" s="780"/>
    </row>
    <row r="859" spans="14:14" s="487" customFormat="1" ht="15.75" customHeight="1">
      <c r="N859" s="780"/>
    </row>
    <row r="860" spans="14:14" s="487" customFormat="1" ht="15.75" customHeight="1">
      <c r="N860" s="780"/>
    </row>
    <row r="861" spans="14:14" s="487" customFormat="1" ht="15.75" customHeight="1">
      <c r="N861" s="780"/>
    </row>
    <row r="862" spans="14:14" s="487" customFormat="1" ht="15.75" customHeight="1">
      <c r="N862" s="780"/>
    </row>
    <row r="863" spans="14:14" s="487" customFormat="1" ht="15.75" customHeight="1">
      <c r="N863" s="780"/>
    </row>
    <row r="864" spans="14:14" s="487" customFormat="1" ht="15.75" customHeight="1">
      <c r="N864" s="780"/>
    </row>
    <row r="865" spans="14:14" s="487" customFormat="1" ht="15.75" customHeight="1">
      <c r="N865" s="780"/>
    </row>
    <row r="866" spans="14:14" s="487" customFormat="1" ht="15.75" customHeight="1">
      <c r="N866" s="780"/>
    </row>
    <row r="867" spans="14:14" s="487" customFormat="1" ht="15.75" customHeight="1">
      <c r="N867" s="780"/>
    </row>
    <row r="868" spans="14:14" s="487" customFormat="1" ht="15.75" customHeight="1">
      <c r="N868" s="780"/>
    </row>
    <row r="869" spans="14:14" s="487" customFormat="1" ht="15.75" customHeight="1">
      <c r="N869" s="780"/>
    </row>
    <row r="870" spans="14:14" s="487" customFormat="1" ht="15.75" customHeight="1">
      <c r="N870" s="780"/>
    </row>
    <row r="871" spans="14:14" s="487" customFormat="1" ht="15.75" customHeight="1">
      <c r="N871" s="780"/>
    </row>
    <row r="872" spans="14:14" s="487" customFormat="1" ht="15.75" customHeight="1">
      <c r="N872" s="780"/>
    </row>
    <row r="873" spans="14:14" s="487" customFormat="1" ht="15.75" customHeight="1">
      <c r="N873" s="780"/>
    </row>
    <row r="874" spans="14:14" s="487" customFormat="1" ht="15.75" customHeight="1">
      <c r="N874" s="780"/>
    </row>
    <row r="875" spans="14:14" s="487" customFormat="1" ht="15.75" customHeight="1">
      <c r="N875" s="780"/>
    </row>
    <row r="876" spans="14:14" s="487" customFormat="1" ht="15.75" customHeight="1">
      <c r="N876" s="780"/>
    </row>
    <row r="877" spans="14:14" s="487" customFormat="1" ht="15.75" customHeight="1">
      <c r="N877" s="780"/>
    </row>
    <row r="878" spans="14:14" s="487" customFormat="1" ht="15.75" customHeight="1">
      <c r="N878" s="780"/>
    </row>
    <row r="879" spans="14:14" s="487" customFormat="1" ht="15.75" customHeight="1">
      <c r="N879" s="780"/>
    </row>
    <row r="880" spans="14:14" s="487" customFormat="1" ht="15.75" customHeight="1">
      <c r="N880" s="780"/>
    </row>
    <row r="881" spans="14:14" s="487" customFormat="1" ht="15.75" customHeight="1">
      <c r="N881" s="780"/>
    </row>
    <row r="882" spans="14:14" s="487" customFormat="1" ht="15.75" customHeight="1">
      <c r="N882" s="780"/>
    </row>
    <row r="883" spans="14:14" s="487" customFormat="1" ht="15.75" customHeight="1">
      <c r="N883" s="780"/>
    </row>
    <row r="884" spans="14:14" s="487" customFormat="1" ht="15.75" customHeight="1">
      <c r="N884" s="780"/>
    </row>
    <row r="885" spans="14:14" s="487" customFormat="1" ht="15.75" customHeight="1">
      <c r="N885" s="780"/>
    </row>
    <row r="886" spans="14:14" s="487" customFormat="1" ht="15.75" customHeight="1">
      <c r="N886" s="780"/>
    </row>
    <row r="887" spans="14:14" s="487" customFormat="1" ht="15.75" customHeight="1">
      <c r="N887" s="780"/>
    </row>
    <row r="888" spans="14:14" s="487" customFormat="1" ht="15.75" customHeight="1">
      <c r="N888" s="780"/>
    </row>
    <row r="889" spans="14:14" s="487" customFormat="1" ht="15.75" customHeight="1">
      <c r="N889" s="780"/>
    </row>
    <row r="890" spans="14:14" s="487" customFormat="1" ht="15.75" customHeight="1">
      <c r="N890" s="780"/>
    </row>
    <row r="891" spans="14:14" s="487" customFormat="1" ht="15.75" customHeight="1">
      <c r="N891" s="780"/>
    </row>
    <row r="892" spans="14:14" s="487" customFormat="1" ht="15.75" customHeight="1">
      <c r="N892" s="780"/>
    </row>
    <row r="893" spans="14:14" s="487" customFormat="1" ht="15.75" customHeight="1">
      <c r="N893" s="780"/>
    </row>
    <row r="894" spans="14:14" s="487" customFormat="1" ht="15.75" customHeight="1">
      <c r="N894" s="780"/>
    </row>
    <row r="895" spans="14:14" s="487" customFormat="1" ht="15.75" customHeight="1">
      <c r="N895" s="780"/>
    </row>
    <row r="896" spans="14:14" s="487" customFormat="1" ht="15.75" customHeight="1">
      <c r="N896" s="780"/>
    </row>
    <row r="897" spans="14:14" s="487" customFormat="1" ht="15.75" customHeight="1">
      <c r="N897" s="780"/>
    </row>
    <row r="898" spans="14:14" s="487" customFormat="1" ht="15.75" customHeight="1">
      <c r="N898" s="780"/>
    </row>
    <row r="899" spans="14:14" s="487" customFormat="1" ht="15.75" customHeight="1">
      <c r="N899" s="780"/>
    </row>
    <row r="900" spans="14:14" s="487" customFormat="1" ht="15.75" customHeight="1">
      <c r="N900" s="780"/>
    </row>
    <row r="901" spans="14:14" s="487" customFormat="1" ht="15.75" customHeight="1">
      <c r="N901" s="780"/>
    </row>
    <row r="902" spans="14:14" s="487" customFormat="1" ht="15.75" customHeight="1">
      <c r="N902" s="780"/>
    </row>
    <row r="903" spans="14:14" s="487" customFormat="1" ht="15.75" customHeight="1">
      <c r="N903" s="780"/>
    </row>
    <row r="904" spans="14:14" s="487" customFormat="1" ht="15.75" customHeight="1">
      <c r="N904" s="780"/>
    </row>
    <row r="905" spans="14:14" s="487" customFormat="1" ht="15.75" customHeight="1">
      <c r="N905" s="780"/>
    </row>
    <row r="906" spans="14:14" s="487" customFormat="1" ht="15.75" customHeight="1">
      <c r="N906" s="780"/>
    </row>
    <row r="907" spans="14:14" s="487" customFormat="1" ht="15.75" customHeight="1">
      <c r="N907" s="780"/>
    </row>
    <row r="908" spans="14:14" s="487" customFormat="1" ht="15.75" customHeight="1">
      <c r="N908" s="780"/>
    </row>
    <row r="909" spans="14:14" s="487" customFormat="1" ht="15.75" customHeight="1">
      <c r="N909" s="780"/>
    </row>
    <row r="910" spans="14:14" s="487" customFormat="1" ht="15.75" customHeight="1">
      <c r="N910" s="780"/>
    </row>
    <row r="911" spans="14:14" s="487" customFormat="1" ht="15.75" customHeight="1">
      <c r="N911" s="780"/>
    </row>
    <row r="912" spans="14:14" s="487" customFormat="1" ht="15.75" customHeight="1">
      <c r="N912" s="780"/>
    </row>
    <row r="913" spans="14:14" s="487" customFormat="1" ht="15.75" customHeight="1">
      <c r="N913" s="780"/>
    </row>
    <row r="914" spans="14:14" s="487" customFormat="1" ht="15.75" customHeight="1">
      <c r="N914" s="780"/>
    </row>
    <row r="915" spans="14:14" s="487" customFormat="1" ht="15.75" customHeight="1">
      <c r="N915" s="780"/>
    </row>
    <row r="916" spans="14:14" s="487" customFormat="1" ht="15.75" customHeight="1">
      <c r="N916" s="780"/>
    </row>
    <row r="917" spans="14:14" s="487" customFormat="1" ht="15.75" customHeight="1">
      <c r="N917" s="780"/>
    </row>
    <row r="918" spans="14:14" s="487" customFormat="1" ht="15.75" customHeight="1">
      <c r="N918" s="780"/>
    </row>
    <row r="919" spans="14:14" s="487" customFormat="1" ht="15.75" customHeight="1">
      <c r="N919" s="780"/>
    </row>
    <row r="920" spans="14:14" s="487" customFormat="1" ht="15.75" customHeight="1">
      <c r="N920" s="780"/>
    </row>
    <row r="921" spans="14:14" s="487" customFormat="1" ht="15.75" customHeight="1">
      <c r="N921" s="780"/>
    </row>
    <row r="922" spans="14:14" s="487" customFormat="1" ht="15.75" customHeight="1">
      <c r="N922" s="780"/>
    </row>
    <row r="923" spans="14:14" s="487" customFormat="1" ht="15.75" customHeight="1">
      <c r="N923" s="780"/>
    </row>
    <row r="924" spans="14:14" s="487" customFormat="1" ht="15.75" customHeight="1">
      <c r="N924" s="780"/>
    </row>
    <row r="925" spans="14:14" s="487" customFormat="1" ht="15.75" customHeight="1">
      <c r="N925" s="780"/>
    </row>
    <row r="926" spans="14:14" s="487" customFormat="1" ht="15.75" customHeight="1">
      <c r="N926" s="780"/>
    </row>
    <row r="927" spans="14:14" s="487" customFormat="1" ht="15.75" customHeight="1">
      <c r="N927" s="780"/>
    </row>
    <row r="928" spans="14:14" s="487" customFormat="1" ht="15.75" customHeight="1">
      <c r="N928" s="780"/>
    </row>
    <row r="929" spans="14:14" s="487" customFormat="1" ht="15.75" customHeight="1">
      <c r="N929" s="780"/>
    </row>
    <row r="930" spans="14:14" s="487" customFormat="1" ht="15.75" customHeight="1">
      <c r="N930" s="780"/>
    </row>
    <row r="931" spans="14:14" s="487" customFormat="1" ht="15.75" customHeight="1">
      <c r="N931" s="780"/>
    </row>
    <row r="932" spans="14:14" s="487" customFormat="1" ht="15.75" customHeight="1">
      <c r="N932" s="780"/>
    </row>
    <row r="933" spans="14:14" s="487" customFormat="1" ht="15.75" customHeight="1">
      <c r="N933" s="780"/>
    </row>
    <row r="934" spans="14:14" s="487" customFormat="1" ht="15.75" customHeight="1">
      <c r="N934" s="780"/>
    </row>
    <row r="935" spans="14:14" s="487" customFormat="1" ht="15.75" customHeight="1">
      <c r="N935" s="780"/>
    </row>
    <row r="936" spans="14:14" s="487" customFormat="1" ht="15.75" customHeight="1">
      <c r="N936" s="780"/>
    </row>
    <row r="937" spans="14:14" s="487" customFormat="1" ht="15.75" customHeight="1">
      <c r="N937" s="780"/>
    </row>
    <row r="938" spans="14:14" s="487" customFormat="1" ht="15.75" customHeight="1">
      <c r="N938" s="780"/>
    </row>
    <row r="939" spans="14:14" s="487" customFormat="1" ht="15.75" customHeight="1">
      <c r="N939" s="780"/>
    </row>
    <row r="940" spans="14:14" s="487" customFormat="1" ht="15.75" customHeight="1">
      <c r="N940" s="780"/>
    </row>
    <row r="941" spans="14:14" s="487" customFormat="1" ht="15.75" customHeight="1">
      <c r="N941" s="780"/>
    </row>
    <row r="942" spans="14:14" s="487" customFormat="1" ht="15.75" customHeight="1">
      <c r="N942" s="780"/>
    </row>
    <row r="943" spans="14:14" s="487" customFormat="1" ht="15.75" customHeight="1">
      <c r="N943" s="780"/>
    </row>
    <row r="944" spans="14:14" s="487" customFormat="1" ht="15.75" customHeight="1">
      <c r="N944" s="780"/>
    </row>
    <row r="945" spans="14:14" s="487" customFormat="1" ht="15.75" customHeight="1">
      <c r="N945" s="780"/>
    </row>
    <row r="946" spans="14:14" s="487" customFormat="1" ht="15.75" customHeight="1">
      <c r="N946" s="780"/>
    </row>
    <row r="947" spans="14:14" s="487" customFormat="1" ht="15.75" customHeight="1">
      <c r="N947" s="780"/>
    </row>
    <row r="948" spans="14:14" s="487" customFormat="1" ht="15.75" customHeight="1">
      <c r="N948" s="780"/>
    </row>
    <row r="949" spans="14:14" s="487" customFormat="1" ht="15.75" customHeight="1">
      <c r="N949" s="780"/>
    </row>
    <row r="950" spans="14:14" s="487" customFormat="1" ht="15.75" customHeight="1">
      <c r="N950" s="780"/>
    </row>
    <row r="951" spans="14:14" s="487" customFormat="1" ht="15.75" customHeight="1">
      <c r="N951" s="780"/>
    </row>
    <row r="952" spans="14:14" s="487" customFormat="1" ht="15.75" customHeight="1">
      <c r="N952" s="780"/>
    </row>
    <row r="953" spans="14:14" s="487" customFormat="1" ht="15.75" customHeight="1">
      <c r="N953" s="780"/>
    </row>
    <row r="954" spans="14:14" s="487" customFormat="1" ht="15.75" customHeight="1">
      <c r="N954" s="780"/>
    </row>
    <row r="955" spans="14:14" s="487" customFormat="1" ht="15.75" customHeight="1">
      <c r="N955" s="780"/>
    </row>
    <row r="956" spans="14:14" s="487" customFormat="1" ht="15.75" customHeight="1">
      <c r="N956" s="780"/>
    </row>
    <row r="957" spans="14:14" s="487" customFormat="1" ht="15.75" customHeight="1">
      <c r="N957" s="780"/>
    </row>
    <row r="958" spans="14:14" s="487" customFormat="1" ht="15.75" customHeight="1">
      <c r="N958" s="780"/>
    </row>
    <row r="959" spans="14:14" s="487" customFormat="1" ht="15.75" customHeight="1">
      <c r="N959" s="780"/>
    </row>
    <row r="960" spans="14:14" s="487" customFormat="1" ht="15.75" customHeight="1">
      <c r="N960" s="780"/>
    </row>
    <row r="961" spans="14:14" s="487" customFormat="1" ht="15.75" customHeight="1">
      <c r="N961" s="780"/>
    </row>
    <row r="962" spans="14:14" s="487" customFormat="1" ht="15.75" customHeight="1">
      <c r="N962" s="780"/>
    </row>
    <row r="963" spans="14:14" s="487" customFormat="1" ht="15.75" customHeight="1">
      <c r="N963" s="780"/>
    </row>
    <row r="964" spans="14:14" s="487" customFormat="1" ht="15.75" customHeight="1">
      <c r="N964" s="780"/>
    </row>
    <row r="965" spans="14:14" s="487" customFormat="1" ht="15.75" customHeight="1">
      <c r="N965" s="780"/>
    </row>
    <row r="966" spans="14:14" s="487" customFormat="1" ht="15.75" customHeight="1">
      <c r="N966" s="780"/>
    </row>
    <row r="967" spans="14:14" s="487" customFormat="1" ht="15.75" customHeight="1">
      <c r="N967" s="780"/>
    </row>
    <row r="968" spans="14:14" s="487" customFormat="1" ht="15.75" customHeight="1">
      <c r="N968" s="780"/>
    </row>
    <row r="969" spans="14:14" s="487" customFormat="1" ht="15.75" customHeight="1">
      <c r="N969" s="780"/>
    </row>
    <row r="970" spans="14:14" s="487" customFormat="1" ht="15.75" customHeight="1">
      <c r="N970" s="780"/>
    </row>
    <row r="971" spans="14:14" s="487" customFormat="1" ht="15.75" customHeight="1">
      <c r="N971" s="780"/>
    </row>
    <row r="972" spans="14:14" s="487" customFormat="1" ht="15.75" customHeight="1">
      <c r="N972" s="780"/>
    </row>
    <row r="973" spans="14:14" s="487" customFormat="1" ht="15.75" customHeight="1">
      <c r="N973" s="780"/>
    </row>
    <row r="974" spans="14:14" s="487" customFormat="1" ht="15.75" customHeight="1">
      <c r="N974" s="780"/>
    </row>
    <row r="975" spans="14:14" s="487" customFormat="1" ht="15.75" customHeight="1">
      <c r="N975" s="780"/>
    </row>
    <row r="976" spans="14:14" s="487" customFormat="1" ht="15.75" customHeight="1">
      <c r="N976" s="780"/>
    </row>
    <row r="977" spans="14:14" s="487" customFormat="1" ht="15.75" customHeight="1">
      <c r="N977" s="780"/>
    </row>
    <row r="978" spans="14:14" s="487" customFormat="1" ht="15.75" customHeight="1">
      <c r="N978" s="780"/>
    </row>
    <row r="979" spans="14:14" s="487" customFormat="1" ht="15.75" customHeight="1">
      <c r="N979" s="780"/>
    </row>
    <row r="980" spans="14:14" s="487" customFormat="1" ht="15.75" customHeight="1">
      <c r="N980" s="780"/>
    </row>
    <row r="981" spans="14:14" s="487" customFormat="1" ht="15.75" customHeight="1">
      <c r="N981" s="780"/>
    </row>
    <row r="982" spans="14:14" s="487" customFormat="1" ht="15.75" customHeight="1">
      <c r="N982" s="780"/>
    </row>
    <row r="983" spans="14:14" s="487" customFormat="1" ht="15.75" customHeight="1">
      <c r="N983" s="780"/>
    </row>
    <row r="984" spans="14:14" s="487" customFormat="1" ht="15.75" customHeight="1">
      <c r="N984" s="780"/>
    </row>
    <row r="985" spans="14:14" s="487" customFormat="1" ht="15.75" customHeight="1">
      <c r="N985" s="780"/>
    </row>
    <row r="986" spans="14:14" s="487" customFormat="1" ht="15.75" customHeight="1">
      <c r="N986" s="780"/>
    </row>
    <row r="987" spans="14:14" s="487" customFormat="1" ht="15.75" customHeight="1">
      <c r="N987" s="780"/>
    </row>
    <row r="988" spans="14:14" s="487" customFormat="1" ht="15.75" customHeight="1">
      <c r="N988" s="780"/>
    </row>
    <row r="989" spans="14:14" s="487" customFormat="1" ht="15.75" customHeight="1">
      <c r="N989" s="780"/>
    </row>
    <row r="990" spans="14:14" s="487" customFormat="1" ht="15.75" customHeight="1">
      <c r="N990" s="780"/>
    </row>
    <row r="991" spans="14:14" s="487" customFormat="1" ht="15.75" customHeight="1">
      <c r="N991" s="780"/>
    </row>
    <row r="992" spans="14:14" s="487" customFormat="1" ht="15.75" customHeight="1">
      <c r="N992" s="780"/>
    </row>
    <row r="993" spans="14:14" s="487" customFormat="1" ht="15.75" customHeight="1">
      <c r="N993" s="780"/>
    </row>
    <row r="994" spans="14:14" s="487" customFormat="1" ht="15.75" customHeight="1">
      <c r="N994" s="780"/>
    </row>
    <row r="995" spans="14:14" s="487" customFormat="1" ht="15.75" customHeight="1">
      <c r="N995" s="780"/>
    </row>
    <row r="996" spans="14:14" s="487" customFormat="1" ht="15.75" customHeight="1">
      <c r="N996" s="780"/>
    </row>
    <row r="997" spans="14:14" s="487" customFormat="1" ht="15.75" customHeight="1">
      <c r="N997" s="780"/>
    </row>
    <row r="998" spans="14:14" s="487" customFormat="1" ht="15.75" customHeight="1">
      <c r="N998" s="780"/>
    </row>
    <row r="999" spans="14:14" s="487" customFormat="1" ht="15.75" customHeight="1">
      <c r="N999" s="780"/>
    </row>
    <row r="1000" spans="14:14" s="487" customFormat="1" ht="15.75" customHeight="1">
      <c r="N1000" s="780"/>
    </row>
    <row r="1001" spans="14:14" s="487" customFormat="1" ht="15.75" customHeight="1">
      <c r="N1001" s="780"/>
    </row>
    <row r="1002" spans="14:14" s="487" customFormat="1" ht="15.75" customHeight="1">
      <c r="N1002" s="780"/>
    </row>
    <row r="1003" spans="14:14" s="487" customFormat="1" ht="15.75" customHeight="1">
      <c r="N1003" s="780"/>
    </row>
    <row r="1004" spans="14:14" s="487" customFormat="1" ht="15.75" customHeight="1">
      <c r="N1004" s="780"/>
    </row>
    <row r="1005" spans="14:14" s="487" customFormat="1" ht="15.75" customHeight="1">
      <c r="N1005" s="780"/>
    </row>
    <row r="1006" spans="14:14" s="487" customFormat="1" ht="15.75" customHeight="1">
      <c r="N1006" s="780"/>
    </row>
    <row r="1007" spans="14:14" s="487" customFormat="1" ht="15.75" customHeight="1">
      <c r="N1007" s="780"/>
    </row>
    <row r="1008" spans="14:14" s="487" customFormat="1" ht="15.75" customHeight="1">
      <c r="N1008" s="780"/>
    </row>
    <row r="1009" spans="14:14" s="487" customFormat="1" ht="15.75" customHeight="1">
      <c r="N1009" s="780"/>
    </row>
    <row r="1010" spans="14:14" s="487" customFormat="1" ht="15.75" customHeight="1">
      <c r="N1010" s="780"/>
    </row>
    <row r="1011" spans="14:14" s="487" customFormat="1" ht="15.75" customHeight="1">
      <c r="N1011" s="780"/>
    </row>
    <row r="1012" spans="14:14" s="487" customFormat="1" ht="15.75" customHeight="1">
      <c r="N1012" s="780"/>
    </row>
    <row r="1013" spans="14:14" s="487" customFormat="1" ht="15.75" customHeight="1">
      <c r="N1013" s="780"/>
    </row>
    <row r="1014" spans="14:14" s="487" customFormat="1" ht="15.75" customHeight="1">
      <c r="N1014" s="780"/>
    </row>
    <row r="1015" spans="14:14" s="487" customFormat="1" ht="15.75" customHeight="1">
      <c r="N1015" s="780"/>
    </row>
    <row r="1016" spans="14:14" s="487" customFormat="1" ht="15.75" customHeight="1">
      <c r="N1016" s="780"/>
    </row>
    <row r="1017" spans="14:14" s="487" customFormat="1" ht="15.75" customHeight="1">
      <c r="N1017" s="780"/>
    </row>
    <row r="1018" spans="14:14" s="487" customFormat="1" ht="15.75" customHeight="1">
      <c r="N1018" s="780"/>
    </row>
    <row r="1019" spans="14:14" s="487" customFormat="1" ht="15.75" customHeight="1">
      <c r="N1019" s="780"/>
    </row>
    <row r="1020" spans="14:14" s="487" customFormat="1" ht="15.75" customHeight="1">
      <c r="N1020" s="780"/>
    </row>
    <row r="1021" spans="14:14" s="487" customFormat="1" ht="15.75" customHeight="1">
      <c r="N1021" s="780"/>
    </row>
    <row r="1022" spans="14:14" s="487" customFormat="1" ht="15.75" customHeight="1">
      <c r="N1022" s="780"/>
    </row>
    <row r="1023" spans="14:14" s="487" customFormat="1" ht="15.75" customHeight="1">
      <c r="N1023" s="780"/>
    </row>
    <row r="1024" spans="14:14" s="487" customFormat="1" ht="15.75" customHeight="1">
      <c r="N1024" s="780"/>
    </row>
    <row r="1025" spans="14:14" s="487" customFormat="1" ht="15.75" customHeight="1">
      <c r="N1025" s="780"/>
    </row>
    <row r="1026" spans="14:14" s="487" customFormat="1" ht="15.75" customHeight="1">
      <c r="N1026" s="780"/>
    </row>
    <row r="1027" spans="14:14" s="487" customFormat="1" ht="15.75" customHeight="1">
      <c r="N1027" s="780"/>
    </row>
    <row r="1028" spans="14:14" s="487" customFormat="1" ht="15.75" customHeight="1">
      <c r="N1028" s="780"/>
    </row>
    <row r="1029" spans="14:14" s="487" customFormat="1" ht="15.75" customHeight="1">
      <c r="N1029" s="780"/>
    </row>
    <row r="1030" spans="14:14" s="487" customFormat="1" ht="15.75" customHeight="1">
      <c r="N1030" s="780"/>
    </row>
    <row r="1031" spans="14:14" s="487" customFormat="1" ht="15.75" customHeight="1">
      <c r="N1031" s="780"/>
    </row>
    <row r="1032" spans="14:14" s="487" customFormat="1" ht="15.75" customHeight="1">
      <c r="N1032" s="780"/>
    </row>
    <row r="1033" spans="14:14" s="487" customFormat="1" ht="15.75" customHeight="1">
      <c r="N1033" s="780"/>
    </row>
    <row r="1034" spans="14:14" s="487" customFormat="1" ht="15.75" customHeight="1">
      <c r="N1034" s="780"/>
    </row>
    <row r="1035" spans="14:14" s="487" customFormat="1" ht="15.75" customHeight="1">
      <c r="N1035" s="780"/>
    </row>
    <row r="1036" spans="14:14" s="487" customFormat="1" ht="15.75" customHeight="1">
      <c r="N1036" s="780"/>
    </row>
    <row r="1037" spans="14:14" s="487" customFormat="1" ht="15.75" customHeight="1">
      <c r="N1037" s="780"/>
    </row>
    <row r="1038" spans="14:14" s="487" customFormat="1" ht="15.75" customHeight="1">
      <c r="N1038" s="780"/>
    </row>
    <row r="1039" spans="14:14" s="487" customFormat="1" ht="15.75" customHeight="1">
      <c r="N1039" s="780"/>
    </row>
    <row r="1040" spans="14:14" s="487" customFormat="1" ht="15.75" customHeight="1">
      <c r="N1040" s="780"/>
    </row>
    <row r="1041" spans="14:14" s="487" customFormat="1" ht="15.75" customHeight="1">
      <c r="N1041" s="780"/>
    </row>
    <row r="1042" spans="14:14" s="487" customFormat="1" ht="15.75" customHeight="1">
      <c r="N1042" s="780"/>
    </row>
    <row r="1043" spans="14:14" s="487" customFormat="1" ht="15.75" customHeight="1">
      <c r="N1043" s="780"/>
    </row>
    <row r="1044" spans="14:14" s="487" customFormat="1" ht="15.75" customHeight="1">
      <c r="N1044" s="780"/>
    </row>
    <row r="1045" spans="14:14" s="487" customFormat="1" ht="15.75" customHeight="1">
      <c r="N1045" s="780"/>
    </row>
    <row r="1046" spans="14:14" s="487" customFormat="1" ht="15.75" customHeight="1">
      <c r="N1046" s="780"/>
    </row>
    <row r="1047" spans="14:14" s="487" customFormat="1" ht="15.75" customHeight="1">
      <c r="N1047" s="780"/>
    </row>
    <row r="1048" spans="14:14" s="487" customFormat="1" ht="15.75" customHeight="1">
      <c r="N1048" s="780"/>
    </row>
    <row r="1049" spans="14:14" s="487" customFormat="1" ht="15.75" customHeight="1">
      <c r="N1049" s="780"/>
    </row>
    <row r="1050" spans="14:14" s="487" customFormat="1" ht="15.75" customHeight="1">
      <c r="N1050" s="780"/>
    </row>
    <row r="1051" spans="14:14" s="487" customFormat="1" ht="15.75" customHeight="1">
      <c r="N1051" s="780"/>
    </row>
    <row r="1052" spans="14:14" s="487" customFormat="1" ht="15.75" customHeight="1">
      <c r="N1052" s="780"/>
    </row>
    <row r="1053" spans="14:14" s="487" customFormat="1" ht="15.75" customHeight="1">
      <c r="N1053" s="780"/>
    </row>
    <row r="1054" spans="14:14" s="487" customFormat="1" ht="15.75" customHeight="1">
      <c r="N1054" s="780"/>
    </row>
    <row r="1055" spans="14:14" s="487" customFormat="1" ht="15.75" customHeight="1">
      <c r="N1055" s="780"/>
    </row>
    <row r="1056" spans="14:14" s="487" customFormat="1" ht="15.75" customHeight="1">
      <c r="N1056" s="780"/>
    </row>
    <row r="1057" spans="14:14" s="487" customFormat="1" ht="15.75" customHeight="1">
      <c r="N1057" s="780"/>
    </row>
    <row r="1058" spans="14:14" s="487" customFormat="1" ht="15.75" customHeight="1">
      <c r="N1058" s="780"/>
    </row>
    <row r="1059" spans="14:14" s="487" customFormat="1" ht="15.75" customHeight="1">
      <c r="N1059" s="780"/>
    </row>
    <row r="1060" spans="14:14" s="487" customFormat="1" ht="15.75" customHeight="1">
      <c r="N1060" s="780"/>
    </row>
    <row r="1061" spans="14:14" s="487" customFormat="1" ht="15.75" customHeight="1">
      <c r="N1061" s="780"/>
    </row>
    <row r="1062" spans="14:14" s="487" customFormat="1" ht="15.75" customHeight="1">
      <c r="N1062" s="780"/>
    </row>
    <row r="1063" spans="14:14" s="487" customFormat="1" ht="15.75" customHeight="1">
      <c r="N1063" s="780"/>
    </row>
    <row r="1064" spans="14:14" s="487" customFormat="1" ht="15.75" customHeight="1">
      <c r="N1064" s="780"/>
    </row>
    <row r="1065" spans="14:14" s="487" customFormat="1" ht="15.75" customHeight="1">
      <c r="N1065" s="780"/>
    </row>
    <row r="1066" spans="14:14" s="487" customFormat="1" ht="15.75" customHeight="1">
      <c r="N1066" s="780"/>
    </row>
    <row r="1067" spans="14:14" s="487" customFormat="1" ht="15.75" customHeight="1">
      <c r="N1067" s="780"/>
    </row>
    <row r="1068" spans="14:14" s="487" customFormat="1" ht="15.75" customHeight="1">
      <c r="N1068" s="780"/>
    </row>
    <row r="1069" spans="14:14" s="487" customFormat="1" ht="15.75" customHeight="1">
      <c r="N1069" s="780"/>
    </row>
    <row r="1070" spans="14:14" s="487" customFormat="1" ht="15.75" customHeight="1">
      <c r="N1070" s="780"/>
    </row>
    <row r="1071" spans="14:14" s="487" customFormat="1" ht="15.75" customHeight="1">
      <c r="N1071" s="780"/>
    </row>
    <row r="1072" spans="14:14" s="487" customFormat="1" ht="15.75" customHeight="1">
      <c r="N1072" s="780"/>
    </row>
    <row r="1073" spans="14:14" s="487" customFormat="1" ht="15.75" customHeight="1">
      <c r="N1073" s="780"/>
    </row>
    <row r="1074" spans="14:14" s="487" customFormat="1" ht="15.75" customHeight="1">
      <c r="N1074" s="780"/>
    </row>
    <row r="1075" spans="14:14" s="487" customFormat="1" ht="15.75" customHeight="1">
      <c r="N1075" s="780"/>
    </row>
    <row r="1076" spans="14:14" s="487" customFormat="1" ht="15.75" customHeight="1">
      <c r="N1076" s="780"/>
    </row>
    <row r="1077" spans="14:14" s="487" customFormat="1" ht="15.75" customHeight="1">
      <c r="N1077" s="780"/>
    </row>
    <row r="1078" spans="14:14" s="487" customFormat="1" ht="15.75" customHeight="1">
      <c r="N1078" s="780"/>
    </row>
    <row r="1079" spans="14:14" s="487" customFormat="1" ht="15.75" customHeight="1">
      <c r="N1079" s="780"/>
    </row>
    <row r="1080" spans="14:14" s="487" customFormat="1" ht="15.75" customHeight="1">
      <c r="N1080" s="780"/>
    </row>
    <row r="1081" spans="14:14" s="487" customFormat="1" ht="15.75" customHeight="1">
      <c r="N1081" s="780"/>
    </row>
    <row r="1082" spans="14:14" s="487" customFormat="1" ht="15.75" customHeight="1">
      <c r="N1082" s="780"/>
    </row>
    <row r="1083" spans="14:14" s="487" customFormat="1" ht="15.75" customHeight="1">
      <c r="N1083" s="780"/>
    </row>
    <row r="1084" spans="14:14" s="487" customFormat="1" ht="15.75" customHeight="1">
      <c r="N1084" s="780"/>
    </row>
    <row r="1085" spans="14:14" s="487" customFormat="1" ht="15.75" customHeight="1">
      <c r="N1085" s="780"/>
    </row>
    <row r="1086" spans="14:14" s="487" customFormat="1" ht="15.75" customHeight="1">
      <c r="N1086" s="780"/>
    </row>
    <row r="1087" spans="14:14" s="487" customFormat="1" ht="15.75" customHeight="1">
      <c r="N1087" s="780"/>
    </row>
    <row r="1088" spans="14:14" s="487" customFormat="1" ht="15.75" customHeight="1">
      <c r="N1088" s="780"/>
    </row>
    <row r="1089" spans="14:14" s="487" customFormat="1" ht="15.75" customHeight="1">
      <c r="N1089" s="780"/>
    </row>
    <row r="1090" spans="14:14" s="487" customFormat="1" ht="15.75" customHeight="1">
      <c r="N1090" s="780"/>
    </row>
    <row r="1091" spans="14:14" s="487" customFormat="1" ht="15.75" customHeight="1">
      <c r="N1091" s="780"/>
    </row>
    <row r="1092" spans="14:14" s="487" customFormat="1" ht="15.75" customHeight="1">
      <c r="N1092" s="780"/>
    </row>
    <row r="1093" spans="14:14" s="487" customFormat="1" ht="15.75" customHeight="1">
      <c r="N1093" s="780"/>
    </row>
    <row r="1094" spans="14:14" s="487" customFormat="1" ht="15.75" customHeight="1">
      <c r="N1094" s="780"/>
    </row>
    <row r="1095" spans="14:14" s="487" customFormat="1" ht="15.75" customHeight="1">
      <c r="N1095" s="780"/>
    </row>
    <row r="1096" spans="14:14" s="487" customFormat="1" ht="15.75" customHeight="1">
      <c r="N1096" s="780"/>
    </row>
    <row r="1097" spans="14:14" s="487" customFormat="1" ht="15.75" customHeight="1">
      <c r="N1097" s="780"/>
    </row>
    <row r="1098" spans="14:14" s="487" customFormat="1" ht="15.75" customHeight="1">
      <c r="N1098" s="780"/>
    </row>
    <row r="1099" spans="14:14" s="487" customFormat="1" ht="15.75" customHeight="1">
      <c r="N1099" s="780"/>
    </row>
    <row r="1100" spans="14:14" s="487" customFormat="1" ht="15.75" customHeight="1">
      <c r="N1100" s="780"/>
    </row>
    <row r="1101" spans="14:14" s="487" customFormat="1" ht="15.75" customHeight="1">
      <c r="N1101" s="780"/>
    </row>
    <row r="1102" spans="14:14" s="487" customFormat="1" ht="15.75" customHeight="1">
      <c r="N1102" s="780"/>
    </row>
    <row r="1103" spans="14:14" s="487" customFormat="1" ht="15.75" customHeight="1">
      <c r="N1103" s="780"/>
    </row>
    <row r="1104" spans="14:14" s="487" customFormat="1" ht="15.75" customHeight="1">
      <c r="N1104" s="780"/>
    </row>
    <row r="1105" spans="14:14" s="487" customFormat="1" ht="15.75" customHeight="1">
      <c r="N1105" s="780"/>
    </row>
    <row r="1106" spans="14:14" s="487" customFormat="1" ht="15.75" customHeight="1">
      <c r="N1106" s="780"/>
    </row>
    <row r="1107" spans="14:14" s="487" customFormat="1" ht="15.75" customHeight="1">
      <c r="N1107" s="780"/>
    </row>
    <row r="1108" spans="14:14" s="487" customFormat="1" ht="15.75" customHeight="1">
      <c r="N1108" s="780"/>
    </row>
    <row r="1109" spans="14:14" s="487" customFormat="1" ht="15.75" customHeight="1">
      <c r="N1109" s="780"/>
    </row>
    <row r="1110" spans="14:14" s="487" customFormat="1" ht="15.75" customHeight="1">
      <c r="N1110" s="780"/>
    </row>
    <row r="1111" spans="14:14" s="487" customFormat="1" ht="15.75" customHeight="1">
      <c r="N1111" s="780"/>
    </row>
    <row r="1112" spans="14:14" s="487" customFormat="1" ht="15.75" customHeight="1">
      <c r="N1112" s="780"/>
    </row>
    <row r="1113" spans="14:14" s="487" customFormat="1" ht="15.75" customHeight="1">
      <c r="N1113" s="780"/>
    </row>
    <row r="1114" spans="14:14" s="487" customFormat="1" ht="15.75" customHeight="1">
      <c r="N1114" s="780"/>
    </row>
    <row r="1115" spans="14:14" s="487" customFormat="1" ht="15.75" customHeight="1">
      <c r="N1115" s="780"/>
    </row>
    <row r="1116" spans="14:14" s="487" customFormat="1" ht="15.75" customHeight="1">
      <c r="N1116" s="780"/>
    </row>
    <row r="1117" spans="14:14" s="487" customFormat="1" ht="15.75" customHeight="1">
      <c r="N1117" s="780"/>
    </row>
    <row r="1118" spans="14:14" s="487" customFormat="1" ht="15.75" customHeight="1">
      <c r="N1118" s="780"/>
    </row>
    <row r="1119" spans="14:14" s="487" customFormat="1" ht="15.75" customHeight="1">
      <c r="N1119" s="780"/>
    </row>
    <row r="1120" spans="14:14" s="487" customFormat="1" ht="15.75" customHeight="1">
      <c r="N1120" s="780"/>
    </row>
    <row r="1121" spans="14:14" s="487" customFormat="1" ht="15.75" customHeight="1">
      <c r="N1121" s="780"/>
    </row>
    <row r="1122" spans="14:14" s="487" customFormat="1" ht="15.75" customHeight="1">
      <c r="N1122" s="780"/>
    </row>
    <row r="1123" spans="14:14" s="487" customFormat="1" ht="15.75" customHeight="1">
      <c r="N1123" s="780"/>
    </row>
    <row r="1124" spans="14:14" s="487" customFormat="1" ht="15.75" customHeight="1">
      <c r="N1124" s="780"/>
    </row>
    <row r="1125" spans="14:14" s="487" customFormat="1" ht="15.75" customHeight="1">
      <c r="N1125" s="780"/>
    </row>
    <row r="1126" spans="14:14" s="487" customFormat="1" ht="15.75" customHeight="1">
      <c r="N1126" s="780"/>
    </row>
    <row r="1127" spans="14:14" s="487" customFormat="1" ht="15.75" customHeight="1">
      <c r="N1127" s="780"/>
    </row>
    <row r="1128" spans="14:14" s="487" customFormat="1" ht="15.75" customHeight="1">
      <c r="N1128" s="780"/>
    </row>
    <row r="1129" spans="14:14" s="487" customFormat="1" ht="15.75" customHeight="1">
      <c r="N1129" s="780"/>
    </row>
    <row r="1130" spans="14:14" s="487" customFormat="1" ht="15.75" customHeight="1">
      <c r="N1130" s="780"/>
    </row>
    <row r="1131" spans="14:14" s="487" customFormat="1" ht="15.75" customHeight="1">
      <c r="N1131" s="780"/>
    </row>
    <row r="1132" spans="14:14" s="487" customFormat="1" ht="15.75" customHeight="1">
      <c r="N1132" s="780"/>
    </row>
    <row r="1133" spans="14:14" s="487" customFormat="1" ht="15.75" customHeight="1">
      <c r="N1133" s="780"/>
    </row>
    <row r="1134" spans="14:14" s="487" customFormat="1" ht="15.75" customHeight="1">
      <c r="N1134" s="780"/>
    </row>
    <row r="1135" spans="14:14" s="487" customFormat="1" ht="15.75" customHeight="1">
      <c r="N1135" s="780"/>
    </row>
    <row r="1136" spans="14:14" s="487" customFormat="1" ht="15.75" customHeight="1">
      <c r="N1136" s="780"/>
    </row>
    <row r="1137" spans="14:14" s="487" customFormat="1" ht="15.75" customHeight="1">
      <c r="N1137" s="780"/>
    </row>
    <row r="1138" spans="14:14" s="487" customFormat="1" ht="15.75" customHeight="1">
      <c r="N1138" s="780"/>
    </row>
    <row r="1139" spans="14:14" s="487" customFormat="1" ht="15.75" customHeight="1">
      <c r="N1139" s="780"/>
    </row>
    <row r="1140" spans="14:14" s="487" customFormat="1" ht="15.75" customHeight="1">
      <c r="N1140" s="780"/>
    </row>
    <row r="1141" spans="14:14" s="487" customFormat="1" ht="15.75" customHeight="1">
      <c r="N1141" s="780"/>
    </row>
    <row r="1142" spans="14:14" s="487" customFormat="1" ht="15.75" customHeight="1">
      <c r="N1142" s="780"/>
    </row>
    <row r="1143" spans="14:14" s="487" customFormat="1" ht="15.75" customHeight="1">
      <c r="N1143" s="780"/>
    </row>
    <row r="1144" spans="14:14" s="487" customFormat="1" ht="15.75" customHeight="1">
      <c r="N1144" s="780"/>
    </row>
    <row r="1145" spans="14:14" s="487" customFormat="1" ht="15.75" customHeight="1">
      <c r="N1145" s="780"/>
    </row>
    <row r="1146" spans="14:14" s="487" customFormat="1" ht="15.75" customHeight="1">
      <c r="N1146" s="780"/>
    </row>
    <row r="1147" spans="14:14" s="487" customFormat="1" ht="15.75" customHeight="1">
      <c r="N1147" s="780"/>
    </row>
    <row r="1148" spans="14:14" s="487" customFormat="1" ht="15.75" customHeight="1">
      <c r="N1148" s="780"/>
    </row>
    <row r="1149" spans="14:14" s="487" customFormat="1" ht="15.75" customHeight="1">
      <c r="N1149" s="780"/>
    </row>
    <row r="1150" spans="14:14" s="487" customFormat="1" ht="15.75" customHeight="1">
      <c r="N1150" s="780"/>
    </row>
    <row r="1151" spans="14:14" s="487" customFormat="1" ht="15.75" customHeight="1">
      <c r="N1151" s="780"/>
    </row>
    <row r="1152" spans="14:14" s="487" customFormat="1" ht="15.75" customHeight="1">
      <c r="N1152" s="780"/>
    </row>
    <row r="1153" spans="14:14" s="487" customFormat="1" ht="15.75" customHeight="1">
      <c r="N1153" s="780"/>
    </row>
    <row r="1154" spans="14:14" s="487" customFormat="1" ht="15.75" customHeight="1">
      <c r="N1154" s="780"/>
    </row>
    <row r="1155" spans="14:14" s="487" customFormat="1" ht="15.75" customHeight="1">
      <c r="N1155" s="780"/>
    </row>
    <row r="1156" spans="14:14" s="487" customFormat="1" ht="15.75" customHeight="1">
      <c r="N1156" s="780"/>
    </row>
    <row r="1157" spans="14:14" s="487" customFormat="1" ht="15.75" customHeight="1">
      <c r="N1157" s="780"/>
    </row>
    <row r="1158" spans="14:14" s="487" customFormat="1" ht="15.75" customHeight="1">
      <c r="N1158" s="780"/>
    </row>
    <row r="1159" spans="14:14" s="487" customFormat="1" ht="15.75" customHeight="1">
      <c r="N1159" s="780"/>
    </row>
    <row r="1160" spans="14:14" s="487" customFormat="1" ht="15.75" customHeight="1">
      <c r="N1160" s="780"/>
    </row>
    <row r="1161" spans="14:14" s="487" customFormat="1" ht="15.75" customHeight="1">
      <c r="N1161" s="780"/>
    </row>
    <row r="1162" spans="14:14" s="487" customFormat="1" ht="15.75" customHeight="1">
      <c r="N1162" s="780"/>
    </row>
    <row r="1163" spans="14:14" s="487" customFormat="1" ht="15.75" customHeight="1">
      <c r="N1163" s="780"/>
    </row>
    <row r="1164" spans="14:14" s="487" customFormat="1" ht="15.75" customHeight="1">
      <c r="N1164" s="780"/>
    </row>
    <row r="1165" spans="14:14" s="487" customFormat="1" ht="15.75" customHeight="1">
      <c r="N1165" s="780"/>
    </row>
    <row r="1166" spans="14:14" s="487" customFormat="1" ht="15.75" customHeight="1">
      <c r="N1166" s="780"/>
    </row>
    <row r="1167" spans="14:14" s="487" customFormat="1" ht="15.75" customHeight="1">
      <c r="N1167" s="780"/>
    </row>
    <row r="1168" spans="14:14" s="487" customFormat="1" ht="15.75" customHeight="1">
      <c r="N1168" s="780"/>
    </row>
    <row r="1169" spans="14:14" s="487" customFormat="1" ht="15.75" customHeight="1">
      <c r="N1169" s="780"/>
    </row>
    <row r="1170" spans="14:14" s="487" customFormat="1" ht="15.75" customHeight="1">
      <c r="N1170" s="780"/>
    </row>
    <row r="1171" spans="14:14" s="487" customFormat="1" ht="15.75" customHeight="1">
      <c r="N1171" s="780"/>
    </row>
    <row r="1172" spans="14:14" s="487" customFormat="1" ht="15.75" customHeight="1">
      <c r="N1172" s="780"/>
    </row>
    <row r="1173" spans="14:14" s="487" customFormat="1" ht="15.75" customHeight="1">
      <c r="N1173" s="780"/>
    </row>
    <row r="1174" spans="14:14" s="487" customFormat="1" ht="15.75" customHeight="1">
      <c r="N1174" s="780"/>
    </row>
    <row r="1175" spans="14:14" s="487" customFormat="1" ht="15.75" customHeight="1">
      <c r="N1175" s="780"/>
    </row>
    <row r="1176" spans="14:14" s="487" customFormat="1" ht="15.75" customHeight="1">
      <c r="N1176" s="780"/>
    </row>
    <row r="1177" spans="14:14" s="487" customFormat="1" ht="15.75" customHeight="1">
      <c r="N1177" s="780"/>
    </row>
    <row r="1178" spans="14:14" s="487" customFormat="1" ht="15.75" customHeight="1">
      <c r="N1178" s="780"/>
    </row>
    <row r="1179" spans="14:14" s="487" customFormat="1" ht="15.75" customHeight="1">
      <c r="N1179" s="780"/>
    </row>
    <row r="1180" spans="14:14" s="487" customFormat="1" ht="15.75" customHeight="1">
      <c r="N1180" s="780"/>
    </row>
    <row r="1181" spans="14:14" s="487" customFormat="1" ht="15.75" customHeight="1">
      <c r="N1181" s="780"/>
    </row>
    <row r="1182" spans="14:14" s="487" customFormat="1" ht="15.75" customHeight="1">
      <c r="N1182" s="780"/>
    </row>
    <row r="1183" spans="14:14" s="487" customFormat="1" ht="15.75" customHeight="1">
      <c r="N1183" s="780"/>
    </row>
    <row r="1184" spans="14:14" s="487" customFormat="1" ht="15.75" customHeight="1">
      <c r="N1184" s="780"/>
    </row>
    <row r="1185" spans="14:14" s="487" customFormat="1" ht="15.75" customHeight="1">
      <c r="N1185" s="780"/>
    </row>
    <row r="1186" spans="14:14" s="487" customFormat="1" ht="15.75" customHeight="1">
      <c r="N1186" s="780"/>
    </row>
    <row r="1187" spans="14:14" s="487" customFormat="1" ht="15.75" customHeight="1">
      <c r="N1187" s="780"/>
    </row>
    <row r="1188" spans="14:14" s="487" customFormat="1" ht="15.75" customHeight="1">
      <c r="N1188" s="780"/>
    </row>
    <row r="1189" spans="14:14" s="487" customFormat="1" ht="15.75" customHeight="1">
      <c r="N1189" s="780"/>
    </row>
    <row r="1190" spans="14:14" s="487" customFormat="1" ht="15.75" customHeight="1">
      <c r="N1190" s="780"/>
    </row>
    <row r="1191" spans="14:14" s="487" customFormat="1" ht="15.75" customHeight="1">
      <c r="N1191" s="780"/>
    </row>
    <row r="1192" spans="14:14" s="487" customFormat="1" ht="15.75" customHeight="1">
      <c r="N1192" s="780"/>
    </row>
    <row r="1193" spans="14:14" s="487" customFormat="1" ht="15.75" customHeight="1">
      <c r="N1193" s="780"/>
    </row>
    <row r="1194" spans="14:14" s="487" customFormat="1" ht="15.75" customHeight="1">
      <c r="N1194" s="780"/>
    </row>
    <row r="1195" spans="14:14" s="487" customFormat="1" ht="15.75" customHeight="1">
      <c r="N1195" s="780"/>
    </row>
    <row r="1196" spans="14:14" s="487" customFormat="1" ht="15.75" customHeight="1">
      <c r="N1196" s="780"/>
    </row>
    <row r="1197" spans="14:14" s="487" customFormat="1" ht="15.75" customHeight="1">
      <c r="N1197" s="780"/>
    </row>
    <row r="1198" spans="14:14" s="487" customFormat="1" ht="15.75" customHeight="1">
      <c r="N1198" s="780"/>
    </row>
    <row r="1199" spans="14:14" s="487" customFormat="1" ht="15.75" customHeight="1">
      <c r="N1199" s="780"/>
    </row>
    <row r="1200" spans="14:14" s="487" customFormat="1" ht="15.75" customHeight="1">
      <c r="N1200" s="780"/>
    </row>
    <row r="1201" spans="14:14" s="487" customFormat="1" ht="15.75" customHeight="1">
      <c r="N1201" s="780"/>
    </row>
    <row r="1202" spans="14:14" s="487" customFormat="1" ht="15.75" customHeight="1">
      <c r="N1202" s="780"/>
    </row>
    <row r="1203" spans="14:14" s="487" customFormat="1" ht="15.75" customHeight="1">
      <c r="N1203" s="780"/>
    </row>
    <row r="1204" spans="14:14" s="487" customFormat="1" ht="15.75" customHeight="1">
      <c r="N1204" s="780"/>
    </row>
    <row r="1205" spans="14:14" s="487" customFormat="1" ht="15.75" customHeight="1">
      <c r="N1205" s="780"/>
    </row>
    <row r="1206" spans="14:14" s="487" customFormat="1" ht="15.75" customHeight="1">
      <c r="N1206" s="780"/>
    </row>
    <row r="1207" spans="14:14" s="487" customFormat="1" ht="15.75" customHeight="1">
      <c r="N1207" s="780"/>
    </row>
    <row r="1208" spans="14:14" s="487" customFormat="1" ht="15.75" customHeight="1">
      <c r="N1208" s="780"/>
    </row>
    <row r="1209" spans="14:14" s="487" customFormat="1" ht="15.75" customHeight="1">
      <c r="N1209" s="780"/>
    </row>
    <row r="1210" spans="14:14" s="487" customFormat="1" ht="15.75" customHeight="1">
      <c r="N1210" s="780"/>
    </row>
    <row r="1211" spans="14:14" s="487" customFormat="1" ht="15.75" customHeight="1">
      <c r="N1211" s="780"/>
    </row>
    <row r="1212" spans="14:14" s="487" customFormat="1" ht="15.75" customHeight="1">
      <c r="N1212" s="780"/>
    </row>
    <row r="1213" spans="14:14" s="487" customFormat="1" ht="15.75" customHeight="1">
      <c r="N1213" s="780"/>
    </row>
    <row r="1214" spans="14:14" s="487" customFormat="1" ht="15.75" customHeight="1">
      <c r="N1214" s="780"/>
    </row>
    <row r="1215" spans="14:14" s="487" customFormat="1" ht="15.75" customHeight="1">
      <c r="N1215" s="780"/>
    </row>
    <row r="1216" spans="14:14" s="487" customFormat="1" ht="15.75" customHeight="1">
      <c r="N1216" s="780"/>
    </row>
    <row r="1217" spans="14:14" s="487" customFormat="1" ht="15.75" customHeight="1">
      <c r="N1217" s="780"/>
    </row>
    <row r="1218" spans="14:14" s="487" customFormat="1" ht="15.75" customHeight="1">
      <c r="N1218" s="780"/>
    </row>
    <row r="1219" spans="14:14" s="487" customFormat="1" ht="15.75" customHeight="1">
      <c r="N1219" s="780"/>
    </row>
    <row r="1220" spans="14:14" s="487" customFormat="1" ht="15.75" customHeight="1">
      <c r="N1220" s="780"/>
    </row>
    <row r="1221" spans="14:14" s="487" customFormat="1" ht="15.75" customHeight="1">
      <c r="N1221" s="780"/>
    </row>
    <row r="1222" spans="14:14" s="487" customFormat="1" ht="15.75" customHeight="1">
      <c r="N1222" s="780"/>
    </row>
    <row r="1223" spans="14:14" s="487" customFormat="1" ht="15.75" customHeight="1">
      <c r="N1223" s="780"/>
    </row>
    <row r="1224" spans="14:14" s="487" customFormat="1" ht="15.75" customHeight="1">
      <c r="N1224" s="780"/>
    </row>
    <row r="1225" spans="14:14" s="487" customFormat="1" ht="15.75" customHeight="1">
      <c r="N1225" s="780"/>
    </row>
    <row r="1226" spans="14:14" s="487" customFormat="1" ht="15.75" customHeight="1">
      <c r="N1226" s="780"/>
    </row>
    <row r="1227" spans="14:14" s="487" customFormat="1" ht="15.75" customHeight="1">
      <c r="N1227" s="780"/>
    </row>
    <row r="1228" spans="14:14" s="487" customFormat="1" ht="15.75" customHeight="1">
      <c r="N1228" s="780"/>
    </row>
    <row r="1229" spans="14:14" s="487" customFormat="1" ht="15.75" customHeight="1">
      <c r="N1229" s="780"/>
    </row>
    <row r="1230" spans="14:14" s="487" customFormat="1" ht="15.75" customHeight="1">
      <c r="N1230" s="780"/>
    </row>
    <row r="1231" spans="14:14" s="487" customFormat="1" ht="15.75" customHeight="1">
      <c r="N1231" s="780"/>
    </row>
    <row r="1232" spans="14:14" s="487" customFormat="1" ht="15.75" customHeight="1">
      <c r="N1232" s="780"/>
    </row>
    <row r="1233" spans="14:14" s="487" customFormat="1" ht="15.75" customHeight="1">
      <c r="N1233" s="780"/>
    </row>
    <row r="1234" spans="14:14" s="487" customFormat="1" ht="15.75" customHeight="1">
      <c r="N1234" s="780"/>
    </row>
    <row r="1235" spans="14:14" s="487" customFormat="1" ht="15.75" customHeight="1">
      <c r="N1235" s="780"/>
    </row>
    <row r="1236" spans="14:14" ht="15.75" customHeight="1"/>
    <row r="1237" spans="14:14" ht="15.75" customHeight="1"/>
    <row r="1238" spans="14:14" ht="15.75" customHeight="1"/>
    <row r="1239" spans="14:14" ht="15.75" customHeight="1"/>
    <row r="1240" spans="14:14" ht="15.75" customHeight="1"/>
    <row r="1241" spans="14:14" ht="15.75" customHeight="1"/>
    <row r="1242" spans="14:14" ht="15.75" customHeight="1"/>
    <row r="1243" spans="14:14" ht="15.75" customHeight="1"/>
    <row r="1244" spans="14:14" ht="15.75" customHeight="1"/>
    <row r="1245" spans="14:14" ht="15.75" customHeight="1"/>
    <row r="1246" spans="14:14" ht="15.75" customHeight="1"/>
    <row r="1247" spans="14:14" ht="15.75" customHeight="1"/>
    <row r="1248" spans="14:14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</sheetData>
  <pageMargins left="0.7" right="0.45" top="0.75" bottom="0.5" header="0.511811023622047" footer="0.511811023622047"/>
  <pageSetup paperSize="9" scale="67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0000"/>
  </sheetPr>
  <dimension ref="A1:X784"/>
  <sheetViews>
    <sheetView topLeftCell="A3" zoomScale="80" zoomScaleNormal="80" workbookViewId="0">
      <pane ySplit="2" topLeftCell="A5" activePane="bottomLeft" state="frozen"/>
      <selection activeCell="A3" sqref="A3"/>
      <selection pane="bottomLeft" activeCell="Q43" sqref="Q43"/>
    </sheetView>
  </sheetViews>
  <sheetFormatPr baseColWidth="10" defaultColWidth="9.1640625" defaultRowHeight="15"/>
  <cols>
    <col min="1" max="1" width="9.1640625" style="399"/>
    <col min="2" max="2" width="55.5" style="399" customWidth="1"/>
    <col min="3" max="5" width="12.5" style="399" customWidth="1"/>
    <col min="6" max="12" width="10.5" style="399" customWidth="1"/>
    <col min="13" max="13" width="8.5" style="399" customWidth="1"/>
    <col min="14" max="14" width="14.5" style="399" customWidth="1"/>
    <col min="15" max="15" width="6.5" style="399" customWidth="1"/>
    <col min="16" max="16" width="15.5" style="399" customWidth="1"/>
    <col min="17" max="17" width="18.1640625" style="399" customWidth="1"/>
    <col min="18" max="18" width="11.83203125" style="399" customWidth="1"/>
    <col min="19" max="20" width="9.1640625" style="399"/>
    <col min="21" max="21" width="12.1640625" style="399" customWidth="1"/>
    <col min="22" max="24" width="9.1640625" style="399"/>
    <col min="25" max="25" width="12.5" style="399" customWidth="1"/>
    <col min="26" max="16384" width="9.1640625" style="399"/>
  </cols>
  <sheetData>
    <row r="1" spans="1:24" ht="24" customHeight="1">
      <c r="A1" s="739" t="s">
        <v>998</v>
      </c>
      <c r="B1" s="398"/>
      <c r="C1" s="398"/>
      <c r="D1" s="398"/>
      <c r="E1" s="398"/>
      <c r="F1" s="398"/>
      <c r="G1" s="398"/>
      <c r="H1" s="398"/>
      <c r="I1" s="398"/>
      <c r="J1" s="398"/>
      <c r="K1" s="398"/>
      <c r="L1" s="398"/>
      <c r="M1" s="398"/>
      <c r="N1" s="398"/>
      <c r="O1" s="398"/>
      <c r="P1" s="398"/>
      <c r="Q1" s="398"/>
      <c r="R1" s="398"/>
      <c r="S1" s="398"/>
      <c r="T1" s="398"/>
      <c r="U1" s="398"/>
      <c r="V1" s="738"/>
      <c r="W1" s="738"/>
      <c r="X1" s="738"/>
    </row>
    <row r="2" spans="1:24" ht="15.75" customHeight="1">
      <c r="A2" s="398"/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398"/>
      <c r="M2" s="398"/>
      <c r="N2" s="398"/>
      <c r="O2" s="398"/>
      <c r="P2" s="398"/>
      <c r="Q2" s="398"/>
      <c r="R2" s="398"/>
      <c r="S2" s="398"/>
      <c r="T2" s="398"/>
      <c r="U2" s="398"/>
      <c r="V2" s="738"/>
      <c r="W2" s="738"/>
      <c r="X2" s="738"/>
    </row>
    <row r="3" spans="1:24" ht="21.75" customHeight="1">
      <c r="A3" s="3245" t="s">
        <v>1</v>
      </c>
      <c r="B3" s="3246" t="s">
        <v>68</v>
      </c>
      <c r="C3" s="3246" t="s">
        <v>77</v>
      </c>
      <c r="D3" s="3246" t="s">
        <v>78</v>
      </c>
      <c r="E3" s="3246" t="s">
        <v>79</v>
      </c>
      <c r="F3" s="3246" t="s">
        <v>6</v>
      </c>
      <c r="G3" s="3246" t="s">
        <v>999</v>
      </c>
      <c r="H3" s="3246" t="s">
        <v>977</v>
      </c>
      <c r="I3" s="3246" t="s">
        <v>978</v>
      </c>
      <c r="J3" s="3246" t="s">
        <v>1000</v>
      </c>
      <c r="K3" s="3246"/>
      <c r="L3" s="3246" t="s">
        <v>213</v>
      </c>
      <c r="M3" s="3246" t="s">
        <v>80</v>
      </c>
      <c r="N3" s="3246" t="s">
        <v>81</v>
      </c>
      <c r="O3" s="3246" t="s">
        <v>82</v>
      </c>
      <c r="P3" s="3256" t="s">
        <v>83</v>
      </c>
      <c r="Q3" s="398"/>
      <c r="R3" s="398"/>
      <c r="S3" s="398"/>
      <c r="T3" s="398"/>
      <c r="U3" s="398"/>
      <c r="V3" s="738"/>
      <c r="W3" s="738"/>
      <c r="X3" s="738"/>
    </row>
    <row r="4" spans="1:24" ht="21.75" customHeight="1">
      <c r="A4" s="3245"/>
      <c r="B4" s="3246"/>
      <c r="C4" s="3246"/>
      <c r="D4" s="3246"/>
      <c r="E4" s="3246"/>
      <c r="F4" s="3246"/>
      <c r="G4" s="3246"/>
      <c r="H4" s="3246"/>
      <c r="I4" s="3246"/>
      <c r="J4" s="556" t="s">
        <v>1001</v>
      </c>
      <c r="K4" s="556" t="s">
        <v>1002</v>
      </c>
      <c r="L4" s="3246"/>
      <c r="M4" s="3246"/>
      <c r="N4" s="3246"/>
      <c r="O4" s="3246"/>
      <c r="P4" s="3256"/>
      <c r="Q4" s="398"/>
      <c r="R4" s="398"/>
      <c r="S4" s="398"/>
      <c r="T4" s="398"/>
      <c r="U4" s="398"/>
      <c r="V4" s="738"/>
      <c r="W4" s="738"/>
      <c r="X4" s="738"/>
    </row>
    <row r="5" spans="1:24" ht="7.5" customHeight="1">
      <c r="A5" s="398"/>
      <c r="B5" s="398"/>
      <c r="C5" s="398"/>
      <c r="D5" s="398"/>
      <c r="E5" s="398"/>
      <c r="F5" s="398"/>
      <c r="G5" s="398"/>
      <c r="H5" s="398"/>
      <c r="I5" s="398"/>
      <c r="J5" s="398"/>
      <c r="K5" s="398"/>
      <c r="L5" s="398"/>
      <c r="M5" s="398"/>
      <c r="N5" s="398"/>
      <c r="O5" s="398"/>
      <c r="P5" s="781"/>
      <c r="Q5" s="398"/>
      <c r="R5" s="398"/>
      <c r="S5" s="398"/>
      <c r="T5" s="398"/>
      <c r="U5" s="398"/>
      <c r="V5" s="738"/>
      <c r="W5" s="738"/>
      <c r="X5" s="738"/>
    </row>
    <row r="6" spans="1:24" ht="7.5" customHeight="1">
      <c r="A6" s="558"/>
      <c r="B6" s="559"/>
      <c r="C6" s="559"/>
      <c r="D6" s="559"/>
      <c r="E6" s="559"/>
      <c r="F6" s="559"/>
      <c r="G6" s="559"/>
      <c r="H6" s="559"/>
      <c r="I6" s="559"/>
      <c r="J6" s="559"/>
      <c r="K6" s="559"/>
      <c r="L6" s="559"/>
      <c r="M6" s="559"/>
      <c r="N6" s="559"/>
      <c r="O6" s="559"/>
      <c r="P6" s="782"/>
      <c r="Q6" s="398"/>
      <c r="R6" s="398"/>
      <c r="S6" s="398"/>
      <c r="T6" s="398"/>
      <c r="U6" s="398"/>
      <c r="V6" s="738"/>
      <c r="W6" s="738"/>
      <c r="X6" s="738"/>
    </row>
    <row r="7" spans="1:24" ht="15.75" customHeight="1">
      <c r="A7" s="346" t="s">
        <v>1162</v>
      </c>
      <c r="B7" s="561" t="s">
        <v>1163</v>
      </c>
      <c r="C7" s="348"/>
      <c r="D7" s="348"/>
      <c r="E7" s="348"/>
      <c r="F7" s="348"/>
      <c r="G7" s="348"/>
      <c r="H7" s="348"/>
      <c r="I7" s="348"/>
      <c r="J7" s="348"/>
      <c r="K7" s="348"/>
      <c r="L7" s="348"/>
      <c r="M7" s="348"/>
      <c r="N7" s="348"/>
      <c r="O7" s="349"/>
      <c r="P7" s="783"/>
      <c r="Q7" s="398"/>
      <c r="R7" s="398"/>
      <c r="S7" s="398"/>
      <c r="T7" s="398"/>
      <c r="U7" s="398"/>
      <c r="V7" s="738"/>
      <c r="W7" s="738"/>
      <c r="X7" s="738"/>
    </row>
    <row r="8" spans="1:24" ht="15.75" customHeight="1">
      <c r="A8" s="346" t="s">
        <v>1164</v>
      </c>
      <c r="B8" s="561" t="s">
        <v>395</v>
      </c>
      <c r="C8" s="348"/>
      <c r="D8" s="348"/>
      <c r="E8" s="348"/>
      <c r="F8" s="348"/>
      <c r="G8" s="348"/>
      <c r="H8" s="348"/>
      <c r="I8" s="348"/>
      <c r="J8" s="348"/>
      <c r="K8" s="348"/>
      <c r="L8" s="348"/>
      <c r="M8" s="348"/>
      <c r="N8" s="348"/>
      <c r="O8" s="349"/>
      <c r="P8" s="784"/>
      <c r="Q8" s="398"/>
      <c r="R8" s="564"/>
      <c r="S8" s="398"/>
      <c r="T8" s="398"/>
      <c r="U8" s="398"/>
      <c r="V8" s="738"/>
      <c r="W8" s="738"/>
      <c r="X8" s="738"/>
    </row>
    <row r="9" spans="1:24" ht="15.75" customHeight="1">
      <c r="A9" s="350">
        <v>1</v>
      </c>
      <c r="B9" s="359" t="s">
        <v>396</v>
      </c>
      <c r="C9" s="348" t="s">
        <v>1005</v>
      </c>
      <c r="D9" s="348"/>
      <c r="E9" s="348"/>
      <c r="F9" s="348"/>
      <c r="G9" s="348"/>
      <c r="H9" s="348"/>
      <c r="I9" s="348"/>
      <c r="J9" s="348"/>
      <c r="K9" s="348"/>
      <c r="L9" s="348"/>
      <c r="M9" s="348"/>
      <c r="N9" s="348"/>
      <c r="O9" s="349"/>
      <c r="P9" s="784"/>
      <c r="Q9" s="398"/>
      <c r="R9" s="564"/>
      <c r="S9" s="398"/>
      <c r="T9" s="398"/>
      <c r="U9" s="398"/>
      <c r="V9" s="738"/>
      <c r="W9" s="738"/>
      <c r="X9" s="738"/>
    </row>
    <row r="10" spans="1:24" ht="15.75" customHeight="1">
      <c r="A10" s="350"/>
      <c r="B10" s="359"/>
      <c r="C10" s="348">
        <f>8+1</f>
        <v>9</v>
      </c>
      <c r="D10" s="348"/>
      <c r="E10" s="348"/>
      <c r="F10" s="348"/>
      <c r="G10" s="348"/>
      <c r="H10" s="348">
        <v>2</v>
      </c>
      <c r="I10" s="348"/>
      <c r="J10" s="348"/>
      <c r="K10" s="348"/>
      <c r="L10" s="348"/>
      <c r="M10" s="348"/>
      <c r="N10" s="348">
        <f>C10*H10</f>
        <v>18</v>
      </c>
      <c r="O10" s="349"/>
      <c r="P10" s="784"/>
      <c r="Q10" s="398"/>
      <c r="R10" s="564"/>
      <c r="S10" s="398"/>
      <c r="T10" s="398"/>
      <c r="U10" s="398"/>
      <c r="V10" s="738"/>
      <c r="W10" s="738"/>
      <c r="X10" s="738"/>
    </row>
    <row r="11" spans="1:24" ht="15.75" customHeight="1">
      <c r="A11" s="350"/>
      <c r="B11" s="359"/>
      <c r="C11" s="348"/>
      <c r="D11" s="348">
        <f>5+1</f>
        <v>6</v>
      </c>
      <c r="E11" s="348"/>
      <c r="F11" s="348"/>
      <c r="G11" s="348"/>
      <c r="H11" s="348">
        <v>2</v>
      </c>
      <c r="I11" s="348"/>
      <c r="J11" s="348"/>
      <c r="K11" s="348"/>
      <c r="L11" s="348"/>
      <c r="M11" s="348"/>
      <c r="N11" s="565">
        <f>D11*H11</f>
        <v>12</v>
      </c>
      <c r="O11" s="349"/>
      <c r="P11" s="784"/>
      <c r="Q11" s="398"/>
      <c r="R11" s="564"/>
      <c r="S11" s="398"/>
      <c r="T11" s="398"/>
      <c r="U11" s="398"/>
      <c r="V11" s="738"/>
      <c r="W11" s="738"/>
      <c r="X11" s="738"/>
    </row>
    <row r="12" spans="1:24" ht="15.75" customHeight="1">
      <c r="A12" s="350"/>
      <c r="B12" s="359"/>
      <c r="C12" s="348"/>
      <c r="D12" s="348"/>
      <c r="E12" s="348"/>
      <c r="F12" s="348"/>
      <c r="G12" s="348"/>
      <c r="H12" s="348"/>
      <c r="I12" s="348"/>
      <c r="J12" s="348"/>
      <c r="K12" s="348"/>
      <c r="L12" s="348"/>
      <c r="M12" s="348"/>
      <c r="N12" s="343">
        <f>SUM(N10:N11)</f>
        <v>30</v>
      </c>
      <c r="O12" s="349" t="s">
        <v>89</v>
      </c>
      <c r="P12" s="784">
        <f>ROUND((N12),2)</f>
        <v>30</v>
      </c>
      <c r="Q12" s="398"/>
      <c r="R12" s="564"/>
      <c r="S12" s="398"/>
      <c r="T12" s="398"/>
      <c r="U12" s="398"/>
      <c r="V12" s="738"/>
      <c r="W12" s="738"/>
      <c r="X12" s="738"/>
    </row>
    <row r="13" spans="1:24" ht="15.75" customHeight="1">
      <c r="A13" s="751">
        <f>A9+1</f>
        <v>2</v>
      </c>
      <c r="B13" s="354" t="s">
        <v>523</v>
      </c>
      <c r="C13" s="348"/>
      <c r="D13" s="348"/>
      <c r="E13" s="348"/>
      <c r="F13" s="348"/>
      <c r="G13" s="348"/>
      <c r="H13" s="348"/>
      <c r="I13" s="348"/>
      <c r="J13" s="348"/>
      <c r="K13" s="348"/>
      <c r="L13" s="348"/>
      <c r="M13" s="348"/>
      <c r="N13" s="348"/>
      <c r="O13" s="349"/>
      <c r="P13" s="784"/>
      <c r="Q13" s="398"/>
      <c r="R13" s="564"/>
      <c r="S13" s="398"/>
      <c r="T13" s="398"/>
      <c r="U13" s="398"/>
      <c r="V13" s="738"/>
      <c r="W13" s="738"/>
      <c r="X13" s="738"/>
    </row>
    <row r="14" spans="1:24" ht="15.75" customHeight="1">
      <c r="A14" s="402" t="s">
        <v>95</v>
      </c>
      <c r="B14" s="354" t="s">
        <v>398</v>
      </c>
      <c r="C14" s="343">
        <f>0.6+0.1+0.1</f>
        <v>0.79999999999999993</v>
      </c>
      <c r="D14" s="343">
        <f>C14</f>
        <v>0.79999999999999993</v>
      </c>
      <c r="E14" s="343">
        <f>0.6+0.15+0.03+0.07</f>
        <v>0.85000000000000009</v>
      </c>
      <c r="F14" s="343"/>
      <c r="G14" s="343"/>
      <c r="H14" s="343"/>
      <c r="I14" s="343"/>
      <c r="J14" s="343"/>
      <c r="K14" s="343"/>
      <c r="L14" s="343"/>
      <c r="M14" s="343">
        <v>6</v>
      </c>
      <c r="N14" s="343">
        <f>C14*D14*E14*M14</f>
        <v>3.2639999999999993</v>
      </c>
      <c r="O14" s="349" t="s">
        <v>103</v>
      </c>
      <c r="P14" s="784"/>
      <c r="Q14" s="398"/>
      <c r="R14" s="564"/>
      <c r="S14" s="398"/>
      <c r="T14" s="398"/>
      <c r="U14" s="398"/>
      <c r="V14" s="738"/>
      <c r="W14" s="738"/>
      <c r="X14" s="738"/>
    </row>
    <row r="15" spans="1:24" ht="15.75" customHeight="1">
      <c r="A15" s="402" t="s">
        <v>98</v>
      </c>
      <c r="B15" s="354" t="s">
        <v>399</v>
      </c>
      <c r="C15" s="343">
        <v>0.8</v>
      </c>
      <c r="D15" s="343">
        <v>0.8</v>
      </c>
      <c r="E15" s="343">
        <v>7.0000000000000007E-2</v>
      </c>
      <c r="F15" s="343"/>
      <c r="G15" s="343"/>
      <c r="H15" s="343"/>
      <c r="I15" s="343"/>
      <c r="J15" s="343"/>
      <c r="K15" s="343"/>
      <c r="L15" s="343"/>
      <c r="M15" s="343">
        <f t="shared" ref="M15:M20" si="0">M14</f>
        <v>6</v>
      </c>
      <c r="N15" s="343">
        <f>C15*D15*E15*M15</f>
        <v>0.26880000000000009</v>
      </c>
      <c r="O15" s="349" t="s">
        <v>103</v>
      </c>
      <c r="P15" s="784"/>
      <c r="Q15" s="398"/>
      <c r="R15" s="564"/>
      <c r="S15" s="398"/>
      <c r="T15" s="398"/>
      <c r="U15" s="398"/>
      <c r="V15" s="738"/>
      <c r="W15" s="738"/>
      <c r="X15" s="738"/>
    </row>
    <row r="16" spans="1:24" ht="15.75" customHeight="1">
      <c r="A16" s="402" t="s">
        <v>101</v>
      </c>
      <c r="B16" s="354" t="s">
        <v>400</v>
      </c>
      <c r="C16" s="343">
        <f>C15</f>
        <v>0.8</v>
      </c>
      <c r="D16" s="343">
        <f>D15</f>
        <v>0.8</v>
      </c>
      <c r="E16" s="343">
        <v>0.03</v>
      </c>
      <c r="F16" s="343"/>
      <c r="G16" s="343"/>
      <c r="H16" s="343"/>
      <c r="I16" s="343"/>
      <c r="J16" s="343"/>
      <c r="K16" s="343"/>
      <c r="L16" s="343"/>
      <c r="M16" s="343">
        <f t="shared" si="0"/>
        <v>6</v>
      </c>
      <c r="N16" s="343">
        <f>C16*D16*E16*M16</f>
        <v>0.11520000000000001</v>
      </c>
      <c r="O16" s="349" t="s">
        <v>103</v>
      </c>
      <c r="P16" s="784"/>
      <c r="Q16" s="398"/>
      <c r="R16" s="564"/>
      <c r="S16" s="398"/>
      <c r="T16" s="398"/>
      <c r="U16" s="398"/>
      <c r="V16" s="738"/>
      <c r="W16" s="738"/>
      <c r="X16" s="738"/>
    </row>
    <row r="17" spans="1:24" ht="15.75" customHeight="1">
      <c r="A17" s="402" t="s">
        <v>121</v>
      </c>
      <c r="B17" s="354" t="s">
        <v>401</v>
      </c>
      <c r="C17" s="343">
        <f>C16</f>
        <v>0.8</v>
      </c>
      <c r="D17" s="343"/>
      <c r="E17" s="343">
        <f>E14-0.6-E15-E16</f>
        <v>0.15000000000000011</v>
      </c>
      <c r="F17" s="343"/>
      <c r="G17" s="343"/>
      <c r="H17" s="343">
        <v>4</v>
      </c>
      <c r="I17" s="343"/>
      <c r="J17" s="343"/>
      <c r="K17" s="343"/>
      <c r="L17" s="343"/>
      <c r="M17" s="343">
        <f t="shared" si="0"/>
        <v>6</v>
      </c>
      <c r="N17" s="343">
        <f>C17*E17*H17*M17</f>
        <v>2.8800000000000021</v>
      </c>
      <c r="O17" s="349" t="s">
        <v>89</v>
      </c>
      <c r="P17" s="784"/>
      <c r="Q17" s="398"/>
      <c r="R17" s="564"/>
      <c r="S17" s="398"/>
      <c r="T17" s="398"/>
      <c r="U17" s="398"/>
      <c r="V17" s="738"/>
      <c r="W17" s="738"/>
      <c r="X17" s="738"/>
    </row>
    <row r="18" spans="1:24" ht="15.75" customHeight="1">
      <c r="A18" s="402" t="s">
        <v>142</v>
      </c>
      <c r="B18" s="354" t="s">
        <v>504</v>
      </c>
      <c r="C18" s="343">
        <v>0.45</v>
      </c>
      <c r="D18" s="343"/>
      <c r="E18" s="343"/>
      <c r="F18" s="343">
        <f>10*10*0.006165</f>
        <v>0.61650000000000005</v>
      </c>
      <c r="G18" s="343">
        <f>0.15*2</f>
        <v>0.3</v>
      </c>
      <c r="H18" s="343">
        <v>4</v>
      </c>
      <c r="I18" s="343"/>
      <c r="J18" s="343"/>
      <c r="K18" s="343"/>
      <c r="L18" s="343">
        <f>ROUNDUP((C18/0.15),0.5)</f>
        <v>3</v>
      </c>
      <c r="M18" s="343">
        <f t="shared" si="0"/>
        <v>6</v>
      </c>
      <c r="N18" s="343">
        <f>(C18+G18)*F18*H18*L18*M18</f>
        <v>33.291000000000004</v>
      </c>
      <c r="O18" s="349" t="s">
        <v>100</v>
      </c>
      <c r="P18" s="784"/>
      <c r="Q18" s="398"/>
      <c r="R18" s="564"/>
      <c r="S18" s="398"/>
      <c r="T18" s="398"/>
      <c r="U18" s="398"/>
      <c r="V18" s="738"/>
      <c r="W18" s="738"/>
      <c r="X18" s="738"/>
    </row>
    <row r="19" spans="1:24" ht="15.75" customHeight="1">
      <c r="A19" s="402" t="s">
        <v>217</v>
      </c>
      <c r="B19" s="356" t="s">
        <v>169</v>
      </c>
      <c r="C19" s="343">
        <f>C14-0.2</f>
        <v>0.59999999999999987</v>
      </c>
      <c r="D19" s="343">
        <f>D14-0.2</f>
        <v>0.59999999999999987</v>
      </c>
      <c r="E19" s="343">
        <f>E17</f>
        <v>0.15000000000000011</v>
      </c>
      <c r="F19" s="343"/>
      <c r="G19" s="343"/>
      <c r="H19" s="343"/>
      <c r="I19" s="343"/>
      <c r="J19" s="343"/>
      <c r="K19" s="343"/>
      <c r="L19" s="343"/>
      <c r="M19" s="343">
        <f t="shared" si="0"/>
        <v>6</v>
      </c>
      <c r="N19" s="343">
        <f>C19*D19*E19*M19</f>
        <v>0.32400000000000007</v>
      </c>
      <c r="O19" s="349" t="s">
        <v>103</v>
      </c>
      <c r="P19" s="784"/>
      <c r="Q19" s="398"/>
      <c r="R19" s="564"/>
      <c r="S19" s="398"/>
      <c r="T19" s="398"/>
      <c r="U19" s="398"/>
      <c r="V19" s="738"/>
      <c r="W19" s="738"/>
      <c r="X19" s="738"/>
    </row>
    <row r="20" spans="1:24" ht="15.75" customHeight="1">
      <c r="A20" s="402" t="s">
        <v>366</v>
      </c>
      <c r="B20" s="354" t="s">
        <v>383</v>
      </c>
      <c r="C20" s="343"/>
      <c r="D20" s="343"/>
      <c r="E20" s="343">
        <v>4</v>
      </c>
      <c r="F20" s="343"/>
      <c r="G20" s="343"/>
      <c r="H20" s="343"/>
      <c r="I20" s="343"/>
      <c r="J20" s="343"/>
      <c r="K20" s="343"/>
      <c r="L20" s="343">
        <v>4</v>
      </c>
      <c r="M20" s="343">
        <f t="shared" si="0"/>
        <v>6</v>
      </c>
      <c r="N20" s="343">
        <f>E20*L20*M20</f>
        <v>96</v>
      </c>
      <c r="O20" s="349" t="s">
        <v>117</v>
      </c>
      <c r="P20" s="784"/>
      <c r="Q20" s="398"/>
      <c r="R20" s="564"/>
      <c r="S20" s="398"/>
      <c r="T20" s="398"/>
      <c r="U20" s="398"/>
      <c r="V20" s="738"/>
      <c r="W20" s="738"/>
      <c r="X20" s="738"/>
    </row>
    <row r="21" spans="1:24" ht="15.75" customHeight="1">
      <c r="A21" s="350">
        <f>A13+1</f>
        <v>3</v>
      </c>
      <c r="B21" s="359" t="s">
        <v>403</v>
      </c>
      <c r="C21" s="348"/>
      <c r="D21" s="348"/>
      <c r="E21" s="348"/>
      <c r="F21" s="348"/>
      <c r="G21" s="348"/>
      <c r="H21" s="348"/>
      <c r="I21" s="348"/>
      <c r="J21" s="348"/>
      <c r="K21" s="348"/>
      <c r="L21" s="348"/>
      <c r="M21" s="348"/>
      <c r="N21" s="348"/>
      <c r="O21" s="349"/>
      <c r="P21" s="784"/>
      <c r="Q21" s="398"/>
      <c r="R21" s="564"/>
      <c r="S21" s="398"/>
      <c r="T21" s="398"/>
      <c r="U21" s="398"/>
      <c r="V21" s="738"/>
      <c r="W21" s="738"/>
      <c r="X21" s="738"/>
    </row>
    <row r="22" spans="1:24" ht="15.75" customHeight="1">
      <c r="A22" s="355" t="s">
        <v>95</v>
      </c>
      <c r="B22" s="359" t="s">
        <v>930</v>
      </c>
      <c r="C22" s="348"/>
      <c r="D22" s="488"/>
      <c r="E22" s="348"/>
      <c r="F22" s="348"/>
      <c r="G22" s="348"/>
      <c r="H22" s="348"/>
      <c r="I22" s="348"/>
      <c r="J22" s="348"/>
      <c r="K22" s="348"/>
      <c r="L22" s="348"/>
      <c r="M22" s="348"/>
      <c r="N22" s="348"/>
      <c r="O22" s="349"/>
      <c r="P22" s="784"/>
      <c r="Q22" s="398"/>
      <c r="R22" s="564"/>
      <c r="S22" s="398"/>
      <c r="T22" s="398"/>
      <c r="U22" s="398"/>
      <c r="V22" s="738"/>
      <c r="W22" s="738"/>
      <c r="X22" s="738"/>
    </row>
    <row r="23" spans="1:24" ht="15.75" customHeight="1">
      <c r="A23" s="355"/>
      <c r="B23" s="567" t="s">
        <v>227</v>
      </c>
      <c r="C23" s="348">
        <v>8</v>
      </c>
      <c r="D23" s="348">
        <v>0.6</v>
      </c>
      <c r="E23" s="348">
        <f>0.6+0.07</f>
        <v>0.66999999999999993</v>
      </c>
      <c r="F23" s="348"/>
      <c r="G23" s="348"/>
      <c r="H23" s="348"/>
      <c r="I23" s="348"/>
      <c r="J23" s="348"/>
      <c r="K23" s="348"/>
      <c r="L23" s="348"/>
      <c r="M23" s="348">
        <v>3</v>
      </c>
      <c r="N23" s="348">
        <f>C23*D23*E23*M23</f>
        <v>9.6479999999999997</v>
      </c>
      <c r="O23" s="349"/>
      <c r="P23" s="784"/>
      <c r="Q23" s="398"/>
      <c r="R23" s="564"/>
      <c r="S23" s="398"/>
      <c r="T23" s="398"/>
      <c r="U23" s="398"/>
      <c r="V23" s="738"/>
      <c r="W23" s="738"/>
      <c r="X23" s="738"/>
    </row>
    <row r="24" spans="1:24" ht="15.75" customHeight="1">
      <c r="A24" s="355"/>
      <c r="B24" s="567" t="s">
        <v>202</v>
      </c>
      <c r="C24" s="348">
        <v>5</v>
      </c>
      <c r="D24" s="348">
        <f>D23</f>
        <v>0.6</v>
      </c>
      <c r="E24" s="348">
        <f>E23</f>
        <v>0.66999999999999993</v>
      </c>
      <c r="F24" s="348"/>
      <c r="G24" s="348"/>
      <c r="H24" s="348"/>
      <c r="I24" s="348"/>
      <c r="J24" s="348"/>
      <c r="K24" s="348"/>
      <c r="L24" s="348"/>
      <c r="M24" s="348">
        <v>3</v>
      </c>
      <c r="N24" s="565">
        <f>C24*D24*E24*M24</f>
        <v>6.0299999999999994</v>
      </c>
      <c r="O24" s="349"/>
      <c r="P24" s="784"/>
      <c r="Q24" s="398"/>
      <c r="R24" s="564"/>
      <c r="S24" s="398"/>
      <c r="T24" s="398"/>
      <c r="U24" s="398"/>
      <c r="V24" s="738"/>
      <c r="W24" s="738"/>
      <c r="X24" s="738"/>
    </row>
    <row r="25" spans="1:24" ht="15.75" customHeight="1">
      <c r="A25" s="355"/>
      <c r="B25" s="359"/>
      <c r="C25" s="348"/>
      <c r="D25" s="348"/>
      <c r="E25" s="348"/>
      <c r="F25" s="348"/>
      <c r="G25" s="348"/>
      <c r="H25" s="348"/>
      <c r="I25" s="348"/>
      <c r="J25" s="348"/>
      <c r="K25" s="348"/>
      <c r="L25" s="348"/>
      <c r="M25" s="348"/>
      <c r="N25" s="343">
        <f>SUM(N23:N24)</f>
        <v>15.677999999999999</v>
      </c>
      <c r="O25" s="349" t="s">
        <v>103</v>
      </c>
      <c r="P25" s="784">
        <f>ROUND((N25),2)</f>
        <v>15.68</v>
      </c>
      <c r="Q25" s="398"/>
      <c r="R25" s="564"/>
      <c r="S25" s="398"/>
      <c r="T25" s="398"/>
      <c r="U25" s="398"/>
      <c r="V25" s="738"/>
      <c r="W25" s="738"/>
      <c r="X25" s="738"/>
    </row>
    <row r="26" spans="1:24" ht="15.75" customHeight="1">
      <c r="A26" s="404" t="s">
        <v>98</v>
      </c>
      <c r="B26" s="357" t="s">
        <v>405</v>
      </c>
      <c r="C26" s="348"/>
      <c r="D26" s="348"/>
      <c r="E26" s="348"/>
      <c r="F26" s="343"/>
      <c r="G26" s="343"/>
      <c r="H26" s="348"/>
      <c r="I26" s="343"/>
      <c r="J26" s="343"/>
      <c r="K26" s="348"/>
      <c r="L26" s="348"/>
      <c r="M26" s="343"/>
      <c r="N26" s="348"/>
      <c r="O26" s="348"/>
      <c r="P26" s="784"/>
      <c r="Q26" s="398"/>
      <c r="R26" s="564"/>
      <c r="S26" s="398"/>
      <c r="T26" s="398"/>
      <c r="U26" s="398"/>
      <c r="V26" s="738"/>
      <c r="W26" s="738"/>
      <c r="X26" s="738"/>
    </row>
    <row r="27" spans="1:24" ht="15.75" customHeight="1">
      <c r="A27" s="404"/>
      <c r="B27" s="569" t="str">
        <f>B23</f>
        <v>vertikal</v>
      </c>
      <c r="C27" s="348">
        <f>C23</f>
        <v>8</v>
      </c>
      <c r="D27" s="348"/>
      <c r="E27" s="348"/>
      <c r="F27" s="343"/>
      <c r="G27" s="343"/>
      <c r="H27" s="348"/>
      <c r="I27" s="343"/>
      <c r="J27" s="343"/>
      <c r="K27" s="348"/>
      <c r="L27" s="348"/>
      <c r="M27" s="343">
        <f>M23</f>
        <v>3</v>
      </c>
      <c r="N27" s="570">
        <f>C27*M27</f>
        <v>24</v>
      </c>
      <c r="O27" s="395"/>
      <c r="P27" s="784"/>
      <c r="Q27" s="398"/>
      <c r="R27" s="564"/>
      <c r="S27" s="398"/>
      <c r="T27" s="398"/>
      <c r="U27" s="398"/>
      <c r="V27" s="738"/>
      <c r="W27" s="738"/>
      <c r="X27" s="738"/>
    </row>
    <row r="28" spans="1:24" ht="15.75" customHeight="1">
      <c r="A28" s="404"/>
      <c r="B28" s="569" t="str">
        <f>B24</f>
        <v>horizontal</v>
      </c>
      <c r="C28" s="348">
        <f>C24</f>
        <v>5</v>
      </c>
      <c r="D28" s="348"/>
      <c r="E28" s="348"/>
      <c r="F28" s="343"/>
      <c r="G28" s="343"/>
      <c r="H28" s="348"/>
      <c r="I28" s="343"/>
      <c r="J28" s="343"/>
      <c r="K28" s="348"/>
      <c r="L28" s="348"/>
      <c r="M28" s="343">
        <f>M24</f>
        <v>3</v>
      </c>
      <c r="N28" s="570">
        <f>C28*M28</f>
        <v>15</v>
      </c>
      <c r="O28" s="395"/>
      <c r="P28" s="784"/>
      <c r="Q28" s="398"/>
      <c r="R28" s="564"/>
      <c r="S28" s="398"/>
      <c r="T28" s="398"/>
      <c r="U28" s="398"/>
      <c r="V28" s="738"/>
      <c r="W28" s="738"/>
      <c r="X28" s="738"/>
    </row>
    <row r="29" spans="1:24" ht="15.75" customHeight="1">
      <c r="A29" s="404"/>
      <c r="B29" s="357"/>
      <c r="C29" s="343"/>
      <c r="D29" s="343"/>
      <c r="E29" s="343"/>
      <c r="F29" s="343"/>
      <c r="G29" s="343"/>
      <c r="H29" s="343"/>
      <c r="I29" s="343"/>
      <c r="J29" s="343"/>
      <c r="K29" s="343"/>
      <c r="L29" s="343"/>
      <c r="M29" s="343"/>
      <c r="N29" s="343">
        <f>SUM(N27:N28)</f>
        <v>39</v>
      </c>
      <c r="O29" s="395"/>
      <c r="P29" s="784"/>
      <c r="Q29" s="398"/>
      <c r="R29" s="564"/>
      <c r="S29" s="398"/>
      <c r="T29" s="398"/>
      <c r="U29" s="398"/>
      <c r="V29" s="738"/>
      <c r="W29" s="738"/>
      <c r="X29" s="738"/>
    </row>
    <row r="30" spans="1:24" ht="15.75" customHeight="1">
      <c r="A30" s="404"/>
      <c r="B30" s="569" t="s">
        <v>1006</v>
      </c>
      <c r="C30" s="343"/>
      <c r="D30" s="343"/>
      <c r="E30" s="343">
        <v>4</v>
      </c>
      <c r="F30" s="343">
        <f>N29/0.5</f>
        <v>78</v>
      </c>
      <c r="G30" s="343"/>
      <c r="H30" s="343">
        <v>2</v>
      </c>
      <c r="I30" s="343"/>
      <c r="J30" s="343"/>
      <c r="K30" s="554"/>
      <c r="L30" s="343"/>
      <c r="M30" s="343"/>
      <c r="N30" s="343">
        <f>E30*H30*F30</f>
        <v>624</v>
      </c>
      <c r="O30" s="395" t="s">
        <v>117</v>
      </c>
      <c r="P30" s="784">
        <f>ROUND((N30),2)</f>
        <v>624</v>
      </c>
      <c r="Q30" s="398"/>
      <c r="R30" s="564"/>
      <c r="S30" s="398"/>
      <c r="T30" s="398"/>
      <c r="U30" s="398"/>
      <c r="V30" s="738"/>
      <c r="W30" s="738"/>
      <c r="X30" s="738"/>
    </row>
    <row r="31" spans="1:24" ht="15.75" customHeight="1">
      <c r="A31" s="355" t="s">
        <v>101</v>
      </c>
      <c r="B31" s="359" t="s">
        <v>406</v>
      </c>
      <c r="C31" s="348"/>
      <c r="D31" s="348"/>
      <c r="E31" s="348"/>
      <c r="F31" s="348"/>
      <c r="G31" s="348"/>
      <c r="H31" s="348"/>
      <c r="I31" s="348"/>
      <c r="J31" s="348"/>
      <c r="K31" s="348"/>
      <c r="L31" s="348"/>
      <c r="M31" s="348"/>
      <c r="N31" s="343"/>
      <c r="O31" s="349"/>
      <c r="P31" s="784"/>
      <c r="Q31" s="398"/>
      <c r="R31" s="564"/>
      <c r="S31" s="398"/>
      <c r="T31" s="398"/>
      <c r="U31" s="398"/>
      <c r="V31" s="738"/>
      <c r="W31" s="738"/>
      <c r="X31" s="738"/>
    </row>
    <row r="32" spans="1:24" ht="15.75" customHeight="1">
      <c r="A32" s="355"/>
      <c r="B32" s="567" t="str">
        <f t="shared" ref="B32:D33" si="1">B23</f>
        <v>vertikal</v>
      </c>
      <c r="C32" s="348">
        <f t="shared" si="1"/>
        <v>8</v>
      </c>
      <c r="D32" s="348">
        <f t="shared" si="1"/>
        <v>0.6</v>
      </c>
      <c r="E32" s="348">
        <v>7.0000000000000007E-2</v>
      </c>
      <c r="F32" s="348"/>
      <c r="G32" s="348"/>
      <c r="H32" s="348"/>
      <c r="I32" s="348"/>
      <c r="J32" s="348"/>
      <c r="K32" s="348"/>
      <c r="L32" s="348"/>
      <c r="M32" s="348">
        <f>M23</f>
        <v>3</v>
      </c>
      <c r="N32" s="348">
        <f>C32*D32*E32*M32</f>
        <v>1.008</v>
      </c>
      <c r="O32" s="349"/>
      <c r="P32" s="784"/>
      <c r="Q32" s="398"/>
      <c r="R32" s="564"/>
      <c r="S32" s="398"/>
      <c r="T32" s="398"/>
      <c r="U32" s="398"/>
      <c r="V32" s="738"/>
      <c r="W32" s="738"/>
      <c r="X32" s="738"/>
    </row>
    <row r="33" spans="1:24" ht="15.75" customHeight="1">
      <c r="A33" s="355"/>
      <c r="B33" s="567" t="str">
        <f t="shared" si="1"/>
        <v>horizontal</v>
      </c>
      <c r="C33" s="348">
        <f t="shared" si="1"/>
        <v>5</v>
      </c>
      <c r="D33" s="348">
        <f t="shared" si="1"/>
        <v>0.6</v>
      </c>
      <c r="E33" s="348">
        <f>E32</f>
        <v>7.0000000000000007E-2</v>
      </c>
      <c r="F33" s="348"/>
      <c r="G33" s="348"/>
      <c r="H33" s="348"/>
      <c r="I33" s="348"/>
      <c r="J33" s="348"/>
      <c r="K33" s="348"/>
      <c r="L33" s="348"/>
      <c r="M33" s="348">
        <f>M24</f>
        <v>3</v>
      </c>
      <c r="N33" s="565">
        <f>C33*D33*E33*M33</f>
        <v>0.63000000000000012</v>
      </c>
      <c r="O33" s="349"/>
      <c r="P33" s="784"/>
      <c r="Q33" s="398"/>
      <c r="R33" s="564"/>
      <c r="S33" s="398"/>
      <c r="T33" s="398"/>
      <c r="U33" s="398"/>
      <c r="V33" s="738"/>
      <c r="W33" s="738"/>
      <c r="X33" s="738"/>
    </row>
    <row r="34" spans="1:24" ht="15.75" customHeight="1">
      <c r="A34" s="355"/>
      <c r="B34" s="359"/>
      <c r="C34" s="348"/>
      <c r="D34" s="348"/>
      <c r="E34" s="348"/>
      <c r="F34" s="348"/>
      <c r="G34" s="348"/>
      <c r="H34" s="348"/>
      <c r="I34" s="348"/>
      <c r="J34" s="348"/>
      <c r="K34" s="348"/>
      <c r="L34" s="348"/>
      <c r="M34" s="348"/>
      <c r="N34" s="343">
        <f>SUM(N32:N33)</f>
        <v>1.6380000000000001</v>
      </c>
      <c r="O34" s="349" t="s">
        <v>103</v>
      </c>
      <c r="P34" s="784">
        <f>ROUND((N34),2)</f>
        <v>1.64</v>
      </c>
      <c r="Q34" s="398"/>
      <c r="R34" s="564"/>
      <c r="S34" s="398"/>
      <c r="T34" s="398"/>
      <c r="U34" s="398"/>
      <c r="V34" s="738"/>
      <c r="W34" s="738"/>
      <c r="X34" s="738"/>
    </row>
    <row r="35" spans="1:24" s="787" customFormat="1" ht="15.75" hidden="1" customHeight="1">
      <c r="A35" s="571" t="s">
        <v>121</v>
      </c>
      <c r="B35" s="572" t="s">
        <v>400</v>
      </c>
      <c r="C35" s="573"/>
      <c r="D35" s="573"/>
      <c r="E35" s="573"/>
      <c r="F35" s="573"/>
      <c r="G35" s="573"/>
      <c r="H35" s="573"/>
      <c r="I35" s="573"/>
      <c r="J35" s="573"/>
      <c r="K35" s="573"/>
      <c r="L35" s="573"/>
      <c r="M35" s="573"/>
      <c r="N35" s="574"/>
      <c r="O35" s="575"/>
      <c r="P35" s="785"/>
      <c r="Q35" s="577"/>
      <c r="R35" s="578"/>
      <c r="S35" s="577"/>
      <c r="T35" s="577"/>
      <c r="U35" s="577"/>
      <c r="V35" s="786"/>
      <c r="W35" s="786"/>
      <c r="X35" s="786"/>
    </row>
    <row r="36" spans="1:24" s="787" customFormat="1" ht="15.75" hidden="1" customHeight="1">
      <c r="A36" s="571"/>
      <c r="B36" s="581" t="str">
        <f t="shared" ref="B36:D37" si="2">B32</f>
        <v>vertikal</v>
      </c>
      <c r="C36" s="573">
        <f t="shared" si="2"/>
        <v>8</v>
      </c>
      <c r="D36" s="573">
        <f t="shared" si="2"/>
        <v>0.6</v>
      </c>
      <c r="E36" s="573">
        <v>0</v>
      </c>
      <c r="F36" s="573"/>
      <c r="G36" s="573"/>
      <c r="H36" s="573"/>
      <c r="I36" s="573"/>
      <c r="J36" s="573"/>
      <c r="K36" s="573"/>
      <c r="L36" s="573"/>
      <c r="M36" s="573">
        <f>M32</f>
        <v>3</v>
      </c>
      <c r="N36" s="573">
        <f>C36*D36*E36*M36</f>
        <v>0</v>
      </c>
      <c r="O36" s="575"/>
      <c r="P36" s="785"/>
      <c r="Q36" s="577"/>
      <c r="R36" s="578"/>
      <c r="S36" s="577"/>
      <c r="T36" s="577"/>
      <c r="U36" s="577"/>
      <c r="V36" s="786"/>
      <c r="W36" s="786"/>
      <c r="X36" s="786"/>
    </row>
    <row r="37" spans="1:24" s="787" customFormat="1" ht="15.75" hidden="1" customHeight="1">
      <c r="A37" s="571"/>
      <c r="B37" s="581" t="str">
        <f t="shared" si="2"/>
        <v>horizontal</v>
      </c>
      <c r="C37" s="573">
        <f t="shared" si="2"/>
        <v>5</v>
      </c>
      <c r="D37" s="573">
        <f t="shared" si="2"/>
        <v>0.6</v>
      </c>
      <c r="E37" s="573">
        <v>0</v>
      </c>
      <c r="F37" s="573"/>
      <c r="G37" s="573"/>
      <c r="H37" s="573"/>
      <c r="I37" s="573"/>
      <c r="J37" s="573"/>
      <c r="K37" s="573"/>
      <c r="L37" s="573"/>
      <c r="M37" s="573">
        <f>M33</f>
        <v>3</v>
      </c>
      <c r="N37" s="582">
        <f>C37*D37*E37*M37</f>
        <v>0</v>
      </c>
      <c r="O37" s="575"/>
      <c r="P37" s="785"/>
      <c r="Q37" s="577"/>
      <c r="R37" s="578"/>
      <c r="S37" s="577"/>
      <c r="T37" s="577"/>
      <c r="U37" s="577"/>
      <c r="V37" s="786"/>
      <c r="W37" s="786"/>
      <c r="X37" s="786"/>
    </row>
    <row r="38" spans="1:24" s="787" customFormat="1" ht="15.75" hidden="1" customHeight="1">
      <c r="A38" s="571"/>
      <c r="B38" s="583"/>
      <c r="C38" s="573"/>
      <c r="D38" s="573"/>
      <c r="E38" s="573"/>
      <c r="F38" s="573"/>
      <c r="G38" s="573"/>
      <c r="H38" s="573"/>
      <c r="I38" s="573"/>
      <c r="J38" s="573"/>
      <c r="K38" s="573"/>
      <c r="L38" s="573"/>
      <c r="M38" s="573"/>
      <c r="N38" s="574">
        <f>SUM(N36:N37)</f>
        <v>0</v>
      </c>
      <c r="O38" s="575" t="s">
        <v>103</v>
      </c>
      <c r="P38" s="785">
        <f>ROUND((N38),2)</f>
        <v>0</v>
      </c>
      <c r="Q38" s="577"/>
      <c r="R38" s="578"/>
      <c r="S38" s="577"/>
      <c r="T38" s="577"/>
      <c r="U38" s="577"/>
      <c r="V38" s="786"/>
      <c r="W38" s="786"/>
      <c r="X38" s="786"/>
    </row>
    <row r="39" spans="1:24" ht="15.75" customHeight="1">
      <c r="A39" s="355" t="s">
        <v>121</v>
      </c>
      <c r="B39" s="359" t="s">
        <v>407</v>
      </c>
      <c r="C39" s="348"/>
      <c r="D39" s="348"/>
      <c r="E39" s="348"/>
      <c r="F39" s="348"/>
      <c r="G39" s="348"/>
      <c r="H39" s="348"/>
      <c r="I39" s="348"/>
      <c r="J39" s="348"/>
      <c r="K39" s="348"/>
      <c r="L39" s="348"/>
      <c r="M39" s="348"/>
      <c r="N39" s="348"/>
      <c r="O39" s="349"/>
      <c r="P39" s="784"/>
      <c r="Q39" s="398"/>
      <c r="R39" s="564"/>
      <c r="S39" s="398"/>
      <c r="T39" s="398"/>
      <c r="U39" s="398"/>
      <c r="V39" s="738"/>
      <c r="W39" s="738"/>
      <c r="X39" s="738"/>
    </row>
    <row r="40" spans="1:24" ht="15.75" customHeight="1">
      <c r="A40" s="355"/>
      <c r="B40" s="567"/>
      <c r="C40" s="348"/>
      <c r="D40" s="488" t="s">
        <v>1007</v>
      </c>
      <c r="E40" s="348"/>
      <c r="F40" s="348"/>
      <c r="G40" s="348"/>
      <c r="H40" s="348"/>
      <c r="I40" s="348"/>
      <c r="J40" s="348"/>
      <c r="K40" s="348"/>
      <c r="L40" s="348"/>
      <c r="M40" s="348"/>
      <c r="N40" s="348"/>
      <c r="O40" s="349"/>
      <c r="P40" s="784"/>
      <c r="Q40" s="398"/>
      <c r="R40" s="564"/>
      <c r="S40" s="398"/>
      <c r="T40" s="398"/>
      <c r="U40" s="398"/>
      <c r="V40" s="738"/>
      <c r="W40" s="738"/>
      <c r="X40" s="738"/>
    </row>
    <row r="41" spans="1:24" ht="15.75" customHeight="1">
      <c r="A41" s="355"/>
      <c r="B41" s="567" t="str">
        <f>B32</f>
        <v>vertikal</v>
      </c>
      <c r="C41" s="348">
        <f>C23</f>
        <v>8</v>
      </c>
      <c r="D41" s="348">
        <f>(0.2+D23)/2</f>
        <v>0.4</v>
      </c>
      <c r="E41" s="348">
        <f>E23-E32-E36</f>
        <v>0.59999999999999987</v>
      </c>
      <c r="F41" s="348"/>
      <c r="G41" s="348"/>
      <c r="H41" s="348"/>
      <c r="I41" s="348"/>
      <c r="J41" s="348"/>
      <c r="K41" s="348"/>
      <c r="L41" s="348"/>
      <c r="M41" s="348">
        <f>M32</f>
        <v>3</v>
      </c>
      <c r="N41" s="348">
        <f>C41*D41*E41*M41</f>
        <v>5.7599999999999989</v>
      </c>
      <c r="O41" s="349"/>
      <c r="P41" s="784"/>
      <c r="Q41" s="398"/>
      <c r="R41" s="564"/>
      <c r="S41" s="398"/>
      <c r="T41" s="398"/>
      <c r="U41" s="398"/>
      <c r="V41" s="738"/>
      <c r="W41" s="738"/>
      <c r="X41" s="738"/>
    </row>
    <row r="42" spans="1:24" ht="15.75" customHeight="1">
      <c r="A42" s="355"/>
      <c r="B42" s="567" t="str">
        <f>B33</f>
        <v>horizontal</v>
      </c>
      <c r="C42" s="348">
        <f>C33</f>
        <v>5</v>
      </c>
      <c r="D42" s="348">
        <f>D41</f>
        <v>0.4</v>
      </c>
      <c r="E42" s="348">
        <f>E41</f>
        <v>0.59999999999999987</v>
      </c>
      <c r="F42" s="348"/>
      <c r="G42" s="348"/>
      <c r="H42" s="348"/>
      <c r="I42" s="348"/>
      <c r="J42" s="348"/>
      <c r="K42" s="348"/>
      <c r="L42" s="348"/>
      <c r="M42" s="348">
        <f>M33</f>
        <v>3</v>
      </c>
      <c r="N42" s="565">
        <f>C42*D42*E42*M42</f>
        <v>3.5999999999999992</v>
      </c>
      <c r="O42" s="349"/>
      <c r="P42" s="784"/>
      <c r="Q42" s="398"/>
      <c r="R42" s="564"/>
      <c r="S42" s="398"/>
      <c r="T42" s="398"/>
      <c r="U42" s="398"/>
      <c r="V42" s="738"/>
      <c r="W42" s="738"/>
      <c r="X42" s="738"/>
    </row>
    <row r="43" spans="1:24" ht="15.75" customHeight="1">
      <c r="A43" s="350"/>
      <c r="B43" s="359"/>
      <c r="C43" s="348"/>
      <c r="D43" s="348"/>
      <c r="E43" s="348"/>
      <c r="F43" s="348"/>
      <c r="G43" s="348"/>
      <c r="H43" s="348"/>
      <c r="I43" s="348"/>
      <c r="J43" s="348"/>
      <c r="K43" s="348"/>
      <c r="L43" s="348"/>
      <c r="M43" s="348"/>
      <c r="N43" s="343">
        <f>SUM(N41:N42)</f>
        <v>9.3599999999999977</v>
      </c>
      <c r="O43" s="349" t="s">
        <v>103</v>
      </c>
      <c r="P43" s="784">
        <f>ROUND((N43),2)</f>
        <v>9.36</v>
      </c>
      <c r="Q43" s="398"/>
      <c r="R43" s="564"/>
      <c r="S43" s="398"/>
      <c r="T43" s="398"/>
      <c r="U43" s="398"/>
      <c r="V43" s="738"/>
      <c r="W43" s="738"/>
      <c r="X43" s="738"/>
    </row>
    <row r="44" spans="1:24" ht="15.75" customHeight="1">
      <c r="A44" s="350">
        <f>A21+1</f>
        <v>4</v>
      </c>
      <c r="B44" s="351" t="s">
        <v>408</v>
      </c>
      <c r="C44" s="348"/>
      <c r="D44" s="348"/>
      <c r="E44" s="348"/>
      <c r="F44" s="348"/>
      <c r="G44" s="348"/>
      <c r="H44" s="348"/>
      <c r="I44" s="348"/>
      <c r="J44" s="348"/>
      <c r="K44" s="348"/>
      <c r="L44" s="348"/>
      <c r="M44" s="348"/>
      <c r="N44" s="343"/>
      <c r="O44" s="349"/>
      <c r="P44" s="784"/>
      <c r="Q44" s="398"/>
      <c r="R44" s="564"/>
      <c r="S44" s="398"/>
      <c r="T44" s="398"/>
      <c r="U44" s="398"/>
      <c r="V44" s="738"/>
      <c r="W44" s="738"/>
      <c r="X44" s="738"/>
    </row>
    <row r="45" spans="1:24" ht="15.75" customHeight="1">
      <c r="A45" s="350"/>
      <c r="B45" s="567" t="s">
        <v>1008</v>
      </c>
      <c r="C45" s="348">
        <f>C51</f>
        <v>8</v>
      </c>
      <c r="D45" s="348"/>
      <c r="E45" s="348"/>
      <c r="F45" s="348"/>
      <c r="G45" s="348"/>
      <c r="H45" s="348"/>
      <c r="I45" s="348"/>
      <c r="J45" s="348"/>
      <c r="K45" s="348"/>
      <c r="L45" s="348"/>
      <c r="M45" s="348">
        <f>M51</f>
        <v>3</v>
      </c>
      <c r="N45" s="343">
        <f>C45*M45</f>
        <v>24</v>
      </c>
      <c r="O45" s="349"/>
      <c r="P45" s="784"/>
      <c r="Q45" s="398"/>
      <c r="R45" s="564"/>
      <c r="S45" s="398"/>
      <c r="T45" s="398"/>
      <c r="U45" s="398"/>
      <c r="V45" s="738"/>
      <c r="W45" s="738"/>
      <c r="X45" s="738"/>
    </row>
    <row r="46" spans="1:24" ht="15.75" customHeight="1">
      <c r="A46" s="350"/>
      <c r="B46" s="359"/>
      <c r="C46" s="348">
        <f>C52</f>
        <v>5</v>
      </c>
      <c r="D46" s="348"/>
      <c r="E46" s="348"/>
      <c r="F46" s="348"/>
      <c r="G46" s="348"/>
      <c r="H46" s="348"/>
      <c r="I46" s="348"/>
      <c r="J46" s="348"/>
      <c r="K46" s="348"/>
      <c r="L46" s="348"/>
      <c r="M46" s="348">
        <f>M52</f>
        <v>3</v>
      </c>
      <c r="N46" s="343">
        <f>C46*M46</f>
        <v>15</v>
      </c>
      <c r="O46" s="349"/>
      <c r="P46" s="784"/>
      <c r="Q46" s="398"/>
      <c r="R46" s="564"/>
      <c r="S46" s="398"/>
      <c r="T46" s="398"/>
      <c r="U46" s="398"/>
      <c r="V46" s="738"/>
      <c r="W46" s="738"/>
      <c r="X46" s="738"/>
    </row>
    <row r="47" spans="1:24" ht="15.75" customHeight="1">
      <c r="A47" s="350"/>
      <c r="B47" s="359"/>
      <c r="C47" s="348"/>
      <c r="D47" s="348"/>
      <c r="E47" s="348"/>
      <c r="F47" s="348"/>
      <c r="G47" s="348"/>
      <c r="H47" s="348"/>
      <c r="I47" s="348"/>
      <c r="J47" s="348"/>
      <c r="K47" s="348"/>
      <c r="L47" s="348"/>
      <c r="M47" s="348"/>
      <c r="N47" s="343">
        <f>SUM(N45:N46)</f>
        <v>39</v>
      </c>
      <c r="O47" s="349"/>
      <c r="P47" s="784"/>
      <c r="Q47" s="398"/>
      <c r="R47" s="564"/>
      <c r="S47" s="398"/>
      <c r="T47" s="398"/>
      <c r="U47" s="398"/>
      <c r="V47" s="738"/>
      <c r="W47" s="738"/>
      <c r="X47" s="738"/>
    </row>
    <row r="48" spans="1:24" ht="15.75" customHeight="1">
      <c r="A48" s="350"/>
      <c r="B48" s="359"/>
      <c r="C48" s="348">
        <v>0.5</v>
      </c>
      <c r="D48" s="348"/>
      <c r="E48" s="348"/>
      <c r="F48" s="348">
        <f>N47</f>
        <v>39</v>
      </c>
      <c r="G48" s="348"/>
      <c r="H48" s="348">
        <v>1</v>
      </c>
      <c r="I48" s="348"/>
      <c r="J48" s="348"/>
      <c r="K48" s="348"/>
      <c r="L48" s="348">
        <f>13*13*0.006165</f>
        <v>1.041885</v>
      </c>
      <c r="M48" s="348"/>
      <c r="N48" s="343">
        <f>C48*F48*H48*L48</f>
        <v>20.316757499999998</v>
      </c>
      <c r="O48" s="349" t="s">
        <v>100</v>
      </c>
      <c r="P48" s="784">
        <f>ROUND((N48),2)</f>
        <v>20.32</v>
      </c>
      <c r="Q48" s="398"/>
      <c r="R48" s="564"/>
      <c r="S48" s="398"/>
      <c r="T48" s="398"/>
      <c r="U48" s="398"/>
      <c r="V48" s="738"/>
      <c r="W48" s="738"/>
      <c r="X48" s="738"/>
    </row>
    <row r="49" spans="1:24" ht="15.75" customHeight="1">
      <c r="A49" s="350">
        <f>A44+1</f>
        <v>5</v>
      </c>
      <c r="B49" s="359" t="s">
        <v>524</v>
      </c>
      <c r="C49" s="348"/>
      <c r="D49" s="348"/>
      <c r="E49" s="348"/>
      <c r="F49" s="348"/>
      <c r="G49" s="348"/>
      <c r="H49" s="348"/>
      <c r="I49" s="348"/>
      <c r="J49" s="348"/>
      <c r="K49" s="348"/>
      <c r="L49" s="348"/>
      <c r="M49" s="348"/>
      <c r="N49" s="343"/>
      <c r="O49" s="349"/>
      <c r="P49" s="784"/>
      <c r="Q49" s="398"/>
      <c r="R49" s="564"/>
      <c r="S49" s="398"/>
      <c r="T49" s="398"/>
      <c r="U49" s="398"/>
      <c r="V49" s="738"/>
      <c r="W49" s="738"/>
      <c r="X49" s="738"/>
    </row>
    <row r="50" spans="1:24" ht="15.75" customHeight="1">
      <c r="A50" s="355" t="s">
        <v>95</v>
      </c>
      <c r="B50" s="359" t="s">
        <v>221</v>
      </c>
      <c r="C50" s="348"/>
      <c r="D50" s="348"/>
      <c r="E50" s="348"/>
      <c r="F50" s="348"/>
      <c r="G50" s="348"/>
      <c r="H50" s="348"/>
      <c r="I50" s="348"/>
      <c r="J50" s="348"/>
      <c r="K50" s="348"/>
      <c r="L50" s="348"/>
      <c r="M50" s="348"/>
      <c r="N50" s="348"/>
      <c r="O50" s="349"/>
      <c r="P50" s="784"/>
      <c r="Q50" s="398"/>
      <c r="R50" s="564"/>
      <c r="S50" s="398"/>
      <c r="T50" s="398"/>
      <c r="U50" s="398"/>
      <c r="V50" s="738"/>
      <c r="W50" s="738"/>
      <c r="X50" s="738"/>
    </row>
    <row r="51" spans="1:24" ht="15.75" customHeight="1">
      <c r="A51" s="355"/>
      <c r="B51" s="567" t="str">
        <f>B41</f>
        <v>vertikal</v>
      </c>
      <c r="C51" s="348">
        <f>C41</f>
        <v>8</v>
      </c>
      <c r="D51" s="348"/>
      <c r="E51" s="348">
        <v>0.3</v>
      </c>
      <c r="F51" s="348"/>
      <c r="G51" s="348"/>
      <c r="H51" s="348">
        <v>2</v>
      </c>
      <c r="I51" s="348"/>
      <c r="J51" s="348"/>
      <c r="K51" s="348"/>
      <c r="L51" s="348"/>
      <c r="M51" s="348">
        <f>M41</f>
        <v>3</v>
      </c>
      <c r="N51" s="348">
        <f>C51*E51*H51*M51</f>
        <v>14.399999999999999</v>
      </c>
      <c r="O51" s="349"/>
      <c r="P51" s="784"/>
      <c r="Q51" s="398"/>
      <c r="R51" s="564"/>
      <c r="S51" s="398"/>
      <c r="T51" s="398"/>
      <c r="U51" s="398"/>
      <c r="V51" s="738"/>
      <c r="W51" s="738"/>
      <c r="X51" s="738"/>
    </row>
    <row r="52" spans="1:24" ht="15.75" customHeight="1">
      <c r="A52" s="355"/>
      <c r="B52" s="567" t="str">
        <f>B42</f>
        <v>horizontal</v>
      </c>
      <c r="C52" s="348">
        <f>C42</f>
        <v>5</v>
      </c>
      <c r="D52" s="348"/>
      <c r="E52" s="348">
        <f>E51</f>
        <v>0.3</v>
      </c>
      <c r="F52" s="348"/>
      <c r="G52" s="348"/>
      <c r="H52" s="348">
        <f>H51</f>
        <v>2</v>
      </c>
      <c r="I52" s="348"/>
      <c r="J52" s="348"/>
      <c r="K52" s="348"/>
      <c r="L52" s="348"/>
      <c r="M52" s="348">
        <f>M42</f>
        <v>3</v>
      </c>
      <c r="N52" s="565">
        <f>C52*E52*H52*M52</f>
        <v>9</v>
      </c>
      <c r="O52" s="349"/>
      <c r="P52" s="784"/>
      <c r="Q52" s="398"/>
      <c r="R52" s="564"/>
      <c r="S52" s="398"/>
      <c r="T52" s="398"/>
      <c r="U52" s="398"/>
      <c r="V52" s="738"/>
      <c r="W52" s="738"/>
      <c r="X52" s="738"/>
    </row>
    <row r="53" spans="1:24" ht="15.75" customHeight="1">
      <c r="A53" s="355"/>
      <c r="B53" s="359"/>
      <c r="C53" s="348"/>
      <c r="D53" s="348"/>
      <c r="E53" s="348"/>
      <c r="F53" s="348"/>
      <c r="G53" s="348"/>
      <c r="H53" s="348"/>
      <c r="I53" s="348"/>
      <c r="J53" s="348"/>
      <c r="K53" s="348"/>
      <c r="L53" s="348"/>
      <c r="M53" s="348"/>
      <c r="N53" s="343">
        <f>SUM(N51:N52)</f>
        <v>23.4</v>
      </c>
      <c r="O53" s="349" t="s">
        <v>89</v>
      </c>
      <c r="P53" s="784">
        <f>ROUND((N53),2)</f>
        <v>23.4</v>
      </c>
      <c r="Q53" s="398"/>
      <c r="R53" s="564"/>
      <c r="S53" s="398"/>
      <c r="T53" s="398"/>
      <c r="U53" s="398"/>
      <c r="V53" s="738"/>
      <c r="W53" s="738"/>
      <c r="X53" s="738"/>
    </row>
    <row r="54" spans="1:24" ht="15.75" customHeight="1">
      <c r="A54" s="355" t="s">
        <v>98</v>
      </c>
      <c r="B54" s="359" t="s">
        <v>741</v>
      </c>
      <c r="C54" s="348"/>
      <c r="D54" s="348"/>
      <c r="E54" s="348"/>
      <c r="F54" s="348"/>
      <c r="G54" s="348"/>
      <c r="H54" s="348"/>
      <c r="I54" s="348"/>
      <c r="J54" s="348"/>
      <c r="K54" s="348"/>
      <c r="L54" s="348"/>
      <c r="M54" s="348"/>
      <c r="N54" s="348"/>
      <c r="O54" s="349"/>
      <c r="P54" s="784"/>
      <c r="Q54" s="398"/>
      <c r="R54" s="564"/>
      <c r="S54" s="398"/>
      <c r="T54" s="398"/>
      <c r="U54" s="398"/>
      <c r="V54" s="738"/>
      <c r="W54" s="738"/>
      <c r="X54" s="738"/>
    </row>
    <row r="55" spans="1:24" ht="15.75" customHeight="1">
      <c r="A55" s="355"/>
      <c r="B55" s="567" t="str">
        <f>B51</f>
        <v>vertikal</v>
      </c>
      <c r="C55" s="348">
        <f>C51</f>
        <v>8</v>
      </c>
      <c r="D55" s="348"/>
      <c r="E55" s="348"/>
      <c r="F55" s="348">
        <v>5</v>
      </c>
      <c r="G55" s="348"/>
      <c r="H55" s="348"/>
      <c r="I55" s="348"/>
      <c r="J55" s="348"/>
      <c r="K55" s="348"/>
      <c r="L55" s="348">
        <f>10*10*0.006165</f>
        <v>0.61650000000000005</v>
      </c>
      <c r="M55" s="348">
        <f>M51</f>
        <v>3</v>
      </c>
      <c r="N55" s="348">
        <f>C55*F55*L55*M55</f>
        <v>73.980000000000018</v>
      </c>
      <c r="O55" s="349"/>
      <c r="P55" s="784"/>
      <c r="Q55" s="398"/>
      <c r="R55" s="564"/>
      <c r="S55" s="398"/>
      <c r="T55" s="398"/>
      <c r="U55" s="398"/>
      <c r="V55" s="738"/>
      <c r="W55" s="738"/>
      <c r="X55" s="738"/>
    </row>
    <row r="56" spans="1:24" ht="15.75" customHeight="1">
      <c r="A56" s="355"/>
      <c r="B56" s="567" t="str">
        <f>B52</f>
        <v>horizontal</v>
      </c>
      <c r="C56" s="348">
        <f>C52</f>
        <v>5</v>
      </c>
      <c r="D56" s="348"/>
      <c r="E56" s="348"/>
      <c r="F56" s="348">
        <f>F55</f>
        <v>5</v>
      </c>
      <c r="G56" s="348"/>
      <c r="H56" s="348"/>
      <c r="I56" s="348"/>
      <c r="J56" s="348"/>
      <c r="K56" s="348"/>
      <c r="L56" s="348">
        <f>L55</f>
        <v>0.61650000000000005</v>
      </c>
      <c r="M56" s="348">
        <f>M52</f>
        <v>3</v>
      </c>
      <c r="N56" s="565">
        <f>C56*F56*L56*M56</f>
        <v>46.237500000000004</v>
      </c>
      <c r="O56" s="349"/>
      <c r="P56" s="784"/>
      <c r="Q56" s="398"/>
      <c r="R56" s="564"/>
      <c r="S56" s="398"/>
      <c r="T56" s="398"/>
      <c r="U56" s="398"/>
      <c r="V56" s="738"/>
      <c r="W56" s="738"/>
      <c r="X56" s="738"/>
    </row>
    <row r="57" spans="1:24" ht="15.75" customHeight="1">
      <c r="A57" s="355"/>
      <c r="B57" s="359"/>
      <c r="C57" s="348"/>
      <c r="D57" s="348"/>
      <c r="E57" s="348"/>
      <c r="F57" s="348"/>
      <c r="G57" s="348"/>
      <c r="H57" s="348"/>
      <c r="I57" s="348"/>
      <c r="J57" s="348"/>
      <c r="K57" s="348"/>
      <c r="L57" s="348"/>
      <c r="M57" s="348"/>
      <c r="N57" s="343">
        <f>SUM(N55:N56)</f>
        <v>120.21750000000003</v>
      </c>
      <c r="O57" s="349" t="s">
        <v>100</v>
      </c>
      <c r="P57" s="784">
        <f>ROUND((N57),2)</f>
        <v>120.22</v>
      </c>
      <c r="Q57" s="398"/>
      <c r="R57" s="564"/>
      <c r="S57" s="398"/>
      <c r="T57" s="398"/>
      <c r="U57" s="398"/>
      <c r="V57" s="738"/>
      <c r="W57" s="738"/>
      <c r="X57" s="738"/>
    </row>
    <row r="58" spans="1:24" ht="15.75" customHeight="1">
      <c r="A58" s="355" t="s">
        <v>101</v>
      </c>
      <c r="B58" s="359" t="s">
        <v>525</v>
      </c>
      <c r="C58" s="348"/>
      <c r="D58" s="348"/>
      <c r="E58" s="348"/>
      <c r="F58" s="348"/>
      <c r="G58" s="348"/>
      <c r="H58" s="348"/>
      <c r="I58" s="348"/>
      <c r="J58" s="348"/>
      <c r="K58" s="348"/>
      <c r="L58" s="348"/>
      <c r="M58" s="348"/>
      <c r="N58" s="348"/>
      <c r="O58" s="349"/>
      <c r="P58" s="784"/>
      <c r="Q58" s="398"/>
      <c r="R58" s="564"/>
      <c r="S58" s="398"/>
      <c r="T58" s="398"/>
      <c r="U58" s="398"/>
      <c r="V58" s="738"/>
      <c r="W58" s="738"/>
      <c r="X58" s="738"/>
    </row>
    <row r="59" spans="1:24" ht="15.75" customHeight="1">
      <c r="A59" s="355"/>
      <c r="B59" s="567" t="str">
        <f>B55</f>
        <v>vertikal</v>
      </c>
      <c r="C59" s="348">
        <f>(0.07+0.22)*2</f>
        <v>0.58000000000000007</v>
      </c>
      <c r="D59" s="348"/>
      <c r="E59" s="348"/>
      <c r="F59" s="348">
        <f>ROUNDDOWN((C55/0.125),0.1)</f>
        <v>64</v>
      </c>
      <c r="G59" s="348"/>
      <c r="H59" s="348"/>
      <c r="I59" s="348">
        <f>0.05*2</f>
        <v>0.1</v>
      </c>
      <c r="J59" s="348"/>
      <c r="K59" s="348"/>
      <c r="L59" s="348">
        <f>6*6*0.006165</f>
        <v>0.22194000000000003</v>
      </c>
      <c r="M59" s="348">
        <f>M55</f>
        <v>3</v>
      </c>
      <c r="N59" s="348">
        <f>(C59+I59)*F59*L59*M59</f>
        <v>28.976486400000006</v>
      </c>
      <c r="O59" s="349"/>
      <c r="P59" s="784"/>
      <c r="Q59" s="398"/>
      <c r="R59" s="564"/>
      <c r="S59" s="398"/>
      <c r="T59" s="398"/>
      <c r="U59" s="398"/>
      <c r="V59" s="738"/>
      <c r="W59" s="738"/>
      <c r="X59" s="738"/>
    </row>
    <row r="60" spans="1:24" ht="15.75" customHeight="1">
      <c r="A60" s="355"/>
      <c r="B60" s="567" t="str">
        <f>B56</f>
        <v>horizontal</v>
      </c>
      <c r="C60" s="348">
        <f>C59</f>
        <v>0.58000000000000007</v>
      </c>
      <c r="D60" s="348"/>
      <c r="E60" s="348"/>
      <c r="F60" s="348">
        <f>ROUNDDOWN((C56/0.125),0.1)</f>
        <v>40</v>
      </c>
      <c r="G60" s="348"/>
      <c r="H60" s="348"/>
      <c r="I60" s="348">
        <f>I59</f>
        <v>0.1</v>
      </c>
      <c r="J60" s="348"/>
      <c r="K60" s="348"/>
      <c r="L60" s="348">
        <f>L59</f>
        <v>0.22194000000000003</v>
      </c>
      <c r="M60" s="348">
        <f>M56</f>
        <v>3</v>
      </c>
      <c r="N60" s="565">
        <f>(C60+I60)*F60*L60*M60</f>
        <v>18.110304000000003</v>
      </c>
      <c r="O60" s="349"/>
      <c r="P60" s="784"/>
      <c r="Q60" s="398"/>
      <c r="R60" s="564"/>
      <c r="S60" s="398"/>
      <c r="T60" s="398"/>
      <c r="U60" s="398"/>
      <c r="V60" s="738"/>
      <c r="W60" s="738"/>
      <c r="X60" s="738"/>
    </row>
    <row r="61" spans="1:24" ht="15.75" customHeight="1">
      <c r="A61" s="355"/>
      <c r="B61" s="359"/>
      <c r="C61" s="348"/>
      <c r="D61" s="348"/>
      <c r="E61" s="348"/>
      <c r="F61" s="348"/>
      <c r="G61" s="348"/>
      <c r="H61" s="348"/>
      <c r="I61" s="348"/>
      <c r="J61" s="348"/>
      <c r="K61" s="348"/>
      <c r="L61" s="348"/>
      <c r="M61" s="348"/>
      <c r="N61" s="343">
        <f>SUM(N59:N60)</f>
        <v>47.086790400000012</v>
      </c>
      <c r="O61" s="349" t="s">
        <v>100</v>
      </c>
      <c r="P61" s="784">
        <f>ROUND((N61),2)</f>
        <v>47.09</v>
      </c>
      <c r="Q61" s="398"/>
      <c r="R61" s="564"/>
      <c r="S61" s="398"/>
      <c r="T61" s="398"/>
      <c r="U61" s="398"/>
      <c r="V61" s="738"/>
      <c r="W61" s="738"/>
      <c r="X61" s="738"/>
    </row>
    <row r="62" spans="1:24" ht="15.75" customHeight="1">
      <c r="A62" s="355" t="s">
        <v>121</v>
      </c>
      <c r="B62" s="356" t="s">
        <v>169</v>
      </c>
      <c r="C62" s="348"/>
      <c r="D62" s="348"/>
      <c r="E62" s="348"/>
      <c r="F62" s="348"/>
      <c r="G62" s="348"/>
      <c r="H62" s="348"/>
      <c r="I62" s="348"/>
      <c r="J62" s="348"/>
      <c r="K62" s="348"/>
      <c r="L62" s="348"/>
      <c r="M62" s="348"/>
      <c r="N62" s="348"/>
      <c r="O62" s="349"/>
      <c r="P62" s="784"/>
      <c r="Q62" s="398"/>
      <c r="R62" s="564"/>
      <c r="S62" s="398"/>
      <c r="T62" s="398"/>
      <c r="U62" s="398"/>
      <c r="V62" s="738"/>
      <c r="W62" s="738"/>
      <c r="X62" s="738"/>
    </row>
    <row r="63" spans="1:24" ht="15.75" customHeight="1">
      <c r="A63" s="355"/>
      <c r="B63" s="567" t="str">
        <f>B59</f>
        <v>vertikal</v>
      </c>
      <c r="C63" s="348">
        <f>C55</f>
        <v>8</v>
      </c>
      <c r="D63" s="348">
        <v>0.15</v>
      </c>
      <c r="E63" s="348">
        <v>0.3</v>
      </c>
      <c r="F63" s="348"/>
      <c r="G63" s="348"/>
      <c r="H63" s="348"/>
      <c r="I63" s="348"/>
      <c r="J63" s="348"/>
      <c r="K63" s="348"/>
      <c r="L63" s="348"/>
      <c r="M63" s="348">
        <f>M59</f>
        <v>3</v>
      </c>
      <c r="N63" s="348">
        <f>C63*D63*E63*M63</f>
        <v>1.08</v>
      </c>
      <c r="O63" s="349"/>
      <c r="P63" s="784"/>
      <c r="Q63" s="398"/>
      <c r="R63" s="564"/>
      <c r="S63" s="398"/>
      <c r="T63" s="398"/>
      <c r="U63" s="398"/>
      <c r="V63" s="738"/>
      <c r="W63" s="738"/>
      <c r="X63" s="738"/>
    </row>
    <row r="64" spans="1:24" ht="15.75" customHeight="1">
      <c r="A64" s="355"/>
      <c r="B64" s="567" t="str">
        <f>B60</f>
        <v>horizontal</v>
      </c>
      <c r="C64" s="348">
        <f>C56</f>
        <v>5</v>
      </c>
      <c r="D64" s="348">
        <f>D63</f>
        <v>0.15</v>
      </c>
      <c r="E64" s="348">
        <f>E63</f>
        <v>0.3</v>
      </c>
      <c r="F64" s="348"/>
      <c r="G64" s="348"/>
      <c r="H64" s="348"/>
      <c r="I64" s="348"/>
      <c r="J64" s="348"/>
      <c r="K64" s="348"/>
      <c r="L64" s="348"/>
      <c r="M64" s="348">
        <f>M60</f>
        <v>3</v>
      </c>
      <c r="N64" s="565">
        <f>C64*D64*E64*M64</f>
        <v>0.67499999999999993</v>
      </c>
      <c r="O64" s="349"/>
      <c r="P64" s="784"/>
      <c r="Q64" s="398"/>
      <c r="R64" s="564"/>
      <c r="S64" s="398"/>
      <c r="T64" s="398"/>
      <c r="U64" s="398"/>
      <c r="V64" s="738"/>
      <c r="W64" s="738"/>
      <c r="X64" s="738"/>
    </row>
    <row r="65" spans="1:24" ht="15.75" customHeight="1">
      <c r="A65" s="355"/>
      <c r="B65" s="359"/>
      <c r="C65" s="348"/>
      <c r="D65" s="348"/>
      <c r="E65" s="348"/>
      <c r="F65" s="348"/>
      <c r="G65" s="348"/>
      <c r="H65" s="348"/>
      <c r="I65" s="348"/>
      <c r="J65" s="348"/>
      <c r="K65" s="348"/>
      <c r="L65" s="348"/>
      <c r="M65" s="348"/>
      <c r="N65" s="343">
        <f>SUM(N63:N64)</f>
        <v>1.7549999999999999</v>
      </c>
      <c r="O65" s="349" t="s">
        <v>103</v>
      </c>
      <c r="P65" s="784">
        <f>ROUND((N65),2)</f>
        <v>1.76</v>
      </c>
      <c r="Q65" s="398"/>
      <c r="R65" s="564"/>
      <c r="S65" s="398"/>
      <c r="T65" s="398"/>
      <c r="U65" s="398"/>
      <c r="V65" s="738"/>
      <c r="W65" s="738"/>
      <c r="X65" s="738"/>
    </row>
    <row r="66" spans="1:24" ht="15.75" customHeight="1">
      <c r="A66" s="350">
        <f>A49+1</f>
        <v>6</v>
      </c>
      <c r="B66" s="359" t="s">
        <v>412</v>
      </c>
      <c r="C66" s="348"/>
      <c r="D66" s="348"/>
      <c r="E66" s="348"/>
      <c r="F66" s="348"/>
      <c r="G66" s="348"/>
      <c r="H66" s="348"/>
      <c r="I66" s="348"/>
      <c r="J66" s="348"/>
      <c r="K66" s="348"/>
      <c r="L66" s="348"/>
      <c r="M66" s="348"/>
      <c r="N66" s="348"/>
      <c r="O66" s="349"/>
      <c r="P66" s="784"/>
      <c r="Q66" s="398"/>
      <c r="R66" s="564"/>
      <c r="S66" s="398"/>
      <c r="T66" s="398"/>
      <c r="U66" s="398"/>
      <c r="V66" s="738"/>
      <c r="W66" s="738"/>
      <c r="X66" s="738"/>
    </row>
    <row r="67" spans="1:24" ht="15.75" customHeight="1">
      <c r="A67" s="355" t="s">
        <v>95</v>
      </c>
      <c r="B67" s="359" t="s">
        <v>413</v>
      </c>
      <c r="C67" s="348">
        <f>C63-(0.2*2)</f>
        <v>7.6</v>
      </c>
      <c r="D67" s="348">
        <f>C64-(0.2*2)</f>
        <v>4.5999999999999996</v>
      </c>
      <c r="E67" s="348">
        <v>0.18</v>
      </c>
      <c r="F67" s="348"/>
      <c r="G67" s="348"/>
      <c r="H67" s="348"/>
      <c r="I67" s="348"/>
      <c r="J67" s="348"/>
      <c r="K67" s="348"/>
      <c r="L67" s="348"/>
      <c r="M67" s="348"/>
      <c r="N67" s="348">
        <f>C67*D67*E67</f>
        <v>6.2927999999999988</v>
      </c>
      <c r="O67" s="349" t="s">
        <v>103</v>
      </c>
      <c r="P67" s="784">
        <f>ROUND((N67),2)</f>
        <v>6.29</v>
      </c>
      <c r="Q67" s="398"/>
      <c r="R67" s="564"/>
      <c r="S67" s="398"/>
      <c r="T67" s="398"/>
      <c r="U67" s="398"/>
      <c r="V67" s="738"/>
      <c r="W67" s="738"/>
      <c r="X67" s="738"/>
    </row>
    <row r="68" spans="1:24" ht="15.75" customHeight="1">
      <c r="A68" s="355" t="s">
        <v>98</v>
      </c>
      <c r="B68" s="351" t="s">
        <v>415</v>
      </c>
      <c r="C68" s="348">
        <f t="shared" ref="C68:D70" si="3">C67</f>
        <v>7.6</v>
      </c>
      <c r="D68" s="348">
        <f t="shared" si="3"/>
        <v>4.5999999999999996</v>
      </c>
      <c r="E68" s="348">
        <v>0.05</v>
      </c>
      <c r="F68" s="348"/>
      <c r="G68" s="348"/>
      <c r="H68" s="348"/>
      <c r="I68" s="348"/>
      <c r="J68" s="348"/>
      <c r="K68" s="348"/>
      <c r="L68" s="348"/>
      <c r="M68" s="348"/>
      <c r="N68" s="348">
        <f>C68*D68*E68</f>
        <v>1.7479999999999998</v>
      </c>
      <c r="O68" s="349" t="s">
        <v>103</v>
      </c>
      <c r="P68" s="784">
        <f>ROUND((N68),2)</f>
        <v>1.75</v>
      </c>
      <c r="Q68" s="398"/>
      <c r="R68" s="564"/>
      <c r="S68" s="398"/>
      <c r="T68" s="398"/>
      <c r="U68" s="398"/>
      <c r="V68" s="738"/>
      <c r="W68" s="738"/>
      <c r="X68" s="738"/>
    </row>
    <row r="69" spans="1:24" ht="15.75" customHeight="1">
      <c r="A69" s="355" t="s">
        <v>101</v>
      </c>
      <c r="B69" s="351" t="s">
        <v>192</v>
      </c>
      <c r="C69" s="348">
        <f t="shared" si="3"/>
        <v>7.6</v>
      </c>
      <c r="D69" s="348">
        <f t="shared" si="3"/>
        <v>4.5999999999999996</v>
      </c>
      <c r="E69" s="348">
        <v>7.0000000000000007E-2</v>
      </c>
      <c r="F69" s="348"/>
      <c r="G69" s="348"/>
      <c r="H69" s="348"/>
      <c r="I69" s="348"/>
      <c r="J69" s="348"/>
      <c r="K69" s="348"/>
      <c r="L69" s="348"/>
      <c r="M69" s="348"/>
      <c r="N69" s="348">
        <f>C69*D69*E69</f>
        <v>2.4471999999999996</v>
      </c>
      <c r="O69" s="349" t="s">
        <v>103</v>
      </c>
      <c r="P69" s="784">
        <f>ROUND((N69),2)</f>
        <v>2.4500000000000002</v>
      </c>
      <c r="Q69" s="398"/>
      <c r="R69" s="564"/>
      <c r="S69" s="398"/>
      <c r="T69" s="398"/>
      <c r="U69" s="398"/>
      <c r="V69" s="738"/>
      <c r="W69" s="738"/>
      <c r="X69" s="738"/>
    </row>
    <row r="70" spans="1:24" ht="15.75" customHeight="1">
      <c r="A70" s="355" t="s">
        <v>121</v>
      </c>
      <c r="B70" s="351" t="s">
        <v>194</v>
      </c>
      <c r="C70" s="348">
        <f t="shared" si="3"/>
        <v>7.6</v>
      </c>
      <c r="D70" s="348">
        <f t="shared" si="3"/>
        <v>4.5999999999999996</v>
      </c>
      <c r="E70" s="348"/>
      <c r="F70" s="348"/>
      <c r="G70" s="348"/>
      <c r="H70" s="348"/>
      <c r="I70" s="348"/>
      <c r="J70" s="348"/>
      <c r="K70" s="348"/>
      <c r="L70" s="348"/>
      <c r="M70" s="348"/>
      <c r="N70" s="348">
        <f>C70*D70</f>
        <v>34.959999999999994</v>
      </c>
      <c r="O70" s="349" t="s">
        <v>89</v>
      </c>
      <c r="P70" s="784">
        <f>ROUND((N70),2)</f>
        <v>34.96</v>
      </c>
      <c r="Q70" s="398"/>
      <c r="R70" s="564"/>
      <c r="S70" s="398"/>
      <c r="T70" s="398"/>
      <c r="U70" s="398"/>
      <c r="V70" s="738"/>
      <c r="W70" s="738"/>
      <c r="X70" s="738"/>
    </row>
    <row r="71" spans="1:24" ht="15.75" customHeight="1">
      <c r="A71" s="350">
        <f>A66+1</f>
        <v>7</v>
      </c>
      <c r="B71" s="359" t="s">
        <v>527</v>
      </c>
      <c r="C71" s="348"/>
      <c r="D71" s="348"/>
      <c r="E71" s="348"/>
      <c r="F71" s="348"/>
      <c r="G71" s="348"/>
      <c r="H71" s="348"/>
      <c r="I71" s="348"/>
      <c r="J71" s="348"/>
      <c r="K71" s="348"/>
      <c r="L71" s="348"/>
      <c r="M71" s="348"/>
      <c r="N71" s="348"/>
      <c r="O71" s="349"/>
      <c r="P71" s="784"/>
      <c r="Q71" s="398"/>
      <c r="R71" s="564"/>
      <c r="S71" s="398"/>
      <c r="T71" s="398"/>
      <c r="U71" s="398"/>
      <c r="V71" s="738"/>
      <c r="W71" s="738"/>
      <c r="X71" s="738"/>
    </row>
    <row r="72" spans="1:24" ht="15.75" customHeight="1">
      <c r="A72" s="355" t="s">
        <v>95</v>
      </c>
      <c r="B72" s="359" t="s">
        <v>417</v>
      </c>
      <c r="C72" s="348"/>
      <c r="D72" s="348">
        <v>0.15</v>
      </c>
      <c r="E72" s="348">
        <f>0.7</f>
        <v>0.7</v>
      </c>
      <c r="F72" s="348"/>
      <c r="G72" s="348"/>
      <c r="H72" s="348">
        <v>4</v>
      </c>
      <c r="I72" s="348"/>
      <c r="J72" s="348"/>
      <c r="K72" s="348"/>
      <c r="L72" s="348"/>
      <c r="M72" s="348">
        <f>M14</f>
        <v>6</v>
      </c>
      <c r="N72" s="348">
        <f>D72*(E72+K72)*H72*M72</f>
        <v>2.52</v>
      </c>
      <c r="O72" s="349" t="s">
        <v>89</v>
      </c>
      <c r="P72" s="784">
        <f>ROUND((N72),2)</f>
        <v>2.52</v>
      </c>
      <c r="Q72" s="398"/>
      <c r="R72" s="564"/>
      <c r="S72" s="398"/>
      <c r="T72" s="398"/>
      <c r="U72" s="398"/>
      <c r="V72" s="738"/>
      <c r="W72" s="738"/>
      <c r="X72" s="738"/>
    </row>
    <row r="73" spans="1:24" ht="15.75" customHeight="1">
      <c r="A73" s="355" t="s">
        <v>98</v>
      </c>
      <c r="B73" s="359" t="s">
        <v>1165</v>
      </c>
      <c r="C73" s="348"/>
      <c r="D73" s="348"/>
      <c r="E73" s="348">
        <f>E72</f>
        <v>0.7</v>
      </c>
      <c r="F73" s="348">
        <v>6</v>
      </c>
      <c r="G73" s="348"/>
      <c r="H73" s="348"/>
      <c r="I73" s="348"/>
      <c r="J73" s="348">
        <v>0.25</v>
      </c>
      <c r="K73" s="348"/>
      <c r="L73" s="348">
        <f>10*10*0.006165</f>
        <v>0.61650000000000005</v>
      </c>
      <c r="M73" s="348">
        <f>M72</f>
        <v>6</v>
      </c>
      <c r="N73" s="348">
        <f>(E73+J73)*F73*L73*M73</f>
        <v>21.084299999999999</v>
      </c>
      <c r="O73" s="349" t="s">
        <v>100</v>
      </c>
      <c r="P73" s="784">
        <f>ROUND((N73),2)</f>
        <v>21.08</v>
      </c>
      <c r="Q73" s="398"/>
      <c r="R73" s="564"/>
      <c r="S73" s="398"/>
      <c r="T73" s="398"/>
      <c r="U73" s="398"/>
      <c r="V73" s="738"/>
      <c r="W73" s="738"/>
      <c r="X73" s="738"/>
    </row>
    <row r="74" spans="1:24" ht="15.75" customHeight="1">
      <c r="A74" s="355" t="s">
        <v>101</v>
      </c>
      <c r="B74" s="359" t="s">
        <v>525</v>
      </c>
      <c r="C74" s="348">
        <f>(0.07)*4</f>
        <v>0.28000000000000003</v>
      </c>
      <c r="D74" s="348"/>
      <c r="E74" s="348"/>
      <c r="F74" s="348">
        <f>ROUNDDOWN((E73/0.125),0.1)</f>
        <v>5</v>
      </c>
      <c r="G74" s="348"/>
      <c r="H74" s="348"/>
      <c r="I74" s="348">
        <f>0.05*2</f>
        <v>0.1</v>
      </c>
      <c r="J74" s="348"/>
      <c r="K74" s="348"/>
      <c r="L74" s="348">
        <f>6*6*0.006165</f>
        <v>0.22194000000000003</v>
      </c>
      <c r="M74" s="348">
        <f>M73</f>
        <v>6</v>
      </c>
      <c r="N74" s="348">
        <f>(C74+I74)*F74*L74*M74</f>
        <v>2.530116</v>
      </c>
      <c r="O74" s="349" t="s">
        <v>100</v>
      </c>
      <c r="P74" s="784">
        <f>ROUND((N74),2)</f>
        <v>2.5299999999999998</v>
      </c>
      <c r="Q74" s="398"/>
      <c r="R74" s="564"/>
      <c r="S74" s="398"/>
      <c r="T74" s="398"/>
      <c r="U74" s="398"/>
      <c r="V74" s="738"/>
      <c r="W74" s="738"/>
      <c r="X74" s="738"/>
    </row>
    <row r="75" spans="1:24" ht="15.75" customHeight="1">
      <c r="A75" s="355" t="s">
        <v>121</v>
      </c>
      <c r="B75" s="356" t="s">
        <v>169</v>
      </c>
      <c r="C75" s="348">
        <v>0.15</v>
      </c>
      <c r="D75" s="348">
        <v>0.15</v>
      </c>
      <c r="E75" s="348">
        <f>E72</f>
        <v>0.7</v>
      </c>
      <c r="F75" s="348"/>
      <c r="G75" s="348"/>
      <c r="H75" s="348"/>
      <c r="I75" s="348"/>
      <c r="J75" s="348"/>
      <c r="K75" s="348"/>
      <c r="L75" s="348"/>
      <c r="M75" s="348">
        <f>M73</f>
        <v>6</v>
      </c>
      <c r="N75" s="348">
        <f>C75*D75*(E75+K75)*M75</f>
        <v>9.4500000000000001E-2</v>
      </c>
      <c r="O75" s="349" t="s">
        <v>103</v>
      </c>
      <c r="P75" s="784">
        <f>ROUND((N75),2)</f>
        <v>0.09</v>
      </c>
      <c r="Q75" s="398"/>
      <c r="R75" s="564"/>
      <c r="S75" s="398"/>
      <c r="T75" s="398"/>
      <c r="U75" s="398"/>
      <c r="V75" s="738"/>
      <c r="W75" s="738"/>
      <c r="X75" s="738"/>
    </row>
    <row r="76" spans="1:24" ht="15.75" customHeight="1">
      <c r="A76" s="350">
        <f>A71+1</f>
        <v>8</v>
      </c>
      <c r="B76" s="359" t="s">
        <v>530</v>
      </c>
      <c r="C76" s="348"/>
      <c r="D76" s="348"/>
      <c r="E76" s="348"/>
      <c r="F76" s="348"/>
      <c r="G76" s="348"/>
      <c r="H76" s="348"/>
      <c r="I76" s="348"/>
      <c r="J76" s="348"/>
      <c r="K76" s="348"/>
      <c r="L76" s="348"/>
      <c r="M76" s="348"/>
      <c r="N76" s="348"/>
      <c r="O76" s="349"/>
      <c r="P76" s="784"/>
      <c r="Q76" s="398"/>
      <c r="R76" s="564"/>
      <c r="S76" s="398"/>
      <c r="T76" s="398"/>
      <c r="U76" s="398"/>
      <c r="V76" s="738"/>
      <c r="W76" s="738"/>
      <c r="X76" s="738"/>
    </row>
    <row r="77" spans="1:24" ht="15.75" customHeight="1">
      <c r="A77" s="355" t="s">
        <v>95</v>
      </c>
      <c r="B77" s="359" t="s">
        <v>417</v>
      </c>
      <c r="C77" s="348"/>
      <c r="D77" s="348">
        <v>0.15</v>
      </c>
      <c r="E77" s="348">
        <v>3</v>
      </c>
      <c r="F77" s="348"/>
      <c r="G77" s="348"/>
      <c r="H77" s="348">
        <v>4</v>
      </c>
      <c r="I77" s="348"/>
      <c r="J77" s="348"/>
      <c r="K77" s="348"/>
      <c r="L77" s="348"/>
      <c r="M77" s="348">
        <v>9</v>
      </c>
      <c r="N77" s="348">
        <f>D77*E77*H77*M77</f>
        <v>16.2</v>
      </c>
      <c r="O77" s="349" t="s">
        <v>89</v>
      </c>
      <c r="P77" s="784">
        <f>ROUND((N77),2)</f>
        <v>16.2</v>
      </c>
      <c r="Q77" s="398"/>
      <c r="R77" s="564"/>
      <c r="S77" s="398"/>
      <c r="T77" s="398"/>
      <c r="U77" s="398"/>
      <c r="V77" s="738"/>
      <c r="W77" s="738"/>
      <c r="X77" s="738"/>
    </row>
    <row r="78" spans="1:24" ht="15.75" customHeight="1">
      <c r="A78" s="355" t="s">
        <v>98</v>
      </c>
      <c r="B78" s="359" t="s">
        <v>1165</v>
      </c>
      <c r="C78" s="348"/>
      <c r="D78" s="348"/>
      <c r="E78" s="348">
        <f>E77</f>
        <v>3</v>
      </c>
      <c r="F78" s="348">
        <v>6</v>
      </c>
      <c r="G78" s="348"/>
      <c r="H78" s="348"/>
      <c r="I78" s="348"/>
      <c r="J78" s="348">
        <f>J73</f>
        <v>0.25</v>
      </c>
      <c r="K78" s="348"/>
      <c r="L78" s="348">
        <f>10*10*0.006165</f>
        <v>0.61650000000000005</v>
      </c>
      <c r="M78" s="348">
        <f>M77</f>
        <v>9</v>
      </c>
      <c r="N78" s="348">
        <f>(E78+J78)*F78*L78*M78</f>
        <v>108.19575</v>
      </c>
      <c r="O78" s="349" t="s">
        <v>100</v>
      </c>
      <c r="P78" s="784">
        <f>ROUND((N78),2)</f>
        <v>108.2</v>
      </c>
      <c r="Q78" s="398"/>
      <c r="R78" s="564"/>
      <c r="S78" s="398"/>
      <c r="T78" s="398"/>
      <c r="U78" s="398"/>
      <c r="V78" s="738"/>
      <c r="W78" s="738"/>
      <c r="X78" s="738"/>
    </row>
    <row r="79" spans="1:24" ht="15.75" customHeight="1">
      <c r="A79" s="355" t="s">
        <v>101</v>
      </c>
      <c r="B79" s="359" t="s">
        <v>525</v>
      </c>
      <c r="C79" s="348">
        <f>C74</f>
        <v>0.28000000000000003</v>
      </c>
      <c r="D79" s="348"/>
      <c r="E79" s="348"/>
      <c r="F79" s="348">
        <f>ROUNDDOWN((E78/0.125),0.1)</f>
        <v>24</v>
      </c>
      <c r="G79" s="348"/>
      <c r="H79" s="348"/>
      <c r="I79" s="348">
        <f>0.05*2</f>
        <v>0.1</v>
      </c>
      <c r="J79" s="348"/>
      <c r="K79" s="348"/>
      <c r="L79" s="348">
        <f>6*6*0.006165</f>
        <v>0.22194000000000003</v>
      </c>
      <c r="M79" s="348">
        <f>M78</f>
        <v>9</v>
      </c>
      <c r="N79" s="348">
        <f>(C79+I79)*F79*L79*M79</f>
        <v>18.216835200000006</v>
      </c>
      <c r="O79" s="349" t="s">
        <v>100</v>
      </c>
      <c r="P79" s="784">
        <f>ROUND((N79),2)</f>
        <v>18.22</v>
      </c>
      <c r="Q79" s="398"/>
      <c r="R79" s="564"/>
      <c r="S79" s="398"/>
      <c r="T79" s="398"/>
      <c r="U79" s="398"/>
      <c r="V79" s="738"/>
      <c r="W79" s="738"/>
      <c r="X79" s="738"/>
    </row>
    <row r="80" spans="1:24" ht="15.75" customHeight="1">
      <c r="A80" s="355" t="s">
        <v>121</v>
      </c>
      <c r="B80" s="356" t="s">
        <v>169</v>
      </c>
      <c r="C80" s="348">
        <v>0.15</v>
      </c>
      <c r="D80" s="348">
        <v>0.15</v>
      </c>
      <c r="E80" s="348">
        <f>E78</f>
        <v>3</v>
      </c>
      <c r="F80" s="348"/>
      <c r="G80" s="348"/>
      <c r="H80" s="348"/>
      <c r="I80" s="348"/>
      <c r="J80" s="348"/>
      <c r="K80" s="348"/>
      <c r="L80" s="348"/>
      <c r="M80" s="348">
        <f>M78</f>
        <v>9</v>
      </c>
      <c r="N80" s="348">
        <f>C80*D80*E80*M80</f>
        <v>0.60750000000000004</v>
      </c>
      <c r="O80" s="349" t="s">
        <v>103</v>
      </c>
      <c r="P80" s="784">
        <f>ROUND((N80),2)</f>
        <v>0.61</v>
      </c>
      <c r="Q80" s="398"/>
      <c r="R80" s="564"/>
      <c r="S80" s="398"/>
      <c r="T80" s="398"/>
      <c r="U80" s="398"/>
      <c r="V80" s="738"/>
      <c r="W80" s="738"/>
      <c r="X80" s="738"/>
    </row>
    <row r="81" spans="1:24" ht="15.75" customHeight="1">
      <c r="A81" s="350">
        <f>A76+1</f>
        <v>9</v>
      </c>
      <c r="B81" s="359" t="s">
        <v>531</v>
      </c>
      <c r="C81" s="348"/>
      <c r="D81" s="348"/>
      <c r="E81" s="348"/>
      <c r="F81" s="348"/>
      <c r="G81" s="348"/>
      <c r="H81" s="348"/>
      <c r="I81" s="348"/>
      <c r="J81" s="348"/>
      <c r="K81" s="348"/>
      <c r="L81" s="348"/>
      <c r="M81" s="348"/>
      <c r="N81" s="348"/>
      <c r="O81" s="349"/>
      <c r="P81" s="784"/>
      <c r="Q81" s="398"/>
      <c r="R81" s="564"/>
      <c r="S81" s="398"/>
      <c r="T81" s="398"/>
      <c r="U81" s="398"/>
      <c r="V81" s="738"/>
      <c r="W81" s="738"/>
      <c r="X81" s="738"/>
    </row>
    <row r="82" spans="1:24" ht="15.75" customHeight="1">
      <c r="A82" s="355" t="s">
        <v>95</v>
      </c>
      <c r="B82" s="359" t="s">
        <v>423</v>
      </c>
      <c r="C82" s="348"/>
      <c r="D82" s="348"/>
      <c r="E82" s="348"/>
      <c r="F82" s="348"/>
      <c r="G82" s="348"/>
      <c r="H82" s="348"/>
      <c r="I82" s="348"/>
      <c r="J82" s="348"/>
      <c r="K82" s="348"/>
      <c r="L82" s="348"/>
      <c r="M82" s="348"/>
      <c r="N82" s="348"/>
      <c r="O82" s="349"/>
      <c r="P82" s="784"/>
      <c r="Q82" s="398"/>
      <c r="R82" s="564"/>
      <c r="S82" s="398"/>
      <c r="T82" s="398"/>
      <c r="U82" s="398"/>
      <c r="V82" s="738"/>
      <c r="W82" s="738"/>
      <c r="X82" s="738"/>
    </row>
    <row r="83" spans="1:24" ht="15.75" customHeight="1">
      <c r="A83" s="355"/>
      <c r="B83" s="567" t="s">
        <v>227</v>
      </c>
      <c r="C83" s="348">
        <f>C63</f>
        <v>8</v>
      </c>
      <c r="D83" s="348"/>
      <c r="E83" s="348">
        <v>0.3</v>
      </c>
      <c r="F83" s="348"/>
      <c r="G83" s="348"/>
      <c r="H83" s="348">
        <v>2</v>
      </c>
      <c r="I83" s="348"/>
      <c r="J83" s="348"/>
      <c r="K83" s="348"/>
      <c r="L83" s="348"/>
      <c r="M83" s="348">
        <v>2</v>
      </c>
      <c r="N83" s="348">
        <f>C83*E83*H83*M83</f>
        <v>9.6</v>
      </c>
      <c r="O83" s="349"/>
      <c r="P83" s="784"/>
      <c r="Q83" s="398"/>
      <c r="R83" s="564"/>
      <c r="S83" s="398"/>
      <c r="T83" s="398"/>
      <c r="U83" s="398"/>
      <c r="V83" s="738"/>
      <c r="W83" s="738"/>
      <c r="X83" s="738"/>
    </row>
    <row r="84" spans="1:24" ht="15.75" customHeight="1">
      <c r="A84" s="355"/>
      <c r="B84" s="567"/>
      <c r="C84" s="348">
        <f>C83</f>
        <v>8</v>
      </c>
      <c r="D84" s="348">
        <v>0.15</v>
      </c>
      <c r="E84" s="348"/>
      <c r="F84" s="348"/>
      <c r="G84" s="348"/>
      <c r="H84" s="348">
        <v>1</v>
      </c>
      <c r="I84" s="348"/>
      <c r="J84" s="348"/>
      <c r="K84" s="348"/>
      <c r="L84" s="348"/>
      <c r="M84" s="348">
        <f>M83</f>
        <v>2</v>
      </c>
      <c r="N84" s="364">
        <f>C84*D84*H84*M84</f>
        <v>2.4</v>
      </c>
      <c r="O84" s="349"/>
      <c r="P84" s="784"/>
      <c r="Q84" s="398"/>
      <c r="R84" s="564"/>
      <c r="S84" s="398"/>
      <c r="T84" s="398"/>
      <c r="U84" s="398"/>
      <c r="V84" s="738"/>
      <c r="W84" s="738"/>
      <c r="X84" s="738"/>
    </row>
    <row r="85" spans="1:24" ht="15.75" customHeight="1">
      <c r="A85" s="355"/>
      <c r="B85" s="567" t="s">
        <v>202</v>
      </c>
      <c r="C85" s="348">
        <f>C64</f>
        <v>5</v>
      </c>
      <c r="D85" s="348"/>
      <c r="E85" s="348">
        <f>E83</f>
        <v>0.3</v>
      </c>
      <c r="F85" s="348"/>
      <c r="G85" s="348"/>
      <c r="H85" s="348">
        <f>H83</f>
        <v>2</v>
      </c>
      <c r="I85" s="348"/>
      <c r="J85" s="348"/>
      <c r="K85" s="348"/>
      <c r="L85" s="348"/>
      <c r="M85" s="348">
        <f>M83</f>
        <v>2</v>
      </c>
      <c r="N85" s="348">
        <f>C85*E85*H85*M85</f>
        <v>6</v>
      </c>
      <c r="O85" s="349"/>
      <c r="P85" s="784"/>
      <c r="Q85" s="398"/>
      <c r="R85" s="564"/>
      <c r="S85" s="398"/>
      <c r="T85" s="398"/>
      <c r="U85" s="398"/>
      <c r="V85" s="738"/>
      <c r="W85" s="738"/>
      <c r="X85" s="738"/>
    </row>
    <row r="86" spans="1:24" ht="15.75" customHeight="1">
      <c r="A86" s="355"/>
      <c r="B86" s="567"/>
      <c r="C86" s="348">
        <f>C85</f>
        <v>5</v>
      </c>
      <c r="D86" s="348">
        <f>D84</f>
        <v>0.15</v>
      </c>
      <c r="E86" s="348"/>
      <c r="F86" s="348"/>
      <c r="G86" s="348"/>
      <c r="H86" s="348">
        <f>H84</f>
        <v>1</v>
      </c>
      <c r="I86" s="348"/>
      <c r="J86" s="348"/>
      <c r="K86" s="348"/>
      <c r="L86" s="348"/>
      <c r="M86" s="348">
        <f>M85</f>
        <v>2</v>
      </c>
      <c r="N86" s="565">
        <f>C86*D86*H86*M86</f>
        <v>1.5</v>
      </c>
      <c r="O86" s="349"/>
      <c r="P86" s="784"/>
      <c r="Q86" s="398"/>
      <c r="R86" s="564"/>
      <c r="S86" s="398"/>
      <c r="T86" s="398"/>
      <c r="U86" s="398"/>
      <c r="V86" s="738"/>
      <c r="W86" s="738"/>
      <c r="X86" s="738"/>
    </row>
    <row r="87" spans="1:24" ht="15.75" customHeight="1">
      <c r="A87" s="355"/>
      <c r="B87" s="359"/>
      <c r="C87" s="348"/>
      <c r="D87" s="348"/>
      <c r="E87" s="348"/>
      <c r="F87" s="348"/>
      <c r="G87" s="348"/>
      <c r="H87" s="348"/>
      <c r="I87" s="348"/>
      <c r="J87" s="348"/>
      <c r="K87" s="348"/>
      <c r="L87" s="348"/>
      <c r="M87" s="348"/>
      <c r="N87" s="343">
        <f>SUM(N83:N86)</f>
        <v>19.5</v>
      </c>
      <c r="O87" s="349" t="s">
        <v>89</v>
      </c>
      <c r="P87" s="784">
        <f>ROUND((N87),2)</f>
        <v>19.5</v>
      </c>
      <c r="Q87" s="398"/>
      <c r="R87" s="564"/>
      <c r="S87" s="398"/>
      <c r="T87" s="398"/>
      <c r="U87" s="398"/>
      <c r="V87" s="738"/>
      <c r="W87" s="738"/>
      <c r="X87" s="738"/>
    </row>
    <row r="88" spans="1:24" ht="15.75" customHeight="1">
      <c r="A88" s="355" t="s">
        <v>98</v>
      </c>
      <c r="B88" s="359" t="s">
        <v>741</v>
      </c>
      <c r="C88" s="348"/>
      <c r="D88" s="348"/>
      <c r="E88" s="348"/>
      <c r="F88" s="348"/>
      <c r="G88" s="348"/>
      <c r="H88" s="348"/>
      <c r="I88" s="348"/>
      <c r="J88" s="348"/>
      <c r="K88" s="348"/>
      <c r="L88" s="348"/>
      <c r="M88" s="348"/>
      <c r="N88" s="348"/>
      <c r="O88" s="349"/>
      <c r="P88" s="784"/>
      <c r="Q88" s="398"/>
      <c r="R88" s="564"/>
      <c r="S88" s="398"/>
      <c r="T88" s="398"/>
      <c r="U88" s="398"/>
      <c r="V88" s="738"/>
      <c r="W88" s="738"/>
      <c r="X88" s="738"/>
    </row>
    <row r="89" spans="1:24" ht="15.75" customHeight="1">
      <c r="A89" s="355"/>
      <c r="B89" s="567" t="str">
        <f>B83</f>
        <v>vertikal</v>
      </c>
      <c r="C89" s="348">
        <f>C83</f>
        <v>8</v>
      </c>
      <c r="D89" s="348"/>
      <c r="E89" s="348"/>
      <c r="F89" s="348">
        <v>5</v>
      </c>
      <c r="G89" s="348"/>
      <c r="H89" s="348"/>
      <c r="I89" s="348"/>
      <c r="J89" s="348"/>
      <c r="K89" s="348"/>
      <c r="L89" s="348">
        <f>10*10*0.006165</f>
        <v>0.61650000000000005</v>
      </c>
      <c r="M89" s="348">
        <f>M83</f>
        <v>2</v>
      </c>
      <c r="N89" s="348">
        <f>C89*F89*L89*M89</f>
        <v>49.320000000000007</v>
      </c>
      <c r="O89" s="349"/>
      <c r="P89" s="784"/>
      <c r="Q89" s="398"/>
      <c r="R89" s="564"/>
      <c r="S89" s="398"/>
      <c r="T89" s="398"/>
      <c r="U89" s="398"/>
      <c r="V89" s="738"/>
      <c r="W89" s="738"/>
      <c r="X89" s="738"/>
    </row>
    <row r="90" spans="1:24" ht="15.75" customHeight="1">
      <c r="A90" s="355"/>
      <c r="B90" s="567" t="str">
        <f>B85</f>
        <v>horizontal</v>
      </c>
      <c r="C90" s="348">
        <f>C85</f>
        <v>5</v>
      </c>
      <c r="D90" s="348"/>
      <c r="E90" s="348"/>
      <c r="F90" s="348">
        <f>F89</f>
        <v>5</v>
      </c>
      <c r="G90" s="348"/>
      <c r="H90" s="348"/>
      <c r="I90" s="348"/>
      <c r="J90" s="348"/>
      <c r="K90" s="348"/>
      <c r="L90" s="348">
        <f>L89</f>
        <v>0.61650000000000005</v>
      </c>
      <c r="M90" s="348">
        <f>M85</f>
        <v>2</v>
      </c>
      <c r="N90" s="565">
        <f>C90*F90*L90*M90</f>
        <v>30.825000000000003</v>
      </c>
      <c r="O90" s="349"/>
      <c r="P90" s="784"/>
      <c r="Q90" s="398"/>
      <c r="R90" s="564"/>
      <c r="S90" s="398"/>
      <c r="T90" s="398"/>
      <c r="U90" s="398"/>
      <c r="V90" s="738"/>
      <c r="W90" s="738"/>
      <c r="X90" s="738"/>
    </row>
    <row r="91" spans="1:24" ht="15.75" customHeight="1">
      <c r="A91" s="355"/>
      <c r="B91" s="359"/>
      <c r="C91" s="348"/>
      <c r="D91" s="348"/>
      <c r="E91" s="348"/>
      <c r="F91" s="348"/>
      <c r="G91" s="348"/>
      <c r="H91" s="348"/>
      <c r="I91" s="348"/>
      <c r="J91" s="348"/>
      <c r="K91" s="348"/>
      <c r="L91" s="348"/>
      <c r="M91" s="348"/>
      <c r="N91" s="343">
        <f>SUM(N89:N90)</f>
        <v>80.14500000000001</v>
      </c>
      <c r="O91" s="349" t="s">
        <v>100</v>
      </c>
      <c r="P91" s="784">
        <f>ROUND((N91),2)</f>
        <v>80.150000000000006</v>
      </c>
      <c r="Q91" s="398"/>
      <c r="R91" s="564"/>
      <c r="S91" s="398"/>
      <c r="T91" s="398"/>
      <c r="U91" s="398"/>
      <c r="V91" s="738"/>
      <c r="W91" s="738"/>
      <c r="X91" s="738"/>
    </row>
    <row r="92" spans="1:24" ht="15.75" customHeight="1">
      <c r="A92" s="355" t="s">
        <v>101</v>
      </c>
      <c r="B92" s="359" t="s">
        <v>525</v>
      </c>
      <c r="C92" s="348"/>
      <c r="D92" s="348"/>
      <c r="E92" s="348"/>
      <c r="F92" s="348"/>
      <c r="G92" s="348"/>
      <c r="H92" s="348"/>
      <c r="I92" s="348"/>
      <c r="J92" s="348"/>
      <c r="K92" s="348"/>
      <c r="L92" s="348"/>
      <c r="M92" s="348"/>
      <c r="N92" s="348"/>
      <c r="O92" s="349"/>
      <c r="P92" s="784"/>
      <c r="Q92" s="398"/>
      <c r="R92" s="564"/>
      <c r="S92" s="398"/>
      <c r="T92" s="398"/>
      <c r="U92" s="398"/>
      <c r="V92" s="738"/>
      <c r="W92" s="738"/>
      <c r="X92" s="738"/>
    </row>
    <row r="93" spans="1:24" ht="15.75" customHeight="1">
      <c r="A93" s="355"/>
      <c r="B93" s="567" t="str">
        <f>B89</f>
        <v>vertikal</v>
      </c>
      <c r="C93" s="348">
        <f>(0.07+0.22)*2</f>
        <v>0.58000000000000007</v>
      </c>
      <c r="D93" s="348"/>
      <c r="E93" s="348"/>
      <c r="F93" s="348">
        <f>ROUNDDOWN((C89/0.125),0.1)</f>
        <v>64</v>
      </c>
      <c r="G93" s="348"/>
      <c r="H93" s="348"/>
      <c r="I93" s="348">
        <f>0.05*2</f>
        <v>0.1</v>
      </c>
      <c r="J93" s="348"/>
      <c r="K93" s="348"/>
      <c r="L93" s="348">
        <f>6*6*0.006165</f>
        <v>0.22194000000000003</v>
      </c>
      <c r="M93" s="348">
        <f>M89</f>
        <v>2</v>
      </c>
      <c r="N93" s="348">
        <f>(C93+I93)*F93*L93*M93</f>
        <v>19.317657600000004</v>
      </c>
      <c r="O93" s="349"/>
      <c r="P93" s="784"/>
      <c r="Q93" s="398"/>
      <c r="R93" s="564"/>
      <c r="S93" s="398"/>
      <c r="T93" s="398"/>
      <c r="U93" s="398"/>
      <c r="V93" s="738"/>
      <c r="W93" s="738"/>
      <c r="X93" s="738"/>
    </row>
    <row r="94" spans="1:24" ht="15.75" customHeight="1">
      <c r="A94" s="355"/>
      <c r="B94" s="567" t="str">
        <f>B90</f>
        <v>horizontal</v>
      </c>
      <c r="C94" s="348">
        <f>C93</f>
        <v>0.58000000000000007</v>
      </c>
      <c r="D94" s="348"/>
      <c r="E94" s="348"/>
      <c r="F94" s="348">
        <f>ROUNDDOWN((C90/0.125),0.1)</f>
        <v>40</v>
      </c>
      <c r="G94" s="348"/>
      <c r="H94" s="348"/>
      <c r="I94" s="348">
        <f>I93</f>
        <v>0.1</v>
      </c>
      <c r="J94" s="348"/>
      <c r="K94" s="348"/>
      <c r="L94" s="348">
        <f>L93</f>
        <v>0.22194000000000003</v>
      </c>
      <c r="M94" s="348">
        <f>M90</f>
        <v>2</v>
      </c>
      <c r="N94" s="565">
        <f>(C94+I94)*F94*L94*M94</f>
        <v>12.073536000000002</v>
      </c>
      <c r="O94" s="349"/>
      <c r="P94" s="784"/>
      <c r="Q94" s="398"/>
      <c r="R94" s="564"/>
      <c r="S94" s="398"/>
      <c r="T94" s="398"/>
      <c r="U94" s="398"/>
      <c r="V94" s="738"/>
      <c r="W94" s="738"/>
      <c r="X94" s="738"/>
    </row>
    <row r="95" spans="1:24" ht="15.75" customHeight="1">
      <c r="A95" s="355"/>
      <c r="B95" s="359"/>
      <c r="C95" s="348"/>
      <c r="D95" s="348"/>
      <c r="E95" s="348"/>
      <c r="F95" s="348"/>
      <c r="G95" s="348"/>
      <c r="H95" s="348"/>
      <c r="I95" s="348"/>
      <c r="J95" s="348"/>
      <c r="K95" s="348"/>
      <c r="L95" s="348"/>
      <c r="M95" s="348"/>
      <c r="N95" s="343">
        <f>SUM(N93:N94)</f>
        <v>31.391193600000008</v>
      </c>
      <c r="O95" s="349" t="s">
        <v>100</v>
      </c>
      <c r="P95" s="784">
        <f>ROUND((N95),2)</f>
        <v>31.39</v>
      </c>
      <c r="Q95" s="398"/>
      <c r="R95" s="564"/>
      <c r="S95" s="398"/>
      <c r="T95" s="398"/>
      <c r="U95" s="398"/>
      <c r="V95" s="738"/>
      <c r="W95" s="738"/>
      <c r="X95" s="738"/>
    </row>
    <row r="96" spans="1:24" ht="15.75" customHeight="1">
      <c r="A96" s="355" t="s">
        <v>121</v>
      </c>
      <c r="B96" s="356" t="s">
        <v>169</v>
      </c>
      <c r="C96" s="348"/>
      <c r="D96" s="348"/>
      <c r="E96" s="348"/>
      <c r="F96" s="348"/>
      <c r="G96" s="348"/>
      <c r="H96" s="348"/>
      <c r="I96" s="348"/>
      <c r="J96" s="348"/>
      <c r="K96" s="348"/>
      <c r="L96" s="348"/>
      <c r="M96" s="348"/>
      <c r="N96" s="348"/>
      <c r="O96" s="349"/>
      <c r="P96" s="784"/>
      <c r="Q96" s="398"/>
      <c r="R96" s="564"/>
      <c r="S96" s="398"/>
      <c r="T96" s="398"/>
      <c r="U96" s="398"/>
      <c r="V96" s="738"/>
      <c r="W96" s="738"/>
      <c r="X96" s="738"/>
    </row>
    <row r="97" spans="1:24" ht="15.75" customHeight="1">
      <c r="A97" s="355"/>
      <c r="B97" s="567" t="str">
        <f>B93</f>
        <v>vertikal</v>
      </c>
      <c r="C97" s="348">
        <f>C89</f>
        <v>8</v>
      </c>
      <c r="D97" s="348">
        <f>D84</f>
        <v>0.15</v>
      </c>
      <c r="E97" s="348">
        <f>E83</f>
        <v>0.3</v>
      </c>
      <c r="F97" s="348"/>
      <c r="G97" s="348"/>
      <c r="H97" s="348"/>
      <c r="I97" s="348"/>
      <c r="J97" s="348"/>
      <c r="K97" s="348"/>
      <c r="L97" s="348"/>
      <c r="M97" s="348">
        <f>M93</f>
        <v>2</v>
      </c>
      <c r="N97" s="348">
        <f>C97*D97*E97*M97</f>
        <v>0.72</v>
      </c>
      <c r="O97" s="349"/>
      <c r="P97" s="784"/>
      <c r="Q97" s="398"/>
      <c r="R97" s="564"/>
      <c r="S97" s="398"/>
      <c r="T97" s="398"/>
      <c r="U97" s="398"/>
      <c r="V97" s="738"/>
      <c r="W97" s="738"/>
      <c r="X97" s="738"/>
    </row>
    <row r="98" spans="1:24" ht="15.75" customHeight="1">
      <c r="A98" s="355"/>
      <c r="B98" s="567" t="str">
        <f>B94</f>
        <v>horizontal</v>
      </c>
      <c r="C98" s="348">
        <f>C90</f>
        <v>5</v>
      </c>
      <c r="D98" s="348">
        <f>D97</f>
        <v>0.15</v>
      </c>
      <c r="E98" s="348">
        <f>E97</f>
        <v>0.3</v>
      </c>
      <c r="F98" s="348"/>
      <c r="G98" s="348"/>
      <c r="H98" s="348"/>
      <c r="I98" s="348"/>
      <c r="J98" s="348"/>
      <c r="K98" s="348"/>
      <c r="L98" s="348"/>
      <c r="M98" s="348">
        <f>M94</f>
        <v>2</v>
      </c>
      <c r="N98" s="565">
        <f>C98*D98*E98*M98</f>
        <v>0.44999999999999996</v>
      </c>
      <c r="O98" s="349"/>
      <c r="P98" s="784"/>
      <c r="Q98" s="398"/>
      <c r="R98" s="564"/>
      <c r="S98" s="398"/>
      <c r="T98" s="398"/>
      <c r="U98" s="398"/>
      <c r="V98" s="738"/>
      <c r="W98" s="738"/>
      <c r="X98" s="738"/>
    </row>
    <row r="99" spans="1:24" ht="15.75" customHeight="1">
      <c r="A99" s="355"/>
      <c r="B99" s="359"/>
      <c r="C99" s="348"/>
      <c r="D99" s="348"/>
      <c r="E99" s="348"/>
      <c r="F99" s="348"/>
      <c r="G99" s="348"/>
      <c r="H99" s="348"/>
      <c r="I99" s="348"/>
      <c r="J99" s="348"/>
      <c r="K99" s="348"/>
      <c r="L99" s="348"/>
      <c r="M99" s="348"/>
      <c r="N99" s="343">
        <f>SUM(N97:N98)</f>
        <v>1.17</v>
      </c>
      <c r="O99" s="349" t="s">
        <v>103</v>
      </c>
      <c r="P99" s="784">
        <f>ROUND((N99),2)</f>
        <v>1.17</v>
      </c>
      <c r="Q99" s="398"/>
      <c r="R99" s="564"/>
      <c r="S99" s="398"/>
      <c r="T99" s="398"/>
      <c r="U99" s="398"/>
      <c r="V99" s="738"/>
      <c r="W99" s="738"/>
      <c r="X99" s="738"/>
    </row>
    <row r="100" spans="1:24" s="554" customFormat="1" ht="15.75" customHeight="1">
      <c r="A100" s="350">
        <f>A81+1</f>
        <v>10</v>
      </c>
      <c r="B100" s="359" t="s">
        <v>532</v>
      </c>
      <c r="C100" s="348"/>
      <c r="D100" s="348"/>
      <c r="E100" s="348"/>
      <c r="F100" s="348"/>
      <c r="G100" s="348"/>
      <c r="H100" s="348"/>
      <c r="I100" s="348"/>
      <c r="J100" s="348"/>
      <c r="K100" s="348"/>
      <c r="L100" s="348"/>
      <c r="M100" s="348"/>
      <c r="N100" s="343"/>
      <c r="O100" s="349"/>
      <c r="P100" s="784"/>
      <c r="Q100" s="398"/>
      <c r="R100" s="564"/>
      <c r="S100" s="398"/>
      <c r="T100" s="398"/>
      <c r="U100" s="398"/>
      <c r="V100" s="555"/>
      <c r="W100" s="555"/>
      <c r="X100" s="555"/>
    </row>
    <row r="101" spans="1:24" s="554" customFormat="1" ht="15.75" customHeight="1">
      <c r="A101" s="355" t="s">
        <v>95</v>
      </c>
      <c r="B101" s="359" t="s">
        <v>423</v>
      </c>
      <c r="C101" s="348">
        <f>1/8*4</f>
        <v>0.5</v>
      </c>
      <c r="D101" s="348"/>
      <c r="E101" s="348">
        <v>0.15</v>
      </c>
      <c r="F101" s="348"/>
      <c r="G101" s="348"/>
      <c r="H101" s="348">
        <v>3</v>
      </c>
      <c r="I101" s="348"/>
      <c r="J101" s="348"/>
      <c r="K101" s="348"/>
      <c r="L101" s="348"/>
      <c r="M101" s="348">
        <f>M77-1</f>
        <v>8</v>
      </c>
      <c r="N101" s="343">
        <f>C101*E101*H101*M101</f>
        <v>1.7999999999999998</v>
      </c>
      <c r="O101" s="349" t="s">
        <v>89</v>
      </c>
      <c r="P101" s="784">
        <f>ROUND((N101),2)</f>
        <v>1.8</v>
      </c>
      <c r="Q101" s="398"/>
      <c r="R101" s="564"/>
      <c r="S101" s="398"/>
      <c r="T101" s="398"/>
      <c r="U101" s="398"/>
      <c r="V101" s="555"/>
      <c r="W101" s="555"/>
      <c r="X101" s="555"/>
    </row>
    <row r="102" spans="1:24" s="554" customFormat="1" ht="15.75" customHeight="1">
      <c r="A102" s="355" t="s">
        <v>98</v>
      </c>
      <c r="B102" s="359" t="s">
        <v>741</v>
      </c>
      <c r="C102" s="348">
        <f>C101+(0.05*2)</f>
        <v>0.6</v>
      </c>
      <c r="D102" s="348"/>
      <c r="E102" s="348"/>
      <c r="F102" s="348">
        <v>5</v>
      </c>
      <c r="G102" s="348"/>
      <c r="H102" s="348"/>
      <c r="I102" s="348">
        <f>0.02*2</f>
        <v>0.04</v>
      </c>
      <c r="J102" s="348">
        <f>0.05*2</f>
        <v>0.1</v>
      </c>
      <c r="K102" s="348"/>
      <c r="L102" s="348">
        <f>10*10*0.006165</f>
        <v>0.61650000000000005</v>
      </c>
      <c r="M102" s="348">
        <f>M101</f>
        <v>8</v>
      </c>
      <c r="N102" s="348">
        <f>(C102+I102+J102)*F102*L102*M102</f>
        <v>18.248400000000004</v>
      </c>
      <c r="O102" s="349" t="s">
        <v>100</v>
      </c>
      <c r="P102" s="784">
        <f>ROUND((N102),2)</f>
        <v>18.25</v>
      </c>
      <c r="Q102" s="398"/>
      <c r="R102" s="564"/>
      <c r="S102" s="398"/>
      <c r="T102" s="398"/>
      <c r="U102" s="398"/>
      <c r="V102" s="555"/>
      <c r="W102" s="555"/>
      <c r="X102" s="555"/>
    </row>
    <row r="103" spans="1:24" s="554" customFormat="1" ht="15.75" customHeight="1">
      <c r="A103" s="355" t="s">
        <v>101</v>
      </c>
      <c r="B103" s="359" t="s">
        <v>525</v>
      </c>
      <c r="C103" s="348">
        <f>C74</f>
        <v>0.28000000000000003</v>
      </c>
      <c r="D103" s="348"/>
      <c r="E103" s="348"/>
      <c r="F103" s="348">
        <f>ROUNDDOWN((C102/0.125),0.1)</f>
        <v>4</v>
      </c>
      <c r="G103" s="348"/>
      <c r="H103" s="348"/>
      <c r="I103" s="348">
        <f>0.05*2</f>
        <v>0.1</v>
      </c>
      <c r="J103" s="348"/>
      <c r="K103" s="348"/>
      <c r="L103" s="348">
        <f>6*6*0.006165</f>
        <v>0.22194000000000003</v>
      </c>
      <c r="M103" s="348">
        <f>M102</f>
        <v>8</v>
      </c>
      <c r="N103" s="348">
        <f>(C103+I103)*F103*L103*M103</f>
        <v>2.6987904000000005</v>
      </c>
      <c r="O103" s="349" t="s">
        <v>100</v>
      </c>
      <c r="P103" s="784">
        <f>ROUND((N103),2)</f>
        <v>2.7</v>
      </c>
      <c r="Q103" s="398"/>
      <c r="R103" s="564"/>
      <c r="S103" s="398"/>
      <c r="T103" s="398"/>
      <c r="U103" s="398"/>
      <c r="V103" s="555"/>
      <c r="W103" s="555"/>
      <c r="X103" s="555"/>
    </row>
    <row r="104" spans="1:24" s="554" customFormat="1" ht="15.75" customHeight="1">
      <c r="A104" s="355" t="s">
        <v>121</v>
      </c>
      <c r="B104" s="356" t="s">
        <v>169</v>
      </c>
      <c r="C104" s="348">
        <f>C101</f>
        <v>0.5</v>
      </c>
      <c r="D104" s="348">
        <v>0.15</v>
      </c>
      <c r="E104" s="348">
        <v>0.15</v>
      </c>
      <c r="F104" s="348"/>
      <c r="G104" s="348"/>
      <c r="H104" s="348"/>
      <c r="I104" s="348"/>
      <c r="J104" s="348"/>
      <c r="K104" s="348"/>
      <c r="L104" s="348"/>
      <c r="M104" s="348">
        <f>M103</f>
        <v>8</v>
      </c>
      <c r="N104" s="343">
        <f>C104*D104*E104*M104</f>
        <v>0.09</v>
      </c>
      <c r="O104" s="349" t="s">
        <v>103</v>
      </c>
      <c r="P104" s="784">
        <f>ROUND((N104),2)</f>
        <v>0.09</v>
      </c>
      <c r="Q104" s="398"/>
      <c r="R104" s="564"/>
      <c r="S104" s="398"/>
      <c r="T104" s="398"/>
      <c r="U104" s="398"/>
      <c r="V104" s="555"/>
      <c r="W104" s="555"/>
      <c r="X104" s="555"/>
    </row>
    <row r="105" spans="1:24" ht="15.75" customHeight="1">
      <c r="A105" s="350">
        <f>A100+1</f>
        <v>11</v>
      </c>
      <c r="B105" s="359" t="s">
        <v>533</v>
      </c>
      <c r="C105" s="348"/>
      <c r="D105" s="348"/>
      <c r="E105" s="348"/>
      <c r="F105" s="348"/>
      <c r="G105" s="348"/>
      <c r="H105" s="348"/>
      <c r="I105" s="348"/>
      <c r="J105" s="348"/>
      <c r="K105" s="348"/>
      <c r="L105" s="348"/>
      <c r="M105" s="348"/>
      <c r="N105" s="348"/>
      <c r="O105" s="349"/>
      <c r="P105" s="784"/>
      <c r="Q105" s="398"/>
      <c r="R105" s="564"/>
      <c r="S105" s="398"/>
      <c r="T105" s="398"/>
      <c r="U105" s="398"/>
      <c r="V105" s="738"/>
      <c r="W105" s="738"/>
      <c r="X105" s="738"/>
    </row>
    <row r="106" spans="1:24" ht="15.75" customHeight="1">
      <c r="A106" s="355" t="s">
        <v>95</v>
      </c>
      <c r="B106" s="359" t="s">
        <v>423</v>
      </c>
      <c r="C106" s="348"/>
      <c r="D106" s="348"/>
      <c r="E106" s="348"/>
      <c r="F106" s="348"/>
      <c r="G106" s="348"/>
      <c r="H106" s="348"/>
      <c r="I106" s="348"/>
      <c r="J106" s="348"/>
      <c r="K106" s="348"/>
      <c r="L106" s="348"/>
      <c r="M106" s="348"/>
      <c r="N106" s="348"/>
      <c r="O106" s="349"/>
      <c r="P106" s="784"/>
      <c r="Q106" s="398"/>
      <c r="R106" s="564"/>
      <c r="S106" s="398"/>
      <c r="T106" s="398"/>
      <c r="U106" s="398"/>
      <c r="V106" s="738"/>
      <c r="W106" s="738"/>
      <c r="X106" s="738"/>
    </row>
    <row r="107" spans="1:24" ht="15.75" customHeight="1">
      <c r="A107" s="355"/>
      <c r="B107" s="567" t="s">
        <v>202</v>
      </c>
      <c r="C107" s="348">
        <v>5</v>
      </c>
      <c r="D107" s="348"/>
      <c r="E107" s="348">
        <f>E83</f>
        <v>0.3</v>
      </c>
      <c r="F107" s="348"/>
      <c r="G107" s="348"/>
      <c r="H107" s="348">
        <f>H83</f>
        <v>2</v>
      </c>
      <c r="I107" s="348"/>
      <c r="J107" s="348"/>
      <c r="K107" s="348"/>
      <c r="L107" s="348"/>
      <c r="M107" s="348">
        <v>1</v>
      </c>
      <c r="N107" s="348">
        <f>C107*E107*H107*M107</f>
        <v>3</v>
      </c>
      <c r="O107" s="349"/>
      <c r="P107" s="784"/>
      <c r="Q107" s="398"/>
      <c r="R107" s="564"/>
      <c r="S107" s="398"/>
      <c r="T107" s="398"/>
      <c r="U107" s="398"/>
      <c r="V107" s="738"/>
      <c r="W107" s="738"/>
      <c r="X107" s="738"/>
    </row>
    <row r="108" spans="1:24" ht="15.75" customHeight="1">
      <c r="A108" s="355"/>
      <c r="B108" s="359"/>
      <c r="C108" s="348">
        <f>C107</f>
        <v>5</v>
      </c>
      <c r="D108" s="348">
        <f>D84</f>
        <v>0.15</v>
      </c>
      <c r="E108" s="348"/>
      <c r="F108" s="348"/>
      <c r="G108" s="348"/>
      <c r="H108" s="348">
        <f>H84</f>
        <v>1</v>
      </c>
      <c r="I108" s="348"/>
      <c r="J108" s="348"/>
      <c r="K108" s="348"/>
      <c r="L108" s="348"/>
      <c r="M108" s="348">
        <f>M107</f>
        <v>1</v>
      </c>
      <c r="N108" s="565">
        <f>C108*D108*H108*M108</f>
        <v>0.75</v>
      </c>
      <c r="O108" s="349"/>
      <c r="P108" s="784"/>
      <c r="Q108" s="398"/>
      <c r="R108" s="564"/>
      <c r="S108" s="398"/>
      <c r="T108" s="398"/>
      <c r="U108" s="398"/>
      <c r="V108" s="738"/>
      <c r="W108" s="738"/>
      <c r="X108" s="738"/>
    </row>
    <row r="109" spans="1:24" ht="15.75" customHeight="1">
      <c r="A109" s="355"/>
      <c r="B109" s="359"/>
      <c r="C109" s="348"/>
      <c r="D109" s="348"/>
      <c r="E109" s="348"/>
      <c r="F109" s="348"/>
      <c r="G109" s="348"/>
      <c r="H109" s="348"/>
      <c r="I109" s="348"/>
      <c r="J109" s="348"/>
      <c r="K109" s="348"/>
      <c r="L109" s="348"/>
      <c r="M109" s="348"/>
      <c r="N109" s="343">
        <f>SUM(N107:N108)</f>
        <v>3.75</v>
      </c>
      <c r="O109" s="349" t="s">
        <v>89</v>
      </c>
      <c r="P109" s="784">
        <f>ROUND((N109),2)</f>
        <v>3.75</v>
      </c>
      <c r="Q109" s="398"/>
      <c r="R109" s="564"/>
      <c r="S109" s="398"/>
      <c r="T109" s="398"/>
      <c r="U109" s="398"/>
      <c r="V109" s="738"/>
      <c r="W109" s="738"/>
      <c r="X109" s="738"/>
    </row>
    <row r="110" spans="1:24" ht="15.75" customHeight="1">
      <c r="A110" s="355" t="s">
        <v>98</v>
      </c>
      <c r="B110" s="359" t="s">
        <v>741</v>
      </c>
      <c r="C110" s="348"/>
      <c r="D110" s="348"/>
      <c r="E110" s="348"/>
      <c r="F110" s="348"/>
      <c r="G110" s="348"/>
      <c r="H110" s="348"/>
      <c r="I110" s="348"/>
      <c r="J110" s="348"/>
      <c r="K110" s="348"/>
      <c r="L110" s="348"/>
      <c r="M110" s="348"/>
      <c r="N110" s="348"/>
      <c r="O110" s="349"/>
      <c r="P110" s="784"/>
      <c r="Q110" s="398"/>
      <c r="R110" s="564"/>
      <c r="S110" s="398"/>
      <c r="T110" s="398"/>
      <c r="U110" s="398"/>
      <c r="V110" s="738"/>
      <c r="W110" s="738"/>
      <c r="X110" s="738"/>
    </row>
    <row r="111" spans="1:24" ht="15.75" customHeight="1">
      <c r="A111" s="355"/>
      <c r="B111" s="567" t="str">
        <f>B107</f>
        <v>horizontal</v>
      </c>
      <c r="C111" s="348">
        <f>C107</f>
        <v>5</v>
      </c>
      <c r="D111" s="348"/>
      <c r="E111" s="348"/>
      <c r="F111" s="348">
        <v>5</v>
      </c>
      <c r="G111" s="348"/>
      <c r="H111" s="348"/>
      <c r="I111" s="348"/>
      <c r="J111" s="348"/>
      <c r="K111" s="348"/>
      <c r="L111" s="348">
        <f>10*10*0.006165</f>
        <v>0.61650000000000005</v>
      </c>
      <c r="M111" s="348">
        <f>M107</f>
        <v>1</v>
      </c>
      <c r="N111" s="565">
        <f>C111*F111*L111*M111</f>
        <v>15.412500000000001</v>
      </c>
      <c r="O111" s="349"/>
      <c r="P111" s="784"/>
      <c r="Q111" s="398"/>
      <c r="R111" s="564"/>
      <c r="S111" s="398"/>
      <c r="T111" s="398"/>
      <c r="U111" s="398"/>
      <c r="V111" s="738"/>
      <c r="W111" s="738"/>
      <c r="X111" s="738"/>
    </row>
    <row r="112" spans="1:24" ht="15.75" customHeight="1">
      <c r="A112" s="355"/>
      <c r="B112" s="359"/>
      <c r="C112" s="348"/>
      <c r="D112" s="348"/>
      <c r="E112" s="348"/>
      <c r="F112" s="348"/>
      <c r="G112" s="348"/>
      <c r="H112" s="348"/>
      <c r="I112" s="348"/>
      <c r="J112" s="348"/>
      <c r="K112" s="348"/>
      <c r="L112" s="348"/>
      <c r="M112" s="348"/>
      <c r="N112" s="343">
        <f>SUM(N111:N111)</f>
        <v>15.412500000000001</v>
      </c>
      <c r="O112" s="349" t="s">
        <v>100</v>
      </c>
      <c r="P112" s="784">
        <f>ROUND((N112),2)</f>
        <v>15.41</v>
      </c>
      <c r="Q112" s="398"/>
      <c r="R112" s="564"/>
      <c r="S112" s="398"/>
      <c r="T112" s="398"/>
      <c r="U112" s="398"/>
      <c r="V112" s="738"/>
      <c r="W112" s="738"/>
      <c r="X112" s="738"/>
    </row>
    <row r="113" spans="1:24" ht="15.75" customHeight="1">
      <c r="A113" s="355" t="s">
        <v>101</v>
      </c>
      <c r="B113" s="359" t="s">
        <v>525</v>
      </c>
      <c r="C113" s="348"/>
      <c r="D113" s="348"/>
      <c r="E113" s="348"/>
      <c r="F113" s="348"/>
      <c r="G113" s="348"/>
      <c r="H113" s="348"/>
      <c r="I113" s="348"/>
      <c r="J113" s="348"/>
      <c r="K113" s="348"/>
      <c r="L113" s="348"/>
      <c r="M113" s="348"/>
      <c r="N113" s="348"/>
      <c r="O113" s="349"/>
      <c r="P113" s="784"/>
      <c r="Q113" s="398"/>
      <c r="R113" s="564"/>
      <c r="S113" s="398"/>
      <c r="T113" s="398"/>
      <c r="U113" s="398"/>
      <c r="V113" s="738"/>
      <c r="W113" s="738"/>
      <c r="X113" s="738"/>
    </row>
    <row r="114" spans="1:24" ht="15.75" customHeight="1">
      <c r="A114" s="355"/>
      <c r="B114" s="567" t="str">
        <f>B111</f>
        <v>horizontal</v>
      </c>
      <c r="C114" s="348">
        <f>C93</f>
        <v>0.58000000000000007</v>
      </c>
      <c r="D114" s="348"/>
      <c r="E114" s="348"/>
      <c r="F114" s="348">
        <f>ROUNDDOWN((C111/0.125),0.1)</f>
        <v>40</v>
      </c>
      <c r="G114" s="348"/>
      <c r="H114" s="348"/>
      <c r="I114" s="348">
        <f>0.05*2</f>
        <v>0.1</v>
      </c>
      <c r="J114" s="348"/>
      <c r="K114" s="348"/>
      <c r="L114" s="348">
        <f>6*6*0.006165</f>
        <v>0.22194000000000003</v>
      </c>
      <c r="M114" s="348">
        <f>M111</f>
        <v>1</v>
      </c>
      <c r="N114" s="565">
        <f>(C114+I114)*F114*L114*M114</f>
        <v>6.0367680000000012</v>
      </c>
      <c r="O114" s="349"/>
      <c r="P114" s="784"/>
      <c r="Q114" s="398"/>
      <c r="R114" s="564"/>
      <c r="S114" s="398"/>
      <c r="T114" s="398"/>
      <c r="U114" s="398"/>
      <c r="V114" s="738"/>
      <c r="W114" s="738"/>
      <c r="X114" s="738"/>
    </row>
    <row r="115" spans="1:24" ht="15.75" customHeight="1">
      <c r="A115" s="355"/>
      <c r="B115" s="359"/>
      <c r="C115" s="348"/>
      <c r="D115" s="348"/>
      <c r="E115" s="348"/>
      <c r="F115" s="348"/>
      <c r="G115" s="348"/>
      <c r="H115" s="348"/>
      <c r="I115" s="348"/>
      <c r="J115" s="348"/>
      <c r="K115" s="348"/>
      <c r="L115" s="348"/>
      <c r="M115" s="348"/>
      <c r="N115" s="343">
        <f>SUM(N114:N114)</f>
        <v>6.0367680000000012</v>
      </c>
      <c r="O115" s="349" t="s">
        <v>100</v>
      </c>
      <c r="P115" s="784">
        <f>ROUND((N115),2)</f>
        <v>6.04</v>
      </c>
      <c r="Q115" s="398"/>
      <c r="R115" s="564"/>
      <c r="S115" s="398"/>
      <c r="T115" s="398"/>
      <c r="U115" s="398"/>
      <c r="V115" s="738"/>
      <c r="W115" s="738"/>
      <c r="X115" s="738"/>
    </row>
    <row r="116" spans="1:24" ht="15.75" customHeight="1">
      <c r="A116" s="355" t="s">
        <v>121</v>
      </c>
      <c r="B116" s="356" t="s">
        <v>169</v>
      </c>
      <c r="C116" s="348"/>
      <c r="D116" s="348"/>
      <c r="E116" s="348"/>
      <c r="F116" s="348"/>
      <c r="G116" s="348"/>
      <c r="H116" s="348"/>
      <c r="I116" s="348"/>
      <c r="J116" s="348"/>
      <c r="K116" s="348"/>
      <c r="L116" s="348"/>
      <c r="M116" s="348"/>
      <c r="N116" s="348"/>
      <c r="O116" s="349"/>
      <c r="P116" s="784"/>
      <c r="Q116" s="398"/>
      <c r="R116" s="564"/>
      <c r="S116" s="398"/>
      <c r="T116" s="398"/>
      <c r="U116" s="398"/>
      <c r="V116" s="738"/>
      <c r="W116" s="738"/>
      <c r="X116" s="738"/>
    </row>
    <row r="117" spans="1:24" ht="15.75" customHeight="1">
      <c r="A117" s="355"/>
      <c r="B117" s="567" t="str">
        <f>B114</f>
        <v>horizontal</v>
      </c>
      <c r="C117" s="348">
        <f>C111</f>
        <v>5</v>
      </c>
      <c r="D117" s="348">
        <f>D108</f>
        <v>0.15</v>
      </c>
      <c r="E117" s="348">
        <f>E107</f>
        <v>0.3</v>
      </c>
      <c r="F117" s="348"/>
      <c r="G117" s="348"/>
      <c r="H117" s="348"/>
      <c r="I117" s="348"/>
      <c r="J117" s="348"/>
      <c r="K117" s="348"/>
      <c r="L117" s="348"/>
      <c r="M117" s="348">
        <f>M114</f>
        <v>1</v>
      </c>
      <c r="N117" s="565">
        <f>C117*D117*E117*M117</f>
        <v>0.22499999999999998</v>
      </c>
      <c r="O117" s="349"/>
      <c r="P117" s="784"/>
      <c r="Q117" s="398"/>
      <c r="R117" s="564"/>
      <c r="S117" s="398"/>
      <c r="T117" s="398"/>
      <c r="U117" s="398"/>
      <c r="V117" s="738"/>
      <c r="W117" s="738"/>
      <c r="X117" s="738"/>
    </row>
    <row r="118" spans="1:24" s="554" customFormat="1" ht="15.75" hidden="1" customHeight="1">
      <c r="A118" s="350">
        <f>A105+1</f>
        <v>12</v>
      </c>
      <c r="B118" s="359" t="s">
        <v>424</v>
      </c>
      <c r="C118" s="348"/>
      <c r="D118" s="348"/>
      <c r="E118" s="348"/>
      <c r="F118" s="348"/>
      <c r="G118" s="348"/>
      <c r="H118" s="348"/>
      <c r="I118" s="348"/>
      <c r="J118" s="348"/>
      <c r="K118" s="348"/>
      <c r="L118" s="348"/>
      <c r="M118" s="348"/>
      <c r="N118" s="343">
        <f>SUM(N117:N117)</f>
        <v>0.22499999999999998</v>
      </c>
      <c r="O118" s="349" t="s">
        <v>103</v>
      </c>
      <c r="P118" s="784">
        <f>ROUND((N118),2)</f>
        <v>0.23</v>
      </c>
      <c r="Q118" s="398"/>
      <c r="R118" s="564"/>
      <c r="S118" s="398"/>
      <c r="T118" s="398"/>
      <c r="U118" s="398"/>
      <c r="V118" s="555"/>
      <c r="W118" s="555"/>
      <c r="X118" s="555"/>
    </row>
    <row r="119" spans="1:24" s="554" customFormat="1" ht="15.75" hidden="1" customHeight="1">
      <c r="A119" s="350"/>
      <c r="B119" s="359" t="s">
        <v>1010</v>
      </c>
      <c r="C119" s="348"/>
      <c r="D119" s="348"/>
      <c r="E119" s="348"/>
      <c r="F119" s="348"/>
      <c r="G119" s="348"/>
      <c r="H119" s="348"/>
      <c r="I119" s="348"/>
      <c r="J119" s="348"/>
      <c r="K119" s="348"/>
      <c r="L119" s="348"/>
      <c r="M119" s="348"/>
      <c r="N119" s="348"/>
      <c r="O119" s="349"/>
      <c r="P119" s="784"/>
      <c r="Q119" s="398"/>
      <c r="R119" s="564"/>
      <c r="S119" s="398"/>
      <c r="T119" s="398"/>
      <c r="U119" s="398"/>
      <c r="V119" s="555"/>
      <c r="W119" s="555"/>
      <c r="X119" s="555"/>
    </row>
    <row r="120" spans="1:24" s="554" customFormat="1" ht="15.75" hidden="1" customHeight="1">
      <c r="A120" s="355" t="s">
        <v>95</v>
      </c>
      <c r="B120" s="359" t="s">
        <v>423</v>
      </c>
      <c r="C120" s="348"/>
      <c r="D120" s="348"/>
      <c r="E120" s="348"/>
      <c r="F120" s="348"/>
      <c r="G120" s="348"/>
      <c r="H120" s="348"/>
      <c r="I120" s="348"/>
      <c r="J120" s="348"/>
      <c r="K120" s="348"/>
      <c r="L120" s="348"/>
      <c r="M120" s="348"/>
      <c r="N120" s="348"/>
      <c r="O120" s="349"/>
      <c r="P120" s="784"/>
      <c r="Q120" s="398"/>
      <c r="R120" s="564"/>
      <c r="S120" s="398"/>
      <c r="T120" s="398"/>
      <c r="U120" s="398"/>
      <c r="V120" s="555"/>
      <c r="W120" s="555"/>
      <c r="X120" s="555"/>
    </row>
    <row r="121" spans="1:24" s="554" customFormat="1" ht="15.75" hidden="1" customHeight="1">
      <c r="A121" s="355"/>
      <c r="B121" s="567" t="s">
        <v>1010</v>
      </c>
      <c r="C121" s="348">
        <f>C261*2</f>
        <v>7.9939999999999998</v>
      </c>
      <c r="D121" s="348"/>
      <c r="E121" s="348">
        <v>0.2</v>
      </c>
      <c r="F121" s="348"/>
      <c r="G121" s="348"/>
      <c r="H121" s="348">
        <v>2</v>
      </c>
      <c r="I121" s="348"/>
      <c r="J121" s="348"/>
      <c r="K121" s="348"/>
      <c r="L121" s="348"/>
      <c r="M121" s="348">
        <v>3</v>
      </c>
      <c r="N121" s="348">
        <f>C121*E121*H121*M121</f>
        <v>9.5928000000000004</v>
      </c>
      <c r="O121" s="349"/>
      <c r="P121" s="784"/>
      <c r="Q121" s="398"/>
      <c r="R121" s="564"/>
      <c r="S121" s="398"/>
      <c r="T121" s="398"/>
      <c r="U121" s="398"/>
      <c r="V121" s="555"/>
      <c r="W121" s="555"/>
      <c r="X121" s="555"/>
    </row>
    <row r="122" spans="1:24" s="554" customFormat="1" ht="15.75" hidden="1" customHeight="1">
      <c r="A122" s="355"/>
      <c r="B122" s="359"/>
      <c r="C122" s="348">
        <f>C121</f>
        <v>7.9939999999999998</v>
      </c>
      <c r="D122" s="348">
        <v>0.15</v>
      </c>
      <c r="E122" s="348"/>
      <c r="F122" s="348"/>
      <c r="G122" s="348"/>
      <c r="H122" s="348">
        <v>1</v>
      </c>
      <c r="I122" s="348"/>
      <c r="J122" s="348"/>
      <c r="K122" s="348"/>
      <c r="L122" s="348"/>
      <c r="M122" s="348">
        <f>M121</f>
        <v>3</v>
      </c>
      <c r="N122" s="348">
        <f>C122*D122*H122*M122</f>
        <v>3.5972999999999997</v>
      </c>
      <c r="O122" s="349"/>
      <c r="P122" s="784"/>
      <c r="Q122" s="398"/>
      <c r="R122" s="564"/>
      <c r="S122" s="398"/>
      <c r="T122" s="398"/>
      <c r="U122" s="398"/>
      <c r="V122" s="555"/>
      <c r="W122" s="555"/>
      <c r="X122" s="555"/>
    </row>
    <row r="123" spans="1:24" s="554" customFormat="1" ht="15.75" hidden="1" customHeight="1">
      <c r="A123" s="355"/>
      <c r="B123" s="567" t="s">
        <v>1011</v>
      </c>
      <c r="C123" s="348">
        <v>2</v>
      </c>
      <c r="D123" s="348"/>
      <c r="E123" s="348">
        <v>0.2</v>
      </c>
      <c r="F123" s="348"/>
      <c r="G123" s="348"/>
      <c r="H123" s="348">
        <v>2</v>
      </c>
      <c r="I123" s="348"/>
      <c r="J123" s="348"/>
      <c r="K123" s="348"/>
      <c r="L123" s="348"/>
      <c r="M123" s="348">
        <f>M121</f>
        <v>3</v>
      </c>
      <c r="N123" s="348">
        <f>C123*E123*H123*M123</f>
        <v>2.4000000000000004</v>
      </c>
      <c r="O123" s="349"/>
      <c r="P123" s="784"/>
      <c r="Q123" s="398"/>
      <c r="R123" s="564"/>
      <c r="S123" s="398"/>
      <c r="T123" s="398"/>
      <c r="U123" s="398"/>
      <c r="V123" s="555"/>
      <c r="W123" s="555"/>
      <c r="X123" s="555"/>
    </row>
    <row r="124" spans="1:24" s="554" customFormat="1" ht="15.75" hidden="1" customHeight="1">
      <c r="A124" s="355"/>
      <c r="B124" s="359"/>
      <c r="C124" s="348">
        <f>C123</f>
        <v>2</v>
      </c>
      <c r="D124" s="348">
        <f>D122</f>
        <v>0.15</v>
      </c>
      <c r="E124" s="348"/>
      <c r="F124" s="348"/>
      <c r="G124" s="348"/>
      <c r="H124" s="348">
        <v>1</v>
      </c>
      <c r="I124" s="348"/>
      <c r="J124" s="348"/>
      <c r="K124" s="348"/>
      <c r="L124" s="348"/>
      <c r="M124" s="348">
        <f>M123</f>
        <v>3</v>
      </c>
      <c r="N124" s="565">
        <f>C124*D124*H124*M124</f>
        <v>0.89999999999999991</v>
      </c>
      <c r="O124" s="349"/>
      <c r="P124" s="784"/>
      <c r="Q124" s="398"/>
      <c r="R124" s="564"/>
      <c r="S124" s="398"/>
      <c r="T124" s="398"/>
      <c r="U124" s="398"/>
      <c r="V124" s="555"/>
      <c r="W124" s="555"/>
      <c r="X124" s="555"/>
    </row>
    <row r="125" spans="1:24" s="554" customFormat="1" ht="15.75" hidden="1" customHeight="1">
      <c r="A125" s="355"/>
      <c r="B125" s="359"/>
      <c r="C125" s="348"/>
      <c r="D125" s="348"/>
      <c r="E125" s="348"/>
      <c r="F125" s="348"/>
      <c r="G125" s="348"/>
      <c r="H125" s="348"/>
      <c r="I125" s="348"/>
      <c r="J125" s="348"/>
      <c r="K125" s="348"/>
      <c r="L125" s="348"/>
      <c r="M125" s="348"/>
      <c r="N125" s="343">
        <f>SUM(N121:N124)/2</f>
        <v>8.2450500000000009</v>
      </c>
      <c r="O125" s="349" t="s">
        <v>89</v>
      </c>
      <c r="P125" s="784">
        <f>ROUND((N125),2)</f>
        <v>8.25</v>
      </c>
      <c r="Q125" s="398"/>
      <c r="R125" s="564"/>
      <c r="S125" s="398"/>
      <c r="T125" s="398"/>
      <c r="U125" s="398"/>
      <c r="V125" s="555"/>
      <c r="W125" s="555"/>
      <c r="X125" s="555"/>
    </row>
    <row r="126" spans="1:24" s="554" customFormat="1" ht="15.75" hidden="1" customHeight="1">
      <c r="A126" s="355" t="s">
        <v>98</v>
      </c>
      <c r="B126" s="359" t="s">
        <v>741</v>
      </c>
      <c r="C126" s="348"/>
      <c r="D126" s="348"/>
      <c r="E126" s="348"/>
      <c r="F126" s="348"/>
      <c r="G126" s="348"/>
      <c r="H126" s="348"/>
      <c r="I126" s="348"/>
      <c r="J126" s="348"/>
      <c r="K126" s="348"/>
      <c r="L126" s="348"/>
      <c r="M126" s="348"/>
      <c r="N126" s="348"/>
      <c r="O126" s="349"/>
      <c r="P126" s="784"/>
      <c r="Q126" s="398"/>
      <c r="R126" s="564"/>
      <c r="S126" s="398"/>
      <c r="T126" s="398"/>
      <c r="U126" s="398"/>
      <c r="V126" s="555"/>
      <c r="W126" s="555"/>
      <c r="X126" s="555"/>
    </row>
    <row r="127" spans="1:24" s="554" customFormat="1" ht="15.75" hidden="1" customHeight="1">
      <c r="A127" s="355"/>
      <c r="B127" s="567" t="s">
        <v>1010</v>
      </c>
      <c r="C127" s="348">
        <f>C121</f>
        <v>7.9939999999999998</v>
      </c>
      <c r="D127" s="348"/>
      <c r="E127" s="348"/>
      <c r="F127" s="348">
        <v>5</v>
      </c>
      <c r="G127" s="348"/>
      <c r="H127" s="348"/>
      <c r="I127" s="348">
        <v>0.1</v>
      </c>
      <c r="J127" s="348"/>
      <c r="K127" s="348"/>
      <c r="L127" s="348">
        <f>0.006165*10*10</f>
        <v>0.61650000000000005</v>
      </c>
      <c r="M127" s="348">
        <f>M121</f>
        <v>3</v>
      </c>
      <c r="N127" s="348">
        <f>(C127+I127)*F127*L127*M127</f>
        <v>74.849265000000003</v>
      </c>
      <c r="O127" s="349"/>
      <c r="P127" s="784"/>
      <c r="Q127" s="398"/>
      <c r="R127" s="564"/>
      <c r="S127" s="398"/>
      <c r="T127" s="398"/>
      <c r="U127" s="398"/>
      <c r="V127" s="555"/>
      <c r="W127" s="555"/>
      <c r="X127" s="555"/>
    </row>
    <row r="128" spans="1:24" s="554" customFormat="1" ht="15.75" hidden="1" customHeight="1">
      <c r="A128" s="355"/>
      <c r="B128" s="567" t="s">
        <v>1011</v>
      </c>
      <c r="C128" s="348">
        <f>C124</f>
        <v>2</v>
      </c>
      <c r="D128" s="348"/>
      <c r="E128" s="348"/>
      <c r="F128" s="348">
        <v>5</v>
      </c>
      <c r="G128" s="348"/>
      <c r="H128" s="348"/>
      <c r="I128" s="348">
        <f>I127</f>
        <v>0.1</v>
      </c>
      <c r="J128" s="348"/>
      <c r="K128" s="348"/>
      <c r="L128" s="348">
        <f>L127</f>
        <v>0.61650000000000005</v>
      </c>
      <c r="M128" s="348">
        <f>M127</f>
        <v>3</v>
      </c>
      <c r="N128" s="565">
        <f>(C128+I128)*F128*L128*M128</f>
        <v>19.419750000000001</v>
      </c>
      <c r="O128" s="349"/>
      <c r="P128" s="784"/>
      <c r="Q128" s="398"/>
      <c r="R128" s="564"/>
      <c r="S128" s="398"/>
      <c r="T128" s="398"/>
      <c r="U128" s="398"/>
      <c r="V128" s="555"/>
      <c r="W128" s="555"/>
      <c r="X128" s="555"/>
    </row>
    <row r="129" spans="1:24" s="554" customFormat="1" ht="15.75" hidden="1" customHeight="1">
      <c r="A129" s="355"/>
      <c r="B129" s="359"/>
      <c r="C129" s="348"/>
      <c r="D129" s="348"/>
      <c r="E129" s="348"/>
      <c r="F129" s="348"/>
      <c r="G129" s="348"/>
      <c r="H129" s="348"/>
      <c r="I129" s="348"/>
      <c r="J129" s="348"/>
      <c r="K129" s="348"/>
      <c r="L129" s="348"/>
      <c r="M129" s="348"/>
      <c r="N129" s="343">
        <f>SUM(N127:N128)</f>
        <v>94.269014999999996</v>
      </c>
      <c r="O129" s="349" t="s">
        <v>100</v>
      </c>
      <c r="P129" s="784">
        <f>ROUND((N129),2)</f>
        <v>94.27</v>
      </c>
      <c r="Q129" s="398"/>
      <c r="R129" s="564"/>
      <c r="S129" s="398"/>
      <c r="T129" s="398"/>
      <c r="U129" s="398"/>
      <c r="V129" s="555"/>
      <c r="W129" s="555"/>
      <c r="X129" s="555"/>
    </row>
    <row r="130" spans="1:24" s="554" customFormat="1" ht="15.75" hidden="1" customHeight="1">
      <c r="A130" s="355" t="s">
        <v>101</v>
      </c>
      <c r="B130" s="359" t="s">
        <v>428</v>
      </c>
      <c r="C130" s="348"/>
      <c r="D130" s="348"/>
      <c r="E130" s="348"/>
      <c r="F130" s="348"/>
      <c r="G130" s="348"/>
      <c r="H130" s="348"/>
      <c r="I130" s="348"/>
      <c r="J130" s="348"/>
      <c r="K130" s="348"/>
      <c r="L130" s="348"/>
      <c r="M130" s="348"/>
      <c r="N130" s="348"/>
      <c r="O130" s="349"/>
      <c r="P130" s="784"/>
      <c r="Q130" s="398"/>
      <c r="R130" s="564"/>
      <c r="S130" s="398"/>
      <c r="T130" s="398"/>
      <c r="U130" s="398"/>
      <c r="V130" s="555"/>
      <c r="W130" s="555"/>
      <c r="X130" s="555"/>
    </row>
    <row r="131" spans="1:24" s="554" customFormat="1" ht="15.75" hidden="1" customHeight="1">
      <c r="A131" s="355"/>
      <c r="B131" s="567" t="s">
        <v>1010</v>
      </c>
      <c r="C131" s="348">
        <f>(0.09+0.14)*2</f>
        <v>0.46</v>
      </c>
      <c r="D131" s="348"/>
      <c r="E131" s="348"/>
      <c r="F131" s="348">
        <f>ROUNDDOWN((C127/0.125),0.1)</f>
        <v>63</v>
      </c>
      <c r="G131" s="348"/>
      <c r="H131" s="348"/>
      <c r="I131" s="348">
        <v>0.1</v>
      </c>
      <c r="J131" s="348"/>
      <c r="K131" s="348"/>
      <c r="L131" s="348">
        <f>0.006165*8*8</f>
        <v>0.39456000000000002</v>
      </c>
      <c r="M131" s="348">
        <f>M127</f>
        <v>3</v>
      </c>
      <c r="N131" s="348">
        <f>(C131+I131)*F131*L131*M131</f>
        <v>41.760230399999998</v>
      </c>
      <c r="O131" s="349"/>
      <c r="P131" s="784"/>
      <c r="Q131" s="398"/>
      <c r="R131" s="564"/>
      <c r="S131" s="398"/>
      <c r="T131" s="398"/>
      <c r="U131" s="398"/>
      <c r="V131" s="555"/>
      <c r="W131" s="555"/>
      <c r="X131" s="555"/>
    </row>
    <row r="132" spans="1:24" s="554" customFormat="1" ht="15.75" hidden="1" customHeight="1">
      <c r="A132" s="355"/>
      <c r="B132" s="567" t="s">
        <v>1011</v>
      </c>
      <c r="C132" s="348">
        <f>(0.09+0.14)*2</f>
        <v>0.46</v>
      </c>
      <c r="D132" s="348"/>
      <c r="E132" s="348"/>
      <c r="F132" s="348">
        <f>ROUNDDOWN((C128/0.125),0.1)</f>
        <v>16</v>
      </c>
      <c r="G132" s="348"/>
      <c r="H132" s="348"/>
      <c r="I132" s="348">
        <v>0.1</v>
      </c>
      <c r="J132" s="348"/>
      <c r="K132" s="348"/>
      <c r="L132" s="348">
        <f>L131</f>
        <v>0.39456000000000002</v>
      </c>
      <c r="M132" s="348">
        <f>M128</f>
        <v>3</v>
      </c>
      <c r="N132" s="348">
        <f>(C132+I132)*F132*L132*M132</f>
        <v>10.6057728</v>
      </c>
      <c r="O132" s="349"/>
      <c r="P132" s="784"/>
      <c r="Q132" s="398"/>
      <c r="R132" s="564"/>
      <c r="S132" s="398"/>
      <c r="T132" s="398"/>
      <c r="U132" s="398"/>
      <c r="V132" s="555"/>
      <c r="W132" s="555"/>
      <c r="X132" s="555"/>
    </row>
    <row r="133" spans="1:24" s="554" customFormat="1" ht="15.75" hidden="1" customHeight="1">
      <c r="A133" s="355"/>
      <c r="B133" s="359"/>
      <c r="C133" s="348"/>
      <c r="D133" s="348"/>
      <c r="E133" s="348"/>
      <c r="F133" s="348"/>
      <c r="G133" s="348"/>
      <c r="H133" s="348"/>
      <c r="I133" s="348"/>
      <c r="J133" s="348"/>
      <c r="K133" s="348"/>
      <c r="L133" s="348"/>
      <c r="M133" s="348"/>
      <c r="N133" s="343">
        <f>SUM(N131:N132)</f>
        <v>52.366003199999994</v>
      </c>
      <c r="O133" s="349" t="s">
        <v>100</v>
      </c>
      <c r="P133" s="784">
        <f>ROUND((N133),2)</f>
        <v>52.37</v>
      </c>
      <c r="Q133" s="398"/>
      <c r="R133" s="564"/>
      <c r="S133" s="398"/>
      <c r="T133" s="398"/>
      <c r="U133" s="398"/>
      <c r="V133" s="555"/>
      <c r="W133" s="555"/>
      <c r="X133" s="555"/>
    </row>
    <row r="134" spans="1:24" s="554" customFormat="1" ht="15.75" hidden="1" customHeight="1">
      <c r="A134" s="355" t="s">
        <v>121</v>
      </c>
      <c r="B134" s="359" t="s">
        <v>1043</v>
      </c>
      <c r="C134" s="348"/>
      <c r="D134" s="348"/>
      <c r="E134" s="348"/>
      <c r="F134" s="348"/>
      <c r="G134" s="348"/>
      <c r="H134" s="348"/>
      <c r="I134" s="348"/>
      <c r="J134" s="348"/>
      <c r="K134" s="348"/>
      <c r="L134" s="348"/>
      <c r="M134" s="348"/>
      <c r="N134" s="348"/>
      <c r="O134" s="349"/>
      <c r="P134" s="784"/>
      <c r="Q134" s="398"/>
      <c r="R134" s="564"/>
      <c r="S134" s="398"/>
      <c r="T134" s="398"/>
      <c r="U134" s="398"/>
      <c r="V134" s="555"/>
      <c r="W134" s="555"/>
      <c r="X134" s="555"/>
    </row>
    <row r="135" spans="1:24" s="554" customFormat="1" ht="15.75" hidden="1" customHeight="1">
      <c r="A135" s="355"/>
      <c r="B135" s="567" t="s">
        <v>1010</v>
      </c>
      <c r="C135" s="348">
        <f>C127</f>
        <v>7.9939999999999998</v>
      </c>
      <c r="D135" s="348">
        <f>D122</f>
        <v>0.15</v>
      </c>
      <c r="E135" s="348">
        <f>E121</f>
        <v>0.2</v>
      </c>
      <c r="F135" s="348"/>
      <c r="G135" s="348"/>
      <c r="H135" s="348"/>
      <c r="I135" s="348"/>
      <c r="J135" s="348"/>
      <c r="K135" s="348"/>
      <c r="L135" s="348"/>
      <c r="M135" s="348">
        <f>M131</f>
        <v>3</v>
      </c>
      <c r="N135" s="348">
        <f>C135*D135*E135*M135</f>
        <v>0.71945999999999999</v>
      </c>
      <c r="O135" s="349"/>
      <c r="P135" s="784"/>
      <c r="Q135" s="398"/>
      <c r="R135" s="564"/>
      <c r="S135" s="398"/>
      <c r="T135" s="398"/>
      <c r="U135" s="398"/>
      <c r="V135" s="555"/>
      <c r="W135" s="555"/>
      <c r="X135" s="555"/>
    </row>
    <row r="136" spans="1:24" s="554" customFormat="1" ht="15.75" hidden="1" customHeight="1">
      <c r="A136" s="355"/>
      <c r="B136" s="567" t="s">
        <v>1011</v>
      </c>
      <c r="C136" s="348">
        <f>C128</f>
        <v>2</v>
      </c>
      <c r="D136" s="348">
        <f>D135</f>
        <v>0.15</v>
      </c>
      <c r="E136" s="348">
        <f>E135</f>
        <v>0.2</v>
      </c>
      <c r="F136" s="348"/>
      <c r="G136" s="348"/>
      <c r="H136" s="348"/>
      <c r="I136" s="348"/>
      <c r="J136" s="348"/>
      <c r="K136" s="348"/>
      <c r="L136" s="348"/>
      <c r="M136" s="348">
        <f>M132</f>
        <v>3</v>
      </c>
      <c r="N136" s="565">
        <f>C136*D136*E136*M136</f>
        <v>0.18</v>
      </c>
      <c r="O136" s="349"/>
      <c r="P136" s="784"/>
      <c r="Q136" s="398"/>
      <c r="R136" s="564"/>
      <c r="S136" s="398"/>
      <c r="T136" s="398"/>
      <c r="U136" s="398"/>
      <c r="V136" s="555"/>
      <c r="W136" s="555"/>
      <c r="X136" s="555"/>
    </row>
    <row r="137" spans="1:24" s="554" customFormat="1" ht="15.75" hidden="1" customHeight="1">
      <c r="A137" s="355"/>
      <c r="B137" s="359"/>
      <c r="C137" s="348"/>
      <c r="D137" s="348"/>
      <c r="E137" s="348"/>
      <c r="F137" s="348"/>
      <c r="G137" s="348"/>
      <c r="H137" s="348"/>
      <c r="I137" s="348"/>
      <c r="J137" s="348"/>
      <c r="K137" s="348"/>
      <c r="L137" s="348"/>
      <c r="M137" s="348"/>
      <c r="N137" s="343">
        <f>SUM(N135:N136)</f>
        <v>0.89945999999999993</v>
      </c>
      <c r="O137" s="349" t="s">
        <v>103</v>
      </c>
      <c r="P137" s="784">
        <f>ROUND((N137),2)</f>
        <v>0.9</v>
      </c>
      <c r="Q137" s="398"/>
      <c r="R137" s="564"/>
      <c r="S137" s="398"/>
      <c r="T137" s="398"/>
      <c r="U137" s="398"/>
      <c r="V137" s="555"/>
      <c r="W137" s="555"/>
      <c r="X137" s="555"/>
    </row>
    <row r="138" spans="1:24" s="554" customFormat="1" ht="15.75" hidden="1" customHeight="1">
      <c r="A138" s="350"/>
      <c r="B138" s="359" t="s">
        <v>1166</v>
      </c>
      <c r="C138" s="348"/>
      <c r="D138" s="348"/>
      <c r="E138" s="348"/>
      <c r="F138" s="348"/>
      <c r="G138" s="348"/>
      <c r="H138" s="348"/>
      <c r="I138" s="348"/>
      <c r="J138" s="348"/>
      <c r="K138" s="348"/>
      <c r="L138" s="348"/>
      <c r="M138" s="348"/>
      <c r="N138" s="348"/>
      <c r="O138" s="349"/>
      <c r="P138" s="784"/>
      <c r="Q138" s="398"/>
      <c r="R138" s="564"/>
      <c r="S138" s="398"/>
      <c r="T138" s="398"/>
      <c r="U138" s="398"/>
      <c r="V138" s="555"/>
      <c r="W138" s="555"/>
      <c r="X138" s="555"/>
    </row>
    <row r="139" spans="1:24" s="554" customFormat="1" ht="15.75" hidden="1" customHeight="1">
      <c r="A139" s="355" t="s">
        <v>95</v>
      </c>
      <c r="B139" s="359" t="s">
        <v>423</v>
      </c>
      <c r="C139" s="348"/>
      <c r="D139" s="348"/>
      <c r="E139" s="348"/>
      <c r="F139" s="348"/>
      <c r="G139" s="348"/>
      <c r="H139" s="348"/>
      <c r="I139" s="348"/>
      <c r="J139" s="348"/>
      <c r="K139" s="348"/>
      <c r="L139" s="348"/>
      <c r="M139" s="348"/>
      <c r="N139" s="348"/>
      <c r="O139" s="349"/>
      <c r="P139" s="784"/>
      <c r="Q139" s="398"/>
      <c r="R139" s="564"/>
      <c r="S139" s="398"/>
      <c r="T139" s="398"/>
      <c r="U139" s="398"/>
      <c r="V139" s="555"/>
      <c r="W139" s="555"/>
      <c r="X139" s="555"/>
    </row>
    <row r="140" spans="1:24" s="554" customFormat="1" ht="15.75" hidden="1" customHeight="1">
      <c r="A140" s="355"/>
      <c r="B140" s="567"/>
      <c r="C140" s="348">
        <v>1</v>
      </c>
      <c r="D140" s="348">
        <v>0.15</v>
      </c>
      <c r="E140" s="348">
        <v>0.2</v>
      </c>
      <c r="F140" s="348">
        <v>2</v>
      </c>
      <c r="G140" s="348"/>
      <c r="H140" s="348"/>
      <c r="I140" s="348"/>
      <c r="J140" s="348"/>
      <c r="K140" s="348"/>
      <c r="L140" s="348"/>
      <c r="M140" s="348">
        <f>M136</f>
        <v>3</v>
      </c>
      <c r="N140" s="348">
        <f>C140*((E140+D140)*2)*F140*M140</f>
        <v>4.1999999999999993</v>
      </c>
      <c r="O140" s="349"/>
      <c r="P140" s="784"/>
      <c r="Q140" s="398"/>
      <c r="R140" s="564"/>
      <c r="S140" s="398"/>
      <c r="T140" s="398"/>
      <c r="U140" s="398"/>
      <c r="V140" s="555"/>
      <c r="W140" s="555"/>
      <c r="X140" s="555"/>
    </row>
    <row r="141" spans="1:24" s="554" customFormat="1" ht="15.75" hidden="1" customHeight="1">
      <c r="A141" s="355"/>
      <c r="B141" s="359"/>
      <c r="C141" s="348"/>
      <c r="D141" s="348"/>
      <c r="E141" s="348"/>
      <c r="F141" s="348"/>
      <c r="G141" s="348"/>
      <c r="H141" s="348"/>
      <c r="I141" s="348"/>
      <c r="J141" s="348"/>
      <c r="K141" s="348"/>
      <c r="L141" s="348"/>
      <c r="M141" s="348"/>
      <c r="N141" s="343">
        <f>SUM(N140:N140)</f>
        <v>4.1999999999999993</v>
      </c>
      <c r="O141" s="349" t="s">
        <v>89</v>
      </c>
      <c r="P141" s="784">
        <f>ROUND((N141),2)</f>
        <v>4.2</v>
      </c>
      <c r="Q141" s="398"/>
      <c r="R141" s="564"/>
      <c r="S141" s="398"/>
      <c r="T141" s="398"/>
      <c r="U141" s="398"/>
      <c r="V141" s="555"/>
      <c r="W141" s="555"/>
      <c r="X141" s="555"/>
    </row>
    <row r="142" spans="1:24" s="554" customFormat="1" ht="15.75" hidden="1" customHeight="1">
      <c r="A142" s="355" t="s">
        <v>98</v>
      </c>
      <c r="B142" s="359" t="s">
        <v>928</v>
      </c>
      <c r="C142" s="348"/>
      <c r="D142" s="348"/>
      <c r="E142" s="348"/>
      <c r="F142" s="348"/>
      <c r="G142" s="348"/>
      <c r="H142" s="348"/>
      <c r="I142" s="348"/>
      <c r="J142" s="348"/>
      <c r="K142" s="348"/>
      <c r="L142" s="348"/>
      <c r="M142" s="348"/>
      <c r="N142" s="348"/>
      <c r="O142" s="349"/>
      <c r="P142" s="784"/>
      <c r="Q142" s="398"/>
      <c r="R142" s="564"/>
      <c r="S142" s="398"/>
      <c r="T142" s="398"/>
      <c r="U142" s="398"/>
      <c r="V142" s="555"/>
      <c r="W142" s="555"/>
      <c r="X142" s="555"/>
    </row>
    <row r="143" spans="1:24" s="554" customFormat="1" ht="15.75" hidden="1" customHeight="1">
      <c r="A143" s="355"/>
      <c r="B143" s="567"/>
      <c r="C143" s="348">
        <f>C140</f>
        <v>1</v>
      </c>
      <c r="D143" s="348"/>
      <c r="E143" s="348"/>
      <c r="F143" s="348">
        <v>4</v>
      </c>
      <c r="G143" s="348">
        <v>2</v>
      </c>
      <c r="H143" s="348"/>
      <c r="I143" s="348">
        <v>0.1</v>
      </c>
      <c r="J143" s="348"/>
      <c r="K143" s="348"/>
      <c r="L143" s="348">
        <f>0.006165*13*13</f>
        <v>1.0418850000000002</v>
      </c>
      <c r="M143" s="348">
        <f>M140</f>
        <v>3</v>
      </c>
      <c r="N143" s="565">
        <f>(C143+I143)*F143*L143*M143*G143</f>
        <v>27.505764000000006</v>
      </c>
      <c r="O143" s="349"/>
      <c r="P143" s="784"/>
      <c r="Q143" s="398"/>
      <c r="R143" s="564"/>
      <c r="S143" s="398"/>
      <c r="T143" s="398"/>
      <c r="U143" s="398"/>
      <c r="V143" s="555"/>
      <c r="W143" s="555"/>
      <c r="X143" s="555"/>
    </row>
    <row r="144" spans="1:24" s="554" customFormat="1" ht="15.75" hidden="1" customHeight="1">
      <c r="A144" s="355"/>
      <c r="B144" s="359"/>
      <c r="C144" s="348"/>
      <c r="D144" s="348"/>
      <c r="E144" s="348"/>
      <c r="F144" s="348"/>
      <c r="G144" s="348"/>
      <c r="H144" s="348"/>
      <c r="I144" s="348"/>
      <c r="J144" s="348"/>
      <c r="K144" s="348"/>
      <c r="L144" s="348"/>
      <c r="M144" s="348"/>
      <c r="N144" s="343">
        <f>SUM(N143:N143)</f>
        <v>27.505764000000006</v>
      </c>
      <c r="O144" s="349" t="s">
        <v>100</v>
      </c>
      <c r="P144" s="784">
        <f>ROUND((N144),2)</f>
        <v>27.51</v>
      </c>
      <c r="Q144" s="398"/>
      <c r="R144" s="564"/>
      <c r="S144" s="398"/>
      <c r="T144" s="398"/>
      <c r="U144" s="398"/>
      <c r="V144" s="555"/>
      <c r="W144" s="555"/>
      <c r="X144" s="555"/>
    </row>
    <row r="145" spans="1:24" s="554" customFormat="1" ht="15.75" hidden="1" customHeight="1">
      <c r="A145" s="355" t="s">
        <v>101</v>
      </c>
      <c r="B145" s="359" t="s">
        <v>428</v>
      </c>
      <c r="C145" s="348"/>
      <c r="D145" s="348"/>
      <c r="E145" s="348"/>
      <c r="F145" s="348"/>
      <c r="G145" s="348"/>
      <c r="H145" s="348"/>
      <c r="I145" s="348"/>
      <c r="J145" s="348"/>
      <c r="K145" s="348"/>
      <c r="L145" s="348"/>
      <c r="M145" s="348"/>
      <c r="N145" s="348"/>
      <c r="O145" s="349"/>
      <c r="P145" s="784"/>
      <c r="Q145" s="398"/>
      <c r="R145" s="564"/>
      <c r="S145" s="398"/>
      <c r="T145" s="398"/>
      <c r="U145" s="398"/>
      <c r="V145" s="555"/>
      <c r="W145" s="555"/>
      <c r="X145" s="555"/>
    </row>
    <row r="146" spans="1:24" s="554" customFormat="1" ht="15.75" hidden="1" customHeight="1">
      <c r="A146" s="355"/>
      <c r="B146" s="567"/>
      <c r="C146" s="348">
        <f>(0.09+0.14)*2</f>
        <v>0.46</v>
      </c>
      <c r="D146" s="348"/>
      <c r="E146" s="348"/>
      <c r="F146" s="348">
        <f>ROUNDDOWN((C143/0.125),0.1)</f>
        <v>8</v>
      </c>
      <c r="G146" s="348">
        <v>2</v>
      </c>
      <c r="H146" s="348"/>
      <c r="I146" s="348">
        <v>0.1</v>
      </c>
      <c r="J146" s="348"/>
      <c r="K146" s="348"/>
      <c r="L146" s="348">
        <f>L131</f>
        <v>0.39456000000000002</v>
      </c>
      <c r="M146" s="348">
        <f>M143</f>
        <v>3</v>
      </c>
      <c r="N146" s="565">
        <f>(C146+I146)*F146*L146*M146*G146</f>
        <v>10.6057728</v>
      </c>
      <c r="O146" s="349"/>
      <c r="P146" s="784"/>
      <c r="Q146" s="398"/>
      <c r="R146" s="564"/>
      <c r="S146" s="398"/>
      <c r="T146" s="398"/>
      <c r="U146" s="398"/>
      <c r="V146" s="555"/>
      <c r="W146" s="555"/>
      <c r="X146" s="555"/>
    </row>
    <row r="147" spans="1:24" s="554" customFormat="1" ht="15.75" hidden="1" customHeight="1">
      <c r="A147" s="355"/>
      <c r="B147" s="359"/>
      <c r="C147" s="348"/>
      <c r="D147" s="348"/>
      <c r="E147" s="348"/>
      <c r="F147" s="348"/>
      <c r="G147" s="348"/>
      <c r="H147" s="348"/>
      <c r="I147" s="348"/>
      <c r="J147" s="348"/>
      <c r="K147" s="348"/>
      <c r="L147" s="348"/>
      <c r="M147" s="348"/>
      <c r="N147" s="343">
        <f>SUM(N146:N146)</f>
        <v>10.6057728</v>
      </c>
      <c r="O147" s="349" t="s">
        <v>100</v>
      </c>
      <c r="P147" s="784">
        <f>ROUND((N147),2)</f>
        <v>10.61</v>
      </c>
      <c r="Q147" s="398"/>
      <c r="R147" s="564"/>
      <c r="S147" s="398"/>
      <c r="T147" s="398"/>
      <c r="U147" s="398"/>
      <c r="V147" s="555"/>
      <c r="W147" s="555"/>
      <c r="X147" s="555"/>
    </row>
    <row r="148" spans="1:24" s="554" customFormat="1" ht="15.75" hidden="1" customHeight="1">
      <c r="A148" s="355" t="s">
        <v>121</v>
      </c>
      <c r="B148" s="359" t="s">
        <v>1043</v>
      </c>
      <c r="C148" s="348"/>
      <c r="D148" s="348"/>
      <c r="E148" s="348"/>
      <c r="F148" s="348"/>
      <c r="G148" s="348"/>
      <c r="H148" s="348"/>
      <c r="I148" s="348"/>
      <c r="J148" s="348"/>
      <c r="K148" s="348"/>
      <c r="L148" s="348"/>
      <c r="M148" s="348"/>
      <c r="N148" s="348"/>
      <c r="O148" s="349"/>
      <c r="P148" s="784"/>
      <c r="Q148" s="398"/>
      <c r="R148" s="564"/>
      <c r="S148" s="398"/>
      <c r="T148" s="398"/>
      <c r="U148" s="398"/>
      <c r="V148" s="555"/>
      <c r="W148" s="555"/>
      <c r="X148" s="555"/>
    </row>
    <row r="149" spans="1:24" s="554" customFormat="1" ht="15.75" hidden="1" customHeight="1">
      <c r="A149" s="355"/>
      <c r="B149" s="567"/>
      <c r="C149" s="348">
        <f>C143</f>
        <v>1</v>
      </c>
      <c r="D149" s="348">
        <f>D135</f>
        <v>0.15</v>
      </c>
      <c r="E149" s="348">
        <f>E140</f>
        <v>0.2</v>
      </c>
      <c r="F149" s="348">
        <v>2</v>
      </c>
      <c r="G149" s="348"/>
      <c r="H149" s="348"/>
      <c r="I149" s="348"/>
      <c r="J149" s="348"/>
      <c r="K149" s="348"/>
      <c r="L149" s="348"/>
      <c r="M149" s="348">
        <f>M146*F149</f>
        <v>6</v>
      </c>
      <c r="N149" s="565">
        <f>C149*D149*E149*M149</f>
        <v>0.18</v>
      </c>
      <c r="O149" s="349"/>
      <c r="P149" s="784"/>
      <c r="Q149" s="398"/>
      <c r="R149" s="564"/>
      <c r="S149" s="398"/>
      <c r="T149" s="398"/>
      <c r="U149" s="398"/>
      <c r="V149" s="555"/>
      <c r="W149" s="555"/>
      <c r="X149" s="555"/>
    </row>
    <row r="150" spans="1:24" s="554" customFormat="1" ht="15.75" hidden="1" customHeight="1">
      <c r="A150" s="355"/>
      <c r="B150" s="359"/>
      <c r="C150" s="348"/>
      <c r="D150" s="348"/>
      <c r="E150" s="348"/>
      <c r="F150" s="348"/>
      <c r="G150" s="348"/>
      <c r="H150" s="348"/>
      <c r="I150" s="348"/>
      <c r="J150" s="348"/>
      <c r="K150" s="348"/>
      <c r="L150" s="348"/>
      <c r="M150" s="348"/>
      <c r="N150" s="343">
        <f>SUM(N149:N149)</f>
        <v>0.18</v>
      </c>
      <c r="O150" s="349" t="s">
        <v>103</v>
      </c>
      <c r="P150" s="784">
        <f>ROUND((N150),2)</f>
        <v>0.18</v>
      </c>
      <c r="Q150" s="398"/>
      <c r="R150" s="564"/>
      <c r="S150" s="398"/>
      <c r="T150" s="398"/>
      <c r="U150" s="398"/>
      <c r="V150" s="555"/>
      <c r="W150" s="555"/>
      <c r="X150" s="555"/>
    </row>
    <row r="151" spans="1:24" ht="15.75" hidden="1" customHeight="1">
      <c r="A151" s="355"/>
      <c r="B151" s="359"/>
      <c r="C151" s="348"/>
      <c r="D151" s="348"/>
      <c r="E151" s="348"/>
      <c r="F151" s="348"/>
      <c r="G151" s="348"/>
      <c r="H151" s="348"/>
      <c r="I151" s="348"/>
      <c r="J151" s="348"/>
      <c r="K151" s="348"/>
      <c r="L151" s="348"/>
      <c r="M151" s="348"/>
      <c r="N151" s="343"/>
      <c r="O151" s="349" t="s">
        <v>103</v>
      </c>
      <c r="P151" s="784">
        <f>ROUND((N151),2)</f>
        <v>0</v>
      </c>
      <c r="Q151" s="398"/>
      <c r="R151" s="564"/>
      <c r="S151" s="398"/>
      <c r="T151" s="398"/>
      <c r="U151" s="398"/>
      <c r="V151" s="738"/>
      <c r="W151" s="738"/>
      <c r="X151" s="738"/>
    </row>
    <row r="152" spans="1:24" ht="15.75" customHeight="1">
      <c r="A152" s="350">
        <f>A105+1</f>
        <v>12</v>
      </c>
      <c r="B152" s="359" t="s">
        <v>927</v>
      </c>
      <c r="C152" s="348"/>
      <c r="D152" s="348"/>
      <c r="E152" s="348"/>
      <c r="F152" s="348"/>
      <c r="G152" s="348"/>
      <c r="H152" s="348"/>
      <c r="I152" s="348"/>
      <c r="J152" s="348"/>
      <c r="K152" s="348"/>
      <c r="L152" s="348"/>
      <c r="M152" s="348"/>
      <c r="N152" s="348"/>
      <c r="O152" s="349"/>
      <c r="P152" s="784"/>
      <c r="Q152" s="398"/>
      <c r="R152" s="564"/>
      <c r="S152" s="398"/>
      <c r="T152" s="398"/>
      <c r="U152" s="398"/>
      <c r="V152" s="738"/>
      <c r="W152" s="738"/>
      <c r="X152" s="738"/>
    </row>
    <row r="153" spans="1:24" ht="15.75" customHeight="1">
      <c r="A153" s="355" t="s">
        <v>95</v>
      </c>
      <c r="B153" s="359" t="s">
        <v>423</v>
      </c>
      <c r="C153" s="348">
        <v>5</v>
      </c>
      <c r="D153" s="348"/>
      <c r="E153" s="348">
        <v>0.15</v>
      </c>
      <c r="F153" s="348"/>
      <c r="G153" s="348"/>
      <c r="H153" s="348">
        <v>3</v>
      </c>
      <c r="I153" s="348"/>
      <c r="J153" s="348"/>
      <c r="K153" s="348"/>
      <c r="L153" s="348"/>
      <c r="M153" s="348">
        <v>1</v>
      </c>
      <c r="N153" s="348">
        <f>C153*E153*H153*M153</f>
        <v>2.25</v>
      </c>
      <c r="O153" s="349" t="s">
        <v>89</v>
      </c>
      <c r="P153" s="784">
        <f>ROUND((N153),2)</f>
        <v>2.25</v>
      </c>
      <c r="Q153" s="398"/>
      <c r="R153" s="564"/>
      <c r="S153" s="398"/>
      <c r="T153" s="398"/>
      <c r="U153" s="398"/>
      <c r="V153" s="738"/>
      <c r="W153" s="738"/>
      <c r="X153" s="738"/>
    </row>
    <row r="154" spans="1:24" ht="15.75" customHeight="1">
      <c r="A154" s="355" t="s">
        <v>98</v>
      </c>
      <c r="B154" s="359" t="s">
        <v>432</v>
      </c>
      <c r="C154" s="348">
        <f>C153</f>
        <v>5</v>
      </c>
      <c r="D154" s="348"/>
      <c r="E154" s="348"/>
      <c r="F154" s="348">
        <v>4</v>
      </c>
      <c r="G154" s="348"/>
      <c r="H154" s="348"/>
      <c r="I154" s="348"/>
      <c r="J154" s="348"/>
      <c r="K154" s="348"/>
      <c r="L154" s="348">
        <f>10*10*0.006165</f>
        <v>0.61650000000000005</v>
      </c>
      <c r="M154" s="348">
        <f>M153</f>
        <v>1</v>
      </c>
      <c r="N154" s="348">
        <f>C154*F154*L154*M154</f>
        <v>12.330000000000002</v>
      </c>
      <c r="O154" s="349" t="s">
        <v>100</v>
      </c>
      <c r="P154" s="784">
        <f>ROUND((N154),2)</f>
        <v>12.33</v>
      </c>
      <c r="Q154" s="398"/>
      <c r="R154" s="564"/>
      <c r="S154" s="398"/>
      <c r="T154" s="398"/>
      <c r="U154" s="398"/>
      <c r="V154" s="738"/>
      <c r="W154" s="738"/>
      <c r="X154" s="738"/>
    </row>
    <row r="155" spans="1:24" ht="15.75" customHeight="1">
      <c r="A155" s="355" t="s">
        <v>101</v>
      </c>
      <c r="B155" s="359" t="s">
        <v>498</v>
      </c>
      <c r="C155" s="348">
        <f>0.07*4</f>
        <v>0.28000000000000003</v>
      </c>
      <c r="D155" s="348"/>
      <c r="E155" s="348"/>
      <c r="F155" s="348">
        <f>ROUNDDOWN((C154/0.15),0.1)</f>
        <v>33</v>
      </c>
      <c r="G155" s="348"/>
      <c r="H155" s="348"/>
      <c r="I155" s="348">
        <f>0.05*2</f>
        <v>0.1</v>
      </c>
      <c r="J155" s="348"/>
      <c r="K155" s="348"/>
      <c r="L155" s="348">
        <f>6*6*0.006165</f>
        <v>0.22194000000000003</v>
      </c>
      <c r="M155" s="348">
        <f>M154</f>
        <v>1</v>
      </c>
      <c r="N155" s="348">
        <f>(C155+I155)*F155*L155*M155</f>
        <v>2.7831276000000007</v>
      </c>
      <c r="O155" s="349" t="s">
        <v>100</v>
      </c>
      <c r="P155" s="784">
        <f>ROUND((N155),2)</f>
        <v>2.78</v>
      </c>
      <c r="Q155" s="398"/>
      <c r="R155" s="564"/>
      <c r="S155" s="398"/>
      <c r="T155" s="398"/>
      <c r="U155" s="398"/>
      <c r="V155" s="738"/>
      <c r="W155" s="738"/>
      <c r="X155" s="738"/>
    </row>
    <row r="156" spans="1:24" ht="15.75" customHeight="1">
      <c r="A156" s="355" t="s">
        <v>121</v>
      </c>
      <c r="B156" s="356" t="s">
        <v>169</v>
      </c>
      <c r="C156" s="348">
        <f>C154</f>
        <v>5</v>
      </c>
      <c r="D156" s="348">
        <v>0.15</v>
      </c>
      <c r="E156" s="348">
        <v>0.15</v>
      </c>
      <c r="F156" s="348"/>
      <c r="G156" s="348"/>
      <c r="H156" s="348"/>
      <c r="I156" s="348"/>
      <c r="J156" s="348"/>
      <c r="K156" s="348"/>
      <c r="L156" s="348"/>
      <c r="M156" s="348">
        <f>M155</f>
        <v>1</v>
      </c>
      <c r="N156" s="348">
        <f>C156*D156*E156*M156</f>
        <v>0.11249999999999999</v>
      </c>
      <c r="O156" s="349" t="s">
        <v>103</v>
      </c>
      <c r="P156" s="784">
        <f>ROUND((N156),2)</f>
        <v>0.11</v>
      </c>
      <c r="Q156" s="398"/>
      <c r="R156" s="564"/>
      <c r="S156" s="398"/>
      <c r="T156" s="398"/>
      <c r="U156" s="398"/>
      <c r="V156" s="738"/>
      <c r="W156" s="738"/>
      <c r="X156" s="738"/>
    </row>
    <row r="157" spans="1:24" s="787" customFormat="1" ht="15.75" hidden="1" customHeight="1">
      <c r="A157" s="584">
        <f>A152+1</f>
        <v>13</v>
      </c>
      <c r="B157" s="572" t="s">
        <v>1167</v>
      </c>
      <c r="C157" s="573"/>
      <c r="D157" s="573"/>
      <c r="E157" s="573"/>
      <c r="F157" s="573"/>
      <c r="G157" s="573"/>
      <c r="H157" s="573"/>
      <c r="I157" s="573"/>
      <c r="J157" s="573"/>
      <c r="K157" s="573"/>
      <c r="L157" s="573"/>
      <c r="M157" s="573"/>
      <c r="N157" s="574"/>
      <c r="O157" s="575"/>
      <c r="P157" s="785"/>
      <c r="Q157" s="577"/>
      <c r="R157" s="578"/>
      <c r="S157" s="577"/>
      <c r="T157" s="577"/>
      <c r="U157" s="577"/>
      <c r="V157" s="786"/>
      <c r="W157" s="786"/>
      <c r="X157" s="786"/>
    </row>
    <row r="158" spans="1:24" s="787" customFormat="1" ht="15.75" hidden="1" customHeight="1">
      <c r="A158" s="571" t="s">
        <v>95</v>
      </c>
      <c r="B158" s="572" t="s">
        <v>211</v>
      </c>
      <c r="C158" s="573"/>
      <c r="D158" s="573"/>
      <c r="E158" s="573"/>
      <c r="F158" s="573"/>
      <c r="G158" s="573"/>
      <c r="H158" s="573"/>
      <c r="I158" s="573"/>
      <c r="J158" s="573"/>
      <c r="K158" s="573"/>
      <c r="L158" s="573"/>
      <c r="M158" s="573"/>
      <c r="N158" s="574"/>
      <c r="O158" s="575"/>
      <c r="P158" s="785"/>
      <c r="Q158" s="577"/>
      <c r="R158" s="578"/>
      <c r="S158" s="577"/>
      <c r="T158" s="577"/>
      <c r="U158" s="577"/>
      <c r="V158" s="786"/>
      <c r="W158" s="786"/>
      <c r="X158" s="786"/>
    </row>
    <row r="159" spans="1:24" s="787" customFormat="1" ht="15.75" hidden="1" customHeight="1">
      <c r="A159" s="571"/>
      <c r="B159" s="775"/>
      <c r="C159" s="573">
        <v>5</v>
      </c>
      <c r="D159" s="573">
        <f>4+0.5</f>
        <v>4.5</v>
      </c>
      <c r="E159" s="573"/>
      <c r="F159" s="573"/>
      <c r="G159" s="573"/>
      <c r="H159" s="573"/>
      <c r="I159" s="573"/>
      <c r="J159" s="573"/>
      <c r="K159" s="573"/>
      <c r="L159" s="573"/>
      <c r="M159" s="573"/>
      <c r="N159" s="574">
        <f>C159*D159</f>
        <v>22.5</v>
      </c>
      <c r="O159" s="575"/>
      <c r="P159" s="785"/>
      <c r="Q159" s="577"/>
      <c r="R159" s="578"/>
      <c r="S159" s="577"/>
      <c r="T159" s="577"/>
      <c r="U159" s="577"/>
      <c r="V159" s="786"/>
      <c r="W159" s="786"/>
      <c r="X159" s="786"/>
    </row>
    <row r="160" spans="1:24" s="787" customFormat="1" ht="15.75" hidden="1" customHeight="1">
      <c r="A160" s="571"/>
      <c r="B160" s="775"/>
      <c r="C160" s="573">
        <f>C159</f>
        <v>5</v>
      </c>
      <c r="D160" s="573"/>
      <c r="E160" s="573">
        <v>0.12</v>
      </c>
      <c r="F160" s="573"/>
      <c r="G160" s="573"/>
      <c r="H160" s="573">
        <v>1</v>
      </c>
      <c r="I160" s="573"/>
      <c r="J160" s="573"/>
      <c r="K160" s="573"/>
      <c r="L160" s="573"/>
      <c r="M160" s="573"/>
      <c r="N160" s="574">
        <f>C160*E160*H160</f>
        <v>0.6</v>
      </c>
      <c r="O160" s="575"/>
      <c r="P160" s="785"/>
      <c r="Q160" s="577"/>
      <c r="R160" s="578"/>
      <c r="S160" s="577"/>
      <c r="T160" s="577"/>
      <c r="U160" s="577"/>
      <c r="V160" s="786"/>
      <c r="W160" s="786"/>
      <c r="X160" s="786"/>
    </row>
    <row r="161" spans="1:24" s="787" customFormat="1" ht="15.75" hidden="1" customHeight="1">
      <c r="A161" s="571"/>
      <c r="B161" s="775"/>
      <c r="C161" s="573">
        <f>D159</f>
        <v>4.5</v>
      </c>
      <c r="D161" s="573"/>
      <c r="E161" s="573">
        <f>E160</f>
        <v>0.12</v>
      </c>
      <c r="F161" s="573"/>
      <c r="G161" s="573"/>
      <c r="H161" s="573">
        <v>2</v>
      </c>
      <c r="I161" s="573"/>
      <c r="J161" s="573"/>
      <c r="K161" s="573"/>
      <c r="L161" s="573"/>
      <c r="M161" s="573"/>
      <c r="N161" s="582">
        <f>C161*E161*H161</f>
        <v>1.08</v>
      </c>
      <c r="O161" s="575"/>
      <c r="P161" s="785"/>
      <c r="Q161" s="577"/>
      <c r="R161" s="578"/>
      <c r="S161" s="577"/>
      <c r="T161" s="577"/>
      <c r="U161" s="577"/>
      <c r="V161" s="786"/>
      <c r="W161" s="786"/>
      <c r="X161" s="786"/>
    </row>
    <row r="162" spans="1:24" s="787" customFormat="1" ht="15.75" hidden="1" customHeight="1">
      <c r="A162" s="571"/>
      <c r="B162" s="572"/>
      <c r="C162" s="573"/>
      <c r="D162" s="573"/>
      <c r="E162" s="573"/>
      <c r="F162" s="573"/>
      <c r="G162" s="573"/>
      <c r="H162" s="573"/>
      <c r="I162" s="573"/>
      <c r="J162" s="573"/>
      <c r="K162" s="573"/>
      <c r="L162" s="573"/>
      <c r="M162" s="573"/>
      <c r="N162" s="574">
        <f>SUM(N159:N161)</f>
        <v>24.18</v>
      </c>
      <c r="O162" s="575" t="s">
        <v>89</v>
      </c>
      <c r="P162" s="785">
        <f>ROUND((N162),2)</f>
        <v>24.18</v>
      </c>
      <c r="Q162" s="577"/>
      <c r="R162" s="578"/>
      <c r="S162" s="577"/>
      <c r="T162" s="577"/>
      <c r="U162" s="577"/>
      <c r="V162" s="786"/>
      <c r="W162" s="786"/>
      <c r="X162" s="786"/>
    </row>
    <row r="163" spans="1:24" s="787" customFormat="1" ht="15.75" hidden="1" customHeight="1">
      <c r="A163" s="571" t="s">
        <v>98</v>
      </c>
      <c r="B163" s="583" t="s">
        <v>905</v>
      </c>
      <c r="C163" s="573"/>
      <c r="D163" s="573"/>
      <c r="E163" s="573"/>
      <c r="F163" s="573"/>
      <c r="G163" s="573"/>
      <c r="H163" s="573"/>
      <c r="I163" s="573"/>
      <c r="J163" s="573"/>
      <c r="K163" s="573"/>
      <c r="L163" s="573"/>
      <c r="M163" s="573"/>
      <c r="N163" s="574"/>
      <c r="O163" s="575"/>
      <c r="P163" s="785"/>
      <c r="Q163" s="577"/>
      <c r="R163" s="578"/>
      <c r="S163" s="577"/>
      <c r="T163" s="577"/>
      <c r="U163" s="577"/>
      <c r="V163" s="786"/>
      <c r="W163" s="786"/>
      <c r="X163" s="786"/>
    </row>
    <row r="164" spans="1:24" s="787" customFormat="1" ht="15.75" hidden="1" customHeight="1">
      <c r="A164" s="571"/>
      <c r="B164" s="775"/>
      <c r="C164" s="573">
        <f>D159</f>
        <v>4.5</v>
      </c>
      <c r="D164" s="573"/>
      <c r="E164" s="573"/>
      <c r="F164" s="573">
        <f>ROUNDUP((C159/0.15),0.1)+1</f>
        <v>35</v>
      </c>
      <c r="G164" s="573"/>
      <c r="H164" s="573"/>
      <c r="I164" s="573"/>
      <c r="J164" s="573"/>
      <c r="K164" s="573"/>
      <c r="L164" s="573">
        <f>8*8*0.006165</f>
        <v>0.39456000000000002</v>
      </c>
      <c r="M164" s="573"/>
      <c r="N164" s="574">
        <f>C164*F164*L164</f>
        <v>62.1432</v>
      </c>
      <c r="O164" s="575"/>
      <c r="P164" s="785"/>
      <c r="Q164" s="577"/>
      <c r="R164" s="578"/>
      <c r="S164" s="577"/>
      <c r="T164" s="577"/>
      <c r="U164" s="577"/>
      <c r="V164" s="786"/>
      <c r="W164" s="786"/>
      <c r="X164" s="786"/>
    </row>
    <row r="165" spans="1:24" s="787" customFormat="1" ht="15.75" hidden="1" customHeight="1">
      <c r="A165" s="571"/>
      <c r="B165" s="775"/>
      <c r="C165" s="573">
        <f>C159</f>
        <v>5</v>
      </c>
      <c r="D165" s="573"/>
      <c r="E165" s="573"/>
      <c r="F165" s="573">
        <f>ROUNDUP((D159/0.15),0.1)+1</f>
        <v>31</v>
      </c>
      <c r="G165" s="573"/>
      <c r="H165" s="573"/>
      <c r="I165" s="573"/>
      <c r="J165" s="573"/>
      <c r="K165" s="573"/>
      <c r="L165" s="573">
        <f>L164</f>
        <v>0.39456000000000002</v>
      </c>
      <c r="M165" s="573"/>
      <c r="N165" s="582">
        <f>C165*F165*L165</f>
        <v>61.156800000000004</v>
      </c>
      <c r="O165" s="575"/>
      <c r="P165" s="785"/>
      <c r="Q165" s="577"/>
      <c r="R165" s="578"/>
      <c r="S165" s="577"/>
      <c r="T165" s="577"/>
      <c r="U165" s="577"/>
      <c r="V165" s="786"/>
      <c r="W165" s="786"/>
      <c r="X165" s="786"/>
    </row>
    <row r="166" spans="1:24" s="787" customFormat="1" ht="15.75" hidden="1" customHeight="1">
      <c r="A166" s="571"/>
      <c r="B166" s="572"/>
      <c r="C166" s="573"/>
      <c r="D166" s="573"/>
      <c r="E166" s="573"/>
      <c r="F166" s="573"/>
      <c r="G166" s="573"/>
      <c r="H166" s="573"/>
      <c r="I166" s="573"/>
      <c r="J166" s="573"/>
      <c r="K166" s="573"/>
      <c r="L166" s="573"/>
      <c r="M166" s="573"/>
      <c r="N166" s="574">
        <f>SUM(N164:N165)</f>
        <v>123.30000000000001</v>
      </c>
      <c r="O166" s="575" t="s">
        <v>100</v>
      </c>
      <c r="P166" s="785">
        <f t="shared" ref="P166:P172" si="4">ROUND((N166),2)</f>
        <v>123.3</v>
      </c>
      <c r="Q166" s="577"/>
      <c r="R166" s="578"/>
      <c r="S166" s="577"/>
      <c r="T166" s="577"/>
      <c r="U166" s="577"/>
      <c r="V166" s="786"/>
      <c r="W166" s="786"/>
      <c r="X166" s="786"/>
    </row>
    <row r="167" spans="1:24" s="787" customFormat="1" ht="15.75" hidden="1" customHeight="1">
      <c r="A167" s="571" t="s">
        <v>101</v>
      </c>
      <c r="B167" s="572" t="s">
        <v>1043</v>
      </c>
      <c r="C167" s="573">
        <f>C165</f>
        <v>5</v>
      </c>
      <c r="D167" s="573">
        <f>C164</f>
        <v>4.5</v>
      </c>
      <c r="E167" s="573">
        <f>E161</f>
        <v>0.12</v>
      </c>
      <c r="F167" s="573"/>
      <c r="G167" s="573"/>
      <c r="H167" s="573"/>
      <c r="I167" s="573"/>
      <c r="J167" s="573"/>
      <c r="K167" s="573"/>
      <c r="L167" s="573"/>
      <c r="M167" s="573"/>
      <c r="N167" s="574">
        <f>C167*D167*E167</f>
        <v>2.6999999999999997</v>
      </c>
      <c r="O167" s="575" t="s">
        <v>103</v>
      </c>
      <c r="P167" s="785">
        <f t="shared" si="4"/>
        <v>2.7</v>
      </c>
      <c r="Q167" s="577"/>
      <c r="R167" s="578"/>
      <c r="S167" s="577"/>
      <c r="T167" s="577"/>
      <c r="U167" s="577"/>
      <c r="V167" s="786"/>
      <c r="W167" s="786"/>
      <c r="X167" s="786"/>
    </row>
    <row r="168" spans="1:24" s="787" customFormat="1" ht="15.75" hidden="1" customHeight="1">
      <c r="A168" s="571" t="s">
        <v>121</v>
      </c>
      <c r="B168" s="788" t="s">
        <v>1140</v>
      </c>
      <c r="C168" s="573">
        <f>C167</f>
        <v>5</v>
      </c>
      <c r="D168" s="573">
        <f>D167</f>
        <v>4.5</v>
      </c>
      <c r="E168" s="573"/>
      <c r="F168" s="573"/>
      <c r="G168" s="573"/>
      <c r="H168" s="573"/>
      <c r="I168" s="573"/>
      <c r="J168" s="573"/>
      <c r="K168" s="573"/>
      <c r="L168" s="573"/>
      <c r="M168" s="573"/>
      <c r="N168" s="574">
        <f>C168*D168</f>
        <v>22.5</v>
      </c>
      <c r="O168" s="575" t="s">
        <v>103</v>
      </c>
      <c r="P168" s="785">
        <f t="shared" si="4"/>
        <v>22.5</v>
      </c>
      <c r="Q168" s="577"/>
      <c r="R168" s="578"/>
      <c r="S168" s="577"/>
      <c r="T168" s="577"/>
      <c r="U168" s="577"/>
      <c r="V168" s="786"/>
      <c r="W168" s="786"/>
      <c r="X168" s="786"/>
    </row>
    <row r="169" spans="1:24" s="787" customFormat="1" ht="15.75" hidden="1" customHeight="1">
      <c r="A169" s="571" t="s">
        <v>142</v>
      </c>
      <c r="B169" s="788" t="s">
        <v>1138</v>
      </c>
      <c r="C169" s="573"/>
      <c r="D169" s="573"/>
      <c r="E169" s="573"/>
      <c r="F169" s="573"/>
      <c r="G169" s="573"/>
      <c r="H169" s="573"/>
      <c r="I169" s="573"/>
      <c r="J169" s="573"/>
      <c r="K169" s="573"/>
      <c r="L169" s="573"/>
      <c r="M169" s="573"/>
      <c r="N169" s="574">
        <f>N168</f>
        <v>22.5</v>
      </c>
      <c r="O169" s="575" t="s">
        <v>103</v>
      </c>
      <c r="P169" s="785">
        <f t="shared" si="4"/>
        <v>22.5</v>
      </c>
      <c r="Q169" s="577"/>
      <c r="R169" s="578"/>
      <c r="S169" s="577"/>
      <c r="T169" s="577"/>
      <c r="U169" s="577"/>
      <c r="V169" s="786"/>
      <c r="W169" s="786"/>
      <c r="X169" s="786"/>
    </row>
    <row r="170" spans="1:24" ht="15.75" hidden="1" customHeight="1">
      <c r="A170" s="350">
        <f>A157+1</f>
        <v>14</v>
      </c>
      <c r="B170" s="359" t="s">
        <v>1012</v>
      </c>
      <c r="C170" s="348">
        <v>9.15</v>
      </c>
      <c r="D170" s="348">
        <f>2.25+1.85</f>
        <v>4.0999999999999996</v>
      </c>
      <c r="E170" s="348"/>
      <c r="F170" s="348"/>
      <c r="G170" s="348"/>
      <c r="H170" s="348">
        <v>2</v>
      </c>
      <c r="I170" s="348"/>
      <c r="J170" s="348"/>
      <c r="K170" s="348"/>
      <c r="L170" s="348"/>
      <c r="M170" s="348"/>
      <c r="N170" s="348">
        <f>C170*D170*H170</f>
        <v>75.03</v>
      </c>
      <c r="O170" s="349" t="s">
        <v>89</v>
      </c>
      <c r="P170" s="784">
        <f t="shared" si="4"/>
        <v>75.03</v>
      </c>
      <c r="Q170" s="398"/>
      <c r="R170" s="564"/>
      <c r="S170" s="398"/>
      <c r="T170" s="398"/>
      <c r="U170" s="398"/>
      <c r="V170" s="738"/>
      <c r="W170" s="738"/>
      <c r="X170" s="738"/>
    </row>
    <row r="171" spans="1:24" ht="15.75" hidden="1" customHeight="1">
      <c r="A171" s="350">
        <f>A170+1</f>
        <v>15</v>
      </c>
      <c r="B171" s="359" t="s">
        <v>1013</v>
      </c>
      <c r="C171" s="348">
        <f>C170</f>
        <v>9.15</v>
      </c>
      <c r="D171" s="348">
        <f>D170</f>
        <v>4.0999999999999996</v>
      </c>
      <c r="E171" s="348"/>
      <c r="F171" s="348"/>
      <c r="G171" s="348"/>
      <c r="H171" s="348">
        <v>2</v>
      </c>
      <c r="I171" s="348"/>
      <c r="J171" s="348"/>
      <c r="K171" s="348"/>
      <c r="L171" s="348"/>
      <c r="M171" s="348"/>
      <c r="N171" s="348">
        <f>C171*D171*H171</f>
        <v>75.03</v>
      </c>
      <c r="O171" s="349" t="s">
        <v>89</v>
      </c>
      <c r="P171" s="784">
        <f t="shared" si="4"/>
        <v>75.03</v>
      </c>
      <c r="Q171" s="398"/>
      <c r="R171" s="564"/>
      <c r="S171" s="398"/>
      <c r="T171" s="398"/>
      <c r="U171" s="398"/>
      <c r="V171" s="738"/>
      <c r="W171" s="738"/>
      <c r="X171" s="738"/>
    </row>
    <row r="172" spans="1:24" ht="15.75" hidden="1" customHeight="1">
      <c r="A172" s="350">
        <f>A171+1</f>
        <v>16</v>
      </c>
      <c r="B172" s="359" t="s">
        <v>1014</v>
      </c>
      <c r="C172" s="348">
        <v>9.65</v>
      </c>
      <c r="D172" s="348"/>
      <c r="E172" s="348"/>
      <c r="F172" s="348"/>
      <c r="G172" s="348"/>
      <c r="H172" s="348"/>
      <c r="I172" s="348"/>
      <c r="J172" s="348"/>
      <c r="K172" s="348"/>
      <c r="L172" s="348"/>
      <c r="M172" s="348"/>
      <c r="N172" s="348">
        <f>C172</f>
        <v>9.65</v>
      </c>
      <c r="O172" s="349" t="s">
        <v>117</v>
      </c>
      <c r="P172" s="784">
        <f t="shared" si="4"/>
        <v>9.65</v>
      </c>
      <c r="Q172" s="398"/>
      <c r="R172" s="564"/>
      <c r="S172" s="398"/>
      <c r="T172" s="398"/>
      <c r="U172" s="398"/>
      <c r="V172" s="738"/>
      <c r="W172" s="738"/>
      <c r="X172" s="738"/>
    </row>
    <row r="173" spans="1:24" ht="15.75" customHeight="1">
      <c r="A173" s="350"/>
      <c r="B173" s="359"/>
      <c r="C173" s="348"/>
      <c r="D173" s="348"/>
      <c r="E173" s="348"/>
      <c r="F173" s="348"/>
      <c r="G173" s="348"/>
      <c r="H173" s="348"/>
      <c r="I173" s="348"/>
      <c r="J173" s="348"/>
      <c r="K173" s="348"/>
      <c r="L173" s="348"/>
      <c r="M173" s="348"/>
      <c r="N173" s="348"/>
      <c r="O173" s="349"/>
      <c r="P173" s="784"/>
      <c r="Q173" s="398"/>
      <c r="R173" s="564"/>
      <c r="S173" s="398"/>
      <c r="T173" s="398"/>
      <c r="U173" s="398"/>
      <c r="V173" s="738"/>
      <c r="W173" s="738"/>
      <c r="X173" s="738"/>
    </row>
    <row r="174" spans="1:24" ht="15.75" customHeight="1">
      <c r="A174" s="346" t="s">
        <v>1168</v>
      </c>
      <c r="B174" s="586" t="s">
        <v>434</v>
      </c>
      <c r="C174" s="348"/>
      <c r="D174" s="348"/>
      <c r="E174" s="348"/>
      <c r="F174" s="348"/>
      <c r="G174" s="348"/>
      <c r="H174" s="348"/>
      <c r="I174" s="348"/>
      <c r="J174" s="348"/>
      <c r="K174" s="348"/>
      <c r="L174" s="348"/>
      <c r="M174" s="348"/>
      <c r="N174" s="348"/>
      <c r="O174" s="349"/>
      <c r="P174" s="784"/>
      <c r="Q174" s="398"/>
      <c r="R174" s="564"/>
      <c r="S174" s="398"/>
      <c r="T174" s="398"/>
      <c r="U174" s="398"/>
      <c r="V174" s="738"/>
      <c r="W174" s="738"/>
      <c r="X174" s="738"/>
    </row>
    <row r="175" spans="1:24" ht="15.75" customHeight="1">
      <c r="A175" s="350">
        <v>1</v>
      </c>
      <c r="B175" s="359" t="s">
        <v>536</v>
      </c>
      <c r="C175" s="348"/>
      <c r="D175" s="348"/>
      <c r="E175" s="348"/>
      <c r="F175" s="348"/>
      <c r="G175" s="348"/>
      <c r="H175" s="348"/>
      <c r="I175" s="348"/>
      <c r="J175" s="348"/>
      <c r="K175" s="348"/>
      <c r="L175" s="348"/>
      <c r="M175" s="348"/>
      <c r="N175" s="348"/>
      <c r="O175" s="349"/>
      <c r="P175" s="784"/>
      <c r="Q175" s="398"/>
      <c r="R175" s="564"/>
      <c r="S175" s="398"/>
      <c r="T175" s="398"/>
      <c r="U175" s="398"/>
      <c r="V175" s="738"/>
      <c r="W175" s="738"/>
      <c r="X175" s="738"/>
    </row>
    <row r="176" spans="1:24" ht="15.75" customHeight="1">
      <c r="A176" s="350"/>
      <c r="B176" s="567" t="s">
        <v>1169</v>
      </c>
      <c r="C176" s="348">
        <v>8</v>
      </c>
      <c r="D176" s="348"/>
      <c r="E176" s="348">
        <v>0.25</v>
      </c>
      <c r="F176" s="348"/>
      <c r="G176" s="348"/>
      <c r="H176" s="348"/>
      <c r="I176" s="348"/>
      <c r="J176" s="348"/>
      <c r="K176" s="348"/>
      <c r="L176" s="348"/>
      <c r="M176" s="348">
        <v>2</v>
      </c>
      <c r="N176" s="348">
        <f>C176*E176*M176</f>
        <v>4</v>
      </c>
      <c r="O176" s="349"/>
      <c r="P176" s="784"/>
      <c r="Q176" s="398"/>
      <c r="R176" s="564"/>
      <c r="S176" s="398"/>
      <c r="T176" s="398"/>
      <c r="U176" s="398"/>
      <c r="V176" s="738"/>
      <c r="W176" s="738"/>
      <c r="X176" s="738"/>
    </row>
    <row r="177" spans="1:24" ht="15.75" customHeight="1">
      <c r="A177" s="350"/>
      <c r="B177" s="567" t="s">
        <v>1170</v>
      </c>
      <c r="C177" s="348">
        <v>5</v>
      </c>
      <c r="D177" s="348"/>
      <c r="E177" s="348">
        <f>E176</f>
        <v>0.25</v>
      </c>
      <c r="F177" s="348"/>
      <c r="G177" s="348"/>
      <c r="H177" s="348"/>
      <c r="I177" s="348"/>
      <c r="J177" s="348"/>
      <c r="K177" s="348"/>
      <c r="L177" s="348"/>
      <c r="M177" s="348">
        <v>1</v>
      </c>
      <c r="N177" s="348">
        <f>C177*E177*M177</f>
        <v>1.25</v>
      </c>
      <c r="O177" s="349"/>
      <c r="P177" s="784"/>
      <c r="Q177" s="398"/>
      <c r="R177" s="564"/>
      <c r="S177" s="398"/>
      <c r="T177" s="398"/>
      <c r="U177" s="398"/>
      <c r="V177" s="738"/>
      <c r="W177" s="738"/>
      <c r="X177" s="738"/>
    </row>
    <row r="178" spans="1:24" ht="15.75" customHeight="1">
      <c r="A178" s="350"/>
      <c r="B178" s="567" t="s">
        <v>1171</v>
      </c>
      <c r="C178" s="348">
        <f>C177</f>
        <v>5</v>
      </c>
      <c r="D178" s="348"/>
      <c r="E178" s="348">
        <v>0.44</v>
      </c>
      <c r="F178" s="348"/>
      <c r="G178" s="348"/>
      <c r="H178" s="348"/>
      <c r="I178" s="348"/>
      <c r="J178" s="348"/>
      <c r="K178" s="348"/>
      <c r="L178" s="348"/>
      <c r="M178" s="348">
        <v>1</v>
      </c>
      <c r="N178" s="348">
        <f>C178*E178*M178</f>
        <v>2.2000000000000002</v>
      </c>
      <c r="O178" s="349"/>
      <c r="P178" s="784"/>
      <c r="Q178" s="398"/>
      <c r="R178" s="564"/>
      <c r="S178" s="398"/>
      <c r="T178" s="398"/>
      <c r="U178" s="398"/>
      <c r="V178" s="738"/>
      <c r="W178" s="738"/>
      <c r="X178" s="738"/>
    </row>
    <row r="179" spans="1:24" ht="15.75" customHeight="1">
      <c r="A179" s="350"/>
      <c r="B179" s="567" t="s">
        <v>1149</v>
      </c>
      <c r="C179" s="348"/>
      <c r="D179" s="428">
        <v>2.6440000000000001</v>
      </c>
      <c r="E179" s="428">
        <v>1.2769999999999999</v>
      </c>
      <c r="F179" s="428"/>
      <c r="G179" s="428"/>
      <c r="H179" s="428">
        <v>2</v>
      </c>
      <c r="I179" s="428"/>
      <c r="J179" s="428"/>
      <c r="K179" s="428"/>
      <c r="L179" s="428"/>
      <c r="M179" s="428"/>
      <c r="N179" s="428">
        <f>D179*E179*H179*R179</f>
        <v>0</v>
      </c>
      <c r="O179" s="349"/>
      <c r="P179" s="784"/>
      <c r="Q179" s="398"/>
      <c r="R179" s="564"/>
      <c r="S179" s="398"/>
      <c r="T179" s="398"/>
      <c r="U179" s="398"/>
      <c r="V179" s="738"/>
      <c r="W179" s="738"/>
      <c r="X179" s="738"/>
    </row>
    <row r="180" spans="1:24" ht="15.75" customHeight="1">
      <c r="A180" s="350"/>
      <c r="B180" s="567"/>
      <c r="C180" s="348"/>
      <c r="D180" s="428">
        <v>1.3029999999999999</v>
      </c>
      <c r="E180" s="428">
        <v>1.2769999999999999</v>
      </c>
      <c r="F180" s="428"/>
      <c r="G180" s="428"/>
      <c r="H180" s="428">
        <v>2</v>
      </c>
      <c r="I180" s="428"/>
      <c r="J180" s="428"/>
      <c r="K180" s="428"/>
      <c r="L180" s="428"/>
      <c r="M180" s="428"/>
      <c r="N180" s="428">
        <f>D180*E180*H180*R180</f>
        <v>0</v>
      </c>
      <c r="O180" s="349"/>
      <c r="P180" s="784"/>
      <c r="Q180" s="398"/>
      <c r="R180" s="564"/>
      <c r="S180" s="398"/>
      <c r="T180" s="398"/>
      <c r="U180" s="398"/>
      <c r="V180" s="738"/>
      <c r="W180" s="738"/>
      <c r="X180" s="738"/>
    </row>
    <row r="181" spans="1:24" ht="15.75" customHeight="1">
      <c r="A181" s="350"/>
      <c r="B181" s="567"/>
      <c r="C181" s="348"/>
      <c r="D181" s="428">
        <f>2.644/2</f>
        <v>1.3220000000000001</v>
      </c>
      <c r="E181" s="428">
        <v>1.1459999999999999</v>
      </c>
      <c r="F181" s="428"/>
      <c r="G181" s="428"/>
      <c r="H181" s="428">
        <v>2</v>
      </c>
      <c r="I181" s="428"/>
      <c r="J181" s="428"/>
      <c r="K181" s="428"/>
      <c r="L181" s="428"/>
      <c r="M181" s="428"/>
      <c r="N181" s="590">
        <f>D181*E181*H181*R181</f>
        <v>0</v>
      </c>
      <c r="O181" s="349"/>
      <c r="P181" s="784"/>
      <c r="Q181" s="398"/>
      <c r="R181" s="564"/>
      <c r="S181" s="398"/>
      <c r="T181" s="398"/>
      <c r="U181" s="398"/>
      <c r="V181" s="738"/>
      <c r="W181" s="738"/>
      <c r="X181" s="738"/>
    </row>
    <row r="182" spans="1:24" ht="15.75" customHeight="1">
      <c r="A182" s="350"/>
      <c r="B182" s="567"/>
      <c r="C182" s="348"/>
      <c r="D182" s="348"/>
      <c r="E182" s="348"/>
      <c r="F182" s="348"/>
      <c r="G182" s="348"/>
      <c r="H182" s="348"/>
      <c r="I182" s="348"/>
      <c r="J182" s="348"/>
      <c r="K182" s="348"/>
      <c r="L182" s="348"/>
      <c r="M182" s="348"/>
      <c r="N182" s="343">
        <f>SUM(N176:N181)</f>
        <v>7.45</v>
      </c>
      <c r="O182" s="349" t="s">
        <v>89</v>
      </c>
      <c r="P182" s="784">
        <f>ROUND((N182),2)</f>
        <v>7.45</v>
      </c>
      <c r="Q182" s="398"/>
      <c r="R182" s="564"/>
      <c r="S182" s="398"/>
      <c r="T182" s="398"/>
      <c r="U182" s="398"/>
      <c r="V182" s="738"/>
      <c r="W182" s="738"/>
      <c r="X182" s="738"/>
    </row>
    <row r="183" spans="1:24" ht="15.75" customHeight="1">
      <c r="A183" s="350">
        <f>A175+1</f>
        <v>2</v>
      </c>
      <c r="B183" s="359" t="s">
        <v>193</v>
      </c>
      <c r="C183" s="348"/>
      <c r="D183" s="348"/>
      <c r="E183" s="348"/>
      <c r="F183" s="348"/>
      <c r="G183" s="348"/>
      <c r="H183" s="348"/>
      <c r="I183" s="348"/>
      <c r="J183" s="348"/>
      <c r="K183" s="348"/>
      <c r="L183" s="348"/>
      <c r="M183" s="348"/>
      <c r="N183" s="348">
        <f>N182*2</f>
        <v>14.9</v>
      </c>
      <c r="O183" s="349" t="s">
        <v>89</v>
      </c>
      <c r="P183" s="784">
        <f>ROUND((N183),2)</f>
        <v>14.9</v>
      </c>
      <c r="Q183" s="398"/>
      <c r="R183" s="564"/>
      <c r="S183" s="398"/>
      <c r="T183" s="398"/>
      <c r="U183" s="398"/>
      <c r="V183" s="738"/>
      <c r="W183" s="738"/>
      <c r="X183" s="738"/>
    </row>
    <row r="184" spans="1:24" ht="15.75" customHeight="1">
      <c r="A184" s="350">
        <f>A183+1</f>
        <v>3</v>
      </c>
      <c r="B184" s="359" t="s">
        <v>194</v>
      </c>
      <c r="C184" s="348"/>
      <c r="D184" s="348"/>
      <c r="E184" s="348"/>
      <c r="F184" s="348"/>
      <c r="G184" s="348"/>
      <c r="H184" s="348"/>
      <c r="I184" s="348"/>
      <c r="J184" s="348"/>
      <c r="K184" s="348"/>
      <c r="L184" s="348"/>
      <c r="M184" s="348"/>
      <c r="N184" s="348">
        <f>N183</f>
        <v>14.9</v>
      </c>
      <c r="O184" s="349" t="s">
        <v>89</v>
      </c>
      <c r="P184" s="784">
        <f>ROUND((N184),2)</f>
        <v>14.9</v>
      </c>
      <c r="Q184" s="398"/>
      <c r="R184" s="564"/>
      <c r="S184" s="398"/>
      <c r="T184" s="398"/>
      <c r="U184" s="398"/>
      <c r="V184" s="738"/>
      <c r="W184" s="738"/>
      <c r="X184" s="738"/>
    </row>
    <row r="185" spans="1:24" ht="15.75" customHeight="1">
      <c r="A185" s="350">
        <f>A184+1</f>
        <v>4</v>
      </c>
      <c r="B185" s="359" t="s">
        <v>435</v>
      </c>
      <c r="C185" s="348"/>
      <c r="D185" s="348"/>
      <c r="E185" s="348"/>
      <c r="F185" s="348"/>
      <c r="G185" s="348"/>
      <c r="H185" s="348"/>
      <c r="I185" s="348"/>
      <c r="J185" s="348"/>
      <c r="K185" s="348"/>
      <c r="L185" s="348"/>
      <c r="M185" s="348"/>
      <c r="N185" s="348"/>
      <c r="O185" s="349"/>
      <c r="P185" s="784"/>
      <c r="Q185" s="398"/>
      <c r="R185" s="564"/>
      <c r="S185" s="398"/>
      <c r="T185" s="398"/>
      <c r="U185" s="398"/>
      <c r="V185" s="738"/>
      <c r="W185" s="738"/>
      <c r="X185" s="738"/>
    </row>
    <row r="186" spans="1:24" ht="15.75" customHeight="1">
      <c r="A186" s="350"/>
      <c r="B186" s="567" t="s">
        <v>1017</v>
      </c>
      <c r="C186" s="348"/>
      <c r="D186" s="348">
        <v>0.15</v>
      </c>
      <c r="E186" s="348">
        <v>3</v>
      </c>
      <c r="F186" s="348"/>
      <c r="G186" s="348"/>
      <c r="H186" s="348">
        <v>4</v>
      </c>
      <c r="I186" s="348"/>
      <c r="J186" s="348"/>
      <c r="K186" s="348"/>
      <c r="L186" s="348"/>
      <c r="M186" s="348">
        <v>6</v>
      </c>
      <c r="N186" s="348">
        <f>D186*E186*H186*M186</f>
        <v>10.799999999999999</v>
      </c>
      <c r="O186" s="349"/>
      <c r="P186" s="784"/>
      <c r="Q186" s="398"/>
      <c r="R186" s="564"/>
      <c r="S186" s="398"/>
      <c r="T186" s="398"/>
      <c r="U186" s="398"/>
      <c r="V186" s="738"/>
      <c r="W186" s="738"/>
      <c r="X186" s="738"/>
    </row>
    <row r="187" spans="1:24" ht="15.75" customHeight="1">
      <c r="A187" s="350"/>
      <c r="B187" s="567" t="s">
        <v>1018</v>
      </c>
      <c r="C187" s="348">
        <f>C97-(0.2*4)</f>
        <v>7.2</v>
      </c>
      <c r="D187" s="348"/>
      <c r="E187" s="348">
        <v>0.3</v>
      </c>
      <c r="F187" s="348"/>
      <c r="G187" s="348"/>
      <c r="H187" s="348">
        <v>2</v>
      </c>
      <c r="I187" s="348"/>
      <c r="J187" s="348"/>
      <c r="K187" s="348"/>
      <c r="L187" s="348"/>
      <c r="M187" s="348">
        <v>2</v>
      </c>
      <c r="N187" s="348">
        <f>C187*E187*H187*M187</f>
        <v>8.64</v>
      </c>
      <c r="O187" s="349"/>
      <c r="P187" s="784"/>
      <c r="Q187" s="398"/>
      <c r="R187" s="564"/>
      <c r="S187" s="398"/>
      <c r="T187" s="398"/>
      <c r="U187" s="398"/>
      <c r="V187" s="738"/>
      <c r="W187" s="738"/>
      <c r="X187" s="738"/>
    </row>
    <row r="188" spans="1:24" ht="15.75" customHeight="1">
      <c r="A188" s="350"/>
      <c r="B188" s="567"/>
      <c r="C188" s="348">
        <f>C187</f>
        <v>7.2</v>
      </c>
      <c r="D188" s="348">
        <v>0.25</v>
      </c>
      <c r="E188" s="348"/>
      <c r="F188" s="348"/>
      <c r="G188" s="348"/>
      <c r="H188" s="348">
        <v>1</v>
      </c>
      <c r="I188" s="348"/>
      <c r="J188" s="348"/>
      <c r="K188" s="348"/>
      <c r="L188" s="348"/>
      <c r="M188" s="348">
        <f>M187</f>
        <v>2</v>
      </c>
      <c r="N188" s="348">
        <f>C188*D188*H188*M188</f>
        <v>3.6</v>
      </c>
      <c r="O188" s="349"/>
      <c r="P188" s="784"/>
      <c r="Q188" s="398"/>
      <c r="R188" s="564"/>
      <c r="S188" s="398"/>
      <c r="T188" s="398"/>
      <c r="U188" s="398"/>
      <c r="V188" s="738"/>
      <c r="W188" s="738"/>
      <c r="X188" s="738"/>
    </row>
    <row r="189" spans="1:24" ht="15.75" customHeight="1">
      <c r="A189" s="350"/>
      <c r="B189" s="567"/>
      <c r="C189" s="348">
        <f>C98-(0.2*2)</f>
        <v>4.5999999999999996</v>
      </c>
      <c r="D189" s="348"/>
      <c r="E189" s="348">
        <f>E187</f>
        <v>0.3</v>
      </c>
      <c r="F189" s="348"/>
      <c r="G189" s="348"/>
      <c r="H189" s="348">
        <v>2</v>
      </c>
      <c r="I189" s="348"/>
      <c r="J189" s="348"/>
      <c r="K189" s="348"/>
      <c r="L189" s="348"/>
      <c r="M189" s="348">
        <v>2</v>
      </c>
      <c r="N189" s="348">
        <f>C189*E189*H189*M189</f>
        <v>5.52</v>
      </c>
      <c r="O189" s="349"/>
      <c r="P189" s="784"/>
      <c r="Q189" s="398"/>
      <c r="R189" s="564"/>
      <c r="S189" s="398"/>
      <c r="T189" s="398"/>
      <c r="U189" s="398"/>
      <c r="V189" s="738"/>
      <c r="W189" s="738"/>
      <c r="X189" s="738"/>
    </row>
    <row r="190" spans="1:24" ht="15.75" customHeight="1">
      <c r="A190" s="350"/>
      <c r="B190" s="567"/>
      <c r="C190" s="348">
        <f>C189</f>
        <v>4.5999999999999996</v>
      </c>
      <c r="D190" s="348">
        <f>D188</f>
        <v>0.25</v>
      </c>
      <c r="E190" s="348"/>
      <c r="F190" s="348"/>
      <c r="G190" s="348"/>
      <c r="H190" s="348">
        <f>H188</f>
        <v>1</v>
      </c>
      <c r="I190" s="348"/>
      <c r="J190" s="348"/>
      <c r="K190" s="348"/>
      <c r="L190" s="348"/>
      <c r="M190" s="348">
        <f>M189</f>
        <v>2</v>
      </c>
      <c r="N190" s="348">
        <f>C190*D190*H190*M190</f>
        <v>2.2999999999999998</v>
      </c>
      <c r="O190" s="349"/>
      <c r="P190" s="784"/>
      <c r="Q190" s="398"/>
      <c r="R190" s="564"/>
      <c r="S190" s="398"/>
      <c r="T190" s="398"/>
      <c r="U190" s="398"/>
      <c r="V190" s="738"/>
      <c r="W190" s="738"/>
      <c r="X190" s="738"/>
    </row>
    <row r="191" spans="1:24" ht="15.75" customHeight="1">
      <c r="A191" s="350"/>
      <c r="B191" s="789" t="s">
        <v>1019</v>
      </c>
      <c r="C191" s="348">
        <v>0</v>
      </c>
      <c r="D191" s="348"/>
      <c r="E191" s="348">
        <v>0.15</v>
      </c>
      <c r="F191" s="348"/>
      <c r="G191" s="348"/>
      <c r="H191" s="348">
        <v>2</v>
      </c>
      <c r="I191" s="348"/>
      <c r="J191" s="348"/>
      <c r="K191" s="348"/>
      <c r="L191" s="348"/>
      <c r="M191" s="348">
        <v>0</v>
      </c>
      <c r="N191" s="348">
        <f>C191*E191*H191*M191</f>
        <v>0</v>
      </c>
      <c r="O191" s="349"/>
      <c r="P191" s="784"/>
      <c r="Q191" s="398"/>
      <c r="R191" s="564"/>
      <c r="S191" s="398"/>
      <c r="T191" s="398"/>
      <c r="U191" s="398"/>
      <c r="V191" s="738"/>
      <c r="W191" s="738"/>
      <c r="X191" s="738"/>
    </row>
    <row r="192" spans="1:24" ht="15.75" customHeight="1">
      <c r="A192" s="350"/>
      <c r="B192" s="567"/>
      <c r="C192" s="348">
        <v>0</v>
      </c>
      <c r="D192" s="348"/>
      <c r="E192" s="348">
        <v>0.2</v>
      </c>
      <c r="F192" s="348"/>
      <c r="G192" s="348"/>
      <c r="H192" s="348">
        <f>H191</f>
        <v>2</v>
      </c>
      <c r="I192" s="348"/>
      <c r="J192" s="348"/>
      <c r="K192" s="348"/>
      <c r="L192" s="348"/>
      <c r="M192" s="348">
        <v>0</v>
      </c>
      <c r="N192" s="348">
        <f>C192*E192*H192*M192</f>
        <v>0</v>
      </c>
      <c r="O192" s="349"/>
      <c r="P192" s="784"/>
      <c r="Q192" s="398"/>
      <c r="R192" s="564"/>
      <c r="S192" s="398"/>
      <c r="T192" s="398"/>
      <c r="U192" s="398"/>
      <c r="V192" s="738"/>
      <c r="W192" s="738"/>
      <c r="X192" s="738"/>
    </row>
    <row r="193" spans="1:24" ht="15.75" customHeight="1">
      <c r="A193" s="350"/>
      <c r="B193" s="567"/>
      <c r="C193" s="348">
        <v>8</v>
      </c>
      <c r="D193" s="348"/>
      <c r="E193" s="348">
        <f>E191</f>
        <v>0.15</v>
      </c>
      <c r="F193" s="348"/>
      <c r="G193" s="348"/>
      <c r="H193" s="348">
        <f>H192</f>
        <v>2</v>
      </c>
      <c r="I193" s="348"/>
      <c r="J193" s="348"/>
      <c r="K193" s="348"/>
      <c r="L193" s="348"/>
      <c r="M193" s="348">
        <v>0</v>
      </c>
      <c r="N193" s="348">
        <f>C193*E193*H193*M193</f>
        <v>0</v>
      </c>
      <c r="O193" s="349"/>
      <c r="P193" s="784"/>
      <c r="Q193" s="398"/>
      <c r="R193" s="564"/>
      <c r="S193" s="398"/>
      <c r="T193" s="398"/>
      <c r="U193" s="398"/>
      <c r="V193" s="738"/>
      <c r="W193" s="738"/>
      <c r="X193" s="738"/>
    </row>
    <row r="194" spans="1:24" ht="15.75" customHeight="1">
      <c r="A194" s="350"/>
      <c r="B194" s="567"/>
      <c r="C194" s="348">
        <v>0</v>
      </c>
      <c r="D194" s="348"/>
      <c r="E194" s="348">
        <f>E193</f>
        <v>0.15</v>
      </c>
      <c r="F194" s="348"/>
      <c r="G194" s="348"/>
      <c r="H194" s="348">
        <f>H193</f>
        <v>2</v>
      </c>
      <c r="I194" s="348"/>
      <c r="J194" s="348"/>
      <c r="K194" s="348"/>
      <c r="L194" s="348"/>
      <c r="M194" s="348">
        <v>0</v>
      </c>
      <c r="N194" s="565">
        <f>C194*E194*H194*M194</f>
        <v>0</v>
      </c>
      <c r="O194" s="349"/>
      <c r="P194" s="784"/>
      <c r="Q194" s="398"/>
      <c r="R194" s="564"/>
      <c r="S194" s="398"/>
      <c r="T194" s="398"/>
      <c r="U194" s="398"/>
      <c r="V194" s="738"/>
      <c r="W194" s="738"/>
      <c r="X194" s="738"/>
    </row>
    <row r="195" spans="1:24" ht="15.75" customHeight="1">
      <c r="A195" s="350"/>
      <c r="B195" s="567"/>
      <c r="C195" s="348"/>
      <c r="D195" s="348"/>
      <c r="E195" s="348"/>
      <c r="F195" s="348"/>
      <c r="G195" s="348"/>
      <c r="H195" s="348"/>
      <c r="I195" s="348"/>
      <c r="J195" s="348"/>
      <c r="K195" s="348"/>
      <c r="L195" s="348"/>
      <c r="M195" s="348"/>
      <c r="N195" s="343">
        <f>SUM(N186:N194)</f>
        <v>30.86</v>
      </c>
      <c r="O195" s="349" t="s">
        <v>89</v>
      </c>
      <c r="P195" s="784">
        <f>ROUND((N195),2)</f>
        <v>30.86</v>
      </c>
      <c r="Q195" s="398"/>
      <c r="R195" s="564"/>
      <c r="S195" s="398"/>
      <c r="T195" s="398"/>
      <c r="U195" s="398"/>
      <c r="V195" s="738"/>
      <c r="W195" s="738"/>
      <c r="X195" s="738"/>
    </row>
    <row r="196" spans="1:24" ht="15.75" customHeight="1">
      <c r="A196" s="350">
        <f>A185+1</f>
        <v>5</v>
      </c>
      <c r="B196" s="351" t="s">
        <v>436</v>
      </c>
      <c r="C196" s="348"/>
      <c r="D196" s="348"/>
      <c r="E196" s="348"/>
      <c r="F196" s="348"/>
      <c r="G196" s="348"/>
      <c r="H196" s="348"/>
      <c r="I196" s="348"/>
      <c r="J196" s="348"/>
      <c r="K196" s="348"/>
      <c r="L196" s="348"/>
      <c r="M196" s="348"/>
      <c r="N196" s="343"/>
      <c r="O196" s="349"/>
      <c r="P196" s="784"/>
      <c r="Q196" s="398"/>
      <c r="R196" s="564"/>
      <c r="S196" s="398"/>
      <c r="T196" s="398"/>
      <c r="U196" s="398"/>
      <c r="V196" s="738"/>
      <c r="W196" s="738"/>
      <c r="X196" s="738"/>
    </row>
    <row r="197" spans="1:24" ht="15.75" customHeight="1">
      <c r="A197" s="350"/>
      <c r="B197" s="567" t="s">
        <v>1149</v>
      </c>
      <c r="C197" s="348"/>
      <c r="D197" s="428">
        <v>2.6440000000000001</v>
      </c>
      <c r="E197" s="428">
        <v>1.2769999999999999</v>
      </c>
      <c r="F197" s="428"/>
      <c r="G197" s="428"/>
      <c r="H197" s="428">
        <v>2</v>
      </c>
      <c r="I197" s="428"/>
      <c r="J197" s="428"/>
      <c r="K197" s="428"/>
      <c r="L197" s="428"/>
      <c r="M197" s="428"/>
      <c r="N197" s="428">
        <f>D197*E197*H197</f>
        <v>6.7527759999999999</v>
      </c>
      <c r="O197" s="349"/>
      <c r="P197" s="784"/>
      <c r="Q197" s="398"/>
      <c r="R197" s="564"/>
      <c r="S197" s="398"/>
      <c r="T197" s="398"/>
      <c r="U197" s="398"/>
      <c r="V197" s="738"/>
      <c r="W197" s="738"/>
      <c r="X197" s="738"/>
    </row>
    <row r="198" spans="1:24" ht="15.75" customHeight="1">
      <c r="A198" s="350"/>
      <c r="B198" s="567"/>
      <c r="C198" s="348"/>
      <c r="D198" s="428">
        <v>1.3029999999999999</v>
      </c>
      <c r="E198" s="428">
        <v>1.2769999999999999</v>
      </c>
      <c r="F198" s="428"/>
      <c r="G198" s="428"/>
      <c r="H198" s="428">
        <v>2</v>
      </c>
      <c r="I198" s="428"/>
      <c r="J198" s="428"/>
      <c r="K198" s="428"/>
      <c r="L198" s="428"/>
      <c r="M198" s="428"/>
      <c r="N198" s="428">
        <f>D198*E198*H198</f>
        <v>3.3278619999999997</v>
      </c>
      <c r="O198" s="349"/>
      <c r="P198" s="784"/>
      <c r="Q198" s="398"/>
      <c r="R198" s="564"/>
      <c r="S198" s="398"/>
      <c r="T198" s="398"/>
      <c r="U198" s="398"/>
      <c r="V198" s="738"/>
      <c r="W198" s="738"/>
      <c r="X198" s="738"/>
    </row>
    <row r="199" spans="1:24" ht="15.75" customHeight="1">
      <c r="A199" s="350"/>
      <c r="B199" s="567"/>
      <c r="C199" s="348"/>
      <c r="D199" s="428">
        <f>2.644/2</f>
        <v>1.3220000000000001</v>
      </c>
      <c r="E199" s="428">
        <v>1.1459999999999999</v>
      </c>
      <c r="F199" s="428"/>
      <c r="G199" s="428"/>
      <c r="H199" s="428">
        <v>2</v>
      </c>
      <c r="I199" s="428"/>
      <c r="J199" s="428"/>
      <c r="K199" s="428"/>
      <c r="L199" s="428"/>
      <c r="M199" s="428"/>
      <c r="N199" s="590">
        <f>D199*E199*H199</f>
        <v>3.0300240000000001</v>
      </c>
      <c r="O199" s="349"/>
      <c r="P199" s="784"/>
      <c r="Q199" s="398"/>
      <c r="R199" s="564"/>
      <c r="S199" s="398"/>
      <c r="T199" s="398"/>
      <c r="U199" s="398"/>
      <c r="V199" s="738"/>
      <c r="W199" s="738"/>
      <c r="X199" s="738"/>
    </row>
    <row r="200" spans="1:24" ht="15.75" customHeight="1">
      <c r="A200" s="350"/>
      <c r="B200" s="567"/>
      <c r="C200" s="348"/>
      <c r="D200" s="348"/>
      <c r="E200" s="348"/>
      <c r="F200" s="348"/>
      <c r="G200" s="348"/>
      <c r="H200" s="348"/>
      <c r="I200" s="348"/>
      <c r="J200" s="348"/>
      <c r="K200" s="348"/>
      <c r="L200" s="348"/>
      <c r="M200" s="348"/>
      <c r="N200" s="343">
        <f>SUM(N197:N199)</f>
        <v>13.110662000000001</v>
      </c>
      <c r="O200" s="349" t="s">
        <v>89</v>
      </c>
      <c r="P200" s="784">
        <f>ROUND((N200),2)</f>
        <v>13.11</v>
      </c>
      <c r="Q200" s="398"/>
      <c r="R200" s="564"/>
      <c r="S200" s="398"/>
      <c r="T200" s="398"/>
      <c r="U200" s="398"/>
      <c r="V200" s="738"/>
      <c r="W200" s="738"/>
      <c r="X200" s="738"/>
    </row>
    <row r="201" spans="1:24" ht="15.75" customHeight="1">
      <c r="A201" s="350">
        <f>A196+1</f>
        <v>6</v>
      </c>
      <c r="B201" s="359" t="s">
        <v>437</v>
      </c>
      <c r="C201" s="348"/>
      <c r="D201" s="348"/>
      <c r="E201" s="348"/>
      <c r="F201" s="348"/>
      <c r="G201" s="348"/>
      <c r="H201" s="348"/>
      <c r="I201" s="348"/>
      <c r="J201" s="348"/>
      <c r="K201" s="348"/>
      <c r="L201" s="348"/>
      <c r="M201" s="348"/>
      <c r="N201" s="348"/>
      <c r="O201" s="349"/>
      <c r="P201" s="784"/>
      <c r="Q201" s="398"/>
      <c r="R201" s="564"/>
      <c r="S201" s="398"/>
      <c r="T201" s="398"/>
      <c r="U201" s="398"/>
      <c r="V201" s="738"/>
      <c r="W201" s="738"/>
      <c r="X201" s="738"/>
    </row>
    <row r="202" spans="1:24" ht="15.75" customHeight="1">
      <c r="A202" s="355" t="s">
        <v>95</v>
      </c>
      <c r="B202" s="359" t="s">
        <v>438</v>
      </c>
      <c r="C202" s="348"/>
      <c r="D202" s="348"/>
      <c r="E202" s="348"/>
      <c r="F202" s="348"/>
      <c r="G202" s="348"/>
      <c r="H202" s="348"/>
      <c r="I202" s="348"/>
      <c r="J202" s="348"/>
      <c r="K202" s="348"/>
      <c r="L202" s="348"/>
      <c r="M202" s="348"/>
      <c r="N202" s="348"/>
      <c r="O202" s="349"/>
      <c r="P202" s="784"/>
      <c r="Q202" s="398"/>
      <c r="R202" s="564"/>
      <c r="S202" s="398"/>
      <c r="T202" s="398"/>
      <c r="U202" s="398"/>
      <c r="V202" s="738"/>
      <c r="W202" s="738"/>
      <c r="X202" s="738"/>
    </row>
    <row r="203" spans="1:24" ht="15.75" customHeight="1">
      <c r="A203" s="350"/>
      <c r="B203" s="567" t="s">
        <v>1020</v>
      </c>
      <c r="C203" s="348">
        <v>5</v>
      </c>
      <c r="D203" s="348">
        <v>0.12</v>
      </c>
      <c r="E203" s="348">
        <v>0.2</v>
      </c>
      <c r="F203" s="348"/>
      <c r="G203" s="348"/>
      <c r="H203" s="348"/>
      <c r="I203" s="348"/>
      <c r="J203" s="348"/>
      <c r="K203" s="348"/>
      <c r="L203" s="348"/>
      <c r="M203" s="348"/>
      <c r="N203" s="348">
        <f>C203*E203*D203</f>
        <v>0.12</v>
      </c>
      <c r="O203" s="349"/>
      <c r="P203" s="784"/>
      <c r="Q203" s="398"/>
      <c r="R203" s="564"/>
      <c r="S203" s="398"/>
      <c r="T203" s="398"/>
      <c r="U203" s="398"/>
      <c r="V203" s="738"/>
      <c r="W203" s="738"/>
      <c r="X203" s="738"/>
    </row>
    <row r="204" spans="1:24" ht="15.75" customHeight="1">
      <c r="A204" s="350"/>
      <c r="B204" s="567" t="s">
        <v>1021</v>
      </c>
      <c r="C204" s="348">
        <f>C203</f>
        <v>5</v>
      </c>
      <c r="D204" s="348">
        <f>D203</f>
        <v>0.12</v>
      </c>
      <c r="E204" s="348">
        <f>E203</f>
        <v>0.2</v>
      </c>
      <c r="F204" s="348"/>
      <c r="G204" s="348"/>
      <c r="H204" s="348"/>
      <c r="I204" s="348"/>
      <c r="J204" s="348"/>
      <c r="K204" s="348"/>
      <c r="L204" s="348"/>
      <c r="M204" s="348"/>
      <c r="N204" s="565">
        <f>C204*E204*D204</f>
        <v>0.12</v>
      </c>
      <c r="O204" s="349"/>
      <c r="P204" s="784"/>
      <c r="Q204" s="398"/>
      <c r="R204" s="564"/>
      <c r="S204" s="398"/>
      <c r="T204" s="398"/>
      <c r="U204" s="398"/>
      <c r="V204" s="738"/>
      <c r="W204" s="738"/>
      <c r="X204" s="738"/>
    </row>
    <row r="205" spans="1:24" ht="15.75" customHeight="1">
      <c r="A205" s="350"/>
      <c r="B205" s="359"/>
      <c r="C205" s="348"/>
      <c r="D205" s="348"/>
      <c r="E205" s="348"/>
      <c r="F205" s="348"/>
      <c r="G205" s="348"/>
      <c r="H205" s="348"/>
      <c r="I205" s="348"/>
      <c r="J205" s="348"/>
      <c r="K205" s="348"/>
      <c r="L205" s="348"/>
      <c r="M205" s="348"/>
      <c r="N205" s="343">
        <f>SUM(N203:N204)</f>
        <v>0.24</v>
      </c>
      <c r="O205" s="349" t="s">
        <v>89</v>
      </c>
      <c r="P205" s="784">
        <f>ROUND((N205),2)</f>
        <v>0.24</v>
      </c>
      <c r="Q205" s="398"/>
      <c r="R205" s="564"/>
      <c r="S205" s="398"/>
      <c r="T205" s="398"/>
      <c r="U205" s="398"/>
      <c r="V205" s="738"/>
      <c r="W205" s="738"/>
      <c r="X205" s="738"/>
    </row>
    <row r="206" spans="1:24" ht="15.75" customHeight="1">
      <c r="A206" s="355" t="s">
        <v>98</v>
      </c>
      <c r="B206" s="359" t="s">
        <v>439</v>
      </c>
      <c r="C206" s="348"/>
      <c r="D206" s="348"/>
      <c r="E206" s="348"/>
      <c r="F206" s="348"/>
      <c r="G206" s="348"/>
      <c r="H206" s="348"/>
      <c r="I206" s="348"/>
      <c r="J206" s="348"/>
      <c r="K206" s="348"/>
      <c r="L206" s="348"/>
      <c r="M206" s="348"/>
      <c r="N206" s="348"/>
      <c r="O206" s="349"/>
      <c r="P206" s="784"/>
      <c r="Q206" s="398"/>
      <c r="R206" s="564"/>
      <c r="S206" s="398"/>
      <c r="T206" s="398"/>
      <c r="U206" s="398"/>
      <c r="V206" s="738"/>
      <c r="W206" s="738"/>
      <c r="X206" s="738"/>
    </row>
    <row r="207" spans="1:24" ht="15.75" customHeight="1">
      <c r="A207" s="355"/>
      <c r="B207" s="567" t="str">
        <f>B203</f>
        <v>trap 1</v>
      </c>
      <c r="C207" s="348">
        <f>C203</f>
        <v>5</v>
      </c>
      <c r="D207" s="348"/>
      <c r="E207" s="348">
        <f>0.1+E203</f>
        <v>0.30000000000000004</v>
      </c>
      <c r="F207" s="348"/>
      <c r="G207" s="348"/>
      <c r="H207" s="348"/>
      <c r="I207" s="348"/>
      <c r="J207" s="348"/>
      <c r="K207" s="348"/>
      <c r="L207" s="348"/>
      <c r="M207" s="348"/>
      <c r="N207" s="348">
        <f>C207*E207</f>
        <v>1.5000000000000002</v>
      </c>
      <c r="O207" s="349"/>
      <c r="P207" s="784"/>
      <c r="Q207" s="398"/>
      <c r="R207" s="564"/>
      <c r="S207" s="398"/>
      <c r="T207" s="398"/>
      <c r="U207" s="398"/>
      <c r="V207" s="738"/>
      <c r="W207" s="738"/>
      <c r="X207" s="738"/>
    </row>
    <row r="208" spans="1:24" ht="15.75" customHeight="1">
      <c r="A208" s="355"/>
      <c r="B208" s="567" t="str">
        <f>B204</f>
        <v>trap 2</v>
      </c>
      <c r="C208" s="348">
        <f>C204</f>
        <v>5</v>
      </c>
      <c r="D208" s="348"/>
      <c r="E208" s="348">
        <f>0.2+E204</f>
        <v>0.4</v>
      </c>
      <c r="F208" s="348"/>
      <c r="G208" s="348"/>
      <c r="H208" s="348"/>
      <c r="I208" s="348"/>
      <c r="J208" s="348"/>
      <c r="K208" s="348"/>
      <c r="L208" s="348"/>
      <c r="M208" s="348"/>
      <c r="N208" s="565">
        <f>C208*E208</f>
        <v>2</v>
      </c>
      <c r="O208" s="349"/>
      <c r="P208" s="784"/>
      <c r="Q208" s="398"/>
      <c r="R208" s="564"/>
      <c r="S208" s="398"/>
      <c r="T208" s="398"/>
      <c r="U208" s="398"/>
      <c r="V208" s="738"/>
      <c r="W208" s="738"/>
      <c r="X208" s="738"/>
    </row>
    <row r="209" spans="1:24" ht="15.75" customHeight="1">
      <c r="A209" s="355"/>
      <c r="B209" s="359"/>
      <c r="C209" s="348"/>
      <c r="D209" s="348"/>
      <c r="E209" s="348"/>
      <c r="F209" s="348"/>
      <c r="G209" s="348"/>
      <c r="H209" s="348"/>
      <c r="I209" s="348"/>
      <c r="J209" s="348"/>
      <c r="K209" s="348"/>
      <c r="L209" s="348"/>
      <c r="M209" s="348"/>
      <c r="N209" s="343">
        <f>SUM(N207:N208)</f>
        <v>3.5</v>
      </c>
      <c r="O209" s="349" t="s">
        <v>89</v>
      </c>
      <c r="P209" s="784">
        <f>ROUND((N209),2)</f>
        <v>3.5</v>
      </c>
      <c r="Q209" s="398"/>
      <c r="R209" s="564"/>
      <c r="S209" s="398"/>
      <c r="T209" s="398"/>
      <c r="U209" s="398"/>
      <c r="V209" s="738"/>
      <c r="W209" s="738"/>
      <c r="X209" s="738"/>
    </row>
    <row r="210" spans="1:24" ht="15.75" customHeight="1">
      <c r="A210" s="355" t="s">
        <v>101</v>
      </c>
      <c r="B210" s="359" t="s">
        <v>413</v>
      </c>
      <c r="C210" s="348"/>
      <c r="D210" s="348"/>
      <c r="E210" s="348"/>
      <c r="F210" s="348"/>
      <c r="G210" s="348"/>
      <c r="H210" s="348"/>
      <c r="I210" s="348"/>
      <c r="J210" s="348"/>
      <c r="K210" s="348"/>
      <c r="L210" s="348"/>
      <c r="M210" s="348"/>
      <c r="N210" s="348"/>
      <c r="O210" s="349"/>
      <c r="P210" s="784"/>
      <c r="Q210" s="398"/>
      <c r="R210" s="564"/>
      <c r="S210" s="398"/>
      <c r="T210" s="398"/>
      <c r="U210" s="398"/>
      <c r="V210" s="738"/>
      <c r="W210" s="738"/>
      <c r="X210" s="738"/>
    </row>
    <row r="211" spans="1:24" ht="15.75" customHeight="1">
      <c r="A211" s="355"/>
      <c r="B211" s="567" t="str">
        <f>B207</f>
        <v>trap 1</v>
      </c>
      <c r="C211" s="348">
        <f>C207</f>
        <v>5</v>
      </c>
      <c r="D211" s="348">
        <v>0.3</v>
      </c>
      <c r="E211" s="348">
        <v>0</v>
      </c>
      <c r="F211" s="348"/>
      <c r="G211" s="348"/>
      <c r="H211" s="348"/>
      <c r="I211" s="348"/>
      <c r="J211" s="348"/>
      <c r="K211" s="348"/>
      <c r="L211" s="348"/>
      <c r="M211" s="348"/>
      <c r="N211" s="348">
        <f>C211*E211*D211</f>
        <v>0</v>
      </c>
      <c r="O211" s="349"/>
      <c r="P211" s="784"/>
      <c r="Q211" s="398"/>
      <c r="R211" s="564"/>
      <c r="S211" s="398"/>
      <c r="T211" s="398"/>
      <c r="U211" s="398"/>
      <c r="V211" s="738"/>
      <c r="W211" s="738"/>
      <c r="X211" s="738"/>
    </row>
    <row r="212" spans="1:24" ht="15.75" customHeight="1">
      <c r="A212" s="355"/>
      <c r="B212" s="567" t="str">
        <f>B208</f>
        <v>trap 2</v>
      </c>
      <c r="C212" s="348">
        <f>C203</f>
        <v>5</v>
      </c>
      <c r="D212" s="348">
        <f>D211</f>
        <v>0.3</v>
      </c>
      <c r="E212" s="348">
        <v>0.1</v>
      </c>
      <c r="F212" s="348"/>
      <c r="G212" s="348"/>
      <c r="H212" s="348"/>
      <c r="I212" s="348"/>
      <c r="J212" s="348"/>
      <c r="K212" s="348"/>
      <c r="L212" s="348"/>
      <c r="M212" s="348"/>
      <c r="N212" s="565">
        <f>C212*E212*D212</f>
        <v>0.15</v>
      </c>
      <c r="O212" s="349"/>
      <c r="P212" s="784"/>
      <c r="Q212" s="398"/>
      <c r="R212" s="564"/>
      <c r="S212" s="398"/>
      <c r="T212" s="398"/>
      <c r="U212" s="398"/>
      <c r="V212" s="738"/>
      <c r="W212" s="738"/>
      <c r="X212" s="738"/>
    </row>
    <row r="213" spans="1:24" ht="15.75" customHeight="1">
      <c r="A213" s="355"/>
      <c r="B213" s="351"/>
      <c r="C213" s="348"/>
      <c r="D213" s="348"/>
      <c r="E213" s="348"/>
      <c r="F213" s="348"/>
      <c r="G213" s="348"/>
      <c r="H213" s="348"/>
      <c r="I213" s="348"/>
      <c r="J213" s="348"/>
      <c r="K213" s="348"/>
      <c r="L213" s="348"/>
      <c r="M213" s="348"/>
      <c r="N213" s="343">
        <f>SUM(N211:N212)</f>
        <v>0.15</v>
      </c>
      <c r="O213" s="349" t="s">
        <v>103</v>
      </c>
      <c r="P213" s="784">
        <f>ROUND((N213),2)</f>
        <v>0.15</v>
      </c>
      <c r="Q213" s="398"/>
      <c r="R213" s="564"/>
      <c r="S213" s="398"/>
      <c r="T213" s="398"/>
      <c r="U213" s="398"/>
      <c r="V213" s="738"/>
      <c r="W213" s="738"/>
      <c r="X213" s="738"/>
    </row>
    <row r="214" spans="1:24" ht="15.75" customHeight="1">
      <c r="A214" s="355" t="s">
        <v>121</v>
      </c>
      <c r="B214" s="359" t="s">
        <v>484</v>
      </c>
      <c r="C214" s="348"/>
      <c r="D214" s="348"/>
      <c r="E214" s="348"/>
      <c r="F214" s="348"/>
      <c r="G214" s="348"/>
      <c r="H214" s="348"/>
      <c r="I214" s="348"/>
      <c r="J214" s="348"/>
      <c r="K214" s="348"/>
      <c r="L214" s="348"/>
      <c r="M214" s="348"/>
      <c r="N214" s="348"/>
      <c r="O214" s="349"/>
      <c r="P214" s="784"/>
      <c r="Q214" s="398"/>
      <c r="R214" s="564"/>
      <c r="S214" s="398"/>
      <c r="T214" s="398"/>
      <c r="U214" s="398"/>
      <c r="V214" s="738"/>
      <c r="W214" s="738"/>
      <c r="X214" s="738"/>
    </row>
    <row r="215" spans="1:24" ht="15.75" customHeight="1">
      <c r="A215" s="355"/>
      <c r="B215" s="567" t="str">
        <f>B207</f>
        <v>trap 1</v>
      </c>
      <c r="C215" s="348">
        <f>C207</f>
        <v>5</v>
      </c>
      <c r="D215" s="348">
        <v>0.3</v>
      </c>
      <c r="E215" s="348">
        <f>0.03</f>
        <v>0.03</v>
      </c>
      <c r="F215" s="348"/>
      <c r="G215" s="348"/>
      <c r="H215" s="348"/>
      <c r="I215" s="348"/>
      <c r="J215" s="348"/>
      <c r="K215" s="348"/>
      <c r="L215" s="348"/>
      <c r="M215" s="348"/>
      <c r="N215" s="348">
        <f>C215*E215*D215</f>
        <v>4.4999999999999998E-2</v>
      </c>
      <c r="O215" s="349"/>
      <c r="P215" s="784"/>
      <c r="Q215" s="398"/>
      <c r="R215" s="564"/>
      <c r="S215" s="398"/>
      <c r="T215" s="398"/>
      <c r="U215" s="398"/>
      <c r="V215" s="738"/>
      <c r="W215" s="738"/>
      <c r="X215" s="738"/>
    </row>
    <row r="216" spans="1:24" ht="15.75" customHeight="1">
      <c r="A216" s="355"/>
      <c r="B216" s="567" t="str">
        <f>B208</f>
        <v>trap 2</v>
      </c>
      <c r="C216" s="348">
        <f>C208</f>
        <v>5</v>
      </c>
      <c r="D216" s="348">
        <f>D215</f>
        <v>0.3</v>
      </c>
      <c r="E216" s="348">
        <v>0.03</v>
      </c>
      <c r="F216" s="348"/>
      <c r="G216" s="348"/>
      <c r="H216" s="348"/>
      <c r="I216" s="348"/>
      <c r="J216" s="348"/>
      <c r="K216" s="348"/>
      <c r="L216" s="348"/>
      <c r="M216" s="348"/>
      <c r="N216" s="565">
        <f>C216*E216*D216</f>
        <v>4.4999999999999998E-2</v>
      </c>
      <c r="O216" s="349"/>
      <c r="P216" s="784"/>
      <c r="Q216" s="398"/>
      <c r="R216" s="564"/>
      <c r="S216" s="398"/>
      <c r="T216" s="398"/>
      <c r="U216" s="398"/>
      <c r="V216" s="738"/>
      <c r="W216" s="738"/>
      <c r="X216" s="738"/>
    </row>
    <row r="217" spans="1:24" ht="15.75" customHeight="1">
      <c r="A217" s="355"/>
      <c r="B217" s="351"/>
      <c r="C217" s="348"/>
      <c r="D217" s="348"/>
      <c r="E217" s="348"/>
      <c r="F217" s="348"/>
      <c r="G217" s="348"/>
      <c r="H217" s="348"/>
      <c r="I217" s="348"/>
      <c r="J217" s="348"/>
      <c r="K217" s="348"/>
      <c r="L217" s="348"/>
      <c r="M217" s="348"/>
      <c r="N217" s="343">
        <f>SUM(N215:N216)</f>
        <v>0.09</v>
      </c>
      <c r="O217" s="349" t="s">
        <v>103</v>
      </c>
      <c r="P217" s="784">
        <f>ROUND((N217),2)</f>
        <v>0.09</v>
      </c>
      <c r="Q217" s="398"/>
      <c r="R217" s="564"/>
      <c r="S217" s="398"/>
      <c r="T217" s="398"/>
      <c r="U217" s="398"/>
      <c r="V217" s="738"/>
      <c r="W217" s="738"/>
      <c r="X217" s="738"/>
    </row>
    <row r="218" spans="1:24" ht="15.75" customHeight="1">
      <c r="A218" s="355" t="s">
        <v>142</v>
      </c>
      <c r="B218" s="351" t="s">
        <v>1172</v>
      </c>
      <c r="C218" s="348"/>
      <c r="D218" s="348"/>
      <c r="E218" s="348"/>
      <c r="F218" s="348"/>
      <c r="G218" s="348"/>
      <c r="H218" s="348"/>
      <c r="I218" s="348"/>
      <c r="J218" s="348"/>
      <c r="K218" s="348"/>
      <c r="L218" s="348"/>
      <c r="M218" s="348"/>
      <c r="N218" s="348"/>
      <c r="O218" s="349"/>
      <c r="P218" s="784"/>
      <c r="Q218" s="398"/>
      <c r="R218" s="564"/>
      <c r="S218" s="398"/>
      <c r="T218" s="398"/>
      <c r="U218" s="398"/>
      <c r="V218" s="738"/>
      <c r="W218" s="738"/>
      <c r="X218" s="738"/>
    </row>
    <row r="219" spans="1:24" ht="15.75" customHeight="1">
      <c r="A219" s="355"/>
      <c r="B219" s="567" t="str">
        <f>B215</f>
        <v>trap 1</v>
      </c>
      <c r="C219" s="348">
        <f>C215</f>
        <v>5</v>
      </c>
      <c r="D219" s="348">
        <v>0.3</v>
      </c>
      <c r="E219" s="348">
        <v>7.0000000000000007E-2</v>
      </c>
      <c r="F219" s="348"/>
      <c r="G219" s="348"/>
      <c r="H219" s="348"/>
      <c r="I219" s="348"/>
      <c r="J219" s="348"/>
      <c r="K219" s="348"/>
      <c r="L219" s="348"/>
      <c r="M219" s="348"/>
      <c r="N219" s="348">
        <f>C219*D219*E219</f>
        <v>0.10500000000000001</v>
      </c>
      <c r="O219" s="349"/>
      <c r="P219" s="784"/>
      <c r="Q219" s="398"/>
      <c r="R219" s="564"/>
      <c r="S219" s="398"/>
      <c r="T219" s="398"/>
      <c r="U219" s="398"/>
      <c r="V219" s="738"/>
      <c r="W219" s="738"/>
      <c r="X219" s="738"/>
    </row>
    <row r="220" spans="1:24" ht="15.75" customHeight="1">
      <c r="A220" s="355"/>
      <c r="B220" s="567" t="str">
        <f>B216</f>
        <v>trap 2</v>
      </c>
      <c r="C220" s="348">
        <f>C219</f>
        <v>5</v>
      </c>
      <c r="D220" s="348">
        <v>0.3</v>
      </c>
      <c r="E220" s="348">
        <f>E219</f>
        <v>7.0000000000000007E-2</v>
      </c>
      <c r="F220" s="348"/>
      <c r="G220" s="348"/>
      <c r="H220" s="348"/>
      <c r="I220" s="348"/>
      <c r="J220" s="348"/>
      <c r="K220" s="348"/>
      <c r="L220" s="348"/>
      <c r="M220" s="348"/>
      <c r="N220" s="565">
        <f>C220*D220*E220</f>
        <v>0.10500000000000001</v>
      </c>
      <c r="O220" s="349"/>
      <c r="P220" s="784"/>
      <c r="Q220" s="398"/>
      <c r="R220" s="564"/>
      <c r="S220" s="398"/>
      <c r="T220" s="398"/>
      <c r="U220" s="398"/>
      <c r="V220" s="738"/>
      <c r="W220" s="738"/>
      <c r="X220" s="738"/>
    </row>
    <row r="221" spans="1:24" ht="15.75" customHeight="1">
      <c r="A221" s="355"/>
      <c r="B221" s="359"/>
      <c r="C221" s="348"/>
      <c r="D221" s="348"/>
      <c r="E221" s="348"/>
      <c r="F221" s="348"/>
      <c r="G221" s="348"/>
      <c r="H221" s="348"/>
      <c r="I221" s="348"/>
      <c r="J221" s="348"/>
      <c r="K221" s="348"/>
      <c r="L221" s="348"/>
      <c r="M221" s="348"/>
      <c r="N221" s="343">
        <f>SUM(N219:N220)</f>
        <v>0.21000000000000002</v>
      </c>
      <c r="O221" s="349" t="s">
        <v>103</v>
      </c>
      <c r="P221" s="784">
        <f>ROUND((N221),2)</f>
        <v>0.21</v>
      </c>
      <c r="Q221" s="398"/>
      <c r="R221" s="564"/>
      <c r="S221" s="398"/>
      <c r="T221" s="398"/>
      <c r="U221" s="398"/>
      <c r="V221" s="738"/>
      <c r="W221" s="738"/>
      <c r="X221" s="738"/>
    </row>
    <row r="222" spans="1:24" ht="15.75" customHeight="1">
      <c r="A222" s="355" t="s">
        <v>217</v>
      </c>
      <c r="B222" s="359" t="s">
        <v>193</v>
      </c>
      <c r="C222" s="348"/>
      <c r="D222" s="348"/>
      <c r="E222" s="348"/>
      <c r="F222" s="348"/>
      <c r="G222" s="348"/>
      <c r="H222" s="348"/>
      <c r="I222" s="348"/>
      <c r="J222" s="348"/>
      <c r="K222" s="348"/>
      <c r="L222" s="348"/>
      <c r="M222" s="348"/>
      <c r="N222" s="343"/>
      <c r="O222" s="349"/>
      <c r="P222" s="784"/>
      <c r="Q222" s="398"/>
      <c r="R222" s="564"/>
      <c r="S222" s="398"/>
      <c r="T222" s="398"/>
      <c r="U222" s="398"/>
      <c r="V222" s="738"/>
      <c r="W222" s="738"/>
      <c r="X222" s="738"/>
    </row>
    <row r="223" spans="1:24" ht="15.75" customHeight="1">
      <c r="A223" s="355"/>
      <c r="B223" s="567" t="str">
        <f>B203</f>
        <v>trap 1</v>
      </c>
      <c r="C223" s="348">
        <f>C219</f>
        <v>5</v>
      </c>
      <c r="D223" s="348"/>
      <c r="E223" s="348">
        <v>0.1</v>
      </c>
      <c r="F223" s="348"/>
      <c r="G223" s="348"/>
      <c r="H223" s="348"/>
      <c r="I223" s="348"/>
      <c r="J223" s="348"/>
      <c r="K223" s="348"/>
      <c r="L223" s="348"/>
      <c r="M223" s="348"/>
      <c r="N223" s="348">
        <f>C223*E223</f>
        <v>0.5</v>
      </c>
      <c r="O223" s="349"/>
      <c r="P223" s="784"/>
      <c r="Q223" s="398"/>
      <c r="R223" s="564"/>
      <c r="S223" s="398"/>
      <c r="T223" s="398"/>
      <c r="U223" s="398"/>
      <c r="V223" s="738"/>
      <c r="W223" s="738"/>
      <c r="X223" s="738"/>
    </row>
    <row r="224" spans="1:24" ht="15.75" customHeight="1">
      <c r="A224" s="355"/>
      <c r="B224" s="567" t="str">
        <f>B204</f>
        <v>trap 2</v>
      </c>
      <c r="C224" s="348">
        <f>C220</f>
        <v>5</v>
      </c>
      <c r="D224" s="348"/>
      <c r="E224" s="348">
        <v>0.1</v>
      </c>
      <c r="F224" s="348"/>
      <c r="G224" s="348"/>
      <c r="H224" s="348"/>
      <c r="I224" s="348"/>
      <c r="J224" s="348"/>
      <c r="K224" s="348"/>
      <c r="L224" s="348"/>
      <c r="M224" s="348"/>
      <c r="N224" s="565">
        <f>C224*E224</f>
        <v>0.5</v>
      </c>
      <c r="O224" s="349"/>
      <c r="P224" s="784"/>
      <c r="Q224" s="398"/>
      <c r="R224" s="564"/>
      <c r="S224" s="398"/>
      <c r="T224" s="398"/>
      <c r="U224" s="398"/>
      <c r="V224" s="738"/>
      <c r="W224" s="738"/>
      <c r="X224" s="738"/>
    </row>
    <row r="225" spans="1:24" ht="15.75" customHeight="1">
      <c r="A225" s="355"/>
      <c r="B225" s="359"/>
      <c r="C225" s="348"/>
      <c r="D225" s="348"/>
      <c r="E225" s="348"/>
      <c r="F225" s="348"/>
      <c r="G225" s="348"/>
      <c r="H225" s="348"/>
      <c r="I225" s="348"/>
      <c r="J225" s="348"/>
      <c r="K225" s="348"/>
      <c r="L225" s="348"/>
      <c r="M225" s="348"/>
      <c r="N225" s="343">
        <f>SUM(N223:N224)</f>
        <v>1</v>
      </c>
      <c r="O225" s="349" t="s">
        <v>89</v>
      </c>
      <c r="P225" s="784">
        <f>ROUND((N225),2)</f>
        <v>1</v>
      </c>
      <c r="Q225" s="398"/>
      <c r="R225" s="564"/>
      <c r="S225" s="398"/>
      <c r="T225" s="398"/>
      <c r="U225" s="398"/>
      <c r="V225" s="738"/>
      <c r="W225" s="738"/>
      <c r="X225" s="738"/>
    </row>
    <row r="226" spans="1:24" ht="15.75" customHeight="1">
      <c r="A226" s="355" t="s">
        <v>366</v>
      </c>
      <c r="B226" s="359" t="s">
        <v>194</v>
      </c>
      <c r="C226" s="348"/>
      <c r="D226" s="348"/>
      <c r="E226" s="348"/>
      <c r="F226" s="348"/>
      <c r="G226" s="348"/>
      <c r="H226" s="348"/>
      <c r="I226" s="348"/>
      <c r="J226" s="348"/>
      <c r="K226" s="348"/>
      <c r="L226" s="348"/>
      <c r="M226" s="348"/>
      <c r="N226" s="343"/>
      <c r="O226" s="349"/>
      <c r="P226" s="784"/>
      <c r="Q226" s="398"/>
      <c r="R226" s="564"/>
      <c r="S226" s="398"/>
      <c r="T226" s="398"/>
      <c r="U226" s="398"/>
      <c r="V226" s="738"/>
      <c r="W226" s="738"/>
      <c r="X226" s="738"/>
    </row>
    <row r="227" spans="1:24" ht="15.75" customHeight="1">
      <c r="A227" s="355"/>
      <c r="B227" s="567" t="s">
        <v>1154</v>
      </c>
      <c r="C227" s="348"/>
      <c r="D227" s="348"/>
      <c r="E227" s="348"/>
      <c r="F227" s="348"/>
      <c r="G227" s="348"/>
      <c r="H227" s="348"/>
      <c r="I227" s="348"/>
      <c r="J227" s="348"/>
      <c r="K227" s="348"/>
      <c r="L227" s="348"/>
      <c r="M227" s="348"/>
      <c r="N227" s="343">
        <f>N225</f>
        <v>1</v>
      </c>
      <c r="O227" s="349"/>
      <c r="P227" s="784"/>
      <c r="Q227" s="398"/>
      <c r="R227" s="564"/>
      <c r="S227" s="398"/>
      <c r="T227" s="398"/>
      <c r="U227" s="398"/>
      <c r="V227" s="738"/>
      <c r="W227" s="738"/>
      <c r="X227" s="738"/>
    </row>
    <row r="228" spans="1:24" ht="15.75" customHeight="1">
      <c r="A228" s="355"/>
      <c r="B228" s="567" t="s">
        <v>1173</v>
      </c>
      <c r="C228" s="348">
        <f>C219</f>
        <v>5</v>
      </c>
      <c r="D228" s="348">
        <f>D219</f>
        <v>0.3</v>
      </c>
      <c r="E228" s="348"/>
      <c r="F228" s="348"/>
      <c r="G228" s="348"/>
      <c r="H228" s="348"/>
      <c r="I228" s="348"/>
      <c r="J228" s="348"/>
      <c r="K228" s="348"/>
      <c r="L228" s="348"/>
      <c r="M228" s="348"/>
      <c r="N228" s="343">
        <f>C228*D228</f>
        <v>1.5</v>
      </c>
      <c r="O228" s="349"/>
      <c r="P228" s="784"/>
      <c r="Q228" s="398"/>
      <c r="R228" s="564"/>
      <c r="S228" s="398"/>
      <c r="T228" s="398"/>
      <c r="U228" s="398"/>
      <c r="V228" s="738"/>
      <c r="W228" s="738"/>
      <c r="X228" s="738"/>
    </row>
    <row r="229" spans="1:24" ht="15.75" customHeight="1">
      <c r="A229" s="355"/>
      <c r="B229" s="359"/>
      <c r="C229" s="348">
        <f>C220</f>
        <v>5</v>
      </c>
      <c r="D229" s="348">
        <f>D220</f>
        <v>0.3</v>
      </c>
      <c r="E229" s="348"/>
      <c r="F229" s="348"/>
      <c r="G229" s="348"/>
      <c r="H229" s="348"/>
      <c r="I229" s="348"/>
      <c r="J229" s="348"/>
      <c r="K229" s="348"/>
      <c r="L229" s="348"/>
      <c r="M229" s="348"/>
      <c r="N229" s="565">
        <f>C229*D229</f>
        <v>1.5</v>
      </c>
      <c r="O229" s="349"/>
      <c r="P229" s="784"/>
      <c r="Q229" s="398"/>
      <c r="R229" s="564"/>
      <c r="S229" s="398"/>
      <c r="T229" s="398"/>
      <c r="U229" s="398"/>
      <c r="V229" s="738"/>
      <c r="W229" s="738"/>
      <c r="X229" s="738"/>
    </row>
    <row r="230" spans="1:24" ht="15.75" customHeight="1">
      <c r="A230" s="355"/>
      <c r="B230" s="359"/>
      <c r="C230" s="348"/>
      <c r="D230" s="348"/>
      <c r="E230" s="348"/>
      <c r="F230" s="348"/>
      <c r="G230" s="348"/>
      <c r="H230" s="348"/>
      <c r="I230" s="348"/>
      <c r="J230" s="348"/>
      <c r="K230" s="348"/>
      <c r="L230" s="348"/>
      <c r="M230" s="348"/>
      <c r="N230" s="343">
        <f>SUM(N227:N229)</f>
        <v>4</v>
      </c>
      <c r="O230" s="349" t="s">
        <v>89</v>
      </c>
      <c r="P230" s="784">
        <f>ROUND((N230),2)</f>
        <v>4</v>
      </c>
      <c r="Q230" s="398"/>
      <c r="R230" s="564"/>
      <c r="S230" s="398"/>
      <c r="T230" s="398"/>
      <c r="U230" s="398"/>
      <c r="V230" s="738"/>
      <c r="W230" s="738"/>
      <c r="X230" s="738"/>
    </row>
    <row r="231" spans="1:24" ht="15.75" customHeight="1">
      <c r="A231" s="355"/>
      <c r="B231" s="359"/>
      <c r="C231" s="348"/>
      <c r="D231" s="348"/>
      <c r="E231" s="348"/>
      <c r="F231" s="348"/>
      <c r="G231" s="348"/>
      <c r="H231" s="348"/>
      <c r="I231" s="348"/>
      <c r="J231" s="348"/>
      <c r="K231" s="348"/>
      <c r="L231" s="348"/>
      <c r="M231" s="348"/>
      <c r="N231" s="343"/>
      <c r="O231" s="349"/>
      <c r="P231" s="784"/>
      <c r="Q231" s="398"/>
      <c r="R231" s="564"/>
      <c r="S231" s="398"/>
      <c r="T231" s="398"/>
      <c r="U231" s="398"/>
      <c r="V231" s="738"/>
      <c r="W231" s="738"/>
      <c r="X231" s="738"/>
    </row>
    <row r="232" spans="1:24" s="787" customFormat="1" ht="15.75" hidden="1" customHeight="1">
      <c r="A232" s="571" t="s">
        <v>121</v>
      </c>
      <c r="B232" s="583" t="s">
        <v>1174</v>
      </c>
      <c r="C232" s="573"/>
      <c r="D232" s="573"/>
      <c r="E232" s="573"/>
      <c r="F232" s="573"/>
      <c r="G232" s="573"/>
      <c r="H232" s="573"/>
      <c r="I232" s="573"/>
      <c r="J232" s="573"/>
      <c r="K232" s="573"/>
      <c r="L232" s="573"/>
      <c r="M232" s="573"/>
      <c r="N232" s="573"/>
      <c r="O232" s="575"/>
      <c r="P232" s="785"/>
      <c r="Q232" s="577"/>
      <c r="R232" s="578"/>
      <c r="S232" s="577"/>
      <c r="T232" s="577"/>
      <c r="U232" s="577"/>
      <c r="V232" s="786"/>
      <c r="W232" s="786"/>
      <c r="X232" s="786"/>
    </row>
    <row r="233" spans="1:24" s="787" customFormat="1" ht="15.75" hidden="1" customHeight="1">
      <c r="A233" s="571"/>
      <c r="B233" s="581" t="s">
        <v>1175</v>
      </c>
      <c r="C233" s="573">
        <v>5.3</v>
      </c>
      <c r="D233" s="573">
        <v>1.05</v>
      </c>
      <c r="E233" s="573"/>
      <c r="F233" s="573"/>
      <c r="G233" s="573"/>
      <c r="H233" s="573"/>
      <c r="I233" s="573"/>
      <c r="J233" s="573"/>
      <c r="K233" s="573"/>
      <c r="L233" s="573"/>
      <c r="M233" s="573"/>
      <c r="N233" s="573">
        <f>C233*D233</f>
        <v>5.5650000000000004</v>
      </c>
      <c r="O233" s="575"/>
      <c r="P233" s="785"/>
      <c r="Q233" s="577"/>
      <c r="R233" s="578"/>
      <c r="S233" s="577"/>
      <c r="T233" s="577"/>
      <c r="U233" s="577"/>
      <c r="V233" s="786"/>
      <c r="W233" s="786"/>
      <c r="X233" s="786"/>
    </row>
    <row r="234" spans="1:24" s="787" customFormat="1" ht="15.75" hidden="1" customHeight="1">
      <c r="A234" s="571"/>
      <c r="B234" s="581" t="s">
        <v>1176</v>
      </c>
      <c r="C234" s="573">
        <f>C233</f>
        <v>5.3</v>
      </c>
      <c r="D234" s="573"/>
      <c r="E234" s="573">
        <v>0.15</v>
      </c>
      <c r="F234" s="573"/>
      <c r="G234" s="573"/>
      <c r="H234" s="573"/>
      <c r="I234" s="573"/>
      <c r="J234" s="573"/>
      <c r="K234" s="573"/>
      <c r="L234" s="573"/>
      <c r="M234" s="573">
        <v>3</v>
      </c>
      <c r="N234" s="582">
        <f>C234*E234*M234</f>
        <v>2.3849999999999998</v>
      </c>
      <c r="O234" s="575"/>
      <c r="P234" s="785"/>
      <c r="Q234" s="577"/>
      <c r="R234" s="578"/>
      <c r="S234" s="577"/>
      <c r="T234" s="577"/>
      <c r="U234" s="577"/>
      <c r="V234" s="786"/>
      <c r="W234" s="786"/>
      <c r="X234" s="786"/>
    </row>
    <row r="235" spans="1:24" s="787" customFormat="1" ht="15.75" hidden="1" customHeight="1">
      <c r="A235" s="571"/>
      <c r="B235" s="583"/>
      <c r="C235" s="573"/>
      <c r="D235" s="573"/>
      <c r="E235" s="573"/>
      <c r="F235" s="573"/>
      <c r="G235" s="573"/>
      <c r="H235" s="573"/>
      <c r="I235" s="573"/>
      <c r="J235" s="573"/>
      <c r="K235" s="573"/>
      <c r="L235" s="573"/>
      <c r="M235" s="573"/>
      <c r="N235" s="574">
        <f>SUM(N233:N234)</f>
        <v>7.95</v>
      </c>
      <c r="O235" s="575" t="s">
        <v>89</v>
      </c>
      <c r="P235" s="785">
        <f>ROUND((N235),2)</f>
        <v>7.95</v>
      </c>
      <c r="Q235" s="577"/>
      <c r="R235" s="578"/>
      <c r="S235" s="577"/>
      <c r="T235" s="577"/>
      <c r="U235" s="577"/>
      <c r="V235" s="786"/>
      <c r="W235" s="786"/>
      <c r="X235" s="786"/>
    </row>
    <row r="236" spans="1:24" s="787" customFormat="1" ht="15.75" hidden="1" customHeight="1">
      <c r="A236" s="584">
        <f>A201+1</f>
        <v>7</v>
      </c>
      <c r="B236" s="583" t="s">
        <v>1177</v>
      </c>
      <c r="C236" s="573">
        <v>8</v>
      </c>
      <c r="D236" s="573">
        <v>5</v>
      </c>
      <c r="E236" s="573"/>
      <c r="F236" s="573"/>
      <c r="G236" s="573"/>
      <c r="H236" s="573"/>
      <c r="I236" s="573"/>
      <c r="J236" s="573"/>
      <c r="K236" s="573"/>
      <c r="L236" s="573"/>
      <c r="M236" s="573"/>
      <c r="N236" s="573">
        <f>C236*D236</f>
        <v>40</v>
      </c>
      <c r="O236" s="575" t="s">
        <v>89</v>
      </c>
      <c r="P236" s="785">
        <f>ROUND((N236),2)</f>
        <v>40</v>
      </c>
      <c r="Q236" s="577"/>
      <c r="R236" s="578"/>
      <c r="S236" s="577"/>
      <c r="T236" s="577"/>
      <c r="U236" s="577"/>
      <c r="V236" s="786"/>
      <c r="W236" s="786"/>
      <c r="X236" s="786"/>
    </row>
    <row r="237" spans="1:24" s="554" customFormat="1" ht="15.75" customHeight="1">
      <c r="A237" s="350">
        <f>A201+1</f>
        <v>7</v>
      </c>
      <c r="B237" s="591" t="s">
        <v>443</v>
      </c>
      <c r="C237" s="348"/>
      <c r="D237" s="348"/>
      <c r="E237" s="348"/>
      <c r="F237" s="348"/>
      <c r="G237" s="348"/>
      <c r="H237" s="348"/>
      <c r="I237" s="348"/>
      <c r="J237" s="348"/>
      <c r="K237" s="348"/>
      <c r="L237" s="348"/>
      <c r="M237" s="348"/>
      <c r="N237" s="343"/>
      <c r="O237" s="349"/>
      <c r="P237" s="784"/>
      <c r="Q237" s="398"/>
      <c r="R237" s="564"/>
      <c r="S237" s="398"/>
      <c r="T237" s="398"/>
      <c r="U237" s="398"/>
      <c r="V237" s="555"/>
      <c r="W237" s="555"/>
      <c r="X237" s="555"/>
    </row>
    <row r="238" spans="1:24" s="554" customFormat="1" ht="24.75" customHeight="1">
      <c r="A238" s="355" t="s">
        <v>95</v>
      </c>
      <c r="B238" s="593" t="s">
        <v>537</v>
      </c>
      <c r="C238" s="348">
        <v>7.79</v>
      </c>
      <c r="D238" s="493"/>
      <c r="E238" s="348"/>
      <c r="F238" s="348">
        <v>9</v>
      </c>
      <c r="G238" s="348"/>
      <c r="H238" s="348">
        <v>1</v>
      </c>
      <c r="I238" s="348"/>
      <c r="J238" s="348"/>
      <c r="K238" s="348"/>
      <c r="L238" s="348"/>
      <c r="M238" s="348">
        <v>1</v>
      </c>
      <c r="N238" s="343">
        <f>M238*F238*C238*H238</f>
        <v>70.11</v>
      </c>
      <c r="O238" s="349" t="s">
        <v>89</v>
      </c>
      <c r="P238" s="784"/>
      <c r="Q238" s="398"/>
      <c r="R238" s="564"/>
      <c r="S238" s="398"/>
      <c r="T238" s="398"/>
      <c r="U238" s="398"/>
      <c r="V238" s="555"/>
      <c r="W238" s="555"/>
      <c r="X238" s="555"/>
    </row>
    <row r="239" spans="1:24" s="554" customFormat="1" ht="28.5" customHeight="1">
      <c r="A239" s="355" t="s">
        <v>98</v>
      </c>
      <c r="B239" s="593" t="s">
        <v>538</v>
      </c>
      <c r="C239" s="348">
        <v>9.65</v>
      </c>
      <c r="D239" s="493"/>
      <c r="E239" s="348"/>
      <c r="F239" s="348">
        <f>ROUNDUP((D243/0.5),0)</f>
        <v>9</v>
      </c>
      <c r="G239" s="348"/>
      <c r="H239" s="348">
        <v>2</v>
      </c>
      <c r="I239" s="348"/>
      <c r="J239" s="348"/>
      <c r="K239" s="348"/>
      <c r="L239" s="348"/>
      <c r="M239" s="348"/>
      <c r="N239" s="343">
        <f>H239*F239*C239</f>
        <v>173.70000000000002</v>
      </c>
      <c r="O239" s="349" t="s">
        <v>1178</v>
      </c>
      <c r="P239" s="784"/>
      <c r="Q239" s="398"/>
      <c r="R239" s="564"/>
      <c r="S239" s="398"/>
      <c r="T239" s="398"/>
      <c r="U239" s="398"/>
      <c r="V239" s="555"/>
      <c r="W239" s="555"/>
      <c r="X239" s="555"/>
    </row>
    <row r="240" spans="1:24" s="554" customFormat="1" ht="15.75" customHeight="1">
      <c r="A240" s="355" t="s">
        <v>101</v>
      </c>
      <c r="B240" s="351" t="s">
        <v>823</v>
      </c>
      <c r="C240" s="348"/>
      <c r="D240" s="352"/>
      <c r="E240" s="348"/>
      <c r="F240" s="348"/>
      <c r="G240" s="348"/>
      <c r="H240" s="348"/>
      <c r="I240" s="348"/>
      <c r="J240" s="348"/>
      <c r="K240" s="348"/>
      <c r="L240" s="348"/>
      <c r="M240" s="348"/>
      <c r="N240" s="565">
        <f>SUM(N241:N242)</f>
        <v>36</v>
      </c>
      <c r="O240" s="349" t="s">
        <v>824</v>
      </c>
      <c r="P240" s="784"/>
      <c r="Q240" s="398"/>
      <c r="R240" s="564"/>
      <c r="S240" s="398"/>
      <c r="T240" s="398"/>
      <c r="U240" s="398"/>
      <c r="V240" s="555"/>
      <c r="W240" s="555"/>
      <c r="X240" s="555"/>
    </row>
    <row r="241" spans="1:24" s="554" customFormat="1" ht="15.75" customHeight="1">
      <c r="A241" s="355"/>
      <c r="B241" s="589" t="s">
        <v>1024</v>
      </c>
      <c r="C241" s="348"/>
      <c r="D241" s="352"/>
      <c r="E241" s="348"/>
      <c r="F241" s="348">
        <v>2</v>
      </c>
      <c r="G241" s="348">
        <v>2</v>
      </c>
      <c r="H241" s="348">
        <v>1</v>
      </c>
      <c r="I241" s="348"/>
      <c r="J241" s="348"/>
      <c r="K241" s="348"/>
      <c r="L241" s="348"/>
      <c r="M241" s="348">
        <f>F238</f>
        <v>9</v>
      </c>
      <c r="N241" s="343">
        <f>M241*H241*G241*F241</f>
        <v>36</v>
      </c>
      <c r="O241" s="349" t="s">
        <v>824</v>
      </c>
      <c r="P241" s="784"/>
      <c r="Q241" s="398"/>
      <c r="R241" s="564"/>
      <c r="S241" s="398"/>
      <c r="T241" s="398"/>
      <c r="U241" s="398"/>
      <c r="V241" s="555"/>
      <c r="W241" s="555"/>
      <c r="X241" s="555"/>
    </row>
    <row r="242" spans="1:24" s="554" customFormat="1" ht="15.75" customHeight="1">
      <c r="A242" s="355"/>
      <c r="B242" s="589" t="s">
        <v>1025</v>
      </c>
      <c r="C242" s="348"/>
      <c r="D242" s="352"/>
      <c r="E242" s="348"/>
      <c r="F242" s="348">
        <v>2</v>
      </c>
      <c r="G242" s="348">
        <v>5</v>
      </c>
      <c r="H242" s="348">
        <v>1</v>
      </c>
      <c r="I242" s="348"/>
      <c r="J242" s="348"/>
      <c r="K242" s="348"/>
      <c r="L242" s="348"/>
      <c r="M242" s="348">
        <v>0</v>
      </c>
      <c r="N242" s="343">
        <f>M242*H242*G242*F242</f>
        <v>0</v>
      </c>
      <c r="O242" s="349" t="s">
        <v>824</v>
      </c>
      <c r="P242" s="784"/>
      <c r="Q242" s="398"/>
      <c r="R242" s="564"/>
      <c r="S242" s="398"/>
      <c r="T242" s="398"/>
      <c r="U242" s="398"/>
      <c r="V242" s="555"/>
      <c r="W242" s="555"/>
      <c r="X242" s="555"/>
    </row>
    <row r="243" spans="1:24" s="554" customFormat="1" ht="15.75" customHeight="1">
      <c r="A243" s="355" t="s">
        <v>121</v>
      </c>
      <c r="B243" s="351" t="s">
        <v>1179</v>
      </c>
      <c r="C243" s="348">
        <f>C239</f>
        <v>9.65</v>
      </c>
      <c r="D243" s="352">
        <v>4.18</v>
      </c>
      <c r="E243" s="348"/>
      <c r="F243" s="348"/>
      <c r="G243" s="348"/>
      <c r="H243" s="348"/>
      <c r="I243" s="348"/>
      <c r="J243" s="348"/>
      <c r="K243" s="348"/>
      <c r="L243" s="348"/>
      <c r="M243" s="348">
        <v>2</v>
      </c>
      <c r="N243" s="343">
        <f>M243*D243*C243</f>
        <v>80.673999999999992</v>
      </c>
      <c r="O243" s="349" t="s">
        <v>89</v>
      </c>
      <c r="P243" s="784"/>
      <c r="Q243" s="398"/>
      <c r="R243" s="564"/>
      <c r="S243" s="398"/>
      <c r="T243" s="398"/>
      <c r="U243" s="398"/>
      <c r="V243" s="555"/>
      <c r="W243" s="555"/>
      <c r="X243" s="555"/>
    </row>
    <row r="244" spans="1:24" s="554" customFormat="1" ht="15.75" customHeight="1">
      <c r="A244" s="355" t="s">
        <v>142</v>
      </c>
      <c r="B244" s="351" t="s">
        <v>1180</v>
      </c>
      <c r="C244" s="348">
        <f>C243</f>
        <v>9.65</v>
      </c>
      <c r="D244" s="352"/>
      <c r="E244" s="348"/>
      <c r="F244" s="348"/>
      <c r="G244" s="348"/>
      <c r="H244" s="348"/>
      <c r="I244" s="348"/>
      <c r="J244" s="348"/>
      <c r="K244" s="348"/>
      <c r="L244" s="348"/>
      <c r="M244" s="348"/>
      <c r="N244" s="343">
        <f>C244</f>
        <v>9.65</v>
      </c>
      <c r="O244" s="349" t="s">
        <v>1178</v>
      </c>
      <c r="P244" s="784"/>
      <c r="Q244" s="398"/>
      <c r="R244" s="564"/>
      <c r="S244" s="398"/>
      <c r="T244" s="398"/>
      <c r="U244" s="398"/>
      <c r="V244" s="555"/>
      <c r="W244" s="555"/>
      <c r="X244" s="555"/>
    </row>
    <row r="245" spans="1:24" ht="15.75" customHeight="1">
      <c r="A245" s="350">
        <f>A237+1</f>
        <v>8</v>
      </c>
      <c r="B245" s="591" t="s">
        <v>1181</v>
      </c>
      <c r="C245" s="348"/>
      <c r="D245" s="348"/>
      <c r="E245" s="348"/>
      <c r="F245" s="348"/>
      <c r="G245" s="348"/>
      <c r="H245" s="348"/>
      <c r="I245" s="348"/>
      <c r="J245" s="348"/>
      <c r="K245" s="348"/>
      <c r="L245" s="348"/>
      <c r="M245" s="348"/>
      <c r="N245" s="343"/>
      <c r="O245" s="349"/>
      <c r="P245" s="784"/>
      <c r="Q245" s="398"/>
      <c r="R245" s="564"/>
      <c r="S245" s="398"/>
      <c r="T245" s="398"/>
      <c r="U245" s="398"/>
      <c r="V245" s="738"/>
      <c r="W245" s="738"/>
      <c r="X245" s="738"/>
    </row>
    <row r="246" spans="1:24" ht="15.75" customHeight="1">
      <c r="A246" s="350"/>
      <c r="B246" s="567" t="s">
        <v>1182</v>
      </c>
      <c r="C246" s="348">
        <f>C248</f>
        <v>8</v>
      </c>
      <c r="D246" s="348">
        <v>0.55000000000000004</v>
      </c>
      <c r="E246" s="348"/>
      <c r="F246" s="348"/>
      <c r="G246" s="348"/>
      <c r="H246" s="348"/>
      <c r="I246" s="348"/>
      <c r="J246" s="348"/>
      <c r="K246" s="348"/>
      <c r="L246" s="348"/>
      <c r="M246" s="348"/>
      <c r="N246" s="343">
        <f>C246*D246</f>
        <v>4.4000000000000004</v>
      </c>
      <c r="O246" s="349"/>
      <c r="P246" s="784"/>
      <c r="Q246" s="398"/>
      <c r="R246" s="564"/>
      <c r="S246" s="398"/>
      <c r="T246" s="398"/>
      <c r="U246" s="398"/>
      <c r="V246" s="738"/>
      <c r="W246" s="738"/>
      <c r="X246" s="738"/>
    </row>
    <row r="247" spans="1:24" ht="15.75" customHeight="1">
      <c r="A247" s="350"/>
      <c r="B247" s="591"/>
      <c r="C247" s="348">
        <f>D248</f>
        <v>5</v>
      </c>
      <c r="D247" s="348">
        <f>D246</f>
        <v>0.55000000000000004</v>
      </c>
      <c r="E247" s="348"/>
      <c r="F247" s="348"/>
      <c r="G247" s="348"/>
      <c r="H247" s="348"/>
      <c r="I247" s="348"/>
      <c r="J247" s="348"/>
      <c r="K247" s="348"/>
      <c r="L247" s="348"/>
      <c r="M247" s="348"/>
      <c r="N247" s="343">
        <f>C247*D247</f>
        <v>2.75</v>
      </c>
      <c r="O247" s="349"/>
      <c r="P247" s="784"/>
      <c r="Q247" s="398"/>
      <c r="R247" s="564"/>
      <c r="S247" s="398"/>
      <c r="T247" s="398"/>
      <c r="U247" s="398"/>
      <c r="V247" s="738"/>
      <c r="W247" s="738"/>
      <c r="X247" s="738"/>
    </row>
    <row r="248" spans="1:24" ht="15.75" customHeight="1">
      <c r="A248" s="350"/>
      <c r="B248" s="567" t="s">
        <v>1183</v>
      </c>
      <c r="C248" s="348">
        <v>8</v>
      </c>
      <c r="D248" s="348">
        <v>5</v>
      </c>
      <c r="E248" s="348"/>
      <c r="F248" s="348"/>
      <c r="G248" s="348"/>
      <c r="H248" s="348"/>
      <c r="I248" s="348"/>
      <c r="J248" s="348"/>
      <c r="K248" s="348"/>
      <c r="L248" s="348"/>
      <c r="M248" s="348"/>
      <c r="N248" s="565">
        <f>C248*D248</f>
        <v>40</v>
      </c>
      <c r="O248" s="349"/>
      <c r="P248" s="784"/>
      <c r="Q248" s="398"/>
      <c r="R248" s="564"/>
      <c r="S248" s="398"/>
      <c r="T248" s="398"/>
      <c r="U248" s="398"/>
      <c r="V248" s="738"/>
      <c r="W248" s="738"/>
      <c r="X248" s="738"/>
    </row>
    <row r="249" spans="1:24" ht="15.75" customHeight="1">
      <c r="A249" s="350"/>
      <c r="B249" s="591"/>
      <c r="C249" s="348"/>
      <c r="D249" s="348"/>
      <c r="E249" s="348"/>
      <c r="F249" s="348"/>
      <c r="G249" s="348"/>
      <c r="H249" s="348"/>
      <c r="I249" s="348"/>
      <c r="J249" s="348"/>
      <c r="K249" s="348"/>
      <c r="L249" s="348"/>
      <c r="M249" s="348"/>
      <c r="N249" s="343">
        <f>SUM(N246:N248)</f>
        <v>47.15</v>
      </c>
      <c r="O249" s="349" t="s">
        <v>89</v>
      </c>
      <c r="P249" s="784">
        <f>ROUND((N249),2)</f>
        <v>47.15</v>
      </c>
      <c r="Q249" s="398"/>
      <c r="R249" s="564"/>
      <c r="S249" s="398"/>
      <c r="T249" s="398"/>
      <c r="U249" s="398"/>
      <c r="V249" s="738"/>
      <c r="W249" s="738"/>
      <c r="X249" s="738"/>
    </row>
    <row r="250" spans="1:24" ht="27.75" customHeight="1">
      <c r="A250" s="350">
        <f>A245+1</f>
        <v>9</v>
      </c>
      <c r="B250" s="595" t="s">
        <v>1030</v>
      </c>
      <c r="C250" s="348"/>
      <c r="D250" s="348"/>
      <c r="E250" s="348"/>
      <c r="F250" s="348"/>
      <c r="G250" s="348"/>
      <c r="H250" s="348"/>
      <c r="I250" s="348"/>
      <c r="J250" s="348"/>
      <c r="K250" s="348"/>
      <c r="L250" s="348"/>
      <c r="M250" s="348"/>
      <c r="N250" s="348"/>
      <c r="O250" s="349"/>
      <c r="P250" s="784"/>
      <c r="Q250" s="398"/>
      <c r="R250" s="564"/>
      <c r="S250" s="398"/>
      <c r="T250" s="398"/>
      <c r="U250" s="398"/>
      <c r="V250" s="738"/>
      <c r="W250" s="738"/>
      <c r="X250" s="738"/>
    </row>
    <row r="251" spans="1:24" ht="15.75" customHeight="1">
      <c r="A251" s="350"/>
      <c r="B251" s="567" t="s">
        <v>1184</v>
      </c>
      <c r="C251" s="348">
        <f>5-(0.15*2)</f>
        <v>4.7</v>
      </c>
      <c r="D251" s="348"/>
      <c r="E251" s="348">
        <v>0.8</v>
      </c>
      <c r="F251" s="348"/>
      <c r="G251" s="348"/>
      <c r="H251" s="348"/>
      <c r="I251" s="348"/>
      <c r="J251" s="348"/>
      <c r="K251" s="348"/>
      <c r="L251" s="348"/>
      <c r="M251" s="348">
        <v>1</v>
      </c>
      <c r="N251" s="348">
        <f>C251*E251*M251</f>
        <v>3.7600000000000002</v>
      </c>
      <c r="O251" s="349"/>
      <c r="P251" s="784"/>
      <c r="Q251" s="398"/>
      <c r="R251" s="564"/>
      <c r="S251" s="398"/>
      <c r="T251" s="398"/>
      <c r="U251" s="398"/>
      <c r="V251" s="738"/>
      <c r="W251" s="738"/>
      <c r="X251" s="738"/>
    </row>
    <row r="252" spans="1:24" ht="15.75" customHeight="1">
      <c r="A252" s="350"/>
      <c r="B252" s="567" t="s">
        <v>1032</v>
      </c>
      <c r="C252" s="348">
        <f>4-(0.15*2)</f>
        <v>3.7</v>
      </c>
      <c r="D252" s="348"/>
      <c r="E252" s="348">
        <f>E251</f>
        <v>0.8</v>
      </c>
      <c r="F252" s="348"/>
      <c r="G252" s="348"/>
      <c r="H252" s="348"/>
      <c r="I252" s="348"/>
      <c r="J252" s="348"/>
      <c r="K252" s="348"/>
      <c r="L252" s="348"/>
      <c r="M252" s="348">
        <v>4</v>
      </c>
      <c r="N252" s="565">
        <f>C252*E252*M252</f>
        <v>11.840000000000002</v>
      </c>
      <c r="O252" s="349"/>
      <c r="P252" s="784"/>
      <c r="Q252" s="398"/>
      <c r="R252" s="564"/>
      <c r="S252" s="398"/>
      <c r="T252" s="398"/>
      <c r="U252" s="398"/>
      <c r="V252" s="738"/>
      <c r="W252" s="738"/>
      <c r="X252" s="738"/>
    </row>
    <row r="253" spans="1:24" ht="15.75" customHeight="1">
      <c r="A253" s="350"/>
      <c r="B253" s="595"/>
      <c r="C253" s="348"/>
      <c r="D253" s="348"/>
      <c r="E253" s="348"/>
      <c r="F253" s="348"/>
      <c r="G253" s="348"/>
      <c r="H253" s="348"/>
      <c r="I253" s="348"/>
      <c r="J253" s="348"/>
      <c r="K253" s="348"/>
      <c r="L253" s="348"/>
      <c r="M253" s="348"/>
      <c r="N253" s="343">
        <f>SUM(N251:N252)</f>
        <v>15.600000000000001</v>
      </c>
      <c r="O253" s="349" t="s">
        <v>89</v>
      </c>
      <c r="P253" s="784">
        <f>ROUND((N253),2)</f>
        <v>15.6</v>
      </c>
      <c r="Q253" s="398"/>
      <c r="R253" s="564"/>
      <c r="S253" s="398"/>
      <c r="T253" s="398"/>
      <c r="U253" s="398"/>
      <c r="V253" s="738"/>
      <c r="W253" s="738"/>
      <c r="X253" s="738"/>
    </row>
    <row r="254" spans="1:24" ht="15.75" customHeight="1">
      <c r="A254" s="350">
        <f>A250+1</f>
        <v>10</v>
      </c>
      <c r="B254" s="359" t="s">
        <v>580</v>
      </c>
      <c r="C254" s="348"/>
      <c r="D254" s="348"/>
      <c r="E254" s="348"/>
      <c r="F254" s="348"/>
      <c r="G254" s="348"/>
      <c r="H254" s="348"/>
      <c r="I254" s="348"/>
      <c r="J254" s="348"/>
      <c r="K254" s="348"/>
      <c r="L254" s="348"/>
      <c r="M254" s="348"/>
      <c r="N254" s="348"/>
      <c r="O254" s="349"/>
      <c r="P254" s="784"/>
      <c r="Q254" s="398"/>
      <c r="R254" s="564"/>
      <c r="S254" s="398"/>
      <c r="T254" s="398"/>
      <c r="U254" s="398"/>
      <c r="V254" s="738"/>
      <c r="W254" s="738"/>
      <c r="X254" s="738"/>
    </row>
    <row r="255" spans="1:24" ht="15.75" customHeight="1">
      <c r="A255" s="350"/>
      <c r="B255" s="567" t="s">
        <v>1033</v>
      </c>
      <c r="C255" s="348"/>
      <c r="D255" s="348"/>
      <c r="E255" s="348"/>
      <c r="F255" s="348"/>
      <c r="G255" s="348"/>
      <c r="H255" s="348"/>
      <c r="I255" s="348"/>
      <c r="J255" s="348"/>
      <c r="K255" s="348"/>
      <c r="L255" s="348"/>
      <c r="M255" s="348"/>
      <c r="N255" s="348">
        <f>N184</f>
        <v>14.9</v>
      </c>
      <c r="O255" s="349"/>
      <c r="P255" s="784"/>
      <c r="Q255" s="398"/>
      <c r="R255" s="564"/>
      <c r="S255" s="398"/>
      <c r="T255" s="398"/>
      <c r="U255" s="398"/>
      <c r="V255" s="738"/>
      <c r="W255" s="738"/>
      <c r="X255" s="738"/>
    </row>
    <row r="256" spans="1:24" ht="15.75" customHeight="1">
      <c r="A256" s="350"/>
      <c r="B256" s="567" t="s">
        <v>1035</v>
      </c>
      <c r="C256" s="348"/>
      <c r="D256" s="348"/>
      <c r="E256" s="348"/>
      <c r="F256" s="348"/>
      <c r="G256" s="348"/>
      <c r="H256" s="348"/>
      <c r="I256" s="348"/>
      <c r="J256" s="348"/>
      <c r="K256" s="348"/>
      <c r="L256" s="348"/>
      <c r="M256" s="348"/>
      <c r="N256" s="348">
        <f>N195</f>
        <v>30.86</v>
      </c>
      <c r="O256" s="349"/>
      <c r="P256" s="784"/>
      <c r="Q256" s="398"/>
      <c r="R256" s="564"/>
      <c r="S256" s="398"/>
      <c r="T256" s="398"/>
      <c r="U256" s="398"/>
      <c r="V256" s="738"/>
      <c r="W256" s="738"/>
      <c r="X256" s="738"/>
    </row>
    <row r="257" spans="1:24" ht="15.75" customHeight="1">
      <c r="A257" s="350"/>
      <c r="B257" s="567"/>
      <c r="C257" s="348"/>
      <c r="D257" s="348"/>
      <c r="E257" s="348"/>
      <c r="F257" s="348"/>
      <c r="G257" s="348"/>
      <c r="H257" s="348"/>
      <c r="I257" s="348"/>
      <c r="J257" s="348"/>
      <c r="K257" s="348"/>
      <c r="L257" s="348"/>
      <c r="M257" s="348"/>
      <c r="N257" s="343">
        <f>SUM(N255:N256)</f>
        <v>45.76</v>
      </c>
      <c r="O257" s="349" t="s">
        <v>89</v>
      </c>
      <c r="P257" s="784">
        <f>ROUND((N257),2)</f>
        <v>45.76</v>
      </c>
      <c r="Q257" s="398"/>
      <c r="R257" s="564"/>
      <c r="S257" s="398"/>
      <c r="T257" s="398"/>
      <c r="U257" s="398"/>
      <c r="V257" s="738"/>
      <c r="W257" s="738"/>
      <c r="X257" s="738"/>
    </row>
    <row r="258" spans="1:24" ht="15.75" customHeight="1">
      <c r="A258" s="350">
        <f>A254+1</f>
        <v>11</v>
      </c>
      <c r="B258" s="591" t="s">
        <v>451</v>
      </c>
      <c r="C258" s="348" t="s">
        <v>1036</v>
      </c>
      <c r="D258" s="348"/>
      <c r="E258" s="348"/>
      <c r="F258" s="348"/>
      <c r="G258" s="348"/>
      <c r="H258" s="348"/>
      <c r="I258" s="348"/>
      <c r="J258" s="348"/>
      <c r="K258" s="348"/>
      <c r="L258" s="348"/>
      <c r="M258" s="348"/>
      <c r="N258" s="343">
        <f>N249</f>
        <v>47.15</v>
      </c>
      <c r="O258" s="349" t="s">
        <v>89</v>
      </c>
      <c r="P258" s="784">
        <f>ROUND((N258),2)</f>
        <v>47.15</v>
      </c>
      <c r="Q258" s="398"/>
      <c r="R258" s="564"/>
      <c r="S258" s="398"/>
      <c r="T258" s="398"/>
      <c r="U258" s="398"/>
      <c r="V258" s="738"/>
      <c r="W258" s="738"/>
      <c r="X258" s="738"/>
    </row>
    <row r="259" spans="1:24" ht="15.75" customHeight="1">
      <c r="A259" s="350">
        <f>A258+1</f>
        <v>12</v>
      </c>
      <c r="B259" s="359" t="s">
        <v>1037</v>
      </c>
      <c r="C259" s="348"/>
      <c r="D259" s="348"/>
      <c r="E259" s="348"/>
      <c r="F259" s="348"/>
      <c r="G259" s="348"/>
      <c r="H259" s="348"/>
      <c r="I259" s="348"/>
      <c r="J259" s="348"/>
      <c r="K259" s="348"/>
      <c r="L259" s="348"/>
      <c r="M259" s="348"/>
      <c r="N259" s="348"/>
      <c r="O259" s="349"/>
      <c r="P259" s="784"/>
      <c r="Q259" s="398"/>
      <c r="R259" s="564"/>
      <c r="S259" s="398"/>
      <c r="T259" s="398"/>
      <c r="U259" s="398"/>
      <c r="V259" s="738"/>
      <c r="W259" s="738"/>
      <c r="X259" s="738"/>
    </row>
    <row r="260" spans="1:24" ht="15.75" customHeight="1">
      <c r="A260" s="350"/>
      <c r="B260" s="596" t="s">
        <v>1185</v>
      </c>
      <c r="C260" s="348">
        <v>9.65</v>
      </c>
      <c r="D260" s="348"/>
      <c r="E260" s="348"/>
      <c r="F260" s="348"/>
      <c r="G260" s="348"/>
      <c r="H260" s="348">
        <v>2</v>
      </c>
      <c r="I260" s="348"/>
      <c r="J260" s="348"/>
      <c r="K260" s="348"/>
      <c r="L260" s="348"/>
      <c r="M260" s="348"/>
      <c r="N260" s="348">
        <f>C260*H260</f>
        <v>19.3</v>
      </c>
      <c r="O260" s="349"/>
      <c r="P260" s="784"/>
      <c r="Q260" s="398"/>
      <c r="R260" s="564"/>
      <c r="S260" s="398"/>
      <c r="T260" s="398"/>
      <c r="U260" s="398"/>
      <c r="V260" s="738"/>
      <c r="W260" s="738"/>
      <c r="X260" s="738"/>
    </row>
    <row r="261" spans="1:24" ht="15.75" customHeight="1">
      <c r="A261" s="350"/>
      <c r="B261" s="596" t="s">
        <v>1186</v>
      </c>
      <c r="C261" s="348">
        <f>2.096+1.901</f>
        <v>3.9969999999999999</v>
      </c>
      <c r="D261" s="348"/>
      <c r="E261" s="348"/>
      <c r="F261" s="348"/>
      <c r="G261" s="348"/>
      <c r="H261" s="348">
        <v>2</v>
      </c>
      <c r="I261" s="348"/>
      <c r="J261" s="348"/>
      <c r="K261" s="348"/>
      <c r="L261" s="348"/>
      <c r="M261" s="348"/>
      <c r="N261" s="565">
        <f>C261*H261</f>
        <v>7.9939999999999998</v>
      </c>
      <c r="O261" s="349"/>
      <c r="P261" s="784"/>
      <c r="Q261" s="398"/>
      <c r="R261" s="564"/>
      <c r="S261" s="398"/>
      <c r="T261" s="398"/>
      <c r="U261" s="398"/>
      <c r="V261" s="738"/>
      <c r="W261" s="738"/>
      <c r="X261" s="738"/>
    </row>
    <row r="262" spans="1:24" ht="15.75" customHeight="1">
      <c r="A262" s="350"/>
      <c r="B262" s="597"/>
      <c r="C262" s="348"/>
      <c r="D262" s="348"/>
      <c r="E262" s="348"/>
      <c r="F262" s="348"/>
      <c r="G262" s="348"/>
      <c r="H262" s="348"/>
      <c r="I262" s="348"/>
      <c r="J262" s="348"/>
      <c r="K262" s="348"/>
      <c r="L262" s="348"/>
      <c r="M262" s="348"/>
      <c r="N262" s="343">
        <f>SUM(N260:N261)</f>
        <v>27.294</v>
      </c>
      <c r="O262" s="349" t="s">
        <v>117</v>
      </c>
      <c r="P262" s="784">
        <f>ROUND((N262),2)</f>
        <v>27.29</v>
      </c>
      <c r="Q262" s="398"/>
      <c r="R262" s="564"/>
      <c r="S262" s="398"/>
      <c r="T262" s="398"/>
      <c r="U262" s="398"/>
      <c r="V262" s="738"/>
      <c r="W262" s="738"/>
      <c r="X262" s="738"/>
    </row>
    <row r="263" spans="1:24" ht="15.75" customHeight="1">
      <c r="A263" s="350">
        <f>A259+1</f>
        <v>13</v>
      </c>
      <c r="B263" s="597" t="s">
        <v>968</v>
      </c>
      <c r="C263" s="348">
        <f>N262</f>
        <v>27.294</v>
      </c>
      <c r="D263" s="348">
        <v>0.3</v>
      </c>
      <c r="E263" s="348"/>
      <c r="F263" s="348"/>
      <c r="G263" s="348"/>
      <c r="H263" s="348"/>
      <c r="I263" s="348"/>
      <c r="J263" s="348"/>
      <c r="K263" s="348"/>
      <c r="L263" s="348"/>
      <c r="M263" s="348"/>
      <c r="N263" s="348">
        <f>C263*D263</f>
        <v>8.1882000000000001</v>
      </c>
      <c r="O263" s="349" t="s">
        <v>89</v>
      </c>
      <c r="P263" s="784">
        <f>ROUND((N263),2)</f>
        <v>8.19</v>
      </c>
      <c r="Q263" s="398"/>
      <c r="R263" s="564"/>
      <c r="S263" s="398"/>
      <c r="T263" s="398"/>
      <c r="U263" s="398"/>
      <c r="V263" s="738"/>
      <c r="W263" s="738"/>
      <c r="X263" s="738"/>
    </row>
    <row r="264" spans="1:24" ht="15.75" customHeight="1">
      <c r="A264" s="350">
        <f>A263+1</f>
        <v>14</v>
      </c>
      <c r="B264" s="359" t="s">
        <v>1187</v>
      </c>
      <c r="C264" s="790"/>
      <c r="D264" s="790"/>
      <c r="E264" s="790"/>
      <c r="F264" s="790"/>
      <c r="G264" s="790"/>
      <c r="H264" s="790"/>
      <c r="I264" s="790"/>
      <c r="J264" s="790"/>
      <c r="K264" s="790"/>
      <c r="L264" s="790"/>
      <c r="M264" s="790"/>
      <c r="N264" s="790"/>
      <c r="O264" s="349"/>
      <c r="P264" s="784"/>
      <c r="Q264" s="398"/>
      <c r="R264" s="564"/>
      <c r="S264" s="398"/>
      <c r="T264" s="398"/>
      <c r="U264" s="398"/>
      <c r="V264" s="738"/>
      <c r="W264" s="738"/>
      <c r="X264" s="738"/>
    </row>
    <row r="265" spans="1:24" ht="15.75" customHeight="1">
      <c r="A265" s="350"/>
      <c r="B265" s="567" t="s">
        <v>1188</v>
      </c>
      <c r="C265" s="790">
        <f>4-0.3</f>
        <v>3.7</v>
      </c>
      <c r="D265" s="790"/>
      <c r="E265" s="790">
        <v>1.2</v>
      </c>
      <c r="F265" s="790">
        <v>2</v>
      </c>
      <c r="G265" s="790"/>
      <c r="H265" s="790">
        <v>2</v>
      </c>
      <c r="I265" s="790"/>
      <c r="J265" s="790"/>
      <c r="K265" s="790"/>
      <c r="L265" s="790"/>
      <c r="M265" s="790"/>
      <c r="N265" s="790">
        <f>C265*E265*F265*H265</f>
        <v>17.760000000000002</v>
      </c>
      <c r="O265" s="349"/>
      <c r="P265" s="784"/>
      <c r="Q265" s="398"/>
      <c r="R265" s="564"/>
      <c r="S265" s="398"/>
      <c r="T265" s="398"/>
      <c r="U265" s="398"/>
      <c r="V265" s="738"/>
      <c r="W265" s="738"/>
      <c r="X265" s="738"/>
    </row>
    <row r="266" spans="1:24" ht="15.75" customHeight="1">
      <c r="A266" s="350"/>
      <c r="B266" s="567" t="s">
        <v>1184</v>
      </c>
      <c r="C266" s="790">
        <f>5-0.3</f>
        <v>4.7</v>
      </c>
      <c r="D266" s="790"/>
      <c r="E266" s="790">
        <f>E265</f>
        <v>1.2</v>
      </c>
      <c r="F266" s="790">
        <v>1</v>
      </c>
      <c r="G266" s="790"/>
      <c r="H266" s="790">
        <v>1</v>
      </c>
      <c r="I266" s="790"/>
      <c r="J266" s="790"/>
      <c r="K266" s="790"/>
      <c r="L266" s="790"/>
      <c r="M266" s="790"/>
      <c r="N266" s="791">
        <f>C266*E266*F266*H266</f>
        <v>5.64</v>
      </c>
      <c r="O266" s="349"/>
      <c r="P266" s="784"/>
      <c r="Q266" s="398"/>
      <c r="R266" s="564"/>
      <c r="S266" s="398"/>
      <c r="T266" s="398"/>
      <c r="U266" s="398"/>
      <c r="V266" s="738"/>
      <c r="W266" s="738"/>
      <c r="X266" s="738"/>
    </row>
    <row r="267" spans="1:24" ht="15.75" customHeight="1">
      <c r="A267" s="350"/>
      <c r="B267" s="359"/>
      <c r="C267" s="790"/>
      <c r="D267" s="790"/>
      <c r="E267" s="790"/>
      <c r="F267" s="790"/>
      <c r="G267" s="790"/>
      <c r="H267" s="790"/>
      <c r="I267" s="790"/>
      <c r="J267" s="790"/>
      <c r="K267" s="790"/>
      <c r="L267" s="790"/>
      <c r="M267" s="790"/>
      <c r="N267" s="792">
        <f>SUM(N265:N266)</f>
        <v>23.400000000000002</v>
      </c>
      <c r="O267" s="349" t="s">
        <v>89</v>
      </c>
      <c r="P267" s="784">
        <f>ROUND((N267),2)</f>
        <v>23.4</v>
      </c>
      <c r="Q267" s="398"/>
      <c r="R267" s="564"/>
      <c r="S267" s="398"/>
      <c r="T267" s="398"/>
      <c r="U267" s="398"/>
      <c r="V267" s="738"/>
      <c r="W267" s="738"/>
      <c r="X267" s="738"/>
    </row>
    <row r="268" spans="1:24" ht="15.75" customHeight="1">
      <c r="A268" s="350">
        <f>A264+1</f>
        <v>15</v>
      </c>
      <c r="B268" s="359" t="s">
        <v>582</v>
      </c>
      <c r="C268" s="348"/>
      <c r="D268" s="348"/>
      <c r="E268" s="348"/>
      <c r="F268" s="348"/>
      <c r="G268" s="348"/>
      <c r="H268" s="348"/>
      <c r="I268" s="348"/>
      <c r="J268" s="348"/>
      <c r="K268" s="348"/>
      <c r="L268" s="348"/>
      <c r="M268" s="348"/>
      <c r="N268" s="348">
        <v>1</v>
      </c>
      <c r="O268" s="349" t="s">
        <v>124</v>
      </c>
      <c r="P268" s="784">
        <f>ROUND((N268),2)</f>
        <v>1</v>
      </c>
      <c r="Q268" s="398"/>
      <c r="R268" s="564"/>
      <c r="S268" s="398"/>
      <c r="T268" s="398"/>
      <c r="U268" s="398"/>
      <c r="V268" s="738"/>
      <c r="W268" s="738"/>
      <c r="X268" s="738"/>
    </row>
    <row r="269" spans="1:24" ht="27.75" customHeight="1">
      <c r="A269" s="350">
        <f>A268+1</f>
        <v>16</v>
      </c>
      <c r="B269" s="598" t="s">
        <v>1189</v>
      </c>
      <c r="C269" s="348"/>
      <c r="D269" s="348"/>
      <c r="E269" s="348"/>
      <c r="F269" s="348"/>
      <c r="G269" s="348"/>
      <c r="H269" s="348"/>
      <c r="I269" s="348"/>
      <c r="J269" s="348"/>
      <c r="K269" s="348"/>
      <c r="L269" s="348"/>
      <c r="M269" s="348"/>
      <c r="N269" s="348">
        <v>11</v>
      </c>
      <c r="O269" s="349" t="s">
        <v>124</v>
      </c>
      <c r="P269" s="784">
        <f>ROUND((N269),2)</f>
        <v>11</v>
      </c>
      <c r="Q269" s="398"/>
      <c r="R269" s="564"/>
      <c r="S269" s="398"/>
      <c r="T269" s="398"/>
      <c r="U269" s="398"/>
      <c r="V269" s="738"/>
      <c r="W269" s="738"/>
      <c r="X269" s="738"/>
    </row>
    <row r="270" spans="1:24" ht="15.75" customHeight="1">
      <c r="A270" s="346" t="s">
        <v>1190</v>
      </c>
      <c r="B270" s="342" t="s">
        <v>457</v>
      </c>
      <c r="C270" s="364"/>
      <c r="D270" s="364"/>
      <c r="E270" s="364"/>
      <c r="F270" s="364"/>
      <c r="G270" s="364"/>
      <c r="H270" s="364"/>
      <c r="I270" s="364"/>
      <c r="J270" s="364"/>
      <c r="K270" s="364"/>
      <c r="L270" s="364"/>
      <c r="M270" s="364"/>
      <c r="N270" s="364"/>
      <c r="O270" s="599"/>
      <c r="P270" s="793"/>
      <c r="Q270" s="398"/>
      <c r="R270" s="564"/>
      <c r="S270" s="398"/>
      <c r="T270" s="398"/>
      <c r="U270" s="398"/>
      <c r="V270" s="738"/>
      <c r="W270" s="738"/>
      <c r="X270" s="738"/>
    </row>
    <row r="271" spans="1:24" ht="15.75" customHeight="1">
      <c r="A271" s="350">
        <v>1</v>
      </c>
      <c r="B271" s="351" t="s">
        <v>545</v>
      </c>
      <c r="C271" s="364"/>
      <c r="D271" s="364"/>
      <c r="E271" s="364"/>
      <c r="F271" s="364">
        <v>8</v>
      </c>
      <c r="G271" s="364"/>
      <c r="H271" s="364"/>
      <c r="I271" s="364"/>
      <c r="J271" s="364"/>
      <c r="K271" s="364"/>
      <c r="L271" s="364"/>
      <c r="M271" s="364"/>
      <c r="N271" s="364">
        <f t="shared" ref="N271:N276" si="5">F271</f>
        <v>8</v>
      </c>
      <c r="O271" s="349" t="s">
        <v>357</v>
      </c>
      <c r="P271" s="784">
        <f t="shared" ref="P271:P276" si="6">ROUND((N271),2)</f>
        <v>8</v>
      </c>
      <c r="Q271" s="398"/>
      <c r="R271" s="564"/>
      <c r="S271" s="398"/>
      <c r="T271" s="398"/>
      <c r="U271" s="398"/>
      <c r="V271" s="738"/>
      <c r="W271" s="738"/>
      <c r="X271" s="738"/>
    </row>
    <row r="272" spans="1:24" ht="15.75" customHeight="1">
      <c r="A272" s="350">
        <f>A271+1</f>
        <v>2</v>
      </c>
      <c r="B272" s="366" t="s">
        <v>459</v>
      </c>
      <c r="C272" s="364"/>
      <c r="D272" s="364"/>
      <c r="E272" s="364"/>
      <c r="F272" s="364">
        <v>2</v>
      </c>
      <c r="G272" s="364"/>
      <c r="H272" s="364"/>
      <c r="I272" s="364"/>
      <c r="J272" s="364"/>
      <c r="K272" s="364"/>
      <c r="L272" s="364"/>
      <c r="M272" s="364"/>
      <c r="N272" s="364">
        <f t="shared" si="5"/>
        <v>2</v>
      </c>
      <c r="O272" s="349" t="s">
        <v>124</v>
      </c>
      <c r="P272" s="784">
        <f t="shared" si="6"/>
        <v>2</v>
      </c>
      <c r="Q272" s="398"/>
      <c r="R272" s="564"/>
      <c r="S272" s="398"/>
      <c r="T272" s="398"/>
      <c r="U272" s="398"/>
      <c r="V272" s="738"/>
      <c r="W272" s="738"/>
      <c r="X272" s="738"/>
    </row>
    <row r="273" spans="1:24" ht="15.75" customHeight="1">
      <c r="A273" s="350">
        <f>A272+1</f>
        <v>3</v>
      </c>
      <c r="B273" s="351" t="s">
        <v>546</v>
      </c>
      <c r="C273" s="364"/>
      <c r="D273" s="364"/>
      <c r="E273" s="364"/>
      <c r="F273" s="364">
        <v>1</v>
      </c>
      <c r="G273" s="364"/>
      <c r="H273" s="364"/>
      <c r="I273" s="364"/>
      <c r="J273" s="364"/>
      <c r="K273" s="364"/>
      <c r="L273" s="364"/>
      <c r="M273" s="364"/>
      <c r="N273" s="364">
        <f t="shared" si="5"/>
        <v>1</v>
      </c>
      <c r="O273" s="349" t="s">
        <v>124</v>
      </c>
      <c r="P273" s="784">
        <f t="shared" si="6"/>
        <v>1</v>
      </c>
      <c r="Q273" s="398"/>
      <c r="R273" s="564"/>
      <c r="S273" s="398"/>
      <c r="T273" s="398"/>
      <c r="U273" s="398"/>
      <c r="V273" s="738"/>
      <c r="W273" s="738"/>
      <c r="X273" s="738"/>
    </row>
    <row r="274" spans="1:24" ht="15.75" customHeight="1">
      <c r="A274" s="350">
        <f>A273+1</f>
        <v>4</v>
      </c>
      <c r="B274" s="351" t="s">
        <v>461</v>
      </c>
      <c r="C274" s="364"/>
      <c r="D274" s="364"/>
      <c r="E274" s="364"/>
      <c r="F274" s="364">
        <f>F272</f>
        <v>2</v>
      </c>
      <c r="G274" s="364"/>
      <c r="H274" s="364"/>
      <c r="I274" s="364"/>
      <c r="J274" s="364"/>
      <c r="K274" s="364"/>
      <c r="L274" s="364"/>
      <c r="M274" s="364"/>
      <c r="N274" s="364">
        <f t="shared" si="5"/>
        <v>2</v>
      </c>
      <c r="O274" s="349" t="s">
        <v>124</v>
      </c>
      <c r="P274" s="784">
        <f t="shared" si="6"/>
        <v>2</v>
      </c>
      <c r="Q274" s="398"/>
      <c r="R274" s="564"/>
      <c r="S274" s="398"/>
      <c r="T274" s="398"/>
      <c r="U274" s="398"/>
      <c r="V274" s="738"/>
      <c r="W274" s="738"/>
      <c r="X274" s="738"/>
    </row>
    <row r="275" spans="1:24" ht="15.75" customHeight="1">
      <c r="A275" s="350">
        <f>A274+1</f>
        <v>5</v>
      </c>
      <c r="B275" s="351" t="s">
        <v>547</v>
      </c>
      <c r="C275" s="364"/>
      <c r="D275" s="364"/>
      <c r="E275" s="364"/>
      <c r="F275" s="364">
        <f>F271</f>
        <v>8</v>
      </c>
      <c r="G275" s="364"/>
      <c r="H275" s="364"/>
      <c r="I275" s="364"/>
      <c r="J275" s="364"/>
      <c r="K275" s="364"/>
      <c r="L275" s="364"/>
      <c r="M275" s="364"/>
      <c r="N275" s="364">
        <f t="shared" si="5"/>
        <v>8</v>
      </c>
      <c r="O275" s="349" t="s">
        <v>124</v>
      </c>
      <c r="P275" s="784">
        <f t="shared" si="6"/>
        <v>8</v>
      </c>
      <c r="Q275" s="398"/>
      <c r="R275" s="564"/>
      <c r="S275" s="398"/>
      <c r="T275" s="398"/>
      <c r="U275" s="398"/>
      <c r="V275" s="738"/>
      <c r="W275" s="738"/>
      <c r="X275" s="738"/>
    </row>
    <row r="276" spans="1:24" ht="15.75" customHeight="1">
      <c r="A276" s="350">
        <f>A275+1</f>
        <v>6</v>
      </c>
      <c r="B276" s="351" t="s">
        <v>463</v>
      </c>
      <c r="C276" s="364"/>
      <c r="D276" s="364"/>
      <c r="E276" s="364"/>
      <c r="F276" s="364">
        <v>1</v>
      </c>
      <c r="G276" s="364"/>
      <c r="H276" s="364"/>
      <c r="I276" s="364"/>
      <c r="J276" s="364"/>
      <c r="K276" s="364"/>
      <c r="L276" s="364"/>
      <c r="M276" s="364"/>
      <c r="N276" s="364">
        <f t="shared" si="5"/>
        <v>1</v>
      </c>
      <c r="O276" s="349" t="s">
        <v>360</v>
      </c>
      <c r="P276" s="784">
        <f t="shared" si="6"/>
        <v>1</v>
      </c>
      <c r="Q276" s="398"/>
      <c r="R276" s="564"/>
      <c r="S276" s="398"/>
      <c r="T276" s="398"/>
      <c r="U276" s="398"/>
      <c r="V276" s="738"/>
      <c r="W276" s="738"/>
      <c r="X276" s="738"/>
    </row>
    <row r="277" spans="1:24" ht="15.75" customHeight="1">
      <c r="A277" s="350"/>
      <c r="B277" s="363" t="s">
        <v>464</v>
      </c>
      <c r="C277" s="364"/>
      <c r="D277" s="364"/>
      <c r="E277" s="364"/>
      <c r="F277" s="364"/>
      <c r="G277" s="364"/>
      <c r="H277" s="364"/>
      <c r="I277" s="364"/>
      <c r="J277" s="364"/>
      <c r="K277" s="364"/>
      <c r="L277" s="364"/>
      <c r="M277" s="364"/>
      <c r="N277" s="364"/>
      <c r="O277" s="349"/>
      <c r="P277" s="784"/>
      <c r="Q277" s="398"/>
      <c r="R277" s="564"/>
      <c r="S277" s="398"/>
      <c r="T277" s="398"/>
      <c r="U277" s="398"/>
      <c r="V277" s="738"/>
      <c r="W277" s="738"/>
      <c r="X277" s="738"/>
    </row>
    <row r="278" spans="1:24" ht="15.75" customHeight="1">
      <c r="A278" s="350"/>
      <c r="B278" s="363" t="s">
        <v>465</v>
      </c>
      <c r="C278" s="364"/>
      <c r="D278" s="364"/>
      <c r="E278" s="364"/>
      <c r="F278" s="364"/>
      <c r="G278" s="364"/>
      <c r="H278" s="364"/>
      <c r="I278" s="364"/>
      <c r="J278" s="364"/>
      <c r="K278" s="364"/>
      <c r="L278" s="364"/>
      <c r="M278" s="364"/>
      <c r="N278" s="364"/>
      <c r="O278" s="349"/>
      <c r="P278" s="784"/>
      <c r="Q278" s="398"/>
      <c r="R278" s="564"/>
      <c r="S278" s="398"/>
      <c r="T278" s="398"/>
      <c r="U278" s="398"/>
      <c r="V278" s="738"/>
      <c r="W278" s="738"/>
      <c r="X278" s="738"/>
    </row>
    <row r="279" spans="1:24" ht="15.75" customHeight="1">
      <c r="A279" s="350"/>
      <c r="B279" s="363" t="s">
        <v>466</v>
      </c>
      <c r="C279" s="364"/>
      <c r="D279" s="364"/>
      <c r="E279" s="364"/>
      <c r="F279" s="364"/>
      <c r="G279" s="364"/>
      <c r="H279" s="364"/>
      <c r="I279" s="364"/>
      <c r="J279" s="364"/>
      <c r="K279" s="364"/>
      <c r="L279" s="364"/>
      <c r="M279" s="364"/>
      <c r="N279" s="364"/>
      <c r="O279" s="349"/>
      <c r="P279" s="784"/>
      <c r="Q279" s="398"/>
      <c r="R279" s="564"/>
      <c r="S279" s="398"/>
      <c r="T279" s="398"/>
      <c r="U279" s="398"/>
      <c r="V279" s="738"/>
      <c r="W279" s="738"/>
      <c r="X279" s="738"/>
    </row>
    <row r="280" spans="1:24" ht="15.75" customHeight="1">
      <c r="A280" s="350">
        <f>A271+1</f>
        <v>2</v>
      </c>
      <c r="B280" s="403" t="s">
        <v>929</v>
      </c>
      <c r="C280" s="364"/>
      <c r="D280" s="364"/>
      <c r="E280" s="364"/>
      <c r="F280" s="364"/>
      <c r="G280" s="364"/>
      <c r="H280" s="364"/>
      <c r="I280" s="364"/>
      <c r="J280" s="364"/>
      <c r="K280" s="364"/>
      <c r="L280" s="364"/>
      <c r="M280" s="364"/>
      <c r="N280" s="364"/>
      <c r="O280" s="349"/>
      <c r="P280" s="784"/>
      <c r="Q280" s="398"/>
      <c r="R280" s="564"/>
      <c r="S280" s="398"/>
      <c r="T280" s="398"/>
      <c r="U280" s="398"/>
      <c r="V280" s="738"/>
      <c r="W280" s="738"/>
      <c r="X280" s="738"/>
    </row>
    <row r="281" spans="1:24" ht="7.5" customHeight="1">
      <c r="A281" s="601"/>
      <c r="B281" s="602"/>
      <c r="C281" s="603"/>
      <c r="D281" s="603"/>
      <c r="E281" s="603"/>
      <c r="F281" s="603"/>
      <c r="G281" s="603"/>
      <c r="H281" s="603"/>
      <c r="I281" s="603"/>
      <c r="J281" s="603"/>
      <c r="K281" s="603"/>
      <c r="L281" s="603"/>
      <c r="M281" s="603"/>
      <c r="N281" s="603"/>
      <c r="O281" s="604"/>
      <c r="P281" s="605"/>
      <c r="Q281" s="398"/>
      <c r="R281" s="398"/>
      <c r="S281" s="398"/>
      <c r="T281" s="398"/>
      <c r="U281" s="398"/>
      <c r="V281" s="738"/>
      <c r="W281" s="738"/>
      <c r="X281" s="738"/>
    </row>
    <row r="282" spans="1:24" ht="15.75" customHeight="1">
      <c r="A282" s="606"/>
      <c r="B282" s="398"/>
      <c r="C282" s="564"/>
      <c r="D282" s="564"/>
      <c r="E282" s="564"/>
      <c r="F282" s="564"/>
      <c r="G282" s="564"/>
      <c r="H282" s="564"/>
      <c r="I282" s="564"/>
      <c r="J282" s="564"/>
      <c r="K282" s="564"/>
      <c r="L282" s="564"/>
      <c r="M282" s="564"/>
      <c r="N282" s="564"/>
      <c r="O282" s="606"/>
      <c r="P282" s="606"/>
      <c r="Q282" s="398"/>
      <c r="R282" s="398"/>
      <c r="S282" s="398"/>
      <c r="T282" s="398"/>
      <c r="U282" s="398"/>
      <c r="V282" s="738"/>
      <c r="W282" s="738"/>
      <c r="X282" s="738"/>
    </row>
    <row r="283" spans="1:24" ht="15.75" customHeight="1">
      <c r="A283" s="606"/>
      <c r="B283" s="398"/>
      <c r="C283" s="564"/>
      <c r="D283" s="564"/>
      <c r="E283" s="564"/>
      <c r="F283" s="564"/>
      <c r="G283" s="564"/>
      <c r="H283" s="564"/>
      <c r="I283" s="564"/>
      <c r="J283" s="564"/>
      <c r="K283" s="564"/>
      <c r="L283" s="564"/>
      <c r="M283" s="564"/>
      <c r="N283" s="564"/>
      <c r="O283" s="606"/>
      <c r="P283" s="606"/>
      <c r="Q283" s="398"/>
      <c r="R283" s="398"/>
      <c r="S283" s="398"/>
      <c r="T283" s="398"/>
      <c r="U283" s="398"/>
      <c r="V283" s="738"/>
      <c r="W283" s="738"/>
      <c r="X283" s="738"/>
    </row>
    <row r="284" spans="1:24" ht="15.75" customHeight="1">
      <c r="A284" s="606"/>
      <c r="B284" s="398"/>
      <c r="C284" s="564"/>
      <c r="D284" s="564"/>
      <c r="E284" s="564"/>
      <c r="F284" s="564"/>
      <c r="G284" s="564"/>
      <c r="H284" s="564"/>
      <c r="I284" s="564"/>
      <c r="J284" s="564"/>
      <c r="K284" s="564"/>
      <c r="L284" s="564"/>
      <c r="M284" s="564"/>
      <c r="N284" s="564"/>
      <c r="O284" s="606"/>
      <c r="P284" s="606"/>
      <c r="Q284" s="398"/>
      <c r="R284" s="398"/>
      <c r="S284" s="398"/>
      <c r="T284" s="398"/>
      <c r="U284" s="398"/>
      <c r="V284" s="738"/>
      <c r="W284" s="738"/>
      <c r="X284" s="738"/>
    </row>
    <row r="285" spans="1:24" ht="15.75" customHeight="1">
      <c r="A285" s="606"/>
      <c r="B285" s="398"/>
      <c r="C285" s="564"/>
      <c r="D285" s="564"/>
      <c r="E285" s="564"/>
      <c r="F285" s="564"/>
      <c r="G285" s="564"/>
      <c r="H285" s="564"/>
      <c r="I285" s="564"/>
      <c r="J285" s="564"/>
      <c r="K285" s="564"/>
      <c r="L285" s="564"/>
      <c r="M285" s="564"/>
      <c r="N285" s="564"/>
      <c r="O285" s="606"/>
      <c r="P285" s="606"/>
      <c r="Q285" s="398"/>
      <c r="R285" s="398"/>
      <c r="S285" s="398"/>
      <c r="T285" s="398"/>
      <c r="U285" s="398"/>
      <c r="V285" s="738"/>
      <c r="W285" s="738"/>
      <c r="X285" s="738"/>
    </row>
    <row r="286" spans="1:24" ht="15.75" customHeight="1">
      <c r="A286" s="398"/>
      <c r="B286" s="398"/>
      <c r="C286" s="564"/>
      <c r="D286" s="564"/>
      <c r="E286" s="564"/>
      <c r="F286" s="564"/>
      <c r="G286" s="564"/>
      <c r="H286" s="564"/>
      <c r="I286" s="564"/>
      <c r="J286" s="564"/>
      <c r="K286" s="564"/>
      <c r="L286" s="564"/>
      <c r="M286" s="564"/>
      <c r="N286" s="564"/>
      <c r="O286" s="606"/>
      <c r="P286" s="606"/>
      <c r="Q286" s="398"/>
      <c r="R286" s="398"/>
      <c r="S286" s="398"/>
      <c r="T286" s="398"/>
      <c r="U286" s="398"/>
      <c r="V286" s="738"/>
      <c r="W286" s="738"/>
      <c r="X286" s="738"/>
    </row>
    <row r="287" spans="1:24" ht="15.75" customHeight="1">
      <c r="A287" s="398"/>
      <c r="B287" s="398"/>
      <c r="C287" s="564"/>
      <c r="D287" s="564"/>
      <c r="E287" s="564"/>
      <c r="F287" s="564"/>
      <c r="G287" s="564"/>
      <c r="H287" s="564"/>
      <c r="I287" s="564"/>
      <c r="J287" s="564"/>
      <c r="K287" s="564"/>
      <c r="L287" s="564"/>
      <c r="M287" s="564"/>
      <c r="N287" s="564"/>
      <c r="O287" s="606"/>
      <c r="P287" s="606"/>
      <c r="Q287" s="398"/>
      <c r="R287" s="398"/>
      <c r="S287" s="398"/>
      <c r="T287" s="398"/>
      <c r="U287" s="398"/>
      <c r="V287" s="738"/>
      <c r="W287" s="738"/>
      <c r="X287" s="738"/>
    </row>
    <row r="288" spans="1:24" ht="15.75" customHeight="1">
      <c r="A288" s="398"/>
      <c r="B288" s="398"/>
      <c r="C288" s="564"/>
      <c r="D288" s="564"/>
      <c r="E288" s="564"/>
      <c r="F288" s="564"/>
      <c r="G288" s="564"/>
      <c r="H288" s="564"/>
      <c r="I288" s="564"/>
      <c r="J288" s="564"/>
      <c r="K288" s="564"/>
      <c r="L288" s="564"/>
      <c r="M288" s="564"/>
      <c r="N288" s="564"/>
      <c r="O288" s="606"/>
      <c r="P288" s="606"/>
      <c r="Q288" s="398"/>
      <c r="R288" s="398"/>
      <c r="S288" s="398"/>
      <c r="T288" s="398"/>
      <c r="U288" s="398"/>
      <c r="V288" s="738"/>
      <c r="W288" s="738"/>
      <c r="X288" s="738"/>
    </row>
    <row r="289" spans="1:24" ht="15.75" customHeight="1">
      <c r="A289" s="398"/>
      <c r="B289" s="398"/>
      <c r="C289" s="564"/>
      <c r="D289" s="564"/>
      <c r="E289" s="564"/>
      <c r="F289" s="564"/>
      <c r="G289" s="564"/>
      <c r="H289" s="564"/>
      <c r="I289" s="564"/>
      <c r="J289" s="564"/>
      <c r="K289" s="564"/>
      <c r="L289" s="564"/>
      <c r="M289" s="564"/>
      <c r="N289" s="564"/>
      <c r="O289" s="606"/>
      <c r="P289" s="606"/>
      <c r="Q289" s="398"/>
      <c r="R289" s="398"/>
      <c r="S289" s="398"/>
      <c r="T289" s="398"/>
      <c r="U289" s="398"/>
      <c r="V289" s="738"/>
      <c r="W289" s="738"/>
      <c r="X289" s="738"/>
    </row>
    <row r="290" spans="1:24" ht="15.75" customHeight="1">
      <c r="A290" s="398"/>
      <c r="B290" s="398"/>
      <c r="C290" s="564"/>
      <c r="D290" s="564"/>
      <c r="E290" s="564"/>
      <c r="F290" s="564"/>
      <c r="G290" s="564"/>
      <c r="H290" s="564"/>
      <c r="I290" s="564"/>
      <c r="J290" s="564"/>
      <c r="K290" s="564"/>
      <c r="L290" s="564"/>
      <c r="M290" s="564"/>
      <c r="N290" s="564"/>
      <c r="O290" s="606"/>
      <c r="P290" s="606"/>
      <c r="Q290" s="398"/>
      <c r="R290" s="398"/>
      <c r="S290" s="398"/>
      <c r="T290" s="398"/>
      <c r="U290" s="398"/>
      <c r="V290" s="738"/>
      <c r="W290" s="738"/>
      <c r="X290" s="738"/>
    </row>
    <row r="291" spans="1:24" ht="15.75" customHeight="1">
      <c r="A291" s="398"/>
      <c r="B291" s="398"/>
      <c r="C291" s="564"/>
      <c r="D291" s="564"/>
      <c r="E291" s="564"/>
      <c r="F291" s="564"/>
      <c r="G291" s="564"/>
      <c r="H291" s="564"/>
      <c r="I291" s="564"/>
      <c r="J291" s="564"/>
      <c r="K291" s="564"/>
      <c r="L291" s="564"/>
      <c r="M291" s="564"/>
      <c r="N291" s="564"/>
      <c r="O291" s="606"/>
      <c r="P291" s="606"/>
      <c r="Q291" s="398"/>
      <c r="R291" s="398"/>
      <c r="S291" s="398"/>
      <c r="T291" s="398"/>
      <c r="U291" s="398"/>
      <c r="V291" s="738"/>
      <c r="W291" s="738"/>
      <c r="X291" s="738"/>
    </row>
    <row r="292" spans="1:24" ht="15.75" customHeight="1">
      <c r="A292" s="398"/>
      <c r="B292" s="398"/>
      <c r="C292" s="564"/>
      <c r="D292" s="564"/>
      <c r="E292" s="564"/>
      <c r="F292" s="564"/>
      <c r="G292" s="564"/>
      <c r="H292" s="564"/>
      <c r="I292" s="564"/>
      <c r="J292" s="564"/>
      <c r="K292" s="564"/>
      <c r="L292" s="564"/>
      <c r="M292" s="564"/>
      <c r="N292" s="564"/>
      <c r="O292" s="606"/>
      <c r="P292" s="606"/>
      <c r="Q292" s="398"/>
      <c r="R292" s="398"/>
      <c r="S292" s="398"/>
      <c r="T292" s="398"/>
      <c r="U292" s="398"/>
      <c r="V292" s="738"/>
      <c r="W292" s="738"/>
      <c r="X292" s="738"/>
    </row>
    <row r="293" spans="1:24" ht="15.75" customHeight="1">
      <c r="A293" s="398"/>
      <c r="B293" s="398"/>
      <c r="C293" s="564"/>
      <c r="D293" s="564"/>
      <c r="E293" s="564"/>
      <c r="F293" s="564"/>
      <c r="G293" s="564"/>
      <c r="H293" s="564"/>
      <c r="I293" s="564"/>
      <c r="J293" s="564"/>
      <c r="K293" s="564"/>
      <c r="L293" s="564"/>
      <c r="M293" s="564"/>
      <c r="N293" s="564"/>
      <c r="O293" s="606"/>
      <c r="P293" s="606"/>
      <c r="Q293" s="398"/>
      <c r="R293" s="398"/>
      <c r="S293" s="398"/>
      <c r="T293" s="398"/>
      <c r="U293" s="398"/>
      <c r="V293" s="738"/>
      <c r="W293" s="738"/>
      <c r="X293" s="738"/>
    </row>
    <row r="294" spans="1:24" ht="15.75" customHeight="1">
      <c r="A294" s="398"/>
      <c r="B294" s="398"/>
      <c r="C294" s="564"/>
      <c r="D294" s="564"/>
      <c r="E294" s="564"/>
      <c r="F294" s="564"/>
      <c r="G294" s="564"/>
      <c r="H294" s="564"/>
      <c r="I294" s="564"/>
      <c r="J294" s="564"/>
      <c r="K294" s="564"/>
      <c r="L294" s="564"/>
      <c r="M294" s="564"/>
      <c r="N294" s="564"/>
      <c r="O294" s="606"/>
      <c r="P294" s="606"/>
      <c r="Q294" s="398"/>
      <c r="R294" s="398"/>
      <c r="S294" s="398"/>
      <c r="T294" s="398"/>
      <c r="U294" s="398"/>
      <c r="V294" s="738"/>
      <c r="W294" s="738"/>
      <c r="X294" s="738"/>
    </row>
    <row r="295" spans="1:24" ht="15.75" customHeight="1">
      <c r="A295" s="398"/>
      <c r="B295" s="398"/>
      <c r="C295" s="564"/>
      <c r="D295" s="564"/>
      <c r="E295" s="564"/>
      <c r="F295" s="564"/>
      <c r="G295" s="564"/>
      <c r="H295" s="564"/>
      <c r="I295" s="564"/>
      <c r="J295" s="564"/>
      <c r="K295" s="564"/>
      <c r="L295" s="564"/>
      <c r="M295" s="564"/>
      <c r="N295" s="564"/>
      <c r="O295" s="606"/>
      <c r="P295" s="606"/>
      <c r="Q295" s="398"/>
      <c r="R295" s="398"/>
      <c r="S295" s="398"/>
      <c r="T295" s="398"/>
      <c r="U295" s="398"/>
      <c r="V295" s="738"/>
      <c r="W295" s="738"/>
      <c r="X295" s="738"/>
    </row>
    <row r="296" spans="1:24" ht="15.75" customHeight="1">
      <c r="A296" s="398"/>
      <c r="B296" s="398"/>
      <c r="C296" s="564"/>
      <c r="D296" s="564"/>
      <c r="E296" s="564"/>
      <c r="F296" s="564"/>
      <c r="G296" s="564"/>
      <c r="H296" s="564"/>
      <c r="I296" s="564"/>
      <c r="J296" s="564"/>
      <c r="K296" s="564"/>
      <c r="L296" s="564"/>
      <c r="M296" s="564"/>
      <c r="N296" s="564"/>
      <c r="O296" s="606"/>
      <c r="P296" s="606"/>
      <c r="Q296" s="398"/>
      <c r="R296" s="398"/>
      <c r="S296" s="398"/>
      <c r="T296" s="398"/>
      <c r="U296" s="398"/>
      <c r="V296" s="738"/>
      <c r="W296" s="738"/>
      <c r="X296" s="738"/>
    </row>
    <row r="297" spans="1:24" ht="15.75" customHeight="1">
      <c r="A297" s="398"/>
      <c r="B297" s="398"/>
      <c r="C297" s="564"/>
      <c r="D297" s="564"/>
      <c r="E297" s="564"/>
      <c r="F297" s="564"/>
      <c r="G297" s="564"/>
      <c r="H297" s="564"/>
      <c r="I297" s="564"/>
      <c r="J297" s="564"/>
      <c r="K297" s="564"/>
      <c r="L297" s="564"/>
      <c r="M297" s="564"/>
      <c r="N297" s="564"/>
      <c r="O297" s="606"/>
      <c r="P297" s="606"/>
      <c r="Q297" s="398"/>
      <c r="R297" s="398"/>
      <c r="S297" s="398"/>
      <c r="T297" s="398"/>
      <c r="U297" s="398"/>
      <c r="V297" s="738"/>
      <c r="W297" s="738"/>
      <c r="X297" s="738"/>
    </row>
    <row r="298" spans="1:24" ht="15.75" customHeight="1">
      <c r="A298" s="398"/>
      <c r="B298" s="398"/>
      <c r="C298" s="564"/>
      <c r="D298" s="564"/>
      <c r="E298" s="564"/>
      <c r="F298" s="564"/>
      <c r="G298" s="564"/>
      <c r="H298" s="564"/>
      <c r="I298" s="564"/>
      <c r="J298" s="564"/>
      <c r="K298" s="564"/>
      <c r="L298" s="564"/>
      <c r="M298" s="564"/>
      <c r="N298" s="564"/>
      <c r="O298" s="606"/>
      <c r="P298" s="606"/>
      <c r="Q298" s="398"/>
      <c r="R298" s="398"/>
      <c r="S298" s="398"/>
      <c r="T298" s="398"/>
      <c r="U298" s="398"/>
      <c r="V298" s="738"/>
      <c r="W298" s="738"/>
      <c r="X298" s="738"/>
    </row>
    <row r="299" spans="1:24" ht="15.75" customHeight="1">
      <c r="A299" s="398"/>
      <c r="B299" s="398"/>
      <c r="C299" s="564"/>
      <c r="D299" s="564"/>
      <c r="E299" s="564"/>
      <c r="F299" s="564"/>
      <c r="G299" s="564"/>
      <c r="H299" s="564"/>
      <c r="I299" s="564"/>
      <c r="J299" s="564"/>
      <c r="K299" s="564"/>
      <c r="L299" s="564"/>
      <c r="M299" s="564"/>
      <c r="N299" s="564"/>
      <c r="O299" s="606"/>
      <c r="P299" s="606"/>
      <c r="Q299" s="398"/>
      <c r="R299" s="398"/>
      <c r="S299" s="398"/>
      <c r="T299" s="398"/>
      <c r="U299" s="398"/>
      <c r="V299" s="738"/>
      <c r="W299" s="738"/>
      <c r="X299" s="738"/>
    </row>
    <row r="300" spans="1:24" ht="15.75" customHeight="1">
      <c r="A300" s="398"/>
      <c r="B300" s="398"/>
      <c r="C300" s="564"/>
      <c r="D300" s="564"/>
      <c r="E300" s="564"/>
      <c r="F300" s="564"/>
      <c r="G300" s="564"/>
      <c r="H300" s="564"/>
      <c r="I300" s="564"/>
      <c r="J300" s="564"/>
      <c r="K300" s="564"/>
      <c r="L300" s="564"/>
      <c r="M300" s="564"/>
      <c r="N300" s="564"/>
      <c r="O300" s="606"/>
      <c r="P300" s="606"/>
      <c r="Q300" s="398"/>
      <c r="R300" s="398"/>
      <c r="S300" s="398"/>
      <c r="T300" s="398"/>
      <c r="U300" s="398"/>
      <c r="V300" s="738"/>
      <c r="W300" s="738"/>
      <c r="X300" s="738"/>
    </row>
    <row r="301" spans="1:24" ht="15.75" customHeight="1">
      <c r="A301" s="398"/>
      <c r="B301" s="398"/>
      <c r="C301" s="564"/>
      <c r="D301" s="564"/>
      <c r="E301" s="564"/>
      <c r="F301" s="564"/>
      <c r="G301" s="564"/>
      <c r="H301" s="564"/>
      <c r="I301" s="564"/>
      <c r="J301" s="564"/>
      <c r="K301" s="564"/>
      <c r="L301" s="564"/>
      <c r="M301" s="564"/>
      <c r="N301" s="564"/>
      <c r="O301" s="606"/>
      <c r="P301" s="606"/>
      <c r="Q301" s="398"/>
      <c r="R301" s="398"/>
      <c r="S301" s="398"/>
      <c r="T301" s="398"/>
      <c r="U301" s="398"/>
      <c r="V301" s="738"/>
      <c r="W301" s="738"/>
      <c r="X301" s="738"/>
    </row>
    <row r="302" spans="1:24" ht="15.75" customHeight="1">
      <c r="A302" s="398"/>
      <c r="B302" s="398"/>
      <c r="C302" s="564"/>
      <c r="D302" s="564"/>
      <c r="E302" s="564"/>
      <c r="F302" s="564"/>
      <c r="G302" s="564"/>
      <c r="H302" s="564"/>
      <c r="I302" s="564"/>
      <c r="J302" s="564"/>
      <c r="K302" s="564"/>
      <c r="L302" s="564"/>
      <c r="M302" s="564"/>
      <c r="N302" s="564"/>
      <c r="O302" s="606"/>
      <c r="P302" s="606"/>
      <c r="Q302" s="398"/>
      <c r="R302" s="398"/>
      <c r="S302" s="398"/>
      <c r="T302" s="398"/>
      <c r="U302" s="398"/>
      <c r="V302" s="738"/>
      <c r="W302" s="738"/>
      <c r="X302" s="738"/>
    </row>
    <row r="303" spans="1:24" ht="15.75" customHeight="1">
      <c r="A303" s="398"/>
      <c r="B303" s="398"/>
      <c r="C303" s="564"/>
      <c r="D303" s="564"/>
      <c r="E303" s="564"/>
      <c r="F303" s="564"/>
      <c r="G303" s="564"/>
      <c r="H303" s="564"/>
      <c r="I303" s="564"/>
      <c r="J303" s="564"/>
      <c r="K303" s="564"/>
      <c r="L303" s="564"/>
      <c r="M303" s="564"/>
      <c r="N303" s="564"/>
      <c r="O303" s="606"/>
      <c r="P303" s="606"/>
      <c r="Q303" s="398"/>
      <c r="R303" s="398"/>
      <c r="S303" s="398"/>
      <c r="T303" s="398"/>
      <c r="U303" s="398"/>
      <c r="V303" s="738"/>
      <c r="W303" s="738"/>
      <c r="X303" s="738"/>
    </row>
    <row r="304" spans="1:24" ht="15.75" customHeight="1">
      <c r="A304" s="398"/>
      <c r="B304" s="398"/>
      <c r="C304" s="564"/>
      <c r="D304" s="564"/>
      <c r="E304" s="564"/>
      <c r="F304" s="564"/>
      <c r="G304" s="564"/>
      <c r="H304" s="564"/>
      <c r="I304" s="564"/>
      <c r="J304" s="564"/>
      <c r="K304" s="564"/>
      <c r="L304" s="564"/>
      <c r="M304" s="564"/>
      <c r="N304" s="564"/>
      <c r="O304" s="606"/>
      <c r="P304" s="606"/>
      <c r="Q304" s="398"/>
      <c r="R304" s="398"/>
      <c r="S304" s="398"/>
      <c r="T304" s="398"/>
      <c r="U304" s="398"/>
      <c r="V304" s="738"/>
      <c r="W304" s="738"/>
      <c r="X304" s="738"/>
    </row>
    <row r="305" spans="1:24" ht="15.75" customHeight="1">
      <c r="A305" s="398"/>
      <c r="B305" s="398"/>
      <c r="C305" s="564"/>
      <c r="D305" s="564"/>
      <c r="E305" s="564"/>
      <c r="F305" s="564"/>
      <c r="G305" s="564"/>
      <c r="H305" s="564"/>
      <c r="I305" s="564"/>
      <c r="J305" s="564"/>
      <c r="K305" s="564"/>
      <c r="L305" s="564"/>
      <c r="M305" s="564"/>
      <c r="N305" s="564"/>
      <c r="O305" s="606"/>
      <c r="P305" s="606"/>
      <c r="Q305" s="398"/>
      <c r="R305" s="398"/>
      <c r="S305" s="398"/>
      <c r="T305" s="398"/>
      <c r="U305" s="398"/>
      <c r="V305" s="738"/>
      <c r="W305" s="738"/>
      <c r="X305" s="738"/>
    </row>
    <row r="306" spans="1:24" ht="15.75" customHeight="1">
      <c r="A306" s="398"/>
      <c r="B306" s="398"/>
      <c r="C306" s="564"/>
      <c r="D306" s="564"/>
      <c r="E306" s="564"/>
      <c r="F306" s="564"/>
      <c r="G306" s="564"/>
      <c r="H306" s="564"/>
      <c r="I306" s="564"/>
      <c r="J306" s="564"/>
      <c r="K306" s="564"/>
      <c r="L306" s="564"/>
      <c r="M306" s="564"/>
      <c r="N306" s="564"/>
      <c r="O306" s="606"/>
      <c r="P306" s="606"/>
      <c r="Q306" s="398"/>
      <c r="R306" s="398"/>
      <c r="S306" s="398"/>
      <c r="T306" s="398"/>
      <c r="U306" s="398"/>
      <c r="V306" s="738"/>
      <c r="W306" s="738"/>
      <c r="X306" s="738"/>
    </row>
    <row r="307" spans="1:24" ht="15.75" customHeight="1">
      <c r="A307" s="398"/>
      <c r="B307" s="398"/>
      <c r="C307" s="564"/>
      <c r="D307" s="564"/>
      <c r="E307" s="564"/>
      <c r="F307" s="564"/>
      <c r="G307" s="564"/>
      <c r="H307" s="564"/>
      <c r="I307" s="564"/>
      <c r="J307" s="564"/>
      <c r="K307" s="564"/>
      <c r="L307" s="564"/>
      <c r="M307" s="564"/>
      <c r="N307" s="564"/>
      <c r="O307" s="606"/>
      <c r="P307" s="606"/>
      <c r="Q307" s="398"/>
      <c r="R307" s="398"/>
      <c r="S307" s="398"/>
      <c r="T307" s="398"/>
      <c r="U307" s="398"/>
      <c r="V307" s="738"/>
      <c r="W307" s="738"/>
      <c r="X307" s="738"/>
    </row>
    <row r="308" spans="1:24" ht="15.75" customHeight="1">
      <c r="A308" s="398"/>
      <c r="B308" s="398"/>
      <c r="C308" s="564"/>
      <c r="D308" s="564"/>
      <c r="E308" s="564"/>
      <c r="F308" s="564"/>
      <c r="G308" s="564"/>
      <c r="H308" s="564"/>
      <c r="I308" s="564"/>
      <c r="J308" s="564"/>
      <c r="K308" s="564"/>
      <c r="L308" s="564"/>
      <c r="M308" s="564"/>
      <c r="N308" s="564"/>
      <c r="O308" s="606"/>
      <c r="P308" s="606"/>
      <c r="Q308" s="398"/>
      <c r="R308" s="398"/>
      <c r="S308" s="398"/>
      <c r="T308" s="398"/>
      <c r="U308" s="398"/>
      <c r="V308" s="738"/>
      <c r="W308" s="738"/>
      <c r="X308" s="738"/>
    </row>
    <row r="309" spans="1:24" ht="15.75" customHeight="1">
      <c r="A309" s="398"/>
      <c r="B309" s="398"/>
      <c r="C309" s="564"/>
      <c r="D309" s="564"/>
      <c r="E309" s="564"/>
      <c r="F309" s="564"/>
      <c r="G309" s="564"/>
      <c r="H309" s="564"/>
      <c r="I309" s="564"/>
      <c r="J309" s="564"/>
      <c r="K309" s="564"/>
      <c r="L309" s="564"/>
      <c r="M309" s="564"/>
      <c r="N309" s="564"/>
      <c r="O309" s="606"/>
      <c r="P309" s="606"/>
      <c r="Q309" s="398"/>
      <c r="R309" s="398"/>
      <c r="S309" s="398"/>
      <c r="T309" s="398"/>
      <c r="U309" s="398"/>
      <c r="V309" s="738"/>
      <c r="W309" s="738"/>
      <c r="X309" s="738"/>
    </row>
    <row r="310" spans="1:24" ht="15.75" customHeight="1">
      <c r="A310" s="398"/>
      <c r="B310" s="398"/>
      <c r="C310" s="564"/>
      <c r="D310" s="564"/>
      <c r="E310" s="564"/>
      <c r="F310" s="564"/>
      <c r="G310" s="564"/>
      <c r="H310" s="564"/>
      <c r="I310" s="564"/>
      <c r="J310" s="564"/>
      <c r="K310" s="564"/>
      <c r="L310" s="564"/>
      <c r="M310" s="564"/>
      <c r="N310" s="564"/>
      <c r="O310" s="606"/>
      <c r="P310" s="606"/>
      <c r="Q310" s="398"/>
      <c r="R310" s="398"/>
      <c r="S310" s="398"/>
      <c r="T310" s="398"/>
      <c r="U310" s="398"/>
      <c r="V310" s="738"/>
      <c r="W310" s="738"/>
      <c r="X310" s="738"/>
    </row>
    <row r="311" spans="1:24" ht="15.75" customHeight="1">
      <c r="A311" s="398"/>
      <c r="B311" s="398"/>
      <c r="C311" s="564"/>
      <c r="D311" s="564"/>
      <c r="E311" s="564"/>
      <c r="F311" s="564"/>
      <c r="G311" s="564"/>
      <c r="H311" s="564"/>
      <c r="I311" s="564"/>
      <c r="J311" s="564"/>
      <c r="K311" s="564"/>
      <c r="L311" s="564"/>
      <c r="M311" s="564"/>
      <c r="N311" s="564"/>
      <c r="O311" s="606"/>
      <c r="P311" s="606"/>
      <c r="Q311" s="398"/>
      <c r="R311" s="398"/>
      <c r="S311" s="398"/>
      <c r="T311" s="398"/>
      <c r="U311" s="398"/>
      <c r="V311" s="738"/>
      <c r="W311" s="738"/>
      <c r="X311" s="738"/>
    </row>
    <row r="312" spans="1:24" ht="15.75" customHeight="1">
      <c r="A312" s="398"/>
      <c r="B312" s="398"/>
      <c r="C312" s="564"/>
      <c r="D312" s="564"/>
      <c r="E312" s="564"/>
      <c r="F312" s="564"/>
      <c r="G312" s="564"/>
      <c r="H312" s="564"/>
      <c r="I312" s="564"/>
      <c r="J312" s="564"/>
      <c r="K312" s="564"/>
      <c r="L312" s="564"/>
      <c r="M312" s="564"/>
      <c r="N312" s="564"/>
      <c r="O312" s="606"/>
      <c r="P312" s="606"/>
      <c r="Q312" s="398"/>
      <c r="R312" s="398"/>
      <c r="S312" s="398"/>
      <c r="T312" s="398"/>
      <c r="U312" s="398"/>
      <c r="V312" s="738"/>
      <c r="W312" s="738"/>
      <c r="X312" s="738"/>
    </row>
    <row r="313" spans="1:24" ht="15.75" customHeight="1">
      <c r="A313" s="398"/>
      <c r="B313" s="398"/>
      <c r="C313" s="564"/>
      <c r="D313" s="564"/>
      <c r="E313" s="564"/>
      <c r="F313" s="564"/>
      <c r="G313" s="564"/>
      <c r="H313" s="564"/>
      <c r="I313" s="564"/>
      <c r="J313" s="564"/>
      <c r="K313" s="564"/>
      <c r="L313" s="564"/>
      <c r="M313" s="564"/>
      <c r="N313" s="564"/>
      <c r="O313" s="606"/>
      <c r="P313" s="606"/>
      <c r="Q313" s="398"/>
      <c r="R313" s="398"/>
      <c r="S313" s="398"/>
      <c r="T313" s="398"/>
      <c r="U313" s="398"/>
      <c r="V313" s="738"/>
      <c r="W313" s="738"/>
      <c r="X313" s="738"/>
    </row>
    <row r="314" spans="1:24" ht="15.75" customHeight="1">
      <c r="A314" s="398"/>
      <c r="B314" s="398"/>
      <c r="C314" s="564"/>
      <c r="D314" s="564"/>
      <c r="E314" s="564"/>
      <c r="F314" s="564"/>
      <c r="G314" s="564"/>
      <c r="H314" s="564"/>
      <c r="I314" s="564"/>
      <c r="J314" s="564"/>
      <c r="K314" s="564"/>
      <c r="L314" s="564"/>
      <c r="M314" s="564"/>
      <c r="N314" s="564"/>
      <c r="O314" s="606"/>
      <c r="P314" s="606"/>
      <c r="Q314" s="398"/>
      <c r="R314" s="398"/>
      <c r="S314" s="398"/>
      <c r="T314" s="398"/>
      <c r="U314" s="398"/>
      <c r="V314" s="738"/>
      <c r="W314" s="738"/>
      <c r="X314" s="738"/>
    </row>
    <row r="315" spans="1:24" ht="15.75" customHeight="1">
      <c r="A315" s="398"/>
      <c r="B315" s="398"/>
      <c r="C315" s="564"/>
      <c r="D315" s="564"/>
      <c r="E315" s="564"/>
      <c r="F315" s="564"/>
      <c r="G315" s="564"/>
      <c r="H315" s="564"/>
      <c r="I315" s="564"/>
      <c r="J315" s="564"/>
      <c r="K315" s="564"/>
      <c r="L315" s="564"/>
      <c r="M315" s="564"/>
      <c r="N315" s="564"/>
      <c r="O315" s="606"/>
      <c r="P315" s="606"/>
      <c r="Q315" s="398"/>
      <c r="R315" s="398"/>
      <c r="S315" s="398"/>
      <c r="T315" s="398"/>
      <c r="U315" s="398"/>
      <c r="V315" s="738"/>
      <c r="W315" s="738"/>
      <c r="X315" s="738"/>
    </row>
    <row r="316" spans="1:24" ht="15.75" customHeight="1">
      <c r="A316" s="398"/>
      <c r="B316" s="398"/>
      <c r="C316" s="564"/>
      <c r="D316" s="564"/>
      <c r="E316" s="564"/>
      <c r="F316" s="564"/>
      <c r="G316" s="564"/>
      <c r="H316" s="564"/>
      <c r="I316" s="564"/>
      <c r="J316" s="564"/>
      <c r="K316" s="564"/>
      <c r="L316" s="564"/>
      <c r="M316" s="564"/>
      <c r="N316" s="564"/>
      <c r="O316" s="606"/>
      <c r="P316" s="606"/>
      <c r="Q316" s="398"/>
      <c r="R316" s="398"/>
      <c r="S316" s="398"/>
      <c r="T316" s="398"/>
      <c r="U316" s="398"/>
      <c r="V316" s="738"/>
      <c r="W316" s="738"/>
      <c r="X316" s="738"/>
    </row>
    <row r="317" spans="1:24" ht="15.75" customHeight="1">
      <c r="A317" s="398"/>
      <c r="B317" s="398"/>
      <c r="C317" s="564"/>
      <c r="D317" s="564"/>
      <c r="E317" s="564"/>
      <c r="F317" s="564"/>
      <c r="G317" s="564"/>
      <c r="H317" s="564"/>
      <c r="I317" s="564"/>
      <c r="J317" s="564"/>
      <c r="K317" s="564"/>
      <c r="L317" s="564"/>
      <c r="M317" s="564"/>
      <c r="N317" s="564"/>
      <c r="O317" s="606"/>
      <c r="P317" s="606"/>
      <c r="Q317" s="398"/>
      <c r="R317" s="398"/>
      <c r="S317" s="398"/>
      <c r="T317" s="398"/>
      <c r="U317" s="398"/>
      <c r="V317" s="738"/>
      <c r="W317" s="738"/>
      <c r="X317" s="738"/>
    </row>
    <row r="318" spans="1:24" ht="15.75" customHeight="1">
      <c r="A318" s="398"/>
      <c r="B318" s="398"/>
      <c r="C318" s="564"/>
      <c r="D318" s="564"/>
      <c r="E318" s="564"/>
      <c r="F318" s="564"/>
      <c r="G318" s="564"/>
      <c r="H318" s="564"/>
      <c r="I318" s="564"/>
      <c r="J318" s="564"/>
      <c r="K318" s="564"/>
      <c r="L318" s="564"/>
      <c r="M318" s="564"/>
      <c r="N318" s="564"/>
      <c r="O318" s="606"/>
      <c r="P318" s="606"/>
      <c r="Q318" s="398"/>
      <c r="R318" s="398"/>
      <c r="S318" s="398"/>
      <c r="T318" s="398"/>
      <c r="U318" s="398"/>
      <c r="V318" s="738"/>
      <c r="W318" s="738"/>
      <c r="X318" s="738"/>
    </row>
    <row r="319" spans="1:24" ht="15.75" customHeight="1">
      <c r="A319" s="398"/>
      <c r="B319" s="398"/>
      <c r="C319" s="564"/>
      <c r="D319" s="564"/>
      <c r="E319" s="564"/>
      <c r="F319" s="564"/>
      <c r="G319" s="564"/>
      <c r="H319" s="564"/>
      <c r="I319" s="564"/>
      <c r="J319" s="564"/>
      <c r="K319" s="564"/>
      <c r="L319" s="564"/>
      <c r="M319" s="564"/>
      <c r="N319" s="564"/>
      <c r="O319" s="606"/>
      <c r="P319" s="606"/>
      <c r="Q319" s="398"/>
      <c r="R319" s="398"/>
      <c r="S319" s="398"/>
      <c r="T319" s="398"/>
      <c r="U319" s="398"/>
      <c r="V319" s="738"/>
      <c r="W319" s="738"/>
      <c r="X319" s="738"/>
    </row>
    <row r="320" spans="1:24" ht="15.75" customHeight="1">
      <c r="A320" s="398"/>
      <c r="B320" s="398"/>
      <c r="C320" s="564"/>
      <c r="D320" s="564"/>
      <c r="E320" s="564"/>
      <c r="F320" s="564"/>
      <c r="G320" s="564"/>
      <c r="H320" s="564"/>
      <c r="I320" s="564"/>
      <c r="J320" s="564"/>
      <c r="K320" s="564"/>
      <c r="L320" s="564"/>
      <c r="M320" s="564"/>
      <c r="N320" s="564"/>
      <c r="O320" s="606"/>
      <c r="P320" s="606"/>
      <c r="Q320" s="398"/>
      <c r="R320" s="398"/>
      <c r="S320" s="398"/>
      <c r="T320" s="398"/>
      <c r="U320" s="398"/>
      <c r="V320" s="738"/>
      <c r="W320" s="738"/>
      <c r="X320" s="738"/>
    </row>
    <row r="321" spans="1:24" ht="15.75" customHeight="1">
      <c r="A321" s="398"/>
      <c r="B321" s="398"/>
      <c r="C321" s="564"/>
      <c r="D321" s="564"/>
      <c r="E321" s="564"/>
      <c r="F321" s="564"/>
      <c r="G321" s="564"/>
      <c r="H321" s="564"/>
      <c r="I321" s="564"/>
      <c r="J321" s="564"/>
      <c r="K321" s="564"/>
      <c r="L321" s="564"/>
      <c r="M321" s="564"/>
      <c r="N321" s="564"/>
      <c r="O321" s="606"/>
      <c r="P321" s="606"/>
      <c r="Q321" s="398"/>
      <c r="R321" s="398"/>
      <c r="S321" s="398"/>
      <c r="T321" s="398"/>
      <c r="U321" s="398"/>
      <c r="V321" s="738"/>
      <c r="W321" s="738"/>
      <c r="X321" s="738"/>
    </row>
    <row r="322" spans="1:24" ht="15.75" customHeight="1">
      <c r="A322" s="398"/>
      <c r="B322" s="398"/>
      <c r="C322" s="564"/>
      <c r="D322" s="564"/>
      <c r="E322" s="564"/>
      <c r="F322" s="564"/>
      <c r="G322" s="564"/>
      <c r="H322" s="564"/>
      <c r="I322" s="564"/>
      <c r="J322" s="564"/>
      <c r="K322" s="564"/>
      <c r="L322" s="564"/>
      <c r="M322" s="564"/>
      <c r="N322" s="564"/>
      <c r="O322" s="606"/>
      <c r="P322" s="606"/>
      <c r="Q322" s="398"/>
      <c r="R322" s="398"/>
      <c r="S322" s="398"/>
      <c r="T322" s="398"/>
      <c r="U322" s="398"/>
      <c r="V322" s="738"/>
      <c r="W322" s="738"/>
      <c r="X322" s="738"/>
    </row>
    <row r="323" spans="1:24" ht="15.75" customHeight="1">
      <c r="A323" s="398"/>
      <c r="B323" s="398"/>
      <c r="C323" s="564"/>
      <c r="D323" s="564"/>
      <c r="E323" s="564"/>
      <c r="F323" s="564"/>
      <c r="G323" s="564"/>
      <c r="H323" s="564"/>
      <c r="I323" s="564"/>
      <c r="J323" s="564"/>
      <c r="K323" s="564"/>
      <c r="L323" s="564"/>
      <c r="M323" s="564"/>
      <c r="N323" s="564"/>
      <c r="O323" s="606"/>
      <c r="P323" s="606"/>
      <c r="Q323" s="398"/>
      <c r="R323" s="398"/>
      <c r="S323" s="398"/>
      <c r="T323" s="398"/>
      <c r="U323" s="398"/>
      <c r="V323" s="738"/>
      <c r="W323" s="738"/>
      <c r="X323" s="738"/>
    </row>
    <row r="324" spans="1:24" ht="15.75" customHeight="1">
      <c r="A324" s="398"/>
      <c r="B324" s="398"/>
      <c r="C324" s="564"/>
      <c r="D324" s="564"/>
      <c r="E324" s="564"/>
      <c r="F324" s="564"/>
      <c r="G324" s="564"/>
      <c r="H324" s="564"/>
      <c r="I324" s="564"/>
      <c r="J324" s="564"/>
      <c r="K324" s="564"/>
      <c r="L324" s="564"/>
      <c r="M324" s="564"/>
      <c r="N324" s="564"/>
      <c r="O324" s="606"/>
      <c r="P324" s="606"/>
      <c r="Q324" s="398"/>
      <c r="R324" s="398"/>
      <c r="S324" s="398"/>
      <c r="T324" s="398"/>
      <c r="U324" s="398"/>
      <c r="V324" s="738"/>
      <c r="W324" s="738"/>
      <c r="X324" s="738"/>
    </row>
    <row r="325" spans="1:24" ht="15.75" customHeight="1">
      <c r="A325" s="398"/>
      <c r="B325" s="398"/>
      <c r="C325" s="564"/>
      <c r="D325" s="564"/>
      <c r="E325" s="564"/>
      <c r="F325" s="564"/>
      <c r="G325" s="564"/>
      <c r="H325" s="564"/>
      <c r="I325" s="564"/>
      <c r="J325" s="564"/>
      <c r="K325" s="564"/>
      <c r="L325" s="564"/>
      <c r="M325" s="564"/>
      <c r="N325" s="564"/>
      <c r="O325" s="606"/>
      <c r="P325" s="606"/>
      <c r="Q325" s="398"/>
      <c r="R325" s="398"/>
      <c r="S325" s="398"/>
      <c r="T325" s="398"/>
      <c r="U325" s="398"/>
      <c r="V325" s="738"/>
      <c r="W325" s="738"/>
      <c r="X325" s="738"/>
    </row>
    <row r="326" spans="1:24" ht="15.75" customHeight="1">
      <c r="A326" s="398"/>
      <c r="B326" s="398"/>
      <c r="C326" s="564"/>
      <c r="D326" s="564"/>
      <c r="E326" s="564"/>
      <c r="F326" s="564"/>
      <c r="G326" s="564"/>
      <c r="H326" s="564"/>
      <c r="I326" s="564"/>
      <c r="J326" s="564"/>
      <c r="K326" s="564"/>
      <c r="L326" s="564"/>
      <c r="M326" s="564"/>
      <c r="N326" s="564"/>
      <c r="O326" s="606"/>
      <c r="P326" s="606"/>
      <c r="Q326" s="398"/>
      <c r="R326" s="398"/>
      <c r="S326" s="398"/>
      <c r="T326" s="398"/>
      <c r="U326" s="398"/>
      <c r="V326" s="738"/>
      <c r="W326" s="738"/>
      <c r="X326" s="738"/>
    </row>
    <row r="327" spans="1:24" ht="15.75" customHeight="1">
      <c r="A327" s="398"/>
      <c r="B327" s="398"/>
      <c r="C327" s="564"/>
      <c r="D327" s="564"/>
      <c r="E327" s="564"/>
      <c r="F327" s="564"/>
      <c r="G327" s="564"/>
      <c r="H327" s="564"/>
      <c r="I327" s="564"/>
      <c r="J327" s="564"/>
      <c r="K327" s="564"/>
      <c r="L327" s="564"/>
      <c r="M327" s="564"/>
      <c r="N327" s="564"/>
      <c r="O327" s="606"/>
      <c r="P327" s="606"/>
      <c r="Q327" s="398"/>
      <c r="R327" s="398"/>
      <c r="S327" s="398"/>
      <c r="T327" s="398"/>
      <c r="U327" s="398"/>
      <c r="V327" s="738"/>
      <c r="W327" s="738"/>
      <c r="X327" s="738"/>
    </row>
    <row r="328" spans="1:24" ht="15.75" customHeight="1">
      <c r="A328" s="398"/>
      <c r="B328" s="398"/>
      <c r="C328" s="564"/>
      <c r="D328" s="564"/>
      <c r="E328" s="564"/>
      <c r="F328" s="564"/>
      <c r="G328" s="564"/>
      <c r="H328" s="564"/>
      <c r="I328" s="564"/>
      <c r="J328" s="564"/>
      <c r="K328" s="564"/>
      <c r="L328" s="564"/>
      <c r="M328" s="564"/>
      <c r="N328" s="564"/>
      <c r="O328" s="606"/>
      <c r="P328" s="606"/>
      <c r="Q328" s="398"/>
      <c r="R328" s="398"/>
      <c r="S328" s="398"/>
      <c r="T328" s="398"/>
      <c r="U328" s="398"/>
      <c r="V328" s="738"/>
      <c r="W328" s="738"/>
      <c r="X328" s="738"/>
    </row>
    <row r="329" spans="1:24" ht="15.75" customHeight="1">
      <c r="A329" s="398"/>
      <c r="B329" s="398"/>
      <c r="C329" s="564"/>
      <c r="D329" s="564"/>
      <c r="E329" s="564"/>
      <c r="F329" s="564"/>
      <c r="G329" s="564"/>
      <c r="H329" s="564"/>
      <c r="I329" s="564"/>
      <c r="J329" s="564"/>
      <c r="K329" s="564"/>
      <c r="L329" s="564"/>
      <c r="M329" s="564"/>
      <c r="N329" s="564"/>
      <c r="O329" s="606"/>
      <c r="P329" s="606"/>
      <c r="Q329" s="398"/>
      <c r="R329" s="398"/>
      <c r="S329" s="398"/>
      <c r="T329" s="398"/>
      <c r="U329" s="398"/>
      <c r="V329" s="738"/>
      <c r="W329" s="738"/>
      <c r="X329" s="738"/>
    </row>
    <row r="330" spans="1:24" ht="15.75" customHeight="1">
      <c r="A330" s="398"/>
      <c r="B330" s="398"/>
      <c r="C330" s="564"/>
      <c r="D330" s="564"/>
      <c r="E330" s="564"/>
      <c r="F330" s="564"/>
      <c r="G330" s="564"/>
      <c r="H330" s="564"/>
      <c r="I330" s="564"/>
      <c r="J330" s="564"/>
      <c r="K330" s="564"/>
      <c r="L330" s="564"/>
      <c r="M330" s="564"/>
      <c r="N330" s="564"/>
      <c r="O330" s="606"/>
      <c r="P330" s="606"/>
      <c r="Q330" s="398"/>
      <c r="R330" s="398"/>
      <c r="S330" s="398"/>
      <c r="T330" s="398"/>
      <c r="U330" s="398"/>
      <c r="V330" s="738"/>
      <c r="W330" s="738"/>
      <c r="X330" s="738"/>
    </row>
    <row r="331" spans="1:24" ht="15.75" customHeight="1">
      <c r="A331" s="398"/>
      <c r="B331" s="398"/>
      <c r="C331" s="564"/>
      <c r="D331" s="564"/>
      <c r="E331" s="564"/>
      <c r="F331" s="564"/>
      <c r="G331" s="564"/>
      <c r="H331" s="564"/>
      <c r="I331" s="564"/>
      <c r="J331" s="564"/>
      <c r="K331" s="564"/>
      <c r="L331" s="564"/>
      <c r="M331" s="564"/>
      <c r="N331" s="564"/>
      <c r="O331" s="606"/>
      <c r="P331" s="606"/>
      <c r="Q331" s="398"/>
      <c r="R331" s="398"/>
      <c r="S331" s="398"/>
      <c r="T331" s="398"/>
      <c r="U331" s="398"/>
      <c r="V331" s="738"/>
      <c r="W331" s="738"/>
      <c r="X331" s="738"/>
    </row>
    <row r="332" spans="1:24" ht="15.75" customHeight="1">
      <c r="A332" s="398"/>
      <c r="B332" s="398"/>
      <c r="C332" s="564"/>
      <c r="D332" s="564"/>
      <c r="E332" s="564"/>
      <c r="F332" s="564"/>
      <c r="G332" s="564"/>
      <c r="H332" s="564"/>
      <c r="I332" s="564"/>
      <c r="J332" s="564"/>
      <c r="K332" s="564"/>
      <c r="L332" s="564"/>
      <c r="M332" s="564"/>
      <c r="N332" s="564"/>
      <c r="O332" s="606"/>
      <c r="P332" s="606"/>
      <c r="Q332" s="398"/>
      <c r="R332" s="398"/>
      <c r="S332" s="398"/>
      <c r="T332" s="398"/>
      <c r="U332" s="398"/>
      <c r="V332" s="738"/>
      <c r="W332" s="738"/>
      <c r="X332" s="738"/>
    </row>
    <row r="333" spans="1:24" ht="15.75" customHeight="1">
      <c r="A333" s="398"/>
      <c r="B333" s="398"/>
      <c r="C333" s="564"/>
      <c r="D333" s="564"/>
      <c r="E333" s="564"/>
      <c r="F333" s="564"/>
      <c r="G333" s="564"/>
      <c r="H333" s="564"/>
      <c r="I333" s="564"/>
      <c r="J333" s="564"/>
      <c r="K333" s="564"/>
      <c r="L333" s="564"/>
      <c r="M333" s="564"/>
      <c r="N333" s="564"/>
      <c r="O333" s="606"/>
      <c r="P333" s="606"/>
      <c r="Q333" s="398"/>
      <c r="R333" s="398"/>
      <c r="S333" s="398"/>
      <c r="T333" s="398"/>
      <c r="U333" s="398"/>
      <c r="V333" s="738"/>
      <c r="W333" s="738"/>
      <c r="X333" s="738"/>
    </row>
    <row r="334" spans="1:24" ht="15.75" customHeight="1">
      <c r="A334" s="398"/>
      <c r="B334" s="398"/>
      <c r="C334" s="564"/>
      <c r="D334" s="564"/>
      <c r="E334" s="564"/>
      <c r="F334" s="564"/>
      <c r="G334" s="564"/>
      <c r="H334" s="564"/>
      <c r="I334" s="564"/>
      <c r="J334" s="564"/>
      <c r="K334" s="564"/>
      <c r="L334" s="564"/>
      <c r="M334" s="564"/>
      <c r="N334" s="564"/>
      <c r="O334" s="606"/>
      <c r="P334" s="606"/>
      <c r="Q334" s="398"/>
      <c r="R334" s="398"/>
      <c r="S334" s="398"/>
      <c r="T334" s="398"/>
      <c r="U334" s="398"/>
      <c r="V334" s="738"/>
      <c r="W334" s="738"/>
      <c r="X334" s="738"/>
    </row>
    <row r="335" spans="1:24" ht="15.75" customHeight="1">
      <c r="A335" s="398"/>
      <c r="B335" s="398"/>
      <c r="C335" s="564"/>
      <c r="D335" s="564"/>
      <c r="E335" s="564"/>
      <c r="F335" s="564"/>
      <c r="G335" s="564"/>
      <c r="H335" s="564"/>
      <c r="I335" s="564"/>
      <c r="J335" s="564"/>
      <c r="K335" s="564"/>
      <c r="L335" s="564"/>
      <c r="M335" s="564"/>
      <c r="N335" s="564"/>
      <c r="O335" s="606"/>
      <c r="P335" s="606"/>
      <c r="Q335" s="398"/>
      <c r="R335" s="398"/>
      <c r="S335" s="398"/>
      <c r="T335" s="398"/>
      <c r="U335" s="398"/>
      <c r="V335" s="738"/>
      <c r="W335" s="738"/>
      <c r="X335" s="738"/>
    </row>
    <row r="336" spans="1:24" ht="15.75" customHeight="1">
      <c r="A336" s="398"/>
      <c r="B336" s="398"/>
      <c r="C336" s="564"/>
      <c r="D336" s="564"/>
      <c r="E336" s="564"/>
      <c r="F336" s="564"/>
      <c r="G336" s="564"/>
      <c r="H336" s="564"/>
      <c r="I336" s="564"/>
      <c r="J336" s="564"/>
      <c r="K336" s="564"/>
      <c r="L336" s="564"/>
      <c r="M336" s="564"/>
      <c r="N336" s="564"/>
      <c r="O336" s="606"/>
      <c r="P336" s="606"/>
      <c r="Q336" s="398"/>
      <c r="R336" s="398"/>
      <c r="S336" s="398"/>
      <c r="T336" s="398"/>
      <c r="U336" s="398"/>
      <c r="V336" s="738"/>
      <c r="W336" s="738"/>
      <c r="X336" s="738"/>
    </row>
    <row r="337" spans="1:24" ht="15.75" customHeight="1">
      <c r="A337" s="398"/>
      <c r="B337" s="398"/>
      <c r="C337" s="564"/>
      <c r="D337" s="564"/>
      <c r="E337" s="564"/>
      <c r="F337" s="564"/>
      <c r="G337" s="564"/>
      <c r="H337" s="564"/>
      <c r="I337" s="564"/>
      <c r="J337" s="564"/>
      <c r="K337" s="564"/>
      <c r="L337" s="564"/>
      <c r="M337" s="564"/>
      <c r="N337" s="564"/>
      <c r="O337" s="606"/>
      <c r="P337" s="606"/>
      <c r="Q337" s="398"/>
      <c r="R337" s="398"/>
      <c r="S337" s="398"/>
      <c r="T337" s="398"/>
      <c r="U337" s="398"/>
      <c r="V337" s="738"/>
      <c r="W337" s="738"/>
      <c r="X337" s="738"/>
    </row>
    <row r="338" spans="1:24" ht="15.75" customHeight="1">
      <c r="A338" s="398"/>
      <c r="B338" s="398"/>
      <c r="C338" s="564"/>
      <c r="D338" s="564"/>
      <c r="E338" s="564"/>
      <c r="F338" s="564"/>
      <c r="G338" s="564"/>
      <c r="H338" s="564"/>
      <c r="I338" s="564"/>
      <c r="J338" s="564"/>
      <c r="K338" s="564"/>
      <c r="L338" s="564"/>
      <c r="M338" s="564"/>
      <c r="N338" s="564"/>
      <c r="O338" s="606"/>
      <c r="P338" s="606"/>
      <c r="Q338" s="398"/>
      <c r="R338" s="398"/>
      <c r="S338" s="398"/>
      <c r="T338" s="398"/>
      <c r="U338" s="398"/>
      <c r="V338" s="738"/>
      <c r="W338" s="738"/>
      <c r="X338" s="738"/>
    </row>
    <row r="339" spans="1:24" ht="15.75" customHeight="1">
      <c r="A339" s="398"/>
      <c r="B339" s="398"/>
      <c r="C339" s="564"/>
      <c r="D339" s="564"/>
      <c r="E339" s="564"/>
      <c r="F339" s="564"/>
      <c r="G339" s="564"/>
      <c r="H339" s="564"/>
      <c r="I339" s="564"/>
      <c r="J339" s="564"/>
      <c r="K339" s="564"/>
      <c r="L339" s="564"/>
      <c r="M339" s="564"/>
      <c r="N339" s="564"/>
      <c r="O339" s="606"/>
      <c r="P339" s="606"/>
      <c r="Q339" s="398"/>
      <c r="R339" s="398"/>
      <c r="S339" s="398"/>
      <c r="T339" s="398"/>
      <c r="U339" s="398"/>
      <c r="V339" s="738"/>
      <c r="W339" s="738"/>
      <c r="X339" s="738"/>
    </row>
    <row r="340" spans="1:24" ht="15.75" customHeight="1">
      <c r="A340" s="398"/>
      <c r="B340" s="398"/>
      <c r="C340" s="564"/>
      <c r="D340" s="564"/>
      <c r="E340" s="564"/>
      <c r="F340" s="564"/>
      <c r="G340" s="564"/>
      <c r="H340" s="564"/>
      <c r="I340" s="564"/>
      <c r="J340" s="564"/>
      <c r="K340" s="564"/>
      <c r="L340" s="564"/>
      <c r="M340" s="564"/>
      <c r="N340" s="564"/>
      <c r="O340" s="606"/>
      <c r="P340" s="606"/>
      <c r="Q340" s="398"/>
      <c r="R340" s="398"/>
      <c r="S340" s="398"/>
      <c r="T340" s="398"/>
      <c r="U340" s="398"/>
      <c r="V340" s="738"/>
      <c r="W340" s="738"/>
      <c r="X340" s="738"/>
    </row>
    <row r="341" spans="1:24" ht="15.75" customHeight="1">
      <c r="A341" s="398"/>
      <c r="B341" s="398"/>
      <c r="C341" s="564"/>
      <c r="D341" s="564"/>
      <c r="E341" s="564"/>
      <c r="F341" s="564"/>
      <c r="G341" s="564"/>
      <c r="H341" s="564"/>
      <c r="I341" s="564"/>
      <c r="J341" s="564"/>
      <c r="K341" s="564"/>
      <c r="L341" s="564"/>
      <c r="M341" s="564"/>
      <c r="N341" s="564"/>
      <c r="O341" s="606"/>
      <c r="P341" s="606"/>
      <c r="Q341" s="398"/>
      <c r="R341" s="398"/>
      <c r="S341" s="398"/>
      <c r="T341" s="398"/>
      <c r="U341" s="398"/>
      <c r="V341" s="738"/>
      <c r="W341" s="738"/>
      <c r="X341" s="738"/>
    </row>
    <row r="342" spans="1:24" ht="15.75" customHeight="1">
      <c r="A342" s="398"/>
      <c r="B342" s="398"/>
      <c r="C342" s="564"/>
      <c r="D342" s="564"/>
      <c r="E342" s="564"/>
      <c r="F342" s="564"/>
      <c r="G342" s="564"/>
      <c r="H342" s="564"/>
      <c r="I342" s="564"/>
      <c r="J342" s="564"/>
      <c r="K342" s="564"/>
      <c r="L342" s="564"/>
      <c r="M342" s="564"/>
      <c r="N342" s="564"/>
      <c r="O342" s="606"/>
      <c r="P342" s="606"/>
      <c r="Q342" s="398"/>
      <c r="R342" s="398"/>
      <c r="S342" s="398"/>
      <c r="T342" s="398"/>
      <c r="U342" s="398"/>
      <c r="V342" s="738"/>
      <c r="W342" s="738"/>
      <c r="X342" s="738"/>
    </row>
    <row r="343" spans="1:24" ht="15.75" customHeight="1">
      <c r="A343" s="398"/>
      <c r="B343" s="398"/>
      <c r="C343" s="564"/>
      <c r="D343" s="564"/>
      <c r="E343" s="564"/>
      <c r="F343" s="564"/>
      <c r="G343" s="564"/>
      <c r="H343" s="564"/>
      <c r="I343" s="564"/>
      <c r="J343" s="564"/>
      <c r="K343" s="564"/>
      <c r="L343" s="564"/>
      <c r="M343" s="564"/>
      <c r="N343" s="564"/>
      <c r="O343" s="606"/>
      <c r="P343" s="606"/>
      <c r="Q343" s="398"/>
      <c r="R343" s="398"/>
      <c r="S343" s="398"/>
      <c r="T343" s="398"/>
      <c r="U343" s="398"/>
      <c r="V343" s="738"/>
      <c r="W343" s="738"/>
      <c r="X343" s="738"/>
    </row>
    <row r="344" spans="1:24" ht="15.75" customHeight="1">
      <c r="A344" s="398"/>
      <c r="B344" s="398"/>
      <c r="C344" s="564"/>
      <c r="D344" s="564"/>
      <c r="E344" s="564"/>
      <c r="F344" s="564"/>
      <c r="G344" s="564"/>
      <c r="H344" s="564"/>
      <c r="I344" s="564"/>
      <c r="J344" s="564"/>
      <c r="K344" s="564"/>
      <c r="L344" s="564"/>
      <c r="M344" s="564"/>
      <c r="N344" s="564"/>
      <c r="O344" s="606"/>
      <c r="P344" s="606"/>
      <c r="Q344" s="398"/>
      <c r="R344" s="398"/>
      <c r="S344" s="398"/>
      <c r="T344" s="398"/>
      <c r="U344" s="398"/>
      <c r="V344" s="738"/>
      <c r="W344" s="738"/>
      <c r="X344" s="738"/>
    </row>
    <row r="345" spans="1:24" ht="15.75" customHeight="1">
      <c r="A345" s="398"/>
      <c r="B345" s="398"/>
      <c r="C345" s="564"/>
      <c r="D345" s="564"/>
      <c r="E345" s="564"/>
      <c r="F345" s="564"/>
      <c r="G345" s="564"/>
      <c r="H345" s="564"/>
      <c r="I345" s="564"/>
      <c r="J345" s="564"/>
      <c r="K345" s="564"/>
      <c r="L345" s="564"/>
      <c r="M345" s="564"/>
      <c r="N345" s="564"/>
      <c r="O345" s="606"/>
      <c r="P345" s="606"/>
      <c r="Q345" s="398"/>
      <c r="R345" s="398"/>
      <c r="S345" s="398"/>
      <c r="T345" s="398"/>
      <c r="U345" s="398"/>
      <c r="V345" s="738"/>
      <c r="W345" s="738"/>
      <c r="X345" s="738"/>
    </row>
    <row r="346" spans="1:24" ht="15.75" customHeight="1">
      <c r="A346" s="398"/>
      <c r="B346" s="398"/>
      <c r="C346" s="564"/>
      <c r="D346" s="564"/>
      <c r="E346" s="564"/>
      <c r="F346" s="564"/>
      <c r="G346" s="564"/>
      <c r="H346" s="564"/>
      <c r="I346" s="564"/>
      <c r="J346" s="564"/>
      <c r="K346" s="564"/>
      <c r="L346" s="564"/>
      <c r="M346" s="564"/>
      <c r="N346" s="564"/>
      <c r="O346" s="606"/>
      <c r="P346" s="606"/>
      <c r="Q346" s="398"/>
      <c r="R346" s="398"/>
      <c r="S346" s="398"/>
      <c r="T346" s="398"/>
      <c r="U346" s="398"/>
      <c r="V346" s="738"/>
      <c r="W346" s="738"/>
      <c r="X346" s="738"/>
    </row>
    <row r="347" spans="1:24" ht="15.75" customHeight="1">
      <c r="A347" s="398"/>
      <c r="B347" s="398"/>
      <c r="C347" s="564"/>
      <c r="D347" s="564"/>
      <c r="E347" s="564"/>
      <c r="F347" s="564"/>
      <c r="G347" s="564"/>
      <c r="H347" s="564"/>
      <c r="I347" s="564"/>
      <c r="J347" s="564"/>
      <c r="K347" s="564"/>
      <c r="L347" s="564"/>
      <c r="M347" s="564"/>
      <c r="N347" s="564"/>
      <c r="O347" s="606"/>
      <c r="P347" s="606"/>
      <c r="Q347" s="398"/>
      <c r="R347" s="398"/>
      <c r="S347" s="398"/>
      <c r="T347" s="398"/>
      <c r="U347" s="398"/>
      <c r="V347" s="738"/>
      <c r="W347" s="738"/>
      <c r="X347" s="738"/>
    </row>
    <row r="348" spans="1:24" ht="15.75" customHeight="1">
      <c r="A348" s="398"/>
      <c r="B348" s="398"/>
      <c r="C348" s="564"/>
      <c r="D348" s="564"/>
      <c r="E348" s="564"/>
      <c r="F348" s="564"/>
      <c r="G348" s="564"/>
      <c r="H348" s="564"/>
      <c r="I348" s="564"/>
      <c r="J348" s="564"/>
      <c r="K348" s="564"/>
      <c r="L348" s="564"/>
      <c r="M348" s="564"/>
      <c r="N348" s="564"/>
      <c r="O348" s="606"/>
      <c r="P348" s="606"/>
      <c r="Q348" s="398"/>
      <c r="R348" s="398"/>
      <c r="S348" s="398"/>
      <c r="T348" s="398"/>
      <c r="U348" s="398"/>
      <c r="V348" s="738"/>
      <c r="W348" s="738"/>
      <c r="X348" s="738"/>
    </row>
    <row r="349" spans="1:24" ht="15.75" customHeight="1">
      <c r="A349" s="398"/>
      <c r="B349" s="398"/>
      <c r="C349" s="564"/>
      <c r="D349" s="564"/>
      <c r="E349" s="564"/>
      <c r="F349" s="564"/>
      <c r="G349" s="564"/>
      <c r="H349" s="564"/>
      <c r="I349" s="564"/>
      <c r="J349" s="564"/>
      <c r="K349" s="564"/>
      <c r="L349" s="564"/>
      <c r="M349" s="564"/>
      <c r="N349" s="564"/>
      <c r="O349" s="606"/>
      <c r="P349" s="606"/>
      <c r="Q349" s="398"/>
      <c r="R349" s="398"/>
      <c r="S349" s="398"/>
      <c r="T349" s="398"/>
      <c r="U349" s="398"/>
      <c r="V349" s="738"/>
      <c r="W349" s="738"/>
      <c r="X349" s="738"/>
    </row>
    <row r="350" spans="1:24" ht="15.75" customHeight="1">
      <c r="A350" s="398"/>
      <c r="B350" s="398"/>
      <c r="C350" s="564"/>
      <c r="D350" s="564"/>
      <c r="E350" s="564"/>
      <c r="F350" s="564"/>
      <c r="G350" s="564"/>
      <c r="H350" s="564"/>
      <c r="I350" s="564"/>
      <c r="J350" s="564"/>
      <c r="K350" s="564"/>
      <c r="L350" s="564"/>
      <c r="M350" s="564"/>
      <c r="N350" s="564"/>
      <c r="O350" s="606"/>
      <c r="P350" s="606"/>
      <c r="Q350" s="398"/>
      <c r="R350" s="398"/>
      <c r="S350" s="398"/>
      <c r="T350" s="398"/>
      <c r="U350" s="398"/>
      <c r="V350" s="738"/>
      <c r="W350" s="738"/>
      <c r="X350" s="738"/>
    </row>
    <row r="351" spans="1:24" ht="15.75" customHeight="1">
      <c r="A351" s="398"/>
      <c r="B351" s="398"/>
      <c r="C351" s="564"/>
      <c r="D351" s="564"/>
      <c r="E351" s="564"/>
      <c r="F351" s="564"/>
      <c r="G351" s="564"/>
      <c r="H351" s="564"/>
      <c r="I351" s="564"/>
      <c r="J351" s="564"/>
      <c r="K351" s="564"/>
      <c r="L351" s="564"/>
      <c r="M351" s="564"/>
      <c r="N351" s="564"/>
      <c r="O351" s="606"/>
      <c r="P351" s="606"/>
      <c r="Q351" s="398"/>
      <c r="R351" s="398"/>
      <c r="S351" s="398"/>
      <c r="T351" s="398"/>
      <c r="U351" s="398"/>
      <c r="V351" s="738"/>
      <c r="W351" s="738"/>
      <c r="X351" s="738"/>
    </row>
    <row r="352" spans="1:24" ht="15.75" customHeight="1">
      <c r="A352" s="398"/>
      <c r="B352" s="398"/>
      <c r="C352" s="564"/>
      <c r="D352" s="564"/>
      <c r="E352" s="564"/>
      <c r="F352" s="564"/>
      <c r="G352" s="564"/>
      <c r="H352" s="564"/>
      <c r="I352" s="564"/>
      <c r="J352" s="564"/>
      <c r="K352" s="564"/>
      <c r="L352" s="564"/>
      <c r="M352" s="564"/>
      <c r="N352" s="564"/>
      <c r="O352" s="606"/>
      <c r="P352" s="606"/>
      <c r="Q352" s="398"/>
      <c r="R352" s="398"/>
      <c r="S352" s="398"/>
      <c r="T352" s="398"/>
      <c r="U352" s="398"/>
      <c r="V352" s="738"/>
      <c r="W352" s="738"/>
      <c r="X352" s="738"/>
    </row>
    <row r="353" spans="1:24" ht="15.75" customHeight="1">
      <c r="A353" s="398"/>
      <c r="B353" s="398"/>
      <c r="C353" s="564"/>
      <c r="D353" s="564"/>
      <c r="E353" s="564"/>
      <c r="F353" s="564"/>
      <c r="G353" s="564"/>
      <c r="H353" s="564"/>
      <c r="I353" s="564"/>
      <c r="J353" s="564"/>
      <c r="K353" s="564"/>
      <c r="L353" s="564"/>
      <c r="M353" s="564"/>
      <c r="N353" s="564"/>
      <c r="O353" s="606"/>
      <c r="P353" s="606"/>
      <c r="Q353" s="398"/>
      <c r="R353" s="398"/>
      <c r="S353" s="398"/>
      <c r="T353" s="398"/>
      <c r="U353" s="398"/>
      <c r="V353" s="738"/>
      <c r="W353" s="738"/>
      <c r="X353" s="738"/>
    </row>
    <row r="354" spans="1:24" ht="15.75" customHeight="1">
      <c r="A354" s="398"/>
      <c r="B354" s="398"/>
      <c r="C354" s="564"/>
      <c r="D354" s="564"/>
      <c r="E354" s="564"/>
      <c r="F354" s="564"/>
      <c r="G354" s="564"/>
      <c r="H354" s="564"/>
      <c r="I354" s="564"/>
      <c r="J354" s="564"/>
      <c r="K354" s="564"/>
      <c r="L354" s="564"/>
      <c r="M354" s="564"/>
      <c r="N354" s="564"/>
      <c r="O354" s="606"/>
      <c r="P354" s="606"/>
      <c r="Q354" s="398"/>
      <c r="R354" s="398"/>
      <c r="S354" s="398"/>
      <c r="T354" s="398"/>
      <c r="U354" s="398"/>
      <c r="V354" s="738"/>
      <c r="W354" s="738"/>
      <c r="X354" s="738"/>
    </row>
    <row r="355" spans="1:24" ht="15.75" customHeight="1">
      <c r="A355" s="398"/>
      <c r="B355" s="398"/>
      <c r="C355" s="564"/>
      <c r="D355" s="564"/>
      <c r="E355" s="564"/>
      <c r="F355" s="564"/>
      <c r="G355" s="564"/>
      <c r="H355" s="564"/>
      <c r="I355" s="564"/>
      <c r="J355" s="564"/>
      <c r="K355" s="564"/>
      <c r="L355" s="564"/>
      <c r="M355" s="564"/>
      <c r="N355" s="564"/>
      <c r="O355" s="606"/>
      <c r="P355" s="606"/>
      <c r="Q355" s="398"/>
      <c r="R355" s="398"/>
      <c r="S355" s="398"/>
      <c r="T355" s="398"/>
      <c r="U355" s="398"/>
      <c r="V355" s="738"/>
      <c r="W355" s="738"/>
      <c r="X355" s="738"/>
    </row>
    <row r="356" spans="1:24" ht="15.75" customHeight="1">
      <c r="A356" s="398"/>
      <c r="B356" s="398"/>
      <c r="C356" s="564"/>
      <c r="D356" s="564"/>
      <c r="E356" s="564"/>
      <c r="F356" s="564"/>
      <c r="G356" s="564"/>
      <c r="H356" s="564"/>
      <c r="I356" s="564"/>
      <c r="J356" s="564"/>
      <c r="K356" s="564"/>
      <c r="L356" s="564"/>
      <c r="M356" s="564"/>
      <c r="N356" s="564"/>
      <c r="O356" s="606"/>
      <c r="P356" s="606"/>
      <c r="Q356" s="398"/>
      <c r="R356" s="398"/>
      <c r="S356" s="398"/>
      <c r="T356" s="398"/>
      <c r="U356" s="398"/>
      <c r="V356" s="738"/>
      <c r="W356" s="738"/>
      <c r="X356" s="738"/>
    </row>
    <row r="357" spans="1:24" ht="15.75" customHeight="1">
      <c r="A357" s="398"/>
      <c r="B357" s="398"/>
      <c r="C357" s="564"/>
      <c r="D357" s="564"/>
      <c r="E357" s="564"/>
      <c r="F357" s="564"/>
      <c r="G357" s="564"/>
      <c r="H357" s="564"/>
      <c r="I357" s="564"/>
      <c r="J357" s="564"/>
      <c r="K357" s="564"/>
      <c r="L357" s="564"/>
      <c r="M357" s="564"/>
      <c r="N357" s="564"/>
      <c r="O357" s="606"/>
      <c r="P357" s="606"/>
      <c r="Q357" s="398"/>
      <c r="R357" s="398"/>
      <c r="S357" s="398"/>
      <c r="T357" s="398"/>
      <c r="U357" s="398"/>
      <c r="V357" s="738"/>
      <c r="W357" s="738"/>
      <c r="X357" s="738"/>
    </row>
    <row r="358" spans="1:24" ht="15.75" customHeight="1">
      <c r="A358" s="398"/>
      <c r="B358" s="398"/>
      <c r="C358" s="564"/>
      <c r="D358" s="564"/>
      <c r="E358" s="564"/>
      <c r="F358" s="564"/>
      <c r="G358" s="564"/>
      <c r="H358" s="564"/>
      <c r="I358" s="564"/>
      <c r="J358" s="564"/>
      <c r="K358" s="564"/>
      <c r="L358" s="564"/>
      <c r="M358" s="564"/>
      <c r="N358" s="564"/>
      <c r="O358" s="606"/>
      <c r="P358" s="606"/>
      <c r="Q358" s="398"/>
      <c r="R358" s="398"/>
      <c r="S358" s="398"/>
      <c r="T358" s="398"/>
      <c r="U358" s="398"/>
      <c r="V358" s="738"/>
      <c r="W358" s="738"/>
      <c r="X358" s="738"/>
    </row>
    <row r="359" spans="1:24" ht="15.75" customHeight="1">
      <c r="A359" s="398"/>
      <c r="B359" s="398"/>
      <c r="C359" s="564"/>
      <c r="D359" s="564"/>
      <c r="E359" s="564"/>
      <c r="F359" s="564"/>
      <c r="G359" s="564"/>
      <c r="H359" s="564"/>
      <c r="I359" s="564"/>
      <c r="J359" s="564"/>
      <c r="K359" s="564"/>
      <c r="L359" s="564"/>
      <c r="M359" s="564"/>
      <c r="N359" s="564"/>
      <c r="O359" s="398"/>
      <c r="P359" s="398"/>
      <c r="Q359" s="398"/>
      <c r="R359" s="398"/>
      <c r="S359" s="398"/>
      <c r="T359" s="398"/>
      <c r="U359" s="398"/>
      <c r="V359" s="738"/>
      <c r="W359" s="738"/>
      <c r="X359" s="738"/>
    </row>
    <row r="360" spans="1:24" ht="15.75" customHeight="1">
      <c r="A360" s="398"/>
      <c r="B360" s="398"/>
      <c r="C360" s="564"/>
      <c r="D360" s="564"/>
      <c r="E360" s="564"/>
      <c r="F360" s="564"/>
      <c r="G360" s="564"/>
      <c r="H360" s="564"/>
      <c r="I360" s="564"/>
      <c r="J360" s="564"/>
      <c r="K360" s="564"/>
      <c r="L360" s="564"/>
      <c r="M360" s="564"/>
      <c r="N360" s="564"/>
      <c r="O360" s="398"/>
      <c r="P360" s="398"/>
      <c r="Q360" s="398"/>
      <c r="R360" s="398"/>
      <c r="S360" s="398"/>
      <c r="T360" s="398"/>
      <c r="U360" s="398"/>
      <c r="V360" s="738"/>
      <c r="W360" s="738"/>
      <c r="X360" s="738"/>
    </row>
    <row r="361" spans="1:24" ht="15.75" customHeight="1">
      <c r="A361" s="398"/>
      <c r="B361" s="398"/>
      <c r="C361" s="564"/>
      <c r="D361" s="564"/>
      <c r="E361" s="564"/>
      <c r="F361" s="564"/>
      <c r="G361" s="564"/>
      <c r="H361" s="564"/>
      <c r="I361" s="564"/>
      <c r="J361" s="564"/>
      <c r="K361" s="564"/>
      <c r="L361" s="564"/>
      <c r="M361" s="564"/>
      <c r="N361" s="564"/>
      <c r="O361" s="398"/>
      <c r="P361" s="398"/>
      <c r="Q361" s="398"/>
      <c r="R361" s="398"/>
      <c r="S361" s="398"/>
      <c r="T361" s="398"/>
      <c r="U361" s="398"/>
      <c r="V361" s="738"/>
      <c r="W361" s="738"/>
      <c r="X361" s="738"/>
    </row>
    <row r="362" spans="1:24" ht="15.75" customHeight="1">
      <c r="A362" s="398"/>
      <c r="B362" s="398"/>
      <c r="C362" s="564"/>
      <c r="D362" s="564"/>
      <c r="E362" s="564"/>
      <c r="F362" s="564"/>
      <c r="G362" s="564"/>
      <c r="H362" s="564"/>
      <c r="I362" s="564"/>
      <c r="J362" s="564"/>
      <c r="K362" s="564"/>
      <c r="L362" s="564"/>
      <c r="M362" s="564"/>
      <c r="N362" s="564"/>
      <c r="O362" s="398"/>
      <c r="P362" s="398"/>
      <c r="Q362" s="398"/>
      <c r="R362" s="398"/>
      <c r="S362" s="398"/>
      <c r="T362" s="398"/>
      <c r="U362" s="398"/>
      <c r="V362" s="738"/>
      <c r="W362" s="738"/>
      <c r="X362" s="738"/>
    </row>
    <row r="363" spans="1:24" ht="15.75" customHeight="1">
      <c r="A363" s="398"/>
      <c r="B363" s="398"/>
      <c r="C363" s="564"/>
      <c r="D363" s="564"/>
      <c r="E363" s="564"/>
      <c r="F363" s="564"/>
      <c r="G363" s="564"/>
      <c r="H363" s="564"/>
      <c r="I363" s="564"/>
      <c r="J363" s="564"/>
      <c r="K363" s="564"/>
      <c r="L363" s="564"/>
      <c r="M363" s="564"/>
      <c r="N363" s="564"/>
      <c r="O363" s="398"/>
      <c r="P363" s="398"/>
      <c r="Q363" s="398"/>
      <c r="R363" s="398"/>
      <c r="S363" s="398"/>
      <c r="T363" s="398"/>
      <c r="U363" s="398"/>
      <c r="V363" s="738"/>
      <c r="W363" s="738"/>
      <c r="X363" s="738"/>
    </row>
    <row r="364" spans="1:24" ht="15.75" customHeight="1">
      <c r="A364" s="398"/>
      <c r="B364" s="398"/>
      <c r="C364" s="564"/>
      <c r="D364" s="564"/>
      <c r="E364" s="564"/>
      <c r="F364" s="564"/>
      <c r="G364" s="564"/>
      <c r="H364" s="564"/>
      <c r="I364" s="564"/>
      <c r="J364" s="564"/>
      <c r="K364" s="564"/>
      <c r="L364" s="564"/>
      <c r="M364" s="564"/>
      <c r="N364" s="564"/>
      <c r="O364" s="398"/>
      <c r="P364" s="398"/>
      <c r="Q364" s="398"/>
      <c r="R364" s="398"/>
      <c r="S364" s="398"/>
      <c r="T364" s="398"/>
      <c r="U364" s="398"/>
      <c r="V364" s="738"/>
      <c r="W364" s="738"/>
      <c r="X364" s="738"/>
    </row>
    <row r="365" spans="1:24" ht="15.75" customHeight="1">
      <c r="A365" s="398"/>
      <c r="B365" s="398"/>
      <c r="C365" s="564"/>
      <c r="D365" s="564"/>
      <c r="E365" s="564"/>
      <c r="F365" s="564"/>
      <c r="G365" s="564"/>
      <c r="H365" s="564"/>
      <c r="I365" s="564"/>
      <c r="J365" s="564"/>
      <c r="K365" s="564"/>
      <c r="L365" s="564"/>
      <c r="M365" s="564"/>
      <c r="N365" s="564"/>
      <c r="O365" s="398"/>
      <c r="P365" s="398"/>
      <c r="Q365" s="398"/>
      <c r="R365" s="398"/>
      <c r="S365" s="398"/>
      <c r="T365" s="398"/>
      <c r="U365" s="398"/>
      <c r="V365" s="738"/>
      <c r="W365" s="738"/>
      <c r="X365" s="738"/>
    </row>
    <row r="366" spans="1:24" ht="15.75" customHeight="1">
      <c r="A366" s="398"/>
      <c r="B366" s="398"/>
      <c r="C366" s="564"/>
      <c r="D366" s="564"/>
      <c r="E366" s="564"/>
      <c r="F366" s="564"/>
      <c r="G366" s="564"/>
      <c r="H366" s="564"/>
      <c r="I366" s="564"/>
      <c r="J366" s="564"/>
      <c r="K366" s="564"/>
      <c r="L366" s="564"/>
      <c r="M366" s="564"/>
      <c r="N366" s="564"/>
      <c r="O366" s="398"/>
      <c r="P366" s="398"/>
      <c r="Q366" s="398"/>
      <c r="R366" s="398"/>
      <c r="S366" s="398"/>
      <c r="T366" s="398"/>
      <c r="U366" s="398"/>
      <c r="V366" s="738"/>
      <c r="W366" s="738"/>
      <c r="X366" s="738"/>
    </row>
    <row r="367" spans="1:24" ht="15.75" customHeight="1">
      <c r="A367" s="398"/>
      <c r="B367" s="398"/>
      <c r="C367" s="564"/>
      <c r="D367" s="564"/>
      <c r="E367" s="564"/>
      <c r="F367" s="564"/>
      <c r="G367" s="564"/>
      <c r="H367" s="564"/>
      <c r="I367" s="564"/>
      <c r="J367" s="564"/>
      <c r="K367" s="564"/>
      <c r="L367" s="564"/>
      <c r="M367" s="564"/>
      <c r="N367" s="564"/>
      <c r="O367" s="398"/>
      <c r="P367" s="398"/>
      <c r="Q367" s="398"/>
      <c r="R367" s="398"/>
      <c r="S367" s="398"/>
      <c r="T367" s="398"/>
      <c r="U367" s="398"/>
      <c r="V367" s="738"/>
      <c r="W367" s="738"/>
      <c r="X367" s="738"/>
    </row>
    <row r="368" spans="1:24" ht="15.75" customHeight="1">
      <c r="A368" s="398"/>
      <c r="B368" s="398"/>
      <c r="C368" s="564"/>
      <c r="D368" s="564"/>
      <c r="E368" s="564"/>
      <c r="F368" s="564"/>
      <c r="G368" s="564"/>
      <c r="H368" s="564"/>
      <c r="I368" s="564"/>
      <c r="J368" s="564"/>
      <c r="K368" s="564"/>
      <c r="L368" s="564"/>
      <c r="M368" s="564"/>
      <c r="N368" s="564"/>
      <c r="O368" s="398"/>
      <c r="P368" s="398"/>
      <c r="Q368" s="398"/>
      <c r="R368" s="398"/>
      <c r="S368" s="398"/>
      <c r="T368" s="398"/>
      <c r="U368" s="398"/>
      <c r="V368" s="738"/>
      <c r="W368" s="738"/>
      <c r="X368" s="738"/>
    </row>
    <row r="369" spans="1:24" ht="15.75" customHeight="1">
      <c r="A369" s="398"/>
      <c r="B369" s="398"/>
      <c r="C369" s="564"/>
      <c r="D369" s="564"/>
      <c r="E369" s="564"/>
      <c r="F369" s="564"/>
      <c r="G369" s="564"/>
      <c r="H369" s="564"/>
      <c r="I369" s="564"/>
      <c r="J369" s="564"/>
      <c r="K369" s="564"/>
      <c r="L369" s="564"/>
      <c r="M369" s="564"/>
      <c r="N369" s="564"/>
      <c r="O369" s="398"/>
      <c r="P369" s="398"/>
      <c r="Q369" s="398"/>
      <c r="R369" s="398"/>
      <c r="S369" s="398"/>
      <c r="T369" s="398"/>
      <c r="U369" s="398"/>
      <c r="V369" s="738"/>
      <c r="W369" s="738"/>
      <c r="X369" s="738"/>
    </row>
    <row r="370" spans="1:24" ht="15.75" customHeight="1">
      <c r="A370" s="398"/>
      <c r="B370" s="398"/>
      <c r="C370" s="564"/>
      <c r="D370" s="564"/>
      <c r="E370" s="564"/>
      <c r="F370" s="564"/>
      <c r="G370" s="564"/>
      <c r="H370" s="564"/>
      <c r="I370" s="564"/>
      <c r="J370" s="564"/>
      <c r="K370" s="564"/>
      <c r="L370" s="564"/>
      <c r="M370" s="564"/>
      <c r="N370" s="564"/>
      <c r="O370" s="398"/>
      <c r="P370" s="398"/>
      <c r="Q370" s="398"/>
      <c r="R370" s="398"/>
      <c r="S370" s="398"/>
      <c r="T370" s="398"/>
      <c r="U370" s="398"/>
      <c r="V370" s="738"/>
      <c r="W370" s="738"/>
      <c r="X370" s="738"/>
    </row>
    <row r="371" spans="1:24" ht="15.75" customHeight="1">
      <c r="A371" s="398"/>
      <c r="B371" s="398"/>
      <c r="C371" s="564"/>
      <c r="D371" s="564"/>
      <c r="E371" s="564"/>
      <c r="F371" s="564"/>
      <c r="G371" s="564"/>
      <c r="H371" s="564"/>
      <c r="I371" s="564"/>
      <c r="J371" s="564"/>
      <c r="K371" s="564"/>
      <c r="L371" s="564"/>
      <c r="M371" s="564"/>
      <c r="N371" s="564"/>
      <c r="O371" s="398"/>
      <c r="P371" s="398"/>
      <c r="Q371" s="398"/>
      <c r="R371" s="398"/>
      <c r="S371" s="398"/>
      <c r="T371" s="398"/>
      <c r="U371" s="398"/>
      <c r="V371" s="738"/>
      <c r="W371" s="738"/>
      <c r="X371" s="738"/>
    </row>
    <row r="372" spans="1:24" ht="15.75" customHeight="1">
      <c r="A372" s="398"/>
      <c r="B372" s="398"/>
      <c r="C372" s="564"/>
      <c r="D372" s="564"/>
      <c r="E372" s="564"/>
      <c r="F372" s="564"/>
      <c r="G372" s="564"/>
      <c r="H372" s="564"/>
      <c r="I372" s="564"/>
      <c r="J372" s="564"/>
      <c r="K372" s="564"/>
      <c r="L372" s="564"/>
      <c r="M372" s="564"/>
      <c r="N372" s="564"/>
      <c r="O372" s="398"/>
      <c r="P372" s="398"/>
      <c r="Q372" s="398"/>
      <c r="R372" s="398"/>
      <c r="S372" s="398"/>
      <c r="T372" s="398"/>
      <c r="U372" s="398"/>
      <c r="V372" s="738"/>
      <c r="W372" s="738"/>
      <c r="X372" s="738"/>
    </row>
    <row r="373" spans="1:24" ht="15.75" customHeight="1">
      <c r="A373" s="398"/>
      <c r="B373" s="398"/>
      <c r="C373" s="564"/>
      <c r="D373" s="564"/>
      <c r="E373" s="564"/>
      <c r="F373" s="564"/>
      <c r="G373" s="564"/>
      <c r="H373" s="564"/>
      <c r="I373" s="564"/>
      <c r="J373" s="564"/>
      <c r="K373" s="564"/>
      <c r="L373" s="564"/>
      <c r="M373" s="564"/>
      <c r="N373" s="564"/>
      <c r="O373" s="398"/>
      <c r="P373" s="398"/>
      <c r="Q373" s="398"/>
      <c r="R373" s="398"/>
      <c r="S373" s="398"/>
      <c r="T373" s="398"/>
      <c r="U373" s="398"/>
      <c r="V373" s="738"/>
      <c r="W373" s="738"/>
      <c r="X373" s="738"/>
    </row>
    <row r="374" spans="1:24" ht="15.75" customHeight="1">
      <c r="A374" s="398"/>
      <c r="B374" s="398"/>
      <c r="C374" s="564"/>
      <c r="D374" s="564"/>
      <c r="E374" s="564"/>
      <c r="F374" s="564"/>
      <c r="G374" s="564"/>
      <c r="H374" s="564"/>
      <c r="I374" s="564"/>
      <c r="J374" s="564"/>
      <c r="K374" s="564"/>
      <c r="L374" s="564"/>
      <c r="M374" s="564"/>
      <c r="N374" s="564"/>
      <c r="O374" s="398"/>
      <c r="P374" s="398"/>
      <c r="Q374" s="398"/>
      <c r="R374" s="398"/>
      <c r="S374" s="398"/>
      <c r="T374" s="398"/>
      <c r="U374" s="398"/>
      <c r="V374" s="738"/>
      <c r="W374" s="738"/>
      <c r="X374" s="738"/>
    </row>
    <row r="375" spans="1:24" ht="15.75" customHeight="1">
      <c r="A375" s="398"/>
      <c r="B375" s="398"/>
      <c r="C375" s="564"/>
      <c r="D375" s="564"/>
      <c r="E375" s="564"/>
      <c r="F375" s="564"/>
      <c r="G375" s="564"/>
      <c r="H375" s="564"/>
      <c r="I375" s="564"/>
      <c r="J375" s="564"/>
      <c r="K375" s="564"/>
      <c r="L375" s="564"/>
      <c r="M375" s="564"/>
      <c r="N375" s="564"/>
      <c r="O375" s="398"/>
      <c r="P375" s="398"/>
      <c r="Q375" s="398"/>
      <c r="R375" s="398"/>
      <c r="S375" s="398"/>
      <c r="T375" s="398"/>
      <c r="U375" s="398"/>
      <c r="V375" s="738"/>
      <c r="W375" s="738"/>
      <c r="X375" s="738"/>
    </row>
    <row r="376" spans="1:24" ht="15.75" customHeight="1">
      <c r="A376" s="398"/>
      <c r="B376" s="398"/>
      <c r="C376" s="564"/>
      <c r="D376" s="564"/>
      <c r="E376" s="564"/>
      <c r="F376" s="564"/>
      <c r="G376" s="564"/>
      <c r="H376" s="564"/>
      <c r="I376" s="564"/>
      <c r="J376" s="564"/>
      <c r="K376" s="564"/>
      <c r="L376" s="564"/>
      <c r="M376" s="564"/>
      <c r="N376" s="564"/>
      <c r="O376" s="398"/>
      <c r="P376" s="398"/>
      <c r="Q376" s="398"/>
      <c r="R376" s="398"/>
      <c r="S376" s="398"/>
      <c r="T376" s="398"/>
      <c r="U376" s="398"/>
      <c r="V376" s="738"/>
      <c r="W376" s="738"/>
      <c r="X376" s="738"/>
    </row>
    <row r="377" spans="1:24" ht="15.75" customHeight="1">
      <c r="A377" s="398"/>
      <c r="B377" s="398"/>
      <c r="C377" s="564"/>
      <c r="D377" s="564"/>
      <c r="E377" s="564"/>
      <c r="F377" s="564"/>
      <c r="G377" s="564"/>
      <c r="H377" s="564"/>
      <c r="I377" s="564"/>
      <c r="J377" s="564"/>
      <c r="K377" s="564"/>
      <c r="L377" s="564"/>
      <c r="M377" s="564"/>
      <c r="N377" s="564"/>
      <c r="O377" s="398"/>
      <c r="P377" s="398"/>
      <c r="Q377" s="398"/>
      <c r="R377" s="398"/>
      <c r="S377" s="398"/>
      <c r="T377" s="398"/>
      <c r="U377" s="398"/>
      <c r="V377" s="738"/>
      <c r="W377" s="738"/>
      <c r="X377" s="738"/>
    </row>
    <row r="378" spans="1:24" ht="15.75" customHeight="1">
      <c r="A378" s="398"/>
      <c r="B378" s="398"/>
      <c r="C378" s="564"/>
      <c r="D378" s="564"/>
      <c r="E378" s="564"/>
      <c r="F378" s="564"/>
      <c r="G378" s="564"/>
      <c r="H378" s="564"/>
      <c r="I378" s="564"/>
      <c r="J378" s="564"/>
      <c r="K378" s="564"/>
      <c r="L378" s="564"/>
      <c r="M378" s="564"/>
      <c r="N378" s="564"/>
      <c r="O378" s="398"/>
      <c r="P378" s="398"/>
      <c r="Q378" s="398"/>
      <c r="R378" s="398"/>
      <c r="S378" s="398"/>
      <c r="T378" s="398"/>
      <c r="U378" s="398"/>
      <c r="V378" s="738"/>
      <c r="W378" s="738"/>
      <c r="X378" s="738"/>
    </row>
    <row r="379" spans="1:24" ht="15.75" customHeight="1">
      <c r="A379" s="398"/>
      <c r="B379" s="398"/>
      <c r="C379" s="564"/>
      <c r="D379" s="564"/>
      <c r="E379" s="564"/>
      <c r="F379" s="564"/>
      <c r="G379" s="564"/>
      <c r="H379" s="564"/>
      <c r="I379" s="564"/>
      <c r="J379" s="564"/>
      <c r="K379" s="564"/>
      <c r="L379" s="564"/>
      <c r="M379" s="564"/>
      <c r="N379" s="564"/>
      <c r="O379" s="398"/>
      <c r="P379" s="398"/>
      <c r="Q379" s="398"/>
      <c r="R379" s="398"/>
      <c r="S379" s="398"/>
      <c r="T379" s="398"/>
      <c r="U379" s="398"/>
      <c r="V379" s="738"/>
      <c r="W379" s="738"/>
      <c r="X379" s="738"/>
    </row>
    <row r="380" spans="1:24" ht="15.75" customHeight="1">
      <c r="A380" s="398"/>
      <c r="B380" s="398"/>
      <c r="C380" s="564"/>
      <c r="D380" s="564"/>
      <c r="E380" s="564"/>
      <c r="F380" s="564"/>
      <c r="G380" s="564"/>
      <c r="H380" s="564"/>
      <c r="I380" s="564"/>
      <c r="J380" s="564"/>
      <c r="K380" s="564"/>
      <c r="L380" s="564"/>
      <c r="M380" s="564"/>
      <c r="N380" s="564"/>
      <c r="O380" s="398"/>
      <c r="P380" s="398"/>
      <c r="Q380" s="398"/>
      <c r="R380" s="398"/>
      <c r="S380" s="398"/>
      <c r="T380" s="398"/>
      <c r="U380" s="398"/>
      <c r="V380" s="738"/>
      <c r="W380" s="738"/>
      <c r="X380" s="738"/>
    </row>
    <row r="381" spans="1:24" ht="15.75" customHeight="1">
      <c r="A381" s="398"/>
      <c r="B381" s="398"/>
      <c r="C381" s="564"/>
      <c r="D381" s="564"/>
      <c r="E381" s="564"/>
      <c r="F381" s="564"/>
      <c r="G381" s="564"/>
      <c r="H381" s="564"/>
      <c r="I381" s="564"/>
      <c r="J381" s="564"/>
      <c r="K381" s="564"/>
      <c r="L381" s="564"/>
      <c r="M381" s="564"/>
      <c r="N381" s="564"/>
      <c r="O381" s="398"/>
      <c r="P381" s="398"/>
      <c r="Q381" s="398"/>
      <c r="R381" s="398"/>
      <c r="S381" s="398"/>
      <c r="T381" s="398"/>
      <c r="U381" s="398"/>
      <c r="V381" s="738"/>
      <c r="W381" s="738"/>
      <c r="X381" s="738"/>
    </row>
    <row r="382" spans="1:24" ht="15.75" customHeight="1">
      <c r="A382" s="398"/>
      <c r="B382" s="398"/>
      <c r="C382" s="564"/>
      <c r="D382" s="564"/>
      <c r="E382" s="564"/>
      <c r="F382" s="564"/>
      <c r="G382" s="564"/>
      <c r="H382" s="564"/>
      <c r="I382" s="564"/>
      <c r="J382" s="564"/>
      <c r="K382" s="564"/>
      <c r="L382" s="564"/>
      <c r="M382" s="564"/>
      <c r="N382" s="564"/>
      <c r="O382" s="398"/>
      <c r="P382" s="398"/>
      <c r="Q382" s="398"/>
      <c r="R382" s="398"/>
      <c r="S382" s="398"/>
      <c r="T382" s="398"/>
      <c r="U382" s="398"/>
      <c r="V382" s="738"/>
      <c r="W382" s="738"/>
      <c r="X382" s="738"/>
    </row>
    <row r="383" spans="1:24" ht="15.75" customHeight="1">
      <c r="A383" s="398"/>
      <c r="B383" s="398"/>
      <c r="C383" s="564"/>
      <c r="D383" s="564"/>
      <c r="E383" s="564"/>
      <c r="F383" s="564"/>
      <c r="G383" s="564"/>
      <c r="H383" s="564"/>
      <c r="I383" s="564"/>
      <c r="J383" s="564"/>
      <c r="K383" s="564"/>
      <c r="L383" s="564"/>
      <c r="M383" s="564"/>
      <c r="N383" s="564"/>
      <c r="O383" s="398"/>
      <c r="P383" s="398"/>
      <c r="Q383" s="398"/>
      <c r="R383" s="398"/>
      <c r="S383" s="398"/>
      <c r="T383" s="398"/>
      <c r="U383" s="398"/>
      <c r="V383" s="738"/>
      <c r="W383" s="738"/>
      <c r="X383" s="738"/>
    </row>
    <row r="384" spans="1:24" ht="15.75" customHeight="1">
      <c r="A384" s="398"/>
      <c r="B384" s="398"/>
      <c r="C384" s="564"/>
      <c r="D384" s="564"/>
      <c r="E384" s="564"/>
      <c r="F384" s="564"/>
      <c r="G384" s="564"/>
      <c r="H384" s="564"/>
      <c r="I384" s="564"/>
      <c r="J384" s="564"/>
      <c r="K384" s="564"/>
      <c r="L384" s="564"/>
      <c r="M384" s="564"/>
      <c r="N384" s="564"/>
      <c r="O384" s="398"/>
      <c r="P384" s="398"/>
      <c r="Q384" s="398"/>
      <c r="R384" s="398"/>
      <c r="S384" s="398"/>
      <c r="T384" s="398"/>
      <c r="U384" s="398"/>
      <c r="V384" s="738"/>
      <c r="W384" s="738"/>
      <c r="X384" s="738"/>
    </row>
    <row r="385" spans="1:24" ht="15.75" customHeight="1">
      <c r="A385" s="398"/>
      <c r="B385" s="398"/>
      <c r="C385" s="564"/>
      <c r="D385" s="564"/>
      <c r="E385" s="564"/>
      <c r="F385" s="564"/>
      <c r="G385" s="564"/>
      <c r="H385" s="564"/>
      <c r="I385" s="564"/>
      <c r="J385" s="564"/>
      <c r="K385" s="564"/>
      <c r="L385" s="564"/>
      <c r="M385" s="564"/>
      <c r="N385" s="564"/>
      <c r="O385" s="398"/>
      <c r="P385" s="398"/>
      <c r="Q385" s="398"/>
      <c r="R385" s="398"/>
      <c r="S385" s="398"/>
      <c r="T385" s="398"/>
      <c r="U385" s="398"/>
      <c r="V385" s="738"/>
      <c r="W385" s="738"/>
      <c r="X385" s="738"/>
    </row>
    <row r="386" spans="1:24" ht="15.75" customHeight="1">
      <c r="A386" s="398"/>
      <c r="B386" s="398"/>
      <c r="C386" s="564"/>
      <c r="D386" s="564"/>
      <c r="E386" s="564"/>
      <c r="F386" s="564"/>
      <c r="G386" s="564"/>
      <c r="H386" s="564"/>
      <c r="I386" s="564"/>
      <c r="J386" s="564"/>
      <c r="K386" s="564"/>
      <c r="L386" s="564"/>
      <c r="M386" s="564"/>
      <c r="N386" s="564"/>
      <c r="O386" s="398"/>
      <c r="P386" s="398"/>
      <c r="Q386" s="398"/>
      <c r="R386" s="398"/>
      <c r="S386" s="398"/>
      <c r="T386" s="398"/>
      <c r="U386" s="398"/>
      <c r="V386" s="738"/>
      <c r="W386" s="738"/>
      <c r="X386" s="738"/>
    </row>
    <row r="387" spans="1:24" ht="15.75" customHeight="1">
      <c r="A387" s="398"/>
      <c r="B387" s="398"/>
      <c r="C387" s="564"/>
      <c r="D387" s="564"/>
      <c r="E387" s="564"/>
      <c r="F387" s="564"/>
      <c r="G387" s="564"/>
      <c r="H387" s="564"/>
      <c r="I387" s="564"/>
      <c r="J387" s="564"/>
      <c r="K387" s="564"/>
      <c r="L387" s="564"/>
      <c r="M387" s="564"/>
      <c r="N387" s="564"/>
      <c r="O387" s="398"/>
      <c r="P387" s="398"/>
      <c r="Q387" s="398"/>
      <c r="R387" s="398"/>
      <c r="S387" s="398"/>
      <c r="T387" s="398"/>
      <c r="U387" s="398"/>
      <c r="V387" s="738"/>
      <c r="W387" s="738"/>
      <c r="X387" s="738"/>
    </row>
    <row r="388" spans="1:24" ht="15.75" customHeight="1">
      <c r="A388" s="398"/>
      <c r="B388" s="398"/>
      <c r="C388" s="564"/>
      <c r="D388" s="564"/>
      <c r="E388" s="564"/>
      <c r="F388" s="564"/>
      <c r="G388" s="564"/>
      <c r="H388" s="564"/>
      <c r="I388" s="564"/>
      <c r="J388" s="564"/>
      <c r="K388" s="564"/>
      <c r="L388" s="564"/>
      <c r="M388" s="564"/>
      <c r="N388" s="564"/>
      <c r="O388" s="398"/>
      <c r="P388" s="398"/>
      <c r="Q388" s="398"/>
      <c r="R388" s="398"/>
      <c r="S388" s="398"/>
      <c r="T388" s="398"/>
      <c r="U388" s="398"/>
      <c r="V388" s="738"/>
      <c r="W388" s="738"/>
      <c r="X388" s="738"/>
    </row>
    <row r="389" spans="1:24" ht="15.75" customHeight="1">
      <c r="A389" s="398"/>
      <c r="B389" s="398"/>
      <c r="C389" s="564"/>
      <c r="D389" s="564"/>
      <c r="E389" s="564"/>
      <c r="F389" s="564"/>
      <c r="G389" s="564"/>
      <c r="H389" s="564"/>
      <c r="I389" s="564"/>
      <c r="J389" s="564"/>
      <c r="K389" s="564"/>
      <c r="L389" s="564"/>
      <c r="M389" s="564"/>
      <c r="N389" s="564"/>
      <c r="O389" s="398"/>
      <c r="P389" s="398"/>
      <c r="Q389" s="398"/>
      <c r="R389" s="398"/>
      <c r="S389" s="398"/>
      <c r="T389" s="398"/>
      <c r="U389" s="398"/>
      <c r="V389" s="738"/>
      <c r="W389" s="738"/>
      <c r="X389" s="738"/>
    </row>
    <row r="390" spans="1:24" ht="15.75" customHeight="1">
      <c r="A390" s="398"/>
      <c r="B390" s="398"/>
      <c r="C390" s="564"/>
      <c r="D390" s="564"/>
      <c r="E390" s="564"/>
      <c r="F390" s="564"/>
      <c r="G390" s="564"/>
      <c r="H390" s="564"/>
      <c r="I390" s="564"/>
      <c r="J390" s="564"/>
      <c r="K390" s="564"/>
      <c r="L390" s="564"/>
      <c r="M390" s="564"/>
      <c r="N390" s="564"/>
      <c r="O390" s="398"/>
      <c r="P390" s="398"/>
      <c r="Q390" s="398"/>
      <c r="R390" s="398"/>
      <c r="S390" s="398"/>
      <c r="T390" s="398"/>
      <c r="U390" s="398"/>
      <c r="V390" s="738"/>
      <c r="W390" s="738"/>
      <c r="X390" s="738"/>
    </row>
    <row r="391" spans="1:24" ht="15.75" customHeight="1">
      <c r="A391" s="398"/>
      <c r="B391" s="398"/>
      <c r="C391" s="564"/>
      <c r="D391" s="564"/>
      <c r="E391" s="564"/>
      <c r="F391" s="564"/>
      <c r="G391" s="564"/>
      <c r="H391" s="564"/>
      <c r="I391" s="564"/>
      <c r="J391" s="564"/>
      <c r="K391" s="564"/>
      <c r="L391" s="564"/>
      <c r="M391" s="564"/>
      <c r="N391" s="564"/>
      <c r="O391" s="398"/>
      <c r="P391" s="398"/>
      <c r="Q391" s="398"/>
      <c r="R391" s="398"/>
      <c r="S391" s="398"/>
      <c r="T391" s="398"/>
      <c r="U391" s="398"/>
      <c r="V391" s="738"/>
      <c r="W391" s="738"/>
      <c r="X391" s="738"/>
    </row>
    <row r="392" spans="1:24" ht="15.75" customHeight="1">
      <c r="A392" s="398"/>
      <c r="B392" s="398"/>
      <c r="C392" s="564"/>
      <c r="D392" s="564"/>
      <c r="E392" s="564"/>
      <c r="F392" s="564"/>
      <c r="G392" s="564"/>
      <c r="H392" s="564"/>
      <c r="I392" s="564"/>
      <c r="J392" s="564"/>
      <c r="K392" s="564"/>
      <c r="L392" s="564"/>
      <c r="M392" s="564"/>
      <c r="N392" s="564"/>
      <c r="O392" s="398"/>
      <c r="P392" s="398"/>
      <c r="Q392" s="398"/>
      <c r="R392" s="398"/>
      <c r="S392" s="398"/>
      <c r="T392" s="398"/>
      <c r="U392" s="398"/>
      <c r="V392" s="738"/>
      <c r="W392" s="738"/>
      <c r="X392" s="738"/>
    </row>
    <row r="393" spans="1:24" ht="15.75" customHeight="1">
      <c r="A393" s="398"/>
      <c r="B393" s="398"/>
      <c r="C393" s="564"/>
      <c r="D393" s="564"/>
      <c r="E393" s="564"/>
      <c r="F393" s="564"/>
      <c r="G393" s="564"/>
      <c r="H393" s="564"/>
      <c r="I393" s="564"/>
      <c r="J393" s="564"/>
      <c r="K393" s="564"/>
      <c r="L393" s="564"/>
      <c r="M393" s="564"/>
      <c r="N393" s="564"/>
      <c r="O393" s="398"/>
      <c r="P393" s="398"/>
      <c r="Q393" s="398"/>
      <c r="R393" s="398"/>
      <c r="S393" s="398"/>
      <c r="T393" s="398"/>
      <c r="U393" s="398"/>
      <c r="V393" s="738"/>
      <c r="W393" s="738"/>
      <c r="X393" s="738"/>
    </row>
    <row r="394" spans="1:24" ht="15.75" customHeight="1">
      <c r="A394" s="398"/>
      <c r="B394" s="398"/>
      <c r="C394" s="564"/>
      <c r="D394" s="564"/>
      <c r="E394" s="564"/>
      <c r="F394" s="564"/>
      <c r="G394" s="564"/>
      <c r="H394" s="564"/>
      <c r="I394" s="564"/>
      <c r="J394" s="564"/>
      <c r="K394" s="564"/>
      <c r="L394" s="564"/>
      <c r="M394" s="564"/>
      <c r="N394" s="564"/>
      <c r="O394" s="398"/>
      <c r="P394" s="398"/>
      <c r="Q394" s="398"/>
      <c r="R394" s="398"/>
      <c r="S394" s="398"/>
      <c r="T394" s="398"/>
      <c r="U394" s="398"/>
      <c r="V394" s="738"/>
      <c r="W394" s="738"/>
      <c r="X394" s="738"/>
    </row>
    <row r="395" spans="1:24" ht="15.75" customHeight="1">
      <c r="A395" s="398"/>
      <c r="B395" s="398"/>
      <c r="C395" s="564"/>
      <c r="D395" s="564"/>
      <c r="E395" s="564"/>
      <c r="F395" s="564"/>
      <c r="G395" s="564"/>
      <c r="H395" s="564"/>
      <c r="I395" s="564"/>
      <c r="J395" s="564"/>
      <c r="K395" s="564"/>
      <c r="L395" s="564"/>
      <c r="M395" s="564"/>
      <c r="N395" s="564"/>
      <c r="O395" s="398"/>
      <c r="P395" s="398"/>
      <c r="Q395" s="398"/>
      <c r="R395" s="398"/>
      <c r="S395" s="398"/>
      <c r="T395" s="398"/>
      <c r="U395" s="398"/>
      <c r="V395" s="738"/>
      <c r="W395" s="738"/>
      <c r="X395" s="738"/>
    </row>
    <row r="396" spans="1:24" ht="15.75" customHeight="1">
      <c r="A396" s="398"/>
      <c r="B396" s="398"/>
      <c r="C396" s="564"/>
      <c r="D396" s="564"/>
      <c r="E396" s="564"/>
      <c r="F396" s="564"/>
      <c r="G396" s="564"/>
      <c r="H396" s="564"/>
      <c r="I396" s="564"/>
      <c r="J396" s="564"/>
      <c r="K396" s="564"/>
      <c r="L396" s="564"/>
      <c r="M396" s="564"/>
      <c r="N396" s="564"/>
      <c r="O396" s="398"/>
      <c r="P396" s="398"/>
      <c r="Q396" s="398"/>
      <c r="R396" s="398"/>
      <c r="S396" s="398"/>
      <c r="T396" s="398"/>
      <c r="U396" s="398"/>
      <c r="V396" s="738"/>
      <c r="W396" s="738"/>
      <c r="X396" s="738"/>
    </row>
    <row r="397" spans="1:24" ht="15.75" customHeight="1">
      <c r="A397" s="398"/>
      <c r="B397" s="398"/>
      <c r="C397" s="564"/>
      <c r="D397" s="564"/>
      <c r="E397" s="564"/>
      <c r="F397" s="564"/>
      <c r="G397" s="564"/>
      <c r="H397" s="564"/>
      <c r="I397" s="564"/>
      <c r="J397" s="564"/>
      <c r="K397" s="564"/>
      <c r="L397" s="564"/>
      <c r="M397" s="564"/>
      <c r="N397" s="564"/>
      <c r="O397" s="398"/>
      <c r="P397" s="398"/>
      <c r="Q397" s="398"/>
      <c r="R397" s="398"/>
      <c r="S397" s="398"/>
      <c r="T397" s="398"/>
      <c r="U397" s="398"/>
      <c r="V397" s="738"/>
      <c r="W397" s="738"/>
      <c r="X397" s="738"/>
    </row>
    <row r="398" spans="1:24" ht="15.75" customHeight="1">
      <c r="A398" s="398"/>
      <c r="B398" s="398"/>
      <c r="C398" s="564"/>
      <c r="D398" s="564"/>
      <c r="E398" s="564"/>
      <c r="F398" s="564"/>
      <c r="G398" s="564"/>
      <c r="H398" s="564"/>
      <c r="I398" s="564"/>
      <c r="J398" s="564"/>
      <c r="K398" s="564"/>
      <c r="L398" s="564"/>
      <c r="M398" s="564"/>
      <c r="N398" s="564"/>
      <c r="O398" s="398"/>
      <c r="P398" s="398"/>
      <c r="Q398" s="398"/>
      <c r="R398" s="398"/>
      <c r="S398" s="398"/>
      <c r="T398" s="398"/>
      <c r="U398" s="398"/>
      <c r="V398" s="738"/>
      <c r="W398" s="738"/>
      <c r="X398" s="738"/>
    </row>
    <row r="399" spans="1:24" ht="15.75" customHeight="1">
      <c r="A399" s="398"/>
      <c r="B399" s="398"/>
      <c r="C399" s="564"/>
      <c r="D399" s="564"/>
      <c r="E399" s="564"/>
      <c r="F399" s="564"/>
      <c r="G399" s="564"/>
      <c r="H399" s="564"/>
      <c r="I399" s="564"/>
      <c r="J399" s="564"/>
      <c r="K399" s="564"/>
      <c r="L399" s="564"/>
      <c r="M399" s="564"/>
      <c r="N399" s="564"/>
      <c r="O399" s="398"/>
      <c r="P399" s="398"/>
      <c r="Q399" s="398"/>
      <c r="R399" s="398"/>
      <c r="S399" s="398"/>
      <c r="T399" s="398"/>
      <c r="U399" s="398"/>
      <c r="V399" s="738"/>
      <c r="W399" s="738"/>
      <c r="X399" s="738"/>
    </row>
    <row r="400" spans="1:24" ht="15.75" customHeight="1">
      <c r="A400" s="398"/>
      <c r="B400" s="398"/>
      <c r="C400" s="564"/>
      <c r="D400" s="564"/>
      <c r="E400" s="564"/>
      <c r="F400" s="564"/>
      <c r="G400" s="564"/>
      <c r="H400" s="564"/>
      <c r="I400" s="564"/>
      <c r="J400" s="564"/>
      <c r="K400" s="564"/>
      <c r="L400" s="564"/>
      <c r="M400" s="564"/>
      <c r="N400" s="564"/>
      <c r="O400" s="398"/>
      <c r="P400" s="398"/>
      <c r="Q400" s="398"/>
      <c r="R400" s="398"/>
      <c r="S400" s="398"/>
      <c r="T400" s="398"/>
      <c r="U400" s="398"/>
      <c r="V400" s="738"/>
      <c r="W400" s="738"/>
      <c r="X400" s="738"/>
    </row>
    <row r="401" spans="1:24" ht="15.75" customHeight="1">
      <c r="A401" s="398"/>
      <c r="B401" s="398"/>
      <c r="C401" s="564"/>
      <c r="D401" s="564"/>
      <c r="E401" s="564"/>
      <c r="F401" s="564"/>
      <c r="G401" s="564"/>
      <c r="H401" s="564"/>
      <c r="I401" s="564"/>
      <c r="J401" s="564"/>
      <c r="K401" s="564"/>
      <c r="L401" s="564"/>
      <c r="M401" s="564"/>
      <c r="N401" s="564"/>
      <c r="O401" s="398"/>
      <c r="P401" s="398"/>
      <c r="Q401" s="398"/>
      <c r="R401" s="398"/>
      <c r="S401" s="398"/>
      <c r="T401" s="398"/>
      <c r="U401" s="398"/>
      <c r="V401" s="738"/>
      <c r="W401" s="738"/>
      <c r="X401" s="738"/>
    </row>
    <row r="402" spans="1:24" ht="15.75" customHeight="1">
      <c r="A402" s="398"/>
      <c r="B402" s="398"/>
      <c r="C402" s="564"/>
      <c r="D402" s="564"/>
      <c r="E402" s="564"/>
      <c r="F402" s="564"/>
      <c r="G402" s="564"/>
      <c r="H402" s="564"/>
      <c r="I402" s="564"/>
      <c r="J402" s="564"/>
      <c r="K402" s="564"/>
      <c r="L402" s="564"/>
      <c r="M402" s="564"/>
      <c r="N402" s="564"/>
      <c r="O402" s="398"/>
      <c r="P402" s="398"/>
      <c r="Q402" s="398"/>
      <c r="R402" s="398"/>
      <c r="S402" s="398"/>
      <c r="T402" s="398"/>
      <c r="U402" s="398"/>
      <c r="V402" s="738"/>
      <c r="W402" s="738"/>
      <c r="X402" s="738"/>
    </row>
    <row r="403" spans="1:24" ht="15.75" customHeight="1">
      <c r="A403" s="398"/>
      <c r="B403" s="398"/>
      <c r="C403" s="564"/>
      <c r="D403" s="564"/>
      <c r="E403" s="564"/>
      <c r="F403" s="564"/>
      <c r="G403" s="564"/>
      <c r="H403" s="564"/>
      <c r="I403" s="564"/>
      <c r="J403" s="564"/>
      <c r="K403" s="564"/>
      <c r="L403" s="564"/>
      <c r="M403" s="564"/>
      <c r="N403" s="564"/>
      <c r="O403" s="398"/>
      <c r="P403" s="398"/>
      <c r="Q403" s="398"/>
      <c r="R403" s="398"/>
      <c r="S403" s="398"/>
      <c r="T403" s="398"/>
      <c r="U403" s="398"/>
      <c r="V403" s="738"/>
      <c r="W403" s="738"/>
      <c r="X403" s="738"/>
    </row>
    <row r="404" spans="1:24" ht="15.75" customHeight="1">
      <c r="A404" s="398"/>
      <c r="B404" s="398"/>
      <c r="C404" s="564"/>
      <c r="D404" s="564"/>
      <c r="E404" s="564"/>
      <c r="F404" s="564"/>
      <c r="G404" s="564"/>
      <c r="H404" s="564"/>
      <c r="I404" s="564"/>
      <c r="J404" s="564"/>
      <c r="K404" s="564"/>
      <c r="L404" s="564"/>
      <c r="M404" s="564"/>
      <c r="N404" s="564"/>
      <c r="O404" s="398"/>
      <c r="P404" s="398"/>
      <c r="Q404" s="398"/>
      <c r="R404" s="398"/>
      <c r="S404" s="398"/>
      <c r="T404" s="398"/>
      <c r="U404" s="398"/>
      <c r="V404" s="738"/>
      <c r="W404" s="738"/>
      <c r="X404" s="738"/>
    </row>
    <row r="405" spans="1:24" ht="15.75" customHeight="1">
      <c r="A405" s="398"/>
      <c r="B405" s="398"/>
      <c r="C405" s="564"/>
      <c r="D405" s="564"/>
      <c r="E405" s="564"/>
      <c r="F405" s="564"/>
      <c r="G405" s="564"/>
      <c r="H405" s="564"/>
      <c r="I405" s="564"/>
      <c r="J405" s="564"/>
      <c r="K405" s="564"/>
      <c r="L405" s="564"/>
      <c r="M405" s="564"/>
      <c r="N405" s="564"/>
      <c r="O405" s="398"/>
      <c r="P405" s="398"/>
      <c r="Q405" s="398"/>
      <c r="R405" s="398"/>
      <c r="S405" s="398"/>
      <c r="T405" s="398"/>
      <c r="U405" s="398"/>
      <c r="V405" s="738"/>
      <c r="W405" s="738"/>
      <c r="X405" s="738"/>
    </row>
    <row r="406" spans="1:24" ht="15.75" customHeight="1">
      <c r="A406" s="398"/>
      <c r="B406" s="398"/>
      <c r="C406" s="564"/>
      <c r="D406" s="564"/>
      <c r="E406" s="564"/>
      <c r="F406" s="564"/>
      <c r="G406" s="564"/>
      <c r="H406" s="564"/>
      <c r="I406" s="564"/>
      <c r="J406" s="564"/>
      <c r="K406" s="564"/>
      <c r="L406" s="564"/>
      <c r="M406" s="564"/>
      <c r="N406" s="564"/>
      <c r="O406" s="398"/>
      <c r="P406" s="398"/>
      <c r="Q406" s="398"/>
      <c r="R406" s="398"/>
      <c r="S406" s="398"/>
      <c r="T406" s="398"/>
      <c r="U406" s="398"/>
      <c r="V406" s="738"/>
      <c r="W406" s="738"/>
      <c r="X406" s="738"/>
    </row>
    <row r="407" spans="1:24" ht="15.75" customHeight="1">
      <c r="A407" s="398"/>
      <c r="B407" s="398"/>
      <c r="C407" s="564"/>
      <c r="D407" s="564"/>
      <c r="E407" s="564"/>
      <c r="F407" s="564"/>
      <c r="G407" s="564"/>
      <c r="H407" s="564"/>
      <c r="I407" s="564"/>
      <c r="J407" s="564"/>
      <c r="K407" s="564"/>
      <c r="L407" s="564"/>
      <c r="M407" s="564"/>
      <c r="N407" s="564"/>
      <c r="O407" s="398"/>
      <c r="P407" s="398"/>
      <c r="Q407" s="398"/>
      <c r="R407" s="398"/>
      <c r="S407" s="398"/>
      <c r="T407" s="398"/>
      <c r="U407" s="398"/>
      <c r="V407" s="738"/>
      <c r="W407" s="738"/>
      <c r="X407" s="738"/>
    </row>
    <row r="408" spans="1:24" ht="15.75" customHeight="1">
      <c r="A408" s="398"/>
      <c r="B408" s="398"/>
      <c r="C408" s="564"/>
      <c r="D408" s="564"/>
      <c r="E408" s="564"/>
      <c r="F408" s="564"/>
      <c r="G408" s="564"/>
      <c r="H408" s="564"/>
      <c r="I408" s="564"/>
      <c r="J408" s="564"/>
      <c r="K408" s="564"/>
      <c r="L408" s="564"/>
      <c r="M408" s="564"/>
      <c r="N408" s="564"/>
      <c r="O408" s="398"/>
      <c r="P408" s="398"/>
      <c r="Q408" s="398"/>
      <c r="R408" s="398"/>
      <c r="S408" s="398"/>
      <c r="T408" s="398"/>
      <c r="U408" s="398"/>
      <c r="V408" s="738"/>
      <c r="W408" s="738"/>
      <c r="X408" s="738"/>
    </row>
    <row r="409" spans="1:24" ht="15.75" customHeight="1">
      <c r="A409" s="398"/>
      <c r="B409" s="398"/>
      <c r="C409" s="564"/>
      <c r="D409" s="564"/>
      <c r="E409" s="564"/>
      <c r="F409" s="564"/>
      <c r="G409" s="564"/>
      <c r="H409" s="564"/>
      <c r="I409" s="564"/>
      <c r="J409" s="564"/>
      <c r="K409" s="564"/>
      <c r="L409" s="564"/>
      <c r="M409" s="564"/>
      <c r="N409" s="564"/>
      <c r="O409" s="398"/>
      <c r="P409" s="398"/>
      <c r="Q409" s="398"/>
      <c r="R409" s="398"/>
      <c r="S409" s="398"/>
      <c r="T409" s="398"/>
      <c r="U409" s="398"/>
      <c r="V409" s="738"/>
      <c r="W409" s="738"/>
      <c r="X409" s="738"/>
    </row>
    <row r="410" spans="1:24" ht="15.75" customHeight="1">
      <c r="A410" s="398"/>
      <c r="B410" s="398"/>
      <c r="C410" s="564"/>
      <c r="D410" s="564"/>
      <c r="E410" s="564"/>
      <c r="F410" s="564"/>
      <c r="G410" s="564"/>
      <c r="H410" s="564"/>
      <c r="I410" s="564"/>
      <c r="J410" s="564"/>
      <c r="K410" s="564"/>
      <c r="L410" s="564"/>
      <c r="M410" s="564"/>
      <c r="N410" s="564"/>
      <c r="O410" s="398"/>
      <c r="P410" s="398"/>
      <c r="Q410" s="398"/>
      <c r="R410" s="398"/>
      <c r="S410" s="398"/>
      <c r="T410" s="398"/>
      <c r="U410" s="398"/>
      <c r="V410" s="738"/>
      <c r="W410" s="738"/>
      <c r="X410" s="738"/>
    </row>
    <row r="411" spans="1:24" ht="15.75" customHeight="1">
      <c r="A411" s="398"/>
      <c r="B411" s="398"/>
      <c r="C411" s="564"/>
      <c r="D411" s="564"/>
      <c r="E411" s="564"/>
      <c r="F411" s="564"/>
      <c r="G411" s="564"/>
      <c r="H411" s="564"/>
      <c r="I411" s="564"/>
      <c r="J411" s="564"/>
      <c r="K411" s="564"/>
      <c r="L411" s="564"/>
      <c r="M411" s="564"/>
      <c r="N411" s="564"/>
      <c r="O411" s="398"/>
      <c r="P411" s="398"/>
      <c r="Q411" s="398"/>
      <c r="R411" s="398"/>
      <c r="S411" s="398"/>
      <c r="T411" s="398"/>
      <c r="U411" s="398"/>
      <c r="V411" s="738"/>
      <c r="W411" s="738"/>
      <c r="X411" s="738"/>
    </row>
    <row r="412" spans="1:24" ht="15.75" customHeight="1">
      <c r="A412" s="398"/>
      <c r="B412" s="398"/>
      <c r="C412" s="564"/>
      <c r="D412" s="564"/>
      <c r="E412" s="564"/>
      <c r="F412" s="564"/>
      <c r="G412" s="564"/>
      <c r="H412" s="564"/>
      <c r="I412" s="564"/>
      <c r="J412" s="564"/>
      <c r="K412" s="564"/>
      <c r="L412" s="564"/>
      <c r="M412" s="564"/>
      <c r="N412" s="564"/>
      <c r="O412" s="398"/>
      <c r="P412" s="398"/>
      <c r="Q412" s="398"/>
      <c r="R412" s="398"/>
      <c r="S412" s="398"/>
      <c r="T412" s="398"/>
      <c r="U412" s="398"/>
      <c r="V412" s="738"/>
      <c r="W412" s="738"/>
      <c r="X412" s="738"/>
    </row>
    <row r="413" spans="1:24" ht="15.75" customHeight="1">
      <c r="A413" s="398"/>
      <c r="B413" s="398"/>
      <c r="C413" s="564"/>
      <c r="D413" s="564"/>
      <c r="E413" s="564"/>
      <c r="F413" s="564"/>
      <c r="G413" s="564"/>
      <c r="H413" s="564"/>
      <c r="I413" s="564"/>
      <c r="J413" s="564"/>
      <c r="K413" s="564"/>
      <c r="L413" s="564"/>
      <c r="M413" s="564"/>
      <c r="N413" s="564"/>
      <c r="O413" s="398"/>
      <c r="P413" s="398"/>
      <c r="Q413" s="398"/>
      <c r="R413" s="398"/>
      <c r="S413" s="398"/>
      <c r="T413" s="398"/>
      <c r="U413" s="398"/>
      <c r="V413" s="738"/>
      <c r="W413" s="738"/>
      <c r="X413" s="738"/>
    </row>
    <row r="414" spans="1:24" ht="15.75" customHeight="1">
      <c r="A414" s="398"/>
      <c r="B414" s="398"/>
      <c r="C414" s="564"/>
      <c r="D414" s="564"/>
      <c r="E414" s="564"/>
      <c r="F414" s="564"/>
      <c r="G414" s="564"/>
      <c r="H414" s="564"/>
      <c r="I414" s="564"/>
      <c r="J414" s="564"/>
      <c r="K414" s="564"/>
      <c r="L414" s="564"/>
      <c r="M414" s="564"/>
      <c r="N414" s="564"/>
      <c r="O414" s="398"/>
      <c r="P414" s="398"/>
      <c r="Q414" s="398"/>
      <c r="R414" s="398"/>
      <c r="S414" s="398"/>
      <c r="T414" s="398"/>
      <c r="U414" s="398"/>
      <c r="V414" s="738"/>
      <c r="W414" s="738"/>
      <c r="X414" s="738"/>
    </row>
    <row r="415" spans="1:24" ht="15.75" customHeight="1">
      <c r="A415" s="398"/>
      <c r="B415" s="398"/>
      <c r="C415" s="564"/>
      <c r="D415" s="564"/>
      <c r="E415" s="564"/>
      <c r="F415" s="564"/>
      <c r="G415" s="564"/>
      <c r="H415" s="564"/>
      <c r="I415" s="564"/>
      <c r="J415" s="564"/>
      <c r="K415" s="564"/>
      <c r="L415" s="564"/>
      <c r="M415" s="564"/>
      <c r="N415" s="564"/>
      <c r="O415" s="398"/>
      <c r="P415" s="398"/>
      <c r="Q415" s="398"/>
      <c r="R415" s="398"/>
      <c r="S415" s="398"/>
      <c r="T415" s="398"/>
      <c r="U415" s="398"/>
      <c r="V415" s="738"/>
      <c r="W415" s="738"/>
      <c r="X415" s="738"/>
    </row>
    <row r="416" spans="1:24" ht="15.75" customHeight="1">
      <c r="A416" s="398"/>
      <c r="B416" s="398"/>
      <c r="C416" s="564"/>
      <c r="D416" s="564"/>
      <c r="E416" s="564"/>
      <c r="F416" s="564"/>
      <c r="G416" s="564"/>
      <c r="H416" s="564"/>
      <c r="I416" s="564"/>
      <c r="J416" s="564"/>
      <c r="K416" s="564"/>
      <c r="L416" s="564"/>
      <c r="M416" s="564"/>
      <c r="N416" s="564"/>
      <c r="O416" s="398"/>
      <c r="P416" s="398"/>
      <c r="Q416" s="398"/>
      <c r="R416" s="398"/>
      <c r="S416" s="398"/>
      <c r="T416" s="398"/>
      <c r="U416" s="398"/>
      <c r="V416" s="738"/>
      <c r="W416" s="738"/>
      <c r="X416" s="738"/>
    </row>
    <row r="417" spans="1:24" ht="15.75" customHeight="1">
      <c r="A417" s="398"/>
      <c r="B417" s="398"/>
      <c r="C417" s="564"/>
      <c r="D417" s="564"/>
      <c r="E417" s="564"/>
      <c r="F417" s="564"/>
      <c r="G417" s="564"/>
      <c r="H417" s="564"/>
      <c r="I417" s="564"/>
      <c r="J417" s="564"/>
      <c r="K417" s="564"/>
      <c r="L417" s="564"/>
      <c r="M417" s="564"/>
      <c r="N417" s="564"/>
      <c r="O417" s="398"/>
      <c r="P417" s="398"/>
      <c r="Q417" s="398"/>
      <c r="R417" s="398"/>
      <c r="S417" s="398"/>
      <c r="T417" s="398"/>
      <c r="U417" s="398"/>
      <c r="V417" s="738"/>
      <c r="W417" s="738"/>
      <c r="X417" s="738"/>
    </row>
    <row r="418" spans="1:24" ht="15.75" customHeight="1">
      <c r="A418" s="398"/>
      <c r="B418" s="398"/>
      <c r="C418" s="564"/>
      <c r="D418" s="564"/>
      <c r="E418" s="564"/>
      <c r="F418" s="564"/>
      <c r="G418" s="564"/>
      <c r="H418" s="564"/>
      <c r="I418" s="564"/>
      <c r="J418" s="564"/>
      <c r="K418" s="564"/>
      <c r="L418" s="564"/>
      <c r="M418" s="564"/>
      <c r="N418" s="564"/>
      <c r="O418" s="398"/>
      <c r="P418" s="398"/>
      <c r="Q418" s="398"/>
      <c r="R418" s="398"/>
      <c r="S418" s="398"/>
      <c r="T418" s="398"/>
      <c r="U418" s="398"/>
      <c r="V418" s="738"/>
      <c r="W418" s="738"/>
      <c r="X418" s="738"/>
    </row>
    <row r="419" spans="1:24" ht="15.75" customHeight="1">
      <c r="A419" s="398"/>
      <c r="B419" s="398"/>
      <c r="C419" s="564"/>
      <c r="D419" s="564"/>
      <c r="E419" s="564"/>
      <c r="F419" s="564"/>
      <c r="G419" s="564"/>
      <c r="H419" s="564"/>
      <c r="I419" s="564"/>
      <c r="J419" s="564"/>
      <c r="K419" s="564"/>
      <c r="L419" s="564"/>
      <c r="M419" s="564"/>
      <c r="N419" s="564"/>
      <c r="O419" s="398"/>
      <c r="P419" s="398"/>
      <c r="Q419" s="398"/>
      <c r="R419" s="398"/>
      <c r="S419" s="398"/>
      <c r="T419" s="398"/>
      <c r="U419" s="398"/>
      <c r="V419" s="738"/>
      <c r="W419" s="738"/>
      <c r="X419" s="738"/>
    </row>
    <row r="420" spans="1:24" ht="15.75" customHeight="1">
      <c r="A420" s="398"/>
      <c r="B420" s="398"/>
      <c r="C420" s="564"/>
      <c r="D420" s="564"/>
      <c r="E420" s="564"/>
      <c r="F420" s="564"/>
      <c r="G420" s="564"/>
      <c r="H420" s="564"/>
      <c r="I420" s="564"/>
      <c r="J420" s="564"/>
      <c r="K420" s="564"/>
      <c r="L420" s="564"/>
      <c r="M420" s="564"/>
      <c r="N420" s="564"/>
      <c r="O420" s="398"/>
      <c r="P420" s="398"/>
      <c r="Q420" s="398"/>
      <c r="R420" s="398"/>
      <c r="S420" s="398"/>
      <c r="T420" s="398"/>
      <c r="U420" s="398"/>
      <c r="V420" s="738"/>
      <c r="W420" s="738"/>
      <c r="X420" s="738"/>
    </row>
    <row r="421" spans="1:24" ht="15.75" customHeight="1">
      <c r="A421" s="398"/>
      <c r="B421" s="398"/>
      <c r="C421" s="564"/>
      <c r="D421" s="564"/>
      <c r="E421" s="564"/>
      <c r="F421" s="564"/>
      <c r="G421" s="564"/>
      <c r="H421" s="564"/>
      <c r="I421" s="564"/>
      <c r="J421" s="564"/>
      <c r="K421" s="564"/>
      <c r="L421" s="564"/>
      <c r="M421" s="564"/>
      <c r="N421" s="564"/>
      <c r="O421" s="398"/>
      <c r="P421" s="398"/>
      <c r="Q421" s="398"/>
      <c r="R421" s="398"/>
      <c r="S421" s="398"/>
      <c r="T421" s="398"/>
      <c r="U421" s="398"/>
      <c r="V421" s="738"/>
      <c r="W421" s="738"/>
      <c r="X421" s="738"/>
    </row>
    <row r="422" spans="1:24" ht="15.75" customHeight="1">
      <c r="A422" s="398"/>
      <c r="B422" s="398"/>
      <c r="C422" s="564"/>
      <c r="D422" s="564"/>
      <c r="E422" s="564"/>
      <c r="F422" s="564"/>
      <c r="G422" s="564"/>
      <c r="H422" s="564"/>
      <c r="I422" s="564"/>
      <c r="J422" s="564"/>
      <c r="K422" s="564"/>
      <c r="L422" s="564"/>
      <c r="M422" s="564"/>
      <c r="N422" s="564"/>
      <c r="O422" s="398"/>
      <c r="P422" s="398"/>
      <c r="Q422" s="398"/>
      <c r="R422" s="398"/>
      <c r="S422" s="398"/>
      <c r="T422" s="398"/>
      <c r="U422" s="398"/>
      <c r="V422" s="738"/>
      <c r="W422" s="738"/>
      <c r="X422" s="738"/>
    </row>
    <row r="423" spans="1:24" ht="15.75" customHeight="1">
      <c r="A423" s="398"/>
      <c r="B423" s="398"/>
      <c r="C423" s="564"/>
      <c r="D423" s="564"/>
      <c r="E423" s="564"/>
      <c r="F423" s="564"/>
      <c r="G423" s="564"/>
      <c r="H423" s="564"/>
      <c r="I423" s="564"/>
      <c r="J423" s="564"/>
      <c r="K423" s="564"/>
      <c r="L423" s="564"/>
      <c r="M423" s="564"/>
      <c r="N423" s="564"/>
      <c r="O423" s="398"/>
      <c r="P423" s="398"/>
      <c r="Q423" s="398"/>
      <c r="R423" s="398"/>
      <c r="S423" s="398"/>
      <c r="T423" s="398"/>
      <c r="U423" s="398"/>
      <c r="V423" s="738"/>
      <c r="W423" s="738"/>
      <c r="X423" s="738"/>
    </row>
    <row r="424" spans="1:24" ht="15.75" customHeight="1">
      <c r="A424" s="398"/>
      <c r="B424" s="398"/>
      <c r="C424" s="564"/>
      <c r="D424" s="564"/>
      <c r="E424" s="564"/>
      <c r="F424" s="564"/>
      <c r="G424" s="564"/>
      <c r="H424" s="564"/>
      <c r="I424" s="564"/>
      <c r="J424" s="564"/>
      <c r="K424" s="564"/>
      <c r="L424" s="564"/>
      <c r="M424" s="564"/>
      <c r="N424" s="564"/>
      <c r="O424" s="398"/>
      <c r="P424" s="398"/>
      <c r="Q424" s="398"/>
      <c r="R424" s="398"/>
      <c r="S424" s="398"/>
      <c r="T424" s="398"/>
      <c r="U424" s="398"/>
      <c r="V424" s="738"/>
      <c r="W424" s="738"/>
      <c r="X424" s="738"/>
    </row>
    <row r="425" spans="1:24" ht="15.75" customHeight="1">
      <c r="A425" s="398"/>
      <c r="B425" s="398"/>
      <c r="C425" s="564"/>
      <c r="D425" s="564"/>
      <c r="E425" s="564"/>
      <c r="F425" s="564"/>
      <c r="G425" s="564"/>
      <c r="H425" s="564"/>
      <c r="I425" s="564"/>
      <c r="J425" s="564"/>
      <c r="K425" s="564"/>
      <c r="L425" s="564"/>
      <c r="M425" s="564"/>
      <c r="N425" s="564"/>
      <c r="O425" s="398"/>
      <c r="P425" s="398"/>
      <c r="Q425" s="398"/>
      <c r="R425" s="398"/>
      <c r="S425" s="398"/>
      <c r="T425" s="398"/>
      <c r="U425" s="398"/>
      <c r="V425" s="738"/>
      <c r="W425" s="738"/>
      <c r="X425" s="738"/>
    </row>
    <row r="426" spans="1:24" ht="15.75" customHeight="1">
      <c r="A426" s="398"/>
      <c r="B426" s="398"/>
      <c r="C426" s="564"/>
      <c r="D426" s="564"/>
      <c r="E426" s="564"/>
      <c r="F426" s="564"/>
      <c r="G426" s="564"/>
      <c r="H426" s="564"/>
      <c r="I426" s="564"/>
      <c r="J426" s="564"/>
      <c r="K426" s="564"/>
      <c r="L426" s="564"/>
      <c r="M426" s="564"/>
      <c r="N426" s="564"/>
      <c r="O426" s="398"/>
      <c r="P426" s="398"/>
      <c r="Q426" s="398"/>
      <c r="R426" s="398"/>
      <c r="S426" s="398"/>
      <c r="T426" s="398"/>
      <c r="U426" s="398"/>
      <c r="V426" s="738"/>
      <c r="W426" s="738"/>
      <c r="X426" s="738"/>
    </row>
    <row r="427" spans="1:24" ht="15.75" customHeight="1">
      <c r="A427" s="398"/>
      <c r="B427" s="398"/>
      <c r="C427" s="564"/>
      <c r="D427" s="564"/>
      <c r="E427" s="564"/>
      <c r="F427" s="564"/>
      <c r="G427" s="564"/>
      <c r="H427" s="564"/>
      <c r="I427" s="564"/>
      <c r="J427" s="564"/>
      <c r="K427" s="564"/>
      <c r="L427" s="564"/>
      <c r="M427" s="564"/>
      <c r="N427" s="564"/>
      <c r="O427" s="398"/>
      <c r="P427" s="398"/>
      <c r="Q427" s="398"/>
      <c r="R427" s="398"/>
      <c r="S427" s="398"/>
      <c r="T427" s="398"/>
      <c r="U427" s="398"/>
      <c r="V427" s="738"/>
      <c r="W427" s="738"/>
      <c r="X427" s="738"/>
    </row>
    <row r="428" spans="1:24" ht="15.75" customHeight="1">
      <c r="A428" s="398"/>
      <c r="B428" s="398"/>
      <c r="C428" s="564"/>
      <c r="D428" s="564"/>
      <c r="E428" s="564"/>
      <c r="F428" s="564"/>
      <c r="G428" s="564"/>
      <c r="H428" s="564"/>
      <c r="I428" s="564"/>
      <c r="J428" s="564"/>
      <c r="K428" s="564"/>
      <c r="L428" s="564"/>
      <c r="M428" s="564"/>
      <c r="N428" s="564"/>
      <c r="O428" s="398"/>
      <c r="P428" s="398"/>
      <c r="Q428" s="398"/>
      <c r="R428" s="398"/>
      <c r="S428" s="398"/>
      <c r="T428" s="398"/>
      <c r="U428" s="398"/>
      <c r="V428" s="738"/>
      <c r="W428" s="738"/>
      <c r="X428" s="738"/>
    </row>
    <row r="429" spans="1:24" ht="15.75" customHeight="1">
      <c r="A429" s="398"/>
      <c r="B429" s="398"/>
      <c r="C429" s="564"/>
      <c r="D429" s="564"/>
      <c r="E429" s="564"/>
      <c r="F429" s="564"/>
      <c r="G429" s="564"/>
      <c r="H429" s="564"/>
      <c r="I429" s="564"/>
      <c r="J429" s="564"/>
      <c r="K429" s="564"/>
      <c r="L429" s="564"/>
      <c r="M429" s="564"/>
      <c r="N429" s="564"/>
      <c r="O429" s="398"/>
      <c r="P429" s="398"/>
      <c r="Q429" s="398"/>
      <c r="R429" s="398"/>
      <c r="S429" s="398"/>
      <c r="T429" s="398"/>
      <c r="U429" s="398"/>
      <c r="V429" s="738"/>
      <c r="W429" s="738"/>
      <c r="X429" s="738"/>
    </row>
    <row r="430" spans="1:24" ht="15.75" customHeight="1">
      <c r="A430" s="398"/>
      <c r="B430" s="398"/>
      <c r="C430" s="564"/>
      <c r="D430" s="564"/>
      <c r="E430" s="564"/>
      <c r="F430" s="564"/>
      <c r="G430" s="564"/>
      <c r="H430" s="564"/>
      <c r="I430" s="564"/>
      <c r="J430" s="564"/>
      <c r="K430" s="564"/>
      <c r="L430" s="564"/>
      <c r="M430" s="564"/>
      <c r="N430" s="564"/>
      <c r="O430" s="398"/>
      <c r="P430" s="398"/>
      <c r="Q430" s="398"/>
      <c r="R430" s="398"/>
      <c r="S430" s="398"/>
      <c r="T430" s="398"/>
      <c r="U430" s="398"/>
      <c r="V430" s="738"/>
      <c r="W430" s="738"/>
      <c r="X430" s="738"/>
    </row>
    <row r="431" spans="1:24" ht="15.75" customHeight="1">
      <c r="A431" s="398"/>
      <c r="B431" s="398"/>
      <c r="C431" s="564"/>
      <c r="D431" s="564"/>
      <c r="E431" s="564"/>
      <c r="F431" s="564"/>
      <c r="G431" s="564"/>
      <c r="H431" s="564"/>
      <c r="I431" s="564"/>
      <c r="J431" s="564"/>
      <c r="K431" s="564"/>
      <c r="L431" s="564"/>
      <c r="M431" s="564"/>
      <c r="N431" s="564"/>
      <c r="O431" s="398"/>
      <c r="P431" s="398"/>
      <c r="Q431" s="398"/>
      <c r="R431" s="398"/>
      <c r="S431" s="398"/>
      <c r="T431" s="398"/>
      <c r="U431" s="398"/>
      <c r="V431" s="738"/>
      <c r="W431" s="738"/>
      <c r="X431" s="738"/>
    </row>
    <row r="432" spans="1:24" ht="15.75" customHeight="1">
      <c r="A432" s="398"/>
      <c r="B432" s="398"/>
      <c r="C432" s="564"/>
      <c r="D432" s="564"/>
      <c r="E432" s="564"/>
      <c r="F432" s="564"/>
      <c r="G432" s="564"/>
      <c r="H432" s="564"/>
      <c r="I432" s="564"/>
      <c r="J432" s="564"/>
      <c r="K432" s="564"/>
      <c r="L432" s="564"/>
      <c r="M432" s="564"/>
      <c r="N432" s="564"/>
      <c r="O432" s="398"/>
      <c r="P432" s="398"/>
      <c r="Q432" s="398"/>
      <c r="R432" s="398"/>
      <c r="S432" s="398"/>
      <c r="T432" s="398"/>
      <c r="U432" s="398"/>
      <c r="V432" s="738"/>
      <c r="W432" s="738"/>
      <c r="X432" s="738"/>
    </row>
    <row r="433" spans="1:24" ht="15.75" customHeight="1">
      <c r="A433" s="398"/>
      <c r="B433" s="398"/>
      <c r="C433" s="564"/>
      <c r="D433" s="564"/>
      <c r="E433" s="564"/>
      <c r="F433" s="564"/>
      <c r="G433" s="564"/>
      <c r="H433" s="564"/>
      <c r="I433" s="564"/>
      <c r="J433" s="564"/>
      <c r="K433" s="564"/>
      <c r="L433" s="564"/>
      <c r="M433" s="564"/>
      <c r="N433" s="564"/>
      <c r="O433" s="398"/>
      <c r="P433" s="398"/>
      <c r="Q433" s="398"/>
      <c r="R433" s="398"/>
      <c r="S433" s="398"/>
      <c r="T433" s="398"/>
      <c r="U433" s="398"/>
      <c r="V433" s="738"/>
      <c r="W433" s="738"/>
      <c r="X433" s="738"/>
    </row>
    <row r="434" spans="1:24" ht="15.75" customHeight="1">
      <c r="A434" s="398"/>
      <c r="B434" s="398"/>
      <c r="C434" s="564"/>
      <c r="D434" s="564"/>
      <c r="E434" s="564"/>
      <c r="F434" s="564"/>
      <c r="G434" s="564"/>
      <c r="H434" s="564"/>
      <c r="I434" s="564"/>
      <c r="J434" s="564"/>
      <c r="K434" s="564"/>
      <c r="L434" s="564"/>
      <c r="M434" s="564"/>
      <c r="N434" s="564"/>
      <c r="O434" s="398"/>
      <c r="P434" s="398"/>
      <c r="Q434" s="398"/>
      <c r="R434" s="398"/>
      <c r="S434" s="398"/>
      <c r="T434" s="398"/>
      <c r="U434" s="398"/>
      <c r="V434" s="738"/>
      <c r="W434" s="738"/>
      <c r="X434" s="738"/>
    </row>
    <row r="435" spans="1:24" ht="15.75" customHeight="1">
      <c r="A435" s="398"/>
      <c r="B435" s="398"/>
      <c r="C435" s="564"/>
      <c r="D435" s="564"/>
      <c r="E435" s="564"/>
      <c r="F435" s="564"/>
      <c r="G435" s="564"/>
      <c r="H435" s="564"/>
      <c r="I435" s="564"/>
      <c r="J435" s="564"/>
      <c r="K435" s="564"/>
      <c r="L435" s="564"/>
      <c r="M435" s="564"/>
      <c r="N435" s="564"/>
      <c r="O435" s="398"/>
      <c r="P435" s="398"/>
      <c r="Q435" s="398"/>
      <c r="R435" s="398"/>
      <c r="S435" s="398"/>
      <c r="T435" s="398"/>
      <c r="U435" s="398"/>
      <c r="V435" s="738"/>
      <c r="W435" s="738"/>
      <c r="X435" s="738"/>
    </row>
    <row r="436" spans="1:24" ht="15.75" customHeight="1">
      <c r="A436" s="398"/>
      <c r="B436" s="398"/>
      <c r="C436" s="564"/>
      <c r="D436" s="564"/>
      <c r="E436" s="564"/>
      <c r="F436" s="564"/>
      <c r="G436" s="564"/>
      <c r="H436" s="564"/>
      <c r="I436" s="564"/>
      <c r="J436" s="564"/>
      <c r="K436" s="564"/>
      <c r="L436" s="564"/>
      <c r="M436" s="564"/>
      <c r="N436" s="564"/>
      <c r="O436" s="398"/>
      <c r="P436" s="398"/>
      <c r="Q436" s="398"/>
      <c r="R436" s="398"/>
      <c r="S436" s="398"/>
      <c r="T436" s="398"/>
      <c r="U436" s="398"/>
      <c r="V436" s="738"/>
      <c r="W436" s="738"/>
      <c r="X436" s="738"/>
    </row>
    <row r="437" spans="1:24" ht="15.75" customHeight="1">
      <c r="A437" s="398"/>
      <c r="B437" s="398"/>
      <c r="C437" s="564"/>
      <c r="D437" s="564"/>
      <c r="E437" s="564"/>
      <c r="F437" s="564"/>
      <c r="G437" s="564"/>
      <c r="H437" s="564"/>
      <c r="I437" s="564"/>
      <c r="J437" s="564"/>
      <c r="K437" s="564"/>
      <c r="L437" s="564"/>
      <c r="M437" s="564"/>
      <c r="N437" s="564"/>
      <c r="O437" s="398"/>
      <c r="P437" s="398"/>
      <c r="Q437" s="398"/>
      <c r="R437" s="398"/>
      <c r="S437" s="398"/>
      <c r="T437" s="398"/>
      <c r="U437" s="398"/>
      <c r="V437" s="738"/>
      <c r="W437" s="738"/>
      <c r="X437" s="738"/>
    </row>
    <row r="438" spans="1:24" ht="15.75" customHeight="1">
      <c r="A438" s="398"/>
      <c r="B438" s="398"/>
      <c r="C438" s="564"/>
      <c r="D438" s="564"/>
      <c r="E438" s="564"/>
      <c r="F438" s="564"/>
      <c r="G438" s="564"/>
      <c r="H438" s="564"/>
      <c r="I438" s="564"/>
      <c r="J438" s="564"/>
      <c r="K438" s="564"/>
      <c r="L438" s="564"/>
      <c r="M438" s="564"/>
      <c r="N438" s="564"/>
      <c r="O438" s="398"/>
      <c r="P438" s="398"/>
      <c r="Q438" s="398"/>
      <c r="R438" s="398"/>
      <c r="S438" s="398"/>
      <c r="T438" s="398"/>
      <c r="U438" s="398"/>
      <c r="V438" s="738"/>
      <c r="W438" s="738"/>
      <c r="X438" s="738"/>
    </row>
    <row r="439" spans="1:24" ht="15.75" customHeight="1">
      <c r="A439" s="398"/>
      <c r="B439" s="398"/>
      <c r="C439" s="564"/>
      <c r="D439" s="564"/>
      <c r="E439" s="564"/>
      <c r="F439" s="564"/>
      <c r="G439" s="564"/>
      <c r="H439" s="564"/>
      <c r="I439" s="564"/>
      <c r="J439" s="564"/>
      <c r="K439" s="564"/>
      <c r="L439" s="564"/>
      <c r="M439" s="564"/>
      <c r="N439" s="564"/>
      <c r="O439" s="398"/>
      <c r="P439" s="398"/>
      <c r="Q439" s="398"/>
      <c r="R439" s="398"/>
      <c r="S439" s="398"/>
      <c r="T439" s="398"/>
      <c r="U439" s="398"/>
      <c r="V439" s="738"/>
      <c r="W439" s="738"/>
      <c r="X439" s="738"/>
    </row>
    <row r="440" spans="1:24" ht="15.75" customHeight="1">
      <c r="A440" s="398"/>
      <c r="B440" s="398"/>
      <c r="C440" s="564"/>
      <c r="D440" s="564"/>
      <c r="E440" s="564"/>
      <c r="F440" s="564"/>
      <c r="G440" s="564"/>
      <c r="H440" s="564"/>
      <c r="I440" s="564"/>
      <c r="J440" s="564"/>
      <c r="K440" s="564"/>
      <c r="L440" s="564"/>
      <c r="M440" s="564"/>
      <c r="N440" s="564"/>
      <c r="O440" s="398"/>
      <c r="P440" s="398"/>
      <c r="Q440" s="398"/>
      <c r="R440" s="398"/>
      <c r="S440" s="398"/>
      <c r="T440" s="398"/>
      <c r="U440" s="398"/>
      <c r="V440" s="738"/>
      <c r="W440" s="738"/>
      <c r="X440" s="738"/>
    </row>
    <row r="441" spans="1:24" ht="15.75" customHeight="1">
      <c r="A441" s="398"/>
      <c r="B441" s="398"/>
      <c r="C441" s="564"/>
      <c r="D441" s="564"/>
      <c r="E441" s="564"/>
      <c r="F441" s="564"/>
      <c r="G441" s="564"/>
      <c r="H441" s="564"/>
      <c r="I441" s="564"/>
      <c r="J441" s="564"/>
      <c r="K441" s="564"/>
      <c r="L441" s="564"/>
      <c r="M441" s="564"/>
      <c r="N441" s="564"/>
      <c r="O441" s="398"/>
      <c r="P441" s="398"/>
      <c r="Q441" s="398"/>
      <c r="R441" s="398"/>
      <c r="S441" s="398"/>
      <c r="T441" s="398"/>
      <c r="U441" s="398"/>
      <c r="V441" s="738"/>
      <c r="W441" s="738"/>
      <c r="X441" s="738"/>
    </row>
    <row r="442" spans="1:24" ht="15.75" customHeight="1">
      <c r="A442" s="398"/>
      <c r="B442" s="398"/>
      <c r="C442" s="564"/>
      <c r="D442" s="564"/>
      <c r="E442" s="564"/>
      <c r="F442" s="564"/>
      <c r="G442" s="564"/>
      <c r="H442" s="564"/>
      <c r="I442" s="564"/>
      <c r="J442" s="564"/>
      <c r="K442" s="564"/>
      <c r="L442" s="564"/>
      <c r="M442" s="564"/>
      <c r="N442" s="564"/>
      <c r="O442" s="398"/>
      <c r="P442" s="398"/>
      <c r="Q442" s="398"/>
      <c r="R442" s="398"/>
      <c r="S442" s="398"/>
      <c r="T442" s="398"/>
      <c r="U442" s="398"/>
      <c r="V442" s="738"/>
      <c r="W442" s="738"/>
      <c r="X442" s="738"/>
    </row>
    <row r="443" spans="1:24" ht="15.75" customHeight="1">
      <c r="A443" s="398"/>
      <c r="B443" s="398"/>
      <c r="C443" s="564"/>
      <c r="D443" s="564"/>
      <c r="E443" s="564"/>
      <c r="F443" s="564"/>
      <c r="G443" s="564"/>
      <c r="H443" s="564"/>
      <c r="I443" s="564"/>
      <c r="J443" s="564"/>
      <c r="K443" s="564"/>
      <c r="L443" s="564"/>
      <c r="M443" s="564"/>
      <c r="N443" s="564"/>
      <c r="O443" s="398"/>
      <c r="P443" s="398"/>
      <c r="Q443" s="398"/>
      <c r="R443" s="398"/>
      <c r="S443" s="398"/>
      <c r="T443" s="398"/>
      <c r="U443" s="398"/>
      <c r="V443" s="738"/>
      <c r="W443" s="738"/>
      <c r="X443" s="738"/>
    </row>
    <row r="444" spans="1:24" ht="15.75" customHeight="1">
      <c r="A444" s="398"/>
      <c r="B444" s="398"/>
      <c r="C444" s="564"/>
      <c r="D444" s="564"/>
      <c r="E444" s="564"/>
      <c r="F444" s="564"/>
      <c r="G444" s="564"/>
      <c r="H444" s="564"/>
      <c r="I444" s="564"/>
      <c r="J444" s="564"/>
      <c r="K444" s="564"/>
      <c r="L444" s="564"/>
      <c r="M444" s="564"/>
      <c r="N444" s="564"/>
      <c r="O444" s="398"/>
      <c r="P444" s="398"/>
      <c r="Q444" s="398"/>
      <c r="R444" s="398"/>
      <c r="S444" s="398"/>
      <c r="T444" s="398"/>
      <c r="U444" s="398"/>
      <c r="V444" s="738"/>
      <c r="W444" s="738"/>
      <c r="X444" s="738"/>
    </row>
    <row r="445" spans="1:24" ht="15.75" customHeight="1">
      <c r="A445" s="398"/>
      <c r="B445" s="398"/>
      <c r="C445" s="564"/>
      <c r="D445" s="564"/>
      <c r="E445" s="564"/>
      <c r="F445" s="564"/>
      <c r="G445" s="564"/>
      <c r="H445" s="564"/>
      <c r="I445" s="564"/>
      <c r="J445" s="564"/>
      <c r="K445" s="564"/>
      <c r="L445" s="564"/>
      <c r="M445" s="564"/>
      <c r="N445" s="564"/>
      <c r="O445" s="398"/>
      <c r="P445" s="398"/>
      <c r="Q445" s="398"/>
      <c r="R445" s="398"/>
      <c r="S445" s="398"/>
      <c r="T445" s="398"/>
      <c r="U445" s="398"/>
      <c r="V445" s="738"/>
      <c r="W445" s="738"/>
      <c r="X445" s="738"/>
    </row>
    <row r="446" spans="1:24" ht="15.75" customHeight="1">
      <c r="A446" s="398"/>
      <c r="B446" s="398"/>
      <c r="C446" s="564"/>
      <c r="D446" s="564"/>
      <c r="E446" s="564"/>
      <c r="F446" s="564"/>
      <c r="G446" s="564"/>
      <c r="H446" s="564"/>
      <c r="I446" s="564"/>
      <c r="J446" s="564"/>
      <c r="K446" s="564"/>
      <c r="L446" s="564"/>
      <c r="M446" s="564"/>
      <c r="N446" s="564"/>
      <c r="O446" s="398"/>
      <c r="P446" s="398"/>
      <c r="Q446" s="398"/>
      <c r="R446" s="398"/>
      <c r="S446" s="398"/>
      <c r="T446" s="398"/>
      <c r="U446" s="398"/>
      <c r="V446" s="738"/>
      <c r="W446" s="738"/>
      <c r="X446" s="738"/>
    </row>
    <row r="447" spans="1:24" ht="15.75" customHeight="1">
      <c r="A447" s="398"/>
      <c r="B447" s="398"/>
      <c r="C447" s="564"/>
      <c r="D447" s="564"/>
      <c r="E447" s="564"/>
      <c r="F447" s="564"/>
      <c r="G447" s="564"/>
      <c r="H447" s="564"/>
      <c r="I447" s="564"/>
      <c r="J447" s="564"/>
      <c r="K447" s="564"/>
      <c r="L447" s="564"/>
      <c r="M447" s="564"/>
      <c r="N447" s="564"/>
      <c r="O447" s="398"/>
      <c r="P447" s="398"/>
      <c r="Q447" s="398"/>
      <c r="R447" s="398"/>
      <c r="S447" s="398"/>
      <c r="T447" s="398"/>
      <c r="U447" s="398"/>
      <c r="V447" s="738"/>
      <c r="W447" s="738"/>
      <c r="X447" s="738"/>
    </row>
    <row r="448" spans="1:24" ht="15.75" customHeight="1">
      <c r="A448" s="398"/>
      <c r="B448" s="398"/>
      <c r="C448" s="564"/>
      <c r="D448" s="564"/>
      <c r="E448" s="564"/>
      <c r="F448" s="564"/>
      <c r="G448" s="564"/>
      <c r="H448" s="564"/>
      <c r="I448" s="564"/>
      <c r="J448" s="564"/>
      <c r="K448" s="564"/>
      <c r="L448" s="564"/>
      <c r="M448" s="564"/>
      <c r="N448" s="564"/>
      <c r="O448" s="398"/>
      <c r="P448" s="398"/>
      <c r="Q448" s="398"/>
      <c r="R448" s="398"/>
      <c r="S448" s="398"/>
      <c r="T448" s="398"/>
      <c r="U448" s="398"/>
      <c r="V448" s="738"/>
      <c r="W448" s="738"/>
      <c r="X448" s="738"/>
    </row>
    <row r="449" spans="1:24" ht="15.75" customHeight="1">
      <c r="A449" s="398"/>
      <c r="B449" s="398"/>
      <c r="C449" s="564"/>
      <c r="D449" s="564"/>
      <c r="E449" s="564"/>
      <c r="F449" s="564"/>
      <c r="G449" s="564"/>
      <c r="H449" s="564"/>
      <c r="I449" s="564"/>
      <c r="J449" s="564"/>
      <c r="K449" s="564"/>
      <c r="L449" s="564"/>
      <c r="M449" s="564"/>
      <c r="N449" s="564"/>
      <c r="O449" s="398"/>
      <c r="P449" s="398"/>
      <c r="Q449" s="398"/>
      <c r="R449" s="398"/>
      <c r="S449" s="398"/>
      <c r="T449" s="398"/>
      <c r="U449" s="398"/>
      <c r="V449" s="738"/>
      <c r="W449" s="738"/>
      <c r="X449" s="738"/>
    </row>
    <row r="450" spans="1:24" ht="15.75" customHeight="1">
      <c r="A450" s="398"/>
      <c r="B450" s="398"/>
      <c r="C450" s="564"/>
      <c r="D450" s="564"/>
      <c r="E450" s="564"/>
      <c r="F450" s="564"/>
      <c r="G450" s="564"/>
      <c r="H450" s="564"/>
      <c r="I450" s="564"/>
      <c r="J450" s="564"/>
      <c r="K450" s="564"/>
      <c r="L450" s="564"/>
      <c r="M450" s="564"/>
      <c r="N450" s="564"/>
      <c r="O450" s="398"/>
      <c r="P450" s="398"/>
      <c r="Q450" s="398"/>
      <c r="R450" s="398"/>
      <c r="S450" s="398"/>
      <c r="T450" s="398"/>
      <c r="U450" s="398"/>
      <c r="V450" s="738"/>
      <c r="W450" s="738"/>
      <c r="X450" s="738"/>
    </row>
    <row r="451" spans="1:24" ht="15.75" customHeight="1">
      <c r="A451" s="398"/>
      <c r="B451" s="398"/>
      <c r="C451" s="564"/>
      <c r="D451" s="564"/>
      <c r="E451" s="564"/>
      <c r="F451" s="564"/>
      <c r="G451" s="564"/>
      <c r="H451" s="564"/>
      <c r="I451" s="564"/>
      <c r="J451" s="564"/>
      <c r="K451" s="564"/>
      <c r="L451" s="564"/>
      <c r="M451" s="564"/>
      <c r="N451" s="564"/>
      <c r="O451" s="398"/>
      <c r="P451" s="398"/>
      <c r="Q451" s="398"/>
      <c r="R451" s="398"/>
      <c r="S451" s="398"/>
      <c r="T451" s="398"/>
      <c r="U451" s="398"/>
      <c r="V451" s="738"/>
      <c r="W451" s="738"/>
      <c r="X451" s="738"/>
    </row>
    <row r="452" spans="1:24" ht="15.75" customHeight="1">
      <c r="A452" s="398"/>
      <c r="B452" s="398"/>
      <c r="C452" s="564"/>
      <c r="D452" s="564"/>
      <c r="E452" s="564"/>
      <c r="F452" s="564"/>
      <c r="G452" s="564"/>
      <c r="H452" s="564"/>
      <c r="I452" s="564"/>
      <c r="J452" s="564"/>
      <c r="K452" s="564"/>
      <c r="L452" s="564"/>
      <c r="M452" s="564"/>
      <c r="N452" s="564"/>
      <c r="O452" s="398"/>
      <c r="P452" s="398"/>
      <c r="Q452" s="398"/>
      <c r="R452" s="398"/>
      <c r="S452" s="398"/>
      <c r="T452" s="398"/>
      <c r="U452" s="398"/>
      <c r="V452" s="738"/>
      <c r="W452" s="738"/>
      <c r="X452" s="738"/>
    </row>
    <row r="453" spans="1:24" ht="15.75" customHeight="1">
      <c r="A453" s="398"/>
      <c r="B453" s="398"/>
      <c r="C453" s="564"/>
      <c r="D453" s="564"/>
      <c r="E453" s="564"/>
      <c r="F453" s="564"/>
      <c r="G453" s="564"/>
      <c r="H453" s="564"/>
      <c r="I453" s="564"/>
      <c r="J453" s="564"/>
      <c r="K453" s="564"/>
      <c r="L453" s="564"/>
      <c r="M453" s="564"/>
      <c r="N453" s="564"/>
      <c r="O453" s="398"/>
      <c r="P453" s="398"/>
      <c r="Q453" s="398"/>
      <c r="R453" s="398"/>
      <c r="S453" s="398"/>
      <c r="T453" s="398"/>
      <c r="U453" s="398"/>
      <c r="V453" s="738"/>
      <c r="W453" s="738"/>
      <c r="X453" s="738"/>
    </row>
    <row r="454" spans="1:24" ht="15.75" customHeight="1">
      <c r="A454" s="398"/>
      <c r="B454" s="398"/>
      <c r="C454" s="564"/>
      <c r="D454" s="564"/>
      <c r="E454" s="564"/>
      <c r="F454" s="564"/>
      <c r="G454" s="564"/>
      <c r="H454" s="564"/>
      <c r="I454" s="564"/>
      <c r="J454" s="564"/>
      <c r="K454" s="564"/>
      <c r="L454" s="564"/>
      <c r="M454" s="564"/>
      <c r="N454" s="564"/>
      <c r="O454" s="398"/>
      <c r="P454" s="398"/>
      <c r="Q454" s="398"/>
      <c r="R454" s="398"/>
      <c r="S454" s="398"/>
      <c r="T454" s="398"/>
      <c r="U454" s="398"/>
      <c r="V454" s="738"/>
      <c r="W454" s="738"/>
      <c r="X454" s="738"/>
    </row>
    <row r="455" spans="1:24" ht="15.75" customHeight="1">
      <c r="A455" s="487"/>
      <c r="B455" s="487"/>
      <c r="C455" s="607"/>
      <c r="D455" s="607"/>
      <c r="E455" s="607"/>
      <c r="F455" s="607"/>
      <c r="G455" s="607"/>
      <c r="H455" s="607"/>
      <c r="I455" s="607"/>
      <c r="J455" s="607"/>
      <c r="K455" s="607"/>
      <c r="L455" s="607"/>
      <c r="M455" s="607"/>
      <c r="N455" s="607"/>
      <c r="O455" s="487"/>
      <c r="P455" s="487"/>
      <c r="Q455" s="487"/>
      <c r="R455" s="487"/>
      <c r="S455" s="487"/>
      <c r="T455" s="487"/>
      <c r="U455" s="487"/>
    </row>
    <row r="456" spans="1:24" ht="15.75" customHeight="1">
      <c r="A456" s="487"/>
      <c r="B456" s="487"/>
      <c r="C456" s="607"/>
      <c r="D456" s="607"/>
      <c r="E456" s="607"/>
      <c r="F456" s="607"/>
      <c r="G456" s="607"/>
      <c r="H456" s="607"/>
      <c r="I456" s="607"/>
      <c r="J456" s="607"/>
      <c r="K456" s="607"/>
      <c r="L456" s="607"/>
      <c r="M456" s="607"/>
      <c r="N456" s="607"/>
      <c r="O456" s="487"/>
      <c r="P456" s="487"/>
      <c r="Q456" s="487"/>
      <c r="R456" s="487"/>
      <c r="S456" s="487"/>
      <c r="T456" s="487"/>
      <c r="U456" s="487"/>
    </row>
    <row r="457" spans="1:24" ht="15.75" customHeight="1">
      <c r="A457" s="487"/>
      <c r="B457" s="487"/>
      <c r="C457" s="607"/>
      <c r="D457" s="607"/>
      <c r="E457" s="607"/>
      <c r="F457" s="607"/>
      <c r="G457" s="607"/>
      <c r="H457" s="607"/>
      <c r="I457" s="607"/>
      <c r="J457" s="607"/>
      <c r="K457" s="607"/>
      <c r="L457" s="607"/>
      <c r="M457" s="607"/>
      <c r="N457" s="607"/>
      <c r="O457" s="487"/>
      <c r="P457" s="487"/>
      <c r="Q457" s="487"/>
      <c r="R457" s="487"/>
      <c r="S457" s="487"/>
      <c r="T457" s="487"/>
      <c r="U457" s="487"/>
    </row>
    <row r="458" spans="1:24" ht="15.75" customHeight="1">
      <c r="A458" s="487"/>
      <c r="B458" s="487"/>
      <c r="C458" s="607"/>
      <c r="D458" s="607"/>
      <c r="E458" s="607"/>
      <c r="F458" s="607"/>
      <c r="G458" s="607"/>
      <c r="H458" s="607"/>
      <c r="I458" s="607"/>
      <c r="J458" s="607"/>
      <c r="K458" s="607"/>
      <c r="L458" s="607"/>
      <c r="M458" s="607"/>
      <c r="N458" s="607"/>
      <c r="O458" s="487"/>
      <c r="P458" s="487"/>
      <c r="Q458" s="487"/>
      <c r="R458" s="487"/>
      <c r="S458" s="487"/>
      <c r="T458" s="487"/>
      <c r="U458" s="487"/>
    </row>
    <row r="459" spans="1:24" ht="15.75" customHeight="1">
      <c r="A459" s="487"/>
      <c r="B459" s="487"/>
      <c r="C459" s="607"/>
      <c r="D459" s="607"/>
      <c r="E459" s="607"/>
      <c r="F459" s="607"/>
      <c r="G459" s="607"/>
      <c r="H459" s="607"/>
      <c r="I459" s="607"/>
      <c r="J459" s="607"/>
      <c r="K459" s="607"/>
      <c r="L459" s="607"/>
      <c r="M459" s="607"/>
      <c r="N459" s="607"/>
      <c r="O459" s="487"/>
      <c r="P459" s="487"/>
      <c r="Q459" s="487"/>
      <c r="R459" s="487"/>
      <c r="S459" s="487"/>
      <c r="T459" s="487"/>
      <c r="U459" s="487"/>
    </row>
    <row r="460" spans="1:24" ht="15.75" customHeight="1">
      <c r="A460" s="487"/>
      <c r="B460" s="487"/>
      <c r="C460" s="607"/>
      <c r="D460" s="607"/>
      <c r="E460" s="607"/>
      <c r="F460" s="607"/>
      <c r="G460" s="607"/>
      <c r="H460" s="607"/>
      <c r="I460" s="607"/>
      <c r="J460" s="607"/>
      <c r="K460" s="607"/>
      <c r="L460" s="607"/>
      <c r="M460" s="607"/>
      <c r="N460" s="607"/>
      <c r="O460" s="487"/>
      <c r="P460" s="487"/>
      <c r="Q460" s="487"/>
      <c r="R460" s="487"/>
      <c r="S460" s="487"/>
      <c r="T460" s="487"/>
      <c r="U460" s="487"/>
    </row>
    <row r="461" spans="1:24" ht="15.75" customHeight="1">
      <c r="A461" s="487"/>
      <c r="B461" s="487"/>
      <c r="C461" s="607"/>
      <c r="D461" s="607"/>
      <c r="E461" s="607"/>
      <c r="F461" s="607"/>
      <c r="G461" s="607"/>
      <c r="H461" s="607"/>
      <c r="I461" s="607"/>
      <c r="J461" s="607"/>
      <c r="K461" s="607"/>
      <c r="L461" s="607"/>
      <c r="M461" s="607"/>
      <c r="N461" s="607"/>
      <c r="O461" s="487"/>
      <c r="P461" s="487"/>
      <c r="Q461" s="487"/>
      <c r="R461" s="487"/>
      <c r="S461" s="487"/>
      <c r="T461" s="487"/>
      <c r="U461" s="487"/>
    </row>
    <row r="462" spans="1:24" ht="15.75" customHeight="1">
      <c r="A462" s="487"/>
      <c r="B462" s="487"/>
      <c r="C462" s="607"/>
      <c r="D462" s="607"/>
      <c r="E462" s="607"/>
      <c r="F462" s="607"/>
      <c r="G462" s="607"/>
      <c r="H462" s="607"/>
      <c r="I462" s="607"/>
      <c r="J462" s="607"/>
      <c r="K462" s="607"/>
      <c r="L462" s="607"/>
      <c r="M462" s="607"/>
      <c r="N462" s="607"/>
      <c r="O462" s="487"/>
      <c r="P462" s="487"/>
      <c r="Q462" s="487"/>
      <c r="R462" s="487"/>
      <c r="S462" s="487"/>
      <c r="T462" s="487"/>
      <c r="U462" s="487"/>
    </row>
    <row r="463" spans="1:24" ht="15.75" customHeight="1">
      <c r="A463" s="487"/>
      <c r="B463" s="487"/>
      <c r="C463" s="607"/>
      <c r="D463" s="607"/>
      <c r="E463" s="607"/>
      <c r="F463" s="607"/>
      <c r="G463" s="607"/>
      <c r="H463" s="607"/>
      <c r="I463" s="607"/>
      <c r="J463" s="607"/>
      <c r="K463" s="607"/>
      <c r="L463" s="607"/>
      <c r="M463" s="607"/>
      <c r="N463" s="607"/>
      <c r="O463" s="487"/>
      <c r="P463" s="487"/>
      <c r="Q463" s="487"/>
      <c r="R463" s="487"/>
      <c r="S463" s="487"/>
      <c r="T463" s="487"/>
      <c r="U463" s="487"/>
    </row>
    <row r="464" spans="1:24" ht="15.75" customHeight="1">
      <c r="A464" s="487"/>
      <c r="B464" s="487"/>
      <c r="C464" s="607"/>
      <c r="D464" s="607"/>
      <c r="E464" s="607"/>
      <c r="F464" s="607"/>
      <c r="G464" s="607"/>
      <c r="H464" s="607"/>
      <c r="I464" s="607"/>
      <c r="J464" s="607"/>
      <c r="K464" s="607"/>
      <c r="L464" s="607"/>
      <c r="M464" s="607"/>
      <c r="N464" s="607"/>
      <c r="O464" s="487"/>
      <c r="P464" s="487"/>
      <c r="Q464" s="487"/>
      <c r="R464" s="487"/>
      <c r="S464" s="487"/>
      <c r="T464" s="487"/>
      <c r="U464" s="487"/>
    </row>
    <row r="465" spans="1:21" ht="15.75" customHeight="1">
      <c r="A465" s="487"/>
      <c r="B465" s="487"/>
      <c r="C465" s="607"/>
      <c r="D465" s="607"/>
      <c r="E465" s="607"/>
      <c r="F465" s="607"/>
      <c r="G465" s="607"/>
      <c r="H465" s="607"/>
      <c r="I465" s="607"/>
      <c r="J465" s="607"/>
      <c r="K465" s="607"/>
      <c r="L465" s="607"/>
      <c r="M465" s="607"/>
      <c r="N465" s="607"/>
      <c r="O465" s="487"/>
      <c r="P465" s="487"/>
      <c r="Q465" s="487"/>
      <c r="R465" s="487"/>
      <c r="S465" s="487"/>
      <c r="T465" s="487"/>
      <c r="U465" s="487"/>
    </row>
    <row r="466" spans="1:21" ht="15.75" customHeight="1">
      <c r="A466" s="487"/>
      <c r="B466" s="487"/>
      <c r="C466" s="607"/>
      <c r="D466" s="607"/>
      <c r="E466" s="607"/>
      <c r="F466" s="607"/>
      <c r="G466" s="607"/>
      <c r="H466" s="607"/>
      <c r="I466" s="607"/>
      <c r="J466" s="607"/>
      <c r="K466" s="607"/>
      <c r="L466" s="607"/>
      <c r="M466" s="607"/>
      <c r="N466" s="607"/>
      <c r="O466" s="487"/>
      <c r="P466" s="487"/>
      <c r="Q466" s="487"/>
      <c r="R466" s="487"/>
      <c r="S466" s="487"/>
      <c r="T466" s="487"/>
      <c r="U466" s="487"/>
    </row>
    <row r="467" spans="1:21" ht="15.75" customHeight="1">
      <c r="A467" s="487"/>
      <c r="B467" s="487"/>
      <c r="C467" s="607"/>
      <c r="D467" s="607"/>
      <c r="E467" s="607"/>
      <c r="F467" s="607"/>
      <c r="G467" s="607"/>
      <c r="H467" s="607"/>
      <c r="I467" s="607"/>
      <c r="J467" s="607"/>
      <c r="K467" s="607"/>
      <c r="L467" s="607"/>
      <c r="M467" s="607"/>
      <c r="N467" s="607"/>
      <c r="O467" s="487"/>
      <c r="P467" s="487"/>
      <c r="Q467" s="487"/>
      <c r="R467" s="487"/>
      <c r="S467" s="487"/>
      <c r="T467" s="487"/>
      <c r="U467" s="487"/>
    </row>
    <row r="468" spans="1:21" ht="15.75" customHeight="1">
      <c r="A468" s="487"/>
      <c r="B468" s="487"/>
      <c r="C468" s="607"/>
      <c r="D468" s="607"/>
      <c r="E468" s="607"/>
      <c r="F468" s="607"/>
      <c r="G468" s="607"/>
      <c r="H468" s="607"/>
      <c r="I468" s="607"/>
      <c r="J468" s="607"/>
      <c r="K468" s="607"/>
      <c r="L468" s="607"/>
      <c r="M468" s="607"/>
      <c r="N468" s="607"/>
      <c r="O468" s="487"/>
      <c r="P468" s="487"/>
      <c r="Q468" s="487"/>
      <c r="R468" s="487"/>
      <c r="S468" s="487"/>
      <c r="T468" s="487"/>
      <c r="U468" s="487"/>
    </row>
    <row r="469" spans="1:21" ht="15.75" customHeight="1">
      <c r="C469" s="794"/>
      <c r="D469" s="794"/>
      <c r="E469" s="794"/>
      <c r="F469" s="794"/>
      <c r="G469" s="794"/>
      <c r="H469" s="794"/>
      <c r="I469" s="794"/>
      <c r="J469" s="794"/>
      <c r="K469" s="794"/>
      <c r="L469" s="794"/>
      <c r="M469" s="794"/>
      <c r="N469" s="794"/>
    </row>
    <row r="470" spans="1:21" ht="15.75" customHeight="1">
      <c r="C470" s="794"/>
      <c r="D470" s="794"/>
      <c r="E470" s="794"/>
      <c r="F470" s="794"/>
      <c r="G470" s="794"/>
      <c r="H470" s="794"/>
      <c r="I470" s="794"/>
      <c r="J470" s="794"/>
      <c r="K470" s="794"/>
      <c r="L470" s="794"/>
      <c r="M470" s="794"/>
      <c r="N470" s="794"/>
    </row>
    <row r="471" spans="1:21" ht="15.75" customHeight="1">
      <c r="C471" s="794"/>
      <c r="D471" s="794"/>
      <c r="E471" s="794"/>
      <c r="F471" s="794"/>
      <c r="G471" s="794"/>
      <c r="H471" s="794"/>
      <c r="I471" s="794"/>
      <c r="J471" s="794"/>
      <c r="K471" s="794"/>
      <c r="L471" s="794"/>
      <c r="M471" s="794"/>
      <c r="N471" s="794"/>
    </row>
    <row r="472" spans="1:21" ht="15.75" customHeight="1">
      <c r="C472" s="794"/>
      <c r="D472" s="794"/>
      <c r="E472" s="794"/>
      <c r="F472" s="794"/>
      <c r="G472" s="794"/>
      <c r="H472" s="794"/>
      <c r="I472" s="794"/>
      <c r="J472" s="794"/>
      <c r="K472" s="794"/>
      <c r="L472" s="794"/>
      <c r="M472" s="794"/>
      <c r="N472" s="794"/>
    </row>
    <row r="473" spans="1:21" ht="15.75" customHeight="1">
      <c r="C473" s="794"/>
      <c r="D473" s="794"/>
      <c r="E473" s="794"/>
      <c r="F473" s="794"/>
      <c r="G473" s="794"/>
      <c r="H473" s="794"/>
      <c r="I473" s="794"/>
      <c r="J473" s="794"/>
      <c r="K473" s="794"/>
      <c r="L473" s="794"/>
      <c r="M473" s="794"/>
      <c r="N473" s="794"/>
    </row>
    <row r="474" spans="1:21" ht="15.75" customHeight="1">
      <c r="C474" s="794"/>
      <c r="D474" s="794"/>
      <c r="E474" s="794"/>
      <c r="F474" s="794"/>
      <c r="G474" s="794"/>
      <c r="H474" s="794"/>
      <c r="I474" s="794"/>
      <c r="J474" s="794"/>
      <c r="K474" s="794"/>
      <c r="L474" s="794"/>
      <c r="M474" s="794"/>
      <c r="N474" s="794"/>
    </row>
    <row r="475" spans="1:21" ht="15.75" customHeight="1">
      <c r="C475" s="794"/>
      <c r="D475" s="794"/>
      <c r="E475" s="794"/>
      <c r="F475" s="794"/>
      <c r="G475" s="794"/>
      <c r="H475" s="794"/>
      <c r="I475" s="794"/>
      <c r="J475" s="794"/>
      <c r="K475" s="794"/>
      <c r="L475" s="794"/>
      <c r="M475" s="794"/>
      <c r="N475" s="794"/>
    </row>
    <row r="476" spans="1:21" ht="15.75" customHeight="1">
      <c r="C476" s="794"/>
      <c r="D476" s="794"/>
      <c r="E476" s="794"/>
      <c r="F476" s="794"/>
      <c r="G476" s="794"/>
      <c r="H476" s="794"/>
      <c r="I476" s="794"/>
      <c r="J476" s="794"/>
      <c r="K476" s="794"/>
      <c r="L476" s="794"/>
      <c r="M476" s="794"/>
      <c r="N476" s="794"/>
    </row>
    <row r="477" spans="1:21" ht="15.75" customHeight="1">
      <c r="C477" s="794"/>
      <c r="D477" s="794"/>
      <c r="E477" s="794"/>
      <c r="F477" s="794"/>
      <c r="G477" s="794"/>
      <c r="H477" s="794"/>
      <c r="I477" s="794"/>
      <c r="J477" s="794"/>
      <c r="K477" s="794"/>
      <c r="L477" s="794"/>
      <c r="M477" s="794"/>
      <c r="N477" s="794"/>
    </row>
    <row r="478" spans="1:21" ht="15.75" customHeight="1">
      <c r="C478" s="794"/>
      <c r="D478" s="794"/>
      <c r="E478" s="794"/>
      <c r="F478" s="794"/>
      <c r="G478" s="794"/>
      <c r="H478" s="794"/>
      <c r="I478" s="794"/>
      <c r="J478" s="794"/>
      <c r="K478" s="794"/>
      <c r="L478" s="794"/>
      <c r="M478" s="794"/>
      <c r="N478" s="794"/>
    </row>
    <row r="479" spans="1:21" ht="15.75" customHeight="1">
      <c r="C479" s="794"/>
      <c r="D479" s="794"/>
      <c r="E479" s="794"/>
      <c r="F479" s="794"/>
      <c r="G479" s="794"/>
      <c r="H479" s="794"/>
      <c r="I479" s="794"/>
      <c r="J479" s="794"/>
      <c r="K479" s="794"/>
      <c r="L479" s="794"/>
      <c r="M479" s="794"/>
      <c r="N479" s="794"/>
    </row>
    <row r="480" spans="1:21" ht="15.75" customHeight="1">
      <c r="C480" s="794"/>
      <c r="D480" s="794"/>
      <c r="E480" s="794"/>
      <c r="F480" s="794"/>
      <c r="G480" s="794"/>
      <c r="H480" s="794"/>
      <c r="I480" s="794"/>
      <c r="J480" s="794"/>
      <c r="K480" s="794"/>
      <c r="L480" s="794"/>
      <c r="M480" s="794"/>
      <c r="N480" s="794"/>
    </row>
    <row r="481" spans="3:14" ht="15.75" customHeight="1">
      <c r="C481" s="794"/>
      <c r="D481" s="794"/>
      <c r="E481" s="794"/>
      <c r="F481" s="794"/>
      <c r="G481" s="794"/>
      <c r="H481" s="794"/>
      <c r="I481" s="794"/>
      <c r="J481" s="794"/>
      <c r="K481" s="794"/>
      <c r="L481" s="794"/>
      <c r="M481" s="794"/>
      <c r="N481" s="794"/>
    </row>
    <row r="482" spans="3:14" ht="15.75" customHeight="1">
      <c r="C482" s="794"/>
      <c r="D482" s="794"/>
      <c r="E482" s="794"/>
      <c r="F482" s="794"/>
      <c r="G482" s="794"/>
      <c r="H482" s="794"/>
      <c r="I482" s="794"/>
      <c r="J482" s="794"/>
      <c r="K482" s="794"/>
      <c r="L482" s="794"/>
      <c r="M482" s="794"/>
      <c r="N482" s="794"/>
    </row>
    <row r="483" spans="3:14" ht="15.75" customHeight="1">
      <c r="C483" s="794"/>
      <c r="D483" s="794"/>
      <c r="E483" s="794"/>
      <c r="F483" s="794"/>
      <c r="G483" s="794"/>
      <c r="H483" s="794"/>
      <c r="I483" s="794"/>
      <c r="J483" s="794"/>
      <c r="K483" s="794"/>
      <c r="L483" s="794"/>
      <c r="M483" s="794"/>
      <c r="N483" s="794"/>
    </row>
    <row r="484" spans="3:14" ht="15.75" customHeight="1">
      <c r="C484" s="794"/>
      <c r="D484" s="794"/>
      <c r="E484" s="794"/>
      <c r="F484" s="794"/>
      <c r="G484" s="794"/>
      <c r="H484" s="794"/>
      <c r="I484" s="794"/>
      <c r="J484" s="794"/>
      <c r="K484" s="794"/>
      <c r="L484" s="794"/>
      <c r="M484" s="794"/>
      <c r="N484" s="794"/>
    </row>
    <row r="485" spans="3:14" ht="15.75" customHeight="1">
      <c r="C485" s="794"/>
      <c r="D485" s="794"/>
      <c r="E485" s="794"/>
      <c r="F485" s="794"/>
      <c r="G485" s="794"/>
      <c r="H485" s="794"/>
      <c r="I485" s="794"/>
      <c r="J485" s="794"/>
      <c r="K485" s="794"/>
      <c r="L485" s="794"/>
      <c r="M485" s="794"/>
      <c r="N485" s="794"/>
    </row>
    <row r="486" spans="3:14" ht="15.75" customHeight="1">
      <c r="C486" s="794"/>
      <c r="D486" s="794"/>
      <c r="E486" s="794"/>
      <c r="F486" s="794"/>
      <c r="G486" s="794"/>
      <c r="H486" s="794"/>
      <c r="I486" s="794"/>
      <c r="J486" s="794"/>
      <c r="K486" s="794"/>
      <c r="L486" s="794"/>
      <c r="M486" s="794"/>
      <c r="N486" s="794"/>
    </row>
    <row r="487" spans="3:14" ht="15.75" customHeight="1">
      <c r="C487" s="794"/>
      <c r="D487" s="794"/>
      <c r="E487" s="794"/>
      <c r="F487" s="794"/>
      <c r="G487" s="794"/>
      <c r="H487" s="794"/>
      <c r="I487" s="794"/>
      <c r="J487" s="794"/>
      <c r="K487" s="794"/>
      <c r="L487" s="794"/>
      <c r="M487" s="794"/>
      <c r="N487" s="794"/>
    </row>
    <row r="488" spans="3:14" ht="15.75" customHeight="1">
      <c r="C488" s="794"/>
      <c r="D488" s="794"/>
      <c r="E488" s="794"/>
      <c r="F488" s="794"/>
      <c r="G488" s="794"/>
      <c r="H488" s="794"/>
      <c r="I488" s="794"/>
      <c r="J488" s="794"/>
      <c r="K488" s="794"/>
      <c r="L488" s="794"/>
      <c r="M488" s="794"/>
      <c r="N488" s="794"/>
    </row>
    <row r="489" spans="3:14" ht="15.75" customHeight="1">
      <c r="C489" s="794"/>
      <c r="D489" s="794"/>
      <c r="E489" s="794"/>
      <c r="F489" s="794"/>
      <c r="G489" s="794"/>
      <c r="H489" s="794"/>
      <c r="I489" s="794"/>
      <c r="J489" s="794"/>
      <c r="K489" s="794"/>
      <c r="L489" s="794"/>
      <c r="M489" s="794"/>
      <c r="N489" s="794"/>
    </row>
    <row r="490" spans="3:14" ht="15.75" customHeight="1">
      <c r="C490" s="794"/>
      <c r="D490" s="794"/>
      <c r="E490" s="794"/>
      <c r="F490" s="794"/>
      <c r="G490" s="794"/>
      <c r="H490" s="794"/>
      <c r="I490" s="794"/>
      <c r="J490" s="794"/>
      <c r="K490" s="794"/>
      <c r="L490" s="794"/>
      <c r="M490" s="794"/>
      <c r="N490" s="794"/>
    </row>
    <row r="491" spans="3:14" ht="15.75" customHeight="1">
      <c r="C491" s="794"/>
      <c r="D491" s="794"/>
      <c r="E491" s="794"/>
      <c r="F491" s="794"/>
      <c r="G491" s="794"/>
      <c r="H491" s="794"/>
      <c r="I491" s="794"/>
      <c r="J491" s="794"/>
      <c r="K491" s="794"/>
      <c r="L491" s="794"/>
      <c r="M491" s="794"/>
      <c r="N491" s="794"/>
    </row>
    <row r="492" spans="3:14" ht="15.75" customHeight="1">
      <c r="C492" s="794"/>
      <c r="D492" s="794"/>
      <c r="E492" s="794"/>
      <c r="F492" s="794"/>
      <c r="G492" s="794"/>
      <c r="H492" s="794"/>
      <c r="I492" s="794"/>
      <c r="J492" s="794"/>
      <c r="K492" s="794"/>
      <c r="L492" s="794"/>
      <c r="M492" s="794"/>
      <c r="N492" s="794"/>
    </row>
    <row r="493" spans="3:14" ht="15.75" customHeight="1">
      <c r="C493" s="794"/>
      <c r="D493" s="794"/>
      <c r="E493" s="794"/>
      <c r="F493" s="794"/>
      <c r="G493" s="794"/>
      <c r="H493" s="794"/>
      <c r="I493" s="794"/>
      <c r="J493" s="794"/>
      <c r="K493" s="794"/>
      <c r="L493" s="794"/>
      <c r="M493" s="794"/>
      <c r="N493" s="794"/>
    </row>
    <row r="494" spans="3:14" ht="15.75" customHeight="1">
      <c r="C494" s="794"/>
      <c r="D494" s="794"/>
      <c r="E494" s="794"/>
      <c r="F494" s="794"/>
      <c r="G494" s="794"/>
      <c r="H494" s="794"/>
      <c r="I494" s="794"/>
      <c r="J494" s="794"/>
      <c r="K494" s="794"/>
      <c r="L494" s="794"/>
      <c r="M494" s="794"/>
      <c r="N494" s="794"/>
    </row>
    <row r="495" spans="3:14" ht="15.75" customHeight="1">
      <c r="C495" s="794"/>
      <c r="D495" s="794"/>
      <c r="E495" s="794"/>
      <c r="F495" s="794"/>
      <c r="G495" s="794"/>
      <c r="H495" s="794"/>
      <c r="I495" s="794"/>
      <c r="J495" s="794"/>
      <c r="K495" s="794"/>
      <c r="L495" s="794"/>
      <c r="M495" s="794"/>
      <c r="N495" s="794"/>
    </row>
    <row r="496" spans="3:14" ht="14.25" customHeight="1">
      <c r="C496" s="794"/>
      <c r="D496" s="794"/>
      <c r="E496" s="794"/>
      <c r="F496" s="794"/>
      <c r="G496" s="794"/>
      <c r="H496" s="794"/>
      <c r="I496" s="794"/>
      <c r="J496" s="794"/>
      <c r="K496" s="794"/>
      <c r="L496" s="794"/>
      <c r="M496" s="794"/>
      <c r="N496" s="794"/>
    </row>
    <row r="497" spans="3:14" ht="14.25" customHeight="1">
      <c r="C497" s="794"/>
      <c r="D497" s="794"/>
      <c r="E497" s="794"/>
      <c r="F497" s="794"/>
      <c r="G497" s="794"/>
      <c r="H497" s="794"/>
      <c r="I497" s="794"/>
      <c r="J497" s="794"/>
      <c r="K497" s="794"/>
      <c r="L497" s="794"/>
      <c r="M497" s="794"/>
      <c r="N497" s="794"/>
    </row>
    <row r="498" spans="3:14" ht="14.25" customHeight="1">
      <c r="C498" s="794"/>
      <c r="D498" s="794"/>
      <c r="E498" s="794"/>
      <c r="F498" s="794"/>
      <c r="G498" s="794"/>
      <c r="H498" s="794"/>
      <c r="I498" s="794"/>
      <c r="J498" s="794"/>
      <c r="K498" s="794"/>
      <c r="L498" s="794"/>
      <c r="M498" s="794"/>
      <c r="N498" s="794"/>
    </row>
    <row r="499" spans="3:14" ht="14.25" customHeight="1">
      <c r="C499" s="794"/>
      <c r="D499" s="794"/>
      <c r="E499" s="794"/>
      <c r="F499" s="794"/>
      <c r="G499" s="794"/>
      <c r="H499" s="794"/>
      <c r="I499" s="794"/>
      <c r="J499" s="794"/>
      <c r="K499" s="794"/>
      <c r="L499" s="794"/>
      <c r="M499" s="794"/>
      <c r="N499" s="794"/>
    </row>
    <row r="500" spans="3:14" ht="14.25" customHeight="1">
      <c r="C500" s="794"/>
      <c r="D500" s="794"/>
      <c r="E500" s="794"/>
      <c r="F500" s="794"/>
      <c r="G500" s="794"/>
      <c r="H500" s="794"/>
      <c r="I500" s="794"/>
      <c r="J500" s="794"/>
      <c r="K500" s="794"/>
      <c r="L500" s="794"/>
      <c r="M500" s="794"/>
      <c r="N500" s="794"/>
    </row>
    <row r="501" spans="3:14" ht="14.25" customHeight="1">
      <c r="C501" s="794"/>
      <c r="D501" s="794"/>
      <c r="E501" s="794"/>
      <c r="F501" s="794"/>
      <c r="G501" s="794"/>
      <c r="H501" s="794"/>
      <c r="I501" s="794"/>
      <c r="J501" s="794"/>
      <c r="K501" s="794"/>
      <c r="L501" s="794"/>
      <c r="M501" s="794"/>
      <c r="N501" s="794"/>
    </row>
    <row r="502" spans="3:14" ht="14.25" customHeight="1">
      <c r="C502" s="794"/>
      <c r="D502" s="794"/>
      <c r="E502" s="794"/>
      <c r="F502" s="794"/>
      <c r="G502" s="794"/>
      <c r="H502" s="794"/>
      <c r="I502" s="794"/>
      <c r="J502" s="794"/>
      <c r="K502" s="794"/>
      <c r="L502" s="794"/>
      <c r="M502" s="794"/>
      <c r="N502" s="794"/>
    </row>
    <row r="503" spans="3:14" ht="14.25" customHeight="1">
      <c r="C503" s="794"/>
      <c r="D503" s="794"/>
      <c r="E503" s="794"/>
      <c r="F503" s="794"/>
      <c r="G503" s="794"/>
      <c r="H503" s="794"/>
      <c r="I503" s="794"/>
      <c r="J503" s="794"/>
      <c r="K503" s="794"/>
      <c r="L503" s="794"/>
      <c r="M503" s="794"/>
      <c r="N503" s="794"/>
    </row>
    <row r="504" spans="3:14" ht="14.25" customHeight="1">
      <c r="C504" s="794"/>
      <c r="D504" s="794"/>
      <c r="E504" s="794"/>
      <c r="F504" s="794"/>
      <c r="G504" s="794"/>
      <c r="H504" s="794"/>
      <c r="I504" s="794"/>
      <c r="J504" s="794"/>
      <c r="K504" s="794"/>
      <c r="L504" s="794"/>
      <c r="M504" s="794"/>
      <c r="N504" s="794"/>
    </row>
    <row r="505" spans="3:14" ht="14.25" customHeight="1">
      <c r="C505" s="794"/>
      <c r="D505" s="794"/>
      <c r="E505" s="794"/>
      <c r="F505" s="794"/>
      <c r="G505" s="794"/>
      <c r="H505" s="794"/>
      <c r="I505" s="794"/>
      <c r="J505" s="794"/>
      <c r="K505" s="794"/>
      <c r="L505" s="794"/>
      <c r="M505" s="794"/>
      <c r="N505" s="794"/>
    </row>
    <row r="506" spans="3:14" ht="14.25" customHeight="1">
      <c r="C506" s="794"/>
      <c r="D506" s="794"/>
      <c r="E506" s="794"/>
      <c r="F506" s="794"/>
      <c r="G506" s="794"/>
      <c r="H506" s="794"/>
      <c r="I506" s="794"/>
      <c r="J506" s="794"/>
      <c r="K506" s="794"/>
      <c r="L506" s="794"/>
      <c r="M506" s="794"/>
      <c r="N506" s="794"/>
    </row>
    <row r="507" spans="3:14" ht="14.25" customHeight="1">
      <c r="C507" s="794"/>
      <c r="D507" s="794"/>
      <c r="E507" s="794"/>
      <c r="F507" s="794"/>
      <c r="G507" s="794"/>
      <c r="H507" s="794"/>
      <c r="I507" s="794"/>
      <c r="J507" s="794"/>
      <c r="K507" s="794"/>
      <c r="L507" s="794"/>
      <c r="M507" s="794"/>
      <c r="N507" s="794"/>
    </row>
    <row r="508" spans="3:14" ht="14.25" customHeight="1">
      <c r="C508" s="794"/>
      <c r="D508" s="794"/>
      <c r="E508" s="794"/>
      <c r="F508" s="794"/>
      <c r="G508" s="794"/>
      <c r="H508" s="794"/>
      <c r="I508" s="794"/>
      <c r="J508" s="794"/>
      <c r="K508" s="794"/>
      <c r="L508" s="794"/>
      <c r="M508" s="794"/>
      <c r="N508" s="794"/>
    </row>
    <row r="509" spans="3:14" ht="14.25" customHeight="1">
      <c r="C509" s="794"/>
      <c r="D509" s="794"/>
      <c r="E509" s="794"/>
      <c r="F509" s="794"/>
      <c r="G509" s="794"/>
      <c r="H509" s="794"/>
      <c r="I509" s="794"/>
      <c r="J509" s="794"/>
      <c r="K509" s="794"/>
      <c r="L509" s="794"/>
      <c r="M509" s="794"/>
      <c r="N509" s="794"/>
    </row>
    <row r="510" spans="3:14" ht="14.25" customHeight="1">
      <c r="C510" s="794"/>
      <c r="D510" s="794"/>
      <c r="E510" s="794"/>
      <c r="F510" s="794"/>
      <c r="G510" s="794"/>
      <c r="H510" s="794"/>
      <c r="I510" s="794"/>
      <c r="J510" s="794"/>
      <c r="K510" s="794"/>
      <c r="L510" s="794"/>
      <c r="M510" s="794"/>
      <c r="N510" s="794"/>
    </row>
    <row r="511" spans="3:14" ht="14.25" customHeight="1">
      <c r="C511" s="794"/>
      <c r="D511" s="794"/>
      <c r="E511" s="794"/>
      <c r="F511" s="794"/>
      <c r="G511" s="794"/>
      <c r="H511" s="794"/>
      <c r="I511" s="794"/>
      <c r="J511" s="794"/>
      <c r="K511" s="794"/>
      <c r="L511" s="794"/>
      <c r="M511" s="794"/>
      <c r="N511" s="794"/>
    </row>
    <row r="512" spans="3:14" ht="14.25" customHeight="1">
      <c r="C512" s="794"/>
      <c r="D512" s="794"/>
      <c r="E512" s="794"/>
      <c r="F512" s="794"/>
      <c r="G512" s="794"/>
      <c r="H512" s="794"/>
      <c r="I512" s="794"/>
      <c r="J512" s="794"/>
      <c r="K512" s="794"/>
      <c r="L512" s="794"/>
      <c r="M512" s="794"/>
      <c r="N512" s="794"/>
    </row>
    <row r="513" spans="3:14" ht="14.25" customHeight="1">
      <c r="C513" s="794"/>
      <c r="D513" s="794"/>
      <c r="E513" s="794"/>
      <c r="F513" s="794"/>
      <c r="G513" s="794"/>
      <c r="H513" s="794"/>
      <c r="I513" s="794"/>
      <c r="J513" s="794"/>
      <c r="K513" s="794"/>
      <c r="L513" s="794"/>
      <c r="M513" s="794"/>
      <c r="N513" s="794"/>
    </row>
    <row r="514" spans="3:14" ht="14.25" customHeight="1">
      <c r="C514" s="794"/>
      <c r="D514" s="794"/>
      <c r="E514" s="794"/>
      <c r="F514" s="794"/>
      <c r="G514" s="794"/>
      <c r="H514" s="794"/>
      <c r="I514" s="794"/>
      <c r="J514" s="794"/>
      <c r="K514" s="794"/>
      <c r="L514" s="794"/>
      <c r="M514" s="794"/>
      <c r="N514" s="794"/>
    </row>
    <row r="515" spans="3:14" ht="14.25" customHeight="1">
      <c r="C515" s="794"/>
      <c r="D515" s="794"/>
      <c r="E515" s="794"/>
      <c r="F515" s="794"/>
      <c r="G515" s="794"/>
      <c r="H515" s="794"/>
      <c r="I515" s="794"/>
      <c r="J515" s="794"/>
      <c r="K515" s="794"/>
      <c r="L515" s="794"/>
      <c r="M515" s="794"/>
      <c r="N515" s="794"/>
    </row>
    <row r="516" spans="3:14" ht="14.25" customHeight="1">
      <c r="C516" s="794"/>
      <c r="D516" s="794"/>
      <c r="E516" s="794"/>
      <c r="F516" s="794"/>
      <c r="G516" s="794"/>
      <c r="H516" s="794"/>
      <c r="I516" s="794"/>
      <c r="J516" s="794"/>
      <c r="K516" s="794"/>
      <c r="L516" s="794"/>
      <c r="M516" s="794"/>
      <c r="N516" s="794"/>
    </row>
    <row r="517" spans="3:14" ht="14.25" customHeight="1">
      <c r="C517" s="794"/>
      <c r="D517" s="794"/>
      <c r="E517" s="794"/>
      <c r="F517" s="794"/>
      <c r="G517" s="794"/>
      <c r="H517" s="794"/>
      <c r="I517" s="794"/>
      <c r="J517" s="794"/>
      <c r="K517" s="794"/>
      <c r="L517" s="794"/>
      <c r="M517" s="794"/>
      <c r="N517" s="794"/>
    </row>
    <row r="518" spans="3:14" ht="14.25" customHeight="1">
      <c r="C518" s="794"/>
      <c r="D518" s="794"/>
      <c r="E518" s="794"/>
      <c r="F518" s="794"/>
      <c r="G518" s="794"/>
      <c r="H518" s="794"/>
      <c r="I518" s="794"/>
      <c r="J518" s="794"/>
      <c r="K518" s="794"/>
      <c r="L518" s="794"/>
      <c r="M518" s="794"/>
      <c r="N518" s="794"/>
    </row>
    <row r="519" spans="3:14" ht="14.25" customHeight="1">
      <c r="C519" s="794"/>
      <c r="D519" s="794"/>
      <c r="E519" s="794"/>
      <c r="F519" s="794"/>
      <c r="G519" s="794"/>
      <c r="H519" s="794"/>
      <c r="I519" s="794"/>
      <c r="J519" s="794"/>
      <c r="K519" s="794"/>
      <c r="L519" s="794"/>
      <c r="M519" s="794"/>
      <c r="N519" s="794"/>
    </row>
    <row r="520" spans="3:14" ht="14.25" customHeight="1">
      <c r="C520" s="794"/>
      <c r="D520" s="794"/>
      <c r="E520" s="794"/>
      <c r="F520" s="794"/>
      <c r="G520" s="794"/>
      <c r="H520" s="794"/>
      <c r="I520" s="794"/>
      <c r="J520" s="794"/>
      <c r="K520" s="794"/>
      <c r="L520" s="794"/>
      <c r="M520" s="794"/>
      <c r="N520" s="794"/>
    </row>
    <row r="521" spans="3:14" ht="14.25" customHeight="1">
      <c r="C521" s="794"/>
      <c r="D521" s="794"/>
      <c r="E521" s="794"/>
      <c r="F521" s="794"/>
      <c r="G521" s="794"/>
      <c r="H521" s="794"/>
      <c r="I521" s="794"/>
      <c r="J521" s="794"/>
      <c r="K521" s="794"/>
      <c r="L521" s="794"/>
      <c r="M521" s="794"/>
      <c r="N521" s="794"/>
    </row>
    <row r="522" spans="3:14" ht="14.25" customHeight="1">
      <c r="C522" s="794"/>
      <c r="D522" s="794"/>
      <c r="E522" s="794"/>
      <c r="F522" s="794"/>
      <c r="G522" s="794"/>
      <c r="H522" s="794"/>
      <c r="I522" s="794"/>
      <c r="J522" s="794"/>
      <c r="K522" s="794"/>
      <c r="L522" s="794"/>
      <c r="M522" s="794"/>
      <c r="N522" s="794"/>
    </row>
    <row r="523" spans="3:14" ht="14.25" customHeight="1">
      <c r="C523" s="794"/>
      <c r="D523" s="794"/>
      <c r="E523" s="794"/>
      <c r="F523" s="794"/>
      <c r="G523" s="794"/>
      <c r="H523" s="794"/>
      <c r="I523" s="794"/>
      <c r="J523" s="794"/>
      <c r="K523" s="794"/>
      <c r="L523" s="794"/>
      <c r="M523" s="794"/>
      <c r="N523" s="794"/>
    </row>
    <row r="524" spans="3:14" ht="14.25" customHeight="1">
      <c r="C524" s="794"/>
      <c r="D524" s="794"/>
      <c r="E524" s="794"/>
      <c r="F524" s="794"/>
      <c r="G524" s="794"/>
      <c r="H524" s="794"/>
      <c r="I524" s="794"/>
      <c r="J524" s="794"/>
      <c r="K524" s="794"/>
      <c r="L524" s="794"/>
      <c r="M524" s="794"/>
      <c r="N524" s="794"/>
    </row>
    <row r="525" spans="3:14" ht="14.25" customHeight="1">
      <c r="C525" s="794"/>
      <c r="D525" s="794"/>
      <c r="E525" s="794"/>
      <c r="F525" s="794"/>
      <c r="G525" s="794"/>
      <c r="H525" s="794"/>
      <c r="I525" s="794"/>
      <c r="J525" s="794"/>
      <c r="K525" s="794"/>
      <c r="L525" s="794"/>
      <c r="M525" s="794"/>
      <c r="N525" s="794"/>
    </row>
    <row r="526" spans="3:14" ht="14.25" customHeight="1">
      <c r="C526" s="794"/>
      <c r="D526" s="794"/>
      <c r="E526" s="794"/>
      <c r="F526" s="794"/>
      <c r="G526" s="794"/>
      <c r="H526" s="794"/>
      <c r="I526" s="794"/>
      <c r="J526" s="794"/>
      <c r="K526" s="794"/>
      <c r="L526" s="794"/>
      <c r="M526" s="794"/>
      <c r="N526" s="794"/>
    </row>
    <row r="527" spans="3:14" ht="14.25" customHeight="1">
      <c r="C527" s="794"/>
      <c r="D527" s="794"/>
      <c r="E527" s="794"/>
      <c r="F527" s="794"/>
      <c r="G527" s="794"/>
      <c r="H527" s="794"/>
      <c r="I527" s="794"/>
      <c r="J527" s="794"/>
      <c r="K527" s="794"/>
      <c r="L527" s="794"/>
      <c r="M527" s="794"/>
      <c r="N527" s="794"/>
    </row>
    <row r="528" spans="3:14" ht="14.25" customHeight="1">
      <c r="C528" s="794"/>
      <c r="D528" s="794"/>
      <c r="E528" s="794"/>
      <c r="F528" s="794"/>
      <c r="G528" s="794"/>
      <c r="H528" s="794"/>
      <c r="I528" s="794"/>
      <c r="J528" s="794"/>
      <c r="K528" s="794"/>
      <c r="L528" s="794"/>
      <c r="M528" s="794"/>
      <c r="N528" s="794"/>
    </row>
    <row r="529" spans="3:14" ht="14.25" customHeight="1">
      <c r="C529" s="794"/>
      <c r="D529" s="794"/>
      <c r="E529" s="794"/>
      <c r="F529" s="794"/>
      <c r="G529" s="794"/>
      <c r="H529" s="794"/>
      <c r="I529" s="794"/>
      <c r="J529" s="794"/>
      <c r="K529" s="794"/>
      <c r="L529" s="794"/>
      <c r="M529" s="794"/>
      <c r="N529" s="794"/>
    </row>
    <row r="530" spans="3:14" ht="14.25" customHeight="1">
      <c r="C530" s="794"/>
      <c r="D530" s="794"/>
      <c r="E530" s="794"/>
      <c r="F530" s="794"/>
      <c r="G530" s="794"/>
      <c r="H530" s="794"/>
      <c r="I530" s="794"/>
      <c r="J530" s="794"/>
      <c r="K530" s="794"/>
      <c r="L530" s="794"/>
      <c r="M530" s="794"/>
      <c r="N530" s="794"/>
    </row>
    <row r="531" spans="3:14" ht="14.25" customHeight="1">
      <c r="C531" s="794"/>
      <c r="D531" s="794"/>
      <c r="E531" s="794"/>
      <c r="F531" s="794"/>
      <c r="G531" s="794"/>
      <c r="H531" s="794"/>
      <c r="I531" s="794"/>
      <c r="J531" s="794"/>
      <c r="K531" s="794"/>
      <c r="L531" s="794"/>
      <c r="M531" s="794"/>
      <c r="N531" s="794"/>
    </row>
    <row r="532" spans="3:14" ht="14.25" customHeight="1">
      <c r="C532" s="794"/>
      <c r="D532" s="794"/>
      <c r="E532" s="794"/>
      <c r="F532" s="794"/>
      <c r="G532" s="794"/>
      <c r="H532" s="794"/>
      <c r="I532" s="794"/>
      <c r="J532" s="794"/>
      <c r="K532" s="794"/>
      <c r="L532" s="794"/>
      <c r="M532" s="794"/>
      <c r="N532" s="794"/>
    </row>
    <row r="533" spans="3:14" ht="14.25" customHeight="1">
      <c r="C533" s="794"/>
      <c r="D533" s="794"/>
      <c r="E533" s="794"/>
      <c r="F533" s="794"/>
      <c r="G533" s="794"/>
      <c r="H533" s="794"/>
      <c r="I533" s="794"/>
      <c r="J533" s="794"/>
      <c r="K533" s="794"/>
      <c r="L533" s="794"/>
      <c r="M533" s="794"/>
      <c r="N533" s="794"/>
    </row>
    <row r="534" spans="3:14" ht="14.25" customHeight="1">
      <c r="C534" s="794"/>
      <c r="D534" s="794"/>
      <c r="E534" s="794"/>
      <c r="F534" s="794"/>
      <c r="G534" s="794"/>
      <c r="H534" s="794"/>
      <c r="I534" s="794"/>
      <c r="J534" s="794"/>
      <c r="K534" s="794"/>
      <c r="L534" s="794"/>
      <c r="M534" s="794"/>
      <c r="N534" s="794"/>
    </row>
    <row r="535" spans="3:14" ht="14.25" customHeight="1">
      <c r="C535" s="794"/>
      <c r="D535" s="794"/>
      <c r="E535" s="794"/>
      <c r="F535" s="794"/>
      <c r="G535" s="794"/>
      <c r="H535" s="794"/>
      <c r="I535" s="794"/>
      <c r="J535" s="794"/>
      <c r="K535" s="794"/>
      <c r="L535" s="794"/>
      <c r="M535" s="794"/>
      <c r="N535" s="794"/>
    </row>
    <row r="536" spans="3:14" ht="14.25" customHeight="1">
      <c r="C536" s="794"/>
      <c r="D536" s="794"/>
      <c r="E536" s="794"/>
      <c r="F536" s="794"/>
      <c r="G536" s="794"/>
      <c r="H536" s="794"/>
      <c r="I536" s="794"/>
      <c r="J536" s="794"/>
      <c r="K536" s="794"/>
      <c r="L536" s="794"/>
      <c r="M536" s="794"/>
      <c r="N536" s="794"/>
    </row>
    <row r="537" spans="3:14" ht="14.25" customHeight="1">
      <c r="C537" s="794"/>
      <c r="D537" s="794"/>
      <c r="E537" s="794"/>
      <c r="F537" s="794"/>
      <c r="G537" s="794"/>
      <c r="H537" s="794"/>
      <c r="I537" s="794"/>
      <c r="J537" s="794"/>
      <c r="K537" s="794"/>
      <c r="L537" s="794"/>
      <c r="M537" s="794"/>
      <c r="N537" s="794"/>
    </row>
    <row r="538" spans="3:14" ht="14.25" customHeight="1">
      <c r="C538" s="794"/>
      <c r="D538" s="794"/>
      <c r="E538" s="794"/>
      <c r="F538" s="794"/>
      <c r="G538" s="794"/>
      <c r="H538" s="794"/>
      <c r="I538" s="794"/>
      <c r="J538" s="794"/>
      <c r="K538" s="794"/>
      <c r="L538" s="794"/>
      <c r="M538" s="794"/>
      <c r="N538" s="794"/>
    </row>
    <row r="539" spans="3:14" ht="14.25" customHeight="1">
      <c r="C539" s="794"/>
      <c r="D539" s="794"/>
      <c r="E539" s="794"/>
      <c r="F539" s="794"/>
      <c r="G539" s="794"/>
      <c r="H539" s="794"/>
      <c r="I539" s="794"/>
      <c r="J539" s="794"/>
      <c r="K539" s="794"/>
      <c r="L539" s="794"/>
      <c r="M539" s="794"/>
      <c r="N539" s="794"/>
    </row>
    <row r="540" spans="3:14" ht="14.25" customHeight="1">
      <c r="C540" s="794"/>
      <c r="D540" s="794"/>
      <c r="E540" s="794"/>
      <c r="F540" s="794"/>
      <c r="G540" s="794"/>
      <c r="H540" s="794"/>
      <c r="I540" s="794"/>
      <c r="J540" s="794"/>
      <c r="K540" s="794"/>
      <c r="L540" s="794"/>
      <c r="M540" s="794"/>
      <c r="N540" s="794"/>
    </row>
    <row r="541" spans="3:14" ht="14.25" customHeight="1">
      <c r="C541" s="794"/>
      <c r="D541" s="794"/>
      <c r="E541" s="794"/>
      <c r="F541" s="794"/>
      <c r="G541" s="794"/>
      <c r="H541" s="794"/>
      <c r="I541" s="794"/>
      <c r="J541" s="794"/>
      <c r="K541" s="794"/>
      <c r="L541" s="794"/>
      <c r="M541" s="794"/>
      <c r="N541" s="794"/>
    </row>
    <row r="542" spans="3:14" ht="14.25" customHeight="1">
      <c r="C542" s="794"/>
      <c r="D542" s="794"/>
      <c r="E542" s="794"/>
      <c r="F542" s="794"/>
      <c r="G542" s="794"/>
      <c r="H542" s="794"/>
      <c r="I542" s="794"/>
      <c r="J542" s="794"/>
      <c r="K542" s="794"/>
      <c r="L542" s="794"/>
      <c r="M542" s="794"/>
      <c r="N542" s="794"/>
    </row>
    <row r="543" spans="3:14" ht="14.25" customHeight="1">
      <c r="C543" s="794"/>
      <c r="D543" s="794"/>
      <c r="E543" s="794"/>
      <c r="F543" s="794"/>
      <c r="G543" s="794"/>
      <c r="H543" s="794"/>
      <c r="I543" s="794"/>
      <c r="J543" s="794"/>
      <c r="K543" s="794"/>
      <c r="L543" s="794"/>
      <c r="M543" s="794"/>
      <c r="N543" s="794"/>
    </row>
    <row r="544" spans="3:14" ht="14.25" customHeight="1">
      <c r="C544" s="794"/>
      <c r="D544" s="794"/>
      <c r="E544" s="794"/>
      <c r="F544" s="794"/>
      <c r="G544" s="794"/>
      <c r="H544" s="794"/>
      <c r="I544" s="794"/>
      <c r="J544" s="794"/>
      <c r="K544" s="794"/>
      <c r="L544" s="794"/>
      <c r="M544" s="794"/>
      <c r="N544" s="794"/>
    </row>
    <row r="545" spans="3:14" ht="14.25" customHeight="1">
      <c r="C545" s="794"/>
      <c r="D545" s="794"/>
      <c r="E545" s="794"/>
      <c r="F545" s="794"/>
      <c r="G545" s="794"/>
      <c r="H545" s="794"/>
      <c r="I545" s="794"/>
      <c r="J545" s="794"/>
      <c r="K545" s="794"/>
      <c r="L545" s="794"/>
      <c r="M545" s="794"/>
      <c r="N545" s="794"/>
    </row>
    <row r="546" spans="3:14" ht="14.25" customHeight="1">
      <c r="C546" s="794"/>
      <c r="D546" s="794"/>
      <c r="E546" s="794"/>
      <c r="F546" s="794"/>
      <c r="G546" s="794"/>
      <c r="H546" s="794"/>
      <c r="I546" s="794"/>
      <c r="J546" s="794"/>
      <c r="K546" s="794"/>
      <c r="L546" s="794"/>
      <c r="M546" s="794"/>
      <c r="N546" s="794"/>
    </row>
    <row r="547" spans="3:14" ht="14.25" customHeight="1">
      <c r="C547" s="794"/>
      <c r="D547" s="794"/>
      <c r="E547" s="794"/>
      <c r="F547" s="794"/>
      <c r="G547" s="794"/>
      <c r="H547" s="794"/>
      <c r="I547" s="794"/>
      <c r="J547" s="794"/>
      <c r="K547" s="794"/>
      <c r="L547" s="794"/>
      <c r="M547" s="794"/>
      <c r="N547" s="794"/>
    </row>
    <row r="548" spans="3:14" ht="14.25" customHeight="1">
      <c r="C548" s="794"/>
      <c r="D548" s="794"/>
      <c r="E548" s="794"/>
      <c r="F548" s="794"/>
      <c r="G548" s="794"/>
      <c r="H548" s="794"/>
      <c r="I548" s="794"/>
      <c r="J548" s="794"/>
      <c r="K548" s="794"/>
      <c r="L548" s="794"/>
      <c r="M548" s="794"/>
      <c r="N548" s="794"/>
    </row>
    <row r="549" spans="3:14" ht="14.25" customHeight="1">
      <c r="C549" s="794"/>
      <c r="D549" s="794"/>
      <c r="E549" s="794"/>
      <c r="F549" s="794"/>
      <c r="G549" s="794"/>
      <c r="H549" s="794"/>
      <c r="I549" s="794"/>
      <c r="J549" s="794"/>
      <c r="K549" s="794"/>
      <c r="L549" s="794"/>
      <c r="M549" s="794"/>
      <c r="N549" s="794"/>
    </row>
    <row r="550" spans="3:14" ht="14.25" customHeight="1">
      <c r="C550" s="794"/>
      <c r="D550" s="794"/>
      <c r="E550" s="794"/>
      <c r="F550" s="794"/>
      <c r="G550" s="794"/>
      <c r="H550" s="794"/>
      <c r="I550" s="794"/>
      <c r="J550" s="794"/>
      <c r="K550" s="794"/>
      <c r="L550" s="794"/>
      <c r="M550" s="794"/>
      <c r="N550" s="794"/>
    </row>
    <row r="551" spans="3:14" ht="14.25" customHeight="1">
      <c r="C551" s="794"/>
      <c r="D551" s="794"/>
      <c r="E551" s="794"/>
      <c r="F551" s="794"/>
      <c r="G551" s="794"/>
      <c r="H551" s="794"/>
      <c r="I551" s="794"/>
      <c r="J551" s="794"/>
      <c r="K551" s="794"/>
      <c r="L551" s="794"/>
      <c r="M551" s="794"/>
      <c r="N551" s="794"/>
    </row>
    <row r="552" spans="3:14" ht="14.25" customHeight="1">
      <c r="C552" s="794"/>
      <c r="D552" s="794"/>
      <c r="E552" s="794"/>
      <c r="F552" s="794"/>
      <c r="G552" s="794"/>
      <c r="H552" s="794"/>
      <c r="I552" s="794"/>
      <c r="J552" s="794"/>
      <c r="K552" s="794"/>
      <c r="L552" s="794"/>
      <c r="M552" s="794"/>
      <c r="N552" s="794"/>
    </row>
    <row r="553" spans="3:14" ht="14.25" customHeight="1">
      <c r="C553" s="794"/>
      <c r="D553" s="794"/>
      <c r="E553" s="794"/>
      <c r="F553" s="794"/>
      <c r="G553" s="794"/>
      <c r="H553" s="794"/>
      <c r="I553" s="794"/>
      <c r="J553" s="794"/>
      <c r="K553" s="794"/>
      <c r="L553" s="794"/>
      <c r="M553" s="794"/>
      <c r="N553" s="794"/>
    </row>
    <row r="554" spans="3:14" ht="14.25" customHeight="1">
      <c r="C554" s="794"/>
      <c r="D554" s="794"/>
      <c r="E554" s="794"/>
      <c r="F554" s="794"/>
      <c r="G554" s="794"/>
      <c r="H554" s="794"/>
      <c r="I554" s="794"/>
      <c r="J554" s="794"/>
      <c r="K554" s="794"/>
      <c r="L554" s="794"/>
      <c r="M554" s="794"/>
      <c r="N554" s="794"/>
    </row>
    <row r="555" spans="3:14" ht="14.25" customHeight="1">
      <c r="C555" s="794"/>
      <c r="D555" s="794"/>
      <c r="E555" s="794"/>
      <c r="F555" s="794"/>
      <c r="G555" s="794"/>
      <c r="H555" s="794"/>
      <c r="I555" s="794"/>
      <c r="J555" s="794"/>
      <c r="K555" s="794"/>
      <c r="L555" s="794"/>
      <c r="M555" s="794"/>
      <c r="N555" s="794"/>
    </row>
    <row r="556" spans="3:14" ht="14.25" customHeight="1">
      <c r="C556" s="794"/>
      <c r="D556" s="794"/>
      <c r="E556" s="794"/>
      <c r="F556" s="794"/>
      <c r="G556" s="794"/>
      <c r="H556" s="794"/>
      <c r="I556" s="794"/>
      <c r="J556" s="794"/>
      <c r="K556" s="794"/>
      <c r="L556" s="794"/>
      <c r="M556" s="794"/>
      <c r="N556" s="794"/>
    </row>
    <row r="557" spans="3:14" ht="14.25" customHeight="1">
      <c r="C557" s="794"/>
      <c r="D557" s="794"/>
      <c r="E557" s="794"/>
      <c r="F557" s="794"/>
      <c r="G557" s="794"/>
      <c r="H557" s="794"/>
      <c r="I557" s="794"/>
      <c r="J557" s="794"/>
      <c r="K557" s="794"/>
      <c r="L557" s="794"/>
      <c r="M557" s="794"/>
      <c r="N557" s="794"/>
    </row>
    <row r="558" spans="3:14" ht="14.25" customHeight="1">
      <c r="C558" s="794"/>
      <c r="D558" s="794"/>
      <c r="E558" s="794"/>
      <c r="F558" s="794"/>
      <c r="G558" s="794"/>
      <c r="H558" s="794"/>
      <c r="I558" s="794"/>
      <c r="J558" s="794"/>
      <c r="K558" s="794"/>
      <c r="L558" s="794"/>
      <c r="M558" s="794"/>
      <c r="N558" s="794"/>
    </row>
    <row r="559" spans="3:14" ht="14.25" customHeight="1">
      <c r="C559" s="794"/>
      <c r="D559" s="794"/>
      <c r="E559" s="794"/>
      <c r="F559" s="794"/>
      <c r="G559" s="794"/>
      <c r="H559" s="794"/>
      <c r="I559" s="794"/>
      <c r="J559" s="794"/>
      <c r="K559" s="794"/>
      <c r="L559" s="794"/>
      <c r="M559" s="794"/>
      <c r="N559" s="794"/>
    </row>
    <row r="560" spans="3:14" ht="14.25" customHeight="1">
      <c r="C560" s="794"/>
      <c r="D560" s="794"/>
      <c r="E560" s="794"/>
      <c r="F560" s="794"/>
      <c r="G560" s="794"/>
      <c r="H560" s="794"/>
      <c r="I560" s="794"/>
      <c r="J560" s="794"/>
      <c r="K560" s="794"/>
      <c r="L560" s="794"/>
      <c r="M560" s="794"/>
      <c r="N560" s="794"/>
    </row>
    <row r="561" spans="3:14" ht="14.25" customHeight="1">
      <c r="C561" s="794"/>
      <c r="D561" s="794"/>
      <c r="E561" s="794"/>
      <c r="F561" s="794"/>
      <c r="G561" s="794"/>
      <c r="H561" s="794"/>
      <c r="I561" s="794"/>
      <c r="J561" s="794"/>
      <c r="K561" s="794"/>
      <c r="L561" s="794"/>
      <c r="M561" s="794"/>
      <c r="N561" s="794"/>
    </row>
    <row r="562" spans="3:14" ht="14.25" customHeight="1">
      <c r="C562" s="794"/>
      <c r="D562" s="794"/>
      <c r="E562" s="794"/>
      <c r="F562" s="794"/>
      <c r="G562" s="794"/>
      <c r="H562" s="794"/>
      <c r="I562" s="794"/>
      <c r="J562" s="794"/>
      <c r="K562" s="794"/>
      <c r="L562" s="794"/>
      <c r="M562" s="794"/>
      <c r="N562" s="794"/>
    </row>
    <row r="563" spans="3:14" ht="14.25" customHeight="1">
      <c r="C563" s="794"/>
      <c r="D563" s="794"/>
      <c r="E563" s="794"/>
      <c r="F563" s="794"/>
      <c r="G563" s="794"/>
      <c r="H563" s="794"/>
      <c r="I563" s="794"/>
      <c r="J563" s="794"/>
      <c r="K563" s="794"/>
      <c r="L563" s="794"/>
      <c r="M563" s="794"/>
      <c r="N563" s="794"/>
    </row>
    <row r="564" spans="3:14" ht="14.25" customHeight="1">
      <c r="C564" s="794"/>
      <c r="D564" s="794"/>
      <c r="E564" s="794"/>
      <c r="F564" s="794"/>
      <c r="G564" s="794"/>
      <c r="H564" s="794"/>
      <c r="I564" s="794"/>
      <c r="J564" s="794"/>
      <c r="K564" s="794"/>
      <c r="L564" s="794"/>
      <c r="M564" s="794"/>
      <c r="N564" s="794"/>
    </row>
    <row r="565" spans="3:14" ht="14.25" customHeight="1">
      <c r="C565" s="794"/>
      <c r="D565" s="794"/>
      <c r="E565" s="794"/>
      <c r="F565" s="794"/>
      <c r="G565" s="794"/>
      <c r="H565" s="794"/>
      <c r="I565" s="794"/>
      <c r="J565" s="794"/>
      <c r="K565" s="794"/>
      <c r="L565" s="794"/>
      <c r="M565" s="794"/>
      <c r="N565" s="794"/>
    </row>
    <row r="566" spans="3:14" ht="14.25" customHeight="1">
      <c r="C566" s="794"/>
      <c r="D566" s="794"/>
      <c r="E566" s="794"/>
      <c r="F566" s="794"/>
      <c r="G566" s="794"/>
      <c r="H566" s="794"/>
      <c r="I566" s="794"/>
      <c r="J566" s="794"/>
      <c r="K566" s="794"/>
      <c r="L566" s="794"/>
      <c r="M566" s="794"/>
      <c r="N566" s="794"/>
    </row>
    <row r="567" spans="3:14" ht="14.25" customHeight="1">
      <c r="C567" s="794"/>
      <c r="D567" s="794"/>
      <c r="E567" s="794"/>
      <c r="F567" s="794"/>
      <c r="G567" s="794"/>
      <c r="H567" s="794"/>
      <c r="I567" s="794"/>
      <c r="J567" s="794"/>
      <c r="K567" s="794"/>
      <c r="L567" s="794"/>
      <c r="M567" s="794"/>
      <c r="N567" s="794"/>
    </row>
    <row r="568" spans="3:14" ht="14.25" customHeight="1">
      <c r="C568" s="794"/>
      <c r="D568" s="794"/>
      <c r="E568" s="794"/>
      <c r="F568" s="794"/>
      <c r="G568" s="794"/>
      <c r="H568" s="794"/>
      <c r="I568" s="794"/>
      <c r="J568" s="794"/>
      <c r="K568" s="794"/>
      <c r="L568" s="794"/>
      <c r="M568" s="794"/>
      <c r="N568" s="794"/>
    </row>
    <row r="569" spans="3:14" ht="14.25" customHeight="1">
      <c r="C569" s="794"/>
      <c r="D569" s="794"/>
      <c r="E569" s="794"/>
      <c r="F569" s="794"/>
      <c r="G569" s="794"/>
      <c r="H569" s="794"/>
      <c r="I569" s="794"/>
      <c r="J569" s="794"/>
      <c r="K569" s="794"/>
      <c r="L569" s="794"/>
      <c r="M569" s="794"/>
      <c r="N569" s="794"/>
    </row>
    <row r="570" spans="3:14" ht="14.25" customHeight="1">
      <c r="C570" s="794"/>
      <c r="D570" s="794"/>
      <c r="E570" s="794"/>
      <c r="F570" s="794"/>
      <c r="G570" s="794"/>
      <c r="H570" s="794"/>
      <c r="I570" s="794"/>
      <c r="J570" s="794"/>
      <c r="K570" s="794"/>
      <c r="L570" s="794"/>
      <c r="M570" s="794"/>
      <c r="N570" s="794"/>
    </row>
    <row r="571" spans="3:14" ht="14.25" customHeight="1">
      <c r="C571" s="794"/>
      <c r="D571" s="794"/>
      <c r="E571" s="794"/>
      <c r="F571" s="794"/>
      <c r="G571" s="794"/>
      <c r="H571" s="794"/>
      <c r="I571" s="794"/>
      <c r="J571" s="794"/>
      <c r="K571" s="794"/>
      <c r="L571" s="794"/>
      <c r="M571" s="794"/>
      <c r="N571" s="794"/>
    </row>
    <row r="572" spans="3:14" ht="14.25" customHeight="1">
      <c r="C572" s="794"/>
      <c r="D572" s="794"/>
      <c r="E572" s="794"/>
      <c r="F572" s="794"/>
      <c r="G572" s="794"/>
      <c r="H572" s="794"/>
      <c r="I572" s="794"/>
      <c r="J572" s="794"/>
      <c r="K572" s="794"/>
      <c r="L572" s="794"/>
      <c r="M572" s="794"/>
      <c r="N572" s="794"/>
    </row>
    <row r="573" spans="3:14" ht="14.25" customHeight="1">
      <c r="C573" s="794"/>
      <c r="D573" s="794"/>
      <c r="E573" s="794"/>
      <c r="F573" s="794"/>
      <c r="G573" s="794"/>
      <c r="H573" s="794"/>
      <c r="I573" s="794"/>
      <c r="J573" s="794"/>
      <c r="K573" s="794"/>
      <c r="L573" s="794"/>
      <c r="M573" s="794"/>
      <c r="N573" s="794"/>
    </row>
    <row r="574" spans="3:14" ht="14.25" customHeight="1">
      <c r="C574" s="794"/>
      <c r="D574" s="794"/>
      <c r="E574" s="794"/>
      <c r="F574" s="794"/>
      <c r="G574" s="794"/>
      <c r="H574" s="794"/>
      <c r="I574" s="794"/>
      <c r="J574" s="794"/>
      <c r="K574" s="794"/>
      <c r="L574" s="794"/>
      <c r="M574" s="794"/>
      <c r="N574" s="794"/>
    </row>
    <row r="575" spans="3:14" ht="14.25" customHeight="1">
      <c r="C575" s="794"/>
      <c r="D575" s="794"/>
      <c r="E575" s="794"/>
      <c r="F575" s="794"/>
      <c r="G575" s="794"/>
      <c r="H575" s="794"/>
      <c r="I575" s="794"/>
      <c r="J575" s="794"/>
      <c r="K575" s="794"/>
      <c r="L575" s="794"/>
      <c r="M575" s="794"/>
      <c r="N575" s="794"/>
    </row>
    <row r="576" spans="3:14" ht="14.25" customHeight="1">
      <c r="C576" s="794"/>
      <c r="D576" s="794"/>
      <c r="E576" s="794"/>
      <c r="F576" s="794"/>
      <c r="G576" s="794"/>
      <c r="H576" s="794"/>
      <c r="I576" s="794"/>
      <c r="J576" s="794"/>
      <c r="K576" s="794"/>
      <c r="L576" s="794"/>
      <c r="M576" s="794"/>
      <c r="N576" s="794"/>
    </row>
    <row r="577" spans="3:14" ht="14.25" customHeight="1">
      <c r="C577" s="794"/>
      <c r="D577" s="794"/>
      <c r="E577" s="794"/>
      <c r="F577" s="794"/>
      <c r="G577" s="794"/>
      <c r="H577" s="794"/>
      <c r="I577" s="794"/>
      <c r="J577" s="794"/>
      <c r="K577" s="794"/>
      <c r="L577" s="794"/>
      <c r="M577" s="794"/>
      <c r="N577" s="794"/>
    </row>
    <row r="578" spans="3:14" ht="14.25" customHeight="1">
      <c r="C578" s="794"/>
      <c r="D578" s="794"/>
      <c r="E578" s="794"/>
      <c r="F578" s="794"/>
      <c r="G578" s="794"/>
      <c r="H578" s="794"/>
      <c r="I578" s="794"/>
      <c r="J578" s="794"/>
      <c r="K578" s="794"/>
      <c r="L578" s="794"/>
      <c r="M578" s="794"/>
      <c r="N578" s="794"/>
    </row>
    <row r="579" spans="3:14" ht="14.25" customHeight="1">
      <c r="C579" s="794"/>
      <c r="D579" s="794"/>
      <c r="E579" s="794"/>
      <c r="F579" s="794"/>
      <c r="G579" s="794"/>
      <c r="H579" s="794"/>
      <c r="I579" s="794"/>
      <c r="J579" s="794"/>
      <c r="K579" s="794"/>
      <c r="L579" s="794"/>
      <c r="M579" s="794"/>
      <c r="N579" s="794"/>
    </row>
    <row r="580" spans="3:14" ht="14.25" customHeight="1">
      <c r="C580" s="794"/>
      <c r="D580" s="794"/>
      <c r="E580" s="794"/>
      <c r="F580" s="794"/>
      <c r="G580" s="794"/>
      <c r="H580" s="794"/>
      <c r="I580" s="794"/>
      <c r="J580" s="794"/>
      <c r="K580" s="794"/>
      <c r="L580" s="794"/>
      <c r="M580" s="794"/>
      <c r="N580" s="794"/>
    </row>
    <row r="581" spans="3:14" ht="14.25" customHeight="1">
      <c r="C581" s="794"/>
      <c r="D581" s="794"/>
      <c r="E581" s="794"/>
      <c r="F581" s="794"/>
      <c r="G581" s="794"/>
      <c r="H581" s="794"/>
      <c r="I581" s="794"/>
      <c r="J581" s="794"/>
      <c r="K581" s="794"/>
      <c r="L581" s="794"/>
      <c r="M581" s="794"/>
      <c r="N581" s="794"/>
    </row>
    <row r="582" spans="3:14" ht="14.25" customHeight="1">
      <c r="C582" s="794"/>
      <c r="D582" s="794"/>
      <c r="E582" s="794"/>
      <c r="F582" s="794"/>
      <c r="G582" s="794"/>
      <c r="H582" s="794"/>
      <c r="I582" s="794"/>
      <c r="J582" s="794"/>
      <c r="K582" s="794"/>
      <c r="L582" s="794"/>
      <c r="M582" s="794"/>
      <c r="N582" s="794"/>
    </row>
    <row r="583" spans="3:14" ht="14.25" customHeight="1">
      <c r="C583" s="794"/>
      <c r="D583" s="794"/>
      <c r="E583" s="794"/>
      <c r="F583" s="794"/>
      <c r="G583" s="794"/>
      <c r="H583" s="794"/>
      <c r="I583" s="794"/>
      <c r="J583" s="794"/>
      <c r="K583" s="794"/>
      <c r="L583" s="794"/>
      <c r="M583" s="794"/>
      <c r="N583" s="794"/>
    </row>
    <row r="584" spans="3:14" ht="14.25" customHeight="1">
      <c r="C584" s="794"/>
      <c r="D584" s="794"/>
      <c r="E584" s="794"/>
      <c r="F584" s="794"/>
      <c r="G584" s="794"/>
      <c r="H584" s="794"/>
      <c r="I584" s="794"/>
      <c r="J584" s="794"/>
      <c r="K584" s="794"/>
      <c r="L584" s="794"/>
      <c r="M584" s="794"/>
      <c r="N584" s="794"/>
    </row>
    <row r="585" spans="3:14" ht="14.25" customHeight="1">
      <c r="C585" s="794"/>
      <c r="D585" s="794"/>
      <c r="E585" s="794"/>
      <c r="F585" s="794"/>
      <c r="G585" s="794"/>
      <c r="H585" s="794"/>
      <c r="I585" s="794"/>
      <c r="J585" s="794"/>
      <c r="K585" s="794"/>
      <c r="L585" s="794"/>
      <c r="M585" s="794"/>
      <c r="N585" s="794"/>
    </row>
    <row r="586" spans="3:14" ht="14.25" customHeight="1">
      <c r="C586" s="794"/>
      <c r="D586" s="794"/>
      <c r="E586" s="794"/>
      <c r="F586" s="794"/>
      <c r="G586" s="794"/>
      <c r="H586" s="794"/>
      <c r="I586" s="794"/>
      <c r="J586" s="794"/>
      <c r="K586" s="794"/>
      <c r="L586" s="794"/>
      <c r="M586" s="794"/>
      <c r="N586" s="794"/>
    </row>
    <row r="587" spans="3:14" ht="14.25" customHeight="1">
      <c r="C587" s="794"/>
      <c r="D587" s="794"/>
      <c r="E587" s="794"/>
      <c r="F587" s="794"/>
      <c r="G587" s="794"/>
      <c r="H587" s="794"/>
      <c r="I587" s="794"/>
      <c r="J587" s="794"/>
      <c r="K587" s="794"/>
      <c r="L587" s="794"/>
      <c r="M587" s="794"/>
      <c r="N587" s="794"/>
    </row>
    <row r="588" spans="3:14" ht="14.25" customHeight="1">
      <c r="C588" s="794"/>
      <c r="D588" s="794"/>
      <c r="E588" s="794"/>
      <c r="F588" s="794"/>
      <c r="G588" s="794"/>
      <c r="H588" s="794"/>
      <c r="I588" s="794"/>
      <c r="J588" s="794"/>
      <c r="K588" s="794"/>
      <c r="L588" s="794"/>
      <c r="M588" s="794"/>
      <c r="N588" s="794"/>
    </row>
    <row r="589" spans="3:14" ht="14.25" customHeight="1">
      <c r="C589" s="794"/>
      <c r="D589" s="794"/>
      <c r="E589" s="794"/>
      <c r="F589" s="794"/>
      <c r="G589" s="794"/>
      <c r="H589" s="794"/>
      <c r="I589" s="794"/>
      <c r="J589" s="794"/>
      <c r="K589" s="794"/>
      <c r="L589" s="794"/>
      <c r="M589" s="794"/>
      <c r="N589" s="794"/>
    </row>
    <row r="590" spans="3:14" ht="14.25" customHeight="1">
      <c r="C590" s="794"/>
      <c r="D590" s="794"/>
      <c r="E590" s="794"/>
      <c r="F590" s="794"/>
      <c r="G590" s="794"/>
      <c r="H590" s="794"/>
      <c r="I590" s="794"/>
      <c r="J590" s="794"/>
      <c r="K590" s="794"/>
      <c r="L590" s="794"/>
      <c r="M590" s="794"/>
      <c r="N590" s="794"/>
    </row>
    <row r="591" spans="3:14" ht="14.25" customHeight="1">
      <c r="C591" s="794"/>
      <c r="D591" s="794"/>
      <c r="E591" s="794"/>
      <c r="F591" s="794"/>
      <c r="G591" s="794"/>
      <c r="H591" s="794"/>
      <c r="I591" s="794"/>
      <c r="J591" s="794"/>
      <c r="K591" s="794"/>
      <c r="L591" s="794"/>
      <c r="M591" s="794"/>
      <c r="N591" s="794"/>
    </row>
    <row r="592" spans="3:14" ht="14.25" customHeight="1">
      <c r="C592" s="794"/>
      <c r="D592" s="794"/>
      <c r="E592" s="794"/>
      <c r="F592" s="794"/>
      <c r="G592" s="794"/>
      <c r="H592" s="794"/>
      <c r="I592" s="794"/>
      <c r="J592" s="794"/>
      <c r="K592" s="794"/>
      <c r="L592" s="794"/>
      <c r="M592" s="794"/>
      <c r="N592" s="794"/>
    </row>
    <row r="593" spans="3:14" ht="14.25" customHeight="1">
      <c r="C593" s="794"/>
      <c r="D593" s="794"/>
      <c r="E593" s="794"/>
      <c r="F593" s="794"/>
      <c r="G593" s="794"/>
      <c r="H593" s="794"/>
      <c r="I593" s="794"/>
      <c r="J593" s="794"/>
      <c r="K593" s="794"/>
      <c r="L593" s="794"/>
      <c r="M593" s="794"/>
      <c r="N593" s="794"/>
    </row>
    <row r="594" spans="3:14" ht="14.25" customHeight="1">
      <c r="C594" s="794"/>
      <c r="D594" s="794"/>
      <c r="E594" s="794"/>
      <c r="F594" s="794"/>
      <c r="G594" s="794"/>
      <c r="H594" s="794"/>
      <c r="I594" s="794"/>
      <c r="J594" s="794"/>
      <c r="K594" s="794"/>
      <c r="L594" s="794"/>
      <c r="M594" s="794"/>
      <c r="N594" s="794"/>
    </row>
    <row r="595" spans="3:14" ht="14.25" customHeight="1">
      <c r="C595" s="794"/>
      <c r="D595" s="794"/>
      <c r="E595" s="794"/>
      <c r="F595" s="794"/>
      <c r="G595" s="794"/>
      <c r="H595" s="794"/>
      <c r="I595" s="794"/>
      <c r="J595" s="794"/>
      <c r="K595" s="794"/>
      <c r="L595" s="794"/>
      <c r="M595" s="794"/>
      <c r="N595" s="794"/>
    </row>
    <row r="596" spans="3:14" ht="14.25" customHeight="1">
      <c r="C596" s="794"/>
      <c r="D596" s="794"/>
      <c r="E596" s="794"/>
      <c r="F596" s="794"/>
      <c r="G596" s="794"/>
      <c r="H596" s="794"/>
      <c r="I596" s="794"/>
      <c r="J596" s="794"/>
      <c r="K596" s="794"/>
      <c r="L596" s="794"/>
      <c r="M596" s="794"/>
      <c r="N596" s="794"/>
    </row>
    <row r="597" spans="3:14" ht="14.25" customHeight="1">
      <c r="C597" s="794"/>
      <c r="D597" s="794"/>
      <c r="E597" s="794"/>
      <c r="F597" s="794"/>
      <c r="G597" s="794"/>
      <c r="H597" s="794"/>
      <c r="I597" s="794"/>
      <c r="J597" s="794"/>
      <c r="K597" s="794"/>
      <c r="L597" s="794"/>
      <c r="M597" s="794"/>
      <c r="N597" s="794"/>
    </row>
    <row r="598" spans="3:14" ht="14.25" customHeight="1">
      <c r="C598" s="794"/>
      <c r="D598" s="794"/>
      <c r="E598" s="794"/>
      <c r="F598" s="794"/>
      <c r="G598" s="794"/>
      <c r="H598" s="794"/>
      <c r="I598" s="794"/>
      <c r="J598" s="794"/>
      <c r="K598" s="794"/>
      <c r="L598" s="794"/>
      <c r="M598" s="794"/>
      <c r="N598" s="794"/>
    </row>
    <row r="599" spans="3:14" ht="14.25" customHeight="1">
      <c r="C599" s="794"/>
      <c r="D599" s="794"/>
      <c r="E599" s="794"/>
      <c r="F599" s="794"/>
      <c r="G599" s="794"/>
      <c r="H599" s="794"/>
      <c r="I599" s="794"/>
      <c r="J599" s="794"/>
      <c r="K599" s="794"/>
      <c r="L599" s="794"/>
      <c r="M599" s="794"/>
      <c r="N599" s="794"/>
    </row>
    <row r="600" spans="3:14" ht="14.25" customHeight="1">
      <c r="C600" s="794"/>
      <c r="D600" s="794"/>
      <c r="E600" s="794"/>
      <c r="F600" s="794"/>
      <c r="G600" s="794"/>
      <c r="H600" s="794"/>
      <c r="I600" s="794"/>
      <c r="J600" s="794"/>
      <c r="K600" s="794"/>
      <c r="L600" s="794"/>
      <c r="M600" s="794"/>
      <c r="N600" s="794"/>
    </row>
    <row r="601" spans="3:14" ht="14.25" customHeight="1">
      <c r="C601" s="794"/>
      <c r="D601" s="794"/>
      <c r="E601" s="794"/>
      <c r="F601" s="794"/>
      <c r="G601" s="794"/>
      <c r="H601" s="794"/>
      <c r="I601" s="794"/>
      <c r="J601" s="794"/>
      <c r="K601" s="794"/>
      <c r="L601" s="794"/>
      <c r="M601" s="794"/>
      <c r="N601" s="794"/>
    </row>
    <row r="602" spans="3:14" ht="14.25" customHeight="1">
      <c r="C602" s="794"/>
      <c r="D602" s="794"/>
      <c r="E602" s="794"/>
      <c r="F602" s="794"/>
      <c r="G602" s="794"/>
      <c r="H602" s="794"/>
      <c r="I602" s="794"/>
      <c r="J602" s="794"/>
      <c r="K602" s="794"/>
      <c r="L602" s="794"/>
      <c r="M602" s="794"/>
      <c r="N602" s="794"/>
    </row>
    <row r="603" spans="3:14" ht="14.25" customHeight="1">
      <c r="C603" s="794"/>
      <c r="D603" s="794"/>
      <c r="E603" s="794"/>
      <c r="F603" s="794"/>
      <c r="G603" s="794"/>
      <c r="H603" s="794"/>
      <c r="I603" s="794"/>
      <c r="J603" s="794"/>
      <c r="K603" s="794"/>
      <c r="L603" s="794"/>
      <c r="M603" s="794"/>
      <c r="N603" s="794"/>
    </row>
    <row r="604" spans="3:14" ht="14.25" customHeight="1">
      <c r="C604" s="794"/>
      <c r="D604" s="794"/>
      <c r="E604" s="794"/>
      <c r="F604" s="794"/>
      <c r="G604" s="794"/>
      <c r="H604" s="794"/>
      <c r="I604" s="794"/>
      <c r="J604" s="794"/>
      <c r="K604" s="794"/>
      <c r="L604" s="794"/>
      <c r="M604" s="794"/>
      <c r="N604" s="794"/>
    </row>
    <row r="605" spans="3:14" ht="14.25" customHeight="1">
      <c r="C605" s="794"/>
      <c r="D605" s="794"/>
      <c r="E605" s="794"/>
      <c r="F605" s="794"/>
      <c r="G605" s="794"/>
      <c r="H605" s="794"/>
      <c r="I605" s="794"/>
      <c r="J605" s="794"/>
      <c r="K605" s="794"/>
      <c r="L605" s="794"/>
      <c r="M605" s="794"/>
      <c r="N605" s="794"/>
    </row>
    <row r="606" spans="3:14" ht="14.25" customHeight="1">
      <c r="C606" s="794"/>
      <c r="D606" s="794"/>
      <c r="E606" s="794"/>
      <c r="F606" s="794"/>
      <c r="G606" s="794"/>
      <c r="H606" s="794"/>
      <c r="I606" s="794"/>
      <c r="J606" s="794"/>
      <c r="K606" s="794"/>
      <c r="L606" s="794"/>
      <c r="M606" s="794"/>
      <c r="N606" s="794"/>
    </row>
    <row r="607" spans="3:14" ht="14.25" customHeight="1">
      <c r="C607" s="794"/>
      <c r="D607" s="794"/>
      <c r="E607" s="794"/>
      <c r="F607" s="794"/>
      <c r="G607" s="794"/>
      <c r="H607" s="794"/>
      <c r="I607" s="794"/>
      <c r="J607" s="794"/>
      <c r="K607" s="794"/>
      <c r="L607" s="794"/>
      <c r="M607" s="794"/>
      <c r="N607" s="794"/>
    </row>
    <row r="608" spans="3:14" ht="14.25" customHeight="1">
      <c r="C608" s="794"/>
      <c r="D608" s="794"/>
      <c r="E608" s="794"/>
      <c r="F608" s="794"/>
      <c r="G608" s="794"/>
      <c r="H608" s="794"/>
      <c r="I608" s="794"/>
      <c r="J608" s="794"/>
      <c r="K608" s="794"/>
      <c r="L608" s="794"/>
      <c r="M608" s="794"/>
      <c r="N608" s="794"/>
    </row>
    <row r="609" spans="3:14" ht="14.25" customHeight="1">
      <c r="C609" s="794"/>
      <c r="D609" s="794"/>
      <c r="E609" s="794"/>
      <c r="F609" s="794"/>
      <c r="G609" s="794"/>
      <c r="H609" s="794"/>
      <c r="I609" s="794"/>
      <c r="J609" s="794"/>
      <c r="K609" s="794"/>
      <c r="L609" s="794"/>
      <c r="M609" s="794"/>
      <c r="N609" s="794"/>
    </row>
    <row r="610" spans="3:14" ht="14.25" customHeight="1">
      <c r="C610" s="794"/>
      <c r="D610" s="794"/>
      <c r="E610" s="794"/>
      <c r="F610" s="794"/>
      <c r="G610" s="794"/>
      <c r="H610" s="794"/>
      <c r="I610" s="794"/>
      <c r="J610" s="794"/>
      <c r="K610" s="794"/>
      <c r="L610" s="794"/>
      <c r="M610" s="794"/>
      <c r="N610" s="794"/>
    </row>
    <row r="611" spans="3:14" ht="14.25" customHeight="1">
      <c r="C611" s="794"/>
      <c r="D611" s="794"/>
      <c r="E611" s="794"/>
      <c r="F611" s="794"/>
      <c r="G611" s="794"/>
      <c r="H611" s="794"/>
      <c r="I611" s="794"/>
      <c r="J611" s="794"/>
      <c r="K611" s="794"/>
      <c r="L611" s="794"/>
      <c r="M611" s="794"/>
      <c r="N611" s="794"/>
    </row>
    <row r="612" spans="3:14" ht="14.25" customHeight="1">
      <c r="C612" s="794"/>
      <c r="D612" s="794"/>
      <c r="E612" s="794"/>
      <c r="F612" s="794"/>
      <c r="G612" s="794"/>
      <c r="H612" s="794"/>
      <c r="I612" s="794"/>
      <c r="J612" s="794"/>
      <c r="K612" s="794"/>
      <c r="L612" s="794"/>
      <c r="M612" s="794"/>
      <c r="N612" s="794"/>
    </row>
    <row r="613" spans="3:14" ht="14.25" customHeight="1">
      <c r="C613" s="794"/>
      <c r="D613" s="794"/>
      <c r="E613" s="794"/>
      <c r="F613" s="794"/>
      <c r="G613" s="794"/>
      <c r="H613" s="794"/>
      <c r="I613" s="794"/>
      <c r="J613" s="794"/>
      <c r="K613" s="794"/>
      <c r="L613" s="794"/>
      <c r="M613" s="794"/>
      <c r="N613" s="794"/>
    </row>
    <row r="614" spans="3:14" ht="14.25" customHeight="1">
      <c r="C614" s="794"/>
      <c r="D614" s="794"/>
      <c r="E614" s="794"/>
      <c r="F614" s="794"/>
      <c r="G614" s="794"/>
      <c r="H614" s="794"/>
      <c r="I614" s="794"/>
      <c r="J614" s="794"/>
      <c r="K614" s="794"/>
      <c r="L614" s="794"/>
      <c r="M614" s="794"/>
      <c r="N614" s="794"/>
    </row>
    <row r="615" spans="3:14" ht="14.25" customHeight="1">
      <c r="C615" s="794"/>
      <c r="D615" s="794"/>
      <c r="E615" s="794"/>
      <c r="F615" s="794"/>
      <c r="G615" s="794"/>
      <c r="H615" s="794"/>
      <c r="I615" s="794"/>
      <c r="J615" s="794"/>
      <c r="K615" s="794"/>
      <c r="L615" s="794"/>
      <c r="M615" s="794"/>
      <c r="N615" s="794"/>
    </row>
    <row r="616" spans="3:14" ht="14.25" customHeight="1">
      <c r="C616" s="794"/>
      <c r="D616" s="794"/>
      <c r="E616" s="794"/>
      <c r="F616" s="794"/>
      <c r="G616" s="794"/>
      <c r="H616" s="794"/>
      <c r="I616" s="794"/>
      <c r="J616" s="794"/>
      <c r="K616" s="794"/>
      <c r="L616" s="794"/>
      <c r="M616" s="794"/>
      <c r="N616" s="794"/>
    </row>
    <row r="617" spans="3:14" ht="14.25" customHeight="1">
      <c r="C617" s="794"/>
      <c r="D617" s="794"/>
      <c r="E617" s="794"/>
      <c r="F617" s="794"/>
      <c r="G617" s="794"/>
      <c r="H617" s="794"/>
      <c r="I617" s="794"/>
      <c r="J617" s="794"/>
      <c r="K617" s="794"/>
      <c r="L617" s="794"/>
      <c r="M617" s="794"/>
      <c r="N617" s="794"/>
    </row>
    <row r="618" spans="3:14" ht="14.25" customHeight="1">
      <c r="C618" s="794"/>
      <c r="D618" s="794"/>
      <c r="E618" s="794"/>
      <c r="F618" s="794"/>
      <c r="G618" s="794"/>
      <c r="H618" s="794"/>
      <c r="I618" s="794"/>
      <c r="J618" s="794"/>
      <c r="K618" s="794"/>
      <c r="L618" s="794"/>
      <c r="M618" s="794"/>
      <c r="N618" s="794"/>
    </row>
    <row r="619" spans="3:14" ht="14.25" customHeight="1">
      <c r="C619" s="794"/>
      <c r="D619" s="794"/>
      <c r="E619" s="794"/>
      <c r="F619" s="794"/>
      <c r="G619" s="794"/>
      <c r="H619" s="794"/>
      <c r="I619" s="794"/>
      <c r="J619" s="794"/>
      <c r="K619" s="794"/>
      <c r="L619" s="794"/>
      <c r="M619" s="794"/>
      <c r="N619" s="794"/>
    </row>
    <row r="620" spans="3:14" ht="14.25" customHeight="1">
      <c r="C620" s="794"/>
      <c r="D620" s="794"/>
      <c r="E620" s="794"/>
      <c r="F620" s="794"/>
      <c r="G620" s="794"/>
      <c r="H620" s="794"/>
      <c r="I620" s="794"/>
      <c r="J620" s="794"/>
      <c r="K620" s="794"/>
      <c r="L620" s="794"/>
      <c r="M620" s="794"/>
      <c r="N620" s="794"/>
    </row>
    <row r="621" spans="3:14" ht="14.25" customHeight="1">
      <c r="C621" s="794"/>
      <c r="D621" s="794"/>
      <c r="E621" s="794"/>
      <c r="F621" s="794"/>
      <c r="G621" s="794"/>
      <c r="H621" s="794"/>
      <c r="I621" s="794"/>
      <c r="J621" s="794"/>
      <c r="K621" s="794"/>
      <c r="L621" s="794"/>
      <c r="M621" s="794"/>
      <c r="N621" s="794"/>
    </row>
    <row r="622" spans="3:14" ht="14.25" customHeight="1">
      <c r="C622" s="794"/>
      <c r="D622" s="794"/>
      <c r="E622" s="794"/>
      <c r="F622" s="794"/>
      <c r="G622" s="794"/>
      <c r="H622" s="794"/>
      <c r="I622" s="794"/>
      <c r="J622" s="794"/>
      <c r="K622" s="794"/>
      <c r="L622" s="794"/>
      <c r="M622" s="794"/>
      <c r="N622" s="794"/>
    </row>
    <row r="623" spans="3:14" ht="14.25" customHeight="1">
      <c r="C623" s="794"/>
      <c r="D623" s="794"/>
      <c r="E623" s="794"/>
      <c r="F623" s="794"/>
      <c r="G623" s="794"/>
      <c r="H623" s="794"/>
      <c r="I623" s="794"/>
      <c r="J623" s="794"/>
      <c r="K623" s="794"/>
      <c r="L623" s="794"/>
      <c r="M623" s="794"/>
      <c r="N623" s="794"/>
    </row>
    <row r="624" spans="3:14" ht="14.25" customHeight="1">
      <c r="C624" s="794"/>
      <c r="D624" s="794"/>
      <c r="E624" s="794"/>
      <c r="F624" s="794"/>
      <c r="G624" s="794"/>
      <c r="H624" s="794"/>
      <c r="I624" s="794"/>
      <c r="J624" s="794"/>
      <c r="K624" s="794"/>
      <c r="L624" s="794"/>
      <c r="M624" s="794"/>
      <c r="N624" s="794"/>
    </row>
    <row r="625" spans="3:14" ht="14.25" customHeight="1">
      <c r="C625" s="794"/>
      <c r="D625" s="794"/>
      <c r="E625" s="794"/>
      <c r="F625" s="794"/>
      <c r="G625" s="794"/>
      <c r="H625" s="794"/>
      <c r="I625" s="794"/>
      <c r="J625" s="794"/>
      <c r="K625" s="794"/>
      <c r="L625" s="794"/>
      <c r="M625" s="794"/>
      <c r="N625" s="794"/>
    </row>
    <row r="626" spans="3:14" ht="14.25" customHeight="1">
      <c r="C626" s="794"/>
      <c r="D626" s="794"/>
      <c r="E626" s="794"/>
      <c r="F626" s="794"/>
      <c r="G626" s="794"/>
      <c r="H626" s="794"/>
      <c r="I626" s="794"/>
      <c r="J626" s="794"/>
      <c r="K626" s="794"/>
      <c r="L626" s="794"/>
      <c r="M626" s="794"/>
      <c r="N626" s="794"/>
    </row>
    <row r="627" spans="3:14" ht="14.25" customHeight="1">
      <c r="C627" s="794"/>
      <c r="D627" s="794"/>
      <c r="E627" s="794"/>
      <c r="F627" s="794"/>
      <c r="G627" s="794"/>
      <c r="H627" s="794"/>
      <c r="I627" s="794"/>
      <c r="J627" s="794"/>
      <c r="K627" s="794"/>
      <c r="L627" s="794"/>
      <c r="M627" s="794"/>
      <c r="N627" s="794"/>
    </row>
    <row r="628" spans="3:14" ht="14.25" customHeight="1">
      <c r="C628" s="794"/>
      <c r="D628" s="794"/>
      <c r="E628" s="794"/>
      <c r="F628" s="794"/>
      <c r="G628" s="794"/>
      <c r="H628" s="794"/>
      <c r="I628" s="794"/>
      <c r="J628" s="794"/>
      <c r="K628" s="794"/>
      <c r="L628" s="794"/>
      <c r="M628" s="794"/>
      <c r="N628" s="794"/>
    </row>
    <row r="629" spans="3:14" ht="14.25" customHeight="1">
      <c r="C629" s="794"/>
      <c r="D629" s="794"/>
      <c r="E629" s="794"/>
      <c r="F629" s="794"/>
      <c r="G629" s="794"/>
      <c r="H629" s="794"/>
      <c r="I629" s="794"/>
      <c r="J629" s="794"/>
      <c r="K629" s="794"/>
      <c r="L629" s="794"/>
      <c r="M629" s="794"/>
      <c r="N629" s="794"/>
    </row>
    <row r="630" spans="3:14" ht="14.25" customHeight="1">
      <c r="C630" s="794"/>
      <c r="D630" s="794"/>
      <c r="E630" s="794"/>
      <c r="F630" s="794"/>
      <c r="G630" s="794"/>
      <c r="H630" s="794"/>
      <c r="I630" s="794"/>
      <c r="J630" s="794"/>
      <c r="K630" s="794"/>
      <c r="L630" s="794"/>
      <c r="M630" s="794"/>
      <c r="N630" s="794"/>
    </row>
    <row r="631" spans="3:14" ht="14.25" customHeight="1">
      <c r="C631" s="794"/>
      <c r="D631" s="794"/>
      <c r="E631" s="794"/>
      <c r="F631" s="794"/>
      <c r="G631" s="794"/>
      <c r="H631" s="794"/>
      <c r="I631" s="794"/>
      <c r="J631" s="794"/>
      <c r="K631" s="794"/>
      <c r="L631" s="794"/>
      <c r="M631" s="794"/>
      <c r="N631" s="794"/>
    </row>
    <row r="632" spans="3:14" ht="14.25" customHeight="1">
      <c r="C632" s="794"/>
      <c r="D632" s="794"/>
      <c r="E632" s="794"/>
      <c r="F632" s="794"/>
      <c r="G632" s="794"/>
      <c r="H632" s="794"/>
      <c r="I632" s="794"/>
      <c r="J632" s="794"/>
      <c r="K632" s="794"/>
      <c r="L632" s="794"/>
      <c r="M632" s="794"/>
      <c r="N632" s="794"/>
    </row>
    <row r="633" spans="3:14" ht="14.25" customHeight="1">
      <c r="C633" s="794"/>
      <c r="D633" s="794"/>
      <c r="E633" s="794"/>
      <c r="F633" s="794"/>
      <c r="G633" s="794"/>
      <c r="H633" s="794"/>
      <c r="I633" s="794"/>
      <c r="J633" s="794"/>
      <c r="K633" s="794"/>
      <c r="L633" s="794"/>
      <c r="M633" s="794"/>
      <c r="N633" s="794"/>
    </row>
    <row r="634" spans="3:14" ht="14.25" customHeight="1">
      <c r="C634" s="794"/>
      <c r="D634" s="794"/>
      <c r="E634" s="794"/>
      <c r="F634" s="794"/>
      <c r="G634" s="794"/>
      <c r="H634" s="794"/>
      <c r="I634" s="794"/>
      <c r="J634" s="794"/>
      <c r="K634" s="794"/>
      <c r="L634" s="794"/>
      <c r="M634" s="794"/>
      <c r="N634" s="794"/>
    </row>
    <row r="635" spans="3:14" ht="14.25" customHeight="1">
      <c r="C635" s="794"/>
      <c r="D635" s="794"/>
      <c r="E635" s="794"/>
      <c r="F635" s="794"/>
      <c r="G635" s="794"/>
      <c r="H635" s="794"/>
      <c r="I635" s="794"/>
      <c r="J635" s="794"/>
      <c r="K635" s="794"/>
      <c r="L635" s="794"/>
      <c r="M635" s="794"/>
      <c r="N635" s="794"/>
    </row>
    <row r="636" spans="3:14" ht="14.25" customHeight="1">
      <c r="C636" s="794"/>
      <c r="D636" s="794"/>
      <c r="E636" s="794"/>
      <c r="F636" s="794"/>
      <c r="G636" s="794"/>
      <c r="H636" s="794"/>
      <c r="I636" s="794"/>
      <c r="J636" s="794"/>
      <c r="K636" s="794"/>
      <c r="L636" s="794"/>
      <c r="M636" s="794"/>
      <c r="N636" s="794"/>
    </row>
    <row r="637" spans="3:14" ht="14.25" customHeight="1">
      <c r="C637" s="794"/>
      <c r="D637" s="794"/>
      <c r="E637" s="794"/>
      <c r="F637" s="794"/>
      <c r="G637" s="794"/>
      <c r="H637" s="794"/>
      <c r="I637" s="794"/>
      <c r="J637" s="794"/>
      <c r="K637" s="794"/>
      <c r="L637" s="794"/>
      <c r="M637" s="794"/>
      <c r="N637" s="794"/>
    </row>
    <row r="638" spans="3:14" ht="14.25" customHeight="1">
      <c r="C638" s="794"/>
      <c r="D638" s="794"/>
      <c r="E638" s="794"/>
      <c r="F638" s="794"/>
      <c r="G638" s="794"/>
      <c r="H638" s="794"/>
      <c r="I638" s="794"/>
      <c r="J638" s="794"/>
      <c r="K638" s="794"/>
      <c r="L638" s="794"/>
      <c r="M638" s="794"/>
      <c r="N638" s="794"/>
    </row>
    <row r="639" spans="3:14" ht="14.25" customHeight="1">
      <c r="C639" s="794"/>
      <c r="D639" s="794"/>
      <c r="E639" s="794"/>
      <c r="F639" s="794"/>
      <c r="G639" s="794"/>
      <c r="H639" s="794"/>
      <c r="I639" s="794"/>
      <c r="J639" s="794"/>
      <c r="K639" s="794"/>
      <c r="L639" s="794"/>
      <c r="M639" s="794"/>
      <c r="N639" s="794"/>
    </row>
    <row r="640" spans="3:14" ht="14.25" customHeight="1">
      <c r="C640" s="794"/>
      <c r="D640" s="794"/>
      <c r="E640" s="794"/>
      <c r="F640" s="794"/>
      <c r="G640" s="794"/>
      <c r="H640" s="794"/>
      <c r="I640" s="794"/>
      <c r="J640" s="794"/>
      <c r="K640" s="794"/>
      <c r="L640" s="794"/>
      <c r="M640" s="794"/>
      <c r="N640" s="794"/>
    </row>
    <row r="641" spans="3:14" ht="14.25" customHeight="1">
      <c r="C641" s="794"/>
      <c r="D641" s="794"/>
      <c r="E641" s="794"/>
      <c r="F641" s="794"/>
      <c r="G641" s="794"/>
      <c r="H641" s="794"/>
      <c r="I641" s="794"/>
      <c r="J641" s="794"/>
      <c r="K641" s="794"/>
      <c r="L641" s="794"/>
      <c r="M641" s="794"/>
      <c r="N641" s="794"/>
    </row>
    <row r="642" spans="3:14" ht="14.25" customHeight="1">
      <c r="C642" s="794"/>
      <c r="D642" s="794"/>
      <c r="E642" s="794"/>
      <c r="F642" s="794"/>
      <c r="G642" s="794"/>
      <c r="H642" s="794"/>
      <c r="I642" s="794"/>
      <c r="J642" s="794"/>
      <c r="K642" s="794"/>
      <c r="L642" s="794"/>
      <c r="M642" s="794"/>
      <c r="N642" s="794"/>
    </row>
    <row r="643" spans="3:14" ht="14.25" customHeight="1">
      <c r="C643" s="794"/>
      <c r="D643" s="794"/>
      <c r="E643" s="794"/>
      <c r="F643" s="794"/>
      <c r="G643" s="794"/>
      <c r="H643" s="794"/>
      <c r="I643" s="794"/>
      <c r="J643" s="794"/>
      <c r="K643" s="794"/>
      <c r="L643" s="794"/>
      <c r="M643" s="794"/>
      <c r="N643" s="794"/>
    </row>
    <row r="644" spans="3:14" ht="14.25" customHeight="1">
      <c r="C644" s="794"/>
      <c r="D644" s="794"/>
      <c r="E644" s="794"/>
      <c r="F644" s="794"/>
      <c r="G644" s="794"/>
      <c r="H644" s="794"/>
      <c r="I644" s="794"/>
      <c r="J644" s="794"/>
      <c r="K644" s="794"/>
      <c r="L644" s="794"/>
      <c r="M644" s="794"/>
      <c r="N644" s="794"/>
    </row>
    <row r="645" spans="3:14" ht="14.25" customHeight="1">
      <c r="C645" s="794"/>
      <c r="D645" s="794"/>
      <c r="E645" s="794"/>
      <c r="F645" s="794"/>
      <c r="G645" s="794"/>
      <c r="H645" s="794"/>
      <c r="I645" s="794"/>
      <c r="J645" s="794"/>
      <c r="K645" s="794"/>
      <c r="L645" s="794"/>
      <c r="M645" s="794"/>
      <c r="N645" s="794"/>
    </row>
    <row r="646" spans="3:14" ht="14.25" customHeight="1">
      <c r="C646" s="794"/>
      <c r="D646" s="794"/>
      <c r="E646" s="794"/>
      <c r="F646" s="794"/>
      <c r="G646" s="794"/>
      <c r="H646" s="794"/>
      <c r="I646" s="794"/>
      <c r="J646" s="794"/>
      <c r="K646" s="794"/>
      <c r="L646" s="794"/>
      <c r="M646" s="794"/>
      <c r="N646" s="794"/>
    </row>
    <row r="647" spans="3:14" ht="14.25" customHeight="1">
      <c r="C647" s="794"/>
      <c r="D647" s="794"/>
      <c r="E647" s="794"/>
      <c r="F647" s="794"/>
      <c r="G647" s="794"/>
      <c r="H647" s="794"/>
      <c r="I647" s="794"/>
      <c r="J647" s="794"/>
      <c r="K647" s="794"/>
      <c r="L647" s="794"/>
      <c r="M647" s="794"/>
      <c r="N647" s="794"/>
    </row>
    <row r="648" spans="3:14" ht="14.25" customHeight="1">
      <c r="C648" s="794"/>
      <c r="D648" s="794"/>
      <c r="E648" s="794"/>
      <c r="F648" s="794"/>
      <c r="G648" s="794"/>
      <c r="H648" s="794"/>
      <c r="I648" s="794"/>
      <c r="J648" s="794"/>
      <c r="K648" s="794"/>
      <c r="L648" s="794"/>
      <c r="M648" s="794"/>
      <c r="N648" s="794"/>
    </row>
    <row r="649" spans="3:14" ht="14.25" customHeight="1">
      <c r="C649" s="794"/>
      <c r="D649" s="794"/>
      <c r="E649" s="794"/>
      <c r="F649" s="794"/>
      <c r="G649" s="794"/>
      <c r="H649" s="794"/>
      <c r="I649" s="794"/>
      <c r="J649" s="794"/>
      <c r="K649" s="794"/>
      <c r="L649" s="794"/>
      <c r="M649" s="794"/>
      <c r="N649" s="794"/>
    </row>
    <row r="650" spans="3:14" ht="14.25" customHeight="1">
      <c r="C650" s="794"/>
      <c r="D650" s="794"/>
      <c r="E650" s="794"/>
      <c r="F650" s="794"/>
      <c r="G650" s="794"/>
      <c r="H650" s="794"/>
      <c r="I650" s="794"/>
      <c r="J650" s="794"/>
      <c r="K650" s="794"/>
      <c r="L650" s="794"/>
      <c r="M650" s="794"/>
      <c r="N650" s="794"/>
    </row>
    <row r="651" spans="3:14" ht="14.25" customHeight="1">
      <c r="C651" s="794"/>
      <c r="D651" s="794"/>
      <c r="E651" s="794"/>
      <c r="F651" s="794"/>
      <c r="G651" s="794"/>
      <c r="H651" s="794"/>
      <c r="I651" s="794"/>
      <c r="J651" s="794"/>
      <c r="K651" s="794"/>
      <c r="L651" s="794"/>
      <c r="M651" s="794"/>
      <c r="N651" s="794"/>
    </row>
    <row r="652" spans="3:14" ht="14.25" customHeight="1">
      <c r="C652" s="794"/>
      <c r="D652" s="794"/>
      <c r="E652" s="794"/>
      <c r="F652" s="794"/>
      <c r="G652" s="794"/>
      <c r="H652" s="794"/>
      <c r="I652" s="794"/>
      <c r="J652" s="794"/>
      <c r="K652" s="794"/>
      <c r="L652" s="794"/>
      <c r="M652" s="794"/>
      <c r="N652" s="794"/>
    </row>
    <row r="653" spans="3:14" ht="14.25" customHeight="1">
      <c r="C653" s="794"/>
      <c r="D653" s="794"/>
      <c r="E653" s="794"/>
      <c r="F653" s="794"/>
      <c r="G653" s="794"/>
      <c r="H653" s="794"/>
      <c r="I653" s="794"/>
      <c r="J653" s="794"/>
      <c r="K653" s="794"/>
      <c r="L653" s="794"/>
      <c r="M653" s="794"/>
      <c r="N653" s="794"/>
    </row>
    <row r="654" spans="3:14" ht="14.25" customHeight="1">
      <c r="C654" s="794"/>
      <c r="D654" s="794"/>
      <c r="E654" s="794"/>
      <c r="F654" s="794"/>
      <c r="G654" s="794"/>
      <c r="H654" s="794"/>
      <c r="I654" s="794"/>
      <c r="J654" s="794"/>
      <c r="K654" s="794"/>
      <c r="L654" s="794"/>
      <c r="M654" s="794"/>
      <c r="N654" s="794"/>
    </row>
    <row r="655" spans="3:14" ht="14.25" customHeight="1">
      <c r="C655" s="794"/>
      <c r="D655" s="794"/>
      <c r="E655" s="794"/>
      <c r="F655" s="794"/>
      <c r="G655" s="794"/>
      <c r="H655" s="794"/>
      <c r="I655" s="794"/>
      <c r="J655" s="794"/>
      <c r="K655" s="794"/>
      <c r="L655" s="794"/>
      <c r="M655" s="794"/>
      <c r="N655" s="794"/>
    </row>
    <row r="656" spans="3:14" ht="14.25" customHeight="1">
      <c r="C656" s="794"/>
      <c r="D656" s="794"/>
      <c r="E656" s="794"/>
      <c r="F656" s="794"/>
      <c r="G656" s="794"/>
      <c r="H656" s="794"/>
      <c r="I656" s="794"/>
      <c r="J656" s="794"/>
      <c r="K656" s="794"/>
      <c r="L656" s="794"/>
      <c r="M656" s="794"/>
      <c r="N656" s="794"/>
    </row>
    <row r="657" spans="3:14" ht="14.25" customHeight="1">
      <c r="C657" s="794"/>
      <c r="D657" s="794"/>
      <c r="E657" s="794"/>
      <c r="F657" s="794"/>
      <c r="G657" s="794"/>
      <c r="H657" s="794"/>
      <c r="I657" s="794"/>
      <c r="J657" s="794"/>
      <c r="K657" s="794"/>
      <c r="L657" s="794"/>
      <c r="M657" s="794"/>
      <c r="N657" s="794"/>
    </row>
    <row r="658" spans="3:14" ht="14.25" customHeight="1">
      <c r="C658" s="794"/>
      <c r="D658" s="794"/>
      <c r="E658" s="794"/>
      <c r="F658" s="794"/>
      <c r="G658" s="794"/>
      <c r="H658" s="794"/>
      <c r="I658" s="794"/>
      <c r="J658" s="794"/>
      <c r="K658" s="794"/>
      <c r="L658" s="794"/>
      <c r="M658" s="794"/>
      <c r="N658" s="794"/>
    </row>
    <row r="659" spans="3:14" ht="14.25" customHeight="1">
      <c r="C659" s="794"/>
      <c r="D659" s="794"/>
      <c r="E659" s="794"/>
      <c r="F659" s="794"/>
      <c r="G659" s="794"/>
      <c r="H659" s="794"/>
      <c r="I659" s="794"/>
      <c r="J659" s="794"/>
      <c r="K659" s="794"/>
      <c r="L659" s="794"/>
      <c r="M659" s="794"/>
      <c r="N659" s="794"/>
    </row>
    <row r="660" spans="3:14" ht="14.25" customHeight="1">
      <c r="C660" s="794"/>
      <c r="D660" s="794"/>
      <c r="E660" s="794"/>
      <c r="F660" s="794"/>
      <c r="G660" s="794"/>
      <c r="H660" s="794"/>
      <c r="I660" s="794"/>
      <c r="J660" s="794"/>
      <c r="K660" s="794"/>
      <c r="L660" s="794"/>
      <c r="M660" s="794"/>
      <c r="N660" s="794"/>
    </row>
    <row r="661" spans="3:14" ht="14.25" customHeight="1">
      <c r="C661" s="794"/>
      <c r="D661" s="794"/>
      <c r="E661" s="794"/>
      <c r="F661" s="794"/>
      <c r="G661" s="794"/>
      <c r="H661" s="794"/>
      <c r="I661" s="794"/>
      <c r="J661" s="794"/>
      <c r="K661" s="794"/>
      <c r="L661" s="794"/>
      <c r="M661" s="794"/>
      <c r="N661" s="794"/>
    </row>
    <row r="662" spans="3:14" ht="14.25" customHeight="1">
      <c r="C662" s="794"/>
      <c r="D662" s="794"/>
      <c r="E662" s="794"/>
      <c r="F662" s="794"/>
      <c r="G662" s="794"/>
      <c r="H662" s="794"/>
      <c r="I662" s="794"/>
      <c r="J662" s="794"/>
      <c r="K662" s="794"/>
      <c r="L662" s="794"/>
      <c r="M662" s="794"/>
      <c r="N662" s="794"/>
    </row>
    <row r="663" spans="3:14" ht="14.25" customHeight="1">
      <c r="C663" s="794"/>
      <c r="D663" s="794"/>
      <c r="E663" s="794"/>
      <c r="F663" s="794"/>
      <c r="G663" s="794"/>
      <c r="H663" s="794"/>
      <c r="I663" s="794"/>
      <c r="J663" s="794"/>
      <c r="K663" s="794"/>
      <c r="L663" s="794"/>
      <c r="M663" s="794"/>
      <c r="N663" s="794"/>
    </row>
    <row r="664" spans="3:14" ht="14.25" customHeight="1">
      <c r="C664" s="794"/>
      <c r="D664" s="794"/>
      <c r="E664" s="794"/>
      <c r="F664" s="794"/>
      <c r="G664" s="794"/>
      <c r="H664" s="794"/>
      <c r="I664" s="794"/>
      <c r="J664" s="794"/>
      <c r="K664" s="794"/>
      <c r="L664" s="794"/>
      <c r="M664" s="794"/>
      <c r="N664" s="794"/>
    </row>
    <row r="665" spans="3:14" ht="14.25" customHeight="1">
      <c r="C665" s="794"/>
      <c r="D665" s="794"/>
      <c r="E665" s="794"/>
      <c r="F665" s="794"/>
      <c r="G665" s="794"/>
      <c r="H665" s="794"/>
      <c r="I665" s="794"/>
      <c r="J665" s="794"/>
      <c r="K665" s="794"/>
      <c r="L665" s="794"/>
      <c r="M665" s="794"/>
      <c r="N665" s="794"/>
    </row>
    <row r="666" spans="3:14" ht="14.25" customHeight="1">
      <c r="C666" s="794"/>
      <c r="D666" s="794"/>
      <c r="E666" s="794"/>
      <c r="F666" s="794"/>
      <c r="G666" s="794"/>
      <c r="H666" s="794"/>
      <c r="I666" s="794"/>
      <c r="J666" s="794"/>
      <c r="K666" s="794"/>
      <c r="L666" s="794"/>
      <c r="M666" s="794"/>
      <c r="N666" s="794"/>
    </row>
    <row r="667" spans="3:14" ht="14.25" customHeight="1">
      <c r="C667" s="794"/>
      <c r="D667" s="794"/>
      <c r="E667" s="794"/>
      <c r="F667" s="794"/>
      <c r="G667" s="794"/>
      <c r="H667" s="794"/>
      <c r="I667" s="794"/>
      <c r="J667" s="794"/>
      <c r="K667" s="794"/>
      <c r="L667" s="794"/>
      <c r="M667" s="794"/>
      <c r="N667" s="794"/>
    </row>
    <row r="668" spans="3:14" ht="14.25" customHeight="1">
      <c r="C668" s="794"/>
      <c r="D668" s="794"/>
      <c r="E668" s="794"/>
      <c r="F668" s="794"/>
      <c r="G668" s="794"/>
      <c r="H668" s="794"/>
      <c r="I668" s="794"/>
      <c r="J668" s="794"/>
      <c r="K668" s="794"/>
      <c r="L668" s="794"/>
      <c r="M668" s="794"/>
      <c r="N668" s="794"/>
    </row>
    <row r="669" spans="3:14" ht="14.25" customHeight="1">
      <c r="C669" s="794"/>
      <c r="D669" s="794"/>
      <c r="E669" s="794"/>
      <c r="F669" s="794"/>
      <c r="G669" s="794"/>
      <c r="H669" s="794"/>
      <c r="I669" s="794"/>
      <c r="J669" s="794"/>
      <c r="K669" s="794"/>
      <c r="L669" s="794"/>
      <c r="M669" s="794"/>
      <c r="N669" s="794"/>
    </row>
    <row r="670" spans="3:14" ht="14.25" customHeight="1">
      <c r="C670" s="794"/>
      <c r="D670" s="794"/>
      <c r="E670" s="794"/>
      <c r="F670" s="794"/>
      <c r="G670" s="794"/>
      <c r="H670" s="794"/>
      <c r="I670" s="794"/>
      <c r="J670" s="794"/>
      <c r="K670" s="794"/>
      <c r="L670" s="794"/>
      <c r="M670" s="794"/>
      <c r="N670" s="794"/>
    </row>
    <row r="671" spans="3:14" ht="14.25" customHeight="1">
      <c r="C671" s="794"/>
      <c r="D671" s="794"/>
      <c r="E671" s="794"/>
      <c r="F671" s="794"/>
      <c r="G671" s="794"/>
      <c r="H671" s="794"/>
      <c r="I671" s="794"/>
      <c r="J671" s="794"/>
      <c r="K671" s="794"/>
      <c r="L671" s="794"/>
      <c r="M671" s="794"/>
      <c r="N671" s="794"/>
    </row>
    <row r="672" spans="3:14" ht="14.25" customHeight="1">
      <c r="C672" s="794"/>
      <c r="D672" s="794"/>
      <c r="E672" s="794"/>
      <c r="F672" s="794"/>
      <c r="G672" s="794"/>
      <c r="H672" s="794"/>
      <c r="I672" s="794"/>
      <c r="J672" s="794"/>
      <c r="K672" s="794"/>
      <c r="L672" s="794"/>
      <c r="M672" s="794"/>
      <c r="N672" s="794"/>
    </row>
    <row r="673" spans="3:14" ht="14.25" customHeight="1">
      <c r="C673" s="794"/>
      <c r="D673" s="794"/>
      <c r="E673" s="794"/>
      <c r="F673" s="794"/>
      <c r="G673" s="794"/>
      <c r="H673" s="794"/>
      <c r="I673" s="794"/>
      <c r="J673" s="794"/>
      <c r="K673" s="794"/>
      <c r="L673" s="794"/>
      <c r="M673" s="794"/>
      <c r="N673" s="794"/>
    </row>
    <row r="674" spans="3:14" ht="14.25" customHeight="1">
      <c r="C674" s="794"/>
      <c r="D674" s="794"/>
      <c r="E674" s="794"/>
      <c r="F674" s="794"/>
      <c r="G674" s="794"/>
      <c r="H674" s="794"/>
      <c r="I674" s="794"/>
      <c r="J674" s="794"/>
      <c r="K674" s="794"/>
      <c r="L674" s="794"/>
      <c r="M674" s="794"/>
      <c r="N674" s="794"/>
    </row>
    <row r="675" spans="3:14" ht="14.25" customHeight="1">
      <c r="C675" s="794"/>
      <c r="D675" s="794"/>
      <c r="E675" s="794"/>
      <c r="F675" s="794"/>
      <c r="G675" s="794"/>
      <c r="H675" s="794"/>
      <c r="I675" s="794"/>
      <c r="J675" s="794"/>
      <c r="K675" s="794"/>
      <c r="L675" s="794"/>
      <c r="M675" s="794"/>
      <c r="N675" s="794"/>
    </row>
    <row r="676" spans="3:14" ht="14.25" customHeight="1">
      <c r="C676" s="794"/>
      <c r="D676" s="794"/>
      <c r="E676" s="794"/>
      <c r="F676" s="794"/>
      <c r="G676" s="794"/>
      <c r="H676" s="794"/>
      <c r="I676" s="794"/>
      <c r="J676" s="794"/>
      <c r="K676" s="794"/>
      <c r="L676" s="794"/>
      <c r="M676" s="794"/>
      <c r="N676" s="794"/>
    </row>
    <row r="677" spans="3:14" ht="14.25" customHeight="1">
      <c r="C677" s="794"/>
      <c r="D677" s="794"/>
      <c r="E677" s="794"/>
      <c r="F677" s="794"/>
      <c r="G677" s="794"/>
      <c r="H677" s="794"/>
      <c r="I677" s="794"/>
      <c r="J677" s="794"/>
      <c r="K677" s="794"/>
      <c r="L677" s="794"/>
      <c r="M677" s="794"/>
      <c r="N677" s="794"/>
    </row>
    <row r="678" spans="3:14" ht="14.25" customHeight="1">
      <c r="C678" s="794"/>
      <c r="D678" s="794"/>
      <c r="E678" s="794"/>
      <c r="F678" s="794"/>
      <c r="G678" s="794"/>
      <c r="H678" s="794"/>
      <c r="I678" s="794"/>
      <c r="J678" s="794"/>
      <c r="K678" s="794"/>
      <c r="L678" s="794"/>
      <c r="M678" s="794"/>
      <c r="N678" s="794"/>
    </row>
    <row r="679" spans="3:14" ht="14.25" customHeight="1">
      <c r="C679" s="794"/>
      <c r="D679" s="794"/>
      <c r="E679" s="794"/>
      <c r="F679" s="794"/>
      <c r="G679" s="794"/>
      <c r="H679" s="794"/>
      <c r="I679" s="794"/>
      <c r="J679" s="794"/>
      <c r="K679" s="794"/>
      <c r="L679" s="794"/>
      <c r="M679" s="794"/>
      <c r="N679" s="794"/>
    </row>
    <row r="680" spans="3:14" ht="14.25" customHeight="1">
      <c r="C680" s="794"/>
      <c r="D680" s="794"/>
      <c r="E680" s="794"/>
      <c r="F680" s="794"/>
      <c r="G680" s="794"/>
      <c r="H680" s="794"/>
      <c r="I680" s="794"/>
      <c r="J680" s="794"/>
      <c r="K680" s="794"/>
      <c r="L680" s="794"/>
      <c r="M680" s="794"/>
      <c r="N680" s="794"/>
    </row>
    <row r="681" spans="3:14" ht="14.25" customHeight="1">
      <c r="C681" s="794"/>
      <c r="D681" s="794"/>
      <c r="E681" s="794"/>
      <c r="F681" s="794"/>
      <c r="G681" s="794"/>
      <c r="H681" s="794"/>
      <c r="I681" s="794"/>
      <c r="J681" s="794"/>
      <c r="K681" s="794"/>
      <c r="L681" s="794"/>
      <c r="M681" s="794"/>
      <c r="N681" s="794"/>
    </row>
    <row r="682" spans="3:14" ht="14.25" customHeight="1">
      <c r="C682" s="794"/>
      <c r="D682" s="794"/>
      <c r="E682" s="794"/>
      <c r="F682" s="794"/>
      <c r="G682" s="794"/>
      <c r="H682" s="794"/>
      <c r="I682" s="794"/>
      <c r="J682" s="794"/>
      <c r="K682" s="794"/>
      <c r="L682" s="794"/>
      <c r="M682" s="794"/>
      <c r="N682" s="794"/>
    </row>
    <row r="683" spans="3:14" ht="14.25" customHeight="1">
      <c r="C683" s="794"/>
      <c r="D683" s="794"/>
      <c r="E683" s="794"/>
      <c r="F683" s="794"/>
      <c r="G683" s="794"/>
      <c r="H683" s="794"/>
      <c r="I683" s="794"/>
      <c r="J683" s="794"/>
      <c r="K683" s="794"/>
      <c r="L683" s="794"/>
      <c r="M683" s="794"/>
      <c r="N683" s="794"/>
    </row>
    <row r="684" spans="3:14" ht="14.25" customHeight="1">
      <c r="C684" s="794"/>
      <c r="D684" s="794"/>
      <c r="E684" s="794"/>
      <c r="F684" s="794"/>
      <c r="G684" s="794"/>
      <c r="H684" s="794"/>
      <c r="I684" s="794"/>
      <c r="J684" s="794"/>
      <c r="K684" s="794"/>
      <c r="L684" s="794"/>
      <c r="M684" s="794"/>
      <c r="N684" s="794"/>
    </row>
    <row r="685" spans="3:14" ht="14.25" customHeight="1">
      <c r="C685" s="794"/>
      <c r="D685" s="794"/>
      <c r="E685" s="794"/>
      <c r="F685" s="794"/>
      <c r="G685" s="794"/>
      <c r="H685" s="794"/>
      <c r="I685" s="794"/>
      <c r="J685" s="794"/>
      <c r="K685" s="794"/>
      <c r="L685" s="794"/>
      <c r="M685" s="794"/>
      <c r="N685" s="794"/>
    </row>
    <row r="686" spans="3:14" ht="14.25" customHeight="1">
      <c r="C686" s="794"/>
      <c r="D686" s="794"/>
      <c r="E686" s="794"/>
      <c r="F686" s="794"/>
      <c r="G686" s="794"/>
      <c r="H686" s="794"/>
      <c r="I686" s="794"/>
      <c r="J686" s="794"/>
      <c r="K686" s="794"/>
      <c r="L686" s="794"/>
      <c r="M686" s="794"/>
      <c r="N686" s="794"/>
    </row>
    <row r="687" spans="3:14" ht="14.25" customHeight="1">
      <c r="C687" s="794"/>
      <c r="D687" s="794"/>
      <c r="E687" s="794"/>
      <c r="F687" s="794"/>
      <c r="G687" s="794"/>
      <c r="H687" s="794"/>
      <c r="I687" s="794"/>
      <c r="J687" s="794"/>
      <c r="K687" s="794"/>
      <c r="L687" s="794"/>
      <c r="M687" s="794"/>
      <c r="N687" s="794"/>
    </row>
    <row r="688" spans="3:14" ht="14.25" customHeight="1">
      <c r="C688" s="794"/>
      <c r="D688" s="794"/>
      <c r="E688" s="794"/>
      <c r="F688" s="794"/>
      <c r="G688" s="794"/>
      <c r="H688" s="794"/>
      <c r="I688" s="794"/>
      <c r="J688" s="794"/>
      <c r="K688" s="794"/>
      <c r="L688" s="794"/>
      <c r="M688" s="794"/>
      <c r="N688" s="794"/>
    </row>
    <row r="689" spans="3:14" ht="14.25" customHeight="1">
      <c r="C689" s="794"/>
      <c r="D689" s="794"/>
      <c r="E689" s="794"/>
      <c r="F689" s="794"/>
      <c r="G689" s="794"/>
      <c r="H689" s="794"/>
      <c r="I689" s="794"/>
      <c r="J689" s="794"/>
      <c r="K689" s="794"/>
      <c r="L689" s="794"/>
      <c r="M689" s="794"/>
      <c r="N689" s="794"/>
    </row>
    <row r="690" spans="3:14" ht="14.25" customHeight="1">
      <c r="C690" s="794"/>
      <c r="D690" s="794"/>
      <c r="E690" s="794"/>
      <c r="F690" s="794"/>
      <c r="G690" s="794"/>
      <c r="H690" s="794"/>
      <c r="I690" s="794"/>
      <c r="J690" s="794"/>
      <c r="K690" s="794"/>
      <c r="L690" s="794"/>
      <c r="M690" s="794"/>
      <c r="N690" s="794"/>
    </row>
    <row r="691" spans="3:14" ht="14.25" customHeight="1">
      <c r="C691" s="794"/>
      <c r="D691" s="794"/>
      <c r="E691" s="794"/>
      <c r="F691" s="794"/>
      <c r="G691" s="794"/>
      <c r="H691" s="794"/>
      <c r="I691" s="794"/>
      <c r="J691" s="794"/>
      <c r="K691" s="794"/>
      <c r="L691" s="794"/>
      <c r="M691" s="794"/>
      <c r="N691" s="794"/>
    </row>
    <row r="692" spans="3:14" ht="14.25" customHeight="1">
      <c r="C692" s="794"/>
      <c r="D692" s="794"/>
      <c r="E692" s="794"/>
      <c r="F692" s="794"/>
      <c r="G692" s="794"/>
      <c r="H692" s="794"/>
      <c r="I692" s="794"/>
      <c r="J692" s="794"/>
      <c r="K692" s="794"/>
      <c r="L692" s="794"/>
      <c r="M692" s="794"/>
      <c r="N692" s="794"/>
    </row>
    <row r="693" spans="3:14" ht="14.25" customHeight="1">
      <c r="C693" s="794"/>
      <c r="D693" s="794"/>
      <c r="E693" s="794"/>
      <c r="F693" s="794"/>
      <c r="G693" s="794"/>
      <c r="H693" s="794"/>
      <c r="I693" s="794"/>
      <c r="J693" s="794"/>
      <c r="K693" s="794"/>
      <c r="L693" s="794"/>
      <c r="M693" s="794"/>
      <c r="N693" s="794"/>
    </row>
    <row r="694" spans="3:14" ht="14.25" customHeight="1">
      <c r="C694" s="794"/>
      <c r="D694" s="794"/>
      <c r="E694" s="794"/>
      <c r="F694" s="794"/>
      <c r="G694" s="794"/>
      <c r="H694" s="794"/>
      <c r="I694" s="794"/>
      <c r="J694" s="794"/>
      <c r="K694" s="794"/>
      <c r="L694" s="794"/>
      <c r="M694" s="794"/>
      <c r="N694" s="794"/>
    </row>
    <row r="695" spans="3:14" ht="14.25" customHeight="1">
      <c r="C695" s="794"/>
      <c r="D695" s="794"/>
      <c r="E695" s="794"/>
      <c r="F695" s="794"/>
      <c r="G695" s="794"/>
      <c r="H695" s="794"/>
      <c r="I695" s="794"/>
      <c r="J695" s="794"/>
      <c r="K695" s="794"/>
      <c r="L695" s="794"/>
      <c r="M695" s="794"/>
      <c r="N695" s="794"/>
    </row>
    <row r="696" spans="3:14" ht="14.25" customHeight="1">
      <c r="C696" s="794"/>
      <c r="D696" s="794"/>
      <c r="E696" s="794"/>
      <c r="F696" s="794"/>
      <c r="G696" s="794"/>
      <c r="H696" s="794"/>
      <c r="I696" s="794"/>
      <c r="J696" s="794"/>
      <c r="K696" s="794"/>
      <c r="L696" s="794"/>
      <c r="M696" s="794"/>
      <c r="N696" s="794"/>
    </row>
    <row r="697" spans="3:14" ht="14.25" customHeight="1">
      <c r="C697" s="794"/>
      <c r="D697" s="794"/>
      <c r="E697" s="794"/>
      <c r="F697" s="794"/>
      <c r="G697" s="794"/>
      <c r="H697" s="794"/>
      <c r="I697" s="794"/>
      <c r="J697" s="794"/>
      <c r="K697" s="794"/>
      <c r="L697" s="794"/>
      <c r="M697" s="794"/>
      <c r="N697" s="794"/>
    </row>
    <row r="698" spans="3:14" ht="14.25" customHeight="1">
      <c r="C698" s="794"/>
      <c r="D698" s="794"/>
      <c r="E698" s="794"/>
      <c r="F698" s="794"/>
      <c r="G698" s="794"/>
      <c r="H698" s="794"/>
      <c r="I698" s="794"/>
      <c r="J698" s="794"/>
      <c r="K698" s="794"/>
      <c r="L698" s="794"/>
      <c r="M698" s="794"/>
      <c r="N698" s="794"/>
    </row>
    <row r="699" spans="3:14" ht="14.25" customHeight="1">
      <c r="C699" s="794"/>
      <c r="D699" s="794"/>
      <c r="E699" s="794"/>
      <c r="F699" s="794"/>
      <c r="G699" s="794"/>
      <c r="H699" s="794"/>
      <c r="I699" s="794"/>
      <c r="J699" s="794"/>
      <c r="K699" s="794"/>
      <c r="L699" s="794"/>
      <c r="M699" s="794"/>
      <c r="N699" s="794"/>
    </row>
    <row r="700" spans="3:14" ht="14.25" customHeight="1">
      <c r="C700" s="794"/>
      <c r="D700" s="794"/>
      <c r="E700" s="794"/>
      <c r="F700" s="794"/>
      <c r="G700" s="794"/>
      <c r="H700" s="794"/>
      <c r="I700" s="794"/>
      <c r="J700" s="794"/>
      <c r="K700" s="794"/>
      <c r="L700" s="794"/>
      <c r="M700" s="794"/>
      <c r="N700" s="794"/>
    </row>
    <row r="701" spans="3:14" ht="14.25" customHeight="1">
      <c r="C701" s="794"/>
      <c r="D701" s="794"/>
      <c r="E701" s="794"/>
      <c r="F701" s="794"/>
      <c r="G701" s="794"/>
      <c r="H701" s="794"/>
      <c r="I701" s="794"/>
      <c r="J701" s="794"/>
      <c r="K701" s="794"/>
      <c r="L701" s="794"/>
      <c r="M701" s="794"/>
      <c r="N701" s="794"/>
    </row>
    <row r="702" spans="3:14" ht="14.25" customHeight="1">
      <c r="C702" s="794"/>
      <c r="D702" s="794"/>
      <c r="E702" s="794"/>
      <c r="F702" s="794"/>
      <c r="G702" s="794"/>
      <c r="H702" s="794"/>
      <c r="I702" s="794"/>
      <c r="J702" s="794"/>
      <c r="K702" s="794"/>
      <c r="L702" s="794"/>
      <c r="M702" s="794"/>
      <c r="N702" s="794"/>
    </row>
    <row r="703" spans="3:14" ht="14.25" customHeight="1">
      <c r="C703" s="794"/>
      <c r="D703" s="794"/>
      <c r="E703" s="794"/>
      <c r="F703" s="794"/>
      <c r="G703" s="794"/>
      <c r="H703" s="794"/>
      <c r="I703" s="794"/>
      <c r="J703" s="794"/>
      <c r="K703" s="794"/>
      <c r="L703" s="794"/>
      <c r="M703" s="794"/>
      <c r="N703" s="794"/>
    </row>
    <row r="704" spans="3:14" ht="14.25" customHeight="1">
      <c r="C704" s="794"/>
      <c r="D704" s="794"/>
      <c r="E704" s="794"/>
      <c r="F704" s="794"/>
      <c r="G704" s="794"/>
      <c r="H704" s="794"/>
      <c r="I704" s="794"/>
      <c r="J704" s="794"/>
      <c r="K704" s="794"/>
      <c r="L704" s="794"/>
      <c r="M704" s="794"/>
      <c r="N704" s="794"/>
    </row>
    <row r="705" spans="3:14" ht="14.25" customHeight="1">
      <c r="C705" s="794"/>
      <c r="D705" s="794"/>
      <c r="E705" s="794"/>
      <c r="F705" s="794"/>
      <c r="G705" s="794"/>
      <c r="H705" s="794"/>
      <c r="I705" s="794"/>
      <c r="J705" s="794"/>
      <c r="K705" s="794"/>
      <c r="L705" s="794"/>
      <c r="M705" s="794"/>
      <c r="N705" s="794"/>
    </row>
    <row r="706" spans="3:14" ht="14.25" customHeight="1">
      <c r="C706" s="794"/>
      <c r="D706" s="794"/>
      <c r="E706" s="794"/>
      <c r="F706" s="794"/>
      <c r="G706" s="794"/>
      <c r="H706" s="794"/>
      <c r="I706" s="794"/>
      <c r="J706" s="794"/>
      <c r="K706" s="794"/>
      <c r="L706" s="794"/>
      <c r="M706" s="794"/>
      <c r="N706" s="794"/>
    </row>
    <row r="707" spans="3:14" ht="14.25" customHeight="1">
      <c r="C707" s="794"/>
      <c r="D707" s="794"/>
      <c r="E707" s="794"/>
      <c r="F707" s="794"/>
      <c r="G707" s="794"/>
      <c r="H707" s="794"/>
      <c r="I707" s="794"/>
      <c r="J707" s="794"/>
      <c r="K707" s="794"/>
      <c r="L707" s="794"/>
      <c r="M707" s="794"/>
      <c r="N707" s="794"/>
    </row>
    <row r="708" spans="3:14" ht="14.25" customHeight="1">
      <c r="C708" s="794"/>
      <c r="D708" s="794"/>
      <c r="E708" s="794"/>
      <c r="F708" s="794"/>
      <c r="G708" s="794"/>
      <c r="H708" s="794"/>
      <c r="I708" s="794"/>
      <c r="J708" s="794"/>
      <c r="K708" s="794"/>
      <c r="L708" s="794"/>
      <c r="M708" s="794"/>
      <c r="N708" s="794"/>
    </row>
    <row r="709" spans="3:14" ht="14.25" customHeight="1">
      <c r="C709" s="794"/>
      <c r="D709" s="794"/>
      <c r="E709" s="794"/>
      <c r="F709" s="794"/>
      <c r="G709" s="794"/>
      <c r="H709" s="794"/>
      <c r="I709" s="794"/>
      <c r="J709" s="794"/>
      <c r="K709" s="794"/>
      <c r="L709" s="794"/>
      <c r="M709" s="794"/>
      <c r="N709" s="794"/>
    </row>
    <row r="710" spans="3:14" ht="14.25" customHeight="1">
      <c r="C710" s="794"/>
      <c r="D710" s="794"/>
      <c r="E710" s="794"/>
      <c r="F710" s="794"/>
      <c r="G710" s="794"/>
      <c r="H710" s="794"/>
      <c r="I710" s="794"/>
      <c r="J710" s="794"/>
      <c r="K710" s="794"/>
      <c r="L710" s="794"/>
      <c r="M710" s="794"/>
      <c r="N710" s="794"/>
    </row>
    <row r="711" spans="3:14" ht="14.25" customHeight="1">
      <c r="C711" s="794"/>
      <c r="D711" s="794"/>
      <c r="E711" s="794"/>
      <c r="F711" s="794"/>
      <c r="G711" s="794"/>
      <c r="H711" s="794"/>
      <c r="I711" s="794"/>
      <c r="J711" s="794"/>
      <c r="K711" s="794"/>
      <c r="L711" s="794"/>
      <c r="M711" s="794"/>
      <c r="N711" s="794"/>
    </row>
    <row r="712" spans="3:14" ht="14.25" customHeight="1">
      <c r="C712" s="794"/>
      <c r="D712" s="794"/>
      <c r="E712" s="794"/>
      <c r="F712" s="794"/>
      <c r="G712" s="794"/>
      <c r="H712" s="794"/>
      <c r="I712" s="794"/>
      <c r="J712" s="794"/>
      <c r="K712" s="794"/>
      <c r="L712" s="794"/>
      <c r="M712" s="794"/>
      <c r="N712" s="794"/>
    </row>
    <row r="713" spans="3:14" ht="14.25" customHeight="1">
      <c r="C713" s="794"/>
      <c r="D713" s="794"/>
      <c r="E713" s="794"/>
      <c r="F713" s="794"/>
      <c r="G713" s="794"/>
      <c r="H713" s="794"/>
      <c r="I713" s="794"/>
      <c r="J713" s="794"/>
      <c r="K713" s="794"/>
      <c r="L713" s="794"/>
      <c r="M713" s="794"/>
      <c r="N713" s="794"/>
    </row>
    <row r="714" spans="3:14" ht="14.25" customHeight="1">
      <c r="C714" s="794"/>
      <c r="D714" s="794"/>
      <c r="E714" s="794"/>
      <c r="F714" s="794"/>
      <c r="G714" s="794"/>
      <c r="H714" s="794"/>
      <c r="I714" s="794"/>
      <c r="J714" s="794"/>
      <c r="K714" s="794"/>
      <c r="L714" s="794"/>
      <c r="M714" s="794"/>
      <c r="N714" s="794"/>
    </row>
    <row r="715" spans="3:14" ht="14.25" customHeight="1">
      <c r="C715" s="794"/>
      <c r="D715" s="794"/>
      <c r="E715" s="794"/>
      <c r="F715" s="794"/>
      <c r="G715" s="794"/>
      <c r="H715" s="794"/>
      <c r="I715" s="794"/>
      <c r="J715" s="794"/>
      <c r="K715" s="794"/>
      <c r="L715" s="794"/>
      <c r="M715" s="794"/>
      <c r="N715" s="794"/>
    </row>
    <row r="716" spans="3:14" ht="14.25" customHeight="1">
      <c r="C716" s="794"/>
      <c r="D716" s="794"/>
      <c r="E716" s="794"/>
      <c r="F716" s="794"/>
      <c r="G716" s="794"/>
      <c r="H716" s="794"/>
      <c r="I716" s="794"/>
      <c r="J716" s="794"/>
      <c r="K716" s="794"/>
      <c r="L716" s="794"/>
      <c r="M716" s="794"/>
      <c r="N716" s="794"/>
    </row>
    <row r="717" spans="3:14" ht="14.25" customHeight="1">
      <c r="C717" s="794"/>
      <c r="D717" s="794"/>
      <c r="E717" s="794"/>
      <c r="F717" s="794"/>
      <c r="G717" s="794"/>
      <c r="H717" s="794"/>
      <c r="I717" s="794"/>
      <c r="J717" s="794"/>
      <c r="K717" s="794"/>
      <c r="L717" s="794"/>
      <c r="M717" s="794"/>
      <c r="N717" s="794"/>
    </row>
    <row r="718" spans="3:14" ht="14.25" customHeight="1">
      <c r="C718" s="794"/>
      <c r="D718" s="794"/>
      <c r="E718" s="794"/>
      <c r="F718" s="794"/>
      <c r="G718" s="794"/>
      <c r="H718" s="794"/>
      <c r="I718" s="794"/>
      <c r="J718" s="794"/>
      <c r="K718" s="794"/>
      <c r="L718" s="794"/>
      <c r="M718" s="794"/>
      <c r="N718" s="794"/>
    </row>
    <row r="719" spans="3:14" ht="14.25" customHeight="1">
      <c r="C719" s="794"/>
      <c r="D719" s="794"/>
      <c r="E719" s="794"/>
      <c r="F719" s="794"/>
      <c r="G719" s="794"/>
      <c r="H719" s="794"/>
      <c r="I719" s="794"/>
      <c r="J719" s="794"/>
      <c r="K719" s="794"/>
      <c r="L719" s="794"/>
      <c r="M719" s="794"/>
      <c r="N719" s="794"/>
    </row>
    <row r="720" spans="3:14" ht="14.25" customHeight="1">
      <c r="C720" s="794"/>
      <c r="D720" s="794"/>
      <c r="E720" s="794"/>
      <c r="F720" s="794"/>
      <c r="G720" s="794"/>
      <c r="H720" s="794"/>
      <c r="I720" s="794"/>
      <c r="J720" s="794"/>
      <c r="K720" s="794"/>
      <c r="L720" s="794"/>
      <c r="M720" s="794"/>
      <c r="N720" s="794"/>
    </row>
    <row r="721" spans="3:14" ht="14.25" customHeight="1">
      <c r="C721" s="794"/>
      <c r="D721" s="794"/>
      <c r="E721" s="794"/>
      <c r="F721" s="794"/>
      <c r="G721" s="794"/>
      <c r="H721" s="794"/>
      <c r="I721" s="794"/>
      <c r="J721" s="794"/>
      <c r="K721" s="794"/>
      <c r="L721" s="794"/>
      <c r="M721" s="794"/>
      <c r="N721" s="794"/>
    </row>
    <row r="722" spans="3:14" ht="14.25" customHeight="1">
      <c r="C722" s="794"/>
      <c r="D722" s="794"/>
      <c r="E722" s="794"/>
      <c r="F722" s="794"/>
      <c r="G722" s="794"/>
      <c r="H722" s="794"/>
      <c r="I722" s="794"/>
      <c r="J722" s="794"/>
      <c r="K722" s="794"/>
      <c r="L722" s="794"/>
      <c r="M722" s="794"/>
      <c r="N722" s="794"/>
    </row>
    <row r="723" spans="3:14" ht="14.25" customHeight="1">
      <c r="C723" s="794"/>
      <c r="D723" s="794"/>
      <c r="E723" s="794"/>
      <c r="F723" s="794"/>
      <c r="G723" s="794"/>
      <c r="H723" s="794"/>
      <c r="I723" s="794"/>
      <c r="J723" s="794"/>
      <c r="K723" s="794"/>
      <c r="L723" s="794"/>
      <c r="M723" s="794"/>
      <c r="N723" s="794"/>
    </row>
    <row r="724" spans="3:14" ht="14.25" customHeight="1">
      <c r="C724" s="794"/>
      <c r="D724" s="794"/>
      <c r="E724" s="794"/>
      <c r="F724" s="794"/>
      <c r="G724" s="794"/>
      <c r="H724" s="794"/>
      <c r="I724" s="794"/>
      <c r="J724" s="794"/>
      <c r="K724" s="794"/>
      <c r="L724" s="794"/>
      <c r="M724" s="794"/>
      <c r="N724" s="794"/>
    </row>
    <row r="725" spans="3:14" ht="14.25" customHeight="1">
      <c r="C725" s="794"/>
      <c r="D725" s="794"/>
      <c r="E725" s="794"/>
      <c r="F725" s="794"/>
      <c r="G725" s="794"/>
      <c r="H725" s="794"/>
      <c r="I725" s="794"/>
      <c r="J725" s="794"/>
      <c r="K725" s="794"/>
      <c r="L725" s="794"/>
      <c r="M725" s="794"/>
      <c r="N725" s="794"/>
    </row>
    <row r="726" spans="3:14" ht="14.25" customHeight="1">
      <c r="C726" s="794"/>
      <c r="D726" s="794"/>
      <c r="E726" s="794"/>
      <c r="F726" s="794"/>
      <c r="G726" s="794"/>
      <c r="H726" s="794"/>
      <c r="I726" s="794"/>
      <c r="J726" s="794"/>
      <c r="K726" s="794"/>
      <c r="L726" s="794"/>
      <c r="M726" s="794"/>
      <c r="N726" s="794"/>
    </row>
    <row r="727" spans="3:14" ht="14.25" customHeight="1">
      <c r="C727" s="794"/>
      <c r="D727" s="794"/>
      <c r="E727" s="794"/>
      <c r="F727" s="794"/>
      <c r="G727" s="794"/>
      <c r="H727" s="794"/>
      <c r="I727" s="794"/>
      <c r="J727" s="794"/>
      <c r="K727" s="794"/>
      <c r="L727" s="794"/>
      <c r="M727" s="794"/>
      <c r="N727" s="794"/>
    </row>
    <row r="728" spans="3:14" ht="14.25" customHeight="1">
      <c r="C728" s="794"/>
      <c r="D728" s="794"/>
      <c r="E728" s="794"/>
      <c r="F728" s="794"/>
      <c r="G728" s="794"/>
      <c r="H728" s="794"/>
      <c r="I728" s="794"/>
      <c r="J728" s="794"/>
      <c r="K728" s="794"/>
      <c r="L728" s="794"/>
      <c r="M728" s="794"/>
      <c r="N728" s="794"/>
    </row>
    <row r="729" spans="3:14" ht="14.25" customHeight="1">
      <c r="C729" s="794"/>
      <c r="D729" s="794"/>
      <c r="E729" s="794"/>
      <c r="F729" s="794"/>
      <c r="G729" s="794"/>
      <c r="H729" s="794"/>
      <c r="I729" s="794"/>
      <c r="J729" s="794"/>
      <c r="K729" s="794"/>
      <c r="L729" s="794"/>
      <c r="M729" s="794"/>
      <c r="N729" s="794"/>
    </row>
    <row r="730" spans="3:14" ht="14.25" customHeight="1">
      <c r="C730" s="794"/>
      <c r="D730" s="794"/>
      <c r="E730" s="794"/>
      <c r="F730" s="794"/>
      <c r="G730" s="794"/>
      <c r="H730" s="794"/>
      <c r="I730" s="794"/>
      <c r="J730" s="794"/>
      <c r="K730" s="794"/>
      <c r="L730" s="794"/>
      <c r="M730" s="794"/>
      <c r="N730" s="794"/>
    </row>
    <row r="731" spans="3:14" ht="14.25" customHeight="1">
      <c r="C731" s="794"/>
      <c r="D731" s="794"/>
      <c r="E731" s="794"/>
      <c r="F731" s="794"/>
      <c r="G731" s="794"/>
      <c r="H731" s="794"/>
      <c r="I731" s="794"/>
      <c r="J731" s="794"/>
      <c r="K731" s="794"/>
      <c r="L731" s="794"/>
      <c r="M731" s="794"/>
      <c r="N731" s="794"/>
    </row>
    <row r="732" spans="3:14" ht="14.25" customHeight="1">
      <c r="C732" s="794"/>
      <c r="D732" s="794"/>
      <c r="E732" s="794"/>
      <c r="F732" s="794"/>
      <c r="G732" s="794"/>
      <c r="H732" s="794"/>
      <c r="I732" s="794"/>
      <c r="J732" s="794"/>
      <c r="K732" s="794"/>
      <c r="L732" s="794"/>
      <c r="M732" s="794"/>
      <c r="N732" s="794"/>
    </row>
    <row r="733" spans="3:14" ht="14.25" customHeight="1">
      <c r="C733" s="794"/>
      <c r="D733" s="794"/>
      <c r="E733" s="794"/>
      <c r="F733" s="794"/>
      <c r="G733" s="794"/>
      <c r="H733" s="794"/>
      <c r="I733" s="794"/>
      <c r="J733" s="794"/>
      <c r="K733" s="794"/>
      <c r="L733" s="794"/>
      <c r="M733" s="794"/>
      <c r="N733" s="794"/>
    </row>
    <row r="734" spans="3:14" ht="14.25" customHeight="1">
      <c r="C734" s="794"/>
      <c r="D734" s="794"/>
      <c r="E734" s="794"/>
      <c r="F734" s="794"/>
      <c r="G734" s="794"/>
      <c r="H734" s="794"/>
      <c r="I734" s="794"/>
      <c r="J734" s="794"/>
      <c r="K734" s="794"/>
      <c r="L734" s="794"/>
      <c r="M734" s="794"/>
      <c r="N734" s="794"/>
    </row>
    <row r="735" spans="3:14" ht="14.25" customHeight="1">
      <c r="C735" s="794"/>
      <c r="D735" s="794"/>
      <c r="E735" s="794"/>
      <c r="F735" s="794"/>
      <c r="G735" s="794"/>
      <c r="H735" s="794"/>
      <c r="I735" s="794"/>
      <c r="J735" s="794"/>
      <c r="K735" s="794"/>
      <c r="L735" s="794"/>
      <c r="M735" s="794"/>
      <c r="N735" s="794"/>
    </row>
    <row r="736" spans="3:14" ht="14.25" customHeight="1">
      <c r="C736" s="794"/>
      <c r="D736" s="794"/>
      <c r="E736" s="794"/>
      <c r="F736" s="794"/>
      <c r="G736" s="794"/>
      <c r="H736" s="794"/>
      <c r="I736" s="794"/>
      <c r="J736" s="794"/>
      <c r="K736" s="794"/>
      <c r="L736" s="794"/>
      <c r="M736" s="794"/>
      <c r="N736" s="794"/>
    </row>
    <row r="737" spans="3:14" ht="14.25" customHeight="1">
      <c r="C737" s="794"/>
      <c r="D737" s="794"/>
      <c r="E737" s="794"/>
      <c r="F737" s="794"/>
      <c r="G737" s="794"/>
      <c r="H737" s="794"/>
      <c r="I737" s="794"/>
      <c r="J737" s="794"/>
      <c r="K737" s="794"/>
      <c r="L737" s="794"/>
      <c r="M737" s="794"/>
      <c r="N737" s="794"/>
    </row>
    <row r="738" spans="3:14" ht="14.25" customHeight="1">
      <c r="C738" s="794"/>
      <c r="D738" s="794"/>
      <c r="E738" s="794"/>
      <c r="F738" s="794"/>
      <c r="G738" s="794"/>
      <c r="H738" s="794"/>
      <c r="I738" s="794"/>
      <c r="J738" s="794"/>
      <c r="K738" s="794"/>
      <c r="L738" s="794"/>
      <c r="M738" s="794"/>
      <c r="N738" s="794"/>
    </row>
    <row r="739" spans="3:14" ht="14.25" customHeight="1">
      <c r="C739" s="794"/>
      <c r="D739" s="794"/>
      <c r="E739" s="794"/>
      <c r="F739" s="794"/>
      <c r="G739" s="794"/>
      <c r="H739" s="794"/>
      <c r="I739" s="794"/>
      <c r="J739" s="794"/>
      <c r="K739" s="794"/>
      <c r="L739" s="794"/>
      <c r="M739" s="794"/>
      <c r="N739" s="794"/>
    </row>
    <row r="740" spans="3:14" ht="14.25" customHeight="1">
      <c r="C740" s="794"/>
      <c r="D740" s="794"/>
      <c r="E740" s="794"/>
      <c r="F740" s="794"/>
      <c r="G740" s="794"/>
      <c r="H740" s="794"/>
      <c r="I740" s="794"/>
      <c r="J740" s="794"/>
      <c r="K740" s="794"/>
      <c r="L740" s="794"/>
      <c r="M740" s="794"/>
      <c r="N740" s="794"/>
    </row>
    <row r="741" spans="3:14" ht="14.25" customHeight="1">
      <c r="C741" s="794"/>
      <c r="D741" s="794"/>
      <c r="E741" s="794"/>
      <c r="F741" s="794"/>
      <c r="G741" s="794"/>
      <c r="H741" s="794"/>
      <c r="I741" s="794"/>
      <c r="J741" s="794"/>
      <c r="K741" s="794"/>
      <c r="L741" s="794"/>
      <c r="M741" s="794"/>
      <c r="N741" s="794"/>
    </row>
    <row r="742" spans="3:14" ht="14.25" customHeight="1">
      <c r="C742" s="794"/>
      <c r="D742" s="794"/>
      <c r="E742" s="794"/>
      <c r="F742" s="794"/>
      <c r="G742" s="794"/>
      <c r="H742" s="794"/>
      <c r="I742" s="794"/>
      <c r="J742" s="794"/>
      <c r="K742" s="794"/>
      <c r="L742" s="794"/>
      <c r="M742" s="794"/>
      <c r="N742" s="794"/>
    </row>
    <row r="743" spans="3:14" ht="14.25" customHeight="1">
      <c r="C743" s="794"/>
      <c r="D743" s="794"/>
      <c r="E743" s="794"/>
      <c r="F743" s="794"/>
      <c r="G743" s="794"/>
      <c r="H743" s="794"/>
      <c r="I743" s="794"/>
      <c r="J743" s="794"/>
      <c r="K743" s="794"/>
      <c r="L743" s="794"/>
      <c r="M743" s="794"/>
      <c r="N743" s="794"/>
    </row>
    <row r="744" spans="3:14" ht="14.25" customHeight="1">
      <c r="C744" s="794"/>
      <c r="D744" s="794"/>
      <c r="E744" s="794"/>
      <c r="F744" s="794"/>
      <c r="G744" s="794"/>
      <c r="H744" s="794"/>
      <c r="I744" s="794"/>
      <c r="J744" s="794"/>
      <c r="K744" s="794"/>
      <c r="L744" s="794"/>
      <c r="M744" s="794"/>
      <c r="N744" s="794"/>
    </row>
    <row r="745" spans="3:14" ht="14.25" customHeight="1">
      <c r="C745" s="794"/>
      <c r="D745" s="794"/>
      <c r="E745" s="794"/>
      <c r="F745" s="794"/>
      <c r="G745" s="794"/>
      <c r="H745" s="794"/>
      <c r="I745" s="794"/>
      <c r="J745" s="794"/>
      <c r="K745" s="794"/>
      <c r="L745" s="794"/>
      <c r="M745" s="794"/>
      <c r="N745" s="794"/>
    </row>
    <row r="746" spans="3:14" ht="14.25" customHeight="1">
      <c r="C746" s="794"/>
      <c r="D746" s="794"/>
      <c r="E746" s="794"/>
      <c r="F746" s="794"/>
      <c r="G746" s="794"/>
      <c r="H746" s="794"/>
      <c r="I746" s="794"/>
      <c r="J746" s="794"/>
      <c r="K746" s="794"/>
      <c r="L746" s="794"/>
      <c r="M746" s="794"/>
      <c r="N746" s="794"/>
    </row>
    <row r="747" spans="3:14" ht="14.25" customHeight="1">
      <c r="C747" s="794"/>
      <c r="D747" s="794"/>
      <c r="E747" s="794"/>
      <c r="F747" s="794"/>
      <c r="G747" s="794"/>
      <c r="H747" s="794"/>
      <c r="I747" s="794"/>
      <c r="J747" s="794"/>
      <c r="K747" s="794"/>
      <c r="L747" s="794"/>
      <c r="M747" s="794"/>
      <c r="N747" s="794"/>
    </row>
    <row r="748" spans="3:14" ht="14.25" customHeight="1">
      <c r="C748" s="794"/>
      <c r="D748" s="794"/>
      <c r="E748" s="794"/>
      <c r="F748" s="794"/>
      <c r="G748" s="794"/>
      <c r="H748" s="794"/>
      <c r="I748" s="794"/>
      <c r="J748" s="794"/>
      <c r="K748" s="794"/>
      <c r="L748" s="794"/>
      <c r="M748" s="794"/>
      <c r="N748" s="794"/>
    </row>
    <row r="749" spans="3:14" ht="14.25" customHeight="1">
      <c r="C749" s="794"/>
      <c r="D749" s="794"/>
      <c r="E749" s="794"/>
      <c r="F749" s="794"/>
      <c r="G749" s="794"/>
      <c r="H749" s="794"/>
      <c r="I749" s="794"/>
      <c r="J749" s="794"/>
      <c r="K749" s="794"/>
      <c r="L749" s="794"/>
      <c r="M749" s="794"/>
      <c r="N749" s="794"/>
    </row>
    <row r="750" spans="3:14" ht="14.25" customHeight="1">
      <c r="C750" s="794"/>
      <c r="D750" s="794"/>
      <c r="E750" s="794"/>
      <c r="F750" s="794"/>
      <c r="G750" s="794"/>
      <c r="H750" s="794"/>
      <c r="I750" s="794"/>
      <c r="J750" s="794"/>
      <c r="K750" s="794"/>
      <c r="L750" s="794"/>
      <c r="M750" s="794"/>
      <c r="N750" s="794"/>
    </row>
    <row r="751" spans="3:14" ht="14.25" customHeight="1">
      <c r="C751" s="794"/>
      <c r="D751" s="794"/>
      <c r="E751" s="794"/>
      <c r="F751" s="794"/>
      <c r="G751" s="794"/>
      <c r="H751" s="794"/>
      <c r="I751" s="794"/>
      <c r="J751" s="794"/>
      <c r="K751" s="794"/>
      <c r="L751" s="794"/>
      <c r="M751" s="794"/>
      <c r="N751" s="794"/>
    </row>
    <row r="752" spans="3:14" ht="14.25" customHeight="1">
      <c r="C752" s="794"/>
      <c r="D752" s="794"/>
      <c r="E752" s="794"/>
      <c r="F752" s="794"/>
      <c r="G752" s="794"/>
      <c r="H752" s="794"/>
      <c r="I752" s="794"/>
      <c r="J752" s="794"/>
      <c r="K752" s="794"/>
      <c r="L752" s="794"/>
      <c r="M752" s="794"/>
      <c r="N752" s="794"/>
    </row>
    <row r="753" spans="3:14" ht="14.25" customHeight="1">
      <c r="C753" s="794"/>
      <c r="D753" s="794"/>
      <c r="E753" s="794"/>
      <c r="F753" s="794"/>
      <c r="G753" s="794"/>
      <c r="H753" s="794"/>
      <c r="I753" s="794"/>
      <c r="J753" s="794"/>
      <c r="K753" s="794"/>
      <c r="L753" s="794"/>
      <c r="M753" s="794"/>
      <c r="N753" s="794"/>
    </row>
    <row r="754" spans="3:14" ht="14.25" customHeight="1">
      <c r="C754" s="794"/>
      <c r="D754" s="794"/>
      <c r="E754" s="794"/>
      <c r="F754" s="794"/>
      <c r="G754" s="794"/>
      <c r="H754" s="794"/>
      <c r="I754" s="794"/>
      <c r="J754" s="794"/>
      <c r="K754" s="794"/>
      <c r="L754" s="794"/>
      <c r="M754" s="794"/>
      <c r="N754" s="794"/>
    </row>
    <row r="755" spans="3:14" ht="14.25" customHeight="1">
      <c r="C755" s="794"/>
      <c r="D755" s="794"/>
      <c r="E755" s="794"/>
      <c r="F755" s="794"/>
      <c r="G755" s="794"/>
      <c r="H755" s="794"/>
      <c r="I755" s="794"/>
      <c r="J755" s="794"/>
      <c r="K755" s="794"/>
      <c r="L755" s="794"/>
      <c r="M755" s="794"/>
      <c r="N755" s="794"/>
    </row>
    <row r="756" spans="3:14" ht="14.25" customHeight="1">
      <c r="C756" s="794"/>
      <c r="D756" s="794"/>
      <c r="E756" s="794"/>
      <c r="F756" s="794"/>
      <c r="G756" s="794"/>
      <c r="H756" s="794"/>
      <c r="I756" s="794"/>
      <c r="J756" s="794"/>
      <c r="K756" s="794"/>
      <c r="L756" s="794"/>
      <c r="M756" s="794"/>
      <c r="N756" s="794"/>
    </row>
    <row r="757" spans="3:14" ht="14.25" customHeight="1">
      <c r="C757" s="794"/>
      <c r="D757" s="794"/>
      <c r="E757" s="794"/>
      <c r="F757" s="794"/>
      <c r="G757" s="794"/>
      <c r="H757" s="794"/>
      <c r="I757" s="794"/>
      <c r="J757" s="794"/>
      <c r="K757" s="794"/>
      <c r="L757" s="794"/>
      <c r="M757" s="794"/>
      <c r="N757" s="794"/>
    </row>
    <row r="758" spans="3:14" ht="14.25" customHeight="1">
      <c r="C758" s="794"/>
      <c r="D758" s="794"/>
      <c r="E758" s="794"/>
      <c r="F758" s="794"/>
      <c r="G758" s="794"/>
      <c r="H758" s="794"/>
      <c r="I758" s="794"/>
      <c r="J758" s="794"/>
      <c r="K758" s="794"/>
      <c r="L758" s="794"/>
      <c r="M758" s="794"/>
      <c r="N758" s="794"/>
    </row>
    <row r="759" spans="3:14" ht="14.25" customHeight="1">
      <c r="C759" s="794"/>
      <c r="D759" s="794"/>
      <c r="E759" s="794"/>
      <c r="F759" s="794"/>
      <c r="G759" s="794"/>
      <c r="H759" s="794"/>
      <c r="I759" s="794"/>
      <c r="J759" s="794"/>
      <c r="K759" s="794"/>
      <c r="L759" s="794"/>
      <c r="M759" s="794"/>
      <c r="N759" s="794"/>
    </row>
    <row r="760" spans="3:14" ht="14.25" customHeight="1">
      <c r="C760" s="794"/>
      <c r="D760" s="794"/>
      <c r="E760" s="794"/>
      <c r="F760" s="794"/>
      <c r="G760" s="794"/>
      <c r="H760" s="794"/>
      <c r="I760" s="794"/>
      <c r="J760" s="794"/>
      <c r="K760" s="794"/>
      <c r="L760" s="794"/>
      <c r="M760" s="794"/>
      <c r="N760" s="794"/>
    </row>
    <row r="761" spans="3:14" ht="14.25" customHeight="1">
      <c r="C761" s="794"/>
      <c r="D761" s="794"/>
      <c r="E761" s="794"/>
      <c r="F761" s="794"/>
      <c r="G761" s="794"/>
      <c r="H761" s="794"/>
      <c r="I761" s="794"/>
      <c r="J761" s="794"/>
      <c r="K761" s="794"/>
      <c r="L761" s="794"/>
      <c r="M761" s="794"/>
      <c r="N761" s="794"/>
    </row>
    <row r="762" spans="3:14" ht="14.25" customHeight="1">
      <c r="C762" s="794"/>
      <c r="D762" s="794"/>
      <c r="E762" s="794"/>
      <c r="F762" s="794"/>
      <c r="G762" s="794"/>
      <c r="H762" s="794"/>
      <c r="I762" s="794"/>
      <c r="J762" s="794"/>
      <c r="K762" s="794"/>
      <c r="L762" s="794"/>
      <c r="M762" s="794"/>
      <c r="N762" s="794"/>
    </row>
    <row r="763" spans="3:14" ht="14.25" customHeight="1">
      <c r="C763" s="794"/>
      <c r="D763" s="794"/>
      <c r="E763" s="794"/>
      <c r="F763" s="794"/>
      <c r="G763" s="794"/>
      <c r="H763" s="794"/>
      <c r="I763" s="794"/>
      <c r="J763" s="794"/>
      <c r="K763" s="794"/>
      <c r="L763" s="794"/>
      <c r="M763" s="794"/>
      <c r="N763" s="794"/>
    </row>
    <row r="764" spans="3:14" ht="14.25" customHeight="1">
      <c r="C764" s="794"/>
      <c r="D764" s="794"/>
      <c r="E764" s="794"/>
      <c r="F764" s="794"/>
      <c r="G764" s="794"/>
      <c r="H764" s="794"/>
      <c r="I764" s="794"/>
      <c r="J764" s="794"/>
      <c r="K764" s="794"/>
      <c r="L764" s="794"/>
      <c r="M764" s="794"/>
      <c r="N764" s="794"/>
    </row>
    <row r="765" spans="3:14" ht="14.25" customHeight="1">
      <c r="C765" s="794"/>
      <c r="D765" s="794"/>
      <c r="E765" s="794"/>
      <c r="F765" s="794"/>
      <c r="G765" s="794"/>
      <c r="H765" s="794"/>
      <c r="I765" s="794"/>
      <c r="J765" s="794"/>
      <c r="K765" s="794"/>
      <c r="L765" s="794"/>
      <c r="M765" s="794"/>
      <c r="N765" s="794"/>
    </row>
    <row r="766" spans="3:14" ht="14.25" customHeight="1">
      <c r="C766" s="794"/>
      <c r="D766" s="794"/>
      <c r="E766" s="794"/>
      <c r="F766" s="794"/>
      <c r="G766" s="794"/>
      <c r="H766" s="794"/>
      <c r="I766" s="794"/>
      <c r="J766" s="794"/>
      <c r="K766" s="794"/>
      <c r="L766" s="794"/>
      <c r="M766" s="794"/>
      <c r="N766" s="794"/>
    </row>
    <row r="767" spans="3:14" ht="14.25" customHeight="1">
      <c r="C767" s="794"/>
      <c r="D767" s="794"/>
      <c r="E767" s="794"/>
      <c r="F767" s="794"/>
      <c r="G767" s="794"/>
      <c r="H767" s="794"/>
      <c r="I767" s="794"/>
      <c r="J767" s="794"/>
      <c r="K767" s="794"/>
      <c r="L767" s="794"/>
      <c r="M767" s="794"/>
      <c r="N767" s="794"/>
    </row>
    <row r="768" spans="3:14" ht="14.25" customHeight="1">
      <c r="C768" s="794"/>
      <c r="D768" s="794"/>
      <c r="E768" s="794"/>
      <c r="F768" s="794"/>
      <c r="G768" s="794"/>
      <c r="H768" s="794"/>
      <c r="I768" s="794"/>
      <c r="J768" s="794"/>
      <c r="K768" s="794"/>
      <c r="L768" s="794"/>
      <c r="M768" s="794"/>
      <c r="N768" s="794"/>
    </row>
    <row r="769" spans="3:14" ht="14.25" customHeight="1">
      <c r="C769" s="794"/>
      <c r="D769" s="794"/>
      <c r="E769" s="794"/>
      <c r="F769" s="794"/>
      <c r="G769" s="794"/>
      <c r="H769" s="794"/>
      <c r="I769" s="794"/>
      <c r="J769" s="794"/>
      <c r="K769" s="794"/>
      <c r="L769" s="794"/>
      <c r="M769" s="794"/>
      <c r="N769" s="794"/>
    </row>
    <row r="770" spans="3:14" ht="14.25" customHeight="1">
      <c r="C770" s="794"/>
      <c r="D770" s="794"/>
      <c r="E770" s="794"/>
      <c r="F770" s="794"/>
      <c r="G770" s="794"/>
      <c r="H770" s="794"/>
      <c r="I770" s="794"/>
      <c r="J770" s="794"/>
      <c r="K770" s="794"/>
      <c r="L770" s="794"/>
      <c r="M770" s="794"/>
      <c r="N770" s="794"/>
    </row>
    <row r="771" spans="3:14" ht="14.25" customHeight="1">
      <c r="C771" s="794"/>
      <c r="D771" s="794"/>
      <c r="E771" s="794"/>
      <c r="F771" s="794"/>
      <c r="G771" s="794"/>
      <c r="H771" s="794"/>
      <c r="I771" s="794"/>
      <c r="J771" s="794"/>
      <c r="K771" s="794"/>
      <c r="L771" s="794"/>
      <c r="M771" s="794"/>
      <c r="N771" s="794"/>
    </row>
    <row r="772" spans="3:14" ht="14.25" customHeight="1">
      <c r="C772" s="794"/>
      <c r="D772" s="794"/>
      <c r="E772" s="794"/>
      <c r="F772" s="794"/>
      <c r="G772" s="794"/>
      <c r="H772" s="794"/>
      <c r="I772" s="794"/>
      <c r="J772" s="794"/>
      <c r="K772" s="794"/>
      <c r="L772" s="794"/>
      <c r="M772" s="794"/>
      <c r="N772" s="794"/>
    </row>
    <row r="773" spans="3:14" ht="14.25" customHeight="1">
      <c r="C773" s="794"/>
      <c r="D773" s="794"/>
      <c r="E773" s="794"/>
      <c r="F773" s="794"/>
      <c r="G773" s="794"/>
      <c r="H773" s="794"/>
      <c r="I773" s="794"/>
      <c r="J773" s="794"/>
      <c r="K773" s="794"/>
      <c r="L773" s="794"/>
      <c r="M773" s="794"/>
      <c r="N773" s="794"/>
    </row>
    <row r="774" spans="3:14" ht="14.25" customHeight="1">
      <c r="C774" s="794"/>
      <c r="D774" s="794"/>
      <c r="E774" s="794"/>
      <c r="F774" s="794"/>
      <c r="G774" s="794"/>
      <c r="H774" s="794"/>
      <c r="I774" s="794"/>
      <c r="J774" s="794"/>
      <c r="K774" s="794"/>
      <c r="L774" s="794"/>
      <c r="M774" s="794"/>
      <c r="N774" s="794"/>
    </row>
    <row r="775" spans="3:14" ht="14.25" customHeight="1">
      <c r="C775" s="794"/>
      <c r="D775" s="794"/>
      <c r="E775" s="794"/>
      <c r="F775" s="794"/>
      <c r="G775" s="794"/>
      <c r="H775" s="794"/>
      <c r="I775" s="794"/>
      <c r="J775" s="794"/>
      <c r="K775" s="794"/>
      <c r="L775" s="794"/>
      <c r="M775" s="794"/>
      <c r="N775" s="794"/>
    </row>
    <row r="776" spans="3:14" ht="14.25" customHeight="1">
      <c r="C776" s="794"/>
      <c r="D776" s="794"/>
      <c r="E776" s="794"/>
      <c r="F776" s="794"/>
      <c r="G776" s="794"/>
      <c r="H776" s="794"/>
      <c r="I776" s="794"/>
      <c r="J776" s="794"/>
      <c r="K776" s="794"/>
      <c r="L776" s="794"/>
      <c r="M776" s="794"/>
      <c r="N776" s="794"/>
    </row>
    <row r="777" spans="3:14" ht="14.25" customHeight="1">
      <c r="C777" s="794"/>
      <c r="D777" s="794"/>
      <c r="E777" s="794"/>
      <c r="F777" s="794"/>
      <c r="G777" s="794"/>
      <c r="H777" s="794"/>
      <c r="I777" s="794"/>
      <c r="J777" s="794"/>
      <c r="K777" s="794"/>
      <c r="L777" s="794"/>
      <c r="M777" s="794"/>
      <c r="N777" s="794"/>
    </row>
    <row r="778" spans="3:14" ht="14.25" customHeight="1">
      <c r="C778" s="794"/>
      <c r="D778" s="794"/>
      <c r="E778" s="794"/>
      <c r="F778" s="794"/>
      <c r="G778" s="794"/>
      <c r="H778" s="794"/>
      <c r="I778" s="794"/>
      <c r="J778" s="794"/>
      <c r="K778" s="794"/>
      <c r="L778" s="794"/>
      <c r="M778" s="794"/>
      <c r="N778" s="794"/>
    </row>
    <row r="779" spans="3:14" ht="14.25" customHeight="1">
      <c r="C779" s="794"/>
      <c r="D779" s="794"/>
      <c r="E779" s="794"/>
      <c r="F779" s="794"/>
      <c r="G779" s="794"/>
      <c r="H779" s="794"/>
      <c r="I779" s="794"/>
      <c r="J779" s="794"/>
      <c r="K779" s="794"/>
      <c r="L779" s="794"/>
      <c r="M779" s="794"/>
      <c r="N779" s="794"/>
    </row>
    <row r="780" spans="3:14" ht="14.25" customHeight="1">
      <c r="C780" s="794"/>
      <c r="D780" s="794"/>
      <c r="E780" s="794"/>
      <c r="F780" s="794"/>
      <c r="G780" s="794"/>
      <c r="H780" s="794"/>
      <c r="I780" s="794"/>
      <c r="J780" s="794"/>
      <c r="K780" s="794"/>
      <c r="L780" s="794"/>
      <c r="M780" s="794"/>
      <c r="N780" s="794"/>
    </row>
    <row r="781" spans="3:14" ht="14.25" customHeight="1">
      <c r="C781" s="794"/>
      <c r="D781" s="794"/>
      <c r="E781" s="794"/>
      <c r="F781" s="794"/>
      <c r="G781" s="794"/>
      <c r="H781" s="794"/>
      <c r="I781" s="794"/>
      <c r="J781" s="794"/>
      <c r="K781" s="794"/>
      <c r="L781" s="794"/>
      <c r="M781" s="794"/>
      <c r="N781" s="794"/>
    </row>
    <row r="782" spans="3:14" ht="14.25" customHeight="1">
      <c r="C782" s="794"/>
      <c r="D782" s="794"/>
      <c r="E782" s="794"/>
      <c r="F782" s="794"/>
      <c r="G782" s="794"/>
      <c r="H782" s="794"/>
      <c r="I782" s="794"/>
      <c r="J782" s="794"/>
      <c r="K782" s="794"/>
      <c r="L782" s="794"/>
      <c r="M782" s="794"/>
      <c r="N782" s="794"/>
    </row>
    <row r="783" spans="3:14" ht="14.25" customHeight="1">
      <c r="C783" s="794"/>
      <c r="D783" s="794"/>
      <c r="E783" s="794"/>
      <c r="F783" s="794"/>
      <c r="G783" s="794"/>
      <c r="H783" s="794"/>
      <c r="I783" s="794"/>
      <c r="J783" s="794"/>
      <c r="K783" s="794"/>
      <c r="L783" s="794"/>
      <c r="M783" s="794"/>
      <c r="N783" s="794"/>
    </row>
    <row r="784" spans="3:14" ht="14.25" customHeight="1">
      <c r="C784" s="794"/>
      <c r="D784" s="794"/>
      <c r="E784" s="794"/>
      <c r="F784" s="794"/>
      <c r="G784" s="794"/>
      <c r="H784" s="794"/>
      <c r="I784" s="794"/>
      <c r="J784" s="794"/>
      <c r="K784" s="794"/>
      <c r="L784" s="794"/>
      <c r="M784" s="794"/>
      <c r="N784" s="794"/>
    </row>
  </sheetData>
  <mergeCells count="15">
    <mergeCell ref="L3:L4"/>
    <mergeCell ref="M3:M4"/>
    <mergeCell ref="N3:N4"/>
    <mergeCell ref="O3:O4"/>
    <mergeCell ref="P3:P4"/>
    <mergeCell ref="F3:F4"/>
    <mergeCell ref="G3:G4"/>
    <mergeCell ref="H3:H4"/>
    <mergeCell ref="I3:I4"/>
    <mergeCell ref="J3:K3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orientation="portrait" horizontalDpi="300" verticalDpi="3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0000"/>
  </sheetPr>
  <dimension ref="A1:X1769"/>
  <sheetViews>
    <sheetView topLeftCell="A6" zoomScaleNormal="100" workbookViewId="0">
      <pane ySplit="1" topLeftCell="A248" activePane="bottomLeft" state="frozen"/>
      <selection activeCell="A6" sqref="A6"/>
      <selection pane="bottomLeft" activeCell="Q43" sqref="Q43"/>
    </sheetView>
  </sheetViews>
  <sheetFormatPr baseColWidth="10" defaultColWidth="9.1640625" defaultRowHeight="15"/>
  <cols>
    <col min="1" max="1" width="9.1640625" style="399"/>
    <col min="2" max="2" width="50.5" style="399" customWidth="1"/>
    <col min="3" max="10" width="12.5" style="399" customWidth="1"/>
    <col min="11" max="11" width="10.5" style="399" customWidth="1"/>
    <col min="12" max="12" width="8.5" style="399" customWidth="1"/>
    <col min="13" max="13" width="14.5" style="399" customWidth="1"/>
    <col min="14" max="14" width="6.5" style="399" customWidth="1"/>
    <col min="15" max="15" width="9.1640625" style="399"/>
    <col min="16" max="16" width="11.83203125" style="399" customWidth="1"/>
    <col min="17" max="18" width="9.1640625" style="399"/>
    <col min="19" max="19" width="12.1640625" style="399" customWidth="1"/>
    <col min="20" max="16384" width="9.1640625" style="399"/>
  </cols>
  <sheetData>
    <row r="1" spans="1:22" ht="15.75" customHeight="1">
      <c r="A1" s="398"/>
      <c r="B1" s="398"/>
      <c r="C1" s="398"/>
      <c r="D1" s="398"/>
      <c r="E1" s="398"/>
      <c r="F1" s="398"/>
      <c r="G1" s="398"/>
      <c r="H1" s="398"/>
      <c r="I1" s="398"/>
      <c r="J1" s="398"/>
      <c r="K1" s="398"/>
      <c r="L1" s="398"/>
      <c r="M1" s="398"/>
      <c r="N1" s="398"/>
      <c r="O1" s="398"/>
      <c r="P1" s="398"/>
      <c r="Q1" s="398"/>
      <c r="R1" s="398"/>
      <c r="S1" s="398"/>
      <c r="T1" s="738"/>
      <c r="U1" s="738"/>
      <c r="V1" s="738"/>
    </row>
    <row r="2" spans="1:22" ht="15.75" customHeight="1">
      <c r="A2" s="398"/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398"/>
      <c r="M2" s="398"/>
      <c r="N2" s="398"/>
      <c r="O2" s="398"/>
      <c r="P2" s="398"/>
      <c r="Q2" s="398"/>
      <c r="R2" s="398"/>
      <c r="S2" s="398"/>
      <c r="T2" s="738"/>
      <c r="U2" s="738"/>
      <c r="V2" s="738"/>
    </row>
    <row r="3" spans="1:22" ht="15.75" customHeight="1">
      <c r="A3" s="398"/>
      <c r="B3" s="398"/>
      <c r="C3" s="398"/>
      <c r="D3" s="398"/>
      <c r="E3" s="398"/>
      <c r="F3" s="398"/>
      <c r="G3" s="398"/>
      <c r="H3" s="398"/>
      <c r="I3" s="398"/>
      <c r="J3" s="398"/>
      <c r="K3" s="398"/>
      <c r="L3" s="398"/>
      <c r="M3" s="398"/>
      <c r="N3" s="398"/>
      <c r="O3" s="398"/>
      <c r="P3" s="398"/>
      <c r="Q3" s="398"/>
      <c r="R3" s="398"/>
      <c r="S3" s="398"/>
      <c r="T3" s="738"/>
      <c r="U3" s="738"/>
      <c r="V3" s="738"/>
    </row>
    <row r="4" spans="1:22" ht="24" customHeight="1">
      <c r="A4" s="739" t="s">
        <v>76</v>
      </c>
      <c r="B4" s="398"/>
      <c r="C4" s="398"/>
      <c r="D4" s="398"/>
      <c r="E4" s="398"/>
      <c r="F4" s="398"/>
      <c r="G4" s="398"/>
      <c r="H4" s="398"/>
      <c r="I4" s="398"/>
      <c r="J4" s="398"/>
      <c r="K4" s="398"/>
      <c r="L4" s="398"/>
      <c r="M4" s="398"/>
      <c r="N4" s="398"/>
      <c r="O4" s="398"/>
      <c r="P4" s="398"/>
      <c r="Q4" s="398"/>
      <c r="R4" s="398"/>
      <c r="S4" s="398"/>
      <c r="T4" s="738"/>
      <c r="U4" s="738"/>
      <c r="V4" s="738"/>
    </row>
    <row r="5" spans="1:22" ht="15.75" customHeight="1">
      <c r="A5" s="398"/>
      <c r="B5" s="398"/>
      <c r="C5" s="398"/>
      <c r="D5" s="398"/>
      <c r="E5" s="398"/>
      <c r="F5" s="398"/>
      <c r="G5" s="398"/>
      <c r="H5" s="398"/>
      <c r="I5" s="398"/>
      <c r="J5" s="398"/>
      <c r="K5" s="398"/>
      <c r="L5" s="398"/>
      <c r="M5" s="398"/>
      <c r="N5" s="398"/>
      <c r="O5" s="398"/>
      <c r="P5" s="398"/>
      <c r="Q5" s="398"/>
      <c r="R5" s="398"/>
      <c r="S5" s="398"/>
      <c r="T5" s="738"/>
      <c r="U5" s="738"/>
      <c r="V5" s="738"/>
    </row>
    <row r="6" spans="1:22" s="487" customFormat="1" ht="27.75" customHeight="1">
      <c r="A6" s="740" t="s">
        <v>1</v>
      </c>
      <c r="B6" s="741" t="s">
        <v>68</v>
      </c>
      <c r="C6" s="741" t="s">
        <v>77</v>
      </c>
      <c r="D6" s="741" t="s">
        <v>78</v>
      </c>
      <c r="E6" s="741" t="s">
        <v>79</v>
      </c>
      <c r="F6" s="741" t="s">
        <v>978</v>
      </c>
      <c r="G6" s="742" t="s">
        <v>1095</v>
      </c>
      <c r="H6" s="742" t="s">
        <v>1096</v>
      </c>
      <c r="I6" s="741" t="s">
        <v>213</v>
      </c>
      <c r="J6" s="741" t="s">
        <v>977</v>
      </c>
      <c r="K6" s="741" t="s">
        <v>6</v>
      </c>
      <c r="L6" s="741" t="s">
        <v>80</v>
      </c>
      <c r="M6" s="741" t="s">
        <v>81</v>
      </c>
      <c r="N6" s="743" t="s">
        <v>82</v>
      </c>
      <c r="O6" s="398"/>
      <c r="P6" s="398"/>
      <c r="Q6" s="398"/>
      <c r="R6" s="398"/>
      <c r="S6" s="398"/>
      <c r="T6" s="398"/>
      <c r="U6" s="398"/>
      <c r="V6" s="398"/>
    </row>
    <row r="7" spans="1:22" s="487" customFormat="1" ht="7.5" customHeight="1">
      <c r="A7" s="744"/>
      <c r="B7" s="398"/>
      <c r="C7" s="398"/>
      <c r="D7" s="398"/>
      <c r="E7" s="398"/>
      <c r="F7" s="398"/>
      <c r="G7" s="398"/>
      <c r="H7" s="398"/>
      <c r="I7" s="398"/>
      <c r="J7" s="398"/>
      <c r="K7" s="398"/>
      <c r="L7" s="398"/>
      <c r="M7" s="398"/>
      <c r="N7" s="795"/>
      <c r="O7" s="398"/>
      <c r="P7" s="398"/>
      <c r="Q7" s="398"/>
      <c r="R7" s="398"/>
      <c r="S7" s="398"/>
      <c r="T7" s="398"/>
      <c r="U7" s="398"/>
      <c r="V7" s="398"/>
    </row>
    <row r="8" spans="1:22" s="487" customFormat="1" ht="7.5" customHeight="1">
      <c r="A8" s="558"/>
      <c r="B8" s="559"/>
      <c r="C8" s="559"/>
      <c r="D8" s="559"/>
      <c r="E8" s="559"/>
      <c r="F8" s="559"/>
      <c r="G8" s="559"/>
      <c r="H8" s="559"/>
      <c r="I8" s="559"/>
      <c r="J8" s="559"/>
      <c r="K8" s="559"/>
      <c r="L8" s="559"/>
      <c r="M8" s="559"/>
      <c r="N8" s="796"/>
      <c r="O8" s="398"/>
      <c r="P8" s="398"/>
      <c r="Q8" s="398"/>
      <c r="R8" s="398"/>
      <c r="S8" s="398"/>
      <c r="T8" s="398"/>
      <c r="U8" s="398"/>
      <c r="V8" s="398"/>
    </row>
    <row r="9" spans="1:22" s="487" customFormat="1" ht="15.75" customHeight="1">
      <c r="A9" s="747"/>
      <c r="B9" s="359"/>
      <c r="C9" s="348"/>
      <c r="D9" s="348"/>
      <c r="E9" s="348"/>
      <c r="F9" s="348"/>
      <c r="G9" s="348"/>
      <c r="H9" s="348"/>
      <c r="I9" s="348"/>
      <c r="J9" s="348"/>
      <c r="K9" s="348"/>
      <c r="L9" s="348"/>
      <c r="M9" s="348"/>
      <c r="N9" s="797"/>
    </row>
    <row r="10" spans="1:22" s="487" customFormat="1" ht="15.75" customHeight="1">
      <c r="A10" s="798" t="s">
        <v>512</v>
      </c>
      <c r="B10" s="799" t="s">
        <v>1191</v>
      </c>
      <c r="C10" s="348"/>
      <c r="D10" s="348"/>
      <c r="E10" s="348"/>
      <c r="F10" s="348"/>
      <c r="G10" s="348"/>
      <c r="H10" s="348"/>
      <c r="I10" s="348"/>
      <c r="J10" s="348"/>
      <c r="K10" s="348"/>
      <c r="L10" s="348"/>
      <c r="M10" s="348"/>
      <c r="N10" s="797"/>
    </row>
    <row r="11" spans="1:22" s="487" customFormat="1" ht="15.75" customHeight="1">
      <c r="A11" s="341" t="s">
        <v>1192</v>
      </c>
      <c r="B11" s="347" t="s">
        <v>395</v>
      </c>
      <c r="C11" s="348"/>
      <c r="D11" s="348"/>
      <c r="E11" s="348"/>
      <c r="F11" s="348"/>
      <c r="G11" s="348"/>
      <c r="H11" s="348"/>
      <c r="I11" s="348"/>
      <c r="J11" s="348"/>
      <c r="K11" s="348"/>
      <c r="L11" s="348"/>
      <c r="M11" s="348"/>
      <c r="N11" s="797"/>
    </row>
    <row r="12" spans="1:22" s="487" customFormat="1" ht="15.75" customHeight="1">
      <c r="A12" s="400">
        <v>1</v>
      </c>
      <c r="B12" s="356" t="s">
        <v>396</v>
      </c>
      <c r="C12" s="348"/>
      <c r="D12" s="348"/>
      <c r="E12" s="348"/>
      <c r="F12" s="348"/>
      <c r="G12" s="348"/>
      <c r="H12" s="348"/>
      <c r="I12" s="348"/>
      <c r="J12" s="348"/>
      <c r="K12" s="348"/>
      <c r="L12" s="348"/>
      <c r="M12" s="348"/>
      <c r="N12" s="797"/>
    </row>
    <row r="13" spans="1:22" s="487" customFormat="1" ht="15.75" customHeight="1">
      <c r="A13" s="751"/>
      <c r="B13" s="356"/>
      <c r="C13" s="348">
        <f>4+2+1</f>
        <v>7</v>
      </c>
      <c r="D13" s="348"/>
      <c r="E13" s="348"/>
      <c r="F13" s="348"/>
      <c r="G13" s="348"/>
      <c r="H13" s="348"/>
      <c r="I13" s="348"/>
      <c r="J13" s="348">
        <v>2</v>
      </c>
      <c r="K13" s="348"/>
      <c r="L13" s="348"/>
      <c r="M13" s="348">
        <f>C13*J13</f>
        <v>14</v>
      </c>
      <c r="N13" s="797"/>
    </row>
    <row r="14" spans="1:22" s="487" customFormat="1" ht="15.75" customHeight="1">
      <c r="A14" s="751"/>
      <c r="B14" s="356"/>
      <c r="C14" s="348"/>
      <c r="D14" s="348">
        <f>3+1</f>
        <v>4</v>
      </c>
      <c r="E14" s="348"/>
      <c r="F14" s="348"/>
      <c r="G14" s="348"/>
      <c r="H14" s="348"/>
      <c r="I14" s="348"/>
      <c r="J14" s="348">
        <f>J13</f>
        <v>2</v>
      </c>
      <c r="K14" s="348"/>
      <c r="L14" s="348"/>
      <c r="M14" s="565">
        <f>D14*J14</f>
        <v>8</v>
      </c>
      <c r="N14" s="797"/>
    </row>
    <row r="15" spans="1:22" s="487" customFormat="1" ht="15.75" customHeight="1">
      <c r="A15" s="751"/>
      <c r="B15" s="356"/>
      <c r="C15" s="348"/>
      <c r="D15" s="348"/>
      <c r="E15" s="348"/>
      <c r="F15" s="348"/>
      <c r="G15" s="348"/>
      <c r="H15" s="348"/>
      <c r="I15" s="348"/>
      <c r="J15" s="348"/>
      <c r="K15" s="348"/>
      <c r="L15" s="348"/>
      <c r="M15" s="566">
        <f>SUM(M13:M14)</f>
        <v>22</v>
      </c>
      <c r="N15" s="800" t="s">
        <v>117</v>
      </c>
    </row>
    <row r="16" spans="1:22" s="487" customFormat="1" ht="15.75" customHeight="1">
      <c r="A16" s="751">
        <f>A12+1</f>
        <v>2</v>
      </c>
      <c r="B16" s="354" t="s">
        <v>523</v>
      </c>
      <c r="C16" s="330"/>
      <c r="D16" s="330"/>
      <c r="E16" s="330"/>
      <c r="F16" s="330"/>
      <c r="G16" s="330"/>
      <c r="H16" s="330"/>
      <c r="I16" s="330"/>
      <c r="J16" s="330"/>
      <c r="K16" s="330"/>
      <c r="L16" s="330"/>
      <c r="M16" s="330"/>
      <c r="N16" s="748"/>
    </row>
    <row r="17" spans="1:16" s="487" customFormat="1" ht="15.75" customHeight="1">
      <c r="A17" s="402" t="s">
        <v>95</v>
      </c>
      <c r="B17" s="354" t="s">
        <v>398</v>
      </c>
      <c r="C17" s="343">
        <f>0.6+0.1+0.1</f>
        <v>0.79999999999999993</v>
      </c>
      <c r="D17" s="343">
        <f>C17</f>
        <v>0.79999999999999993</v>
      </c>
      <c r="E17" s="343">
        <f>0.6+0.15+0.03+0.07</f>
        <v>0.85000000000000009</v>
      </c>
      <c r="F17" s="343"/>
      <c r="G17" s="343"/>
      <c r="H17" s="343"/>
      <c r="I17" s="401"/>
      <c r="J17" s="401"/>
      <c r="K17" s="343"/>
      <c r="L17" s="401">
        <v>6</v>
      </c>
      <c r="M17" s="401">
        <f>C17*D17*E17*L17</f>
        <v>3.2639999999999993</v>
      </c>
      <c r="N17" s="801" t="s">
        <v>103</v>
      </c>
    </row>
    <row r="18" spans="1:16" s="487" customFormat="1" ht="15.75" customHeight="1">
      <c r="A18" s="402" t="s">
        <v>98</v>
      </c>
      <c r="B18" s="354" t="s">
        <v>399</v>
      </c>
      <c r="C18" s="343">
        <v>0.8</v>
      </c>
      <c r="D18" s="343">
        <v>0.8</v>
      </c>
      <c r="E18" s="343">
        <v>7.0000000000000007E-2</v>
      </c>
      <c r="F18" s="343"/>
      <c r="G18" s="343"/>
      <c r="H18" s="343"/>
      <c r="I18" s="401"/>
      <c r="J18" s="401"/>
      <c r="K18" s="343"/>
      <c r="L18" s="401">
        <f t="shared" ref="L18:L23" si="0">L17</f>
        <v>6</v>
      </c>
      <c r="M18" s="401">
        <f>C18*D18*E18*L18</f>
        <v>0.26880000000000009</v>
      </c>
      <c r="N18" s="801" t="s">
        <v>103</v>
      </c>
    </row>
    <row r="19" spans="1:16" s="487" customFormat="1" ht="15.75" customHeight="1">
      <c r="A19" s="402" t="s">
        <v>101</v>
      </c>
      <c r="B19" s="354" t="s">
        <v>400</v>
      </c>
      <c r="C19" s="343">
        <f>C18</f>
        <v>0.8</v>
      </c>
      <c r="D19" s="343">
        <f>D18</f>
        <v>0.8</v>
      </c>
      <c r="E19" s="343">
        <v>0.03</v>
      </c>
      <c r="F19" s="343"/>
      <c r="G19" s="343"/>
      <c r="H19" s="343"/>
      <c r="I19" s="401"/>
      <c r="J19" s="401"/>
      <c r="K19" s="343"/>
      <c r="L19" s="401">
        <f t="shared" si="0"/>
        <v>6</v>
      </c>
      <c r="M19" s="401">
        <f>C19*D19*E19*L19</f>
        <v>0.11520000000000001</v>
      </c>
      <c r="N19" s="801" t="s">
        <v>103</v>
      </c>
    </row>
    <row r="20" spans="1:16" s="487" customFormat="1" ht="15.75" customHeight="1">
      <c r="A20" s="402" t="s">
        <v>121</v>
      </c>
      <c r="B20" s="354" t="s">
        <v>401</v>
      </c>
      <c r="C20" s="343">
        <f>C19</f>
        <v>0.8</v>
      </c>
      <c r="D20" s="343"/>
      <c r="E20" s="343">
        <f>E17-0.6-E18-E19</f>
        <v>0.15000000000000011</v>
      </c>
      <c r="F20" s="343"/>
      <c r="G20" s="343"/>
      <c r="H20" s="343">
        <v>4</v>
      </c>
      <c r="I20" s="401"/>
      <c r="J20" s="401"/>
      <c r="K20" s="343"/>
      <c r="L20" s="401">
        <f t="shared" si="0"/>
        <v>6</v>
      </c>
      <c r="M20" s="401">
        <f>C20*E20*H20*L20</f>
        <v>2.8800000000000021</v>
      </c>
      <c r="N20" s="801" t="s">
        <v>89</v>
      </c>
    </row>
    <row r="21" spans="1:16" s="487" customFormat="1" ht="15.75" customHeight="1">
      <c r="A21" s="402" t="s">
        <v>142</v>
      </c>
      <c r="B21" s="354" t="s">
        <v>504</v>
      </c>
      <c r="C21" s="343">
        <v>0.45</v>
      </c>
      <c r="D21" s="343"/>
      <c r="E21" s="343"/>
      <c r="F21" s="343">
        <f>10*10*0.006165</f>
        <v>0.61650000000000005</v>
      </c>
      <c r="G21" s="343">
        <f>0.15*2</f>
        <v>0.3</v>
      </c>
      <c r="H21" s="343">
        <v>4</v>
      </c>
      <c r="I21" s="401"/>
      <c r="J21" s="401"/>
      <c r="K21" s="343">
        <f>ROUNDUP((C21/0.15),0.5)</f>
        <v>3</v>
      </c>
      <c r="L21" s="401">
        <f t="shared" si="0"/>
        <v>6</v>
      </c>
      <c r="M21" s="401">
        <f>(C21+G21)*F21*H21*K21*L21</f>
        <v>33.291000000000004</v>
      </c>
      <c r="N21" s="801" t="s">
        <v>100</v>
      </c>
    </row>
    <row r="22" spans="1:16" s="487" customFormat="1" ht="15.75" customHeight="1">
      <c r="A22" s="402" t="s">
        <v>217</v>
      </c>
      <c r="B22" s="356" t="s">
        <v>169</v>
      </c>
      <c r="C22" s="343">
        <f>C17-0.2</f>
        <v>0.59999999999999987</v>
      </c>
      <c r="D22" s="343">
        <f>D17-0.2</f>
        <v>0.59999999999999987</v>
      </c>
      <c r="E22" s="343">
        <f>E20</f>
        <v>0.15000000000000011</v>
      </c>
      <c r="F22" s="343"/>
      <c r="G22" s="343"/>
      <c r="H22" s="343"/>
      <c r="I22" s="401"/>
      <c r="J22" s="401"/>
      <c r="K22" s="343"/>
      <c r="L22" s="401">
        <f t="shared" si="0"/>
        <v>6</v>
      </c>
      <c r="M22" s="401">
        <f>C22*D22*E22*L22</f>
        <v>0.32400000000000007</v>
      </c>
      <c r="N22" s="801" t="s">
        <v>103</v>
      </c>
    </row>
    <row r="23" spans="1:16" s="487" customFormat="1" ht="15.75" customHeight="1">
      <c r="A23" s="402" t="s">
        <v>366</v>
      </c>
      <c r="B23" s="354" t="s">
        <v>383</v>
      </c>
      <c r="C23" s="343"/>
      <c r="D23" s="343"/>
      <c r="E23" s="343">
        <v>4</v>
      </c>
      <c r="F23" s="343"/>
      <c r="G23" s="343"/>
      <c r="H23" s="343"/>
      <c r="I23" s="401"/>
      <c r="J23" s="401"/>
      <c r="K23" s="343">
        <v>4</v>
      </c>
      <c r="L23" s="401">
        <f t="shared" si="0"/>
        <v>6</v>
      </c>
      <c r="M23" s="401">
        <f>E23*K23*L23</f>
        <v>96</v>
      </c>
      <c r="N23" s="801" t="s">
        <v>117</v>
      </c>
    </row>
    <row r="24" spans="1:16" s="487" customFormat="1" ht="15.75" customHeight="1">
      <c r="A24" s="418">
        <f>A16+1</f>
        <v>3</v>
      </c>
      <c r="B24" s="351" t="s">
        <v>551</v>
      </c>
      <c r="C24" s="348"/>
      <c r="D24" s="348"/>
      <c r="E24" s="348"/>
      <c r="F24" s="348"/>
      <c r="G24" s="348"/>
      <c r="H24" s="348"/>
      <c r="I24" s="348"/>
      <c r="J24" s="348"/>
      <c r="K24" s="348"/>
      <c r="L24" s="348"/>
      <c r="M24" s="348"/>
      <c r="N24" s="797"/>
    </row>
    <row r="25" spans="1:16" s="487" customFormat="1" ht="15.75" customHeight="1">
      <c r="A25" s="419" t="s">
        <v>95</v>
      </c>
      <c r="B25" s="351" t="s">
        <v>382</v>
      </c>
      <c r="C25" s="348"/>
      <c r="D25" s="348"/>
      <c r="E25" s="348"/>
      <c r="F25" s="348"/>
      <c r="G25" s="348"/>
      <c r="H25" s="348"/>
      <c r="I25" s="348"/>
      <c r="J25" s="348"/>
      <c r="K25" s="348"/>
      <c r="L25" s="348"/>
      <c r="M25" s="348"/>
      <c r="N25" s="797"/>
    </row>
    <row r="26" spans="1:16" s="487" customFormat="1" ht="15.75" customHeight="1">
      <c r="A26" s="419"/>
      <c r="B26" s="589" t="s">
        <v>1044</v>
      </c>
      <c r="C26" s="348">
        <v>3</v>
      </c>
      <c r="D26" s="348">
        <v>0.6</v>
      </c>
      <c r="E26" s="348">
        <f>0.6+0.07</f>
        <v>0.66999999999999993</v>
      </c>
      <c r="F26" s="348"/>
      <c r="G26" s="348"/>
      <c r="H26" s="348"/>
      <c r="I26" s="348"/>
      <c r="J26" s="348"/>
      <c r="K26" s="348"/>
      <c r="L26" s="348">
        <v>3</v>
      </c>
      <c r="M26" s="348">
        <f>C26*D26*E26*L26</f>
        <v>3.6179999999999994</v>
      </c>
      <c r="N26" s="797"/>
    </row>
    <row r="27" spans="1:16" s="487" customFormat="1" ht="15.75" customHeight="1">
      <c r="A27" s="419"/>
      <c r="B27" s="589" t="s">
        <v>136</v>
      </c>
      <c r="C27" s="348">
        <f>4+2</f>
        <v>6</v>
      </c>
      <c r="D27" s="348">
        <f>D26</f>
        <v>0.6</v>
      </c>
      <c r="E27" s="348">
        <f>E26</f>
        <v>0.66999999999999993</v>
      </c>
      <c r="F27" s="348"/>
      <c r="G27" s="348"/>
      <c r="H27" s="348"/>
      <c r="I27" s="348"/>
      <c r="J27" s="348"/>
      <c r="K27" s="348"/>
      <c r="L27" s="348">
        <v>2</v>
      </c>
      <c r="M27" s="565">
        <f>C27*D27*E27*L27</f>
        <v>4.823999999999999</v>
      </c>
      <c r="N27" s="797"/>
    </row>
    <row r="28" spans="1:16" s="487" customFormat="1" ht="15.75" customHeight="1">
      <c r="A28" s="419"/>
      <c r="B28" s="351"/>
      <c r="C28" s="348"/>
      <c r="D28" s="348"/>
      <c r="E28" s="348"/>
      <c r="F28" s="348"/>
      <c r="G28" s="348"/>
      <c r="H28" s="348"/>
      <c r="I28" s="348"/>
      <c r="J28" s="348"/>
      <c r="K28" s="348"/>
      <c r="L28" s="348"/>
      <c r="M28" s="566">
        <f>SUM(M26:M27)</f>
        <v>8.4419999999999984</v>
      </c>
      <c r="N28" s="800" t="s">
        <v>103</v>
      </c>
    </row>
    <row r="29" spans="1:16" s="487" customFormat="1" ht="15.75" customHeight="1">
      <c r="A29" s="419" t="s">
        <v>98</v>
      </c>
      <c r="B29" s="417" t="s">
        <v>405</v>
      </c>
      <c r="C29" s="343"/>
      <c r="D29" s="343"/>
      <c r="E29" s="343">
        <v>4</v>
      </c>
      <c r="F29" s="343"/>
      <c r="G29" s="343"/>
      <c r="H29" s="343"/>
      <c r="I29" s="343"/>
      <c r="J29" s="343">
        <v>2</v>
      </c>
      <c r="K29" s="343">
        <f>M32/0.5</f>
        <v>42</v>
      </c>
      <c r="L29" s="343"/>
      <c r="M29" s="566">
        <f>E29*J29*K29</f>
        <v>336</v>
      </c>
      <c r="N29" s="802" t="s">
        <v>117</v>
      </c>
      <c r="P29" s="398" t="s">
        <v>1193</v>
      </c>
    </row>
    <row r="30" spans="1:16" s="487" customFormat="1" ht="15.75" customHeight="1">
      <c r="A30" s="419"/>
      <c r="B30" s="803" t="s">
        <v>1194</v>
      </c>
      <c r="C30" s="343">
        <f>C26</f>
        <v>3</v>
      </c>
      <c r="D30" s="343"/>
      <c r="E30" s="343"/>
      <c r="F30" s="343"/>
      <c r="G30" s="343"/>
      <c r="H30" s="343"/>
      <c r="I30" s="343"/>
      <c r="J30" s="343"/>
      <c r="K30" s="343"/>
      <c r="L30" s="343">
        <f>L26</f>
        <v>3</v>
      </c>
      <c r="M30" s="348">
        <f>C30*L30</f>
        <v>9</v>
      </c>
      <c r="N30" s="802"/>
    </row>
    <row r="31" spans="1:16" s="487" customFormat="1" ht="15.75" customHeight="1">
      <c r="A31" s="419"/>
      <c r="B31" s="417"/>
      <c r="C31" s="343">
        <f>C27</f>
        <v>6</v>
      </c>
      <c r="D31" s="343"/>
      <c r="E31" s="343"/>
      <c r="F31" s="343"/>
      <c r="G31" s="343"/>
      <c r="H31" s="343"/>
      <c r="I31" s="343"/>
      <c r="J31" s="343"/>
      <c r="K31" s="343"/>
      <c r="L31" s="343">
        <f>L27</f>
        <v>2</v>
      </c>
      <c r="M31" s="804">
        <f>C31*L31</f>
        <v>12</v>
      </c>
      <c r="N31" s="802"/>
    </row>
    <row r="32" spans="1:16" s="487" customFormat="1" ht="15.75" customHeight="1">
      <c r="A32" s="419"/>
      <c r="B32" s="417"/>
      <c r="C32" s="343"/>
      <c r="D32" s="343"/>
      <c r="E32" s="343"/>
      <c r="F32" s="343"/>
      <c r="G32" s="343"/>
      <c r="H32" s="343"/>
      <c r="I32" s="343"/>
      <c r="J32" s="343"/>
      <c r="K32" s="343"/>
      <c r="L32" s="343"/>
      <c r="M32" s="343">
        <f>SUM(M30:M31)</f>
        <v>21</v>
      </c>
      <c r="N32" s="805" t="s">
        <v>117</v>
      </c>
    </row>
    <row r="33" spans="1:14" s="487" customFormat="1" ht="15.75" customHeight="1">
      <c r="A33" s="419" t="s">
        <v>101</v>
      </c>
      <c r="B33" s="417" t="s">
        <v>620</v>
      </c>
      <c r="C33" s="343"/>
      <c r="D33" s="343"/>
      <c r="E33" s="343"/>
      <c r="F33" s="343"/>
      <c r="G33" s="343"/>
      <c r="H33" s="343"/>
      <c r="I33" s="343"/>
      <c r="J33" s="343"/>
      <c r="K33" s="343"/>
      <c r="L33" s="343"/>
      <c r="M33" s="566"/>
      <c r="N33" s="802"/>
    </row>
    <row r="34" spans="1:14" s="487" customFormat="1" ht="15.75" customHeight="1">
      <c r="A34" s="419"/>
      <c r="B34" s="803" t="str">
        <f t="shared" ref="B34:D35" si="1">B26</f>
        <v>Horisontal</v>
      </c>
      <c r="C34" s="343">
        <f t="shared" si="1"/>
        <v>3</v>
      </c>
      <c r="D34" s="343">
        <f t="shared" si="1"/>
        <v>0.6</v>
      </c>
      <c r="E34" s="343">
        <v>7.0000000000000007E-2</v>
      </c>
      <c r="F34" s="343"/>
      <c r="G34" s="343"/>
      <c r="H34" s="343"/>
      <c r="I34" s="343"/>
      <c r="J34" s="343"/>
      <c r="K34" s="343"/>
      <c r="L34" s="343">
        <f>L26</f>
        <v>3</v>
      </c>
      <c r="M34" s="348">
        <f>C34*D34*E34*L34</f>
        <v>0.378</v>
      </c>
      <c r="N34" s="802"/>
    </row>
    <row r="35" spans="1:14" s="487" customFormat="1" ht="15.75" customHeight="1">
      <c r="A35" s="419"/>
      <c r="B35" s="803" t="str">
        <f t="shared" si="1"/>
        <v>Vertikal</v>
      </c>
      <c r="C35" s="343">
        <f t="shared" si="1"/>
        <v>6</v>
      </c>
      <c r="D35" s="343">
        <f t="shared" si="1"/>
        <v>0.6</v>
      </c>
      <c r="E35" s="343">
        <f>E34</f>
        <v>7.0000000000000007E-2</v>
      </c>
      <c r="F35" s="343"/>
      <c r="G35" s="343"/>
      <c r="H35" s="343"/>
      <c r="I35" s="343"/>
      <c r="J35" s="343"/>
      <c r="K35" s="343"/>
      <c r="L35" s="343">
        <f>L27</f>
        <v>2</v>
      </c>
      <c r="M35" s="804">
        <f>C35*D35*E35*L35</f>
        <v>0.504</v>
      </c>
      <c r="N35" s="802"/>
    </row>
    <row r="36" spans="1:14" s="487" customFormat="1" ht="15.75" customHeight="1">
      <c r="A36" s="419"/>
      <c r="B36" s="417"/>
      <c r="C36" s="343"/>
      <c r="D36" s="343"/>
      <c r="E36" s="343"/>
      <c r="F36" s="343"/>
      <c r="G36" s="343"/>
      <c r="H36" s="343"/>
      <c r="I36" s="343"/>
      <c r="J36" s="343"/>
      <c r="K36" s="343"/>
      <c r="L36" s="343"/>
      <c r="M36" s="566">
        <f>SUM(M34:M35)</f>
        <v>0.88200000000000001</v>
      </c>
      <c r="N36" s="800" t="s">
        <v>103</v>
      </c>
    </row>
    <row r="37" spans="1:14" s="757" customFormat="1" ht="15.75" hidden="1" customHeight="1">
      <c r="A37" s="806" t="s">
        <v>121</v>
      </c>
      <c r="B37" s="572" t="s">
        <v>400</v>
      </c>
      <c r="C37" s="573"/>
      <c r="D37" s="573"/>
      <c r="E37" s="573"/>
      <c r="F37" s="573"/>
      <c r="G37" s="573"/>
      <c r="H37" s="573"/>
      <c r="I37" s="573"/>
      <c r="J37" s="573"/>
      <c r="K37" s="573"/>
      <c r="L37" s="573"/>
      <c r="M37" s="573"/>
      <c r="N37" s="761"/>
    </row>
    <row r="38" spans="1:14" s="757" customFormat="1" ht="15.75" hidden="1" customHeight="1">
      <c r="A38" s="806"/>
      <c r="B38" s="775" t="str">
        <f>B34</f>
        <v>Horisontal</v>
      </c>
      <c r="C38" s="573">
        <f>C26</f>
        <v>3</v>
      </c>
      <c r="D38" s="573">
        <f>D26</f>
        <v>0.6</v>
      </c>
      <c r="E38" s="573">
        <v>0</v>
      </c>
      <c r="F38" s="573"/>
      <c r="G38" s="573"/>
      <c r="H38" s="573"/>
      <c r="I38" s="573"/>
      <c r="J38" s="573"/>
      <c r="K38" s="573"/>
      <c r="L38" s="573">
        <f>L26</f>
        <v>3</v>
      </c>
      <c r="M38" s="573">
        <f>C38*D38*E38*L38</f>
        <v>0</v>
      </c>
      <c r="N38" s="761"/>
    </row>
    <row r="39" spans="1:14" s="757" customFormat="1" ht="15.75" hidden="1" customHeight="1">
      <c r="A39" s="806"/>
      <c r="B39" s="775" t="str">
        <f>B35</f>
        <v>Vertikal</v>
      </c>
      <c r="C39" s="573">
        <f>C27</f>
        <v>6</v>
      </c>
      <c r="D39" s="573">
        <f>D38</f>
        <v>0.6</v>
      </c>
      <c r="E39" s="573">
        <v>0</v>
      </c>
      <c r="F39" s="573"/>
      <c r="G39" s="573"/>
      <c r="H39" s="573"/>
      <c r="I39" s="573"/>
      <c r="J39" s="573"/>
      <c r="K39" s="573"/>
      <c r="L39" s="573">
        <f>L27</f>
        <v>2</v>
      </c>
      <c r="M39" s="582">
        <f>C39*D39*E39*L39</f>
        <v>0</v>
      </c>
      <c r="N39" s="761"/>
    </row>
    <row r="40" spans="1:14" s="757" customFormat="1" ht="15.75" hidden="1" customHeight="1">
      <c r="A40" s="806"/>
      <c r="B40" s="572"/>
      <c r="C40" s="573"/>
      <c r="D40" s="573"/>
      <c r="E40" s="573"/>
      <c r="F40" s="573"/>
      <c r="G40" s="573"/>
      <c r="H40" s="573"/>
      <c r="I40" s="573"/>
      <c r="J40" s="573"/>
      <c r="K40" s="573"/>
      <c r="L40" s="573"/>
      <c r="M40" s="807">
        <f>SUM(M38:M39)</f>
        <v>0</v>
      </c>
      <c r="N40" s="808" t="s">
        <v>103</v>
      </c>
    </row>
    <row r="41" spans="1:14" s="487" customFormat="1" ht="15.75" customHeight="1">
      <c r="A41" s="419" t="s">
        <v>121</v>
      </c>
      <c r="B41" s="351" t="s">
        <v>403</v>
      </c>
      <c r="C41" s="348"/>
      <c r="D41" s="348"/>
      <c r="E41" s="348"/>
      <c r="F41" s="348"/>
      <c r="G41" s="348"/>
      <c r="H41" s="348"/>
      <c r="I41" s="348"/>
      <c r="J41" s="348"/>
      <c r="K41" s="348"/>
      <c r="L41" s="348"/>
      <c r="M41" s="348"/>
      <c r="N41" s="797"/>
    </row>
    <row r="42" spans="1:14" s="487" customFormat="1" ht="15.75" customHeight="1">
      <c r="A42" s="760"/>
      <c r="B42" s="589" t="str">
        <f>B38</f>
        <v>Horisontal</v>
      </c>
      <c r="C42" s="348">
        <f>C38</f>
        <v>3</v>
      </c>
      <c r="D42" s="348">
        <f>(0.2+D38)/2</f>
        <v>0.4</v>
      </c>
      <c r="E42" s="348">
        <f>E26-E34</f>
        <v>0.59999999999999987</v>
      </c>
      <c r="F42" s="348"/>
      <c r="G42" s="348"/>
      <c r="H42" s="348"/>
      <c r="I42" s="348"/>
      <c r="J42" s="348"/>
      <c r="K42" s="348"/>
      <c r="L42" s="348">
        <f>L38</f>
        <v>3</v>
      </c>
      <c r="M42" s="348">
        <f>C42*D42*E42*L42</f>
        <v>2.16</v>
      </c>
      <c r="N42" s="797"/>
    </row>
    <row r="43" spans="1:14" s="487" customFormat="1" ht="15.75" customHeight="1">
      <c r="A43" s="760"/>
      <c r="B43" s="589" t="str">
        <f>B39</f>
        <v>Vertikal</v>
      </c>
      <c r="C43" s="348">
        <f>C39</f>
        <v>6</v>
      </c>
      <c r="D43" s="348">
        <f>D42</f>
        <v>0.4</v>
      </c>
      <c r="E43" s="348">
        <f>E42</f>
        <v>0.59999999999999987</v>
      </c>
      <c r="F43" s="348"/>
      <c r="G43" s="348"/>
      <c r="H43" s="348"/>
      <c r="I43" s="348"/>
      <c r="J43" s="348"/>
      <c r="K43" s="348"/>
      <c r="L43" s="348">
        <f>L39</f>
        <v>2</v>
      </c>
      <c r="M43" s="565">
        <f>C43*D43*E43*L43</f>
        <v>2.88</v>
      </c>
      <c r="N43" s="797"/>
    </row>
    <row r="44" spans="1:14" s="487" customFormat="1" ht="15.75" customHeight="1">
      <c r="A44" s="760"/>
      <c r="B44" s="351"/>
      <c r="C44" s="348"/>
      <c r="D44" s="348"/>
      <c r="E44" s="348"/>
      <c r="F44" s="348"/>
      <c r="G44" s="348"/>
      <c r="H44" s="348"/>
      <c r="I44" s="348"/>
      <c r="J44" s="348"/>
      <c r="K44" s="348"/>
      <c r="L44" s="348"/>
      <c r="M44" s="566">
        <f>SUM(M42:M43)</f>
        <v>5.04</v>
      </c>
      <c r="N44" s="800" t="s">
        <v>103</v>
      </c>
    </row>
    <row r="45" spans="1:14" s="487" customFormat="1" ht="15.75" customHeight="1">
      <c r="A45" s="350">
        <f>A24+1</f>
        <v>4</v>
      </c>
      <c r="B45" s="351" t="s">
        <v>1130</v>
      </c>
      <c r="C45" s="330"/>
      <c r="D45" s="330"/>
      <c r="E45" s="330"/>
      <c r="F45" s="330"/>
      <c r="G45" s="330"/>
      <c r="H45" s="330"/>
      <c r="I45" s="330"/>
      <c r="J45" s="330"/>
      <c r="K45" s="330"/>
      <c r="L45" s="330"/>
      <c r="M45" s="401"/>
      <c r="N45" s="748"/>
    </row>
    <row r="46" spans="1:14" s="487" customFormat="1" ht="15.75" customHeight="1">
      <c r="A46" s="350"/>
      <c r="B46" s="567" t="s">
        <v>1111</v>
      </c>
      <c r="C46" s="348">
        <f>C42</f>
        <v>3</v>
      </c>
      <c r="D46" s="330"/>
      <c r="E46" s="330"/>
      <c r="F46" s="330"/>
      <c r="G46" s="330"/>
      <c r="H46" s="330"/>
      <c r="I46" s="330"/>
      <c r="J46" s="330"/>
      <c r="K46" s="330"/>
      <c r="L46" s="330">
        <f>L42</f>
        <v>3</v>
      </c>
      <c r="M46" s="401">
        <f>C46*L46</f>
        <v>9</v>
      </c>
      <c r="N46" s="748"/>
    </row>
    <row r="47" spans="1:14" s="487" customFormat="1" ht="15.75" customHeight="1">
      <c r="A47" s="350"/>
      <c r="B47" s="359"/>
      <c r="C47" s="348">
        <f>C43</f>
        <v>6</v>
      </c>
      <c r="D47" s="330"/>
      <c r="E47" s="330"/>
      <c r="F47" s="330"/>
      <c r="G47" s="330"/>
      <c r="H47" s="330"/>
      <c r="I47" s="330"/>
      <c r="J47" s="330"/>
      <c r="K47" s="330"/>
      <c r="L47" s="330">
        <f>L43</f>
        <v>2</v>
      </c>
      <c r="M47" s="401">
        <f>C47*L47</f>
        <v>12</v>
      </c>
      <c r="N47" s="748"/>
    </row>
    <row r="48" spans="1:14" s="487" customFormat="1" ht="15.75" customHeight="1">
      <c r="A48" s="350"/>
      <c r="B48" s="359"/>
      <c r="C48" s="348"/>
      <c r="D48" s="330"/>
      <c r="E48" s="330"/>
      <c r="F48" s="330"/>
      <c r="G48" s="330"/>
      <c r="H48" s="330"/>
      <c r="I48" s="330"/>
      <c r="J48" s="330"/>
      <c r="K48" s="330"/>
      <c r="L48" s="330"/>
      <c r="M48" s="401">
        <f>SUM(M46:M47)</f>
        <v>21</v>
      </c>
      <c r="N48" s="748" t="s">
        <v>117</v>
      </c>
    </row>
    <row r="49" spans="1:14" s="487" customFormat="1" ht="15.75" customHeight="1">
      <c r="A49" s="350"/>
      <c r="B49" s="567" t="s">
        <v>1131</v>
      </c>
      <c r="C49" s="348">
        <f>M48</f>
        <v>21</v>
      </c>
      <c r="D49" s="330">
        <v>1</v>
      </c>
      <c r="E49" s="330"/>
      <c r="F49" s="330"/>
      <c r="G49" s="330"/>
      <c r="H49" s="330"/>
      <c r="I49" s="330"/>
      <c r="J49" s="330"/>
      <c r="K49" s="330"/>
      <c r="L49" s="330"/>
      <c r="M49" s="401">
        <f>ROUNDDOWN((C49/D49),0.5)</f>
        <v>21</v>
      </c>
      <c r="N49" s="748" t="s">
        <v>124</v>
      </c>
    </row>
    <row r="50" spans="1:14" s="487" customFormat="1" ht="15.75" customHeight="1">
      <c r="A50" s="350"/>
      <c r="B50" s="567" t="s">
        <v>1132</v>
      </c>
      <c r="C50" s="348">
        <v>0.5</v>
      </c>
      <c r="D50" s="330"/>
      <c r="E50" s="330"/>
      <c r="F50" s="330">
        <f>M49</f>
        <v>21</v>
      </c>
      <c r="G50" s="330"/>
      <c r="H50" s="330"/>
      <c r="I50" s="330"/>
      <c r="J50" s="330"/>
      <c r="K50" s="330">
        <f>13*13*0.006165</f>
        <v>1.041885</v>
      </c>
      <c r="L50" s="330"/>
      <c r="M50" s="474">
        <f>F50*K50*C50</f>
        <v>10.939792499999999</v>
      </c>
      <c r="N50" s="562" t="s">
        <v>100</v>
      </c>
    </row>
    <row r="51" spans="1:14" s="487" customFormat="1" ht="15.75" customHeight="1">
      <c r="A51" s="408">
        <f>A45+1</f>
        <v>5</v>
      </c>
      <c r="B51" s="409" t="s">
        <v>1195</v>
      </c>
      <c r="C51" s="348"/>
      <c r="D51" s="348"/>
      <c r="E51" s="348"/>
      <c r="F51" s="348"/>
      <c r="G51" s="348"/>
      <c r="H51" s="348"/>
      <c r="I51" s="348"/>
      <c r="J51" s="348"/>
      <c r="K51" s="348"/>
      <c r="L51" s="348"/>
      <c r="M51" s="566"/>
      <c r="N51" s="800"/>
    </row>
    <row r="52" spans="1:14" s="487" customFormat="1" ht="15.75" customHeight="1">
      <c r="A52" s="407" t="s">
        <v>95</v>
      </c>
      <c r="B52" s="409" t="s">
        <v>438</v>
      </c>
      <c r="C52" s="348"/>
      <c r="D52" s="348"/>
      <c r="E52" s="348"/>
      <c r="F52" s="348"/>
      <c r="G52" s="348"/>
      <c r="H52" s="348"/>
      <c r="I52" s="348"/>
      <c r="J52" s="348"/>
      <c r="K52" s="348"/>
      <c r="L52" s="348"/>
      <c r="M52" s="566"/>
      <c r="N52" s="800"/>
    </row>
    <row r="53" spans="1:14" s="487" customFormat="1" ht="15.75" customHeight="1">
      <c r="A53" s="407"/>
      <c r="B53" s="809" t="s">
        <v>1020</v>
      </c>
      <c r="C53" s="348">
        <f>3+(0.3*2)</f>
        <v>3.6</v>
      </c>
      <c r="D53" s="348">
        <v>0.12</v>
      </c>
      <c r="E53" s="348">
        <v>0.2</v>
      </c>
      <c r="F53" s="348"/>
      <c r="G53" s="348"/>
      <c r="H53" s="348"/>
      <c r="I53" s="348"/>
      <c r="J53" s="348"/>
      <c r="K53" s="348"/>
      <c r="L53" s="348"/>
      <c r="M53" s="343">
        <f>C53*D53*E53</f>
        <v>8.6400000000000005E-2</v>
      </c>
      <c r="N53" s="800"/>
    </row>
    <row r="54" spans="1:14" s="487" customFormat="1" ht="15.75" customHeight="1">
      <c r="A54" s="407"/>
      <c r="B54" s="809" t="s">
        <v>1021</v>
      </c>
      <c r="C54" s="348">
        <f>C53</f>
        <v>3.6</v>
      </c>
      <c r="D54" s="348">
        <f>D53</f>
        <v>0.12</v>
      </c>
      <c r="E54" s="348">
        <f>E53</f>
        <v>0.2</v>
      </c>
      <c r="F54" s="348"/>
      <c r="G54" s="348"/>
      <c r="H54" s="348"/>
      <c r="I54" s="348"/>
      <c r="J54" s="348"/>
      <c r="K54" s="348"/>
      <c r="L54" s="348"/>
      <c r="M54" s="343">
        <f>C54*D54*E54</f>
        <v>8.6400000000000005E-2</v>
      </c>
      <c r="N54" s="800"/>
    </row>
    <row r="55" spans="1:14" s="487" customFormat="1" ht="15.75" customHeight="1">
      <c r="A55" s="407"/>
      <c r="B55" s="809"/>
      <c r="C55" s="348"/>
      <c r="D55" s="810"/>
      <c r="E55" s="348"/>
      <c r="F55" s="348"/>
      <c r="G55" s="348"/>
      <c r="H55" s="348"/>
      <c r="I55" s="348"/>
      <c r="J55" s="348"/>
      <c r="K55" s="348"/>
      <c r="L55" s="348"/>
      <c r="M55" s="566">
        <f>SUM(M53:M54)</f>
        <v>0.17280000000000001</v>
      </c>
      <c r="N55" s="800" t="s">
        <v>103</v>
      </c>
    </row>
    <row r="56" spans="1:14" s="487" customFormat="1" ht="15.75" customHeight="1">
      <c r="A56" s="407" t="s">
        <v>98</v>
      </c>
      <c r="B56" s="409" t="s">
        <v>1196</v>
      </c>
      <c r="C56" s="348"/>
      <c r="D56" s="348"/>
      <c r="E56" s="348"/>
      <c r="F56" s="348"/>
      <c r="G56" s="348"/>
      <c r="H56" s="348"/>
      <c r="I56" s="348"/>
      <c r="J56" s="348"/>
      <c r="K56" s="348"/>
      <c r="L56" s="348"/>
      <c r="M56" s="566"/>
      <c r="N56" s="800"/>
    </row>
    <row r="57" spans="1:14" s="487" customFormat="1" ht="15.75" customHeight="1">
      <c r="A57" s="407"/>
      <c r="B57" s="809" t="str">
        <f>B53</f>
        <v>trap 1</v>
      </c>
      <c r="C57" s="348">
        <f>C53</f>
        <v>3.6</v>
      </c>
      <c r="D57" s="348"/>
      <c r="E57" s="348">
        <f>0.1+E53</f>
        <v>0.30000000000000004</v>
      </c>
      <c r="F57" s="348"/>
      <c r="G57" s="348"/>
      <c r="H57" s="348"/>
      <c r="I57" s="348"/>
      <c r="J57" s="348">
        <v>1</v>
      </c>
      <c r="K57" s="348"/>
      <c r="L57" s="348"/>
      <c r="M57" s="348">
        <f>C57*E57*J57</f>
        <v>1.0800000000000003</v>
      </c>
      <c r="N57" s="800"/>
    </row>
    <row r="58" spans="1:14" s="487" customFormat="1" ht="15.75" customHeight="1">
      <c r="A58" s="407"/>
      <c r="B58" s="809" t="str">
        <f>B54</f>
        <v>trap 2</v>
      </c>
      <c r="C58" s="348">
        <f>C54</f>
        <v>3.6</v>
      </c>
      <c r="D58" s="348"/>
      <c r="E58" s="348">
        <f>0.25+E54</f>
        <v>0.45</v>
      </c>
      <c r="F58" s="348"/>
      <c r="G58" s="348"/>
      <c r="H58" s="348"/>
      <c r="I58" s="348"/>
      <c r="J58" s="348">
        <f>J57</f>
        <v>1</v>
      </c>
      <c r="K58" s="348"/>
      <c r="L58" s="348"/>
      <c r="M58" s="348">
        <f>C58*E58*J58</f>
        <v>1.62</v>
      </c>
      <c r="N58" s="800"/>
    </row>
    <row r="59" spans="1:14" s="487" customFormat="1" ht="15.75" customHeight="1">
      <c r="A59" s="407"/>
      <c r="B59" s="809"/>
      <c r="C59" s="348"/>
      <c r="D59" s="348"/>
      <c r="E59" s="348"/>
      <c r="F59" s="348"/>
      <c r="G59" s="348"/>
      <c r="H59" s="348"/>
      <c r="I59" s="348"/>
      <c r="J59" s="348"/>
      <c r="K59" s="348"/>
      <c r="L59" s="348"/>
      <c r="M59" s="566">
        <f>SUM(M57:M58)</f>
        <v>2.7</v>
      </c>
      <c r="N59" s="800" t="s">
        <v>89</v>
      </c>
    </row>
    <row r="60" spans="1:14" s="487" customFormat="1" ht="15.75" customHeight="1">
      <c r="A60" s="407" t="s">
        <v>101</v>
      </c>
      <c r="B60" s="409" t="s">
        <v>440</v>
      </c>
      <c r="C60" s="348"/>
      <c r="D60" s="348"/>
      <c r="E60" s="348"/>
      <c r="F60" s="348"/>
      <c r="G60" s="348"/>
      <c r="H60" s="348"/>
      <c r="I60" s="348"/>
      <c r="J60" s="348"/>
      <c r="K60" s="348"/>
      <c r="L60" s="348"/>
      <c r="M60" s="566"/>
      <c r="N60" s="800"/>
    </row>
    <row r="61" spans="1:14" s="487" customFormat="1" ht="15.75" customHeight="1">
      <c r="A61" s="407"/>
      <c r="B61" s="809" t="str">
        <f>B57</f>
        <v>trap 1</v>
      </c>
      <c r="C61" s="348">
        <v>3</v>
      </c>
      <c r="D61" s="348">
        <v>0.3</v>
      </c>
      <c r="E61" s="348">
        <v>0</v>
      </c>
      <c r="F61" s="348"/>
      <c r="G61" s="348"/>
      <c r="H61" s="348"/>
      <c r="I61" s="348"/>
      <c r="J61" s="348">
        <v>1</v>
      </c>
      <c r="K61" s="348"/>
      <c r="L61" s="348"/>
      <c r="M61" s="343">
        <f>C61*D61*E61*J61</f>
        <v>0</v>
      </c>
      <c r="N61" s="800"/>
    </row>
    <row r="62" spans="1:14" s="487" customFormat="1" ht="15.75" customHeight="1">
      <c r="A62" s="407"/>
      <c r="B62" s="809" t="str">
        <f>B58</f>
        <v>trap 2</v>
      </c>
      <c r="C62" s="348">
        <f>C61</f>
        <v>3</v>
      </c>
      <c r="D62" s="348">
        <f>D61</f>
        <v>0.3</v>
      </c>
      <c r="E62" s="348">
        <v>0.1</v>
      </c>
      <c r="F62" s="348"/>
      <c r="G62" s="348"/>
      <c r="H62" s="348"/>
      <c r="I62" s="348"/>
      <c r="J62" s="348">
        <f>J61</f>
        <v>1</v>
      </c>
      <c r="K62" s="348"/>
      <c r="L62" s="348"/>
      <c r="M62" s="343">
        <f>C62*D62*E62*J62</f>
        <v>0.09</v>
      </c>
      <c r="N62" s="800"/>
    </row>
    <row r="63" spans="1:14" s="487" customFormat="1" ht="15.75" customHeight="1">
      <c r="A63" s="407"/>
      <c r="B63" s="409"/>
      <c r="C63" s="348"/>
      <c r="D63" s="348"/>
      <c r="E63" s="348"/>
      <c r="F63" s="348"/>
      <c r="G63" s="348"/>
      <c r="H63" s="348"/>
      <c r="I63" s="348"/>
      <c r="J63" s="348"/>
      <c r="K63" s="348"/>
      <c r="L63" s="348"/>
      <c r="M63" s="566">
        <f>SUM(M61:M62)</f>
        <v>0.09</v>
      </c>
      <c r="N63" s="800" t="s">
        <v>103</v>
      </c>
    </row>
    <row r="64" spans="1:14" s="487" customFormat="1" ht="15.75" customHeight="1">
      <c r="A64" s="407" t="s">
        <v>121</v>
      </c>
      <c r="B64" s="351" t="s">
        <v>441</v>
      </c>
      <c r="C64" s="348"/>
      <c r="D64" s="348"/>
      <c r="E64" s="348"/>
      <c r="F64" s="348"/>
      <c r="G64" s="348"/>
      <c r="H64" s="348"/>
      <c r="I64" s="348"/>
      <c r="J64" s="348"/>
      <c r="K64" s="348"/>
      <c r="L64" s="348"/>
      <c r="M64" s="566"/>
      <c r="N64" s="800"/>
    </row>
    <row r="65" spans="1:14" s="487" customFormat="1" ht="15.75" customHeight="1">
      <c r="A65" s="407"/>
      <c r="B65" s="809" t="str">
        <f>B61</f>
        <v>trap 1</v>
      </c>
      <c r="C65" s="348">
        <v>3</v>
      </c>
      <c r="D65" s="348">
        <v>0.3</v>
      </c>
      <c r="E65" s="348">
        <v>0.03</v>
      </c>
      <c r="F65" s="348"/>
      <c r="G65" s="348"/>
      <c r="H65" s="348"/>
      <c r="I65" s="348"/>
      <c r="J65" s="348">
        <v>1</v>
      </c>
      <c r="K65" s="348"/>
      <c r="L65" s="348"/>
      <c r="M65" s="343">
        <f>C65*D65*E65*J65</f>
        <v>2.6999999999999996E-2</v>
      </c>
      <c r="N65" s="800"/>
    </row>
    <row r="66" spans="1:14" s="487" customFormat="1" ht="15.75" customHeight="1">
      <c r="A66" s="407"/>
      <c r="B66" s="809" t="str">
        <f>B62</f>
        <v>trap 2</v>
      </c>
      <c r="C66" s="348">
        <f>C65</f>
        <v>3</v>
      </c>
      <c r="D66" s="348">
        <f>D65</f>
        <v>0.3</v>
      </c>
      <c r="E66" s="348">
        <f>E65</f>
        <v>0.03</v>
      </c>
      <c r="F66" s="348"/>
      <c r="G66" s="348"/>
      <c r="H66" s="348"/>
      <c r="I66" s="348"/>
      <c r="J66" s="348">
        <f>J65</f>
        <v>1</v>
      </c>
      <c r="K66" s="348"/>
      <c r="L66" s="348"/>
      <c r="M66" s="343">
        <f>C66*D66*E66*J66</f>
        <v>2.6999999999999996E-2</v>
      </c>
      <c r="N66" s="800"/>
    </row>
    <row r="67" spans="1:14" s="487" customFormat="1" ht="15.75" customHeight="1">
      <c r="A67" s="407"/>
      <c r="B67" s="409"/>
      <c r="C67" s="348"/>
      <c r="D67" s="348"/>
      <c r="E67" s="348"/>
      <c r="F67" s="348"/>
      <c r="G67" s="348"/>
      <c r="H67" s="348"/>
      <c r="I67" s="348"/>
      <c r="J67" s="348"/>
      <c r="K67" s="348"/>
      <c r="L67" s="348"/>
      <c r="M67" s="566">
        <f>SUM(M65:M66)</f>
        <v>5.3999999999999992E-2</v>
      </c>
      <c r="N67" s="800" t="s">
        <v>103</v>
      </c>
    </row>
    <row r="68" spans="1:14" s="487" customFormat="1" ht="15.75" customHeight="1">
      <c r="A68" s="407" t="s">
        <v>142</v>
      </c>
      <c r="B68" s="351" t="s">
        <v>192</v>
      </c>
      <c r="C68" s="348"/>
      <c r="D68" s="348"/>
      <c r="E68" s="348"/>
      <c r="F68" s="348"/>
      <c r="G68" s="348"/>
      <c r="H68" s="348"/>
      <c r="I68" s="348"/>
      <c r="J68" s="348"/>
      <c r="K68" s="348"/>
      <c r="L68" s="348"/>
      <c r="M68" s="566"/>
      <c r="N68" s="800"/>
    </row>
    <row r="69" spans="1:14" s="487" customFormat="1" ht="15.75" customHeight="1">
      <c r="A69" s="407"/>
      <c r="B69" s="809" t="str">
        <f>B65</f>
        <v>trap 1</v>
      </c>
      <c r="C69" s="348">
        <v>3</v>
      </c>
      <c r="D69" s="348">
        <v>0.3</v>
      </c>
      <c r="E69" s="348">
        <v>7.0000000000000007E-2</v>
      </c>
      <c r="F69" s="348"/>
      <c r="G69" s="348"/>
      <c r="H69" s="348"/>
      <c r="I69" s="348"/>
      <c r="J69" s="348">
        <v>1</v>
      </c>
      <c r="K69" s="348"/>
      <c r="L69" s="348"/>
      <c r="M69" s="343">
        <f>C69*D69*E69*J69</f>
        <v>6.3E-2</v>
      </c>
      <c r="N69" s="800"/>
    </row>
    <row r="70" spans="1:14" s="487" customFormat="1" ht="15.75" customHeight="1">
      <c r="A70" s="407"/>
      <c r="B70" s="809" t="str">
        <f>B66</f>
        <v>trap 2</v>
      </c>
      <c r="C70" s="348">
        <f>C69</f>
        <v>3</v>
      </c>
      <c r="D70" s="348">
        <f>D69</f>
        <v>0.3</v>
      </c>
      <c r="E70" s="348">
        <f>E69</f>
        <v>7.0000000000000007E-2</v>
      </c>
      <c r="F70" s="348"/>
      <c r="G70" s="348"/>
      <c r="H70" s="348"/>
      <c r="I70" s="348"/>
      <c r="J70" s="348">
        <f>J69</f>
        <v>1</v>
      </c>
      <c r="K70" s="348"/>
      <c r="L70" s="348"/>
      <c r="M70" s="343">
        <f>C70*D70*E70*J70</f>
        <v>6.3E-2</v>
      </c>
      <c r="N70" s="800"/>
    </row>
    <row r="71" spans="1:14" s="487" customFormat="1" ht="15.75" customHeight="1">
      <c r="A71" s="407"/>
      <c r="B71" s="409"/>
      <c r="C71" s="348"/>
      <c r="D71" s="348"/>
      <c r="E71" s="348"/>
      <c r="F71" s="348"/>
      <c r="G71" s="348"/>
      <c r="H71" s="348"/>
      <c r="I71" s="348"/>
      <c r="J71" s="348"/>
      <c r="K71" s="348"/>
      <c r="L71" s="348"/>
      <c r="M71" s="566">
        <f>SUM(M69:M70)</f>
        <v>0.126</v>
      </c>
      <c r="N71" s="800" t="s">
        <v>103</v>
      </c>
    </row>
    <row r="72" spans="1:14" s="487" customFormat="1" ht="15.75" customHeight="1">
      <c r="A72" s="411" t="s">
        <v>366</v>
      </c>
      <c r="B72" s="487" t="s">
        <v>442</v>
      </c>
      <c r="C72" s="348"/>
      <c r="D72" s="348"/>
      <c r="E72" s="348"/>
      <c r="F72" s="348"/>
      <c r="G72" s="348"/>
      <c r="H72" s="348"/>
      <c r="I72" s="348"/>
      <c r="J72" s="348"/>
      <c r="K72" s="348"/>
      <c r="L72" s="348"/>
      <c r="M72" s="566"/>
      <c r="N72" s="800"/>
    </row>
    <row r="73" spans="1:14" s="487" customFormat="1" ht="15.75" customHeight="1">
      <c r="A73" s="411"/>
      <c r="B73" s="809" t="s">
        <v>1197</v>
      </c>
      <c r="C73" s="348"/>
      <c r="D73" s="348">
        <v>0.3</v>
      </c>
      <c r="E73" s="348">
        <v>0.1</v>
      </c>
      <c r="F73" s="348"/>
      <c r="G73" s="348"/>
      <c r="H73" s="348"/>
      <c r="I73" s="348"/>
      <c r="J73" s="348">
        <v>2</v>
      </c>
      <c r="K73" s="348"/>
      <c r="L73" s="348"/>
      <c r="M73" s="348">
        <f>D73*E73*J73</f>
        <v>0.06</v>
      </c>
      <c r="N73" s="800"/>
    </row>
    <row r="74" spans="1:14" s="487" customFormat="1" ht="15.75" customHeight="1">
      <c r="A74" s="411"/>
      <c r="B74" s="809"/>
      <c r="C74" s="348">
        <v>3</v>
      </c>
      <c r="D74" s="348"/>
      <c r="E74" s="348">
        <v>0.1</v>
      </c>
      <c r="F74" s="348"/>
      <c r="G74" s="348"/>
      <c r="H74" s="348"/>
      <c r="I74" s="348"/>
      <c r="J74" s="348">
        <v>1</v>
      </c>
      <c r="K74" s="348"/>
      <c r="L74" s="348"/>
      <c r="M74" s="343">
        <f>C74*E74*J74</f>
        <v>0.30000000000000004</v>
      </c>
      <c r="N74" s="800"/>
    </row>
    <row r="75" spans="1:14" s="487" customFormat="1" ht="15.75" customHeight="1">
      <c r="A75" s="411"/>
      <c r="B75" s="809"/>
      <c r="C75" s="348">
        <f>C74</f>
        <v>3</v>
      </c>
      <c r="D75" s="348"/>
      <c r="E75" s="348">
        <v>0.2</v>
      </c>
      <c r="F75" s="348"/>
      <c r="G75" s="348"/>
      <c r="H75" s="348"/>
      <c r="I75" s="348"/>
      <c r="J75" s="348">
        <v>1</v>
      </c>
      <c r="K75" s="348"/>
      <c r="L75" s="348"/>
      <c r="M75" s="343">
        <f>C75*E75*J75</f>
        <v>0.60000000000000009</v>
      </c>
      <c r="N75" s="800"/>
    </row>
    <row r="76" spans="1:14" s="487" customFormat="1" ht="15.75" customHeight="1">
      <c r="A76" s="411"/>
      <c r="B76" s="809"/>
      <c r="C76" s="348"/>
      <c r="D76" s="348">
        <f>D73</f>
        <v>0.3</v>
      </c>
      <c r="E76" s="348">
        <v>0.2</v>
      </c>
      <c r="F76" s="348"/>
      <c r="G76" s="348"/>
      <c r="H76" s="348"/>
      <c r="I76" s="348"/>
      <c r="J76" s="348">
        <f>J73</f>
        <v>2</v>
      </c>
      <c r="K76" s="348"/>
      <c r="L76" s="348"/>
      <c r="M76" s="343">
        <f>D76*E76*J76</f>
        <v>0.12</v>
      </c>
      <c r="N76" s="800"/>
    </row>
    <row r="77" spans="1:14" s="487" customFormat="1" ht="15.75" customHeight="1">
      <c r="A77" s="411"/>
      <c r="B77" s="409"/>
      <c r="C77" s="348"/>
      <c r="D77" s="348"/>
      <c r="E77" s="348"/>
      <c r="F77" s="348"/>
      <c r="G77" s="348"/>
      <c r="H77" s="348"/>
      <c r="I77" s="348"/>
      <c r="J77" s="348"/>
      <c r="K77" s="348"/>
      <c r="L77" s="348"/>
      <c r="M77" s="566">
        <f>SUM(M73:M76)</f>
        <v>1.08</v>
      </c>
      <c r="N77" s="800" t="s">
        <v>89</v>
      </c>
    </row>
    <row r="78" spans="1:14" s="487" customFormat="1" ht="15.75" customHeight="1">
      <c r="A78" s="411" t="s">
        <v>476</v>
      </c>
      <c r="B78" s="409" t="s">
        <v>194</v>
      </c>
      <c r="C78" s="348"/>
      <c r="D78" s="348"/>
      <c r="E78" s="348"/>
      <c r="F78" s="348"/>
      <c r="G78" s="348"/>
      <c r="H78" s="348"/>
      <c r="I78" s="348"/>
      <c r="J78" s="348"/>
      <c r="K78" s="348"/>
      <c r="L78" s="348"/>
      <c r="M78" s="566"/>
      <c r="N78" s="800"/>
    </row>
    <row r="79" spans="1:14" s="487" customFormat="1" ht="15.75" customHeight="1">
      <c r="A79" s="760"/>
      <c r="B79" s="589" t="s">
        <v>1198</v>
      </c>
      <c r="C79" s="348"/>
      <c r="D79" s="348"/>
      <c r="E79" s="348"/>
      <c r="F79" s="348"/>
      <c r="G79" s="348"/>
      <c r="H79" s="348"/>
      <c r="I79" s="348"/>
      <c r="J79" s="348"/>
      <c r="K79" s="348"/>
      <c r="L79" s="348"/>
      <c r="M79" s="343">
        <f>M77</f>
        <v>1.08</v>
      </c>
      <c r="N79" s="800"/>
    </row>
    <row r="80" spans="1:14" s="487" customFormat="1" ht="15.75" customHeight="1">
      <c r="A80" s="760"/>
      <c r="B80" s="395" t="s">
        <v>1199</v>
      </c>
      <c r="C80" s="348"/>
      <c r="D80" s="348"/>
      <c r="E80" s="348"/>
      <c r="F80" s="348"/>
      <c r="G80" s="348"/>
      <c r="H80" s="348"/>
      <c r="I80" s="348"/>
      <c r="J80" s="348"/>
      <c r="K80" s="348"/>
      <c r="L80" s="348"/>
      <c r="M80" s="343"/>
      <c r="N80" s="800"/>
    </row>
    <row r="81" spans="1:14" s="487" customFormat="1" ht="15.75" customHeight="1">
      <c r="A81" s="760"/>
      <c r="B81" s="809" t="str">
        <f t="shared" ref="B81:D82" si="2">B69</f>
        <v>trap 1</v>
      </c>
      <c r="C81" s="348">
        <f t="shared" si="2"/>
        <v>3</v>
      </c>
      <c r="D81" s="348">
        <f t="shared" si="2"/>
        <v>0.3</v>
      </c>
      <c r="E81" s="348"/>
      <c r="F81" s="348"/>
      <c r="G81" s="348"/>
      <c r="H81" s="348"/>
      <c r="I81" s="348"/>
      <c r="J81" s="348">
        <f>J69</f>
        <v>1</v>
      </c>
      <c r="K81" s="348"/>
      <c r="L81" s="348"/>
      <c r="M81" s="343">
        <f>C81*D81*J81</f>
        <v>0.89999999999999991</v>
      </c>
      <c r="N81" s="800"/>
    </row>
    <row r="82" spans="1:14" s="487" customFormat="1" ht="15.75" customHeight="1">
      <c r="A82" s="760"/>
      <c r="B82" s="809" t="str">
        <f t="shared" si="2"/>
        <v>trap 2</v>
      </c>
      <c r="C82" s="348">
        <f t="shared" si="2"/>
        <v>3</v>
      </c>
      <c r="D82" s="348">
        <f t="shared" si="2"/>
        <v>0.3</v>
      </c>
      <c r="E82" s="348"/>
      <c r="F82" s="348"/>
      <c r="G82" s="348"/>
      <c r="H82" s="348"/>
      <c r="I82" s="348"/>
      <c r="J82" s="348">
        <f>J70</f>
        <v>1</v>
      </c>
      <c r="K82" s="348"/>
      <c r="L82" s="348"/>
      <c r="M82" s="343">
        <f>C82*D82*J82</f>
        <v>0.89999999999999991</v>
      </c>
      <c r="N82" s="800"/>
    </row>
    <row r="83" spans="1:14" s="487" customFormat="1" ht="15.75" customHeight="1">
      <c r="A83" s="760"/>
      <c r="B83" s="351"/>
      <c r="C83" s="348"/>
      <c r="D83" s="348"/>
      <c r="E83" s="348"/>
      <c r="F83" s="348"/>
      <c r="G83" s="348"/>
      <c r="H83" s="348"/>
      <c r="I83" s="348"/>
      <c r="J83" s="348"/>
      <c r="K83" s="348"/>
      <c r="L83" s="348"/>
      <c r="M83" s="566">
        <f>SUM(M79:M82)</f>
        <v>2.88</v>
      </c>
      <c r="N83" s="800" t="s">
        <v>89</v>
      </c>
    </row>
    <row r="84" spans="1:14" s="487" customFormat="1" ht="15.75" customHeight="1">
      <c r="A84" s="400">
        <f>A51+1</f>
        <v>6</v>
      </c>
      <c r="B84" s="359" t="s">
        <v>524</v>
      </c>
      <c r="C84" s="348"/>
      <c r="D84" s="348"/>
      <c r="E84" s="348"/>
      <c r="F84" s="348"/>
      <c r="G84" s="348"/>
      <c r="H84" s="348"/>
      <c r="I84" s="348"/>
      <c r="J84" s="348"/>
      <c r="K84" s="348"/>
      <c r="L84" s="348"/>
      <c r="M84" s="348"/>
      <c r="N84" s="797"/>
    </row>
    <row r="85" spans="1:14" s="487" customFormat="1" ht="15.75" customHeight="1">
      <c r="A85" s="419" t="s">
        <v>95</v>
      </c>
      <c r="B85" s="351" t="s">
        <v>1133</v>
      </c>
      <c r="C85" s="348"/>
      <c r="D85" s="348"/>
      <c r="E85" s="348"/>
      <c r="F85" s="348"/>
      <c r="G85" s="348"/>
      <c r="H85" s="348"/>
      <c r="I85" s="348"/>
      <c r="J85" s="348"/>
      <c r="K85" s="348"/>
      <c r="L85" s="348"/>
      <c r="M85" s="348"/>
      <c r="N85" s="797"/>
    </row>
    <row r="86" spans="1:14" s="487" customFormat="1" ht="15.75" customHeight="1">
      <c r="A86" s="419"/>
      <c r="B86" s="589" t="s">
        <v>1044</v>
      </c>
      <c r="C86" s="348">
        <f>C42</f>
        <v>3</v>
      </c>
      <c r="D86" s="348"/>
      <c r="E86" s="348">
        <v>0.3</v>
      </c>
      <c r="F86" s="348"/>
      <c r="G86" s="348"/>
      <c r="H86" s="348"/>
      <c r="I86" s="348"/>
      <c r="J86" s="348">
        <v>2</v>
      </c>
      <c r="K86" s="348"/>
      <c r="L86" s="348">
        <v>3</v>
      </c>
      <c r="M86" s="348">
        <f>C86*E86*J86*L86</f>
        <v>5.3999999999999995</v>
      </c>
      <c r="N86" s="797"/>
    </row>
    <row r="87" spans="1:14" s="487" customFormat="1" ht="15.75" customHeight="1">
      <c r="A87" s="419"/>
      <c r="B87" s="589" t="s">
        <v>136</v>
      </c>
      <c r="C87" s="348">
        <f>C43</f>
        <v>6</v>
      </c>
      <c r="D87" s="348"/>
      <c r="E87" s="348">
        <f>E86</f>
        <v>0.3</v>
      </c>
      <c r="F87" s="348"/>
      <c r="G87" s="348"/>
      <c r="H87" s="348"/>
      <c r="I87" s="348"/>
      <c r="J87" s="348">
        <f>J86</f>
        <v>2</v>
      </c>
      <c r="K87" s="348"/>
      <c r="L87" s="348">
        <v>2</v>
      </c>
      <c r="M87" s="565">
        <f>C87*E87*J87*L87</f>
        <v>7.1999999999999993</v>
      </c>
      <c r="N87" s="797"/>
    </row>
    <row r="88" spans="1:14" s="487" customFormat="1" ht="12" customHeight="1">
      <c r="A88" s="419"/>
      <c r="B88" s="351"/>
      <c r="C88" s="348"/>
      <c r="D88" s="348"/>
      <c r="E88" s="348"/>
      <c r="F88" s="348"/>
      <c r="G88" s="348"/>
      <c r="H88" s="348"/>
      <c r="I88" s="348"/>
      <c r="J88" s="348"/>
      <c r="K88" s="348"/>
      <c r="L88" s="348"/>
      <c r="M88" s="566">
        <f>SUM(M86:M87)</f>
        <v>12.599999999999998</v>
      </c>
      <c r="N88" s="800" t="s">
        <v>89</v>
      </c>
    </row>
    <row r="89" spans="1:14" s="487" customFormat="1" ht="15.75" customHeight="1">
      <c r="A89" s="419" t="s">
        <v>98</v>
      </c>
      <c r="B89" s="351" t="s">
        <v>410</v>
      </c>
      <c r="C89" s="348"/>
      <c r="D89" s="348"/>
      <c r="E89" s="348"/>
      <c r="F89" s="348"/>
      <c r="G89" s="348"/>
      <c r="H89" s="348"/>
      <c r="I89" s="348"/>
      <c r="J89" s="348"/>
      <c r="K89" s="348"/>
      <c r="L89" s="348"/>
      <c r="M89" s="348"/>
      <c r="N89" s="797"/>
    </row>
    <row r="90" spans="1:14" s="487" customFormat="1" ht="15.75" customHeight="1">
      <c r="A90" s="419"/>
      <c r="B90" s="589" t="str">
        <f>B86</f>
        <v>Horisontal</v>
      </c>
      <c r="C90" s="348">
        <f>C86</f>
        <v>3</v>
      </c>
      <c r="D90" s="348"/>
      <c r="E90" s="348"/>
      <c r="F90" s="348"/>
      <c r="G90" s="348"/>
      <c r="H90" s="348"/>
      <c r="I90" s="348">
        <f>10*10*0.006165</f>
        <v>0.61650000000000005</v>
      </c>
      <c r="J90" s="348"/>
      <c r="K90" s="348">
        <v>5</v>
      </c>
      <c r="L90" s="348">
        <f>L86</f>
        <v>3</v>
      </c>
      <c r="M90" s="348">
        <f>C90*I90*K90*L90</f>
        <v>27.7425</v>
      </c>
      <c r="N90" s="797"/>
    </row>
    <row r="91" spans="1:14" s="487" customFormat="1" ht="15.75" customHeight="1">
      <c r="A91" s="419"/>
      <c r="B91" s="589" t="str">
        <f>B87</f>
        <v>Vertikal</v>
      </c>
      <c r="C91" s="348">
        <f>C87</f>
        <v>6</v>
      </c>
      <c r="D91" s="348"/>
      <c r="E91" s="348"/>
      <c r="F91" s="348"/>
      <c r="G91" s="348"/>
      <c r="H91" s="348"/>
      <c r="I91" s="348">
        <f>I90</f>
        <v>0.61650000000000005</v>
      </c>
      <c r="J91" s="348"/>
      <c r="K91" s="348">
        <f>K90</f>
        <v>5</v>
      </c>
      <c r="L91" s="348">
        <f>L87</f>
        <v>2</v>
      </c>
      <c r="M91" s="565">
        <f>C91*I91*K91*L91</f>
        <v>36.99</v>
      </c>
      <c r="N91" s="797"/>
    </row>
    <row r="92" spans="1:14" s="487" customFormat="1" ht="15.75" customHeight="1">
      <c r="A92" s="419"/>
      <c r="B92" s="351"/>
      <c r="C92" s="348"/>
      <c r="D92" s="348"/>
      <c r="E92" s="348"/>
      <c r="F92" s="348"/>
      <c r="G92" s="348"/>
      <c r="H92" s="348"/>
      <c r="I92" s="348"/>
      <c r="J92" s="348"/>
      <c r="K92" s="348"/>
      <c r="L92" s="348"/>
      <c r="M92" s="566">
        <f>SUM(M90:M91)</f>
        <v>64.732500000000002</v>
      </c>
      <c r="N92" s="800" t="s">
        <v>100</v>
      </c>
    </row>
    <row r="93" spans="1:14" s="487" customFormat="1" ht="15.75" customHeight="1">
      <c r="A93" s="419" t="s">
        <v>101</v>
      </c>
      <c r="B93" s="351" t="s">
        <v>529</v>
      </c>
      <c r="C93" s="348"/>
      <c r="D93" s="348"/>
      <c r="E93" s="348"/>
      <c r="F93" s="348"/>
      <c r="G93" s="348"/>
      <c r="H93" s="348"/>
      <c r="I93" s="348"/>
      <c r="J93" s="348"/>
      <c r="K93" s="348"/>
      <c r="L93" s="348"/>
      <c r="M93" s="348"/>
      <c r="N93" s="797"/>
    </row>
    <row r="94" spans="1:14" s="487" customFormat="1" ht="15.75" customHeight="1">
      <c r="A94" s="419"/>
      <c r="B94" s="589" t="str">
        <f>B90</f>
        <v>Horisontal</v>
      </c>
      <c r="C94" s="348">
        <f>(0.07+0.22)*2</f>
        <v>0.58000000000000007</v>
      </c>
      <c r="D94" s="348"/>
      <c r="E94" s="348"/>
      <c r="F94" s="348">
        <f>0.05*2</f>
        <v>0.1</v>
      </c>
      <c r="G94" s="348"/>
      <c r="H94" s="348"/>
      <c r="I94" s="348">
        <f>6*6*0.006165</f>
        <v>0.22194000000000003</v>
      </c>
      <c r="J94" s="348"/>
      <c r="K94" s="348">
        <f>ROUNDUP((C90/0.125),0.5)</f>
        <v>24</v>
      </c>
      <c r="L94" s="348">
        <f>L90</f>
        <v>3</v>
      </c>
      <c r="M94" s="348">
        <f>(C94+F94)*I94*K94*L94</f>
        <v>10.866182400000003</v>
      </c>
      <c r="N94" s="797"/>
    </row>
    <row r="95" spans="1:14" s="487" customFormat="1" ht="15.75" customHeight="1">
      <c r="A95" s="419"/>
      <c r="B95" s="589" t="str">
        <f>B91</f>
        <v>Vertikal</v>
      </c>
      <c r="C95" s="348">
        <f>C94</f>
        <v>0.58000000000000007</v>
      </c>
      <c r="D95" s="348"/>
      <c r="E95" s="348"/>
      <c r="F95" s="348">
        <f>F94</f>
        <v>0.1</v>
      </c>
      <c r="G95" s="348"/>
      <c r="H95" s="348"/>
      <c r="I95" s="348">
        <f>I94</f>
        <v>0.22194000000000003</v>
      </c>
      <c r="J95" s="348"/>
      <c r="K95" s="348">
        <f>ROUNDUP((C91/0.125),0.5)</f>
        <v>48</v>
      </c>
      <c r="L95" s="348">
        <f>L91</f>
        <v>2</v>
      </c>
      <c r="M95" s="565">
        <f>(C95+F95)*I95*K95*L95</f>
        <v>14.488243200000003</v>
      </c>
      <c r="N95" s="797"/>
    </row>
    <row r="96" spans="1:14" s="487" customFormat="1" ht="15.75" customHeight="1">
      <c r="A96" s="419"/>
      <c r="B96" s="351"/>
      <c r="C96" s="348"/>
      <c r="D96" s="348"/>
      <c r="E96" s="348"/>
      <c r="F96" s="348"/>
      <c r="G96" s="348"/>
      <c r="H96" s="348"/>
      <c r="I96" s="348"/>
      <c r="J96" s="348"/>
      <c r="K96" s="348"/>
      <c r="L96" s="348"/>
      <c r="M96" s="566">
        <f>SUM(M94:M95)</f>
        <v>25.354425600000006</v>
      </c>
      <c r="N96" s="800" t="s">
        <v>100</v>
      </c>
    </row>
    <row r="97" spans="1:14" s="487" customFormat="1" ht="15.75" customHeight="1">
      <c r="A97" s="419" t="s">
        <v>121</v>
      </c>
      <c r="B97" s="356" t="s">
        <v>429</v>
      </c>
      <c r="C97" s="348"/>
      <c r="D97" s="348"/>
      <c r="E97" s="348"/>
      <c r="F97" s="348"/>
      <c r="G97" s="348"/>
      <c r="H97" s="348"/>
      <c r="I97" s="348"/>
      <c r="J97" s="348"/>
      <c r="K97" s="348"/>
      <c r="L97" s="348"/>
      <c r="M97" s="348"/>
      <c r="N97" s="797"/>
    </row>
    <row r="98" spans="1:14" s="487" customFormat="1" ht="15.75" customHeight="1">
      <c r="A98" s="419"/>
      <c r="B98" s="589" t="str">
        <f>B94</f>
        <v>Horisontal</v>
      </c>
      <c r="C98" s="348">
        <f>C90</f>
        <v>3</v>
      </c>
      <c r="D98" s="348">
        <v>0.15</v>
      </c>
      <c r="E98" s="348">
        <v>0.3</v>
      </c>
      <c r="F98" s="348"/>
      <c r="G98" s="348"/>
      <c r="H98" s="348"/>
      <c r="I98" s="348"/>
      <c r="J98" s="348"/>
      <c r="K98" s="348"/>
      <c r="L98" s="348">
        <f>L94</f>
        <v>3</v>
      </c>
      <c r="M98" s="348">
        <f>C98*D98*E98*L98</f>
        <v>0.40499999999999992</v>
      </c>
      <c r="N98" s="797"/>
    </row>
    <row r="99" spans="1:14" s="487" customFormat="1" ht="15.75" customHeight="1">
      <c r="A99" s="419"/>
      <c r="B99" s="589" t="str">
        <f>B95</f>
        <v>Vertikal</v>
      </c>
      <c r="C99" s="348">
        <f>C91</f>
        <v>6</v>
      </c>
      <c r="D99" s="348">
        <f>D98</f>
        <v>0.15</v>
      </c>
      <c r="E99" s="348">
        <f>E98</f>
        <v>0.3</v>
      </c>
      <c r="F99" s="348"/>
      <c r="G99" s="348"/>
      <c r="H99" s="348"/>
      <c r="I99" s="348"/>
      <c r="J99" s="348"/>
      <c r="K99" s="348"/>
      <c r="L99" s="348">
        <f>L95</f>
        <v>2</v>
      </c>
      <c r="M99" s="565">
        <f>C99*D99*E99*L99</f>
        <v>0.53999999999999992</v>
      </c>
      <c r="N99" s="797"/>
    </row>
    <row r="100" spans="1:14" s="487" customFormat="1" ht="15.75" customHeight="1">
      <c r="A100" s="419"/>
      <c r="B100" s="351"/>
      <c r="C100" s="348"/>
      <c r="D100" s="348"/>
      <c r="E100" s="348"/>
      <c r="F100" s="348"/>
      <c r="G100" s="348"/>
      <c r="H100" s="348"/>
      <c r="I100" s="348"/>
      <c r="J100" s="348"/>
      <c r="K100" s="348"/>
      <c r="L100" s="348"/>
      <c r="M100" s="566">
        <f>SUM(M98:M99)</f>
        <v>0.94499999999999984</v>
      </c>
      <c r="N100" s="800" t="s">
        <v>103</v>
      </c>
    </row>
    <row r="101" spans="1:14" s="487" customFormat="1" ht="15.75" customHeight="1">
      <c r="A101" s="418">
        <f>A84+1</f>
        <v>7</v>
      </c>
      <c r="B101" s="409" t="s">
        <v>527</v>
      </c>
      <c r="C101" s="348"/>
      <c r="D101" s="348"/>
      <c r="E101" s="348"/>
      <c r="F101" s="348"/>
      <c r="G101" s="348"/>
      <c r="H101" s="348"/>
      <c r="I101" s="348"/>
      <c r="J101" s="348"/>
      <c r="K101" s="348"/>
      <c r="L101" s="348"/>
      <c r="M101" s="348"/>
      <c r="N101" s="797"/>
    </row>
    <row r="102" spans="1:14" s="487" customFormat="1" ht="15.75" customHeight="1">
      <c r="A102" s="419" t="s">
        <v>95</v>
      </c>
      <c r="B102" s="351" t="s">
        <v>1200</v>
      </c>
      <c r="C102" s="348"/>
      <c r="D102" s="348">
        <v>0.15</v>
      </c>
      <c r="E102" s="348">
        <v>0.7</v>
      </c>
      <c r="F102" s="348"/>
      <c r="G102" s="348"/>
      <c r="H102" s="348"/>
      <c r="I102" s="348"/>
      <c r="J102" s="348">
        <v>4</v>
      </c>
      <c r="K102" s="348"/>
      <c r="L102" s="348">
        <f>L17</f>
        <v>6</v>
      </c>
      <c r="M102" s="348">
        <f>D102*E102*J102*L102</f>
        <v>2.52</v>
      </c>
      <c r="N102" s="800" t="s">
        <v>89</v>
      </c>
    </row>
    <row r="103" spans="1:14" s="487" customFormat="1" ht="15.75" customHeight="1">
      <c r="A103" s="419" t="s">
        <v>98</v>
      </c>
      <c r="B103" s="351" t="s">
        <v>528</v>
      </c>
      <c r="C103" s="348"/>
      <c r="D103" s="348"/>
      <c r="E103" s="348">
        <f>E102</f>
        <v>0.7</v>
      </c>
      <c r="F103" s="348"/>
      <c r="G103" s="348">
        <v>0.25</v>
      </c>
      <c r="H103" s="348"/>
      <c r="I103" s="348">
        <f>10*10*0.006165</f>
        <v>0.61650000000000005</v>
      </c>
      <c r="J103" s="348"/>
      <c r="K103" s="348">
        <v>6</v>
      </c>
      <c r="L103" s="348">
        <f>L102</f>
        <v>6</v>
      </c>
      <c r="M103" s="348">
        <f>(E103+G103)*I103*K103*L103</f>
        <v>21.084299999999999</v>
      </c>
      <c r="N103" s="800" t="s">
        <v>100</v>
      </c>
    </row>
    <row r="104" spans="1:14" s="487" customFormat="1" ht="15.75" customHeight="1">
      <c r="A104" s="419" t="s">
        <v>101</v>
      </c>
      <c r="B104" s="351" t="s">
        <v>529</v>
      </c>
      <c r="C104" s="348">
        <f>0.07*4</f>
        <v>0.28000000000000003</v>
      </c>
      <c r="D104" s="348"/>
      <c r="E104" s="348"/>
      <c r="F104" s="348">
        <v>0.1</v>
      </c>
      <c r="G104" s="348"/>
      <c r="H104" s="348"/>
      <c r="I104" s="348">
        <f>6*6*0.006165</f>
        <v>0.22194000000000003</v>
      </c>
      <c r="J104" s="348"/>
      <c r="K104" s="348">
        <f>ROUNDDOWN((E103/0.125),0.1)</f>
        <v>5</v>
      </c>
      <c r="L104" s="348">
        <f>L103</f>
        <v>6</v>
      </c>
      <c r="M104" s="348">
        <f>(C104+F104)*I104*K104*L104</f>
        <v>2.5301160000000005</v>
      </c>
      <c r="N104" s="800" t="s">
        <v>100</v>
      </c>
    </row>
    <row r="105" spans="1:14" s="487" customFormat="1" ht="15.75" customHeight="1">
      <c r="A105" s="419" t="s">
        <v>121</v>
      </c>
      <c r="B105" s="356" t="s">
        <v>169</v>
      </c>
      <c r="C105" s="348">
        <v>0.15</v>
      </c>
      <c r="D105" s="348">
        <v>0.15</v>
      </c>
      <c r="E105" s="348">
        <f>E103</f>
        <v>0.7</v>
      </c>
      <c r="F105" s="348"/>
      <c r="G105" s="348"/>
      <c r="H105" s="348"/>
      <c r="I105" s="348"/>
      <c r="J105" s="348"/>
      <c r="K105" s="348"/>
      <c r="L105" s="348">
        <f>L104</f>
        <v>6</v>
      </c>
      <c r="M105" s="348">
        <f>C105*D105*E105</f>
        <v>1.575E-2</v>
      </c>
      <c r="N105" s="800" t="s">
        <v>103</v>
      </c>
    </row>
    <row r="106" spans="1:14" s="487" customFormat="1" ht="15.75" customHeight="1">
      <c r="A106" s="418">
        <f>A101+1</f>
        <v>8</v>
      </c>
      <c r="B106" s="409" t="s">
        <v>530</v>
      </c>
      <c r="C106" s="348"/>
      <c r="D106" s="348"/>
      <c r="E106" s="348"/>
      <c r="F106" s="348"/>
      <c r="G106" s="348"/>
      <c r="H106" s="348"/>
      <c r="I106" s="348"/>
      <c r="J106" s="348"/>
      <c r="K106" s="348"/>
      <c r="L106" s="348"/>
      <c r="M106" s="348"/>
      <c r="N106" s="797"/>
    </row>
    <row r="107" spans="1:14" s="487" customFormat="1" ht="15.75" customHeight="1">
      <c r="A107" s="419" t="s">
        <v>95</v>
      </c>
      <c r="B107" s="351" t="s">
        <v>1200</v>
      </c>
      <c r="C107" s="348"/>
      <c r="D107" s="348">
        <f>D102</f>
        <v>0.15</v>
      </c>
      <c r="E107" s="348">
        <v>3</v>
      </c>
      <c r="F107" s="348"/>
      <c r="G107" s="348"/>
      <c r="H107" s="348"/>
      <c r="I107" s="348"/>
      <c r="J107" s="348">
        <v>4</v>
      </c>
      <c r="K107" s="348"/>
      <c r="L107" s="348">
        <v>4</v>
      </c>
      <c r="M107" s="348">
        <f>D107*E107*J107*L107</f>
        <v>7.1999999999999993</v>
      </c>
      <c r="N107" s="800" t="s">
        <v>89</v>
      </c>
    </row>
    <row r="108" spans="1:14" s="487" customFormat="1" ht="15.75" customHeight="1">
      <c r="A108" s="419" t="s">
        <v>98</v>
      </c>
      <c r="B108" s="351" t="s">
        <v>528</v>
      </c>
      <c r="C108" s="348"/>
      <c r="D108" s="348"/>
      <c r="E108" s="348">
        <f>E107</f>
        <v>3</v>
      </c>
      <c r="F108" s="348"/>
      <c r="G108" s="348">
        <f>G103</f>
        <v>0.25</v>
      </c>
      <c r="H108" s="348"/>
      <c r="I108" s="348">
        <f>I103</f>
        <v>0.61650000000000005</v>
      </c>
      <c r="J108" s="348"/>
      <c r="K108" s="348">
        <v>6</v>
      </c>
      <c r="L108" s="348">
        <f>L107</f>
        <v>4</v>
      </c>
      <c r="M108" s="348">
        <f>(E108+G108)*I108*K108*L108</f>
        <v>48.087000000000003</v>
      </c>
      <c r="N108" s="800" t="s">
        <v>100</v>
      </c>
    </row>
    <row r="109" spans="1:14" s="487" customFormat="1" ht="15.75" customHeight="1">
      <c r="A109" s="419" t="s">
        <v>101</v>
      </c>
      <c r="B109" s="351" t="s">
        <v>529</v>
      </c>
      <c r="C109" s="348">
        <f>C104</f>
        <v>0.28000000000000003</v>
      </c>
      <c r="D109" s="348"/>
      <c r="E109" s="348"/>
      <c r="F109" s="348">
        <f>F104</f>
        <v>0.1</v>
      </c>
      <c r="G109" s="348"/>
      <c r="H109" s="348"/>
      <c r="I109" s="348">
        <f>I104</f>
        <v>0.22194000000000003</v>
      </c>
      <c r="J109" s="348"/>
      <c r="K109" s="348">
        <f>ROUNDUP((E108/0.125),0.5)</f>
        <v>24</v>
      </c>
      <c r="L109" s="348">
        <f>L108</f>
        <v>4</v>
      </c>
      <c r="M109" s="348">
        <f>(C109+F109)*I109*K109*L109</f>
        <v>8.0963712000000019</v>
      </c>
      <c r="N109" s="800" t="s">
        <v>100</v>
      </c>
    </row>
    <row r="110" spans="1:14" s="487" customFormat="1" ht="15.75" customHeight="1">
      <c r="A110" s="419" t="s">
        <v>121</v>
      </c>
      <c r="B110" s="356" t="s">
        <v>169</v>
      </c>
      <c r="C110" s="348">
        <f>C105</f>
        <v>0.15</v>
      </c>
      <c r="D110" s="348">
        <f>D105</f>
        <v>0.15</v>
      </c>
      <c r="E110" s="348">
        <f>E108</f>
        <v>3</v>
      </c>
      <c r="F110" s="348"/>
      <c r="G110" s="348"/>
      <c r="H110" s="348"/>
      <c r="I110" s="348"/>
      <c r="J110" s="348"/>
      <c r="K110" s="348"/>
      <c r="L110" s="348">
        <f>L109</f>
        <v>4</v>
      </c>
      <c r="M110" s="348">
        <f>C110*D110*E110</f>
        <v>6.7500000000000004E-2</v>
      </c>
      <c r="N110" s="800" t="s">
        <v>103</v>
      </c>
    </row>
    <row r="111" spans="1:14" s="487" customFormat="1" ht="15.75" customHeight="1">
      <c r="A111" s="418">
        <f>A106+1</f>
        <v>9</v>
      </c>
      <c r="B111" s="359" t="s">
        <v>552</v>
      </c>
      <c r="C111" s="348"/>
      <c r="D111" s="348"/>
      <c r="E111" s="348"/>
      <c r="F111" s="348"/>
      <c r="G111" s="348"/>
      <c r="H111" s="348"/>
      <c r="I111" s="348"/>
      <c r="J111" s="348"/>
      <c r="K111" s="348"/>
      <c r="L111" s="348"/>
      <c r="M111" s="348"/>
      <c r="N111" s="797"/>
    </row>
    <row r="112" spans="1:14" s="487" customFormat="1" ht="15.75" customHeight="1">
      <c r="A112" s="419" t="s">
        <v>95</v>
      </c>
      <c r="B112" s="351" t="s">
        <v>1200</v>
      </c>
      <c r="C112" s="348"/>
      <c r="D112" s="348">
        <v>0.15</v>
      </c>
      <c r="E112" s="348">
        <f>E107</f>
        <v>3</v>
      </c>
      <c r="F112" s="348"/>
      <c r="G112" s="348"/>
      <c r="H112" s="348"/>
      <c r="I112" s="348"/>
      <c r="J112" s="348">
        <f>J107</f>
        <v>4</v>
      </c>
      <c r="K112" s="348"/>
      <c r="L112" s="348">
        <v>2</v>
      </c>
      <c r="M112" s="348">
        <f>D112*E112*J112*L112</f>
        <v>3.5999999999999996</v>
      </c>
      <c r="N112" s="800" t="s">
        <v>89</v>
      </c>
    </row>
    <row r="113" spans="1:14" s="487" customFormat="1" ht="15.75" customHeight="1">
      <c r="A113" s="419" t="s">
        <v>98</v>
      </c>
      <c r="B113" s="351" t="s">
        <v>432</v>
      </c>
      <c r="C113" s="348"/>
      <c r="D113" s="348"/>
      <c r="E113" s="348">
        <f>E112</f>
        <v>3</v>
      </c>
      <c r="F113" s="348"/>
      <c r="G113" s="348"/>
      <c r="H113" s="348">
        <v>0.1</v>
      </c>
      <c r="I113" s="348">
        <f>I108</f>
        <v>0.61650000000000005</v>
      </c>
      <c r="J113" s="348"/>
      <c r="K113" s="348">
        <v>4</v>
      </c>
      <c r="L113" s="348">
        <f>L112</f>
        <v>2</v>
      </c>
      <c r="M113" s="348">
        <f>(E113+H113)*I113*K113*L113</f>
        <v>15.289200000000001</v>
      </c>
      <c r="N113" s="800" t="s">
        <v>100</v>
      </c>
    </row>
    <row r="114" spans="1:14" s="487" customFormat="1" ht="15.75" customHeight="1">
      <c r="A114" s="419" t="s">
        <v>101</v>
      </c>
      <c r="B114" s="351" t="s">
        <v>498</v>
      </c>
      <c r="C114" s="348">
        <f>C109</f>
        <v>0.28000000000000003</v>
      </c>
      <c r="D114" s="348"/>
      <c r="E114" s="348"/>
      <c r="F114" s="348">
        <f>F109</f>
        <v>0.1</v>
      </c>
      <c r="G114" s="348"/>
      <c r="H114" s="348"/>
      <c r="I114" s="348">
        <f>I109</f>
        <v>0.22194000000000003</v>
      </c>
      <c r="J114" s="348"/>
      <c r="K114" s="348">
        <f>ROUNDUP((E113/0.15),0.5)</f>
        <v>20</v>
      </c>
      <c r="L114" s="348">
        <f>L113</f>
        <v>2</v>
      </c>
      <c r="M114" s="348">
        <f>(C114+F114)*I114*K114*L114</f>
        <v>3.3734880000000005</v>
      </c>
      <c r="N114" s="800" t="s">
        <v>100</v>
      </c>
    </row>
    <row r="115" spans="1:14" s="487" customFormat="1" ht="15.75" customHeight="1">
      <c r="A115" s="419" t="s">
        <v>121</v>
      </c>
      <c r="B115" s="356" t="s">
        <v>169</v>
      </c>
      <c r="C115" s="348">
        <f>C110</f>
        <v>0.15</v>
      </c>
      <c r="D115" s="348">
        <f>D110</f>
        <v>0.15</v>
      </c>
      <c r="E115" s="348">
        <f>E113</f>
        <v>3</v>
      </c>
      <c r="F115" s="348"/>
      <c r="G115" s="348"/>
      <c r="H115" s="348"/>
      <c r="I115" s="348"/>
      <c r="J115" s="348"/>
      <c r="K115" s="348"/>
      <c r="L115" s="348">
        <f>L114</f>
        <v>2</v>
      </c>
      <c r="M115" s="348">
        <f>C115*D115*E115</f>
        <v>6.7500000000000004E-2</v>
      </c>
      <c r="N115" s="800" t="s">
        <v>103</v>
      </c>
    </row>
    <row r="116" spans="1:14" s="487" customFormat="1" ht="15.75" customHeight="1">
      <c r="A116" s="350">
        <f>A111+1</f>
        <v>10</v>
      </c>
      <c r="B116" s="351" t="s">
        <v>531</v>
      </c>
      <c r="C116" s="348"/>
      <c r="D116" s="348"/>
      <c r="E116" s="348"/>
      <c r="F116" s="348"/>
      <c r="G116" s="348"/>
      <c r="H116" s="348"/>
      <c r="I116" s="348"/>
      <c r="J116" s="348"/>
      <c r="K116" s="348"/>
      <c r="L116" s="348"/>
      <c r="M116" s="348"/>
      <c r="N116" s="797"/>
    </row>
    <row r="117" spans="1:14" s="487" customFormat="1" ht="15.75" customHeight="1">
      <c r="A117" s="355" t="s">
        <v>95</v>
      </c>
      <c r="B117" s="359" t="s">
        <v>1134</v>
      </c>
      <c r="C117" s="348"/>
      <c r="D117" s="348"/>
      <c r="E117" s="348"/>
      <c r="F117" s="348"/>
      <c r="G117" s="348"/>
      <c r="H117" s="348"/>
      <c r="I117" s="348"/>
      <c r="J117" s="348"/>
      <c r="K117" s="348"/>
      <c r="L117" s="348"/>
      <c r="M117" s="348"/>
      <c r="N117" s="797"/>
    </row>
    <row r="118" spans="1:14" s="487" customFormat="1" ht="15.75" customHeight="1">
      <c r="A118" s="355"/>
      <c r="B118" s="589" t="s">
        <v>1044</v>
      </c>
      <c r="C118" s="348">
        <v>3</v>
      </c>
      <c r="D118" s="348"/>
      <c r="E118" s="348">
        <v>0.3</v>
      </c>
      <c r="F118" s="348"/>
      <c r="G118" s="348"/>
      <c r="H118" s="348"/>
      <c r="I118" s="348"/>
      <c r="J118" s="348">
        <v>2</v>
      </c>
      <c r="K118" s="348"/>
      <c r="L118" s="348">
        <v>2</v>
      </c>
      <c r="M118" s="348">
        <f>C118*E118*J118*L118</f>
        <v>3.5999999999999996</v>
      </c>
      <c r="N118" s="797"/>
    </row>
    <row r="119" spans="1:14" s="487" customFormat="1" ht="15.75" customHeight="1">
      <c r="A119" s="355"/>
      <c r="B119" s="589"/>
      <c r="C119" s="348">
        <f>C118</f>
        <v>3</v>
      </c>
      <c r="D119" s="348">
        <v>0.15</v>
      </c>
      <c r="E119" s="348"/>
      <c r="F119" s="348"/>
      <c r="G119" s="348"/>
      <c r="H119" s="348"/>
      <c r="I119" s="348"/>
      <c r="J119" s="348">
        <v>1</v>
      </c>
      <c r="K119" s="348"/>
      <c r="L119" s="348">
        <f>L118</f>
        <v>2</v>
      </c>
      <c r="M119" s="364">
        <f>C119*D119*J119*L119</f>
        <v>0.89999999999999991</v>
      </c>
      <c r="N119" s="797"/>
    </row>
    <row r="120" spans="1:14" s="487" customFormat="1" ht="15.75" customHeight="1">
      <c r="A120" s="355"/>
      <c r="B120" s="589" t="s">
        <v>136</v>
      </c>
      <c r="C120" s="348">
        <v>4</v>
      </c>
      <c r="D120" s="348"/>
      <c r="E120" s="348">
        <f>E118</f>
        <v>0.3</v>
      </c>
      <c r="F120" s="348"/>
      <c r="G120" s="348"/>
      <c r="H120" s="348"/>
      <c r="I120" s="348"/>
      <c r="J120" s="348">
        <f>J118</f>
        <v>2</v>
      </c>
      <c r="K120" s="348"/>
      <c r="L120" s="348">
        <v>2</v>
      </c>
      <c r="M120" s="348">
        <f>C120*E120*J120*L120</f>
        <v>4.8</v>
      </c>
      <c r="N120" s="797"/>
    </row>
    <row r="121" spans="1:14" s="487" customFormat="1" ht="15.75" customHeight="1">
      <c r="A121" s="355"/>
      <c r="B121" s="589"/>
      <c r="C121" s="348">
        <f>C120</f>
        <v>4</v>
      </c>
      <c r="D121" s="348">
        <f>D119</f>
        <v>0.15</v>
      </c>
      <c r="E121" s="348"/>
      <c r="F121" s="348"/>
      <c r="G121" s="348"/>
      <c r="H121" s="348"/>
      <c r="I121" s="348"/>
      <c r="J121" s="348">
        <f>J119</f>
        <v>1</v>
      </c>
      <c r="K121" s="348"/>
      <c r="L121" s="348">
        <f>L120</f>
        <v>2</v>
      </c>
      <c r="M121" s="565">
        <f>C121*D121*J121*L121</f>
        <v>1.2</v>
      </c>
      <c r="N121" s="797"/>
    </row>
    <row r="122" spans="1:14" s="487" customFormat="1" ht="15.75" customHeight="1">
      <c r="A122" s="355"/>
      <c r="B122" s="359"/>
      <c r="C122" s="348"/>
      <c r="D122" s="348"/>
      <c r="E122" s="348"/>
      <c r="F122" s="348"/>
      <c r="G122" s="348"/>
      <c r="H122" s="348"/>
      <c r="I122" s="348"/>
      <c r="J122" s="348"/>
      <c r="K122" s="348"/>
      <c r="L122" s="348"/>
      <c r="M122" s="566">
        <f>SUM(M118:M121)</f>
        <v>10.5</v>
      </c>
      <c r="N122" s="800" t="s">
        <v>89</v>
      </c>
    </row>
    <row r="123" spans="1:14" s="487" customFormat="1" ht="15.75" customHeight="1">
      <c r="A123" s="355" t="s">
        <v>98</v>
      </c>
      <c r="B123" s="351" t="s">
        <v>410</v>
      </c>
      <c r="C123" s="348"/>
      <c r="D123" s="348"/>
      <c r="E123" s="348"/>
      <c r="F123" s="348"/>
      <c r="G123" s="348"/>
      <c r="H123" s="348"/>
      <c r="I123" s="348"/>
      <c r="J123" s="348"/>
      <c r="K123" s="348"/>
      <c r="L123" s="348"/>
      <c r="M123" s="348"/>
      <c r="N123" s="797"/>
    </row>
    <row r="124" spans="1:14" s="487" customFormat="1" ht="15.75" customHeight="1">
      <c r="A124" s="355"/>
      <c r="B124" s="567" t="str">
        <f>B118</f>
        <v>Horisontal</v>
      </c>
      <c r="C124" s="348">
        <f>C118</f>
        <v>3</v>
      </c>
      <c r="D124" s="348"/>
      <c r="E124" s="348"/>
      <c r="F124" s="348"/>
      <c r="G124" s="348"/>
      <c r="H124" s="348"/>
      <c r="I124" s="348">
        <f>10*10*0.006165</f>
        <v>0.61650000000000005</v>
      </c>
      <c r="J124" s="348"/>
      <c r="K124" s="348">
        <v>5</v>
      </c>
      <c r="L124" s="348">
        <f>L118</f>
        <v>2</v>
      </c>
      <c r="M124" s="348">
        <f>C124*I124*K124*L124</f>
        <v>18.495000000000001</v>
      </c>
      <c r="N124" s="797"/>
    </row>
    <row r="125" spans="1:14" s="487" customFormat="1" ht="15.75" customHeight="1">
      <c r="A125" s="355"/>
      <c r="B125" s="567" t="str">
        <f>B120</f>
        <v>Vertikal</v>
      </c>
      <c r="C125" s="348">
        <f>C120</f>
        <v>4</v>
      </c>
      <c r="D125" s="348"/>
      <c r="E125" s="348"/>
      <c r="F125" s="348"/>
      <c r="G125" s="348"/>
      <c r="H125" s="348"/>
      <c r="I125" s="348">
        <f>I124</f>
        <v>0.61650000000000005</v>
      </c>
      <c r="J125" s="348"/>
      <c r="K125" s="348">
        <f>K124</f>
        <v>5</v>
      </c>
      <c r="L125" s="348">
        <f>L120</f>
        <v>2</v>
      </c>
      <c r="M125" s="565">
        <f>C125*I125*K125*L125</f>
        <v>24.660000000000004</v>
      </c>
      <c r="N125" s="797"/>
    </row>
    <row r="126" spans="1:14" s="487" customFormat="1" ht="15.75" customHeight="1">
      <c r="A126" s="355"/>
      <c r="B126" s="359"/>
      <c r="C126" s="348"/>
      <c r="D126" s="348"/>
      <c r="E126" s="348"/>
      <c r="F126" s="348"/>
      <c r="G126" s="348"/>
      <c r="H126" s="348"/>
      <c r="I126" s="348"/>
      <c r="J126" s="348"/>
      <c r="K126" s="348"/>
      <c r="L126" s="348"/>
      <c r="M126" s="566">
        <f>SUM(M124:M125)</f>
        <v>43.155000000000001</v>
      </c>
      <c r="N126" s="800" t="s">
        <v>100</v>
      </c>
    </row>
    <row r="127" spans="1:14" s="487" customFormat="1" ht="15.75" customHeight="1">
      <c r="A127" s="355" t="s">
        <v>101</v>
      </c>
      <c r="B127" s="351" t="s">
        <v>529</v>
      </c>
      <c r="C127" s="348"/>
      <c r="D127" s="348"/>
      <c r="E127" s="348"/>
      <c r="F127" s="348"/>
      <c r="G127" s="348"/>
      <c r="H127" s="348"/>
      <c r="I127" s="348"/>
      <c r="J127" s="348"/>
      <c r="K127" s="348"/>
      <c r="L127" s="348"/>
      <c r="M127" s="348"/>
      <c r="N127" s="797"/>
    </row>
    <row r="128" spans="1:14" s="487" customFormat="1" ht="15.75" customHeight="1">
      <c r="A128" s="355"/>
      <c r="B128" s="567" t="str">
        <f>B124</f>
        <v>Horisontal</v>
      </c>
      <c r="C128" s="348">
        <f>(0.07+0.22)*2</f>
        <v>0.58000000000000007</v>
      </c>
      <c r="D128" s="348"/>
      <c r="E128" s="348"/>
      <c r="F128" s="348">
        <f>0.05*2</f>
        <v>0.1</v>
      </c>
      <c r="G128" s="348"/>
      <c r="H128" s="348"/>
      <c r="I128" s="348">
        <f>6*6*0.006165</f>
        <v>0.22194000000000003</v>
      </c>
      <c r="J128" s="348"/>
      <c r="K128" s="348">
        <f>ROUNDUP((C124/0.125),0.5)</f>
        <v>24</v>
      </c>
      <c r="L128" s="348">
        <f>L124</f>
        <v>2</v>
      </c>
      <c r="M128" s="348">
        <f>(C128+F128)*I128*K128*L128</f>
        <v>7.2441216000000015</v>
      </c>
      <c r="N128" s="797"/>
    </row>
    <row r="129" spans="1:23" s="487" customFormat="1" ht="15.75" customHeight="1">
      <c r="A129" s="355"/>
      <c r="B129" s="567" t="str">
        <f>B125</f>
        <v>Vertikal</v>
      </c>
      <c r="C129" s="348">
        <f>C128</f>
        <v>0.58000000000000007</v>
      </c>
      <c r="D129" s="348"/>
      <c r="E129" s="348"/>
      <c r="F129" s="348">
        <f>F128</f>
        <v>0.1</v>
      </c>
      <c r="G129" s="348"/>
      <c r="H129" s="348"/>
      <c r="I129" s="348">
        <f>I128</f>
        <v>0.22194000000000003</v>
      </c>
      <c r="J129" s="348"/>
      <c r="K129" s="348">
        <f>ROUNDUP((C125/0.125),0.5)</f>
        <v>32</v>
      </c>
      <c r="L129" s="348">
        <f>L125</f>
        <v>2</v>
      </c>
      <c r="M129" s="565">
        <f>(C129+F129)*I129*K129*L129</f>
        <v>9.658828800000002</v>
      </c>
      <c r="N129" s="797"/>
    </row>
    <row r="130" spans="1:23" s="487" customFormat="1" ht="15.75" customHeight="1">
      <c r="A130" s="355"/>
      <c r="B130" s="359"/>
      <c r="C130" s="348"/>
      <c r="D130" s="348"/>
      <c r="E130" s="348"/>
      <c r="F130" s="348"/>
      <c r="G130" s="348"/>
      <c r="H130" s="348"/>
      <c r="I130" s="348"/>
      <c r="J130" s="348"/>
      <c r="K130" s="348"/>
      <c r="L130" s="348"/>
      <c r="M130" s="566">
        <f>SUM(M128:M129)</f>
        <v>16.902950400000002</v>
      </c>
      <c r="N130" s="800" t="s">
        <v>100</v>
      </c>
    </row>
    <row r="131" spans="1:23" s="487" customFormat="1" ht="15.75" customHeight="1">
      <c r="A131" s="355" t="s">
        <v>121</v>
      </c>
      <c r="B131" s="356" t="s">
        <v>169</v>
      </c>
      <c r="C131" s="348"/>
      <c r="D131" s="348"/>
      <c r="E131" s="348"/>
      <c r="F131" s="348"/>
      <c r="G131" s="348"/>
      <c r="H131" s="348"/>
      <c r="I131" s="348"/>
      <c r="J131" s="348"/>
      <c r="K131" s="348"/>
      <c r="L131" s="348"/>
      <c r="M131" s="348"/>
      <c r="N131" s="797"/>
    </row>
    <row r="132" spans="1:23" s="487" customFormat="1" ht="15.75" customHeight="1">
      <c r="A132" s="355"/>
      <c r="B132" s="567" t="str">
        <f>B128</f>
        <v>Horisontal</v>
      </c>
      <c r="C132" s="348">
        <f>C124</f>
        <v>3</v>
      </c>
      <c r="D132" s="348">
        <v>0.2</v>
      </c>
      <c r="E132" s="348">
        <v>0.35</v>
      </c>
      <c r="F132" s="348"/>
      <c r="G132" s="348"/>
      <c r="H132" s="348"/>
      <c r="I132" s="348"/>
      <c r="J132" s="348"/>
      <c r="K132" s="348"/>
      <c r="L132" s="348">
        <f>L128</f>
        <v>2</v>
      </c>
      <c r="M132" s="348">
        <f>C132*D132*E132*L132</f>
        <v>0.42000000000000004</v>
      </c>
      <c r="N132" s="797"/>
    </row>
    <row r="133" spans="1:23" s="487" customFormat="1" ht="15.75" customHeight="1">
      <c r="A133" s="355"/>
      <c r="B133" s="567" t="str">
        <f>B129</f>
        <v>Vertikal</v>
      </c>
      <c r="C133" s="348">
        <f>C125</f>
        <v>4</v>
      </c>
      <c r="D133" s="348">
        <f>D132</f>
        <v>0.2</v>
      </c>
      <c r="E133" s="348">
        <f>E132</f>
        <v>0.35</v>
      </c>
      <c r="F133" s="348"/>
      <c r="G133" s="348"/>
      <c r="H133" s="348"/>
      <c r="I133" s="348"/>
      <c r="J133" s="348"/>
      <c r="K133" s="348"/>
      <c r="L133" s="348">
        <f>L129</f>
        <v>2</v>
      </c>
      <c r="M133" s="565">
        <f>C133*D133*E133*L133</f>
        <v>0.55999999999999994</v>
      </c>
      <c r="N133" s="797"/>
    </row>
    <row r="134" spans="1:23" s="487" customFormat="1" ht="15.75" customHeight="1">
      <c r="A134" s="355"/>
      <c r="B134" s="359"/>
      <c r="C134" s="348"/>
      <c r="D134" s="348"/>
      <c r="E134" s="348"/>
      <c r="F134" s="348"/>
      <c r="G134" s="348"/>
      <c r="H134" s="348"/>
      <c r="I134" s="348"/>
      <c r="J134" s="348"/>
      <c r="K134" s="348"/>
      <c r="L134" s="348"/>
      <c r="M134" s="566">
        <f>SUM(M132:M133)</f>
        <v>0.98</v>
      </c>
      <c r="N134" s="800" t="s">
        <v>103</v>
      </c>
    </row>
    <row r="135" spans="1:23" s="554" customFormat="1" ht="15.75" customHeight="1">
      <c r="A135" s="350">
        <f>A116+1</f>
        <v>11</v>
      </c>
      <c r="B135" s="359" t="s">
        <v>532</v>
      </c>
      <c r="C135" s="348"/>
      <c r="D135" s="348"/>
      <c r="E135" s="348"/>
      <c r="F135" s="348"/>
      <c r="G135" s="348"/>
      <c r="H135" s="348"/>
      <c r="I135" s="348"/>
      <c r="J135" s="348"/>
      <c r="K135" s="348"/>
      <c r="L135" s="348"/>
      <c r="M135" s="343"/>
      <c r="N135" s="797"/>
      <c r="O135" s="487"/>
      <c r="P135" s="398"/>
      <c r="Q135" s="564"/>
      <c r="R135" s="398"/>
      <c r="S135" s="398"/>
      <c r="T135" s="398"/>
      <c r="U135" s="555"/>
      <c r="V135" s="555"/>
      <c r="W135" s="555"/>
    </row>
    <row r="136" spans="1:23" s="554" customFormat="1" ht="15.75" customHeight="1">
      <c r="A136" s="355" t="s">
        <v>95</v>
      </c>
      <c r="B136" s="359" t="s">
        <v>423</v>
      </c>
      <c r="C136" s="348">
        <f>1/8*4</f>
        <v>0.5</v>
      </c>
      <c r="D136" s="348"/>
      <c r="E136" s="348">
        <v>0.15</v>
      </c>
      <c r="F136" s="348"/>
      <c r="G136" s="348">
        <v>3</v>
      </c>
      <c r="H136" s="348"/>
      <c r="I136" s="348"/>
      <c r="J136" s="348"/>
      <c r="K136" s="348"/>
      <c r="L136" s="348">
        <f>L107</f>
        <v>4</v>
      </c>
      <c r="M136" s="343">
        <f>C136*E136*G136*L136</f>
        <v>0.89999999999999991</v>
      </c>
      <c r="N136" s="797" t="s">
        <v>89</v>
      </c>
      <c r="O136" s="487"/>
      <c r="P136" s="398"/>
      <c r="Q136" s="564"/>
      <c r="R136" s="398"/>
      <c r="S136" s="398"/>
      <c r="T136" s="398"/>
      <c r="U136" s="555"/>
      <c r="V136" s="555"/>
      <c r="W136" s="555"/>
    </row>
    <row r="137" spans="1:23" s="554" customFormat="1" ht="15.75" customHeight="1">
      <c r="A137" s="355" t="s">
        <v>98</v>
      </c>
      <c r="B137" s="359" t="s">
        <v>741</v>
      </c>
      <c r="C137" s="348">
        <f>C136+(0.05*2)</f>
        <v>0.6</v>
      </c>
      <c r="D137" s="348"/>
      <c r="E137" s="348"/>
      <c r="F137" s="348">
        <v>5</v>
      </c>
      <c r="G137" s="348"/>
      <c r="H137" s="348">
        <f>0.02*2</f>
        <v>0.04</v>
      </c>
      <c r="I137" s="348">
        <f>0.05*2</f>
        <v>0.1</v>
      </c>
      <c r="J137" s="348"/>
      <c r="K137" s="348">
        <f>10*10*0.006165</f>
        <v>0.61650000000000005</v>
      </c>
      <c r="L137" s="348">
        <f>L136</f>
        <v>4</v>
      </c>
      <c r="M137" s="348">
        <f>(C137+H137+I137)*F137*K137*L137</f>
        <v>9.1242000000000019</v>
      </c>
      <c r="N137" s="797" t="s">
        <v>100</v>
      </c>
      <c r="O137" s="487"/>
      <c r="P137" s="398"/>
      <c r="Q137" s="564"/>
      <c r="R137" s="398"/>
      <c r="S137" s="398"/>
      <c r="T137" s="398"/>
      <c r="U137" s="555"/>
      <c r="V137" s="555"/>
      <c r="W137" s="555"/>
    </row>
    <row r="138" spans="1:23" s="554" customFormat="1" ht="15.75" customHeight="1">
      <c r="A138" s="355" t="s">
        <v>101</v>
      </c>
      <c r="B138" s="359" t="s">
        <v>525</v>
      </c>
      <c r="C138" s="348">
        <f>C109</f>
        <v>0.28000000000000003</v>
      </c>
      <c r="D138" s="348"/>
      <c r="E138" s="348"/>
      <c r="F138" s="348">
        <f>ROUNDDOWN((C137/0.125),0.1)</f>
        <v>4</v>
      </c>
      <c r="G138" s="348"/>
      <c r="H138" s="348">
        <f>0.05*2</f>
        <v>0.1</v>
      </c>
      <c r="I138" s="348"/>
      <c r="J138" s="348"/>
      <c r="K138" s="348">
        <f>6*6*0.006165</f>
        <v>0.22194000000000003</v>
      </c>
      <c r="L138" s="348">
        <f>L137</f>
        <v>4</v>
      </c>
      <c r="M138" s="348">
        <f>(C138+H138)*F138*K138*L138</f>
        <v>1.3493952000000002</v>
      </c>
      <c r="N138" s="797" t="s">
        <v>100</v>
      </c>
      <c r="O138" s="487"/>
      <c r="P138" s="398"/>
      <c r="Q138" s="564"/>
      <c r="R138" s="398"/>
      <c r="S138" s="398"/>
      <c r="T138" s="398"/>
      <c r="U138" s="555"/>
      <c r="V138" s="555"/>
      <c r="W138" s="555"/>
    </row>
    <row r="139" spans="1:23" s="554" customFormat="1" ht="15.75" customHeight="1">
      <c r="A139" s="355" t="s">
        <v>121</v>
      </c>
      <c r="B139" s="356" t="s">
        <v>169</v>
      </c>
      <c r="C139" s="348">
        <f>C136</f>
        <v>0.5</v>
      </c>
      <c r="D139" s="348">
        <v>0.15</v>
      </c>
      <c r="E139" s="348">
        <v>0.15</v>
      </c>
      <c r="F139" s="348"/>
      <c r="G139" s="348"/>
      <c r="H139" s="348"/>
      <c r="I139" s="348"/>
      <c r="J139" s="348"/>
      <c r="K139" s="348"/>
      <c r="L139" s="348">
        <f>L138</f>
        <v>4</v>
      </c>
      <c r="M139" s="343">
        <f>C139*D139*E139*L139</f>
        <v>4.4999999999999998E-2</v>
      </c>
      <c r="N139" s="797" t="s">
        <v>103</v>
      </c>
      <c r="O139" s="487"/>
      <c r="P139" s="398"/>
      <c r="Q139" s="564"/>
      <c r="R139" s="398"/>
      <c r="S139" s="398"/>
      <c r="T139" s="398"/>
      <c r="U139" s="555"/>
      <c r="V139" s="555"/>
      <c r="W139" s="555"/>
    </row>
    <row r="140" spans="1:23" s="487" customFormat="1" ht="15.75" customHeight="1">
      <c r="A140" s="350">
        <f>A135+1</f>
        <v>12</v>
      </c>
      <c r="B140" s="409" t="s">
        <v>534</v>
      </c>
      <c r="C140" s="348"/>
      <c r="D140" s="348"/>
      <c r="E140" s="348"/>
      <c r="F140" s="348"/>
      <c r="G140" s="348"/>
      <c r="H140" s="348"/>
      <c r="I140" s="348"/>
      <c r="J140" s="348"/>
      <c r="K140" s="348"/>
      <c r="L140" s="348"/>
      <c r="M140" s="348"/>
      <c r="N140" s="797"/>
    </row>
    <row r="141" spans="1:23" s="487" customFormat="1" ht="15.75" customHeight="1">
      <c r="A141" s="355" t="s">
        <v>95</v>
      </c>
      <c r="B141" s="359" t="s">
        <v>1134</v>
      </c>
      <c r="C141" s="348"/>
      <c r="D141" s="348"/>
      <c r="E141" s="348"/>
      <c r="F141" s="348"/>
      <c r="G141" s="348"/>
      <c r="H141" s="348"/>
      <c r="I141" s="348"/>
      <c r="J141" s="348"/>
      <c r="K141" s="348"/>
      <c r="L141" s="348"/>
      <c r="M141" s="348"/>
      <c r="N141" s="797"/>
    </row>
    <row r="142" spans="1:23" s="487" customFormat="1" ht="15.75" customHeight="1">
      <c r="A142" s="355"/>
      <c r="B142" s="589" t="s">
        <v>1201</v>
      </c>
      <c r="C142" s="348">
        <v>3</v>
      </c>
      <c r="D142" s="348"/>
      <c r="E142" s="348">
        <v>0.15</v>
      </c>
      <c r="F142" s="348"/>
      <c r="G142" s="348"/>
      <c r="H142" s="348"/>
      <c r="I142" s="348"/>
      <c r="J142" s="348">
        <v>3</v>
      </c>
      <c r="K142" s="348"/>
      <c r="L142" s="348">
        <v>1</v>
      </c>
      <c r="M142" s="348">
        <f>C142*E142*J142*L142</f>
        <v>1.3499999999999999</v>
      </c>
      <c r="N142" s="797"/>
    </row>
    <row r="143" spans="1:23" s="487" customFormat="1" ht="15.75" customHeight="1">
      <c r="A143" s="355"/>
      <c r="B143" s="589" t="s">
        <v>1202</v>
      </c>
      <c r="C143" s="348">
        <v>3</v>
      </c>
      <c r="D143" s="348"/>
      <c r="E143" s="348">
        <f>E142</f>
        <v>0.15</v>
      </c>
      <c r="F143" s="348"/>
      <c r="G143" s="348"/>
      <c r="H143" s="348"/>
      <c r="I143" s="348"/>
      <c r="J143" s="348">
        <f>J142</f>
        <v>3</v>
      </c>
      <c r="K143" s="348"/>
      <c r="L143" s="348">
        <v>2</v>
      </c>
      <c r="M143" s="348">
        <f>C143*E143*J143*L143</f>
        <v>2.6999999999999997</v>
      </c>
      <c r="N143" s="797"/>
    </row>
    <row r="144" spans="1:23" s="487" customFormat="1" ht="15.75" customHeight="1">
      <c r="A144" s="355"/>
      <c r="B144" s="589"/>
      <c r="C144" s="348">
        <v>1.925</v>
      </c>
      <c r="D144" s="348"/>
      <c r="E144" s="348">
        <f>E143</f>
        <v>0.15</v>
      </c>
      <c r="F144" s="348"/>
      <c r="G144" s="348"/>
      <c r="H144" s="348"/>
      <c r="I144" s="348"/>
      <c r="J144" s="348">
        <f>J143</f>
        <v>3</v>
      </c>
      <c r="K144" s="348"/>
      <c r="L144" s="348">
        <v>2</v>
      </c>
      <c r="M144" s="565">
        <f>C144*E144*J144*L144</f>
        <v>1.7324999999999999</v>
      </c>
      <c r="N144" s="797"/>
    </row>
    <row r="145" spans="1:14" s="487" customFormat="1" ht="15.75" customHeight="1">
      <c r="A145" s="355"/>
      <c r="B145" s="351"/>
      <c r="C145" s="348"/>
      <c r="D145" s="348"/>
      <c r="E145" s="348"/>
      <c r="F145" s="348"/>
      <c r="G145" s="348"/>
      <c r="H145" s="348"/>
      <c r="I145" s="348"/>
      <c r="J145" s="348"/>
      <c r="K145" s="348"/>
      <c r="L145" s="348"/>
      <c r="M145" s="566">
        <f>SUM(M142:M144)</f>
        <v>5.7824999999999998</v>
      </c>
      <c r="N145" s="800" t="s">
        <v>89</v>
      </c>
    </row>
    <row r="146" spans="1:14" s="487" customFormat="1" ht="15.75" customHeight="1">
      <c r="A146" s="355" t="s">
        <v>98</v>
      </c>
      <c r="B146" s="351" t="s">
        <v>432</v>
      </c>
      <c r="C146" s="348"/>
      <c r="D146" s="348"/>
      <c r="E146" s="348"/>
      <c r="F146" s="348"/>
      <c r="G146" s="348"/>
      <c r="H146" s="348"/>
      <c r="I146" s="348"/>
      <c r="J146" s="348"/>
      <c r="K146" s="348"/>
      <c r="L146" s="348"/>
      <c r="M146" s="348"/>
      <c r="N146" s="797"/>
    </row>
    <row r="147" spans="1:14" s="487" customFormat="1" ht="15.75" customHeight="1">
      <c r="A147" s="355"/>
      <c r="B147" s="811" t="str">
        <f>B142</f>
        <v>roolingdoor</v>
      </c>
      <c r="C147" s="348">
        <f>C142</f>
        <v>3</v>
      </c>
      <c r="D147" s="348"/>
      <c r="E147" s="348"/>
      <c r="F147" s="348"/>
      <c r="G147" s="348"/>
      <c r="H147" s="348"/>
      <c r="I147" s="348">
        <f>10*10*0.006165</f>
        <v>0.61650000000000005</v>
      </c>
      <c r="J147" s="348"/>
      <c r="K147" s="348">
        <v>4</v>
      </c>
      <c r="L147" s="348">
        <f>L142</f>
        <v>1</v>
      </c>
      <c r="M147" s="348">
        <f>C147*I147*K147*L147</f>
        <v>7.3980000000000006</v>
      </c>
      <c r="N147" s="797"/>
    </row>
    <row r="148" spans="1:14" s="487" customFormat="1" ht="15.75" customHeight="1">
      <c r="A148" s="355"/>
      <c r="B148" s="811" t="str">
        <f>B143</f>
        <v>Topi beton</v>
      </c>
      <c r="C148" s="348">
        <f>C143</f>
        <v>3</v>
      </c>
      <c r="D148" s="348"/>
      <c r="E148" s="348"/>
      <c r="F148" s="348"/>
      <c r="G148" s="348"/>
      <c r="H148" s="348"/>
      <c r="I148" s="348">
        <f>I147</f>
        <v>0.61650000000000005</v>
      </c>
      <c r="J148" s="348"/>
      <c r="K148" s="348">
        <f>K147</f>
        <v>4</v>
      </c>
      <c r="L148" s="348">
        <f>L143</f>
        <v>2</v>
      </c>
      <c r="M148" s="348">
        <f>C148*I148*K148*L148</f>
        <v>14.796000000000001</v>
      </c>
      <c r="N148" s="797"/>
    </row>
    <row r="149" spans="1:14" s="487" customFormat="1" ht="15.75" customHeight="1">
      <c r="A149" s="355"/>
      <c r="B149" s="811"/>
      <c r="C149" s="348">
        <f>C144</f>
        <v>1.925</v>
      </c>
      <c r="D149" s="348"/>
      <c r="E149" s="348"/>
      <c r="F149" s="348"/>
      <c r="G149" s="348"/>
      <c r="H149" s="348"/>
      <c r="I149" s="348">
        <f>I148</f>
        <v>0.61650000000000005</v>
      </c>
      <c r="J149" s="348"/>
      <c r="K149" s="348">
        <f>K148</f>
        <v>4</v>
      </c>
      <c r="L149" s="348">
        <f>L144</f>
        <v>2</v>
      </c>
      <c r="M149" s="565">
        <f>C149*I149*K149*L149</f>
        <v>9.4941000000000013</v>
      </c>
      <c r="N149" s="797"/>
    </row>
    <row r="150" spans="1:14" s="487" customFormat="1" ht="15.75" customHeight="1">
      <c r="A150" s="355"/>
      <c r="B150" s="363"/>
      <c r="C150" s="348"/>
      <c r="D150" s="348"/>
      <c r="E150" s="348"/>
      <c r="F150" s="348"/>
      <c r="G150" s="348"/>
      <c r="H150" s="348"/>
      <c r="I150" s="348"/>
      <c r="J150" s="348"/>
      <c r="K150" s="348"/>
      <c r="L150" s="348"/>
      <c r="M150" s="566">
        <f>SUM(M147:M149)</f>
        <v>31.688100000000006</v>
      </c>
      <c r="N150" s="800" t="s">
        <v>100</v>
      </c>
    </row>
    <row r="151" spans="1:14" s="487" customFormat="1" ht="15.75" customHeight="1">
      <c r="A151" s="355" t="s">
        <v>101</v>
      </c>
      <c r="B151" s="363" t="s">
        <v>623</v>
      </c>
      <c r="C151" s="348"/>
      <c r="D151" s="348"/>
      <c r="E151" s="348"/>
      <c r="F151" s="348"/>
      <c r="G151" s="348"/>
      <c r="H151" s="348"/>
      <c r="I151" s="348"/>
      <c r="J151" s="348"/>
      <c r="K151" s="348"/>
      <c r="L151" s="348"/>
      <c r="M151" s="348"/>
      <c r="N151" s="797"/>
    </row>
    <row r="152" spans="1:14" s="487" customFormat="1" ht="15.75" customHeight="1">
      <c r="A152" s="355"/>
      <c r="B152" s="811" t="str">
        <f>B147</f>
        <v>roolingdoor</v>
      </c>
      <c r="C152" s="348">
        <f>0.07*4</f>
        <v>0.28000000000000003</v>
      </c>
      <c r="D152" s="348"/>
      <c r="E152" s="348"/>
      <c r="F152" s="348">
        <f>0.05*2</f>
        <v>0.1</v>
      </c>
      <c r="G152" s="348"/>
      <c r="H152" s="348"/>
      <c r="I152" s="348">
        <f>6*6*0.006165</f>
        <v>0.22194000000000003</v>
      </c>
      <c r="J152" s="348"/>
      <c r="K152" s="348">
        <f>ROUNDUP((C147/0.15),0.5)</f>
        <v>20</v>
      </c>
      <c r="L152" s="348">
        <f>L147</f>
        <v>1</v>
      </c>
      <c r="M152" s="348">
        <f>(C152+F152)*I152*K152*L152</f>
        <v>1.6867440000000002</v>
      </c>
      <c r="N152" s="797"/>
    </row>
    <row r="153" spans="1:14" s="487" customFormat="1" ht="15.75" customHeight="1">
      <c r="A153" s="355"/>
      <c r="B153" s="811" t="str">
        <f>B148</f>
        <v>Topi beton</v>
      </c>
      <c r="C153" s="348">
        <f>C152</f>
        <v>0.28000000000000003</v>
      </c>
      <c r="D153" s="348"/>
      <c r="E153" s="348"/>
      <c r="F153" s="348">
        <f>F152</f>
        <v>0.1</v>
      </c>
      <c r="G153" s="348"/>
      <c r="H153" s="348"/>
      <c r="I153" s="348">
        <f>I152</f>
        <v>0.22194000000000003</v>
      </c>
      <c r="J153" s="348"/>
      <c r="K153" s="348">
        <f>ROUNDUP((C148/0.15),0.5)</f>
        <v>20</v>
      </c>
      <c r="L153" s="348">
        <f>L148</f>
        <v>2</v>
      </c>
      <c r="M153" s="348">
        <f>(C153+F153)*I153*K153*L153</f>
        <v>3.3734880000000005</v>
      </c>
      <c r="N153" s="797"/>
    </row>
    <row r="154" spans="1:14" s="487" customFormat="1" ht="15.75" customHeight="1">
      <c r="A154" s="355"/>
      <c r="B154" s="811"/>
      <c r="C154" s="348">
        <f>C153</f>
        <v>0.28000000000000003</v>
      </c>
      <c r="D154" s="348"/>
      <c r="E154" s="348"/>
      <c r="F154" s="348">
        <f>F153</f>
        <v>0.1</v>
      </c>
      <c r="G154" s="348"/>
      <c r="H154" s="348"/>
      <c r="I154" s="348">
        <f>I153</f>
        <v>0.22194000000000003</v>
      </c>
      <c r="J154" s="348"/>
      <c r="K154" s="348">
        <f>ROUNDUP((C149/0.15),0.5)</f>
        <v>13</v>
      </c>
      <c r="L154" s="348">
        <f>L149</f>
        <v>2</v>
      </c>
      <c r="M154" s="565">
        <f>(C154+F154)*I154*K154*L154</f>
        <v>2.1927672000000005</v>
      </c>
      <c r="N154" s="797"/>
    </row>
    <row r="155" spans="1:14" s="487" customFormat="1" ht="15.75" customHeight="1">
      <c r="A155" s="355"/>
      <c r="B155" s="363"/>
      <c r="C155" s="348"/>
      <c r="D155" s="348"/>
      <c r="E155" s="348"/>
      <c r="F155" s="348"/>
      <c r="G155" s="348"/>
      <c r="H155" s="348"/>
      <c r="I155" s="348"/>
      <c r="J155" s="348"/>
      <c r="K155" s="348"/>
      <c r="L155" s="348"/>
      <c r="M155" s="566">
        <f>SUM(M152:M154)</f>
        <v>7.2529992000000014</v>
      </c>
      <c r="N155" s="800" t="s">
        <v>100</v>
      </c>
    </row>
    <row r="156" spans="1:14" s="487" customFormat="1" ht="15.75" customHeight="1">
      <c r="A156" s="355" t="s">
        <v>121</v>
      </c>
      <c r="B156" s="356" t="s">
        <v>169</v>
      </c>
      <c r="C156" s="348"/>
      <c r="D156" s="348"/>
      <c r="E156" s="348"/>
      <c r="F156" s="348"/>
      <c r="G156" s="348"/>
      <c r="H156" s="348"/>
      <c r="I156" s="348"/>
      <c r="J156" s="348"/>
      <c r="K156" s="348"/>
      <c r="L156" s="348"/>
      <c r="M156" s="348"/>
      <c r="N156" s="797"/>
    </row>
    <row r="157" spans="1:14" s="487" customFormat="1" ht="15.75" customHeight="1">
      <c r="A157" s="355"/>
      <c r="B157" s="567" t="str">
        <f>B152</f>
        <v>roolingdoor</v>
      </c>
      <c r="C157" s="348">
        <f>C147</f>
        <v>3</v>
      </c>
      <c r="D157" s="348">
        <v>0.15</v>
      </c>
      <c r="E157" s="348">
        <v>0.15</v>
      </c>
      <c r="F157" s="348"/>
      <c r="G157" s="348"/>
      <c r="H157" s="348"/>
      <c r="I157" s="348"/>
      <c r="J157" s="348"/>
      <c r="K157" s="348"/>
      <c r="L157" s="348">
        <f>L152</f>
        <v>1</v>
      </c>
      <c r="M157" s="348">
        <f>C157*D157*E157*L157</f>
        <v>6.7499999999999991E-2</v>
      </c>
      <c r="N157" s="797"/>
    </row>
    <row r="158" spans="1:14" s="487" customFormat="1" ht="15.75" customHeight="1">
      <c r="A158" s="355"/>
      <c r="B158" s="567" t="str">
        <f>B153</f>
        <v>Topi beton</v>
      </c>
      <c r="C158" s="348">
        <f>C148</f>
        <v>3</v>
      </c>
      <c r="D158" s="348">
        <f>D157</f>
        <v>0.15</v>
      </c>
      <c r="E158" s="348">
        <f>E157</f>
        <v>0.15</v>
      </c>
      <c r="F158" s="348"/>
      <c r="G158" s="348"/>
      <c r="H158" s="348"/>
      <c r="I158" s="348"/>
      <c r="J158" s="348"/>
      <c r="K158" s="348"/>
      <c r="L158" s="348">
        <f>L153</f>
        <v>2</v>
      </c>
      <c r="M158" s="348">
        <f>C158*D158*E158*L158</f>
        <v>0.13499999999999998</v>
      </c>
      <c r="N158" s="797"/>
    </row>
    <row r="159" spans="1:14" s="487" customFormat="1" ht="15.75" customHeight="1">
      <c r="A159" s="355"/>
      <c r="B159" s="567"/>
      <c r="C159" s="348">
        <f>C149</f>
        <v>1.925</v>
      </c>
      <c r="D159" s="348">
        <f>D158</f>
        <v>0.15</v>
      </c>
      <c r="E159" s="348">
        <f>E158</f>
        <v>0.15</v>
      </c>
      <c r="F159" s="348"/>
      <c r="G159" s="348"/>
      <c r="H159" s="348"/>
      <c r="I159" s="348"/>
      <c r="J159" s="348"/>
      <c r="K159" s="348"/>
      <c r="L159" s="348">
        <f>L154</f>
        <v>2</v>
      </c>
      <c r="M159" s="565">
        <f>C159*D159*E159*L159</f>
        <v>8.6624999999999994E-2</v>
      </c>
      <c r="N159" s="797"/>
    </row>
    <row r="160" spans="1:14" s="487" customFormat="1" ht="15.75" customHeight="1">
      <c r="A160" s="355"/>
      <c r="B160" s="359"/>
      <c r="C160" s="348"/>
      <c r="D160" s="348"/>
      <c r="E160" s="348"/>
      <c r="F160" s="348"/>
      <c r="G160" s="348"/>
      <c r="H160" s="348"/>
      <c r="I160" s="348"/>
      <c r="J160" s="348"/>
      <c r="K160" s="348"/>
      <c r="L160" s="348"/>
      <c r="M160" s="566">
        <f>SUM(M157:M159)</f>
        <v>0.28912499999999997</v>
      </c>
      <c r="N160" s="800" t="s">
        <v>103</v>
      </c>
    </row>
    <row r="161" spans="1:24" s="554" customFormat="1" ht="15.75" hidden="1" customHeight="1">
      <c r="A161" s="350">
        <f>A140+1</f>
        <v>13</v>
      </c>
      <c r="B161" s="359" t="s">
        <v>424</v>
      </c>
      <c r="C161" s="348"/>
      <c r="D161" s="348"/>
      <c r="E161" s="348"/>
      <c r="F161" s="348"/>
      <c r="G161" s="348"/>
      <c r="H161" s="348"/>
      <c r="I161" s="348"/>
      <c r="J161" s="348"/>
      <c r="K161" s="348"/>
      <c r="L161" s="348"/>
      <c r="M161" s="348"/>
      <c r="N161" s="348"/>
      <c r="O161" s="784"/>
      <c r="P161" s="398"/>
      <c r="Q161" s="564"/>
      <c r="R161" s="398"/>
      <c r="S161" s="398"/>
      <c r="T161" s="398"/>
      <c r="U161" s="555"/>
      <c r="V161" s="555"/>
      <c r="W161" s="555"/>
    </row>
    <row r="162" spans="1:24" s="554" customFormat="1" ht="15.75" hidden="1" customHeight="1">
      <c r="A162" s="350"/>
      <c r="B162" s="359" t="s">
        <v>1010</v>
      </c>
      <c r="C162" s="348"/>
      <c r="D162" s="348"/>
      <c r="E162" s="348"/>
      <c r="F162" s="348"/>
      <c r="G162" s="348"/>
      <c r="H162" s="348"/>
      <c r="I162" s="348"/>
      <c r="J162" s="348"/>
      <c r="K162" s="348"/>
      <c r="L162" s="348"/>
      <c r="M162" s="348"/>
      <c r="N162" s="349"/>
      <c r="O162" s="784"/>
      <c r="Q162" s="398"/>
      <c r="R162" s="564"/>
      <c r="S162" s="398"/>
      <c r="T162" s="398"/>
      <c r="U162" s="398"/>
      <c r="V162" s="555"/>
      <c r="W162" s="555"/>
      <c r="X162" s="555"/>
    </row>
    <row r="163" spans="1:24" s="554" customFormat="1" ht="15.75" hidden="1" customHeight="1">
      <c r="A163" s="355" t="s">
        <v>95</v>
      </c>
      <c r="B163" s="359" t="s">
        <v>423</v>
      </c>
      <c r="C163" s="348"/>
      <c r="D163" s="348"/>
      <c r="E163" s="348"/>
      <c r="F163" s="348"/>
      <c r="G163" s="348"/>
      <c r="H163" s="348"/>
      <c r="I163" s="348"/>
      <c r="J163" s="348"/>
      <c r="K163" s="348"/>
      <c r="L163" s="348"/>
      <c r="M163" s="348"/>
      <c r="N163" s="349"/>
      <c r="O163" s="784"/>
      <c r="Q163" s="398"/>
      <c r="R163" s="564"/>
      <c r="S163" s="398"/>
      <c r="T163" s="398"/>
      <c r="U163" s="398"/>
      <c r="V163" s="555"/>
      <c r="W163" s="555"/>
      <c r="X163" s="555"/>
    </row>
    <row r="164" spans="1:24" s="554" customFormat="1" ht="15.75" hidden="1" customHeight="1">
      <c r="A164" s="355"/>
      <c r="B164" s="567" t="s">
        <v>1010</v>
      </c>
      <c r="C164" s="348">
        <f>C289</f>
        <v>3.6970000000000001</v>
      </c>
      <c r="D164" s="348"/>
      <c r="E164" s="348">
        <v>0.2</v>
      </c>
      <c r="F164" s="348"/>
      <c r="G164" s="348"/>
      <c r="H164" s="348">
        <v>2</v>
      </c>
      <c r="I164" s="348"/>
      <c r="J164" s="348"/>
      <c r="K164" s="348"/>
      <c r="L164" s="348">
        <v>2</v>
      </c>
      <c r="M164" s="348">
        <f>C164*E164*H164*L164</f>
        <v>2.9576000000000002</v>
      </c>
      <c r="N164" s="349"/>
      <c r="O164" s="784"/>
      <c r="Q164" s="398"/>
      <c r="R164" s="564"/>
      <c r="S164" s="398"/>
      <c r="T164" s="398"/>
      <c r="U164" s="398"/>
      <c r="V164" s="555"/>
      <c r="W164" s="555"/>
      <c r="X164" s="555"/>
    </row>
    <row r="165" spans="1:24" s="554" customFormat="1" ht="15.75" hidden="1" customHeight="1">
      <c r="A165" s="355"/>
      <c r="B165" s="359"/>
      <c r="C165" s="348">
        <f>C164</f>
        <v>3.6970000000000001</v>
      </c>
      <c r="D165" s="348">
        <v>0.15</v>
      </c>
      <c r="E165" s="348"/>
      <c r="F165" s="348"/>
      <c r="G165" s="348"/>
      <c r="H165" s="348">
        <v>1</v>
      </c>
      <c r="I165" s="348"/>
      <c r="J165" s="348"/>
      <c r="K165" s="348"/>
      <c r="L165" s="348">
        <f>L164</f>
        <v>2</v>
      </c>
      <c r="M165" s="348">
        <f>C165*D165*H165*L165</f>
        <v>1.1091</v>
      </c>
      <c r="N165" s="349"/>
      <c r="O165" s="784"/>
      <c r="Q165" s="398"/>
      <c r="R165" s="564"/>
      <c r="S165" s="398"/>
      <c r="T165" s="398"/>
      <c r="U165" s="398"/>
      <c r="V165" s="555"/>
      <c r="W165" s="555"/>
      <c r="X165" s="555"/>
    </row>
    <row r="166" spans="1:24" s="554" customFormat="1" ht="15.75" hidden="1" customHeight="1">
      <c r="A166" s="355"/>
      <c r="B166" s="567" t="s">
        <v>1011</v>
      </c>
      <c r="C166" s="348">
        <v>1.83</v>
      </c>
      <c r="D166" s="348"/>
      <c r="E166" s="348">
        <v>0.2</v>
      </c>
      <c r="F166" s="348"/>
      <c r="G166" s="348"/>
      <c r="H166" s="348">
        <v>2</v>
      </c>
      <c r="I166" s="348"/>
      <c r="J166" s="348"/>
      <c r="K166" s="348"/>
      <c r="L166" s="348">
        <f>L164</f>
        <v>2</v>
      </c>
      <c r="M166" s="348">
        <f>C166*E166*H166*L166</f>
        <v>1.4640000000000002</v>
      </c>
      <c r="N166" s="349"/>
      <c r="O166" s="784"/>
      <c r="Q166" s="398"/>
      <c r="R166" s="564"/>
      <c r="S166" s="398"/>
      <c r="T166" s="398"/>
      <c r="U166" s="398"/>
      <c r="V166" s="555"/>
      <c r="W166" s="555"/>
      <c r="X166" s="555"/>
    </row>
    <row r="167" spans="1:24" s="554" customFormat="1" ht="15.75" hidden="1" customHeight="1">
      <c r="A167" s="355"/>
      <c r="B167" s="359"/>
      <c r="C167" s="348">
        <f>C166</f>
        <v>1.83</v>
      </c>
      <c r="D167" s="348">
        <f>D165</f>
        <v>0.15</v>
      </c>
      <c r="E167" s="348"/>
      <c r="F167" s="348"/>
      <c r="G167" s="348"/>
      <c r="H167" s="348">
        <v>1</v>
      </c>
      <c r="I167" s="348"/>
      <c r="J167" s="348"/>
      <c r="K167" s="348"/>
      <c r="L167" s="348">
        <f>L166</f>
        <v>2</v>
      </c>
      <c r="M167" s="565">
        <f>C167*D167*H167*L167</f>
        <v>0.54900000000000004</v>
      </c>
      <c r="N167" s="349"/>
      <c r="O167" s="784"/>
      <c r="Q167" s="398"/>
      <c r="R167" s="564"/>
      <c r="S167" s="398"/>
      <c r="T167" s="398"/>
      <c r="U167" s="398"/>
      <c r="V167" s="555"/>
      <c r="W167" s="555"/>
      <c r="X167" s="555"/>
    </row>
    <row r="168" spans="1:24" s="554" customFormat="1" ht="15.75" hidden="1" customHeight="1">
      <c r="A168" s="355"/>
      <c r="B168" s="359"/>
      <c r="C168" s="348"/>
      <c r="D168" s="348"/>
      <c r="E168" s="348"/>
      <c r="F168" s="348"/>
      <c r="G168" s="348"/>
      <c r="H168" s="348"/>
      <c r="I168" s="348"/>
      <c r="J168" s="348"/>
      <c r="K168" s="348"/>
      <c r="L168" s="348"/>
      <c r="M168" s="343">
        <f>SUM(M164:M167)/2</f>
        <v>3.0398500000000004</v>
      </c>
      <c r="N168" s="349" t="s">
        <v>89</v>
      </c>
      <c r="O168" s="784">
        <f>ROUND((M168),2)</f>
        <v>3.04</v>
      </c>
      <c r="Q168" s="398"/>
      <c r="R168" s="564"/>
      <c r="S168" s="398"/>
      <c r="T168" s="398"/>
      <c r="U168" s="398"/>
      <c r="V168" s="555"/>
      <c r="W168" s="555"/>
      <c r="X168" s="555"/>
    </row>
    <row r="169" spans="1:24" s="554" customFormat="1" ht="15.75" hidden="1" customHeight="1">
      <c r="A169" s="355" t="s">
        <v>98</v>
      </c>
      <c r="B169" s="359" t="s">
        <v>741</v>
      </c>
      <c r="C169" s="348"/>
      <c r="D169" s="348"/>
      <c r="E169" s="348"/>
      <c r="F169" s="348"/>
      <c r="G169" s="348"/>
      <c r="H169" s="348"/>
      <c r="I169" s="348"/>
      <c r="J169" s="348"/>
      <c r="K169" s="348"/>
      <c r="L169" s="348"/>
      <c r="M169" s="348"/>
      <c r="N169" s="349"/>
      <c r="O169" s="784"/>
      <c r="Q169" s="398"/>
      <c r="R169" s="564"/>
      <c r="S169" s="398"/>
      <c r="T169" s="398"/>
      <c r="U169" s="398"/>
      <c r="V169" s="555"/>
      <c r="W169" s="555"/>
      <c r="X169" s="555"/>
    </row>
    <row r="170" spans="1:24" s="554" customFormat="1" ht="15.75" hidden="1" customHeight="1">
      <c r="A170" s="355"/>
      <c r="B170" s="567" t="s">
        <v>1010</v>
      </c>
      <c r="C170" s="348">
        <f>C164</f>
        <v>3.6970000000000001</v>
      </c>
      <c r="D170" s="348"/>
      <c r="E170" s="348"/>
      <c r="F170" s="348">
        <v>5</v>
      </c>
      <c r="G170" s="348"/>
      <c r="H170" s="348"/>
      <c r="I170" s="348">
        <v>0.1</v>
      </c>
      <c r="J170" s="348"/>
      <c r="K170" s="348">
        <f>0.006165*10*10</f>
        <v>0.61650000000000005</v>
      </c>
      <c r="L170" s="348">
        <f>L164</f>
        <v>2</v>
      </c>
      <c r="M170" s="348">
        <f>(C170+I170)*F170*K170*L170</f>
        <v>23.408505000000002</v>
      </c>
      <c r="N170" s="349"/>
      <c r="O170" s="784"/>
      <c r="Q170" s="398"/>
      <c r="R170" s="564"/>
      <c r="S170" s="398"/>
      <c r="T170" s="398"/>
      <c r="U170" s="398"/>
      <c r="V170" s="555"/>
      <c r="W170" s="555"/>
      <c r="X170" s="555"/>
    </row>
    <row r="171" spans="1:24" s="554" customFormat="1" ht="15.75" hidden="1" customHeight="1">
      <c r="A171" s="355"/>
      <c r="B171" s="567" t="s">
        <v>1011</v>
      </c>
      <c r="C171" s="348">
        <f>C167</f>
        <v>1.83</v>
      </c>
      <c r="D171" s="348"/>
      <c r="E171" s="348"/>
      <c r="F171" s="348">
        <v>5</v>
      </c>
      <c r="G171" s="348"/>
      <c r="H171" s="348"/>
      <c r="I171" s="348">
        <f>I170</f>
        <v>0.1</v>
      </c>
      <c r="J171" s="348"/>
      <c r="K171" s="348">
        <f>K170</f>
        <v>0.61650000000000005</v>
      </c>
      <c r="L171" s="348">
        <f>L170</f>
        <v>2</v>
      </c>
      <c r="M171" s="565">
        <f>(C171+I171)*F171*K171*L171</f>
        <v>11.898450000000002</v>
      </c>
      <c r="N171" s="349"/>
      <c r="O171" s="784"/>
      <c r="Q171" s="398"/>
      <c r="R171" s="564"/>
      <c r="S171" s="398"/>
      <c r="T171" s="398"/>
      <c r="U171" s="398"/>
      <c r="V171" s="555"/>
      <c r="W171" s="555"/>
      <c r="X171" s="555"/>
    </row>
    <row r="172" spans="1:24" s="554" customFormat="1" ht="15.75" hidden="1" customHeight="1">
      <c r="A172" s="355"/>
      <c r="B172" s="359"/>
      <c r="C172" s="348"/>
      <c r="D172" s="348"/>
      <c r="E172" s="348"/>
      <c r="F172" s="348"/>
      <c r="G172" s="348"/>
      <c r="H172" s="348"/>
      <c r="I172" s="348"/>
      <c r="J172" s="348"/>
      <c r="K172" s="348"/>
      <c r="L172" s="348"/>
      <c r="M172" s="343">
        <f>SUM(M170:M171)</f>
        <v>35.306955000000002</v>
      </c>
      <c r="N172" s="349" t="s">
        <v>100</v>
      </c>
      <c r="O172" s="784">
        <f>ROUND((M172),2)</f>
        <v>35.31</v>
      </c>
      <c r="Q172" s="398"/>
      <c r="R172" s="564"/>
      <c r="S172" s="398"/>
      <c r="T172" s="398"/>
      <c r="U172" s="398"/>
      <c r="V172" s="555"/>
      <c r="W172" s="555"/>
      <c r="X172" s="555"/>
    </row>
    <row r="173" spans="1:24" s="554" customFormat="1" ht="15.75" hidden="1" customHeight="1">
      <c r="A173" s="355" t="s">
        <v>101</v>
      </c>
      <c r="B173" s="359" t="s">
        <v>428</v>
      </c>
      <c r="C173" s="348"/>
      <c r="D173" s="348"/>
      <c r="E173" s="348"/>
      <c r="F173" s="348"/>
      <c r="G173" s="348"/>
      <c r="H173" s="348"/>
      <c r="I173" s="348"/>
      <c r="J173" s="348"/>
      <c r="K173" s="348"/>
      <c r="L173" s="348"/>
      <c r="M173" s="348"/>
      <c r="N173" s="349"/>
      <c r="O173" s="784"/>
      <c r="Q173" s="398"/>
      <c r="R173" s="564"/>
      <c r="S173" s="398"/>
      <c r="T173" s="398"/>
      <c r="U173" s="398"/>
      <c r="V173" s="555"/>
      <c r="W173" s="555"/>
      <c r="X173" s="555"/>
    </row>
    <row r="174" spans="1:24" s="554" customFormat="1" ht="15.75" hidden="1" customHeight="1">
      <c r="A174" s="355"/>
      <c r="B174" s="567" t="s">
        <v>1010</v>
      </c>
      <c r="C174" s="348">
        <f>(0.09+0.14)*2</f>
        <v>0.46</v>
      </c>
      <c r="D174" s="348"/>
      <c r="E174" s="348"/>
      <c r="F174" s="348">
        <f>ROUNDDOWN((C170/0.125),0.1)</f>
        <v>29</v>
      </c>
      <c r="G174" s="348"/>
      <c r="H174" s="348"/>
      <c r="I174" s="348">
        <v>0.1</v>
      </c>
      <c r="J174" s="348"/>
      <c r="K174" s="348">
        <f>I154</f>
        <v>0.22194000000000003</v>
      </c>
      <c r="L174" s="348">
        <f>L170</f>
        <v>2</v>
      </c>
      <c r="M174" s="348">
        <f>(C174+I174)*F174*K174*L174</f>
        <v>7.2086112000000018</v>
      </c>
      <c r="N174" s="349"/>
      <c r="O174" s="784"/>
      <c r="Q174" s="398"/>
      <c r="R174" s="564"/>
      <c r="S174" s="398"/>
      <c r="T174" s="398"/>
      <c r="U174" s="398"/>
      <c r="V174" s="555"/>
      <c r="W174" s="555"/>
      <c r="X174" s="555"/>
    </row>
    <row r="175" spans="1:24" s="554" customFormat="1" ht="15.75" hidden="1" customHeight="1">
      <c r="A175" s="355"/>
      <c r="B175" s="567" t="s">
        <v>1011</v>
      </c>
      <c r="C175" s="348">
        <f>(0.09+0.14)*2</f>
        <v>0.46</v>
      </c>
      <c r="D175" s="348"/>
      <c r="E175" s="348"/>
      <c r="F175" s="348">
        <f>ROUNDDOWN((C171/0.125),0.1)</f>
        <v>14</v>
      </c>
      <c r="G175" s="348"/>
      <c r="H175" s="348"/>
      <c r="I175" s="348">
        <v>0.1</v>
      </c>
      <c r="J175" s="348"/>
      <c r="K175" s="348">
        <f>K174</f>
        <v>0.22194000000000003</v>
      </c>
      <c r="L175" s="348">
        <f>L171</f>
        <v>2</v>
      </c>
      <c r="M175" s="348">
        <f>(C175+I175)*F175*K175*L175</f>
        <v>3.4800192000000005</v>
      </c>
      <c r="N175" s="349"/>
      <c r="O175" s="784"/>
      <c r="Q175" s="398"/>
      <c r="R175" s="564"/>
      <c r="S175" s="398"/>
      <c r="T175" s="398"/>
      <c r="U175" s="398"/>
      <c r="V175" s="555"/>
      <c r="W175" s="555"/>
      <c r="X175" s="555"/>
    </row>
    <row r="176" spans="1:24" s="554" customFormat="1" ht="15.75" hidden="1" customHeight="1">
      <c r="A176" s="355"/>
      <c r="B176" s="359"/>
      <c r="C176" s="348"/>
      <c r="D176" s="348"/>
      <c r="E176" s="348"/>
      <c r="F176" s="348"/>
      <c r="G176" s="348"/>
      <c r="H176" s="348"/>
      <c r="I176" s="348"/>
      <c r="J176" s="348"/>
      <c r="K176" s="348"/>
      <c r="L176" s="348"/>
      <c r="M176" s="343">
        <f>SUM(M174:M175)</f>
        <v>10.688630400000003</v>
      </c>
      <c r="N176" s="349" t="s">
        <v>100</v>
      </c>
      <c r="O176" s="784">
        <f>ROUND((M176),2)</f>
        <v>10.69</v>
      </c>
      <c r="Q176" s="398"/>
      <c r="R176" s="564"/>
      <c r="S176" s="398"/>
      <c r="T176" s="398"/>
      <c r="U176" s="398"/>
      <c r="V176" s="555"/>
      <c r="W176" s="555"/>
      <c r="X176" s="555"/>
    </row>
    <row r="177" spans="1:24" s="554" customFormat="1" ht="15.75" hidden="1" customHeight="1">
      <c r="A177" s="355" t="s">
        <v>121</v>
      </c>
      <c r="B177" s="359" t="s">
        <v>1043</v>
      </c>
      <c r="C177" s="348"/>
      <c r="D177" s="348"/>
      <c r="E177" s="348"/>
      <c r="F177" s="348"/>
      <c r="G177" s="348"/>
      <c r="H177" s="348"/>
      <c r="I177" s="348"/>
      <c r="J177" s="348"/>
      <c r="K177" s="348"/>
      <c r="L177" s="348"/>
      <c r="M177" s="348"/>
      <c r="N177" s="349"/>
      <c r="O177" s="784"/>
      <c r="Q177" s="398"/>
      <c r="R177" s="564"/>
      <c r="S177" s="398"/>
      <c r="T177" s="398"/>
      <c r="U177" s="398"/>
      <c r="V177" s="555"/>
      <c r="W177" s="555"/>
      <c r="X177" s="555"/>
    </row>
    <row r="178" spans="1:24" s="554" customFormat="1" ht="15.75" hidden="1" customHeight="1">
      <c r="A178" s="355"/>
      <c r="B178" s="567" t="s">
        <v>1010</v>
      </c>
      <c r="C178" s="348">
        <f>C170</f>
        <v>3.6970000000000001</v>
      </c>
      <c r="D178" s="348">
        <f>D165</f>
        <v>0.15</v>
      </c>
      <c r="E178" s="348">
        <f>E164</f>
        <v>0.2</v>
      </c>
      <c r="F178" s="348"/>
      <c r="G178" s="348"/>
      <c r="H178" s="348"/>
      <c r="I178" s="348"/>
      <c r="J178" s="348"/>
      <c r="K178" s="348"/>
      <c r="L178" s="348">
        <f>L174</f>
        <v>2</v>
      </c>
      <c r="M178" s="348">
        <f>C178*D178*E178*L178</f>
        <v>0.22182000000000002</v>
      </c>
      <c r="N178" s="349"/>
      <c r="O178" s="784"/>
      <c r="Q178" s="398"/>
      <c r="R178" s="564"/>
      <c r="S178" s="398"/>
      <c r="T178" s="398"/>
      <c r="U178" s="398"/>
      <c r="V178" s="555"/>
      <c r="W178" s="555"/>
      <c r="X178" s="555"/>
    </row>
    <row r="179" spans="1:24" s="554" customFormat="1" ht="15.75" hidden="1" customHeight="1">
      <c r="A179" s="355"/>
      <c r="B179" s="567" t="s">
        <v>1011</v>
      </c>
      <c r="C179" s="348">
        <f>C171</f>
        <v>1.83</v>
      </c>
      <c r="D179" s="348">
        <f>D178</f>
        <v>0.15</v>
      </c>
      <c r="E179" s="348">
        <f>E178</f>
        <v>0.2</v>
      </c>
      <c r="F179" s="348"/>
      <c r="G179" s="348"/>
      <c r="H179" s="348"/>
      <c r="I179" s="348"/>
      <c r="J179" s="348"/>
      <c r="K179" s="348"/>
      <c r="L179" s="348">
        <f>L175</f>
        <v>2</v>
      </c>
      <c r="M179" s="565">
        <f>C179*D179*E179*L179</f>
        <v>0.10980000000000001</v>
      </c>
      <c r="N179" s="349"/>
      <c r="O179" s="784"/>
      <c r="Q179" s="398"/>
      <c r="R179" s="564"/>
      <c r="S179" s="398"/>
      <c r="T179" s="398"/>
      <c r="U179" s="398"/>
      <c r="V179" s="555"/>
      <c r="W179" s="555"/>
      <c r="X179" s="555"/>
    </row>
    <row r="180" spans="1:24" s="554" customFormat="1" ht="15.75" hidden="1" customHeight="1">
      <c r="A180" s="355"/>
      <c r="B180" s="359"/>
      <c r="C180" s="348"/>
      <c r="D180" s="348"/>
      <c r="E180" s="348"/>
      <c r="F180" s="348"/>
      <c r="G180" s="348"/>
      <c r="H180" s="348"/>
      <c r="I180" s="348"/>
      <c r="J180" s="348"/>
      <c r="K180" s="348"/>
      <c r="L180" s="348"/>
      <c r="M180" s="343">
        <f>SUM(M178:M179)</f>
        <v>0.33162000000000003</v>
      </c>
      <c r="N180" s="349" t="s">
        <v>103</v>
      </c>
      <c r="O180" s="784">
        <f>ROUND((M180),2)</f>
        <v>0.33</v>
      </c>
      <c r="Q180" s="398"/>
      <c r="R180" s="564"/>
      <c r="S180" s="398"/>
      <c r="T180" s="398"/>
      <c r="U180" s="398"/>
      <c r="V180" s="555"/>
      <c r="W180" s="555"/>
      <c r="X180" s="555"/>
    </row>
    <row r="181" spans="1:24" s="554" customFormat="1" ht="15.75" hidden="1" customHeight="1">
      <c r="A181" s="350"/>
      <c r="B181" s="359" t="s">
        <v>1166</v>
      </c>
      <c r="C181" s="348"/>
      <c r="D181" s="348"/>
      <c r="E181" s="348"/>
      <c r="F181" s="348"/>
      <c r="G181" s="348"/>
      <c r="H181" s="348"/>
      <c r="I181" s="348"/>
      <c r="J181" s="348"/>
      <c r="K181" s="348"/>
      <c r="L181" s="348"/>
      <c r="M181" s="348"/>
      <c r="N181" s="349"/>
      <c r="O181" s="784"/>
      <c r="Q181" s="398"/>
      <c r="R181" s="564"/>
      <c r="S181" s="398"/>
      <c r="T181" s="398"/>
      <c r="U181" s="398"/>
      <c r="V181" s="555"/>
      <c r="W181" s="555"/>
      <c r="X181" s="555"/>
    </row>
    <row r="182" spans="1:24" s="554" customFormat="1" ht="15.75" hidden="1" customHeight="1">
      <c r="A182" s="355" t="s">
        <v>95</v>
      </c>
      <c r="B182" s="359" t="s">
        <v>423</v>
      </c>
      <c r="C182" s="348"/>
      <c r="D182" s="348"/>
      <c r="E182" s="348"/>
      <c r="F182" s="348"/>
      <c r="G182" s="348"/>
      <c r="H182" s="348"/>
      <c r="I182" s="348"/>
      <c r="J182" s="348"/>
      <c r="K182" s="348"/>
      <c r="L182" s="348"/>
      <c r="M182" s="348"/>
      <c r="N182" s="349"/>
      <c r="O182" s="784"/>
      <c r="Q182" s="398"/>
      <c r="R182" s="564"/>
      <c r="S182" s="398"/>
      <c r="T182" s="398"/>
      <c r="U182" s="398"/>
      <c r="V182" s="555"/>
      <c r="W182" s="555"/>
      <c r="X182" s="555"/>
    </row>
    <row r="183" spans="1:24" s="554" customFormat="1" ht="15.75" hidden="1" customHeight="1">
      <c r="A183" s="355"/>
      <c r="B183" s="567"/>
      <c r="C183" s="348">
        <v>1</v>
      </c>
      <c r="D183" s="348">
        <v>0.15</v>
      </c>
      <c r="E183" s="348">
        <v>0.2</v>
      </c>
      <c r="F183" s="348">
        <v>2</v>
      </c>
      <c r="G183" s="348"/>
      <c r="H183" s="348"/>
      <c r="I183" s="348"/>
      <c r="J183" s="348"/>
      <c r="K183" s="348"/>
      <c r="L183" s="348">
        <f>L179</f>
        <v>2</v>
      </c>
      <c r="M183" s="348">
        <f>C183*((E183+D183)*2)*F183*L183</f>
        <v>2.8</v>
      </c>
      <c r="N183" s="349"/>
      <c r="O183" s="784"/>
      <c r="Q183" s="398"/>
      <c r="R183" s="564"/>
      <c r="S183" s="398"/>
      <c r="T183" s="398"/>
      <c r="U183" s="398"/>
      <c r="V183" s="555"/>
      <c r="W183" s="555"/>
      <c r="X183" s="555"/>
    </row>
    <row r="184" spans="1:24" s="554" customFormat="1" ht="15.75" hidden="1" customHeight="1">
      <c r="A184" s="355"/>
      <c r="B184" s="359"/>
      <c r="C184" s="348"/>
      <c r="D184" s="348"/>
      <c r="E184" s="348"/>
      <c r="F184" s="348"/>
      <c r="G184" s="348"/>
      <c r="H184" s="348"/>
      <c r="I184" s="348"/>
      <c r="J184" s="348"/>
      <c r="K184" s="348"/>
      <c r="L184" s="348"/>
      <c r="M184" s="343">
        <f>SUM(M183:M183)/2</f>
        <v>1.4</v>
      </c>
      <c r="N184" s="349" t="s">
        <v>89</v>
      </c>
      <c r="O184" s="784">
        <f>ROUND((M184),2)</f>
        <v>1.4</v>
      </c>
      <c r="Q184" s="398"/>
      <c r="R184" s="564"/>
      <c r="S184" s="398"/>
      <c r="T184" s="398"/>
      <c r="U184" s="398"/>
      <c r="V184" s="555"/>
      <c r="W184" s="555"/>
      <c r="X184" s="555"/>
    </row>
    <row r="185" spans="1:24" s="554" customFormat="1" ht="15.75" hidden="1" customHeight="1">
      <c r="A185" s="355" t="s">
        <v>98</v>
      </c>
      <c r="B185" s="359" t="s">
        <v>928</v>
      </c>
      <c r="C185" s="348"/>
      <c r="D185" s="348"/>
      <c r="E185" s="348"/>
      <c r="F185" s="348"/>
      <c r="G185" s="348"/>
      <c r="H185" s="348"/>
      <c r="I185" s="348"/>
      <c r="J185" s="348"/>
      <c r="K185" s="348"/>
      <c r="L185" s="348"/>
      <c r="M185" s="348"/>
      <c r="N185" s="349"/>
      <c r="O185" s="784"/>
      <c r="Q185" s="398"/>
      <c r="R185" s="564"/>
      <c r="S185" s="398"/>
      <c r="T185" s="398"/>
      <c r="U185" s="398"/>
      <c r="V185" s="555"/>
      <c r="W185" s="555"/>
      <c r="X185" s="555"/>
    </row>
    <row r="186" spans="1:24" s="554" customFormat="1" ht="15.75" hidden="1" customHeight="1">
      <c r="A186" s="355"/>
      <c r="B186" s="567"/>
      <c r="C186" s="348">
        <f>C183</f>
        <v>1</v>
      </c>
      <c r="D186" s="348"/>
      <c r="E186" s="348"/>
      <c r="F186" s="348">
        <v>4</v>
      </c>
      <c r="G186" s="348">
        <v>2</v>
      </c>
      <c r="H186" s="348"/>
      <c r="I186" s="348">
        <v>0.1</v>
      </c>
      <c r="J186" s="348"/>
      <c r="K186" s="348">
        <f>0.006165*13*13</f>
        <v>1.0418850000000002</v>
      </c>
      <c r="L186" s="348">
        <f>L183</f>
        <v>2</v>
      </c>
      <c r="M186" s="565">
        <f>(C186+I186)*F186*K186*L186*G186</f>
        <v>18.337176000000003</v>
      </c>
      <c r="N186" s="349"/>
      <c r="O186" s="784"/>
      <c r="Q186" s="398"/>
      <c r="R186" s="564"/>
      <c r="S186" s="398"/>
      <c r="T186" s="398"/>
      <c r="U186" s="398"/>
      <c r="V186" s="555"/>
      <c r="W186" s="555"/>
      <c r="X186" s="555"/>
    </row>
    <row r="187" spans="1:24" s="554" customFormat="1" ht="15.75" hidden="1" customHeight="1">
      <c r="A187" s="355"/>
      <c r="B187" s="359"/>
      <c r="C187" s="348"/>
      <c r="D187" s="348"/>
      <c r="E187" s="348"/>
      <c r="F187" s="348"/>
      <c r="G187" s="348"/>
      <c r="H187" s="348"/>
      <c r="I187" s="348"/>
      <c r="J187" s="348"/>
      <c r="K187" s="348"/>
      <c r="L187" s="348"/>
      <c r="M187" s="343">
        <f>SUM(M186:M186)</f>
        <v>18.337176000000003</v>
      </c>
      <c r="N187" s="349" t="s">
        <v>100</v>
      </c>
      <c r="O187" s="784">
        <f>ROUND((M187),2)</f>
        <v>18.34</v>
      </c>
      <c r="Q187" s="398"/>
      <c r="R187" s="564"/>
      <c r="S187" s="398"/>
      <c r="T187" s="398"/>
      <c r="U187" s="398"/>
      <c r="V187" s="555"/>
      <c r="W187" s="555"/>
      <c r="X187" s="555"/>
    </row>
    <row r="188" spans="1:24" s="554" customFormat="1" ht="15.75" hidden="1" customHeight="1">
      <c r="A188" s="355" t="s">
        <v>101</v>
      </c>
      <c r="B188" s="359" t="s">
        <v>428</v>
      </c>
      <c r="C188" s="348"/>
      <c r="D188" s="348"/>
      <c r="E188" s="348"/>
      <c r="F188" s="348"/>
      <c r="G188" s="348"/>
      <c r="H188" s="348"/>
      <c r="I188" s="348"/>
      <c r="J188" s="348"/>
      <c r="K188" s="348"/>
      <c r="L188" s="348"/>
      <c r="M188" s="348"/>
      <c r="N188" s="349"/>
      <c r="O188" s="784"/>
      <c r="Q188" s="398"/>
      <c r="R188" s="564"/>
      <c r="S188" s="398"/>
      <c r="T188" s="398"/>
      <c r="U188" s="398"/>
      <c r="V188" s="555"/>
      <c r="W188" s="555"/>
      <c r="X188" s="555"/>
    </row>
    <row r="189" spans="1:24" s="554" customFormat="1" ht="15.75" hidden="1" customHeight="1">
      <c r="A189" s="355"/>
      <c r="B189" s="567"/>
      <c r="C189" s="348">
        <f>(0.09+0.14)*2</f>
        <v>0.46</v>
      </c>
      <c r="D189" s="348"/>
      <c r="E189" s="348"/>
      <c r="F189" s="348">
        <f>ROUNDDOWN((C186/0.125),0.1)</f>
        <v>8</v>
      </c>
      <c r="G189" s="348">
        <v>2</v>
      </c>
      <c r="H189" s="348"/>
      <c r="I189" s="348">
        <v>0.1</v>
      </c>
      <c r="J189" s="348"/>
      <c r="K189" s="348">
        <f>K174</f>
        <v>0.22194000000000003</v>
      </c>
      <c r="L189" s="348">
        <f>L186</f>
        <v>2</v>
      </c>
      <c r="M189" s="565">
        <f>(C189+I189)*F189*K189*L189*G189</f>
        <v>3.9771648000000011</v>
      </c>
      <c r="N189" s="349"/>
      <c r="O189" s="784"/>
      <c r="Q189" s="398"/>
      <c r="R189" s="564"/>
      <c r="S189" s="398"/>
      <c r="T189" s="398"/>
      <c r="U189" s="398"/>
      <c r="V189" s="555"/>
      <c r="W189" s="555"/>
      <c r="X189" s="555"/>
    </row>
    <row r="190" spans="1:24" s="554" customFormat="1" ht="15.75" hidden="1" customHeight="1">
      <c r="A190" s="355"/>
      <c r="B190" s="359"/>
      <c r="C190" s="348"/>
      <c r="D190" s="348"/>
      <c r="E190" s="348"/>
      <c r="F190" s="348"/>
      <c r="G190" s="348"/>
      <c r="H190" s="348"/>
      <c r="I190" s="348"/>
      <c r="J190" s="348"/>
      <c r="K190" s="348"/>
      <c r="L190" s="348"/>
      <c r="M190" s="343">
        <f>SUM(M189:M189)</f>
        <v>3.9771648000000011</v>
      </c>
      <c r="N190" s="349" t="s">
        <v>100</v>
      </c>
      <c r="O190" s="784">
        <f>ROUND((M190),2)</f>
        <v>3.98</v>
      </c>
      <c r="Q190" s="398"/>
      <c r="R190" s="564"/>
      <c r="S190" s="398"/>
      <c r="T190" s="398"/>
      <c r="U190" s="398"/>
      <c r="V190" s="555"/>
      <c r="W190" s="555"/>
      <c r="X190" s="555"/>
    </row>
    <row r="191" spans="1:24" s="554" customFormat="1" ht="15.75" hidden="1" customHeight="1">
      <c r="A191" s="355" t="s">
        <v>121</v>
      </c>
      <c r="B191" s="359" t="s">
        <v>1043</v>
      </c>
      <c r="C191" s="348"/>
      <c r="D191" s="348"/>
      <c r="E191" s="348"/>
      <c r="F191" s="348"/>
      <c r="G191" s="348"/>
      <c r="H191" s="348"/>
      <c r="I191" s="348"/>
      <c r="J191" s="348"/>
      <c r="K191" s="348"/>
      <c r="L191" s="348"/>
      <c r="M191" s="348"/>
      <c r="N191" s="349"/>
      <c r="O191" s="784"/>
      <c r="Q191" s="398"/>
      <c r="R191" s="564"/>
      <c r="S191" s="398"/>
      <c r="T191" s="398"/>
      <c r="U191" s="398"/>
      <c r="V191" s="555"/>
      <c r="W191" s="555"/>
      <c r="X191" s="555"/>
    </row>
    <row r="192" spans="1:24" s="554" customFormat="1" ht="15.75" hidden="1" customHeight="1">
      <c r="A192" s="355"/>
      <c r="B192" s="567"/>
      <c r="C192" s="348">
        <f>C186</f>
        <v>1</v>
      </c>
      <c r="D192" s="348">
        <f>D178</f>
        <v>0.15</v>
      </c>
      <c r="E192" s="348">
        <f>E183</f>
        <v>0.2</v>
      </c>
      <c r="F192" s="348">
        <v>2</v>
      </c>
      <c r="G192" s="348"/>
      <c r="H192" s="348"/>
      <c r="I192" s="348"/>
      <c r="J192" s="348"/>
      <c r="K192" s="348"/>
      <c r="L192" s="348">
        <f>L189*F192</f>
        <v>4</v>
      </c>
      <c r="M192" s="565">
        <f>C192*D192*E192*L192</f>
        <v>0.12</v>
      </c>
      <c r="N192" s="349"/>
      <c r="O192" s="784"/>
      <c r="Q192" s="398"/>
      <c r="R192" s="564"/>
      <c r="S192" s="398"/>
      <c r="T192" s="398"/>
      <c r="U192" s="398"/>
      <c r="V192" s="555"/>
      <c r="W192" s="555"/>
      <c r="X192" s="555"/>
    </row>
    <row r="193" spans="1:24" s="554" customFormat="1" ht="15.75" hidden="1" customHeight="1">
      <c r="A193" s="355"/>
      <c r="B193" s="359"/>
      <c r="C193" s="348"/>
      <c r="D193" s="348"/>
      <c r="E193" s="348"/>
      <c r="F193" s="348"/>
      <c r="G193" s="348"/>
      <c r="H193" s="348"/>
      <c r="I193" s="348"/>
      <c r="J193" s="348"/>
      <c r="K193" s="348"/>
      <c r="L193" s="348"/>
      <c r="M193" s="343">
        <f>SUM(M192:M192)</f>
        <v>0.12</v>
      </c>
      <c r="N193" s="349" t="s">
        <v>103</v>
      </c>
      <c r="O193" s="784">
        <f>ROUND((M193),2)</f>
        <v>0.12</v>
      </c>
      <c r="Q193" s="398"/>
      <c r="R193" s="564"/>
      <c r="S193" s="398"/>
      <c r="T193" s="398"/>
      <c r="U193" s="398"/>
      <c r="V193" s="555"/>
      <c r="W193" s="555"/>
      <c r="X193" s="555"/>
    </row>
    <row r="194" spans="1:24" s="487" customFormat="1" ht="15.75" customHeight="1">
      <c r="A194" s="408">
        <f>A140+1</f>
        <v>13</v>
      </c>
      <c r="B194" s="351" t="s">
        <v>622</v>
      </c>
      <c r="C194" s="348"/>
      <c r="D194" s="348"/>
      <c r="E194" s="348"/>
      <c r="F194" s="348"/>
      <c r="G194" s="348"/>
      <c r="H194" s="348"/>
      <c r="I194" s="348"/>
      <c r="J194" s="348"/>
      <c r="K194" s="348"/>
      <c r="L194" s="348"/>
      <c r="M194" s="566"/>
      <c r="N194" s="800"/>
    </row>
    <row r="195" spans="1:24" s="487" customFormat="1" ht="15.75" customHeight="1">
      <c r="A195" s="407" t="s">
        <v>95</v>
      </c>
      <c r="B195" s="409" t="s">
        <v>148</v>
      </c>
      <c r="C195" s="348"/>
      <c r="D195" s="348"/>
      <c r="E195" s="348"/>
      <c r="F195" s="348"/>
      <c r="G195" s="348"/>
      <c r="H195" s="348"/>
      <c r="I195" s="348"/>
      <c r="J195" s="348"/>
      <c r="K195" s="348"/>
      <c r="L195" s="348"/>
      <c r="M195" s="566"/>
      <c r="N195" s="800"/>
    </row>
    <row r="196" spans="1:24" s="487" customFormat="1" ht="15.75" customHeight="1">
      <c r="A196" s="407"/>
      <c r="B196" s="412"/>
      <c r="C196" s="348">
        <v>3</v>
      </c>
      <c r="D196" s="348">
        <v>2.125</v>
      </c>
      <c r="E196" s="348"/>
      <c r="F196" s="348"/>
      <c r="G196" s="348"/>
      <c r="H196" s="348"/>
      <c r="I196" s="348"/>
      <c r="J196" s="348"/>
      <c r="K196" s="348"/>
      <c r="L196" s="348"/>
      <c r="M196" s="348">
        <f>C196*D196</f>
        <v>6.375</v>
      </c>
      <c r="N196" s="800"/>
    </row>
    <row r="197" spans="1:24" s="487" customFormat="1" ht="15.75" customHeight="1">
      <c r="A197" s="407"/>
      <c r="B197" s="412"/>
      <c r="C197" s="348">
        <f>C196</f>
        <v>3</v>
      </c>
      <c r="D197" s="348"/>
      <c r="E197" s="348">
        <v>0.1</v>
      </c>
      <c r="F197" s="348"/>
      <c r="G197" s="348"/>
      <c r="H197" s="348"/>
      <c r="I197" s="348"/>
      <c r="J197" s="348"/>
      <c r="K197" s="348"/>
      <c r="L197" s="348"/>
      <c r="M197" s="343">
        <f>C197*E197</f>
        <v>0.30000000000000004</v>
      </c>
      <c r="N197" s="800"/>
    </row>
    <row r="198" spans="1:24" s="487" customFormat="1" ht="15.75" customHeight="1">
      <c r="A198" s="407"/>
      <c r="B198" s="412"/>
      <c r="C198" s="348">
        <f>D196</f>
        <v>2.125</v>
      </c>
      <c r="D198" s="348"/>
      <c r="E198" s="348">
        <f>E197</f>
        <v>0.1</v>
      </c>
      <c r="F198" s="348"/>
      <c r="G198" s="348"/>
      <c r="H198" s="348"/>
      <c r="I198" s="348"/>
      <c r="J198" s="348">
        <v>2</v>
      </c>
      <c r="K198" s="348"/>
      <c r="L198" s="348"/>
      <c r="M198" s="565">
        <f>C198*E198*J198</f>
        <v>0.42500000000000004</v>
      </c>
      <c r="N198" s="800"/>
    </row>
    <row r="199" spans="1:24" s="487" customFormat="1" ht="15.75" customHeight="1">
      <c r="A199" s="407"/>
      <c r="B199" s="412"/>
      <c r="C199" s="348"/>
      <c r="D199" s="348"/>
      <c r="E199" s="348"/>
      <c r="F199" s="348"/>
      <c r="G199" s="348"/>
      <c r="H199" s="348"/>
      <c r="I199" s="348"/>
      <c r="J199" s="348"/>
      <c r="K199" s="348"/>
      <c r="L199" s="348"/>
      <c r="M199" s="566">
        <f>SUM(M196:M198)</f>
        <v>7.1</v>
      </c>
      <c r="N199" s="800" t="s">
        <v>89</v>
      </c>
    </row>
    <row r="200" spans="1:24" s="487" customFormat="1" ht="15.75" customHeight="1">
      <c r="A200" s="407" t="s">
        <v>98</v>
      </c>
      <c r="B200" s="363" t="s">
        <v>623</v>
      </c>
      <c r="C200" s="348"/>
      <c r="D200" s="348"/>
      <c r="E200" s="348"/>
      <c r="F200" s="348"/>
      <c r="G200" s="348"/>
      <c r="H200" s="348"/>
      <c r="I200" s="348"/>
      <c r="J200" s="348"/>
      <c r="K200" s="348"/>
      <c r="L200" s="348"/>
      <c r="M200" s="566"/>
      <c r="N200" s="800"/>
    </row>
    <row r="201" spans="1:24" s="487" customFormat="1" ht="15.75" customHeight="1">
      <c r="A201" s="407"/>
      <c r="B201" s="811" t="s">
        <v>1044</v>
      </c>
      <c r="C201" s="348">
        <f>C196</f>
        <v>3</v>
      </c>
      <c r="D201" s="348"/>
      <c r="E201" s="348"/>
      <c r="F201" s="348">
        <v>0.5</v>
      </c>
      <c r="G201" s="348">
        <v>0.2</v>
      </c>
      <c r="H201" s="348"/>
      <c r="I201" s="348">
        <f>6*6*0.006165</f>
        <v>0.22194000000000003</v>
      </c>
      <c r="J201" s="348"/>
      <c r="K201" s="348">
        <f>ROUNDUP((C202/0.15),0.5)</f>
        <v>15</v>
      </c>
      <c r="L201" s="348"/>
      <c r="M201" s="348">
        <f>(C201+F201+G201)*I201*K201</f>
        <v>12.317670000000003</v>
      </c>
      <c r="N201" s="800"/>
    </row>
    <row r="202" spans="1:24" s="487" customFormat="1" ht="15.75" customHeight="1">
      <c r="A202" s="407"/>
      <c r="B202" s="811" t="s">
        <v>136</v>
      </c>
      <c r="C202" s="348">
        <f>D196</f>
        <v>2.125</v>
      </c>
      <c r="D202" s="348"/>
      <c r="E202" s="348"/>
      <c r="F202" s="348">
        <f>F201</f>
        <v>0.5</v>
      </c>
      <c r="G202" s="348">
        <v>0.2</v>
      </c>
      <c r="H202" s="348"/>
      <c r="I202" s="348">
        <f>I201</f>
        <v>0.22194000000000003</v>
      </c>
      <c r="J202" s="348"/>
      <c r="K202" s="348">
        <f>ROUNDUP((C201/0.15),0.5)</f>
        <v>20</v>
      </c>
      <c r="L202" s="348"/>
      <c r="M202" s="565">
        <f>(C202+F202+G202)*I202*K202</f>
        <v>12.539610000000003</v>
      </c>
      <c r="N202" s="800"/>
    </row>
    <row r="203" spans="1:24" s="487" customFormat="1" ht="15.75" customHeight="1">
      <c r="A203" s="407"/>
      <c r="B203" s="811"/>
      <c r="C203" s="348"/>
      <c r="D203" s="348"/>
      <c r="E203" s="348"/>
      <c r="F203" s="348"/>
      <c r="G203" s="348"/>
      <c r="H203" s="348"/>
      <c r="I203" s="348"/>
      <c r="J203" s="348"/>
      <c r="K203" s="348"/>
      <c r="L203" s="348"/>
      <c r="M203" s="566">
        <f>SUM(M201:M202)</f>
        <v>24.857280000000006</v>
      </c>
      <c r="N203" s="800" t="s">
        <v>100</v>
      </c>
    </row>
    <row r="204" spans="1:24" s="487" customFormat="1" ht="15.75" customHeight="1">
      <c r="A204" s="407" t="s">
        <v>101</v>
      </c>
      <c r="B204" s="356" t="s">
        <v>169</v>
      </c>
      <c r="C204" s="348">
        <f>C201</f>
        <v>3</v>
      </c>
      <c r="D204" s="348">
        <f>C202</f>
        <v>2.125</v>
      </c>
      <c r="E204" s="348">
        <f>E198</f>
        <v>0.1</v>
      </c>
      <c r="F204" s="348"/>
      <c r="G204" s="348"/>
      <c r="H204" s="348"/>
      <c r="I204" s="348"/>
      <c r="J204" s="348"/>
      <c r="K204" s="348"/>
      <c r="L204" s="348"/>
      <c r="M204" s="566">
        <f>C204*D204*E204</f>
        <v>0.63750000000000007</v>
      </c>
      <c r="N204" s="800" t="s">
        <v>103</v>
      </c>
    </row>
    <row r="205" spans="1:24" s="487" customFormat="1" ht="15.75" customHeight="1">
      <c r="A205" s="350">
        <f>A194+1</f>
        <v>14</v>
      </c>
      <c r="B205" s="359" t="s">
        <v>483</v>
      </c>
      <c r="C205" s="348"/>
      <c r="D205" s="348"/>
      <c r="E205" s="348"/>
      <c r="F205" s="348"/>
      <c r="G205" s="348"/>
      <c r="H205" s="348"/>
      <c r="I205" s="348"/>
      <c r="J205" s="348"/>
      <c r="K205" s="348"/>
      <c r="L205" s="348"/>
      <c r="M205" s="592"/>
      <c r="N205" s="800"/>
    </row>
    <row r="206" spans="1:24" s="487" customFormat="1" ht="15.75" customHeight="1">
      <c r="A206" s="407" t="s">
        <v>95</v>
      </c>
      <c r="B206" s="351" t="s">
        <v>624</v>
      </c>
      <c r="C206" s="348"/>
      <c r="D206" s="348"/>
      <c r="E206" s="348"/>
      <c r="F206" s="348"/>
      <c r="G206" s="348"/>
      <c r="H206" s="348"/>
      <c r="I206" s="348"/>
      <c r="J206" s="348"/>
      <c r="K206" s="348"/>
      <c r="L206" s="348"/>
      <c r="M206" s="592"/>
      <c r="N206" s="800"/>
    </row>
    <row r="207" spans="1:24" s="487" customFormat="1" ht="15.75" customHeight="1">
      <c r="A207" s="407"/>
      <c r="B207" s="589" t="s">
        <v>1203</v>
      </c>
      <c r="C207" s="348">
        <v>4</v>
      </c>
      <c r="D207" s="348">
        <v>3</v>
      </c>
      <c r="E207" s="348">
        <v>0.05</v>
      </c>
      <c r="F207" s="348"/>
      <c r="G207" s="348"/>
      <c r="H207" s="348"/>
      <c r="I207" s="348"/>
      <c r="J207" s="348"/>
      <c r="K207" s="348"/>
      <c r="L207" s="348"/>
      <c r="M207" s="592">
        <f>C207*D207*E207</f>
        <v>0.60000000000000009</v>
      </c>
      <c r="N207" s="800"/>
    </row>
    <row r="208" spans="1:24" s="487" customFormat="1" ht="15.75" customHeight="1">
      <c r="A208" s="407"/>
      <c r="B208" s="589" t="s">
        <v>1029</v>
      </c>
      <c r="C208" s="348">
        <f>D207</f>
        <v>3</v>
      </c>
      <c r="D208" s="348">
        <v>2</v>
      </c>
      <c r="E208" s="348">
        <v>0.05</v>
      </c>
      <c r="F208" s="348"/>
      <c r="G208" s="348"/>
      <c r="H208" s="348"/>
      <c r="I208" s="348"/>
      <c r="J208" s="348"/>
      <c r="K208" s="348"/>
      <c r="L208" s="348"/>
      <c r="M208" s="565">
        <f>C208*D208*E208</f>
        <v>0.30000000000000004</v>
      </c>
      <c r="N208" s="800"/>
    </row>
    <row r="209" spans="1:14" s="487" customFormat="1" ht="15.75" customHeight="1">
      <c r="A209" s="407"/>
      <c r="B209" s="589"/>
      <c r="C209" s="348"/>
      <c r="D209" s="348"/>
      <c r="E209" s="348"/>
      <c r="F209" s="348"/>
      <c r="G209" s="348"/>
      <c r="H209" s="348"/>
      <c r="I209" s="348"/>
      <c r="J209" s="348"/>
      <c r="K209" s="348"/>
      <c r="L209" s="348"/>
      <c r="M209" s="566">
        <f>SUM(M207:M208)</f>
        <v>0.90000000000000013</v>
      </c>
      <c r="N209" s="800" t="s">
        <v>103</v>
      </c>
    </row>
    <row r="210" spans="1:14" s="487" customFormat="1" ht="15.75" customHeight="1">
      <c r="A210" s="407" t="s">
        <v>98</v>
      </c>
      <c r="B210" s="351" t="s">
        <v>625</v>
      </c>
      <c r="C210" s="348"/>
      <c r="D210" s="348"/>
      <c r="E210" s="348"/>
      <c r="F210" s="348"/>
      <c r="G210" s="348"/>
      <c r="H210" s="348"/>
      <c r="I210" s="348"/>
      <c r="J210" s="348"/>
      <c r="K210" s="348"/>
      <c r="L210" s="348"/>
      <c r="M210" s="592">
        <f>M209</f>
        <v>0.90000000000000013</v>
      </c>
      <c r="N210" s="800" t="s">
        <v>103</v>
      </c>
    </row>
    <row r="211" spans="1:14" s="487" customFormat="1" ht="15.75" customHeight="1">
      <c r="A211" s="407" t="s">
        <v>101</v>
      </c>
      <c r="B211" s="351" t="s">
        <v>415</v>
      </c>
      <c r="C211" s="348"/>
      <c r="D211" s="348"/>
      <c r="E211" s="348"/>
      <c r="F211" s="348"/>
      <c r="G211" s="348"/>
      <c r="H211" s="348"/>
      <c r="I211" s="348"/>
      <c r="J211" s="348"/>
      <c r="K211" s="348"/>
      <c r="L211" s="348"/>
      <c r="M211" s="592"/>
      <c r="N211" s="800"/>
    </row>
    <row r="212" spans="1:14" s="487" customFormat="1" ht="15.75" customHeight="1">
      <c r="A212" s="407"/>
      <c r="B212" s="589" t="str">
        <f t="shared" ref="B212:D213" si="3">B207</f>
        <v>bengkel</v>
      </c>
      <c r="C212" s="348">
        <f t="shared" si="3"/>
        <v>4</v>
      </c>
      <c r="D212" s="348">
        <f t="shared" si="3"/>
        <v>3</v>
      </c>
      <c r="E212" s="348">
        <v>0.05</v>
      </c>
      <c r="F212" s="348"/>
      <c r="G212" s="348"/>
      <c r="H212" s="348"/>
      <c r="I212" s="348"/>
      <c r="J212" s="348"/>
      <c r="K212" s="348"/>
      <c r="L212" s="348"/>
      <c r="M212" s="348">
        <f>C212*D212*E212</f>
        <v>0.60000000000000009</v>
      </c>
      <c r="N212" s="800"/>
    </row>
    <row r="213" spans="1:14" s="487" customFormat="1" ht="15.75" customHeight="1">
      <c r="A213" s="407"/>
      <c r="B213" s="589" t="str">
        <f t="shared" si="3"/>
        <v>teras</v>
      </c>
      <c r="C213" s="348">
        <f t="shared" si="3"/>
        <v>3</v>
      </c>
      <c r="D213" s="348">
        <f t="shared" si="3"/>
        <v>2</v>
      </c>
      <c r="E213" s="348">
        <f>E212</f>
        <v>0.05</v>
      </c>
      <c r="F213" s="348"/>
      <c r="G213" s="348"/>
      <c r="H213" s="348"/>
      <c r="I213" s="348"/>
      <c r="J213" s="348"/>
      <c r="K213" s="348"/>
      <c r="L213" s="348"/>
      <c r="M213" s="565">
        <f>C213*D213*E213</f>
        <v>0.30000000000000004</v>
      </c>
      <c r="N213" s="800"/>
    </row>
    <row r="214" spans="1:14" s="487" customFormat="1" ht="15.75" customHeight="1">
      <c r="A214" s="407"/>
      <c r="B214" s="351"/>
      <c r="C214" s="348"/>
      <c r="D214" s="348"/>
      <c r="E214" s="348"/>
      <c r="F214" s="348"/>
      <c r="G214" s="348"/>
      <c r="H214" s="348"/>
      <c r="I214" s="348"/>
      <c r="J214" s="348"/>
      <c r="K214" s="348"/>
      <c r="L214" s="348"/>
      <c r="M214" s="566">
        <f>SUM(M212:M213)</f>
        <v>0.90000000000000013</v>
      </c>
      <c r="N214" s="800" t="s">
        <v>103</v>
      </c>
    </row>
    <row r="215" spans="1:14" s="487" customFormat="1" ht="15.75" customHeight="1">
      <c r="A215" s="407" t="s">
        <v>121</v>
      </c>
      <c r="B215" s="351" t="s">
        <v>496</v>
      </c>
      <c r="C215" s="348"/>
      <c r="D215" s="348"/>
      <c r="E215" s="348"/>
      <c r="F215" s="348"/>
      <c r="G215" s="348"/>
      <c r="H215" s="348"/>
      <c r="I215" s="348"/>
      <c r="J215" s="348"/>
      <c r="K215" s="348"/>
      <c r="L215" s="348"/>
      <c r="M215" s="592"/>
      <c r="N215" s="800"/>
    </row>
    <row r="216" spans="1:14" s="487" customFormat="1" ht="15.75" customHeight="1">
      <c r="A216" s="407"/>
      <c r="B216" s="589" t="str">
        <f t="shared" ref="B216:E217" si="4">B212</f>
        <v>bengkel</v>
      </c>
      <c r="C216" s="348">
        <f t="shared" si="4"/>
        <v>4</v>
      </c>
      <c r="D216" s="348">
        <f t="shared" si="4"/>
        <v>3</v>
      </c>
      <c r="E216" s="348">
        <f t="shared" si="4"/>
        <v>0.05</v>
      </c>
      <c r="F216" s="348"/>
      <c r="G216" s="348"/>
      <c r="H216" s="348"/>
      <c r="I216" s="348"/>
      <c r="J216" s="348"/>
      <c r="K216" s="348"/>
      <c r="L216" s="348"/>
      <c r="M216" s="348">
        <f>C216*D216*E216</f>
        <v>0.60000000000000009</v>
      </c>
      <c r="N216" s="800"/>
    </row>
    <row r="217" spans="1:14" s="487" customFormat="1" ht="15.75" customHeight="1">
      <c r="A217" s="407"/>
      <c r="B217" s="589" t="str">
        <f t="shared" si="4"/>
        <v>teras</v>
      </c>
      <c r="C217" s="348">
        <f t="shared" si="4"/>
        <v>3</v>
      </c>
      <c r="D217" s="348">
        <f t="shared" si="4"/>
        <v>2</v>
      </c>
      <c r="E217" s="348">
        <f t="shared" si="4"/>
        <v>0.05</v>
      </c>
      <c r="F217" s="348"/>
      <c r="G217" s="348"/>
      <c r="H217" s="348"/>
      <c r="I217" s="348"/>
      <c r="J217" s="348"/>
      <c r="K217" s="348"/>
      <c r="L217" s="348"/>
      <c r="M217" s="565">
        <f>C217*D217*E217</f>
        <v>0.30000000000000004</v>
      </c>
      <c r="N217" s="800"/>
    </row>
    <row r="218" spans="1:14" s="487" customFormat="1" ht="15.75" customHeight="1">
      <c r="A218" s="407"/>
      <c r="B218" s="351"/>
      <c r="C218" s="348"/>
      <c r="D218" s="348"/>
      <c r="E218" s="348"/>
      <c r="F218" s="348"/>
      <c r="G218" s="348"/>
      <c r="H218" s="348"/>
      <c r="I218" s="348"/>
      <c r="J218" s="348"/>
      <c r="K218" s="348"/>
      <c r="L218" s="348"/>
      <c r="M218" s="566">
        <f>SUM(M216:M217)</f>
        <v>0.90000000000000013</v>
      </c>
      <c r="N218" s="800" t="s">
        <v>103</v>
      </c>
    </row>
    <row r="219" spans="1:14" s="487" customFormat="1" ht="15.75" customHeight="1">
      <c r="A219" s="407" t="s">
        <v>142</v>
      </c>
      <c r="B219" s="409" t="s">
        <v>1204</v>
      </c>
      <c r="C219" s="348"/>
      <c r="D219" s="348"/>
      <c r="E219" s="348"/>
      <c r="F219" s="348"/>
      <c r="G219" s="348"/>
      <c r="H219" s="348"/>
      <c r="I219" s="348"/>
      <c r="J219" s="348"/>
      <c r="K219" s="348"/>
      <c r="L219" s="348"/>
      <c r="M219" s="592"/>
      <c r="N219" s="800"/>
    </row>
    <row r="220" spans="1:14" s="487" customFormat="1" ht="15.75" customHeight="1">
      <c r="A220" s="407"/>
      <c r="B220" s="809" t="str">
        <f>B216</f>
        <v>bengkel</v>
      </c>
      <c r="C220" s="348">
        <v>6</v>
      </c>
      <c r="D220" s="348"/>
      <c r="E220" s="348">
        <v>0.15</v>
      </c>
      <c r="F220" s="348"/>
      <c r="G220" s="348"/>
      <c r="H220" s="348"/>
      <c r="I220" s="348"/>
      <c r="J220" s="348">
        <v>2</v>
      </c>
      <c r="K220" s="348"/>
      <c r="L220" s="348"/>
      <c r="M220" s="348">
        <f>C220*E220*J220</f>
        <v>1.7999999999999998</v>
      </c>
      <c r="N220" s="800"/>
    </row>
    <row r="221" spans="1:14" s="487" customFormat="1" ht="15.75" customHeight="1">
      <c r="A221" s="407"/>
      <c r="B221" s="809" t="str">
        <f>B217</f>
        <v>teras</v>
      </c>
      <c r="C221" s="348">
        <v>3</v>
      </c>
      <c r="D221" s="348"/>
      <c r="E221" s="348">
        <f>E220</f>
        <v>0.15</v>
      </c>
      <c r="F221" s="348"/>
      <c r="G221" s="348"/>
      <c r="H221" s="348"/>
      <c r="I221" s="348"/>
      <c r="J221" s="348">
        <f>J220</f>
        <v>2</v>
      </c>
      <c r="K221" s="348"/>
      <c r="L221" s="348"/>
      <c r="M221" s="565">
        <f>C221*E221*J221</f>
        <v>0.89999999999999991</v>
      </c>
      <c r="N221" s="800"/>
    </row>
    <row r="222" spans="1:14" s="487" customFormat="1" ht="15.75" customHeight="1">
      <c r="A222" s="407"/>
      <c r="B222" s="409"/>
      <c r="C222" s="348"/>
      <c r="D222" s="348"/>
      <c r="E222" s="348"/>
      <c r="F222" s="348"/>
      <c r="G222" s="348"/>
      <c r="H222" s="348"/>
      <c r="I222" s="348"/>
      <c r="J222" s="348"/>
      <c r="K222" s="348"/>
      <c r="L222" s="348"/>
      <c r="M222" s="566">
        <f>SUM(M220:M221)</f>
        <v>2.6999999999999997</v>
      </c>
      <c r="N222" s="800" t="s">
        <v>89</v>
      </c>
    </row>
    <row r="223" spans="1:14" s="487" customFormat="1" ht="15.75" customHeight="1">
      <c r="A223" s="407" t="s">
        <v>217</v>
      </c>
      <c r="B223" s="351" t="s">
        <v>1205</v>
      </c>
      <c r="C223" s="348"/>
      <c r="D223" s="348"/>
      <c r="E223" s="348"/>
      <c r="F223" s="348"/>
      <c r="G223" s="348"/>
      <c r="H223" s="348"/>
      <c r="I223" s="348"/>
      <c r="J223" s="348"/>
      <c r="K223" s="348"/>
      <c r="L223" s="348"/>
      <c r="M223" s="592"/>
      <c r="N223" s="800"/>
    </row>
    <row r="224" spans="1:14" s="487" customFormat="1" ht="15.75" customHeight="1">
      <c r="A224" s="407"/>
      <c r="B224" s="809" t="str">
        <f>B220</f>
        <v>bengkel</v>
      </c>
      <c r="C224" s="348">
        <f>C207</f>
        <v>4</v>
      </c>
      <c r="D224" s="348">
        <f>D207</f>
        <v>3</v>
      </c>
      <c r="E224" s="348"/>
      <c r="F224" s="348"/>
      <c r="G224" s="348"/>
      <c r="H224" s="348"/>
      <c r="I224" s="348"/>
      <c r="J224" s="348"/>
      <c r="K224" s="348">
        <v>2</v>
      </c>
      <c r="L224" s="348"/>
      <c r="M224" s="348">
        <f>C224*D224*K224</f>
        <v>24</v>
      </c>
      <c r="N224" s="800"/>
    </row>
    <row r="225" spans="1:14" s="487" customFormat="1" ht="15.75" customHeight="1">
      <c r="A225" s="407"/>
      <c r="B225" s="809" t="str">
        <f>B221</f>
        <v>teras</v>
      </c>
      <c r="C225" s="348">
        <f>C208</f>
        <v>3</v>
      </c>
      <c r="D225" s="348">
        <f>D208</f>
        <v>2</v>
      </c>
      <c r="E225" s="348"/>
      <c r="F225" s="348"/>
      <c r="G225" s="348"/>
      <c r="H225" s="348"/>
      <c r="I225" s="348"/>
      <c r="J225" s="348"/>
      <c r="K225" s="348">
        <v>2</v>
      </c>
      <c r="L225" s="348"/>
      <c r="M225" s="565">
        <f>C225*D225*K225</f>
        <v>12</v>
      </c>
      <c r="N225" s="800"/>
    </row>
    <row r="226" spans="1:14" s="487" customFormat="1" ht="15.75" customHeight="1">
      <c r="A226" s="407"/>
      <c r="B226" s="409"/>
      <c r="C226" s="348"/>
      <c r="D226" s="348"/>
      <c r="E226" s="348"/>
      <c r="F226" s="348"/>
      <c r="G226" s="348"/>
      <c r="H226" s="348"/>
      <c r="I226" s="348"/>
      <c r="J226" s="348"/>
      <c r="K226" s="348"/>
      <c r="L226" s="348"/>
      <c r="M226" s="566">
        <f>SUM(M224:M225)</f>
        <v>36</v>
      </c>
      <c r="N226" s="800" t="s">
        <v>89</v>
      </c>
    </row>
    <row r="227" spans="1:14" s="487" customFormat="1" ht="15.75" customHeight="1">
      <c r="A227" s="407" t="s">
        <v>366</v>
      </c>
      <c r="B227" s="356" t="s">
        <v>169</v>
      </c>
      <c r="C227" s="348"/>
      <c r="D227" s="348"/>
      <c r="E227" s="348"/>
      <c r="F227" s="348"/>
      <c r="G227" s="348"/>
      <c r="H227" s="348"/>
      <c r="I227" s="348"/>
      <c r="J227" s="348"/>
      <c r="K227" s="348"/>
      <c r="L227" s="348"/>
      <c r="M227" s="592"/>
      <c r="N227" s="800"/>
    </row>
    <row r="228" spans="1:14" s="487" customFormat="1" ht="15.75" customHeight="1">
      <c r="A228" s="407"/>
      <c r="B228" s="809" t="str">
        <f t="shared" ref="B228:D229" si="5">B224</f>
        <v>bengkel</v>
      </c>
      <c r="C228" s="348">
        <f t="shared" si="5"/>
        <v>4</v>
      </c>
      <c r="D228" s="348">
        <f t="shared" si="5"/>
        <v>3</v>
      </c>
      <c r="E228" s="348">
        <v>0.15</v>
      </c>
      <c r="F228" s="348"/>
      <c r="G228" s="348"/>
      <c r="H228" s="348"/>
      <c r="I228" s="348"/>
      <c r="J228" s="348"/>
      <c r="K228" s="348"/>
      <c r="L228" s="348"/>
      <c r="M228" s="348">
        <f>C228*D228*E228</f>
        <v>1.7999999999999998</v>
      </c>
      <c r="N228" s="800"/>
    </row>
    <row r="229" spans="1:14" s="487" customFormat="1" ht="15.75" customHeight="1">
      <c r="A229" s="407"/>
      <c r="B229" s="809" t="str">
        <f t="shared" si="5"/>
        <v>teras</v>
      </c>
      <c r="C229" s="348">
        <f t="shared" si="5"/>
        <v>3</v>
      </c>
      <c r="D229" s="348">
        <f t="shared" si="5"/>
        <v>2</v>
      </c>
      <c r="E229" s="348">
        <f>E228</f>
        <v>0.15</v>
      </c>
      <c r="F229" s="348"/>
      <c r="G229" s="348"/>
      <c r="H229" s="348"/>
      <c r="I229" s="348"/>
      <c r="J229" s="348"/>
      <c r="K229" s="348"/>
      <c r="L229" s="348"/>
      <c r="M229" s="565">
        <f>C229*D229*E229</f>
        <v>0.89999999999999991</v>
      </c>
      <c r="N229" s="800"/>
    </row>
    <row r="230" spans="1:14" s="487" customFormat="1" ht="15.75" customHeight="1">
      <c r="A230" s="407"/>
      <c r="B230" s="409"/>
      <c r="C230" s="348"/>
      <c r="D230" s="348"/>
      <c r="E230" s="348"/>
      <c r="F230" s="348"/>
      <c r="G230" s="348"/>
      <c r="H230" s="348"/>
      <c r="I230" s="348"/>
      <c r="J230" s="348"/>
      <c r="K230" s="348"/>
      <c r="L230" s="348"/>
      <c r="M230" s="566">
        <f>SUM(M228:M229)</f>
        <v>2.6999999999999997</v>
      </c>
      <c r="N230" s="800" t="s">
        <v>103</v>
      </c>
    </row>
    <row r="231" spans="1:14" s="487" customFormat="1" ht="15.75" customHeight="1">
      <c r="A231" s="407" t="s">
        <v>476</v>
      </c>
      <c r="B231" s="409" t="s">
        <v>627</v>
      </c>
      <c r="C231" s="348"/>
      <c r="D231" s="348"/>
      <c r="E231" s="348"/>
      <c r="F231" s="348"/>
      <c r="G231" s="348"/>
      <c r="H231" s="348"/>
      <c r="I231" s="348"/>
      <c r="J231" s="348"/>
      <c r="K231" s="348"/>
      <c r="L231" s="348"/>
      <c r="M231" s="592"/>
      <c r="N231" s="800"/>
    </row>
    <row r="232" spans="1:14" s="487" customFormat="1" ht="15.75" customHeight="1">
      <c r="A232" s="411"/>
      <c r="B232" s="809" t="str">
        <f t="shared" ref="B232:D233" si="6">B228</f>
        <v>bengkel</v>
      </c>
      <c r="C232" s="348">
        <f t="shared" si="6"/>
        <v>4</v>
      </c>
      <c r="D232" s="348">
        <f t="shared" si="6"/>
        <v>3</v>
      </c>
      <c r="E232" s="348"/>
      <c r="F232" s="348"/>
      <c r="G232" s="348"/>
      <c r="H232" s="348"/>
      <c r="I232" s="348"/>
      <c r="J232" s="348"/>
      <c r="K232" s="348"/>
      <c r="L232" s="348"/>
      <c r="M232" s="348">
        <f>C232*D232</f>
        <v>12</v>
      </c>
      <c r="N232" s="800"/>
    </row>
    <row r="233" spans="1:14" s="487" customFormat="1" ht="15.75" customHeight="1">
      <c r="A233" s="411"/>
      <c r="B233" s="809" t="str">
        <f t="shared" si="6"/>
        <v>teras</v>
      </c>
      <c r="C233" s="348">
        <f t="shared" si="6"/>
        <v>3</v>
      </c>
      <c r="D233" s="348">
        <f t="shared" si="6"/>
        <v>2</v>
      </c>
      <c r="E233" s="348"/>
      <c r="F233" s="348"/>
      <c r="G233" s="348"/>
      <c r="H233" s="348"/>
      <c r="I233" s="348"/>
      <c r="J233" s="348"/>
      <c r="K233" s="348"/>
      <c r="L233" s="348"/>
      <c r="M233" s="565">
        <f>C233*D233</f>
        <v>6</v>
      </c>
      <c r="N233" s="800"/>
    </row>
    <row r="234" spans="1:14" s="487" customFormat="1" ht="15.75" customHeight="1">
      <c r="A234" s="400"/>
      <c r="B234" s="409"/>
      <c r="C234" s="348"/>
      <c r="D234" s="348"/>
      <c r="E234" s="348"/>
      <c r="F234" s="348"/>
      <c r="G234" s="348"/>
      <c r="H234" s="348"/>
      <c r="I234" s="348"/>
      <c r="J234" s="348"/>
      <c r="K234" s="348"/>
      <c r="L234" s="348"/>
      <c r="M234" s="566">
        <f>SUM(M232:M233)</f>
        <v>18</v>
      </c>
      <c r="N234" s="800" t="s">
        <v>89</v>
      </c>
    </row>
    <row r="235" spans="1:14" s="487" customFormat="1" ht="15.75" customHeight="1">
      <c r="A235" s="400"/>
      <c r="B235" s="351"/>
      <c r="C235" s="348"/>
      <c r="D235" s="348"/>
      <c r="E235" s="348"/>
      <c r="F235" s="348"/>
      <c r="G235" s="348"/>
      <c r="H235" s="348"/>
      <c r="I235" s="348"/>
      <c r="J235" s="348"/>
      <c r="K235" s="348"/>
      <c r="L235" s="348"/>
      <c r="M235" s="566"/>
      <c r="N235" s="800"/>
    </row>
    <row r="236" spans="1:14" s="487" customFormat="1" ht="15.75" customHeight="1">
      <c r="A236" s="341" t="s">
        <v>1206</v>
      </c>
      <c r="B236" s="347" t="s">
        <v>434</v>
      </c>
      <c r="C236" s="348"/>
      <c r="D236" s="348"/>
      <c r="E236" s="348"/>
      <c r="F236" s="348"/>
      <c r="G236" s="348"/>
      <c r="H236" s="348"/>
      <c r="I236" s="348"/>
      <c r="J236" s="348"/>
      <c r="K236" s="348"/>
      <c r="L236" s="348"/>
      <c r="M236" s="348"/>
      <c r="N236" s="797"/>
    </row>
    <row r="237" spans="1:14" s="487" customFormat="1" ht="15.75" customHeight="1">
      <c r="A237" s="400">
        <v>1</v>
      </c>
      <c r="B237" s="351" t="s">
        <v>629</v>
      </c>
      <c r="C237" s="348"/>
      <c r="D237" s="348"/>
      <c r="E237" s="348"/>
      <c r="F237" s="348"/>
      <c r="G237" s="348"/>
      <c r="H237" s="348"/>
      <c r="I237" s="348"/>
      <c r="J237" s="348"/>
      <c r="K237" s="348"/>
      <c r="L237" s="348"/>
      <c r="M237" s="348"/>
      <c r="N237" s="797"/>
    </row>
    <row r="238" spans="1:14" s="487" customFormat="1" ht="15.75" customHeight="1">
      <c r="A238" s="400"/>
      <c r="B238" s="589" t="s">
        <v>226</v>
      </c>
      <c r="C238" s="348">
        <v>4</v>
      </c>
      <c r="D238" s="348"/>
      <c r="E238" s="348">
        <v>3.58</v>
      </c>
      <c r="F238" s="348"/>
      <c r="G238" s="348"/>
      <c r="H238" s="348"/>
      <c r="I238" s="348"/>
      <c r="J238" s="348">
        <v>2</v>
      </c>
      <c r="K238" s="348"/>
      <c r="L238" s="348"/>
      <c r="M238" s="348">
        <f>C238*E238*J238</f>
        <v>28.64</v>
      </c>
      <c r="N238" s="797"/>
    </row>
    <row r="239" spans="1:14" s="487" customFormat="1" ht="15.75" customHeight="1">
      <c r="A239" s="400"/>
      <c r="B239" s="589" t="s">
        <v>227</v>
      </c>
      <c r="C239" s="348">
        <v>3</v>
      </c>
      <c r="D239" s="348"/>
      <c r="E239" s="348">
        <f>E238</f>
        <v>3.58</v>
      </c>
      <c r="F239" s="348"/>
      <c r="G239" s="348"/>
      <c r="H239" s="348"/>
      <c r="I239" s="348"/>
      <c r="J239" s="348">
        <f>J238</f>
        <v>2</v>
      </c>
      <c r="K239" s="348"/>
      <c r="L239" s="348"/>
      <c r="M239" s="348">
        <f>C239*E239*J239</f>
        <v>21.48</v>
      </c>
      <c r="N239" s="797"/>
    </row>
    <row r="240" spans="1:14" s="487" customFormat="1" ht="15.75" customHeight="1">
      <c r="A240" s="400"/>
      <c r="B240" s="589" t="s">
        <v>1207</v>
      </c>
      <c r="C240" s="348"/>
      <c r="D240" s="348">
        <v>1.32</v>
      </c>
      <c r="E240" s="348">
        <v>0.70599999999999996</v>
      </c>
      <c r="F240" s="348"/>
      <c r="G240" s="348"/>
      <c r="H240" s="348"/>
      <c r="I240" s="348"/>
      <c r="J240" s="348">
        <f>J239</f>
        <v>2</v>
      </c>
      <c r="K240" s="348"/>
      <c r="L240" s="348"/>
      <c r="M240" s="348">
        <f>D240*E240*J240*O240</f>
        <v>0</v>
      </c>
      <c r="N240" s="797"/>
    </row>
    <row r="241" spans="1:14" s="487" customFormat="1" ht="15.75" customHeight="1">
      <c r="A241" s="400"/>
      <c r="B241" s="589"/>
      <c r="C241" s="348"/>
      <c r="D241" s="348">
        <v>1.171</v>
      </c>
      <c r="E241" s="348">
        <v>0.70599999999999996</v>
      </c>
      <c r="F241" s="348"/>
      <c r="G241" s="348"/>
      <c r="H241" s="348"/>
      <c r="I241" s="348"/>
      <c r="J241" s="348">
        <f>J240</f>
        <v>2</v>
      </c>
      <c r="K241" s="348"/>
      <c r="L241" s="348"/>
      <c r="M241" s="348">
        <f>D241*E241*J241*O241</f>
        <v>0</v>
      </c>
      <c r="N241" s="797"/>
    </row>
    <row r="242" spans="1:14" s="487" customFormat="1" ht="15.75" customHeight="1">
      <c r="A242" s="400"/>
      <c r="B242" s="589"/>
      <c r="C242" s="348"/>
      <c r="D242" s="348">
        <f>1.32/2</f>
        <v>0.66</v>
      </c>
      <c r="E242" s="348">
        <v>1.4179999999999999</v>
      </c>
      <c r="F242" s="348"/>
      <c r="G242" s="348"/>
      <c r="H242" s="348"/>
      <c r="I242" s="348"/>
      <c r="J242" s="348">
        <f>J241</f>
        <v>2</v>
      </c>
      <c r="K242" s="348"/>
      <c r="L242" s="348"/>
      <c r="M242" s="348">
        <f>D242*E242*J242*O242</f>
        <v>0</v>
      </c>
      <c r="N242" s="797"/>
    </row>
    <row r="243" spans="1:14" s="487" customFormat="1" ht="15.75" customHeight="1">
      <c r="A243" s="400"/>
      <c r="B243" s="395" t="s">
        <v>1208</v>
      </c>
      <c r="C243" s="348">
        <v>3</v>
      </c>
      <c r="D243" s="348"/>
      <c r="E243" s="348">
        <v>0.28000000000000003</v>
      </c>
      <c r="F243" s="348"/>
      <c r="G243" s="348"/>
      <c r="H243" s="348"/>
      <c r="I243" s="348"/>
      <c r="J243" s="348">
        <v>1</v>
      </c>
      <c r="K243" s="348"/>
      <c r="L243" s="348"/>
      <c r="M243" s="348">
        <f>C243*E243*J243</f>
        <v>0.84000000000000008</v>
      </c>
      <c r="N243" s="797"/>
    </row>
    <row r="244" spans="1:14" s="487" customFormat="1" ht="15.75" customHeight="1">
      <c r="A244" s="400"/>
      <c r="B244" s="589" t="s">
        <v>1144</v>
      </c>
      <c r="C244" s="348"/>
      <c r="D244" s="348">
        <v>2.75</v>
      </c>
      <c r="E244" s="348">
        <v>2.4</v>
      </c>
      <c r="F244" s="348"/>
      <c r="G244" s="348"/>
      <c r="H244" s="348"/>
      <c r="I244" s="348"/>
      <c r="J244" s="348"/>
      <c r="K244" s="348"/>
      <c r="L244" s="348">
        <v>1</v>
      </c>
      <c r="M244" s="348">
        <f>-D244*E244*L244</f>
        <v>-6.6</v>
      </c>
      <c r="N244" s="797"/>
    </row>
    <row r="245" spans="1:14" s="487" customFormat="1" ht="15.75" customHeight="1">
      <c r="A245" s="400"/>
      <c r="B245" s="589" t="s">
        <v>1209</v>
      </c>
      <c r="C245" s="348"/>
      <c r="D245" s="348">
        <v>0.88</v>
      </c>
      <c r="E245" s="348">
        <v>0.48</v>
      </c>
      <c r="F245" s="348"/>
      <c r="G245" s="348"/>
      <c r="H245" s="348"/>
      <c r="I245" s="348"/>
      <c r="J245" s="348"/>
      <c r="K245" s="348"/>
      <c r="L245" s="348">
        <v>1</v>
      </c>
      <c r="M245" s="348">
        <f>-D245*E245*L245</f>
        <v>-0.4224</v>
      </c>
      <c r="N245" s="797"/>
    </row>
    <row r="246" spans="1:14" s="487" customFormat="1" ht="15.75" customHeight="1">
      <c r="A246" s="400"/>
      <c r="B246" s="589" t="s">
        <v>1210</v>
      </c>
      <c r="C246" s="348"/>
      <c r="D246" s="348">
        <v>0.2</v>
      </c>
      <c r="E246" s="348">
        <v>0.2</v>
      </c>
      <c r="F246" s="348"/>
      <c r="G246" s="348"/>
      <c r="H246" s="348"/>
      <c r="I246" s="348"/>
      <c r="J246" s="348"/>
      <c r="K246" s="348"/>
      <c r="L246" s="348">
        <v>5</v>
      </c>
      <c r="M246" s="565">
        <f>-D246*E246*L246</f>
        <v>-0.20000000000000004</v>
      </c>
      <c r="N246" s="797"/>
    </row>
    <row r="247" spans="1:14" s="487" customFormat="1" ht="15.75" customHeight="1">
      <c r="A247" s="400"/>
      <c r="B247" s="351"/>
      <c r="C247" s="348"/>
      <c r="D247" s="348"/>
      <c r="E247" s="348"/>
      <c r="F247" s="348"/>
      <c r="G247" s="348"/>
      <c r="H247" s="348"/>
      <c r="I247" s="348"/>
      <c r="J247" s="348"/>
      <c r="K247" s="348"/>
      <c r="L247" s="348"/>
      <c r="M247" s="566">
        <f>SUM(M238:M246)</f>
        <v>43.7376</v>
      </c>
      <c r="N247" s="800" t="s">
        <v>89</v>
      </c>
    </row>
    <row r="248" spans="1:14" s="487" customFormat="1" ht="15.75" customHeight="1">
      <c r="A248" s="400">
        <f>A237+1</f>
        <v>2</v>
      </c>
      <c r="B248" s="351" t="s">
        <v>630</v>
      </c>
      <c r="C248" s="348" t="s">
        <v>1147</v>
      </c>
      <c r="D248" s="348"/>
      <c r="E248" s="348"/>
      <c r="F248" s="348"/>
      <c r="G248" s="348"/>
      <c r="H248" s="348"/>
      <c r="I248" s="348"/>
      <c r="J248" s="348"/>
      <c r="K248" s="348"/>
      <c r="L248" s="348"/>
      <c r="M248" s="348">
        <f>M247*2</f>
        <v>87.475200000000001</v>
      </c>
      <c r="N248" s="797" t="s">
        <v>89</v>
      </c>
    </row>
    <row r="249" spans="1:14" s="487" customFormat="1" ht="15.75" customHeight="1">
      <c r="A249" s="400">
        <f>A248+1</f>
        <v>3</v>
      </c>
      <c r="B249" s="351" t="s">
        <v>631</v>
      </c>
      <c r="C249" s="348"/>
      <c r="D249" s="348"/>
      <c r="E249" s="348"/>
      <c r="F249" s="348"/>
      <c r="G249" s="348"/>
      <c r="H249" s="348"/>
      <c r="I249" s="348"/>
      <c r="J249" s="348"/>
      <c r="K249" s="348"/>
      <c r="L249" s="348"/>
      <c r="M249" s="348"/>
      <c r="N249" s="797"/>
    </row>
    <row r="250" spans="1:14" s="487" customFormat="1" ht="15.75" customHeight="1">
      <c r="A250" s="400"/>
      <c r="B250" s="351"/>
      <c r="C250" s="348" t="s">
        <v>1148</v>
      </c>
      <c r="D250" s="348"/>
      <c r="E250" s="348"/>
      <c r="F250" s="348"/>
      <c r="G250" s="348"/>
      <c r="H250" s="348"/>
      <c r="I250" s="348"/>
      <c r="J250" s="348"/>
      <c r="K250" s="348"/>
      <c r="L250" s="348"/>
      <c r="M250" s="348">
        <f>M248</f>
        <v>87.475200000000001</v>
      </c>
      <c r="N250" s="797"/>
    </row>
    <row r="251" spans="1:14" s="487" customFormat="1" ht="15.75" customHeight="1">
      <c r="A251" s="400"/>
      <c r="B251" s="589" t="s">
        <v>1211</v>
      </c>
      <c r="C251" s="348"/>
      <c r="D251" s="348">
        <v>0.25</v>
      </c>
      <c r="E251" s="348">
        <v>3.58</v>
      </c>
      <c r="F251" s="348"/>
      <c r="G251" s="348"/>
      <c r="H251" s="348"/>
      <c r="I251" s="348"/>
      <c r="J251" s="348">
        <v>4</v>
      </c>
      <c r="K251" s="348"/>
      <c r="L251" s="348">
        <v>4</v>
      </c>
      <c r="M251" s="565">
        <f>D251*E251*J251*L251</f>
        <v>14.32</v>
      </c>
      <c r="N251" s="797"/>
    </row>
    <row r="252" spans="1:14" s="487" customFormat="1" ht="15.75" customHeight="1">
      <c r="A252" s="400"/>
      <c r="B252" s="351"/>
      <c r="C252" s="348"/>
      <c r="D252" s="348"/>
      <c r="E252" s="348"/>
      <c r="F252" s="348"/>
      <c r="G252" s="348"/>
      <c r="H252" s="348"/>
      <c r="I252" s="348"/>
      <c r="J252" s="348"/>
      <c r="K252" s="348"/>
      <c r="L252" s="348"/>
      <c r="M252" s="566">
        <f>SUM(M250:M251)</f>
        <v>101.79519999999999</v>
      </c>
      <c r="N252" s="800" t="s">
        <v>89</v>
      </c>
    </row>
    <row r="253" spans="1:14" s="487" customFormat="1" ht="15.75" customHeight="1">
      <c r="A253" s="350">
        <f>A249+1</f>
        <v>4</v>
      </c>
      <c r="B253" s="351" t="s">
        <v>822</v>
      </c>
      <c r="C253" s="348"/>
      <c r="D253" s="348"/>
      <c r="E253" s="348"/>
      <c r="F253" s="348"/>
      <c r="G253" s="348"/>
      <c r="H253" s="348"/>
      <c r="I253" s="348"/>
      <c r="J253" s="348"/>
      <c r="K253" s="348"/>
      <c r="L253" s="348"/>
      <c r="M253" s="348"/>
      <c r="N253" s="797"/>
    </row>
    <row r="254" spans="1:14" s="487" customFormat="1" ht="15.75" customHeight="1">
      <c r="A254" s="350"/>
      <c r="B254" s="589" t="s">
        <v>1150</v>
      </c>
      <c r="C254" s="348"/>
      <c r="D254" s="348">
        <f>D244</f>
        <v>2.75</v>
      </c>
      <c r="E254" s="348"/>
      <c r="F254" s="348"/>
      <c r="G254" s="348"/>
      <c r="H254" s="348"/>
      <c r="I254" s="348"/>
      <c r="J254" s="348">
        <v>2</v>
      </c>
      <c r="K254" s="348">
        <v>1</v>
      </c>
      <c r="L254" s="348">
        <v>1</v>
      </c>
      <c r="M254" s="348">
        <f>D254*J254*K254*L254</f>
        <v>5.5</v>
      </c>
      <c r="N254" s="797"/>
    </row>
    <row r="255" spans="1:14" s="487" customFormat="1" ht="15.75" customHeight="1">
      <c r="A255" s="350"/>
      <c r="B255" s="589"/>
      <c r="C255" s="348"/>
      <c r="D255" s="348"/>
      <c r="E255" s="348">
        <f>E244</f>
        <v>2.4</v>
      </c>
      <c r="F255" s="348"/>
      <c r="G255" s="348"/>
      <c r="H255" s="348"/>
      <c r="I255" s="348"/>
      <c r="J255" s="348">
        <f>J254</f>
        <v>2</v>
      </c>
      <c r="K255" s="348">
        <v>2</v>
      </c>
      <c r="L255" s="348">
        <f>L254</f>
        <v>1</v>
      </c>
      <c r="M255" s="348">
        <f>E255*J255*K255*L255</f>
        <v>9.6</v>
      </c>
      <c r="N255" s="797"/>
    </row>
    <row r="256" spans="1:14" s="487" customFormat="1" ht="15.75" customHeight="1">
      <c r="A256" s="350"/>
      <c r="B256" s="589" t="s">
        <v>1212</v>
      </c>
      <c r="C256" s="348"/>
      <c r="D256" s="348">
        <v>0.2</v>
      </c>
      <c r="E256" s="348"/>
      <c r="F256" s="348"/>
      <c r="G256" s="348"/>
      <c r="H256" s="348"/>
      <c r="I256" s="348"/>
      <c r="J256" s="348">
        <f>J255</f>
        <v>2</v>
      </c>
      <c r="K256" s="348">
        <v>2</v>
      </c>
      <c r="L256" s="348">
        <v>5</v>
      </c>
      <c r="M256" s="348">
        <f>D256*J256*K256*L256</f>
        <v>4</v>
      </c>
      <c r="N256" s="797"/>
    </row>
    <row r="257" spans="1:14" s="487" customFormat="1" ht="15.75" customHeight="1">
      <c r="A257" s="350"/>
      <c r="B257" s="589"/>
      <c r="C257" s="348"/>
      <c r="D257" s="348"/>
      <c r="E257" s="348">
        <f>E246</f>
        <v>0.2</v>
      </c>
      <c r="F257" s="348"/>
      <c r="G257" s="348"/>
      <c r="H257" s="348"/>
      <c r="I257" s="348"/>
      <c r="J257" s="348">
        <f>J256</f>
        <v>2</v>
      </c>
      <c r="K257" s="348">
        <v>2</v>
      </c>
      <c r="L257" s="348">
        <f>L256</f>
        <v>5</v>
      </c>
      <c r="M257" s="565">
        <f>E257*J257*K257*L257</f>
        <v>4</v>
      </c>
      <c r="N257" s="797"/>
    </row>
    <row r="258" spans="1:14" s="487" customFormat="1" ht="15.75" customHeight="1">
      <c r="A258" s="350"/>
      <c r="B258" s="589"/>
      <c r="C258" s="348"/>
      <c r="D258" s="348"/>
      <c r="E258" s="348"/>
      <c r="F258" s="348"/>
      <c r="G258" s="348"/>
      <c r="H258" s="348"/>
      <c r="I258" s="348"/>
      <c r="J258" s="348"/>
      <c r="K258" s="348"/>
      <c r="L258" s="348"/>
      <c r="M258" s="566">
        <f>SUM(M254:M257)</f>
        <v>23.1</v>
      </c>
      <c r="N258" s="800" t="s">
        <v>117</v>
      </c>
    </row>
    <row r="259" spans="1:14" s="487" customFormat="1" ht="15.75" customHeight="1">
      <c r="A259" s="400">
        <f>A253+1</f>
        <v>5</v>
      </c>
      <c r="B259" s="351" t="s">
        <v>436</v>
      </c>
      <c r="C259" s="348"/>
      <c r="D259" s="348"/>
      <c r="E259" s="348"/>
      <c r="F259" s="348"/>
      <c r="G259" s="348"/>
      <c r="H259" s="348"/>
      <c r="I259" s="348"/>
      <c r="J259" s="348"/>
      <c r="K259" s="348"/>
      <c r="L259" s="348"/>
      <c r="M259" s="566"/>
      <c r="N259" s="800"/>
    </row>
    <row r="260" spans="1:14" s="487" customFormat="1" ht="15.75" customHeight="1">
      <c r="A260" s="400"/>
      <c r="B260" s="567" t="s">
        <v>1149</v>
      </c>
      <c r="C260" s="382">
        <f>D240</f>
        <v>1.32</v>
      </c>
      <c r="D260" s="382"/>
      <c r="E260" s="382">
        <f>E240</f>
        <v>0.70599999999999996</v>
      </c>
      <c r="F260" s="330"/>
      <c r="G260" s="330"/>
      <c r="H260" s="330"/>
      <c r="I260" s="330"/>
      <c r="J260" s="330"/>
      <c r="K260" s="330"/>
      <c r="L260" s="330">
        <f>J240</f>
        <v>2</v>
      </c>
      <c r="M260" s="330">
        <f>C260*E260*L260</f>
        <v>1.8638399999999999</v>
      </c>
      <c r="N260" s="562"/>
    </row>
    <row r="261" spans="1:14" s="487" customFormat="1" ht="15.75" customHeight="1">
      <c r="A261" s="400"/>
      <c r="B261" s="351"/>
      <c r="C261" s="382">
        <f>D241</f>
        <v>1.171</v>
      </c>
      <c r="D261" s="382"/>
      <c r="E261" s="382">
        <f>E241</f>
        <v>0.70599999999999996</v>
      </c>
      <c r="F261" s="330"/>
      <c r="G261" s="330"/>
      <c r="H261" s="330"/>
      <c r="I261" s="330"/>
      <c r="J261" s="330"/>
      <c r="K261" s="330"/>
      <c r="L261" s="330">
        <f>L260</f>
        <v>2</v>
      </c>
      <c r="M261" s="330">
        <f>C261*E261*L261</f>
        <v>1.6534519999999999</v>
      </c>
      <c r="N261" s="562"/>
    </row>
    <row r="262" spans="1:14" s="487" customFormat="1" ht="15.75" customHeight="1">
      <c r="A262" s="400"/>
      <c r="B262" s="351"/>
      <c r="C262" s="382">
        <f>D242</f>
        <v>0.66</v>
      </c>
      <c r="D262" s="382"/>
      <c r="E262" s="382">
        <f>E242</f>
        <v>1.4179999999999999</v>
      </c>
      <c r="F262" s="330"/>
      <c r="G262" s="330"/>
      <c r="H262" s="330"/>
      <c r="I262" s="330"/>
      <c r="J262" s="330"/>
      <c r="K262" s="330"/>
      <c r="L262" s="330">
        <f>L261</f>
        <v>2</v>
      </c>
      <c r="M262" s="752">
        <f>C262*E262*L262</f>
        <v>1.8717600000000001</v>
      </c>
      <c r="N262" s="562"/>
    </row>
    <row r="263" spans="1:14" s="487" customFormat="1" ht="15.75" customHeight="1">
      <c r="A263" s="400"/>
      <c r="B263" s="351"/>
      <c r="C263" s="330"/>
      <c r="D263" s="330"/>
      <c r="E263" s="330"/>
      <c r="F263" s="330"/>
      <c r="G263" s="330"/>
      <c r="H263" s="330"/>
      <c r="I263" s="330"/>
      <c r="J263" s="330"/>
      <c r="K263" s="330"/>
      <c r="L263" s="330"/>
      <c r="M263" s="474">
        <f>SUM(M261:M262)</f>
        <v>3.5252119999999998</v>
      </c>
      <c r="N263" s="562" t="s">
        <v>89</v>
      </c>
    </row>
    <row r="264" spans="1:14" s="487" customFormat="1" ht="27.75" customHeight="1">
      <c r="A264" s="400">
        <f>A259+1</f>
        <v>6</v>
      </c>
      <c r="B264" s="593" t="s">
        <v>635</v>
      </c>
      <c r="C264" s="348"/>
      <c r="D264" s="348">
        <v>2.4</v>
      </c>
      <c r="E264" s="348">
        <v>2.35</v>
      </c>
      <c r="F264" s="348"/>
      <c r="G264" s="348"/>
      <c r="H264" s="348"/>
      <c r="I264" s="348"/>
      <c r="J264" s="348"/>
      <c r="K264" s="348"/>
      <c r="L264" s="348">
        <v>1</v>
      </c>
      <c r="M264" s="592">
        <f>D264*E264*L264</f>
        <v>5.64</v>
      </c>
      <c r="N264" s="800" t="s">
        <v>89</v>
      </c>
    </row>
    <row r="265" spans="1:14" s="487" customFormat="1" ht="15.75" customHeight="1">
      <c r="A265" s="400">
        <f>A264+1</f>
        <v>7</v>
      </c>
      <c r="B265" s="409" t="s">
        <v>632</v>
      </c>
      <c r="C265" s="348"/>
      <c r="D265" s="348">
        <v>0.2</v>
      </c>
      <c r="E265" s="348">
        <v>0.2</v>
      </c>
      <c r="F265" s="348"/>
      <c r="G265" s="348"/>
      <c r="H265" s="348"/>
      <c r="I265" s="348"/>
      <c r="J265" s="348"/>
      <c r="K265" s="348"/>
      <c r="L265" s="348">
        <v>5</v>
      </c>
      <c r="M265" s="592">
        <f>D265*E265*L265</f>
        <v>0.20000000000000004</v>
      </c>
      <c r="N265" s="800" t="s">
        <v>89</v>
      </c>
    </row>
    <row r="266" spans="1:14" s="487" customFormat="1" ht="27.75" customHeight="1">
      <c r="A266" s="751">
        <f>A265+1</f>
        <v>8</v>
      </c>
      <c r="B266" s="593" t="s">
        <v>1213</v>
      </c>
      <c r="C266" s="348"/>
      <c r="D266" s="348"/>
      <c r="E266" s="348"/>
      <c r="F266" s="348"/>
      <c r="G266" s="348"/>
      <c r="H266" s="348"/>
      <c r="I266" s="348"/>
      <c r="J266" s="348"/>
      <c r="K266" s="348"/>
      <c r="L266" s="348"/>
      <c r="M266" s="348"/>
      <c r="N266" s="797"/>
    </row>
    <row r="267" spans="1:14" s="487" customFormat="1" ht="15.75" customHeight="1">
      <c r="A267" s="751"/>
      <c r="B267" s="589" t="s">
        <v>1214</v>
      </c>
      <c r="C267" s="348">
        <v>4</v>
      </c>
      <c r="D267" s="348">
        <v>3</v>
      </c>
      <c r="E267" s="348"/>
      <c r="F267" s="348"/>
      <c r="G267" s="348"/>
      <c r="H267" s="348"/>
      <c r="I267" s="348"/>
      <c r="J267" s="348"/>
      <c r="K267" s="348"/>
      <c r="L267" s="348"/>
      <c r="M267" s="592">
        <f>C267*D267+M268+M269</f>
        <v>19.7</v>
      </c>
      <c r="N267" s="800" t="s">
        <v>89</v>
      </c>
    </row>
    <row r="268" spans="1:14" s="487" customFormat="1" ht="15.75" customHeight="1">
      <c r="A268" s="751"/>
      <c r="B268" s="589" t="s">
        <v>1215</v>
      </c>
      <c r="C268" s="348">
        <f>C267</f>
        <v>4</v>
      </c>
      <c r="D268" s="348">
        <v>0.55000000000000004</v>
      </c>
      <c r="E268" s="348"/>
      <c r="F268" s="348"/>
      <c r="G268" s="348"/>
      <c r="H268" s="348"/>
      <c r="I268" s="348"/>
      <c r="J268" s="348">
        <v>2</v>
      </c>
      <c r="K268" s="348"/>
      <c r="L268" s="348"/>
      <c r="M268" s="348">
        <f>C268*D268*J268</f>
        <v>4.4000000000000004</v>
      </c>
      <c r="N268" s="800"/>
    </row>
    <row r="269" spans="1:14" s="487" customFormat="1" ht="15.75" customHeight="1">
      <c r="A269" s="751"/>
      <c r="B269" s="589"/>
      <c r="C269" s="348">
        <f>D267</f>
        <v>3</v>
      </c>
      <c r="D269" s="348">
        <f>D268</f>
        <v>0.55000000000000004</v>
      </c>
      <c r="E269" s="348"/>
      <c r="F269" s="348"/>
      <c r="G269" s="348"/>
      <c r="H269" s="348"/>
      <c r="I269" s="348"/>
      <c r="J269" s="348">
        <v>2</v>
      </c>
      <c r="K269" s="348"/>
      <c r="L269" s="348"/>
      <c r="M269" s="348">
        <f>C269*D269*J269</f>
        <v>3.3000000000000003</v>
      </c>
      <c r="N269" s="800"/>
    </row>
    <row r="270" spans="1:14" s="487" customFormat="1" ht="15.75" customHeight="1">
      <c r="A270" s="408">
        <f>A266+1</f>
        <v>9</v>
      </c>
      <c r="B270" s="351" t="s">
        <v>1030</v>
      </c>
      <c r="C270" s="348">
        <v>1.75</v>
      </c>
      <c r="D270" s="348"/>
      <c r="E270" s="348">
        <v>0.5</v>
      </c>
      <c r="F270" s="348"/>
      <c r="G270" s="348"/>
      <c r="H270" s="348"/>
      <c r="I270" s="348"/>
      <c r="J270" s="348">
        <v>2</v>
      </c>
      <c r="K270" s="348"/>
      <c r="L270" s="348"/>
      <c r="M270" s="592">
        <f>C270*E270*J270</f>
        <v>1.75</v>
      </c>
      <c r="N270" s="800" t="s">
        <v>89</v>
      </c>
    </row>
    <row r="271" spans="1:14" s="487" customFormat="1" ht="15.75" customHeight="1">
      <c r="A271" s="400">
        <f>A270+1</f>
        <v>10</v>
      </c>
      <c r="B271" s="351" t="s">
        <v>633</v>
      </c>
      <c r="C271" s="348"/>
      <c r="D271" s="348"/>
      <c r="E271" s="348"/>
      <c r="F271" s="348"/>
      <c r="G271" s="348"/>
      <c r="H271" s="348"/>
      <c r="I271" s="348"/>
      <c r="J271" s="348"/>
      <c r="K271" s="348"/>
      <c r="L271" s="348"/>
      <c r="M271" s="348"/>
      <c r="N271" s="797"/>
    </row>
    <row r="272" spans="1:14" s="487" customFormat="1" ht="15.75" customHeight="1">
      <c r="A272" s="355" t="s">
        <v>95</v>
      </c>
      <c r="B272" s="351" t="s">
        <v>566</v>
      </c>
      <c r="C272" s="330">
        <f>D245</f>
        <v>0.88</v>
      </c>
      <c r="D272" s="330"/>
      <c r="E272" s="348"/>
      <c r="F272" s="348"/>
      <c r="G272" s="348"/>
      <c r="H272" s="348"/>
      <c r="I272" s="348"/>
      <c r="J272" s="348">
        <v>2</v>
      </c>
      <c r="K272" s="348"/>
      <c r="L272" s="348"/>
      <c r="M272" s="348">
        <f>C272*J272</f>
        <v>1.76</v>
      </c>
      <c r="N272" s="797"/>
    </row>
    <row r="273" spans="1:24" s="487" customFormat="1" ht="15.75" customHeight="1">
      <c r="A273" s="355"/>
      <c r="B273" s="351"/>
      <c r="C273" s="330"/>
      <c r="D273" s="330">
        <f>E245</f>
        <v>0.48</v>
      </c>
      <c r="E273" s="348"/>
      <c r="F273" s="348"/>
      <c r="G273" s="348"/>
      <c r="H273" s="348"/>
      <c r="I273" s="348"/>
      <c r="J273" s="348">
        <v>2</v>
      </c>
      <c r="K273" s="348"/>
      <c r="L273" s="348"/>
      <c r="M273" s="565">
        <f>D273*J273</f>
        <v>0.96</v>
      </c>
      <c r="N273" s="797"/>
    </row>
    <row r="274" spans="1:24" s="487" customFormat="1" ht="15.75" customHeight="1">
      <c r="A274" s="355"/>
      <c r="B274" s="351"/>
      <c r="C274" s="330"/>
      <c r="D274" s="330"/>
      <c r="E274" s="348"/>
      <c r="F274" s="348"/>
      <c r="G274" s="348"/>
      <c r="H274" s="348"/>
      <c r="I274" s="348"/>
      <c r="J274" s="348"/>
      <c r="K274" s="348"/>
      <c r="L274" s="348"/>
      <c r="M274" s="566">
        <f>SUM(M272:M273)</f>
        <v>2.7199999999999998</v>
      </c>
      <c r="N274" s="800" t="s">
        <v>89</v>
      </c>
    </row>
    <row r="275" spans="1:24" s="487" customFormat="1" ht="15.75" customHeight="1">
      <c r="A275" s="355" t="s">
        <v>98</v>
      </c>
      <c r="B275" s="351" t="s">
        <v>567</v>
      </c>
      <c r="C275" s="330">
        <f>C272-0.08-0.15</f>
        <v>0.65</v>
      </c>
      <c r="D275" s="330">
        <f>D273-0.08-0.15</f>
        <v>0.24999999999999997</v>
      </c>
      <c r="E275" s="348"/>
      <c r="F275" s="348"/>
      <c r="G275" s="348"/>
      <c r="H275" s="348"/>
      <c r="I275" s="348"/>
      <c r="J275" s="348"/>
      <c r="K275" s="348">
        <v>2</v>
      </c>
      <c r="L275" s="348"/>
      <c r="M275" s="348">
        <f>C275*D275*K275</f>
        <v>0.32499999999999996</v>
      </c>
      <c r="N275" s="797" t="s">
        <v>89</v>
      </c>
    </row>
    <row r="276" spans="1:24" s="487" customFormat="1" ht="15.75" customHeight="1">
      <c r="A276" s="751">
        <f>A271+1</f>
        <v>11</v>
      </c>
      <c r="B276" s="351" t="s">
        <v>671</v>
      </c>
      <c r="C276" s="348" t="s">
        <v>1158</v>
      </c>
      <c r="D276" s="348"/>
      <c r="E276" s="348"/>
      <c r="F276" s="348"/>
      <c r="G276" s="348"/>
      <c r="H276" s="348"/>
      <c r="I276" s="348"/>
      <c r="J276" s="348"/>
      <c r="K276" s="348"/>
      <c r="L276" s="348"/>
      <c r="M276" s="348">
        <f>M252</f>
        <v>101.79519999999999</v>
      </c>
      <c r="N276" s="797" t="s">
        <v>89</v>
      </c>
    </row>
    <row r="277" spans="1:24" s="487" customFormat="1" ht="15.75" customHeight="1">
      <c r="A277" s="751">
        <f>A276+1</f>
        <v>12</v>
      </c>
      <c r="B277" s="351" t="s">
        <v>581</v>
      </c>
      <c r="C277" s="348" t="s">
        <v>1159</v>
      </c>
      <c r="D277" s="348"/>
      <c r="E277" s="348"/>
      <c r="F277" s="348"/>
      <c r="G277" s="348"/>
      <c r="H277" s="348"/>
      <c r="I277" s="348"/>
      <c r="J277" s="348"/>
      <c r="K277" s="348"/>
      <c r="L277" s="348"/>
      <c r="M277" s="348">
        <f>M267</f>
        <v>19.7</v>
      </c>
      <c r="N277" s="797" t="s">
        <v>89</v>
      </c>
    </row>
    <row r="278" spans="1:24" s="554" customFormat="1" ht="15.75" customHeight="1">
      <c r="A278" s="751">
        <f>A277+1</f>
        <v>13</v>
      </c>
      <c r="B278" s="591" t="s">
        <v>443</v>
      </c>
      <c r="C278" s="348"/>
      <c r="D278" s="348"/>
      <c r="E278" s="348"/>
      <c r="F278" s="348"/>
      <c r="G278" s="348"/>
      <c r="H278" s="348"/>
      <c r="I278" s="348"/>
      <c r="J278" s="348"/>
      <c r="K278" s="348"/>
      <c r="L278" s="348"/>
      <c r="M278" s="343"/>
      <c r="N278" s="349"/>
      <c r="O278" s="784"/>
      <c r="Q278" s="398"/>
      <c r="R278" s="564"/>
      <c r="S278" s="398"/>
      <c r="T278" s="398"/>
      <c r="U278" s="398"/>
      <c r="V278" s="555"/>
      <c r="W278" s="555"/>
      <c r="X278" s="555"/>
    </row>
    <row r="279" spans="1:24" s="554" customFormat="1" ht="37.5" customHeight="1">
      <c r="A279" s="355" t="s">
        <v>95</v>
      </c>
      <c r="B279" s="593" t="s">
        <v>537</v>
      </c>
      <c r="C279" s="348">
        <v>4.3479999999999999</v>
      </c>
      <c r="D279" s="493"/>
      <c r="E279" s="348"/>
      <c r="F279" s="348"/>
      <c r="G279" s="348"/>
      <c r="H279" s="348"/>
      <c r="I279" s="348"/>
      <c r="J279" s="348">
        <v>9</v>
      </c>
      <c r="K279" s="348">
        <v>1</v>
      </c>
      <c r="L279" s="348">
        <v>1</v>
      </c>
      <c r="M279" s="343">
        <f>L279*K279*J279*C279</f>
        <v>39.131999999999998</v>
      </c>
      <c r="N279" s="349" t="s">
        <v>89</v>
      </c>
      <c r="O279" s="784"/>
      <c r="Q279" s="398"/>
      <c r="R279" s="564"/>
      <c r="S279" s="398"/>
      <c r="T279" s="398"/>
      <c r="U279" s="398"/>
      <c r="V279" s="555"/>
      <c r="W279" s="555"/>
      <c r="X279" s="555"/>
    </row>
    <row r="280" spans="1:24" s="554" customFormat="1" ht="28.5" customHeight="1">
      <c r="A280" s="355" t="s">
        <v>98</v>
      </c>
      <c r="B280" s="593" t="s">
        <v>538</v>
      </c>
      <c r="C280" s="348">
        <f>C288</f>
        <v>5.7</v>
      </c>
      <c r="D280" s="493"/>
      <c r="E280" s="348"/>
      <c r="F280" s="348"/>
      <c r="G280" s="348"/>
      <c r="H280" s="348"/>
      <c r="I280" s="348"/>
      <c r="J280" s="348"/>
      <c r="K280" s="348">
        <f>ROUNDUP((D284/0.5),0)</f>
        <v>8</v>
      </c>
      <c r="L280" s="348">
        <v>2</v>
      </c>
      <c r="M280" s="343">
        <f>L280*K280*C280</f>
        <v>91.2</v>
      </c>
      <c r="N280" s="349" t="s">
        <v>1178</v>
      </c>
      <c r="O280" s="784"/>
      <c r="Q280" s="398"/>
      <c r="R280" s="564"/>
      <c r="S280" s="398"/>
      <c r="T280" s="398"/>
      <c r="U280" s="398"/>
      <c r="V280" s="555"/>
      <c r="W280" s="555"/>
      <c r="X280" s="555"/>
    </row>
    <row r="281" spans="1:24" s="554" customFormat="1" ht="15.75" customHeight="1">
      <c r="A281" s="355" t="s">
        <v>101</v>
      </c>
      <c r="B281" s="351" t="s">
        <v>823</v>
      </c>
      <c r="C281" s="348"/>
      <c r="D281" s="352"/>
      <c r="E281" s="348"/>
      <c r="F281" s="348"/>
      <c r="G281" s="348"/>
      <c r="H281" s="348"/>
      <c r="I281" s="348"/>
      <c r="J281" s="348"/>
      <c r="K281" s="348"/>
      <c r="L281" s="348"/>
      <c r="M281" s="565">
        <f>SUM(M282:M283)</f>
        <v>72</v>
      </c>
      <c r="N281" s="349" t="s">
        <v>824</v>
      </c>
      <c r="O281" s="784"/>
      <c r="Q281" s="398"/>
      <c r="R281" s="564"/>
      <c r="S281" s="398"/>
      <c r="T281" s="398"/>
      <c r="U281" s="398"/>
      <c r="V281" s="555"/>
      <c r="W281" s="555"/>
      <c r="X281" s="555"/>
    </row>
    <row r="282" spans="1:24" s="554" customFormat="1" ht="15.75" customHeight="1">
      <c r="A282" s="355"/>
      <c r="B282" s="589" t="s">
        <v>1024</v>
      </c>
      <c r="C282" s="348"/>
      <c r="D282" s="352"/>
      <c r="E282" s="348"/>
      <c r="F282" s="348">
        <v>2</v>
      </c>
      <c r="G282" s="348">
        <v>2</v>
      </c>
      <c r="H282" s="348">
        <v>2</v>
      </c>
      <c r="I282" s="348"/>
      <c r="J282" s="348"/>
      <c r="K282" s="348"/>
      <c r="L282" s="348">
        <f>J279</f>
        <v>9</v>
      </c>
      <c r="M282" s="343">
        <f>L282*H282*G282*F282</f>
        <v>72</v>
      </c>
      <c r="N282" s="349" t="s">
        <v>824</v>
      </c>
      <c r="O282" s="784"/>
      <c r="Q282" s="398"/>
      <c r="R282" s="564"/>
      <c r="S282" s="398"/>
      <c r="T282" s="398"/>
      <c r="U282" s="398"/>
      <c r="V282" s="555"/>
      <c r="W282" s="555"/>
      <c r="X282" s="555"/>
    </row>
    <row r="283" spans="1:24" s="554" customFormat="1" ht="15.75" customHeight="1">
      <c r="A283" s="355"/>
      <c r="B283" s="589" t="s">
        <v>1025</v>
      </c>
      <c r="C283" s="348"/>
      <c r="D283" s="352"/>
      <c r="E283" s="348"/>
      <c r="F283" s="348">
        <v>2</v>
      </c>
      <c r="G283" s="348">
        <v>5</v>
      </c>
      <c r="H283" s="348">
        <v>1</v>
      </c>
      <c r="I283" s="348"/>
      <c r="J283" s="348"/>
      <c r="K283" s="348"/>
      <c r="L283" s="348">
        <v>0</v>
      </c>
      <c r="M283" s="343">
        <f>L283*H283*G283*F283</f>
        <v>0</v>
      </c>
      <c r="N283" s="349" t="s">
        <v>824</v>
      </c>
      <c r="O283" s="784"/>
      <c r="Q283" s="398"/>
      <c r="R283" s="564"/>
      <c r="S283" s="398"/>
      <c r="T283" s="398"/>
      <c r="U283" s="398"/>
      <c r="V283" s="555"/>
      <c r="W283" s="555"/>
      <c r="X283" s="555"/>
    </row>
    <row r="284" spans="1:24" s="554" customFormat="1" ht="15.75" customHeight="1">
      <c r="A284" s="355" t="s">
        <v>121</v>
      </c>
      <c r="B284" s="351" t="s">
        <v>1179</v>
      </c>
      <c r="C284" s="348">
        <f>C280</f>
        <v>5.7</v>
      </c>
      <c r="D284" s="594">
        <f>C289</f>
        <v>3.6970000000000001</v>
      </c>
      <c r="E284" s="348"/>
      <c r="F284" s="348"/>
      <c r="G284" s="348"/>
      <c r="H284" s="348"/>
      <c r="I284" s="348"/>
      <c r="J284" s="348"/>
      <c r="K284" s="348"/>
      <c r="L284" s="348">
        <v>2</v>
      </c>
      <c r="M284" s="343">
        <f>L284*D284*C284</f>
        <v>42.145800000000001</v>
      </c>
      <c r="N284" s="349" t="s">
        <v>89</v>
      </c>
      <c r="O284" s="784"/>
      <c r="Q284" s="398"/>
      <c r="R284" s="564"/>
      <c r="S284" s="398"/>
      <c r="T284" s="398"/>
      <c r="U284" s="398"/>
      <c r="V284" s="555"/>
      <c r="W284" s="555"/>
      <c r="X284" s="555"/>
    </row>
    <row r="285" spans="1:24" s="554" customFormat="1" ht="15.75" customHeight="1">
      <c r="A285" s="355" t="s">
        <v>142</v>
      </c>
      <c r="B285" s="351" t="s">
        <v>1180</v>
      </c>
      <c r="C285" s="348">
        <f>C284</f>
        <v>5.7</v>
      </c>
      <c r="D285" s="352"/>
      <c r="E285" s="348"/>
      <c r="F285" s="348"/>
      <c r="G285" s="348"/>
      <c r="H285" s="348"/>
      <c r="I285" s="348"/>
      <c r="J285" s="348"/>
      <c r="K285" s="348"/>
      <c r="L285" s="348"/>
      <c r="M285" s="343">
        <f>C285</f>
        <v>5.7</v>
      </c>
      <c r="N285" s="349" t="s">
        <v>1178</v>
      </c>
      <c r="O285" s="784"/>
      <c r="Q285" s="398"/>
      <c r="R285" s="564"/>
      <c r="S285" s="398"/>
      <c r="T285" s="398"/>
      <c r="U285" s="398"/>
      <c r="V285" s="555"/>
      <c r="W285" s="555"/>
      <c r="X285" s="555"/>
    </row>
    <row r="286" spans="1:24" s="554" customFormat="1" ht="15.75" customHeight="1">
      <c r="A286" s="350"/>
      <c r="B286" s="567"/>
      <c r="C286" s="348"/>
      <c r="D286" s="348"/>
      <c r="E286" s="348"/>
      <c r="F286" s="348"/>
      <c r="G286" s="348"/>
      <c r="H286" s="348"/>
      <c r="I286" s="348"/>
      <c r="J286" s="348"/>
      <c r="K286" s="348"/>
      <c r="L286" s="348"/>
      <c r="M286" s="343"/>
      <c r="N286" s="349"/>
      <c r="O286" s="784"/>
      <c r="Q286" s="398"/>
      <c r="R286" s="564"/>
      <c r="S286" s="398"/>
      <c r="T286" s="398"/>
      <c r="U286" s="398"/>
      <c r="V286" s="555"/>
      <c r="W286" s="555"/>
      <c r="X286" s="555"/>
    </row>
    <row r="287" spans="1:24" s="487" customFormat="1" ht="15.75" customHeight="1">
      <c r="A287" s="350">
        <f>A278+1</f>
        <v>14</v>
      </c>
      <c r="B287" s="351" t="s">
        <v>1037</v>
      </c>
      <c r="C287" s="348"/>
      <c r="D287" s="348"/>
      <c r="E287" s="348"/>
      <c r="F287" s="348"/>
      <c r="G287" s="348"/>
      <c r="H287" s="348"/>
      <c r="I287" s="348"/>
      <c r="J287" s="348"/>
      <c r="K287" s="348"/>
      <c r="L287" s="348"/>
      <c r="M287" s="348"/>
      <c r="N287" s="797"/>
    </row>
    <row r="288" spans="1:24" s="487" customFormat="1" ht="15.75" customHeight="1">
      <c r="A288" s="350"/>
      <c r="B288" s="363"/>
      <c r="C288" s="348">
        <v>5.7</v>
      </c>
      <c r="D288" s="348"/>
      <c r="E288" s="348"/>
      <c r="F288" s="348"/>
      <c r="G288" s="348"/>
      <c r="H288" s="348"/>
      <c r="I288" s="348"/>
      <c r="J288" s="348">
        <v>2</v>
      </c>
      <c r="K288" s="348"/>
      <c r="L288" s="348"/>
      <c r="M288" s="348">
        <f>C288*J288</f>
        <v>11.4</v>
      </c>
      <c r="N288" s="797"/>
    </row>
    <row r="289" spans="1:14" s="487" customFormat="1" ht="15.75" customHeight="1">
      <c r="A289" s="350"/>
      <c r="B289" s="363"/>
      <c r="C289" s="348">
        <f>1.772+1.925</f>
        <v>3.6970000000000001</v>
      </c>
      <c r="D289" s="348"/>
      <c r="E289" s="348"/>
      <c r="F289" s="348"/>
      <c r="G289" s="348"/>
      <c r="H289" s="348"/>
      <c r="I289" s="348"/>
      <c r="J289" s="348">
        <v>4</v>
      </c>
      <c r="K289" s="348"/>
      <c r="L289" s="348"/>
      <c r="M289" s="565">
        <f>C289*J289</f>
        <v>14.788</v>
      </c>
      <c r="N289" s="797"/>
    </row>
    <row r="290" spans="1:14" s="487" customFormat="1" ht="15.75" customHeight="1">
      <c r="A290" s="350"/>
      <c r="B290" s="363"/>
      <c r="C290" s="348"/>
      <c r="D290" s="348"/>
      <c r="E290" s="348"/>
      <c r="F290" s="348"/>
      <c r="G290" s="348"/>
      <c r="H290" s="348"/>
      <c r="I290" s="348"/>
      <c r="J290" s="348"/>
      <c r="K290" s="348"/>
      <c r="L290" s="348"/>
      <c r="M290" s="566">
        <f>SUM(M288:M289)</f>
        <v>26.188000000000002</v>
      </c>
      <c r="N290" s="800" t="s">
        <v>117</v>
      </c>
    </row>
    <row r="291" spans="1:14" s="487" customFormat="1" ht="15.75" customHeight="1">
      <c r="A291" s="350">
        <f>A287+1</f>
        <v>15</v>
      </c>
      <c r="B291" s="363" t="s">
        <v>453</v>
      </c>
      <c r="C291" s="348">
        <f>M290</f>
        <v>26.188000000000002</v>
      </c>
      <c r="D291" s="348">
        <v>0.3</v>
      </c>
      <c r="E291" s="348"/>
      <c r="F291" s="348"/>
      <c r="G291" s="348"/>
      <c r="H291" s="348"/>
      <c r="I291" s="348"/>
      <c r="J291" s="348"/>
      <c r="K291" s="348"/>
      <c r="L291" s="348"/>
      <c r="M291" s="348">
        <f>C291*D291</f>
        <v>7.8564000000000007</v>
      </c>
      <c r="N291" s="797" t="s">
        <v>89</v>
      </c>
    </row>
    <row r="292" spans="1:14" s="487" customFormat="1" ht="15.75" customHeight="1">
      <c r="A292" s="350">
        <f>A291+1</f>
        <v>16</v>
      </c>
      <c r="B292" s="351" t="s">
        <v>582</v>
      </c>
      <c r="C292" s="348"/>
      <c r="D292" s="348"/>
      <c r="E292" s="348"/>
      <c r="F292" s="348"/>
      <c r="G292" s="348"/>
      <c r="H292" s="348"/>
      <c r="I292" s="348"/>
      <c r="J292" s="348"/>
      <c r="K292" s="348"/>
      <c r="L292" s="348"/>
      <c r="M292" s="348">
        <v>1</v>
      </c>
      <c r="N292" s="797" t="s">
        <v>360</v>
      </c>
    </row>
    <row r="293" spans="1:14" s="487" customFormat="1" ht="27.75" customHeight="1">
      <c r="A293" s="751">
        <f>A292+1</f>
        <v>17</v>
      </c>
      <c r="B293" s="593" t="s">
        <v>1216</v>
      </c>
      <c r="C293" s="348"/>
      <c r="D293" s="348"/>
      <c r="E293" s="348"/>
      <c r="F293" s="348"/>
      <c r="G293" s="348"/>
      <c r="H293" s="348"/>
      <c r="I293" s="348"/>
      <c r="J293" s="348"/>
      <c r="K293" s="348"/>
      <c r="L293" s="348"/>
      <c r="M293" s="348">
        <v>14</v>
      </c>
      <c r="N293" s="797" t="s">
        <v>124</v>
      </c>
    </row>
    <row r="294" spans="1:14" s="487" customFormat="1" ht="15.75" customHeight="1">
      <c r="A294" s="400"/>
      <c r="B294" s="363"/>
      <c r="C294" s="348"/>
      <c r="D294" s="348"/>
      <c r="E294" s="348"/>
      <c r="F294" s="348"/>
      <c r="G294" s="348"/>
      <c r="H294" s="348"/>
      <c r="I294" s="348"/>
      <c r="J294" s="348"/>
      <c r="K294" s="348"/>
      <c r="L294" s="348"/>
      <c r="M294" s="348"/>
      <c r="N294" s="797"/>
    </row>
    <row r="295" spans="1:14" s="487" customFormat="1" ht="15.75" customHeight="1">
      <c r="A295" s="341" t="s">
        <v>1217</v>
      </c>
      <c r="B295" s="347" t="s">
        <v>585</v>
      </c>
      <c r="C295" s="348"/>
      <c r="D295" s="348"/>
      <c r="E295" s="348"/>
      <c r="F295" s="348"/>
      <c r="G295" s="348"/>
      <c r="H295" s="348"/>
      <c r="I295" s="348"/>
      <c r="J295" s="348"/>
      <c r="K295" s="348"/>
      <c r="L295" s="348"/>
      <c r="M295" s="348"/>
      <c r="N295" s="797"/>
    </row>
    <row r="296" spans="1:14" s="487" customFormat="1" ht="15.75" customHeight="1">
      <c r="A296" s="408">
        <v>1</v>
      </c>
      <c r="B296" s="409" t="s">
        <v>545</v>
      </c>
      <c r="C296" s="348"/>
      <c r="D296" s="348"/>
      <c r="E296" s="348"/>
      <c r="F296" s="348"/>
      <c r="G296" s="348"/>
      <c r="H296" s="348"/>
      <c r="I296" s="348"/>
      <c r="J296" s="348"/>
      <c r="K296" s="348">
        <v>7</v>
      </c>
      <c r="L296" s="348">
        <v>1</v>
      </c>
      <c r="M296" s="348">
        <f t="shared" ref="M296:M303" si="7">K296*L296</f>
        <v>7</v>
      </c>
      <c r="N296" s="797" t="s">
        <v>357</v>
      </c>
    </row>
    <row r="297" spans="1:14" s="487" customFormat="1" ht="15.75" customHeight="1">
      <c r="A297" s="408">
        <f t="shared" ref="A297:A303" si="8">A296+1</f>
        <v>2</v>
      </c>
      <c r="B297" s="409" t="s">
        <v>638</v>
      </c>
      <c r="C297" s="348"/>
      <c r="D297" s="348"/>
      <c r="E297" s="348"/>
      <c r="F297" s="348"/>
      <c r="G297" s="348"/>
      <c r="H297" s="348"/>
      <c r="I297" s="348"/>
      <c r="J297" s="348"/>
      <c r="K297" s="348">
        <v>4</v>
      </c>
      <c r="L297" s="348">
        <f t="shared" ref="L297:L302" si="9">L296</f>
        <v>1</v>
      </c>
      <c r="M297" s="348">
        <f t="shared" si="7"/>
        <v>4</v>
      </c>
      <c r="N297" s="797" t="s">
        <v>357</v>
      </c>
    </row>
    <row r="298" spans="1:14" s="487" customFormat="1" ht="15.75" customHeight="1">
      <c r="A298" s="408">
        <f t="shared" si="8"/>
        <v>3</v>
      </c>
      <c r="B298" s="351" t="s">
        <v>639</v>
      </c>
      <c r="C298" s="348"/>
      <c r="D298" s="348"/>
      <c r="E298" s="348"/>
      <c r="F298" s="348"/>
      <c r="G298" s="348"/>
      <c r="H298" s="348"/>
      <c r="I298" s="348"/>
      <c r="J298" s="348"/>
      <c r="K298" s="348">
        <v>1</v>
      </c>
      <c r="L298" s="348">
        <f t="shared" si="9"/>
        <v>1</v>
      </c>
      <c r="M298" s="348">
        <f t="shared" si="7"/>
        <v>1</v>
      </c>
      <c r="N298" s="797" t="s">
        <v>124</v>
      </c>
    </row>
    <row r="299" spans="1:14" s="487" customFormat="1" ht="15.75" customHeight="1">
      <c r="A299" s="408">
        <f t="shared" si="8"/>
        <v>4</v>
      </c>
      <c r="B299" s="409" t="s">
        <v>614</v>
      </c>
      <c r="C299" s="348"/>
      <c r="D299" s="348"/>
      <c r="E299" s="348"/>
      <c r="F299" s="348"/>
      <c r="G299" s="348"/>
      <c r="H299" s="348"/>
      <c r="I299" s="348"/>
      <c r="J299" s="348"/>
      <c r="K299" s="348">
        <v>1</v>
      </c>
      <c r="L299" s="348">
        <f t="shared" si="9"/>
        <v>1</v>
      </c>
      <c r="M299" s="348">
        <f t="shared" si="7"/>
        <v>1</v>
      </c>
      <c r="N299" s="797" t="s">
        <v>124</v>
      </c>
    </row>
    <row r="300" spans="1:14" s="487" customFormat="1" ht="15.75" customHeight="1">
      <c r="A300" s="408">
        <f t="shared" si="8"/>
        <v>5</v>
      </c>
      <c r="B300" s="409" t="s">
        <v>615</v>
      </c>
      <c r="C300" s="348"/>
      <c r="D300" s="348"/>
      <c r="E300" s="348"/>
      <c r="F300" s="348"/>
      <c r="G300" s="348"/>
      <c r="H300" s="348"/>
      <c r="I300" s="348"/>
      <c r="J300" s="348"/>
      <c r="K300" s="348">
        <f>K297</f>
        <v>4</v>
      </c>
      <c r="L300" s="348">
        <f t="shared" si="9"/>
        <v>1</v>
      </c>
      <c r="M300" s="348">
        <f t="shared" si="7"/>
        <v>4</v>
      </c>
      <c r="N300" s="797" t="s">
        <v>124</v>
      </c>
    </row>
    <row r="301" spans="1:14" s="487" customFormat="1" ht="15.75" customHeight="1">
      <c r="A301" s="408">
        <f t="shared" si="8"/>
        <v>6</v>
      </c>
      <c r="B301" s="409" t="s">
        <v>640</v>
      </c>
      <c r="C301" s="348"/>
      <c r="D301" s="348"/>
      <c r="E301" s="348"/>
      <c r="F301" s="348"/>
      <c r="G301" s="348"/>
      <c r="H301" s="348"/>
      <c r="I301" s="348"/>
      <c r="J301" s="348"/>
      <c r="K301" s="348">
        <f>K296</f>
        <v>7</v>
      </c>
      <c r="L301" s="348">
        <f t="shared" si="9"/>
        <v>1</v>
      </c>
      <c r="M301" s="348">
        <f t="shared" si="7"/>
        <v>7</v>
      </c>
      <c r="N301" s="797" t="s">
        <v>124</v>
      </c>
    </row>
    <row r="302" spans="1:14" s="487" customFormat="1" ht="15.75" customHeight="1">
      <c r="A302" s="408">
        <f t="shared" si="8"/>
        <v>7</v>
      </c>
      <c r="B302" s="409" t="s">
        <v>641</v>
      </c>
      <c r="C302" s="348"/>
      <c r="D302" s="348"/>
      <c r="E302" s="348"/>
      <c r="F302" s="348"/>
      <c r="G302" s="348"/>
      <c r="H302" s="348"/>
      <c r="I302" s="348"/>
      <c r="J302" s="348"/>
      <c r="K302" s="348">
        <v>1</v>
      </c>
      <c r="L302" s="348">
        <f t="shared" si="9"/>
        <v>1</v>
      </c>
      <c r="M302" s="348">
        <f t="shared" si="7"/>
        <v>1</v>
      </c>
      <c r="N302" s="797" t="s">
        <v>124</v>
      </c>
    </row>
    <row r="303" spans="1:14" s="487" customFormat="1" ht="15.75" customHeight="1">
      <c r="A303" s="408">
        <f t="shared" si="8"/>
        <v>8</v>
      </c>
      <c r="B303" s="409" t="s">
        <v>463</v>
      </c>
      <c r="C303" s="348"/>
      <c r="D303" s="348"/>
      <c r="E303" s="348"/>
      <c r="F303" s="348"/>
      <c r="G303" s="348"/>
      <c r="H303" s="348"/>
      <c r="I303" s="348"/>
      <c r="J303" s="348"/>
      <c r="K303" s="348">
        <v>1</v>
      </c>
      <c r="L303" s="348">
        <f>L300</f>
        <v>1</v>
      </c>
      <c r="M303" s="348">
        <f t="shared" si="7"/>
        <v>1</v>
      </c>
      <c r="N303" s="797" t="s">
        <v>124</v>
      </c>
    </row>
    <row r="304" spans="1:14" s="487" customFormat="1" ht="7.5" customHeight="1">
      <c r="A304" s="777"/>
      <c r="B304" s="602"/>
      <c r="C304" s="603"/>
      <c r="D304" s="603"/>
      <c r="E304" s="603"/>
      <c r="F304" s="603"/>
      <c r="G304" s="603"/>
      <c r="H304" s="603"/>
      <c r="I304" s="603"/>
      <c r="J304" s="603"/>
      <c r="K304" s="603"/>
      <c r="L304" s="603"/>
      <c r="M304" s="603"/>
      <c r="N304" s="812"/>
    </row>
    <row r="305" spans="1:14" s="487" customFormat="1" ht="15.75" customHeight="1">
      <c r="A305" s="398"/>
      <c r="B305" s="398"/>
      <c r="C305" s="564"/>
      <c r="D305" s="564"/>
      <c r="E305" s="564"/>
      <c r="F305" s="564"/>
      <c r="G305" s="564"/>
      <c r="H305" s="564"/>
      <c r="I305" s="564"/>
      <c r="J305" s="564"/>
      <c r="K305" s="564"/>
      <c r="L305" s="564"/>
      <c r="M305" s="564"/>
      <c r="N305" s="398"/>
    </row>
    <row r="306" spans="1:14" s="487" customFormat="1" ht="15.75" customHeight="1">
      <c r="A306" s="398"/>
      <c r="B306" s="398"/>
      <c r="C306" s="564"/>
      <c r="D306" s="564"/>
      <c r="E306" s="564"/>
      <c r="F306" s="564"/>
      <c r="G306" s="564"/>
      <c r="H306" s="564"/>
      <c r="I306" s="564"/>
      <c r="J306" s="564"/>
      <c r="K306" s="564"/>
      <c r="L306" s="564"/>
      <c r="M306" s="564"/>
      <c r="N306" s="398"/>
    </row>
    <row r="307" spans="1:14" s="487" customFormat="1" ht="15.75" customHeight="1">
      <c r="A307" s="398"/>
      <c r="B307" s="398"/>
      <c r="C307" s="564"/>
      <c r="D307" s="564"/>
      <c r="E307" s="564"/>
      <c r="F307" s="564"/>
      <c r="G307" s="564"/>
      <c r="H307" s="564"/>
      <c r="I307" s="564"/>
      <c r="J307" s="564"/>
      <c r="K307" s="564"/>
      <c r="L307" s="564"/>
      <c r="M307" s="564"/>
      <c r="N307" s="398"/>
    </row>
    <row r="308" spans="1:14" s="487" customFormat="1" ht="15.75" customHeight="1">
      <c r="A308" s="398"/>
      <c r="B308" s="398"/>
      <c r="C308" s="564"/>
      <c r="D308" s="564"/>
      <c r="E308" s="564"/>
      <c r="F308" s="564"/>
      <c r="G308" s="564"/>
      <c r="H308" s="564"/>
      <c r="I308" s="564"/>
      <c r="J308" s="564"/>
      <c r="K308" s="564"/>
      <c r="L308" s="564"/>
      <c r="M308" s="564"/>
      <c r="N308" s="398"/>
    </row>
    <row r="309" spans="1:14" s="487" customFormat="1" ht="15.75" customHeight="1">
      <c r="A309" s="398"/>
      <c r="B309" s="398"/>
      <c r="C309" s="564"/>
      <c r="D309" s="564"/>
      <c r="E309" s="564"/>
      <c r="F309" s="564"/>
      <c r="G309" s="564"/>
      <c r="H309" s="564"/>
      <c r="I309" s="564"/>
      <c r="J309" s="564"/>
      <c r="K309" s="564"/>
      <c r="L309" s="564"/>
      <c r="M309" s="564"/>
      <c r="N309" s="398"/>
    </row>
    <row r="310" spans="1:14" s="487" customFormat="1" ht="15.75" customHeight="1">
      <c r="A310" s="398"/>
      <c r="B310" s="398"/>
      <c r="C310" s="564"/>
      <c r="D310" s="564"/>
      <c r="E310" s="564"/>
      <c r="F310" s="564"/>
      <c r="G310" s="564"/>
      <c r="H310" s="564"/>
      <c r="I310" s="564"/>
      <c r="J310" s="564"/>
      <c r="K310" s="564"/>
      <c r="L310" s="564"/>
      <c r="M310" s="564"/>
      <c r="N310" s="398"/>
    </row>
    <row r="311" spans="1:14" s="487" customFormat="1" ht="15.75" customHeight="1">
      <c r="A311" s="398"/>
      <c r="B311" s="398"/>
      <c r="C311" s="564"/>
      <c r="D311" s="564"/>
      <c r="E311" s="564"/>
      <c r="F311" s="564"/>
      <c r="G311" s="564"/>
      <c r="H311" s="564"/>
      <c r="I311" s="564"/>
      <c r="J311" s="564"/>
      <c r="K311" s="564"/>
      <c r="L311" s="564"/>
      <c r="M311" s="564"/>
      <c r="N311" s="398"/>
    </row>
    <row r="312" spans="1:14" s="487" customFormat="1" ht="15.75" customHeight="1">
      <c r="A312" s="398"/>
      <c r="B312" s="398"/>
      <c r="C312" s="564"/>
      <c r="D312" s="564"/>
      <c r="E312" s="564"/>
      <c r="F312" s="564"/>
      <c r="G312" s="564"/>
      <c r="H312" s="564"/>
      <c r="I312" s="564"/>
      <c r="J312" s="564"/>
      <c r="K312" s="564"/>
      <c r="L312" s="564"/>
      <c r="M312" s="564"/>
      <c r="N312" s="398"/>
    </row>
    <row r="313" spans="1:14" s="487" customFormat="1" ht="15.75" customHeight="1">
      <c r="A313" s="398"/>
      <c r="B313" s="398"/>
      <c r="C313" s="564"/>
      <c r="D313" s="564"/>
      <c r="E313" s="564"/>
      <c r="F313" s="564"/>
      <c r="G313" s="564"/>
      <c r="H313" s="564"/>
      <c r="I313" s="564"/>
      <c r="J313" s="564"/>
      <c r="K313" s="564"/>
      <c r="L313" s="564"/>
      <c r="M313" s="564"/>
      <c r="N313" s="398"/>
    </row>
    <row r="314" spans="1:14" s="487" customFormat="1" ht="15.75" customHeight="1">
      <c r="A314" s="398"/>
      <c r="B314" s="398"/>
      <c r="C314" s="564"/>
      <c r="D314" s="564"/>
      <c r="E314" s="564"/>
      <c r="F314" s="564"/>
      <c r="G314" s="564"/>
      <c r="H314" s="564"/>
      <c r="I314" s="564"/>
      <c r="J314" s="564"/>
      <c r="K314" s="564"/>
      <c r="L314" s="564"/>
      <c r="M314" s="564"/>
      <c r="N314" s="398"/>
    </row>
    <row r="315" spans="1:14" s="487" customFormat="1" ht="15.75" customHeight="1">
      <c r="A315" s="398"/>
      <c r="B315" s="398"/>
      <c r="C315" s="564"/>
      <c r="D315" s="564"/>
      <c r="E315" s="564"/>
      <c r="F315" s="564"/>
      <c r="G315" s="564"/>
      <c r="H315" s="564"/>
      <c r="I315" s="564"/>
      <c r="J315" s="564"/>
      <c r="K315" s="564"/>
      <c r="L315" s="564"/>
      <c r="M315" s="564"/>
      <c r="N315" s="398"/>
    </row>
    <row r="316" spans="1:14" s="487" customFormat="1" ht="15.75" customHeight="1">
      <c r="A316" s="398"/>
      <c r="B316" s="398"/>
      <c r="C316" s="564"/>
      <c r="D316" s="564"/>
      <c r="E316" s="564"/>
      <c r="F316" s="564"/>
      <c r="G316" s="564"/>
      <c r="H316" s="564"/>
      <c r="I316" s="564"/>
      <c r="J316" s="564"/>
      <c r="K316" s="564"/>
      <c r="L316" s="564"/>
      <c r="M316" s="564"/>
      <c r="N316" s="398"/>
    </row>
    <row r="317" spans="1:14" s="487" customFormat="1" ht="15.75" customHeight="1">
      <c r="A317" s="398"/>
      <c r="B317" s="398"/>
      <c r="C317" s="564"/>
      <c r="D317" s="564"/>
      <c r="E317" s="564"/>
      <c r="F317" s="564"/>
      <c r="G317" s="564"/>
      <c r="H317" s="564"/>
      <c r="I317" s="564"/>
      <c r="J317" s="564"/>
      <c r="K317" s="564"/>
      <c r="L317" s="564"/>
      <c r="M317" s="564"/>
      <c r="N317" s="398"/>
    </row>
    <row r="318" spans="1:14" s="487" customFormat="1" ht="15.75" customHeight="1">
      <c r="A318" s="398"/>
      <c r="B318" s="398"/>
      <c r="C318" s="564"/>
      <c r="D318" s="564"/>
      <c r="E318" s="564"/>
      <c r="F318" s="564"/>
      <c r="G318" s="564"/>
      <c r="H318" s="564"/>
      <c r="I318" s="564"/>
      <c r="J318" s="564"/>
      <c r="K318" s="564"/>
      <c r="L318" s="564"/>
      <c r="M318" s="564"/>
      <c r="N318" s="398"/>
    </row>
    <row r="319" spans="1:14" s="487" customFormat="1" ht="15.75" customHeight="1">
      <c r="A319" s="398"/>
      <c r="B319" s="398"/>
      <c r="C319" s="564"/>
      <c r="D319" s="564"/>
      <c r="E319" s="564"/>
      <c r="F319" s="564"/>
      <c r="G319" s="564"/>
      <c r="H319" s="564"/>
      <c r="I319" s="564"/>
      <c r="J319" s="564"/>
      <c r="K319" s="564"/>
      <c r="L319" s="564"/>
      <c r="M319" s="564"/>
      <c r="N319" s="398"/>
    </row>
    <row r="320" spans="1:14" s="487" customFormat="1" ht="15.75" customHeight="1">
      <c r="A320" s="398"/>
      <c r="B320" s="398"/>
      <c r="C320" s="564"/>
      <c r="D320" s="564"/>
      <c r="E320" s="564"/>
      <c r="F320" s="564"/>
      <c r="G320" s="564"/>
      <c r="H320" s="564"/>
      <c r="I320" s="564"/>
      <c r="J320" s="564"/>
      <c r="K320" s="564"/>
      <c r="L320" s="564"/>
      <c r="M320" s="564"/>
      <c r="N320" s="398"/>
    </row>
    <row r="321" spans="1:14" s="487" customFormat="1" ht="15.75" customHeight="1">
      <c r="A321" s="398"/>
      <c r="B321" s="398"/>
      <c r="C321" s="564"/>
      <c r="D321" s="564"/>
      <c r="E321" s="564"/>
      <c r="F321" s="564"/>
      <c r="G321" s="564"/>
      <c r="H321" s="564"/>
      <c r="I321" s="564"/>
      <c r="J321" s="564"/>
      <c r="K321" s="564"/>
      <c r="L321" s="564"/>
      <c r="M321" s="564"/>
      <c r="N321" s="398"/>
    </row>
    <row r="322" spans="1:14" s="487" customFormat="1" ht="15.75" customHeight="1">
      <c r="A322" s="398"/>
      <c r="B322" s="398"/>
      <c r="C322" s="564"/>
      <c r="D322" s="564"/>
      <c r="E322" s="564"/>
      <c r="F322" s="564"/>
      <c r="G322" s="564"/>
      <c r="H322" s="564"/>
      <c r="I322" s="564"/>
      <c r="J322" s="564"/>
      <c r="K322" s="564"/>
      <c r="L322" s="564"/>
      <c r="M322" s="564"/>
      <c r="N322" s="398"/>
    </row>
    <row r="323" spans="1:14" s="487" customFormat="1" ht="15.75" customHeight="1">
      <c r="A323" s="398"/>
      <c r="B323" s="398"/>
      <c r="C323" s="564"/>
      <c r="D323" s="564"/>
      <c r="E323" s="564"/>
      <c r="F323" s="564"/>
      <c r="G323" s="564"/>
      <c r="H323" s="564"/>
      <c r="I323" s="564"/>
      <c r="J323" s="564"/>
      <c r="K323" s="564"/>
      <c r="L323" s="564"/>
      <c r="M323" s="564"/>
      <c r="N323" s="398"/>
    </row>
    <row r="324" spans="1:14" s="487" customFormat="1" ht="15.75" customHeight="1">
      <c r="A324" s="398"/>
      <c r="B324" s="398"/>
      <c r="C324" s="564"/>
      <c r="D324" s="564"/>
      <c r="E324" s="564"/>
      <c r="F324" s="564"/>
      <c r="G324" s="564"/>
      <c r="H324" s="564"/>
      <c r="I324" s="564"/>
      <c r="J324" s="564"/>
      <c r="K324" s="564"/>
      <c r="L324" s="564"/>
      <c r="M324" s="564"/>
      <c r="N324" s="398"/>
    </row>
    <row r="325" spans="1:14" s="487" customFormat="1" ht="15.75" customHeight="1">
      <c r="A325" s="398"/>
      <c r="B325" s="398"/>
      <c r="C325" s="564"/>
      <c r="D325" s="564"/>
      <c r="E325" s="564"/>
      <c r="F325" s="564"/>
      <c r="G325" s="564"/>
      <c r="H325" s="564"/>
      <c r="I325" s="564"/>
      <c r="J325" s="564"/>
      <c r="K325" s="564"/>
      <c r="L325" s="564"/>
      <c r="M325" s="564"/>
      <c r="N325" s="398"/>
    </row>
    <row r="326" spans="1:14" s="487" customFormat="1" ht="15.75" customHeight="1">
      <c r="A326" s="398"/>
      <c r="B326" s="398"/>
      <c r="C326" s="564"/>
      <c r="D326" s="564"/>
      <c r="E326" s="564"/>
      <c r="F326" s="564"/>
      <c r="G326" s="564"/>
      <c r="H326" s="564"/>
      <c r="I326" s="564"/>
      <c r="J326" s="564"/>
      <c r="K326" s="564"/>
      <c r="L326" s="564"/>
      <c r="M326" s="564"/>
      <c r="N326" s="398"/>
    </row>
    <row r="327" spans="1:14" s="487" customFormat="1" ht="15.75" customHeight="1">
      <c r="A327" s="398"/>
      <c r="B327" s="398"/>
      <c r="C327" s="564"/>
      <c r="D327" s="564"/>
      <c r="E327" s="564"/>
      <c r="F327" s="564"/>
      <c r="G327" s="564"/>
      <c r="H327" s="564"/>
      <c r="I327" s="564"/>
      <c r="J327" s="564"/>
      <c r="K327" s="564"/>
      <c r="L327" s="564"/>
      <c r="M327" s="564"/>
      <c r="N327" s="398"/>
    </row>
    <row r="328" spans="1:14" s="487" customFormat="1" ht="15.75" customHeight="1">
      <c r="A328" s="398"/>
      <c r="B328" s="398"/>
      <c r="C328" s="564"/>
      <c r="D328" s="564"/>
      <c r="E328" s="564"/>
      <c r="F328" s="564"/>
      <c r="G328" s="564"/>
      <c r="H328" s="564"/>
      <c r="I328" s="564"/>
      <c r="J328" s="564"/>
      <c r="K328" s="564"/>
      <c r="L328" s="564"/>
      <c r="M328" s="564"/>
      <c r="N328" s="398"/>
    </row>
    <row r="329" spans="1:14" s="487" customFormat="1" ht="15.75" customHeight="1">
      <c r="A329" s="398"/>
      <c r="B329" s="398"/>
      <c r="C329" s="564"/>
      <c r="D329" s="564"/>
      <c r="E329" s="564"/>
      <c r="F329" s="564"/>
      <c r="G329" s="564"/>
      <c r="H329" s="564"/>
      <c r="I329" s="564"/>
      <c r="J329" s="564"/>
      <c r="K329" s="564"/>
      <c r="L329" s="564"/>
      <c r="M329" s="564"/>
      <c r="N329" s="398"/>
    </row>
    <row r="330" spans="1:14" s="487" customFormat="1" ht="15.75" customHeight="1">
      <c r="A330" s="398"/>
      <c r="B330" s="398"/>
      <c r="C330" s="564"/>
      <c r="D330" s="564"/>
      <c r="E330" s="564"/>
      <c r="F330" s="564"/>
      <c r="G330" s="564"/>
      <c r="H330" s="564"/>
      <c r="I330" s="564"/>
      <c r="J330" s="564"/>
      <c r="K330" s="564"/>
      <c r="L330" s="564"/>
      <c r="M330" s="564"/>
      <c r="N330" s="398"/>
    </row>
    <row r="331" spans="1:14" s="487" customFormat="1" ht="15.75" customHeight="1">
      <c r="A331" s="398"/>
      <c r="B331" s="398"/>
      <c r="C331" s="564"/>
      <c r="D331" s="564"/>
      <c r="E331" s="564"/>
      <c r="F331" s="564"/>
      <c r="G331" s="564"/>
      <c r="H331" s="564"/>
      <c r="I331" s="564"/>
      <c r="J331" s="564"/>
      <c r="K331" s="564"/>
      <c r="L331" s="564"/>
      <c r="M331" s="564"/>
      <c r="N331" s="398"/>
    </row>
    <row r="332" spans="1:14" s="487" customFormat="1" ht="15.75" customHeight="1">
      <c r="A332" s="398"/>
      <c r="B332" s="398"/>
      <c r="C332" s="564"/>
      <c r="D332" s="564"/>
      <c r="E332" s="564"/>
      <c r="F332" s="564"/>
      <c r="G332" s="564"/>
      <c r="H332" s="564"/>
      <c r="I332" s="564"/>
      <c r="J332" s="564"/>
      <c r="K332" s="564"/>
      <c r="L332" s="564"/>
      <c r="M332" s="564"/>
      <c r="N332" s="398"/>
    </row>
    <row r="333" spans="1:14" s="487" customFormat="1" ht="15.75" customHeight="1">
      <c r="A333" s="398"/>
      <c r="B333" s="398"/>
      <c r="C333" s="564"/>
      <c r="D333" s="564"/>
      <c r="E333" s="564"/>
      <c r="F333" s="564"/>
      <c r="G333" s="564"/>
      <c r="H333" s="564"/>
      <c r="I333" s="564"/>
      <c r="J333" s="564"/>
      <c r="K333" s="564"/>
      <c r="L333" s="564"/>
      <c r="M333" s="564"/>
      <c r="N333" s="398"/>
    </row>
    <row r="334" spans="1:14" s="487" customFormat="1" ht="15.75" customHeight="1">
      <c r="A334" s="398"/>
      <c r="B334" s="398"/>
      <c r="C334" s="564"/>
      <c r="D334" s="564"/>
      <c r="E334" s="564"/>
      <c r="F334" s="564"/>
      <c r="G334" s="564"/>
      <c r="H334" s="564"/>
      <c r="I334" s="564"/>
      <c r="J334" s="564"/>
      <c r="K334" s="564"/>
      <c r="L334" s="564"/>
      <c r="M334" s="564"/>
      <c r="N334" s="398"/>
    </row>
    <row r="335" spans="1:14" s="487" customFormat="1" ht="15.75" customHeight="1">
      <c r="A335" s="398"/>
      <c r="B335" s="398"/>
      <c r="C335" s="564"/>
      <c r="D335" s="564"/>
      <c r="E335" s="564"/>
      <c r="F335" s="564"/>
      <c r="G335" s="564"/>
      <c r="H335" s="564"/>
      <c r="I335" s="564"/>
      <c r="J335" s="564"/>
      <c r="K335" s="564"/>
      <c r="L335" s="564"/>
      <c r="M335" s="564"/>
      <c r="N335" s="398"/>
    </row>
    <row r="336" spans="1:14" s="487" customFormat="1" ht="15.75" customHeight="1">
      <c r="A336" s="398"/>
      <c r="B336" s="398"/>
      <c r="C336" s="564"/>
      <c r="D336" s="564"/>
      <c r="E336" s="564"/>
      <c r="F336" s="564"/>
      <c r="G336" s="564"/>
      <c r="H336" s="564"/>
      <c r="I336" s="564"/>
      <c r="J336" s="564"/>
      <c r="K336" s="564"/>
      <c r="L336" s="564"/>
      <c r="M336" s="564"/>
      <c r="N336" s="398"/>
    </row>
    <row r="337" spans="1:14" s="487" customFormat="1" ht="15.75" customHeight="1">
      <c r="A337" s="398"/>
      <c r="B337" s="398"/>
      <c r="C337" s="564"/>
      <c r="D337" s="564"/>
      <c r="E337" s="564"/>
      <c r="F337" s="564"/>
      <c r="G337" s="564"/>
      <c r="H337" s="564"/>
      <c r="I337" s="564"/>
      <c r="J337" s="564"/>
      <c r="K337" s="564"/>
      <c r="L337" s="564"/>
      <c r="M337" s="564"/>
      <c r="N337" s="398"/>
    </row>
    <row r="338" spans="1:14" s="487" customFormat="1" ht="15.75" customHeight="1">
      <c r="A338" s="398"/>
      <c r="B338" s="398"/>
      <c r="C338" s="564"/>
      <c r="D338" s="564"/>
      <c r="E338" s="564"/>
      <c r="F338" s="564"/>
      <c r="G338" s="564"/>
      <c r="H338" s="564"/>
      <c r="I338" s="564"/>
      <c r="J338" s="564"/>
      <c r="K338" s="564"/>
      <c r="L338" s="564"/>
      <c r="M338" s="564"/>
      <c r="N338" s="398"/>
    </row>
    <row r="339" spans="1:14" s="487" customFormat="1" ht="15.75" customHeight="1">
      <c r="A339" s="398"/>
      <c r="B339" s="398"/>
      <c r="C339" s="564"/>
      <c r="D339" s="564"/>
      <c r="E339" s="564"/>
      <c r="F339" s="564"/>
      <c r="G339" s="564"/>
      <c r="H339" s="564"/>
      <c r="I339" s="564"/>
      <c r="J339" s="564"/>
      <c r="K339" s="564"/>
      <c r="L339" s="564"/>
      <c r="M339" s="564"/>
      <c r="N339" s="398"/>
    </row>
    <row r="340" spans="1:14" s="487" customFormat="1" ht="15.75" customHeight="1">
      <c r="A340" s="398"/>
      <c r="B340" s="398"/>
      <c r="C340" s="564"/>
      <c r="D340" s="564"/>
      <c r="E340" s="564"/>
      <c r="F340" s="564"/>
      <c r="G340" s="564"/>
      <c r="H340" s="564"/>
      <c r="I340" s="564"/>
      <c r="J340" s="564"/>
      <c r="K340" s="564"/>
      <c r="L340" s="564"/>
      <c r="M340" s="564"/>
      <c r="N340" s="398"/>
    </row>
    <row r="341" spans="1:14" s="487" customFormat="1" ht="15.75" customHeight="1">
      <c r="A341" s="398"/>
      <c r="B341" s="398"/>
      <c r="C341" s="564"/>
      <c r="D341" s="564"/>
      <c r="E341" s="564"/>
      <c r="F341" s="564"/>
      <c r="G341" s="564"/>
      <c r="H341" s="564"/>
      <c r="I341" s="564"/>
      <c r="J341" s="564"/>
      <c r="K341" s="564"/>
      <c r="L341" s="564"/>
      <c r="M341" s="564"/>
      <c r="N341" s="398"/>
    </row>
    <row r="342" spans="1:14" s="487" customFormat="1" ht="15.75" customHeight="1">
      <c r="A342" s="398"/>
      <c r="B342" s="398"/>
      <c r="C342" s="564"/>
      <c r="D342" s="564"/>
      <c r="E342" s="564"/>
      <c r="F342" s="564"/>
      <c r="G342" s="564"/>
      <c r="H342" s="564"/>
      <c r="I342" s="564"/>
      <c r="J342" s="564"/>
      <c r="K342" s="564"/>
      <c r="L342" s="564"/>
      <c r="M342" s="564"/>
      <c r="N342" s="398"/>
    </row>
    <row r="343" spans="1:14" s="487" customFormat="1" ht="15.75" customHeight="1">
      <c r="A343" s="398"/>
      <c r="B343" s="398"/>
      <c r="C343" s="564"/>
      <c r="D343" s="564"/>
      <c r="E343" s="564"/>
      <c r="F343" s="564"/>
      <c r="G343" s="564"/>
      <c r="H343" s="564"/>
      <c r="I343" s="564"/>
      <c r="J343" s="564"/>
      <c r="K343" s="564"/>
      <c r="L343" s="564"/>
      <c r="M343" s="564"/>
      <c r="N343" s="398"/>
    </row>
    <row r="344" spans="1:14" s="487" customFormat="1" ht="15.75" customHeight="1">
      <c r="A344" s="398"/>
      <c r="B344" s="398"/>
      <c r="C344" s="564"/>
      <c r="D344" s="564"/>
      <c r="E344" s="564"/>
      <c r="F344" s="564"/>
      <c r="G344" s="564"/>
      <c r="H344" s="564"/>
      <c r="I344" s="564"/>
      <c r="J344" s="564"/>
      <c r="K344" s="564"/>
      <c r="L344" s="564"/>
      <c r="M344" s="564"/>
      <c r="N344" s="398"/>
    </row>
    <row r="345" spans="1:14" s="487" customFormat="1" ht="15.75" customHeight="1">
      <c r="A345" s="398"/>
      <c r="B345" s="398"/>
      <c r="C345" s="564"/>
      <c r="D345" s="564"/>
      <c r="E345" s="564"/>
      <c r="F345" s="564"/>
      <c r="G345" s="564"/>
      <c r="H345" s="564"/>
      <c r="I345" s="564"/>
      <c r="J345" s="564"/>
      <c r="K345" s="564"/>
      <c r="L345" s="564"/>
      <c r="M345" s="564"/>
      <c r="N345" s="398"/>
    </row>
    <row r="346" spans="1:14" s="487" customFormat="1" ht="15.75" customHeight="1">
      <c r="A346" s="398"/>
      <c r="B346" s="398"/>
      <c r="C346" s="564"/>
      <c r="D346" s="564"/>
      <c r="E346" s="564"/>
      <c r="F346" s="564"/>
      <c r="G346" s="564"/>
      <c r="H346" s="564"/>
      <c r="I346" s="564"/>
      <c r="J346" s="564"/>
      <c r="K346" s="564"/>
      <c r="L346" s="564"/>
      <c r="M346" s="564"/>
      <c r="N346" s="398"/>
    </row>
    <row r="347" spans="1:14" s="487" customFormat="1" ht="15.75" customHeight="1">
      <c r="A347" s="398"/>
      <c r="B347" s="398"/>
      <c r="C347" s="564"/>
      <c r="D347" s="564"/>
      <c r="E347" s="564"/>
      <c r="F347" s="564"/>
      <c r="G347" s="564"/>
      <c r="H347" s="564"/>
      <c r="I347" s="564"/>
      <c r="J347" s="564"/>
      <c r="K347" s="564"/>
      <c r="L347" s="564"/>
      <c r="M347" s="564"/>
      <c r="N347" s="398"/>
    </row>
    <row r="348" spans="1:14" s="487" customFormat="1" ht="15.75" customHeight="1">
      <c r="A348" s="398"/>
      <c r="B348" s="398"/>
      <c r="C348" s="564"/>
      <c r="D348" s="564"/>
      <c r="E348" s="564"/>
      <c r="F348" s="564"/>
      <c r="G348" s="564"/>
      <c r="H348" s="564"/>
      <c r="I348" s="564"/>
      <c r="J348" s="564"/>
      <c r="K348" s="564"/>
      <c r="L348" s="564"/>
      <c r="M348" s="564"/>
      <c r="N348" s="398"/>
    </row>
    <row r="349" spans="1:14" s="487" customFormat="1" ht="15.75" customHeight="1">
      <c r="A349" s="398"/>
      <c r="B349" s="398"/>
      <c r="C349" s="564"/>
      <c r="D349" s="564"/>
      <c r="E349" s="564"/>
      <c r="F349" s="564"/>
      <c r="G349" s="564"/>
      <c r="H349" s="564"/>
      <c r="I349" s="564"/>
      <c r="J349" s="564"/>
      <c r="K349" s="564"/>
      <c r="L349" s="564"/>
      <c r="M349" s="564"/>
      <c r="N349" s="398"/>
    </row>
    <row r="350" spans="1:14" s="487" customFormat="1" ht="15.75" customHeight="1">
      <c r="A350" s="398"/>
      <c r="B350" s="398"/>
      <c r="C350" s="564"/>
      <c r="D350" s="564"/>
      <c r="E350" s="564"/>
      <c r="F350" s="564"/>
      <c r="G350" s="564"/>
      <c r="H350" s="564"/>
      <c r="I350" s="564"/>
      <c r="J350" s="564"/>
      <c r="K350" s="564"/>
      <c r="L350" s="564"/>
      <c r="M350" s="564"/>
      <c r="N350" s="398"/>
    </row>
    <row r="351" spans="1:14" s="487" customFormat="1" ht="15.75" customHeight="1">
      <c r="A351" s="398"/>
      <c r="B351" s="398"/>
      <c r="C351" s="564"/>
      <c r="D351" s="564"/>
      <c r="E351" s="564"/>
      <c r="F351" s="564"/>
      <c r="G351" s="564"/>
      <c r="H351" s="564"/>
      <c r="I351" s="564"/>
      <c r="J351" s="564"/>
      <c r="K351" s="564"/>
      <c r="L351" s="564"/>
      <c r="M351" s="564"/>
      <c r="N351" s="398"/>
    </row>
    <row r="352" spans="1:14" s="487" customFormat="1" ht="15.75" customHeight="1">
      <c r="A352" s="398"/>
      <c r="B352" s="398"/>
      <c r="C352" s="564"/>
      <c r="D352" s="564"/>
      <c r="E352" s="564"/>
      <c r="F352" s="564"/>
      <c r="G352" s="564"/>
      <c r="H352" s="564"/>
      <c r="I352" s="564"/>
      <c r="J352" s="564"/>
      <c r="K352" s="564"/>
      <c r="L352" s="564"/>
      <c r="M352" s="564"/>
      <c r="N352" s="398"/>
    </row>
    <row r="353" spans="1:14" s="487" customFormat="1" ht="15.75" customHeight="1">
      <c r="A353" s="398"/>
      <c r="B353" s="398"/>
      <c r="C353" s="564"/>
      <c r="D353" s="564"/>
      <c r="E353" s="564"/>
      <c r="F353" s="564"/>
      <c r="G353" s="564"/>
      <c r="H353" s="564"/>
      <c r="I353" s="564"/>
      <c r="J353" s="564"/>
      <c r="K353" s="564"/>
      <c r="L353" s="564"/>
      <c r="M353" s="564"/>
      <c r="N353" s="398"/>
    </row>
    <row r="354" spans="1:14" s="487" customFormat="1" ht="15.75" customHeight="1">
      <c r="A354" s="398"/>
      <c r="B354" s="398"/>
      <c r="C354" s="564"/>
      <c r="D354" s="564"/>
      <c r="E354" s="564"/>
      <c r="F354" s="564"/>
      <c r="G354" s="564"/>
      <c r="H354" s="564"/>
      <c r="I354" s="564"/>
      <c r="J354" s="564"/>
      <c r="K354" s="564"/>
      <c r="L354" s="564"/>
      <c r="M354" s="564"/>
      <c r="N354" s="398"/>
    </row>
    <row r="355" spans="1:14" s="487" customFormat="1" ht="15.75" customHeight="1">
      <c r="A355" s="398"/>
      <c r="B355" s="398"/>
      <c r="C355" s="564"/>
      <c r="D355" s="564"/>
      <c r="E355" s="564"/>
      <c r="F355" s="564"/>
      <c r="G355" s="564"/>
      <c r="H355" s="564"/>
      <c r="I355" s="564"/>
      <c r="J355" s="564"/>
      <c r="K355" s="564"/>
      <c r="L355" s="564"/>
      <c r="M355" s="564"/>
      <c r="N355" s="398"/>
    </row>
    <row r="356" spans="1:14" s="487" customFormat="1" ht="15.75" customHeight="1">
      <c r="A356" s="398"/>
      <c r="B356" s="398"/>
      <c r="C356" s="564"/>
      <c r="D356" s="564"/>
      <c r="E356" s="564"/>
      <c r="F356" s="564"/>
      <c r="G356" s="564"/>
      <c r="H356" s="564"/>
      <c r="I356" s="564"/>
      <c r="J356" s="564"/>
      <c r="K356" s="564"/>
      <c r="L356" s="564"/>
      <c r="M356" s="564"/>
      <c r="N356" s="398"/>
    </row>
    <row r="357" spans="1:14" s="487" customFormat="1" ht="15.75" customHeight="1">
      <c r="A357" s="398"/>
      <c r="B357" s="398"/>
      <c r="C357" s="564"/>
      <c r="D357" s="564"/>
      <c r="E357" s="564"/>
      <c r="F357" s="564"/>
      <c r="G357" s="564"/>
      <c r="H357" s="564"/>
      <c r="I357" s="564"/>
      <c r="J357" s="564"/>
      <c r="K357" s="564"/>
      <c r="L357" s="564"/>
      <c r="M357" s="564"/>
      <c r="N357" s="398"/>
    </row>
    <row r="358" spans="1:14" s="487" customFormat="1" ht="15.75" customHeight="1">
      <c r="A358" s="398"/>
      <c r="B358" s="398"/>
      <c r="C358" s="564"/>
      <c r="D358" s="564"/>
      <c r="E358" s="564"/>
      <c r="F358" s="564"/>
      <c r="G358" s="564"/>
      <c r="H358" s="564"/>
      <c r="I358" s="564"/>
      <c r="J358" s="564"/>
      <c r="K358" s="564"/>
      <c r="L358" s="564"/>
      <c r="M358" s="564"/>
      <c r="N358" s="398"/>
    </row>
    <row r="359" spans="1:14" s="487" customFormat="1" ht="15.75" customHeight="1">
      <c r="A359" s="398"/>
      <c r="B359" s="398"/>
      <c r="C359" s="564"/>
      <c r="D359" s="564"/>
      <c r="E359" s="564"/>
      <c r="F359" s="564"/>
      <c r="G359" s="564"/>
      <c r="H359" s="564"/>
      <c r="I359" s="564"/>
      <c r="J359" s="564"/>
      <c r="K359" s="564"/>
      <c r="L359" s="564"/>
      <c r="M359" s="564"/>
      <c r="N359" s="398"/>
    </row>
    <row r="360" spans="1:14" s="487" customFormat="1" ht="15.75" customHeight="1">
      <c r="A360" s="398"/>
      <c r="B360" s="398"/>
      <c r="C360" s="564"/>
      <c r="D360" s="564"/>
      <c r="E360" s="564"/>
      <c r="F360" s="564"/>
      <c r="G360" s="564"/>
      <c r="H360" s="564"/>
      <c r="I360" s="564"/>
      <c r="J360" s="564"/>
      <c r="K360" s="564"/>
      <c r="L360" s="564"/>
      <c r="M360" s="564"/>
      <c r="N360" s="398"/>
    </row>
    <row r="361" spans="1:14" s="487" customFormat="1" ht="15.75" customHeight="1">
      <c r="A361" s="398"/>
      <c r="B361" s="398"/>
      <c r="C361" s="564"/>
      <c r="D361" s="564"/>
      <c r="E361" s="564"/>
      <c r="F361" s="564"/>
      <c r="G361" s="564"/>
      <c r="H361" s="564"/>
      <c r="I361" s="564"/>
      <c r="J361" s="564"/>
      <c r="K361" s="564"/>
      <c r="L361" s="564"/>
      <c r="M361" s="564"/>
      <c r="N361" s="398"/>
    </row>
    <row r="362" spans="1:14" s="487" customFormat="1" ht="15.75" customHeight="1">
      <c r="A362" s="398"/>
      <c r="B362" s="398"/>
      <c r="C362" s="564"/>
      <c r="D362" s="564"/>
      <c r="E362" s="564"/>
      <c r="F362" s="564"/>
      <c r="G362" s="564"/>
      <c r="H362" s="564"/>
      <c r="I362" s="564"/>
      <c r="J362" s="564"/>
      <c r="K362" s="564"/>
      <c r="L362" s="564"/>
      <c r="M362" s="564"/>
      <c r="N362" s="398"/>
    </row>
    <row r="363" spans="1:14" s="487" customFormat="1" ht="15.75" customHeight="1">
      <c r="A363" s="398"/>
      <c r="B363" s="398"/>
      <c r="C363" s="564"/>
      <c r="D363" s="564"/>
      <c r="E363" s="564"/>
      <c r="F363" s="564"/>
      <c r="G363" s="564"/>
      <c r="H363" s="564"/>
      <c r="I363" s="564"/>
      <c r="J363" s="564"/>
      <c r="K363" s="564"/>
      <c r="L363" s="564"/>
      <c r="M363" s="564"/>
      <c r="N363" s="398"/>
    </row>
    <row r="364" spans="1:14" s="487" customFormat="1" ht="15.75" customHeight="1">
      <c r="A364" s="398"/>
      <c r="B364" s="398"/>
      <c r="C364" s="564"/>
      <c r="D364" s="564"/>
      <c r="E364" s="564"/>
      <c r="F364" s="564"/>
      <c r="G364" s="564"/>
      <c r="H364" s="564"/>
      <c r="I364" s="564"/>
      <c r="J364" s="564"/>
      <c r="K364" s="564"/>
      <c r="L364" s="564"/>
      <c r="M364" s="564"/>
      <c r="N364" s="398"/>
    </row>
    <row r="365" spans="1:14" s="487" customFormat="1" ht="15.75" customHeight="1">
      <c r="A365" s="398"/>
      <c r="B365" s="398"/>
      <c r="C365" s="564"/>
      <c r="D365" s="564"/>
      <c r="E365" s="564"/>
      <c r="F365" s="564"/>
      <c r="G365" s="564"/>
      <c r="H365" s="564"/>
      <c r="I365" s="564"/>
      <c r="J365" s="564"/>
      <c r="K365" s="564"/>
      <c r="L365" s="564"/>
      <c r="M365" s="564"/>
      <c r="N365" s="398"/>
    </row>
    <row r="366" spans="1:14" s="487" customFormat="1" ht="15.75" customHeight="1">
      <c r="A366" s="398"/>
      <c r="B366" s="398"/>
      <c r="C366" s="564"/>
      <c r="D366" s="564"/>
      <c r="E366" s="564"/>
      <c r="F366" s="564"/>
      <c r="G366" s="564"/>
      <c r="H366" s="564"/>
      <c r="I366" s="564"/>
      <c r="J366" s="564"/>
      <c r="K366" s="564"/>
      <c r="L366" s="564"/>
      <c r="M366" s="564"/>
      <c r="N366" s="398"/>
    </row>
    <row r="367" spans="1:14" s="487" customFormat="1" ht="15.75" customHeight="1">
      <c r="A367" s="398"/>
      <c r="B367" s="398"/>
      <c r="C367" s="564"/>
      <c r="D367" s="564"/>
      <c r="E367" s="564"/>
      <c r="F367" s="564"/>
      <c r="G367" s="564"/>
      <c r="H367" s="564"/>
      <c r="I367" s="564"/>
      <c r="J367" s="564"/>
      <c r="K367" s="564"/>
      <c r="L367" s="564"/>
      <c r="M367" s="564"/>
      <c r="N367" s="398"/>
    </row>
    <row r="368" spans="1:14" s="487" customFormat="1" ht="15.75" customHeight="1">
      <c r="A368" s="398"/>
      <c r="B368" s="398"/>
      <c r="C368" s="564"/>
      <c r="D368" s="564"/>
      <c r="E368" s="564"/>
      <c r="F368" s="564"/>
      <c r="G368" s="564"/>
      <c r="H368" s="564"/>
      <c r="I368" s="564"/>
      <c r="J368" s="564"/>
      <c r="K368" s="564"/>
      <c r="L368" s="564"/>
      <c r="M368" s="564"/>
      <c r="N368" s="398"/>
    </row>
    <row r="369" spans="1:14" s="487" customFormat="1" ht="15.75" customHeight="1">
      <c r="A369" s="398"/>
      <c r="B369" s="398"/>
      <c r="C369" s="564"/>
      <c r="D369" s="564"/>
      <c r="E369" s="564"/>
      <c r="F369" s="564"/>
      <c r="G369" s="564"/>
      <c r="H369" s="564"/>
      <c r="I369" s="564"/>
      <c r="J369" s="564"/>
      <c r="K369" s="564"/>
      <c r="L369" s="564"/>
      <c r="M369" s="564"/>
      <c r="N369" s="398"/>
    </row>
    <row r="370" spans="1:14" s="487" customFormat="1" ht="15.75" customHeight="1">
      <c r="A370" s="398"/>
      <c r="B370" s="398"/>
      <c r="C370" s="564"/>
      <c r="D370" s="564"/>
      <c r="E370" s="564"/>
      <c r="F370" s="564"/>
      <c r="G370" s="564"/>
      <c r="H370" s="564"/>
      <c r="I370" s="564"/>
      <c r="J370" s="564"/>
      <c r="K370" s="564"/>
      <c r="L370" s="564"/>
      <c r="M370" s="564"/>
      <c r="N370" s="398"/>
    </row>
    <row r="371" spans="1:14" s="487" customFormat="1" ht="15.75" customHeight="1">
      <c r="A371" s="398"/>
      <c r="B371" s="398"/>
      <c r="C371" s="564"/>
      <c r="D371" s="564"/>
      <c r="E371" s="564"/>
      <c r="F371" s="564"/>
      <c r="G371" s="564"/>
      <c r="H371" s="564"/>
      <c r="I371" s="564"/>
      <c r="J371" s="564"/>
      <c r="K371" s="564"/>
      <c r="L371" s="564"/>
      <c r="M371" s="564"/>
      <c r="N371" s="398"/>
    </row>
    <row r="372" spans="1:14" s="487" customFormat="1" ht="15.75" customHeight="1">
      <c r="A372" s="398"/>
      <c r="B372" s="398"/>
      <c r="C372" s="564"/>
      <c r="D372" s="564"/>
      <c r="E372" s="564"/>
      <c r="F372" s="564"/>
      <c r="G372" s="564"/>
      <c r="H372" s="564"/>
      <c r="I372" s="564"/>
      <c r="J372" s="564"/>
      <c r="K372" s="564"/>
      <c r="L372" s="564"/>
      <c r="M372" s="564"/>
      <c r="N372" s="398"/>
    </row>
    <row r="373" spans="1:14" s="487" customFormat="1" ht="15.75" customHeight="1">
      <c r="A373" s="398"/>
      <c r="B373" s="398"/>
      <c r="C373" s="564"/>
      <c r="D373" s="564"/>
      <c r="E373" s="564"/>
      <c r="F373" s="564"/>
      <c r="G373" s="564"/>
      <c r="H373" s="564"/>
      <c r="I373" s="564"/>
      <c r="J373" s="564"/>
      <c r="K373" s="564"/>
      <c r="L373" s="564"/>
      <c r="M373" s="564"/>
      <c r="N373" s="398"/>
    </row>
    <row r="374" spans="1:14" s="487" customFormat="1" ht="15.75" customHeight="1">
      <c r="A374" s="398"/>
      <c r="B374" s="398"/>
      <c r="C374" s="564"/>
      <c r="D374" s="564"/>
      <c r="E374" s="564"/>
      <c r="F374" s="564"/>
      <c r="G374" s="564"/>
      <c r="H374" s="564"/>
      <c r="I374" s="564"/>
      <c r="J374" s="564"/>
      <c r="K374" s="564"/>
      <c r="L374" s="564"/>
      <c r="M374" s="564"/>
      <c r="N374" s="398"/>
    </row>
    <row r="375" spans="1:14" s="487" customFormat="1" ht="15.75" customHeight="1">
      <c r="A375" s="398"/>
      <c r="B375" s="398"/>
      <c r="C375" s="564"/>
      <c r="D375" s="564"/>
      <c r="E375" s="564"/>
      <c r="F375" s="564"/>
      <c r="G375" s="564"/>
      <c r="H375" s="564"/>
      <c r="I375" s="564"/>
      <c r="J375" s="564"/>
      <c r="K375" s="564"/>
      <c r="L375" s="564"/>
      <c r="M375" s="564"/>
      <c r="N375" s="398"/>
    </row>
    <row r="376" spans="1:14" s="487" customFormat="1" ht="15.75" customHeight="1">
      <c r="A376" s="398"/>
      <c r="B376" s="398"/>
      <c r="C376" s="564"/>
      <c r="D376" s="564"/>
      <c r="E376" s="564"/>
      <c r="F376" s="564"/>
      <c r="G376" s="564"/>
      <c r="H376" s="564"/>
      <c r="I376" s="564"/>
      <c r="J376" s="564"/>
      <c r="K376" s="564"/>
      <c r="L376" s="564"/>
      <c r="M376" s="564"/>
      <c r="N376" s="398"/>
    </row>
    <row r="377" spans="1:14" s="487" customFormat="1" ht="15.75" customHeight="1">
      <c r="A377" s="398"/>
      <c r="B377" s="398"/>
      <c r="C377" s="564"/>
      <c r="D377" s="564"/>
      <c r="E377" s="564"/>
      <c r="F377" s="564"/>
      <c r="G377" s="564"/>
      <c r="H377" s="564"/>
      <c r="I377" s="564"/>
      <c r="J377" s="564"/>
      <c r="K377" s="564"/>
      <c r="L377" s="564"/>
      <c r="M377" s="564"/>
      <c r="N377" s="398"/>
    </row>
    <row r="378" spans="1:14" s="487" customFormat="1" ht="15.75" customHeight="1">
      <c r="A378" s="398"/>
      <c r="B378" s="398"/>
      <c r="C378" s="564"/>
      <c r="D378" s="564"/>
      <c r="E378" s="564"/>
      <c r="F378" s="564"/>
      <c r="G378" s="564"/>
      <c r="H378" s="564"/>
      <c r="I378" s="564"/>
      <c r="J378" s="564"/>
      <c r="K378" s="564"/>
      <c r="L378" s="564"/>
      <c r="M378" s="564"/>
      <c r="N378" s="398"/>
    </row>
    <row r="379" spans="1:14" s="487" customFormat="1" ht="15.75" customHeight="1">
      <c r="A379" s="398"/>
      <c r="B379" s="398"/>
      <c r="C379" s="564"/>
      <c r="D379" s="564"/>
      <c r="E379" s="564"/>
      <c r="F379" s="564"/>
      <c r="G379" s="564"/>
      <c r="H379" s="564"/>
      <c r="I379" s="564"/>
      <c r="J379" s="564"/>
      <c r="K379" s="564"/>
      <c r="L379" s="564"/>
      <c r="M379" s="564"/>
      <c r="N379" s="398"/>
    </row>
    <row r="380" spans="1:14" s="487" customFormat="1" ht="15.75" customHeight="1">
      <c r="A380" s="398"/>
      <c r="B380" s="398"/>
      <c r="C380" s="564"/>
      <c r="D380" s="564"/>
      <c r="E380" s="564"/>
      <c r="F380" s="564"/>
      <c r="G380" s="564"/>
      <c r="H380" s="564"/>
      <c r="I380" s="564"/>
      <c r="J380" s="564"/>
      <c r="K380" s="564"/>
      <c r="L380" s="564"/>
      <c r="M380" s="564"/>
      <c r="N380" s="398"/>
    </row>
    <row r="381" spans="1:14" s="487" customFormat="1" ht="15.75" customHeight="1">
      <c r="A381" s="398"/>
      <c r="B381" s="398"/>
      <c r="C381" s="564"/>
      <c r="D381" s="564"/>
      <c r="E381" s="564"/>
      <c r="F381" s="564"/>
      <c r="G381" s="564"/>
      <c r="H381" s="564"/>
      <c r="I381" s="564"/>
      <c r="J381" s="564"/>
      <c r="K381" s="564"/>
      <c r="L381" s="564"/>
      <c r="M381" s="564"/>
      <c r="N381" s="398"/>
    </row>
    <row r="382" spans="1:14" s="487" customFormat="1" ht="15.75" customHeight="1">
      <c r="A382" s="398"/>
      <c r="B382" s="398"/>
      <c r="C382" s="564"/>
      <c r="D382" s="564"/>
      <c r="E382" s="564"/>
      <c r="F382" s="564"/>
      <c r="G382" s="564"/>
      <c r="H382" s="564"/>
      <c r="I382" s="564"/>
      <c r="J382" s="564"/>
      <c r="K382" s="564"/>
      <c r="L382" s="564"/>
      <c r="M382" s="564"/>
      <c r="N382" s="398"/>
    </row>
    <row r="383" spans="1:14" s="487" customFormat="1" ht="15.75" customHeight="1">
      <c r="A383" s="398"/>
      <c r="B383" s="398"/>
      <c r="C383" s="564"/>
      <c r="D383" s="564"/>
      <c r="E383" s="564"/>
      <c r="F383" s="564"/>
      <c r="G383" s="564"/>
      <c r="H383" s="564"/>
      <c r="I383" s="564"/>
      <c r="J383" s="564"/>
      <c r="K383" s="564"/>
      <c r="L383" s="564"/>
      <c r="M383" s="564"/>
      <c r="N383" s="398"/>
    </row>
    <row r="384" spans="1:14" s="487" customFormat="1" ht="15.75" customHeight="1">
      <c r="A384" s="398"/>
      <c r="B384" s="398"/>
      <c r="C384" s="564"/>
      <c r="D384" s="564"/>
      <c r="E384" s="564"/>
      <c r="F384" s="564"/>
      <c r="G384" s="564"/>
      <c r="H384" s="564"/>
      <c r="I384" s="564"/>
      <c r="J384" s="564"/>
      <c r="K384" s="564"/>
      <c r="L384" s="564"/>
      <c r="M384" s="564"/>
      <c r="N384" s="398"/>
    </row>
    <row r="385" spans="1:14" s="487" customFormat="1" ht="15.75" customHeight="1">
      <c r="A385" s="398"/>
      <c r="B385" s="398"/>
      <c r="C385" s="564"/>
      <c r="D385" s="564"/>
      <c r="E385" s="564"/>
      <c r="F385" s="564"/>
      <c r="G385" s="564"/>
      <c r="H385" s="564"/>
      <c r="I385" s="564"/>
      <c r="J385" s="564"/>
      <c r="K385" s="564"/>
      <c r="L385" s="564"/>
      <c r="M385" s="564"/>
      <c r="N385" s="398"/>
    </row>
    <row r="386" spans="1:14" s="487" customFormat="1" ht="15.75" customHeight="1">
      <c r="A386" s="398"/>
      <c r="B386" s="398"/>
      <c r="C386" s="564"/>
      <c r="D386" s="564"/>
      <c r="E386" s="564"/>
      <c r="F386" s="564"/>
      <c r="G386" s="564"/>
      <c r="H386" s="564"/>
      <c r="I386" s="564"/>
      <c r="J386" s="564"/>
      <c r="K386" s="564"/>
      <c r="L386" s="564"/>
      <c r="M386" s="564"/>
      <c r="N386" s="398"/>
    </row>
    <row r="387" spans="1:14" s="487" customFormat="1" ht="15.75" customHeight="1">
      <c r="A387" s="398"/>
      <c r="B387" s="398"/>
      <c r="C387" s="564"/>
      <c r="D387" s="564"/>
      <c r="E387" s="564"/>
      <c r="F387" s="564"/>
      <c r="G387" s="564"/>
      <c r="H387" s="564"/>
      <c r="I387" s="564"/>
      <c r="J387" s="564"/>
      <c r="K387" s="564"/>
      <c r="L387" s="564"/>
      <c r="M387" s="564"/>
      <c r="N387" s="398"/>
    </row>
    <row r="388" spans="1:14" s="487" customFormat="1" ht="15.75" customHeight="1">
      <c r="A388" s="398"/>
      <c r="B388" s="398"/>
      <c r="C388" s="564"/>
      <c r="D388" s="564"/>
      <c r="E388" s="564"/>
      <c r="F388" s="564"/>
      <c r="G388" s="564"/>
      <c r="H388" s="564"/>
      <c r="I388" s="564"/>
      <c r="J388" s="564"/>
      <c r="K388" s="564"/>
      <c r="L388" s="564"/>
      <c r="M388" s="564"/>
      <c r="N388" s="398"/>
    </row>
    <row r="389" spans="1:14" s="487" customFormat="1" ht="15.75" customHeight="1">
      <c r="A389" s="398"/>
      <c r="B389" s="398"/>
      <c r="C389" s="564"/>
      <c r="D389" s="564"/>
      <c r="E389" s="564"/>
      <c r="F389" s="564"/>
      <c r="G389" s="564"/>
      <c r="H389" s="564"/>
      <c r="I389" s="564"/>
      <c r="J389" s="564"/>
      <c r="K389" s="564"/>
      <c r="L389" s="564"/>
      <c r="M389" s="564"/>
      <c r="N389" s="398"/>
    </row>
    <row r="390" spans="1:14" s="487" customFormat="1" ht="15.75" customHeight="1">
      <c r="A390" s="398"/>
      <c r="B390" s="398"/>
      <c r="C390" s="564"/>
      <c r="D390" s="564"/>
      <c r="E390" s="564"/>
      <c r="F390" s="564"/>
      <c r="G390" s="564"/>
      <c r="H390" s="564"/>
      <c r="I390" s="564"/>
      <c r="J390" s="564"/>
      <c r="K390" s="564"/>
      <c r="L390" s="564"/>
      <c r="M390" s="564"/>
      <c r="N390" s="398"/>
    </row>
    <row r="391" spans="1:14" s="487" customFormat="1" ht="15.75" customHeight="1">
      <c r="A391" s="398"/>
      <c r="B391" s="398"/>
      <c r="C391" s="564"/>
      <c r="D391" s="564"/>
      <c r="E391" s="564"/>
      <c r="F391" s="564"/>
      <c r="G391" s="564"/>
      <c r="H391" s="564"/>
      <c r="I391" s="564"/>
      <c r="J391" s="564"/>
      <c r="K391" s="564"/>
      <c r="L391" s="564"/>
      <c r="M391" s="564"/>
      <c r="N391" s="398"/>
    </row>
    <row r="392" spans="1:14" s="487" customFormat="1" ht="15.75" customHeight="1">
      <c r="A392" s="398"/>
      <c r="B392" s="398"/>
      <c r="C392" s="564"/>
      <c r="D392" s="564"/>
      <c r="E392" s="564"/>
      <c r="F392" s="564"/>
      <c r="G392" s="564"/>
      <c r="H392" s="564"/>
      <c r="I392" s="564"/>
      <c r="J392" s="564"/>
      <c r="K392" s="564"/>
      <c r="L392" s="564"/>
      <c r="M392" s="564"/>
      <c r="N392" s="398"/>
    </row>
    <row r="393" spans="1:14" s="487" customFormat="1" ht="15.75" customHeight="1">
      <c r="A393" s="398"/>
      <c r="B393" s="398"/>
      <c r="C393" s="564"/>
      <c r="D393" s="564"/>
      <c r="E393" s="564"/>
      <c r="F393" s="564"/>
      <c r="G393" s="564"/>
      <c r="H393" s="564"/>
      <c r="I393" s="564"/>
      <c r="J393" s="564"/>
      <c r="K393" s="564"/>
      <c r="L393" s="564"/>
      <c r="M393" s="564"/>
      <c r="N393" s="398"/>
    </row>
    <row r="394" spans="1:14" s="487" customFormat="1" ht="15.75" customHeight="1">
      <c r="A394" s="398"/>
      <c r="B394" s="398"/>
      <c r="C394" s="564"/>
      <c r="D394" s="564"/>
      <c r="E394" s="564"/>
      <c r="F394" s="564"/>
      <c r="G394" s="564"/>
      <c r="H394" s="564"/>
      <c r="I394" s="564"/>
      <c r="J394" s="564"/>
      <c r="K394" s="564"/>
      <c r="L394" s="564"/>
      <c r="M394" s="564"/>
      <c r="N394" s="398"/>
    </row>
    <row r="395" spans="1:14" s="487" customFormat="1" ht="15.75" customHeight="1">
      <c r="A395" s="398"/>
      <c r="B395" s="398"/>
      <c r="C395" s="564"/>
      <c r="D395" s="564"/>
      <c r="E395" s="564"/>
      <c r="F395" s="564"/>
      <c r="G395" s="564"/>
      <c r="H395" s="564"/>
      <c r="I395" s="564"/>
      <c r="J395" s="564"/>
      <c r="K395" s="564"/>
      <c r="L395" s="564"/>
      <c r="M395" s="564"/>
      <c r="N395" s="398"/>
    </row>
    <row r="396" spans="1:14" s="487" customFormat="1" ht="15.75" customHeight="1">
      <c r="A396" s="398"/>
      <c r="B396" s="398"/>
      <c r="C396" s="564"/>
      <c r="D396" s="564"/>
      <c r="E396" s="564"/>
      <c r="F396" s="564"/>
      <c r="G396" s="564"/>
      <c r="H396" s="564"/>
      <c r="I396" s="564"/>
      <c r="J396" s="564"/>
      <c r="K396" s="564"/>
      <c r="L396" s="564"/>
      <c r="M396" s="564"/>
      <c r="N396" s="398"/>
    </row>
    <row r="397" spans="1:14" s="487" customFormat="1" ht="15.75" customHeight="1">
      <c r="A397" s="398"/>
      <c r="B397" s="398"/>
      <c r="C397" s="564"/>
      <c r="D397" s="564"/>
      <c r="E397" s="564"/>
      <c r="F397" s="564"/>
      <c r="G397" s="564"/>
      <c r="H397" s="564"/>
      <c r="I397" s="564"/>
      <c r="J397" s="564"/>
      <c r="K397" s="564"/>
      <c r="L397" s="564"/>
      <c r="M397" s="564"/>
      <c r="N397" s="398"/>
    </row>
    <row r="398" spans="1:14" s="487" customFormat="1" ht="15.75" customHeight="1">
      <c r="A398" s="398"/>
      <c r="B398" s="398"/>
      <c r="C398" s="564"/>
      <c r="D398" s="564"/>
      <c r="E398" s="564"/>
      <c r="F398" s="564"/>
      <c r="G398" s="564"/>
      <c r="H398" s="564"/>
      <c r="I398" s="564"/>
      <c r="J398" s="564"/>
      <c r="K398" s="564"/>
      <c r="L398" s="564"/>
      <c r="M398" s="564"/>
      <c r="N398" s="398"/>
    </row>
    <row r="399" spans="1:14" s="487" customFormat="1" ht="15.75" customHeight="1">
      <c r="A399" s="398"/>
      <c r="B399" s="398"/>
      <c r="C399" s="564"/>
      <c r="D399" s="564"/>
      <c r="E399" s="564"/>
      <c r="F399" s="564"/>
      <c r="G399" s="564"/>
      <c r="H399" s="564"/>
      <c r="I399" s="564"/>
      <c r="J399" s="564"/>
      <c r="K399" s="564"/>
      <c r="L399" s="564"/>
      <c r="M399" s="564"/>
      <c r="N399" s="398"/>
    </row>
    <row r="400" spans="1:14" s="487" customFormat="1" ht="15.75" customHeight="1">
      <c r="A400" s="398"/>
      <c r="B400" s="398"/>
      <c r="C400" s="564"/>
      <c r="D400" s="564"/>
      <c r="E400" s="564"/>
      <c r="F400" s="564"/>
      <c r="G400" s="564"/>
      <c r="H400" s="564"/>
      <c r="I400" s="564"/>
      <c r="J400" s="564"/>
      <c r="K400" s="564"/>
      <c r="L400" s="564"/>
      <c r="M400" s="564"/>
      <c r="N400" s="398"/>
    </row>
    <row r="401" spans="1:14" s="487" customFormat="1" ht="15.75" customHeight="1">
      <c r="A401" s="398"/>
      <c r="B401" s="398"/>
      <c r="C401" s="564"/>
      <c r="D401" s="564"/>
      <c r="E401" s="564"/>
      <c r="F401" s="564"/>
      <c r="G401" s="564"/>
      <c r="H401" s="564"/>
      <c r="I401" s="564"/>
      <c r="J401" s="564"/>
      <c r="K401" s="564"/>
      <c r="L401" s="564"/>
      <c r="M401" s="564"/>
      <c r="N401" s="398"/>
    </row>
    <row r="402" spans="1:14" s="487" customFormat="1" ht="15.75" customHeight="1">
      <c r="A402" s="398"/>
      <c r="B402" s="398"/>
      <c r="C402" s="564"/>
      <c r="D402" s="564"/>
      <c r="E402" s="564"/>
      <c r="F402" s="564"/>
      <c r="G402" s="564"/>
      <c r="H402" s="564"/>
      <c r="I402" s="564"/>
      <c r="J402" s="564"/>
      <c r="K402" s="564"/>
      <c r="L402" s="564"/>
      <c r="M402" s="564"/>
      <c r="N402" s="398"/>
    </row>
    <row r="403" spans="1:14" s="487" customFormat="1" ht="15.75" customHeight="1">
      <c r="A403" s="398"/>
      <c r="B403" s="398"/>
      <c r="C403" s="564"/>
      <c r="D403" s="564"/>
      <c r="E403" s="564"/>
      <c r="F403" s="564"/>
      <c r="G403" s="564"/>
      <c r="H403" s="564"/>
      <c r="I403" s="564"/>
      <c r="J403" s="564"/>
      <c r="K403" s="564"/>
      <c r="L403" s="564"/>
      <c r="M403" s="564"/>
      <c r="N403" s="398"/>
    </row>
    <row r="404" spans="1:14" s="487" customFormat="1" ht="15.75" customHeight="1">
      <c r="A404" s="398"/>
      <c r="B404" s="398"/>
      <c r="C404" s="564"/>
      <c r="D404" s="564"/>
      <c r="E404" s="564"/>
      <c r="F404" s="564"/>
      <c r="G404" s="564"/>
      <c r="H404" s="564"/>
      <c r="I404" s="564"/>
      <c r="J404" s="564"/>
      <c r="K404" s="564"/>
      <c r="L404" s="564"/>
      <c r="M404" s="564"/>
      <c r="N404" s="398"/>
    </row>
    <row r="405" spans="1:14" s="487" customFormat="1" ht="15.75" customHeight="1">
      <c r="A405" s="398"/>
      <c r="B405" s="398"/>
      <c r="C405" s="564"/>
      <c r="D405" s="564"/>
      <c r="E405" s="564"/>
      <c r="F405" s="564"/>
      <c r="G405" s="564"/>
      <c r="H405" s="564"/>
      <c r="I405" s="564"/>
      <c r="J405" s="564"/>
      <c r="K405" s="564"/>
      <c r="L405" s="564"/>
      <c r="M405" s="564"/>
      <c r="N405" s="398"/>
    </row>
    <row r="406" spans="1:14" s="487" customFormat="1" ht="15.75" customHeight="1">
      <c r="A406" s="398"/>
      <c r="B406" s="398"/>
      <c r="C406" s="564"/>
      <c r="D406" s="564"/>
      <c r="E406" s="564"/>
      <c r="F406" s="564"/>
      <c r="G406" s="564"/>
      <c r="H406" s="564"/>
      <c r="I406" s="564"/>
      <c r="J406" s="564"/>
      <c r="K406" s="564"/>
      <c r="L406" s="564"/>
      <c r="M406" s="564"/>
      <c r="N406" s="398"/>
    </row>
    <row r="407" spans="1:14" s="487" customFormat="1" ht="15.75" customHeight="1">
      <c r="A407" s="398"/>
      <c r="B407" s="398"/>
      <c r="C407" s="564"/>
      <c r="D407" s="564"/>
      <c r="E407" s="564"/>
      <c r="F407" s="564"/>
      <c r="G407" s="564"/>
      <c r="H407" s="564"/>
      <c r="I407" s="564"/>
      <c r="J407" s="564"/>
      <c r="K407" s="564"/>
      <c r="L407" s="564"/>
      <c r="M407" s="564"/>
      <c r="N407" s="398"/>
    </row>
    <row r="408" spans="1:14" s="487" customFormat="1" ht="15.75" customHeight="1">
      <c r="A408" s="398"/>
      <c r="B408" s="398"/>
      <c r="C408" s="564"/>
      <c r="D408" s="564"/>
      <c r="E408" s="564"/>
      <c r="F408" s="564"/>
      <c r="G408" s="564"/>
      <c r="H408" s="564"/>
      <c r="I408" s="564"/>
      <c r="J408" s="564"/>
      <c r="K408" s="564"/>
      <c r="L408" s="564"/>
      <c r="M408" s="564"/>
      <c r="N408" s="398"/>
    </row>
    <row r="409" spans="1:14" s="487" customFormat="1" ht="15.75" customHeight="1">
      <c r="A409" s="398"/>
      <c r="B409" s="398"/>
      <c r="C409" s="564"/>
      <c r="D409" s="564"/>
      <c r="E409" s="564"/>
      <c r="F409" s="564"/>
      <c r="G409" s="564"/>
      <c r="H409" s="564"/>
      <c r="I409" s="564"/>
      <c r="J409" s="564"/>
      <c r="K409" s="564"/>
      <c r="L409" s="564"/>
      <c r="M409" s="564"/>
      <c r="N409" s="398"/>
    </row>
    <row r="410" spans="1:14" s="487" customFormat="1" ht="15.75" customHeight="1">
      <c r="A410" s="398"/>
      <c r="B410" s="398"/>
      <c r="C410" s="564"/>
      <c r="D410" s="564"/>
      <c r="E410" s="564"/>
      <c r="F410" s="564"/>
      <c r="G410" s="564"/>
      <c r="H410" s="564"/>
      <c r="I410" s="564"/>
      <c r="J410" s="564"/>
      <c r="K410" s="564"/>
      <c r="L410" s="564"/>
      <c r="M410" s="564"/>
      <c r="N410" s="398"/>
    </row>
    <row r="411" spans="1:14" s="487" customFormat="1" ht="15.75" customHeight="1">
      <c r="A411" s="398"/>
      <c r="B411" s="398"/>
      <c r="C411" s="564"/>
      <c r="D411" s="564"/>
      <c r="E411" s="564"/>
      <c r="F411" s="564"/>
      <c r="G411" s="564"/>
      <c r="H411" s="564"/>
      <c r="I411" s="564"/>
      <c r="J411" s="564"/>
      <c r="K411" s="564"/>
      <c r="L411" s="564"/>
      <c r="M411" s="564"/>
      <c r="N411" s="398"/>
    </row>
    <row r="412" spans="1:14" s="487" customFormat="1" ht="15.75" customHeight="1">
      <c r="A412" s="398"/>
      <c r="B412" s="398"/>
      <c r="C412" s="564"/>
      <c r="D412" s="564"/>
      <c r="E412" s="564"/>
      <c r="F412" s="564"/>
      <c r="G412" s="564"/>
      <c r="H412" s="564"/>
      <c r="I412" s="564"/>
      <c r="J412" s="564"/>
      <c r="K412" s="564"/>
      <c r="L412" s="564"/>
      <c r="M412" s="564"/>
      <c r="N412" s="398"/>
    </row>
    <row r="413" spans="1:14" s="487" customFormat="1" ht="15.75" customHeight="1">
      <c r="A413" s="398"/>
      <c r="B413" s="398"/>
      <c r="C413" s="564"/>
      <c r="D413" s="564"/>
      <c r="E413" s="564"/>
      <c r="F413" s="564"/>
      <c r="G413" s="564"/>
      <c r="H413" s="564"/>
      <c r="I413" s="564"/>
      <c r="J413" s="564"/>
      <c r="K413" s="564"/>
      <c r="L413" s="564"/>
      <c r="M413" s="564"/>
      <c r="N413" s="398"/>
    </row>
    <row r="414" spans="1:14" s="487" customFormat="1" ht="15.75" customHeight="1">
      <c r="A414" s="398"/>
      <c r="B414" s="398"/>
      <c r="C414" s="564"/>
      <c r="D414" s="564"/>
      <c r="E414" s="564"/>
      <c r="F414" s="564"/>
      <c r="G414" s="564"/>
      <c r="H414" s="564"/>
      <c r="I414" s="564"/>
      <c r="J414" s="564"/>
      <c r="K414" s="564"/>
      <c r="L414" s="564"/>
      <c r="M414" s="564"/>
      <c r="N414" s="398"/>
    </row>
    <row r="415" spans="1:14" s="487" customFormat="1" ht="15.75" customHeight="1">
      <c r="A415" s="398"/>
      <c r="B415" s="398"/>
      <c r="C415" s="564"/>
      <c r="D415" s="564"/>
      <c r="E415" s="564"/>
      <c r="F415" s="564"/>
      <c r="G415" s="564"/>
      <c r="H415" s="564"/>
      <c r="I415" s="564"/>
      <c r="J415" s="564"/>
      <c r="K415" s="564"/>
      <c r="L415" s="564"/>
      <c r="M415" s="564"/>
      <c r="N415" s="398"/>
    </row>
    <row r="416" spans="1:14" s="487" customFormat="1" ht="15.75" customHeight="1">
      <c r="A416" s="398"/>
      <c r="B416" s="398"/>
      <c r="C416" s="564"/>
      <c r="D416" s="564"/>
      <c r="E416" s="564"/>
      <c r="F416" s="564"/>
      <c r="G416" s="564"/>
      <c r="H416" s="564"/>
      <c r="I416" s="564"/>
      <c r="J416" s="564"/>
      <c r="K416" s="564"/>
      <c r="L416" s="564"/>
      <c r="M416" s="564"/>
      <c r="N416" s="398"/>
    </row>
    <row r="417" spans="1:14" s="487" customFormat="1" ht="15.75" customHeight="1">
      <c r="A417" s="398"/>
      <c r="B417" s="398"/>
      <c r="C417" s="564"/>
      <c r="D417" s="564"/>
      <c r="E417" s="564"/>
      <c r="F417" s="564"/>
      <c r="G417" s="564"/>
      <c r="H417" s="564"/>
      <c r="I417" s="564"/>
      <c r="J417" s="564"/>
      <c r="K417" s="564"/>
      <c r="L417" s="564"/>
      <c r="M417" s="564"/>
      <c r="N417" s="398"/>
    </row>
    <row r="418" spans="1:14" s="487" customFormat="1" ht="15.75" customHeight="1">
      <c r="A418" s="398"/>
      <c r="B418" s="398"/>
      <c r="C418" s="564"/>
      <c r="D418" s="564"/>
      <c r="E418" s="564"/>
      <c r="F418" s="564"/>
      <c r="G418" s="564"/>
      <c r="H418" s="564"/>
      <c r="I418" s="564"/>
      <c r="J418" s="564"/>
      <c r="K418" s="564"/>
      <c r="L418" s="564"/>
      <c r="M418" s="564"/>
      <c r="N418" s="398"/>
    </row>
    <row r="419" spans="1:14" s="487" customFormat="1" ht="15.75" customHeight="1">
      <c r="A419" s="398"/>
      <c r="B419" s="398"/>
      <c r="C419" s="564"/>
      <c r="D419" s="564"/>
      <c r="E419" s="564"/>
      <c r="F419" s="564"/>
      <c r="G419" s="564"/>
      <c r="H419" s="564"/>
      <c r="I419" s="564"/>
      <c r="J419" s="564"/>
      <c r="K419" s="564"/>
      <c r="L419" s="564"/>
      <c r="M419" s="564"/>
      <c r="N419" s="398"/>
    </row>
    <row r="420" spans="1:14" s="487" customFormat="1" ht="15.75" customHeight="1">
      <c r="A420" s="398"/>
      <c r="B420" s="398"/>
      <c r="C420" s="564"/>
      <c r="D420" s="564"/>
      <c r="E420" s="564"/>
      <c r="F420" s="564"/>
      <c r="G420" s="564"/>
      <c r="H420" s="564"/>
      <c r="I420" s="564"/>
      <c r="J420" s="564"/>
      <c r="K420" s="564"/>
      <c r="L420" s="564"/>
      <c r="M420" s="564"/>
      <c r="N420" s="398"/>
    </row>
    <row r="421" spans="1:14" s="487" customFormat="1" ht="15.75" customHeight="1">
      <c r="A421" s="398"/>
      <c r="B421" s="398"/>
      <c r="C421" s="564"/>
      <c r="D421" s="564"/>
      <c r="E421" s="564"/>
      <c r="F421" s="564"/>
      <c r="G421" s="564"/>
      <c r="H421" s="564"/>
      <c r="I421" s="564"/>
      <c r="J421" s="564"/>
      <c r="K421" s="564"/>
      <c r="L421" s="564"/>
      <c r="M421" s="564"/>
      <c r="N421" s="398"/>
    </row>
    <row r="422" spans="1:14" s="487" customFormat="1" ht="15.75" customHeight="1">
      <c r="A422" s="398"/>
      <c r="B422" s="398"/>
      <c r="C422" s="398"/>
      <c r="D422" s="398"/>
      <c r="E422" s="398"/>
      <c r="F422" s="398"/>
      <c r="G422" s="398"/>
      <c r="H422" s="398"/>
      <c r="I422" s="398"/>
      <c r="J422" s="398"/>
      <c r="K422" s="398"/>
      <c r="L422" s="398"/>
      <c r="M422" s="398"/>
      <c r="N422" s="398"/>
    </row>
    <row r="423" spans="1:14" s="487" customFormat="1" ht="15.75" customHeight="1">
      <c r="A423" s="398"/>
      <c r="B423" s="398"/>
      <c r="C423" s="398"/>
      <c r="D423" s="398"/>
      <c r="E423" s="398"/>
      <c r="F423" s="398"/>
      <c r="G423" s="398"/>
      <c r="H423" s="398"/>
      <c r="I423" s="398"/>
      <c r="J423" s="398"/>
      <c r="K423" s="398"/>
      <c r="L423" s="398"/>
      <c r="M423" s="398"/>
      <c r="N423" s="398"/>
    </row>
    <row r="424" spans="1:14" s="487" customFormat="1" ht="15.75" customHeight="1">
      <c r="A424" s="398"/>
      <c r="B424" s="398"/>
      <c r="C424" s="398"/>
      <c r="D424" s="398"/>
      <c r="E424" s="398"/>
      <c r="F424" s="398"/>
      <c r="G424" s="398"/>
      <c r="H424" s="398"/>
      <c r="I424" s="398"/>
      <c r="J424" s="398"/>
      <c r="K424" s="398"/>
      <c r="L424" s="398"/>
      <c r="M424" s="398"/>
      <c r="N424" s="398"/>
    </row>
    <row r="425" spans="1:14" s="487" customFormat="1" ht="15.75" customHeight="1">
      <c r="A425" s="398"/>
      <c r="B425" s="398"/>
      <c r="C425" s="398"/>
      <c r="D425" s="398"/>
      <c r="E425" s="398"/>
      <c r="F425" s="398"/>
      <c r="G425" s="398"/>
      <c r="H425" s="398"/>
      <c r="I425" s="398"/>
      <c r="J425" s="398"/>
      <c r="K425" s="398"/>
      <c r="L425" s="398"/>
      <c r="M425" s="398"/>
      <c r="N425" s="398"/>
    </row>
    <row r="426" spans="1:14" s="487" customFormat="1" ht="15.75" customHeight="1">
      <c r="A426" s="398"/>
      <c r="B426" s="398"/>
      <c r="C426" s="398"/>
      <c r="D426" s="398"/>
      <c r="E426" s="398"/>
      <c r="F426" s="398"/>
      <c r="G426" s="398"/>
      <c r="H426" s="398"/>
      <c r="I426" s="398"/>
      <c r="J426" s="398"/>
      <c r="K426" s="398"/>
      <c r="L426" s="398"/>
      <c r="M426" s="398"/>
      <c r="N426" s="398"/>
    </row>
    <row r="427" spans="1:14" s="487" customFormat="1" ht="15.75" customHeight="1">
      <c r="A427" s="398"/>
      <c r="B427" s="398"/>
      <c r="C427" s="398"/>
      <c r="D427" s="398"/>
      <c r="E427" s="398"/>
      <c r="F427" s="398"/>
      <c r="G427" s="398"/>
      <c r="H427" s="398"/>
      <c r="I427" s="398"/>
      <c r="J427" s="398"/>
      <c r="K427" s="398"/>
      <c r="L427" s="398"/>
      <c r="M427" s="398"/>
      <c r="N427" s="398"/>
    </row>
    <row r="428" spans="1:14" s="487" customFormat="1" ht="15.75" customHeight="1">
      <c r="A428" s="398"/>
      <c r="B428" s="398"/>
      <c r="C428" s="398"/>
      <c r="D428" s="398"/>
      <c r="E428" s="398"/>
      <c r="F428" s="398"/>
      <c r="G428" s="398"/>
      <c r="H428" s="398"/>
      <c r="I428" s="398"/>
      <c r="J428" s="398"/>
      <c r="K428" s="398"/>
      <c r="L428" s="398"/>
      <c r="M428" s="398"/>
      <c r="N428" s="398"/>
    </row>
    <row r="429" spans="1:14" s="487" customFormat="1" ht="15.75" customHeight="1">
      <c r="A429" s="398"/>
      <c r="B429" s="398"/>
      <c r="C429" s="398"/>
      <c r="D429" s="398"/>
      <c r="E429" s="398"/>
      <c r="F429" s="398"/>
      <c r="G429" s="398"/>
      <c r="H429" s="398"/>
      <c r="I429" s="398"/>
      <c r="J429" s="398"/>
      <c r="K429" s="398"/>
      <c r="L429" s="398"/>
      <c r="M429" s="398"/>
      <c r="N429" s="398"/>
    </row>
    <row r="430" spans="1:14" s="487" customFormat="1" ht="15.75" customHeight="1">
      <c r="A430" s="398"/>
      <c r="B430" s="398"/>
      <c r="C430" s="398"/>
      <c r="D430" s="398"/>
      <c r="E430" s="398"/>
      <c r="F430" s="398"/>
      <c r="G430" s="398"/>
      <c r="H430" s="398"/>
      <c r="I430" s="398"/>
      <c r="J430" s="398"/>
      <c r="K430" s="398"/>
      <c r="L430" s="398"/>
      <c r="M430" s="398"/>
      <c r="N430" s="398"/>
    </row>
    <row r="431" spans="1:14" s="487" customFormat="1" ht="15.75" customHeight="1">
      <c r="A431" s="398"/>
      <c r="B431" s="398"/>
      <c r="C431" s="398"/>
      <c r="D431" s="398"/>
      <c r="E431" s="398"/>
      <c r="F431" s="398"/>
      <c r="G431" s="398"/>
      <c r="H431" s="398"/>
      <c r="I431" s="398"/>
      <c r="J431" s="398"/>
      <c r="K431" s="398"/>
      <c r="L431" s="398"/>
      <c r="M431" s="398"/>
      <c r="N431" s="398"/>
    </row>
    <row r="432" spans="1:14" s="487" customFormat="1" ht="15.75" customHeight="1">
      <c r="A432" s="398"/>
      <c r="B432" s="398"/>
      <c r="C432" s="398"/>
      <c r="D432" s="398"/>
      <c r="E432" s="398"/>
      <c r="F432" s="398"/>
      <c r="G432" s="398"/>
      <c r="H432" s="398"/>
      <c r="I432" s="398"/>
      <c r="J432" s="398"/>
      <c r="K432" s="398"/>
      <c r="L432" s="398"/>
      <c r="M432" s="398"/>
      <c r="N432" s="398"/>
    </row>
    <row r="433" spans="1:14" s="487" customFormat="1" ht="15.75" customHeight="1">
      <c r="A433" s="398"/>
      <c r="B433" s="398"/>
      <c r="C433" s="398"/>
      <c r="D433" s="398"/>
      <c r="E433" s="398"/>
      <c r="F433" s="398"/>
      <c r="G433" s="398"/>
      <c r="H433" s="398"/>
      <c r="I433" s="398"/>
      <c r="J433" s="398"/>
      <c r="K433" s="398"/>
      <c r="L433" s="398"/>
      <c r="M433" s="398"/>
      <c r="N433" s="398"/>
    </row>
    <row r="434" spans="1:14" s="487" customFormat="1" ht="15.75" customHeight="1">
      <c r="A434" s="398"/>
      <c r="B434" s="398"/>
      <c r="C434" s="398"/>
      <c r="D434" s="398"/>
      <c r="E434" s="398"/>
      <c r="F434" s="398"/>
      <c r="G434" s="398"/>
      <c r="H434" s="398"/>
      <c r="I434" s="398"/>
      <c r="J434" s="398"/>
      <c r="K434" s="398"/>
      <c r="L434" s="398"/>
      <c r="M434" s="398"/>
      <c r="N434" s="398"/>
    </row>
    <row r="435" spans="1:14" s="487" customFormat="1" ht="15.75" customHeight="1">
      <c r="A435" s="398"/>
      <c r="B435" s="398"/>
      <c r="C435" s="398"/>
      <c r="D435" s="398"/>
      <c r="E435" s="398"/>
      <c r="F435" s="398"/>
      <c r="G435" s="398"/>
      <c r="H435" s="398"/>
      <c r="I435" s="398"/>
      <c r="J435" s="398"/>
      <c r="K435" s="398"/>
      <c r="L435" s="398"/>
      <c r="M435" s="398"/>
      <c r="N435" s="398"/>
    </row>
    <row r="436" spans="1:14" s="487" customFormat="1" ht="15.75" customHeight="1">
      <c r="A436" s="398"/>
      <c r="B436" s="398"/>
      <c r="C436" s="398"/>
      <c r="D436" s="398"/>
      <c r="E436" s="398"/>
      <c r="F436" s="398"/>
      <c r="G436" s="398"/>
      <c r="H436" s="398"/>
      <c r="I436" s="398"/>
      <c r="J436" s="398"/>
      <c r="K436" s="398"/>
      <c r="L436" s="398"/>
      <c r="M436" s="398"/>
      <c r="N436" s="398"/>
    </row>
    <row r="437" spans="1:14" s="487" customFormat="1" ht="15.75" customHeight="1">
      <c r="A437" s="398"/>
      <c r="B437" s="398"/>
      <c r="C437" s="398"/>
      <c r="D437" s="398"/>
      <c r="E437" s="398"/>
      <c r="F437" s="398"/>
      <c r="G437" s="398"/>
      <c r="H437" s="398"/>
      <c r="I437" s="398"/>
      <c r="J437" s="398"/>
      <c r="K437" s="398"/>
      <c r="L437" s="398"/>
      <c r="M437" s="398"/>
      <c r="N437" s="398"/>
    </row>
    <row r="438" spans="1:14" s="487" customFormat="1" ht="15.75" customHeight="1">
      <c r="A438" s="398"/>
      <c r="B438" s="398"/>
      <c r="C438" s="398"/>
      <c r="D438" s="398"/>
      <c r="E438" s="398"/>
      <c r="F438" s="398"/>
      <c r="G438" s="398"/>
      <c r="H438" s="398"/>
      <c r="I438" s="398"/>
      <c r="J438" s="398"/>
      <c r="K438" s="398"/>
      <c r="L438" s="398"/>
      <c r="M438" s="398"/>
      <c r="N438" s="398"/>
    </row>
    <row r="439" spans="1:14" s="487" customFormat="1" ht="15.75" customHeight="1">
      <c r="A439" s="398"/>
      <c r="B439" s="398"/>
      <c r="C439" s="398"/>
      <c r="D439" s="398"/>
      <c r="E439" s="398"/>
      <c r="F439" s="398"/>
      <c r="G439" s="398"/>
      <c r="H439" s="398"/>
      <c r="I439" s="398"/>
      <c r="J439" s="398"/>
      <c r="K439" s="398"/>
      <c r="L439" s="398"/>
      <c r="M439" s="398"/>
      <c r="N439" s="398"/>
    </row>
    <row r="440" spans="1:14" s="487" customFormat="1" ht="15.75" customHeight="1">
      <c r="A440" s="398"/>
      <c r="B440" s="398"/>
      <c r="C440" s="398"/>
      <c r="D440" s="398"/>
      <c r="E440" s="398"/>
      <c r="F440" s="398"/>
      <c r="G440" s="398"/>
      <c r="H440" s="398"/>
      <c r="I440" s="398"/>
      <c r="J440" s="398"/>
      <c r="K440" s="398"/>
      <c r="L440" s="398"/>
      <c r="M440" s="398"/>
      <c r="N440" s="398"/>
    </row>
    <row r="441" spans="1:14" s="487" customFormat="1" ht="15.75" customHeight="1">
      <c r="A441" s="398"/>
      <c r="B441" s="398"/>
      <c r="C441" s="398"/>
      <c r="D441" s="398"/>
      <c r="E441" s="398"/>
      <c r="F441" s="398"/>
      <c r="G441" s="398"/>
      <c r="H441" s="398"/>
      <c r="I441" s="398"/>
      <c r="J441" s="398"/>
      <c r="K441" s="398"/>
      <c r="L441" s="398"/>
      <c r="M441" s="398"/>
      <c r="N441" s="398"/>
    </row>
    <row r="442" spans="1:14" s="487" customFormat="1" ht="15.75" customHeight="1">
      <c r="A442" s="398"/>
      <c r="B442" s="398"/>
      <c r="C442" s="398"/>
      <c r="D442" s="398"/>
      <c r="E442" s="398"/>
      <c r="F442" s="398"/>
      <c r="G442" s="398"/>
      <c r="H442" s="398"/>
      <c r="I442" s="398"/>
      <c r="J442" s="398"/>
      <c r="K442" s="398"/>
      <c r="L442" s="398"/>
      <c r="M442" s="398"/>
      <c r="N442" s="398"/>
    </row>
    <row r="443" spans="1:14" s="487" customFormat="1" ht="15.75" customHeight="1">
      <c r="A443" s="398"/>
      <c r="B443" s="398"/>
      <c r="C443" s="398"/>
      <c r="D443" s="398"/>
      <c r="E443" s="398"/>
      <c r="F443" s="398"/>
      <c r="G443" s="398"/>
      <c r="H443" s="398"/>
      <c r="I443" s="398"/>
      <c r="J443" s="398"/>
      <c r="K443" s="398"/>
      <c r="L443" s="398"/>
      <c r="M443" s="398"/>
      <c r="N443" s="398"/>
    </row>
    <row r="444" spans="1:14" s="487" customFormat="1" ht="15.75" customHeight="1">
      <c r="A444" s="398"/>
      <c r="B444" s="398"/>
      <c r="C444" s="398"/>
      <c r="D444" s="398"/>
      <c r="E444" s="398"/>
      <c r="F444" s="398"/>
      <c r="G444" s="398"/>
      <c r="H444" s="398"/>
      <c r="I444" s="398"/>
      <c r="J444" s="398"/>
      <c r="K444" s="398"/>
      <c r="L444" s="398"/>
      <c r="M444" s="398"/>
      <c r="N444" s="398"/>
    </row>
    <row r="445" spans="1:14" s="487" customFormat="1" ht="15.75" customHeight="1">
      <c r="A445" s="398"/>
      <c r="B445" s="398"/>
      <c r="C445" s="398"/>
      <c r="D445" s="398"/>
      <c r="E445" s="398"/>
      <c r="F445" s="398"/>
      <c r="G445" s="398"/>
      <c r="H445" s="398"/>
      <c r="I445" s="398"/>
      <c r="J445" s="398"/>
      <c r="K445" s="398"/>
      <c r="L445" s="398"/>
      <c r="M445" s="398"/>
      <c r="N445" s="398"/>
    </row>
    <row r="446" spans="1:14" s="487" customFormat="1" ht="15.75" customHeight="1">
      <c r="A446" s="398"/>
      <c r="B446" s="398"/>
      <c r="C446" s="398"/>
      <c r="D446" s="398"/>
      <c r="E446" s="398"/>
      <c r="F446" s="398"/>
      <c r="G446" s="398"/>
      <c r="H446" s="398"/>
      <c r="I446" s="398"/>
      <c r="J446" s="398"/>
      <c r="K446" s="398"/>
      <c r="L446" s="398"/>
      <c r="M446" s="398"/>
      <c r="N446" s="398"/>
    </row>
    <row r="447" spans="1:14" s="487" customFormat="1" ht="15.75" customHeight="1">
      <c r="A447" s="398"/>
      <c r="B447" s="398"/>
      <c r="C447" s="398"/>
      <c r="D447" s="398"/>
      <c r="E447" s="398"/>
      <c r="F447" s="398"/>
      <c r="G447" s="398"/>
      <c r="H447" s="398"/>
      <c r="I447" s="398"/>
      <c r="J447" s="398"/>
      <c r="K447" s="398"/>
      <c r="L447" s="398"/>
      <c r="M447" s="398"/>
      <c r="N447" s="398"/>
    </row>
    <row r="448" spans="1:14" s="487" customFormat="1" ht="15.75" customHeight="1">
      <c r="A448" s="398"/>
      <c r="B448" s="398"/>
      <c r="C448" s="398"/>
      <c r="D448" s="398"/>
      <c r="E448" s="398"/>
      <c r="F448" s="398"/>
      <c r="G448" s="398"/>
      <c r="H448" s="398"/>
      <c r="I448" s="398"/>
      <c r="J448" s="398"/>
      <c r="K448" s="398"/>
      <c r="L448" s="398"/>
      <c r="M448" s="398"/>
      <c r="N448" s="398"/>
    </row>
    <row r="449" spans="1:14" s="487" customFormat="1" ht="15.75" customHeight="1">
      <c r="A449" s="398"/>
      <c r="B449" s="398"/>
      <c r="C449" s="398"/>
      <c r="D449" s="398"/>
      <c r="E449" s="398"/>
      <c r="F449" s="398"/>
      <c r="G449" s="398"/>
      <c r="H449" s="398"/>
      <c r="I449" s="398"/>
      <c r="J449" s="398"/>
      <c r="K449" s="398"/>
      <c r="L449" s="398"/>
      <c r="M449" s="398"/>
      <c r="N449" s="398"/>
    </row>
    <row r="450" spans="1:14" s="487" customFormat="1" ht="15.75" customHeight="1">
      <c r="A450" s="398"/>
      <c r="B450" s="398"/>
      <c r="C450" s="398"/>
      <c r="D450" s="398"/>
      <c r="E450" s="398"/>
      <c r="F450" s="398"/>
      <c r="G450" s="398"/>
      <c r="H450" s="398"/>
      <c r="I450" s="398"/>
      <c r="J450" s="398"/>
      <c r="K450" s="398"/>
      <c r="L450" s="398"/>
      <c r="M450" s="398"/>
      <c r="N450" s="398"/>
    </row>
    <row r="451" spans="1:14" s="487" customFormat="1" ht="15.75" customHeight="1">
      <c r="A451" s="398"/>
      <c r="B451" s="398"/>
      <c r="C451" s="398"/>
      <c r="D451" s="398"/>
      <c r="E451" s="398"/>
      <c r="F451" s="398"/>
      <c r="G451" s="398"/>
      <c r="H451" s="398"/>
      <c r="I451" s="398"/>
      <c r="J451" s="398"/>
      <c r="K451" s="398"/>
      <c r="L451" s="398"/>
      <c r="M451" s="398"/>
      <c r="N451" s="398"/>
    </row>
    <row r="452" spans="1:14" s="487" customFormat="1" ht="15.75" customHeight="1">
      <c r="A452" s="398"/>
      <c r="B452" s="398"/>
      <c r="C452" s="398"/>
      <c r="D452" s="398"/>
      <c r="E452" s="398"/>
      <c r="F452" s="398"/>
      <c r="G452" s="398"/>
      <c r="H452" s="398"/>
      <c r="I452" s="398"/>
      <c r="J452" s="398"/>
      <c r="K452" s="398"/>
      <c r="L452" s="398"/>
      <c r="M452" s="398"/>
      <c r="N452" s="398"/>
    </row>
    <row r="453" spans="1:14" s="487" customFormat="1" ht="15.75" customHeight="1">
      <c r="A453" s="398"/>
      <c r="B453" s="398"/>
      <c r="C453" s="398"/>
      <c r="D453" s="398"/>
      <c r="E453" s="398"/>
      <c r="F453" s="398"/>
      <c r="G453" s="398"/>
      <c r="H453" s="398"/>
      <c r="I453" s="398"/>
      <c r="J453" s="398"/>
      <c r="K453" s="398"/>
      <c r="L453" s="398"/>
      <c r="M453" s="398"/>
      <c r="N453" s="398"/>
    </row>
    <row r="454" spans="1:14" s="487" customFormat="1" ht="15.75" customHeight="1">
      <c r="A454" s="398"/>
      <c r="B454" s="398"/>
      <c r="C454" s="398"/>
      <c r="D454" s="398"/>
      <c r="E454" s="398"/>
      <c r="F454" s="398"/>
      <c r="G454" s="398"/>
      <c r="H454" s="398"/>
      <c r="I454" s="398"/>
      <c r="J454" s="398"/>
      <c r="K454" s="398"/>
      <c r="L454" s="398"/>
      <c r="M454" s="398"/>
      <c r="N454" s="398"/>
    </row>
    <row r="455" spans="1:14" s="487" customFormat="1" ht="15.75" customHeight="1">
      <c r="A455" s="398"/>
      <c r="B455" s="398"/>
      <c r="C455" s="398"/>
      <c r="D455" s="398"/>
      <c r="E455" s="398"/>
      <c r="F455" s="398"/>
      <c r="G455" s="398"/>
      <c r="H455" s="398"/>
      <c r="I455" s="398"/>
      <c r="J455" s="398"/>
      <c r="K455" s="398"/>
      <c r="L455" s="398"/>
      <c r="M455" s="398"/>
      <c r="N455" s="398"/>
    </row>
    <row r="456" spans="1:14" s="487" customFormat="1" ht="15.75" customHeight="1">
      <c r="A456" s="398"/>
      <c r="B456" s="398"/>
      <c r="C456" s="398"/>
      <c r="D456" s="398"/>
      <c r="E456" s="398"/>
      <c r="F456" s="398"/>
      <c r="G456" s="398"/>
      <c r="H456" s="398"/>
      <c r="I456" s="398"/>
      <c r="J456" s="398"/>
      <c r="K456" s="398"/>
      <c r="L456" s="398"/>
      <c r="M456" s="398"/>
      <c r="N456" s="398"/>
    </row>
    <row r="457" spans="1:14" s="487" customFormat="1" ht="15.75" customHeight="1">
      <c r="A457" s="398"/>
      <c r="B457" s="398"/>
      <c r="C457" s="398"/>
      <c r="D457" s="398"/>
      <c r="E457" s="398"/>
      <c r="F457" s="398"/>
      <c r="G457" s="398"/>
      <c r="H457" s="398"/>
      <c r="I457" s="398"/>
      <c r="J457" s="398"/>
      <c r="K457" s="398"/>
      <c r="L457" s="398"/>
      <c r="M457" s="398"/>
      <c r="N457" s="398"/>
    </row>
    <row r="458" spans="1:14" s="487" customFormat="1" ht="15.75" customHeight="1">
      <c r="A458" s="398"/>
      <c r="B458" s="398"/>
      <c r="C458" s="398"/>
      <c r="D458" s="398"/>
      <c r="E458" s="398"/>
      <c r="F458" s="398"/>
      <c r="G458" s="398"/>
      <c r="H458" s="398"/>
      <c r="I458" s="398"/>
      <c r="J458" s="398"/>
      <c r="K458" s="398"/>
      <c r="L458" s="398"/>
      <c r="M458" s="398"/>
      <c r="N458" s="398"/>
    </row>
    <row r="459" spans="1:14" s="487" customFormat="1" ht="15.75" customHeight="1">
      <c r="A459" s="398"/>
      <c r="B459" s="398"/>
      <c r="C459" s="398"/>
      <c r="D459" s="398"/>
      <c r="E459" s="398"/>
      <c r="F459" s="398"/>
      <c r="G459" s="398"/>
      <c r="H459" s="398"/>
      <c r="I459" s="398"/>
      <c r="J459" s="398"/>
      <c r="K459" s="398"/>
      <c r="L459" s="398"/>
      <c r="M459" s="398"/>
      <c r="N459" s="398"/>
    </row>
    <row r="460" spans="1:14" s="487" customFormat="1" ht="15.75" customHeight="1">
      <c r="A460" s="398"/>
      <c r="B460" s="398"/>
      <c r="C460" s="398"/>
      <c r="D460" s="398"/>
      <c r="E460" s="398"/>
      <c r="F460" s="398"/>
      <c r="G460" s="398"/>
      <c r="H460" s="398"/>
      <c r="I460" s="398"/>
      <c r="J460" s="398"/>
      <c r="K460" s="398"/>
      <c r="L460" s="398"/>
      <c r="M460" s="398"/>
      <c r="N460" s="398"/>
    </row>
    <row r="461" spans="1:14" s="487" customFormat="1" ht="15.75" customHeight="1">
      <c r="A461" s="398"/>
      <c r="B461" s="398"/>
      <c r="C461" s="398"/>
      <c r="D461" s="398"/>
      <c r="E461" s="398"/>
      <c r="F461" s="398"/>
      <c r="G461" s="398"/>
      <c r="H461" s="398"/>
      <c r="I461" s="398"/>
      <c r="J461" s="398"/>
      <c r="K461" s="398"/>
      <c r="L461" s="398"/>
      <c r="M461" s="398"/>
      <c r="N461" s="398"/>
    </row>
    <row r="462" spans="1:14" s="487" customFormat="1" ht="15.75" customHeight="1">
      <c r="A462" s="398"/>
      <c r="B462" s="398"/>
      <c r="C462" s="398"/>
      <c r="D462" s="398"/>
      <c r="E462" s="398"/>
      <c r="F462" s="398"/>
      <c r="G462" s="398"/>
      <c r="H462" s="398"/>
      <c r="I462" s="398"/>
      <c r="J462" s="398"/>
      <c r="K462" s="398"/>
      <c r="L462" s="398"/>
      <c r="M462" s="398"/>
      <c r="N462" s="398"/>
    </row>
    <row r="463" spans="1:14" s="487" customFormat="1" ht="15.75" customHeight="1">
      <c r="A463" s="398"/>
      <c r="B463" s="398"/>
      <c r="C463" s="398"/>
      <c r="D463" s="398"/>
      <c r="E463" s="398"/>
      <c r="F463" s="398"/>
      <c r="G463" s="398"/>
      <c r="H463" s="398"/>
      <c r="I463" s="398"/>
      <c r="J463" s="398"/>
      <c r="K463" s="398"/>
      <c r="L463" s="398"/>
      <c r="M463" s="398"/>
      <c r="N463" s="398"/>
    </row>
    <row r="464" spans="1:14" s="487" customFormat="1" ht="15.75" customHeight="1">
      <c r="A464" s="398"/>
      <c r="B464" s="398"/>
      <c r="C464" s="398"/>
      <c r="D464" s="398"/>
      <c r="E464" s="398"/>
      <c r="F464" s="398"/>
      <c r="G464" s="398"/>
      <c r="H464" s="398"/>
      <c r="I464" s="398"/>
      <c r="J464" s="398"/>
      <c r="K464" s="398"/>
      <c r="L464" s="398"/>
      <c r="M464" s="398"/>
      <c r="N464" s="398"/>
    </row>
    <row r="465" spans="1:14" s="487" customFormat="1" ht="15.75" customHeight="1">
      <c r="A465" s="398"/>
      <c r="B465" s="398"/>
      <c r="C465" s="398"/>
      <c r="D465" s="398"/>
      <c r="E465" s="398"/>
      <c r="F465" s="398"/>
      <c r="G465" s="398"/>
      <c r="H465" s="398"/>
      <c r="I465" s="398"/>
      <c r="J465" s="398"/>
      <c r="K465" s="398"/>
      <c r="L465" s="398"/>
      <c r="M465" s="398"/>
      <c r="N465" s="398"/>
    </row>
    <row r="466" spans="1:14" s="487" customFormat="1" ht="15.75" customHeight="1">
      <c r="A466" s="398"/>
      <c r="B466" s="398"/>
      <c r="C466" s="398"/>
      <c r="D466" s="398"/>
      <c r="E466" s="398"/>
      <c r="F466" s="398"/>
      <c r="G466" s="398"/>
      <c r="H466" s="398"/>
      <c r="I466" s="398"/>
      <c r="J466" s="398"/>
      <c r="K466" s="398"/>
      <c r="L466" s="398"/>
      <c r="M466" s="398"/>
      <c r="N466" s="398"/>
    </row>
    <row r="467" spans="1:14" s="487" customFormat="1" ht="15.75" customHeight="1">
      <c r="A467" s="398"/>
      <c r="B467" s="398"/>
      <c r="C467" s="398"/>
      <c r="D467" s="398"/>
      <c r="E467" s="398"/>
      <c r="F467" s="398"/>
      <c r="G467" s="398"/>
      <c r="H467" s="398"/>
      <c r="I467" s="398"/>
      <c r="J467" s="398"/>
      <c r="K467" s="398"/>
      <c r="L467" s="398"/>
      <c r="M467" s="398"/>
      <c r="N467" s="398"/>
    </row>
    <row r="468" spans="1:14" s="487" customFormat="1" ht="15.75" customHeight="1">
      <c r="A468" s="398"/>
      <c r="B468" s="398"/>
      <c r="C468" s="398"/>
      <c r="D468" s="398"/>
      <c r="E468" s="398"/>
      <c r="F468" s="398"/>
      <c r="G468" s="398"/>
      <c r="H468" s="398"/>
      <c r="I468" s="398"/>
      <c r="J468" s="398"/>
      <c r="K468" s="398"/>
      <c r="L468" s="398"/>
      <c r="M468" s="398"/>
      <c r="N468" s="398"/>
    </row>
    <row r="469" spans="1:14" s="487" customFormat="1" ht="15.75" customHeight="1">
      <c r="A469" s="398"/>
      <c r="B469" s="398"/>
      <c r="C469" s="398"/>
      <c r="D469" s="398"/>
      <c r="E469" s="398"/>
      <c r="F469" s="398"/>
      <c r="G469" s="398"/>
      <c r="H469" s="398"/>
      <c r="I469" s="398"/>
      <c r="J469" s="398"/>
      <c r="K469" s="398"/>
      <c r="L469" s="398"/>
      <c r="M469" s="398"/>
      <c r="N469" s="398"/>
    </row>
    <row r="470" spans="1:14" s="487" customFormat="1" ht="15.75" customHeight="1">
      <c r="A470" s="398"/>
      <c r="B470" s="398"/>
      <c r="C470" s="398"/>
      <c r="D470" s="398"/>
      <c r="E470" s="398"/>
      <c r="F470" s="398"/>
      <c r="G470" s="398"/>
      <c r="H470" s="398"/>
      <c r="I470" s="398"/>
      <c r="J470" s="398"/>
      <c r="K470" s="398"/>
      <c r="L470" s="398"/>
      <c r="M470" s="398"/>
      <c r="N470" s="398"/>
    </row>
    <row r="471" spans="1:14" s="487" customFormat="1" ht="15.75" customHeight="1">
      <c r="A471" s="398"/>
      <c r="B471" s="398"/>
      <c r="C471" s="398"/>
      <c r="D471" s="398"/>
      <c r="E471" s="398"/>
      <c r="F471" s="398"/>
      <c r="G471" s="398"/>
      <c r="H471" s="398"/>
      <c r="I471" s="398"/>
      <c r="J471" s="398"/>
      <c r="K471" s="398"/>
      <c r="L471" s="398"/>
      <c r="M471" s="398"/>
      <c r="N471" s="398"/>
    </row>
    <row r="472" spans="1:14" s="487" customFormat="1" ht="15.75" customHeight="1">
      <c r="A472" s="398"/>
      <c r="B472" s="398"/>
      <c r="C472" s="398"/>
      <c r="D472" s="398"/>
      <c r="E472" s="398"/>
      <c r="F472" s="398"/>
      <c r="G472" s="398"/>
      <c r="H472" s="398"/>
      <c r="I472" s="398"/>
      <c r="J472" s="398"/>
      <c r="K472" s="398"/>
      <c r="L472" s="398"/>
      <c r="M472" s="398"/>
      <c r="N472" s="398"/>
    </row>
    <row r="473" spans="1:14" s="487" customFormat="1" ht="15.75" customHeight="1">
      <c r="A473" s="398"/>
      <c r="B473" s="398"/>
      <c r="C473" s="398"/>
      <c r="D473" s="398"/>
      <c r="E473" s="398"/>
      <c r="F473" s="398"/>
      <c r="G473" s="398"/>
      <c r="H473" s="398"/>
      <c r="I473" s="398"/>
      <c r="J473" s="398"/>
      <c r="K473" s="398"/>
      <c r="L473" s="398"/>
      <c r="M473" s="398"/>
      <c r="N473" s="398"/>
    </row>
    <row r="474" spans="1:14" s="487" customFormat="1" ht="15.75" customHeight="1">
      <c r="A474" s="398"/>
      <c r="B474" s="398"/>
      <c r="C474" s="398"/>
      <c r="D474" s="398"/>
      <c r="E474" s="398"/>
      <c r="F474" s="398"/>
      <c r="G474" s="398"/>
      <c r="H474" s="398"/>
      <c r="I474" s="398"/>
      <c r="J474" s="398"/>
      <c r="K474" s="398"/>
      <c r="L474" s="398"/>
      <c r="M474" s="398"/>
      <c r="N474" s="398"/>
    </row>
    <row r="475" spans="1:14" s="487" customFormat="1" ht="15.75" customHeight="1">
      <c r="A475" s="398"/>
      <c r="B475" s="398"/>
      <c r="C475" s="398"/>
      <c r="D475" s="398"/>
      <c r="E475" s="398"/>
      <c r="F475" s="398"/>
      <c r="G475" s="398"/>
      <c r="H475" s="398"/>
      <c r="I475" s="398"/>
      <c r="J475" s="398"/>
      <c r="K475" s="398"/>
      <c r="L475" s="398"/>
      <c r="M475" s="398"/>
      <c r="N475" s="398"/>
    </row>
    <row r="476" spans="1:14" s="487" customFormat="1" ht="15.75" customHeight="1">
      <c r="A476" s="398"/>
      <c r="B476" s="398"/>
      <c r="C476" s="398"/>
      <c r="D476" s="398"/>
      <c r="E476" s="398"/>
      <c r="F476" s="398"/>
      <c r="G476" s="398"/>
      <c r="H476" s="398"/>
      <c r="I476" s="398"/>
      <c r="J476" s="398"/>
      <c r="K476" s="398"/>
      <c r="L476" s="398"/>
      <c r="M476" s="398"/>
      <c r="N476" s="398"/>
    </row>
    <row r="477" spans="1:14" s="487" customFormat="1" ht="15.75" customHeight="1">
      <c r="A477" s="398"/>
      <c r="B477" s="398"/>
      <c r="C477" s="398"/>
      <c r="D477" s="398"/>
      <c r="E477" s="398"/>
      <c r="F477" s="398"/>
      <c r="G477" s="398"/>
      <c r="H477" s="398"/>
      <c r="I477" s="398"/>
      <c r="J477" s="398"/>
      <c r="K477" s="398"/>
      <c r="L477" s="398"/>
      <c r="M477" s="398"/>
      <c r="N477" s="398"/>
    </row>
    <row r="478" spans="1:14" s="487" customFormat="1" ht="15.75" customHeight="1">
      <c r="A478" s="398"/>
      <c r="B478" s="398"/>
      <c r="C478" s="398"/>
      <c r="D478" s="398"/>
      <c r="E478" s="398"/>
      <c r="F478" s="398"/>
      <c r="G478" s="398"/>
      <c r="H478" s="398"/>
      <c r="I478" s="398"/>
      <c r="J478" s="398"/>
      <c r="K478" s="398"/>
      <c r="L478" s="398"/>
      <c r="M478" s="398"/>
      <c r="N478" s="398"/>
    </row>
    <row r="479" spans="1:14" s="487" customFormat="1" ht="15.75" customHeight="1">
      <c r="A479" s="398"/>
      <c r="B479" s="398"/>
      <c r="C479" s="398"/>
      <c r="D479" s="398"/>
      <c r="E479" s="398"/>
      <c r="F479" s="398"/>
      <c r="G479" s="398"/>
      <c r="H479" s="398"/>
      <c r="I479" s="398"/>
      <c r="J479" s="398"/>
      <c r="K479" s="398"/>
      <c r="L479" s="398"/>
      <c r="M479" s="398"/>
      <c r="N479" s="398"/>
    </row>
    <row r="480" spans="1:14" s="487" customFormat="1" ht="15.75" customHeight="1">
      <c r="A480" s="398"/>
      <c r="B480" s="398"/>
      <c r="C480" s="398"/>
      <c r="D480" s="398"/>
      <c r="E480" s="398"/>
      <c r="F480" s="398"/>
      <c r="G480" s="398"/>
      <c r="H480" s="398"/>
      <c r="I480" s="398"/>
      <c r="J480" s="398"/>
      <c r="K480" s="398"/>
      <c r="L480" s="398"/>
      <c r="M480" s="398"/>
      <c r="N480" s="398"/>
    </row>
    <row r="481" spans="1:14" s="487" customFormat="1" ht="15.75" customHeight="1">
      <c r="A481" s="398"/>
      <c r="B481" s="398"/>
      <c r="C481" s="398"/>
      <c r="D481" s="398"/>
      <c r="E481" s="398"/>
      <c r="F481" s="398"/>
      <c r="G481" s="398"/>
      <c r="H481" s="398"/>
      <c r="I481" s="398"/>
      <c r="J481" s="398"/>
      <c r="K481" s="398"/>
      <c r="L481" s="398"/>
      <c r="M481" s="398"/>
      <c r="N481" s="398"/>
    </row>
    <row r="482" spans="1:14" s="487" customFormat="1" ht="15.75" customHeight="1">
      <c r="A482" s="398"/>
      <c r="B482" s="398"/>
      <c r="C482" s="398"/>
      <c r="D482" s="398"/>
      <c r="E482" s="398"/>
      <c r="F482" s="398"/>
      <c r="G482" s="398"/>
      <c r="H482" s="398"/>
      <c r="I482" s="398"/>
      <c r="J482" s="398"/>
      <c r="K482" s="398"/>
      <c r="L482" s="398"/>
      <c r="M482" s="398"/>
      <c r="N482" s="398"/>
    </row>
    <row r="483" spans="1:14" s="487" customFormat="1" ht="15.75" customHeight="1">
      <c r="A483" s="398"/>
      <c r="B483" s="398"/>
      <c r="C483" s="398"/>
      <c r="D483" s="398"/>
      <c r="E483" s="398"/>
      <c r="F483" s="398"/>
      <c r="G483" s="398"/>
      <c r="H483" s="398"/>
      <c r="I483" s="398"/>
      <c r="J483" s="398"/>
      <c r="K483" s="398"/>
      <c r="L483" s="398"/>
      <c r="M483" s="398"/>
      <c r="N483" s="398"/>
    </row>
    <row r="484" spans="1:14" s="487" customFormat="1" ht="15.75" customHeight="1">
      <c r="A484" s="398"/>
      <c r="B484" s="398"/>
      <c r="C484" s="398"/>
      <c r="D484" s="398"/>
      <c r="E484" s="398"/>
      <c r="F484" s="398"/>
      <c r="G484" s="398"/>
      <c r="H484" s="398"/>
      <c r="I484" s="398"/>
      <c r="J484" s="398"/>
      <c r="K484" s="398"/>
      <c r="L484" s="398"/>
      <c r="M484" s="398"/>
      <c r="N484" s="398"/>
    </row>
    <row r="485" spans="1:14" s="487" customFormat="1" ht="15.75" customHeight="1">
      <c r="A485" s="398"/>
      <c r="B485" s="398"/>
      <c r="C485" s="398"/>
      <c r="D485" s="398"/>
      <c r="E485" s="398"/>
      <c r="F485" s="398"/>
      <c r="G485" s="398"/>
      <c r="H485" s="398"/>
      <c r="I485" s="398"/>
      <c r="J485" s="398"/>
      <c r="K485" s="398"/>
      <c r="L485" s="398"/>
      <c r="M485" s="398"/>
      <c r="N485" s="398"/>
    </row>
    <row r="486" spans="1:14" s="487" customFormat="1" ht="15.75" customHeight="1">
      <c r="A486" s="398"/>
      <c r="B486" s="398"/>
      <c r="C486" s="398"/>
      <c r="D486" s="398"/>
      <c r="E486" s="398"/>
      <c r="F486" s="398"/>
      <c r="G486" s="398"/>
      <c r="H486" s="398"/>
      <c r="I486" s="398"/>
      <c r="J486" s="398"/>
      <c r="K486" s="398"/>
      <c r="L486" s="398"/>
      <c r="M486" s="398"/>
      <c r="N486" s="398"/>
    </row>
    <row r="487" spans="1:14" s="487" customFormat="1" ht="15.75" customHeight="1">
      <c r="A487" s="398"/>
      <c r="B487" s="398"/>
      <c r="C487" s="398"/>
      <c r="D487" s="398"/>
      <c r="E487" s="398"/>
      <c r="F487" s="398"/>
      <c r="G487" s="398"/>
      <c r="H487" s="398"/>
      <c r="I487" s="398"/>
      <c r="J487" s="398"/>
      <c r="K487" s="398"/>
      <c r="L487" s="398"/>
      <c r="M487" s="398"/>
      <c r="N487" s="398"/>
    </row>
    <row r="488" spans="1:14" s="487" customFormat="1" ht="15.75" customHeight="1">
      <c r="A488" s="398"/>
      <c r="B488" s="398"/>
      <c r="C488" s="398"/>
      <c r="D488" s="398"/>
      <c r="E488" s="398"/>
      <c r="F488" s="398"/>
      <c r="G488" s="398"/>
      <c r="H488" s="398"/>
      <c r="I488" s="398"/>
      <c r="J488" s="398"/>
      <c r="K488" s="398"/>
      <c r="L488" s="398"/>
      <c r="M488" s="398"/>
      <c r="N488" s="398"/>
    </row>
    <row r="489" spans="1:14" s="487" customFormat="1" ht="15.75" customHeight="1">
      <c r="A489" s="398"/>
      <c r="B489" s="398"/>
      <c r="C489" s="398"/>
      <c r="D489" s="398"/>
      <c r="E489" s="398"/>
      <c r="F489" s="398"/>
      <c r="G489" s="398"/>
      <c r="H489" s="398"/>
      <c r="I489" s="398"/>
      <c r="J489" s="398"/>
      <c r="K489" s="398"/>
      <c r="L489" s="398"/>
      <c r="M489" s="398"/>
      <c r="N489" s="398"/>
    </row>
    <row r="490" spans="1:14" s="487" customFormat="1" ht="15.75" customHeight="1">
      <c r="A490" s="398"/>
      <c r="B490" s="398"/>
      <c r="C490" s="398"/>
      <c r="D490" s="398"/>
      <c r="E490" s="398"/>
      <c r="F490" s="398"/>
      <c r="G490" s="398"/>
      <c r="H490" s="398"/>
      <c r="I490" s="398"/>
      <c r="J490" s="398"/>
      <c r="K490" s="398"/>
      <c r="L490" s="398"/>
      <c r="M490" s="398"/>
      <c r="N490" s="398"/>
    </row>
    <row r="491" spans="1:14" s="487" customFormat="1" ht="15.75" customHeight="1">
      <c r="A491" s="398"/>
      <c r="B491" s="398"/>
      <c r="C491" s="398"/>
      <c r="D491" s="398"/>
      <c r="E491" s="398"/>
      <c r="F491" s="398"/>
      <c r="G491" s="398"/>
      <c r="H491" s="398"/>
      <c r="I491" s="398"/>
      <c r="J491" s="398"/>
      <c r="K491" s="398"/>
      <c r="L491" s="398"/>
      <c r="M491" s="398"/>
      <c r="N491" s="398"/>
    </row>
    <row r="492" spans="1:14" s="487" customFormat="1" ht="15.75" customHeight="1">
      <c r="A492" s="398"/>
      <c r="B492" s="398"/>
      <c r="C492" s="398"/>
      <c r="D492" s="398"/>
      <c r="E492" s="398"/>
      <c r="F492" s="398"/>
      <c r="G492" s="398"/>
      <c r="H492" s="398"/>
      <c r="I492" s="398"/>
      <c r="J492" s="398"/>
      <c r="K492" s="398"/>
      <c r="L492" s="398"/>
      <c r="M492" s="398"/>
      <c r="N492" s="398"/>
    </row>
    <row r="493" spans="1:14" s="487" customFormat="1" ht="15.75" customHeight="1">
      <c r="A493" s="398"/>
      <c r="B493" s="398"/>
      <c r="C493" s="398"/>
      <c r="D493" s="398"/>
      <c r="E493" s="398"/>
      <c r="F493" s="398"/>
      <c r="G493" s="398"/>
      <c r="H493" s="398"/>
      <c r="I493" s="398"/>
      <c r="J493" s="398"/>
      <c r="K493" s="398"/>
      <c r="L493" s="398"/>
      <c r="M493" s="398"/>
      <c r="N493" s="398"/>
    </row>
    <row r="494" spans="1:14" s="487" customFormat="1" ht="15.75" customHeight="1">
      <c r="A494" s="398"/>
      <c r="B494" s="398"/>
      <c r="C494" s="398"/>
      <c r="D494" s="398"/>
      <c r="E494" s="398"/>
      <c r="F494" s="398"/>
      <c r="G494" s="398"/>
      <c r="H494" s="398"/>
      <c r="I494" s="398"/>
      <c r="J494" s="398"/>
      <c r="K494" s="398"/>
      <c r="L494" s="398"/>
      <c r="M494" s="398"/>
      <c r="N494" s="398"/>
    </row>
    <row r="495" spans="1:14" s="487" customFormat="1" ht="15.75" customHeight="1">
      <c r="A495" s="398"/>
      <c r="B495" s="398"/>
      <c r="C495" s="398"/>
      <c r="D495" s="398"/>
      <c r="E495" s="398"/>
      <c r="F495" s="398"/>
      <c r="G495" s="398"/>
      <c r="H495" s="398"/>
      <c r="I495" s="398"/>
      <c r="J495" s="398"/>
      <c r="K495" s="398"/>
      <c r="L495" s="398"/>
      <c r="M495" s="398"/>
      <c r="N495" s="398"/>
    </row>
    <row r="496" spans="1:14" s="487" customFormat="1" ht="15.75" customHeight="1">
      <c r="A496" s="398"/>
      <c r="B496" s="398"/>
      <c r="C496" s="398"/>
      <c r="D496" s="398"/>
      <c r="E496" s="398"/>
      <c r="F496" s="398"/>
      <c r="G496" s="398"/>
      <c r="H496" s="398"/>
      <c r="I496" s="398"/>
      <c r="J496" s="398"/>
      <c r="K496" s="398"/>
      <c r="L496" s="398"/>
      <c r="M496" s="398"/>
      <c r="N496" s="398"/>
    </row>
    <row r="497" spans="1:14" s="487" customFormat="1" ht="15.75" customHeight="1">
      <c r="A497" s="398"/>
      <c r="B497" s="398"/>
      <c r="C497" s="398"/>
      <c r="D497" s="398"/>
      <c r="E497" s="398"/>
      <c r="F497" s="398"/>
      <c r="G497" s="398"/>
      <c r="H497" s="398"/>
      <c r="I497" s="398"/>
      <c r="J497" s="398"/>
      <c r="K497" s="398"/>
      <c r="L497" s="398"/>
      <c r="M497" s="398"/>
      <c r="N497" s="398"/>
    </row>
    <row r="498" spans="1:14" s="487" customFormat="1" ht="15.75" customHeight="1">
      <c r="A498" s="398"/>
      <c r="B498" s="398"/>
      <c r="C498" s="398"/>
      <c r="D498" s="398"/>
      <c r="E498" s="398"/>
      <c r="F498" s="398"/>
      <c r="G498" s="398"/>
      <c r="H498" s="398"/>
      <c r="I498" s="398"/>
      <c r="J498" s="398"/>
      <c r="K498" s="398"/>
      <c r="L498" s="398"/>
      <c r="M498" s="398"/>
      <c r="N498" s="398"/>
    </row>
    <row r="499" spans="1:14" s="487" customFormat="1" ht="15.75" customHeight="1">
      <c r="A499" s="398"/>
      <c r="B499" s="398"/>
      <c r="C499" s="398"/>
      <c r="D499" s="398"/>
      <c r="E499" s="398"/>
      <c r="F499" s="398"/>
      <c r="G499" s="398"/>
      <c r="H499" s="398"/>
      <c r="I499" s="398"/>
      <c r="J499" s="398"/>
      <c r="K499" s="398"/>
      <c r="L499" s="398"/>
      <c r="M499" s="398"/>
      <c r="N499" s="398"/>
    </row>
    <row r="500" spans="1:14" s="487" customFormat="1" ht="15.75" customHeight="1">
      <c r="A500" s="398"/>
      <c r="B500" s="398"/>
      <c r="C500" s="398"/>
      <c r="D500" s="398"/>
      <c r="E500" s="398"/>
      <c r="F500" s="398"/>
      <c r="G500" s="398"/>
      <c r="H500" s="398"/>
      <c r="I500" s="398"/>
      <c r="J500" s="398"/>
      <c r="K500" s="398"/>
      <c r="L500" s="398"/>
      <c r="M500" s="398"/>
      <c r="N500" s="398"/>
    </row>
    <row r="501" spans="1:14" s="487" customFormat="1" ht="15.75" customHeight="1">
      <c r="A501" s="398"/>
      <c r="B501" s="398"/>
      <c r="C501" s="398"/>
      <c r="D501" s="398"/>
      <c r="E501" s="398"/>
      <c r="F501" s="398"/>
      <c r="G501" s="398"/>
      <c r="H501" s="398"/>
      <c r="I501" s="398"/>
      <c r="J501" s="398"/>
      <c r="K501" s="398"/>
      <c r="L501" s="398"/>
      <c r="M501" s="398"/>
      <c r="N501" s="398"/>
    </row>
    <row r="502" spans="1:14" s="487" customFormat="1" ht="15.75" customHeight="1">
      <c r="A502" s="398"/>
      <c r="B502" s="398"/>
      <c r="C502" s="398"/>
      <c r="D502" s="398"/>
      <c r="E502" s="398"/>
      <c r="F502" s="398"/>
      <c r="G502" s="398"/>
      <c r="H502" s="398"/>
      <c r="I502" s="398"/>
      <c r="J502" s="398"/>
      <c r="K502" s="398"/>
      <c r="L502" s="398"/>
      <c r="M502" s="398"/>
      <c r="N502" s="398"/>
    </row>
    <row r="503" spans="1:14" s="487" customFormat="1" ht="15.75" customHeight="1">
      <c r="A503" s="398"/>
      <c r="B503" s="398"/>
      <c r="C503" s="398"/>
      <c r="D503" s="398"/>
      <c r="E503" s="398"/>
      <c r="F503" s="398"/>
      <c r="G503" s="398"/>
      <c r="H503" s="398"/>
      <c r="I503" s="398"/>
      <c r="J503" s="398"/>
      <c r="K503" s="398"/>
      <c r="L503" s="398"/>
      <c r="M503" s="398"/>
      <c r="N503" s="398"/>
    </row>
    <row r="504" spans="1:14" s="487" customFormat="1" ht="15.75" customHeight="1">
      <c r="A504" s="398"/>
      <c r="B504" s="398"/>
      <c r="C504" s="398"/>
      <c r="D504" s="398"/>
      <c r="E504" s="398"/>
      <c r="F504" s="398"/>
      <c r="G504" s="398"/>
      <c r="H504" s="398"/>
      <c r="I504" s="398"/>
      <c r="J504" s="398"/>
      <c r="K504" s="398"/>
      <c r="L504" s="398"/>
      <c r="M504" s="398"/>
      <c r="N504" s="398"/>
    </row>
    <row r="505" spans="1:14" s="487" customFormat="1" ht="15.75" customHeight="1">
      <c r="A505" s="398"/>
      <c r="B505" s="398"/>
      <c r="C505" s="398"/>
      <c r="D505" s="398"/>
      <c r="E505" s="398"/>
      <c r="F505" s="398"/>
      <c r="G505" s="398"/>
      <c r="H505" s="398"/>
      <c r="I505" s="398"/>
      <c r="J505" s="398"/>
      <c r="K505" s="398"/>
      <c r="L505" s="398"/>
      <c r="M505" s="398"/>
      <c r="N505" s="398"/>
    </row>
    <row r="506" spans="1:14" s="487" customFormat="1" ht="15.75" customHeight="1">
      <c r="A506" s="398"/>
      <c r="B506" s="398"/>
      <c r="C506" s="398"/>
      <c r="D506" s="398"/>
      <c r="E506" s="398"/>
      <c r="F506" s="398"/>
      <c r="G506" s="398"/>
      <c r="H506" s="398"/>
      <c r="I506" s="398"/>
      <c r="J506" s="398"/>
      <c r="K506" s="398"/>
      <c r="L506" s="398"/>
      <c r="M506" s="398"/>
      <c r="N506" s="398"/>
    </row>
    <row r="507" spans="1:14" s="487" customFormat="1" ht="15.75" customHeight="1">
      <c r="A507" s="398"/>
      <c r="B507" s="398"/>
      <c r="C507" s="398"/>
      <c r="D507" s="398"/>
      <c r="E507" s="398"/>
      <c r="F507" s="398"/>
      <c r="G507" s="398"/>
      <c r="H507" s="398"/>
      <c r="I507" s="398"/>
      <c r="J507" s="398"/>
      <c r="K507" s="398"/>
      <c r="L507" s="398"/>
      <c r="M507" s="398"/>
      <c r="N507" s="398"/>
    </row>
    <row r="508" spans="1:14" s="487" customFormat="1" ht="15.75" customHeight="1">
      <c r="A508" s="398"/>
      <c r="B508" s="398"/>
      <c r="C508" s="398"/>
      <c r="D508" s="398"/>
      <c r="E508" s="398"/>
      <c r="F508" s="398"/>
      <c r="G508" s="398"/>
      <c r="H508" s="398"/>
      <c r="I508" s="398"/>
      <c r="J508" s="398"/>
      <c r="K508" s="398"/>
      <c r="L508" s="398"/>
      <c r="M508" s="398"/>
      <c r="N508" s="398"/>
    </row>
    <row r="509" spans="1:14" s="487" customFormat="1" ht="15.75" customHeight="1">
      <c r="A509" s="398"/>
      <c r="B509" s="398"/>
      <c r="C509" s="398"/>
      <c r="D509" s="398"/>
      <c r="E509" s="398"/>
      <c r="F509" s="398"/>
      <c r="G509" s="398"/>
      <c r="H509" s="398"/>
      <c r="I509" s="398"/>
      <c r="J509" s="398"/>
      <c r="K509" s="398"/>
      <c r="L509" s="398"/>
      <c r="M509" s="398"/>
      <c r="N509" s="398"/>
    </row>
    <row r="510" spans="1:14" s="487" customFormat="1" ht="15.75" customHeight="1">
      <c r="A510" s="398"/>
      <c r="B510" s="398"/>
      <c r="C510" s="398"/>
      <c r="D510" s="398"/>
      <c r="E510" s="398"/>
      <c r="F510" s="398"/>
      <c r="G510" s="398"/>
      <c r="H510" s="398"/>
      <c r="I510" s="398"/>
      <c r="J510" s="398"/>
      <c r="K510" s="398"/>
      <c r="L510" s="398"/>
      <c r="M510" s="398"/>
      <c r="N510" s="398"/>
    </row>
    <row r="511" spans="1:14" s="487" customFormat="1" ht="15.75" customHeight="1">
      <c r="A511" s="398"/>
      <c r="B511" s="398"/>
      <c r="C511" s="398"/>
      <c r="D511" s="398"/>
      <c r="E511" s="398"/>
      <c r="F511" s="398"/>
      <c r="G511" s="398"/>
      <c r="H511" s="398"/>
      <c r="I511" s="398"/>
      <c r="J511" s="398"/>
      <c r="K511" s="398"/>
      <c r="L511" s="398"/>
      <c r="M511" s="398"/>
      <c r="N511" s="398"/>
    </row>
    <row r="512" spans="1:14" s="487" customFormat="1" ht="15.75" customHeight="1">
      <c r="A512" s="398"/>
      <c r="B512" s="398"/>
      <c r="C512" s="398"/>
      <c r="D512" s="398"/>
      <c r="E512" s="398"/>
      <c r="F512" s="398"/>
      <c r="G512" s="398"/>
      <c r="H512" s="398"/>
      <c r="I512" s="398"/>
      <c r="J512" s="398"/>
      <c r="K512" s="398"/>
      <c r="L512" s="398"/>
      <c r="M512" s="398"/>
      <c r="N512" s="398"/>
    </row>
    <row r="513" spans="1:14" s="487" customFormat="1" ht="15.75" customHeight="1">
      <c r="A513" s="398"/>
      <c r="B513" s="398"/>
      <c r="C513" s="398"/>
      <c r="D513" s="398"/>
      <c r="E513" s="398"/>
      <c r="F513" s="398"/>
      <c r="G513" s="398"/>
      <c r="H513" s="398"/>
      <c r="I513" s="398"/>
      <c r="J513" s="398"/>
      <c r="K513" s="398"/>
      <c r="L513" s="398"/>
      <c r="M513" s="398"/>
      <c r="N513" s="398"/>
    </row>
    <row r="514" spans="1:14" s="487" customFormat="1" ht="15.75" customHeight="1">
      <c r="A514" s="398"/>
      <c r="B514" s="398"/>
      <c r="C514" s="398"/>
      <c r="D514" s="398"/>
      <c r="E514" s="398"/>
      <c r="F514" s="398"/>
      <c r="G514" s="398"/>
      <c r="H514" s="398"/>
      <c r="I514" s="398"/>
      <c r="J514" s="398"/>
      <c r="K514" s="398"/>
      <c r="L514" s="398"/>
      <c r="M514" s="398"/>
      <c r="N514" s="398"/>
    </row>
    <row r="515" spans="1:14" s="487" customFormat="1" ht="15.75" customHeight="1">
      <c r="A515" s="398"/>
      <c r="B515" s="398"/>
      <c r="C515" s="398"/>
      <c r="D515" s="398"/>
      <c r="E515" s="398"/>
      <c r="F515" s="398"/>
      <c r="G515" s="398"/>
      <c r="H515" s="398"/>
      <c r="I515" s="398"/>
      <c r="J515" s="398"/>
      <c r="K515" s="398"/>
      <c r="L515" s="398"/>
      <c r="M515" s="398"/>
      <c r="N515" s="398"/>
    </row>
    <row r="516" spans="1:14" s="487" customFormat="1" ht="15.75" customHeight="1"/>
    <row r="517" spans="1:14" s="487" customFormat="1" ht="15.75" customHeight="1"/>
    <row r="518" spans="1:14" s="487" customFormat="1" ht="15.75" customHeight="1"/>
    <row r="519" spans="1:14" s="487" customFormat="1" ht="15.75" customHeight="1"/>
    <row r="520" spans="1:14" s="487" customFormat="1" ht="15.75" customHeight="1"/>
    <row r="521" spans="1:14" s="487" customFormat="1" ht="15.75" customHeight="1"/>
    <row r="522" spans="1:14" s="487" customFormat="1" ht="15.75" customHeight="1"/>
    <row r="523" spans="1:14" s="487" customFormat="1" ht="15.75" customHeight="1"/>
    <row r="524" spans="1:14" s="487" customFormat="1" ht="15.75" customHeight="1"/>
    <row r="525" spans="1:14" s="487" customFormat="1" ht="15.75" customHeight="1"/>
    <row r="526" spans="1:14" s="487" customFormat="1" ht="15.75" customHeight="1"/>
    <row r="527" spans="1:14" s="487" customFormat="1" ht="15.75" customHeight="1"/>
    <row r="528" spans="1:14" s="487" customFormat="1" ht="15.75" customHeight="1"/>
    <row r="529" s="487" customFormat="1" ht="15.75" customHeight="1"/>
    <row r="530" s="487" customFormat="1" ht="15.75" customHeight="1"/>
    <row r="531" s="487" customFormat="1" ht="15.75" customHeight="1"/>
    <row r="532" s="487" customFormat="1" ht="15.75" customHeight="1"/>
    <row r="533" s="487" customFormat="1" ht="15.75" customHeight="1"/>
    <row r="534" s="487" customFormat="1" ht="15.75" customHeight="1"/>
    <row r="535" s="487" customFormat="1" ht="15.75" customHeight="1"/>
    <row r="536" s="487" customFormat="1" ht="15.75" customHeight="1"/>
    <row r="537" s="487" customFormat="1" ht="15.75" customHeight="1"/>
    <row r="538" s="487" customFormat="1" ht="15.75" customHeight="1"/>
    <row r="539" s="487" customFormat="1" ht="15.75" customHeight="1"/>
    <row r="540" s="487" customFormat="1" ht="15.75" customHeight="1"/>
    <row r="541" s="487" customFormat="1" ht="15.75" customHeight="1"/>
    <row r="542" s="487" customFormat="1" ht="15.75" customHeight="1"/>
    <row r="543" s="487" customFormat="1" ht="15.75" customHeight="1"/>
    <row r="544" s="487" customFormat="1" ht="15.75" customHeight="1"/>
    <row r="545" s="487" customFormat="1" ht="15.75" customHeight="1"/>
    <row r="546" s="487" customFormat="1" ht="15.75" customHeight="1"/>
    <row r="547" s="487" customFormat="1" ht="15.75" customHeight="1"/>
    <row r="548" s="487" customFormat="1" ht="15.75" customHeight="1"/>
    <row r="549" s="487" customFormat="1" ht="15.75" customHeight="1"/>
    <row r="550" s="487" customFormat="1" ht="15.75" customHeight="1"/>
    <row r="551" s="487" customFormat="1" ht="15.75" customHeight="1"/>
    <row r="552" s="487" customFormat="1" ht="15.75" customHeight="1"/>
    <row r="553" s="487" customFormat="1" ht="15.75" customHeight="1"/>
    <row r="554" s="487" customFormat="1" ht="15.75" customHeight="1"/>
    <row r="555" s="487" customFormat="1" ht="15.75" customHeight="1"/>
    <row r="556" s="487" customFormat="1" ht="15.75" customHeight="1"/>
    <row r="557" s="487" customFormat="1" ht="15.75" customHeight="1"/>
    <row r="558" s="487" customFormat="1" ht="15.75" customHeight="1"/>
    <row r="559" s="487" customFormat="1" ht="15.75" customHeight="1"/>
    <row r="560" s="487" customFormat="1" ht="15.75" customHeight="1"/>
    <row r="561" s="487" customFormat="1" ht="15.75" customHeight="1"/>
    <row r="562" s="487" customFormat="1" ht="15.75" customHeight="1"/>
    <row r="563" s="487" customFormat="1" ht="15.75" customHeight="1"/>
    <row r="564" s="487" customFormat="1" ht="15.75" customHeight="1"/>
    <row r="565" s="487" customFormat="1" ht="15.75" customHeight="1"/>
    <row r="566" s="487" customFormat="1" ht="15.75" customHeight="1"/>
    <row r="567" s="487" customFormat="1" ht="15.75" customHeight="1"/>
    <row r="568" s="487" customFormat="1" ht="15.75" customHeight="1"/>
    <row r="569" s="487" customFormat="1" ht="15.75" customHeight="1"/>
    <row r="570" s="487" customFormat="1" ht="15.75" customHeight="1"/>
    <row r="571" s="487" customFormat="1" ht="15.75" customHeight="1"/>
    <row r="572" s="487" customFormat="1" ht="15.75" customHeight="1"/>
    <row r="573" s="487" customFormat="1" ht="15.75" customHeight="1"/>
    <row r="574" s="487" customFormat="1" ht="15.75" customHeight="1"/>
    <row r="575" s="487" customFormat="1" ht="15.75" customHeight="1"/>
    <row r="576" s="487" customFormat="1" ht="15.75" customHeight="1"/>
    <row r="577" s="487" customFormat="1" ht="15.75" customHeight="1"/>
    <row r="578" s="487" customFormat="1" ht="15.75" customHeight="1"/>
    <row r="579" s="487" customFormat="1" ht="15.75" customHeight="1"/>
    <row r="580" s="487" customFormat="1" ht="15.75" customHeight="1"/>
    <row r="581" s="487" customFormat="1" ht="15.75" customHeight="1"/>
    <row r="582" s="487" customFormat="1" ht="15.75" customHeight="1"/>
    <row r="583" s="487" customFormat="1" ht="15.75" customHeight="1"/>
    <row r="584" s="487" customFormat="1" ht="15.75" customHeight="1"/>
    <row r="585" s="487" customFormat="1" ht="15.75" customHeight="1"/>
    <row r="586" s="487" customFormat="1" ht="15.75" customHeight="1"/>
    <row r="587" s="487" customFormat="1" ht="15.75" customHeight="1"/>
    <row r="588" s="487" customFormat="1" ht="15.75" customHeight="1"/>
    <row r="589" s="487" customFormat="1" ht="15.75" customHeight="1"/>
    <row r="590" s="487" customFormat="1" ht="15.75" customHeight="1"/>
    <row r="591" s="487" customFormat="1" ht="15.75" customHeight="1"/>
    <row r="592" s="487" customFormat="1" ht="15.75" customHeight="1"/>
    <row r="593" s="487" customFormat="1" ht="15.75" customHeight="1"/>
    <row r="594" s="487" customFormat="1" ht="15.75" customHeight="1"/>
    <row r="595" s="487" customFormat="1" ht="15.75" customHeight="1"/>
    <row r="596" s="487" customFormat="1" ht="15.75" customHeight="1"/>
    <row r="597" s="487" customFormat="1" ht="15.75" customHeight="1"/>
    <row r="598" s="487" customFormat="1" ht="15.75" customHeight="1"/>
    <row r="599" s="487" customFormat="1" ht="15.75" customHeight="1"/>
    <row r="600" s="487" customFormat="1" ht="15.75" customHeight="1"/>
    <row r="601" s="487" customFormat="1" ht="15.75" customHeight="1"/>
    <row r="602" s="487" customFormat="1" ht="15.75" customHeight="1"/>
    <row r="603" s="487" customFormat="1" ht="15.75" customHeight="1"/>
    <row r="604" s="487" customFormat="1" ht="15.75" customHeight="1"/>
    <row r="605" s="487" customFormat="1" ht="15.75" customHeight="1"/>
    <row r="606" s="487" customFormat="1" ht="15.75" customHeight="1"/>
    <row r="607" s="487" customFormat="1" ht="15.75" customHeight="1"/>
    <row r="608" s="487" customFormat="1" ht="15.75" customHeight="1"/>
    <row r="609" s="487" customFormat="1" ht="15.75" customHeight="1"/>
    <row r="610" s="487" customFormat="1" ht="15.75" customHeight="1"/>
    <row r="611" s="487" customFormat="1" ht="15.75" customHeight="1"/>
    <row r="612" s="487" customFormat="1" ht="15.75" customHeight="1"/>
    <row r="613" s="487" customFormat="1" ht="15.75" customHeight="1"/>
    <row r="614" s="487" customFormat="1" ht="15.75" customHeight="1"/>
    <row r="615" s="487" customFormat="1" ht="15.75" customHeight="1"/>
    <row r="616" s="487" customFormat="1" ht="15.75" customHeight="1"/>
    <row r="617" s="487" customFormat="1" ht="15.75" customHeight="1"/>
    <row r="618" s="487" customFormat="1" ht="15.75" customHeight="1"/>
    <row r="619" s="487" customFormat="1" ht="15.75" customHeight="1"/>
    <row r="620" s="487" customFormat="1" ht="15.75" customHeight="1"/>
    <row r="621" s="487" customFormat="1" ht="15.75" customHeight="1"/>
    <row r="622" s="487" customFormat="1" ht="15.75" customHeight="1"/>
    <row r="623" s="487" customFormat="1" ht="15.75" customHeight="1"/>
    <row r="624" s="487" customFormat="1" ht="15.75" customHeight="1"/>
    <row r="625" s="487" customFormat="1" ht="15.75" customHeight="1"/>
    <row r="626" s="487" customFormat="1" ht="15.75" customHeight="1"/>
    <row r="627" s="487" customFormat="1" ht="15.75" customHeight="1"/>
    <row r="628" s="487" customFormat="1" ht="15.75" customHeight="1"/>
    <row r="629" s="487" customFormat="1" ht="15.75" customHeight="1"/>
    <row r="630" s="487" customFormat="1" ht="15.75" customHeight="1"/>
    <row r="631" s="487" customFormat="1" ht="15.75" customHeight="1"/>
    <row r="632" s="487" customFormat="1" ht="15.75" customHeight="1"/>
    <row r="633" s="487" customFormat="1" ht="15.75" customHeight="1"/>
    <row r="634" s="487" customFormat="1" ht="15.75" customHeight="1"/>
    <row r="635" s="487" customFormat="1" ht="15.75" customHeight="1"/>
    <row r="636" s="487" customFormat="1" ht="15.75" customHeight="1"/>
    <row r="637" s="487" customFormat="1" ht="15.75" customHeight="1"/>
    <row r="638" s="487" customFormat="1" ht="15.75" customHeight="1"/>
    <row r="639" s="487" customFormat="1" ht="15.75" customHeight="1"/>
    <row r="640" s="487" customFormat="1" ht="15.75" customHeight="1"/>
    <row r="641" s="487" customFormat="1" ht="15.75" customHeight="1"/>
    <row r="642" s="487" customFormat="1" ht="15.75" customHeight="1"/>
    <row r="643" s="487" customFormat="1" ht="15.75" customHeight="1"/>
    <row r="644" s="487" customFormat="1" ht="15.75" customHeight="1"/>
    <row r="645" s="487" customFormat="1" ht="15.75" customHeight="1"/>
    <row r="646" s="487" customFormat="1" ht="15.75" customHeight="1"/>
    <row r="647" s="487" customFormat="1" ht="15.75" customHeight="1"/>
    <row r="648" s="487" customFormat="1" ht="15.75" customHeight="1"/>
    <row r="649" s="487" customFormat="1" ht="15.75" customHeight="1"/>
    <row r="650" s="487" customFormat="1" ht="15.75" customHeight="1"/>
    <row r="651" s="487" customFormat="1" ht="15.75" customHeight="1"/>
    <row r="652" s="487" customFormat="1" ht="15.75" customHeight="1"/>
    <row r="653" s="487" customFormat="1" ht="15.75" customHeight="1"/>
    <row r="654" s="487" customFormat="1" ht="15.75" customHeight="1"/>
    <row r="655" s="487" customFormat="1" ht="15.75" customHeight="1"/>
    <row r="656" s="487" customFormat="1" ht="15.75" customHeight="1"/>
    <row r="657" s="487" customFormat="1" ht="15.75" customHeight="1"/>
    <row r="658" s="487" customFormat="1" ht="15.75" customHeight="1"/>
    <row r="659" s="487" customFormat="1" ht="15.75" customHeight="1"/>
    <row r="660" s="487" customFormat="1" ht="15.75" customHeight="1"/>
    <row r="661" s="487" customFormat="1" ht="15.75" customHeight="1"/>
    <row r="662" s="487" customFormat="1" ht="15.75" customHeight="1"/>
    <row r="663" s="487" customFormat="1" ht="15.75" customHeight="1"/>
    <row r="664" s="487" customFormat="1" ht="15.75" customHeight="1"/>
    <row r="665" s="487" customFormat="1" ht="15.75" customHeight="1"/>
    <row r="666" s="487" customFormat="1" ht="15.75" customHeight="1"/>
    <row r="667" s="487" customFormat="1" ht="15.75" customHeight="1"/>
    <row r="668" s="487" customFormat="1" ht="15.75" customHeight="1"/>
    <row r="669" s="487" customFormat="1" ht="15.75" customHeight="1"/>
    <row r="670" s="487" customFormat="1" ht="15.75" customHeight="1"/>
    <row r="671" s="487" customFormat="1" ht="15.75" customHeight="1"/>
    <row r="672" s="487" customFormat="1" ht="15.75" customHeight="1"/>
    <row r="673" s="487" customFormat="1" ht="15.75" customHeight="1"/>
    <row r="674" s="487" customFormat="1" ht="15.75" customHeight="1"/>
    <row r="675" s="487" customFormat="1" ht="15.75" customHeight="1"/>
    <row r="676" s="487" customFormat="1" ht="15.75" customHeight="1"/>
    <row r="677" s="487" customFormat="1" ht="15.75" customHeight="1"/>
    <row r="678" s="487" customFormat="1" ht="15.75" customHeight="1"/>
    <row r="679" s="487" customFormat="1" ht="15.75" customHeight="1"/>
    <row r="680" s="487" customFormat="1" ht="15.75" customHeight="1"/>
    <row r="681" s="487" customFormat="1" ht="15.75" customHeight="1"/>
    <row r="682" s="487" customFormat="1" ht="15.75" customHeight="1"/>
    <row r="683" s="487" customFormat="1" ht="15.75" customHeight="1"/>
    <row r="684" s="487" customFormat="1" ht="15.75" customHeight="1"/>
    <row r="685" s="487" customFormat="1" ht="15.75" customHeight="1"/>
    <row r="686" s="487" customFormat="1" ht="15.75" customHeight="1"/>
    <row r="687" s="487" customFormat="1" ht="15.75" customHeight="1"/>
    <row r="688" s="487" customFormat="1" ht="15.75" customHeight="1"/>
    <row r="689" s="487" customFormat="1" ht="15.75" customHeight="1"/>
    <row r="690" s="487" customFormat="1" ht="15.75" customHeight="1"/>
    <row r="691" s="487" customFormat="1" ht="15.75" customHeight="1"/>
    <row r="692" s="487" customFormat="1" ht="15.75" customHeight="1"/>
    <row r="693" s="487" customFormat="1" ht="15.75" customHeight="1"/>
    <row r="694" s="487" customFormat="1" ht="15.75" customHeight="1"/>
    <row r="695" s="487" customFormat="1" ht="15.75" customHeight="1"/>
    <row r="696" s="487" customFormat="1" ht="15.75" customHeight="1"/>
    <row r="697" s="487" customFormat="1" ht="15.75" customHeight="1"/>
    <row r="698" s="487" customFormat="1" ht="15.75" customHeight="1"/>
    <row r="699" s="487" customFormat="1" ht="15.75" customHeight="1"/>
    <row r="700" s="487" customFormat="1" ht="15.75" customHeight="1"/>
    <row r="701" s="487" customFormat="1" ht="15.75" customHeight="1"/>
    <row r="702" s="487" customFormat="1" ht="15.75" customHeight="1"/>
    <row r="703" s="487" customFormat="1" ht="15.75" customHeight="1"/>
    <row r="704" s="487" customFormat="1" ht="15.75" customHeight="1"/>
    <row r="705" s="487" customFormat="1" ht="15.75" customHeight="1"/>
    <row r="706" s="487" customFormat="1" ht="15.75" customHeight="1"/>
    <row r="707" s="487" customFormat="1" ht="15.75" customHeight="1"/>
    <row r="708" s="487" customFormat="1" ht="15.75" customHeight="1"/>
    <row r="709" s="487" customFormat="1" ht="15.75" customHeight="1"/>
    <row r="710" s="487" customFormat="1" ht="15.75" customHeight="1"/>
    <row r="711" s="487" customFormat="1" ht="15.75" customHeight="1"/>
    <row r="712" s="487" customFormat="1" ht="15.75" customHeight="1"/>
    <row r="713" s="487" customFormat="1" ht="15.75" customHeight="1"/>
    <row r="714" s="487" customFormat="1" ht="15.75" customHeight="1"/>
    <row r="715" s="487" customFormat="1" ht="15.75" customHeight="1"/>
    <row r="716" s="487" customFormat="1" ht="15.75" customHeight="1"/>
    <row r="717" s="487" customFormat="1" ht="15.75" customHeight="1"/>
    <row r="718" s="487" customFormat="1" ht="15.75" customHeight="1"/>
    <row r="719" s="487" customFormat="1" ht="15.75" customHeight="1"/>
    <row r="720" s="487" customFormat="1" ht="15.75" customHeight="1"/>
    <row r="721" s="487" customFormat="1" ht="15.75" customHeight="1"/>
    <row r="722" s="487" customFormat="1" ht="15.75" customHeight="1"/>
    <row r="723" s="487" customFormat="1" ht="15.75" customHeight="1"/>
    <row r="724" s="487" customFormat="1" ht="15.75" customHeight="1"/>
    <row r="725" s="487" customFormat="1" ht="15.75" customHeight="1"/>
    <row r="726" s="487" customFormat="1" ht="15.75" customHeight="1"/>
    <row r="727" s="487" customFormat="1" ht="15.75" customHeight="1"/>
    <row r="728" s="487" customFormat="1" ht="15.75" customHeight="1"/>
    <row r="729" s="487" customFormat="1" ht="15.75" customHeight="1"/>
    <row r="730" s="487" customFormat="1" ht="15.75" customHeight="1"/>
    <row r="731" s="487" customFormat="1" ht="15.75" customHeight="1"/>
    <row r="732" s="487" customFormat="1" ht="15.75" customHeight="1"/>
    <row r="733" s="487" customFormat="1" ht="15.75" customHeight="1"/>
    <row r="734" s="487" customFormat="1" ht="15.75" customHeight="1"/>
    <row r="735" s="487" customFormat="1" ht="15.75" customHeight="1"/>
    <row r="736" s="487" customFormat="1" ht="15.75" customHeight="1"/>
    <row r="737" s="487" customFormat="1" ht="15.75" customHeight="1"/>
    <row r="738" s="487" customFormat="1" ht="15.75" customHeight="1"/>
    <row r="739" s="487" customFormat="1" ht="15.75" customHeight="1"/>
    <row r="740" s="487" customFormat="1" ht="15.75" customHeight="1"/>
    <row r="741" s="487" customFormat="1" ht="15.75" customHeight="1"/>
    <row r="742" s="487" customFormat="1" ht="15.75" customHeight="1"/>
    <row r="743" s="487" customFormat="1" ht="15.75" customHeight="1"/>
    <row r="744" s="487" customFormat="1" ht="15.75" customHeight="1"/>
    <row r="745" s="487" customFormat="1" ht="15.75" customHeight="1"/>
    <row r="746" s="487" customFormat="1" ht="15.75" customHeight="1"/>
    <row r="747" s="487" customFormat="1" ht="15.75" customHeight="1"/>
    <row r="748" s="487" customFormat="1" ht="15.75" customHeight="1"/>
    <row r="749" s="487" customFormat="1" ht="15.75" customHeight="1"/>
    <row r="750" s="487" customFormat="1" ht="15.75" customHeight="1"/>
    <row r="751" s="487" customFormat="1" ht="15.75" customHeight="1"/>
    <row r="752" s="487" customFormat="1" ht="15.75" customHeight="1"/>
    <row r="753" s="487" customFormat="1" ht="15.75" customHeight="1"/>
    <row r="754" s="487" customFormat="1" ht="15.75" customHeight="1"/>
    <row r="755" s="487" customFormat="1" ht="15.75" customHeight="1"/>
    <row r="756" s="487" customFormat="1" ht="15.75" customHeight="1"/>
    <row r="757" s="487" customFormat="1" ht="15.75" customHeight="1"/>
    <row r="758" s="487" customFormat="1" ht="15.75" customHeight="1"/>
    <row r="759" s="487" customFormat="1" ht="15.75" customHeight="1"/>
    <row r="760" s="487" customFormat="1" ht="15.75" customHeight="1"/>
    <row r="761" s="487" customFormat="1" ht="15.75" customHeight="1"/>
    <row r="762" s="487" customFormat="1" ht="15.75" customHeight="1"/>
    <row r="763" s="487" customFormat="1" ht="15.75" customHeight="1"/>
    <row r="764" s="487" customFormat="1" ht="15.75" customHeight="1"/>
    <row r="765" s="487" customFormat="1" ht="15.75" customHeight="1"/>
    <row r="766" s="487" customFormat="1" ht="15.75" customHeight="1"/>
    <row r="767" s="487" customFormat="1" ht="15.75" customHeight="1"/>
    <row r="768" s="487" customFormat="1" ht="15.75" customHeight="1"/>
    <row r="769" s="487" customFormat="1" ht="15.75" customHeight="1"/>
    <row r="770" s="487" customFormat="1" ht="15.75" customHeight="1"/>
    <row r="771" s="487" customFormat="1" ht="15.75" customHeight="1"/>
    <row r="772" s="487" customFormat="1" ht="15.75" customHeight="1"/>
    <row r="773" s="487" customFormat="1" ht="15.75" customHeight="1"/>
    <row r="774" s="487" customFormat="1" ht="15.75" customHeight="1"/>
    <row r="775" s="487" customFormat="1" ht="15.75" customHeight="1"/>
    <row r="776" s="487" customFormat="1" ht="15.75" customHeight="1"/>
    <row r="777" s="487" customFormat="1" ht="15.75" customHeight="1"/>
    <row r="778" s="487" customFormat="1" ht="15.75" customHeight="1"/>
    <row r="779" s="487" customFormat="1" ht="15.75" customHeight="1"/>
    <row r="780" s="487" customFormat="1" ht="15.75" customHeight="1"/>
    <row r="781" s="487" customFormat="1" ht="15.75" customHeight="1"/>
    <row r="782" s="487" customFormat="1" ht="15.75" customHeight="1"/>
    <row r="783" s="487" customFormat="1" ht="15.75" customHeight="1"/>
    <row r="784" s="487" customFormat="1" ht="15.75" customHeight="1"/>
    <row r="785" s="487" customFormat="1" ht="15.75" customHeight="1"/>
    <row r="786" s="487" customFormat="1" ht="15.75" customHeight="1"/>
    <row r="787" s="487" customFormat="1" ht="15.75" customHeight="1"/>
    <row r="788" s="487" customFormat="1" ht="15.75" customHeight="1"/>
    <row r="789" s="487" customFormat="1" ht="15.75" customHeight="1"/>
    <row r="790" s="487" customFormat="1" ht="15.75" customHeight="1"/>
    <row r="791" s="487" customFormat="1" ht="15.75" customHeight="1"/>
    <row r="792" s="487" customFormat="1" ht="15.75" customHeight="1"/>
    <row r="793" s="487" customFormat="1" ht="15.75" customHeight="1"/>
    <row r="794" s="487" customFormat="1" ht="15.75" customHeight="1"/>
    <row r="795" s="487" customFormat="1" ht="15.75" customHeight="1"/>
    <row r="796" s="487" customFormat="1" ht="15.75" customHeight="1"/>
    <row r="797" s="487" customFormat="1" ht="15.75" customHeight="1"/>
    <row r="798" s="487" customFormat="1" ht="15.75" customHeight="1"/>
    <row r="799" s="487" customFormat="1" ht="15.75" customHeight="1"/>
    <row r="800" s="487" customFormat="1" ht="15.75" customHeight="1"/>
    <row r="801" s="487" customFormat="1" ht="15.75" customHeight="1"/>
    <row r="802" s="487" customFormat="1" ht="15.75" customHeight="1"/>
    <row r="803" s="487" customFormat="1" ht="15.75" customHeight="1"/>
    <row r="804" s="487" customFormat="1" ht="15.75" customHeight="1"/>
    <row r="805" s="487" customFormat="1" ht="15.75" customHeight="1"/>
    <row r="806" s="487" customFormat="1" ht="15.75" customHeight="1"/>
    <row r="807" s="487" customFormat="1" ht="15.75" customHeight="1"/>
    <row r="808" s="487" customFormat="1" ht="15.75" customHeight="1"/>
    <row r="809" s="487" customFormat="1" ht="15.75" customHeight="1"/>
    <row r="810" s="487" customFormat="1" ht="15.75" customHeight="1"/>
    <row r="811" s="487" customFormat="1" ht="15.75" customHeight="1"/>
    <row r="812" s="487" customFormat="1" ht="15.75" customHeight="1"/>
    <row r="813" s="487" customFormat="1" ht="15.75" customHeight="1"/>
    <row r="814" s="487" customFormat="1" ht="15.75" customHeight="1"/>
    <row r="815" s="487" customFormat="1" ht="15.75" customHeight="1"/>
    <row r="816" s="487" customFormat="1" ht="15.75" customHeight="1"/>
    <row r="817" s="487" customFormat="1" ht="15.75" customHeight="1"/>
    <row r="818" s="487" customFormat="1" ht="15.75" customHeight="1"/>
    <row r="819" s="487" customFormat="1" ht="15.75" customHeight="1"/>
    <row r="820" s="487" customFormat="1" ht="15.75" customHeight="1"/>
    <row r="821" s="487" customFormat="1" ht="15.75" customHeight="1"/>
    <row r="822" s="487" customFormat="1" ht="15.75" customHeight="1"/>
    <row r="823" s="487" customFormat="1" ht="15.75" customHeight="1"/>
    <row r="824" s="487" customFormat="1" ht="15.75" customHeight="1"/>
    <row r="825" s="487" customFormat="1" ht="15.75" customHeight="1"/>
    <row r="826" s="487" customFormat="1" ht="15.75" customHeight="1"/>
    <row r="827" s="487" customFormat="1" ht="15.75" customHeight="1"/>
    <row r="828" s="487" customFormat="1" ht="15.75" customHeight="1"/>
    <row r="829" s="487" customFormat="1" ht="15.75" customHeight="1"/>
    <row r="830" s="487" customFormat="1" ht="15.75" customHeight="1"/>
    <row r="831" s="487" customFormat="1" ht="15.75" customHeight="1"/>
    <row r="832" s="487" customFormat="1" ht="15.75" customHeight="1"/>
    <row r="833" s="487" customFormat="1" ht="15.75" customHeight="1"/>
    <row r="834" s="487" customFormat="1" ht="15.75" customHeight="1"/>
    <row r="835" s="487" customFormat="1" ht="15.75" customHeight="1"/>
    <row r="836" s="487" customFormat="1" ht="15.75" customHeight="1"/>
    <row r="837" s="487" customFormat="1" ht="15.75" customHeight="1"/>
    <row r="838" s="487" customFormat="1" ht="15.75" customHeight="1"/>
    <row r="839" s="487" customFormat="1" ht="15.75" customHeight="1"/>
    <row r="840" s="487" customFormat="1" ht="15.75" customHeight="1"/>
    <row r="841" s="487" customFormat="1" ht="15.75" customHeight="1"/>
    <row r="842" s="487" customFormat="1" ht="15.75" customHeight="1"/>
    <row r="843" s="487" customFormat="1" ht="15.75" customHeight="1"/>
    <row r="844" s="487" customFormat="1" ht="15.75" customHeight="1"/>
    <row r="845" s="487" customFormat="1" ht="15.75" customHeight="1"/>
    <row r="846" s="487" customFormat="1" ht="15.75" customHeight="1"/>
    <row r="847" s="487" customFormat="1" ht="15.75" customHeight="1"/>
    <row r="848" s="487" customFormat="1" ht="15.75" customHeight="1"/>
    <row r="849" s="487" customFormat="1" ht="15.75" customHeight="1"/>
    <row r="850" s="487" customFormat="1" ht="15.75" customHeight="1"/>
    <row r="851" s="487" customFormat="1" ht="15.75" customHeight="1"/>
    <row r="852" s="487" customFormat="1" ht="15.75" customHeight="1"/>
    <row r="853" s="487" customFormat="1" ht="15.75" customHeight="1"/>
    <row r="854" s="487" customFormat="1" ht="15.75" customHeight="1"/>
    <row r="855" s="487" customFormat="1" ht="15.75" customHeight="1"/>
    <row r="856" s="487" customFormat="1" ht="15.75" customHeight="1"/>
    <row r="857" s="487" customFormat="1" ht="15.75" customHeight="1"/>
    <row r="858" s="487" customFormat="1" ht="15.75" customHeight="1"/>
    <row r="859" s="487" customFormat="1" ht="15.75" customHeight="1"/>
    <row r="860" s="487" customFormat="1" ht="15.75" customHeight="1"/>
    <row r="861" s="487" customFormat="1" ht="15.75" customHeight="1"/>
    <row r="862" s="487" customFormat="1" ht="15.75" customHeight="1"/>
    <row r="863" s="487" customFormat="1" ht="15.75" customHeight="1"/>
    <row r="864" s="487" customFormat="1" ht="15.75" customHeight="1"/>
    <row r="865" s="487" customFormat="1" ht="15.75" customHeight="1"/>
    <row r="866" s="487" customFormat="1" ht="15.75" customHeight="1"/>
    <row r="867" s="487" customFormat="1" ht="15.75" customHeight="1"/>
    <row r="868" s="487" customFormat="1" ht="15.75" customHeight="1"/>
    <row r="869" s="487" customFormat="1" ht="15.75" customHeight="1"/>
    <row r="870" s="487" customFormat="1" ht="15.75" customHeight="1"/>
    <row r="871" s="487" customFormat="1" ht="15.75" customHeight="1"/>
    <row r="872" s="487" customFormat="1" ht="15.75" customHeight="1"/>
    <row r="873" s="487" customFormat="1" ht="15.75" customHeight="1"/>
    <row r="874" s="487" customFormat="1" ht="15.75" customHeight="1"/>
    <row r="875" s="487" customFormat="1" ht="15.75" customHeight="1"/>
    <row r="876" s="487" customFormat="1" ht="15.75" customHeight="1"/>
    <row r="877" s="487" customFormat="1" ht="15.75" customHeight="1"/>
    <row r="878" s="487" customFormat="1" ht="15.75" customHeight="1"/>
    <row r="879" s="487" customFormat="1" ht="15.75" customHeight="1"/>
    <row r="880" s="487" customFormat="1" ht="15.75" customHeight="1"/>
    <row r="881" s="487" customFormat="1" ht="15.75" customHeight="1"/>
    <row r="882" s="487" customFormat="1" ht="15.75" customHeight="1"/>
    <row r="883" s="487" customFormat="1" ht="15.75" customHeight="1"/>
    <row r="884" s="487" customFormat="1" ht="15.75" customHeight="1"/>
    <row r="885" s="487" customFormat="1" ht="15.75" customHeight="1"/>
    <row r="886" s="487" customFormat="1" ht="15.75" customHeight="1"/>
    <row r="887" s="487" customFormat="1" ht="15.75" customHeight="1"/>
    <row r="888" s="487" customFormat="1" ht="15.75" customHeight="1"/>
    <row r="889" s="487" customFormat="1" ht="15.75" customHeight="1"/>
    <row r="890" s="487" customFormat="1" ht="15.75" customHeight="1"/>
    <row r="891" s="487" customFormat="1" ht="15.75" customHeight="1"/>
    <row r="892" s="487" customFormat="1" ht="15.75" customHeight="1"/>
    <row r="893" s="487" customFormat="1" ht="15.75" customHeight="1"/>
    <row r="894" s="487" customFormat="1" ht="15.75" customHeight="1"/>
    <row r="895" s="487" customFormat="1" ht="15.75" customHeight="1"/>
    <row r="896" s="487" customFormat="1" ht="15.75" customHeight="1"/>
    <row r="897" s="487" customFormat="1" ht="15.75" customHeight="1"/>
    <row r="898" s="487" customFormat="1" ht="15.75" customHeight="1"/>
    <row r="899" s="487" customFormat="1" ht="15.75" customHeight="1"/>
    <row r="900" s="487" customFormat="1" ht="15.75" customHeight="1"/>
    <row r="901" s="487" customFormat="1" ht="15.75" customHeight="1"/>
    <row r="902" s="487" customFormat="1" ht="15.75" customHeight="1"/>
    <row r="903" s="487" customFormat="1" ht="15.75" customHeight="1"/>
    <row r="904" s="487" customFormat="1" ht="15.75" customHeight="1"/>
    <row r="905" s="487" customFormat="1" ht="15.75" customHeight="1"/>
    <row r="906" s="487" customFormat="1" ht="15.75" customHeight="1"/>
    <row r="907" s="487" customFormat="1" ht="15.75" customHeight="1"/>
    <row r="908" s="487" customFormat="1" ht="15.75" customHeight="1"/>
    <row r="909" s="487" customFormat="1" ht="15.75" customHeight="1"/>
    <row r="910" s="487" customFormat="1" ht="15.75" customHeight="1"/>
    <row r="911" s="487" customFormat="1" ht="15.75" customHeight="1"/>
    <row r="912" s="487" customFormat="1" ht="15.75" customHeight="1"/>
    <row r="913" s="487" customFormat="1" ht="15.75" customHeight="1"/>
    <row r="914" s="487" customFormat="1" ht="15.75" customHeight="1"/>
    <row r="915" s="487" customFormat="1" ht="15.75" customHeight="1"/>
    <row r="916" s="487" customFormat="1" ht="15.75" customHeight="1"/>
    <row r="917" s="487" customFormat="1" ht="15.75" customHeight="1"/>
    <row r="918" s="487" customFormat="1" ht="15.75" customHeight="1"/>
    <row r="919" s="487" customFormat="1" ht="15.75" customHeight="1"/>
    <row r="920" s="487" customFormat="1" ht="15.75" customHeight="1"/>
    <row r="921" s="487" customFormat="1" ht="15.75" customHeight="1"/>
    <row r="922" s="487" customFormat="1" ht="15.75" customHeight="1"/>
    <row r="923" s="487" customFormat="1" ht="15.75" customHeight="1"/>
    <row r="924" s="487" customFormat="1" ht="15.75" customHeight="1"/>
    <row r="925" s="487" customFormat="1" ht="15.75" customHeight="1"/>
    <row r="926" s="487" customFormat="1" ht="15.75" customHeight="1"/>
    <row r="927" s="487" customFormat="1" ht="15.75" customHeight="1"/>
    <row r="928" s="487" customFormat="1" ht="15.75" customHeight="1"/>
    <row r="929" s="487" customFormat="1" ht="15.75" customHeight="1"/>
    <row r="930" s="487" customFormat="1" ht="15.75" customHeight="1"/>
    <row r="931" s="487" customFormat="1" ht="15.75" customHeight="1"/>
    <row r="932" s="487" customFormat="1" ht="15.75" customHeight="1"/>
    <row r="933" s="487" customFormat="1" ht="15.75" customHeight="1"/>
    <row r="934" s="487" customFormat="1" ht="15.75" customHeight="1"/>
    <row r="935" s="487" customFormat="1" ht="15.75" customHeight="1"/>
    <row r="936" s="487" customFormat="1" ht="15.75" customHeight="1"/>
    <row r="937" s="487" customFormat="1" ht="15.75" customHeight="1"/>
    <row r="938" s="487" customFormat="1" ht="15.75" customHeight="1"/>
    <row r="939" s="487" customFormat="1" ht="15.75" customHeight="1"/>
    <row r="940" s="487" customFormat="1" ht="15.75" customHeight="1"/>
    <row r="941" s="487" customFormat="1" ht="15.75" customHeight="1"/>
    <row r="942" s="487" customFormat="1" ht="15.75" customHeight="1"/>
    <row r="943" s="487" customFormat="1" ht="15.75" customHeight="1"/>
    <row r="944" s="487" customFormat="1" ht="15.75" customHeight="1"/>
    <row r="945" s="487" customFormat="1" ht="15.75" customHeight="1"/>
    <row r="946" s="487" customFormat="1" ht="15.75" customHeight="1"/>
    <row r="947" s="487" customFormat="1" ht="15.75" customHeight="1"/>
    <row r="948" s="487" customFormat="1" ht="15.75" customHeight="1"/>
    <row r="949" s="487" customFormat="1" ht="15.75" customHeight="1"/>
    <row r="950" s="487" customFormat="1" ht="15.75" customHeight="1"/>
    <row r="951" s="487" customFormat="1" ht="15.75" customHeight="1"/>
    <row r="952" s="487" customFormat="1" ht="15.75" customHeight="1"/>
    <row r="953" s="487" customFormat="1" ht="15.75" customHeight="1"/>
    <row r="954" s="487" customFormat="1" ht="15.75" customHeight="1"/>
    <row r="955" s="487" customFormat="1" ht="15.75" customHeight="1"/>
    <row r="956" s="487" customFormat="1" ht="15.75" customHeight="1"/>
    <row r="957" s="487" customFormat="1" ht="15.75" customHeight="1"/>
    <row r="958" s="487" customFormat="1" ht="15.75" customHeight="1"/>
    <row r="959" s="487" customFormat="1" ht="15.75" customHeight="1"/>
    <row r="960" s="487" customFormat="1" ht="15.75" customHeight="1"/>
    <row r="961" s="487" customFormat="1" ht="15.75" customHeight="1"/>
    <row r="962" s="487" customFormat="1" ht="15.75" customHeight="1"/>
    <row r="963" s="487" customFormat="1" ht="15.75" customHeight="1"/>
    <row r="964" s="487" customFormat="1" ht="15.75" customHeight="1"/>
    <row r="965" s="487" customFormat="1" ht="15.75" customHeight="1"/>
    <row r="966" s="487" customFormat="1" ht="15.75" customHeight="1"/>
    <row r="967" s="487" customFormat="1" ht="15.75" customHeight="1"/>
    <row r="968" s="487" customFormat="1" ht="15.75" customHeight="1"/>
    <row r="969" s="487" customFormat="1" ht="15.75" customHeight="1"/>
    <row r="970" s="487" customFormat="1" ht="15.75" customHeight="1"/>
    <row r="971" s="487" customFormat="1" ht="15.75" customHeight="1"/>
    <row r="972" s="487" customFormat="1" ht="15.75" customHeight="1"/>
    <row r="973" s="487" customFormat="1" ht="15.75" customHeight="1"/>
    <row r="974" s="487" customFormat="1" ht="15.75" customHeight="1"/>
    <row r="975" s="487" customFormat="1" ht="15.75" customHeight="1"/>
    <row r="976" s="487" customFormat="1" ht="15.75" customHeight="1"/>
    <row r="977" s="487" customFormat="1" ht="15.75" customHeight="1"/>
    <row r="978" s="487" customFormat="1" ht="15.75" customHeight="1"/>
    <row r="979" s="487" customFormat="1" ht="15.75" customHeight="1"/>
    <row r="980" s="487" customFormat="1" ht="15.75" customHeight="1"/>
    <row r="981" s="487" customFormat="1" ht="15.75" customHeight="1"/>
    <row r="982" s="487" customFormat="1" ht="15.75" customHeight="1"/>
    <row r="983" s="487" customFormat="1" ht="15.75" customHeight="1"/>
    <row r="984" s="487" customFormat="1" ht="15.75" customHeight="1"/>
    <row r="985" s="487" customFormat="1" ht="15.75" customHeight="1"/>
    <row r="986" s="487" customFormat="1" ht="15.75" customHeight="1"/>
    <row r="987" s="487" customFormat="1" ht="15.75" customHeight="1"/>
    <row r="988" s="487" customFormat="1" ht="15.75" customHeight="1"/>
    <row r="989" s="487" customFormat="1" ht="15.75" customHeight="1"/>
    <row r="990" s="487" customFormat="1" ht="15.75" customHeight="1"/>
    <row r="991" s="487" customFormat="1" ht="15.75" customHeight="1"/>
    <row r="992" s="487" customFormat="1" ht="15.75" customHeight="1"/>
    <row r="993" s="487" customFormat="1" ht="15.75" customHeight="1"/>
    <row r="994" s="487" customFormat="1" ht="15.75" customHeight="1"/>
    <row r="995" s="487" customFormat="1" ht="15.75" customHeight="1"/>
    <row r="996" s="487" customFormat="1" ht="15.75" customHeight="1"/>
    <row r="997" s="487" customFormat="1" ht="15.75" customHeight="1"/>
    <row r="998" s="487" customFormat="1" ht="15.75" customHeight="1"/>
    <row r="999" s="487" customFormat="1" ht="15.75" customHeight="1"/>
    <row r="1000" s="487" customFormat="1" ht="15.75" customHeight="1"/>
    <row r="1001" s="487" customFormat="1" ht="15.75" customHeight="1"/>
    <row r="1002" s="487" customFormat="1" ht="15.75" customHeight="1"/>
    <row r="1003" s="487" customFormat="1" ht="15.75" customHeight="1"/>
    <row r="1004" s="487" customFormat="1" ht="15.75" customHeight="1"/>
    <row r="1005" s="487" customFormat="1" ht="15.75" customHeight="1"/>
    <row r="1006" s="487" customFormat="1" ht="15.75" customHeight="1"/>
    <row r="1007" s="487" customFormat="1" ht="15.75" customHeight="1"/>
    <row r="1008" s="487" customFormat="1" ht="15.75" customHeight="1"/>
    <row r="1009" s="487" customFormat="1" ht="15.75" customHeight="1"/>
    <row r="1010" s="487" customFormat="1" ht="15.75" customHeight="1"/>
    <row r="1011" s="487" customFormat="1" ht="15.75" customHeight="1"/>
    <row r="1012" s="487" customFormat="1" ht="15.75" customHeight="1"/>
    <row r="1013" s="487" customFormat="1" ht="15.75" customHeight="1"/>
    <row r="1014" s="487" customFormat="1" ht="15.75" customHeight="1"/>
    <row r="1015" s="487" customFormat="1" ht="15.75" customHeight="1"/>
    <row r="1016" s="487" customFormat="1" ht="15.75" customHeight="1"/>
    <row r="1017" s="487" customFormat="1" ht="15.75" customHeight="1"/>
    <row r="1018" s="487" customFormat="1" ht="15.75" customHeight="1"/>
    <row r="1019" s="487" customFormat="1" ht="15.75" customHeight="1"/>
    <row r="1020" s="487" customFormat="1" ht="15.75" customHeight="1"/>
    <row r="1021" s="487" customFormat="1" ht="15.75" customHeight="1"/>
    <row r="1022" s="487" customFormat="1" ht="15.75" customHeight="1"/>
    <row r="1023" s="487" customFormat="1" ht="15.75" customHeight="1"/>
    <row r="1024" s="487" customFormat="1" ht="15.75" customHeight="1"/>
    <row r="1025" s="487" customFormat="1" ht="15.75" customHeight="1"/>
    <row r="1026" s="487" customFormat="1" ht="15.75" customHeight="1"/>
    <row r="1027" s="487" customFormat="1" ht="15.75" customHeight="1"/>
    <row r="1028" s="487" customFormat="1" ht="15.75" customHeight="1"/>
    <row r="1029" s="487" customFormat="1" ht="15.75" customHeight="1"/>
    <row r="1030" s="487" customFormat="1" ht="15.75" customHeight="1"/>
    <row r="1031" s="487" customFormat="1" ht="15.75" customHeight="1"/>
    <row r="1032" s="487" customFormat="1" ht="15.75" customHeight="1"/>
    <row r="1033" s="487" customFormat="1" ht="15.75" customHeight="1"/>
    <row r="1034" s="487" customFormat="1" ht="15.75" customHeight="1"/>
    <row r="1035" s="487" customFormat="1" ht="15.75" customHeight="1"/>
    <row r="1036" s="487" customFormat="1" ht="15.75" customHeight="1"/>
    <row r="1037" s="487" customFormat="1" ht="15.75" customHeight="1"/>
    <row r="1038" s="487" customFormat="1" ht="15.75" customHeight="1"/>
    <row r="1039" s="487" customFormat="1" ht="15.75" customHeight="1"/>
    <row r="1040" s="487" customFormat="1" ht="15.75" customHeight="1"/>
    <row r="1041" s="487" customFormat="1" ht="15.75" customHeight="1"/>
    <row r="1042" s="487" customFormat="1" ht="15.75" customHeight="1"/>
    <row r="1043" s="487" customFormat="1" ht="15.75" customHeight="1"/>
    <row r="1044" s="487" customFormat="1" ht="15.75" customHeight="1"/>
    <row r="1045" s="487" customFormat="1" ht="15.75" customHeight="1"/>
    <row r="1046" s="487" customFormat="1" ht="15.75" customHeight="1"/>
    <row r="1047" s="487" customFormat="1" ht="15.75" customHeight="1"/>
    <row r="1048" s="487" customFormat="1" ht="15.75" customHeight="1"/>
    <row r="1049" s="487" customFormat="1" ht="15.75" customHeight="1"/>
    <row r="1050" s="487" customFormat="1" ht="15.75" customHeight="1"/>
    <row r="1051" s="487" customFormat="1" ht="15.75" customHeight="1"/>
    <row r="1052" s="487" customFormat="1" ht="15.75" customHeight="1"/>
    <row r="1053" s="487" customFormat="1" ht="15.75" customHeight="1"/>
    <row r="1054" s="487" customFormat="1" ht="15.75" customHeight="1"/>
    <row r="1055" s="487" customFormat="1" ht="15.75" customHeight="1"/>
    <row r="1056" s="487" customFormat="1" ht="15.75" customHeight="1"/>
    <row r="1057" s="487" customFormat="1" ht="15.75" customHeight="1"/>
    <row r="1058" s="487" customFormat="1" ht="15.75" customHeight="1"/>
    <row r="1059" s="487" customFormat="1" ht="15.75" customHeight="1"/>
    <row r="1060" s="487" customFormat="1" ht="15.75" customHeight="1"/>
    <row r="1061" s="487" customFormat="1" ht="15.75" customHeight="1"/>
    <row r="1062" s="487" customFormat="1" ht="15.75" customHeight="1"/>
    <row r="1063" s="487" customFormat="1" ht="15.75" customHeight="1"/>
    <row r="1064" s="487" customFormat="1" ht="15.75" customHeight="1"/>
    <row r="1065" s="487" customFormat="1" ht="15.75" customHeight="1"/>
    <row r="1066" s="487" customFormat="1" ht="15.75" customHeight="1"/>
    <row r="1067" s="487" customFormat="1" ht="15.75" customHeight="1"/>
    <row r="1068" s="487" customFormat="1" ht="15.75" customHeight="1"/>
    <row r="1069" s="487" customFormat="1" ht="15.75" customHeight="1"/>
    <row r="1070" s="487" customFormat="1" ht="15.75" customHeight="1"/>
    <row r="1071" s="487" customFormat="1" ht="15.75" customHeight="1"/>
    <row r="1072" s="487" customFormat="1" ht="15.75" customHeight="1"/>
    <row r="1073" s="487" customFormat="1" ht="15.75" customHeight="1"/>
    <row r="1074" s="487" customFormat="1" ht="15.75" customHeight="1"/>
    <row r="1075" s="487" customFormat="1" ht="15.75" customHeight="1"/>
    <row r="1076" s="487" customFormat="1" ht="15.75" customHeight="1"/>
    <row r="1077" s="487" customFormat="1" ht="15.75" customHeight="1"/>
    <row r="1078" s="487" customFormat="1" ht="15.75" customHeight="1"/>
    <row r="1079" s="487" customFormat="1" ht="15.75" customHeight="1"/>
    <row r="1080" s="487" customFormat="1" ht="15.75" customHeight="1"/>
    <row r="1081" s="487" customFormat="1" ht="15.75" customHeight="1"/>
    <row r="1082" s="487" customFormat="1" ht="15.75" customHeight="1"/>
    <row r="1083" s="487" customFormat="1" ht="15.75" customHeight="1"/>
    <row r="1084" s="487" customFormat="1" ht="15.75" customHeight="1"/>
    <row r="1085" s="487" customFormat="1" ht="15.75" customHeight="1"/>
    <row r="1086" s="487" customFormat="1" ht="15.75" customHeight="1"/>
    <row r="1087" s="487" customFormat="1" ht="15.75" customHeight="1"/>
    <row r="1088" s="487" customFormat="1" ht="15.75" customHeight="1"/>
    <row r="1089" s="487" customFormat="1" ht="15.75" customHeight="1"/>
    <row r="1090" s="487" customFormat="1" ht="15.75" customHeight="1"/>
    <row r="1091" s="487" customFormat="1" ht="15.75" customHeight="1"/>
    <row r="1092" s="487" customFormat="1" ht="15.75" customHeight="1"/>
    <row r="1093" s="487" customFormat="1" ht="15.75" customHeight="1"/>
    <row r="1094" s="487" customFormat="1" ht="15.75" customHeight="1"/>
    <row r="1095" s="487" customFormat="1" ht="15.75" customHeight="1"/>
    <row r="1096" s="487" customFormat="1" ht="15.75" customHeight="1"/>
    <row r="1097" s="487" customFormat="1" ht="15.75" customHeight="1"/>
    <row r="1098" s="487" customFormat="1" ht="15.75" customHeight="1"/>
    <row r="1099" s="487" customFormat="1" ht="15.75" customHeight="1"/>
    <row r="1100" s="487" customFormat="1" ht="15.75" customHeight="1"/>
    <row r="1101" s="487" customFormat="1" ht="15.75" customHeight="1"/>
    <row r="1102" s="487" customFormat="1" ht="15.75" customHeight="1"/>
    <row r="1103" s="487" customFormat="1" ht="15.75" customHeight="1"/>
    <row r="1104" s="487" customFormat="1" ht="15.75" customHeight="1"/>
    <row r="1105" s="487" customFormat="1" ht="15.75" customHeight="1"/>
    <row r="1106" s="487" customFormat="1" ht="15.75" customHeight="1"/>
    <row r="1107" s="487" customFormat="1" ht="15.75" customHeight="1"/>
    <row r="1108" s="487" customFormat="1" ht="15.75" customHeight="1"/>
    <row r="1109" s="487" customFormat="1" ht="15.75" customHeight="1"/>
    <row r="1110" s="487" customFormat="1" ht="15.75" customHeight="1"/>
    <row r="1111" s="487" customFormat="1" ht="15.75" customHeight="1"/>
    <row r="1112" s="487" customFormat="1" ht="15.75" customHeight="1"/>
    <row r="1113" s="487" customFormat="1" ht="15.75" customHeight="1"/>
    <row r="1114" s="487" customFormat="1" ht="15.75" customHeight="1"/>
    <row r="1115" s="487" customFormat="1" ht="15.75" customHeight="1"/>
    <row r="1116" s="487" customFormat="1" ht="15.75" customHeight="1"/>
    <row r="1117" s="487" customFormat="1" ht="15.75" customHeight="1"/>
    <row r="1118" s="487" customFormat="1" ht="15.75" customHeight="1"/>
    <row r="1119" s="487" customFormat="1" ht="15.75" customHeight="1"/>
    <row r="1120" s="487" customFormat="1" ht="15.75" customHeight="1"/>
    <row r="1121" s="487" customFormat="1" ht="15.75" customHeight="1"/>
    <row r="1122" s="487" customFormat="1" ht="15.75" customHeight="1"/>
    <row r="1123" s="487" customFormat="1" ht="15.75" customHeight="1"/>
    <row r="1124" s="487" customFormat="1" ht="15.75" customHeight="1"/>
    <row r="1125" s="487" customFormat="1" ht="15.75" customHeight="1"/>
    <row r="1126" s="487" customFormat="1" ht="15.75" customHeight="1"/>
    <row r="1127" s="487" customFormat="1" ht="15.75" customHeight="1"/>
    <row r="1128" s="487" customFormat="1" ht="15.75" customHeight="1"/>
    <row r="1129" s="487" customFormat="1" ht="15.75" customHeight="1"/>
    <row r="1130" s="487" customFormat="1" ht="15.75" customHeight="1"/>
    <row r="1131" s="487" customFormat="1" ht="15.75" customHeight="1"/>
    <row r="1132" s="487" customFormat="1" ht="15.75" customHeight="1"/>
    <row r="1133" s="487" customFormat="1" ht="15.75" customHeight="1"/>
    <row r="1134" s="487" customFormat="1" ht="15.75" customHeight="1"/>
    <row r="1135" s="487" customFormat="1" ht="15.75" customHeight="1"/>
    <row r="1136" s="487" customFormat="1" ht="15.75" customHeight="1"/>
    <row r="1137" s="487" customFormat="1" ht="15.75" customHeight="1"/>
    <row r="1138" s="487" customFormat="1" ht="15.75" customHeight="1"/>
    <row r="1139" s="487" customFormat="1" ht="15.75" customHeight="1"/>
    <row r="1140" s="487" customFormat="1" ht="15.75" customHeight="1"/>
    <row r="1141" s="487" customFormat="1" ht="15.75" customHeight="1"/>
    <row r="1142" s="487" customFormat="1" ht="15.75" customHeight="1"/>
    <row r="1143" s="487" customFormat="1" ht="15.75" customHeight="1"/>
    <row r="1144" s="487" customFormat="1" ht="15.75" customHeight="1"/>
    <row r="1145" s="487" customFormat="1" ht="15.75" customHeight="1"/>
    <row r="1146" s="487" customFormat="1" ht="15.75" customHeight="1"/>
    <row r="1147" s="487" customFormat="1" ht="15.75" customHeight="1"/>
    <row r="1148" s="487" customFormat="1" ht="15.75" customHeight="1"/>
    <row r="1149" s="487" customFormat="1" ht="15.75" customHeight="1"/>
    <row r="1150" s="487" customFormat="1" ht="15.75" customHeight="1"/>
    <row r="1151" s="487" customFormat="1" ht="15.75" customHeight="1"/>
    <row r="1152" s="487" customFormat="1" ht="15.75" customHeight="1"/>
    <row r="1153" s="487" customFormat="1" ht="15.75" customHeight="1"/>
    <row r="1154" s="487" customFormat="1" ht="15.75" customHeight="1"/>
    <row r="1155" s="487" customFormat="1" ht="15.75" customHeight="1"/>
    <row r="1156" s="487" customFormat="1" ht="15.75" customHeight="1"/>
    <row r="1157" s="487" customFormat="1" ht="15.75" customHeight="1"/>
    <row r="1158" s="487" customFormat="1" ht="15.75" customHeight="1"/>
    <row r="1159" s="487" customFormat="1" ht="15.75" customHeight="1"/>
    <row r="1160" s="487" customFormat="1" ht="15.75" customHeight="1"/>
    <row r="1161" s="487" customFormat="1" ht="15.75" customHeight="1"/>
    <row r="1162" s="487" customFormat="1" ht="15.75" customHeight="1"/>
    <row r="1163" s="487" customFormat="1" ht="15.75" customHeight="1"/>
    <row r="1164" s="487" customFormat="1" ht="15.75" customHeight="1"/>
    <row r="1165" s="487" customFormat="1" ht="15.75" customHeight="1"/>
    <row r="1166" s="487" customFormat="1" ht="15.75" customHeight="1"/>
    <row r="1167" s="487" customFormat="1" ht="15.75" customHeight="1"/>
    <row r="1168" s="487" customFormat="1" ht="15.75" customHeight="1"/>
    <row r="1169" s="487" customFormat="1" ht="15.75" customHeight="1"/>
    <row r="1170" s="487" customFormat="1" ht="15.75" customHeight="1"/>
    <row r="1171" s="487" customFormat="1" ht="15.75" customHeight="1"/>
    <row r="1172" s="487" customFormat="1" ht="15.75" customHeight="1"/>
    <row r="1173" s="487" customFormat="1" ht="15.75" customHeight="1"/>
    <row r="1174" s="487" customFormat="1" ht="15.75" customHeight="1"/>
    <row r="1175" s="487" customFormat="1" ht="15.75" customHeight="1"/>
    <row r="1176" s="487" customFormat="1" ht="15.75" customHeight="1"/>
    <row r="1177" s="487" customFormat="1" ht="15.75" customHeight="1"/>
    <row r="1178" s="487" customFormat="1" ht="15.75" customHeight="1"/>
    <row r="1179" s="487" customFormat="1" ht="15.75" customHeight="1"/>
    <row r="1180" s="487" customFormat="1" ht="15.75" customHeight="1"/>
    <row r="1181" s="487" customFormat="1" ht="15.75" customHeight="1"/>
    <row r="1182" s="487" customFormat="1" ht="15.75" customHeight="1"/>
    <row r="1183" s="487" customFormat="1" ht="15.75" customHeight="1"/>
    <row r="1184" s="487" customFormat="1" ht="15.75" customHeight="1"/>
    <row r="1185" s="487" customFormat="1" ht="15.75" customHeight="1"/>
    <row r="1186" s="487" customFormat="1" ht="15.75" customHeight="1"/>
    <row r="1187" s="487" customFormat="1" ht="15.75" customHeight="1"/>
    <row r="1188" s="487" customFormat="1" ht="15.75" customHeight="1"/>
    <row r="1189" s="487" customFormat="1" ht="15.75" customHeight="1"/>
    <row r="1190" s="487" customFormat="1" ht="15.75" customHeight="1"/>
    <row r="1191" s="487" customFormat="1" ht="15.75" customHeight="1"/>
    <row r="1192" s="487" customFormat="1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</sheetData>
  <pageMargins left="0.7" right="0.45" top="0.75" bottom="0.5" header="0.511811023622047" footer="0.511811023622047"/>
  <pageSetup paperSize="9" scale="67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W992"/>
  <sheetViews>
    <sheetView topLeftCell="D6" zoomScaleNormal="100" workbookViewId="0">
      <pane ySplit="2" topLeftCell="A261" activePane="bottomLeft" state="frozen"/>
      <selection activeCell="D6" sqref="D6"/>
      <selection pane="bottomLeft" activeCell="C400" sqref="C400"/>
    </sheetView>
  </sheetViews>
  <sheetFormatPr baseColWidth="10" defaultColWidth="9.1640625" defaultRowHeight="15"/>
  <cols>
    <col min="1" max="1" width="9.1640625" style="399"/>
    <col min="2" max="2" width="50.5" style="399" customWidth="1"/>
    <col min="3" max="7" width="12.5" style="399" customWidth="1"/>
    <col min="8" max="11" width="10.5" style="399" customWidth="1"/>
    <col min="12" max="12" width="8.5" style="399" customWidth="1"/>
    <col min="13" max="13" width="14.5" style="399" customWidth="1"/>
    <col min="14" max="14" width="6.5" style="399" customWidth="1"/>
    <col min="15" max="15" width="15.5" style="399" customWidth="1"/>
    <col min="16" max="16" width="18.1640625" style="399" customWidth="1"/>
    <col min="17" max="17" width="11.83203125" style="399" customWidth="1"/>
    <col min="18" max="19" width="9.1640625" style="399"/>
    <col min="20" max="20" width="12.1640625" style="399" customWidth="1"/>
    <col min="21" max="23" width="9.1640625" style="399"/>
    <col min="24" max="24" width="12.5" style="399" customWidth="1"/>
    <col min="25" max="16384" width="9.1640625" style="399"/>
  </cols>
  <sheetData>
    <row r="1" spans="1:23" ht="15.75" customHeight="1">
      <c r="A1" s="398"/>
      <c r="B1" s="398"/>
      <c r="C1" s="398"/>
      <c r="D1" s="398"/>
      <c r="E1" s="398"/>
      <c r="F1" s="398"/>
      <c r="G1" s="398"/>
      <c r="H1" s="398"/>
      <c r="I1" s="398"/>
      <c r="J1" s="398"/>
      <c r="K1" s="398"/>
      <c r="L1" s="398"/>
      <c r="M1" s="398"/>
      <c r="N1" s="398"/>
      <c r="O1" s="398"/>
      <c r="P1" s="398"/>
      <c r="Q1" s="398"/>
      <c r="R1" s="398"/>
      <c r="S1" s="398"/>
      <c r="T1" s="398"/>
      <c r="U1" s="738"/>
      <c r="V1" s="738"/>
      <c r="W1" s="738"/>
    </row>
    <row r="2" spans="1:23" ht="15.75" customHeight="1">
      <c r="A2" s="398"/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398"/>
      <c r="M2" s="398"/>
      <c r="N2" s="398"/>
      <c r="O2" s="398"/>
      <c r="P2" s="398"/>
      <c r="Q2" s="398"/>
      <c r="R2" s="398"/>
      <c r="S2" s="398"/>
      <c r="T2" s="398"/>
      <c r="U2" s="738"/>
      <c r="V2" s="738"/>
      <c r="W2" s="738"/>
    </row>
    <row r="3" spans="1:23" ht="15.75" customHeight="1">
      <c r="A3" s="398"/>
      <c r="B3" s="398"/>
      <c r="C3" s="398"/>
      <c r="D3" s="398"/>
      <c r="E3" s="398"/>
      <c r="F3" s="398"/>
      <c r="G3" s="398"/>
      <c r="H3" s="398"/>
      <c r="I3" s="398"/>
      <c r="J3" s="398"/>
      <c r="K3" s="398"/>
      <c r="L3" s="398"/>
      <c r="M3" s="398"/>
      <c r="N3" s="398"/>
      <c r="O3" s="398"/>
      <c r="P3" s="398"/>
      <c r="Q3" s="398"/>
      <c r="R3" s="398"/>
      <c r="S3" s="398"/>
      <c r="T3" s="398"/>
      <c r="U3" s="738"/>
      <c r="V3" s="738"/>
      <c r="W3" s="738"/>
    </row>
    <row r="4" spans="1:23" ht="24" customHeight="1">
      <c r="A4" s="739" t="s">
        <v>76</v>
      </c>
      <c r="B4" s="398"/>
      <c r="C4" s="398"/>
      <c r="D4" s="398"/>
      <c r="E4" s="398"/>
      <c r="F4" s="398"/>
      <c r="G4" s="398"/>
      <c r="H4" s="398"/>
      <c r="I4" s="398"/>
      <c r="J4" s="398"/>
      <c r="K4" s="398"/>
      <c r="L4" s="398"/>
      <c r="M4" s="398"/>
      <c r="N4" s="398"/>
      <c r="O4" s="398"/>
      <c r="P4" s="398"/>
      <c r="Q4" s="398"/>
      <c r="R4" s="398"/>
      <c r="S4" s="398"/>
      <c r="T4" s="398"/>
      <c r="U4" s="738"/>
      <c r="V4" s="738"/>
      <c r="W4" s="738"/>
    </row>
    <row r="5" spans="1:23" ht="15.75" customHeight="1">
      <c r="A5" s="398"/>
      <c r="B5" s="398"/>
      <c r="C5" s="398"/>
      <c r="D5" s="398"/>
      <c r="E5" s="398"/>
      <c r="F5" s="398"/>
      <c r="G5" s="398"/>
      <c r="H5" s="398"/>
      <c r="I5" s="398"/>
      <c r="J5" s="398"/>
      <c r="K5" s="398"/>
      <c r="L5" s="398"/>
      <c r="M5" s="398"/>
      <c r="N5" s="398"/>
      <c r="O5" s="398"/>
      <c r="P5" s="398"/>
      <c r="Q5" s="398"/>
      <c r="R5" s="398"/>
      <c r="S5" s="398"/>
      <c r="T5" s="398"/>
      <c r="U5" s="738"/>
      <c r="V5" s="738"/>
      <c r="W5" s="738"/>
    </row>
    <row r="6" spans="1:23" ht="21.75" customHeight="1">
      <c r="A6" s="3257" t="s">
        <v>1</v>
      </c>
      <c r="B6" s="3258" t="s">
        <v>68</v>
      </c>
      <c r="C6" s="3258" t="s">
        <v>77</v>
      </c>
      <c r="D6" s="3258" t="s">
        <v>78</v>
      </c>
      <c r="E6" s="3258" t="s">
        <v>79</v>
      </c>
      <c r="F6" s="3258" t="s">
        <v>978</v>
      </c>
      <c r="G6" s="3258" t="s">
        <v>977</v>
      </c>
      <c r="H6" s="3258" t="s">
        <v>6</v>
      </c>
      <c r="I6" s="3246" t="s">
        <v>1000</v>
      </c>
      <c r="J6" s="3246"/>
      <c r="K6" s="3258" t="s">
        <v>213</v>
      </c>
      <c r="L6" s="3258" t="s">
        <v>80</v>
      </c>
      <c r="M6" s="3258" t="s">
        <v>81</v>
      </c>
      <c r="N6" s="3259" t="s">
        <v>82</v>
      </c>
      <c r="O6" s="813" t="s">
        <v>83</v>
      </c>
      <c r="P6" s="398"/>
      <c r="Q6" s="398"/>
      <c r="R6" s="398"/>
      <c r="S6" s="398"/>
      <c r="T6" s="398"/>
      <c r="U6" s="738"/>
      <c r="V6" s="738"/>
      <c r="W6" s="738"/>
    </row>
    <row r="7" spans="1:23" ht="21.75" customHeight="1">
      <c r="A7" s="3257"/>
      <c r="B7" s="3258"/>
      <c r="C7" s="3258"/>
      <c r="D7" s="3258"/>
      <c r="E7" s="3258"/>
      <c r="F7" s="3258"/>
      <c r="G7" s="3258"/>
      <c r="H7" s="3258"/>
      <c r="I7" s="556" t="s">
        <v>1001</v>
      </c>
      <c r="J7" s="556" t="s">
        <v>1002</v>
      </c>
      <c r="K7" s="3258"/>
      <c r="L7" s="3258"/>
      <c r="M7" s="3258"/>
      <c r="N7" s="3259"/>
      <c r="O7" s="813"/>
      <c r="P7" s="398"/>
      <c r="Q7" s="398"/>
      <c r="R7" s="398"/>
      <c r="S7" s="398"/>
      <c r="T7" s="398"/>
      <c r="U7" s="738"/>
      <c r="V7" s="738"/>
      <c r="W7" s="738"/>
    </row>
    <row r="8" spans="1:23" ht="7.5" customHeight="1">
      <c r="A8" s="398"/>
      <c r="B8" s="398"/>
      <c r="C8" s="398"/>
      <c r="D8" s="398"/>
      <c r="E8" s="398"/>
      <c r="F8" s="398"/>
      <c r="G8" s="398"/>
      <c r="H8" s="398"/>
      <c r="I8" s="398"/>
      <c r="J8" s="398"/>
      <c r="K8" s="398"/>
      <c r="L8" s="398"/>
      <c r="M8" s="398"/>
      <c r="N8" s="398"/>
      <c r="O8" s="781"/>
      <c r="P8" s="398"/>
      <c r="Q8" s="398"/>
      <c r="R8" s="398"/>
      <c r="S8" s="398"/>
      <c r="T8" s="398"/>
      <c r="U8" s="738"/>
      <c r="V8" s="738"/>
      <c r="W8" s="738"/>
    </row>
    <row r="9" spans="1:23" ht="7.5" customHeight="1">
      <c r="A9" s="558"/>
      <c r="B9" s="559"/>
      <c r="C9" s="559"/>
      <c r="D9" s="559"/>
      <c r="E9" s="559"/>
      <c r="F9" s="559"/>
      <c r="G9" s="559"/>
      <c r="H9" s="559"/>
      <c r="I9" s="559"/>
      <c r="J9" s="559"/>
      <c r="K9" s="559"/>
      <c r="L9" s="559"/>
      <c r="M9" s="559"/>
      <c r="N9" s="796"/>
      <c r="O9" s="781"/>
      <c r="P9" s="398"/>
      <c r="Q9" s="398"/>
      <c r="R9" s="398"/>
      <c r="S9" s="398"/>
      <c r="T9" s="398"/>
      <c r="U9" s="738"/>
      <c r="V9" s="738"/>
      <c r="W9" s="738"/>
    </row>
    <row r="10" spans="1:23" ht="15.75" customHeight="1">
      <c r="A10" s="341" t="s">
        <v>392</v>
      </c>
      <c r="B10" s="342" t="s">
        <v>1218</v>
      </c>
      <c r="C10" s="330"/>
      <c r="D10" s="330"/>
      <c r="E10" s="330"/>
      <c r="F10" s="330"/>
      <c r="G10" s="330"/>
      <c r="H10" s="330"/>
      <c r="I10" s="330"/>
      <c r="J10" s="330"/>
      <c r="K10" s="330"/>
      <c r="L10" s="330"/>
      <c r="M10" s="330"/>
      <c r="N10" s="748"/>
      <c r="O10" s="813"/>
      <c r="P10" s="398"/>
      <c r="Q10" s="398"/>
      <c r="R10" s="398"/>
      <c r="S10" s="398"/>
      <c r="T10" s="398"/>
      <c r="U10" s="738"/>
      <c r="V10" s="738"/>
      <c r="W10" s="738"/>
    </row>
    <row r="11" spans="1:23" ht="15.75" customHeight="1">
      <c r="A11" s="341" t="s">
        <v>1219</v>
      </c>
      <c r="B11" s="347" t="s">
        <v>1220</v>
      </c>
      <c r="C11" s="330"/>
      <c r="D11" s="330"/>
      <c r="E11" s="330"/>
      <c r="F11" s="330"/>
      <c r="G11" s="330"/>
      <c r="H11" s="330"/>
      <c r="I11" s="330"/>
      <c r="J11" s="330"/>
      <c r="K11" s="330"/>
      <c r="L11" s="330"/>
      <c r="M11" s="330"/>
      <c r="N11" s="748"/>
      <c r="O11" s="814"/>
      <c r="P11" s="398"/>
      <c r="Q11" s="398"/>
      <c r="R11" s="398"/>
      <c r="S11" s="398"/>
      <c r="T11" s="398"/>
      <c r="U11" s="738"/>
      <c r="V11" s="738"/>
      <c r="W11" s="738"/>
    </row>
    <row r="12" spans="1:23" ht="15.75" customHeight="1">
      <c r="A12" s="400" t="s">
        <v>1221</v>
      </c>
      <c r="B12" s="351" t="s">
        <v>395</v>
      </c>
      <c r="C12" s="330"/>
      <c r="D12" s="330"/>
      <c r="E12" s="330"/>
      <c r="F12" s="330"/>
      <c r="G12" s="330"/>
      <c r="H12" s="330"/>
      <c r="I12" s="330"/>
      <c r="J12" s="330"/>
      <c r="K12" s="330"/>
      <c r="L12" s="330"/>
      <c r="M12" s="330"/>
      <c r="N12" s="748"/>
      <c r="O12" s="814"/>
      <c r="P12" s="398"/>
      <c r="Q12" s="398"/>
      <c r="R12" s="398"/>
      <c r="S12" s="398"/>
      <c r="T12" s="398"/>
      <c r="U12" s="738"/>
      <c r="V12" s="738"/>
      <c r="W12" s="738"/>
    </row>
    <row r="13" spans="1:23" ht="15.75" customHeight="1">
      <c r="A13" s="400">
        <v>1</v>
      </c>
      <c r="B13" s="356" t="s">
        <v>396</v>
      </c>
      <c r="C13" s="330">
        <f>6+1</f>
        <v>7</v>
      </c>
      <c r="D13" s="330">
        <f>6+1</f>
        <v>7</v>
      </c>
      <c r="E13" s="330"/>
      <c r="F13" s="330"/>
      <c r="G13" s="330"/>
      <c r="H13" s="330">
        <v>2</v>
      </c>
      <c r="I13" s="330"/>
      <c r="J13" s="330"/>
      <c r="K13" s="330"/>
      <c r="L13" s="330"/>
      <c r="M13" s="330">
        <f>(C13+D13)*H13</f>
        <v>28</v>
      </c>
      <c r="N13" s="748" t="s">
        <v>117</v>
      </c>
      <c r="O13" s="814">
        <f>ROUND((M13),2)</f>
        <v>28</v>
      </c>
      <c r="P13" s="398"/>
      <c r="Q13" s="398"/>
      <c r="R13" s="398"/>
      <c r="S13" s="398"/>
      <c r="T13" s="398"/>
      <c r="U13" s="738"/>
      <c r="V13" s="738"/>
      <c r="W13" s="738"/>
    </row>
    <row r="14" spans="1:23" ht="15.75" hidden="1" customHeight="1">
      <c r="A14" s="751">
        <f>A13+1</f>
        <v>2</v>
      </c>
      <c r="B14" s="354" t="s">
        <v>397</v>
      </c>
      <c r="C14" s="330"/>
      <c r="D14" s="330"/>
      <c r="E14" s="330"/>
      <c r="F14" s="330"/>
      <c r="G14" s="330"/>
      <c r="H14" s="330"/>
      <c r="I14" s="330"/>
      <c r="J14" s="330"/>
      <c r="K14" s="330"/>
      <c r="L14" s="330"/>
      <c r="M14" s="330"/>
      <c r="N14" s="748"/>
      <c r="O14" s="814"/>
      <c r="P14" s="398"/>
      <c r="Q14" s="398"/>
      <c r="R14" s="398"/>
      <c r="S14" s="398"/>
      <c r="T14" s="398"/>
      <c r="U14" s="738"/>
      <c r="V14" s="738"/>
      <c r="W14" s="738"/>
    </row>
    <row r="15" spans="1:23" ht="15.75" customHeight="1">
      <c r="A15" s="402" t="s">
        <v>95</v>
      </c>
      <c r="B15" s="354" t="s">
        <v>398</v>
      </c>
      <c r="C15" s="343">
        <f>0.8+0.1+0.1</f>
        <v>1</v>
      </c>
      <c r="D15" s="343">
        <f>C15</f>
        <v>1</v>
      </c>
      <c r="E15" s="343">
        <f>0.8+0.3+0.03+0.07</f>
        <v>1.2000000000000002</v>
      </c>
      <c r="F15" s="343"/>
      <c r="G15" s="343"/>
      <c r="H15" s="343"/>
      <c r="I15" s="401"/>
      <c r="J15" s="401"/>
      <c r="K15" s="401"/>
      <c r="L15" s="401">
        <v>12</v>
      </c>
      <c r="M15" s="401">
        <f>C15*D15*E15*L15</f>
        <v>14.400000000000002</v>
      </c>
      <c r="N15" s="801" t="s">
        <v>103</v>
      </c>
      <c r="O15" s="814">
        <f t="shared" ref="O15:O23" si="0">ROUND((M15),2)</f>
        <v>14.4</v>
      </c>
      <c r="P15" s="398"/>
      <c r="Q15" s="398"/>
      <c r="R15" s="398"/>
      <c r="S15" s="398"/>
      <c r="T15" s="398"/>
      <c r="U15" s="738"/>
      <c r="V15" s="738"/>
      <c r="W15" s="738"/>
    </row>
    <row r="16" spans="1:23" ht="15.75" customHeight="1">
      <c r="A16" s="402" t="s">
        <v>98</v>
      </c>
      <c r="B16" s="354" t="s">
        <v>399</v>
      </c>
      <c r="C16" s="343">
        <f>C15</f>
        <v>1</v>
      </c>
      <c r="D16" s="343">
        <f>D15</f>
        <v>1</v>
      </c>
      <c r="E16" s="343">
        <v>7.0000000000000007E-2</v>
      </c>
      <c r="F16" s="343"/>
      <c r="G16" s="343"/>
      <c r="H16" s="343"/>
      <c r="I16" s="401"/>
      <c r="J16" s="401"/>
      <c r="K16" s="401"/>
      <c r="L16" s="401">
        <f t="shared" ref="L16:L21" si="1">L15</f>
        <v>12</v>
      </c>
      <c r="M16" s="401">
        <f>C16*D16*E16*L16</f>
        <v>0.84000000000000008</v>
      </c>
      <c r="N16" s="801" t="s">
        <v>103</v>
      </c>
      <c r="O16" s="814">
        <f t="shared" si="0"/>
        <v>0.84</v>
      </c>
      <c r="P16" s="398"/>
      <c r="Q16" s="398"/>
      <c r="R16" s="398"/>
      <c r="S16" s="398"/>
      <c r="T16" s="398"/>
      <c r="U16" s="738"/>
      <c r="V16" s="738"/>
      <c r="W16" s="738"/>
    </row>
    <row r="17" spans="1:23" ht="15.75" customHeight="1">
      <c r="A17" s="402" t="s">
        <v>101</v>
      </c>
      <c r="B17" s="354" t="s">
        <v>400</v>
      </c>
      <c r="C17" s="343">
        <f>C16</f>
        <v>1</v>
      </c>
      <c r="D17" s="343">
        <f>D16</f>
        <v>1</v>
      </c>
      <c r="E17" s="343">
        <v>0.03</v>
      </c>
      <c r="F17" s="343"/>
      <c r="G17" s="343"/>
      <c r="H17" s="343"/>
      <c r="I17" s="401"/>
      <c r="J17" s="401"/>
      <c r="K17" s="401"/>
      <c r="L17" s="401">
        <f t="shared" si="1"/>
        <v>12</v>
      </c>
      <c r="M17" s="401">
        <f>C17*D17*E17*L17</f>
        <v>0.36</v>
      </c>
      <c r="N17" s="801" t="s">
        <v>103</v>
      </c>
      <c r="O17" s="814">
        <f t="shared" si="0"/>
        <v>0.36</v>
      </c>
      <c r="P17" s="398"/>
      <c r="Q17" s="398"/>
      <c r="R17" s="398"/>
      <c r="S17" s="398"/>
      <c r="T17" s="398"/>
      <c r="U17" s="738"/>
      <c r="V17" s="738"/>
      <c r="W17" s="738"/>
    </row>
    <row r="18" spans="1:23" ht="15.75" customHeight="1">
      <c r="A18" s="402" t="s">
        <v>121</v>
      </c>
      <c r="B18" s="354" t="s">
        <v>401</v>
      </c>
      <c r="C18" s="343">
        <f>C17</f>
        <v>1</v>
      </c>
      <c r="D18" s="343"/>
      <c r="E18" s="343">
        <f>E15-0.8-E16-E17</f>
        <v>0.30000000000000016</v>
      </c>
      <c r="F18" s="343"/>
      <c r="G18" s="343"/>
      <c r="H18" s="343">
        <v>4</v>
      </c>
      <c r="I18" s="401"/>
      <c r="J18" s="401"/>
      <c r="K18" s="401"/>
      <c r="L18" s="401">
        <f t="shared" si="1"/>
        <v>12</v>
      </c>
      <c r="M18" s="401">
        <f>C18*E18*H18*L18</f>
        <v>14.400000000000007</v>
      </c>
      <c r="N18" s="801" t="s">
        <v>89</v>
      </c>
      <c r="O18" s="814">
        <f t="shared" si="0"/>
        <v>14.4</v>
      </c>
      <c r="P18" s="398"/>
      <c r="Q18" s="398"/>
      <c r="R18" s="398"/>
      <c r="S18" s="398"/>
      <c r="T18" s="398"/>
      <c r="U18" s="738"/>
      <c r="V18" s="738"/>
      <c r="W18" s="738"/>
    </row>
    <row r="19" spans="1:23" ht="15.75" customHeight="1">
      <c r="A19" s="402" t="s">
        <v>142</v>
      </c>
      <c r="B19" s="354" t="s">
        <v>504</v>
      </c>
      <c r="C19" s="343">
        <v>0.45</v>
      </c>
      <c r="D19" s="343"/>
      <c r="E19" s="343"/>
      <c r="F19" s="343">
        <f>10*10*0.006165</f>
        <v>0.61650000000000005</v>
      </c>
      <c r="G19" s="343">
        <f>0.15*2</f>
        <v>0.3</v>
      </c>
      <c r="H19" s="343">
        <v>4</v>
      </c>
      <c r="I19" s="401"/>
      <c r="J19" s="401"/>
      <c r="K19" s="401">
        <f>ROUNDUP((C19/0.15),0.5)</f>
        <v>3</v>
      </c>
      <c r="L19" s="401">
        <f t="shared" si="1"/>
        <v>12</v>
      </c>
      <c r="M19" s="401">
        <f>(C19+G19)*F19*H19*K19*L19</f>
        <v>66.582000000000008</v>
      </c>
      <c r="N19" s="801" t="s">
        <v>100</v>
      </c>
      <c r="O19" s="814">
        <f t="shared" si="0"/>
        <v>66.58</v>
      </c>
      <c r="P19" s="398"/>
      <c r="Q19" s="398"/>
      <c r="R19" s="398"/>
      <c r="S19" s="398"/>
      <c r="T19" s="398"/>
      <c r="U19" s="738"/>
      <c r="V19" s="738"/>
      <c r="W19" s="738"/>
    </row>
    <row r="20" spans="1:23" ht="15.75" customHeight="1">
      <c r="A20" s="402" t="s">
        <v>217</v>
      </c>
      <c r="B20" s="356" t="s">
        <v>169</v>
      </c>
      <c r="C20" s="343">
        <f>C15-0.2</f>
        <v>0.8</v>
      </c>
      <c r="D20" s="343">
        <f>D15-0.2</f>
        <v>0.8</v>
      </c>
      <c r="E20" s="343">
        <f>E18</f>
        <v>0.30000000000000016</v>
      </c>
      <c r="F20" s="343"/>
      <c r="G20" s="343"/>
      <c r="H20" s="343"/>
      <c r="I20" s="401"/>
      <c r="J20" s="401"/>
      <c r="K20" s="401"/>
      <c r="L20" s="401">
        <f t="shared" si="1"/>
        <v>12</v>
      </c>
      <c r="M20" s="401">
        <f>C20*D20*E20*L20</f>
        <v>2.3040000000000016</v>
      </c>
      <c r="N20" s="801" t="s">
        <v>103</v>
      </c>
      <c r="O20" s="814">
        <f t="shared" si="0"/>
        <v>2.2999999999999998</v>
      </c>
      <c r="P20" s="398"/>
      <c r="Q20" s="398"/>
      <c r="R20" s="398"/>
      <c r="S20" s="398"/>
      <c r="T20" s="398"/>
      <c r="U20" s="738"/>
      <c r="V20" s="738"/>
      <c r="W20" s="738"/>
    </row>
    <row r="21" spans="1:23" ht="15.75" customHeight="1">
      <c r="A21" s="402" t="s">
        <v>366</v>
      </c>
      <c r="B21" s="354" t="s">
        <v>383</v>
      </c>
      <c r="C21" s="343"/>
      <c r="D21" s="343"/>
      <c r="E21" s="343">
        <v>4</v>
      </c>
      <c r="F21" s="343"/>
      <c r="G21" s="343"/>
      <c r="H21" s="343"/>
      <c r="I21" s="401"/>
      <c r="J21" s="401"/>
      <c r="K21" s="401">
        <v>5</v>
      </c>
      <c r="L21" s="401">
        <f t="shared" si="1"/>
        <v>12</v>
      </c>
      <c r="M21" s="401">
        <f>E21*K21*L21</f>
        <v>240</v>
      </c>
      <c r="N21" s="801" t="s">
        <v>117</v>
      </c>
      <c r="O21" s="814">
        <f t="shared" si="0"/>
        <v>240</v>
      </c>
      <c r="P21" s="398"/>
      <c r="Q21" s="398"/>
      <c r="R21" s="398"/>
      <c r="S21" s="398"/>
      <c r="T21" s="398"/>
      <c r="U21" s="738"/>
      <c r="V21" s="738"/>
      <c r="W21" s="738"/>
    </row>
    <row r="22" spans="1:23" ht="15.75" customHeight="1">
      <c r="A22" s="418">
        <f>A14+1</f>
        <v>3</v>
      </c>
      <c r="B22" s="351" t="s">
        <v>551</v>
      </c>
      <c r="C22" s="330"/>
      <c r="D22" s="330"/>
      <c r="E22" s="330"/>
      <c r="F22" s="330"/>
      <c r="G22" s="330"/>
      <c r="H22" s="330"/>
      <c r="I22" s="330"/>
      <c r="J22" s="330"/>
      <c r="K22" s="330"/>
      <c r="L22" s="330"/>
      <c r="M22" s="330"/>
      <c r="N22" s="748"/>
      <c r="O22" s="814">
        <f t="shared" si="0"/>
        <v>0</v>
      </c>
      <c r="P22" s="398"/>
      <c r="Q22" s="398"/>
      <c r="R22" s="398"/>
      <c r="S22" s="398"/>
      <c r="T22" s="398"/>
      <c r="U22" s="738"/>
      <c r="V22" s="738"/>
      <c r="W22" s="738"/>
    </row>
    <row r="23" spans="1:23" ht="15.75" customHeight="1">
      <c r="A23" s="419" t="s">
        <v>95</v>
      </c>
      <c r="B23" s="351" t="s">
        <v>382</v>
      </c>
      <c r="C23" s="330"/>
      <c r="D23" s="330"/>
      <c r="E23" s="330"/>
      <c r="F23" s="330"/>
      <c r="G23" s="330"/>
      <c r="H23" s="330"/>
      <c r="I23" s="330"/>
      <c r="J23" s="330"/>
      <c r="K23" s="330"/>
      <c r="L23" s="330"/>
      <c r="M23" s="415">
        <f>SUM(M24:M27)</f>
        <v>28.188000000000006</v>
      </c>
      <c r="N23" s="562" t="s">
        <v>103</v>
      </c>
      <c r="O23" s="814">
        <f t="shared" si="0"/>
        <v>28.19</v>
      </c>
      <c r="P23" s="398"/>
      <c r="Q23" s="398"/>
      <c r="R23" s="398"/>
      <c r="S23" s="398"/>
      <c r="T23" s="398"/>
      <c r="U23" s="738"/>
      <c r="V23" s="738"/>
      <c r="W23" s="738"/>
    </row>
    <row r="24" spans="1:23" ht="15.75" customHeight="1">
      <c r="A24" s="419"/>
      <c r="B24" s="589" t="s">
        <v>1044</v>
      </c>
      <c r="C24" s="330">
        <v>6</v>
      </c>
      <c r="D24" s="330">
        <v>0.8</v>
      </c>
      <c r="E24" s="330">
        <f>0.8+0.07</f>
        <v>0.87000000000000011</v>
      </c>
      <c r="F24" s="330"/>
      <c r="G24" s="330"/>
      <c r="H24" s="330"/>
      <c r="I24" s="330"/>
      <c r="J24" s="330"/>
      <c r="K24" s="330"/>
      <c r="L24" s="330">
        <v>3</v>
      </c>
      <c r="M24" s="330">
        <f>C24*D24*E24*L24</f>
        <v>12.528000000000002</v>
      </c>
      <c r="N24" s="748"/>
      <c r="O24" s="814"/>
      <c r="P24" s="398"/>
      <c r="Q24" s="398"/>
      <c r="R24" s="398"/>
      <c r="S24" s="398"/>
      <c r="T24" s="398"/>
      <c r="U24" s="738"/>
      <c r="V24" s="738"/>
      <c r="W24" s="738"/>
    </row>
    <row r="25" spans="1:23" ht="15.75" customHeight="1">
      <c r="A25" s="419"/>
      <c r="B25" s="589"/>
      <c r="C25" s="330">
        <v>3</v>
      </c>
      <c r="D25" s="330">
        <f>D24</f>
        <v>0.8</v>
      </c>
      <c r="E25" s="330">
        <f>E24</f>
        <v>0.87000000000000011</v>
      </c>
      <c r="F25" s="330"/>
      <c r="G25" s="330"/>
      <c r="H25" s="330"/>
      <c r="I25" s="330"/>
      <c r="J25" s="330"/>
      <c r="K25" s="330"/>
      <c r="L25" s="330">
        <v>1</v>
      </c>
      <c r="M25" s="330">
        <f>C25*D25*E25*L25</f>
        <v>2.0880000000000005</v>
      </c>
      <c r="N25" s="748"/>
      <c r="O25" s="814"/>
      <c r="P25" s="398"/>
      <c r="Q25" s="398"/>
      <c r="R25" s="398"/>
      <c r="S25" s="398"/>
      <c r="T25" s="398"/>
      <c r="U25" s="738"/>
      <c r="V25" s="738"/>
      <c r="W25" s="738"/>
    </row>
    <row r="26" spans="1:23" ht="15.75" customHeight="1">
      <c r="A26" s="419"/>
      <c r="B26" s="589" t="s">
        <v>136</v>
      </c>
      <c r="C26" s="330">
        <f>D13-1</f>
        <v>6</v>
      </c>
      <c r="D26" s="330">
        <f>D25</f>
        <v>0.8</v>
      </c>
      <c r="E26" s="330">
        <f>E24</f>
        <v>0.87000000000000011</v>
      </c>
      <c r="F26" s="330"/>
      <c r="G26" s="330"/>
      <c r="H26" s="330"/>
      <c r="I26" s="330"/>
      <c r="J26" s="330"/>
      <c r="K26" s="330"/>
      <c r="L26" s="330">
        <v>3</v>
      </c>
      <c r="M26" s="330">
        <f>C26*D26*E26*L26</f>
        <v>12.528000000000002</v>
      </c>
      <c r="N26" s="748"/>
      <c r="O26" s="814"/>
      <c r="P26" s="398"/>
      <c r="Q26" s="398"/>
      <c r="R26" s="398"/>
      <c r="S26" s="398"/>
      <c r="T26" s="398"/>
      <c r="U26" s="738"/>
      <c r="V26" s="738"/>
      <c r="W26" s="738"/>
    </row>
    <row r="27" spans="1:23" ht="15.75" customHeight="1">
      <c r="A27" s="419"/>
      <c r="B27" s="589"/>
      <c r="C27" s="330">
        <v>1.5</v>
      </c>
      <c r="D27" s="330">
        <f>D26</f>
        <v>0.8</v>
      </c>
      <c r="E27" s="330">
        <f>E26</f>
        <v>0.87000000000000011</v>
      </c>
      <c r="F27" s="330"/>
      <c r="G27" s="330"/>
      <c r="H27" s="330"/>
      <c r="I27" s="330"/>
      <c r="J27" s="330"/>
      <c r="K27" s="330"/>
      <c r="L27" s="330">
        <v>1</v>
      </c>
      <c r="M27" s="330">
        <f>C27*D27*E27*L27</f>
        <v>1.0440000000000003</v>
      </c>
      <c r="N27" s="748"/>
      <c r="O27" s="814"/>
      <c r="P27" s="398"/>
      <c r="Q27" s="398"/>
      <c r="R27" s="398"/>
      <c r="S27" s="398"/>
      <c r="T27" s="398"/>
      <c r="U27" s="738"/>
      <c r="V27" s="738"/>
      <c r="W27" s="738"/>
    </row>
    <row r="28" spans="1:23" ht="15.75" customHeight="1">
      <c r="A28" s="419" t="s">
        <v>98</v>
      </c>
      <c r="B28" s="357" t="s">
        <v>405</v>
      </c>
      <c r="C28" s="330"/>
      <c r="D28" s="330"/>
      <c r="E28" s="330"/>
      <c r="F28" s="330"/>
      <c r="G28" s="330"/>
      <c r="H28" s="330"/>
      <c r="I28" s="330"/>
      <c r="J28" s="330"/>
      <c r="K28" s="330"/>
      <c r="L28" s="330"/>
      <c r="M28" s="330"/>
      <c r="N28" s="748"/>
      <c r="O28" s="814"/>
      <c r="P28" s="398"/>
      <c r="Q28" s="568"/>
      <c r="R28" s="568"/>
      <c r="S28" s="568"/>
      <c r="T28" s="398"/>
      <c r="U28" s="738"/>
      <c r="V28" s="738"/>
      <c r="W28" s="738"/>
    </row>
    <row r="29" spans="1:23" ht="15.75" customHeight="1">
      <c r="A29" s="419"/>
      <c r="B29" s="357"/>
      <c r="C29" s="330">
        <f>C24</f>
        <v>6</v>
      </c>
      <c r="D29" s="330"/>
      <c r="E29" s="330"/>
      <c r="F29" s="330"/>
      <c r="G29" s="330"/>
      <c r="H29" s="330"/>
      <c r="I29" s="330"/>
      <c r="J29" s="330"/>
      <c r="K29" s="330"/>
      <c r="L29" s="330">
        <f>L24</f>
        <v>3</v>
      </c>
      <c r="M29" s="330">
        <f>C29*L29</f>
        <v>18</v>
      </c>
      <c r="N29" s="748"/>
      <c r="O29" s="814"/>
      <c r="P29" s="398"/>
      <c r="Q29" s="568"/>
      <c r="R29" s="568"/>
      <c r="S29" s="568"/>
      <c r="T29" s="398"/>
      <c r="U29" s="738"/>
      <c r="V29" s="738"/>
      <c r="W29" s="738"/>
    </row>
    <row r="30" spans="1:23" ht="15.75" customHeight="1">
      <c r="A30" s="419"/>
      <c r="B30" s="357"/>
      <c r="C30" s="330">
        <f>C25</f>
        <v>3</v>
      </c>
      <c r="D30" s="330"/>
      <c r="E30" s="330"/>
      <c r="F30" s="330"/>
      <c r="G30" s="330"/>
      <c r="H30" s="330"/>
      <c r="I30" s="330"/>
      <c r="J30" s="330"/>
      <c r="K30" s="330"/>
      <c r="L30" s="330">
        <f>L25</f>
        <v>1</v>
      </c>
      <c r="M30" s="330">
        <f>C30*L30</f>
        <v>3</v>
      </c>
      <c r="N30" s="748"/>
      <c r="O30" s="814"/>
      <c r="P30" s="398"/>
      <c r="Q30" s="568"/>
      <c r="R30" s="568"/>
      <c r="S30" s="568"/>
      <c r="T30" s="398"/>
      <c r="U30" s="738"/>
      <c r="V30" s="738"/>
      <c r="W30" s="738"/>
    </row>
    <row r="31" spans="1:23" ht="15.75" customHeight="1">
      <c r="A31" s="419"/>
      <c r="B31" s="357"/>
      <c r="C31" s="330">
        <f>C26</f>
        <v>6</v>
      </c>
      <c r="D31" s="330"/>
      <c r="E31" s="330"/>
      <c r="F31" s="330"/>
      <c r="G31" s="330"/>
      <c r="H31" s="330"/>
      <c r="I31" s="330"/>
      <c r="J31" s="330"/>
      <c r="K31" s="330"/>
      <c r="L31" s="330">
        <f>L26</f>
        <v>3</v>
      </c>
      <c r="M31" s="330">
        <f>C31*L31</f>
        <v>18</v>
      </c>
      <c r="N31" s="748"/>
      <c r="O31" s="814"/>
      <c r="P31" s="398"/>
      <c r="Q31" s="568"/>
      <c r="R31" s="568"/>
      <c r="S31" s="568"/>
      <c r="T31" s="398"/>
      <c r="U31" s="738"/>
      <c r="V31" s="738"/>
      <c r="W31" s="738"/>
    </row>
    <row r="32" spans="1:23" ht="15.75" customHeight="1">
      <c r="A32" s="419"/>
      <c r="B32" s="357"/>
      <c r="C32" s="330">
        <f>C27</f>
        <v>1.5</v>
      </c>
      <c r="D32" s="401"/>
      <c r="E32" s="401"/>
      <c r="F32" s="401"/>
      <c r="G32" s="401"/>
      <c r="H32" s="330"/>
      <c r="I32" s="330"/>
      <c r="J32" s="330"/>
      <c r="K32" s="330"/>
      <c r="L32" s="330">
        <f>L27</f>
        <v>1</v>
      </c>
      <c r="M32" s="330">
        <f>C32*L32</f>
        <v>1.5</v>
      </c>
      <c r="N32" s="748"/>
      <c r="O32" s="814"/>
      <c r="P32" s="398"/>
      <c r="Q32" s="568"/>
      <c r="R32" s="568"/>
      <c r="S32" s="568"/>
      <c r="T32" s="398"/>
      <c r="U32" s="738"/>
      <c r="V32" s="738"/>
      <c r="W32" s="738"/>
    </row>
    <row r="33" spans="1:23" ht="15.75" customHeight="1">
      <c r="A33" s="419"/>
      <c r="B33" s="357"/>
      <c r="C33" s="401"/>
      <c r="D33" s="401"/>
      <c r="E33" s="401"/>
      <c r="F33" s="401"/>
      <c r="G33" s="401"/>
      <c r="H33" s="330"/>
      <c r="I33" s="330"/>
      <c r="J33" s="330"/>
      <c r="K33" s="330"/>
      <c r="L33" s="330"/>
      <c r="M33" s="330">
        <f>SUM(M29:M32)</f>
        <v>40.5</v>
      </c>
      <c r="N33" s="748"/>
      <c r="O33" s="814"/>
      <c r="P33" s="398"/>
      <c r="Q33" s="568"/>
      <c r="R33" s="568"/>
      <c r="S33" s="568"/>
      <c r="T33" s="398"/>
      <c r="U33" s="738"/>
      <c r="V33" s="738"/>
      <c r="W33" s="738"/>
    </row>
    <row r="34" spans="1:23" ht="15.75" customHeight="1">
      <c r="A34" s="419"/>
      <c r="B34" s="569" t="s">
        <v>1006</v>
      </c>
      <c r="C34" s="401"/>
      <c r="D34" s="401"/>
      <c r="E34" s="401">
        <v>4</v>
      </c>
      <c r="F34" s="401"/>
      <c r="G34" s="401">
        <v>2</v>
      </c>
      <c r="H34" s="330">
        <f>M33/0.5</f>
        <v>81</v>
      </c>
      <c r="I34" s="330"/>
      <c r="J34" s="330"/>
      <c r="K34" s="330"/>
      <c r="L34" s="330"/>
      <c r="M34" s="415">
        <f>E34*G34*H34</f>
        <v>648</v>
      </c>
      <c r="N34" s="562" t="s">
        <v>117</v>
      </c>
      <c r="O34" s="814">
        <f>ROUND((M34),2)</f>
        <v>648</v>
      </c>
      <c r="P34" s="398"/>
      <c r="Q34" s="568"/>
      <c r="R34" s="568"/>
      <c r="S34" s="568"/>
      <c r="T34" s="398"/>
      <c r="U34" s="738"/>
      <c r="V34" s="738"/>
      <c r="W34" s="738"/>
    </row>
    <row r="35" spans="1:23" ht="15.75" customHeight="1">
      <c r="A35" s="419" t="s">
        <v>101</v>
      </c>
      <c r="B35" s="351" t="s">
        <v>620</v>
      </c>
      <c r="C35" s="330"/>
      <c r="D35" s="330"/>
      <c r="E35" s="330"/>
      <c r="F35" s="330"/>
      <c r="G35" s="330"/>
      <c r="H35" s="330"/>
      <c r="I35" s="330"/>
      <c r="J35" s="330"/>
      <c r="K35" s="330"/>
      <c r="L35" s="330"/>
      <c r="M35" s="415">
        <f>SUM(M36:M39)</f>
        <v>2.2680000000000002</v>
      </c>
      <c r="N35" s="562" t="s">
        <v>103</v>
      </c>
      <c r="O35" s="814">
        <f>ROUND((M35),2)</f>
        <v>2.27</v>
      </c>
      <c r="P35" s="398"/>
      <c r="Q35" s="815"/>
      <c r="R35" s="815"/>
      <c r="S35" s="815"/>
      <c r="T35" s="398"/>
      <c r="U35" s="738"/>
      <c r="V35" s="738"/>
      <c r="W35" s="738"/>
    </row>
    <row r="36" spans="1:23" ht="15.75" customHeight="1">
      <c r="A36" s="419"/>
      <c r="B36" s="589" t="str">
        <f>B24</f>
        <v>Horisontal</v>
      </c>
      <c r="C36" s="330">
        <f>C24</f>
        <v>6</v>
      </c>
      <c r="D36" s="330">
        <f>D24</f>
        <v>0.8</v>
      </c>
      <c r="E36" s="330">
        <v>7.0000000000000007E-2</v>
      </c>
      <c r="F36" s="330"/>
      <c r="G36" s="330"/>
      <c r="H36" s="330"/>
      <c r="I36" s="330"/>
      <c r="J36" s="330"/>
      <c r="K36" s="330"/>
      <c r="L36" s="330">
        <f>L24</f>
        <v>3</v>
      </c>
      <c r="M36" s="330">
        <f>C36*D36*E36*L36</f>
        <v>1.0080000000000002</v>
      </c>
      <c r="N36" s="748"/>
      <c r="O36" s="814"/>
      <c r="P36" s="398"/>
      <c r="Q36" s="568"/>
      <c r="R36" s="568"/>
      <c r="S36" s="568"/>
      <c r="T36" s="398"/>
      <c r="U36" s="738"/>
      <c r="V36" s="738"/>
      <c r="W36" s="738"/>
    </row>
    <row r="37" spans="1:23" ht="15.75" customHeight="1">
      <c r="A37" s="419"/>
      <c r="B37" s="589"/>
      <c r="C37" s="330">
        <f t="shared" ref="C37:D39" si="2">C25</f>
        <v>3</v>
      </c>
      <c r="D37" s="330">
        <f t="shared" si="2"/>
        <v>0.8</v>
      </c>
      <c r="E37" s="330">
        <f>E36</f>
        <v>7.0000000000000007E-2</v>
      </c>
      <c r="F37" s="330"/>
      <c r="G37" s="330"/>
      <c r="H37" s="330"/>
      <c r="I37" s="330"/>
      <c r="J37" s="330"/>
      <c r="K37" s="330"/>
      <c r="L37" s="330">
        <f>L25</f>
        <v>1</v>
      </c>
      <c r="M37" s="330">
        <f>C37*D37*E37*L37</f>
        <v>0.16800000000000004</v>
      </c>
      <c r="N37" s="748"/>
      <c r="O37" s="814"/>
      <c r="P37" s="398"/>
      <c r="Q37" s="568"/>
      <c r="R37" s="568"/>
      <c r="S37" s="568"/>
      <c r="T37" s="398"/>
      <c r="U37" s="738"/>
      <c r="V37" s="738"/>
      <c r="W37" s="738"/>
    </row>
    <row r="38" spans="1:23" ht="15.75" customHeight="1">
      <c r="A38" s="419"/>
      <c r="B38" s="589" t="str">
        <f>B26</f>
        <v>Vertikal</v>
      </c>
      <c r="C38" s="330">
        <f t="shared" si="2"/>
        <v>6</v>
      </c>
      <c r="D38" s="330">
        <f t="shared" si="2"/>
        <v>0.8</v>
      </c>
      <c r="E38" s="330">
        <f>E37</f>
        <v>7.0000000000000007E-2</v>
      </c>
      <c r="F38" s="330"/>
      <c r="G38" s="330"/>
      <c r="H38" s="330"/>
      <c r="I38" s="330"/>
      <c r="J38" s="330"/>
      <c r="K38" s="330"/>
      <c r="L38" s="330">
        <f>L26</f>
        <v>3</v>
      </c>
      <c r="M38" s="330">
        <f>C38*D38*E38*L38</f>
        <v>1.0080000000000002</v>
      </c>
      <c r="N38" s="748"/>
      <c r="O38" s="814"/>
      <c r="P38" s="398"/>
      <c r="Q38" s="568"/>
      <c r="R38" s="568"/>
      <c r="S38" s="568"/>
      <c r="T38" s="398"/>
      <c r="U38" s="738"/>
      <c r="V38" s="738"/>
      <c r="W38" s="738"/>
    </row>
    <row r="39" spans="1:23" ht="15.75" customHeight="1">
      <c r="A39" s="419"/>
      <c r="B39" s="589"/>
      <c r="C39" s="330">
        <f t="shared" si="2"/>
        <v>1.5</v>
      </c>
      <c r="D39" s="330">
        <f t="shared" si="2"/>
        <v>0.8</v>
      </c>
      <c r="E39" s="330">
        <f>E38</f>
        <v>7.0000000000000007E-2</v>
      </c>
      <c r="F39" s="330"/>
      <c r="G39" s="330"/>
      <c r="H39" s="330"/>
      <c r="I39" s="330"/>
      <c r="J39" s="330"/>
      <c r="K39" s="330"/>
      <c r="L39" s="330">
        <f>L27</f>
        <v>1</v>
      </c>
      <c r="M39" s="330">
        <f>C39*D39*E39*L39</f>
        <v>8.4000000000000019E-2</v>
      </c>
      <c r="N39" s="748"/>
      <c r="O39" s="814"/>
      <c r="P39" s="398"/>
      <c r="Q39" s="568"/>
      <c r="R39" s="568"/>
      <c r="S39" s="568"/>
      <c r="T39" s="398"/>
      <c r="U39" s="738"/>
      <c r="V39" s="738"/>
      <c r="W39" s="738"/>
    </row>
    <row r="40" spans="1:23" s="787" customFormat="1" ht="15.75" hidden="1" customHeight="1">
      <c r="A40" s="806" t="s">
        <v>121</v>
      </c>
      <c r="B40" s="572" t="s">
        <v>400</v>
      </c>
      <c r="C40" s="754"/>
      <c r="D40" s="754"/>
      <c r="E40" s="754"/>
      <c r="F40" s="754"/>
      <c r="G40" s="754"/>
      <c r="H40" s="754"/>
      <c r="I40" s="754"/>
      <c r="J40" s="754"/>
      <c r="K40" s="754"/>
      <c r="L40" s="754"/>
      <c r="M40" s="816">
        <f>SUM(M41:M43)</f>
        <v>0</v>
      </c>
      <c r="N40" s="756" t="s">
        <v>103</v>
      </c>
      <c r="O40" s="817">
        <f>ROUND((M40),2)</f>
        <v>0</v>
      </c>
      <c r="P40" s="577"/>
      <c r="T40" s="577"/>
      <c r="U40" s="786"/>
      <c r="V40" s="786"/>
      <c r="W40" s="786"/>
    </row>
    <row r="41" spans="1:23" s="787" customFormat="1" ht="15.75" hidden="1" customHeight="1">
      <c r="A41" s="806"/>
      <c r="B41" s="775" t="s">
        <v>136</v>
      </c>
      <c r="C41" s="754">
        <f>C24</f>
        <v>6</v>
      </c>
      <c r="D41" s="754">
        <v>0.8</v>
      </c>
      <c r="E41" s="754">
        <v>0</v>
      </c>
      <c r="F41" s="754"/>
      <c r="G41" s="754"/>
      <c r="H41" s="754"/>
      <c r="I41" s="754"/>
      <c r="J41" s="754"/>
      <c r="K41" s="754"/>
      <c r="L41" s="754">
        <f>L24</f>
        <v>3</v>
      </c>
      <c r="M41" s="754">
        <f>C41*D41*E41*L41</f>
        <v>0</v>
      </c>
      <c r="N41" s="758"/>
      <c r="O41" s="817"/>
      <c r="P41" s="577"/>
      <c r="Q41" s="577"/>
      <c r="R41" s="577"/>
      <c r="S41" s="577"/>
      <c r="T41" s="577"/>
      <c r="U41" s="786"/>
      <c r="V41" s="786"/>
      <c r="W41" s="786"/>
    </row>
    <row r="42" spans="1:23" s="787" customFormat="1" ht="15.75" hidden="1" customHeight="1">
      <c r="A42" s="806"/>
      <c r="B42" s="775"/>
      <c r="C42" s="754">
        <f>C25</f>
        <v>3</v>
      </c>
      <c r="D42" s="754">
        <f>D41</f>
        <v>0.8</v>
      </c>
      <c r="E42" s="754">
        <f>E41</f>
        <v>0</v>
      </c>
      <c r="F42" s="754"/>
      <c r="G42" s="754"/>
      <c r="H42" s="754"/>
      <c r="I42" s="754"/>
      <c r="J42" s="754"/>
      <c r="K42" s="754"/>
      <c r="L42" s="754">
        <f>L25</f>
        <v>1</v>
      </c>
      <c r="M42" s="754">
        <f>C42*D42*E42*L42</f>
        <v>0</v>
      </c>
      <c r="N42" s="758"/>
      <c r="O42" s="817"/>
      <c r="P42" s="577"/>
      <c r="Q42" s="577"/>
      <c r="R42" s="577"/>
      <c r="S42" s="577"/>
      <c r="T42" s="577"/>
      <c r="U42" s="786"/>
      <c r="V42" s="786"/>
      <c r="W42" s="786"/>
    </row>
    <row r="43" spans="1:23" s="787" customFormat="1" ht="15.75" hidden="1" customHeight="1">
      <c r="A43" s="806"/>
      <c r="B43" s="775" t="s">
        <v>1044</v>
      </c>
      <c r="C43" s="754">
        <f>C26</f>
        <v>6</v>
      </c>
      <c r="D43" s="754">
        <f>D42</f>
        <v>0.8</v>
      </c>
      <c r="E43" s="754">
        <f>E42</f>
        <v>0</v>
      </c>
      <c r="F43" s="754"/>
      <c r="G43" s="754"/>
      <c r="H43" s="754"/>
      <c r="I43" s="754"/>
      <c r="J43" s="754"/>
      <c r="K43" s="754"/>
      <c r="L43" s="754">
        <f>L26</f>
        <v>3</v>
      </c>
      <c r="M43" s="754">
        <f>C43*D43*E43*L43</f>
        <v>0</v>
      </c>
      <c r="N43" s="758"/>
      <c r="O43" s="817"/>
      <c r="P43" s="577"/>
      <c r="Q43" s="577"/>
      <c r="R43" s="577"/>
      <c r="S43" s="577"/>
      <c r="T43" s="577"/>
      <c r="U43" s="786"/>
      <c r="V43" s="786"/>
      <c r="W43" s="786"/>
    </row>
    <row r="44" spans="1:23" ht="15.75" customHeight="1">
      <c r="A44" s="419" t="s">
        <v>121</v>
      </c>
      <c r="B44" s="351" t="s">
        <v>403</v>
      </c>
      <c r="C44" s="330"/>
      <c r="D44" s="818" t="s">
        <v>1007</v>
      </c>
      <c r="E44" s="330"/>
      <c r="F44" s="330"/>
      <c r="G44" s="330"/>
      <c r="H44" s="330"/>
      <c r="I44" s="330"/>
      <c r="J44" s="330"/>
      <c r="K44" s="330"/>
      <c r="L44" s="330"/>
      <c r="M44" s="415">
        <f>SUM(M45:M48)</f>
        <v>17.820000000000004</v>
      </c>
      <c r="N44" s="562" t="s">
        <v>103</v>
      </c>
      <c r="O44" s="814">
        <f>ROUND((M44),2)</f>
        <v>17.82</v>
      </c>
      <c r="P44" s="398"/>
      <c r="Q44" s="398"/>
      <c r="R44" s="398"/>
      <c r="S44" s="398"/>
      <c r="T44" s="398"/>
      <c r="U44" s="738"/>
      <c r="V44" s="738"/>
      <c r="W44" s="738"/>
    </row>
    <row r="45" spans="1:23" ht="15.75" customHeight="1">
      <c r="A45" s="760"/>
      <c r="B45" s="589" t="str">
        <f>B36</f>
        <v>Horisontal</v>
      </c>
      <c r="C45" s="330">
        <f>C36</f>
        <v>6</v>
      </c>
      <c r="D45" s="330">
        <f>(0.3+D24)/2</f>
        <v>0.55000000000000004</v>
      </c>
      <c r="E45" s="330">
        <f>E24-E36-E41</f>
        <v>0.8</v>
      </c>
      <c r="F45" s="330"/>
      <c r="G45" s="330"/>
      <c r="H45" s="330"/>
      <c r="I45" s="330"/>
      <c r="J45" s="330"/>
      <c r="K45" s="330"/>
      <c r="L45" s="330">
        <f>L36</f>
        <v>3</v>
      </c>
      <c r="M45" s="330">
        <f>C45*D45*E45*L45</f>
        <v>7.9200000000000017</v>
      </c>
      <c r="N45" s="748"/>
      <c r="O45" s="814"/>
      <c r="P45" s="398"/>
      <c r="Q45" s="398"/>
      <c r="R45" s="398"/>
      <c r="S45" s="398"/>
      <c r="T45" s="398"/>
      <c r="U45" s="738"/>
      <c r="V45" s="738"/>
      <c r="W45" s="738"/>
    </row>
    <row r="46" spans="1:23" ht="15.75" customHeight="1">
      <c r="A46" s="760"/>
      <c r="B46" s="589"/>
      <c r="C46" s="330">
        <f>C37</f>
        <v>3</v>
      </c>
      <c r="D46" s="330">
        <f t="shared" ref="D46:E48" si="3">D45</f>
        <v>0.55000000000000004</v>
      </c>
      <c r="E46" s="330">
        <f t="shared" si="3"/>
        <v>0.8</v>
      </c>
      <c r="F46" s="330"/>
      <c r="G46" s="330"/>
      <c r="H46" s="330"/>
      <c r="I46" s="330"/>
      <c r="J46" s="330"/>
      <c r="K46" s="330"/>
      <c r="L46" s="330">
        <f>L37</f>
        <v>1</v>
      </c>
      <c r="M46" s="330">
        <f>C46*D46*E46*L46</f>
        <v>1.3200000000000003</v>
      </c>
      <c r="N46" s="748"/>
      <c r="O46" s="814"/>
      <c r="P46" s="398"/>
      <c r="Q46" s="398"/>
      <c r="R46" s="398"/>
      <c r="S46" s="398"/>
      <c r="T46" s="398"/>
      <c r="U46" s="738"/>
      <c r="V46" s="738"/>
      <c r="W46" s="738"/>
    </row>
    <row r="47" spans="1:23" ht="15.75" customHeight="1">
      <c r="A47" s="760"/>
      <c r="B47" s="589" t="str">
        <f>B38</f>
        <v>Vertikal</v>
      </c>
      <c r="C47" s="330">
        <f>C38</f>
        <v>6</v>
      </c>
      <c r="D47" s="330">
        <f t="shared" si="3"/>
        <v>0.55000000000000004</v>
      </c>
      <c r="E47" s="330">
        <f t="shared" si="3"/>
        <v>0.8</v>
      </c>
      <c r="F47" s="330"/>
      <c r="G47" s="330"/>
      <c r="H47" s="330"/>
      <c r="I47" s="330"/>
      <c r="J47" s="330"/>
      <c r="K47" s="330"/>
      <c r="L47" s="330">
        <f>L38</f>
        <v>3</v>
      </c>
      <c r="M47" s="330">
        <f>C47*D47*E47*L47</f>
        <v>7.9200000000000017</v>
      </c>
      <c r="N47" s="748"/>
      <c r="O47" s="814"/>
      <c r="P47" s="398"/>
      <c r="Q47" s="398"/>
      <c r="R47" s="398"/>
      <c r="S47" s="398"/>
      <c r="T47" s="398"/>
      <c r="U47" s="738"/>
      <c r="V47" s="738"/>
      <c r="W47" s="738"/>
    </row>
    <row r="48" spans="1:23" ht="15.75" customHeight="1">
      <c r="A48" s="760"/>
      <c r="B48" s="589"/>
      <c r="C48" s="330">
        <f>C39</f>
        <v>1.5</v>
      </c>
      <c r="D48" s="330">
        <f t="shared" si="3"/>
        <v>0.55000000000000004</v>
      </c>
      <c r="E48" s="330">
        <f t="shared" si="3"/>
        <v>0.8</v>
      </c>
      <c r="F48" s="330"/>
      <c r="G48" s="330"/>
      <c r="H48" s="330"/>
      <c r="I48" s="330"/>
      <c r="J48" s="330"/>
      <c r="K48" s="330"/>
      <c r="L48" s="330">
        <f>L39</f>
        <v>1</v>
      </c>
      <c r="M48" s="330">
        <f>C48*D48*E48*L48</f>
        <v>0.66000000000000014</v>
      </c>
      <c r="N48" s="748"/>
      <c r="O48" s="814"/>
      <c r="P48" s="398"/>
      <c r="Q48" s="398"/>
      <c r="R48" s="398"/>
      <c r="S48" s="398"/>
      <c r="T48" s="398"/>
      <c r="U48" s="738"/>
      <c r="V48" s="738"/>
      <c r="W48" s="738"/>
    </row>
    <row r="49" spans="1:23" s="487" customFormat="1" ht="15.75" customHeight="1">
      <c r="A49" s="350">
        <f>A22+1</f>
        <v>4</v>
      </c>
      <c r="B49" s="351" t="s">
        <v>1222</v>
      </c>
      <c r="C49" s="330"/>
      <c r="D49" s="330"/>
      <c r="E49" s="330"/>
      <c r="F49" s="330"/>
      <c r="G49" s="330"/>
      <c r="H49" s="330"/>
      <c r="I49" s="330"/>
      <c r="J49" s="330"/>
      <c r="K49" s="330"/>
      <c r="L49" s="330"/>
      <c r="M49" s="401"/>
      <c r="N49" s="748"/>
      <c r="O49" s="814"/>
    </row>
    <row r="50" spans="1:23" s="487" customFormat="1" ht="15.75" customHeight="1">
      <c r="A50" s="350"/>
      <c r="B50" s="567" t="s">
        <v>1111</v>
      </c>
      <c r="C50" s="330">
        <f>C45</f>
        <v>6</v>
      </c>
      <c r="D50" s="330"/>
      <c r="E50" s="330"/>
      <c r="F50" s="330"/>
      <c r="G50" s="330"/>
      <c r="H50" s="330"/>
      <c r="I50" s="330"/>
      <c r="J50" s="330"/>
      <c r="K50" s="330"/>
      <c r="L50" s="330">
        <f>L45</f>
        <v>3</v>
      </c>
      <c r="M50" s="401">
        <f>C50*L50</f>
        <v>18</v>
      </c>
      <c r="N50" s="748"/>
      <c r="O50" s="814"/>
    </row>
    <row r="51" spans="1:23" s="487" customFormat="1" ht="15.75" customHeight="1">
      <c r="A51" s="350"/>
      <c r="B51" s="567"/>
      <c r="C51" s="330">
        <f>C46</f>
        <v>3</v>
      </c>
      <c r="D51" s="330"/>
      <c r="E51" s="330"/>
      <c r="F51" s="330"/>
      <c r="G51" s="330"/>
      <c r="H51" s="330"/>
      <c r="I51" s="330"/>
      <c r="J51" s="330"/>
      <c r="K51" s="330"/>
      <c r="L51" s="330">
        <f>L46</f>
        <v>1</v>
      </c>
      <c r="M51" s="401">
        <f>C51*L51</f>
        <v>3</v>
      </c>
      <c r="N51" s="748"/>
      <c r="O51" s="814"/>
    </row>
    <row r="52" spans="1:23" s="487" customFormat="1" ht="15.75" customHeight="1">
      <c r="A52" s="350"/>
      <c r="B52" s="359"/>
      <c r="C52" s="330">
        <f>C47</f>
        <v>6</v>
      </c>
      <c r="D52" s="330"/>
      <c r="E52" s="330"/>
      <c r="F52" s="330"/>
      <c r="G52" s="330"/>
      <c r="H52" s="330"/>
      <c r="I52" s="330"/>
      <c r="J52" s="330"/>
      <c r="K52" s="330"/>
      <c r="L52" s="330">
        <f>L47</f>
        <v>3</v>
      </c>
      <c r="M52" s="401">
        <f>C52*L52</f>
        <v>18</v>
      </c>
      <c r="N52" s="748"/>
      <c r="O52" s="814"/>
    </row>
    <row r="53" spans="1:23" s="487" customFormat="1" ht="15.75" customHeight="1">
      <c r="A53" s="350"/>
      <c r="B53" s="359"/>
      <c r="C53" s="330">
        <f>C48</f>
        <v>1.5</v>
      </c>
      <c r="D53" s="330"/>
      <c r="E53" s="330"/>
      <c r="F53" s="330"/>
      <c r="G53" s="330"/>
      <c r="H53" s="330"/>
      <c r="I53" s="330"/>
      <c r="J53" s="330"/>
      <c r="K53" s="330"/>
      <c r="L53" s="330">
        <f>L48</f>
        <v>1</v>
      </c>
      <c r="M53" s="401">
        <f>C53*L53</f>
        <v>1.5</v>
      </c>
      <c r="N53" s="748"/>
      <c r="O53" s="814"/>
    </row>
    <row r="54" spans="1:23" s="487" customFormat="1" ht="15.75" customHeight="1">
      <c r="A54" s="350"/>
      <c r="B54" s="359"/>
      <c r="C54" s="330"/>
      <c r="D54" s="330"/>
      <c r="E54" s="330"/>
      <c r="F54" s="330"/>
      <c r="G54" s="330"/>
      <c r="H54" s="330"/>
      <c r="I54" s="330"/>
      <c r="J54" s="330"/>
      <c r="K54" s="330"/>
      <c r="L54" s="330"/>
      <c r="M54" s="401">
        <f>SUM(M50:M53)</f>
        <v>40.5</v>
      </c>
      <c r="N54" s="748"/>
      <c r="O54" s="814"/>
    </row>
    <row r="55" spans="1:23" s="487" customFormat="1" ht="15.75" customHeight="1">
      <c r="A55" s="350"/>
      <c r="B55" s="567" t="s">
        <v>1223</v>
      </c>
      <c r="C55" s="330">
        <v>0.5</v>
      </c>
      <c r="D55" s="330"/>
      <c r="E55" s="330"/>
      <c r="F55" s="330">
        <f>M54</f>
        <v>40.5</v>
      </c>
      <c r="G55" s="330"/>
      <c r="H55" s="330"/>
      <c r="I55" s="330"/>
      <c r="J55" s="330"/>
      <c r="K55" s="330">
        <f>10*10*0.006165</f>
        <v>0.61650000000000005</v>
      </c>
      <c r="L55" s="330"/>
      <c r="M55" s="474">
        <f>F55*K55*C55</f>
        <v>12.484125000000001</v>
      </c>
      <c r="N55" s="562" t="s">
        <v>100</v>
      </c>
      <c r="O55" s="814">
        <f>ROUND((M55),2)</f>
        <v>12.48</v>
      </c>
    </row>
    <row r="56" spans="1:23" ht="15.75" customHeight="1">
      <c r="A56" s="400">
        <f>A49+1</f>
        <v>5</v>
      </c>
      <c r="B56" s="351" t="s">
        <v>409</v>
      </c>
      <c r="C56" s="330"/>
      <c r="D56" s="330"/>
      <c r="E56" s="330"/>
      <c r="F56" s="330"/>
      <c r="G56" s="330"/>
      <c r="H56" s="330"/>
      <c r="I56" s="330"/>
      <c r="J56" s="330"/>
      <c r="K56" s="330"/>
      <c r="L56" s="330"/>
      <c r="M56" s="330"/>
      <c r="N56" s="748"/>
      <c r="O56" s="814"/>
      <c r="P56" s="398"/>
      <c r="Q56" s="398"/>
      <c r="R56" s="398"/>
      <c r="S56" s="398"/>
      <c r="T56" s="398"/>
      <c r="U56" s="738"/>
      <c r="V56" s="738"/>
      <c r="W56" s="738"/>
    </row>
    <row r="57" spans="1:23" ht="15.75" customHeight="1">
      <c r="A57" s="419" t="s">
        <v>95</v>
      </c>
      <c r="B57" s="351" t="s">
        <v>1204</v>
      </c>
      <c r="C57" s="330"/>
      <c r="D57" s="330"/>
      <c r="E57" s="330"/>
      <c r="F57" s="330"/>
      <c r="G57" s="330"/>
      <c r="H57" s="330"/>
      <c r="I57" s="330"/>
      <c r="J57" s="330"/>
      <c r="K57" s="330"/>
      <c r="L57" s="330"/>
      <c r="M57" s="415">
        <f>SUM(M58:M61)</f>
        <v>24.299999999999997</v>
      </c>
      <c r="N57" s="562" t="s">
        <v>89</v>
      </c>
      <c r="O57" s="814">
        <f>ROUND((M57),2)</f>
        <v>24.3</v>
      </c>
      <c r="P57" s="398"/>
      <c r="Q57" s="398"/>
      <c r="R57" s="398"/>
      <c r="S57" s="398"/>
      <c r="T57" s="398"/>
      <c r="U57" s="738"/>
      <c r="V57" s="738"/>
      <c r="W57" s="738"/>
    </row>
    <row r="58" spans="1:23" ht="15.75" customHeight="1">
      <c r="A58" s="419"/>
      <c r="B58" s="589" t="str">
        <f>B45</f>
        <v>Horisontal</v>
      </c>
      <c r="C58" s="330">
        <f>C45</f>
        <v>6</v>
      </c>
      <c r="D58" s="330"/>
      <c r="E58" s="330">
        <v>0.3</v>
      </c>
      <c r="F58" s="330"/>
      <c r="G58" s="330">
        <v>2</v>
      </c>
      <c r="H58" s="330"/>
      <c r="I58" s="330"/>
      <c r="J58" s="330"/>
      <c r="K58" s="330"/>
      <c r="L58" s="330">
        <f>L45</f>
        <v>3</v>
      </c>
      <c r="M58" s="330">
        <f>C58*E58*G58*L58</f>
        <v>10.799999999999999</v>
      </c>
      <c r="N58" s="748"/>
      <c r="O58" s="814"/>
      <c r="P58" s="398"/>
      <c r="Q58" s="398"/>
      <c r="R58" s="398"/>
      <c r="S58" s="398"/>
      <c r="T58" s="398"/>
      <c r="U58" s="738"/>
      <c r="V58" s="738"/>
      <c r="W58" s="738"/>
    </row>
    <row r="59" spans="1:23" ht="15.75" customHeight="1">
      <c r="A59" s="419"/>
      <c r="B59" s="589"/>
      <c r="C59" s="330">
        <f>C46</f>
        <v>3</v>
      </c>
      <c r="D59" s="330"/>
      <c r="E59" s="330">
        <f>E58</f>
        <v>0.3</v>
      </c>
      <c r="F59" s="330"/>
      <c r="G59" s="330">
        <f>G58</f>
        <v>2</v>
      </c>
      <c r="H59" s="330"/>
      <c r="I59" s="330"/>
      <c r="J59" s="330"/>
      <c r="K59" s="330"/>
      <c r="L59" s="330">
        <f>L46</f>
        <v>1</v>
      </c>
      <c r="M59" s="330">
        <f>C59*E59*G59*L59</f>
        <v>1.7999999999999998</v>
      </c>
      <c r="N59" s="748"/>
      <c r="O59" s="814"/>
      <c r="P59" s="398"/>
      <c r="Q59" s="398"/>
      <c r="R59" s="398"/>
      <c r="S59" s="398"/>
      <c r="T59" s="398"/>
      <c r="U59" s="738"/>
      <c r="V59" s="738"/>
      <c r="W59" s="738"/>
    </row>
    <row r="60" spans="1:23" ht="15.75" customHeight="1">
      <c r="A60" s="419"/>
      <c r="B60" s="589" t="str">
        <f>B47</f>
        <v>Vertikal</v>
      </c>
      <c r="C60" s="330">
        <f>C47</f>
        <v>6</v>
      </c>
      <c r="D60" s="330"/>
      <c r="E60" s="330">
        <f>E59</f>
        <v>0.3</v>
      </c>
      <c r="F60" s="330"/>
      <c r="G60" s="330">
        <f>G59</f>
        <v>2</v>
      </c>
      <c r="H60" s="330"/>
      <c r="I60" s="330"/>
      <c r="J60" s="330"/>
      <c r="K60" s="330"/>
      <c r="L60" s="330">
        <f>L47</f>
        <v>3</v>
      </c>
      <c r="M60" s="330">
        <f>C60*E60*G60*L60</f>
        <v>10.799999999999999</v>
      </c>
      <c r="N60" s="748"/>
      <c r="O60" s="814"/>
      <c r="P60" s="398"/>
      <c r="Q60" s="398"/>
      <c r="R60" s="398"/>
      <c r="S60" s="398"/>
      <c r="T60" s="398"/>
      <c r="U60" s="738"/>
      <c r="V60" s="738"/>
      <c r="W60" s="738"/>
    </row>
    <row r="61" spans="1:23" ht="15.75" customHeight="1">
      <c r="A61" s="419"/>
      <c r="B61" s="589"/>
      <c r="C61" s="330">
        <f>C48</f>
        <v>1.5</v>
      </c>
      <c r="D61" s="330"/>
      <c r="E61" s="330">
        <f>E60</f>
        <v>0.3</v>
      </c>
      <c r="F61" s="330"/>
      <c r="G61" s="330">
        <f>G60</f>
        <v>2</v>
      </c>
      <c r="H61" s="330"/>
      <c r="I61" s="330"/>
      <c r="J61" s="330"/>
      <c r="K61" s="330"/>
      <c r="L61" s="330">
        <f>L48</f>
        <v>1</v>
      </c>
      <c r="M61" s="330">
        <f>C61*E61*G61*L61</f>
        <v>0.89999999999999991</v>
      </c>
      <c r="N61" s="748"/>
      <c r="O61" s="814"/>
      <c r="P61" s="398"/>
      <c r="Q61" s="398"/>
      <c r="R61" s="398"/>
      <c r="S61" s="398"/>
      <c r="T61" s="398"/>
      <c r="U61" s="738"/>
      <c r="V61" s="738"/>
      <c r="W61" s="738"/>
    </row>
    <row r="62" spans="1:23" ht="15.75" customHeight="1">
      <c r="A62" s="419" t="s">
        <v>98</v>
      </c>
      <c r="B62" s="351" t="s">
        <v>410</v>
      </c>
      <c r="C62" s="330"/>
      <c r="D62" s="330"/>
      <c r="E62" s="330"/>
      <c r="F62" s="330"/>
      <c r="G62" s="330"/>
      <c r="H62" s="330"/>
      <c r="I62" s="330"/>
      <c r="J62" s="330"/>
      <c r="K62" s="330"/>
      <c r="L62" s="330"/>
      <c r="M62" s="415">
        <f>SUM(M63:M66)</f>
        <v>124.84125</v>
      </c>
      <c r="N62" s="562" t="s">
        <v>100</v>
      </c>
      <c r="O62" s="814">
        <f>ROUND((M62),2)</f>
        <v>124.84</v>
      </c>
      <c r="P62" s="398"/>
      <c r="Q62" s="398"/>
      <c r="R62" s="398"/>
      <c r="S62" s="398"/>
      <c r="T62" s="398"/>
      <c r="U62" s="738"/>
      <c r="V62" s="738"/>
      <c r="W62" s="738"/>
    </row>
    <row r="63" spans="1:23" ht="15.75" customHeight="1">
      <c r="A63" s="419"/>
      <c r="B63" s="589" t="s">
        <v>136</v>
      </c>
      <c r="C63" s="330">
        <f>C58</f>
        <v>6</v>
      </c>
      <c r="D63" s="330"/>
      <c r="E63" s="330"/>
      <c r="F63" s="330"/>
      <c r="G63" s="330"/>
      <c r="H63" s="330">
        <v>5</v>
      </c>
      <c r="I63" s="330"/>
      <c r="J63" s="330"/>
      <c r="K63" s="330">
        <f>10*10*0.006165</f>
        <v>0.61650000000000005</v>
      </c>
      <c r="L63" s="330">
        <f>L58</f>
        <v>3</v>
      </c>
      <c r="M63" s="330">
        <f>C63*H63*K63*L63</f>
        <v>55.484999999999999</v>
      </c>
      <c r="N63" s="748"/>
      <c r="O63" s="814"/>
      <c r="P63" s="398"/>
      <c r="Q63" s="398"/>
      <c r="R63" s="398"/>
      <c r="S63" s="398"/>
      <c r="T63" s="398"/>
      <c r="U63" s="738"/>
      <c r="V63" s="738"/>
      <c r="W63" s="738"/>
    </row>
    <row r="64" spans="1:23" ht="15.75" customHeight="1">
      <c r="A64" s="419"/>
      <c r="B64" s="589"/>
      <c r="C64" s="330">
        <f>C59</f>
        <v>3</v>
      </c>
      <c r="D64" s="330"/>
      <c r="E64" s="330"/>
      <c r="F64" s="330"/>
      <c r="G64" s="330"/>
      <c r="H64" s="330">
        <f>H63</f>
        <v>5</v>
      </c>
      <c r="I64" s="330"/>
      <c r="J64" s="330"/>
      <c r="K64" s="330">
        <f>K63</f>
        <v>0.61650000000000005</v>
      </c>
      <c r="L64" s="330">
        <f>L59</f>
        <v>1</v>
      </c>
      <c r="M64" s="330">
        <f>C64*H64*K64*L64</f>
        <v>9.2475000000000005</v>
      </c>
      <c r="N64" s="748"/>
      <c r="O64" s="814"/>
      <c r="P64" s="398"/>
      <c r="Q64" s="398"/>
      <c r="R64" s="398"/>
      <c r="S64" s="398"/>
      <c r="T64" s="398"/>
      <c r="U64" s="738"/>
      <c r="V64" s="738"/>
      <c r="W64" s="738"/>
    </row>
    <row r="65" spans="1:23" ht="15.75" customHeight="1">
      <c r="A65" s="419"/>
      <c r="B65" s="589" t="s">
        <v>1044</v>
      </c>
      <c r="C65" s="330">
        <f>C60</f>
        <v>6</v>
      </c>
      <c r="D65" s="330"/>
      <c r="E65" s="330"/>
      <c r="F65" s="330"/>
      <c r="G65" s="330"/>
      <c r="H65" s="330">
        <f>H64</f>
        <v>5</v>
      </c>
      <c r="I65" s="330"/>
      <c r="J65" s="330"/>
      <c r="K65" s="330">
        <f>K64</f>
        <v>0.61650000000000005</v>
      </c>
      <c r="L65" s="330">
        <f>L60</f>
        <v>3</v>
      </c>
      <c r="M65" s="330">
        <f>C65*H65*K65*L65</f>
        <v>55.484999999999999</v>
      </c>
      <c r="N65" s="748"/>
      <c r="O65" s="814"/>
      <c r="P65" s="398"/>
      <c r="Q65" s="398"/>
      <c r="R65" s="398"/>
      <c r="S65" s="398"/>
      <c r="T65" s="398"/>
      <c r="U65" s="738"/>
      <c r="V65" s="738"/>
      <c r="W65" s="738"/>
    </row>
    <row r="66" spans="1:23" ht="15.75" customHeight="1">
      <c r="A66" s="419"/>
      <c r="B66" s="589"/>
      <c r="C66" s="330">
        <f>C61</f>
        <v>1.5</v>
      </c>
      <c r="D66" s="330"/>
      <c r="E66" s="330"/>
      <c r="F66" s="330"/>
      <c r="G66" s="330"/>
      <c r="H66" s="330">
        <f>H65</f>
        <v>5</v>
      </c>
      <c r="I66" s="330"/>
      <c r="J66" s="330"/>
      <c r="K66" s="330">
        <f>K65</f>
        <v>0.61650000000000005</v>
      </c>
      <c r="L66" s="330">
        <f>L61</f>
        <v>1</v>
      </c>
      <c r="M66" s="330">
        <f>C66*H66*K66*L66</f>
        <v>4.6237500000000002</v>
      </c>
      <c r="N66" s="748"/>
      <c r="O66" s="814"/>
      <c r="P66" s="398"/>
      <c r="Q66" s="398"/>
      <c r="R66" s="398"/>
      <c r="S66" s="398"/>
      <c r="T66" s="398"/>
      <c r="U66" s="738"/>
      <c r="V66" s="738"/>
      <c r="W66" s="738"/>
    </row>
    <row r="67" spans="1:23" ht="15.75" customHeight="1">
      <c r="A67" s="419" t="s">
        <v>101</v>
      </c>
      <c r="B67" s="351" t="s">
        <v>411</v>
      </c>
      <c r="C67" s="330"/>
      <c r="D67" s="330"/>
      <c r="E67" s="330"/>
      <c r="F67" s="330"/>
      <c r="G67" s="330"/>
      <c r="H67" s="330"/>
      <c r="I67" s="330"/>
      <c r="J67" s="330"/>
      <c r="K67" s="330"/>
      <c r="L67" s="330"/>
      <c r="M67" s="415">
        <f>SUM(M68:M71)</f>
        <v>112.49694720000001</v>
      </c>
      <c r="N67" s="562" t="s">
        <v>100</v>
      </c>
      <c r="O67" s="814">
        <f>ROUND((M67),2)</f>
        <v>112.5</v>
      </c>
      <c r="P67" s="398"/>
      <c r="Q67" s="398"/>
      <c r="R67" s="398"/>
      <c r="S67" s="398"/>
      <c r="T67" s="398"/>
      <c r="U67" s="738"/>
      <c r="V67" s="738"/>
      <c r="W67" s="738"/>
    </row>
    <row r="68" spans="1:23" ht="15.75" customHeight="1">
      <c r="A68" s="419"/>
      <c r="B68" s="589" t="s">
        <v>136</v>
      </c>
      <c r="C68" s="330">
        <f>(0.17+0.22)*2</f>
        <v>0.78</v>
      </c>
      <c r="D68" s="330"/>
      <c r="E68" s="330"/>
      <c r="F68" s="330">
        <f>0.05*2</f>
        <v>0.1</v>
      </c>
      <c r="G68" s="330"/>
      <c r="H68" s="330">
        <f>ROUNDUP((C63/0.125),0.5)</f>
        <v>48</v>
      </c>
      <c r="I68" s="330"/>
      <c r="J68" s="330"/>
      <c r="K68" s="330">
        <f>8*8*0.006165</f>
        <v>0.39456000000000002</v>
      </c>
      <c r="L68" s="330">
        <f>L63</f>
        <v>3</v>
      </c>
      <c r="M68" s="330">
        <f>(C68+F68)*H68*K68*L68</f>
        <v>49.998643200000004</v>
      </c>
      <c r="N68" s="748"/>
      <c r="O68" s="814"/>
      <c r="P68" s="398">
        <f>600/15</f>
        <v>40</v>
      </c>
      <c r="Q68" s="398"/>
      <c r="R68" s="398"/>
      <c r="S68" s="398"/>
      <c r="T68" s="398"/>
      <c r="U68" s="738"/>
      <c r="V68" s="738"/>
      <c r="W68" s="738"/>
    </row>
    <row r="69" spans="1:23" ht="15.75" customHeight="1">
      <c r="A69" s="419"/>
      <c r="B69" s="589"/>
      <c r="C69" s="330">
        <f>C68</f>
        <v>0.78</v>
      </c>
      <c r="D69" s="330"/>
      <c r="E69" s="330"/>
      <c r="F69" s="330">
        <f>F68</f>
        <v>0.1</v>
      </c>
      <c r="G69" s="330"/>
      <c r="H69" s="330">
        <f>ROUNDUP((C64/0.125),0.5)</f>
        <v>24</v>
      </c>
      <c r="I69" s="330"/>
      <c r="J69" s="330"/>
      <c r="K69" s="330">
        <f>K68</f>
        <v>0.39456000000000002</v>
      </c>
      <c r="L69" s="330">
        <f>L64</f>
        <v>1</v>
      </c>
      <c r="M69" s="330">
        <f>(C69+F69)*H69*K69*L69</f>
        <v>8.3331072000000006</v>
      </c>
      <c r="N69" s="748"/>
      <c r="O69" s="814"/>
      <c r="P69" s="398"/>
      <c r="Q69" s="398"/>
      <c r="R69" s="398"/>
      <c r="S69" s="398"/>
      <c r="T69" s="398"/>
      <c r="U69" s="738"/>
      <c r="V69" s="738"/>
      <c r="W69" s="738"/>
    </row>
    <row r="70" spans="1:23" ht="15.75" customHeight="1">
      <c r="A70" s="419"/>
      <c r="B70" s="589" t="s">
        <v>1044</v>
      </c>
      <c r="C70" s="330">
        <f>C69</f>
        <v>0.78</v>
      </c>
      <c r="D70" s="330"/>
      <c r="E70" s="330"/>
      <c r="F70" s="330">
        <f>F69</f>
        <v>0.1</v>
      </c>
      <c r="G70" s="330"/>
      <c r="H70" s="330">
        <f>ROUNDUP((C65/0.125),0.5)</f>
        <v>48</v>
      </c>
      <c r="I70" s="330"/>
      <c r="J70" s="330"/>
      <c r="K70" s="330">
        <f>K69</f>
        <v>0.39456000000000002</v>
      </c>
      <c r="L70" s="330">
        <f>L65</f>
        <v>3</v>
      </c>
      <c r="M70" s="330">
        <f>(C70+F70)*H70*K70*L70</f>
        <v>49.998643200000004</v>
      </c>
      <c r="N70" s="748"/>
      <c r="O70" s="814"/>
      <c r="P70" s="398"/>
      <c r="Q70" s="398"/>
      <c r="R70" s="398"/>
      <c r="S70" s="398"/>
      <c r="T70" s="398"/>
      <c r="U70" s="738"/>
      <c r="V70" s="738"/>
      <c r="W70" s="738"/>
    </row>
    <row r="71" spans="1:23" ht="15.75" customHeight="1">
      <c r="A71" s="419"/>
      <c r="B71" s="819"/>
      <c r="C71" s="330">
        <f>C70</f>
        <v>0.78</v>
      </c>
      <c r="D71" s="330"/>
      <c r="E71" s="330"/>
      <c r="F71" s="330">
        <f>F70</f>
        <v>0.1</v>
      </c>
      <c r="G71" s="330"/>
      <c r="H71" s="330">
        <f>ROUNDUP((C66/0.125),0.5)</f>
        <v>12</v>
      </c>
      <c r="I71" s="330"/>
      <c r="J71" s="330"/>
      <c r="K71" s="330">
        <f>K70</f>
        <v>0.39456000000000002</v>
      </c>
      <c r="L71" s="330">
        <f>L66</f>
        <v>1</v>
      </c>
      <c r="M71" s="330">
        <f>(C71+F71)*H71*K71*L71</f>
        <v>4.1665536000000003</v>
      </c>
      <c r="N71" s="748"/>
      <c r="O71" s="814"/>
      <c r="P71" s="398"/>
      <c r="Q71" s="398"/>
      <c r="R71" s="398"/>
      <c r="S71" s="398"/>
      <c r="T71" s="398"/>
      <c r="U71" s="738"/>
      <c r="V71" s="738"/>
      <c r="W71" s="738"/>
    </row>
    <row r="72" spans="1:23" ht="15.75" customHeight="1">
      <c r="A72" s="419" t="s">
        <v>121</v>
      </c>
      <c r="B72" s="356" t="s">
        <v>169</v>
      </c>
      <c r="C72" s="330"/>
      <c r="D72" s="330"/>
      <c r="E72" s="330"/>
      <c r="F72" s="330"/>
      <c r="G72" s="330"/>
      <c r="H72" s="330"/>
      <c r="I72" s="330"/>
      <c r="J72" s="330"/>
      <c r="K72" s="330"/>
      <c r="L72" s="330"/>
      <c r="M72" s="415">
        <f>SUM(M73:M76)</f>
        <v>3.0374999999999996</v>
      </c>
      <c r="N72" s="562" t="s">
        <v>103</v>
      </c>
      <c r="O72" s="814">
        <f>ROUND((M72),2)</f>
        <v>3.04</v>
      </c>
      <c r="P72" s="398"/>
      <c r="Q72" s="398"/>
      <c r="R72" s="398"/>
      <c r="S72" s="398"/>
      <c r="T72" s="398"/>
      <c r="U72" s="738"/>
      <c r="V72" s="738"/>
      <c r="W72" s="738"/>
    </row>
    <row r="73" spans="1:23" ht="15.75" customHeight="1">
      <c r="A73" s="419"/>
      <c r="B73" s="589" t="s">
        <v>136</v>
      </c>
      <c r="C73" s="330">
        <f>C63</f>
        <v>6</v>
      </c>
      <c r="D73" s="330">
        <v>0.25</v>
      </c>
      <c r="E73" s="330">
        <v>0.3</v>
      </c>
      <c r="F73" s="330"/>
      <c r="G73" s="330"/>
      <c r="H73" s="330"/>
      <c r="I73" s="330"/>
      <c r="J73" s="330"/>
      <c r="K73" s="330"/>
      <c r="L73" s="330">
        <f>L68</f>
        <v>3</v>
      </c>
      <c r="M73" s="330">
        <f>C73*D73*E73*L73</f>
        <v>1.3499999999999999</v>
      </c>
      <c r="N73" s="748"/>
      <c r="O73" s="814"/>
      <c r="P73" s="398"/>
      <c r="Q73" s="398"/>
      <c r="R73" s="398"/>
      <c r="S73" s="398"/>
      <c r="T73" s="398"/>
      <c r="U73" s="738"/>
      <c r="V73" s="738"/>
      <c r="W73" s="738"/>
    </row>
    <row r="74" spans="1:23" ht="15.75" customHeight="1">
      <c r="A74" s="419"/>
      <c r="B74" s="589"/>
      <c r="C74" s="330">
        <f>C64</f>
        <v>3</v>
      </c>
      <c r="D74" s="330">
        <f t="shared" ref="D74:E76" si="4">D73</f>
        <v>0.25</v>
      </c>
      <c r="E74" s="330">
        <f t="shared" si="4"/>
        <v>0.3</v>
      </c>
      <c r="F74" s="330"/>
      <c r="G74" s="330"/>
      <c r="H74" s="330"/>
      <c r="I74" s="330"/>
      <c r="J74" s="330"/>
      <c r="K74" s="330"/>
      <c r="L74" s="330">
        <f>L69</f>
        <v>1</v>
      </c>
      <c r="M74" s="330">
        <f>C74*D74*E74*L74</f>
        <v>0.22499999999999998</v>
      </c>
      <c r="N74" s="748"/>
      <c r="O74" s="814"/>
      <c r="P74" s="398"/>
      <c r="Q74" s="398"/>
      <c r="R74" s="398"/>
      <c r="S74" s="398"/>
      <c r="T74" s="398"/>
      <c r="U74" s="738"/>
      <c r="V74" s="738"/>
      <c r="W74" s="738"/>
    </row>
    <row r="75" spans="1:23" ht="15.75" customHeight="1">
      <c r="A75" s="419"/>
      <c r="B75" s="589" t="s">
        <v>1044</v>
      </c>
      <c r="C75" s="330">
        <f>C65</f>
        <v>6</v>
      </c>
      <c r="D75" s="330">
        <f t="shared" si="4"/>
        <v>0.25</v>
      </c>
      <c r="E75" s="330">
        <f t="shared" si="4"/>
        <v>0.3</v>
      </c>
      <c r="F75" s="330"/>
      <c r="G75" s="330"/>
      <c r="H75" s="330"/>
      <c r="I75" s="330"/>
      <c r="J75" s="330"/>
      <c r="K75" s="330"/>
      <c r="L75" s="330">
        <f>L70</f>
        <v>3</v>
      </c>
      <c r="M75" s="330">
        <f>C75*D75*E75*L75</f>
        <v>1.3499999999999999</v>
      </c>
      <c r="N75" s="748"/>
      <c r="O75" s="814"/>
      <c r="P75" s="398"/>
      <c r="Q75" s="398"/>
      <c r="R75" s="398"/>
      <c r="S75" s="398"/>
      <c r="T75" s="398"/>
      <c r="U75" s="738"/>
      <c r="V75" s="738"/>
      <c r="W75" s="738"/>
    </row>
    <row r="76" spans="1:23" ht="15.75" customHeight="1">
      <c r="A76" s="820"/>
      <c r="B76" s="589"/>
      <c r="C76" s="330">
        <f>C66</f>
        <v>1.5</v>
      </c>
      <c r="D76" s="330">
        <f t="shared" si="4"/>
        <v>0.25</v>
      </c>
      <c r="E76" s="330">
        <f t="shared" si="4"/>
        <v>0.3</v>
      </c>
      <c r="F76" s="330"/>
      <c r="G76" s="330"/>
      <c r="H76" s="330"/>
      <c r="I76" s="330"/>
      <c r="J76" s="330"/>
      <c r="K76" s="330"/>
      <c r="L76" s="330">
        <f>L71</f>
        <v>1</v>
      </c>
      <c r="M76" s="330">
        <f>C76*D76*E76*L76</f>
        <v>0.11249999999999999</v>
      </c>
      <c r="N76" s="748"/>
      <c r="O76" s="814"/>
      <c r="P76" s="398"/>
      <c r="Q76" s="398"/>
      <c r="R76" s="398"/>
      <c r="S76" s="398"/>
      <c r="T76" s="398"/>
      <c r="U76" s="738"/>
      <c r="V76" s="738"/>
      <c r="W76" s="738"/>
    </row>
    <row r="77" spans="1:23" ht="15.75" customHeight="1">
      <c r="A77" s="350">
        <f>A56+1</f>
        <v>6</v>
      </c>
      <c r="B77" s="351" t="s">
        <v>416</v>
      </c>
      <c r="C77" s="330"/>
      <c r="D77" s="330"/>
      <c r="E77" s="330"/>
      <c r="F77" s="330"/>
      <c r="G77" s="330"/>
      <c r="H77" s="330"/>
      <c r="I77" s="330"/>
      <c r="J77" s="330"/>
      <c r="K77" s="330"/>
      <c r="L77" s="330"/>
      <c r="M77" s="330"/>
      <c r="N77" s="748"/>
      <c r="O77" s="814"/>
      <c r="P77" s="398"/>
      <c r="Q77" s="398"/>
      <c r="R77" s="398"/>
      <c r="S77" s="398"/>
      <c r="T77" s="398"/>
      <c r="U77" s="738"/>
      <c r="V77" s="738"/>
      <c r="W77" s="738"/>
    </row>
    <row r="78" spans="1:23" ht="15.75" customHeight="1">
      <c r="A78" s="355" t="s">
        <v>95</v>
      </c>
      <c r="B78" s="351" t="s">
        <v>645</v>
      </c>
      <c r="C78" s="330"/>
      <c r="D78" s="330">
        <v>0.25</v>
      </c>
      <c r="E78" s="330">
        <v>0.8</v>
      </c>
      <c r="F78" s="330"/>
      <c r="G78" s="330">
        <v>4</v>
      </c>
      <c r="H78" s="330"/>
      <c r="I78" s="330"/>
      <c r="J78" s="330"/>
      <c r="K78" s="330"/>
      <c r="L78" s="330">
        <f>L15</f>
        <v>12</v>
      </c>
      <c r="M78" s="330">
        <f>D78*E78*G78*L78</f>
        <v>9.6000000000000014</v>
      </c>
      <c r="N78" s="748" t="s">
        <v>89</v>
      </c>
      <c r="O78" s="814">
        <f>ROUND((M78),2)</f>
        <v>9.6</v>
      </c>
      <c r="P78" s="398"/>
      <c r="Q78" s="398"/>
      <c r="R78" s="398"/>
      <c r="S78" s="398"/>
      <c r="T78" s="398"/>
      <c r="U78" s="738"/>
      <c r="V78" s="738"/>
      <c r="W78" s="738"/>
    </row>
    <row r="79" spans="1:23" ht="15.75" customHeight="1">
      <c r="A79" s="355" t="s">
        <v>98</v>
      </c>
      <c r="B79" s="351" t="s">
        <v>418</v>
      </c>
      <c r="C79" s="330"/>
      <c r="D79" s="330"/>
      <c r="E79" s="330">
        <f>E78</f>
        <v>0.8</v>
      </c>
      <c r="F79" s="330"/>
      <c r="G79" s="330"/>
      <c r="H79" s="330">
        <v>8</v>
      </c>
      <c r="J79" s="330">
        <v>0.25</v>
      </c>
      <c r="K79" s="330">
        <f>10*10*0.006165</f>
        <v>0.61650000000000005</v>
      </c>
      <c r="L79" s="330">
        <f>L78</f>
        <v>12</v>
      </c>
      <c r="M79" s="330">
        <f>(E79+J79)*H79*K79*L79</f>
        <v>62.143200000000007</v>
      </c>
      <c r="N79" s="748" t="s">
        <v>100</v>
      </c>
      <c r="O79" s="814">
        <f>ROUND((M79),2)</f>
        <v>62.14</v>
      </c>
      <c r="P79" s="398"/>
      <c r="Q79" s="398"/>
      <c r="R79" s="398"/>
      <c r="S79" s="398"/>
      <c r="T79" s="398"/>
      <c r="U79" s="738"/>
      <c r="V79" s="738"/>
      <c r="W79" s="738"/>
    </row>
    <row r="80" spans="1:23" ht="15.75" customHeight="1">
      <c r="A80" s="355" t="s">
        <v>101</v>
      </c>
      <c r="B80" s="351" t="s">
        <v>419</v>
      </c>
      <c r="C80" s="330">
        <f>0.17*4</f>
        <v>0.68</v>
      </c>
      <c r="D80" s="330"/>
      <c r="E80" s="330"/>
      <c r="F80" s="330"/>
      <c r="G80" s="330"/>
      <c r="H80" s="330">
        <f>ROUNDUP((E79/0.15),0.5)</f>
        <v>6</v>
      </c>
      <c r="I80" s="330">
        <f>0.05*2</f>
        <v>0.1</v>
      </c>
      <c r="J80" s="330"/>
      <c r="K80" s="330">
        <f>8*8*0.006165</f>
        <v>0.39456000000000002</v>
      </c>
      <c r="L80" s="330">
        <f>L79</f>
        <v>12</v>
      </c>
      <c r="M80" s="330">
        <f>(C80+I80)*H80*K80*L80</f>
        <v>22.158489600000003</v>
      </c>
      <c r="N80" s="748" t="s">
        <v>100</v>
      </c>
      <c r="O80" s="814">
        <f>ROUND((M80),2)</f>
        <v>22.16</v>
      </c>
      <c r="P80" s="398"/>
      <c r="Q80" s="398"/>
      <c r="R80" s="398"/>
      <c r="S80" s="398"/>
      <c r="T80" s="398"/>
      <c r="U80" s="738"/>
      <c r="V80" s="738"/>
      <c r="W80" s="738"/>
    </row>
    <row r="81" spans="1:23" ht="15.75" customHeight="1">
      <c r="A81" s="355" t="s">
        <v>121</v>
      </c>
      <c r="B81" s="356" t="s">
        <v>169</v>
      </c>
      <c r="C81" s="330">
        <f>D78</f>
        <v>0.25</v>
      </c>
      <c r="D81" s="330">
        <f>D78</f>
        <v>0.25</v>
      </c>
      <c r="E81" s="330">
        <f>E78</f>
        <v>0.8</v>
      </c>
      <c r="F81" s="330"/>
      <c r="G81" s="330"/>
      <c r="H81" s="330"/>
      <c r="I81" s="330"/>
      <c r="J81" s="330"/>
      <c r="K81" s="330"/>
      <c r="L81" s="330">
        <f>L80</f>
        <v>12</v>
      </c>
      <c r="M81" s="330">
        <f>C81*D81*E81*L81</f>
        <v>0.60000000000000009</v>
      </c>
      <c r="N81" s="748" t="s">
        <v>103</v>
      </c>
      <c r="O81" s="814">
        <f>ROUND((M81),2)</f>
        <v>0.6</v>
      </c>
      <c r="P81" s="398"/>
      <c r="Q81" s="398"/>
      <c r="R81" s="398"/>
      <c r="S81" s="398"/>
      <c r="T81" s="398"/>
      <c r="U81" s="738"/>
      <c r="V81" s="738"/>
      <c r="W81" s="738"/>
    </row>
    <row r="82" spans="1:23" ht="15.75" customHeight="1">
      <c r="A82" s="350">
        <f>A77+1</f>
        <v>7</v>
      </c>
      <c r="B82" s="351" t="s">
        <v>421</v>
      </c>
      <c r="C82" s="330"/>
      <c r="D82" s="330"/>
      <c r="E82" s="330"/>
      <c r="F82" s="330"/>
      <c r="G82" s="330"/>
      <c r="H82" s="330"/>
      <c r="I82" s="330"/>
      <c r="J82" s="330"/>
      <c r="K82" s="330"/>
      <c r="L82" s="330"/>
      <c r="M82" s="330"/>
      <c r="N82" s="748"/>
      <c r="O82" s="814"/>
      <c r="P82" s="398"/>
      <c r="Q82" s="398"/>
      <c r="R82" s="398"/>
      <c r="S82" s="398"/>
      <c r="T82" s="398"/>
      <c r="U82" s="738"/>
      <c r="V82" s="738"/>
      <c r="W82" s="738"/>
    </row>
    <row r="83" spans="1:23" ht="15.75" customHeight="1">
      <c r="A83" s="355" t="s">
        <v>95</v>
      </c>
      <c r="B83" s="351" t="s">
        <v>645</v>
      </c>
      <c r="C83" s="330"/>
      <c r="D83" s="330">
        <f>D78</f>
        <v>0.25</v>
      </c>
      <c r="E83" s="330">
        <f>3.65-0.3</f>
        <v>3.35</v>
      </c>
      <c r="F83" s="330"/>
      <c r="G83" s="330">
        <v>4</v>
      </c>
      <c r="H83" s="330"/>
      <c r="I83" s="330"/>
      <c r="J83" s="330"/>
      <c r="K83" s="330"/>
      <c r="L83" s="330">
        <f>L78</f>
        <v>12</v>
      </c>
      <c r="M83" s="330">
        <f>D83*E83*G83*L83</f>
        <v>40.200000000000003</v>
      </c>
      <c r="N83" s="748" t="s">
        <v>89</v>
      </c>
      <c r="O83" s="814">
        <f>ROUND((M83),2)</f>
        <v>40.200000000000003</v>
      </c>
      <c r="P83" s="398"/>
      <c r="Q83" s="398"/>
      <c r="R83" s="398"/>
      <c r="S83" s="398"/>
      <c r="T83" s="398"/>
      <c r="U83" s="738"/>
      <c r="V83" s="738"/>
      <c r="W83" s="738"/>
    </row>
    <row r="84" spans="1:23" ht="15.75" customHeight="1">
      <c r="A84" s="355" t="s">
        <v>98</v>
      </c>
      <c r="B84" s="351" t="s">
        <v>418</v>
      </c>
      <c r="C84" s="330"/>
      <c r="D84" s="330"/>
      <c r="E84" s="330">
        <f>E83</f>
        <v>3.35</v>
      </c>
      <c r="F84" s="330"/>
      <c r="G84" s="330"/>
      <c r="H84" s="330">
        <f>H79</f>
        <v>8</v>
      </c>
      <c r="I84" s="330"/>
      <c r="J84" s="330">
        <f>J79</f>
        <v>0.25</v>
      </c>
      <c r="K84" s="330">
        <f>K79</f>
        <v>0.61650000000000005</v>
      </c>
      <c r="L84" s="330">
        <f>L79</f>
        <v>12</v>
      </c>
      <c r="M84" s="330">
        <f>(E84+J84)*H84*K84*L84</f>
        <v>213.06240000000003</v>
      </c>
      <c r="N84" s="748" t="s">
        <v>100</v>
      </c>
      <c r="O84" s="814">
        <f>ROUND((M84),2)</f>
        <v>213.06</v>
      </c>
      <c r="P84" s="398"/>
      <c r="Q84" s="398"/>
      <c r="R84" s="398"/>
      <c r="S84" s="398"/>
      <c r="T84" s="398"/>
      <c r="U84" s="738"/>
      <c r="V84" s="738"/>
      <c r="W84" s="738"/>
    </row>
    <row r="85" spans="1:23" ht="15.75" customHeight="1">
      <c r="A85" s="355" t="s">
        <v>101</v>
      </c>
      <c r="B85" s="351" t="s">
        <v>419</v>
      </c>
      <c r="C85" s="330">
        <f>C80</f>
        <v>0.68</v>
      </c>
      <c r="D85" s="330"/>
      <c r="E85" s="330"/>
      <c r="F85" s="330"/>
      <c r="G85" s="330"/>
      <c r="H85" s="330">
        <f>ROUNDUP((E84/0.15),0.5)</f>
        <v>23</v>
      </c>
      <c r="I85" s="330">
        <f>I80</f>
        <v>0.1</v>
      </c>
      <c r="J85" s="330"/>
      <c r="K85" s="330">
        <f>K80</f>
        <v>0.39456000000000002</v>
      </c>
      <c r="L85" s="330">
        <f>L80</f>
        <v>12</v>
      </c>
      <c r="M85" s="330">
        <f>(C85+I85)*H85*K85*L85</f>
        <v>84.940876800000012</v>
      </c>
      <c r="N85" s="748" t="s">
        <v>100</v>
      </c>
      <c r="O85" s="814">
        <f>ROUND((M85),2)</f>
        <v>84.94</v>
      </c>
      <c r="P85" s="398"/>
      <c r="Q85" s="398"/>
      <c r="R85" s="398"/>
      <c r="S85" s="398"/>
      <c r="T85" s="398"/>
      <c r="U85" s="738"/>
      <c r="V85" s="738"/>
      <c r="W85" s="738"/>
    </row>
    <row r="86" spans="1:23" ht="15.75" customHeight="1">
      <c r="A86" s="355" t="s">
        <v>121</v>
      </c>
      <c r="B86" s="356" t="s">
        <v>169</v>
      </c>
      <c r="C86" s="330">
        <f>C81</f>
        <v>0.25</v>
      </c>
      <c r="D86" s="330">
        <f>D81</f>
        <v>0.25</v>
      </c>
      <c r="E86" s="330">
        <f>E84</f>
        <v>3.35</v>
      </c>
      <c r="F86" s="330"/>
      <c r="G86" s="330"/>
      <c r="H86" s="330"/>
      <c r="I86" s="330"/>
      <c r="J86" s="330"/>
      <c r="K86" s="330"/>
      <c r="L86" s="330">
        <f>L81</f>
        <v>12</v>
      </c>
      <c r="M86" s="330">
        <f>C86*D86*E86*L86</f>
        <v>2.5125000000000002</v>
      </c>
      <c r="N86" s="748" t="s">
        <v>103</v>
      </c>
      <c r="O86" s="814">
        <f>ROUND((M86),2)</f>
        <v>2.5099999999999998</v>
      </c>
      <c r="P86" s="398"/>
      <c r="Q86" s="398"/>
      <c r="R86" s="398"/>
      <c r="S86" s="398"/>
      <c r="T86" s="398"/>
      <c r="U86" s="738"/>
      <c r="V86" s="738"/>
      <c r="W86" s="738"/>
    </row>
    <row r="87" spans="1:23" ht="15.75" customHeight="1">
      <c r="A87" s="418">
        <f>A82+1</f>
        <v>8</v>
      </c>
      <c r="B87" s="351" t="s">
        <v>552</v>
      </c>
      <c r="C87" s="330"/>
      <c r="D87" s="330"/>
      <c r="E87" s="330"/>
      <c r="F87" s="330"/>
      <c r="G87" s="330"/>
      <c r="H87" s="330"/>
      <c r="I87" s="330"/>
      <c r="J87" s="330"/>
      <c r="K87" s="330"/>
      <c r="L87" s="330"/>
      <c r="M87" s="330"/>
      <c r="N87" s="748"/>
      <c r="O87" s="814"/>
      <c r="P87" s="398"/>
      <c r="Q87" s="398"/>
      <c r="R87" s="398"/>
      <c r="S87" s="398"/>
      <c r="T87" s="398"/>
      <c r="U87" s="738"/>
      <c r="V87" s="738"/>
      <c r="W87" s="738"/>
    </row>
    <row r="88" spans="1:23" ht="15.75" customHeight="1">
      <c r="A88" s="419" t="s">
        <v>95</v>
      </c>
      <c r="B88" s="351" t="s">
        <v>645</v>
      </c>
      <c r="C88" s="330"/>
      <c r="D88" s="330">
        <f>D83</f>
        <v>0.25</v>
      </c>
      <c r="E88" s="330">
        <f>E83</f>
        <v>3.35</v>
      </c>
      <c r="F88" s="330"/>
      <c r="G88" s="330">
        <v>2</v>
      </c>
      <c r="H88" s="330"/>
      <c r="I88" s="330"/>
      <c r="J88" s="330"/>
      <c r="K88" s="330"/>
      <c r="L88" s="330">
        <v>2</v>
      </c>
      <c r="M88" s="330">
        <f>D88*E88*G88*L88</f>
        <v>3.35</v>
      </c>
      <c r="N88" s="748" t="s">
        <v>89</v>
      </c>
      <c r="O88" s="814">
        <f>ROUND((M88),2)</f>
        <v>3.35</v>
      </c>
      <c r="P88" s="398"/>
      <c r="Q88" s="398"/>
      <c r="R88" s="398"/>
      <c r="S88" s="398"/>
      <c r="T88" s="398"/>
      <c r="U88" s="738"/>
      <c r="V88" s="738"/>
      <c r="W88" s="738"/>
    </row>
    <row r="89" spans="1:23" ht="15.75" customHeight="1">
      <c r="A89" s="419" t="s">
        <v>98</v>
      </c>
      <c r="B89" s="351" t="s">
        <v>432</v>
      </c>
      <c r="C89" s="330"/>
      <c r="D89" s="330"/>
      <c r="E89" s="330">
        <f>E84</f>
        <v>3.35</v>
      </c>
      <c r="F89" s="330"/>
      <c r="G89" s="330"/>
      <c r="H89" s="330">
        <v>4</v>
      </c>
      <c r="I89" s="330"/>
      <c r="J89" s="330">
        <f>J84</f>
        <v>0.25</v>
      </c>
      <c r="K89" s="330">
        <f>K84</f>
        <v>0.61650000000000005</v>
      </c>
      <c r="L89" s="330">
        <f>L88</f>
        <v>2</v>
      </c>
      <c r="M89" s="330">
        <f>(E89+J89)*H89*K89*L89</f>
        <v>17.755200000000002</v>
      </c>
      <c r="N89" s="748" t="s">
        <v>100</v>
      </c>
      <c r="O89" s="814">
        <f>ROUND((M89),2)</f>
        <v>17.760000000000002</v>
      </c>
      <c r="P89" s="398"/>
      <c r="Q89" s="398"/>
      <c r="R89" s="398"/>
      <c r="S89" s="398"/>
      <c r="T89" s="398"/>
      <c r="U89" s="738"/>
      <c r="V89" s="738"/>
      <c r="W89" s="738"/>
    </row>
    <row r="90" spans="1:23" ht="15.75" customHeight="1">
      <c r="A90" s="419" t="s">
        <v>101</v>
      </c>
      <c r="B90" s="351" t="s">
        <v>411</v>
      </c>
      <c r="C90" s="330">
        <f>0.1*4</f>
        <v>0.4</v>
      </c>
      <c r="D90" s="330"/>
      <c r="E90" s="330"/>
      <c r="F90" s="330"/>
      <c r="G90" s="330"/>
      <c r="H90" s="330">
        <f>ROUNDUP((E89/0.125),0.5)</f>
        <v>27</v>
      </c>
      <c r="I90" s="330">
        <f>I85</f>
        <v>0.1</v>
      </c>
      <c r="J90" s="330"/>
      <c r="K90" s="330">
        <f>K85</f>
        <v>0.39456000000000002</v>
      </c>
      <c r="L90" s="330">
        <f>L89</f>
        <v>2</v>
      </c>
      <c r="M90" s="330">
        <f>(C90+I90)*H90*K90*L90</f>
        <v>10.653120000000001</v>
      </c>
      <c r="N90" s="748" t="s">
        <v>100</v>
      </c>
      <c r="O90" s="814">
        <f>ROUND((M90),2)</f>
        <v>10.65</v>
      </c>
      <c r="P90" s="398">
        <f>400/15</f>
        <v>26.666666666666668</v>
      </c>
      <c r="Q90" s="398"/>
      <c r="R90" s="398"/>
      <c r="S90" s="398"/>
      <c r="T90" s="398"/>
      <c r="U90" s="738"/>
      <c r="V90" s="738"/>
      <c r="W90" s="738"/>
    </row>
    <row r="91" spans="1:23" ht="15.75" customHeight="1">
      <c r="A91" s="419" t="s">
        <v>121</v>
      </c>
      <c r="B91" s="356" t="s">
        <v>169</v>
      </c>
      <c r="C91" s="330">
        <f>C86</f>
        <v>0.25</v>
      </c>
      <c r="D91" s="330">
        <f>D86</f>
        <v>0.25</v>
      </c>
      <c r="E91" s="330">
        <f>E86</f>
        <v>3.35</v>
      </c>
      <c r="F91" s="330"/>
      <c r="G91" s="330"/>
      <c r="H91" s="330"/>
      <c r="I91" s="330"/>
      <c r="J91" s="330"/>
      <c r="K91" s="330"/>
      <c r="L91" s="330">
        <f>L90</f>
        <v>2</v>
      </c>
      <c r="M91" s="330">
        <f>C91*D91*E91*L91</f>
        <v>0.41875000000000001</v>
      </c>
      <c r="N91" s="748" t="s">
        <v>103</v>
      </c>
      <c r="O91" s="814">
        <f>ROUND((M91),2)</f>
        <v>0.42</v>
      </c>
      <c r="P91" s="398"/>
      <c r="Q91" s="398"/>
      <c r="R91" s="398"/>
      <c r="S91" s="398"/>
      <c r="T91" s="398"/>
      <c r="U91" s="738"/>
      <c r="V91" s="738"/>
      <c r="W91" s="738"/>
    </row>
    <row r="92" spans="1:23" ht="15.75" customHeight="1">
      <c r="A92" s="418">
        <f>A87+1</f>
        <v>9</v>
      </c>
      <c r="B92" s="351" t="s">
        <v>422</v>
      </c>
      <c r="C92" s="330"/>
      <c r="D92" s="330"/>
      <c r="E92" s="330"/>
      <c r="F92" s="330"/>
      <c r="G92" s="330"/>
      <c r="H92" s="330"/>
      <c r="I92" s="330"/>
      <c r="J92" s="330"/>
      <c r="K92" s="330"/>
      <c r="L92" s="330"/>
      <c r="M92" s="330"/>
      <c r="N92" s="748"/>
      <c r="O92" s="814"/>
      <c r="P92" s="398"/>
      <c r="Q92" s="398"/>
      <c r="R92" s="398"/>
      <c r="S92" s="398"/>
      <c r="T92" s="398"/>
      <c r="U92" s="738"/>
      <c r="V92" s="738"/>
      <c r="W92" s="738"/>
    </row>
    <row r="93" spans="1:23" ht="15.75" customHeight="1">
      <c r="A93" s="419" t="s">
        <v>95</v>
      </c>
      <c r="B93" s="351" t="s">
        <v>926</v>
      </c>
      <c r="C93" s="330"/>
      <c r="D93" s="330"/>
      <c r="E93" s="330"/>
      <c r="F93" s="330"/>
      <c r="G93" s="330"/>
      <c r="H93" s="330"/>
      <c r="I93" s="330"/>
      <c r="J93" s="330"/>
      <c r="K93" s="330"/>
      <c r="L93" s="330"/>
      <c r="M93" s="415">
        <f>SUM(M94:M97)</f>
        <v>21.599999999999994</v>
      </c>
      <c r="N93" s="562" t="s">
        <v>89</v>
      </c>
      <c r="O93" s="814">
        <f>ROUND((M93),2)</f>
        <v>21.6</v>
      </c>
      <c r="P93" s="398"/>
      <c r="Q93" s="398"/>
      <c r="R93" s="398"/>
      <c r="S93" s="398"/>
      <c r="T93" s="398"/>
      <c r="U93" s="738"/>
      <c r="V93" s="738"/>
      <c r="W93" s="738"/>
    </row>
    <row r="94" spans="1:23" ht="15.75" customHeight="1">
      <c r="A94" s="419"/>
      <c r="B94" s="589" t="s">
        <v>1044</v>
      </c>
      <c r="C94" s="330">
        <f>C73</f>
        <v>6</v>
      </c>
      <c r="D94" s="330"/>
      <c r="E94" s="330">
        <v>0.35</v>
      </c>
      <c r="F94" s="330"/>
      <c r="G94" s="330"/>
      <c r="H94" s="330">
        <v>2</v>
      </c>
      <c r="I94" s="330"/>
      <c r="J94" s="330"/>
      <c r="K94" s="330"/>
      <c r="L94" s="330">
        <v>2</v>
      </c>
      <c r="M94" s="330">
        <f>C94*E94*H94*L94</f>
        <v>8.3999999999999986</v>
      </c>
      <c r="N94" s="748"/>
      <c r="O94" s="814"/>
      <c r="P94" s="398"/>
      <c r="Q94" s="398"/>
      <c r="R94" s="398"/>
      <c r="S94" s="398"/>
      <c r="T94" s="398"/>
      <c r="U94" s="738"/>
      <c r="V94" s="738"/>
      <c r="W94" s="738"/>
    </row>
    <row r="95" spans="1:23" ht="15.75" customHeight="1">
      <c r="A95" s="419"/>
      <c r="B95" s="589"/>
      <c r="C95" s="330">
        <f>C94</f>
        <v>6</v>
      </c>
      <c r="D95" s="330">
        <v>0.2</v>
      </c>
      <c r="E95" s="330"/>
      <c r="F95" s="330"/>
      <c r="G95" s="330"/>
      <c r="H95" s="330">
        <v>1</v>
      </c>
      <c r="I95" s="330"/>
      <c r="J95" s="330"/>
      <c r="K95" s="330"/>
      <c r="L95" s="330">
        <f>L94</f>
        <v>2</v>
      </c>
      <c r="M95" s="330">
        <f>C95*D95*H95*L95</f>
        <v>2.4000000000000004</v>
      </c>
      <c r="N95" s="748"/>
      <c r="O95" s="814"/>
      <c r="P95" s="398"/>
      <c r="Q95" s="398"/>
      <c r="R95" s="398"/>
      <c r="S95" s="398"/>
      <c r="T95" s="398"/>
      <c r="U95" s="738"/>
      <c r="V95" s="738"/>
      <c r="W95" s="738"/>
    </row>
    <row r="96" spans="1:23" ht="15.75" customHeight="1">
      <c r="A96" s="419"/>
      <c r="B96" s="589" t="s">
        <v>136</v>
      </c>
      <c r="C96" s="330">
        <f>C75</f>
        <v>6</v>
      </c>
      <c r="D96" s="330"/>
      <c r="E96" s="330">
        <f>E94</f>
        <v>0.35</v>
      </c>
      <c r="F96" s="330"/>
      <c r="G96" s="330"/>
      <c r="H96" s="330">
        <f>H94</f>
        <v>2</v>
      </c>
      <c r="I96" s="330"/>
      <c r="J96" s="330"/>
      <c r="K96" s="330"/>
      <c r="L96" s="330">
        <v>2</v>
      </c>
      <c r="M96" s="330">
        <f>C96*E96*H96*L96</f>
        <v>8.3999999999999986</v>
      </c>
      <c r="N96" s="748"/>
      <c r="O96" s="814"/>
      <c r="P96" s="398"/>
      <c r="Q96" s="398"/>
      <c r="R96" s="398"/>
      <c r="S96" s="398"/>
      <c r="T96" s="398"/>
      <c r="U96" s="738"/>
      <c r="V96" s="738"/>
      <c r="W96" s="738"/>
    </row>
    <row r="97" spans="1:23" ht="15.75" customHeight="1">
      <c r="A97" s="419"/>
      <c r="B97" s="589"/>
      <c r="C97" s="330">
        <f>C96</f>
        <v>6</v>
      </c>
      <c r="D97" s="330">
        <f>D95</f>
        <v>0.2</v>
      </c>
      <c r="E97" s="330"/>
      <c r="F97" s="330"/>
      <c r="G97" s="330"/>
      <c r="H97" s="330">
        <f>H95</f>
        <v>1</v>
      </c>
      <c r="I97" s="330"/>
      <c r="J97" s="330"/>
      <c r="K97" s="330"/>
      <c r="L97" s="330">
        <f>L96</f>
        <v>2</v>
      </c>
      <c r="M97" s="330">
        <f>C97*D97*H97*L97</f>
        <v>2.4000000000000004</v>
      </c>
      <c r="N97" s="748"/>
      <c r="O97" s="814"/>
      <c r="P97" s="398"/>
      <c r="Q97" s="398"/>
      <c r="R97" s="398"/>
      <c r="S97" s="398"/>
      <c r="T97" s="398"/>
      <c r="U97" s="738"/>
      <c r="V97" s="738"/>
      <c r="W97" s="738"/>
    </row>
    <row r="98" spans="1:23" ht="15.75" customHeight="1">
      <c r="A98" s="419" t="s">
        <v>98</v>
      </c>
      <c r="B98" s="351" t="s">
        <v>410</v>
      </c>
      <c r="C98" s="330"/>
      <c r="D98" s="330"/>
      <c r="E98" s="330"/>
      <c r="F98" s="330"/>
      <c r="G98" s="330"/>
      <c r="H98" s="330"/>
      <c r="I98" s="330"/>
      <c r="J98" s="330"/>
      <c r="K98" s="330"/>
      <c r="L98" s="330"/>
      <c r="M98" s="415">
        <f>SUM(M99:M100)</f>
        <v>73.98</v>
      </c>
      <c r="N98" s="562" t="s">
        <v>100</v>
      </c>
      <c r="O98" s="814">
        <f>ROUND((M98),2)</f>
        <v>73.98</v>
      </c>
      <c r="P98" s="398"/>
      <c r="Q98" s="398"/>
      <c r="R98" s="398"/>
      <c r="S98" s="398"/>
      <c r="T98" s="398"/>
      <c r="U98" s="738"/>
      <c r="V98" s="738"/>
      <c r="W98" s="738"/>
    </row>
    <row r="99" spans="1:23" ht="15.75" customHeight="1">
      <c r="A99" s="419"/>
      <c r="B99" s="589" t="str">
        <f>B94</f>
        <v>Horisontal</v>
      </c>
      <c r="C99" s="330">
        <f>C94</f>
        <v>6</v>
      </c>
      <c r="D99" s="330"/>
      <c r="E99" s="330"/>
      <c r="F99" s="330"/>
      <c r="G99" s="330"/>
      <c r="H99" s="330">
        <v>5</v>
      </c>
      <c r="I99" s="330"/>
      <c r="J99" s="330"/>
      <c r="K99" s="330">
        <f>10*10*0.006165</f>
        <v>0.61650000000000005</v>
      </c>
      <c r="L99" s="330">
        <f>L94</f>
        <v>2</v>
      </c>
      <c r="M99" s="330">
        <f>C99*H99*K99*L99</f>
        <v>36.99</v>
      </c>
      <c r="N99" s="748"/>
      <c r="O99" s="814"/>
      <c r="P99" s="398"/>
      <c r="Q99" s="398"/>
      <c r="R99" s="398"/>
      <c r="S99" s="398"/>
      <c r="T99" s="398"/>
      <c r="U99" s="738"/>
      <c r="V99" s="738"/>
      <c r="W99" s="738"/>
    </row>
    <row r="100" spans="1:23" ht="15.75" customHeight="1">
      <c r="A100" s="419"/>
      <c r="B100" s="589" t="str">
        <f>B96</f>
        <v>Vertikal</v>
      </c>
      <c r="C100" s="330">
        <f>C96</f>
        <v>6</v>
      </c>
      <c r="D100" s="330"/>
      <c r="E100" s="330"/>
      <c r="F100" s="330"/>
      <c r="G100" s="330"/>
      <c r="H100" s="330">
        <f>H99</f>
        <v>5</v>
      </c>
      <c r="I100" s="330"/>
      <c r="J100" s="330"/>
      <c r="K100" s="330">
        <f>K99</f>
        <v>0.61650000000000005</v>
      </c>
      <c r="L100" s="330">
        <f>L96</f>
        <v>2</v>
      </c>
      <c r="M100" s="330">
        <f>C100*H100*K100*L100</f>
        <v>36.99</v>
      </c>
      <c r="N100" s="748"/>
      <c r="O100" s="814"/>
      <c r="P100" s="398"/>
      <c r="Q100" s="398"/>
      <c r="R100" s="398"/>
      <c r="S100" s="398"/>
      <c r="T100" s="398"/>
      <c r="U100" s="738"/>
      <c r="V100" s="738"/>
      <c r="W100" s="738"/>
    </row>
    <row r="101" spans="1:23" ht="15.75" customHeight="1">
      <c r="A101" s="419" t="s">
        <v>101</v>
      </c>
      <c r="B101" s="351" t="s">
        <v>411</v>
      </c>
      <c r="C101" s="330"/>
      <c r="D101" s="330"/>
      <c r="E101" s="330"/>
      <c r="F101" s="330"/>
      <c r="G101" s="330"/>
      <c r="H101" s="330"/>
      <c r="I101" s="330"/>
      <c r="J101" s="330"/>
      <c r="K101" s="330"/>
      <c r="L101" s="330"/>
      <c r="M101" s="415">
        <f>SUM(M102:M103)</f>
        <v>66.664857600000005</v>
      </c>
      <c r="N101" s="562" t="s">
        <v>100</v>
      </c>
      <c r="O101" s="814">
        <f>ROUND((M101),2)</f>
        <v>66.66</v>
      </c>
      <c r="P101" s="398">
        <f>900/15</f>
        <v>60</v>
      </c>
      <c r="Q101" s="398"/>
      <c r="R101" s="398"/>
      <c r="S101" s="398"/>
      <c r="T101" s="398"/>
      <c r="U101" s="738"/>
      <c r="V101" s="738"/>
      <c r="W101" s="738"/>
    </row>
    <row r="102" spans="1:23" ht="15.75" customHeight="1">
      <c r="A102" s="419"/>
      <c r="B102" s="589" t="str">
        <f>B99</f>
        <v>Horisontal</v>
      </c>
      <c r="C102" s="330">
        <f>(0.12+0.27)*2</f>
        <v>0.78</v>
      </c>
      <c r="D102" s="330"/>
      <c r="E102" s="330"/>
      <c r="F102" s="330">
        <f>0.05*2</f>
        <v>0.1</v>
      </c>
      <c r="G102" s="330"/>
      <c r="H102" s="330">
        <f>ROUNDUP((C99/0.125),0.5)</f>
        <v>48</v>
      </c>
      <c r="I102" s="330"/>
      <c r="J102" s="330"/>
      <c r="K102" s="330">
        <f>8*8*0.006165</f>
        <v>0.39456000000000002</v>
      </c>
      <c r="L102" s="330">
        <f>L99</f>
        <v>2</v>
      </c>
      <c r="M102" s="330">
        <f>(C102+F102)*H102*K102*L102</f>
        <v>33.332428800000002</v>
      </c>
      <c r="N102" s="748"/>
      <c r="O102" s="814"/>
      <c r="P102" s="398"/>
      <c r="Q102" s="398"/>
      <c r="R102" s="398"/>
      <c r="S102" s="398"/>
      <c r="T102" s="398"/>
      <c r="U102" s="738"/>
      <c r="V102" s="738"/>
      <c r="W102" s="738"/>
    </row>
    <row r="103" spans="1:23" ht="15.75" customHeight="1">
      <c r="A103" s="419"/>
      <c r="B103" s="589" t="str">
        <f>B100</f>
        <v>Vertikal</v>
      </c>
      <c r="C103" s="330">
        <f>C102</f>
        <v>0.78</v>
      </c>
      <c r="D103" s="330"/>
      <c r="E103" s="330"/>
      <c r="F103" s="330">
        <f>F102</f>
        <v>0.1</v>
      </c>
      <c r="G103" s="330"/>
      <c r="H103" s="330">
        <f>ROUNDUP((C100/0.125),0.5)</f>
        <v>48</v>
      </c>
      <c r="I103" s="330"/>
      <c r="J103" s="330"/>
      <c r="K103" s="330">
        <f>K102</f>
        <v>0.39456000000000002</v>
      </c>
      <c r="L103" s="330">
        <f>L100</f>
        <v>2</v>
      </c>
      <c r="M103" s="330">
        <f>(C103+F103)*H103*K103*L103</f>
        <v>33.332428800000002</v>
      </c>
      <c r="N103" s="748"/>
      <c r="O103" s="814"/>
      <c r="P103" s="398"/>
      <c r="Q103" s="398"/>
      <c r="R103" s="398"/>
      <c r="S103" s="398"/>
      <c r="T103" s="398"/>
      <c r="U103" s="738"/>
      <c r="V103" s="738"/>
      <c r="W103" s="738"/>
    </row>
    <row r="104" spans="1:23" ht="15.75" customHeight="1">
      <c r="A104" s="419" t="s">
        <v>121</v>
      </c>
      <c r="B104" s="356" t="s">
        <v>169</v>
      </c>
      <c r="C104" s="330"/>
      <c r="D104" s="330"/>
      <c r="E104" s="330"/>
      <c r="F104" s="330"/>
      <c r="G104" s="330"/>
      <c r="H104" s="330"/>
      <c r="I104" s="330"/>
      <c r="J104" s="330"/>
      <c r="K104" s="330"/>
      <c r="L104" s="330"/>
      <c r="M104" s="415">
        <f>SUM(M105:M106)</f>
        <v>1.6800000000000002</v>
      </c>
      <c r="N104" s="562" t="s">
        <v>103</v>
      </c>
      <c r="O104" s="814">
        <f>ROUND((M104),2)</f>
        <v>1.68</v>
      </c>
      <c r="P104" s="398"/>
      <c r="Q104" s="398"/>
      <c r="R104" s="398"/>
      <c r="S104" s="398"/>
      <c r="T104" s="398"/>
      <c r="U104" s="738"/>
      <c r="V104" s="738"/>
      <c r="W104" s="738"/>
    </row>
    <row r="105" spans="1:23" ht="15.75" customHeight="1">
      <c r="A105" s="419"/>
      <c r="B105" s="589" t="str">
        <f>B102</f>
        <v>Horisontal</v>
      </c>
      <c r="C105" s="330">
        <f>C99</f>
        <v>6</v>
      </c>
      <c r="D105" s="330">
        <v>0.2</v>
      </c>
      <c r="E105" s="330">
        <v>0.35</v>
      </c>
      <c r="F105" s="330"/>
      <c r="G105" s="330"/>
      <c r="H105" s="330"/>
      <c r="I105" s="330"/>
      <c r="J105" s="330"/>
      <c r="K105" s="330"/>
      <c r="L105" s="330">
        <f>L102</f>
        <v>2</v>
      </c>
      <c r="M105" s="330">
        <f>C105*D105*E105*L105</f>
        <v>0.84000000000000008</v>
      </c>
      <c r="N105" s="748"/>
      <c r="O105" s="814"/>
      <c r="P105" s="398"/>
      <c r="Q105" s="398"/>
      <c r="R105" s="398"/>
      <c r="S105" s="398"/>
      <c r="T105" s="398"/>
      <c r="U105" s="738"/>
      <c r="V105" s="738"/>
      <c r="W105" s="738"/>
    </row>
    <row r="106" spans="1:23" ht="15.75" customHeight="1">
      <c r="A106" s="419"/>
      <c r="B106" s="589" t="str">
        <f>B103</f>
        <v>Vertikal</v>
      </c>
      <c r="C106" s="330">
        <f>C100</f>
        <v>6</v>
      </c>
      <c r="D106" s="330">
        <f>D105</f>
        <v>0.2</v>
      </c>
      <c r="E106" s="330">
        <f>E105</f>
        <v>0.35</v>
      </c>
      <c r="F106" s="330"/>
      <c r="G106" s="330"/>
      <c r="H106" s="330"/>
      <c r="I106" s="330"/>
      <c r="J106" s="330"/>
      <c r="K106" s="330"/>
      <c r="L106" s="330">
        <f>L103</f>
        <v>2</v>
      </c>
      <c r="M106" s="330">
        <f>C106*D106*E106*L106</f>
        <v>0.84000000000000008</v>
      </c>
      <c r="N106" s="748"/>
      <c r="O106" s="814"/>
      <c r="P106" s="398"/>
      <c r="Q106" s="398"/>
      <c r="R106" s="398"/>
      <c r="S106" s="398"/>
      <c r="T106" s="398"/>
      <c r="U106" s="738"/>
      <c r="V106" s="738"/>
      <c r="W106" s="738"/>
    </row>
    <row r="107" spans="1:23" s="787" customFormat="1" ht="15.75" hidden="1" customHeight="1">
      <c r="A107" s="584">
        <f>A92+1</f>
        <v>10</v>
      </c>
      <c r="B107" s="572" t="s">
        <v>1224</v>
      </c>
      <c r="C107" s="754"/>
      <c r="D107" s="754"/>
      <c r="E107" s="754"/>
      <c r="F107" s="754"/>
      <c r="G107" s="754"/>
      <c r="H107" s="754"/>
      <c r="I107" s="754"/>
      <c r="J107" s="754"/>
      <c r="K107" s="754"/>
      <c r="L107" s="754"/>
      <c r="M107" s="754"/>
      <c r="N107" s="756"/>
      <c r="O107" s="817"/>
      <c r="P107" s="577"/>
      <c r="Q107" s="577"/>
      <c r="R107" s="577"/>
      <c r="S107" s="577"/>
      <c r="T107" s="577"/>
      <c r="U107" s="786"/>
      <c r="V107" s="786"/>
      <c r="W107" s="786"/>
    </row>
    <row r="108" spans="1:23" s="787" customFormat="1" ht="15.75" hidden="1" customHeight="1">
      <c r="A108" s="571" t="s">
        <v>95</v>
      </c>
      <c r="B108" s="572" t="s">
        <v>926</v>
      </c>
      <c r="C108" s="754">
        <v>3</v>
      </c>
      <c r="D108" s="754"/>
      <c r="E108" s="754">
        <v>0.15</v>
      </c>
      <c r="F108" s="754"/>
      <c r="G108" s="754">
        <v>2</v>
      </c>
      <c r="H108" s="754"/>
      <c r="I108" s="754"/>
      <c r="J108" s="754"/>
      <c r="K108" s="754"/>
      <c r="L108" s="754"/>
      <c r="M108" s="754">
        <f>C108*E108*G108</f>
        <v>0.89999999999999991</v>
      </c>
      <c r="N108" s="758" t="s">
        <v>89</v>
      </c>
      <c r="O108" s="817">
        <f>ROUND((M108),2)</f>
        <v>0.9</v>
      </c>
      <c r="P108" s="577"/>
      <c r="Q108" s="577"/>
      <c r="R108" s="577"/>
      <c r="S108" s="577"/>
      <c r="T108" s="577"/>
      <c r="U108" s="786"/>
      <c r="V108" s="786"/>
      <c r="W108" s="786"/>
    </row>
    <row r="109" spans="1:23" s="787" customFormat="1" ht="15.75" hidden="1" customHeight="1">
      <c r="A109" s="571"/>
      <c r="B109" s="572"/>
      <c r="C109" s="754"/>
      <c r="D109" s="754"/>
      <c r="E109" s="754"/>
      <c r="F109" s="754"/>
      <c r="G109" s="754"/>
      <c r="H109" s="754"/>
      <c r="I109" s="754"/>
      <c r="J109" s="754"/>
      <c r="K109" s="754"/>
      <c r="L109" s="754"/>
      <c r="M109" s="754"/>
      <c r="N109" s="758"/>
      <c r="O109" s="817"/>
      <c r="P109" s="577"/>
      <c r="Q109" s="577"/>
      <c r="R109" s="577"/>
      <c r="S109" s="577"/>
      <c r="T109" s="577"/>
      <c r="U109" s="786"/>
      <c r="V109" s="786"/>
      <c r="W109" s="786"/>
    </row>
    <row r="110" spans="1:23" s="787" customFormat="1" ht="15.75" hidden="1" customHeight="1">
      <c r="A110" s="571"/>
      <c r="B110" s="572"/>
      <c r="C110" s="754"/>
      <c r="D110" s="754"/>
      <c r="E110" s="754"/>
      <c r="F110" s="754"/>
      <c r="G110" s="754"/>
      <c r="H110" s="754"/>
      <c r="I110" s="754"/>
      <c r="J110" s="754"/>
      <c r="K110" s="754"/>
      <c r="L110" s="754"/>
      <c r="M110" s="754"/>
      <c r="N110" s="758"/>
      <c r="O110" s="817"/>
      <c r="P110" s="577"/>
      <c r="Q110" s="577"/>
      <c r="R110" s="577"/>
      <c r="S110" s="577"/>
      <c r="T110" s="577"/>
      <c r="U110" s="786"/>
      <c r="V110" s="786"/>
      <c r="W110" s="786"/>
    </row>
    <row r="111" spans="1:23" s="787" customFormat="1" ht="15.75" hidden="1" customHeight="1">
      <c r="A111" s="571" t="s">
        <v>98</v>
      </c>
      <c r="B111" s="572" t="s">
        <v>928</v>
      </c>
      <c r="C111" s="754">
        <v>3</v>
      </c>
      <c r="D111" s="754"/>
      <c r="E111" s="754"/>
      <c r="F111" s="754"/>
      <c r="G111" s="754"/>
      <c r="H111" s="754">
        <v>4</v>
      </c>
      <c r="I111" s="754"/>
      <c r="J111" s="754"/>
      <c r="K111" s="754">
        <f>13*13*0.006165</f>
        <v>1.041885</v>
      </c>
      <c r="L111" s="754"/>
      <c r="M111" s="754">
        <f>C111*H111*K111</f>
        <v>12.50262</v>
      </c>
      <c r="N111" s="758" t="s">
        <v>100</v>
      </c>
      <c r="O111" s="817">
        <f>ROUND((M111),2)</f>
        <v>12.5</v>
      </c>
      <c r="P111" s="577"/>
      <c r="Q111" s="577"/>
      <c r="R111" s="577"/>
      <c r="S111" s="577"/>
      <c r="T111" s="577"/>
      <c r="U111" s="786"/>
      <c r="V111" s="786"/>
      <c r="W111" s="786"/>
    </row>
    <row r="112" spans="1:23" s="787" customFormat="1" ht="15.75" hidden="1" customHeight="1">
      <c r="A112" s="571" t="s">
        <v>101</v>
      </c>
      <c r="B112" s="572" t="s">
        <v>428</v>
      </c>
      <c r="C112" s="754">
        <f>0.07*4</f>
        <v>0.28000000000000003</v>
      </c>
      <c r="D112" s="754"/>
      <c r="E112" s="754"/>
      <c r="F112" s="754">
        <f>0.05*2</f>
        <v>0.1</v>
      </c>
      <c r="G112" s="754"/>
      <c r="H112" s="754">
        <f>ROUNDUP((C111/0.125),0.5)</f>
        <v>24</v>
      </c>
      <c r="I112" s="754"/>
      <c r="J112" s="754"/>
      <c r="K112" s="754">
        <f>8*8*0.006165</f>
        <v>0.39456000000000002</v>
      </c>
      <c r="L112" s="754"/>
      <c r="M112" s="754">
        <f>(C112+F112)*H112*K112</f>
        <v>3.5983872000000008</v>
      </c>
      <c r="N112" s="758" t="s">
        <v>100</v>
      </c>
      <c r="O112" s="817">
        <f>ROUND((M112),2)</f>
        <v>3.6</v>
      </c>
      <c r="P112" s="577"/>
      <c r="Q112" s="577"/>
      <c r="R112" s="577"/>
      <c r="S112" s="577"/>
      <c r="T112" s="577"/>
      <c r="U112" s="786"/>
      <c r="V112" s="786"/>
      <c r="W112" s="786"/>
    </row>
    <row r="113" spans="1:23" s="787" customFormat="1" ht="15.75" hidden="1" customHeight="1">
      <c r="A113" s="571" t="s">
        <v>121</v>
      </c>
      <c r="B113" s="585" t="s">
        <v>169</v>
      </c>
      <c r="C113" s="754">
        <v>3</v>
      </c>
      <c r="D113" s="754">
        <v>0.15</v>
      </c>
      <c r="E113" s="754">
        <v>0.15</v>
      </c>
      <c r="F113" s="754"/>
      <c r="G113" s="754"/>
      <c r="H113" s="754"/>
      <c r="I113" s="754"/>
      <c r="J113" s="754"/>
      <c r="K113" s="754"/>
      <c r="L113" s="754"/>
      <c r="M113" s="754">
        <f>C113*D113*E113</f>
        <v>6.7499999999999991E-2</v>
      </c>
      <c r="N113" s="758" t="s">
        <v>103</v>
      </c>
      <c r="O113" s="817">
        <f>ROUND((M113),2)</f>
        <v>7.0000000000000007E-2</v>
      </c>
      <c r="P113" s="577"/>
      <c r="Q113" s="577"/>
      <c r="R113" s="577"/>
      <c r="S113" s="577"/>
      <c r="T113" s="577"/>
      <c r="U113" s="786"/>
      <c r="V113" s="786"/>
      <c r="W113" s="786"/>
    </row>
    <row r="114" spans="1:23" s="787" customFormat="1" ht="15.75" hidden="1" customHeight="1">
      <c r="A114" s="584">
        <f>A107+1</f>
        <v>11</v>
      </c>
      <c r="B114" s="572" t="s">
        <v>1225</v>
      </c>
      <c r="C114" s="754"/>
      <c r="D114" s="754"/>
      <c r="E114" s="754"/>
      <c r="F114" s="754"/>
      <c r="G114" s="754"/>
      <c r="H114" s="754"/>
      <c r="I114" s="754"/>
      <c r="J114" s="754"/>
      <c r="K114" s="754"/>
      <c r="L114" s="754"/>
      <c r="M114" s="754"/>
      <c r="N114" s="756"/>
      <c r="O114" s="817"/>
      <c r="P114" s="577"/>
      <c r="Q114" s="577"/>
      <c r="R114" s="577"/>
      <c r="S114" s="577"/>
      <c r="T114" s="577"/>
      <c r="U114" s="786"/>
      <c r="V114" s="786"/>
      <c r="W114" s="786"/>
    </row>
    <row r="115" spans="1:23" s="787" customFormat="1" ht="15.75" hidden="1" customHeight="1">
      <c r="A115" s="571" t="s">
        <v>95</v>
      </c>
      <c r="B115" s="572" t="s">
        <v>1226</v>
      </c>
      <c r="C115" s="754">
        <v>3</v>
      </c>
      <c r="D115" s="754"/>
      <c r="E115" s="754">
        <v>0.4</v>
      </c>
      <c r="F115" s="754"/>
      <c r="G115" s="754">
        <v>2</v>
      </c>
      <c r="H115" s="754"/>
      <c r="I115" s="754"/>
      <c r="J115" s="754"/>
      <c r="K115" s="754"/>
      <c r="L115" s="754"/>
      <c r="M115" s="754">
        <f>C115*E115*G115+M116</f>
        <v>2.7600000000000002</v>
      </c>
      <c r="N115" s="758" t="s">
        <v>89</v>
      </c>
      <c r="O115" s="817">
        <f>ROUND((M115),2)</f>
        <v>2.76</v>
      </c>
      <c r="P115" s="577"/>
      <c r="Q115" s="577"/>
      <c r="R115" s="577"/>
      <c r="S115" s="577"/>
      <c r="T115" s="577"/>
      <c r="U115" s="786"/>
      <c r="V115" s="786"/>
      <c r="W115" s="786"/>
    </row>
    <row r="116" spans="1:23" s="787" customFormat="1" ht="15.75" hidden="1" customHeight="1">
      <c r="A116" s="571"/>
      <c r="B116" s="572"/>
      <c r="C116" s="754">
        <v>3</v>
      </c>
      <c r="D116" s="754">
        <v>0.12</v>
      </c>
      <c r="E116" s="754"/>
      <c r="F116" s="754"/>
      <c r="G116" s="754">
        <v>1</v>
      </c>
      <c r="H116" s="754"/>
      <c r="I116" s="754"/>
      <c r="J116" s="754"/>
      <c r="K116" s="754"/>
      <c r="L116" s="754"/>
      <c r="M116" s="754">
        <f>C116*D116*G116</f>
        <v>0.36</v>
      </c>
      <c r="N116" s="758"/>
      <c r="O116" s="817"/>
      <c r="P116" s="577"/>
      <c r="Q116" s="577"/>
      <c r="R116" s="577"/>
      <c r="S116" s="577"/>
      <c r="T116" s="577"/>
      <c r="U116" s="786"/>
      <c r="V116" s="786"/>
      <c r="W116" s="786"/>
    </row>
    <row r="117" spans="1:23" s="787" customFormat="1" ht="15.75" hidden="1" customHeight="1">
      <c r="A117" s="571" t="s">
        <v>98</v>
      </c>
      <c r="B117" s="572" t="s">
        <v>905</v>
      </c>
      <c r="C117" s="754"/>
      <c r="D117" s="754"/>
      <c r="E117" s="754"/>
      <c r="F117" s="754"/>
      <c r="G117" s="754"/>
      <c r="H117" s="754"/>
      <c r="I117" s="754"/>
      <c r="J117" s="754"/>
      <c r="K117" s="754"/>
      <c r="L117" s="754"/>
      <c r="M117" s="754">
        <f>SUM(M118:M119)</f>
        <v>6.9837120000000006</v>
      </c>
      <c r="N117" s="758" t="s">
        <v>100</v>
      </c>
      <c r="O117" s="817">
        <f>ROUND((M117),2)</f>
        <v>6.98</v>
      </c>
      <c r="P117" s="577"/>
      <c r="Q117" s="577"/>
      <c r="R117" s="577"/>
      <c r="S117" s="577"/>
      <c r="T117" s="577"/>
      <c r="U117" s="786"/>
      <c r="V117" s="786"/>
      <c r="W117" s="786"/>
    </row>
    <row r="118" spans="1:23" s="787" customFormat="1" ht="15.75" hidden="1" customHeight="1">
      <c r="A118" s="571"/>
      <c r="B118" s="821" t="s">
        <v>227</v>
      </c>
      <c r="C118" s="754">
        <v>0.4</v>
      </c>
      <c r="D118" s="754"/>
      <c r="E118" s="754"/>
      <c r="F118" s="754">
        <v>0.05</v>
      </c>
      <c r="G118" s="754"/>
      <c r="H118" s="754">
        <f>ROUNDUP((C115/0.15),0.5)</f>
        <v>20</v>
      </c>
      <c r="I118" s="754"/>
      <c r="J118" s="754"/>
      <c r="K118" s="754">
        <f>8*8*0.006165</f>
        <v>0.39456000000000002</v>
      </c>
      <c r="L118" s="754"/>
      <c r="M118" s="754">
        <f>(C118+F118+I118)*H118*K118</f>
        <v>3.5510400000000004</v>
      </c>
      <c r="N118" s="756"/>
      <c r="O118" s="817"/>
      <c r="P118" s="577"/>
      <c r="Q118" s="577"/>
      <c r="R118" s="577"/>
      <c r="S118" s="577"/>
      <c r="T118" s="577"/>
      <c r="U118" s="786"/>
      <c r="V118" s="786"/>
      <c r="W118" s="786"/>
    </row>
    <row r="119" spans="1:23" s="787" customFormat="1" ht="15.75" hidden="1" customHeight="1">
      <c r="A119" s="571"/>
      <c r="B119" s="821" t="s">
        <v>226</v>
      </c>
      <c r="C119" s="754">
        <v>2.9</v>
      </c>
      <c r="D119" s="754"/>
      <c r="E119" s="754"/>
      <c r="F119" s="754"/>
      <c r="G119" s="754"/>
      <c r="H119" s="754">
        <f>ROUNDUP((C118/0.15),0.5)</f>
        <v>3</v>
      </c>
      <c r="I119" s="754"/>
      <c r="J119" s="754"/>
      <c r="K119" s="754">
        <f>K118</f>
        <v>0.39456000000000002</v>
      </c>
      <c r="L119" s="754"/>
      <c r="M119" s="754">
        <f>C119*H119*K119</f>
        <v>3.4326719999999997</v>
      </c>
      <c r="N119" s="756"/>
      <c r="O119" s="817"/>
      <c r="P119" s="577"/>
      <c r="Q119" s="577"/>
      <c r="R119" s="577"/>
      <c r="S119" s="577"/>
      <c r="T119" s="577"/>
      <c r="U119" s="786"/>
      <c r="V119" s="786"/>
      <c r="W119" s="786"/>
    </row>
    <row r="120" spans="1:23" s="787" customFormat="1" ht="15.75" hidden="1" customHeight="1">
      <c r="A120" s="571" t="s">
        <v>101</v>
      </c>
      <c r="B120" s="585" t="s">
        <v>169</v>
      </c>
      <c r="C120" s="754">
        <f>C115</f>
        <v>3</v>
      </c>
      <c r="D120" s="754">
        <v>0.1</v>
      </c>
      <c r="E120" s="754">
        <f>E115</f>
        <v>0.4</v>
      </c>
      <c r="F120" s="754"/>
      <c r="G120" s="754"/>
      <c r="H120" s="754"/>
      <c r="I120" s="754"/>
      <c r="J120" s="754"/>
      <c r="K120" s="754"/>
      <c r="L120" s="754"/>
      <c r="M120" s="754">
        <f>C120*D120*E120</f>
        <v>0.12000000000000002</v>
      </c>
      <c r="N120" s="758" t="s">
        <v>103</v>
      </c>
      <c r="O120" s="817">
        <f>ROUND((M120),2)</f>
        <v>0.12</v>
      </c>
      <c r="P120" s="577"/>
      <c r="Q120" s="577"/>
      <c r="R120" s="577"/>
      <c r="S120" s="577"/>
      <c r="T120" s="577"/>
      <c r="U120" s="786"/>
      <c r="V120" s="786"/>
      <c r="W120" s="786"/>
    </row>
    <row r="121" spans="1:23" s="787" customFormat="1" ht="15.75" hidden="1" customHeight="1">
      <c r="A121" s="584">
        <f>A114+1</f>
        <v>12</v>
      </c>
      <c r="B121" s="572" t="s">
        <v>1227</v>
      </c>
      <c r="C121" s="754"/>
      <c r="D121" s="754"/>
      <c r="E121" s="754"/>
      <c r="F121" s="754"/>
      <c r="G121" s="754"/>
      <c r="H121" s="754"/>
      <c r="I121" s="754"/>
      <c r="J121" s="754"/>
      <c r="K121" s="754"/>
      <c r="L121" s="754"/>
      <c r="M121" s="816"/>
      <c r="N121" s="756"/>
      <c r="O121" s="817"/>
      <c r="P121" s="577"/>
      <c r="Q121" s="577"/>
      <c r="R121" s="577"/>
      <c r="S121" s="577"/>
      <c r="T121" s="577"/>
      <c r="U121" s="786"/>
      <c r="V121" s="786"/>
      <c r="W121" s="786"/>
    </row>
    <row r="122" spans="1:23" s="787" customFormat="1" ht="15.75" hidden="1" customHeight="1">
      <c r="A122" s="571" t="s">
        <v>95</v>
      </c>
      <c r="B122" s="572" t="s">
        <v>148</v>
      </c>
      <c r="C122" s="754"/>
      <c r="D122" s="754"/>
      <c r="E122" s="754"/>
      <c r="F122" s="754"/>
      <c r="G122" s="754"/>
      <c r="H122" s="754"/>
      <c r="I122" s="754"/>
      <c r="J122" s="754"/>
      <c r="K122" s="754"/>
      <c r="L122" s="754"/>
      <c r="M122" s="816"/>
      <c r="N122" s="756"/>
      <c r="O122" s="817"/>
      <c r="P122" s="577"/>
      <c r="Q122" s="577"/>
      <c r="R122" s="577"/>
      <c r="S122" s="577"/>
      <c r="T122" s="577"/>
      <c r="U122" s="786"/>
      <c r="V122" s="786"/>
      <c r="W122" s="786"/>
    </row>
    <row r="123" spans="1:23" s="787" customFormat="1" ht="15.75" hidden="1" customHeight="1">
      <c r="A123" s="571"/>
      <c r="B123" s="775" t="s">
        <v>1135</v>
      </c>
      <c r="C123" s="754">
        <v>3</v>
      </c>
      <c r="D123" s="754">
        <v>1.5</v>
      </c>
      <c r="E123" s="754"/>
      <c r="F123" s="754"/>
      <c r="G123" s="754"/>
      <c r="H123" s="754"/>
      <c r="I123" s="754"/>
      <c r="J123" s="754"/>
      <c r="K123" s="754"/>
      <c r="L123" s="754"/>
      <c r="M123" s="754">
        <f>C123*D123</f>
        <v>4.5</v>
      </c>
      <c r="N123" s="756"/>
      <c r="O123" s="817"/>
      <c r="P123" s="577"/>
      <c r="Q123" s="577"/>
      <c r="R123" s="577"/>
      <c r="S123" s="577"/>
      <c r="T123" s="577"/>
      <c r="U123" s="786"/>
      <c r="V123" s="786"/>
      <c r="W123" s="786"/>
    </row>
    <row r="124" spans="1:23" s="787" customFormat="1" ht="15.75" hidden="1" customHeight="1">
      <c r="A124" s="571"/>
      <c r="B124" s="572"/>
      <c r="C124" s="754"/>
      <c r="D124" s="754"/>
      <c r="E124" s="754"/>
      <c r="F124" s="754"/>
      <c r="G124" s="754"/>
      <c r="H124" s="754"/>
      <c r="I124" s="754"/>
      <c r="J124" s="754"/>
      <c r="K124" s="754"/>
      <c r="L124" s="754"/>
      <c r="M124" s="755">
        <f>SUM(M123:M123)</f>
        <v>4.5</v>
      </c>
      <c r="N124" s="756" t="s">
        <v>89</v>
      </c>
      <c r="O124" s="817">
        <f>ROUND((M124),2)</f>
        <v>4.5</v>
      </c>
      <c r="P124" s="577"/>
      <c r="Q124" s="577"/>
      <c r="R124" s="577"/>
      <c r="S124" s="577"/>
      <c r="T124" s="577"/>
      <c r="U124" s="786"/>
      <c r="V124" s="786"/>
      <c r="W124" s="786"/>
    </row>
    <row r="125" spans="1:23" s="787" customFormat="1" ht="15.75" hidden="1" customHeight="1">
      <c r="A125" s="571" t="s">
        <v>98</v>
      </c>
      <c r="B125" s="572" t="s">
        <v>1228</v>
      </c>
      <c r="C125" s="754"/>
      <c r="D125" s="754"/>
      <c r="E125" s="822"/>
      <c r="F125" s="822"/>
      <c r="G125" s="822"/>
      <c r="H125" s="754"/>
      <c r="I125" s="754"/>
      <c r="J125" s="754"/>
      <c r="K125" s="754"/>
      <c r="L125" s="754"/>
      <c r="M125" s="816"/>
      <c r="N125" s="756"/>
      <c r="O125" s="817"/>
      <c r="P125" s="577"/>
      <c r="Q125" s="577"/>
      <c r="R125" s="577"/>
      <c r="S125" s="577"/>
      <c r="T125" s="577"/>
      <c r="U125" s="786"/>
      <c r="V125" s="786"/>
      <c r="W125" s="786"/>
    </row>
    <row r="126" spans="1:23" s="787" customFormat="1" ht="15.75" hidden="1" customHeight="1">
      <c r="A126" s="571"/>
      <c r="B126" s="775" t="s">
        <v>1044</v>
      </c>
      <c r="C126" s="754">
        <f>C123-0.1</f>
        <v>2.9</v>
      </c>
      <c r="D126" s="754"/>
      <c r="E126" s="754"/>
      <c r="F126" s="754"/>
      <c r="G126" s="754"/>
      <c r="H126" s="754">
        <f>ROUNDUP((C127/0.15),0.5)</f>
        <v>10</v>
      </c>
      <c r="I126" s="754"/>
      <c r="J126" s="754"/>
      <c r="K126" s="754">
        <f>8*8*0.006165</f>
        <v>0.39456000000000002</v>
      </c>
      <c r="L126" s="754"/>
      <c r="M126" s="754">
        <f>C126*H126*K126</f>
        <v>11.44224</v>
      </c>
      <c r="N126" s="756"/>
      <c r="O126" s="817"/>
      <c r="P126" s="577"/>
      <c r="Q126" s="577"/>
      <c r="R126" s="577"/>
      <c r="S126" s="577"/>
      <c r="T126" s="577"/>
      <c r="U126" s="786"/>
      <c r="V126" s="786"/>
      <c r="W126" s="786"/>
    </row>
    <row r="127" spans="1:23" s="787" customFormat="1" ht="15.75" hidden="1" customHeight="1">
      <c r="A127" s="571"/>
      <c r="B127" s="775" t="s">
        <v>136</v>
      </c>
      <c r="C127" s="754">
        <f>D123-0.1</f>
        <v>1.4</v>
      </c>
      <c r="D127" s="754"/>
      <c r="E127" s="754"/>
      <c r="F127" s="754"/>
      <c r="G127" s="754"/>
      <c r="H127" s="754">
        <f>ROUNDUP((C126/0.15),0.5)</f>
        <v>20</v>
      </c>
      <c r="I127" s="754"/>
      <c r="J127" s="754"/>
      <c r="K127" s="754">
        <f>K126</f>
        <v>0.39456000000000002</v>
      </c>
      <c r="L127" s="754"/>
      <c r="M127" s="759">
        <f>C127*H127*K127</f>
        <v>11.04768</v>
      </c>
      <c r="N127" s="756"/>
      <c r="O127" s="817"/>
      <c r="P127" s="577"/>
      <c r="Q127" s="577"/>
      <c r="R127" s="577"/>
      <c r="S127" s="577"/>
      <c r="T127" s="577"/>
      <c r="U127" s="786"/>
      <c r="V127" s="786"/>
      <c r="W127" s="786"/>
    </row>
    <row r="128" spans="1:23" s="787" customFormat="1" ht="15.75" hidden="1" customHeight="1">
      <c r="A128" s="571"/>
      <c r="B128" s="572"/>
      <c r="C128" s="754"/>
      <c r="D128" s="754"/>
      <c r="E128" s="754"/>
      <c r="F128" s="754"/>
      <c r="G128" s="754"/>
      <c r="H128" s="754"/>
      <c r="I128" s="754"/>
      <c r="J128" s="754"/>
      <c r="K128" s="754"/>
      <c r="L128" s="754"/>
      <c r="M128" s="755">
        <f>SUM(M126:M127)</f>
        <v>22.489919999999998</v>
      </c>
      <c r="N128" s="756" t="s">
        <v>100</v>
      </c>
      <c r="O128" s="817">
        <f>ROUND((M128),2)</f>
        <v>22.49</v>
      </c>
      <c r="P128" s="577"/>
      <c r="Q128" s="577"/>
      <c r="R128" s="577"/>
      <c r="S128" s="577"/>
      <c r="T128" s="577"/>
      <c r="U128" s="786"/>
      <c r="V128" s="786"/>
      <c r="W128" s="786"/>
    </row>
    <row r="129" spans="1:23" s="787" customFormat="1" ht="15.75" hidden="1" customHeight="1">
      <c r="A129" s="571" t="s">
        <v>101</v>
      </c>
      <c r="B129" s="585" t="s">
        <v>169</v>
      </c>
      <c r="C129" s="754"/>
      <c r="D129" s="754"/>
      <c r="E129" s="754"/>
      <c r="F129" s="754"/>
      <c r="G129" s="754"/>
      <c r="H129" s="754"/>
      <c r="I129" s="754"/>
      <c r="J129" s="754"/>
      <c r="K129" s="754"/>
      <c r="L129" s="754"/>
      <c r="M129" s="816">
        <f>SUM(M130:M130)</f>
        <v>0.45</v>
      </c>
      <c r="N129" s="756" t="s">
        <v>103</v>
      </c>
      <c r="O129" s="817">
        <f>ROUND((M129),2)</f>
        <v>0.45</v>
      </c>
      <c r="P129" s="577"/>
      <c r="Q129" s="577"/>
      <c r="R129" s="577"/>
      <c r="S129" s="577"/>
      <c r="T129" s="577"/>
      <c r="U129" s="786"/>
      <c r="V129" s="786"/>
      <c r="W129" s="786"/>
    </row>
    <row r="130" spans="1:23" s="787" customFormat="1" ht="15.75" hidden="1" customHeight="1">
      <c r="A130" s="571"/>
      <c r="B130" s="775" t="s">
        <v>1229</v>
      </c>
      <c r="C130" s="754">
        <f>C123</f>
        <v>3</v>
      </c>
      <c r="D130" s="754">
        <f>D123</f>
        <v>1.5</v>
      </c>
      <c r="E130" s="754">
        <v>0.1</v>
      </c>
      <c r="F130" s="754"/>
      <c r="G130" s="754"/>
      <c r="H130" s="754"/>
      <c r="I130" s="754"/>
      <c r="J130" s="754"/>
      <c r="K130" s="754"/>
      <c r="L130" s="754"/>
      <c r="M130" s="754">
        <f>C130*D130*E130</f>
        <v>0.45</v>
      </c>
      <c r="N130" s="758"/>
      <c r="O130" s="817"/>
      <c r="P130" s="577"/>
      <c r="Q130" s="577"/>
      <c r="R130" s="577"/>
      <c r="S130" s="577"/>
      <c r="T130" s="577"/>
      <c r="U130" s="786"/>
      <c r="V130" s="786"/>
      <c r="W130" s="786"/>
    </row>
    <row r="131" spans="1:23" s="787" customFormat="1" ht="15.75" hidden="1" customHeight="1">
      <c r="A131" s="571" t="s">
        <v>121</v>
      </c>
      <c r="B131" s="572" t="s">
        <v>489</v>
      </c>
      <c r="C131" s="754"/>
      <c r="D131" s="754"/>
      <c r="E131" s="754"/>
      <c r="F131" s="754"/>
      <c r="G131" s="754"/>
      <c r="H131" s="754"/>
      <c r="I131" s="754"/>
      <c r="J131" s="754"/>
      <c r="K131" s="754"/>
      <c r="L131" s="754"/>
      <c r="M131" s="816">
        <f>SUM(M132:M132)</f>
        <v>4.5</v>
      </c>
      <c r="N131" s="756" t="s">
        <v>89</v>
      </c>
      <c r="O131" s="817">
        <f>ROUND((M131),2)</f>
        <v>4.5</v>
      </c>
      <c r="P131" s="577"/>
      <c r="Q131" s="577"/>
      <c r="R131" s="577"/>
      <c r="S131" s="577"/>
      <c r="T131" s="577"/>
      <c r="U131" s="786"/>
      <c r="V131" s="786"/>
      <c r="W131" s="786"/>
    </row>
    <row r="132" spans="1:23" s="787" customFormat="1" ht="15.75" hidden="1" customHeight="1">
      <c r="A132" s="823"/>
      <c r="B132" s="775" t="s">
        <v>1229</v>
      </c>
      <c r="C132" s="754">
        <f>C130</f>
        <v>3</v>
      </c>
      <c r="D132" s="754">
        <f>D130</f>
        <v>1.5</v>
      </c>
      <c r="E132" s="754"/>
      <c r="F132" s="754"/>
      <c r="G132" s="754"/>
      <c r="H132" s="754"/>
      <c r="I132" s="754"/>
      <c r="J132" s="754"/>
      <c r="K132" s="754"/>
      <c r="L132" s="754"/>
      <c r="M132" s="754">
        <f>C132*D132</f>
        <v>4.5</v>
      </c>
      <c r="N132" s="756"/>
      <c r="O132" s="817"/>
      <c r="P132" s="577"/>
      <c r="Q132" s="577"/>
      <c r="R132" s="577"/>
      <c r="S132" s="577"/>
      <c r="T132" s="577"/>
      <c r="U132" s="786"/>
      <c r="V132" s="786"/>
      <c r="W132" s="786"/>
    </row>
    <row r="133" spans="1:23" s="787" customFormat="1" ht="15.75" hidden="1" customHeight="1">
      <c r="A133" s="823" t="s">
        <v>142</v>
      </c>
      <c r="B133" s="572" t="s">
        <v>650</v>
      </c>
      <c r="C133" s="754"/>
      <c r="D133" s="754"/>
      <c r="E133" s="754"/>
      <c r="F133" s="754"/>
      <c r="G133" s="754"/>
      <c r="H133" s="754"/>
      <c r="I133" s="754"/>
      <c r="J133" s="754"/>
      <c r="K133" s="754"/>
      <c r="L133" s="754"/>
      <c r="M133" s="754"/>
      <c r="N133" s="758"/>
      <c r="O133" s="817"/>
      <c r="P133" s="577"/>
      <c r="Q133" s="577"/>
      <c r="R133" s="577"/>
      <c r="S133" s="577"/>
      <c r="T133" s="577"/>
      <c r="U133" s="786"/>
      <c r="V133" s="786"/>
      <c r="W133" s="786"/>
    </row>
    <row r="134" spans="1:23" s="787" customFormat="1" ht="15.75" hidden="1" customHeight="1">
      <c r="A134" s="823"/>
      <c r="B134" s="775" t="s">
        <v>1229</v>
      </c>
      <c r="C134" s="754"/>
      <c r="D134" s="754"/>
      <c r="E134" s="754"/>
      <c r="F134" s="754"/>
      <c r="G134" s="754"/>
      <c r="H134" s="754"/>
      <c r="I134" s="754"/>
      <c r="J134" s="754"/>
      <c r="K134" s="754"/>
      <c r="L134" s="754"/>
      <c r="M134" s="754"/>
      <c r="N134" s="758"/>
      <c r="O134" s="817"/>
      <c r="P134" s="577"/>
      <c r="Q134" s="577"/>
      <c r="R134" s="577"/>
      <c r="S134" s="577"/>
      <c r="T134" s="577"/>
      <c r="U134" s="786"/>
      <c r="V134" s="786"/>
      <c r="W134" s="786"/>
    </row>
    <row r="135" spans="1:23" s="787" customFormat="1" ht="15.75" hidden="1" customHeight="1">
      <c r="A135" s="823"/>
      <c r="B135" s="775" t="s">
        <v>1135</v>
      </c>
      <c r="C135" s="754">
        <f>C132</f>
        <v>3</v>
      </c>
      <c r="D135" s="754">
        <f>D132</f>
        <v>1.5</v>
      </c>
      <c r="E135" s="754"/>
      <c r="F135" s="754"/>
      <c r="G135" s="754"/>
      <c r="H135" s="754"/>
      <c r="I135" s="754"/>
      <c r="J135" s="754"/>
      <c r="K135" s="754"/>
      <c r="L135" s="754"/>
      <c r="M135" s="754">
        <f>C135*D135</f>
        <v>4.5</v>
      </c>
      <c r="N135" s="758"/>
      <c r="O135" s="817"/>
      <c r="P135" s="577"/>
      <c r="Q135" s="577"/>
      <c r="R135" s="577"/>
      <c r="S135" s="577"/>
      <c r="T135" s="577"/>
      <c r="U135" s="786"/>
      <c r="V135" s="786"/>
      <c r="W135" s="786"/>
    </row>
    <row r="136" spans="1:23" s="787" customFormat="1" ht="15.75" hidden="1" customHeight="1">
      <c r="A136" s="823"/>
      <c r="B136" s="775" t="s">
        <v>241</v>
      </c>
      <c r="C136" s="754">
        <f>C135</f>
        <v>3</v>
      </c>
      <c r="D136" s="754"/>
      <c r="E136" s="754">
        <v>0.15</v>
      </c>
      <c r="F136" s="754"/>
      <c r="G136" s="754"/>
      <c r="H136" s="754">
        <v>1</v>
      </c>
      <c r="I136" s="754"/>
      <c r="J136" s="754"/>
      <c r="K136" s="754"/>
      <c r="L136" s="754"/>
      <c r="M136" s="754">
        <f>C136*E136*H136</f>
        <v>0.44999999999999996</v>
      </c>
      <c r="N136" s="758"/>
      <c r="O136" s="817"/>
      <c r="P136" s="577"/>
      <c r="Q136" s="577"/>
      <c r="R136" s="577"/>
      <c r="S136" s="577"/>
      <c r="T136" s="577"/>
      <c r="U136" s="786"/>
      <c r="V136" s="786"/>
      <c r="W136" s="786"/>
    </row>
    <row r="137" spans="1:23" s="787" customFormat="1" ht="15.75" hidden="1" customHeight="1">
      <c r="A137" s="823"/>
      <c r="B137" s="572"/>
      <c r="C137" s="754">
        <f>D135</f>
        <v>1.5</v>
      </c>
      <c r="D137" s="754"/>
      <c r="E137" s="754">
        <f>E136</f>
        <v>0.15</v>
      </c>
      <c r="F137" s="754"/>
      <c r="G137" s="754"/>
      <c r="H137" s="754">
        <v>2</v>
      </c>
      <c r="I137" s="754"/>
      <c r="J137" s="754"/>
      <c r="K137" s="754"/>
      <c r="L137" s="754"/>
      <c r="M137" s="759">
        <f>C137*E137*H137</f>
        <v>0.44999999999999996</v>
      </c>
      <c r="N137" s="758"/>
      <c r="O137" s="817"/>
      <c r="P137" s="577"/>
      <c r="Q137" s="577"/>
      <c r="R137" s="577"/>
      <c r="S137" s="577"/>
      <c r="T137" s="577"/>
      <c r="U137" s="786"/>
      <c r="V137" s="786"/>
      <c r="W137" s="786"/>
    </row>
    <row r="138" spans="1:23" s="787" customFormat="1" ht="15.75" hidden="1" customHeight="1">
      <c r="A138" s="823"/>
      <c r="B138" s="572"/>
      <c r="C138" s="754"/>
      <c r="D138" s="754"/>
      <c r="E138" s="754"/>
      <c r="F138" s="754"/>
      <c r="G138" s="754"/>
      <c r="H138" s="754"/>
      <c r="I138" s="754"/>
      <c r="J138" s="754"/>
      <c r="K138" s="754"/>
      <c r="L138" s="754"/>
      <c r="M138" s="755">
        <f>SUM(M134:M137)</f>
        <v>5.4</v>
      </c>
      <c r="N138" s="756" t="s">
        <v>89</v>
      </c>
      <c r="O138" s="817">
        <f>ROUND((M138),2)</f>
        <v>5.4</v>
      </c>
      <c r="P138" s="577"/>
      <c r="Q138" s="577"/>
      <c r="R138" s="577"/>
      <c r="S138" s="577"/>
      <c r="T138" s="577"/>
      <c r="U138" s="786"/>
      <c r="V138" s="786"/>
      <c r="W138" s="786"/>
    </row>
    <row r="139" spans="1:23" s="787" customFormat="1" ht="15.75" hidden="1" customHeight="1">
      <c r="A139" s="824"/>
      <c r="B139" s="572"/>
      <c r="C139" s="754"/>
      <c r="D139" s="754"/>
      <c r="E139" s="754"/>
      <c r="F139" s="754"/>
      <c r="G139" s="754"/>
      <c r="H139" s="754"/>
      <c r="I139" s="754"/>
      <c r="J139" s="754"/>
      <c r="K139" s="754"/>
      <c r="L139" s="754"/>
      <c r="M139" s="755">
        <f>M138</f>
        <v>5.4</v>
      </c>
      <c r="N139" s="756" t="s">
        <v>89</v>
      </c>
      <c r="O139" s="817">
        <f>ROUND((M139),2)</f>
        <v>5.4</v>
      </c>
      <c r="P139" s="577"/>
      <c r="Q139" s="577"/>
      <c r="R139" s="577"/>
      <c r="S139" s="577"/>
      <c r="T139" s="577"/>
      <c r="U139" s="786"/>
      <c r="V139" s="786"/>
      <c r="W139" s="786"/>
    </row>
    <row r="140" spans="1:23" s="787" customFormat="1" ht="15.75" hidden="1" customHeight="1">
      <c r="A140" s="824">
        <f>A92+1</f>
        <v>10</v>
      </c>
      <c r="B140" s="583" t="s">
        <v>532</v>
      </c>
      <c r="C140" s="573"/>
      <c r="D140" s="573"/>
      <c r="E140" s="573"/>
      <c r="F140" s="573"/>
      <c r="G140" s="573"/>
      <c r="H140" s="573"/>
      <c r="I140" s="573"/>
      <c r="J140" s="573"/>
      <c r="K140" s="573"/>
      <c r="L140" s="573"/>
      <c r="M140" s="574"/>
      <c r="N140" s="758"/>
      <c r="O140" s="817"/>
      <c r="P140" s="577"/>
      <c r="Q140" s="577"/>
      <c r="R140" s="577"/>
      <c r="S140" s="577"/>
      <c r="T140" s="786"/>
      <c r="U140" s="786"/>
      <c r="V140" s="786"/>
    </row>
    <row r="141" spans="1:23" s="787" customFormat="1" ht="15.75" hidden="1" customHeight="1">
      <c r="A141" s="823" t="s">
        <v>95</v>
      </c>
      <c r="B141" s="583" t="s">
        <v>423</v>
      </c>
      <c r="C141" s="573">
        <f>1/8*4</f>
        <v>0.5</v>
      </c>
      <c r="D141" s="573"/>
      <c r="E141" s="573">
        <v>0.15</v>
      </c>
      <c r="F141" s="573"/>
      <c r="G141" s="573">
        <v>3</v>
      </c>
      <c r="H141" s="573"/>
      <c r="I141" s="573"/>
      <c r="J141" s="573"/>
      <c r="K141" s="573"/>
      <c r="L141" s="573">
        <f>L83</f>
        <v>12</v>
      </c>
      <c r="M141" s="574">
        <f>C141*E141*G141*L141</f>
        <v>2.6999999999999997</v>
      </c>
      <c r="N141" s="758" t="s">
        <v>89</v>
      </c>
      <c r="O141" s="817">
        <f>ROUND((M141),2)</f>
        <v>2.7</v>
      </c>
      <c r="P141" s="577"/>
      <c r="Q141" s="577"/>
      <c r="R141" s="577"/>
      <c r="S141" s="577"/>
      <c r="T141" s="786"/>
      <c r="U141" s="786"/>
      <c r="V141" s="786"/>
    </row>
    <row r="142" spans="1:23" s="787" customFormat="1" ht="15.75" hidden="1" customHeight="1">
      <c r="A142" s="823" t="s">
        <v>98</v>
      </c>
      <c r="B142" s="583" t="s">
        <v>741</v>
      </c>
      <c r="C142" s="573">
        <f>C141+(0.05*2)</f>
        <v>0.6</v>
      </c>
      <c r="D142" s="573"/>
      <c r="E142" s="573"/>
      <c r="F142" s="573">
        <v>5</v>
      </c>
      <c r="G142" s="573"/>
      <c r="H142" s="573">
        <f>0.02*2</f>
        <v>0.04</v>
      </c>
      <c r="I142" s="573">
        <f>0.05*2</f>
        <v>0.1</v>
      </c>
      <c r="J142" s="573"/>
      <c r="K142" s="573">
        <f>10*10*0.006165</f>
        <v>0.61650000000000005</v>
      </c>
      <c r="L142" s="573">
        <f>L141</f>
        <v>12</v>
      </c>
      <c r="M142" s="573">
        <f>(C142+H142+I142)*F142*K142*L142</f>
        <v>27.372600000000006</v>
      </c>
      <c r="N142" s="758" t="s">
        <v>100</v>
      </c>
      <c r="O142" s="817">
        <f>ROUND((M142),2)</f>
        <v>27.37</v>
      </c>
      <c r="P142" s="577"/>
      <c r="Q142" s="577"/>
      <c r="R142" s="577"/>
      <c r="S142" s="577"/>
      <c r="T142" s="786"/>
      <c r="U142" s="786"/>
      <c r="V142" s="786"/>
    </row>
    <row r="143" spans="1:23" s="787" customFormat="1" ht="15.75" hidden="1" customHeight="1">
      <c r="A143" s="823" t="s">
        <v>101</v>
      </c>
      <c r="B143" s="583" t="s">
        <v>525</v>
      </c>
      <c r="C143" s="573">
        <f>C114</f>
        <v>0</v>
      </c>
      <c r="D143" s="573"/>
      <c r="E143" s="573"/>
      <c r="F143" s="573">
        <f>ROUNDDOWN((C142/0.125),0.1)</f>
        <v>4</v>
      </c>
      <c r="G143" s="573"/>
      <c r="H143" s="573">
        <f>0.05*2</f>
        <v>0.1</v>
      </c>
      <c r="I143" s="573"/>
      <c r="J143" s="573"/>
      <c r="K143" s="573">
        <f>6*6*0.006165</f>
        <v>0.22194000000000003</v>
      </c>
      <c r="L143" s="573">
        <f>L142</f>
        <v>12</v>
      </c>
      <c r="M143" s="573">
        <f>(C143+H143)*F143*K143*L143</f>
        <v>1.0653120000000003</v>
      </c>
      <c r="N143" s="758" t="s">
        <v>100</v>
      </c>
      <c r="O143" s="817">
        <f>ROUND((M143),2)</f>
        <v>1.07</v>
      </c>
      <c r="P143" s="577"/>
      <c r="Q143" s="577"/>
      <c r="R143" s="577"/>
      <c r="S143" s="577"/>
      <c r="T143" s="786"/>
      <c r="U143" s="786"/>
      <c r="V143" s="786"/>
    </row>
    <row r="144" spans="1:23" s="787" customFormat="1" ht="15.75" hidden="1" customHeight="1">
      <c r="A144" s="823" t="s">
        <v>121</v>
      </c>
      <c r="B144" s="585" t="s">
        <v>169</v>
      </c>
      <c r="C144" s="573">
        <f>C141</f>
        <v>0.5</v>
      </c>
      <c r="D144" s="573">
        <v>0.15</v>
      </c>
      <c r="E144" s="573">
        <v>0.15</v>
      </c>
      <c r="F144" s="573"/>
      <c r="G144" s="573"/>
      <c r="H144" s="573"/>
      <c r="I144" s="573"/>
      <c r="J144" s="573"/>
      <c r="K144" s="573"/>
      <c r="L144" s="573">
        <f>L143</f>
        <v>12</v>
      </c>
      <c r="M144" s="574">
        <f>C144*D144*E144*L144</f>
        <v>0.13500000000000001</v>
      </c>
      <c r="N144" s="758" t="s">
        <v>103</v>
      </c>
      <c r="O144" s="817">
        <f>ROUND((M144),2)</f>
        <v>0.14000000000000001</v>
      </c>
      <c r="P144" s="577"/>
      <c r="Q144" s="577"/>
      <c r="R144" s="577"/>
      <c r="S144" s="577"/>
      <c r="T144" s="786"/>
      <c r="U144" s="786"/>
      <c r="V144" s="786"/>
    </row>
    <row r="145" spans="1:23" ht="15.75" customHeight="1">
      <c r="A145" s="418">
        <f>A92+1</f>
        <v>10</v>
      </c>
      <c r="B145" s="351" t="s">
        <v>553</v>
      </c>
      <c r="C145" s="330"/>
      <c r="D145" s="330"/>
      <c r="E145" s="330"/>
      <c r="F145" s="330"/>
      <c r="G145" s="330"/>
      <c r="H145" s="330"/>
      <c r="I145" s="330"/>
      <c r="J145" s="330"/>
      <c r="K145" s="330"/>
      <c r="L145" s="330"/>
      <c r="M145" s="330"/>
      <c r="N145" s="748"/>
      <c r="O145" s="814"/>
      <c r="P145" s="398"/>
      <c r="Q145" s="398"/>
      <c r="R145" s="398"/>
      <c r="S145" s="398"/>
      <c r="T145" s="398"/>
      <c r="U145" s="738"/>
      <c r="V145" s="738"/>
      <c r="W145" s="738"/>
    </row>
    <row r="146" spans="1:23" ht="15.75" customHeight="1">
      <c r="A146" s="419" t="s">
        <v>95</v>
      </c>
      <c r="B146" s="351" t="s">
        <v>926</v>
      </c>
      <c r="C146" s="330"/>
      <c r="D146" s="330"/>
      <c r="E146" s="330"/>
      <c r="F146" s="330"/>
      <c r="G146" s="330"/>
      <c r="H146" s="330"/>
      <c r="I146" s="330"/>
      <c r="J146" s="330"/>
      <c r="K146" s="330"/>
      <c r="L146" s="330"/>
      <c r="M146" s="415">
        <f>SUM(M147:M150)</f>
        <v>14.85</v>
      </c>
      <c r="N146" s="562" t="s">
        <v>89</v>
      </c>
      <c r="O146" s="814">
        <f>ROUND((M146),2)</f>
        <v>14.85</v>
      </c>
      <c r="P146" s="398"/>
      <c r="Q146" s="398"/>
      <c r="R146" s="398"/>
      <c r="S146" s="398"/>
      <c r="T146" s="398"/>
      <c r="U146" s="738"/>
      <c r="V146" s="738"/>
      <c r="W146" s="738"/>
    </row>
    <row r="147" spans="1:23" ht="15.75" customHeight="1">
      <c r="A147" s="419"/>
      <c r="B147" s="589" t="str">
        <f>B105</f>
        <v>Horisontal</v>
      </c>
      <c r="C147" s="330">
        <v>3</v>
      </c>
      <c r="D147" s="330"/>
      <c r="E147" s="330">
        <f>E94</f>
        <v>0.35</v>
      </c>
      <c r="F147" s="330"/>
      <c r="G147" s="330"/>
      <c r="H147" s="330">
        <f>H94</f>
        <v>2</v>
      </c>
      <c r="I147" s="330"/>
      <c r="J147" s="330"/>
      <c r="K147" s="330"/>
      <c r="L147" s="330">
        <v>3</v>
      </c>
      <c r="M147" s="330">
        <f>C147*E147*H147*L147</f>
        <v>6.2999999999999989</v>
      </c>
      <c r="N147" s="748"/>
      <c r="O147" s="814"/>
      <c r="P147" s="398"/>
      <c r="Q147" s="398"/>
      <c r="R147" s="398"/>
      <c r="S147" s="398"/>
      <c r="T147" s="398"/>
      <c r="U147" s="738"/>
      <c r="V147" s="738"/>
      <c r="W147" s="738"/>
    </row>
    <row r="148" spans="1:23" ht="15.75" customHeight="1">
      <c r="A148" s="419"/>
      <c r="B148" s="589"/>
      <c r="C148" s="330">
        <f>C147</f>
        <v>3</v>
      </c>
      <c r="D148" s="330">
        <f>D95</f>
        <v>0.2</v>
      </c>
      <c r="E148" s="330"/>
      <c r="F148" s="330"/>
      <c r="G148" s="330"/>
      <c r="H148" s="330">
        <f>H95</f>
        <v>1</v>
      </c>
      <c r="I148" s="330"/>
      <c r="J148" s="330"/>
      <c r="K148" s="330"/>
      <c r="L148" s="330">
        <f>L147</f>
        <v>3</v>
      </c>
      <c r="M148" s="330">
        <f>C148*D148*H148*L148</f>
        <v>1.8000000000000003</v>
      </c>
      <c r="N148" s="748"/>
      <c r="O148" s="814"/>
      <c r="P148" s="398"/>
      <c r="Q148" s="398"/>
      <c r="R148" s="398"/>
      <c r="S148" s="398"/>
      <c r="T148" s="398"/>
      <c r="U148" s="738"/>
      <c r="V148" s="738"/>
      <c r="W148" s="738"/>
    </row>
    <row r="149" spans="1:23" ht="15.75" customHeight="1">
      <c r="A149" s="419"/>
      <c r="B149" s="589" t="str">
        <f>B106</f>
        <v>Vertikal</v>
      </c>
      <c r="C149" s="330">
        <f>6+1.5</f>
        <v>7.5</v>
      </c>
      <c r="D149" s="330"/>
      <c r="E149" s="330">
        <f>E147</f>
        <v>0.35</v>
      </c>
      <c r="F149" s="330"/>
      <c r="G149" s="330"/>
      <c r="H149" s="330">
        <f>H147</f>
        <v>2</v>
      </c>
      <c r="I149" s="330"/>
      <c r="J149" s="330"/>
      <c r="K149" s="330"/>
      <c r="L149" s="330">
        <v>1</v>
      </c>
      <c r="M149" s="330">
        <f>C149*E149*H149*L149</f>
        <v>5.25</v>
      </c>
      <c r="N149" s="748"/>
      <c r="O149" s="814"/>
      <c r="P149" s="398"/>
      <c r="Q149" s="398"/>
      <c r="R149" s="398"/>
      <c r="S149" s="398"/>
      <c r="T149" s="398"/>
      <c r="U149" s="738"/>
      <c r="V149" s="738"/>
      <c r="W149" s="738"/>
    </row>
    <row r="150" spans="1:23" ht="15.75" customHeight="1">
      <c r="A150" s="419"/>
      <c r="B150" s="589"/>
      <c r="C150" s="330">
        <f>C149</f>
        <v>7.5</v>
      </c>
      <c r="D150" s="330">
        <f>D148</f>
        <v>0.2</v>
      </c>
      <c r="E150" s="330"/>
      <c r="F150" s="330"/>
      <c r="G150" s="330"/>
      <c r="H150" s="330">
        <f>H148</f>
        <v>1</v>
      </c>
      <c r="I150" s="330"/>
      <c r="J150" s="330"/>
      <c r="K150" s="330"/>
      <c r="L150" s="330">
        <f>L149</f>
        <v>1</v>
      </c>
      <c r="M150" s="330">
        <f>C150*D150*H150*L150</f>
        <v>1.5</v>
      </c>
      <c r="N150" s="748"/>
      <c r="O150" s="814"/>
      <c r="P150" s="398"/>
      <c r="Q150" s="398"/>
      <c r="R150" s="398"/>
      <c r="S150" s="398"/>
      <c r="T150" s="398"/>
      <c r="U150" s="738"/>
      <c r="V150" s="738"/>
      <c r="W150" s="738"/>
    </row>
    <row r="151" spans="1:23" ht="15.75" customHeight="1">
      <c r="A151" s="419" t="s">
        <v>98</v>
      </c>
      <c r="B151" s="351" t="s">
        <v>410</v>
      </c>
      <c r="C151" s="330"/>
      <c r="D151" s="330"/>
      <c r="E151" s="330"/>
      <c r="F151" s="330"/>
      <c r="G151" s="330"/>
      <c r="H151" s="330"/>
      <c r="I151" s="330"/>
      <c r="J151" s="330"/>
      <c r="K151" s="330"/>
      <c r="L151" s="330"/>
      <c r="M151" s="415">
        <f>SUM(M152:M153)</f>
        <v>50.861249999999998</v>
      </c>
      <c r="N151" s="562" t="s">
        <v>100</v>
      </c>
      <c r="O151" s="814">
        <f>ROUND((M151),2)</f>
        <v>50.86</v>
      </c>
      <c r="P151" s="398"/>
      <c r="Q151" s="398"/>
      <c r="R151" s="398"/>
      <c r="S151" s="398"/>
      <c r="T151" s="398"/>
      <c r="U151" s="738"/>
      <c r="V151" s="738"/>
      <c r="W151" s="738"/>
    </row>
    <row r="152" spans="1:23" ht="15.75" customHeight="1">
      <c r="A152" s="419"/>
      <c r="B152" s="589" t="str">
        <f>B147</f>
        <v>Horisontal</v>
      </c>
      <c r="C152" s="330">
        <f>C147</f>
        <v>3</v>
      </c>
      <c r="D152" s="330"/>
      <c r="E152" s="330"/>
      <c r="F152" s="330"/>
      <c r="G152" s="330"/>
      <c r="H152" s="330">
        <f>H99</f>
        <v>5</v>
      </c>
      <c r="I152" s="330"/>
      <c r="J152" s="330"/>
      <c r="K152" s="330">
        <f>K99</f>
        <v>0.61650000000000005</v>
      </c>
      <c r="L152" s="330">
        <f>L147</f>
        <v>3</v>
      </c>
      <c r="M152" s="330">
        <f>C152*H152*K152*L152</f>
        <v>27.7425</v>
      </c>
      <c r="N152" s="748"/>
      <c r="O152" s="814"/>
      <c r="P152" s="398"/>
      <c r="Q152" s="398"/>
      <c r="R152" s="398"/>
      <c r="S152" s="398"/>
      <c r="T152" s="398"/>
      <c r="U152" s="738"/>
      <c r="V152" s="738"/>
      <c r="W152" s="738"/>
    </row>
    <row r="153" spans="1:23" ht="15.75" customHeight="1">
      <c r="A153" s="419"/>
      <c r="B153" s="589" t="str">
        <f>B149</f>
        <v>Vertikal</v>
      </c>
      <c r="C153" s="330">
        <f>C149</f>
        <v>7.5</v>
      </c>
      <c r="D153" s="330"/>
      <c r="E153" s="330"/>
      <c r="F153" s="330"/>
      <c r="G153" s="330"/>
      <c r="H153" s="330">
        <f>H152</f>
        <v>5</v>
      </c>
      <c r="I153" s="330"/>
      <c r="J153" s="330"/>
      <c r="K153" s="330">
        <f>K152</f>
        <v>0.61650000000000005</v>
      </c>
      <c r="L153" s="330">
        <f>L149</f>
        <v>1</v>
      </c>
      <c r="M153" s="330">
        <f>C153*H153*K153*L153</f>
        <v>23.118750000000002</v>
      </c>
      <c r="N153" s="748"/>
      <c r="O153" s="814"/>
      <c r="P153" s="398"/>
      <c r="Q153" s="398"/>
      <c r="R153" s="398"/>
      <c r="S153" s="398"/>
      <c r="T153" s="398"/>
      <c r="U153" s="738"/>
      <c r="V153" s="738"/>
      <c r="W153" s="738"/>
    </row>
    <row r="154" spans="1:23" ht="15.75" customHeight="1">
      <c r="A154" s="419" t="s">
        <v>101</v>
      </c>
      <c r="B154" s="351" t="s">
        <v>411</v>
      </c>
      <c r="C154" s="330"/>
      <c r="D154" s="330"/>
      <c r="E154" s="330"/>
      <c r="F154" s="330"/>
      <c r="G154" s="330"/>
      <c r="H154" s="330"/>
      <c r="I154" s="330"/>
      <c r="J154" s="330"/>
      <c r="K154" s="330"/>
      <c r="L154" s="330"/>
      <c r="M154" s="415">
        <f>SUM(M155:M156)</f>
        <v>45.832089600000003</v>
      </c>
      <c r="N154" s="562" t="s">
        <v>100</v>
      </c>
      <c r="O154" s="814">
        <f>ROUND((M154),2)</f>
        <v>45.83</v>
      </c>
      <c r="P154" s="398">
        <f>900/15</f>
        <v>60</v>
      </c>
      <c r="Q154" s="398"/>
      <c r="R154" s="398"/>
      <c r="S154" s="398"/>
      <c r="T154" s="398"/>
      <c r="U154" s="738"/>
      <c r="V154" s="738"/>
      <c r="W154" s="738"/>
    </row>
    <row r="155" spans="1:23" ht="15.75" customHeight="1">
      <c r="A155" s="419"/>
      <c r="B155" s="589" t="str">
        <f>B152</f>
        <v>Horisontal</v>
      </c>
      <c r="C155" s="330">
        <f>C102</f>
        <v>0.78</v>
      </c>
      <c r="D155" s="330"/>
      <c r="E155" s="330"/>
      <c r="F155" s="330">
        <f>F102</f>
        <v>0.1</v>
      </c>
      <c r="G155" s="330"/>
      <c r="H155" s="330">
        <f>ROUNDUP((C152/0.125),0.5)</f>
        <v>24</v>
      </c>
      <c r="I155" s="330"/>
      <c r="J155" s="330"/>
      <c r="K155" s="330">
        <f>K102</f>
        <v>0.39456000000000002</v>
      </c>
      <c r="L155" s="330">
        <f>L152</f>
        <v>3</v>
      </c>
      <c r="M155" s="330">
        <f>(C155+F155)*H155*K155*L155</f>
        <v>24.999321600000002</v>
      </c>
      <c r="N155" s="748"/>
      <c r="O155" s="814"/>
      <c r="P155" s="398"/>
      <c r="Q155" s="398"/>
      <c r="R155" s="398"/>
      <c r="S155" s="398"/>
      <c r="T155" s="398"/>
      <c r="U155" s="738"/>
      <c r="V155" s="738"/>
      <c r="W155" s="738"/>
    </row>
    <row r="156" spans="1:23" ht="15.75" customHeight="1">
      <c r="A156" s="419"/>
      <c r="B156" s="589" t="str">
        <f>B153</f>
        <v>Vertikal</v>
      </c>
      <c r="C156" s="330">
        <f>C155</f>
        <v>0.78</v>
      </c>
      <c r="D156" s="330"/>
      <c r="E156" s="330"/>
      <c r="F156" s="330">
        <f>F155</f>
        <v>0.1</v>
      </c>
      <c r="G156" s="330"/>
      <c r="H156" s="330">
        <f>ROUNDUP((C153/0.125),0.5)</f>
        <v>60</v>
      </c>
      <c r="I156" s="330"/>
      <c r="J156" s="330"/>
      <c r="K156" s="330">
        <f>K155</f>
        <v>0.39456000000000002</v>
      </c>
      <c r="L156" s="330">
        <f>L153</f>
        <v>1</v>
      </c>
      <c r="M156" s="330">
        <f>(C156+F156)*H156*K156*L156</f>
        <v>20.832768000000002</v>
      </c>
      <c r="N156" s="748"/>
      <c r="O156" s="814"/>
      <c r="P156" s="398"/>
      <c r="Q156" s="398"/>
      <c r="R156" s="398"/>
      <c r="S156" s="398"/>
      <c r="T156" s="398"/>
      <c r="U156" s="738"/>
      <c r="V156" s="738"/>
      <c r="W156" s="738"/>
    </row>
    <row r="157" spans="1:23" ht="15.75" customHeight="1">
      <c r="A157" s="419" t="s">
        <v>121</v>
      </c>
      <c r="B157" s="356" t="s">
        <v>169</v>
      </c>
      <c r="C157" s="330"/>
      <c r="D157" s="330"/>
      <c r="E157" s="330"/>
      <c r="F157" s="330"/>
      <c r="G157" s="330"/>
      <c r="H157" s="330"/>
      <c r="I157" s="330"/>
      <c r="J157" s="330"/>
      <c r="K157" s="330"/>
      <c r="L157" s="330"/>
      <c r="M157" s="415">
        <f>SUM(M158:M159)</f>
        <v>1.155</v>
      </c>
      <c r="N157" s="562" t="s">
        <v>103</v>
      </c>
      <c r="O157" s="814">
        <f>ROUND((M157),2)</f>
        <v>1.1599999999999999</v>
      </c>
      <c r="P157" s="398"/>
      <c r="Q157" s="398"/>
      <c r="R157" s="398"/>
      <c r="S157" s="398"/>
      <c r="T157" s="398"/>
      <c r="U157" s="738"/>
      <c r="V157" s="738"/>
      <c r="W157" s="738"/>
    </row>
    <row r="158" spans="1:23" ht="15.75" customHeight="1">
      <c r="A158" s="760"/>
      <c r="B158" s="589" t="str">
        <f>B155</f>
        <v>Horisontal</v>
      </c>
      <c r="C158" s="330">
        <f>C152</f>
        <v>3</v>
      </c>
      <c r="D158" s="330">
        <f>D105</f>
        <v>0.2</v>
      </c>
      <c r="E158" s="330">
        <f>E105</f>
        <v>0.35</v>
      </c>
      <c r="F158" s="330"/>
      <c r="G158" s="330"/>
      <c r="H158" s="330"/>
      <c r="I158" s="330"/>
      <c r="J158" s="330"/>
      <c r="K158" s="330"/>
      <c r="L158" s="330">
        <f>L155</f>
        <v>3</v>
      </c>
      <c r="M158" s="330">
        <f>C158*D158*E158*L158</f>
        <v>0.63000000000000012</v>
      </c>
      <c r="N158" s="748"/>
      <c r="O158" s="814"/>
      <c r="P158" s="398"/>
      <c r="Q158" s="398"/>
      <c r="R158" s="398"/>
      <c r="S158" s="398"/>
      <c r="T158" s="398"/>
      <c r="U158" s="738"/>
      <c r="V158" s="738"/>
      <c r="W158" s="738"/>
    </row>
    <row r="159" spans="1:23" ht="15.75" customHeight="1">
      <c r="A159" s="760"/>
      <c r="B159" s="589" t="str">
        <f>B156</f>
        <v>Vertikal</v>
      </c>
      <c r="C159" s="330">
        <f>C153</f>
        <v>7.5</v>
      </c>
      <c r="D159" s="330">
        <f>D158</f>
        <v>0.2</v>
      </c>
      <c r="E159" s="330">
        <f>E158</f>
        <v>0.35</v>
      </c>
      <c r="F159" s="330"/>
      <c r="G159" s="330"/>
      <c r="H159" s="330"/>
      <c r="I159" s="330"/>
      <c r="J159" s="330"/>
      <c r="K159" s="330"/>
      <c r="L159" s="330">
        <f>L156</f>
        <v>1</v>
      </c>
      <c r="M159" s="330">
        <f>C159*D159*E159*L159</f>
        <v>0.52499999999999991</v>
      </c>
      <c r="N159" s="748"/>
      <c r="O159" s="814"/>
      <c r="P159" s="398"/>
      <c r="Q159" s="398"/>
      <c r="R159" s="398"/>
      <c r="S159" s="398"/>
      <c r="T159" s="398"/>
      <c r="U159" s="738"/>
      <c r="V159" s="738"/>
      <c r="W159" s="738"/>
    </row>
    <row r="160" spans="1:23" ht="15.75" customHeight="1">
      <c r="A160" s="350">
        <f>A145+1</f>
        <v>11</v>
      </c>
      <c r="B160" s="351" t="s">
        <v>534</v>
      </c>
      <c r="C160" s="330"/>
      <c r="D160" s="330"/>
      <c r="E160" s="330"/>
      <c r="F160" s="330"/>
      <c r="G160" s="330"/>
      <c r="H160" s="330"/>
      <c r="I160" s="330"/>
      <c r="J160" s="330"/>
      <c r="K160" s="330"/>
      <c r="L160" s="330"/>
      <c r="M160" s="401"/>
      <c r="N160" s="748"/>
      <c r="O160" s="814"/>
      <c r="P160" s="398"/>
      <c r="Q160" s="398"/>
      <c r="R160" s="398"/>
      <c r="S160" s="398"/>
      <c r="T160" s="398"/>
      <c r="U160" s="738"/>
      <c r="V160" s="738"/>
      <c r="W160" s="738"/>
    </row>
    <row r="161" spans="1:23" ht="15.75" customHeight="1">
      <c r="A161" s="355" t="s">
        <v>95</v>
      </c>
      <c r="B161" s="351" t="s">
        <v>926</v>
      </c>
      <c r="C161" s="330"/>
      <c r="D161" s="330"/>
      <c r="E161" s="330"/>
      <c r="F161" s="330"/>
      <c r="G161" s="330"/>
      <c r="H161" s="330"/>
      <c r="I161" s="330"/>
      <c r="J161" s="330"/>
      <c r="K161" s="330"/>
      <c r="L161" s="330"/>
      <c r="M161" s="401"/>
      <c r="N161" s="748"/>
      <c r="O161" s="814"/>
      <c r="P161" s="398"/>
      <c r="Q161" s="398"/>
      <c r="R161" s="398"/>
      <c r="S161" s="398"/>
      <c r="T161" s="398"/>
      <c r="U161" s="738"/>
      <c r="V161" s="738"/>
      <c r="W161" s="738"/>
    </row>
    <row r="162" spans="1:23" ht="15.75" customHeight="1">
      <c r="A162" s="355"/>
      <c r="B162" s="589" t="s">
        <v>1044</v>
      </c>
      <c r="C162" s="330">
        <v>6</v>
      </c>
      <c r="D162" s="330">
        <v>0.15</v>
      </c>
      <c r="E162" s="330"/>
      <c r="F162" s="330"/>
      <c r="G162" s="330">
        <v>3</v>
      </c>
      <c r="H162" s="330"/>
      <c r="I162" s="330"/>
      <c r="J162" s="330"/>
      <c r="K162" s="330"/>
      <c r="L162" s="330">
        <v>1</v>
      </c>
      <c r="M162" s="401">
        <f>C162*D162*G162*L162</f>
        <v>2.6999999999999997</v>
      </c>
      <c r="N162" s="748"/>
      <c r="O162" s="814"/>
      <c r="P162" s="398"/>
      <c r="Q162" s="398"/>
      <c r="R162" s="398"/>
      <c r="S162" s="398"/>
      <c r="T162" s="398"/>
      <c r="U162" s="738"/>
      <c r="V162" s="738"/>
      <c r="W162" s="738"/>
    </row>
    <row r="163" spans="1:23" ht="15.75" customHeight="1">
      <c r="A163" s="355"/>
      <c r="B163" s="589" t="s">
        <v>136</v>
      </c>
      <c r="C163" s="330">
        <v>6</v>
      </c>
      <c r="D163" s="330">
        <f>D162</f>
        <v>0.15</v>
      </c>
      <c r="E163" s="330"/>
      <c r="F163" s="330"/>
      <c r="G163" s="330">
        <f>G162</f>
        <v>3</v>
      </c>
      <c r="H163" s="330"/>
      <c r="I163" s="330"/>
      <c r="J163" s="330"/>
      <c r="K163" s="330"/>
      <c r="L163" s="330">
        <v>2</v>
      </c>
      <c r="M163" s="752">
        <f>C163*D163*G163*L163</f>
        <v>5.3999999999999995</v>
      </c>
      <c r="N163" s="748"/>
      <c r="O163" s="814"/>
      <c r="P163" s="398"/>
      <c r="Q163" s="398"/>
      <c r="R163" s="398"/>
      <c r="S163" s="398"/>
      <c r="T163" s="398"/>
      <c r="U163" s="738"/>
      <c r="V163" s="738"/>
      <c r="W163" s="738"/>
    </row>
    <row r="164" spans="1:23" ht="15.75" customHeight="1">
      <c r="A164" s="355"/>
      <c r="B164" s="351"/>
      <c r="C164" s="330"/>
      <c r="D164" s="330"/>
      <c r="E164" s="330"/>
      <c r="F164" s="330"/>
      <c r="G164" s="330"/>
      <c r="H164" s="330"/>
      <c r="I164" s="330"/>
      <c r="J164" s="330"/>
      <c r="K164" s="330"/>
      <c r="L164" s="330"/>
      <c r="M164" s="474">
        <f>SUM(M162:M163)</f>
        <v>8.1</v>
      </c>
      <c r="N164" s="562" t="s">
        <v>89</v>
      </c>
      <c r="O164" s="814">
        <f>ROUND((M164),2)</f>
        <v>8.1</v>
      </c>
      <c r="P164" s="398"/>
      <c r="Q164" s="398"/>
      <c r="R164" s="398"/>
      <c r="S164" s="398"/>
      <c r="T164" s="398"/>
      <c r="U164" s="738"/>
      <c r="V164" s="738"/>
      <c r="W164" s="738"/>
    </row>
    <row r="165" spans="1:23" ht="15.75" customHeight="1">
      <c r="A165" s="355" t="s">
        <v>98</v>
      </c>
      <c r="B165" s="351" t="s">
        <v>432</v>
      </c>
      <c r="C165" s="330"/>
      <c r="D165" s="330"/>
      <c r="E165" s="330"/>
      <c r="F165" s="330"/>
      <c r="G165" s="330"/>
      <c r="H165" s="330"/>
      <c r="I165" s="330"/>
      <c r="J165" s="330"/>
      <c r="K165" s="330"/>
      <c r="L165" s="330"/>
      <c r="M165" s="401"/>
      <c r="N165" s="748"/>
      <c r="O165" s="814"/>
      <c r="P165" s="398"/>
      <c r="Q165" s="398"/>
      <c r="R165" s="398"/>
      <c r="S165" s="398"/>
      <c r="T165" s="398"/>
      <c r="U165" s="738"/>
      <c r="V165" s="738"/>
      <c r="W165" s="738"/>
    </row>
    <row r="166" spans="1:23" ht="15.75" customHeight="1">
      <c r="A166" s="355"/>
      <c r="B166" s="589" t="str">
        <f>B162</f>
        <v>Horisontal</v>
      </c>
      <c r="C166" s="330">
        <f>C162</f>
        <v>6</v>
      </c>
      <c r="D166" s="330"/>
      <c r="E166" s="330"/>
      <c r="F166" s="330"/>
      <c r="G166" s="330"/>
      <c r="H166" s="330">
        <v>4</v>
      </c>
      <c r="I166" s="330"/>
      <c r="J166" s="330"/>
      <c r="K166" s="330">
        <f>10*10*0.006165</f>
        <v>0.61650000000000005</v>
      </c>
      <c r="L166" s="330">
        <f>L162</f>
        <v>1</v>
      </c>
      <c r="M166" s="401">
        <f>C166*H166*K166*L166</f>
        <v>14.796000000000001</v>
      </c>
      <c r="N166" s="748"/>
      <c r="O166" s="814"/>
      <c r="P166" s="398"/>
      <c r="Q166" s="398"/>
      <c r="R166" s="398"/>
      <c r="S166" s="398"/>
      <c r="T166" s="398"/>
      <c r="U166" s="738"/>
      <c r="V166" s="738"/>
      <c r="W166" s="738"/>
    </row>
    <row r="167" spans="1:23" ht="15.75" customHeight="1">
      <c r="A167" s="355"/>
      <c r="B167" s="589" t="str">
        <f>B163</f>
        <v>Vertikal</v>
      </c>
      <c r="C167" s="330">
        <f>C163</f>
        <v>6</v>
      </c>
      <c r="D167" s="330"/>
      <c r="E167" s="330"/>
      <c r="F167" s="330"/>
      <c r="G167" s="330"/>
      <c r="H167" s="330">
        <f>H166</f>
        <v>4</v>
      </c>
      <c r="I167" s="330"/>
      <c r="J167" s="330"/>
      <c r="K167" s="330">
        <f>K166</f>
        <v>0.61650000000000005</v>
      </c>
      <c r="L167" s="330">
        <f>L163</f>
        <v>2</v>
      </c>
      <c r="M167" s="752">
        <f>C167*H167*K167*L167</f>
        <v>29.592000000000002</v>
      </c>
      <c r="N167" s="748"/>
      <c r="O167" s="814"/>
      <c r="P167" s="398"/>
      <c r="Q167" s="398"/>
      <c r="R167" s="398"/>
      <c r="S167" s="398"/>
      <c r="T167" s="398"/>
      <c r="U167" s="738"/>
      <c r="V167" s="738"/>
      <c r="W167" s="738"/>
    </row>
    <row r="168" spans="1:23" ht="15.75" customHeight="1">
      <c r="A168" s="355"/>
      <c r="B168" s="351"/>
      <c r="C168" s="330"/>
      <c r="D168" s="330"/>
      <c r="E168" s="330"/>
      <c r="F168" s="330"/>
      <c r="G168" s="330"/>
      <c r="H168" s="330"/>
      <c r="I168" s="330"/>
      <c r="J168" s="330"/>
      <c r="K168" s="330"/>
      <c r="L168" s="330"/>
      <c r="M168" s="474">
        <f>SUM(M166:M167)</f>
        <v>44.388000000000005</v>
      </c>
      <c r="N168" s="562" t="s">
        <v>100</v>
      </c>
      <c r="O168" s="814">
        <f>ROUND((M168),2)</f>
        <v>44.39</v>
      </c>
      <c r="P168" s="398"/>
      <c r="Q168" s="398"/>
      <c r="R168" s="398"/>
      <c r="S168" s="398"/>
      <c r="T168" s="398"/>
      <c r="U168" s="738"/>
      <c r="V168" s="738"/>
      <c r="W168" s="738"/>
    </row>
    <row r="169" spans="1:23" ht="15.75" customHeight="1">
      <c r="A169" s="355" t="s">
        <v>101</v>
      </c>
      <c r="B169" s="351" t="s">
        <v>411</v>
      </c>
      <c r="C169" s="330"/>
      <c r="D169" s="330"/>
      <c r="E169" s="330"/>
      <c r="F169" s="330"/>
      <c r="G169" s="330"/>
      <c r="H169" s="330"/>
      <c r="I169" s="330"/>
      <c r="J169" s="330"/>
      <c r="K169" s="330"/>
      <c r="L169" s="330"/>
      <c r="M169" s="401"/>
      <c r="N169" s="748"/>
      <c r="O169" s="814"/>
      <c r="P169" s="398"/>
      <c r="Q169" s="398"/>
      <c r="R169" s="398"/>
      <c r="S169" s="398"/>
      <c r="T169" s="398"/>
      <c r="U169" s="738"/>
      <c r="V169" s="738"/>
      <c r="W169" s="738"/>
    </row>
    <row r="170" spans="1:23" ht="15.75" customHeight="1">
      <c r="A170" s="355"/>
      <c r="B170" s="589" t="str">
        <f>B166</f>
        <v>Horisontal</v>
      </c>
      <c r="C170" s="330">
        <f>0.1*4</f>
        <v>0.4</v>
      </c>
      <c r="D170" s="330"/>
      <c r="E170" s="330"/>
      <c r="F170" s="330">
        <f>0.05*2</f>
        <v>0.1</v>
      </c>
      <c r="G170" s="330"/>
      <c r="H170" s="330">
        <f>ROUNDUP((C166/0.125),0.5)</f>
        <v>48</v>
      </c>
      <c r="I170" s="330"/>
      <c r="J170" s="330"/>
      <c r="K170" s="330">
        <f>8*8*0.006165</f>
        <v>0.39456000000000002</v>
      </c>
      <c r="L170" s="330">
        <f>L166</f>
        <v>1</v>
      </c>
      <c r="M170" s="401">
        <f>(C170+F170)*H170*K170*L170</f>
        <v>9.4694400000000005</v>
      </c>
      <c r="N170" s="748"/>
      <c r="O170" s="814"/>
      <c r="P170" s="398"/>
      <c r="Q170" s="398"/>
      <c r="R170" s="398"/>
      <c r="S170" s="398"/>
      <c r="T170" s="398"/>
      <c r="U170" s="738"/>
      <c r="V170" s="738"/>
      <c r="W170" s="738"/>
    </row>
    <row r="171" spans="1:23" ht="15.75" customHeight="1">
      <c r="A171" s="355"/>
      <c r="B171" s="589" t="str">
        <f>B167</f>
        <v>Vertikal</v>
      </c>
      <c r="C171" s="330">
        <f>C170</f>
        <v>0.4</v>
      </c>
      <c r="D171" s="330"/>
      <c r="E171" s="330"/>
      <c r="F171" s="330">
        <f>F170</f>
        <v>0.1</v>
      </c>
      <c r="G171" s="330"/>
      <c r="H171" s="330">
        <f>ROUNDUP((C167/0.125),0.5)</f>
        <v>48</v>
      </c>
      <c r="I171" s="330"/>
      <c r="J171" s="330"/>
      <c r="K171" s="330">
        <f>K170</f>
        <v>0.39456000000000002</v>
      </c>
      <c r="L171" s="330">
        <f>L167</f>
        <v>2</v>
      </c>
      <c r="M171" s="752">
        <f>(C171+F171)*H171*K171*L171</f>
        <v>18.938880000000001</v>
      </c>
      <c r="N171" s="748"/>
      <c r="O171" s="814"/>
      <c r="P171" s="398"/>
      <c r="Q171" s="398"/>
      <c r="R171" s="398"/>
      <c r="S171" s="398"/>
      <c r="T171" s="398"/>
      <c r="U171" s="738"/>
      <c r="V171" s="738"/>
      <c r="W171" s="738"/>
    </row>
    <row r="172" spans="1:23" ht="15.75" customHeight="1">
      <c r="A172" s="355"/>
      <c r="B172" s="356"/>
      <c r="C172" s="330"/>
      <c r="D172" s="330"/>
      <c r="E172" s="330"/>
      <c r="F172" s="330"/>
      <c r="G172" s="330"/>
      <c r="H172" s="330"/>
      <c r="I172" s="330"/>
      <c r="J172" s="330"/>
      <c r="K172" s="330"/>
      <c r="L172" s="330"/>
      <c r="M172" s="474">
        <f>SUM(M170:M171)</f>
        <v>28.408320000000003</v>
      </c>
      <c r="N172" s="562" t="s">
        <v>100</v>
      </c>
      <c r="O172" s="814">
        <f>ROUND((M172),2)</f>
        <v>28.41</v>
      </c>
      <c r="P172" s="398"/>
      <c r="Q172" s="398"/>
      <c r="R172" s="398"/>
      <c r="S172" s="398"/>
      <c r="T172" s="398"/>
      <c r="U172" s="738"/>
      <c r="V172" s="738"/>
      <c r="W172" s="738"/>
    </row>
    <row r="173" spans="1:23" ht="15.75" customHeight="1">
      <c r="A173" s="355" t="s">
        <v>121</v>
      </c>
      <c r="B173" s="356" t="s">
        <v>429</v>
      </c>
      <c r="C173" s="330"/>
      <c r="D173" s="330"/>
      <c r="E173" s="330"/>
      <c r="F173" s="330"/>
      <c r="G173" s="330"/>
      <c r="H173" s="330"/>
      <c r="I173" s="330"/>
      <c r="J173" s="330"/>
      <c r="K173" s="330"/>
      <c r="L173" s="330"/>
      <c r="M173" s="401"/>
      <c r="N173" s="748"/>
      <c r="O173" s="814"/>
      <c r="P173" s="398"/>
      <c r="Q173" s="398"/>
      <c r="R173" s="398"/>
      <c r="S173" s="398"/>
      <c r="T173" s="398"/>
      <c r="U173" s="738"/>
      <c r="V173" s="738"/>
      <c r="W173" s="738"/>
    </row>
    <row r="174" spans="1:23" ht="15.75" customHeight="1">
      <c r="A174" s="404"/>
      <c r="B174" s="589" t="str">
        <f>B170</f>
        <v>Horisontal</v>
      </c>
      <c r="C174" s="330">
        <f>C162</f>
        <v>6</v>
      </c>
      <c r="D174" s="330">
        <f>D162</f>
        <v>0.15</v>
      </c>
      <c r="E174" s="330">
        <f>D162</f>
        <v>0.15</v>
      </c>
      <c r="F174" s="330"/>
      <c r="G174" s="330"/>
      <c r="H174" s="330"/>
      <c r="I174" s="330"/>
      <c r="J174" s="330"/>
      <c r="K174" s="330"/>
      <c r="L174" s="330">
        <f>L170</f>
        <v>1</v>
      </c>
      <c r="M174" s="401">
        <f>C174*D174*E174*L174</f>
        <v>0.13499999999999998</v>
      </c>
      <c r="N174" s="748"/>
      <c r="O174" s="814"/>
      <c r="P174" s="398"/>
      <c r="Q174" s="398"/>
      <c r="R174" s="398"/>
      <c r="S174" s="398"/>
      <c r="T174" s="398"/>
      <c r="U174" s="738"/>
      <c r="V174" s="738"/>
      <c r="W174" s="738"/>
    </row>
    <row r="175" spans="1:23" ht="15.75" customHeight="1">
      <c r="A175" s="404"/>
      <c r="B175" s="589" t="str">
        <f>B171</f>
        <v>Vertikal</v>
      </c>
      <c r="C175" s="330">
        <f>C163</f>
        <v>6</v>
      </c>
      <c r="D175" s="330">
        <f>D163</f>
        <v>0.15</v>
      </c>
      <c r="E175" s="330">
        <f>D163</f>
        <v>0.15</v>
      </c>
      <c r="F175" s="330"/>
      <c r="G175" s="330"/>
      <c r="H175" s="330"/>
      <c r="I175" s="330"/>
      <c r="J175" s="330"/>
      <c r="K175" s="330"/>
      <c r="L175" s="330">
        <f>L171</f>
        <v>2</v>
      </c>
      <c r="M175" s="752">
        <f>C175*D175*E175*L175</f>
        <v>0.26999999999999996</v>
      </c>
      <c r="N175" s="748"/>
      <c r="O175" s="814"/>
      <c r="P175" s="398"/>
      <c r="Q175" s="398"/>
      <c r="R175" s="398"/>
      <c r="S175" s="398"/>
      <c r="T175" s="398"/>
      <c r="U175" s="738"/>
      <c r="V175" s="738"/>
      <c r="W175" s="738"/>
    </row>
    <row r="176" spans="1:23" ht="15.75" customHeight="1">
      <c r="A176" s="404"/>
      <c r="B176" s="356"/>
      <c r="C176" s="330"/>
      <c r="D176" s="330"/>
      <c r="E176" s="330"/>
      <c r="F176" s="330"/>
      <c r="G176" s="330"/>
      <c r="H176" s="330"/>
      <c r="I176" s="330"/>
      <c r="J176" s="330"/>
      <c r="K176" s="330"/>
      <c r="L176" s="330"/>
      <c r="M176" s="474">
        <f>SUM(M174:M175)</f>
        <v>0.40499999999999992</v>
      </c>
      <c r="N176" s="562" t="s">
        <v>103</v>
      </c>
      <c r="O176" s="814">
        <f>ROUND((M176),2)</f>
        <v>0.41</v>
      </c>
      <c r="P176" s="398"/>
      <c r="Q176" s="398"/>
      <c r="R176" s="398"/>
      <c r="S176" s="398"/>
      <c r="T176" s="398"/>
      <c r="U176" s="738"/>
      <c r="V176" s="738"/>
      <c r="W176" s="738"/>
    </row>
    <row r="177" spans="1:23" s="830" customFormat="1" ht="15.75" customHeight="1">
      <c r="A177" s="825">
        <f>A160+1</f>
        <v>12</v>
      </c>
      <c r="B177" s="351" t="s">
        <v>1230</v>
      </c>
      <c r="C177" s="826"/>
      <c r="D177" s="826"/>
      <c r="E177" s="826"/>
      <c r="F177" s="826"/>
      <c r="G177" s="826"/>
      <c r="H177" s="826"/>
      <c r="I177" s="826"/>
      <c r="J177" s="826"/>
      <c r="K177" s="826"/>
      <c r="L177" s="826"/>
      <c r="M177" s="827"/>
      <c r="N177" s="828"/>
      <c r="O177" s="814"/>
      <c r="P177" s="766"/>
      <c r="Q177" s="766"/>
      <c r="R177" s="766"/>
      <c r="S177" s="766"/>
      <c r="T177" s="766"/>
      <c r="U177" s="829"/>
      <c r="V177" s="829"/>
      <c r="W177" s="829"/>
    </row>
    <row r="178" spans="1:23" s="830" customFormat="1" ht="15.75" customHeight="1">
      <c r="A178" s="831" t="s">
        <v>95</v>
      </c>
      <c r="B178" s="359" t="s">
        <v>413</v>
      </c>
      <c r="C178" s="826"/>
      <c r="D178" s="826"/>
      <c r="E178" s="826"/>
      <c r="F178" s="826"/>
      <c r="G178" s="826"/>
      <c r="H178" s="826"/>
      <c r="I178" s="826"/>
      <c r="J178" s="826"/>
      <c r="K178" s="826"/>
      <c r="L178" s="826"/>
      <c r="M178" s="832">
        <f>SUM(M179:M182)</f>
        <v>4.95</v>
      </c>
      <c r="N178" s="828" t="s">
        <v>103</v>
      </c>
      <c r="O178" s="814">
        <f>ROUND((M178),2)</f>
        <v>4.95</v>
      </c>
      <c r="P178" s="766"/>
      <c r="Q178" s="766"/>
      <c r="R178" s="766"/>
      <c r="S178" s="766"/>
      <c r="T178" s="766"/>
      <c r="U178" s="829"/>
      <c r="V178" s="829"/>
      <c r="W178" s="829"/>
    </row>
    <row r="179" spans="1:23" s="830" customFormat="1" ht="15.75" customHeight="1">
      <c r="A179" s="831"/>
      <c r="B179" s="589" t="s">
        <v>1029</v>
      </c>
      <c r="C179" s="826">
        <v>3</v>
      </c>
      <c r="D179" s="826">
        <v>1.5</v>
      </c>
      <c r="E179" s="826">
        <f>0.25-0.05-0.05-0.05</f>
        <v>0.10000000000000002</v>
      </c>
      <c r="F179" s="826"/>
      <c r="G179" s="826"/>
      <c r="H179" s="826"/>
      <c r="I179" s="826"/>
      <c r="J179" s="826"/>
      <c r="K179" s="826"/>
      <c r="L179" s="826"/>
      <c r="M179" s="833">
        <f>C179*D179*E179</f>
        <v>0.45000000000000007</v>
      </c>
      <c r="N179" s="834"/>
      <c r="O179" s="814"/>
      <c r="P179" s="766"/>
      <c r="Q179" s="766"/>
      <c r="R179" s="766"/>
      <c r="S179" s="766"/>
      <c r="T179" s="766"/>
      <c r="U179" s="829"/>
      <c r="V179" s="829"/>
      <c r="W179" s="829"/>
    </row>
    <row r="180" spans="1:23" s="830" customFormat="1" ht="15.75" customHeight="1">
      <c r="A180" s="831"/>
      <c r="B180" s="589" t="s">
        <v>1231</v>
      </c>
      <c r="C180" s="826">
        <v>6</v>
      </c>
      <c r="D180" s="826">
        <v>3</v>
      </c>
      <c r="E180" s="826">
        <f>0.3-0.05-0.05-0.05</f>
        <v>0.15000000000000002</v>
      </c>
      <c r="F180" s="826"/>
      <c r="G180" s="826"/>
      <c r="H180" s="826"/>
      <c r="I180" s="826"/>
      <c r="J180" s="826"/>
      <c r="K180" s="826"/>
      <c r="L180" s="826"/>
      <c r="M180" s="833">
        <f>C180*D180*E180</f>
        <v>2.7</v>
      </c>
      <c r="N180" s="834"/>
      <c r="O180" s="814"/>
      <c r="P180" s="766"/>
      <c r="Q180" s="766"/>
      <c r="R180" s="766"/>
      <c r="S180" s="766"/>
      <c r="T180" s="766"/>
      <c r="U180" s="829"/>
      <c r="V180" s="829"/>
      <c r="W180" s="829"/>
    </row>
    <row r="181" spans="1:23" s="830" customFormat="1" ht="15.75" customHeight="1">
      <c r="A181" s="831"/>
      <c r="B181" s="589"/>
      <c r="C181" s="826">
        <v>3</v>
      </c>
      <c r="D181" s="826">
        <v>3</v>
      </c>
      <c r="E181" s="826">
        <f>E180</f>
        <v>0.15000000000000002</v>
      </c>
      <c r="F181" s="826"/>
      <c r="G181" s="826"/>
      <c r="H181" s="826"/>
      <c r="I181" s="826"/>
      <c r="J181" s="826"/>
      <c r="K181" s="826"/>
      <c r="L181" s="826"/>
      <c r="M181" s="833">
        <f>C181*D181*E181</f>
        <v>1.35</v>
      </c>
      <c r="N181" s="834"/>
      <c r="O181" s="814"/>
      <c r="P181" s="766"/>
      <c r="Q181" s="766"/>
      <c r="R181" s="766"/>
      <c r="S181" s="766"/>
      <c r="T181" s="766"/>
      <c r="U181" s="829"/>
      <c r="V181" s="829"/>
      <c r="W181" s="829"/>
    </row>
    <row r="182" spans="1:23" s="830" customFormat="1" ht="15.75" customHeight="1">
      <c r="A182" s="831"/>
      <c r="B182" s="589" t="s">
        <v>1143</v>
      </c>
      <c r="C182" s="826">
        <v>3</v>
      </c>
      <c r="D182" s="826">
        <v>1.5</v>
      </c>
      <c r="E182" s="826">
        <f>0.25-0.05-0.05-0.05</f>
        <v>0.10000000000000002</v>
      </c>
      <c r="F182" s="826"/>
      <c r="G182" s="826"/>
      <c r="H182" s="826"/>
      <c r="I182" s="826"/>
      <c r="J182" s="826"/>
      <c r="K182" s="826"/>
      <c r="L182" s="826"/>
      <c r="M182" s="833">
        <f>C182*D182*E182</f>
        <v>0.45000000000000007</v>
      </c>
      <c r="N182" s="834"/>
      <c r="O182" s="814"/>
      <c r="P182" s="766"/>
      <c r="Q182" s="766"/>
      <c r="R182" s="766"/>
      <c r="S182" s="766"/>
      <c r="T182" s="766"/>
      <c r="U182" s="829"/>
      <c r="V182" s="829"/>
      <c r="W182" s="829"/>
    </row>
    <row r="183" spans="1:23" s="830" customFormat="1" ht="15.75" customHeight="1">
      <c r="A183" s="831" t="s">
        <v>98</v>
      </c>
      <c r="B183" s="351" t="s">
        <v>414</v>
      </c>
      <c r="C183" s="826"/>
      <c r="D183" s="826"/>
      <c r="E183" s="826"/>
      <c r="F183" s="826"/>
      <c r="G183" s="826"/>
      <c r="H183" s="826"/>
      <c r="I183" s="826"/>
      <c r="J183" s="826"/>
      <c r="K183" s="826"/>
      <c r="L183" s="826"/>
      <c r="M183" s="833">
        <f>M178</f>
        <v>4.95</v>
      </c>
      <c r="N183" s="834" t="s">
        <v>103</v>
      </c>
      <c r="O183" s="814">
        <f>ROUND((M183),2)</f>
        <v>4.95</v>
      </c>
      <c r="P183" s="766"/>
      <c r="Q183" s="766"/>
      <c r="R183" s="766"/>
      <c r="S183" s="766"/>
      <c r="T183" s="766"/>
      <c r="U183" s="829"/>
      <c r="V183" s="829"/>
      <c r="W183" s="829"/>
    </row>
    <row r="184" spans="1:23" s="830" customFormat="1" ht="15.75" customHeight="1">
      <c r="A184" s="831" t="s">
        <v>101</v>
      </c>
      <c r="B184" s="351" t="s">
        <v>415</v>
      </c>
      <c r="C184" s="826"/>
      <c r="D184" s="826"/>
      <c r="E184" s="826"/>
      <c r="F184" s="826"/>
      <c r="G184" s="826"/>
      <c r="H184" s="826"/>
      <c r="I184" s="826"/>
      <c r="J184" s="826"/>
      <c r="K184" s="826"/>
      <c r="L184" s="826"/>
      <c r="M184" s="832">
        <f>SUM(M185:M188)</f>
        <v>1.8</v>
      </c>
      <c r="N184" s="828" t="s">
        <v>103</v>
      </c>
      <c r="O184" s="814">
        <f>ROUND((M184),2)</f>
        <v>1.8</v>
      </c>
      <c r="P184" s="766"/>
      <c r="Q184" s="766"/>
      <c r="R184" s="766"/>
      <c r="S184" s="766"/>
      <c r="T184" s="766"/>
      <c r="U184" s="829"/>
      <c r="V184" s="829"/>
      <c r="W184" s="829"/>
    </row>
    <row r="185" spans="1:23" s="830" customFormat="1" ht="15.75" customHeight="1">
      <c r="A185" s="831"/>
      <c r="B185" s="589" t="str">
        <f t="shared" ref="B185:D186" si="5">B179</f>
        <v>teras</v>
      </c>
      <c r="C185" s="826">
        <f t="shared" si="5"/>
        <v>3</v>
      </c>
      <c r="D185" s="826">
        <f t="shared" si="5"/>
        <v>1.5</v>
      </c>
      <c r="E185" s="826">
        <v>0.05</v>
      </c>
      <c r="F185" s="826"/>
      <c r="G185" s="826"/>
      <c r="H185" s="826"/>
      <c r="I185" s="826"/>
      <c r="J185" s="826"/>
      <c r="K185" s="826"/>
      <c r="L185" s="826"/>
      <c r="M185" s="833">
        <f>C185*D185*E185</f>
        <v>0.22500000000000001</v>
      </c>
      <c r="N185" s="834"/>
      <c r="O185" s="814"/>
      <c r="P185" s="766"/>
      <c r="Q185" s="766"/>
      <c r="R185" s="766"/>
      <c r="S185" s="766"/>
      <c r="T185" s="766"/>
      <c r="U185" s="829"/>
      <c r="V185" s="829"/>
      <c r="W185" s="829"/>
    </row>
    <row r="186" spans="1:23" s="830" customFormat="1" ht="15.75" customHeight="1">
      <c r="A186" s="831"/>
      <c r="B186" s="589" t="str">
        <f t="shared" si="5"/>
        <v>kantor</v>
      </c>
      <c r="C186" s="826">
        <f t="shared" si="5"/>
        <v>6</v>
      </c>
      <c r="D186" s="826">
        <f t="shared" si="5"/>
        <v>3</v>
      </c>
      <c r="E186" s="826">
        <f>E185</f>
        <v>0.05</v>
      </c>
      <c r="F186" s="826"/>
      <c r="G186" s="826"/>
      <c r="H186" s="826"/>
      <c r="I186" s="826"/>
      <c r="J186" s="826"/>
      <c r="K186" s="826"/>
      <c r="L186" s="826"/>
      <c r="M186" s="833">
        <f>C186*D186*E186</f>
        <v>0.9</v>
      </c>
      <c r="N186" s="834"/>
      <c r="O186" s="814"/>
      <c r="P186" s="766"/>
      <c r="Q186" s="766"/>
      <c r="R186" s="766"/>
      <c r="S186" s="766"/>
      <c r="T186" s="766"/>
      <c r="U186" s="829"/>
      <c r="V186" s="829"/>
      <c r="W186" s="829"/>
    </row>
    <row r="187" spans="1:23" s="830" customFormat="1" ht="15.75" customHeight="1">
      <c r="A187" s="831"/>
      <c r="B187" s="589"/>
      <c r="C187" s="826">
        <f>C181</f>
        <v>3</v>
      </c>
      <c r="D187" s="826">
        <f>D181</f>
        <v>3</v>
      </c>
      <c r="E187" s="826">
        <f>E186</f>
        <v>0.05</v>
      </c>
      <c r="F187" s="826"/>
      <c r="G187" s="826"/>
      <c r="H187" s="826"/>
      <c r="I187" s="826"/>
      <c r="J187" s="826"/>
      <c r="K187" s="826"/>
      <c r="L187" s="826"/>
      <c r="M187" s="833">
        <f>C187*D187*E187</f>
        <v>0.45</v>
      </c>
      <c r="N187" s="834"/>
      <c r="O187" s="814"/>
      <c r="P187" s="766"/>
      <c r="Q187" s="766"/>
      <c r="R187" s="766"/>
      <c r="S187" s="766"/>
      <c r="T187" s="766"/>
      <c r="U187" s="829"/>
      <c r="V187" s="829"/>
      <c r="W187" s="829"/>
    </row>
    <row r="188" spans="1:23" s="830" customFormat="1" ht="15.75" customHeight="1">
      <c r="A188" s="831"/>
      <c r="B188" s="589" t="str">
        <f>B182</f>
        <v>toilet</v>
      </c>
      <c r="C188" s="826">
        <f>C182</f>
        <v>3</v>
      </c>
      <c r="D188" s="826">
        <f>D182</f>
        <v>1.5</v>
      </c>
      <c r="E188" s="826">
        <f>E187</f>
        <v>0.05</v>
      </c>
      <c r="F188" s="826"/>
      <c r="G188" s="826"/>
      <c r="H188" s="826"/>
      <c r="I188" s="826"/>
      <c r="J188" s="826"/>
      <c r="K188" s="826"/>
      <c r="L188" s="826"/>
      <c r="M188" s="833">
        <f>C188*D188*E188</f>
        <v>0.22500000000000001</v>
      </c>
      <c r="N188" s="834"/>
      <c r="O188" s="814"/>
      <c r="P188" s="766"/>
      <c r="Q188" s="766"/>
      <c r="R188" s="766"/>
      <c r="S188" s="766"/>
      <c r="T188" s="766"/>
      <c r="U188" s="829"/>
      <c r="V188" s="829"/>
      <c r="W188" s="829"/>
    </row>
    <row r="189" spans="1:23" s="830" customFormat="1" ht="15.75" customHeight="1">
      <c r="A189" s="831" t="s">
        <v>121</v>
      </c>
      <c r="B189" s="351" t="s">
        <v>496</v>
      </c>
      <c r="C189" s="826"/>
      <c r="D189" s="826"/>
      <c r="E189" s="826"/>
      <c r="F189" s="826"/>
      <c r="G189" s="826"/>
      <c r="H189" s="826"/>
      <c r="I189" s="826"/>
      <c r="J189" s="826"/>
      <c r="K189" s="826"/>
      <c r="L189" s="826"/>
      <c r="M189" s="832">
        <f>SUM(M190:M193)</f>
        <v>1.8</v>
      </c>
      <c r="N189" s="828" t="s">
        <v>103</v>
      </c>
      <c r="O189" s="814">
        <f>ROUND((M189),2)</f>
        <v>1.8</v>
      </c>
      <c r="P189" s="766"/>
      <c r="Q189" s="766"/>
      <c r="R189" s="766"/>
      <c r="S189" s="766"/>
      <c r="T189" s="766"/>
      <c r="U189" s="829"/>
      <c r="V189" s="829"/>
      <c r="W189" s="829"/>
    </row>
    <row r="190" spans="1:23" s="830" customFormat="1" ht="15.75" customHeight="1">
      <c r="A190" s="831"/>
      <c r="B190" s="589" t="str">
        <f t="shared" ref="B190:E191" si="6">B185</f>
        <v>teras</v>
      </c>
      <c r="C190" s="826">
        <f t="shared" si="6"/>
        <v>3</v>
      </c>
      <c r="D190" s="826">
        <f t="shared" si="6"/>
        <v>1.5</v>
      </c>
      <c r="E190" s="826">
        <f t="shared" si="6"/>
        <v>0.05</v>
      </c>
      <c r="F190" s="826"/>
      <c r="G190" s="826"/>
      <c r="H190" s="826"/>
      <c r="I190" s="826"/>
      <c r="J190" s="826"/>
      <c r="K190" s="826"/>
      <c r="L190" s="826"/>
      <c r="M190" s="833">
        <f>C190*D190*E190</f>
        <v>0.22500000000000001</v>
      </c>
      <c r="N190" s="834"/>
      <c r="O190" s="814"/>
      <c r="P190" s="766"/>
      <c r="Q190" s="766"/>
      <c r="R190" s="766"/>
      <c r="S190" s="766"/>
      <c r="T190" s="766"/>
      <c r="U190" s="829"/>
      <c r="V190" s="829"/>
      <c r="W190" s="829"/>
    </row>
    <row r="191" spans="1:23" s="830" customFormat="1" ht="15.75" customHeight="1">
      <c r="A191" s="831"/>
      <c r="B191" s="589" t="str">
        <f t="shared" si="6"/>
        <v>kantor</v>
      </c>
      <c r="C191" s="826">
        <f t="shared" si="6"/>
        <v>6</v>
      </c>
      <c r="D191" s="826">
        <f t="shared" si="6"/>
        <v>3</v>
      </c>
      <c r="E191" s="826">
        <f t="shared" si="6"/>
        <v>0.05</v>
      </c>
      <c r="F191" s="826"/>
      <c r="G191" s="826"/>
      <c r="H191" s="826"/>
      <c r="I191" s="826"/>
      <c r="J191" s="826"/>
      <c r="K191" s="826"/>
      <c r="L191" s="826"/>
      <c r="M191" s="833">
        <f>C191*D191*E191</f>
        <v>0.9</v>
      </c>
      <c r="N191" s="834"/>
      <c r="O191" s="814"/>
      <c r="P191" s="766"/>
      <c r="Q191" s="766"/>
      <c r="R191" s="766"/>
      <c r="S191" s="766"/>
      <c r="T191" s="766"/>
      <c r="U191" s="829"/>
      <c r="V191" s="829"/>
      <c r="W191" s="829"/>
    </row>
    <row r="192" spans="1:23" s="830" customFormat="1" ht="15.75" customHeight="1">
      <c r="A192" s="831"/>
      <c r="B192" s="589"/>
      <c r="C192" s="826">
        <f t="shared" ref="C192:E193" si="7">C187</f>
        <v>3</v>
      </c>
      <c r="D192" s="826">
        <f t="shared" si="7"/>
        <v>3</v>
      </c>
      <c r="E192" s="826">
        <f t="shared" si="7"/>
        <v>0.05</v>
      </c>
      <c r="F192" s="826"/>
      <c r="G192" s="826"/>
      <c r="H192" s="826"/>
      <c r="I192" s="826"/>
      <c r="J192" s="826"/>
      <c r="K192" s="826"/>
      <c r="L192" s="826"/>
      <c r="M192" s="833">
        <f>C192*D192*E192</f>
        <v>0.45</v>
      </c>
      <c r="N192" s="834"/>
      <c r="O192" s="814"/>
      <c r="P192" s="766"/>
      <c r="Q192" s="766"/>
      <c r="R192" s="766"/>
      <c r="S192" s="766"/>
      <c r="T192" s="766"/>
      <c r="U192" s="829"/>
      <c r="V192" s="829"/>
      <c r="W192" s="829"/>
    </row>
    <row r="193" spans="1:23" s="830" customFormat="1" ht="15.75" customHeight="1">
      <c r="A193" s="831"/>
      <c r="B193" s="589" t="str">
        <f>B188</f>
        <v>toilet</v>
      </c>
      <c r="C193" s="826">
        <f t="shared" si="7"/>
        <v>3</v>
      </c>
      <c r="D193" s="826">
        <f t="shared" si="7"/>
        <v>1.5</v>
      </c>
      <c r="E193" s="826">
        <f t="shared" si="7"/>
        <v>0.05</v>
      </c>
      <c r="F193" s="826"/>
      <c r="G193" s="826"/>
      <c r="H193" s="826"/>
      <c r="I193" s="826"/>
      <c r="J193" s="826"/>
      <c r="K193" s="826"/>
      <c r="L193" s="826"/>
      <c r="M193" s="833">
        <f>C193*D193*E193</f>
        <v>0.22500000000000001</v>
      </c>
      <c r="N193" s="834"/>
      <c r="O193" s="814"/>
      <c r="P193" s="766"/>
      <c r="Q193" s="766"/>
      <c r="R193" s="766"/>
      <c r="S193" s="766"/>
      <c r="T193" s="766"/>
      <c r="U193" s="829"/>
      <c r="V193" s="829"/>
      <c r="W193" s="829"/>
    </row>
    <row r="194" spans="1:23" s="830" customFormat="1" ht="15.75" customHeight="1">
      <c r="A194" s="825">
        <f>A177+1</f>
        <v>13</v>
      </c>
      <c r="B194" s="351" t="s">
        <v>647</v>
      </c>
      <c r="C194" s="826"/>
      <c r="D194" s="826"/>
      <c r="E194" s="826"/>
      <c r="F194" s="826"/>
      <c r="G194" s="826"/>
      <c r="H194" s="826"/>
      <c r="I194" s="826"/>
      <c r="J194" s="826"/>
      <c r="K194" s="826"/>
      <c r="L194" s="826"/>
      <c r="M194" s="827"/>
      <c r="N194" s="834"/>
      <c r="O194" s="814"/>
      <c r="P194" s="766"/>
      <c r="Q194" s="766"/>
      <c r="R194" s="766"/>
      <c r="S194" s="766"/>
      <c r="T194" s="766"/>
      <c r="U194" s="829"/>
      <c r="V194" s="829"/>
      <c r="W194" s="829"/>
    </row>
    <row r="195" spans="1:23" s="830" customFormat="1" ht="15.75" customHeight="1">
      <c r="A195" s="831" t="s">
        <v>95</v>
      </c>
      <c r="B195" s="351" t="s">
        <v>438</v>
      </c>
      <c r="C195" s="826"/>
      <c r="D195" s="826"/>
      <c r="E195" s="826"/>
      <c r="F195" s="826"/>
      <c r="G195" s="826"/>
      <c r="H195" s="826"/>
      <c r="I195" s="826"/>
      <c r="J195" s="826"/>
      <c r="K195" s="826"/>
      <c r="L195" s="826"/>
      <c r="M195" s="833"/>
      <c r="N195" s="834"/>
      <c r="O195" s="814"/>
      <c r="P195" s="766"/>
      <c r="Q195" s="766"/>
      <c r="R195" s="766"/>
      <c r="S195" s="766"/>
      <c r="T195" s="766"/>
      <c r="U195" s="829"/>
      <c r="V195" s="829"/>
      <c r="W195" s="829"/>
    </row>
    <row r="196" spans="1:23" s="830" customFormat="1" ht="15.75" customHeight="1">
      <c r="A196" s="831"/>
      <c r="B196" s="589" t="s">
        <v>226</v>
      </c>
      <c r="C196" s="826">
        <v>8</v>
      </c>
      <c r="D196" s="826">
        <v>0.12</v>
      </c>
      <c r="E196" s="826">
        <v>0.2</v>
      </c>
      <c r="F196" s="826"/>
      <c r="G196" s="826"/>
      <c r="H196" s="826"/>
      <c r="I196" s="826"/>
      <c r="J196" s="826"/>
      <c r="K196" s="826"/>
      <c r="L196" s="826">
        <v>2</v>
      </c>
      <c r="M196" s="833">
        <f>C196*D196*E196*L196</f>
        <v>0.38400000000000001</v>
      </c>
      <c r="N196" s="834"/>
      <c r="O196" s="814"/>
      <c r="P196" s="766"/>
      <c r="Q196" s="766"/>
      <c r="R196" s="766"/>
      <c r="S196" s="766"/>
      <c r="T196" s="766"/>
      <c r="U196" s="829"/>
      <c r="V196" s="829"/>
      <c r="W196" s="829"/>
    </row>
    <row r="197" spans="1:23" s="830" customFormat="1" ht="15.75" customHeight="1">
      <c r="A197" s="831"/>
      <c r="B197" s="589" t="s">
        <v>227</v>
      </c>
      <c r="C197" s="826">
        <v>8</v>
      </c>
      <c r="D197" s="826">
        <f>D196</f>
        <v>0.12</v>
      </c>
      <c r="E197" s="826">
        <f>E196</f>
        <v>0.2</v>
      </c>
      <c r="F197" s="826"/>
      <c r="G197" s="826"/>
      <c r="H197" s="826"/>
      <c r="I197" s="826"/>
      <c r="J197" s="826"/>
      <c r="K197" s="826"/>
      <c r="L197" s="826">
        <f>L196</f>
        <v>2</v>
      </c>
      <c r="M197" s="835">
        <f>C197*D197*E197*L197</f>
        <v>0.38400000000000001</v>
      </c>
      <c r="N197" s="834"/>
      <c r="O197" s="814"/>
      <c r="P197" s="766"/>
      <c r="Q197" s="766"/>
      <c r="R197" s="766"/>
      <c r="S197" s="766"/>
      <c r="T197" s="766"/>
      <c r="U197" s="829"/>
      <c r="V197" s="829"/>
      <c r="W197" s="829"/>
    </row>
    <row r="198" spans="1:23" s="830" customFormat="1" ht="15.75" customHeight="1">
      <c r="A198" s="831"/>
      <c r="B198" s="589"/>
      <c r="C198" s="826"/>
      <c r="D198" s="826"/>
      <c r="E198" s="826"/>
      <c r="F198" s="826"/>
      <c r="G198" s="826"/>
      <c r="H198" s="826"/>
      <c r="I198" s="826"/>
      <c r="J198" s="826"/>
      <c r="K198" s="826"/>
      <c r="L198" s="826"/>
      <c r="M198" s="827">
        <f>SUM(M196:M197)</f>
        <v>0.76800000000000002</v>
      </c>
      <c r="N198" s="828" t="s">
        <v>103</v>
      </c>
      <c r="O198" s="814">
        <f>ROUND((M198),2)</f>
        <v>0.77</v>
      </c>
      <c r="P198" s="766"/>
      <c r="Q198" s="766"/>
      <c r="R198" s="766"/>
      <c r="S198" s="766"/>
      <c r="T198" s="766"/>
      <c r="U198" s="829"/>
      <c r="V198" s="829"/>
      <c r="W198" s="829"/>
    </row>
    <row r="199" spans="1:23" s="830" customFormat="1" ht="15.75" customHeight="1">
      <c r="A199" s="831" t="s">
        <v>98</v>
      </c>
      <c r="B199" s="351" t="s">
        <v>439</v>
      </c>
      <c r="C199" s="826"/>
      <c r="D199" s="826"/>
      <c r="E199" s="826"/>
      <c r="F199" s="826"/>
      <c r="G199" s="826"/>
      <c r="H199" s="826"/>
      <c r="I199" s="826"/>
      <c r="J199" s="826"/>
      <c r="K199" s="826"/>
      <c r="L199" s="826"/>
      <c r="M199" s="833"/>
      <c r="N199" s="834"/>
      <c r="O199" s="814"/>
      <c r="P199" s="766"/>
      <c r="Q199" s="766"/>
      <c r="R199" s="766"/>
      <c r="S199" s="766"/>
      <c r="T199" s="766"/>
      <c r="U199" s="829"/>
      <c r="V199" s="829"/>
      <c r="W199" s="829"/>
    </row>
    <row r="200" spans="1:23" s="830" customFormat="1" ht="15.75" customHeight="1">
      <c r="A200" s="831"/>
      <c r="B200" s="589" t="str">
        <f>B196</f>
        <v>horisontal</v>
      </c>
      <c r="C200" s="826">
        <f>C196</f>
        <v>8</v>
      </c>
      <c r="D200" s="826"/>
      <c r="E200" s="826">
        <f>0.15+E196</f>
        <v>0.35</v>
      </c>
      <c r="F200" s="826"/>
      <c r="G200" s="826"/>
      <c r="H200" s="826"/>
      <c r="I200" s="826"/>
      <c r="J200" s="826"/>
      <c r="K200" s="826"/>
      <c r="L200" s="826">
        <f>L196</f>
        <v>2</v>
      </c>
      <c r="M200" s="833">
        <f>C200*E200*L200</f>
        <v>5.6</v>
      </c>
      <c r="N200" s="834"/>
      <c r="O200" s="814"/>
      <c r="P200" s="766"/>
      <c r="Q200" s="766"/>
      <c r="R200" s="766"/>
      <c r="S200" s="766"/>
      <c r="T200" s="766"/>
      <c r="U200" s="829"/>
      <c r="V200" s="829"/>
      <c r="W200" s="829"/>
    </row>
    <row r="201" spans="1:23" s="830" customFormat="1" ht="15.75" customHeight="1">
      <c r="A201" s="831"/>
      <c r="B201" s="589" t="str">
        <f>B197</f>
        <v>vertikal</v>
      </c>
      <c r="C201" s="826">
        <f>C200</f>
        <v>8</v>
      </c>
      <c r="D201" s="826"/>
      <c r="E201" s="826">
        <f>0.15+E197</f>
        <v>0.35</v>
      </c>
      <c r="F201" s="826"/>
      <c r="G201" s="826"/>
      <c r="H201" s="826"/>
      <c r="I201" s="826"/>
      <c r="J201" s="826"/>
      <c r="K201" s="826"/>
      <c r="L201" s="826">
        <f>L200</f>
        <v>2</v>
      </c>
      <c r="M201" s="835">
        <f>C201*E201*L201</f>
        <v>5.6</v>
      </c>
      <c r="N201" s="834"/>
      <c r="O201" s="814"/>
      <c r="P201" s="766"/>
      <c r="Q201" s="766"/>
      <c r="R201" s="766"/>
      <c r="S201" s="766"/>
      <c r="T201" s="766"/>
      <c r="U201" s="829"/>
      <c r="V201" s="829"/>
      <c r="W201" s="829"/>
    </row>
    <row r="202" spans="1:23" s="830" customFormat="1" ht="15.75" customHeight="1">
      <c r="A202" s="831"/>
      <c r="B202" s="351"/>
      <c r="C202" s="826"/>
      <c r="D202" s="826"/>
      <c r="E202" s="826"/>
      <c r="F202" s="826"/>
      <c r="G202" s="826"/>
      <c r="H202" s="826"/>
      <c r="I202" s="826"/>
      <c r="J202" s="826"/>
      <c r="K202" s="826"/>
      <c r="L202" s="826"/>
      <c r="M202" s="827">
        <f>SUM(M200:M201)</f>
        <v>11.2</v>
      </c>
      <c r="N202" s="828" t="s">
        <v>89</v>
      </c>
      <c r="O202" s="814">
        <f>ROUND((M202),2)</f>
        <v>11.2</v>
      </c>
      <c r="P202" s="766"/>
      <c r="Q202" s="766"/>
      <c r="R202" s="766"/>
      <c r="S202" s="766"/>
      <c r="T202" s="766"/>
      <c r="U202" s="829"/>
      <c r="V202" s="829"/>
      <c r="W202" s="829"/>
    </row>
    <row r="203" spans="1:23" s="830" customFormat="1" ht="15.75" customHeight="1">
      <c r="A203" s="831" t="s">
        <v>101</v>
      </c>
      <c r="B203" s="359" t="s">
        <v>413</v>
      </c>
      <c r="C203" s="826"/>
      <c r="D203" s="826"/>
      <c r="E203" s="826"/>
      <c r="F203" s="826"/>
      <c r="G203" s="826"/>
      <c r="H203" s="826"/>
      <c r="I203" s="826"/>
      <c r="J203" s="826"/>
      <c r="K203" s="826"/>
      <c r="L203" s="826"/>
      <c r="M203" s="833"/>
      <c r="N203" s="834"/>
      <c r="O203" s="814"/>
      <c r="P203" s="766"/>
      <c r="Q203" s="766"/>
      <c r="R203" s="766"/>
      <c r="S203" s="766"/>
      <c r="T203" s="766"/>
      <c r="U203" s="829"/>
      <c r="V203" s="829"/>
      <c r="W203" s="829"/>
    </row>
    <row r="204" spans="1:23" s="830" customFormat="1" ht="15.75" customHeight="1">
      <c r="A204" s="831"/>
      <c r="B204" s="589" t="str">
        <f>B200</f>
        <v>horisontal</v>
      </c>
      <c r="C204" s="826">
        <f>C200</f>
        <v>8</v>
      </c>
      <c r="D204" s="826">
        <v>1</v>
      </c>
      <c r="E204" s="826">
        <f>0.15-0.07-0.03</f>
        <v>4.9999999999999989E-2</v>
      </c>
      <c r="F204" s="826"/>
      <c r="G204" s="826"/>
      <c r="H204" s="826"/>
      <c r="I204" s="826"/>
      <c r="J204" s="826"/>
      <c r="K204" s="826"/>
      <c r="L204" s="826">
        <f>L200</f>
        <v>2</v>
      </c>
      <c r="M204" s="833">
        <f>C204*D204*E204*L204</f>
        <v>0.79999999999999982</v>
      </c>
      <c r="N204" s="834"/>
      <c r="O204" s="814"/>
      <c r="P204" s="766"/>
      <c r="Q204" s="766"/>
      <c r="R204" s="766"/>
      <c r="S204" s="766"/>
      <c r="T204" s="766"/>
      <c r="U204" s="829"/>
      <c r="V204" s="829"/>
      <c r="W204" s="829"/>
    </row>
    <row r="205" spans="1:23" s="830" customFormat="1" ht="15.75" customHeight="1">
      <c r="A205" s="831"/>
      <c r="B205" s="589" t="str">
        <f>B201</f>
        <v>vertikal</v>
      </c>
      <c r="C205" s="826">
        <f>C201-2</f>
        <v>6</v>
      </c>
      <c r="D205" s="826">
        <f>D204</f>
        <v>1</v>
      </c>
      <c r="E205" s="826">
        <f>E204</f>
        <v>4.9999999999999989E-2</v>
      </c>
      <c r="F205" s="826"/>
      <c r="G205" s="826"/>
      <c r="H205" s="826"/>
      <c r="I205" s="826"/>
      <c r="J205" s="826"/>
      <c r="K205" s="826"/>
      <c r="L205" s="826">
        <f>L204</f>
        <v>2</v>
      </c>
      <c r="M205" s="835">
        <f>C205*D205*E205*L205</f>
        <v>0.59999999999999987</v>
      </c>
      <c r="N205" s="834"/>
      <c r="O205" s="814"/>
      <c r="P205" s="766"/>
      <c r="Q205" s="766"/>
      <c r="R205" s="766"/>
      <c r="S205" s="766"/>
      <c r="T205" s="766"/>
      <c r="U205" s="829"/>
      <c r="V205" s="829"/>
      <c r="W205" s="829"/>
    </row>
    <row r="206" spans="1:23" s="830" customFormat="1" ht="15.75" customHeight="1">
      <c r="A206" s="831"/>
      <c r="B206" s="351"/>
      <c r="C206" s="826"/>
      <c r="D206" s="826"/>
      <c r="E206" s="826"/>
      <c r="F206" s="826"/>
      <c r="G206" s="826"/>
      <c r="H206" s="826"/>
      <c r="I206" s="826"/>
      <c r="J206" s="826"/>
      <c r="K206" s="826"/>
      <c r="L206" s="826"/>
      <c r="M206" s="827">
        <f>SUM(M204:M205)</f>
        <v>1.3999999999999997</v>
      </c>
      <c r="N206" s="828" t="s">
        <v>103</v>
      </c>
      <c r="O206" s="814">
        <f>ROUND((M206),2)</f>
        <v>1.4</v>
      </c>
      <c r="P206" s="766"/>
      <c r="Q206" s="766"/>
      <c r="R206" s="766"/>
      <c r="S206" s="766"/>
      <c r="T206" s="766"/>
      <c r="U206" s="829"/>
      <c r="V206" s="829"/>
      <c r="W206" s="829"/>
    </row>
    <row r="207" spans="1:23" s="830" customFormat="1" ht="15.75" customHeight="1">
      <c r="A207" s="831" t="s">
        <v>121</v>
      </c>
      <c r="B207" s="351" t="s">
        <v>414</v>
      </c>
      <c r="C207" s="826"/>
      <c r="D207" s="826"/>
      <c r="E207" s="826"/>
      <c r="F207" s="826"/>
      <c r="G207" s="826"/>
      <c r="H207" s="826"/>
      <c r="I207" s="826"/>
      <c r="J207" s="826"/>
      <c r="K207" s="826"/>
      <c r="L207" s="826"/>
      <c r="M207" s="833">
        <f>M206</f>
        <v>1.3999999999999997</v>
      </c>
      <c r="N207" s="834" t="s">
        <v>103</v>
      </c>
      <c r="O207" s="814">
        <f>ROUND((M207),2)</f>
        <v>1.4</v>
      </c>
      <c r="P207" s="766"/>
      <c r="Q207" s="766"/>
      <c r="R207" s="766"/>
      <c r="S207" s="766"/>
      <c r="T207" s="766"/>
      <c r="U207" s="829"/>
      <c r="V207" s="829"/>
      <c r="W207" s="829"/>
    </row>
    <row r="208" spans="1:23" s="830" customFormat="1" ht="15.75" customHeight="1">
      <c r="A208" s="831" t="s">
        <v>142</v>
      </c>
      <c r="B208" s="351" t="s">
        <v>441</v>
      </c>
      <c r="C208" s="826"/>
      <c r="D208" s="826"/>
      <c r="E208" s="826"/>
      <c r="F208" s="826"/>
      <c r="G208" s="826"/>
      <c r="H208" s="826"/>
      <c r="I208" s="826"/>
      <c r="J208" s="826"/>
      <c r="K208" s="826"/>
      <c r="L208" s="826"/>
      <c r="M208" s="833"/>
      <c r="N208" s="834"/>
      <c r="O208" s="814"/>
      <c r="P208" s="766"/>
      <c r="Q208" s="766"/>
      <c r="R208" s="766"/>
      <c r="S208" s="766"/>
      <c r="T208" s="766"/>
      <c r="U208" s="829"/>
      <c r="V208" s="829"/>
      <c r="W208" s="829"/>
    </row>
    <row r="209" spans="1:23" s="830" customFormat="1" ht="15.75" customHeight="1">
      <c r="A209" s="831"/>
      <c r="B209" s="589" t="str">
        <f t="shared" ref="B209:D210" si="8">B204</f>
        <v>horisontal</v>
      </c>
      <c r="C209" s="826">
        <f t="shared" si="8"/>
        <v>8</v>
      </c>
      <c r="D209" s="826">
        <f t="shared" si="8"/>
        <v>1</v>
      </c>
      <c r="E209" s="826">
        <v>0.03</v>
      </c>
      <c r="F209" s="826"/>
      <c r="G209" s="826"/>
      <c r="H209" s="826"/>
      <c r="I209" s="826"/>
      <c r="J209" s="826"/>
      <c r="K209" s="826"/>
      <c r="L209" s="826">
        <f>L205</f>
        <v>2</v>
      </c>
      <c r="M209" s="833">
        <f>C209*D209*E209*L209</f>
        <v>0.48</v>
      </c>
      <c r="N209" s="834"/>
      <c r="O209" s="814"/>
      <c r="P209" s="766"/>
      <c r="Q209" s="766"/>
      <c r="R209" s="766"/>
      <c r="S209" s="766"/>
      <c r="T209" s="766"/>
      <c r="U209" s="829"/>
      <c r="V209" s="829"/>
      <c r="W209" s="829"/>
    </row>
    <row r="210" spans="1:23" s="830" customFormat="1" ht="15.75" customHeight="1">
      <c r="A210" s="831"/>
      <c r="B210" s="589" t="str">
        <f t="shared" si="8"/>
        <v>vertikal</v>
      </c>
      <c r="C210" s="826">
        <f t="shared" si="8"/>
        <v>6</v>
      </c>
      <c r="D210" s="826">
        <f t="shared" si="8"/>
        <v>1</v>
      </c>
      <c r="E210" s="826">
        <f>E209</f>
        <v>0.03</v>
      </c>
      <c r="F210" s="826"/>
      <c r="G210" s="826"/>
      <c r="H210" s="826"/>
      <c r="I210" s="826"/>
      <c r="J210" s="826"/>
      <c r="K210" s="826"/>
      <c r="L210" s="826">
        <f>L209</f>
        <v>2</v>
      </c>
      <c r="M210" s="835">
        <f>C210*D210*E210*L210</f>
        <v>0.36</v>
      </c>
      <c r="N210" s="834"/>
      <c r="O210" s="814"/>
      <c r="P210" s="766"/>
      <c r="Q210" s="766"/>
      <c r="R210" s="766"/>
      <c r="S210" s="766"/>
      <c r="T210" s="766"/>
      <c r="U210" s="829"/>
      <c r="V210" s="829"/>
      <c r="W210" s="829"/>
    </row>
    <row r="211" spans="1:23" s="830" customFormat="1" ht="15.75" customHeight="1">
      <c r="A211" s="831"/>
      <c r="B211" s="351"/>
      <c r="C211" s="826"/>
      <c r="D211" s="826"/>
      <c r="E211" s="826"/>
      <c r="F211" s="826"/>
      <c r="G211" s="826"/>
      <c r="H211" s="826"/>
      <c r="I211" s="826"/>
      <c r="J211" s="826"/>
      <c r="K211" s="826"/>
      <c r="L211" s="826"/>
      <c r="M211" s="827">
        <f>SUM(M209:M210)</f>
        <v>0.84</v>
      </c>
      <c r="N211" s="828" t="s">
        <v>103</v>
      </c>
      <c r="O211" s="814">
        <f>ROUND((M211),2)</f>
        <v>0.84</v>
      </c>
      <c r="P211" s="766"/>
      <c r="Q211" s="766"/>
      <c r="R211" s="766"/>
      <c r="S211" s="766"/>
      <c r="T211" s="766"/>
      <c r="U211" s="829"/>
      <c r="V211" s="829"/>
      <c r="W211" s="829"/>
    </row>
    <row r="212" spans="1:23" s="830" customFormat="1" ht="15.75" customHeight="1">
      <c r="A212" s="831" t="s">
        <v>217</v>
      </c>
      <c r="B212" s="351" t="s">
        <v>648</v>
      </c>
      <c r="C212" s="826"/>
      <c r="D212" s="826"/>
      <c r="E212" s="826"/>
      <c r="F212" s="826"/>
      <c r="G212" s="826"/>
      <c r="H212" s="826"/>
      <c r="I212" s="826"/>
      <c r="J212" s="826"/>
      <c r="K212" s="826"/>
      <c r="L212" s="826"/>
      <c r="M212" s="833"/>
      <c r="N212" s="834"/>
      <c r="O212" s="814"/>
      <c r="P212" s="766"/>
      <c r="Q212" s="766"/>
      <c r="R212" s="766"/>
      <c r="S212" s="766"/>
      <c r="T212" s="766"/>
      <c r="U212" s="829"/>
      <c r="V212" s="829"/>
      <c r="W212" s="829"/>
    </row>
    <row r="213" spans="1:23" s="830" customFormat="1" ht="15.75" customHeight="1">
      <c r="A213" s="831"/>
      <c r="B213" s="589" t="str">
        <f t="shared" ref="B213:D214" si="9">B209</f>
        <v>horisontal</v>
      </c>
      <c r="C213" s="826">
        <f t="shared" si="9"/>
        <v>8</v>
      </c>
      <c r="D213" s="826">
        <f t="shared" si="9"/>
        <v>1</v>
      </c>
      <c r="E213" s="826">
        <v>7.0000000000000007E-2</v>
      </c>
      <c r="F213" s="826"/>
      <c r="G213" s="826"/>
      <c r="H213" s="826"/>
      <c r="I213" s="826"/>
      <c r="J213" s="826"/>
      <c r="K213" s="826"/>
      <c r="L213" s="826">
        <f>L209</f>
        <v>2</v>
      </c>
      <c r="M213" s="833">
        <f>C213*D213*E213*L213</f>
        <v>1.1200000000000001</v>
      </c>
      <c r="N213" s="834"/>
      <c r="O213" s="814"/>
      <c r="P213" s="766"/>
      <c r="Q213" s="766"/>
      <c r="R213" s="766"/>
      <c r="S213" s="766"/>
      <c r="T213" s="766"/>
      <c r="U213" s="829"/>
      <c r="V213" s="829"/>
      <c r="W213" s="829"/>
    </row>
    <row r="214" spans="1:23" s="830" customFormat="1" ht="15.75" customHeight="1">
      <c r="A214" s="831"/>
      <c r="B214" s="589" t="str">
        <f t="shared" si="9"/>
        <v>vertikal</v>
      </c>
      <c r="C214" s="826">
        <f t="shared" si="9"/>
        <v>6</v>
      </c>
      <c r="D214" s="826">
        <f t="shared" si="9"/>
        <v>1</v>
      </c>
      <c r="E214" s="826">
        <f>E213</f>
        <v>7.0000000000000007E-2</v>
      </c>
      <c r="F214" s="826"/>
      <c r="G214" s="826"/>
      <c r="H214" s="826"/>
      <c r="I214" s="826"/>
      <c r="J214" s="826"/>
      <c r="K214" s="826"/>
      <c r="L214" s="826">
        <f>L213</f>
        <v>2</v>
      </c>
      <c r="M214" s="835">
        <f>C214*D214*E214*L214</f>
        <v>0.84000000000000008</v>
      </c>
      <c r="N214" s="834"/>
      <c r="O214" s="814"/>
      <c r="P214" s="766"/>
      <c r="Q214" s="766"/>
      <c r="R214" s="766"/>
      <c r="S214" s="766"/>
      <c r="T214" s="766"/>
      <c r="U214" s="829"/>
      <c r="V214" s="829"/>
      <c r="W214" s="829"/>
    </row>
    <row r="215" spans="1:23" s="830" customFormat="1" ht="15.75" customHeight="1">
      <c r="A215" s="831"/>
      <c r="B215" s="351"/>
      <c r="C215" s="826"/>
      <c r="D215" s="826"/>
      <c r="E215" s="826"/>
      <c r="F215" s="826"/>
      <c r="G215" s="826"/>
      <c r="H215" s="826"/>
      <c r="I215" s="826"/>
      <c r="J215" s="826"/>
      <c r="K215" s="826"/>
      <c r="L215" s="826"/>
      <c r="M215" s="827">
        <f>SUM(M213:M214)</f>
        <v>1.9600000000000002</v>
      </c>
      <c r="N215" s="828" t="s">
        <v>103</v>
      </c>
      <c r="O215" s="814">
        <f>ROUND((M215),2)</f>
        <v>1.96</v>
      </c>
      <c r="P215" s="766"/>
      <c r="Q215" s="766"/>
      <c r="R215" s="766"/>
      <c r="S215" s="766"/>
      <c r="T215" s="766"/>
      <c r="U215" s="829"/>
      <c r="V215" s="829"/>
      <c r="W215" s="829"/>
    </row>
    <row r="216" spans="1:23" s="838" customFormat="1" ht="15.75" customHeight="1">
      <c r="A216" s="836">
        <f>A194+1</f>
        <v>14</v>
      </c>
      <c r="B216" s="389" t="s">
        <v>1232</v>
      </c>
      <c r="C216" s="428"/>
      <c r="D216" s="428"/>
      <c r="E216" s="428"/>
      <c r="F216" s="428"/>
      <c r="G216" s="428"/>
      <c r="H216" s="428"/>
      <c r="I216" s="428"/>
      <c r="J216" s="428"/>
      <c r="K216" s="428"/>
      <c r="L216" s="428"/>
      <c r="M216" s="833"/>
      <c r="N216" s="834"/>
      <c r="O216" s="814"/>
      <c r="P216" s="442"/>
      <c r="Q216" s="442"/>
      <c r="R216" s="442"/>
      <c r="S216" s="442"/>
      <c r="T216" s="442"/>
      <c r="U216" s="837"/>
      <c r="V216" s="837"/>
      <c r="W216" s="837"/>
    </row>
    <row r="217" spans="1:23" s="838" customFormat="1" ht="15.75" customHeight="1">
      <c r="A217" s="451" t="s">
        <v>95</v>
      </c>
      <c r="B217" s="389" t="s">
        <v>211</v>
      </c>
      <c r="C217" s="428"/>
      <c r="D217" s="428"/>
      <c r="E217" s="428"/>
      <c r="F217" s="428"/>
      <c r="G217" s="428"/>
      <c r="H217" s="428"/>
      <c r="I217" s="428"/>
      <c r="J217" s="428"/>
      <c r="K217" s="428"/>
      <c r="L217" s="428"/>
      <c r="M217" s="390"/>
      <c r="N217" s="839"/>
      <c r="O217" s="814"/>
      <c r="P217" s="442"/>
      <c r="Q217" s="442"/>
      <c r="R217" s="442"/>
      <c r="S217" s="442"/>
      <c r="T217" s="442"/>
      <c r="U217" s="837"/>
      <c r="V217" s="837"/>
      <c r="W217" s="837"/>
    </row>
    <row r="218" spans="1:23" s="838" customFormat="1" ht="15.75" customHeight="1">
      <c r="A218" s="451"/>
      <c r="B218" s="840" t="s">
        <v>1135</v>
      </c>
      <c r="C218" s="428"/>
      <c r="D218" s="428"/>
      <c r="E218" s="428"/>
      <c r="F218" s="428"/>
      <c r="G218" s="428"/>
      <c r="H218" s="428"/>
      <c r="I218" s="428"/>
      <c r="J218" s="428"/>
      <c r="K218" s="428"/>
      <c r="L218" s="428"/>
      <c r="M218" s="390"/>
      <c r="N218" s="839"/>
      <c r="O218" s="814"/>
      <c r="P218" s="442"/>
      <c r="Q218" s="442"/>
      <c r="R218" s="442"/>
      <c r="S218" s="442"/>
      <c r="T218" s="442"/>
      <c r="U218" s="837"/>
      <c r="V218" s="837"/>
      <c r="W218" s="837"/>
    </row>
    <row r="219" spans="1:23" s="838" customFormat="1" ht="15.75" customHeight="1">
      <c r="A219" s="451"/>
      <c r="B219" s="682" t="s">
        <v>1233</v>
      </c>
      <c r="C219" s="428">
        <f>1.3+(0.12*2)</f>
        <v>1.54</v>
      </c>
      <c r="D219" s="428">
        <v>0.3</v>
      </c>
      <c r="E219" s="428"/>
      <c r="F219" s="428"/>
      <c r="G219" s="428"/>
      <c r="H219" s="428"/>
      <c r="I219" s="428"/>
      <c r="J219" s="428"/>
      <c r="K219" s="428"/>
      <c r="L219" s="428">
        <v>1</v>
      </c>
      <c r="M219" s="390">
        <f>C219*D219*L219</f>
        <v>0.46199999999999997</v>
      </c>
      <c r="N219" s="839"/>
      <c r="O219" s="814"/>
      <c r="P219" s="442"/>
      <c r="Q219" s="442"/>
      <c r="R219" s="442"/>
      <c r="S219" s="442"/>
      <c r="T219" s="442"/>
      <c r="U219" s="837"/>
      <c r="V219" s="837"/>
      <c r="W219" s="837"/>
    </row>
    <row r="220" spans="1:23" s="838" customFormat="1" ht="15.75" customHeight="1">
      <c r="A220" s="451"/>
      <c r="B220" s="682" t="s">
        <v>1234</v>
      </c>
      <c r="C220" s="428">
        <f>2.5+(0.12*2)</f>
        <v>2.74</v>
      </c>
      <c r="D220" s="428">
        <f>D219</f>
        <v>0.3</v>
      </c>
      <c r="E220" s="428"/>
      <c r="F220" s="428"/>
      <c r="G220" s="428"/>
      <c r="H220" s="428"/>
      <c r="I220" s="428"/>
      <c r="J220" s="428"/>
      <c r="K220" s="428"/>
      <c r="L220" s="428">
        <v>3</v>
      </c>
      <c r="M220" s="390">
        <f>C220*D220*L220</f>
        <v>2.4660000000000002</v>
      </c>
      <c r="N220" s="839"/>
      <c r="O220" s="814"/>
      <c r="P220" s="442"/>
      <c r="Q220" s="442"/>
      <c r="R220" s="442"/>
      <c r="S220" s="442"/>
      <c r="T220" s="442"/>
      <c r="U220" s="837"/>
      <c r="V220" s="837"/>
      <c r="W220" s="837"/>
    </row>
    <row r="221" spans="1:23" s="838" customFormat="1" ht="15.75" customHeight="1">
      <c r="A221" s="451"/>
      <c r="B221" s="682" t="s">
        <v>1235</v>
      </c>
      <c r="C221" s="428">
        <f>0.88+(0.07*2)</f>
        <v>1.02</v>
      </c>
      <c r="D221" s="428">
        <f>D220</f>
        <v>0.3</v>
      </c>
      <c r="E221" s="428"/>
      <c r="F221" s="428"/>
      <c r="G221" s="428"/>
      <c r="H221" s="428"/>
      <c r="I221" s="428"/>
      <c r="J221" s="428"/>
      <c r="K221" s="428"/>
      <c r="L221" s="428">
        <v>1</v>
      </c>
      <c r="M221" s="390">
        <f>C221*D221*L221</f>
        <v>0.30599999999999999</v>
      </c>
      <c r="N221" s="839"/>
      <c r="O221" s="814"/>
      <c r="P221" s="442"/>
      <c r="Q221" s="442"/>
      <c r="R221" s="442"/>
      <c r="S221" s="442"/>
      <c r="T221" s="442"/>
      <c r="U221" s="837"/>
      <c r="V221" s="837"/>
      <c r="W221" s="837"/>
    </row>
    <row r="222" spans="1:23" s="838" customFormat="1" ht="15.75" customHeight="1">
      <c r="A222" s="451"/>
      <c r="B222" s="840" t="s">
        <v>1136</v>
      </c>
      <c r="C222" s="428"/>
      <c r="D222" s="428"/>
      <c r="E222" s="428"/>
      <c r="F222" s="428"/>
      <c r="G222" s="428"/>
      <c r="H222" s="428"/>
      <c r="I222" s="428"/>
      <c r="J222" s="428"/>
      <c r="K222" s="428"/>
      <c r="L222" s="428"/>
      <c r="M222" s="390"/>
      <c r="N222" s="839"/>
      <c r="O222" s="814"/>
      <c r="P222" s="442"/>
      <c r="Q222" s="442"/>
      <c r="R222" s="442"/>
      <c r="S222" s="442"/>
      <c r="T222" s="442"/>
      <c r="U222" s="837"/>
      <c r="V222" s="837"/>
      <c r="W222" s="837"/>
    </row>
    <row r="223" spans="1:23" s="838" customFormat="1" ht="15.75" customHeight="1">
      <c r="A223" s="451"/>
      <c r="B223" s="682" t="str">
        <f t="shared" ref="B223:C225" si="10">B219</f>
        <v>J1</v>
      </c>
      <c r="C223" s="428">
        <f t="shared" si="10"/>
        <v>1.54</v>
      </c>
      <c r="D223" s="428"/>
      <c r="E223" s="428">
        <v>0.1</v>
      </c>
      <c r="F223" s="428"/>
      <c r="G223" s="428"/>
      <c r="H223" s="428"/>
      <c r="I223" s="428"/>
      <c r="J223" s="428"/>
      <c r="K223" s="428"/>
      <c r="L223" s="428">
        <f>L219</f>
        <v>1</v>
      </c>
      <c r="M223" s="390">
        <f>C223*E223*L223</f>
        <v>0.15400000000000003</v>
      </c>
      <c r="N223" s="839"/>
      <c r="O223" s="814"/>
      <c r="P223" s="442"/>
      <c r="Q223" s="442"/>
      <c r="R223" s="442"/>
      <c r="S223" s="442"/>
      <c r="T223" s="442"/>
      <c r="U223" s="837"/>
      <c r="V223" s="837"/>
      <c r="W223" s="837"/>
    </row>
    <row r="224" spans="1:23" s="838" customFormat="1" ht="15.75" customHeight="1">
      <c r="A224" s="451"/>
      <c r="B224" s="682" t="str">
        <f t="shared" si="10"/>
        <v>J2</v>
      </c>
      <c r="C224" s="428">
        <f t="shared" si="10"/>
        <v>2.74</v>
      </c>
      <c r="D224" s="428"/>
      <c r="E224" s="428">
        <f>E223</f>
        <v>0.1</v>
      </c>
      <c r="F224" s="428"/>
      <c r="G224" s="428"/>
      <c r="H224" s="428"/>
      <c r="I224" s="428"/>
      <c r="J224" s="428"/>
      <c r="K224" s="428"/>
      <c r="L224" s="428">
        <f>L220</f>
        <v>3</v>
      </c>
      <c r="M224" s="390">
        <f>C224*E224*L224</f>
        <v>0.82200000000000006</v>
      </c>
      <c r="N224" s="839"/>
      <c r="O224" s="814"/>
      <c r="P224" s="442"/>
      <c r="Q224" s="442"/>
      <c r="R224" s="442"/>
      <c r="S224" s="442"/>
      <c r="T224" s="442"/>
      <c r="U224" s="837"/>
      <c r="V224" s="837"/>
      <c r="W224" s="837"/>
    </row>
    <row r="225" spans="1:23" s="838" customFormat="1" ht="15.75" customHeight="1">
      <c r="A225" s="451"/>
      <c r="B225" s="682" t="str">
        <f t="shared" si="10"/>
        <v>P3</v>
      </c>
      <c r="C225" s="428">
        <f t="shared" si="10"/>
        <v>1.02</v>
      </c>
      <c r="D225" s="428"/>
      <c r="E225" s="428">
        <f>E224</f>
        <v>0.1</v>
      </c>
      <c r="F225" s="428"/>
      <c r="G225" s="428"/>
      <c r="H225" s="428"/>
      <c r="I225" s="428"/>
      <c r="J225" s="428"/>
      <c r="K225" s="428"/>
      <c r="L225" s="428">
        <f>L221</f>
        <v>1</v>
      </c>
      <c r="M225" s="390">
        <f>C225*E225*L225</f>
        <v>0.10200000000000001</v>
      </c>
      <c r="N225" s="839"/>
      <c r="O225" s="814"/>
      <c r="P225" s="442"/>
      <c r="Q225" s="442"/>
      <c r="R225" s="442"/>
      <c r="S225" s="442"/>
      <c r="T225" s="442"/>
      <c r="U225" s="837"/>
      <c r="V225" s="837"/>
      <c r="W225" s="837"/>
    </row>
    <row r="226" spans="1:23" s="838" customFormat="1" ht="15.75" customHeight="1">
      <c r="A226" s="451"/>
      <c r="B226" s="840" t="s">
        <v>1137</v>
      </c>
      <c r="C226" s="428"/>
      <c r="D226" s="428"/>
      <c r="E226" s="428"/>
      <c r="F226" s="428"/>
      <c r="G226" s="428"/>
      <c r="H226" s="428"/>
      <c r="I226" s="428"/>
      <c r="J226" s="428"/>
      <c r="K226" s="428"/>
      <c r="L226" s="428"/>
      <c r="M226" s="390"/>
      <c r="N226" s="839"/>
      <c r="O226" s="814"/>
      <c r="P226" s="442"/>
      <c r="Q226" s="442"/>
      <c r="R226" s="442"/>
      <c r="S226" s="442"/>
      <c r="T226" s="442"/>
      <c r="U226" s="837"/>
      <c r="V226" s="837"/>
      <c r="W226" s="837"/>
    </row>
    <row r="227" spans="1:23" s="838" customFormat="1" ht="15.75" customHeight="1">
      <c r="A227" s="451"/>
      <c r="B227" s="682" t="str">
        <f>B223</f>
        <v>J1</v>
      </c>
      <c r="C227" s="428">
        <f>D219</f>
        <v>0.3</v>
      </c>
      <c r="D227" s="428"/>
      <c r="E227" s="428">
        <v>0.1</v>
      </c>
      <c r="F227" s="428"/>
      <c r="G227" s="428"/>
      <c r="H227" s="428"/>
      <c r="I227" s="428"/>
      <c r="J227" s="428"/>
      <c r="K227" s="428"/>
      <c r="L227" s="428">
        <f>L223</f>
        <v>1</v>
      </c>
      <c r="M227" s="390">
        <f>C227*E227*L227</f>
        <v>0.03</v>
      </c>
      <c r="N227" s="839"/>
      <c r="O227" s="814"/>
      <c r="P227" s="442"/>
      <c r="Q227" s="442"/>
      <c r="R227" s="442"/>
      <c r="S227" s="442"/>
      <c r="T227" s="442"/>
      <c r="U227" s="837"/>
      <c r="V227" s="837"/>
      <c r="W227" s="837"/>
    </row>
    <row r="228" spans="1:23" s="838" customFormat="1" ht="15.75" customHeight="1">
      <c r="A228" s="451"/>
      <c r="B228" s="682" t="str">
        <f>B224</f>
        <v>J2</v>
      </c>
      <c r="C228" s="428">
        <f>D220</f>
        <v>0.3</v>
      </c>
      <c r="D228" s="428"/>
      <c r="E228" s="428">
        <f>E227</f>
        <v>0.1</v>
      </c>
      <c r="F228" s="428"/>
      <c r="G228" s="428"/>
      <c r="H228" s="428"/>
      <c r="I228" s="428"/>
      <c r="J228" s="428"/>
      <c r="K228" s="428"/>
      <c r="L228" s="428">
        <f>L224</f>
        <v>3</v>
      </c>
      <c r="M228" s="390">
        <f>C228*E228*L228</f>
        <v>0.09</v>
      </c>
      <c r="N228" s="839"/>
      <c r="O228" s="814"/>
      <c r="P228" s="442"/>
      <c r="Q228" s="442"/>
      <c r="R228" s="442"/>
      <c r="S228" s="442"/>
      <c r="T228" s="442"/>
      <c r="U228" s="837"/>
      <c r="V228" s="837"/>
      <c r="W228" s="837"/>
    </row>
    <row r="229" spans="1:23" s="838" customFormat="1" ht="15.75" customHeight="1">
      <c r="A229" s="451"/>
      <c r="B229" s="682" t="str">
        <f>B225</f>
        <v>P3</v>
      </c>
      <c r="C229" s="428">
        <f>D221</f>
        <v>0.3</v>
      </c>
      <c r="D229" s="428"/>
      <c r="E229" s="428">
        <f>E228</f>
        <v>0.1</v>
      </c>
      <c r="F229" s="428"/>
      <c r="G229" s="428"/>
      <c r="H229" s="428"/>
      <c r="I229" s="428"/>
      <c r="J229" s="428"/>
      <c r="K229" s="428"/>
      <c r="L229" s="428">
        <f>L225</f>
        <v>1</v>
      </c>
      <c r="M229" s="390">
        <f>C229*E229*L229</f>
        <v>0.03</v>
      </c>
      <c r="N229" s="839"/>
      <c r="O229" s="814"/>
      <c r="P229" s="442"/>
      <c r="Q229" s="442"/>
      <c r="R229" s="442"/>
      <c r="S229" s="442"/>
      <c r="T229" s="442"/>
      <c r="U229" s="837"/>
      <c r="V229" s="837"/>
      <c r="W229" s="837"/>
    </row>
    <row r="230" spans="1:23" s="838" customFormat="1" ht="15.75" customHeight="1">
      <c r="A230" s="451"/>
      <c r="B230" s="389"/>
      <c r="C230" s="428"/>
      <c r="D230" s="428"/>
      <c r="E230" s="428"/>
      <c r="F230" s="428"/>
      <c r="G230" s="428"/>
      <c r="H230" s="428"/>
      <c r="I230" s="428"/>
      <c r="J230" s="428"/>
      <c r="K230" s="428"/>
      <c r="L230" s="428"/>
      <c r="M230" s="841">
        <f>SUM(M219:M229)</f>
        <v>4.4620000000000006</v>
      </c>
      <c r="N230" s="842" t="s">
        <v>89</v>
      </c>
      <c r="O230" s="814">
        <f>ROUND((M230),2)</f>
        <v>4.46</v>
      </c>
      <c r="P230" s="442"/>
      <c r="Q230" s="442"/>
      <c r="R230" s="442"/>
      <c r="S230" s="442"/>
      <c r="T230" s="442"/>
      <c r="U230" s="837"/>
      <c r="V230" s="837"/>
      <c r="W230" s="837"/>
    </row>
    <row r="231" spans="1:23" s="838" customFormat="1" ht="15.75" customHeight="1">
      <c r="A231" s="451" t="s">
        <v>98</v>
      </c>
      <c r="B231" s="450" t="s">
        <v>419</v>
      </c>
      <c r="C231" s="428"/>
      <c r="D231" s="428"/>
      <c r="E231" s="428"/>
      <c r="F231" s="428"/>
      <c r="G231" s="428"/>
      <c r="H231" s="428"/>
      <c r="I231" s="428"/>
      <c r="J231" s="428"/>
      <c r="K231" s="428"/>
      <c r="L231" s="428"/>
      <c r="M231" s="390"/>
      <c r="N231" s="839"/>
      <c r="O231" s="814"/>
      <c r="P231" s="442"/>
      <c r="Q231" s="442"/>
      <c r="R231" s="442"/>
      <c r="S231" s="442"/>
      <c r="T231" s="442"/>
      <c r="U231" s="837"/>
      <c r="V231" s="837"/>
      <c r="W231" s="837"/>
    </row>
    <row r="232" spans="1:23" s="838" customFormat="1" ht="15.75" customHeight="1">
      <c r="A232" s="451"/>
      <c r="B232" s="682" t="str">
        <f>B227</f>
        <v>J1</v>
      </c>
      <c r="C232" s="428">
        <f>D219</f>
        <v>0.3</v>
      </c>
      <c r="D232" s="428"/>
      <c r="E232" s="428"/>
      <c r="F232" s="428"/>
      <c r="G232" s="428"/>
      <c r="H232" s="428">
        <f>ROUNDUP((C233/0.15),0.1)+1</f>
        <v>12</v>
      </c>
      <c r="I232" s="428"/>
      <c r="J232" s="428"/>
      <c r="K232" s="428">
        <f>8*8*0.006165</f>
        <v>0.39456000000000002</v>
      </c>
      <c r="L232" s="428">
        <f>L219</f>
        <v>1</v>
      </c>
      <c r="M232" s="390">
        <f t="shared" ref="M232:M237" si="11">C232*H232*K232*L232</f>
        <v>1.4204159999999999</v>
      </c>
      <c r="N232" s="839"/>
      <c r="O232" s="814"/>
      <c r="P232" s="442"/>
      <c r="Q232" s="442"/>
      <c r="R232" s="442"/>
      <c r="S232" s="442"/>
      <c r="T232" s="442"/>
      <c r="U232" s="837"/>
      <c r="V232" s="837"/>
      <c r="W232" s="837"/>
    </row>
    <row r="233" spans="1:23" s="838" customFormat="1" ht="15.75" customHeight="1">
      <c r="A233" s="451"/>
      <c r="B233" s="682"/>
      <c r="C233" s="428">
        <f>C219</f>
        <v>1.54</v>
      </c>
      <c r="D233" s="428"/>
      <c r="E233" s="428"/>
      <c r="F233" s="428"/>
      <c r="G233" s="428"/>
      <c r="H233" s="428">
        <f>ROUNDUP((C232/0.15),0.1)+1</f>
        <v>3</v>
      </c>
      <c r="I233" s="428"/>
      <c r="J233" s="428"/>
      <c r="K233" s="428">
        <f>K232</f>
        <v>0.39456000000000002</v>
      </c>
      <c r="L233" s="428">
        <f>L232</f>
        <v>1</v>
      </c>
      <c r="M233" s="390">
        <f t="shared" si="11"/>
        <v>1.8228672000000001</v>
      </c>
      <c r="N233" s="839"/>
      <c r="O233" s="814"/>
      <c r="P233" s="442"/>
      <c r="Q233" s="442"/>
      <c r="R233" s="442"/>
      <c r="S233" s="442"/>
      <c r="T233" s="442"/>
      <c r="U233" s="837"/>
      <c r="V233" s="837"/>
      <c r="W233" s="837"/>
    </row>
    <row r="234" spans="1:23" s="838" customFormat="1" ht="15.75" customHeight="1">
      <c r="A234" s="451"/>
      <c r="B234" s="682" t="str">
        <f>B228</f>
        <v>J2</v>
      </c>
      <c r="C234" s="428">
        <f>D220</f>
        <v>0.3</v>
      </c>
      <c r="D234" s="428"/>
      <c r="E234" s="428"/>
      <c r="F234" s="428"/>
      <c r="G234" s="428"/>
      <c r="H234" s="428">
        <f>ROUNDUP((C235/0.15),0.1)+1</f>
        <v>20</v>
      </c>
      <c r="I234" s="428"/>
      <c r="J234" s="428"/>
      <c r="K234" s="428">
        <f>K233</f>
        <v>0.39456000000000002</v>
      </c>
      <c r="L234" s="428">
        <f>L220</f>
        <v>3</v>
      </c>
      <c r="M234" s="390">
        <f t="shared" si="11"/>
        <v>7.1020800000000008</v>
      </c>
      <c r="N234" s="839"/>
      <c r="O234" s="814"/>
      <c r="P234" s="442"/>
      <c r="Q234" s="442"/>
      <c r="R234" s="442"/>
      <c r="S234" s="442"/>
      <c r="T234" s="442"/>
      <c r="U234" s="837"/>
      <c r="V234" s="837"/>
      <c r="W234" s="837"/>
    </row>
    <row r="235" spans="1:23" s="838" customFormat="1" ht="15.75" customHeight="1">
      <c r="A235" s="451"/>
      <c r="B235" s="682"/>
      <c r="C235" s="428">
        <f>C220</f>
        <v>2.74</v>
      </c>
      <c r="D235" s="428"/>
      <c r="E235" s="428"/>
      <c r="F235" s="428"/>
      <c r="G235" s="428"/>
      <c r="H235" s="428">
        <f>ROUNDUP((C234/0.15),0.1)+1</f>
        <v>3</v>
      </c>
      <c r="I235" s="428"/>
      <c r="J235" s="428"/>
      <c r="K235" s="428">
        <f>K234</f>
        <v>0.39456000000000002</v>
      </c>
      <c r="L235" s="428">
        <f>L234</f>
        <v>3</v>
      </c>
      <c r="M235" s="390">
        <f t="shared" si="11"/>
        <v>9.7298496000000014</v>
      </c>
      <c r="N235" s="839"/>
      <c r="O235" s="814"/>
      <c r="P235" s="442"/>
      <c r="Q235" s="442"/>
      <c r="R235" s="442"/>
      <c r="S235" s="442"/>
      <c r="T235" s="442"/>
      <c r="U235" s="837"/>
      <c r="V235" s="837"/>
      <c r="W235" s="837"/>
    </row>
    <row r="236" spans="1:23" s="838" customFormat="1" ht="15.75" customHeight="1">
      <c r="A236" s="451"/>
      <c r="B236" s="682" t="str">
        <f>B229</f>
        <v>P3</v>
      </c>
      <c r="C236" s="428">
        <f>D221</f>
        <v>0.3</v>
      </c>
      <c r="D236" s="428"/>
      <c r="E236" s="428"/>
      <c r="F236" s="428"/>
      <c r="G236" s="428"/>
      <c r="H236" s="428">
        <f>ROUNDUP((C237/0.15),0.1)+1</f>
        <v>8</v>
      </c>
      <c r="I236" s="428"/>
      <c r="J236" s="428"/>
      <c r="K236" s="428">
        <f>K235</f>
        <v>0.39456000000000002</v>
      </c>
      <c r="L236" s="428">
        <f>L221</f>
        <v>1</v>
      </c>
      <c r="M236" s="390">
        <f t="shared" si="11"/>
        <v>0.94694400000000001</v>
      </c>
      <c r="N236" s="839"/>
      <c r="O236" s="814"/>
      <c r="P236" s="442"/>
      <c r="Q236" s="442"/>
      <c r="R236" s="442"/>
      <c r="S236" s="442"/>
      <c r="T236" s="442"/>
      <c r="U236" s="837"/>
      <c r="V236" s="837"/>
      <c r="W236" s="837"/>
    </row>
    <row r="237" spans="1:23" s="838" customFormat="1" ht="15.75" customHeight="1">
      <c r="A237" s="451"/>
      <c r="B237" s="682"/>
      <c r="C237" s="428">
        <f>C221</f>
        <v>1.02</v>
      </c>
      <c r="D237" s="428"/>
      <c r="E237" s="428"/>
      <c r="F237" s="428"/>
      <c r="G237" s="428"/>
      <c r="H237" s="428">
        <f>ROUNDUP((C236/0.15),0.1)+1</f>
        <v>3</v>
      </c>
      <c r="I237" s="428"/>
      <c r="J237" s="428"/>
      <c r="K237" s="428">
        <f>K236</f>
        <v>0.39456000000000002</v>
      </c>
      <c r="L237" s="428">
        <f>L236</f>
        <v>1</v>
      </c>
      <c r="M237" s="390">
        <f t="shared" si="11"/>
        <v>1.2073536</v>
      </c>
      <c r="N237" s="839"/>
      <c r="O237" s="814"/>
      <c r="P237" s="442"/>
      <c r="Q237" s="442"/>
      <c r="R237" s="442"/>
      <c r="S237" s="442"/>
      <c r="T237" s="442"/>
      <c r="U237" s="837"/>
      <c r="V237" s="837"/>
      <c r="W237" s="837"/>
    </row>
    <row r="238" spans="1:23" s="838" customFormat="1" ht="15.75" customHeight="1">
      <c r="A238" s="451"/>
      <c r="B238" s="389"/>
      <c r="C238" s="428"/>
      <c r="D238" s="428"/>
      <c r="E238" s="428"/>
      <c r="F238" s="428"/>
      <c r="G238" s="428"/>
      <c r="H238" s="428"/>
      <c r="I238" s="428"/>
      <c r="J238" s="428"/>
      <c r="K238" s="428"/>
      <c r="L238" s="428"/>
      <c r="M238" s="841">
        <f>SUM(M232:M237)</f>
        <v>22.229510400000002</v>
      </c>
      <c r="N238" s="842" t="s">
        <v>100</v>
      </c>
      <c r="O238" s="814">
        <f>ROUND((M238),2)</f>
        <v>22.23</v>
      </c>
      <c r="P238" s="442"/>
      <c r="Q238" s="442"/>
      <c r="R238" s="442"/>
      <c r="S238" s="442"/>
      <c r="T238" s="442"/>
      <c r="U238" s="837"/>
      <c r="V238" s="837"/>
      <c r="W238" s="837"/>
    </row>
    <row r="239" spans="1:23" s="838" customFormat="1" ht="15.75" customHeight="1">
      <c r="A239" s="451" t="s">
        <v>101</v>
      </c>
      <c r="B239" s="356" t="s">
        <v>169</v>
      </c>
      <c r="C239" s="428"/>
      <c r="D239" s="428"/>
      <c r="E239" s="428"/>
      <c r="F239" s="428"/>
      <c r="G239" s="428"/>
      <c r="H239" s="428"/>
      <c r="I239" s="428"/>
      <c r="J239" s="428"/>
      <c r="K239" s="428"/>
      <c r="L239" s="428"/>
      <c r="M239" s="390"/>
      <c r="N239" s="839"/>
      <c r="O239" s="814"/>
      <c r="P239" s="442"/>
      <c r="Q239" s="442"/>
      <c r="R239" s="442"/>
      <c r="S239" s="442"/>
      <c r="T239" s="442"/>
      <c r="U239" s="837"/>
      <c r="V239" s="837"/>
      <c r="W239" s="837"/>
    </row>
    <row r="240" spans="1:23" s="838" customFormat="1" ht="15.75" customHeight="1">
      <c r="A240" s="451"/>
      <c r="B240" s="843" t="str">
        <f t="shared" ref="B240:D242" si="12">B219</f>
        <v>J1</v>
      </c>
      <c r="C240" s="428">
        <f t="shared" si="12"/>
        <v>1.54</v>
      </c>
      <c r="D240" s="428">
        <f t="shared" si="12"/>
        <v>0.3</v>
      </c>
      <c r="E240" s="428">
        <f>E223</f>
        <v>0.1</v>
      </c>
      <c r="F240" s="428"/>
      <c r="G240" s="428"/>
      <c r="H240" s="428"/>
      <c r="I240" s="428"/>
      <c r="J240" s="428"/>
      <c r="K240" s="428"/>
      <c r="L240" s="428">
        <f>L219</f>
        <v>1</v>
      </c>
      <c r="M240" s="390">
        <f>C240*D240*E240*L240</f>
        <v>4.6199999999999998E-2</v>
      </c>
      <c r="N240" s="839"/>
      <c r="O240" s="814"/>
      <c r="P240" s="442"/>
      <c r="Q240" s="428">
        <f>(0.1+0.15)/2</f>
        <v>0.125</v>
      </c>
      <c r="R240" s="442"/>
      <c r="S240" s="442"/>
      <c r="T240" s="442"/>
      <c r="U240" s="837"/>
      <c r="V240" s="837"/>
      <c r="W240" s="837"/>
    </row>
    <row r="241" spans="1:23" s="838" customFormat="1" ht="15.75" customHeight="1">
      <c r="A241" s="451"/>
      <c r="B241" s="843" t="str">
        <f t="shared" si="12"/>
        <v>J2</v>
      </c>
      <c r="C241" s="428">
        <f t="shared" si="12"/>
        <v>2.74</v>
      </c>
      <c r="D241" s="428">
        <f t="shared" si="12"/>
        <v>0.3</v>
      </c>
      <c r="E241" s="428">
        <f>E240</f>
        <v>0.1</v>
      </c>
      <c r="F241" s="428"/>
      <c r="G241" s="428"/>
      <c r="H241" s="428"/>
      <c r="I241" s="428"/>
      <c r="J241" s="428"/>
      <c r="K241" s="428"/>
      <c r="L241" s="428">
        <f>L220</f>
        <v>3</v>
      </c>
      <c r="M241" s="390">
        <f>C241*D241*E241*L241</f>
        <v>0.24660000000000004</v>
      </c>
      <c r="N241" s="839"/>
      <c r="O241" s="814"/>
      <c r="P241" s="442"/>
      <c r="Q241" s="442"/>
      <c r="R241" s="442"/>
      <c r="S241" s="442"/>
      <c r="T241" s="442"/>
      <c r="U241" s="837"/>
      <c r="V241" s="837"/>
      <c r="W241" s="837"/>
    </row>
    <row r="242" spans="1:23" s="838" customFormat="1" ht="15.75" customHeight="1">
      <c r="A242" s="451"/>
      <c r="B242" s="843" t="str">
        <f t="shared" si="12"/>
        <v>P3</v>
      </c>
      <c r="C242" s="428">
        <f t="shared" si="12"/>
        <v>1.02</v>
      </c>
      <c r="D242" s="428">
        <f t="shared" si="12"/>
        <v>0.3</v>
      </c>
      <c r="E242" s="428">
        <f>E241</f>
        <v>0.1</v>
      </c>
      <c r="F242" s="428"/>
      <c r="G242" s="428"/>
      <c r="H242" s="428"/>
      <c r="I242" s="428"/>
      <c r="J242" s="428"/>
      <c r="K242" s="428"/>
      <c r="L242" s="428">
        <f>L221</f>
        <v>1</v>
      </c>
      <c r="M242" s="390">
        <f>C242*D242*E242*L242</f>
        <v>3.0600000000000002E-2</v>
      </c>
      <c r="N242" s="839"/>
      <c r="O242" s="814"/>
      <c r="P242" s="442"/>
      <c r="Q242" s="442"/>
      <c r="R242" s="442"/>
      <c r="S242" s="442"/>
      <c r="T242" s="442"/>
      <c r="U242" s="837"/>
      <c r="V242" s="837"/>
      <c r="W242" s="837"/>
    </row>
    <row r="243" spans="1:23" s="838" customFormat="1" ht="15.75" customHeight="1">
      <c r="A243" s="451"/>
      <c r="B243" s="427"/>
      <c r="C243" s="428"/>
      <c r="D243" s="428"/>
      <c r="E243" s="428"/>
      <c r="F243" s="428"/>
      <c r="G243" s="428"/>
      <c r="H243" s="428"/>
      <c r="I243" s="428"/>
      <c r="J243" s="428"/>
      <c r="K243" s="428"/>
      <c r="L243" s="428"/>
      <c r="M243" s="841">
        <f>SUM(M240:M242)</f>
        <v>0.32340000000000008</v>
      </c>
      <c r="N243" s="842" t="s">
        <v>103</v>
      </c>
      <c r="O243" s="814">
        <f>ROUND((M243),2)</f>
        <v>0.32</v>
      </c>
      <c r="P243" s="442"/>
      <c r="Q243" s="442"/>
      <c r="R243" s="442"/>
      <c r="S243" s="442"/>
      <c r="T243" s="442"/>
      <c r="U243" s="837"/>
      <c r="V243" s="837"/>
      <c r="W243" s="837"/>
    </row>
    <row r="244" spans="1:23" s="838" customFormat="1" ht="15.75" customHeight="1">
      <c r="A244" s="451" t="s">
        <v>121</v>
      </c>
      <c r="B244" s="427" t="s">
        <v>1138</v>
      </c>
      <c r="C244" s="428" t="s">
        <v>1236</v>
      </c>
      <c r="D244" s="428"/>
      <c r="E244" s="428"/>
      <c r="F244" s="428"/>
      <c r="G244" s="428"/>
      <c r="H244" s="428"/>
      <c r="I244" s="428"/>
      <c r="J244" s="428"/>
      <c r="K244" s="428"/>
      <c r="L244" s="428"/>
      <c r="M244" s="390">
        <f>SUM(M219:M221)</f>
        <v>3.234</v>
      </c>
      <c r="N244" s="839" t="s">
        <v>89</v>
      </c>
      <c r="O244" s="814">
        <f>ROUND((M244),2)</f>
        <v>3.23</v>
      </c>
      <c r="P244" s="442"/>
      <c r="Q244" s="442"/>
      <c r="R244" s="442"/>
      <c r="S244" s="442"/>
      <c r="T244" s="442"/>
      <c r="U244" s="837"/>
      <c r="V244" s="837"/>
      <c r="W244" s="837"/>
    </row>
    <row r="245" spans="1:23" s="838" customFormat="1" ht="15.75" customHeight="1">
      <c r="A245" s="451" t="s">
        <v>142</v>
      </c>
      <c r="B245" s="427" t="s">
        <v>1140</v>
      </c>
      <c r="C245" s="428" t="s">
        <v>1141</v>
      </c>
      <c r="D245" s="428"/>
      <c r="E245" s="428"/>
      <c r="F245" s="428"/>
      <c r="G245" s="428"/>
      <c r="H245" s="428"/>
      <c r="I245" s="428"/>
      <c r="J245" s="428"/>
      <c r="K245" s="428"/>
      <c r="L245" s="428"/>
      <c r="M245" s="390">
        <f>M244</f>
        <v>3.234</v>
      </c>
      <c r="N245" s="839" t="s">
        <v>89</v>
      </c>
      <c r="O245" s="814">
        <f>ROUND((M245),2)</f>
        <v>3.23</v>
      </c>
      <c r="P245" s="442"/>
      <c r="Q245" s="442"/>
      <c r="R245" s="442"/>
      <c r="S245" s="442"/>
      <c r="T245" s="442"/>
      <c r="U245" s="837"/>
      <c r="V245" s="837"/>
      <c r="W245" s="837"/>
    </row>
    <row r="246" spans="1:23" s="838" customFormat="1" ht="15.75" customHeight="1">
      <c r="A246" s="844"/>
      <c r="B246" s="427"/>
      <c r="C246" s="428"/>
      <c r="D246" s="428"/>
      <c r="E246" s="428"/>
      <c r="F246" s="428"/>
      <c r="G246" s="428"/>
      <c r="H246" s="428"/>
      <c r="I246" s="428"/>
      <c r="J246" s="428"/>
      <c r="K246" s="428"/>
      <c r="L246" s="428"/>
      <c r="M246" s="390"/>
      <c r="N246" s="839"/>
      <c r="O246" s="814"/>
      <c r="P246" s="442"/>
      <c r="Q246" s="442"/>
      <c r="R246" s="442"/>
      <c r="S246" s="442"/>
      <c r="T246" s="442"/>
      <c r="U246" s="837"/>
      <c r="V246" s="837"/>
      <c r="W246" s="837"/>
    </row>
    <row r="247" spans="1:23" ht="15.75" customHeight="1">
      <c r="A247" s="341" t="s">
        <v>1237</v>
      </c>
      <c r="B247" s="347" t="s">
        <v>652</v>
      </c>
      <c r="C247" s="330"/>
      <c r="D247" s="330"/>
      <c r="E247" s="330"/>
      <c r="F247" s="330"/>
      <c r="G247" s="330"/>
      <c r="H247" s="330"/>
      <c r="I247" s="330"/>
      <c r="J247" s="330"/>
      <c r="K247" s="330"/>
      <c r="L247" s="330"/>
      <c r="M247" s="330"/>
      <c r="N247" s="748"/>
      <c r="O247" s="814"/>
      <c r="P247" s="398"/>
      <c r="Q247" s="398"/>
      <c r="R247" s="398"/>
      <c r="S247" s="398"/>
      <c r="T247" s="398"/>
      <c r="U247" s="738"/>
      <c r="V247" s="738"/>
      <c r="W247" s="738"/>
    </row>
    <row r="248" spans="1:23" ht="15.75" customHeight="1">
      <c r="A248" s="400">
        <v>1</v>
      </c>
      <c r="B248" s="351" t="s">
        <v>1238</v>
      </c>
      <c r="C248" s="330"/>
      <c r="D248" s="330"/>
      <c r="E248" s="330"/>
      <c r="F248" s="330"/>
      <c r="G248" s="330"/>
      <c r="H248" s="330"/>
      <c r="I248" s="330"/>
      <c r="J248" s="330"/>
      <c r="K248" s="330"/>
      <c r="L248" s="330"/>
      <c r="M248" s="330"/>
      <c r="N248" s="748"/>
      <c r="O248" s="814"/>
      <c r="P248" s="398"/>
      <c r="Q248" s="398"/>
      <c r="R248" s="398"/>
      <c r="S248" s="398"/>
      <c r="T248" s="398"/>
      <c r="U248" s="738"/>
      <c r="V248" s="738"/>
      <c r="W248" s="738"/>
    </row>
    <row r="249" spans="1:23" ht="15.75" customHeight="1">
      <c r="A249" s="400"/>
      <c r="B249" s="589" t="s">
        <v>1044</v>
      </c>
      <c r="C249" s="330">
        <f>C24</f>
        <v>6</v>
      </c>
      <c r="D249" s="330"/>
      <c r="E249" s="330">
        <f>E83-0.3</f>
        <v>3.0500000000000003</v>
      </c>
      <c r="F249" s="330"/>
      <c r="G249" s="330">
        <v>2</v>
      </c>
      <c r="H249" s="330"/>
      <c r="I249" s="330"/>
      <c r="J249" s="330"/>
      <c r="K249" s="330"/>
      <c r="L249" s="330"/>
      <c r="M249" s="330">
        <f>C249*E249*G249</f>
        <v>36.6</v>
      </c>
      <c r="N249" s="748"/>
      <c r="O249" s="814"/>
      <c r="P249" s="398"/>
      <c r="Q249" s="398"/>
      <c r="R249" s="398"/>
      <c r="S249" s="398"/>
      <c r="T249" s="398"/>
      <c r="U249" s="738"/>
      <c r="V249" s="738"/>
      <c r="W249" s="738"/>
    </row>
    <row r="250" spans="1:23" ht="15.75" customHeight="1">
      <c r="A250" s="400"/>
      <c r="B250" s="589"/>
      <c r="C250" s="330">
        <f>C25</f>
        <v>3</v>
      </c>
      <c r="D250" s="330"/>
      <c r="E250" s="330">
        <f>E249</f>
        <v>3.0500000000000003</v>
      </c>
      <c r="F250" s="330"/>
      <c r="G250" s="330">
        <v>1</v>
      </c>
      <c r="H250" s="330"/>
      <c r="I250" s="330"/>
      <c r="J250" s="330"/>
      <c r="K250" s="330"/>
      <c r="L250" s="330"/>
      <c r="M250" s="330">
        <f>C250*E250*G250</f>
        <v>9.15</v>
      </c>
      <c r="N250" s="748"/>
      <c r="O250" s="814"/>
      <c r="P250" s="398"/>
      <c r="Q250" s="398"/>
      <c r="R250" s="398"/>
      <c r="S250" s="398"/>
      <c r="T250" s="398"/>
      <c r="U250" s="738"/>
      <c r="V250" s="738"/>
      <c r="W250" s="738"/>
    </row>
    <row r="251" spans="1:23" ht="15.75" customHeight="1">
      <c r="A251" s="400"/>
      <c r="B251" s="589" t="s">
        <v>136</v>
      </c>
      <c r="C251" s="330">
        <f>C26</f>
        <v>6</v>
      </c>
      <c r="D251" s="330"/>
      <c r="E251" s="330">
        <f>E249</f>
        <v>3.0500000000000003</v>
      </c>
      <c r="F251" s="330"/>
      <c r="G251" s="330">
        <v>3</v>
      </c>
      <c r="H251" s="330"/>
      <c r="I251" s="330"/>
      <c r="J251" s="330"/>
      <c r="K251" s="330"/>
      <c r="L251" s="330"/>
      <c r="M251" s="330">
        <f>C251*E251*G251</f>
        <v>54.900000000000006</v>
      </c>
      <c r="N251" s="748"/>
      <c r="O251" s="814"/>
      <c r="P251" s="398"/>
      <c r="Q251" s="398"/>
      <c r="R251" s="398"/>
      <c r="S251" s="398"/>
      <c r="T251" s="398"/>
      <c r="U251" s="738"/>
      <c r="V251" s="738"/>
      <c r="W251" s="738"/>
    </row>
    <row r="252" spans="1:23" ht="15.75" customHeight="1">
      <c r="A252" s="400"/>
      <c r="B252" s="589" t="s">
        <v>1239</v>
      </c>
      <c r="C252" s="330">
        <v>3</v>
      </c>
      <c r="D252" s="330"/>
      <c r="E252" s="330">
        <v>2.0449999999999999</v>
      </c>
      <c r="F252" s="330"/>
      <c r="G252" s="330"/>
      <c r="H252" s="330"/>
      <c r="I252" s="330"/>
      <c r="J252" s="330"/>
      <c r="K252" s="330"/>
      <c r="L252" s="330"/>
      <c r="M252" s="330">
        <f>-C252*E252</f>
        <v>-6.1349999999999998</v>
      </c>
      <c r="N252" s="748"/>
      <c r="O252" s="814"/>
      <c r="P252" s="398"/>
      <c r="Q252" s="398"/>
      <c r="R252" s="398"/>
      <c r="S252" s="398"/>
      <c r="T252" s="398"/>
      <c r="U252" s="738"/>
      <c r="V252" s="738"/>
      <c r="W252" s="738"/>
    </row>
    <row r="253" spans="1:23" ht="15.75" customHeight="1">
      <c r="A253" s="400"/>
      <c r="B253" s="589" t="s">
        <v>1240</v>
      </c>
      <c r="C253" s="330">
        <v>1.5</v>
      </c>
      <c r="D253" s="330"/>
      <c r="E253" s="330">
        <v>2.0449999999999999</v>
      </c>
      <c r="F253" s="330"/>
      <c r="G253" s="330"/>
      <c r="H253" s="330"/>
      <c r="I253" s="330"/>
      <c r="J253" s="330"/>
      <c r="K253" s="330"/>
      <c r="L253" s="330"/>
      <c r="M253" s="330">
        <f>-C253*E253</f>
        <v>-3.0674999999999999</v>
      </c>
      <c r="N253" s="748"/>
      <c r="O253" s="814"/>
      <c r="P253" s="398"/>
      <c r="Q253" s="398"/>
      <c r="R253" s="398"/>
      <c r="S253" s="398"/>
      <c r="T253" s="398"/>
      <c r="U253" s="738"/>
      <c r="V253" s="738"/>
      <c r="W253" s="738"/>
    </row>
    <row r="254" spans="1:23" ht="15.75" customHeight="1">
      <c r="A254" s="400"/>
      <c r="B254" s="589" t="s">
        <v>1241</v>
      </c>
      <c r="C254" s="330">
        <v>1.5</v>
      </c>
      <c r="D254" s="330"/>
      <c r="E254" s="330">
        <f>E251</f>
        <v>3.0500000000000003</v>
      </c>
      <c r="F254" s="330"/>
      <c r="G254" s="330"/>
      <c r="H254" s="330"/>
      <c r="I254" s="330"/>
      <c r="J254" s="330"/>
      <c r="K254" s="330"/>
      <c r="L254" s="330"/>
      <c r="M254" s="330">
        <f>-C254*E254</f>
        <v>-4.5750000000000002</v>
      </c>
      <c r="N254" s="748"/>
      <c r="O254" s="814"/>
      <c r="P254" s="398"/>
      <c r="Q254" s="398"/>
      <c r="R254" s="398"/>
      <c r="S254" s="398"/>
      <c r="T254" s="398"/>
      <c r="U254" s="738"/>
      <c r="V254" s="738"/>
      <c r="W254" s="738"/>
    </row>
    <row r="255" spans="1:23" ht="15.75" customHeight="1">
      <c r="A255" s="400"/>
      <c r="B255" s="589" t="s">
        <v>1242</v>
      </c>
      <c r="C255" s="330"/>
      <c r="D255" s="330">
        <v>1.08</v>
      </c>
      <c r="E255" s="330">
        <v>2.04</v>
      </c>
      <c r="F255" s="330"/>
      <c r="G255" s="330"/>
      <c r="H255" s="330">
        <v>1</v>
      </c>
      <c r="I255" s="330"/>
      <c r="J255" s="330"/>
      <c r="K255" s="330"/>
      <c r="L255" s="330"/>
      <c r="M255" s="330">
        <f t="shared" ref="M255:M260" si="13">-D255*E255*H255</f>
        <v>-2.2032000000000003</v>
      </c>
      <c r="N255" s="748"/>
      <c r="O255" s="814"/>
      <c r="P255" s="398"/>
      <c r="Q255" s="398"/>
      <c r="R255" s="398"/>
      <c r="S255" s="398"/>
      <c r="T255" s="398"/>
      <c r="U255" s="738"/>
      <c r="V255" s="738"/>
      <c r="W255" s="738"/>
    </row>
    <row r="256" spans="1:23" s="787" customFormat="1" ht="15.75" hidden="1" customHeight="1">
      <c r="A256" s="824"/>
      <c r="B256" s="775" t="s">
        <v>1243</v>
      </c>
      <c r="C256" s="754"/>
      <c r="D256" s="754">
        <v>0.98</v>
      </c>
      <c r="E256" s="754">
        <v>2.04</v>
      </c>
      <c r="F256" s="754"/>
      <c r="G256" s="754"/>
      <c r="H256" s="754">
        <v>0</v>
      </c>
      <c r="I256" s="754"/>
      <c r="J256" s="754"/>
      <c r="K256" s="754"/>
      <c r="L256" s="754"/>
      <c r="M256" s="754">
        <f t="shared" si="13"/>
        <v>0</v>
      </c>
      <c r="N256" s="758"/>
      <c r="O256" s="817"/>
      <c r="P256" s="577"/>
      <c r="Q256" s="577"/>
      <c r="R256" s="577"/>
      <c r="S256" s="577"/>
      <c r="T256" s="577"/>
      <c r="U256" s="786"/>
      <c r="V256" s="786"/>
      <c r="W256" s="786"/>
    </row>
    <row r="257" spans="1:23" ht="15.75" customHeight="1">
      <c r="A257" s="400"/>
      <c r="B257" s="589" t="s">
        <v>1244</v>
      </c>
      <c r="C257" s="330"/>
      <c r="D257" s="330">
        <v>0.88</v>
      </c>
      <c r="E257" s="330">
        <v>2.04</v>
      </c>
      <c r="F257" s="330"/>
      <c r="G257" s="330"/>
      <c r="H257" s="330">
        <v>2</v>
      </c>
      <c r="I257" s="330"/>
      <c r="J257" s="330"/>
      <c r="K257" s="330"/>
      <c r="L257" s="330"/>
      <c r="M257" s="330">
        <f t="shared" si="13"/>
        <v>-3.5904000000000003</v>
      </c>
      <c r="N257" s="748"/>
      <c r="O257" s="814"/>
      <c r="P257" s="398"/>
      <c r="Q257" s="398"/>
      <c r="R257" s="398"/>
      <c r="S257" s="398"/>
      <c r="T257" s="398"/>
      <c r="U257" s="738"/>
      <c r="V257" s="738"/>
      <c r="W257" s="738"/>
    </row>
    <row r="258" spans="1:23" ht="15.75" customHeight="1">
      <c r="A258" s="400"/>
      <c r="B258" s="589" t="s">
        <v>1245</v>
      </c>
      <c r="C258" s="330"/>
      <c r="D258" s="330">
        <v>1.3</v>
      </c>
      <c r="E258" s="330">
        <v>1.84</v>
      </c>
      <c r="F258" s="330"/>
      <c r="G258" s="330"/>
      <c r="H258" s="330">
        <v>2</v>
      </c>
      <c r="I258" s="330"/>
      <c r="J258" s="330"/>
      <c r="K258" s="330"/>
      <c r="L258" s="330"/>
      <c r="M258" s="330">
        <f t="shared" si="13"/>
        <v>-4.7840000000000007</v>
      </c>
      <c r="N258" s="748"/>
      <c r="O258" s="814"/>
      <c r="P258" s="398"/>
      <c r="Q258" s="398"/>
      <c r="R258" s="398"/>
      <c r="S258" s="398"/>
      <c r="T258" s="398"/>
      <c r="U258" s="738"/>
      <c r="V258" s="738"/>
      <c r="W258" s="738"/>
    </row>
    <row r="259" spans="1:23" ht="15.75" customHeight="1">
      <c r="A259" s="400"/>
      <c r="B259" s="589" t="s">
        <v>1246</v>
      </c>
      <c r="C259" s="330"/>
      <c r="D259" s="330">
        <v>2.5</v>
      </c>
      <c r="E259" s="330">
        <v>1.84</v>
      </c>
      <c r="F259" s="330"/>
      <c r="G259" s="330"/>
      <c r="H259" s="330">
        <v>3</v>
      </c>
      <c r="I259" s="330"/>
      <c r="J259" s="330"/>
      <c r="K259" s="330"/>
      <c r="L259" s="330"/>
      <c r="M259" s="330">
        <f t="shared" si="13"/>
        <v>-13.8</v>
      </c>
      <c r="N259" s="748"/>
      <c r="O259" s="814"/>
      <c r="P259" s="398"/>
      <c r="Q259" s="398"/>
      <c r="R259" s="398"/>
      <c r="S259" s="398"/>
      <c r="T259" s="398"/>
      <c r="U259" s="738"/>
      <c r="V259" s="738"/>
      <c r="W259" s="738"/>
    </row>
    <row r="260" spans="1:23" ht="15.75" customHeight="1">
      <c r="A260" s="400"/>
      <c r="B260" s="589" t="s">
        <v>633</v>
      </c>
      <c r="C260" s="330"/>
      <c r="D260" s="330">
        <v>0.88</v>
      </c>
      <c r="E260" s="330">
        <v>0.48</v>
      </c>
      <c r="F260" s="330"/>
      <c r="G260" s="330"/>
      <c r="H260" s="330">
        <v>2</v>
      </c>
      <c r="I260" s="330"/>
      <c r="J260" s="330"/>
      <c r="K260" s="330"/>
      <c r="L260" s="330"/>
      <c r="M260" s="752">
        <f t="shared" si="13"/>
        <v>-0.8448</v>
      </c>
      <c r="N260" s="748"/>
      <c r="O260" s="814"/>
      <c r="P260" s="398"/>
      <c r="Q260" s="398"/>
      <c r="R260" s="398"/>
      <c r="S260" s="398"/>
      <c r="T260" s="398"/>
      <c r="U260" s="738"/>
      <c r="V260" s="738"/>
      <c r="W260" s="738"/>
    </row>
    <row r="261" spans="1:23" ht="15.75" customHeight="1">
      <c r="A261" s="400"/>
      <c r="B261" s="351"/>
      <c r="C261" s="330"/>
      <c r="D261" s="330"/>
      <c r="E261" s="330"/>
      <c r="F261" s="330"/>
      <c r="G261" s="330"/>
      <c r="H261" s="330"/>
      <c r="I261" s="330"/>
      <c r="J261" s="330"/>
      <c r="K261" s="330"/>
      <c r="L261" s="330"/>
      <c r="M261" s="474">
        <f>SUM(M249:M260)</f>
        <v>61.650100000000002</v>
      </c>
      <c r="N261" s="562" t="s">
        <v>89</v>
      </c>
      <c r="O261" s="814">
        <f>ROUND((M261),2)</f>
        <v>61.65</v>
      </c>
      <c r="P261" s="398">
        <v>110.3505</v>
      </c>
      <c r="Q261" s="398"/>
      <c r="R261" s="398"/>
      <c r="S261" s="398"/>
      <c r="T261" s="398"/>
      <c r="U261" s="738"/>
      <c r="V261" s="738"/>
      <c r="W261" s="738"/>
    </row>
    <row r="262" spans="1:23" ht="15.75" customHeight="1">
      <c r="A262" s="400">
        <f>A248+1</f>
        <v>2</v>
      </c>
      <c r="B262" s="351" t="s">
        <v>630</v>
      </c>
      <c r="C262" s="330"/>
      <c r="D262" s="330"/>
      <c r="E262" s="330"/>
      <c r="F262" s="330"/>
      <c r="G262" s="330"/>
      <c r="H262" s="330"/>
      <c r="I262" s="330"/>
      <c r="J262" s="330"/>
      <c r="K262" s="330"/>
      <c r="L262" s="330"/>
      <c r="M262" s="330"/>
      <c r="N262" s="748"/>
      <c r="O262" s="814">
        <f>ROUND((M262),2)</f>
        <v>0</v>
      </c>
      <c r="P262" s="398"/>
      <c r="Q262" s="398"/>
      <c r="R262" s="398"/>
      <c r="S262" s="398"/>
      <c r="T262" s="398"/>
      <c r="U262" s="738"/>
      <c r="V262" s="738"/>
      <c r="W262" s="738"/>
    </row>
    <row r="263" spans="1:23" ht="15.75" customHeight="1">
      <c r="A263" s="400"/>
      <c r="B263" s="589" t="s">
        <v>1247</v>
      </c>
      <c r="C263" s="330"/>
      <c r="D263" s="330"/>
      <c r="E263" s="330"/>
      <c r="F263" s="330"/>
      <c r="G263" s="330"/>
      <c r="H263" s="330"/>
      <c r="I263" s="330"/>
      <c r="J263" s="330"/>
      <c r="K263" s="330"/>
      <c r="L263" s="330"/>
      <c r="M263" s="330">
        <f>M261*2</f>
        <v>123.3002</v>
      </c>
      <c r="N263" s="748" t="s">
        <v>89</v>
      </c>
      <c r="O263" s="814">
        <f>ROUND((M263),2)</f>
        <v>123.3</v>
      </c>
      <c r="P263" s="398"/>
      <c r="Q263" s="398"/>
      <c r="R263" s="398"/>
      <c r="S263" s="398"/>
      <c r="T263" s="398"/>
      <c r="U263" s="738"/>
      <c r="V263" s="738"/>
      <c r="W263" s="738"/>
    </row>
    <row r="264" spans="1:23" ht="15.75" customHeight="1">
      <c r="A264" s="400">
        <f>A262+1</f>
        <v>3</v>
      </c>
      <c r="B264" s="351" t="s">
        <v>631</v>
      </c>
      <c r="C264" s="330"/>
      <c r="D264" s="330"/>
      <c r="E264" s="330"/>
      <c r="F264" s="330"/>
      <c r="G264" s="330"/>
      <c r="H264" s="330"/>
      <c r="I264" s="330"/>
      <c r="J264" s="330"/>
      <c r="K264" s="330"/>
      <c r="L264" s="330"/>
      <c r="M264" s="330"/>
      <c r="N264" s="748"/>
      <c r="O264" s="814">
        <f>ROUND((M264),2)</f>
        <v>0</v>
      </c>
      <c r="P264" s="398"/>
      <c r="Q264" s="398"/>
      <c r="R264" s="398"/>
      <c r="S264" s="398"/>
      <c r="T264" s="398"/>
      <c r="U264" s="738"/>
      <c r="V264" s="738"/>
      <c r="W264" s="738"/>
    </row>
    <row r="265" spans="1:23" ht="15.75" customHeight="1">
      <c r="A265" s="400"/>
      <c r="B265" s="589" t="s">
        <v>1248</v>
      </c>
      <c r="C265" s="330"/>
      <c r="D265" s="330"/>
      <c r="E265" s="330"/>
      <c r="F265" s="330"/>
      <c r="G265" s="330"/>
      <c r="H265" s="330"/>
      <c r="I265" s="330"/>
      <c r="J265" s="330"/>
      <c r="K265" s="330"/>
      <c r="L265" s="330"/>
      <c r="M265" s="330">
        <f>M263</f>
        <v>123.3002</v>
      </c>
      <c r="N265" s="748"/>
      <c r="O265" s="814"/>
      <c r="P265" s="398"/>
      <c r="Q265" s="398"/>
      <c r="R265" s="398"/>
      <c r="S265" s="398"/>
      <c r="T265" s="398"/>
      <c r="U265" s="738"/>
      <c r="V265" s="738"/>
      <c r="W265" s="738"/>
    </row>
    <row r="266" spans="1:23" ht="15.75" customHeight="1">
      <c r="A266" s="400"/>
      <c r="B266" s="589" t="s">
        <v>1211</v>
      </c>
      <c r="C266" s="330"/>
      <c r="D266" s="330">
        <v>0.25</v>
      </c>
      <c r="E266" s="330">
        <f>E249</f>
        <v>3.0500000000000003</v>
      </c>
      <c r="F266" s="330"/>
      <c r="G266" s="330">
        <v>4</v>
      </c>
      <c r="H266" s="330"/>
      <c r="I266" s="330"/>
      <c r="J266" s="330"/>
      <c r="K266" s="330"/>
      <c r="L266" s="330"/>
      <c r="M266" s="424">
        <f>D266*E266*G266</f>
        <v>3.0500000000000003</v>
      </c>
      <c r="N266" s="748"/>
      <c r="O266" s="814"/>
      <c r="P266" s="398"/>
      <c r="Q266" s="398"/>
      <c r="R266" s="398"/>
      <c r="S266" s="398"/>
      <c r="T266" s="398"/>
      <c r="U266" s="738"/>
      <c r="V266" s="738"/>
      <c r="W266" s="738"/>
    </row>
    <row r="267" spans="1:23" ht="15.75" customHeight="1">
      <c r="A267" s="400"/>
      <c r="B267" s="589"/>
      <c r="C267" s="330"/>
      <c r="D267" s="330">
        <f>D266</f>
        <v>0.25</v>
      </c>
      <c r="E267" s="330">
        <f>E266</f>
        <v>3.0500000000000003</v>
      </c>
      <c r="F267" s="330"/>
      <c r="G267" s="330">
        <f>G266</f>
        <v>4</v>
      </c>
      <c r="H267" s="330"/>
      <c r="I267" s="330"/>
      <c r="J267" s="330"/>
      <c r="K267" s="330"/>
      <c r="L267" s="330"/>
      <c r="M267" s="424">
        <f>D267*E267*G267</f>
        <v>3.0500000000000003</v>
      </c>
      <c r="N267" s="748"/>
      <c r="O267" s="814"/>
      <c r="P267" s="398"/>
      <c r="Q267" s="398"/>
      <c r="R267" s="398"/>
      <c r="S267" s="398"/>
      <c r="T267" s="398"/>
      <c r="U267" s="738"/>
      <c r="V267" s="738"/>
      <c r="W267" s="738"/>
    </row>
    <row r="268" spans="1:23" ht="15.75" customHeight="1">
      <c r="A268" s="400"/>
      <c r="B268" s="589" t="s">
        <v>1249</v>
      </c>
      <c r="C268" s="330"/>
      <c r="D268" s="330"/>
      <c r="E268" s="330"/>
      <c r="F268" s="330"/>
      <c r="G268" s="330"/>
      <c r="H268" s="330"/>
      <c r="I268" s="330"/>
      <c r="J268" s="330"/>
      <c r="K268" s="330"/>
      <c r="L268" s="330"/>
      <c r="M268" s="752">
        <f>-M353</f>
        <v>-21.832800000000006</v>
      </c>
      <c r="N268" s="748"/>
      <c r="O268" s="814"/>
      <c r="P268" s="398"/>
      <c r="Q268" s="398"/>
      <c r="R268" s="398"/>
      <c r="S268" s="398"/>
      <c r="T268" s="398"/>
      <c r="U268" s="738"/>
      <c r="V268" s="738"/>
      <c r="W268" s="738"/>
    </row>
    <row r="269" spans="1:23" ht="15.75" customHeight="1">
      <c r="A269" s="400"/>
      <c r="B269" s="351"/>
      <c r="C269" s="330"/>
      <c r="D269" s="330"/>
      <c r="E269" s="330"/>
      <c r="F269" s="330"/>
      <c r="G269" s="330"/>
      <c r="H269" s="330"/>
      <c r="I269" s="330"/>
      <c r="J269" s="330"/>
      <c r="K269" s="330"/>
      <c r="L269" s="330"/>
      <c r="M269" s="474">
        <f>SUM(M265:M268)</f>
        <v>107.56740000000001</v>
      </c>
      <c r="N269" s="562" t="s">
        <v>89</v>
      </c>
      <c r="O269" s="814">
        <f>ROUND((M269),2)</f>
        <v>107.57</v>
      </c>
      <c r="P269" s="398"/>
      <c r="Q269" s="398"/>
      <c r="R269" s="398"/>
      <c r="S269" s="398"/>
      <c r="T269" s="398"/>
      <c r="U269" s="738"/>
      <c r="V269" s="738"/>
      <c r="W269" s="738"/>
    </row>
    <row r="270" spans="1:23" ht="15.75" customHeight="1">
      <c r="A270" s="400">
        <f>A264+1</f>
        <v>4</v>
      </c>
      <c r="B270" s="351" t="s">
        <v>653</v>
      </c>
      <c r="C270" s="330"/>
      <c r="D270" s="330"/>
      <c r="E270" s="330"/>
      <c r="F270" s="330"/>
      <c r="G270" s="330"/>
      <c r="H270" s="330"/>
      <c r="I270" s="330"/>
      <c r="J270" s="330"/>
      <c r="K270" s="330"/>
      <c r="L270" s="330"/>
      <c r="M270" s="474"/>
      <c r="N270" s="562"/>
      <c r="O270" s="814">
        <f>ROUND((M270),2)</f>
        <v>0</v>
      </c>
      <c r="P270" s="398"/>
      <c r="Q270" s="398"/>
      <c r="R270" s="398"/>
      <c r="S270" s="398"/>
      <c r="T270" s="398"/>
      <c r="U270" s="738"/>
      <c r="V270" s="738"/>
      <c r="W270" s="738"/>
    </row>
    <row r="271" spans="1:23" ht="15.75" customHeight="1">
      <c r="A271" s="355" t="s">
        <v>654</v>
      </c>
      <c r="B271" s="351" t="s">
        <v>655</v>
      </c>
      <c r="C271" s="330"/>
      <c r="D271" s="330"/>
      <c r="E271" s="330"/>
      <c r="F271" s="330"/>
      <c r="G271" s="330"/>
      <c r="H271" s="330"/>
      <c r="I271" s="330"/>
      <c r="J271" s="330"/>
      <c r="K271" s="330"/>
      <c r="L271" s="330"/>
      <c r="M271" s="401"/>
      <c r="N271" s="748"/>
      <c r="O271" s="814">
        <f>ROUND((M271),2)</f>
        <v>0</v>
      </c>
      <c r="P271" s="398"/>
      <c r="Q271" s="398"/>
      <c r="R271" s="398"/>
      <c r="S271" s="398"/>
      <c r="T271" s="398"/>
      <c r="U271" s="738"/>
      <c r="V271" s="738"/>
      <c r="W271" s="738"/>
    </row>
    <row r="272" spans="1:23" ht="15.75" customHeight="1">
      <c r="A272" s="355" t="s">
        <v>95</v>
      </c>
      <c r="B272" s="351" t="s">
        <v>566</v>
      </c>
      <c r="C272" s="330"/>
      <c r="D272" s="330"/>
      <c r="E272" s="330"/>
      <c r="F272" s="330"/>
      <c r="G272" s="330"/>
      <c r="H272" s="330"/>
      <c r="I272" s="330"/>
      <c r="J272" s="330"/>
      <c r="K272" s="330"/>
      <c r="L272" s="330"/>
      <c r="M272" s="401">
        <f>SUM(M273:M274)</f>
        <v>5.16</v>
      </c>
      <c r="N272" s="748" t="s">
        <v>117</v>
      </c>
      <c r="O272" s="814">
        <f>ROUND((M272),2)</f>
        <v>5.16</v>
      </c>
      <c r="P272" s="398"/>
      <c r="Q272" s="330">
        <f>2.1*2+1</f>
        <v>5.2</v>
      </c>
      <c r="R272" s="330" t="s">
        <v>1250</v>
      </c>
      <c r="S272" s="398"/>
      <c r="T272" s="398"/>
      <c r="U272" s="738"/>
      <c r="V272" s="738"/>
      <c r="W272" s="738"/>
    </row>
    <row r="273" spans="1:23" ht="15.75" customHeight="1">
      <c r="A273" s="355"/>
      <c r="B273" s="351"/>
      <c r="C273" s="330"/>
      <c r="D273" s="330">
        <f>D255</f>
        <v>1.08</v>
      </c>
      <c r="E273" s="330"/>
      <c r="F273" s="330"/>
      <c r="G273" s="330"/>
      <c r="H273" s="330">
        <v>1</v>
      </c>
      <c r="I273" s="330"/>
      <c r="J273" s="330"/>
      <c r="K273" s="330"/>
      <c r="L273" s="330">
        <f>H255</f>
        <v>1</v>
      </c>
      <c r="M273" s="401">
        <f>D273*H273*L273</f>
        <v>1.08</v>
      </c>
      <c r="N273" s="748"/>
      <c r="O273" s="814"/>
      <c r="P273" s="398"/>
      <c r="Q273" s="330"/>
      <c r="R273" s="330"/>
      <c r="S273" s="398"/>
      <c r="T273" s="398"/>
      <c r="U273" s="738"/>
      <c r="V273" s="738"/>
      <c r="W273" s="738"/>
    </row>
    <row r="274" spans="1:23" ht="15.75" customHeight="1">
      <c r="A274" s="355"/>
      <c r="B274" s="351"/>
      <c r="C274" s="330"/>
      <c r="D274" s="330"/>
      <c r="E274" s="330">
        <f>E255</f>
        <v>2.04</v>
      </c>
      <c r="F274" s="330"/>
      <c r="G274" s="330"/>
      <c r="H274" s="330">
        <v>2</v>
      </c>
      <c r="I274" s="330"/>
      <c r="J274" s="330"/>
      <c r="K274" s="330"/>
      <c r="L274" s="330">
        <f>L273</f>
        <v>1</v>
      </c>
      <c r="M274" s="401">
        <f>E274*H274*L274</f>
        <v>4.08</v>
      </c>
      <c r="N274" s="748"/>
      <c r="O274" s="814"/>
      <c r="P274" s="398"/>
      <c r="Q274" s="330"/>
      <c r="R274" s="330"/>
      <c r="S274" s="398"/>
      <c r="T274" s="398"/>
      <c r="U274" s="738"/>
      <c r="V274" s="738"/>
      <c r="W274" s="738"/>
    </row>
    <row r="275" spans="1:23" ht="15.75" customHeight="1">
      <c r="A275" s="355"/>
      <c r="B275" s="351"/>
      <c r="C275" s="330"/>
      <c r="D275" s="330"/>
      <c r="E275" s="330"/>
      <c r="F275" s="330"/>
      <c r="G275" s="330"/>
      <c r="H275" s="330"/>
      <c r="I275" s="330"/>
      <c r="J275" s="330"/>
      <c r="K275" s="330"/>
      <c r="L275" s="330"/>
      <c r="M275" s="401"/>
      <c r="N275" s="748"/>
      <c r="O275" s="814"/>
      <c r="P275" s="398"/>
      <c r="Q275" s="330"/>
      <c r="R275" s="330"/>
      <c r="S275" s="398"/>
      <c r="T275" s="398"/>
      <c r="U275" s="738"/>
      <c r="V275" s="738"/>
      <c r="W275" s="738"/>
    </row>
    <row r="276" spans="1:23" ht="15.75" customHeight="1">
      <c r="A276" s="355" t="s">
        <v>98</v>
      </c>
      <c r="B276" s="351" t="s">
        <v>1251</v>
      </c>
      <c r="C276" s="330"/>
      <c r="D276" s="330">
        <f>D273-0.08</f>
        <v>1</v>
      </c>
      <c r="E276" s="330">
        <f>E274-0.04</f>
        <v>2</v>
      </c>
      <c r="F276" s="330"/>
      <c r="G276" s="330"/>
      <c r="H276" s="330"/>
      <c r="I276" s="330"/>
      <c r="J276" s="330"/>
      <c r="K276" s="330"/>
      <c r="L276" s="330">
        <f>L273</f>
        <v>1</v>
      </c>
      <c r="M276" s="401">
        <f>D276*E276*L276</f>
        <v>2</v>
      </c>
      <c r="N276" s="748" t="s">
        <v>89</v>
      </c>
      <c r="O276" s="814">
        <f>ROUND((M276),2)</f>
        <v>2</v>
      </c>
      <c r="P276" s="398"/>
      <c r="Q276" s="330">
        <f>0.9*2.05</f>
        <v>1.845</v>
      </c>
      <c r="R276" s="330" t="s">
        <v>1252</v>
      </c>
      <c r="S276" s="398"/>
      <c r="T276" s="398"/>
      <c r="U276" s="738"/>
      <c r="V276" s="738"/>
      <c r="W276" s="738"/>
    </row>
    <row r="277" spans="1:23" ht="15.75" customHeight="1">
      <c r="A277" s="355" t="s">
        <v>101</v>
      </c>
      <c r="B277" s="351" t="s">
        <v>657</v>
      </c>
      <c r="C277" s="330"/>
      <c r="D277" s="330"/>
      <c r="E277" s="330"/>
      <c r="F277" s="330"/>
      <c r="G277" s="330"/>
      <c r="H277" s="330">
        <v>1.5</v>
      </c>
      <c r="I277" s="330"/>
      <c r="J277" s="330"/>
      <c r="K277" s="330"/>
      <c r="L277" s="330">
        <f>L276</f>
        <v>1</v>
      </c>
      <c r="M277" s="401">
        <f>H277*L277</f>
        <v>1.5</v>
      </c>
      <c r="N277" s="748" t="s">
        <v>328</v>
      </c>
      <c r="O277" s="814">
        <f>ROUND((M277),2)</f>
        <v>1.5</v>
      </c>
      <c r="P277" s="398"/>
      <c r="Q277" s="330">
        <v>1.5</v>
      </c>
      <c r="R277" s="330">
        <v>1.5</v>
      </c>
      <c r="S277" s="398"/>
      <c r="T277" s="398"/>
      <c r="U277" s="738"/>
      <c r="V277" s="738"/>
      <c r="W277" s="738"/>
    </row>
    <row r="278" spans="1:23" ht="15.75" customHeight="1">
      <c r="A278" s="355" t="s">
        <v>121</v>
      </c>
      <c r="B278" s="351" t="s">
        <v>658</v>
      </c>
      <c r="C278" s="330"/>
      <c r="D278" s="330"/>
      <c r="E278" s="330"/>
      <c r="F278" s="330"/>
      <c r="G278" s="330"/>
      <c r="H278" s="330">
        <v>1</v>
      </c>
      <c r="I278" s="330"/>
      <c r="J278" s="330"/>
      <c r="K278" s="330"/>
      <c r="L278" s="330">
        <f>L277</f>
        <v>1</v>
      </c>
      <c r="M278" s="401">
        <f>H278*L278</f>
        <v>1</v>
      </c>
      <c r="N278" s="748" t="s">
        <v>313</v>
      </c>
      <c r="O278" s="814">
        <f>ROUND((M278),2)</f>
        <v>1</v>
      </c>
      <c r="P278" s="398"/>
      <c r="Q278" s="330">
        <v>1</v>
      </c>
      <c r="R278" s="330">
        <v>1</v>
      </c>
      <c r="S278" s="398"/>
      <c r="T278" s="398"/>
      <c r="U278" s="738"/>
      <c r="V278" s="738"/>
      <c r="W278" s="738"/>
    </row>
    <row r="279" spans="1:23" ht="15.75" customHeight="1">
      <c r="A279" s="355" t="s">
        <v>142</v>
      </c>
      <c r="B279" s="351" t="s">
        <v>1253</v>
      </c>
      <c r="C279" s="330"/>
      <c r="D279" s="330">
        <v>0.85</v>
      </c>
      <c r="E279" s="330">
        <v>2.0499999999999998</v>
      </c>
      <c r="F279" s="330"/>
      <c r="G279" s="330"/>
      <c r="H279" s="330"/>
      <c r="I279" s="330"/>
      <c r="J279" s="330"/>
      <c r="K279" s="330"/>
      <c r="L279" s="330">
        <f>L278</f>
        <v>1</v>
      </c>
      <c r="M279" s="401"/>
      <c r="N279" s="748" t="s">
        <v>89</v>
      </c>
      <c r="O279" s="814"/>
      <c r="P279" s="398"/>
      <c r="Q279" s="330">
        <f>0.85*2.05</f>
        <v>1.7424999999999997</v>
      </c>
      <c r="R279" s="330" t="s">
        <v>1254</v>
      </c>
      <c r="S279" s="398"/>
      <c r="T279" s="398"/>
      <c r="U279" s="738"/>
      <c r="V279" s="738"/>
      <c r="W279" s="738"/>
    </row>
    <row r="280" spans="1:23" ht="15.75" customHeight="1">
      <c r="A280" s="355" t="s">
        <v>217</v>
      </c>
      <c r="B280" s="351" t="s">
        <v>659</v>
      </c>
      <c r="C280" s="330"/>
      <c r="D280" s="330"/>
      <c r="E280" s="330"/>
      <c r="F280" s="330"/>
      <c r="G280" s="330"/>
      <c r="H280" s="330"/>
      <c r="I280" s="330"/>
      <c r="J280" s="330"/>
      <c r="K280" s="330"/>
      <c r="L280" s="330">
        <f>L279</f>
        <v>1</v>
      </c>
      <c r="M280" s="401">
        <f>L280</f>
        <v>1</v>
      </c>
      <c r="N280" s="748" t="s">
        <v>313</v>
      </c>
      <c r="O280" s="814">
        <f>ROUND((M280),2)</f>
        <v>1</v>
      </c>
      <c r="P280" s="398"/>
      <c r="Q280" s="330">
        <v>1</v>
      </c>
      <c r="R280" s="330">
        <v>1</v>
      </c>
      <c r="S280" s="398"/>
      <c r="T280" s="398"/>
      <c r="U280" s="738"/>
      <c r="V280" s="738"/>
      <c r="W280" s="738"/>
    </row>
    <row r="281" spans="1:23" s="787" customFormat="1" ht="15.75" hidden="1" customHeight="1">
      <c r="A281" s="571" t="s">
        <v>660</v>
      </c>
      <c r="B281" s="572" t="s">
        <v>1255</v>
      </c>
      <c r="C281" s="754"/>
      <c r="D281" s="754"/>
      <c r="E281" s="754"/>
      <c r="F281" s="754"/>
      <c r="G281" s="754"/>
      <c r="H281" s="754"/>
      <c r="I281" s="754"/>
      <c r="J281" s="754"/>
      <c r="K281" s="754"/>
      <c r="L281" s="754"/>
      <c r="M281" s="762"/>
      <c r="N281" s="758"/>
      <c r="O281" s="817"/>
      <c r="P281" s="577"/>
      <c r="Q281" s="754">
        <v>1</v>
      </c>
      <c r="R281" s="754">
        <v>1</v>
      </c>
      <c r="S281" s="577"/>
      <c r="T281" s="577"/>
      <c r="U281" s="786"/>
      <c r="V281" s="786"/>
      <c r="W281" s="786"/>
    </row>
    <row r="282" spans="1:23" s="787" customFormat="1" ht="15.75" hidden="1" customHeight="1">
      <c r="A282" s="571" t="s">
        <v>95</v>
      </c>
      <c r="B282" s="572" t="s">
        <v>566</v>
      </c>
      <c r="C282" s="754"/>
      <c r="D282" s="754"/>
      <c r="E282" s="754"/>
      <c r="F282" s="754"/>
      <c r="G282" s="754"/>
      <c r="H282" s="754"/>
      <c r="I282" s="754"/>
      <c r="J282" s="754"/>
      <c r="K282" s="754"/>
      <c r="L282" s="754"/>
      <c r="M282" s="762"/>
      <c r="N282" s="575"/>
      <c r="O282" s="817"/>
      <c r="P282" s="754"/>
      <c r="Q282" s="754"/>
      <c r="R282" s="577"/>
      <c r="S282" s="577"/>
      <c r="T282" s="786"/>
      <c r="U282" s="786"/>
      <c r="V282" s="786"/>
    </row>
    <row r="283" spans="1:23" s="787" customFormat="1" ht="15.75" hidden="1" customHeight="1">
      <c r="A283" s="571"/>
      <c r="B283" s="572"/>
      <c r="C283" s="754"/>
      <c r="D283" s="754">
        <f>D256</f>
        <v>0.98</v>
      </c>
      <c r="E283" s="754"/>
      <c r="F283" s="754"/>
      <c r="G283" s="754"/>
      <c r="H283" s="754">
        <f>H273</f>
        <v>1</v>
      </c>
      <c r="I283" s="754"/>
      <c r="J283" s="754"/>
      <c r="K283" s="754"/>
      <c r="L283" s="754">
        <f>H256</f>
        <v>0</v>
      </c>
      <c r="M283" s="762">
        <f>D283*H283*L283</f>
        <v>0</v>
      </c>
      <c r="N283" s="575"/>
      <c r="O283" s="817"/>
      <c r="P283" s="754"/>
      <c r="Q283" s="754"/>
      <c r="R283" s="577"/>
      <c r="S283" s="577"/>
      <c r="T283" s="786"/>
      <c r="U283" s="786"/>
      <c r="V283" s="786"/>
    </row>
    <row r="284" spans="1:23" s="787" customFormat="1" ht="15.75" hidden="1" customHeight="1">
      <c r="A284" s="571"/>
      <c r="B284" s="572"/>
      <c r="C284" s="754"/>
      <c r="D284" s="754"/>
      <c r="E284" s="754">
        <f>E256</f>
        <v>2.04</v>
      </c>
      <c r="F284" s="754"/>
      <c r="G284" s="754"/>
      <c r="H284" s="754">
        <f>H274</f>
        <v>2</v>
      </c>
      <c r="I284" s="754"/>
      <c r="J284" s="754"/>
      <c r="K284" s="754"/>
      <c r="L284" s="754">
        <f>L283</f>
        <v>0</v>
      </c>
      <c r="M284" s="759">
        <f>E284*H284*L284</f>
        <v>0</v>
      </c>
      <c r="N284" s="575"/>
      <c r="O284" s="817"/>
      <c r="P284" s="754"/>
      <c r="Q284" s="754"/>
      <c r="R284" s="577"/>
      <c r="S284" s="577"/>
      <c r="T284" s="786"/>
      <c r="U284" s="786"/>
      <c r="V284" s="786"/>
    </row>
    <row r="285" spans="1:23" s="787" customFormat="1" ht="15.75" hidden="1" customHeight="1">
      <c r="A285" s="571"/>
      <c r="B285" s="572"/>
      <c r="C285" s="754"/>
      <c r="D285" s="754"/>
      <c r="E285" s="754"/>
      <c r="F285" s="754"/>
      <c r="G285" s="754"/>
      <c r="H285" s="754"/>
      <c r="I285" s="754"/>
      <c r="J285" s="754"/>
      <c r="K285" s="754"/>
      <c r="L285" s="754"/>
      <c r="M285" s="762">
        <f>SUM(M283:M284)</f>
        <v>0</v>
      </c>
      <c r="N285" s="575" t="s">
        <v>117</v>
      </c>
      <c r="O285" s="817">
        <f>ROUND((M285),2)</f>
        <v>0</v>
      </c>
      <c r="P285" s="754"/>
      <c r="Q285" s="754"/>
      <c r="R285" s="577"/>
      <c r="S285" s="577"/>
      <c r="T285" s="786"/>
      <c r="U285" s="786"/>
      <c r="V285" s="786"/>
    </row>
    <row r="286" spans="1:23" s="787" customFormat="1" ht="15.75" hidden="1" customHeight="1">
      <c r="A286" s="571" t="s">
        <v>98</v>
      </c>
      <c r="B286" s="572" t="s">
        <v>1256</v>
      </c>
      <c r="C286" s="754"/>
      <c r="D286" s="754">
        <f>D283-0.08</f>
        <v>0.9</v>
      </c>
      <c r="E286" s="754">
        <f>E284-0.04</f>
        <v>2</v>
      </c>
      <c r="F286" s="754"/>
      <c r="G286" s="754"/>
      <c r="H286" s="754"/>
      <c r="I286" s="754"/>
      <c r="J286" s="754"/>
      <c r="K286" s="754"/>
      <c r="L286" s="754">
        <f>L284</f>
        <v>0</v>
      </c>
      <c r="M286" s="762">
        <f>D286*E286*L286</f>
        <v>0</v>
      </c>
      <c r="N286" s="575" t="s">
        <v>89</v>
      </c>
      <c r="O286" s="817">
        <f>ROUND((M286),2)</f>
        <v>0</v>
      </c>
      <c r="P286" s="754"/>
      <c r="Q286" s="754"/>
      <c r="R286" s="577"/>
      <c r="S286" s="577"/>
      <c r="T286" s="786"/>
      <c r="U286" s="786"/>
      <c r="V286" s="786"/>
    </row>
    <row r="287" spans="1:23" s="787" customFormat="1" ht="15.75" hidden="1" customHeight="1">
      <c r="A287" s="571" t="s">
        <v>101</v>
      </c>
      <c r="B287" s="572" t="s">
        <v>657</v>
      </c>
      <c r="C287" s="754"/>
      <c r="D287" s="754"/>
      <c r="E287" s="754"/>
      <c r="F287" s="754">
        <v>1.5</v>
      </c>
      <c r="G287" s="754"/>
      <c r="H287" s="754"/>
      <c r="I287" s="754"/>
      <c r="J287" s="754"/>
      <c r="K287" s="754"/>
      <c r="L287" s="754">
        <f>L286</f>
        <v>0</v>
      </c>
      <c r="M287" s="762">
        <f>F287*L287</f>
        <v>0</v>
      </c>
      <c r="N287" s="575" t="s">
        <v>328</v>
      </c>
      <c r="O287" s="817">
        <f>ROUND((M287),2)</f>
        <v>0</v>
      </c>
      <c r="P287" s="754"/>
      <c r="Q287" s="754"/>
      <c r="R287" s="577"/>
      <c r="S287" s="577"/>
      <c r="T287" s="786"/>
      <c r="U287" s="786"/>
      <c r="V287" s="786"/>
    </row>
    <row r="288" spans="1:23" s="787" customFormat="1" ht="15.75" hidden="1" customHeight="1">
      <c r="A288" s="571" t="s">
        <v>121</v>
      </c>
      <c r="B288" s="572" t="s">
        <v>658</v>
      </c>
      <c r="C288" s="754"/>
      <c r="D288" s="754"/>
      <c r="E288" s="754"/>
      <c r="F288" s="754">
        <v>1</v>
      </c>
      <c r="G288" s="754"/>
      <c r="H288" s="754"/>
      <c r="I288" s="754"/>
      <c r="J288" s="754"/>
      <c r="K288" s="754"/>
      <c r="L288" s="754">
        <f>L287</f>
        <v>0</v>
      </c>
      <c r="M288" s="762">
        <f>F288*L288</f>
        <v>0</v>
      </c>
      <c r="N288" s="575" t="s">
        <v>124</v>
      </c>
      <c r="O288" s="817">
        <f>ROUND((M288),2)</f>
        <v>0</v>
      </c>
      <c r="P288" s="754"/>
      <c r="Q288" s="754"/>
      <c r="R288" s="577"/>
      <c r="S288" s="577"/>
      <c r="T288" s="786"/>
      <c r="U288" s="786"/>
      <c r="V288" s="786"/>
    </row>
    <row r="289" spans="1:23" s="787" customFormat="1" ht="15.75" hidden="1" customHeight="1">
      <c r="A289" s="571" t="s">
        <v>142</v>
      </c>
      <c r="B289" s="572" t="s">
        <v>659</v>
      </c>
      <c r="C289" s="754"/>
      <c r="D289" s="754"/>
      <c r="E289" s="754"/>
      <c r="F289" s="754">
        <v>1</v>
      </c>
      <c r="G289" s="754"/>
      <c r="H289" s="754"/>
      <c r="I289" s="754"/>
      <c r="J289" s="754"/>
      <c r="K289" s="754"/>
      <c r="L289" s="754">
        <f>L288</f>
        <v>0</v>
      </c>
      <c r="M289" s="762">
        <f>F289*L289</f>
        <v>0</v>
      </c>
      <c r="N289" s="575" t="s">
        <v>313</v>
      </c>
      <c r="O289" s="817">
        <f>ROUND((M289),2)</f>
        <v>0</v>
      </c>
      <c r="P289" s="754"/>
      <c r="Q289" s="754"/>
      <c r="R289" s="577"/>
      <c r="S289" s="577"/>
      <c r="T289" s="786"/>
      <c r="U289" s="786"/>
      <c r="V289" s="786"/>
    </row>
    <row r="290" spans="1:23" s="787" customFormat="1" ht="15.75" hidden="1" customHeight="1">
      <c r="A290" s="823"/>
      <c r="B290" s="572"/>
      <c r="C290" s="754"/>
      <c r="D290" s="754"/>
      <c r="E290" s="754"/>
      <c r="F290" s="754"/>
      <c r="G290" s="754"/>
      <c r="H290" s="754"/>
      <c r="I290" s="754"/>
      <c r="J290" s="754"/>
      <c r="K290" s="754"/>
      <c r="L290" s="754"/>
      <c r="M290" s="762"/>
      <c r="N290" s="758"/>
      <c r="O290" s="817"/>
      <c r="P290" s="577"/>
      <c r="Q290" s="754"/>
      <c r="R290" s="754"/>
      <c r="S290" s="577"/>
      <c r="T290" s="577"/>
      <c r="U290" s="786"/>
      <c r="V290" s="786"/>
      <c r="W290" s="786"/>
    </row>
    <row r="291" spans="1:23" ht="15.75" customHeight="1">
      <c r="A291" s="404" t="s">
        <v>660</v>
      </c>
      <c r="B291" s="403" t="s">
        <v>1244</v>
      </c>
      <c r="C291" s="330"/>
      <c r="D291" s="330"/>
      <c r="E291" s="330"/>
      <c r="F291" s="330"/>
      <c r="G291" s="330"/>
      <c r="H291" s="330"/>
      <c r="I291" s="330"/>
      <c r="J291" s="330"/>
      <c r="K291" s="330"/>
      <c r="L291" s="330"/>
      <c r="M291" s="401">
        <v>2</v>
      </c>
      <c r="N291" s="748" t="s">
        <v>360</v>
      </c>
      <c r="O291" s="814">
        <f>ROUND((M291),2)</f>
        <v>2</v>
      </c>
      <c r="P291" s="398"/>
      <c r="Q291" s="330">
        <v>1</v>
      </c>
      <c r="R291" s="330">
        <v>1</v>
      </c>
      <c r="S291" s="398"/>
      <c r="T291" s="398"/>
      <c r="U291" s="738"/>
      <c r="V291" s="738"/>
      <c r="W291" s="738"/>
    </row>
    <row r="292" spans="1:23" ht="15.75" customHeight="1">
      <c r="A292" s="404" t="s">
        <v>661</v>
      </c>
      <c r="B292" s="351" t="s">
        <v>662</v>
      </c>
      <c r="C292" s="330"/>
      <c r="D292" s="330"/>
      <c r="E292" s="330"/>
      <c r="F292" s="330"/>
      <c r="G292" s="330"/>
      <c r="H292" s="330"/>
      <c r="I292" s="330"/>
      <c r="J292" s="330"/>
      <c r="K292" s="330"/>
      <c r="L292" s="330"/>
      <c r="M292" s="401"/>
      <c r="N292" s="748"/>
      <c r="O292" s="814"/>
      <c r="P292" s="398"/>
      <c r="Q292" s="330"/>
      <c r="R292" s="330"/>
      <c r="S292" s="398"/>
      <c r="T292" s="398"/>
      <c r="U292" s="738"/>
      <c r="V292" s="738"/>
      <c r="W292" s="738"/>
    </row>
    <row r="293" spans="1:23" ht="15.75" customHeight="1">
      <c r="A293" s="355" t="s">
        <v>95</v>
      </c>
      <c r="B293" s="351" t="s">
        <v>566</v>
      </c>
      <c r="C293" s="330"/>
      <c r="D293" s="330"/>
      <c r="E293" s="330"/>
      <c r="F293" s="330"/>
      <c r="G293" s="330"/>
      <c r="H293" s="330"/>
      <c r="I293" s="330"/>
      <c r="J293" s="330"/>
      <c r="K293" s="330"/>
      <c r="L293" s="330"/>
      <c r="M293" s="401">
        <f>SUM(M294:M295)</f>
        <v>16.240000000000002</v>
      </c>
      <c r="N293" s="748" t="s">
        <v>117</v>
      </c>
      <c r="O293" s="814">
        <f>ROUND((M293),2)</f>
        <v>16.239999999999998</v>
      </c>
      <c r="P293" s="398"/>
      <c r="Q293" s="330">
        <f>(0.7+1.6)*2</f>
        <v>4.5999999999999996</v>
      </c>
      <c r="R293" s="330" t="s">
        <v>1257</v>
      </c>
      <c r="S293" s="398"/>
      <c r="T293" s="398"/>
      <c r="U293" s="738"/>
      <c r="V293" s="738"/>
      <c r="W293" s="738"/>
    </row>
    <row r="294" spans="1:23" ht="15.75" customHeight="1">
      <c r="A294" s="355"/>
      <c r="B294" s="351"/>
      <c r="C294" s="330"/>
      <c r="D294" s="330">
        <f>D258</f>
        <v>1.3</v>
      </c>
      <c r="E294" s="330"/>
      <c r="F294" s="330"/>
      <c r="G294" s="330"/>
      <c r="H294" s="330">
        <v>2</v>
      </c>
      <c r="I294" s="330"/>
      <c r="J294" s="330"/>
      <c r="K294" s="330"/>
      <c r="L294" s="330">
        <f>H258</f>
        <v>2</v>
      </c>
      <c r="M294" s="401">
        <f>D294*H294*L294</f>
        <v>5.2</v>
      </c>
      <c r="N294" s="748"/>
      <c r="O294" s="814"/>
      <c r="P294" s="398"/>
      <c r="Q294" s="330"/>
      <c r="R294" s="330"/>
      <c r="S294" s="398"/>
      <c r="T294" s="398"/>
      <c r="U294" s="738"/>
      <c r="V294" s="738"/>
      <c r="W294" s="738"/>
    </row>
    <row r="295" spans="1:23" ht="15.75" customHeight="1">
      <c r="A295" s="355"/>
      <c r="B295" s="351"/>
      <c r="C295" s="330"/>
      <c r="D295" s="330"/>
      <c r="E295" s="330">
        <f>E258</f>
        <v>1.84</v>
      </c>
      <c r="F295" s="330"/>
      <c r="G295" s="330"/>
      <c r="H295" s="330">
        <v>3</v>
      </c>
      <c r="I295" s="330"/>
      <c r="J295" s="330"/>
      <c r="K295" s="330"/>
      <c r="L295" s="330">
        <f>L294</f>
        <v>2</v>
      </c>
      <c r="M295" s="401">
        <f>E295*H295*L295</f>
        <v>11.040000000000001</v>
      </c>
      <c r="N295" s="748"/>
      <c r="O295" s="814"/>
      <c r="P295" s="398"/>
      <c r="Q295" s="330"/>
      <c r="R295" s="330"/>
      <c r="S295" s="398"/>
      <c r="T295" s="398"/>
      <c r="U295" s="738"/>
      <c r="V295" s="738"/>
      <c r="W295" s="738"/>
    </row>
    <row r="296" spans="1:23" ht="15.75" customHeight="1">
      <c r="A296" s="355" t="s">
        <v>98</v>
      </c>
      <c r="B296" s="351" t="s">
        <v>663</v>
      </c>
      <c r="C296" s="330"/>
      <c r="D296" s="330">
        <v>0.59</v>
      </c>
      <c r="E296" s="330">
        <f>E295-0.08</f>
        <v>1.76</v>
      </c>
      <c r="F296" s="330"/>
      <c r="G296" s="330"/>
      <c r="H296" s="330">
        <v>2</v>
      </c>
      <c r="I296" s="330"/>
      <c r="J296" s="330"/>
      <c r="K296" s="330"/>
      <c r="L296" s="330">
        <f>L295</f>
        <v>2</v>
      </c>
      <c r="M296" s="401">
        <f>D296*E296*L296*H296</f>
        <v>4.1536</v>
      </c>
      <c r="N296" s="748" t="s">
        <v>89</v>
      </c>
      <c r="O296" s="814">
        <f>ROUND((M296),2)</f>
        <v>4.1500000000000004</v>
      </c>
      <c r="P296" s="398"/>
      <c r="Q296" s="330">
        <f>0.6*1.5</f>
        <v>0.89999999999999991</v>
      </c>
      <c r="R296" s="330" t="s">
        <v>1258</v>
      </c>
      <c r="S296" s="398"/>
      <c r="T296" s="398"/>
      <c r="U296" s="738"/>
      <c r="V296" s="738"/>
      <c r="W296" s="738"/>
    </row>
    <row r="297" spans="1:23" ht="15.75" customHeight="1">
      <c r="A297" s="355" t="s">
        <v>101</v>
      </c>
      <c r="B297" s="351" t="s">
        <v>664</v>
      </c>
      <c r="C297" s="330"/>
      <c r="D297" s="330">
        <f>D296-0.16</f>
        <v>0.42999999999999994</v>
      </c>
      <c r="E297" s="330">
        <f>E296-0.16</f>
        <v>1.6</v>
      </c>
      <c r="F297" s="330"/>
      <c r="G297" s="330"/>
      <c r="H297" s="330">
        <f>H296</f>
        <v>2</v>
      </c>
      <c r="I297" s="330"/>
      <c r="J297" s="330"/>
      <c r="K297" s="330"/>
      <c r="L297" s="330">
        <f>L296</f>
        <v>2</v>
      </c>
      <c r="M297" s="401">
        <f>D297*E297*L297*H297</f>
        <v>2.7519999999999998</v>
      </c>
      <c r="N297" s="748" t="s">
        <v>89</v>
      </c>
      <c r="O297" s="814">
        <f>ROUND((M297),2)</f>
        <v>2.75</v>
      </c>
      <c r="P297" s="398"/>
      <c r="Q297" s="330">
        <f>0.55*1.45</f>
        <v>0.79749999999999999</v>
      </c>
      <c r="R297" s="330" t="s">
        <v>1259</v>
      </c>
      <c r="S297" s="398"/>
      <c r="T297" s="398"/>
      <c r="U297" s="738"/>
      <c r="V297" s="738"/>
      <c r="W297" s="738"/>
    </row>
    <row r="298" spans="1:23" ht="15.75" customHeight="1">
      <c r="A298" s="355" t="s">
        <v>121</v>
      </c>
      <c r="B298" s="351" t="s">
        <v>665</v>
      </c>
      <c r="C298" s="330"/>
      <c r="D298" s="330"/>
      <c r="E298" s="330"/>
      <c r="F298" s="330"/>
      <c r="G298" s="330"/>
      <c r="H298" s="330">
        <f>H297</f>
        <v>2</v>
      </c>
      <c r="I298" s="330"/>
      <c r="J298" s="330"/>
      <c r="K298" s="330"/>
      <c r="L298" s="330">
        <v>2</v>
      </c>
      <c r="M298" s="401">
        <f>H298*L298</f>
        <v>4</v>
      </c>
      <c r="N298" s="748" t="s">
        <v>328</v>
      </c>
      <c r="O298" s="814">
        <f>ROUND((M298),2)</f>
        <v>4</v>
      </c>
      <c r="P298" s="398"/>
      <c r="Q298" s="330">
        <v>1</v>
      </c>
      <c r="R298" s="330">
        <v>1</v>
      </c>
      <c r="S298" s="398"/>
      <c r="T298" s="398"/>
      <c r="U298" s="738"/>
      <c r="V298" s="738"/>
      <c r="W298" s="738"/>
    </row>
    <row r="299" spans="1:23" ht="15.75" customHeight="1">
      <c r="A299" s="355" t="s">
        <v>142</v>
      </c>
      <c r="B299" s="351" t="s">
        <v>666</v>
      </c>
      <c r="C299" s="330"/>
      <c r="D299" s="330"/>
      <c r="E299" s="330"/>
      <c r="F299" s="330"/>
      <c r="G299" s="330"/>
      <c r="H299" s="330">
        <v>2</v>
      </c>
      <c r="I299" s="330"/>
      <c r="J299" s="330"/>
      <c r="K299" s="330"/>
      <c r="L299" s="330">
        <v>2</v>
      </c>
      <c r="M299" s="401">
        <f>H299*L299</f>
        <v>4</v>
      </c>
      <c r="N299" s="748" t="s">
        <v>328</v>
      </c>
      <c r="O299" s="814">
        <f>ROUND((M299),2)</f>
        <v>4</v>
      </c>
      <c r="P299" s="398"/>
      <c r="Q299" s="330">
        <v>1</v>
      </c>
      <c r="R299" s="330">
        <v>1</v>
      </c>
      <c r="S299" s="398"/>
      <c r="T299" s="398"/>
      <c r="U299" s="738"/>
      <c r="V299" s="738"/>
      <c r="W299" s="738"/>
    </row>
    <row r="300" spans="1:23" ht="15.75" customHeight="1">
      <c r="A300" s="355" t="s">
        <v>217</v>
      </c>
      <c r="B300" s="351" t="s">
        <v>667</v>
      </c>
      <c r="C300" s="330"/>
      <c r="D300" s="330"/>
      <c r="E300" s="330"/>
      <c r="F300" s="330"/>
      <c r="G300" s="330"/>
      <c r="H300" s="330"/>
      <c r="I300" s="330"/>
      <c r="J300" s="330"/>
      <c r="K300" s="330"/>
      <c r="L300" s="330">
        <f>L299</f>
        <v>2</v>
      </c>
      <c r="M300" s="401">
        <f>L300</f>
        <v>2</v>
      </c>
      <c r="N300" s="748" t="s">
        <v>124</v>
      </c>
      <c r="O300" s="814">
        <f>ROUND((M300),2)</f>
        <v>2</v>
      </c>
      <c r="P300" s="398"/>
      <c r="Q300" s="330">
        <v>1</v>
      </c>
      <c r="R300" s="330">
        <v>1</v>
      </c>
      <c r="S300" s="398"/>
      <c r="T300" s="398"/>
      <c r="U300" s="738"/>
      <c r="V300" s="738"/>
      <c r="W300" s="738"/>
    </row>
    <row r="301" spans="1:23" ht="15.75" customHeight="1">
      <c r="A301" s="404" t="s">
        <v>668</v>
      </c>
      <c r="B301" s="351" t="s">
        <v>669</v>
      </c>
      <c r="C301" s="330"/>
      <c r="D301" s="330"/>
      <c r="E301" s="330"/>
      <c r="F301" s="330"/>
      <c r="G301" s="330"/>
      <c r="H301" s="330"/>
      <c r="I301" s="330"/>
      <c r="J301" s="330"/>
      <c r="K301" s="330"/>
      <c r="L301" s="330"/>
      <c r="M301" s="401"/>
      <c r="N301" s="748"/>
      <c r="O301" s="814"/>
      <c r="P301" s="398"/>
      <c r="Q301" s="330"/>
      <c r="R301" s="330"/>
      <c r="S301" s="398"/>
      <c r="T301" s="398"/>
      <c r="U301" s="738"/>
      <c r="V301" s="738"/>
      <c r="W301" s="738"/>
    </row>
    <row r="302" spans="1:23" ht="15.75" customHeight="1">
      <c r="A302" s="355" t="s">
        <v>95</v>
      </c>
      <c r="B302" s="351" t="s">
        <v>566</v>
      </c>
      <c r="C302" s="330"/>
      <c r="D302" s="330"/>
      <c r="E302" s="330"/>
      <c r="F302" s="330"/>
      <c r="G302" s="330"/>
      <c r="H302" s="330"/>
      <c r="I302" s="330"/>
      <c r="J302" s="330"/>
      <c r="K302" s="330"/>
      <c r="L302" s="330"/>
      <c r="M302" s="474">
        <f>SUM(M303:M304)</f>
        <v>48.120000000000005</v>
      </c>
      <c r="N302" s="562" t="s">
        <v>117</v>
      </c>
      <c r="O302" s="814">
        <f>ROUND((M302),2)</f>
        <v>48.12</v>
      </c>
      <c r="P302" s="398"/>
      <c r="Q302" s="330">
        <f>(1.3*2+1.6*3)</f>
        <v>7.4</v>
      </c>
      <c r="R302" s="330" t="s">
        <v>1260</v>
      </c>
      <c r="S302" s="398"/>
      <c r="T302" s="398"/>
      <c r="U302" s="738"/>
      <c r="V302" s="738"/>
      <c r="W302" s="738"/>
    </row>
    <row r="303" spans="1:23" ht="15.75" customHeight="1">
      <c r="A303" s="355"/>
      <c r="B303" s="351"/>
      <c r="C303" s="330"/>
      <c r="D303" s="330">
        <f>D259</f>
        <v>2.5</v>
      </c>
      <c r="E303" s="330"/>
      <c r="F303" s="330"/>
      <c r="G303" s="330"/>
      <c r="H303" s="330">
        <v>2</v>
      </c>
      <c r="I303" s="330"/>
      <c r="J303" s="330"/>
      <c r="K303" s="330"/>
      <c r="L303" s="330">
        <f>H259</f>
        <v>3</v>
      </c>
      <c r="M303" s="401">
        <f>D303*H303*L303</f>
        <v>15</v>
      </c>
      <c r="N303" s="748"/>
      <c r="O303" s="814"/>
      <c r="P303" s="398"/>
      <c r="Q303" s="330"/>
      <c r="R303" s="330"/>
      <c r="S303" s="398"/>
      <c r="T303" s="398"/>
      <c r="U303" s="738"/>
      <c r="V303" s="738"/>
      <c r="W303" s="738"/>
    </row>
    <row r="304" spans="1:23" ht="15.75" customHeight="1">
      <c r="A304" s="355"/>
      <c r="B304" s="351"/>
      <c r="C304" s="330"/>
      <c r="D304" s="330"/>
      <c r="E304" s="330">
        <f>E259</f>
        <v>1.84</v>
      </c>
      <c r="F304" s="330"/>
      <c r="G304" s="330"/>
      <c r="H304" s="330">
        <v>6</v>
      </c>
      <c r="I304" s="330"/>
      <c r="J304" s="330"/>
      <c r="K304" s="330"/>
      <c r="L304" s="330">
        <f>L303</f>
        <v>3</v>
      </c>
      <c r="M304" s="401">
        <f>E304*H304*L304</f>
        <v>33.120000000000005</v>
      </c>
      <c r="N304" s="748"/>
      <c r="O304" s="814"/>
      <c r="P304" s="398"/>
      <c r="Q304" s="330"/>
      <c r="R304" s="330"/>
      <c r="S304" s="398"/>
      <c r="T304" s="398"/>
      <c r="U304" s="738"/>
      <c r="V304" s="738"/>
      <c r="W304" s="738"/>
    </row>
    <row r="305" spans="1:23" ht="15.75" customHeight="1">
      <c r="A305" s="355" t="s">
        <v>98</v>
      </c>
      <c r="B305" s="351" t="s">
        <v>663</v>
      </c>
      <c r="C305" s="330"/>
      <c r="D305" s="330">
        <v>0.45200000000000001</v>
      </c>
      <c r="E305" s="330">
        <f>E304-0.08</f>
        <v>1.76</v>
      </c>
      <c r="F305" s="330"/>
      <c r="G305" s="330"/>
      <c r="H305" s="330">
        <v>3</v>
      </c>
      <c r="I305" s="330"/>
      <c r="J305" s="330"/>
      <c r="K305" s="330"/>
      <c r="L305" s="330">
        <f>L304</f>
        <v>3</v>
      </c>
      <c r="M305" s="401">
        <f>D305*E305*H305*L305</f>
        <v>7.1596800000000007</v>
      </c>
      <c r="N305" s="748" t="s">
        <v>89</v>
      </c>
      <c r="O305" s="814">
        <f>ROUND((M305),2)</f>
        <v>7.16</v>
      </c>
      <c r="P305" s="398"/>
      <c r="Q305" s="330">
        <f>0.6*1.5*2</f>
        <v>1.7999999999999998</v>
      </c>
      <c r="R305" s="330" t="s">
        <v>1261</v>
      </c>
      <c r="S305" s="398"/>
      <c r="T305" s="398"/>
      <c r="U305" s="738"/>
      <c r="V305" s="738"/>
      <c r="W305" s="738"/>
    </row>
    <row r="306" spans="1:23" ht="15.75" customHeight="1">
      <c r="A306" s="355" t="s">
        <v>101</v>
      </c>
      <c r="B306" s="351" t="s">
        <v>664</v>
      </c>
      <c r="C306" s="330"/>
      <c r="D306" s="330">
        <f>D305-0.16</f>
        <v>0.29200000000000004</v>
      </c>
      <c r="E306" s="330">
        <f>E305-0.16</f>
        <v>1.6</v>
      </c>
      <c r="F306" s="330"/>
      <c r="G306" s="330"/>
      <c r="H306" s="330">
        <f>H305</f>
        <v>3</v>
      </c>
      <c r="I306" s="330"/>
      <c r="J306" s="330"/>
      <c r="K306" s="330"/>
      <c r="L306" s="330">
        <f>L305</f>
        <v>3</v>
      </c>
      <c r="M306" s="401">
        <f>D306*E306*H306*L306+M307</f>
        <v>8.977920000000001</v>
      </c>
      <c r="N306" s="748" t="s">
        <v>89</v>
      </c>
      <c r="O306" s="814">
        <f>ROUND((M306),2)</f>
        <v>8.98</v>
      </c>
      <c r="P306" s="398"/>
      <c r="Q306" s="330">
        <f>0.55*1.45*2</f>
        <v>1.595</v>
      </c>
      <c r="R306" s="330" t="s">
        <v>1262</v>
      </c>
      <c r="S306" s="398"/>
      <c r="T306" s="398"/>
      <c r="U306" s="738"/>
      <c r="V306" s="738"/>
      <c r="W306" s="738"/>
    </row>
    <row r="307" spans="1:23" ht="15.75" customHeight="1">
      <c r="A307" s="355"/>
      <c r="B307" s="589" t="s">
        <v>1263</v>
      </c>
      <c r="C307" s="330"/>
      <c r="D307" s="330">
        <f>D305</f>
        <v>0.45200000000000001</v>
      </c>
      <c r="E307" s="330">
        <f>E305</f>
        <v>1.76</v>
      </c>
      <c r="F307" s="330"/>
      <c r="G307" s="330"/>
      <c r="H307" s="330">
        <v>2</v>
      </c>
      <c r="I307" s="330"/>
      <c r="J307" s="330"/>
      <c r="K307" s="330"/>
      <c r="L307" s="330">
        <f>L306</f>
        <v>3</v>
      </c>
      <c r="M307" s="401">
        <f>D307*E307*H307*L307</f>
        <v>4.7731200000000005</v>
      </c>
      <c r="N307" s="748"/>
      <c r="O307" s="814"/>
      <c r="P307" s="398"/>
      <c r="Q307" s="330"/>
      <c r="R307" s="330"/>
      <c r="S307" s="398"/>
      <c r="T307" s="398"/>
      <c r="U307" s="738"/>
      <c r="V307" s="738"/>
      <c r="W307" s="738"/>
    </row>
    <row r="308" spans="1:23" ht="15.75" customHeight="1">
      <c r="A308" s="355" t="s">
        <v>121</v>
      </c>
      <c r="B308" s="351" t="s">
        <v>665</v>
      </c>
      <c r="C308" s="330"/>
      <c r="D308" s="330"/>
      <c r="E308" s="330"/>
      <c r="F308" s="330"/>
      <c r="G308" s="330"/>
      <c r="H308" s="330">
        <v>6</v>
      </c>
      <c r="I308" s="330"/>
      <c r="J308" s="330"/>
      <c r="K308" s="330"/>
      <c r="L308" s="330">
        <f>L306</f>
        <v>3</v>
      </c>
      <c r="M308" s="401">
        <f>H308*L308</f>
        <v>18</v>
      </c>
      <c r="N308" s="748" t="s">
        <v>328</v>
      </c>
      <c r="O308" s="814">
        <f>ROUND((M308),2)</f>
        <v>18</v>
      </c>
      <c r="P308" s="398"/>
      <c r="Q308" s="330">
        <v>2</v>
      </c>
      <c r="R308" s="330">
        <v>2</v>
      </c>
      <c r="S308" s="398"/>
      <c r="T308" s="398"/>
      <c r="U308" s="738"/>
      <c r="V308" s="738"/>
      <c r="W308" s="738"/>
    </row>
    <row r="309" spans="1:23" ht="15.75" customHeight="1">
      <c r="A309" s="355" t="s">
        <v>142</v>
      </c>
      <c r="B309" s="351" t="s">
        <v>666</v>
      </c>
      <c r="C309" s="330"/>
      <c r="D309" s="330"/>
      <c r="E309" s="330"/>
      <c r="F309" s="330"/>
      <c r="G309" s="330"/>
      <c r="H309" s="330">
        <f>H308</f>
        <v>6</v>
      </c>
      <c r="I309" s="330"/>
      <c r="J309" s="330"/>
      <c r="K309" s="330"/>
      <c r="L309" s="330">
        <f>L308</f>
        <v>3</v>
      </c>
      <c r="M309" s="401">
        <f>H309*L309</f>
        <v>18</v>
      </c>
      <c r="N309" s="748" t="s">
        <v>328</v>
      </c>
      <c r="O309" s="814">
        <f>ROUND((M309),2)</f>
        <v>18</v>
      </c>
      <c r="P309" s="398"/>
      <c r="Q309" s="330">
        <v>2</v>
      </c>
      <c r="R309" s="330">
        <v>2</v>
      </c>
      <c r="S309" s="398"/>
      <c r="T309" s="398"/>
      <c r="U309" s="738"/>
      <c r="V309" s="738"/>
      <c r="W309" s="738"/>
    </row>
    <row r="310" spans="1:23" ht="15.75" customHeight="1">
      <c r="A310" s="355" t="s">
        <v>217</v>
      </c>
      <c r="B310" s="351" t="s">
        <v>667</v>
      </c>
      <c r="C310" s="330"/>
      <c r="D310" s="330"/>
      <c r="E310" s="330"/>
      <c r="F310" s="330"/>
      <c r="G310" s="330"/>
      <c r="H310" s="330">
        <f>H306</f>
        <v>3</v>
      </c>
      <c r="I310" s="330"/>
      <c r="J310" s="330"/>
      <c r="K310" s="330"/>
      <c r="L310" s="330">
        <f>L309</f>
        <v>3</v>
      </c>
      <c r="M310" s="401">
        <f>H310*L310</f>
        <v>9</v>
      </c>
      <c r="N310" s="748" t="s">
        <v>124</v>
      </c>
      <c r="O310" s="814">
        <f>ROUND((M310),2)</f>
        <v>9</v>
      </c>
      <c r="P310" s="398"/>
      <c r="Q310" s="330">
        <v>2</v>
      </c>
      <c r="R310" s="330">
        <v>2</v>
      </c>
      <c r="S310" s="398"/>
      <c r="T310" s="398"/>
      <c r="U310" s="738"/>
      <c r="V310" s="738"/>
      <c r="W310" s="738"/>
    </row>
    <row r="311" spans="1:23" s="787" customFormat="1" ht="15.75" hidden="1" customHeight="1">
      <c r="A311" s="823" t="s">
        <v>1264</v>
      </c>
      <c r="B311" s="572" t="s">
        <v>1265</v>
      </c>
      <c r="C311" s="754"/>
      <c r="D311" s="754"/>
      <c r="E311" s="754"/>
      <c r="F311" s="754"/>
      <c r="G311" s="754"/>
      <c r="H311" s="754"/>
      <c r="I311" s="754"/>
      <c r="J311" s="754"/>
      <c r="K311" s="754"/>
      <c r="L311" s="754"/>
      <c r="M311" s="762"/>
      <c r="N311" s="758"/>
      <c r="O311" s="814">
        <f>ROUND((M311),2)</f>
        <v>0</v>
      </c>
      <c r="P311" s="577"/>
      <c r="Q311" s="754"/>
      <c r="R311" s="754"/>
      <c r="S311" s="577"/>
      <c r="T311" s="577"/>
      <c r="U311" s="786"/>
      <c r="V311" s="786"/>
      <c r="W311" s="786"/>
    </row>
    <row r="312" spans="1:23" s="787" customFormat="1" ht="15.75" hidden="1" customHeight="1">
      <c r="A312" s="571" t="s">
        <v>95</v>
      </c>
      <c r="B312" s="572" t="s">
        <v>566</v>
      </c>
      <c r="C312" s="754"/>
      <c r="D312" s="754"/>
      <c r="E312" s="754"/>
      <c r="F312" s="754"/>
      <c r="G312" s="754"/>
      <c r="H312" s="754"/>
      <c r="I312" s="754"/>
      <c r="J312" s="754"/>
      <c r="K312" s="754"/>
      <c r="L312" s="754"/>
      <c r="M312" s="755" t="e">
        <f>SUM(M313:M314)</f>
        <v>#REF!</v>
      </c>
      <c r="N312" s="756" t="s">
        <v>117</v>
      </c>
      <c r="O312" s="814" t="e">
        <f>ROUND((M312),2)</f>
        <v>#REF!</v>
      </c>
      <c r="P312" s="577"/>
      <c r="Q312" s="754">
        <f>(2.5*2+1.8*6)</f>
        <v>15.8</v>
      </c>
      <c r="R312" s="754" t="s">
        <v>1266</v>
      </c>
      <c r="S312" s="577"/>
      <c r="T312" s="577"/>
      <c r="U312" s="786"/>
      <c r="V312" s="786"/>
      <c r="W312" s="786"/>
    </row>
    <row r="313" spans="1:23" s="787" customFormat="1" ht="15.75" hidden="1" customHeight="1">
      <c r="A313" s="571"/>
      <c r="B313" s="572"/>
      <c r="C313" s="754"/>
      <c r="D313" s="754" t="e">
        <f>#REF!</f>
        <v>#REF!</v>
      </c>
      <c r="E313" s="754"/>
      <c r="F313" s="754"/>
      <c r="G313" s="754"/>
      <c r="H313" s="754">
        <v>2</v>
      </c>
      <c r="I313" s="754"/>
      <c r="J313" s="754"/>
      <c r="K313" s="754"/>
      <c r="L313" s="754" t="e">
        <f>#REF!</f>
        <v>#REF!</v>
      </c>
      <c r="M313" s="762" t="e">
        <f>D313*H313*L313</f>
        <v>#REF!</v>
      </c>
      <c r="N313" s="758"/>
      <c r="O313" s="814"/>
      <c r="P313" s="577"/>
      <c r="Q313" s="754"/>
      <c r="R313" s="754"/>
      <c r="S313" s="577"/>
      <c r="T313" s="577"/>
      <c r="U313" s="786"/>
      <c r="V313" s="786"/>
      <c r="W313" s="786"/>
    </row>
    <row r="314" spans="1:23" s="787" customFormat="1" ht="15.75" hidden="1" customHeight="1">
      <c r="A314" s="571"/>
      <c r="B314" s="572"/>
      <c r="C314" s="754"/>
      <c r="D314" s="754"/>
      <c r="E314" s="754" t="e">
        <f>#REF!</f>
        <v>#REF!</v>
      </c>
      <c r="F314" s="754"/>
      <c r="G314" s="754"/>
      <c r="H314" s="754">
        <v>3</v>
      </c>
      <c r="I314" s="754"/>
      <c r="J314" s="754"/>
      <c r="K314" s="754"/>
      <c r="L314" s="754" t="e">
        <f t="shared" ref="L314:L319" si="14">L313</f>
        <v>#REF!</v>
      </c>
      <c r="M314" s="762" t="e">
        <f>E314*H314*L314</f>
        <v>#REF!</v>
      </c>
      <c r="N314" s="758"/>
      <c r="O314" s="814"/>
      <c r="P314" s="577"/>
      <c r="Q314" s="754"/>
      <c r="R314" s="754"/>
      <c r="S314" s="577"/>
      <c r="T314" s="577"/>
      <c r="U314" s="786"/>
      <c r="V314" s="786"/>
      <c r="W314" s="786"/>
    </row>
    <row r="315" spans="1:23" s="787" customFormat="1" ht="15.75" hidden="1" customHeight="1">
      <c r="A315" s="571" t="s">
        <v>98</v>
      </c>
      <c r="B315" s="572" t="s">
        <v>663</v>
      </c>
      <c r="C315" s="754"/>
      <c r="D315" s="754">
        <v>0.59</v>
      </c>
      <c r="E315" s="754" t="e">
        <f>E314-0.08</f>
        <v>#REF!</v>
      </c>
      <c r="F315" s="754"/>
      <c r="G315" s="754"/>
      <c r="H315" s="754">
        <v>2</v>
      </c>
      <c r="I315" s="754"/>
      <c r="J315" s="754"/>
      <c r="K315" s="754"/>
      <c r="L315" s="754" t="e">
        <f t="shared" si="14"/>
        <v>#REF!</v>
      </c>
      <c r="M315" s="762" t="e">
        <f>D315*E315*L315*H315</f>
        <v>#REF!</v>
      </c>
      <c r="N315" s="758" t="s">
        <v>89</v>
      </c>
      <c r="O315" s="814" t="e">
        <f t="shared" ref="O315:O321" si="15">ROUND((M315),2)</f>
        <v>#REF!</v>
      </c>
      <c r="P315" s="577"/>
      <c r="Q315" s="754">
        <f>0.45*1.7*5</f>
        <v>3.8250000000000002</v>
      </c>
      <c r="R315" s="754" t="s">
        <v>1267</v>
      </c>
      <c r="S315" s="577"/>
      <c r="T315" s="577"/>
      <c r="U315" s="786"/>
      <c r="V315" s="786"/>
      <c r="W315" s="786"/>
    </row>
    <row r="316" spans="1:23" s="787" customFormat="1" ht="15.75" hidden="1" customHeight="1">
      <c r="A316" s="571" t="s">
        <v>101</v>
      </c>
      <c r="B316" s="572" t="s">
        <v>664</v>
      </c>
      <c r="C316" s="754"/>
      <c r="D316" s="754">
        <f>D315-0.16</f>
        <v>0.42999999999999994</v>
      </c>
      <c r="E316" s="754" t="e">
        <f>E315-0.16</f>
        <v>#REF!</v>
      </c>
      <c r="F316" s="754"/>
      <c r="G316" s="754"/>
      <c r="H316" s="754">
        <f>H315</f>
        <v>2</v>
      </c>
      <c r="I316" s="754"/>
      <c r="J316" s="754"/>
      <c r="K316" s="754"/>
      <c r="L316" s="754" t="e">
        <f t="shared" si="14"/>
        <v>#REF!</v>
      </c>
      <c r="M316" s="762" t="e">
        <f>D316*E316*L316*H316</f>
        <v>#REF!</v>
      </c>
      <c r="N316" s="758" t="s">
        <v>89</v>
      </c>
      <c r="O316" s="814" t="e">
        <f t="shared" si="15"/>
        <v>#REF!</v>
      </c>
      <c r="P316" s="577"/>
      <c r="Q316" s="754">
        <f>0.45*1.65*5</f>
        <v>3.7124999999999995</v>
      </c>
      <c r="R316" s="754" t="s">
        <v>1268</v>
      </c>
      <c r="S316" s="577"/>
      <c r="T316" s="577"/>
      <c r="U316" s="786"/>
      <c r="V316" s="786"/>
      <c r="W316" s="786"/>
    </row>
    <row r="317" spans="1:23" s="787" customFormat="1" ht="15.75" hidden="1" customHeight="1">
      <c r="A317" s="571" t="s">
        <v>121</v>
      </c>
      <c r="B317" s="572" t="s">
        <v>665</v>
      </c>
      <c r="C317" s="754"/>
      <c r="D317" s="754"/>
      <c r="E317" s="754"/>
      <c r="F317" s="754"/>
      <c r="G317" s="754"/>
      <c r="H317" s="754">
        <v>4</v>
      </c>
      <c r="I317" s="754"/>
      <c r="J317" s="754"/>
      <c r="K317" s="754"/>
      <c r="L317" s="754" t="e">
        <f t="shared" si="14"/>
        <v>#REF!</v>
      </c>
      <c r="M317" s="762" t="e">
        <f>H317*L317</f>
        <v>#REF!</v>
      </c>
      <c r="N317" s="758" t="s">
        <v>328</v>
      </c>
      <c r="O317" s="814" t="e">
        <f t="shared" si="15"/>
        <v>#REF!</v>
      </c>
      <c r="P317" s="577"/>
      <c r="Q317" s="754">
        <v>5</v>
      </c>
      <c r="R317" s="754">
        <v>5</v>
      </c>
      <c r="S317" s="577"/>
      <c r="T317" s="577"/>
      <c r="U317" s="786"/>
      <c r="V317" s="786"/>
      <c r="W317" s="786"/>
    </row>
    <row r="318" spans="1:23" s="787" customFormat="1" ht="15.75" hidden="1" customHeight="1">
      <c r="A318" s="571" t="s">
        <v>142</v>
      </c>
      <c r="B318" s="572" t="s">
        <v>666</v>
      </c>
      <c r="C318" s="754"/>
      <c r="D318" s="754"/>
      <c r="E318" s="754"/>
      <c r="F318" s="754"/>
      <c r="G318" s="754"/>
      <c r="H318" s="754">
        <v>4</v>
      </c>
      <c r="I318" s="754"/>
      <c r="J318" s="754"/>
      <c r="K318" s="754"/>
      <c r="L318" s="754" t="e">
        <f t="shared" si="14"/>
        <v>#REF!</v>
      </c>
      <c r="M318" s="762" t="e">
        <f>H318*L318</f>
        <v>#REF!</v>
      </c>
      <c r="N318" s="758" t="s">
        <v>328</v>
      </c>
      <c r="O318" s="814" t="e">
        <f t="shared" si="15"/>
        <v>#REF!</v>
      </c>
      <c r="P318" s="577"/>
      <c r="Q318" s="754">
        <v>5</v>
      </c>
      <c r="R318" s="754">
        <v>5</v>
      </c>
      <c r="S318" s="577"/>
      <c r="T318" s="577"/>
      <c r="U318" s="786"/>
      <c r="V318" s="786"/>
      <c r="W318" s="786"/>
    </row>
    <row r="319" spans="1:23" s="787" customFormat="1" ht="15.75" hidden="1" customHeight="1">
      <c r="A319" s="571" t="s">
        <v>217</v>
      </c>
      <c r="B319" s="572" t="s">
        <v>667</v>
      </c>
      <c r="C319" s="754"/>
      <c r="D319" s="754"/>
      <c r="E319" s="754"/>
      <c r="F319" s="754"/>
      <c r="G319" s="754"/>
      <c r="H319" s="754">
        <v>2</v>
      </c>
      <c r="I319" s="754"/>
      <c r="J319" s="754"/>
      <c r="K319" s="754"/>
      <c r="L319" s="754" t="e">
        <f t="shared" si="14"/>
        <v>#REF!</v>
      </c>
      <c r="M319" s="762" t="e">
        <f>H319*L319</f>
        <v>#REF!</v>
      </c>
      <c r="N319" s="758" t="s">
        <v>124</v>
      </c>
      <c r="O319" s="814" t="e">
        <f t="shared" si="15"/>
        <v>#REF!</v>
      </c>
      <c r="P319" s="577"/>
      <c r="Q319" s="754">
        <v>5</v>
      </c>
      <c r="R319" s="754">
        <v>5</v>
      </c>
      <c r="S319" s="577"/>
      <c r="T319" s="577"/>
      <c r="U319" s="786"/>
      <c r="V319" s="786"/>
      <c r="W319" s="786"/>
    </row>
    <row r="320" spans="1:23" s="787" customFormat="1" ht="15.75" hidden="1" customHeight="1">
      <c r="A320" s="823" t="s">
        <v>1269</v>
      </c>
      <c r="B320" s="572" t="s">
        <v>1270</v>
      </c>
      <c r="C320" s="754"/>
      <c r="D320" s="754"/>
      <c r="E320" s="754"/>
      <c r="F320" s="754"/>
      <c r="G320" s="754"/>
      <c r="H320" s="754"/>
      <c r="I320" s="754"/>
      <c r="J320" s="754"/>
      <c r="K320" s="754"/>
      <c r="L320" s="754"/>
      <c r="M320" s="762"/>
      <c r="N320" s="758"/>
      <c r="O320" s="814">
        <f t="shared" si="15"/>
        <v>0</v>
      </c>
      <c r="P320" s="577"/>
      <c r="Q320" s="754"/>
      <c r="R320" s="754"/>
      <c r="S320" s="577"/>
      <c r="T320" s="577"/>
      <c r="U320" s="786"/>
      <c r="V320" s="786"/>
      <c r="W320" s="786"/>
    </row>
    <row r="321" spans="1:23" s="787" customFormat="1" ht="15.75" hidden="1" customHeight="1">
      <c r="A321" s="571" t="s">
        <v>95</v>
      </c>
      <c r="B321" s="572" t="s">
        <v>566</v>
      </c>
      <c r="C321" s="754"/>
      <c r="D321" s="754"/>
      <c r="E321" s="754"/>
      <c r="F321" s="754"/>
      <c r="G321" s="754"/>
      <c r="H321" s="754"/>
      <c r="I321" s="754"/>
      <c r="J321" s="754"/>
      <c r="K321" s="754"/>
      <c r="L321" s="754"/>
      <c r="M321" s="755" t="e">
        <f>SUM(M322:M323)</f>
        <v>#REF!</v>
      </c>
      <c r="N321" s="756" t="s">
        <v>117</v>
      </c>
      <c r="O321" s="814" t="e">
        <f t="shared" si="15"/>
        <v>#REF!</v>
      </c>
      <c r="P321" s="577"/>
      <c r="Q321" s="754"/>
      <c r="R321" s="754"/>
      <c r="S321" s="577"/>
      <c r="T321" s="577"/>
      <c r="U321" s="786"/>
      <c r="V321" s="786"/>
      <c r="W321" s="786"/>
    </row>
    <row r="322" spans="1:23" s="787" customFormat="1" ht="15.75" hidden="1" customHeight="1">
      <c r="A322" s="571"/>
      <c r="B322" s="572"/>
      <c r="C322" s="754"/>
      <c r="D322" s="754" t="e">
        <f>#REF!</f>
        <v>#REF!</v>
      </c>
      <c r="E322" s="754"/>
      <c r="F322" s="754"/>
      <c r="G322" s="754"/>
      <c r="H322" s="754">
        <v>2</v>
      </c>
      <c r="I322" s="754"/>
      <c r="J322" s="754"/>
      <c r="K322" s="754"/>
      <c r="L322" s="754" t="e">
        <f>#REF!</f>
        <v>#REF!</v>
      </c>
      <c r="M322" s="762" t="e">
        <f>D322*H322*L322</f>
        <v>#REF!</v>
      </c>
      <c r="N322" s="758"/>
      <c r="O322" s="814"/>
      <c r="P322" s="577"/>
      <c r="Q322" s="754"/>
      <c r="R322" s="754"/>
      <c r="S322" s="577"/>
      <c r="T322" s="577"/>
      <c r="U322" s="786"/>
      <c r="V322" s="786"/>
      <c r="W322" s="786"/>
    </row>
    <row r="323" spans="1:23" s="787" customFormat="1" ht="15.75" hidden="1" customHeight="1">
      <c r="A323" s="571"/>
      <c r="B323" s="572"/>
      <c r="C323" s="754"/>
      <c r="D323" s="754"/>
      <c r="E323" s="754" t="e">
        <f>#REF!</f>
        <v>#REF!</v>
      </c>
      <c r="F323" s="754"/>
      <c r="G323" s="754"/>
      <c r="H323" s="754">
        <v>2</v>
      </c>
      <c r="I323" s="754"/>
      <c r="J323" s="754"/>
      <c r="K323" s="754"/>
      <c r="L323" s="754" t="e">
        <f t="shared" ref="L323:L328" si="16">L322</f>
        <v>#REF!</v>
      </c>
      <c r="M323" s="762" t="e">
        <f>E323*H323*L323</f>
        <v>#REF!</v>
      </c>
      <c r="N323" s="758"/>
      <c r="O323" s="814"/>
      <c r="P323" s="577"/>
      <c r="Q323" s="754"/>
      <c r="R323" s="754"/>
      <c r="S323" s="577"/>
      <c r="T323" s="577"/>
      <c r="U323" s="786"/>
      <c r="V323" s="786"/>
      <c r="W323" s="786"/>
    </row>
    <row r="324" spans="1:23" s="787" customFormat="1" ht="15.75" hidden="1" customHeight="1">
      <c r="A324" s="571" t="s">
        <v>98</v>
      </c>
      <c r="B324" s="572" t="s">
        <v>663</v>
      </c>
      <c r="C324" s="754"/>
      <c r="D324" s="754" t="e">
        <f>D322-0.08</f>
        <v>#REF!</v>
      </c>
      <c r="E324" s="754" t="e">
        <f>E323-0.08</f>
        <v>#REF!</v>
      </c>
      <c r="F324" s="754"/>
      <c r="G324" s="754"/>
      <c r="H324" s="754">
        <v>1</v>
      </c>
      <c r="I324" s="754"/>
      <c r="J324" s="754"/>
      <c r="K324" s="754"/>
      <c r="L324" s="754" t="e">
        <f t="shared" si="16"/>
        <v>#REF!</v>
      </c>
      <c r="M324" s="762" t="e">
        <f>D324*E324*H324*L324</f>
        <v>#REF!</v>
      </c>
      <c r="N324" s="758" t="s">
        <v>89</v>
      </c>
      <c r="O324" s="814" t="e">
        <f>ROUND((M324),2)</f>
        <v>#REF!</v>
      </c>
      <c r="P324" s="577"/>
      <c r="Q324" s="754"/>
      <c r="R324" s="754"/>
      <c r="S324" s="577"/>
      <c r="T324" s="577"/>
      <c r="U324" s="786"/>
      <c r="V324" s="786"/>
      <c r="W324" s="786"/>
    </row>
    <row r="325" spans="1:23" s="787" customFormat="1" ht="15.75" hidden="1" customHeight="1">
      <c r="A325" s="571" t="s">
        <v>101</v>
      </c>
      <c r="B325" s="572" t="s">
        <v>664</v>
      </c>
      <c r="C325" s="754"/>
      <c r="D325" s="754" t="e">
        <f>D324-0.16</f>
        <v>#REF!</v>
      </c>
      <c r="E325" s="754" t="e">
        <f>E324-0.16</f>
        <v>#REF!</v>
      </c>
      <c r="F325" s="754"/>
      <c r="G325" s="754"/>
      <c r="H325" s="754">
        <v>1</v>
      </c>
      <c r="I325" s="754"/>
      <c r="J325" s="754"/>
      <c r="K325" s="754"/>
      <c r="L325" s="754" t="e">
        <f t="shared" si="16"/>
        <v>#REF!</v>
      </c>
      <c r="M325" s="762" t="e">
        <f>D325*E325*H325*L325</f>
        <v>#REF!</v>
      </c>
      <c r="N325" s="758" t="s">
        <v>89</v>
      </c>
      <c r="O325" s="814" t="e">
        <f>ROUND((M325),2)</f>
        <v>#REF!</v>
      </c>
      <c r="P325" s="577"/>
      <c r="Q325" s="754"/>
      <c r="R325" s="754"/>
      <c r="S325" s="577"/>
      <c r="T325" s="577"/>
      <c r="U325" s="786"/>
      <c r="V325" s="786"/>
      <c r="W325" s="786"/>
    </row>
    <row r="326" spans="1:23" s="787" customFormat="1" ht="15.75" hidden="1" customHeight="1">
      <c r="A326" s="571" t="s">
        <v>121</v>
      </c>
      <c r="B326" s="572" t="s">
        <v>665</v>
      </c>
      <c r="C326" s="754"/>
      <c r="D326" s="754"/>
      <c r="E326" s="754"/>
      <c r="F326" s="754"/>
      <c r="G326" s="754"/>
      <c r="H326" s="754">
        <v>2</v>
      </c>
      <c r="I326" s="754"/>
      <c r="J326" s="754"/>
      <c r="K326" s="754"/>
      <c r="L326" s="754" t="e">
        <f t="shared" si="16"/>
        <v>#REF!</v>
      </c>
      <c r="M326" s="762" t="e">
        <f>H326*L326</f>
        <v>#REF!</v>
      </c>
      <c r="N326" s="758" t="s">
        <v>328</v>
      </c>
      <c r="O326" s="814" t="e">
        <f>ROUND((M326),2)</f>
        <v>#REF!</v>
      </c>
      <c r="P326" s="577"/>
      <c r="Q326" s="754"/>
      <c r="R326" s="754"/>
      <c r="S326" s="577"/>
      <c r="T326" s="577"/>
      <c r="U326" s="786"/>
      <c r="V326" s="786"/>
      <c r="W326" s="786"/>
    </row>
    <row r="327" spans="1:23" s="787" customFormat="1" ht="15.75" hidden="1" customHeight="1">
      <c r="A327" s="571" t="s">
        <v>142</v>
      </c>
      <c r="B327" s="572" t="s">
        <v>666</v>
      </c>
      <c r="C327" s="754"/>
      <c r="D327" s="754"/>
      <c r="E327" s="754"/>
      <c r="F327" s="754"/>
      <c r="G327" s="754"/>
      <c r="H327" s="754">
        <v>2</v>
      </c>
      <c r="I327" s="754"/>
      <c r="J327" s="754"/>
      <c r="K327" s="754"/>
      <c r="L327" s="754" t="e">
        <f t="shared" si="16"/>
        <v>#REF!</v>
      </c>
      <c r="M327" s="762" t="e">
        <f>H327*L327</f>
        <v>#REF!</v>
      </c>
      <c r="N327" s="758" t="s">
        <v>328</v>
      </c>
      <c r="O327" s="814" t="e">
        <f>ROUND((M327),2)</f>
        <v>#REF!</v>
      </c>
      <c r="P327" s="577"/>
      <c r="Q327" s="754"/>
      <c r="R327" s="754"/>
      <c r="S327" s="577"/>
      <c r="T327" s="577"/>
      <c r="U327" s="786"/>
      <c r="V327" s="786"/>
      <c r="W327" s="786"/>
    </row>
    <row r="328" spans="1:23" s="787" customFormat="1" ht="15.75" hidden="1" customHeight="1">
      <c r="A328" s="571" t="s">
        <v>217</v>
      </c>
      <c r="B328" s="572" t="s">
        <v>667</v>
      </c>
      <c r="C328" s="754"/>
      <c r="D328" s="754"/>
      <c r="E328" s="754"/>
      <c r="F328" s="754"/>
      <c r="G328" s="754"/>
      <c r="H328" s="754">
        <v>1</v>
      </c>
      <c r="I328" s="754"/>
      <c r="J328" s="754"/>
      <c r="K328" s="754"/>
      <c r="L328" s="754" t="e">
        <f t="shared" si="16"/>
        <v>#REF!</v>
      </c>
      <c r="M328" s="762" t="e">
        <f>H328*L328</f>
        <v>#REF!</v>
      </c>
      <c r="N328" s="758" t="s">
        <v>124</v>
      </c>
      <c r="O328" s="814" t="e">
        <f>ROUND((M328),2)</f>
        <v>#REF!</v>
      </c>
      <c r="P328" s="577"/>
      <c r="Q328" s="754"/>
      <c r="R328" s="754"/>
      <c r="S328" s="577"/>
      <c r="T328" s="577"/>
      <c r="U328" s="786"/>
      <c r="V328" s="786"/>
      <c r="W328" s="786"/>
    </row>
    <row r="329" spans="1:23" s="787" customFormat="1" ht="15.75" hidden="1" customHeight="1">
      <c r="A329" s="823" t="s">
        <v>1271</v>
      </c>
      <c r="B329" s="572" t="s">
        <v>1272</v>
      </c>
      <c r="C329" s="754"/>
      <c r="D329" s="754"/>
      <c r="E329" s="754"/>
      <c r="F329" s="754"/>
      <c r="G329" s="754"/>
      <c r="H329" s="754"/>
      <c r="I329" s="754"/>
      <c r="J329" s="754"/>
      <c r="K329" s="754"/>
      <c r="L329" s="754"/>
      <c r="M329" s="762"/>
      <c r="N329" s="758"/>
      <c r="O329" s="814"/>
      <c r="P329" s="577"/>
      <c r="Q329" s="754"/>
      <c r="R329" s="754"/>
      <c r="S329" s="577"/>
      <c r="T329" s="577"/>
      <c r="U329" s="786"/>
      <c r="V329" s="786"/>
      <c r="W329" s="786"/>
    </row>
    <row r="330" spans="1:23" s="787" customFormat="1" ht="15.75" hidden="1" customHeight="1">
      <c r="A330" s="571" t="s">
        <v>95</v>
      </c>
      <c r="B330" s="572" t="s">
        <v>566</v>
      </c>
      <c r="C330" s="754"/>
      <c r="D330" s="754"/>
      <c r="E330" s="754"/>
      <c r="F330" s="754"/>
      <c r="G330" s="754"/>
      <c r="H330" s="754"/>
      <c r="I330" s="754"/>
      <c r="J330" s="754"/>
      <c r="K330" s="754"/>
      <c r="L330" s="754"/>
      <c r="M330" s="755" t="e">
        <f>SUM(M331:M332)</f>
        <v>#REF!</v>
      </c>
      <c r="N330" s="756" t="s">
        <v>117</v>
      </c>
      <c r="O330" s="814" t="e">
        <f>ROUND((M330),2)</f>
        <v>#REF!</v>
      </c>
      <c r="P330" s="577"/>
      <c r="Q330" s="754"/>
      <c r="R330" s="754"/>
      <c r="S330" s="577"/>
      <c r="T330" s="577"/>
      <c r="U330" s="786"/>
      <c r="V330" s="786"/>
      <c r="W330" s="786"/>
    </row>
    <row r="331" spans="1:23" s="787" customFormat="1" ht="15.75" hidden="1" customHeight="1">
      <c r="A331" s="571"/>
      <c r="B331" s="572"/>
      <c r="C331" s="754"/>
      <c r="D331" s="754" t="e">
        <f>#REF!</f>
        <v>#REF!</v>
      </c>
      <c r="E331" s="754"/>
      <c r="F331" s="754"/>
      <c r="G331" s="754"/>
      <c r="H331" s="754">
        <v>2</v>
      </c>
      <c r="I331" s="754"/>
      <c r="J331" s="754"/>
      <c r="K331" s="754"/>
      <c r="L331" s="754" t="e">
        <f>#REF!</f>
        <v>#REF!</v>
      </c>
      <c r="M331" s="762" t="e">
        <f>D331*H331*L331</f>
        <v>#REF!</v>
      </c>
      <c r="N331" s="758"/>
      <c r="O331" s="814"/>
      <c r="P331" s="577"/>
      <c r="Q331" s="754"/>
      <c r="R331" s="754"/>
      <c r="S331" s="577"/>
      <c r="T331" s="577"/>
      <c r="U331" s="786"/>
      <c r="V331" s="786"/>
      <c r="W331" s="786"/>
    </row>
    <row r="332" spans="1:23" s="787" customFormat="1" ht="15.75" hidden="1" customHeight="1">
      <c r="A332" s="571"/>
      <c r="B332" s="572"/>
      <c r="C332" s="754"/>
      <c r="D332" s="754"/>
      <c r="E332" s="754" t="e">
        <f>#REF!</f>
        <v>#REF!</v>
      </c>
      <c r="F332" s="754"/>
      <c r="G332" s="754"/>
      <c r="H332" s="754">
        <v>2</v>
      </c>
      <c r="I332" s="754"/>
      <c r="J332" s="754"/>
      <c r="K332" s="754"/>
      <c r="L332" s="754" t="e">
        <f t="shared" ref="L332:L337" si="17">L331</f>
        <v>#REF!</v>
      </c>
      <c r="M332" s="762" t="e">
        <f>E332*H332*L332</f>
        <v>#REF!</v>
      </c>
      <c r="N332" s="758"/>
      <c r="O332" s="814"/>
      <c r="P332" s="577"/>
      <c r="Q332" s="754"/>
      <c r="R332" s="754"/>
      <c r="S332" s="577"/>
      <c r="T332" s="577"/>
      <c r="U332" s="786"/>
      <c r="V332" s="786"/>
      <c r="W332" s="786"/>
    </row>
    <row r="333" spans="1:23" s="787" customFormat="1" ht="15.75" hidden="1" customHeight="1">
      <c r="A333" s="571" t="s">
        <v>98</v>
      </c>
      <c r="B333" s="572" t="s">
        <v>663</v>
      </c>
      <c r="C333" s="754"/>
      <c r="D333" s="754" t="e">
        <f>D331-0.08</f>
        <v>#REF!</v>
      </c>
      <c r="E333" s="754" t="e">
        <f>E332-0.08</f>
        <v>#REF!</v>
      </c>
      <c r="F333" s="754"/>
      <c r="G333" s="754"/>
      <c r="H333" s="754">
        <v>1</v>
      </c>
      <c r="I333" s="754"/>
      <c r="J333" s="754"/>
      <c r="K333" s="754"/>
      <c r="L333" s="754" t="e">
        <f t="shared" si="17"/>
        <v>#REF!</v>
      </c>
      <c r="M333" s="762" t="e">
        <f>D333*E333*H333*L333</f>
        <v>#REF!</v>
      </c>
      <c r="N333" s="758" t="s">
        <v>89</v>
      </c>
      <c r="O333" s="814" t="e">
        <f>ROUND((M333),2)</f>
        <v>#REF!</v>
      </c>
      <c r="P333" s="577"/>
      <c r="Q333" s="754"/>
      <c r="R333" s="754"/>
      <c r="S333" s="577"/>
      <c r="T333" s="577"/>
      <c r="U333" s="786"/>
      <c r="V333" s="786"/>
      <c r="W333" s="786"/>
    </row>
    <row r="334" spans="1:23" s="787" customFormat="1" ht="15.75" hidden="1" customHeight="1">
      <c r="A334" s="571" t="s">
        <v>101</v>
      </c>
      <c r="B334" s="572" t="s">
        <v>664</v>
      </c>
      <c r="C334" s="754"/>
      <c r="D334" s="754" t="e">
        <f>D333-0.16</f>
        <v>#REF!</v>
      </c>
      <c r="E334" s="754" t="e">
        <f>E333-0.16</f>
        <v>#REF!</v>
      </c>
      <c r="F334" s="754"/>
      <c r="G334" s="754"/>
      <c r="H334" s="754">
        <v>1</v>
      </c>
      <c r="I334" s="754"/>
      <c r="J334" s="754"/>
      <c r="K334" s="754"/>
      <c r="L334" s="754" t="e">
        <f t="shared" si="17"/>
        <v>#REF!</v>
      </c>
      <c r="M334" s="762" t="e">
        <f>D334*E334*H334*L334</f>
        <v>#REF!</v>
      </c>
      <c r="N334" s="758" t="s">
        <v>89</v>
      </c>
      <c r="O334" s="814" t="e">
        <f>ROUND((M334),2)</f>
        <v>#REF!</v>
      </c>
      <c r="P334" s="577"/>
      <c r="Q334" s="754"/>
      <c r="R334" s="754"/>
      <c r="S334" s="577"/>
      <c r="T334" s="577"/>
      <c r="U334" s="786"/>
      <c r="V334" s="786"/>
      <c r="W334" s="786"/>
    </row>
    <row r="335" spans="1:23" s="787" customFormat="1" ht="15.75" hidden="1" customHeight="1">
      <c r="A335" s="571" t="s">
        <v>121</v>
      </c>
      <c r="B335" s="572" t="s">
        <v>665</v>
      </c>
      <c r="C335" s="754"/>
      <c r="D335" s="754"/>
      <c r="E335" s="754"/>
      <c r="F335" s="754"/>
      <c r="G335" s="754"/>
      <c r="H335" s="754">
        <v>2</v>
      </c>
      <c r="I335" s="754"/>
      <c r="J335" s="754"/>
      <c r="K335" s="754"/>
      <c r="L335" s="754" t="e">
        <f t="shared" si="17"/>
        <v>#REF!</v>
      </c>
      <c r="M335" s="762" t="e">
        <f>H335*L335</f>
        <v>#REF!</v>
      </c>
      <c r="N335" s="758" t="s">
        <v>328</v>
      </c>
      <c r="O335" s="814" t="e">
        <f>ROUND((M335),2)</f>
        <v>#REF!</v>
      </c>
      <c r="P335" s="577"/>
      <c r="Q335" s="754"/>
      <c r="R335" s="754"/>
      <c r="S335" s="577"/>
      <c r="T335" s="577"/>
      <c r="U335" s="786"/>
      <c r="V335" s="786"/>
      <c r="W335" s="786"/>
    </row>
    <row r="336" spans="1:23" s="787" customFormat="1" ht="15.75" hidden="1" customHeight="1">
      <c r="A336" s="571" t="s">
        <v>142</v>
      </c>
      <c r="B336" s="572" t="s">
        <v>666</v>
      </c>
      <c r="C336" s="754"/>
      <c r="D336" s="754"/>
      <c r="E336" s="754"/>
      <c r="F336" s="754"/>
      <c r="G336" s="754"/>
      <c r="H336" s="754">
        <v>2</v>
      </c>
      <c r="I336" s="754"/>
      <c r="J336" s="754"/>
      <c r="K336" s="754"/>
      <c r="L336" s="754" t="e">
        <f t="shared" si="17"/>
        <v>#REF!</v>
      </c>
      <c r="M336" s="762" t="e">
        <f>H336*L336</f>
        <v>#REF!</v>
      </c>
      <c r="N336" s="758" t="s">
        <v>328</v>
      </c>
      <c r="O336" s="814" t="e">
        <f>ROUND((M336),2)</f>
        <v>#REF!</v>
      </c>
      <c r="P336" s="577"/>
      <c r="Q336" s="754"/>
      <c r="R336" s="754"/>
      <c r="S336" s="577"/>
      <c r="T336" s="577"/>
      <c r="U336" s="786"/>
      <c r="V336" s="786"/>
      <c r="W336" s="786"/>
    </row>
    <row r="337" spans="1:23" s="787" customFormat="1" ht="15.75" hidden="1" customHeight="1">
      <c r="A337" s="571" t="s">
        <v>217</v>
      </c>
      <c r="B337" s="572" t="s">
        <v>667</v>
      </c>
      <c r="C337" s="754"/>
      <c r="D337" s="754"/>
      <c r="E337" s="754"/>
      <c r="F337" s="754"/>
      <c r="G337" s="754"/>
      <c r="H337" s="754">
        <v>1</v>
      </c>
      <c r="I337" s="754"/>
      <c r="J337" s="754"/>
      <c r="K337" s="754"/>
      <c r="L337" s="754" t="e">
        <f t="shared" si="17"/>
        <v>#REF!</v>
      </c>
      <c r="M337" s="762" t="e">
        <f>H337*L337</f>
        <v>#REF!</v>
      </c>
      <c r="N337" s="758" t="s">
        <v>124</v>
      </c>
      <c r="O337" s="814" t="e">
        <f>ROUND((M337),2)</f>
        <v>#REF!</v>
      </c>
      <c r="P337" s="577"/>
      <c r="Q337" s="754"/>
      <c r="R337" s="754"/>
      <c r="S337" s="577"/>
      <c r="T337" s="577"/>
      <c r="U337" s="786"/>
      <c r="V337" s="786"/>
      <c r="W337" s="786"/>
    </row>
    <row r="338" spans="1:23" ht="15.75" customHeight="1">
      <c r="A338" s="404" t="s">
        <v>670</v>
      </c>
      <c r="B338" s="351" t="s">
        <v>633</v>
      </c>
      <c r="C338" s="330"/>
      <c r="D338" s="330"/>
      <c r="E338" s="330"/>
      <c r="F338" s="330"/>
      <c r="G338" s="330"/>
      <c r="H338" s="330"/>
      <c r="I338" s="330"/>
      <c r="J338" s="330"/>
      <c r="K338" s="330"/>
      <c r="L338" s="330"/>
      <c r="M338" s="401"/>
      <c r="N338" s="748"/>
      <c r="O338" s="814"/>
      <c r="P338" s="398"/>
      <c r="Q338" s="330"/>
      <c r="R338" s="330"/>
      <c r="S338" s="398"/>
      <c r="T338" s="398"/>
      <c r="U338" s="738"/>
      <c r="V338" s="738"/>
      <c r="W338" s="738"/>
    </row>
    <row r="339" spans="1:23" ht="15.75" customHeight="1">
      <c r="A339" s="355" t="s">
        <v>95</v>
      </c>
      <c r="B339" s="351" t="s">
        <v>566</v>
      </c>
      <c r="C339" s="330"/>
      <c r="D339" s="330">
        <f>D260</f>
        <v>0.88</v>
      </c>
      <c r="E339" s="330"/>
      <c r="F339" s="330"/>
      <c r="G339" s="330"/>
      <c r="H339" s="330">
        <v>2</v>
      </c>
      <c r="I339" s="330"/>
      <c r="J339" s="330"/>
      <c r="K339" s="330"/>
      <c r="L339" s="330">
        <f>H260</f>
        <v>2</v>
      </c>
      <c r="M339" s="401">
        <f>D339*H339*L339</f>
        <v>3.52</v>
      </c>
      <c r="N339" s="748" t="s">
        <v>117</v>
      </c>
      <c r="O339" s="814">
        <f>ROUND((M339),2)</f>
        <v>3.52</v>
      </c>
      <c r="P339" s="398"/>
      <c r="Q339" s="330">
        <f>(0.5+0.6)*2</f>
        <v>2.2000000000000002</v>
      </c>
      <c r="R339" s="330" t="s">
        <v>1273</v>
      </c>
      <c r="S339" s="398"/>
      <c r="T339" s="398"/>
      <c r="U339" s="738"/>
      <c r="V339" s="738"/>
      <c r="W339" s="738"/>
    </row>
    <row r="340" spans="1:23" ht="15.75" customHeight="1">
      <c r="A340" s="355"/>
      <c r="B340" s="351"/>
      <c r="C340" s="330"/>
      <c r="D340" s="330"/>
      <c r="E340" s="330">
        <f>E260</f>
        <v>0.48</v>
      </c>
      <c r="F340" s="330"/>
      <c r="G340" s="330"/>
      <c r="H340" s="330">
        <f>H339</f>
        <v>2</v>
      </c>
      <c r="I340" s="330"/>
      <c r="J340" s="330"/>
      <c r="K340" s="330"/>
      <c r="L340" s="330">
        <f>L339</f>
        <v>2</v>
      </c>
      <c r="M340" s="401">
        <f>E340*H340*L340</f>
        <v>1.92</v>
      </c>
      <c r="N340" s="748"/>
      <c r="O340" s="814"/>
      <c r="P340" s="398"/>
      <c r="Q340" s="330"/>
      <c r="R340" s="330"/>
      <c r="S340" s="398"/>
      <c r="T340" s="398"/>
      <c r="U340" s="738"/>
      <c r="V340" s="738"/>
      <c r="W340" s="738"/>
    </row>
    <row r="341" spans="1:23" ht="15.75" customHeight="1">
      <c r="A341" s="355" t="s">
        <v>98</v>
      </c>
      <c r="B341" s="351" t="s">
        <v>567</v>
      </c>
      <c r="C341" s="330"/>
      <c r="D341" s="330">
        <f>D339-0.08-0.15</f>
        <v>0.65</v>
      </c>
      <c r="E341" s="330">
        <f>E340-0.08-0.15</f>
        <v>0.24999999999999997</v>
      </c>
      <c r="F341" s="330"/>
      <c r="G341" s="330"/>
      <c r="H341" s="330">
        <f>H340</f>
        <v>2</v>
      </c>
      <c r="I341" s="330"/>
      <c r="J341" s="330"/>
      <c r="K341" s="330"/>
      <c r="L341" s="330">
        <f>L340</f>
        <v>2</v>
      </c>
      <c r="M341" s="401">
        <f>D341*E341*H341*L341</f>
        <v>0.64999999999999991</v>
      </c>
      <c r="N341" s="748" t="s">
        <v>89</v>
      </c>
      <c r="O341" s="814">
        <f>ROUND((M341),2)</f>
        <v>0.65</v>
      </c>
      <c r="P341" s="398"/>
      <c r="Q341" s="330">
        <f>0.5*0.6</f>
        <v>0.3</v>
      </c>
      <c r="R341" s="330" t="s">
        <v>1274</v>
      </c>
      <c r="S341" s="398"/>
      <c r="T341" s="398"/>
      <c r="U341" s="738"/>
      <c r="V341" s="738"/>
      <c r="W341" s="738"/>
    </row>
    <row r="342" spans="1:23" ht="15.75" customHeight="1">
      <c r="A342" s="400">
        <f>A270+1</f>
        <v>5</v>
      </c>
      <c r="B342" s="351" t="s">
        <v>568</v>
      </c>
      <c r="C342" s="330"/>
      <c r="D342" s="330"/>
      <c r="E342" s="330"/>
      <c r="F342" s="330"/>
      <c r="G342" s="330"/>
      <c r="H342" s="330"/>
      <c r="I342" s="330"/>
      <c r="J342" s="330"/>
      <c r="K342" s="330"/>
      <c r="L342" s="330"/>
      <c r="M342" s="776">
        <f>SUM(M343:M345)</f>
        <v>27</v>
      </c>
      <c r="N342" s="562" t="s">
        <v>89</v>
      </c>
      <c r="O342" s="814">
        <f>ROUND((M342),2)</f>
        <v>27</v>
      </c>
      <c r="P342" s="398"/>
      <c r="Q342" s="330">
        <f>6*6-Q346</f>
        <v>31.5</v>
      </c>
      <c r="R342" s="330" t="s">
        <v>1275</v>
      </c>
      <c r="S342" s="398"/>
      <c r="T342" s="398"/>
      <c r="U342" s="738"/>
      <c r="V342" s="738"/>
      <c r="W342" s="738"/>
    </row>
    <row r="343" spans="1:23" ht="15.75" customHeight="1">
      <c r="A343" s="400"/>
      <c r="B343" s="589" t="s">
        <v>1122</v>
      </c>
      <c r="C343" s="330"/>
      <c r="D343" s="330">
        <v>6</v>
      </c>
      <c r="E343" s="330">
        <v>6</v>
      </c>
      <c r="F343" s="330"/>
      <c r="G343" s="330"/>
      <c r="H343" s="330"/>
      <c r="I343" s="330"/>
      <c r="J343" s="330"/>
      <c r="K343" s="330"/>
      <c r="L343" s="330"/>
      <c r="M343" s="401">
        <f>D343*E343</f>
        <v>36</v>
      </c>
      <c r="N343" s="748"/>
      <c r="O343" s="814"/>
      <c r="P343" s="398"/>
      <c r="Q343" s="330"/>
      <c r="R343" s="330"/>
      <c r="S343" s="398"/>
      <c r="T343" s="398"/>
      <c r="U343" s="738"/>
      <c r="V343" s="738"/>
      <c r="W343" s="738"/>
    </row>
    <row r="344" spans="1:23" ht="15.75" customHeight="1">
      <c r="A344" s="400"/>
      <c r="B344" s="589" t="s">
        <v>1276</v>
      </c>
      <c r="C344" s="330"/>
      <c r="D344" s="330">
        <v>1.5</v>
      </c>
      <c r="E344" s="330">
        <v>3</v>
      </c>
      <c r="F344" s="330"/>
      <c r="G344" s="330"/>
      <c r="H344" s="330"/>
      <c r="I344" s="330"/>
      <c r="J344" s="330"/>
      <c r="K344" s="330"/>
      <c r="L344" s="330"/>
      <c r="M344" s="401">
        <f>-D344*E344</f>
        <v>-4.5</v>
      </c>
      <c r="N344" s="748"/>
      <c r="O344" s="814"/>
      <c r="P344" s="398"/>
      <c r="Q344" s="330"/>
      <c r="R344" s="330"/>
      <c r="S344" s="398"/>
      <c r="T344" s="398"/>
      <c r="U344" s="738"/>
      <c r="V344" s="738"/>
      <c r="W344" s="738"/>
    </row>
    <row r="345" spans="1:23" ht="15.75" customHeight="1">
      <c r="A345" s="400"/>
      <c r="B345" s="589" t="s">
        <v>1277</v>
      </c>
      <c r="C345" s="330"/>
      <c r="D345" s="330">
        <v>1.5</v>
      </c>
      <c r="E345" s="330">
        <v>3</v>
      </c>
      <c r="F345" s="330"/>
      <c r="G345" s="330"/>
      <c r="H345" s="330"/>
      <c r="I345" s="330"/>
      <c r="J345" s="330"/>
      <c r="K345" s="330"/>
      <c r="L345" s="330"/>
      <c r="M345" s="401">
        <f>-D345*E345</f>
        <v>-4.5</v>
      </c>
      <c r="N345" s="748"/>
      <c r="O345" s="814"/>
      <c r="P345" s="398"/>
      <c r="Q345" s="330"/>
      <c r="R345" s="330"/>
      <c r="S345" s="398"/>
      <c r="T345" s="398"/>
      <c r="U345" s="738"/>
      <c r="V345" s="738"/>
      <c r="W345" s="738"/>
    </row>
    <row r="346" spans="1:23" ht="15.75" customHeight="1">
      <c r="A346" s="400">
        <f>A342+1</f>
        <v>6</v>
      </c>
      <c r="B346" s="351" t="s">
        <v>569</v>
      </c>
      <c r="C346" s="330"/>
      <c r="D346" s="330">
        <v>1.5</v>
      </c>
      <c r="E346" s="330">
        <v>3</v>
      </c>
      <c r="F346" s="330"/>
      <c r="G346" s="330"/>
      <c r="H346" s="330"/>
      <c r="I346" s="330"/>
      <c r="J346" s="330"/>
      <c r="K346" s="330"/>
      <c r="L346" s="330"/>
      <c r="M346" s="401">
        <f>D346*E346</f>
        <v>4.5</v>
      </c>
      <c r="N346" s="748" t="s">
        <v>89</v>
      </c>
      <c r="O346" s="814">
        <f>ROUND((M346),2)</f>
        <v>4.5</v>
      </c>
      <c r="P346" s="398"/>
      <c r="Q346" s="330">
        <f>1.5*3</f>
        <v>4.5</v>
      </c>
      <c r="R346" s="330" t="s">
        <v>1278</v>
      </c>
      <c r="S346" s="398"/>
      <c r="T346" s="398"/>
      <c r="U346" s="738"/>
      <c r="V346" s="738"/>
      <c r="W346" s="738"/>
    </row>
    <row r="347" spans="1:23" ht="15.75" hidden="1" customHeight="1">
      <c r="A347" s="824">
        <f>A346+1</f>
        <v>7</v>
      </c>
      <c r="B347" s="572" t="s">
        <v>1279</v>
      </c>
      <c r="C347" s="754"/>
      <c r="D347" s="754"/>
      <c r="E347" s="754"/>
      <c r="F347" s="754"/>
      <c r="G347" s="754"/>
      <c r="H347" s="754"/>
      <c r="I347" s="754"/>
      <c r="J347" s="754"/>
      <c r="K347" s="754"/>
      <c r="L347" s="754"/>
      <c r="M347" s="755">
        <f>SUM(M348:M352)</f>
        <v>35</v>
      </c>
      <c r="N347" s="756" t="s">
        <v>117</v>
      </c>
      <c r="O347" s="814">
        <f>ROUND((M347),2)</f>
        <v>35</v>
      </c>
      <c r="P347" s="398"/>
      <c r="Q347" s="330">
        <f>6*4*2+3*2</f>
        <v>54</v>
      </c>
      <c r="R347" s="330" t="s">
        <v>1280</v>
      </c>
      <c r="S347" s="398"/>
      <c r="T347" s="398"/>
      <c r="U347" s="738"/>
      <c r="V347" s="738"/>
      <c r="W347" s="738"/>
    </row>
    <row r="348" spans="1:23" ht="15.75" hidden="1" customHeight="1">
      <c r="A348" s="824"/>
      <c r="B348" s="775" t="s">
        <v>136</v>
      </c>
      <c r="C348" s="754">
        <v>10</v>
      </c>
      <c r="D348" s="754"/>
      <c r="E348" s="754"/>
      <c r="F348" s="754"/>
      <c r="G348" s="754">
        <v>1</v>
      </c>
      <c r="H348" s="754"/>
      <c r="I348" s="754"/>
      <c r="J348" s="754"/>
      <c r="K348" s="754"/>
      <c r="L348" s="754"/>
      <c r="M348" s="762">
        <f>C348*G348</f>
        <v>10</v>
      </c>
      <c r="N348" s="758"/>
      <c r="O348" s="814"/>
      <c r="P348" s="398"/>
      <c r="Q348" s="330"/>
      <c r="R348" s="330"/>
      <c r="S348" s="398"/>
      <c r="T348" s="398"/>
      <c r="U348" s="738"/>
      <c r="V348" s="738"/>
      <c r="W348" s="738"/>
    </row>
    <row r="349" spans="1:23" ht="15.75" hidden="1" customHeight="1">
      <c r="A349" s="824"/>
      <c r="B349" s="775"/>
      <c r="C349" s="754">
        <v>1.5</v>
      </c>
      <c r="D349" s="754"/>
      <c r="E349" s="754"/>
      <c r="F349" s="754"/>
      <c r="G349" s="754">
        <v>2</v>
      </c>
      <c r="H349" s="754"/>
      <c r="I349" s="754"/>
      <c r="J349" s="754"/>
      <c r="K349" s="754"/>
      <c r="L349" s="754"/>
      <c r="M349" s="762">
        <f>C349*G349</f>
        <v>3</v>
      </c>
      <c r="N349" s="758"/>
      <c r="O349" s="814"/>
      <c r="P349" s="398"/>
      <c r="Q349" s="330"/>
      <c r="R349" s="330"/>
      <c r="S349" s="398"/>
      <c r="T349" s="398"/>
      <c r="U349" s="738"/>
      <c r="V349" s="738"/>
      <c r="W349" s="738"/>
    </row>
    <row r="350" spans="1:23" ht="15.75" hidden="1" customHeight="1">
      <c r="A350" s="824"/>
      <c r="B350" s="775"/>
      <c r="C350" s="754">
        <v>7</v>
      </c>
      <c r="D350" s="754"/>
      <c r="E350" s="754"/>
      <c r="F350" s="754"/>
      <c r="G350" s="754">
        <v>1</v>
      </c>
      <c r="H350" s="754"/>
      <c r="I350" s="754"/>
      <c r="J350" s="754"/>
      <c r="K350" s="754"/>
      <c r="L350" s="754"/>
      <c r="M350" s="762">
        <f>C350*G350</f>
        <v>7</v>
      </c>
      <c r="N350" s="758"/>
      <c r="O350" s="814"/>
      <c r="P350" s="398"/>
      <c r="Q350" s="330"/>
      <c r="R350" s="330"/>
      <c r="S350" s="398"/>
      <c r="T350" s="398"/>
      <c r="U350" s="738"/>
      <c r="V350" s="738"/>
      <c r="W350" s="738"/>
    </row>
    <row r="351" spans="1:23" ht="15.75" hidden="1" customHeight="1">
      <c r="A351" s="824"/>
      <c r="B351" s="775" t="s">
        <v>1044</v>
      </c>
      <c r="C351" s="754">
        <v>3</v>
      </c>
      <c r="D351" s="754"/>
      <c r="E351" s="754"/>
      <c r="F351" s="754"/>
      <c r="G351" s="754">
        <v>1</v>
      </c>
      <c r="H351" s="754"/>
      <c r="I351" s="754"/>
      <c r="J351" s="754"/>
      <c r="K351" s="754"/>
      <c r="L351" s="754"/>
      <c r="M351" s="762">
        <f>C351*G351</f>
        <v>3</v>
      </c>
      <c r="N351" s="758"/>
      <c r="O351" s="814"/>
      <c r="P351" s="398"/>
      <c r="Q351" s="330"/>
      <c r="R351" s="330"/>
      <c r="S351" s="398"/>
      <c r="T351" s="398"/>
      <c r="U351" s="738"/>
      <c r="V351" s="738"/>
      <c r="W351" s="738"/>
    </row>
    <row r="352" spans="1:23" ht="15.75" hidden="1" customHeight="1">
      <c r="A352" s="824"/>
      <c r="B352" s="775"/>
      <c r="C352" s="754">
        <v>6</v>
      </c>
      <c r="D352" s="754"/>
      <c r="E352" s="754"/>
      <c r="F352" s="754"/>
      <c r="G352" s="754">
        <v>2</v>
      </c>
      <c r="H352" s="754"/>
      <c r="I352" s="754"/>
      <c r="J352" s="754"/>
      <c r="K352" s="754"/>
      <c r="L352" s="754"/>
      <c r="M352" s="762">
        <f>C352*G352</f>
        <v>12</v>
      </c>
      <c r="N352" s="758"/>
      <c r="O352" s="814"/>
      <c r="P352" s="398"/>
      <c r="Q352" s="330"/>
      <c r="R352" s="330"/>
      <c r="S352" s="398"/>
      <c r="T352" s="398"/>
      <c r="U352" s="738"/>
      <c r="V352" s="738"/>
      <c r="W352" s="738"/>
    </row>
    <row r="353" spans="1:23" ht="15.75" customHeight="1">
      <c r="A353" s="400">
        <f>A346+1</f>
        <v>7</v>
      </c>
      <c r="B353" s="351" t="s">
        <v>570</v>
      </c>
      <c r="C353" s="330"/>
      <c r="D353" s="330"/>
      <c r="E353" s="330"/>
      <c r="F353" s="330"/>
      <c r="G353" s="330"/>
      <c r="H353" s="330"/>
      <c r="I353" s="330"/>
      <c r="J353" s="330"/>
      <c r="K353" s="330"/>
      <c r="L353" s="330"/>
      <c r="M353" s="776">
        <f>SUM(M354:M357)</f>
        <v>21.832800000000006</v>
      </c>
      <c r="N353" s="562" t="s">
        <v>89</v>
      </c>
      <c r="O353" s="814">
        <f>ROUND((M353),2)</f>
        <v>21.83</v>
      </c>
      <c r="P353" s="398"/>
      <c r="Q353" s="330">
        <f>2.6*(1.5*2+3*2)-(0.8*2+0.5*0.6)</f>
        <v>21.500000000000004</v>
      </c>
      <c r="R353" s="330" t="s">
        <v>1281</v>
      </c>
      <c r="S353" s="398"/>
      <c r="T353" s="398"/>
      <c r="U353" s="738"/>
      <c r="V353" s="738"/>
      <c r="W353" s="738"/>
    </row>
    <row r="354" spans="1:23" ht="15.75" customHeight="1">
      <c r="A354" s="400"/>
      <c r="B354" s="589" t="s">
        <v>1282</v>
      </c>
      <c r="C354" s="330"/>
      <c r="D354" s="330">
        <f>D257</f>
        <v>0.88</v>
      </c>
      <c r="E354" s="330">
        <f>E257</f>
        <v>2.04</v>
      </c>
      <c r="F354" s="330"/>
      <c r="G354" s="330"/>
      <c r="H354" s="330"/>
      <c r="I354" s="330"/>
      <c r="J354" s="330"/>
      <c r="K354" s="330"/>
      <c r="L354" s="330"/>
      <c r="M354" s="401">
        <f>-D354*E354</f>
        <v>-1.7952000000000001</v>
      </c>
      <c r="N354" s="562"/>
      <c r="O354" s="814"/>
      <c r="P354" s="398"/>
      <c r="Q354" s="330"/>
      <c r="R354" s="330"/>
      <c r="S354" s="398"/>
      <c r="T354" s="398"/>
      <c r="U354" s="738"/>
      <c r="V354" s="738"/>
      <c r="W354" s="738"/>
    </row>
    <row r="355" spans="1:23" ht="15.75" customHeight="1">
      <c r="A355" s="400"/>
      <c r="B355" s="589" t="s">
        <v>1209</v>
      </c>
      <c r="C355" s="330"/>
      <c r="D355" s="330">
        <f>D260</f>
        <v>0.88</v>
      </c>
      <c r="E355" s="330">
        <f>E260-0.33</f>
        <v>0.14999999999999997</v>
      </c>
      <c r="F355" s="330"/>
      <c r="G355" s="330"/>
      <c r="H355" s="330"/>
      <c r="I355" s="330"/>
      <c r="J355" s="330"/>
      <c r="K355" s="330"/>
      <c r="L355" s="330"/>
      <c r="M355" s="401">
        <f>-D355*E355</f>
        <v>-0.13199999999999998</v>
      </c>
      <c r="N355" s="562"/>
      <c r="O355" s="814"/>
      <c r="P355" s="398"/>
      <c r="Q355" s="330"/>
      <c r="R355" s="330"/>
      <c r="S355" s="398"/>
      <c r="T355" s="398"/>
      <c r="U355" s="738"/>
      <c r="V355" s="738"/>
      <c r="W355" s="738"/>
    </row>
    <row r="356" spans="1:23" ht="15.75" customHeight="1">
      <c r="A356" s="400"/>
      <c r="B356" s="589" t="s">
        <v>1143</v>
      </c>
      <c r="C356" s="330">
        <f>1.5-0.15</f>
        <v>1.35</v>
      </c>
      <c r="D356" s="330"/>
      <c r="E356" s="330">
        <v>2.2000000000000002</v>
      </c>
      <c r="F356" s="330"/>
      <c r="G356" s="330"/>
      <c r="H356" s="330">
        <v>2</v>
      </c>
      <c r="I356" s="330"/>
      <c r="J356" s="330"/>
      <c r="K356" s="330"/>
      <c r="L356" s="330">
        <v>2</v>
      </c>
      <c r="M356" s="401">
        <f>C356*E356*H356*L356</f>
        <v>11.880000000000003</v>
      </c>
      <c r="N356" s="748"/>
      <c r="O356" s="814"/>
      <c r="P356" s="398"/>
      <c r="Q356" s="330"/>
      <c r="R356" s="330"/>
      <c r="S356" s="398"/>
      <c r="T356" s="398"/>
      <c r="U356" s="738"/>
      <c r="V356" s="738"/>
      <c r="W356" s="738"/>
    </row>
    <row r="357" spans="1:23" ht="15.75" customHeight="1">
      <c r="A357" s="400"/>
      <c r="B357" s="589"/>
      <c r="C357" s="330">
        <f>1.5-0.15</f>
        <v>1.35</v>
      </c>
      <c r="D357" s="330"/>
      <c r="E357" s="330">
        <f>E356</f>
        <v>2.2000000000000002</v>
      </c>
      <c r="F357" s="330"/>
      <c r="G357" s="330"/>
      <c r="H357" s="330">
        <v>2</v>
      </c>
      <c r="I357" s="330"/>
      <c r="J357" s="330"/>
      <c r="K357" s="330"/>
      <c r="L357" s="330">
        <v>2</v>
      </c>
      <c r="M357" s="401">
        <f>C357*E357*H357*L357</f>
        <v>11.880000000000003</v>
      </c>
      <c r="N357" s="748"/>
      <c r="O357" s="814"/>
      <c r="P357" s="398"/>
      <c r="Q357" s="330"/>
      <c r="R357" s="330"/>
      <c r="S357" s="398"/>
      <c r="T357" s="398"/>
      <c r="U357" s="738"/>
      <c r="V357" s="738"/>
      <c r="W357" s="738"/>
    </row>
    <row r="358" spans="1:23" ht="15.75" customHeight="1">
      <c r="A358" s="400">
        <f>A353+1</f>
        <v>8</v>
      </c>
      <c r="B358" s="351" t="s">
        <v>1155</v>
      </c>
      <c r="C358" s="330"/>
      <c r="D358" s="330"/>
      <c r="E358" s="330"/>
      <c r="F358" s="330"/>
      <c r="G358" s="330"/>
      <c r="H358" s="330"/>
      <c r="I358" s="330"/>
      <c r="J358" s="330"/>
      <c r="K358" s="330"/>
      <c r="L358" s="330"/>
      <c r="M358" s="776">
        <f>SUM(M359:M361)</f>
        <v>55.3</v>
      </c>
      <c r="N358" s="562" t="s">
        <v>89</v>
      </c>
      <c r="O358" s="814">
        <f>ROUND((M358),2)</f>
        <v>55.3</v>
      </c>
      <c r="P358" s="398"/>
      <c r="Q358" s="330">
        <f>7.8*7.8</f>
        <v>60.839999999999996</v>
      </c>
      <c r="R358" s="330" t="s">
        <v>1283</v>
      </c>
      <c r="S358" s="398"/>
      <c r="T358" s="398"/>
      <c r="U358" s="738"/>
      <c r="V358" s="738"/>
      <c r="W358" s="738"/>
    </row>
    <row r="359" spans="1:23" ht="15.75" customHeight="1">
      <c r="A359" s="400"/>
      <c r="B359" s="351"/>
      <c r="C359" s="330" t="s">
        <v>1284</v>
      </c>
      <c r="D359" s="330"/>
      <c r="E359" s="330"/>
      <c r="F359" s="330"/>
      <c r="G359" s="330"/>
      <c r="H359" s="330"/>
      <c r="I359" s="330"/>
      <c r="J359" s="330"/>
      <c r="K359" s="330"/>
      <c r="L359" s="330"/>
      <c r="M359" s="401">
        <f>M342+M346</f>
        <v>31.5</v>
      </c>
      <c r="N359" s="748"/>
      <c r="O359" s="814"/>
      <c r="P359" s="398"/>
      <c r="Q359" s="330"/>
      <c r="R359" s="330"/>
      <c r="S359" s="398"/>
      <c r="T359" s="398"/>
      <c r="U359" s="738"/>
      <c r="V359" s="738"/>
      <c r="W359" s="738"/>
    </row>
    <row r="360" spans="1:23" ht="15.75" customHeight="1">
      <c r="A360" s="400"/>
      <c r="B360" s="589" t="s">
        <v>1285</v>
      </c>
      <c r="C360" s="330">
        <f>6+2</f>
        <v>8</v>
      </c>
      <c r="D360" s="330">
        <f>1-0.15</f>
        <v>0.85</v>
      </c>
      <c r="E360" s="330"/>
      <c r="F360" s="330"/>
      <c r="G360" s="330"/>
      <c r="H360" s="330">
        <v>2</v>
      </c>
      <c r="I360" s="330"/>
      <c r="J360" s="330"/>
      <c r="K360" s="330"/>
      <c r="L360" s="330"/>
      <c r="M360" s="401">
        <f>C360*D360*H360</f>
        <v>13.6</v>
      </c>
      <c r="N360" s="748"/>
      <c r="O360" s="814"/>
      <c r="P360" s="398"/>
      <c r="Q360" s="330"/>
      <c r="R360" s="330"/>
      <c r="S360" s="398"/>
      <c r="T360" s="398"/>
      <c r="U360" s="738"/>
      <c r="V360" s="738"/>
      <c r="W360" s="738"/>
    </row>
    <row r="361" spans="1:23" ht="15.75" customHeight="1">
      <c r="A361" s="400"/>
      <c r="B361" s="589"/>
      <c r="C361" s="330">
        <v>6</v>
      </c>
      <c r="D361" s="330">
        <f>D360</f>
        <v>0.85</v>
      </c>
      <c r="E361" s="330"/>
      <c r="F361" s="330"/>
      <c r="G361" s="330"/>
      <c r="H361" s="330">
        <v>2</v>
      </c>
      <c r="I361" s="330"/>
      <c r="J361" s="330"/>
      <c r="K361" s="330"/>
      <c r="L361" s="330"/>
      <c r="M361" s="401">
        <f>C361*D361*H361</f>
        <v>10.199999999999999</v>
      </c>
      <c r="N361" s="748"/>
      <c r="O361" s="814"/>
      <c r="P361" s="398"/>
      <c r="Q361" s="330"/>
      <c r="R361" s="330"/>
      <c r="S361" s="398"/>
      <c r="T361" s="398"/>
      <c r="U361" s="738"/>
      <c r="V361" s="738"/>
      <c r="W361" s="738"/>
    </row>
    <row r="362" spans="1:23" ht="15.75" customHeight="1">
      <c r="A362" s="400">
        <f>A358+1</f>
        <v>9</v>
      </c>
      <c r="B362" s="351" t="s">
        <v>671</v>
      </c>
      <c r="C362" s="330"/>
      <c r="D362" s="330"/>
      <c r="E362" s="330"/>
      <c r="F362" s="330"/>
      <c r="G362" s="330"/>
      <c r="H362" s="330"/>
      <c r="I362" s="330"/>
      <c r="J362" s="330"/>
      <c r="K362" s="330"/>
      <c r="L362" s="330"/>
      <c r="M362" s="401"/>
      <c r="N362" s="748"/>
      <c r="O362" s="814"/>
      <c r="P362" s="398"/>
      <c r="Q362" s="330">
        <f>Q269</f>
        <v>0</v>
      </c>
      <c r="R362" s="330">
        <f>R269</f>
        <v>0</v>
      </c>
      <c r="S362" s="398"/>
      <c r="T362" s="398"/>
      <c r="U362" s="738"/>
      <c r="V362" s="738"/>
      <c r="W362" s="738"/>
    </row>
    <row r="363" spans="1:23" ht="15.75" customHeight="1">
      <c r="A363" s="404" t="s">
        <v>95</v>
      </c>
      <c r="B363" s="351" t="s">
        <v>1286</v>
      </c>
      <c r="C363" s="330"/>
      <c r="D363" s="330"/>
      <c r="E363" s="330"/>
      <c r="F363" s="330"/>
      <c r="G363" s="330"/>
      <c r="H363" s="330"/>
      <c r="I363" s="330"/>
      <c r="J363" s="330"/>
      <c r="K363" s="330"/>
      <c r="L363" s="330"/>
      <c r="M363" s="330"/>
      <c r="N363" s="748"/>
      <c r="O363" s="814"/>
      <c r="P363" s="398"/>
      <c r="Q363" s="398"/>
      <c r="R363" s="398"/>
      <c r="S363" s="398"/>
      <c r="T363" s="398"/>
      <c r="U363" s="738"/>
      <c r="V363" s="738"/>
      <c r="W363" s="738"/>
    </row>
    <row r="364" spans="1:23" ht="15.75" customHeight="1">
      <c r="A364" s="404"/>
      <c r="B364" s="589" t="s">
        <v>1044</v>
      </c>
      <c r="C364" s="330">
        <f>C249</f>
        <v>6</v>
      </c>
      <c r="D364" s="330"/>
      <c r="E364" s="330">
        <f>E249</f>
        <v>3.0500000000000003</v>
      </c>
      <c r="F364" s="330"/>
      <c r="G364" s="330">
        <v>1</v>
      </c>
      <c r="H364" s="330">
        <v>2</v>
      </c>
      <c r="I364" s="330"/>
      <c r="J364" s="330"/>
      <c r="K364" s="330"/>
      <c r="L364" s="330"/>
      <c r="M364" s="330">
        <f>C364*E364*G364*H364</f>
        <v>36.6</v>
      </c>
      <c r="N364" s="748"/>
      <c r="O364" s="814"/>
      <c r="P364" s="398"/>
      <c r="Q364" s="398"/>
      <c r="R364" s="398"/>
      <c r="S364" s="398"/>
      <c r="T364" s="398"/>
      <c r="U364" s="738"/>
      <c r="V364" s="738"/>
      <c r="W364" s="738"/>
    </row>
    <row r="365" spans="1:23" ht="15.75" customHeight="1">
      <c r="A365" s="404"/>
      <c r="B365" s="589"/>
      <c r="C365" s="330">
        <v>6</v>
      </c>
      <c r="D365" s="330"/>
      <c r="E365" s="330">
        <f>E364</f>
        <v>3.0500000000000003</v>
      </c>
      <c r="F365" s="330"/>
      <c r="G365" s="330">
        <v>2</v>
      </c>
      <c r="H365" s="330">
        <v>1</v>
      </c>
      <c r="I365" s="330"/>
      <c r="J365" s="330"/>
      <c r="K365" s="330"/>
      <c r="L365" s="330"/>
      <c r="M365" s="330">
        <f>C365*E365*G365*H365</f>
        <v>36.6</v>
      </c>
      <c r="N365" s="748"/>
      <c r="O365" s="814"/>
      <c r="P365" s="845">
        <f>O261*2</f>
        <v>123.3</v>
      </c>
      <c r="Q365" s="398"/>
      <c r="R365" s="398"/>
      <c r="S365" s="398"/>
      <c r="T365" s="398"/>
      <c r="U365" s="738"/>
      <c r="V365" s="738"/>
      <c r="W365" s="738"/>
    </row>
    <row r="366" spans="1:23" ht="15.75" customHeight="1">
      <c r="A366" s="404"/>
      <c r="B366" s="589"/>
      <c r="C366" s="330">
        <f>C250</f>
        <v>3</v>
      </c>
      <c r="D366" s="330"/>
      <c r="E366" s="330">
        <f>E364</f>
        <v>3.0500000000000003</v>
      </c>
      <c r="F366" s="330"/>
      <c r="G366" s="330">
        <f>G349</f>
        <v>2</v>
      </c>
      <c r="H366" s="330">
        <v>1</v>
      </c>
      <c r="I366" s="330"/>
      <c r="J366" s="330"/>
      <c r="K366" s="330"/>
      <c r="L366" s="330"/>
      <c r="M366" s="330">
        <f>C366*E366*G366*H366</f>
        <v>18.3</v>
      </c>
      <c r="N366" s="748"/>
      <c r="O366" s="814"/>
      <c r="P366" s="845">
        <f>O378+O389</f>
        <v>138.41</v>
      </c>
      <c r="Q366" s="398"/>
      <c r="R366" s="398"/>
      <c r="S366" s="398"/>
      <c r="T366" s="398"/>
      <c r="U366" s="738"/>
      <c r="V366" s="738"/>
      <c r="W366" s="738"/>
    </row>
    <row r="367" spans="1:23" ht="15.75" customHeight="1">
      <c r="A367" s="404"/>
      <c r="B367" s="589" t="s">
        <v>136</v>
      </c>
      <c r="C367" s="330">
        <f>C251</f>
        <v>6</v>
      </c>
      <c r="D367" s="330"/>
      <c r="E367" s="330">
        <f>E366</f>
        <v>3.0500000000000003</v>
      </c>
      <c r="F367" s="330"/>
      <c r="G367" s="330">
        <v>1</v>
      </c>
      <c r="H367" s="330">
        <v>2</v>
      </c>
      <c r="I367" s="330"/>
      <c r="J367" s="330"/>
      <c r="K367" s="330"/>
      <c r="L367" s="330"/>
      <c r="M367" s="330">
        <f>C367*E367*G367*H367</f>
        <v>36.6</v>
      </c>
      <c r="N367" s="748"/>
      <c r="O367" s="814"/>
      <c r="P367" s="398"/>
      <c r="Q367" s="398"/>
      <c r="R367" s="398"/>
      <c r="S367" s="398"/>
      <c r="T367" s="398"/>
      <c r="U367" s="738"/>
      <c r="V367" s="738"/>
      <c r="W367" s="738"/>
    </row>
    <row r="368" spans="1:23" ht="15.75" customHeight="1">
      <c r="A368" s="404"/>
      <c r="B368" s="589"/>
      <c r="C368" s="330">
        <f>C367-1.5</f>
        <v>4.5</v>
      </c>
      <c r="D368" s="330"/>
      <c r="E368" s="330">
        <f>E367</f>
        <v>3.0500000000000003</v>
      </c>
      <c r="F368" s="330"/>
      <c r="G368" s="330">
        <v>2</v>
      </c>
      <c r="H368" s="330">
        <v>1</v>
      </c>
      <c r="I368" s="330"/>
      <c r="J368" s="330"/>
      <c r="K368" s="330"/>
      <c r="L368" s="330"/>
      <c r="M368" s="330">
        <f>C368*E368*G368*H368</f>
        <v>27.450000000000003</v>
      </c>
      <c r="N368" s="748"/>
      <c r="O368" s="814"/>
      <c r="P368" s="398"/>
      <c r="Q368" s="398"/>
      <c r="R368" s="398"/>
      <c r="S368" s="398"/>
      <c r="T368" s="398"/>
      <c r="U368" s="738"/>
      <c r="V368" s="738"/>
      <c r="W368" s="738"/>
    </row>
    <row r="369" spans="1:23" ht="15.75" customHeight="1">
      <c r="A369" s="404"/>
      <c r="B369" s="589" t="s">
        <v>1239</v>
      </c>
      <c r="C369" s="330">
        <f>C252</f>
        <v>3</v>
      </c>
      <c r="D369" s="330"/>
      <c r="E369" s="330">
        <f>E252</f>
        <v>2.0449999999999999</v>
      </c>
      <c r="F369" s="330"/>
      <c r="G369" s="330"/>
      <c r="H369" s="330"/>
      <c r="I369" s="330"/>
      <c r="J369" s="330"/>
      <c r="K369" s="330"/>
      <c r="L369" s="330"/>
      <c r="M369" s="330">
        <f>-C369*E369</f>
        <v>-6.1349999999999998</v>
      </c>
      <c r="N369" s="748"/>
      <c r="O369" s="814"/>
      <c r="P369" s="398"/>
      <c r="Q369" s="398"/>
      <c r="R369" s="398"/>
      <c r="S369" s="398"/>
      <c r="T369" s="398"/>
      <c r="U369" s="738"/>
      <c r="V369" s="738"/>
      <c r="W369" s="738"/>
    </row>
    <row r="370" spans="1:23" ht="15.75" customHeight="1">
      <c r="A370" s="404"/>
      <c r="B370" s="589" t="s">
        <v>1240</v>
      </c>
      <c r="C370" s="330">
        <f>C253</f>
        <v>1.5</v>
      </c>
      <c r="D370" s="330"/>
      <c r="E370" s="330">
        <f>E253</f>
        <v>2.0449999999999999</v>
      </c>
      <c r="F370" s="330"/>
      <c r="G370" s="330"/>
      <c r="H370" s="330"/>
      <c r="I370" s="330"/>
      <c r="J370" s="330"/>
      <c r="K370" s="330"/>
      <c r="L370" s="330"/>
      <c r="M370" s="330">
        <f>-C370*E370</f>
        <v>-3.0674999999999999</v>
      </c>
      <c r="N370" s="748"/>
      <c r="O370" s="814"/>
      <c r="P370" s="398"/>
      <c r="Q370" s="398"/>
      <c r="R370" s="398"/>
      <c r="S370" s="398"/>
      <c r="T370" s="398"/>
      <c r="U370" s="738"/>
      <c r="V370" s="738"/>
      <c r="W370" s="738"/>
    </row>
    <row r="371" spans="1:23" ht="15.75" customHeight="1">
      <c r="A371" s="404"/>
      <c r="B371" s="589" t="s">
        <v>1242</v>
      </c>
      <c r="C371" s="330"/>
      <c r="D371" s="330">
        <f t="shared" ref="D371:E376" si="18">D255</f>
        <v>1.08</v>
      </c>
      <c r="E371" s="330">
        <f t="shared" si="18"/>
        <v>2.04</v>
      </c>
      <c r="F371" s="330"/>
      <c r="G371" s="330"/>
      <c r="H371" s="330">
        <f t="shared" ref="H371:H376" si="19">H255</f>
        <v>1</v>
      </c>
      <c r="I371" s="330"/>
      <c r="J371" s="330"/>
      <c r="K371" s="330"/>
      <c r="L371" s="330"/>
      <c r="M371" s="330">
        <f t="shared" ref="M371:M376" si="20">-D371*E371*H371</f>
        <v>-2.2032000000000003</v>
      </c>
      <c r="N371" s="748"/>
      <c r="O371" s="814"/>
      <c r="P371" s="398"/>
      <c r="Q371" s="398"/>
      <c r="R371" s="398"/>
      <c r="S371" s="398"/>
      <c r="T371" s="398"/>
      <c r="U371" s="738"/>
      <c r="V371" s="738"/>
      <c r="W371" s="738"/>
    </row>
    <row r="372" spans="1:23" ht="15.75" customHeight="1">
      <c r="A372" s="404"/>
      <c r="B372" s="589" t="s">
        <v>1243</v>
      </c>
      <c r="C372" s="330"/>
      <c r="D372" s="330">
        <f t="shared" si="18"/>
        <v>0.98</v>
      </c>
      <c r="E372" s="330">
        <f t="shared" si="18"/>
        <v>2.04</v>
      </c>
      <c r="F372" s="330"/>
      <c r="G372" s="330"/>
      <c r="H372" s="330">
        <f t="shared" si="19"/>
        <v>0</v>
      </c>
      <c r="I372" s="330"/>
      <c r="J372" s="330"/>
      <c r="K372" s="330"/>
      <c r="L372" s="330"/>
      <c r="M372" s="330">
        <f t="shared" si="20"/>
        <v>0</v>
      </c>
      <c r="N372" s="748"/>
      <c r="O372" s="814"/>
      <c r="P372" s="398"/>
      <c r="Q372" s="398"/>
      <c r="R372" s="398"/>
      <c r="S372" s="398"/>
      <c r="T372" s="398"/>
      <c r="U372" s="738"/>
      <c r="V372" s="738"/>
      <c r="W372" s="738"/>
    </row>
    <row r="373" spans="1:23" ht="15.75" customHeight="1">
      <c r="A373" s="404"/>
      <c r="B373" s="589" t="s">
        <v>1244</v>
      </c>
      <c r="C373" s="330"/>
      <c r="D373" s="330">
        <f t="shared" si="18"/>
        <v>0.88</v>
      </c>
      <c r="E373" s="330">
        <f t="shared" si="18"/>
        <v>2.04</v>
      </c>
      <c r="F373" s="330"/>
      <c r="G373" s="330"/>
      <c r="H373" s="330">
        <f t="shared" si="19"/>
        <v>2</v>
      </c>
      <c r="I373" s="330"/>
      <c r="J373" s="330"/>
      <c r="K373" s="330"/>
      <c r="L373" s="330"/>
      <c r="M373" s="330">
        <f t="shared" si="20"/>
        <v>-3.5904000000000003</v>
      </c>
      <c r="N373" s="748"/>
      <c r="O373" s="814"/>
      <c r="P373" s="398"/>
      <c r="Q373" s="398"/>
      <c r="R373" s="398"/>
      <c r="S373" s="398"/>
      <c r="T373" s="398"/>
      <c r="U373" s="738"/>
      <c r="V373" s="738"/>
      <c r="W373" s="738"/>
    </row>
    <row r="374" spans="1:23" ht="15.75" customHeight="1">
      <c r="A374" s="404"/>
      <c r="B374" s="589" t="s">
        <v>1245</v>
      </c>
      <c r="C374" s="330"/>
      <c r="D374" s="330">
        <f t="shared" si="18"/>
        <v>1.3</v>
      </c>
      <c r="E374" s="330">
        <f t="shared" si="18"/>
        <v>1.84</v>
      </c>
      <c r="F374" s="330"/>
      <c r="G374" s="330"/>
      <c r="H374" s="330">
        <f t="shared" si="19"/>
        <v>2</v>
      </c>
      <c r="I374" s="330"/>
      <c r="J374" s="330"/>
      <c r="K374" s="330"/>
      <c r="L374" s="330"/>
      <c r="M374" s="330">
        <f t="shared" si="20"/>
        <v>-4.7840000000000007</v>
      </c>
      <c r="N374" s="748"/>
      <c r="O374" s="814"/>
      <c r="P374" s="398"/>
      <c r="Q374" s="398"/>
      <c r="R374" s="398"/>
      <c r="S374" s="398"/>
      <c r="T374" s="398"/>
      <c r="U374" s="738"/>
      <c r="V374" s="738"/>
      <c r="W374" s="738"/>
    </row>
    <row r="375" spans="1:23" ht="15.75" customHeight="1">
      <c r="A375" s="404"/>
      <c r="B375" s="589" t="s">
        <v>1246</v>
      </c>
      <c r="C375" s="330"/>
      <c r="D375" s="330">
        <f t="shared" si="18"/>
        <v>2.5</v>
      </c>
      <c r="E375" s="330">
        <f t="shared" si="18"/>
        <v>1.84</v>
      </c>
      <c r="F375" s="330"/>
      <c r="G375" s="330"/>
      <c r="H375" s="330">
        <f t="shared" si="19"/>
        <v>3</v>
      </c>
      <c r="I375" s="330"/>
      <c r="J375" s="330"/>
      <c r="K375" s="330"/>
      <c r="L375" s="330"/>
      <c r="M375" s="330">
        <f t="shared" si="20"/>
        <v>-13.8</v>
      </c>
      <c r="N375" s="748"/>
      <c r="O375" s="814"/>
      <c r="P375" s="398"/>
      <c r="Q375" s="398"/>
      <c r="R375" s="398"/>
      <c r="S375" s="398"/>
      <c r="T375" s="398"/>
      <c r="U375" s="738"/>
      <c r="V375" s="738"/>
      <c r="W375" s="738"/>
    </row>
    <row r="376" spans="1:23" ht="15.75" customHeight="1">
      <c r="A376" s="404"/>
      <c r="B376" s="589" t="s">
        <v>633</v>
      </c>
      <c r="C376" s="330"/>
      <c r="D376" s="330">
        <f t="shared" si="18"/>
        <v>0.88</v>
      </c>
      <c r="E376" s="330">
        <f t="shared" si="18"/>
        <v>0.48</v>
      </c>
      <c r="F376" s="330"/>
      <c r="G376" s="330"/>
      <c r="H376" s="330">
        <f t="shared" si="19"/>
        <v>2</v>
      </c>
      <c r="I376" s="330"/>
      <c r="J376" s="330"/>
      <c r="K376" s="330"/>
      <c r="L376" s="330"/>
      <c r="M376" s="424">
        <f t="shared" si="20"/>
        <v>-0.8448</v>
      </c>
      <c r="N376" s="748"/>
      <c r="O376" s="814"/>
      <c r="P376" s="398"/>
      <c r="Q376" s="398"/>
      <c r="R376" s="398"/>
      <c r="S376" s="398"/>
      <c r="T376" s="398"/>
      <c r="U376" s="738"/>
      <c r="V376" s="738"/>
      <c r="W376" s="738"/>
    </row>
    <row r="377" spans="1:23" ht="15.75" customHeight="1">
      <c r="A377" s="404"/>
      <c r="B377" s="589" t="s">
        <v>1249</v>
      </c>
      <c r="C377" s="330"/>
      <c r="D377" s="330"/>
      <c r="E377" s="330"/>
      <c r="F377" s="330"/>
      <c r="G377" s="330"/>
      <c r="H377" s="330"/>
      <c r="I377" s="330"/>
      <c r="J377" s="330"/>
      <c r="K377" s="330"/>
      <c r="L377" s="330"/>
      <c r="M377" s="752">
        <f>-M353</f>
        <v>-21.832800000000006</v>
      </c>
      <c r="N377" s="748"/>
      <c r="O377" s="814"/>
      <c r="P377" s="398"/>
      <c r="Q377" s="398"/>
      <c r="R377" s="398"/>
      <c r="S377" s="398"/>
      <c r="T377" s="398"/>
      <c r="U377" s="738"/>
      <c r="V377" s="738"/>
      <c r="W377" s="738"/>
    </row>
    <row r="378" spans="1:23" ht="15.75" customHeight="1">
      <c r="A378" s="404"/>
      <c r="B378" s="351"/>
      <c r="C378" s="330"/>
      <c r="D378" s="330"/>
      <c r="E378" s="330"/>
      <c r="F378" s="330"/>
      <c r="G378" s="330"/>
      <c r="H378" s="330"/>
      <c r="I378" s="330"/>
      <c r="J378" s="330"/>
      <c r="K378" s="330"/>
      <c r="L378" s="330"/>
      <c r="M378" s="474">
        <f>SUM(M364:M377)</f>
        <v>99.292300000000026</v>
      </c>
      <c r="N378" s="562" t="s">
        <v>89</v>
      </c>
      <c r="O378" s="814">
        <f>ROUND((M378),2)</f>
        <v>99.29</v>
      </c>
      <c r="P378" s="398">
        <v>110.3505</v>
      </c>
      <c r="Q378" s="398"/>
      <c r="R378" s="398"/>
      <c r="S378" s="398"/>
      <c r="T378" s="398"/>
      <c r="U378" s="738"/>
      <c r="V378" s="738"/>
      <c r="W378" s="738"/>
    </row>
    <row r="379" spans="1:23" ht="15.75" customHeight="1">
      <c r="A379" s="404" t="s">
        <v>98</v>
      </c>
      <c r="B379" s="351" t="s">
        <v>1287</v>
      </c>
      <c r="C379" s="330"/>
      <c r="D379" s="330"/>
      <c r="E379" s="330"/>
      <c r="F379" s="330"/>
      <c r="G379" s="330"/>
      <c r="H379" s="330"/>
      <c r="I379" s="330"/>
      <c r="J379" s="330"/>
      <c r="K379" s="330"/>
      <c r="L379" s="330"/>
      <c r="M379" s="330"/>
      <c r="N379" s="748"/>
      <c r="O379" s="814">
        <f>ROUND((M379),2)</f>
        <v>0</v>
      </c>
      <c r="P379" s="398"/>
      <c r="Q379" s="398"/>
      <c r="R379" s="398"/>
      <c r="S379" s="398"/>
      <c r="T379" s="398"/>
      <c r="U379" s="738"/>
      <c r="V379" s="738"/>
      <c r="W379" s="738"/>
    </row>
    <row r="380" spans="1:23" ht="15.75" customHeight="1">
      <c r="A380" s="400"/>
      <c r="B380" s="589" t="s">
        <v>1044</v>
      </c>
      <c r="C380" s="330">
        <v>6</v>
      </c>
      <c r="D380" s="330"/>
      <c r="E380" s="330">
        <f>E364</f>
        <v>3.0500000000000003</v>
      </c>
      <c r="F380" s="330"/>
      <c r="G380" s="330">
        <v>1</v>
      </c>
      <c r="H380" s="330">
        <v>2</v>
      </c>
      <c r="I380" s="330"/>
      <c r="J380" s="330"/>
      <c r="K380" s="330"/>
      <c r="L380" s="330"/>
      <c r="M380" s="330">
        <f>C380*E380*G380*H380</f>
        <v>36.6</v>
      </c>
      <c r="N380" s="748"/>
      <c r="O380" s="814"/>
      <c r="P380" s="398"/>
      <c r="Q380" s="398"/>
      <c r="R380" s="398"/>
      <c r="S380" s="398"/>
      <c r="T380" s="398"/>
      <c r="U380" s="738"/>
      <c r="V380" s="738"/>
      <c r="W380" s="738"/>
    </row>
    <row r="381" spans="1:23" ht="15.75" customHeight="1">
      <c r="A381" s="400"/>
      <c r="B381" s="589" t="s">
        <v>136</v>
      </c>
      <c r="C381" s="330">
        <v>6</v>
      </c>
      <c r="D381" s="330"/>
      <c r="E381" s="330">
        <f>E380</f>
        <v>3.0500000000000003</v>
      </c>
      <c r="F381" s="330"/>
      <c r="G381" s="330">
        <f>G380</f>
        <v>1</v>
      </c>
      <c r="H381" s="330">
        <v>2</v>
      </c>
      <c r="I381" s="330"/>
      <c r="J381" s="330"/>
      <c r="K381" s="330"/>
      <c r="L381" s="330"/>
      <c r="M381" s="330">
        <f>C381*E381*G381*H381</f>
        <v>36.6</v>
      </c>
      <c r="N381" s="748"/>
      <c r="O381" s="814"/>
      <c r="P381" s="398"/>
      <c r="Q381" s="398"/>
      <c r="R381" s="398"/>
      <c r="S381" s="398"/>
      <c r="T381" s="398"/>
      <c r="U381" s="738"/>
      <c r="V381" s="738"/>
      <c r="W381" s="738"/>
    </row>
    <row r="382" spans="1:23" ht="15.75" customHeight="1">
      <c r="A382" s="400"/>
      <c r="B382" s="589" t="s">
        <v>1239</v>
      </c>
      <c r="C382" s="330">
        <f>C369</f>
        <v>3</v>
      </c>
      <c r="D382" s="330"/>
      <c r="E382" s="330">
        <f>E369</f>
        <v>2.0449999999999999</v>
      </c>
      <c r="F382" s="330"/>
      <c r="G382" s="330"/>
      <c r="H382" s="330"/>
      <c r="I382" s="330"/>
      <c r="J382" s="330"/>
      <c r="K382" s="330"/>
      <c r="L382" s="330"/>
      <c r="M382" s="330">
        <f>-C382*E382</f>
        <v>-6.1349999999999998</v>
      </c>
      <c r="N382" s="748"/>
      <c r="O382" s="814"/>
      <c r="P382" s="398"/>
      <c r="Q382" s="398"/>
      <c r="R382" s="398"/>
      <c r="S382" s="398"/>
      <c r="T382" s="398"/>
      <c r="U382" s="738"/>
      <c r="V382" s="738"/>
      <c r="W382" s="738"/>
    </row>
    <row r="383" spans="1:23" ht="15.75" customHeight="1">
      <c r="A383" s="400"/>
      <c r="B383" s="589" t="s">
        <v>1240</v>
      </c>
      <c r="C383" s="330">
        <f>C370</f>
        <v>1.5</v>
      </c>
      <c r="D383" s="330"/>
      <c r="E383" s="330">
        <f>E370</f>
        <v>2.0449999999999999</v>
      </c>
      <c r="F383" s="330"/>
      <c r="G383" s="330"/>
      <c r="H383" s="330"/>
      <c r="I383" s="330"/>
      <c r="J383" s="330"/>
      <c r="K383" s="330"/>
      <c r="L383" s="330"/>
      <c r="M383" s="330">
        <f>-C383*E383</f>
        <v>-3.0674999999999999</v>
      </c>
      <c r="N383" s="748"/>
      <c r="O383" s="814"/>
      <c r="P383" s="398"/>
      <c r="Q383" s="398"/>
      <c r="R383" s="398"/>
      <c r="S383" s="398"/>
      <c r="T383" s="398"/>
      <c r="U383" s="738"/>
      <c r="V383" s="738"/>
      <c r="W383" s="738"/>
    </row>
    <row r="384" spans="1:23" ht="15.75" customHeight="1">
      <c r="A384" s="400"/>
      <c r="B384" s="589" t="s">
        <v>1242</v>
      </c>
      <c r="C384" s="330"/>
      <c r="D384" s="330">
        <f>D371</f>
        <v>1.08</v>
      </c>
      <c r="E384" s="330">
        <f>E371</f>
        <v>2.04</v>
      </c>
      <c r="F384" s="330"/>
      <c r="G384" s="330"/>
      <c r="H384" s="330">
        <f>H371</f>
        <v>1</v>
      </c>
      <c r="I384" s="330"/>
      <c r="J384" s="330"/>
      <c r="K384" s="330"/>
      <c r="L384" s="330"/>
      <c r="M384" s="330">
        <f>-D384*E384*H384</f>
        <v>-2.2032000000000003</v>
      </c>
      <c r="N384" s="748"/>
      <c r="O384" s="814"/>
      <c r="P384" s="398"/>
      <c r="Q384" s="398"/>
      <c r="R384" s="398"/>
      <c r="S384" s="398"/>
      <c r="T384" s="398"/>
      <c r="U384" s="738"/>
      <c r="V384" s="738"/>
      <c r="W384" s="738"/>
    </row>
    <row r="385" spans="1:23" ht="15.75" customHeight="1">
      <c r="A385" s="400"/>
      <c r="B385" s="589" t="s">
        <v>1244</v>
      </c>
      <c r="C385" s="330"/>
      <c r="D385" s="330">
        <f t="shared" ref="D385:E387" si="21">D373</f>
        <v>0.88</v>
      </c>
      <c r="E385" s="330">
        <f t="shared" si="21"/>
        <v>2.04</v>
      </c>
      <c r="F385" s="330"/>
      <c r="G385" s="330"/>
      <c r="H385" s="330">
        <f>H373</f>
        <v>2</v>
      </c>
      <c r="I385" s="330"/>
      <c r="J385" s="330"/>
      <c r="K385" s="330"/>
      <c r="L385" s="330"/>
      <c r="M385" s="330">
        <f>-D385*E385*H385</f>
        <v>-3.5904000000000003</v>
      </c>
      <c r="N385" s="748"/>
      <c r="O385" s="814"/>
      <c r="P385" s="398"/>
      <c r="Q385" s="398"/>
      <c r="R385" s="398"/>
      <c r="S385" s="398"/>
      <c r="T385" s="398"/>
      <c r="U385" s="738"/>
      <c r="V385" s="738"/>
      <c r="W385" s="738"/>
    </row>
    <row r="386" spans="1:23" ht="15.75" customHeight="1">
      <c r="A386" s="400"/>
      <c r="B386" s="589" t="s">
        <v>1245</v>
      </c>
      <c r="C386" s="330"/>
      <c r="D386" s="330">
        <f t="shared" si="21"/>
        <v>1.3</v>
      </c>
      <c r="E386" s="330">
        <f t="shared" si="21"/>
        <v>1.84</v>
      </c>
      <c r="F386" s="330"/>
      <c r="G386" s="330"/>
      <c r="H386" s="330">
        <f>H374</f>
        <v>2</v>
      </c>
      <c r="I386" s="330"/>
      <c r="J386" s="330"/>
      <c r="K386" s="330"/>
      <c r="L386" s="330"/>
      <c r="M386" s="330">
        <f>-D386*E386*H386</f>
        <v>-4.7840000000000007</v>
      </c>
      <c r="N386" s="748"/>
      <c r="O386" s="814"/>
      <c r="P386" s="398"/>
      <c r="Q386" s="398"/>
      <c r="R386" s="398"/>
      <c r="S386" s="398"/>
      <c r="T386" s="398"/>
      <c r="U386" s="738"/>
      <c r="V386" s="738"/>
      <c r="W386" s="738"/>
    </row>
    <row r="387" spans="1:23" ht="15.75" customHeight="1">
      <c r="A387" s="400"/>
      <c r="B387" s="589" t="s">
        <v>1246</v>
      </c>
      <c r="C387" s="330"/>
      <c r="D387" s="330">
        <f t="shared" si="21"/>
        <v>2.5</v>
      </c>
      <c r="E387" s="330">
        <f t="shared" si="21"/>
        <v>1.84</v>
      </c>
      <c r="F387" s="330"/>
      <c r="G387" s="330"/>
      <c r="H387" s="330">
        <f>H375</f>
        <v>3</v>
      </c>
      <c r="I387" s="330"/>
      <c r="J387" s="330"/>
      <c r="K387" s="330"/>
      <c r="L387" s="330"/>
      <c r="M387" s="330">
        <f>-D387*E387*H387</f>
        <v>-13.8</v>
      </c>
      <c r="N387" s="748"/>
      <c r="O387" s="814"/>
      <c r="P387" s="398"/>
      <c r="Q387" s="398"/>
      <c r="R387" s="398"/>
      <c r="S387" s="398"/>
      <c r="T387" s="398"/>
      <c r="U387" s="738"/>
      <c r="V387" s="738"/>
      <c r="W387" s="738"/>
    </row>
    <row r="388" spans="1:23" ht="15.75" customHeight="1">
      <c r="A388" s="400"/>
      <c r="B388" s="589" t="s">
        <v>633</v>
      </c>
      <c r="C388" s="330"/>
      <c r="D388" s="330">
        <v>0.5</v>
      </c>
      <c r="E388" s="330">
        <v>0.5</v>
      </c>
      <c r="F388" s="330"/>
      <c r="G388" s="330"/>
      <c r="H388" s="330">
        <f>H376</f>
        <v>2</v>
      </c>
      <c r="I388" s="330"/>
      <c r="J388" s="330"/>
      <c r="K388" s="330"/>
      <c r="L388" s="330"/>
      <c r="M388" s="752">
        <f>-D388*E388*H388</f>
        <v>-0.5</v>
      </c>
      <c r="N388" s="748"/>
      <c r="O388" s="814"/>
      <c r="P388" s="398"/>
      <c r="Q388" s="398"/>
      <c r="R388" s="398"/>
      <c r="S388" s="398"/>
      <c r="T388" s="398"/>
      <c r="U388" s="738"/>
      <c r="V388" s="738"/>
      <c r="W388" s="738"/>
    </row>
    <row r="389" spans="1:23" ht="15.75" customHeight="1">
      <c r="A389" s="400"/>
      <c r="B389" s="351"/>
      <c r="C389" s="330"/>
      <c r="D389" s="330"/>
      <c r="E389" s="330"/>
      <c r="F389" s="330"/>
      <c r="G389" s="330"/>
      <c r="H389" s="330"/>
      <c r="I389" s="330"/>
      <c r="J389" s="330"/>
      <c r="K389" s="330"/>
      <c r="L389" s="330"/>
      <c r="M389" s="474">
        <f>SUM(M380:M388)</f>
        <v>39.119899999999987</v>
      </c>
      <c r="N389" s="562" t="s">
        <v>89</v>
      </c>
      <c r="O389" s="814">
        <f>ROUND((M389),2)</f>
        <v>39.119999999999997</v>
      </c>
      <c r="P389" s="398">
        <v>110.3505</v>
      </c>
      <c r="Q389" s="398"/>
      <c r="R389" s="398"/>
      <c r="S389" s="398"/>
      <c r="T389" s="398"/>
      <c r="U389" s="738"/>
      <c r="V389" s="738"/>
      <c r="W389" s="738"/>
    </row>
    <row r="390" spans="1:23" ht="15.75" customHeight="1">
      <c r="A390" s="400">
        <f>A362+1</f>
        <v>10</v>
      </c>
      <c r="B390" s="351" t="s">
        <v>581</v>
      </c>
      <c r="C390" s="330" t="s">
        <v>1288</v>
      </c>
      <c r="D390" s="330"/>
      <c r="E390" s="330"/>
      <c r="F390" s="330"/>
      <c r="G390" s="330"/>
      <c r="H390" s="330"/>
      <c r="I390" s="330"/>
      <c r="J390" s="330"/>
      <c r="K390" s="330"/>
      <c r="L390" s="330"/>
      <c r="M390" s="401">
        <f>M358</f>
        <v>55.3</v>
      </c>
      <c r="N390" s="748" t="s">
        <v>89</v>
      </c>
      <c r="O390" s="814">
        <f>ROUND((M390),2)</f>
        <v>55.3</v>
      </c>
      <c r="P390" s="398"/>
      <c r="Q390" s="330">
        <f>Q358</f>
        <v>60.839999999999996</v>
      </c>
      <c r="R390" s="330" t="str">
        <f>R358</f>
        <v>7.8*7.8</v>
      </c>
      <c r="S390" s="398"/>
      <c r="T390" s="398"/>
      <c r="U390" s="738"/>
      <c r="V390" s="738"/>
      <c r="W390" s="738"/>
    </row>
    <row r="391" spans="1:23" ht="15.75" customHeight="1">
      <c r="A391" s="400">
        <f>A390+1</f>
        <v>11</v>
      </c>
      <c r="B391" s="351" t="s">
        <v>1289</v>
      </c>
      <c r="C391" s="330" t="s">
        <v>1290</v>
      </c>
      <c r="D391" s="330"/>
      <c r="E391" s="330"/>
      <c r="F391" s="330"/>
      <c r="G391" s="330"/>
      <c r="H391" s="330"/>
      <c r="I391" s="330"/>
      <c r="J391" s="330"/>
      <c r="K391" s="330"/>
      <c r="L391" s="330"/>
      <c r="M391" s="401">
        <f>M417*0.3</f>
        <v>9.18</v>
      </c>
      <c r="N391" s="748" t="s">
        <v>89</v>
      </c>
      <c r="O391" s="814">
        <f>ROUND((M391),2)</f>
        <v>9.18</v>
      </c>
      <c r="P391" s="398"/>
      <c r="Q391" s="330"/>
      <c r="R391" s="330"/>
      <c r="S391" s="398"/>
      <c r="T391" s="398"/>
      <c r="U391" s="738"/>
      <c r="V391" s="738"/>
      <c r="W391" s="738"/>
    </row>
    <row r="392" spans="1:23" s="554" customFormat="1" ht="15.75" customHeight="1">
      <c r="A392" s="350">
        <f>A391+1</f>
        <v>12</v>
      </c>
      <c r="B392" s="591" t="s">
        <v>443</v>
      </c>
      <c r="C392" s="348"/>
      <c r="D392" s="348"/>
      <c r="E392" s="348"/>
      <c r="F392" s="348"/>
      <c r="G392" s="348"/>
      <c r="H392" s="348"/>
      <c r="I392" s="348"/>
      <c r="J392" s="348"/>
      <c r="K392" s="348"/>
      <c r="L392" s="348"/>
      <c r="M392" s="348"/>
      <c r="N392" s="343"/>
      <c r="O392" s="814"/>
      <c r="P392" s="398"/>
      <c r="Q392" s="564"/>
      <c r="R392" s="398"/>
      <c r="S392" s="398"/>
      <c r="T392" s="398"/>
      <c r="U392" s="555"/>
      <c r="V392" s="555"/>
      <c r="W392" s="555"/>
    </row>
    <row r="393" spans="1:23" s="554" customFormat="1" ht="15.75" customHeight="1">
      <c r="A393" s="355" t="s">
        <v>95</v>
      </c>
      <c r="B393" s="351" t="s">
        <v>537</v>
      </c>
      <c r="C393" s="348"/>
      <c r="D393" s="493"/>
      <c r="E393" s="348"/>
      <c r="F393" s="348"/>
      <c r="G393" s="348"/>
      <c r="H393" s="348"/>
      <c r="I393" s="348"/>
      <c r="J393" s="348"/>
      <c r="K393" s="348"/>
      <c r="L393" s="348"/>
      <c r="M393" s="592">
        <f>SUM(M394:M397)</f>
        <v>55.121558</v>
      </c>
      <c r="N393" s="416" t="s">
        <v>89</v>
      </c>
      <c r="O393" s="814">
        <f>ROUND((M393),2)</f>
        <v>55.12</v>
      </c>
      <c r="P393" s="398"/>
      <c r="Q393" s="564"/>
      <c r="R393" s="398"/>
      <c r="S393" s="398"/>
      <c r="T393" s="398"/>
      <c r="U393" s="555"/>
      <c r="V393" s="555"/>
      <c r="W393" s="555"/>
    </row>
    <row r="394" spans="1:23" s="554" customFormat="1" ht="15.75" customHeight="1">
      <c r="A394" s="355"/>
      <c r="B394" s="846" t="s">
        <v>1291</v>
      </c>
      <c r="C394" s="348">
        <f>C406</f>
        <v>7.65</v>
      </c>
      <c r="D394" s="493"/>
      <c r="E394" s="348">
        <v>2</v>
      </c>
      <c r="F394" s="348"/>
      <c r="G394" s="348">
        <v>1</v>
      </c>
      <c r="H394" s="348"/>
      <c r="I394" s="348"/>
      <c r="J394" s="348"/>
      <c r="K394" s="348"/>
      <c r="L394" s="348">
        <v>5</v>
      </c>
      <c r="M394" s="348">
        <f>E394*C394*0.5*L394*G394</f>
        <v>38.25</v>
      </c>
      <c r="N394" s="349"/>
      <c r="O394" s="814"/>
      <c r="P394" s="398"/>
      <c r="Q394" s="564"/>
      <c r="R394" s="398"/>
      <c r="S394" s="398"/>
      <c r="T394" s="398"/>
      <c r="U394" s="555"/>
      <c r="V394" s="555"/>
      <c r="W394" s="555"/>
    </row>
    <row r="395" spans="1:23" s="554" customFormat="1" ht="15.75" customHeight="1">
      <c r="A395" s="355"/>
      <c r="B395" s="846" t="s">
        <v>1292</v>
      </c>
      <c r="C395" s="348">
        <v>3.1</v>
      </c>
      <c r="D395" s="493"/>
      <c r="E395" s="348">
        <v>2</v>
      </c>
      <c r="F395" s="348"/>
      <c r="G395" s="348">
        <v>1</v>
      </c>
      <c r="H395" s="348"/>
      <c r="I395" s="348"/>
      <c r="J395" s="348"/>
      <c r="K395" s="348"/>
      <c r="L395" s="348">
        <v>2</v>
      </c>
      <c r="M395" s="348">
        <f>E395*C395*0.5*L395*G395</f>
        <v>6.2</v>
      </c>
      <c r="N395" s="349"/>
      <c r="O395" s="814"/>
      <c r="P395" s="398"/>
      <c r="Q395" s="564"/>
      <c r="R395" s="398"/>
      <c r="S395" s="398"/>
      <c r="T395" s="398"/>
      <c r="U395" s="555"/>
      <c r="V395" s="555"/>
      <c r="W395" s="555"/>
    </row>
    <row r="396" spans="1:23" s="554" customFormat="1" ht="15.75" customHeight="1">
      <c r="A396" s="355"/>
      <c r="B396" s="846"/>
      <c r="C396" s="348">
        <v>2.8330000000000002</v>
      </c>
      <c r="D396" s="493"/>
      <c r="E396" s="348">
        <v>1.371</v>
      </c>
      <c r="F396" s="348"/>
      <c r="G396" s="348">
        <f>G395</f>
        <v>1</v>
      </c>
      <c r="H396" s="348"/>
      <c r="I396" s="348"/>
      <c r="J396" s="348"/>
      <c r="K396" s="348"/>
      <c r="L396" s="348">
        <v>4</v>
      </c>
      <c r="M396" s="348">
        <f>E396*C396*0.5*L396*G396</f>
        <v>7.7680860000000003</v>
      </c>
      <c r="N396" s="349"/>
      <c r="O396" s="814"/>
      <c r="P396" s="398"/>
      <c r="Q396" s="564"/>
      <c r="R396" s="398"/>
      <c r="S396" s="398"/>
      <c r="T396" s="398"/>
      <c r="U396" s="555"/>
      <c r="V396" s="555"/>
      <c r="W396" s="555"/>
    </row>
    <row r="397" spans="1:23" s="554" customFormat="1" ht="15.75" customHeight="1">
      <c r="A397" s="355"/>
      <c r="B397" s="846"/>
      <c r="C397" s="348">
        <v>1.833</v>
      </c>
      <c r="D397" s="493"/>
      <c r="E397" s="348">
        <v>0.79200000000000004</v>
      </c>
      <c r="F397" s="348"/>
      <c r="G397" s="348">
        <f>G396</f>
        <v>1</v>
      </c>
      <c r="H397" s="348"/>
      <c r="I397" s="348"/>
      <c r="J397" s="348"/>
      <c r="K397" s="348"/>
      <c r="L397" s="348">
        <v>4</v>
      </c>
      <c r="M397" s="348">
        <f>E397*C397*0.5*L397*G397</f>
        <v>2.9034720000000003</v>
      </c>
      <c r="N397" s="349"/>
      <c r="O397" s="814"/>
      <c r="P397" s="398"/>
      <c r="Q397" s="564"/>
      <c r="R397" s="398"/>
      <c r="S397" s="398"/>
      <c r="T397" s="398"/>
      <c r="U397" s="555"/>
      <c r="V397" s="555"/>
      <c r="W397" s="555"/>
    </row>
    <row r="398" spans="1:23" s="554" customFormat="1" ht="15.75" customHeight="1">
      <c r="A398" s="355"/>
      <c r="B398" s="593"/>
      <c r="C398" s="348"/>
      <c r="D398" s="493"/>
      <c r="E398" s="348"/>
      <c r="F398" s="348"/>
      <c r="G398" s="348"/>
      <c r="H398" s="348"/>
      <c r="I398" s="348"/>
      <c r="J398" s="348"/>
      <c r="K398" s="348"/>
      <c r="L398" s="348"/>
      <c r="M398" s="348"/>
      <c r="N398" s="349"/>
      <c r="O398" s="814"/>
      <c r="P398" s="398"/>
      <c r="Q398" s="564"/>
      <c r="R398" s="398"/>
      <c r="S398" s="398"/>
      <c r="T398" s="398"/>
      <c r="U398" s="555"/>
      <c r="V398" s="555"/>
      <c r="W398" s="555"/>
    </row>
    <row r="399" spans="1:23" s="554" customFormat="1" ht="15.75" customHeight="1">
      <c r="A399" s="355" t="s">
        <v>98</v>
      </c>
      <c r="B399" s="351" t="s">
        <v>538</v>
      </c>
      <c r="C399" s="348"/>
      <c r="D399" s="493"/>
      <c r="E399" s="348"/>
      <c r="F399" s="348"/>
      <c r="G399" s="348"/>
      <c r="H399" s="348"/>
      <c r="I399" s="348"/>
      <c r="J399" s="348"/>
      <c r="K399" s="348"/>
      <c r="L399" s="348"/>
      <c r="M399" s="592">
        <f>SUM(C400:L400)+SUM(C401:F401)</f>
        <v>152.86600000000001</v>
      </c>
      <c r="N399" s="562" t="s">
        <v>117</v>
      </c>
      <c r="O399" s="814">
        <f>ROUND((M399),2)</f>
        <v>152.87</v>
      </c>
      <c r="P399" s="398"/>
      <c r="Q399" s="564"/>
      <c r="R399" s="398"/>
      <c r="S399" s="398"/>
      <c r="T399" s="398"/>
      <c r="U399" s="555"/>
      <c r="V399" s="555"/>
      <c r="W399" s="555"/>
    </row>
    <row r="400" spans="1:23" s="554" customFormat="1" ht="15.75" customHeight="1">
      <c r="A400" s="355"/>
      <c r="B400" s="593"/>
      <c r="C400" s="348">
        <v>8.8780000000000001</v>
      </c>
      <c r="D400" s="493"/>
      <c r="E400" s="348">
        <v>13.198</v>
      </c>
      <c r="F400" s="493"/>
      <c r="G400" s="348">
        <v>17.518000000000001</v>
      </c>
      <c r="H400" s="493"/>
      <c r="I400" s="348">
        <v>21.838000000000001</v>
      </c>
      <c r="J400" s="493"/>
      <c r="K400" s="493">
        <v>26.158000000000001</v>
      </c>
      <c r="L400" s="348"/>
      <c r="M400" s="364"/>
      <c r="N400" s="349"/>
      <c r="O400" s="814"/>
      <c r="P400" s="398"/>
      <c r="Q400" s="564"/>
      <c r="R400" s="398"/>
      <c r="S400" s="398"/>
      <c r="T400" s="398"/>
      <c r="U400" s="555"/>
      <c r="V400" s="555"/>
      <c r="W400" s="555"/>
    </row>
    <row r="401" spans="1:23" s="554" customFormat="1" ht="15.75" customHeight="1">
      <c r="A401" s="355"/>
      <c r="B401" s="593"/>
      <c r="C401" s="348">
        <v>30.478000000000002</v>
      </c>
      <c r="D401" s="493"/>
      <c r="E401" s="348">
        <v>34.798000000000002</v>
      </c>
      <c r="F401" s="493"/>
      <c r="G401" s="348"/>
      <c r="H401" s="348"/>
      <c r="I401" s="348"/>
      <c r="J401" s="348"/>
      <c r="K401" s="348"/>
      <c r="L401" s="348"/>
      <c r="M401" s="364"/>
      <c r="N401" s="349"/>
      <c r="O401" s="814"/>
      <c r="P401" s="398"/>
      <c r="Q401" s="564"/>
      <c r="R401" s="398"/>
      <c r="S401" s="398"/>
      <c r="T401" s="398"/>
      <c r="U401" s="555"/>
      <c r="V401" s="555"/>
      <c r="W401" s="555"/>
    </row>
    <row r="402" spans="1:23" s="554" customFormat="1" ht="15.75" customHeight="1">
      <c r="A402" s="355"/>
      <c r="B402" s="593"/>
      <c r="C402" s="348"/>
      <c r="D402" s="493"/>
      <c r="E402" s="348"/>
      <c r="F402" s="348"/>
      <c r="G402" s="348"/>
      <c r="H402" s="348"/>
      <c r="I402" s="348"/>
      <c r="J402" s="348"/>
      <c r="K402" s="348"/>
      <c r="L402" s="348"/>
      <c r="M402" s="364"/>
      <c r="N402" s="349"/>
      <c r="O402" s="814"/>
      <c r="P402" s="398"/>
      <c r="Q402" s="564"/>
      <c r="R402" s="398"/>
      <c r="S402" s="398"/>
      <c r="T402" s="398"/>
      <c r="U402" s="555"/>
      <c r="V402" s="555"/>
      <c r="W402" s="555"/>
    </row>
    <row r="403" spans="1:23" s="554" customFormat="1" ht="15.75" customHeight="1">
      <c r="A403" s="355" t="s">
        <v>101</v>
      </c>
      <c r="B403" s="351" t="s">
        <v>823</v>
      </c>
      <c r="C403" s="348"/>
      <c r="D403" s="352"/>
      <c r="E403" s="348"/>
      <c r="F403" s="348"/>
      <c r="G403" s="348">
        <v>3</v>
      </c>
      <c r="H403" s="348">
        <v>2</v>
      </c>
      <c r="I403" s="348"/>
      <c r="J403" s="348"/>
      <c r="K403" s="348"/>
      <c r="L403" s="348">
        <f>SUM(L394:L397)</f>
        <v>15</v>
      </c>
      <c r="M403" s="847">
        <f>L403*H403*G403</f>
        <v>90</v>
      </c>
      <c r="N403" s="416" t="s">
        <v>124</v>
      </c>
      <c r="O403" s="814">
        <f>ROUND((M403),2)</f>
        <v>90</v>
      </c>
      <c r="P403" s="398"/>
      <c r="Q403" s="564"/>
      <c r="R403" s="398"/>
      <c r="S403" s="398"/>
      <c r="T403" s="398"/>
      <c r="U403" s="555"/>
      <c r="V403" s="555"/>
      <c r="W403" s="555"/>
    </row>
    <row r="404" spans="1:23" s="554" customFormat="1" ht="15.75" customHeight="1">
      <c r="A404" s="355" t="s">
        <v>121</v>
      </c>
      <c r="B404" s="351" t="s">
        <v>1179</v>
      </c>
      <c r="C404" s="348"/>
      <c r="D404" s="352"/>
      <c r="E404" s="348"/>
      <c r="F404" s="348"/>
      <c r="G404" s="348"/>
      <c r="H404" s="348"/>
      <c r="I404" s="348"/>
      <c r="J404" s="348"/>
      <c r="K404" s="348"/>
      <c r="L404" s="348"/>
      <c r="M404" s="592">
        <f>SUM(M405:M406)</f>
        <v>103.76182300000001</v>
      </c>
      <c r="N404" s="416" t="s">
        <v>89</v>
      </c>
      <c r="O404" s="814">
        <f>ROUND((M404),2)</f>
        <v>103.76</v>
      </c>
      <c r="P404" s="398"/>
      <c r="Q404" s="564"/>
      <c r="R404" s="398"/>
      <c r="S404" s="398"/>
      <c r="T404" s="398"/>
      <c r="U404" s="555"/>
      <c r="V404" s="555"/>
      <c r="W404" s="555"/>
    </row>
    <row r="405" spans="1:23" s="554" customFormat="1" ht="15.75" customHeight="1">
      <c r="A405" s="355"/>
      <c r="B405" s="589" t="s">
        <v>1293</v>
      </c>
      <c r="C405" s="348">
        <v>7.65</v>
      </c>
      <c r="D405" s="352">
        <v>3.9830000000000001</v>
      </c>
      <c r="E405" s="348">
        <v>5.3810000000000002</v>
      </c>
      <c r="F405" s="348"/>
      <c r="G405" s="348"/>
      <c r="H405" s="348"/>
      <c r="I405" s="348"/>
      <c r="J405" s="348"/>
      <c r="K405" s="348"/>
      <c r="L405" s="348">
        <v>2</v>
      </c>
      <c r="M405" s="348">
        <f>(C405+D405)*E405*L405*0.5</f>
        <v>62.597173000000005</v>
      </c>
      <c r="N405" s="349"/>
      <c r="O405" s="814"/>
      <c r="P405" s="398"/>
      <c r="Q405" s="564"/>
      <c r="R405" s="398"/>
      <c r="S405" s="398"/>
      <c r="T405" s="398"/>
      <c r="U405" s="555"/>
      <c r="V405" s="555"/>
      <c r="W405" s="555"/>
    </row>
    <row r="406" spans="1:23" s="554" customFormat="1" ht="15.75" customHeight="1">
      <c r="A406" s="355"/>
      <c r="B406" s="589" t="s">
        <v>1294</v>
      </c>
      <c r="C406" s="348">
        <v>7.65</v>
      </c>
      <c r="D406" s="352"/>
      <c r="E406" s="348">
        <f>E405</f>
        <v>5.3810000000000002</v>
      </c>
      <c r="F406" s="348"/>
      <c r="G406" s="348"/>
      <c r="H406" s="348"/>
      <c r="I406" s="348"/>
      <c r="J406" s="348"/>
      <c r="K406" s="348"/>
      <c r="L406" s="348">
        <v>2</v>
      </c>
      <c r="M406" s="348">
        <f>E406*C406*L406*0.5</f>
        <v>41.164650000000002</v>
      </c>
      <c r="N406" s="349"/>
      <c r="O406" s="814"/>
      <c r="P406" s="398"/>
      <c r="Q406" s="564"/>
      <c r="R406" s="398"/>
      <c r="S406" s="398"/>
      <c r="T406" s="398"/>
      <c r="U406" s="555"/>
      <c r="V406" s="555"/>
      <c r="W406" s="555"/>
    </row>
    <row r="407" spans="1:23" s="554" customFormat="1" ht="15.75" customHeight="1">
      <c r="A407" s="355" t="s">
        <v>142</v>
      </c>
      <c r="B407" s="351" t="s">
        <v>1180</v>
      </c>
      <c r="C407" s="348"/>
      <c r="D407" s="352"/>
      <c r="E407" s="348"/>
      <c r="F407" s="348"/>
      <c r="G407" s="348"/>
      <c r="H407" s="348"/>
      <c r="I407" s="348"/>
      <c r="J407" s="348"/>
      <c r="K407" s="348"/>
      <c r="L407" s="348"/>
      <c r="M407" s="592">
        <f>SUM(M408:M409)</f>
        <v>25.507000000000001</v>
      </c>
      <c r="N407" s="562" t="s">
        <v>117</v>
      </c>
      <c r="O407" s="814">
        <f>ROUND((M407),2)</f>
        <v>25.51</v>
      </c>
      <c r="P407" s="398"/>
      <c r="Q407" s="564"/>
      <c r="R407" s="398"/>
      <c r="S407" s="398"/>
      <c r="T407" s="398"/>
      <c r="U407" s="555"/>
      <c r="V407" s="555"/>
      <c r="W407" s="555"/>
    </row>
    <row r="408" spans="1:23" s="554" customFormat="1" ht="15.75" customHeight="1">
      <c r="A408" s="404"/>
      <c r="B408" s="351"/>
      <c r="C408" s="348">
        <f>E406</f>
        <v>5.3810000000000002</v>
      </c>
      <c r="D408" s="352"/>
      <c r="E408" s="348"/>
      <c r="F408" s="348"/>
      <c r="G408" s="348"/>
      <c r="H408" s="348">
        <v>4</v>
      </c>
      <c r="I408" s="348"/>
      <c r="J408" s="348"/>
      <c r="K408" s="348"/>
      <c r="L408" s="348"/>
      <c r="M408" s="348">
        <f>H408*C408</f>
        <v>21.524000000000001</v>
      </c>
      <c r="N408" s="349"/>
      <c r="O408" s="814"/>
      <c r="P408" s="398"/>
      <c r="Q408" s="564"/>
      <c r="R408" s="398"/>
      <c r="S408" s="398"/>
      <c r="T408" s="398"/>
      <c r="U408" s="555"/>
      <c r="V408" s="555"/>
      <c r="W408" s="555"/>
    </row>
    <row r="409" spans="1:23" s="554" customFormat="1" ht="15.75" customHeight="1">
      <c r="A409" s="404"/>
      <c r="B409" s="351"/>
      <c r="C409" s="348">
        <f>D405</f>
        <v>3.9830000000000001</v>
      </c>
      <c r="D409" s="352"/>
      <c r="E409" s="348"/>
      <c r="F409" s="348"/>
      <c r="G409" s="348"/>
      <c r="H409" s="348">
        <v>1</v>
      </c>
      <c r="I409" s="348"/>
      <c r="J409" s="348"/>
      <c r="K409" s="348"/>
      <c r="L409" s="348"/>
      <c r="M409" s="348">
        <f>H409*C409</f>
        <v>3.9830000000000001</v>
      </c>
      <c r="N409" s="349"/>
      <c r="O409" s="814"/>
      <c r="P409" s="398"/>
      <c r="Q409" s="564"/>
      <c r="R409" s="398"/>
      <c r="S409" s="398"/>
      <c r="T409" s="398"/>
      <c r="U409" s="555"/>
      <c r="V409" s="555"/>
      <c r="W409" s="555"/>
    </row>
    <row r="410" spans="1:23" s="787" customFormat="1" ht="15.75" hidden="1" customHeight="1">
      <c r="A410" s="824">
        <f>A391+1</f>
        <v>12</v>
      </c>
      <c r="B410" s="572" t="s">
        <v>1012</v>
      </c>
      <c r="C410" s="754"/>
      <c r="D410" s="754"/>
      <c r="E410" s="754"/>
      <c r="F410" s="754"/>
      <c r="G410" s="754"/>
      <c r="H410" s="754"/>
      <c r="I410" s="754"/>
      <c r="J410" s="754"/>
      <c r="K410" s="754"/>
      <c r="L410" s="754"/>
      <c r="M410" s="755">
        <f>SUM(M411:M411)</f>
        <v>0</v>
      </c>
      <c r="N410" s="756" t="s">
        <v>89</v>
      </c>
      <c r="O410" s="814">
        <f>ROUND((M410),2)</f>
        <v>0</v>
      </c>
      <c r="P410" s="577"/>
      <c r="Q410" s="754">
        <f>4.5*7.8*2</f>
        <v>70.2</v>
      </c>
      <c r="R410" s="754" t="s">
        <v>1295</v>
      </c>
      <c r="S410" s="577"/>
      <c r="T410" s="577"/>
      <c r="U410" s="786"/>
      <c r="V410" s="786"/>
      <c r="W410" s="786"/>
    </row>
    <row r="411" spans="1:23" s="787" customFormat="1" ht="15.75" hidden="1" customHeight="1">
      <c r="A411" s="824"/>
      <c r="B411" s="775"/>
      <c r="C411" s="754">
        <f>10.13+3.77+5.46+29.97+26.2+15.59</f>
        <v>91.12</v>
      </c>
      <c r="D411" s="754">
        <f>1-1</f>
        <v>0</v>
      </c>
      <c r="E411" s="754"/>
      <c r="F411" s="754"/>
      <c r="G411" s="754"/>
      <c r="H411" s="754"/>
      <c r="I411" s="754"/>
      <c r="J411" s="754"/>
      <c r="K411" s="754"/>
      <c r="L411" s="754"/>
      <c r="M411" s="762">
        <f>C411*D411</f>
        <v>0</v>
      </c>
      <c r="N411" s="758"/>
      <c r="O411" s="814"/>
      <c r="P411" s="577"/>
      <c r="Q411" s="754"/>
      <c r="R411" s="754"/>
      <c r="S411" s="577"/>
      <c r="T411" s="577"/>
      <c r="U411" s="786"/>
      <c r="V411" s="786"/>
      <c r="W411" s="786"/>
    </row>
    <row r="412" spans="1:23" s="787" customFormat="1" ht="15.75" hidden="1" customHeight="1">
      <c r="A412" s="824">
        <f>A410+1</f>
        <v>13</v>
      </c>
      <c r="B412" s="572" t="s">
        <v>1013</v>
      </c>
      <c r="C412" s="754"/>
      <c r="D412" s="754"/>
      <c r="E412" s="754"/>
      <c r="F412" s="754"/>
      <c r="G412" s="754"/>
      <c r="H412" s="754"/>
      <c r="I412" s="754"/>
      <c r="J412" s="754"/>
      <c r="K412" s="754"/>
      <c r="L412" s="754"/>
      <c r="M412" s="762">
        <f>M410</f>
        <v>0</v>
      </c>
      <c r="N412" s="758" t="s">
        <v>89</v>
      </c>
      <c r="O412" s="814">
        <f>ROUND((M412),2)</f>
        <v>0</v>
      </c>
      <c r="P412" s="577"/>
      <c r="Q412" s="754">
        <f>Q410</f>
        <v>70.2</v>
      </c>
      <c r="R412" s="754" t="str">
        <f>R410</f>
        <v>4.5*7.8*2</v>
      </c>
      <c r="S412" s="577"/>
      <c r="T412" s="577"/>
      <c r="U412" s="786"/>
      <c r="V412" s="786"/>
      <c r="W412" s="786"/>
    </row>
    <row r="413" spans="1:23" s="787" customFormat="1" ht="15.75" hidden="1" customHeight="1">
      <c r="A413" s="824">
        <f>A412+1</f>
        <v>14</v>
      </c>
      <c r="B413" s="572" t="s">
        <v>1296</v>
      </c>
      <c r="C413" s="754"/>
      <c r="D413" s="754"/>
      <c r="E413" s="754"/>
      <c r="F413" s="754"/>
      <c r="G413" s="754"/>
      <c r="H413" s="754"/>
      <c r="I413" s="754"/>
      <c r="J413" s="754"/>
      <c r="K413" s="754"/>
      <c r="L413" s="754"/>
      <c r="M413" s="762"/>
      <c r="N413" s="758"/>
      <c r="O413" s="814">
        <f>ROUND((M413),2)</f>
        <v>0</v>
      </c>
      <c r="P413" s="577"/>
      <c r="Q413" s="754"/>
      <c r="R413" s="754"/>
      <c r="S413" s="577"/>
      <c r="T413" s="577"/>
      <c r="U413" s="786"/>
      <c r="V413" s="786"/>
      <c r="W413" s="786"/>
    </row>
    <row r="414" spans="1:23" s="787" customFormat="1" ht="15.75" hidden="1" customHeight="1">
      <c r="A414" s="824"/>
      <c r="B414" s="775"/>
      <c r="C414" s="754">
        <f>5.43*3+2.52+2.12+3.3*3+1.53</f>
        <v>32.36</v>
      </c>
      <c r="D414" s="754">
        <f>D411</f>
        <v>0</v>
      </c>
      <c r="E414" s="754"/>
      <c r="F414" s="754"/>
      <c r="G414" s="754"/>
      <c r="H414" s="754"/>
      <c r="I414" s="754"/>
      <c r="J414" s="754"/>
      <c r="K414" s="754"/>
      <c r="L414" s="754"/>
      <c r="M414" s="762">
        <f>D414*C414</f>
        <v>0</v>
      </c>
      <c r="N414" s="758"/>
      <c r="O414" s="814"/>
      <c r="P414" s="577"/>
      <c r="Q414" s="754"/>
      <c r="R414" s="754"/>
      <c r="S414" s="577"/>
      <c r="T414" s="577"/>
      <c r="U414" s="786"/>
      <c r="V414" s="786"/>
      <c r="W414" s="786"/>
    </row>
    <row r="415" spans="1:23" s="787" customFormat="1" ht="15.75" hidden="1" customHeight="1">
      <c r="A415" s="824"/>
      <c r="B415" s="775"/>
      <c r="C415" s="754"/>
      <c r="D415" s="754"/>
      <c r="E415" s="754"/>
      <c r="F415" s="754"/>
      <c r="G415" s="754"/>
      <c r="H415" s="754"/>
      <c r="I415" s="754"/>
      <c r="J415" s="754"/>
      <c r="K415" s="754"/>
      <c r="L415" s="754"/>
      <c r="M415" s="759">
        <f>C415</f>
        <v>0</v>
      </c>
      <c r="N415" s="758"/>
      <c r="O415" s="814"/>
      <c r="P415" s="577"/>
      <c r="Q415" s="754"/>
      <c r="R415" s="754"/>
      <c r="S415" s="577"/>
      <c r="T415" s="577"/>
      <c r="U415" s="786"/>
      <c r="V415" s="786"/>
      <c r="W415" s="786"/>
    </row>
    <row r="416" spans="1:23" s="787" customFormat="1" ht="15.75" hidden="1" customHeight="1">
      <c r="A416" s="824"/>
      <c r="B416" s="572"/>
      <c r="C416" s="754"/>
      <c r="D416" s="754"/>
      <c r="E416" s="754"/>
      <c r="F416" s="754"/>
      <c r="G416" s="754"/>
      <c r="H416" s="754"/>
      <c r="I416" s="754"/>
      <c r="J416" s="754"/>
      <c r="K416" s="754"/>
      <c r="L416" s="754"/>
      <c r="M416" s="755">
        <f>SUM(M414:M415)</f>
        <v>0</v>
      </c>
      <c r="N416" s="756" t="s">
        <v>117</v>
      </c>
      <c r="O416" s="814">
        <f t="shared" ref="O416:O425" si="22">ROUND((M416),2)</f>
        <v>0</v>
      </c>
      <c r="P416" s="577"/>
      <c r="Q416" s="754"/>
      <c r="R416" s="754"/>
      <c r="S416" s="577"/>
      <c r="T416" s="577"/>
      <c r="U416" s="786"/>
      <c r="V416" s="786"/>
      <c r="W416" s="786"/>
    </row>
    <row r="417" spans="1:23" ht="15.75" customHeight="1">
      <c r="A417" s="400">
        <f>A392+1</f>
        <v>13</v>
      </c>
      <c r="B417" s="351" t="s">
        <v>1297</v>
      </c>
      <c r="C417" s="330">
        <f>C405+C406</f>
        <v>15.3</v>
      </c>
      <c r="D417" s="330"/>
      <c r="E417" s="330"/>
      <c r="F417" s="330"/>
      <c r="G417" s="330"/>
      <c r="H417" s="330">
        <v>2</v>
      </c>
      <c r="I417" s="330"/>
      <c r="J417" s="330"/>
      <c r="K417" s="330"/>
      <c r="L417" s="330"/>
      <c r="M417" s="401">
        <f>C417*H417</f>
        <v>30.6</v>
      </c>
      <c r="N417" s="748" t="s">
        <v>117</v>
      </c>
      <c r="O417" s="814">
        <f t="shared" si="22"/>
        <v>30.6</v>
      </c>
      <c r="P417" s="398"/>
      <c r="Q417" s="330">
        <f>8*4</f>
        <v>32</v>
      </c>
      <c r="R417" s="330" t="s">
        <v>1298</v>
      </c>
      <c r="S417" s="398"/>
      <c r="T417" s="398"/>
      <c r="U417" s="738"/>
      <c r="V417" s="738"/>
      <c r="W417" s="738"/>
    </row>
    <row r="418" spans="1:23" ht="15.75" customHeight="1">
      <c r="A418" s="400">
        <f>A417+1</f>
        <v>14</v>
      </c>
      <c r="B418" s="351" t="s">
        <v>582</v>
      </c>
      <c r="C418" s="330"/>
      <c r="D418" s="330"/>
      <c r="E418" s="330"/>
      <c r="F418" s="330"/>
      <c r="G418" s="330"/>
      <c r="H418" s="330"/>
      <c r="I418" s="330"/>
      <c r="J418" s="330"/>
      <c r="K418" s="330"/>
      <c r="L418" s="330"/>
      <c r="M418" s="401">
        <v>1</v>
      </c>
      <c r="N418" s="748" t="s">
        <v>360</v>
      </c>
      <c r="O418" s="814">
        <f t="shared" si="22"/>
        <v>1</v>
      </c>
      <c r="P418" s="398"/>
      <c r="Q418" s="330"/>
      <c r="R418" s="330"/>
      <c r="S418" s="398"/>
      <c r="T418" s="398"/>
      <c r="U418" s="738"/>
      <c r="V418" s="738"/>
      <c r="W418" s="738"/>
    </row>
    <row r="419" spans="1:23" ht="27.75" customHeight="1">
      <c r="A419" s="400">
        <f>A418+1</f>
        <v>15</v>
      </c>
      <c r="B419" s="593" t="s">
        <v>677</v>
      </c>
      <c r="C419" s="330"/>
      <c r="D419" s="330"/>
      <c r="E419" s="330"/>
      <c r="F419" s="330"/>
      <c r="G419" s="330"/>
      <c r="H419" s="330"/>
      <c r="I419" s="330"/>
      <c r="J419" s="330"/>
      <c r="K419" s="330"/>
      <c r="L419" s="330"/>
      <c r="M419" s="401">
        <v>15</v>
      </c>
      <c r="N419" s="748" t="s">
        <v>124</v>
      </c>
      <c r="O419" s="814">
        <f t="shared" si="22"/>
        <v>15</v>
      </c>
      <c r="P419" s="398"/>
      <c r="Q419" s="330"/>
      <c r="R419" s="330"/>
      <c r="S419" s="398"/>
      <c r="T419" s="398"/>
      <c r="U419" s="738"/>
      <c r="V419" s="738"/>
      <c r="W419" s="738"/>
    </row>
    <row r="420" spans="1:23" ht="15.75" customHeight="1">
      <c r="A420" s="400">
        <f>A419+1</f>
        <v>16</v>
      </c>
      <c r="B420" s="351" t="s">
        <v>590</v>
      </c>
      <c r="C420" s="330"/>
      <c r="D420" s="330"/>
      <c r="E420" s="330"/>
      <c r="F420" s="330"/>
      <c r="G420" s="330"/>
      <c r="H420" s="330">
        <v>2</v>
      </c>
      <c r="I420" s="330"/>
      <c r="J420" s="330"/>
      <c r="K420" s="330"/>
      <c r="L420" s="330"/>
      <c r="M420" s="401">
        <f t="shared" ref="M420:M425" si="23">H420</f>
        <v>2</v>
      </c>
      <c r="N420" s="748" t="s">
        <v>124</v>
      </c>
      <c r="O420" s="814">
        <f t="shared" si="22"/>
        <v>2</v>
      </c>
      <c r="P420" s="398"/>
      <c r="Q420" s="330">
        <v>1</v>
      </c>
      <c r="R420" s="330">
        <v>1</v>
      </c>
      <c r="S420" s="398"/>
      <c r="T420" s="398"/>
      <c r="U420" s="738"/>
      <c r="V420" s="738"/>
      <c r="W420" s="738"/>
    </row>
    <row r="421" spans="1:23" s="787" customFormat="1" ht="15.75" hidden="1" customHeight="1">
      <c r="A421" s="824">
        <f>A420+1</f>
        <v>17</v>
      </c>
      <c r="B421" s="572" t="s">
        <v>1299</v>
      </c>
      <c r="C421" s="754"/>
      <c r="D421" s="754"/>
      <c r="E421" s="754"/>
      <c r="F421" s="754"/>
      <c r="G421" s="754"/>
      <c r="H421" s="754"/>
      <c r="I421" s="754"/>
      <c r="J421" s="754"/>
      <c r="K421" s="754"/>
      <c r="L421" s="754"/>
      <c r="M421" s="401">
        <f t="shared" si="23"/>
        <v>0</v>
      </c>
      <c r="N421" s="758" t="s">
        <v>360</v>
      </c>
      <c r="O421" s="814">
        <f t="shared" si="22"/>
        <v>0</v>
      </c>
      <c r="P421" s="577"/>
      <c r="Q421" s="754"/>
      <c r="R421" s="754"/>
      <c r="S421" s="577"/>
      <c r="T421" s="577"/>
      <c r="U421" s="786"/>
      <c r="V421" s="786"/>
      <c r="W421" s="786"/>
    </row>
    <row r="422" spans="1:23" s="787" customFormat="1" ht="15.75" hidden="1" customHeight="1">
      <c r="A422" s="824">
        <f>A421+1</f>
        <v>18</v>
      </c>
      <c r="B422" s="572" t="s">
        <v>1300</v>
      </c>
      <c r="C422" s="754"/>
      <c r="D422" s="754"/>
      <c r="E422" s="754"/>
      <c r="F422" s="754"/>
      <c r="G422" s="754"/>
      <c r="H422" s="754"/>
      <c r="I422" s="754"/>
      <c r="J422" s="754"/>
      <c r="K422" s="754"/>
      <c r="L422" s="754"/>
      <c r="M422" s="401">
        <f t="shared" si="23"/>
        <v>0</v>
      </c>
      <c r="N422" s="758" t="s">
        <v>124</v>
      </c>
      <c r="O422" s="814">
        <f t="shared" si="22"/>
        <v>0</v>
      </c>
      <c r="P422" s="577"/>
      <c r="Q422" s="754"/>
      <c r="R422" s="754"/>
      <c r="S422" s="577"/>
      <c r="T422" s="577"/>
      <c r="U422" s="786"/>
      <c r="V422" s="786"/>
      <c r="W422" s="786"/>
    </row>
    <row r="423" spans="1:23" s="830" customFormat="1" ht="15.75" customHeight="1">
      <c r="A423" s="825">
        <f>A420+1</f>
        <v>17</v>
      </c>
      <c r="B423" s="422" t="s">
        <v>591</v>
      </c>
      <c r="C423" s="826"/>
      <c r="D423" s="826"/>
      <c r="E423" s="826"/>
      <c r="F423" s="826"/>
      <c r="G423" s="826"/>
      <c r="H423" s="826">
        <v>2</v>
      </c>
      <c r="I423" s="826"/>
      <c r="J423" s="826"/>
      <c r="K423" s="826"/>
      <c r="L423" s="826"/>
      <c r="M423" s="401">
        <f t="shared" si="23"/>
        <v>2</v>
      </c>
      <c r="N423" s="834" t="s">
        <v>124</v>
      </c>
      <c r="O423" s="814">
        <f t="shared" si="22"/>
        <v>2</v>
      </c>
      <c r="P423" s="766"/>
      <c r="Q423" s="826"/>
      <c r="R423" s="826"/>
      <c r="S423" s="766"/>
      <c r="T423" s="766"/>
      <c r="U423" s="829"/>
      <c r="V423" s="829"/>
      <c r="W423" s="829"/>
    </row>
    <row r="424" spans="1:23" ht="15.75" customHeight="1">
      <c r="A424" s="400">
        <f>A423+1</f>
        <v>18</v>
      </c>
      <c r="B424" s="351" t="s">
        <v>592</v>
      </c>
      <c r="C424" s="330"/>
      <c r="D424" s="330"/>
      <c r="E424" s="330"/>
      <c r="F424" s="330"/>
      <c r="G424" s="330"/>
      <c r="H424" s="330">
        <v>2</v>
      </c>
      <c r="I424" s="330"/>
      <c r="J424" s="330"/>
      <c r="K424" s="330"/>
      <c r="L424" s="330"/>
      <c r="M424" s="401">
        <f t="shared" si="23"/>
        <v>2</v>
      </c>
      <c r="N424" s="748" t="s">
        <v>124</v>
      </c>
      <c r="O424" s="814">
        <f t="shared" si="22"/>
        <v>2</v>
      </c>
      <c r="P424" s="398"/>
      <c r="Q424" s="330">
        <v>1</v>
      </c>
      <c r="R424" s="330">
        <v>1</v>
      </c>
      <c r="S424" s="398"/>
      <c r="T424" s="398"/>
      <c r="U424" s="738"/>
      <c r="V424" s="738"/>
      <c r="W424" s="738"/>
    </row>
    <row r="425" spans="1:23" ht="15.75" customHeight="1">
      <c r="A425" s="400">
        <f>A424+1</f>
        <v>19</v>
      </c>
      <c r="B425" s="351" t="s">
        <v>593</v>
      </c>
      <c r="C425" s="330"/>
      <c r="D425" s="330"/>
      <c r="E425" s="330"/>
      <c r="F425" s="330"/>
      <c r="G425" s="330"/>
      <c r="H425" s="330">
        <v>2</v>
      </c>
      <c r="I425" s="330"/>
      <c r="J425" s="330"/>
      <c r="K425" s="330"/>
      <c r="L425" s="330"/>
      <c r="M425" s="401">
        <f t="shared" si="23"/>
        <v>2</v>
      </c>
      <c r="N425" s="748" t="s">
        <v>124</v>
      </c>
      <c r="O425" s="814">
        <f t="shared" si="22"/>
        <v>2</v>
      </c>
      <c r="P425" s="398"/>
      <c r="Q425" s="330">
        <v>1</v>
      </c>
      <c r="R425" s="330">
        <v>1</v>
      </c>
      <c r="S425" s="398"/>
      <c r="T425" s="398"/>
      <c r="U425" s="738"/>
      <c r="V425" s="738"/>
      <c r="W425" s="738"/>
    </row>
    <row r="426" spans="1:23" s="787" customFormat="1" ht="15.75" hidden="1" customHeight="1">
      <c r="A426" s="824">
        <f>A425+1</f>
        <v>20</v>
      </c>
      <c r="B426" s="572" t="s">
        <v>1301</v>
      </c>
      <c r="C426" s="754"/>
      <c r="D426" s="754"/>
      <c r="E426" s="754"/>
      <c r="F426" s="754"/>
      <c r="G426" s="754"/>
      <c r="H426" s="754"/>
      <c r="I426" s="754"/>
      <c r="J426" s="754"/>
      <c r="K426" s="754"/>
      <c r="L426" s="754"/>
      <c r="M426" s="762"/>
      <c r="N426" s="758"/>
      <c r="O426" s="814"/>
      <c r="P426" s="577"/>
      <c r="Q426" s="754"/>
      <c r="R426" s="754"/>
      <c r="S426" s="577"/>
      <c r="T426" s="577"/>
      <c r="U426" s="786"/>
      <c r="V426" s="786"/>
      <c r="W426" s="786"/>
    </row>
    <row r="427" spans="1:23" s="787" customFormat="1" ht="15.75" hidden="1" customHeight="1">
      <c r="A427" s="571" t="s">
        <v>95</v>
      </c>
      <c r="B427" s="572" t="s">
        <v>211</v>
      </c>
      <c r="C427" s="754">
        <v>1</v>
      </c>
      <c r="D427" s="754">
        <v>0.5</v>
      </c>
      <c r="E427" s="754"/>
      <c r="F427" s="754"/>
      <c r="G427" s="754"/>
      <c r="H427" s="754"/>
      <c r="I427" s="754"/>
      <c r="J427" s="754"/>
      <c r="K427" s="754"/>
      <c r="L427" s="754"/>
      <c r="M427" s="762">
        <f>C427*D427</f>
        <v>0.5</v>
      </c>
      <c r="N427" s="756" t="s">
        <v>89</v>
      </c>
      <c r="O427" s="814">
        <f>ROUND((M427),2)</f>
        <v>0.5</v>
      </c>
      <c r="P427" s="577"/>
      <c r="Q427" s="754"/>
      <c r="R427" s="754"/>
      <c r="S427" s="577"/>
      <c r="T427" s="577"/>
      <c r="U427" s="786"/>
      <c r="V427" s="786"/>
      <c r="W427" s="786"/>
    </row>
    <row r="428" spans="1:23" s="787" customFormat="1" ht="15.75" hidden="1" customHeight="1">
      <c r="A428" s="571" t="s">
        <v>98</v>
      </c>
      <c r="B428" s="572" t="s">
        <v>1302</v>
      </c>
      <c r="C428" s="754"/>
      <c r="D428" s="754"/>
      <c r="E428" s="754"/>
      <c r="F428" s="754"/>
      <c r="G428" s="754"/>
      <c r="H428" s="754"/>
      <c r="I428" s="754"/>
      <c r="J428" s="754"/>
      <c r="K428" s="754"/>
      <c r="L428" s="754" t="s">
        <v>1303</v>
      </c>
      <c r="M428" s="762"/>
      <c r="N428" s="756"/>
      <c r="O428" s="814"/>
      <c r="P428" s="577"/>
      <c r="Q428" s="754"/>
      <c r="R428" s="754"/>
      <c r="S428" s="577"/>
      <c r="T428" s="577"/>
      <c r="U428" s="786"/>
      <c r="V428" s="786"/>
      <c r="W428" s="786"/>
    </row>
    <row r="429" spans="1:23" s="787" customFormat="1" ht="15.75" hidden="1" customHeight="1">
      <c r="A429" s="571"/>
      <c r="B429" s="572"/>
      <c r="C429" s="754">
        <v>1</v>
      </c>
      <c r="D429" s="754"/>
      <c r="E429" s="754"/>
      <c r="F429" s="754"/>
      <c r="G429" s="754"/>
      <c r="H429" s="754">
        <f>ROUNDUP((C430/0.15),0.1)+1</f>
        <v>5</v>
      </c>
      <c r="I429" s="754"/>
      <c r="J429" s="754"/>
      <c r="K429" s="754"/>
      <c r="L429" s="754">
        <f>8*8*0.006165</f>
        <v>0.39456000000000002</v>
      </c>
      <c r="M429" s="762">
        <f>C429*H429*L429</f>
        <v>1.9728000000000001</v>
      </c>
      <c r="N429" s="756"/>
      <c r="O429" s="814"/>
      <c r="P429" s="577"/>
      <c r="Q429" s="754"/>
      <c r="R429" s="754"/>
      <c r="S429" s="577"/>
      <c r="T429" s="577"/>
      <c r="U429" s="786"/>
      <c r="V429" s="786"/>
      <c r="W429" s="786"/>
    </row>
    <row r="430" spans="1:23" s="787" customFormat="1" ht="15.75" hidden="1" customHeight="1">
      <c r="A430" s="571"/>
      <c r="B430" s="572"/>
      <c r="C430" s="754">
        <v>0.5</v>
      </c>
      <c r="D430" s="754"/>
      <c r="E430" s="754"/>
      <c r="F430" s="754"/>
      <c r="G430" s="754"/>
      <c r="H430" s="754">
        <f>ROUNDUP((C429/0.15),0.1)+1</f>
        <v>8</v>
      </c>
      <c r="I430" s="754"/>
      <c r="J430" s="754"/>
      <c r="K430" s="754"/>
      <c r="L430" s="754">
        <f>L429</f>
        <v>0.39456000000000002</v>
      </c>
      <c r="M430" s="759">
        <f>C430*H430*L430</f>
        <v>1.5782400000000001</v>
      </c>
      <c r="N430" s="756"/>
      <c r="O430" s="814"/>
      <c r="P430" s="577"/>
      <c r="Q430" s="754"/>
      <c r="R430" s="754"/>
      <c r="S430" s="577"/>
      <c r="T430" s="577"/>
      <c r="U430" s="786"/>
      <c r="V430" s="786"/>
      <c r="W430" s="786"/>
    </row>
    <row r="431" spans="1:23" s="787" customFormat="1" ht="15.75" hidden="1" customHeight="1">
      <c r="A431" s="571"/>
      <c r="B431" s="572"/>
      <c r="C431" s="754"/>
      <c r="D431" s="754"/>
      <c r="E431" s="754"/>
      <c r="F431" s="754"/>
      <c r="G431" s="754"/>
      <c r="H431" s="754"/>
      <c r="I431" s="754"/>
      <c r="J431" s="754"/>
      <c r="K431" s="754"/>
      <c r="L431" s="754"/>
      <c r="M431" s="762">
        <f>SUM(M429:M430)</f>
        <v>3.5510400000000004</v>
      </c>
      <c r="N431" s="756" t="s">
        <v>100</v>
      </c>
      <c r="O431" s="814">
        <f>ROUND((M431),2)</f>
        <v>3.55</v>
      </c>
      <c r="P431" s="577"/>
      <c r="Q431" s="754"/>
      <c r="R431" s="754"/>
      <c r="S431" s="577"/>
      <c r="T431" s="577"/>
      <c r="U431" s="786"/>
      <c r="V431" s="786"/>
      <c r="W431" s="786"/>
    </row>
    <row r="432" spans="1:23" s="787" customFormat="1" ht="15.75" hidden="1" customHeight="1">
      <c r="A432" s="571" t="s">
        <v>101</v>
      </c>
      <c r="B432" s="572" t="s">
        <v>1304</v>
      </c>
      <c r="C432" s="754">
        <f>C429</f>
        <v>1</v>
      </c>
      <c r="D432" s="754">
        <f>C430</f>
        <v>0.5</v>
      </c>
      <c r="E432" s="754">
        <v>0.08</v>
      </c>
      <c r="F432" s="754"/>
      <c r="G432" s="754"/>
      <c r="H432" s="754"/>
      <c r="I432" s="754"/>
      <c r="J432" s="754"/>
      <c r="K432" s="754"/>
      <c r="L432" s="754"/>
      <c r="M432" s="762">
        <f>C432*D432*E432</f>
        <v>0.04</v>
      </c>
      <c r="N432" s="756" t="s">
        <v>103</v>
      </c>
      <c r="O432" s="814">
        <f>ROUND((M432),2)</f>
        <v>0.04</v>
      </c>
      <c r="P432" s="577"/>
      <c r="Q432" s="754"/>
      <c r="R432" s="754"/>
      <c r="S432" s="577"/>
      <c r="T432" s="577"/>
      <c r="U432" s="786"/>
      <c r="V432" s="786"/>
      <c r="W432" s="786"/>
    </row>
    <row r="433" spans="1:23" s="787" customFormat="1" ht="15.75" hidden="1" customHeight="1">
      <c r="A433" s="571" t="s">
        <v>121</v>
      </c>
      <c r="B433" s="572" t="s">
        <v>193</v>
      </c>
      <c r="C433" s="754"/>
      <c r="D433" s="754"/>
      <c r="E433" s="754"/>
      <c r="F433" s="754"/>
      <c r="G433" s="754"/>
      <c r="H433" s="754"/>
      <c r="I433" s="754"/>
      <c r="J433" s="754"/>
      <c r="K433" s="754"/>
      <c r="L433" s="754"/>
      <c r="M433" s="762"/>
      <c r="N433" s="756"/>
      <c r="O433" s="814"/>
      <c r="P433" s="577"/>
      <c r="Q433" s="754"/>
      <c r="R433" s="754"/>
      <c r="S433" s="577"/>
      <c r="T433" s="577"/>
      <c r="U433" s="786"/>
      <c r="V433" s="786"/>
      <c r="W433" s="786"/>
    </row>
    <row r="434" spans="1:23" s="787" customFormat="1" ht="15.75" hidden="1" customHeight="1">
      <c r="A434" s="571"/>
      <c r="B434" s="572"/>
      <c r="C434" s="754">
        <f>C432</f>
        <v>1</v>
      </c>
      <c r="D434" s="754">
        <f>D432</f>
        <v>0.5</v>
      </c>
      <c r="E434" s="754"/>
      <c r="F434" s="754"/>
      <c r="G434" s="754"/>
      <c r="H434" s="754">
        <v>2</v>
      </c>
      <c r="I434" s="754"/>
      <c r="J434" s="754"/>
      <c r="K434" s="754"/>
      <c r="L434" s="754"/>
      <c r="M434" s="762">
        <f>C434*D434*H434</f>
        <v>1</v>
      </c>
      <c r="N434" s="756"/>
      <c r="O434" s="814"/>
      <c r="P434" s="577"/>
      <c r="Q434" s="754"/>
      <c r="R434" s="754"/>
      <c r="S434" s="577"/>
      <c r="T434" s="577"/>
      <c r="U434" s="786"/>
      <c r="V434" s="786"/>
      <c r="W434" s="786"/>
    </row>
    <row r="435" spans="1:23" s="787" customFormat="1" ht="15.75" hidden="1" customHeight="1">
      <c r="A435" s="571"/>
      <c r="B435" s="572"/>
      <c r="C435" s="754">
        <f>C434</f>
        <v>1</v>
      </c>
      <c r="D435" s="754"/>
      <c r="E435" s="754">
        <v>0.08</v>
      </c>
      <c r="F435" s="754"/>
      <c r="G435" s="754"/>
      <c r="H435" s="754"/>
      <c r="I435" s="754"/>
      <c r="J435" s="754"/>
      <c r="K435" s="754"/>
      <c r="L435" s="754"/>
      <c r="M435" s="762">
        <f>C435*E435</f>
        <v>0.08</v>
      </c>
      <c r="N435" s="756"/>
      <c r="O435" s="814"/>
      <c r="P435" s="577"/>
      <c r="Q435" s="754"/>
      <c r="R435" s="754"/>
      <c r="S435" s="577"/>
      <c r="T435" s="577"/>
      <c r="U435" s="786"/>
      <c r="V435" s="786"/>
      <c r="W435" s="786"/>
    </row>
    <row r="436" spans="1:23" s="787" customFormat="1" ht="15.75" hidden="1" customHeight="1">
      <c r="A436" s="571"/>
      <c r="B436" s="572"/>
      <c r="C436" s="754">
        <f>D434</f>
        <v>0.5</v>
      </c>
      <c r="D436" s="754"/>
      <c r="E436" s="754">
        <f>E435</f>
        <v>0.08</v>
      </c>
      <c r="F436" s="754"/>
      <c r="G436" s="754"/>
      <c r="H436" s="754"/>
      <c r="I436" s="754"/>
      <c r="J436" s="754"/>
      <c r="K436" s="754"/>
      <c r="L436" s="754"/>
      <c r="M436" s="759">
        <f>C436*E436</f>
        <v>0.04</v>
      </c>
      <c r="N436" s="756"/>
      <c r="O436" s="814"/>
      <c r="P436" s="577"/>
      <c r="Q436" s="754"/>
      <c r="R436" s="754"/>
      <c r="S436" s="577"/>
      <c r="T436" s="577"/>
      <c r="U436" s="786"/>
      <c r="V436" s="786"/>
      <c r="W436" s="786"/>
    </row>
    <row r="437" spans="1:23" s="787" customFormat="1" ht="15.75" hidden="1" customHeight="1">
      <c r="A437" s="571"/>
      <c r="B437" s="572"/>
      <c r="C437" s="754"/>
      <c r="D437" s="754"/>
      <c r="E437" s="754"/>
      <c r="F437" s="754"/>
      <c r="G437" s="754"/>
      <c r="H437" s="754"/>
      <c r="I437" s="754"/>
      <c r="J437" s="754"/>
      <c r="K437" s="754"/>
      <c r="L437" s="754"/>
      <c r="M437" s="762">
        <f>SUM(M434:M436)</f>
        <v>1.1200000000000001</v>
      </c>
      <c r="N437" s="756" t="s">
        <v>89</v>
      </c>
      <c r="O437" s="814">
        <f>ROUND((M437),2)</f>
        <v>1.1200000000000001</v>
      </c>
      <c r="P437" s="577"/>
      <c r="Q437" s="754"/>
      <c r="R437" s="754"/>
      <c r="S437" s="577"/>
      <c r="T437" s="577"/>
      <c r="U437" s="786"/>
      <c r="V437" s="786"/>
      <c r="W437" s="786"/>
    </row>
    <row r="438" spans="1:23" s="787" customFormat="1" ht="15.75" hidden="1" customHeight="1">
      <c r="A438" s="571" t="s">
        <v>142</v>
      </c>
      <c r="B438" s="572" t="s">
        <v>1305</v>
      </c>
      <c r="C438" s="754"/>
      <c r="D438" s="754"/>
      <c r="E438" s="754"/>
      <c r="F438" s="754"/>
      <c r="G438" s="754"/>
      <c r="H438" s="754"/>
      <c r="I438" s="754"/>
      <c r="J438" s="754"/>
      <c r="K438" s="754"/>
      <c r="L438" s="754"/>
      <c r="M438" s="762"/>
      <c r="N438" s="756"/>
      <c r="O438" s="814"/>
      <c r="P438" s="577"/>
      <c r="Q438" s="754"/>
      <c r="R438" s="754"/>
      <c r="S438" s="577"/>
      <c r="T438" s="577"/>
      <c r="U438" s="786"/>
      <c r="V438" s="786"/>
      <c r="W438" s="786"/>
    </row>
    <row r="439" spans="1:23" s="787" customFormat="1" ht="15.75" hidden="1" customHeight="1">
      <c r="A439" s="571"/>
      <c r="B439" s="572"/>
      <c r="C439" s="754">
        <f>C434</f>
        <v>1</v>
      </c>
      <c r="D439" s="754">
        <f>D434</f>
        <v>0.5</v>
      </c>
      <c r="E439" s="754"/>
      <c r="F439" s="754"/>
      <c r="G439" s="754"/>
      <c r="H439" s="754"/>
      <c r="I439" s="754"/>
      <c r="J439" s="754"/>
      <c r="K439" s="754"/>
      <c r="L439" s="754"/>
      <c r="M439" s="762">
        <f>C439*D439</f>
        <v>0.5</v>
      </c>
      <c r="N439" s="756"/>
      <c r="O439" s="814"/>
      <c r="P439" s="577"/>
      <c r="Q439" s="754"/>
      <c r="R439" s="754"/>
      <c r="S439" s="577"/>
      <c r="T439" s="577"/>
      <c r="U439" s="786"/>
      <c r="V439" s="786"/>
      <c r="W439" s="786"/>
    </row>
    <row r="440" spans="1:23" s="787" customFormat="1" ht="15.75" hidden="1" customHeight="1">
      <c r="A440" s="571"/>
      <c r="B440" s="572"/>
      <c r="C440" s="754">
        <f>C439</f>
        <v>1</v>
      </c>
      <c r="D440" s="754"/>
      <c r="E440" s="754">
        <v>0.6</v>
      </c>
      <c r="F440" s="754"/>
      <c r="G440" s="754"/>
      <c r="H440" s="754"/>
      <c r="I440" s="754"/>
      <c r="J440" s="754"/>
      <c r="K440" s="754"/>
      <c r="L440" s="754"/>
      <c r="M440" s="762">
        <f>C440*E440</f>
        <v>0.6</v>
      </c>
      <c r="N440" s="756"/>
      <c r="O440" s="814"/>
      <c r="P440" s="577"/>
      <c r="Q440" s="754"/>
      <c r="R440" s="754"/>
      <c r="S440" s="577"/>
      <c r="T440" s="577"/>
      <c r="U440" s="786"/>
      <c r="V440" s="786"/>
      <c r="W440" s="786"/>
    </row>
    <row r="441" spans="1:23" s="787" customFormat="1" ht="15.75" hidden="1" customHeight="1">
      <c r="A441" s="571"/>
      <c r="B441" s="572"/>
      <c r="C441" s="754">
        <f>D439</f>
        <v>0.5</v>
      </c>
      <c r="D441" s="754"/>
      <c r="E441" s="754">
        <f>E440</f>
        <v>0.6</v>
      </c>
      <c r="F441" s="754"/>
      <c r="G441" s="754"/>
      <c r="H441" s="754"/>
      <c r="I441" s="754"/>
      <c r="J441" s="754"/>
      <c r="K441" s="754"/>
      <c r="L441" s="754"/>
      <c r="M441" s="754">
        <f>C441*E441</f>
        <v>0.3</v>
      </c>
      <c r="N441" s="756"/>
      <c r="O441" s="814"/>
      <c r="P441" s="577"/>
      <c r="Q441" s="754"/>
      <c r="R441" s="754"/>
      <c r="S441" s="577"/>
      <c r="T441" s="577"/>
      <c r="U441" s="786"/>
      <c r="V441" s="786"/>
      <c r="W441" s="786"/>
    </row>
    <row r="442" spans="1:23" s="787" customFormat="1" ht="15.75" hidden="1" customHeight="1">
      <c r="A442" s="571"/>
      <c r="B442" s="572"/>
      <c r="C442" s="754">
        <f>C435</f>
        <v>1</v>
      </c>
      <c r="D442" s="754"/>
      <c r="E442" s="754">
        <v>0.1</v>
      </c>
      <c r="F442" s="754"/>
      <c r="G442" s="754"/>
      <c r="H442" s="754"/>
      <c r="I442" s="754"/>
      <c r="J442" s="754"/>
      <c r="K442" s="754"/>
      <c r="L442" s="754"/>
      <c r="M442" s="762">
        <f>C442*E442</f>
        <v>0.1</v>
      </c>
      <c r="N442" s="756"/>
      <c r="O442" s="814"/>
      <c r="P442" s="577"/>
      <c r="Q442" s="754"/>
      <c r="R442" s="754"/>
      <c r="S442" s="577"/>
      <c r="T442" s="577"/>
      <c r="U442" s="786"/>
      <c r="V442" s="786"/>
      <c r="W442" s="786"/>
    </row>
    <row r="443" spans="1:23" s="787" customFormat="1" ht="15.75" hidden="1" customHeight="1">
      <c r="A443" s="571"/>
      <c r="B443" s="572"/>
      <c r="C443" s="754">
        <f>D434</f>
        <v>0.5</v>
      </c>
      <c r="D443" s="754"/>
      <c r="E443" s="754">
        <f>E442</f>
        <v>0.1</v>
      </c>
      <c r="F443" s="754"/>
      <c r="G443" s="754"/>
      <c r="H443" s="754"/>
      <c r="I443" s="754"/>
      <c r="J443" s="754"/>
      <c r="K443" s="754"/>
      <c r="L443" s="754"/>
      <c r="M443" s="848">
        <f>C443*E443</f>
        <v>0.05</v>
      </c>
      <c r="N443" s="756"/>
      <c r="O443" s="814"/>
      <c r="P443" s="577"/>
      <c r="Q443" s="754"/>
      <c r="R443" s="754"/>
      <c r="S443" s="577"/>
      <c r="T443" s="577"/>
      <c r="U443" s="786"/>
      <c r="V443" s="786"/>
      <c r="W443" s="786"/>
    </row>
    <row r="444" spans="1:23" s="787" customFormat="1" ht="15.75" hidden="1" customHeight="1">
      <c r="A444" s="571"/>
      <c r="B444" s="572"/>
      <c r="C444" s="754"/>
      <c r="D444" s="754"/>
      <c r="E444" s="754"/>
      <c r="F444" s="754"/>
      <c r="G444" s="754"/>
      <c r="H444" s="754"/>
      <c r="I444" s="754"/>
      <c r="J444" s="754"/>
      <c r="K444" s="754"/>
      <c r="L444" s="754"/>
      <c r="M444" s="762">
        <f>SUM(M439:M443)</f>
        <v>1.5500000000000003</v>
      </c>
      <c r="N444" s="756" t="s">
        <v>89</v>
      </c>
      <c r="O444" s="814">
        <f t="shared" ref="O444:O452" si="24">ROUND((M444),2)</f>
        <v>1.55</v>
      </c>
      <c r="P444" s="577"/>
      <c r="Q444" s="754"/>
      <c r="R444" s="754"/>
      <c r="S444" s="577"/>
      <c r="T444" s="577"/>
      <c r="U444" s="786"/>
      <c r="V444" s="786"/>
      <c r="W444" s="786"/>
    </row>
    <row r="445" spans="1:23" s="787" customFormat="1" ht="27.75" hidden="1" customHeight="1">
      <c r="A445" s="571" t="s">
        <v>217</v>
      </c>
      <c r="B445" s="849" t="s">
        <v>1306</v>
      </c>
      <c r="C445" s="754"/>
      <c r="D445" s="754"/>
      <c r="E445" s="754"/>
      <c r="F445" s="754"/>
      <c r="G445" s="754"/>
      <c r="H445" s="754"/>
      <c r="I445" s="754"/>
      <c r="J445" s="754"/>
      <c r="K445" s="754"/>
      <c r="L445" s="754"/>
      <c r="M445" s="762">
        <v>1</v>
      </c>
      <c r="N445" s="756" t="s">
        <v>124</v>
      </c>
      <c r="O445" s="814">
        <f t="shared" si="24"/>
        <v>1</v>
      </c>
      <c r="P445" s="577"/>
      <c r="Q445" s="754"/>
      <c r="R445" s="754"/>
      <c r="S445" s="577"/>
      <c r="T445" s="577"/>
      <c r="U445" s="786"/>
      <c r="V445" s="786"/>
      <c r="W445" s="786"/>
    </row>
    <row r="446" spans="1:23" s="787" customFormat="1" ht="27.75" hidden="1" customHeight="1">
      <c r="A446" s="571" t="s">
        <v>366</v>
      </c>
      <c r="B446" s="849" t="s">
        <v>1307</v>
      </c>
      <c r="C446" s="754"/>
      <c r="D446" s="754"/>
      <c r="E446" s="754"/>
      <c r="F446" s="754"/>
      <c r="G446" s="754"/>
      <c r="H446" s="754"/>
      <c r="I446" s="754"/>
      <c r="J446" s="754"/>
      <c r="K446" s="754"/>
      <c r="L446" s="754"/>
      <c r="M446" s="762">
        <v>1</v>
      </c>
      <c r="N446" s="756" t="s">
        <v>124</v>
      </c>
      <c r="O446" s="814">
        <f t="shared" si="24"/>
        <v>1</v>
      </c>
      <c r="P446" s="577"/>
      <c r="Q446" s="754"/>
      <c r="R446" s="754"/>
      <c r="S446" s="577"/>
      <c r="T446" s="577"/>
      <c r="U446" s="786"/>
      <c r="V446" s="786"/>
      <c r="W446" s="786"/>
    </row>
    <row r="447" spans="1:23" ht="15.75" customHeight="1">
      <c r="A447" s="400">
        <f>A425+1</f>
        <v>20</v>
      </c>
      <c r="B447" s="351" t="s">
        <v>586</v>
      </c>
      <c r="C447" s="330"/>
      <c r="D447" s="330"/>
      <c r="E447" s="330">
        <v>1.2</v>
      </c>
      <c r="F447" s="330"/>
      <c r="G447" s="330"/>
      <c r="H447" s="330">
        <v>2</v>
      </c>
      <c r="I447" s="330"/>
      <c r="J447" s="330"/>
      <c r="K447" s="330"/>
      <c r="L447" s="330"/>
      <c r="M447" s="401">
        <f>E447*H447</f>
        <v>2.4</v>
      </c>
      <c r="N447" s="748" t="s">
        <v>117</v>
      </c>
      <c r="O447" s="814">
        <f t="shared" si="24"/>
        <v>2.4</v>
      </c>
      <c r="P447" s="398"/>
      <c r="Q447" s="330"/>
      <c r="R447" s="330"/>
      <c r="S447" s="398"/>
      <c r="T447" s="398"/>
      <c r="U447" s="738"/>
      <c r="V447" s="738"/>
      <c r="W447" s="738"/>
    </row>
    <row r="448" spans="1:23" ht="15.75" customHeight="1">
      <c r="A448" s="400">
        <f t="shared" ref="A448:A453" si="25">A447+1</f>
        <v>21</v>
      </c>
      <c r="B448" s="351" t="s">
        <v>587</v>
      </c>
      <c r="C448" s="330">
        <v>3</v>
      </c>
      <c r="D448" s="330">
        <v>4</v>
      </c>
      <c r="E448" s="330">
        <v>1</v>
      </c>
      <c r="F448" s="330"/>
      <c r="G448" s="330"/>
      <c r="H448" s="330"/>
      <c r="I448" s="330"/>
      <c r="J448" s="330"/>
      <c r="K448" s="330"/>
      <c r="L448" s="330"/>
      <c r="M448" s="401">
        <f>C448+D448+E448</f>
        <v>8</v>
      </c>
      <c r="N448" s="748" t="s">
        <v>117</v>
      </c>
      <c r="O448" s="814">
        <f t="shared" si="24"/>
        <v>8</v>
      </c>
      <c r="P448" s="398"/>
      <c r="Q448" s="330"/>
      <c r="R448" s="330"/>
      <c r="S448" s="398"/>
      <c r="T448" s="398"/>
      <c r="U448" s="738"/>
      <c r="V448" s="738"/>
      <c r="W448" s="738"/>
    </row>
    <row r="449" spans="1:23" ht="15.75" customHeight="1">
      <c r="A449" s="350">
        <f t="shared" si="25"/>
        <v>22</v>
      </c>
      <c r="B449" s="351" t="s">
        <v>588</v>
      </c>
      <c r="C449" s="330">
        <v>3</v>
      </c>
      <c r="D449" s="330">
        <v>0.8</v>
      </c>
      <c r="E449" s="330"/>
      <c r="F449" s="330"/>
      <c r="G449" s="330"/>
      <c r="H449" s="330"/>
      <c r="I449" s="330"/>
      <c r="J449" s="330"/>
      <c r="K449" s="330"/>
      <c r="L449" s="330"/>
      <c r="M449" s="401">
        <f>C449+D449</f>
        <v>3.8</v>
      </c>
      <c r="N449" s="748" t="s">
        <v>117</v>
      </c>
      <c r="O449" s="814">
        <f t="shared" si="24"/>
        <v>3.8</v>
      </c>
      <c r="P449" s="398"/>
      <c r="Q449" s="330"/>
      <c r="R449" s="330"/>
      <c r="S449" s="398"/>
      <c r="T449" s="398"/>
      <c r="U449" s="738"/>
      <c r="V449" s="738"/>
      <c r="W449" s="738"/>
    </row>
    <row r="450" spans="1:23" ht="15.75" customHeight="1">
      <c r="A450" s="350">
        <f t="shared" si="25"/>
        <v>23</v>
      </c>
      <c r="B450" s="351" t="s">
        <v>589</v>
      </c>
      <c r="C450" s="330">
        <v>1.5</v>
      </c>
      <c r="D450" s="330">
        <v>2</v>
      </c>
      <c r="E450" s="330"/>
      <c r="F450" s="330"/>
      <c r="G450" s="330"/>
      <c r="H450" s="330"/>
      <c r="I450" s="330"/>
      <c r="J450" s="330"/>
      <c r="K450" s="330"/>
      <c r="L450" s="330"/>
      <c r="M450" s="401">
        <f>C450+D450</f>
        <v>3.5</v>
      </c>
      <c r="N450" s="748" t="s">
        <v>117</v>
      </c>
      <c r="O450" s="814">
        <f t="shared" si="24"/>
        <v>3.5</v>
      </c>
      <c r="P450" s="398"/>
      <c r="Q450" s="330"/>
      <c r="R450" s="330"/>
      <c r="S450" s="398"/>
      <c r="T450" s="398"/>
      <c r="U450" s="738"/>
      <c r="V450" s="738"/>
      <c r="W450" s="738"/>
    </row>
    <row r="451" spans="1:23" ht="15.75" customHeight="1">
      <c r="A451" s="350">
        <f t="shared" si="25"/>
        <v>24</v>
      </c>
      <c r="B451" s="351" t="s">
        <v>713</v>
      </c>
      <c r="C451" s="330"/>
      <c r="D451" s="330"/>
      <c r="E451" s="330"/>
      <c r="F451" s="330"/>
      <c r="G451" s="330"/>
      <c r="H451" s="330"/>
      <c r="I451" s="330"/>
      <c r="J451" s="330"/>
      <c r="K451" s="330"/>
      <c r="L451" s="330"/>
      <c r="M451" s="401">
        <v>1</v>
      </c>
      <c r="N451" s="748" t="s">
        <v>360</v>
      </c>
      <c r="O451" s="814">
        <f t="shared" si="24"/>
        <v>1</v>
      </c>
      <c r="P451" s="398"/>
      <c r="Q451" s="330"/>
      <c r="R451" s="330"/>
      <c r="S451" s="398"/>
      <c r="T451" s="398"/>
      <c r="U451" s="738"/>
      <c r="V451" s="738"/>
      <c r="W451" s="738"/>
    </row>
    <row r="452" spans="1:23" ht="27.75" customHeight="1">
      <c r="A452" s="350">
        <f t="shared" si="25"/>
        <v>25</v>
      </c>
      <c r="B452" s="593" t="s">
        <v>1308</v>
      </c>
      <c r="C452" s="330"/>
      <c r="D452" s="330"/>
      <c r="E452" s="330"/>
      <c r="F452" s="330"/>
      <c r="G452" s="330"/>
      <c r="H452" s="330"/>
      <c r="I452" s="330"/>
      <c r="J452" s="330"/>
      <c r="K452" s="330"/>
      <c r="L452" s="330"/>
      <c r="M452" s="401">
        <v>1</v>
      </c>
      <c r="N452" s="748" t="s">
        <v>360</v>
      </c>
      <c r="O452" s="814">
        <f t="shared" si="24"/>
        <v>1</v>
      </c>
      <c r="P452" s="398"/>
      <c r="Q452" s="330"/>
      <c r="R452" s="330"/>
      <c r="S452" s="398"/>
      <c r="T452" s="398"/>
      <c r="U452" s="738"/>
      <c r="V452" s="738"/>
      <c r="W452" s="738"/>
    </row>
    <row r="453" spans="1:23" ht="15.75" customHeight="1">
      <c r="A453" s="350">
        <f t="shared" si="25"/>
        <v>26</v>
      </c>
      <c r="B453" s="593" t="s">
        <v>679</v>
      </c>
      <c r="C453" s="330"/>
      <c r="D453" s="330"/>
      <c r="E453" s="330"/>
      <c r="F453" s="330"/>
      <c r="G453" s="330"/>
      <c r="H453" s="330"/>
      <c r="I453" s="330"/>
      <c r="J453" s="330"/>
      <c r="K453" s="330"/>
      <c r="L453" s="330"/>
      <c r="M453" s="401"/>
      <c r="N453" s="748"/>
      <c r="O453" s="814"/>
      <c r="P453" s="398"/>
      <c r="Q453" s="330"/>
      <c r="R453" s="330"/>
      <c r="S453" s="398"/>
      <c r="T453" s="398"/>
      <c r="U453" s="738"/>
      <c r="V453" s="738"/>
      <c r="W453" s="738"/>
    </row>
    <row r="454" spans="1:23" ht="15.75" customHeight="1">
      <c r="A454" s="355" t="s">
        <v>95</v>
      </c>
      <c r="B454" s="414" t="s">
        <v>596</v>
      </c>
      <c r="C454" s="330"/>
      <c r="D454" s="330"/>
      <c r="E454" s="330"/>
      <c r="F454" s="330"/>
      <c r="G454" s="330"/>
      <c r="H454" s="330"/>
      <c r="I454" s="330"/>
      <c r="J454" s="330"/>
      <c r="K454" s="330"/>
      <c r="L454" s="330"/>
      <c r="M454" s="401">
        <v>1</v>
      </c>
      <c r="N454" s="748" t="s">
        <v>360</v>
      </c>
      <c r="O454" s="814">
        <f>ROUND((M454),2)</f>
        <v>1</v>
      </c>
      <c r="P454" s="398"/>
      <c r="Q454" s="330"/>
      <c r="R454" s="330"/>
      <c r="S454" s="398"/>
      <c r="T454" s="398"/>
      <c r="U454" s="738"/>
      <c r="V454" s="738"/>
      <c r="W454" s="738"/>
    </row>
    <row r="455" spans="1:23" ht="15.75" customHeight="1">
      <c r="A455" s="355" t="s">
        <v>98</v>
      </c>
      <c r="B455" s="414" t="s">
        <v>597</v>
      </c>
      <c r="C455" s="330"/>
      <c r="D455" s="330"/>
      <c r="E455" s="330"/>
      <c r="F455" s="330"/>
      <c r="G455" s="330"/>
      <c r="H455" s="330"/>
      <c r="I455" s="330"/>
      <c r="J455" s="330"/>
      <c r="K455" s="330"/>
      <c r="L455" s="330"/>
      <c r="M455" s="401">
        <v>1</v>
      </c>
      <c r="N455" s="748" t="s">
        <v>360</v>
      </c>
      <c r="O455" s="814">
        <f>ROUND((M455),2)</f>
        <v>1</v>
      </c>
      <c r="P455" s="398"/>
      <c r="Q455" s="330"/>
      <c r="R455" s="330"/>
      <c r="S455" s="398"/>
      <c r="T455" s="398"/>
      <c r="U455" s="738"/>
      <c r="V455" s="738"/>
      <c r="W455" s="738"/>
    </row>
    <row r="456" spans="1:23" ht="15.75" customHeight="1">
      <c r="A456" s="355" t="s">
        <v>101</v>
      </c>
      <c r="B456" s="403" t="s">
        <v>598</v>
      </c>
      <c r="C456" s="330"/>
      <c r="D456" s="330"/>
      <c r="E456" s="330"/>
      <c r="F456" s="330"/>
      <c r="G456" s="330"/>
      <c r="H456" s="330"/>
      <c r="I456" s="330"/>
      <c r="J456" s="330"/>
      <c r="K456" s="330"/>
      <c r="L456" s="330"/>
      <c r="M456" s="401"/>
      <c r="N456" s="748"/>
      <c r="O456" s="814"/>
      <c r="P456" s="398"/>
      <c r="Q456" s="330"/>
      <c r="R456" s="330"/>
      <c r="S456" s="398"/>
      <c r="T456" s="398"/>
      <c r="U456" s="738"/>
      <c r="V456" s="738"/>
      <c r="W456" s="738"/>
    </row>
    <row r="457" spans="1:23" ht="15.75" customHeight="1">
      <c r="A457" s="355"/>
      <c r="B457" s="403" t="s">
        <v>599</v>
      </c>
      <c r="C457" s="330">
        <v>0.8</v>
      </c>
      <c r="D457" s="330">
        <v>0.8</v>
      </c>
      <c r="E457" s="330">
        <v>0.9</v>
      </c>
      <c r="F457" s="330"/>
      <c r="G457" s="330"/>
      <c r="H457" s="330"/>
      <c r="I457" s="330"/>
      <c r="J457" s="330"/>
      <c r="K457" s="330"/>
      <c r="L457" s="330">
        <v>4</v>
      </c>
      <c r="M457" s="401">
        <f>C457*D457*E457*L457</f>
        <v>2.3040000000000007</v>
      </c>
      <c r="N457" s="748" t="s">
        <v>103</v>
      </c>
      <c r="O457" s="814">
        <f>ROUND((M457),2)</f>
        <v>2.2999999999999998</v>
      </c>
      <c r="P457" s="398"/>
      <c r="Q457" s="330"/>
      <c r="R457" s="330"/>
      <c r="S457" s="398"/>
      <c r="T457" s="398"/>
      <c r="U457" s="738"/>
      <c r="V457" s="738"/>
      <c r="W457" s="738"/>
    </row>
    <row r="458" spans="1:23" ht="15.75" customHeight="1">
      <c r="A458" s="355"/>
      <c r="B458" s="403" t="s">
        <v>600</v>
      </c>
      <c r="C458" s="330">
        <v>0.6</v>
      </c>
      <c r="D458" s="330"/>
      <c r="E458" s="330">
        <v>0.3</v>
      </c>
      <c r="F458" s="330"/>
      <c r="G458" s="330">
        <v>4</v>
      </c>
      <c r="H458" s="330"/>
      <c r="I458" s="330"/>
      <c r="J458" s="330"/>
      <c r="K458" s="330"/>
      <c r="L458" s="330">
        <f>L457</f>
        <v>4</v>
      </c>
      <c r="M458" s="401">
        <f>C458*E458*G458*L458</f>
        <v>2.88</v>
      </c>
      <c r="N458" s="748" t="s">
        <v>89</v>
      </c>
      <c r="O458" s="814">
        <f>ROUND((M458),2)</f>
        <v>2.88</v>
      </c>
      <c r="P458" s="398"/>
      <c r="Q458" s="330"/>
      <c r="R458" s="330"/>
      <c r="S458" s="398"/>
      <c r="T458" s="398"/>
      <c r="U458" s="738"/>
      <c r="V458" s="738"/>
      <c r="W458" s="738"/>
    </row>
    <row r="459" spans="1:23" ht="15.75" customHeight="1">
      <c r="A459" s="355"/>
      <c r="B459" s="403" t="s">
        <v>601</v>
      </c>
      <c r="C459" s="330">
        <v>0.45</v>
      </c>
      <c r="D459" s="330"/>
      <c r="E459" s="330"/>
      <c r="F459" s="330">
        <f>0.15*2</f>
        <v>0.3</v>
      </c>
      <c r="G459" s="330">
        <v>4</v>
      </c>
      <c r="H459" s="330"/>
      <c r="I459" s="330"/>
      <c r="J459" s="330"/>
      <c r="K459" s="330">
        <f>13*13*0.006165</f>
        <v>1.041885</v>
      </c>
      <c r="L459" s="330">
        <f>L458</f>
        <v>4</v>
      </c>
      <c r="M459" s="401">
        <f>(C459+F459)*G459*K459*L459</f>
        <v>12.50262</v>
      </c>
      <c r="N459" s="748" t="s">
        <v>100</v>
      </c>
      <c r="O459" s="814">
        <f>ROUND((M459),2)</f>
        <v>12.5</v>
      </c>
      <c r="P459" s="398"/>
      <c r="Q459" s="330"/>
      <c r="R459" s="330"/>
      <c r="S459" s="398"/>
      <c r="T459" s="398"/>
      <c r="U459" s="738"/>
      <c r="V459" s="738"/>
      <c r="W459" s="738"/>
    </row>
    <row r="460" spans="1:23" ht="15.75" customHeight="1">
      <c r="A460" s="355"/>
      <c r="B460" s="403" t="s">
        <v>1309</v>
      </c>
      <c r="C460" s="330">
        <f>C458</f>
        <v>0.6</v>
      </c>
      <c r="D460" s="330">
        <f>C460</f>
        <v>0.6</v>
      </c>
      <c r="E460" s="330">
        <v>0.3</v>
      </c>
      <c r="F460" s="330"/>
      <c r="G460" s="330"/>
      <c r="H460" s="330"/>
      <c r="I460" s="330"/>
      <c r="J460" s="330"/>
      <c r="K460" s="330"/>
      <c r="L460" s="330">
        <f>L459</f>
        <v>4</v>
      </c>
      <c r="M460" s="401">
        <f>C460*D460*E460*L460</f>
        <v>0.432</v>
      </c>
      <c r="N460" s="748" t="s">
        <v>103</v>
      </c>
      <c r="O460" s="814">
        <f>ROUND((M460),2)</f>
        <v>0.43</v>
      </c>
      <c r="P460" s="398"/>
      <c r="Q460" s="330"/>
      <c r="R460" s="330"/>
      <c r="S460" s="398"/>
      <c r="T460" s="398"/>
      <c r="U460" s="738"/>
      <c r="V460" s="738"/>
      <c r="W460" s="738"/>
    </row>
    <row r="461" spans="1:23" ht="15.75" customHeight="1">
      <c r="A461" s="355" t="s">
        <v>121</v>
      </c>
      <c r="B461" s="403" t="s">
        <v>603</v>
      </c>
      <c r="C461" s="330"/>
      <c r="D461" s="330"/>
      <c r="E461" s="330"/>
      <c r="F461" s="330"/>
      <c r="G461" s="330"/>
      <c r="H461" s="330"/>
      <c r="I461" s="330"/>
      <c r="J461" s="330"/>
      <c r="K461" s="330"/>
      <c r="L461" s="330"/>
      <c r="M461" s="401"/>
      <c r="N461" s="748"/>
      <c r="O461" s="814"/>
      <c r="P461" s="398"/>
      <c r="Q461" s="330"/>
      <c r="R461" s="330"/>
      <c r="S461" s="398"/>
      <c r="T461" s="398"/>
      <c r="U461" s="738"/>
      <c r="V461" s="738"/>
      <c r="W461" s="738"/>
    </row>
    <row r="462" spans="1:23" ht="15.75" customHeight="1">
      <c r="A462" s="355"/>
      <c r="B462" s="403" t="s">
        <v>604</v>
      </c>
      <c r="C462" s="330"/>
      <c r="D462" s="330">
        <v>0.25</v>
      </c>
      <c r="E462" s="330">
        <v>0.8</v>
      </c>
      <c r="F462" s="330"/>
      <c r="G462" s="330">
        <v>4</v>
      </c>
      <c r="H462" s="330"/>
      <c r="I462" s="330"/>
      <c r="J462" s="330"/>
      <c r="K462" s="330"/>
      <c r="L462" s="330">
        <f>L460</f>
        <v>4</v>
      </c>
      <c r="M462" s="401">
        <f>D462*E462*G462*L462</f>
        <v>3.2</v>
      </c>
      <c r="N462" s="748" t="s">
        <v>103</v>
      </c>
      <c r="O462" s="814">
        <f>ROUND((M462),2)</f>
        <v>3.2</v>
      </c>
      <c r="P462" s="398"/>
      <c r="Q462" s="330"/>
      <c r="R462" s="330"/>
      <c r="S462" s="398"/>
      <c r="T462" s="398"/>
      <c r="U462" s="738"/>
      <c r="V462" s="738"/>
      <c r="W462" s="738"/>
    </row>
    <row r="463" spans="1:23" ht="15.75" customHeight="1">
      <c r="A463" s="355"/>
      <c r="B463" s="403" t="s">
        <v>605</v>
      </c>
      <c r="C463" s="330"/>
      <c r="D463" s="330"/>
      <c r="E463" s="330">
        <f>E462</f>
        <v>0.8</v>
      </c>
      <c r="F463" s="330"/>
      <c r="G463" s="330">
        <v>4</v>
      </c>
      <c r="H463" s="330"/>
      <c r="I463" s="330">
        <v>0.55000000000000004</v>
      </c>
      <c r="J463" s="330"/>
      <c r="K463" s="330">
        <f>13*13*0.006165</f>
        <v>1.041885</v>
      </c>
      <c r="L463" s="330">
        <f>L462</f>
        <v>4</v>
      </c>
      <c r="M463" s="401">
        <f>(E463+I463)*G463*K463*L463</f>
        <v>22.504716000000002</v>
      </c>
      <c r="N463" s="748" t="s">
        <v>89</v>
      </c>
      <c r="O463" s="814">
        <f>ROUND((M463),2)</f>
        <v>22.5</v>
      </c>
      <c r="P463" s="398"/>
      <c r="Q463" s="330"/>
      <c r="R463" s="330"/>
      <c r="S463" s="398"/>
      <c r="T463" s="398"/>
      <c r="U463" s="738"/>
      <c r="V463" s="738"/>
      <c r="W463" s="738"/>
    </row>
    <row r="464" spans="1:23" ht="15.75" customHeight="1">
      <c r="A464" s="355"/>
      <c r="B464" s="403" t="s">
        <v>606</v>
      </c>
      <c r="C464" s="330">
        <f>0.17*4</f>
        <v>0.68</v>
      </c>
      <c r="D464" s="330"/>
      <c r="E464" s="330"/>
      <c r="F464" s="330">
        <f>0.05*2</f>
        <v>0.1</v>
      </c>
      <c r="G464" s="330"/>
      <c r="H464" s="330">
        <f>ROUNDUP((E463/0.125),0.5)+1</f>
        <v>8</v>
      </c>
      <c r="I464" s="330"/>
      <c r="J464" s="330"/>
      <c r="K464" s="330">
        <f>8*8*0.006165</f>
        <v>0.39456000000000002</v>
      </c>
      <c r="L464" s="330">
        <f>L463</f>
        <v>4</v>
      </c>
      <c r="M464" s="401">
        <f>(C464+F464)*H464*K464*L464</f>
        <v>9.8482176000000017</v>
      </c>
      <c r="N464" s="748" t="s">
        <v>100</v>
      </c>
      <c r="O464" s="814">
        <f>ROUND((M464),2)</f>
        <v>9.85</v>
      </c>
      <c r="P464" s="398"/>
      <c r="Q464" s="330"/>
      <c r="R464" s="330"/>
      <c r="S464" s="398"/>
      <c r="T464" s="398"/>
      <c r="U464" s="738"/>
      <c r="V464" s="738"/>
      <c r="W464" s="738"/>
    </row>
    <row r="465" spans="1:23" ht="15.75" customHeight="1">
      <c r="A465" s="355"/>
      <c r="B465" s="403" t="s">
        <v>1309</v>
      </c>
      <c r="C465" s="330">
        <v>0.25</v>
      </c>
      <c r="D465" s="330">
        <v>0.25</v>
      </c>
      <c r="E465" s="330">
        <f>E463</f>
        <v>0.8</v>
      </c>
      <c r="F465" s="330"/>
      <c r="G465" s="330"/>
      <c r="H465" s="330"/>
      <c r="I465" s="330"/>
      <c r="J465" s="330"/>
      <c r="K465" s="330"/>
      <c r="L465" s="330">
        <f>L464</f>
        <v>4</v>
      </c>
      <c r="M465" s="401">
        <f>C465*D465*E465*L465</f>
        <v>0.2</v>
      </c>
      <c r="N465" s="748" t="s">
        <v>103</v>
      </c>
      <c r="O465" s="814">
        <f>ROUND((M465),2)</f>
        <v>0.2</v>
      </c>
      <c r="P465" s="398"/>
      <c r="Q465" s="330"/>
      <c r="R465" s="330"/>
      <c r="S465" s="398"/>
      <c r="T465" s="398"/>
      <c r="U465" s="738"/>
      <c r="V465" s="738"/>
      <c r="W465" s="738"/>
    </row>
    <row r="466" spans="1:23" ht="15.75" customHeight="1">
      <c r="A466" s="350">
        <f>A453+1</f>
        <v>27</v>
      </c>
      <c r="B466" s="447" t="s">
        <v>680</v>
      </c>
      <c r="C466" s="330"/>
      <c r="D466" s="330"/>
      <c r="E466" s="330"/>
      <c r="F466" s="330"/>
      <c r="G466" s="330"/>
      <c r="H466" s="330"/>
      <c r="I466" s="330"/>
      <c r="J466" s="330"/>
      <c r="K466" s="330"/>
      <c r="L466" s="330"/>
      <c r="M466" s="401"/>
      <c r="N466" s="748"/>
      <c r="O466" s="814"/>
      <c r="P466" s="398"/>
      <c r="Q466" s="330"/>
      <c r="R466" s="330"/>
      <c r="S466" s="398"/>
      <c r="T466" s="398"/>
      <c r="U466" s="738"/>
      <c r="V466" s="738"/>
      <c r="W466" s="738"/>
    </row>
    <row r="467" spans="1:23" ht="15.75" customHeight="1">
      <c r="A467" s="355" t="s">
        <v>95</v>
      </c>
      <c r="B467" s="447" t="s">
        <v>610</v>
      </c>
      <c r="C467" s="330">
        <v>1.5</v>
      </c>
      <c r="D467" s="330">
        <v>1.5</v>
      </c>
      <c r="E467" s="330">
        <f>1.1+0.1+0.05+0.5</f>
        <v>1.7500000000000002</v>
      </c>
      <c r="F467" s="330"/>
      <c r="G467" s="330"/>
      <c r="H467" s="330"/>
      <c r="I467" s="330"/>
      <c r="J467" s="330"/>
      <c r="K467" s="330"/>
      <c r="L467" s="330"/>
      <c r="M467" s="401">
        <f>C467*D467*E467</f>
        <v>3.9375000000000004</v>
      </c>
      <c r="N467" s="748" t="s">
        <v>103</v>
      </c>
      <c r="O467" s="814">
        <f>ROUND((M467),2)</f>
        <v>3.94</v>
      </c>
      <c r="P467" s="398"/>
      <c r="Q467" s="330"/>
      <c r="R467" s="330"/>
      <c r="S467" s="398"/>
      <c r="T467" s="398"/>
      <c r="U467" s="738"/>
      <c r="V467" s="738"/>
      <c r="W467" s="738"/>
    </row>
    <row r="468" spans="1:23" ht="15.75" customHeight="1">
      <c r="A468" s="355" t="s">
        <v>98</v>
      </c>
      <c r="B468" s="447" t="s">
        <v>611</v>
      </c>
      <c r="C468" s="330">
        <f>C467</f>
        <v>1.5</v>
      </c>
      <c r="D468" s="330">
        <f>D467</f>
        <v>1.5</v>
      </c>
      <c r="E468" s="330">
        <v>0.1</v>
      </c>
      <c r="F468" s="330"/>
      <c r="G468" s="330"/>
      <c r="H468" s="330"/>
      <c r="I468" s="330"/>
      <c r="J468" s="330"/>
      <c r="K468" s="330"/>
      <c r="L468" s="330"/>
      <c r="M468" s="401">
        <f>C468*D468*E468</f>
        <v>0.22500000000000001</v>
      </c>
      <c r="N468" s="748" t="s">
        <v>103</v>
      </c>
      <c r="O468" s="814">
        <f>ROUND((M468),2)</f>
        <v>0.23</v>
      </c>
      <c r="P468" s="398"/>
      <c r="Q468" s="330"/>
      <c r="R468" s="330"/>
      <c r="S468" s="398"/>
      <c r="T468" s="398"/>
      <c r="U468" s="738"/>
      <c r="V468" s="738"/>
      <c r="W468" s="738"/>
    </row>
    <row r="469" spans="1:23" ht="15.75" customHeight="1">
      <c r="A469" s="355" t="s">
        <v>101</v>
      </c>
      <c r="B469" s="447" t="s">
        <v>496</v>
      </c>
      <c r="C469" s="330">
        <f>C468</f>
        <v>1.5</v>
      </c>
      <c r="D469" s="330">
        <f>D468</f>
        <v>1.5</v>
      </c>
      <c r="E469" s="330">
        <v>0.05</v>
      </c>
      <c r="F469" s="330"/>
      <c r="G469" s="330"/>
      <c r="H469" s="330"/>
      <c r="I469" s="330"/>
      <c r="J469" s="330"/>
      <c r="K469" s="330"/>
      <c r="L469" s="330"/>
      <c r="M469" s="401">
        <f>C469*D469*E469</f>
        <v>0.1125</v>
      </c>
      <c r="N469" s="748" t="s">
        <v>103</v>
      </c>
      <c r="O469" s="814">
        <f>ROUND((M469),2)</f>
        <v>0.11</v>
      </c>
      <c r="P469" s="398"/>
      <c r="Q469" s="330"/>
      <c r="R469" s="330"/>
      <c r="S469" s="398"/>
      <c r="T469" s="398"/>
      <c r="U469" s="738"/>
      <c r="V469" s="738"/>
      <c r="W469" s="738"/>
    </row>
    <row r="470" spans="1:23" ht="15.75" customHeight="1">
      <c r="A470" s="355" t="s">
        <v>121</v>
      </c>
      <c r="B470" s="447" t="s">
        <v>1310</v>
      </c>
      <c r="C470" s="330"/>
      <c r="D470" s="330"/>
      <c r="E470" s="330"/>
      <c r="F470" s="330"/>
      <c r="G470" s="330"/>
      <c r="H470" s="330"/>
      <c r="I470" s="330"/>
      <c r="J470" s="330"/>
      <c r="K470" s="330"/>
      <c r="L470" s="330"/>
      <c r="M470" s="401">
        <v>1</v>
      </c>
      <c r="N470" s="748" t="s">
        <v>360</v>
      </c>
      <c r="O470" s="814">
        <f>ROUND((M470),2)</f>
        <v>1</v>
      </c>
      <c r="P470" s="398"/>
      <c r="Q470" s="330"/>
      <c r="R470" s="330"/>
      <c r="S470" s="398"/>
      <c r="T470" s="398"/>
      <c r="U470" s="738"/>
      <c r="V470" s="738"/>
      <c r="W470" s="738"/>
    </row>
    <row r="471" spans="1:23" ht="15.75" customHeight="1">
      <c r="A471" s="400">
        <f>A466+1</f>
        <v>28</v>
      </c>
      <c r="B471" s="351" t="s">
        <v>681</v>
      </c>
      <c r="C471" s="330"/>
      <c r="D471" s="330"/>
      <c r="E471" s="330"/>
      <c r="F471" s="330"/>
      <c r="G471" s="330"/>
      <c r="H471" s="330"/>
      <c r="I471" s="330"/>
      <c r="J471" s="330"/>
      <c r="K471" s="330"/>
      <c r="L471" s="330"/>
      <c r="M471" s="401"/>
      <c r="N471" s="748"/>
      <c r="O471" s="814"/>
      <c r="P471" s="398"/>
      <c r="Q471" s="330">
        <f>7+4</f>
        <v>11</v>
      </c>
      <c r="R471" s="330">
        <f>7+4</f>
        <v>11</v>
      </c>
      <c r="S471" s="398"/>
      <c r="T471" s="398"/>
      <c r="U471" s="738"/>
      <c r="V471" s="738"/>
      <c r="W471" s="738"/>
    </row>
    <row r="472" spans="1:23" ht="15.75" customHeight="1">
      <c r="A472" s="400"/>
      <c r="B472" s="589" t="s">
        <v>547</v>
      </c>
      <c r="C472" s="330"/>
      <c r="D472" s="330"/>
      <c r="E472" s="330"/>
      <c r="F472" s="330"/>
      <c r="G472" s="330"/>
      <c r="H472" s="330">
        <v>16</v>
      </c>
      <c r="I472" s="330"/>
      <c r="J472" s="330"/>
      <c r="K472" s="330"/>
      <c r="L472" s="330"/>
      <c r="M472" s="752">
        <f>H472</f>
        <v>16</v>
      </c>
      <c r="N472" s="748"/>
      <c r="O472" s="814"/>
      <c r="P472" s="398"/>
      <c r="Q472" s="330"/>
      <c r="R472" s="330"/>
      <c r="S472" s="398"/>
      <c r="T472" s="398"/>
      <c r="U472" s="738"/>
      <c r="V472" s="738"/>
      <c r="W472" s="738"/>
    </row>
    <row r="473" spans="1:23" ht="15.75" customHeight="1">
      <c r="A473" s="400"/>
      <c r="B473" s="351"/>
      <c r="C473" s="330"/>
      <c r="D473" s="330"/>
      <c r="E473" s="330"/>
      <c r="F473" s="330"/>
      <c r="G473" s="330"/>
      <c r="H473" s="330"/>
      <c r="I473" s="330"/>
      <c r="J473" s="330"/>
      <c r="K473" s="330"/>
      <c r="L473" s="330"/>
      <c r="M473" s="401">
        <f>SUM(M472:M472)</f>
        <v>16</v>
      </c>
      <c r="N473" s="748" t="s">
        <v>357</v>
      </c>
      <c r="O473" s="814">
        <f>ROUND((M473),2)</f>
        <v>16</v>
      </c>
      <c r="P473" s="398"/>
      <c r="Q473" s="330"/>
      <c r="R473" s="330"/>
      <c r="S473" s="398"/>
      <c r="T473" s="398"/>
      <c r="U473" s="738"/>
      <c r="V473" s="738"/>
      <c r="W473" s="738"/>
    </row>
    <row r="474" spans="1:23" ht="15.75" customHeight="1">
      <c r="A474" s="400">
        <f>A471+1</f>
        <v>29</v>
      </c>
      <c r="B474" s="351" t="s">
        <v>682</v>
      </c>
      <c r="C474" s="330"/>
      <c r="D474" s="330"/>
      <c r="E474" s="330"/>
      <c r="F474" s="330"/>
      <c r="G474" s="330"/>
      <c r="H474" s="330"/>
      <c r="I474" s="330"/>
      <c r="J474" s="330"/>
      <c r="K474" s="330"/>
      <c r="L474" s="330"/>
      <c r="M474" s="401"/>
      <c r="N474" s="748"/>
      <c r="O474" s="814"/>
      <c r="P474" s="398"/>
      <c r="Q474" s="330"/>
      <c r="R474" s="330"/>
      <c r="S474" s="398"/>
      <c r="T474" s="398"/>
      <c r="U474" s="738"/>
      <c r="V474" s="738"/>
      <c r="W474" s="738"/>
    </row>
    <row r="475" spans="1:23" ht="15.75" customHeight="1">
      <c r="A475" s="400"/>
      <c r="B475" s="589" t="s">
        <v>615</v>
      </c>
      <c r="C475" s="330"/>
      <c r="D475" s="330"/>
      <c r="E475" s="330"/>
      <c r="F475" s="330"/>
      <c r="G475" s="330"/>
      <c r="H475" s="330">
        <v>7</v>
      </c>
      <c r="I475" s="330"/>
      <c r="J475" s="330"/>
      <c r="K475" s="330"/>
      <c r="L475" s="330"/>
      <c r="M475" s="401">
        <f>H475</f>
        <v>7</v>
      </c>
      <c r="N475" s="748"/>
      <c r="O475" s="814"/>
      <c r="P475" s="398"/>
      <c r="Q475" s="330"/>
      <c r="R475" s="330"/>
      <c r="S475" s="398"/>
      <c r="T475" s="398"/>
      <c r="U475" s="738"/>
      <c r="V475" s="738"/>
      <c r="W475" s="738"/>
    </row>
    <row r="476" spans="1:23" ht="15.75" customHeight="1">
      <c r="A476" s="400"/>
      <c r="B476" s="589" t="s">
        <v>684</v>
      </c>
      <c r="C476" s="330"/>
      <c r="D476" s="330"/>
      <c r="E476" s="330"/>
      <c r="F476" s="330"/>
      <c r="G476" s="330"/>
      <c r="H476" s="330">
        <v>1</v>
      </c>
      <c r="I476" s="330"/>
      <c r="J476" s="330"/>
      <c r="K476" s="330"/>
      <c r="L476" s="330"/>
      <c r="M476" s="401">
        <f>H476</f>
        <v>1</v>
      </c>
      <c r="N476" s="748"/>
      <c r="O476" s="814"/>
      <c r="P476" s="398"/>
      <c r="Q476" s="330"/>
      <c r="R476" s="330"/>
      <c r="S476" s="398"/>
      <c r="T476" s="398"/>
      <c r="U476" s="738"/>
      <c r="V476" s="738"/>
      <c r="W476" s="738"/>
    </row>
    <row r="477" spans="1:23" ht="15.75" customHeight="1">
      <c r="A477" s="400"/>
      <c r="B477" s="589" t="s">
        <v>685</v>
      </c>
      <c r="C477" s="330"/>
      <c r="D477" s="330"/>
      <c r="E477" s="330"/>
      <c r="F477" s="330"/>
      <c r="G477" s="330"/>
      <c r="H477" s="330">
        <v>1</v>
      </c>
      <c r="I477" s="330"/>
      <c r="J477" s="330"/>
      <c r="K477" s="330"/>
      <c r="L477" s="330"/>
      <c r="M477" s="752">
        <f>H477</f>
        <v>1</v>
      </c>
      <c r="N477" s="748"/>
      <c r="O477" s="814"/>
      <c r="P477" s="398"/>
      <c r="Q477" s="330"/>
      <c r="R477" s="330"/>
      <c r="S477" s="398"/>
      <c r="T477" s="398"/>
      <c r="U477" s="738"/>
      <c r="V477" s="738"/>
      <c r="W477" s="738"/>
    </row>
    <row r="478" spans="1:23" ht="15.75" customHeight="1">
      <c r="A478" s="400"/>
      <c r="B478" s="351"/>
      <c r="C478" s="330"/>
      <c r="D478" s="330"/>
      <c r="E478" s="330"/>
      <c r="F478" s="330"/>
      <c r="G478" s="330"/>
      <c r="H478" s="330"/>
      <c r="I478" s="330"/>
      <c r="J478" s="330"/>
      <c r="K478" s="330"/>
      <c r="L478" s="330"/>
      <c r="M478" s="401">
        <f>SUM(M475:M477)</f>
        <v>9</v>
      </c>
      <c r="N478" s="748" t="s">
        <v>357</v>
      </c>
      <c r="O478" s="814">
        <f t="shared" ref="O478:O487" si="26">ROUND((M478),2)</f>
        <v>9</v>
      </c>
      <c r="P478" s="398"/>
      <c r="Q478" s="330"/>
      <c r="R478" s="330"/>
      <c r="S478" s="398"/>
      <c r="T478" s="398"/>
      <c r="U478" s="738"/>
      <c r="V478" s="738"/>
      <c r="W478" s="738"/>
    </row>
    <row r="479" spans="1:23" ht="15.75" customHeight="1">
      <c r="A479" s="400">
        <f>A474+1</f>
        <v>30</v>
      </c>
      <c r="B479" s="351" t="s">
        <v>683</v>
      </c>
      <c r="C479" s="330"/>
      <c r="D479" s="330"/>
      <c r="E479" s="330"/>
      <c r="F479" s="330"/>
      <c r="G479" s="330"/>
      <c r="H479" s="330">
        <v>1</v>
      </c>
      <c r="I479" s="330"/>
      <c r="J479" s="330"/>
      <c r="K479" s="330"/>
      <c r="L479" s="330"/>
      <c r="M479" s="401">
        <f t="shared" ref="M479:M487" si="27">H479</f>
        <v>1</v>
      </c>
      <c r="N479" s="748" t="s">
        <v>357</v>
      </c>
      <c r="O479" s="814">
        <f t="shared" si="26"/>
        <v>1</v>
      </c>
      <c r="P479" s="398"/>
      <c r="Q479" s="330"/>
      <c r="R479" s="330"/>
      <c r="S479" s="398"/>
      <c r="T479" s="398"/>
      <c r="U479" s="738"/>
      <c r="V479" s="738"/>
      <c r="W479" s="738"/>
    </row>
    <row r="480" spans="1:23" ht="15.75" customHeight="1">
      <c r="A480" s="400">
        <f t="shared" ref="A480:A488" si="28">A479+1</f>
        <v>31</v>
      </c>
      <c r="B480" s="351" t="s">
        <v>614</v>
      </c>
      <c r="C480" s="330"/>
      <c r="D480" s="330"/>
      <c r="E480" s="330"/>
      <c r="F480" s="330"/>
      <c r="G480" s="330"/>
      <c r="H480" s="330">
        <v>4</v>
      </c>
      <c r="I480" s="330"/>
      <c r="J480" s="330"/>
      <c r="K480" s="330"/>
      <c r="L480" s="330"/>
      <c r="M480" s="401">
        <f t="shared" si="27"/>
        <v>4</v>
      </c>
      <c r="N480" s="748" t="s">
        <v>124</v>
      </c>
      <c r="O480" s="814">
        <f t="shared" si="26"/>
        <v>4</v>
      </c>
      <c r="P480" s="398"/>
      <c r="Q480" s="330"/>
      <c r="R480" s="330"/>
      <c r="S480" s="398"/>
      <c r="T480" s="398"/>
      <c r="U480" s="738"/>
      <c r="V480" s="738"/>
      <c r="W480" s="738"/>
    </row>
    <row r="481" spans="1:23" ht="15.75" customHeight="1">
      <c r="A481" s="400">
        <f t="shared" si="28"/>
        <v>32</v>
      </c>
      <c r="B481" s="351" t="s">
        <v>639</v>
      </c>
      <c r="C481" s="330"/>
      <c r="D481" s="330"/>
      <c r="E481" s="330"/>
      <c r="F481" s="330"/>
      <c r="G481" s="330"/>
      <c r="H481" s="330">
        <v>1</v>
      </c>
      <c r="I481" s="330"/>
      <c r="J481" s="330"/>
      <c r="K481" s="330"/>
      <c r="L481" s="330"/>
      <c r="M481" s="401">
        <f t="shared" si="27"/>
        <v>1</v>
      </c>
      <c r="N481" s="748" t="s">
        <v>124</v>
      </c>
      <c r="O481" s="814">
        <f t="shared" si="26"/>
        <v>1</v>
      </c>
      <c r="P481" s="398"/>
      <c r="Q481" s="330"/>
      <c r="R481" s="330"/>
      <c r="S481" s="398"/>
      <c r="T481" s="398"/>
      <c r="U481" s="738"/>
      <c r="V481" s="738"/>
      <c r="W481" s="738"/>
    </row>
    <row r="482" spans="1:23" ht="15.75" customHeight="1">
      <c r="A482" s="400">
        <f t="shared" si="28"/>
        <v>33</v>
      </c>
      <c r="B482" s="351" t="s">
        <v>615</v>
      </c>
      <c r="C482" s="330"/>
      <c r="D482" s="330"/>
      <c r="E482" s="330"/>
      <c r="F482" s="330"/>
      <c r="G482" s="330"/>
      <c r="H482" s="330">
        <f>H475</f>
        <v>7</v>
      </c>
      <c r="I482" s="330"/>
      <c r="J482" s="330"/>
      <c r="K482" s="330"/>
      <c r="L482" s="330"/>
      <c r="M482" s="401">
        <f t="shared" si="27"/>
        <v>7</v>
      </c>
      <c r="N482" s="748" t="s">
        <v>124</v>
      </c>
      <c r="O482" s="814">
        <f t="shared" si="26"/>
        <v>7</v>
      </c>
      <c r="P482" s="398"/>
      <c r="Q482" s="330"/>
      <c r="R482" s="330"/>
      <c r="S482" s="398"/>
      <c r="T482" s="398"/>
      <c r="U482" s="738"/>
      <c r="V482" s="738"/>
      <c r="W482" s="738"/>
    </row>
    <row r="483" spans="1:23" ht="15.75" customHeight="1">
      <c r="A483" s="400">
        <f t="shared" si="28"/>
        <v>34</v>
      </c>
      <c r="B483" s="351" t="s">
        <v>684</v>
      </c>
      <c r="C483" s="330"/>
      <c r="D483" s="330"/>
      <c r="E483" s="330"/>
      <c r="F483" s="330"/>
      <c r="G483" s="330"/>
      <c r="H483" s="330">
        <f>H476</f>
        <v>1</v>
      </c>
      <c r="I483" s="330"/>
      <c r="J483" s="330"/>
      <c r="K483" s="330"/>
      <c r="L483" s="330"/>
      <c r="M483" s="401">
        <f t="shared" si="27"/>
        <v>1</v>
      </c>
      <c r="N483" s="748" t="s">
        <v>124</v>
      </c>
      <c r="O483" s="814">
        <f t="shared" si="26"/>
        <v>1</v>
      </c>
      <c r="P483" s="398"/>
      <c r="Q483" s="330"/>
      <c r="R483" s="330"/>
      <c r="S483" s="398"/>
      <c r="T483" s="398"/>
      <c r="U483" s="738"/>
      <c r="V483" s="738"/>
      <c r="W483" s="738"/>
    </row>
    <row r="484" spans="1:23" ht="15.75" customHeight="1">
      <c r="A484" s="400">
        <f t="shared" si="28"/>
        <v>35</v>
      </c>
      <c r="B484" s="351" t="s">
        <v>685</v>
      </c>
      <c r="C484" s="330"/>
      <c r="D484" s="330"/>
      <c r="E484" s="330"/>
      <c r="F484" s="330"/>
      <c r="G484" s="330"/>
      <c r="H484" s="330">
        <v>1</v>
      </c>
      <c r="I484" s="330"/>
      <c r="J484" s="330"/>
      <c r="K484" s="330"/>
      <c r="L484" s="330"/>
      <c r="M484" s="401">
        <f t="shared" si="27"/>
        <v>1</v>
      </c>
      <c r="N484" s="748" t="s">
        <v>124</v>
      </c>
      <c r="O484" s="814">
        <f t="shared" si="26"/>
        <v>1</v>
      </c>
      <c r="P484" s="398"/>
      <c r="Q484" s="330"/>
      <c r="R484" s="330"/>
      <c r="S484" s="398"/>
      <c r="T484" s="398"/>
      <c r="U484" s="738"/>
      <c r="V484" s="738"/>
      <c r="W484" s="738"/>
    </row>
    <row r="485" spans="1:23" ht="15.75" customHeight="1">
      <c r="A485" s="400">
        <f t="shared" si="28"/>
        <v>36</v>
      </c>
      <c r="B485" s="351" t="s">
        <v>640</v>
      </c>
      <c r="C485" s="330"/>
      <c r="D485" s="330"/>
      <c r="E485" s="330"/>
      <c r="F485" s="330"/>
      <c r="G485" s="330"/>
      <c r="H485" s="330">
        <f>H472</f>
        <v>16</v>
      </c>
      <c r="I485" s="330"/>
      <c r="J485" s="330"/>
      <c r="K485" s="330"/>
      <c r="L485" s="330"/>
      <c r="M485" s="401">
        <f t="shared" si="27"/>
        <v>16</v>
      </c>
      <c r="N485" s="748" t="s">
        <v>124</v>
      </c>
      <c r="O485" s="814">
        <f t="shared" si="26"/>
        <v>16</v>
      </c>
      <c r="P485" s="398"/>
      <c r="Q485" s="330"/>
      <c r="R485" s="330"/>
      <c r="S485" s="398"/>
      <c r="T485" s="398"/>
      <c r="U485" s="738"/>
      <c r="V485" s="738"/>
      <c r="W485" s="738"/>
    </row>
    <row r="486" spans="1:23" ht="15.75" customHeight="1">
      <c r="A486" s="400">
        <f t="shared" si="28"/>
        <v>37</v>
      </c>
      <c r="B486" s="447" t="s">
        <v>686</v>
      </c>
      <c r="C486" s="330"/>
      <c r="D486" s="330"/>
      <c r="E486" s="330"/>
      <c r="F486" s="330"/>
      <c r="G486" s="330"/>
      <c r="H486" s="330">
        <f>H476</f>
        <v>1</v>
      </c>
      <c r="I486" s="330"/>
      <c r="J486" s="330"/>
      <c r="K486" s="330"/>
      <c r="L486" s="330"/>
      <c r="M486" s="401">
        <f t="shared" si="27"/>
        <v>1</v>
      </c>
      <c r="N486" s="748" t="s">
        <v>360</v>
      </c>
      <c r="O486" s="814">
        <f t="shared" si="26"/>
        <v>1</v>
      </c>
      <c r="P486" s="398"/>
      <c r="Q486" s="330"/>
      <c r="R486" s="330"/>
      <c r="S486" s="398"/>
      <c r="T486" s="398"/>
      <c r="U486" s="738"/>
      <c r="V486" s="738"/>
      <c r="W486" s="738"/>
    </row>
    <row r="487" spans="1:23" ht="15.75" customHeight="1">
      <c r="A487" s="400">
        <f t="shared" si="28"/>
        <v>38</v>
      </c>
      <c r="B487" s="351" t="s">
        <v>1311</v>
      </c>
      <c r="C487" s="330"/>
      <c r="D487" s="330"/>
      <c r="E487" s="330"/>
      <c r="F487" s="330"/>
      <c r="G487" s="330"/>
      <c r="H487" s="330">
        <v>1</v>
      </c>
      <c r="I487" s="330"/>
      <c r="J487" s="330"/>
      <c r="K487" s="330"/>
      <c r="L487" s="330"/>
      <c r="M487" s="401">
        <f t="shared" si="27"/>
        <v>1</v>
      </c>
      <c r="N487" s="748" t="s">
        <v>360</v>
      </c>
      <c r="O487" s="814">
        <f t="shared" si="26"/>
        <v>1</v>
      </c>
      <c r="P487" s="398"/>
      <c r="Q487" s="330"/>
      <c r="R487" s="330"/>
      <c r="S487" s="398"/>
      <c r="T487" s="398"/>
      <c r="U487" s="738"/>
      <c r="V487" s="738"/>
      <c r="W487" s="738"/>
    </row>
    <row r="488" spans="1:23" ht="15.75" customHeight="1">
      <c r="A488" s="400">
        <f t="shared" si="28"/>
        <v>39</v>
      </c>
      <c r="B488" s="351"/>
      <c r="C488" s="330"/>
      <c r="D488" s="330"/>
      <c r="E488" s="330"/>
      <c r="F488" s="330"/>
      <c r="G488" s="330"/>
      <c r="H488" s="330"/>
      <c r="I488" s="330"/>
      <c r="J488" s="330"/>
      <c r="K488" s="330"/>
      <c r="L488" s="330"/>
      <c r="M488" s="401"/>
      <c r="N488" s="748"/>
      <c r="O488" s="814"/>
      <c r="P488" s="398"/>
      <c r="Q488" s="330"/>
      <c r="R488" s="330"/>
      <c r="S488" s="398"/>
      <c r="T488" s="398"/>
      <c r="U488" s="738"/>
      <c r="V488" s="738"/>
      <c r="W488" s="738"/>
    </row>
    <row r="489" spans="1:23" ht="7.5" customHeight="1">
      <c r="A489" s="601"/>
      <c r="B489" s="602"/>
      <c r="C489" s="778"/>
      <c r="D489" s="778"/>
      <c r="E489" s="778"/>
      <c r="F489" s="778"/>
      <c r="G489" s="778"/>
      <c r="H489" s="778"/>
      <c r="I489" s="778"/>
      <c r="J489" s="778"/>
      <c r="K489" s="778"/>
      <c r="L489" s="778"/>
      <c r="M489" s="778"/>
      <c r="N489" s="605"/>
      <c r="O489" s="606"/>
      <c r="P489" s="398"/>
      <c r="Q489" s="398"/>
      <c r="R489" s="398"/>
      <c r="S489" s="398"/>
      <c r="T489" s="398"/>
      <c r="U489" s="738"/>
      <c r="V489" s="738"/>
      <c r="W489" s="738"/>
    </row>
    <row r="490" spans="1:23" ht="15.75" customHeight="1">
      <c r="A490" s="606"/>
      <c r="B490" s="398"/>
      <c r="C490" s="779"/>
      <c r="D490" s="779"/>
      <c r="E490" s="779"/>
      <c r="F490" s="779"/>
      <c r="G490" s="779"/>
      <c r="H490" s="779"/>
      <c r="I490" s="779"/>
      <c r="J490" s="779"/>
      <c r="K490" s="779"/>
      <c r="L490" s="779"/>
      <c r="M490" s="779"/>
      <c r="N490" s="606"/>
      <c r="O490" s="606"/>
      <c r="P490" s="398"/>
      <c r="Q490" s="398"/>
      <c r="R490" s="398"/>
      <c r="S490" s="398"/>
      <c r="T490" s="398"/>
      <c r="U490" s="738"/>
      <c r="V490" s="738"/>
      <c r="W490" s="738"/>
    </row>
    <row r="491" spans="1:23" ht="15.75" customHeight="1">
      <c r="A491" s="606"/>
      <c r="B491" s="398"/>
      <c r="C491" s="779"/>
      <c r="D491" s="779"/>
      <c r="E491" s="779"/>
      <c r="F491" s="779"/>
      <c r="G491" s="779"/>
      <c r="H491" s="779"/>
      <c r="I491" s="779"/>
      <c r="J491" s="779"/>
      <c r="K491" s="779"/>
      <c r="L491" s="779"/>
      <c r="M491" s="779"/>
      <c r="N491" s="606"/>
      <c r="O491" s="606"/>
      <c r="P491" s="398"/>
      <c r="Q491" s="398"/>
      <c r="R491" s="398"/>
      <c r="S491" s="398"/>
      <c r="T491" s="398"/>
      <c r="U491" s="738"/>
      <c r="V491" s="738"/>
      <c r="W491" s="738"/>
    </row>
    <row r="492" spans="1:23" ht="15.75" customHeight="1">
      <c r="A492" s="606"/>
      <c r="B492" s="398"/>
      <c r="C492" s="779"/>
      <c r="D492" s="779"/>
      <c r="E492" s="779"/>
      <c r="F492" s="779"/>
      <c r="G492" s="779"/>
      <c r="H492" s="779"/>
      <c r="I492" s="779"/>
      <c r="J492" s="779"/>
      <c r="K492" s="779"/>
      <c r="L492" s="779"/>
      <c r="M492" s="779"/>
      <c r="N492" s="606"/>
      <c r="O492" s="606"/>
      <c r="P492" s="398"/>
      <c r="Q492" s="398"/>
      <c r="R492" s="398"/>
      <c r="S492" s="398"/>
      <c r="T492" s="398"/>
      <c r="U492" s="738"/>
      <c r="V492" s="738"/>
      <c r="W492" s="738"/>
    </row>
    <row r="493" spans="1:23" ht="15.75" customHeight="1">
      <c r="A493" s="606"/>
      <c r="B493" s="398"/>
      <c r="C493" s="779"/>
      <c r="D493" s="779"/>
      <c r="E493" s="779"/>
      <c r="F493" s="779"/>
      <c r="G493" s="779"/>
      <c r="H493" s="779"/>
      <c r="I493" s="779"/>
      <c r="J493" s="779"/>
      <c r="K493" s="779"/>
      <c r="L493" s="779"/>
      <c r="M493" s="779"/>
      <c r="N493" s="606"/>
      <c r="O493" s="606"/>
      <c r="P493" s="398"/>
      <c r="Q493" s="398"/>
      <c r="R493" s="398"/>
      <c r="S493" s="398"/>
      <c r="T493" s="398"/>
      <c r="U493" s="738"/>
      <c r="V493" s="738"/>
      <c r="W493" s="738"/>
    </row>
    <row r="494" spans="1:23" ht="15.75" customHeight="1">
      <c r="A494" s="398"/>
      <c r="B494" s="398"/>
      <c r="C494" s="779"/>
      <c r="D494" s="779"/>
      <c r="E494" s="779"/>
      <c r="F494" s="779"/>
      <c r="G494" s="779"/>
      <c r="H494" s="779"/>
      <c r="I494" s="779"/>
      <c r="J494" s="779"/>
      <c r="K494" s="779"/>
      <c r="L494" s="779"/>
      <c r="M494" s="779"/>
      <c r="N494" s="606"/>
      <c r="O494" s="606"/>
      <c r="P494" s="398"/>
      <c r="Q494" s="398"/>
      <c r="R494" s="398"/>
      <c r="S494" s="398"/>
      <c r="T494" s="398"/>
      <c r="U494" s="738"/>
      <c r="V494" s="738"/>
      <c r="W494" s="738"/>
    </row>
    <row r="495" spans="1:23" ht="15.75" customHeight="1">
      <c r="A495" s="398"/>
      <c r="B495" s="398"/>
      <c r="C495" s="779"/>
      <c r="D495" s="779"/>
      <c r="E495" s="779"/>
      <c r="F495" s="779"/>
      <c r="G495" s="779"/>
      <c r="H495" s="779"/>
      <c r="I495" s="779"/>
      <c r="J495" s="779"/>
      <c r="K495" s="779"/>
      <c r="L495" s="779"/>
      <c r="M495" s="779"/>
      <c r="N495" s="606"/>
      <c r="O495" s="606"/>
      <c r="P495" s="398"/>
      <c r="Q495" s="398"/>
      <c r="R495" s="398"/>
      <c r="S495" s="398"/>
      <c r="T495" s="398"/>
      <c r="U495" s="738"/>
      <c r="V495" s="738"/>
      <c r="W495" s="738"/>
    </row>
    <row r="496" spans="1:23" ht="15.75" customHeight="1">
      <c r="A496" s="398"/>
      <c r="B496" s="398"/>
      <c r="C496" s="779"/>
      <c r="D496" s="779"/>
      <c r="E496" s="779"/>
      <c r="F496" s="779"/>
      <c r="G496" s="779"/>
      <c r="H496" s="779"/>
      <c r="I496" s="779"/>
      <c r="J496" s="779"/>
      <c r="K496" s="779"/>
      <c r="L496" s="779"/>
      <c r="M496" s="779"/>
      <c r="N496" s="606"/>
      <c r="O496" s="606"/>
      <c r="P496" s="398"/>
      <c r="Q496" s="398"/>
      <c r="R496" s="398"/>
      <c r="S496" s="398"/>
      <c r="T496" s="398"/>
      <c r="U496" s="738"/>
      <c r="V496" s="738"/>
      <c r="W496" s="738"/>
    </row>
    <row r="497" spans="1:23" ht="15.75" customHeight="1">
      <c r="A497" s="398"/>
      <c r="B497" s="398"/>
      <c r="C497" s="779"/>
      <c r="D497" s="779"/>
      <c r="E497" s="779"/>
      <c r="F497" s="779"/>
      <c r="G497" s="779"/>
      <c r="H497" s="779"/>
      <c r="I497" s="779"/>
      <c r="J497" s="779"/>
      <c r="K497" s="779"/>
      <c r="L497" s="779"/>
      <c r="M497" s="779"/>
      <c r="N497" s="606"/>
      <c r="O497" s="606"/>
      <c r="P497" s="398"/>
      <c r="Q497" s="398"/>
      <c r="R497" s="398"/>
      <c r="S497" s="398"/>
      <c r="T497" s="398"/>
      <c r="U497" s="738"/>
      <c r="V497" s="738"/>
      <c r="W497" s="738"/>
    </row>
    <row r="498" spans="1:23" ht="15.75" customHeight="1">
      <c r="A498" s="398"/>
      <c r="B498" s="398"/>
      <c r="C498" s="779"/>
      <c r="D498" s="779"/>
      <c r="E498" s="779"/>
      <c r="F498" s="779"/>
      <c r="G498" s="779"/>
      <c r="H498" s="779"/>
      <c r="I498" s="779"/>
      <c r="J498" s="779"/>
      <c r="K498" s="779"/>
      <c r="L498" s="779"/>
      <c r="M498" s="779"/>
      <c r="N498" s="606"/>
      <c r="O498" s="606"/>
      <c r="P498" s="398"/>
      <c r="Q498" s="398"/>
      <c r="R498" s="398"/>
      <c r="S498" s="398"/>
      <c r="T498" s="398"/>
      <c r="U498" s="738"/>
      <c r="V498" s="738"/>
      <c r="W498" s="738"/>
    </row>
    <row r="499" spans="1:23" ht="15.75" customHeight="1">
      <c r="A499" s="398"/>
      <c r="B499" s="398"/>
      <c r="C499" s="779"/>
      <c r="D499" s="779"/>
      <c r="E499" s="779"/>
      <c r="F499" s="779"/>
      <c r="G499" s="779"/>
      <c r="H499" s="779"/>
      <c r="I499" s="779"/>
      <c r="J499" s="779"/>
      <c r="K499" s="779"/>
      <c r="L499" s="779"/>
      <c r="M499" s="779"/>
      <c r="N499" s="606"/>
      <c r="O499" s="606"/>
      <c r="P499" s="398"/>
      <c r="Q499" s="398"/>
      <c r="R499" s="398"/>
      <c r="S499" s="398"/>
      <c r="T499" s="398"/>
      <c r="U499" s="738"/>
      <c r="V499" s="738"/>
      <c r="W499" s="738"/>
    </row>
    <row r="500" spans="1:23" ht="15.75" customHeight="1">
      <c r="A500" s="398"/>
      <c r="B500" s="398"/>
      <c r="C500" s="779"/>
      <c r="D500" s="779"/>
      <c r="E500" s="779"/>
      <c r="F500" s="779"/>
      <c r="G500" s="779"/>
      <c r="H500" s="779"/>
      <c r="I500" s="779"/>
      <c r="J500" s="779"/>
      <c r="K500" s="779"/>
      <c r="L500" s="779"/>
      <c r="M500" s="779"/>
      <c r="N500" s="606"/>
      <c r="O500" s="606"/>
      <c r="P500" s="398"/>
      <c r="Q500" s="398"/>
      <c r="R500" s="398"/>
      <c r="S500" s="398"/>
      <c r="T500" s="398"/>
      <c r="U500" s="738"/>
      <c r="V500" s="738"/>
      <c r="W500" s="738"/>
    </row>
    <row r="501" spans="1:23" ht="15.75" customHeight="1">
      <c r="A501" s="398"/>
      <c r="B501" s="398"/>
      <c r="C501" s="779"/>
      <c r="D501" s="779"/>
      <c r="E501" s="779"/>
      <c r="F501" s="779"/>
      <c r="G501" s="779"/>
      <c r="H501" s="779"/>
      <c r="I501" s="779"/>
      <c r="J501" s="779"/>
      <c r="K501" s="779"/>
      <c r="L501" s="779"/>
      <c r="M501" s="779"/>
      <c r="N501" s="606"/>
      <c r="O501" s="606"/>
      <c r="P501" s="398"/>
      <c r="Q501" s="398"/>
      <c r="R501" s="398"/>
      <c r="S501" s="398"/>
      <c r="T501" s="398"/>
      <c r="U501" s="738"/>
      <c r="V501" s="738"/>
      <c r="W501" s="738"/>
    </row>
    <row r="502" spans="1:23" ht="15.75" customHeight="1">
      <c r="A502" s="398"/>
      <c r="B502" s="398"/>
      <c r="C502" s="779"/>
      <c r="D502" s="779"/>
      <c r="E502" s="779"/>
      <c r="F502" s="779"/>
      <c r="G502" s="779"/>
      <c r="H502" s="779"/>
      <c r="I502" s="779"/>
      <c r="J502" s="779"/>
      <c r="K502" s="779"/>
      <c r="L502" s="779"/>
      <c r="M502" s="779"/>
      <c r="N502" s="606"/>
      <c r="O502" s="606"/>
      <c r="P502" s="398"/>
      <c r="Q502" s="398"/>
      <c r="R502" s="398"/>
      <c r="S502" s="398"/>
      <c r="T502" s="398"/>
      <c r="U502" s="738"/>
      <c r="V502" s="738"/>
      <c r="W502" s="738"/>
    </row>
    <row r="503" spans="1:23" ht="15.75" customHeight="1">
      <c r="A503" s="398"/>
      <c r="B503" s="398"/>
      <c r="C503" s="779"/>
      <c r="D503" s="779"/>
      <c r="E503" s="779"/>
      <c r="F503" s="779"/>
      <c r="G503" s="779"/>
      <c r="H503" s="779"/>
      <c r="I503" s="779"/>
      <c r="J503" s="779"/>
      <c r="K503" s="779"/>
      <c r="L503" s="779"/>
      <c r="M503" s="779"/>
      <c r="N503" s="606"/>
      <c r="O503" s="606"/>
      <c r="P503" s="398"/>
      <c r="Q503" s="398"/>
      <c r="R503" s="398"/>
      <c r="S503" s="398"/>
      <c r="T503" s="398"/>
      <c r="U503" s="738"/>
      <c r="V503" s="738"/>
      <c r="W503" s="738"/>
    </row>
    <row r="504" spans="1:23" ht="15.75" customHeight="1">
      <c r="A504" s="398"/>
      <c r="B504" s="398"/>
      <c r="C504" s="779"/>
      <c r="D504" s="779"/>
      <c r="E504" s="779"/>
      <c r="F504" s="779"/>
      <c r="G504" s="779"/>
      <c r="H504" s="779"/>
      <c r="I504" s="779"/>
      <c r="J504" s="779"/>
      <c r="K504" s="779"/>
      <c r="L504" s="779"/>
      <c r="M504" s="779"/>
      <c r="N504" s="606"/>
      <c r="O504" s="606"/>
      <c r="P504" s="398"/>
      <c r="Q504" s="398"/>
      <c r="R504" s="398"/>
      <c r="S504" s="398"/>
      <c r="T504" s="398"/>
      <c r="U504" s="738"/>
      <c r="V504" s="738"/>
      <c r="W504" s="738"/>
    </row>
    <row r="505" spans="1:23" ht="15.75" customHeight="1">
      <c r="A505" s="398"/>
      <c r="B505" s="398"/>
      <c r="C505" s="779"/>
      <c r="D505" s="779"/>
      <c r="E505" s="779"/>
      <c r="F505" s="779"/>
      <c r="G505" s="779"/>
      <c r="H505" s="779"/>
      <c r="I505" s="779"/>
      <c r="J505" s="779"/>
      <c r="K505" s="779"/>
      <c r="L505" s="779"/>
      <c r="M505" s="779"/>
      <c r="N505" s="606"/>
      <c r="O505" s="606"/>
      <c r="P505" s="398"/>
      <c r="Q505" s="398"/>
      <c r="R505" s="398"/>
      <c r="S505" s="398"/>
      <c r="T505" s="398"/>
      <c r="U505" s="738"/>
      <c r="V505" s="738"/>
      <c r="W505" s="738"/>
    </row>
    <row r="506" spans="1:23" ht="15.75" customHeight="1">
      <c r="A506" s="398"/>
      <c r="B506" s="398"/>
      <c r="C506" s="779"/>
      <c r="D506" s="779"/>
      <c r="E506" s="779"/>
      <c r="F506" s="779"/>
      <c r="G506" s="779"/>
      <c r="H506" s="779"/>
      <c r="I506" s="779"/>
      <c r="J506" s="779"/>
      <c r="K506" s="779"/>
      <c r="L506" s="779"/>
      <c r="M506" s="779"/>
      <c r="N506" s="606"/>
      <c r="O506" s="606"/>
      <c r="P506" s="398"/>
      <c r="Q506" s="398"/>
      <c r="R506" s="398"/>
      <c r="S506" s="398"/>
      <c r="T506" s="398"/>
      <c r="U506" s="738"/>
      <c r="V506" s="738"/>
      <c r="W506" s="738"/>
    </row>
    <row r="507" spans="1:23" ht="15.75" customHeight="1">
      <c r="A507" s="398"/>
      <c r="B507" s="398"/>
      <c r="C507" s="779"/>
      <c r="D507" s="779"/>
      <c r="E507" s="779"/>
      <c r="F507" s="779"/>
      <c r="G507" s="779"/>
      <c r="H507" s="779"/>
      <c r="I507" s="779"/>
      <c r="J507" s="779"/>
      <c r="K507" s="779"/>
      <c r="L507" s="779"/>
      <c r="M507" s="779"/>
      <c r="N507" s="606"/>
      <c r="O507" s="606"/>
      <c r="P507" s="398"/>
      <c r="Q507" s="398"/>
      <c r="R507" s="398"/>
      <c r="S507" s="398"/>
      <c r="T507" s="398"/>
      <c r="U507" s="738"/>
      <c r="V507" s="738"/>
      <c r="W507" s="738"/>
    </row>
    <row r="508" spans="1:23" ht="15.75" customHeight="1">
      <c r="A508" s="398"/>
      <c r="B508" s="398"/>
      <c r="C508" s="779"/>
      <c r="D508" s="779"/>
      <c r="E508" s="779"/>
      <c r="F508" s="779"/>
      <c r="G508" s="779"/>
      <c r="H508" s="779"/>
      <c r="I508" s="779"/>
      <c r="J508" s="779"/>
      <c r="K508" s="779"/>
      <c r="L508" s="779"/>
      <c r="M508" s="779"/>
      <c r="N508" s="606"/>
      <c r="O508" s="606"/>
      <c r="P508" s="398"/>
      <c r="Q508" s="398"/>
      <c r="R508" s="398"/>
      <c r="S508" s="398"/>
      <c r="T508" s="398"/>
      <c r="U508" s="738"/>
      <c r="V508" s="738"/>
      <c r="W508" s="738"/>
    </row>
    <row r="509" spans="1:23" ht="15.75" customHeight="1">
      <c r="A509" s="398"/>
      <c r="B509" s="398"/>
      <c r="C509" s="779"/>
      <c r="D509" s="779"/>
      <c r="E509" s="779"/>
      <c r="F509" s="779"/>
      <c r="G509" s="779"/>
      <c r="H509" s="779"/>
      <c r="I509" s="779"/>
      <c r="J509" s="779"/>
      <c r="K509" s="779"/>
      <c r="L509" s="779"/>
      <c r="M509" s="779"/>
      <c r="N509" s="606"/>
      <c r="O509" s="606"/>
      <c r="P509" s="398"/>
      <c r="Q509" s="398"/>
      <c r="R509" s="398"/>
      <c r="S509" s="398"/>
      <c r="T509" s="398"/>
      <c r="U509" s="738"/>
      <c r="V509" s="738"/>
      <c r="W509" s="738"/>
    </row>
    <row r="510" spans="1:23" ht="15.75" customHeight="1">
      <c r="A510" s="398"/>
      <c r="B510" s="398"/>
      <c r="C510" s="779"/>
      <c r="D510" s="779"/>
      <c r="E510" s="779"/>
      <c r="F510" s="779"/>
      <c r="G510" s="779"/>
      <c r="H510" s="779"/>
      <c r="I510" s="779"/>
      <c r="J510" s="779"/>
      <c r="K510" s="779"/>
      <c r="L510" s="779"/>
      <c r="M510" s="779"/>
      <c r="N510" s="606"/>
      <c r="O510" s="606"/>
      <c r="P510" s="398"/>
      <c r="Q510" s="398"/>
      <c r="R510" s="398"/>
      <c r="S510" s="398"/>
      <c r="T510" s="398"/>
      <c r="U510" s="738"/>
      <c r="V510" s="738"/>
      <c r="W510" s="738"/>
    </row>
    <row r="511" spans="1:23" ht="15.75" customHeight="1">
      <c r="A511" s="398"/>
      <c r="B511" s="398"/>
      <c r="C511" s="779"/>
      <c r="D511" s="779"/>
      <c r="E511" s="779"/>
      <c r="F511" s="779"/>
      <c r="G511" s="779"/>
      <c r="H511" s="779"/>
      <c r="I511" s="779"/>
      <c r="J511" s="779"/>
      <c r="K511" s="779"/>
      <c r="L511" s="779"/>
      <c r="M511" s="779"/>
      <c r="N511" s="606"/>
      <c r="O511" s="606"/>
      <c r="P511" s="398"/>
      <c r="Q511" s="398"/>
      <c r="R511" s="398"/>
      <c r="S511" s="398"/>
      <c r="T511" s="398"/>
      <c r="U511" s="738"/>
      <c r="V511" s="738"/>
      <c r="W511" s="738"/>
    </row>
    <row r="512" spans="1:23" ht="15.75" customHeight="1">
      <c r="A512" s="398"/>
      <c r="B512" s="398"/>
      <c r="C512" s="779"/>
      <c r="D512" s="779"/>
      <c r="E512" s="779"/>
      <c r="F512" s="779"/>
      <c r="G512" s="779"/>
      <c r="H512" s="779"/>
      <c r="I512" s="779"/>
      <c r="J512" s="779"/>
      <c r="K512" s="779"/>
      <c r="L512" s="779"/>
      <c r="M512" s="779"/>
      <c r="N512" s="606"/>
      <c r="O512" s="606"/>
      <c r="P512" s="398"/>
      <c r="Q512" s="398"/>
      <c r="R512" s="398"/>
      <c r="S512" s="398"/>
      <c r="T512" s="398"/>
      <c r="U512" s="738"/>
      <c r="V512" s="738"/>
      <c r="W512" s="738"/>
    </row>
    <row r="513" spans="1:23" ht="15.75" customHeight="1">
      <c r="A513" s="398"/>
      <c r="B513" s="398"/>
      <c r="C513" s="779"/>
      <c r="D513" s="779"/>
      <c r="E513" s="779"/>
      <c r="F513" s="779"/>
      <c r="G513" s="779"/>
      <c r="H513" s="779"/>
      <c r="I513" s="779"/>
      <c r="J513" s="779"/>
      <c r="K513" s="779"/>
      <c r="L513" s="779"/>
      <c r="M513" s="779"/>
      <c r="N513" s="606"/>
      <c r="O513" s="606"/>
      <c r="P513" s="398"/>
      <c r="Q513" s="398"/>
      <c r="R513" s="398"/>
      <c r="S513" s="398"/>
      <c r="T513" s="398"/>
      <c r="U513" s="738"/>
      <c r="V513" s="738"/>
      <c r="W513" s="738"/>
    </row>
    <row r="514" spans="1:23" ht="15.75" customHeight="1">
      <c r="A514" s="398"/>
      <c r="B514" s="398"/>
      <c r="C514" s="779"/>
      <c r="D514" s="779"/>
      <c r="E514" s="779"/>
      <c r="F514" s="779"/>
      <c r="G514" s="779"/>
      <c r="H514" s="779"/>
      <c r="I514" s="779"/>
      <c r="J514" s="779"/>
      <c r="K514" s="779"/>
      <c r="L514" s="779"/>
      <c r="M514" s="779"/>
      <c r="N514" s="606"/>
      <c r="O514" s="606"/>
      <c r="P514" s="398"/>
      <c r="Q514" s="398"/>
      <c r="R514" s="398"/>
      <c r="S514" s="398"/>
      <c r="T514" s="398"/>
      <c r="U514" s="738"/>
      <c r="V514" s="738"/>
      <c r="W514" s="738"/>
    </row>
    <row r="515" spans="1:23" ht="15.75" customHeight="1">
      <c r="A515" s="398"/>
      <c r="B515" s="398"/>
      <c r="C515" s="779"/>
      <c r="D515" s="779"/>
      <c r="E515" s="779"/>
      <c r="F515" s="779"/>
      <c r="G515" s="779"/>
      <c r="H515" s="779"/>
      <c r="I515" s="779"/>
      <c r="J515" s="779"/>
      <c r="K515" s="779"/>
      <c r="L515" s="779"/>
      <c r="M515" s="779"/>
      <c r="N515" s="606"/>
      <c r="O515" s="606"/>
      <c r="P515" s="398"/>
      <c r="Q515" s="398"/>
      <c r="R515" s="398"/>
      <c r="S515" s="398"/>
      <c r="T515" s="398"/>
      <c r="U515" s="738"/>
      <c r="V515" s="738"/>
      <c r="W515" s="738"/>
    </row>
    <row r="516" spans="1:23" ht="15.75" customHeight="1">
      <c r="A516" s="398"/>
      <c r="B516" s="398"/>
      <c r="C516" s="779"/>
      <c r="D516" s="779"/>
      <c r="E516" s="779"/>
      <c r="F516" s="779"/>
      <c r="G516" s="779"/>
      <c r="H516" s="779"/>
      <c r="I516" s="779"/>
      <c r="J516" s="779"/>
      <c r="K516" s="779"/>
      <c r="L516" s="779"/>
      <c r="M516" s="779"/>
      <c r="N516" s="606"/>
      <c r="O516" s="606"/>
      <c r="P516" s="398"/>
      <c r="Q516" s="398"/>
      <c r="R516" s="398"/>
      <c r="S516" s="398"/>
      <c r="T516" s="398"/>
      <c r="U516" s="738"/>
      <c r="V516" s="738"/>
      <c r="W516" s="738"/>
    </row>
    <row r="517" spans="1:23" ht="15.75" customHeight="1">
      <c r="A517" s="398"/>
      <c r="B517" s="398"/>
      <c r="C517" s="779"/>
      <c r="D517" s="779"/>
      <c r="E517" s="779"/>
      <c r="F517" s="779"/>
      <c r="G517" s="779"/>
      <c r="H517" s="779"/>
      <c r="I517" s="779"/>
      <c r="J517" s="779"/>
      <c r="K517" s="779"/>
      <c r="L517" s="779"/>
      <c r="M517" s="779"/>
      <c r="N517" s="606"/>
      <c r="O517" s="606"/>
      <c r="P517" s="398"/>
      <c r="Q517" s="398"/>
      <c r="R517" s="398"/>
      <c r="S517" s="398"/>
      <c r="T517" s="398"/>
      <c r="U517" s="738"/>
      <c r="V517" s="738"/>
      <c r="W517" s="738"/>
    </row>
    <row r="518" spans="1:23" ht="15.75" customHeight="1">
      <c r="A518" s="398"/>
      <c r="B518" s="398"/>
      <c r="C518" s="779"/>
      <c r="D518" s="779"/>
      <c r="E518" s="779"/>
      <c r="F518" s="779"/>
      <c r="G518" s="779"/>
      <c r="H518" s="779"/>
      <c r="I518" s="779"/>
      <c r="J518" s="779"/>
      <c r="K518" s="779"/>
      <c r="L518" s="779"/>
      <c r="M518" s="779"/>
      <c r="N518" s="606"/>
      <c r="O518" s="606"/>
      <c r="P518" s="398"/>
      <c r="Q518" s="398"/>
      <c r="R518" s="398"/>
      <c r="S518" s="398"/>
      <c r="T518" s="398"/>
      <c r="U518" s="738"/>
      <c r="V518" s="738"/>
      <c r="W518" s="738"/>
    </row>
    <row r="519" spans="1:23" ht="15.75" customHeight="1">
      <c r="A519" s="398"/>
      <c r="B519" s="398"/>
      <c r="C519" s="779"/>
      <c r="D519" s="779"/>
      <c r="E519" s="779"/>
      <c r="F519" s="779"/>
      <c r="G519" s="779"/>
      <c r="H519" s="779"/>
      <c r="I519" s="779"/>
      <c r="J519" s="779"/>
      <c r="K519" s="779"/>
      <c r="L519" s="779"/>
      <c r="M519" s="779"/>
      <c r="N519" s="606"/>
      <c r="O519" s="606"/>
      <c r="P519" s="398"/>
      <c r="Q519" s="398"/>
      <c r="R519" s="398"/>
      <c r="S519" s="398"/>
      <c r="T519" s="398"/>
      <c r="U519" s="738"/>
      <c r="V519" s="738"/>
      <c r="W519" s="738"/>
    </row>
    <row r="520" spans="1:23" ht="15.75" customHeight="1">
      <c r="A520" s="398"/>
      <c r="B520" s="398"/>
      <c r="C520" s="779"/>
      <c r="D520" s="779"/>
      <c r="E520" s="779"/>
      <c r="F520" s="779"/>
      <c r="G520" s="779"/>
      <c r="H520" s="779"/>
      <c r="I520" s="779"/>
      <c r="J520" s="779"/>
      <c r="K520" s="779"/>
      <c r="L520" s="779"/>
      <c r="M520" s="779"/>
      <c r="N520" s="606"/>
      <c r="O520" s="606"/>
      <c r="P520" s="398"/>
      <c r="Q520" s="398"/>
      <c r="R520" s="398"/>
      <c r="S520" s="398"/>
      <c r="T520" s="398"/>
      <c r="U520" s="738"/>
      <c r="V520" s="738"/>
      <c r="W520" s="738"/>
    </row>
    <row r="521" spans="1:23" ht="15.75" customHeight="1">
      <c r="A521" s="398"/>
      <c r="B521" s="398"/>
      <c r="C521" s="779"/>
      <c r="D521" s="779"/>
      <c r="E521" s="779"/>
      <c r="F521" s="779"/>
      <c r="G521" s="779"/>
      <c r="H521" s="779"/>
      <c r="I521" s="779"/>
      <c r="J521" s="779"/>
      <c r="K521" s="779"/>
      <c r="L521" s="779"/>
      <c r="M521" s="779"/>
      <c r="N521" s="606"/>
      <c r="O521" s="606"/>
      <c r="P521" s="398"/>
      <c r="Q521" s="398"/>
      <c r="R521" s="398"/>
      <c r="S521" s="398"/>
      <c r="T521" s="398"/>
      <c r="U521" s="738"/>
      <c r="V521" s="738"/>
      <c r="W521" s="738"/>
    </row>
    <row r="522" spans="1:23" ht="15.75" customHeight="1">
      <c r="A522" s="398"/>
      <c r="B522" s="398"/>
      <c r="C522" s="779"/>
      <c r="D522" s="779"/>
      <c r="E522" s="779"/>
      <c r="F522" s="779"/>
      <c r="G522" s="779"/>
      <c r="H522" s="779"/>
      <c r="I522" s="779"/>
      <c r="J522" s="779"/>
      <c r="K522" s="779"/>
      <c r="L522" s="779"/>
      <c r="M522" s="779"/>
      <c r="N522" s="606"/>
      <c r="O522" s="606"/>
      <c r="P522" s="398"/>
      <c r="Q522" s="398"/>
      <c r="R522" s="398"/>
      <c r="S522" s="398"/>
      <c r="T522" s="398"/>
      <c r="U522" s="738"/>
      <c r="V522" s="738"/>
      <c r="W522" s="738"/>
    </row>
    <row r="523" spans="1:23" ht="15.75" customHeight="1">
      <c r="A523" s="398"/>
      <c r="B523" s="398"/>
      <c r="C523" s="779"/>
      <c r="D523" s="779"/>
      <c r="E523" s="779"/>
      <c r="F523" s="779"/>
      <c r="G523" s="779"/>
      <c r="H523" s="779"/>
      <c r="I523" s="779"/>
      <c r="J523" s="779"/>
      <c r="K523" s="779"/>
      <c r="L523" s="779"/>
      <c r="M523" s="779"/>
      <c r="N523" s="606"/>
      <c r="O523" s="606"/>
      <c r="P523" s="398"/>
      <c r="Q523" s="398"/>
      <c r="R523" s="398"/>
      <c r="S523" s="398"/>
      <c r="T523" s="398"/>
      <c r="U523" s="738"/>
      <c r="V523" s="738"/>
      <c r="W523" s="738"/>
    </row>
    <row r="524" spans="1:23" ht="15.75" customHeight="1">
      <c r="A524" s="398"/>
      <c r="B524" s="398"/>
      <c r="C524" s="779"/>
      <c r="D524" s="779"/>
      <c r="E524" s="779"/>
      <c r="F524" s="779"/>
      <c r="G524" s="779"/>
      <c r="H524" s="779"/>
      <c r="I524" s="779"/>
      <c r="J524" s="779"/>
      <c r="K524" s="779"/>
      <c r="L524" s="779"/>
      <c r="M524" s="779"/>
      <c r="N524" s="606"/>
      <c r="O524" s="606"/>
      <c r="P524" s="398"/>
      <c r="Q524" s="398"/>
      <c r="R524" s="398"/>
      <c r="S524" s="398"/>
      <c r="T524" s="398"/>
      <c r="U524" s="738"/>
      <c r="V524" s="738"/>
      <c r="W524" s="738"/>
    </row>
    <row r="525" spans="1:23" ht="15.75" customHeight="1">
      <c r="A525" s="398"/>
      <c r="B525" s="398"/>
      <c r="C525" s="779"/>
      <c r="D525" s="779"/>
      <c r="E525" s="779"/>
      <c r="F525" s="779"/>
      <c r="G525" s="779"/>
      <c r="H525" s="779"/>
      <c r="I525" s="779"/>
      <c r="J525" s="779"/>
      <c r="K525" s="779"/>
      <c r="L525" s="779"/>
      <c r="M525" s="779"/>
      <c r="N525" s="606"/>
      <c r="O525" s="606"/>
      <c r="P525" s="398"/>
      <c r="Q525" s="398"/>
      <c r="R525" s="398"/>
      <c r="S525" s="398"/>
      <c r="T525" s="398"/>
      <c r="U525" s="738"/>
      <c r="V525" s="738"/>
      <c r="W525" s="738"/>
    </row>
    <row r="526" spans="1:23" ht="15.75" customHeight="1">
      <c r="A526" s="398"/>
      <c r="B526" s="398"/>
      <c r="C526" s="779"/>
      <c r="D526" s="779"/>
      <c r="E526" s="779"/>
      <c r="F526" s="779"/>
      <c r="G526" s="779"/>
      <c r="H526" s="779"/>
      <c r="I526" s="779"/>
      <c r="J526" s="779"/>
      <c r="K526" s="779"/>
      <c r="L526" s="779"/>
      <c r="M526" s="779"/>
      <c r="N526" s="606"/>
      <c r="O526" s="606"/>
      <c r="P526" s="398"/>
      <c r="Q526" s="398"/>
      <c r="R526" s="398"/>
      <c r="S526" s="398"/>
      <c r="T526" s="398"/>
      <c r="U526" s="738"/>
      <c r="V526" s="738"/>
      <c r="W526" s="738"/>
    </row>
    <row r="527" spans="1:23" ht="15.75" customHeight="1">
      <c r="A527" s="398"/>
      <c r="B527" s="398"/>
      <c r="C527" s="779"/>
      <c r="D527" s="779"/>
      <c r="E527" s="779"/>
      <c r="F527" s="779"/>
      <c r="G527" s="779"/>
      <c r="H527" s="779"/>
      <c r="I527" s="779"/>
      <c r="J527" s="779"/>
      <c r="K527" s="779"/>
      <c r="L527" s="779"/>
      <c r="M527" s="779"/>
      <c r="N527" s="606"/>
      <c r="O527" s="606"/>
      <c r="P527" s="398"/>
      <c r="Q527" s="398"/>
      <c r="R527" s="398"/>
      <c r="S527" s="398"/>
      <c r="T527" s="398"/>
      <c r="U527" s="738"/>
      <c r="V527" s="738"/>
      <c r="W527" s="738"/>
    </row>
    <row r="528" spans="1:23" ht="15.75" customHeight="1">
      <c r="A528" s="398"/>
      <c r="B528" s="398"/>
      <c r="C528" s="779"/>
      <c r="D528" s="779"/>
      <c r="E528" s="779"/>
      <c r="F528" s="779"/>
      <c r="G528" s="779"/>
      <c r="H528" s="779"/>
      <c r="I528" s="779"/>
      <c r="J528" s="779"/>
      <c r="K528" s="779"/>
      <c r="L528" s="779"/>
      <c r="M528" s="779"/>
      <c r="N528" s="606"/>
      <c r="O528" s="606"/>
      <c r="P528" s="398"/>
      <c r="Q528" s="398"/>
      <c r="R528" s="398"/>
      <c r="S528" s="398"/>
      <c r="T528" s="398"/>
      <c r="U528" s="738"/>
      <c r="V528" s="738"/>
      <c r="W528" s="738"/>
    </row>
    <row r="529" spans="1:23" ht="15.75" customHeight="1">
      <c r="A529" s="398"/>
      <c r="B529" s="398"/>
      <c r="C529" s="779"/>
      <c r="D529" s="779"/>
      <c r="E529" s="779"/>
      <c r="F529" s="779"/>
      <c r="G529" s="779"/>
      <c r="H529" s="779"/>
      <c r="I529" s="779"/>
      <c r="J529" s="779"/>
      <c r="K529" s="779"/>
      <c r="L529" s="779"/>
      <c r="M529" s="779"/>
      <c r="N529" s="606"/>
      <c r="O529" s="606"/>
      <c r="P529" s="398"/>
      <c r="Q529" s="398"/>
      <c r="R529" s="398"/>
      <c r="S529" s="398"/>
      <c r="T529" s="398"/>
      <c r="U529" s="738"/>
      <c r="V529" s="738"/>
      <c r="W529" s="738"/>
    </row>
    <row r="530" spans="1:23" ht="15.75" customHeight="1">
      <c r="A530" s="398"/>
      <c r="B530" s="398"/>
      <c r="C530" s="779"/>
      <c r="D530" s="779"/>
      <c r="E530" s="779"/>
      <c r="F530" s="779"/>
      <c r="G530" s="779"/>
      <c r="H530" s="779"/>
      <c r="I530" s="779"/>
      <c r="J530" s="779"/>
      <c r="K530" s="779"/>
      <c r="L530" s="779"/>
      <c r="M530" s="779"/>
      <c r="N530" s="606"/>
      <c r="O530" s="606"/>
      <c r="P530" s="398"/>
      <c r="Q530" s="398"/>
      <c r="R530" s="398"/>
      <c r="S530" s="398"/>
      <c r="T530" s="398"/>
      <c r="U530" s="738"/>
      <c r="V530" s="738"/>
      <c r="W530" s="738"/>
    </row>
    <row r="531" spans="1:23" ht="15.75" customHeight="1">
      <c r="A531" s="398"/>
      <c r="B531" s="398"/>
      <c r="C531" s="779"/>
      <c r="D531" s="779"/>
      <c r="E531" s="779"/>
      <c r="F531" s="779"/>
      <c r="G531" s="779"/>
      <c r="H531" s="779"/>
      <c r="I531" s="779"/>
      <c r="J531" s="779"/>
      <c r="K531" s="779"/>
      <c r="L531" s="779"/>
      <c r="M531" s="779"/>
      <c r="N531" s="606"/>
      <c r="O531" s="606"/>
      <c r="P531" s="398"/>
      <c r="Q531" s="398"/>
      <c r="R531" s="398"/>
      <c r="S531" s="398"/>
      <c r="T531" s="398"/>
      <c r="U531" s="738"/>
      <c r="V531" s="738"/>
      <c r="W531" s="738"/>
    </row>
    <row r="532" spans="1:23" ht="15.75" customHeight="1">
      <c r="A532" s="398"/>
      <c r="B532" s="398"/>
      <c r="C532" s="779"/>
      <c r="D532" s="779"/>
      <c r="E532" s="779"/>
      <c r="F532" s="779"/>
      <c r="G532" s="779"/>
      <c r="H532" s="779"/>
      <c r="I532" s="779"/>
      <c r="J532" s="779"/>
      <c r="K532" s="779"/>
      <c r="L532" s="779"/>
      <c r="M532" s="779"/>
      <c r="N532" s="606"/>
      <c r="O532" s="606"/>
      <c r="P532" s="398"/>
      <c r="Q532" s="398"/>
      <c r="R532" s="398"/>
      <c r="S532" s="398"/>
      <c r="T532" s="398"/>
      <c r="U532" s="738"/>
      <c r="V532" s="738"/>
      <c r="W532" s="738"/>
    </row>
    <row r="533" spans="1:23" ht="15.75" customHeight="1">
      <c r="A533" s="398"/>
      <c r="B533" s="398"/>
      <c r="C533" s="779"/>
      <c r="D533" s="779"/>
      <c r="E533" s="779"/>
      <c r="F533" s="779"/>
      <c r="G533" s="779"/>
      <c r="H533" s="779"/>
      <c r="I533" s="779"/>
      <c r="J533" s="779"/>
      <c r="K533" s="779"/>
      <c r="L533" s="779"/>
      <c r="M533" s="779"/>
      <c r="N533" s="606"/>
      <c r="O533" s="606"/>
      <c r="P533" s="398"/>
      <c r="Q533" s="398"/>
      <c r="R533" s="398"/>
      <c r="S533" s="398"/>
      <c r="T533" s="398"/>
      <c r="U533" s="738"/>
      <c r="V533" s="738"/>
      <c r="W533" s="738"/>
    </row>
    <row r="534" spans="1:23" ht="15.75" customHeight="1">
      <c r="A534" s="398"/>
      <c r="B534" s="398"/>
      <c r="C534" s="779"/>
      <c r="D534" s="779"/>
      <c r="E534" s="779"/>
      <c r="F534" s="779"/>
      <c r="G534" s="779"/>
      <c r="H534" s="779"/>
      <c r="I534" s="779"/>
      <c r="J534" s="779"/>
      <c r="K534" s="779"/>
      <c r="L534" s="779"/>
      <c r="M534" s="779"/>
      <c r="N534" s="606"/>
      <c r="O534" s="606"/>
      <c r="P534" s="398"/>
      <c r="Q534" s="398"/>
      <c r="R534" s="398"/>
      <c r="S534" s="398"/>
      <c r="T534" s="398"/>
      <c r="U534" s="738"/>
      <c r="V534" s="738"/>
      <c r="W534" s="738"/>
    </row>
    <row r="535" spans="1:23" ht="15.75" customHeight="1">
      <c r="A535" s="398"/>
      <c r="B535" s="398"/>
      <c r="C535" s="779"/>
      <c r="D535" s="779"/>
      <c r="E535" s="779"/>
      <c r="F535" s="779"/>
      <c r="G535" s="779"/>
      <c r="H535" s="779"/>
      <c r="I535" s="779"/>
      <c r="J535" s="779"/>
      <c r="K535" s="779"/>
      <c r="L535" s="779"/>
      <c r="M535" s="779"/>
      <c r="N535" s="606"/>
      <c r="O535" s="606"/>
      <c r="P535" s="398"/>
      <c r="Q535" s="398"/>
      <c r="R535" s="398"/>
      <c r="S535" s="398"/>
      <c r="T535" s="398"/>
      <c r="U535" s="738"/>
      <c r="V535" s="738"/>
      <c r="W535" s="738"/>
    </row>
    <row r="536" spans="1:23" ht="15.75" customHeight="1">
      <c r="A536" s="398"/>
      <c r="B536" s="398"/>
      <c r="C536" s="779"/>
      <c r="D536" s="779"/>
      <c r="E536" s="779"/>
      <c r="F536" s="779"/>
      <c r="G536" s="779"/>
      <c r="H536" s="779"/>
      <c r="I536" s="779"/>
      <c r="J536" s="779"/>
      <c r="K536" s="779"/>
      <c r="L536" s="779"/>
      <c r="M536" s="779"/>
      <c r="N536" s="606"/>
      <c r="O536" s="606"/>
      <c r="P536" s="398"/>
      <c r="Q536" s="398"/>
      <c r="R536" s="398"/>
      <c r="S536" s="398"/>
      <c r="T536" s="398"/>
      <c r="U536" s="738"/>
      <c r="V536" s="738"/>
      <c r="W536" s="738"/>
    </row>
    <row r="537" spans="1:23" ht="15.75" customHeight="1">
      <c r="A537" s="398"/>
      <c r="B537" s="398"/>
      <c r="C537" s="779"/>
      <c r="D537" s="779"/>
      <c r="E537" s="779"/>
      <c r="F537" s="779"/>
      <c r="G537" s="779"/>
      <c r="H537" s="779"/>
      <c r="I537" s="779"/>
      <c r="J537" s="779"/>
      <c r="K537" s="779"/>
      <c r="L537" s="779"/>
      <c r="M537" s="779"/>
      <c r="N537" s="606"/>
      <c r="O537" s="606"/>
      <c r="P537" s="398"/>
      <c r="Q537" s="398"/>
      <c r="R537" s="398"/>
      <c r="S537" s="398"/>
      <c r="T537" s="398"/>
      <c r="U537" s="738"/>
      <c r="V537" s="738"/>
      <c r="W537" s="738"/>
    </row>
    <row r="538" spans="1:23" ht="15.75" customHeight="1">
      <c r="A538" s="398"/>
      <c r="B538" s="398"/>
      <c r="C538" s="779"/>
      <c r="D538" s="779"/>
      <c r="E538" s="779"/>
      <c r="F538" s="779"/>
      <c r="G538" s="779"/>
      <c r="H538" s="779"/>
      <c r="I538" s="779"/>
      <c r="J538" s="779"/>
      <c r="K538" s="779"/>
      <c r="L538" s="779"/>
      <c r="M538" s="779"/>
      <c r="N538" s="606"/>
      <c r="O538" s="606"/>
      <c r="P538" s="398"/>
      <c r="Q538" s="398"/>
      <c r="R538" s="398"/>
      <c r="S538" s="398"/>
      <c r="T538" s="398"/>
      <c r="U538" s="738"/>
      <c r="V538" s="738"/>
      <c r="W538" s="738"/>
    </row>
    <row r="539" spans="1:23" ht="15.75" customHeight="1">
      <c r="A539" s="398"/>
      <c r="B539" s="398"/>
      <c r="C539" s="779"/>
      <c r="D539" s="779"/>
      <c r="E539" s="779"/>
      <c r="F539" s="779"/>
      <c r="G539" s="779"/>
      <c r="H539" s="779"/>
      <c r="I539" s="779"/>
      <c r="J539" s="779"/>
      <c r="K539" s="779"/>
      <c r="L539" s="779"/>
      <c r="M539" s="779"/>
      <c r="N539" s="606"/>
      <c r="O539" s="606"/>
      <c r="P539" s="398"/>
      <c r="Q539" s="398"/>
      <c r="R539" s="398"/>
      <c r="S539" s="398"/>
      <c r="T539" s="398"/>
      <c r="U539" s="738"/>
      <c r="V539" s="738"/>
      <c r="W539" s="738"/>
    </row>
    <row r="540" spans="1:23" ht="15.75" customHeight="1">
      <c r="A540" s="398"/>
      <c r="B540" s="398"/>
      <c r="C540" s="779"/>
      <c r="D540" s="779"/>
      <c r="E540" s="779"/>
      <c r="F540" s="779"/>
      <c r="G540" s="779"/>
      <c r="H540" s="779"/>
      <c r="I540" s="779"/>
      <c r="J540" s="779"/>
      <c r="K540" s="779"/>
      <c r="L540" s="779"/>
      <c r="M540" s="779"/>
      <c r="N540" s="606"/>
      <c r="O540" s="606"/>
      <c r="P540" s="398"/>
      <c r="Q540" s="398"/>
      <c r="R540" s="398"/>
      <c r="S540" s="398"/>
      <c r="T540" s="398"/>
      <c r="U540" s="738"/>
      <c r="V540" s="738"/>
      <c r="W540" s="738"/>
    </row>
    <row r="541" spans="1:23" ht="15.75" customHeight="1">
      <c r="A541" s="398"/>
      <c r="B541" s="398"/>
      <c r="C541" s="779"/>
      <c r="D541" s="779"/>
      <c r="E541" s="779"/>
      <c r="F541" s="779"/>
      <c r="G541" s="779"/>
      <c r="H541" s="779"/>
      <c r="I541" s="779"/>
      <c r="J541" s="779"/>
      <c r="K541" s="779"/>
      <c r="L541" s="779"/>
      <c r="M541" s="779"/>
      <c r="N541" s="606"/>
      <c r="O541" s="606"/>
      <c r="P541" s="398"/>
      <c r="Q541" s="398"/>
      <c r="R541" s="398"/>
      <c r="S541" s="398"/>
      <c r="T541" s="398"/>
      <c r="U541" s="738"/>
      <c r="V541" s="738"/>
      <c r="W541" s="738"/>
    </row>
    <row r="542" spans="1:23" ht="15.75" customHeight="1">
      <c r="A542" s="398"/>
      <c r="B542" s="398"/>
      <c r="C542" s="779"/>
      <c r="D542" s="779"/>
      <c r="E542" s="779"/>
      <c r="F542" s="779"/>
      <c r="G542" s="779"/>
      <c r="H542" s="779"/>
      <c r="I542" s="779"/>
      <c r="J542" s="779"/>
      <c r="K542" s="779"/>
      <c r="L542" s="779"/>
      <c r="M542" s="779"/>
      <c r="N542" s="606"/>
      <c r="O542" s="606"/>
      <c r="P542" s="398"/>
      <c r="Q542" s="398"/>
      <c r="R542" s="398"/>
      <c r="S542" s="398"/>
      <c r="T542" s="398"/>
      <c r="U542" s="738"/>
      <c r="V542" s="738"/>
      <c r="W542" s="738"/>
    </row>
    <row r="543" spans="1:23" ht="15.75" customHeight="1">
      <c r="A543" s="398"/>
      <c r="B543" s="398"/>
      <c r="C543" s="779"/>
      <c r="D543" s="779"/>
      <c r="E543" s="779"/>
      <c r="F543" s="779"/>
      <c r="G543" s="779"/>
      <c r="H543" s="779"/>
      <c r="I543" s="779"/>
      <c r="J543" s="779"/>
      <c r="K543" s="779"/>
      <c r="L543" s="779"/>
      <c r="M543" s="779"/>
      <c r="N543" s="606"/>
      <c r="O543" s="606"/>
      <c r="P543" s="398"/>
      <c r="Q543" s="398"/>
      <c r="R543" s="398"/>
      <c r="S543" s="398"/>
      <c r="T543" s="398"/>
      <c r="U543" s="738"/>
      <c r="V543" s="738"/>
      <c r="W543" s="738"/>
    </row>
    <row r="544" spans="1:23" ht="15.75" customHeight="1">
      <c r="A544" s="398"/>
      <c r="B544" s="398"/>
      <c r="C544" s="779"/>
      <c r="D544" s="779"/>
      <c r="E544" s="779"/>
      <c r="F544" s="779"/>
      <c r="G544" s="779"/>
      <c r="H544" s="779"/>
      <c r="I544" s="779"/>
      <c r="J544" s="779"/>
      <c r="K544" s="779"/>
      <c r="L544" s="779"/>
      <c r="M544" s="779"/>
      <c r="N544" s="606"/>
      <c r="O544" s="606"/>
      <c r="P544" s="398"/>
      <c r="Q544" s="398"/>
      <c r="R544" s="398"/>
      <c r="S544" s="398"/>
      <c r="T544" s="398"/>
      <c r="U544" s="738"/>
      <c r="V544" s="738"/>
      <c r="W544" s="738"/>
    </row>
    <row r="545" spans="1:23" ht="15.75" customHeight="1">
      <c r="A545" s="398"/>
      <c r="B545" s="398"/>
      <c r="C545" s="779"/>
      <c r="D545" s="779"/>
      <c r="E545" s="779"/>
      <c r="F545" s="779"/>
      <c r="G545" s="779"/>
      <c r="H545" s="779"/>
      <c r="I545" s="779"/>
      <c r="J545" s="779"/>
      <c r="K545" s="779"/>
      <c r="L545" s="779"/>
      <c r="M545" s="779"/>
      <c r="N545" s="606"/>
      <c r="O545" s="606"/>
      <c r="P545" s="398"/>
      <c r="Q545" s="398"/>
      <c r="R545" s="398"/>
      <c r="S545" s="398"/>
      <c r="T545" s="398"/>
      <c r="U545" s="738"/>
      <c r="V545" s="738"/>
      <c r="W545" s="738"/>
    </row>
    <row r="546" spans="1:23" ht="15.75" customHeight="1">
      <c r="A546" s="398"/>
      <c r="B546" s="398"/>
      <c r="C546" s="779"/>
      <c r="D546" s="779"/>
      <c r="E546" s="779"/>
      <c r="F546" s="779"/>
      <c r="G546" s="779"/>
      <c r="H546" s="779"/>
      <c r="I546" s="779"/>
      <c r="J546" s="779"/>
      <c r="K546" s="779"/>
      <c r="L546" s="779"/>
      <c r="M546" s="779"/>
      <c r="N546" s="606"/>
      <c r="O546" s="606"/>
      <c r="P546" s="398"/>
      <c r="Q546" s="398"/>
      <c r="R546" s="398"/>
      <c r="S546" s="398"/>
      <c r="T546" s="398"/>
      <c r="U546" s="738"/>
      <c r="V546" s="738"/>
      <c r="W546" s="738"/>
    </row>
    <row r="547" spans="1:23" ht="15.75" customHeight="1">
      <c r="A547" s="398"/>
      <c r="B547" s="398"/>
      <c r="C547" s="779"/>
      <c r="D547" s="779"/>
      <c r="E547" s="779"/>
      <c r="F547" s="779"/>
      <c r="G547" s="779"/>
      <c r="H547" s="779"/>
      <c r="I547" s="779"/>
      <c r="J547" s="779"/>
      <c r="K547" s="779"/>
      <c r="L547" s="779"/>
      <c r="M547" s="779"/>
      <c r="N547" s="606"/>
      <c r="O547" s="606"/>
      <c r="P547" s="398"/>
      <c r="Q547" s="398"/>
      <c r="R547" s="398"/>
      <c r="S547" s="398"/>
      <c r="T547" s="398"/>
      <c r="U547" s="738"/>
      <c r="V547" s="738"/>
      <c r="W547" s="738"/>
    </row>
    <row r="548" spans="1:23" ht="15.75" customHeight="1">
      <c r="A548" s="398"/>
      <c r="B548" s="398"/>
      <c r="C548" s="779"/>
      <c r="D548" s="779"/>
      <c r="E548" s="779"/>
      <c r="F548" s="779"/>
      <c r="G548" s="779"/>
      <c r="H548" s="779"/>
      <c r="I548" s="779"/>
      <c r="J548" s="779"/>
      <c r="K548" s="779"/>
      <c r="L548" s="779"/>
      <c r="M548" s="779"/>
      <c r="N548" s="606"/>
      <c r="O548" s="606"/>
      <c r="P548" s="398"/>
      <c r="Q548" s="398"/>
      <c r="R548" s="398"/>
      <c r="S548" s="398"/>
      <c r="T548" s="398"/>
      <c r="U548" s="738"/>
      <c r="V548" s="738"/>
      <c r="W548" s="738"/>
    </row>
    <row r="549" spans="1:23" ht="15.75" customHeight="1">
      <c r="A549" s="398"/>
      <c r="B549" s="398"/>
      <c r="C549" s="779"/>
      <c r="D549" s="779"/>
      <c r="E549" s="779"/>
      <c r="F549" s="779"/>
      <c r="G549" s="779"/>
      <c r="H549" s="779"/>
      <c r="I549" s="779"/>
      <c r="J549" s="779"/>
      <c r="K549" s="779"/>
      <c r="L549" s="779"/>
      <c r="M549" s="779"/>
      <c r="N549" s="606"/>
      <c r="O549" s="606"/>
      <c r="P549" s="398"/>
      <c r="Q549" s="398"/>
      <c r="R549" s="398"/>
      <c r="S549" s="398"/>
      <c r="T549" s="398"/>
      <c r="U549" s="738"/>
      <c r="V549" s="738"/>
      <c r="W549" s="738"/>
    </row>
    <row r="550" spans="1:23" ht="15.75" customHeight="1">
      <c r="A550" s="398"/>
      <c r="B550" s="398"/>
      <c r="C550" s="779"/>
      <c r="D550" s="779"/>
      <c r="E550" s="779"/>
      <c r="F550" s="779"/>
      <c r="G550" s="779"/>
      <c r="H550" s="779"/>
      <c r="I550" s="779"/>
      <c r="J550" s="779"/>
      <c r="K550" s="779"/>
      <c r="L550" s="779"/>
      <c r="M550" s="779"/>
      <c r="N550" s="606"/>
      <c r="O550" s="606"/>
      <c r="P550" s="398"/>
      <c r="Q550" s="398"/>
      <c r="R550" s="398"/>
      <c r="S550" s="398"/>
      <c r="T550" s="398"/>
      <c r="U550" s="738"/>
      <c r="V550" s="738"/>
      <c r="W550" s="738"/>
    </row>
    <row r="551" spans="1:23" ht="15.75" customHeight="1">
      <c r="A551" s="398"/>
      <c r="B551" s="398"/>
      <c r="C551" s="779"/>
      <c r="D551" s="779"/>
      <c r="E551" s="779"/>
      <c r="F551" s="779"/>
      <c r="G551" s="779"/>
      <c r="H551" s="779"/>
      <c r="I551" s="779"/>
      <c r="J551" s="779"/>
      <c r="K551" s="779"/>
      <c r="L551" s="779"/>
      <c r="M551" s="779"/>
      <c r="N551" s="606"/>
      <c r="O551" s="606"/>
      <c r="P551" s="398"/>
      <c r="Q551" s="398"/>
      <c r="R551" s="398"/>
      <c r="S551" s="398"/>
      <c r="T551" s="398"/>
      <c r="U551" s="738"/>
      <c r="V551" s="738"/>
      <c r="W551" s="738"/>
    </row>
    <row r="552" spans="1:23" ht="15.75" customHeight="1">
      <c r="A552" s="398"/>
      <c r="B552" s="398"/>
      <c r="C552" s="779"/>
      <c r="D552" s="779"/>
      <c r="E552" s="779"/>
      <c r="F552" s="779"/>
      <c r="G552" s="779"/>
      <c r="H552" s="779"/>
      <c r="I552" s="779"/>
      <c r="J552" s="779"/>
      <c r="K552" s="779"/>
      <c r="L552" s="779"/>
      <c r="M552" s="779"/>
      <c r="N552" s="606"/>
      <c r="O552" s="606"/>
      <c r="P552" s="398"/>
      <c r="Q552" s="398"/>
      <c r="R552" s="398"/>
      <c r="S552" s="398"/>
      <c r="T552" s="398"/>
      <c r="U552" s="738"/>
      <c r="V552" s="738"/>
      <c r="W552" s="738"/>
    </row>
    <row r="553" spans="1:23" ht="15.75" customHeight="1">
      <c r="A553" s="398"/>
      <c r="B553" s="398"/>
      <c r="C553" s="779"/>
      <c r="D553" s="779"/>
      <c r="E553" s="779"/>
      <c r="F553" s="779"/>
      <c r="G553" s="779"/>
      <c r="H553" s="779"/>
      <c r="I553" s="779"/>
      <c r="J553" s="779"/>
      <c r="K553" s="779"/>
      <c r="L553" s="779"/>
      <c r="M553" s="779"/>
      <c r="N553" s="606"/>
      <c r="O553" s="606"/>
      <c r="P553" s="398"/>
      <c r="Q553" s="398"/>
      <c r="R553" s="398"/>
      <c r="S553" s="398"/>
      <c r="T553" s="398"/>
      <c r="U553" s="738"/>
      <c r="V553" s="738"/>
      <c r="W553" s="738"/>
    </row>
    <row r="554" spans="1:23" ht="15.75" customHeight="1">
      <c r="A554" s="398"/>
      <c r="B554" s="398"/>
      <c r="C554" s="779"/>
      <c r="D554" s="779"/>
      <c r="E554" s="779"/>
      <c r="F554" s="779"/>
      <c r="G554" s="779"/>
      <c r="H554" s="779"/>
      <c r="I554" s="779"/>
      <c r="J554" s="779"/>
      <c r="K554" s="779"/>
      <c r="L554" s="779"/>
      <c r="M554" s="779"/>
      <c r="N554" s="606"/>
      <c r="O554" s="606"/>
      <c r="P554" s="398"/>
      <c r="Q554" s="398"/>
      <c r="R554" s="398"/>
      <c r="S554" s="398"/>
      <c r="T554" s="398"/>
      <c r="U554" s="738"/>
      <c r="V554" s="738"/>
      <c r="W554" s="738"/>
    </row>
    <row r="555" spans="1:23" ht="15.75" customHeight="1">
      <c r="A555" s="398"/>
      <c r="B555" s="398"/>
      <c r="C555" s="779"/>
      <c r="D555" s="779"/>
      <c r="E555" s="779"/>
      <c r="F555" s="779"/>
      <c r="G555" s="779"/>
      <c r="H555" s="779"/>
      <c r="I555" s="779"/>
      <c r="J555" s="779"/>
      <c r="K555" s="779"/>
      <c r="L555" s="779"/>
      <c r="M555" s="779"/>
      <c r="N555" s="606"/>
      <c r="O555" s="606"/>
      <c r="P555" s="398"/>
      <c r="Q555" s="398"/>
      <c r="R555" s="398"/>
      <c r="S555" s="398"/>
      <c r="T555" s="398"/>
      <c r="U555" s="738"/>
      <c r="V555" s="738"/>
      <c r="W555" s="738"/>
    </row>
    <row r="556" spans="1:23" ht="15.75" customHeight="1">
      <c r="A556" s="398"/>
      <c r="B556" s="398"/>
      <c r="C556" s="779"/>
      <c r="D556" s="779"/>
      <c r="E556" s="779"/>
      <c r="F556" s="779"/>
      <c r="G556" s="779"/>
      <c r="H556" s="779"/>
      <c r="I556" s="779"/>
      <c r="J556" s="779"/>
      <c r="K556" s="779"/>
      <c r="L556" s="779"/>
      <c r="M556" s="779"/>
      <c r="N556" s="606"/>
      <c r="O556" s="606"/>
      <c r="P556" s="398"/>
      <c r="Q556" s="398"/>
      <c r="R556" s="398"/>
      <c r="S556" s="398"/>
      <c r="T556" s="398"/>
      <c r="U556" s="738"/>
      <c r="V556" s="738"/>
      <c r="W556" s="738"/>
    </row>
    <row r="557" spans="1:23" ht="15.75" customHeight="1">
      <c r="A557" s="398"/>
      <c r="B557" s="398"/>
      <c r="C557" s="779"/>
      <c r="D557" s="779"/>
      <c r="E557" s="779"/>
      <c r="F557" s="779"/>
      <c r="G557" s="779"/>
      <c r="H557" s="779"/>
      <c r="I557" s="779"/>
      <c r="J557" s="779"/>
      <c r="K557" s="779"/>
      <c r="L557" s="779"/>
      <c r="M557" s="779"/>
      <c r="N557" s="606"/>
      <c r="O557" s="606"/>
      <c r="P557" s="398"/>
      <c r="Q557" s="398"/>
      <c r="R557" s="398"/>
      <c r="S557" s="398"/>
      <c r="T557" s="398"/>
      <c r="U557" s="738"/>
      <c r="V557" s="738"/>
      <c r="W557" s="738"/>
    </row>
    <row r="558" spans="1:23" ht="15.75" customHeight="1">
      <c r="A558" s="398"/>
      <c r="B558" s="398"/>
      <c r="C558" s="779"/>
      <c r="D558" s="779"/>
      <c r="E558" s="779"/>
      <c r="F558" s="779"/>
      <c r="G558" s="779"/>
      <c r="H558" s="779"/>
      <c r="I558" s="779"/>
      <c r="J558" s="779"/>
      <c r="K558" s="779"/>
      <c r="L558" s="779"/>
      <c r="M558" s="779"/>
      <c r="N558" s="606"/>
      <c r="O558" s="606"/>
      <c r="P558" s="398"/>
      <c r="Q558" s="398"/>
      <c r="R558" s="398"/>
      <c r="S558" s="398"/>
      <c r="T558" s="398"/>
      <c r="U558" s="738"/>
      <c r="V558" s="738"/>
      <c r="W558" s="738"/>
    </row>
    <row r="559" spans="1:23" ht="15.75" customHeight="1">
      <c r="A559" s="398"/>
      <c r="B559" s="398"/>
      <c r="C559" s="779"/>
      <c r="D559" s="779"/>
      <c r="E559" s="779"/>
      <c r="F559" s="779"/>
      <c r="G559" s="779"/>
      <c r="H559" s="779"/>
      <c r="I559" s="779"/>
      <c r="J559" s="779"/>
      <c r="K559" s="779"/>
      <c r="L559" s="779"/>
      <c r="M559" s="779"/>
      <c r="N559" s="606"/>
      <c r="O559" s="606"/>
      <c r="P559" s="398"/>
      <c r="Q559" s="398"/>
      <c r="R559" s="398"/>
      <c r="S559" s="398"/>
      <c r="T559" s="398"/>
      <c r="U559" s="738"/>
      <c r="V559" s="738"/>
      <c r="W559" s="738"/>
    </row>
    <row r="560" spans="1:23" ht="15.75" customHeight="1">
      <c r="A560" s="398"/>
      <c r="B560" s="398"/>
      <c r="C560" s="779"/>
      <c r="D560" s="779"/>
      <c r="E560" s="779"/>
      <c r="F560" s="779"/>
      <c r="G560" s="779"/>
      <c r="H560" s="779"/>
      <c r="I560" s="779"/>
      <c r="J560" s="779"/>
      <c r="K560" s="779"/>
      <c r="L560" s="779"/>
      <c r="M560" s="779"/>
      <c r="N560" s="606"/>
      <c r="O560" s="606"/>
      <c r="P560" s="398"/>
      <c r="Q560" s="398"/>
      <c r="R560" s="398"/>
      <c r="S560" s="398"/>
      <c r="T560" s="398"/>
      <c r="U560" s="738"/>
      <c r="V560" s="738"/>
      <c r="W560" s="738"/>
    </row>
    <row r="561" spans="1:23" ht="15.75" customHeight="1">
      <c r="A561" s="398"/>
      <c r="B561" s="398"/>
      <c r="C561" s="779"/>
      <c r="D561" s="779"/>
      <c r="E561" s="779"/>
      <c r="F561" s="779"/>
      <c r="G561" s="779"/>
      <c r="H561" s="779"/>
      <c r="I561" s="779"/>
      <c r="J561" s="779"/>
      <c r="K561" s="779"/>
      <c r="L561" s="779"/>
      <c r="M561" s="779"/>
      <c r="N561" s="606"/>
      <c r="O561" s="606"/>
      <c r="P561" s="398"/>
      <c r="Q561" s="398"/>
      <c r="R561" s="398"/>
      <c r="S561" s="398"/>
      <c r="T561" s="398"/>
      <c r="U561" s="738"/>
      <c r="V561" s="738"/>
      <c r="W561" s="738"/>
    </row>
    <row r="562" spans="1:23" ht="15.75" customHeight="1">
      <c r="A562" s="398"/>
      <c r="B562" s="398"/>
      <c r="C562" s="779"/>
      <c r="D562" s="779"/>
      <c r="E562" s="779"/>
      <c r="F562" s="779"/>
      <c r="G562" s="779"/>
      <c r="H562" s="779"/>
      <c r="I562" s="779"/>
      <c r="J562" s="779"/>
      <c r="K562" s="779"/>
      <c r="L562" s="779"/>
      <c r="M562" s="779"/>
      <c r="N562" s="606"/>
      <c r="O562" s="606"/>
      <c r="P562" s="398"/>
      <c r="Q562" s="398"/>
      <c r="R562" s="398"/>
      <c r="S562" s="398"/>
      <c r="T562" s="398"/>
      <c r="U562" s="738"/>
      <c r="V562" s="738"/>
      <c r="W562" s="738"/>
    </row>
    <row r="563" spans="1:23" ht="15.75" customHeight="1">
      <c r="A563" s="398"/>
      <c r="B563" s="398"/>
      <c r="C563" s="779"/>
      <c r="D563" s="779"/>
      <c r="E563" s="779"/>
      <c r="F563" s="779"/>
      <c r="G563" s="779"/>
      <c r="H563" s="779"/>
      <c r="I563" s="779"/>
      <c r="J563" s="779"/>
      <c r="K563" s="779"/>
      <c r="L563" s="779"/>
      <c r="M563" s="779"/>
      <c r="N563" s="606"/>
      <c r="O563" s="606"/>
      <c r="P563" s="398"/>
      <c r="Q563" s="398"/>
      <c r="R563" s="398"/>
      <c r="S563" s="398"/>
      <c r="T563" s="398"/>
      <c r="U563" s="738"/>
      <c r="V563" s="738"/>
      <c r="W563" s="738"/>
    </row>
    <row r="564" spans="1:23" ht="15.75" customHeight="1">
      <c r="A564" s="398"/>
      <c r="B564" s="398"/>
      <c r="C564" s="779"/>
      <c r="D564" s="779"/>
      <c r="E564" s="779"/>
      <c r="F564" s="779"/>
      <c r="G564" s="779"/>
      <c r="H564" s="779"/>
      <c r="I564" s="779"/>
      <c r="J564" s="779"/>
      <c r="K564" s="779"/>
      <c r="L564" s="779"/>
      <c r="M564" s="779"/>
      <c r="N564" s="606"/>
      <c r="O564" s="606"/>
      <c r="P564" s="398"/>
      <c r="Q564" s="398"/>
      <c r="R564" s="398"/>
      <c r="S564" s="398"/>
      <c r="T564" s="398"/>
      <c r="U564" s="738"/>
      <c r="V564" s="738"/>
      <c r="W564" s="738"/>
    </row>
    <row r="565" spans="1:23" ht="15.75" customHeight="1">
      <c r="A565" s="398"/>
      <c r="B565" s="398"/>
      <c r="C565" s="779"/>
      <c r="D565" s="779"/>
      <c r="E565" s="779"/>
      <c r="F565" s="779"/>
      <c r="G565" s="779"/>
      <c r="H565" s="779"/>
      <c r="I565" s="779"/>
      <c r="J565" s="779"/>
      <c r="K565" s="779"/>
      <c r="L565" s="779"/>
      <c r="M565" s="779"/>
      <c r="N565" s="606"/>
      <c r="O565" s="606"/>
      <c r="P565" s="398"/>
      <c r="Q565" s="398"/>
      <c r="R565" s="398"/>
      <c r="S565" s="398"/>
      <c r="T565" s="398"/>
      <c r="U565" s="738"/>
      <c r="V565" s="738"/>
      <c r="W565" s="738"/>
    </row>
    <row r="566" spans="1:23" ht="15.75" customHeight="1">
      <c r="A566" s="398"/>
      <c r="B566" s="398"/>
      <c r="C566" s="779"/>
      <c r="D566" s="779"/>
      <c r="E566" s="779"/>
      <c r="F566" s="779"/>
      <c r="G566" s="779"/>
      <c r="H566" s="779"/>
      <c r="I566" s="779"/>
      <c r="J566" s="779"/>
      <c r="K566" s="779"/>
      <c r="L566" s="779"/>
      <c r="M566" s="779"/>
      <c r="N566" s="606"/>
      <c r="O566" s="606"/>
      <c r="P566" s="398"/>
      <c r="Q566" s="398"/>
      <c r="R566" s="398"/>
      <c r="S566" s="398"/>
      <c r="T566" s="398"/>
      <c r="U566" s="738"/>
      <c r="V566" s="738"/>
      <c r="W566" s="738"/>
    </row>
    <row r="567" spans="1:23" ht="15.75" customHeight="1">
      <c r="A567" s="398"/>
      <c r="B567" s="398"/>
      <c r="C567" s="779"/>
      <c r="D567" s="779"/>
      <c r="E567" s="779"/>
      <c r="F567" s="779"/>
      <c r="G567" s="779"/>
      <c r="H567" s="779"/>
      <c r="I567" s="779"/>
      <c r="J567" s="779"/>
      <c r="K567" s="779"/>
      <c r="L567" s="779"/>
      <c r="M567" s="779"/>
      <c r="N567" s="398"/>
      <c r="O567" s="398"/>
      <c r="P567" s="398"/>
      <c r="Q567" s="398"/>
      <c r="R567" s="398"/>
      <c r="S567" s="398"/>
      <c r="T567" s="398"/>
      <c r="U567" s="738"/>
      <c r="V567" s="738"/>
      <c r="W567" s="738"/>
    </row>
    <row r="568" spans="1:23" ht="15.75" customHeight="1">
      <c r="A568" s="398"/>
      <c r="B568" s="398"/>
      <c r="C568" s="779"/>
      <c r="D568" s="779"/>
      <c r="E568" s="779"/>
      <c r="F568" s="779"/>
      <c r="G568" s="779"/>
      <c r="H568" s="779"/>
      <c r="I568" s="779"/>
      <c r="J568" s="779"/>
      <c r="K568" s="779"/>
      <c r="L568" s="779"/>
      <c r="M568" s="779"/>
      <c r="N568" s="398"/>
      <c r="O568" s="398"/>
      <c r="P568" s="398"/>
      <c r="Q568" s="398"/>
      <c r="R568" s="398"/>
      <c r="S568" s="398"/>
      <c r="T568" s="398"/>
      <c r="U568" s="738"/>
      <c r="V568" s="738"/>
      <c r="W568" s="738"/>
    </row>
    <row r="569" spans="1:23" ht="15.75" customHeight="1">
      <c r="A569" s="398"/>
      <c r="B569" s="398"/>
      <c r="C569" s="779"/>
      <c r="D569" s="779"/>
      <c r="E569" s="779"/>
      <c r="F569" s="779"/>
      <c r="G569" s="779"/>
      <c r="H569" s="779"/>
      <c r="I569" s="779"/>
      <c r="J569" s="779"/>
      <c r="K569" s="779"/>
      <c r="L569" s="779"/>
      <c r="M569" s="779"/>
      <c r="N569" s="398"/>
      <c r="O569" s="398"/>
      <c r="P569" s="398"/>
      <c r="Q569" s="398"/>
      <c r="R569" s="398"/>
      <c r="S569" s="398"/>
      <c r="T569" s="398"/>
      <c r="U569" s="738"/>
      <c r="V569" s="738"/>
      <c r="W569" s="738"/>
    </row>
    <row r="570" spans="1:23" ht="15.75" customHeight="1">
      <c r="A570" s="398"/>
      <c r="B570" s="398"/>
      <c r="C570" s="779"/>
      <c r="D570" s="779"/>
      <c r="E570" s="779"/>
      <c r="F570" s="779"/>
      <c r="G570" s="779"/>
      <c r="H570" s="779"/>
      <c r="I570" s="779"/>
      <c r="J570" s="779"/>
      <c r="K570" s="779"/>
      <c r="L570" s="779"/>
      <c r="M570" s="779"/>
      <c r="N570" s="398"/>
      <c r="O570" s="398"/>
      <c r="P570" s="398"/>
      <c r="Q570" s="398"/>
      <c r="R570" s="398"/>
      <c r="S570" s="398"/>
      <c r="T570" s="398"/>
      <c r="U570" s="738"/>
      <c r="V570" s="738"/>
      <c r="W570" s="738"/>
    </row>
    <row r="571" spans="1:23" ht="15.75" customHeight="1">
      <c r="A571" s="398"/>
      <c r="B571" s="398"/>
      <c r="C571" s="779"/>
      <c r="D571" s="779"/>
      <c r="E571" s="779"/>
      <c r="F571" s="779"/>
      <c r="G571" s="779"/>
      <c r="H571" s="779"/>
      <c r="I571" s="779"/>
      <c r="J571" s="779"/>
      <c r="K571" s="779"/>
      <c r="L571" s="779"/>
      <c r="M571" s="779"/>
      <c r="N571" s="398"/>
      <c r="O571" s="398"/>
      <c r="P571" s="398"/>
      <c r="Q571" s="398"/>
      <c r="R571" s="398"/>
      <c r="S571" s="398"/>
      <c r="T571" s="398"/>
      <c r="U571" s="738"/>
      <c r="V571" s="738"/>
      <c r="W571" s="738"/>
    </row>
    <row r="572" spans="1:23" ht="15.75" customHeight="1">
      <c r="A572" s="398"/>
      <c r="B572" s="398"/>
      <c r="C572" s="779"/>
      <c r="D572" s="779"/>
      <c r="E572" s="779"/>
      <c r="F572" s="779"/>
      <c r="G572" s="779"/>
      <c r="H572" s="779"/>
      <c r="I572" s="779"/>
      <c r="J572" s="779"/>
      <c r="K572" s="779"/>
      <c r="L572" s="779"/>
      <c r="M572" s="779"/>
      <c r="N572" s="398"/>
      <c r="O572" s="398"/>
      <c r="P572" s="398"/>
      <c r="Q572" s="398"/>
      <c r="R572" s="398"/>
      <c r="S572" s="398"/>
      <c r="T572" s="398"/>
      <c r="U572" s="738"/>
      <c r="V572" s="738"/>
      <c r="W572" s="738"/>
    </row>
    <row r="573" spans="1:23" ht="15.75" customHeight="1">
      <c r="A573" s="398"/>
      <c r="B573" s="398"/>
      <c r="C573" s="779"/>
      <c r="D573" s="779"/>
      <c r="E573" s="779"/>
      <c r="F573" s="779"/>
      <c r="G573" s="779"/>
      <c r="H573" s="779"/>
      <c r="I573" s="779"/>
      <c r="J573" s="779"/>
      <c r="K573" s="779"/>
      <c r="L573" s="779"/>
      <c r="M573" s="779"/>
      <c r="N573" s="398"/>
      <c r="O573" s="398"/>
      <c r="P573" s="398"/>
      <c r="Q573" s="398"/>
      <c r="R573" s="398"/>
      <c r="S573" s="398"/>
      <c r="T573" s="398"/>
      <c r="U573" s="738"/>
      <c r="V573" s="738"/>
      <c r="W573" s="738"/>
    </row>
    <row r="574" spans="1:23" ht="15.75" customHeight="1">
      <c r="A574" s="398"/>
      <c r="B574" s="398"/>
      <c r="C574" s="779"/>
      <c r="D574" s="779"/>
      <c r="E574" s="779"/>
      <c r="F574" s="779"/>
      <c r="G574" s="779"/>
      <c r="H574" s="779"/>
      <c r="I574" s="779"/>
      <c r="J574" s="779"/>
      <c r="K574" s="779"/>
      <c r="L574" s="779"/>
      <c r="M574" s="779"/>
      <c r="N574" s="398"/>
      <c r="O574" s="398"/>
      <c r="P574" s="398"/>
      <c r="Q574" s="398"/>
      <c r="R574" s="398"/>
      <c r="S574" s="398"/>
      <c r="T574" s="398"/>
      <c r="U574" s="738"/>
      <c r="V574" s="738"/>
      <c r="W574" s="738"/>
    </row>
    <row r="575" spans="1:23" ht="15.75" customHeight="1">
      <c r="A575" s="398"/>
      <c r="B575" s="398"/>
      <c r="C575" s="779"/>
      <c r="D575" s="779"/>
      <c r="E575" s="779"/>
      <c r="F575" s="779"/>
      <c r="G575" s="779"/>
      <c r="H575" s="779"/>
      <c r="I575" s="779"/>
      <c r="J575" s="779"/>
      <c r="K575" s="779"/>
      <c r="L575" s="779"/>
      <c r="M575" s="779"/>
      <c r="N575" s="398"/>
      <c r="O575" s="398"/>
      <c r="P575" s="398"/>
      <c r="Q575" s="398"/>
      <c r="R575" s="398"/>
      <c r="S575" s="398"/>
      <c r="T575" s="398"/>
      <c r="U575" s="738"/>
      <c r="V575" s="738"/>
      <c r="W575" s="738"/>
    </row>
    <row r="576" spans="1:23" ht="15.75" customHeight="1">
      <c r="A576" s="398"/>
      <c r="B576" s="398"/>
      <c r="C576" s="779"/>
      <c r="D576" s="779"/>
      <c r="E576" s="779"/>
      <c r="F576" s="779"/>
      <c r="G576" s="779"/>
      <c r="H576" s="779"/>
      <c r="I576" s="779"/>
      <c r="J576" s="779"/>
      <c r="K576" s="779"/>
      <c r="L576" s="779"/>
      <c r="M576" s="779"/>
      <c r="N576" s="398"/>
      <c r="O576" s="398"/>
      <c r="P576" s="398"/>
      <c r="Q576" s="398"/>
      <c r="R576" s="398"/>
      <c r="S576" s="398"/>
      <c r="T576" s="398"/>
      <c r="U576" s="738"/>
      <c r="V576" s="738"/>
      <c r="W576" s="738"/>
    </row>
    <row r="577" spans="1:23" ht="15.75" customHeight="1">
      <c r="A577" s="398"/>
      <c r="B577" s="398"/>
      <c r="C577" s="779"/>
      <c r="D577" s="779"/>
      <c r="E577" s="779"/>
      <c r="F577" s="779"/>
      <c r="G577" s="779"/>
      <c r="H577" s="779"/>
      <c r="I577" s="779"/>
      <c r="J577" s="779"/>
      <c r="K577" s="779"/>
      <c r="L577" s="779"/>
      <c r="M577" s="779"/>
      <c r="N577" s="398"/>
      <c r="O577" s="398"/>
      <c r="P577" s="398"/>
      <c r="Q577" s="398"/>
      <c r="R577" s="398"/>
      <c r="S577" s="398"/>
      <c r="T577" s="398"/>
      <c r="U577" s="738"/>
      <c r="V577" s="738"/>
      <c r="W577" s="738"/>
    </row>
    <row r="578" spans="1:23" ht="15.75" customHeight="1">
      <c r="A578" s="398"/>
      <c r="B578" s="398"/>
      <c r="C578" s="779"/>
      <c r="D578" s="779"/>
      <c r="E578" s="779"/>
      <c r="F578" s="779"/>
      <c r="G578" s="779"/>
      <c r="H578" s="779"/>
      <c r="I578" s="779"/>
      <c r="J578" s="779"/>
      <c r="K578" s="779"/>
      <c r="L578" s="779"/>
      <c r="M578" s="779"/>
      <c r="N578" s="398"/>
      <c r="O578" s="398"/>
      <c r="P578" s="398"/>
      <c r="Q578" s="398"/>
      <c r="R578" s="398"/>
      <c r="S578" s="398"/>
      <c r="T578" s="398"/>
      <c r="U578" s="738"/>
      <c r="V578" s="738"/>
      <c r="W578" s="738"/>
    </row>
    <row r="579" spans="1:23" ht="15.75" customHeight="1">
      <c r="A579" s="398"/>
      <c r="B579" s="398"/>
      <c r="C579" s="779"/>
      <c r="D579" s="779"/>
      <c r="E579" s="779"/>
      <c r="F579" s="779"/>
      <c r="G579" s="779"/>
      <c r="H579" s="779"/>
      <c r="I579" s="779"/>
      <c r="J579" s="779"/>
      <c r="K579" s="779"/>
      <c r="L579" s="779"/>
      <c r="M579" s="779"/>
      <c r="N579" s="398"/>
      <c r="O579" s="398"/>
      <c r="P579" s="398"/>
      <c r="Q579" s="398"/>
      <c r="R579" s="398"/>
      <c r="S579" s="398"/>
      <c r="T579" s="398"/>
      <c r="U579" s="738"/>
      <c r="V579" s="738"/>
      <c r="W579" s="738"/>
    </row>
    <row r="580" spans="1:23" ht="15.75" customHeight="1">
      <c r="A580" s="398"/>
      <c r="B580" s="398"/>
      <c r="C580" s="779"/>
      <c r="D580" s="779"/>
      <c r="E580" s="779"/>
      <c r="F580" s="779"/>
      <c r="G580" s="779"/>
      <c r="H580" s="779"/>
      <c r="I580" s="779"/>
      <c r="J580" s="779"/>
      <c r="K580" s="779"/>
      <c r="L580" s="779"/>
      <c r="M580" s="779"/>
      <c r="N580" s="398"/>
      <c r="O580" s="398"/>
      <c r="P580" s="398"/>
      <c r="Q580" s="398"/>
      <c r="R580" s="398"/>
      <c r="S580" s="398"/>
      <c r="T580" s="398"/>
      <c r="U580" s="738"/>
      <c r="V580" s="738"/>
      <c r="W580" s="738"/>
    </row>
    <row r="581" spans="1:23" ht="15.75" customHeight="1">
      <c r="A581" s="398"/>
      <c r="B581" s="398"/>
      <c r="C581" s="779"/>
      <c r="D581" s="779"/>
      <c r="E581" s="779"/>
      <c r="F581" s="779"/>
      <c r="G581" s="779"/>
      <c r="H581" s="779"/>
      <c r="I581" s="779"/>
      <c r="J581" s="779"/>
      <c r="K581" s="779"/>
      <c r="L581" s="779"/>
      <c r="M581" s="779"/>
      <c r="N581" s="398"/>
      <c r="O581" s="398"/>
      <c r="P581" s="398"/>
      <c r="Q581" s="398"/>
      <c r="R581" s="398"/>
      <c r="S581" s="398"/>
      <c r="T581" s="398"/>
      <c r="U581" s="738"/>
      <c r="V581" s="738"/>
      <c r="W581" s="738"/>
    </row>
    <row r="582" spans="1:23" ht="15.75" customHeight="1">
      <c r="A582" s="398"/>
      <c r="B582" s="398"/>
      <c r="C582" s="779"/>
      <c r="D582" s="779"/>
      <c r="E582" s="779"/>
      <c r="F582" s="779"/>
      <c r="G582" s="779"/>
      <c r="H582" s="779"/>
      <c r="I582" s="779"/>
      <c r="J582" s="779"/>
      <c r="K582" s="779"/>
      <c r="L582" s="779"/>
      <c r="M582" s="779"/>
      <c r="N582" s="398"/>
      <c r="O582" s="398"/>
      <c r="P582" s="398"/>
      <c r="Q582" s="398"/>
      <c r="R582" s="398"/>
      <c r="S582" s="398"/>
      <c r="T582" s="398"/>
      <c r="U582" s="738"/>
      <c r="V582" s="738"/>
      <c r="W582" s="738"/>
    </row>
    <row r="583" spans="1:23" ht="15.75" customHeight="1">
      <c r="A583" s="398"/>
      <c r="B583" s="398"/>
      <c r="C583" s="779"/>
      <c r="D583" s="779"/>
      <c r="E583" s="779"/>
      <c r="F583" s="779"/>
      <c r="G583" s="779"/>
      <c r="H583" s="779"/>
      <c r="I583" s="779"/>
      <c r="J583" s="779"/>
      <c r="K583" s="779"/>
      <c r="L583" s="779"/>
      <c r="M583" s="779"/>
      <c r="N583" s="398"/>
      <c r="O583" s="398"/>
      <c r="P583" s="398"/>
      <c r="Q583" s="398"/>
      <c r="R583" s="398"/>
      <c r="S583" s="398"/>
      <c r="T583" s="398"/>
      <c r="U583" s="738"/>
      <c r="V583" s="738"/>
      <c r="W583" s="738"/>
    </row>
    <row r="584" spans="1:23" ht="15.75" customHeight="1">
      <c r="A584" s="398"/>
      <c r="B584" s="398"/>
      <c r="C584" s="779"/>
      <c r="D584" s="779"/>
      <c r="E584" s="779"/>
      <c r="F584" s="779"/>
      <c r="G584" s="779"/>
      <c r="H584" s="779"/>
      <c r="I584" s="779"/>
      <c r="J584" s="779"/>
      <c r="K584" s="779"/>
      <c r="L584" s="779"/>
      <c r="M584" s="779"/>
      <c r="N584" s="398"/>
      <c r="O584" s="398"/>
      <c r="P584" s="398"/>
      <c r="Q584" s="398"/>
      <c r="R584" s="398"/>
      <c r="S584" s="398"/>
      <c r="T584" s="398"/>
      <c r="U584" s="738"/>
      <c r="V584" s="738"/>
      <c r="W584" s="738"/>
    </row>
    <row r="585" spans="1:23" ht="15.75" customHeight="1">
      <c r="A585" s="398"/>
      <c r="B585" s="398"/>
      <c r="C585" s="779"/>
      <c r="D585" s="779"/>
      <c r="E585" s="779"/>
      <c r="F585" s="779"/>
      <c r="G585" s="779"/>
      <c r="H585" s="779"/>
      <c r="I585" s="779"/>
      <c r="J585" s="779"/>
      <c r="K585" s="779"/>
      <c r="L585" s="779"/>
      <c r="M585" s="779"/>
      <c r="N585" s="398"/>
      <c r="O585" s="398"/>
      <c r="P585" s="398"/>
      <c r="Q585" s="398"/>
      <c r="R585" s="398"/>
      <c r="S585" s="398"/>
      <c r="T585" s="398"/>
      <c r="U585" s="738"/>
      <c r="V585" s="738"/>
      <c r="W585" s="738"/>
    </row>
    <row r="586" spans="1:23" ht="15.75" customHeight="1">
      <c r="A586" s="398"/>
      <c r="B586" s="398"/>
      <c r="C586" s="779"/>
      <c r="D586" s="779"/>
      <c r="E586" s="779"/>
      <c r="F586" s="779"/>
      <c r="G586" s="779"/>
      <c r="H586" s="779"/>
      <c r="I586" s="779"/>
      <c r="J586" s="779"/>
      <c r="K586" s="779"/>
      <c r="L586" s="779"/>
      <c r="M586" s="779"/>
      <c r="N586" s="398"/>
      <c r="O586" s="398"/>
      <c r="P586" s="398"/>
      <c r="Q586" s="398"/>
      <c r="R586" s="398"/>
      <c r="S586" s="398"/>
      <c r="T586" s="398"/>
      <c r="U586" s="738"/>
      <c r="V586" s="738"/>
      <c r="W586" s="738"/>
    </row>
    <row r="587" spans="1:23" ht="15.75" customHeight="1">
      <c r="A587" s="398"/>
      <c r="B587" s="398"/>
      <c r="C587" s="779"/>
      <c r="D587" s="779"/>
      <c r="E587" s="779"/>
      <c r="F587" s="779"/>
      <c r="G587" s="779"/>
      <c r="H587" s="779"/>
      <c r="I587" s="779"/>
      <c r="J587" s="779"/>
      <c r="K587" s="779"/>
      <c r="L587" s="779"/>
      <c r="M587" s="779"/>
      <c r="N587" s="398"/>
      <c r="O587" s="398"/>
      <c r="P587" s="398"/>
      <c r="Q587" s="398"/>
      <c r="R587" s="398"/>
      <c r="S587" s="398"/>
      <c r="T587" s="398"/>
      <c r="U587" s="738"/>
      <c r="V587" s="738"/>
      <c r="W587" s="738"/>
    </row>
    <row r="588" spans="1:23" ht="15.75" customHeight="1">
      <c r="A588" s="398"/>
      <c r="B588" s="398"/>
      <c r="C588" s="779"/>
      <c r="D588" s="779"/>
      <c r="E588" s="779"/>
      <c r="F588" s="779"/>
      <c r="G588" s="779"/>
      <c r="H588" s="779"/>
      <c r="I588" s="779"/>
      <c r="J588" s="779"/>
      <c r="K588" s="779"/>
      <c r="L588" s="779"/>
      <c r="M588" s="779"/>
      <c r="N588" s="398"/>
      <c r="O588" s="398"/>
      <c r="P588" s="398"/>
      <c r="Q588" s="398"/>
      <c r="R588" s="398"/>
      <c r="S588" s="398"/>
      <c r="T588" s="398"/>
      <c r="U588" s="738"/>
      <c r="V588" s="738"/>
      <c r="W588" s="738"/>
    </row>
    <row r="589" spans="1:23" ht="15.75" customHeight="1">
      <c r="A589" s="398"/>
      <c r="B589" s="398"/>
      <c r="C589" s="779"/>
      <c r="D589" s="779"/>
      <c r="E589" s="779"/>
      <c r="F589" s="779"/>
      <c r="G589" s="779"/>
      <c r="H589" s="779"/>
      <c r="I589" s="779"/>
      <c r="J589" s="779"/>
      <c r="K589" s="779"/>
      <c r="L589" s="779"/>
      <c r="M589" s="779"/>
      <c r="N589" s="398"/>
      <c r="O589" s="398"/>
      <c r="P589" s="398"/>
      <c r="Q589" s="398"/>
      <c r="R589" s="398"/>
      <c r="S589" s="398"/>
      <c r="T589" s="398"/>
      <c r="U589" s="738"/>
      <c r="V589" s="738"/>
      <c r="W589" s="738"/>
    </row>
    <row r="590" spans="1:23" ht="15.75" customHeight="1">
      <c r="A590" s="398"/>
      <c r="B590" s="398"/>
      <c r="C590" s="779"/>
      <c r="D590" s="779"/>
      <c r="E590" s="779"/>
      <c r="F590" s="779"/>
      <c r="G590" s="779"/>
      <c r="H590" s="779"/>
      <c r="I590" s="779"/>
      <c r="J590" s="779"/>
      <c r="K590" s="779"/>
      <c r="L590" s="779"/>
      <c r="M590" s="779"/>
      <c r="N590" s="398"/>
      <c r="O590" s="398"/>
      <c r="P590" s="398"/>
      <c r="Q590" s="398"/>
      <c r="R590" s="398"/>
      <c r="S590" s="398"/>
      <c r="T590" s="398"/>
      <c r="U590" s="738"/>
      <c r="V590" s="738"/>
      <c r="W590" s="738"/>
    </row>
    <row r="591" spans="1:23" ht="15.75" customHeight="1">
      <c r="A591" s="398"/>
      <c r="B591" s="398"/>
      <c r="C591" s="779"/>
      <c r="D591" s="779"/>
      <c r="E591" s="779"/>
      <c r="F591" s="779"/>
      <c r="G591" s="779"/>
      <c r="H591" s="779"/>
      <c r="I591" s="779"/>
      <c r="J591" s="779"/>
      <c r="K591" s="779"/>
      <c r="L591" s="779"/>
      <c r="M591" s="779"/>
      <c r="N591" s="398"/>
      <c r="O591" s="398"/>
      <c r="P591" s="398"/>
      <c r="Q591" s="398"/>
      <c r="R591" s="398"/>
      <c r="S591" s="398"/>
      <c r="T591" s="398"/>
      <c r="U591" s="738"/>
      <c r="V591" s="738"/>
      <c r="W591" s="738"/>
    </row>
    <row r="592" spans="1:23" ht="15.75" customHeight="1">
      <c r="A592" s="398"/>
      <c r="B592" s="398"/>
      <c r="C592" s="779"/>
      <c r="D592" s="779"/>
      <c r="E592" s="779"/>
      <c r="F592" s="779"/>
      <c r="G592" s="779"/>
      <c r="H592" s="779"/>
      <c r="I592" s="779"/>
      <c r="J592" s="779"/>
      <c r="K592" s="779"/>
      <c r="L592" s="779"/>
      <c r="M592" s="779"/>
      <c r="N592" s="398"/>
      <c r="O592" s="398"/>
      <c r="P592" s="398"/>
      <c r="Q592" s="398"/>
      <c r="R592" s="398"/>
      <c r="S592" s="398"/>
      <c r="T592" s="398"/>
      <c r="U592" s="738"/>
      <c r="V592" s="738"/>
      <c r="W592" s="738"/>
    </row>
    <row r="593" spans="1:23" ht="15.75" customHeight="1">
      <c r="A593" s="398"/>
      <c r="B593" s="398"/>
      <c r="C593" s="779"/>
      <c r="D593" s="779"/>
      <c r="E593" s="779"/>
      <c r="F593" s="779"/>
      <c r="G593" s="779"/>
      <c r="H593" s="779"/>
      <c r="I593" s="779"/>
      <c r="J593" s="779"/>
      <c r="K593" s="779"/>
      <c r="L593" s="779"/>
      <c r="M593" s="779"/>
      <c r="N593" s="398"/>
      <c r="O593" s="398"/>
      <c r="P593" s="398"/>
      <c r="Q593" s="398"/>
      <c r="R593" s="398"/>
      <c r="S593" s="398"/>
      <c r="T593" s="398"/>
      <c r="U593" s="738"/>
      <c r="V593" s="738"/>
      <c r="W593" s="738"/>
    </row>
    <row r="594" spans="1:23" ht="15.75" customHeight="1">
      <c r="A594" s="398"/>
      <c r="B594" s="398"/>
      <c r="C594" s="779"/>
      <c r="D594" s="779"/>
      <c r="E594" s="779"/>
      <c r="F594" s="779"/>
      <c r="G594" s="779"/>
      <c r="H594" s="779"/>
      <c r="I594" s="779"/>
      <c r="J594" s="779"/>
      <c r="K594" s="779"/>
      <c r="L594" s="779"/>
      <c r="M594" s="779"/>
      <c r="N594" s="398"/>
      <c r="O594" s="398"/>
      <c r="P594" s="398"/>
      <c r="Q594" s="398"/>
      <c r="R594" s="398"/>
      <c r="S594" s="398"/>
      <c r="T594" s="398"/>
      <c r="U594" s="738"/>
      <c r="V594" s="738"/>
      <c r="W594" s="738"/>
    </row>
    <row r="595" spans="1:23" ht="15.75" customHeight="1">
      <c r="A595" s="398"/>
      <c r="B595" s="398"/>
      <c r="C595" s="779"/>
      <c r="D595" s="779"/>
      <c r="E595" s="779"/>
      <c r="F595" s="779"/>
      <c r="G595" s="779"/>
      <c r="H595" s="779"/>
      <c r="I595" s="779"/>
      <c r="J595" s="779"/>
      <c r="K595" s="779"/>
      <c r="L595" s="779"/>
      <c r="M595" s="779"/>
      <c r="N595" s="398"/>
      <c r="O595" s="398"/>
      <c r="P595" s="398"/>
      <c r="Q595" s="398"/>
      <c r="R595" s="398"/>
      <c r="S595" s="398"/>
      <c r="T595" s="398"/>
      <c r="U595" s="738"/>
      <c r="V595" s="738"/>
      <c r="W595" s="738"/>
    </row>
    <row r="596" spans="1:23" ht="15.75" customHeight="1">
      <c r="A596" s="398"/>
      <c r="B596" s="398"/>
      <c r="C596" s="779"/>
      <c r="D596" s="779"/>
      <c r="E596" s="779"/>
      <c r="F596" s="779"/>
      <c r="G596" s="779"/>
      <c r="H596" s="779"/>
      <c r="I596" s="779"/>
      <c r="J596" s="779"/>
      <c r="K596" s="779"/>
      <c r="L596" s="779"/>
      <c r="M596" s="779"/>
      <c r="N596" s="398"/>
      <c r="O596" s="398"/>
      <c r="P596" s="398"/>
      <c r="Q596" s="398"/>
      <c r="R596" s="398"/>
      <c r="S596" s="398"/>
      <c r="T596" s="398"/>
      <c r="U596" s="738"/>
      <c r="V596" s="738"/>
      <c r="W596" s="738"/>
    </row>
    <row r="597" spans="1:23" ht="15.75" customHeight="1">
      <c r="A597" s="398"/>
      <c r="B597" s="398"/>
      <c r="C597" s="779"/>
      <c r="D597" s="779"/>
      <c r="E597" s="779"/>
      <c r="F597" s="779"/>
      <c r="G597" s="779"/>
      <c r="H597" s="779"/>
      <c r="I597" s="779"/>
      <c r="J597" s="779"/>
      <c r="K597" s="779"/>
      <c r="L597" s="779"/>
      <c r="M597" s="779"/>
      <c r="N597" s="398"/>
      <c r="O597" s="398"/>
      <c r="P597" s="398"/>
      <c r="Q597" s="398"/>
      <c r="R597" s="398"/>
      <c r="S597" s="398"/>
      <c r="T597" s="398"/>
      <c r="U597" s="738"/>
      <c r="V597" s="738"/>
      <c r="W597" s="738"/>
    </row>
    <row r="598" spans="1:23" ht="15.75" customHeight="1">
      <c r="A598" s="398"/>
      <c r="B598" s="398"/>
      <c r="C598" s="779"/>
      <c r="D598" s="779"/>
      <c r="E598" s="779"/>
      <c r="F598" s="779"/>
      <c r="G598" s="779"/>
      <c r="H598" s="779"/>
      <c r="I598" s="779"/>
      <c r="J598" s="779"/>
      <c r="K598" s="779"/>
      <c r="L598" s="779"/>
      <c r="M598" s="779"/>
      <c r="N598" s="398"/>
      <c r="O598" s="398"/>
      <c r="P598" s="398"/>
      <c r="Q598" s="398"/>
      <c r="R598" s="398"/>
      <c r="S598" s="398"/>
      <c r="T598" s="398"/>
      <c r="U598" s="738"/>
      <c r="V598" s="738"/>
      <c r="W598" s="738"/>
    </row>
    <row r="599" spans="1:23" ht="15.75" customHeight="1">
      <c r="A599" s="398"/>
      <c r="B599" s="398"/>
      <c r="C599" s="779"/>
      <c r="D599" s="779"/>
      <c r="E599" s="779"/>
      <c r="F599" s="779"/>
      <c r="G599" s="779"/>
      <c r="H599" s="779"/>
      <c r="I599" s="779"/>
      <c r="J599" s="779"/>
      <c r="K599" s="779"/>
      <c r="L599" s="779"/>
      <c r="M599" s="779"/>
      <c r="N599" s="398"/>
      <c r="O599" s="398"/>
      <c r="P599" s="398"/>
      <c r="Q599" s="398"/>
      <c r="R599" s="398"/>
      <c r="S599" s="398"/>
      <c r="T599" s="398"/>
      <c r="U599" s="738"/>
      <c r="V599" s="738"/>
      <c r="W599" s="738"/>
    </row>
    <row r="600" spans="1:23" ht="15.75" customHeight="1">
      <c r="A600" s="398"/>
      <c r="B600" s="398"/>
      <c r="C600" s="779"/>
      <c r="D600" s="779"/>
      <c r="E600" s="779"/>
      <c r="F600" s="779"/>
      <c r="G600" s="779"/>
      <c r="H600" s="779"/>
      <c r="I600" s="779"/>
      <c r="J600" s="779"/>
      <c r="K600" s="779"/>
      <c r="L600" s="779"/>
      <c r="M600" s="779"/>
      <c r="N600" s="398"/>
      <c r="O600" s="398"/>
      <c r="P600" s="398"/>
      <c r="Q600" s="398"/>
      <c r="R600" s="398"/>
      <c r="S600" s="398"/>
      <c r="T600" s="398"/>
      <c r="U600" s="738"/>
      <c r="V600" s="738"/>
      <c r="W600" s="738"/>
    </row>
    <row r="601" spans="1:23" ht="15.75" customHeight="1">
      <c r="A601" s="398"/>
      <c r="B601" s="398"/>
      <c r="C601" s="779"/>
      <c r="D601" s="779"/>
      <c r="E601" s="779"/>
      <c r="F601" s="779"/>
      <c r="G601" s="779"/>
      <c r="H601" s="779"/>
      <c r="I601" s="779"/>
      <c r="J601" s="779"/>
      <c r="K601" s="779"/>
      <c r="L601" s="779"/>
      <c r="M601" s="779"/>
      <c r="N601" s="398"/>
      <c r="O601" s="398"/>
      <c r="P601" s="398"/>
      <c r="Q601" s="398"/>
      <c r="R601" s="398"/>
      <c r="S601" s="398"/>
      <c r="T601" s="398"/>
      <c r="U601" s="738"/>
      <c r="V601" s="738"/>
      <c r="W601" s="738"/>
    </row>
    <row r="602" spans="1:23" ht="15.75" customHeight="1">
      <c r="A602" s="398"/>
      <c r="B602" s="398"/>
      <c r="C602" s="779"/>
      <c r="D602" s="779"/>
      <c r="E602" s="779"/>
      <c r="F602" s="779"/>
      <c r="G602" s="779"/>
      <c r="H602" s="779"/>
      <c r="I602" s="779"/>
      <c r="J602" s="779"/>
      <c r="K602" s="779"/>
      <c r="L602" s="779"/>
      <c r="M602" s="779"/>
      <c r="N602" s="398"/>
      <c r="O602" s="398"/>
      <c r="P602" s="398"/>
      <c r="Q602" s="398"/>
      <c r="R602" s="398"/>
      <c r="S602" s="398"/>
      <c r="T602" s="398"/>
      <c r="U602" s="738"/>
      <c r="V602" s="738"/>
      <c r="W602" s="738"/>
    </row>
    <row r="603" spans="1:23" ht="15.75" customHeight="1">
      <c r="A603" s="398"/>
      <c r="B603" s="398"/>
      <c r="C603" s="779"/>
      <c r="D603" s="779"/>
      <c r="E603" s="779"/>
      <c r="F603" s="779"/>
      <c r="G603" s="779"/>
      <c r="H603" s="779"/>
      <c r="I603" s="779"/>
      <c r="J603" s="779"/>
      <c r="K603" s="779"/>
      <c r="L603" s="779"/>
      <c r="M603" s="779"/>
      <c r="N603" s="398"/>
      <c r="O603" s="398"/>
      <c r="P603" s="398"/>
      <c r="Q603" s="398"/>
      <c r="R603" s="398"/>
      <c r="S603" s="398"/>
      <c r="T603" s="398"/>
      <c r="U603" s="738"/>
      <c r="V603" s="738"/>
      <c r="W603" s="738"/>
    </row>
    <row r="604" spans="1:23" ht="15.75" customHeight="1">
      <c r="A604" s="398"/>
      <c r="B604" s="398"/>
      <c r="C604" s="779"/>
      <c r="D604" s="779"/>
      <c r="E604" s="779"/>
      <c r="F604" s="779"/>
      <c r="G604" s="779"/>
      <c r="H604" s="779"/>
      <c r="I604" s="779"/>
      <c r="J604" s="779"/>
      <c r="K604" s="779"/>
      <c r="L604" s="779"/>
      <c r="M604" s="779"/>
      <c r="N604" s="398"/>
      <c r="O604" s="398"/>
      <c r="P604" s="398"/>
      <c r="Q604" s="398"/>
      <c r="R604" s="398"/>
      <c r="S604" s="398"/>
      <c r="T604" s="398"/>
      <c r="U604" s="738"/>
      <c r="V604" s="738"/>
      <c r="W604" s="738"/>
    </row>
    <row r="605" spans="1:23" ht="15.75" customHeight="1">
      <c r="A605" s="398"/>
      <c r="B605" s="398"/>
      <c r="C605" s="779"/>
      <c r="D605" s="779"/>
      <c r="E605" s="779"/>
      <c r="F605" s="779"/>
      <c r="G605" s="779"/>
      <c r="H605" s="779"/>
      <c r="I605" s="779"/>
      <c r="J605" s="779"/>
      <c r="K605" s="779"/>
      <c r="L605" s="779"/>
      <c r="M605" s="779"/>
      <c r="N605" s="398"/>
      <c r="O605" s="398"/>
      <c r="P605" s="398"/>
      <c r="Q605" s="398"/>
      <c r="R605" s="398"/>
      <c r="S605" s="398"/>
      <c r="T605" s="398"/>
      <c r="U605" s="738"/>
      <c r="V605" s="738"/>
      <c r="W605" s="738"/>
    </row>
    <row r="606" spans="1:23" ht="15.75" customHeight="1">
      <c r="A606" s="398"/>
      <c r="B606" s="398"/>
      <c r="C606" s="779"/>
      <c r="D606" s="779"/>
      <c r="E606" s="779"/>
      <c r="F606" s="779"/>
      <c r="G606" s="779"/>
      <c r="H606" s="779"/>
      <c r="I606" s="779"/>
      <c r="J606" s="779"/>
      <c r="K606" s="779"/>
      <c r="L606" s="779"/>
      <c r="M606" s="779"/>
      <c r="N606" s="398"/>
      <c r="O606" s="398"/>
      <c r="P606" s="398"/>
      <c r="Q606" s="398"/>
      <c r="R606" s="398"/>
      <c r="S606" s="398"/>
      <c r="T606" s="398"/>
      <c r="U606" s="738"/>
      <c r="V606" s="738"/>
      <c r="W606" s="738"/>
    </row>
    <row r="607" spans="1:23" ht="15.75" customHeight="1">
      <c r="A607" s="398"/>
      <c r="B607" s="398"/>
      <c r="C607" s="779"/>
      <c r="D607" s="779"/>
      <c r="E607" s="779"/>
      <c r="F607" s="779"/>
      <c r="G607" s="779"/>
      <c r="H607" s="779"/>
      <c r="I607" s="779"/>
      <c r="J607" s="779"/>
      <c r="K607" s="779"/>
      <c r="L607" s="779"/>
      <c r="M607" s="779"/>
      <c r="N607" s="398"/>
      <c r="O607" s="398"/>
      <c r="P607" s="398"/>
      <c r="Q607" s="398"/>
      <c r="R607" s="398"/>
      <c r="S607" s="398"/>
      <c r="T607" s="398"/>
      <c r="U607" s="738"/>
      <c r="V607" s="738"/>
      <c r="W607" s="738"/>
    </row>
    <row r="608" spans="1:23" ht="15.75" customHeight="1">
      <c r="A608" s="398"/>
      <c r="B608" s="398"/>
      <c r="C608" s="779"/>
      <c r="D608" s="779"/>
      <c r="E608" s="779"/>
      <c r="F608" s="779"/>
      <c r="G608" s="779"/>
      <c r="H608" s="779"/>
      <c r="I608" s="779"/>
      <c r="J608" s="779"/>
      <c r="K608" s="779"/>
      <c r="L608" s="779"/>
      <c r="M608" s="779"/>
      <c r="N608" s="398"/>
      <c r="O608" s="398"/>
      <c r="P608" s="398"/>
      <c r="Q608" s="398"/>
      <c r="R608" s="398"/>
      <c r="S608" s="398"/>
      <c r="T608" s="398"/>
      <c r="U608" s="738"/>
      <c r="V608" s="738"/>
      <c r="W608" s="738"/>
    </row>
    <row r="609" spans="1:23" ht="15.75" customHeight="1">
      <c r="A609" s="398"/>
      <c r="B609" s="398"/>
      <c r="C609" s="779"/>
      <c r="D609" s="779"/>
      <c r="E609" s="779"/>
      <c r="F609" s="779"/>
      <c r="G609" s="779"/>
      <c r="H609" s="779"/>
      <c r="I609" s="779"/>
      <c r="J609" s="779"/>
      <c r="K609" s="779"/>
      <c r="L609" s="779"/>
      <c r="M609" s="779"/>
      <c r="N609" s="398"/>
      <c r="O609" s="398"/>
      <c r="P609" s="398"/>
      <c r="Q609" s="398"/>
      <c r="R609" s="398"/>
      <c r="S609" s="398"/>
      <c r="T609" s="398"/>
      <c r="U609" s="738"/>
      <c r="V609" s="738"/>
      <c r="W609" s="738"/>
    </row>
    <row r="610" spans="1:23" ht="15.75" customHeight="1">
      <c r="A610" s="398"/>
      <c r="B610" s="398"/>
      <c r="C610" s="779"/>
      <c r="D610" s="779"/>
      <c r="E610" s="779"/>
      <c r="F610" s="779"/>
      <c r="G610" s="779"/>
      <c r="H610" s="779"/>
      <c r="I610" s="779"/>
      <c r="J610" s="779"/>
      <c r="K610" s="779"/>
      <c r="L610" s="779"/>
      <c r="M610" s="779"/>
      <c r="N610" s="398"/>
      <c r="O610" s="398"/>
      <c r="P610" s="398"/>
      <c r="Q610" s="398"/>
      <c r="R610" s="398"/>
      <c r="S610" s="398"/>
      <c r="T610" s="398"/>
      <c r="U610" s="738"/>
      <c r="V610" s="738"/>
      <c r="W610" s="738"/>
    </row>
    <row r="611" spans="1:23" ht="15.75" customHeight="1">
      <c r="A611" s="398"/>
      <c r="B611" s="398"/>
      <c r="C611" s="779"/>
      <c r="D611" s="779"/>
      <c r="E611" s="779"/>
      <c r="F611" s="779"/>
      <c r="G611" s="779"/>
      <c r="H611" s="779"/>
      <c r="I611" s="779"/>
      <c r="J611" s="779"/>
      <c r="K611" s="779"/>
      <c r="L611" s="779"/>
      <c r="M611" s="779"/>
      <c r="N611" s="398"/>
      <c r="O611" s="398"/>
      <c r="P611" s="398"/>
      <c r="Q611" s="398"/>
      <c r="R611" s="398"/>
      <c r="S611" s="398"/>
      <c r="T611" s="398"/>
      <c r="U611" s="738"/>
      <c r="V611" s="738"/>
      <c r="W611" s="738"/>
    </row>
    <row r="612" spans="1:23" ht="15.75" customHeight="1">
      <c r="A612" s="398"/>
      <c r="B612" s="398"/>
      <c r="C612" s="779"/>
      <c r="D612" s="779"/>
      <c r="E612" s="779"/>
      <c r="F612" s="779"/>
      <c r="G612" s="779"/>
      <c r="H612" s="779"/>
      <c r="I612" s="779"/>
      <c r="J612" s="779"/>
      <c r="K612" s="779"/>
      <c r="L612" s="779"/>
      <c r="M612" s="779"/>
      <c r="N612" s="398"/>
      <c r="O612" s="398"/>
      <c r="P612" s="398"/>
      <c r="Q612" s="398"/>
      <c r="R612" s="398"/>
      <c r="S612" s="398"/>
      <c r="T612" s="398"/>
      <c r="U612" s="738"/>
      <c r="V612" s="738"/>
      <c r="W612" s="738"/>
    </row>
    <row r="613" spans="1:23" ht="15.75" customHeight="1">
      <c r="A613" s="398"/>
      <c r="B613" s="398"/>
      <c r="C613" s="779"/>
      <c r="D613" s="779"/>
      <c r="E613" s="779"/>
      <c r="F613" s="779"/>
      <c r="G613" s="779"/>
      <c r="H613" s="779"/>
      <c r="I613" s="779"/>
      <c r="J613" s="779"/>
      <c r="K613" s="779"/>
      <c r="L613" s="779"/>
      <c r="M613" s="779"/>
      <c r="N613" s="398"/>
      <c r="O613" s="398"/>
      <c r="P613" s="398"/>
      <c r="Q613" s="398"/>
      <c r="R613" s="398"/>
      <c r="S613" s="398"/>
      <c r="T613" s="398"/>
      <c r="U613" s="738"/>
      <c r="V613" s="738"/>
      <c r="W613" s="738"/>
    </row>
    <row r="614" spans="1:23" ht="15.75" customHeight="1">
      <c r="A614" s="398"/>
      <c r="B614" s="398"/>
      <c r="C614" s="779"/>
      <c r="D614" s="779"/>
      <c r="E614" s="779"/>
      <c r="F614" s="779"/>
      <c r="G614" s="779"/>
      <c r="H614" s="779"/>
      <c r="I614" s="779"/>
      <c r="J614" s="779"/>
      <c r="K614" s="779"/>
      <c r="L614" s="779"/>
      <c r="M614" s="779"/>
      <c r="N614" s="398"/>
      <c r="O614" s="398"/>
      <c r="P614" s="398"/>
      <c r="Q614" s="398"/>
      <c r="R614" s="398"/>
      <c r="S614" s="398"/>
      <c r="T614" s="398"/>
      <c r="U614" s="738"/>
      <c r="V614" s="738"/>
      <c r="W614" s="738"/>
    </row>
    <row r="615" spans="1:23" ht="15.75" customHeight="1">
      <c r="A615" s="398"/>
      <c r="B615" s="398"/>
      <c r="C615" s="779"/>
      <c r="D615" s="779"/>
      <c r="E615" s="779"/>
      <c r="F615" s="779"/>
      <c r="G615" s="779"/>
      <c r="H615" s="779"/>
      <c r="I615" s="779"/>
      <c r="J615" s="779"/>
      <c r="K615" s="779"/>
      <c r="L615" s="779"/>
      <c r="M615" s="779"/>
      <c r="N615" s="398"/>
      <c r="O615" s="398"/>
      <c r="P615" s="398"/>
      <c r="Q615" s="398"/>
      <c r="R615" s="398"/>
      <c r="S615" s="398"/>
      <c r="T615" s="398"/>
      <c r="U615" s="738"/>
      <c r="V615" s="738"/>
      <c r="W615" s="738"/>
    </row>
    <row r="616" spans="1:23" ht="15.75" customHeight="1">
      <c r="A616" s="398"/>
      <c r="B616" s="398"/>
      <c r="C616" s="779"/>
      <c r="D616" s="779"/>
      <c r="E616" s="779"/>
      <c r="F616" s="779"/>
      <c r="G616" s="779"/>
      <c r="H616" s="779"/>
      <c r="I616" s="779"/>
      <c r="J616" s="779"/>
      <c r="K616" s="779"/>
      <c r="L616" s="779"/>
      <c r="M616" s="779"/>
      <c r="N616" s="398"/>
      <c r="O616" s="398"/>
      <c r="P616" s="398"/>
      <c r="Q616" s="398"/>
      <c r="R616" s="398"/>
      <c r="S616" s="398"/>
      <c r="T616" s="398"/>
      <c r="U616" s="738"/>
      <c r="V616" s="738"/>
      <c r="W616" s="738"/>
    </row>
    <row r="617" spans="1:23" ht="15.75" customHeight="1">
      <c r="A617" s="398"/>
      <c r="B617" s="398"/>
      <c r="C617" s="779"/>
      <c r="D617" s="779"/>
      <c r="E617" s="779"/>
      <c r="F617" s="779"/>
      <c r="G617" s="779"/>
      <c r="H617" s="779"/>
      <c r="I617" s="779"/>
      <c r="J617" s="779"/>
      <c r="K617" s="779"/>
      <c r="L617" s="779"/>
      <c r="M617" s="779"/>
      <c r="N617" s="398"/>
      <c r="O617" s="398"/>
      <c r="P617" s="398"/>
      <c r="Q617" s="398"/>
      <c r="R617" s="398"/>
      <c r="S617" s="398"/>
      <c r="T617" s="398"/>
      <c r="U617" s="738"/>
      <c r="V617" s="738"/>
      <c r="W617" s="738"/>
    </row>
    <row r="618" spans="1:23" ht="15.75" customHeight="1">
      <c r="A618" s="398"/>
      <c r="B618" s="398"/>
      <c r="C618" s="779"/>
      <c r="D618" s="779"/>
      <c r="E618" s="779"/>
      <c r="F618" s="779"/>
      <c r="G618" s="779"/>
      <c r="H618" s="779"/>
      <c r="I618" s="779"/>
      <c r="J618" s="779"/>
      <c r="K618" s="779"/>
      <c r="L618" s="779"/>
      <c r="M618" s="779"/>
      <c r="N618" s="398"/>
      <c r="O618" s="398"/>
      <c r="P618" s="398"/>
      <c r="Q618" s="398"/>
      <c r="R618" s="398"/>
      <c r="S618" s="398"/>
      <c r="T618" s="398"/>
      <c r="U618" s="738"/>
      <c r="V618" s="738"/>
      <c r="W618" s="738"/>
    </row>
    <row r="619" spans="1:23" ht="15.75" customHeight="1">
      <c r="A619" s="398"/>
      <c r="B619" s="398"/>
      <c r="C619" s="779"/>
      <c r="D619" s="779"/>
      <c r="E619" s="779"/>
      <c r="F619" s="779"/>
      <c r="G619" s="779"/>
      <c r="H619" s="779"/>
      <c r="I619" s="779"/>
      <c r="J619" s="779"/>
      <c r="K619" s="779"/>
      <c r="L619" s="779"/>
      <c r="M619" s="779"/>
      <c r="N619" s="398"/>
      <c r="O619" s="398"/>
      <c r="P619" s="398"/>
      <c r="Q619" s="398"/>
      <c r="R619" s="398"/>
      <c r="S619" s="398"/>
      <c r="T619" s="398"/>
      <c r="U619" s="738"/>
      <c r="V619" s="738"/>
      <c r="W619" s="738"/>
    </row>
    <row r="620" spans="1:23" ht="15.75" customHeight="1">
      <c r="A620" s="398"/>
      <c r="B620" s="398"/>
      <c r="C620" s="779"/>
      <c r="D620" s="779"/>
      <c r="E620" s="779"/>
      <c r="F620" s="779"/>
      <c r="G620" s="779"/>
      <c r="H620" s="779"/>
      <c r="I620" s="779"/>
      <c r="J620" s="779"/>
      <c r="K620" s="779"/>
      <c r="L620" s="779"/>
      <c r="M620" s="779"/>
      <c r="N620" s="398"/>
      <c r="O620" s="398"/>
      <c r="P620" s="398"/>
      <c r="Q620" s="398"/>
      <c r="R620" s="398"/>
      <c r="S620" s="398"/>
      <c r="T620" s="398"/>
      <c r="U620" s="738"/>
      <c r="V620" s="738"/>
      <c r="W620" s="738"/>
    </row>
    <row r="621" spans="1:23" ht="15.75" customHeight="1">
      <c r="A621" s="398"/>
      <c r="B621" s="398"/>
      <c r="C621" s="779"/>
      <c r="D621" s="779"/>
      <c r="E621" s="779"/>
      <c r="F621" s="779"/>
      <c r="G621" s="779"/>
      <c r="H621" s="779"/>
      <c r="I621" s="779"/>
      <c r="J621" s="779"/>
      <c r="K621" s="779"/>
      <c r="L621" s="779"/>
      <c r="M621" s="779"/>
      <c r="N621" s="398"/>
      <c r="O621" s="398"/>
      <c r="P621" s="398"/>
      <c r="Q621" s="398"/>
      <c r="R621" s="398"/>
      <c r="S621" s="398"/>
      <c r="T621" s="398"/>
      <c r="U621" s="738"/>
      <c r="V621" s="738"/>
      <c r="W621" s="738"/>
    </row>
    <row r="622" spans="1:23" ht="15.75" customHeight="1">
      <c r="A622" s="398"/>
      <c r="B622" s="398"/>
      <c r="C622" s="779"/>
      <c r="D622" s="779"/>
      <c r="E622" s="779"/>
      <c r="F622" s="779"/>
      <c r="G622" s="779"/>
      <c r="H622" s="779"/>
      <c r="I622" s="779"/>
      <c r="J622" s="779"/>
      <c r="K622" s="779"/>
      <c r="L622" s="779"/>
      <c r="M622" s="779"/>
      <c r="N622" s="398"/>
      <c r="O622" s="398"/>
      <c r="P622" s="398"/>
      <c r="Q622" s="398"/>
      <c r="R622" s="398"/>
      <c r="S622" s="398"/>
      <c r="T622" s="398"/>
      <c r="U622" s="738"/>
      <c r="V622" s="738"/>
      <c r="W622" s="738"/>
    </row>
    <row r="623" spans="1:23" ht="15.75" customHeight="1">
      <c r="A623" s="398"/>
      <c r="B623" s="398"/>
      <c r="C623" s="779"/>
      <c r="D623" s="779"/>
      <c r="E623" s="779"/>
      <c r="F623" s="779"/>
      <c r="G623" s="779"/>
      <c r="H623" s="779"/>
      <c r="I623" s="779"/>
      <c r="J623" s="779"/>
      <c r="K623" s="779"/>
      <c r="L623" s="779"/>
      <c r="M623" s="779"/>
      <c r="N623" s="398"/>
      <c r="O623" s="398"/>
      <c r="P623" s="398"/>
      <c r="Q623" s="398"/>
      <c r="R623" s="398"/>
      <c r="S623" s="398"/>
      <c r="T623" s="398"/>
      <c r="U623" s="738"/>
      <c r="V623" s="738"/>
      <c r="W623" s="738"/>
    </row>
    <row r="624" spans="1:23" ht="15.75" customHeight="1">
      <c r="A624" s="398"/>
      <c r="B624" s="398"/>
      <c r="C624" s="779"/>
      <c r="D624" s="779"/>
      <c r="E624" s="779"/>
      <c r="F624" s="779"/>
      <c r="G624" s="779"/>
      <c r="H624" s="779"/>
      <c r="I624" s="779"/>
      <c r="J624" s="779"/>
      <c r="K624" s="779"/>
      <c r="L624" s="779"/>
      <c r="M624" s="779"/>
      <c r="N624" s="398"/>
      <c r="O624" s="398"/>
      <c r="P624" s="398"/>
      <c r="Q624" s="398"/>
      <c r="R624" s="398"/>
      <c r="S624" s="398"/>
      <c r="T624" s="398"/>
      <c r="U624" s="738"/>
      <c r="V624" s="738"/>
      <c r="W624" s="738"/>
    </row>
    <row r="625" spans="1:23" ht="15.75" customHeight="1">
      <c r="A625" s="398"/>
      <c r="B625" s="398"/>
      <c r="C625" s="779"/>
      <c r="D625" s="779"/>
      <c r="E625" s="779"/>
      <c r="F625" s="779"/>
      <c r="G625" s="779"/>
      <c r="H625" s="779"/>
      <c r="I625" s="779"/>
      <c r="J625" s="779"/>
      <c r="K625" s="779"/>
      <c r="L625" s="779"/>
      <c r="M625" s="779"/>
      <c r="N625" s="398"/>
      <c r="O625" s="398"/>
      <c r="P625" s="398"/>
      <c r="Q625" s="398"/>
      <c r="R625" s="398"/>
      <c r="S625" s="398"/>
      <c r="T625" s="398"/>
      <c r="U625" s="738"/>
      <c r="V625" s="738"/>
      <c r="W625" s="738"/>
    </row>
    <row r="626" spans="1:23" ht="15.75" customHeight="1">
      <c r="A626" s="398"/>
      <c r="B626" s="398"/>
      <c r="C626" s="779"/>
      <c r="D626" s="779"/>
      <c r="E626" s="779"/>
      <c r="F626" s="779"/>
      <c r="G626" s="779"/>
      <c r="H626" s="779"/>
      <c r="I626" s="779"/>
      <c r="J626" s="779"/>
      <c r="K626" s="779"/>
      <c r="L626" s="779"/>
      <c r="M626" s="779"/>
      <c r="N626" s="398"/>
      <c r="O626" s="398"/>
      <c r="P626" s="398"/>
      <c r="Q626" s="398"/>
      <c r="R626" s="398"/>
      <c r="S626" s="398"/>
      <c r="T626" s="398"/>
      <c r="U626" s="738"/>
      <c r="V626" s="738"/>
      <c r="W626" s="738"/>
    </row>
    <row r="627" spans="1:23" ht="15.75" customHeight="1">
      <c r="A627" s="398"/>
      <c r="B627" s="398"/>
      <c r="C627" s="779"/>
      <c r="D627" s="779"/>
      <c r="E627" s="779"/>
      <c r="F627" s="779"/>
      <c r="G627" s="779"/>
      <c r="H627" s="779"/>
      <c r="I627" s="779"/>
      <c r="J627" s="779"/>
      <c r="K627" s="779"/>
      <c r="L627" s="779"/>
      <c r="M627" s="779"/>
      <c r="N627" s="398"/>
      <c r="O627" s="398"/>
      <c r="P627" s="398"/>
      <c r="Q627" s="398"/>
      <c r="R627" s="398"/>
      <c r="S627" s="398"/>
      <c r="T627" s="398"/>
      <c r="U627" s="738"/>
      <c r="V627" s="738"/>
      <c r="W627" s="738"/>
    </row>
    <row r="628" spans="1:23" ht="15.75" customHeight="1">
      <c r="A628" s="398"/>
      <c r="B628" s="398"/>
      <c r="C628" s="779"/>
      <c r="D628" s="779"/>
      <c r="E628" s="779"/>
      <c r="F628" s="779"/>
      <c r="G628" s="779"/>
      <c r="H628" s="779"/>
      <c r="I628" s="779"/>
      <c r="J628" s="779"/>
      <c r="K628" s="779"/>
      <c r="L628" s="779"/>
      <c r="M628" s="779"/>
      <c r="N628" s="398"/>
      <c r="O628" s="398"/>
      <c r="P628" s="398"/>
      <c r="Q628" s="398"/>
      <c r="R628" s="398"/>
      <c r="S628" s="398"/>
      <c r="T628" s="398"/>
      <c r="U628" s="738"/>
      <c r="V628" s="738"/>
      <c r="W628" s="738"/>
    </row>
    <row r="629" spans="1:23" ht="15.75" customHeight="1">
      <c r="A629" s="398"/>
      <c r="B629" s="398"/>
      <c r="C629" s="779"/>
      <c r="D629" s="779"/>
      <c r="E629" s="779"/>
      <c r="F629" s="779"/>
      <c r="G629" s="779"/>
      <c r="H629" s="779"/>
      <c r="I629" s="779"/>
      <c r="J629" s="779"/>
      <c r="K629" s="779"/>
      <c r="L629" s="779"/>
      <c r="M629" s="779"/>
      <c r="N629" s="398"/>
      <c r="O629" s="398"/>
      <c r="P629" s="398"/>
      <c r="Q629" s="398"/>
      <c r="R629" s="398"/>
      <c r="S629" s="398"/>
      <c r="T629" s="398"/>
      <c r="U629" s="738"/>
      <c r="V629" s="738"/>
      <c r="W629" s="738"/>
    </row>
    <row r="630" spans="1:23" ht="15.75" customHeight="1">
      <c r="A630" s="398"/>
      <c r="B630" s="398"/>
      <c r="C630" s="779"/>
      <c r="D630" s="779"/>
      <c r="E630" s="779"/>
      <c r="F630" s="779"/>
      <c r="G630" s="779"/>
      <c r="H630" s="779"/>
      <c r="I630" s="779"/>
      <c r="J630" s="779"/>
      <c r="K630" s="779"/>
      <c r="L630" s="779"/>
      <c r="M630" s="779"/>
      <c r="N630" s="398"/>
      <c r="O630" s="398"/>
      <c r="P630" s="398"/>
      <c r="Q630" s="398"/>
      <c r="R630" s="398"/>
      <c r="S630" s="398"/>
      <c r="T630" s="398"/>
      <c r="U630" s="738"/>
      <c r="V630" s="738"/>
      <c r="W630" s="738"/>
    </row>
    <row r="631" spans="1:23" ht="15.75" customHeight="1">
      <c r="A631" s="398"/>
      <c r="B631" s="398"/>
      <c r="C631" s="779"/>
      <c r="D631" s="779"/>
      <c r="E631" s="779"/>
      <c r="F631" s="779"/>
      <c r="G631" s="779"/>
      <c r="H631" s="779"/>
      <c r="I631" s="779"/>
      <c r="J631" s="779"/>
      <c r="K631" s="779"/>
      <c r="L631" s="779"/>
      <c r="M631" s="779"/>
      <c r="N631" s="398"/>
      <c r="O631" s="398"/>
      <c r="P631" s="398"/>
      <c r="Q631" s="398"/>
      <c r="R631" s="398"/>
      <c r="S631" s="398"/>
      <c r="T631" s="398"/>
      <c r="U631" s="738"/>
      <c r="V631" s="738"/>
      <c r="W631" s="738"/>
    </row>
    <row r="632" spans="1:23" ht="15.75" customHeight="1">
      <c r="A632" s="398"/>
      <c r="B632" s="398"/>
      <c r="C632" s="779"/>
      <c r="D632" s="779"/>
      <c r="E632" s="779"/>
      <c r="F632" s="779"/>
      <c r="G632" s="779"/>
      <c r="H632" s="779"/>
      <c r="I632" s="779"/>
      <c r="J632" s="779"/>
      <c r="K632" s="779"/>
      <c r="L632" s="779"/>
      <c r="M632" s="779"/>
      <c r="N632" s="398"/>
      <c r="O632" s="398"/>
      <c r="P632" s="398"/>
      <c r="Q632" s="398"/>
      <c r="R632" s="398"/>
      <c r="S632" s="398"/>
      <c r="T632" s="398"/>
      <c r="U632" s="738"/>
      <c r="V632" s="738"/>
      <c r="W632" s="738"/>
    </row>
    <row r="633" spans="1:23" ht="15.75" customHeight="1">
      <c r="A633" s="398"/>
      <c r="B633" s="398"/>
      <c r="C633" s="779"/>
      <c r="D633" s="779"/>
      <c r="E633" s="779"/>
      <c r="F633" s="779"/>
      <c r="G633" s="779"/>
      <c r="H633" s="779"/>
      <c r="I633" s="779"/>
      <c r="J633" s="779"/>
      <c r="K633" s="779"/>
      <c r="L633" s="779"/>
      <c r="M633" s="779"/>
      <c r="N633" s="398"/>
      <c r="O633" s="398"/>
      <c r="P633" s="398"/>
      <c r="Q633" s="398"/>
      <c r="R633" s="398"/>
      <c r="S633" s="398"/>
      <c r="T633" s="398"/>
      <c r="U633" s="738"/>
      <c r="V633" s="738"/>
      <c r="W633" s="738"/>
    </row>
    <row r="634" spans="1:23" ht="15.75" customHeight="1">
      <c r="A634" s="398"/>
      <c r="B634" s="398"/>
      <c r="C634" s="779"/>
      <c r="D634" s="779"/>
      <c r="E634" s="779"/>
      <c r="F634" s="779"/>
      <c r="G634" s="779"/>
      <c r="H634" s="779"/>
      <c r="I634" s="779"/>
      <c r="J634" s="779"/>
      <c r="K634" s="779"/>
      <c r="L634" s="779"/>
      <c r="M634" s="779"/>
      <c r="N634" s="398"/>
      <c r="O634" s="398"/>
      <c r="P634" s="398"/>
      <c r="Q634" s="398"/>
      <c r="R634" s="398"/>
      <c r="S634" s="398"/>
      <c r="T634" s="398"/>
      <c r="U634" s="738"/>
      <c r="V634" s="738"/>
      <c r="W634" s="738"/>
    </row>
    <row r="635" spans="1:23" ht="15.75" customHeight="1">
      <c r="A635" s="398"/>
      <c r="B635" s="398"/>
      <c r="C635" s="779"/>
      <c r="D635" s="779"/>
      <c r="E635" s="779"/>
      <c r="F635" s="779"/>
      <c r="G635" s="779"/>
      <c r="H635" s="779"/>
      <c r="I635" s="779"/>
      <c r="J635" s="779"/>
      <c r="K635" s="779"/>
      <c r="L635" s="779"/>
      <c r="M635" s="779"/>
      <c r="N635" s="398"/>
      <c r="O635" s="398"/>
      <c r="P635" s="398"/>
      <c r="Q635" s="398"/>
      <c r="R635" s="398"/>
      <c r="S635" s="398"/>
      <c r="T635" s="398"/>
      <c r="U635" s="738"/>
      <c r="V635" s="738"/>
      <c r="W635" s="738"/>
    </row>
    <row r="636" spans="1:23" ht="15.75" customHeight="1">
      <c r="A636" s="398"/>
      <c r="B636" s="398"/>
      <c r="C636" s="779"/>
      <c r="D636" s="779"/>
      <c r="E636" s="779"/>
      <c r="F636" s="779"/>
      <c r="G636" s="779"/>
      <c r="H636" s="779"/>
      <c r="I636" s="779"/>
      <c r="J636" s="779"/>
      <c r="K636" s="779"/>
      <c r="L636" s="779"/>
      <c r="M636" s="779"/>
      <c r="N636" s="398"/>
      <c r="O636" s="398"/>
      <c r="P636" s="398"/>
      <c r="Q636" s="398"/>
      <c r="R636" s="398"/>
      <c r="S636" s="398"/>
      <c r="T636" s="398"/>
      <c r="U636" s="738"/>
      <c r="V636" s="738"/>
      <c r="W636" s="738"/>
    </row>
    <row r="637" spans="1:23" ht="15.75" customHeight="1">
      <c r="A637" s="398"/>
      <c r="B637" s="398"/>
      <c r="C637" s="779"/>
      <c r="D637" s="779"/>
      <c r="E637" s="779"/>
      <c r="F637" s="779"/>
      <c r="G637" s="779"/>
      <c r="H637" s="779"/>
      <c r="I637" s="779"/>
      <c r="J637" s="779"/>
      <c r="K637" s="779"/>
      <c r="L637" s="779"/>
      <c r="M637" s="779"/>
      <c r="N637" s="398"/>
      <c r="O637" s="398"/>
      <c r="P637" s="398"/>
      <c r="Q637" s="398"/>
      <c r="R637" s="398"/>
      <c r="S637" s="398"/>
      <c r="T637" s="398"/>
      <c r="U637" s="738"/>
      <c r="V637" s="738"/>
      <c r="W637" s="738"/>
    </row>
    <row r="638" spans="1:23" ht="15.75" customHeight="1">
      <c r="A638" s="398"/>
      <c r="B638" s="398"/>
      <c r="C638" s="779"/>
      <c r="D638" s="779"/>
      <c r="E638" s="779"/>
      <c r="F638" s="779"/>
      <c r="G638" s="779"/>
      <c r="H638" s="779"/>
      <c r="I638" s="779"/>
      <c r="J638" s="779"/>
      <c r="K638" s="779"/>
      <c r="L638" s="779"/>
      <c r="M638" s="779"/>
      <c r="N638" s="398"/>
      <c r="O638" s="398"/>
      <c r="P638" s="398"/>
      <c r="Q638" s="398"/>
      <c r="R638" s="398"/>
      <c r="S638" s="398"/>
      <c r="T638" s="398"/>
      <c r="U638" s="738"/>
      <c r="V638" s="738"/>
      <c r="W638" s="738"/>
    </row>
    <row r="639" spans="1:23" ht="15.75" customHeight="1">
      <c r="A639" s="398"/>
      <c r="B639" s="398"/>
      <c r="C639" s="779"/>
      <c r="D639" s="779"/>
      <c r="E639" s="779"/>
      <c r="F639" s="779"/>
      <c r="G639" s="779"/>
      <c r="H639" s="779"/>
      <c r="I639" s="779"/>
      <c r="J639" s="779"/>
      <c r="K639" s="779"/>
      <c r="L639" s="779"/>
      <c r="M639" s="779"/>
      <c r="N639" s="398"/>
      <c r="O639" s="398"/>
      <c r="P639" s="398"/>
      <c r="Q639" s="398"/>
      <c r="R639" s="398"/>
      <c r="S639" s="398"/>
      <c r="T639" s="398"/>
      <c r="U639" s="738"/>
      <c r="V639" s="738"/>
      <c r="W639" s="738"/>
    </row>
    <row r="640" spans="1:23" ht="15.75" customHeight="1">
      <c r="A640" s="398"/>
      <c r="B640" s="398"/>
      <c r="C640" s="779"/>
      <c r="D640" s="779"/>
      <c r="E640" s="779"/>
      <c r="F640" s="779"/>
      <c r="G640" s="779"/>
      <c r="H640" s="779"/>
      <c r="I640" s="779"/>
      <c r="J640" s="779"/>
      <c r="K640" s="779"/>
      <c r="L640" s="779"/>
      <c r="M640" s="779"/>
      <c r="N640" s="398"/>
      <c r="O640" s="398"/>
      <c r="P640" s="398"/>
      <c r="Q640" s="398"/>
      <c r="R640" s="398"/>
      <c r="S640" s="398"/>
      <c r="T640" s="398"/>
      <c r="U640" s="738"/>
      <c r="V640" s="738"/>
      <c r="W640" s="738"/>
    </row>
    <row r="641" spans="1:23" ht="15.75" customHeight="1">
      <c r="A641" s="398"/>
      <c r="B641" s="398"/>
      <c r="C641" s="779"/>
      <c r="D641" s="779"/>
      <c r="E641" s="779"/>
      <c r="F641" s="779"/>
      <c r="G641" s="779"/>
      <c r="H641" s="779"/>
      <c r="I641" s="779"/>
      <c r="J641" s="779"/>
      <c r="K641" s="779"/>
      <c r="L641" s="779"/>
      <c r="M641" s="779"/>
      <c r="N641" s="398"/>
      <c r="O641" s="398"/>
      <c r="P641" s="398"/>
      <c r="Q641" s="398"/>
      <c r="R641" s="398"/>
      <c r="S641" s="398"/>
      <c r="T641" s="398"/>
      <c r="U641" s="738"/>
      <c r="V641" s="738"/>
      <c r="W641" s="738"/>
    </row>
    <row r="642" spans="1:23" ht="15.75" customHeight="1">
      <c r="A642" s="398"/>
      <c r="B642" s="398"/>
      <c r="C642" s="779"/>
      <c r="D642" s="779"/>
      <c r="E642" s="779"/>
      <c r="F642" s="779"/>
      <c r="G642" s="779"/>
      <c r="H642" s="779"/>
      <c r="I642" s="779"/>
      <c r="J642" s="779"/>
      <c r="K642" s="779"/>
      <c r="L642" s="779"/>
      <c r="M642" s="779"/>
      <c r="N642" s="398"/>
      <c r="O642" s="398"/>
      <c r="P642" s="398"/>
      <c r="Q642" s="398"/>
      <c r="R642" s="398"/>
      <c r="S642" s="398"/>
      <c r="T642" s="398"/>
      <c r="U642" s="738"/>
      <c r="V642" s="738"/>
      <c r="W642" s="738"/>
    </row>
    <row r="643" spans="1:23" ht="15.75" customHeight="1">
      <c r="A643" s="398"/>
      <c r="B643" s="398"/>
      <c r="C643" s="779"/>
      <c r="D643" s="779"/>
      <c r="E643" s="779"/>
      <c r="F643" s="779"/>
      <c r="G643" s="779"/>
      <c r="H643" s="779"/>
      <c r="I643" s="779"/>
      <c r="J643" s="779"/>
      <c r="K643" s="779"/>
      <c r="L643" s="779"/>
      <c r="M643" s="779"/>
      <c r="N643" s="398"/>
      <c r="O643" s="398"/>
      <c r="P643" s="398"/>
      <c r="Q643" s="398"/>
      <c r="R643" s="398"/>
      <c r="S643" s="398"/>
      <c r="T643" s="398"/>
      <c r="U643" s="738"/>
      <c r="V643" s="738"/>
      <c r="W643" s="738"/>
    </row>
    <row r="644" spans="1:23" ht="15.75" customHeight="1">
      <c r="A644" s="398"/>
      <c r="B644" s="398"/>
      <c r="C644" s="779"/>
      <c r="D644" s="779"/>
      <c r="E644" s="779"/>
      <c r="F644" s="779"/>
      <c r="G644" s="779"/>
      <c r="H644" s="779"/>
      <c r="I644" s="779"/>
      <c r="J644" s="779"/>
      <c r="K644" s="779"/>
      <c r="L644" s="779"/>
      <c r="M644" s="779"/>
      <c r="N644" s="398"/>
      <c r="O644" s="398"/>
      <c r="P644" s="398"/>
      <c r="Q644" s="398"/>
      <c r="R644" s="398"/>
      <c r="S644" s="398"/>
      <c r="T644" s="398"/>
      <c r="U644" s="738"/>
      <c r="V644" s="738"/>
      <c r="W644" s="738"/>
    </row>
    <row r="645" spans="1:23" ht="15.75" customHeight="1">
      <c r="A645" s="398"/>
      <c r="B645" s="398"/>
      <c r="C645" s="779"/>
      <c r="D645" s="779"/>
      <c r="E645" s="779"/>
      <c r="F645" s="779"/>
      <c r="G645" s="779"/>
      <c r="H645" s="779"/>
      <c r="I645" s="779"/>
      <c r="J645" s="779"/>
      <c r="K645" s="779"/>
      <c r="L645" s="779"/>
      <c r="M645" s="779"/>
      <c r="N645" s="398"/>
      <c r="O645" s="398"/>
      <c r="P645" s="398"/>
      <c r="Q645" s="398"/>
      <c r="R645" s="398"/>
      <c r="S645" s="398"/>
      <c r="T645" s="398"/>
      <c r="U645" s="738"/>
      <c r="V645" s="738"/>
      <c r="W645" s="738"/>
    </row>
    <row r="646" spans="1:23" ht="15.75" customHeight="1">
      <c r="A646" s="398"/>
      <c r="B646" s="398"/>
      <c r="C646" s="779"/>
      <c r="D646" s="779"/>
      <c r="E646" s="779"/>
      <c r="F646" s="779"/>
      <c r="G646" s="779"/>
      <c r="H646" s="779"/>
      <c r="I646" s="779"/>
      <c r="J646" s="779"/>
      <c r="K646" s="779"/>
      <c r="L646" s="779"/>
      <c r="M646" s="779"/>
      <c r="N646" s="398"/>
      <c r="O646" s="398"/>
      <c r="P646" s="398"/>
      <c r="Q646" s="398"/>
      <c r="R646" s="398"/>
      <c r="S646" s="398"/>
      <c r="T646" s="398"/>
      <c r="U646" s="738"/>
      <c r="V646" s="738"/>
      <c r="W646" s="738"/>
    </row>
    <row r="647" spans="1:23" ht="15.75" customHeight="1">
      <c r="A647" s="398"/>
      <c r="B647" s="398"/>
      <c r="C647" s="779"/>
      <c r="D647" s="779"/>
      <c r="E647" s="779"/>
      <c r="F647" s="779"/>
      <c r="G647" s="779"/>
      <c r="H647" s="779"/>
      <c r="I647" s="779"/>
      <c r="J647" s="779"/>
      <c r="K647" s="779"/>
      <c r="L647" s="779"/>
      <c r="M647" s="779"/>
      <c r="N647" s="398"/>
      <c r="O647" s="398"/>
      <c r="P647" s="398"/>
      <c r="Q647" s="398"/>
      <c r="R647" s="398"/>
      <c r="S647" s="398"/>
      <c r="T647" s="398"/>
      <c r="U647" s="738"/>
      <c r="V647" s="738"/>
      <c r="W647" s="738"/>
    </row>
    <row r="648" spans="1:23" ht="15.75" customHeight="1">
      <c r="A648" s="398"/>
      <c r="B648" s="398"/>
      <c r="C648" s="779"/>
      <c r="D648" s="779"/>
      <c r="E648" s="779"/>
      <c r="F648" s="779"/>
      <c r="G648" s="779"/>
      <c r="H648" s="779"/>
      <c r="I648" s="779"/>
      <c r="J648" s="779"/>
      <c r="K648" s="779"/>
      <c r="L648" s="779"/>
      <c r="M648" s="779"/>
      <c r="N648" s="398"/>
      <c r="O648" s="398"/>
      <c r="P648" s="398"/>
      <c r="Q648" s="398"/>
      <c r="R648" s="398"/>
      <c r="S648" s="398"/>
      <c r="T648" s="398"/>
      <c r="U648" s="738"/>
      <c r="V648" s="738"/>
      <c r="W648" s="738"/>
    </row>
    <row r="649" spans="1:23" ht="15.75" customHeight="1">
      <c r="A649" s="398"/>
      <c r="B649" s="398"/>
      <c r="C649" s="779"/>
      <c r="D649" s="779"/>
      <c r="E649" s="779"/>
      <c r="F649" s="779"/>
      <c r="G649" s="779"/>
      <c r="H649" s="779"/>
      <c r="I649" s="779"/>
      <c r="J649" s="779"/>
      <c r="K649" s="779"/>
      <c r="L649" s="779"/>
      <c r="M649" s="779"/>
      <c r="N649" s="398"/>
      <c r="O649" s="398"/>
      <c r="P649" s="398"/>
      <c r="Q649" s="398"/>
      <c r="R649" s="398"/>
      <c r="S649" s="398"/>
      <c r="T649" s="398"/>
      <c r="U649" s="738"/>
      <c r="V649" s="738"/>
      <c r="W649" s="738"/>
    </row>
    <row r="650" spans="1:23" ht="15.75" customHeight="1">
      <c r="A650" s="398"/>
      <c r="B650" s="398"/>
      <c r="C650" s="779"/>
      <c r="D650" s="779"/>
      <c r="E650" s="779"/>
      <c r="F650" s="779"/>
      <c r="G650" s="779"/>
      <c r="H650" s="779"/>
      <c r="I650" s="779"/>
      <c r="J650" s="779"/>
      <c r="K650" s="779"/>
      <c r="L650" s="779"/>
      <c r="M650" s="779"/>
      <c r="N650" s="398"/>
      <c r="O650" s="398"/>
      <c r="P650" s="398"/>
      <c r="Q650" s="398"/>
      <c r="R650" s="398"/>
      <c r="S650" s="398"/>
      <c r="T650" s="398"/>
      <c r="U650" s="738"/>
      <c r="V650" s="738"/>
      <c r="W650" s="738"/>
    </row>
    <row r="651" spans="1:23" ht="15.75" customHeight="1">
      <c r="A651" s="398"/>
      <c r="B651" s="398"/>
      <c r="C651" s="779"/>
      <c r="D651" s="779"/>
      <c r="E651" s="779"/>
      <c r="F651" s="779"/>
      <c r="G651" s="779"/>
      <c r="H651" s="779"/>
      <c r="I651" s="779"/>
      <c r="J651" s="779"/>
      <c r="K651" s="779"/>
      <c r="L651" s="779"/>
      <c r="M651" s="779"/>
      <c r="N651" s="398"/>
      <c r="O651" s="398"/>
      <c r="P651" s="398"/>
      <c r="Q651" s="398"/>
      <c r="R651" s="398"/>
      <c r="S651" s="398"/>
      <c r="T651" s="398"/>
      <c r="U651" s="738"/>
      <c r="V651" s="738"/>
      <c r="W651" s="738"/>
    </row>
    <row r="652" spans="1:23" ht="15.75" customHeight="1">
      <c r="A652" s="398"/>
      <c r="B652" s="398"/>
      <c r="C652" s="779"/>
      <c r="D652" s="779"/>
      <c r="E652" s="779"/>
      <c r="F652" s="779"/>
      <c r="G652" s="779"/>
      <c r="H652" s="779"/>
      <c r="I652" s="779"/>
      <c r="J652" s="779"/>
      <c r="K652" s="779"/>
      <c r="L652" s="779"/>
      <c r="M652" s="779"/>
      <c r="N652" s="398"/>
      <c r="O652" s="398"/>
      <c r="P652" s="398"/>
      <c r="Q652" s="398"/>
      <c r="R652" s="398"/>
      <c r="S652" s="398"/>
      <c r="T652" s="398"/>
      <c r="U652" s="738"/>
      <c r="V652" s="738"/>
      <c r="W652" s="738"/>
    </row>
    <row r="653" spans="1:23" ht="15.75" customHeight="1">
      <c r="A653" s="398"/>
      <c r="B653" s="398"/>
      <c r="C653" s="779"/>
      <c r="D653" s="779"/>
      <c r="E653" s="779"/>
      <c r="F653" s="779"/>
      <c r="G653" s="779"/>
      <c r="H653" s="779"/>
      <c r="I653" s="779"/>
      <c r="J653" s="779"/>
      <c r="K653" s="779"/>
      <c r="L653" s="779"/>
      <c r="M653" s="779"/>
      <c r="N653" s="398"/>
      <c r="O653" s="398"/>
      <c r="P653" s="398"/>
      <c r="Q653" s="398"/>
      <c r="R653" s="398"/>
      <c r="S653" s="398"/>
      <c r="T653" s="398"/>
      <c r="U653" s="738"/>
      <c r="V653" s="738"/>
      <c r="W653" s="738"/>
    </row>
    <row r="654" spans="1:23" ht="15.75" customHeight="1">
      <c r="A654" s="398"/>
      <c r="B654" s="398"/>
      <c r="C654" s="779"/>
      <c r="D654" s="779"/>
      <c r="E654" s="779"/>
      <c r="F654" s="779"/>
      <c r="G654" s="779"/>
      <c r="H654" s="779"/>
      <c r="I654" s="779"/>
      <c r="J654" s="779"/>
      <c r="K654" s="779"/>
      <c r="L654" s="779"/>
      <c r="M654" s="779"/>
      <c r="N654" s="398"/>
      <c r="O654" s="398"/>
      <c r="P654" s="398"/>
      <c r="Q654" s="398"/>
      <c r="R654" s="398"/>
      <c r="S654" s="398"/>
      <c r="T654" s="398"/>
      <c r="U654" s="738"/>
      <c r="V654" s="738"/>
      <c r="W654" s="738"/>
    </row>
    <row r="655" spans="1:23" ht="15.75" customHeight="1">
      <c r="A655" s="398"/>
      <c r="B655" s="398"/>
      <c r="C655" s="779"/>
      <c r="D655" s="779"/>
      <c r="E655" s="779"/>
      <c r="F655" s="779"/>
      <c r="G655" s="779"/>
      <c r="H655" s="779"/>
      <c r="I655" s="779"/>
      <c r="J655" s="779"/>
      <c r="K655" s="779"/>
      <c r="L655" s="779"/>
      <c r="M655" s="779"/>
      <c r="N655" s="398"/>
      <c r="O655" s="398"/>
      <c r="P655" s="398"/>
      <c r="Q655" s="398"/>
      <c r="R655" s="398"/>
      <c r="S655" s="398"/>
      <c r="T655" s="398"/>
      <c r="U655" s="738"/>
      <c r="V655" s="738"/>
      <c r="W655" s="738"/>
    </row>
    <row r="656" spans="1:23" ht="15.75" customHeight="1">
      <c r="A656" s="398"/>
      <c r="B656" s="398"/>
      <c r="C656" s="779"/>
      <c r="D656" s="779"/>
      <c r="E656" s="779"/>
      <c r="F656" s="779"/>
      <c r="G656" s="779"/>
      <c r="H656" s="779"/>
      <c r="I656" s="779"/>
      <c r="J656" s="779"/>
      <c r="K656" s="779"/>
      <c r="L656" s="779"/>
      <c r="M656" s="779"/>
      <c r="N656" s="398"/>
      <c r="O656" s="398"/>
      <c r="P656" s="398"/>
      <c r="Q656" s="398"/>
      <c r="R656" s="398"/>
      <c r="S656" s="398"/>
      <c r="T656" s="398"/>
      <c r="U656" s="738"/>
      <c r="V656" s="738"/>
      <c r="W656" s="738"/>
    </row>
    <row r="657" spans="1:23" ht="15.75" customHeight="1">
      <c r="A657" s="398"/>
      <c r="B657" s="398"/>
      <c r="C657" s="779"/>
      <c r="D657" s="779"/>
      <c r="E657" s="779"/>
      <c r="F657" s="779"/>
      <c r="G657" s="779"/>
      <c r="H657" s="779"/>
      <c r="I657" s="779"/>
      <c r="J657" s="779"/>
      <c r="K657" s="779"/>
      <c r="L657" s="779"/>
      <c r="M657" s="779"/>
      <c r="N657" s="398"/>
      <c r="O657" s="398"/>
      <c r="P657" s="398"/>
      <c r="Q657" s="398"/>
      <c r="R657" s="398"/>
      <c r="S657" s="398"/>
      <c r="T657" s="398"/>
      <c r="U657" s="738"/>
      <c r="V657" s="738"/>
      <c r="W657" s="738"/>
    </row>
    <row r="658" spans="1:23" ht="15.75" customHeight="1">
      <c r="A658" s="398"/>
      <c r="B658" s="398"/>
      <c r="C658" s="779"/>
      <c r="D658" s="779"/>
      <c r="E658" s="779"/>
      <c r="F658" s="779"/>
      <c r="G658" s="779"/>
      <c r="H658" s="779"/>
      <c r="I658" s="779"/>
      <c r="J658" s="779"/>
      <c r="K658" s="779"/>
      <c r="L658" s="779"/>
      <c r="M658" s="779"/>
      <c r="N658" s="398"/>
      <c r="O658" s="398"/>
      <c r="P658" s="398"/>
      <c r="Q658" s="398"/>
      <c r="R658" s="398"/>
      <c r="S658" s="398"/>
      <c r="T658" s="398"/>
      <c r="U658" s="738"/>
      <c r="V658" s="738"/>
      <c r="W658" s="738"/>
    </row>
    <row r="659" spans="1:23" ht="15.75" customHeight="1">
      <c r="A659" s="398"/>
      <c r="B659" s="398"/>
      <c r="C659" s="779"/>
      <c r="D659" s="779"/>
      <c r="E659" s="779"/>
      <c r="F659" s="779"/>
      <c r="G659" s="779"/>
      <c r="H659" s="779"/>
      <c r="I659" s="779"/>
      <c r="J659" s="779"/>
      <c r="K659" s="779"/>
      <c r="L659" s="779"/>
      <c r="M659" s="779"/>
      <c r="N659" s="398"/>
      <c r="O659" s="398"/>
      <c r="P659" s="398"/>
      <c r="Q659" s="398"/>
      <c r="R659" s="398"/>
      <c r="S659" s="398"/>
      <c r="T659" s="398"/>
      <c r="U659" s="738"/>
      <c r="V659" s="738"/>
      <c r="W659" s="738"/>
    </row>
    <row r="660" spans="1:23" ht="15.75" customHeight="1">
      <c r="A660" s="398"/>
      <c r="B660" s="398"/>
      <c r="C660" s="779"/>
      <c r="D660" s="779"/>
      <c r="E660" s="779"/>
      <c r="F660" s="779"/>
      <c r="G660" s="779"/>
      <c r="H660" s="779"/>
      <c r="I660" s="779"/>
      <c r="J660" s="779"/>
      <c r="K660" s="779"/>
      <c r="L660" s="779"/>
      <c r="M660" s="779"/>
      <c r="N660" s="398"/>
      <c r="O660" s="398"/>
      <c r="P660" s="398"/>
      <c r="Q660" s="398"/>
      <c r="R660" s="398"/>
      <c r="S660" s="398"/>
      <c r="T660" s="398"/>
      <c r="U660" s="738"/>
      <c r="V660" s="738"/>
      <c r="W660" s="738"/>
    </row>
    <row r="661" spans="1:23" ht="15.75" customHeight="1">
      <c r="A661" s="398"/>
      <c r="B661" s="398"/>
      <c r="C661" s="779"/>
      <c r="D661" s="779"/>
      <c r="E661" s="779"/>
      <c r="F661" s="779"/>
      <c r="G661" s="779"/>
      <c r="H661" s="779"/>
      <c r="I661" s="779"/>
      <c r="J661" s="779"/>
      <c r="K661" s="779"/>
      <c r="L661" s="779"/>
      <c r="M661" s="779"/>
      <c r="N661" s="398"/>
      <c r="O661" s="398"/>
      <c r="P661" s="398"/>
      <c r="Q661" s="398"/>
      <c r="R661" s="398"/>
      <c r="S661" s="398"/>
      <c r="T661" s="398"/>
      <c r="U661" s="738"/>
      <c r="V661" s="738"/>
      <c r="W661" s="738"/>
    </row>
    <row r="662" spans="1:23" ht="15.75" customHeight="1">
      <c r="A662" s="398"/>
      <c r="B662" s="398"/>
      <c r="C662" s="779"/>
      <c r="D662" s="779"/>
      <c r="E662" s="779"/>
      <c r="F662" s="779"/>
      <c r="G662" s="779"/>
      <c r="H662" s="779"/>
      <c r="I662" s="779"/>
      <c r="J662" s="779"/>
      <c r="K662" s="779"/>
      <c r="L662" s="779"/>
      <c r="M662" s="779"/>
      <c r="N662" s="398"/>
      <c r="O662" s="398"/>
      <c r="P662" s="398"/>
      <c r="Q662" s="398"/>
      <c r="R662" s="398"/>
      <c r="S662" s="398"/>
      <c r="T662" s="398"/>
      <c r="U662" s="738"/>
      <c r="V662" s="738"/>
      <c r="W662" s="738"/>
    </row>
    <row r="663" spans="1:23" ht="15.75" customHeight="1">
      <c r="A663" s="487"/>
      <c r="B663" s="487"/>
      <c r="C663" s="850"/>
      <c r="D663" s="850"/>
      <c r="E663" s="850"/>
      <c r="F663" s="850"/>
      <c r="G663" s="850"/>
      <c r="H663" s="850"/>
      <c r="I663" s="850"/>
      <c r="J663" s="850"/>
      <c r="K663" s="850"/>
      <c r="L663" s="850"/>
      <c r="M663" s="850"/>
      <c r="N663" s="487"/>
      <c r="O663" s="487"/>
      <c r="P663" s="487"/>
      <c r="Q663" s="487"/>
      <c r="R663" s="487"/>
      <c r="S663" s="487"/>
      <c r="T663" s="487"/>
    </row>
    <row r="664" spans="1:23" ht="15.75" customHeight="1">
      <c r="A664" s="487"/>
      <c r="B664" s="487"/>
      <c r="C664" s="850"/>
      <c r="D664" s="850"/>
      <c r="E664" s="850"/>
      <c r="F664" s="850"/>
      <c r="G664" s="850"/>
      <c r="H664" s="850"/>
      <c r="I664" s="850"/>
      <c r="J664" s="850"/>
      <c r="K664" s="850"/>
      <c r="L664" s="850"/>
      <c r="M664" s="850"/>
      <c r="N664" s="487"/>
      <c r="O664" s="487"/>
      <c r="P664" s="487"/>
      <c r="Q664" s="487"/>
      <c r="R664" s="487"/>
      <c r="S664" s="487"/>
      <c r="T664" s="487"/>
    </row>
    <row r="665" spans="1:23" ht="15.75" customHeight="1">
      <c r="A665" s="487"/>
      <c r="B665" s="487"/>
      <c r="C665" s="850"/>
      <c r="D665" s="850"/>
      <c r="E665" s="850"/>
      <c r="F665" s="850"/>
      <c r="G665" s="850"/>
      <c r="H665" s="850"/>
      <c r="I665" s="850"/>
      <c r="J665" s="850"/>
      <c r="K665" s="850"/>
      <c r="L665" s="850"/>
      <c r="M665" s="850"/>
      <c r="N665" s="487"/>
      <c r="O665" s="487"/>
      <c r="P665" s="487"/>
      <c r="Q665" s="487"/>
      <c r="R665" s="487"/>
      <c r="S665" s="487"/>
      <c r="T665" s="487"/>
    </row>
    <row r="666" spans="1:23" ht="15.75" customHeight="1">
      <c r="A666" s="487"/>
      <c r="B666" s="487"/>
      <c r="C666" s="850"/>
      <c r="D666" s="850"/>
      <c r="E666" s="850"/>
      <c r="F666" s="850"/>
      <c r="G666" s="850"/>
      <c r="H666" s="850"/>
      <c r="I666" s="850"/>
      <c r="J666" s="850"/>
      <c r="K666" s="850"/>
      <c r="L666" s="850"/>
      <c r="M666" s="850"/>
      <c r="N666" s="487"/>
      <c r="O666" s="487"/>
      <c r="P666" s="487"/>
      <c r="Q666" s="487"/>
      <c r="R666" s="487"/>
      <c r="S666" s="487"/>
      <c r="T666" s="487"/>
    </row>
    <row r="667" spans="1:23" ht="15.75" customHeight="1">
      <c r="A667" s="487"/>
      <c r="B667" s="487"/>
      <c r="C667" s="850"/>
      <c r="D667" s="850"/>
      <c r="E667" s="850"/>
      <c r="F667" s="850"/>
      <c r="G667" s="850"/>
      <c r="H667" s="850"/>
      <c r="I667" s="850"/>
      <c r="J667" s="850"/>
      <c r="K667" s="850"/>
      <c r="L667" s="850"/>
      <c r="M667" s="850"/>
      <c r="N667" s="487"/>
      <c r="O667" s="487"/>
      <c r="P667" s="487"/>
      <c r="Q667" s="487"/>
      <c r="R667" s="487"/>
      <c r="S667" s="487"/>
      <c r="T667" s="487"/>
    </row>
    <row r="668" spans="1:23" ht="15.75" customHeight="1">
      <c r="A668" s="487"/>
      <c r="B668" s="487"/>
      <c r="C668" s="850"/>
      <c r="D668" s="850"/>
      <c r="E668" s="850"/>
      <c r="F668" s="850"/>
      <c r="G668" s="850"/>
      <c r="H668" s="850"/>
      <c r="I668" s="850"/>
      <c r="J668" s="850"/>
      <c r="K668" s="850"/>
      <c r="L668" s="850"/>
      <c r="M668" s="850"/>
      <c r="N668" s="487"/>
      <c r="O668" s="487"/>
      <c r="P668" s="487"/>
      <c r="Q668" s="487"/>
      <c r="R668" s="487"/>
      <c r="S668" s="487"/>
      <c r="T668" s="487"/>
    </row>
    <row r="669" spans="1:23" ht="15.75" customHeight="1">
      <c r="A669" s="487"/>
      <c r="B669" s="487"/>
      <c r="C669" s="850"/>
      <c r="D669" s="850"/>
      <c r="E669" s="850"/>
      <c r="F669" s="850"/>
      <c r="G669" s="850"/>
      <c r="H669" s="850"/>
      <c r="I669" s="850"/>
      <c r="J669" s="850"/>
      <c r="K669" s="850"/>
      <c r="L669" s="850"/>
      <c r="M669" s="850"/>
      <c r="N669" s="487"/>
      <c r="O669" s="487"/>
      <c r="P669" s="487"/>
      <c r="Q669" s="487"/>
      <c r="R669" s="487"/>
      <c r="S669" s="487"/>
      <c r="T669" s="487"/>
    </row>
    <row r="670" spans="1:23" ht="15.75" customHeight="1">
      <c r="A670" s="487"/>
      <c r="B670" s="487"/>
      <c r="C670" s="850"/>
      <c r="D670" s="850"/>
      <c r="E670" s="850"/>
      <c r="F670" s="850"/>
      <c r="G670" s="850"/>
      <c r="H670" s="850"/>
      <c r="I670" s="850"/>
      <c r="J670" s="850"/>
      <c r="K670" s="850"/>
      <c r="L670" s="850"/>
      <c r="M670" s="850"/>
      <c r="N670" s="487"/>
      <c r="O670" s="487"/>
      <c r="P670" s="487"/>
      <c r="Q670" s="487"/>
      <c r="R670" s="487"/>
      <c r="S670" s="487"/>
      <c r="T670" s="487"/>
    </row>
    <row r="671" spans="1:23" ht="15.75" customHeight="1">
      <c r="A671" s="487"/>
      <c r="B671" s="487"/>
      <c r="C671" s="850"/>
      <c r="D671" s="850"/>
      <c r="E671" s="850"/>
      <c r="F671" s="850"/>
      <c r="G671" s="850"/>
      <c r="H671" s="850"/>
      <c r="I671" s="850"/>
      <c r="J671" s="850"/>
      <c r="K671" s="850"/>
      <c r="L671" s="850"/>
      <c r="M671" s="850"/>
      <c r="N671" s="487"/>
      <c r="O671" s="487"/>
      <c r="P671" s="487"/>
      <c r="Q671" s="487"/>
      <c r="R671" s="487"/>
      <c r="S671" s="487"/>
      <c r="T671" s="487"/>
    </row>
    <row r="672" spans="1:23" ht="15.75" customHeight="1">
      <c r="A672" s="487"/>
      <c r="B672" s="487"/>
      <c r="C672" s="850"/>
      <c r="D672" s="850"/>
      <c r="E672" s="850"/>
      <c r="F672" s="850"/>
      <c r="G672" s="850"/>
      <c r="H672" s="850"/>
      <c r="I672" s="850"/>
      <c r="J672" s="850"/>
      <c r="K672" s="850"/>
      <c r="L672" s="850"/>
      <c r="M672" s="850"/>
      <c r="N672" s="487"/>
      <c r="O672" s="487"/>
      <c r="P672" s="487"/>
      <c r="Q672" s="487"/>
      <c r="R672" s="487"/>
      <c r="S672" s="487"/>
      <c r="T672" s="487"/>
    </row>
    <row r="673" spans="1:20" ht="15.75" customHeight="1">
      <c r="A673" s="487"/>
      <c r="B673" s="487"/>
      <c r="C673" s="850"/>
      <c r="D673" s="850"/>
      <c r="E673" s="850"/>
      <c r="F673" s="850"/>
      <c r="G673" s="850"/>
      <c r="H673" s="850"/>
      <c r="I673" s="850"/>
      <c r="J673" s="850"/>
      <c r="K673" s="850"/>
      <c r="L673" s="850"/>
      <c r="M673" s="850"/>
      <c r="N673" s="487"/>
      <c r="O673" s="487"/>
      <c r="P673" s="487"/>
      <c r="Q673" s="487"/>
      <c r="R673" s="487"/>
      <c r="S673" s="487"/>
      <c r="T673" s="487"/>
    </row>
    <row r="674" spans="1:20" ht="15.75" customHeight="1">
      <c r="A674" s="487"/>
      <c r="B674" s="487"/>
      <c r="C674" s="850"/>
      <c r="D674" s="850"/>
      <c r="E674" s="850"/>
      <c r="F674" s="850"/>
      <c r="G674" s="850"/>
      <c r="H674" s="850"/>
      <c r="I674" s="850"/>
      <c r="J674" s="850"/>
      <c r="K674" s="850"/>
      <c r="L674" s="850"/>
      <c r="M674" s="850"/>
      <c r="N674" s="487"/>
      <c r="O674" s="487"/>
      <c r="P674" s="487"/>
      <c r="Q674" s="487"/>
      <c r="R674" s="487"/>
      <c r="S674" s="487"/>
      <c r="T674" s="487"/>
    </row>
    <row r="675" spans="1:20" ht="15.75" customHeight="1">
      <c r="A675" s="487"/>
      <c r="B675" s="487"/>
      <c r="C675" s="850"/>
      <c r="D675" s="850"/>
      <c r="E675" s="850"/>
      <c r="F675" s="850"/>
      <c r="G675" s="850"/>
      <c r="H675" s="850"/>
      <c r="I675" s="850"/>
      <c r="J675" s="850"/>
      <c r="K675" s="850"/>
      <c r="L675" s="850"/>
      <c r="M675" s="850"/>
      <c r="N675" s="487"/>
      <c r="O675" s="487"/>
      <c r="P675" s="487"/>
      <c r="Q675" s="487"/>
      <c r="R675" s="487"/>
      <c r="S675" s="487"/>
      <c r="T675" s="487"/>
    </row>
    <row r="676" spans="1:20" ht="15.75" customHeight="1">
      <c r="A676" s="487"/>
      <c r="B676" s="487"/>
      <c r="C676" s="850"/>
      <c r="D676" s="850"/>
      <c r="E676" s="850"/>
      <c r="F676" s="850"/>
      <c r="G676" s="850"/>
      <c r="H676" s="850"/>
      <c r="I676" s="850"/>
      <c r="J676" s="850"/>
      <c r="K676" s="850"/>
      <c r="L676" s="850"/>
      <c r="M676" s="850"/>
      <c r="N676" s="487"/>
      <c r="O676" s="487"/>
      <c r="P676" s="487"/>
      <c r="Q676" s="487"/>
      <c r="R676" s="487"/>
      <c r="S676" s="487"/>
      <c r="T676" s="487"/>
    </row>
    <row r="677" spans="1:20" ht="15.75" customHeight="1">
      <c r="C677" s="851"/>
      <c r="D677" s="851"/>
      <c r="E677" s="851"/>
      <c r="F677" s="851"/>
      <c r="G677" s="851"/>
      <c r="H677" s="851"/>
      <c r="I677" s="851"/>
      <c r="J677" s="851"/>
      <c r="K677" s="851"/>
      <c r="L677" s="851"/>
      <c r="M677" s="851"/>
    </row>
    <row r="678" spans="1:20" ht="15.75" customHeight="1">
      <c r="C678" s="851"/>
      <c r="D678" s="851"/>
      <c r="E678" s="851"/>
      <c r="F678" s="851"/>
      <c r="G678" s="851"/>
      <c r="H678" s="851"/>
      <c r="I678" s="851"/>
      <c r="J678" s="851"/>
      <c r="K678" s="851"/>
      <c r="L678" s="851"/>
      <c r="M678" s="851"/>
    </row>
    <row r="679" spans="1:20" ht="15.75" customHeight="1">
      <c r="C679" s="851"/>
      <c r="D679" s="851"/>
      <c r="E679" s="851"/>
      <c r="F679" s="851"/>
      <c r="G679" s="851"/>
      <c r="H679" s="851"/>
      <c r="I679" s="851"/>
      <c r="J679" s="851"/>
      <c r="K679" s="851"/>
      <c r="L679" s="851"/>
      <c r="M679" s="851"/>
    </row>
    <row r="680" spans="1:20" ht="15.75" customHeight="1">
      <c r="C680" s="851"/>
      <c r="D680" s="851"/>
      <c r="E680" s="851"/>
      <c r="F680" s="851"/>
      <c r="G680" s="851"/>
      <c r="H680" s="851"/>
      <c r="I680" s="851"/>
      <c r="J680" s="851"/>
      <c r="K680" s="851"/>
      <c r="L680" s="851"/>
      <c r="M680" s="851"/>
    </row>
    <row r="681" spans="1:20" ht="15.75" customHeight="1">
      <c r="C681" s="851"/>
      <c r="D681" s="851"/>
      <c r="E681" s="851"/>
      <c r="F681" s="851"/>
      <c r="G681" s="851"/>
      <c r="H681" s="851"/>
      <c r="I681" s="851"/>
      <c r="J681" s="851"/>
      <c r="K681" s="851"/>
      <c r="L681" s="851"/>
      <c r="M681" s="851"/>
    </row>
    <row r="682" spans="1:20" ht="15.75" customHeight="1">
      <c r="C682" s="851"/>
      <c r="D682" s="851"/>
      <c r="E682" s="851"/>
      <c r="F682" s="851"/>
      <c r="G682" s="851"/>
      <c r="H682" s="851"/>
      <c r="I682" s="851"/>
      <c r="J682" s="851"/>
      <c r="K682" s="851"/>
      <c r="L682" s="851"/>
      <c r="M682" s="851"/>
    </row>
    <row r="683" spans="1:20" ht="15.75" customHeight="1">
      <c r="C683" s="851"/>
      <c r="D683" s="851"/>
      <c r="E683" s="851"/>
      <c r="F683" s="851"/>
      <c r="G683" s="851"/>
      <c r="H683" s="851"/>
      <c r="I683" s="851"/>
      <c r="J683" s="851"/>
      <c r="K683" s="851"/>
      <c r="L683" s="851"/>
      <c r="M683" s="851"/>
    </row>
    <row r="684" spans="1:20" ht="15.75" customHeight="1">
      <c r="C684" s="851"/>
      <c r="D684" s="851"/>
      <c r="E684" s="851"/>
      <c r="F684" s="851"/>
      <c r="G684" s="851"/>
      <c r="H684" s="851"/>
      <c r="I684" s="851"/>
      <c r="J684" s="851"/>
      <c r="K684" s="851"/>
      <c r="L684" s="851"/>
      <c r="M684" s="851"/>
    </row>
    <row r="685" spans="1:20" ht="15.75" customHeight="1">
      <c r="C685" s="851"/>
      <c r="D685" s="851"/>
      <c r="E685" s="851"/>
      <c r="F685" s="851"/>
      <c r="G685" s="851"/>
      <c r="H685" s="851"/>
      <c r="I685" s="851"/>
      <c r="J685" s="851"/>
      <c r="K685" s="851"/>
      <c r="L685" s="851"/>
      <c r="M685" s="851"/>
    </row>
    <row r="686" spans="1:20" ht="15.75" customHeight="1">
      <c r="C686" s="851"/>
      <c r="D686" s="851"/>
      <c r="E686" s="851"/>
      <c r="F686" s="851"/>
      <c r="G686" s="851"/>
      <c r="H686" s="851"/>
      <c r="I686" s="851"/>
      <c r="J686" s="851"/>
      <c r="K686" s="851"/>
      <c r="L686" s="851"/>
      <c r="M686" s="851"/>
    </row>
    <row r="687" spans="1:20" ht="15.75" customHeight="1">
      <c r="C687" s="851"/>
      <c r="D687" s="851"/>
      <c r="E687" s="851"/>
      <c r="F687" s="851"/>
      <c r="G687" s="851"/>
      <c r="H687" s="851"/>
      <c r="I687" s="851"/>
      <c r="J687" s="851"/>
      <c r="K687" s="851"/>
      <c r="L687" s="851"/>
      <c r="M687" s="851"/>
    </row>
    <row r="688" spans="1:20" ht="15.75" customHeight="1">
      <c r="C688" s="851"/>
      <c r="D688" s="851"/>
      <c r="E688" s="851"/>
      <c r="F688" s="851"/>
      <c r="G688" s="851"/>
      <c r="H688" s="851"/>
      <c r="I688" s="851"/>
      <c r="J688" s="851"/>
      <c r="K688" s="851"/>
      <c r="L688" s="851"/>
      <c r="M688" s="851"/>
    </row>
    <row r="689" spans="3:13" ht="15.75" customHeight="1">
      <c r="C689" s="851"/>
      <c r="D689" s="851"/>
      <c r="E689" s="851"/>
      <c r="F689" s="851"/>
      <c r="G689" s="851"/>
      <c r="H689" s="851"/>
      <c r="I689" s="851"/>
      <c r="J689" s="851"/>
      <c r="K689" s="851"/>
      <c r="L689" s="851"/>
      <c r="M689" s="851"/>
    </row>
    <row r="690" spans="3:13" ht="15.75" customHeight="1">
      <c r="C690" s="851"/>
      <c r="D690" s="851"/>
      <c r="E690" s="851"/>
      <c r="F690" s="851"/>
      <c r="G690" s="851"/>
      <c r="H690" s="851"/>
      <c r="I690" s="851"/>
      <c r="J690" s="851"/>
      <c r="K690" s="851"/>
      <c r="L690" s="851"/>
      <c r="M690" s="851"/>
    </row>
    <row r="691" spans="3:13" ht="15.75" customHeight="1">
      <c r="C691" s="851"/>
      <c r="D691" s="851"/>
      <c r="E691" s="851"/>
      <c r="F691" s="851"/>
      <c r="G691" s="851"/>
      <c r="H691" s="851"/>
      <c r="I691" s="851"/>
      <c r="J691" s="851"/>
      <c r="K691" s="851"/>
      <c r="L691" s="851"/>
      <c r="M691" s="851"/>
    </row>
    <row r="692" spans="3:13" ht="15.75" customHeight="1">
      <c r="C692" s="851"/>
      <c r="D692" s="851"/>
      <c r="E692" s="851"/>
      <c r="F692" s="851"/>
      <c r="G692" s="851"/>
      <c r="H692" s="851"/>
      <c r="I692" s="851"/>
      <c r="J692" s="851"/>
      <c r="K692" s="851"/>
      <c r="L692" s="851"/>
      <c r="M692" s="851"/>
    </row>
    <row r="693" spans="3:13" ht="15.75" customHeight="1">
      <c r="C693" s="851"/>
      <c r="D693" s="851"/>
      <c r="E693" s="851"/>
      <c r="F693" s="851"/>
      <c r="G693" s="851"/>
      <c r="H693" s="851"/>
      <c r="I693" s="851"/>
      <c r="J693" s="851"/>
      <c r="K693" s="851"/>
      <c r="L693" s="851"/>
      <c r="M693" s="851"/>
    </row>
    <row r="694" spans="3:13" ht="15.75" customHeight="1">
      <c r="C694" s="851"/>
      <c r="D694" s="851"/>
      <c r="E694" s="851"/>
      <c r="F694" s="851"/>
      <c r="G694" s="851"/>
      <c r="H694" s="851"/>
      <c r="I694" s="851"/>
      <c r="J694" s="851"/>
      <c r="K694" s="851"/>
      <c r="L694" s="851"/>
      <c r="M694" s="851"/>
    </row>
    <row r="695" spans="3:13" ht="15.75" customHeight="1">
      <c r="C695" s="851"/>
      <c r="D695" s="851"/>
      <c r="E695" s="851"/>
      <c r="F695" s="851"/>
      <c r="G695" s="851"/>
      <c r="H695" s="851"/>
      <c r="I695" s="851"/>
      <c r="J695" s="851"/>
      <c r="K695" s="851"/>
      <c r="L695" s="851"/>
      <c r="M695" s="851"/>
    </row>
    <row r="696" spans="3:13" ht="15.75" customHeight="1">
      <c r="C696" s="851"/>
      <c r="D696" s="851"/>
      <c r="E696" s="851"/>
      <c r="F696" s="851"/>
      <c r="G696" s="851"/>
      <c r="H696" s="851"/>
      <c r="I696" s="851"/>
      <c r="J696" s="851"/>
      <c r="K696" s="851"/>
      <c r="L696" s="851"/>
      <c r="M696" s="851"/>
    </row>
    <row r="697" spans="3:13" ht="15.75" customHeight="1">
      <c r="C697" s="851"/>
      <c r="D697" s="851"/>
      <c r="E697" s="851"/>
      <c r="F697" s="851"/>
      <c r="G697" s="851"/>
      <c r="H697" s="851"/>
      <c r="I697" s="851"/>
      <c r="J697" s="851"/>
      <c r="K697" s="851"/>
      <c r="L697" s="851"/>
      <c r="M697" s="851"/>
    </row>
    <row r="698" spans="3:13" ht="15.75" customHeight="1">
      <c r="C698" s="851"/>
      <c r="D698" s="851"/>
      <c r="E698" s="851"/>
      <c r="F698" s="851"/>
      <c r="G698" s="851"/>
      <c r="H698" s="851"/>
      <c r="I698" s="851"/>
      <c r="J698" s="851"/>
      <c r="K698" s="851"/>
      <c r="L698" s="851"/>
      <c r="M698" s="851"/>
    </row>
    <row r="699" spans="3:13" ht="15.75" customHeight="1">
      <c r="C699" s="851"/>
      <c r="D699" s="851"/>
      <c r="E699" s="851"/>
      <c r="F699" s="851"/>
      <c r="G699" s="851"/>
      <c r="H699" s="851"/>
      <c r="I699" s="851"/>
      <c r="J699" s="851"/>
      <c r="K699" s="851"/>
      <c r="L699" s="851"/>
      <c r="M699" s="851"/>
    </row>
    <row r="700" spans="3:13" ht="15.75" customHeight="1">
      <c r="C700" s="851"/>
      <c r="D700" s="851"/>
      <c r="E700" s="851"/>
      <c r="F700" s="851"/>
      <c r="G700" s="851"/>
      <c r="H700" s="851"/>
      <c r="I700" s="851"/>
      <c r="J700" s="851"/>
      <c r="K700" s="851"/>
      <c r="L700" s="851"/>
      <c r="M700" s="851"/>
    </row>
    <row r="701" spans="3:13" ht="15.75" customHeight="1">
      <c r="C701" s="851"/>
      <c r="D701" s="851"/>
      <c r="E701" s="851"/>
      <c r="F701" s="851"/>
      <c r="G701" s="851"/>
      <c r="H701" s="851"/>
      <c r="I701" s="851"/>
      <c r="J701" s="851"/>
      <c r="K701" s="851"/>
      <c r="L701" s="851"/>
      <c r="M701" s="851"/>
    </row>
    <row r="702" spans="3:13" ht="15.75" customHeight="1">
      <c r="C702" s="851"/>
      <c r="D702" s="851"/>
      <c r="E702" s="851"/>
      <c r="F702" s="851"/>
      <c r="G702" s="851"/>
      <c r="H702" s="851"/>
      <c r="I702" s="851"/>
      <c r="J702" s="851"/>
      <c r="K702" s="851"/>
      <c r="L702" s="851"/>
      <c r="M702" s="851"/>
    </row>
    <row r="703" spans="3:13" ht="15.75" customHeight="1">
      <c r="C703" s="851"/>
      <c r="D703" s="851"/>
      <c r="E703" s="851"/>
      <c r="F703" s="851"/>
      <c r="G703" s="851"/>
      <c r="H703" s="851"/>
      <c r="I703" s="851"/>
      <c r="J703" s="851"/>
      <c r="K703" s="851"/>
      <c r="L703" s="851"/>
      <c r="M703" s="851"/>
    </row>
    <row r="704" spans="3:13" ht="14.25" customHeight="1">
      <c r="C704" s="851"/>
      <c r="D704" s="851"/>
      <c r="E704" s="851"/>
      <c r="F704" s="851"/>
      <c r="G704" s="851"/>
      <c r="H704" s="851"/>
      <c r="I704" s="851"/>
      <c r="J704" s="851"/>
      <c r="K704" s="851"/>
      <c r="L704" s="851"/>
      <c r="M704" s="851"/>
    </row>
    <row r="705" spans="3:13" ht="14.25" customHeight="1">
      <c r="C705" s="851"/>
      <c r="D705" s="851"/>
      <c r="E705" s="851"/>
      <c r="F705" s="851"/>
      <c r="G705" s="851"/>
      <c r="H705" s="851"/>
      <c r="I705" s="851"/>
      <c r="J705" s="851"/>
      <c r="K705" s="851"/>
      <c r="L705" s="851"/>
      <c r="M705" s="851"/>
    </row>
    <row r="706" spans="3:13" ht="14.25" customHeight="1">
      <c r="C706" s="851"/>
      <c r="D706" s="851"/>
      <c r="E706" s="851"/>
      <c r="F706" s="851"/>
      <c r="G706" s="851"/>
      <c r="H706" s="851"/>
      <c r="I706" s="851"/>
      <c r="J706" s="851"/>
      <c r="K706" s="851"/>
      <c r="L706" s="851"/>
      <c r="M706" s="851"/>
    </row>
    <row r="707" spans="3:13" ht="14.25" customHeight="1">
      <c r="C707" s="851"/>
      <c r="D707" s="851"/>
      <c r="E707" s="851"/>
      <c r="F707" s="851"/>
      <c r="G707" s="851"/>
      <c r="H707" s="851"/>
      <c r="I707" s="851"/>
      <c r="J707" s="851"/>
      <c r="K707" s="851"/>
      <c r="L707" s="851"/>
      <c r="M707" s="851"/>
    </row>
    <row r="708" spans="3:13" ht="14.25" customHeight="1">
      <c r="C708" s="851"/>
      <c r="D708" s="851"/>
      <c r="E708" s="851"/>
      <c r="F708" s="851"/>
      <c r="G708" s="851"/>
      <c r="H708" s="851"/>
      <c r="I708" s="851"/>
      <c r="J708" s="851"/>
      <c r="K708" s="851"/>
      <c r="L708" s="851"/>
      <c r="M708" s="851"/>
    </row>
    <row r="709" spans="3:13" ht="14.25" customHeight="1">
      <c r="C709" s="851"/>
      <c r="D709" s="851"/>
      <c r="E709" s="851"/>
      <c r="F709" s="851"/>
      <c r="G709" s="851"/>
      <c r="H709" s="851"/>
      <c r="I709" s="851"/>
      <c r="J709" s="851"/>
      <c r="K709" s="851"/>
      <c r="L709" s="851"/>
      <c r="M709" s="851"/>
    </row>
    <row r="710" spans="3:13" ht="14.25" customHeight="1">
      <c r="C710" s="851"/>
      <c r="D710" s="851"/>
      <c r="E710" s="851"/>
      <c r="F710" s="851"/>
      <c r="G710" s="851"/>
      <c r="H710" s="851"/>
      <c r="I710" s="851"/>
      <c r="J710" s="851"/>
      <c r="K710" s="851"/>
      <c r="L710" s="851"/>
      <c r="M710" s="851"/>
    </row>
    <row r="711" spans="3:13" ht="14.25" customHeight="1">
      <c r="C711" s="851"/>
      <c r="D711" s="851"/>
      <c r="E711" s="851"/>
      <c r="F711" s="851"/>
      <c r="G711" s="851"/>
      <c r="H711" s="851"/>
      <c r="I711" s="851"/>
      <c r="J711" s="851"/>
      <c r="K711" s="851"/>
      <c r="L711" s="851"/>
      <c r="M711" s="851"/>
    </row>
    <row r="712" spans="3:13" ht="14.25" customHeight="1">
      <c r="C712" s="851"/>
      <c r="D712" s="851"/>
      <c r="E712" s="851"/>
      <c r="F712" s="851"/>
      <c r="G712" s="851"/>
      <c r="H712" s="851"/>
      <c r="I712" s="851"/>
      <c r="J712" s="851"/>
      <c r="K712" s="851"/>
      <c r="L712" s="851"/>
      <c r="M712" s="851"/>
    </row>
    <row r="713" spans="3:13" ht="14.25" customHeight="1">
      <c r="C713" s="851"/>
      <c r="D713" s="851"/>
      <c r="E713" s="851"/>
      <c r="F713" s="851"/>
      <c r="G713" s="851"/>
      <c r="H713" s="851"/>
      <c r="I713" s="851"/>
      <c r="J713" s="851"/>
      <c r="K713" s="851"/>
      <c r="L713" s="851"/>
      <c r="M713" s="851"/>
    </row>
    <row r="714" spans="3:13" ht="14.25" customHeight="1">
      <c r="C714" s="851"/>
      <c r="D714" s="851"/>
      <c r="E714" s="851"/>
      <c r="F714" s="851"/>
      <c r="G714" s="851"/>
      <c r="H714" s="851"/>
      <c r="I714" s="851"/>
      <c r="J714" s="851"/>
      <c r="K714" s="851"/>
      <c r="L714" s="851"/>
      <c r="M714" s="851"/>
    </row>
    <row r="715" spans="3:13" ht="14.25" customHeight="1">
      <c r="C715" s="851"/>
      <c r="D715" s="851"/>
      <c r="E715" s="851"/>
      <c r="F715" s="851"/>
      <c r="G715" s="851"/>
      <c r="H715" s="851"/>
      <c r="I715" s="851"/>
      <c r="J715" s="851"/>
      <c r="K715" s="851"/>
      <c r="L715" s="851"/>
      <c r="M715" s="851"/>
    </row>
    <row r="716" spans="3:13" ht="14.25" customHeight="1">
      <c r="C716" s="851"/>
      <c r="D716" s="851"/>
      <c r="E716" s="851"/>
      <c r="F716" s="851"/>
      <c r="G716" s="851"/>
      <c r="H716" s="851"/>
      <c r="I716" s="851"/>
      <c r="J716" s="851"/>
      <c r="K716" s="851"/>
      <c r="L716" s="851"/>
      <c r="M716" s="851"/>
    </row>
    <row r="717" spans="3:13" ht="14.25" customHeight="1">
      <c r="C717" s="851"/>
      <c r="D717" s="851"/>
      <c r="E717" s="851"/>
      <c r="F717" s="851"/>
      <c r="G717" s="851"/>
      <c r="H717" s="851"/>
      <c r="I717" s="851"/>
      <c r="J717" s="851"/>
      <c r="K717" s="851"/>
      <c r="L717" s="851"/>
      <c r="M717" s="851"/>
    </row>
    <row r="718" spans="3:13" ht="14.25" customHeight="1">
      <c r="C718" s="851"/>
      <c r="D718" s="851"/>
      <c r="E718" s="851"/>
      <c r="F718" s="851"/>
      <c r="G718" s="851"/>
      <c r="H718" s="851"/>
      <c r="I718" s="851"/>
      <c r="J718" s="851"/>
      <c r="K718" s="851"/>
      <c r="L718" s="851"/>
      <c r="M718" s="851"/>
    </row>
    <row r="719" spans="3:13" ht="14.25" customHeight="1">
      <c r="C719" s="851"/>
      <c r="D719" s="851"/>
      <c r="E719" s="851"/>
      <c r="F719" s="851"/>
      <c r="G719" s="851"/>
      <c r="H719" s="851"/>
      <c r="I719" s="851"/>
      <c r="J719" s="851"/>
      <c r="K719" s="851"/>
      <c r="L719" s="851"/>
      <c r="M719" s="851"/>
    </row>
    <row r="720" spans="3:13" ht="14.25" customHeight="1">
      <c r="C720" s="851"/>
      <c r="D720" s="851"/>
      <c r="E720" s="851"/>
      <c r="F720" s="851"/>
      <c r="G720" s="851"/>
      <c r="H720" s="851"/>
      <c r="I720" s="851"/>
      <c r="J720" s="851"/>
      <c r="K720" s="851"/>
      <c r="L720" s="851"/>
      <c r="M720" s="851"/>
    </row>
    <row r="721" spans="3:13" ht="14.25" customHeight="1">
      <c r="C721" s="851"/>
      <c r="D721" s="851"/>
      <c r="E721" s="851"/>
      <c r="F721" s="851"/>
      <c r="G721" s="851"/>
      <c r="H721" s="851"/>
      <c r="I721" s="851"/>
      <c r="J721" s="851"/>
      <c r="K721" s="851"/>
      <c r="L721" s="851"/>
      <c r="M721" s="851"/>
    </row>
    <row r="722" spans="3:13" ht="14.25" customHeight="1">
      <c r="C722" s="851"/>
      <c r="D722" s="851"/>
      <c r="E722" s="851"/>
      <c r="F722" s="851"/>
      <c r="G722" s="851"/>
      <c r="H722" s="851"/>
      <c r="I722" s="851"/>
      <c r="J722" s="851"/>
      <c r="K722" s="851"/>
      <c r="L722" s="851"/>
      <c r="M722" s="851"/>
    </row>
    <row r="723" spans="3:13" ht="14.25" customHeight="1">
      <c r="C723" s="851"/>
      <c r="D723" s="851"/>
      <c r="E723" s="851"/>
      <c r="F723" s="851"/>
      <c r="G723" s="851"/>
      <c r="H723" s="851"/>
      <c r="I723" s="851"/>
      <c r="J723" s="851"/>
      <c r="K723" s="851"/>
      <c r="L723" s="851"/>
      <c r="M723" s="851"/>
    </row>
    <row r="724" spans="3:13" ht="14.25" customHeight="1">
      <c r="C724" s="851"/>
      <c r="D724" s="851"/>
      <c r="E724" s="851"/>
      <c r="F724" s="851"/>
      <c r="G724" s="851"/>
      <c r="H724" s="851"/>
      <c r="I724" s="851"/>
      <c r="J724" s="851"/>
      <c r="K724" s="851"/>
      <c r="L724" s="851"/>
      <c r="M724" s="851"/>
    </row>
    <row r="725" spans="3:13" ht="14.25" customHeight="1">
      <c r="C725" s="851"/>
      <c r="D725" s="851"/>
      <c r="E725" s="851"/>
      <c r="F725" s="851"/>
      <c r="G725" s="851"/>
      <c r="H725" s="851"/>
      <c r="I725" s="851"/>
      <c r="J725" s="851"/>
      <c r="K725" s="851"/>
      <c r="L725" s="851"/>
      <c r="M725" s="851"/>
    </row>
    <row r="726" spans="3:13" ht="14.25" customHeight="1">
      <c r="C726" s="851"/>
      <c r="D726" s="851"/>
      <c r="E726" s="851"/>
      <c r="F726" s="851"/>
      <c r="G726" s="851"/>
      <c r="H726" s="851"/>
      <c r="I726" s="851"/>
      <c r="J726" s="851"/>
      <c r="K726" s="851"/>
      <c r="L726" s="851"/>
      <c r="M726" s="851"/>
    </row>
    <row r="727" spans="3:13" ht="14.25" customHeight="1">
      <c r="C727" s="851"/>
      <c r="D727" s="851"/>
      <c r="E727" s="851"/>
      <c r="F727" s="851"/>
      <c r="G727" s="851"/>
      <c r="H727" s="851"/>
      <c r="I727" s="851"/>
      <c r="J727" s="851"/>
      <c r="K727" s="851"/>
      <c r="L727" s="851"/>
      <c r="M727" s="851"/>
    </row>
    <row r="728" spans="3:13" ht="14.25" customHeight="1">
      <c r="C728" s="851"/>
      <c r="D728" s="851"/>
      <c r="E728" s="851"/>
      <c r="F728" s="851"/>
      <c r="G728" s="851"/>
      <c r="H728" s="851"/>
      <c r="I728" s="851"/>
      <c r="J728" s="851"/>
      <c r="K728" s="851"/>
      <c r="L728" s="851"/>
      <c r="M728" s="851"/>
    </row>
    <row r="729" spans="3:13" ht="14.25" customHeight="1">
      <c r="C729" s="851"/>
      <c r="D729" s="851"/>
      <c r="E729" s="851"/>
      <c r="F729" s="851"/>
      <c r="G729" s="851"/>
      <c r="H729" s="851"/>
      <c r="I729" s="851"/>
      <c r="J729" s="851"/>
      <c r="K729" s="851"/>
      <c r="L729" s="851"/>
      <c r="M729" s="851"/>
    </row>
    <row r="730" spans="3:13" ht="14.25" customHeight="1">
      <c r="C730" s="851"/>
      <c r="D730" s="851"/>
      <c r="E730" s="851"/>
      <c r="F730" s="851"/>
      <c r="G730" s="851"/>
      <c r="H730" s="851"/>
      <c r="I730" s="851"/>
      <c r="J730" s="851"/>
      <c r="K730" s="851"/>
      <c r="L730" s="851"/>
      <c r="M730" s="851"/>
    </row>
    <row r="731" spans="3:13" ht="14.25" customHeight="1">
      <c r="C731" s="851"/>
      <c r="D731" s="851"/>
      <c r="E731" s="851"/>
      <c r="F731" s="851"/>
      <c r="G731" s="851"/>
      <c r="H731" s="851"/>
      <c r="I731" s="851"/>
      <c r="J731" s="851"/>
      <c r="K731" s="851"/>
      <c r="L731" s="851"/>
      <c r="M731" s="851"/>
    </row>
    <row r="732" spans="3:13" ht="14.25" customHeight="1">
      <c r="C732" s="851"/>
      <c r="D732" s="851"/>
      <c r="E732" s="851"/>
      <c r="F732" s="851"/>
      <c r="G732" s="851"/>
      <c r="H732" s="851"/>
      <c r="I732" s="851"/>
      <c r="J732" s="851"/>
      <c r="K732" s="851"/>
      <c r="L732" s="851"/>
      <c r="M732" s="851"/>
    </row>
    <row r="733" spans="3:13" ht="14.25" customHeight="1">
      <c r="C733" s="851"/>
      <c r="D733" s="851"/>
      <c r="E733" s="851"/>
      <c r="F733" s="851"/>
      <c r="G733" s="851"/>
      <c r="H733" s="851"/>
      <c r="I733" s="851"/>
      <c r="J733" s="851"/>
      <c r="K733" s="851"/>
      <c r="L733" s="851"/>
      <c r="M733" s="851"/>
    </row>
    <row r="734" spans="3:13" ht="14.25" customHeight="1">
      <c r="C734" s="851"/>
      <c r="D734" s="851"/>
      <c r="E734" s="851"/>
      <c r="F734" s="851"/>
      <c r="G734" s="851"/>
      <c r="H734" s="851"/>
      <c r="I734" s="851"/>
      <c r="J734" s="851"/>
      <c r="K734" s="851"/>
      <c r="L734" s="851"/>
      <c r="M734" s="851"/>
    </row>
    <row r="735" spans="3:13" ht="14.25" customHeight="1">
      <c r="C735" s="851"/>
      <c r="D735" s="851"/>
      <c r="E735" s="851"/>
      <c r="F735" s="851"/>
      <c r="G735" s="851"/>
      <c r="H735" s="851"/>
      <c r="I735" s="851"/>
      <c r="J735" s="851"/>
      <c r="K735" s="851"/>
      <c r="L735" s="851"/>
      <c r="M735" s="851"/>
    </row>
    <row r="736" spans="3:13" ht="14.25" customHeight="1">
      <c r="C736" s="851"/>
      <c r="D736" s="851"/>
      <c r="E736" s="851"/>
      <c r="F736" s="851"/>
      <c r="G736" s="851"/>
      <c r="H736" s="851"/>
      <c r="I736" s="851"/>
      <c r="J736" s="851"/>
      <c r="K736" s="851"/>
      <c r="L736" s="851"/>
      <c r="M736" s="851"/>
    </row>
    <row r="737" spans="3:13" ht="14.25" customHeight="1">
      <c r="C737" s="851"/>
      <c r="D737" s="851"/>
      <c r="E737" s="851"/>
      <c r="F737" s="851"/>
      <c r="G737" s="851"/>
      <c r="H737" s="851"/>
      <c r="I737" s="851"/>
      <c r="J737" s="851"/>
      <c r="K737" s="851"/>
      <c r="L737" s="851"/>
      <c r="M737" s="851"/>
    </row>
    <row r="738" spans="3:13" ht="14.25" customHeight="1">
      <c r="C738" s="851"/>
      <c r="D738" s="851"/>
      <c r="E738" s="851"/>
      <c r="F738" s="851"/>
      <c r="G738" s="851"/>
      <c r="H738" s="851"/>
      <c r="I738" s="851"/>
      <c r="J738" s="851"/>
      <c r="K738" s="851"/>
      <c r="L738" s="851"/>
      <c r="M738" s="851"/>
    </row>
    <row r="739" spans="3:13" ht="14.25" customHeight="1">
      <c r="C739" s="851"/>
      <c r="D739" s="851"/>
      <c r="E739" s="851"/>
      <c r="F739" s="851"/>
      <c r="G739" s="851"/>
      <c r="H739" s="851"/>
      <c r="I739" s="851"/>
      <c r="J739" s="851"/>
      <c r="K739" s="851"/>
      <c r="L739" s="851"/>
      <c r="M739" s="851"/>
    </row>
    <row r="740" spans="3:13" ht="14.25" customHeight="1">
      <c r="C740" s="851"/>
      <c r="D740" s="851"/>
      <c r="E740" s="851"/>
      <c r="F740" s="851"/>
      <c r="G740" s="851"/>
      <c r="H740" s="851"/>
      <c r="I740" s="851"/>
      <c r="J740" s="851"/>
      <c r="K740" s="851"/>
      <c r="L740" s="851"/>
      <c r="M740" s="851"/>
    </row>
    <row r="741" spans="3:13" ht="14.25" customHeight="1">
      <c r="C741" s="851"/>
      <c r="D741" s="851"/>
      <c r="E741" s="851"/>
      <c r="F741" s="851"/>
      <c r="G741" s="851"/>
      <c r="H741" s="851"/>
      <c r="I741" s="851"/>
      <c r="J741" s="851"/>
      <c r="K741" s="851"/>
      <c r="L741" s="851"/>
      <c r="M741" s="851"/>
    </row>
    <row r="742" spans="3:13" ht="14.25" customHeight="1">
      <c r="C742" s="851"/>
      <c r="D742" s="851"/>
      <c r="E742" s="851"/>
      <c r="F742" s="851"/>
      <c r="G742" s="851"/>
      <c r="H742" s="851"/>
      <c r="I742" s="851"/>
      <c r="J742" s="851"/>
      <c r="K742" s="851"/>
      <c r="L742" s="851"/>
      <c r="M742" s="851"/>
    </row>
    <row r="743" spans="3:13" ht="14.25" customHeight="1">
      <c r="C743" s="851"/>
      <c r="D743" s="851"/>
      <c r="E743" s="851"/>
      <c r="F743" s="851"/>
      <c r="G743" s="851"/>
      <c r="H743" s="851"/>
      <c r="I743" s="851"/>
      <c r="J743" s="851"/>
      <c r="K743" s="851"/>
      <c r="L743" s="851"/>
      <c r="M743" s="851"/>
    </row>
    <row r="744" spans="3:13" ht="14.25" customHeight="1">
      <c r="C744" s="851"/>
      <c r="D744" s="851"/>
      <c r="E744" s="851"/>
      <c r="F744" s="851"/>
      <c r="G744" s="851"/>
      <c r="H744" s="851"/>
      <c r="I744" s="851"/>
      <c r="J744" s="851"/>
      <c r="K744" s="851"/>
      <c r="L744" s="851"/>
      <c r="M744" s="851"/>
    </row>
    <row r="745" spans="3:13" ht="14.25" customHeight="1">
      <c r="C745" s="851"/>
      <c r="D745" s="851"/>
      <c r="E745" s="851"/>
      <c r="F745" s="851"/>
      <c r="G745" s="851"/>
      <c r="H745" s="851"/>
      <c r="I745" s="851"/>
      <c r="J745" s="851"/>
      <c r="K745" s="851"/>
      <c r="L745" s="851"/>
      <c r="M745" s="851"/>
    </row>
    <row r="746" spans="3:13" ht="14.25" customHeight="1">
      <c r="C746" s="851"/>
      <c r="D746" s="851"/>
      <c r="E746" s="851"/>
      <c r="F746" s="851"/>
      <c r="G746" s="851"/>
      <c r="H746" s="851"/>
      <c r="I746" s="851"/>
      <c r="J746" s="851"/>
      <c r="K746" s="851"/>
      <c r="L746" s="851"/>
      <c r="M746" s="851"/>
    </row>
    <row r="747" spans="3:13" ht="14.25" customHeight="1">
      <c r="C747" s="851"/>
      <c r="D747" s="851"/>
      <c r="E747" s="851"/>
      <c r="F747" s="851"/>
      <c r="G747" s="851"/>
      <c r="H747" s="851"/>
      <c r="I747" s="851"/>
      <c r="J747" s="851"/>
      <c r="K747" s="851"/>
      <c r="L747" s="851"/>
      <c r="M747" s="851"/>
    </row>
    <row r="748" spans="3:13" ht="14.25" customHeight="1">
      <c r="C748" s="851"/>
      <c r="D748" s="851"/>
      <c r="E748" s="851"/>
      <c r="F748" s="851"/>
      <c r="G748" s="851"/>
      <c r="H748" s="851"/>
      <c r="I748" s="851"/>
      <c r="J748" s="851"/>
      <c r="K748" s="851"/>
      <c r="L748" s="851"/>
      <c r="M748" s="851"/>
    </row>
    <row r="749" spans="3:13" ht="14.25" customHeight="1">
      <c r="C749" s="851"/>
      <c r="D749" s="851"/>
      <c r="E749" s="851"/>
      <c r="F749" s="851"/>
      <c r="G749" s="851"/>
      <c r="H749" s="851"/>
      <c r="I749" s="851"/>
      <c r="J749" s="851"/>
      <c r="K749" s="851"/>
      <c r="L749" s="851"/>
      <c r="M749" s="851"/>
    </row>
    <row r="750" spans="3:13" ht="14.25" customHeight="1">
      <c r="C750" s="851"/>
      <c r="D750" s="851"/>
      <c r="E750" s="851"/>
      <c r="F750" s="851"/>
      <c r="G750" s="851"/>
      <c r="H750" s="851"/>
      <c r="I750" s="851"/>
      <c r="J750" s="851"/>
      <c r="K750" s="851"/>
      <c r="L750" s="851"/>
      <c r="M750" s="851"/>
    </row>
    <row r="751" spans="3:13" ht="14.25" customHeight="1">
      <c r="C751" s="851"/>
      <c r="D751" s="851"/>
      <c r="E751" s="851"/>
      <c r="F751" s="851"/>
      <c r="G751" s="851"/>
      <c r="H751" s="851"/>
      <c r="I751" s="851"/>
      <c r="J751" s="851"/>
      <c r="K751" s="851"/>
      <c r="L751" s="851"/>
      <c r="M751" s="851"/>
    </row>
    <row r="752" spans="3:13" ht="14.25" customHeight="1">
      <c r="C752" s="851"/>
      <c r="D752" s="851"/>
      <c r="E752" s="851"/>
      <c r="F752" s="851"/>
      <c r="G752" s="851"/>
      <c r="H752" s="851"/>
      <c r="I752" s="851"/>
      <c r="J752" s="851"/>
      <c r="K752" s="851"/>
      <c r="L752" s="851"/>
      <c r="M752" s="851"/>
    </row>
    <row r="753" spans="3:13" ht="14.25" customHeight="1">
      <c r="C753" s="851"/>
      <c r="D753" s="851"/>
      <c r="E753" s="851"/>
      <c r="F753" s="851"/>
      <c r="G753" s="851"/>
      <c r="H753" s="851"/>
      <c r="I753" s="851"/>
      <c r="J753" s="851"/>
      <c r="K753" s="851"/>
      <c r="L753" s="851"/>
      <c r="M753" s="851"/>
    </row>
    <row r="754" spans="3:13" ht="14.25" customHeight="1">
      <c r="C754" s="851"/>
      <c r="D754" s="851"/>
      <c r="E754" s="851"/>
      <c r="F754" s="851"/>
      <c r="G754" s="851"/>
      <c r="H754" s="851"/>
      <c r="I754" s="851"/>
      <c r="J754" s="851"/>
      <c r="K754" s="851"/>
      <c r="L754" s="851"/>
      <c r="M754" s="851"/>
    </row>
    <row r="755" spans="3:13" ht="14.25" customHeight="1">
      <c r="C755" s="851"/>
      <c r="D755" s="851"/>
      <c r="E755" s="851"/>
      <c r="F755" s="851"/>
      <c r="G755" s="851"/>
      <c r="H755" s="851"/>
      <c r="I755" s="851"/>
      <c r="J755" s="851"/>
      <c r="K755" s="851"/>
      <c r="L755" s="851"/>
      <c r="M755" s="851"/>
    </row>
    <row r="756" spans="3:13" ht="14.25" customHeight="1">
      <c r="C756" s="851"/>
      <c r="D756" s="851"/>
      <c r="E756" s="851"/>
      <c r="F756" s="851"/>
      <c r="G756" s="851"/>
      <c r="H756" s="851"/>
      <c r="I756" s="851"/>
      <c r="J756" s="851"/>
      <c r="K756" s="851"/>
      <c r="L756" s="851"/>
      <c r="M756" s="851"/>
    </row>
    <row r="757" spans="3:13" ht="14.25" customHeight="1">
      <c r="C757" s="851"/>
      <c r="D757" s="851"/>
      <c r="E757" s="851"/>
      <c r="F757" s="851"/>
      <c r="G757" s="851"/>
      <c r="H757" s="851"/>
      <c r="I757" s="851"/>
      <c r="J757" s="851"/>
      <c r="K757" s="851"/>
      <c r="L757" s="851"/>
      <c r="M757" s="851"/>
    </row>
    <row r="758" spans="3:13" ht="14.25" customHeight="1">
      <c r="C758" s="851"/>
      <c r="D758" s="851"/>
      <c r="E758" s="851"/>
      <c r="F758" s="851"/>
      <c r="G758" s="851"/>
      <c r="H758" s="851"/>
      <c r="I758" s="851"/>
      <c r="J758" s="851"/>
      <c r="K758" s="851"/>
      <c r="L758" s="851"/>
      <c r="M758" s="851"/>
    </row>
    <row r="759" spans="3:13" ht="14.25" customHeight="1">
      <c r="C759" s="851"/>
      <c r="D759" s="851"/>
      <c r="E759" s="851"/>
      <c r="F759" s="851"/>
      <c r="G759" s="851"/>
      <c r="H759" s="851"/>
      <c r="I759" s="851"/>
      <c r="J759" s="851"/>
      <c r="K759" s="851"/>
      <c r="L759" s="851"/>
      <c r="M759" s="851"/>
    </row>
    <row r="760" spans="3:13" ht="14.25" customHeight="1">
      <c r="C760" s="851"/>
      <c r="D760" s="851"/>
      <c r="E760" s="851"/>
      <c r="F760" s="851"/>
      <c r="G760" s="851"/>
      <c r="H760" s="851"/>
      <c r="I760" s="851"/>
      <c r="J760" s="851"/>
      <c r="K760" s="851"/>
      <c r="L760" s="851"/>
      <c r="M760" s="851"/>
    </row>
    <row r="761" spans="3:13" ht="14.25" customHeight="1">
      <c r="C761" s="851"/>
      <c r="D761" s="851"/>
      <c r="E761" s="851"/>
      <c r="F761" s="851"/>
      <c r="G761" s="851"/>
      <c r="H761" s="851"/>
      <c r="I761" s="851"/>
      <c r="J761" s="851"/>
      <c r="K761" s="851"/>
      <c r="L761" s="851"/>
      <c r="M761" s="851"/>
    </row>
    <row r="762" spans="3:13" ht="14.25" customHeight="1">
      <c r="C762" s="851"/>
      <c r="D762" s="851"/>
      <c r="E762" s="851"/>
      <c r="F762" s="851"/>
      <c r="G762" s="851"/>
      <c r="H762" s="851"/>
      <c r="I762" s="851"/>
      <c r="J762" s="851"/>
      <c r="K762" s="851"/>
      <c r="L762" s="851"/>
      <c r="M762" s="851"/>
    </row>
    <row r="763" spans="3:13" ht="14.25" customHeight="1">
      <c r="C763" s="851"/>
      <c r="D763" s="851"/>
      <c r="E763" s="851"/>
      <c r="F763" s="851"/>
      <c r="G763" s="851"/>
      <c r="H763" s="851"/>
      <c r="I763" s="851"/>
      <c r="J763" s="851"/>
      <c r="K763" s="851"/>
      <c r="L763" s="851"/>
      <c r="M763" s="851"/>
    </row>
    <row r="764" spans="3:13" ht="14.25" customHeight="1">
      <c r="C764" s="851"/>
      <c r="D764" s="851"/>
      <c r="E764" s="851"/>
      <c r="F764" s="851"/>
      <c r="G764" s="851"/>
      <c r="H764" s="851"/>
      <c r="I764" s="851"/>
      <c r="J764" s="851"/>
      <c r="K764" s="851"/>
      <c r="L764" s="851"/>
      <c r="M764" s="851"/>
    </row>
    <row r="765" spans="3:13" ht="14.25" customHeight="1">
      <c r="C765" s="851"/>
      <c r="D765" s="851"/>
      <c r="E765" s="851"/>
      <c r="F765" s="851"/>
      <c r="G765" s="851"/>
      <c r="H765" s="851"/>
      <c r="I765" s="851"/>
      <c r="J765" s="851"/>
      <c r="K765" s="851"/>
      <c r="L765" s="851"/>
      <c r="M765" s="851"/>
    </row>
    <row r="766" spans="3:13" ht="14.25" customHeight="1">
      <c r="C766" s="851"/>
      <c r="D766" s="851"/>
      <c r="E766" s="851"/>
      <c r="F766" s="851"/>
      <c r="G766" s="851"/>
      <c r="H766" s="851"/>
      <c r="I766" s="851"/>
      <c r="J766" s="851"/>
      <c r="K766" s="851"/>
      <c r="L766" s="851"/>
      <c r="M766" s="851"/>
    </row>
    <row r="767" spans="3:13" ht="14.25" customHeight="1">
      <c r="C767" s="851"/>
      <c r="D767" s="851"/>
      <c r="E767" s="851"/>
      <c r="F767" s="851"/>
      <c r="G767" s="851"/>
      <c r="H767" s="851"/>
      <c r="I767" s="851"/>
      <c r="J767" s="851"/>
      <c r="K767" s="851"/>
      <c r="L767" s="851"/>
      <c r="M767" s="851"/>
    </row>
    <row r="768" spans="3:13" ht="14.25" customHeight="1">
      <c r="C768" s="851"/>
      <c r="D768" s="851"/>
      <c r="E768" s="851"/>
      <c r="F768" s="851"/>
      <c r="G768" s="851"/>
      <c r="H768" s="851"/>
      <c r="I768" s="851"/>
      <c r="J768" s="851"/>
      <c r="K768" s="851"/>
      <c r="L768" s="851"/>
      <c r="M768" s="851"/>
    </row>
    <row r="769" spans="3:13" ht="14.25" customHeight="1">
      <c r="C769" s="851"/>
      <c r="D769" s="851"/>
      <c r="E769" s="851"/>
      <c r="F769" s="851"/>
      <c r="G769" s="851"/>
      <c r="H769" s="851"/>
      <c r="I769" s="851"/>
      <c r="J769" s="851"/>
      <c r="K769" s="851"/>
      <c r="L769" s="851"/>
      <c r="M769" s="851"/>
    </row>
    <row r="770" spans="3:13" ht="14.25" customHeight="1">
      <c r="C770" s="851"/>
      <c r="D770" s="851"/>
      <c r="E770" s="851"/>
      <c r="F770" s="851"/>
      <c r="G770" s="851"/>
      <c r="H770" s="851"/>
      <c r="I770" s="851"/>
      <c r="J770" s="851"/>
      <c r="K770" s="851"/>
      <c r="L770" s="851"/>
      <c r="M770" s="851"/>
    </row>
    <row r="771" spans="3:13" ht="14.25" customHeight="1">
      <c r="C771" s="851"/>
      <c r="D771" s="851"/>
      <c r="E771" s="851"/>
      <c r="F771" s="851"/>
      <c r="G771" s="851"/>
      <c r="H771" s="851"/>
      <c r="I771" s="851"/>
      <c r="J771" s="851"/>
      <c r="K771" s="851"/>
      <c r="L771" s="851"/>
      <c r="M771" s="851"/>
    </row>
    <row r="772" spans="3:13" ht="14.25" customHeight="1">
      <c r="C772" s="851"/>
      <c r="D772" s="851"/>
      <c r="E772" s="851"/>
      <c r="F772" s="851"/>
      <c r="G772" s="851"/>
      <c r="H772" s="851"/>
      <c r="I772" s="851"/>
      <c r="J772" s="851"/>
      <c r="K772" s="851"/>
      <c r="L772" s="851"/>
      <c r="M772" s="851"/>
    </row>
    <row r="773" spans="3:13" ht="14.25" customHeight="1">
      <c r="C773" s="851"/>
      <c r="D773" s="851"/>
      <c r="E773" s="851"/>
      <c r="F773" s="851"/>
      <c r="G773" s="851"/>
      <c r="H773" s="851"/>
      <c r="I773" s="851"/>
      <c r="J773" s="851"/>
      <c r="K773" s="851"/>
      <c r="L773" s="851"/>
      <c r="M773" s="851"/>
    </row>
    <row r="774" spans="3:13" ht="14.25" customHeight="1">
      <c r="C774" s="851"/>
      <c r="D774" s="851"/>
      <c r="E774" s="851"/>
      <c r="F774" s="851"/>
      <c r="G774" s="851"/>
      <c r="H774" s="851"/>
      <c r="I774" s="851"/>
      <c r="J774" s="851"/>
      <c r="K774" s="851"/>
      <c r="L774" s="851"/>
      <c r="M774" s="851"/>
    </row>
    <row r="775" spans="3:13" ht="14.25" customHeight="1">
      <c r="C775" s="851"/>
      <c r="D775" s="851"/>
      <c r="E775" s="851"/>
      <c r="F775" s="851"/>
      <c r="G775" s="851"/>
      <c r="H775" s="851"/>
      <c r="I775" s="851"/>
      <c r="J775" s="851"/>
      <c r="K775" s="851"/>
      <c r="L775" s="851"/>
      <c r="M775" s="851"/>
    </row>
    <row r="776" spans="3:13" ht="14.25" customHeight="1">
      <c r="C776" s="851"/>
      <c r="D776" s="851"/>
      <c r="E776" s="851"/>
      <c r="F776" s="851"/>
      <c r="G776" s="851"/>
      <c r="H776" s="851"/>
      <c r="I776" s="851"/>
      <c r="J776" s="851"/>
      <c r="K776" s="851"/>
      <c r="L776" s="851"/>
      <c r="M776" s="851"/>
    </row>
    <row r="777" spans="3:13" ht="14.25" customHeight="1">
      <c r="C777" s="851"/>
      <c r="D777" s="851"/>
      <c r="E777" s="851"/>
      <c r="F777" s="851"/>
      <c r="G777" s="851"/>
      <c r="H777" s="851"/>
      <c r="I777" s="851"/>
      <c r="J777" s="851"/>
      <c r="K777" s="851"/>
      <c r="L777" s="851"/>
      <c r="M777" s="851"/>
    </row>
    <row r="778" spans="3:13" ht="14.25" customHeight="1">
      <c r="C778" s="851"/>
      <c r="D778" s="851"/>
      <c r="E778" s="851"/>
      <c r="F778" s="851"/>
      <c r="G778" s="851"/>
      <c r="H778" s="851"/>
      <c r="I778" s="851"/>
      <c r="J778" s="851"/>
      <c r="K778" s="851"/>
      <c r="L778" s="851"/>
      <c r="M778" s="851"/>
    </row>
    <row r="779" spans="3:13" ht="14.25" customHeight="1">
      <c r="C779" s="851"/>
      <c r="D779" s="851"/>
      <c r="E779" s="851"/>
      <c r="F779" s="851"/>
      <c r="G779" s="851"/>
      <c r="H779" s="851"/>
      <c r="I779" s="851"/>
      <c r="J779" s="851"/>
      <c r="K779" s="851"/>
      <c r="L779" s="851"/>
      <c r="M779" s="851"/>
    </row>
    <row r="780" spans="3:13" ht="14.25" customHeight="1">
      <c r="C780" s="851"/>
      <c r="D780" s="851"/>
      <c r="E780" s="851"/>
      <c r="F780" s="851"/>
      <c r="G780" s="851"/>
      <c r="H780" s="851"/>
      <c r="I780" s="851"/>
      <c r="J780" s="851"/>
      <c r="K780" s="851"/>
      <c r="L780" s="851"/>
      <c r="M780" s="851"/>
    </row>
    <row r="781" spans="3:13" ht="14.25" customHeight="1">
      <c r="C781" s="851"/>
      <c r="D781" s="851"/>
      <c r="E781" s="851"/>
      <c r="F781" s="851"/>
      <c r="G781" s="851"/>
      <c r="H781" s="851"/>
      <c r="I781" s="851"/>
      <c r="J781" s="851"/>
      <c r="K781" s="851"/>
      <c r="L781" s="851"/>
      <c r="M781" s="851"/>
    </row>
    <row r="782" spans="3:13" ht="14.25" customHeight="1">
      <c r="C782" s="851"/>
      <c r="D782" s="851"/>
      <c r="E782" s="851"/>
      <c r="F782" s="851"/>
      <c r="G782" s="851"/>
      <c r="H782" s="851"/>
      <c r="I782" s="851"/>
      <c r="J782" s="851"/>
      <c r="K782" s="851"/>
      <c r="L782" s="851"/>
      <c r="M782" s="851"/>
    </row>
    <row r="783" spans="3:13" ht="14.25" customHeight="1">
      <c r="C783" s="851"/>
      <c r="D783" s="851"/>
      <c r="E783" s="851"/>
      <c r="F783" s="851"/>
      <c r="G783" s="851"/>
      <c r="H783" s="851"/>
      <c r="I783" s="851"/>
      <c r="J783" s="851"/>
      <c r="K783" s="851"/>
      <c r="L783" s="851"/>
      <c r="M783" s="851"/>
    </row>
    <row r="784" spans="3:13" ht="14.25" customHeight="1">
      <c r="C784" s="851"/>
      <c r="D784" s="851"/>
      <c r="E784" s="851"/>
      <c r="F784" s="851"/>
      <c r="G784" s="851"/>
      <c r="H784" s="851"/>
      <c r="I784" s="851"/>
      <c r="J784" s="851"/>
      <c r="K784" s="851"/>
      <c r="L784" s="851"/>
      <c r="M784" s="851"/>
    </row>
    <row r="785" spans="3:13" ht="14.25" customHeight="1">
      <c r="C785" s="851"/>
      <c r="D785" s="851"/>
      <c r="E785" s="851"/>
      <c r="F785" s="851"/>
      <c r="G785" s="851"/>
      <c r="H785" s="851"/>
      <c r="I785" s="851"/>
      <c r="J785" s="851"/>
      <c r="K785" s="851"/>
      <c r="L785" s="851"/>
      <c r="M785" s="851"/>
    </row>
    <row r="786" spans="3:13" ht="14.25" customHeight="1">
      <c r="C786" s="851"/>
      <c r="D786" s="851"/>
      <c r="E786" s="851"/>
      <c r="F786" s="851"/>
      <c r="G786" s="851"/>
      <c r="H786" s="851"/>
      <c r="I786" s="851"/>
      <c r="J786" s="851"/>
      <c r="K786" s="851"/>
      <c r="L786" s="851"/>
      <c r="M786" s="851"/>
    </row>
    <row r="787" spans="3:13" ht="14.25" customHeight="1">
      <c r="C787" s="851"/>
      <c r="D787" s="851"/>
      <c r="E787" s="851"/>
      <c r="F787" s="851"/>
      <c r="G787" s="851"/>
      <c r="H787" s="851"/>
      <c r="I787" s="851"/>
      <c r="J787" s="851"/>
      <c r="K787" s="851"/>
      <c r="L787" s="851"/>
      <c r="M787" s="851"/>
    </row>
    <row r="788" spans="3:13" ht="14.25" customHeight="1">
      <c r="C788" s="851"/>
      <c r="D788" s="851"/>
      <c r="E788" s="851"/>
      <c r="F788" s="851"/>
      <c r="G788" s="851"/>
      <c r="H788" s="851"/>
      <c r="I788" s="851"/>
      <c r="J788" s="851"/>
      <c r="K788" s="851"/>
      <c r="L788" s="851"/>
      <c r="M788" s="851"/>
    </row>
    <row r="789" spans="3:13" ht="14.25" customHeight="1">
      <c r="C789" s="851"/>
      <c r="D789" s="851"/>
      <c r="E789" s="851"/>
      <c r="F789" s="851"/>
      <c r="G789" s="851"/>
      <c r="H789" s="851"/>
      <c r="I789" s="851"/>
      <c r="J789" s="851"/>
      <c r="K789" s="851"/>
      <c r="L789" s="851"/>
      <c r="M789" s="851"/>
    </row>
    <row r="790" spans="3:13" ht="14.25" customHeight="1">
      <c r="C790" s="851"/>
      <c r="D790" s="851"/>
      <c r="E790" s="851"/>
      <c r="F790" s="851"/>
      <c r="G790" s="851"/>
      <c r="H790" s="851"/>
      <c r="I790" s="851"/>
      <c r="J790" s="851"/>
      <c r="K790" s="851"/>
      <c r="L790" s="851"/>
      <c r="M790" s="851"/>
    </row>
    <row r="791" spans="3:13" ht="14.25" customHeight="1">
      <c r="C791" s="851"/>
      <c r="D791" s="851"/>
      <c r="E791" s="851"/>
      <c r="F791" s="851"/>
      <c r="G791" s="851"/>
      <c r="H791" s="851"/>
      <c r="I791" s="851"/>
      <c r="J791" s="851"/>
      <c r="K791" s="851"/>
      <c r="L791" s="851"/>
      <c r="M791" s="851"/>
    </row>
    <row r="792" spans="3:13" ht="14.25" customHeight="1">
      <c r="C792" s="851"/>
      <c r="D792" s="851"/>
      <c r="E792" s="851"/>
      <c r="F792" s="851"/>
      <c r="G792" s="851"/>
      <c r="H792" s="851"/>
      <c r="I792" s="851"/>
      <c r="J792" s="851"/>
      <c r="K792" s="851"/>
      <c r="L792" s="851"/>
      <c r="M792" s="851"/>
    </row>
    <row r="793" spans="3:13" ht="14.25" customHeight="1">
      <c r="C793" s="851"/>
      <c r="D793" s="851"/>
      <c r="E793" s="851"/>
      <c r="F793" s="851"/>
      <c r="G793" s="851"/>
      <c r="H793" s="851"/>
      <c r="I793" s="851"/>
      <c r="J793" s="851"/>
      <c r="K793" s="851"/>
      <c r="L793" s="851"/>
      <c r="M793" s="851"/>
    </row>
    <row r="794" spans="3:13" ht="14.25" customHeight="1">
      <c r="C794" s="851"/>
      <c r="D794" s="851"/>
      <c r="E794" s="851"/>
      <c r="F794" s="851"/>
      <c r="G794" s="851"/>
      <c r="H794" s="851"/>
      <c r="I794" s="851"/>
      <c r="J794" s="851"/>
      <c r="K794" s="851"/>
      <c r="L794" s="851"/>
      <c r="M794" s="851"/>
    </row>
    <row r="795" spans="3:13" ht="14.25" customHeight="1">
      <c r="C795" s="851"/>
      <c r="D795" s="851"/>
      <c r="E795" s="851"/>
      <c r="F795" s="851"/>
      <c r="G795" s="851"/>
      <c r="H795" s="851"/>
      <c r="I795" s="851"/>
      <c r="J795" s="851"/>
      <c r="K795" s="851"/>
      <c r="L795" s="851"/>
      <c r="M795" s="851"/>
    </row>
    <row r="796" spans="3:13" ht="14.25" customHeight="1">
      <c r="C796" s="851"/>
      <c r="D796" s="851"/>
      <c r="E796" s="851"/>
      <c r="F796" s="851"/>
      <c r="G796" s="851"/>
      <c r="H796" s="851"/>
      <c r="I796" s="851"/>
      <c r="J796" s="851"/>
      <c r="K796" s="851"/>
      <c r="L796" s="851"/>
      <c r="M796" s="851"/>
    </row>
    <row r="797" spans="3:13" ht="14.25" customHeight="1">
      <c r="C797" s="851"/>
      <c r="D797" s="851"/>
      <c r="E797" s="851"/>
      <c r="F797" s="851"/>
      <c r="G797" s="851"/>
      <c r="H797" s="851"/>
      <c r="I797" s="851"/>
      <c r="J797" s="851"/>
      <c r="K797" s="851"/>
      <c r="L797" s="851"/>
      <c r="M797" s="851"/>
    </row>
    <row r="798" spans="3:13" ht="14.25" customHeight="1">
      <c r="C798" s="851"/>
      <c r="D798" s="851"/>
      <c r="E798" s="851"/>
      <c r="F798" s="851"/>
      <c r="G798" s="851"/>
      <c r="H798" s="851"/>
      <c r="I798" s="851"/>
      <c r="J798" s="851"/>
      <c r="K798" s="851"/>
      <c r="L798" s="851"/>
      <c r="M798" s="851"/>
    </row>
    <row r="799" spans="3:13" ht="14.25" customHeight="1">
      <c r="C799" s="851"/>
      <c r="D799" s="851"/>
      <c r="E799" s="851"/>
      <c r="F799" s="851"/>
      <c r="G799" s="851"/>
      <c r="H799" s="851"/>
      <c r="I799" s="851"/>
      <c r="J799" s="851"/>
      <c r="K799" s="851"/>
      <c r="L799" s="851"/>
      <c r="M799" s="851"/>
    </row>
    <row r="800" spans="3:13" ht="14.25" customHeight="1">
      <c r="C800" s="851"/>
      <c r="D800" s="851"/>
      <c r="E800" s="851"/>
      <c r="F800" s="851"/>
      <c r="G800" s="851"/>
      <c r="H800" s="851"/>
      <c r="I800" s="851"/>
      <c r="J800" s="851"/>
      <c r="K800" s="851"/>
      <c r="L800" s="851"/>
      <c r="M800" s="851"/>
    </row>
    <row r="801" spans="3:13" ht="14.25" customHeight="1">
      <c r="C801" s="851"/>
      <c r="D801" s="851"/>
      <c r="E801" s="851"/>
      <c r="F801" s="851"/>
      <c r="G801" s="851"/>
      <c r="H801" s="851"/>
      <c r="I801" s="851"/>
      <c r="J801" s="851"/>
      <c r="K801" s="851"/>
      <c r="L801" s="851"/>
      <c r="M801" s="851"/>
    </row>
    <row r="802" spans="3:13" ht="14.25" customHeight="1">
      <c r="C802" s="851"/>
      <c r="D802" s="851"/>
      <c r="E802" s="851"/>
      <c r="F802" s="851"/>
      <c r="G802" s="851"/>
      <c r="H802" s="851"/>
      <c r="I802" s="851"/>
      <c r="J802" s="851"/>
      <c r="K802" s="851"/>
      <c r="L802" s="851"/>
      <c r="M802" s="851"/>
    </row>
    <row r="803" spans="3:13" ht="14.25" customHeight="1">
      <c r="C803" s="851"/>
      <c r="D803" s="851"/>
      <c r="E803" s="851"/>
      <c r="F803" s="851"/>
      <c r="G803" s="851"/>
      <c r="H803" s="851"/>
      <c r="I803" s="851"/>
      <c r="J803" s="851"/>
      <c r="K803" s="851"/>
      <c r="L803" s="851"/>
      <c r="M803" s="851"/>
    </row>
    <row r="804" spans="3:13" ht="14.25" customHeight="1">
      <c r="C804" s="851"/>
      <c r="D804" s="851"/>
      <c r="E804" s="851"/>
      <c r="F804" s="851"/>
      <c r="G804" s="851"/>
      <c r="H804" s="851"/>
      <c r="I804" s="851"/>
      <c r="J804" s="851"/>
      <c r="K804" s="851"/>
      <c r="L804" s="851"/>
      <c r="M804" s="851"/>
    </row>
    <row r="805" spans="3:13" ht="14.25" customHeight="1">
      <c r="C805" s="851"/>
      <c r="D805" s="851"/>
      <c r="E805" s="851"/>
      <c r="F805" s="851"/>
      <c r="G805" s="851"/>
      <c r="H805" s="851"/>
      <c r="I805" s="851"/>
      <c r="J805" s="851"/>
      <c r="K805" s="851"/>
      <c r="L805" s="851"/>
      <c r="M805" s="851"/>
    </row>
    <row r="806" spans="3:13" ht="14.25" customHeight="1">
      <c r="C806" s="851"/>
      <c r="D806" s="851"/>
      <c r="E806" s="851"/>
      <c r="F806" s="851"/>
      <c r="G806" s="851"/>
      <c r="H806" s="851"/>
      <c r="I806" s="851"/>
      <c r="J806" s="851"/>
      <c r="K806" s="851"/>
      <c r="L806" s="851"/>
      <c r="M806" s="851"/>
    </row>
    <row r="807" spans="3:13" ht="14.25" customHeight="1">
      <c r="C807" s="851"/>
      <c r="D807" s="851"/>
      <c r="E807" s="851"/>
      <c r="F807" s="851"/>
      <c r="G807" s="851"/>
      <c r="H807" s="851"/>
      <c r="I807" s="851"/>
      <c r="J807" s="851"/>
      <c r="K807" s="851"/>
      <c r="L807" s="851"/>
      <c r="M807" s="851"/>
    </row>
    <row r="808" spans="3:13" ht="14.25" customHeight="1">
      <c r="C808" s="851"/>
      <c r="D808" s="851"/>
      <c r="E808" s="851"/>
      <c r="F808" s="851"/>
      <c r="G808" s="851"/>
      <c r="H808" s="851"/>
      <c r="I808" s="851"/>
      <c r="J808" s="851"/>
      <c r="K808" s="851"/>
      <c r="L808" s="851"/>
      <c r="M808" s="851"/>
    </row>
    <row r="809" spans="3:13" ht="14.25" customHeight="1">
      <c r="C809" s="851"/>
      <c r="D809" s="851"/>
      <c r="E809" s="851"/>
      <c r="F809" s="851"/>
      <c r="G809" s="851"/>
      <c r="H809" s="851"/>
      <c r="I809" s="851"/>
      <c r="J809" s="851"/>
      <c r="K809" s="851"/>
      <c r="L809" s="851"/>
      <c r="M809" s="851"/>
    </row>
    <row r="810" spans="3:13" ht="14.25" customHeight="1">
      <c r="C810" s="851"/>
      <c r="D810" s="851"/>
      <c r="E810" s="851"/>
      <c r="F810" s="851"/>
      <c r="G810" s="851"/>
      <c r="H810" s="851"/>
      <c r="I810" s="851"/>
      <c r="J810" s="851"/>
      <c r="K810" s="851"/>
      <c r="L810" s="851"/>
      <c r="M810" s="851"/>
    </row>
    <row r="811" spans="3:13" ht="14.25" customHeight="1">
      <c r="C811" s="851"/>
      <c r="D811" s="851"/>
      <c r="E811" s="851"/>
      <c r="F811" s="851"/>
      <c r="G811" s="851"/>
      <c r="H811" s="851"/>
      <c r="I811" s="851"/>
      <c r="J811" s="851"/>
      <c r="K811" s="851"/>
      <c r="L811" s="851"/>
      <c r="M811" s="851"/>
    </row>
    <row r="812" spans="3:13" ht="14.25" customHeight="1">
      <c r="C812" s="851"/>
      <c r="D812" s="851"/>
      <c r="E812" s="851"/>
      <c r="F812" s="851"/>
      <c r="G812" s="851"/>
      <c r="H812" s="851"/>
      <c r="I812" s="851"/>
      <c r="J812" s="851"/>
      <c r="K812" s="851"/>
      <c r="L812" s="851"/>
      <c r="M812" s="851"/>
    </row>
    <row r="813" spans="3:13" ht="14.25" customHeight="1">
      <c r="C813" s="851"/>
      <c r="D813" s="851"/>
      <c r="E813" s="851"/>
      <c r="F813" s="851"/>
      <c r="G813" s="851"/>
      <c r="H813" s="851"/>
      <c r="I813" s="851"/>
      <c r="J813" s="851"/>
      <c r="K813" s="851"/>
      <c r="L813" s="851"/>
      <c r="M813" s="851"/>
    </row>
    <row r="814" spans="3:13" ht="14.25" customHeight="1">
      <c r="C814" s="851"/>
      <c r="D814" s="851"/>
      <c r="E814" s="851"/>
      <c r="F814" s="851"/>
      <c r="G814" s="851"/>
      <c r="H814" s="851"/>
      <c r="I814" s="851"/>
      <c r="J814" s="851"/>
      <c r="K814" s="851"/>
      <c r="L814" s="851"/>
      <c r="M814" s="851"/>
    </row>
    <row r="815" spans="3:13" ht="14.25" customHeight="1">
      <c r="C815" s="851"/>
      <c r="D815" s="851"/>
      <c r="E815" s="851"/>
      <c r="F815" s="851"/>
      <c r="G815" s="851"/>
      <c r="H815" s="851"/>
      <c r="I815" s="851"/>
      <c r="J815" s="851"/>
      <c r="K815" s="851"/>
      <c r="L815" s="851"/>
      <c r="M815" s="851"/>
    </row>
    <row r="816" spans="3:13" ht="14.25" customHeight="1">
      <c r="C816" s="851"/>
      <c r="D816" s="851"/>
      <c r="E816" s="851"/>
      <c r="F816" s="851"/>
      <c r="G816" s="851"/>
      <c r="H816" s="851"/>
      <c r="I816" s="851"/>
      <c r="J816" s="851"/>
      <c r="K816" s="851"/>
      <c r="L816" s="851"/>
      <c r="M816" s="851"/>
    </row>
    <row r="817" spans="3:13" ht="14.25" customHeight="1">
      <c r="C817" s="851"/>
      <c r="D817" s="851"/>
      <c r="E817" s="851"/>
      <c r="F817" s="851"/>
      <c r="G817" s="851"/>
      <c r="H817" s="851"/>
      <c r="I817" s="851"/>
      <c r="J817" s="851"/>
      <c r="K817" s="851"/>
      <c r="L817" s="851"/>
      <c r="M817" s="851"/>
    </row>
    <row r="818" spans="3:13" ht="14.25" customHeight="1">
      <c r="C818" s="851"/>
      <c r="D818" s="851"/>
      <c r="E818" s="851"/>
      <c r="F818" s="851"/>
      <c r="G818" s="851"/>
      <c r="H818" s="851"/>
      <c r="I818" s="851"/>
      <c r="J818" s="851"/>
      <c r="K818" s="851"/>
      <c r="L818" s="851"/>
      <c r="M818" s="851"/>
    </row>
    <row r="819" spans="3:13" ht="14.25" customHeight="1">
      <c r="C819" s="851"/>
      <c r="D819" s="851"/>
      <c r="E819" s="851"/>
      <c r="F819" s="851"/>
      <c r="G819" s="851"/>
      <c r="H819" s="851"/>
      <c r="I819" s="851"/>
      <c r="J819" s="851"/>
      <c r="K819" s="851"/>
      <c r="L819" s="851"/>
      <c r="M819" s="851"/>
    </row>
    <row r="820" spans="3:13" ht="14.25" customHeight="1">
      <c r="C820" s="851"/>
      <c r="D820" s="851"/>
      <c r="E820" s="851"/>
      <c r="F820" s="851"/>
      <c r="G820" s="851"/>
      <c r="H820" s="851"/>
      <c r="I820" s="851"/>
      <c r="J820" s="851"/>
      <c r="K820" s="851"/>
      <c r="L820" s="851"/>
      <c r="M820" s="851"/>
    </row>
    <row r="821" spans="3:13" ht="14.25" customHeight="1">
      <c r="C821" s="851"/>
      <c r="D821" s="851"/>
      <c r="E821" s="851"/>
      <c r="F821" s="851"/>
      <c r="G821" s="851"/>
      <c r="H821" s="851"/>
      <c r="I821" s="851"/>
      <c r="J821" s="851"/>
      <c r="K821" s="851"/>
      <c r="L821" s="851"/>
      <c r="M821" s="851"/>
    </row>
    <row r="822" spans="3:13" ht="14.25" customHeight="1">
      <c r="C822" s="851"/>
      <c r="D822" s="851"/>
      <c r="E822" s="851"/>
      <c r="F822" s="851"/>
      <c r="G822" s="851"/>
      <c r="H822" s="851"/>
      <c r="I822" s="851"/>
      <c r="J822" s="851"/>
      <c r="K822" s="851"/>
      <c r="L822" s="851"/>
      <c r="M822" s="851"/>
    </row>
    <row r="823" spans="3:13" ht="14.25" customHeight="1">
      <c r="C823" s="851"/>
      <c r="D823" s="851"/>
      <c r="E823" s="851"/>
      <c r="F823" s="851"/>
      <c r="G823" s="851"/>
      <c r="H823" s="851"/>
      <c r="I823" s="851"/>
      <c r="J823" s="851"/>
      <c r="K823" s="851"/>
      <c r="L823" s="851"/>
      <c r="M823" s="851"/>
    </row>
    <row r="824" spans="3:13" ht="14.25" customHeight="1">
      <c r="C824" s="851"/>
      <c r="D824" s="851"/>
      <c r="E824" s="851"/>
      <c r="F824" s="851"/>
      <c r="G824" s="851"/>
      <c r="H824" s="851"/>
      <c r="I824" s="851"/>
      <c r="J824" s="851"/>
      <c r="K824" s="851"/>
      <c r="L824" s="851"/>
      <c r="M824" s="851"/>
    </row>
    <row r="825" spans="3:13" ht="14.25" customHeight="1">
      <c r="C825" s="851"/>
      <c r="D825" s="851"/>
      <c r="E825" s="851"/>
      <c r="F825" s="851"/>
      <c r="G825" s="851"/>
      <c r="H825" s="851"/>
      <c r="I825" s="851"/>
      <c r="J825" s="851"/>
      <c r="K825" s="851"/>
      <c r="L825" s="851"/>
      <c r="M825" s="851"/>
    </row>
    <row r="826" spans="3:13" ht="14.25" customHeight="1">
      <c r="C826" s="851"/>
      <c r="D826" s="851"/>
      <c r="E826" s="851"/>
      <c r="F826" s="851"/>
      <c r="G826" s="851"/>
      <c r="H826" s="851"/>
      <c r="I826" s="851"/>
      <c r="J826" s="851"/>
      <c r="K826" s="851"/>
      <c r="L826" s="851"/>
      <c r="M826" s="851"/>
    </row>
    <row r="827" spans="3:13" ht="14.25" customHeight="1">
      <c r="C827" s="851"/>
      <c r="D827" s="851"/>
      <c r="E827" s="851"/>
      <c r="F827" s="851"/>
      <c r="G827" s="851"/>
      <c r="H827" s="851"/>
      <c r="I827" s="851"/>
      <c r="J827" s="851"/>
      <c r="K827" s="851"/>
      <c r="L827" s="851"/>
      <c r="M827" s="851"/>
    </row>
    <row r="828" spans="3:13" ht="14.25" customHeight="1">
      <c r="C828" s="851"/>
      <c r="D828" s="851"/>
      <c r="E828" s="851"/>
      <c r="F828" s="851"/>
      <c r="G828" s="851"/>
      <c r="H828" s="851"/>
      <c r="I828" s="851"/>
      <c r="J828" s="851"/>
      <c r="K828" s="851"/>
      <c r="L828" s="851"/>
      <c r="M828" s="851"/>
    </row>
    <row r="829" spans="3:13" ht="14.25" customHeight="1">
      <c r="C829" s="851"/>
      <c r="D829" s="851"/>
      <c r="E829" s="851"/>
      <c r="F829" s="851"/>
      <c r="G829" s="851"/>
      <c r="H829" s="851"/>
      <c r="I829" s="851"/>
      <c r="J829" s="851"/>
      <c r="K829" s="851"/>
      <c r="L829" s="851"/>
      <c r="M829" s="851"/>
    </row>
    <row r="830" spans="3:13" ht="14.25" customHeight="1">
      <c r="C830" s="851"/>
      <c r="D830" s="851"/>
      <c r="E830" s="851"/>
      <c r="F830" s="851"/>
      <c r="G830" s="851"/>
      <c r="H830" s="851"/>
      <c r="I830" s="851"/>
      <c r="J830" s="851"/>
      <c r="K830" s="851"/>
      <c r="L830" s="851"/>
      <c r="M830" s="851"/>
    </row>
    <row r="831" spans="3:13" ht="14.25" customHeight="1">
      <c r="C831" s="851"/>
      <c r="D831" s="851"/>
      <c r="E831" s="851"/>
      <c r="F831" s="851"/>
      <c r="G831" s="851"/>
      <c r="H831" s="851"/>
      <c r="I831" s="851"/>
      <c r="J831" s="851"/>
      <c r="K831" s="851"/>
      <c r="L831" s="851"/>
      <c r="M831" s="851"/>
    </row>
    <row r="832" spans="3:13" ht="14.25" customHeight="1">
      <c r="C832" s="851"/>
      <c r="D832" s="851"/>
      <c r="E832" s="851"/>
      <c r="F832" s="851"/>
      <c r="G832" s="851"/>
      <c r="H832" s="851"/>
      <c r="I832" s="851"/>
      <c r="J832" s="851"/>
      <c r="K832" s="851"/>
      <c r="L832" s="851"/>
      <c r="M832" s="851"/>
    </row>
    <row r="833" spans="3:13" ht="14.25" customHeight="1">
      <c r="C833" s="851"/>
      <c r="D833" s="851"/>
      <c r="E833" s="851"/>
      <c r="F833" s="851"/>
      <c r="G833" s="851"/>
      <c r="H833" s="851"/>
      <c r="I833" s="851"/>
      <c r="J833" s="851"/>
      <c r="K833" s="851"/>
      <c r="L833" s="851"/>
      <c r="M833" s="851"/>
    </row>
    <row r="834" spans="3:13" ht="14.25" customHeight="1">
      <c r="C834" s="851"/>
      <c r="D834" s="851"/>
      <c r="E834" s="851"/>
      <c r="F834" s="851"/>
      <c r="G834" s="851"/>
      <c r="H834" s="851"/>
      <c r="I834" s="851"/>
      <c r="J834" s="851"/>
      <c r="K834" s="851"/>
      <c r="L834" s="851"/>
      <c r="M834" s="851"/>
    </row>
    <row r="835" spans="3:13" ht="14.25" customHeight="1">
      <c r="C835" s="851"/>
      <c r="D835" s="851"/>
      <c r="E835" s="851"/>
      <c r="F835" s="851"/>
      <c r="G835" s="851"/>
      <c r="H835" s="851"/>
      <c r="I835" s="851"/>
      <c r="J835" s="851"/>
      <c r="K835" s="851"/>
      <c r="L835" s="851"/>
      <c r="M835" s="851"/>
    </row>
    <row r="836" spans="3:13" ht="14.25" customHeight="1">
      <c r="C836" s="851"/>
      <c r="D836" s="851"/>
      <c r="E836" s="851"/>
      <c r="F836" s="851"/>
      <c r="G836" s="851"/>
      <c r="H836" s="851"/>
      <c r="I836" s="851"/>
      <c r="J836" s="851"/>
      <c r="K836" s="851"/>
      <c r="L836" s="851"/>
      <c r="M836" s="851"/>
    </row>
    <row r="837" spans="3:13" ht="14.25" customHeight="1">
      <c r="C837" s="851"/>
      <c r="D837" s="851"/>
      <c r="E837" s="851"/>
      <c r="F837" s="851"/>
      <c r="G837" s="851"/>
      <c r="H837" s="851"/>
      <c r="I837" s="851"/>
      <c r="J837" s="851"/>
      <c r="K837" s="851"/>
      <c r="L837" s="851"/>
      <c r="M837" s="851"/>
    </row>
    <row r="838" spans="3:13" ht="14.25" customHeight="1">
      <c r="C838" s="851"/>
      <c r="D838" s="851"/>
      <c r="E838" s="851"/>
      <c r="F838" s="851"/>
      <c r="G838" s="851"/>
      <c r="H838" s="851"/>
      <c r="I838" s="851"/>
      <c r="J838" s="851"/>
      <c r="K838" s="851"/>
      <c r="L838" s="851"/>
      <c r="M838" s="851"/>
    </row>
    <row r="839" spans="3:13" ht="14.25" customHeight="1">
      <c r="C839" s="851"/>
      <c r="D839" s="851"/>
      <c r="E839" s="851"/>
      <c r="F839" s="851"/>
      <c r="G839" s="851"/>
      <c r="H839" s="851"/>
      <c r="I839" s="851"/>
      <c r="J839" s="851"/>
      <c r="K839" s="851"/>
      <c r="L839" s="851"/>
      <c r="M839" s="851"/>
    </row>
    <row r="840" spans="3:13" ht="14.25" customHeight="1">
      <c r="C840" s="851"/>
      <c r="D840" s="851"/>
      <c r="E840" s="851"/>
      <c r="F840" s="851"/>
      <c r="G840" s="851"/>
      <c r="H840" s="851"/>
      <c r="I840" s="851"/>
      <c r="J840" s="851"/>
      <c r="K840" s="851"/>
      <c r="L840" s="851"/>
      <c r="M840" s="851"/>
    </row>
    <row r="841" spans="3:13" ht="14.25" customHeight="1">
      <c r="C841" s="851"/>
      <c r="D841" s="851"/>
      <c r="E841" s="851"/>
      <c r="F841" s="851"/>
      <c r="G841" s="851"/>
      <c r="H841" s="851"/>
      <c r="I841" s="851"/>
      <c r="J841" s="851"/>
      <c r="K841" s="851"/>
      <c r="L841" s="851"/>
      <c r="M841" s="851"/>
    </row>
    <row r="842" spans="3:13" ht="14.25" customHeight="1">
      <c r="C842" s="851"/>
      <c r="D842" s="851"/>
      <c r="E842" s="851"/>
      <c r="F842" s="851"/>
      <c r="G842" s="851"/>
      <c r="H842" s="851"/>
      <c r="I842" s="851"/>
      <c r="J842" s="851"/>
      <c r="K842" s="851"/>
      <c r="L842" s="851"/>
      <c r="M842" s="851"/>
    </row>
    <row r="843" spans="3:13" ht="14.25" customHeight="1">
      <c r="C843" s="851"/>
      <c r="D843" s="851"/>
      <c r="E843" s="851"/>
      <c r="F843" s="851"/>
      <c r="G843" s="851"/>
      <c r="H843" s="851"/>
      <c r="I843" s="851"/>
      <c r="J843" s="851"/>
      <c r="K843" s="851"/>
      <c r="L843" s="851"/>
      <c r="M843" s="851"/>
    </row>
    <row r="844" spans="3:13" ht="14.25" customHeight="1">
      <c r="C844" s="851"/>
      <c r="D844" s="851"/>
      <c r="E844" s="851"/>
      <c r="F844" s="851"/>
      <c r="G844" s="851"/>
      <c r="H844" s="851"/>
      <c r="I844" s="851"/>
      <c r="J844" s="851"/>
      <c r="K844" s="851"/>
      <c r="L844" s="851"/>
      <c r="M844" s="851"/>
    </row>
    <row r="845" spans="3:13" ht="14.25" customHeight="1">
      <c r="C845" s="851"/>
      <c r="D845" s="851"/>
      <c r="E845" s="851"/>
      <c r="F845" s="851"/>
      <c r="G845" s="851"/>
      <c r="H845" s="851"/>
      <c r="I845" s="851"/>
      <c r="J845" s="851"/>
      <c r="K845" s="851"/>
      <c r="L845" s="851"/>
      <c r="M845" s="851"/>
    </row>
    <row r="846" spans="3:13" ht="14.25" customHeight="1">
      <c r="C846" s="851"/>
      <c r="D846" s="851"/>
      <c r="E846" s="851"/>
      <c r="F846" s="851"/>
      <c r="G846" s="851"/>
      <c r="H846" s="851"/>
      <c r="I846" s="851"/>
      <c r="J846" s="851"/>
      <c r="K846" s="851"/>
      <c r="L846" s="851"/>
      <c r="M846" s="851"/>
    </row>
    <row r="847" spans="3:13" ht="14.25" customHeight="1">
      <c r="C847" s="851"/>
      <c r="D847" s="851"/>
      <c r="E847" s="851"/>
      <c r="F847" s="851"/>
      <c r="G847" s="851"/>
      <c r="H847" s="851"/>
      <c r="I847" s="851"/>
      <c r="J847" s="851"/>
      <c r="K847" s="851"/>
      <c r="L847" s="851"/>
      <c r="M847" s="851"/>
    </row>
    <row r="848" spans="3:13" ht="14.25" customHeight="1">
      <c r="C848" s="851"/>
      <c r="D848" s="851"/>
      <c r="E848" s="851"/>
      <c r="F848" s="851"/>
      <c r="G848" s="851"/>
      <c r="H848" s="851"/>
      <c r="I848" s="851"/>
      <c r="J848" s="851"/>
      <c r="K848" s="851"/>
      <c r="L848" s="851"/>
      <c r="M848" s="851"/>
    </row>
    <row r="849" spans="3:13" ht="14.25" customHeight="1">
      <c r="C849" s="851"/>
      <c r="D849" s="851"/>
      <c r="E849" s="851"/>
      <c r="F849" s="851"/>
      <c r="G849" s="851"/>
      <c r="H849" s="851"/>
      <c r="I849" s="851"/>
      <c r="J849" s="851"/>
      <c r="K849" s="851"/>
      <c r="L849" s="851"/>
      <c r="M849" s="851"/>
    </row>
    <row r="850" spans="3:13" ht="14.25" customHeight="1">
      <c r="C850" s="851"/>
      <c r="D850" s="851"/>
      <c r="E850" s="851"/>
      <c r="F850" s="851"/>
      <c r="G850" s="851"/>
      <c r="H850" s="851"/>
      <c r="I850" s="851"/>
      <c r="J850" s="851"/>
      <c r="K850" s="851"/>
      <c r="L850" s="851"/>
      <c r="M850" s="851"/>
    </row>
    <row r="851" spans="3:13" ht="14.25" customHeight="1">
      <c r="C851" s="851"/>
      <c r="D851" s="851"/>
      <c r="E851" s="851"/>
      <c r="F851" s="851"/>
      <c r="G851" s="851"/>
      <c r="H851" s="851"/>
      <c r="I851" s="851"/>
      <c r="J851" s="851"/>
      <c r="K851" s="851"/>
      <c r="L851" s="851"/>
      <c r="M851" s="851"/>
    </row>
    <row r="852" spans="3:13" ht="14.25" customHeight="1">
      <c r="C852" s="851"/>
      <c r="D852" s="851"/>
      <c r="E852" s="851"/>
      <c r="F852" s="851"/>
      <c r="G852" s="851"/>
      <c r="H852" s="851"/>
      <c r="I852" s="851"/>
      <c r="J852" s="851"/>
      <c r="K852" s="851"/>
      <c r="L852" s="851"/>
      <c r="M852" s="851"/>
    </row>
    <row r="853" spans="3:13" ht="14.25" customHeight="1">
      <c r="C853" s="851"/>
      <c r="D853" s="851"/>
      <c r="E853" s="851"/>
      <c r="F853" s="851"/>
      <c r="G853" s="851"/>
      <c r="H853" s="851"/>
      <c r="I853" s="851"/>
      <c r="J853" s="851"/>
      <c r="K853" s="851"/>
      <c r="L853" s="851"/>
      <c r="M853" s="851"/>
    </row>
    <row r="854" spans="3:13" ht="14.25" customHeight="1">
      <c r="C854" s="851"/>
      <c r="D854" s="851"/>
      <c r="E854" s="851"/>
      <c r="F854" s="851"/>
      <c r="G854" s="851"/>
      <c r="H854" s="851"/>
      <c r="I854" s="851"/>
      <c r="J854" s="851"/>
      <c r="K854" s="851"/>
      <c r="L854" s="851"/>
      <c r="M854" s="851"/>
    </row>
    <row r="855" spans="3:13" ht="14.25" customHeight="1">
      <c r="C855" s="851"/>
      <c r="D855" s="851"/>
      <c r="E855" s="851"/>
      <c r="F855" s="851"/>
      <c r="G855" s="851"/>
      <c r="H855" s="851"/>
      <c r="I855" s="851"/>
      <c r="J855" s="851"/>
      <c r="K855" s="851"/>
      <c r="L855" s="851"/>
      <c r="M855" s="851"/>
    </row>
    <row r="856" spans="3:13" ht="14.25" customHeight="1">
      <c r="C856" s="851"/>
      <c r="D856" s="851"/>
      <c r="E856" s="851"/>
      <c r="F856" s="851"/>
      <c r="G856" s="851"/>
      <c r="H856" s="851"/>
      <c r="I856" s="851"/>
      <c r="J856" s="851"/>
      <c r="K856" s="851"/>
      <c r="L856" s="851"/>
      <c r="M856" s="851"/>
    </row>
    <row r="857" spans="3:13" ht="14.25" customHeight="1">
      <c r="C857" s="851"/>
      <c r="D857" s="851"/>
      <c r="E857" s="851"/>
      <c r="F857" s="851"/>
      <c r="G857" s="851"/>
      <c r="H857" s="851"/>
      <c r="I857" s="851"/>
      <c r="J857" s="851"/>
      <c r="K857" s="851"/>
      <c r="L857" s="851"/>
      <c r="M857" s="851"/>
    </row>
    <row r="858" spans="3:13" ht="14.25" customHeight="1">
      <c r="C858" s="851"/>
      <c r="D858" s="851"/>
      <c r="E858" s="851"/>
      <c r="F858" s="851"/>
      <c r="G858" s="851"/>
      <c r="H858" s="851"/>
      <c r="I858" s="851"/>
      <c r="J858" s="851"/>
      <c r="K858" s="851"/>
      <c r="L858" s="851"/>
      <c r="M858" s="851"/>
    </row>
    <row r="859" spans="3:13" ht="14.25" customHeight="1">
      <c r="C859" s="851"/>
      <c r="D859" s="851"/>
      <c r="E859" s="851"/>
      <c r="F859" s="851"/>
      <c r="G859" s="851"/>
      <c r="H859" s="851"/>
      <c r="I859" s="851"/>
      <c r="J859" s="851"/>
      <c r="K859" s="851"/>
      <c r="L859" s="851"/>
      <c r="M859" s="851"/>
    </row>
    <row r="860" spans="3:13" ht="14.25" customHeight="1">
      <c r="C860" s="851"/>
      <c r="D860" s="851"/>
      <c r="E860" s="851"/>
      <c r="F860" s="851"/>
      <c r="G860" s="851"/>
      <c r="H860" s="851"/>
      <c r="I860" s="851"/>
      <c r="J860" s="851"/>
      <c r="K860" s="851"/>
      <c r="L860" s="851"/>
      <c r="M860" s="851"/>
    </row>
    <row r="861" spans="3:13" ht="14.25" customHeight="1">
      <c r="C861" s="851"/>
      <c r="D861" s="851"/>
      <c r="E861" s="851"/>
      <c r="F861" s="851"/>
      <c r="G861" s="851"/>
      <c r="H861" s="851"/>
      <c r="I861" s="851"/>
      <c r="J861" s="851"/>
      <c r="K861" s="851"/>
      <c r="L861" s="851"/>
      <c r="M861" s="851"/>
    </row>
    <row r="862" spans="3:13" ht="14.25" customHeight="1">
      <c r="C862" s="851"/>
      <c r="D862" s="851"/>
      <c r="E862" s="851"/>
      <c r="F862" s="851"/>
      <c r="G862" s="851"/>
      <c r="H862" s="851"/>
      <c r="I862" s="851"/>
      <c r="J862" s="851"/>
      <c r="K862" s="851"/>
      <c r="L862" s="851"/>
      <c r="M862" s="851"/>
    </row>
    <row r="863" spans="3:13" ht="14.25" customHeight="1">
      <c r="C863" s="851"/>
      <c r="D863" s="851"/>
      <c r="E863" s="851"/>
      <c r="F863" s="851"/>
      <c r="G863" s="851"/>
      <c r="H863" s="851"/>
      <c r="I863" s="851"/>
      <c r="J863" s="851"/>
      <c r="K863" s="851"/>
      <c r="L863" s="851"/>
      <c r="M863" s="851"/>
    </row>
    <row r="864" spans="3:13" ht="14.25" customHeight="1">
      <c r="C864" s="851"/>
      <c r="D864" s="851"/>
      <c r="E864" s="851"/>
      <c r="F864" s="851"/>
      <c r="G864" s="851"/>
      <c r="H864" s="851"/>
      <c r="I864" s="851"/>
      <c r="J864" s="851"/>
      <c r="K864" s="851"/>
      <c r="L864" s="851"/>
      <c r="M864" s="851"/>
    </row>
    <row r="865" spans="3:13" ht="14.25" customHeight="1">
      <c r="C865" s="851"/>
      <c r="D865" s="851"/>
      <c r="E865" s="851"/>
      <c r="F865" s="851"/>
      <c r="G865" s="851"/>
      <c r="H865" s="851"/>
      <c r="I865" s="851"/>
      <c r="J865" s="851"/>
      <c r="K865" s="851"/>
      <c r="L865" s="851"/>
      <c r="M865" s="851"/>
    </row>
    <row r="866" spans="3:13" ht="14.25" customHeight="1">
      <c r="C866" s="851"/>
      <c r="D866" s="851"/>
      <c r="E866" s="851"/>
      <c r="F866" s="851"/>
      <c r="G866" s="851"/>
      <c r="H866" s="851"/>
      <c r="I866" s="851"/>
      <c r="J866" s="851"/>
      <c r="K866" s="851"/>
      <c r="L866" s="851"/>
      <c r="M866" s="851"/>
    </row>
    <row r="867" spans="3:13" ht="14.25" customHeight="1">
      <c r="C867" s="851"/>
      <c r="D867" s="851"/>
      <c r="E867" s="851"/>
      <c r="F867" s="851"/>
      <c r="G867" s="851"/>
      <c r="H867" s="851"/>
      <c r="I867" s="851"/>
      <c r="J867" s="851"/>
      <c r="K867" s="851"/>
      <c r="L867" s="851"/>
      <c r="M867" s="851"/>
    </row>
    <row r="868" spans="3:13" ht="14.25" customHeight="1">
      <c r="C868" s="851"/>
      <c r="D868" s="851"/>
      <c r="E868" s="851"/>
      <c r="F868" s="851"/>
      <c r="G868" s="851"/>
      <c r="H868" s="851"/>
      <c r="I868" s="851"/>
      <c r="J868" s="851"/>
      <c r="K868" s="851"/>
      <c r="L868" s="851"/>
      <c r="M868" s="851"/>
    </row>
    <row r="869" spans="3:13" ht="14.25" customHeight="1">
      <c r="C869" s="851"/>
      <c r="D869" s="851"/>
      <c r="E869" s="851"/>
      <c r="F869" s="851"/>
      <c r="G869" s="851"/>
      <c r="H869" s="851"/>
      <c r="I869" s="851"/>
      <c r="J869" s="851"/>
      <c r="K869" s="851"/>
      <c r="L869" s="851"/>
      <c r="M869" s="851"/>
    </row>
    <row r="870" spans="3:13" ht="14.25" customHeight="1">
      <c r="C870" s="851"/>
      <c r="D870" s="851"/>
      <c r="E870" s="851"/>
      <c r="F870" s="851"/>
      <c r="G870" s="851"/>
      <c r="H870" s="851"/>
      <c r="I870" s="851"/>
      <c r="J870" s="851"/>
      <c r="K870" s="851"/>
      <c r="L870" s="851"/>
      <c r="M870" s="851"/>
    </row>
    <row r="871" spans="3:13" ht="14.25" customHeight="1">
      <c r="C871" s="851"/>
      <c r="D871" s="851"/>
      <c r="E871" s="851"/>
      <c r="F871" s="851"/>
      <c r="G871" s="851"/>
      <c r="H871" s="851"/>
      <c r="I871" s="851"/>
      <c r="J871" s="851"/>
      <c r="K871" s="851"/>
      <c r="L871" s="851"/>
      <c r="M871" s="851"/>
    </row>
    <row r="872" spans="3:13" ht="14.25" customHeight="1">
      <c r="C872" s="851"/>
      <c r="D872" s="851"/>
      <c r="E872" s="851"/>
      <c r="F872" s="851"/>
      <c r="G872" s="851"/>
      <c r="H872" s="851"/>
      <c r="I872" s="851"/>
      <c r="J872" s="851"/>
      <c r="K872" s="851"/>
      <c r="L872" s="851"/>
      <c r="M872" s="851"/>
    </row>
    <row r="873" spans="3:13" ht="14.25" customHeight="1">
      <c r="C873" s="851"/>
      <c r="D873" s="851"/>
      <c r="E873" s="851"/>
      <c r="F873" s="851"/>
      <c r="G873" s="851"/>
      <c r="H873" s="851"/>
      <c r="I873" s="851"/>
      <c r="J873" s="851"/>
      <c r="K873" s="851"/>
      <c r="L873" s="851"/>
      <c r="M873" s="851"/>
    </row>
    <row r="874" spans="3:13" ht="14.25" customHeight="1">
      <c r="C874" s="851"/>
      <c r="D874" s="851"/>
      <c r="E874" s="851"/>
      <c r="F874" s="851"/>
      <c r="G874" s="851"/>
      <c r="H874" s="851"/>
      <c r="I874" s="851"/>
      <c r="J874" s="851"/>
      <c r="K874" s="851"/>
      <c r="L874" s="851"/>
      <c r="M874" s="851"/>
    </row>
    <row r="875" spans="3:13" ht="14.25" customHeight="1">
      <c r="C875" s="851"/>
      <c r="D875" s="851"/>
      <c r="E875" s="851"/>
      <c r="F875" s="851"/>
      <c r="G875" s="851"/>
      <c r="H875" s="851"/>
      <c r="I875" s="851"/>
      <c r="J875" s="851"/>
      <c r="K875" s="851"/>
      <c r="L875" s="851"/>
      <c r="M875" s="851"/>
    </row>
    <row r="876" spans="3:13" ht="14.25" customHeight="1">
      <c r="C876" s="851"/>
      <c r="D876" s="851"/>
      <c r="E876" s="851"/>
      <c r="F876" s="851"/>
      <c r="G876" s="851"/>
      <c r="H876" s="851"/>
      <c r="I876" s="851"/>
      <c r="J876" s="851"/>
      <c r="K876" s="851"/>
      <c r="L876" s="851"/>
      <c r="M876" s="851"/>
    </row>
    <row r="877" spans="3:13" ht="14.25" customHeight="1">
      <c r="C877" s="851"/>
      <c r="D877" s="851"/>
      <c r="E877" s="851"/>
      <c r="F877" s="851"/>
      <c r="G877" s="851"/>
      <c r="H877" s="851"/>
      <c r="I877" s="851"/>
      <c r="J877" s="851"/>
      <c r="K877" s="851"/>
      <c r="L877" s="851"/>
      <c r="M877" s="851"/>
    </row>
    <row r="878" spans="3:13" ht="14.25" customHeight="1">
      <c r="C878" s="851"/>
      <c r="D878" s="851"/>
      <c r="E878" s="851"/>
      <c r="F878" s="851"/>
      <c r="G878" s="851"/>
      <c r="H878" s="851"/>
      <c r="I878" s="851"/>
      <c r="J878" s="851"/>
      <c r="K878" s="851"/>
      <c r="L878" s="851"/>
      <c r="M878" s="851"/>
    </row>
    <row r="879" spans="3:13" ht="14.25" customHeight="1">
      <c r="C879" s="851"/>
      <c r="D879" s="851"/>
      <c r="E879" s="851"/>
      <c r="F879" s="851"/>
      <c r="G879" s="851"/>
      <c r="H879" s="851"/>
      <c r="I879" s="851"/>
      <c r="J879" s="851"/>
      <c r="K879" s="851"/>
      <c r="L879" s="851"/>
      <c r="M879" s="851"/>
    </row>
    <row r="880" spans="3:13" ht="14.25" customHeight="1">
      <c r="C880" s="851"/>
      <c r="D880" s="851"/>
      <c r="E880" s="851"/>
      <c r="F880" s="851"/>
      <c r="G880" s="851"/>
      <c r="H880" s="851"/>
      <c r="I880" s="851"/>
      <c r="J880" s="851"/>
      <c r="K880" s="851"/>
      <c r="L880" s="851"/>
      <c r="M880" s="851"/>
    </row>
    <row r="881" spans="3:13" ht="14.25" customHeight="1">
      <c r="C881" s="851"/>
      <c r="D881" s="851"/>
      <c r="E881" s="851"/>
      <c r="F881" s="851"/>
      <c r="G881" s="851"/>
      <c r="H881" s="851"/>
      <c r="I881" s="851"/>
      <c r="J881" s="851"/>
      <c r="K881" s="851"/>
      <c r="L881" s="851"/>
      <c r="M881" s="851"/>
    </row>
    <row r="882" spans="3:13" ht="14.25" customHeight="1">
      <c r="C882" s="851"/>
      <c r="D882" s="851"/>
      <c r="E882" s="851"/>
      <c r="F882" s="851"/>
      <c r="G882" s="851"/>
      <c r="H882" s="851"/>
      <c r="I882" s="851"/>
      <c r="J882" s="851"/>
      <c r="K882" s="851"/>
      <c r="L882" s="851"/>
      <c r="M882" s="851"/>
    </row>
    <row r="883" spans="3:13" ht="14.25" customHeight="1">
      <c r="C883" s="851"/>
      <c r="D883" s="851"/>
      <c r="E883" s="851"/>
      <c r="F883" s="851"/>
      <c r="G883" s="851"/>
      <c r="H883" s="851"/>
      <c r="I883" s="851"/>
      <c r="J883" s="851"/>
      <c r="K883" s="851"/>
      <c r="L883" s="851"/>
      <c r="M883" s="851"/>
    </row>
    <row r="884" spans="3:13" ht="14.25" customHeight="1">
      <c r="C884" s="851"/>
      <c r="D884" s="851"/>
      <c r="E884" s="851"/>
      <c r="F884" s="851"/>
      <c r="G884" s="851"/>
      <c r="H884" s="851"/>
      <c r="I884" s="851"/>
      <c r="J884" s="851"/>
      <c r="K884" s="851"/>
      <c r="L884" s="851"/>
      <c r="M884" s="851"/>
    </row>
    <row r="885" spans="3:13" ht="14.25" customHeight="1">
      <c r="C885" s="851"/>
      <c r="D885" s="851"/>
      <c r="E885" s="851"/>
      <c r="F885" s="851"/>
      <c r="G885" s="851"/>
      <c r="H885" s="851"/>
      <c r="I885" s="851"/>
      <c r="J885" s="851"/>
      <c r="K885" s="851"/>
      <c r="L885" s="851"/>
      <c r="M885" s="851"/>
    </row>
    <row r="886" spans="3:13" ht="14.25" customHeight="1">
      <c r="C886" s="851"/>
      <c r="D886" s="851"/>
      <c r="E886" s="851"/>
      <c r="F886" s="851"/>
      <c r="G886" s="851"/>
      <c r="H886" s="851"/>
      <c r="I886" s="851"/>
      <c r="J886" s="851"/>
      <c r="K886" s="851"/>
      <c r="L886" s="851"/>
      <c r="M886" s="851"/>
    </row>
    <row r="887" spans="3:13" ht="14.25" customHeight="1">
      <c r="C887" s="851"/>
      <c r="D887" s="851"/>
      <c r="E887" s="851"/>
      <c r="F887" s="851"/>
      <c r="G887" s="851"/>
      <c r="H887" s="851"/>
      <c r="I887" s="851"/>
      <c r="J887" s="851"/>
      <c r="K887" s="851"/>
      <c r="L887" s="851"/>
      <c r="M887" s="851"/>
    </row>
    <row r="888" spans="3:13" ht="14.25" customHeight="1">
      <c r="C888" s="851"/>
      <c r="D888" s="851"/>
      <c r="E888" s="851"/>
      <c r="F888" s="851"/>
      <c r="G888" s="851"/>
      <c r="H888" s="851"/>
      <c r="I888" s="851"/>
      <c r="J888" s="851"/>
      <c r="K888" s="851"/>
      <c r="L888" s="851"/>
      <c r="M888" s="851"/>
    </row>
    <row r="889" spans="3:13" ht="14.25" customHeight="1">
      <c r="C889" s="851"/>
      <c r="D889" s="851"/>
      <c r="E889" s="851"/>
      <c r="F889" s="851"/>
      <c r="G889" s="851"/>
      <c r="H889" s="851"/>
      <c r="I889" s="851"/>
      <c r="J889" s="851"/>
      <c r="K889" s="851"/>
      <c r="L889" s="851"/>
      <c r="M889" s="851"/>
    </row>
    <row r="890" spans="3:13" ht="14.25" customHeight="1">
      <c r="C890" s="851"/>
      <c r="D890" s="851"/>
      <c r="E890" s="851"/>
      <c r="F890" s="851"/>
      <c r="G890" s="851"/>
      <c r="H890" s="851"/>
      <c r="I890" s="851"/>
      <c r="J890" s="851"/>
      <c r="K890" s="851"/>
      <c r="L890" s="851"/>
      <c r="M890" s="851"/>
    </row>
    <row r="891" spans="3:13" ht="14.25" customHeight="1">
      <c r="C891" s="851"/>
      <c r="D891" s="851"/>
      <c r="E891" s="851"/>
      <c r="F891" s="851"/>
      <c r="G891" s="851"/>
      <c r="H891" s="851"/>
      <c r="I891" s="851"/>
      <c r="J891" s="851"/>
      <c r="K891" s="851"/>
      <c r="L891" s="851"/>
      <c r="M891" s="851"/>
    </row>
    <row r="892" spans="3:13" ht="14.25" customHeight="1">
      <c r="C892" s="851"/>
      <c r="D892" s="851"/>
      <c r="E892" s="851"/>
      <c r="F892" s="851"/>
      <c r="G892" s="851"/>
      <c r="H892" s="851"/>
      <c r="I892" s="851"/>
      <c r="J892" s="851"/>
      <c r="K892" s="851"/>
      <c r="L892" s="851"/>
      <c r="M892" s="851"/>
    </row>
    <row r="893" spans="3:13" ht="14.25" customHeight="1">
      <c r="C893" s="851"/>
      <c r="D893" s="851"/>
      <c r="E893" s="851"/>
      <c r="F893" s="851"/>
      <c r="G893" s="851"/>
      <c r="H893" s="851"/>
      <c r="I893" s="851"/>
      <c r="J893" s="851"/>
      <c r="K893" s="851"/>
      <c r="L893" s="851"/>
      <c r="M893" s="851"/>
    </row>
    <row r="894" spans="3:13" ht="14.25" customHeight="1">
      <c r="C894" s="851"/>
      <c r="D894" s="851"/>
      <c r="E894" s="851"/>
      <c r="F894" s="851"/>
      <c r="G894" s="851"/>
      <c r="H894" s="851"/>
      <c r="I894" s="851"/>
      <c r="J894" s="851"/>
      <c r="K894" s="851"/>
      <c r="L894" s="851"/>
      <c r="M894" s="851"/>
    </row>
    <row r="895" spans="3:13" ht="14.25" customHeight="1">
      <c r="C895" s="851"/>
      <c r="D895" s="851"/>
      <c r="E895" s="851"/>
      <c r="F895" s="851"/>
      <c r="G895" s="851"/>
      <c r="H895" s="851"/>
      <c r="I895" s="851"/>
      <c r="J895" s="851"/>
      <c r="K895" s="851"/>
      <c r="L895" s="851"/>
      <c r="M895" s="851"/>
    </row>
    <row r="896" spans="3:13" ht="14.25" customHeight="1">
      <c r="C896" s="851"/>
      <c r="D896" s="851"/>
      <c r="E896" s="851"/>
      <c r="F896" s="851"/>
      <c r="G896" s="851"/>
      <c r="H896" s="851"/>
      <c r="I896" s="851"/>
      <c r="J896" s="851"/>
      <c r="K896" s="851"/>
      <c r="L896" s="851"/>
      <c r="M896" s="851"/>
    </row>
    <row r="897" spans="3:13" ht="14.25" customHeight="1">
      <c r="C897" s="851"/>
      <c r="D897" s="851"/>
      <c r="E897" s="851"/>
      <c r="F897" s="851"/>
      <c r="G897" s="851"/>
      <c r="H897" s="851"/>
      <c r="I897" s="851"/>
      <c r="J897" s="851"/>
      <c r="K897" s="851"/>
      <c r="L897" s="851"/>
      <c r="M897" s="851"/>
    </row>
    <row r="898" spans="3:13" ht="14.25" customHeight="1">
      <c r="C898" s="851"/>
      <c r="D898" s="851"/>
      <c r="E898" s="851"/>
      <c r="F898" s="851"/>
      <c r="G898" s="851"/>
      <c r="H898" s="851"/>
      <c r="I898" s="851"/>
      <c r="J898" s="851"/>
      <c r="K898" s="851"/>
      <c r="L898" s="851"/>
      <c r="M898" s="851"/>
    </row>
    <row r="899" spans="3:13" ht="14.25" customHeight="1">
      <c r="C899" s="851"/>
      <c r="D899" s="851"/>
      <c r="E899" s="851"/>
      <c r="F899" s="851"/>
      <c r="G899" s="851"/>
      <c r="H899" s="851"/>
      <c r="I899" s="851"/>
      <c r="J899" s="851"/>
      <c r="K899" s="851"/>
      <c r="L899" s="851"/>
      <c r="M899" s="851"/>
    </row>
    <row r="900" spans="3:13" ht="14.25" customHeight="1">
      <c r="C900" s="851"/>
      <c r="D900" s="851"/>
      <c r="E900" s="851"/>
      <c r="F900" s="851"/>
      <c r="G900" s="851"/>
      <c r="H900" s="851"/>
      <c r="I900" s="851"/>
      <c r="J900" s="851"/>
      <c r="K900" s="851"/>
      <c r="L900" s="851"/>
      <c r="M900" s="851"/>
    </row>
    <row r="901" spans="3:13" ht="14.25" customHeight="1">
      <c r="C901" s="851"/>
      <c r="D901" s="851"/>
      <c r="E901" s="851"/>
      <c r="F901" s="851"/>
      <c r="G901" s="851"/>
      <c r="H901" s="851"/>
      <c r="I901" s="851"/>
      <c r="J901" s="851"/>
      <c r="K901" s="851"/>
      <c r="L901" s="851"/>
      <c r="M901" s="851"/>
    </row>
    <row r="902" spans="3:13" ht="14.25" customHeight="1">
      <c r="C902" s="851"/>
      <c r="D902" s="851"/>
      <c r="E902" s="851"/>
      <c r="F902" s="851"/>
      <c r="G902" s="851"/>
      <c r="H902" s="851"/>
      <c r="I902" s="851"/>
      <c r="J902" s="851"/>
      <c r="K902" s="851"/>
      <c r="L902" s="851"/>
      <c r="M902" s="851"/>
    </row>
    <row r="903" spans="3:13" ht="14.25" customHeight="1">
      <c r="C903" s="851"/>
      <c r="D903" s="851"/>
      <c r="E903" s="851"/>
      <c r="F903" s="851"/>
      <c r="G903" s="851"/>
      <c r="H903" s="851"/>
      <c r="I903" s="851"/>
      <c r="J903" s="851"/>
      <c r="K903" s="851"/>
      <c r="L903" s="851"/>
      <c r="M903" s="851"/>
    </row>
    <row r="904" spans="3:13" ht="14.25" customHeight="1">
      <c r="C904" s="851"/>
      <c r="D904" s="851"/>
      <c r="E904" s="851"/>
      <c r="F904" s="851"/>
      <c r="G904" s="851"/>
      <c r="H904" s="851"/>
      <c r="I904" s="851"/>
      <c r="J904" s="851"/>
      <c r="K904" s="851"/>
      <c r="L904" s="851"/>
      <c r="M904" s="851"/>
    </row>
    <row r="905" spans="3:13" ht="14.25" customHeight="1">
      <c r="C905" s="851"/>
      <c r="D905" s="851"/>
      <c r="E905" s="851"/>
      <c r="F905" s="851"/>
      <c r="G905" s="851"/>
      <c r="H905" s="851"/>
      <c r="I905" s="851"/>
      <c r="J905" s="851"/>
      <c r="K905" s="851"/>
      <c r="L905" s="851"/>
      <c r="M905" s="851"/>
    </row>
    <row r="906" spans="3:13" ht="14.25" customHeight="1">
      <c r="C906" s="851"/>
      <c r="D906" s="851"/>
      <c r="E906" s="851"/>
      <c r="F906" s="851"/>
      <c r="G906" s="851"/>
      <c r="H906" s="851"/>
      <c r="I906" s="851"/>
      <c r="J906" s="851"/>
      <c r="K906" s="851"/>
      <c r="L906" s="851"/>
      <c r="M906" s="851"/>
    </row>
    <row r="907" spans="3:13" ht="14.25" customHeight="1">
      <c r="C907" s="851"/>
      <c r="D907" s="851"/>
      <c r="E907" s="851"/>
      <c r="F907" s="851"/>
      <c r="G907" s="851"/>
      <c r="H907" s="851"/>
      <c r="I907" s="851"/>
      <c r="J907" s="851"/>
      <c r="K907" s="851"/>
      <c r="L907" s="851"/>
      <c r="M907" s="851"/>
    </row>
    <row r="908" spans="3:13" ht="14.25" customHeight="1">
      <c r="C908" s="851"/>
      <c r="D908" s="851"/>
      <c r="E908" s="851"/>
      <c r="F908" s="851"/>
      <c r="G908" s="851"/>
      <c r="H908" s="851"/>
      <c r="I908" s="851"/>
      <c r="J908" s="851"/>
      <c r="K908" s="851"/>
      <c r="L908" s="851"/>
      <c r="M908" s="851"/>
    </row>
    <row r="909" spans="3:13" ht="14.25" customHeight="1">
      <c r="C909" s="851"/>
      <c r="D909" s="851"/>
      <c r="E909" s="851"/>
      <c r="F909" s="851"/>
      <c r="G909" s="851"/>
      <c r="H909" s="851"/>
      <c r="I909" s="851"/>
      <c r="J909" s="851"/>
      <c r="K909" s="851"/>
      <c r="L909" s="851"/>
      <c r="M909" s="851"/>
    </row>
    <row r="910" spans="3:13" ht="14.25" customHeight="1">
      <c r="C910" s="851"/>
      <c r="D910" s="851"/>
      <c r="E910" s="851"/>
      <c r="F910" s="851"/>
      <c r="G910" s="851"/>
      <c r="H910" s="851"/>
      <c r="I910" s="851"/>
      <c r="J910" s="851"/>
      <c r="K910" s="851"/>
      <c r="L910" s="851"/>
      <c r="M910" s="851"/>
    </row>
    <row r="911" spans="3:13" ht="14.25" customHeight="1">
      <c r="C911" s="851"/>
      <c r="D911" s="851"/>
      <c r="E911" s="851"/>
      <c r="F911" s="851"/>
      <c r="G911" s="851"/>
      <c r="H911" s="851"/>
      <c r="I911" s="851"/>
      <c r="J911" s="851"/>
      <c r="K911" s="851"/>
      <c r="L911" s="851"/>
      <c r="M911" s="851"/>
    </row>
    <row r="912" spans="3:13" ht="14.25" customHeight="1">
      <c r="C912" s="851"/>
      <c r="D912" s="851"/>
      <c r="E912" s="851"/>
      <c r="F912" s="851"/>
      <c r="G912" s="851"/>
      <c r="H912" s="851"/>
      <c r="I912" s="851"/>
      <c r="J912" s="851"/>
      <c r="K912" s="851"/>
      <c r="L912" s="851"/>
      <c r="M912" s="851"/>
    </row>
    <row r="913" spans="3:13" ht="14.25" customHeight="1">
      <c r="C913" s="851"/>
      <c r="D913" s="851"/>
      <c r="E913" s="851"/>
      <c r="F913" s="851"/>
      <c r="G913" s="851"/>
      <c r="H913" s="851"/>
      <c r="I913" s="851"/>
      <c r="J913" s="851"/>
      <c r="K913" s="851"/>
      <c r="L913" s="851"/>
      <c r="M913" s="851"/>
    </row>
    <row r="914" spans="3:13" ht="14.25" customHeight="1">
      <c r="C914" s="851"/>
      <c r="D914" s="851"/>
      <c r="E914" s="851"/>
      <c r="F914" s="851"/>
      <c r="G914" s="851"/>
      <c r="H914" s="851"/>
      <c r="I914" s="851"/>
      <c r="J914" s="851"/>
      <c r="K914" s="851"/>
      <c r="L914" s="851"/>
      <c r="M914" s="851"/>
    </row>
    <row r="915" spans="3:13" ht="14.25" customHeight="1">
      <c r="C915" s="851"/>
      <c r="D915" s="851"/>
      <c r="E915" s="851"/>
      <c r="F915" s="851"/>
      <c r="G915" s="851"/>
      <c r="H915" s="851"/>
      <c r="I915" s="851"/>
      <c r="J915" s="851"/>
      <c r="K915" s="851"/>
      <c r="L915" s="851"/>
      <c r="M915" s="851"/>
    </row>
    <row r="916" spans="3:13" ht="14.25" customHeight="1">
      <c r="C916" s="851"/>
      <c r="D916" s="851"/>
      <c r="E916" s="851"/>
      <c r="F916" s="851"/>
      <c r="G916" s="851"/>
      <c r="H916" s="851"/>
      <c r="I916" s="851"/>
      <c r="J916" s="851"/>
      <c r="K916" s="851"/>
      <c r="L916" s="851"/>
      <c r="M916" s="851"/>
    </row>
    <row r="917" spans="3:13" ht="14.25" customHeight="1">
      <c r="C917" s="851"/>
      <c r="D917" s="851"/>
      <c r="E917" s="851"/>
      <c r="F917" s="851"/>
      <c r="G917" s="851"/>
      <c r="H917" s="851"/>
      <c r="I917" s="851"/>
      <c r="J917" s="851"/>
      <c r="K917" s="851"/>
      <c r="L917" s="851"/>
      <c r="M917" s="851"/>
    </row>
    <row r="918" spans="3:13" ht="14.25" customHeight="1">
      <c r="C918" s="851"/>
      <c r="D918" s="851"/>
      <c r="E918" s="851"/>
      <c r="F918" s="851"/>
      <c r="G918" s="851"/>
      <c r="H918" s="851"/>
      <c r="I918" s="851"/>
      <c r="J918" s="851"/>
      <c r="K918" s="851"/>
      <c r="L918" s="851"/>
      <c r="M918" s="851"/>
    </row>
    <row r="919" spans="3:13" ht="14.25" customHeight="1">
      <c r="C919" s="851"/>
      <c r="D919" s="851"/>
      <c r="E919" s="851"/>
      <c r="F919" s="851"/>
      <c r="G919" s="851"/>
      <c r="H919" s="851"/>
      <c r="I919" s="851"/>
      <c r="J919" s="851"/>
      <c r="K919" s="851"/>
      <c r="L919" s="851"/>
      <c r="M919" s="851"/>
    </row>
    <row r="920" spans="3:13" ht="14.25" customHeight="1">
      <c r="C920" s="851"/>
      <c r="D920" s="851"/>
      <c r="E920" s="851"/>
      <c r="F920" s="851"/>
      <c r="G920" s="851"/>
      <c r="H920" s="851"/>
      <c r="I920" s="851"/>
      <c r="J920" s="851"/>
      <c r="K920" s="851"/>
      <c r="L920" s="851"/>
      <c r="M920" s="851"/>
    </row>
    <row r="921" spans="3:13" ht="14.25" customHeight="1">
      <c r="C921" s="851"/>
      <c r="D921" s="851"/>
      <c r="E921" s="851"/>
      <c r="F921" s="851"/>
      <c r="G921" s="851"/>
      <c r="H921" s="851"/>
      <c r="I921" s="851"/>
      <c r="J921" s="851"/>
      <c r="K921" s="851"/>
      <c r="L921" s="851"/>
      <c r="M921" s="851"/>
    </row>
    <row r="922" spans="3:13" ht="14.25" customHeight="1">
      <c r="C922" s="851"/>
      <c r="D922" s="851"/>
      <c r="E922" s="851"/>
      <c r="F922" s="851"/>
      <c r="G922" s="851"/>
      <c r="H922" s="851"/>
      <c r="I922" s="851"/>
      <c r="J922" s="851"/>
      <c r="K922" s="851"/>
      <c r="L922" s="851"/>
      <c r="M922" s="851"/>
    </row>
    <row r="923" spans="3:13" ht="14.25" customHeight="1">
      <c r="C923" s="851"/>
      <c r="D923" s="851"/>
      <c r="E923" s="851"/>
      <c r="F923" s="851"/>
      <c r="G923" s="851"/>
      <c r="H923" s="851"/>
      <c r="I923" s="851"/>
      <c r="J923" s="851"/>
      <c r="K923" s="851"/>
      <c r="L923" s="851"/>
      <c r="M923" s="851"/>
    </row>
    <row r="924" spans="3:13" ht="14.25" customHeight="1">
      <c r="C924" s="851"/>
      <c r="D924" s="851"/>
      <c r="E924" s="851"/>
      <c r="F924" s="851"/>
      <c r="G924" s="851"/>
      <c r="H924" s="851"/>
      <c r="I924" s="851"/>
      <c r="J924" s="851"/>
      <c r="K924" s="851"/>
      <c r="L924" s="851"/>
      <c r="M924" s="851"/>
    </row>
    <row r="925" spans="3:13" ht="14.25" customHeight="1">
      <c r="C925" s="851"/>
      <c r="D925" s="851"/>
      <c r="E925" s="851"/>
      <c r="F925" s="851"/>
      <c r="G925" s="851"/>
      <c r="H925" s="851"/>
      <c r="I925" s="851"/>
      <c r="J925" s="851"/>
      <c r="K925" s="851"/>
      <c r="L925" s="851"/>
      <c r="M925" s="851"/>
    </row>
    <row r="926" spans="3:13" ht="14.25" customHeight="1">
      <c r="C926" s="851"/>
      <c r="D926" s="851"/>
      <c r="E926" s="851"/>
      <c r="F926" s="851"/>
      <c r="G926" s="851"/>
      <c r="H926" s="851"/>
      <c r="I926" s="851"/>
      <c r="J926" s="851"/>
      <c r="K926" s="851"/>
      <c r="L926" s="851"/>
      <c r="M926" s="851"/>
    </row>
    <row r="927" spans="3:13" ht="14.25" customHeight="1">
      <c r="C927" s="851"/>
      <c r="D927" s="851"/>
      <c r="E927" s="851"/>
      <c r="F927" s="851"/>
      <c r="G927" s="851"/>
      <c r="H927" s="851"/>
      <c r="I927" s="851"/>
      <c r="J927" s="851"/>
      <c r="K927" s="851"/>
      <c r="L927" s="851"/>
      <c r="M927" s="851"/>
    </row>
    <row r="928" spans="3:13" ht="14.25" customHeight="1">
      <c r="C928" s="851"/>
      <c r="D928" s="851"/>
      <c r="E928" s="851"/>
      <c r="F928" s="851"/>
      <c r="G928" s="851"/>
      <c r="H928" s="851"/>
      <c r="I928" s="851"/>
      <c r="J928" s="851"/>
      <c r="K928" s="851"/>
      <c r="L928" s="851"/>
      <c r="M928" s="851"/>
    </row>
    <row r="929" spans="3:13" ht="14.25" customHeight="1">
      <c r="C929" s="851"/>
      <c r="D929" s="851"/>
      <c r="E929" s="851"/>
      <c r="F929" s="851"/>
      <c r="G929" s="851"/>
      <c r="H929" s="851"/>
      <c r="I929" s="851"/>
      <c r="J929" s="851"/>
      <c r="K929" s="851"/>
      <c r="L929" s="851"/>
      <c r="M929" s="851"/>
    </row>
    <row r="930" spans="3:13" ht="14.25" customHeight="1">
      <c r="C930" s="851"/>
      <c r="D930" s="851"/>
      <c r="E930" s="851"/>
      <c r="F930" s="851"/>
      <c r="G930" s="851"/>
      <c r="H930" s="851"/>
      <c r="I930" s="851"/>
      <c r="J930" s="851"/>
      <c r="K930" s="851"/>
      <c r="L930" s="851"/>
      <c r="M930" s="851"/>
    </row>
    <row r="931" spans="3:13" ht="14.25" customHeight="1">
      <c r="C931" s="851"/>
      <c r="D931" s="851"/>
      <c r="E931" s="851"/>
      <c r="F931" s="851"/>
      <c r="G931" s="851"/>
      <c r="H931" s="851"/>
      <c r="I931" s="851"/>
      <c r="J931" s="851"/>
      <c r="K931" s="851"/>
      <c r="L931" s="851"/>
      <c r="M931" s="851"/>
    </row>
    <row r="932" spans="3:13" ht="14.25" customHeight="1">
      <c r="C932" s="851"/>
      <c r="D932" s="851"/>
      <c r="E932" s="851"/>
      <c r="F932" s="851"/>
      <c r="G932" s="851"/>
      <c r="H932" s="851"/>
      <c r="I932" s="851"/>
      <c r="J932" s="851"/>
      <c r="K932" s="851"/>
      <c r="L932" s="851"/>
      <c r="M932" s="851"/>
    </row>
    <row r="933" spans="3:13" ht="14.25" customHeight="1">
      <c r="C933" s="851"/>
      <c r="D933" s="851"/>
      <c r="E933" s="851"/>
      <c r="F933" s="851"/>
      <c r="G933" s="851"/>
      <c r="H933" s="851"/>
      <c r="I933" s="851"/>
      <c r="J933" s="851"/>
      <c r="K933" s="851"/>
      <c r="L933" s="851"/>
      <c r="M933" s="851"/>
    </row>
    <row r="934" spans="3:13" ht="14.25" customHeight="1">
      <c r="C934" s="851"/>
      <c r="D934" s="851"/>
      <c r="E934" s="851"/>
      <c r="F934" s="851"/>
      <c r="G934" s="851"/>
      <c r="H934" s="851"/>
      <c r="I934" s="851"/>
      <c r="J934" s="851"/>
      <c r="K934" s="851"/>
      <c r="L934" s="851"/>
      <c r="M934" s="851"/>
    </row>
    <row r="935" spans="3:13" ht="14.25" customHeight="1">
      <c r="C935" s="851"/>
      <c r="D935" s="851"/>
      <c r="E935" s="851"/>
      <c r="F935" s="851"/>
      <c r="G935" s="851"/>
      <c r="H935" s="851"/>
      <c r="I935" s="851"/>
      <c r="J935" s="851"/>
      <c r="K935" s="851"/>
      <c r="L935" s="851"/>
      <c r="M935" s="851"/>
    </row>
    <row r="936" spans="3:13" ht="14.25" customHeight="1">
      <c r="C936" s="851"/>
      <c r="D936" s="851"/>
      <c r="E936" s="851"/>
      <c r="F936" s="851"/>
      <c r="G936" s="851"/>
      <c r="H936" s="851"/>
      <c r="I936" s="851"/>
      <c r="J936" s="851"/>
      <c r="K936" s="851"/>
      <c r="L936" s="851"/>
      <c r="M936" s="851"/>
    </row>
    <row r="937" spans="3:13" ht="14.25" customHeight="1">
      <c r="C937" s="851"/>
      <c r="D937" s="851"/>
      <c r="E937" s="851"/>
      <c r="F937" s="851"/>
      <c r="G937" s="851"/>
      <c r="H937" s="851"/>
      <c r="I937" s="851"/>
      <c r="J937" s="851"/>
      <c r="K937" s="851"/>
      <c r="L937" s="851"/>
      <c r="M937" s="851"/>
    </row>
    <row r="938" spans="3:13" ht="14.25" customHeight="1">
      <c r="C938" s="851"/>
      <c r="D938" s="851"/>
      <c r="E938" s="851"/>
      <c r="F938" s="851"/>
      <c r="G938" s="851"/>
      <c r="H938" s="851"/>
      <c r="I938" s="851"/>
      <c r="J938" s="851"/>
      <c r="K938" s="851"/>
      <c r="L938" s="851"/>
      <c r="M938" s="851"/>
    </row>
    <row r="939" spans="3:13" ht="14.25" customHeight="1">
      <c r="C939" s="851"/>
      <c r="D939" s="851"/>
      <c r="E939" s="851"/>
      <c r="F939" s="851"/>
      <c r="G939" s="851"/>
      <c r="H939" s="851"/>
      <c r="I939" s="851"/>
      <c r="J939" s="851"/>
      <c r="K939" s="851"/>
      <c r="L939" s="851"/>
      <c r="M939" s="851"/>
    </row>
    <row r="940" spans="3:13" ht="14.25" customHeight="1">
      <c r="C940" s="851"/>
      <c r="D940" s="851"/>
      <c r="E940" s="851"/>
      <c r="F940" s="851"/>
      <c r="G940" s="851"/>
      <c r="H940" s="851"/>
      <c r="I940" s="851"/>
      <c r="J940" s="851"/>
      <c r="K940" s="851"/>
      <c r="L940" s="851"/>
      <c r="M940" s="851"/>
    </row>
    <row r="941" spans="3:13" ht="14.25" customHeight="1">
      <c r="C941" s="851"/>
      <c r="D941" s="851"/>
      <c r="E941" s="851"/>
      <c r="F941" s="851"/>
      <c r="G941" s="851"/>
      <c r="H941" s="851"/>
      <c r="I941" s="851"/>
      <c r="J941" s="851"/>
      <c r="K941" s="851"/>
      <c r="L941" s="851"/>
      <c r="M941" s="851"/>
    </row>
    <row r="942" spans="3:13" ht="14.25" customHeight="1">
      <c r="C942" s="851"/>
      <c r="D942" s="851"/>
      <c r="E942" s="851"/>
      <c r="F942" s="851"/>
      <c r="G942" s="851"/>
      <c r="H942" s="851"/>
      <c r="I942" s="851"/>
      <c r="J942" s="851"/>
      <c r="K942" s="851"/>
      <c r="L942" s="851"/>
      <c r="M942" s="851"/>
    </row>
    <row r="943" spans="3:13" ht="14.25" customHeight="1">
      <c r="C943" s="851"/>
      <c r="D943" s="851"/>
      <c r="E943" s="851"/>
      <c r="F943" s="851"/>
      <c r="G943" s="851"/>
      <c r="H943" s="851"/>
      <c r="I943" s="851"/>
      <c r="J943" s="851"/>
      <c r="K943" s="851"/>
      <c r="L943" s="851"/>
      <c r="M943" s="851"/>
    </row>
    <row r="944" spans="3:13" ht="14.25" customHeight="1">
      <c r="C944" s="851"/>
      <c r="D944" s="851"/>
      <c r="E944" s="851"/>
      <c r="F944" s="851"/>
      <c r="G944" s="851"/>
      <c r="H944" s="851"/>
      <c r="I944" s="851"/>
      <c r="J944" s="851"/>
      <c r="K944" s="851"/>
      <c r="L944" s="851"/>
      <c r="M944" s="851"/>
    </row>
    <row r="945" spans="3:13" ht="14.25" customHeight="1">
      <c r="C945" s="851"/>
      <c r="D945" s="851"/>
      <c r="E945" s="851"/>
      <c r="F945" s="851"/>
      <c r="G945" s="851"/>
      <c r="H945" s="851"/>
      <c r="I945" s="851"/>
      <c r="J945" s="851"/>
      <c r="K945" s="851"/>
      <c r="L945" s="851"/>
      <c r="M945" s="851"/>
    </row>
    <row r="946" spans="3:13" ht="14.25" customHeight="1">
      <c r="C946" s="851"/>
      <c r="D946" s="851"/>
      <c r="E946" s="851"/>
      <c r="F946" s="851"/>
      <c r="G946" s="851"/>
      <c r="H946" s="851"/>
      <c r="I946" s="851"/>
      <c r="J946" s="851"/>
      <c r="K946" s="851"/>
      <c r="L946" s="851"/>
      <c r="M946" s="851"/>
    </row>
    <row r="947" spans="3:13" ht="14.25" customHeight="1">
      <c r="C947" s="851"/>
      <c r="D947" s="851"/>
      <c r="E947" s="851"/>
      <c r="F947" s="851"/>
      <c r="G947" s="851"/>
      <c r="H947" s="851"/>
      <c r="I947" s="851"/>
      <c r="J947" s="851"/>
      <c r="K947" s="851"/>
      <c r="L947" s="851"/>
      <c r="M947" s="851"/>
    </row>
    <row r="948" spans="3:13" ht="14.25" customHeight="1">
      <c r="C948" s="851"/>
      <c r="D948" s="851"/>
      <c r="E948" s="851"/>
      <c r="F948" s="851"/>
      <c r="G948" s="851"/>
      <c r="H948" s="851"/>
      <c r="I948" s="851"/>
      <c r="J948" s="851"/>
      <c r="K948" s="851"/>
      <c r="L948" s="851"/>
      <c r="M948" s="851"/>
    </row>
    <row r="949" spans="3:13" ht="14.25" customHeight="1">
      <c r="C949" s="851"/>
      <c r="D949" s="851"/>
      <c r="E949" s="851"/>
      <c r="F949" s="851"/>
      <c r="G949" s="851"/>
      <c r="H949" s="851"/>
      <c r="I949" s="851"/>
      <c r="J949" s="851"/>
      <c r="K949" s="851"/>
      <c r="L949" s="851"/>
      <c r="M949" s="851"/>
    </row>
    <row r="950" spans="3:13" ht="14.25" customHeight="1">
      <c r="C950" s="851"/>
      <c r="D950" s="851"/>
      <c r="E950" s="851"/>
      <c r="F950" s="851"/>
      <c r="G950" s="851"/>
      <c r="H950" s="851"/>
      <c r="I950" s="851"/>
      <c r="J950" s="851"/>
      <c r="K950" s="851"/>
      <c r="L950" s="851"/>
      <c r="M950" s="851"/>
    </row>
    <row r="951" spans="3:13" ht="14.25" customHeight="1">
      <c r="C951" s="851"/>
      <c r="D951" s="851"/>
      <c r="E951" s="851"/>
      <c r="F951" s="851"/>
      <c r="G951" s="851"/>
      <c r="H951" s="851"/>
      <c r="I951" s="851"/>
      <c r="J951" s="851"/>
      <c r="K951" s="851"/>
      <c r="L951" s="851"/>
      <c r="M951" s="851"/>
    </row>
    <row r="952" spans="3:13" ht="14.25" customHeight="1">
      <c r="C952" s="851"/>
      <c r="D952" s="851"/>
      <c r="E952" s="851"/>
      <c r="F952" s="851"/>
      <c r="G952" s="851"/>
      <c r="H952" s="851"/>
      <c r="I952" s="851"/>
      <c r="J952" s="851"/>
      <c r="K952" s="851"/>
      <c r="L952" s="851"/>
      <c r="M952" s="851"/>
    </row>
    <row r="953" spans="3:13" ht="14.25" customHeight="1">
      <c r="C953" s="851"/>
      <c r="D953" s="851"/>
      <c r="E953" s="851"/>
      <c r="F953" s="851"/>
      <c r="G953" s="851"/>
      <c r="H953" s="851"/>
      <c r="I953" s="851"/>
      <c r="J953" s="851"/>
      <c r="K953" s="851"/>
      <c r="L953" s="851"/>
      <c r="M953" s="851"/>
    </row>
    <row r="954" spans="3:13" ht="14.25" customHeight="1">
      <c r="C954" s="851"/>
      <c r="D954" s="851"/>
      <c r="E954" s="851"/>
      <c r="F954" s="851"/>
      <c r="G954" s="851"/>
      <c r="H954" s="851"/>
      <c r="I954" s="851"/>
      <c r="J954" s="851"/>
      <c r="K954" s="851"/>
      <c r="L954" s="851"/>
      <c r="M954" s="851"/>
    </row>
    <row r="955" spans="3:13" ht="14.25" customHeight="1">
      <c r="C955" s="851"/>
      <c r="D955" s="851"/>
      <c r="E955" s="851"/>
      <c r="F955" s="851"/>
      <c r="G955" s="851"/>
      <c r="H955" s="851"/>
      <c r="I955" s="851"/>
      <c r="J955" s="851"/>
      <c r="K955" s="851"/>
      <c r="L955" s="851"/>
      <c r="M955" s="851"/>
    </row>
    <row r="956" spans="3:13" ht="14.25" customHeight="1">
      <c r="C956" s="851"/>
      <c r="D956" s="851"/>
      <c r="E956" s="851"/>
      <c r="F956" s="851"/>
      <c r="G956" s="851"/>
      <c r="H956" s="851"/>
      <c r="I956" s="851"/>
      <c r="J956" s="851"/>
      <c r="K956" s="851"/>
      <c r="L956" s="851"/>
      <c r="M956" s="851"/>
    </row>
    <row r="957" spans="3:13" ht="14.25" customHeight="1">
      <c r="C957" s="851"/>
      <c r="D957" s="851"/>
      <c r="E957" s="851"/>
      <c r="F957" s="851"/>
      <c r="G957" s="851"/>
      <c r="H957" s="851"/>
      <c r="I957" s="851"/>
      <c r="J957" s="851"/>
      <c r="K957" s="851"/>
      <c r="L957" s="851"/>
      <c r="M957" s="851"/>
    </row>
    <row r="958" spans="3:13" ht="14.25" customHeight="1">
      <c r="C958" s="851"/>
      <c r="D958" s="851"/>
      <c r="E958" s="851"/>
      <c r="F958" s="851"/>
      <c r="G958" s="851"/>
      <c r="H958" s="851"/>
      <c r="I958" s="851"/>
      <c r="J958" s="851"/>
      <c r="K958" s="851"/>
      <c r="L958" s="851"/>
      <c r="M958" s="851"/>
    </row>
    <row r="959" spans="3:13" ht="14.25" customHeight="1">
      <c r="C959" s="851"/>
      <c r="D959" s="851"/>
      <c r="E959" s="851"/>
      <c r="F959" s="851"/>
      <c r="G959" s="851"/>
      <c r="H959" s="851"/>
      <c r="I959" s="851"/>
      <c r="J959" s="851"/>
      <c r="K959" s="851"/>
      <c r="L959" s="851"/>
      <c r="M959" s="851"/>
    </row>
    <row r="960" spans="3:13" ht="14.25" customHeight="1">
      <c r="C960" s="851"/>
      <c r="D960" s="851"/>
      <c r="E960" s="851"/>
      <c r="F960" s="851"/>
      <c r="G960" s="851"/>
      <c r="H960" s="851"/>
      <c r="I960" s="851"/>
      <c r="J960" s="851"/>
      <c r="K960" s="851"/>
      <c r="L960" s="851"/>
      <c r="M960" s="851"/>
    </row>
    <row r="961" spans="3:13" ht="14.25" customHeight="1">
      <c r="C961" s="851"/>
      <c r="D961" s="851"/>
      <c r="E961" s="851"/>
      <c r="F961" s="851"/>
      <c r="G961" s="851"/>
      <c r="H961" s="851"/>
      <c r="I961" s="851"/>
      <c r="J961" s="851"/>
      <c r="K961" s="851"/>
      <c r="L961" s="851"/>
      <c r="M961" s="851"/>
    </row>
    <row r="962" spans="3:13" ht="14.25" customHeight="1">
      <c r="C962" s="851"/>
      <c r="D962" s="851"/>
      <c r="E962" s="851"/>
      <c r="F962" s="851"/>
      <c r="G962" s="851"/>
      <c r="H962" s="851"/>
      <c r="I962" s="851"/>
      <c r="J962" s="851"/>
      <c r="K962" s="851"/>
      <c r="L962" s="851"/>
      <c r="M962" s="851"/>
    </row>
    <row r="963" spans="3:13" ht="14.25" customHeight="1">
      <c r="C963" s="851"/>
      <c r="D963" s="851"/>
      <c r="E963" s="851"/>
      <c r="F963" s="851"/>
      <c r="G963" s="851"/>
      <c r="H963" s="851"/>
      <c r="I963" s="851"/>
      <c r="J963" s="851"/>
      <c r="K963" s="851"/>
      <c r="L963" s="851"/>
      <c r="M963" s="851"/>
    </row>
    <row r="964" spans="3:13" ht="14.25" customHeight="1">
      <c r="C964" s="851"/>
      <c r="D964" s="851"/>
      <c r="E964" s="851"/>
      <c r="F964" s="851"/>
      <c r="G964" s="851"/>
      <c r="H964" s="851"/>
      <c r="I964" s="851"/>
      <c r="J964" s="851"/>
      <c r="K964" s="851"/>
      <c r="L964" s="851"/>
      <c r="M964" s="851"/>
    </row>
    <row r="965" spans="3:13" ht="14.25" customHeight="1">
      <c r="C965" s="851"/>
      <c r="D965" s="851"/>
      <c r="E965" s="851"/>
      <c r="F965" s="851"/>
      <c r="G965" s="851"/>
      <c r="H965" s="851"/>
      <c r="I965" s="851"/>
      <c r="J965" s="851"/>
      <c r="K965" s="851"/>
      <c r="L965" s="851"/>
      <c r="M965" s="851"/>
    </row>
    <row r="966" spans="3:13" ht="14.25" customHeight="1">
      <c r="C966" s="851"/>
      <c r="D966" s="851"/>
      <c r="E966" s="851"/>
      <c r="F966" s="851"/>
      <c r="G966" s="851"/>
      <c r="H966" s="851"/>
      <c r="I966" s="851"/>
      <c r="J966" s="851"/>
      <c r="K966" s="851"/>
      <c r="L966" s="851"/>
      <c r="M966" s="851"/>
    </row>
    <row r="967" spans="3:13" ht="14.25" customHeight="1">
      <c r="C967" s="851"/>
      <c r="D967" s="851"/>
      <c r="E967" s="851"/>
      <c r="F967" s="851"/>
      <c r="G967" s="851"/>
      <c r="H967" s="851"/>
      <c r="I967" s="851"/>
      <c r="J967" s="851"/>
      <c r="K967" s="851"/>
      <c r="L967" s="851"/>
      <c r="M967" s="851"/>
    </row>
    <row r="968" spans="3:13" ht="14.25" customHeight="1">
      <c r="C968" s="851"/>
      <c r="D968" s="851"/>
      <c r="E968" s="851"/>
      <c r="F968" s="851"/>
      <c r="G968" s="851"/>
      <c r="H968" s="851"/>
      <c r="I968" s="851"/>
      <c r="J968" s="851"/>
      <c r="K968" s="851"/>
      <c r="L968" s="851"/>
      <c r="M968" s="851"/>
    </row>
    <row r="969" spans="3:13" ht="14.25" customHeight="1">
      <c r="C969" s="851"/>
      <c r="D969" s="851"/>
      <c r="E969" s="851"/>
      <c r="F969" s="851"/>
      <c r="G969" s="851"/>
      <c r="H969" s="851"/>
      <c r="I969" s="851"/>
      <c r="J969" s="851"/>
      <c r="K969" s="851"/>
      <c r="L969" s="851"/>
      <c r="M969" s="851"/>
    </row>
    <row r="970" spans="3:13" ht="14.25" customHeight="1">
      <c r="C970" s="851"/>
      <c r="D970" s="851"/>
      <c r="E970" s="851"/>
      <c r="F970" s="851"/>
      <c r="G970" s="851"/>
      <c r="H970" s="851"/>
      <c r="I970" s="851"/>
      <c r="J970" s="851"/>
      <c r="K970" s="851"/>
      <c r="L970" s="851"/>
      <c r="M970" s="851"/>
    </row>
    <row r="971" spans="3:13" ht="14.25" customHeight="1">
      <c r="C971" s="851"/>
      <c r="D971" s="851"/>
      <c r="E971" s="851"/>
      <c r="F971" s="851"/>
      <c r="G971" s="851"/>
      <c r="H971" s="851"/>
      <c r="I971" s="851"/>
      <c r="J971" s="851"/>
      <c r="K971" s="851"/>
      <c r="L971" s="851"/>
      <c r="M971" s="851"/>
    </row>
    <row r="972" spans="3:13" ht="14.25" customHeight="1">
      <c r="C972" s="851"/>
      <c r="D972" s="851"/>
      <c r="E972" s="851"/>
      <c r="F972" s="851"/>
      <c r="G972" s="851"/>
      <c r="H972" s="851"/>
      <c r="I972" s="851"/>
      <c r="J972" s="851"/>
      <c r="K972" s="851"/>
      <c r="L972" s="851"/>
      <c r="M972" s="851"/>
    </row>
    <row r="973" spans="3:13" ht="14.25" customHeight="1">
      <c r="C973" s="851"/>
      <c r="D973" s="851"/>
      <c r="E973" s="851"/>
      <c r="F973" s="851"/>
      <c r="G973" s="851"/>
      <c r="H973" s="851"/>
      <c r="I973" s="851"/>
      <c r="J973" s="851"/>
      <c r="K973" s="851"/>
      <c r="L973" s="851"/>
      <c r="M973" s="851"/>
    </row>
    <row r="974" spans="3:13" ht="14.25" customHeight="1">
      <c r="C974" s="851"/>
      <c r="D974" s="851"/>
      <c r="E974" s="851"/>
      <c r="F974" s="851"/>
      <c r="G974" s="851"/>
      <c r="H974" s="851"/>
      <c r="I974" s="851"/>
      <c r="J974" s="851"/>
      <c r="K974" s="851"/>
      <c r="L974" s="851"/>
      <c r="M974" s="851"/>
    </row>
    <row r="975" spans="3:13" ht="14.25" customHeight="1">
      <c r="C975" s="851"/>
      <c r="D975" s="851"/>
      <c r="E975" s="851"/>
      <c r="F975" s="851"/>
      <c r="G975" s="851"/>
      <c r="H975" s="851"/>
      <c r="I975" s="851"/>
      <c r="J975" s="851"/>
      <c r="K975" s="851"/>
      <c r="L975" s="851"/>
      <c r="M975" s="851"/>
    </row>
    <row r="976" spans="3:13" ht="14.25" customHeight="1">
      <c r="C976" s="851"/>
      <c r="D976" s="851"/>
      <c r="E976" s="851"/>
      <c r="F976" s="851"/>
      <c r="G976" s="851"/>
      <c r="H976" s="851"/>
      <c r="I976" s="851"/>
      <c r="J976" s="851"/>
      <c r="K976" s="851"/>
      <c r="L976" s="851"/>
      <c r="M976" s="851"/>
    </row>
    <row r="977" spans="3:13" ht="14.25" customHeight="1">
      <c r="C977" s="851"/>
      <c r="D977" s="851"/>
      <c r="E977" s="851"/>
      <c r="F977" s="851"/>
      <c r="G977" s="851"/>
      <c r="H977" s="851"/>
      <c r="I977" s="851"/>
      <c r="J977" s="851"/>
      <c r="K977" s="851"/>
      <c r="L977" s="851"/>
      <c r="M977" s="851"/>
    </row>
    <row r="978" spans="3:13" ht="14.25" customHeight="1">
      <c r="C978" s="851"/>
      <c r="D978" s="851"/>
      <c r="E978" s="851"/>
      <c r="F978" s="851"/>
      <c r="G978" s="851"/>
      <c r="H978" s="851"/>
      <c r="I978" s="851"/>
      <c r="J978" s="851"/>
      <c r="K978" s="851"/>
      <c r="L978" s="851"/>
      <c r="M978" s="851"/>
    </row>
    <row r="979" spans="3:13" ht="14.25" customHeight="1">
      <c r="C979" s="851"/>
      <c r="D979" s="851"/>
      <c r="E979" s="851"/>
      <c r="F979" s="851"/>
      <c r="G979" s="851"/>
      <c r="H979" s="851"/>
      <c r="I979" s="851"/>
      <c r="J979" s="851"/>
      <c r="K979" s="851"/>
      <c r="L979" s="851"/>
      <c r="M979" s="851"/>
    </row>
    <row r="980" spans="3:13" ht="14.25" customHeight="1">
      <c r="C980" s="851"/>
      <c r="D980" s="851"/>
      <c r="E980" s="851"/>
      <c r="F980" s="851"/>
      <c r="G980" s="851"/>
      <c r="H980" s="851"/>
      <c r="I980" s="851"/>
      <c r="J980" s="851"/>
      <c r="K980" s="851"/>
      <c r="L980" s="851"/>
      <c r="M980" s="851"/>
    </row>
    <row r="981" spans="3:13" ht="14.25" customHeight="1">
      <c r="C981" s="851"/>
      <c r="D981" s="851"/>
      <c r="E981" s="851"/>
      <c r="F981" s="851"/>
      <c r="G981" s="851"/>
      <c r="H981" s="851"/>
      <c r="I981" s="851"/>
      <c r="J981" s="851"/>
      <c r="K981" s="851"/>
      <c r="L981" s="851"/>
      <c r="M981" s="851"/>
    </row>
    <row r="982" spans="3:13" ht="14.25" customHeight="1">
      <c r="C982" s="851"/>
      <c r="D982" s="851"/>
      <c r="E982" s="851"/>
      <c r="F982" s="851"/>
      <c r="G982" s="851"/>
      <c r="H982" s="851"/>
      <c r="I982" s="851"/>
      <c r="J982" s="851"/>
      <c r="K982" s="851"/>
      <c r="L982" s="851"/>
      <c r="M982" s="851"/>
    </row>
    <row r="983" spans="3:13" ht="14.25" customHeight="1">
      <c r="C983" s="851"/>
      <c r="D983" s="851"/>
      <c r="E983" s="851"/>
      <c r="F983" s="851"/>
      <c r="G983" s="851"/>
      <c r="H983" s="851"/>
      <c r="I983" s="851"/>
      <c r="J983" s="851"/>
      <c r="K983" s="851"/>
      <c r="L983" s="851"/>
      <c r="M983" s="851"/>
    </row>
    <row r="984" spans="3:13" ht="14.25" customHeight="1">
      <c r="C984" s="851"/>
      <c r="D984" s="851"/>
      <c r="E984" s="851"/>
      <c r="F984" s="851"/>
      <c r="G984" s="851"/>
      <c r="H984" s="851"/>
      <c r="I984" s="851"/>
      <c r="J984" s="851"/>
      <c r="K984" s="851"/>
      <c r="L984" s="851"/>
      <c r="M984" s="851"/>
    </row>
    <row r="985" spans="3:13" ht="14.25" customHeight="1">
      <c r="C985" s="851"/>
      <c r="D985" s="851"/>
      <c r="E985" s="851"/>
      <c r="F985" s="851"/>
      <c r="G985" s="851"/>
      <c r="H985" s="851"/>
      <c r="I985" s="851"/>
      <c r="J985" s="851"/>
      <c r="K985" s="851"/>
      <c r="L985" s="851"/>
      <c r="M985" s="851"/>
    </row>
    <row r="986" spans="3:13" ht="14.25" customHeight="1">
      <c r="C986" s="851"/>
      <c r="D986" s="851"/>
      <c r="E986" s="851"/>
      <c r="F986" s="851"/>
      <c r="G986" s="851"/>
      <c r="H986" s="851"/>
      <c r="I986" s="851"/>
      <c r="J986" s="851"/>
      <c r="K986" s="851"/>
      <c r="L986" s="851"/>
      <c r="M986" s="851"/>
    </row>
    <row r="987" spans="3:13" ht="14.25" customHeight="1">
      <c r="C987" s="851"/>
      <c r="D987" s="851"/>
      <c r="E987" s="851"/>
      <c r="F987" s="851"/>
      <c r="G987" s="851"/>
      <c r="H987" s="851"/>
      <c r="I987" s="851"/>
      <c r="J987" s="851"/>
      <c r="K987" s="851"/>
      <c r="L987" s="851"/>
      <c r="M987" s="851"/>
    </row>
    <row r="988" spans="3:13" ht="14.25" customHeight="1">
      <c r="C988" s="851"/>
      <c r="D988" s="851"/>
      <c r="E988" s="851"/>
      <c r="F988" s="851"/>
      <c r="G988" s="851"/>
      <c r="H988" s="851"/>
      <c r="I988" s="851"/>
      <c r="J988" s="851"/>
      <c r="K988" s="851"/>
      <c r="L988" s="851"/>
      <c r="M988" s="851"/>
    </row>
    <row r="989" spans="3:13" ht="14.25" customHeight="1">
      <c r="C989" s="851"/>
      <c r="D989" s="851"/>
      <c r="E989" s="851"/>
      <c r="F989" s="851"/>
      <c r="G989" s="851"/>
      <c r="H989" s="851"/>
      <c r="I989" s="851"/>
      <c r="J989" s="851"/>
      <c r="K989" s="851"/>
      <c r="L989" s="851"/>
      <c r="M989" s="851"/>
    </row>
    <row r="990" spans="3:13" ht="14.25" customHeight="1">
      <c r="C990" s="851"/>
      <c r="D990" s="851"/>
      <c r="E990" s="851"/>
      <c r="F990" s="851"/>
      <c r="G990" s="851"/>
      <c r="H990" s="851"/>
      <c r="I990" s="851"/>
      <c r="J990" s="851"/>
      <c r="K990" s="851"/>
      <c r="L990" s="851"/>
      <c r="M990" s="851"/>
    </row>
    <row r="991" spans="3:13" ht="14.25" customHeight="1">
      <c r="C991" s="851"/>
      <c r="D991" s="851"/>
      <c r="E991" s="851"/>
      <c r="F991" s="851"/>
      <c r="G991" s="851"/>
      <c r="H991" s="851"/>
      <c r="I991" s="851"/>
      <c r="J991" s="851"/>
      <c r="K991" s="851"/>
      <c r="L991" s="851"/>
      <c r="M991" s="851"/>
    </row>
    <row r="992" spans="3:13" ht="14.25" customHeight="1">
      <c r="C992" s="851"/>
      <c r="D992" s="851"/>
      <c r="E992" s="851"/>
      <c r="F992" s="851"/>
      <c r="G992" s="851"/>
      <c r="H992" s="851"/>
      <c r="I992" s="851"/>
      <c r="J992" s="851"/>
      <c r="K992" s="851"/>
      <c r="L992" s="851"/>
      <c r="M992" s="851"/>
    </row>
  </sheetData>
  <mergeCells count="13">
    <mergeCell ref="L6:L7"/>
    <mergeCell ref="M6:M7"/>
    <mergeCell ref="N6:N7"/>
    <mergeCell ref="F6:F7"/>
    <mergeCell ref="G6:G7"/>
    <mergeCell ref="H6:H7"/>
    <mergeCell ref="I6:J6"/>
    <mergeCell ref="K6:K7"/>
    <mergeCell ref="A6:A7"/>
    <mergeCell ref="B6:B7"/>
    <mergeCell ref="C6:C7"/>
    <mergeCell ref="D6:D7"/>
    <mergeCell ref="E6:E7"/>
  </mergeCells>
  <pageMargins left="0.7" right="0.7" top="0.75" bottom="0.75" header="0.511811023622047" footer="0.511811023622047"/>
  <pageSetup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R376"/>
  <sheetViews>
    <sheetView topLeftCell="A6" zoomScale="85" zoomScaleNormal="85" workbookViewId="0">
      <pane ySplit="1" topLeftCell="A160" activePane="bottomLeft" state="frozen"/>
      <selection activeCell="A6" sqref="A6"/>
      <selection pane="bottomLeft" activeCell="K177" sqref="K177"/>
    </sheetView>
  </sheetViews>
  <sheetFormatPr baseColWidth="10" defaultColWidth="9.1640625" defaultRowHeight="15"/>
  <cols>
    <col min="1" max="1" width="9.1640625" style="838"/>
    <col min="2" max="2" width="53.5" style="838" customWidth="1"/>
    <col min="3" max="10" width="12.5" style="838" customWidth="1"/>
    <col min="11" max="11" width="10.5" style="838" customWidth="1"/>
    <col min="12" max="12" width="9.5" style="838" customWidth="1"/>
    <col min="13" max="13" width="14.5" style="838" customWidth="1"/>
    <col min="14" max="14" width="6.5" style="838" customWidth="1"/>
    <col min="15" max="15" width="12.5" style="838" customWidth="1"/>
    <col min="16" max="16384" width="9.1640625" style="838"/>
  </cols>
  <sheetData>
    <row r="1" spans="1:15" ht="15.75" customHeight="1">
      <c r="A1" s="442"/>
      <c r="B1" s="442"/>
      <c r="C1" s="442"/>
      <c r="D1" s="442"/>
      <c r="E1" s="442"/>
      <c r="F1" s="442"/>
      <c r="G1" s="442"/>
      <c r="H1" s="442"/>
      <c r="I1" s="442"/>
      <c r="J1" s="442"/>
      <c r="K1" s="442"/>
      <c r="L1" s="442"/>
      <c r="M1" s="442"/>
      <c r="N1" s="442"/>
      <c r="O1" s="442"/>
    </row>
    <row r="2" spans="1:15" ht="15.75" customHeight="1">
      <c r="A2" s="442"/>
      <c r="B2" s="442"/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</row>
    <row r="3" spans="1:15" ht="15.75" customHeight="1">
      <c r="A3" s="442"/>
      <c r="B3" s="442"/>
      <c r="C3" s="442"/>
      <c r="D3" s="442"/>
      <c r="E3" s="442"/>
      <c r="F3" s="442"/>
      <c r="G3" s="442"/>
      <c r="H3" s="442"/>
      <c r="I3" s="442"/>
      <c r="J3" s="442"/>
      <c r="K3" s="442"/>
      <c r="L3" s="442"/>
      <c r="M3" s="442"/>
      <c r="N3" s="442"/>
      <c r="O3" s="442"/>
    </row>
    <row r="4" spans="1:15" ht="24" customHeight="1">
      <c r="A4" s="852" t="s">
        <v>76</v>
      </c>
      <c r="B4" s="442"/>
      <c r="C4" s="442"/>
      <c r="D4" s="442"/>
      <c r="E4" s="442"/>
      <c r="F4" s="442"/>
      <c r="G4" s="442"/>
      <c r="H4" s="442"/>
      <c r="I4" s="442"/>
      <c r="J4" s="442"/>
      <c r="K4" s="442"/>
      <c r="L4" s="442"/>
      <c r="M4" s="442"/>
      <c r="N4" s="442"/>
      <c r="O4" s="442"/>
    </row>
    <row r="5" spans="1:15" ht="15.75" customHeight="1">
      <c r="A5" s="442"/>
      <c r="B5" s="442"/>
      <c r="C5" s="442"/>
      <c r="D5" s="442"/>
      <c r="E5" s="442"/>
      <c r="F5" s="442"/>
      <c r="G5" s="442"/>
      <c r="H5" s="442"/>
      <c r="I5" s="442"/>
      <c r="J5" s="442"/>
      <c r="K5" s="442"/>
      <c r="L5" s="442"/>
      <c r="M5" s="442"/>
      <c r="N5" s="442"/>
      <c r="O5" s="442"/>
    </row>
    <row r="6" spans="1:15" ht="30" customHeight="1">
      <c r="A6" s="853" t="s">
        <v>1</v>
      </c>
      <c r="B6" s="854" t="s">
        <v>68</v>
      </c>
      <c r="C6" s="854" t="s">
        <v>77</v>
      </c>
      <c r="D6" s="854" t="s">
        <v>78</v>
      </c>
      <c r="E6" s="854" t="s">
        <v>79</v>
      </c>
      <c r="F6" s="854" t="s">
        <v>213</v>
      </c>
      <c r="G6" s="854" t="s">
        <v>978</v>
      </c>
      <c r="H6" s="854" t="s">
        <v>977</v>
      </c>
      <c r="I6" s="855" t="s">
        <v>1095</v>
      </c>
      <c r="J6" s="855" t="s">
        <v>1096</v>
      </c>
      <c r="K6" s="854" t="s">
        <v>6</v>
      </c>
      <c r="L6" s="854" t="s">
        <v>80</v>
      </c>
      <c r="M6" s="854" t="s">
        <v>81</v>
      </c>
      <c r="N6" s="856" t="s">
        <v>82</v>
      </c>
      <c r="O6" s="442"/>
    </row>
    <row r="7" spans="1:15" ht="7.5" customHeight="1">
      <c r="A7" s="442"/>
      <c r="B7" s="442"/>
      <c r="C7" s="442"/>
      <c r="D7" s="442"/>
      <c r="E7" s="442"/>
      <c r="F7" s="442"/>
      <c r="G7" s="442"/>
      <c r="H7" s="442"/>
      <c r="I7" s="442"/>
      <c r="J7" s="442"/>
      <c r="K7" s="442"/>
      <c r="L7" s="442"/>
      <c r="M7" s="442"/>
      <c r="N7" s="442"/>
      <c r="O7" s="442"/>
    </row>
    <row r="8" spans="1:15" ht="7.5" customHeight="1">
      <c r="A8" s="857"/>
      <c r="B8" s="858"/>
      <c r="C8" s="858"/>
      <c r="D8" s="858"/>
      <c r="E8" s="858"/>
      <c r="F8" s="858"/>
      <c r="G8" s="858"/>
      <c r="H8" s="858"/>
      <c r="I8" s="858"/>
      <c r="J8" s="858"/>
      <c r="K8" s="858"/>
      <c r="L8" s="858"/>
      <c r="M8" s="858"/>
      <c r="N8" s="859"/>
      <c r="O8" s="442"/>
    </row>
    <row r="9" spans="1:15" ht="15.75" customHeight="1">
      <c r="A9" s="425" t="s">
        <v>1312</v>
      </c>
      <c r="B9" s="426" t="s">
        <v>1313</v>
      </c>
      <c r="C9" s="428"/>
      <c r="D9" s="428"/>
      <c r="E9" s="428"/>
      <c r="F9" s="390"/>
      <c r="G9" s="390"/>
      <c r="H9" s="390"/>
      <c r="I9" s="390"/>
      <c r="J9" s="390"/>
      <c r="K9" s="428"/>
      <c r="L9" s="428"/>
      <c r="M9" s="390"/>
      <c r="N9" s="839"/>
      <c r="O9" s="442"/>
    </row>
    <row r="10" spans="1:15" ht="15.75" customHeight="1">
      <c r="A10" s="425" t="s">
        <v>1314</v>
      </c>
      <c r="B10" s="446" t="s">
        <v>395</v>
      </c>
      <c r="C10" s="428"/>
      <c r="D10" s="428"/>
      <c r="E10" s="428"/>
      <c r="F10" s="390"/>
      <c r="G10" s="390"/>
      <c r="H10" s="390"/>
      <c r="I10" s="390"/>
      <c r="J10" s="390"/>
      <c r="K10" s="428"/>
      <c r="L10" s="428"/>
      <c r="M10" s="390"/>
      <c r="N10" s="839"/>
      <c r="O10" s="442"/>
    </row>
    <row r="11" spans="1:15" ht="15.75" customHeight="1">
      <c r="A11" s="429">
        <v>1</v>
      </c>
      <c r="B11" s="389" t="s">
        <v>396</v>
      </c>
      <c r="C11" s="428"/>
      <c r="D11" s="428"/>
      <c r="E11" s="428"/>
      <c r="F11" s="390"/>
      <c r="G11" s="390"/>
      <c r="H11" s="390"/>
      <c r="I11" s="390"/>
      <c r="J11" s="390"/>
      <c r="K11" s="428"/>
      <c r="L11" s="428"/>
      <c r="M11" s="390"/>
      <c r="N11" s="839"/>
      <c r="O11" s="442"/>
    </row>
    <row r="12" spans="1:15" ht="15.75" customHeight="1">
      <c r="A12" s="429"/>
      <c r="B12" s="389"/>
      <c r="C12" s="428">
        <f>4+1</f>
        <v>5</v>
      </c>
      <c r="D12" s="428"/>
      <c r="E12" s="428"/>
      <c r="F12" s="390"/>
      <c r="G12" s="390"/>
      <c r="H12" s="390">
        <v>2</v>
      </c>
      <c r="I12" s="390"/>
      <c r="J12" s="390"/>
      <c r="K12" s="428"/>
      <c r="L12" s="428"/>
      <c r="M12" s="390">
        <f>C12*H12</f>
        <v>10</v>
      </c>
      <c r="N12" s="839"/>
      <c r="O12" s="442"/>
    </row>
    <row r="13" spans="1:15" ht="15.75" customHeight="1">
      <c r="A13" s="429"/>
      <c r="B13" s="389"/>
      <c r="C13" s="428"/>
      <c r="D13" s="428">
        <f>4+1</f>
        <v>5</v>
      </c>
      <c r="E13" s="428"/>
      <c r="F13" s="390"/>
      <c r="G13" s="390"/>
      <c r="H13" s="390">
        <f>H12</f>
        <v>2</v>
      </c>
      <c r="I13" s="390"/>
      <c r="J13" s="390"/>
      <c r="K13" s="428"/>
      <c r="L13" s="428"/>
      <c r="M13" s="590">
        <f>D13*H13</f>
        <v>10</v>
      </c>
      <c r="N13" s="839"/>
      <c r="O13" s="442"/>
    </row>
    <row r="14" spans="1:15" ht="15.75" customHeight="1">
      <c r="A14" s="429"/>
      <c r="B14" s="389"/>
      <c r="C14" s="428"/>
      <c r="D14" s="428"/>
      <c r="E14" s="428"/>
      <c r="F14" s="390"/>
      <c r="G14" s="390"/>
      <c r="H14" s="390"/>
      <c r="I14" s="390"/>
      <c r="J14" s="390"/>
      <c r="K14" s="428"/>
      <c r="L14" s="428"/>
      <c r="M14" s="390">
        <f>SUM(M12:M13)</f>
        <v>20</v>
      </c>
      <c r="N14" s="839" t="s">
        <v>117</v>
      </c>
      <c r="O14" s="860">
        <f>ROUND((M14),2)</f>
        <v>20</v>
      </c>
    </row>
    <row r="15" spans="1:15" ht="15.75" customHeight="1">
      <c r="A15" s="429">
        <f>A11+1</f>
        <v>2</v>
      </c>
      <c r="B15" s="389" t="s">
        <v>724</v>
      </c>
      <c r="C15" s="428"/>
      <c r="D15" s="428"/>
      <c r="E15" s="428"/>
      <c r="F15" s="390"/>
      <c r="G15" s="390"/>
      <c r="H15" s="390"/>
      <c r="I15" s="390"/>
      <c r="J15" s="390"/>
      <c r="K15" s="428"/>
      <c r="L15" s="428"/>
      <c r="M15" s="390"/>
      <c r="N15" s="839"/>
      <c r="O15" s="442"/>
    </row>
    <row r="16" spans="1:15" ht="15.75" customHeight="1">
      <c r="A16" s="430" t="s">
        <v>95</v>
      </c>
      <c r="B16" s="389" t="s">
        <v>694</v>
      </c>
      <c r="C16" s="428">
        <f>1+0.1+0.1</f>
        <v>1.2000000000000002</v>
      </c>
      <c r="D16" s="428">
        <f>1+0.1+0.1</f>
        <v>1.2000000000000002</v>
      </c>
      <c r="E16" s="428">
        <f>0.6+0.05+0.05</f>
        <v>0.70000000000000007</v>
      </c>
      <c r="F16" s="390"/>
      <c r="G16" s="390"/>
      <c r="H16" s="390"/>
      <c r="I16" s="390"/>
      <c r="J16" s="390"/>
      <c r="K16" s="428"/>
      <c r="L16" s="428">
        <v>4</v>
      </c>
      <c r="M16" s="390">
        <f>C16*D16*E16</f>
        <v>1.0080000000000005</v>
      </c>
      <c r="N16" s="839" t="s">
        <v>103</v>
      </c>
      <c r="O16" s="860">
        <f t="shared" ref="O16:O25" si="0">ROUND((M16),2)</f>
        <v>1.01</v>
      </c>
    </row>
    <row r="17" spans="1:15" ht="15.75" customHeight="1">
      <c r="A17" s="430" t="s">
        <v>98</v>
      </c>
      <c r="B17" s="861" t="s">
        <v>405</v>
      </c>
      <c r="C17" s="428"/>
      <c r="D17" s="428"/>
      <c r="E17" s="428">
        <v>4</v>
      </c>
      <c r="F17" s="390"/>
      <c r="G17" s="390"/>
      <c r="H17" s="390"/>
      <c r="I17" s="390"/>
      <c r="J17" s="390"/>
      <c r="K17" s="428">
        <v>9</v>
      </c>
      <c r="L17" s="428">
        <f>L16</f>
        <v>4</v>
      </c>
      <c r="M17" s="390">
        <f>E17*K17*L17</f>
        <v>144</v>
      </c>
      <c r="N17" s="839" t="s">
        <v>117</v>
      </c>
      <c r="O17" s="860">
        <f t="shared" si="0"/>
        <v>144</v>
      </c>
    </row>
    <row r="18" spans="1:15" ht="15.75" customHeight="1">
      <c r="A18" s="430" t="s">
        <v>101</v>
      </c>
      <c r="B18" s="389" t="s">
        <v>725</v>
      </c>
      <c r="C18" s="428">
        <f>C16</f>
        <v>1.2000000000000002</v>
      </c>
      <c r="D18" s="428">
        <f>D16</f>
        <v>1.2000000000000002</v>
      </c>
      <c r="E18" s="428">
        <f>E16-0.6-0.05</f>
        <v>5.0000000000000086E-2</v>
      </c>
      <c r="F18" s="390"/>
      <c r="G18" s="390"/>
      <c r="H18" s="390"/>
      <c r="I18" s="390"/>
      <c r="J18" s="390"/>
      <c r="K18" s="428"/>
      <c r="L18" s="428">
        <v>4</v>
      </c>
      <c r="M18" s="390">
        <f>C18*D18*E18</f>
        <v>7.2000000000000147E-2</v>
      </c>
      <c r="N18" s="839" t="s">
        <v>103</v>
      </c>
      <c r="O18" s="860">
        <f t="shared" si="0"/>
        <v>7.0000000000000007E-2</v>
      </c>
    </row>
    <row r="19" spans="1:15" ht="15.75" customHeight="1">
      <c r="A19" s="430" t="s">
        <v>121</v>
      </c>
      <c r="B19" s="389" t="s">
        <v>496</v>
      </c>
      <c r="C19" s="428">
        <f>C18</f>
        <v>1.2000000000000002</v>
      </c>
      <c r="D19" s="428">
        <f>D18</f>
        <v>1.2000000000000002</v>
      </c>
      <c r="E19" s="428">
        <f>E18</f>
        <v>5.0000000000000086E-2</v>
      </c>
      <c r="F19" s="390"/>
      <c r="G19" s="390"/>
      <c r="H19" s="390"/>
      <c r="I19" s="390"/>
      <c r="J19" s="390"/>
      <c r="K19" s="428"/>
      <c r="L19" s="428">
        <v>4</v>
      </c>
      <c r="M19" s="390">
        <f>C19*D19*E19</f>
        <v>7.2000000000000147E-2</v>
      </c>
      <c r="N19" s="839" t="s">
        <v>103</v>
      </c>
      <c r="O19" s="860">
        <f t="shared" si="0"/>
        <v>7.0000000000000007E-2</v>
      </c>
    </row>
    <row r="20" spans="1:15" ht="15.75" customHeight="1">
      <c r="A20" s="430" t="s">
        <v>142</v>
      </c>
      <c r="B20" s="389" t="s">
        <v>401</v>
      </c>
      <c r="C20" s="428">
        <f>C19</f>
        <v>1.2000000000000002</v>
      </c>
      <c r="D20" s="428"/>
      <c r="E20" s="428">
        <f>E16-E18-E19</f>
        <v>0.6</v>
      </c>
      <c r="F20" s="390"/>
      <c r="G20" s="390"/>
      <c r="H20" s="390">
        <v>4</v>
      </c>
      <c r="I20" s="390"/>
      <c r="J20" s="390"/>
      <c r="K20" s="428"/>
      <c r="L20" s="428">
        <f>L19</f>
        <v>4</v>
      </c>
      <c r="M20" s="390">
        <f>C20*E20*H20*L20</f>
        <v>11.520000000000001</v>
      </c>
      <c r="N20" s="839" t="s">
        <v>89</v>
      </c>
      <c r="O20" s="860">
        <f t="shared" si="0"/>
        <v>11.52</v>
      </c>
    </row>
    <row r="21" spans="1:15" ht="15.75" customHeight="1">
      <c r="A21" s="430" t="s">
        <v>217</v>
      </c>
      <c r="B21" s="389" t="s">
        <v>726</v>
      </c>
      <c r="C21" s="428">
        <f>1-0.075-0.075</f>
        <v>0.85000000000000009</v>
      </c>
      <c r="D21" s="428"/>
      <c r="E21" s="428"/>
      <c r="F21" s="390">
        <f>16*16*0.006165</f>
        <v>1.5782400000000001</v>
      </c>
      <c r="G21" s="390">
        <f>(0.6/2)-0.075</f>
        <v>0.22499999999999998</v>
      </c>
      <c r="H21" s="390">
        <v>4</v>
      </c>
      <c r="I21" s="390"/>
      <c r="J21" s="390"/>
      <c r="K21" s="428">
        <f>ROUNDUP((C21/0.15),0.1)</f>
        <v>6</v>
      </c>
      <c r="L21" s="428">
        <f>L20</f>
        <v>4</v>
      </c>
      <c r="M21" s="390">
        <f>(C21+G21)*F21*H21*K21*L21</f>
        <v>162.87436800000003</v>
      </c>
      <c r="N21" s="839" t="s">
        <v>100</v>
      </c>
      <c r="O21" s="860">
        <f t="shared" si="0"/>
        <v>162.87</v>
      </c>
    </row>
    <row r="22" spans="1:15" ht="15.75" customHeight="1">
      <c r="A22" s="430" t="s">
        <v>366</v>
      </c>
      <c r="B22" s="389" t="s">
        <v>1106</v>
      </c>
      <c r="C22" s="428">
        <v>0.5</v>
      </c>
      <c r="D22" s="428"/>
      <c r="E22" s="428"/>
      <c r="F22" s="390">
        <f>13*13*0.006165</f>
        <v>1.041885</v>
      </c>
      <c r="G22" s="390">
        <f>0.05*2</f>
        <v>0.1</v>
      </c>
      <c r="H22" s="390"/>
      <c r="I22" s="390"/>
      <c r="J22" s="390"/>
      <c r="K22" s="428">
        <f>ROUNDUP((C22/0.15),0.1)</f>
        <v>4</v>
      </c>
      <c r="L22" s="428">
        <f>L21</f>
        <v>4</v>
      </c>
      <c r="M22" s="390">
        <f>(C22+G22)*F22*K22*L22</f>
        <v>10.002096</v>
      </c>
      <c r="N22" s="839" t="s">
        <v>100</v>
      </c>
      <c r="O22" s="860">
        <f t="shared" si="0"/>
        <v>10</v>
      </c>
    </row>
    <row r="23" spans="1:15" ht="15.75" customHeight="1">
      <c r="A23" s="430" t="s">
        <v>476</v>
      </c>
      <c r="B23" s="389" t="s">
        <v>992</v>
      </c>
      <c r="C23" s="428">
        <f>C19</f>
        <v>1.2000000000000002</v>
      </c>
      <c r="D23" s="428">
        <f>D19</f>
        <v>1.2000000000000002</v>
      </c>
      <c r="E23" s="428">
        <v>0.6</v>
      </c>
      <c r="F23" s="390"/>
      <c r="G23" s="390"/>
      <c r="H23" s="390"/>
      <c r="I23" s="390"/>
      <c r="J23" s="390"/>
      <c r="K23" s="428"/>
      <c r="L23" s="428">
        <f>L22</f>
        <v>4</v>
      </c>
      <c r="M23" s="390">
        <f>C23*D23*E23*L23</f>
        <v>3.4560000000000008</v>
      </c>
      <c r="N23" s="839" t="s">
        <v>103</v>
      </c>
      <c r="O23" s="860">
        <f t="shared" si="0"/>
        <v>3.46</v>
      </c>
    </row>
    <row r="24" spans="1:15" ht="15.75" customHeight="1">
      <c r="A24" s="430" t="s">
        <v>728</v>
      </c>
      <c r="B24" s="389" t="s">
        <v>1315</v>
      </c>
      <c r="C24" s="428"/>
      <c r="D24" s="428"/>
      <c r="E24" s="428"/>
      <c r="F24" s="390"/>
      <c r="G24" s="390"/>
      <c r="H24" s="390"/>
      <c r="I24" s="390"/>
      <c r="J24" s="390"/>
      <c r="K24" s="428"/>
      <c r="L24" s="428"/>
      <c r="M24" s="390">
        <f>M23</f>
        <v>3.4560000000000008</v>
      </c>
      <c r="N24" s="839" t="s">
        <v>103</v>
      </c>
      <c r="O24" s="860">
        <f t="shared" si="0"/>
        <v>3.46</v>
      </c>
    </row>
    <row r="25" spans="1:15" ht="15.75" customHeight="1">
      <c r="A25" s="430" t="s">
        <v>1112</v>
      </c>
      <c r="B25" s="389" t="s">
        <v>729</v>
      </c>
      <c r="C25" s="428"/>
      <c r="D25" s="428"/>
      <c r="E25" s="428"/>
      <c r="F25" s="390"/>
      <c r="G25" s="390"/>
      <c r="H25" s="390"/>
      <c r="I25" s="390"/>
      <c r="J25" s="390"/>
      <c r="K25" s="428"/>
      <c r="L25" s="428"/>
      <c r="M25" s="390">
        <f>M24</f>
        <v>3.4560000000000008</v>
      </c>
      <c r="N25" s="839" t="s">
        <v>103</v>
      </c>
      <c r="O25" s="860">
        <f t="shared" si="0"/>
        <v>3.46</v>
      </c>
    </row>
    <row r="26" spans="1:15" ht="15.75" customHeight="1">
      <c r="A26" s="429">
        <f>A15+1</f>
        <v>3</v>
      </c>
      <c r="B26" s="389" t="s">
        <v>730</v>
      </c>
      <c r="C26" s="428"/>
      <c r="D26" s="428"/>
      <c r="E26" s="428"/>
      <c r="F26" s="390"/>
      <c r="G26" s="390"/>
      <c r="H26" s="390"/>
      <c r="I26" s="390"/>
      <c r="J26" s="390"/>
      <c r="K26" s="428"/>
      <c r="L26" s="428"/>
      <c r="M26" s="390"/>
      <c r="N26" s="839"/>
      <c r="O26" s="442"/>
    </row>
    <row r="27" spans="1:15" ht="15.75" customHeight="1">
      <c r="A27" s="430" t="s">
        <v>95</v>
      </c>
      <c r="B27" s="389" t="s">
        <v>694</v>
      </c>
      <c r="C27" s="428"/>
      <c r="D27" s="428"/>
      <c r="E27" s="428"/>
      <c r="F27" s="390"/>
      <c r="G27" s="390"/>
      <c r="H27" s="390"/>
      <c r="I27" s="390"/>
      <c r="J27" s="390"/>
      <c r="K27" s="428"/>
      <c r="L27" s="428"/>
      <c r="M27" s="390"/>
      <c r="N27" s="839"/>
      <c r="O27" s="442"/>
    </row>
    <row r="28" spans="1:15" ht="15.75" customHeight="1">
      <c r="A28" s="430"/>
      <c r="B28" s="682" t="s">
        <v>1044</v>
      </c>
      <c r="C28" s="428">
        <v>3</v>
      </c>
      <c r="D28" s="428">
        <f>0.3+0.1+0.1</f>
        <v>0.5</v>
      </c>
      <c r="E28" s="428">
        <v>0.4</v>
      </c>
      <c r="F28" s="390"/>
      <c r="G28" s="390"/>
      <c r="H28" s="390"/>
      <c r="I28" s="390"/>
      <c r="J28" s="390"/>
      <c r="K28" s="428"/>
      <c r="L28" s="428">
        <v>2</v>
      </c>
      <c r="M28" s="390">
        <f>C28*D28*E28*L28</f>
        <v>1.2000000000000002</v>
      </c>
      <c r="N28" s="839"/>
      <c r="O28" s="442"/>
    </row>
    <row r="29" spans="1:15" ht="15.75" customHeight="1">
      <c r="A29" s="430"/>
      <c r="B29" s="682" t="s">
        <v>136</v>
      </c>
      <c r="C29" s="428">
        <v>3</v>
      </c>
      <c r="D29" s="428">
        <f>D28</f>
        <v>0.5</v>
      </c>
      <c r="E29" s="428">
        <f>E28</f>
        <v>0.4</v>
      </c>
      <c r="F29" s="390"/>
      <c r="G29" s="390"/>
      <c r="H29" s="390"/>
      <c r="I29" s="390"/>
      <c r="J29" s="390"/>
      <c r="K29" s="428"/>
      <c r="L29" s="428">
        <v>2</v>
      </c>
      <c r="M29" s="590">
        <f>C29*D29*E29*L29</f>
        <v>1.2000000000000002</v>
      </c>
      <c r="N29" s="839"/>
      <c r="O29" s="442"/>
    </row>
    <row r="30" spans="1:15" ht="15.75" customHeight="1">
      <c r="A30" s="430"/>
      <c r="B30" s="389"/>
      <c r="C30" s="428"/>
      <c r="D30" s="428"/>
      <c r="E30" s="428"/>
      <c r="F30" s="390"/>
      <c r="G30" s="390"/>
      <c r="H30" s="390"/>
      <c r="I30" s="390"/>
      <c r="J30" s="390"/>
      <c r="K30" s="428"/>
      <c r="L30" s="428"/>
      <c r="M30" s="390">
        <f>SUM(M28:M29)</f>
        <v>2.4000000000000004</v>
      </c>
      <c r="N30" s="839" t="s">
        <v>103</v>
      </c>
      <c r="O30" s="860">
        <f>ROUND((M30),2)</f>
        <v>2.4</v>
      </c>
    </row>
    <row r="31" spans="1:15" ht="15.75" customHeight="1">
      <c r="A31" s="430" t="s">
        <v>98</v>
      </c>
      <c r="B31" s="389" t="s">
        <v>725</v>
      </c>
      <c r="C31" s="428"/>
      <c r="D31" s="428"/>
      <c r="E31" s="428"/>
      <c r="F31" s="390"/>
      <c r="G31" s="390"/>
      <c r="H31" s="390"/>
      <c r="I31" s="390"/>
      <c r="J31" s="390"/>
      <c r="K31" s="428"/>
      <c r="L31" s="428"/>
      <c r="M31" s="390"/>
      <c r="N31" s="839"/>
      <c r="O31" s="442"/>
    </row>
    <row r="32" spans="1:15" ht="15.75" customHeight="1">
      <c r="A32" s="430"/>
      <c r="B32" s="682" t="str">
        <f>B28</f>
        <v>Horisontal</v>
      </c>
      <c r="C32" s="428">
        <f>C28</f>
        <v>3</v>
      </c>
      <c r="D32" s="428">
        <f>D28</f>
        <v>0.5</v>
      </c>
      <c r="E32" s="428">
        <v>0.05</v>
      </c>
      <c r="F32" s="390"/>
      <c r="G32" s="390"/>
      <c r="H32" s="390"/>
      <c r="I32" s="390"/>
      <c r="J32" s="390"/>
      <c r="K32" s="428"/>
      <c r="L32" s="428">
        <f>L28</f>
        <v>2</v>
      </c>
      <c r="M32" s="390">
        <f>C32*D32*E32*L32</f>
        <v>0.15000000000000002</v>
      </c>
      <c r="N32" s="839"/>
      <c r="O32" s="442"/>
    </row>
    <row r="33" spans="1:15" ht="15.75" customHeight="1">
      <c r="A33" s="430"/>
      <c r="B33" s="682" t="str">
        <f>B29</f>
        <v>Vertikal</v>
      </c>
      <c r="C33" s="428">
        <f>C29</f>
        <v>3</v>
      </c>
      <c r="D33" s="428">
        <f>D32</f>
        <v>0.5</v>
      </c>
      <c r="E33" s="428">
        <f>E32</f>
        <v>0.05</v>
      </c>
      <c r="F33" s="390"/>
      <c r="G33" s="390"/>
      <c r="H33" s="390"/>
      <c r="I33" s="390"/>
      <c r="J33" s="390"/>
      <c r="K33" s="428"/>
      <c r="L33" s="428">
        <f>L29</f>
        <v>2</v>
      </c>
      <c r="M33" s="590">
        <f>C33*D33*E33*L33</f>
        <v>0.15000000000000002</v>
      </c>
      <c r="N33" s="839"/>
      <c r="O33" s="442"/>
    </row>
    <row r="34" spans="1:15" ht="15.75" customHeight="1">
      <c r="A34" s="430"/>
      <c r="B34" s="389"/>
      <c r="C34" s="428"/>
      <c r="D34" s="428"/>
      <c r="E34" s="428"/>
      <c r="F34" s="390"/>
      <c r="G34" s="390"/>
      <c r="H34" s="390"/>
      <c r="I34" s="390"/>
      <c r="J34" s="390"/>
      <c r="K34" s="428"/>
      <c r="L34" s="428"/>
      <c r="M34" s="390">
        <f>SUM(M32:M33)</f>
        <v>0.30000000000000004</v>
      </c>
      <c r="N34" s="839" t="s">
        <v>103</v>
      </c>
      <c r="O34" s="860">
        <f>ROUND((M34),2)</f>
        <v>0.3</v>
      </c>
    </row>
    <row r="35" spans="1:15" ht="15.75" customHeight="1">
      <c r="A35" s="430" t="s">
        <v>101</v>
      </c>
      <c r="B35" s="389" t="s">
        <v>496</v>
      </c>
      <c r="C35" s="428"/>
      <c r="D35" s="428"/>
      <c r="E35" s="428"/>
      <c r="F35" s="390"/>
      <c r="G35" s="390"/>
      <c r="H35" s="390"/>
      <c r="I35" s="390"/>
      <c r="J35" s="390"/>
      <c r="K35" s="428"/>
      <c r="L35" s="428"/>
      <c r="M35" s="390"/>
      <c r="N35" s="839"/>
      <c r="O35" s="442"/>
    </row>
    <row r="36" spans="1:15" ht="15.75" customHeight="1">
      <c r="A36" s="430"/>
      <c r="B36" s="682" t="str">
        <f t="shared" ref="B36:D37" si="1">B32</f>
        <v>Horisontal</v>
      </c>
      <c r="C36" s="428">
        <f t="shared" si="1"/>
        <v>3</v>
      </c>
      <c r="D36" s="428">
        <f t="shared" si="1"/>
        <v>0.5</v>
      </c>
      <c r="E36" s="428">
        <v>0.05</v>
      </c>
      <c r="F36" s="390"/>
      <c r="G36" s="390"/>
      <c r="H36" s="390"/>
      <c r="I36" s="390"/>
      <c r="J36" s="390"/>
      <c r="K36" s="428"/>
      <c r="L36" s="428">
        <f>L32</f>
        <v>2</v>
      </c>
      <c r="M36" s="390">
        <f>C36*D36*E36*L36</f>
        <v>0.15000000000000002</v>
      </c>
      <c r="N36" s="839"/>
      <c r="O36" s="442"/>
    </row>
    <row r="37" spans="1:15" ht="15.75" customHeight="1">
      <c r="A37" s="430"/>
      <c r="B37" s="682" t="str">
        <f t="shared" si="1"/>
        <v>Vertikal</v>
      </c>
      <c r="C37" s="428">
        <f t="shared" si="1"/>
        <v>3</v>
      </c>
      <c r="D37" s="428">
        <f t="shared" si="1"/>
        <v>0.5</v>
      </c>
      <c r="E37" s="428">
        <f>E36</f>
        <v>0.05</v>
      </c>
      <c r="F37" s="390"/>
      <c r="G37" s="390"/>
      <c r="H37" s="390"/>
      <c r="I37" s="390"/>
      <c r="J37" s="390"/>
      <c r="K37" s="428"/>
      <c r="L37" s="428">
        <f>L33</f>
        <v>2</v>
      </c>
      <c r="M37" s="590">
        <f>C37*D37*E37*L37</f>
        <v>0.15000000000000002</v>
      </c>
      <c r="N37" s="839"/>
      <c r="O37" s="442"/>
    </row>
    <row r="38" spans="1:15" ht="15.75" customHeight="1">
      <c r="A38" s="430"/>
      <c r="B38" s="389"/>
      <c r="C38" s="428"/>
      <c r="D38" s="428"/>
      <c r="E38" s="428"/>
      <c r="F38" s="390"/>
      <c r="G38" s="390"/>
      <c r="H38" s="390"/>
      <c r="I38" s="390"/>
      <c r="J38" s="390"/>
      <c r="K38" s="428"/>
      <c r="L38" s="428"/>
      <c r="M38" s="390">
        <f>SUM(M36:M37)</f>
        <v>0.30000000000000004</v>
      </c>
      <c r="N38" s="839" t="s">
        <v>103</v>
      </c>
      <c r="O38" s="860">
        <f>ROUND((M38),2)</f>
        <v>0.3</v>
      </c>
    </row>
    <row r="39" spans="1:15" ht="15.75" customHeight="1">
      <c r="A39" s="430" t="s">
        <v>121</v>
      </c>
      <c r="B39" s="389" t="s">
        <v>401</v>
      </c>
      <c r="C39" s="428"/>
      <c r="D39" s="428"/>
      <c r="E39" s="428"/>
      <c r="F39" s="390"/>
      <c r="G39" s="390"/>
      <c r="H39" s="390"/>
      <c r="I39" s="390"/>
      <c r="J39" s="390"/>
      <c r="K39" s="428"/>
      <c r="L39" s="428"/>
      <c r="M39" s="390"/>
      <c r="N39" s="839"/>
      <c r="O39" s="442"/>
    </row>
    <row r="40" spans="1:15" ht="15.75" customHeight="1">
      <c r="A40" s="430"/>
      <c r="B40" s="682" t="str">
        <f>B36</f>
        <v>Horisontal</v>
      </c>
      <c r="C40" s="428">
        <f>C36</f>
        <v>3</v>
      </c>
      <c r="D40" s="428"/>
      <c r="E40" s="428">
        <f>D28-0.1-0.1</f>
        <v>0.30000000000000004</v>
      </c>
      <c r="F40" s="390"/>
      <c r="G40" s="390"/>
      <c r="H40" s="390"/>
      <c r="I40" s="390"/>
      <c r="J40" s="390"/>
      <c r="K40" s="428"/>
      <c r="L40" s="428">
        <f>L36</f>
        <v>2</v>
      </c>
      <c r="M40" s="390">
        <f>C40*E40*L40</f>
        <v>1.8000000000000003</v>
      </c>
      <c r="N40" s="839"/>
      <c r="O40" s="442"/>
    </row>
    <row r="41" spans="1:15" ht="15.75" customHeight="1">
      <c r="A41" s="430"/>
      <c r="B41" s="682" t="str">
        <f>B37</f>
        <v>Vertikal</v>
      </c>
      <c r="C41" s="428">
        <f>C37</f>
        <v>3</v>
      </c>
      <c r="D41" s="428"/>
      <c r="E41" s="428">
        <f>E40</f>
        <v>0.30000000000000004</v>
      </c>
      <c r="F41" s="390"/>
      <c r="G41" s="390"/>
      <c r="H41" s="390"/>
      <c r="I41" s="390"/>
      <c r="J41" s="390"/>
      <c r="K41" s="428"/>
      <c r="L41" s="428">
        <f>L37</f>
        <v>2</v>
      </c>
      <c r="M41" s="590">
        <f>C41*E41*L41</f>
        <v>1.8000000000000003</v>
      </c>
      <c r="N41" s="839"/>
      <c r="O41" s="442"/>
    </row>
    <row r="42" spans="1:15" ht="15.75" customHeight="1">
      <c r="A42" s="430"/>
      <c r="B42" s="389"/>
      <c r="C42" s="428"/>
      <c r="D42" s="428"/>
      <c r="E42" s="428"/>
      <c r="F42" s="390"/>
      <c r="G42" s="390"/>
      <c r="H42" s="390"/>
      <c r="I42" s="390"/>
      <c r="J42" s="390"/>
      <c r="K42" s="428"/>
      <c r="L42" s="428"/>
      <c r="M42" s="390">
        <f>SUM(M40:M41)</f>
        <v>3.6000000000000005</v>
      </c>
      <c r="N42" s="839" t="s">
        <v>89</v>
      </c>
      <c r="O42" s="860">
        <f>ROUND((M42),2)</f>
        <v>3.6</v>
      </c>
    </row>
    <row r="43" spans="1:15" ht="15.75" customHeight="1">
      <c r="A43" s="430" t="s">
        <v>142</v>
      </c>
      <c r="B43" s="389" t="s">
        <v>731</v>
      </c>
      <c r="C43" s="428"/>
      <c r="D43" s="428"/>
      <c r="E43" s="428"/>
      <c r="F43" s="390"/>
      <c r="G43" s="390"/>
      <c r="H43" s="390"/>
      <c r="I43" s="390"/>
      <c r="J43" s="390"/>
      <c r="K43" s="428"/>
      <c r="L43" s="428"/>
      <c r="M43" s="390"/>
      <c r="N43" s="839"/>
      <c r="O43" s="442"/>
    </row>
    <row r="44" spans="1:15" ht="15.75" customHeight="1">
      <c r="A44" s="430"/>
      <c r="B44" s="682" t="str">
        <f>B40</f>
        <v>Horisontal</v>
      </c>
      <c r="C44" s="428">
        <f>C40</f>
        <v>3</v>
      </c>
      <c r="D44" s="428"/>
      <c r="E44" s="428"/>
      <c r="F44" s="390">
        <f>13*13*0.006165</f>
        <v>1.041885</v>
      </c>
      <c r="G44" s="390"/>
      <c r="H44" s="390"/>
      <c r="I44" s="390">
        <v>0.7</v>
      </c>
      <c r="J44" s="390"/>
      <c r="K44" s="428">
        <v>5</v>
      </c>
      <c r="L44" s="428">
        <f>L40</f>
        <v>2</v>
      </c>
      <c r="M44" s="390">
        <f>(C44+I44)*F44*K44*L44</f>
        <v>38.549745000000001</v>
      </c>
      <c r="N44" s="839"/>
      <c r="O44" s="442"/>
    </row>
    <row r="45" spans="1:15" ht="15.75" customHeight="1">
      <c r="A45" s="430"/>
      <c r="B45" s="682" t="str">
        <f>B41</f>
        <v>Vertikal</v>
      </c>
      <c r="C45" s="428">
        <f>C41</f>
        <v>3</v>
      </c>
      <c r="D45" s="428"/>
      <c r="E45" s="428"/>
      <c r="F45" s="390">
        <f>F44</f>
        <v>1.041885</v>
      </c>
      <c r="G45" s="390"/>
      <c r="H45" s="390"/>
      <c r="I45" s="390">
        <f>I44</f>
        <v>0.7</v>
      </c>
      <c r="J45" s="390"/>
      <c r="K45" s="428">
        <f>K44</f>
        <v>5</v>
      </c>
      <c r="L45" s="428">
        <f>L41</f>
        <v>2</v>
      </c>
      <c r="M45" s="590">
        <f>(C45+I45)*F45*K45*L45</f>
        <v>38.549745000000001</v>
      </c>
      <c r="N45" s="839"/>
      <c r="O45" s="442"/>
    </row>
    <row r="46" spans="1:15" ht="15.75" customHeight="1">
      <c r="A46" s="430"/>
      <c r="B46" s="389"/>
      <c r="C46" s="428"/>
      <c r="D46" s="428"/>
      <c r="E46" s="428"/>
      <c r="F46" s="390"/>
      <c r="G46" s="390"/>
      <c r="H46" s="390"/>
      <c r="I46" s="390"/>
      <c r="J46" s="390"/>
      <c r="K46" s="428"/>
      <c r="L46" s="428"/>
      <c r="M46" s="390">
        <f>SUM(M44:M45)</f>
        <v>77.099490000000003</v>
      </c>
      <c r="N46" s="839" t="s">
        <v>100</v>
      </c>
      <c r="O46" s="860">
        <f>ROUND((M46),2)</f>
        <v>77.099999999999994</v>
      </c>
    </row>
    <row r="47" spans="1:15" s="865" customFormat="1" ht="15.75" customHeight="1">
      <c r="A47" s="438" t="s">
        <v>217</v>
      </c>
      <c r="B47" s="862" t="s">
        <v>928</v>
      </c>
      <c r="C47" s="587"/>
      <c r="D47" s="587"/>
      <c r="E47" s="587"/>
      <c r="F47" s="436"/>
      <c r="G47" s="436"/>
      <c r="H47" s="436"/>
      <c r="I47" s="436"/>
      <c r="J47" s="436"/>
      <c r="K47" s="587"/>
      <c r="L47" s="587"/>
      <c r="M47" s="436"/>
      <c r="N47" s="863"/>
      <c r="O47" s="864"/>
    </row>
    <row r="48" spans="1:15" s="865" customFormat="1" ht="15.75" customHeight="1">
      <c r="A48" s="438"/>
      <c r="B48" s="866" t="str">
        <f>B44</f>
        <v>Horisontal</v>
      </c>
      <c r="C48" s="587">
        <f>C44</f>
        <v>3</v>
      </c>
      <c r="D48" s="587"/>
      <c r="E48" s="587"/>
      <c r="F48" s="436">
        <f>13*13*0.006165</f>
        <v>1.041885</v>
      </c>
      <c r="G48" s="436"/>
      <c r="H48" s="436"/>
      <c r="I48" s="436">
        <v>0.6</v>
      </c>
      <c r="J48" s="436"/>
      <c r="K48" s="587">
        <v>4</v>
      </c>
      <c r="L48" s="587">
        <v>0</v>
      </c>
      <c r="M48" s="436">
        <f>(C48+I48)*F48*K48*L48</f>
        <v>0</v>
      </c>
      <c r="N48" s="863"/>
      <c r="O48" s="864"/>
    </row>
    <row r="49" spans="1:15" s="865" customFormat="1" ht="15.75" customHeight="1">
      <c r="A49" s="438"/>
      <c r="B49" s="866" t="str">
        <f>B45</f>
        <v>Vertikal</v>
      </c>
      <c r="C49" s="587">
        <f>C45</f>
        <v>3</v>
      </c>
      <c r="D49" s="587"/>
      <c r="E49" s="587"/>
      <c r="F49" s="436">
        <f>F48</f>
        <v>1.041885</v>
      </c>
      <c r="G49" s="436"/>
      <c r="H49" s="436"/>
      <c r="I49" s="436">
        <f>I48</f>
        <v>0.6</v>
      </c>
      <c r="J49" s="436"/>
      <c r="K49" s="587">
        <f>K48</f>
        <v>4</v>
      </c>
      <c r="L49" s="587">
        <v>0</v>
      </c>
      <c r="M49" s="588">
        <f>(C49+I49)*F49*K49*L49</f>
        <v>0</v>
      </c>
      <c r="N49" s="863"/>
      <c r="O49" s="864"/>
    </row>
    <row r="50" spans="1:15" s="865" customFormat="1" ht="15.75" customHeight="1">
      <c r="A50" s="438"/>
      <c r="B50" s="862"/>
      <c r="C50" s="587"/>
      <c r="D50" s="587"/>
      <c r="E50" s="587"/>
      <c r="F50" s="436"/>
      <c r="G50" s="436"/>
      <c r="H50" s="436"/>
      <c r="I50" s="436"/>
      <c r="J50" s="436"/>
      <c r="K50" s="587"/>
      <c r="L50" s="587"/>
      <c r="M50" s="436">
        <f>SUM(M48:M49)</f>
        <v>0</v>
      </c>
      <c r="N50" s="863" t="s">
        <v>100</v>
      </c>
      <c r="O50" s="867">
        <f>ROUND((M50),2)</f>
        <v>0</v>
      </c>
    </row>
    <row r="51" spans="1:15" s="865" customFormat="1" ht="15.75" customHeight="1">
      <c r="A51" s="438" t="s">
        <v>366</v>
      </c>
      <c r="B51" s="862" t="s">
        <v>1110</v>
      </c>
      <c r="C51" s="587"/>
      <c r="D51" s="587"/>
      <c r="E51" s="587"/>
      <c r="F51" s="436"/>
      <c r="G51" s="436"/>
      <c r="H51" s="436"/>
      <c r="I51" s="436"/>
      <c r="J51" s="436"/>
      <c r="K51" s="587"/>
      <c r="L51" s="587"/>
      <c r="M51" s="436"/>
      <c r="N51" s="863"/>
      <c r="O51" s="864"/>
    </row>
    <row r="52" spans="1:15" s="865" customFormat="1" ht="15.75" customHeight="1">
      <c r="A52" s="438"/>
      <c r="B52" s="866" t="str">
        <f>B48</f>
        <v>Horisontal</v>
      </c>
      <c r="C52" s="587">
        <v>0.2</v>
      </c>
      <c r="D52" s="587"/>
      <c r="E52" s="587"/>
      <c r="F52" s="436">
        <f>10*10*0.006165</f>
        <v>0.61650000000000005</v>
      </c>
      <c r="G52" s="436">
        <f>0.05*2</f>
        <v>0.1</v>
      </c>
      <c r="H52" s="436">
        <v>2</v>
      </c>
      <c r="I52" s="436"/>
      <c r="J52" s="436"/>
      <c r="K52" s="587">
        <f>ROUNDDOWN((C48/0.4),0.1)+1</f>
        <v>8</v>
      </c>
      <c r="L52" s="587">
        <f>L48</f>
        <v>0</v>
      </c>
      <c r="M52" s="436">
        <f>(C52+G52)*F52*H52*K52*L52</f>
        <v>0</v>
      </c>
      <c r="N52" s="863"/>
      <c r="O52" s="864"/>
    </row>
    <row r="53" spans="1:15" s="865" customFormat="1" ht="15.75" customHeight="1">
      <c r="A53" s="438"/>
      <c r="B53" s="866" t="str">
        <f>B49</f>
        <v>Vertikal</v>
      </c>
      <c r="C53" s="587">
        <f>C52</f>
        <v>0.2</v>
      </c>
      <c r="D53" s="587"/>
      <c r="E53" s="587"/>
      <c r="F53" s="436">
        <f>F52</f>
        <v>0.61650000000000005</v>
      </c>
      <c r="G53" s="436">
        <f>G52</f>
        <v>0.1</v>
      </c>
      <c r="H53" s="436">
        <f>H52</f>
        <v>2</v>
      </c>
      <c r="I53" s="436"/>
      <c r="J53" s="436"/>
      <c r="K53" s="587">
        <f>ROUNDDOWN((C49/0.4),0.1)+1</f>
        <v>8</v>
      </c>
      <c r="L53" s="587">
        <f>L49</f>
        <v>0</v>
      </c>
      <c r="M53" s="588">
        <f>(C53+G53)*F53*H53*K53*L53</f>
        <v>0</v>
      </c>
      <c r="N53" s="863"/>
      <c r="O53" s="864"/>
    </row>
    <row r="54" spans="1:15" s="865" customFormat="1" ht="15.75" customHeight="1">
      <c r="A54" s="438"/>
      <c r="B54" s="862"/>
      <c r="C54" s="587"/>
      <c r="D54" s="587"/>
      <c r="E54" s="587"/>
      <c r="F54" s="436"/>
      <c r="G54" s="436"/>
      <c r="H54" s="436"/>
      <c r="I54" s="436"/>
      <c r="J54" s="436"/>
      <c r="K54" s="587"/>
      <c r="L54" s="587"/>
      <c r="M54" s="436">
        <f>SUM(M52:M53)</f>
        <v>0</v>
      </c>
      <c r="N54" s="863" t="s">
        <v>100</v>
      </c>
      <c r="O54" s="867">
        <f>ROUND((M54),2)</f>
        <v>0</v>
      </c>
    </row>
    <row r="55" spans="1:15" ht="15.75" customHeight="1">
      <c r="A55" s="430" t="s">
        <v>217</v>
      </c>
      <c r="B55" s="389" t="s">
        <v>732</v>
      </c>
      <c r="C55" s="428"/>
      <c r="D55" s="428"/>
      <c r="E55" s="428"/>
      <c r="F55" s="390"/>
      <c r="G55" s="390"/>
      <c r="H55" s="390"/>
      <c r="I55" s="390"/>
      <c r="J55" s="390"/>
      <c r="K55" s="428"/>
      <c r="L55" s="428"/>
      <c r="M55" s="390"/>
      <c r="N55" s="839"/>
      <c r="O55" s="442"/>
    </row>
    <row r="56" spans="1:15" ht="15.75" customHeight="1">
      <c r="A56" s="430"/>
      <c r="B56" s="682" t="str">
        <f>B52</f>
        <v>Horisontal</v>
      </c>
      <c r="C56" s="428">
        <f>(0.17+0.22)*2</f>
        <v>0.78</v>
      </c>
      <c r="D56" s="428"/>
      <c r="E56" s="428"/>
      <c r="F56" s="390">
        <f>8*8*0.006165</f>
        <v>0.39456000000000002</v>
      </c>
      <c r="G56" s="390">
        <f>0.05*2</f>
        <v>0.1</v>
      </c>
      <c r="H56" s="390"/>
      <c r="I56" s="390"/>
      <c r="J56" s="390"/>
      <c r="K56" s="868">
        <f>ROUNDDOWN((C48/0.15),0.1)+1</f>
        <v>21</v>
      </c>
      <c r="L56" s="428">
        <f>L44</f>
        <v>2</v>
      </c>
      <c r="M56" s="390">
        <f>(C56+G56)*F56*K56*L56</f>
        <v>14.582937600000001</v>
      </c>
      <c r="N56" s="839"/>
      <c r="O56" s="442"/>
    </row>
    <row r="57" spans="1:15" ht="15.75" customHeight="1">
      <c r="A57" s="430"/>
      <c r="B57" s="682" t="str">
        <f>B53</f>
        <v>Vertikal</v>
      </c>
      <c r="C57" s="428">
        <f>C56</f>
        <v>0.78</v>
      </c>
      <c r="D57" s="428"/>
      <c r="E57" s="428"/>
      <c r="F57" s="390">
        <f>F56</f>
        <v>0.39456000000000002</v>
      </c>
      <c r="G57" s="390">
        <f>G56</f>
        <v>0.1</v>
      </c>
      <c r="H57" s="390"/>
      <c r="I57" s="390"/>
      <c r="J57" s="390"/>
      <c r="K57" s="868">
        <f>ROUNDDOWN((C49/0.15),0.1)+1</f>
        <v>21</v>
      </c>
      <c r="L57" s="428">
        <f>L45</f>
        <v>2</v>
      </c>
      <c r="M57" s="590">
        <f>(C57+G57)*F57*K57*L57</f>
        <v>14.582937600000001</v>
      </c>
      <c r="N57" s="839"/>
      <c r="O57" s="442"/>
    </row>
    <row r="58" spans="1:15" ht="15.75" customHeight="1">
      <c r="A58" s="430"/>
      <c r="B58" s="389"/>
      <c r="C58" s="428"/>
      <c r="D58" s="428"/>
      <c r="E58" s="428"/>
      <c r="F58" s="390"/>
      <c r="G58" s="390"/>
      <c r="H58" s="390"/>
      <c r="I58" s="390"/>
      <c r="J58" s="390"/>
      <c r="K58" s="428"/>
      <c r="L58" s="428"/>
      <c r="M58" s="390">
        <f>SUM(M56:M57)</f>
        <v>29.165875200000002</v>
      </c>
      <c r="N58" s="839" t="s">
        <v>100</v>
      </c>
      <c r="O58" s="860">
        <f>ROUND((M58),2)</f>
        <v>29.17</v>
      </c>
    </row>
    <row r="59" spans="1:15" ht="15.75" customHeight="1">
      <c r="A59" s="430" t="s">
        <v>366</v>
      </c>
      <c r="B59" s="389" t="s">
        <v>992</v>
      </c>
      <c r="C59" s="428"/>
      <c r="D59" s="428"/>
      <c r="E59" s="428"/>
      <c r="F59" s="390"/>
      <c r="G59" s="390"/>
      <c r="H59" s="390"/>
      <c r="I59" s="390"/>
      <c r="J59" s="390"/>
      <c r="K59" s="428"/>
      <c r="L59" s="428"/>
      <c r="M59" s="390"/>
      <c r="N59" s="839"/>
      <c r="O59" s="442"/>
    </row>
    <row r="60" spans="1:15" ht="15.75" customHeight="1">
      <c r="A60" s="430"/>
      <c r="B60" s="682" t="str">
        <f>B56</f>
        <v>Horisontal</v>
      </c>
      <c r="C60" s="428">
        <f>C40</f>
        <v>3</v>
      </c>
      <c r="D60" s="428">
        <v>0.25</v>
      </c>
      <c r="E60" s="428">
        <v>0.3</v>
      </c>
      <c r="F60" s="390"/>
      <c r="G60" s="390"/>
      <c r="H60" s="390"/>
      <c r="I60" s="390"/>
      <c r="J60" s="390"/>
      <c r="K60" s="428"/>
      <c r="L60" s="428">
        <f>L56</f>
        <v>2</v>
      </c>
      <c r="M60" s="390">
        <f>C60*D60*E60*L60</f>
        <v>0.44999999999999996</v>
      </c>
      <c r="N60" s="839"/>
      <c r="O60" s="442"/>
    </row>
    <row r="61" spans="1:15" ht="15.75" customHeight="1">
      <c r="A61" s="430"/>
      <c r="B61" s="682" t="str">
        <f>B57</f>
        <v>Vertikal</v>
      </c>
      <c r="C61" s="428">
        <f>C41</f>
        <v>3</v>
      </c>
      <c r="D61" s="428">
        <f>D60</f>
        <v>0.25</v>
      </c>
      <c r="E61" s="428">
        <f>E60</f>
        <v>0.3</v>
      </c>
      <c r="F61" s="390"/>
      <c r="G61" s="390"/>
      <c r="H61" s="390"/>
      <c r="I61" s="390"/>
      <c r="J61" s="390"/>
      <c r="K61" s="428"/>
      <c r="L61" s="428">
        <f>L57</f>
        <v>2</v>
      </c>
      <c r="M61" s="590">
        <f>C61*D61*E61*L61</f>
        <v>0.44999999999999996</v>
      </c>
      <c r="N61" s="839"/>
      <c r="O61" s="442"/>
    </row>
    <row r="62" spans="1:15" ht="15.75" customHeight="1">
      <c r="A62" s="430"/>
      <c r="B62" s="389"/>
      <c r="C62" s="428"/>
      <c r="D62" s="428"/>
      <c r="E62" s="428"/>
      <c r="F62" s="390"/>
      <c r="G62" s="390"/>
      <c r="H62" s="390"/>
      <c r="I62" s="390"/>
      <c r="J62" s="390"/>
      <c r="K62" s="428"/>
      <c r="L62" s="428"/>
      <c r="M62" s="390">
        <f>SUM(M60:M61)</f>
        <v>0.89999999999999991</v>
      </c>
      <c r="N62" s="839" t="s">
        <v>103</v>
      </c>
      <c r="O62" s="860">
        <f>ROUND((M62),2)</f>
        <v>0.9</v>
      </c>
    </row>
    <row r="63" spans="1:15" ht="15.75" customHeight="1">
      <c r="A63" s="430" t="s">
        <v>476</v>
      </c>
      <c r="B63" s="389" t="s">
        <v>1315</v>
      </c>
      <c r="C63" s="428"/>
      <c r="D63" s="428"/>
      <c r="E63" s="428"/>
      <c r="F63" s="390"/>
      <c r="G63" s="390"/>
      <c r="H63" s="390"/>
      <c r="I63" s="390"/>
      <c r="J63" s="390"/>
      <c r="K63" s="428"/>
      <c r="L63" s="428"/>
      <c r="M63" s="390">
        <f>M62</f>
        <v>0.89999999999999991</v>
      </c>
      <c r="N63" s="839" t="s">
        <v>103</v>
      </c>
      <c r="O63" s="860">
        <f>ROUND((M63),2)</f>
        <v>0.9</v>
      </c>
    </row>
    <row r="64" spans="1:15" ht="15.75" customHeight="1">
      <c r="A64" s="430" t="s">
        <v>728</v>
      </c>
      <c r="B64" s="389" t="s">
        <v>729</v>
      </c>
      <c r="C64" s="428"/>
      <c r="D64" s="428"/>
      <c r="E64" s="428"/>
      <c r="F64" s="390"/>
      <c r="G64" s="390"/>
      <c r="H64" s="390"/>
      <c r="I64" s="390"/>
      <c r="J64" s="390"/>
      <c r="K64" s="428"/>
      <c r="L64" s="428"/>
      <c r="M64" s="390">
        <f>M63</f>
        <v>0.89999999999999991</v>
      </c>
      <c r="N64" s="839" t="s">
        <v>103</v>
      </c>
      <c r="O64" s="860">
        <f>ROUND((M64),2)</f>
        <v>0.9</v>
      </c>
    </row>
    <row r="65" spans="1:18" ht="15.75" customHeight="1">
      <c r="A65" s="429">
        <f>A26+1</f>
        <v>4</v>
      </c>
      <c r="B65" s="389" t="s">
        <v>733</v>
      </c>
      <c r="C65" s="428"/>
      <c r="D65" s="428"/>
      <c r="E65" s="428"/>
      <c r="F65" s="390"/>
      <c r="G65" s="390"/>
      <c r="H65" s="390"/>
      <c r="I65" s="390"/>
      <c r="J65" s="390"/>
      <c r="K65" s="428"/>
      <c r="L65" s="428"/>
      <c r="M65" s="390"/>
      <c r="N65" s="839"/>
      <c r="O65" s="442"/>
    </row>
    <row r="66" spans="1:18" ht="15.75" customHeight="1">
      <c r="A66" s="430" t="s">
        <v>95</v>
      </c>
      <c r="B66" s="389" t="s">
        <v>417</v>
      </c>
      <c r="C66" s="428"/>
      <c r="D66" s="428">
        <v>0.3</v>
      </c>
      <c r="E66" s="428">
        <v>2.6</v>
      </c>
      <c r="F66" s="390"/>
      <c r="G66" s="390"/>
      <c r="H66" s="390">
        <v>4</v>
      </c>
      <c r="I66" s="390"/>
      <c r="J66" s="390"/>
      <c r="K66" s="428"/>
      <c r="L66" s="428">
        <v>4</v>
      </c>
      <c r="M66" s="390">
        <f>D66*E66*H66*L66</f>
        <v>12.48</v>
      </c>
      <c r="N66" s="839" t="s">
        <v>89</v>
      </c>
      <c r="O66" s="860">
        <f t="shared" ref="O66:O73" si="2">ROUND((M66),2)</f>
        <v>12.48</v>
      </c>
    </row>
    <row r="67" spans="1:18" ht="15.75" customHeight="1">
      <c r="A67" s="430" t="s">
        <v>98</v>
      </c>
      <c r="B67" s="389" t="s">
        <v>734</v>
      </c>
      <c r="C67" s="428"/>
      <c r="D67" s="428"/>
      <c r="E67" s="428">
        <v>3</v>
      </c>
      <c r="F67" s="390">
        <f>13*13*0.006165</f>
        <v>1.041885</v>
      </c>
      <c r="G67" s="390">
        <v>0.3</v>
      </c>
      <c r="H67" s="390"/>
      <c r="I67" s="390">
        <v>0.7</v>
      </c>
      <c r="J67" s="390">
        <v>0.7</v>
      </c>
      <c r="K67" s="428">
        <v>12</v>
      </c>
      <c r="L67" s="428">
        <f>L66</f>
        <v>4</v>
      </c>
      <c r="M67" s="390">
        <f>(E67+G67+I67+J67)*F67*K67*L67</f>
        <v>235.04925599999999</v>
      </c>
      <c r="N67" s="839" t="s">
        <v>100</v>
      </c>
      <c r="O67" s="860">
        <f t="shared" si="2"/>
        <v>235.05</v>
      </c>
    </row>
    <row r="68" spans="1:18" ht="15.75" customHeight="1">
      <c r="A68" s="430" t="s">
        <v>101</v>
      </c>
      <c r="B68" s="389" t="s">
        <v>735</v>
      </c>
      <c r="C68" s="428">
        <v>0.2</v>
      </c>
      <c r="D68" s="428"/>
      <c r="E68" s="428"/>
      <c r="F68" s="390">
        <f>10*10*0.006165</f>
        <v>0.61650000000000005</v>
      </c>
      <c r="G68" s="390">
        <f>0.05*2</f>
        <v>0.1</v>
      </c>
      <c r="H68" s="390">
        <v>2</v>
      </c>
      <c r="I68" s="390"/>
      <c r="J68" s="390"/>
      <c r="K68" s="428">
        <f>ROUNDDOWN((E67/0.2),0.1)+1</f>
        <v>16</v>
      </c>
      <c r="L68" s="428">
        <f>L67</f>
        <v>4</v>
      </c>
      <c r="M68" s="390">
        <f>(C68+G68)*F68*H68*K68*L68</f>
        <v>23.673600000000004</v>
      </c>
      <c r="N68" s="839" t="s">
        <v>100</v>
      </c>
      <c r="O68" s="860">
        <f t="shared" si="2"/>
        <v>23.67</v>
      </c>
    </row>
    <row r="69" spans="1:18" ht="15.75" customHeight="1">
      <c r="A69" s="430" t="s">
        <v>121</v>
      </c>
      <c r="B69" s="389" t="s">
        <v>736</v>
      </c>
      <c r="C69" s="428">
        <f>0.25*4</f>
        <v>1</v>
      </c>
      <c r="D69" s="428"/>
      <c r="E69" s="428"/>
      <c r="F69" s="390">
        <f>10*10*0.006165</f>
        <v>0.61650000000000005</v>
      </c>
      <c r="G69" s="390">
        <f>0.05*2</f>
        <v>0.1</v>
      </c>
      <c r="H69" s="390"/>
      <c r="I69" s="390"/>
      <c r="J69" s="390"/>
      <c r="K69" s="428">
        <f>ROUNDDOWN((E67/0.15),0.1)+1</f>
        <v>21</v>
      </c>
      <c r="L69" s="428">
        <f>L68</f>
        <v>4</v>
      </c>
      <c r="M69" s="390">
        <f>(C69+G69)*F69*K69*L69</f>
        <v>56.964600000000011</v>
      </c>
      <c r="N69" s="839" t="s">
        <v>100</v>
      </c>
      <c r="O69" s="860">
        <f t="shared" si="2"/>
        <v>56.96</v>
      </c>
    </row>
    <row r="70" spans="1:18" ht="15.75" customHeight="1">
      <c r="A70" s="430" t="s">
        <v>142</v>
      </c>
      <c r="B70" s="389" t="s">
        <v>992</v>
      </c>
      <c r="C70" s="428">
        <v>0.3</v>
      </c>
      <c r="D70" s="428">
        <v>0.3</v>
      </c>
      <c r="E70" s="428">
        <f>E66</f>
        <v>2.6</v>
      </c>
      <c r="F70" s="390"/>
      <c r="G70" s="390"/>
      <c r="H70" s="390"/>
      <c r="I70" s="390"/>
      <c r="J70" s="390"/>
      <c r="K70" s="428"/>
      <c r="L70" s="428">
        <f>L69</f>
        <v>4</v>
      </c>
      <c r="M70" s="390">
        <f>C70*D70*E70*L70</f>
        <v>0.93599999999999994</v>
      </c>
      <c r="N70" s="839" t="s">
        <v>103</v>
      </c>
      <c r="O70" s="860">
        <f t="shared" si="2"/>
        <v>0.94</v>
      </c>
    </row>
    <row r="71" spans="1:18" ht="15.75" customHeight="1">
      <c r="A71" s="430" t="s">
        <v>217</v>
      </c>
      <c r="B71" s="389" t="s">
        <v>1315</v>
      </c>
      <c r="C71" s="428"/>
      <c r="D71" s="428"/>
      <c r="E71" s="428"/>
      <c r="F71" s="390"/>
      <c r="G71" s="390"/>
      <c r="H71" s="390"/>
      <c r="I71" s="390"/>
      <c r="J71" s="390"/>
      <c r="K71" s="428"/>
      <c r="L71" s="428"/>
      <c r="M71" s="390">
        <f>M70</f>
        <v>0.93599999999999994</v>
      </c>
      <c r="N71" s="839" t="s">
        <v>103</v>
      </c>
      <c r="O71" s="860">
        <f t="shared" si="2"/>
        <v>0.94</v>
      </c>
    </row>
    <row r="72" spans="1:18" ht="15.75" customHeight="1">
      <c r="A72" s="430" t="s">
        <v>366</v>
      </c>
      <c r="B72" s="389" t="s">
        <v>729</v>
      </c>
      <c r="C72" s="428"/>
      <c r="D72" s="428"/>
      <c r="E72" s="428"/>
      <c r="F72" s="390"/>
      <c r="G72" s="390"/>
      <c r="H72" s="390"/>
      <c r="I72" s="390"/>
      <c r="J72" s="390"/>
      <c r="K72" s="428"/>
      <c r="L72" s="428"/>
      <c r="M72" s="390">
        <f>M71</f>
        <v>0.93599999999999994</v>
      </c>
      <c r="N72" s="839" t="s">
        <v>103</v>
      </c>
      <c r="O72" s="860">
        <f t="shared" si="2"/>
        <v>0.94</v>
      </c>
    </row>
    <row r="73" spans="1:18" ht="15.75" customHeight="1">
      <c r="A73" s="429">
        <f>A65+1</f>
        <v>5</v>
      </c>
      <c r="B73" s="389" t="s">
        <v>737</v>
      </c>
      <c r="C73" s="428">
        <v>5</v>
      </c>
      <c r="D73" s="428">
        <v>4</v>
      </c>
      <c r="E73" s="428"/>
      <c r="F73" s="390"/>
      <c r="G73" s="390"/>
      <c r="H73" s="390"/>
      <c r="I73" s="390"/>
      <c r="J73" s="390"/>
      <c r="K73" s="428"/>
      <c r="L73" s="428"/>
      <c r="M73" s="390">
        <f>C73*D73</f>
        <v>20</v>
      </c>
      <c r="N73" s="839" t="s">
        <v>89</v>
      </c>
      <c r="O73" s="860">
        <f t="shared" si="2"/>
        <v>20</v>
      </c>
    </row>
    <row r="74" spans="1:18" ht="15.75" customHeight="1">
      <c r="A74" s="429">
        <f>A73+1</f>
        <v>6</v>
      </c>
      <c r="B74" s="389" t="s">
        <v>738</v>
      </c>
      <c r="C74" s="428"/>
      <c r="D74" s="428"/>
      <c r="E74" s="428"/>
      <c r="F74" s="390"/>
      <c r="G74" s="390"/>
      <c r="H74" s="390"/>
      <c r="I74" s="390"/>
      <c r="J74" s="390"/>
      <c r="K74" s="428"/>
      <c r="L74" s="428"/>
      <c r="M74" s="390"/>
      <c r="N74" s="839"/>
      <c r="O74" s="442"/>
    </row>
    <row r="75" spans="1:18" ht="15.75" customHeight="1">
      <c r="A75" s="430" t="s">
        <v>95</v>
      </c>
      <c r="B75" s="389" t="s">
        <v>423</v>
      </c>
      <c r="C75" s="428"/>
      <c r="D75" s="428"/>
      <c r="E75" s="428"/>
      <c r="F75" s="390"/>
      <c r="G75" s="390"/>
      <c r="H75" s="390"/>
      <c r="I75" s="390"/>
      <c r="J75" s="390"/>
      <c r="K75" s="428"/>
      <c r="L75" s="428"/>
      <c r="M75" s="390"/>
      <c r="N75" s="839"/>
      <c r="O75" s="442"/>
      <c r="R75" s="366" t="s">
        <v>739</v>
      </c>
    </row>
    <row r="76" spans="1:18" ht="15.75" customHeight="1">
      <c r="A76" s="430"/>
      <c r="B76" s="682" t="s">
        <v>1044</v>
      </c>
      <c r="C76" s="428">
        <v>3.8</v>
      </c>
      <c r="D76" s="428">
        <v>0.2</v>
      </c>
      <c r="E76" s="428"/>
      <c r="F76" s="390"/>
      <c r="G76" s="390"/>
      <c r="H76" s="390">
        <v>1</v>
      </c>
      <c r="I76" s="390"/>
      <c r="J76" s="390"/>
      <c r="K76" s="428"/>
      <c r="L76" s="428">
        <v>4</v>
      </c>
      <c r="M76" s="390">
        <f>C76*D76*H76*L76</f>
        <v>3.04</v>
      </c>
      <c r="N76" s="839"/>
      <c r="O76" s="442"/>
      <c r="R76" s="366" t="s">
        <v>427</v>
      </c>
    </row>
    <row r="77" spans="1:18" ht="15.75" customHeight="1">
      <c r="A77" s="430"/>
      <c r="B77" s="682"/>
      <c r="C77" s="428">
        <f>C76</f>
        <v>3.8</v>
      </c>
      <c r="D77" s="428"/>
      <c r="E77" s="428">
        <v>0.4</v>
      </c>
      <c r="F77" s="390"/>
      <c r="G77" s="390"/>
      <c r="H77" s="390">
        <v>2</v>
      </c>
      <c r="I77" s="390"/>
      <c r="J77" s="390"/>
      <c r="K77" s="428"/>
      <c r="L77" s="428">
        <f>L76</f>
        <v>4</v>
      </c>
      <c r="M77" s="390">
        <f>C77*E77*H77*L77</f>
        <v>12.16</v>
      </c>
      <c r="N77" s="839"/>
      <c r="O77" s="442"/>
      <c r="R77" s="366" t="s">
        <v>735</v>
      </c>
    </row>
    <row r="78" spans="1:18" ht="15.75" customHeight="1">
      <c r="A78" s="430"/>
      <c r="B78" s="682"/>
      <c r="C78" s="428">
        <v>0.75</v>
      </c>
      <c r="D78" s="428">
        <f>D76</f>
        <v>0.2</v>
      </c>
      <c r="E78" s="428"/>
      <c r="F78" s="390"/>
      <c r="G78" s="390"/>
      <c r="H78" s="390">
        <f>H76</f>
        <v>1</v>
      </c>
      <c r="I78" s="390"/>
      <c r="J78" s="390"/>
      <c r="K78" s="428"/>
      <c r="L78" s="428">
        <v>8</v>
      </c>
      <c r="M78" s="390">
        <f>C78*D78*H78*L78</f>
        <v>1.2000000000000002</v>
      </c>
      <c r="N78" s="839"/>
      <c r="O78" s="442"/>
      <c r="R78" s="366" t="s">
        <v>732</v>
      </c>
    </row>
    <row r="79" spans="1:18" ht="15.75" customHeight="1">
      <c r="A79" s="430"/>
      <c r="B79" s="682"/>
      <c r="C79" s="428">
        <f>C78</f>
        <v>0.75</v>
      </c>
      <c r="D79" s="428"/>
      <c r="E79" s="428">
        <f>E77</f>
        <v>0.4</v>
      </c>
      <c r="F79" s="390"/>
      <c r="G79" s="390"/>
      <c r="H79" s="390">
        <f>H77</f>
        <v>2</v>
      </c>
      <c r="I79" s="390"/>
      <c r="J79" s="390"/>
      <c r="K79" s="428"/>
      <c r="L79" s="428">
        <f>L78</f>
        <v>8</v>
      </c>
      <c r="M79" s="390">
        <f>C79*E79*H79*L79</f>
        <v>4.8000000000000007</v>
      </c>
      <c r="N79" s="839"/>
      <c r="O79" s="442"/>
    </row>
    <row r="80" spans="1:18" ht="15.75" customHeight="1">
      <c r="A80" s="430"/>
      <c r="B80" s="682"/>
      <c r="C80" s="428"/>
      <c r="D80" s="428"/>
      <c r="E80" s="428"/>
      <c r="F80" s="390"/>
      <c r="G80" s="390"/>
      <c r="H80" s="390"/>
      <c r="I80" s="390"/>
      <c r="J80" s="390"/>
      <c r="K80" s="428"/>
      <c r="L80" s="428"/>
      <c r="M80" s="428"/>
      <c r="N80" s="839"/>
      <c r="O80" s="442"/>
    </row>
    <row r="81" spans="1:15" ht="15.75" customHeight="1">
      <c r="A81" s="430"/>
      <c r="B81" s="682"/>
      <c r="C81" s="428"/>
      <c r="D81" s="428"/>
      <c r="E81" s="428"/>
      <c r="F81" s="390"/>
      <c r="G81" s="390"/>
      <c r="H81" s="390"/>
      <c r="I81" s="390"/>
      <c r="J81" s="390"/>
      <c r="K81" s="428"/>
      <c r="L81" s="428"/>
      <c r="M81" s="428"/>
      <c r="N81" s="839"/>
      <c r="O81" s="442"/>
    </row>
    <row r="82" spans="1:15" ht="15.75" customHeight="1">
      <c r="A82" s="430"/>
      <c r="B82" s="682"/>
      <c r="C82" s="428"/>
      <c r="D82" s="428"/>
      <c r="E82" s="428"/>
      <c r="F82" s="390"/>
      <c r="G82" s="390"/>
      <c r="H82" s="390"/>
      <c r="I82" s="390"/>
      <c r="J82" s="390"/>
      <c r="K82" s="428"/>
      <c r="L82" s="428"/>
      <c r="M82" s="428"/>
      <c r="N82" s="839"/>
      <c r="O82" s="442"/>
    </row>
    <row r="83" spans="1:15" ht="15.75" customHeight="1">
      <c r="A83" s="430"/>
      <c r="B83" s="682"/>
      <c r="C83" s="428"/>
      <c r="D83" s="428"/>
      <c r="E83" s="428"/>
      <c r="F83" s="390"/>
      <c r="G83" s="390"/>
      <c r="H83" s="390"/>
      <c r="I83" s="390"/>
      <c r="J83" s="390"/>
      <c r="K83" s="428"/>
      <c r="L83" s="428"/>
      <c r="M83" s="590"/>
      <c r="N83" s="839"/>
      <c r="O83" s="442"/>
    </row>
    <row r="84" spans="1:15" ht="15.75" customHeight="1">
      <c r="A84" s="430"/>
      <c r="B84" s="389"/>
      <c r="C84" s="428"/>
      <c r="D84" s="428"/>
      <c r="E84" s="428"/>
      <c r="F84" s="390"/>
      <c r="G84" s="390"/>
      <c r="H84" s="390"/>
      <c r="I84" s="390"/>
      <c r="J84" s="390"/>
      <c r="K84" s="428"/>
      <c r="L84" s="428"/>
      <c r="M84" s="390">
        <f>SUM(M76:M83)</f>
        <v>21.2</v>
      </c>
      <c r="N84" s="839" t="s">
        <v>89</v>
      </c>
      <c r="O84" s="860">
        <f>ROUND((M84),2)</f>
        <v>21.2</v>
      </c>
    </row>
    <row r="85" spans="1:15" ht="15.75" customHeight="1">
      <c r="A85" s="430" t="s">
        <v>98</v>
      </c>
      <c r="B85" s="389" t="s">
        <v>739</v>
      </c>
      <c r="C85" s="428"/>
      <c r="D85" s="428"/>
      <c r="E85" s="428"/>
      <c r="F85" s="390"/>
      <c r="G85" s="390"/>
      <c r="H85" s="390"/>
      <c r="I85" s="390"/>
      <c r="J85" s="390"/>
      <c r="K85" s="428"/>
      <c r="L85" s="428"/>
      <c r="M85" s="390"/>
      <c r="N85" s="839"/>
      <c r="O85" s="442"/>
    </row>
    <row r="86" spans="1:15" ht="15.75" customHeight="1">
      <c r="A86" s="430"/>
      <c r="B86" s="682" t="str">
        <f>B76</f>
        <v>Horisontal</v>
      </c>
      <c r="C86" s="428">
        <v>5.7</v>
      </c>
      <c r="D86" s="428"/>
      <c r="E86" s="428"/>
      <c r="F86" s="390">
        <f>13*13*0.006165</f>
        <v>1.041885</v>
      </c>
      <c r="G86" s="390"/>
      <c r="H86" s="390"/>
      <c r="I86" s="390"/>
      <c r="J86" s="390"/>
      <c r="K86" s="428">
        <v>6</v>
      </c>
      <c r="L86" s="428">
        <f>L76</f>
        <v>4</v>
      </c>
      <c r="M86" s="390">
        <f>C86*F86*K86*L86</f>
        <v>142.52986800000002</v>
      </c>
      <c r="N86" s="839"/>
      <c r="O86" s="442"/>
    </row>
    <row r="87" spans="1:15" ht="15.75" customHeight="1">
      <c r="A87" s="430"/>
      <c r="B87" s="682"/>
      <c r="C87" s="428"/>
      <c r="D87" s="428"/>
      <c r="E87" s="428"/>
      <c r="F87" s="390"/>
      <c r="G87" s="390"/>
      <c r="H87" s="390"/>
      <c r="I87" s="390"/>
      <c r="J87" s="390"/>
      <c r="K87" s="428"/>
      <c r="L87" s="428"/>
      <c r="M87" s="590"/>
      <c r="N87" s="839"/>
      <c r="O87" s="442"/>
    </row>
    <row r="88" spans="1:15" ht="15.75" customHeight="1">
      <c r="A88" s="430"/>
      <c r="B88" s="389"/>
      <c r="C88" s="428"/>
      <c r="D88" s="428"/>
      <c r="E88" s="428"/>
      <c r="F88" s="390"/>
      <c r="G88" s="390"/>
      <c r="H88" s="390"/>
      <c r="I88" s="390"/>
      <c r="J88" s="390"/>
      <c r="K88" s="428"/>
      <c r="L88" s="428"/>
      <c r="M88" s="390">
        <f>SUM(M86:M87)</f>
        <v>142.52986800000002</v>
      </c>
      <c r="N88" s="839" t="s">
        <v>100</v>
      </c>
      <c r="O88" s="860">
        <f>ROUND((M88),2)</f>
        <v>142.53</v>
      </c>
    </row>
    <row r="89" spans="1:15" ht="15.75" customHeight="1">
      <c r="A89" s="430" t="s">
        <v>101</v>
      </c>
      <c r="B89" s="389" t="s">
        <v>427</v>
      </c>
      <c r="C89" s="428"/>
      <c r="D89" s="428"/>
      <c r="E89" s="428"/>
      <c r="F89" s="390"/>
      <c r="G89" s="390"/>
      <c r="H89" s="390"/>
      <c r="I89" s="390"/>
      <c r="J89" s="390"/>
      <c r="K89" s="428"/>
      <c r="L89" s="428"/>
      <c r="M89" s="390"/>
      <c r="N89" s="839"/>
      <c r="O89" s="442"/>
    </row>
    <row r="90" spans="1:15" ht="15.75" customHeight="1">
      <c r="A90" s="430"/>
      <c r="B90" s="682" t="str">
        <f>B86</f>
        <v>Horisontal</v>
      </c>
      <c r="C90" s="428">
        <f>C86</f>
        <v>5.7</v>
      </c>
      <c r="D90" s="428"/>
      <c r="E90" s="428"/>
      <c r="F90" s="390">
        <f>10*10*0.006165</f>
        <v>0.61650000000000005</v>
      </c>
      <c r="G90" s="390"/>
      <c r="H90" s="390"/>
      <c r="I90" s="390"/>
      <c r="J90" s="390"/>
      <c r="K90" s="428">
        <v>4</v>
      </c>
      <c r="L90" s="428">
        <f>L86</f>
        <v>4</v>
      </c>
      <c r="M90" s="390">
        <f>C90*F90*K90*L90</f>
        <v>56.224800000000009</v>
      </c>
      <c r="N90" s="839"/>
      <c r="O90" s="442"/>
    </row>
    <row r="91" spans="1:15" ht="15.75" customHeight="1">
      <c r="A91" s="430"/>
      <c r="B91" s="682"/>
      <c r="C91" s="428"/>
      <c r="D91" s="428"/>
      <c r="E91" s="428"/>
      <c r="F91" s="390"/>
      <c r="G91" s="390"/>
      <c r="H91" s="390"/>
      <c r="I91" s="390"/>
      <c r="J91" s="390"/>
      <c r="K91" s="428"/>
      <c r="L91" s="428"/>
      <c r="M91" s="590"/>
      <c r="N91" s="839"/>
      <c r="O91" s="442"/>
    </row>
    <row r="92" spans="1:15" ht="15.75" customHeight="1">
      <c r="A92" s="430"/>
      <c r="B92" s="389"/>
      <c r="C92" s="428"/>
      <c r="D92" s="428"/>
      <c r="E92" s="428"/>
      <c r="F92" s="390"/>
      <c r="G92" s="390"/>
      <c r="H92" s="390"/>
      <c r="I92" s="390"/>
      <c r="J92" s="390"/>
      <c r="K92" s="428"/>
      <c r="L92" s="428"/>
      <c r="M92" s="390">
        <f>SUM(M90:M91)</f>
        <v>56.224800000000009</v>
      </c>
      <c r="N92" s="839" t="s">
        <v>100</v>
      </c>
      <c r="O92" s="860">
        <f>ROUND((M92),2)</f>
        <v>56.22</v>
      </c>
    </row>
    <row r="93" spans="1:15" ht="15.75" customHeight="1">
      <c r="A93" s="430" t="s">
        <v>121</v>
      </c>
      <c r="B93" s="389" t="s">
        <v>735</v>
      </c>
      <c r="C93" s="428"/>
      <c r="D93" s="428"/>
      <c r="E93" s="428"/>
      <c r="F93" s="390"/>
      <c r="G93" s="390"/>
      <c r="H93" s="390"/>
      <c r="I93" s="390"/>
      <c r="J93" s="390"/>
      <c r="K93" s="428"/>
      <c r="L93" s="428"/>
      <c r="M93" s="390"/>
      <c r="N93" s="839"/>
      <c r="O93" s="442"/>
    </row>
    <row r="94" spans="1:15" ht="15.75" customHeight="1">
      <c r="A94" s="430"/>
      <c r="B94" s="682" t="str">
        <f>B90</f>
        <v>Horisontal</v>
      </c>
      <c r="C94" s="428">
        <v>0.4</v>
      </c>
      <c r="D94" s="428"/>
      <c r="E94" s="428"/>
      <c r="F94" s="390">
        <f>10*10*0.006165</f>
        <v>0.61650000000000005</v>
      </c>
      <c r="G94" s="390">
        <f>0.05*2</f>
        <v>0.1</v>
      </c>
      <c r="H94" s="390">
        <v>1</v>
      </c>
      <c r="I94" s="390"/>
      <c r="J94" s="390"/>
      <c r="K94" s="428">
        <f>ROUNDDOWN((C90/0.2),0.1)+1</f>
        <v>29</v>
      </c>
      <c r="L94" s="428">
        <f>L90</f>
        <v>4</v>
      </c>
      <c r="M94" s="390">
        <f>(C94+G94)*F94*H94*K94*L94</f>
        <v>35.757000000000005</v>
      </c>
      <c r="N94" s="839"/>
      <c r="O94" s="442"/>
    </row>
    <row r="95" spans="1:15" ht="15.75" customHeight="1">
      <c r="A95" s="430"/>
      <c r="B95" s="682"/>
      <c r="C95" s="428">
        <v>0.15</v>
      </c>
      <c r="D95" s="428"/>
      <c r="E95" s="428"/>
      <c r="F95" s="390">
        <f>F94</f>
        <v>0.61650000000000005</v>
      </c>
      <c r="G95" s="390">
        <f>G94</f>
        <v>0.1</v>
      </c>
      <c r="H95" s="390">
        <v>2</v>
      </c>
      <c r="I95" s="390"/>
      <c r="J95" s="390"/>
      <c r="K95" s="428">
        <f>K94</f>
        <v>29</v>
      </c>
      <c r="L95" s="428">
        <f>L94</f>
        <v>4</v>
      </c>
      <c r="M95" s="428">
        <f>(C95+G95)*F95*H95*K95*L95</f>
        <v>35.757000000000005</v>
      </c>
      <c r="N95" s="839"/>
      <c r="O95" s="442"/>
    </row>
    <row r="96" spans="1:15" ht="15.75" customHeight="1">
      <c r="A96" s="430"/>
      <c r="B96" s="682"/>
      <c r="C96" s="428"/>
      <c r="D96" s="428"/>
      <c r="E96" s="428"/>
      <c r="F96" s="390"/>
      <c r="G96" s="390"/>
      <c r="H96" s="390"/>
      <c r="I96" s="390"/>
      <c r="J96" s="390"/>
      <c r="K96" s="428"/>
      <c r="L96" s="428"/>
      <c r="M96" s="390"/>
      <c r="N96" s="839"/>
      <c r="O96" s="442"/>
    </row>
    <row r="97" spans="1:15" ht="15.75" customHeight="1">
      <c r="A97" s="430"/>
      <c r="B97" s="682"/>
      <c r="C97" s="428"/>
      <c r="D97" s="428"/>
      <c r="E97" s="428"/>
      <c r="F97" s="390"/>
      <c r="G97" s="390"/>
      <c r="H97" s="390"/>
      <c r="I97" s="390"/>
      <c r="J97" s="390"/>
      <c r="K97" s="428"/>
      <c r="L97" s="428"/>
      <c r="M97" s="869"/>
      <c r="N97" s="839"/>
      <c r="O97" s="442"/>
    </row>
    <row r="98" spans="1:15" ht="15.75" customHeight="1">
      <c r="A98" s="430"/>
      <c r="B98" s="389"/>
      <c r="C98" s="428"/>
      <c r="D98" s="428"/>
      <c r="E98" s="428"/>
      <c r="F98" s="390"/>
      <c r="G98" s="390"/>
      <c r="H98" s="390"/>
      <c r="I98" s="390"/>
      <c r="J98" s="390"/>
      <c r="K98" s="428"/>
      <c r="L98" s="428"/>
      <c r="M98" s="390">
        <f>SUM(M94:M97)</f>
        <v>71.51400000000001</v>
      </c>
      <c r="N98" s="839" t="s">
        <v>100</v>
      </c>
      <c r="O98" s="860">
        <f>ROUND((M98),2)</f>
        <v>71.510000000000005</v>
      </c>
    </row>
    <row r="99" spans="1:15" ht="15.75" customHeight="1">
      <c r="A99" s="430" t="s">
        <v>142</v>
      </c>
      <c r="B99" s="389" t="s">
        <v>732</v>
      </c>
      <c r="C99" s="428"/>
      <c r="D99" s="428"/>
      <c r="E99" s="428"/>
      <c r="F99" s="390"/>
      <c r="G99" s="390"/>
      <c r="H99" s="390"/>
      <c r="I99" s="390"/>
      <c r="J99" s="390"/>
      <c r="K99" s="428"/>
      <c r="L99" s="428"/>
      <c r="M99" s="390"/>
      <c r="N99" s="839"/>
      <c r="O99" s="442"/>
    </row>
    <row r="100" spans="1:15" ht="15.75" customHeight="1">
      <c r="A100" s="430"/>
      <c r="B100" s="682" t="str">
        <f>B94</f>
        <v>Horisontal</v>
      </c>
      <c r="C100" s="428">
        <f>(0.12+0.32)*2</f>
        <v>0.88</v>
      </c>
      <c r="D100" s="428"/>
      <c r="E100" s="428"/>
      <c r="F100" s="390">
        <f>8*8*0.006165</f>
        <v>0.39456000000000002</v>
      </c>
      <c r="G100" s="390">
        <f>0.05*2</f>
        <v>0.1</v>
      </c>
      <c r="H100" s="390"/>
      <c r="I100" s="390"/>
      <c r="J100" s="390"/>
      <c r="K100" s="428">
        <f>ROUNDDOWN((C90/0.15),0.1)+1</f>
        <v>39</v>
      </c>
      <c r="L100" s="428">
        <f>L94</f>
        <v>4</v>
      </c>
      <c r="M100" s="390">
        <f>(C100+G100)*F100*K100*L100</f>
        <v>60.320332800000003</v>
      </c>
      <c r="N100" s="839"/>
      <c r="O100" s="442"/>
    </row>
    <row r="101" spans="1:15" ht="15.75" customHeight="1">
      <c r="A101" s="430"/>
      <c r="B101" s="682"/>
      <c r="C101" s="428"/>
      <c r="D101" s="428"/>
      <c r="E101" s="428"/>
      <c r="F101" s="390"/>
      <c r="G101" s="390"/>
      <c r="H101" s="390"/>
      <c r="I101" s="390"/>
      <c r="J101" s="390"/>
      <c r="K101" s="428"/>
      <c r="L101" s="428"/>
      <c r="M101" s="590"/>
      <c r="N101" s="839"/>
      <c r="O101" s="442"/>
    </row>
    <row r="102" spans="1:15" ht="15.75" customHeight="1">
      <c r="A102" s="430"/>
      <c r="B102" s="389"/>
      <c r="C102" s="428"/>
      <c r="D102" s="428"/>
      <c r="E102" s="428"/>
      <c r="F102" s="390"/>
      <c r="G102" s="390"/>
      <c r="H102" s="390"/>
      <c r="I102" s="390"/>
      <c r="J102" s="390"/>
      <c r="K102" s="428"/>
      <c r="L102" s="428"/>
      <c r="M102" s="390">
        <f>SUM(M100:M101)</f>
        <v>60.320332800000003</v>
      </c>
      <c r="N102" s="839" t="s">
        <v>100</v>
      </c>
      <c r="O102" s="860">
        <f>ROUND((M102),2)</f>
        <v>60.32</v>
      </c>
    </row>
    <row r="103" spans="1:15" ht="15.75" customHeight="1">
      <c r="A103" s="430" t="s">
        <v>217</v>
      </c>
      <c r="B103" s="389" t="s">
        <v>992</v>
      </c>
      <c r="C103" s="428"/>
      <c r="D103" s="428"/>
      <c r="E103" s="428"/>
      <c r="F103" s="390"/>
      <c r="G103" s="390"/>
      <c r="H103" s="390"/>
      <c r="I103" s="390"/>
      <c r="J103" s="390"/>
      <c r="K103" s="428"/>
      <c r="L103" s="428"/>
      <c r="M103" s="390"/>
      <c r="N103" s="839"/>
      <c r="O103" s="442"/>
    </row>
    <row r="104" spans="1:15" ht="15.75" customHeight="1">
      <c r="A104" s="430"/>
      <c r="B104" s="682" t="str">
        <f>B100</f>
        <v>Horisontal</v>
      </c>
      <c r="C104" s="428">
        <f>C90</f>
        <v>5.7</v>
      </c>
      <c r="D104" s="428">
        <v>0.2</v>
      </c>
      <c r="E104" s="428">
        <v>0.4</v>
      </c>
      <c r="F104" s="390"/>
      <c r="G104" s="390"/>
      <c r="H104" s="390"/>
      <c r="I104" s="390"/>
      <c r="J104" s="390"/>
      <c r="K104" s="428"/>
      <c r="L104" s="428">
        <f>L100</f>
        <v>4</v>
      </c>
      <c r="M104" s="390">
        <f>C104*D104*E104*L104</f>
        <v>1.8240000000000003</v>
      </c>
      <c r="N104" s="839"/>
      <c r="O104" s="442"/>
    </row>
    <row r="105" spans="1:15" ht="15.75" customHeight="1">
      <c r="A105" s="430"/>
      <c r="B105" s="682"/>
      <c r="C105" s="428"/>
      <c r="D105" s="428"/>
      <c r="E105" s="428"/>
      <c r="F105" s="390"/>
      <c r="G105" s="390"/>
      <c r="H105" s="390"/>
      <c r="I105" s="390"/>
      <c r="J105" s="390"/>
      <c r="K105" s="428"/>
      <c r="L105" s="428"/>
      <c r="M105" s="590"/>
      <c r="N105" s="839"/>
      <c r="O105" s="442"/>
    </row>
    <row r="106" spans="1:15" ht="15.75" customHeight="1">
      <c r="A106" s="430"/>
      <c r="B106" s="389"/>
      <c r="C106" s="428"/>
      <c r="D106" s="428"/>
      <c r="E106" s="428"/>
      <c r="F106" s="390"/>
      <c r="G106" s="390"/>
      <c r="H106" s="390"/>
      <c r="I106" s="390"/>
      <c r="J106" s="390"/>
      <c r="K106" s="428"/>
      <c r="L106" s="428"/>
      <c r="M106" s="390">
        <f>SUM(M104:M105)</f>
        <v>1.8240000000000003</v>
      </c>
      <c r="N106" s="839" t="s">
        <v>103</v>
      </c>
      <c r="O106" s="860">
        <f>ROUND((M106),2)</f>
        <v>1.82</v>
      </c>
    </row>
    <row r="107" spans="1:15" ht="15.75" customHeight="1">
      <c r="A107" s="430" t="s">
        <v>366</v>
      </c>
      <c r="B107" s="389" t="s">
        <v>1315</v>
      </c>
      <c r="C107" s="428"/>
      <c r="D107" s="428"/>
      <c r="E107" s="428"/>
      <c r="F107" s="390"/>
      <c r="G107" s="390"/>
      <c r="H107" s="390"/>
      <c r="I107" s="390"/>
      <c r="J107" s="390"/>
      <c r="K107" s="428"/>
      <c r="L107" s="428"/>
      <c r="M107" s="390">
        <f>M106</f>
        <v>1.8240000000000003</v>
      </c>
      <c r="N107" s="839" t="s">
        <v>103</v>
      </c>
      <c r="O107" s="860">
        <f>ROUND((M107),2)</f>
        <v>1.82</v>
      </c>
    </row>
    <row r="108" spans="1:15" ht="15.75" customHeight="1">
      <c r="A108" s="430" t="s">
        <v>476</v>
      </c>
      <c r="B108" s="389" t="s">
        <v>729</v>
      </c>
      <c r="C108" s="428"/>
      <c r="D108" s="428"/>
      <c r="E108" s="428"/>
      <c r="F108" s="390"/>
      <c r="G108" s="390"/>
      <c r="H108" s="390"/>
      <c r="I108" s="390"/>
      <c r="J108" s="390"/>
      <c r="K108" s="428"/>
      <c r="L108" s="428"/>
      <c r="M108" s="390">
        <f>M107</f>
        <v>1.8240000000000003</v>
      </c>
      <c r="N108" s="839" t="s">
        <v>103</v>
      </c>
      <c r="O108" s="860">
        <f>ROUND((M108),2)</f>
        <v>1.82</v>
      </c>
    </row>
    <row r="109" spans="1:15" ht="15.75" customHeight="1">
      <c r="A109" s="429">
        <f>A74+1</f>
        <v>7</v>
      </c>
      <c r="B109" s="389" t="s">
        <v>740</v>
      </c>
      <c r="C109" s="428"/>
      <c r="D109" s="428"/>
      <c r="E109" s="428"/>
      <c r="F109" s="390"/>
      <c r="G109" s="390"/>
      <c r="H109" s="390"/>
      <c r="I109" s="390"/>
      <c r="J109" s="390"/>
      <c r="K109" s="428"/>
      <c r="L109" s="428"/>
      <c r="M109" s="390"/>
      <c r="N109" s="839"/>
      <c r="O109" s="442"/>
    </row>
    <row r="110" spans="1:15" ht="15.75" customHeight="1">
      <c r="A110" s="430" t="s">
        <v>95</v>
      </c>
      <c r="B110" s="389" t="s">
        <v>423</v>
      </c>
      <c r="C110" s="428"/>
      <c r="D110" s="428"/>
      <c r="E110" s="428"/>
      <c r="F110" s="390"/>
      <c r="G110" s="390"/>
      <c r="H110" s="390"/>
      <c r="I110" s="390"/>
      <c r="J110" s="390"/>
      <c r="K110" s="428"/>
      <c r="L110" s="428"/>
      <c r="M110" s="390"/>
      <c r="N110" s="839"/>
      <c r="O110" s="442"/>
    </row>
    <row r="111" spans="1:15" ht="15.75" customHeight="1">
      <c r="A111" s="430"/>
      <c r="B111" s="682" t="s">
        <v>136</v>
      </c>
      <c r="C111" s="428">
        <v>3.8</v>
      </c>
      <c r="D111" s="428">
        <v>0.2</v>
      </c>
      <c r="E111" s="428"/>
      <c r="F111" s="390"/>
      <c r="G111" s="390"/>
      <c r="H111" s="390">
        <v>1</v>
      </c>
      <c r="I111" s="390"/>
      <c r="J111" s="390"/>
      <c r="K111" s="428"/>
      <c r="L111" s="428">
        <v>2</v>
      </c>
      <c r="M111" s="428">
        <f>C111*D111*H111*L111</f>
        <v>1.52</v>
      </c>
      <c r="N111" s="839"/>
      <c r="O111" s="442"/>
    </row>
    <row r="112" spans="1:15" ht="15.75" customHeight="1">
      <c r="A112" s="430"/>
      <c r="B112" s="682"/>
      <c r="C112" s="428">
        <f>C111</f>
        <v>3.8</v>
      </c>
      <c r="D112" s="428"/>
      <c r="E112" s="428">
        <v>0.3</v>
      </c>
      <c r="F112" s="390"/>
      <c r="G112" s="390"/>
      <c r="H112" s="390">
        <v>2</v>
      </c>
      <c r="I112" s="390"/>
      <c r="J112" s="390"/>
      <c r="K112" s="428"/>
      <c r="L112" s="428">
        <f>L111</f>
        <v>2</v>
      </c>
      <c r="M112" s="428">
        <f>C112*E112*H112*L112</f>
        <v>4.5599999999999996</v>
      </c>
      <c r="N112" s="839"/>
      <c r="O112" s="442"/>
    </row>
    <row r="113" spans="1:15" ht="15.75" customHeight="1">
      <c r="A113" s="430"/>
      <c r="B113" s="682"/>
      <c r="C113" s="428">
        <v>0</v>
      </c>
      <c r="D113" s="428">
        <f>D111</f>
        <v>0.2</v>
      </c>
      <c r="E113" s="428"/>
      <c r="F113" s="390"/>
      <c r="G113" s="390"/>
      <c r="H113" s="390">
        <f>H111</f>
        <v>1</v>
      </c>
      <c r="I113" s="390"/>
      <c r="J113" s="390"/>
      <c r="K113" s="428"/>
      <c r="L113" s="428">
        <v>4</v>
      </c>
      <c r="M113" s="428">
        <f>C113*D113*H113*L113</f>
        <v>0</v>
      </c>
      <c r="N113" s="839"/>
      <c r="O113" s="442"/>
    </row>
    <row r="114" spans="1:15" ht="15.75" customHeight="1">
      <c r="A114" s="430"/>
      <c r="B114" s="682"/>
      <c r="C114" s="428">
        <v>0</v>
      </c>
      <c r="D114" s="428"/>
      <c r="E114" s="428">
        <f>E112</f>
        <v>0.3</v>
      </c>
      <c r="F114" s="390"/>
      <c r="G114" s="390"/>
      <c r="H114" s="390">
        <f>H112</f>
        <v>2</v>
      </c>
      <c r="I114" s="390"/>
      <c r="J114" s="390"/>
      <c r="K114" s="428"/>
      <c r="L114" s="428">
        <f>L113</f>
        <v>4</v>
      </c>
      <c r="M114" s="590">
        <f>C114*E114*H114*L114</f>
        <v>0</v>
      </c>
      <c r="N114" s="839"/>
      <c r="O114" s="442"/>
    </row>
    <row r="115" spans="1:15" ht="15.75" customHeight="1">
      <c r="A115" s="430"/>
      <c r="B115" s="389"/>
      <c r="C115" s="428"/>
      <c r="D115" s="428"/>
      <c r="E115" s="428"/>
      <c r="F115" s="390"/>
      <c r="G115" s="390"/>
      <c r="H115" s="390"/>
      <c r="I115" s="390"/>
      <c r="J115" s="390"/>
      <c r="K115" s="428"/>
      <c r="L115" s="428"/>
      <c r="M115" s="390">
        <f>SUM(M111:M114)</f>
        <v>6.08</v>
      </c>
      <c r="N115" s="839" t="s">
        <v>89</v>
      </c>
      <c r="O115" s="860">
        <f t="shared" ref="O115:O122" si="3">ROUND((M115),2)</f>
        <v>6.08</v>
      </c>
    </row>
    <row r="116" spans="1:15" s="865" customFormat="1" ht="15.75" customHeight="1">
      <c r="A116" s="438" t="s">
        <v>98</v>
      </c>
      <c r="B116" s="862" t="s">
        <v>1109</v>
      </c>
      <c r="C116" s="587">
        <v>4</v>
      </c>
      <c r="D116" s="587"/>
      <c r="E116" s="587"/>
      <c r="F116" s="436">
        <f>16*16*0.006165</f>
        <v>1.5782400000000001</v>
      </c>
      <c r="G116" s="436"/>
      <c r="H116" s="436"/>
      <c r="I116" s="436"/>
      <c r="J116" s="436"/>
      <c r="K116" s="587">
        <v>7</v>
      </c>
      <c r="L116" s="587">
        <f>L111</f>
        <v>2</v>
      </c>
      <c r="M116" s="436">
        <f>C116*F116*K116*L116</f>
        <v>88.381439999999998</v>
      </c>
      <c r="N116" s="863" t="s">
        <v>100</v>
      </c>
      <c r="O116" s="860">
        <f t="shared" si="3"/>
        <v>88.38</v>
      </c>
    </row>
    <row r="117" spans="1:15" ht="15.75" customHeight="1">
      <c r="A117" s="430" t="s">
        <v>98</v>
      </c>
      <c r="B117" s="389" t="s">
        <v>741</v>
      </c>
      <c r="C117" s="428">
        <f>C116</f>
        <v>4</v>
      </c>
      <c r="D117" s="428"/>
      <c r="E117" s="428"/>
      <c r="F117" s="390">
        <f>10*10*0.006165</f>
        <v>0.61650000000000005</v>
      </c>
      <c r="G117" s="390"/>
      <c r="H117" s="390"/>
      <c r="I117" s="390"/>
      <c r="J117" s="390"/>
      <c r="K117" s="428">
        <v>5</v>
      </c>
      <c r="L117" s="428">
        <f>L116</f>
        <v>2</v>
      </c>
      <c r="M117" s="390">
        <f>C117*F117*K117*L117</f>
        <v>24.660000000000004</v>
      </c>
      <c r="N117" s="839" t="s">
        <v>100</v>
      </c>
      <c r="O117" s="860">
        <f t="shared" si="3"/>
        <v>24.66</v>
      </c>
    </row>
    <row r="118" spans="1:15" s="865" customFormat="1" ht="15.75" customHeight="1">
      <c r="A118" s="438" t="s">
        <v>121</v>
      </c>
      <c r="B118" s="862" t="s">
        <v>735</v>
      </c>
      <c r="C118" s="587">
        <v>0.45</v>
      </c>
      <c r="D118" s="587"/>
      <c r="E118" s="587"/>
      <c r="F118" s="436">
        <f>10*10*0.006165</f>
        <v>0.61650000000000005</v>
      </c>
      <c r="G118" s="436">
        <f>0.05*2</f>
        <v>0.1</v>
      </c>
      <c r="H118" s="436">
        <v>2</v>
      </c>
      <c r="I118" s="436"/>
      <c r="J118" s="436"/>
      <c r="K118" s="587">
        <f>ROUNDDOWN((C117/0.2),0.1)+1</f>
        <v>21</v>
      </c>
      <c r="L118" s="587">
        <f>L117</f>
        <v>2</v>
      </c>
      <c r="M118" s="436">
        <f>(C118+G118)*F118*H118*K118*L118</f>
        <v>28.482300000000006</v>
      </c>
      <c r="N118" s="863" t="s">
        <v>100</v>
      </c>
      <c r="O118" s="860">
        <f t="shared" si="3"/>
        <v>28.48</v>
      </c>
    </row>
    <row r="119" spans="1:15" ht="15.75" customHeight="1">
      <c r="A119" s="430" t="s">
        <v>101</v>
      </c>
      <c r="B119" s="389" t="s">
        <v>732</v>
      </c>
      <c r="C119" s="868">
        <f>(0.12+0.22)*2</f>
        <v>0.67999999999999994</v>
      </c>
      <c r="D119" s="428"/>
      <c r="E119" s="428"/>
      <c r="F119" s="390">
        <f>8*8*0.006165</f>
        <v>0.39456000000000002</v>
      </c>
      <c r="G119" s="390">
        <f>0.05*2</f>
        <v>0.1</v>
      </c>
      <c r="H119" s="390"/>
      <c r="I119" s="390"/>
      <c r="J119" s="390"/>
      <c r="K119" s="428">
        <f>ROUNDDOWN((C117/0.15),0.1)+1</f>
        <v>27</v>
      </c>
      <c r="L119" s="428">
        <f>L118</f>
        <v>2</v>
      </c>
      <c r="M119" s="390">
        <f>(C119+G119)*F119*K119*L119</f>
        <v>16.6188672</v>
      </c>
      <c r="N119" s="839" t="s">
        <v>100</v>
      </c>
      <c r="O119" s="860">
        <f t="shared" si="3"/>
        <v>16.62</v>
      </c>
    </row>
    <row r="120" spans="1:15" ht="15.75" customHeight="1">
      <c r="A120" s="430" t="s">
        <v>121</v>
      </c>
      <c r="B120" s="389" t="s">
        <v>992</v>
      </c>
      <c r="C120" s="428">
        <f>C117</f>
        <v>4</v>
      </c>
      <c r="D120" s="428">
        <v>0.2</v>
      </c>
      <c r="E120" s="428">
        <v>0.3</v>
      </c>
      <c r="F120" s="390"/>
      <c r="G120" s="390"/>
      <c r="H120" s="390"/>
      <c r="I120" s="390"/>
      <c r="J120" s="390"/>
      <c r="K120" s="428"/>
      <c r="L120" s="428">
        <f>L119</f>
        <v>2</v>
      </c>
      <c r="M120" s="390">
        <f>C120*D120*E120*L120</f>
        <v>0.48</v>
      </c>
      <c r="N120" s="839" t="s">
        <v>103</v>
      </c>
      <c r="O120" s="860">
        <f t="shared" si="3"/>
        <v>0.48</v>
      </c>
    </row>
    <row r="121" spans="1:15" ht="15.75" customHeight="1">
      <c r="A121" s="430" t="s">
        <v>142</v>
      </c>
      <c r="B121" s="389" t="s">
        <v>1315</v>
      </c>
      <c r="C121" s="428"/>
      <c r="D121" s="428"/>
      <c r="E121" s="428"/>
      <c r="F121" s="390"/>
      <c r="G121" s="390"/>
      <c r="H121" s="390"/>
      <c r="I121" s="390"/>
      <c r="J121" s="390"/>
      <c r="K121" s="428"/>
      <c r="L121" s="428"/>
      <c r="M121" s="390">
        <f>M120</f>
        <v>0.48</v>
      </c>
      <c r="N121" s="839" t="s">
        <v>103</v>
      </c>
      <c r="O121" s="860">
        <f t="shared" si="3"/>
        <v>0.48</v>
      </c>
    </row>
    <row r="122" spans="1:15" ht="15.75" customHeight="1">
      <c r="A122" s="430" t="s">
        <v>217</v>
      </c>
      <c r="B122" s="389" t="s">
        <v>729</v>
      </c>
      <c r="C122" s="428"/>
      <c r="D122" s="428"/>
      <c r="E122" s="428"/>
      <c r="F122" s="390"/>
      <c r="G122" s="390"/>
      <c r="H122" s="390"/>
      <c r="I122" s="390"/>
      <c r="J122" s="390"/>
      <c r="K122" s="428"/>
      <c r="L122" s="428"/>
      <c r="M122" s="390">
        <f>M121</f>
        <v>0.48</v>
      </c>
      <c r="N122" s="839" t="s">
        <v>103</v>
      </c>
      <c r="O122" s="860">
        <f t="shared" si="3"/>
        <v>0.48</v>
      </c>
    </row>
    <row r="123" spans="1:15" ht="15.75" customHeight="1">
      <c r="A123" s="429">
        <f>A109+1</f>
        <v>8</v>
      </c>
      <c r="B123" s="389" t="s">
        <v>742</v>
      </c>
      <c r="C123" s="428"/>
      <c r="D123" s="428"/>
      <c r="E123" s="428"/>
      <c r="F123" s="390"/>
      <c r="G123" s="390"/>
      <c r="H123" s="390"/>
      <c r="I123" s="390"/>
      <c r="J123" s="390"/>
      <c r="K123" s="428"/>
      <c r="L123" s="428"/>
      <c r="M123" s="390"/>
      <c r="N123" s="839"/>
      <c r="O123" s="870"/>
    </row>
    <row r="124" spans="1:15" ht="15.75" customHeight="1">
      <c r="A124" s="430" t="s">
        <v>95</v>
      </c>
      <c r="B124" s="389" t="s">
        <v>423</v>
      </c>
      <c r="C124" s="428"/>
      <c r="D124" s="428"/>
      <c r="E124" s="428"/>
      <c r="F124" s="390"/>
      <c r="G124" s="390"/>
      <c r="H124" s="390"/>
      <c r="I124" s="390"/>
      <c r="J124" s="390"/>
      <c r="K124" s="428"/>
      <c r="L124" s="428"/>
      <c r="M124" s="390"/>
      <c r="N124" s="839"/>
      <c r="O124" s="860"/>
    </row>
    <row r="125" spans="1:15" ht="15.75" customHeight="1">
      <c r="A125" s="430"/>
      <c r="B125" s="389"/>
      <c r="C125" s="428">
        <f>6-0.15</f>
        <v>5.85</v>
      </c>
      <c r="D125" s="428">
        <v>0.15</v>
      </c>
      <c r="E125" s="428"/>
      <c r="F125" s="390"/>
      <c r="G125" s="390"/>
      <c r="H125" s="390">
        <v>1</v>
      </c>
      <c r="I125" s="390"/>
      <c r="J125" s="390"/>
      <c r="K125" s="428"/>
      <c r="L125" s="428">
        <v>4</v>
      </c>
      <c r="M125" s="428">
        <f>C125*D125*H125*L125</f>
        <v>3.51</v>
      </c>
      <c r="N125" s="839"/>
      <c r="O125" s="860"/>
    </row>
    <row r="126" spans="1:15" ht="15.75" customHeight="1">
      <c r="A126" s="430"/>
      <c r="B126" s="389"/>
      <c r="C126" s="428">
        <f>C125</f>
        <v>5.85</v>
      </c>
      <c r="D126" s="428"/>
      <c r="E126" s="428">
        <v>0.4</v>
      </c>
      <c r="F126" s="390"/>
      <c r="G126" s="390"/>
      <c r="H126" s="390">
        <v>2</v>
      </c>
      <c r="I126" s="390"/>
      <c r="J126" s="390"/>
      <c r="K126" s="428"/>
      <c r="L126" s="428">
        <f>L125</f>
        <v>4</v>
      </c>
      <c r="M126" s="590">
        <f>C126*E126*H126*L126</f>
        <v>18.72</v>
      </c>
      <c r="N126" s="839"/>
      <c r="O126" s="860"/>
    </row>
    <row r="127" spans="1:15" ht="15.75" customHeight="1">
      <c r="A127" s="430"/>
      <c r="B127" s="389"/>
      <c r="C127" s="428"/>
      <c r="D127" s="428"/>
      <c r="E127" s="428"/>
      <c r="F127" s="390"/>
      <c r="G127" s="390"/>
      <c r="H127" s="390"/>
      <c r="I127" s="390"/>
      <c r="J127" s="390"/>
      <c r="K127" s="428"/>
      <c r="L127" s="428"/>
      <c r="M127" s="390">
        <f>SUM(M125:M126)</f>
        <v>22.229999999999997</v>
      </c>
      <c r="N127" s="839" t="s">
        <v>89</v>
      </c>
      <c r="O127" s="860">
        <f t="shared" ref="O127:O132" si="4">ROUND((M127),2)</f>
        <v>22.23</v>
      </c>
    </row>
    <row r="128" spans="1:15" ht="15.75" customHeight="1">
      <c r="A128" s="430" t="s">
        <v>101</v>
      </c>
      <c r="B128" s="389" t="s">
        <v>743</v>
      </c>
      <c r="C128" s="428">
        <f>C126</f>
        <v>5.85</v>
      </c>
      <c r="D128" s="428"/>
      <c r="E128" s="428"/>
      <c r="F128" s="390">
        <f>10*10*0.006165</f>
        <v>0.61650000000000005</v>
      </c>
      <c r="G128" s="390"/>
      <c r="H128" s="390"/>
      <c r="I128" s="390"/>
      <c r="J128" s="390"/>
      <c r="K128" s="428">
        <v>5</v>
      </c>
      <c r="L128" s="428">
        <f>L125</f>
        <v>4</v>
      </c>
      <c r="M128" s="390">
        <f>C128*F128*K128*L128</f>
        <v>72.130499999999998</v>
      </c>
      <c r="N128" s="839" t="s">
        <v>100</v>
      </c>
      <c r="O128" s="860">
        <f t="shared" si="4"/>
        <v>72.13</v>
      </c>
    </row>
    <row r="129" spans="1:15" ht="15.75" customHeight="1">
      <c r="A129" s="430" t="s">
        <v>121</v>
      </c>
      <c r="B129" s="389" t="s">
        <v>735</v>
      </c>
      <c r="C129" s="868">
        <v>0.45</v>
      </c>
      <c r="D129" s="868"/>
      <c r="E129" s="868"/>
      <c r="F129" s="871">
        <f>10*10*0.006165</f>
        <v>0.61650000000000005</v>
      </c>
      <c r="G129" s="871">
        <f>0.05*2</f>
        <v>0.1</v>
      </c>
      <c r="H129" s="871">
        <v>2</v>
      </c>
      <c r="I129" s="871"/>
      <c r="J129" s="871"/>
      <c r="K129" s="868">
        <f>ROUNDDOWN((C128/0.2),0.1)+1</f>
        <v>30</v>
      </c>
      <c r="L129" s="868">
        <f>L128</f>
        <v>4</v>
      </c>
      <c r="M129" s="871">
        <f>(C129+G129)*F129*H129*K129*L129</f>
        <v>81.378000000000014</v>
      </c>
      <c r="N129" s="839" t="s">
        <v>100</v>
      </c>
      <c r="O129" s="860">
        <f t="shared" si="4"/>
        <v>81.38</v>
      </c>
    </row>
    <row r="130" spans="1:15" ht="15.75" customHeight="1">
      <c r="A130" s="430" t="s">
        <v>142</v>
      </c>
      <c r="B130" s="389" t="s">
        <v>732</v>
      </c>
      <c r="C130" s="868">
        <f>(0.12+0.32)*2</f>
        <v>0.88</v>
      </c>
      <c r="D130" s="428"/>
      <c r="E130" s="428"/>
      <c r="F130" s="390">
        <f>8*8*0.006165</f>
        <v>0.39456000000000002</v>
      </c>
      <c r="G130" s="390">
        <f>0.05*2</f>
        <v>0.1</v>
      </c>
      <c r="H130" s="390"/>
      <c r="I130" s="390"/>
      <c r="J130" s="390"/>
      <c r="K130" s="428">
        <f>ROUNDDOWN((C128/0.15),0.1)+1</f>
        <v>40</v>
      </c>
      <c r="L130" s="428">
        <f>L129</f>
        <v>4</v>
      </c>
      <c r="M130" s="390">
        <f>(C130+G130)*F130*K130*L130</f>
        <v>61.867008000000006</v>
      </c>
      <c r="N130" s="839" t="s">
        <v>100</v>
      </c>
      <c r="O130" s="860">
        <f t="shared" si="4"/>
        <v>61.87</v>
      </c>
    </row>
    <row r="131" spans="1:15" ht="15.75" customHeight="1">
      <c r="A131" s="430" t="s">
        <v>217</v>
      </c>
      <c r="B131" s="389" t="s">
        <v>420</v>
      </c>
      <c r="C131" s="428">
        <f>C128</f>
        <v>5.85</v>
      </c>
      <c r="D131" s="428">
        <v>0.15</v>
      </c>
      <c r="E131" s="428">
        <v>0.4</v>
      </c>
      <c r="F131" s="390"/>
      <c r="G131" s="390"/>
      <c r="H131" s="390"/>
      <c r="I131" s="390"/>
      <c r="J131" s="390"/>
      <c r="K131" s="428"/>
      <c r="L131" s="428">
        <f>L130</f>
        <v>4</v>
      </c>
      <c r="M131" s="390">
        <f>C131*D131*E131*L131</f>
        <v>1.4039999999999999</v>
      </c>
      <c r="N131" s="839" t="s">
        <v>103</v>
      </c>
      <c r="O131" s="860">
        <f t="shared" si="4"/>
        <v>1.4</v>
      </c>
    </row>
    <row r="132" spans="1:15" ht="15.75" customHeight="1">
      <c r="A132" s="430" t="s">
        <v>366</v>
      </c>
      <c r="B132" s="389" t="s">
        <v>729</v>
      </c>
      <c r="C132" s="428"/>
      <c r="D132" s="428"/>
      <c r="E132" s="428"/>
      <c r="F132" s="390"/>
      <c r="G132" s="390"/>
      <c r="H132" s="390"/>
      <c r="I132" s="390"/>
      <c r="J132" s="390"/>
      <c r="K132" s="428"/>
      <c r="L132" s="428"/>
      <c r="M132" s="390">
        <f>M131</f>
        <v>1.4039999999999999</v>
      </c>
      <c r="N132" s="839" t="s">
        <v>103</v>
      </c>
      <c r="O132" s="860">
        <f t="shared" si="4"/>
        <v>1.4</v>
      </c>
    </row>
    <row r="133" spans="1:15" ht="15.75" customHeight="1">
      <c r="A133" s="429">
        <f>A123+1</f>
        <v>9</v>
      </c>
      <c r="B133" s="389" t="s">
        <v>483</v>
      </c>
      <c r="C133" s="428"/>
      <c r="D133" s="428"/>
      <c r="E133" s="428"/>
      <c r="F133" s="390"/>
      <c r="G133" s="390"/>
      <c r="H133" s="390"/>
      <c r="I133" s="390"/>
      <c r="J133" s="390"/>
      <c r="K133" s="428"/>
      <c r="L133" s="428"/>
      <c r="M133" s="390"/>
      <c r="N133" s="839"/>
      <c r="O133" s="442"/>
    </row>
    <row r="134" spans="1:15" ht="15.75" customHeight="1">
      <c r="A134" s="430" t="s">
        <v>95</v>
      </c>
      <c r="B134" s="389" t="s">
        <v>211</v>
      </c>
      <c r="C134" s="428"/>
      <c r="D134" s="428"/>
      <c r="E134" s="428"/>
      <c r="F134" s="390"/>
      <c r="G134" s="390"/>
      <c r="H134" s="390"/>
      <c r="I134" s="390"/>
      <c r="J134" s="390"/>
      <c r="K134" s="428"/>
      <c r="L134" s="428"/>
      <c r="M134" s="390"/>
      <c r="N134" s="839"/>
      <c r="O134" s="442"/>
    </row>
    <row r="135" spans="1:15" ht="15.75" customHeight="1">
      <c r="A135" s="430"/>
      <c r="B135" s="682" t="s">
        <v>291</v>
      </c>
      <c r="C135" s="428">
        <v>6</v>
      </c>
      <c r="D135" s="428">
        <v>6</v>
      </c>
      <c r="E135" s="428"/>
      <c r="F135" s="390"/>
      <c r="G135" s="390"/>
      <c r="H135" s="390"/>
      <c r="I135" s="390"/>
      <c r="J135" s="390"/>
      <c r="K135" s="428"/>
      <c r="L135" s="428"/>
      <c r="M135" s="390">
        <f>C135*D135</f>
        <v>36</v>
      </c>
      <c r="N135" s="839"/>
      <c r="O135" s="442"/>
    </row>
    <row r="136" spans="1:15" ht="15.75" customHeight="1">
      <c r="A136" s="430"/>
      <c r="B136" s="682" t="s">
        <v>223</v>
      </c>
      <c r="C136" s="428">
        <f>C135</f>
        <v>6</v>
      </c>
      <c r="D136" s="428"/>
      <c r="E136" s="428">
        <v>0.15</v>
      </c>
      <c r="F136" s="390"/>
      <c r="G136" s="390"/>
      <c r="H136" s="390">
        <v>2</v>
      </c>
      <c r="I136" s="390"/>
      <c r="J136" s="390"/>
      <c r="K136" s="428"/>
      <c r="L136" s="428"/>
      <c r="M136" s="390">
        <f>C136*E136*H136</f>
        <v>1.7999999999999998</v>
      </c>
      <c r="N136" s="839"/>
      <c r="O136" s="442"/>
    </row>
    <row r="137" spans="1:15" ht="15.75" customHeight="1">
      <c r="A137" s="430"/>
      <c r="B137" s="682"/>
      <c r="C137" s="428">
        <f>D135</f>
        <v>6</v>
      </c>
      <c r="D137" s="428"/>
      <c r="E137" s="428">
        <f>E136</f>
        <v>0.15</v>
      </c>
      <c r="F137" s="390"/>
      <c r="G137" s="390"/>
      <c r="H137" s="390">
        <f>H136</f>
        <v>2</v>
      </c>
      <c r="I137" s="390"/>
      <c r="J137" s="390"/>
      <c r="K137" s="428"/>
      <c r="L137" s="428"/>
      <c r="M137" s="390">
        <f>C137*E137*H137</f>
        <v>1.7999999999999998</v>
      </c>
      <c r="N137" s="839"/>
      <c r="O137" s="442"/>
    </row>
    <row r="138" spans="1:15" ht="15.75" customHeight="1">
      <c r="A138" s="430"/>
      <c r="B138" s="682" t="s">
        <v>1119</v>
      </c>
      <c r="C138" s="428"/>
      <c r="D138" s="428"/>
      <c r="E138" s="428"/>
      <c r="F138" s="390"/>
      <c r="G138" s="390"/>
      <c r="H138" s="390"/>
      <c r="I138" s="390"/>
      <c r="J138" s="390"/>
      <c r="K138" s="428"/>
      <c r="L138" s="428"/>
      <c r="M138" s="390"/>
      <c r="N138" s="839"/>
      <c r="O138" s="442"/>
    </row>
    <row r="139" spans="1:15" ht="15.75" customHeight="1">
      <c r="A139" s="430"/>
      <c r="B139" s="682" t="str">
        <f>B76</f>
        <v>Horisontal</v>
      </c>
      <c r="C139" s="428">
        <f>C104</f>
        <v>5.7</v>
      </c>
      <c r="D139" s="428">
        <f>D104</f>
        <v>0.2</v>
      </c>
      <c r="E139" s="428"/>
      <c r="F139" s="390"/>
      <c r="G139" s="390"/>
      <c r="H139" s="390"/>
      <c r="I139" s="390"/>
      <c r="J139" s="390"/>
      <c r="K139" s="428"/>
      <c r="L139" s="428">
        <f>L104</f>
        <v>4</v>
      </c>
      <c r="M139" s="390">
        <f>-C139*D139*L139</f>
        <v>-4.5600000000000005</v>
      </c>
      <c r="N139" s="839"/>
      <c r="O139" s="442"/>
    </row>
    <row r="140" spans="1:15" ht="15.75" customHeight="1">
      <c r="A140" s="430"/>
      <c r="B140" s="682">
        <f>B80</f>
        <v>0</v>
      </c>
      <c r="C140" s="428">
        <f>C105</f>
        <v>0</v>
      </c>
      <c r="D140" s="428">
        <f>D105</f>
        <v>0</v>
      </c>
      <c r="E140" s="428"/>
      <c r="F140" s="390"/>
      <c r="G140" s="390"/>
      <c r="H140" s="390"/>
      <c r="I140" s="390"/>
      <c r="J140" s="390"/>
      <c r="K140" s="428"/>
      <c r="L140" s="428">
        <f>L105</f>
        <v>0</v>
      </c>
      <c r="M140" s="428">
        <f>-C140*D140*L140</f>
        <v>0</v>
      </c>
      <c r="N140" s="839"/>
      <c r="O140" s="442"/>
    </row>
    <row r="141" spans="1:15" ht="15.75" customHeight="1">
      <c r="A141" s="430"/>
      <c r="B141" s="682" t="s">
        <v>1120</v>
      </c>
      <c r="C141" s="428">
        <f>C120</f>
        <v>4</v>
      </c>
      <c r="D141" s="428">
        <f>D120</f>
        <v>0.2</v>
      </c>
      <c r="E141" s="428"/>
      <c r="F141" s="390"/>
      <c r="G141" s="390"/>
      <c r="H141" s="390"/>
      <c r="I141" s="390"/>
      <c r="J141" s="390"/>
      <c r="K141" s="428"/>
      <c r="L141" s="428">
        <f>L120</f>
        <v>2</v>
      </c>
      <c r="M141" s="869">
        <f>-C141*D141*L141</f>
        <v>-1.6</v>
      </c>
      <c r="N141" s="839"/>
      <c r="O141" s="442"/>
    </row>
    <row r="142" spans="1:15" ht="15.75" customHeight="1">
      <c r="A142" s="430"/>
      <c r="B142" s="682"/>
      <c r="C142" s="428"/>
      <c r="D142" s="428"/>
      <c r="E142" s="428"/>
      <c r="F142" s="390"/>
      <c r="G142" s="390"/>
      <c r="H142" s="390"/>
      <c r="I142" s="390"/>
      <c r="J142" s="390"/>
      <c r="K142" s="428"/>
      <c r="L142" s="428"/>
      <c r="M142" s="390">
        <f>SUM(M135:M141)</f>
        <v>33.439999999999991</v>
      </c>
      <c r="N142" s="839" t="s">
        <v>89</v>
      </c>
      <c r="O142" s="860">
        <f>ROUND((M142),2)</f>
        <v>33.44</v>
      </c>
    </row>
    <row r="143" spans="1:15" ht="15.75" customHeight="1">
      <c r="A143" s="430" t="s">
        <v>98</v>
      </c>
      <c r="B143" s="389" t="s">
        <v>1121</v>
      </c>
      <c r="C143" s="428">
        <f>C135</f>
        <v>6</v>
      </c>
      <c r="D143" s="428">
        <f>D135</f>
        <v>6</v>
      </c>
      <c r="E143" s="428"/>
      <c r="F143" s="390"/>
      <c r="G143" s="390"/>
      <c r="H143" s="390">
        <v>2</v>
      </c>
      <c r="I143" s="390"/>
      <c r="J143" s="390"/>
      <c r="K143" s="428"/>
      <c r="L143" s="428"/>
      <c r="M143" s="390">
        <f>C143*D143*H143</f>
        <v>72</v>
      </c>
      <c r="N143" s="839" t="s">
        <v>89</v>
      </c>
      <c r="O143" s="860">
        <f>ROUND((M143),2)</f>
        <v>72</v>
      </c>
    </row>
    <row r="144" spans="1:15" ht="15.75" customHeight="1">
      <c r="A144" s="430" t="s">
        <v>101</v>
      </c>
      <c r="B144" s="389" t="s">
        <v>992</v>
      </c>
      <c r="C144" s="428"/>
      <c r="D144" s="428"/>
      <c r="E144" s="428"/>
      <c r="F144" s="390"/>
      <c r="G144" s="390"/>
      <c r="H144" s="390"/>
      <c r="I144" s="390"/>
      <c r="J144" s="390"/>
      <c r="K144" s="428"/>
      <c r="L144" s="428"/>
      <c r="M144" s="390"/>
      <c r="N144" s="839"/>
      <c r="O144" s="442"/>
    </row>
    <row r="145" spans="1:15" ht="15.75" customHeight="1">
      <c r="A145" s="430"/>
      <c r="B145" s="682" t="s">
        <v>1122</v>
      </c>
      <c r="C145" s="428">
        <f>C143</f>
        <v>6</v>
      </c>
      <c r="D145" s="428">
        <f>D143</f>
        <v>6</v>
      </c>
      <c r="E145" s="428">
        <v>0.15</v>
      </c>
      <c r="F145" s="390"/>
      <c r="G145" s="390"/>
      <c r="H145" s="390"/>
      <c r="I145" s="390"/>
      <c r="J145" s="390"/>
      <c r="K145" s="428"/>
      <c r="L145" s="428"/>
      <c r="M145" s="390">
        <f>C145*D145*E145</f>
        <v>5.3999999999999995</v>
      </c>
      <c r="N145" s="839"/>
      <c r="O145" s="442"/>
    </row>
    <row r="146" spans="1:15" ht="15.75" customHeight="1">
      <c r="A146" s="430"/>
      <c r="B146" s="682" t="str">
        <f>B138</f>
        <v>Pekerjaan Balok Beton B-1 25/50</v>
      </c>
      <c r="C146" s="428"/>
      <c r="D146" s="428"/>
      <c r="E146" s="428"/>
      <c r="F146" s="390"/>
      <c r="G146" s="390"/>
      <c r="H146" s="390"/>
      <c r="I146" s="390"/>
      <c r="J146" s="390"/>
      <c r="K146" s="428"/>
      <c r="L146" s="428"/>
      <c r="M146" s="390"/>
      <c r="N146" s="839"/>
      <c r="O146" s="442"/>
    </row>
    <row r="147" spans="1:15" ht="15.75" customHeight="1">
      <c r="A147" s="430"/>
      <c r="B147" s="682" t="str">
        <f>B139</f>
        <v>Horisontal</v>
      </c>
      <c r="C147" s="428">
        <f t="shared" ref="C147:D149" si="5">C139</f>
        <v>5.7</v>
      </c>
      <c r="D147" s="428">
        <f t="shared" si="5"/>
        <v>0.2</v>
      </c>
      <c r="E147" s="428">
        <f>E145</f>
        <v>0.15</v>
      </c>
      <c r="F147" s="390"/>
      <c r="G147" s="390"/>
      <c r="H147" s="390"/>
      <c r="I147" s="390"/>
      <c r="J147" s="390"/>
      <c r="K147" s="428"/>
      <c r="L147" s="428">
        <f>L139</f>
        <v>4</v>
      </c>
      <c r="M147" s="390">
        <f>-C147*D147*E147*L147</f>
        <v>-0.68400000000000005</v>
      </c>
      <c r="N147" s="839"/>
      <c r="O147" s="442"/>
    </row>
    <row r="148" spans="1:15" ht="15.75" customHeight="1">
      <c r="A148" s="430"/>
      <c r="B148" s="682">
        <f>B140</f>
        <v>0</v>
      </c>
      <c r="C148" s="428">
        <f t="shared" si="5"/>
        <v>0</v>
      </c>
      <c r="D148" s="428">
        <f t="shared" si="5"/>
        <v>0</v>
      </c>
      <c r="E148" s="428">
        <f>E147</f>
        <v>0.15</v>
      </c>
      <c r="F148" s="390"/>
      <c r="G148" s="390"/>
      <c r="H148" s="390"/>
      <c r="I148" s="390"/>
      <c r="J148" s="390"/>
      <c r="K148" s="428"/>
      <c r="L148" s="428">
        <f>L140</f>
        <v>0</v>
      </c>
      <c r="M148" s="428">
        <f>-C148*D148*E148*L148</f>
        <v>0</v>
      </c>
      <c r="N148" s="839"/>
      <c r="O148" s="442"/>
    </row>
    <row r="149" spans="1:15" ht="15.75" customHeight="1">
      <c r="A149" s="430"/>
      <c r="B149" s="682" t="str">
        <f>B141</f>
        <v>Pekerjaan Balok Beton B-2 20/40</v>
      </c>
      <c r="C149" s="428">
        <f t="shared" si="5"/>
        <v>4</v>
      </c>
      <c r="D149" s="428">
        <f t="shared" si="5"/>
        <v>0.2</v>
      </c>
      <c r="E149" s="428">
        <f>E148</f>
        <v>0.15</v>
      </c>
      <c r="F149" s="390"/>
      <c r="G149" s="390"/>
      <c r="H149" s="390"/>
      <c r="I149" s="390"/>
      <c r="J149" s="390"/>
      <c r="K149" s="428"/>
      <c r="L149" s="428">
        <f>L141</f>
        <v>2</v>
      </c>
      <c r="M149" s="869">
        <f>-C149*D149*E149*L149</f>
        <v>-0.24</v>
      </c>
      <c r="N149" s="839"/>
      <c r="O149" s="442"/>
    </row>
    <row r="150" spans="1:15" ht="15.75" customHeight="1">
      <c r="A150" s="430"/>
      <c r="B150" s="682"/>
      <c r="C150" s="428"/>
      <c r="D150" s="428"/>
      <c r="E150" s="428"/>
      <c r="F150" s="390"/>
      <c r="G150" s="390"/>
      <c r="H150" s="390"/>
      <c r="I150" s="390"/>
      <c r="J150" s="390"/>
      <c r="K150" s="428"/>
      <c r="L150" s="428"/>
      <c r="M150" s="390">
        <f>SUM(M145:M149)</f>
        <v>4.4759999999999991</v>
      </c>
      <c r="N150" s="839" t="s">
        <v>103</v>
      </c>
      <c r="O150" s="860">
        <f>ROUND((M150),2)</f>
        <v>4.4800000000000004</v>
      </c>
    </row>
    <row r="151" spans="1:15" ht="15.75" customHeight="1">
      <c r="A151" s="430" t="s">
        <v>121</v>
      </c>
      <c r="B151" s="389" t="s">
        <v>1315</v>
      </c>
      <c r="C151" s="428"/>
      <c r="D151" s="428"/>
      <c r="E151" s="428"/>
      <c r="F151" s="390"/>
      <c r="G151" s="390"/>
      <c r="H151" s="390"/>
      <c r="I151" s="390"/>
      <c r="J151" s="390"/>
      <c r="K151" s="428"/>
      <c r="L151" s="428"/>
      <c r="M151" s="390">
        <f>M150</f>
        <v>4.4759999999999991</v>
      </c>
      <c r="N151" s="839" t="s">
        <v>103</v>
      </c>
      <c r="O151" s="860">
        <f>ROUND((M151),2)</f>
        <v>4.4800000000000004</v>
      </c>
    </row>
    <row r="152" spans="1:15" ht="15.75" customHeight="1">
      <c r="A152" s="430" t="s">
        <v>142</v>
      </c>
      <c r="B152" s="432" t="s">
        <v>729</v>
      </c>
      <c r="C152" s="428"/>
      <c r="D152" s="428"/>
      <c r="E152" s="428"/>
      <c r="F152" s="390"/>
      <c r="G152" s="390"/>
      <c r="H152" s="390"/>
      <c r="I152" s="390"/>
      <c r="J152" s="390"/>
      <c r="K152" s="428"/>
      <c r="L152" s="428"/>
      <c r="M152" s="390">
        <f>M151</f>
        <v>4.4759999999999991</v>
      </c>
      <c r="N152" s="839" t="s">
        <v>103</v>
      </c>
      <c r="O152" s="860">
        <f>ROUND((M152),2)</f>
        <v>4.4800000000000004</v>
      </c>
    </row>
    <row r="153" spans="1:15" ht="15.75" customHeight="1">
      <c r="A153" s="425" t="s">
        <v>1316</v>
      </c>
      <c r="B153" s="426" t="s">
        <v>745</v>
      </c>
      <c r="C153" s="428"/>
      <c r="D153" s="428"/>
      <c r="E153" s="428"/>
      <c r="F153" s="390"/>
      <c r="G153" s="390"/>
      <c r="H153" s="390"/>
      <c r="I153" s="390"/>
      <c r="J153" s="390"/>
      <c r="K153" s="428"/>
      <c r="L153" s="428"/>
      <c r="M153" s="390"/>
      <c r="N153" s="839"/>
      <c r="O153" s="442"/>
    </row>
    <row r="154" spans="1:15" s="865" customFormat="1" ht="15.75" hidden="1" customHeight="1">
      <c r="A154" s="434">
        <v>1</v>
      </c>
      <c r="B154" s="435" t="s">
        <v>1317</v>
      </c>
      <c r="C154" s="587"/>
      <c r="D154" s="587"/>
      <c r="E154" s="587"/>
      <c r="F154" s="436"/>
      <c r="G154" s="436"/>
      <c r="H154" s="436"/>
      <c r="I154" s="436"/>
      <c r="J154" s="436"/>
      <c r="K154" s="587"/>
      <c r="L154" s="587"/>
      <c r="M154" s="436"/>
      <c r="N154" s="863"/>
      <c r="O154" s="864"/>
    </row>
    <row r="155" spans="1:15" s="865" customFormat="1" ht="15.75" hidden="1" customHeight="1">
      <c r="A155" s="438" t="s">
        <v>95</v>
      </c>
      <c r="B155" s="435" t="s">
        <v>1318</v>
      </c>
      <c r="C155" s="587"/>
      <c r="D155" s="587"/>
      <c r="E155" s="587"/>
      <c r="F155" s="436"/>
      <c r="G155" s="436"/>
      <c r="H155" s="436"/>
      <c r="I155" s="436"/>
      <c r="J155" s="436"/>
      <c r="K155" s="587"/>
      <c r="L155" s="587"/>
      <c r="M155" s="436">
        <v>1</v>
      </c>
      <c r="N155" s="863" t="s">
        <v>360</v>
      </c>
      <c r="O155" s="867">
        <f>ROUND((M155),2)</f>
        <v>1</v>
      </c>
    </row>
    <row r="156" spans="1:15" s="865" customFormat="1" ht="15.75" hidden="1" customHeight="1">
      <c r="A156" s="438" t="s">
        <v>98</v>
      </c>
      <c r="B156" s="435" t="s">
        <v>1319</v>
      </c>
      <c r="C156" s="587"/>
      <c r="D156" s="587"/>
      <c r="E156" s="587"/>
      <c r="F156" s="436"/>
      <c r="G156" s="436"/>
      <c r="H156" s="436"/>
      <c r="I156" s="436"/>
      <c r="J156" s="436"/>
      <c r="K156" s="587"/>
      <c r="L156" s="587"/>
      <c r="M156" s="436">
        <v>1</v>
      </c>
      <c r="N156" s="863" t="s">
        <v>360</v>
      </c>
      <c r="O156" s="867">
        <f>ROUND((M156),2)</f>
        <v>1</v>
      </c>
    </row>
    <row r="157" spans="1:15" ht="15.75" customHeight="1">
      <c r="A157" s="429">
        <v>1</v>
      </c>
      <c r="B157" s="389" t="s">
        <v>749</v>
      </c>
      <c r="C157" s="428"/>
      <c r="D157" s="428"/>
      <c r="E157" s="428"/>
      <c r="F157" s="390"/>
      <c r="G157" s="390"/>
      <c r="H157" s="390"/>
      <c r="I157" s="390"/>
      <c r="J157" s="390"/>
      <c r="K157" s="428"/>
      <c r="L157" s="428"/>
      <c r="M157" s="390"/>
      <c r="N157" s="839"/>
      <c r="O157" s="442"/>
    </row>
    <row r="158" spans="1:15" ht="15.75" customHeight="1">
      <c r="A158" s="430" t="s">
        <v>95</v>
      </c>
      <c r="B158" s="389" t="s">
        <v>750</v>
      </c>
      <c r="C158" s="428"/>
      <c r="D158" s="428"/>
      <c r="E158" s="428"/>
      <c r="F158" s="390"/>
      <c r="G158" s="390"/>
      <c r="H158" s="390"/>
      <c r="I158" s="390"/>
      <c r="J158" s="390"/>
      <c r="K158" s="428"/>
      <c r="L158" s="428"/>
      <c r="M158" s="390">
        <v>3</v>
      </c>
      <c r="N158" s="839" t="s">
        <v>124</v>
      </c>
      <c r="O158" s="860">
        <f>ROUND((M158),2)</f>
        <v>3</v>
      </c>
    </row>
    <row r="159" spans="1:15" ht="15.75" customHeight="1">
      <c r="A159" s="430" t="s">
        <v>98</v>
      </c>
      <c r="B159" s="389" t="s">
        <v>1320</v>
      </c>
      <c r="C159" s="428"/>
      <c r="D159" s="428"/>
      <c r="E159" s="428"/>
      <c r="F159" s="390"/>
      <c r="G159" s="390"/>
      <c r="H159" s="390"/>
      <c r="I159" s="390"/>
      <c r="J159" s="390"/>
      <c r="K159" s="428"/>
      <c r="L159" s="428"/>
      <c r="M159" s="390">
        <f>M158</f>
        <v>3</v>
      </c>
      <c r="N159" s="839" t="s">
        <v>124</v>
      </c>
      <c r="O159" s="860">
        <f>ROUND((M159),2)</f>
        <v>3</v>
      </c>
    </row>
    <row r="160" spans="1:15" ht="27.75" customHeight="1">
      <c r="A160" s="430" t="s">
        <v>101</v>
      </c>
      <c r="B160" s="872" t="s">
        <v>752</v>
      </c>
      <c r="C160" s="428"/>
      <c r="D160" s="428"/>
      <c r="E160" s="428"/>
      <c r="F160" s="390"/>
      <c r="G160" s="390"/>
      <c r="H160" s="390"/>
      <c r="I160" s="390"/>
      <c r="J160" s="390"/>
      <c r="K160" s="428"/>
      <c r="L160" s="428"/>
      <c r="M160" s="390">
        <f>M159</f>
        <v>3</v>
      </c>
      <c r="N160" s="839" t="s">
        <v>124</v>
      </c>
      <c r="O160" s="860">
        <f>ROUND((M160),2)</f>
        <v>3</v>
      </c>
    </row>
    <row r="161" spans="1:15" ht="27.75" customHeight="1">
      <c r="A161" s="430" t="s">
        <v>121</v>
      </c>
      <c r="B161" s="872" t="s">
        <v>753</v>
      </c>
      <c r="C161" s="428"/>
      <c r="D161" s="428"/>
      <c r="E161" s="428"/>
      <c r="F161" s="390"/>
      <c r="G161" s="390"/>
      <c r="H161" s="390"/>
      <c r="I161" s="390"/>
      <c r="J161" s="390"/>
      <c r="K161" s="428"/>
      <c r="L161" s="428"/>
      <c r="M161" s="390">
        <f>M160</f>
        <v>3</v>
      </c>
      <c r="N161" s="839" t="s">
        <v>124</v>
      </c>
      <c r="O161" s="860">
        <f>ROUND((M161),2)</f>
        <v>3</v>
      </c>
    </row>
    <row r="162" spans="1:15" ht="15.75" customHeight="1">
      <c r="A162" s="429">
        <f>A157+1</f>
        <v>2</v>
      </c>
      <c r="B162" s="389" t="s">
        <v>754</v>
      </c>
      <c r="C162" s="428"/>
      <c r="D162" s="428"/>
      <c r="E162" s="428"/>
      <c r="F162" s="390"/>
      <c r="G162" s="390"/>
      <c r="H162" s="390"/>
      <c r="I162" s="390"/>
      <c r="J162" s="390"/>
      <c r="K162" s="428"/>
      <c r="L162" s="428"/>
      <c r="M162" s="390"/>
      <c r="N162" s="839"/>
      <c r="O162" s="442"/>
    </row>
    <row r="163" spans="1:15" ht="15.75" customHeight="1">
      <c r="A163" s="430" t="s">
        <v>95</v>
      </c>
      <c r="B163" s="389" t="s">
        <v>1321</v>
      </c>
      <c r="C163" s="428"/>
      <c r="D163" s="428"/>
      <c r="E163" s="428"/>
      <c r="F163" s="390"/>
      <c r="G163" s="390"/>
      <c r="H163" s="390"/>
      <c r="I163" s="390"/>
      <c r="J163" s="390"/>
      <c r="K163" s="428"/>
      <c r="L163" s="428"/>
      <c r="M163" s="390"/>
      <c r="N163" s="839"/>
      <c r="O163" s="860"/>
    </row>
    <row r="164" spans="1:15" ht="15.75" customHeight="1">
      <c r="A164" s="430"/>
      <c r="B164" s="682" t="s">
        <v>136</v>
      </c>
      <c r="C164" s="428">
        <v>45.57</v>
      </c>
      <c r="D164" s="428"/>
      <c r="E164" s="428"/>
      <c r="F164" s="390"/>
      <c r="G164" s="390"/>
      <c r="H164" s="390"/>
      <c r="I164" s="390"/>
      <c r="J164" s="390"/>
      <c r="K164" s="428"/>
      <c r="L164" s="428"/>
      <c r="M164" s="390">
        <f>SUM(C164:L164)</f>
        <v>45.57</v>
      </c>
      <c r="N164" s="839"/>
      <c r="O164" s="860"/>
    </row>
    <row r="165" spans="1:15" ht="15.75" customHeight="1">
      <c r="A165" s="430"/>
      <c r="B165" s="682" t="s">
        <v>1044</v>
      </c>
      <c r="C165" s="428">
        <v>2.5</v>
      </c>
      <c r="D165" s="428">
        <v>1.5</v>
      </c>
      <c r="E165" s="428">
        <v>2</v>
      </c>
      <c r="F165" s="390">
        <v>2.2000000000000002</v>
      </c>
      <c r="G165" s="390"/>
      <c r="H165" s="390"/>
      <c r="I165" s="390"/>
      <c r="J165" s="390"/>
      <c r="K165" s="428"/>
      <c r="L165" s="428"/>
      <c r="M165" s="590">
        <f>SUM(C165:L165)</f>
        <v>8.1999999999999993</v>
      </c>
      <c r="N165" s="839"/>
      <c r="O165" s="860"/>
    </row>
    <row r="166" spans="1:15" ht="15.75" customHeight="1">
      <c r="A166" s="430"/>
      <c r="B166" s="389"/>
      <c r="C166" s="428"/>
      <c r="D166" s="428"/>
      <c r="E166" s="428"/>
      <c r="F166" s="390"/>
      <c r="G166" s="390"/>
      <c r="H166" s="390"/>
      <c r="I166" s="390"/>
      <c r="J166" s="390"/>
      <c r="K166" s="428"/>
      <c r="L166" s="428"/>
      <c r="M166" s="390">
        <f>SUM(M164:M165)</f>
        <v>53.769999999999996</v>
      </c>
      <c r="N166" s="839" t="s">
        <v>117</v>
      </c>
      <c r="O166" s="860">
        <f>ROUND((M166),2)</f>
        <v>53.77</v>
      </c>
    </row>
    <row r="167" spans="1:15" s="865" customFormat="1" ht="27.75" hidden="1" customHeight="1">
      <c r="A167" s="438" t="s">
        <v>98</v>
      </c>
      <c r="B167" s="873" t="s">
        <v>1322</v>
      </c>
      <c r="C167" s="587"/>
      <c r="D167" s="587"/>
      <c r="E167" s="587"/>
      <c r="F167" s="436"/>
      <c r="G167" s="436"/>
      <c r="H167" s="436"/>
      <c r="I167" s="436"/>
      <c r="J167" s="436"/>
      <c r="K167" s="587"/>
      <c r="L167" s="587"/>
      <c r="M167" s="436"/>
      <c r="N167" s="863"/>
      <c r="O167" s="867"/>
    </row>
    <row r="168" spans="1:15" s="865" customFormat="1" ht="15.75" hidden="1" customHeight="1">
      <c r="A168" s="438"/>
      <c r="B168" s="866" t="s">
        <v>136</v>
      </c>
      <c r="C168" s="587">
        <v>6.3</v>
      </c>
      <c r="D168" s="587">
        <v>8.1999999999999993</v>
      </c>
      <c r="E168" s="587">
        <v>7</v>
      </c>
      <c r="F168" s="436">
        <v>3.9</v>
      </c>
      <c r="G168" s="436">
        <v>12.05</v>
      </c>
      <c r="H168" s="436">
        <v>6</v>
      </c>
      <c r="I168" s="436">
        <v>23.5</v>
      </c>
      <c r="J168" s="436"/>
      <c r="K168" s="587"/>
      <c r="L168" s="587"/>
      <c r="M168" s="436">
        <f>SUM(C168:L168)</f>
        <v>66.95</v>
      </c>
      <c r="N168" s="863"/>
      <c r="O168" s="867"/>
    </row>
    <row r="169" spans="1:15" s="865" customFormat="1" ht="15.75" hidden="1" customHeight="1">
      <c r="A169" s="438"/>
      <c r="B169" s="866" t="s">
        <v>1044</v>
      </c>
      <c r="C169" s="587">
        <v>113.8</v>
      </c>
      <c r="D169" s="587"/>
      <c r="E169" s="587"/>
      <c r="F169" s="436"/>
      <c r="G169" s="436"/>
      <c r="H169" s="436"/>
      <c r="I169" s="436"/>
      <c r="J169" s="436"/>
      <c r="K169" s="587"/>
      <c r="L169" s="587"/>
      <c r="M169" s="588">
        <f>SUM(C169:L169)</f>
        <v>113.8</v>
      </c>
      <c r="N169" s="863"/>
      <c r="O169" s="867"/>
    </row>
    <row r="170" spans="1:15" s="865" customFormat="1" ht="15.75" hidden="1" customHeight="1">
      <c r="A170" s="438"/>
      <c r="B170" s="873"/>
      <c r="C170" s="587"/>
      <c r="D170" s="587"/>
      <c r="E170" s="587"/>
      <c r="F170" s="436"/>
      <c r="G170" s="436"/>
      <c r="H170" s="436"/>
      <c r="I170" s="436"/>
      <c r="J170" s="436"/>
      <c r="K170" s="587"/>
      <c r="L170" s="587"/>
      <c r="M170" s="436">
        <f>SUM(M168:M169)</f>
        <v>180.75</v>
      </c>
      <c r="N170" s="863" t="s">
        <v>117</v>
      </c>
      <c r="O170" s="867">
        <f>ROUND((M170),2)</f>
        <v>180.75</v>
      </c>
    </row>
    <row r="171" spans="1:15" ht="15.75" customHeight="1">
      <c r="A171" s="429">
        <f>A162+1</f>
        <v>3</v>
      </c>
      <c r="B171" s="389" t="s">
        <v>756</v>
      </c>
      <c r="C171" s="428"/>
      <c r="D171" s="428"/>
      <c r="E171" s="428"/>
      <c r="F171" s="390"/>
      <c r="G171" s="390"/>
      <c r="H171" s="390"/>
      <c r="I171" s="390"/>
      <c r="J171" s="390"/>
      <c r="K171" s="428"/>
      <c r="L171" s="428"/>
      <c r="M171" s="390"/>
      <c r="N171" s="839"/>
      <c r="O171" s="442"/>
    </row>
    <row r="172" spans="1:15" ht="15.75" customHeight="1">
      <c r="A172" s="430" t="s">
        <v>95</v>
      </c>
      <c r="B172" s="389" t="s">
        <v>757</v>
      </c>
      <c r="C172" s="428">
        <v>2</v>
      </c>
      <c r="D172" s="428"/>
      <c r="E172" s="428">
        <v>1.2</v>
      </c>
      <c r="F172" s="390"/>
      <c r="G172" s="390"/>
      <c r="H172" s="390"/>
      <c r="I172" s="390"/>
      <c r="J172" s="390"/>
      <c r="K172" s="428"/>
      <c r="L172" s="428"/>
      <c r="M172" s="390">
        <f>C172+E172</f>
        <v>3.2</v>
      </c>
      <c r="N172" s="839" t="s">
        <v>117</v>
      </c>
      <c r="O172" s="860">
        <f>ROUND((M172),2)</f>
        <v>3.2</v>
      </c>
    </row>
    <row r="173" spans="1:15" ht="15.75" customHeight="1">
      <c r="A173" s="430" t="s">
        <v>98</v>
      </c>
      <c r="B173" s="389" t="s">
        <v>758</v>
      </c>
      <c r="C173" s="428"/>
      <c r="D173" s="428"/>
      <c r="E173" s="428"/>
      <c r="F173" s="390"/>
      <c r="G173" s="390"/>
      <c r="H173" s="390"/>
      <c r="I173" s="390"/>
      <c r="J173" s="390"/>
      <c r="K173" s="428"/>
      <c r="L173" s="428"/>
      <c r="M173" s="390">
        <v>1</v>
      </c>
      <c r="N173" s="839" t="s">
        <v>124</v>
      </c>
      <c r="O173" s="860">
        <f>ROUND((M173),2)</f>
        <v>1</v>
      </c>
    </row>
    <row r="174" spans="1:15" s="865" customFormat="1" ht="15.75" hidden="1" customHeight="1">
      <c r="A174" s="434">
        <f>A171+1</f>
        <v>4</v>
      </c>
      <c r="B174" s="862" t="s">
        <v>1323</v>
      </c>
      <c r="C174" s="587"/>
      <c r="D174" s="587"/>
      <c r="E174" s="587"/>
      <c r="F174" s="436"/>
      <c r="G174" s="436"/>
      <c r="H174" s="436"/>
      <c r="I174" s="436"/>
      <c r="J174" s="436"/>
      <c r="K174" s="587"/>
      <c r="L174" s="587"/>
      <c r="M174" s="436"/>
      <c r="N174" s="863"/>
      <c r="O174" s="864"/>
    </row>
    <row r="175" spans="1:15" s="865" customFormat="1" ht="15.75" hidden="1" customHeight="1">
      <c r="A175" s="438" t="s">
        <v>95</v>
      </c>
      <c r="B175" s="862" t="s">
        <v>757</v>
      </c>
      <c r="C175" s="587">
        <v>2</v>
      </c>
      <c r="D175" s="587"/>
      <c r="E175" s="587">
        <f>E172</f>
        <v>1.2</v>
      </c>
      <c r="F175" s="436"/>
      <c r="G175" s="436"/>
      <c r="H175" s="436"/>
      <c r="I175" s="436"/>
      <c r="J175" s="436"/>
      <c r="K175" s="587"/>
      <c r="L175" s="587"/>
      <c r="M175" s="436">
        <f>C175+E175</f>
        <v>3.2</v>
      </c>
      <c r="N175" s="863" t="s">
        <v>117</v>
      </c>
      <c r="O175" s="867">
        <f>ROUND((M175),2)</f>
        <v>3.2</v>
      </c>
    </row>
    <row r="176" spans="1:15" s="865" customFormat="1" ht="15.75" hidden="1" customHeight="1">
      <c r="A176" s="438" t="s">
        <v>98</v>
      </c>
      <c r="B176" s="862" t="s">
        <v>758</v>
      </c>
      <c r="C176" s="587"/>
      <c r="D176" s="587"/>
      <c r="E176" s="587"/>
      <c r="F176" s="436"/>
      <c r="G176" s="436"/>
      <c r="H176" s="436"/>
      <c r="I176" s="436"/>
      <c r="J176" s="436"/>
      <c r="K176" s="587"/>
      <c r="L176" s="587"/>
      <c r="M176" s="436">
        <v>1</v>
      </c>
      <c r="N176" s="863" t="s">
        <v>124</v>
      </c>
      <c r="O176" s="867">
        <f>ROUND((M176),2)</f>
        <v>1</v>
      </c>
    </row>
    <row r="177" spans="1:15" ht="15.75" customHeight="1">
      <c r="A177" s="429">
        <f>A171+1</f>
        <v>4</v>
      </c>
      <c r="B177" s="389" t="s">
        <v>759</v>
      </c>
      <c r="C177" s="428"/>
      <c r="D177" s="428"/>
      <c r="E177" s="428"/>
      <c r="F177" s="390"/>
      <c r="G177" s="390"/>
      <c r="H177" s="390"/>
      <c r="I177" s="390"/>
      <c r="J177" s="390"/>
      <c r="K177" s="428"/>
      <c r="L177" s="428"/>
      <c r="M177" s="390"/>
      <c r="N177" s="839"/>
      <c r="O177" s="442"/>
    </row>
    <row r="178" spans="1:15" ht="15.75" customHeight="1">
      <c r="A178" s="430" t="s">
        <v>95</v>
      </c>
      <c r="B178" s="389" t="s">
        <v>757</v>
      </c>
      <c r="C178" s="428">
        <v>2</v>
      </c>
      <c r="D178" s="428"/>
      <c r="E178" s="428">
        <f>E175</f>
        <v>1.2</v>
      </c>
      <c r="F178" s="390"/>
      <c r="G178" s="390"/>
      <c r="H178" s="390"/>
      <c r="I178" s="390"/>
      <c r="J178" s="390"/>
      <c r="K178" s="428"/>
      <c r="L178" s="428"/>
      <c r="M178" s="390">
        <f>C178+E178</f>
        <v>3.2</v>
      </c>
      <c r="N178" s="839" t="s">
        <v>117</v>
      </c>
      <c r="O178" s="860">
        <f>ROUND((M178),2)</f>
        <v>3.2</v>
      </c>
    </row>
    <row r="179" spans="1:15" ht="15.75" customHeight="1">
      <c r="A179" s="430" t="s">
        <v>98</v>
      </c>
      <c r="B179" s="389" t="s">
        <v>758</v>
      </c>
      <c r="C179" s="428"/>
      <c r="D179" s="428"/>
      <c r="E179" s="428"/>
      <c r="F179" s="390"/>
      <c r="G179" s="390"/>
      <c r="H179" s="390"/>
      <c r="I179" s="390"/>
      <c r="J179" s="390"/>
      <c r="K179" s="428"/>
      <c r="L179" s="428"/>
      <c r="M179" s="390">
        <v>1</v>
      </c>
      <c r="N179" s="839" t="s">
        <v>124</v>
      </c>
      <c r="O179" s="860">
        <f>ROUND((M179),2)</f>
        <v>1</v>
      </c>
    </row>
    <row r="180" spans="1:15" ht="15.75" customHeight="1">
      <c r="A180" s="429">
        <f>A177+1</f>
        <v>5</v>
      </c>
      <c r="B180" s="389" t="s">
        <v>1324</v>
      </c>
      <c r="C180" s="428"/>
      <c r="D180" s="428"/>
      <c r="E180" s="428"/>
      <c r="F180" s="390"/>
      <c r="G180" s="390"/>
      <c r="H180" s="390"/>
      <c r="I180" s="390"/>
      <c r="J180" s="390"/>
      <c r="K180" s="428"/>
      <c r="L180" s="428"/>
      <c r="M180" s="390"/>
      <c r="N180" s="839"/>
      <c r="O180" s="442"/>
    </row>
    <row r="181" spans="1:15" ht="15.75" customHeight="1">
      <c r="A181" s="430" t="s">
        <v>95</v>
      </c>
      <c r="B181" s="389" t="s">
        <v>757</v>
      </c>
      <c r="C181" s="428">
        <v>2</v>
      </c>
      <c r="D181" s="428"/>
      <c r="E181" s="428">
        <f>E178</f>
        <v>1.2</v>
      </c>
      <c r="F181" s="390"/>
      <c r="G181" s="390"/>
      <c r="H181" s="390"/>
      <c r="I181" s="390"/>
      <c r="J181" s="390"/>
      <c r="K181" s="428"/>
      <c r="L181" s="428"/>
      <c r="M181" s="390">
        <f>C181+E181</f>
        <v>3.2</v>
      </c>
      <c r="N181" s="839" t="s">
        <v>117</v>
      </c>
      <c r="O181" s="860">
        <f>ROUND((M181),2)</f>
        <v>3.2</v>
      </c>
    </row>
    <row r="182" spans="1:15" ht="15.75" customHeight="1">
      <c r="A182" s="430" t="s">
        <v>98</v>
      </c>
      <c r="B182" s="389" t="s">
        <v>758</v>
      </c>
      <c r="C182" s="428"/>
      <c r="D182" s="428"/>
      <c r="E182" s="428"/>
      <c r="F182" s="390"/>
      <c r="G182" s="390"/>
      <c r="H182" s="390"/>
      <c r="I182" s="390"/>
      <c r="J182" s="390"/>
      <c r="K182" s="428"/>
      <c r="L182" s="428"/>
      <c r="M182" s="390">
        <v>1</v>
      </c>
      <c r="N182" s="839" t="s">
        <v>124</v>
      </c>
      <c r="O182" s="860">
        <f>ROUND((M182),2)</f>
        <v>1</v>
      </c>
    </row>
    <row r="183" spans="1:15" s="865" customFormat="1" ht="15.75" hidden="1" customHeight="1">
      <c r="A183" s="434">
        <f>A180+1</f>
        <v>6</v>
      </c>
      <c r="B183" s="862" t="s">
        <v>1325</v>
      </c>
      <c r="C183" s="587"/>
      <c r="D183" s="587"/>
      <c r="E183" s="587"/>
      <c r="F183" s="436"/>
      <c r="G183" s="436"/>
      <c r="H183" s="436"/>
      <c r="I183" s="436"/>
      <c r="J183" s="436"/>
      <c r="K183" s="587"/>
      <c r="L183" s="587"/>
      <c r="M183" s="436"/>
      <c r="N183" s="863"/>
      <c r="O183" s="864"/>
    </row>
    <row r="184" spans="1:15" s="865" customFormat="1" ht="15.75" hidden="1" customHeight="1">
      <c r="A184" s="438" t="s">
        <v>95</v>
      </c>
      <c r="B184" s="862" t="s">
        <v>757</v>
      </c>
      <c r="C184" s="587">
        <v>2</v>
      </c>
      <c r="D184" s="587"/>
      <c r="E184" s="587">
        <f>E181</f>
        <v>1.2</v>
      </c>
      <c r="F184" s="436"/>
      <c r="G184" s="436"/>
      <c r="H184" s="436"/>
      <c r="I184" s="436"/>
      <c r="J184" s="436"/>
      <c r="K184" s="587"/>
      <c r="L184" s="587"/>
      <c r="M184" s="436">
        <f>C184+E184</f>
        <v>3.2</v>
      </c>
      <c r="N184" s="863" t="s">
        <v>117</v>
      </c>
      <c r="O184" s="867">
        <f>ROUND((M184),2)</f>
        <v>3.2</v>
      </c>
    </row>
    <row r="185" spans="1:15" s="865" customFormat="1" ht="15.75" hidden="1" customHeight="1">
      <c r="A185" s="438" t="s">
        <v>98</v>
      </c>
      <c r="B185" s="862" t="s">
        <v>758</v>
      </c>
      <c r="C185" s="587"/>
      <c r="D185" s="587"/>
      <c r="E185" s="587"/>
      <c r="F185" s="436"/>
      <c r="G185" s="436"/>
      <c r="H185" s="436"/>
      <c r="I185" s="436"/>
      <c r="J185" s="436"/>
      <c r="K185" s="587"/>
      <c r="L185" s="587"/>
      <c r="M185" s="436">
        <v>1</v>
      </c>
      <c r="N185" s="863" t="s">
        <v>124</v>
      </c>
      <c r="O185" s="867">
        <f>ROUND((M185),2)</f>
        <v>1</v>
      </c>
    </row>
    <row r="186" spans="1:15" s="865" customFormat="1" ht="15.75" hidden="1" customHeight="1">
      <c r="A186" s="434">
        <f>A183+1</f>
        <v>7</v>
      </c>
      <c r="B186" s="862" t="s">
        <v>1326</v>
      </c>
      <c r="C186" s="587"/>
      <c r="D186" s="587"/>
      <c r="E186" s="587"/>
      <c r="F186" s="436"/>
      <c r="G186" s="436"/>
      <c r="H186" s="436"/>
      <c r="I186" s="436"/>
      <c r="J186" s="436"/>
      <c r="K186" s="587"/>
      <c r="L186" s="587"/>
      <c r="M186" s="436"/>
      <c r="N186" s="863"/>
      <c r="O186" s="864"/>
    </row>
    <row r="187" spans="1:15" s="865" customFormat="1" ht="15.75" hidden="1" customHeight="1">
      <c r="A187" s="438" t="s">
        <v>95</v>
      </c>
      <c r="B187" s="862" t="s">
        <v>757</v>
      </c>
      <c r="C187" s="587">
        <v>2</v>
      </c>
      <c r="D187" s="587"/>
      <c r="E187" s="587">
        <f>E184</f>
        <v>1.2</v>
      </c>
      <c r="F187" s="436"/>
      <c r="G187" s="436"/>
      <c r="H187" s="436"/>
      <c r="I187" s="436"/>
      <c r="J187" s="436"/>
      <c r="K187" s="587"/>
      <c r="L187" s="587"/>
      <c r="M187" s="436">
        <f>C187+E187</f>
        <v>3.2</v>
      </c>
      <c r="N187" s="863" t="s">
        <v>117</v>
      </c>
      <c r="O187" s="867">
        <f>ROUND((M187),2)</f>
        <v>3.2</v>
      </c>
    </row>
    <row r="188" spans="1:15" s="865" customFormat="1" ht="15.75" hidden="1" customHeight="1">
      <c r="A188" s="438" t="s">
        <v>98</v>
      </c>
      <c r="B188" s="862" t="s">
        <v>758</v>
      </c>
      <c r="C188" s="587"/>
      <c r="D188" s="587"/>
      <c r="E188" s="587"/>
      <c r="F188" s="436"/>
      <c r="G188" s="436"/>
      <c r="H188" s="436"/>
      <c r="I188" s="436"/>
      <c r="J188" s="436"/>
      <c r="K188" s="587"/>
      <c r="L188" s="587"/>
      <c r="M188" s="436">
        <v>1</v>
      </c>
      <c r="N188" s="863" t="s">
        <v>124</v>
      </c>
      <c r="O188" s="867">
        <f>ROUND((M188),2)</f>
        <v>1</v>
      </c>
    </row>
    <row r="189" spans="1:15" s="865" customFormat="1" ht="15.75" hidden="1" customHeight="1">
      <c r="A189" s="434">
        <f>A186+1</f>
        <v>8</v>
      </c>
      <c r="B189" s="862" t="s">
        <v>1327</v>
      </c>
      <c r="C189" s="587"/>
      <c r="D189" s="587"/>
      <c r="E189" s="587"/>
      <c r="F189" s="436"/>
      <c r="G189" s="436"/>
      <c r="H189" s="436"/>
      <c r="I189" s="436"/>
      <c r="J189" s="436"/>
      <c r="K189" s="587"/>
      <c r="L189" s="587"/>
      <c r="M189" s="436"/>
      <c r="N189" s="863"/>
      <c r="O189" s="864"/>
    </row>
    <row r="190" spans="1:15" s="865" customFormat="1" ht="15.75" hidden="1" customHeight="1">
      <c r="A190" s="438" t="s">
        <v>95</v>
      </c>
      <c r="B190" s="862" t="s">
        <v>757</v>
      </c>
      <c r="C190" s="587">
        <v>2</v>
      </c>
      <c r="D190" s="587"/>
      <c r="E190" s="587">
        <f>E187</f>
        <v>1.2</v>
      </c>
      <c r="F190" s="436"/>
      <c r="G190" s="436"/>
      <c r="H190" s="436"/>
      <c r="I190" s="436"/>
      <c r="J190" s="436"/>
      <c r="K190" s="587"/>
      <c r="L190" s="587"/>
      <c r="M190" s="436">
        <f>C190+E190</f>
        <v>3.2</v>
      </c>
      <c r="N190" s="863" t="s">
        <v>117</v>
      </c>
      <c r="O190" s="867">
        <f>ROUND((M190),2)</f>
        <v>3.2</v>
      </c>
    </row>
    <row r="191" spans="1:15" s="865" customFormat="1" ht="15.75" hidden="1" customHeight="1">
      <c r="A191" s="438" t="s">
        <v>98</v>
      </c>
      <c r="B191" s="862" t="s">
        <v>758</v>
      </c>
      <c r="C191" s="587"/>
      <c r="D191" s="587"/>
      <c r="E191" s="587"/>
      <c r="F191" s="436"/>
      <c r="G191" s="436"/>
      <c r="H191" s="436"/>
      <c r="I191" s="436"/>
      <c r="J191" s="436"/>
      <c r="K191" s="587"/>
      <c r="L191" s="587"/>
      <c r="M191" s="436">
        <v>1</v>
      </c>
      <c r="N191" s="863" t="s">
        <v>124</v>
      </c>
      <c r="O191" s="867">
        <f>ROUND((M191),2)</f>
        <v>1</v>
      </c>
    </row>
    <row r="192" spans="1:15" s="865" customFormat="1" ht="15.75" hidden="1" customHeight="1">
      <c r="A192" s="434">
        <f>A189+1</f>
        <v>9</v>
      </c>
      <c r="B192" s="862" t="s">
        <v>1328</v>
      </c>
      <c r="C192" s="587"/>
      <c r="D192" s="587"/>
      <c r="E192" s="587"/>
      <c r="F192" s="436"/>
      <c r="G192" s="436"/>
      <c r="H192" s="436"/>
      <c r="I192" s="436"/>
      <c r="J192" s="436"/>
      <c r="K192" s="587"/>
      <c r="L192" s="587"/>
      <c r="M192" s="436"/>
      <c r="N192" s="863"/>
      <c r="O192" s="864"/>
    </row>
    <row r="193" spans="1:15" s="865" customFormat="1" ht="15.75" hidden="1" customHeight="1">
      <c r="A193" s="438" t="s">
        <v>95</v>
      </c>
      <c r="B193" s="862" t="s">
        <v>757</v>
      </c>
      <c r="C193" s="587">
        <v>2</v>
      </c>
      <c r="D193" s="587"/>
      <c r="E193" s="587">
        <f>E190</f>
        <v>1.2</v>
      </c>
      <c r="F193" s="436"/>
      <c r="G193" s="436"/>
      <c r="H193" s="436"/>
      <c r="I193" s="436"/>
      <c r="J193" s="436"/>
      <c r="K193" s="587"/>
      <c r="L193" s="587"/>
      <c r="M193" s="436">
        <f>C193+E193</f>
        <v>3.2</v>
      </c>
      <c r="N193" s="863" t="s">
        <v>117</v>
      </c>
      <c r="O193" s="867">
        <f>ROUND((M193),2)</f>
        <v>3.2</v>
      </c>
    </row>
    <row r="194" spans="1:15" s="865" customFormat="1" ht="15.75" hidden="1" customHeight="1">
      <c r="A194" s="438" t="s">
        <v>98</v>
      </c>
      <c r="B194" s="862" t="s">
        <v>758</v>
      </c>
      <c r="C194" s="587"/>
      <c r="D194" s="587"/>
      <c r="E194" s="587"/>
      <c r="F194" s="436"/>
      <c r="G194" s="436"/>
      <c r="H194" s="436"/>
      <c r="I194" s="436"/>
      <c r="J194" s="436"/>
      <c r="K194" s="587"/>
      <c r="L194" s="587"/>
      <c r="M194" s="436">
        <v>1</v>
      </c>
      <c r="N194" s="863" t="s">
        <v>124</v>
      </c>
      <c r="O194" s="867">
        <f>ROUND((M194),2)</f>
        <v>1</v>
      </c>
    </row>
    <row r="195" spans="1:15" s="865" customFormat="1" ht="15.75" hidden="1" customHeight="1">
      <c r="A195" s="434">
        <f>A192+1</f>
        <v>10</v>
      </c>
      <c r="B195" s="862" t="s">
        <v>1329</v>
      </c>
      <c r="C195" s="587"/>
      <c r="D195" s="587"/>
      <c r="E195" s="587"/>
      <c r="F195" s="436"/>
      <c r="G195" s="436"/>
      <c r="H195" s="436"/>
      <c r="I195" s="436"/>
      <c r="J195" s="436"/>
      <c r="K195" s="587"/>
      <c r="L195" s="587"/>
      <c r="M195" s="436"/>
      <c r="N195" s="863"/>
      <c r="O195" s="864"/>
    </row>
    <row r="196" spans="1:15" s="865" customFormat="1" ht="15.75" hidden="1" customHeight="1">
      <c r="A196" s="438" t="s">
        <v>95</v>
      </c>
      <c r="B196" s="862" t="s">
        <v>757</v>
      </c>
      <c r="C196" s="587">
        <v>2</v>
      </c>
      <c r="D196" s="587"/>
      <c r="E196" s="587">
        <f>E193</f>
        <v>1.2</v>
      </c>
      <c r="F196" s="436"/>
      <c r="G196" s="436"/>
      <c r="H196" s="436"/>
      <c r="I196" s="436"/>
      <c r="J196" s="436"/>
      <c r="K196" s="587"/>
      <c r="L196" s="587"/>
      <c r="M196" s="436">
        <f>C196+E196</f>
        <v>3.2</v>
      </c>
      <c r="N196" s="863" t="s">
        <v>117</v>
      </c>
      <c r="O196" s="867">
        <f>ROUND((M196),2)</f>
        <v>3.2</v>
      </c>
    </row>
    <row r="197" spans="1:15" s="865" customFormat="1" ht="15.75" hidden="1" customHeight="1">
      <c r="A197" s="438" t="s">
        <v>98</v>
      </c>
      <c r="B197" s="862" t="s">
        <v>758</v>
      </c>
      <c r="C197" s="587"/>
      <c r="D197" s="587"/>
      <c r="E197" s="587"/>
      <c r="F197" s="436"/>
      <c r="G197" s="436"/>
      <c r="H197" s="436"/>
      <c r="I197" s="436"/>
      <c r="J197" s="436"/>
      <c r="K197" s="587"/>
      <c r="L197" s="587"/>
      <c r="M197" s="436">
        <v>1</v>
      </c>
      <c r="N197" s="863" t="s">
        <v>124</v>
      </c>
      <c r="O197" s="867">
        <f>ROUND((M197),2)</f>
        <v>1</v>
      </c>
    </row>
    <row r="198" spans="1:15" s="865" customFormat="1" ht="15.75" hidden="1" customHeight="1">
      <c r="A198" s="434">
        <f>A195+1</f>
        <v>11</v>
      </c>
      <c r="B198" s="862" t="s">
        <v>1330</v>
      </c>
      <c r="C198" s="587"/>
      <c r="D198" s="587"/>
      <c r="E198" s="587"/>
      <c r="F198" s="436"/>
      <c r="G198" s="436"/>
      <c r="H198" s="436"/>
      <c r="I198" s="436"/>
      <c r="J198" s="436"/>
      <c r="K198" s="587"/>
      <c r="L198" s="587"/>
      <c r="M198" s="436"/>
      <c r="N198" s="863"/>
      <c r="O198" s="864"/>
    </row>
    <row r="199" spans="1:15" s="865" customFormat="1" ht="15.75" hidden="1" customHeight="1">
      <c r="A199" s="438" t="s">
        <v>95</v>
      </c>
      <c r="B199" s="862" t="s">
        <v>757</v>
      </c>
      <c r="C199" s="587">
        <v>2</v>
      </c>
      <c r="D199" s="587"/>
      <c r="E199" s="587">
        <f>E196</f>
        <v>1.2</v>
      </c>
      <c r="F199" s="436"/>
      <c r="G199" s="436"/>
      <c r="H199" s="436"/>
      <c r="I199" s="436"/>
      <c r="J199" s="436"/>
      <c r="K199" s="587"/>
      <c r="L199" s="587"/>
      <c r="M199" s="436">
        <f>C199+E199</f>
        <v>3.2</v>
      </c>
      <c r="N199" s="863" t="s">
        <v>117</v>
      </c>
      <c r="O199" s="867">
        <f>ROUND((M199),2)</f>
        <v>3.2</v>
      </c>
    </row>
    <row r="200" spans="1:15" s="865" customFormat="1" ht="15.75" hidden="1" customHeight="1">
      <c r="A200" s="438" t="s">
        <v>98</v>
      </c>
      <c r="B200" s="862" t="s">
        <v>758</v>
      </c>
      <c r="C200" s="587"/>
      <c r="D200" s="587"/>
      <c r="E200" s="587"/>
      <c r="F200" s="436"/>
      <c r="G200" s="436"/>
      <c r="H200" s="436"/>
      <c r="I200" s="436"/>
      <c r="J200" s="436"/>
      <c r="K200" s="587"/>
      <c r="L200" s="587"/>
      <c r="M200" s="436">
        <v>1</v>
      </c>
      <c r="N200" s="863" t="s">
        <v>124</v>
      </c>
      <c r="O200" s="867">
        <f>ROUND((M200),2)</f>
        <v>1</v>
      </c>
    </row>
    <row r="201" spans="1:15" ht="42" customHeight="1">
      <c r="A201" s="429">
        <f>A180+1</f>
        <v>6</v>
      </c>
      <c r="B201" s="872" t="s">
        <v>1331</v>
      </c>
      <c r="C201" s="428"/>
      <c r="D201" s="428"/>
      <c r="E201" s="428"/>
      <c r="F201" s="390"/>
      <c r="G201" s="390"/>
      <c r="H201" s="390"/>
      <c r="I201" s="390"/>
      <c r="J201" s="390"/>
      <c r="K201" s="428"/>
      <c r="L201" s="428"/>
      <c r="M201" s="390">
        <v>1</v>
      </c>
      <c r="N201" s="839" t="s">
        <v>360</v>
      </c>
      <c r="O201" s="860">
        <f>ROUND((M201),2)</f>
        <v>1</v>
      </c>
    </row>
    <row r="202" spans="1:15" ht="15.75" customHeight="1">
      <c r="A202" s="429">
        <f>A201+1</f>
        <v>7</v>
      </c>
      <c r="B202" s="389" t="s">
        <v>594</v>
      </c>
      <c r="C202" s="428"/>
      <c r="D202" s="428"/>
      <c r="E202" s="428"/>
      <c r="F202" s="390"/>
      <c r="G202" s="390"/>
      <c r="H202" s="390"/>
      <c r="I202" s="390"/>
      <c r="J202" s="390"/>
      <c r="K202" s="428"/>
      <c r="L202" s="428"/>
      <c r="M202" s="390">
        <v>1</v>
      </c>
      <c r="N202" s="839" t="s">
        <v>360</v>
      </c>
      <c r="O202" s="860">
        <f>ROUND((M202),2)</f>
        <v>1</v>
      </c>
    </row>
    <row r="203" spans="1:15" s="865" customFormat="1" ht="42" hidden="1" customHeight="1">
      <c r="A203" s="434">
        <f>A202+1</f>
        <v>8</v>
      </c>
      <c r="B203" s="874" t="s">
        <v>542</v>
      </c>
      <c r="C203" s="587"/>
      <c r="D203" s="587"/>
      <c r="E203" s="587"/>
      <c r="F203" s="436"/>
      <c r="G203" s="436"/>
      <c r="H203" s="436"/>
      <c r="I203" s="436"/>
      <c r="J203" s="436"/>
      <c r="K203" s="587"/>
      <c r="L203" s="587"/>
      <c r="M203" s="436"/>
      <c r="N203" s="863"/>
      <c r="O203" s="875"/>
    </row>
    <row r="204" spans="1:15" s="865" customFormat="1" ht="15.75" hidden="1" customHeight="1">
      <c r="A204" s="434"/>
      <c r="B204" s="874"/>
      <c r="C204" s="587">
        <v>5</v>
      </c>
      <c r="D204" s="587"/>
      <c r="E204" s="587">
        <v>1.2</v>
      </c>
      <c r="F204" s="436"/>
      <c r="G204" s="436"/>
      <c r="H204" s="436">
        <v>2</v>
      </c>
      <c r="I204" s="436"/>
      <c r="J204" s="436"/>
      <c r="K204" s="587"/>
      <c r="L204" s="587"/>
      <c r="M204" s="436">
        <f>C204*E204*H204</f>
        <v>12</v>
      </c>
      <c r="N204" s="863"/>
      <c r="O204" s="875"/>
    </row>
    <row r="205" spans="1:15" s="865" customFormat="1" ht="15.75" hidden="1" customHeight="1">
      <c r="A205" s="434"/>
      <c r="B205" s="874"/>
      <c r="C205" s="587">
        <v>4</v>
      </c>
      <c r="D205" s="587"/>
      <c r="E205" s="587">
        <f>E204</f>
        <v>1.2</v>
      </c>
      <c r="F205" s="436"/>
      <c r="G205" s="436"/>
      <c r="H205" s="436">
        <f>H204</f>
        <v>2</v>
      </c>
      <c r="I205" s="436"/>
      <c r="J205" s="436"/>
      <c r="K205" s="587"/>
      <c r="L205" s="587"/>
      <c r="M205" s="588">
        <f>C205*E205*H205</f>
        <v>9.6</v>
      </c>
      <c r="N205" s="863"/>
      <c r="O205" s="875"/>
    </row>
    <row r="206" spans="1:15" s="865" customFormat="1" ht="15.75" hidden="1" customHeight="1">
      <c r="A206" s="876"/>
      <c r="B206" s="435"/>
      <c r="C206" s="587"/>
      <c r="D206" s="587"/>
      <c r="E206" s="587"/>
      <c r="F206" s="436"/>
      <c r="G206" s="436"/>
      <c r="H206" s="436"/>
      <c r="I206" s="436"/>
      <c r="J206" s="436"/>
      <c r="K206" s="587"/>
      <c r="L206" s="587"/>
      <c r="M206" s="436">
        <f>SUM(M204:M205)</f>
        <v>21.6</v>
      </c>
      <c r="N206" s="863" t="s">
        <v>89</v>
      </c>
      <c r="O206" s="867">
        <f>ROUND((M206),2)</f>
        <v>21.6</v>
      </c>
    </row>
    <row r="207" spans="1:15" ht="15.75" customHeight="1">
      <c r="A207" s="440" t="s">
        <v>1332</v>
      </c>
      <c r="B207" s="441" t="s">
        <v>763</v>
      </c>
      <c r="C207" s="428"/>
      <c r="D207" s="428"/>
      <c r="E207" s="428"/>
      <c r="F207" s="390"/>
      <c r="G207" s="390"/>
      <c r="H207" s="390"/>
      <c r="I207" s="390"/>
      <c r="J207" s="390"/>
      <c r="K207" s="428"/>
      <c r="L207" s="428"/>
      <c r="M207" s="390"/>
      <c r="N207" s="839"/>
      <c r="O207" s="442"/>
    </row>
    <row r="208" spans="1:15" ht="15.75" customHeight="1">
      <c r="A208" s="440" t="s">
        <v>1333</v>
      </c>
      <c r="B208" s="441" t="s">
        <v>765</v>
      </c>
      <c r="C208" s="428"/>
      <c r="D208" s="428"/>
      <c r="E208" s="428"/>
      <c r="F208" s="390"/>
      <c r="G208" s="390"/>
      <c r="H208" s="390"/>
      <c r="I208" s="390"/>
      <c r="J208" s="390"/>
      <c r="K208" s="428"/>
      <c r="L208" s="428"/>
      <c r="M208" s="390"/>
      <c r="N208" s="839"/>
      <c r="O208" s="442"/>
    </row>
    <row r="209" spans="1:15" ht="15.75" customHeight="1">
      <c r="A209" s="319">
        <v>1</v>
      </c>
      <c r="B209" s="445" t="s">
        <v>766</v>
      </c>
      <c r="C209" s="428"/>
      <c r="D209" s="428"/>
      <c r="E209" s="428"/>
      <c r="F209" s="390"/>
      <c r="G209" s="390"/>
      <c r="H209" s="390"/>
      <c r="I209" s="390"/>
      <c r="J209" s="390"/>
      <c r="K209" s="428"/>
      <c r="L209" s="428"/>
      <c r="M209" s="390">
        <v>1</v>
      </c>
      <c r="N209" s="839" t="s">
        <v>357</v>
      </c>
      <c r="O209" s="442"/>
    </row>
    <row r="210" spans="1:15" ht="15.75" customHeight="1">
      <c r="A210" s="319">
        <f>A209+1</f>
        <v>2</v>
      </c>
      <c r="B210" s="445" t="s">
        <v>1334</v>
      </c>
      <c r="C210" s="428"/>
      <c r="D210" s="428"/>
      <c r="E210" s="428"/>
      <c r="F210" s="390"/>
      <c r="G210" s="390"/>
      <c r="H210" s="390"/>
      <c r="I210" s="390"/>
      <c r="J210" s="390"/>
      <c r="K210" s="428"/>
      <c r="L210" s="428"/>
      <c r="M210" s="390"/>
      <c r="N210" s="839"/>
      <c r="O210" s="442"/>
    </row>
    <row r="211" spans="1:15" s="880" customFormat="1" ht="15.75" customHeight="1">
      <c r="A211" s="877" t="s">
        <v>95</v>
      </c>
      <c r="B211" s="83" t="s">
        <v>1335</v>
      </c>
      <c r="C211" s="868"/>
      <c r="D211" s="868"/>
      <c r="E211" s="868">
        <v>60</v>
      </c>
      <c r="F211" s="871"/>
      <c r="G211" s="871"/>
      <c r="H211" s="871"/>
      <c r="I211" s="871"/>
      <c r="J211" s="871"/>
      <c r="K211" s="868"/>
      <c r="L211" s="868"/>
      <c r="M211" s="871">
        <f>E211</f>
        <v>60</v>
      </c>
      <c r="N211" s="878" t="s">
        <v>117</v>
      </c>
      <c r="O211" s="879"/>
    </row>
    <row r="212" spans="1:15" ht="15.75" customHeight="1">
      <c r="A212" s="323" t="s">
        <v>98</v>
      </c>
      <c r="B212" s="445" t="s">
        <v>1336</v>
      </c>
      <c r="C212" s="428">
        <v>4</v>
      </c>
      <c r="D212" s="428"/>
      <c r="E212" s="428"/>
      <c r="F212" s="390"/>
      <c r="G212" s="390"/>
      <c r="H212" s="390"/>
      <c r="I212" s="390"/>
      <c r="J212" s="390"/>
      <c r="K212" s="428">
        <f>E211/C212</f>
        <v>15</v>
      </c>
      <c r="L212" s="428"/>
      <c r="M212" s="390">
        <f>C212*K212</f>
        <v>60</v>
      </c>
      <c r="N212" s="839" t="s">
        <v>117</v>
      </c>
      <c r="O212" s="442"/>
    </row>
    <row r="213" spans="1:15" ht="15.75" customHeight="1">
      <c r="A213" s="323" t="s">
        <v>101</v>
      </c>
      <c r="B213" s="445" t="s">
        <v>771</v>
      </c>
      <c r="C213" s="428">
        <f>2*3.14*0.075</f>
        <v>0.47099999999999997</v>
      </c>
      <c r="D213" s="428"/>
      <c r="E213" s="428"/>
      <c r="F213" s="390"/>
      <c r="G213" s="390"/>
      <c r="H213" s="390"/>
      <c r="I213" s="390"/>
      <c r="J213" s="390"/>
      <c r="K213" s="428">
        <f>K212-1</f>
        <v>14</v>
      </c>
      <c r="L213" s="428"/>
      <c r="M213" s="390">
        <f>C213*K213</f>
        <v>6.5939999999999994</v>
      </c>
      <c r="N213" s="839" t="s">
        <v>117</v>
      </c>
      <c r="O213" s="442"/>
    </row>
    <row r="214" spans="1:15" ht="15.75" customHeight="1">
      <c r="A214" s="323" t="s">
        <v>121</v>
      </c>
      <c r="B214" s="445" t="s">
        <v>772</v>
      </c>
      <c r="C214" s="428">
        <v>8</v>
      </c>
      <c r="D214" s="428"/>
      <c r="E214" s="428"/>
      <c r="F214" s="390"/>
      <c r="G214" s="390"/>
      <c r="H214" s="390"/>
      <c r="I214" s="390"/>
      <c r="J214" s="390"/>
      <c r="K214" s="428"/>
      <c r="L214" s="428"/>
      <c r="M214" s="390">
        <f>C214</f>
        <v>8</v>
      </c>
      <c r="N214" s="839" t="s">
        <v>117</v>
      </c>
      <c r="O214" s="442"/>
    </row>
    <row r="215" spans="1:15" s="865" customFormat="1" ht="15.75" hidden="1" customHeight="1">
      <c r="A215" s="881">
        <f>A210+1</f>
        <v>3</v>
      </c>
      <c r="B215" s="882" t="s">
        <v>1337</v>
      </c>
      <c r="C215" s="587"/>
      <c r="D215" s="587"/>
      <c r="E215" s="587"/>
      <c r="F215" s="436"/>
      <c r="G215" s="436"/>
      <c r="H215" s="436"/>
      <c r="I215" s="436"/>
      <c r="J215" s="436"/>
      <c r="K215" s="587"/>
      <c r="L215" s="587"/>
      <c r="M215" s="436">
        <f>M211</f>
        <v>60</v>
      </c>
      <c r="N215" s="863" t="s">
        <v>117</v>
      </c>
      <c r="O215" s="864"/>
    </row>
    <row r="216" spans="1:15" s="865" customFormat="1" ht="15.75" hidden="1" customHeight="1">
      <c r="A216" s="881">
        <f>A215+1</f>
        <v>4</v>
      </c>
      <c r="B216" s="882" t="s">
        <v>1338</v>
      </c>
      <c r="C216" s="587"/>
      <c r="D216" s="587"/>
      <c r="E216" s="587"/>
      <c r="F216" s="436"/>
      <c r="G216" s="436"/>
      <c r="H216" s="436"/>
      <c r="I216" s="436"/>
      <c r="J216" s="436"/>
      <c r="K216" s="587"/>
      <c r="L216" s="587"/>
      <c r="M216" s="436"/>
      <c r="N216" s="863"/>
      <c r="O216" s="864"/>
    </row>
    <row r="217" spans="1:15" s="865" customFormat="1" ht="15.75" hidden="1" customHeight="1">
      <c r="A217" s="883" t="s">
        <v>95</v>
      </c>
      <c r="B217" s="882" t="s">
        <v>1339</v>
      </c>
      <c r="C217" s="587"/>
      <c r="D217" s="587">
        <f>6*2.54</f>
        <v>15.24</v>
      </c>
      <c r="E217" s="587"/>
      <c r="F217" s="436"/>
      <c r="G217" s="436"/>
      <c r="H217" s="436"/>
      <c r="I217" s="436"/>
      <c r="J217" s="436"/>
      <c r="K217" s="587"/>
      <c r="L217" s="587"/>
      <c r="M217" s="436">
        <v>20</v>
      </c>
      <c r="N217" s="863" t="s">
        <v>1340</v>
      </c>
      <c r="O217" s="864"/>
    </row>
    <row r="218" spans="1:15" s="865" customFormat="1" ht="15.75" hidden="1" customHeight="1">
      <c r="A218" s="883" t="s">
        <v>98</v>
      </c>
      <c r="B218" s="882" t="s">
        <v>1341</v>
      </c>
      <c r="C218" s="587"/>
      <c r="D218" s="587"/>
      <c r="E218" s="587"/>
      <c r="F218" s="436"/>
      <c r="G218" s="436"/>
      <c r="H218" s="436"/>
      <c r="I218" s="436"/>
      <c r="J218" s="436"/>
      <c r="K218" s="587"/>
      <c r="L218" s="587"/>
      <c r="M218" s="436">
        <v>12</v>
      </c>
      <c r="N218" s="863" t="s">
        <v>1340</v>
      </c>
      <c r="O218" s="864"/>
    </row>
    <row r="219" spans="1:15" ht="15.75" customHeight="1">
      <c r="A219" s="319">
        <f>A210+1</f>
        <v>3</v>
      </c>
      <c r="B219" s="445" t="s">
        <v>773</v>
      </c>
      <c r="C219" s="428"/>
      <c r="D219" s="428"/>
      <c r="E219" s="428"/>
      <c r="F219" s="390"/>
      <c r="G219" s="390"/>
      <c r="H219" s="390"/>
      <c r="I219" s="390"/>
      <c r="J219" s="390"/>
      <c r="K219" s="428"/>
      <c r="L219" s="428"/>
      <c r="M219" s="390"/>
      <c r="N219" s="839"/>
      <c r="O219" s="442"/>
    </row>
    <row r="220" spans="1:15" ht="15.75" customHeight="1">
      <c r="A220" s="319"/>
      <c r="B220" s="445"/>
      <c r="C220" s="428"/>
      <c r="D220" s="428">
        <f>(2*3.14*((6*2.54)/2))/100</f>
        <v>0.47853600000000002</v>
      </c>
      <c r="E220" s="428">
        <v>8</v>
      </c>
      <c r="F220" s="390"/>
      <c r="G220" s="390"/>
      <c r="H220" s="390"/>
      <c r="I220" s="390"/>
      <c r="J220" s="390"/>
      <c r="K220" s="428"/>
      <c r="L220" s="428"/>
      <c r="M220" s="390">
        <f>D220*E220</f>
        <v>3.8282880000000001</v>
      </c>
      <c r="N220" s="839"/>
      <c r="O220" s="442"/>
    </row>
    <row r="221" spans="1:15" ht="15.75" customHeight="1">
      <c r="A221" s="319"/>
      <c r="B221" s="884" t="s">
        <v>1342</v>
      </c>
      <c r="C221" s="428"/>
      <c r="D221" s="428">
        <f>(2*3.14*((3*2.54)/2))/100</f>
        <v>0.23926800000000001</v>
      </c>
      <c r="E221" s="428">
        <f>E220</f>
        <v>8</v>
      </c>
      <c r="F221" s="390"/>
      <c r="G221" s="390"/>
      <c r="H221" s="390"/>
      <c r="I221" s="390"/>
      <c r="J221" s="390"/>
      <c r="K221" s="428"/>
      <c r="L221" s="428"/>
      <c r="M221" s="590">
        <f>-D221*E221</f>
        <v>-1.9141440000000001</v>
      </c>
      <c r="N221" s="839"/>
      <c r="O221" s="442"/>
    </row>
    <row r="222" spans="1:15" ht="15.75" customHeight="1">
      <c r="A222" s="319"/>
      <c r="B222" s="445"/>
      <c r="C222" s="428"/>
      <c r="D222" s="428"/>
      <c r="E222" s="428"/>
      <c r="F222" s="390"/>
      <c r="G222" s="390"/>
      <c r="H222" s="390"/>
      <c r="I222" s="390"/>
      <c r="J222" s="390"/>
      <c r="K222" s="428"/>
      <c r="L222" s="428"/>
      <c r="M222" s="390">
        <f>SUM(M220:M221)</f>
        <v>1.9141440000000001</v>
      </c>
      <c r="N222" s="839" t="s">
        <v>103</v>
      </c>
      <c r="O222" s="442"/>
    </row>
    <row r="223" spans="1:15" ht="15.75" customHeight="1">
      <c r="A223" s="319">
        <f>A219+1</f>
        <v>4</v>
      </c>
      <c r="B223" s="445" t="s">
        <v>774</v>
      </c>
      <c r="C223" s="428">
        <v>0.3</v>
      </c>
      <c r="D223" s="428">
        <v>0.3</v>
      </c>
      <c r="E223" s="428">
        <v>0.3</v>
      </c>
      <c r="F223" s="390"/>
      <c r="G223" s="390"/>
      <c r="H223" s="390"/>
      <c r="I223" s="390"/>
      <c r="J223" s="390"/>
      <c r="K223" s="428"/>
      <c r="L223" s="428"/>
      <c r="M223" s="390">
        <f>C223*D223*E223</f>
        <v>2.7E-2</v>
      </c>
      <c r="N223" s="839" t="s">
        <v>103</v>
      </c>
      <c r="O223" s="442"/>
    </row>
    <row r="224" spans="1:15" ht="15.75" customHeight="1">
      <c r="A224" s="319">
        <f>A223+1</f>
        <v>5</v>
      </c>
      <c r="B224" s="445" t="s">
        <v>775</v>
      </c>
      <c r="C224" s="428">
        <v>1.5</v>
      </c>
      <c r="D224" s="428">
        <v>0.8</v>
      </c>
      <c r="E224" s="428"/>
      <c r="F224" s="390"/>
      <c r="G224" s="390"/>
      <c r="H224" s="390"/>
      <c r="I224" s="390"/>
      <c r="J224" s="390"/>
      <c r="K224" s="428"/>
      <c r="L224" s="428"/>
      <c r="M224" s="390"/>
      <c r="N224" s="839"/>
      <c r="O224" s="442"/>
    </row>
    <row r="225" spans="1:15" ht="15.75" customHeight="1">
      <c r="A225" s="323" t="s">
        <v>95</v>
      </c>
      <c r="B225" s="445" t="s">
        <v>438</v>
      </c>
      <c r="C225" s="428">
        <f>C224+0.1*2*2</f>
        <v>1.9</v>
      </c>
      <c r="D225" s="428">
        <f>D224+0.1*2*2</f>
        <v>1.2000000000000002</v>
      </c>
      <c r="E225" s="428">
        <v>0.5</v>
      </c>
      <c r="F225" s="390"/>
      <c r="G225" s="390"/>
      <c r="H225" s="390"/>
      <c r="I225" s="390"/>
      <c r="J225" s="390"/>
      <c r="K225" s="428"/>
      <c r="L225" s="428"/>
      <c r="M225" s="390">
        <f>C225*D225*E225</f>
        <v>1.1400000000000001</v>
      </c>
      <c r="N225" s="839" t="s">
        <v>103</v>
      </c>
      <c r="O225" s="442"/>
    </row>
    <row r="226" spans="1:15" ht="15.75" customHeight="1">
      <c r="A226" s="323" t="s">
        <v>98</v>
      </c>
      <c r="B226" s="445" t="s">
        <v>501</v>
      </c>
      <c r="C226" s="428"/>
      <c r="D226" s="428"/>
      <c r="E226" s="428"/>
      <c r="F226" s="390"/>
      <c r="G226" s="390"/>
      <c r="H226" s="390"/>
      <c r="I226" s="390"/>
      <c r="J226" s="390"/>
      <c r="K226" s="428"/>
      <c r="L226" s="428"/>
      <c r="M226" s="390"/>
      <c r="N226" s="839"/>
      <c r="O226" s="442"/>
    </row>
    <row r="227" spans="1:15" ht="15.75" customHeight="1">
      <c r="A227" s="323"/>
      <c r="B227" s="445" t="s">
        <v>600</v>
      </c>
      <c r="C227" s="428"/>
      <c r="D227" s="428"/>
      <c r="E227" s="428"/>
      <c r="F227" s="390"/>
      <c r="G227" s="390"/>
      <c r="H227" s="390"/>
      <c r="I227" s="390"/>
      <c r="J227" s="390"/>
      <c r="K227" s="428"/>
      <c r="L227" s="428"/>
      <c r="M227" s="390"/>
      <c r="N227" s="839"/>
      <c r="O227" s="442"/>
    </row>
    <row r="228" spans="1:15" ht="15.75" customHeight="1">
      <c r="A228" s="323"/>
      <c r="B228" s="445"/>
      <c r="C228" s="428">
        <f>C225</f>
        <v>1.9</v>
      </c>
      <c r="D228" s="428"/>
      <c r="E228" s="428">
        <v>0.2</v>
      </c>
      <c r="F228" s="390"/>
      <c r="G228" s="390"/>
      <c r="H228" s="390">
        <v>2</v>
      </c>
      <c r="I228" s="390"/>
      <c r="J228" s="390"/>
      <c r="K228" s="428"/>
      <c r="L228" s="428"/>
      <c r="M228" s="390">
        <f>C228*E228*H228</f>
        <v>0.76</v>
      </c>
      <c r="N228" s="839"/>
      <c r="O228" s="442"/>
    </row>
    <row r="229" spans="1:15" ht="15.75" customHeight="1">
      <c r="A229" s="323"/>
      <c r="B229" s="445"/>
      <c r="C229" s="428">
        <f>D225</f>
        <v>1.2000000000000002</v>
      </c>
      <c r="D229" s="428"/>
      <c r="E229" s="428">
        <f>E228</f>
        <v>0.2</v>
      </c>
      <c r="F229" s="390"/>
      <c r="G229" s="390"/>
      <c r="H229" s="390">
        <f>H228</f>
        <v>2</v>
      </c>
      <c r="I229" s="390"/>
      <c r="J229" s="390"/>
      <c r="K229" s="428"/>
      <c r="L229" s="428"/>
      <c r="M229" s="590">
        <f>C229*E229*H229</f>
        <v>0.48000000000000009</v>
      </c>
      <c r="N229" s="839"/>
      <c r="O229" s="442"/>
    </row>
    <row r="230" spans="1:15" ht="15.75" customHeight="1">
      <c r="A230" s="323"/>
      <c r="B230" s="445"/>
      <c r="C230" s="428"/>
      <c r="D230" s="428"/>
      <c r="E230" s="428"/>
      <c r="F230" s="390"/>
      <c r="G230" s="390"/>
      <c r="H230" s="390"/>
      <c r="I230" s="390"/>
      <c r="J230" s="390"/>
      <c r="K230" s="428"/>
      <c r="L230" s="428"/>
      <c r="M230" s="390">
        <f>SUM(M228:M229)</f>
        <v>1.2400000000000002</v>
      </c>
      <c r="N230" s="839" t="s">
        <v>89</v>
      </c>
      <c r="O230" s="442"/>
    </row>
    <row r="231" spans="1:15" ht="15.75" customHeight="1">
      <c r="A231" s="323"/>
      <c r="B231" s="445" t="s">
        <v>776</v>
      </c>
      <c r="C231" s="428">
        <f>C225+0.1*2</f>
        <v>2.1</v>
      </c>
      <c r="D231" s="428">
        <f>D225+0.1*2</f>
        <v>1.4000000000000001</v>
      </c>
      <c r="E231" s="428"/>
      <c r="F231" s="390"/>
      <c r="G231" s="390"/>
      <c r="H231" s="390"/>
      <c r="I231" s="390"/>
      <c r="J231" s="390"/>
      <c r="K231" s="428"/>
      <c r="L231" s="428"/>
      <c r="M231" s="390">
        <f>C231*D231</f>
        <v>2.9400000000000004</v>
      </c>
      <c r="N231" s="839" t="s">
        <v>89</v>
      </c>
      <c r="O231" s="442"/>
    </row>
    <row r="232" spans="1:15" ht="15.75" customHeight="1">
      <c r="A232" s="323"/>
      <c r="B232" s="427" t="s">
        <v>602</v>
      </c>
      <c r="C232" s="428">
        <f>C231</f>
        <v>2.1</v>
      </c>
      <c r="D232" s="428">
        <f>D231</f>
        <v>1.4000000000000001</v>
      </c>
      <c r="E232" s="428">
        <v>0.2</v>
      </c>
      <c r="F232" s="390"/>
      <c r="G232" s="390"/>
      <c r="H232" s="390"/>
      <c r="I232" s="390"/>
      <c r="J232" s="390"/>
      <c r="K232" s="428"/>
      <c r="L232" s="428"/>
      <c r="M232" s="390">
        <f>C232*D232*E232</f>
        <v>0.58800000000000008</v>
      </c>
      <c r="N232" s="839" t="s">
        <v>103</v>
      </c>
      <c r="O232" s="442"/>
    </row>
    <row r="233" spans="1:15" ht="15.75" customHeight="1">
      <c r="A233" s="323" t="s">
        <v>101</v>
      </c>
      <c r="B233" s="445" t="s">
        <v>777</v>
      </c>
      <c r="C233" s="428"/>
      <c r="D233" s="428"/>
      <c r="E233" s="428"/>
      <c r="F233" s="390"/>
      <c r="G233" s="390"/>
      <c r="H233" s="390"/>
      <c r="I233" s="390"/>
      <c r="J233" s="390"/>
      <c r="K233" s="428"/>
      <c r="L233" s="428"/>
      <c r="M233" s="390"/>
      <c r="N233" s="839"/>
      <c r="O233" s="442"/>
    </row>
    <row r="234" spans="1:15" ht="15.75" customHeight="1">
      <c r="A234" s="323"/>
      <c r="B234" s="445"/>
      <c r="C234" s="428">
        <f>C224</f>
        <v>1.5</v>
      </c>
      <c r="D234" s="428"/>
      <c r="E234" s="428">
        <v>0.5</v>
      </c>
      <c r="F234" s="390"/>
      <c r="G234" s="390"/>
      <c r="H234" s="390">
        <v>2</v>
      </c>
      <c r="I234" s="390"/>
      <c r="J234" s="390"/>
      <c r="K234" s="428"/>
      <c r="L234" s="428"/>
      <c r="M234" s="390">
        <f>C234*E234*H234</f>
        <v>1.5</v>
      </c>
      <c r="N234" s="839"/>
      <c r="O234" s="442"/>
    </row>
    <row r="235" spans="1:15" ht="15.75" customHeight="1">
      <c r="A235" s="323"/>
      <c r="B235" s="445"/>
      <c r="C235" s="428">
        <f>D224</f>
        <v>0.8</v>
      </c>
      <c r="D235" s="428"/>
      <c r="E235" s="428">
        <f>E234</f>
        <v>0.5</v>
      </c>
      <c r="F235" s="390"/>
      <c r="G235" s="390"/>
      <c r="H235" s="390">
        <f>H234</f>
        <v>2</v>
      </c>
      <c r="I235" s="390"/>
      <c r="J235" s="390"/>
      <c r="K235" s="428"/>
      <c r="L235" s="428"/>
      <c r="M235" s="590">
        <f>C235*E235*H235</f>
        <v>0.8</v>
      </c>
      <c r="N235" s="839"/>
      <c r="O235" s="442"/>
    </row>
    <row r="236" spans="1:15" ht="15.75" customHeight="1">
      <c r="A236" s="323"/>
      <c r="B236" s="445"/>
      <c r="C236" s="428"/>
      <c r="D236" s="428"/>
      <c r="E236" s="428"/>
      <c r="F236" s="390"/>
      <c r="G236" s="390"/>
      <c r="H236" s="390"/>
      <c r="I236" s="390"/>
      <c r="J236" s="390"/>
      <c r="K236" s="428"/>
      <c r="L236" s="428"/>
      <c r="M236" s="390">
        <f>SUM(M234:M235)</f>
        <v>2.2999999999999998</v>
      </c>
      <c r="N236" s="839" t="s">
        <v>89</v>
      </c>
      <c r="O236" s="442"/>
    </row>
    <row r="237" spans="1:15" ht="15.75" customHeight="1">
      <c r="A237" s="323" t="s">
        <v>121</v>
      </c>
      <c r="B237" s="445" t="s">
        <v>193</v>
      </c>
      <c r="C237" s="428"/>
      <c r="D237" s="428"/>
      <c r="E237" s="428"/>
      <c r="F237" s="390"/>
      <c r="G237" s="390"/>
      <c r="H237" s="390"/>
      <c r="I237" s="390"/>
      <c r="J237" s="390"/>
      <c r="K237" s="428"/>
      <c r="L237" s="428"/>
      <c r="M237" s="390"/>
      <c r="N237" s="839"/>
      <c r="O237" s="442"/>
    </row>
    <row r="238" spans="1:15" ht="15.75" customHeight="1">
      <c r="A238" s="323"/>
      <c r="B238" s="884" t="s">
        <v>1343</v>
      </c>
      <c r="C238" s="428">
        <f>C234</f>
        <v>1.5</v>
      </c>
      <c r="D238" s="428"/>
      <c r="E238" s="428">
        <f>E234</f>
        <v>0.5</v>
      </c>
      <c r="F238" s="390"/>
      <c r="G238" s="390"/>
      <c r="H238" s="390">
        <f>H234</f>
        <v>2</v>
      </c>
      <c r="I238" s="390"/>
      <c r="J238" s="390"/>
      <c r="K238" s="428"/>
      <c r="L238" s="428"/>
      <c r="M238" s="390">
        <f>C238*E238*H238</f>
        <v>1.5</v>
      </c>
      <c r="N238" s="839"/>
      <c r="O238" s="442"/>
    </row>
    <row r="239" spans="1:15" ht="15.75" customHeight="1">
      <c r="A239" s="323"/>
      <c r="B239" s="884"/>
      <c r="C239" s="428">
        <f>C235</f>
        <v>0.8</v>
      </c>
      <c r="D239" s="428"/>
      <c r="E239" s="428">
        <f>E235</f>
        <v>0.5</v>
      </c>
      <c r="F239" s="390"/>
      <c r="G239" s="390"/>
      <c r="H239" s="390">
        <f>H235</f>
        <v>2</v>
      </c>
      <c r="I239" s="390"/>
      <c r="J239" s="390"/>
      <c r="K239" s="428"/>
      <c r="L239" s="428"/>
      <c r="M239" s="390">
        <f>C239*E239*H239</f>
        <v>0.8</v>
      </c>
      <c r="N239" s="839"/>
      <c r="O239" s="442"/>
    </row>
    <row r="240" spans="1:15" ht="15.75" customHeight="1">
      <c r="A240" s="323"/>
      <c r="B240" s="884" t="s">
        <v>1344</v>
      </c>
      <c r="C240" s="428">
        <f>C238</f>
        <v>1.5</v>
      </c>
      <c r="D240" s="428">
        <f>C239</f>
        <v>0.8</v>
      </c>
      <c r="E240" s="428"/>
      <c r="F240" s="390"/>
      <c r="G240" s="390"/>
      <c r="H240" s="390"/>
      <c r="I240" s="390"/>
      <c r="J240" s="390"/>
      <c r="K240" s="428"/>
      <c r="L240" s="428"/>
      <c r="M240" s="390">
        <f>C240*D240</f>
        <v>1.2000000000000002</v>
      </c>
      <c r="N240" s="839"/>
      <c r="O240" s="442"/>
    </row>
    <row r="241" spans="1:15" ht="15.75" customHeight="1">
      <c r="A241" s="323"/>
      <c r="B241" s="884" t="s">
        <v>1285</v>
      </c>
      <c r="C241" s="428">
        <f>C238</f>
        <v>1.5</v>
      </c>
      <c r="D241" s="428"/>
      <c r="E241" s="428">
        <v>0.2</v>
      </c>
      <c r="F241" s="390"/>
      <c r="G241" s="390"/>
      <c r="H241" s="390">
        <f>H238</f>
        <v>2</v>
      </c>
      <c r="I241" s="390"/>
      <c r="J241" s="390"/>
      <c r="K241" s="428"/>
      <c r="L241" s="428"/>
      <c r="M241" s="428">
        <f>C241*E241*H241</f>
        <v>0.60000000000000009</v>
      </c>
      <c r="N241" s="839"/>
      <c r="O241" s="442"/>
    </row>
    <row r="242" spans="1:15" ht="15.75" customHeight="1">
      <c r="A242" s="323"/>
      <c r="B242" s="884"/>
      <c r="C242" s="428">
        <f>C239</f>
        <v>0.8</v>
      </c>
      <c r="D242" s="428"/>
      <c r="E242" s="428">
        <f>E241</f>
        <v>0.2</v>
      </c>
      <c r="F242" s="390"/>
      <c r="G242" s="390"/>
      <c r="H242" s="390">
        <f>H239</f>
        <v>2</v>
      </c>
      <c r="I242" s="390"/>
      <c r="J242" s="390"/>
      <c r="K242" s="428"/>
      <c r="L242" s="428"/>
      <c r="M242" s="390">
        <f>C242*E242*H242</f>
        <v>0.32000000000000006</v>
      </c>
      <c r="N242" s="839"/>
      <c r="O242" s="442"/>
    </row>
    <row r="243" spans="1:15" ht="15.75" customHeight="1">
      <c r="A243" s="323"/>
      <c r="B243" s="884" t="s">
        <v>1345</v>
      </c>
      <c r="C243" s="428">
        <f>C241</f>
        <v>1.5</v>
      </c>
      <c r="D243" s="428"/>
      <c r="E243" s="428">
        <v>0.15</v>
      </c>
      <c r="F243" s="390"/>
      <c r="G243" s="390"/>
      <c r="H243" s="390">
        <f>H241</f>
        <v>2</v>
      </c>
      <c r="I243" s="390"/>
      <c r="J243" s="390"/>
      <c r="K243" s="428"/>
      <c r="L243" s="428"/>
      <c r="M243" s="390">
        <f>C243*E243*H243</f>
        <v>0.44999999999999996</v>
      </c>
      <c r="N243" s="839"/>
      <c r="O243" s="442"/>
    </row>
    <row r="244" spans="1:15" ht="15.75" customHeight="1">
      <c r="A244" s="323"/>
      <c r="B244" s="884"/>
      <c r="C244" s="428">
        <f>C242</f>
        <v>0.8</v>
      </c>
      <c r="D244" s="428"/>
      <c r="E244" s="428">
        <f>E243</f>
        <v>0.15</v>
      </c>
      <c r="F244" s="390"/>
      <c r="G244" s="390"/>
      <c r="H244" s="390">
        <f>H242</f>
        <v>2</v>
      </c>
      <c r="I244" s="390"/>
      <c r="J244" s="390"/>
      <c r="K244" s="428"/>
      <c r="L244" s="428"/>
      <c r="M244" s="869">
        <f>C244*E244*H244</f>
        <v>0.24</v>
      </c>
      <c r="N244" s="839"/>
      <c r="O244" s="442"/>
    </row>
    <row r="245" spans="1:15" ht="15.75" customHeight="1">
      <c r="A245" s="323"/>
      <c r="B245" s="445"/>
      <c r="C245" s="428"/>
      <c r="D245" s="428"/>
      <c r="E245" s="428"/>
      <c r="F245" s="390"/>
      <c r="G245" s="390"/>
      <c r="H245" s="390"/>
      <c r="I245" s="390"/>
      <c r="J245" s="390"/>
      <c r="K245" s="428"/>
      <c r="L245" s="428"/>
      <c r="M245" s="390">
        <f>SUM(M238:M244)</f>
        <v>5.1100000000000003</v>
      </c>
      <c r="N245" s="839" t="s">
        <v>89</v>
      </c>
      <c r="O245" s="442"/>
    </row>
    <row r="246" spans="1:15" ht="15.75" customHeight="1">
      <c r="A246" s="323" t="s">
        <v>142</v>
      </c>
      <c r="B246" s="445" t="s">
        <v>194</v>
      </c>
      <c r="C246" s="428"/>
      <c r="D246" s="428"/>
      <c r="E246" s="428"/>
      <c r="F246" s="390"/>
      <c r="G246" s="390"/>
      <c r="H246" s="390"/>
      <c r="I246" s="390"/>
      <c r="J246" s="390"/>
      <c r="K246" s="428"/>
      <c r="L246" s="428"/>
      <c r="M246" s="390">
        <f>M245</f>
        <v>5.1100000000000003</v>
      </c>
      <c r="N246" s="839" t="s">
        <v>89</v>
      </c>
      <c r="O246" s="442"/>
    </row>
    <row r="247" spans="1:15" ht="27.75" customHeight="1">
      <c r="A247" s="329" t="s">
        <v>217</v>
      </c>
      <c r="B247" s="885" t="s">
        <v>1346</v>
      </c>
      <c r="C247" s="428"/>
      <c r="D247" s="428"/>
      <c r="E247" s="428"/>
      <c r="F247" s="390"/>
      <c r="G247" s="390"/>
      <c r="H247" s="390"/>
      <c r="I247" s="390"/>
      <c r="J247" s="390"/>
      <c r="K247" s="428"/>
      <c r="L247" s="428"/>
      <c r="M247" s="390">
        <v>1</v>
      </c>
      <c r="N247" s="839" t="s">
        <v>360</v>
      </c>
      <c r="O247" s="442"/>
    </row>
    <row r="248" spans="1:15" ht="15.75" customHeight="1">
      <c r="A248" s="440" t="s">
        <v>1347</v>
      </c>
      <c r="B248" s="441" t="s">
        <v>780</v>
      </c>
      <c r="C248" s="428"/>
      <c r="D248" s="428"/>
      <c r="E248" s="428"/>
      <c r="F248" s="390"/>
      <c r="G248" s="390"/>
      <c r="H248" s="390"/>
      <c r="I248" s="390"/>
      <c r="J248" s="390"/>
      <c r="K248" s="428"/>
      <c r="L248" s="428"/>
      <c r="M248" s="390"/>
      <c r="N248" s="839"/>
      <c r="O248" s="442"/>
    </row>
    <row r="249" spans="1:15" ht="42" customHeight="1">
      <c r="A249" s="319">
        <v>1</v>
      </c>
      <c r="B249" s="886" t="s">
        <v>1348</v>
      </c>
      <c r="C249" s="428"/>
      <c r="D249" s="428"/>
      <c r="E249" s="428"/>
      <c r="F249" s="390"/>
      <c r="G249" s="390"/>
      <c r="H249" s="390"/>
      <c r="I249" s="390"/>
      <c r="J249" s="390"/>
      <c r="K249" s="428"/>
      <c r="L249" s="428"/>
      <c r="M249" s="390">
        <v>1</v>
      </c>
      <c r="N249" s="839" t="s">
        <v>360</v>
      </c>
      <c r="O249" s="442"/>
    </row>
    <row r="250" spans="1:15" ht="15.75" customHeight="1">
      <c r="A250" s="319">
        <f>A249+1</f>
        <v>2</v>
      </c>
      <c r="B250" s="445" t="s">
        <v>1349</v>
      </c>
      <c r="C250" s="428"/>
      <c r="D250" s="428"/>
      <c r="E250" s="428"/>
      <c r="F250" s="390"/>
      <c r="G250" s="390"/>
      <c r="H250" s="390"/>
      <c r="I250" s="390"/>
      <c r="J250" s="390"/>
      <c r="K250" s="428"/>
      <c r="L250" s="428"/>
      <c r="M250" s="390">
        <v>1</v>
      </c>
      <c r="N250" s="839" t="s">
        <v>360</v>
      </c>
      <c r="O250" s="442"/>
    </row>
    <row r="251" spans="1:15" ht="15.75" customHeight="1">
      <c r="A251" s="319">
        <f>A250+1</f>
        <v>3</v>
      </c>
      <c r="B251" s="445" t="s">
        <v>1350</v>
      </c>
      <c r="C251" s="428"/>
      <c r="D251" s="428"/>
      <c r="E251" s="428"/>
      <c r="F251" s="390"/>
      <c r="G251" s="390"/>
      <c r="H251" s="390"/>
      <c r="I251" s="390"/>
      <c r="J251" s="390"/>
      <c r="K251" s="428"/>
      <c r="L251" s="428"/>
      <c r="M251" s="390">
        <f>E211</f>
        <v>60</v>
      </c>
      <c r="N251" s="839" t="s">
        <v>117</v>
      </c>
      <c r="O251" s="442"/>
    </row>
    <row r="252" spans="1:15" ht="15.75" customHeight="1">
      <c r="A252" s="319">
        <f>A251+1</f>
        <v>4</v>
      </c>
      <c r="B252" s="445" t="s">
        <v>1351</v>
      </c>
      <c r="C252" s="428"/>
      <c r="D252" s="428"/>
      <c r="E252" s="428"/>
      <c r="F252" s="390"/>
      <c r="G252" s="390"/>
      <c r="H252" s="390"/>
      <c r="I252" s="390"/>
      <c r="J252" s="390"/>
      <c r="K252" s="428"/>
      <c r="L252" s="428"/>
      <c r="M252" s="390">
        <f>M251</f>
        <v>60</v>
      </c>
      <c r="N252" s="839" t="s">
        <v>117</v>
      </c>
      <c r="O252" s="442"/>
    </row>
    <row r="253" spans="1:15" ht="15.75" customHeight="1">
      <c r="A253" s="319">
        <f>A252+1</f>
        <v>5</v>
      </c>
      <c r="B253" s="445" t="s">
        <v>1352</v>
      </c>
      <c r="C253" s="428"/>
      <c r="D253" s="428"/>
      <c r="E253" s="428"/>
      <c r="F253" s="390"/>
      <c r="G253" s="390"/>
      <c r="H253" s="390"/>
      <c r="I253" s="390"/>
      <c r="J253" s="390"/>
      <c r="K253" s="428"/>
      <c r="L253" s="428"/>
      <c r="M253" s="390">
        <v>1</v>
      </c>
      <c r="N253" s="839" t="s">
        <v>360</v>
      </c>
      <c r="O253" s="442"/>
    </row>
    <row r="254" spans="1:15" ht="15.75" customHeight="1">
      <c r="A254" s="319">
        <f>A253+1</f>
        <v>6</v>
      </c>
      <c r="B254" s="445" t="s">
        <v>1353</v>
      </c>
      <c r="C254" s="428">
        <f>M251</f>
        <v>60</v>
      </c>
      <c r="D254" s="428"/>
      <c r="E254" s="428"/>
      <c r="F254" s="390"/>
      <c r="G254" s="390"/>
      <c r="H254" s="390"/>
      <c r="I254" s="390"/>
      <c r="J254" s="390"/>
      <c r="K254" s="428"/>
      <c r="L254" s="428"/>
      <c r="M254" s="390">
        <f>C254</f>
        <v>60</v>
      </c>
      <c r="N254" s="839" t="s">
        <v>117</v>
      </c>
      <c r="O254" s="442"/>
    </row>
    <row r="255" spans="1:15" ht="15.75" customHeight="1">
      <c r="A255" s="440" t="s">
        <v>1354</v>
      </c>
      <c r="B255" s="316" t="s">
        <v>1355</v>
      </c>
      <c r="C255" s="428"/>
      <c r="D255" s="428"/>
      <c r="E255" s="428"/>
      <c r="F255" s="390"/>
      <c r="G255" s="390"/>
      <c r="H255" s="390"/>
      <c r="I255" s="390"/>
      <c r="J255" s="390"/>
      <c r="K255" s="428"/>
      <c r="L255" s="428"/>
      <c r="M255" s="390"/>
      <c r="N255" s="839"/>
      <c r="O255" s="442"/>
    </row>
    <row r="256" spans="1:15" ht="15.75" customHeight="1">
      <c r="A256" s="887">
        <v>1</v>
      </c>
      <c r="B256" s="888" t="s">
        <v>396</v>
      </c>
      <c r="C256" s="428"/>
      <c r="D256" s="428"/>
      <c r="E256" s="428"/>
      <c r="F256" s="390"/>
      <c r="G256" s="390"/>
      <c r="H256" s="390"/>
      <c r="I256" s="390"/>
      <c r="J256" s="390"/>
      <c r="K256" s="428"/>
      <c r="L256" s="428"/>
      <c r="M256" s="390"/>
      <c r="N256" s="839"/>
      <c r="O256" s="442"/>
    </row>
    <row r="257" spans="1:15" ht="15.75" customHeight="1">
      <c r="A257" s="887"/>
      <c r="B257" s="889" t="s">
        <v>226</v>
      </c>
      <c r="C257" s="428">
        <f>2.4*4+1*2</f>
        <v>11.6</v>
      </c>
      <c r="D257" s="428"/>
      <c r="E257" s="428"/>
      <c r="F257" s="390"/>
      <c r="G257" s="390"/>
      <c r="H257" s="390">
        <v>2</v>
      </c>
      <c r="I257" s="390"/>
      <c r="J257" s="390"/>
      <c r="K257" s="428"/>
      <c r="L257" s="428"/>
      <c r="M257" s="390">
        <f>C257*H257</f>
        <v>23.2</v>
      </c>
      <c r="N257" s="839"/>
      <c r="O257" s="442"/>
    </row>
    <row r="258" spans="1:15" ht="15.75" customHeight="1">
      <c r="A258" s="887"/>
      <c r="B258" s="889" t="s">
        <v>227</v>
      </c>
      <c r="C258" s="428">
        <f>2.4*3+1*2</f>
        <v>9.1999999999999993</v>
      </c>
      <c r="D258" s="428"/>
      <c r="E258" s="428"/>
      <c r="F258" s="390"/>
      <c r="G258" s="390"/>
      <c r="H258" s="390">
        <f>H257</f>
        <v>2</v>
      </c>
      <c r="I258" s="390"/>
      <c r="J258" s="390"/>
      <c r="K258" s="428"/>
      <c r="L258" s="428"/>
      <c r="M258" s="590">
        <f>C258*H258</f>
        <v>18.399999999999999</v>
      </c>
      <c r="N258" s="839"/>
      <c r="O258" s="442"/>
    </row>
    <row r="259" spans="1:15" ht="15.75" customHeight="1">
      <c r="A259" s="887"/>
      <c r="B259" s="888"/>
      <c r="C259" s="428"/>
      <c r="D259" s="428"/>
      <c r="E259" s="428"/>
      <c r="F259" s="390"/>
      <c r="G259" s="390"/>
      <c r="H259" s="390"/>
      <c r="I259" s="390"/>
      <c r="J259" s="390"/>
      <c r="K259" s="428"/>
      <c r="L259" s="428"/>
      <c r="M259" s="390">
        <f>SUM(M257:M258)</f>
        <v>41.599999999999994</v>
      </c>
      <c r="N259" s="839" t="s">
        <v>117</v>
      </c>
      <c r="O259" s="442"/>
    </row>
    <row r="260" spans="1:15" ht="15.75" customHeight="1">
      <c r="A260" s="394">
        <f>A256+1</f>
        <v>2</v>
      </c>
      <c r="B260" s="890" t="s">
        <v>397</v>
      </c>
      <c r="C260" s="428"/>
      <c r="D260" s="428"/>
      <c r="E260" s="428"/>
      <c r="F260" s="390"/>
      <c r="G260" s="390"/>
      <c r="H260" s="390"/>
      <c r="I260" s="390"/>
      <c r="J260" s="390"/>
      <c r="K260" s="428"/>
      <c r="L260" s="428"/>
      <c r="M260" s="390"/>
      <c r="N260" s="839"/>
      <c r="O260" s="442"/>
    </row>
    <row r="261" spans="1:15" ht="15.75" customHeight="1">
      <c r="A261" s="891" t="s">
        <v>95</v>
      </c>
      <c r="B261" s="890" t="s">
        <v>398</v>
      </c>
      <c r="C261" s="428">
        <v>1</v>
      </c>
      <c r="D261" s="428">
        <v>1</v>
      </c>
      <c r="E261" s="428">
        <v>0.95</v>
      </c>
      <c r="F261" s="390"/>
      <c r="G261" s="390"/>
      <c r="H261" s="390"/>
      <c r="I261" s="390"/>
      <c r="J261" s="390"/>
      <c r="K261" s="428"/>
      <c r="L261" s="428">
        <v>12</v>
      </c>
      <c r="M261" s="390">
        <f>C261*D261*E261*L261</f>
        <v>11.399999999999999</v>
      </c>
      <c r="N261" s="839" t="s">
        <v>89</v>
      </c>
      <c r="O261" s="442"/>
    </row>
    <row r="262" spans="1:15" ht="15.75" customHeight="1">
      <c r="A262" s="891" t="s">
        <v>98</v>
      </c>
      <c r="B262" s="890" t="s">
        <v>399</v>
      </c>
      <c r="C262" s="428">
        <f>C261</f>
        <v>1</v>
      </c>
      <c r="D262" s="428">
        <f>D261</f>
        <v>1</v>
      </c>
      <c r="E262" s="428">
        <v>7.0000000000000007E-2</v>
      </c>
      <c r="F262" s="390"/>
      <c r="G262" s="390"/>
      <c r="H262" s="390"/>
      <c r="I262" s="390"/>
      <c r="J262" s="390"/>
      <c r="K262" s="428"/>
      <c r="L262" s="428">
        <f t="shared" ref="L262:L267" si="6">L261</f>
        <v>12</v>
      </c>
      <c r="M262" s="390">
        <f>C262*D262*E262*L262</f>
        <v>0.84000000000000008</v>
      </c>
      <c r="N262" s="839" t="s">
        <v>103</v>
      </c>
      <c r="O262" s="442"/>
    </row>
    <row r="263" spans="1:15" ht="15.75" customHeight="1">
      <c r="A263" s="891" t="s">
        <v>101</v>
      </c>
      <c r="B263" s="890" t="s">
        <v>400</v>
      </c>
      <c r="C263" s="428">
        <f>C262</f>
        <v>1</v>
      </c>
      <c r="D263" s="428">
        <f>D262</f>
        <v>1</v>
      </c>
      <c r="E263" s="428">
        <v>0.05</v>
      </c>
      <c r="F263" s="390"/>
      <c r="G263" s="390"/>
      <c r="H263" s="390"/>
      <c r="I263" s="390"/>
      <c r="J263" s="390"/>
      <c r="K263" s="428"/>
      <c r="L263" s="428">
        <f t="shared" si="6"/>
        <v>12</v>
      </c>
      <c r="M263" s="390">
        <f>C263*D263*E263*L263</f>
        <v>0.60000000000000009</v>
      </c>
      <c r="N263" s="839" t="s">
        <v>103</v>
      </c>
      <c r="O263" s="442"/>
    </row>
    <row r="264" spans="1:15" ht="15.75" customHeight="1">
      <c r="A264" s="891" t="s">
        <v>121</v>
      </c>
      <c r="B264" s="890" t="s">
        <v>401</v>
      </c>
      <c r="C264" s="428">
        <v>1</v>
      </c>
      <c r="D264" s="428"/>
      <c r="E264" s="428">
        <v>0.3</v>
      </c>
      <c r="F264" s="390"/>
      <c r="G264" s="390"/>
      <c r="H264" s="390">
        <v>4</v>
      </c>
      <c r="I264" s="390"/>
      <c r="J264" s="390"/>
      <c r="K264" s="428"/>
      <c r="L264" s="428">
        <f t="shared" si="6"/>
        <v>12</v>
      </c>
      <c r="M264" s="390">
        <f>C264*E264*H264*L264</f>
        <v>14.399999999999999</v>
      </c>
      <c r="N264" s="839" t="s">
        <v>89</v>
      </c>
      <c r="O264" s="442"/>
    </row>
    <row r="265" spans="1:15" ht="15.75" customHeight="1">
      <c r="A265" s="891" t="s">
        <v>142</v>
      </c>
      <c r="B265" s="890" t="s">
        <v>895</v>
      </c>
      <c r="C265" s="428">
        <v>0.65</v>
      </c>
      <c r="D265" s="428"/>
      <c r="E265" s="428"/>
      <c r="F265" s="390">
        <f>13*13*0.006165</f>
        <v>1.041885</v>
      </c>
      <c r="G265" s="390">
        <f>0.05*2</f>
        <v>0.1</v>
      </c>
      <c r="H265" s="390">
        <v>4</v>
      </c>
      <c r="I265" s="390"/>
      <c r="J265" s="390"/>
      <c r="K265" s="428"/>
      <c r="L265" s="428">
        <f t="shared" si="6"/>
        <v>12</v>
      </c>
      <c r="M265" s="390">
        <f>(C265+G265)*F265*H265*L265</f>
        <v>37.507860000000001</v>
      </c>
      <c r="N265" s="839" t="s">
        <v>100</v>
      </c>
      <c r="O265" s="442"/>
    </row>
    <row r="266" spans="1:15" ht="15.75" customHeight="1">
      <c r="A266" s="891" t="s">
        <v>217</v>
      </c>
      <c r="B266" s="427" t="s">
        <v>420</v>
      </c>
      <c r="C266" s="428">
        <v>0.8</v>
      </c>
      <c r="D266" s="428">
        <v>0.8</v>
      </c>
      <c r="E266" s="428">
        <v>0.3</v>
      </c>
      <c r="F266" s="390"/>
      <c r="G266" s="390"/>
      <c r="H266" s="390"/>
      <c r="I266" s="390"/>
      <c r="J266" s="390"/>
      <c r="K266" s="428"/>
      <c r="L266" s="428">
        <f t="shared" si="6"/>
        <v>12</v>
      </c>
      <c r="M266" s="390">
        <f>C266*D266*E266*L266</f>
        <v>2.3040000000000003</v>
      </c>
      <c r="N266" s="839" t="s">
        <v>103</v>
      </c>
      <c r="O266" s="442"/>
    </row>
    <row r="267" spans="1:15" ht="15.75" customHeight="1">
      <c r="A267" s="891" t="s">
        <v>366</v>
      </c>
      <c r="B267" s="890" t="s">
        <v>383</v>
      </c>
      <c r="C267" s="428"/>
      <c r="D267" s="428"/>
      <c r="E267" s="428">
        <v>4</v>
      </c>
      <c r="F267" s="390"/>
      <c r="G267" s="390"/>
      <c r="H267" s="390"/>
      <c r="I267" s="390"/>
      <c r="J267" s="390"/>
      <c r="K267" s="428">
        <v>6</v>
      </c>
      <c r="L267" s="428">
        <f t="shared" si="6"/>
        <v>12</v>
      </c>
      <c r="M267" s="390">
        <f>E267*K267*L267</f>
        <v>288</v>
      </c>
      <c r="N267" s="839" t="s">
        <v>117</v>
      </c>
      <c r="O267" s="442"/>
    </row>
    <row r="268" spans="1:15" ht="15.75" customHeight="1">
      <c r="A268" s="892">
        <f>A260+1</f>
        <v>3</v>
      </c>
      <c r="B268" s="893" t="s">
        <v>551</v>
      </c>
      <c r="C268" s="428"/>
      <c r="D268" s="428"/>
      <c r="E268" s="428"/>
      <c r="F268" s="390"/>
      <c r="G268" s="390"/>
      <c r="H268" s="390"/>
      <c r="I268" s="390"/>
      <c r="J268" s="390"/>
      <c r="K268" s="428"/>
      <c r="L268" s="428"/>
      <c r="M268" s="390"/>
      <c r="N268" s="839"/>
      <c r="O268" s="442"/>
    </row>
    <row r="269" spans="1:15" ht="15.75" customHeight="1">
      <c r="A269" s="894" t="s">
        <v>95</v>
      </c>
      <c r="B269" s="893" t="s">
        <v>382</v>
      </c>
      <c r="C269" s="428"/>
      <c r="D269" s="428"/>
      <c r="E269" s="428"/>
      <c r="F269" s="390"/>
      <c r="G269" s="390"/>
      <c r="H269" s="390"/>
      <c r="I269" s="390"/>
      <c r="J269" s="390"/>
      <c r="K269" s="428"/>
      <c r="L269" s="428"/>
      <c r="M269" s="390"/>
      <c r="N269" s="839"/>
      <c r="O269" s="442"/>
    </row>
    <row r="270" spans="1:15" ht="15.75" customHeight="1">
      <c r="A270" s="894"/>
      <c r="B270" s="895" t="str">
        <f>B257</f>
        <v>horisontal</v>
      </c>
      <c r="C270" s="428">
        <f>2.4*4</f>
        <v>9.6</v>
      </c>
      <c r="D270" s="428">
        <v>0.8</v>
      </c>
      <c r="E270" s="428">
        <v>0.7</v>
      </c>
      <c r="F270" s="390"/>
      <c r="G270" s="390"/>
      <c r="H270" s="390">
        <f>H257</f>
        <v>2</v>
      </c>
      <c r="I270" s="390"/>
      <c r="J270" s="390"/>
      <c r="K270" s="428"/>
      <c r="L270" s="428"/>
      <c r="M270" s="390">
        <f>C270*D270*E270*H270</f>
        <v>10.751999999999999</v>
      </c>
      <c r="N270" s="839"/>
      <c r="O270" s="442"/>
    </row>
    <row r="271" spans="1:15" ht="15.75" customHeight="1">
      <c r="A271" s="894"/>
      <c r="B271" s="895" t="str">
        <f>B258</f>
        <v>vertikal</v>
      </c>
      <c r="C271" s="428">
        <f>2.4*3</f>
        <v>7.1999999999999993</v>
      </c>
      <c r="D271" s="428">
        <f>D270</f>
        <v>0.8</v>
      </c>
      <c r="E271" s="428">
        <f>E270</f>
        <v>0.7</v>
      </c>
      <c r="F271" s="390"/>
      <c r="G271" s="390"/>
      <c r="H271" s="390">
        <f>H258</f>
        <v>2</v>
      </c>
      <c r="I271" s="390"/>
      <c r="J271" s="390"/>
      <c r="K271" s="428"/>
      <c r="L271" s="428"/>
      <c r="M271" s="590">
        <f>C271*D271*E271*H271</f>
        <v>8.0640000000000001</v>
      </c>
      <c r="N271" s="839"/>
      <c r="O271" s="442"/>
    </row>
    <row r="272" spans="1:15" ht="15.75" customHeight="1">
      <c r="A272" s="894"/>
      <c r="B272" s="893"/>
      <c r="C272" s="428"/>
      <c r="D272" s="428"/>
      <c r="E272" s="428"/>
      <c r="F272" s="390"/>
      <c r="G272" s="390"/>
      <c r="H272" s="390"/>
      <c r="I272" s="390"/>
      <c r="J272" s="390"/>
      <c r="K272" s="428"/>
      <c r="L272" s="428"/>
      <c r="M272" s="390">
        <f>SUM(M270:M271)</f>
        <v>18.815999999999999</v>
      </c>
      <c r="N272" s="839" t="s">
        <v>103</v>
      </c>
      <c r="O272" s="442"/>
    </row>
    <row r="273" spans="1:15" ht="15.75" customHeight="1">
      <c r="A273" s="894" t="s">
        <v>98</v>
      </c>
      <c r="B273" s="410" t="s">
        <v>405</v>
      </c>
      <c r="C273" s="428"/>
      <c r="D273" s="428"/>
      <c r="E273" s="428"/>
      <c r="F273" s="390"/>
      <c r="G273" s="390"/>
      <c r="H273" s="390"/>
      <c r="I273" s="390"/>
      <c r="J273" s="390"/>
      <c r="K273" s="428"/>
      <c r="L273" s="428"/>
      <c r="M273" s="390"/>
      <c r="N273" s="839"/>
      <c r="O273" s="442"/>
    </row>
    <row r="274" spans="1:15" ht="15.75" customHeight="1">
      <c r="A274" s="894"/>
      <c r="B274" s="896" t="str">
        <f>B270</f>
        <v>horisontal</v>
      </c>
      <c r="C274" s="428"/>
      <c r="D274" s="428"/>
      <c r="E274" s="428">
        <v>4</v>
      </c>
      <c r="F274" s="390"/>
      <c r="G274" s="390"/>
      <c r="H274" s="390">
        <f>H270</f>
        <v>2</v>
      </c>
      <c r="I274" s="390"/>
      <c r="J274" s="390"/>
      <c r="K274" s="428">
        <f>ROUNDDOWN((C270/0.5),0.5)</f>
        <v>19</v>
      </c>
      <c r="L274" s="428"/>
      <c r="M274" s="390">
        <f>E274*H274*K274</f>
        <v>152</v>
      </c>
      <c r="N274" s="839"/>
      <c r="O274" s="442"/>
    </row>
    <row r="275" spans="1:15" ht="15.75" customHeight="1">
      <c r="A275" s="894"/>
      <c r="B275" s="896" t="str">
        <f>B271</f>
        <v>vertikal</v>
      </c>
      <c r="C275" s="428"/>
      <c r="D275" s="428"/>
      <c r="E275" s="428">
        <f>E274</f>
        <v>4</v>
      </c>
      <c r="F275" s="390"/>
      <c r="G275" s="390"/>
      <c r="H275" s="390">
        <f>H271</f>
        <v>2</v>
      </c>
      <c r="I275" s="390"/>
      <c r="J275" s="390"/>
      <c r="K275" s="428">
        <f>ROUNDDOWN((C271/0.5),0.5)</f>
        <v>14</v>
      </c>
      <c r="L275" s="428"/>
      <c r="M275" s="590">
        <f>E275*H275*K275</f>
        <v>112</v>
      </c>
      <c r="N275" s="839"/>
      <c r="O275" s="442"/>
    </row>
    <row r="276" spans="1:15" ht="15.75" customHeight="1">
      <c r="A276" s="894"/>
      <c r="B276" s="410"/>
      <c r="C276" s="428"/>
      <c r="D276" s="428"/>
      <c r="E276" s="428"/>
      <c r="F276" s="390"/>
      <c r="G276" s="390"/>
      <c r="H276" s="390"/>
      <c r="I276" s="390"/>
      <c r="J276" s="390"/>
      <c r="K276" s="428"/>
      <c r="L276" s="428"/>
      <c r="M276" s="390">
        <f>SUM(M274:M275)</f>
        <v>264</v>
      </c>
      <c r="N276" s="839" t="s">
        <v>117</v>
      </c>
      <c r="O276" s="442"/>
    </row>
    <row r="277" spans="1:15" ht="15.75" customHeight="1">
      <c r="A277" s="894" t="s">
        <v>101</v>
      </c>
      <c r="B277" s="410" t="s">
        <v>620</v>
      </c>
      <c r="C277" s="428"/>
      <c r="D277" s="428"/>
      <c r="E277" s="428"/>
      <c r="F277" s="390"/>
      <c r="G277" s="390"/>
      <c r="H277" s="390"/>
      <c r="I277" s="390"/>
      <c r="J277" s="390"/>
      <c r="K277" s="428"/>
      <c r="L277" s="428"/>
      <c r="M277" s="390"/>
      <c r="N277" s="839"/>
      <c r="O277" s="442"/>
    </row>
    <row r="278" spans="1:15" ht="15.75" customHeight="1">
      <c r="A278" s="894"/>
      <c r="B278" s="896" t="str">
        <f>B274</f>
        <v>horisontal</v>
      </c>
      <c r="C278" s="428">
        <f>C270</f>
        <v>9.6</v>
      </c>
      <c r="D278" s="428">
        <f>D270</f>
        <v>0.8</v>
      </c>
      <c r="E278" s="428">
        <v>7.0000000000000007E-2</v>
      </c>
      <c r="F278" s="390"/>
      <c r="G278" s="390"/>
      <c r="H278" s="390">
        <f>H274</f>
        <v>2</v>
      </c>
      <c r="I278" s="390"/>
      <c r="J278" s="390"/>
      <c r="K278" s="428"/>
      <c r="L278" s="428"/>
      <c r="M278" s="390">
        <f>C278*D278*E278*H278</f>
        <v>1.0752000000000002</v>
      </c>
      <c r="N278" s="839"/>
      <c r="O278" s="442"/>
    </row>
    <row r="279" spans="1:15" ht="15.75" customHeight="1">
      <c r="A279" s="894"/>
      <c r="B279" s="896" t="str">
        <f>B275</f>
        <v>vertikal</v>
      </c>
      <c r="C279" s="428">
        <f>C271</f>
        <v>7.1999999999999993</v>
      </c>
      <c r="D279" s="428">
        <f>D271</f>
        <v>0.8</v>
      </c>
      <c r="E279" s="428">
        <f>E278</f>
        <v>7.0000000000000007E-2</v>
      </c>
      <c r="F279" s="390"/>
      <c r="G279" s="390"/>
      <c r="H279" s="390">
        <f>H275</f>
        <v>2</v>
      </c>
      <c r="I279" s="390"/>
      <c r="J279" s="390"/>
      <c r="K279" s="428"/>
      <c r="L279" s="428"/>
      <c r="M279" s="590">
        <f>C279*D279*E279*H279</f>
        <v>0.80640000000000001</v>
      </c>
      <c r="N279" s="839"/>
      <c r="O279" s="442"/>
    </row>
    <row r="280" spans="1:15" ht="15.75" customHeight="1">
      <c r="A280" s="894"/>
      <c r="B280" s="410"/>
      <c r="C280" s="428"/>
      <c r="D280" s="428"/>
      <c r="E280" s="428"/>
      <c r="F280" s="390"/>
      <c r="G280" s="390"/>
      <c r="H280" s="390"/>
      <c r="I280" s="390"/>
      <c r="J280" s="390"/>
      <c r="K280" s="428"/>
      <c r="L280" s="428"/>
      <c r="M280" s="390">
        <f>SUM(M278:M279)</f>
        <v>1.8816000000000002</v>
      </c>
      <c r="N280" s="839" t="s">
        <v>103</v>
      </c>
      <c r="O280" s="442"/>
    </row>
    <row r="281" spans="1:15" ht="15.75" customHeight="1">
      <c r="A281" s="894" t="s">
        <v>121</v>
      </c>
      <c r="B281" s="897" t="s">
        <v>400</v>
      </c>
      <c r="C281" s="428"/>
      <c r="D281" s="428"/>
      <c r="E281" s="428"/>
      <c r="F281" s="390"/>
      <c r="G281" s="390"/>
      <c r="H281" s="390"/>
      <c r="I281" s="390"/>
      <c r="J281" s="390"/>
      <c r="K281" s="428"/>
      <c r="L281" s="428"/>
      <c r="M281" s="390"/>
      <c r="N281" s="839"/>
      <c r="O281" s="442"/>
    </row>
    <row r="282" spans="1:15" ht="15.75" customHeight="1">
      <c r="A282" s="894"/>
      <c r="B282" s="896" t="str">
        <f t="shared" ref="B282:D283" si="7">B278</f>
        <v>horisontal</v>
      </c>
      <c r="C282" s="428">
        <f t="shared" si="7"/>
        <v>9.6</v>
      </c>
      <c r="D282" s="428">
        <f t="shared" si="7"/>
        <v>0.8</v>
      </c>
      <c r="E282" s="428">
        <v>0.03</v>
      </c>
      <c r="F282" s="390"/>
      <c r="G282" s="390"/>
      <c r="H282" s="390">
        <f>H278</f>
        <v>2</v>
      </c>
      <c r="I282" s="390"/>
      <c r="J282" s="390"/>
      <c r="K282" s="428"/>
      <c r="L282" s="428"/>
      <c r="M282" s="390">
        <f>C282*D282*E282*H282</f>
        <v>0.46079999999999999</v>
      </c>
      <c r="N282" s="839"/>
      <c r="O282" s="442"/>
    </row>
    <row r="283" spans="1:15" ht="15.75" customHeight="1">
      <c r="A283" s="894"/>
      <c r="B283" s="896" t="str">
        <f t="shared" si="7"/>
        <v>vertikal</v>
      </c>
      <c r="C283" s="428">
        <f t="shared" si="7"/>
        <v>7.1999999999999993</v>
      </c>
      <c r="D283" s="428">
        <f t="shared" si="7"/>
        <v>0.8</v>
      </c>
      <c r="E283" s="428">
        <f>E282</f>
        <v>0.03</v>
      </c>
      <c r="F283" s="390"/>
      <c r="G283" s="390"/>
      <c r="H283" s="390">
        <f>H279</f>
        <v>2</v>
      </c>
      <c r="I283" s="390"/>
      <c r="J283" s="390"/>
      <c r="K283" s="428"/>
      <c r="L283" s="428"/>
      <c r="M283" s="590">
        <f>C283*D283*E283*H283</f>
        <v>0.34559999999999996</v>
      </c>
      <c r="N283" s="839"/>
      <c r="O283" s="442"/>
    </row>
    <row r="284" spans="1:15" ht="15.75" customHeight="1">
      <c r="A284" s="894"/>
      <c r="B284" s="897"/>
      <c r="C284" s="428"/>
      <c r="D284" s="428"/>
      <c r="E284" s="428"/>
      <c r="F284" s="390"/>
      <c r="G284" s="390"/>
      <c r="H284" s="390"/>
      <c r="I284" s="390"/>
      <c r="J284" s="390"/>
      <c r="K284" s="428"/>
      <c r="L284" s="428"/>
      <c r="M284" s="390">
        <f>SUM(M282:M283)</f>
        <v>0.80640000000000001</v>
      </c>
      <c r="N284" s="839" t="s">
        <v>103</v>
      </c>
      <c r="O284" s="442"/>
    </row>
    <row r="285" spans="1:15" ht="15.75" customHeight="1">
      <c r="A285" s="894" t="s">
        <v>142</v>
      </c>
      <c r="B285" s="893" t="s">
        <v>403</v>
      </c>
      <c r="C285" s="428"/>
      <c r="D285" s="428"/>
      <c r="E285" s="428"/>
      <c r="F285" s="390"/>
      <c r="G285" s="390"/>
      <c r="H285" s="390"/>
      <c r="I285" s="390"/>
      <c r="J285" s="390"/>
      <c r="K285" s="428"/>
      <c r="L285" s="428"/>
      <c r="M285" s="390"/>
      <c r="N285" s="839"/>
      <c r="O285" s="442"/>
    </row>
    <row r="286" spans="1:15" ht="15.75" customHeight="1">
      <c r="A286" s="894"/>
      <c r="B286" s="896" t="str">
        <f>B282</f>
        <v>horisontal</v>
      </c>
      <c r="C286" s="428">
        <f>C282</f>
        <v>9.6</v>
      </c>
      <c r="D286" s="428">
        <f>(0.3+D283)/2</f>
        <v>0.55000000000000004</v>
      </c>
      <c r="E286" s="428">
        <v>0.6</v>
      </c>
      <c r="F286" s="390"/>
      <c r="G286" s="390"/>
      <c r="H286" s="390">
        <f>H282</f>
        <v>2</v>
      </c>
      <c r="I286" s="390"/>
      <c r="J286" s="390"/>
      <c r="K286" s="428"/>
      <c r="L286" s="428"/>
      <c r="M286" s="390">
        <f>C286*D286*E286*H286</f>
        <v>6.3360000000000003</v>
      </c>
      <c r="N286" s="839"/>
      <c r="O286" s="442"/>
    </row>
    <row r="287" spans="1:15" ht="15.75" customHeight="1">
      <c r="A287" s="894"/>
      <c r="B287" s="896" t="str">
        <f>B283</f>
        <v>vertikal</v>
      </c>
      <c r="C287" s="428">
        <f>C283</f>
        <v>7.1999999999999993</v>
      </c>
      <c r="D287" s="428">
        <f>D286</f>
        <v>0.55000000000000004</v>
      </c>
      <c r="E287" s="428">
        <f>E286</f>
        <v>0.6</v>
      </c>
      <c r="F287" s="390"/>
      <c r="G287" s="390"/>
      <c r="H287" s="390">
        <f>H283</f>
        <v>2</v>
      </c>
      <c r="I287" s="390"/>
      <c r="J287" s="390"/>
      <c r="K287" s="428"/>
      <c r="L287" s="428"/>
      <c r="M287" s="590">
        <f>C287*D287*E287*H287</f>
        <v>4.7519999999999998</v>
      </c>
      <c r="N287" s="839"/>
      <c r="O287" s="442"/>
    </row>
    <row r="288" spans="1:15" ht="15.75" customHeight="1">
      <c r="A288" s="894"/>
      <c r="B288" s="893"/>
      <c r="C288" s="428"/>
      <c r="D288" s="428"/>
      <c r="E288" s="428"/>
      <c r="F288" s="390"/>
      <c r="G288" s="390"/>
      <c r="H288" s="390"/>
      <c r="I288" s="390"/>
      <c r="J288" s="390"/>
      <c r="K288" s="428"/>
      <c r="L288" s="428"/>
      <c r="M288" s="390">
        <f>SUM(M286:M287)</f>
        <v>11.088000000000001</v>
      </c>
      <c r="N288" s="839" t="s">
        <v>103</v>
      </c>
      <c r="O288" s="442"/>
    </row>
    <row r="289" spans="1:15" ht="15.75" customHeight="1">
      <c r="A289" s="887">
        <f>A268+1</f>
        <v>4</v>
      </c>
      <c r="B289" s="450" t="s">
        <v>409</v>
      </c>
      <c r="C289" s="428"/>
      <c r="D289" s="428"/>
      <c r="E289" s="428"/>
      <c r="F289" s="390"/>
      <c r="G289" s="390"/>
      <c r="H289" s="390"/>
      <c r="I289" s="390"/>
      <c r="J289" s="390"/>
      <c r="K289" s="428"/>
      <c r="L289" s="428"/>
      <c r="M289" s="390"/>
      <c r="N289" s="839"/>
      <c r="O289" s="442"/>
    </row>
    <row r="290" spans="1:15" ht="15.75" customHeight="1">
      <c r="A290" s="894" t="s">
        <v>95</v>
      </c>
      <c r="B290" s="389" t="s">
        <v>221</v>
      </c>
      <c r="C290" s="428"/>
      <c r="D290" s="428"/>
      <c r="E290" s="428"/>
      <c r="F290" s="390"/>
      <c r="G290" s="390"/>
      <c r="H290" s="390"/>
      <c r="I290" s="390"/>
      <c r="J290" s="390"/>
      <c r="K290" s="428"/>
      <c r="L290" s="428"/>
      <c r="M290" s="390"/>
      <c r="N290" s="839"/>
      <c r="O290" s="442"/>
    </row>
    <row r="291" spans="1:15" ht="15.75" customHeight="1">
      <c r="A291" s="894"/>
      <c r="B291" s="682" t="str">
        <f>B286</f>
        <v>horisontal</v>
      </c>
      <c r="C291" s="428">
        <f>C286</f>
        <v>9.6</v>
      </c>
      <c r="D291" s="428"/>
      <c r="E291" s="428">
        <v>0.3</v>
      </c>
      <c r="F291" s="390"/>
      <c r="G291" s="390"/>
      <c r="H291" s="390">
        <f>H286</f>
        <v>2</v>
      </c>
      <c r="I291" s="390"/>
      <c r="J291" s="390"/>
      <c r="K291" s="428"/>
      <c r="L291" s="428">
        <v>2</v>
      </c>
      <c r="M291" s="390">
        <f>C291*E291*H291*L291</f>
        <v>11.52</v>
      </c>
      <c r="N291" s="839"/>
      <c r="O291" s="442"/>
    </row>
    <row r="292" spans="1:15" ht="15.75" customHeight="1">
      <c r="A292" s="894"/>
      <c r="B292" s="682" t="str">
        <f>B287</f>
        <v>vertikal</v>
      </c>
      <c r="C292" s="428">
        <f>C287</f>
        <v>7.1999999999999993</v>
      </c>
      <c r="D292" s="428"/>
      <c r="E292" s="428">
        <f>E291</f>
        <v>0.3</v>
      </c>
      <c r="F292" s="390"/>
      <c r="G292" s="390"/>
      <c r="H292" s="390">
        <f>H287</f>
        <v>2</v>
      </c>
      <c r="I292" s="390"/>
      <c r="J292" s="390"/>
      <c r="K292" s="428"/>
      <c r="L292" s="428">
        <f>L291</f>
        <v>2</v>
      </c>
      <c r="M292" s="590">
        <f>C292*E292*H292*L292</f>
        <v>8.6399999999999988</v>
      </c>
      <c r="N292" s="839"/>
      <c r="O292" s="442"/>
    </row>
    <row r="293" spans="1:15" ht="15.75" customHeight="1">
      <c r="A293" s="894"/>
      <c r="B293" s="389"/>
      <c r="C293" s="428"/>
      <c r="D293" s="428"/>
      <c r="E293" s="428"/>
      <c r="F293" s="390"/>
      <c r="G293" s="390"/>
      <c r="H293" s="390"/>
      <c r="I293" s="390"/>
      <c r="J293" s="390"/>
      <c r="K293" s="428"/>
      <c r="L293" s="428"/>
      <c r="M293" s="390">
        <f>SUM(M291:M292)</f>
        <v>20.159999999999997</v>
      </c>
      <c r="N293" s="839" t="s">
        <v>89</v>
      </c>
      <c r="O293" s="442"/>
    </row>
    <row r="294" spans="1:15" ht="15.75" customHeight="1">
      <c r="A294" s="894" t="s">
        <v>98</v>
      </c>
      <c r="B294" s="389" t="s">
        <v>925</v>
      </c>
      <c r="C294" s="428"/>
      <c r="D294" s="428"/>
      <c r="E294" s="428"/>
      <c r="F294" s="390"/>
      <c r="G294" s="390"/>
      <c r="H294" s="390"/>
      <c r="I294" s="390"/>
      <c r="J294" s="390"/>
      <c r="K294" s="428"/>
      <c r="L294" s="428"/>
      <c r="M294" s="390"/>
      <c r="N294" s="839"/>
      <c r="O294" s="442"/>
    </row>
    <row r="295" spans="1:15" ht="15.75" customHeight="1">
      <c r="A295" s="894"/>
      <c r="B295" s="682" t="str">
        <f>B291</f>
        <v>horisontal</v>
      </c>
      <c r="C295" s="428">
        <f>C291</f>
        <v>9.6</v>
      </c>
      <c r="D295" s="428"/>
      <c r="E295" s="428"/>
      <c r="F295" s="390">
        <f>13*13*0.006165</f>
        <v>1.041885</v>
      </c>
      <c r="G295" s="390"/>
      <c r="H295" s="390"/>
      <c r="I295" s="390"/>
      <c r="J295" s="390"/>
      <c r="K295" s="428">
        <v>5</v>
      </c>
      <c r="L295" s="428">
        <f>L291</f>
        <v>2</v>
      </c>
      <c r="M295" s="390">
        <f>C295*F295*K295*L295</f>
        <v>100.02096</v>
      </c>
      <c r="N295" s="839"/>
      <c r="O295" s="442"/>
    </row>
    <row r="296" spans="1:15" ht="15.75" customHeight="1">
      <c r="A296" s="894"/>
      <c r="B296" s="682" t="str">
        <f>B292</f>
        <v>vertikal</v>
      </c>
      <c r="C296" s="428">
        <f>C292</f>
        <v>7.1999999999999993</v>
      </c>
      <c r="D296" s="428"/>
      <c r="E296" s="428"/>
      <c r="F296" s="390">
        <f>F295</f>
        <v>1.041885</v>
      </c>
      <c r="G296" s="390"/>
      <c r="H296" s="390"/>
      <c r="I296" s="390"/>
      <c r="J296" s="390"/>
      <c r="K296" s="428">
        <f>K295</f>
        <v>5</v>
      </c>
      <c r="L296" s="428">
        <f>L292</f>
        <v>2</v>
      </c>
      <c r="M296" s="590">
        <f>C296*F296*K296*L296</f>
        <v>75.015719999999988</v>
      </c>
      <c r="N296" s="839"/>
      <c r="O296" s="442"/>
    </row>
    <row r="297" spans="1:15" ht="15.75" customHeight="1">
      <c r="A297" s="894"/>
      <c r="B297" s="389"/>
      <c r="C297" s="428"/>
      <c r="D297" s="428"/>
      <c r="E297" s="428"/>
      <c r="F297" s="390"/>
      <c r="G297" s="390"/>
      <c r="H297" s="390"/>
      <c r="I297" s="390"/>
      <c r="J297" s="390"/>
      <c r="K297" s="428"/>
      <c r="L297" s="428"/>
      <c r="M297" s="390">
        <f>SUM(M295:M296)</f>
        <v>175.03667999999999</v>
      </c>
      <c r="N297" s="839" t="s">
        <v>100</v>
      </c>
      <c r="O297" s="442"/>
    </row>
    <row r="298" spans="1:15" ht="15.75" customHeight="1">
      <c r="A298" s="894" t="s">
        <v>101</v>
      </c>
      <c r="B298" s="389" t="s">
        <v>428</v>
      </c>
      <c r="C298" s="428"/>
      <c r="D298" s="428"/>
      <c r="E298" s="428"/>
      <c r="F298" s="390"/>
      <c r="G298" s="390"/>
      <c r="H298" s="390"/>
      <c r="I298" s="390"/>
      <c r="J298" s="390"/>
      <c r="K298" s="428"/>
      <c r="L298" s="428"/>
      <c r="M298" s="390"/>
      <c r="N298" s="839"/>
      <c r="O298" s="442"/>
    </row>
    <row r="299" spans="1:15" ht="15.75" customHeight="1">
      <c r="A299" s="894"/>
      <c r="B299" s="682" t="str">
        <f>B295</f>
        <v>horisontal</v>
      </c>
      <c r="C299" s="428">
        <f>(0.1+0.15)*2</f>
        <v>0.5</v>
      </c>
      <c r="D299" s="428"/>
      <c r="E299" s="428"/>
      <c r="F299" s="390">
        <f>8*8*0.006165</f>
        <v>0.39456000000000002</v>
      </c>
      <c r="G299" s="390">
        <f>0.05*2</f>
        <v>0.1</v>
      </c>
      <c r="H299" s="390"/>
      <c r="I299" s="390"/>
      <c r="J299" s="390"/>
      <c r="K299" s="428">
        <f>ROUNDDOWN((C295/0.125),0.5)</f>
        <v>76</v>
      </c>
      <c r="L299" s="428">
        <f>L295</f>
        <v>2</v>
      </c>
      <c r="M299" s="390">
        <f>(C299+G299)*F299*K299*L299</f>
        <v>35.983871999999998</v>
      </c>
      <c r="N299" s="839"/>
      <c r="O299" s="442"/>
    </row>
    <row r="300" spans="1:15" ht="15.75" customHeight="1">
      <c r="A300" s="894"/>
      <c r="B300" s="682" t="str">
        <f>B296</f>
        <v>vertikal</v>
      </c>
      <c r="C300" s="428">
        <f>C299</f>
        <v>0.5</v>
      </c>
      <c r="D300" s="428"/>
      <c r="E300" s="428"/>
      <c r="F300" s="390">
        <f>F299</f>
        <v>0.39456000000000002</v>
      </c>
      <c r="G300" s="390">
        <f>G299</f>
        <v>0.1</v>
      </c>
      <c r="H300" s="390"/>
      <c r="I300" s="390"/>
      <c r="J300" s="390"/>
      <c r="K300" s="428">
        <f>ROUNDDOWN((C296/0.125),0.5)</f>
        <v>57</v>
      </c>
      <c r="L300" s="428">
        <f>L296</f>
        <v>2</v>
      </c>
      <c r="M300" s="590">
        <f>(C300+G300)*F300*K300*L300</f>
        <v>26.987904</v>
      </c>
      <c r="N300" s="839"/>
      <c r="O300" s="442"/>
    </row>
    <row r="301" spans="1:15" ht="15.75" customHeight="1">
      <c r="A301" s="894"/>
      <c r="B301" s="427"/>
      <c r="C301" s="428"/>
      <c r="D301" s="428"/>
      <c r="E301" s="428"/>
      <c r="F301" s="390"/>
      <c r="G301" s="390"/>
      <c r="H301" s="390"/>
      <c r="I301" s="390"/>
      <c r="J301" s="390"/>
      <c r="K301" s="428"/>
      <c r="L301" s="428"/>
      <c r="M301" s="390">
        <f>SUM(M299:M300)</f>
        <v>62.971775999999998</v>
      </c>
      <c r="N301" s="839" t="s">
        <v>100</v>
      </c>
      <c r="O301" s="442"/>
    </row>
    <row r="302" spans="1:15" ht="15.75" customHeight="1">
      <c r="A302" s="894" t="s">
        <v>121</v>
      </c>
      <c r="B302" s="427" t="s">
        <v>420</v>
      </c>
      <c r="C302" s="428"/>
      <c r="D302" s="428"/>
      <c r="E302" s="428"/>
      <c r="F302" s="390"/>
      <c r="G302" s="390"/>
      <c r="H302" s="390"/>
      <c r="I302" s="390"/>
      <c r="J302" s="390"/>
      <c r="K302" s="428"/>
      <c r="L302" s="428"/>
      <c r="M302" s="390"/>
      <c r="N302" s="839"/>
      <c r="O302" s="442"/>
    </row>
    <row r="303" spans="1:15" ht="15.75" customHeight="1">
      <c r="A303" s="894"/>
      <c r="B303" s="682" t="str">
        <f>B299</f>
        <v>horisontal</v>
      </c>
      <c r="C303" s="428">
        <f>C295</f>
        <v>9.6</v>
      </c>
      <c r="D303" s="428">
        <v>0.25</v>
      </c>
      <c r="E303" s="428">
        <v>0.3</v>
      </c>
      <c r="F303" s="390"/>
      <c r="G303" s="390"/>
      <c r="H303" s="390"/>
      <c r="I303" s="390"/>
      <c r="J303" s="390"/>
      <c r="K303" s="428"/>
      <c r="L303" s="428">
        <f>L299</f>
        <v>2</v>
      </c>
      <c r="M303" s="390">
        <f>C303*D303*E303*L303</f>
        <v>1.44</v>
      </c>
      <c r="N303" s="839"/>
      <c r="O303" s="442"/>
    </row>
    <row r="304" spans="1:15" ht="15.75" customHeight="1">
      <c r="A304" s="894"/>
      <c r="B304" s="682" t="str">
        <f>B300</f>
        <v>vertikal</v>
      </c>
      <c r="C304" s="428">
        <f>C296</f>
        <v>7.1999999999999993</v>
      </c>
      <c r="D304" s="428">
        <f>D303</f>
        <v>0.25</v>
      </c>
      <c r="E304" s="428">
        <f>E303</f>
        <v>0.3</v>
      </c>
      <c r="F304" s="390"/>
      <c r="G304" s="390"/>
      <c r="H304" s="390"/>
      <c r="I304" s="390"/>
      <c r="J304" s="390"/>
      <c r="K304" s="428"/>
      <c r="L304" s="428">
        <f>L300</f>
        <v>2</v>
      </c>
      <c r="M304" s="590">
        <f>C304*D304*E304*L304</f>
        <v>1.0799999999999998</v>
      </c>
      <c r="N304" s="839"/>
      <c r="O304" s="442"/>
    </row>
    <row r="305" spans="1:15" ht="15.75" customHeight="1">
      <c r="A305" s="894"/>
      <c r="B305" s="427"/>
      <c r="C305" s="428"/>
      <c r="D305" s="428"/>
      <c r="E305" s="428"/>
      <c r="F305" s="390"/>
      <c r="G305" s="390"/>
      <c r="H305" s="390"/>
      <c r="I305" s="390"/>
      <c r="J305" s="390"/>
      <c r="K305" s="428"/>
      <c r="L305" s="428"/>
      <c r="M305" s="390">
        <f>SUM(M303:M304)</f>
        <v>2.5199999999999996</v>
      </c>
      <c r="N305" s="839" t="s">
        <v>103</v>
      </c>
      <c r="O305" s="442"/>
    </row>
    <row r="306" spans="1:15" ht="15.75" customHeight="1">
      <c r="A306" s="892">
        <f>A289+1</f>
        <v>5</v>
      </c>
      <c r="B306" s="893" t="s">
        <v>416</v>
      </c>
      <c r="C306" s="428"/>
      <c r="D306" s="428"/>
      <c r="E306" s="428"/>
      <c r="F306" s="390"/>
      <c r="G306" s="390"/>
      <c r="H306" s="390"/>
      <c r="I306" s="390"/>
      <c r="J306" s="390"/>
      <c r="K306" s="428"/>
      <c r="L306" s="428"/>
      <c r="M306" s="390"/>
      <c r="N306" s="839"/>
      <c r="O306" s="442"/>
    </row>
    <row r="307" spans="1:15" ht="15.75" customHeight="1">
      <c r="A307" s="894" t="s">
        <v>95</v>
      </c>
      <c r="B307" s="893" t="s">
        <v>1200</v>
      </c>
      <c r="C307" s="428"/>
      <c r="D307" s="428">
        <v>0.25</v>
      </c>
      <c r="E307" s="428">
        <v>1.2</v>
      </c>
      <c r="F307" s="390"/>
      <c r="G307" s="390"/>
      <c r="H307" s="390">
        <v>4</v>
      </c>
      <c r="I307" s="390"/>
      <c r="J307" s="390"/>
      <c r="K307" s="428"/>
      <c r="L307" s="428">
        <v>12</v>
      </c>
      <c r="M307" s="390">
        <f>D307*E307*H307*L307</f>
        <v>14.399999999999999</v>
      </c>
      <c r="N307" s="839" t="s">
        <v>89</v>
      </c>
      <c r="O307" s="442"/>
    </row>
    <row r="308" spans="1:15" ht="15.75" customHeight="1">
      <c r="A308" s="894" t="s">
        <v>98</v>
      </c>
      <c r="B308" s="389" t="s">
        <v>901</v>
      </c>
      <c r="C308" s="428"/>
      <c r="D308" s="428"/>
      <c r="E308" s="428">
        <f>E307</f>
        <v>1.2</v>
      </c>
      <c r="F308" s="390">
        <f>13*13*0.006165</f>
        <v>1.041885</v>
      </c>
      <c r="G308" s="390">
        <v>0.2</v>
      </c>
      <c r="H308" s="390"/>
      <c r="I308" s="390"/>
      <c r="J308" s="390"/>
      <c r="K308" s="428">
        <v>8</v>
      </c>
      <c r="L308" s="428">
        <f>L307</f>
        <v>12</v>
      </c>
      <c r="M308" s="390">
        <f>(E308+G308)*F308*K308*L308</f>
        <v>140.02934399999998</v>
      </c>
      <c r="N308" s="839" t="s">
        <v>100</v>
      </c>
      <c r="O308" s="442"/>
    </row>
    <row r="309" spans="1:15" ht="15.75" customHeight="1">
      <c r="A309" s="894" t="s">
        <v>101</v>
      </c>
      <c r="B309" s="389" t="s">
        <v>411</v>
      </c>
      <c r="C309" s="428">
        <f>0.17*4</f>
        <v>0.68</v>
      </c>
      <c r="D309" s="428"/>
      <c r="E309" s="428"/>
      <c r="F309" s="390">
        <f>8*8*0.006165</f>
        <v>0.39456000000000002</v>
      </c>
      <c r="G309" s="390">
        <f>0.05*2</f>
        <v>0.1</v>
      </c>
      <c r="H309" s="390"/>
      <c r="I309" s="390"/>
      <c r="J309" s="390"/>
      <c r="K309" s="428">
        <f>ROUNDDOWN((E308/0.125),0.5)</f>
        <v>9</v>
      </c>
      <c r="L309" s="428">
        <f>L308</f>
        <v>12</v>
      </c>
      <c r="M309" s="390">
        <f>(C309+G309)*F309*K309*L309</f>
        <v>33.237734400000008</v>
      </c>
      <c r="N309" s="839" t="s">
        <v>100</v>
      </c>
      <c r="O309" s="442"/>
    </row>
    <row r="310" spans="1:15" ht="15.75" customHeight="1">
      <c r="A310" s="894" t="s">
        <v>121</v>
      </c>
      <c r="B310" s="427" t="s">
        <v>420</v>
      </c>
      <c r="C310" s="428">
        <v>0.25</v>
      </c>
      <c r="D310" s="428">
        <v>0.25</v>
      </c>
      <c r="E310" s="428">
        <f>E308-0.3</f>
        <v>0.89999999999999991</v>
      </c>
      <c r="F310" s="390"/>
      <c r="G310" s="390"/>
      <c r="H310" s="390"/>
      <c r="I310" s="390"/>
      <c r="J310" s="390"/>
      <c r="K310" s="428"/>
      <c r="L310" s="428">
        <f>L309</f>
        <v>12</v>
      </c>
      <c r="M310" s="390">
        <f>C310*D310*E310*L310</f>
        <v>0.67499999999999993</v>
      </c>
      <c r="N310" s="839" t="s">
        <v>103</v>
      </c>
      <c r="O310" s="442"/>
    </row>
    <row r="311" spans="1:15" ht="15.75" customHeight="1">
      <c r="A311" s="892">
        <f>A306+1</f>
        <v>6</v>
      </c>
      <c r="B311" s="893" t="s">
        <v>421</v>
      </c>
      <c r="C311" s="428"/>
      <c r="D311" s="428"/>
      <c r="E311" s="428"/>
      <c r="F311" s="390"/>
      <c r="G311" s="390"/>
      <c r="H311" s="390"/>
      <c r="I311" s="390"/>
      <c r="J311" s="390"/>
      <c r="K311" s="428"/>
      <c r="L311" s="428"/>
      <c r="M311" s="390"/>
      <c r="N311" s="839"/>
      <c r="O311" s="442"/>
    </row>
    <row r="312" spans="1:15" ht="15.75" customHeight="1">
      <c r="A312" s="894" t="s">
        <v>95</v>
      </c>
      <c r="B312" s="893" t="s">
        <v>1200</v>
      </c>
      <c r="C312" s="428"/>
      <c r="D312" s="428">
        <v>0.25</v>
      </c>
      <c r="E312" s="428">
        <v>0.8</v>
      </c>
      <c r="F312" s="390"/>
      <c r="G312" s="390"/>
      <c r="H312" s="390">
        <v>4</v>
      </c>
      <c r="I312" s="390"/>
      <c r="J312" s="390"/>
      <c r="K312" s="428"/>
      <c r="L312" s="428">
        <v>12</v>
      </c>
      <c r="M312" s="390">
        <f>D312*E312*H312*L312</f>
        <v>9.6000000000000014</v>
      </c>
      <c r="N312" s="839" t="s">
        <v>89</v>
      </c>
      <c r="O312" s="442"/>
    </row>
    <row r="313" spans="1:15" ht="15.75" customHeight="1">
      <c r="A313" s="894" t="s">
        <v>98</v>
      </c>
      <c r="B313" s="389" t="s">
        <v>901</v>
      </c>
      <c r="C313" s="428"/>
      <c r="D313" s="428"/>
      <c r="E313" s="428">
        <f>E312</f>
        <v>0.8</v>
      </c>
      <c r="F313" s="390">
        <f>13*13*0.006165</f>
        <v>1.041885</v>
      </c>
      <c r="G313" s="390"/>
      <c r="H313" s="390"/>
      <c r="I313" s="390">
        <v>0.3</v>
      </c>
      <c r="J313" s="390"/>
      <c r="K313" s="428">
        <v>8</v>
      </c>
      <c r="L313" s="428">
        <f>L312</f>
        <v>12</v>
      </c>
      <c r="M313" s="390">
        <f>(E313+G313)*F313*K313*L313</f>
        <v>80.016767999999999</v>
      </c>
      <c r="N313" s="839" t="s">
        <v>100</v>
      </c>
      <c r="O313" s="442"/>
    </row>
    <row r="314" spans="1:15" ht="15.75" customHeight="1">
      <c r="A314" s="894" t="s">
        <v>101</v>
      </c>
      <c r="B314" s="389" t="s">
        <v>411</v>
      </c>
      <c r="C314" s="428">
        <f>0.17*4</f>
        <v>0.68</v>
      </c>
      <c r="D314" s="428"/>
      <c r="E314" s="428"/>
      <c r="F314" s="390">
        <f>8*8*0.006165</f>
        <v>0.39456000000000002</v>
      </c>
      <c r="G314" s="390">
        <f>0.05*2</f>
        <v>0.1</v>
      </c>
      <c r="H314" s="390"/>
      <c r="I314" s="390"/>
      <c r="J314" s="390"/>
      <c r="K314" s="428">
        <f>ROUNDDOWN((E313/0.125),0.5)</f>
        <v>6</v>
      </c>
      <c r="L314" s="428">
        <f>L313</f>
        <v>12</v>
      </c>
      <c r="M314" s="390">
        <f>(C314+G314)*F314*K314*L314</f>
        <v>22.158489600000003</v>
      </c>
      <c r="N314" s="839" t="s">
        <v>100</v>
      </c>
      <c r="O314" s="442"/>
    </row>
    <row r="315" spans="1:15" ht="15.75" customHeight="1">
      <c r="A315" s="894" t="s">
        <v>121</v>
      </c>
      <c r="B315" s="427" t="s">
        <v>420</v>
      </c>
      <c r="C315" s="428">
        <v>0.25</v>
      </c>
      <c r="D315" s="428">
        <v>0.25</v>
      </c>
      <c r="E315" s="428">
        <f>E312+0.3</f>
        <v>1.1000000000000001</v>
      </c>
      <c r="F315" s="390"/>
      <c r="G315" s="390"/>
      <c r="H315" s="390"/>
      <c r="I315" s="390"/>
      <c r="J315" s="390"/>
      <c r="K315" s="428"/>
      <c r="L315" s="428">
        <f>L314</f>
        <v>12</v>
      </c>
      <c r="M315" s="390">
        <f>C315*D315*E315*L315</f>
        <v>0.82500000000000007</v>
      </c>
      <c r="N315" s="839" t="s">
        <v>103</v>
      </c>
      <c r="O315" s="442"/>
    </row>
    <row r="316" spans="1:15" ht="15.75" customHeight="1">
      <c r="A316" s="394">
        <f>A311+1</f>
        <v>7</v>
      </c>
      <c r="B316" s="389" t="s">
        <v>497</v>
      </c>
      <c r="C316" s="428"/>
      <c r="D316" s="428"/>
      <c r="E316" s="428"/>
      <c r="F316" s="390"/>
      <c r="G316" s="390"/>
      <c r="H316" s="390"/>
      <c r="I316" s="390"/>
      <c r="J316" s="390"/>
      <c r="K316" s="428"/>
      <c r="L316" s="428"/>
      <c r="M316" s="390"/>
      <c r="N316" s="839"/>
      <c r="O316" s="442"/>
    </row>
    <row r="317" spans="1:15" ht="15.75" customHeight="1">
      <c r="A317" s="430" t="s">
        <v>95</v>
      </c>
      <c r="B317" s="389" t="s">
        <v>1134</v>
      </c>
      <c r="C317" s="428"/>
      <c r="D317" s="428"/>
      <c r="E317" s="428"/>
      <c r="F317" s="390"/>
      <c r="G317" s="390"/>
      <c r="H317" s="390"/>
      <c r="I317" s="390"/>
      <c r="J317" s="390"/>
      <c r="K317" s="428"/>
      <c r="L317" s="428"/>
      <c r="M317" s="390"/>
      <c r="N317" s="839"/>
      <c r="O317" s="442"/>
    </row>
    <row r="318" spans="1:15" ht="15.75" customHeight="1">
      <c r="A318" s="430"/>
      <c r="B318" s="682" t="str">
        <f>B303</f>
        <v>horisontal</v>
      </c>
      <c r="C318" s="428">
        <f>C303-2.4</f>
        <v>7.1999999999999993</v>
      </c>
      <c r="D318" s="428"/>
      <c r="E318" s="428">
        <v>0.2</v>
      </c>
      <c r="F318" s="390"/>
      <c r="G318" s="390"/>
      <c r="H318" s="390">
        <v>2</v>
      </c>
      <c r="I318" s="390"/>
      <c r="J318" s="390"/>
      <c r="K318" s="428"/>
      <c r="L318" s="428">
        <v>2</v>
      </c>
      <c r="M318" s="390">
        <f>C318*E318*H318*L318</f>
        <v>5.76</v>
      </c>
      <c r="N318" s="839"/>
      <c r="O318" s="442"/>
    </row>
    <row r="319" spans="1:15" ht="15.75" customHeight="1">
      <c r="A319" s="430"/>
      <c r="B319" s="682" t="str">
        <f>B304</f>
        <v>vertikal</v>
      </c>
      <c r="C319" s="428">
        <f>C304</f>
        <v>7.1999999999999993</v>
      </c>
      <c r="D319" s="428"/>
      <c r="E319" s="428">
        <f>E318</f>
        <v>0.2</v>
      </c>
      <c r="F319" s="390"/>
      <c r="G319" s="390"/>
      <c r="H319" s="390">
        <f>H318</f>
        <v>2</v>
      </c>
      <c r="I319" s="390"/>
      <c r="J319" s="390"/>
      <c r="K319" s="428"/>
      <c r="L319" s="428">
        <f>L318</f>
        <v>2</v>
      </c>
      <c r="M319" s="590">
        <f>C319*E319*H319*L319</f>
        <v>5.76</v>
      </c>
      <c r="N319" s="839"/>
      <c r="O319" s="442"/>
    </row>
    <row r="320" spans="1:15" ht="15.75" customHeight="1">
      <c r="A320" s="430"/>
      <c r="B320" s="389"/>
      <c r="C320" s="428"/>
      <c r="D320" s="428"/>
      <c r="E320" s="428"/>
      <c r="F320" s="390"/>
      <c r="G320" s="390"/>
      <c r="H320" s="390"/>
      <c r="I320" s="390"/>
      <c r="J320" s="390"/>
      <c r="K320" s="428"/>
      <c r="L320" s="428"/>
      <c r="M320" s="390">
        <f>SUM(M318:M319)</f>
        <v>11.52</v>
      </c>
      <c r="N320" s="839" t="s">
        <v>89</v>
      </c>
      <c r="O320" s="442"/>
    </row>
    <row r="321" spans="1:15" ht="15.75" customHeight="1">
      <c r="A321" s="430" t="s">
        <v>98</v>
      </c>
      <c r="B321" s="389" t="s">
        <v>928</v>
      </c>
      <c r="C321" s="428"/>
      <c r="D321" s="428"/>
      <c r="E321" s="428"/>
      <c r="F321" s="390"/>
      <c r="G321" s="390"/>
      <c r="H321" s="390"/>
      <c r="I321" s="390"/>
      <c r="J321" s="390"/>
      <c r="K321" s="428"/>
      <c r="L321" s="428"/>
      <c r="M321" s="390"/>
      <c r="N321" s="839"/>
      <c r="O321" s="442"/>
    </row>
    <row r="322" spans="1:15" ht="15.75" customHeight="1">
      <c r="A322" s="430"/>
      <c r="B322" s="682" t="str">
        <f>B318</f>
        <v>horisontal</v>
      </c>
      <c r="C322" s="428">
        <f>C318</f>
        <v>7.1999999999999993</v>
      </c>
      <c r="D322" s="428"/>
      <c r="E322" s="428"/>
      <c r="F322" s="390">
        <f>13*13*0.006165</f>
        <v>1.041885</v>
      </c>
      <c r="G322" s="390"/>
      <c r="H322" s="390"/>
      <c r="I322" s="390"/>
      <c r="J322" s="390"/>
      <c r="K322" s="428">
        <v>4</v>
      </c>
      <c r="L322" s="428">
        <f>L318</f>
        <v>2</v>
      </c>
      <c r="M322" s="390">
        <f>C322*F322*K322*L322</f>
        <v>60.012575999999989</v>
      </c>
      <c r="N322" s="839"/>
      <c r="O322" s="442"/>
    </row>
    <row r="323" spans="1:15" ht="15.75" customHeight="1">
      <c r="A323" s="430"/>
      <c r="B323" s="682" t="str">
        <f>B319</f>
        <v>vertikal</v>
      </c>
      <c r="C323" s="428">
        <f>C319</f>
        <v>7.1999999999999993</v>
      </c>
      <c r="D323" s="428"/>
      <c r="E323" s="428"/>
      <c r="F323" s="390">
        <f>F322</f>
        <v>1.041885</v>
      </c>
      <c r="G323" s="390"/>
      <c r="H323" s="390"/>
      <c r="I323" s="390"/>
      <c r="J323" s="390"/>
      <c r="K323" s="428">
        <f>K322</f>
        <v>4</v>
      </c>
      <c r="L323" s="428">
        <f>L319</f>
        <v>2</v>
      </c>
      <c r="M323" s="590">
        <f>C323*F323*K323*L323</f>
        <v>60.012575999999989</v>
      </c>
      <c r="N323" s="839"/>
      <c r="O323" s="442"/>
    </row>
    <row r="324" spans="1:15" ht="15.75" customHeight="1">
      <c r="A324" s="430"/>
      <c r="B324" s="389"/>
      <c r="C324" s="428"/>
      <c r="D324" s="428"/>
      <c r="E324" s="428"/>
      <c r="F324" s="390"/>
      <c r="G324" s="390"/>
      <c r="H324" s="390"/>
      <c r="I324" s="390"/>
      <c r="J324" s="390"/>
      <c r="K324" s="428"/>
      <c r="L324" s="428"/>
      <c r="M324" s="390">
        <f>SUM(M322:M323)</f>
        <v>120.02515199999998</v>
      </c>
      <c r="N324" s="839" t="s">
        <v>100</v>
      </c>
      <c r="O324" s="442"/>
    </row>
    <row r="325" spans="1:15" ht="15.75" customHeight="1">
      <c r="A325" s="430" t="s">
        <v>101</v>
      </c>
      <c r="B325" s="389" t="s">
        <v>428</v>
      </c>
      <c r="C325" s="428"/>
      <c r="D325" s="428"/>
      <c r="E325" s="428"/>
      <c r="F325" s="390"/>
      <c r="G325" s="390"/>
      <c r="H325" s="390"/>
      <c r="I325" s="390"/>
      <c r="J325" s="390"/>
      <c r="K325" s="428"/>
      <c r="L325" s="428"/>
      <c r="M325" s="390"/>
      <c r="N325" s="839"/>
      <c r="O325" s="442"/>
    </row>
    <row r="326" spans="1:15" ht="15.75" customHeight="1">
      <c r="A326" s="430"/>
      <c r="B326" s="682" t="str">
        <f>B322</f>
        <v>horisontal</v>
      </c>
      <c r="C326" s="428">
        <f>0.07*4</f>
        <v>0.28000000000000003</v>
      </c>
      <c r="D326" s="428"/>
      <c r="E326" s="428"/>
      <c r="F326" s="390">
        <f>8*8*0.006165</f>
        <v>0.39456000000000002</v>
      </c>
      <c r="G326" s="390">
        <f>0.05*2</f>
        <v>0.1</v>
      </c>
      <c r="H326" s="390"/>
      <c r="I326" s="390"/>
      <c r="J326" s="390"/>
      <c r="K326" s="428">
        <f>ROUNDDOWN((C322/0.125),0.5)</f>
        <v>57</v>
      </c>
      <c r="L326" s="428">
        <f>L322</f>
        <v>2</v>
      </c>
      <c r="M326" s="390">
        <f>(C326+G326)*F326*K326*L326</f>
        <v>17.092339200000001</v>
      </c>
      <c r="N326" s="839"/>
      <c r="O326" s="442"/>
    </row>
    <row r="327" spans="1:15" ht="15.75" customHeight="1">
      <c r="A327" s="430"/>
      <c r="B327" s="682" t="str">
        <f>B323</f>
        <v>vertikal</v>
      </c>
      <c r="C327" s="428">
        <f>C326</f>
        <v>0.28000000000000003</v>
      </c>
      <c r="D327" s="428"/>
      <c r="E327" s="428"/>
      <c r="F327" s="390">
        <f>F326</f>
        <v>0.39456000000000002</v>
      </c>
      <c r="G327" s="390">
        <f>G326</f>
        <v>0.1</v>
      </c>
      <c r="H327" s="390"/>
      <c r="I327" s="390"/>
      <c r="J327" s="390"/>
      <c r="K327" s="428">
        <f>ROUNDDOWN((C323/0.125),0.5)</f>
        <v>57</v>
      </c>
      <c r="L327" s="428">
        <f>L323</f>
        <v>2</v>
      </c>
      <c r="M327" s="590">
        <f>(C327+G327)*F327*K327*L327</f>
        <v>17.092339200000001</v>
      </c>
      <c r="N327" s="839"/>
      <c r="O327" s="442"/>
    </row>
    <row r="328" spans="1:15" ht="15.75" customHeight="1">
      <c r="A328" s="430"/>
      <c r="B328" s="427"/>
      <c r="C328" s="428"/>
      <c r="D328" s="428"/>
      <c r="E328" s="428"/>
      <c r="F328" s="390"/>
      <c r="G328" s="390"/>
      <c r="H328" s="390"/>
      <c r="I328" s="390"/>
      <c r="J328" s="390"/>
      <c r="K328" s="428"/>
      <c r="L328" s="428"/>
      <c r="M328" s="390">
        <f>SUM(M326:M327)</f>
        <v>34.184678400000003</v>
      </c>
      <c r="N328" s="839" t="s">
        <v>100</v>
      </c>
      <c r="O328" s="442"/>
    </row>
    <row r="329" spans="1:15" ht="15.75" customHeight="1">
      <c r="A329" s="430" t="s">
        <v>121</v>
      </c>
      <c r="B329" s="427" t="s">
        <v>420</v>
      </c>
      <c r="C329" s="428"/>
      <c r="D329" s="428"/>
      <c r="E329" s="428"/>
      <c r="F329" s="390"/>
      <c r="G329" s="390"/>
      <c r="H329" s="390"/>
      <c r="I329" s="390"/>
      <c r="J329" s="390"/>
      <c r="K329" s="428"/>
      <c r="L329" s="428"/>
      <c r="M329" s="390"/>
      <c r="N329" s="839"/>
      <c r="O329" s="442"/>
    </row>
    <row r="330" spans="1:15" ht="15.75" customHeight="1">
      <c r="A330" s="723"/>
      <c r="B330" s="682" t="str">
        <f>B326</f>
        <v>horisontal</v>
      </c>
      <c r="C330" s="428">
        <f>C322</f>
        <v>7.1999999999999993</v>
      </c>
      <c r="D330" s="428">
        <v>0.15</v>
      </c>
      <c r="E330" s="428">
        <v>0.2</v>
      </c>
      <c r="F330" s="390"/>
      <c r="G330" s="390"/>
      <c r="H330" s="390"/>
      <c r="I330" s="390"/>
      <c r="J330" s="390"/>
      <c r="K330" s="428"/>
      <c r="L330" s="428">
        <f>L326</f>
        <v>2</v>
      </c>
      <c r="M330" s="390">
        <f>C330*D330*E330*L330</f>
        <v>0.43199999999999994</v>
      </c>
      <c r="N330" s="839"/>
      <c r="O330" s="442"/>
    </row>
    <row r="331" spans="1:15" ht="15.75" customHeight="1">
      <c r="A331" s="723"/>
      <c r="B331" s="682" t="str">
        <f>B327</f>
        <v>vertikal</v>
      </c>
      <c r="C331" s="428">
        <f>C323</f>
        <v>7.1999999999999993</v>
      </c>
      <c r="D331" s="428">
        <f>D330</f>
        <v>0.15</v>
      </c>
      <c r="E331" s="428">
        <f>E330</f>
        <v>0.2</v>
      </c>
      <c r="F331" s="390"/>
      <c r="G331" s="390"/>
      <c r="H331" s="390"/>
      <c r="I331" s="390"/>
      <c r="J331" s="390"/>
      <c r="K331" s="428"/>
      <c r="L331" s="428">
        <f>L327</f>
        <v>2</v>
      </c>
      <c r="M331" s="590">
        <f>C331*D331*E331*L331</f>
        <v>0.43199999999999994</v>
      </c>
      <c r="N331" s="839"/>
      <c r="O331" s="442"/>
    </row>
    <row r="332" spans="1:15" ht="15.75" customHeight="1">
      <c r="A332" s="723"/>
      <c r="B332" s="427"/>
      <c r="C332" s="428"/>
      <c r="D332" s="428"/>
      <c r="E332" s="428"/>
      <c r="F332" s="390"/>
      <c r="G332" s="390"/>
      <c r="H332" s="390"/>
      <c r="I332" s="390"/>
      <c r="J332" s="390"/>
      <c r="K332" s="428"/>
      <c r="L332" s="428"/>
      <c r="M332" s="390">
        <f>SUM(M330:M331)</f>
        <v>0.86399999999999988</v>
      </c>
      <c r="N332" s="839" t="s">
        <v>100</v>
      </c>
      <c r="O332" s="442"/>
    </row>
    <row r="333" spans="1:15" ht="15.75" customHeight="1">
      <c r="A333" s="394">
        <f>A316+1</f>
        <v>8</v>
      </c>
      <c r="B333" s="389" t="s">
        <v>777</v>
      </c>
      <c r="C333" s="428"/>
      <c r="D333" s="428"/>
      <c r="E333" s="428"/>
      <c r="F333" s="390"/>
      <c r="G333" s="390"/>
      <c r="H333" s="390"/>
      <c r="I333" s="390"/>
      <c r="J333" s="390"/>
      <c r="K333" s="428"/>
      <c r="L333" s="428"/>
      <c r="M333" s="390"/>
      <c r="N333" s="839"/>
      <c r="O333" s="442"/>
    </row>
    <row r="334" spans="1:15" ht="15.75" customHeight="1">
      <c r="A334" s="394"/>
      <c r="B334" s="682" t="str">
        <f>B330</f>
        <v>horisontal</v>
      </c>
      <c r="C334" s="428">
        <f>C330</f>
        <v>7.1999999999999993</v>
      </c>
      <c r="D334" s="428"/>
      <c r="E334" s="428">
        <v>0.8</v>
      </c>
      <c r="F334" s="390"/>
      <c r="G334" s="390"/>
      <c r="H334" s="390"/>
      <c r="I334" s="390"/>
      <c r="J334" s="390"/>
      <c r="K334" s="428"/>
      <c r="L334" s="428">
        <f>L330</f>
        <v>2</v>
      </c>
      <c r="M334" s="390">
        <f>C334*E334*L334</f>
        <v>11.52</v>
      </c>
      <c r="N334" s="839"/>
      <c r="O334" s="442"/>
    </row>
    <row r="335" spans="1:15" ht="15.75" customHeight="1">
      <c r="A335" s="394"/>
      <c r="B335" s="682" t="str">
        <f>B331</f>
        <v>vertikal</v>
      </c>
      <c r="C335" s="428">
        <f>C331</f>
        <v>7.1999999999999993</v>
      </c>
      <c r="D335" s="428"/>
      <c r="E335" s="428">
        <f>E334</f>
        <v>0.8</v>
      </c>
      <c r="F335" s="390"/>
      <c r="G335" s="390"/>
      <c r="H335" s="390"/>
      <c r="I335" s="390"/>
      <c r="J335" s="390"/>
      <c r="K335" s="428"/>
      <c r="L335" s="428">
        <f>L331</f>
        <v>2</v>
      </c>
      <c r="M335" s="590">
        <f>C335*E335*L335</f>
        <v>11.52</v>
      </c>
      <c r="N335" s="839"/>
      <c r="O335" s="442"/>
    </row>
    <row r="336" spans="1:15" ht="15.75" customHeight="1">
      <c r="A336" s="394"/>
      <c r="B336" s="389"/>
      <c r="C336" s="428"/>
      <c r="D336" s="428"/>
      <c r="E336" s="428"/>
      <c r="F336" s="390"/>
      <c r="G336" s="390"/>
      <c r="H336" s="390"/>
      <c r="I336" s="390"/>
      <c r="J336" s="390"/>
      <c r="K336" s="428"/>
      <c r="L336" s="428"/>
      <c r="M336" s="390">
        <f>SUM(M334:M335)</f>
        <v>23.04</v>
      </c>
      <c r="N336" s="839" t="s">
        <v>89</v>
      </c>
      <c r="O336" s="442"/>
    </row>
    <row r="337" spans="1:15" ht="15.75" customHeight="1">
      <c r="A337" s="394">
        <f>A333+1</f>
        <v>9</v>
      </c>
      <c r="B337" s="389" t="s">
        <v>193</v>
      </c>
      <c r="C337" s="428"/>
      <c r="D337" s="428"/>
      <c r="E337" s="428"/>
      <c r="F337" s="390"/>
      <c r="G337" s="390"/>
      <c r="H337" s="390"/>
      <c r="I337" s="390"/>
      <c r="J337" s="390"/>
      <c r="K337" s="428"/>
      <c r="L337" s="428"/>
      <c r="M337" s="390"/>
      <c r="N337" s="839"/>
      <c r="O337" s="442"/>
    </row>
    <row r="338" spans="1:15" ht="15.75" customHeight="1">
      <c r="A338" s="394"/>
      <c r="B338" s="682" t="s">
        <v>1356</v>
      </c>
      <c r="C338" s="428"/>
      <c r="D338" s="428"/>
      <c r="E338" s="428"/>
      <c r="F338" s="390"/>
      <c r="G338" s="390"/>
      <c r="H338" s="390">
        <v>2</v>
      </c>
      <c r="I338" s="390"/>
      <c r="J338" s="390"/>
      <c r="K338" s="428">
        <f>M336</f>
        <v>23.04</v>
      </c>
      <c r="L338" s="428"/>
      <c r="M338" s="590">
        <f>H338*K338</f>
        <v>46.08</v>
      </c>
      <c r="N338" s="839"/>
      <c r="O338" s="442"/>
    </row>
    <row r="339" spans="1:15" ht="15.75" customHeight="1">
      <c r="A339" s="394"/>
      <c r="B339" s="682"/>
      <c r="C339" s="428"/>
      <c r="D339" s="428"/>
      <c r="E339" s="428"/>
      <c r="F339" s="390"/>
      <c r="G339" s="390"/>
      <c r="H339" s="390"/>
      <c r="I339" s="390"/>
      <c r="J339" s="390"/>
      <c r="K339" s="428"/>
      <c r="L339" s="428"/>
      <c r="M339" s="390">
        <f>SUM(M338:M338)</f>
        <v>46.08</v>
      </c>
      <c r="N339" s="839" t="s">
        <v>89</v>
      </c>
      <c r="O339" s="442"/>
    </row>
    <row r="340" spans="1:15" ht="15.75" customHeight="1">
      <c r="A340" s="394">
        <f>A337+1</f>
        <v>10</v>
      </c>
      <c r="B340" s="389" t="s">
        <v>194</v>
      </c>
      <c r="C340" s="428"/>
      <c r="D340" s="428"/>
      <c r="E340" s="428"/>
      <c r="F340" s="390"/>
      <c r="G340" s="390"/>
      <c r="H340" s="390"/>
      <c r="I340" s="390"/>
      <c r="J340" s="390"/>
      <c r="K340" s="428"/>
      <c r="L340" s="428"/>
      <c r="M340" s="390"/>
      <c r="N340" s="839"/>
      <c r="O340" s="442"/>
    </row>
    <row r="341" spans="1:15" ht="15.75" customHeight="1">
      <c r="A341" s="394"/>
      <c r="B341" s="682" t="s">
        <v>1148</v>
      </c>
      <c r="C341" s="428"/>
      <c r="D341" s="428"/>
      <c r="E341" s="428"/>
      <c r="F341" s="390"/>
      <c r="G341" s="390"/>
      <c r="H341" s="390"/>
      <c r="I341" s="390"/>
      <c r="J341" s="390"/>
      <c r="K341" s="428"/>
      <c r="L341" s="428"/>
      <c r="M341" s="390">
        <f>M339</f>
        <v>46.08</v>
      </c>
      <c r="N341" s="839"/>
      <c r="O341" s="442"/>
    </row>
    <row r="342" spans="1:15" ht="15.75" customHeight="1">
      <c r="A342" s="394"/>
      <c r="B342" s="682" t="s">
        <v>1357</v>
      </c>
      <c r="C342" s="428">
        <f>C334</f>
        <v>7.1999999999999993</v>
      </c>
      <c r="D342" s="428"/>
      <c r="E342" s="428">
        <v>0.3</v>
      </c>
      <c r="F342" s="390"/>
      <c r="G342" s="390"/>
      <c r="H342" s="390">
        <v>2</v>
      </c>
      <c r="I342" s="390"/>
      <c r="J342" s="390"/>
      <c r="K342" s="428"/>
      <c r="L342" s="428">
        <f>L334</f>
        <v>2</v>
      </c>
      <c r="M342" s="390">
        <f>C342*E342*H342*L342</f>
        <v>8.6399999999999988</v>
      </c>
      <c r="N342" s="839"/>
      <c r="O342" s="442"/>
    </row>
    <row r="343" spans="1:15" ht="15.75" customHeight="1">
      <c r="A343" s="394"/>
      <c r="B343" s="682" t="s">
        <v>1018</v>
      </c>
      <c r="C343" s="428">
        <f>C335</f>
        <v>7.1999999999999993</v>
      </c>
      <c r="D343" s="428"/>
      <c r="E343" s="428">
        <v>0.2</v>
      </c>
      <c r="F343" s="390"/>
      <c r="G343" s="390"/>
      <c r="H343" s="390">
        <v>2</v>
      </c>
      <c r="I343" s="390"/>
      <c r="J343" s="390"/>
      <c r="K343" s="428"/>
      <c r="L343" s="428">
        <f>L335</f>
        <v>2</v>
      </c>
      <c r="M343" s="428">
        <f>C343*E343*H343*L343</f>
        <v>5.76</v>
      </c>
      <c r="N343" s="839"/>
      <c r="O343" s="442"/>
    </row>
    <row r="344" spans="1:15" ht="15.75" customHeight="1">
      <c r="A344" s="394"/>
      <c r="B344" s="389"/>
      <c r="C344" s="428">
        <f>C343</f>
        <v>7.1999999999999993</v>
      </c>
      <c r="D344" s="428"/>
      <c r="E344" s="428">
        <v>0.15</v>
      </c>
      <c r="F344" s="390"/>
      <c r="G344" s="390"/>
      <c r="H344" s="390">
        <v>1</v>
      </c>
      <c r="I344" s="390"/>
      <c r="J344" s="390"/>
      <c r="K344" s="428"/>
      <c r="L344" s="428">
        <f>L343</f>
        <v>2</v>
      </c>
      <c r="M344" s="869">
        <f>C344*E344*H344*L344</f>
        <v>2.1599999999999997</v>
      </c>
      <c r="N344" s="839"/>
      <c r="O344" s="442"/>
    </row>
    <row r="345" spans="1:15" ht="15.75" customHeight="1">
      <c r="A345" s="394"/>
      <c r="B345" s="389"/>
      <c r="C345" s="428"/>
      <c r="D345" s="428"/>
      <c r="E345" s="428"/>
      <c r="F345" s="390"/>
      <c r="G345" s="390"/>
      <c r="H345" s="390"/>
      <c r="I345" s="390"/>
      <c r="J345" s="390"/>
      <c r="K345" s="428"/>
      <c r="L345" s="428"/>
      <c r="M345" s="390">
        <f>SUM(M341:M344)</f>
        <v>62.639999999999993</v>
      </c>
      <c r="N345" s="839" t="s">
        <v>89</v>
      </c>
      <c r="O345" s="442"/>
    </row>
    <row r="346" spans="1:15" ht="15.75" customHeight="1">
      <c r="A346" s="394">
        <f>A340+1</f>
        <v>11</v>
      </c>
      <c r="B346" s="450" t="s">
        <v>962</v>
      </c>
      <c r="C346" s="428"/>
      <c r="D346" s="428"/>
      <c r="E346" s="428"/>
      <c r="F346" s="428"/>
      <c r="G346" s="428"/>
      <c r="H346" s="428"/>
      <c r="I346" s="428"/>
      <c r="J346" s="428"/>
      <c r="K346" s="428"/>
      <c r="L346" s="428"/>
      <c r="M346" s="428">
        <f>M345</f>
        <v>62.639999999999993</v>
      </c>
      <c r="N346" s="839" t="s">
        <v>89</v>
      </c>
      <c r="O346" s="442"/>
    </row>
    <row r="347" spans="1:15" ht="42" customHeight="1">
      <c r="A347" s="394">
        <f>A346+1</f>
        <v>12</v>
      </c>
      <c r="B347" s="898" t="s">
        <v>542</v>
      </c>
      <c r="C347" s="898"/>
      <c r="D347" s="899"/>
      <c r="E347" s="428"/>
      <c r="F347" s="428"/>
      <c r="G347" s="428"/>
      <c r="H347" s="428"/>
      <c r="I347" s="428"/>
      <c r="J347" s="428"/>
      <c r="K347" s="428"/>
      <c r="L347" s="428"/>
      <c r="M347" s="428"/>
      <c r="N347" s="839"/>
      <c r="O347" s="442"/>
    </row>
    <row r="348" spans="1:15" ht="15.75" customHeight="1">
      <c r="A348" s="394"/>
      <c r="B348" s="900" t="str">
        <f>B334</f>
        <v>horisontal</v>
      </c>
      <c r="C348" s="898"/>
      <c r="D348" s="899">
        <v>2.4</v>
      </c>
      <c r="E348" s="428"/>
      <c r="F348" s="428"/>
      <c r="G348" s="428"/>
      <c r="H348" s="428">
        <v>2</v>
      </c>
      <c r="I348" s="428"/>
      <c r="J348" s="428"/>
      <c r="K348" s="428">
        <v>4</v>
      </c>
      <c r="L348" s="428"/>
      <c r="M348" s="428">
        <f>D348*H348*K348</f>
        <v>19.2</v>
      </c>
      <c r="N348" s="839"/>
      <c r="O348" s="442"/>
    </row>
    <row r="349" spans="1:15" ht="15.75" customHeight="1">
      <c r="A349" s="394"/>
      <c r="B349" s="900" t="str">
        <f>B335</f>
        <v>vertikal</v>
      </c>
      <c r="C349" s="898"/>
      <c r="D349" s="899">
        <v>2.4</v>
      </c>
      <c r="E349" s="428"/>
      <c r="F349" s="428"/>
      <c r="G349" s="428"/>
      <c r="H349" s="428">
        <f>H348</f>
        <v>2</v>
      </c>
      <c r="I349" s="428"/>
      <c r="J349" s="428"/>
      <c r="K349" s="428">
        <v>3</v>
      </c>
      <c r="L349" s="428"/>
      <c r="M349" s="590">
        <f>D349*H349*K349</f>
        <v>14.399999999999999</v>
      </c>
      <c r="N349" s="839"/>
      <c r="O349" s="442"/>
    </row>
    <row r="350" spans="1:15" ht="15.75" customHeight="1">
      <c r="A350" s="394"/>
      <c r="B350" s="898"/>
      <c r="C350" s="898"/>
      <c r="D350" s="899"/>
      <c r="E350" s="428"/>
      <c r="F350" s="428"/>
      <c r="G350" s="428"/>
      <c r="H350" s="428"/>
      <c r="I350" s="428"/>
      <c r="J350" s="428"/>
      <c r="K350" s="428"/>
      <c r="L350" s="428"/>
      <c r="M350" s="390">
        <f>SUM(M348:M349)</f>
        <v>33.599999999999994</v>
      </c>
      <c r="N350" s="839" t="s">
        <v>89</v>
      </c>
      <c r="O350" s="442"/>
    </row>
    <row r="351" spans="1:15" ht="15.75" customHeight="1">
      <c r="A351" s="394">
        <f>A347+1</f>
        <v>13</v>
      </c>
      <c r="B351" s="901" t="s">
        <v>1358</v>
      </c>
      <c r="C351" s="901" t="s">
        <v>1359</v>
      </c>
      <c r="D351" s="901"/>
      <c r="E351" s="428"/>
      <c r="F351" s="428"/>
      <c r="G351" s="428"/>
      <c r="H351" s="428"/>
      <c r="I351" s="428"/>
      <c r="J351" s="428"/>
      <c r="K351" s="428"/>
      <c r="L351" s="428"/>
      <c r="M351" s="428"/>
      <c r="N351" s="839"/>
      <c r="O351" s="442"/>
    </row>
    <row r="352" spans="1:15" ht="15.75" customHeight="1">
      <c r="A352" s="451" t="s">
        <v>95</v>
      </c>
      <c r="B352" s="901" t="s">
        <v>851</v>
      </c>
      <c r="C352" s="902">
        <f>C344</f>
        <v>7.1999999999999993</v>
      </c>
      <c r="D352" s="903">
        <v>0.45</v>
      </c>
      <c r="E352" s="903">
        <f>0.3+0.15+0.025</f>
        <v>0.47499999999999998</v>
      </c>
      <c r="F352" s="428"/>
      <c r="G352" s="428"/>
      <c r="H352" s="428">
        <v>2</v>
      </c>
      <c r="I352" s="428"/>
      <c r="J352" s="428"/>
      <c r="K352" s="428"/>
      <c r="L352" s="428"/>
      <c r="M352" s="428">
        <f>C352*D352*E352*H352</f>
        <v>3.0779999999999998</v>
      </c>
      <c r="N352" s="839" t="s">
        <v>103</v>
      </c>
      <c r="O352" s="442"/>
    </row>
    <row r="353" spans="1:15" ht="15.75" customHeight="1">
      <c r="A353" s="451" t="s">
        <v>98</v>
      </c>
      <c r="B353" s="901" t="s">
        <v>777</v>
      </c>
      <c r="C353" s="902">
        <f>C352</f>
        <v>7.1999999999999993</v>
      </c>
      <c r="D353" s="901"/>
      <c r="E353" s="903">
        <v>0.45</v>
      </c>
      <c r="F353" s="428"/>
      <c r="G353" s="428"/>
      <c r="H353" s="428"/>
      <c r="I353" s="428"/>
      <c r="J353" s="428"/>
      <c r="K353" s="428"/>
      <c r="L353" s="428"/>
      <c r="M353" s="428">
        <f>C353*E353</f>
        <v>3.2399999999999998</v>
      </c>
      <c r="N353" s="839" t="s">
        <v>89</v>
      </c>
      <c r="O353" s="442"/>
    </row>
    <row r="354" spans="1:15" ht="15.75" customHeight="1">
      <c r="A354" s="451" t="s">
        <v>101</v>
      </c>
      <c r="B354" s="901" t="s">
        <v>193</v>
      </c>
      <c r="C354" s="901"/>
      <c r="D354" s="901"/>
      <c r="E354" s="428"/>
      <c r="F354" s="428"/>
      <c r="G354" s="428"/>
      <c r="H354" s="428"/>
      <c r="I354" s="428"/>
      <c r="J354" s="428"/>
      <c r="K354" s="428"/>
      <c r="L354" s="428"/>
      <c r="M354" s="428"/>
      <c r="N354" s="839"/>
      <c r="O354" s="442"/>
    </row>
    <row r="355" spans="1:15" ht="15.75" customHeight="1">
      <c r="A355" s="451"/>
      <c r="B355" s="904" t="s">
        <v>136</v>
      </c>
      <c r="C355" s="322">
        <f>C353</f>
        <v>7.1999999999999993</v>
      </c>
      <c r="D355" s="903"/>
      <c r="E355" s="903">
        <v>0.3</v>
      </c>
      <c r="F355" s="428"/>
      <c r="G355" s="428"/>
      <c r="H355" s="428">
        <v>2</v>
      </c>
      <c r="I355" s="428"/>
      <c r="J355" s="428"/>
      <c r="K355" s="428"/>
      <c r="L355" s="428"/>
      <c r="M355" s="428">
        <f>C355*E355*H355</f>
        <v>4.3199999999999994</v>
      </c>
      <c r="N355" s="839"/>
      <c r="O355" s="442"/>
    </row>
    <row r="356" spans="1:15" ht="15.75" customHeight="1">
      <c r="A356" s="451"/>
      <c r="B356" s="904"/>
      <c r="C356" s="322">
        <f>C355</f>
        <v>7.1999999999999993</v>
      </c>
      <c r="D356" s="903"/>
      <c r="E356" s="903">
        <v>0.1</v>
      </c>
      <c r="F356" s="428"/>
      <c r="G356" s="428"/>
      <c r="H356" s="428">
        <f>H355</f>
        <v>2</v>
      </c>
      <c r="I356" s="428"/>
      <c r="J356" s="428"/>
      <c r="K356" s="428"/>
      <c r="L356" s="428"/>
      <c r="M356" s="428">
        <f>C356*E356*H356</f>
        <v>1.44</v>
      </c>
      <c r="N356" s="839"/>
      <c r="O356" s="442"/>
    </row>
    <row r="357" spans="1:15" ht="15.75" customHeight="1">
      <c r="A357" s="451"/>
      <c r="B357" s="904" t="s">
        <v>1044</v>
      </c>
      <c r="C357" s="322">
        <f>C356</f>
        <v>7.1999999999999993</v>
      </c>
      <c r="D357" s="903"/>
      <c r="E357" s="903">
        <v>0.1</v>
      </c>
      <c r="F357" s="428"/>
      <c r="G357" s="428"/>
      <c r="H357" s="428">
        <f>H356</f>
        <v>2</v>
      </c>
      <c r="I357" s="428"/>
      <c r="J357" s="428"/>
      <c r="K357" s="428"/>
      <c r="L357" s="428"/>
      <c r="M357" s="590">
        <f>C357*E357*H357</f>
        <v>1.44</v>
      </c>
      <c r="N357" s="839"/>
      <c r="O357" s="442"/>
    </row>
    <row r="358" spans="1:15" ht="15.75" customHeight="1">
      <c r="A358" s="451"/>
      <c r="B358" s="54"/>
      <c r="C358" s="322"/>
      <c r="D358" s="903"/>
      <c r="E358" s="903"/>
      <c r="F358" s="428"/>
      <c r="G358" s="428"/>
      <c r="H358" s="428"/>
      <c r="I358" s="428"/>
      <c r="J358" s="428"/>
      <c r="K358" s="428"/>
      <c r="L358" s="428"/>
      <c r="M358" s="390">
        <f>SUM(M355:M357)</f>
        <v>7.1999999999999993</v>
      </c>
      <c r="N358" s="839" t="s">
        <v>89</v>
      </c>
      <c r="O358" s="442"/>
    </row>
    <row r="359" spans="1:15" ht="15.75" customHeight="1">
      <c r="A359" s="451" t="s">
        <v>121</v>
      </c>
      <c r="B359" s="901" t="s">
        <v>857</v>
      </c>
      <c r="C359" s="901"/>
      <c r="D359" s="901"/>
      <c r="E359" s="428"/>
      <c r="F359" s="428"/>
      <c r="G359" s="428"/>
      <c r="H359" s="428"/>
      <c r="I359" s="428"/>
      <c r="J359" s="428"/>
      <c r="K359" s="428"/>
      <c r="L359" s="428"/>
      <c r="M359" s="428">
        <f>M358</f>
        <v>7.1999999999999993</v>
      </c>
      <c r="N359" s="839" t="s">
        <v>89</v>
      </c>
      <c r="O359" s="442"/>
    </row>
    <row r="360" spans="1:15" ht="15.75" customHeight="1">
      <c r="A360" s="451" t="s">
        <v>142</v>
      </c>
      <c r="B360" s="901" t="s">
        <v>858</v>
      </c>
      <c r="C360" s="901"/>
      <c r="D360" s="901"/>
      <c r="E360" s="428"/>
      <c r="F360" s="428"/>
      <c r="G360" s="428"/>
      <c r="H360" s="428"/>
      <c r="I360" s="428"/>
      <c r="J360" s="428"/>
      <c r="K360" s="428"/>
      <c r="L360" s="428"/>
      <c r="M360" s="428"/>
      <c r="N360" s="839"/>
      <c r="O360" s="442"/>
    </row>
    <row r="361" spans="1:15" ht="15.75" customHeight="1">
      <c r="A361" s="451"/>
      <c r="B361" s="905" t="s">
        <v>1360</v>
      </c>
      <c r="C361" s="901"/>
      <c r="D361" s="901"/>
      <c r="E361" s="428"/>
      <c r="F361" s="428"/>
      <c r="G361" s="428"/>
      <c r="H361" s="428"/>
      <c r="I361" s="428"/>
      <c r="J361" s="428"/>
      <c r="K361" s="428"/>
      <c r="L361" s="428"/>
      <c r="M361" s="428"/>
      <c r="N361" s="839"/>
      <c r="O361" s="442"/>
    </row>
    <row r="362" spans="1:15" ht="15.75" customHeight="1">
      <c r="A362" s="451"/>
      <c r="B362" s="905" t="str">
        <f>B355</f>
        <v>Vertikal</v>
      </c>
      <c r="C362" s="902">
        <f>C356</f>
        <v>7.1999999999999993</v>
      </c>
      <c r="D362" s="901"/>
      <c r="E362" s="428"/>
      <c r="F362" s="428"/>
      <c r="G362" s="428"/>
      <c r="H362" s="428">
        <v>2</v>
      </c>
      <c r="I362" s="428"/>
      <c r="J362" s="428"/>
      <c r="K362" s="428"/>
      <c r="L362" s="428">
        <v>2</v>
      </c>
      <c r="M362" s="428">
        <f>C362*H362*L362</f>
        <v>28.799999999999997</v>
      </c>
      <c r="N362" s="839"/>
      <c r="O362" s="442"/>
    </row>
    <row r="363" spans="1:15" ht="15.75" customHeight="1">
      <c r="A363" s="451"/>
      <c r="B363" s="905" t="str">
        <f>B357</f>
        <v>Horisontal</v>
      </c>
      <c r="C363" s="902">
        <f>C357</f>
        <v>7.1999999999999993</v>
      </c>
      <c r="D363" s="901"/>
      <c r="E363" s="428"/>
      <c r="F363" s="428"/>
      <c r="G363" s="428"/>
      <c r="H363" s="428">
        <f>H362</f>
        <v>2</v>
      </c>
      <c r="I363" s="428"/>
      <c r="J363" s="428"/>
      <c r="K363" s="428"/>
      <c r="L363" s="428">
        <f>L362</f>
        <v>2</v>
      </c>
      <c r="M363" s="428">
        <f>C363*H363*L363</f>
        <v>28.799999999999997</v>
      </c>
      <c r="N363" s="839"/>
      <c r="O363" s="442"/>
    </row>
    <row r="364" spans="1:15" ht="15.75" customHeight="1">
      <c r="A364" s="451"/>
      <c r="B364" s="905" t="s">
        <v>1087</v>
      </c>
      <c r="C364" s="902"/>
      <c r="D364" s="901"/>
      <c r="E364" s="428"/>
      <c r="F364" s="428"/>
      <c r="G364" s="428"/>
      <c r="H364" s="428"/>
      <c r="I364" s="428"/>
      <c r="J364" s="428"/>
      <c r="K364" s="428"/>
      <c r="L364" s="428"/>
      <c r="M364" s="428"/>
      <c r="N364" s="839"/>
      <c r="O364" s="442"/>
    </row>
    <row r="365" spans="1:15" ht="15.75" customHeight="1">
      <c r="A365" s="451"/>
      <c r="B365" s="905" t="str">
        <f>B362</f>
        <v>Vertikal</v>
      </c>
      <c r="C365" s="902"/>
      <c r="D365" s="901"/>
      <c r="E365" s="428">
        <v>0.8</v>
      </c>
      <c r="F365" s="428"/>
      <c r="G365" s="428"/>
      <c r="H365" s="428">
        <v>4</v>
      </c>
      <c r="I365" s="428"/>
      <c r="J365" s="428"/>
      <c r="K365" s="428"/>
      <c r="L365" s="428">
        <f>L362</f>
        <v>2</v>
      </c>
      <c r="M365" s="428">
        <f>E365*H365*L365</f>
        <v>6.4</v>
      </c>
      <c r="N365" s="839"/>
      <c r="O365" s="442"/>
    </row>
    <row r="366" spans="1:15" ht="15.75" customHeight="1">
      <c r="A366" s="451"/>
      <c r="B366" s="905" t="str">
        <f>B363</f>
        <v>Horisontal</v>
      </c>
      <c r="C366" s="902"/>
      <c r="D366" s="901"/>
      <c r="E366" s="428">
        <f>E365</f>
        <v>0.8</v>
      </c>
      <c r="F366" s="428"/>
      <c r="G366" s="428"/>
      <c r="H366" s="428">
        <f>H365</f>
        <v>4</v>
      </c>
      <c r="I366" s="428"/>
      <c r="J366" s="428"/>
      <c r="K366" s="428"/>
      <c r="L366" s="428">
        <f>L363</f>
        <v>2</v>
      </c>
      <c r="M366" s="428">
        <f>E366*H366*L366</f>
        <v>6.4</v>
      </c>
      <c r="N366" s="839"/>
      <c r="O366" s="442"/>
    </row>
    <row r="367" spans="1:15" ht="15.75" customHeight="1">
      <c r="A367" s="451"/>
      <c r="B367" s="905" t="s">
        <v>1361</v>
      </c>
      <c r="C367" s="902"/>
      <c r="D367" s="901"/>
      <c r="E367" s="428"/>
      <c r="F367" s="428"/>
      <c r="G367" s="428"/>
      <c r="H367" s="428"/>
      <c r="I367" s="428"/>
      <c r="J367" s="428"/>
      <c r="K367" s="428"/>
      <c r="L367" s="428"/>
      <c r="M367" s="428"/>
      <c r="N367" s="839"/>
      <c r="O367" s="442"/>
    </row>
    <row r="368" spans="1:15" ht="15.75" customHeight="1">
      <c r="A368" s="451"/>
      <c r="B368" s="905" t="str">
        <f>B365</f>
        <v>Vertikal</v>
      </c>
      <c r="C368" s="902">
        <f>C362</f>
        <v>7.1999999999999993</v>
      </c>
      <c r="D368" s="901"/>
      <c r="E368" s="428"/>
      <c r="F368" s="428"/>
      <c r="G368" s="428"/>
      <c r="H368" s="428">
        <v>4</v>
      </c>
      <c r="I368" s="428"/>
      <c r="J368" s="428"/>
      <c r="K368" s="428"/>
      <c r="L368" s="428">
        <f>L365</f>
        <v>2</v>
      </c>
      <c r="M368" s="428">
        <f>C368*H368*L368</f>
        <v>57.599999999999994</v>
      </c>
      <c r="N368" s="839"/>
      <c r="O368" s="442"/>
    </row>
    <row r="369" spans="1:15" ht="15.75" customHeight="1">
      <c r="A369" s="451"/>
      <c r="B369" s="905" t="str">
        <f>B366</f>
        <v>Horisontal</v>
      </c>
      <c r="C369" s="902">
        <f>C363</f>
        <v>7.1999999999999993</v>
      </c>
      <c r="D369" s="901"/>
      <c r="E369" s="428"/>
      <c r="F369" s="428"/>
      <c r="G369" s="428"/>
      <c r="H369" s="428">
        <f>H368</f>
        <v>4</v>
      </c>
      <c r="I369" s="428"/>
      <c r="J369" s="428"/>
      <c r="K369" s="428"/>
      <c r="L369" s="428">
        <f>L366</f>
        <v>2</v>
      </c>
      <c r="M369" s="590">
        <f>C369*H369*L369</f>
        <v>57.599999999999994</v>
      </c>
      <c r="N369" s="839"/>
      <c r="O369" s="442"/>
    </row>
    <row r="370" spans="1:15" ht="15.75" customHeight="1">
      <c r="A370" s="451"/>
      <c r="B370" s="901"/>
      <c r="C370" s="901"/>
      <c r="D370" s="901"/>
      <c r="E370" s="428"/>
      <c r="F370" s="428"/>
      <c r="G370" s="428"/>
      <c r="H370" s="428"/>
      <c r="I370" s="428"/>
      <c r="J370" s="428"/>
      <c r="K370" s="428"/>
      <c r="L370" s="428"/>
      <c r="M370" s="390">
        <f>SUM(M362:M369)</f>
        <v>185.59999999999997</v>
      </c>
      <c r="N370" s="839" t="s">
        <v>117</v>
      </c>
      <c r="O370" s="442"/>
    </row>
    <row r="371" spans="1:15" ht="15.75" customHeight="1">
      <c r="A371" s="394">
        <f>A351+1</f>
        <v>14</v>
      </c>
      <c r="B371" s="450" t="s">
        <v>1362</v>
      </c>
      <c r="C371" s="450"/>
      <c r="D371" s="906"/>
      <c r="E371" s="428"/>
      <c r="F371" s="428"/>
      <c r="G371" s="428"/>
      <c r="H371" s="428"/>
      <c r="I371" s="428"/>
      <c r="J371" s="428"/>
      <c r="K371" s="428"/>
      <c r="L371" s="428"/>
      <c r="M371" s="428"/>
      <c r="N371" s="839"/>
      <c r="O371" s="442"/>
    </row>
    <row r="372" spans="1:15" ht="15.75" customHeight="1">
      <c r="A372" s="907"/>
      <c r="B372" s="908" t="s">
        <v>1363</v>
      </c>
      <c r="C372" s="909">
        <f>2.4*4</f>
        <v>9.6</v>
      </c>
      <c r="D372" s="910">
        <f>2.4*3</f>
        <v>7.1999999999999993</v>
      </c>
      <c r="E372" s="909"/>
      <c r="F372" s="909"/>
      <c r="G372" s="909"/>
      <c r="H372" s="909"/>
      <c r="I372" s="909"/>
      <c r="J372" s="909"/>
      <c r="K372" s="909"/>
      <c r="L372" s="909"/>
      <c r="M372" s="909">
        <f>C372*D372</f>
        <v>69.11999999999999</v>
      </c>
      <c r="N372" s="911"/>
      <c r="O372" s="442"/>
    </row>
    <row r="373" spans="1:15" ht="15.75" customHeight="1">
      <c r="A373" s="907"/>
      <c r="B373" s="908" t="s">
        <v>1364</v>
      </c>
      <c r="C373" s="909">
        <v>5</v>
      </c>
      <c r="D373" s="910">
        <v>4</v>
      </c>
      <c r="E373" s="909"/>
      <c r="F373" s="909"/>
      <c r="G373" s="909"/>
      <c r="H373" s="909"/>
      <c r="I373" s="909"/>
      <c r="J373" s="909"/>
      <c r="K373" s="909"/>
      <c r="L373" s="909"/>
      <c r="M373" s="912">
        <f>C373*D373</f>
        <v>20</v>
      </c>
      <c r="N373" s="911"/>
      <c r="O373" s="442"/>
    </row>
    <row r="374" spans="1:15" ht="15.75" customHeight="1">
      <c r="A374" s="907"/>
      <c r="B374" s="908"/>
      <c r="C374" s="909"/>
      <c r="D374" s="913"/>
      <c r="E374" s="909"/>
      <c r="F374" s="909"/>
      <c r="G374" s="909"/>
      <c r="H374" s="909"/>
      <c r="I374" s="909"/>
      <c r="J374" s="909"/>
      <c r="K374" s="909"/>
      <c r="L374" s="909"/>
      <c r="M374" s="914">
        <f>SUM(M372:M373)</f>
        <v>89.11999999999999</v>
      </c>
      <c r="N374" s="839" t="s">
        <v>89</v>
      </c>
      <c r="O374" s="442"/>
    </row>
    <row r="375" spans="1:15" ht="15.75" customHeight="1">
      <c r="A375" s="915"/>
      <c r="B375" s="916"/>
      <c r="C375" s="917"/>
      <c r="D375" s="917"/>
      <c r="E375" s="917"/>
      <c r="F375" s="917"/>
      <c r="G375" s="917"/>
      <c r="H375" s="917"/>
      <c r="I375" s="917"/>
      <c r="J375" s="917"/>
      <c r="K375" s="917"/>
      <c r="L375" s="917"/>
      <c r="M375" s="917"/>
      <c r="N375" s="918"/>
      <c r="O375" s="442"/>
    </row>
    <row r="376" spans="1:15" ht="15.75" customHeight="1">
      <c r="A376" s="442"/>
      <c r="B376" s="442"/>
      <c r="C376" s="919"/>
      <c r="D376" s="919"/>
      <c r="E376" s="919"/>
      <c r="F376" s="919"/>
      <c r="G376" s="919"/>
      <c r="H376" s="919"/>
      <c r="I376" s="919"/>
      <c r="J376" s="919"/>
      <c r="K376" s="919"/>
      <c r="L376" s="919"/>
      <c r="M376" s="919"/>
      <c r="N376" s="920"/>
      <c r="O376" s="442"/>
    </row>
  </sheetData>
  <pageMargins left="0.7" right="0.7" top="0.75" bottom="0.75" header="0.511811023622047" footer="0.511811023622047"/>
  <pageSetup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X605"/>
  <sheetViews>
    <sheetView topLeftCell="A3" zoomScale="80" zoomScaleNormal="80" workbookViewId="0">
      <pane ySplit="2" topLeftCell="A39" activePane="bottomLeft" state="frozen"/>
      <selection activeCell="A3" sqref="A3"/>
      <selection pane="bottomLeft" activeCell="Y67" sqref="Y67"/>
    </sheetView>
  </sheetViews>
  <sheetFormatPr baseColWidth="10" defaultColWidth="9.1640625" defaultRowHeight="15"/>
  <cols>
    <col min="1" max="1" width="9.1640625" style="838"/>
    <col min="2" max="2" width="56" style="838" customWidth="1"/>
    <col min="3" max="5" width="12.5" style="838" customWidth="1"/>
    <col min="6" max="12" width="10.5" style="838" customWidth="1"/>
    <col min="13" max="13" width="8.5" style="838" customWidth="1"/>
    <col min="14" max="14" width="14.5" style="838" customWidth="1"/>
    <col min="15" max="15" width="6.5" style="838" customWidth="1"/>
    <col min="16" max="16" width="15.5" style="838" customWidth="1"/>
    <col min="17" max="17" width="18.1640625" style="838" customWidth="1"/>
    <col min="18" max="18" width="11.83203125" style="838" customWidth="1"/>
    <col min="19" max="20" width="9.1640625" style="838"/>
    <col min="21" max="21" width="12.1640625" style="838" customWidth="1"/>
    <col min="22" max="24" width="9.1640625" style="838"/>
    <col min="25" max="25" width="12.5" style="838" customWidth="1"/>
    <col min="26" max="16384" width="9.1640625" style="838"/>
  </cols>
  <sheetData>
    <row r="1" spans="1:24" ht="24" customHeight="1">
      <c r="A1" s="852" t="s">
        <v>998</v>
      </c>
      <c r="B1" s="442"/>
      <c r="C1" s="442"/>
      <c r="D1" s="442"/>
      <c r="E1" s="442"/>
      <c r="F1" s="442"/>
      <c r="G1" s="442"/>
      <c r="H1" s="442"/>
      <c r="I1" s="442"/>
      <c r="J1" s="442"/>
      <c r="K1" s="442"/>
      <c r="L1" s="442"/>
      <c r="M1" s="442"/>
      <c r="N1" s="442"/>
      <c r="O1" s="442"/>
      <c r="P1" s="442"/>
      <c r="Q1" s="442"/>
      <c r="R1" s="442"/>
      <c r="S1" s="442"/>
      <c r="T1" s="442"/>
      <c r="U1" s="442"/>
      <c r="V1" s="837"/>
      <c r="W1" s="837"/>
      <c r="X1" s="837"/>
    </row>
    <row r="2" spans="1:24" ht="15.75" customHeight="1">
      <c r="A2" s="442"/>
      <c r="B2" s="442"/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  <c r="U2" s="442"/>
      <c r="V2" s="837"/>
      <c r="W2" s="837"/>
      <c r="X2" s="837"/>
    </row>
    <row r="3" spans="1:24" ht="21.75" customHeight="1">
      <c r="A3" s="3239" t="s">
        <v>1</v>
      </c>
      <c r="B3" s="3240" t="s">
        <v>68</v>
      </c>
      <c r="C3" s="3240" t="s">
        <v>77</v>
      </c>
      <c r="D3" s="3240" t="s">
        <v>78</v>
      </c>
      <c r="E3" s="3240" t="s">
        <v>79</v>
      </c>
      <c r="F3" s="3240" t="s">
        <v>6</v>
      </c>
      <c r="G3" s="3240" t="s">
        <v>999</v>
      </c>
      <c r="H3" s="3240" t="s">
        <v>977</v>
      </c>
      <c r="I3" s="3240" t="s">
        <v>978</v>
      </c>
      <c r="J3" s="3240" t="s">
        <v>1000</v>
      </c>
      <c r="K3" s="3240"/>
      <c r="L3" s="3240" t="s">
        <v>213</v>
      </c>
      <c r="M3" s="3240" t="s">
        <v>80</v>
      </c>
      <c r="N3" s="3240" t="s">
        <v>81</v>
      </c>
      <c r="O3" s="3240" t="s">
        <v>82</v>
      </c>
      <c r="P3" s="3241" t="s">
        <v>83</v>
      </c>
      <c r="Q3" s="442"/>
      <c r="R3" s="442"/>
      <c r="S3" s="442"/>
      <c r="T3" s="442"/>
      <c r="U3" s="442"/>
      <c r="V3" s="837"/>
      <c r="W3" s="837"/>
      <c r="X3" s="837"/>
    </row>
    <row r="4" spans="1:24" ht="21.75" customHeight="1">
      <c r="A4" s="3239"/>
      <c r="B4" s="3240"/>
      <c r="C4" s="3240"/>
      <c r="D4" s="3240"/>
      <c r="E4" s="3240"/>
      <c r="F4" s="3240"/>
      <c r="G4" s="3240"/>
      <c r="H4" s="3240"/>
      <c r="I4" s="3240"/>
      <c r="J4" s="921" t="s">
        <v>1001</v>
      </c>
      <c r="K4" s="921" t="s">
        <v>1002</v>
      </c>
      <c r="L4" s="3240"/>
      <c r="M4" s="3240"/>
      <c r="N4" s="3240"/>
      <c r="O4" s="3240"/>
      <c r="P4" s="3241"/>
      <c r="Q4" s="442"/>
      <c r="R4" s="442"/>
      <c r="S4" s="442"/>
      <c r="T4" s="442"/>
      <c r="U4" s="442"/>
      <c r="V4" s="837"/>
      <c r="W4" s="837"/>
      <c r="X4" s="837"/>
    </row>
    <row r="5" spans="1:24" ht="7.5" customHeight="1">
      <c r="A5" s="442"/>
      <c r="B5" s="442"/>
      <c r="C5" s="442"/>
      <c r="D5" s="442"/>
      <c r="E5" s="442"/>
      <c r="F5" s="442"/>
      <c r="G5" s="442"/>
      <c r="H5" s="442"/>
      <c r="I5" s="442"/>
      <c r="J5" s="442"/>
      <c r="K5" s="442"/>
      <c r="L5" s="442"/>
      <c r="M5" s="442"/>
      <c r="N5" s="442"/>
      <c r="O5" s="442"/>
      <c r="P5" s="922"/>
      <c r="Q5" s="442"/>
      <c r="R5" s="442"/>
      <c r="S5" s="442"/>
      <c r="T5" s="442"/>
      <c r="U5" s="442"/>
      <c r="V5" s="837"/>
      <c r="W5" s="837"/>
      <c r="X5" s="837"/>
    </row>
    <row r="6" spans="1:24" ht="7.5" customHeight="1">
      <c r="A6" s="857"/>
      <c r="B6" s="858"/>
      <c r="C6" s="858"/>
      <c r="D6" s="858"/>
      <c r="E6" s="858"/>
      <c r="F6" s="858"/>
      <c r="G6" s="858"/>
      <c r="H6" s="858"/>
      <c r="I6" s="858"/>
      <c r="J6" s="858"/>
      <c r="K6" s="858"/>
      <c r="L6" s="858"/>
      <c r="M6" s="858"/>
      <c r="N6" s="858"/>
      <c r="O6" s="858"/>
      <c r="P6" s="923"/>
      <c r="Q6" s="442"/>
      <c r="R6" s="442"/>
      <c r="S6" s="442"/>
      <c r="T6" s="442"/>
      <c r="U6" s="442"/>
      <c r="V6" s="837"/>
      <c r="W6" s="837"/>
      <c r="X6" s="837"/>
    </row>
    <row r="7" spans="1:24" ht="15.75" customHeight="1">
      <c r="A7" s="425" t="s">
        <v>1365</v>
      </c>
      <c r="B7" s="924" t="s">
        <v>787</v>
      </c>
      <c r="C7" s="428"/>
      <c r="D7" s="428"/>
      <c r="E7" s="428"/>
      <c r="F7" s="428"/>
      <c r="G7" s="428"/>
      <c r="H7" s="428"/>
      <c r="I7" s="428"/>
      <c r="J7" s="428"/>
      <c r="K7" s="428"/>
      <c r="L7" s="428"/>
      <c r="M7" s="428"/>
      <c r="N7" s="428"/>
      <c r="O7" s="362"/>
      <c r="P7" s="842"/>
      <c r="Q7" s="442"/>
      <c r="R7" s="442"/>
      <c r="S7" s="442"/>
      <c r="T7" s="442"/>
      <c r="U7" s="442"/>
      <c r="V7" s="837"/>
      <c r="W7" s="837"/>
      <c r="X7" s="837"/>
    </row>
    <row r="8" spans="1:24" ht="15.75" customHeight="1">
      <c r="A8" s="425" t="s">
        <v>1366</v>
      </c>
      <c r="B8" s="446" t="s">
        <v>788</v>
      </c>
      <c r="C8" s="428"/>
      <c r="D8" s="428"/>
      <c r="E8" s="428"/>
      <c r="F8" s="428"/>
      <c r="G8" s="428"/>
      <c r="H8" s="428"/>
      <c r="I8" s="428"/>
      <c r="J8" s="428"/>
      <c r="K8" s="428"/>
      <c r="L8" s="428"/>
      <c r="M8" s="428"/>
      <c r="N8" s="428"/>
      <c r="O8" s="362"/>
      <c r="P8" s="860"/>
      <c r="Q8" s="442"/>
      <c r="R8" s="919"/>
      <c r="S8" s="442"/>
      <c r="T8" s="442"/>
      <c r="U8" s="442"/>
      <c r="V8" s="837"/>
      <c r="W8" s="837"/>
      <c r="X8" s="837"/>
    </row>
    <row r="9" spans="1:24" ht="15.75" customHeight="1">
      <c r="A9" s="925"/>
      <c r="B9" s="926" t="s">
        <v>1367</v>
      </c>
      <c r="C9" s="443">
        <v>3</v>
      </c>
      <c r="D9" s="428"/>
      <c r="E9" s="428"/>
      <c r="F9" s="428"/>
      <c r="G9" s="428"/>
      <c r="H9" s="428"/>
      <c r="I9" s="428"/>
      <c r="J9" s="428"/>
      <c r="K9" s="428"/>
      <c r="L9" s="428"/>
      <c r="M9" s="428"/>
      <c r="N9" s="428"/>
      <c r="O9" s="362"/>
      <c r="P9" s="860"/>
      <c r="Q9" s="442"/>
      <c r="R9" s="919"/>
      <c r="S9" s="442"/>
      <c r="T9" s="442"/>
      <c r="U9" s="442"/>
      <c r="V9" s="837"/>
      <c r="W9" s="837"/>
      <c r="X9" s="837"/>
    </row>
    <row r="10" spans="1:24" ht="15.75" customHeight="1">
      <c r="A10" s="925"/>
      <c r="B10" s="926" t="s">
        <v>1368</v>
      </c>
      <c r="C10" s="443">
        <v>5</v>
      </c>
      <c r="D10" s="428"/>
      <c r="E10" s="428"/>
      <c r="F10" s="428"/>
      <c r="G10" s="428"/>
      <c r="H10" s="428"/>
      <c r="I10" s="428"/>
      <c r="J10" s="428"/>
      <c r="K10" s="428"/>
      <c r="L10" s="428"/>
      <c r="M10" s="428"/>
      <c r="N10" s="428"/>
      <c r="O10" s="362"/>
      <c r="P10" s="860"/>
      <c r="Q10" s="442"/>
      <c r="R10" s="919"/>
      <c r="S10" s="442"/>
      <c r="T10" s="442"/>
      <c r="U10" s="442"/>
      <c r="V10" s="837"/>
      <c r="W10" s="837"/>
      <c r="X10" s="837"/>
    </row>
    <row r="11" spans="1:24" ht="15.75" customHeight="1">
      <c r="A11" s="925"/>
      <c r="B11" s="926" t="s">
        <v>1369</v>
      </c>
      <c r="C11" s="443">
        <v>0</v>
      </c>
      <c r="D11" s="428"/>
      <c r="E11" s="428"/>
      <c r="F11" s="428"/>
      <c r="G11" s="428"/>
      <c r="H11" s="428"/>
      <c r="I11" s="428"/>
      <c r="J11" s="428"/>
      <c r="K11" s="428"/>
      <c r="L11" s="428"/>
      <c r="M11" s="428"/>
      <c r="N11" s="428"/>
      <c r="O11" s="362"/>
      <c r="P11" s="860"/>
      <c r="Q11" s="442"/>
      <c r="R11" s="919"/>
      <c r="S11" s="442"/>
      <c r="T11" s="442"/>
      <c r="U11" s="442"/>
      <c r="V11" s="837"/>
      <c r="W11" s="837"/>
      <c r="X11" s="837"/>
    </row>
    <row r="12" spans="1:24" ht="15.75" customHeight="1">
      <c r="A12" s="925"/>
      <c r="B12" s="926" t="s">
        <v>1370</v>
      </c>
      <c r="C12" s="443">
        <v>0</v>
      </c>
      <c r="D12" s="428"/>
      <c r="E12" s="428"/>
      <c r="F12" s="428"/>
      <c r="G12" s="428"/>
      <c r="H12" s="428"/>
      <c r="I12" s="428"/>
      <c r="J12" s="428"/>
      <c r="K12" s="428"/>
      <c r="L12" s="428"/>
      <c r="M12" s="428"/>
      <c r="N12" s="428"/>
      <c r="O12" s="362"/>
      <c r="P12" s="860"/>
      <c r="Q12" s="442"/>
      <c r="R12" s="919"/>
      <c r="S12" s="442"/>
      <c r="T12" s="442"/>
      <c r="U12" s="442"/>
      <c r="V12" s="837"/>
      <c r="W12" s="837"/>
      <c r="X12" s="837"/>
    </row>
    <row r="13" spans="1:24" ht="15.75" customHeight="1">
      <c r="A13" s="925"/>
      <c r="B13" s="446"/>
      <c r="C13" s="428"/>
      <c r="D13" s="428"/>
      <c r="E13" s="428"/>
      <c r="F13" s="428"/>
      <c r="G13" s="428"/>
      <c r="H13" s="428"/>
      <c r="I13" s="428"/>
      <c r="J13" s="428"/>
      <c r="K13" s="428"/>
      <c r="L13" s="428"/>
      <c r="M13" s="428"/>
      <c r="N13" s="428"/>
      <c r="O13" s="362"/>
      <c r="P13" s="860"/>
      <c r="Q13" s="442"/>
      <c r="R13" s="919"/>
      <c r="S13" s="442"/>
      <c r="T13" s="442"/>
      <c r="U13" s="442"/>
      <c r="V13" s="837"/>
      <c r="W13" s="837"/>
      <c r="X13" s="837"/>
    </row>
    <row r="14" spans="1:24" ht="15.75" customHeight="1">
      <c r="A14" s="429">
        <v>1</v>
      </c>
      <c r="B14" s="389" t="s">
        <v>789</v>
      </c>
      <c r="C14" s="428"/>
      <c r="D14" s="428"/>
      <c r="E14" s="428"/>
      <c r="F14" s="428"/>
      <c r="G14" s="428"/>
      <c r="H14" s="428"/>
      <c r="I14" s="428"/>
      <c r="J14" s="428"/>
      <c r="K14" s="428"/>
      <c r="L14" s="428"/>
      <c r="M14" s="428"/>
      <c r="N14" s="428"/>
      <c r="O14" s="362"/>
      <c r="P14" s="860"/>
      <c r="Q14" s="442"/>
      <c r="R14" s="919"/>
      <c r="S14" s="442"/>
      <c r="T14" s="442"/>
      <c r="U14" s="442"/>
      <c r="V14" s="837"/>
      <c r="W14" s="837"/>
      <c r="X14" s="837"/>
    </row>
    <row r="15" spans="1:24" ht="15.75" customHeight="1">
      <c r="A15" s="430" t="s">
        <v>95</v>
      </c>
      <c r="B15" s="389" t="s">
        <v>438</v>
      </c>
      <c r="C15" s="428"/>
      <c r="D15" s="428"/>
      <c r="E15" s="428"/>
      <c r="F15" s="428"/>
      <c r="G15" s="428"/>
      <c r="H15" s="927"/>
      <c r="I15" s="927"/>
      <c r="J15" s="928"/>
      <c r="K15" s="928"/>
      <c r="L15" s="929"/>
      <c r="M15" s="927"/>
      <c r="N15" s="930"/>
      <c r="O15" s="927"/>
      <c r="P15" s="931"/>
      <c r="Q15" s="442"/>
      <c r="R15" s="932"/>
      <c r="S15" s="932"/>
      <c r="T15" s="932"/>
      <c r="U15" s="442"/>
      <c r="V15" s="837"/>
      <c r="W15" s="837"/>
      <c r="X15" s="837"/>
    </row>
    <row r="16" spans="1:24" ht="15.75" customHeight="1">
      <c r="A16" s="430"/>
      <c r="B16" s="933" t="s">
        <v>1367</v>
      </c>
      <c r="C16" s="428">
        <v>1.2</v>
      </c>
      <c r="D16" s="428">
        <v>1.2</v>
      </c>
      <c r="E16" s="428">
        <v>0.9</v>
      </c>
      <c r="F16" s="428"/>
      <c r="G16" s="428"/>
      <c r="H16" s="927"/>
      <c r="I16" s="927"/>
      <c r="J16" s="928"/>
      <c r="K16" s="928"/>
      <c r="L16" s="929"/>
      <c r="M16" s="927">
        <f>C9</f>
        <v>3</v>
      </c>
      <c r="N16" s="930">
        <f>C16*D16*E16*M16</f>
        <v>3.8879999999999999</v>
      </c>
      <c r="O16" s="927"/>
      <c r="P16" s="931"/>
      <c r="Q16" s="442"/>
      <c r="R16" s="932"/>
      <c r="S16" s="932"/>
      <c r="T16" s="932"/>
      <c r="U16" s="442"/>
      <c r="V16" s="837"/>
      <c r="W16" s="837"/>
      <c r="X16" s="837"/>
    </row>
    <row r="17" spans="1:24" ht="15.75" customHeight="1">
      <c r="A17" s="430"/>
      <c r="B17" s="933" t="s">
        <v>1368</v>
      </c>
      <c r="C17" s="428">
        <f t="shared" ref="C17:E18" si="0">C16</f>
        <v>1.2</v>
      </c>
      <c r="D17" s="428">
        <f t="shared" si="0"/>
        <v>1.2</v>
      </c>
      <c r="E17" s="428">
        <f t="shared" si="0"/>
        <v>0.9</v>
      </c>
      <c r="F17" s="428"/>
      <c r="G17" s="428"/>
      <c r="H17" s="927"/>
      <c r="I17" s="927"/>
      <c r="J17" s="928"/>
      <c r="K17" s="928"/>
      <c r="L17" s="929"/>
      <c r="M17" s="927">
        <f>C10</f>
        <v>5</v>
      </c>
      <c r="N17" s="927">
        <f>C17*D17*E17*M17</f>
        <v>6.48</v>
      </c>
      <c r="O17" s="927"/>
      <c r="P17" s="931"/>
      <c r="Q17" s="442"/>
      <c r="R17" s="932"/>
      <c r="S17" s="932"/>
      <c r="T17" s="932"/>
      <c r="U17" s="442"/>
      <c r="V17" s="837"/>
      <c r="W17" s="837"/>
      <c r="X17" s="837"/>
    </row>
    <row r="18" spans="1:24" ht="15.75" customHeight="1">
      <c r="A18" s="430"/>
      <c r="B18" s="933" t="s">
        <v>1369</v>
      </c>
      <c r="C18" s="428">
        <f t="shared" si="0"/>
        <v>1.2</v>
      </c>
      <c r="D18" s="428">
        <f t="shared" si="0"/>
        <v>1.2</v>
      </c>
      <c r="E18" s="428">
        <f t="shared" si="0"/>
        <v>0.9</v>
      </c>
      <c r="F18" s="428"/>
      <c r="G18" s="428"/>
      <c r="H18" s="927"/>
      <c r="I18" s="927"/>
      <c r="J18" s="928"/>
      <c r="K18" s="928"/>
      <c r="L18" s="929"/>
      <c r="M18" s="927">
        <f>C11*0</f>
        <v>0</v>
      </c>
      <c r="N18" s="934">
        <f>C18*D18*E18*M18</f>
        <v>0</v>
      </c>
      <c r="O18" s="927"/>
      <c r="P18" s="931"/>
      <c r="Q18" s="442"/>
      <c r="R18" s="932"/>
      <c r="S18" s="932"/>
      <c r="T18" s="932"/>
      <c r="U18" s="442"/>
      <c r="V18" s="837"/>
      <c r="W18" s="837"/>
      <c r="X18" s="837"/>
    </row>
    <row r="19" spans="1:24" ht="15.75" customHeight="1">
      <c r="A19" s="430"/>
      <c r="B19" s="389"/>
      <c r="C19" s="428"/>
      <c r="D19" s="428"/>
      <c r="E19" s="428"/>
      <c r="F19" s="428"/>
      <c r="G19" s="428"/>
      <c r="H19" s="927"/>
      <c r="I19" s="927"/>
      <c r="J19" s="928"/>
      <c r="K19" s="928"/>
      <c r="L19" s="929"/>
      <c r="M19" s="927"/>
      <c r="N19" s="930">
        <f>SUM(N16:N18)</f>
        <v>10.368</v>
      </c>
      <c r="O19" s="927" t="s">
        <v>103</v>
      </c>
      <c r="P19" s="931">
        <f>ROUND((N19),2)</f>
        <v>10.37</v>
      </c>
      <c r="Q19" s="442"/>
      <c r="R19" s="932"/>
      <c r="S19" s="932"/>
      <c r="T19" s="932"/>
      <c r="U19" s="442"/>
      <c r="V19" s="837"/>
      <c r="W19" s="837"/>
      <c r="X19" s="837"/>
    </row>
    <row r="20" spans="1:24" ht="15.75" customHeight="1">
      <c r="A20" s="430" t="s">
        <v>98</v>
      </c>
      <c r="B20" s="890" t="s">
        <v>383</v>
      </c>
      <c r="C20" s="428"/>
      <c r="D20" s="428"/>
      <c r="E20" s="428"/>
      <c r="F20" s="428"/>
      <c r="G20" s="428"/>
      <c r="H20" s="927"/>
      <c r="I20" s="927"/>
      <c r="J20" s="928"/>
      <c r="K20" s="928"/>
      <c r="L20" s="929"/>
      <c r="M20" s="927"/>
      <c r="N20" s="930"/>
      <c r="O20" s="927"/>
      <c r="P20" s="931"/>
      <c r="Q20" s="442"/>
      <c r="R20" s="932"/>
      <c r="S20" s="932"/>
      <c r="T20" s="932"/>
      <c r="U20" s="442"/>
      <c r="V20" s="837"/>
      <c r="W20" s="837"/>
      <c r="X20" s="837"/>
    </row>
    <row r="21" spans="1:24" ht="15.75" customHeight="1">
      <c r="A21" s="430"/>
      <c r="B21" s="935" t="str">
        <f>B16</f>
        <v>PJU Double T = 7 m</v>
      </c>
      <c r="C21" s="428"/>
      <c r="D21" s="428"/>
      <c r="E21" s="428">
        <v>4</v>
      </c>
      <c r="F21" s="428">
        <v>9</v>
      </c>
      <c r="G21" s="428"/>
      <c r="H21" s="927"/>
      <c r="I21" s="927"/>
      <c r="J21" s="928"/>
      <c r="K21" s="928"/>
      <c r="L21" s="929"/>
      <c r="M21" s="927">
        <f>M16</f>
        <v>3</v>
      </c>
      <c r="N21" s="930">
        <f>E21*F21*M21</f>
        <v>108</v>
      </c>
      <c r="O21" s="927"/>
      <c r="P21" s="931"/>
      <c r="Q21" s="442"/>
      <c r="R21" s="932"/>
      <c r="S21" s="932"/>
      <c r="T21" s="932"/>
      <c r="U21" s="442"/>
      <c r="V21" s="837"/>
      <c r="W21" s="837"/>
      <c r="X21" s="837"/>
    </row>
    <row r="22" spans="1:24" ht="15.75" customHeight="1">
      <c r="A22" s="430"/>
      <c r="B22" s="935" t="str">
        <f>B17</f>
        <v>PJU Single T = 7 m</v>
      </c>
      <c r="C22" s="428"/>
      <c r="D22" s="428"/>
      <c r="E22" s="428">
        <f>E21</f>
        <v>4</v>
      </c>
      <c r="F22" s="428">
        <f>F21</f>
        <v>9</v>
      </c>
      <c r="G22" s="428"/>
      <c r="H22" s="927"/>
      <c r="I22" s="927"/>
      <c r="J22" s="928"/>
      <c r="K22" s="928"/>
      <c r="L22" s="929"/>
      <c r="M22" s="927">
        <f>M17</f>
        <v>5</v>
      </c>
      <c r="N22" s="927">
        <f>E22*F22*M22</f>
        <v>180</v>
      </c>
      <c r="O22" s="927"/>
      <c r="P22" s="931"/>
      <c r="Q22" s="442"/>
      <c r="R22" s="932"/>
      <c r="S22" s="932"/>
      <c r="T22" s="932"/>
      <c r="U22" s="442"/>
      <c r="V22" s="837"/>
      <c r="W22" s="837"/>
      <c r="X22" s="837"/>
    </row>
    <row r="23" spans="1:24" ht="15.75" customHeight="1">
      <c r="A23" s="430"/>
      <c r="B23" s="935" t="str">
        <f>B18</f>
        <v>PJU Single Ornamen T = 7 m</v>
      </c>
      <c r="C23" s="428"/>
      <c r="D23" s="428"/>
      <c r="E23" s="428">
        <f>E22</f>
        <v>4</v>
      </c>
      <c r="F23" s="428">
        <f>F22</f>
        <v>9</v>
      </c>
      <c r="G23" s="428"/>
      <c r="H23" s="927"/>
      <c r="I23" s="927"/>
      <c r="J23" s="928"/>
      <c r="K23" s="928"/>
      <c r="L23" s="929"/>
      <c r="M23" s="927">
        <f>M18</f>
        <v>0</v>
      </c>
      <c r="N23" s="934">
        <f>E23*F23*M23</f>
        <v>0</v>
      </c>
      <c r="O23" s="927"/>
      <c r="P23" s="931"/>
      <c r="Q23" s="442"/>
      <c r="R23" s="932"/>
      <c r="S23" s="932"/>
      <c r="T23" s="932"/>
      <c r="U23" s="442"/>
      <c r="V23" s="837"/>
      <c r="W23" s="837"/>
      <c r="X23" s="837"/>
    </row>
    <row r="24" spans="1:24" ht="15.75" customHeight="1">
      <c r="A24" s="430"/>
      <c r="B24" s="890"/>
      <c r="C24" s="428"/>
      <c r="D24" s="428"/>
      <c r="E24" s="428"/>
      <c r="F24" s="428"/>
      <c r="G24" s="428"/>
      <c r="H24" s="927"/>
      <c r="I24" s="927"/>
      <c r="J24" s="928"/>
      <c r="K24" s="928"/>
      <c r="L24" s="929"/>
      <c r="M24" s="927"/>
      <c r="N24" s="930">
        <f>SUM(N21:N23)</f>
        <v>288</v>
      </c>
      <c r="O24" s="927" t="s">
        <v>117</v>
      </c>
      <c r="P24" s="931">
        <f>ROUND((N24),2)</f>
        <v>288</v>
      </c>
      <c r="Q24" s="442"/>
      <c r="R24" s="932"/>
      <c r="S24" s="932"/>
      <c r="T24" s="932"/>
      <c r="U24" s="442"/>
      <c r="V24" s="837"/>
      <c r="W24" s="837"/>
      <c r="X24" s="837"/>
    </row>
    <row r="25" spans="1:24" ht="15.75" customHeight="1">
      <c r="A25" s="430" t="s">
        <v>98</v>
      </c>
      <c r="B25" s="389" t="s">
        <v>896</v>
      </c>
      <c r="C25" s="428"/>
      <c r="D25" s="428"/>
      <c r="E25" s="428"/>
      <c r="F25" s="428"/>
      <c r="G25" s="428"/>
      <c r="H25" s="428"/>
      <c r="I25" s="428"/>
      <c r="J25" s="428"/>
      <c r="K25" s="428"/>
      <c r="L25" s="428"/>
      <c r="M25" s="428"/>
      <c r="N25" s="428"/>
      <c r="O25" s="362"/>
      <c r="P25" s="860"/>
      <c r="Q25" s="442"/>
      <c r="R25" s="932"/>
      <c r="S25" s="932"/>
      <c r="T25" s="932"/>
      <c r="U25" s="442"/>
      <c r="V25" s="837"/>
      <c r="W25" s="837"/>
      <c r="X25" s="837"/>
    </row>
    <row r="26" spans="1:24" ht="15.75" customHeight="1">
      <c r="A26" s="430"/>
      <c r="B26" s="682" t="str">
        <f t="shared" ref="B26:D28" si="1">B16</f>
        <v>PJU Double T = 7 m</v>
      </c>
      <c r="C26" s="428">
        <f t="shared" si="1"/>
        <v>1.2</v>
      </c>
      <c r="D26" s="428">
        <f t="shared" si="1"/>
        <v>1.2</v>
      </c>
      <c r="E26" s="428">
        <v>0.05</v>
      </c>
      <c r="F26" s="428"/>
      <c r="G26" s="428"/>
      <c r="H26" s="428"/>
      <c r="I26" s="428"/>
      <c r="J26" s="428"/>
      <c r="K26" s="428"/>
      <c r="L26" s="428"/>
      <c r="M26" s="428">
        <f>M16</f>
        <v>3</v>
      </c>
      <c r="N26" s="930">
        <f>C26*D26*E26*M26</f>
        <v>0.21599999999999997</v>
      </c>
      <c r="O26" s="927"/>
      <c r="P26" s="931"/>
      <c r="Q26" s="442"/>
      <c r="R26" s="932"/>
      <c r="S26" s="932"/>
      <c r="T26" s="932"/>
      <c r="U26" s="442"/>
      <c r="V26" s="837"/>
      <c r="W26" s="837"/>
      <c r="X26" s="837"/>
    </row>
    <row r="27" spans="1:24" ht="15.75" customHeight="1">
      <c r="A27" s="430"/>
      <c r="B27" s="682" t="str">
        <f t="shared" si="1"/>
        <v>PJU Single T = 7 m</v>
      </c>
      <c r="C27" s="428">
        <f t="shared" si="1"/>
        <v>1.2</v>
      </c>
      <c r="D27" s="428">
        <f t="shared" si="1"/>
        <v>1.2</v>
      </c>
      <c r="E27" s="428">
        <f>E26</f>
        <v>0.05</v>
      </c>
      <c r="F27" s="428"/>
      <c r="G27" s="428"/>
      <c r="H27" s="428"/>
      <c r="I27" s="428"/>
      <c r="J27" s="428"/>
      <c r="K27" s="428"/>
      <c r="L27" s="428"/>
      <c r="M27" s="428">
        <f>M17</f>
        <v>5</v>
      </c>
      <c r="N27" s="927">
        <f>C27*D27*E27*M27</f>
        <v>0.36</v>
      </c>
      <c r="O27" s="927"/>
      <c r="P27" s="931"/>
      <c r="Q27" s="442"/>
      <c r="R27" s="932"/>
      <c r="S27" s="932"/>
      <c r="T27" s="932"/>
      <c r="U27" s="442"/>
      <c r="V27" s="837"/>
      <c r="W27" s="837"/>
      <c r="X27" s="837"/>
    </row>
    <row r="28" spans="1:24" ht="15.75" customHeight="1">
      <c r="A28" s="430"/>
      <c r="B28" s="682" t="str">
        <f t="shared" si="1"/>
        <v>PJU Single Ornamen T = 7 m</v>
      </c>
      <c r="C28" s="428">
        <f t="shared" si="1"/>
        <v>1.2</v>
      </c>
      <c r="D28" s="428">
        <f t="shared" si="1"/>
        <v>1.2</v>
      </c>
      <c r="E28" s="428">
        <f>E27</f>
        <v>0.05</v>
      </c>
      <c r="F28" s="428"/>
      <c r="G28" s="428"/>
      <c r="H28" s="428"/>
      <c r="I28" s="428"/>
      <c r="J28" s="428"/>
      <c r="K28" s="428"/>
      <c r="L28" s="428"/>
      <c r="M28" s="428">
        <f>M18</f>
        <v>0</v>
      </c>
      <c r="N28" s="934">
        <f>C28*D28*E28*M28</f>
        <v>0</v>
      </c>
      <c r="O28" s="927"/>
      <c r="P28" s="931"/>
      <c r="Q28" s="442"/>
      <c r="R28" s="932"/>
      <c r="S28" s="932"/>
      <c r="T28" s="932"/>
      <c r="U28" s="442"/>
      <c r="V28" s="837"/>
      <c r="W28" s="837"/>
      <c r="X28" s="837"/>
    </row>
    <row r="29" spans="1:24" ht="15.75" customHeight="1">
      <c r="A29" s="430"/>
      <c r="B29" s="389"/>
      <c r="C29" s="428"/>
      <c r="D29" s="428"/>
      <c r="E29" s="428"/>
      <c r="F29" s="428"/>
      <c r="G29" s="428"/>
      <c r="H29" s="428"/>
      <c r="I29" s="428"/>
      <c r="J29" s="428"/>
      <c r="K29" s="428"/>
      <c r="L29" s="428"/>
      <c r="M29" s="428"/>
      <c r="N29" s="930">
        <f>SUM(N26:N28)</f>
        <v>0.57599999999999996</v>
      </c>
      <c r="O29" s="927" t="s">
        <v>103</v>
      </c>
      <c r="P29" s="931">
        <f>ROUND((N29),2)</f>
        <v>0.57999999999999996</v>
      </c>
      <c r="Q29" s="442"/>
      <c r="R29" s="932"/>
      <c r="S29" s="932"/>
      <c r="T29" s="932"/>
      <c r="U29" s="442"/>
      <c r="V29" s="837"/>
      <c r="W29" s="837"/>
      <c r="X29" s="837"/>
    </row>
    <row r="30" spans="1:24" ht="15.75" customHeight="1">
      <c r="A30" s="430" t="s">
        <v>101</v>
      </c>
      <c r="B30" s="389" t="s">
        <v>400</v>
      </c>
      <c r="C30" s="428"/>
      <c r="D30" s="428"/>
      <c r="E30" s="428"/>
      <c r="F30" s="428"/>
      <c r="G30" s="428"/>
      <c r="H30" s="428"/>
      <c r="I30" s="428"/>
      <c r="J30" s="428"/>
      <c r="K30" s="428"/>
      <c r="L30" s="428"/>
      <c r="M30" s="428"/>
      <c r="N30" s="428"/>
      <c r="O30" s="362"/>
      <c r="P30" s="860"/>
      <c r="Q30" s="442"/>
      <c r="R30" s="919"/>
      <c r="S30" s="442"/>
      <c r="T30" s="442"/>
      <c r="U30" s="442"/>
      <c r="V30" s="837"/>
      <c r="W30" s="837"/>
      <c r="X30" s="837"/>
    </row>
    <row r="31" spans="1:24" ht="15.75" customHeight="1">
      <c r="A31" s="430"/>
      <c r="B31" s="682" t="str">
        <f t="shared" ref="B31:D33" si="2">B26</f>
        <v>PJU Double T = 7 m</v>
      </c>
      <c r="C31" s="428">
        <f t="shared" si="2"/>
        <v>1.2</v>
      </c>
      <c r="D31" s="428">
        <f t="shared" si="2"/>
        <v>1.2</v>
      </c>
      <c r="E31" s="428">
        <v>0.03</v>
      </c>
      <c r="F31" s="428"/>
      <c r="G31" s="428"/>
      <c r="H31" s="428"/>
      <c r="I31" s="428"/>
      <c r="J31" s="428"/>
      <c r="K31" s="428"/>
      <c r="L31" s="428"/>
      <c r="M31" s="428">
        <f>M26</f>
        <v>3</v>
      </c>
      <c r="N31" s="930">
        <f>C31*D31*E31*M31</f>
        <v>0.12959999999999999</v>
      </c>
      <c r="O31" s="927"/>
      <c r="P31" s="931"/>
      <c r="Q31" s="442"/>
      <c r="R31" s="919"/>
      <c r="S31" s="442"/>
      <c r="T31" s="442"/>
      <c r="U31" s="442"/>
      <c r="V31" s="837"/>
      <c r="W31" s="837"/>
      <c r="X31" s="837"/>
    </row>
    <row r="32" spans="1:24" ht="15.75" customHeight="1">
      <c r="A32" s="430"/>
      <c r="B32" s="682" t="str">
        <f t="shared" si="2"/>
        <v>PJU Single T = 7 m</v>
      </c>
      <c r="C32" s="428">
        <f t="shared" si="2"/>
        <v>1.2</v>
      </c>
      <c r="D32" s="428">
        <f t="shared" si="2"/>
        <v>1.2</v>
      </c>
      <c r="E32" s="428">
        <f>E31</f>
        <v>0.03</v>
      </c>
      <c r="F32" s="428"/>
      <c r="G32" s="428"/>
      <c r="H32" s="428"/>
      <c r="I32" s="428"/>
      <c r="J32" s="428"/>
      <c r="K32" s="428"/>
      <c r="L32" s="428"/>
      <c r="M32" s="428">
        <f>M27</f>
        <v>5</v>
      </c>
      <c r="N32" s="927">
        <f>C32*D32*E32*M32</f>
        <v>0.21599999999999997</v>
      </c>
      <c r="O32" s="927"/>
      <c r="P32" s="931"/>
      <c r="Q32" s="442"/>
      <c r="R32" s="919"/>
      <c r="S32" s="442"/>
      <c r="T32" s="442"/>
      <c r="U32" s="442"/>
      <c r="V32" s="837"/>
      <c r="W32" s="837"/>
      <c r="X32" s="837"/>
    </row>
    <row r="33" spans="1:24" ht="15.75" customHeight="1">
      <c r="A33" s="430"/>
      <c r="B33" s="682" t="str">
        <f t="shared" si="2"/>
        <v>PJU Single Ornamen T = 7 m</v>
      </c>
      <c r="C33" s="428">
        <f t="shared" si="2"/>
        <v>1.2</v>
      </c>
      <c r="D33" s="428">
        <f t="shared" si="2"/>
        <v>1.2</v>
      </c>
      <c r="E33" s="428">
        <f>E32</f>
        <v>0.03</v>
      </c>
      <c r="F33" s="428"/>
      <c r="G33" s="428"/>
      <c r="H33" s="428"/>
      <c r="I33" s="428"/>
      <c r="J33" s="428"/>
      <c r="K33" s="428"/>
      <c r="L33" s="428"/>
      <c r="M33" s="428">
        <f>M28</f>
        <v>0</v>
      </c>
      <c r="N33" s="934">
        <f>C33*D33*E33*M33</f>
        <v>0</v>
      </c>
      <c r="O33" s="927"/>
      <c r="P33" s="931"/>
      <c r="Q33" s="442"/>
      <c r="R33" s="919"/>
      <c r="S33" s="442"/>
      <c r="T33" s="442"/>
      <c r="U33" s="442"/>
      <c r="V33" s="837"/>
      <c r="W33" s="837"/>
      <c r="X33" s="837"/>
    </row>
    <row r="34" spans="1:24" ht="15.75" customHeight="1">
      <c r="A34" s="430"/>
      <c r="B34" s="389"/>
      <c r="C34" s="428"/>
      <c r="D34" s="428"/>
      <c r="E34" s="428"/>
      <c r="F34" s="428"/>
      <c r="G34" s="428"/>
      <c r="H34" s="428"/>
      <c r="I34" s="428"/>
      <c r="J34" s="428"/>
      <c r="K34" s="428"/>
      <c r="L34" s="428"/>
      <c r="M34" s="428"/>
      <c r="N34" s="930">
        <f>SUM(N31:N33)</f>
        <v>0.34559999999999996</v>
      </c>
      <c r="O34" s="927" t="s">
        <v>103</v>
      </c>
      <c r="P34" s="931">
        <f>ROUND((N34),2)</f>
        <v>0.35</v>
      </c>
      <c r="Q34" s="442"/>
      <c r="R34" s="919"/>
      <c r="S34" s="442"/>
      <c r="T34" s="442"/>
      <c r="U34" s="442"/>
      <c r="V34" s="837"/>
      <c r="W34" s="837"/>
      <c r="X34" s="837"/>
    </row>
    <row r="35" spans="1:24" ht="15.75" customHeight="1">
      <c r="A35" s="430" t="s">
        <v>121</v>
      </c>
      <c r="B35" s="389" t="s">
        <v>790</v>
      </c>
      <c r="C35" s="428"/>
      <c r="D35" s="428"/>
      <c r="E35" s="428"/>
      <c r="F35" s="428"/>
      <c r="G35" s="428"/>
      <c r="H35" s="428"/>
      <c r="I35" s="428"/>
      <c r="J35" s="428"/>
      <c r="K35" s="428"/>
      <c r="L35" s="428"/>
      <c r="M35" s="428"/>
      <c r="N35" s="428"/>
      <c r="O35" s="362"/>
      <c r="P35" s="860"/>
      <c r="Q35" s="442"/>
      <c r="R35" s="919"/>
      <c r="S35" s="442"/>
      <c r="T35" s="442"/>
      <c r="U35" s="442"/>
      <c r="V35" s="837"/>
      <c r="W35" s="837"/>
      <c r="X35" s="837"/>
    </row>
    <row r="36" spans="1:24" ht="15.75" customHeight="1">
      <c r="A36" s="430"/>
      <c r="B36" s="682" t="str">
        <f t="shared" ref="B36:C38" si="3">B31</f>
        <v>PJU Double T = 7 m</v>
      </c>
      <c r="C36" s="428">
        <f t="shared" si="3"/>
        <v>1.2</v>
      </c>
      <c r="D36" s="428">
        <v>0.3</v>
      </c>
      <c r="E36" s="428"/>
      <c r="F36" s="428"/>
      <c r="G36" s="428"/>
      <c r="H36" s="428">
        <v>4</v>
      </c>
      <c r="I36" s="428"/>
      <c r="J36" s="428"/>
      <c r="K36" s="428"/>
      <c r="L36" s="428"/>
      <c r="M36" s="428">
        <f>M31</f>
        <v>3</v>
      </c>
      <c r="N36" s="428">
        <f>C36*D36*H36*M36</f>
        <v>4.32</v>
      </c>
      <c r="O36" s="362"/>
      <c r="P36" s="860"/>
      <c r="Q36" s="442"/>
      <c r="R36" s="919"/>
      <c r="S36" s="442"/>
      <c r="T36" s="442"/>
      <c r="U36" s="442"/>
      <c r="V36" s="837"/>
      <c r="W36" s="837"/>
      <c r="X36" s="837"/>
    </row>
    <row r="37" spans="1:24" ht="15.75" customHeight="1">
      <c r="A37" s="430"/>
      <c r="B37" s="682" t="str">
        <f t="shared" si="3"/>
        <v>PJU Single T = 7 m</v>
      </c>
      <c r="C37" s="428">
        <f t="shared" si="3"/>
        <v>1.2</v>
      </c>
      <c r="D37" s="428">
        <f>D36</f>
        <v>0.3</v>
      </c>
      <c r="E37" s="428"/>
      <c r="F37" s="428"/>
      <c r="G37" s="428"/>
      <c r="H37" s="428">
        <f>H36</f>
        <v>4</v>
      </c>
      <c r="I37" s="428"/>
      <c r="J37" s="428"/>
      <c r="K37" s="428"/>
      <c r="L37" s="428"/>
      <c r="M37" s="428">
        <f>M32</f>
        <v>5</v>
      </c>
      <c r="N37" s="428">
        <f>C37*D37*H37*M37</f>
        <v>7.1999999999999993</v>
      </c>
      <c r="O37" s="362"/>
      <c r="P37" s="860"/>
      <c r="Q37" s="442"/>
      <c r="R37" s="919"/>
      <c r="S37" s="442"/>
      <c r="T37" s="442"/>
      <c r="U37" s="442"/>
      <c r="V37" s="837"/>
      <c r="W37" s="837"/>
      <c r="X37" s="837"/>
    </row>
    <row r="38" spans="1:24" ht="15.75" customHeight="1">
      <c r="A38" s="430"/>
      <c r="B38" s="682" t="str">
        <f t="shared" si="3"/>
        <v>PJU Single Ornamen T = 7 m</v>
      </c>
      <c r="C38" s="428">
        <f t="shared" si="3"/>
        <v>1.2</v>
      </c>
      <c r="D38" s="428">
        <f>D37</f>
        <v>0.3</v>
      </c>
      <c r="E38" s="428"/>
      <c r="F38" s="428"/>
      <c r="G38" s="428"/>
      <c r="H38" s="428">
        <f>H37</f>
        <v>4</v>
      </c>
      <c r="I38" s="428"/>
      <c r="J38" s="428"/>
      <c r="K38" s="428"/>
      <c r="L38" s="428"/>
      <c r="M38" s="428">
        <f>M33</f>
        <v>0</v>
      </c>
      <c r="N38" s="590">
        <f>C38*D38*H38*M38</f>
        <v>0</v>
      </c>
      <c r="O38" s="362"/>
      <c r="P38" s="860"/>
      <c r="Q38" s="442"/>
      <c r="R38" s="919"/>
      <c r="S38" s="442"/>
      <c r="T38" s="442"/>
      <c r="U38" s="442"/>
      <c r="V38" s="837"/>
      <c r="W38" s="837"/>
      <c r="X38" s="837"/>
    </row>
    <row r="39" spans="1:24" ht="15.75" customHeight="1">
      <c r="A39" s="430"/>
      <c r="B39" s="389"/>
      <c r="C39" s="428"/>
      <c r="D39" s="428"/>
      <c r="E39" s="428"/>
      <c r="F39" s="428"/>
      <c r="G39" s="428"/>
      <c r="H39" s="428"/>
      <c r="I39" s="428"/>
      <c r="J39" s="428"/>
      <c r="K39" s="428"/>
      <c r="L39" s="428"/>
      <c r="M39" s="428"/>
      <c r="N39" s="390">
        <f>SUM(N36:N38)</f>
        <v>11.52</v>
      </c>
      <c r="O39" s="362" t="s">
        <v>89</v>
      </c>
      <c r="P39" s="931">
        <f>ROUND((N39),2)</f>
        <v>11.52</v>
      </c>
      <c r="Q39" s="442"/>
      <c r="R39" s="919"/>
      <c r="S39" s="442"/>
      <c r="T39" s="442"/>
      <c r="U39" s="442"/>
      <c r="V39" s="837"/>
      <c r="W39" s="837"/>
      <c r="X39" s="837"/>
    </row>
    <row r="40" spans="1:24" ht="15.75" customHeight="1">
      <c r="A40" s="430" t="s">
        <v>142</v>
      </c>
      <c r="B40" s="389" t="s">
        <v>791</v>
      </c>
      <c r="C40" s="428"/>
      <c r="D40" s="428"/>
      <c r="E40" s="428"/>
      <c r="F40" s="428"/>
      <c r="G40" s="428"/>
      <c r="H40" s="428"/>
      <c r="I40" s="428"/>
      <c r="J40" s="428"/>
      <c r="K40" s="428"/>
      <c r="L40" s="428"/>
      <c r="M40" s="428"/>
      <c r="N40" s="428"/>
      <c r="O40" s="362"/>
      <c r="P40" s="860"/>
      <c r="Q40" s="442"/>
      <c r="R40" s="919"/>
      <c r="S40" s="442"/>
      <c r="T40" s="442"/>
      <c r="U40" s="442"/>
      <c r="V40" s="837"/>
      <c r="W40" s="837"/>
      <c r="X40" s="837"/>
    </row>
    <row r="41" spans="1:24" ht="15.75" customHeight="1">
      <c r="A41" s="430"/>
      <c r="B41" s="682" t="str">
        <f>B36</f>
        <v>PJU Double T = 7 m</v>
      </c>
      <c r="C41" s="428">
        <v>0.85</v>
      </c>
      <c r="D41" s="428"/>
      <c r="E41" s="428"/>
      <c r="F41" s="428">
        <f>ROUNDUP((C41/0.15),0.5)+1</f>
        <v>7</v>
      </c>
      <c r="G41" s="428"/>
      <c r="H41" s="428">
        <v>4</v>
      </c>
      <c r="I41" s="428">
        <f>0.15*2</f>
        <v>0.3</v>
      </c>
      <c r="J41" s="428"/>
      <c r="K41" s="428"/>
      <c r="L41" s="428">
        <f>10*10*0.006165</f>
        <v>0.61650000000000005</v>
      </c>
      <c r="M41" s="428">
        <f>M36</f>
        <v>3</v>
      </c>
      <c r="N41" s="428">
        <f>(C41+I41)*F41*H41*L41*M41</f>
        <v>59.553899999999999</v>
      </c>
      <c r="O41" s="362"/>
      <c r="P41" s="860"/>
      <c r="Q41" s="442"/>
      <c r="R41" s="919"/>
      <c r="S41" s="442"/>
      <c r="T41" s="442"/>
      <c r="U41" s="442"/>
      <c r="V41" s="837"/>
      <c r="W41" s="837"/>
      <c r="X41" s="837"/>
    </row>
    <row r="42" spans="1:24" ht="15.75" customHeight="1">
      <c r="A42" s="430"/>
      <c r="B42" s="682" t="str">
        <f>B37</f>
        <v>PJU Single T = 7 m</v>
      </c>
      <c r="C42" s="428">
        <f>C41</f>
        <v>0.85</v>
      </c>
      <c r="D42" s="428"/>
      <c r="E42" s="428"/>
      <c r="F42" s="428">
        <f>ROUNDUP((C42/0.15),0.5)+1</f>
        <v>7</v>
      </c>
      <c r="G42" s="428"/>
      <c r="H42" s="428">
        <f>H41</f>
        <v>4</v>
      </c>
      <c r="I42" s="428">
        <f>I41</f>
        <v>0.3</v>
      </c>
      <c r="J42" s="428"/>
      <c r="K42" s="428"/>
      <c r="L42" s="428">
        <f>L41</f>
        <v>0.61650000000000005</v>
      </c>
      <c r="M42" s="428">
        <f>M37</f>
        <v>5</v>
      </c>
      <c r="N42" s="428">
        <f>(C42+I42)*F42*H42*L42*M42</f>
        <v>99.256499999999988</v>
      </c>
      <c r="O42" s="362"/>
      <c r="P42" s="860"/>
      <c r="Q42" s="442"/>
      <c r="R42" s="919"/>
      <c r="S42" s="442"/>
      <c r="T42" s="442"/>
      <c r="U42" s="442"/>
      <c r="V42" s="837"/>
      <c r="W42" s="837"/>
      <c r="X42" s="837"/>
    </row>
    <row r="43" spans="1:24" ht="15.75" customHeight="1">
      <c r="A43" s="430"/>
      <c r="B43" s="682" t="str">
        <f>B38</f>
        <v>PJU Single Ornamen T = 7 m</v>
      </c>
      <c r="C43" s="428">
        <f>C42</f>
        <v>0.85</v>
      </c>
      <c r="D43" s="428"/>
      <c r="E43" s="428"/>
      <c r="F43" s="428">
        <f>ROUNDUP((C43/0.15),0.5)+1</f>
        <v>7</v>
      </c>
      <c r="G43" s="428"/>
      <c r="H43" s="428">
        <f>H42</f>
        <v>4</v>
      </c>
      <c r="I43" s="428">
        <f>I42</f>
        <v>0.3</v>
      </c>
      <c r="J43" s="428"/>
      <c r="K43" s="428"/>
      <c r="L43" s="428">
        <f>L42</f>
        <v>0.61650000000000005</v>
      </c>
      <c r="M43" s="428">
        <f>M38</f>
        <v>0</v>
      </c>
      <c r="N43" s="590">
        <f>(C43+I43)*F43*H43*L43*M43</f>
        <v>0</v>
      </c>
      <c r="O43" s="362"/>
      <c r="P43" s="860"/>
      <c r="Q43" s="442"/>
      <c r="R43" s="919"/>
      <c r="S43" s="442"/>
      <c r="T43" s="442"/>
      <c r="U43" s="442"/>
      <c r="V43" s="837"/>
      <c r="W43" s="837"/>
      <c r="X43" s="837"/>
    </row>
    <row r="44" spans="1:24" ht="15.75" customHeight="1">
      <c r="A44" s="430"/>
      <c r="B44" s="427"/>
      <c r="C44" s="428"/>
      <c r="D44" s="428"/>
      <c r="E44" s="428"/>
      <c r="F44" s="428"/>
      <c r="G44" s="428"/>
      <c r="H44" s="428"/>
      <c r="I44" s="428"/>
      <c r="J44" s="428"/>
      <c r="K44" s="428"/>
      <c r="L44" s="428"/>
      <c r="M44" s="428"/>
      <c r="N44" s="390">
        <f>SUM(N41:N43)</f>
        <v>158.81039999999999</v>
      </c>
      <c r="O44" s="362" t="s">
        <v>100</v>
      </c>
      <c r="P44" s="931">
        <f>ROUND((N44),2)</f>
        <v>158.81</v>
      </c>
      <c r="Q44" s="442"/>
      <c r="R44" s="919"/>
      <c r="S44" s="442"/>
      <c r="T44" s="442"/>
      <c r="U44" s="442"/>
      <c r="V44" s="837"/>
      <c r="W44" s="837"/>
      <c r="X44" s="837"/>
    </row>
    <row r="45" spans="1:24" ht="15.75" customHeight="1">
      <c r="A45" s="430" t="s">
        <v>217</v>
      </c>
      <c r="B45" s="427" t="s">
        <v>420</v>
      </c>
      <c r="C45" s="428"/>
      <c r="D45" s="428"/>
      <c r="E45" s="428"/>
      <c r="F45" s="428"/>
      <c r="G45" s="428"/>
      <c r="H45" s="428"/>
      <c r="I45" s="428"/>
      <c r="J45" s="428"/>
      <c r="K45" s="428"/>
      <c r="L45" s="428"/>
      <c r="M45" s="428"/>
      <c r="N45" s="428"/>
      <c r="O45" s="362"/>
      <c r="P45" s="860"/>
      <c r="Q45" s="442"/>
      <c r="R45" s="919"/>
      <c r="S45" s="442"/>
      <c r="T45" s="442"/>
      <c r="U45" s="442"/>
      <c r="V45" s="837"/>
      <c r="W45" s="837"/>
      <c r="X45" s="837"/>
    </row>
    <row r="46" spans="1:24" ht="15.75" customHeight="1">
      <c r="A46" s="430"/>
      <c r="B46" s="843" t="str">
        <f>B41</f>
        <v>PJU Double T = 7 m</v>
      </c>
      <c r="C46" s="428">
        <v>1.2</v>
      </c>
      <c r="D46" s="428">
        <v>1.2</v>
      </c>
      <c r="E46" s="428">
        <v>0.3</v>
      </c>
      <c r="F46" s="428"/>
      <c r="G46" s="428"/>
      <c r="H46" s="428"/>
      <c r="I46" s="428"/>
      <c r="J46" s="428"/>
      <c r="K46" s="428"/>
      <c r="L46" s="428"/>
      <c r="M46" s="428">
        <f>M41</f>
        <v>3</v>
      </c>
      <c r="N46" s="428">
        <f>C46*D46*E46*M46</f>
        <v>1.296</v>
      </c>
      <c r="O46" s="362"/>
      <c r="P46" s="860"/>
      <c r="Q46" s="442"/>
      <c r="R46" s="919"/>
      <c r="S46" s="442"/>
      <c r="T46" s="442"/>
      <c r="U46" s="442"/>
      <c r="V46" s="837"/>
      <c r="W46" s="837"/>
      <c r="X46" s="837"/>
    </row>
    <row r="47" spans="1:24" ht="15.75" customHeight="1">
      <c r="A47" s="430"/>
      <c r="B47" s="843" t="str">
        <f>B42</f>
        <v>PJU Single T = 7 m</v>
      </c>
      <c r="C47" s="428">
        <f t="shared" ref="C47:E48" si="4">C46</f>
        <v>1.2</v>
      </c>
      <c r="D47" s="428">
        <f t="shared" si="4"/>
        <v>1.2</v>
      </c>
      <c r="E47" s="428">
        <f t="shared" si="4"/>
        <v>0.3</v>
      </c>
      <c r="F47" s="428"/>
      <c r="G47" s="428"/>
      <c r="H47" s="428"/>
      <c r="I47" s="428"/>
      <c r="J47" s="428"/>
      <c r="K47" s="428"/>
      <c r="L47" s="428"/>
      <c r="M47" s="428">
        <f>M42</f>
        <v>5</v>
      </c>
      <c r="N47" s="428">
        <f>C47*D47*E47*M47</f>
        <v>2.16</v>
      </c>
      <c r="O47" s="362"/>
      <c r="P47" s="860"/>
      <c r="Q47" s="442"/>
      <c r="R47" s="919"/>
      <c r="S47" s="442"/>
      <c r="T47" s="442"/>
      <c r="U47" s="442"/>
      <c r="V47" s="837"/>
      <c r="W47" s="837"/>
      <c r="X47" s="837"/>
    </row>
    <row r="48" spans="1:24" ht="15.75" customHeight="1">
      <c r="A48" s="430"/>
      <c r="B48" s="843" t="str">
        <f>B43</f>
        <v>PJU Single Ornamen T = 7 m</v>
      </c>
      <c r="C48" s="428">
        <f t="shared" si="4"/>
        <v>1.2</v>
      </c>
      <c r="D48" s="428">
        <f t="shared" si="4"/>
        <v>1.2</v>
      </c>
      <c r="E48" s="428">
        <f t="shared" si="4"/>
        <v>0.3</v>
      </c>
      <c r="F48" s="428"/>
      <c r="G48" s="428"/>
      <c r="H48" s="428"/>
      <c r="I48" s="428"/>
      <c r="J48" s="428"/>
      <c r="K48" s="428"/>
      <c r="L48" s="428"/>
      <c r="M48" s="428">
        <f>M43</f>
        <v>0</v>
      </c>
      <c r="N48" s="590">
        <f>C48*D48*E48*M48</f>
        <v>0</v>
      </c>
      <c r="O48" s="362"/>
      <c r="P48" s="860"/>
      <c r="Q48" s="442"/>
      <c r="R48" s="919"/>
      <c r="S48" s="442"/>
      <c r="T48" s="442"/>
      <c r="U48" s="442"/>
      <c r="V48" s="837"/>
      <c r="W48" s="837"/>
      <c r="X48" s="837"/>
    </row>
    <row r="49" spans="1:24" ht="15.75" customHeight="1">
      <c r="A49" s="430"/>
      <c r="B49" s="427"/>
      <c r="C49" s="428"/>
      <c r="D49" s="428"/>
      <c r="E49" s="428"/>
      <c r="F49" s="428"/>
      <c r="G49" s="428"/>
      <c r="H49" s="428"/>
      <c r="I49" s="428"/>
      <c r="J49" s="428"/>
      <c r="K49" s="428"/>
      <c r="L49" s="428"/>
      <c r="M49" s="428"/>
      <c r="N49" s="390">
        <f>SUM(N46:N48)</f>
        <v>3.4560000000000004</v>
      </c>
      <c r="O49" s="927" t="s">
        <v>103</v>
      </c>
      <c r="P49" s="931">
        <f>ROUND((N49),2)</f>
        <v>3.46</v>
      </c>
      <c r="Q49" s="442"/>
      <c r="R49" s="919"/>
      <c r="S49" s="442"/>
      <c r="T49" s="442"/>
      <c r="U49" s="442"/>
      <c r="V49" s="837"/>
      <c r="W49" s="837"/>
      <c r="X49" s="837"/>
    </row>
    <row r="50" spans="1:24" ht="15.75" customHeight="1">
      <c r="A50" s="429">
        <f>A14+1</f>
        <v>2</v>
      </c>
      <c r="B50" s="389" t="s">
        <v>792</v>
      </c>
      <c r="C50" s="428"/>
      <c r="D50" s="428"/>
      <c r="E50" s="428"/>
      <c r="F50" s="428"/>
      <c r="G50" s="428"/>
      <c r="H50" s="428"/>
      <c r="I50" s="428"/>
      <c r="J50" s="428"/>
      <c r="K50" s="428"/>
      <c r="L50" s="428"/>
      <c r="M50" s="428"/>
      <c r="N50" s="428"/>
      <c r="O50" s="362"/>
      <c r="P50" s="860"/>
      <c r="Q50" s="442"/>
      <c r="R50" s="919"/>
      <c r="S50" s="442"/>
      <c r="T50" s="442"/>
      <c r="U50" s="442"/>
      <c r="V50" s="837"/>
      <c r="W50" s="837"/>
      <c r="X50" s="837"/>
    </row>
    <row r="51" spans="1:24" ht="15.75" customHeight="1">
      <c r="A51" s="430" t="s">
        <v>95</v>
      </c>
      <c r="B51" s="389" t="s">
        <v>417</v>
      </c>
      <c r="C51" s="428"/>
      <c r="D51" s="428"/>
      <c r="E51" s="428"/>
      <c r="F51" s="428"/>
      <c r="G51" s="428"/>
      <c r="H51" s="428"/>
      <c r="I51" s="428"/>
      <c r="J51" s="428"/>
      <c r="K51" s="428"/>
      <c r="L51" s="428"/>
      <c r="M51" s="428"/>
      <c r="N51" s="428"/>
      <c r="O51" s="362"/>
      <c r="P51" s="860"/>
      <c r="Q51" s="442"/>
      <c r="R51" s="919"/>
      <c r="S51" s="442"/>
      <c r="T51" s="442"/>
      <c r="U51" s="442"/>
      <c r="V51" s="837"/>
      <c r="W51" s="837"/>
      <c r="X51" s="837"/>
    </row>
    <row r="52" spans="1:24" ht="15.75" customHeight="1">
      <c r="A52" s="430"/>
      <c r="B52" s="682" t="str">
        <f>B46</f>
        <v>PJU Double T = 7 m</v>
      </c>
      <c r="C52" s="428"/>
      <c r="D52" s="428">
        <v>0.5</v>
      </c>
      <c r="E52" s="428">
        <v>0.7</v>
      </c>
      <c r="F52" s="428"/>
      <c r="G52" s="428"/>
      <c r="H52" s="428">
        <v>4</v>
      </c>
      <c r="I52" s="428"/>
      <c r="J52" s="428"/>
      <c r="K52" s="428"/>
      <c r="L52" s="428"/>
      <c r="M52" s="428">
        <f>M46</f>
        <v>3</v>
      </c>
      <c r="N52" s="428">
        <f>D52*E52*H52*M52</f>
        <v>4.1999999999999993</v>
      </c>
      <c r="O52" s="362"/>
      <c r="P52" s="860"/>
      <c r="Q52" s="442"/>
      <c r="R52" s="919"/>
      <c r="S52" s="442"/>
      <c r="T52" s="442"/>
      <c r="U52" s="442"/>
      <c r="V52" s="837"/>
      <c r="W52" s="837"/>
      <c r="X52" s="837"/>
    </row>
    <row r="53" spans="1:24" ht="15.75" customHeight="1">
      <c r="A53" s="430"/>
      <c r="B53" s="682" t="str">
        <f>B47</f>
        <v>PJU Single T = 7 m</v>
      </c>
      <c r="C53" s="428"/>
      <c r="D53" s="428">
        <f>D52</f>
        <v>0.5</v>
      </c>
      <c r="E53" s="428">
        <f>E52</f>
        <v>0.7</v>
      </c>
      <c r="F53" s="428"/>
      <c r="G53" s="428"/>
      <c r="H53" s="428">
        <f>H52</f>
        <v>4</v>
      </c>
      <c r="I53" s="428"/>
      <c r="J53" s="428"/>
      <c r="K53" s="428"/>
      <c r="L53" s="428"/>
      <c r="M53" s="428">
        <f>M47</f>
        <v>5</v>
      </c>
      <c r="N53" s="428">
        <f>D53*E53*H53*M53</f>
        <v>7</v>
      </c>
      <c r="O53" s="362"/>
      <c r="P53" s="860"/>
      <c r="Q53" s="442"/>
      <c r="R53" s="919"/>
      <c r="S53" s="442"/>
      <c r="T53" s="442"/>
      <c r="U53" s="442"/>
      <c r="V53" s="837"/>
      <c r="W53" s="837"/>
      <c r="X53" s="837"/>
    </row>
    <row r="54" spans="1:24" ht="15.75" customHeight="1">
      <c r="A54" s="430"/>
      <c r="B54" s="682" t="str">
        <f>B48</f>
        <v>PJU Single Ornamen T = 7 m</v>
      </c>
      <c r="C54" s="428"/>
      <c r="D54" s="428">
        <f>D53</f>
        <v>0.5</v>
      </c>
      <c r="E54" s="428">
        <f>E53</f>
        <v>0.7</v>
      </c>
      <c r="F54" s="428"/>
      <c r="G54" s="428"/>
      <c r="H54" s="428">
        <f>H53</f>
        <v>4</v>
      </c>
      <c r="I54" s="428"/>
      <c r="J54" s="428"/>
      <c r="K54" s="428"/>
      <c r="L54" s="428"/>
      <c r="M54" s="428">
        <f>M48</f>
        <v>0</v>
      </c>
      <c r="N54" s="590">
        <f>D54*E54*H54*M54</f>
        <v>0</v>
      </c>
      <c r="O54" s="362"/>
      <c r="P54" s="860"/>
      <c r="Q54" s="442"/>
      <c r="R54" s="919"/>
      <c r="S54" s="442"/>
      <c r="T54" s="442"/>
      <c r="U54" s="442"/>
      <c r="V54" s="837"/>
      <c r="W54" s="837"/>
      <c r="X54" s="837"/>
    </row>
    <row r="55" spans="1:24" ht="15.75" customHeight="1">
      <c r="A55" s="430"/>
      <c r="B55" s="389"/>
      <c r="C55" s="428"/>
      <c r="D55" s="428"/>
      <c r="E55" s="428"/>
      <c r="F55" s="428"/>
      <c r="G55" s="428"/>
      <c r="H55" s="428"/>
      <c r="I55" s="428"/>
      <c r="J55" s="428"/>
      <c r="K55" s="428"/>
      <c r="L55" s="428"/>
      <c r="M55" s="428"/>
      <c r="N55" s="390">
        <f>SUM(N52:N54)</f>
        <v>11.2</v>
      </c>
      <c r="O55" s="362" t="s">
        <v>89</v>
      </c>
      <c r="P55" s="931">
        <f>ROUND((N55),2)</f>
        <v>11.2</v>
      </c>
      <c r="Q55" s="442"/>
      <c r="R55" s="919"/>
      <c r="S55" s="442"/>
      <c r="T55" s="442"/>
      <c r="U55" s="442"/>
      <c r="V55" s="837"/>
      <c r="W55" s="837"/>
      <c r="X55" s="837"/>
    </row>
    <row r="56" spans="1:24" ht="15.75" customHeight="1">
      <c r="A56" s="430" t="s">
        <v>98</v>
      </c>
      <c r="B56" s="389" t="s">
        <v>793</v>
      </c>
      <c r="C56" s="428"/>
      <c r="D56" s="428"/>
      <c r="E56" s="428"/>
      <c r="F56" s="428"/>
      <c r="G56" s="428"/>
      <c r="H56" s="428"/>
      <c r="I56" s="428"/>
      <c r="J56" s="428"/>
      <c r="K56" s="428"/>
      <c r="L56" s="428"/>
      <c r="M56" s="428"/>
      <c r="N56" s="428"/>
      <c r="O56" s="362"/>
      <c r="P56" s="860"/>
      <c r="Q56" s="442"/>
      <c r="R56" s="919"/>
      <c r="S56" s="442"/>
      <c r="T56" s="442"/>
      <c r="U56" s="442"/>
      <c r="V56" s="837"/>
      <c r="W56" s="837"/>
      <c r="X56" s="837"/>
    </row>
    <row r="57" spans="1:24" ht="15.75" customHeight="1">
      <c r="A57" s="430"/>
      <c r="B57" s="682" t="str">
        <f>B52</f>
        <v>PJU Double T = 7 m</v>
      </c>
      <c r="C57" s="428">
        <v>0.55000000000000004</v>
      </c>
      <c r="D57" s="428"/>
      <c r="E57" s="428"/>
      <c r="F57" s="428">
        <v>8</v>
      </c>
      <c r="G57" s="428"/>
      <c r="H57" s="428"/>
      <c r="I57" s="428">
        <v>0.15</v>
      </c>
      <c r="J57" s="936">
        <v>0.22500000000000001</v>
      </c>
      <c r="K57" s="428"/>
      <c r="L57" s="428">
        <f>10*10*0.006165</f>
        <v>0.61650000000000005</v>
      </c>
      <c r="M57" s="428">
        <f>M52</f>
        <v>3</v>
      </c>
      <c r="N57" s="428">
        <f>(C57+I57+J57)*F57*L57*M57</f>
        <v>13.686300000000003</v>
      </c>
      <c r="O57" s="362"/>
      <c r="P57" s="860"/>
      <c r="Q57" s="442"/>
      <c r="R57" s="919"/>
      <c r="S57" s="442"/>
      <c r="T57" s="442"/>
      <c r="U57" s="442"/>
      <c r="V57" s="837"/>
      <c r="W57" s="837"/>
      <c r="X57" s="837"/>
    </row>
    <row r="58" spans="1:24" ht="15.75" customHeight="1">
      <c r="A58" s="430"/>
      <c r="B58" s="682" t="str">
        <f>B53</f>
        <v>PJU Single T = 7 m</v>
      </c>
      <c r="C58" s="428">
        <f>C57</f>
        <v>0.55000000000000004</v>
      </c>
      <c r="D58" s="428"/>
      <c r="E58" s="428"/>
      <c r="F58" s="428">
        <f>F57</f>
        <v>8</v>
      </c>
      <c r="G58" s="428"/>
      <c r="H58" s="428"/>
      <c r="I58" s="428">
        <f>I57</f>
        <v>0.15</v>
      </c>
      <c r="J58" s="936">
        <f>J57</f>
        <v>0.22500000000000001</v>
      </c>
      <c r="K58" s="428"/>
      <c r="L58" s="428">
        <f>L57</f>
        <v>0.61650000000000005</v>
      </c>
      <c r="M58" s="428">
        <f>M53</f>
        <v>5</v>
      </c>
      <c r="N58" s="428">
        <f>(C58+I58+J58)*F58*L58*M58</f>
        <v>22.810500000000005</v>
      </c>
      <c r="O58" s="362"/>
      <c r="P58" s="860"/>
      <c r="Q58" s="442"/>
      <c r="R58" s="919"/>
      <c r="S58" s="442"/>
      <c r="T58" s="442"/>
      <c r="U58" s="442"/>
      <c r="V58" s="837"/>
      <c r="W58" s="837"/>
      <c r="X58" s="837"/>
    </row>
    <row r="59" spans="1:24" ht="15.75" customHeight="1">
      <c r="A59" s="430"/>
      <c r="B59" s="682" t="str">
        <f>B54</f>
        <v>PJU Single Ornamen T = 7 m</v>
      </c>
      <c r="C59" s="428">
        <f>C58</f>
        <v>0.55000000000000004</v>
      </c>
      <c r="D59" s="428"/>
      <c r="E59" s="428"/>
      <c r="F59" s="428">
        <f>F58</f>
        <v>8</v>
      </c>
      <c r="G59" s="428"/>
      <c r="H59" s="428"/>
      <c r="I59" s="428">
        <f>I58</f>
        <v>0.15</v>
      </c>
      <c r="J59" s="936">
        <f>J58</f>
        <v>0.22500000000000001</v>
      </c>
      <c r="K59" s="428"/>
      <c r="L59" s="428">
        <f>L58</f>
        <v>0.61650000000000005</v>
      </c>
      <c r="M59" s="428">
        <f>M54</f>
        <v>0</v>
      </c>
      <c r="N59" s="590">
        <f>(C59+I59+J59)*F59*L59*M59</f>
        <v>0</v>
      </c>
      <c r="O59" s="362"/>
      <c r="P59" s="860"/>
      <c r="Q59" s="442"/>
      <c r="R59" s="919"/>
      <c r="S59" s="442"/>
      <c r="T59" s="442"/>
      <c r="U59" s="442"/>
      <c r="V59" s="837"/>
      <c r="W59" s="837"/>
      <c r="X59" s="837"/>
    </row>
    <row r="60" spans="1:24" ht="15.75" customHeight="1">
      <c r="A60" s="430"/>
      <c r="B60" s="389"/>
      <c r="C60" s="428"/>
      <c r="D60" s="428"/>
      <c r="E60" s="428"/>
      <c r="F60" s="428"/>
      <c r="G60" s="428"/>
      <c r="H60" s="428"/>
      <c r="I60" s="428"/>
      <c r="J60" s="428"/>
      <c r="K60" s="428"/>
      <c r="L60" s="428"/>
      <c r="M60" s="428"/>
      <c r="N60" s="390">
        <f>SUM(N57:N59)</f>
        <v>36.496800000000007</v>
      </c>
      <c r="O60" s="362" t="s">
        <v>100</v>
      </c>
      <c r="P60" s="931">
        <f>ROUND((N60),2)</f>
        <v>36.5</v>
      </c>
      <c r="Q60" s="442"/>
      <c r="R60" s="919"/>
      <c r="S60" s="442"/>
      <c r="T60" s="442"/>
      <c r="U60" s="442"/>
      <c r="V60" s="837"/>
      <c r="W60" s="837"/>
      <c r="X60" s="837"/>
    </row>
    <row r="61" spans="1:24" ht="15.75" customHeight="1">
      <c r="A61" s="430" t="s">
        <v>101</v>
      </c>
      <c r="B61" s="389" t="s">
        <v>794</v>
      </c>
      <c r="C61" s="428"/>
      <c r="D61" s="428"/>
      <c r="E61" s="428"/>
      <c r="F61" s="428"/>
      <c r="G61" s="428"/>
      <c r="H61" s="428"/>
      <c r="I61" s="428"/>
      <c r="J61" s="428"/>
      <c r="K61" s="428"/>
      <c r="L61" s="428"/>
      <c r="M61" s="428"/>
      <c r="N61" s="428"/>
      <c r="O61" s="362"/>
      <c r="P61" s="860"/>
      <c r="Q61" s="442"/>
      <c r="R61" s="919"/>
      <c r="S61" s="442"/>
      <c r="T61" s="442"/>
      <c r="U61" s="442"/>
      <c r="V61" s="837"/>
      <c r="W61" s="837"/>
      <c r="X61" s="837"/>
    </row>
    <row r="62" spans="1:24" ht="15.75" customHeight="1">
      <c r="A62" s="430"/>
      <c r="B62" s="843" t="str">
        <f>B57</f>
        <v>PJU Double T = 7 m</v>
      </c>
      <c r="C62" s="428">
        <f>0.35*4</f>
        <v>1.4</v>
      </c>
      <c r="D62" s="428"/>
      <c r="E62" s="428"/>
      <c r="F62" s="428">
        <f>ROUNDUP((C57/0.15),0.5)+1</f>
        <v>5</v>
      </c>
      <c r="G62" s="428"/>
      <c r="H62" s="428"/>
      <c r="I62" s="428">
        <f>0.05*2</f>
        <v>0.1</v>
      </c>
      <c r="J62" s="428"/>
      <c r="K62" s="428"/>
      <c r="L62" s="428">
        <f>8*8*0.006165</f>
        <v>0.39456000000000002</v>
      </c>
      <c r="M62" s="428">
        <f>M57</f>
        <v>3</v>
      </c>
      <c r="N62" s="428">
        <f>(C62+I62)*F62*L62*M62</f>
        <v>8.877600000000001</v>
      </c>
      <c r="O62" s="362"/>
      <c r="P62" s="860"/>
      <c r="Q62" s="442"/>
      <c r="R62" s="919"/>
      <c r="S62" s="442"/>
      <c r="T62" s="442"/>
      <c r="U62" s="442"/>
      <c r="V62" s="837"/>
      <c r="W62" s="837"/>
      <c r="X62" s="837"/>
    </row>
    <row r="63" spans="1:24" ht="15.75" customHeight="1">
      <c r="A63" s="430"/>
      <c r="B63" s="843" t="str">
        <f>B58</f>
        <v>PJU Single T = 7 m</v>
      </c>
      <c r="C63" s="428">
        <f>C62</f>
        <v>1.4</v>
      </c>
      <c r="D63" s="428"/>
      <c r="E63" s="428"/>
      <c r="F63" s="428">
        <f>ROUNDUP((C58/0.15),0.5)+1</f>
        <v>5</v>
      </c>
      <c r="G63" s="428"/>
      <c r="H63" s="428"/>
      <c r="I63" s="428">
        <f>I62</f>
        <v>0.1</v>
      </c>
      <c r="J63" s="428"/>
      <c r="K63" s="428"/>
      <c r="L63" s="428">
        <f>L62</f>
        <v>0.39456000000000002</v>
      </c>
      <c r="M63" s="428">
        <f>M58</f>
        <v>5</v>
      </c>
      <c r="N63" s="428">
        <f>(C63+I63)*F63*L63*M63</f>
        <v>14.795999999999999</v>
      </c>
      <c r="O63" s="362"/>
      <c r="P63" s="860"/>
      <c r="Q63" s="442"/>
      <c r="R63" s="919"/>
      <c r="S63" s="442"/>
      <c r="T63" s="442"/>
      <c r="U63" s="442"/>
      <c r="V63" s="837"/>
      <c r="W63" s="837"/>
      <c r="X63" s="837"/>
    </row>
    <row r="64" spans="1:24" ht="15.75" customHeight="1">
      <c r="A64" s="430"/>
      <c r="B64" s="843" t="str">
        <f>B59</f>
        <v>PJU Single Ornamen T = 7 m</v>
      </c>
      <c r="C64" s="428">
        <f>C63</f>
        <v>1.4</v>
      </c>
      <c r="D64" s="428"/>
      <c r="E64" s="428"/>
      <c r="F64" s="428">
        <f>ROUNDUP((C59/0.15),0.5)+1</f>
        <v>5</v>
      </c>
      <c r="G64" s="428"/>
      <c r="H64" s="428"/>
      <c r="I64" s="428">
        <f>I63</f>
        <v>0.1</v>
      </c>
      <c r="J64" s="428"/>
      <c r="K64" s="428"/>
      <c r="L64" s="428">
        <f>L63</f>
        <v>0.39456000000000002</v>
      </c>
      <c r="M64" s="428">
        <f>M59</f>
        <v>0</v>
      </c>
      <c r="N64" s="590">
        <f>(C64+I64)*F64*L64*M64</f>
        <v>0</v>
      </c>
      <c r="O64" s="362"/>
      <c r="P64" s="860"/>
      <c r="Q64" s="442"/>
      <c r="R64" s="919"/>
      <c r="S64" s="442"/>
      <c r="T64" s="442"/>
      <c r="U64" s="442"/>
      <c r="V64" s="837"/>
      <c r="W64" s="837"/>
      <c r="X64" s="837"/>
    </row>
    <row r="65" spans="1:24" ht="15.75" customHeight="1">
      <c r="A65" s="430"/>
      <c r="B65" s="427"/>
      <c r="C65" s="428"/>
      <c r="D65" s="428"/>
      <c r="E65" s="428"/>
      <c r="F65" s="428"/>
      <c r="G65" s="428"/>
      <c r="H65" s="428"/>
      <c r="I65" s="428"/>
      <c r="J65" s="428"/>
      <c r="K65" s="428"/>
      <c r="L65" s="428"/>
      <c r="M65" s="428"/>
      <c r="N65" s="390">
        <f>SUM(N62:N64)</f>
        <v>23.6736</v>
      </c>
      <c r="O65" s="362" t="s">
        <v>100</v>
      </c>
      <c r="P65" s="931">
        <f>ROUND((N65),2)</f>
        <v>23.67</v>
      </c>
      <c r="Q65" s="442"/>
      <c r="R65" s="919"/>
      <c r="S65" s="442"/>
      <c r="T65" s="442"/>
      <c r="U65" s="442"/>
      <c r="V65" s="837"/>
      <c r="W65" s="837"/>
      <c r="X65" s="837"/>
    </row>
    <row r="66" spans="1:24" ht="15.75" customHeight="1">
      <c r="A66" s="430" t="s">
        <v>121</v>
      </c>
      <c r="B66" s="427" t="s">
        <v>420</v>
      </c>
      <c r="C66" s="428"/>
      <c r="D66" s="428"/>
      <c r="E66" s="428"/>
      <c r="F66" s="428"/>
      <c r="G66" s="428"/>
      <c r="H66" s="428"/>
      <c r="I66" s="428"/>
      <c r="J66" s="428"/>
      <c r="K66" s="428"/>
      <c r="L66" s="428"/>
      <c r="M66" s="428"/>
      <c r="N66" s="428"/>
      <c r="O66" s="362"/>
      <c r="P66" s="860"/>
      <c r="Q66" s="442"/>
      <c r="R66" s="919"/>
      <c r="S66" s="442"/>
      <c r="T66" s="442"/>
      <c r="U66" s="442"/>
      <c r="V66" s="837"/>
      <c r="W66" s="837"/>
      <c r="X66" s="837"/>
    </row>
    <row r="67" spans="1:24" ht="15.75" customHeight="1">
      <c r="A67" s="430"/>
      <c r="B67" s="843" t="str">
        <f>B62</f>
        <v>PJU Double T = 7 m</v>
      </c>
      <c r="C67" s="428">
        <v>0.5</v>
      </c>
      <c r="D67" s="428">
        <v>0.5</v>
      </c>
      <c r="E67" s="428">
        <v>0.7</v>
      </c>
      <c r="F67" s="428"/>
      <c r="G67" s="428"/>
      <c r="H67" s="428"/>
      <c r="I67" s="428"/>
      <c r="J67" s="428"/>
      <c r="K67" s="428"/>
      <c r="L67" s="428"/>
      <c r="M67" s="428">
        <f>M62</f>
        <v>3</v>
      </c>
      <c r="N67" s="428">
        <f>C67*D67*E67*M67</f>
        <v>0.52499999999999991</v>
      </c>
      <c r="O67" s="362"/>
      <c r="P67" s="860"/>
      <c r="Q67" s="442"/>
      <c r="R67" s="919"/>
      <c r="S67" s="442"/>
      <c r="T67" s="442"/>
      <c r="U67" s="442"/>
      <c r="V67" s="837"/>
      <c r="W67" s="837"/>
      <c r="X67" s="837"/>
    </row>
    <row r="68" spans="1:24" ht="15.75" customHeight="1">
      <c r="A68" s="430"/>
      <c r="B68" s="843" t="str">
        <f>B63</f>
        <v>PJU Single T = 7 m</v>
      </c>
      <c r="C68" s="428">
        <f t="shared" ref="C68:E69" si="5">C67</f>
        <v>0.5</v>
      </c>
      <c r="D68" s="428">
        <f t="shared" si="5"/>
        <v>0.5</v>
      </c>
      <c r="E68" s="428">
        <f t="shared" si="5"/>
        <v>0.7</v>
      </c>
      <c r="F68" s="428"/>
      <c r="G68" s="428"/>
      <c r="H68" s="428"/>
      <c r="I68" s="428"/>
      <c r="J68" s="428"/>
      <c r="K68" s="428"/>
      <c r="L68" s="428"/>
      <c r="M68" s="428">
        <f>M63</f>
        <v>5</v>
      </c>
      <c r="N68" s="428">
        <f>C68*D68*E68*M68</f>
        <v>0.875</v>
      </c>
      <c r="O68" s="362"/>
      <c r="P68" s="860"/>
      <c r="Q68" s="442"/>
      <c r="R68" s="919"/>
      <c r="S68" s="442"/>
      <c r="T68" s="442"/>
      <c r="U68" s="442"/>
      <c r="V68" s="837"/>
      <c r="W68" s="837"/>
      <c r="X68" s="837"/>
    </row>
    <row r="69" spans="1:24" ht="15.75" customHeight="1">
      <c r="A69" s="430"/>
      <c r="B69" s="843" t="str">
        <f>B64</f>
        <v>PJU Single Ornamen T = 7 m</v>
      </c>
      <c r="C69" s="428">
        <f t="shared" si="5"/>
        <v>0.5</v>
      </c>
      <c r="D69" s="428">
        <f t="shared" si="5"/>
        <v>0.5</v>
      </c>
      <c r="E69" s="428">
        <f t="shared" si="5"/>
        <v>0.7</v>
      </c>
      <c r="F69" s="428"/>
      <c r="G69" s="428"/>
      <c r="H69" s="428"/>
      <c r="I69" s="428"/>
      <c r="J69" s="428"/>
      <c r="K69" s="428"/>
      <c r="L69" s="428"/>
      <c r="M69" s="428">
        <f>M64</f>
        <v>0</v>
      </c>
      <c r="N69" s="590">
        <f>C69*D69*E69*M69</f>
        <v>0</v>
      </c>
      <c r="O69" s="362"/>
      <c r="P69" s="860"/>
      <c r="Q69" s="442"/>
      <c r="R69" s="919"/>
      <c r="S69" s="442"/>
      <c r="T69" s="442"/>
      <c r="U69" s="442"/>
      <c r="V69" s="837"/>
      <c r="W69" s="837"/>
      <c r="X69" s="837"/>
    </row>
    <row r="70" spans="1:24" ht="15.75" customHeight="1">
      <c r="A70" s="430"/>
      <c r="B70" s="427"/>
      <c r="C70" s="428"/>
      <c r="D70" s="428"/>
      <c r="E70" s="428"/>
      <c r="F70" s="428"/>
      <c r="G70" s="428"/>
      <c r="H70" s="428"/>
      <c r="I70" s="428"/>
      <c r="J70" s="428"/>
      <c r="K70" s="428"/>
      <c r="L70" s="428"/>
      <c r="M70" s="428"/>
      <c r="N70" s="390">
        <f>SUM(N67:N69)</f>
        <v>1.4</v>
      </c>
      <c r="O70" s="927" t="s">
        <v>103</v>
      </c>
      <c r="P70" s="931">
        <f t="shared" ref="P70:P75" si="6">ROUND((N70),2)</f>
        <v>1.4</v>
      </c>
      <c r="Q70" s="442"/>
      <c r="R70" s="919"/>
      <c r="S70" s="442"/>
      <c r="T70" s="442"/>
      <c r="U70" s="442"/>
      <c r="V70" s="837"/>
      <c r="W70" s="837"/>
      <c r="X70" s="837"/>
    </row>
    <row r="71" spans="1:24" ht="42" customHeight="1">
      <c r="A71" s="429">
        <f>A50+1</f>
        <v>3</v>
      </c>
      <c r="B71" s="872" t="s">
        <v>1371</v>
      </c>
      <c r="C71" s="428"/>
      <c r="D71" s="428"/>
      <c r="E71" s="428"/>
      <c r="F71" s="428">
        <f>C9</f>
        <v>3</v>
      </c>
      <c r="G71" s="428"/>
      <c r="H71" s="428"/>
      <c r="I71" s="428"/>
      <c r="J71" s="428"/>
      <c r="K71" s="428"/>
      <c r="L71" s="428"/>
      <c r="M71" s="428"/>
      <c r="N71" s="428">
        <f>F71</f>
        <v>3</v>
      </c>
      <c r="O71" s="362" t="s">
        <v>360</v>
      </c>
      <c r="P71" s="931">
        <f t="shared" si="6"/>
        <v>3</v>
      </c>
      <c r="Q71" s="442"/>
      <c r="R71" s="919"/>
      <c r="S71" s="442"/>
      <c r="T71" s="442"/>
      <c r="U71" s="442"/>
      <c r="V71" s="837"/>
      <c r="W71" s="837"/>
      <c r="X71" s="837"/>
    </row>
    <row r="72" spans="1:24" ht="42" customHeight="1">
      <c r="A72" s="429">
        <f>A71+1</f>
        <v>4</v>
      </c>
      <c r="B72" s="872" t="s">
        <v>1372</v>
      </c>
      <c r="C72" s="428"/>
      <c r="D72" s="428"/>
      <c r="E72" s="428"/>
      <c r="F72" s="428">
        <f>C10</f>
        <v>5</v>
      </c>
      <c r="G72" s="428"/>
      <c r="H72" s="428"/>
      <c r="I72" s="428"/>
      <c r="J72" s="428"/>
      <c r="K72" s="428"/>
      <c r="L72" s="428"/>
      <c r="M72" s="428"/>
      <c r="N72" s="428">
        <f>F72</f>
        <v>5</v>
      </c>
      <c r="O72" s="362" t="s">
        <v>360</v>
      </c>
      <c r="P72" s="931">
        <f t="shared" si="6"/>
        <v>5</v>
      </c>
      <c r="Q72" s="442"/>
      <c r="R72" s="919"/>
      <c r="S72" s="442"/>
      <c r="T72" s="442"/>
      <c r="U72" s="442"/>
      <c r="V72" s="837"/>
      <c r="W72" s="837"/>
      <c r="X72" s="837"/>
    </row>
    <row r="73" spans="1:24" ht="54.75" customHeight="1">
      <c r="A73" s="429">
        <f>A72+1</f>
        <v>5</v>
      </c>
      <c r="B73" s="872" t="s">
        <v>1373</v>
      </c>
      <c r="C73" s="428"/>
      <c r="D73" s="428"/>
      <c r="E73" s="428"/>
      <c r="F73" s="428">
        <f>C11</f>
        <v>0</v>
      </c>
      <c r="G73" s="428"/>
      <c r="H73" s="428"/>
      <c r="I73" s="428"/>
      <c r="J73" s="428"/>
      <c r="K73" s="428"/>
      <c r="L73" s="428"/>
      <c r="M73" s="428"/>
      <c r="N73" s="428">
        <f>F73</f>
        <v>0</v>
      </c>
      <c r="O73" s="362" t="s">
        <v>360</v>
      </c>
      <c r="P73" s="931">
        <f t="shared" si="6"/>
        <v>0</v>
      </c>
      <c r="Q73" s="442"/>
      <c r="R73" s="919"/>
      <c r="S73" s="442"/>
      <c r="T73" s="442"/>
      <c r="U73" s="442"/>
      <c r="V73" s="837"/>
      <c r="W73" s="837"/>
      <c r="X73" s="837"/>
    </row>
    <row r="74" spans="1:24" ht="42" customHeight="1">
      <c r="A74" s="429">
        <f>A73+1</f>
        <v>6</v>
      </c>
      <c r="B74" s="872" t="s">
        <v>1374</v>
      </c>
      <c r="C74" s="428"/>
      <c r="D74" s="428"/>
      <c r="E74" s="428"/>
      <c r="F74" s="428"/>
      <c r="G74" s="428"/>
      <c r="H74" s="428"/>
      <c r="I74" s="428"/>
      <c r="J74" s="428"/>
      <c r="K74" s="428"/>
      <c r="L74" s="428"/>
      <c r="M74" s="428"/>
      <c r="N74" s="428">
        <f>F74</f>
        <v>0</v>
      </c>
      <c r="O74" s="362" t="s">
        <v>360</v>
      </c>
      <c r="P74" s="931">
        <f t="shared" si="6"/>
        <v>0</v>
      </c>
      <c r="Q74" s="442"/>
      <c r="R74" s="919"/>
      <c r="S74" s="442"/>
      <c r="T74" s="442"/>
      <c r="U74" s="442"/>
      <c r="V74" s="837"/>
      <c r="W74" s="837"/>
      <c r="X74" s="837"/>
    </row>
    <row r="75" spans="1:24" ht="15.75" customHeight="1">
      <c r="A75" s="429">
        <f>A74+1</f>
        <v>7</v>
      </c>
      <c r="B75" s="389" t="s">
        <v>798</v>
      </c>
      <c r="C75" s="428"/>
      <c r="D75" s="428"/>
      <c r="E75" s="428"/>
      <c r="F75" s="428">
        <f>SUM(C9:C11)</f>
        <v>8</v>
      </c>
      <c r="G75" s="428"/>
      <c r="H75" s="428"/>
      <c r="I75" s="428"/>
      <c r="J75" s="428"/>
      <c r="K75" s="428"/>
      <c r="L75" s="428"/>
      <c r="M75" s="428"/>
      <c r="N75" s="428">
        <f>F75</f>
        <v>8</v>
      </c>
      <c r="O75" s="362" t="s">
        <v>360</v>
      </c>
      <c r="P75" s="931">
        <f t="shared" si="6"/>
        <v>8</v>
      </c>
      <c r="Q75" s="442"/>
      <c r="R75" s="919"/>
      <c r="S75" s="442"/>
      <c r="T75" s="442"/>
      <c r="U75" s="442"/>
      <c r="V75" s="837"/>
      <c r="W75" s="837"/>
      <c r="X75" s="837"/>
    </row>
    <row r="76" spans="1:24" ht="15.75" customHeight="1">
      <c r="A76" s="425" t="s">
        <v>1375</v>
      </c>
      <c r="B76" s="446" t="s">
        <v>457</v>
      </c>
      <c r="C76" s="428"/>
      <c r="D76" s="428"/>
      <c r="E76" s="428"/>
      <c r="F76" s="428"/>
      <c r="G76" s="428"/>
      <c r="H76" s="428"/>
      <c r="I76" s="428"/>
      <c r="J76" s="428"/>
      <c r="K76" s="428"/>
      <c r="L76" s="428"/>
      <c r="M76" s="428"/>
      <c r="N76" s="428"/>
      <c r="O76" s="362"/>
      <c r="P76" s="860"/>
      <c r="Q76" s="442"/>
      <c r="R76" s="919"/>
      <c r="S76" s="442"/>
      <c r="T76" s="442"/>
      <c r="U76" s="442"/>
      <c r="V76" s="837"/>
      <c r="W76" s="837"/>
      <c r="X76" s="837"/>
    </row>
    <row r="77" spans="1:24" ht="15.75" customHeight="1">
      <c r="A77" s="429">
        <v>1</v>
      </c>
      <c r="B77" s="937" t="s">
        <v>799</v>
      </c>
      <c r="C77" s="428"/>
      <c r="D77" s="428"/>
      <c r="E77" s="428"/>
      <c r="F77" s="428"/>
      <c r="G77" s="428"/>
      <c r="H77" s="428"/>
      <c r="I77" s="428"/>
      <c r="J77" s="428"/>
      <c r="K77" s="428"/>
      <c r="L77" s="428"/>
      <c r="M77" s="428"/>
      <c r="N77" s="428">
        <v>1</v>
      </c>
      <c r="O77" s="362" t="s">
        <v>360</v>
      </c>
      <c r="P77" s="860">
        <f>ROUND((N77),2)</f>
        <v>1</v>
      </c>
      <c r="Q77" s="442"/>
      <c r="R77" s="919"/>
      <c r="S77" s="442"/>
      <c r="T77" s="442"/>
      <c r="U77" s="442"/>
      <c r="V77" s="837"/>
      <c r="W77" s="837"/>
      <c r="X77" s="837"/>
    </row>
    <row r="78" spans="1:24" ht="15.75" customHeight="1">
      <c r="A78" s="429">
        <f>A77+1</f>
        <v>2</v>
      </c>
      <c r="B78" s="938" t="s">
        <v>800</v>
      </c>
      <c r="C78" s="428"/>
      <c r="D78" s="428"/>
      <c r="E78" s="428"/>
      <c r="F78" s="428"/>
      <c r="G78" s="428"/>
      <c r="H78" s="428"/>
      <c r="I78" s="428"/>
      <c r="J78" s="428"/>
      <c r="K78" s="428"/>
      <c r="L78" s="428"/>
      <c r="M78" s="428"/>
      <c r="N78" s="428">
        <v>1</v>
      </c>
      <c r="O78" s="362" t="s">
        <v>360</v>
      </c>
      <c r="P78" s="860">
        <f>ROUND((N78),2)</f>
        <v>1</v>
      </c>
      <c r="Q78" s="442"/>
      <c r="R78" s="919"/>
      <c r="S78" s="442"/>
      <c r="T78" s="442"/>
      <c r="U78" s="442"/>
      <c r="V78" s="837"/>
      <c r="W78" s="837"/>
      <c r="X78" s="837"/>
    </row>
    <row r="79" spans="1:24" ht="15.75" customHeight="1">
      <c r="A79" s="429">
        <f>A78+1</f>
        <v>3</v>
      </c>
      <c r="B79" s="938" t="s">
        <v>801</v>
      </c>
      <c r="C79" s="428"/>
      <c r="D79" s="428"/>
      <c r="E79" s="428"/>
      <c r="F79" s="428"/>
      <c r="G79" s="428"/>
      <c r="H79" s="428"/>
      <c r="I79" s="428"/>
      <c r="J79" s="428"/>
      <c r="K79" s="428"/>
      <c r="L79" s="428"/>
      <c r="M79" s="428"/>
      <c r="N79" s="428">
        <f>SUM(N80:N83)</f>
        <v>8</v>
      </c>
      <c r="O79" s="362" t="s">
        <v>357</v>
      </c>
      <c r="P79" s="860">
        <f>ROUND((N79),2)</f>
        <v>8</v>
      </c>
      <c r="Q79" s="442"/>
      <c r="R79" s="919"/>
      <c r="S79" s="442"/>
      <c r="T79" s="442"/>
      <c r="U79" s="442"/>
      <c r="V79" s="837"/>
      <c r="W79" s="837"/>
      <c r="X79" s="837"/>
    </row>
    <row r="80" spans="1:24" ht="15.75" customHeight="1">
      <c r="A80" s="429"/>
      <c r="B80" s="843" t="s">
        <v>1368</v>
      </c>
      <c r="C80" s="428"/>
      <c r="D80" s="428"/>
      <c r="E80" s="428"/>
      <c r="F80" s="428">
        <f>C9</f>
        <v>3</v>
      </c>
      <c r="G80" s="428"/>
      <c r="H80" s="428"/>
      <c r="I80" s="428"/>
      <c r="J80" s="428"/>
      <c r="K80" s="428"/>
      <c r="L80" s="428"/>
      <c r="M80" s="428"/>
      <c r="N80" s="428">
        <f>F80</f>
        <v>3</v>
      </c>
      <c r="O80" s="362"/>
      <c r="P80" s="860"/>
      <c r="Q80" s="442"/>
      <c r="R80" s="919"/>
      <c r="S80" s="442"/>
      <c r="T80" s="442"/>
      <c r="U80" s="442"/>
      <c r="V80" s="837"/>
      <c r="W80" s="837"/>
      <c r="X80" s="837"/>
    </row>
    <row r="81" spans="1:24" ht="15.75" customHeight="1">
      <c r="A81" s="429"/>
      <c r="B81" s="843" t="s">
        <v>1376</v>
      </c>
      <c r="C81" s="428"/>
      <c r="D81" s="428"/>
      <c r="E81" s="428"/>
      <c r="F81" s="428">
        <f>C10</f>
        <v>5</v>
      </c>
      <c r="G81" s="428"/>
      <c r="H81" s="428"/>
      <c r="I81" s="428"/>
      <c r="J81" s="428"/>
      <c r="K81" s="428"/>
      <c r="L81" s="428"/>
      <c r="M81" s="428"/>
      <c r="N81" s="428">
        <f>F81</f>
        <v>5</v>
      </c>
      <c r="O81" s="362"/>
      <c r="P81" s="860"/>
      <c r="Q81" s="442"/>
      <c r="R81" s="919"/>
      <c r="S81" s="442"/>
      <c r="T81" s="442"/>
      <c r="U81" s="442"/>
      <c r="V81" s="837"/>
      <c r="W81" s="837"/>
      <c r="X81" s="837"/>
    </row>
    <row r="82" spans="1:24" ht="15.75" customHeight="1">
      <c r="A82" s="429"/>
      <c r="B82" s="843" t="s">
        <v>1369</v>
      </c>
      <c r="C82" s="428"/>
      <c r="D82" s="428"/>
      <c r="E82" s="428"/>
      <c r="F82" s="428">
        <f>C11</f>
        <v>0</v>
      </c>
      <c r="G82" s="428"/>
      <c r="H82" s="428"/>
      <c r="I82" s="428"/>
      <c r="J82" s="428"/>
      <c r="K82" s="428"/>
      <c r="L82" s="428"/>
      <c r="M82" s="428"/>
      <c r="N82" s="428">
        <f>F82</f>
        <v>0</v>
      </c>
      <c r="O82" s="362"/>
      <c r="P82" s="860"/>
      <c r="Q82" s="442"/>
      <c r="R82" s="919"/>
      <c r="S82" s="442"/>
      <c r="T82" s="442"/>
      <c r="U82" s="442"/>
      <c r="V82" s="837"/>
      <c r="W82" s="837"/>
      <c r="X82" s="837"/>
    </row>
    <row r="83" spans="1:24" ht="15.75" customHeight="1">
      <c r="A83" s="429"/>
      <c r="B83" s="843" t="s">
        <v>1370</v>
      </c>
      <c r="C83" s="428"/>
      <c r="D83" s="428"/>
      <c r="E83" s="428"/>
      <c r="F83" s="428">
        <f>C12</f>
        <v>0</v>
      </c>
      <c r="G83" s="428"/>
      <c r="H83" s="428"/>
      <c r="I83" s="428"/>
      <c r="J83" s="428"/>
      <c r="K83" s="428"/>
      <c r="L83" s="428"/>
      <c r="M83" s="428"/>
      <c r="N83" s="428">
        <f>F83</f>
        <v>0</v>
      </c>
      <c r="O83" s="362"/>
      <c r="P83" s="860"/>
      <c r="Q83" s="442"/>
      <c r="R83" s="919"/>
      <c r="S83" s="442"/>
      <c r="T83" s="442"/>
      <c r="U83" s="442"/>
      <c r="V83" s="837"/>
      <c r="W83" s="837"/>
      <c r="X83" s="837"/>
    </row>
    <row r="84" spans="1:24" ht="15.75" customHeight="1">
      <c r="A84" s="429"/>
      <c r="B84" s="843"/>
      <c r="C84" s="428"/>
      <c r="D84" s="428"/>
      <c r="E84" s="428"/>
      <c r="F84" s="428"/>
      <c r="G84" s="428"/>
      <c r="H84" s="428"/>
      <c r="I84" s="428"/>
      <c r="J84" s="428"/>
      <c r="K84" s="428"/>
      <c r="L84" s="428"/>
      <c r="M84" s="428"/>
      <c r="N84" s="428"/>
      <c r="O84" s="362"/>
      <c r="P84" s="860"/>
      <c r="Q84" s="442"/>
      <c r="R84" s="919"/>
      <c r="S84" s="442"/>
      <c r="T84" s="442"/>
      <c r="U84" s="442"/>
      <c r="V84" s="837"/>
      <c r="W84" s="837"/>
      <c r="X84" s="837"/>
    </row>
    <row r="85" spans="1:24" ht="15.75" customHeight="1">
      <c r="A85" s="429">
        <f>A79+1</f>
        <v>4</v>
      </c>
      <c r="B85" s="938" t="s">
        <v>1377</v>
      </c>
      <c r="C85" s="428"/>
      <c r="D85" s="428"/>
      <c r="E85" s="428"/>
      <c r="F85" s="428"/>
      <c r="G85" s="428"/>
      <c r="H85" s="428"/>
      <c r="I85" s="428"/>
      <c r="J85" s="428"/>
      <c r="K85" s="428"/>
      <c r="L85" s="428"/>
      <c r="M85" s="428"/>
      <c r="N85" s="428"/>
      <c r="O85" s="362"/>
      <c r="P85" s="860"/>
      <c r="Q85" s="442"/>
      <c r="R85" s="919"/>
      <c r="S85" s="442"/>
      <c r="T85" s="442"/>
      <c r="U85" s="442"/>
      <c r="V85" s="837"/>
      <c r="W85" s="837"/>
      <c r="X85" s="837"/>
    </row>
    <row r="86" spans="1:24" ht="15.75" customHeight="1">
      <c r="A86" s="429"/>
      <c r="B86" s="843" t="str">
        <f>B80</f>
        <v>PJU Single T = 7 m</v>
      </c>
      <c r="C86" s="428">
        <v>12.5</v>
      </c>
      <c r="D86" s="428">
        <v>93.6</v>
      </c>
      <c r="E86" s="428"/>
      <c r="F86" s="428"/>
      <c r="G86" s="428"/>
      <c r="H86" s="428"/>
      <c r="I86" s="428"/>
      <c r="J86" s="428"/>
      <c r="K86" s="428"/>
      <c r="L86" s="428"/>
      <c r="M86" s="428"/>
      <c r="N86" s="428">
        <f>SUM(C86:M86)</f>
        <v>106.1</v>
      </c>
      <c r="O86" s="362"/>
      <c r="P86" s="860"/>
      <c r="Q86" s="442"/>
      <c r="R86" s="919"/>
      <c r="S86" s="442"/>
      <c r="T86" s="442"/>
      <c r="U86" s="442"/>
      <c r="V86" s="837"/>
      <c r="W86" s="837"/>
      <c r="X86" s="837"/>
    </row>
    <row r="87" spans="1:24" ht="15.75" customHeight="1">
      <c r="A87" s="429"/>
      <c r="B87" s="843" t="str">
        <f>B81</f>
        <v>PJU Dobel T = 7 m</v>
      </c>
      <c r="C87" s="428"/>
      <c r="D87" s="428"/>
      <c r="E87" s="428">
        <v>7</v>
      </c>
      <c r="F87" s="428"/>
      <c r="G87" s="428"/>
      <c r="H87" s="428"/>
      <c r="I87" s="428"/>
      <c r="J87" s="428">
        <v>1.5</v>
      </c>
      <c r="K87" s="428"/>
      <c r="L87" s="428"/>
      <c r="M87" s="428">
        <v>26</v>
      </c>
      <c r="N87" s="428">
        <f>(E87+J87)*M87</f>
        <v>221</v>
      </c>
      <c r="O87" s="362"/>
      <c r="P87" s="860"/>
      <c r="Q87" s="442"/>
      <c r="R87" s="919"/>
      <c r="S87" s="442"/>
      <c r="T87" s="442"/>
      <c r="U87" s="442"/>
      <c r="V87" s="837"/>
      <c r="W87" s="837"/>
      <c r="X87" s="837"/>
    </row>
    <row r="88" spans="1:24" ht="15.75" customHeight="1">
      <c r="A88" s="429"/>
      <c r="B88" s="843" t="str">
        <f>B82</f>
        <v>PJU Single Ornamen T = 7 m</v>
      </c>
      <c r="C88" s="428">
        <v>22.6</v>
      </c>
      <c r="D88" s="428">
        <v>100</v>
      </c>
      <c r="E88" s="428">
        <v>26.4</v>
      </c>
      <c r="F88" s="428">
        <v>10.6</v>
      </c>
      <c r="G88" s="428">
        <v>148.4</v>
      </c>
      <c r="H88" s="428"/>
      <c r="I88" s="428"/>
      <c r="J88" s="428"/>
      <c r="K88" s="428"/>
      <c r="L88" s="428"/>
      <c r="M88" s="428"/>
      <c r="N88" s="428">
        <f>SUM(C88:M88)</f>
        <v>308</v>
      </c>
      <c r="O88" s="362"/>
      <c r="P88" s="860"/>
      <c r="Q88" s="442"/>
      <c r="R88" s="919"/>
      <c r="S88" s="442"/>
      <c r="T88" s="442"/>
      <c r="U88" s="442"/>
      <c r="V88" s="837"/>
      <c r="W88" s="837"/>
      <c r="X88" s="837"/>
    </row>
    <row r="89" spans="1:24" ht="15.75" customHeight="1">
      <c r="A89" s="429"/>
      <c r="B89" s="843" t="str">
        <f>B83</f>
        <v>Lampu Taman Ornamen T = 4 m</v>
      </c>
      <c r="C89" s="428"/>
      <c r="D89" s="428"/>
      <c r="E89" s="428">
        <v>4</v>
      </c>
      <c r="F89" s="428"/>
      <c r="G89" s="428"/>
      <c r="H89" s="428"/>
      <c r="I89" s="428"/>
      <c r="J89" s="428">
        <v>0.5</v>
      </c>
      <c r="K89" s="428"/>
      <c r="L89" s="428"/>
      <c r="M89" s="428">
        <v>25</v>
      </c>
      <c r="N89" s="590">
        <f>(E89+J89)*M89</f>
        <v>112.5</v>
      </c>
      <c r="O89" s="362"/>
      <c r="P89" s="860"/>
      <c r="Q89" s="442"/>
      <c r="R89" s="919"/>
      <c r="S89" s="442"/>
      <c r="T89" s="442"/>
      <c r="U89" s="442"/>
      <c r="V89" s="837"/>
      <c r="W89" s="837"/>
      <c r="X89" s="837"/>
    </row>
    <row r="90" spans="1:24" ht="15.75" customHeight="1">
      <c r="A90" s="429"/>
      <c r="B90" s="843"/>
      <c r="C90" s="428"/>
      <c r="D90" s="428"/>
      <c r="E90" s="428"/>
      <c r="F90" s="428"/>
      <c r="G90" s="428"/>
      <c r="H90" s="428"/>
      <c r="I90" s="428"/>
      <c r="J90" s="428"/>
      <c r="K90" s="428"/>
      <c r="L90" s="428"/>
      <c r="M90" s="428"/>
      <c r="N90" s="390">
        <f>SUM(N86:N89)</f>
        <v>747.6</v>
      </c>
      <c r="O90" s="362" t="s">
        <v>803</v>
      </c>
      <c r="P90" s="860">
        <f>ROUND((N90),2)</f>
        <v>747.6</v>
      </c>
      <c r="Q90" s="442"/>
      <c r="R90" s="919"/>
      <c r="S90" s="442"/>
      <c r="T90" s="442"/>
      <c r="U90" s="442"/>
      <c r="V90" s="837"/>
      <c r="W90" s="837"/>
      <c r="X90" s="837"/>
    </row>
    <row r="91" spans="1:24" ht="15.75" customHeight="1">
      <c r="A91" s="429">
        <f>A85+1</f>
        <v>5</v>
      </c>
      <c r="B91" s="938" t="s">
        <v>1378</v>
      </c>
      <c r="C91" s="428"/>
      <c r="D91" s="428"/>
      <c r="E91" s="428"/>
      <c r="F91" s="428"/>
      <c r="G91" s="428"/>
      <c r="H91" s="428"/>
      <c r="I91" s="428"/>
      <c r="J91" s="428"/>
      <c r="K91" s="428"/>
      <c r="L91" s="428"/>
      <c r="M91" s="428"/>
      <c r="N91" s="390"/>
      <c r="O91" s="362"/>
      <c r="P91" s="860"/>
      <c r="Q91" s="442"/>
      <c r="R91" s="919"/>
      <c r="S91" s="442"/>
      <c r="T91" s="442"/>
      <c r="U91" s="442"/>
      <c r="V91" s="837"/>
      <c r="W91" s="837"/>
      <c r="X91" s="837"/>
    </row>
    <row r="92" spans="1:24" ht="15.75" customHeight="1">
      <c r="A92" s="429"/>
      <c r="B92" s="938" t="s">
        <v>1379</v>
      </c>
      <c r="C92" s="428">
        <v>22.6</v>
      </c>
      <c r="D92" s="428"/>
      <c r="E92" s="428"/>
      <c r="F92" s="428"/>
      <c r="G92" s="428"/>
      <c r="H92" s="428"/>
      <c r="I92" s="428"/>
      <c r="J92" s="428"/>
      <c r="K92" s="428"/>
      <c r="L92" s="428"/>
      <c r="M92" s="428"/>
      <c r="N92" s="428">
        <f>SUM(C92:M92)</f>
        <v>22.6</v>
      </c>
      <c r="O92" s="362" t="s">
        <v>803</v>
      </c>
      <c r="P92" s="860">
        <f>ROUND((N92),2)</f>
        <v>22.6</v>
      </c>
      <c r="Q92" s="442"/>
      <c r="R92" s="919"/>
      <c r="S92" s="442"/>
      <c r="T92" s="442"/>
      <c r="U92" s="442"/>
      <c r="V92" s="837"/>
      <c r="W92" s="837"/>
      <c r="X92" s="837"/>
    </row>
    <row r="93" spans="1:24" ht="15.75" customHeight="1">
      <c r="A93" s="429">
        <f>A91+1</f>
        <v>6</v>
      </c>
      <c r="B93" s="938" t="s">
        <v>805</v>
      </c>
      <c r="C93" s="428"/>
      <c r="D93" s="428"/>
      <c r="E93" s="428"/>
      <c r="F93" s="428"/>
      <c r="G93" s="428"/>
      <c r="H93" s="428"/>
      <c r="I93" s="428"/>
      <c r="J93" s="428"/>
      <c r="K93" s="428"/>
      <c r="L93" s="428"/>
      <c r="M93" s="428"/>
      <c r="N93" s="428">
        <f>N90</f>
        <v>747.6</v>
      </c>
      <c r="O93" s="362" t="s">
        <v>803</v>
      </c>
      <c r="P93" s="860">
        <f>ROUND((N93),2)</f>
        <v>747.6</v>
      </c>
      <c r="Q93" s="442"/>
      <c r="R93" s="919"/>
      <c r="S93" s="442"/>
      <c r="T93" s="442"/>
      <c r="U93" s="442"/>
      <c r="V93" s="837"/>
      <c r="W93" s="837"/>
      <c r="X93" s="837"/>
    </row>
    <row r="94" spans="1:24" ht="15.75" customHeight="1">
      <c r="A94" s="429">
        <f>A93+1</f>
        <v>7</v>
      </c>
      <c r="B94" s="938" t="s">
        <v>806</v>
      </c>
      <c r="C94" s="428"/>
      <c r="D94" s="428"/>
      <c r="E94" s="428"/>
      <c r="F94" s="428"/>
      <c r="G94" s="428"/>
      <c r="H94" s="428"/>
      <c r="I94" s="428"/>
      <c r="J94" s="428"/>
      <c r="K94" s="428"/>
      <c r="L94" s="428"/>
      <c r="M94" s="428"/>
      <c r="N94" s="428"/>
      <c r="O94" s="362"/>
      <c r="P94" s="860"/>
      <c r="Q94" s="442"/>
      <c r="R94" s="919"/>
      <c r="S94" s="442"/>
      <c r="T94" s="442"/>
      <c r="U94" s="442"/>
      <c r="V94" s="837"/>
      <c r="W94" s="837"/>
      <c r="X94" s="837"/>
    </row>
    <row r="95" spans="1:24" ht="15.75" customHeight="1">
      <c r="A95" s="429"/>
      <c r="B95" s="843" t="s">
        <v>1380</v>
      </c>
      <c r="C95" s="428" t="s">
        <v>1381</v>
      </c>
      <c r="D95" s="428"/>
      <c r="E95" s="428"/>
      <c r="F95" s="428"/>
      <c r="G95" s="428"/>
      <c r="H95" s="428"/>
      <c r="I95" s="428"/>
      <c r="J95" s="428"/>
      <c r="K95" s="428"/>
      <c r="L95" s="428"/>
      <c r="M95" s="428"/>
      <c r="N95" s="428">
        <f>N90</f>
        <v>747.6</v>
      </c>
      <c r="O95" s="362"/>
      <c r="P95" s="860"/>
      <c r="Q95" s="442"/>
      <c r="R95" s="919"/>
      <c r="S95" s="442"/>
      <c r="T95" s="442"/>
      <c r="U95" s="442"/>
      <c r="V95" s="837"/>
      <c r="W95" s="837"/>
      <c r="X95" s="837"/>
    </row>
    <row r="96" spans="1:24" ht="15.75" customHeight="1">
      <c r="A96" s="429"/>
      <c r="B96" s="843" t="s">
        <v>1382</v>
      </c>
      <c r="C96" s="428" t="s">
        <v>1383</v>
      </c>
      <c r="D96" s="428"/>
      <c r="E96" s="428"/>
      <c r="F96" s="428"/>
      <c r="G96" s="428"/>
      <c r="H96" s="428"/>
      <c r="I96" s="428"/>
      <c r="J96" s="428"/>
      <c r="K96" s="428"/>
      <c r="L96" s="428"/>
      <c r="M96" s="428"/>
      <c r="N96" s="590">
        <f>G88</f>
        <v>148.4</v>
      </c>
      <c r="O96" s="362"/>
      <c r="P96" s="860"/>
      <c r="Q96" s="442"/>
      <c r="R96" s="919"/>
      <c r="S96" s="442"/>
      <c r="T96" s="442"/>
      <c r="U96" s="442"/>
      <c r="V96" s="837"/>
      <c r="W96" s="837"/>
      <c r="X96" s="837"/>
    </row>
    <row r="97" spans="1:24" ht="15.75" customHeight="1">
      <c r="A97" s="429"/>
      <c r="B97" s="843"/>
      <c r="C97" s="428"/>
      <c r="D97" s="428"/>
      <c r="E97" s="428"/>
      <c r="F97" s="428"/>
      <c r="G97" s="428"/>
      <c r="H97" s="428"/>
      <c r="I97" s="428"/>
      <c r="J97" s="428"/>
      <c r="K97" s="428"/>
      <c r="L97" s="428"/>
      <c r="M97" s="428"/>
      <c r="N97" s="390">
        <f>SUM(N95:N96)</f>
        <v>896</v>
      </c>
      <c r="O97" s="362" t="s">
        <v>803</v>
      </c>
      <c r="P97" s="860"/>
      <c r="Q97" s="442"/>
      <c r="R97" s="919"/>
      <c r="S97" s="442"/>
      <c r="T97" s="442"/>
      <c r="U97" s="442"/>
      <c r="V97" s="837"/>
      <c r="W97" s="837"/>
      <c r="X97" s="837"/>
    </row>
    <row r="98" spans="1:24" ht="15.75" customHeight="1">
      <c r="A98" s="429"/>
      <c r="B98" s="843"/>
      <c r="C98" s="428">
        <f>N97</f>
        <v>896</v>
      </c>
      <c r="D98" s="428">
        <v>0.2</v>
      </c>
      <c r="E98" s="428">
        <v>0.15</v>
      </c>
      <c r="F98" s="428"/>
      <c r="G98" s="428"/>
      <c r="H98" s="428"/>
      <c r="I98" s="428"/>
      <c r="J98" s="428"/>
      <c r="K98" s="428"/>
      <c r="L98" s="428"/>
      <c r="M98" s="428"/>
      <c r="N98" s="428">
        <f>C98*D98*E98</f>
        <v>26.880000000000003</v>
      </c>
      <c r="O98" s="362" t="s">
        <v>103</v>
      </c>
      <c r="P98" s="860">
        <f>ROUND((N98),2)</f>
        <v>26.88</v>
      </c>
      <c r="Q98" s="442"/>
      <c r="R98" s="919"/>
      <c r="S98" s="442"/>
      <c r="T98" s="442"/>
      <c r="U98" s="442"/>
      <c r="V98" s="837"/>
      <c r="W98" s="837"/>
      <c r="X98" s="837"/>
    </row>
    <row r="99" spans="1:24" ht="15.75" customHeight="1">
      <c r="A99" s="429">
        <f>A94+1</f>
        <v>8</v>
      </c>
      <c r="B99" s="938" t="s">
        <v>807</v>
      </c>
      <c r="C99" s="428">
        <v>5</v>
      </c>
      <c r="D99" s="428">
        <v>25</v>
      </c>
      <c r="E99" s="428"/>
      <c r="F99" s="428"/>
      <c r="G99" s="428"/>
      <c r="H99" s="428"/>
      <c r="I99" s="428"/>
      <c r="J99" s="428"/>
      <c r="K99" s="428"/>
      <c r="L99" s="428"/>
      <c r="M99" s="428"/>
      <c r="N99" s="428">
        <f>C99+D99</f>
        <v>30</v>
      </c>
      <c r="O99" s="362" t="s">
        <v>124</v>
      </c>
      <c r="P99" s="860">
        <f>ROUND((N99),2)</f>
        <v>30</v>
      </c>
      <c r="Q99" s="442"/>
      <c r="R99" s="919"/>
      <c r="S99" s="442"/>
      <c r="T99" s="442"/>
      <c r="U99" s="442"/>
      <c r="V99" s="837"/>
      <c r="W99" s="837"/>
      <c r="X99" s="837"/>
    </row>
    <row r="100" spans="1:24" ht="15.75" customHeight="1">
      <c r="A100" s="429">
        <f>A99+1</f>
        <v>9</v>
      </c>
      <c r="B100" s="843" t="s">
        <v>808</v>
      </c>
      <c r="C100" s="428"/>
      <c r="D100" s="428"/>
      <c r="E100" s="428"/>
      <c r="F100" s="428"/>
      <c r="G100" s="428"/>
      <c r="H100" s="428"/>
      <c r="I100" s="428"/>
      <c r="J100" s="428"/>
      <c r="K100" s="428"/>
      <c r="L100" s="428"/>
      <c r="M100" s="428"/>
      <c r="N100" s="428">
        <v>2</v>
      </c>
      <c r="O100" s="362" t="s">
        <v>360</v>
      </c>
      <c r="P100" s="860">
        <f>ROUND((N100),2)</f>
        <v>2</v>
      </c>
      <c r="Q100" s="442"/>
      <c r="R100" s="919"/>
      <c r="S100" s="442"/>
      <c r="T100" s="442"/>
      <c r="U100" s="442"/>
      <c r="V100" s="837"/>
      <c r="W100" s="837"/>
      <c r="X100" s="837"/>
    </row>
    <row r="101" spans="1:24" ht="15.75" customHeight="1">
      <c r="A101" s="429">
        <f>A100+1</f>
        <v>10</v>
      </c>
      <c r="B101" s="939" t="s">
        <v>809</v>
      </c>
      <c r="C101" s="428"/>
      <c r="D101" s="428"/>
      <c r="E101" s="428"/>
      <c r="F101" s="428"/>
      <c r="G101" s="428"/>
      <c r="H101" s="428"/>
      <c r="I101" s="428"/>
      <c r="J101" s="428"/>
      <c r="K101" s="428"/>
      <c r="L101" s="428"/>
      <c r="M101" s="428"/>
      <c r="N101" s="428">
        <v>1</v>
      </c>
      <c r="O101" s="362" t="s">
        <v>360</v>
      </c>
      <c r="P101" s="860">
        <f>ROUND((N101),2)</f>
        <v>1</v>
      </c>
      <c r="Q101" s="442"/>
      <c r="R101" s="919"/>
      <c r="S101" s="442"/>
      <c r="T101" s="442"/>
      <c r="U101" s="442"/>
      <c r="V101" s="837"/>
      <c r="W101" s="837"/>
      <c r="X101" s="837"/>
    </row>
    <row r="102" spans="1:24" ht="7.5" customHeight="1">
      <c r="A102" s="940"/>
      <c r="B102" s="916"/>
      <c r="C102" s="917"/>
      <c r="D102" s="917"/>
      <c r="E102" s="917"/>
      <c r="F102" s="917"/>
      <c r="G102" s="917"/>
      <c r="H102" s="917"/>
      <c r="I102" s="917"/>
      <c r="J102" s="917"/>
      <c r="K102" s="917"/>
      <c r="L102" s="917"/>
      <c r="M102" s="917"/>
      <c r="N102" s="917"/>
      <c r="O102" s="941"/>
      <c r="P102" s="918"/>
      <c r="Q102" s="442"/>
      <c r="R102" s="442"/>
      <c r="S102" s="442"/>
      <c r="T102" s="442"/>
      <c r="U102" s="442"/>
      <c r="V102" s="837"/>
      <c r="W102" s="837"/>
      <c r="X102" s="837"/>
    </row>
    <row r="103" spans="1:24" ht="15.75" customHeight="1">
      <c r="A103" s="920"/>
      <c r="B103" s="442"/>
      <c r="C103" s="919"/>
      <c r="D103" s="919"/>
      <c r="E103" s="919"/>
      <c r="F103" s="919"/>
      <c r="G103" s="919"/>
      <c r="H103" s="919"/>
      <c r="I103" s="919"/>
      <c r="J103" s="919"/>
      <c r="K103" s="919"/>
      <c r="L103" s="919"/>
      <c r="M103" s="919"/>
      <c r="N103" s="919"/>
      <c r="O103" s="920"/>
      <c r="P103" s="920"/>
      <c r="Q103" s="442"/>
      <c r="R103" s="442"/>
      <c r="S103" s="442"/>
      <c r="T103" s="442"/>
      <c r="U103" s="442"/>
      <c r="V103" s="837"/>
      <c r="W103" s="837"/>
      <c r="X103" s="837"/>
    </row>
    <row r="104" spans="1:24" ht="15.75" customHeight="1">
      <c r="A104" s="920"/>
      <c r="B104" s="442"/>
      <c r="C104" s="919"/>
      <c r="D104" s="919"/>
      <c r="E104" s="919"/>
      <c r="F104" s="919"/>
      <c r="G104" s="919"/>
      <c r="H104" s="919"/>
      <c r="I104" s="919"/>
      <c r="J104" s="919"/>
      <c r="K104" s="919"/>
      <c r="L104" s="919"/>
      <c r="M104" s="919"/>
      <c r="N104" s="919"/>
      <c r="O104" s="920"/>
      <c r="P104" s="920"/>
      <c r="Q104" s="442"/>
      <c r="R104" s="442"/>
      <c r="S104" s="442"/>
      <c r="T104" s="442"/>
      <c r="U104" s="442"/>
      <c r="V104" s="837"/>
      <c r="W104" s="837"/>
      <c r="X104" s="837"/>
    </row>
    <row r="105" spans="1:24" ht="15.75" customHeight="1">
      <c r="A105" s="920"/>
      <c r="B105" s="442"/>
      <c r="C105" s="919"/>
      <c r="D105" s="919"/>
      <c r="E105" s="919"/>
      <c r="F105" s="919"/>
      <c r="G105" s="919"/>
      <c r="H105" s="919"/>
      <c r="I105" s="919"/>
      <c r="J105" s="919"/>
      <c r="K105" s="919"/>
      <c r="L105" s="919"/>
      <c r="M105" s="919"/>
      <c r="N105" s="919"/>
      <c r="O105" s="920"/>
      <c r="P105" s="920"/>
      <c r="Q105" s="442"/>
      <c r="R105" s="442"/>
      <c r="S105" s="442"/>
      <c r="T105" s="442"/>
      <c r="U105" s="442"/>
      <c r="V105" s="837"/>
      <c r="W105" s="837"/>
      <c r="X105" s="837"/>
    </row>
    <row r="106" spans="1:24" ht="15.75" customHeight="1">
      <c r="A106" s="920"/>
      <c r="B106" s="442"/>
      <c r="C106" s="919"/>
      <c r="D106" s="919"/>
      <c r="E106" s="919"/>
      <c r="F106" s="919"/>
      <c r="G106" s="919"/>
      <c r="H106" s="919"/>
      <c r="I106" s="919"/>
      <c r="J106" s="919"/>
      <c r="K106" s="919"/>
      <c r="L106" s="919"/>
      <c r="M106" s="919"/>
      <c r="N106" s="919"/>
      <c r="O106" s="920"/>
      <c r="P106" s="920"/>
      <c r="Q106" s="442"/>
      <c r="R106" s="442"/>
      <c r="S106" s="442"/>
      <c r="T106" s="442"/>
      <c r="U106" s="442"/>
      <c r="V106" s="837"/>
      <c r="W106" s="837"/>
      <c r="X106" s="837"/>
    </row>
    <row r="107" spans="1:24" ht="15.75" customHeight="1">
      <c r="A107" s="442"/>
      <c r="B107" s="442"/>
      <c r="C107" s="919"/>
      <c r="D107" s="919"/>
      <c r="E107" s="919"/>
      <c r="F107" s="919"/>
      <c r="G107" s="919"/>
      <c r="H107" s="919"/>
      <c r="I107" s="919"/>
      <c r="J107" s="919"/>
      <c r="K107" s="919"/>
      <c r="L107" s="919"/>
      <c r="M107" s="919"/>
      <c r="N107" s="919"/>
      <c r="O107" s="920"/>
      <c r="P107" s="920"/>
      <c r="Q107" s="442"/>
      <c r="R107" s="442"/>
      <c r="S107" s="442"/>
      <c r="T107" s="442"/>
      <c r="U107" s="442"/>
      <c r="V107" s="837"/>
      <c r="W107" s="837"/>
      <c r="X107" s="837"/>
    </row>
    <row r="108" spans="1:24" ht="15.75" customHeight="1">
      <c r="A108" s="442"/>
      <c r="B108" s="442"/>
      <c r="C108" s="919"/>
      <c r="D108" s="919"/>
      <c r="E108" s="919"/>
      <c r="F108" s="919"/>
      <c r="G108" s="919"/>
      <c r="H108" s="919"/>
      <c r="I108" s="919"/>
      <c r="J108" s="919"/>
      <c r="K108" s="919"/>
      <c r="L108" s="919"/>
      <c r="M108" s="919"/>
      <c r="N108" s="919"/>
      <c r="O108" s="920"/>
      <c r="P108" s="920"/>
      <c r="Q108" s="442"/>
      <c r="R108" s="442"/>
      <c r="S108" s="442"/>
      <c r="T108" s="442"/>
      <c r="U108" s="442"/>
      <c r="V108" s="837"/>
      <c r="W108" s="837"/>
      <c r="X108" s="837"/>
    </row>
    <row r="109" spans="1:24" ht="15.75" customHeight="1">
      <c r="A109" s="442"/>
      <c r="B109" s="442"/>
      <c r="C109" s="919"/>
      <c r="D109" s="919"/>
      <c r="E109" s="919"/>
      <c r="F109" s="919"/>
      <c r="G109" s="919"/>
      <c r="H109" s="919"/>
      <c r="I109" s="919"/>
      <c r="J109" s="919"/>
      <c r="K109" s="919"/>
      <c r="L109" s="919"/>
      <c r="M109" s="919"/>
      <c r="N109" s="919"/>
      <c r="O109" s="920"/>
      <c r="P109" s="920"/>
      <c r="Q109" s="442"/>
      <c r="R109" s="442"/>
      <c r="S109" s="442"/>
      <c r="T109" s="442"/>
      <c r="U109" s="442"/>
      <c r="V109" s="837"/>
      <c r="W109" s="837"/>
      <c r="X109" s="837"/>
    </row>
    <row r="110" spans="1:24" ht="15.75" customHeight="1">
      <c r="A110" s="442"/>
      <c r="B110" s="442"/>
      <c r="C110" s="919"/>
      <c r="D110" s="919"/>
      <c r="E110" s="919"/>
      <c r="F110" s="919"/>
      <c r="G110" s="919"/>
      <c r="H110" s="919"/>
      <c r="I110" s="919"/>
      <c r="J110" s="919"/>
      <c r="K110" s="919"/>
      <c r="L110" s="919"/>
      <c r="M110" s="919"/>
      <c r="N110" s="919"/>
      <c r="O110" s="920"/>
      <c r="P110" s="920"/>
      <c r="Q110" s="442"/>
      <c r="R110" s="442"/>
      <c r="S110" s="442"/>
      <c r="T110" s="442"/>
      <c r="U110" s="442"/>
      <c r="V110" s="837"/>
      <c r="W110" s="837"/>
      <c r="X110" s="837"/>
    </row>
    <row r="111" spans="1:24" ht="15.75" customHeight="1">
      <c r="A111" s="442"/>
      <c r="B111" s="442"/>
      <c r="C111" s="919"/>
      <c r="D111" s="919"/>
      <c r="E111" s="919"/>
      <c r="F111" s="919"/>
      <c r="G111" s="919"/>
      <c r="H111" s="919"/>
      <c r="I111" s="919"/>
      <c r="J111" s="919"/>
      <c r="K111" s="919"/>
      <c r="L111" s="919"/>
      <c r="M111" s="919"/>
      <c r="N111" s="919"/>
      <c r="O111" s="920"/>
      <c r="P111" s="920"/>
      <c r="Q111" s="442"/>
      <c r="R111" s="442"/>
      <c r="S111" s="442"/>
      <c r="T111" s="442"/>
      <c r="U111" s="442"/>
      <c r="V111" s="837"/>
      <c r="W111" s="837"/>
      <c r="X111" s="837"/>
    </row>
    <row r="112" spans="1:24" ht="15.75" customHeight="1">
      <c r="A112" s="442"/>
      <c r="B112" s="442"/>
      <c r="C112" s="919"/>
      <c r="D112" s="919"/>
      <c r="E112" s="919"/>
      <c r="F112" s="919"/>
      <c r="G112" s="919"/>
      <c r="H112" s="919"/>
      <c r="I112" s="919"/>
      <c r="J112" s="919"/>
      <c r="K112" s="919"/>
      <c r="L112" s="919"/>
      <c r="M112" s="919"/>
      <c r="N112" s="919"/>
      <c r="O112" s="920"/>
      <c r="P112" s="920"/>
      <c r="Q112" s="442"/>
      <c r="R112" s="442"/>
      <c r="S112" s="442"/>
      <c r="T112" s="442"/>
      <c r="U112" s="442"/>
      <c r="V112" s="837"/>
      <c r="W112" s="837"/>
      <c r="X112" s="837"/>
    </row>
    <row r="113" spans="1:24" ht="15.75" customHeight="1">
      <c r="A113" s="442"/>
      <c r="B113" s="442"/>
      <c r="C113" s="919"/>
      <c r="D113" s="919"/>
      <c r="E113" s="919"/>
      <c r="F113" s="919"/>
      <c r="G113" s="919"/>
      <c r="H113" s="919"/>
      <c r="I113" s="919"/>
      <c r="J113" s="919"/>
      <c r="K113" s="919"/>
      <c r="L113" s="919"/>
      <c r="M113" s="919"/>
      <c r="N113" s="919"/>
      <c r="O113" s="920"/>
      <c r="P113" s="920"/>
      <c r="Q113" s="442"/>
      <c r="R113" s="442"/>
      <c r="S113" s="442"/>
      <c r="T113" s="442"/>
      <c r="U113" s="442"/>
      <c r="V113" s="837"/>
      <c r="W113" s="837"/>
      <c r="X113" s="837"/>
    </row>
    <row r="114" spans="1:24" ht="15.75" customHeight="1">
      <c r="A114" s="442"/>
      <c r="B114" s="442"/>
      <c r="C114" s="919"/>
      <c r="D114" s="919"/>
      <c r="E114" s="919"/>
      <c r="F114" s="919"/>
      <c r="G114" s="919"/>
      <c r="H114" s="919"/>
      <c r="I114" s="919"/>
      <c r="J114" s="919"/>
      <c r="K114" s="919"/>
      <c r="L114" s="919"/>
      <c r="M114" s="919"/>
      <c r="N114" s="919"/>
      <c r="O114" s="920"/>
      <c r="P114" s="920"/>
      <c r="Q114" s="442"/>
      <c r="R114" s="442"/>
      <c r="S114" s="442"/>
      <c r="T114" s="442"/>
      <c r="U114" s="442"/>
      <c r="V114" s="837"/>
      <c r="W114" s="837"/>
      <c r="X114" s="837"/>
    </row>
    <row r="115" spans="1:24" ht="15.75" customHeight="1">
      <c r="A115" s="442"/>
      <c r="B115" s="442"/>
      <c r="C115" s="919"/>
      <c r="D115" s="919"/>
      <c r="E115" s="919"/>
      <c r="F115" s="919"/>
      <c r="G115" s="919"/>
      <c r="H115" s="919"/>
      <c r="I115" s="919"/>
      <c r="J115" s="919"/>
      <c r="K115" s="919"/>
      <c r="L115" s="919"/>
      <c r="M115" s="919"/>
      <c r="N115" s="919"/>
      <c r="O115" s="920"/>
      <c r="P115" s="920"/>
      <c r="Q115" s="442"/>
      <c r="R115" s="442"/>
      <c r="S115" s="442"/>
      <c r="T115" s="442"/>
      <c r="U115" s="442"/>
      <c r="V115" s="837"/>
      <c r="W115" s="837"/>
      <c r="X115" s="837"/>
    </row>
    <row r="116" spans="1:24" ht="15.75" customHeight="1">
      <c r="A116" s="442"/>
      <c r="B116" s="442"/>
      <c r="C116" s="919"/>
      <c r="D116" s="919"/>
      <c r="E116" s="919"/>
      <c r="F116" s="919"/>
      <c r="G116" s="919"/>
      <c r="H116" s="919"/>
      <c r="I116" s="919"/>
      <c r="J116" s="919"/>
      <c r="K116" s="919"/>
      <c r="L116" s="919"/>
      <c r="M116" s="919"/>
      <c r="N116" s="919"/>
      <c r="O116" s="920"/>
      <c r="P116" s="920"/>
      <c r="Q116" s="442"/>
      <c r="R116" s="442"/>
      <c r="S116" s="442"/>
      <c r="T116" s="442"/>
      <c r="U116" s="442"/>
      <c r="V116" s="837"/>
      <c r="W116" s="837"/>
      <c r="X116" s="837"/>
    </row>
    <row r="117" spans="1:24" ht="15.75" customHeight="1">
      <c r="A117" s="442"/>
      <c r="B117" s="442"/>
      <c r="C117" s="919"/>
      <c r="D117" s="919"/>
      <c r="E117" s="919"/>
      <c r="F117" s="919"/>
      <c r="G117" s="919"/>
      <c r="H117" s="919"/>
      <c r="I117" s="919"/>
      <c r="J117" s="919"/>
      <c r="K117" s="919"/>
      <c r="L117" s="919"/>
      <c r="M117" s="919"/>
      <c r="N117" s="919"/>
      <c r="O117" s="920"/>
      <c r="P117" s="920"/>
      <c r="Q117" s="442"/>
      <c r="R117" s="442"/>
      <c r="S117" s="442"/>
      <c r="T117" s="442"/>
      <c r="U117" s="442"/>
      <c r="V117" s="837"/>
      <c r="W117" s="837"/>
      <c r="X117" s="837"/>
    </row>
    <row r="118" spans="1:24" ht="15.75" customHeight="1">
      <c r="A118" s="442"/>
      <c r="B118" s="442"/>
      <c r="C118" s="919"/>
      <c r="D118" s="919"/>
      <c r="E118" s="919"/>
      <c r="F118" s="919"/>
      <c r="G118" s="919"/>
      <c r="H118" s="919"/>
      <c r="I118" s="919"/>
      <c r="J118" s="919"/>
      <c r="K118" s="919"/>
      <c r="L118" s="919"/>
      <c r="M118" s="919"/>
      <c r="N118" s="919"/>
      <c r="O118" s="920"/>
      <c r="P118" s="920"/>
      <c r="Q118" s="442"/>
      <c r="R118" s="442"/>
      <c r="S118" s="442"/>
      <c r="T118" s="442"/>
      <c r="U118" s="442"/>
      <c r="V118" s="837"/>
      <c r="W118" s="837"/>
      <c r="X118" s="837"/>
    </row>
    <row r="119" spans="1:24" ht="15.75" customHeight="1">
      <c r="A119" s="442"/>
      <c r="B119" s="442"/>
      <c r="C119" s="919"/>
      <c r="D119" s="919"/>
      <c r="E119" s="919"/>
      <c r="F119" s="919"/>
      <c r="G119" s="919"/>
      <c r="H119" s="919"/>
      <c r="I119" s="919"/>
      <c r="J119" s="919"/>
      <c r="K119" s="919"/>
      <c r="L119" s="919"/>
      <c r="M119" s="919"/>
      <c r="N119" s="919"/>
      <c r="O119" s="920"/>
      <c r="P119" s="920"/>
      <c r="Q119" s="442"/>
      <c r="R119" s="442"/>
      <c r="S119" s="442"/>
      <c r="T119" s="442"/>
      <c r="U119" s="442"/>
      <c r="V119" s="837"/>
      <c r="W119" s="837"/>
      <c r="X119" s="837"/>
    </row>
    <row r="120" spans="1:24" ht="15.75" customHeight="1">
      <c r="A120" s="442"/>
      <c r="B120" s="442"/>
      <c r="C120" s="919"/>
      <c r="D120" s="919"/>
      <c r="E120" s="919"/>
      <c r="F120" s="919"/>
      <c r="G120" s="919"/>
      <c r="H120" s="919"/>
      <c r="I120" s="919"/>
      <c r="J120" s="919"/>
      <c r="K120" s="919"/>
      <c r="L120" s="919"/>
      <c r="M120" s="919"/>
      <c r="N120" s="919"/>
      <c r="O120" s="920"/>
      <c r="P120" s="920"/>
      <c r="Q120" s="442"/>
      <c r="R120" s="442"/>
      <c r="S120" s="442"/>
      <c r="T120" s="442"/>
      <c r="U120" s="442"/>
      <c r="V120" s="837"/>
      <c r="W120" s="837"/>
      <c r="X120" s="837"/>
    </row>
    <row r="121" spans="1:24" ht="15.75" customHeight="1">
      <c r="A121" s="442"/>
      <c r="B121" s="442"/>
      <c r="C121" s="919"/>
      <c r="D121" s="919"/>
      <c r="E121" s="919"/>
      <c r="F121" s="919"/>
      <c r="G121" s="919"/>
      <c r="H121" s="919"/>
      <c r="I121" s="919"/>
      <c r="J121" s="919"/>
      <c r="K121" s="919"/>
      <c r="L121" s="919"/>
      <c r="M121" s="919"/>
      <c r="N121" s="919"/>
      <c r="O121" s="920"/>
      <c r="P121" s="920"/>
      <c r="Q121" s="442"/>
      <c r="R121" s="442"/>
      <c r="S121" s="442"/>
      <c r="T121" s="442"/>
      <c r="U121" s="442"/>
      <c r="V121" s="837"/>
      <c r="W121" s="837"/>
      <c r="X121" s="837"/>
    </row>
    <row r="122" spans="1:24" ht="15.75" customHeight="1">
      <c r="A122" s="442"/>
      <c r="B122" s="442"/>
      <c r="C122" s="919"/>
      <c r="D122" s="919"/>
      <c r="E122" s="919"/>
      <c r="F122" s="919"/>
      <c r="G122" s="919"/>
      <c r="H122" s="919"/>
      <c r="I122" s="919"/>
      <c r="J122" s="919"/>
      <c r="K122" s="919"/>
      <c r="L122" s="919"/>
      <c r="M122" s="919"/>
      <c r="N122" s="919"/>
      <c r="O122" s="920"/>
      <c r="P122" s="920"/>
      <c r="Q122" s="442"/>
      <c r="R122" s="442"/>
      <c r="S122" s="442"/>
      <c r="T122" s="442"/>
      <c r="U122" s="442"/>
      <c r="V122" s="837"/>
      <c r="W122" s="837"/>
      <c r="X122" s="837"/>
    </row>
    <row r="123" spans="1:24" ht="15.75" customHeight="1">
      <c r="A123" s="442"/>
      <c r="B123" s="442"/>
      <c r="C123" s="919"/>
      <c r="D123" s="919"/>
      <c r="E123" s="919"/>
      <c r="F123" s="919"/>
      <c r="G123" s="919"/>
      <c r="H123" s="919"/>
      <c r="I123" s="919"/>
      <c r="J123" s="919"/>
      <c r="K123" s="919"/>
      <c r="L123" s="919"/>
      <c r="M123" s="919"/>
      <c r="N123" s="919"/>
      <c r="O123" s="920"/>
      <c r="P123" s="920"/>
      <c r="Q123" s="442"/>
      <c r="R123" s="442"/>
      <c r="S123" s="442"/>
      <c r="T123" s="442"/>
      <c r="U123" s="442"/>
      <c r="V123" s="837"/>
      <c r="W123" s="837"/>
      <c r="X123" s="837"/>
    </row>
    <row r="124" spans="1:24" ht="15.75" customHeight="1">
      <c r="A124" s="442"/>
      <c r="B124" s="442"/>
      <c r="C124" s="919"/>
      <c r="D124" s="919"/>
      <c r="E124" s="919"/>
      <c r="F124" s="919"/>
      <c r="G124" s="919"/>
      <c r="H124" s="919"/>
      <c r="I124" s="919"/>
      <c r="J124" s="919"/>
      <c r="K124" s="919"/>
      <c r="L124" s="919"/>
      <c r="M124" s="919"/>
      <c r="N124" s="919"/>
      <c r="O124" s="920"/>
      <c r="P124" s="920"/>
      <c r="Q124" s="442"/>
      <c r="R124" s="442"/>
      <c r="S124" s="442"/>
      <c r="T124" s="442"/>
      <c r="U124" s="442"/>
      <c r="V124" s="837"/>
      <c r="W124" s="837"/>
      <c r="X124" s="837"/>
    </row>
    <row r="125" spans="1:24" ht="15.75" customHeight="1">
      <c r="A125" s="442"/>
      <c r="B125" s="442"/>
      <c r="C125" s="919"/>
      <c r="D125" s="919"/>
      <c r="E125" s="919"/>
      <c r="F125" s="919"/>
      <c r="G125" s="919"/>
      <c r="H125" s="919"/>
      <c r="I125" s="919"/>
      <c r="J125" s="919"/>
      <c r="K125" s="919"/>
      <c r="L125" s="919"/>
      <c r="M125" s="919"/>
      <c r="N125" s="919"/>
      <c r="O125" s="920"/>
      <c r="P125" s="920"/>
      <c r="Q125" s="442"/>
      <c r="R125" s="442"/>
      <c r="S125" s="442"/>
      <c r="T125" s="442"/>
      <c r="U125" s="442"/>
      <c r="V125" s="837"/>
      <c r="W125" s="837"/>
      <c r="X125" s="837"/>
    </row>
    <row r="126" spans="1:24" ht="15.75" customHeight="1">
      <c r="A126" s="442"/>
      <c r="B126" s="442"/>
      <c r="C126" s="919"/>
      <c r="D126" s="919"/>
      <c r="E126" s="919"/>
      <c r="F126" s="919"/>
      <c r="G126" s="919"/>
      <c r="H126" s="919"/>
      <c r="I126" s="919"/>
      <c r="J126" s="919"/>
      <c r="K126" s="919"/>
      <c r="L126" s="919"/>
      <c r="M126" s="919"/>
      <c r="N126" s="919"/>
      <c r="O126" s="920"/>
      <c r="P126" s="920"/>
      <c r="Q126" s="442"/>
      <c r="R126" s="442"/>
      <c r="S126" s="442"/>
      <c r="T126" s="442"/>
      <c r="U126" s="442"/>
      <c r="V126" s="837"/>
      <c r="W126" s="837"/>
      <c r="X126" s="837"/>
    </row>
    <row r="127" spans="1:24" ht="15.75" customHeight="1">
      <c r="A127" s="442"/>
      <c r="B127" s="442"/>
      <c r="C127" s="919"/>
      <c r="D127" s="919"/>
      <c r="E127" s="919"/>
      <c r="F127" s="919"/>
      <c r="G127" s="919"/>
      <c r="H127" s="919"/>
      <c r="I127" s="919"/>
      <c r="J127" s="919"/>
      <c r="K127" s="919"/>
      <c r="L127" s="919"/>
      <c r="M127" s="919"/>
      <c r="N127" s="919"/>
      <c r="O127" s="920"/>
      <c r="P127" s="920"/>
      <c r="Q127" s="442"/>
      <c r="R127" s="442"/>
      <c r="S127" s="442"/>
      <c r="T127" s="442"/>
      <c r="U127" s="442"/>
      <c r="V127" s="837"/>
      <c r="W127" s="837"/>
      <c r="X127" s="837"/>
    </row>
    <row r="128" spans="1:24" ht="15.75" customHeight="1">
      <c r="A128" s="442"/>
      <c r="B128" s="442"/>
      <c r="C128" s="919"/>
      <c r="D128" s="919"/>
      <c r="E128" s="919"/>
      <c r="F128" s="919"/>
      <c r="G128" s="919"/>
      <c r="H128" s="919"/>
      <c r="I128" s="919"/>
      <c r="J128" s="919"/>
      <c r="K128" s="919"/>
      <c r="L128" s="919"/>
      <c r="M128" s="919"/>
      <c r="N128" s="919"/>
      <c r="O128" s="920"/>
      <c r="P128" s="920"/>
      <c r="Q128" s="442"/>
      <c r="R128" s="442"/>
      <c r="S128" s="442"/>
      <c r="T128" s="442"/>
      <c r="U128" s="442"/>
      <c r="V128" s="837"/>
      <c r="W128" s="837"/>
      <c r="X128" s="837"/>
    </row>
    <row r="129" spans="1:24" ht="15.75" customHeight="1">
      <c r="A129" s="442"/>
      <c r="B129" s="442"/>
      <c r="C129" s="919"/>
      <c r="D129" s="919"/>
      <c r="E129" s="919"/>
      <c r="F129" s="919"/>
      <c r="G129" s="919"/>
      <c r="H129" s="919"/>
      <c r="I129" s="919"/>
      <c r="J129" s="919"/>
      <c r="K129" s="919"/>
      <c r="L129" s="919"/>
      <c r="M129" s="919"/>
      <c r="N129" s="919"/>
      <c r="O129" s="920"/>
      <c r="P129" s="920"/>
      <c r="Q129" s="442"/>
      <c r="R129" s="442"/>
      <c r="S129" s="442"/>
      <c r="T129" s="442"/>
      <c r="U129" s="442"/>
      <c r="V129" s="837"/>
      <c r="W129" s="837"/>
      <c r="X129" s="837"/>
    </row>
    <row r="130" spans="1:24" ht="15.75" customHeight="1">
      <c r="A130" s="442"/>
      <c r="B130" s="442"/>
      <c r="C130" s="919"/>
      <c r="D130" s="919"/>
      <c r="E130" s="919"/>
      <c r="F130" s="919"/>
      <c r="G130" s="919"/>
      <c r="H130" s="919"/>
      <c r="I130" s="919"/>
      <c r="J130" s="919"/>
      <c r="K130" s="919"/>
      <c r="L130" s="919"/>
      <c r="M130" s="919"/>
      <c r="N130" s="919"/>
      <c r="O130" s="920"/>
      <c r="P130" s="920"/>
      <c r="Q130" s="442"/>
      <c r="R130" s="442"/>
      <c r="S130" s="442"/>
      <c r="T130" s="442"/>
      <c r="U130" s="442"/>
      <c r="V130" s="837"/>
      <c r="W130" s="837"/>
      <c r="X130" s="837"/>
    </row>
    <row r="131" spans="1:24" ht="15.75" customHeight="1">
      <c r="A131" s="442"/>
      <c r="B131" s="442"/>
      <c r="C131" s="919"/>
      <c r="D131" s="919"/>
      <c r="E131" s="919"/>
      <c r="F131" s="919"/>
      <c r="G131" s="919"/>
      <c r="H131" s="919"/>
      <c r="I131" s="919"/>
      <c r="J131" s="919"/>
      <c r="K131" s="919"/>
      <c r="L131" s="919"/>
      <c r="M131" s="919"/>
      <c r="N131" s="919"/>
      <c r="O131" s="920"/>
      <c r="P131" s="920"/>
      <c r="Q131" s="442"/>
      <c r="R131" s="442"/>
      <c r="S131" s="442"/>
      <c r="T131" s="442"/>
      <c r="U131" s="442"/>
      <c r="V131" s="837"/>
      <c r="W131" s="837"/>
      <c r="X131" s="837"/>
    </row>
    <row r="132" spans="1:24" ht="15.75" customHeight="1">
      <c r="A132" s="442"/>
      <c r="B132" s="442"/>
      <c r="C132" s="919"/>
      <c r="D132" s="919"/>
      <c r="E132" s="919"/>
      <c r="F132" s="919"/>
      <c r="G132" s="919"/>
      <c r="H132" s="919"/>
      <c r="I132" s="919"/>
      <c r="J132" s="919"/>
      <c r="K132" s="919"/>
      <c r="L132" s="919"/>
      <c r="M132" s="919"/>
      <c r="N132" s="919"/>
      <c r="O132" s="920"/>
      <c r="P132" s="920"/>
      <c r="Q132" s="442"/>
      <c r="R132" s="442"/>
      <c r="S132" s="442"/>
      <c r="T132" s="442"/>
      <c r="U132" s="442"/>
      <c r="V132" s="837"/>
      <c r="W132" s="837"/>
      <c r="X132" s="837"/>
    </row>
    <row r="133" spans="1:24" ht="15.75" customHeight="1">
      <c r="A133" s="442"/>
      <c r="B133" s="442"/>
      <c r="C133" s="919"/>
      <c r="D133" s="919"/>
      <c r="E133" s="919"/>
      <c r="F133" s="919"/>
      <c r="G133" s="919"/>
      <c r="H133" s="919"/>
      <c r="I133" s="919"/>
      <c r="J133" s="919"/>
      <c r="K133" s="919"/>
      <c r="L133" s="919"/>
      <c r="M133" s="919"/>
      <c r="N133" s="919"/>
      <c r="O133" s="920"/>
      <c r="P133" s="920"/>
      <c r="Q133" s="442"/>
      <c r="R133" s="442"/>
      <c r="S133" s="442"/>
      <c r="T133" s="442"/>
      <c r="U133" s="442"/>
      <c r="V133" s="837"/>
      <c r="W133" s="837"/>
      <c r="X133" s="837"/>
    </row>
    <row r="134" spans="1:24" ht="15.75" customHeight="1">
      <c r="A134" s="442"/>
      <c r="B134" s="442"/>
      <c r="C134" s="919"/>
      <c r="D134" s="919"/>
      <c r="E134" s="919"/>
      <c r="F134" s="919"/>
      <c r="G134" s="919"/>
      <c r="H134" s="919"/>
      <c r="I134" s="919"/>
      <c r="J134" s="919"/>
      <c r="K134" s="919"/>
      <c r="L134" s="919"/>
      <c r="M134" s="919"/>
      <c r="N134" s="919"/>
      <c r="O134" s="920"/>
      <c r="P134" s="920"/>
      <c r="Q134" s="442"/>
      <c r="R134" s="442"/>
      <c r="S134" s="442"/>
      <c r="T134" s="442"/>
      <c r="U134" s="442"/>
      <c r="V134" s="837"/>
      <c r="W134" s="837"/>
      <c r="X134" s="837"/>
    </row>
    <row r="135" spans="1:24" ht="15.75" customHeight="1">
      <c r="A135" s="442"/>
      <c r="B135" s="442"/>
      <c r="C135" s="919"/>
      <c r="D135" s="919"/>
      <c r="E135" s="919"/>
      <c r="F135" s="919"/>
      <c r="G135" s="919"/>
      <c r="H135" s="919"/>
      <c r="I135" s="919"/>
      <c r="J135" s="919"/>
      <c r="K135" s="919"/>
      <c r="L135" s="919"/>
      <c r="M135" s="919"/>
      <c r="N135" s="919"/>
      <c r="O135" s="920"/>
      <c r="P135" s="920"/>
      <c r="Q135" s="442"/>
      <c r="R135" s="442"/>
      <c r="S135" s="442"/>
      <c r="T135" s="442"/>
      <c r="U135" s="442"/>
      <c r="V135" s="837"/>
      <c r="W135" s="837"/>
      <c r="X135" s="837"/>
    </row>
    <row r="136" spans="1:24" ht="15.75" customHeight="1">
      <c r="A136" s="442"/>
      <c r="B136" s="442"/>
      <c r="C136" s="919"/>
      <c r="D136" s="919"/>
      <c r="E136" s="919"/>
      <c r="F136" s="919"/>
      <c r="G136" s="919"/>
      <c r="H136" s="919"/>
      <c r="I136" s="919"/>
      <c r="J136" s="919"/>
      <c r="K136" s="919"/>
      <c r="L136" s="919"/>
      <c r="M136" s="919"/>
      <c r="N136" s="919"/>
      <c r="O136" s="920"/>
      <c r="P136" s="920"/>
      <c r="Q136" s="442"/>
      <c r="R136" s="442"/>
      <c r="S136" s="442"/>
      <c r="T136" s="442"/>
      <c r="U136" s="442"/>
      <c r="V136" s="837"/>
      <c r="W136" s="837"/>
      <c r="X136" s="837"/>
    </row>
    <row r="137" spans="1:24" ht="15.75" customHeight="1">
      <c r="A137" s="442"/>
      <c r="B137" s="442"/>
      <c r="C137" s="919"/>
      <c r="D137" s="919"/>
      <c r="E137" s="919"/>
      <c r="F137" s="919"/>
      <c r="G137" s="919"/>
      <c r="H137" s="919"/>
      <c r="I137" s="919"/>
      <c r="J137" s="919"/>
      <c r="K137" s="919"/>
      <c r="L137" s="919"/>
      <c r="M137" s="919"/>
      <c r="N137" s="919"/>
      <c r="O137" s="920"/>
      <c r="P137" s="920"/>
      <c r="Q137" s="442"/>
      <c r="R137" s="442"/>
      <c r="S137" s="442"/>
      <c r="T137" s="442"/>
      <c r="U137" s="442"/>
      <c r="V137" s="837"/>
      <c r="W137" s="837"/>
      <c r="X137" s="837"/>
    </row>
    <row r="138" spans="1:24" ht="15.75" customHeight="1">
      <c r="A138" s="442"/>
      <c r="B138" s="442"/>
      <c r="C138" s="919"/>
      <c r="D138" s="919"/>
      <c r="E138" s="919"/>
      <c r="F138" s="919"/>
      <c r="G138" s="919"/>
      <c r="H138" s="919"/>
      <c r="I138" s="919"/>
      <c r="J138" s="919"/>
      <c r="K138" s="919"/>
      <c r="L138" s="919"/>
      <c r="M138" s="919"/>
      <c r="N138" s="919"/>
      <c r="O138" s="920"/>
      <c r="P138" s="920"/>
      <c r="Q138" s="442"/>
      <c r="R138" s="442"/>
      <c r="S138" s="442"/>
      <c r="T138" s="442"/>
      <c r="U138" s="442"/>
      <c r="V138" s="837"/>
      <c r="W138" s="837"/>
      <c r="X138" s="837"/>
    </row>
    <row r="139" spans="1:24" ht="15.75" customHeight="1">
      <c r="A139" s="442"/>
      <c r="B139" s="442"/>
      <c r="C139" s="919"/>
      <c r="D139" s="919"/>
      <c r="E139" s="919"/>
      <c r="F139" s="919"/>
      <c r="G139" s="919"/>
      <c r="H139" s="919"/>
      <c r="I139" s="919"/>
      <c r="J139" s="919"/>
      <c r="K139" s="919"/>
      <c r="L139" s="919"/>
      <c r="M139" s="919"/>
      <c r="N139" s="919"/>
      <c r="O139" s="920"/>
      <c r="P139" s="920"/>
      <c r="Q139" s="442"/>
      <c r="R139" s="442"/>
      <c r="S139" s="442"/>
      <c r="T139" s="442"/>
      <c r="U139" s="442"/>
      <c r="V139" s="837"/>
      <c r="W139" s="837"/>
      <c r="X139" s="837"/>
    </row>
    <row r="140" spans="1:24" ht="15.75" customHeight="1">
      <c r="A140" s="442"/>
      <c r="B140" s="442"/>
      <c r="C140" s="919"/>
      <c r="D140" s="919"/>
      <c r="E140" s="919"/>
      <c r="F140" s="919"/>
      <c r="G140" s="919"/>
      <c r="H140" s="919"/>
      <c r="I140" s="919"/>
      <c r="J140" s="919"/>
      <c r="K140" s="919"/>
      <c r="L140" s="919"/>
      <c r="M140" s="919"/>
      <c r="N140" s="919"/>
      <c r="O140" s="920"/>
      <c r="P140" s="920"/>
      <c r="Q140" s="442"/>
      <c r="R140" s="442"/>
      <c r="S140" s="442"/>
      <c r="T140" s="442"/>
      <c r="U140" s="442"/>
      <c r="V140" s="837"/>
      <c r="W140" s="837"/>
      <c r="X140" s="837"/>
    </row>
    <row r="141" spans="1:24" ht="15.75" customHeight="1">
      <c r="A141" s="442"/>
      <c r="B141" s="442"/>
      <c r="C141" s="919"/>
      <c r="D141" s="919"/>
      <c r="E141" s="919"/>
      <c r="F141" s="919"/>
      <c r="G141" s="919"/>
      <c r="H141" s="919"/>
      <c r="I141" s="919"/>
      <c r="J141" s="919"/>
      <c r="K141" s="919"/>
      <c r="L141" s="919"/>
      <c r="M141" s="919"/>
      <c r="N141" s="919"/>
      <c r="O141" s="920"/>
      <c r="P141" s="920"/>
      <c r="Q141" s="442"/>
      <c r="R141" s="442"/>
      <c r="S141" s="442"/>
      <c r="T141" s="442"/>
      <c r="U141" s="442"/>
      <c r="V141" s="837"/>
      <c r="W141" s="837"/>
      <c r="X141" s="837"/>
    </row>
    <row r="142" spans="1:24" ht="15.75" customHeight="1">
      <c r="A142" s="442"/>
      <c r="B142" s="442"/>
      <c r="C142" s="919"/>
      <c r="D142" s="919"/>
      <c r="E142" s="919"/>
      <c r="F142" s="919"/>
      <c r="G142" s="919"/>
      <c r="H142" s="919"/>
      <c r="I142" s="919"/>
      <c r="J142" s="919"/>
      <c r="K142" s="919"/>
      <c r="L142" s="919"/>
      <c r="M142" s="919"/>
      <c r="N142" s="919"/>
      <c r="O142" s="920"/>
      <c r="P142" s="920"/>
      <c r="Q142" s="442"/>
      <c r="R142" s="442"/>
      <c r="S142" s="442"/>
      <c r="T142" s="442"/>
      <c r="U142" s="442"/>
      <c r="V142" s="837"/>
      <c r="W142" s="837"/>
      <c r="X142" s="837"/>
    </row>
    <row r="143" spans="1:24" ht="15.75" customHeight="1">
      <c r="A143" s="442"/>
      <c r="B143" s="442"/>
      <c r="C143" s="919"/>
      <c r="D143" s="919"/>
      <c r="E143" s="919"/>
      <c r="F143" s="919"/>
      <c r="G143" s="919"/>
      <c r="H143" s="919"/>
      <c r="I143" s="919"/>
      <c r="J143" s="919"/>
      <c r="K143" s="919"/>
      <c r="L143" s="919"/>
      <c r="M143" s="919"/>
      <c r="N143" s="919"/>
      <c r="O143" s="920"/>
      <c r="P143" s="920"/>
      <c r="Q143" s="442"/>
      <c r="R143" s="442"/>
      <c r="S143" s="442"/>
      <c r="T143" s="442"/>
      <c r="U143" s="442"/>
      <c r="V143" s="837"/>
      <c r="W143" s="837"/>
      <c r="X143" s="837"/>
    </row>
    <row r="144" spans="1:24" ht="15.75" customHeight="1">
      <c r="A144" s="442"/>
      <c r="B144" s="442"/>
      <c r="C144" s="919"/>
      <c r="D144" s="919"/>
      <c r="E144" s="919"/>
      <c r="F144" s="919"/>
      <c r="G144" s="919"/>
      <c r="H144" s="919"/>
      <c r="I144" s="919"/>
      <c r="J144" s="919"/>
      <c r="K144" s="919"/>
      <c r="L144" s="919"/>
      <c r="M144" s="919"/>
      <c r="N144" s="919"/>
      <c r="O144" s="920"/>
      <c r="P144" s="920"/>
      <c r="Q144" s="442"/>
      <c r="R144" s="442"/>
      <c r="S144" s="442"/>
      <c r="T144" s="442"/>
      <c r="U144" s="442"/>
      <c r="V144" s="837"/>
      <c r="W144" s="837"/>
      <c r="X144" s="837"/>
    </row>
    <row r="145" spans="1:24" ht="15.75" customHeight="1">
      <c r="A145" s="442"/>
      <c r="B145" s="442"/>
      <c r="C145" s="919"/>
      <c r="D145" s="919"/>
      <c r="E145" s="919"/>
      <c r="F145" s="919"/>
      <c r="G145" s="919"/>
      <c r="H145" s="919"/>
      <c r="I145" s="919"/>
      <c r="J145" s="919"/>
      <c r="K145" s="919"/>
      <c r="L145" s="919"/>
      <c r="M145" s="919"/>
      <c r="N145" s="919"/>
      <c r="O145" s="920"/>
      <c r="P145" s="920"/>
      <c r="Q145" s="442"/>
      <c r="R145" s="442"/>
      <c r="S145" s="442"/>
      <c r="T145" s="442"/>
      <c r="U145" s="442"/>
      <c r="V145" s="837"/>
      <c r="W145" s="837"/>
      <c r="X145" s="837"/>
    </row>
    <row r="146" spans="1:24" ht="15.75" customHeight="1">
      <c r="A146" s="442"/>
      <c r="B146" s="442"/>
      <c r="C146" s="919"/>
      <c r="D146" s="919"/>
      <c r="E146" s="919"/>
      <c r="F146" s="919"/>
      <c r="G146" s="919"/>
      <c r="H146" s="919"/>
      <c r="I146" s="919"/>
      <c r="J146" s="919"/>
      <c r="K146" s="919"/>
      <c r="L146" s="919"/>
      <c r="M146" s="919"/>
      <c r="N146" s="919"/>
      <c r="O146" s="920"/>
      <c r="P146" s="920"/>
      <c r="Q146" s="442"/>
      <c r="R146" s="442"/>
      <c r="S146" s="442"/>
      <c r="T146" s="442"/>
      <c r="U146" s="442"/>
      <c r="V146" s="837"/>
      <c r="W146" s="837"/>
      <c r="X146" s="837"/>
    </row>
    <row r="147" spans="1:24" ht="15.75" customHeight="1">
      <c r="A147" s="442"/>
      <c r="B147" s="442"/>
      <c r="C147" s="919"/>
      <c r="D147" s="919"/>
      <c r="E147" s="919"/>
      <c r="F147" s="919"/>
      <c r="G147" s="919"/>
      <c r="H147" s="919"/>
      <c r="I147" s="919"/>
      <c r="J147" s="919"/>
      <c r="K147" s="919"/>
      <c r="L147" s="919"/>
      <c r="M147" s="919"/>
      <c r="N147" s="919"/>
      <c r="O147" s="920"/>
      <c r="P147" s="920"/>
      <c r="Q147" s="442"/>
      <c r="R147" s="442"/>
      <c r="S147" s="442"/>
      <c r="T147" s="442"/>
      <c r="U147" s="442"/>
      <c r="V147" s="837"/>
      <c r="W147" s="837"/>
      <c r="X147" s="837"/>
    </row>
    <row r="148" spans="1:24" ht="15.75" customHeight="1">
      <c r="A148" s="442"/>
      <c r="B148" s="442"/>
      <c r="C148" s="919"/>
      <c r="D148" s="919"/>
      <c r="E148" s="919"/>
      <c r="F148" s="919"/>
      <c r="G148" s="919"/>
      <c r="H148" s="919"/>
      <c r="I148" s="919"/>
      <c r="J148" s="919"/>
      <c r="K148" s="919"/>
      <c r="L148" s="919"/>
      <c r="M148" s="919"/>
      <c r="N148" s="919"/>
      <c r="O148" s="920"/>
      <c r="P148" s="920"/>
      <c r="Q148" s="442"/>
      <c r="R148" s="442"/>
      <c r="S148" s="442"/>
      <c r="T148" s="442"/>
      <c r="U148" s="442"/>
      <c r="V148" s="837"/>
      <c r="W148" s="837"/>
      <c r="X148" s="837"/>
    </row>
    <row r="149" spans="1:24" ht="15.75" customHeight="1">
      <c r="A149" s="442"/>
      <c r="B149" s="442"/>
      <c r="C149" s="919"/>
      <c r="D149" s="919"/>
      <c r="E149" s="919"/>
      <c r="F149" s="919"/>
      <c r="G149" s="919"/>
      <c r="H149" s="919"/>
      <c r="I149" s="919"/>
      <c r="J149" s="919"/>
      <c r="K149" s="919"/>
      <c r="L149" s="919"/>
      <c r="M149" s="919"/>
      <c r="N149" s="919"/>
      <c r="O149" s="920"/>
      <c r="P149" s="920"/>
      <c r="Q149" s="442"/>
      <c r="R149" s="442"/>
      <c r="S149" s="442"/>
      <c r="T149" s="442"/>
      <c r="U149" s="442"/>
      <c r="V149" s="837"/>
      <c r="W149" s="837"/>
      <c r="X149" s="837"/>
    </row>
    <row r="150" spans="1:24" ht="15.75" customHeight="1">
      <c r="A150" s="442"/>
      <c r="B150" s="442"/>
      <c r="C150" s="919"/>
      <c r="D150" s="919"/>
      <c r="E150" s="919"/>
      <c r="F150" s="919"/>
      <c r="G150" s="919"/>
      <c r="H150" s="919"/>
      <c r="I150" s="919"/>
      <c r="J150" s="919"/>
      <c r="K150" s="919"/>
      <c r="L150" s="919"/>
      <c r="M150" s="919"/>
      <c r="N150" s="919"/>
      <c r="O150" s="920"/>
      <c r="P150" s="920"/>
      <c r="Q150" s="442"/>
      <c r="R150" s="442"/>
      <c r="S150" s="442"/>
      <c r="T150" s="442"/>
      <c r="U150" s="442"/>
      <c r="V150" s="837"/>
      <c r="W150" s="837"/>
      <c r="X150" s="837"/>
    </row>
    <row r="151" spans="1:24" ht="15.75" customHeight="1">
      <c r="A151" s="442"/>
      <c r="B151" s="442"/>
      <c r="C151" s="919"/>
      <c r="D151" s="919"/>
      <c r="E151" s="919"/>
      <c r="F151" s="919"/>
      <c r="G151" s="919"/>
      <c r="H151" s="919"/>
      <c r="I151" s="919"/>
      <c r="J151" s="919"/>
      <c r="K151" s="919"/>
      <c r="L151" s="919"/>
      <c r="M151" s="919"/>
      <c r="N151" s="919"/>
      <c r="O151" s="920"/>
      <c r="P151" s="920"/>
      <c r="Q151" s="442"/>
      <c r="R151" s="442"/>
      <c r="S151" s="442"/>
      <c r="T151" s="442"/>
      <c r="U151" s="442"/>
      <c r="V151" s="837"/>
      <c r="W151" s="837"/>
      <c r="X151" s="837"/>
    </row>
    <row r="152" spans="1:24" ht="15.75" customHeight="1">
      <c r="A152" s="442"/>
      <c r="B152" s="442"/>
      <c r="C152" s="919"/>
      <c r="D152" s="919"/>
      <c r="E152" s="919"/>
      <c r="F152" s="919"/>
      <c r="G152" s="919"/>
      <c r="H152" s="919"/>
      <c r="I152" s="919"/>
      <c r="J152" s="919"/>
      <c r="K152" s="919"/>
      <c r="L152" s="919"/>
      <c r="M152" s="919"/>
      <c r="N152" s="919"/>
      <c r="O152" s="920"/>
      <c r="P152" s="920"/>
      <c r="Q152" s="442"/>
      <c r="R152" s="442"/>
      <c r="S152" s="442"/>
      <c r="T152" s="442"/>
      <c r="U152" s="442"/>
      <c r="V152" s="837"/>
      <c r="W152" s="837"/>
      <c r="X152" s="837"/>
    </row>
    <row r="153" spans="1:24" ht="15.75" customHeight="1">
      <c r="A153" s="442"/>
      <c r="B153" s="442"/>
      <c r="C153" s="919"/>
      <c r="D153" s="919"/>
      <c r="E153" s="919"/>
      <c r="F153" s="919"/>
      <c r="G153" s="919"/>
      <c r="H153" s="919"/>
      <c r="I153" s="919"/>
      <c r="J153" s="919"/>
      <c r="K153" s="919"/>
      <c r="L153" s="919"/>
      <c r="M153" s="919"/>
      <c r="N153" s="919"/>
      <c r="O153" s="920"/>
      <c r="P153" s="920"/>
      <c r="Q153" s="442"/>
      <c r="R153" s="442"/>
      <c r="S153" s="442"/>
      <c r="T153" s="442"/>
      <c r="U153" s="442"/>
      <c r="V153" s="837"/>
      <c r="W153" s="837"/>
      <c r="X153" s="837"/>
    </row>
    <row r="154" spans="1:24" ht="15.75" customHeight="1">
      <c r="A154" s="442"/>
      <c r="B154" s="442"/>
      <c r="C154" s="919"/>
      <c r="D154" s="919"/>
      <c r="E154" s="919"/>
      <c r="F154" s="919"/>
      <c r="G154" s="919"/>
      <c r="H154" s="919"/>
      <c r="I154" s="919"/>
      <c r="J154" s="919"/>
      <c r="K154" s="919"/>
      <c r="L154" s="919"/>
      <c r="M154" s="919"/>
      <c r="N154" s="919"/>
      <c r="O154" s="920"/>
      <c r="P154" s="920"/>
      <c r="Q154" s="442"/>
      <c r="R154" s="442"/>
      <c r="S154" s="442"/>
      <c r="T154" s="442"/>
      <c r="U154" s="442"/>
      <c r="V154" s="837"/>
      <c r="W154" s="837"/>
      <c r="X154" s="837"/>
    </row>
    <row r="155" spans="1:24" ht="15.75" customHeight="1">
      <c r="A155" s="442"/>
      <c r="B155" s="442"/>
      <c r="C155" s="919"/>
      <c r="D155" s="919"/>
      <c r="E155" s="919"/>
      <c r="F155" s="919"/>
      <c r="G155" s="919"/>
      <c r="H155" s="919"/>
      <c r="I155" s="919"/>
      <c r="J155" s="919"/>
      <c r="K155" s="919"/>
      <c r="L155" s="919"/>
      <c r="M155" s="919"/>
      <c r="N155" s="919"/>
      <c r="O155" s="920"/>
      <c r="P155" s="920"/>
      <c r="Q155" s="442"/>
      <c r="R155" s="442"/>
      <c r="S155" s="442"/>
      <c r="T155" s="442"/>
      <c r="U155" s="442"/>
      <c r="V155" s="837"/>
      <c r="W155" s="837"/>
      <c r="X155" s="837"/>
    </row>
    <row r="156" spans="1:24" ht="15.75" customHeight="1">
      <c r="A156" s="442"/>
      <c r="B156" s="442"/>
      <c r="C156" s="919"/>
      <c r="D156" s="919"/>
      <c r="E156" s="919"/>
      <c r="F156" s="919"/>
      <c r="G156" s="919"/>
      <c r="H156" s="919"/>
      <c r="I156" s="919"/>
      <c r="J156" s="919"/>
      <c r="K156" s="919"/>
      <c r="L156" s="919"/>
      <c r="M156" s="919"/>
      <c r="N156" s="919"/>
      <c r="O156" s="920"/>
      <c r="P156" s="920"/>
      <c r="Q156" s="442"/>
      <c r="R156" s="442"/>
      <c r="S156" s="442"/>
      <c r="T156" s="442"/>
      <c r="U156" s="442"/>
      <c r="V156" s="837"/>
      <c r="W156" s="837"/>
      <c r="X156" s="837"/>
    </row>
    <row r="157" spans="1:24" ht="15.75" customHeight="1">
      <c r="A157" s="442"/>
      <c r="B157" s="442"/>
      <c r="C157" s="919"/>
      <c r="D157" s="919"/>
      <c r="E157" s="919"/>
      <c r="F157" s="919"/>
      <c r="G157" s="919"/>
      <c r="H157" s="919"/>
      <c r="I157" s="919"/>
      <c r="J157" s="919"/>
      <c r="K157" s="919"/>
      <c r="L157" s="919"/>
      <c r="M157" s="919"/>
      <c r="N157" s="919"/>
      <c r="O157" s="920"/>
      <c r="P157" s="920"/>
      <c r="Q157" s="442"/>
      <c r="R157" s="442"/>
      <c r="S157" s="442"/>
      <c r="T157" s="442"/>
      <c r="U157" s="442"/>
      <c r="V157" s="837"/>
      <c r="W157" s="837"/>
      <c r="X157" s="837"/>
    </row>
    <row r="158" spans="1:24" ht="15.75" customHeight="1">
      <c r="A158" s="442"/>
      <c r="B158" s="442"/>
      <c r="C158" s="919"/>
      <c r="D158" s="919"/>
      <c r="E158" s="919"/>
      <c r="F158" s="919"/>
      <c r="G158" s="919"/>
      <c r="H158" s="919"/>
      <c r="I158" s="919"/>
      <c r="J158" s="919"/>
      <c r="K158" s="919"/>
      <c r="L158" s="919"/>
      <c r="M158" s="919"/>
      <c r="N158" s="919"/>
      <c r="O158" s="920"/>
      <c r="P158" s="920"/>
      <c r="Q158" s="442"/>
      <c r="R158" s="442"/>
      <c r="S158" s="442"/>
      <c r="T158" s="442"/>
      <c r="U158" s="442"/>
      <c r="V158" s="837"/>
      <c r="W158" s="837"/>
      <c r="X158" s="837"/>
    </row>
    <row r="159" spans="1:24" ht="15.75" customHeight="1">
      <c r="A159" s="442"/>
      <c r="B159" s="442"/>
      <c r="C159" s="919"/>
      <c r="D159" s="919"/>
      <c r="E159" s="919"/>
      <c r="F159" s="919"/>
      <c r="G159" s="919"/>
      <c r="H159" s="919"/>
      <c r="I159" s="919"/>
      <c r="J159" s="919"/>
      <c r="K159" s="919"/>
      <c r="L159" s="919"/>
      <c r="M159" s="919"/>
      <c r="N159" s="919"/>
      <c r="O159" s="920"/>
      <c r="P159" s="920"/>
      <c r="Q159" s="442"/>
      <c r="R159" s="442"/>
      <c r="S159" s="442"/>
      <c r="T159" s="442"/>
      <c r="U159" s="442"/>
      <c r="V159" s="837"/>
      <c r="W159" s="837"/>
      <c r="X159" s="837"/>
    </row>
    <row r="160" spans="1:24" ht="15.75" customHeight="1">
      <c r="A160" s="442"/>
      <c r="B160" s="442"/>
      <c r="C160" s="919"/>
      <c r="D160" s="919"/>
      <c r="E160" s="919"/>
      <c r="F160" s="919"/>
      <c r="G160" s="919"/>
      <c r="H160" s="919"/>
      <c r="I160" s="919"/>
      <c r="J160" s="919"/>
      <c r="K160" s="919"/>
      <c r="L160" s="919"/>
      <c r="M160" s="919"/>
      <c r="N160" s="919"/>
      <c r="O160" s="920"/>
      <c r="P160" s="920"/>
      <c r="Q160" s="442"/>
      <c r="R160" s="442"/>
      <c r="S160" s="442"/>
      <c r="T160" s="442"/>
      <c r="U160" s="442"/>
      <c r="V160" s="837"/>
      <c r="W160" s="837"/>
      <c r="X160" s="837"/>
    </row>
    <row r="161" spans="1:24" ht="15.75" customHeight="1">
      <c r="A161" s="442"/>
      <c r="B161" s="442"/>
      <c r="C161" s="919"/>
      <c r="D161" s="919"/>
      <c r="E161" s="919"/>
      <c r="F161" s="919"/>
      <c r="G161" s="919"/>
      <c r="H161" s="919"/>
      <c r="I161" s="919"/>
      <c r="J161" s="919"/>
      <c r="K161" s="919"/>
      <c r="L161" s="919"/>
      <c r="M161" s="919"/>
      <c r="N161" s="919"/>
      <c r="O161" s="920"/>
      <c r="P161" s="920"/>
      <c r="Q161" s="442"/>
      <c r="R161" s="442"/>
      <c r="S161" s="442"/>
      <c r="T161" s="442"/>
      <c r="U161" s="442"/>
      <c r="V161" s="837"/>
      <c r="W161" s="837"/>
      <c r="X161" s="837"/>
    </row>
    <row r="162" spans="1:24" ht="15.75" customHeight="1">
      <c r="A162" s="442"/>
      <c r="B162" s="442"/>
      <c r="C162" s="919"/>
      <c r="D162" s="919"/>
      <c r="E162" s="919"/>
      <c r="F162" s="919"/>
      <c r="G162" s="919"/>
      <c r="H162" s="919"/>
      <c r="I162" s="919"/>
      <c r="J162" s="919"/>
      <c r="K162" s="919"/>
      <c r="L162" s="919"/>
      <c r="M162" s="919"/>
      <c r="N162" s="919"/>
      <c r="O162" s="920"/>
      <c r="P162" s="920"/>
      <c r="Q162" s="442"/>
      <c r="R162" s="442"/>
      <c r="S162" s="442"/>
      <c r="T162" s="442"/>
      <c r="U162" s="442"/>
      <c r="V162" s="837"/>
      <c r="W162" s="837"/>
      <c r="X162" s="837"/>
    </row>
    <row r="163" spans="1:24" ht="15.75" customHeight="1">
      <c r="A163" s="442"/>
      <c r="B163" s="442"/>
      <c r="C163" s="919"/>
      <c r="D163" s="919"/>
      <c r="E163" s="919"/>
      <c r="F163" s="919"/>
      <c r="G163" s="919"/>
      <c r="H163" s="919"/>
      <c r="I163" s="919"/>
      <c r="J163" s="919"/>
      <c r="K163" s="919"/>
      <c r="L163" s="919"/>
      <c r="M163" s="919"/>
      <c r="N163" s="919"/>
      <c r="O163" s="920"/>
      <c r="P163" s="920"/>
      <c r="Q163" s="442"/>
      <c r="R163" s="442"/>
      <c r="S163" s="442"/>
      <c r="T163" s="442"/>
      <c r="U163" s="442"/>
      <c r="V163" s="837"/>
      <c r="W163" s="837"/>
      <c r="X163" s="837"/>
    </row>
    <row r="164" spans="1:24" ht="15.75" customHeight="1">
      <c r="A164" s="442"/>
      <c r="B164" s="442"/>
      <c r="C164" s="919"/>
      <c r="D164" s="919"/>
      <c r="E164" s="919"/>
      <c r="F164" s="919"/>
      <c r="G164" s="919"/>
      <c r="H164" s="919"/>
      <c r="I164" s="919"/>
      <c r="J164" s="919"/>
      <c r="K164" s="919"/>
      <c r="L164" s="919"/>
      <c r="M164" s="919"/>
      <c r="N164" s="919"/>
      <c r="O164" s="920"/>
      <c r="P164" s="920"/>
      <c r="Q164" s="442"/>
      <c r="R164" s="442"/>
      <c r="S164" s="442"/>
      <c r="T164" s="442"/>
      <c r="U164" s="442"/>
      <c r="V164" s="837"/>
      <c r="W164" s="837"/>
      <c r="X164" s="837"/>
    </row>
    <row r="165" spans="1:24" ht="15.75" customHeight="1">
      <c r="A165" s="442"/>
      <c r="B165" s="442"/>
      <c r="C165" s="919"/>
      <c r="D165" s="919"/>
      <c r="E165" s="919"/>
      <c r="F165" s="919"/>
      <c r="G165" s="919"/>
      <c r="H165" s="919"/>
      <c r="I165" s="919"/>
      <c r="J165" s="919"/>
      <c r="K165" s="919"/>
      <c r="L165" s="919"/>
      <c r="M165" s="919"/>
      <c r="N165" s="919"/>
      <c r="O165" s="920"/>
      <c r="P165" s="920"/>
      <c r="Q165" s="442"/>
      <c r="R165" s="442"/>
      <c r="S165" s="442"/>
      <c r="T165" s="442"/>
      <c r="U165" s="442"/>
      <c r="V165" s="837"/>
      <c r="W165" s="837"/>
      <c r="X165" s="837"/>
    </row>
    <row r="166" spans="1:24" ht="15.75" customHeight="1">
      <c r="A166" s="442"/>
      <c r="B166" s="442"/>
      <c r="C166" s="919"/>
      <c r="D166" s="919"/>
      <c r="E166" s="919"/>
      <c r="F166" s="919"/>
      <c r="G166" s="919"/>
      <c r="H166" s="919"/>
      <c r="I166" s="919"/>
      <c r="J166" s="919"/>
      <c r="K166" s="919"/>
      <c r="L166" s="919"/>
      <c r="M166" s="919"/>
      <c r="N166" s="919"/>
      <c r="O166" s="920"/>
      <c r="P166" s="920"/>
      <c r="Q166" s="442"/>
      <c r="R166" s="442"/>
      <c r="S166" s="442"/>
      <c r="T166" s="442"/>
      <c r="U166" s="442"/>
      <c r="V166" s="837"/>
      <c r="W166" s="837"/>
      <c r="X166" s="837"/>
    </row>
    <row r="167" spans="1:24" ht="15.75" customHeight="1">
      <c r="A167" s="442"/>
      <c r="B167" s="442"/>
      <c r="C167" s="919"/>
      <c r="D167" s="919"/>
      <c r="E167" s="919"/>
      <c r="F167" s="919"/>
      <c r="G167" s="919"/>
      <c r="H167" s="919"/>
      <c r="I167" s="919"/>
      <c r="J167" s="919"/>
      <c r="K167" s="919"/>
      <c r="L167" s="919"/>
      <c r="M167" s="919"/>
      <c r="N167" s="919"/>
      <c r="O167" s="920"/>
      <c r="P167" s="920"/>
      <c r="Q167" s="442"/>
      <c r="R167" s="442"/>
      <c r="S167" s="442"/>
      <c r="T167" s="442"/>
      <c r="U167" s="442"/>
      <c r="V167" s="837"/>
      <c r="W167" s="837"/>
      <c r="X167" s="837"/>
    </row>
    <row r="168" spans="1:24" ht="15.75" customHeight="1">
      <c r="A168" s="442"/>
      <c r="B168" s="442"/>
      <c r="C168" s="919"/>
      <c r="D168" s="919"/>
      <c r="E168" s="919"/>
      <c r="F168" s="919"/>
      <c r="G168" s="919"/>
      <c r="H168" s="919"/>
      <c r="I168" s="919"/>
      <c r="J168" s="919"/>
      <c r="K168" s="919"/>
      <c r="L168" s="919"/>
      <c r="M168" s="919"/>
      <c r="N168" s="919"/>
      <c r="O168" s="920"/>
      <c r="P168" s="920"/>
      <c r="Q168" s="442"/>
      <c r="R168" s="442"/>
      <c r="S168" s="442"/>
      <c r="T168" s="442"/>
      <c r="U168" s="442"/>
      <c r="V168" s="837"/>
      <c r="W168" s="837"/>
      <c r="X168" s="837"/>
    </row>
    <row r="169" spans="1:24" ht="15.75" customHeight="1">
      <c r="A169" s="442"/>
      <c r="B169" s="442"/>
      <c r="C169" s="919"/>
      <c r="D169" s="919"/>
      <c r="E169" s="919"/>
      <c r="F169" s="919"/>
      <c r="G169" s="919"/>
      <c r="H169" s="919"/>
      <c r="I169" s="919"/>
      <c r="J169" s="919"/>
      <c r="K169" s="919"/>
      <c r="L169" s="919"/>
      <c r="M169" s="919"/>
      <c r="N169" s="919"/>
      <c r="O169" s="920"/>
      <c r="P169" s="920"/>
      <c r="Q169" s="442"/>
      <c r="R169" s="442"/>
      <c r="S169" s="442"/>
      <c r="T169" s="442"/>
      <c r="U169" s="442"/>
      <c r="V169" s="837"/>
      <c r="W169" s="837"/>
      <c r="X169" s="837"/>
    </row>
    <row r="170" spans="1:24" ht="15.75" customHeight="1">
      <c r="A170" s="442"/>
      <c r="B170" s="442"/>
      <c r="C170" s="919"/>
      <c r="D170" s="919"/>
      <c r="E170" s="919"/>
      <c r="F170" s="919"/>
      <c r="G170" s="919"/>
      <c r="H170" s="919"/>
      <c r="I170" s="919"/>
      <c r="J170" s="919"/>
      <c r="K170" s="919"/>
      <c r="L170" s="919"/>
      <c r="M170" s="919"/>
      <c r="N170" s="919"/>
      <c r="O170" s="920"/>
      <c r="P170" s="920"/>
      <c r="Q170" s="442"/>
      <c r="R170" s="442"/>
      <c r="S170" s="442"/>
      <c r="T170" s="442"/>
      <c r="U170" s="442"/>
      <c r="V170" s="837"/>
      <c r="W170" s="837"/>
      <c r="X170" s="837"/>
    </row>
    <row r="171" spans="1:24" ht="15.75" customHeight="1">
      <c r="A171" s="442"/>
      <c r="B171" s="442"/>
      <c r="C171" s="919"/>
      <c r="D171" s="919"/>
      <c r="E171" s="919"/>
      <c r="F171" s="919"/>
      <c r="G171" s="919"/>
      <c r="H171" s="919"/>
      <c r="I171" s="919"/>
      <c r="J171" s="919"/>
      <c r="K171" s="919"/>
      <c r="L171" s="919"/>
      <c r="M171" s="919"/>
      <c r="N171" s="919"/>
      <c r="O171" s="920"/>
      <c r="P171" s="920"/>
      <c r="Q171" s="442"/>
      <c r="R171" s="442"/>
      <c r="S171" s="442"/>
      <c r="T171" s="442"/>
      <c r="U171" s="442"/>
      <c r="V171" s="837"/>
      <c r="W171" s="837"/>
      <c r="X171" s="837"/>
    </row>
    <row r="172" spans="1:24" ht="15.75" customHeight="1">
      <c r="A172" s="442"/>
      <c r="B172" s="442"/>
      <c r="C172" s="919"/>
      <c r="D172" s="919"/>
      <c r="E172" s="919"/>
      <c r="F172" s="919"/>
      <c r="G172" s="919"/>
      <c r="H172" s="919"/>
      <c r="I172" s="919"/>
      <c r="J172" s="919"/>
      <c r="K172" s="919"/>
      <c r="L172" s="919"/>
      <c r="M172" s="919"/>
      <c r="N172" s="919"/>
      <c r="O172" s="920"/>
      <c r="P172" s="920"/>
      <c r="Q172" s="442"/>
      <c r="R172" s="442"/>
      <c r="S172" s="442"/>
      <c r="T172" s="442"/>
      <c r="U172" s="442"/>
      <c r="V172" s="837"/>
      <c r="W172" s="837"/>
      <c r="X172" s="837"/>
    </row>
    <row r="173" spans="1:24" ht="15.75" customHeight="1">
      <c r="A173" s="442"/>
      <c r="B173" s="442"/>
      <c r="C173" s="919"/>
      <c r="D173" s="919"/>
      <c r="E173" s="919"/>
      <c r="F173" s="919"/>
      <c r="G173" s="919"/>
      <c r="H173" s="919"/>
      <c r="I173" s="919"/>
      <c r="J173" s="919"/>
      <c r="K173" s="919"/>
      <c r="L173" s="919"/>
      <c r="M173" s="919"/>
      <c r="N173" s="919"/>
      <c r="O173" s="920"/>
      <c r="P173" s="920"/>
      <c r="Q173" s="442"/>
      <c r="R173" s="442"/>
      <c r="S173" s="442"/>
      <c r="T173" s="442"/>
      <c r="U173" s="442"/>
      <c r="V173" s="837"/>
      <c r="W173" s="837"/>
      <c r="X173" s="837"/>
    </row>
    <row r="174" spans="1:24" ht="15.75" customHeight="1">
      <c r="A174" s="442"/>
      <c r="B174" s="442"/>
      <c r="C174" s="919"/>
      <c r="D174" s="919"/>
      <c r="E174" s="919"/>
      <c r="F174" s="919"/>
      <c r="G174" s="919"/>
      <c r="H174" s="919"/>
      <c r="I174" s="919"/>
      <c r="J174" s="919"/>
      <c r="K174" s="919"/>
      <c r="L174" s="919"/>
      <c r="M174" s="919"/>
      <c r="N174" s="919"/>
      <c r="O174" s="920"/>
      <c r="P174" s="920"/>
      <c r="Q174" s="442"/>
      <c r="R174" s="442"/>
      <c r="S174" s="442"/>
      <c r="T174" s="442"/>
      <c r="U174" s="442"/>
      <c r="V174" s="837"/>
      <c r="W174" s="837"/>
      <c r="X174" s="837"/>
    </row>
    <row r="175" spans="1:24" ht="15.75" customHeight="1">
      <c r="A175" s="442"/>
      <c r="B175" s="442"/>
      <c r="C175" s="919"/>
      <c r="D175" s="919"/>
      <c r="E175" s="919"/>
      <c r="F175" s="919"/>
      <c r="G175" s="919"/>
      <c r="H175" s="919"/>
      <c r="I175" s="919"/>
      <c r="J175" s="919"/>
      <c r="K175" s="919"/>
      <c r="L175" s="919"/>
      <c r="M175" s="919"/>
      <c r="N175" s="919"/>
      <c r="O175" s="920"/>
      <c r="P175" s="920"/>
      <c r="Q175" s="442"/>
      <c r="R175" s="442"/>
      <c r="S175" s="442"/>
      <c r="T175" s="442"/>
      <c r="U175" s="442"/>
      <c r="V175" s="837"/>
      <c r="W175" s="837"/>
      <c r="X175" s="837"/>
    </row>
    <row r="176" spans="1:24" ht="15.75" customHeight="1">
      <c r="A176" s="442"/>
      <c r="B176" s="442"/>
      <c r="C176" s="919"/>
      <c r="D176" s="919"/>
      <c r="E176" s="919"/>
      <c r="F176" s="919"/>
      <c r="G176" s="919"/>
      <c r="H176" s="919"/>
      <c r="I176" s="919"/>
      <c r="J176" s="919"/>
      <c r="K176" s="919"/>
      <c r="L176" s="919"/>
      <c r="M176" s="919"/>
      <c r="N176" s="919"/>
      <c r="O176" s="920"/>
      <c r="P176" s="920"/>
      <c r="Q176" s="442"/>
      <c r="R176" s="442"/>
      <c r="S176" s="442"/>
      <c r="T176" s="442"/>
      <c r="U176" s="442"/>
      <c r="V176" s="837"/>
      <c r="W176" s="837"/>
      <c r="X176" s="837"/>
    </row>
    <row r="177" spans="1:24" ht="15.75" customHeight="1">
      <c r="A177" s="442"/>
      <c r="B177" s="442"/>
      <c r="C177" s="919"/>
      <c r="D177" s="919"/>
      <c r="E177" s="919"/>
      <c r="F177" s="919"/>
      <c r="G177" s="919"/>
      <c r="H177" s="919"/>
      <c r="I177" s="919"/>
      <c r="J177" s="919"/>
      <c r="K177" s="919"/>
      <c r="L177" s="919"/>
      <c r="M177" s="919"/>
      <c r="N177" s="919"/>
      <c r="O177" s="920"/>
      <c r="P177" s="920"/>
      <c r="Q177" s="442"/>
      <c r="R177" s="442"/>
      <c r="S177" s="442"/>
      <c r="T177" s="442"/>
      <c r="U177" s="442"/>
      <c r="V177" s="837"/>
      <c r="W177" s="837"/>
      <c r="X177" s="837"/>
    </row>
    <row r="178" spans="1:24" ht="15.75" customHeight="1">
      <c r="A178" s="442"/>
      <c r="B178" s="442"/>
      <c r="C178" s="919"/>
      <c r="D178" s="919"/>
      <c r="E178" s="919"/>
      <c r="F178" s="919"/>
      <c r="G178" s="919"/>
      <c r="H178" s="919"/>
      <c r="I178" s="919"/>
      <c r="J178" s="919"/>
      <c r="K178" s="919"/>
      <c r="L178" s="919"/>
      <c r="M178" s="919"/>
      <c r="N178" s="919"/>
      <c r="O178" s="920"/>
      <c r="P178" s="920"/>
      <c r="Q178" s="442"/>
      <c r="R178" s="442"/>
      <c r="S178" s="442"/>
      <c r="T178" s="442"/>
      <c r="U178" s="442"/>
      <c r="V178" s="837"/>
      <c r="W178" s="837"/>
      <c r="X178" s="837"/>
    </row>
    <row r="179" spans="1:24" ht="15.75" customHeight="1">
      <c r="A179" s="442"/>
      <c r="B179" s="442"/>
      <c r="C179" s="919"/>
      <c r="D179" s="919"/>
      <c r="E179" s="919"/>
      <c r="F179" s="919"/>
      <c r="G179" s="919"/>
      <c r="H179" s="919"/>
      <c r="I179" s="919"/>
      <c r="J179" s="919"/>
      <c r="K179" s="919"/>
      <c r="L179" s="919"/>
      <c r="M179" s="919"/>
      <c r="N179" s="919"/>
      <c r="O179" s="920"/>
      <c r="P179" s="920"/>
      <c r="Q179" s="442"/>
      <c r="R179" s="442"/>
      <c r="S179" s="442"/>
      <c r="T179" s="442"/>
      <c r="U179" s="442"/>
      <c r="V179" s="837"/>
      <c r="W179" s="837"/>
      <c r="X179" s="837"/>
    </row>
    <row r="180" spans="1:24" ht="15.75" customHeight="1">
      <c r="A180" s="442"/>
      <c r="B180" s="442"/>
      <c r="C180" s="919"/>
      <c r="D180" s="919"/>
      <c r="E180" s="919"/>
      <c r="F180" s="919"/>
      <c r="G180" s="919"/>
      <c r="H180" s="919"/>
      <c r="I180" s="919"/>
      <c r="J180" s="919"/>
      <c r="K180" s="919"/>
      <c r="L180" s="919"/>
      <c r="M180" s="919"/>
      <c r="N180" s="919"/>
      <c r="O180" s="442"/>
      <c r="P180" s="442"/>
      <c r="Q180" s="442"/>
      <c r="R180" s="442"/>
      <c r="S180" s="442"/>
      <c r="T180" s="442"/>
      <c r="U180" s="442"/>
      <c r="V180" s="837"/>
      <c r="W180" s="837"/>
      <c r="X180" s="837"/>
    </row>
    <row r="181" spans="1:24" ht="15.75" customHeight="1">
      <c r="A181" s="442"/>
      <c r="B181" s="442"/>
      <c r="C181" s="919"/>
      <c r="D181" s="919"/>
      <c r="E181" s="919"/>
      <c r="F181" s="919"/>
      <c r="G181" s="919"/>
      <c r="H181" s="919"/>
      <c r="I181" s="919"/>
      <c r="J181" s="919"/>
      <c r="K181" s="919"/>
      <c r="L181" s="919"/>
      <c r="M181" s="919"/>
      <c r="N181" s="919"/>
      <c r="O181" s="442"/>
      <c r="P181" s="442"/>
      <c r="Q181" s="442"/>
      <c r="R181" s="442"/>
      <c r="S181" s="442"/>
      <c r="T181" s="442"/>
      <c r="U181" s="442"/>
      <c r="V181" s="837"/>
      <c r="W181" s="837"/>
      <c r="X181" s="837"/>
    </row>
    <row r="182" spans="1:24" ht="15.75" customHeight="1">
      <c r="A182" s="442"/>
      <c r="B182" s="442"/>
      <c r="C182" s="919"/>
      <c r="D182" s="919"/>
      <c r="E182" s="919"/>
      <c r="F182" s="919"/>
      <c r="G182" s="919"/>
      <c r="H182" s="919"/>
      <c r="I182" s="919"/>
      <c r="J182" s="919"/>
      <c r="K182" s="919"/>
      <c r="L182" s="919"/>
      <c r="M182" s="919"/>
      <c r="N182" s="919"/>
      <c r="O182" s="442"/>
      <c r="P182" s="442"/>
      <c r="Q182" s="442"/>
      <c r="R182" s="442"/>
      <c r="S182" s="442"/>
      <c r="T182" s="442"/>
      <c r="U182" s="442"/>
      <c r="V182" s="837"/>
      <c r="W182" s="837"/>
      <c r="X182" s="837"/>
    </row>
    <row r="183" spans="1:24" ht="15.75" customHeight="1">
      <c r="A183" s="442"/>
      <c r="B183" s="442"/>
      <c r="C183" s="919"/>
      <c r="D183" s="919"/>
      <c r="E183" s="919"/>
      <c r="F183" s="919"/>
      <c r="G183" s="919"/>
      <c r="H183" s="919"/>
      <c r="I183" s="919"/>
      <c r="J183" s="919"/>
      <c r="K183" s="919"/>
      <c r="L183" s="919"/>
      <c r="M183" s="919"/>
      <c r="N183" s="919"/>
      <c r="O183" s="442"/>
      <c r="P183" s="442"/>
      <c r="Q183" s="442"/>
      <c r="R183" s="442"/>
      <c r="S183" s="442"/>
      <c r="T183" s="442"/>
      <c r="U183" s="442"/>
      <c r="V183" s="837"/>
      <c r="W183" s="837"/>
      <c r="X183" s="837"/>
    </row>
    <row r="184" spans="1:24" ht="15.75" customHeight="1">
      <c r="A184" s="442"/>
      <c r="B184" s="442"/>
      <c r="C184" s="919"/>
      <c r="D184" s="919"/>
      <c r="E184" s="919"/>
      <c r="F184" s="919"/>
      <c r="G184" s="919"/>
      <c r="H184" s="919"/>
      <c r="I184" s="919"/>
      <c r="J184" s="919"/>
      <c r="K184" s="919"/>
      <c r="L184" s="919"/>
      <c r="M184" s="919"/>
      <c r="N184" s="919"/>
      <c r="O184" s="442"/>
      <c r="P184" s="442"/>
      <c r="Q184" s="442"/>
      <c r="R184" s="442"/>
      <c r="S184" s="442"/>
      <c r="T184" s="442"/>
      <c r="U184" s="442"/>
      <c r="V184" s="837"/>
      <c r="W184" s="837"/>
      <c r="X184" s="837"/>
    </row>
    <row r="185" spans="1:24" ht="15.75" customHeight="1">
      <c r="A185" s="442"/>
      <c r="B185" s="442"/>
      <c r="C185" s="919"/>
      <c r="D185" s="919"/>
      <c r="E185" s="919"/>
      <c r="F185" s="919"/>
      <c r="G185" s="919"/>
      <c r="H185" s="919"/>
      <c r="I185" s="919"/>
      <c r="J185" s="919"/>
      <c r="K185" s="919"/>
      <c r="L185" s="919"/>
      <c r="M185" s="919"/>
      <c r="N185" s="919"/>
      <c r="O185" s="442"/>
      <c r="P185" s="442"/>
      <c r="Q185" s="442"/>
      <c r="R185" s="442"/>
      <c r="S185" s="442"/>
      <c r="T185" s="442"/>
      <c r="U185" s="442"/>
      <c r="V185" s="837"/>
      <c r="W185" s="837"/>
      <c r="X185" s="837"/>
    </row>
    <row r="186" spans="1:24" ht="15.75" customHeight="1">
      <c r="A186" s="442"/>
      <c r="B186" s="442"/>
      <c r="C186" s="919"/>
      <c r="D186" s="919"/>
      <c r="E186" s="919"/>
      <c r="F186" s="919"/>
      <c r="G186" s="919"/>
      <c r="H186" s="919"/>
      <c r="I186" s="919"/>
      <c r="J186" s="919"/>
      <c r="K186" s="919"/>
      <c r="L186" s="919"/>
      <c r="M186" s="919"/>
      <c r="N186" s="919"/>
      <c r="O186" s="442"/>
      <c r="P186" s="442"/>
      <c r="Q186" s="442"/>
      <c r="R186" s="442"/>
      <c r="S186" s="442"/>
      <c r="T186" s="442"/>
      <c r="U186" s="442"/>
      <c r="V186" s="837"/>
      <c r="W186" s="837"/>
      <c r="X186" s="837"/>
    </row>
    <row r="187" spans="1:24" ht="15.75" customHeight="1">
      <c r="A187" s="442"/>
      <c r="B187" s="442"/>
      <c r="C187" s="919"/>
      <c r="D187" s="919"/>
      <c r="E187" s="919"/>
      <c r="F187" s="919"/>
      <c r="G187" s="919"/>
      <c r="H187" s="919"/>
      <c r="I187" s="919"/>
      <c r="J187" s="919"/>
      <c r="K187" s="919"/>
      <c r="L187" s="919"/>
      <c r="M187" s="919"/>
      <c r="N187" s="919"/>
      <c r="O187" s="442"/>
      <c r="P187" s="442"/>
      <c r="Q187" s="442"/>
      <c r="R187" s="442"/>
      <c r="S187" s="442"/>
      <c r="T187" s="442"/>
      <c r="U187" s="442"/>
      <c r="V187" s="837"/>
      <c r="W187" s="837"/>
      <c r="X187" s="837"/>
    </row>
    <row r="188" spans="1:24" ht="15.75" customHeight="1">
      <c r="A188" s="442"/>
      <c r="B188" s="442"/>
      <c r="C188" s="919"/>
      <c r="D188" s="919"/>
      <c r="E188" s="919"/>
      <c r="F188" s="919"/>
      <c r="G188" s="919"/>
      <c r="H188" s="919"/>
      <c r="I188" s="919"/>
      <c r="J188" s="919"/>
      <c r="K188" s="919"/>
      <c r="L188" s="919"/>
      <c r="M188" s="919"/>
      <c r="N188" s="919"/>
      <c r="O188" s="442"/>
      <c r="P188" s="442"/>
      <c r="Q188" s="442"/>
      <c r="R188" s="442"/>
      <c r="S188" s="442"/>
      <c r="T188" s="442"/>
      <c r="U188" s="442"/>
      <c r="V188" s="837"/>
      <c r="W188" s="837"/>
      <c r="X188" s="837"/>
    </row>
    <row r="189" spans="1:24" ht="15.75" customHeight="1">
      <c r="A189" s="442"/>
      <c r="B189" s="442"/>
      <c r="C189" s="919"/>
      <c r="D189" s="919"/>
      <c r="E189" s="919"/>
      <c r="F189" s="919"/>
      <c r="G189" s="919"/>
      <c r="H189" s="919"/>
      <c r="I189" s="919"/>
      <c r="J189" s="919"/>
      <c r="K189" s="919"/>
      <c r="L189" s="919"/>
      <c r="M189" s="919"/>
      <c r="N189" s="919"/>
      <c r="O189" s="442"/>
      <c r="P189" s="442"/>
      <c r="Q189" s="442"/>
      <c r="R189" s="442"/>
      <c r="S189" s="442"/>
      <c r="T189" s="442"/>
      <c r="U189" s="442"/>
      <c r="V189" s="837"/>
      <c r="W189" s="837"/>
      <c r="X189" s="837"/>
    </row>
    <row r="190" spans="1:24" ht="15.75" customHeight="1">
      <c r="A190" s="442"/>
      <c r="B190" s="442"/>
      <c r="C190" s="919"/>
      <c r="D190" s="919"/>
      <c r="E190" s="919"/>
      <c r="F190" s="919"/>
      <c r="G190" s="919"/>
      <c r="H190" s="919"/>
      <c r="I190" s="919"/>
      <c r="J190" s="919"/>
      <c r="K190" s="919"/>
      <c r="L190" s="919"/>
      <c r="M190" s="919"/>
      <c r="N190" s="919"/>
      <c r="O190" s="442"/>
      <c r="P190" s="442"/>
      <c r="Q190" s="442"/>
      <c r="R190" s="442"/>
      <c r="S190" s="442"/>
      <c r="T190" s="442"/>
      <c r="U190" s="442"/>
      <c r="V190" s="837"/>
      <c r="W190" s="837"/>
      <c r="X190" s="837"/>
    </row>
    <row r="191" spans="1:24" ht="15.75" customHeight="1">
      <c r="A191" s="442"/>
      <c r="B191" s="442"/>
      <c r="C191" s="919"/>
      <c r="D191" s="919"/>
      <c r="E191" s="919"/>
      <c r="F191" s="919"/>
      <c r="G191" s="919"/>
      <c r="H191" s="919"/>
      <c r="I191" s="919"/>
      <c r="J191" s="919"/>
      <c r="K191" s="919"/>
      <c r="L191" s="919"/>
      <c r="M191" s="919"/>
      <c r="N191" s="919"/>
      <c r="O191" s="442"/>
      <c r="P191" s="442"/>
      <c r="Q191" s="442"/>
      <c r="R191" s="442"/>
      <c r="S191" s="442"/>
      <c r="T191" s="442"/>
      <c r="U191" s="442"/>
      <c r="V191" s="837"/>
      <c r="W191" s="837"/>
      <c r="X191" s="837"/>
    </row>
    <row r="192" spans="1:24" ht="15.75" customHeight="1">
      <c r="A192" s="442"/>
      <c r="B192" s="442"/>
      <c r="C192" s="919"/>
      <c r="D192" s="919"/>
      <c r="E192" s="919"/>
      <c r="F192" s="919"/>
      <c r="G192" s="919"/>
      <c r="H192" s="919"/>
      <c r="I192" s="919"/>
      <c r="J192" s="919"/>
      <c r="K192" s="919"/>
      <c r="L192" s="919"/>
      <c r="M192" s="919"/>
      <c r="N192" s="919"/>
      <c r="O192" s="442"/>
      <c r="P192" s="442"/>
      <c r="Q192" s="442"/>
      <c r="R192" s="442"/>
      <c r="S192" s="442"/>
      <c r="T192" s="442"/>
      <c r="U192" s="442"/>
      <c r="V192" s="837"/>
      <c r="W192" s="837"/>
      <c r="X192" s="837"/>
    </row>
    <row r="193" spans="1:24" ht="15.75" customHeight="1">
      <c r="A193" s="442"/>
      <c r="B193" s="442"/>
      <c r="C193" s="919"/>
      <c r="D193" s="919"/>
      <c r="E193" s="919"/>
      <c r="F193" s="919"/>
      <c r="G193" s="919"/>
      <c r="H193" s="919"/>
      <c r="I193" s="919"/>
      <c r="J193" s="919"/>
      <c r="K193" s="919"/>
      <c r="L193" s="919"/>
      <c r="M193" s="919"/>
      <c r="N193" s="919"/>
      <c r="O193" s="442"/>
      <c r="P193" s="442"/>
      <c r="Q193" s="442"/>
      <c r="R193" s="442"/>
      <c r="S193" s="442"/>
      <c r="T193" s="442"/>
      <c r="U193" s="442"/>
      <c r="V193" s="837"/>
      <c r="W193" s="837"/>
      <c r="X193" s="837"/>
    </row>
    <row r="194" spans="1:24" ht="15.75" customHeight="1">
      <c r="A194" s="442"/>
      <c r="B194" s="442"/>
      <c r="C194" s="919"/>
      <c r="D194" s="919"/>
      <c r="E194" s="919"/>
      <c r="F194" s="919"/>
      <c r="G194" s="919"/>
      <c r="H194" s="919"/>
      <c r="I194" s="919"/>
      <c r="J194" s="919"/>
      <c r="K194" s="919"/>
      <c r="L194" s="919"/>
      <c r="M194" s="919"/>
      <c r="N194" s="919"/>
      <c r="O194" s="442"/>
      <c r="P194" s="442"/>
      <c r="Q194" s="442"/>
      <c r="R194" s="442"/>
      <c r="S194" s="442"/>
      <c r="T194" s="442"/>
      <c r="U194" s="442"/>
      <c r="V194" s="837"/>
      <c r="W194" s="837"/>
      <c r="X194" s="837"/>
    </row>
    <row r="195" spans="1:24" ht="15.75" customHeight="1">
      <c r="A195" s="442"/>
      <c r="B195" s="442"/>
      <c r="C195" s="919"/>
      <c r="D195" s="919"/>
      <c r="E195" s="919"/>
      <c r="F195" s="919"/>
      <c r="G195" s="919"/>
      <c r="H195" s="919"/>
      <c r="I195" s="919"/>
      <c r="J195" s="919"/>
      <c r="K195" s="919"/>
      <c r="L195" s="919"/>
      <c r="M195" s="919"/>
      <c r="N195" s="919"/>
      <c r="O195" s="442"/>
      <c r="P195" s="442"/>
      <c r="Q195" s="442"/>
      <c r="R195" s="442"/>
      <c r="S195" s="442"/>
      <c r="T195" s="442"/>
      <c r="U195" s="442"/>
      <c r="V195" s="837"/>
      <c r="W195" s="837"/>
      <c r="X195" s="837"/>
    </row>
    <row r="196" spans="1:24" ht="15.75" customHeight="1">
      <c r="A196" s="442"/>
      <c r="B196" s="442"/>
      <c r="C196" s="919"/>
      <c r="D196" s="919"/>
      <c r="E196" s="919"/>
      <c r="F196" s="919"/>
      <c r="G196" s="919"/>
      <c r="H196" s="919"/>
      <c r="I196" s="919"/>
      <c r="J196" s="919"/>
      <c r="K196" s="919"/>
      <c r="L196" s="919"/>
      <c r="M196" s="919"/>
      <c r="N196" s="919"/>
      <c r="O196" s="442"/>
      <c r="P196" s="442"/>
      <c r="Q196" s="442"/>
      <c r="R196" s="442"/>
      <c r="S196" s="442"/>
      <c r="T196" s="442"/>
      <c r="U196" s="442"/>
      <c r="V196" s="837"/>
      <c r="W196" s="837"/>
      <c r="X196" s="837"/>
    </row>
    <row r="197" spans="1:24" ht="15.75" customHeight="1">
      <c r="A197" s="442"/>
      <c r="B197" s="442"/>
      <c r="C197" s="919"/>
      <c r="D197" s="919"/>
      <c r="E197" s="919"/>
      <c r="F197" s="919"/>
      <c r="G197" s="919"/>
      <c r="H197" s="919"/>
      <c r="I197" s="919"/>
      <c r="J197" s="919"/>
      <c r="K197" s="919"/>
      <c r="L197" s="919"/>
      <c r="M197" s="919"/>
      <c r="N197" s="919"/>
      <c r="O197" s="442"/>
      <c r="P197" s="442"/>
      <c r="Q197" s="442"/>
      <c r="R197" s="442"/>
      <c r="S197" s="442"/>
      <c r="T197" s="442"/>
      <c r="U197" s="442"/>
      <c r="V197" s="837"/>
      <c r="W197" s="837"/>
      <c r="X197" s="837"/>
    </row>
    <row r="198" spans="1:24" ht="15.75" customHeight="1">
      <c r="A198" s="442"/>
      <c r="B198" s="442"/>
      <c r="C198" s="919"/>
      <c r="D198" s="919"/>
      <c r="E198" s="919"/>
      <c r="F198" s="919"/>
      <c r="G198" s="919"/>
      <c r="H198" s="919"/>
      <c r="I198" s="919"/>
      <c r="J198" s="919"/>
      <c r="K198" s="919"/>
      <c r="L198" s="919"/>
      <c r="M198" s="919"/>
      <c r="N198" s="919"/>
      <c r="O198" s="442"/>
      <c r="P198" s="442"/>
      <c r="Q198" s="442"/>
      <c r="R198" s="442"/>
      <c r="S198" s="442"/>
      <c r="T198" s="442"/>
      <c r="U198" s="442"/>
      <c r="V198" s="837"/>
      <c r="W198" s="837"/>
      <c r="X198" s="837"/>
    </row>
    <row r="199" spans="1:24" ht="15.75" customHeight="1">
      <c r="A199" s="442"/>
      <c r="B199" s="442"/>
      <c r="C199" s="919"/>
      <c r="D199" s="919"/>
      <c r="E199" s="919"/>
      <c r="F199" s="919"/>
      <c r="G199" s="919"/>
      <c r="H199" s="919"/>
      <c r="I199" s="919"/>
      <c r="J199" s="919"/>
      <c r="K199" s="919"/>
      <c r="L199" s="919"/>
      <c r="M199" s="919"/>
      <c r="N199" s="919"/>
      <c r="O199" s="442"/>
      <c r="P199" s="442"/>
      <c r="Q199" s="442"/>
      <c r="R199" s="442"/>
      <c r="S199" s="442"/>
      <c r="T199" s="442"/>
      <c r="U199" s="442"/>
      <c r="V199" s="837"/>
      <c r="W199" s="837"/>
      <c r="X199" s="837"/>
    </row>
    <row r="200" spans="1:24" ht="15.75" customHeight="1">
      <c r="A200" s="442"/>
      <c r="B200" s="442"/>
      <c r="C200" s="919"/>
      <c r="D200" s="919"/>
      <c r="E200" s="919"/>
      <c r="F200" s="919"/>
      <c r="G200" s="919"/>
      <c r="H200" s="919"/>
      <c r="I200" s="919"/>
      <c r="J200" s="919"/>
      <c r="K200" s="919"/>
      <c r="L200" s="919"/>
      <c r="M200" s="919"/>
      <c r="N200" s="919"/>
      <c r="O200" s="442"/>
      <c r="P200" s="442"/>
      <c r="Q200" s="442"/>
      <c r="R200" s="442"/>
      <c r="S200" s="442"/>
      <c r="T200" s="442"/>
      <c r="U200" s="442"/>
      <c r="V200" s="837"/>
      <c r="W200" s="837"/>
      <c r="X200" s="837"/>
    </row>
    <row r="201" spans="1:24" ht="15.75" customHeight="1">
      <c r="A201" s="442"/>
      <c r="B201" s="442"/>
      <c r="C201" s="919"/>
      <c r="D201" s="919"/>
      <c r="E201" s="919"/>
      <c r="F201" s="919"/>
      <c r="G201" s="919"/>
      <c r="H201" s="919"/>
      <c r="I201" s="919"/>
      <c r="J201" s="919"/>
      <c r="K201" s="919"/>
      <c r="L201" s="919"/>
      <c r="M201" s="919"/>
      <c r="N201" s="919"/>
      <c r="O201" s="442"/>
      <c r="P201" s="442"/>
      <c r="Q201" s="442"/>
      <c r="R201" s="442"/>
      <c r="S201" s="442"/>
      <c r="T201" s="442"/>
      <c r="U201" s="442"/>
      <c r="V201" s="837"/>
      <c r="W201" s="837"/>
      <c r="X201" s="837"/>
    </row>
    <row r="202" spans="1:24" ht="15.75" customHeight="1">
      <c r="A202" s="442"/>
      <c r="B202" s="442"/>
      <c r="C202" s="919"/>
      <c r="D202" s="919"/>
      <c r="E202" s="919"/>
      <c r="F202" s="919"/>
      <c r="G202" s="919"/>
      <c r="H202" s="919"/>
      <c r="I202" s="919"/>
      <c r="J202" s="919"/>
      <c r="K202" s="919"/>
      <c r="L202" s="919"/>
      <c r="M202" s="919"/>
      <c r="N202" s="919"/>
      <c r="O202" s="442"/>
      <c r="P202" s="442"/>
      <c r="Q202" s="442"/>
      <c r="R202" s="442"/>
      <c r="S202" s="442"/>
      <c r="T202" s="442"/>
      <c r="U202" s="442"/>
      <c r="V202" s="837"/>
      <c r="W202" s="837"/>
      <c r="X202" s="837"/>
    </row>
    <row r="203" spans="1:24" ht="15.75" customHeight="1">
      <c r="A203" s="442"/>
      <c r="B203" s="442"/>
      <c r="C203" s="919"/>
      <c r="D203" s="919"/>
      <c r="E203" s="919"/>
      <c r="F203" s="919"/>
      <c r="G203" s="919"/>
      <c r="H203" s="919"/>
      <c r="I203" s="919"/>
      <c r="J203" s="919"/>
      <c r="K203" s="919"/>
      <c r="L203" s="919"/>
      <c r="M203" s="919"/>
      <c r="N203" s="919"/>
      <c r="O203" s="442"/>
      <c r="P203" s="442"/>
      <c r="Q203" s="442"/>
      <c r="R203" s="442"/>
      <c r="S203" s="442"/>
      <c r="T203" s="442"/>
      <c r="U203" s="442"/>
      <c r="V203" s="837"/>
      <c r="W203" s="837"/>
      <c r="X203" s="837"/>
    </row>
    <row r="204" spans="1:24" ht="15.75" customHeight="1">
      <c r="A204" s="442"/>
      <c r="B204" s="442"/>
      <c r="C204" s="919"/>
      <c r="D204" s="919"/>
      <c r="E204" s="919"/>
      <c r="F204" s="919"/>
      <c r="G204" s="919"/>
      <c r="H204" s="919"/>
      <c r="I204" s="919"/>
      <c r="J204" s="919"/>
      <c r="K204" s="919"/>
      <c r="L204" s="919"/>
      <c r="M204" s="919"/>
      <c r="N204" s="919"/>
      <c r="O204" s="442"/>
      <c r="P204" s="442"/>
      <c r="Q204" s="442"/>
      <c r="R204" s="442"/>
      <c r="S204" s="442"/>
      <c r="T204" s="442"/>
      <c r="U204" s="442"/>
      <c r="V204" s="837"/>
      <c r="W204" s="837"/>
      <c r="X204" s="837"/>
    </row>
    <row r="205" spans="1:24" ht="15.75" customHeight="1">
      <c r="A205" s="442"/>
      <c r="B205" s="442"/>
      <c r="C205" s="919"/>
      <c r="D205" s="919"/>
      <c r="E205" s="919"/>
      <c r="F205" s="919"/>
      <c r="G205" s="919"/>
      <c r="H205" s="919"/>
      <c r="I205" s="919"/>
      <c r="J205" s="919"/>
      <c r="K205" s="919"/>
      <c r="L205" s="919"/>
      <c r="M205" s="919"/>
      <c r="N205" s="919"/>
      <c r="O205" s="442"/>
      <c r="P205" s="442"/>
      <c r="Q205" s="442"/>
      <c r="R205" s="442"/>
      <c r="S205" s="442"/>
      <c r="T205" s="442"/>
      <c r="U205" s="442"/>
      <c r="V205" s="837"/>
      <c r="W205" s="837"/>
      <c r="X205" s="837"/>
    </row>
    <row r="206" spans="1:24" ht="15.75" customHeight="1">
      <c r="A206" s="442"/>
      <c r="B206" s="442"/>
      <c r="C206" s="919"/>
      <c r="D206" s="919"/>
      <c r="E206" s="919"/>
      <c r="F206" s="919"/>
      <c r="G206" s="919"/>
      <c r="H206" s="919"/>
      <c r="I206" s="919"/>
      <c r="J206" s="919"/>
      <c r="K206" s="919"/>
      <c r="L206" s="919"/>
      <c r="M206" s="919"/>
      <c r="N206" s="919"/>
      <c r="O206" s="442"/>
      <c r="P206" s="442"/>
      <c r="Q206" s="442"/>
      <c r="R206" s="442"/>
      <c r="S206" s="442"/>
      <c r="T206" s="442"/>
      <c r="U206" s="442"/>
      <c r="V206" s="837"/>
      <c r="W206" s="837"/>
      <c r="X206" s="837"/>
    </row>
    <row r="207" spans="1:24" ht="15.75" customHeight="1">
      <c r="A207" s="442"/>
      <c r="B207" s="442"/>
      <c r="C207" s="919"/>
      <c r="D207" s="919"/>
      <c r="E207" s="919"/>
      <c r="F207" s="919"/>
      <c r="G207" s="919"/>
      <c r="H207" s="919"/>
      <c r="I207" s="919"/>
      <c r="J207" s="919"/>
      <c r="K207" s="919"/>
      <c r="L207" s="919"/>
      <c r="M207" s="919"/>
      <c r="N207" s="919"/>
      <c r="O207" s="442"/>
      <c r="P207" s="442"/>
      <c r="Q207" s="442"/>
      <c r="R207" s="442"/>
      <c r="S207" s="442"/>
      <c r="T207" s="442"/>
      <c r="U207" s="442"/>
      <c r="V207" s="837"/>
      <c r="W207" s="837"/>
      <c r="X207" s="837"/>
    </row>
    <row r="208" spans="1:24" ht="15.75" customHeight="1">
      <c r="A208" s="442"/>
      <c r="B208" s="442"/>
      <c r="C208" s="919"/>
      <c r="D208" s="919"/>
      <c r="E208" s="919"/>
      <c r="F208" s="919"/>
      <c r="G208" s="919"/>
      <c r="H208" s="919"/>
      <c r="I208" s="919"/>
      <c r="J208" s="919"/>
      <c r="K208" s="919"/>
      <c r="L208" s="919"/>
      <c r="M208" s="919"/>
      <c r="N208" s="919"/>
      <c r="O208" s="442"/>
      <c r="P208" s="442"/>
      <c r="Q208" s="442"/>
      <c r="R208" s="442"/>
      <c r="S208" s="442"/>
      <c r="T208" s="442"/>
      <c r="U208" s="442"/>
      <c r="V208" s="837"/>
      <c r="W208" s="837"/>
      <c r="X208" s="837"/>
    </row>
    <row r="209" spans="1:24" ht="15.75" customHeight="1">
      <c r="A209" s="442"/>
      <c r="B209" s="442"/>
      <c r="C209" s="919"/>
      <c r="D209" s="919"/>
      <c r="E209" s="919"/>
      <c r="F209" s="919"/>
      <c r="G209" s="919"/>
      <c r="H209" s="919"/>
      <c r="I209" s="919"/>
      <c r="J209" s="919"/>
      <c r="K209" s="919"/>
      <c r="L209" s="919"/>
      <c r="M209" s="919"/>
      <c r="N209" s="919"/>
      <c r="O209" s="442"/>
      <c r="P209" s="442"/>
      <c r="Q209" s="442"/>
      <c r="R209" s="442"/>
      <c r="S209" s="442"/>
      <c r="T209" s="442"/>
      <c r="U209" s="442"/>
      <c r="V209" s="837"/>
      <c r="W209" s="837"/>
      <c r="X209" s="837"/>
    </row>
    <row r="210" spans="1:24" ht="15.75" customHeight="1">
      <c r="A210" s="442"/>
      <c r="B210" s="442"/>
      <c r="C210" s="919"/>
      <c r="D210" s="919"/>
      <c r="E210" s="919"/>
      <c r="F210" s="919"/>
      <c r="G210" s="919"/>
      <c r="H210" s="919"/>
      <c r="I210" s="919"/>
      <c r="J210" s="919"/>
      <c r="K210" s="919"/>
      <c r="L210" s="919"/>
      <c r="M210" s="919"/>
      <c r="N210" s="919"/>
      <c r="O210" s="442"/>
      <c r="P210" s="442"/>
      <c r="Q210" s="442"/>
      <c r="R210" s="442"/>
      <c r="S210" s="442"/>
      <c r="T210" s="442"/>
      <c r="U210" s="442"/>
      <c r="V210" s="837"/>
      <c r="W210" s="837"/>
      <c r="X210" s="837"/>
    </row>
    <row r="211" spans="1:24" ht="15.75" customHeight="1">
      <c r="A211" s="442"/>
      <c r="B211" s="442"/>
      <c r="C211" s="919"/>
      <c r="D211" s="919"/>
      <c r="E211" s="919"/>
      <c r="F211" s="919"/>
      <c r="G211" s="919"/>
      <c r="H211" s="919"/>
      <c r="I211" s="919"/>
      <c r="J211" s="919"/>
      <c r="K211" s="919"/>
      <c r="L211" s="919"/>
      <c r="M211" s="919"/>
      <c r="N211" s="919"/>
      <c r="O211" s="442"/>
      <c r="P211" s="442"/>
      <c r="Q211" s="442"/>
      <c r="R211" s="442"/>
      <c r="S211" s="442"/>
      <c r="T211" s="442"/>
      <c r="U211" s="442"/>
      <c r="V211" s="837"/>
      <c r="W211" s="837"/>
      <c r="X211" s="837"/>
    </row>
    <row r="212" spans="1:24" ht="15.75" customHeight="1">
      <c r="A212" s="442"/>
      <c r="B212" s="442"/>
      <c r="C212" s="919"/>
      <c r="D212" s="919"/>
      <c r="E212" s="919"/>
      <c r="F212" s="919"/>
      <c r="G212" s="919"/>
      <c r="H212" s="919"/>
      <c r="I212" s="919"/>
      <c r="J212" s="919"/>
      <c r="K212" s="919"/>
      <c r="L212" s="919"/>
      <c r="M212" s="919"/>
      <c r="N212" s="919"/>
      <c r="O212" s="442"/>
      <c r="P212" s="442"/>
      <c r="Q212" s="442"/>
      <c r="R212" s="442"/>
      <c r="S212" s="442"/>
      <c r="T212" s="442"/>
      <c r="U212" s="442"/>
      <c r="V212" s="837"/>
      <c r="W212" s="837"/>
      <c r="X212" s="837"/>
    </row>
    <row r="213" spans="1:24" ht="15.75" customHeight="1">
      <c r="A213" s="442"/>
      <c r="B213" s="442"/>
      <c r="C213" s="919"/>
      <c r="D213" s="919"/>
      <c r="E213" s="919"/>
      <c r="F213" s="919"/>
      <c r="G213" s="919"/>
      <c r="H213" s="919"/>
      <c r="I213" s="919"/>
      <c r="J213" s="919"/>
      <c r="K213" s="919"/>
      <c r="L213" s="919"/>
      <c r="M213" s="919"/>
      <c r="N213" s="919"/>
      <c r="O213" s="442"/>
      <c r="P213" s="442"/>
      <c r="Q213" s="442"/>
      <c r="R213" s="442"/>
      <c r="S213" s="442"/>
      <c r="T213" s="442"/>
      <c r="U213" s="442"/>
      <c r="V213" s="837"/>
      <c r="W213" s="837"/>
      <c r="X213" s="837"/>
    </row>
    <row r="214" spans="1:24" ht="15.75" customHeight="1">
      <c r="A214" s="442"/>
      <c r="B214" s="442"/>
      <c r="C214" s="919"/>
      <c r="D214" s="919"/>
      <c r="E214" s="919"/>
      <c r="F214" s="919"/>
      <c r="G214" s="919"/>
      <c r="H214" s="919"/>
      <c r="I214" s="919"/>
      <c r="J214" s="919"/>
      <c r="K214" s="919"/>
      <c r="L214" s="919"/>
      <c r="M214" s="919"/>
      <c r="N214" s="919"/>
      <c r="O214" s="442"/>
      <c r="P214" s="442"/>
      <c r="Q214" s="442"/>
      <c r="R214" s="442"/>
      <c r="S214" s="442"/>
      <c r="T214" s="442"/>
      <c r="U214" s="442"/>
      <c r="V214" s="837"/>
      <c r="W214" s="837"/>
      <c r="X214" s="837"/>
    </row>
    <row r="215" spans="1:24" ht="15.75" customHeight="1">
      <c r="A215" s="442"/>
      <c r="B215" s="442"/>
      <c r="C215" s="919"/>
      <c r="D215" s="919"/>
      <c r="E215" s="919"/>
      <c r="F215" s="919"/>
      <c r="G215" s="919"/>
      <c r="H215" s="919"/>
      <c r="I215" s="919"/>
      <c r="J215" s="919"/>
      <c r="K215" s="919"/>
      <c r="L215" s="919"/>
      <c r="M215" s="919"/>
      <c r="N215" s="919"/>
      <c r="O215" s="442"/>
      <c r="P215" s="442"/>
      <c r="Q215" s="442"/>
      <c r="R215" s="442"/>
      <c r="S215" s="442"/>
      <c r="T215" s="442"/>
      <c r="U215" s="442"/>
      <c r="V215" s="837"/>
      <c r="W215" s="837"/>
      <c r="X215" s="837"/>
    </row>
    <row r="216" spans="1:24" ht="15.75" customHeight="1">
      <c r="A216" s="442"/>
      <c r="B216" s="442"/>
      <c r="C216" s="919"/>
      <c r="D216" s="919"/>
      <c r="E216" s="919"/>
      <c r="F216" s="919"/>
      <c r="G216" s="919"/>
      <c r="H216" s="919"/>
      <c r="I216" s="919"/>
      <c r="J216" s="919"/>
      <c r="K216" s="919"/>
      <c r="L216" s="919"/>
      <c r="M216" s="919"/>
      <c r="N216" s="919"/>
      <c r="O216" s="442"/>
      <c r="P216" s="442"/>
      <c r="Q216" s="442"/>
      <c r="R216" s="442"/>
      <c r="S216" s="442"/>
      <c r="T216" s="442"/>
      <c r="U216" s="442"/>
      <c r="V216" s="837"/>
      <c r="W216" s="837"/>
      <c r="X216" s="837"/>
    </row>
    <row r="217" spans="1:24" ht="15.75" customHeight="1">
      <c r="A217" s="442"/>
      <c r="B217" s="442"/>
      <c r="C217" s="919"/>
      <c r="D217" s="919"/>
      <c r="E217" s="919"/>
      <c r="F217" s="919"/>
      <c r="G217" s="919"/>
      <c r="H217" s="919"/>
      <c r="I217" s="919"/>
      <c r="J217" s="919"/>
      <c r="K217" s="919"/>
      <c r="L217" s="919"/>
      <c r="M217" s="919"/>
      <c r="N217" s="919"/>
      <c r="O217" s="442"/>
      <c r="P217" s="442"/>
      <c r="Q217" s="442"/>
      <c r="R217" s="442"/>
      <c r="S217" s="442"/>
      <c r="T217" s="442"/>
      <c r="U217" s="442"/>
      <c r="V217" s="837"/>
      <c r="W217" s="837"/>
      <c r="X217" s="837"/>
    </row>
    <row r="218" spans="1:24" ht="15.75" customHeight="1">
      <c r="A218" s="442"/>
      <c r="B218" s="442"/>
      <c r="C218" s="919"/>
      <c r="D218" s="919"/>
      <c r="E218" s="919"/>
      <c r="F218" s="919"/>
      <c r="G218" s="919"/>
      <c r="H218" s="919"/>
      <c r="I218" s="919"/>
      <c r="J218" s="919"/>
      <c r="K218" s="919"/>
      <c r="L218" s="919"/>
      <c r="M218" s="919"/>
      <c r="N218" s="919"/>
      <c r="O218" s="442"/>
      <c r="P218" s="442"/>
      <c r="Q218" s="442"/>
      <c r="R218" s="442"/>
      <c r="S218" s="442"/>
      <c r="T218" s="442"/>
      <c r="U218" s="442"/>
      <c r="V218" s="837"/>
      <c r="W218" s="837"/>
      <c r="X218" s="837"/>
    </row>
    <row r="219" spans="1:24" ht="15.75" customHeight="1">
      <c r="A219" s="442"/>
      <c r="B219" s="442"/>
      <c r="C219" s="919"/>
      <c r="D219" s="919"/>
      <c r="E219" s="919"/>
      <c r="F219" s="919"/>
      <c r="G219" s="919"/>
      <c r="H219" s="919"/>
      <c r="I219" s="919"/>
      <c r="J219" s="919"/>
      <c r="K219" s="919"/>
      <c r="L219" s="919"/>
      <c r="M219" s="919"/>
      <c r="N219" s="919"/>
      <c r="O219" s="442"/>
      <c r="P219" s="442"/>
      <c r="Q219" s="442"/>
      <c r="R219" s="442"/>
      <c r="S219" s="442"/>
      <c r="T219" s="442"/>
      <c r="U219" s="442"/>
      <c r="V219" s="837"/>
      <c r="W219" s="837"/>
      <c r="X219" s="837"/>
    </row>
    <row r="220" spans="1:24" ht="15.75" customHeight="1">
      <c r="A220" s="442"/>
      <c r="B220" s="442"/>
      <c r="C220" s="919"/>
      <c r="D220" s="919"/>
      <c r="E220" s="919"/>
      <c r="F220" s="919"/>
      <c r="G220" s="919"/>
      <c r="H220" s="919"/>
      <c r="I220" s="919"/>
      <c r="J220" s="919"/>
      <c r="K220" s="919"/>
      <c r="L220" s="919"/>
      <c r="M220" s="919"/>
      <c r="N220" s="919"/>
      <c r="O220" s="442"/>
      <c r="P220" s="442"/>
      <c r="Q220" s="442"/>
      <c r="R220" s="442"/>
      <c r="S220" s="442"/>
      <c r="T220" s="442"/>
      <c r="U220" s="442"/>
      <c r="V220" s="837"/>
      <c r="W220" s="837"/>
      <c r="X220" s="837"/>
    </row>
    <row r="221" spans="1:24" ht="15.75" customHeight="1">
      <c r="A221" s="442"/>
      <c r="B221" s="442"/>
      <c r="C221" s="919"/>
      <c r="D221" s="919"/>
      <c r="E221" s="919"/>
      <c r="F221" s="919"/>
      <c r="G221" s="919"/>
      <c r="H221" s="919"/>
      <c r="I221" s="919"/>
      <c r="J221" s="919"/>
      <c r="K221" s="919"/>
      <c r="L221" s="919"/>
      <c r="M221" s="919"/>
      <c r="N221" s="919"/>
      <c r="O221" s="442"/>
      <c r="P221" s="442"/>
      <c r="Q221" s="442"/>
      <c r="R221" s="442"/>
      <c r="S221" s="442"/>
      <c r="T221" s="442"/>
      <c r="U221" s="442"/>
      <c r="V221" s="837"/>
      <c r="W221" s="837"/>
      <c r="X221" s="837"/>
    </row>
    <row r="222" spans="1:24" ht="15.75" customHeight="1">
      <c r="A222" s="442"/>
      <c r="B222" s="442"/>
      <c r="C222" s="919"/>
      <c r="D222" s="919"/>
      <c r="E222" s="919"/>
      <c r="F222" s="919"/>
      <c r="G222" s="919"/>
      <c r="H222" s="919"/>
      <c r="I222" s="919"/>
      <c r="J222" s="919"/>
      <c r="K222" s="919"/>
      <c r="L222" s="919"/>
      <c r="M222" s="919"/>
      <c r="N222" s="919"/>
      <c r="O222" s="442"/>
      <c r="P222" s="442"/>
      <c r="Q222" s="442"/>
      <c r="R222" s="442"/>
      <c r="S222" s="442"/>
      <c r="T222" s="442"/>
      <c r="U222" s="442"/>
      <c r="V222" s="837"/>
      <c r="W222" s="837"/>
      <c r="X222" s="837"/>
    </row>
    <row r="223" spans="1:24" ht="15.75" customHeight="1">
      <c r="A223" s="442"/>
      <c r="B223" s="442"/>
      <c r="C223" s="919"/>
      <c r="D223" s="919"/>
      <c r="E223" s="919"/>
      <c r="F223" s="919"/>
      <c r="G223" s="919"/>
      <c r="H223" s="919"/>
      <c r="I223" s="919"/>
      <c r="J223" s="919"/>
      <c r="K223" s="919"/>
      <c r="L223" s="919"/>
      <c r="M223" s="919"/>
      <c r="N223" s="919"/>
      <c r="O223" s="442"/>
      <c r="P223" s="442"/>
      <c r="Q223" s="442"/>
      <c r="R223" s="442"/>
      <c r="S223" s="442"/>
      <c r="T223" s="442"/>
      <c r="U223" s="442"/>
      <c r="V223" s="837"/>
      <c r="W223" s="837"/>
      <c r="X223" s="837"/>
    </row>
    <row r="224" spans="1:24" ht="15.75" customHeight="1">
      <c r="A224" s="442"/>
      <c r="B224" s="442"/>
      <c r="C224" s="919"/>
      <c r="D224" s="919"/>
      <c r="E224" s="919"/>
      <c r="F224" s="919"/>
      <c r="G224" s="919"/>
      <c r="H224" s="919"/>
      <c r="I224" s="919"/>
      <c r="J224" s="919"/>
      <c r="K224" s="919"/>
      <c r="L224" s="919"/>
      <c r="M224" s="919"/>
      <c r="N224" s="919"/>
      <c r="O224" s="442"/>
      <c r="P224" s="442"/>
      <c r="Q224" s="442"/>
      <c r="R224" s="442"/>
      <c r="S224" s="442"/>
      <c r="T224" s="442"/>
      <c r="U224" s="442"/>
      <c r="V224" s="837"/>
      <c r="W224" s="837"/>
      <c r="X224" s="837"/>
    </row>
    <row r="225" spans="1:24" ht="15.75" customHeight="1">
      <c r="A225" s="442"/>
      <c r="B225" s="442"/>
      <c r="C225" s="919"/>
      <c r="D225" s="919"/>
      <c r="E225" s="919"/>
      <c r="F225" s="919"/>
      <c r="G225" s="919"/>
      <c r="H225" s="919"/>
      <c r="I225" s="919"/>
      <c r="J225" s="919"/>
      <c r="K225" s="919"/>
      <c r="L225" s="919"/>
      <c r="M225" s="919"/>
      <c r="N225" s="919"/>
      <c r="O225" s="442"/>
      <c r="P225" s="442"/>
      <c r="Q225" s="442"/>
      <c r="R225" s="442"/>
      <c r="S225" s="442"/>
      <c r="T225" s="442"/>
      <c r="U225" s="442"/>
      <c r="V225" s="837"/>
      <c r="W225" s="837"/>
      <c r="X225" s="837"/>
    </row>
    <row r="226" spans="1:24" ht="15.75" customHeight="1">
      <c r="A226" s="442"/>
      <c r="B226" s="442"/>
      <c r="C226" s="919"/>
      <c r="D226" s="919"/>
      <c r="E226" s="919"/>
      <c r="F226" s="919"/>
      <c r="G226" s="919"/>
      <c r="H226" s="919"/>
      <c r="I226" s="919"/>
      <c r="J226" s="919"/>
      <c r="K226" s="919"/>
      <c r="L226" s="919"/>
      <c r="M226" s="919"/>
      <c r="N226" s="919"/>
      <c r="O226" s="442"/>
      <c r="P226" s="442"/>
      <c r="Q226" s="442"/>
      <c r="R226" s="442"/>
      <c r="S226" s="442"/>
      <c r="T226" s="442"/>
      <c r="U226" s="442"/>
      <c r="V226" s="837"/>
      <c r="W226" s="837"/>
      <c r="X226" s="837"/>
    </row>
    <row r="227" spans="1:24" ht="15.75" customHeight="1">
      <c r="A227" s="442"/>
      <c r="B227" s="442"/>
      <c r="C227" s="919"/>
      <c r="D227" s="919"/>
      <c r="E227" s="919"/>
      <c r="F227" s="919"/>
      <c r="G227" s="919"/>
      <c r="H227" s="919"/>
      <c r="I227" s="919"/>
      <c r="J227" s="919"/>
      <c r="K227" s="919"/>
      <c r="L227" s="919"/>
      <c r="M227" s="919"/>
      <c r="N227" s="919"/>
      <c r="O227" s="442"/>
      <c r="P227" s="442"/>
      <c r="Q227" s="442"/>
      <c r="R227" s="442"/>
      <c r="S227" s="442"/>
      <c r="T227" s="442"/>
      <c r="U227" s="442"/>
      <c r="V227" s="837"/>
      <c r="W227" s="837"/>
      <c r="X227" s="837"/>
    </row>
    <row r="228" spans="1:24" ht="15.75" customHeight="1">
      <c r="A228" s="442"/>
      <c r="B228" s="442"/>
      <c r="C228" s="919"/>
      <c r="D228" s="919"/>
      <c r="E228" s="919"/>
      <c r="F228" s="919"/>
      <c r="G228" s="919"/>
      <c r="H228" s="919"/>
      <c r="I228" s="919"/>
      <c r="J228" s="919"/>
      <c r="K228" s="919"/>
      <c r="L228" s="919"/>
      <c r="M228" s="919"/>
      <c r="N228" s="919"/>
      <c r="O228" s="442"/>
      <c r="P228" s="442"/>
      <c r="Q228" s="442"/>
      <c r="R228" s="442"/>
      <c r="S228" s="442"/>
      <c r="T228" s="442"/>
      <c r="U228" s="442"/>
      <c r="V228" s="837"/>
      <c r="W228" s="837"/>
      <c r="X228" s="837"/>
    </row>
    <row r="229" spans="1:24" ht="15.75" customHeight="1">
      <c r="A229" s="442"/>
      <c r="B229" s="442"/>
      <c r="C229" s="919"/>
      <c r="D229" s="919"/>
      <c r="E229" s="919"/>
      <c r="F229" s="919"/>
      <c r="G229" s="919"/>
      <c r="H229" s="919"/>
      <c r="I229" s="919"/>
      <c r="J229" s="919"/>
      <c r="K229" s="919"/>
      <c r="L229" s="919"/>
      <c r="M229" s="919"/>
      <c r="N229" s="919"/>
      <c r="O229" s="442"/>
      <c r="P229" s="442"/>
      <c r="Q229" s="442"/>
      <c r="R229" s="442"/>
      <c r="S229" s="442"/>
      <c r="T229" s="442"/>
      <c r="U229" s="442"/>
      <c r="V229" s="837"/>
      <c r="W229" s="837"/>
      <c r="X229" s="837"/>
    </row>
    <row r="230" spans="1:24" ht="15.75" customHeight="1">
      <c r="A230" s="442"/>
      <c r="B230" s="442"/>
      <c r="C230" s="919"/>
      <c r="D230" s="919"/>
      <c r="E230" s="919"/>
      <c r="F230" s="919"/>
      <c r="G230" s="919"/>
      <c r="H230" s="919"/>
      <c r="I230" s="919"/>
      <c r="J230" s="919"/>
      <c r="K230" s="919"/>
      <c r="L230" s="919"/>
      <c r="M230" s="919"/>
      <c r="N230" s="919"/>
      <c r="O230" s="442"/>
      <c r="P230" s="442"/>
      <c r="Q230" s="442"/>
      <c r="R230" s="442"/>
      <c r="S230" s="442"/>
      <c r="T230" s="442"/>
      <c r="U230" s="442"/>
      <c r="V230" s="837"/>
      <c r="W230" s="837"/>
      <c r="X230" s="837"/>
    </row>
    <row r="231" spans="1:24" ht="15.75" customHeight="1">
      <c r="A231" s="442"/>
      <c r="B231" s="442"/>
      <c r="C231" s="919"/>
      <c r="D231" s="919"/>
      <c r="E231" s="919"/>
      <c r="F231" s="919"/>
      <c r="G231" s="919"/>
      <c r="H231" s="919"/>
      <c r="I231" s="919"/>
      <c r="J231" s="919"/>
      <c r="K231" s="919"/>
      <c r="L231" s="919"/>
      <c r="M231" s="919"/>
      <c r="N231" s="919"/>
      <c r="O231" s="442"/>
      <c r="P231" s="442"/>
      <c r="Q231" s="442"/>
      <c r="R231" s="442"/>
      <c r="S231" s="442"/>
      <c r="T231" s="442"/>
      <c r="U231" s="442"/>
      <c r="V231" s="837"/>
      <c r="W231" s="837"/>
      <c r="X231" s="837"/>
    </row>
    <row r="232" spans="1:24" ht="15.75" customHeight="1">
      <c r="A232" s="442"/>
      <c r="B232" s="442"/>
      <c r="C232" s="919"/>
      <c r="D232" s="919"/>
      <c r="E232" s="919"/>
      <c r="F232" s="919"/>
      <c r="G232" s="919"/>
      <c r="H232" s="919"/>
      <c r="I232" s="919"/>
      <c r="J232" s="919"/>
      <c r="K232" s="919"/>
      <c r="L232" s="919"/>
      <c r="M232" s="919"/>
      <c r="N232" s="919"/>
      <c r="O232" s="442"/>
      <c r="P232" s="442"/>
      <c r="Q232" s="442"/>
      <c r="R232" s="442"/>
      <c r="S232" s="442"/>
      <c r="T232" s="442"/>
      <c r="U232" s="442"/>
      <c r="V232" s="837"/>
      <c r="W232" s="837"/>
      <c r="X232" s="837"/>
    </row>
    <row r="233" spans="1:24" ht="15.75" customHeight="1">
      <c r="A233" s="442"/>
      <c r="B233" s="442"/>
      <c r="C233" s="919"/>
      <c r="D233" s="919"/>
      <c r="E233" s="919"/>
      <c r="F233" s="919"/>
      <c r="G233" s="919"/>
      <c r="H233" s="919"/>
      <c r="I233" s="919"/>
      <c r="J233" s="919"/>
      <c r="K233" s="919"/>
      <c r="L233" s="919"/>
      <c r="M233" s="919"/>
      <c r="N233" s="919"/>
      <c r="O233" s="442"/>
      <c r="P233" s="442"/>
      <c r="Q233" s="442"/>
      <c r="R233" s="442"/>
      <c r="S233" s="442"/>
      <c r="T233" s="442"/>
      <c r="U233" s="442"/>
      <c r="V233" s="837"/>
      <c r="W233" s="837"/>
      <c r="X233" s="837"/>
    </row>
    <row r="234" spans="1:24" ht="15.75" customHeight="1">
      <c r="A234" s="442"/>
      <c r="B234" s="442"/>
      <c r="C234" s="919"/>
      <c r="D234" s="919"/>
      <c r="E234" s="919"/>
      <c r="F234" s="919"/>
      <c r="G234" s="919"/>
      <c r="H234" s="919"/>
      <c r="I234" s="919"/>
      <c r="J234" s="919"/>
      <c r="K234" s="919"/>
      <c r="L234" s="919"/>
      <c r="M234" s="919"/>
      <c r="N234" s="919"/>
      <c r="O234" s="442"/>
      <c r="P234" s="442"/>
      <c r="Q234" s="442"/>
      <c r="R234" s="442"/>
      <c r="S234" s="442"/>
      <c r="T234" s="442"/>
      <c r="U234" s="442"/>
      <c r="V234" s="837"/>
      <c r="W234" s="837"/>
      <c r="X234" s="837"/>
    </row>
    <row r="235" spans="1:24" ht="15.75" customHeight="1">
      <c r="A235" s="442"/>
      <c r="B235" s="442"/>
      <c r="C235" s="919"/>
      <c r="D235" s="919"/>
      <c r="E235" s="919"/>
      <c r="F235" s="919"/>
      <c r="G235" s="919"/>
      <c r="H235" s="919"/>
      <c r="I235" s="919"/>
      <c r="J235" s="919"/>
      <c r="K235" s="919"/>
      <c r="L235" s="919"/>
      <c r="M235" s="919"/>
      <c r="N235" s="919"/>
      <c r="O235" s="442"/>
      <c r="P235" s="442"/>
      <c r="Q235" s="442"/>
      <c r="R235" s="442"/>
      <c r="S235" s="442"/>
      <c r="T235" s="442"/>
      <c r="U235" s="442"/>
      <c r="V235" s="837"/>
      <c r="W235" s="837"/>
      <c r="X235" s="837"/>
    </row>
    <row r="236" spans="1:24" ht="15.75" customHeight="1">
      <c r="A236" s="442"/>
      <c r="B236" s="442"/>
      <c r="C236" s="919"/>
      <c r="D236" s="919"/>
      <c r="E236" s="919"/>
      <c r="F236" s="919"/>
      <c r="G236" s="919"/>
      <c r="H236" s="919"/>
      <c r="I236" s="919"/>
      <c r="J236" s="919"/>
      <c r="K236" s="919"/>
      <c r="L236" s="919"/>
      <c r="M236" s="919"/>
      <c r="N236" s="919"/>
      <c r="O236" s="442"/>
      <c r="P236" s="442"/>
      <c r="Q236" s="442"/>
      <c r="R236" s="442"/>
      <c r="S236" s="442"/>
      <c r="T236" s="442"/>
      <c r="U236" s="442"/>
      <c r="V236" s="837"/>
      <c r="W236" s="837"/>
      <c r="X236" s="837"/>
    </row>
    <row r="237" spans="1:24" ht="15.75" customHeight="1">
      <c r="A237" s="442"/>
      <c r="B237" s="442"/>
      <c r="C237" s="919"/>
      <c r="D237" s="919"/>
      <c r="E237" s="919"/>
      <c r="F237" s="919"/>
      <c r="G237" s="919"/>
      <c r="H237" s="919"/>
      <c r="I237" s="919"/>
      <c r="J237" s="919"/>
      <c r="K237" s="919"/>
      <c r="L237" s="919"/>
      <c r="M237" s="919"/>
      <c r="N237" s="919"/>
      <c r="O237" s="442"/>
      <c r="P237" s="442"/>
      <c r="Q237" s="442"/>
      <c r="R237" s="442"/>
      <c r="S237" s="442"/>
      <c r="T237" s="442"/>
      <c r="U237" s="442"/>
      <c r="V237" s="837"/>
      <c r="W237" s="837"/>
      <c r="X237" s="837"/>
    </row>
    <row r="238" spans="1:24" ht="15.75" customHeight="1">
      <c r="A238" s="442"/>
      <c r="B238" s="442"/>
      <c r="C238" s="919"/>
      <c r="D238" s="919"/>
      <c r="E238" s="919"/>
      <c r="F238" s="919"/>
      <c r="G238" s="919"/>
      <c r="H238" s="919"/>
      <c r="I238" s="919"/>
      <c r="J238" s="919"/>
      <c r="K238" s="919"/>
      <c r="L238" s="919"/>
      <c r="M238" s="919"/>
      <c r="N238" s="919"/>
      <c r="O238" s="442"/>
      <c r="P238" s="442"/>
      <c r="Q238" s="442"/>
      <c r="R238" s="442"/>
      <c r="S238" s="442"/>
      <c r="T238" s="442"/>
      <c r="U238" s="442"/>
      <c r="V238" s="837"/>
      <c r="W238" s="837"/>
      <c r="X238" s="837"/>
    </row>
    <row r="239" spans="1:24" ht="15.75" customHeight="1">
      <c r="A239" s="442"/>
      <c r="B239" s="442"/>
      <c r="C239" s="919"/>
      <c r="D239" s="919"/>
      <c r="E239" s="919"/>
      <c r="F239" s="919"/>
      <c r="G239" s="919"/>
      <c r="H239" s="919"/>
      <c r="I239" s="919"/>
      <c r="J239" s="919"/>
      <c r="K239" s="919"/>
      <c r="L239" s="919"/>
      <c r="M239" s="919"/>
      <c r="N239" s="919"/>
      <c r="O239" s="442"/>
      <c r="P239" s="442"/>
      <c r="Q239" s="442"/>
      <c r="R239" s="442"/>
      <c r="S239" s="442"/>
      <c r="T239" s="442"/>
      <c r="U239" s="442"/>
      <c r="V239" s="837"/>
      <c r="W239" s="837"/>
      <c r="X239" s="837"/>
    </row>
    <row r="240" spans="1:24" ht="15.75" customHeight="1">
      <c r="A240" s="442"/>
      <c r="B240" s="442"/>
      <c r="C240" s="919"/>
      <c r="D240" s="919"/>
      <c r="E240" s="919"/>
      <c r="F240" s="919"/>
      <c r="G240" s="919"/>
      <c r="H240" s="919"/>
      <c r="I240" s="919"/>
      <c r="J240" s="919"/>
      <c r="K240" s="919"/>
      <c r="L240" s="919"/>
      <c r="M240" s="919"/>
      <c r="N240" s="919"/>
      <c r="O240" s="442"/>
      <c r="P240" s="442"/>
      <c r="Q240" s="442"/>
      <c r="R240" s="442"/>
      <c r="S240" s="442"/>
      <c r="T240" s="442"/>
      <c r="U240" s="442"/>
      <c r="V240" s="837"/>
      <c r="W240" s="837"/>
      <c r="X240" s="837"/>
    </row>
    <row r="241" spans="1:24" ht="15.75" customHeight="1">
      <c r="A241" s="442"/>
      <c r="B241" s="442"/>
      <c r="C241" s="919"/>
      <c r="D241" s="919"/>
      <c r="E241" s="919"/>
      <c r="F241" s="919"/>
      <c r="G241" s="919"/>
      <c r="H241" s="919"/>
      <c r="I241" s="919"/>
      <c r="J241" s="919"/>
      <c r="K241" s="919"/>
      <c r="L241" s="919"/>
      <c r="M241" s="919"/>
      <c r="N241" s="919"/>
      <c r="O241" s="442"/>
      <c r="P241" s="442"/>
      <c r="Q241" s="442"/>
      <c r="R241" s="442"/>
      <c r="S241" s="442"/>
      <c r="T241" s="442"/>
      <c r="U241" s="442"/>
      <c r="V241" s="837"/>
      <c r="W241" s="837"/>
      <c r="X241" s="837"/>
    </row>
    <row r="242" spans="1:24" ht="15.75" customHeight="1">
      <c r="A242" s="442"/>
      <c r="B242" s="442"/>
      <c r="C242" s="919"/>
      <c r="D242" s="919"/>
      <c r="E242" s="919"/>
      <c r="F242" s="919"/>
      <c r="G242" s="919"/>
      <c r="H242" s="919"/>
      <c r="I242" s="919"/>
      <c r="J242" s="919"/>
      <c r="K242" s="919"/>
      <c r="L242" s="919"/>
      <c r="M242" s="919"/>
      <c r="N242" s="919"/>
      <c r="O242" s="442"/>
      <c r="P242" s="442"/>
      <c r="Q242" s="442"/>
      <c r="R242" s="442"/>
      <c r="S242" s="442"/>
      <c r="T242" s="442"/>
      <c r="U242" s="442"/>
      <c r="V242" s="837"/>
      <c r="W242" s="837"/>
      <c r="X242" s="837"/>
    </row>
    <row r="243" spans="1:24" ht="15.75" customHeight="1">
      <c r="A243" s="442"/>
      <c r="B243" s="442"/>
      <c r="C243" s="919"/>
      <c r="D243" s="919"/>
      <c r="E243" s="919"/>
      <c r="F243" s="919"/>
      <c r="G243" s="919"/>
      <c r="H243" s="919"/>
      <c r="I243" s="919"/>
      <c r="J243" s="919"/>
      <c r="K243" s="919"/>
      <c r="L243" s="919"/>
      <c r="M243" s="919"/>
      <c r="N243" s="919"/>
      <c r="O243" s="442"/>
      <c r="P243" s="442"/>
      <c r="Q243" s="442"/>
      <c r="R243" s="442"/>
      <c r="S243" s="442"/>
      <c r="T243" s="442"/>
      <c r="U243" s="442"/>
      <c r="V243" s="837"/>
      <c r="W243" s="837"/>
      <c r="X243" s="837"/>
    </row>
    <row r="244" spans="1:24" ht="15.75" customHeight="1">
      <c r="A244" s="442"/>
      <c r="B244" s="442"/>
      <c r="C244" s="919"/>
      <c r="D244" s="919"/>
      <c r="E244" s="919"/>
      <c r="F244" s="919"/>
      <c r="G244" s="919"/>
      <c r="H244" s="919"/>
      <c r="I244" s="919"/>
      <c r="J244" s="919"/>
      <c r="K244" s="919"/>
      <c r="L244" s="919"/>
      <c r="M244" s="919"/>
      <c r="N244" s="919"/>
      <c r="O244" s="442"/>
      <c r="P244" s="442"/>
      <c r="Q244" s="442"/>
      <c r="R244" s="442"/>
      <c r="S244" s="442"/>
      <c r="T244" s="442"/>
      <c r="U244" s="442"/>
      <c r="V244" s="837"/>
      <c r="W244" s="837"/>
      <c r="X244" s="837"/>
    </row>
    <row r="245" spans="1:24" ht="15.75" customHeight="1">
      <c r="A245" s="442"/>
      <c r="B245" s="442"/>
      <c r="C245" s="919"/>
      <c r="D245" s="919"/>
      <c r="E245" s="919"/>
      <c r="F245" s="919"/>
      <c r="G245" s="919"/>
      <c r="H245" s="919"/>
      <c r="I245" s="919"/>
      <c r="J245" s="919"/>
      <c r="K245" s="919"/>
      <c r="L245" s="919"/>
      <c r="M245" s="919"/>
      <c r="N245" s="919"/>
      <c r="O245" s="442"/>
      <c r="P245" s="442"/>
      <c r="Q245" s="442"/>
      <c r="R245" s="442"/>
      <c r="S245" s="442"/>
      <c r="T245" s="442"/>
      <c r="U245" s="442"/>
      <c r="V245" s="837"/>
      <c r="W245" s="837"/>
      <c r="X245" s="837"/>
    </row>
    <row r="246" spans="1:24" ht="15.75" customHeight="1">
      <c r="A246" s="442"/>
      <c r="B246" s="442"/>
      <c r="C246" s="919"/>
      <c r="D246" s="919"/>
      <c r="E246" s="919"/>
      <c r="F246" s="919"/>
      <c r="G246" s="919"/>
      <c r="H246" s="919"/>
      <c r="I246" s="919"/>
      <c r="J246" s="919"/>
      <c r="K246" s="919"/>
      <c r="L246" s="919"/>
      <c r="M246" s="919"/>
      <c r="N246" s="919"/>
      <c r="O246" s="442"/>
      <c r="P246" s="442"/>
      <c r="Q246" s="442"/>
      <c r="R246" s="442"/>
      <c r="S246" s="442"/>
      <c r="T246" s="442"/>
      <c r="U246" s="442"/>
      <c r="V246" s="837"/>
      <c r="W246" s="837"/>
      <c r="X246" s="837"/>
    </row>
    <row r="247" spans="1:24" ht="15.75" customHeight="1">
      <c r="A247" s="442"/>
      <c r="B247" s="442"/>
      <c r="C247" s="919"/>
      <c r="D247" s="919"/>
      <c r="E247" s="919"/>
      <c r="F247" s="919"/>
      <c r="G247" s="919"/>
      <c r="H247" s="919"/>
      <c r="I247" s="919"/>
      <c r="J247" s="919"/>
      <c r="K247" s="919"/>
      <c r="L247" s="919"/>
      <c r="M247" s="919"/>
      <c r="N247" s="919"/>
      <c r="O247" s="442"/>
      <c r="P247" s="442"/>
      <c r="Q247" s="442"/>
      <c r="R247" s="442"/>
      <c r="S247" s="442"/>
      <c r="T247" s="442"/>
      <c r="U247" s="442"/>
      <c r="V247" s="837"/>
      <c r="W247" s="837"/>
      <c r="X247" s="837"/>
    </row>
    <row r="248" spans="1:24" ht="15.75" customHeight="1">
      <c r="A248" s="442"/>
      <c r="B248" s="442"/>
      <c r="C248" s="919"/>
      <c r="D248" s="919"/>
      <c r="E248" s="919"/>
      <c r="F248" s="919"/>
      <c r="G248" s="919"/>
      <c r="H248" s="919"/>
      <c r="I248" s="919"/>
      <c r="J248" s="919"/>
      <c r="K248" s="919"/>
      <c r="L248" s="919"/>
      <c r="M248" s="919"/>
      <c r="N248" s="919"/>
      <c r="O248" s="442"/>
      <c r="P248" s="442"/>
      <c r="Q248" s="442"/>
      <c r="R248" s="442"/>
      <c r="S248" s="442"/>
      <c r="T248" s="442"/>
      <c r="U248" s="442"/>
      <c r="V248" s="837"/>
      <c r="W248" s="837"/>
      <c r="X248" s="837"/>
    </row>
    <row r="249" spans="1:24" ht="15.75" customHeight="1">
      <c r="A249" s="442"/>
      <c r="B249" s="442"/>
      <c r="C249" s="919"/>
      <c r="D249" s="919"/>
      <c r="E249" s="919"/>
      <c r="F249" s="919"/>
      <c r="G249" s="919"/>
      <c r="H249" s="919"/>
      <c r="I249" s="919"/>
      <c r="J249" s="919"/>
      <c r="K249" s="919"/>
      <c r="L249" s="919"/>
      <c r="M249" s="919"/>
      <c r="N249" s="919"/>
      <c r="O249" s="442"/>
      <c r="P249" s="442"/>
      <c r="Q249" s="442"/>
      <c r="R249" s="442"/>
      <c r="S249" s="442"/>
      <c r="T249" s="442"/>
      <c r="U249" s="442"/>
      <c r="V249" s="837"/>
      <c r="W249" s="837"/>
      <c r="X249" s="837"/>
    </row>
    <row r="250" spans="1:24" ht="15.75" customHeight="1">
      <c r="A250" s="442"/>
      <c r="B250" s="442"/>
      <c r="C250" s="919"/>
      <c r="D250" s="919"/>
      <c r="E250" s="919"/>
      <c r="F250" s="919"/>
      <c r="G250" s="919"/>
      <c r="H250" s="919"/>
      <c r="I250" s="919"/>
      <c r="J250" s="919"/>
      <c r="K250" s="919"/>
      <c r="L250" s="919"/>
      <c r="M250" s="919"/>
      <c r="N250" s="919"/>
      <c r="O250" s="442"/>
      <c r="P250" s="442"/>
      <c r="Q250" s="442"/>
      <c r="R250" s="442"/>
      <c r="S250" s="442"/>
      <c r="T250" s="442"/>
      <c r="U250" s="442"/>
      <c r="V250" s="837"/>
      <c r="W250" s="837"/>
      <c r="X250" s="837"/>
    </row>
    <row r="251" spans="1:24" ht="15.75" customHeight="1">
      <c r="A251" s="442"/>
      <c r="B251" s="442"/>
      <c r="C251" s="919"/>
      <c r="D251" s="919"/>
      <c r="E251" s="919"/>
      <c r="F251" s="919"/>
      <c r="G251" s="919"/>
      <c r="H251" s="919"/>
      <c r="I251" s="919"/>
      <c r="J251" s="919"/>
      <c r="K251" s="919"/>
      <c r="L251" s="919"/>
      <c r="M251" s="919"/>
      <c r="N251" s="919"/>
      <c r="O251" s="442"/>
      <c r="P251" s="442"/>
      <c r="Q251" s="442"/>
      <c r="R251" s="442"/>
      <c r="S251" s="442"/>
      <c r="T251" s="442"/>
      <c r="U251" s="442"/>
      <c r="V251" s="837"/>
      <c r="W251" s="837"/>
      <c r="X251" s="837"/>
    </row>
    <row r="252" spans="1:24" ht="15.75" customHeight="1">
      <c r="A252" s="442"/>
      <c r="B252" s="442"/>
      <c r="C252" s="919"/>
      <c r="D252" s="919"/>
      <c r="E252" s="919"/>
      <c r="F252" s="919"/>
      <c r="G252" s="919"/>
      <c r="H252" s="919"/>
      <c r="I252" s="919"/>
      <c r="J252" s="919"/>
      <c r="K252" s="919"/>
      <c r="L252" s="919"/>
      <c r="M252" s="919"/>
      <c r="N252" s="919"/>
      <c r="O252" s="442"/>
      <c r="P252" s="442"/>
      <c r="Q252" s="442"/>
      <c r="R252" s="442"/>
      <c r="S252" s="442"/>
      <c r="T252" s="442"/>
      <c r="U252" s="442"/>
      <c r="V252" s="837"/>
      <c r="W252" s="837"/>
      <c r="X252" s="837"/>
    </row>
    <row r="253" spans="1:24" ht="15.75" customHeight="1">
      <c r="A253" s="442"/>
      <c r="B253" s="442"/>
      <c r="C253" s="919"/>
      <c r="D253" s="919"/>
      <c r="E253" s="919"/>
      <c r="F253" s="919"/>
      <c r="G253" s="919"/>
      <c r="H253" s="919"/>
      <c r="I253" s="919"/>
      <c r="J253" s="919"/>
      <c r="K253" s="919"/>
      <c r="L253" s="919"/>
      <c r="M253" s="919"/>
      <c r="N253" s="919"/>
      <c r="O253" s="442"/>
      <c r="P253" s="442"/>
      <c r="Q253" s="442"/>
      <c r="R253" s="442"/>
      <c r="S253" s="442"/>
      <c r="T253" s="442"/>
      <c r="U253" s="442"/>
      <c r="V253" s="837"/>
      <c r="W253" s="837"/>
      <c r="X253" s="837"/>
    </row>
    <row r="254" spans="1:24" ht="15.75" customHeight="1">
      <c r="A254" s="442"/>
      <c r="B254" s="442"/>
      <c r="C254" s="919"/>
      <c r="D254" s="919"/>
      <c r="E254" s="919"/>
      <c r="F254" s="919"/>
      <c r="G254" s="919"/>
      <c r="H254" s="919"/>
      <c r="I254" s="919"/>
      <c r="J254" s="919"/>
      <c r="K254" s="919"/>
      <c r="L254" s="919"/>
      <c r="M254" s="919"/>
      <c r="N254" s="919"/>
      <c r="O254" s="442"/>
      <c r="P254" s="442"/>
      <c r="Q254" s="442"/>
      <c r="R254" s="442"/>
      <c r="S254" s="442"/>
      <c r="T254" s="442"/>
      <c r="U254" s="442"/>
      <c r="V254" s="837"/>
      <c r="W254" s="837"/>
      <c r="X254" s="837"/>
    </row>
    <row r="255" spans="1:24" ht="15.75" customHeight="1">
      <c r="A255" s="442"/>
      <c r="B255" s="442"/>
      <c r="C255" s="919"/>
      <c r="D255" s="919"/>
      <c r="E255" s="919"/>
      <c r="F255" s="919"/>
      <c r="G255" s="919"/>
      <c r="H255" s="919"/>
      <c r="I255" s="919"/>
      <c r="J255" s="919"/>
      <c r="K255" s="919"/>
      <c r="L255" s="919"/>
      <c r="M255" s="919"/>
      <c r="N255" s="919"/>
      <c r="O255" s="442"/>
      <c r="P255" s="442"/>
      <c r="Q255" s="442"/>
      <c r="R255" s="442"/>
      <c r="S255" s="442"/>
      <c r="T255" s="442"/>
      <c r="U255" s="442"/>
      <c r="V255" s="837"/>
      <c r="W255" s="837"/>
      <c r="X255" s="837"/>
    </row>
    <row r="256" spans="1:24" ht="15.75" customHeight="1">
      <c r="A256" s="442"/>
      <c r="B256" s="442"/>
      <c r="C256" s="919"/>
      <c r="D256" s="919"/>
      <c r="E256" s="919"/>
      <c r="F256" s="919"/>
      <c r="G256" s="919"/>
      <c r="H256" s="919"/>
      <c r="I256" s="919"/>
      <c r="J256" s="919"/>
      <c r="K256" s="919"/>
      <c r="L256" s="919"/>
      <c r="M256" s="919"/>
      <c r="N256" s="919"/>
      <c r="O256" s="442"/>
      <c r="P256" s="442"/>
      <c r="Q256" s="442"/>
      <c r="R256" s="442"/>
      <c r="S256" s="442"/>
      <c r="T256" s="442"/>
      <c r="U256" s="442"/>
      <c r="V256" s="837"/>
      <c r="W256" s="837"/>
      <c r="X256" s="837"/>
    </row>
    <row r="257" spans="1:24" ht="15.75" customHeight="1">
      <c r="A257" s="442"/>
      <c r="B257" s="442"/>
      <c r="C257" s="919"/>
      <c r="D257" s="919"/>
      <c r="E257" s="919"/>
      <c r="F257" s="919"/>
      <c r="G257" s="919"/>
      <c r="H257" s="919"/>
      <c r="I257" s="919"/>
      <c r="J257" s="919"/>
      <c r="K257" s="919"/>
      <c r="L257" s="919"/>
      <c r="M257" s="919"/>
      <c r="N257" s="919"/>
      <c r="O257" s="442"/>
      <c r="P257" s="442"/>
      <c r="Q257" s="442"/>
      <c r="R257" s="442"/>
      <c r="S257" s="442"/>
      <c r="T257" s="442"/>
      <c r="U257" s="442"/>
      <c r="V257" s="837"/>
      <c r="W257" s="837"/>
      <c r="X257" s="837"/>
    </row>
    <row r="258" spans="1:24" ht="15.75" customHeight="1">
      <c r="A258" s="442"/>
      <c r="B258" s="442"/>
      <c r="C258" s="919"/>
      <c r="D258" s="919"/>
      <c r="E258" s="919"/>
      <c r="F258" s="919"/>
      <c r="G258" s="919"/>
      <c r="H258" s="919"/>
      <c r="I258" s="919"/>
      <c r="J258" s="919"/>
      <c r="K258" s="919"/>
      <c r="L258" s="919"/>
      <c r="M258" s="919"/>
      <c r="N258" s="919"/>
      <c r="O258" s="442"/>
      <c r="P258" s="442"/>
      <c r="Q258" s="442"/>
      <c r="R258" s="442"/>
      <c r="S258" s="442"/>
      <c r="T258" s="442"/>
      <c r="U258" s="442"/>
      <c r="V258" s="837"/>
      <c r="W258" s="837"/>
      <c r="X258" s="837"/>
    </row>
    <row r="259" spans="1:24" ht="15.75" customHeight="1">
      <c r="A259" s="442"/>
      <c r="B259" s="442"/>
      <c r="C259" s="919"/>
      <c r="D259" s="919"/>
      <c r="E259" s="919"/>
      <c r="F259" s="919"/>
      <c r="G259" s="919"/>
      <c r="H259" s="919"/>
      <c r="I259" s="919"/>
      <c r="J259" s="919"/>
      <c r="K259" s="919"/>
      <c r="L259" s="919"/>
      <c r="M259" s="919"/>
      <c r="N259" s="919"/>
      <c r="O259" s="442"/>
      <c r="P259" s="442"/>
      <c r="Q259" s="442"/>
      <c r="R259" s="442"/>
      <c r="S259" s="442"/>
      <c r="T259" s="442"/>
      <c r="U259" s="442"/>
      <c r="V259" s="837"/>
      <c r="W259" s="837"/>
      <c r="X259" s="837"/>
    </row>
    <row r="260" spans="1:24" ht="15.75" customHeight="1">
      <c r="A260" s="442"/>
      <c r="B260" s="442"/>
      <c r="C260" s="919"/>
      <c r="D260" s="919"/>
      <c r="E260" s="919"/>
      <c r="F260" s="919"/>
      <c r="G260" s="919"/>
      <c r="H260" s="919"/>
      <c r="I260" s="919"/>
      <c r="J260" s="919"/>
      <c r="K260" s="919"/>
      <c r="L260" s="919"/>
      <c r="M260" s="919"/>
      <c r="N260" s="919"/>
      <c r="O260" s="442"/>
      <c r="P260" s="442"/>
      <c r="Q260" s="442"/>
      <c r="R260" s="442"/>
      <c r="S260" s="442"/>
      <c r="T260" s="442"/>
      <c r="U260" s="442"/>
      <c r="V260" s="837"/>
      <c r="W260" s="837"/>
      <c r="X260" s="837"/>
    </row>
    <row r="261" spans="1:24" ht="15.75" customHeight="1">
      <c r="A261" s="442"/>
      <c r="B261" s="442"/>
      <c r="C261" s="919"/>
      <c r="D261" s="919"/>
      <c r="E261" s="919"/>
      <c r="F261" s="919"/>
      <c r="G261" s="919"/>
      <c r="H261" s="919"/>
      <c r="I261" s="919"/>
      <c r="J261" s="919"/>
      <c r="K261" s="919"/>
      <c r="L261" s="919"/>
      <c r="M261" s="919"/>
      <c r="N261" s="919"/>
      <c r="O261" s="442"/>
      <c r="P261" s="442"/>
      <c r="Q261" s="442"/>
      <c r="R261" s="442"/>
      <c r="S261" s="442"/>
      <c r="T261" s="442"/>
      <c r="U261" s="442"/>
      <c r="V261" s="837"/>
      <c r="W261" s="837"/>
      <c r="X261" s="837"/>
    </row>
    <row r="262" spans="1:24" ht="15.75" customHeight="1">
      <c r="A262" s="442"/>
      <c r="B262" s="442"/>
      <c r="C262" s="919"/>
      <c r="D262" s="919"/>
      <c r="E262" s="919"/>
      <c r="F262" s="919"/>
      <c r="G262" s="919"/>
      <c r="H262" s="919"/>
      <c r="I262" s="919"/>
      <c r="J262" s="919"/>
      <c r="K262" s="919"/>
      <c r="L262" s="919"/>
      <c r="M262" s="919"/>
      <c r="N262" s="919"/>
      <c r="O262" s="442"/>
      <c r="P262" s="442"/>
      <c r="Q262" s="442"/>
      <c r="R262" s="442"/>
      <c r="S262" s="442"/>
      <c r="T262" s="442"/>
      <c r="U262" s="442"/>
      <c r="V262" s="837"/>
      <c r="W262" s="837"/>
      <c r="X262" s="837"/>
    </row>
    <row r="263" spans="1:24" ht="15.75" customHeight="1">
      <c r="A263" s="442"/>
      <c r="B263" s="442"/>
      <c r="C263" s="919"/>
      <c r="D263" s="919"/>
      <c r="E263" s="919"/>
      <c r="F263" s="919"/>
      <c r="G263" s="919"/>
      <c r="H263" s="919"/>
      <c r="I263" s="919"/>
      <c r="J263" s="919"/>
      <c r="K263" s="919"/>
      <c r="L263" s="919"/>
      <c r="M263" s="919"/>
      <c r="N263" s="919"/>
      <c r="O263" s="442"/>
      <c r="P263" s="442"/>
      <c r="Q263" s="442"/>
      <c r="R263" s="442"/>
      <c r="S263" s="442"/>
      <c r="T263" s="442"/>
      <c r="U263" s="442"/>
      <c r="V263" s="837"/>
      <c r="W263" s="837"/>
      <c r="X263" s="837"/>
    </row>
    <row r="264" spans="1:24" ht="15.75" customHeight="1">
      <c r="A264" s="442"/>
      <c r="B264" s="442"/>
      <c r="C264" s="919"/>
      <c r="D264" s="919"/>
      <c r="E264" s="919"/>
      <c r="F264" s="919"/>
      <c r="G264" s="919"/>
      <c r="H264" s="919"/>
      <c r="I264" s="919"/>
      <c r="J264" s="919"/>
      <c r="K264" s="919"/>
      <c r="L264" s="919"/>
      <c r="M264" s="919"/>
      <c r="N264" s="919"/>
      <c r="O264" s="442"/>
      <c r="P264" s="442"/>
      <c r="Q264" s="442"/>
      <c r="R264" s="442"/>
      <c r="S264" s="442"/>
      <c r="T264" s="442"/>
      <c r="U264" s="442"/>
      <c r="V264" s="837"/>
      <c r="W264" s="837"/>
      <c r="X264" s="837"/>
    </row>
    <row r="265" spans="1:24" ht="15.75" customHeight="1">
      <c r="A265" s="442"/>
      <c r="B265" s="442"/>
      <c r="C265" s="919"/>
      <c r="D265" s="919"/>
      <c r="E265" s="919"/>
      <c r="F265" s="919"/>
      <c r="G265" s="919"/>
      <c r="H265" s="919"/>
      <c r="I265" s="919"/>
      <c r="J265" s="919"/>
      <c r="K265" s="919"/>
      <c r="L265" s="919"/>
      <c r="M265" s="919"/>
      <c r="N265" s="919"/>
      <c r="O265" s="442"/>
      <c r="P265" s="442"/>
      <c r="Q265" s="442"/>
      <c r="R265" s="442"/>
      <c r="S265" s="442"/>
      <c r="T265" s="442"/>
      <c r="U265" s="442"/>
      <c r="V265" s="837"/>
      <c r="W265" s="837"/>
      <c r="X265" s="837"/>
    </row>
    <row r="266" spans="1:24" ht="15.75" customHeight="1">
      <c r="A266" s="442"/>
      <c r="B266" s="442"/>
      <c r="C266" s="919"/>
      <c r="D266" s="919"/>
      <c r="E266" s="919"/>
      <c r="F266" s="919"/>
      <c r="G266" s="919"/>
      <c r="H266" s="919"/>
      <c r="I266" s="919"/>
      <c r="J266" s="919"/>
      <c r="K266" s="919"/>
      <c r="L266" s="919"/>
      <c r="M266" s="919"/>
      <c r="N266" s="919"/>
      <c r="O266" s="442"/>
      <c r="P266" s="442"/>
      <c r="Q266" s="442"/>
      <c r="R266" s="442"/>
      <c r="S266" s="442"/>
      <c r="T266" s="442"/>
      <c r="U266" s="442"/>
      <c r="V266" s="837"/>
      <c r="W266" s="837"/>
      <c r="X266" s="837"/>
    </row>
    <row r="267" spans="1:24" ht="15.75" customHeight="1">
      <c r="A267" s="442"/>
      <c r="B267" s="442"/>
      <c r="C267" s="919"/>
      <c r="D267" s="919"/>
      <c r="E267" s="919"/>
      <c r="F267" s="919"/>
      <c r="G267" s="919"/>
      <c r="H267" s="919"/>
      <c r="I267" s="919"/>
      <c r="J267" s="919"/>
      <c r="K267" s="919"/>
      <c r="L267" s="919"/>
      <c r="M267" s="919"/>
      <c r="N267" s="919"/>
      <c r="O267" s="442"/>
      <c r="P267" s="442"/>
      <c r="Q267" s="442"/>
      <c r="R267" s="442"/>
      <c r="S267" s="442"/>
      <c r="T267" s="442"/>
      <c r="U267" s="442"/>
      <c r="V267" s="837"/>
      <c r="W267" s="837"/>
      <c r="X267" s="837"/>
    </row>
    <row r="268" spans="1:24" ht="15.75" customHeight="1">
      <c r="A268" s="442"/>
      <c r="B268" s="442"/>
      <c r="C268" s="919"/>
      <c r="D268" s="919"/>
      <c r="E268" s="919"/>
      <c r="F268" s="919"/>
      <c r="G268" s="919"/>
      <c r="H268" s="919"/>
      <c r="I268" s="919"/>
      <c r="J268" s="919"/>
      <c r="K268" s="919"/>
      <c r="L268" s="919"/>
      <c r="M268" s="919"/>
      <c r="N268" s="919"/>
      <c r="O268" s="442"/>
      <c r="P268" s="442"/>
      <c r="Q268" s="442"/>
      <c r="R268" s="442"/>
      <c r="S268" s="442"/>
      <c r="T268" s="442"/>
      <c r="U268" s="442"/>
      <c r="V268" s="837"/>
      <c r="W268" s="837"/>
      <c r="X268" s="837"/>
    </row>
    <row r="269" spans="1:24" ht="15.75" customHeight="1">
      <c r="A269" s="442"/>
      <c r="B269" s="442"/>
      <c r="C269" s="919"/>
      <c r="D269" s="919"/>
      <c r="E269" s="919"/>
      <c r="F269" s="919"/>
      <c r="G269" s="919"/>
      <c r="H269" s="919"/>
      <c r="I269" s="919"/>
      <c r="J269" s="919"/>
      <c r="K269" s="919"/>
      <c r="L269" s="919"/>
      <c r="M269" s="919"/>
      <c r="N269" s="919"/>
      <c r="O269" s="442"/>
      <c r="P269" s="442"/>
      <c r="Q269" s="442"/>
      <c r="R269" s="442"/>
      <c r="S269" s="442"/>
      <c r="T269" s="442"/>
      <c r="U269" s="442"/>
      <c r="V269" s="837"/>
      <c r="W269" s="837"/>
      <c r="X269" s="837"/>
    </row>
    <row r="270" spans="1:24" ht="15.75" customHeight="1">
      <c r="A270" s="442"/>
      <c r="B270" s="442"/>
      <c r="C270" s="919"/>
      <c r="D270" s="919"/>
      <c r="E270" s="919"/>
      <c r="F270" s="919"/>
      <c r="G270" s="919"/>
      <c r="H270" s="919"/>
      <c r="I270" s="919"/>
      <c r="J270" s="919"/>
      <c r="K270" s="919"/>
      <c r="L270" s="919"/>
      <c r="M270" s="919"/>
      <c r="N270" s="919"/>
      <c r="O270" s="442"/>
      <c r="P270" s="442"/>
      <c r="Q270" s="442"/>
      <c r="R270" s="442"/>
      <c r="S270" s="442"/>
      <c r="T270" s="442"/>
      <c r="U270" s="442"/>
      <c r="V270" s="837"/>
      <c r="W270" s="837"/>
      <c r="X270" s="837"/>
    </row>
    <row r="271" spans="1:24" ht="15.75" customHeight="1">
      <c r="A271" s="442"/>
      <c r="B271" s="442"/>
      <c r="C271" s="919"/>
      <c r="D271" s="919"/>
      <c r="E271" s="919"/>
      <c r="F271" s="919"/>
      <c r="G271" s="919"/>
      <c r="H271" s="919"/>
      <c r="I271" s="919"/>
      <c r="J271" s="919"/>
      <c r="K271" s="919"/>
      <c r="L271" s="919"/>
      <c r="M271" s="919"/>
      <c r="N271" s="919"/>
      <c r="O271" s="442"/>
      <c r="P271" s="442"/>
      <c r="Q271" s="442"/>
      <c r="R271" s="442"/>
      <c r="S271" s="442"/>
      <c r="T271" s="442"/>
      <c r="U271" s="442"/>
      <c r="V271" s="837"/>
      <c r="W271" s="837"/>
      <c r="X271" s="837"/>
    </row>
    <row r="272" spans="1:24" ht="15.75" customHeight="1">
      <c r="A272" s="442"/>
      <c r="B272" s="442"/>
      <c r="C272" s="919"/>
      <c r="D272" s="919"/>
      <c r="E272" s="919"/>
      <c r="F272" s="919"/>
      <c r="G272" s="919"/>
      <c r="H272" s="919"/>
      <c r="I272" s="919"/>
      <c r="J272" s="919"/>
      <c r="K272" s="919"/>
      <c r="L272" s="919"/>
      <c r="M272" s="919"/>
      <c r="N272" s="919"/>
      <c r="O272" s="442"/>
      <c r="P272" s="442"/>
      <c r="Q272" s="442"/>
      <c r="R272" s="442"/>
      <c r="S272" s="442"/>
      <c r="T272" s="442"/>
      <c r="U272" s="442"/>
      <c r="V272" s="837"/>
      <c r="W272" s="837"/>
      <c r="X272" s="837"/>
    </row>
    <row r="273" spans="1:24" ht="15.75" customHeight="1">
      <c r="A273" s="442"/>
      <c r="B273" s="442"/>
      <c r="C273" s="919"/>
      <c r="D273" s="919"/>
      <c r="E273" s="919"/>
      <c r="F273" s="919"/>
      <c r="G273" s="919"/>
      <c r="H273" s="919"/>
      <c r="I273" s="919"/>
      <c r="J273" s="919"/>
      <c r="K273" s="919"/>
      <c r="L273" s="919"/>
      <c r="M273" s="919"/>
      <c r="N273" s="919"/>
      <c r="O273" s="442"/>
      <c r="P273" s="442"/>
      <c r="Q273" s="442"/>
      <c r="R273" s="442"/>
      <c r="S273" s="442"/>
      <c r="T273" s="442"/>
      <c r="U273" s="442"/>
      <c r="V273" s="837"/>
      <c r="W273" s="837"/>
      <c r="X273" s="837"/>
    </row>
    <row r="274" spans="1:24" ht="15.75" customHeight="1">
      <c r="A274" s="442"/>
      <c r="B274" s="442"/>
      <c r="C274" s="919"/>
      <c r="D274" s="919"/>
      <c r="E274" s="919"/>
      <c r="F274" s="919"/>
      <c r="G274" s="919"/>
      <c r="H274" s="919"/>
      <c r="I274" s="919"/>
      <c r="J274" s="919"/>
      <c r="K274" s="919"/>
      <c r="L274" s="919"/>
      <c r="M274" s="919"/>
      <c r="N274" s="919"/>
      <c r="O274" s="442"/>
      <c r="P274" s="442"/>
      <c r="Q274" s="442"/>
      <c r="R274" s="442"/>
      <c r="S274" s="442"/>
      <c r="T274" s="442"/>
      <c r="U274" s="442"/>
      <c r="V274" s="837"/>
      <c r="W274" s="837"/>
      <c r="X274" s="837"/>
    </row>
    <row r="275" spans="1:24" ht="15.75" customHeight="1">
      <c r="A275" s="442"/>
      <c r="B275" s="442"/>
      <c r="C275" s="919"/>
      <c r="D275" s="919"/>
      <c r="E275" s="919"/>
      <c r="F275" s="919"/>
      <c r="G275" s="919"/>
      <c r="H275" s="919"/>
      <c r="I275" s="919"/>
      <c r="J275" s="919"/>
      <c r="K275" s="919"/>
      <c r="L275" s="919"/>
      <c r="M275" s="919"/>
      <c r="N275" s="919"/>
      <c r="O275" s="442"/>
      <c r="P275" s="442"/>
      <c r="Q275" s="442"/>
      <c r="R275" s="442"/>
      <c r="S275" s="442"/>
      <c r="T275" s="442"/>
      <c r="U275" s="442"/>
      <c r="V275" s="837"/>
      <c r="W275" s="837"/>
      <c r="X275" s="837"/>
    </row>
    <row r="276" spans="1:24" ht="15.75" customHeight="1">
      <c r="A276" s="942"/>
      <c r="B276" s="942"/>
      <c r="C276" s="943"/>
      <c r="D276" s="943"/>
      <c r="E276" s="943"/>
      <c r="F276" s="943"/>
      <c r="G276" s="943"/>
      <c r="H276" s="943"/>
      <c r="I276" s="943"/>
      <c r="J276" s="943"/>
      <c r="K276" s="943"/>
      <c r="L276" s="943"/>
      <c r="M276" s="943"/>
      <c r="N276" s="943"/>
      <c r="O276" s="942"/>
      <c r="P276" s="942"/>
      <c r="Q276" s="942"/>
      <c r="R276" s="942"/>
      <c r="S276" s="942"/>
      <c r="T276" s="942"/>
      <c r="U276" s="942"/>
    </row>
    <row r="277" spans="1:24" ht="15.75" customHeight="1">
      <c r="A277" s="942"/>
      <c r="B277" s="942"/>
      <c r="C277" s="943"/>
      <c r="D277" s="943"/>
      <c r="E277" s="943"/>
      <c r="F277" s="943"/>
      <c r="G277" s="943"/>
      <c r="H277" s="943"/>
      <c r="I277" s="943"/>
      <c r="J277" s="943"/>
      <c r="K277" s="943"/>
      <c r="L277" s="943"/>
      <c r="M277" s="943"/>
      <c r="N277" s="943"/>
      <c r="O277" s="942"/>
      <c r="P277" s="942"/>
      <c r="Q277" s="942"/>
      <c r="R277" s="942"/>
      <c r="S277" s="942"/>
      <c r="T277" s="942"/>
      <c r="U277" s="942"/>
    </row>
    <row r="278" spans="1:24" ht="15.75" customHeight="1">
      <c r="A278" s="942"/>
      <c r="B278" s="942"/>
      <c r="C278" s="943"/>
      <c r="D278" s="943"/>
      <c r="E278" s="943"/>
      <c r="F278" s="943"/>
      <c r="G278" s="943"/>
      <c r="H278" s="943"/>
      <c r="I278" s="943"/>
      <c r="J278" s="943"/>
      <c r="K278" s="943"/>
      <c r="L278" s="943"/>
      <c r="M278" s="943"/>
      <c r="N278" s="943"/>
      <c r="O278" s="942"/>
      <c r="P278" s="942"/>
      <c r="Q278" s="942"/>
      <c r="R278" s="942"/>
      <c r="S278" s="942"/>
      <c r="T278" s="942"/>
      <c r="U278" s="942"/>
    </row>
    <row r="279" spans="1:24" ht="15.75" customHeight="1">
      <c r="A279" s="942"/>
      <c r="B279" s="942"/>
      <c r="C279" s="943"/>
      <c r="D279" s="943"/>
      <c r="E279" s="943"/>
      <c r="F279" s="943"/>
      <c r="G279" s="943"/>
      <c r="H279" s="943"/>
      <c r="I279" s="943"/>
      <c r="J279" s="943"/>
      <c r="K279" s="943"/>
      <c r="L279" s="943"/>
      <c r="M279" s="943"/>
      <c r="N279" s="943"/>
      <c r="O279" s="942"/>
      <c r="P279" s="942"/>
      <c r="Q279" s="942"/>
      <c r="R279" s="942"/>
      <c r="S279" s="942"/>
      <c r="T279" s="942"/>
      <c r="U279" s="942"/>
    </row>
    <row r="280" spans="1:24" ht="15.75" customHeight="1">
      <c r="A280" s="942"/>
      <c r="B280" s="942"/>
      <c r="C280" s="943"/>
      <c r="D280" s="943"/>
      <c r="E280" s="943"/>
      <c r="F280" s="943"/>
      <c r="G280" s="943"/>
      <c r="H280" s="943"/>
      <c r="I280" s="943"/>
      <c r="J280" s="943"/>
      <c r="K280" s="943"/>
      <c r="L280" s="943"/>
      <c r="M280" s="943"/>
      <c r="N280" s="943"/>
      <c r="O280" s="942"/>
      <c r="P280" s="942"/>
      <c r="Q280" s="942"/>
      <c r="R280" s="942"/>
      <c r="S280" s="942"/>
      <c r="T280" s="942"/>
      <c r="U280" s="942"/>
    </row>
    <row r="281" spans="1:24" ht="15.75" customHeight="1">
      <c r="A281" s="942"/>
      <c r="B281" s="942"/>
      <c r="C281" s="943"/>
      <c r="D281" s="943"/>
      <c r="E281" s="943"/>
      <c r="F281" s="943"/>
      <c r="G281" s="943"/>
      <c r="H281" s="943"/>
      <c r="I281" s="943"/>
      <c r="J281" s="943"/>
      <c r="K281" s="943"/>
      <c r="L281" s="943"/>
      <c r="M281" s="943"/>
      <c r="N281" s="943"/>
      <c r="O281" s="942"/>
      <c r="P281" s="942"/>
      <c r="Q281" s="942"/>
      <c r="R281" s="942"/>
      <c r="S281" s="942"/>
      <c r="T281" s="942"/>
      <c r="U281" s="942"/>
    </row>
    <row r="282" spans="1:24" ht="15.75" customHeight="1">
      <c r="A282" s="942"/>
      <c r="B282" s="942"/>
      <c r="C282" s="943"/>
      <c r="D282" s="943"/>
      <c r="E282" s="943"/>
      <c r="F282" s="943"/>
      <c r="G282" s="943"/>
      <c r="H282" s="943"/>
      <c r="I282" s="943"/>
      <c r="J282" s="943"/>
      <c r="K282" s="943"/>
      <c r="L282" s="943"/>
      <c r="M282" s="943"/>
      <c r="N282" s="943"/>
      <c r="O282" s="942"/>
      <c r="P282" s="942"/>
      <c r="Q282" s="942"/>
      <c r="R282" s="942"/>
      <c r="S282" s="942"/>
      <c r="T282" s="942"/>
      <c r="U282" s="942"/>
    </row>
    <row r="283" spans="1:24" ht="15.75" customHeight="1">
      <c r="A283" s="942"/>
      <c r="B283" s="942"/>
      <c r="C283" s="943"/>
      <c r="D283" s="943"/>
      <c r="E283" s="943"/>
      <c r="F283" s="943"/>
      <c r="G283" s="943"/>
      <c r="H283" s="943"/>
      <c r="I283" s="943"/>
      <c r="J283" s="943"/>
      <c r="K283" s="943"/>
      <c r="L283" s="943"/>
      <c r="M283" s="943"/>
      <c r="N283" s="943"/>
      <c r="O283" s="942"/>
      <c r="P283" s="942"/>
      <c r="Q283" s="942"/>
      <c r="R283" s="942"/>
      <c r="S283" s="942"/>
      <c r="T283" s="942"/>
      <c r="U283" s="942"/>
    </row>
    <row r="284" spans="1:24" ht="15.75" customHeight="1">
      <c r="A284" s="942"/>
      <c r="B284" s="942"/>
      <c r="C284" s="943"/>
      <c r="D284" s="943"/>
      <c r="E284" s="943"/>
      <c r="F284" s="943"/>
      <c r="G284" s="943"/>
      <c r="H284" s="943"/>
      <c r="I284" s="943"/>
      <c r="J284" s="943"/>
      <c r="K284" s="943"/>
      <c r="L284" s="943"/>
      <c r="M284" s="943"/>
      <c r="N284" s="943"/>
      <c r="O284" s="942"/>
      <c r="P284" s="942"/>
      <c r="Q284" s="942"/>
      <c r="R284" s="942"/>
      <c r="S284" s="942"/>
      <c r="T284" s="942"/>
      <c r="U284" s="942"/>
    </row>
    <row r="285" spans="1:24" ht="15.75" customHeight="1">
      <c r="A285" s="942"/>
      <c r="B285" s="942"/>
      <c r="C285" s="943"/>
      <c r="D285" s="943"/>
      <c r="E285" s="943"/>
      <c r="F285" s="943"/>
      <c r="G285" s="943"/>
      <c r="H285" s="943"/>
      <c r="I285" s="943"/>
      <c r="J285" s="943"/>
      <c r="K285" s="943"/>
      <c r="L285" s="943"/>
      <c r="M285" s="943"/>
      <c r="N285" s="943"/>
      <c r="O285" s="942"/>
      <c r="P285" s="942"/>
      <c r="Q285" s="942"/>
      <c r="R285" s="942"/>
      <c r="S285" s="942"/>
      <c r="T285" s="942"/>
      <c r="U285" s="942"/>
    </row>
    <row r="286" spans="1:24" ht="15.75" customHeight="1">
      <c r="A286" s="942"/>
      <c r="B286" s="942"/>
      <c r="C286" s="943"/>
      <c r="D286" s="943"/>
      <c r="E286" s="943"/>
      <c r="F286" s="943"/>
      <c r="G286" s="943"/>
      <c r="H286" s="943"/>
      <c r="I286" s="943"/>
      <c r="J286" s="943"/>
      <c r="K286" s="943"/>
      <c r="L286" s="943"/>
      <c r="M286" s="943"/>
      <c r="N286" s="943"/>
      <c r="O286" s="942"/>
      <c r="P286" s="942"/>
      <c r="Q286" s="942"/>
      <c r="R286" s="942"/>
      <c r="S286" s="942"/>
      <c r="T286" s="942"/>
      <c r="U286" s="942"/>
    </row>
    <row r="287" spans="1:24" ht="15.75" customHeight="1">
      <c r="A287" s="942"/>
      <c r="B287" s="942"/>
      <c r="C287" s="943"/>
      <c r="D287" s="943"/>
      <c r="E287" s="943"/>
      <c r="F287" s="943"/>
      <c r="G287" s="943"/>
      <c r="H287" s="943"/>
      <c r="I287" s="943"/>
      <c r="J287" s="943"/>
      <c r="K287" s="943"/>
      <c r="L287" s="943"/>
      <c r="M287" s="943"/>
      <c r="N287" s="943"/>
      <c r="O287" s="942"/>
      <c r="P287" s="942"/>
      <c r="Q287" s="942"/>
      <c r="R287" s="942"/>
      <c r="S287" s="942"/>
      <c r="T287" s="942"/>
      <c r="U287" s="942"/>
    </row>
    <row r="288" spans="1:24" ht="15.75" customHeight="1">
      <c r="A288" s="942"/>
      <c r="B288" s="942"/>
      <c r="C288" s="943"/>
      <c r="D288" s="943"/>
      <c r="E288" s="943"/>
      <c r="F288" s="943"/>
      <c r="G288" s="943"/>
      <c r="H288" s="943"/>
      <c r="I288" s="943"/>
      <c r="J288" s="943"/>
      <c r="K288" s="943"/>
      <c r="L288" s="943"/>
      <c r="M288" s="943"/>
      <c r="N288" s="943"/>
      <c r="O288" s="942"/>
      <c r="P288" s="942"/>
      <c r="Q288" s="942"/>
      <c r="R288" s="942"/>
      <c r="S288" s="942"/>
      <c r="T288" s="942"/>
      <c r="U288" s="942"/>
    </row>
    <row r="289" spans="1:21" ht="15.75" customHeight="1">
      <c r="A289" s="942"/>
      <c r="B289" s="942"/>
      <c r="C289" s="943"/>
      <c r="D289" s="943"/>
      <c r="E289" s="943"/>
      <c r="F289" s="943"/>
      <c r="G289" s="943"/>
      <c r="H289" s="943"/>
      <c r="I289" s="943"/>
      <c r="J289" s="943"/>
      <c r="K289" s="943"/>
      <c r="L289" s="943"/>
      <c r="M289" s="943"/>
      <c r="N289" s="943"/>
      <c r="O289" s="942"/>
      <c r="P289" s="942"/>
      <c r="Q289" s="942"/>
      <c r="R289" s="942"/>
      <c r="S289" s="942"/>
      <c r="T289" s="942"/>
      <c r="U289" s="942"/>
    </row>
    <row r="290" spans="1:21" ht="15.75" customHeight="1">
      <c r="C290" s="944"/>
      <c r="D290" s="944"/>
      <c r="E290" s="944"/>
      <c r="F290" s="944"/>
      <c r="G290" s="944"/>
      <c r="H290" s="944"/>
      <c r="I290" s="944"/>
      <c r="J290" s="944"/>
      <c r="K290" s="944"/>
      <c r="L290" s="944"/>
      <c r="M290" s="944"/>
      <c r="N290" s="944"/>
    </row>
    <row r="291" spans="1:21" ht="15.75" customHeight="1">
      <c r="C291" s="944"/>
      <c r="D291" s="944"/>
      <c r="E291" s="944"/>
      <c r="F291" s="944"/>
      <c r="G291" s="944"/>
      <c r="H291" s="944"/>
      <c r="I291" s="944"/>
      <c r="J291" s="944"/>
      <c r="K291" s="944"/>
      <c r="L291" s="944"/>
      <c r="M291" s="944"/>
      <c r="N291" s="944"/>
    </row>
    <row r="292" spans="1:21" ht="15.75" customHeight="1">
      <c r="C292" s="944"/>
      <c r="D292" s="944"/>
      <c r="E292" s="944"/>
      <c r="F292" s="944"/>
      <c r="G292" s="944"/>
      <c r="H292" s="944"/>
      <c r="I292" s="944"/>
      <c r="J292" s="944"/>
      <c r="K292" s="944"/>
      <c r="L292" s="944"/>
      <c r="M292" s="944"/>
      <c r="N292" s="944"/>
    </row>
    <row r="293" spans="1:21" ht="15.75" customHeight="1">
      <c r="C293" s="944"/>
      <c r="D293" s="944"/>
      <c r="E293" s="944"/>
      <c r="F293" s="944"/>
      <c r="G293" s="944"/>
      <c r="H293" s="944"/>
      <c r="I293" s="944"/>
      <c r="J293" s="944"/>
      <c r="K293" s="944"/>
      <c r="L293" s="944"/>
      <c r="M293" s="944"/>
      <c r="N293" s="944"/>
    </row>
    <row r="294" spans="1:21" ht="15.75" customHeight="1">
      <c r="C294" s="944"/>
      <c r="D294" s="944"/>
      <c r="E294" s="944"/>
      <c r="F294" s="944"/>
      <c r="G294" s="944"/>
      <c r="H294" s="944"/>
      <c r="I294" s="944"/>
      <c r="J294" s="944"/>
      <c r="K294" s="944"/>
      <c r="L294" s="944"/>
      <c r="M294" s="944"/>
      <c r="N294" s="944"/>
    </row>
    <row r="295" spans="1:21" ht="15.75" customHeight="1">
      <c r="C295" s="944"/>
      <c r="D295" s="944"/>
      <c r="E295" s="944"/>
      <c r="F295" s="944"/>
      <c r="G295" s="944"/>
      <c r="H295" s="944"/>
      <c r="I295" s="944"/>
      <c r="J295" s="944"/>
      <c r="K295" s="944"/>
      <c r="L295" s="944"/>
      <c r="M295" s="944"/>
      <c r="N295" s="944"/>
    </row>
    <row r="296" spans="1:21" ht="15.75" customHeight="1">
      <c r="C296" s="944"/>
      <c r="D296" s="944"/>
      <c r="E296" s="944"/>
      <c r="F296" s="944"/>
      <c r="G296" s="944"/>
      <c r="H296" s="944"/>
      <c r="I296" s="944"/>
      <c r="J296" s="944"/>
      <c r="K296" s="944"/>
      <c r="L296" s="944"/>
      <c r="M296" s="944"/>
      <c r="N296" s="944"/>
    </row>
    <row r="297" spans="1:21" ht="15.75" customHeight="1">
      <c r="C297" s="944"/>
      <c r="D297" s="944"/>
      <c r="E297" s="944"/>
      <c r="F297" s="944"/>
      <c r="G297" s="944"/>
      <c r="H297" s="944"/>
      <c r="I297" s="944"/>
      <c r="J297" s="944"/>
      <c r="K297" s="944"/>
      <c r="L297" s="944"/>
      <c r="M297" s="944"/>
      <c r="N297" s="944"/>
    </row>
    <row r="298" spans="1:21" ht="15.75" customHeight="1">
      <c r="C298" s="944"/>
      <c r="D298" s="944"/>
      <c r="E298" s="944"/>
      <c r="F298" s="944"/>
      <c r="G298" s="944"/>
      <c r="H298" s="944"/>
      <c r="I298" s="944"/>
      <c r="J298" s="944"/>
      <c r="K298" s="944"/>
      <c r="L298" s="944"/>
      <c r="M298" s="944"/>
      <c r="N298" s="944"/>
    </row>
    <row r="299" spans="1:21" ht="15.75" customHeight="1">
      <c r="C299" s="944"/>
      <c r="D299" s="944"/>
      <c r="E299" s="944"/>
      <c r="F299" s="944"/>
      <c r="G299" s="944"/>
      <c r="H299" s="944"/>
      <c r="I299" s="944"/>
      <c r="J299" s="944"/>
      <c r="K299" s="944"/>
      <c r="L299" s="944"/>
      <c r="M299" s="944"/>
      <c r="N299" s="944"/>
    </row>
    <row r="300" spans="1:21" ht="15.75" customHeight="1">
      <c r="C300" s="944"/>
      <c r="D300" s="944"/>
      <c r="E300" s="944"/>
      <c r="F300" s="944"/>
      <c r="G300" s="944"/>
      <c r="H300" s="944"/>
      <c r="I300" s="944"/>
      <c r="J300" s="944"/>
      <c r="K300" s="944"/>
      <c r="L300" s="944"/>
      <c r="M300" s="944"/>
      <c r="N300" s="944"/>
    </row>
    <row r="301" spans="1:21" ht="15.75" customHeight="1">
      <c r="C301" s="944"/>
      <c r="D301" s="944"/>
      <c r="E301" s="944"/>
      <c r="F301" s="944"/>
      <c r="G301" s="944"/>
      <c r="H301" s="944"/>
      <c r="I301" s="944"/>
      <c r="J301" s="944"/>
      <c r="K301" s="944"/>
      <c r="L301" s="944"/>
      <c r="M301" s="944"/>
      <c r="N301" s="944"/>
    </row>
    <row r="302" spans="1:21" ht="15.75" customHeight="1">
      <c r="C302" s="944"/>
      <c r="D302" s="944"/>
      <c r="E302" s="944"/>
      <c r="F302" s="944"/>
      <c r="G302" s="944"/>
      <c r="H302" s="944"/>
      <c r="I302" s="944"/>
      <c r="J302" s="944"/>
      <c r="K302" s="944"/>
      <c r="L302" s="944"/>
      <c r="M302" s="944"/>
      <c r="N302" s="944"/>
    </row>
    <row r="303" spans="1:21" ht="15.75" customHeight="1">
      <c r="C303" s="944"/>
      <c r="D303" s="944"/>
      <c r="E303" s="944"/>
      <c r="F303" s="944"/>
      <c r="G303" s="944"/>
      <c r="H303" s="944"/>
      <c r="I303" s="944"/>
      <c r="J303" s="944"/>
      <c r="K303" s="944"/>
      <c r="L303" s="944"/>
      <c r="M303" s="944"/>
      <c r="N303" s="944"/>
    </row>
    <row r="304" spans="1:21" ht="15.75" customHeight="1">
      <c r="C304" s="944"/>
      <c r="D304" s="944"/>
      <c r="E304" s="944"/>
      <c r="F304" s="944"/>
      <c r="G304" s="944"/>
      <c r="H304" s="944"/>
      <c r="I304" s="944"/>
      <c r="J304" s="944"/>
      <c r="K304" s="944"/>
      <c r="L304" s="944"/>
      <c r="M304" s="944"/>
      <c r="N304" s="944"/>
    </row>
    <row r="305" spans="3:14" ht="15.75" customHeight="1">
      <c r="C305" s="944"/>
      <c r="D305" s="944"/>
      <c r="E305" s="944"/>
      <c r="F305" s="944"/>
      <c r="G305" s="944"/>
      <c r="H305" s="944"/>
      <c r="I305" s="944"/>
      <c r="J305" s="944"/>
      <c r="K305" s="944"/>
      <c r="L305" s="944"/>
      <c r="M305" s="944"/>
      <c r="N305" s="944"/>
    </row>
    <row r="306" spans="3:14" ht="15.75" customHeight="1">
      <c r="C306" s="944"/>
      <c r="D306" s="944"/>
      <c r="E306" s="944"/>
      <c r="F306" s="944"/>
      <c r="G306" s="944"/>
      <c r="H306" s="944"/>
      <c r="I306" s="944"/>
      <c r="J306" s="944"/>
      <c r="K306" s="944"/>
      <c r="L306" s="944"/>
      <c r="M306" s="944"/>
      <c r="N306" s="944"/>
    </row>
    <row r="307" spans="3:14" ht="15.75" customHeight="1">
      <c r="C307" s="944"/>
      <c r="D307" s="944"/>
      <c r="E307" s="944"/>
      <c r="F307" s="944"/>
      <c r="G307" s="944"/>
      <c r="H307" s="944"/>
      <c r="I307" s="944"/>
      <c r="J307" s="944"/>
      <c r="K307" s="944"/>
      <c r="L307" s="944"/>
      <c r="M307" s="944"/>
      <c r="N307" s="944"/>
    </row>
    <row r="308" spans="3:14" ht="15.75" customHeight="1">
      <c r="C308" s="944"/>
      <c r="D308" s="944"/>
      <c r="E308" s="944"/>
      <c r="F308" s="944"/>
      <c r="G308" s="944"/>
      <c r="H308" s="944"/>
      <c r="I308" s="944"/>
      <c r="J308" s="944"/>
      <c r="K308" s="944"/>
      <c r="L308" s="944"/>
      <c r="M308" s="944"/>
      <c r="N308" s="944"/>
    </row>
    <row r="309" spans="3:14" ht="15.75" customHeight="1">
      <c r="C309" s="944"/>
      <c r="D309" s="944"/>
      <c r="E309" s="944"/>
      <c r="F309" s="944"/>
      <c r="G309" s="944"/>
      <c r="H309" s="944"/>
      <c r="I309" s="944"/>
      <c r="J309" s="944"/>
      <c r="K309" s="944"/>
      <c r="L309" s="944"/>
      <c r="M309" s="944"/>
      <c r="N309" s="944"/>
    </row>
    <row r="310" spans="3:14" ht="15.75" customHeight="1">
      <c r="C310" s="944"/>
      <c r="D310" s="944"/>
      <c r="E310" s="944"/>
      <c r="F310" s="944"/>
      <c r="G310" s="944"/>
      <c r="H310" s="944"/>
      <c r="I310" s="944"/>
      <c r="J310" s="944"/>
      <c r="K310" s="944"/>
      <c r="L310" s="944"/>
      <c r="M310" s="944"/>
      <c r="N310" s="944"/>
    </row>
    <row r="311" spans="3:14" ht="15.75" customHeight="1">
      <c r="C311" s="944"/>
      <c r="D311" s="944"/>
      <c r="E311" s="944"/>
      <c r="F311" s="944"/>
      <c r="G311" s="944"/>
      <c r="H311" s="944"/>
      <c r="I311" s="944"/>
      <c r="J311" s="944"/>
      <c r="K311" s="944"/>
      <c r="L311" s="944"/>
      <c r="M311" s="944"/>
      <c r="N311" s="944"/>
    </row>
    <row r="312" spans="3:14" ht="15.75" customHeight="1">
      <c r="C312" s="944"/>
      <c r="D312" s="944"/>
      <c r="E312" s="944"/>
      <c r="F312" s="944"/>
      <c r="G312" s="944"/>
      <c r="H312" s="944"/>
      <c r="I312" s="944"/>
      <c r="J312" s="944"/>
      <c r="K312" s="944"/>
      <c r="L312" s="944"/>
      <c r="M312" s="944"/>
      <c r="N312" s="944"/>
    </row>
    <row r="313" spans="3:14" ht="15.75" customHeight="1">
      <c r="C313" s="944"/>
      <c r="D313" s="944"/>
      <c r="E313" s="944"/>
      <c r="F313" s="944"/>
      <c r="G313" s="944"/>
      <c r="H313" s="944"/>
      <c r="I313" s="944"/>
      <c r="J313" s="944"/>
      <c r="K313" s="944"/>
      <c r="L313" s="944"/>
      <c r="M313" s="944"/>
      <c r="N313" s="944"/>
    </row>
    <row r="314" spans="3:14" ht="15.75" customHeight="1">
      <c r="C314" s="944"/>
      <c r="D314" s="944"/>
      <c r="E314" s="944"/>
      <c r="F314" s="944"/>
      <c r="G314" s="944"/>
      <c r="H314" s="944"/>
      <c r="I314" s="944"/>
      <c r="J314" s="944"/>
      <c r="K314" s="944"/>
      <c r="L314" s="944"/>
      <c r="M314" s="944"/>
      <c r="N314" s="944"/>
    </row>
    <row r="315" spans="3:14" ht="15.75" customHeight="1">
      <c r="C315" s="944"/>
      <c r="D315" s="944"/>
      <c r="E315" s="944"/>
      <c r="F315" s="944"/>
      <c r="G315" s="944"/>
      <c r="H315" s="944"/>
      <c r="I315" s="944"/>
      <c r="J315" s="944"/>
      <c r="K315" s="944"/>
      <c r="L315" s="944"/>
      <c r="M315" s="944"/>
      <c r="N315" s="944"/>
    </row>
    <row r="316" spans="3:14" ht="15.75" customHeight="1">
      <c r="C316" s="944"/>
      <c r="D316" s="944"/>
      <c r="E316" s="944"/>
      <c r="F316" s="944"/>
      <c r="G316" s="944"/>
      <c r="H316" s="944"/>
      <c r="I316" s="944"/>
      <c r="J316" s="944"/>
      <c r="K316" s="944"/>
      <c r="L316" s="944"/>
      <c r="M316" s="944"/>
      <c r="N316" s="944"/>
    </row>
    <row r="317" spans="3:14" ht="14.25" customHeight="1">
      <c r="C317" s="944"/>
      <c r="D317" s="944"/>
      <c r="E317" s="944"/>
      <c r="F317" s="944"/>
      <c r="G317" s="944"/>
      <c r="H317" s="944"/>
      <c r="I317" s="944"/>
      <c r="J317" s="944"/>
      <c r="K317" s="944"/>
      <c r="L317" s="944"/>
      <c r="M317" s="944"/>
      <c r="N317" s="944"/>
    </row>
    <row r="318" spans="3:14" ht="14.25" customHeight="1">
      <c r="C318" s="944"/>
      <c r="D318" s="944"/>
      <c r="E318" s="944"/>
      <c r="F318" s="944"/>
      <c r="G318" s="944"/>
      <c r="H318" s="944"/>
      <c r="I318" s="944"/>
      <c r="J318" s="944"/>
      <c r="K318" s="944"/>
      <c r="L318" s="944"/>
      <c r="M318" s="944"/>
      <c r="N318" s="944"/>
    </row>
    <row r="319" spans="3:14" ht="14.25" customHeight="1">
      <c r="C319" s="944"/>
      <c r="D319" s="944"/>
      <c r="E319" s="944"/>
      <c r="F319" s="944"/>
      <c r="G319" s="944"/>
      <c r="H319" s="944"/>
      <c r="I319" s="944"/>
      <c r="J319" s="944"/>
      <c r="K319" s="944"/>
      <c r="L319" s="944"/>
      <c r="M319" s="944"/>
      <c r="N319" s="944"/>
    </row>
    <row r="320" spans="3:14" ht="14.25" customHeight="1">
      <c r="C320" s="944"/>
      <c r="D320" s="944"/>
      <c r="E320" s="944"/>
      <c r="F320" s="944"/>
      <c r="G320" s="944"/>
      <c r="H320" s="944"/>
      <c r="I320" s="944"/>
      <c r="J320" s="944"/>
      <c r="K320" s="944"/>
      <c r="L320" s="944"/>
      <c r="M320" s="944"/>
      <c r="N320" s="944"/>
    </row>
    <row r="321" spans="3:14" ht="14.25" customHeight="1">
      <c r="C321" s="944"/>
      <c r="D321" s="944"/>
      <c r="E321" s="944"/>
      <c r="F321" s="944"/>
      <c r="G321" s="944"/>
      <c r="H321" s="944"/>
      <c r="I321" s="944"/>
      <c r="J321" s="944"/>
      <c r="K321" s="944"/>
      <c r="L321" s="944"/>
      <c r="M321" s="944"/>
      <c r="N321" s="944"/>
    </row>
    <row r="322" spans="3:14" ht="14.25" customHeight="1">
      <c r="C322" s="944"/>
      <c r="D322" s="944"/>
      <c r="E322" s="944"/>
      <c r="F322" s="944"/>
      <c r="G322" s="944"/>
      <c r="H322" s="944"/>
      <c r="I322" s="944"/>
      <c r="J322" s="944"/>
      <c r="K322" s="944"/>
      <c r="L322" s="944"/>
      <c r="M322" s="944"/>
      <c r="N322" s="944"/>
    </row>
    <row r="323" spans="3:14" ht="14.25" customHeight="1">
      <c r="C323" s="944"/>
      <c r="D323" s="944"/>
      <c r="E323" s="944"/>
      <c r="F323" s="944"/>
      <c r="G323" s="944"/>
      <c r="H323" s="944"/>
      <c r="I323" s="944"/>
      <c r="J323" s="944"/>
      <c r="K323" s="944"/>
      <c r="L323" s="944"/>
      <c r="M323" s="944"/>
      <c r="N323" s="944"/>
    </row>
    <row r="324" spans="3:14" ht="14.25" customHeight="1">
      <c r="C324" s="944"/>
      <c r="D324" s="944"/>
      <c r="E324" s="944"/>
      <c r="F324" s="944"/>
      <c r="G324" s="944"/>
      <c r="H324" s="944"/>
      <c r="I324" s="944"/>
      <c r="J324" s="944"/>
      <c r="K324" s="944"/>
      <c r="L324" s="944"/>
      <c r="M324" s="944"/>
      <c r="N324" s="944"/>
    </row>
    <row r="325" spans="3:14" ht="14.25" customHeight="1">
      <c r="C325" s="944"/>
      <c r="D325" s="944"/>
      <c r="E325" s="944"/>
      <c r="F325" s="944"/>
      <c r="G325" s="944"/>
      <c r="H325" s="944"/>
      <c r="I325" s="944"/>
      <c r="J325" s="944"/>
      <c r="K325" s="944"/>
      <c r="L325" s="944"/>
      <c r="M325" s="944"/>
      <c r="N325" s="944"/>
    </row>
    <row r="326" spans="3:14" ht="14.25" customHeight="1">
      <c r="C326" s="944"/>
      <c r="D326" s="944"/>
      <c r="E326" s="944"/>
      <c r="F326" s="944"/>
      <c r="G326" s="944"/>
      <c r="H326" s="944"/>
      <c r="I326" s="944"/>
      <c r="J326" s="944"/>
      <c r="K326" s="944"/>
      <c r="L326" s="944"/>
      <c r="M326" s="944"/>
      <c r="N326" s="944"/>
    </row>
    <row r="327" spans="3:14" ht="14.25" customHeight="1">
      <c r="C327" s="944"/>
      <c r="D327" s="944"/>
      <c r="E327" s="944"/>
      <c r="F327" s="944"/>
      <c r="G327" s="944"/>
      <c r="H327" s="944"/>
      <c r="I327" s="944"/>
      <c r="J327" s="944"/>
      <c r="K327" s="944"/>
      <c r="L327" s="944"/>
      <c r="M327" s="944"/>
      <c r="N327" s="944"/>
    </row>
    <row r="328" spans="3:14" ht="14.25" customHeight="1">
      <c r="C328" s="944"/>
      <c r="D328" s="944"/>
      <c r="E328" s="944"/>
      <c r="F328" s="944"/>
      <c r="G328" s="944"/>
      <c r="H328" s="944"/>
      <c r="I328" s="944"/>
      <c r="J328" s="944"/>
      <c r="K328" s="944"/>
      <c r="L328" s="944"/>
      <c r="M328" s="944"/>
      <c r="N328" s="944"/>
    </row>
    <row r="329" spans="3:14" ht="14.25" customHeight="1">
      <c r="C329" s="944"/>
      <c r="D329" s="944"/>
      <c r="E329" s="944"/>
      <c r="F329" s="944"/>
      <c r="G329" s="944"/>
      <c r="H329" s="944"/>
      <c r="I329" s="944"/>
      <c r="J329" s="944"/>
      <c r="K329" s="944"/>
      <c r="L329" s="944"/>
      <c r="M329" s="944"/>
      <c r="N329" s="944"/>
    </row>
    <row r="330" spans="3:14" ht="14.25" customHeight="1">
      <c r="C330" s="944"/>
      <c r="D330" s="944"/>
      <c r="E330" s="944"/>
      <c r="F330" s="944"/>
      <c r="G330" s="944"/>
      <c r="H330" s="944"/>
      <c r="I330" s="944"/>
      <c r="J330" s="944"/>
      <c r="K330" s="944"/>
      <c r="L330" s="944"/>
      <c r="M330" s="944"/>
      <c r="N330" s="944"/>
    </row>
    <row r="331" spans="3:14" ht="14.25" customHeight="1">
      <c r="C331" s="944"/>
      <c r="D331" s="944"/>
      <c r="E331" s="944"/>
      <c r="F331" s="944"/>
      <c r="G331" s="944"/>
      <c r="H331" s="944"/>
      <c r="I331" s="944"/>
      <c r="J331" s="944"/>
      <c r="K331" s="944"/>
      <c r="L331" s="944"/>
      <c r="M331" s="944"/>
      <c r="N331" s="944"/>
    </row>
    <row r="332" spans="3:14" ht="14.25" customHeight="1">
      <c r="C332" s="944"/>
      <c r="D332" s="944"/>
      <c r="E332" s="944"/>
      <c r="F332" s="944"/>
      <c r="G332" s="944"/>
      <c r="H332" s="944"/>
      <c r="I332" s="944"/>
      <c r="J332" s="944"/>
      <c r="K332" s="944"/>
      <c r="L332" s="944"/>
      <c r="M332" s="944"/>
      <c r="N332" s="944"/>
    </row>
    <row r="333" spans="3:14" ht="14.25" customHeight="1">
      <c r="C333" s="944"/>
      <c r="D333" s="944"/>
      <c r="E333" s="944"/>
      <c r="F333" s="944"/>
      <c r="G333" s="944"/>
      <c r="H333" s="944"/>
      <c r="I333" s="944"/>
      <c r="J333" s="944"/>
      <c r="K333" s="944"/>
      <c r="L333" s="944"/>
      <c r="M333" s="944"/>
      <c r="N333" s="944"/>
    </row>
    <row r="334" spans="3:14" ht="14.25" customHeight="1">
      <c r="C334" s="944"/>
      <c r="D334" s="944"/>
      <c r="E334" s="944"/>
      <c r="F334" s="944"/>
      <c r="G334" s="944"/>
      <c r="H334" s="944"/>
      <c r="I334" s="944"/>
      <c r="J334" s="944"/>
      <c r="K334" s="944"/>
      <c r="L334" s="944"/>
      <c r="M334" s="944"/>
      <c r="N334" s="944"/>
    </row>
    <row r="335" spans="3:14" ht="14.25" customHeight="1">
      <c r="C335" s="944"/>
      <c r="D335" s="944"/>
      <c r="E335" s="944"/>
      <c r="F335" s="944"/>
      <c r="G335" s="944"/>
      <c r="H335" s="944"/>
      <c r="I335" s="944"/>
      <c r="J335" s="944"/>
      <c r="K335" s="944"/>
      <c r="L335" s="944"/>
      <c r="M335" s="944"/>
      <c r="N335" s="944"/>
    </row>
    <row r="336" spans="3:14" ht="14.25" customHeight="1">
      <c r="C336" s="944"/>
      <c r="D336" s="944"/>
      <c r="E336" s="944"/>
      <c r="F336" s="944"/>
      <c r="G336" s="944"/>
      <c r="H336" s="944"/>
      <c r="I336" s="944"/>
      <c r="J336" s="944"/>
      <c r="K336" s="944"/>
      <c r="L336" s="944"/>
      <c r="M336" s="944"/>
      <c r="N336" s="944"/>
    </row>
    <row r="337" spans="3:14" ht="14.25" customHeight="1">
      <c r="C337" s="944"/>
      <c r="D337" s="944"/>
      <c r="E337" s="944"/>
      <c r="F337" s="944"/>
      <c r="G337" s="944"/>
      <c r="H337" s="944"/>
      <c r="I337" s="944"/>
      <c r="J337" s="944"/>
      <c r="K337" s="944"/>
      <c r="L337" s="944"/>
      <c r="M337" s="944"/>
      <c r="N337" s="944"/>
    </row>
    <row r="338" spans="3:14" ht="14.25" customHeight="1">
      <c r="C338" s="944"/>
      <c r="D338" s="944"/>
      <c r="E338" s="944"/>
      <c r="F338" s="944"/>
      <c r="G338" s="944"/>
      <c r="H338" s="944"/>
      <c r="I338" s="944"/>
      <c r="J338" s="944"/>
      <c r="K338" s="944"/>
      <c r="L338" s="944"/>
      <c r="M338" s="944"/>
      <c r="N338" s="944"/>
    </row>
    <row r="339" spans="3:14" ht="14.25" customHeight="1">
      <c r="C339" s="944"/>
      <c r="D339" s="944"/>
      <c r="E339" s="944"/>
      <c r="F339" s="944"/>
      <c r="G339" s="944"/>
      <c r="H339" s="944"/>
      <c r="I339" s="944"/>
      <c r="J339" s="944"/>
      <c r="K339" s="944"/>
      <c r="L339" s="944"/>
      <c r="M339" s="944"/>
      <c r="N339" s="944"/>
    </row>
    <row r="340" spans="3:14" ht="14.25" customHeight="1">
      <c r="C340" s="944"/>
      <c r="D340" s="944"/>
      <c r="E340" s="944"/>
      <c r="F340" s="944"/>
      <c r="G340" s="944"/>
      <c r="H340" s="944"/>
      <c r="I340" s="944"/>
      <c r="J340" s="944"/>
      <c r="K340" s="944"/>
      <c r="L340" s="944"/>
      <c r="M340" s="944"/>
      <c r="N340" s="944"/>
    </row>
    <row r="341" spans="3:14" ht="14.25" customHeight="1">
      <c r="C341" s="944"/>
      <c r="D341" s="944"/>
      <c r="E341" s="944"/>
      <c r="F341" s="944"/>
      <c r="G341" s="944"/>
      <c r="H341" s="944"/>
      <c r="I341" s="944"/>
      <c r="J341" s="944"/>
      <c r="K341" s="944"/>
      <c r="L341" s="944"/>
      <c r="M341" s="944"/>
      <c r="N341" s="944"/>
    </row>
    <row r="342" spans="3:14" ht="14.25" customHeight="1">
      <c r="C342" s="944"/>
      <c r="D342" s="944"/>
      <c r="E342" s="944"/>
      <c r="F342" s="944"/>
      <c r="G342" s="944"/>
      <c r="H342" s="944"/>
      <c r="I342" s="944"/>
      <c r="J342" s="944"/>
      <c r="K342" s="944"/>
      <c r="L342" s="944"/>
      <c r="M342" s="944"/>
      <c r="N342" s="944"/>
    </row>
    <row r="343" spans="3:14" ht="14.25" customHeight="1">
      <c r="C343" s="944"/>
      <c r="D343" s="944"/>
      <c r="E343" s="944"/>
      <c r="F343" s="944"/>
      <c r="G343" s="944"/>
      <c r="H343" s="944"/>
      <c r="I343" s="944"/>
      <c r="J343" s="944"/>
      <c r="K343" s="944"/>
      <c r="L343" s="944"/>
      <c r="M343" s="944"/>
      <c r="N343" s="944"/>
    </row>
    <row r="344" spans="3:14" ht="14.25" customHeight="1">
      <c r="C344" s="944"/>
      <c r="D344" s="944"/>
      <c r="E344" s="944"/>
      <c r="F344" s="944"/>
      <c r="G344" s="944"/>
      <c r="H344" s="944"/>
      <c r="I344" s="944"/>
      <c r="J344" s="944"/>
      <c r="K344" s="944"/>
      <c r="L344" s="944"/>
      <c r="M344" s="944"/>
      <c r="N344" s="944"/>
    </row>
    <row r="345" spans="3:14" ht="14.25" customHeight="1">
      <c r="C345" s="944"/>
      <c r="D345" s="944"/>
      <c r="E345" s="944"/>
      <c r="F345" s="944"/>
      <c r="G345" s="944"/>
      <c r="H345" s="944"/>
      <c r="I345" s="944"/>
      <c r="J345" s="944"/>
      <c r="K345" s="944"/>
      <c r="L345" s="944"/>
      <c r="M345" s="944"/>
      <c r="N345" s="944"/>
    </row>
    <row r="346" spans="3:14" ht="14.25" customHeight="1">
      <c r="C346" s="944"/>
      <c r="D346" s="944"/>
      <c r="E346" s="944"/>
      <c r="F346" s="944"/>
      <c r="G346" s="944"/>
      <c r="H346" s="944"/>
      <c r="I346" s="944"/>
      <c r="J346" s="944"/>
      <c r="K346" s="944"/>
      <c r="L346" s="944"/>
      <c r="M346" s="944"/>
      <c r="N346" s="944"/>
    </row>
    <row r="347" spans="3:14" ht="14.25" customHeight="1">
      <c r="C347" s="944"/>
      <c r="D347" s="944"/>
      <c r="E347" s="944"/>
      <c r="F347" s="944"/>
      <c r="G347" s="944"/>
      <c r="H347" s="944"/>
      <c r="I347" s="944"/>
      <c r="J347" s="944"/>
      <c r="K347" s="944"/>
      <c r="L347" s="944"/>
      <c r="M347" s="944"/>
      <c r="N347" s="944"/>
    </row>
    <row r="348" spans="3:14" ht="14.25" customHeight="1">
      <c r="C348" s="944"/>
      <c r="D348" s="944"/>
      <c r="E348" s="944"/>
      <c r="F348" s="944"/>
      <c r="G348" s="944"/>
      <c r="H348" s="944"/>
      <c r="I348" s="944"/>
      <c r="J348" s="944"/>
      <c r="K348" s="944"/>
      <c r="L348" s="944"/>
      <c r="M348" s="944"/>
      <c r="N348" s="944"/>
    </row>
    <row r="349" spans="3:14" ht="14.25" customHeight="1">
      <c r="C349" s="944"/>
      <c r="D349" s="944"/>
      <c r="E349" s="944"/>
      <c r="F349" s="944"/>
      <c r="G349" s="944"/>
      <c r="H349" s="944"/>
      <c r="I349" s="944"/>
      <c r="J349" s="944"/>
      <c r="K349" s="944"/>
      <c r="L349" s="944"/>
      <c r="M349" s="944"/>
      <c r="N349" s="944"/>
    </row>
    <row r="350" spans="3:14" ht="14.25" customHeight="1">
      <c r="C350" s="944"/>
      <c r="D350" s="944"/>
      <c r="E350" s="944"/>
      <c r="F350" s="944"/>
      <c r="G350" s="944"/>
      <c r="H350" s="944"/>
      <c r="I350" s="944"/>
      <c r="J350" s="944"/>
      <c r="K350" s="944"/>
      <c r="L350" s="944"/>
      <c r="M350" s="944"/>
      <c r="N350" s="944"/>
    </row>
    <row r="351" spans="3:14" ht="14.25" customHeight="1">
      <c r="C351" s="944"/>
      <c r="D351" s="944"/>
      <c r="E351" s="944"/>
      <c r="F351" s="944"/>
      <c r="G351" s="944"/>
      <c r="H351" s="944"/>
      <c r="I351" s="944"/>
      <c r="J351" s="944"/>
      <c r="K351" s="944"/>
      <c r="L351" s="944"/>
      <c r="M351" s="944"/>
      <c r="N351" s="944"/>
    </row>
    <row r="352" spans="3:14" ht="14.25" customHeight="1">
      <c r="C352" s="944"/>
      <c r="D352" s="944"/>
      <c r="E352" s="944"/>
      <c r="F352" s="944"/>
      <c r="G352" s="944"/>
      <c r="H352" s="944"/>
      <c r="I352" s="944"/>
      <c r="J352" s="944"/>
      <c r="K352" s="944"/>
      <c r="L352" s="944"/>
      <c r="M352" s="944"/>
      <c r="N352" s="944"/>
    </row>
    <row r="353" spans="3:14" ht="14.25" customHeight="1">
      <c r="C353" s="944"/>
      <c r="D353" s="944"/>
      <c r="E353" s="944"/>
      <c r="F353" s="944"/>
      <c r="G353" s="944"/>
      <c r="H353" s="944"/>
      <c r="I353" s="944"/>
      <c r="J353" s="944"/>
      <c r="K353" s="944"/>
      <c r="L353" s="944"/>
      <c r="M353" s="944"/>
      <c r="N353" s="944"/>
    </row>
    <row r="354" spans="3:14" ht="14.25" customHeight="1">
      <c r="C354" s="944"/>
      <c r="D354" s="944"/>
      <c r="E354" s="944"/>
      <c r="F354" s="944"/>
      <c r="G354" s="944"/>
      <c r="H354" s="944"/>
      <c r="I354" s="944"/>
      <c r="J354" s="944"/>
      <c r="K354" s="944"/>
      <c r="L354" s="944"/>
      <c r="M354" s="944"/>
      <c r="N354" s="944"/>
    </row>
    <row r="355" spans="3:14" ht="14.25" customHeight="1">
      <c r="C355" s="944"/>
      <c r="D355" s="944"/>
      <c r="E355" s="944"/>
      <c r="F355" s="944"/>
      <c r="G355" s="944"/>
      <c r="H355" s="944"/>
      <c r="I355" s="944"/>
      <c r="J355" s="944"/>
      <c r="K355" s="944"/>
      <c r="L355" s="944"/>
      <c r="M355" s="944"/>
      <c r="N355" s="944"/>
    </row>
    <row r="356" spans="3:14" ht="14.25" customHeight="1">
      <c r="C356" s="944"/>
      <c r="D356" s="944"/>
      <c r="E356" s="944"/>
      <c r="F356" s="944"/>
      <c r="G356" s="944"/>
      <c r="H356" s="944"/>
      <c r="I356" s="944"/>
      <c r="J356" s="944"/>
      <c r="K356" s="944"/>
      <c r="L356" s="944"/>
      <c r="M356" s="944"/>
      <c r="N356" s="944"/>
    </row>
    <row r="357" spans="3:14" ht="14.25" customHeight="1">
      <c r="C357" s="944"/>
      <c r="D357" s="944"/>
      <c r="E357" s="944"/>
      <c r="F357" s="944"/>
      <c r="G357" s="944"/>
      <c r="H357" s="944"/>
      <c r="I357" s="944"/>
      <c r="J357" s="944"/>
      <c r="K357" s="944"/>
      <c r="L357" s="944"/>
      <c r="M357" s="944"/>
      <c r="N357" s="944"/>
    </row>
    <row r="358" spans="3:14" ht="14.25" customHeight="1">
      <c r="C358" s="944"/>
      <c r="D358" s="944"/>
      <c r="E358" s="944"/>
      <c r="F358" s="944"/>
      <c r="G358" s="944"/>
      <c r="H358" s="944"/>
      <c r="I358" s="944"/>
      <c r="J358" s="944"/>
      <c r="K358" s="944"/>
      <c r="L358" s="944"/>
      <c r="M358" s="944"/>
      <c r="N358" s="944"/>
    </row>
    <row r="359" spans="3:14" ht="14.25" customHeight="1">
      <c r="C359" s="944"/>
      <c r="D359" s="944"/>
      <c r="E359" s="944"/>
      <c r="F359" s="944"/>
      <c r="G359" s="944"/>
      <c r="H359" s="944"/>
      <c r="I359" s="944"/>
      <c r="J359" s="944"/>
      <c r="K359" s="944"/>
      <c r="L359" s="944"/>
      <c r="M359" s="944"/>
      <c r="N359" s="944"/>
    </row>
    <row r="360" spans="3:14" ht="14.25" customHeight="1">
      <c r="C360" s="944"/>
      <c r="D360" s="944"/>
      <c r="E360" s="944"/>
      <c r="F360" s="944"/>
      <c r="G360" s="944"/>
      <c r="H360" s="944"/>
      <c r="I360" s="944"/>
      <c r="J360" s="944"/>
      <c r="K360" s="944"/>
      <c r="L360" s="944"/>
      <c r="M360" s="944"/>
      <c r="N360" s="944"/>
    </row>
    <row r="361" spans="3:14" ht="14.25" customHeight="1">
      <c r="C361" s="944"/>
      <c r="D361" s="944"/>
      <c r="E361" s="944"/>
      <c r="F361" s="944"/>
      <c r="G361" s="944"/>
      <c r="H361" s="944"/>
      <c r="I361" s="944"/>
      <c r="J361" s="944"/>
      <c r="K361" s="944"/>
      <c r="L361" s="944"/>
      <c r="M361" s="944"/>
      <c r="N361" s="944"/>
    </row>
    <row r="362" spans="3:14" ht="14.25" customHeight="1">
      <c r="C362" s="944"/>
      <c r="D362" s="944"/>
      <c r="E362" s="944"/>
      <c r="F362" s="944"/>
      <c r="G362" s="944"/>
      <c r="H362" s="944"/>
      <c r="I362" s="944"/>
      <c r="J362" s="944"/>
      <c r="K362" s="944"/>
      <c r="L362" s="944"/>
      <c r="M362" s="944"/>
      <c r="N362" s="944"/>
    </row>
    <row r="363" spans="3:14" ht="14.25" customHeight="1">
      <c r="C363" s="944"/>
      <c r="D363" s="944"/>
      <c r="E363" s="944"/>
      <c r="F363" s="944"/>
      <c r="G363" s="944"/>
      <c r="H363" s="944"/>
      <c r="I363" s="944"/>
      <c r="J363" s="944"/>
      <c r="K363" s="944"/>
      <c r="L363" s="944"/>
      <c r="M363" s="944"/>
      <c r="N363" s="944"/>
    </row>
    <row r="364" spans="3:14" ht="14.25" customHeight="1">
      <c r="C364" s="944"/>
      <c r="D364" s="944"/>
      <c r="E364" s="944"/>
      <c r="F364" s="944"/>
      <c r="G364" s="944"/>
      <c r="H364" s="944"/>
      <c r="I364" s="944"/>
      <c r="J364" s="944"/>
      <c r="K364" s="944"/>
      <c r="L364" s="944"/>
      <c r="M364" s="944"/>
      <c r="N364" s="944"/>
    </row>
    <row r="365" spans="3:14" ht="14.25" customHeight="1">
      <c r="C365" s="944"/>
      <c r="D365" s="944"/>
      <c r="E365" s="944"/>
      <c r="F365" s="944"/>
      <c r="G365" s="944"/>
      <c r="H365" s="944"/>
      <c r="I365" s="944"/>
      <c r="J365" s="944"/>
      <c r="K365" s="944"/>
      <c r="L365" s="944"/>
      <c r="M365" s="944"/>
      <c r="N365" s="944"/>
    </row>
    <row r="366" spans="3:14" ht="14.25" customHeight="1">
      <c r="C366" s="944"/>
      <c r="D366" s="944"/>
      <c r="E366" s="944"/>
      <c r="F366" s="944"/>
      <c r="G366" s="944"/>
      <c r="H366" s="944"/>
      <c r="I366" s="944"/>
      <c r="J366" s="944"/>
      <c r="K366" s="944"/>
      <c r="L366" s="944"/>
      <c r="M366" s="944"/>
      <c r="N366" s="944"/>
    </row>
    <row r="367" spans="3:14" ht="14.25" customHeight="1">
      <c r="C367" s="944"/>
      <c r="D367" s="944"/>
      <c r="E367" s="944"/>
      <c r="F367" s="944"/>
      <c r="G367" s="944"/>
      <c r="H367" s="944"/>
      <c r="I367" s="944"/>
      <c r="J367" s="944"/>
      <c r="K367" s="944"/>
      <c r="L367" s="944"/>
      <c r="M367" s="944"/>
      <c r="N367" s="944"/>
    </row>
    <row r="368" spans="3:14" ht="14.25" customHeight="1">
      <c r="C368" s="944"/>
      <c r="D368" s="944"/>
      <c r="E368" s="944"/>
      <c r="F368" s="944"/>
      <c r="G368" s="944"/>
      <c r="H368" s="944"/>
      <c r="I368" s="944"/>
      <c r="J368" s="944"/>
      <c r="K368" s="944"/>
      <c r="L368" s="944"/>
      <c r="M368" s="944"/>
      <c r="N368" s="944"/>
    </row>
    <row r="369" spans="3:14" ht="14.25" customHeight="1">
      <c r="C369" s="944"/>
      <c r="D369" s="944"/>
      <c r="E369" s="944"/>
      <c r="F369" s="944"/>
      <c r="G369" s="944"/>
      <c r="H369" s="944"/>
      <c r="I369" s="944"/>
      <c r="J369" s="944"/>
      <c r="K369" s="944"/>
      <c r="L369" s="944"/>
      <c r="M369" s="944"/>
      <c r="N369" s="944"/>
    </row>
    <row r="370" spans="3:14" ht="14.25" customHeight="1">
      <c r="C370" s="944"/>
      <c r="D370" s="944"/>
      <c r="E370" s="944"/>
      <c r="F370" s="944"/>
      <c r="G370" s="944"/>
      <c r="H370" s="944"/>
      <c r="I370" s="944"/>
      <c r="J370" s="944"/>
      <c r="K370" s="944"/>
      <c r="L370" s="944"/>
      <c r="M370" s="944"/>
      <c r="N370" s="944"/>
    </row>
    <row r="371" spans="3:14" ht="14.25" customHeight="1">
      <c r="C371" s="944"/>
      <c r="D371" s="944"/>
      <c r="E371" s="944"/>
      <c r="F371" s="944"/>
      <c r="G371" s="944"/>
      <c r="H371" s="944"/>
      <c r="I371" s="944"/>
      <c r="J371" s="944"/>
      <c r="K371" s="944"/>
      <c r="L371" s="944"/>
      <c r="M371" s="944"/>
      <c r="N371" s="944"/>
    </row>
    <row r="372" spans="3:14" ht="14.25" customHeight="1">
      <c r="C372" s="944"/>
      <c r="D372" s="944"/>
      <c r="E372" s="944"/>
      <c r="F372" s="944"/>
      <c r="G372" s="944"/>
      <c r="H372" s="944"/>
      <c r="I372" s="944"/>
      <c r="J372" s="944"/>
      <c r="K372" s="944"/>
      <c r="L372" s="944"/>
      <c r="M372" s="944"/>
      <c r="N372" s="944"/>
    </row>
    <row r="373" spans="3:14" ht="14.25" customHeight="1">
      <c r="C373" s="944"/>
      <c r="D373" s="944"/>
      <c r="E373" s="944"/>
      <c r="F373" s="944"/>
      <c r="G373" s="944"/>
      <c r="H373" s="944"/>
      <c r="I373" s="944"/>
      <c r="J373" s="944"/>
      <c r="K373" s="944"/>
      <c r="L373" s="944"/>
      <c r="M373" s="944"/>
      <c r="N373" s="944"/>
    </row>
    <row r="374" spans="3:14" ht="14.25" customHeight="1">
      <c r="C374" s="944"/>
      <c r="D374" s="944"/>
      <c r="E374" s="944"/>
      <c r="F374" s="944"/>
      <c r="G374" s="944"/>
      <c r="H374" s="944"/>
      <c r="I374" s="944"/>
      <c r="J374" s="944"/>
      <c r="K374" s="944"/>
      <c r="L374" s="944"/>
      <c r="M374" s="944"/>
      <c r="N374" s="944"/>
    </row>
    <row r="375" spans="3:14" ht="14.25" customHeight="1">
      <c r="C375" s="944"/>
      <c r="D375" s="944"/>
      <c r="E375" s="944"/>
      <c r="F375" s="944"/>
      <c r="G375" s="944"/>
      <c r="H375" s="944"/>
      <c r="I375" s="944"/>
      <c r="J375" s="944"/>
      <c r="K375" s="944"/>
      <c r="L375" s="944"/>
      <c r="M375" s="944"/>
      <c r="N375" s="944"/>
    </row>
    <row r="376" spans="3:14" ht="14.25" customHeight="1">
      <c r="C376" s="944"/>
      <c r="D376" s="944"/>
      <c r="E376" s="944"/>
      <c r="F376" s="944"/>
      <c r="G376" s="944"/>
      <c r="H376" s="944"/>
      <c r="I376" s="944"/>
      <c r="J376" s="944"/>
      <c r="K376" s="944"/>
      <c r="L376" s="944"/>
      <c r="M376" s="944"/>
      <c r="N376" s="944"/>
    </row>
    <row r="377" spans="3:14" ht="14.25" customHeight="1">
      <c r="C377" s="944"/>
      <c r="D377" s="944"/>
      <c r="E377" s="944"/>
      <c r="F377" s="944"/>
      <c r="G377" s="944"/>
      <c r="H377" s="944"/>
      <c r="I377" s="944"/>
      <c r="J377" s="944"/>
      <c r="K377" s="944"/>
      <c r="L377" s="944"/>
      <c r="M377" s="944"/>
      <c r="N377" s="944"/>
    </row>
    <row r="378" spans="3:14" ht="14.25" customHeight="1">
      <c r="C378" s="944"/>
      <c r="D378" s="944"/>
      <c r="E378" s="944"/>
      <c r="F378" s="944"/>
      <c r="G378" s="944"/>
      <c r="H378" s="944"/>
      <c r="I378" s="944"/>
      <c r="J378" s="944"/>
      <c r="K378" s="944"/>
      <c r="L378" s="944"/>
      <c r="M378" s="944"/>
      <c r="N378" s="944"/>
    </row>
    <row r="379" spans="3:14" ht="14.25" customHeight="1">
      <c r="C379" s="944"/>
      <c r="D379" s="944"/>
      <c r="E379" s="944"/>
      <c r="F379" s="944"/>
      <c r="G379" s="944"/>
      <c r="H379" s="944"/>
      <c r="I379" s="944"/>
      <c r="J379" s="944"/>
      <c r="K379" s="944"/>
      <c r="L379" s="944"/>
      <c r="M379" s="944"/>
      <c r="N379" s="944"/>
    </row>
    <row r="380" spans="3:14" ht="14.25" customHeight="1">
      <c r="C380" s="944"/>
      <c r="D380" s="944"/>
      <c r="E380" s="944"/>
      <c r="F380" s="944"/>
      <c r="G380" s="944"/>
      <c r="H380" s="944"/>
      <c r="I380" s="944"/>
      <c r="J380" s="944"/>
      <c r="K380" s="944"/>
      <c r="L380" s="944"/>
      <c r="M380" s="944"/>
      <c r="N380" s="944"/>
    </row>
    <row r="381" spans="3:14" ht="14.25" customHeight="1">
      <c r="C381" s="944"/>
      <c r="D381" s="944"/>
      <c r="E381" s="944"/>
      <c r="F381" s="944"/>
      <c r="G381" s="944"/>
      <c r="H381" s="944"/>
      <c r="I381" s="944"/>
      <c r="J381" s="944"/>
      <c r="K381" s="944"/>
      <c r="L381" s="944"/>
      <c r="M381" s="944"/>
      <c r="N381" s="944"/>
    </row>
    <row r="382" spans="3:14" ht="14.25" customHeight="1">
      <c r="C382" s="944"/>
      <c r="D382" s="944"/>
      <c r="E382" s="944"/>
      <c r="F382" s="944"/>
      <c r="G382" s="944"/>
      <c r="H382" s="944"/>
      <c r="I382" s="944"/>
      <c r="J382" s="944"/>
      <c r="K382" s="944"/>
      <c r="L382" s="944"/>
      <c r="M382" s="944"/>
      <c r="N382" s="944"/>
    </row>
    <row r="383" spans="3:14" ht="14.25" customHeight="1">
      <c r="C383" s="944"/>
      <c r="D383" s="944"/>
      <c r="E383" s="944"/>
      <c r="F383" s="944"/>
      <c r="G383" s="944"/>
      <c r="H383" s="944"/>
      <c r="I383" s="944"/>
      <c r="J383" s="944"/>
      <c r="K383" s="944"/>
      <c r="L383" s="944"/>
      <c r="M383" s="944"/>
      <c r="N383" s="944"/>
    </row>
    <row r="384" spans="3:14" ht="14.25" customHeight="1">
      <c r="C384" s="944"/>
      <c r="D384" s="944"/>
      <c r="E384" s="944"/>
      <c r="F384" s="944"/>
      <c r="G384" s="944"/>
      <c r="H384" s="944"/>
      <c r="I384" s="944"/>
      <c r="J384" s="944"/>
      <c r="K384" s="944"/>
      <c r="L384" s="944"/>
      <c r="M384" s="944"/>
      <c r="N384" s="944"/>
    </row>
    <row r="385" spans="3:14" ht="14.25" customHeight="1">
      <c r="C385" s="944"/>
      <c r="D385" s="944"/>
      <c r="E385" s="944"/>
      <c r="F385" s="944"/>
      <c r="G385" s="944"/>
      <c r="H385" s="944"/>
      <c r="I385" s="944"/>
      <c r="J385" s="944"/>
      <c r="K385" s="944"/>
      <c r="L385" s="944"/>
      <c r="M385" s="944"/>
      <c r="N385" s="944"/>
    </row>
    <row r="386" spans="3:14" ht="14.25" customHeight="1">
      <c r="C386" s="944"/>
      <c r="D386" s="944"/>
      <c r="E386" s="944"/>
      <c r="F386" s="944"/>
      <c r="G386" s="944"/>
      <c r="H386" s="944"/>
      <c r="I386" s="944"/>
      <c r="J386" s="944"/>
      <c r="K386" s="944"/>
      <c r="L386" s="944"/>
      <c r="M386" s="944"/>
      <c r="N386" s="944"/>
    </row>
    <row r="387" spans="3:14" ht="14.25" customHeight="1">
      <c r="C387" s="944"/>
      <c r="D387" s="944"/>
      <c r="E387" s="944"/>
      <c r="F387" s="944"/>
      <c r="G387" s="944"/>
      <c r="H387" s="944"/>
      <c r="I387" s="944"/>
      <c r="J387" s="944"/>
      <c r="K387" s="944"/>
      <c r="L387" s="944"/>
      <c r="M387" s="944"/>
      <c r="N387" s="944"/>
    </row>
    <row r="388" spans="3:14" ht="14.25" customHeight="1">
      <c r="C388" s="944"/>
      <c r="D388" s="944"/>
      <c r="E388" s="944"/>
      <c r="F388" s="944"/>
      <c r="G388" s="944"/>
      <c r="H388" s="944"/>
      <c r="I388" s="944"/>
      <c r="J388" s="944"/>
      <c r="K388" s="944"/>
      <c r="L388" s="944"/>
      <c r="M388" s="944"/>
      <c r="N388" s="944"/>
    </row>
    <row r="389" spans="3:14" ht="14.25" customHeight="1">
      <c r="C389" s="944"/>
      <c r="D389" s="944"/>
      <c r="E389" s="944"/>
      <c r="F389" s="944"/>
      <c r="G389" s="944"/>
      <c r="H389" s="944"/>
      <c r="I389" s="944"/>
      <c r="J389" s="944"/>
      <c r="K389" s="944"/>
      <c r="L389" s="944"/>
      <c r="M389" s="944"/>
      <c r="N389" s="944"/>
    </row>
    <row r="390" spans="3:14" ht="14.25" customHeight="1">
      <c r="C390" s="944"/>
      <c r="D390" s="944"/>
      <c r="E390" s="944"/>
      <c r="F390" s="944"/>
      <c r="G390" s="944"/>
      <c r="H390" s="944"/>
      <c r="I390" s="944"/>
      <c r="J390" s="944"/>
      <c r="K390" s="944"/>
      <c r="L390" s="944"/>
      <c r="M390" s="944"/>
      <c r="N390" s="944"/>
    </row>
    <row r="391" spans="3:14" ht="14.25" customHeight="1">
      <c r="C391" s="944"/>
      <c r="D391" s="944"/>
      <c r="E391" s="944"/>
      <c r="F391" s="944"/>
      <c r="G391" s="944"/>
      <c r="H391" s="944"/>
      <c r="I391" s="944"/>
      <c r="J391" s="944"/>
      <c r="K391" s="944"/>
      <c r="L391" s="944"/>
      <c r="M391" s="944"/>
      <c r="N391" s="944"/>
    </row>
    <row r="392" spans="3:14" ht="14.25" customHeight="1">
      <c r="C392" s="944"/>
      <c r="D392" s="944"/>
      <c r="E392" s="944"/>
      <c r="F392" s="944"/>
      <c r="G392" s="944"/>
      <c r="H392" s="944"/>
      <c r="I392" s="944"/>
      <c r="J392" s="944"/>
      <c r="K392" s="944"/>
      <c r="L392" s="944"/>
      <c r="M392" s="944"/>
      <c r="N392" s="944"/>
    </row>
    <row r="393" spans="3:14" ht="14.25" customHeight="1">
      <c r="C393" s="944"/>
      <c r="D393" s="944"/>
      <c r="E393" s="944"/>
      <c r="F393" s="944"/>
      <c r="G393" s="944"/>
      <c r="H393" s="944"/>
      <c r="I393" s="944"/>
      <c r="J393" s="944"/>
      <c r="K393" s="944"/>
      <c r="L393" s="944"/>
      <c r="M393" s="944"/>
      <c r="N393" s="944"/>
    </row>
    <row r="394" spans="3:14" ht="14.25" customHeight="1">
      <c r="C394" s="944"/>
      <c r="D394" s="944"/>
      <c r="E394" s="944"/>
      <c r="F394" s="944"/>
      <c r="G394" s="944"/>
      <c r="H394" s="944"/>
      <c r="I394" s="944"/>
      <c r="J394" s="944"/>
      <c r="K394" s="944"/>
      <c r="L394" s="944"/>
      <c r="M394" s="944"/>
      <c r="N394" s="944"/>
    </row>
    <row r="395" spans="3:14" ht="14.25" customHeight="1">
      <c r="C395" s="944"/>
      <c r="D395" s="944"/>
      <c r="E395" s="944"/>
      <c r="F395" s="944"/>
      <c r="G395" s="944"/>
      <c r="H395" s="944"/>
      <c r="I395" s="944"/>
      <c r="J395" s="944"/>
      <c r="K395" s="944"/>
      <c r="L395" s="944"/>
      <c r="M395" s="944"/>
      <c r="N395" s="944"/>
    </row>
    <row r="396" spans="3:14" ht="14.25" customHeight="1">
      <c r="C396" s="944"/>
      <c r="D396" s="944"/>
      <c r="E396" s="944"/>
      <c r="F396" s="944"/>
      <c r="G396" s="944"/>
      <c r="H396" s="944"/>
      <c r="I396" s="944"/>
      <c r="J396" s="944"/>
      <c r="K396" s="944"/>
      <c r="L396" s="944"/>
      <c r="M396" s="944"/>
      <c r="N396" s="944"/>
    </row>
    <row r="397" spans="3:14" ht="14.25" customHeight="1">
      <c r="C397" s="944"/>
      <c r="D397" s="944"/>
      <c r="E397" s="944"/>
      <c r="F397" s="944"/>
      <c r="G397" s="944"/>
      <c r="H397" s="944"/>
      <c r="I397" s="944"/>
      <c r="J397" s="944"/>
      <c r="K397" s="944"/>
      <c r="L397" s="944"/>
      <c r="M397" s="944"/>
      <c r="N397" s="944"/>
    </row>
    <row r="398" spans="3:14" ht="14.25" customHeight="1">
      <c r="C398" s="944"/>
      <c r="D398" s="944"/>
      <c r="E398" s="944"/>
      <c r="F398" s="944"/>
      <c r="G398" s="944"/>
      <c r="H398" s="944"/>
      <c r="I398" s="944"/>
      <c r="J398" s="944"/>
      <c r="K398" s="944"/>
      <c r="L398" s="944"/>
      <c r="M398" s="944"/>
      <c r="N398" s="944"/>
    </row>
    <row r="399" spans="3:14" ht="14.25" customHeight="1">
      <c r="C399" s="944"/>
      <c r="D399" s="944"/>
      <c r="E399" s="944"/>
      <c r="F399" s="944"/>
      <c r="G399" s="944"/>
      <c r="H399" s="944"/>
      <c r="I399" s="944"/>
      <c r="J399" s="944"/>
      <c r="K399" s="944"/>
      <c r="L399" s="944"/>
      <c r="M399" s="944"/>
      <c r="N399" s="944"/>
    </row>
    <row r="400" spans="3:14" ht="14.25" customHeight="1">
      <c r="C400" s="944"/>
      <c r="D400" s="944"/>
      <c r="E400" s="944"/>
      <c r="F400" s="944"/>
      <c r="G400" s="944"/>
      <c r="H400" s="944"/>
      <c r="I400" s="944"/>
      <c r="J400" s="944"/>
      <c r="K400" s="944"/>
      <c r="L400" s="944"/>
      <c r="M400" s="944"/>
      <c r="N400" s="944"/>
    </row>
    <row r="401" spans="3:14" ht="14.25" customHeight="1">
      <c r="C401" s="944"/>
      <c r="D401" s="944"/>
      <c r="E401" s="944"/>
      <c r="F401" s="944"/>
      <c r="G401" s="944"/>
      <c r="H401" s="944"/>
      <c r="I401" s="944"/>
      <c r="J401" s="944"/>
      <c r="K401" s="944"/>
      <c r="L401" s="944"/>
      <c r="M401" s="944"/>
      <c r="N401" s="944"/>
    </row>
    <row r="402" spans="3:14" ht="14.25" customHeight="1">
      <c r="C402" s="944"/>
      <c r="D402" s="944"/>
      <c r="E402" s="944"/>
      <c r="F402" s="944"/>
      <c r="G402" s="944"/>
      <c r="H402" s="944"/>
      <c r="I402" s="944"/>
      <c r="J402" s="944"/>
      <c r="K402" s="944"/>
      <c r="L402" s="944"/>
      <c r="M402" s="944"/>
      <c r="N402" s="944"/>
    </row>
    <row r="403" spans="3:14" ht="14.25" customHeight="1">
      <c r="C403" s="944"/>
      <c r="D403" s="944"/>
      <c r="E403" s="944"/>
      <c r="F403" s="944"/>
      <c r="G403" s="944"/>
      <c r="H403" s="944"/>
      <c r="I403" s="944"/>
      <c r="J403" s="944"/>
      <c r="K403" s="944"/>
      <c r="L403" s="944"/>
      <c r="M403" s="944"/>
      <c r="N403" s="944"/>
    </row>
    <row r="404" spans="3:14" ht="14.25" customHeight="1">
      <c r="C404" s="944"/>
      <c r="D404" s="944"/>
      <c r="E404" s="944"/>
      <c r="F404" s="944"/>
      <c r="G404" s="944"/>
      <c r="H404" s="944"/>
      <c r="I404" s="944"/>
      <c r="J404" s="944"/>
      <c r="K404" s="944"/>
      <c r="L404" s="944"/>
      <c r="M404" s="944"/>
      <c r="N404" s="944"/>
    </row>
    <row r="405" spans="3:14" ht="14.25" customHeight="1">
      <c r="C405" s="944"/>
      <c r="D405" s="944"/>
      <c r="E405" s="944"/>
      <c r="F405" s="944"/>
      <c r="G405" s="944"/>
      <c r="H405" s="944"/>
      <c r="I405" s="944"/>
      <c r="J405" s="944"/>
      <c r="K405" s="944"/>
      <c r="L405" s="944"/>
      <c r="M405" s="944"/>
      <c r="N405" s="944"/>
    </row>
    <row r="406" spans="3:14" ht="14.25" customHeight="1">
      <c r="C406" s="944"/>
      <c r="D406" s="944"/>
      <c r="E406" s="944"/>
      <c r="F406" s="944"/>
      <c r="G406" s="944"/>
      <c r="H406" s="944"/>
      <c r="I406" s="944"/>
      <c r="J406" s="944"/>
      <c r="K406" s="944"/>
      <c r="L406" s="944"/>
      <c r="M406" s="944"/>
      <c r="N406" s="944"/>
    </row>
    <row r="407" spans="3:14" ht="14.25" customHeight="1">
      <c r="C407" s="944"/>
      <c r="D407" s="944"/>
      <c r="E407" s="944"/>
      <c r="F407" s="944"/>
      <c r="G407" s="944"/>
      <c r="H407" s="944"/>
      <c r="I407" s="944"/>
      <c r="J407" s="944"/>
      <c r="K407" s="944"/>
      <c r="L407" s="944"/>
      <c r="M407" s="944"/>
      <c r="N407" s="944"/>
    </row>
    <row r="408" spans="3:14" ht="14.25" customHeight="1">
      <c r="C408" s="944"/>
      <c r="D408" s="944"/>
      <c r="E408" s="944"/>
      <c r="F408" s="944"/>
      <c r="G408" s="944"/>
      <c r="H408" s="944"/>
      <c r="I408" s="944"/>
      <c r="J408" s="944"/>
      <c r="K408" s="944"/>
      <c r="L408" s="944"/>
      <c r="M408" s="944"/>
      <c r="N408" s="944"/>
    </row>
    <row r="409" spans="3:14" ht="14.25" customHeight="1">
      <c r="C409" s="944"/>
      <c r="D409" s="944"/>
      <c r="E409" s="944"/>
      <c r="F409" s="944"/>
      <c r="G409" s="944"/>
      <c r="H409" s="944"/>
      <c r="I409" s="944"/>
      <c r="J409" s="944"/>
      <c r="K409" s="944"/>
      <c r="L409" s="944"/>
      <c r="M409" s="944"/>
      <c r="N409" s="944"/>
    </row>
    <row r="410" spans="3:14" ht="14.25" customHeight="1">
      <c r="C410" s="944"/>
      <c r="D410" s="944"/>
      <c r="E410" s="944"/>
      <c r="F410" s="944"/>
      <c r="G410" s="944"/>
      <c r="H410" s="944"/>
      <c r="I410" s="944"/>
      <c r="J410" s="944"/>
      <c r="K410" s="944"/>
      <c r="L410" s="944"/>
      <c r="M410" s="944"/>
      <c r="N410" s="944"/>
    </row>
    <row r="411" spans="3:14" ht="14.25" customHeight="1">
      <c r="C411" s="944"/>
      <c r="D411" s="944"/>
      <c r="E411" s="944"/>
      <c r="F411" s="944"/>
      <c r="G411" s="944"/>
      <c r="H411" s="944"/>
      <c r="I411" s="944"/>
      <c r="J411" s="944"/>
      <c r="K411" s="944"/>
      <c r="L411" s="944"/>
      <c r="M411" s="944"/>
      <c r="N411" s="944"/>
    </row>
    <row r="412" spans="3:14" ht="14.25" customHeight="1">
      <c r="C412" s="944"/>
      <c r="D412" s="944"/>
      <c r="E412" s="944"/>
      <c r="F412" s="944"/>
      <c r="G412" s="944"/>
      <c r="H412" s="944"/>
      <c r="I412" s="944"/>
      <c r="J412" s="944"/>
      <c r="K412" s="944"/>
      <c r="L412" s="944"/>
      <c r="M412" s="944"/>
      <c r="N412" s="944"/>
    </row>
    <row r="413" spans="3:14" ht="14.25" customHeight="1">
      <c r="C413" s="944"/>
      <c r="D413" s="944"/>
      <c r="E413" s="944"/>
      <c r="F413" s="944"/>
      <c r="G413" s="944"/>
      <c r="H413" s="944"/>
      <c r="I413" s="944"/>
      <c r="J413" s="944"/>
      <c r="K413" s="944"/>
      <c r="L413" s="944"/>
      <c r="M413" s="944"/>
      <c r="N413" s="944"/>
    </row>
    <row r="414" spans="3:14" ht="14.25" customHeight="1">
      <c r="C414" s="944"/>
      <c r="D414" s="944"/>
      <c r="E414" s="944"/>
      <c r="F414" s="944"/>
      <c r="G414" s="944"/>
      <c r="H414" s="944"/>
      <c r="I414" s="944"/>
      <c r="J414" s="944"/>
      <c r="K414" s="944"/>
      <c r="L414" s="944"/>
      <c r="M414" s="944"/>
      <c r="N414" s="944"/>
    </row>
    <row r="415" spans="3:14" ht="14.25" customHeight="1">
      <c r="C415" s="944"/>
      <c r="D415" s="944"/>
      <c r="E415" s="944"/>
      <c r="F415" s="944"/>
      <c r="G415" s="944"/>
      <c r="H415" s="944"/>
      <c r="I415" s="944"/>
      <c r="J415" s="944"/>
      <c r="K415" s="944"/>
      <c r="L415" s="944"/>
      <c r="M415" s="944"/>
      <c r="N415" s="944"/>
    </row>
    <row r="416" spans="3:14" ht="14.25" customHeight="1">
      <c r="C416" s="944"/>
      <c r="D416" s="944"/>
      <c r="E416" s="944"/>
      <c r="F416" s="944"/>
      <c r="G416" s="944"/>
      <c r="H416" s="944"/>
      <c r="I416" s="944"/>
      <c r="J416" s="944"/>
      <c r="K416" s="944"/>
      <c r="L416" s="944"/>
      <c r="M416" s="944"/>
      <c r="N416" s="944"/>
    </row>
    <row r="417" spans="3:14" ht="14.25" customHeight="1">
      <c r="C417" s="944"/>
      <c r="D417" s="944"/>
      <c r="E417" s="944"/>
      <c r="F417" s="944"/>
      <c r="G417" s="944"/>
      <c r="H417" s="944"/>
      <c r="I417" s="944"/>
      <c r="J417" s="944"/>
      <c r="K417" s="944"/>
      <c r="L417" s="944"/>
      <c r="M417" s="944"/>
      <c r="N417" s="944"/>
    </row>
    <row r="418" spans="3:14" ht="14.25" customHeight="1">
      <c r="C418" s="944"/>
      <c r="D418" s="944"/>
      <c r="E418" s="944"/>
      <c r="F418" s="944"/>
      <c r="G418" s="944"/>
      <c r="H418" s="944"/>
      <c r="I418" s="944"/>
      <c r="J418" s="944"/>
      <c r="K418" s="944"/>
      <c r="L418" s="944"/>
      <c r="M418" s="944"/>
      <c r="N418" s="944"/>
    </row>
    <row r="419" spans="3:14" ht="14.25" customHeight="1">
      <c r="C419" s="944"/>
      <c r="D419" s="944"/>
      <c r="E419" s="944"/>
      <c r="F419" s="944"/>
      <c r="G419" s="944"/>
      <c r="H419" s="944"/>
      <c r="I419" s="944"/>
      <c r="J419" s="944"/>
      <c r="K419" s="944"/>
      <c r="L419" s="944"/>
      <c r="M419" s="944"/>
      <c r="N419" s="944"/>
    </row>
    <row r="420" spans="3:14" ht="14.25" customHeight="1">
      <c r="C420" s="944"/>
      <c r="D420" s="944"/>
      <c r="E420" s="944"/>
      <c r="F420" s="944"/>
      <c r="G420" s="944"/>
      <c r="H420" s="944"/>
      <c r="I420" s="944"/>
      <c r="J420" s="944"/>
      <c r="K420" s="944"/>
      <c r="L420" s="944"/>
      <c r="M420" s="944"/>
      <c r="N420" s="944"/>
    </row>
    <row r="421" spans="3:14" ht="14.25" customHeight="1">
      <c r="C421" s="944"/>
      <c r="D421" s="944"/>
      <c r="E421" s="944"/>
      <c r="F421" s="944"/>
      <c r="G421" s="944"/>
      <c r="H421" s="944"/>
      <c r="I421" s="944"/>
      <c r="J421" s="944"/>
      <c r="K421" s="944"/>
      <c r="L421" s="944"/>
      <c r="M421" s="944"/>
      <c r="N421" s="944"/>
    </row>
    <row r="422" spans="3:14" ht="14.25" customHeight="1">
      <c r="C422" s="944"/>
      <c r="D422" s="944"/>
      <c r="E422" s="944"/>
      <c r="F422" s="944"/>
      <c r="G422" s="944"/>
      <c r="H422" s="944"/>
      <c r="I422" s="944"/>
      <c r="J422" s="944"/>
      <c r="K422" s="944"/>
      <c r="L422" s="944"/>
      <c r="M422" s="944"/>
      <c r="N422" s="944"/>
    </row>
    <row r="423" spans="3:14" ht="14.25" customHeight="1">
      <c r="C423" s="944"/>
      <c r="D423" s="944"/>
      <c r="E423" s="944"/>
      <c r="F423" s="944"/>
      <c r="G423" s="944"/>
      <c r="H423" s="944"/>
      <c r="I423" s="944"/>
      <c r="J423" s="944"/>
      <c r="K423" s="944"/>
      <c r="L423" s="944"/>
      <c r="M423" s="944"/>
      <c r="N423" s="944"/>
    </row>
    <row r="424" spans="3:14" ht="14.25" customHeight="1">
      <c r="C424" s="944"/>
      <c r="D424" s="944"/>
      <c r="E424" s="944"/>
      <c r="F424" s="944"/>
      <c r="G424" s="944"/>
      <c r="H424" s="944"/>
      <c r="I424" s="944"/>
      <c r="J424" s="944"/>
      <c r="K424" s="944"/>
      <c r="L424" s="944"/>
      <c r="M424" s="944"/>
      <c r="N424" s="944"/>
    </row>
    <row r="425" spans="3:14" ht="14.25" customHeight="1">
      <c r="C425" s="944"/>
      <c r="D425" s="944"/>
      <c r="E425" s="944"/>
      <c r="F425" s="944"/>
      <c r="G425" s="944"/>
      <c r="H425" s="944"/>
      <c r="I425" s="944"/>
      <c r="J425" s="944"/>
      <c r="K425" s="944"/>
      <c r="L425" s="944"/>
      <c r="M425" s="944"/>
      <c r="N425" s="944"/>
    </row>
    <row r="426" spans="3:14" ht="14.25" customHeight="1">
      <c r="C426" s="944"/>
      <c r="D426" s="944"/>
      <c r="E426" s="944"/>
      <c r="F426" s="944"/>
      <c r="G426" s="944"/>
      <c r="H426" s="944"/>
      <c r="I426" s="944"/>
      <c r="J426" s="944"/>
      <c r="K426" s="944"/>
      <c r="L426" s="944"/>
      <c r="M426" s="944"/>
      <c r="N426" s="944"/>
    </row>
    <row r="427" spans="3:14" ht="14.25" customHeight="1">
      <c r="C427" s="944"/>
      <c r="D427" s="944"/>
      <c r="E427" s="944"/>
      <c r="F427" s="944"/>
      <c r="G427" s="944"/>
      <c r="H427" s="944"/>
      <c r="I427" s="944"/>
      <c r="J427" s="944"/>
      <c r="K427" s="944"/>
      <c r="L427" s="944"/>
      <c r="M427" s="944"/>
      <c r="N427" s="944"/>
    </row>
    <row r="428" spans="3:14" ht="14.25" customHeight="1">
      <c r="C428" s="944"/>
      <c r="D428" s="944"/>
      <c r="E428" s="944"/>
      <c r="F428" s="944"/>
      <c r="G428" s="944"/>
      <c r="H428" s="944"/>
      <c r="I428" s="944"/>
      <c r="J428" s="944"/>
      <c r="K428" s="944"/>
      <c r="L428" s="944"/>
      <c r="M428" s="944"/>
      <c r="N428" s="944"/>
    </row>
    <row r="429" spans="3:14" ht="14.25" customHeight="1">
      <c r="C429" s="944"/>
      <c r="D429" s="944"/>
      <c r="E429" s="944"/>
      <c r="F429" s="944"/>
      <c r="G429" s="944"/>
      <c r="H429" s="944"/>
      <c r="I429" s="944"/>
      <c r="J429" s="944"/>
      <c r="K429" s="944"/>
      <c r="L429" s="944"/>
      <c r="M429" s="944"/>
      <c r="N429" s="944"/>
    </row>
    <row r="430" spans="3:14" ht="14.25" customHeight="1">
      <c r="C430" s="944"/>
      <c r="D430" s="944"/>
      <c r="E430" s="944"/>
      <c r="F430" s="944"/>
      <c r="G430" s="944"/>
      <c r="H430" s="944"/>
      <c r="I430" s="944"/>
      <c r="J430" s="944"/>
      <c r="K430" s="944"/>
      <c r="L430" s="944"/>
      <c r="M430" s="944"/>
      <c r="N430" s="944"/>
    </row>
    <row r="431" spans="3:14" ht="14.25" customHeight="1">
      <c r="C431" s="944"/>
      <c r="D431" s="944"/>
      <c r="E431" s="944"/>
      <c r="F431" s="944"/>
      <c r="G431" s="944"/>
      <c r="H431" s="944"/>
      <c r="I431" s="944"/>
      <c r="J431" s="944"/>
      <c r="K431" s="944"/>
      <c r="L431" s="944"/>
      <c r="M431" s="944"/>
      <c r="N431" s="944"/>
    </row>
    <row r="432" spans="3:14" ht="14.25" customHeight="1">
      <c r="C432" s="944"/>
      <c r="D432" s="944"/>
      <c r="E432" s="944"/>
      <c r="F432" s="944"/>
      <c r="G432" s="944"/>
      <c r="H432" s="944"/>
      <c r="I432" s="944"/>
      <c r="J432" s="944"/>
      <c r="K432" s="944"/>
      <c r="L432" s="944"/>
      <c r="M432" s="944"/>
      <c r="N432" s="944"/>
    </row>
    <row r="433" spans="3:14" ht="14.25" customHeight="1">
      <c r="C433" s="944"/>
      <c r="D433" s="944"/>
      <c r="E433" s="944"/>
      <c r="F433" s="944"/>
      <c r="G433" s="944"/>
      <c r="H433" s="944"/>
      <c r="I433" s="944"/>
      <c r="J433" s="944"/>
      <c r="K433" s="944"/>
      <c r="L433" s="944"/>
      <c r="M433" s="944"/>
      <c r="N433" s="944"/>
    </row>
    <row r="434" spans="3:14" ht="14.25" customHeight="1">
      <c r="C434" s="944"/>
      <c r="D434" s="944"/>
      <c r="E434" s="944"/>
      <c r="F434" s="944"/>
      <c r="G434" s="944"/>
      <c r="H434" s="944"/>
      <c r="I434" s="944"/>
      <c r="J434" s="944"/>
      <c r="K434" s="944"/>
      <c r="L434" s="944"/>
      <c r="M434" s="944"/>
      <c r="N434" s="944"/>
    </row>
    <row r="435" spans="3:14" ht="14.25" customHeight="1">
      <c r="C435" s="944"/>
      <c r="D435" s="944"/>
      <c r="E435" s="944"/>
      <c r="F435" s="944"/>
      <c r="G435" s="944"/>
      <c r="H435" s="944"/>
      <c r="I435" s="944"/>
      <c r="J435" s="944"/>
      <c r="K435" s="944"/>
      <c r="L435" s="944"/>
      <c r="M435" s="944"/>
      <c r="N435" s="944"/>
    </row>
    <row r="436" spans="3:14" ht="14.25" customHeight="1">
      <c r="C436" s="944"/>
      <c r="D436" s="944"/>
      <c r="E436" s="944"/>
      <c r="F436" s="944"/>
      <c r="G436" s="944"/>
      <c r="H436" s="944"/>
      <c r="I436" s="944"/>
      <c r="J436" s="944"/>
      <c r="K436" s="944"/>
      <c r="L436" s="944"/>
      <c r="M436" s="944"/>
      <c r="N436" s="944"/>
    </row>
    <row r="437" spans="3:14" ht="14.25" customHeight="1">
      <c r="C437" s="944"/>
      <c r="D437" s="944"/>
      <c r="E437" s="944"/>
      <c r="F437" s="944"/>
      <c r="G437" s="944"/>
      <c r="H437" s="944"/>
      <c r="I437" s="944"/>
      <c r="J437" s="944"/>
      <c r="K437" s="944"/>
      <c r="L437" s="944"/>
      <c r="M437" s="944"/>
      <c r="N437" s="944"/>
    </row>
    <row r="438" spans="3:14" ht="14.25" customHeight="1">
      <c r="C438" s="944"/>
      <c r="D438" s="944"/>
      <c r="E438" s="944"/>
      <c r="F438" s="944"/>
      <c r="G438" s="944"/>
      <c r="H438" s="944"/>
      <c r="I438" s="944"/>
      <c r="J438" s="944"/>
      <c r="K438" s="944"/>
      <c r="L438" s="944"/>
      <c r="M438" s="944"/>
      <c r="N438" s="944"/>
    </row>
    <row r="439" spans="3:14" ht="14.25" customHeight="1">
      <c r="C439" s="944"/>
      <c r="D439" s="944"/>
      <c r="E439" s="944"/>
      <c r="F439" s="944"/>
      <c r="G439" s="944"/>
      <c r="H439" s="944"/>
      <c r="I439" s="944"/>
      <c r="J439" s="944"/>
      <c r="K439" s="944"/>
      <c r="L439" s="944"/>
      <c r="M439" s="944"/>
      <c r="N439" s="944"/>
    </row>
    <row r="440" spans="3:14" ht="14.25" customHeight="1">
      <c r="C440" s="944"/>
      <c r="D440" s="944"/>
      <c r="E440" s="944"/>
      <c r="F440" s="944"/>
      <c r="G440" s="944"/>
      <c r="H440" s="944"/>
      <c r="I440" s="944"/>
      <c r="J440" s="944"/>
      <c r="K440" s="944"/>
      <c r="L440" s="944"/>
      <c r="M440" s="944"/>
      <c r="N440" s="944"/>
    </row>
    <row r="441" spans="3:14" ht="14.25" customHeight="1">
      <c r="C441" s="944"/>
      <c r="D441" s="944"/>
      <c r="E441" s="944"/>
      <c r="F441" s="944"/>
      <c r="G441" s="944"/>
      <c r="H441" s="944"/>
      <c r="I441" s="944"/>
      <c r="J441" s="944"/>
      <c r="K441" s="944"/>
      <c r="L441" s="944"/>
      <c r="M441" s="944"/>
      <c r="N441" s="944"/>
    </row>
    <row r="442" spans="3:14" ht="14.25" customHeight="1">
      <c r="C442" s="944"/>
      <c r="D442" s="944"/>
      <c r="E442" s="944"/>
      <c r="F442" s="944"/>
      <c r="G442" s="944"/>
      <c r="H442" s="944"/>
      <c r="I442" s="944"/>
      <c r="J442" s="944"/>
      <c r="K442" s="944"/>
      <c r="L442" s="944"/>
      <c r="M442" s="944"/>
      <c r="N442" s="944"/>
    </row>
    <row r="443" spans="3:14" ht="14.25" customHeight="1">
      <c r="C443" s="944"/>
      <c r="D443" s="944"/>
      <c r="E443" s="944"/>
      <c r="F443" s="944"/>
      <c r="G443" s="944"/>
      <c r="H443" s="944"/>
      <c r="I443" s="944"/>
      <c r="J443" s="944"/>
      <c r="K443" s="944"/>
      <c r="L443" s="944"/>
      <c r="M443" s="944"/>
      <c r="N443" s="944"/>
    </row>
    <row r="444" spans="3:14" ht="14.25" customHeight="1">
      <c r="C444" s="944"/>
      <c r="D444" s="944"/>
      <c r="E444" s="944"/>
      <c r="F444" s="944"/>
      <c r="G444" s="944"/>
      <c r="H444" s="944"/>
      <c r="I444" s="944"/>
      <c r="J444" s="944"/>
      <c r="K444" s="944"/>
      <c r="L444" s="944"/>
      <c r="M444" s="944"/>
      <c r="N444" s="944"/>
    </row>
    <row r="445" spans="3:14" ht="14.25" customHeight="1">
      <c r="C445" s="944"/>
      <c r="D445" s="944"/>
      <c r="E445" s="944"/>
      <c r="F445" s="944"/>
      <c r="G445" s="944"/>
      <c r="H445" s="944"/>
      <c r="I445" s="944"/>
      <c r="J445" s="944"/>
      <c r="K445" s="944"/>
      <c r="L445" s="944"/>
      <c r="M445" s="944"/>
      <c r="N445" s="944"/>
    </row>
    <row r="446" spans="3:14" ht="14.25" customHeight="1">
      <c r="C446" s="944"/>
      <c r="D446" s="944"/>
      <c r="E446" s="944"/>
      <c r="F446" s="944"/>
      <c r="G446" s="944"/>
      <c r="H446" s="944"/>
      <c r="I446" s="944"/>
      <c r="J446" s="944"/>
      <c r="K446" s="944"/>
      <c r="L446" s="944"/>
      <c r="M446" s="944"/>
      <c r="N446" s="944"/>
    </row>
    <row r="447" spans="3:14" ht="14.25" customHeight="1">
      <c r="C447" s="944"/>
      <c r="D447" s="944"/>
      <c r="E447" s="944"/>
      <c r="F447" s="944"/>
      <c r="G447" s="944"/>
      <c r="H447" s="944"/>
      <c r="I447" s="944"/>
      <c r="J447" s="944"/>
      <c r="K447" s="944"/>
      <c r="L447" s="944"/>
      <c r="M447" s="944"/>
      <c r="N447" s="944"/>
    </row>
    <row r="448" spans="3:14" ht="14.25" customHeight="1">
      <c r="C448" s="944"/>
      <c r="D448" s="944"/>
      <c r="E448" s="944"/>
      <c r="F448" s="944"/>
      <c r="G448" s="944"/>
      <c r="H448" s="944"/>
      <c r="I448" s="944"/>
      <c r="J448" s="944"/>
      <c r="K448" s="944"/>
      <c r="L448" s="944"/>
      <c r="M448" s="944"/>
      <c r="N448" s="944"/>
    </row>
    <row r="449" spans="3:14" ht="14.25" customHeight="1">
      <c r="C449" s="944"/>
      <c r="D449" s="944"/>
      <c r="E449" s="944"/>
      <c r="F449" s="944"/>
      <c r="G449" s="944"/>
      <c r="H449" s="944"/>
      <c r="I449" s="944"/>
      <c r="J449" s="944"/>
      <c r="K449" s="944"/>
      <c r="L449" s="944"/>
      <c r="M449" s="944"/>
      <c r="N449" s="944"/>
    </row>
    <row r="450" spans="3:14" ht="14.25" customHeight="1">
      <c r="C450" s="944"/>
      <c r="D450" s="944"/>
      <c r="E450" s="944"/>
      <c r="F450" s="944"/>
      <c r="G450" s="944"/>
      <c r="H450" s="944"/>
      <c r="I450" s="944"/>
      <c r="J450" s="944"/>
      <c r="K450" s="944"/>
      <c r="L450" s="944"/>
      <c r="M450" s="944"/>
      <c r="N450" s="944"/>
    </row>
    <row r="451" spans="3:14" ht="14.25" customHeight="1">
      <c r="C451" s="944"/>
      <c r="D451" s="944"/>
      <c r="E451" s="944"/>
      <c r="F451" s="944"/>
      <c r="G451" s="944"/>
      <c r="H451" s="944"/>
      <c r="I451" s="944"/>
      <c r="J451" s="944"/>
      <c r="K451" s="944"/>
      <c r="L451" s="944"/>
      <c r="M451" s="944"/>
      <c r="N451" s="944"/>
    </row>
    <row r="452" spans="3:14" ht="14.25" customHeight="1">
      <c r="C452" s="944"/>
      <c r="D452" s="944"/>
      <c r="E452" s="944"/>
      <c r="F452" s="944"/>
      <c r="G452" s="944"/>
      <c r="H452" s="944"/>
      <c r="I452" s="944"/>
      <c r="J452" s="944"/>
      <c r="K452" s="944"/>
      <c r="L452" s="944"/>
      <c r="M452" s="944"/>
      <c r="N452" s="944"/>
    </row>
    <row r="453" spans="3:14" ht="14.25" customHeight="1">
      <c r="C453" s="944"/>
      <c r="D453" s="944"/>
      <c r="E453" s="944"/>
      <c r="F453" s="944"/>
      <c r="G453" s="944"/>
      <c r="H453" s="944"/>
      <c r="I453" s="944"/>
      <c r="J453" s="944"/>
      <c r="K453" s="944"/>
      <c r="L453" s="944"/>
      <c r="M453" s="944"/>
      <c r="N453" s="944"/>
    </row>
    <row r="454" spans="3:14" ht="14.25" customHeight="1">
      <c r="C454" s="944"/>
      <c r="D454" s="944"/>
      <c r="E454" s="944"/>
      <c r="F454" s="944"/>
      <c r="G454" s="944"/>
      <c r="H454" s="944"/>
      <c r="I454" s="944"/>
      <c r="J454" s="944"/>
      <c r="K454" s="944"/>
      <c r="L454" s="944"/>
      <c r="M454" s="944"/>
      <c r="N454" s="944"/>
    </row>
    <row r="455" spans="3:14" ht="14.25" customHeight="1">
      <c r="C455" s="944"/>
      <c r="D455" s="944"/>
      <c r="E455" s="944"/>
      <c r="F455" s="944"/>
      <c r="G455" s="944"/>
      <c r="H455" s="944"/>
      <c r="I455" s="944"/>
      <c r="J455" s="944"/>
      <c r="K455" s="944"/>
      <c r="L455" s="944"/>
      <c r="M455" s="944"/>
      <c r="N455" s="944"/>
    </row>
    <row r="456" spans="3:14" ht="14.25" customHeight="1">
      <c r="C456" s="944"/>
      <c r="D456" s="944"/>
      <c r="E456" s="944"/>
      <c r="F456" s="944"/>
      <c r="G456" s="944"/>
      <c r="H456" s="944"/>
      <c r="I456" s="944"/>
      <c r="J456" s="944"/>
      <c r="K456" s="944"/>
      <c r="L456" s="944"/>
      <c r="M456" s="944"/>
      <c r="N456" s="944"/>
    </row>
    <row r="457" spans="3:14" ht="14.25" customHeight="1">
      <c r="C457" s="944"/>
      <c r="D457" s="944"/>
      <c r="E457" s="944"/>
      <c r="F457" s="944"/>
      <c r="G457" s="944"/>
      <c r="H457" s="944"/>
      <c r="I457" s="944"/>
      <c r="J457" s="944"/>
      <c r="K457" s="944"/>
      <c r="L457" s="944"/>
      <c r="M457" s="944"/>
      <c r="N457" s="944"/>
    </row>
    <row r="458" spans="3:14" ht="14.25" customHeight="1">
      <c r="C458" s="944"/>
      <c r="D458" s="944"/>
      <c r="E458" s="944"/>
      <c r="F458" s="944"/>
      <c r="G458" s="944"/>
      <c r="H458" s="944"/>
      <c r="I458" s="944"/>
      <c r="J458" s="944"/>
      <c r="K458" s="944"/>
      <c r="L458" s="944"/>
      <c r="M458" s="944"/>
      <c r="N458" s="944"/>
    </row>
    <row r="459" spans="3:14" ht="14.25" customHeight="1">
      <c r="C459" s="944"/>
      <c r="D459" s="944"/>
      <c r="E459" s="944"/>
      <c r="F459" s="944"/>
      <c r="G459" s="944"/>
      <c r="H459" s="944"/>
      <c r="I459" s="944"/>
      <c r="J459" s="944"/>
      <c r="K459" s="944"/>
      <c r="L459" s="944"/>
      <c r="M459" s="944"/>
      <c r="N459" s="944"/>
    </row>
    <row r="460" spans="3:14" ht="14.25" customHeight="1">
      <c r="C460" s="944"/>
      <c r="D460" s="944"/>
      <c r="E460" s="944"/>
      <c r="F460" s="944"/>
      <c r="G460" s="944"/>
      <c r="H460" s="944"/>
      <c r="I460" s="944"/>
      <c r="J460" s="944"/>
      <c r="K460" s="944"/>
      <c r="L460" s="944"/>
      <c r="M460" s="944"/>
      <c r="N460" s="944"/>
    </row>
    <row r="461" spans="3:14" ht="14.25" customHeight="1">
      <c r="C461" s="944"/>
      <c r="D461" s="944"/>
      <c r="E461" s="944"/>
      <c r="F461" s="944"/>
      <c r="G461" s="944"/>
      <c r="H461" s="944"/>
      <c r="I461" s="944"/>
      <c r="J461" s="944"/>
      <c r="K461" s="944"/>
      <c r="L461" s="944"/>
      <c r="M461" s="944"/>
      <c r="N461" s="944"/>
    </row>
    <row r="462" spans="3:14" ht="14.25" customHeight="1">
      <c r="C462" s="944"/>
      <c r="D462" s="944"/>
      <c r="E462" s="944"/>
      <c r="F462" s="944"/>
      <c r="G462" s="944"/>
      <c r="H462" s="944"/>
      <c r="I462" s="944"/>
      <c r="J462" s="944"/>
      <c r="K462" s="944"/>
      <c r="L462" s="944"/>
      <c r="M462" s="944"/>
      <c r="N462" s="944"/>
    </row>
    <row r="463" spans="3:14" ht="14.25" customHeight="1">
      <c r="C463" s="944"/>
      <c r="D463" s="944"/>
      <c r="E463" s="944"/>
      <c r="F463" s="944"/>
      <c r="G463" s="944"/>
      <c r="H463" s="944"/>
      <c r="I463" s="944"/>
      <c r="J463" s="944"/>
      <c r="K463" s="944"/>
      <c r="L463" s="944"/>
      <c r="M463" s="944"/>
      <c r="N463" s="944"/>
    </row>
    <row r="464" spans="3:14" ht="14.25" customHeight="1">
      <c r="C464" s="944"/>
      <c r="D464" s="944"/>
      <c r="E464" s="944"/>
      <c r="F464" s="944"/>
      <c r="G464" s="944"/>
      <c r="H464" s="944"/>
      <c r="I464" s="944"/>
      <c r="J464" s="944"/>
      <c r="K464" s="944"/>
      <c r="L464" s="944"/>
      <c r="M464" s="944"/>
      <c r="N464" s="944"/>
    </row>
    <row r="465" spans="3:14" ht="14.25" customHeight="1">
      <c r="C465" s="944"/>
      <c r="D465" s="944"/>
      <c r="E465" s="944"/>
      <c r="F465" s="944"/>
      <c r="G465" s="944"/>
      <c r="H465" s="944"/>
      <c r="I465" s="944"/>
      <c r="J465" s="944"/>
      <c r="K465" s="944"/>
      <c r="L465" s="944"/>
      <c r="M465" s="944"/>
      <c r="N465" s="944"/>
    </row>
    <row r="466" spans="3:14" ht="14.25" customHeight="1">
      <c r="C466" s="944"/>
      <c r="D466" s="944"/>
      <c r="E466" s="944"/>
      <c r="F466" s="944"/>
      <c r="G466" s="944"/>
      <c r="H466" s="944"/>
      <c r="I466" s="944"/>
      <c r="J466" s="944"/>
      <c r="K466" s="944"/>
      <c r="L466" s="944"/>
      <c r="M466" s="944"/>
      <c r="N466" s="944"/>
    </row>
    <row r="467" spans="3:14" ht="14.25" customHeight="1">
      <c r="C467" s="944"/>
      <c r="D467" s="944"/>
      <c r="E467" s="944"/>
      <c r="F467" s="944"/>
      <c r="G467" s="944"/>
      <c r="H467" s="944"/>
      <c r="I467" s="944"/>
      <c r="J467" s="944"/>
      <c r="K467" s="944"/>
      <c r="L467" s="944"/>
      <c r="M467" s="944"/>
      <c r="N467" s="944"/>
    </row>
    <row r="468" spans="3:14" ht="14.25" customHeight="1">
      <c r="C468" s="944"/>
      <c r="D468" s="944"/>
      <c r="E468" s="944"/>
      <c r="F468" s="944"/>
      <c r="G468" s="944"/>
      <c r="H468" s="944"/>
      <c r="I468" s="944"/>
      <c r="J468" s="944"/>
      <c r="K468" s="944"/>
      <c r="L468" s="944"/>
      <c r="M468" s="944"/>
      <c r="N468" s="944"/>
    </row>
    <row r="469" spans="3:14" ht="14.25" customHeight="1">
      <c r="C469" s="944"/>
      <c r="D469" s="944"/>
      <c r="E469" s="944"/>
      <c r="F469" s="944"/>
      <c r="G469" s="944"/>
      <c r="H469" s="944"/>
      <c r="I469" s="944"/>
      <c r="J469" s="944"/>
      <c r="K469" s="944"/>
      <c r="L469" s="944"/>
      <c r="M469" s="944"/>
      <c r="N469" s="944"/>
    </row>
    <row r="470" spans="3:14" ht="14.25" customHeight="1">
      <c r="C470" s="944"/>
      <c r="D470" s="944"/>
      <c r="E470" s="944"/>
      <c r="F470" s="944"/>
      <c r="G470" s="944"/>
      <c r="H470" s="944"/>
      <c r="I470" s="944"/>
      <c r="J470" s="944"/>
      <c r="K470" s="944"/>
      <c r="L470" s="944"/>
      <c r="M470" s="944"/>
      <c r="N470" s="944"/>
    </row>
    <row r="471" spans="3:14" ht="14.25" customHeight="1">
      <c r="C471" s="944"/>
      <c r="D471" s="944"/>
      <c r="E471" s="944"/>
      <c r="F471" s="944"/>
      <c r="G471" s="944"/>
      <c r="H471" s="944"/>
      <c r="I471" s="944"/>
      <c r="J471" s="944"/>
      <c r="K471" s="944"/>
      <c r="L471" s="944"/>
      <c r="M471" s="944"/>
      <c r="N471" s="944"/>
    </row>
    <row r="472" spans="3:14" ht="14.25" customHeight="1">
      <c r="C472" s="944"/>
      <c r="D472" s="944"/>
      <c r="E472" s="944"/>
      <c r="F472" s="944"/>
      <c r="G472" s="944"/>
      <c r="H472" s="944"/>
      <c r="I472" s="944"/>
      <c r="J472" s="944"/>
      <c r="K472" s="944"/>
      <c r="L472" s="944"/>
      <c r="M472" s="944"/>
      <c r="N472" s="944"/>
    </row>
    <row r="473" spans="3:14" ht="14.25" customHeight="1">
      <c r="C473" s="944"/>
      <c r="D473" s="944"/>
      <c r="E473" s="944"/>
      <c r="F473" s="944"/>
      <c r="G473" s="944"/>
      <c r="H473" s="944"/>
      <c r="I473" s="944"/>
      <c r="J473" s="944"/>
      <c r="K473" s="944"/>
      <c r="L473" s="944"/>
      <c r="M473" s="944"/>
      <c r="N473" s="944"/>
    </row>
    <row r="474" spans="3:14" ht="14.25" customHeight="1">
      <c r="C474" s="944"/>
      <c r="D474" s="944"/>
      <c r="E474" s="944"/>
      <c r="F474" s="944"/>
      <c r="G474" s="944"/>
      <c r="H474" s="944"/>
      <c r="I474" s="944"/>
      <c r="J474" s="944"/>
      <c r="K474" s="944"/>
      <c r="L474" s="944"/>
      <c r="M474" s="944"/>
      <c r="N474" s="944"/>
    </row>
    <row r="475" spans="3:14" ht="14.25" customHeight="1">
      <c r="C475" s="944"/>
      <c r="D475" s="944"/>
      <c r="E475" s="944"/>
      <c r="F475" s="944"/>
      <c r="G475" s="944"/>
      <c r="H475" s="944"/>
      <c r="I475" s="944"/>
      <c r="J475" s="944"/>
      <c r="K475" s="944"/>
      <c r="L475" s="944"/>
      <c r="M475" s="944"/>
      <c r="N475" s="944"/>
    </row>
    <row r="476" spans="3:14" ht="14.25" customHeight="1">
      <c r="C476" s="944"/>
      <c r="D476" s="944"/>
      <c r="E476" s="944"/>
      <c r="F476" s="944"/>
      <c r="G476" s="944"/>
      <c r="H476" s="944"/>
      <c r="I476" s="944"/>
      <c r="J476" s="944"/>
      <c r="K476" s="944"/>
      <c r="L476" s="944"/>
      <c r="M476" s="944"/>
      <c r="N476" s="944"/>
    </row>
    <row r="477" spans="3:14" ht="14.25" customHeight="1">
      <c r="C477" s="944"/>
      <c r="D477" s="944"/>
      <c r="E477" s="944"/>
      <c r="F477" s="944"/>
      <c r="G477" s="944"/>
      <c r="H477" s="944"/>
      <c r="I477" s="944"/>
      <c r="J477" s="944"/>
      <c r="K477" s="944"/>
      <c r="L477" s="944"/>
      <c r="M477" s="944"/>
      <c r="N477" s="944"/>
    </row>
    <row r="478" spans="3:14" ht="14.25" customHeight="1">
      <c r="C478" s="944"/>
      <c r="D478" s="944"/>
      <c r="E478" s="944"/>
      <c r="F478" s="944"/>
      <c r="G478" s="944"/>
      <c r="H478" s="944"/>
      <c r="I478" s="944"/>
      <c r="J478" s="944"/>
      <c r="K478" s="944"/>
      <c r="L478" s="944"/>
      <c r="M478" s="944"/>
      <c r="N478" s="944"/>
    </row>
    <row r="479" spans="3:14" ht="14.25" customHeight="1">
      <c r="C479" s="944"/>
      <c r="D479" s="944"/>
      <c r="E479" s="944"/>
      <c r="F479" s="944"/>
      <c r="G479" s="944"/>
      <c r="H479" s="944"/>
      <c r="I479" s="944"/>
      <c r="J479" s="944"/>
      <c r="K479" s="944"/>
      <c r="L479" s="944"/>
      <c r="M479" s="944"/>
      <c r="N479" s="944"/>
    </row>
    <row r="480" spans="3:14" ht="14.25" customHeight="1">
      <c r="C480" s="944"/>
      <c r="D480" s="944"/>
      <c r="E480" s="944"/>
      <c r="F480" s="944"/>
      <c r="G480" s="944"/>
      <c r="H480" s="944"/>
      <c r="I480" s="944"/>
      <c r="J480" s="944"/>
      <c r="K480" s="944"/>
      <c r="L480" s="944"/>
      <c r="M480" s="944"/>
      <c r="N480" s="944"/>
    </row>
    <row r="481" spans="3:14" ht="14.25" customHeight="1">
      <c r="C481" s="944"/>
      <c r="D481" s="944"/>
      <c r="E481" s="944"/>
      <c r="F481" s="944"/>
      <c r="G481" s="944"/>
      <c r="H481" s="944"/>
      <c r="I481" s="944"/>
      <c r="J481" s="944"/>
      <c r="K481" s="944"/>
      <c r="L481" s="944"/>
      <c r="M481" s="944"/>
      <c r="N481" s="944"/>
    </row>
    <row r="482" spans="3:14" ht="14.25" customHeight="1">
      <c r="C482" s="944"/>
      <c r="D482" s="944"/>
      <c r="E482" s="944"/>
      <c r="F482" s="944"/>
      <c r="G482" s="944"/>
      <c r="H482" s="944"/>
      <c r="I482" s="944"/>
      <c r="J482" s="944"/>
      <c r="K482" s="944"/>
      <c r="L482" s="944"/>
      <c r="M482" s="944"/>
      <c r="N482" s="944"/>
    </row>
    <row r="483" spans="3:14" ht="14.25" customHeight="1">
      <c r="C483" s="944"/>
      <c r="D483" s="944"/>
      <c r="E483" s="944"/>
      <c r="F483" s="944"/>
      <c r="G483" s="944"/>
      <c r="H483" s="944"/>
      <c r="I483" s="944"/>
      <c r="J483" s="944"/>
      <c r="K483" s="944"/>
      <c r="L483" s="944"/>
      <c r="M483" s="944"/>
      <c r="N483" s="944"/>
    </row>
    <row r="484" spans="3:14" ht="14.25" customHeight="1">
      <c r="C484" s="944"/>
      <c r="D484" s="944"/>
      <c r="E484" s="944"/>
      <c r="F484" s="944"/>
      <c r="G484" s="944"/>
      <c r="H484" s="944"/>
      <c r="I484" s="944"/>
      <c r="J484" s="944"/>
      <c r="K484" s="944"/>
      <c r="L484" s="944"/>
      <c r="M484" s="944"/>
      <c r="N484" s="944"/>
    </row>
    <row r="485" spans="3:14" ht="14.25" customHeight="1">
      <c r="C485" s="944"/>
      <c r="D485" s="944"/>
      <c r="E485" s="944"/>
      <c r="F485" s="944"/>
      <c r="G485" s="944"/>
      <c r="H485" s="944"/>
      <c r="I485" s="944"/>
      <c r="J485" s="944"/>
      <c r="K485" s="944"/>
      <c r="L485" s="944"/>
      <c r="M485" s="944"/>
      <c r="N485" s="944"/>
    </row>
    <row r="486" spans="3:14" ht="14.25" customHeight="1">
      <c r="C486" s="944"/>
      <c r="D486" s="944"/>
      <c r="E486" s="944"/>
      <c r="F486" s="944"/>
      <c r="G486" s="944"/>
      <c r="H486" s="944"/>
      <c r="I486" s="944"/>
      <c r="J486" s="944"/>
      <c r="K486" s="944"/>
      <c r="L486" s="944"/>
      <c r="M486" s="944"/>
      <c r="N486" s="944"/>
    </row>
    <row r="487" spans="3:14" ht="14.25" customHeight="1">
      <c r="C487" s="944"/>
      <c r="D487" s="944"/>
      <c r="E487" s="944"/>
      <c r="F487" s="944"/>
      <c r="G487" s="944"/>
      <c r="H487" s="944"/>
      <c r="I487" s="944"/>
      <c r="J487" s="944"/>
      <c r="K487" s="944"/>
      <c r="L487" s="944"/>
      <c r="M487" s="944"/>
      <c r="N487" s="944"/>
    </row>
    <row r="488" spans="3:14" ht="14.25" customHeight="1">
      <c r="C488" s="944"/>
      <c r="D488" s="944"/>
      <c r="E488" s="944"/>
      <c r="F488" s="944"/>
      <c r="G488" s="944"/>
      <c r="H488" s="944"/>
      <c r="I488" s="944"/>
      <c r="J488" s="944"/>
      <c r="K488" s="944"/>
      <c r="L488" s="944"/>
      <c r="M488" s="944"/>
      <c r="N488" s="944"/>
    </row>
    <row r="489" spans="3:14" ht="14.25" customHeight="1">
      <c r="C489" s="944"/>
      <c r="D489" s="944"/>
      <c r="E489" s="944"/>
      <c r="F489" s="944"/>
      <c r="G489" s="944"/>
      <c r="H489" s="944"/>
      <c r="I489" s="944"/>
      <c r="J489" s="944"/>
      <c r="K489" s="944"/>
      <c r="L489" s="944"/>
      <c r="M489" s="944"/>
      <c r="N489" s="944"/>
    </row>
    <row r="490" spans="3:14" ht="14.25" customHeight="1">
      <c r="C490" s="944"/>
      <c r="D490" s="944"/>
      <c r="E490" s="944"/>
      <c r="F490" s="944"/>
      <c r="G490" s="944"/>
      <c r="H490" s="944"/>
      <c r="I490" s="944"/>
      <c r="J490" s="944"/>
      <c r="K490" s="944"/>
      <c r="L490" s="944"/>
      <c r="M490" s="944"/>
      <c r="N490" s="944"/>
    </row>
    <row r="491" spans="3:14" ht="14.25" customHeight="1">
      <c r="C491" s="944"/>
      <c r="D491" s="944"/>
      <c r="E491" s="944"/>
      <c r="F491" s="944"/>
      <c r="G491" s="944"/>
      <c r="H491" s="944"/>
      <c r="I491" s="944"/>
      <c r="J491" s="944"/>
      <c r="K491" s="944"/>
      <c r="L491" s="944"/>
      <c r="M491" s="944"/>
      <c r="N491" s="944"/>
    </row>
    <row r="492" spans="3:14" ht="14.25" customHeight="1">
      <c r="C492" s="944"/>
      <c r="D492" s="944"/>
      <c r="E492" s="944"/>
      <c r="F492" s="944"/>
      <c r="G492" s="944"/>
      <c r="H492" s="944"/>
      <c r="I492" s="944"/>
      <c r="J492" s="944"/>
      <c r="K492" s="944"/>
      <c r="L492" s="944"/>
      <c r="M492" s="944"/>
      <c r="N492" s="944"/>
    </row>
    <row r="493" spans="3:14" ht="14.25" customHeight="1">
      <c r="C493" s="944"/>
      <c r="D493" s="944"/>
      <c r="E493" s="944"/>
      <c r="F493" s="944"/>
      <c r="G493" s="944"/>
      <c r="H493" s="944"/>
      <c r="I493" s="944"/>
      <c r="J493" s="944"/>
      <c r="K493" s="944"/>
      <c r="L493" s="944"/>
      <c r="M493" s="944"/>
      <c r="N493" s="944"/>
    </row>
    <row r="494" spans="3:14" ht="14.25" customHeight="1">
      <c r="C494" s="944"/>
      <c r="D494" s="944"/>
      <c r="E494" s="944"/>
      <c r="F494" s="944"/>
      <c r="G494" s="944"/>
      <c r="H494" s="944"/>
      <c r="I494" s="944"/>
      <c r="J494" s="944"/>
      <c r="K494" s="944"/>
      <c r="L494" s="944"/>
      <c r="M494" s="944"/>
      <c r="N494" s="944"/>
    </row>
    <row r="495" spans="3:14" ht="14.25" customHeight="1">
      <c r="C495" s="944"/>
      <c r="D495" s="944"/>
      <c r="E495" s="944"/>
      <c r="F495" s="944"/>
      <c r="G495" s="944"/>
      <c r="H495" s="944"/>
      <c r="I495" s="944"/>
      <c r="J495" s="944"/>
      <c r="K495" s="944"/>
      <c r="L495" s="944"/>
      <c r="M495" s="944"/>
      <c r="N495" s="944"/>
    </row>
    <row r="496" spans="3:14" ht="14.25" customHeight="1">
      <c r="C496" s="944"/>
      <c r="D496" s="944"/>
      <c r="E496" s="944"/>
      <c r="F496" s="944"/>
      <c r="G496" s="944"/>
      <c r="H496" s="944"/>
      <c r="I496" s="944"/>
      <c r="J496" s="944"/>
      <c r="K496" s="944"/>
      <c r="L496" s="944"/>
      <c r="M496" s="944"/>
      <c r="N496" s="944"/>
    </row>
    <row r="497" spans="3:14" ht="14.25" customHeight="1">
      <c r="C497" s="944"/>
      <c r="D497" s="944"/>
      <c r="E497" s="944"/>
      <c r="F497" s="944"/>
      <c r="G497" s="944"/>
      <c r="H497" s="944"/>
      <c r="I497" s="944"/>
      <c r="J497" s="944"/>
      <c r="K497" s="944"/>
      <c r="L497" s="944"/>
      <c r="M497" s="944"/>
      <c r="N497" s="944"/>
    </row>
    <row r="498" spans="3:14" ht="14.25" customHeight="1">
      <c r="C498" s="944"/>
      <c r="D498" s="944"/>
      <c r="E498" s="944"/>
      <c r="F498" s="944"/>
      <c r="G498" s="944"/>
      <c r="H498" s="944"/>
      <c r="I498" s="944"/>
      <c r="J498" s="944"/>
      <c r="K498" s="944"/>
      <c r="L498" s="944"/>
      <c r="M498" s="944"/>
      <c r="N498" s="944"/>
    </row>
    <row r="499" spans="3:14" ht="14.25" customHeight="1">
      <c r="C499" s="944"/>
      <c r="D499" s="944"/>
      <c r="E499" s="944"/>
      <c r="F499" s="944"/>
      <c r="G499" s="944"/>
      <c r="H499" s="944"/>
      <c r="I499" s="944"/>
      <c r="J499" s="944"/>
      <c r="K499" s="944"/>
      <c r="L499" s="944"/>
      <c r="M499" s="944"/>
      <c r="N499" s="944"/>
    </row>
    <row r="500" spans="3:14" ht="14.25" customHeight="1">
      <c r="C500" s="944"/>
      <c r="D500" s="944"/>
      <c r="E500" s="944"/>
      <c r="F500" s="944"/>
      <c r="G500" s="944"/>
      <c r="H500" s="944"/>
      <c r="I500" s="944"/>
      <c r="J500" s="944"/>
      <c r="K500" s="944"/>
      <c r="L500" s="944"/>
      <c r="M500" s="944"/>
      <c r="N500" s="944"/>
    </row>
    <row r="501" spans="3:14" ht="14.25" customHeight="1">
      <c r="C501" s="944"/>
      <c r="D501" s="944"/>
      <c r="E501" s="944"/>
      <c r="F501" s="944"/>
      <c r="G501" s="944"/>
      <c r="H501" s="944"/>
      <c r="I501" s="944"/>
      <c r="J501" s="944"/>
      <c r="K501" s="944"/>
      <c r="L501" s="944"/>
      <c r="M501" s="944"/>
      <c r="N501" s="944"/>
    </row>
    <row r="502" spans="3:14" ht="14.25" customHeight="1">
      <c r="C502" s="944"/>
      <c r="D502" s="944"/>
      <c r="E502" s="944"/>
      <c r="F502" s="944"/>
      <c r="G502" s="944"/>
      <c r="H502" s="944"/>
      <c r="I502" s="944"/>
      <c r="J502" s="944"/>
      <c r="K502" s="944"/>
      <c r="L502" s="944"/>
      <c r="M502" s="944"/>
      <c r="N502" s="944"/>
    </row>
    <row r="503" spans="3:14" ht="14.25" customHeight="1">
      <c r="C503" s="944"/>
      <c r="D503" s="944"/>
      <c r="E503" s="944"/>
      <c r="F503" s="944"/>
      <c r="G503" s="944"/>
      <c r="H503" s="944"/>
      <c r="I503" s="944"/>
      <c r="J503" s="944"/>
      <c r="K503" s="944"/>
      <c r="L503" s="944"/>
      <c r="M503" s="944"/>
      <c r="N503" s="944"/>
    </row>
    <row r="504" spans="3:14" ht="14.25" customHeight="1">
      <c r="C504" s="944"/>
      <c r="D504" s="944"/>
      <c r="E504" s="944"/>
      <c r="F504" s="944"/>
      <c r="G504" s="944"/>
      <c r="H504" s="944"/>
      <c r="I504" s="944"/>
      <c r="J504" s="944"/>
      <c r="K504" s="944"/>
      <c r="L504" s="944"/>
      <c r="M504" s="944"/>
      <c r="N504" s="944"/>
    </row>
    <row r="505" spans="3:14" ht="14.25" customHeight="1">
      <c r="C505" s="944"/>
      <c r="D505" s="944"/>
      <c r="E505" s="944"/>
      <c r="F505" s="944"/>
      <c r="G505" s="944"/>
      <c r="H505" s="944"/>
      <c r="I505" s="944"/>
      <c r="J505" s="944"/>
      <c r="K505" s="944"/>
      <c r="L505" s="944"/>
      <c r="M505" s="944"/>
      <c r="N505" s="944"/>
    </row>
    <row r="506" spans="3:14" ht="14.25" customHeight="1">
      <c r="C506" s="944"/>
      <c r="D506" s="944"/>
      <c r="E506" s="944"/>
      <c r="F506" s="944"/>
      <c r="G506" s="944"/>
      <c r="H506" s="944"/>
      <c r="I506" s="944"/>
      <c r="J506" s="944"/>
      <c r="K506" s="944"/>
      <c r="L506" s="944"/>
      <c r="M506" s="944"/>
      <c r="N506" s="944"/>
    </row>
    <row r="507" spans="3:14" ht="14.25" customHeight="1">
      <c r="C507" s="944"/>
      <c r="D507" s="944"/>
      <c r="E507" s="944"/>
      <c r="F507" s="944"/>
      <c r="G507" s="944"/>
      <c r="H507" s="944"/>
      <c r="I507" s="944"/>
      <c r="J507" s="944"/>
      <c r="K507" s="944"/>
      <c r="L507" s="944"/>
      <c r="M507" s="944"/>
      <c r="N507" s="944"/>
    </row>
    <row r="508" spans="3:14" ht="14.25" customHeight="1">
      <c r="C508" s="944"/>
      <c r="D508" s="944"/>
      <c r="E508" s="944"/>
      <c r="F508" s="944"/>
      <c r="G508" s="944"/>
      <c r="H508" s="944"/>
      <c r="I508" s="944"/>
      <c r="J508" s="944"/>
      <c r="K508" s="944"/>
      <c r="L508" s="944"/>
      <c r="M508" s="944"/>
      <c r="N508" s="944"/>
    </row>
    <row r="509" spans="3:14" ht="14.25" customHeight="1">
      <c r="C509" s="944"/>
      <c r="D509" s="944"/>
      <c r="E509" s="944"/>
      <c r="F509" s="944"/>
      <c r="G509" s="944"/>
      <c r="H509" s="944"/>
      <c r="I509" s="944"/>
      <c r="J509" s="944"/>
      <c r="K509" s="944"/>
      <c r="L509" s="944"/>
      <c r="M509" s="944"/>
      <c r="N509" s="944"/>
    </row>
    <row r="510" spans="3:14" ht="14.25" customHeight="1">
      <c r="C510" s="944"/>
      <c r="D510" s="944"/>
      <c r="E510" s="944"/>
      <c r="F510" s="944"/>
      <c r="G510" s="944"/>
      <c r="H510" s="944"/>
      <c r="I510" s="944"/>
      <c r="J510" s="944"/>
      <c r="K510" s="944"/>
      <c r="L510" s="944"/>
      <c r="M510" s="944"/>
      <c r="N510" s="944"/>
    </row>
    <row r="511" spans="3:14" ht="14.25" customHeight="1">
      <c r="C511" s="944"/>
      <c r="D511" s="944"/>
      <c r="E511" s="944"/>
      <c r="F511" s="944"/>
      <c r="G511" s="944"/>
      <c r="H511" s="944"/>
      <c r="I511" s="944"/>
      <c r="J511" s="944"/>
      <c r="K511" s="944"/>
      <c r="L511" s="944"/>
      <c r="M511" s="944"/>
      <c r="N511" s="944"/>
    </row>
    <row r="512" spans="3:14" ht="14.25" customHeight="1">
      <c r="C512" s="944"/>
      <c r="D512" s="944"/>
      <c r="E512" s="944"/>
      <c r="F512" s="944"/>
      <c r="G512" s="944"/>
      <c r="H512" s="944"/>
      <c r="I512" s="944"/>
      <c r="J512" s="944"/>
      <c r="K512" s="944"/>
      <c r="L512" s="944"/>
      <c r="M512" s="944"/>
      <c r="N512" s="944"/>
    </row>
    <row r="513" spans="3:14" ht="14.25" customHeight="1">
      <c r="C513" s="944"/>
      <c r="D513" s="944"/>
      <c r="E513" s="944"/>
      <c r="F513" s="944"/>
      <c r="G513" s="944"/>
      <c r="H513" s="944"/>
      <c r="I513" s="944"/>
      <c r="J513" s="944"/>
      <c r="K513" s="944"/>
      <c r="L513" s="944"/>
      <c r="M513" s="944"/>
      <c r="N513" s="944"/>
    </row>
    <row r="514" spans="3:14" ht="14.25" customHeight="1">
      <c r="C514" s="944"/>
      <c r="D514" s="944"/>
      <c r="E514" s="944"/>
      <c r="F514" s="944"/>
      <c r="G514" s="944"/>
      <c r="H514" s="944"/>
      <c r="I514" s="944"/>
      <c r="J514" s="944"/>
      <c r="K514" s="944"/>
      <c r="L514" s="944"/>
      <c r="M514" s="944"/>
      <c r="N514" s="944"/>
    </row>
    <row r="515" spans="3:14" ht="14.25" customHeight="1">
      <c r="C515" s="944"/>
      <c r="D515" s="944"/>
      <c r="E515" s="944"/>
      <c r="F515" s="944"/>
      <c r="G515" s="944"/>
      <c r="H515" s="944"/>
      <c r="I515" s="944"/>
      <c r="J515" s="944"/>
      <c r="K515" s="944"/>
      <c r="L515" s="944"/>
      <c r="M515" s="944"/>
      <c r="N515" s="944"/>
    </row>
    <row r="516" spans="3:14" ht="14.25" customHeight="1">
      <c r="C516" s="944"/>
      <c r="D516" s="944"/>
      <c r="E516" s="944"/>
      <c r="F516" s="944"/>
      <c r="G516" s="944"/>
      <c r="H516" s="944"/>
      <c r="I516" s="944"/>
      <c r="J516" s="944"/>
      <c r="K516" s="944"/>
      <c r="L516" s="944"/>
      <c r="M516" s="944"/>
      <c r="N516" s="944"/>
    </row>
    <row r="517" spans="3:14" ht="14.25" customHeight="1">
      <c r="C517" s="944"/>
      <c r="D517" s="944"/>
      <c r="E517" s="944"/>
      <c r="F517" s="944"/>
      <c r="G517" s="944"/>
      <c r="H517" s="944"/>
      <c r="I517" s="944"/>
      <c r="J517" s="944"/>
      <c r="K517" s="944"/>
      <c r="L517" s="944"/>
      <c r="M517" s="944"/>
      <c r="N517" s="944"/>
    </row>
    <row r="518" spans="3:14" ht="14.25" customHeight="1">
      <c r="C518" s="944"/>
      <c r="D518" s="944"/>
      <c r="E518" s="944"/>
      <c r="F518" s="944"/>
      <c r="G518" s="944"/>
      <c r="H518" s="944"/>
      <c r="I518" s="944"/>
      <c r="J518" s="944"/>
      <c r="K518" s="944"/>
      <c r="L518" s="944"/>
      <c r="M518" s="944"/>
      <c r="N518" s="944"/>
    </row>
    <row r="519" spans="3:14" ht="14.25" customHeight="1">
      <c r="C519" s="944"/>
      <c r="D519" s="944"/>
      <c r="E519" s="944"/>
      <c r="F519" s="944"/>
      <c r="G519" s="944"/>
      <c r="H519" s="944"/>
      <c r="I519" s="944"/>
      <c r="J519" s="944"/>
      <c r="K519" s="944"/>
      <c r="L519" s="944"/>
      <c r="M519" s="944"/>
      <c r="N519" s="944"/>
    </row>
    <row r="520" spans="3:14" ht="14.25" customHeight="1">
      <c r="C520" s="944"/>
      <c r="D520" s="944"/>
      <c r="E520" s="944"/>
      <c r="F520" s="944"/>
      <c r="G520" s="944"/>
      <c r="H520" s="944"/>
      <c r="I520" s="944"/>
      <c r="J520" s="944"/>
      <c r="K520" s="944"/>
      <c r="L520" s="944"/>
      <c r="M520" s="944"/>
      <c r="N520" s="944"/>
    </row>
    <row r="521" spans="3:14" ht="14.25" customHeight="1">
      <c r="C521" s="944"/>
      <c r="D521" s="944"/>
      <c r="E521" s="944"/>
      <c r="F521" s="944"/>
      <c r="G521" s="944"/>
      <c r="H521" s="944"/>
      <c r="I521" s="944"/>
      <c r="J521" s="944"/>
      <c r="K521" s="944"/>
      <c r="L521" s="944"/>
      <c r="M521" s="944"/>
      <c r="N521" s="944"/>
    </row>
    <row r="522" spans="3:14" ht="14.25" customHeight="1">
      <c r="C522" s="944"/>
      <c r="D522" s="944"/>
      <c r="E522" s="944"/>
      <c r="F522" s="944"/>
      <c r="G522" s="944"/>
      <c r="H522" s="944"/>
      <c r="I522" s="944"/>
      <c r="J522" s="944"/>
      <c r="K522" s="944"/>
      <c r="L522" s="944"/>
      <c r="M522" s="944"/>
      <c r="N522" s="944"/>
    </row>
    <row r="523" spans="3:14" ht="14.25" customHeight="1">
      <c r="C523" s="944"/>
      <c r="D523" s="944"/>
      <c r="E523" s="944"/>
      <c r="F523" s="944"/>
      <c r="G523" s="944"/>
      <c r="H523" s="944"/>
      <c r="I523" s="944"/>
      <c r="J523" s="944"/>
      <c r="K523" s="944"/>
      <c r="L523" s="944"/>
      <c r="M523" s="944"/>
      <c r="N523" s="944"/>
    </row>
    <row r="524" spans="3:14" ht="14.25" customHeight="1">
      <c r="C524" s="944"/>
      <c r="D524" s="944"/>
      <c r="E524" s="944"/>
      <c r="F524" s="944"/>
      <c r="G524" s="944"/>
      <c r="H524" s="944"/>
      <c r="I524" s="944"/>
      <c r="J524" s="944"/>
      <c r="K524" s="944"/>
      <c r="L524" s="944"/>
      <c r="M524" s="944"/>
      <c r="N524" s="944"/>
    </row>
    <row r="525" spans="3:14" ht="14.25" customHeight="1">
      <c r="C525" s="944"/>
      <c r="D525" s="944"/>
      <c r="E525" s="944"/>
      <c r="F525" s="944"/>
      <c r="G525" s="944"/>
      <c r="H525" s="944"/>
      <c r="I525" s="944"/>
      <c r="J525" s="944"/>
      <c r="K525" s="944"/>
      <c r="L525" s="944"/>
      <c r="M525" s="944"/>
      <c r="N525" s="944"/>
    </row>
    <row r="526" spans="3:14" ht="14.25" customHeight="1">
      <c r="C526" s="944"/>
      <c r="D526" s="944"/>
      <c r="E526" s="944"/>
      <c r="F526" s="944"/>
      <c r="G526" s="944"/>
      <c r="H526" s="944"/>
      <c r="I526" s="944"/>
      <c r="J526" s="944"/>
      <c r="K526" s="944"/>
      <c r="L526" s="944"/>
      <c r="M526" s="944"/>
      <c r="N526" s="944"/>
    </row>
    <row r="527" spans="3:14" ht="14.25" customHeight="1">
      <c r="C527" s="944"/>
      <c r="D527" s="944"/>
      <c r="E527" s="944"/>
      <c r="F527" s="944"/>
      <c r="G527" s="944"/>
      <c r="H527" s="944"/>
      <c r="I527" s="944"/>
      <c r="J527" s="944"/>
      <c r="K527" s="944"/>
      <c r="L527" s="944"/>
      <c r="M527" s="944"/>
      <c r="N527" s="944"/>
    </row>
    <row r="528" spans="3:14" ht="14.25" customHeight="1">
      <c r="C528" s="944"/>
      <c r="D528" s="944"/>
      <c r="E528" s="944"/>
      <c r="F528" s="944"/>
      <c r="G528" s="944"/>
      <c r="H528" s="944"/>
      <c r="I528" s="944"/>
      <c r="J528" s="944"/>
      <c r="K528" s="944"/>
      <c r="L528" s="944"/>
      <c r="M528" s="944"/>
      <c r="N528" s="944"/>
    </row>
    <row r="529" spans="3:14" ht="14.25" customHeight="1">
      <c r="C529" s="944"/>
      <c r="D529" s="944"/>
      <c r="E529" s="944"/>
      <c r="F529" s="944"/>
      <c r="G529" s="944"/>
      <c r="H529" s="944"/>
      <c r="I529" s="944"/>
      <c r="J529" s="944"/>
      <c r="K529" s="944"/>
      <c r="L529" s="944"/>
      <c r="M529" s="944"/>
      <c r="N529" s="944"/>
    </row>
    <row r="530" spans="3:14" ht="14.25" customHeight="1">
      <c r="C530" s="944"/>
      <c r="D530" s="944"/>
      <c r="E530" s="944"/>
      <c r="F530" s="944"/>
      <c r="G530" s="944"/>
      <c r="H530" s="944"/>
      <c r="I530" s="944"/>
      <c r="J530" s="944"/>
      <c r="K530" s="944"/>
      <c r="L530" s="944"/>
      <c r="M530" s="944"/>
      <c r="N530" s="944"/>
    </row>
    <row r="531" spans="3:14" ht="14.25" customHeight="1">
      <c r="C531" s="944"/>
      <c r="D531" s="944"/>
      <c r="E531" s="944"/>
      <c r="F531" s="944"/>
      <c r="G531" s="944"/>
      <c r="H531" s="944"/>
      <c r="I531" s="944"/>
      <c r="J531" s="944"/>
      <c r="K531" s="944"/>
      <c r="L531" s="944"/>
      <c r="M531" s="944"/>
      <c r="N531" s="944"/>
    </row>
    <row r="532" spans="3:14" ht="14.25" customHeight="1">
      <c r="C532" s="944"/>
      <c r="D532" s="944"/>
      <c r="E532" s="944"/>
      <c r="F532" s="944"/>
      <c r="G532" s="944"/>
      <c r="H532" s="944"/>
      <c r="I532" s="944"/>
      <c r="J532" s="944"/>
      <c r="K532" s="944"/>
      <c r="L532" s="944"/>
      <c r="M532" s="944"/>
      <c r="N532" s="944"/>
    </row>
    <row r="533" spans="3:14" ht="14.25" customHeight="1">
      <c r="C533" s="944"/>
      <c r="D533" s="944"/>
      <c r="E533" s="944"/>
      <c r="F533" s="944"/>
      <c r="G533" s="944"/>
      <c r="H533" s="944"/>
      <c r="I533" s="944"/>
      <c r="J533" s="944"/>
      <c r="K533" s="944"/>
      <c r="L533" s="944"/>
      <c r="M533" s="944"/>
      <c r="N533" s="944"/>
    </row>
    <row r="534" spans="3:14" ht="14.25" customHeight="1">
      <c r="C534" s="944"/>
      <c r="D534" s="944"/>
      <c r="E534" s="944"/>
      <c r="F534" s="944"/>
      <c r="G534" s="944"/>
      <c r="H534" s="944"/>
      <c r="I534" s="944"/>
      <c r="J534" s="944"/>
      <c r="K534" s="944"/>
      <c r="L534" s="944"/>
      <c r="M534" s="944"/>
      <c r="N534" s="944"/>
    </row>
    <row r="535" spans="3:14" ht="14.25" customHeight="1">
      <c r="C535" s="944"/>
      <c r="D535" s="944"/>
      <c r="E535" s="944"/>
      <c r="F535" s="944"/>
      <c r="G535" s="944"/>
      <c r="H535" s="944"/>
      <c r="I535" s="944"/>
      <c r="J535" s="944"/>
      <c r="K535" s="944"/>
      <c r="L535" s="944"/>
      <c r="M535" s="944"/>
      <c r="N535" s="944"/>
    </row>
    <row r="536" spans="3:14" ht="14.25" customHeight="1">
      <c r="C536" s="944"/>
      <c r="D536" s="944"/>
      <c r="E536" s="944"/>
      <c r="F536" s="944"/>
      <c r="G536" s="944"/>
      <c r="H536" s="944"/>
      <c r="I536" s="944"/>
      <c r="J536" s="944"/>
      <c r="K536" s="944"/>
      <c r="L536" s="944"/>
      <c r="M536" s="944"/>
      <c r="N536" s="944"/>
    </row>
    <row r="537" spans="3:14" ht="14.25" customHeight="1">
      <c r="C537" s="944"/>
      <c r="D537" s="944"/>
      <c r="E537" s="944"/>
      <c r="F537" s="944"/>
      <c r="G537" s="944"/>
      <c r="H537" s="944"/>
      <c r="I537" s="944"/>
      <c r="J537" s="944"/>
      <c r="K537" s="944"/>
      <c r="L537" s="944"/>
      <c r="M537" s="944"/>
      <c r="N537" s="944"/>
    </row>
    <row r="538" spans="3:14" ht="14.25" customHeight="1">
      <c r="C538" s="944"/>
      <c r="D538" s="944"/>
      <c r="E538" s="944"/>
      <c r="F538" s="944"/>
      <c r="G538" s="944"/>
      <c r="H538" s="944"/>
      <c r="I538" s="944"/>
      <c r="J538" s="944"/>
      <c r="K538" s="944"/>
      <c r="L538" s="944"/>
      <c r="M538" s="944"/>
      <c r="N538" s="944"/>
    </row>
    <row r="539" spans="3:14" ht="14.25" customHeight="1">
      <c r="C539" s="944"/>
      <c r="D539" s="944"/>
      <c r="E539" s="944"/>
      <c r="F539" s="944"/>
      <c r="G539" s="944"/>
      <c r="H539" s="944"/>
      <c r="I539" s="944"/>
      <c r="J539" s="944"/>
      <c r="K539" s="944"/>
      <c r="L539" s="944"/>
      <c r="M539" s="944"/>
      <c r="N539" s="944"/>
    </row>
    <row r="540" spans="3:14" ht="14.25" customHeight="1">
      <c r="C540" s="944"/>
      <c r="D540" s="944"/>
      <c r="E540" s="944"/>
      <c r="F540" s="944"/>
      <c r="G540" s="944"/>
      <c r="H540" s="944"/>
      <c r="I540" s="944"/>
      <c r="J540" s="944"/>
      <c r="K540" s="944"/>
      <c r="L540" s="944"/>
      <c r="M540" s="944"/>
      <c r="N540" s="944"/>
    </row>
    <row r="541" spans="3:14" ht="14.25" customHeight="1">
      <c r="C541" s="944"/>
      <c r="D541" s="944"/>
      <c r="E541" s="944"/>
      <c r="F541" s="944"/>
      <c r="G541" s="944"/>
      <c r="H541" s="944"/>
      <c r="I541" s="944"/>
      <c r="J541" s="944"/>
      <c r="K541" s="944"/>
      <c r="L541" s="944"/>
      <c r="M541" s="944"/>
      <c r="N541" s="944"/>
    </row>
    <row r="542" spans="3:14" ht="14.25" customHeight="1">
      <c r="C542" s="944"/>
      <c r="D542" s="944"/>
      <c r="E542" s="944"/>
      <c r="F542" s="944"/>
      <c r="G542" s="944"/>
      <c r="H542" s="944"/>
      <c r="I542" s="944"/>
      <c r="J542" s="944"/>
      <c r="K542" s="944"/>
      <c r="L542" s="944"/>
      <c r="M542" s="944"/>
      <c r="N542" s="944"/>
    </row>
    <row r="543" spans="3:14" ht="14.25" customHeight="1">
      <c r="C543" s="944"/>
      <c r="D543" s="944"/>
      <c r="E543" s="944"/>
      <c r="F543" s="944"/>
      <c r="G543" s="944"/>
      <c r="H543" s="944"/>
      <c r="I543" s="944"/>
      <c r="J543" s="944"/>
      <c r="K543" s="944"/>
      <c r="L543" s="944"/>
      <c r="M543" s="944"/>
      <c r="N543" s="944"/>
    </row>
    <row r="544" spans="3:14" ht="14.25" customHeight="1">
      <c r="C544" s="944"/>
      <c r="D544" s="944"/>
      <c r="E544" s="944"/>
      <c r="F544" s="944"/>
      <c r="G544" s="944"/>
      <c r="H544" s="944"/>
      <c r="I544" s="944"/>
      <c r="J544" s="944"/>
      <c r="K544" s="944"/>
      <c r="L544" s="944"/>
      <c r="M544" s="944"/>
      <c r="N544" s="944"/>
    </row>
    <row r="545" spans="3:14" ht="14.25" customHeight="1">
      <c r="C545" s="944"/>
      <c r="D545" s="944"/>
      <c r="E545" s="944"/>
      <c r="F545" s="944"/>
      <c r="G545" s="944"/>
      <c r="H545" s="944"/>
      <c r="I545" s="944"/>
      <c r="J545" s="944"/>
      <c r="K545" s="944"/>
      <c r="L545" s="944"/>
      <c r="M545" s="944"/>
      <c r="N545" s="944"/>
    </row>
    <row r="546" spans="3:14" ht="14.25" customHeight="1">
      <c r="C546" s="944"/>
      <c r="D546" s="944"/>
      <c r="E546" s="944"/>
      <c r="F546" s="944"/>
      <c r="G546" s="944"/>
      <c r="H546" s="944"/>
      <c r="I546" s="944"/>
      <c r="J546" s="944"/>
      <c r="K546" s="944"/>
      <c r="L546" s="944"/>
      <c r="M546" s="944"/>
      <c r="N546" s="944"/>
    </row>
    <row r="547" spans="3:14" ht="14.25" customHeight="1">
      <c r="C547" s="944"/>
      <c r="D547" s="944"/>
      <c r="E547" s="944"/>
      <c r="F547" s="944"/>
      <c r="G547" s="944"/>
      <c r="H547" s="944"/>
      <c r="I547" s="944"/>
      <c r="J547" s="944"/>
      <c r="K547" s="944"/>
      <c r="L547" s="944"/>
      <c r="M547" s="944"/>
      <c r="N547" s="944"/>
    </row>
    <row r="548" spans="3:14" ht="14.25" customHeight="1">
      <c r="C548" s="944"/>
      <c r="D548" s="944"/>
      <c r="E548" s="944"/>
      <c r="F548" s="944"/>
      <c r="G548" s="944"/>
      <c r="H548" s="944"/>
      <c r="I548" s="944"/>
      <c r="J548" s="944"/>
      <c r="K548" s="944"/>
      <c r="L548" s="944"/>
      <c r="M548" s="944"/>
      <c r="N548" s="944"/>
    </row>
    <row r="549" spans="3:14" ht="14.25" customHeight="1">
      <c r="C549" s="944"/>
      <c r="D549" s="944"/>
      <c r="E549" s="944"/>
      <c r="F549" s="944"/>
      <c r="G549" s="944"/>
      <c r="H549" s="944"/>
      <c r="I549" s="944"/>
      <c r="J549" s="944"/>
      <c r="K549" s="944"/>
      <c r="L549" s="944"/>
      <c r="M549" s="944"/>
      <c r="N549" s="944"/>
    </row>
    <row r="550" spans="3:14" ht="14.25" customHeight="1">
      <c r="C550" s="944"/>
      <c r="D550" s="944"/>
      <c r="E550" s="944"/>
      <c r="F550" s="944"/>
      <c r="G550" s="944"/>
      <c r="H550" s="944"/>
      <c r="I550" s="944"/>
      <c r="J550" s="944"/>
      <c r="K550" s="944"/>
      <c r="L550" s="944"/>
      <c r="M550" s="944"/>
      <c r="N550" s="944"/>
    </row>
    <row r="551" spans="3:14" ht="14.25" customHeight="1">
      <c r="C551" s="944"/>
      <c r="D551" s="944"/>
      <c r="E551" s="944"/>
      <c r="F551" s="944"/>
      <c r="G551" s="944"/>
      <c r="H551" s="944"/>
      <c r="I551" s="944"/>
      <c r="J551" s="944"/>
      <c r="K551" s="944"/>
      <c r="L551" s="944"/>
      <c r="M551" s="944"/>
      <c r="N551" s="944"/>
    </row>
    <row r="552" spans="3:14" ht="14.25" customHeight="1">
      <c r="C552" s="944"/>
      <c r="D552" s="944"/>
      <c r="E552" s="944"/>
      <c r="F552" s="944"/>
      <c r="G552" s="944"/>
      <c r="H552" s="944"/>
      <c r="I552" s="944"/>
      <c r="J552" s="944"/>
      <c r="K552" s="944"/>
      <c r="L552" s="944"/>
      <c r="M552" s="944"/>
      <c r="N552" s="944"/>
    </row>
    <row r="553" spans="3:14" ht="14.25" customHeight="1">
      <c r="C553" s="944"/>
      <c r="D553" s="944"/>
      <c r="E553" s="944"/>
      <c r="F553" s="944"/>
      <c r="G553" s="944"/>
      <c r="H553" s="944"/>
      <c r="I553" s="944"/>
      <c r="J553" s="944"/>
      <c r="K553" s="944"/>
      <c r="L553" s="944"/>
      <c r="M553" s="944"/>
      <c r="N553" s="944"/>
    </row>
    <row r="554" spans="3:14" ht="14.25" customHeight="1">
      <c r="C554" s="944"/>
      <c r="D554" s="944"/>
      <c r="E554" s="944"/>
      <c r="F554" s="944"/>
      <c r="G554" s="944"/>
      <c r="H554" s="944"/>
      <c r="I554" s="944"/>
      <c r="J554" s="944"/>
      <c r="K554" s="944"/>
      <c r="L554" s="944"/>
      <c r="M554" s="944"/>
      <c r="N554" s="944"/>
    </row>
    <row r="555" spans="3:14" ht="14.25" customHeight="1">
      <c r="C555" s="944"/>
      <c r="D555" s="944"/>
      <c r="E555" s="944"/>
      <c r="F555" s="944"/>
      <c r="G555" s="944"/>
      <c r="H555" s="944"/>
      <c r="I555" s="944"/>
      <c r="J555" s="944"/>
      <c r="K555" s="944"/>
      <c r="L555" s="944"/>
      <c r="M555" s="944"/>
      <c r="N555" s="944"/>
    </row>
    <row r="556" spans="3:14" ht="14.25" customHeight="1">
      <c r="C556" s="944"/>
      <c r="D556" s="944"/>
      <c r="E556" s="944"/>
      <c r="F556" s="944"/>
      <c r="G556" s="944"/>
      <c r="H556" s="944"/>
      <c r="I556" s="944"/>
      <c r="J556" s="944"/>
      <c r="K556" s="944"/>
      <c r="L556" s="944"/>
      <c r="M556" s="944"/>
      <c r="N556" s="944"/>
    </row>
    <row r="557" spans="3:14" ht="14.25" customHeight="1">
      <c r="C557" s="944"/>
      <c r="D557" s="944"/>
      <c r="E557" s="944"/>
      <c r="F557" s="944"/>
      <c r="G557" s="944"/>
      <c r="H557" s="944"/>
      <c r="I557" s="944"/>
      <c r="J557" s="944"/>
      <c r="K557" s="944"/>
      <c r="L557" s="944"/>
      <c r="M557" s="944"/>
      <c r="N557" s="944"/>
    </row>
    <row r="558" spans="3:14" ht="14.25" customHeight="1">
      <c r="C558" s="944"/>
      <c r="D558" s="944"/>
      <c r="E558" s="944"/>
      <c r="F558" s="944"/>
      <c r="G558" s="944"/>
      <c r="H558" s="944"/>
      <c r="I558" s="944"/>
      <c r="J558" s="944"/>
      <c r="K558" s="944"/>
      <c r="L558" s="944"/>
      <c r="M558" s="944"/>
      <c r="N558" s="944"/>
    </row>
    <row r="559" spans="3:14" ht="14.25" customHeight="1">
      <c r="C559" s="944"/>
      <c r="D559" s="944"/>
      <c r="E559" s="944"/>
      <c r="F559" s="944"/>
      <c r="G559" s="944"/>
      <c r="H559" s="944"/>
      <c r="I559" s="944"/>
      <c r="J559" s="944"/>
      <c r="K559" s="944"/>
      <c r="L559" s="944"/>
      <c r="M559" s="944"/>
      <c r="N559" s="944"/>
    </row>
    <row r="560" spans="3:14" ht="14.25" customHeight="1">
      <c r="C560" s="944"/>
      <c r="D560" s="944"/>
      <c r="E560" s="944"/>
      <c r="F560" s="944"/>
      <c r="G560" s="944"/>
      <c r="H560" s="944"/>
      <c r="I560" s="944"/>
      <c r="J560" s="944"/>
      <c r="K560" s="944"/>
      <c r="L560" s="944"/>
      <c r="M560" s="944"/>
      <c r="N560" s="944"/>
    </row>
    <row r="561" spans="3:14" ht="14.25" customHeight="1">
      <c r="C561" s="944"/>
      <c r="D561" s="944"/>
      <c r="E561" s="944"/>
      <c r="F561" s="944"/>
      <c r="G561" s="944"/>
      <c r="H561" s="944"/>
      <c r="I561" s="944"/>
      <c r="J561" s="944"/>
      <c r="K561" s="944"/>
      <c r="L561" s="944"/>
      <c r="M561" s="944"/>
      <c r="N561" s="944"/>
    </row>
    <row r="562" spans="3:14" ht="14.25" customHeight="1">
      <c r="C562" s="944"/>
      <c r="D562" s="944"/>
      <c r="E562" s="944"/>
      <c r="F562" s="944"/>
      <c r="G562" s="944"/>
      <c r="H562" s="944"/>
      <c r="I562" s="944"/>
      <c r="J562" s="944"/>
      <c r="K562" s="944"/>
      <c r="L562" s="944"/>
      <c r="M562" s="944"/>
      <c r="N562" s="944"/>
    </row>
    <row r="563" spans="3:14" ht="14.25" customHeight="1">
      <c r="C563" s="944"/>
      <c r="D563" s="944"/>
      <c r="E563" s="944"/>
      <c r="F563" s="944"/>
      <c r="G563" s="944"/>
      <c r="H563" s="944"/>
      <c r="I563" s="944"/>
      <c r="J563" s="944"/>
      <c r="K563" s="944"/>
      <c r="L563" s="944"/>
      <c r="M563" s="944"/>
      <c r="N563" s="944"/>
    </row>
    <row r="564" spans="3:14" ht="14.25" customHeight="1">
      <c r="C564" s="944"/>
      <c r="D564" s="944"/>
      <c r="E564" s="944"/>
      <c r="F564" s="944"/>
      <c r="G564" s="944"/>
      <c r="H564" s="944"/>
      <c r="I564" s="944"/>
      <c r="J564" s="944"/>
      <c r="K564" s="944"/>
      <c r="L564" s="944"/>
      <c r="M564" s="944"/>
      <c r="N564" s="944"/>
    </row>
    <row r="565" spans="3:14" ht="14.25" customHeight="1">
      <c r="C565" s="944"/>
      <c r="D565" s="944"/>
      <c r="E565" s="944"/>
      <c r="F565" s="944"/>
      <c r="G565" s="944"/>
      <c r="H565" s="944"/>
      <c r="I565" s="944"/>
      <c r="J565" s="944"/>
      <c r="K565" s="944"/>
      <c r="L565" s="944"/>
      <c r="M565" s="944"/>
      <c r="N565" s="944"/>
    </row>
    <row r="566" spans="3:14" ht="14.25" customHeight="1">
      <c r="C566" s="944"/>
      <c r="D566" s="944"/>
      <c r="E566" s="944"/>
      <c r="F566" s="944"/>
      <c r="G566" s="944"/>
      <c r="H566" s="944"/>
      <c r="I566" s="944"/>
      <c r="J566" s="944"/>
      <c r="K566" s="944"/>
      <c r="L566" s="944"/>
      <c r="M566" s="944"/>
      <c r="N566" s="944"/>
    </row>
    <row r="567" spans="3:14" ht="14.25" customHeight="1">
      <c r="C567" s="944"/>
      <c r="D567" s="944"/>
      <c r="E567" s="944"/>
      <c r="F567" s="944"/>
      <c r="G567" s="944"/>
      <c r="H567" s="944"/>
      <c r="I567" s="944"/>
      <c r="J567" s="944"/>
      <c r="K567" s="944"/>
      <c r="L567" s="944"/>
      <c r="M567" s="944"/>
      <c r="N567" s="944"/>
    </row>
    <row r="568" spans="3:14" ht="14.25" customHeight="1">
      <c r="C568" s="944"/>
      <c r="D568" s="944"/>
      <c r="E568" s="944"/>
      <c r="F568" s="944"/>
      <c r="G568" s="944"/>
      <c r="H568" s="944"/>
      <c r="I568" s="944"/>
      <c r="J568" s="944"/>
      <c r="K568" s="944"/>
      <c r="L568" s="944"/>
      <c r="M568" s="944"/>
      <c r="N568" s="944"/>
    </row>
    <row r="569" spans="3:14" ht="14.25" customHeight="1">
      <c r="C569" s="944"/>
      <c r="D569" s="944"/>
      <c r="E569" s="944"/>
      <c r="F569" s="944"/>
      <c r="G569" s="944"/>
      <c r="H569" s="944"/>
      <c r="I569" s="944"/>
      <c r="J569" s="944"/>
      <c r="K569" s="944"/>
      <c r="L569" s="944"/>
      <c r="M569" s="944"/>
      <c r="N569" s="944"/>
    </row>
    <row r="570" spans="3:14" ht="14.25" customHeight="1">
      <c r="C570" s="944"/>
      <c r="D570" s="944"/>
      <c r="E570" s="944"/>
      <c r="F570" s="944"/>
      <c r="G570" s="944"/>
      <c r="H570" s="944"/>
      <c r="I570" s="944"/>
      <c r="J570" s="944"/>
      <c r="K570" s="944"/>
      <c r="L570" s="944"/>
      <c r="M570" s="944"/>
      <c r="N570" s="944"/>
    </row>
    <row r="571" spans="3:14" ht="14.25" customHeight="1">
      <c r="C571" s="944"/>
      <c r="D571" s="944"/>
      <c r="E571" s="944"/>
      <c r="F571" s="944"/>
      <c r="G571" s="944"/>
      <c r="H571" s="944"/>
      <c r="I571" s="944"/>
      <c r="J571" s="944"/>
      <c r="K571" s="944"/>
      <c r="L571" s="944"/>
      <c r="M571" s="944"/>
      <c r="N571" s="944"/>
    </row>
    <row r="572" spans="3:14" ht="14.25" customHeight="1">
      <c r="C572" s="944"/>
      <c r="D572" s="944"/>
      <c r="E572" s="944"/>
      <c r="F572" s="944"/>
      <c r="G572" s="944"/>
      <c r="H572" s="944"/>
      <c r="I572" s="944"/>
      <c r="J572" s="944"/>
      <c r="K572" s="944"/>
      <c r="L572" s="944"/>
      <c r="M572" s="944"/>
      <c r="N572" s="944"/>
    </row>
    <row r="573" spans="3:14" ht="14.25" customHeight="1">
      <c r="C573" s="944"/>
      <c r="D573" s="944"/>
      <c r="E573" s="944"/>
      <c r="F573" s="944"/>
      <c r="G573" s="944"/>
      <c r="H573" s="944"/>
      <c r="I573" s="944"/>
      <c r="J573" s="944"/>
      <c r="K573" s="944"/>
      <c r="L573" s="944"/>
      <c r="M573" s="944"/>
      <c r="N573" s="944"/>
    </row>
    <row r="574" spans="3:14" ht="14.25" customHeight="1">
      <c r="C574" s="944"/>
      <c r="D574" s="944"/>
      <c r="E574" s="944"/>
      <c r="F574" s="944"/>
      <c r="G574" s="944"/>
      <c r="H574" s="944"/>
      <c r="I574" s="944"/>
      <c r="J574" s="944"/>
      <c r="K574" s="944"/>
      <c r="L574" s="944"/>
      <c r="M574" s="944"/>
      <c r="N574" s="944"/>
    </row>
    <row r="575" spans="3:14" ht="14.25" customHeight="1">
      <c r="C575" s="944"/>
      <c r="D575" s="944"/>
      <c r="E575" s="944"/>
      <c r="F575" s="944"/>
      <c r="G575" s="944"/>
      <c r="H575" s="944"/>
      <c r="I575" s="944"/>
      <c r="J575" s="944"/>
      <c r="K575" s="944"/>
      <c r="L575" s="944"/>
      <c r="M575" s="944"/>
      <c r="N575" s="944"/>
    </row>
    <row r="576" spans="3:14" ht="14.25" customHeight="1">
      <c r="C576" s="944"/>
      <c r="D576" s="944"/>
      <c r="E576" s="944"/>
      <c r="F576" s="944"/>
      <c r="G576" s="944"/>
      <c r="H576" s="944"/>
      <c r="I576" s="944"/>
      <c r="J576" s="944"/>
      <c r="K576" s="944"/>
      <c r="L576" s="944"/>
      <c r="M576" s="944"/>
      <c r="N576" s="944"/>
    </row>
    <row r="577" spans="3:14" ht="14.25" customHeight="1">
      <c r="C577" s="944"/>
      <c r="D577" s="944"/>
      <c r="E577" s="944"/>
      <c r="F577" s="944"/>
      <c r="G577" s="944"/>
      <c r="H577" s="944"/>
      <c r="I577" s="944"/>
      <c r="J577" s="944"/>
      <c r="K577" s="944"/>
      <c r="L577" s="944"/>
      <c r="M577" s="944"/>
      <c r="N577" s="944"/>
    </row>
    <row r="578" spans="3:14" ht="14.25" customHeight="1">
      <c r="C578" s="944"/>
      <c r="D578" s="944"/>
      <c r="E578" s="944"/>
      <c r="F578" s="944"/>
      <c r="G578" s="944"/>
      <c r="H578" s="944"/>
      <c r="I578" s="944"/>
      <c r="J578" s="944"/>
      <c r="K578" s="944"/>
      <c r="L578" s="944"/>
      <c r="M578" s="944"/>
      <c r="N578" s="944"/>
    </row>
    <row r="579" spans="3:14" ht="14.25" customHeight="1">
      <c r="C579" s="944"/>
      <c r="D579" s="944"/>
      <c r="E579" s="944"/>
      <c r="F579" s="944"/>
      <c r="G579" s="944"/>
      <c r="H579" s="944"/>
      <c r="I579" s="944"/>
      <c r="J579" s="944"/>
      <c r="K579" s="944"/>
      <c r="L579" s="944"/>
      <c r="M579" s="944"/>
      <c r="N579" s="944"/>
    </row>
    <row r="580" spans="3:14" ht="14.25" customHeight="1">
      <c r="C580" s="944"/>
      <c r="D580" s="944"/>
      <c r="E580" s="944"/>
      <c r="F580" s="944"/>
      <c r="G580" s="944"/>
      <c r="H580" s="944"/>
      <c r="I580" s="944"/>
      <c r="J580" s="944"/>
      <c r="K580" s="944"/>
      <c r="L580" s="944"/>
      <c r="M580" s="944"/>
      <c r="N580" s="944"/>
    </row>
    <row r="581" spans="3:14" ht="14.25" customHeight="1">
      <c r="C581" s="944"/>
      <c r="D581" s="944"/>
      <c r="E581" s="944"/>
      <c r="F581" s="944"/>
      <c r="G581" s="944"/>
      <c r="H581" s="944"/>
      <c r="I581" s="944"/>
      <c r="J581" s="944"/>
      <c r="K581" s="944"/>
      <c r="L581" s="944"/>
      <c r="M581" s="944"/>
      <c r="N581" s="944"/>
    </row>
    <row r="582" spans="3:14" ht="14.25" customHeight="1">
      <c r="C582" s="944"/>
      <c r="D582" s="944"/>
      <c r="E582" s="944"/>
      <c r="F582" s="944"/>
      <c r="G582" s="944"/>
      <c r="H582" s="944"/>
      <c r="I582" s="944"/>
      <c r="J582" s="944"/>
      <c r="K582" s="944"/>
      <c r="L582" s="944"/>
      <c r="M582" s="944"/>
      <c r="N582" s="944"/>
    </row>
    <row r="583" spans="3:14" ht="14.25" customHeight="1">
      <c r="C583" s="944"/>
      <c r="D583" s="944"/>
      <c r="E583" s="944"/>
      <c r="F583" s="944"/>
      <c r="G583" s="944"/>
      <c r="H583" s="944"/>
      <c r="I583" s="944"/>
      <c r="J583" s="944"/>
      <c r="K583" s="944"/>
      <c r="L583" s="944"/>
      <c r="M583" s="944"/>
      <c r="N583" s="944"/>
    </row>
    <row r="584" spans="3:14" ht="14.25" customHeight="1">
      <c r="C584" s="944"/>
      <c r="D584" s="944"/>
      <c r="E584" s="944"/>
      <c r="F584" s="944"/>
      <c r="G584" s="944"/>
      <c r="H584" s="944"/>
      <c r="I584" s="944"/>
      <c r="J584" s="944"/>
      <c r="K584" s="944"/>
      <c r="L584" s="944"/>
      <c r="M584" s="944"/>
      <c r="N584" s="944"/>
    </row>
    <row r="585" spans="3:14" ht="14.25" customHeight="1">
      <c r="C585" s="944"/>
      <c r="D585" s="944"/>
      <c r="E585" s="944"/>
      <c r="F585" s="944"/>
      <c r="G585" s="944"/>
      <c r="H585" s="944"/>
      <c r="I585" s="944"/>
      <c r="J585" s="944"/>
      <c r="K585" s="944"/>
      <c r="L585" s="944"/>
      <c r="M585" s="944"/>
      <c r="N585" s="944"/>
    </row>
    <row r="586" spans="3:14" ht="14.25" customHeight="1">
      <c r="C586" s="944"/>
      <c r="D586" s="944"/>
      <c r="E586" s="944"/>
      <c r="F586" s="944"/>
      <c r="G586" s="944"/>
      <c r="H586" s="944"/>
      <c r="I586" s="944"/>
      <c r="J586" s="944"/>
      <c r="K586" s="944"/>
      <c r="L586" s="944"/>
      <c r="M586" s="944"/>
      <c r="N586" s="944"/>
    </row>
    <row r="587" spans="3:14" ht="14.25" customHeight="1">
      <c r="C587" s="944"/>
      <c r="D587" s="944"/>
      <c r="E587" s="944"/>
      <c r="F587" s="944"/>
      <c r="G587" s="944"/>
      <c r="H587" s="944"/>
      <c r="I587" s="944"/>
      <c r="J587" s="944"/>
      <c r="K587" s="944"/>
      <c r="L587" s="944"/>
      <c r="M587" s="944"/>
      <c r="N587" s="944"/>
    </row>
    <row r="588" spans="3:14" ht="14.25" customHeight="1">
      <c r="C588" s="944"/>
      <c r="D588" s="944"/>
      <c r="E588" s="944"/>
      <c r="F588" s="944"/>
      <c r="G588" s="944"/>
      <c r="H588" s="944"/>
      <c r="I588" s="944"/>
      <c r="J588" s="944"/>
      <c r="K588" s="944"/>
      <c r="L588" s="944"/>
      <c r="M588" s="944"/>
      <c r="N588" s="944"/>
    </row>
    <row r="589" spans="3:14" ht="14.25" customHeight="1">
      <c r="C589" s="944"/>
      <c r="D589" s="944"/>
      <c r="E589" s="944"/>
      <c r="F589" s="944"/>
      <c r="G589" s="944"/>
      <c r="H589" s="944"/>
      <c r="I589" s="944"/>
      <c r="J589" s="944"/>
      <c r="K589" s="944"/>
      <c r="L589" s="944"/>
      <c r="M589" s="944"/>
      <c r="N589" s="944"/>
    </row>
    <row r="590" spans="3:14" ht="14.25" customHeight="1">
      <c r="C590" s="944"/>
      <c r="D590" s="944"/>
      <c r="E590" s="944"/>
      <c r="F590" s="944"/>
      <c r="G590" s="944"/>
      <c r="H590" s="944"/>
      <c r="I590" s="944"/>
      <c r="J590" s="944"/>
      <c r="K590" s="944"/>
      <c r="L590" s="944"/>
      <c r="M590" s="944"/>
      <c r="N590" s="944"/>
    </row>
    <row r="591" spans="3:14" ht="14.25" customHeight="1">
      <c r="C591" s="944"/>
      <c r="D591" s="944"/>
      <c r="E591" s="944"/>
      <c r="F591" s="944"/>
      <c r="G591" s="944"/>
      <c r="H591" s="944"/>
      <c r="I591" s="944"/>
      <c r="J591" s="944"/>
      <c r="K591" s="944"/>
      <c r="L591" s="944"/>
      <c r="M591" s="944"/>
      <c r="N591" s="944"/>
    </row>
    <row r="592" spans="3:14" ht="14.25" customHeight="1">
      <c r="C592" s="944"/>
      <c r="D592" s="944"/>
      <c r="E592" s="944"/>
      <c r="F592" s="944"/>
      <c r="G592" s="944"/>
      <c r="H592" s="944"/>
      <c r="I592" s="944"/>
      <c r="J592" s="944"/>
      <c r="K592" s="944"/>
      <c r="L592" s="944"/>
      <c r="M592" s="944"/>
      <c r="N592" s="944"/>
    </row>
    <row r="593" spans="3:14" ht="14.25" customHeight="1">
      <c r="C593" s="944"/>
      <c r="D593" s="944"/>
      <c r="E593" s="944"/>
      <c r="F593" s="944"/>
      <c r="G593" s="944"/>
      <c r="H593" s="944"/>
      <c r="I593" s="944"/>
      <c r="J593" s="944"/>
      <c r="K593" s="944"/>
      <c r="L593" s="944"/>
      <c r="M593" s="944"/>
      <c r="N593" s="944"/>
    </row>
    <row r="594" spans="3:14" ht="14.25" customHeight="1">
      <c r="C594" s="944"/>
      <c r="D594" s="944"/>
      <c r="E594" s="944"/>
      <c r="F594" s="944"/>
      <c r="G594" s="944"/>
      <c r="H594" s="944"/>
      <c r="I594" s="944"/>
      <c r="J594" s="944"/>
      <c r="K594" s="944"/>
      <c r="L594" s="944"/>
      <c r="M594" s="944"/>
      <c r="N594" s="944"/>
    </row>
    <row r="595" spans="3:14" ht="14.25" customHeight="1">
      <c r="C595" s="944"/>
      <c r="D595" s="944"/>
      <c r="E595" s="944"/>
      <c r="F595" s="944"/>
      <c r="G595" s="944"/>
      <c r="H595" s="944"/>
      <c r="I595" s="944"/>
      <c r="J595" s="944"/>
      <c r="K595" s="944"/>
      <c r="L595" s="944"/>
      <c r="M595" s="944"/>
      <c r="N595" s="944"/>
    </row>
    <row r="596" spans="3:14" ht="14.25" customHeight="1">
      <c r="C596" s="944"/>
      <c r="D596" s="944"/>
      <c r="E596" s="944"/>
      <c r="F596" s="944"/>
      <c r="G596" s="944"/>
      <c r="H596" s="944"/>
      <c r="I596" s="944"/>
      <c r="J596" s="944"/>
      <c r="K596" s="944"/>
      <c r="L596" s="944"/>
      <c r="M596" s="944"/>
      <c r="N596" s="944"/>
    </row>
    <row r="597" spans="3:14" ht="14.25" customHeight="1">
      <c r="C597" s="944"/>
      <c r="D597" s="944"/>
      <c r="E597" s="944"/>
      <c r="F597" s="944"/>
      <c r="G597" s="944"/>
      <c r="H597" s="944"/>
      <c r="I597" s="944"/>
      <c r="J597" s="944"/>
      <c r="K597" s="944"/>
      <c r="L597" s="944"/>
      <c r="M597" s="944"/>
      <c r="N597" s="944"/>
    </row>
    <row r="598" spans="3:14" ht="14.25" customHeight="1">
      <c r="C598" s="944"/>
      <c r="D598" s="944"/>
      <c r="E598" s="944"/>
      <c r="F598" s="944"/>
      <c r="G598" s="944"/>
      <c r="H598" s="944"/>
      <c r="I598" s="944"/>
      <c r="J598" s="944"/>
      <c r="K598" s="944"/>
      <c r="L598" s="944"/>
      <c r="M598" s="944"/>
      <c r="N598" s="944"/>
    </row>
    <row r="599" spans="3:14" ht="14.25" customHeight="1">
      <c r="C599" s="944"/>
      <c r="D599" s="944"/>
      <c r="E599" s="944"/>
      <c r="F599" s="944"/>
      <c r="G599" s="944"/>
      <c r="H599" s="944"/>
      <c r="I599" s="944"/>
      <c r="J599" s="944"/>
      <c r="K599" s="944"/>
      <c r="L599" s="944"/>
      <c r="M599" s="944"/>
      <c r="N599" s="944"/>
    </row>
    <row r="600" spans="3:14" ht="14.25" customHeight="1">
      <c r="C600" s="944"/>
      <c r="D600" s="944"/>
      <c r="E600" s="944"/>
      <c r="F600" s="944"/>
      <c r="G600" s="944"/>
      <c r="H600" s="944"/>
      <c r="I600" s="944"/>
      <c r="J600" s="944"/>
      <c r="K600" s="944"/>
      <c r="L600" s="944"/>
      <c r="M600" s="944"/>
      <c r="N600" s="944"/>
    </row>
    <row r="601" spans="3:14" ht="14.25" customHeight="1">
      <c r="C601" s="944"/>
      <c r="D601" s="944"/>
      <c r="E601" s="944"/>
      <c r="F601" s="944"/>
      <c r="G601" s="944"/>
      <c r="H601" s="944"/>
      <c r="I601" s="944"/>
      <c r="J601" s="944"/>
      <c r="K601" s="944"/>
      <c r="L601" s="944"/>
      <c r="M601" s="944"/>
      <c r="N601" s="944"/>
    </row>
    <row r="602" spans="3:14" ht="14.25" customHeight="1">
      <c r="C602" s="944"/>
      <c r="D602" s="944"/>
      <c r="E602" s="944"/>
      <c r="F602" s="944"/>
      <c r="G602" s="944"/>
      <c r="H602" s="944"/>
      <c r="I602" s="944"/>
      <c r="J602" s="944"/>
      <c r="K602" s="944"/>
      <c r="L602" s="944"/>
      <c r="M602" s="944"/>
      <c r="N602" s="944"/>
    </row>
    <row r="603" spans="3:14" ht="14.25" customHeight="1">
      <c r="C603" s="944"/>
      <c r="D603" s="944"/>
      <c r="E603" s="944"/>
      <c r="F603" s="944"/>
      <c r="G603" s="944"/>
      <c r="H603" s="944"/>
      <c r="I603" s="944"/>
      <c r="J603" s="944"/>
      <c r="K603" s="944"/>
      <c r="L603" s="944"/>
      <c r="M603" s="944"/>
      <c r="N603" s="944"/>
    </row>
    <row r="604" spans="3:14" ht="14.25" customHeight="1">
      <c r="C604" s="944"/>
      <c r="D604" s="944"/>
      <c r="E604" s="944"/>
      <c r="F604" s="944"/>
      <c r="G604" s="944"/>
      <c r="H604" s="944"/>
      <c r="I604" s="944"/>
      <c r="J604" s="944"/>
      <c r="K604" s="944"/>
      <c r="L604" s="944"/>
      <c r="M604" s="944"/>
      <c r="N604" s="944"/>
    </row>
    <row r="605" spans="3:14" ht="14.25" customHeight="1">
      <c r="C605" s="944"/>
      <c r="D605" s="944"/>
      <c r="E605" s="944"/>
      <c r="F605" s="944"/>
      <c r="G605" s="944"/>
      <c r="H605" s="944"/>
      <c r="I605" s="944"/>
      <c r="J605" s="944"/>
      <c r="K605" s="944"/>
      <c r="L605" s="944"/>
      <c r="M605" s="944"/>
      <c r="N605" s="944"/>
    </row>
  </sheetData>
  <mergeCells count="15">
    <mergeCell ref="L3:L4"/>
    <mergeCell ref="M3:M4"/>
    <mergeCell ref="N3:N4"/>
    <mergeCell ref="O3:O4"/>
    <mergeCell ref="P3:P4"/>
    <mergeCell ref="F3:F4"/>
    <mergeCell ref="G3:G4"/>
    <mergeCell ref="H3:H4"/>
    <mergeCell ref="I3:I4"/>
    <mergeCell ref="J3:K3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W1625"/>
  <sheetViews>
    <sheetView topLeftCell="C6" zoomScale="85" zoomScaleNormal="85" workbookViewId="0">
      <pane ySplit="1" topLeftCell="A37" activePane="bottomLeft" state="frozen"/>
      <selection activeCell="C6" sqref="C6"/>
      <selection pane="bottomLeft" activeCell="M65" sqref="M65"/>
    </sheetView>
  </sheetViews>
  <sheetFormatPr baseColWidth="10" defaultColWidth="9.1640625" defaultRowHeight="15"/>
  <cols>
    <col min="1" max="1" width="9.1640625" style="838"/>
    <col min="2" max="2" width="51.5" style="838" customWidth="1"/>
    <col min="3" max="10" width="12.5" style="838" customWidth="1"/>
    <col min="11" max="11" width="10.5" style="838" customWidth="1"/>
    <col min="12" max="12" width="8.5" style="838" customWidth="1"/>
    <col min="13" max="13" width="14.5" style="838" customWidth="1"/>
    <col min="14" max="14" width="6.5" style="838" customWidth="1"/>
    <col min="15" max="15" width="9.1640625" style="838"/>
    <col min="16" max="16" width="11.83203125" style="838" customWidth="1"/>
    <col min="17" max="18" width="9.1640625" style="838"/>
    <col min="19" max="19" width="12.1640625" style="838" customWidth="1"/>
    <col min="20" max="16384" width="9.1640625" style="838"/>
  </cols>
  <sheetData>
    <row r="1" spans="1:22" ht="15.75" customHeight="1">
      <c r="A1" s="442"/>
      <c r="B1" s="442"/>
      <c r="C1" s="442"/>
      <c r="D1" s="442"/>
      <c r="E1" s="442"/>
      <c r="F1" s="442"/>
      <c r="G1" s="442"/>
      <c r="H1" s="442"/>
      <c r="I1" s="442"/>
      <c r="J1" s="442"/>
      <c r="K1" s="442"/>
      <c r="L1" s="442"/>
      <c r="M1" s="442"/>
      <c r="N1" s="442"/>
      <c r="O1" s="442"/>
      <c r="P1" s="442"/>
      <c r="Q1" s="442"/>
      <c r="R1" s="442"/>
      <c r="S1" s="442"/>
      <c r="T1" s="837"/>
      <c r="U1" s="837"/>
      <c r="V1" s="837"/>
    </row>
    <row r="2" spans="1:22" ht="15.75" customHeight="1">
      <c r="A2" s="442"/>
      <c r="B2" s="442"/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837"/>
      <c r="U2" s="837"/>
      <c r="V2" s="837"/>
    </row>
    <row r="3" spans="1:22" ht="15.75" customHeight="1">
      <c r="A3" s="442"/>
      <c r="B3" s="442"/>
      <c r="C3" s="442"/>
      <c r="D3" s="442"/>
      <c r="E3" s="442"/>
      <c r="F3" s="442"/>
      <c r="G3" s="442"/>
      <c r="H3" s="442"/>
      <c r="I3" s="442"/>
      <c r="J3" s="442"/>
      <c r="K3" s="442"/>
      <c r="L3" s="442"/>
      <c r="M3" s="442"/>
      <c r="N3" s="442"/>
      <c r="O3" s="442"/>
      <c r="P3" s="442"/>
      <c r="Q3" s="442"/>
      <c r="R3" s="442"/>
      <c r="S3" s="442"/>
      <c r="T3" s="837"/>
      <c r="U3" s="837"/>
      <c r="V3" s="837"/>
    </row>
    <row r="4" spans="1:22" ht="24" customHeight="1">
      <c r="A4" s="852" t="s">
        <v>76</v>
      </c>
      <c r="B4" s="442"/>
      <c r="C4" s="442"/>
      <c r="D4" s="442"/>
      <c r="E4" s="442"/>
      <c r="F4" s="442"/>
      <c r="G4" s="442"/>
      <c r="H4" s="442"/>
      <c r="I4" s="442"/>
      <c r="J4" s="442"/>
      <c r="K4" s="442"/>
      <c r="L4" s="442"/>
      <c r="M4" s="442"/>
      <c r="N4" s="442"/>
      <c r="O4" s="442"/>
      <c r="P4" s="442"/>
      <c r="Q4" s="442"/>
      <c r="R4" s="442"/>
      <c r="S4" s="442"/>
      <c r="T4" s="837"/>
      <c r="U4" s="837"/>
      <c r="V4" s="837"/>
    </row>
    <row r="5" spans="1:22" ht="15.75" customHeight="1">
      <c r="A5" s="442"/>
      <c r="B5" s="442"/>
      <c r="C5" s="442"/>
      <c r="D5" s="442"/>
      <c r="E5" s="442"/>
      <c r="F5" s="442"/>
      <c r="G5" s="442"/>
      <c r="H5" s="442"/>
      <c r="I5" s="442"/>
      <c r="J5" s="442"/>
      <c r="K5" s="442"/>
      <c r="L5" s="442"/>
      <c r="M5" s="442"/>
      <c r="N5" s="442"/>
      <c r="O5" s="442"/>
      <c r="P5" s="442"/>
      <c r="Q5" s="442"/>
      <c r="R5" s="442"/>
      <c r="S5" s="442"/>
      <c r="T5" s="837"/>
      <c r="U5" s="837"/>
      <c r="V5" s="837"/>
    </row>
    <row r="6" spans="1:22" s="942" customFormat="1" ht="27.75" customHeight="1">
      <c r="A6" s="853" t="s">
        <v>1</v>
      </c>
      <c r="B6" s="854" t="s">
        <v>68</v>
      </c>
      <c r="C6" s="854" t="s">
        <v>77</v>
      </c>
      <c r="D6" s="854" t="s">
        <v>78</v>
      </c>
      <c r="E6" s="854" t="s">
        <v>79</v>
      </c>
      <c r="F6" s="854" t="s">
        <v>978</v>
      </c>
      <c r="G6" s="855" t="s">
        <v>1095</v>
      </c>
      <c r="H6" s="855" t="s">
        <v>1096</v>
      </c>
      <c r="I6" s="854" t="s">
        <v>213</v>
      </c>
      <c r="J6" s="854" t="s">
        <v>977</v>
      </c>
      <c r="K6" s="854" t="s">
        <v>6</v>
      </c>
      <c r="L6" s="854" t="s">
        <v>80</v>
      </c>
      <c r="M6" s="854" t="s">
        <v>81</v>
      </c>
      <c r="N6" s="856" t="s">
        <v>82</v>
      </c>
      <c r="O6" s="442"/>
      <c r="P6" s="442"/>
      <c r="Q6" s="442"/>
      <c r="R6" s="442"/>
      <c r="S6" s="442"/>
      <c r="T6" s="442"/>
      <c r="U6" s="442"/>
      <c r="V6" s="442"/>
    </row>
    <row r="7" spans="1:22" s="942" customFormat="1" ht="7.5" customHeight="1">
      <c r="A7" s="945"/>
      <c r="B7" s="442"/>
      <c r="C7" s="442"/>
      <c r="D7" s="442"/>
      <c r="E7" s="442"/>
      <c r="F7" s="442"/>
      <c r="G7" s="442"/>
      <c r="H7" s="442"/>
      <c r="I7" s="442"/>
      <c r="J7" s="442"/>
      <c r="K7" s="442"/>
      <c r="L7" s="442"/>
      <c r="M7" s="442"/>
      <c r="N7" s="946"/>
      <c r="O7" s="442"/>
      <c r="P7" s="442"/>
      <c r="Q7" s="442"/>
      <c r="R7" s="442"/>
      <c r="S7" s="442"/>
      <c r="T7" s="442"/>
      <c r="U7" s="442"/>
      <c r="V7" s="442"/>
    </row>
    <row r="8" spans="1:22" s="942" customFormat="1" ht="7.5" customHeight="1">
      <c r="A8" s="857"/>
      <c r="B8" s="858"/>
      <c r="C8" s="858"/>
      <c r="D8" s="858"/>
      <c r="E8" s="858"/>
      <c r="F8" s="858"/>
      <c r="G8" s="858"/>
      <c r="H8" s="858"/>
      <c r="I8" s="858"/>
      <c r="J8" s="858"/>
      <c r="K8" s="858"/>
      <c r="L8" s="858"/>
      <c r="M8" s="858"/>
      <c r="N8" s="859"/>
      <c r="O8" s="442"/>
      <c r="P8" s="442"/>
      <c r="Q8" s="442"/>
      <c r="R8" s="442"/>
      <c r="S8" s="442"/>
      <c r="T8" s="442"/>
      <c r="U8" s="442"/>
      <c r="V8" s="442"/>
    </row>
    <row r="9" spans="1:22" s="942" customFormat="1" ht="15.75" customHeight="1">
      <c r="A9" s="947" t="s">
        <v>1384</v>
      </c>
      <c r="B9" s="948" t="s">
        <v>1385</v>
      </c>
      <c r="C9" s="428"/>
      <c r="D9" s="428"/>
      <c r="E9" s="428"/>
      <c r="F9" s="428"/>
      <c r="G9" s="428"/>
      <c r="H9" s="428"/>
      <c r="I9" s="428"/>
      <c r="J9" s="428"/>
      <c r="K9" s="428"/>
      <c r="L9" s="428"/>
      <c r="M9" s="428"/>
      <c r="N9" s="949"/>
    </row>
    <row r="10" spans="1:22" s="942" customFormat="1" ht="15.75" customHeight="1">
      <c r="A10" s="425" t="s">
        <v>1386</v>
      </c>
      <c r="B10" s="446" t="s">
        <v>395</v>
      </c>
      <c r="C10" s="428"/>
      <c r="D10" s="428"/>
      <c r="E10" s="428"/>
      <c r="F10" s="428"/>
      <c r="G10" s="428"/>
      <c r="H10" s="428"/>
      <c r="I10" s="428"/>
      <c r="J10" s="428"/>
      <c r="K10" s="428"/>
      <c r="L10" s="428"/>
      <c r="M10" s="428"/>
      <c r="N10" s="949"/>
    </row>
    <row r="11" spans="1:22" s="942" customFormat="1" ht="15.75" customHeight="1">
      <c r="A11" s="950">
        <v>1</v>
      </c>
      <c r="B11" s="391" t="s">
        <v>396</v>
      </c>
      <c r="C11" s="428">
        <f>6+1</f>
        <v>7</v>
      </c>
      <c r="D11" s="428">
        <f>2+1</f>
        <v>3</v>
      </c>
      <c r="E11" s="428"/>
      <c r="F11" s="428"/>
      <c r="G11" s="428"/>
      <c r="H11" s="428"/>
      <c r="I11" s="428"/>
      <c r="J11" s="428">
        <v>2</v>
      </c>
      <c r="K11" s="428"/>
      <c r="L11" s="428"/>
      <c r="M11" s="428">
        <f>C11*J11+D11*J11</f>
        <v>20</v>
      </c>
      <c r="N11" s="949" t="s">
        <v>117</v>
      </c>
    </row>
    <row r="12" spans="1:22" s="952" customFormat="1" ht="15.75" hidden="1" customHeight="1">
      <c r="A12" s="876">
        <f>A11+1</f>
        <v>2</v>
      </c>
      <c r="B12" s="951" t="s">
        <v>523</v>
      </c>
      <c r="C12" s="587"/>
      <c r="D12" s="587"/>
      <c r="E12" s="587"/>
      <c r="F12" s="587"/>
      <c r="G12" s="587"/>
      <c r="H12" s="587"/>
      <c r="I12" s="587"/>
      <c r="J12" s="587"/>
      <c r="K12" s="587"/>
      <c r="L12" s="587"/>
      <c r="M12" s="587"/>
      <c r="N12" s="863"/>
    </row>
    <row r="13" spans="1:22" s="952" customFormat="1" ht="15.75" hidden="1" customHeight="1">
      <c r="A13" s="953" t="s">
        <v>95</v>
      </c>
      <c r="B13" s="951" t="s">
        <v>398</v>
      </c>
      <c r="C13" s="574">
        <f>0.6+0.1+0.1</f>
        <v>0.79999999999999993</v>
      </c>
      <c r="D13" s="574">
        <f>C13</f>
        <v>0.79999999999999993</v>
      </c>
      <c r="E13" s="574">
        <f>0.6+0.15+0.03+0.07</f>
        <v>0.85000000000000009</v>
      </c>
      <c r="F13" s="574"/>
      <c r="G13" s="574"/>
      <c r="H13" s="574"/>
      <c r="I13" s="436"/>
      <c r="J13" s="436"/>
      <c r="K13" s="436"/>
      <c r="L13" s="436">
        <v>8</v>
      </c>
      <c r="M13" s="436">
        <f>C13*D13*E13*L13</f>
        <v>4.3519999999999994</v>
      </c>
      <c r="N13" s="954" t="s">
        <v>103</v>
      </c>
    </row>
    <row r="14" spans="1:22" s="952" customFormat="1" ht="15.75" hidden="1" customHeight="1">
      <c r="A14" s="953" t="s">
        <v>98</v>
      </c>
      <c r="B14" s="951" t="s">
        <v>399</v>
      </c>
      <c r="C14" s="574">
        <v>0.8</v>
      </c>
      <c r="D14" s="574">
        <v>0.8</v>
      </c>
      <c r="E14" s="574">
        <v>7.0000000000000007E-2</v>
      </c>
      <c r="F14" s="574"/>
      <c r="G14" s="574"/>
      <c r="H14" s="574"/>
      <c r="I14" s="436"/>
      <c r="J14" s="436"/>
      <c r="K14" s="436"/>
      <c r="L14" s="436">
        <f t="shared" ref="L14:L19" si="0">L13</f>
        <v>8</v>
      </c>
      <c r="M14" s="436">
        <f>C14*D14*E14*L14</f>
        <v>0.35840000000000011</v>
      </c>
      <c r="N14" s="954" t="s">
        <v>103</v>
      </c>
    </row>
    <row r="15" spans="1:22" s="952" customFormat="1" ht="15.75" hidden="1" customHeight="1">
      <c r="A15" s="953" t="s">
        <v>101</v>
      </c>
      <c r="B15" s="951" t="s">
        <v>400</v>
      </c>
      <c r="C15" s="574">
        <f>C14</f>
        <v>0.8</v>
      </c>
      <c r="D15" s="574">
        <f>D14</f>
        <v>0.8</v>
      </c>
      <c r="E15" s="574">
        <v>0.03</v>
      </c>
      <c r="F15" s="574"/>
      <c r="G15" s="574"/>
      <c r="H15" s="574"/>
      <c r="I15" s="436"/>
      <c r="J15" s="436"/>
      <c r="K15" s="436"/>
      <c r="L15" s="436">
        <f t="shared" si="0"/>
        <v>8</v>
      </c>
      <c r="M15" s="436">
        <f>C15*D15*E15*L15</f>
        <v>0.15360000000000001</v>
      </c>
      <c r="N15" s="954" t="s">
        <v>103</v>
      </c>
    </row>
    <row r="16" spans="1:22" s="952" customFormat="1" ht="15.75" hidden="1" customHeight="1">
      <c r="A16" s="953" t="s">
        <v>121</v>
      </c>
      <c r="B16" s="951" t="s">
        <v>401</v>
      </c>
      <c r="C16" s="574">
        <f>C15</f>
        <v>0.8</v>
      </c>
      <c r="D16" s="574"/>
      <c r="E16" s="574">
        <f>E13-0.6-E14-E15</f>
        <v>0.15000000000000011</v>
      </c>
      <c r="F16" s="574"/>
      <c r="G16" s="574"/>
      <c r="H16" s="574">
        <v>4</v>
      </c>
      <c r="I16" s="436"/>
      <c r="J16" s="436"/>
      <c r="K16" s="436"/>
      <c r="L16" s="436">
        <f t="shared" si="0"/>
        <v>8</v>
      </c>
      <c r="M16" s="436">
        <f>C16*E16*H16*L16</f>
        <v>3.840000000000003</v>
      </c>
      <c r="N16" s="954" t="s">
        <v>89</v>
      </c>
    </row>
    <row r="17" spans="1:14" s="952" customFormat="1" ht="15.75" hidden="1" customHeight="1">
      <c r="A17" s="953" t="s">
        <v>142</v>
      </c>
      <c r="B17" s="951" t="s">
        <v>504</v>
      </c>
      <c r="C17" s="574">
        <v>0.45</v>
      </c>
      <c r="D17" s="574"/>
      <c r="E17" s="574"/>
      <c r="F17" s="574">
        <f>10*10*0.006165</f>
        <v>0.61650000000000005</v>
      </c>
      <c r="G17" s="574">
        <f>0.15*2</f>
        <v>0.3</v>
      </c>
      <c r="H17" s="574">
        <v>4</v>
      </c>
      <c r="I17" s="436"/>
      <c r="J17" s="436"/>
      <c r="K17" s="762">
        <f>ROUNDUP((C17/0.15),0.5)</f>
        <v>3</v>
      </c>
      <c r="L17" s="436">
        <f t="shared" si="0"/>
        <v>8</v>
      </c>
      <c r="M17" s="436">
        <f>(C17+G17)*F17*H17*K17*L17</f>
        <v>44.388000000000005</v>
      </c>
      <c r="N17" s="954" t="s">
        <v>100</v>
      </c>
    </row>
    <row r="18" spans="1:14" s="952" customFormat="1" ht="15.75" hidden="1" customHeight="1">
      <c r="A18" s="953" t="s">
        <v>217</v>
      </c>
      <c r="B18" s="585" t="s">
        <v>169</v>
      </c>
      <c r="C18" s="574">
        <f>C13-0.2</f>
        <v>0.59999999999999987</v>
      </c>
      <c r="D18" s="574">
        <f>D13-0.2</f>
        <v>0.59999999999999987</v>
      </c>
      <c r="E18" s="574">
        <f>E16</f>
        <v>0.15000000000000011</v>
      </c>
      <c r="F18" s="574"/>
      <c r="G18" s="574"/>
      <c r="H18" s="574"/>
      <c r="I18" s="436"/>
      <c r="J18" s="436"/>
      <c r="K18" s="436"/>
      <c r="L18" s="436">
        <f t="shared" si="0"/>
        <v>8</v>
      </c>
      <c r="M18" s="436">
        <f>C18*D18*E18*L18</f>
        <v>0.43200000000000011</v>
      </c>
      <c r="N18" s="954" t="s">
        <v>103</v>
      </c>
    </row>
    <row r="19" spans="1:14" s="952" customFormat="1" ht="15.75" hidden="1" customHeight="1">
      <c r="A19" s="953" t="s">
        <v>366</v>
      </c>
      <c r="B19" s="951" t="s">
        <v>383</v>
      </c>
      <c r="C19" s="574"/>
      <c r="D19" s="574"/>
      <c r="E19" s="574">
        <v>4</v>
      </c>
      <c r="F19" s="574"/>
      <c r="G19" s="574"/>
      <c r="H19" s="574"/>
      <c r="I19" s="436"/>
      <c r="J19" s="436"/>
      <c r="K19" s="436">
        <v>4</v>
      </c>
      <c r="L19" s="436">
        <f t="shared" si="0"/>
        <v>8</v>
      </c>
      <c r="M19" s="436">
        <f>E19*K19*L19</f>
        <v>128</v>
      </c>
      <c r="N19" s="954" t="s">
        <v>117</v>
      </c>
    </row>
    <row r="20" spans="1:14" s="942" customFormat="1" ht="15.75" customHeight="1">
      <c r="A20" s="394">
        <f>A11+1</f>
        <v>2</v>
      </c>
      <c r="B20" s="389" t="s">
        <v>811</v>
      </c>
      <c r="C20" s="428"/>
      <c r="D20" s="428"/>
      <c r="E20" s="428"/>
      <c r="F20" s="428"/>
      <c r="G20" s="428"/>
      <c r="H20" s="428"/>
      <c r="I20" s="428"/>
      <c r="J20" s="428"/>
      <c r="K20" s="428"/>
      <c r="L20" s="428"/>
      <c r="M20" s="428"/>
      <c r="N20" s="949"/>
    </row>
    <row r="21" spans="1:14" s="942" customFormat="1" ht="15.75" customHeight="1">
      <c r="A21" s="451" t="s">
        <v>95</v>
      </c>
      <c r="B21" s="389" t="s">
        <v>382</v>
      </c>
      <c r="C21" s="428"/>
      <c r="D21" s="428"/>
      <c r="E21" s="428"/>
      <c r="F21" s="428"/>
      <c r="G21" s="428"/>
      <c r="H21" s="428"/>
      <c r="I21" s="428"/>
      <c r="J21" s="428"/>
      <c r="K21" s="428"/>
      <c r="L21" s="428"/>
      <c r="M21" s="428"/>
      <c r="N21" s="949"/>
    </row>
    <row r="22" spans="1:14" s="942" customFormat="1" ht="15.75" customHeight="1">
      <c r="A22" s="451"/>
      <c r="B22" s="682" t="s">
        <v>155</v>
      </c>
      <c r="C22" s="428">
        <v>6</v>
      </c>
      <c r="D22" s="428">
        <v>0.8</v>
      </c>
      <c r="E22" s="428">
        <f>0.8+0.07</f>
        <v>0.87000000000000011</v>
      </c>
      <c r="F22" s="428"/>
      <c r="G22" s="428"/>
      <c r="H22" s="428"/>
      <c r="I22" s="428"/>
      <c r="J22" s="428"/>
      <c r="K22" s="428"/>
      <c r="L22" s="428">
        <v>2</v>
      </c>
      <c r="M22" s="428">
        <f>C22*D22*E22*L22</f>
        <v>8.3520000000000021</v>
      </c>
      <c r="N22" s="949"/>
    </row>
    <row r="23" spans="1:14" s="942" customFormat="1" ht="15.75" customHeight="1">
      <c r="A23" s="451"/>
      <c r="B23" s="682" t="s">
        <v>154</v>
      </c>
      <c r="C23" s="428">
        <v>2</v>
      </c>
      <c r="D23" s="428">
        <f>D22</f>
        <v>0.8</v>
      </c>
      <c r="E23" s="428">
        <f>E22</f>
        <v>0.87000000000000011</v>
      </c>
      <c r="F23" s="428"/>
      <c r="G23" s="428"/>
      <c r="H23" s="428"/>
      <c r="I23" s="428"/>
      <c r="J23" s="428"/>
      <c r="K23" s="428"/>
      <c r="L23" s="428">
        <v>4</v>
      </c>
      <c r="M23" s="590">
        <f>C23*D23*E23*L23</f>
        <v>5.5680000000000014</v>
      </c>
      <c r="N23" s="949"/>
    </row>
    <row r="24" spans="1:14" s="942" customFormat="1" ht="15.75" customHeight="1">
      <c r="A24" s="451"/>
      <c r="B24" s="389"/>
      <c r="C24" s="428"/>
      <c r="D24" s="428"/>
      <c r="E24" s="428"/>
      <c r="F24" s="428"/>
      <c r="G24" s="428"/>
      <c r="H24" s="428"/>
      <c r="I24" s="428"/>
      <c r="J24" s="428"/>
      <c r="K24" s="428"/>
      <c r="L24" s="428"/>
      <c r="M24" s="841">
        <f>SUM(M22:M23)</f>
        <v>13.920000000000003</v>
      </c>
      <c r="N24" s="955" t="s">
        <v>103</v>
      </c>
    </row>
    <row r="25" spans="1:14" s="942" customFormat="1" ht="15.75" customHeight="1">
      <c r="A25" s="451" t="s">
        <v>98</v>
      </c>
      <c r="B25" s="389" t="s">
        <v>1387</v>
      </c>
      <c r="C25" s="956">
        <f>C22</f>
        <v>6</v>
      </c>
      <c r="D25" s="428">
        <f>D22</f>
        <v>0.8</v>
      </c>
      <c r="E25" s="428">
        <v>7.0000000000000007E-2</v>
      </c>
      <c r="F25" s="428"/>
      <c r="G25" s="428"/>
      <c r="H25" s="428"/>
      <c r="I25" s="428"/>
      <c r="J25" s="428"/>
      <c r="K25" s="428"/>
      <c r="L25" s="428">
        <f>L22</f>
        <v>2</v>
      </c>
      <c r="M25" s="428">
        <f>C25*D25*E25*L25</f>
        <v>0.67200000000000015</v>
      </c>
      <c r="N25" s="949"/>
    </row>
    <row r="26" spans="1:14" s="942" customFormat="1" ht="15.75" customHeight="1">
      <c r="A26" s="451"/>
      <c r="B26" s="389"/>
      <c r="C26" s="956">
        <f>C25</f>
        <v>6</v>
      </c>
      <c r="D26" s="428">
        <f>D25</f>
        <v>0.8</v>
      </c>
      <c r="E26" s="428">
        <v>7.0000000000000007E-2</v>
      </c>
      <c r="F26" s="428"/>
      <c r="G26" s="428"/>
      <c r="H26" s="428"/>
      <c r="I26" s="428"/>
      <c r="J26" s="428"/>
      <c r="K26" s="428"/>
      <c r="L26" s="428">
        <f>L23</f>
        <v>4</v>
      </c>
      <c r="M26" s="590">
        <f>C26*D26*E26*L26</f>
        <v>1.3440000000000003</v>
      </c>
      <c r="N26" s="949"/>
    </row>
    <row r="27" spans="1:14" s="942" customFormat="1" ht="15.75" customHeight="1">
      <c r="A27" s="451"/>
      <c r="B27" s="389"/>
      <c r="C27" s="956"/>
      <c r="D27" s="428"/>
      <c r="E27" s="428"/>
      <c r="F27" s="428"/>
      <c r="G27" s="428"/>
      <c r="H27" s="428"/>
      <c r="I27" s="428"/>
      <c r="J27" s="428"/>
      <c r="K27" s="428"/>
      <c r="L27" s="428"/>
      <c r="M27" s="841">
        <f>SUM(M25:M26)</f>
        <v>2.0160000000000005</v>
      </c>
      <c r="N27" s="955" t="s">
        <v>103</v>
      </c>
    </row>
    <row r="28" spans="1:14" s="942" customFormat="1" ht="15.75" customHeight="1">
      <c r="A28" s="451" t="s">
        <v>101</v>
      </c>
      <c r="B28" s="861" t="s">
        <v>405</v>
      </c>
      <c r="C28" s="957" t="s">
        <v>1388</v>
      </c>
      <c r="D28" s="958"/>
      <c r="E28" s="958"/>
      <c r="F28" s="958"/>
      <c r="G28" s="958"/>
      <c r="H28" s="958"/>
      <c r="I28" s="958"/>
      <c r="J28" s="958"/>
      <c r="K28" s="958"/>
      <c r="L28" s="958"/>
      <c r="M28" s="959"/>
      <c r="N28" s="955"/>
    </row>
    <row r="29" spans="1:14" s="942" customFormat="1" ht="15.75" customHeight="1">
      <c r="A29" s="451"/>
      <c r="B29" s="960" t="s">
        <v>1389</v>
      </c>
      <c r="C29" s="958">
        <f>C31*L31+C32*L32</f>
        <v>20</v>
      </c>
      <c r="D29" s="958"/>
      <c r="E29" s="958">
        <v>4</v>
      </c>
      <c r="F29" s="958"/>
      <c r="G29" s="958"/>
      <c r="H29" s="958"/>
      <c r="I29" s="958"/>
      <c r="J29" s="958">
        <v>2</v>
      </c>
      <c r="K29" s="958"/>
      <c r="L29" s="958"/>
      <c r="M29" s="961">
        <f>(C29/0.5)*E29*J29</f>
        <v>320</v>
      </c>
      <c r="N29" s="955" t="s">
        <v>117</v>
      </c>
    </row>
    <row r="30" spans="1:14" s="942" customFormat="1" ht="15.75" customHeight="1">
      <c r="A30" s="451" t="s">
        <v>121</v>
      </c>
      <c r="B30" s="389" t="s">
        <v>693</v>
      </c>
      <c r="C30" s="428"/>
      <c r="D30" s="428"/>
      <c r="E30" s="428"/>
      <c r="F30" s="428"/>
      <c r="G30" s="428"/>
      <c r="H30" s="428"/>
      <c r="I30" s="428"/>
      <c r="J30" s="428"/>
      <c r="K30" s="428"/>
      <c r="L30" s="428"/>
      <c r="M30" s="428"/>
      <c r="N30" s="949"/>
    </row>
    <row r="31" spans="1:14" s="942" customFormat="1" ht="15.75" customHeight="1">
      <c r="A31" s="844"/>
      <c r="B31" s="682" t="s">
        <v>155</v>
      </c>
      <c r="C31" s="428">
        <f>C22</f>
        <v>6</v>
      </c>
      <c r="D31" s="428">
        <f>(0.3+D22)/2</f>
        <v>0.55000000000000004</v>
      </c>
      <c r="E31" s="428">
        <f>E22-E25</f>
        <v>0.8</v>
      </c>
      <c r="F31" s="428"/>
      <c r="G31" s="428"/>
      <c r="H31" s="428"/>
      <c r="I31" s="428"/>
      <c r="J31" s="428"/>
      <c r="K31" s="428"/>
      <c r="L31" s="428">
        <v>2</v>
      </c>
      <c r="M31" s="428">
        <f>C31*D31*E31*L31</f>
        <v>5.2800000000000011</v>
      </c>
      <c r="N31" s="949"/>
    </row>
    <row r="32" spans="1:14" s="942" customFormat="1" ht="15.75" customHeight="1">
      <c r="A32" s="844"/>
      <c r="B32" s="682" t="s">
        <v>154</v>
      </c>
      <c r="C32" s="428">
        <f>C23</f>
        <v>2</v>
      </c>
      <c r="D32" s="428">
        <f>D31</f>
        <v>0.55000000000000004</v>
      </c>
      <c r="E32" s="428">
        <f>E31</f>
        <v>0.8</v>
      </c>
      <c r="F32" s="428"/>
      <c r="G32" s="428"/>
      <c r="H32" s="428"/>
      <c r="I32" s="428"/>
      <c r="J32" s="428"/>
      <c r="K32" s="428"/>
      <c r="L32" s="428">
        <v>4</v>
      </c>
      <c r="M32" s="590">
        <f>C32*D32*E32*L32</f>
        <v>3.5200000000000005</v>
      </c>
      <c r="N32" s="949"/>
    </row>
    <row r="33" spans="1:18" s="942" customFormat="1" ht="15.75" customHeight="1">
      <c r="A33" s="844"/>
      <c r="B33" s="389"/>
      <c r="C33" s="428"/>
      <c r="D33" s="428"/>
      <c r="E33" s="428"/>
      <c r="F33" s="428"/>
      <c r="G33" s="428"/>
      <c r="H33" s="428"/>
      <c r="I33" s="428"/>
      <c r="J33" s="428"/>
      <c r="K33" s="428"/>
      <c r="L33" s="428"/>
      <c r="M33" s="841">
        <f>SUM(M31:M32)</f>
        <v>8.8000000000000007</v>
      </c>
      <c r="N33" s="955" t="s">
        <v>103</v>
      </c>
    </row>
    <row r="34" spans="1:18" s="487" customFormat="1" ht="15.75" customHeight="1">
      <c r="A34" s="350">
        <f>A20+1</f>
        <v>3</v>
      </c>
      <c r="B34" s="351" t="s">
        <v>1222</v>
      </c>
      <c r="C34" s="330"/>
      <c r="D34" s="330"/>
      <c r="E34" s="330"/>
      <c r="F34" s="330"/>
      <c r="G34" s="330"/>
      <c r="H34" s="330"/>
      <c r="I34" s="330"/>
      <c r="J34" s="330"/>
      <c r="K34" s="330"/>
      <c r="L34" s="330"/>
      <c r="M34" s="401"/>
      <c r="N34" s="748"/>
      <c r="O34" s="814"/>
    </row>
    <row r="35" spans="1:18" s="487" customFormat="1" ht="15.75" customHeight="1">
      <c r="A35" s="350"/>
      <c r="B35" s="567" t="s">
        <v>1111</v>
      </c>
      <c r="C35" s="330">
        <f>C54</f>
        <v>6</v>
      </c>
      <c r="D35" s="330"/>
      <c r="E35" s="330"/>
      <c r="F35" s="330"/>
      <c r="G35" s="330"/>
      <c r="H35" s="330"/>
      <c r="I35" s="330"/>
      <c r="J35" s="330"/>
      <c r="K35" s="330"/>
      <c r="L35" s="330">
        <f>L54</f>
        <v>2</v>
      </c>
      <c r="M35" s="401">
        <f>C35*L35</f>
        <v>12</v>
      </c>
      <c r="N35" s="748"/>
      <c r="O35" s="814"/>
    </row>
    <row r="36" spans="1:18" s="487" customFormat="1" ht="15.75" customHeight="1">
      <c r="A36" s="350"/>
      <c r="B36" s="567"/>
      <c r="C36" s="330">
        <f>C55</f>
        <v>2</v>
      </c>
      <c r="D36" s="330"/>
      <c r="E36" s="330"/>
      <c r="F36" s="330"/>
      <c r="G36" s="330"/>
      <c r="H36" s="330"/>
      <c r="I36" s="330"/>
      <c r="J36" s="330"/>
      <c r="K36" s="330"/>
      <c r="L36" s="330">
        <f>L55</f>
        <v>4</v>
      </c>
      <c r="M36" s="401">
        <f>C36*L36</f>
        <v>8</v>
      </c>
      <c r="N36" s="748"/>
      <c r="O36" s="814"/>
    </row>
    <row r="37" spans="1:18" s="487" customFormat="1" ht="15.75" customHeight="1">
      <c r="A37" s="350"/>
      <c r="B37" s="359"/>
      <c r="C37" s="330">
        <f>C56</f>
        <v>0</v>
      </c>
      <c r="D37" s="330"/>
      <c r="E37" s="330"/>
      <c r="F37" s="330"/>
      <c r="G37" s="330"/>
      <c r="H37" s="330"/>
      <c r="I37" s="330"/>
      <c r="J37" s="330"/>
      <c r="K37" s="330"/>
      <c r="L37" s="330">
        <f>L56</f>
        <v>0</v>
      </c>
      <c r="M37" s="401">
        <f>C37*L37</f>
        <v>0</v>
      </c>
      <c r="N37" s="748"/>
      <c r="O37" s="814"/>
    </row>
    <row r="38" spans="1:18" s="487" customFormat="1" ht="15.75" customHeight="1">
      <c r="A38" s="350"/>
      <c r="B38" s="359"/>
      <c r="C38" s="330"/>
      <c r="D38" s="330"/>
      <c r="E38" s="330"/>
      <c r="F38" s="330"/>
      <c r="G38" s="330"/>
      <c r="H38" s="330"/>
      <c r="I38" s="330"/>
      <c r="J38" s="330"/>
      <c r="K38" s="330"/>
      <c r="L38" s="330"/>
      <c r="M38" s="401">
        <f>SUM(M35:M37)</f>
        <v>20</v>
      </c>
      <c r="N38" s="748"/>
      <c r="O38" s="814"/>
    </row>
    <row r="39" spans="1:18" s="487" customFormat="1" ht="15.75" customHeight="1">
      <c r="A39" s="350"/>
      <c r="B39" s="567" t="s">
        <v>1223</v>
      </c>
      <c r="C39" s="330">
        <v>0.5</v>
      </c>
      <c r="D39" s="330"/>
      <c r="E39" s="330"/>
      <c r="F39" s="330">
        <f>M38</f>
        <v>20</v>
      </c>
      <c r="G39" s="330"/>
      <c r="H39" s="330"/>
      <c r="I39" s="330"/>
      <c r="J39" s="330"/>
      <c r="K39" s="330">
        <f>10*10*0.006165</f>
        <v>0.61650000000000005</v>
      </c>
      <c r="L39" s="330"/>
      <c r="M39" s="474">
        <f>F39*K39*C39</f>
        <v>6.1650000000000009</v>
      </c>
      <c r="N39" s="562" t="s">
        <v>100</v>
      </c>
      <c r="O39" s="814">
        <f>ROUND((M39),2)</f>
        <v>6.17</v>
      </c>
    </row>
    <row r="40" spans="1:18" s="942" customFormat="1" ht="15.75" customHeight="1">
      <c r="A40" s="836">
        <f>A34+1</f>
        <v>4</v>
      </c>
      <c r="B40" s="389" t="s">
        <v>409</v>
      </c>
      <c r="C40" s="428"/>
      <c r="D40" s="428"/>
      <c r="E40" s="428"/>
      <c r="F40" s="428"/>
      <c r="G40" s="428"/>
      <c r="H40" s="428"/>
      <c r="I40" s="428"/>
      <c r="J40" s="428"/>
      <c r="K40" s="428"/>
      <c r="L40" s="428"/>
      <c r="M40" s="428"/>
      <c r="N40" s="949"/>
      <c r="O40" s="442"/>
      <c r="P40" s="932">
        <v>2</v>
      </c>
      <c r="Q40" s="932">
        <f>P40/0.4</f>
        <v>5</v>
      </c>
      <c r="R40" s="932">
        <f>ROUNDUP(Q40,-0.5)</f>
        <v>5</v>
      </c>
    </row>
    <row r="41" spans="1:18" s="942" customFormat="1" ht="15.75" customHeight="1">
      <c r="A41" s="451" t="s">
        <v>95</v>
      </c>
      <c r="B41" s="389" t="s">
        <v>1390</v>
      </c>
      <c r="C41" s="428"/>
      <c r="D41" s="428"/>
      <c r="E41" s="428"/>
      <c r="F41" s="428"/>
      <c r="G41" s="428"/>
      <c r="H41" s="428"/>
      <c r="I41" s="428"/>
      <c r="J41" s="428"/>
      <c r="K41" s="428"/>
      <c r="L41" s="428"/>
      <c r="M41" s="428"/>
      <c r="N41" s="949"/>
    </row>
    <row r="42" spans="1:18" s="942" customFormat="1" ht="15.75" customHeight="1">
      <c r="A42" s="451"/>
      <c r="B42" s="682" t="s">
        <v>155</v>
      </c>
      <c r="C42" s="428">
        <f>C31</f>
        <v>6</v>
      </c>
      <c r="D42" s="428"/>
      <c r="E42" s="428">
        <v>0.3</v>
      </c>
      <c r="F42" s="428"/>
      <c r="G42" s="428"/>
      <c r="H42" s="428"/>
      <c r="I42" s="428"/>
      <c r="J42" s="428">
        <v>2</v>
      </c>
      <c r="K42" s="428"/>
      <c r="L42" s="428">
        <f>L31</f>
        <v>2</v>
      </c>
      <c r="M42" s="428">
        <f>C42*E42*J42*L42</f>
        <v>7.1999999999999993</v>
      </c>
      <c r="N42" s="949"/>
    </row>
    <row r="43" spans="1:18" s="942" customFormat="1" ht="15.75" customHeight="1">
      <c r="A43" s="451"/>
      <c r="B43" s="682" t="s">
        <v>154</v>
      </c>
      <c r="C43" s="428">
        <f>C32</f>
        <v>2</v>
      </c>
      <c r="D43" s="428"/>
      <c r="E43" s="428">
        <f>E42</f>
        <v>0.3</v>
      </c>
      <c r="F43" s="428"/>
      <c r="G43" s="428"/>
      <c r="H43" s="428"/>
      <c r="I43" s="428"/>
      <c r="J43" s="428">
        <f>J42</f>
        <v>2</v>
      </c>
      <c r="K43" s="428"/>
      <c r="L43" s="428">
        <f>L32</f>
        <v>4</v>
      </c>
      <c r="M43" s="590">
        <f>C43*E43*J43*L43</f>
        <v>4.8</v>
      </c>
      <c r="N43" s="949"/>
    </row>
    <row r="44" spans="1:18" s="942" customFormat="1" ht="15.75" customHeight="1">
      <c r="A44" s="451"/>
      <c r="B44" s="389"/>
      <c r="C44" s="428"/>
      <c r="D44" s="428"/>
      <c r="E44" s="428"/>
      <c r="F44" s="428"/>
      <c r="G44" s="428"/>
      <c r="H44" s="428"/>
      <c r="I44" s="428"/>
      <c r="J44" s="428"/>
      <c r="K44" s="428"/>
      <c r="L44" s="428"/>
      <c r="M44" s="841">
        <f>SUM(M42:M43)</f>
        <v>12</v>
      </c>
      <c r="N44" s="955" t="s">
        <v>89</v>
      </c>
    </row>
    <row r="45" spans="1:18" s="942" customFormat="1" ht="15.75" customHeight="1">
      <c r="A45" s="451" t="s">
        <v>98</v>
      </c>
      <c r="B45" s="389" t="s">
        <v>410</v>
      </c>
      <c r="C45" s="428"/>
      <c r="D45" s="428"/>
      <c r="E45" s="428"/>
      <c r="F45" s="428"/>
      <c r="G45" s="428"/>
      <c r="H45" s="428"/>
      <c r="I45" s="428"/>
      <c r="J45" s="428"/>
      <c r="K45" s="428"/>
      <c r="L45" s="428"/>
      <c r="M45" s="428"/>
      <c r="N45" s="949"/>
    </row>
    <row r="46" spans="1:18" s="942" customFormat="1" ht="15.75" customHeight="1">
      <c r="A46" s="451"/>
      <c r="B46" s="682" t="s">
        <v>155</v>
      </c>
      <c r="C46" s="428">
        <f>C42</f>
        <v>6</v>
      </c>
      <c r="D46" s="428"/>
      <c r="E46" s="428"/>
      <c r="F46" s="428"/>
      <c r="G46" s="428"/>
      <c r="H46" s="428"/>
      <c r="I46" s="428">
        <f>10*10*0.006165</f>
        <v>0.61650000000000005</v>
      </c>
      <c r="J46" s="428"/>
      <c r="K46" s="428">
        <v>5</v>
      </c>
      <c r="L46" s="428">
        <f>L42</f>
        <v>2</v>
      </c>
      <c r="M46" s="428">
        <f>C46*I46*K46*L46</f>
        <v>36.99</v>
      </c>
      <c r="N46" s="949"/>
    </row>
    <row r="47" spans="1:18" s="942" customFormat="1" ht="15.75" customHeight="1">
      <c r="A47" s="451"/>
      <c r="B47" s="682" t="s">
        <v>154</v>
      </c>
      <c r="C47" s="428">
        <f>C43</f>
        <v>2</v>
      </c>
      <c r="D47" s="428"/>
      <c r="E47" s="428"/>
      <c r="F47" s="428"/>
      <c r="G47" s="428"/>
      <c r="H47" s="428"/>
      <c r="I47" s="428">
        <f>I46</f>
        <v>0.61650000000000005</v>
      </c>
      <c r="J47" s="428"/>
      <c r="K47" s="428">
        <f>K46</f>
        <v>5</v>
      </c>
      <c r="L47" s="428">
        <f>L43</f>
        <v>4</v>
      </c>
      <c r="M47" s="590">
        <f>C47*I47*K47*L47</f>
        <v>24.660000000000004</v>
      </c>
      <c r="N47" s="949"/>
    </row>
    <row r="48" spans="1:18" s="942" customFormat="1" ht="15.75" customHeight="1">
      <c r="A48" s="451"/>
      <c r="B48" s="389"/>
      <c r="C48" s="428"/>
      <c r="D48" s="428"/>
      <c r="E48" s="428"/>
      <c r="F48" s="428"/>
      <c r="G48" s="428"/>
      <c r="H48" s="428"/>
      <c r="I48" s="428"/>
      <c r="J48" s="428"/>
      <c r="K48" s="428"/>
      <c r="L48" s="428"/>
      <c r="M48" s="841">
        <f>SUM(M46:M47)</f>
        <v>61.650000000000006</v>
      </c>
      <c r="N48" s="955" t="s">
        <v>100</v>
      </c>
    </row>
    <row r="49" spans="1:15" s="942" customFormat="1" ht="15.75" customHeight="1">
      <c r="A49" s="451" t="s">
        <v>101</v>
      </c>
      <c r="B49" s="389" t="s">
        <v>411</v>
      </c>
      <c r="C49" s="428"/>
      <c r="D49" s="428"/>
      <c r="E49" s="428"/>
      <c r="F49" s="428"/>
      <c r="G49" s="428"/>
      <c r="H49" s="428"/>
      <c r="I49" s="428"/>
      <c r="J49" s="428"/>
      <c r="K49" s="428"/>
      <c r="L49" s="428"/>
      <c r="M49" s="428"/>
      <c r="N49" s="949"/>
    </row>
    <row r="50" spans="1:15" s="942" customFormat="1" ht="15.75" customHeight="1">
      <c r="A50" s="451"/>
      <c r="B50" s="682" t="s">
        <v>155</v>
      </c>
      <c r="C50" s="428">
        <f>(0.17+0.22)*2</f>
        <v>0.78</v>
      </c>
      <c r="D50" s="428"/>
      <c r="E50" s="428"/>
      <c r="F50" s="428">
        <v>0.1</v>
      </c>
      <c r="G50" s="428"/>
      <c r="H50" s="428"/>
      <c r="I50" s="428">
        <f>8*8*0.006165</f>
        <v>0.39456000000000002</v>
      </c>
      <c r="J50" s="428"/>
      <c r="K50" s="428">
        <f>ROUNDUP((C46/0.125),0.5)</f>
        <v>48</v>
      </c>
      <c r="L50" s="428">
        <f>L46</f>
        <v>2</v>
      </c>
      <c r="M50" s="428">
        <f>(C50+F50)*I50*K50*L50</f>
        <v>33.332428800000002</v>
      </c>
      <c r="N50" s="949"/>
    </row>
    <row r="51" spans="1:15" s="942" customFormat="1" ht="15.75" customHeight="1">
      <c r="A51" s="451"/>
      <c r="B51" s="682" t="s">
        <v>154</v>
      </c>
      <c r="C51" s="428">
        <f>C50</f>
        <v>0.78</v>
      </c>
      <c r="D51" s="428"/>
      <c r="E51" s="428"/>
      <c r="F51" s="428">
        <f>F50</f>
        <v>0.1</v>
      </c>
      <c r="G51" s="428"/>
      <c r="H51" s="428"/>
      <c r="I51" s="428">
        <f>I50</f>
        <v>0.39456000000000002</v>
      </c>
      <c r="J51" s="428"/>
      <c r="K51" s="428">
        <f>ROUNDUP((C47/0.125),0.5)</f>
        <v>16</v>
      </c>
      <c r="L51" s="428">
        <f>L47</f>
        <v>4</v>
      </c>
      <c r="M51" s="590">
        <f>(C51+F51)*I51*K51*L51</f>
        <v>22.221619200000003</v>
      </c>
      <c r="N51" s="949"/>
    </row>
    <row r="52" spans="1:15" s="942" customFormat="1" ht="15.75" customHeight="1">
      <c r="A52" s="451"/>
      <c r="B52" s="389"/>
      <c r="C52" s="428"/>
      <c r="D52" s="428"/>
      <c r="E52" s="428"/>
      <c r="F52" s="428"/>
      <c r="G52" s="428"/>
      <c r="H52" s="428"/>
      <c r="I52" s="428"/>
      <c r="J52" s="428"/>
      <c r="K52" s="428"/>
      <c r="L52" s="428"/>
      <c r="M52" s="841">
        <f>SUM(M50:M51)</f>
        <v>55.554048000000009</v>
      </c>
      <c r="N52" s="955" t="s">
        <v>100</v>
      </c>
    </row>
    <row r="53" spans="1:15" s="942" customFormat="1" ht="15.75" hidden="1" customHeight="1">
      <c r="A53" s="451" t="s">
        <v>121</v>
      </c>
      <c r="B53" s="427" t="s">
        <v>945</v>
      </c>
      <c r="C53" s="428"/>
      <c r="D53" s="428"/>
      <c r="E53" s="428"/>
      <c r="F53" s="428"/>
      <c r="G53" s="428"/>
      <c r="H53" s="428"/>
      <c r="I53" s="428"/>
      <c r="J53" s="428"/>
      <c r="K53" s="428"/>
      <c r="L53" s="428"/>
      <c r="M53" s="390"/>
      <c r="N53" s="362"/>
      <c r="O53" s="962"/>
    </row>
    <row r="54" spans="1:15" s="942" customFormat="1" ht="15.75" hidden="1" customHeight="1">
      <c r="A54" s="451"/>
      <c r="B54" s="963" t="s">
        <v>1111</v>
      </c>
      <c r="C54" s="428">
        <f>C42</f>
        <v>6</v>
      </c>
      <c r="D54" s="428"/>
      <c r="E54" s="428"/>
      <c r="F54" s="428"/>
      <c r="G54" s="428"/>
      <c r="H54" s="428"/>
      <c r="I54" s="428"/>
      <c r="J54" s="428"/>
      <c r="K54" s="428"/>
      <c r="L54" s="428">
        <f>L46</f>
        <v>2</v>
      </c>
      <c r="M54" s="390">
        <f>C54*L54</f>
        <v>12</v>
      </c>
      <c r="N54" s="362"/>
      <c r="O54" s="962"/>
    </row>
    <row r="55" spans="1:15" s="942" customFormat="1" ht="15.75" hidden="1" customHeight="1">
      <c r="A55" s="451"/>
      <c r="B55" s="963"/>
      <c r="C55" s="428">
        <f>C43</f>
        <v>2</v>
      </c>
      <c r="D55" s="428"/>
      <c r="E55" s="428"/>
      <c r="F55" s="428"/>
      <c r="G55" s="428"/>
      <c r="H55" s="428"/>
      <c r="I55" s="428"/>
      <c r="J55" s="428"/>
      <c r="K55" s="428"/>
      <c r="L55" s="428">
        <f>L47</f>
        <v>4</v>
      </c>
      <c r="M55" s="590">
        <f>C55*L55</f>
        <v>8</v>
      </c>
      <c r="N55" s="362"/>
      <c r="O55" s="962"/>
    </row>
    <row r="56" spans="1:15" s="942" customFormat="1" ht="15.75" hidden="1" customHeight="1">
      <c r="A56" s="451"/>
      <c r="B56" s="963"/>
      <c r="C56" s="428"/>
      <c r="D56" s="428"/>
      <c r="E56" s="428"/>
      <c r="F56" s="428"/>
      <c r="G56" s="428"/>
      <c r="H56" s="428"/>
      <c r="I56" s="428"/>
      <c r="J56" s="428"/>
      <c r="K56" s="428"/>
      <c r="L56" s="428"/>
      <c r="M56" s="390">
        <f>SUM(M54:M55)</f>
        <v>20</v>
      </c>
      <c r="N56" s="362" t="s">
        <v>117</v>
      </c>
      <c r="O56" s="962"/>
    </row>
    <row r="57" spans="1:15" s="942" customFormat="1" ht="15.75" hidden="1" customHeight="1">
      <c r="A57" s="451"/>
      <c r="B57" s="963"/>
      <c r="C57" s="428">
        <f>M56</f>
        <v>20</v>
      </c>
      <c r="D57" s="428">
        <v>0.5</v>
      </c>
      <c r="E57" s="428"/>
      <c r="F57" s="428"/>
      <c r="G57" s="428"/>
      <c r="H57" s="428"/>
      <c r="I57" s="428"/>
      <c r="J57" s="428"/>
      <c r="K57" s="428"/>
      <c r="L57" s="428"/>
      <c r="M57" s="841">
        <f>ROUNDDOWN((C57/D57),0.5)</f>
        <v>40</v>
      </c>
      <c r="N57" s="444" t="s">
        <v>124</v>
      </c>
      <c r="O57" s="962">
        <f>ROUND((M57),2)</f>
        <v>40</v>
      </c>
    </row>
    <row r="58" spans="1:15" s="942" customFormat="1" ht="15.75" customHeight="1">
      <c r="A58" s="451" t="s">
        <v>121</v>
      </c>
      <c r="B58" s="427" t="s">
        <v>420</v>
      </c>
      <c r="C58" s="428"/>
      <c r="D58" s="428"/>
      <c r="E58" s="428"/>
      <c r="F58" s="428"/>
      <c r="G58" s="428"/>
      <c r="H58" s="428"/>
      <c r="I58" s="428"/>
      <c r="J58" s="428"/>
      <c r="K58" s="428"/>
      <c r="L58" s="428"/>
      <c r="M58" s="428"/>
      <c r="N58" s="949"/>
    </row>
    <row r="59" spans="1:15" s="942" customFormat="1" ht="15.75" customHeight="1">
      <c r="A59" s="451"/>
      <c r="B59" s="682" t="s">
        <v>155</v>
      </c>
      <c r="C59" s="428">
        <f>C46</f>
        <v>6</v>
      </c>
      <c r="D59" s="428">
        <v>0.25</v>
      </c>
      <c r="E59" s="428">
        <v>0.3</v>
      </c>
      <c r="F59" s="428"/>
      <c r="G59" s="428"/>
      <c r="H59" s="428"/>
      <c r="I59" s="428"/>
      <c r="J59" s="428"/>
      <c r="K59" s="428"/>
      <c r="L59" s="428">
        <f>L50</f>
        <v>2</v>
      </c>
      <c r="M59" s="428">
        <f>C59*D59*E59*L59</f>
        <v>0.89999999999999991</v>
      </c>
      <c r="N59" s="949"/>
    </row>
    <row r="60" spans="1:15" s="942" customFormat="1" ht="15.75" customHeight="1">
      <c r="A60" s="451"/>
      <c r="B60" s="682" t="s">
        <v>154</v>
      </c>
      <c r="C60" s="428">
        <f>C47</f>
        <v>2</v>
      </c>
      <c r="D60" s="428">
        <f>D59</f>
        <v>0.25</v>
      </c>
      <c r="E60" s="428">
        <f>E59</f>
        <v>0.3</v>
      </c>
      <c r="F60" s="428"/>
      <c r="G60" s="428"/>
      <c r="H60" s="428"/>
      <c r="I60" s="428"/>
      <c r="J60" s="428"/>
      <c r="K60" s="428"/>
      <c r="L60" s="428">
        <f>L51</f>
        <v>4</v>
      </c>
      <c r="M60" s="590">
        <f>C60*D60*E60*L60</f>
        <v>0.6</v>
      </c>
      <c r="N60" s="949"/>
    </row>
    <row r="61" spans="1:15" s="942" customFormat="1" ht="15.75" customHeight="1">
      <c r="A61" s="451"/>
      <c r="B61" s="389"/>
      <c r="C61" s="428"/>
      <c r="D61" s="428"/>
      <c r="E61" s="428"/>
      <c r="F61" s="428"/>
      <c r="G61" s="428"/>
      <c r="H61" s="428"/>
      <c r="I61" s="428"/>
      <c r="J61" s="428"/>
      <c r="K61" s="428"/>
      <c r="L61" s="428"/>
      <c r="M61" s="841">
        <f>SUM(M59:M60)</f>
        <v>1.5</v>
      </c>
      <c r="N61" s="955" t="s">
        <v>103</v>
      </c>
    </row>
    <row r="62" spans="1:15" s="942" customFormat="1" ht="15.75" customHeight="1">
      <c r="A62" s="394">
        <f>A40+1</f>
        <v>5</v>
      </c>
      <c r="B62" s="389" t="s">
        <v>648</v>
      </c>
      <c r="C62" s="428"/>
      <c r="D62" s="428"/>
      <c r="E62" s="428"/>
      <c r="F62" s="428"/>
      <c r="G62" s="428"/>
      <c r="H62" s="428"/>
      <c r="I62" s="428"/>
      <c r="J62" s="428"/>
      <c r="K62" s="428"/>
      <c r="L62" s="428"/>
      <c r="M62" s="841"/>
      <c r="N62" s="955"/>
    </row>
    <row r="63" spans="1:15" s="942" customFormat="1" ht="15.75" customHeight="1">
      <c r="A63" s="451" t="s">
        <v>95</v>
      </c>
      <c r="B63" s="389" t="s">
        <v>812</v>
      </c>
      <c r="C63" s="428"/>
      <c r="D63" s="428"/>
      <c r="E63" s="428"/>
      <c r="F63" s="428"/>
      <c r="G63" s="428"/>
      <c r="H63" s="428"/>
      <c r="I63" s="428"/>
      <c r="J63" s="428"/>
      <c r="K63" s="428"/>
      <c r="L63" s="428"/>
      <c r="M63" s="841"/>
      <c r="N63" s="955"/>
    </row>
    <row r="64" spans="1:15" s="942" customFormat="1" ht="15.75" customHeight="1">
      <c r="A64" s="451"/>
      <c r="B64" s="354" t="s">
        <v>1391</v>
      </c>
      <c r="C64" s="428">
        <f>6+1*2</f>
        <v>8</v>
      </c>
      <c r="D64" s="428">
        <v>0.1</v>
      </c>
      <c r="E64" s="428">
        <v>0.25</v>
      </c>
      <c r="F64" s="428"/>
      <c r="G64" s="428"/>
      <c r="H64" s="428"/>
      <c r="I64" s="428"/>
      <c r="J64" s="428"/>
      <c r="K64" s="428"/>
      <c r="L64" s="428"/>
      <c r="M64" s="390">
        <f>C64*D64*E64</f>
        <v>0.2</v>
      </c>
      <c r="N64" s="949" t="s">
        <v>103</v>
      </c>
    </row>
    <row r="65" spans="1:14" s="942" customFormat="1" ht="15.75" customHeight="1">
      <c r="A65" s="451"/>
      <c r="B65" s="374" t="s">
        <v>814</v>
      </c>
      <c r="C65" s="428">
        <f>C64+6+0.8*2</f>
        <v>15.6</v>
      </c>
      <c r="D65" s="428"/>
      <c r="E65" s="428">
        <f>E64</f>
        <v>0.25</v>
      </c>
      <c r="F65" s="428"/>
      <c r="G65" s="428"/>
      <c r="H65" s="428"/>
      <c r="I65" s="428"/>
      <c r="J65" s="428"/>
      <c r="K65" s="428"/>
      <c r="L65" s="428"/>
      <c r="M65" s="390">
        <f>C65*E65</f>
        <v>3.9</v>
      </c>
      <c r="N65" s="949" t="s">
        <v>89</v>
      </c>
    </row>
    <row r="66" spans="1:14" s="942" customFormat="1" ht="15.75" customHeight="1">
      <c r="A66" s="451" t="s">
        <v>98</v>
      </c>
      <c r="B66" s="450" t="s">
        <v>413</v>
      </c>
      <c r="C66" s="428">
        <v>6</v>
      </c>
      <c r="D66" s="428">
        <f>2+1.8</f>
        <v>3.8</v>
      </c>
      <c r="E66" s="428">
        <f>0.3-E68-E69</f>
        <v>0.18</v>
      </c>
      <c r="F66" s="428"/>
      <c r="G66" s="428"/>
      <c r="H66" s="428"/>
      <c r="I66" s="428"/>
      <c r="J66" s="428"/>
      <c r="K66" s="428"/>
      <c r="L66" s="428"/>
      <c r="M66" s="390">
        <f>C66*D66*E66</f>
        <v>4.1039999999999992</v>
      </c>
      <c r="N66" s="949" t="s">
        <v>103</v>
      </c>
    </row>
    <row r="67" spans="1:14" s="942" customFormat="1" ht="15.75" customHeight="1">
      <c r="A67" s="451" t="s">
        <v>101</v>
      </c>
      <c r="B67" s="389" t="s">
        <v>475</v>
      </c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390">
        <f>M66</f>
        <v>4.1039999999999992</v>
      </c>
      <c r="N67" s="949" t="s">
        <v>103</v>
      </c>
    </row>
    <row r="68" spans="1:14" s="942" customFormat="1" ht="15.75" customHeight="1">
      <c r="A68" s="451" t="s">
        <v>121</v>
      </c>
      <c r="B68" s="389" t="s">
        <v>815</v>
      </c>
      <c r="C68" s="428">
        <f>C66</f>
        <v>6</v>
      </c>
      <c r="D68" s="428">
        <f>D66</f>
        <v>3.8</v>
      </c>
      <c r="E68" s="428">
        <v>0.05</v>
      </c>
      <c r="F68" s="428"/>
      <c r="G68" s="428"/>
      <c r="H68" s="428"/>
      <c r="I68" s="428"/>
      <c r="J68" s="428"/>
      <c r="K68" s="428"/>
      <c r="L68" s="428"/>
      <c r="M68" s="390">
        <f>C68*D68*E68</f>
        <v>1.1399999999999999</v>
      </c>
      <c r="N68" s="949" t="s">
        <v>103</v>
      </c>
    </row>
    <row r="69" spans="1:14" s="942" customFormat="1" ht="15.75" customHeight="1">
      <c r="A69" s="451" t="s">
        <v>142</v>
      </c>
      <c r="B69" s="389" t="s">
        <v>648</v>
      </c>
      <c r="C69" s="428">
        <f>C68</f>
        <v>6</v>
      </c>
      <c r="D69" s="428">
        <f>D68</f>
        <v>3.8</v>
      </c>
      <c r="E69" s="428">
        <v>7.0000000000000007E-2</v>
      </c>
      <c r="F69" s="428"/>
      <c r="G69" s="428"/>
      <c r="H69" s="428"/>
      <c r="I69" s="428"/>
      <c r="J69" s="428"/>
      <c r="K69" s="428"/>
      <c r="L69" s="428"/>
      <c r="M69" s="390">
        <f>C69*D69*E69</f>
        <v>1.5959999999999999</v>
      </c>
      <c r="N69" s="949" t="s">
        <v>103</v>
      </c>
    </row>
    <row r="70" spans="1:14" s="942" customFormat="1" ht="15.75" customHeight="1">
      <c r="A70" s="451" t="s">
        <v>217</v>
      </c>
      <c r="B70" s="389" t="s">
        <v>816</v>
      </c>
      <c r="C70" s="382">
        <f>C116</f>
        <v>6</v>
      </c>
      <c r="D70" s="382">
        <f>D69</f>
        <v>3.8</v>
      </c>
      <c r="E70" s="382"/>
      <c r="F70" s="428"/>
      <c r="G70" s="428"/>
      <c r="H70" s="428"/>
      <c r="I70" s="428"/>
      <c r="J70" s="428"/>
      <c r="K70" s="428"/>
      <c r="L70" s="428"/>
      <c r="M70" s="428">
        <f>C70*D70</f>
        <v>22.799999999999997</v>
      </c>
      <c r="N70" s="949" t="s">
        <v>89</v>
      </c>
    </row>
    <row r="71" spans="1:14" s="952" customFormat="1" ht="15.75" hidden="1" customHeight="1">
      <c r="A71" s="964">
        <f>A40+1</f>
        <v>5</v>
      </c>
      <c r="B71" s="862" t="s">
        <v>527</v>
      </c>
      <c r="C71" s="587"/>
      <c r="D71" s="587"/>
      <c r="E71" s="587"/>
      <c r="F71" s="587"/>
      <c r="G71" s="587"/>
      <c r="H71" s="587"/>
      <c r="I71" s="587"/>
      <c r="J71" s="587"/>
      <c r="K71" s="587"/>
      <c r="L71" s="587"/>
      <c r="M71" s="390">
        <f t="shared" ref="M71:M80" si="1">C71*D71*E71</f>
        <v>0</v>
      </c>
      <c r="N71" s="965"/>
    </row>
    <row r="72" spans="1:14" s="952" customFormat="1" ht="15.75" hidden="1" customHeight="1">
      <c r="A72" s="966" t="s">
        <v>95</v>
      </c>
      <c r="B72" s="862" t="s">
        <v>1392</v>
      </c>
      <c r="C72" s="587"/>
      <c r="D72" s="587">
        <v>0.15</v>
      </c>
      <c r="E72" s="587">
        <v>0.7</v>
      </c>
      <c r="F72" s="587"/>
      <c r="G72" s="587"/>
      <c r="H72" s="587"/>
      <c r="I72" s="587"/>
      <c r="J72" s="587">
        <v>4</v>
      </c>
      <c r="K72" s="587"/>
      <c r="L72" s="587">
        <v>8</v>
      </c>
      <c r="M72" s="390">
        <f t="shared" si="1"/>
        <v>0</v>
      </c>
      <c r="N72" s="965" t="s">
        <v>89</v>
      </c>
    </row>
    <row r="73" spans="1:14" s="952" customFormat="1" ht="15.75" hidden="1" customHeight="1">
      <c r="A73" s="966" t="s">
        <v>98</v>
      </c>
      <c r="B73" s="862" t="s">
        <v>528</v>
      </c>
      <c r="C73" s="587"/>
      <c r="D73" s="587"/>
      <c r="E73" s="587">
        <f>E72</f>
        <v>0.7</v>
      </c>
      <c r="F73" s="587"/>
      <c r="G73" s="587">
        <v>0.55000000000000004</v>
      </c>
      <c r="H73" s="587"/>
      <c r="I73" s="587">
        <f>10*10*0.006165</f>
        <v>0.61650000000000005</v>
      </c>
      <c r="J73" s="587"/>
      <c r="K73" s="587">
        <v>6</v>
      </c>
      <c r="L73" s="587">
        <f>L72</f>
        <v>8</v>
      </c>
      <c r="M73" s="390">
        <f t="shared" si="1"/>
        <v>0</v>
      </c>
      <c r="N73" s="965" t="s">
        <v>100</v>
      </c>
    </row>
    <row r="74" spans="1:14" s="952" customFormat="1" ht="15.75" hidden="1" customHeight="1">
      <c r="A74" s="966" t="s">
        <v>101</v>
      </c>
      <c r="B74" s="862" t="s">
        <v>529</v>
      </c>
      <c r="C74" s="587">
        <f>0.07*4</f>
        <v>0.28000000000000003</v>
      </c>
      <c r="D74" s="587"/>
      <c r="E74" s="587"/>
      <c r="F74" s="587">
        <v>0.1</v>
      </c>
      <c r="G74" s="587"/>
      <c r="H74" s="587"/>
      <c r="I74" s="587">
        <f>6*6*0.006165</f>
        <v>0.22194000000000003</v>
      </c>
      <c r="J74" s="587"/>
      <c r="K74" s="587">
        <f>ROUNDUP((E73/0.125),0.5)</f>
        <v>6</v>
      </c>
      <c r="L74" s="587">
        <f>L73</f>
        <v>8</v>
      </c>
      <c r="M74" s="390">
        <f t="shared" si="1"/>
        <v>0</v>
      </c>
      <c r="N74" s="965" t="s">
        <v>100</v>
      </c>
    </row>
    <row r="75" spans="1:14" s="952" customFormat="1" ht="15.75" hidden="1" customHeight="1">
      <c r="A75" s="966" t="s">
        <v>121</v>
      </c>
      <c r="B75" s="435" t="s">
        <v>420</v>
      </c>
      <c r="C75" s="587">
        <v>0.15</v>
      </c>
      <c r="D75" s="587">
        <v>0.15</v>
      </c>
      <c r="E75" s="587">
        <f>E73</f>
        <v>0.7</v>
      </c>
      <c r="F75" s="587"/>
      <c r="G75" s="587"/>
      <c r="H75" s="587"/>
      <c r="I75" s="587"/>
      <c r="J75" s="587"/>
      <c r="K75" s="587"/>
      <c r="L75" s="587">
        <f>L74</f>
        <v>8</v>
      </c>
      <c r="M75" s="390">
        <f t="shared" si="1"/>
        <v>1.575E-2</v>
      </c>
      <c r="N75" s="965" t="s">
        <v>103</v>
      </c>
    </row>
    <row r="76" spans="1:14" s="952" customFormat="1" ht="15.75" hidden="1" customHeight="1">
      <c r="A76" s="964">
        <f>A40+1</f>
        <v>5</v>
      </c>
      <c r="B76" s="862" t="s">
        <v>421</v>
      </c>
      <c r="C76" s="587"/>
      <c r="D76" s="587"/>
      <c r="E76" s="587"/>
      <c r="F76" s="587"/>
      <c r="G76" s="587"/>
      <c r="H76" s="587"/>
      <c r="I76" s="587"/>
      <c r="J76" s="587"/>
      <c r="K76" s="587"/>
      <c r="L76" s="587"/>
      <c r="M76" s="390">
        <f t="shared" si="1"/>
        <v>0</v>
      </c>
      <c r="N76" s="965"/>
    </row>
    <row r="77" spans="1:14" s="952" customFormat="1" ht="15.75" hidden="1" customHeight="1">
      <c r="A77" s="966" t="s">
        <v>95</v>
      </c>
      <c r="B77" s="862" t="s">
        <v>1392</v>
      </c>
      <c r="C77" s="587"/>
      <c r="D77" s="587">
        <v>0.25</v>
      </c>
      <c r="E77" s="587">
        <v>3</v>
      </c>
      <c r="F77" s="587"/>
      <c r="G77" s="587"/>
      <c r="H77" s="587"/>
      <c r="I77" s="587"/>
      <c r="J77" s="587">
        <v>4</v>
      </c>
      <c r="K77" s="587"/>
      <c r="L77" s="587">
        <v>6</v>
      </c>
      <c r="M77" s="390">
        <f t="shared" si="1"/>
        <v>0</v>
      </c>
      <c r="N77" s="965" t="s">
        <v>89</v>
      </c>
    </row>
    <row r="78" spans="1:14" s="952" customFormat="1" ht="15.75" hidden="1" customHeight="1">
      <c r="A78" s="966" t="s">
        <v>98</v>
      </c>
      <c r="B78" s="862" t="s">
        <v>418</v>
      </c>
      <c r="C78" s="587"/>
      <c r="D78" s="587"/>
      <c r="E78" s="587">
        <f>E77</f>
        <v>3</v>
      </c>
      <c r="F78" s="587"/>
      <c r="G78" s="587">
        <v>0.55000000000000004</v>
      </c>
      <c r="H78" s="587"/>
      <c r="I78" s="587">
        <f>10*10*0.006165</f>
        <v>0.61650000000000005</v>
      </c>
      <c r="J78" s="587"/>
      <c r="K78" s="587">
        <v>8</v>
      </c>
      <c r="L78" s="587">
        <f>L77</f>
        <v>6</v>
      </c>
      <c r="M78" s="390">
        <f t="shared" si="1"/>
        <v>0</v>
      </c>
      <c r="N78" s="965" t="s">
        <v>100</v>
      </c>
    </row>
    <row r="79" spans="1:14" s="952" customFormat="1" ht="15.75" hidden="1" customHeight="1">
      <c r="A79" s="966" t="s">
        <v>101</v>
      </c>
      <c r="B79" s="862" t="s">
        <v>419</v>
      </c>
      <c r="C79" s="587">
        <f>C74</f>
        <v>0.28000000000000003</v>
      </c>
      <c r="D79" s="587"/>
      <c r="E79" s="587"/>
      <c r="F79" s="587">
        <v>0.1</v>
      </c>
      <c r="G79" s="587"/>
      <c r="H79" s="587"/>
      <c r="I79" s="587">
        <f>8*8*0.006165</f>
        <v>0.39456000000000002</v>
      </c>
      <c r="J79" s="587"/>
      <c r="K79" s="587">
        <f>ROUNDUP((E77/0.125),0.5)</f>
        <v>24</v>
      </c>
      <c r="L79" s="587">
        <f>L78</f>
        <v>6</v>
      </c>
      <c r="M79" s="390">
        <f t="shared" si="1"/>
        <v>0</v>
      </c>
      <c r="N79" s="965" t="s">
        <v>100</v>
      </c>
    </row>
    <row r="80" spans="1:14" s="952" customFormat="1" ht="15.75" hidden="1" customHeight="1">
      <c r="A80" s="966" t="s">
        <v>121</v>
      </c>
      <c r="B80" s="435" t="s">
        <v>420</v>
      </c>
      <c r="C80" s="587">
        <f>C75</f>
        <v>0.15</v>
      </c>
      <c r="D80" s="587">
        <f>D75</f>
        <v>0.15</v>
      </c>
      <c r="E80" s="587">
        <f>E77</f>
        <v>3</v>
      </c>
      <c r="F80" s="587"/>
      <c r="G80" s="587"/>
      <c r="H80" s="587"/>
      <c r="I80" s="587"/>
      <c r="J80" s="587"/>
      <c r="K80" s="587"/>
      <c r="L80" s="587">
        <f>L79</f>
        <v>6</v>
      </c>
      <c r="M80" s="390">
        <f t="shared" si="1"/>
        <v>6.7500000000000004E-2</v>
      </c>
      <c r="N80" s="965" t="s">
        <v>103</v>
      </c>
    </row>
    <row r="81" spans="1:14" s="942" customFormat="1" ht="15.75" customHeight="1">
      <c r="A81" s="394">
        <f>A62+1</f>
        <v>6</v>
      </c>
      <c r="B81" s="389" t="s">
        <v>552</v>
      </c>
      <c r="C81" s="428"/>
      <c r="D81" s="428"/>
      <c r="E81" s="428"/>
      <c r="F81" s="428"/>
      <c r="G81" s="428"/>
      <c r="H81" s="428"/>
      <c r="I81" s="428"/>
      <c r="J81" s="428"/>
      <c r="K81" s="428"/>
      <c r="L81" s="428"/>
      <c r="M81" s="428"/>
      <c r="N81" s="949"/>
    </row>
    <row r="82" spans="1:14" s="942" customFormat="1" ht="15.75" customHeight="1">
      <c r="A82" s="451" t="s">
        <v>95</v>
      </c>
      <c r="B82" s="389" t="s">
        <v>1392</v>
      </c>
      <c r="C82" s="428"/>
      <c r="D82" s="428">
        <v>0.15</v>
      </c>
      <c r="E82" s="428">
        <v>3.05</v>
      </c>
      <c r="F82" s="428"/>
      <c r="G82" s="428"/>
      <c r="H82" s="428"/>
      <c r="I82" s="428"/>
      <c r="J82" s="428">
        <f>J77</f>
        <v>4</v>
      </c>
      <c r="K82" s="428"/>
      <c r="L82" s="428">
        <v>8</v>
      </c>
      <c r="M82" s="428">
        <f>D82*E82*J82*L82</f>
        <v>14.639999999999999</v>
      </c>
      <c r="N82" s="949" t="s">
        <v>89</v>
      </c>
    </row>
    <row r="83" spans="1:14" s="942" customFormat="1" ht="15.75" customHeight="1">
      <c r="A83" s="451" t="s">
        <v>98</v>
      </c>
      <c r="B83" s="389" t="s">
        <v>432</v>
      </c>
      <c r="C83" s="428"/>
      <c r="D83" s="428"/>
      <c r="E83" s="428">
        <f>E82</f>
        <v>3.05</v>
      </c>
      <c r="F83" s="428"/>
      <c r="G83" s="428">
        <v>0.25</v>
      </c>
      <c r="H83" s="428"/>
      <c r="I83" s="428">
        <f>I78</f>
        <v>0.61650000000000005</v>
      </c>
      <c r="J83" s="428"/>
      <c r="K83" s="428">
        <v>4</v>
      </c>
      <c r="L83" s="428">
        <f>L82</f>
        <v>8</v>
      </c>
      <c r="M83" s="428">
        <f>(E83+G83)*I83*K83*L83</f>
        <v>65.102400000000003</v>
      </c>
      <c r="N83" s="949" t="s">
        <v>100</v>
      </c>
    </row>
    <row r="84" spans="1:14" s="942" customFormat="1" ht="15.75" customHeight="1">
      <c r="A84" s="451" t="s">
        <v>101</v>
      </c>
      <c r="B84" s="389" t="s">
        <v>411</v>
      </c>
      <c r="C84" s="428">
        <f>(0.1)*4</f>
        <v>0.4</v>
      </c>
      <c r="D84" s="428"/>
      <c r="E84" s="428"/>
      <c r="F84" s="428">
        <f>F79</f>
        <v>0.1</v>
      </c>
      <c r="G84" s="428"/>
      <c r="H84" s="428"/>
      <c r="I84" s="428">
        <f>8*8*0.006165</f>
        <v>0.39456000000000002</v>
      </c>
      <c r="J84" s="428"/>
      <c r="K84" s="428">
        <f>ROUNDUP((E82/0.125),0.5)</f>
        <v>25</v>
      </c>
      <c r="L84" s="428">
        <f>L83</f>
        <v>8</v>
      </c>
      <c r="M84" s="428">
        <f>(C84+F84)*I84*K84*L84</f>
        <v>39.456000000000003</v>
      </c>
      <c r="N84" s="949" t="s">
        <v>100</v>
      </c>
    </row>
    <row r="85" spans="1:14" s="942" customFormat="1" ht="15.75" customHeight="1">
      <c r="A85" s="451" t="s">
        <v>121</v>
      </c>
      <c r="B85" s="427" t="s">
        <v>420</v>
      </c>
      <c r="C85" s="428">
        <f>C80</f>
        <v>0.15</v>
      </c>
      <c r="D85" s="428">
        <f>D80</f>
        <v>0.15</v>
      </c>
      <c r="E85" s="428">
        <f>E82</f>
        <v>3.05</v>
      </c>
      <c r="F85" s="428"/>
      <c r="G85" s="428"/>
      <c r="H85" s="428"/>
      <c r="I85" s="428"/>
      <c r="J85" s="428"/>
      <c r="K85" s="428"/>
      <c r="L85" s="428">
        <f>L84</f>
        <v>8</v>
      </c>
      <c r="M85" s="428">
        <f>C85*D85*E85*L85</f>
        <v>0.54899999999999993</v>
      </c>
      <c r="N85" s="949" t="s">
        <v>103</v>
      </c>
    </row>
    <row r="86" spans="1:14" s="942" customFormat="1" ht="15.75" customHeight="1">
      <c r="A86" s="394">
        <f>A81+1</f>
        <v>7</v>
      </c>
      <c r="B86" s="389" t="s">
        <v>818</v>
      </c>
      <c r="C86" s="428"/>
      <c r="D86" s="428"/>
      <c r="E86" s="428"/>
      <c r="F86" s="428"/>
      <c r="G86" s="428"/>
      <c r="H86" s="428"/>
      <c r="I86" s="428"/>
      <c r="J86" s="428"/>
      <c r="K86" s="428"/>
      <c r="L86" s="428"/>
      <c r="M86" s="428"/>
      <c r="N86" s="949"/>
    </row>
    <row r="87" spans="1:14" s="942" customFormat="1" ht="15.75" customHeight="1">
      <c r="A87" s="451" t="s">
        <v>95</v>
      </c>
      <c r="B87" s="389" t="s">
        <v>1393</v>
      </c>
      <c r="C87" s="428"/>
      <c r="D87" s="428"/>
      <c r="E87" s="428"/>
      <c r="F87" s="428"/>
      <c r="G87" s="428"/>
      <c r="H87" s="428"/>
      <c r="I87" s="428"/>
      <c r="J87" s="428"/>
      <c r="K87" s="428"/>
      <c r="L87" s="428"/>
      <c r="M87" s="428"/>
      <c r="N87" s="949"/>
    </row>
    <row r="88" spans="1:14" s="942" customFormat="1" ht="15.75" customHeight="1">
      <c r="A88" s="451"/>
      <c r="B88" s="682" t="s">
        <v>155</v>
      </c>
      <c r="C88" s="382">
        <v>6</v>
      </c>
      <c r="D88" s="382"/>
      <c r="E88" s="382">
        <v>0.2</v>
      </c>
      <c r="F88" s="382"/>
      <c r="G88" s="382"/>
      <c r="H88" s="382"/>
      <c r="I88" s="382"/>
      <c r="J88" s="382">
        <v>2</v>
      </c>
      <c r="K88" s="382"/>
      <c r="L88" s="382">
        <f>L59</f>
        <v>2</v>
      </c>
      <c r="M88" s="382">
        <f>C88*E88*J88*L88</f>
        <v>4.8000000000000007</v>
      </c>
      <c r="N88" s="949"/>
    </row>
    <row r="89" spans="1:14" s="942" customFormat="1" ht="15.75" customHeight="1">
      <c r="A89" s="451"/>
      <c r="B89" s="682"/>
      <c r="C89" s="382">
        <v>6</v>
      </c>
      <c r="D89" s="382">
        <v>0.15</v>
      </c>
      <c r="E89" s="382"/>
      <c r="F89" s="382"/>
      <c r="G89" s="382"/>
      <c r="H89" s="382"/>
      <c r="I89" s="382"/>
      <c r="J89" s="382">
        <v>1</v>
      </c>
      <c r="K89" s="382"/>
      <c r="L89" s="382">
        <f>L88</f>
        <v>2</v>
      </c>
      <c r="M89" s="382">
        <f>C89*D89*J89*L89</f>
        <v>1.7999999999999998</v>
      </c>
      <c r="N89" s="949"/>
    </row>
    <row r="90" spans="1:14" s="942" customFormat="1" ht="15.75" customHeight="1">
      <c r="A90" s="451"/>
      <c r="B90" s="682" t="s">
        <v>154</v>
      </c>
      <c r="C90" s="382">
        <v>2</v>
      </c>
      <c r="D90" s="382"/>
      <c r="E90" s="382">
        <f>E88</f>
        <v>0.2</v>
      </c>
      <c r="F90" s="382"/>
      <c r="G90" s="382"/>
      <c r="H90" s="382"/>
      <c r="I90" s="382"/>
      <c r="J90" s="382">
        <f>J88</f>
        <v>2</v>
      </c>
      <c r="K90" s="382"/>
      <c r="L90" s="382">
        <v>2</v>
      </c>
      <c r="M90" s="382">
        <f>C90*E90*J90*L90</f>
        <v>1.6</v>
      </c>
      <c r="N90" s="949"/>
    </row>
    <row r="91" spans="1:14" s="942" customFormat="1" ht="15.75" customHeight="1">
      <c r="A91" s="451"/>
      <c r="B91" s="682"/>
      <c r="C91" s="382">
        <v>2</v>
      </c>
      <c r="D91" s="382">
        <f>D89</f>
        <v>0.15</v>
      </c>
      <c r="E91" s="382"/>
      <c r="F91" s="382"/>
      <c r="G91" s="382"/>
      <c r="H91" s="382"/>
      <c r="I91" s="382"/>
      <c r="J91" s="382">
        <f>J89</f>
        <v>1</v>
      </c>
      <c r="K91" s="382"/>
      <c r="L91" s="382">
        <f>L90</f>
        <v>2</v>
      </c>
      <c r="M91" s="624">
        <f>C91*D91*J91*L91</f>
        <v>0.6</v>
      </c>
      <c r="N91" s="955"/>
    </row>
    <row r="92" spans="1:14" s="942" customFormat="1" ht="15.75" customHeight="1">
      <c r="A92" s="451"/>
      <c r="B92" s="682"/>
      <c r="C92" s="428"/>
      <c r="D92" s="428"/>
      <c r="E92" s="428"/>
      <c r="F92" s="428"/>
      <c r="G92" s="428"/>
      <c r="H92" s="428"/>
      <c r="I92" s="428"/>
      <c r="J92" s="428"/>
      <c r="K92" s="428"/>
      <c r="L92" s="428"/>
      <c r="M92" s="841">
        <f>SUM(M88:M91)</f>
        <v>8.8000000000000007</v>
      </c>
      <c r="N92" s="955" t="s">
        <v>89</v>
      </c>
    </row>
    <row r="93" spans="1:14" s="942" customFormat="1" ht="15.75" customHeight="1">
      <c r="A93" s="451" t="s">
        <v>98</v>
      </c>
      <c r="B93" s="389" t="s">
        <v>432</v>
      </c>
      <c r="C93" s="428"/>
      <c r="D93" s="428"/>
      <c r="E93" s="428"/>
      <c r="F93" s="428"/>
      <c r="G93" s="428"/>
      <c r="H93" s="428"/>
      <c r="I93" s="428"/>
      <c r="J93" s="428"/>
      <c r="K93" s="428"/>
      <c r="L93" s="428"/>
      <c r="M93" s="428"/>
      <c r="N93" s="949"/>
    </row>
    <row r="94" spans="1:14" s="942" customFormat="1" ht="15.75" customHeight="1">
      <c r="A94" s="451"/>
      <c r="B94" s="589" t="s">
        <v>155</v>
      </c>
      <c r="C94" s="382">
        <f>C88</f>
        <v>6</v>
      </c>
      <c r="D94" s="382"/>
      <c r="E94" s="382"/>
      <c r="F94" s="382"/>
      <c r="G94" s="382"/>
      <c r="H94" s="382"/>
      <c r="I94" s="382">
        <f>10*10*0.006165</f>
        <v>0.61650000000000005</v>
      </c>
      <c r="J94" s="382"/>
      <c r="K94" s="382">
        <v>4</v>
      </c>
      <c r="L94" s="382">
        <f>L88</f>
        <v>2</v>
      </c>
      <c r="M94" s="382">
        <f>C94*I94*K94*L94</f>
        <v>29.592000000000002</v>
      </c>
      <c r="N94" s="949"/>
    </row>
    <row r="95" spans="1:14" s="942" customFormat="1" ht="15.75" customHeight="1">
      <c r="A95" s="451"/>
      <c r="B95" s="589" t="s">
        <v>154</v>
      </c>
      <c r="C95" s="382">
        <f>C91</f>
        <v>2</v>
      </c>
      <c r="D95" s="382"/>
      <c r="E95" s="382"/>
      <c r="F95" s="382"/>
      <c r="G95" s="382"/>
      <c r="H95" s="382"/>
      <c r="I95" s="382">
        <f>I94</f>
        <v>0.61650000000000005</v>
      </c>
      <c r="J95" s="382"/>
      <c r="K95" s="382">
        <f>K94</f>
        <v>4</v>
      </c>
      <c r="L95" s="382">
        <f>L91</f>
        <v>2</v>
      </c>
      <c r="M95" s="624">
        <f>C95*I95*K95*L95</f>
        <v>9.8640000000000008</v>
      </c>
      <c r="N95" s="949"/>
    </row>
    <row r="96" spans="1:14" s="942" customFormat="1" ht="15.75" customHeight="1">
      <c r="A96" s="451"/>
      <c r="B96" s="389"/>
      <c r="C96" s="428"/>
      <c r="D96" s="428"/>
      <c r="E96" s="428"/>
      <c r="F96" s="428"/>
      <c r="G96" s="428"/>
      <c r="H96" s="428"/>
      <c r="I96" s="428"/>
      <c r="J96" s="428"/>
      <c r="K96" s="428"/>
      <c r="L96" s="428"/>
      <c r="M96" s="841">
        <f>SUM(M94:M95)</f>
        <v>39.456000000000003</v>
      </c>
      <c r="N96" s="955" t="s">
        <v>100</v>
      </c>
    </row>
    <row r="97" spans="1:14" s="942" customFormat="1" ht="15.75" customHeight="1">
      <c r="A97" s="451" t="s">
        <v>101</v>
      </c>
      <c r="B97" s="389" t="s">
        <v>411</v>
      </c>
      <c r="C97" s="428"/>
      <c r="D97" s="428"/>
      <c r="E97" s="428"/>
      <c r="F97" s="428"/>
      <c r="G97" s="428"/>
      <c r="H97" s="428"/>
      <c r="I97" s="428"/>
      <c r="J97" s="428"/>
      <c r="K97" s="428"/>
      <c r="L97" s="428"/>
      <c r="M97" s="428"/>
      <c r="N97" s="949"/>
    </row>
    <row r="98" spans="1:14" s="942" customFormat="1" ht="15.75" customHeight="1">
      <c r="A98" s="451"/>
      <c r="B98" s="589" t="s">
        <v>155</v>
      </c>
      <c r="C98" s="428">
        <f>(0.1+0.15)*2</f>
        <v>0.5</v>
      </c>
      <c r="D98" s="382"/>
      <c r="E98" s="382"/>
      <c r="F98" s="382">
        <v>0.1</v>
      </c>
      <c r="G98" s="382"/>
      <c r="H98" s="382"/>
      <c r="I98" s="382">
        <f>8*8*0.006165</f>
        <v>0.39456000000000002</v>
      </c>
      <c r="J98" s="382"/>
      <c r="K98" s="382">
        <f>ROUNDUP((C94/0.125),0.5)</f>
        <v>48</v>
      </c>
      <c r="L98" s="382">
        <f>L94</f>
        <v>2</v>
      </c>
      <c r="M98" s="382">
        <f>(C98+F98)*I98*K98*L98</f>
        <v>22.726655999999998</v>
      </c>
      <c r="N98" s="949"/>
    </row>
    <row r="99" spans="1:14" s="942" customFormat="1" ht="15.75" customHeight="1">
      <c r="A99" s="451"/>
      <c r="B99" s="589" t="s">
        <v>154</v>
      </c>
      <c r="C99" s="382">
        <f>C98</f>
        <v>0.5</v>
      </c>
      <c r="D99" s="382"/>
      <c r="E99" s="382"/>
      <c r="F99" s="382">
        <f>F98</f>
        <v>0.1</v>
      </c>
      <c r="G99" s="382"/>
      <c r="H99" s="382"/>
      <c r="I99" s="382">
        <f>I98</f>
        <v>0.39456000000000002</v>
      </c>
      <c r="J99" s="382"/>
      <c r="K99" s="382">
        <f>ROUNDUP((C95/0.125),0.5)</f>
        <v>16</v>
      </c>
      <c r="L99" s="382">
        <f>L95</f>
        <v>2</v>
      </c>
      <c r="M99" s="624">
        <f>(C99+F99)*I99*K99*L99</f>
        <v>7.5755520000000001</v>
      </c>
      <c r="N99" s="949"/>
    </row>
    <row r="100" spans="1:14" s="942" customFormat="1" ht="15.75" customHeight="1">
      <c r="A100" s="451"/>
      <c r="B100" s="389"/>
      <c r="C100" s="428"/>
      <c r="D100" s="428"/>
      <c r="E100" s="428"/>
      <c r="F100" s="428"/>
      <c r="G100" s="428"/>
      <c r="H100" s="428"/>
      <c r="I100" s="428"/>
      <c r="J100" s="428"/>
      <c r="K100" s="428"/>
      <c r="L100" s="428"/>
      <c r="M100" s="841">
        <f>SUM(M98:M99)</f>
        <v>30.302208</v>
      </c>
      <c r="N100" s="955" t="s">
        <v>100</v>
      </c>
    </row>
    <row r="101" spans="1:14" s="942" customFormat="1" ht="15.75" customHeight="1">
      <c r="A101" s="451" t="s">
        <v>121</v>
      </c>
      <c r="B101" s="427" t="s">
        <v>420</v>
      </c>
      <c r="C101" s="428"/>
      <c r="D101" s="428"/>
      <c r="E101" s="428"/>
      <c r="F101" s="428"/>
      <c r="G101" s="428"/>
      <c r="H101" s="428"/>
      <c r="I101" s="428"/>
      <c r="J101" s="428"/>
      <c r="K101" s="428"/>
      <c r="L101" s="428"/>
      <c r="M101" s="428"/>
      <c r="N101" s="949"/>
    </row>
    <row r="102" spans="1:14" s="942" customFormat="1" ht="15.75" customHeight="1">
      <c r="A102" s="451"/>
      <c r="B102" s="589" t="s">
        <v>155</v>
      </c>
      <c r="C102" s="382">
        <f>C94</f>
        <v>6</v>
      </c>
      <c r="D102" s="382">
        <v>0.15</v>
      </c>
      <c r="E102" s="382">
        <v>0.3</v>
      </c>
      <c r="F102" s="382"/>
      <c r="G102" s="382"/>
      <c r="H102" s="382"/>
      <c r="I102" s="382"/>
      <c r="J102" s="382"/>
      <c r="K102" s="382"/>
      <c r="L102" s="382">
        <f>L98</f>
        <v>2</v>
      </c>
      <c r="M102" s="382">
        <f>C102*D102*E102*L102</f>
        <v>0.53999999999999992</v>
      </c>
      <c r="N102" s="949"/>
    </row>
    <row r="103" spans="1:14" s="942" customFormat="1" ht="15.75" customHeight="1">
      <c r="A103" s="451"/>
      <c r="B103" s="589" t="s">
        <v>154</v>
      </c>
      <c r="C103" s="382">
        <f>C95</f>
        <v>2</v>
      </c>
      <c r="D103" s="382">
        <f>D102</f>
        <v>0.15</v>
      </c>
      <c r="E103" s="382">
        <f>E102</f>
        <v>0.3</v>
      </c>
      <c r="F103" s="382"/>
      <c r="G103" s="382"/>
      <c r="H103" s="382"/>
      <c r="I103" s="382"/>
      <c r="J103" s="382"/>
      <c r="K103" s="382"/>
      <c r="L103" s="382">
        <f>L99</f>
        <v>2</v>
      </c>
      <c r="M103" s="624">
        <f>C103*D103*E103*L103</f>
        <v>0.18</v>
      </c>
      <c r="N103" s="949"/>
    </row>
    <row r="104" spans="1:14" s="942" customFormat="1" ht="15.75" customHeight="1">
      <c r="A104" s="451"/>
      <c r="B104" s="389"/>
      <c r="C104" s="428"/>
      <c r="D104" s="428"/>
      <c r="E104" s="428"/>
      <c r="F104" s="428"/>
      <c r="G104" s="428"/>
      <c r="H104" s="428"/>
      <c r="I104" s="428"/>
      <c r="J104" s="428"/>
      <c r="K104" s="428"/>
      <c r="L104" s="428"/>
      <c r="M104" s="841">
        <f>SUM(M102:M103)</f>
        <v>0.72</v>
      </c>
      <c r="N104" s="955" t="s">
        <v>103</v>
      </c>
    </row>
    <row r="105" spans="1:14" s="942" customFormat="1" ht="15.75" customHeight="1">
      <c r="A105" s="394">
        <f>A86+1</f>
        <v>8</v>
      </c>
      <c r="B105" s="389" t="s">
        <v>819</v>
      </c>
      <c r="C105" s="428"/>
      <c r="D105" s="428"/>
      <c r="E105" s="428"/>
      <c r="F105" s="428"/>
      <c r="G105" s="428"/>
      <c r="H105" s="428"/>
      <c r="I105" s="428"/>
      <c r="J105" s="428"/>
      <c r="K105" s="428"/>
      <c r="L105" s="428"/>
      <c r="M105" s="841"/>
      <c r="N105" s="955"/>
    </row>
    <row r="106" spans="1:14" s="942" customFormat="1" ht="15.75" customHeight="1">
      <c r="A106" s="451" t="s">
        <v>95</v>
      </c>
      <c r="B106" s="389" t="s">
        <v>1393</v>
      </c>
      <c r="C106" s="428">
        <v>2</v>
      </c>
      <c r="D106" s="428">
        <v>0.15</v>
      </c>
      <c r="E106" s="428"/>
      <c r="F106" s="428"/>
      <c r="G106" s="428"/>
      <c r="H106" s="428"/>
      <c r="I106" s="428"/>
      <c r="J106" s="428">
        <v>1</v>
      </c>
      <c r="K106" s="428"/>
      <c r="L106" s="428">
        <v>2</v>
      </c>
      <c r="M106" s="390">
        <f>C106*D106*J106*L106+M107</f>
        <v>2.2000000000000002</v>
      </c>
      <c r="N106" s="949" t="s">
        <v>89</v>
      </c>
    </row>
    <row r="107" spans="1:14" s="942" customFormat="1" ht="15.75" customHeight="1">
      <c r="A107" s="451"/>
      <c r="B107" s="389"/>
      <c r="C107" s="428">
        <v>2</v>
      </c>
      <c r="D107" s="428"/>
      <c r="E107" s="428">
        <v>0.2</v>
      </c>
      <c r="F107" s="428"/>
      <c r="G107" s="428"/>
      <c r="H107" s="428"/>
      <c r="I107" s="428"/>
      <c r="J107" s="428">
        <v>2</v>
      </c>
      <c r="K107" s="428"/>
      <c r="L107" s="428">
        <v>2</v>
      </c>
      <c r="M107" s="390">
        <f>C107*E107*J107*L107</f>
        <v>1.6</v>
      </c>
      <c r="N107" s="949"/>
    </row>
    <row r="108" spans="1:14" s="942" customFormat="1" ht="15.75" customHeight="1">
      <c r="A108" s="451" t="s">
        <v>98</v>
      </c>
      <c r="B108" s="389" t="s">
        <v>432</v>
      </c>
      <c r="C108" s="428">
        <f>C106</f>
        <v>2</v>
      </c>
      <c r="D108" s="428"/>
      <c r="E108" s="428"/>
      <c r="F108" s="428"/>
      <c r="G108" s="428"/>
      <c r="H108" s="428"/>
      <c r="I108" s="382">
        <f>10*10*0.006165</f>
        <v>0.61650000000000005</v>
      </c>
      <c r="J108" s="428"/>
      <c r="K108" s="428">
        <v>4</v>
      </c>
      <c r="L108" s="428">
        <f>L106</f>
        <v>2</v>
      </c>
      <c r="M108" s="390">
        <f>C108*I108*K108*L108</f>
        <v>9.8640000000000008</v>
      </c>
      <c r="N108" s="949" t="s">
        <v>100</v>
      </c>
    </row>
    <row r="109" spans="1:14" s="942" customFormat="1" ht="15.75" customHeight="1">
      <c r="A109" s="451" t="s">
        <v>101</v>
      </c>
      <c r="B109" s="389" t="s">
        <v>411</v>
      </c>
      <c r="C109" s="428">
        <f>(0.1+0.15)*2</f>
        <v>0.5</v>
      </c>
      <c r="D109" s="428"/>
      <c r="E109" s="428"/>
      <c r="F109" s="428">
        <v>0.1</v>
      </c>
      <c r="G109" s="428"/>
      <c r="H109" s="428"/>
      <c r="I109" s="382">
        <f>8*8*0.006165</f>
        <v>0.39456000000000002</v>
      </c>
      <c r="J109" s="428"/>
      <c r="K109" s="428">
        <f>ROUNDUP((C106/0.125),0.5)</f>
        <v>16</v>
      </c>
      <c r="L109" s="428">
        <f>L108</f>
        <v>2</v>
      </c>
      <c r="M109" s="390">
        <f>(C109+F109)*I109*K109*L109</f>
        <v>7.5755520000000001</v>
      </c>
      <c r="N109" s="949" t="s">
        <v>100</v>
      </c>
    </row>
    <row r="110" spans="1:14" s="942" customFormat="1" ht="15.75" customHeight="1">
      <c r="A110" s="451" t="s">
        <v>121</v>
      </c>
      <c r="B110" s="427" t="s">
        <v>420</v>
      </c>
      <c r="C110" s="428">
        <f>C108</f>
        <v>2</v>
      </c>
      <c r="D110" s="428">
        <v>0.15</v>
      </c>
      <c r="E110" s="428">
        <v>0.15</v>
      </c>
      <c r="F110" s="428"/>
      <c r="G110" s="428"/>
      <c r="H110" s="428"/>
      <c r="I110" s="428"/>
      <c r="J110" s="428"/>
      <c r="K110" s="428"/>
      <c r="L110" s="428">
        <f>L109</f>
        <v>2</v>
      </c>
      <c r="M110" s="390">
        <f>C110*D110*E110*L110</f>
        <v>0.09</v>
      </c>
      <c r="N110" s="949" t="s">
        <v>103</v>
      </c>
    </row>
    <row r="111" spans="1:14" s="942" customFormat="1" ht="15.75" customHeight="1">
      <c r="A111" s="394">
        <f>A105+1</f>
        <v>9</v>
      </c>
      <c r="B111" s="389" t="s">
        <v>534</v>
      </c>
      <c r="C111" s="428"/>
      <c r="D111" s="428"/>
      <c r="E111" s="428"/>
      <c r="F111" s="428"/>
      <c r="G111" s="428"/>
      <c r="H111" s="428"/>
      <c r="I111" s="428"/>
      <c r="J111" s="428"/>
      <c r="K111" s="428"/>
      <c r="L111" s="428"/>
      <c r="M111" s="841"/>
      <c r="N111" s="955"/>
    </row>
    <row r="112" spans="1:14" s="942" customFormat="1" ht="15.75" customHeight="1">
      <c r="A112" s="451" t="s">
        <v>95</v>
      </c>
      <c r="B112" s="389" t="s">
        <v>1393</v>
      </c>
      <c r="C112" s="428">
        <v>2</v>
      </c>
      <c r="D112" s="428">
        <v>0.15</v>
      </c>
      <c r="E112" s="428"/>
      <c r="F112" s="428"/>
      <c r="G112" s="428"/>
      <c r="H112" s="428"/>
      <c r="I112" s="428"/>
      <c r="J112" s="428">
        <v>3</v>
      </c>
      <c r="K112" s="428"/>
      <c r="L112" s="428">
        <v>5</v>
      </c>
      <c r="M112" s="390">
        <f>C112*D112*J112*L112</f>
        <v>4.5</v>
      </c>
      <c r="N112" s="949" t="s">
        <v>89</v>
      </c>
    </row>
    <row r="113" spans="1:14" s="942" customFormat="1" ht="15.75" customHeight="1">
      <c r="A113" s="451" t="s">
        <v>98</v>
      </c>
      <c r="B113" s="389" t="s">
        <v>432</v>
      </c>
      <c r="C113" s="428">
        <f>C112</f>
        <v>2</v>
      </c>
      <c r="D113" s="428"/>
      <c r="E113" s="428"/>
      <c r="F113" s="428"/>
      <c r="G113" s="428"/>
      <c r="H113" s="428"/>
      <c r="I113" s="382">
        <f>10*10*0.006165</f>
        <v>0.61650000000000005</v>
      </c>
      <c r="J113" s="428"/>
      <c r="K113" s="428">
        <v>4</v>
      </c>
      <c r="L113" s="428">
        <f>L112</f>
        <v>5</v>
      </c>
      <c r="M113" s="390">
        <f>C113*I113*K113*L113</f>
        <v>24.660000000000004</v>
      </c>
      <c r="N113" s="949" t="s">
        <v>100</v>
      </c>
    </row>
    <row r="114" spans="1:14" s="942" customFormat="1" ht="15.75" customHeight="1">
      <c r="A114" s="451" t="s">
        <v>101</v>
      </c>
      <c r="B114" s="389" t="s">
        <v>411</v>
      </c>
      <c r="C114" s="428">
        <f>0.1*4</f>
        <v>0.4</v>
      </c>
      <c r="D114" s="428"/>
      <c r="E114" s="428"/>
      <c r="F114" s="428">
        <v>0.1</v>
      </c>
      <c r="G114" s="428"/>
      <c r="H114" s="428"/>
      <c r="I114" s="382">
        <f>8*8*0.006165</f>
        <v>0.39456000000000002</v>
      </c>
      <c r="J114" s="428"/>
      <c r="K114" s="428">
        <f>ROUNDUP((C112/0.125),0.5)</f>
        <v>16</v>
      </c>
      <c r="L114" s="428">
        <f>L113</f>
        <v>5</v>
      </c>
      <c r="M114" s="390">
        <f>(C114+F114)*I114*K114*L114</f>
        <v>15.782400000000001</v>
      </c>
      <c r="N114" s="949" t="s">
        <v>100</v>
      </c>
    </row>
    <row r="115" spans="1:14" s="942" customFormat="1" ht="15.75" customHeight="1">
      <c r="A115" s="451" t="s">
        <v>121</v>
      </c>
      <c r="B115" s="427" t="s">
        <v>420</v>
      </c>
      <c r="C115" s="428">
        <f>C113</f>
        <v>2</v>
      </c>
      <c r="D115" s="428">
        <v>0.15</v>
      </c>
      <c r="E115" s="428">
        <v>0.15</v>
      </c>
      <c r="F115" s="428"/>
      <c r="G115" s="428"/>
      <c r="H115" s="428"/>
      <c r="I115" s="428"/>
      <c r="J115" s="428"/>
      <c r="K115" s="428"/>
      <c r="L115" s="428">
        <f>L114</f>
        <v>5</v>
      </c>
      <c r="M115" s="390">
        <f>C115*D115*E115*L115</f>
        <v>0.22499999999999998</v>
      </c>
      <c r="N115" s="949" t="s">
        <v>103</v>
      </c>
    </row>
    <row r="116" spans="1:14" s="952" customFormat="1" ht="15.75" hidden="1" customHeight="1">
      <c r="A116" s="964">
        <f>A111+1</f>
        <v>10</v>
      </c>
      <c r="B116" s="862" t="s">
        <v>1394</v>
      </c>
      <c r="C116" s="967">
        <v>6</v>
      </c>
      <c r="D116" s="967">
        <v>2</v>
      </c>
      <c r="E116" s="967">
        <v>0.1</v>
      </c>
      <c r="F116" s="587"/>
      <c r="G116" s="587"/>
      <c r="H116" s="587"/>
      <c r="I116" s="587"/>
      <c r="J116" s="587"/>
      <c r="K116" s="587"/>
      <c r="L116" s="587"/>
      <c r="M116" s="587">
        <f>C116*D116*E116</f>
        <v>1.2000000000000002</v>
      </c>
      <c r="N116" s="965" t="s">
        <v>103</v>
      </c>
    </row>
    <row r="117" spans="1:14" s="952" customFormat="1" ht="15.75" hidden="1" customHeight="1">
      <c r="A117" s="964" t="e">
        <f>A70+1</f>
        <v>#VALUE!</v>
      </c>
      <c r="B117" s="968" t="s">
        <v>1395</v>
      </c>
      <c r="C117" s="967">
        <f>C70</f>
        <v>6</v>
      </c>
      <c r="D117" s="967">
        <v>0</v>
      </c>
      <c r="E117" s="967"/>
      <c r="F117" s="587"/>
      <c r="G117" s="587"/>
      <c r="H117" s="587"/>
      <c r="I117" s="587"/>
      <c r="J117" s="587"/>
      <c r="K117" s="587"/>
      <c r="L117" s="587"/>
      <c r="M117" s="587">
        <f>C117*D117</f>
        <v>0</v>
      </c>
      <c r="N117" s="965" t="s">
        <v>89</v>
      </c>
    </row>
    <row r="118" spans="1:14" s="952" customFormat="1" ht="15.75" hidden="1" customHeight="1">
      <c r="A118" s="964" t="e">
        <f>A117+1</f>
        <v>#VALUE!</v>
      </c>
      <c r="B118" s="968" t="s">
        <v>1396</v>
      </c>
      <c r="C118" s="967">
        <v>6</v>
      </c>
      <c r="D118" s="967">
        <v>0</v>
      </c>
      <c r="E118" s="967"/>
      <c r="F118" s="587"/>
      <c r="G118" s="587"/>
      <c r="H118" s="587"/>
      <c r="I118" s="587"/>
      <c r="J118" s="587"/>
      <c r="K118" s="587"/>
      <c r="L118" s="587"/>
      <c r="M118" s="587">
        <f>M117</f>
        <v>0</v>
      </c>
      <c r="N118" s="965" t="s">
        <v>89</v>
      </c>
    </row>
    <row r="119" spans="1:14" s="952" customFormat="1" ht="15.75" hidden="1" customHeight="1">
      <c r="A119" s="964" t="e">
        <f>A118+1</f>
        <v>#VALUE!</v>
      </c>
      <c r="B119" s="968" t="s">
        <v>1397</v>
      </c>
      <c r="C119" s="587">
        <v>6</v>
      </c>
      <c r="D119" s="587"/>
      <c r="E119" s="587"/>
      <c r="F119" s="587"/>
      <c r="G119" s="587"/>
      <c r="H119" s="587"/>
      <c r="I119" s="587"/>
      <c r="J119" s="587"/>
      <c r="K119" s="587"/>
      <c r="L119" s="587"/>
      <c r="M119" s="587">
        <f>C119</f>
        <v>6</v>
      </c>
      <c r="N119" s="965" t="s">
        <v>117</v>
      </c>
    </row>
    <row r="120" spans="1:14" s="952" customFormat="1" ht="15.75" hidden="1" customHeight="1">
      <c r="A120" s="964" t="e">
        <f>A119+1</f>
        <v>#VALUE!</v>
      </c>
      <c r="B120" s="862" t="s">
        <v>1398</v>
      </c>
      <c r="C120" s="587"/>
      <c r="D120" s="587"/>
      <c r="E120" s="587"/>
      <c r="F120" s="587"/>
      <c r="G120" s="587"/>
      <c r="H120" s="587"/>
      <c r="I120" s="587"/>
      <c r="J120" s="587"/>
      <c r="K120" s="587"/>
      <c r="L120" s="587"/>
      <c r="M120" s="587"/>
      <c r="N120" s="965"/>
    </row>
    <row r="121" spans="1:14" s="952" customFormat="1" ht="15.75" hidden="1" customHeight="1">
      <c r="A121" s="964"/>
      <c r="B121" s="862"/>
      <c r="C121" s="967">
        <v>7</v>
      </c>
      <c r="D121" s="967"/>
      <c r="E121" s="967">
        <f>(0.725+0.9+1+0.15)</f>
        <v>2.7749999999999999</v>
      </c>
      <c r="F121" s="967"/>
      <c r="G121" s="967"/>
      <c r="H121" s="967"/>
      <c r="I121" s="967"/>
      <c r="J121" s="967">
        <v>1</v>
      </c>
      <c r="K121" s="587"/>
      <c r="L121" s="587"/>
      <c r="M121" s="587">
        <f>C121*E121*J121</f>
        <v>19.425000000000001</v>
      </c>
      <c r="N121" s="965"/>
    </row>
    <row r="122" spans="1:14" s="952" customFormat="1" ht="15.75" hidden="1" customHeight="1">
      <c r="A122" s="964"/>
      <c r="B122" s="862"/>
      <c r="C122" s="967"/>
      <c r="D122" s="967">
        <v>3</v>
      </c>
      <c r="E122" s="967">
        <f>(0.475+0.9+0.475+0.1+0.15)</f>
        <v>2.1</v>
      </c>
      <c r="F122" s="967"/>
      <c r="G122" s="967"/>
      <c r="H122" s="967"/>
      <c r="I122" s="967"/>
      <c r="J122" s="967">
        <v>2</v>
      </c>
      <c r="K122" s="587"/>
      <c r="L122" s="587"/>
      <c r="M122" s="588">
        <f>D122*E122*J122</f>
        <v>12.600000000000001</v>
      </c>
      <c r="N122" s="965"/>
    </row>
    <row r="123" spans="1:14" s="952" customFormat="1" ht="15.75" hidden="1" customHeight="1">
      <c r="A123" s="964"/>
      <c r="B123" s="862"/>
      <c r="C123" s="587"/>
      <c r="D123" s="587"/>
      <c r="E123" s="587"/>
      <c r="F123" s="587"/>
      <c r="G123" s="587"/>
      <c r="H123" s="587"/>
      <c r="I123" s="587"/>
      <c r="J123" s="587"/>
      <c r="K123" s="587"/>
      <c r="L123" s="587"/>
      <c r="M123" s="969">
        <f>SUM(M121:M122)</f>
        <v>32.025000000000006</v>
      </c>
      <c r="N123" s="970" t="s">
        <v>89</v>
      </c>
    </row>
    <row r="124" spans="1:14" s="952" customFormat="1" ht="15.75" hidden="1" customHeight="1">
      <c r="A124" s="964" t="e">
        <f>A120+1</f>
        <v>#VALUE!</v>
      </c>
      <c r="B124" s="862" t="s">
        <v>1399</v>
      </c>
      <c r="C124" s="587"/>
      <c r="D124" s="587"/>
      <c r="E124" s="587"/>
      <c r="F124" s="587"/>
      <c r="G124" s="587"/>
      <c r="H124" s="587"/>
      <c r="I124" s="587"/>
      <c r="J124" s="587"/>
      <c r="K124" s="587"/>
      <c r="L124" s="587"/>
      <c r="M124" s="587">
        <v>2</v>
      </c>
      <c r="N124" s="965" t="s">
        <v>124</v>
      </c>
    </row>
    <row r="125" spans="1:14" s="942" customFormat="1" ht="15.75" customHeight="1">
      <c r="A125" s="971" t="s">
        <v>1400</v>
      </c>
      <c r="B125" s="446" t="s">
        <v>434</v>
      </c>
      <c r="C125" s="428"/>
      <c r="D125" s="428"/>
      <c r="E125" s="428"/>
      <c r="F125" s="428"/>
      <c r="G125" s="428"/>
      <c r="H125" s="428"/>
      <c r="I125" s="428"/>
      <c r="J125" s="428"/>
      <c r="K125" s="428"/>
      <c r="L125" s="428"/>
      <c r="M125" s="428"/>
      <c r="N125" s="949"/>
    </row>
    <row r="126" spans="1:14" s="942" customFormat="1" ht="15.75" customHeight="1">
      <c r="A126" s="394">
        <v>1</v>
      </c>
      <c r="B126" s="389" t="s">
        <v>821</v>
      </c>
      <c r="C126" s="428"/>
      <c r="D126" s="428"/>
      <c r="E126" s="428"/>
      <c r="F126" s="428"/>
      <c r="G126" s="428"/>
      <c r="H126" s="428"/>
      <c r="I126" s="428"/>
      <c r="J126" s="428"/>
      <c r="K126" s="428"/>
      <c r="L126" s="428"/>
      <c r="M126" s="428"/>
      <c r="N126" s="949"/>
    </row>
    <row r="127" spans="1:14" s="942" customFormat="1" ht="15.75" customHeight="1">
      <c r="A127" s="394"/>
      <c r="B127" s="682" t="s">
        <v>155</v>
      </c>
      <c r="C127" s="972">
        <f>C102</f>
        <v>6</v>
      </c>
      <c r="D127" s="972"/>
      <c r="E127" s="972">
        <v>2.85</v>
      </c>
      <c r="F127" s="972"/>
      <c r="G127" s="972"/>
      <c r="H127" s="972"/>
      <c r="I127" s="972"/>
      <c r="J127" s="972"/>
      <c r="K127" s="972"/>
      <c r="L127" s="972">
        <v>1</v>
      </c>
      <c r="M127" s="428">
        <f>C127*E127*L127</f>
        <v>17.100000000000001</v>
      </c>
      <c r="N127" s="949"/>
    </row>
    <row r="128" spans="1:14" s="942" customFormat="1" ht="15.75" customHeight="1">
      <c r="A128" s="394"/>
      <c r="B128" s="389"/>
      <c r="C128" s="972">
        <f>C127</f>
        <v>6</v>
      </c>
      <c r="D128" s="972"/>
      <c r="E128" s="972">
        <v>0.65</v>
      </c>
      <c r="F128" s="972"/>
      <c r="G128" s="972"/>
      <c r="H128" s="972"/>
      <c r="I128" s="972"/>
      <c r="J128" s="972"/>
      <c r="K128" s="972"/>
      <c r="L128" s="972">
        <v>1</v>
      </c>
      <c r="M128" s="428">
        <f>C128*E128*L128</f>
        <v>3.9000000000000004</v>
      </c>
      <c r="N128" s="949"/>
    </row>
    <row r="129" spans="1:23" s="942" customFormat="1" ht="15.75" customHeight="1">
      <c r="A129" s="394"/>
      <c r="B129" s="682" t="s">
        <v>154</v>
      </c>
      <c r="C129" s="972">
        <f>(C103-0.25)</f>
        <v>1.75</v>
      </c>
      <c r="D129" s="972"/>
      <c r="E129" s="972">
        <f>E128</f>
        <v>0.65</v>
      </c>
      <c r="F129" s="972"/>
      <c r="G129" s="972"/>
      <c r="H129" s="972"/>
      <c r="I129" s="972"/>
      <c r="J129" s="972"/>
      <c r="K129" s="972"/>
      <c r="L129" s="972">
        <v>2</v>
      </c>
      <c r="M129" s="590">
        <f>C129*E129*L129</f>
        <v>2.2749999999999999</v>
      </c>
      <c r="N129" s="949"/>
    </row>
    <row r="130" spans="1:23" s="942" customFormat="1" ht="15.75" customHeight="1">
      <c r="A130" s="394"/>
      <c r="B130" s="389"/>
      <c r="C130" s="428"/>
      <c r="D130" s="428"/>
      <c r="E130" s="428"/>
      <c r="F130" s="428"/>
      <c r="G130" s="428"/>
      <c r="H130" s="428"/>
      <c r="I130" s="428"/>
      <c r="J130" s="428"/>
      <c r="K130" s="428"/>
      <c r="L130" s="428"/>
      <c r="M130" s="841">
        <f>SUM(M127:M129)</f>
        <v>23.274999999999999</v>
      </c>
      <c r="N130" s="955" t="s">
        <v>89</v>
      </c>
    </row>
    <row r="131" spans="1:23" s="942" customFormat="1" ht="15.75" customHeight="1">
      <c r="A131" s="394">
        <f>A126+1</f>
        <v>2</v>
      </c>
      <c r="B131" s="389" t="s">
        <v>630</v>
      </c>
      <c r="C131" s="428" t="s">
        <v>1401</v>
      </c>
      <c r="D131" s="428"/>
      <c r="E131" s="428"/>
      <c r="F131" s="428"/>
      <c r="G131" s="428"/>
      <c r="H131" s="428"/>
      <c r="I131" s="428"/>
      <c r="J131" s="428"/>
      <c r="K131" s="428"/>
      <c r="L131" s="428"/>
      <c r="M131" s="428">
        <f>M130*2</f>
        <v>46.55</v>
      </c>
      <c r="N131" s="949" t="s">
        <v>89</v>
      </c>
    </row>
    <row r="132" spans="1:23" s="942" customFormat="1" ht="15.75" customHeight="1">
      <c r="A132" s="394">
        <f>A131+1</f>
        <v>3</v>
      </c>
      <c r="B132" s="389" t="s">
        <v>631</v>
      </c>
      <c r="C132" s="428"/>
      <c r="D132" s="428"/>
      <c r="E132" s="428"/>
      <c r="F132" s="428"/>
      <c r="G132" s="428"/>
      <c r="H132" s="428"/>
      <c r="I132" s="428"/>
      <c r="J132" s="428"/>
      <c r="K132" s="428"/>
      <c r="L132" s="428"/>
      <c r="M132" s="428"/>
      <c r="N132" s="949"/>
    </row>
    <row r="133" spans="1:23" s="942" customFormat="1" ht="15.75" customHeight="1">
      <c r="A133" s="394"/>
      <c r="B133" s="389"/>
      <c r="C133" s="428" t="s">
        <v>1148</v>
      </c>
      <c r="D133" s="428"/>
      <c r="E133" s="428"/>
      <c r="F133" s="428"/>
      <c r="G133" s="428"/>
      <c r="H133" s="428"/>
      <c r="I133" s="428"/>
      <c r="J133" s="428"/>
      <c r="K133" s="428"/>
      <c r="L133" s="428"/>
      <c r="M133" s="428">
        <f>M131</f>
        <v>46.55</v>
      </c>
      <c r="N133" s="949"/>
    </row>
    <row r="134" spans="1:23" s="942" customFormat="1" ht="15.75" customHeight="1">
      <c r="A134" s="394"/>
      <c r="B134" s="389"/>
      <c r="C134" s="428" t="s">
        <v>1402</v>
      </c>
      <c r="D134" s="428"/>
      <c r="E134" s="428"/>
      <c r="F134" s="428"/>
      <c r="G134" s="428"/>
      <c r="H134" s="428"/>
      <c r="I134" s="428"/>
      <c r="J134" s="428"/>
      <c r="K134" s="428"/>
      <c r="L134" s="428"/>
      <c r="M134" s="590">
        <f>-M153</f>
        <v>-25.47</v>
      </c>
      <c r="N134" s="949"/>
    </row>
    <row r="135" spans="1:23" s="942" customFormat="1" ht="15.75" customHeight="1">
      <c r="A135" s="394"/>
      <c r="B135" s="389"/>
      <c r="C135" s="428"/>
      <c r="D135" s="428"/>
      <c r="E135" s="428"/>
      <c r="F135" s="428"/>
      <c r="G135" s="428"/>
      <c r="H135" s="428"/>
      <c r="I135" s="428"/>
      <c r="J135" s="428"/>
      <c r="K135" s="428"/>
      <c r="L135" s="428"/>
      <c r="M135" s="841">
        <f>SUM(M133:M134)</f>
        <v>21.08</v>
      </c>
      <c r="N135" s="955" t="s">
        <v>89</v>
      </c>
    </row>
    <row r="136" spans="1:23" s="942" customFormat="1" ht="15.75" customHeight="1">
      <c r="A136" s="394">
        <f>A132+1</f>
        <v>4</v>
      </c>
      <c r="B136" s="389" t="s">
        <v>822</v>
      </c>
      <c r="C136" s="428"/>
      <c r="D136" s="428"/>
      <c r="E136" s="428"/>
      <c r="F136" s="428"/>
      <c r="G136" s="428"/>
      <c r="H136" s="428"/>
      <c r="I136" s="428"/>
      <c r="J136" s="428"/>
      <c r="K136" s="428"/>
      <c r="L136" s="428"/>
      <c r="M136" s="428"/>
      <c r="N136" s="949"/>
    </row>
    <row r="137" spans="1:23" s="942" customFormat="1" ht="15.75" customHeight="1">
      <c r="A137" s="394"/>
      <c r="B137" s="973" t="s">
        <v>1017</v>
      </c>
      <c r="C137" s="972"/>
      <c r="D137" s="972"/>
      <c r="E137" s="972">
        <v>2.85</v>
      </c>
      <c r="F137" s="972"/>
      <c r="G137" s="972"/>
      <c r="H137" s="972"/>
      <c r="I137" s="972"/>
      <c r="J137" s="972">
        <v>4</v>
      </c>
      <c r="K137" s="972"/>
      <c r="L137" s="972">
        <v>8</v>
      </c>
      <c r="M137" s="428">
        <f>E137*J137*L137</f>
        <v>91.2</v>
      </c>
      <c r="N137" s="949"/>
    </row>
    <row r="138" spans="1:23" s="942" customFormat="1" ht="15.75" customHeight="1">
      <c r="A138" s="394"/>
      <c r="B138" s="973" t="s">
        <v>1018</v>
      </c>
      <c r="C138" s="972">
        <f>C128</f>
        <v>6</v>
      </c>
      <c r="D138" s="972"/>
      <c r="E138" s="972"/>
      <c r="F138" s="972"/>
      <c r="G138" s="972"/>
      <c r="H138" s="972"/>
      <c r="I138" s="972"/>
      <c r="J138" s="972">
        <v>2</v>
      </c>
      <c r="K138" s="972"/>
      <c r="L138" s="972">
        <f>L128</f>
        <v>1</v>
      </c>
      <c r="M138" s="428">
        <f>C138*J138*L138</f>
        <v>12</v>
      </c>
      <c r="N138" s="949"/>
    </row>
    <row r="139" spans="1:23" s="942" customFormat="1" ht="15.75" customHeight="1">
      <c r="A139" s="394"/>
      <c r="B139" s="973"/>
      <c r="C139" s="972">
        <f>C129-0.15</f>
        <v>1.6</v>
      </c>
      <c r="D139" s="972"/>
      <c r="E139" s="972"/>
      <c r="F139" s="972"/>
      <c r="G139" s="972"/>
      <c r="H139" s="972"/>
      <c r="I139" s="972"/>
      <c r="J139" s="972">
        <v>2</v>
      </c>
      <c r="K139" s="972"/>
      <c r="L139" s="972">
        <v>2</v>
      </c>
      <c r="M139" s="590">
        <f>C139*J139*L139</f>
        <v>6.4</v>
      </c>
      <c r="N139" s="949"/>
    </row>
    <row r="140" spans="1:23" s="942" customFormat="1" ht="15.75" customHeight="1">
      <c r="A140" s="394"/>
      <c r="B140" s="682"/>
      <c r="C140" s="428"/>
      <c r="D140" s="428"/>
      <c r="E140" s="428"/>
      <c r="F140" s="428"/>
      <c r="G140" s="428"/>
      <c r="H140" s="428"/>
      <c r="I140" s="428"/>
      <c r="J140" s="428"/>
      <c r="K140" s="428"/>
      <c r="L140" s="428"/>
      <c r="M140" s="841">
        <f>SUM(M137:M139)</f>
        <v>109.60000000000001</v>
      </c>
      <c r="N140" s="955" t="s">
        <v>117</v>
      </c>
    </row>
    <row r="141" spans="1:23" s="554" customFormat="1" ht="15.75" customHeight="1">
      <c r="A141" s="350">
        <f>A136+1</f>
        <v>5</v>
      </c>
      <c r="B141" s="591" t="s">
        <v>443</v>
      </c>
      <c r="C141" s="348"/>
      <c r="D141" s="348"/>
      <c r="E141" s="348"/>
      <c r="F141" s="348"/>
      <c r="G141" s="348"/>
      <c r="H141" s="348"/>
      <c r="I141" s="348"/>
      <c r="J141" s="348"/>
      <c r="K141" s="348"/>
      <c r="L141" s="348"/>
      <c r="M141" s="343"/>
      <c r="N141" s="349"/>
      <c r="O141" s="784"/>
      <c r="P141" s="398"/>
      <c r="Q141" s="564"/>
      <c r="R141" s="398"/>
      <c r="S141" s="398"/>
      <c r="T141" s="398"/>
      <c r="U141" s="555"/>
      <c r="V141" s="555"/>
      <c r="W141" s="555"/>
    </row>
    <row r="142" spans="1:23" s="554" customFormat="1" ht="37.5" customHeight="1">
      <c r="A142" s="355" t="s">
        <v>95</v>
      </c>
      <c r="B142" s="593" t="s">
        <v>537</v>
      </c>
      <c r="C142" s="348">
        <f>0.46*2*0.5</f>
        <v>0.46</v>
      </c>
      <c r="D142" s="493"/>
      <c r="E142" s="348"/>
      <c r="F142" s="348"/>
      <c r="G142" s="348"/>
      <c r="H142" s="348"/>
      <c r="I142" s="348"/>
      <c r="J142" s="348">
        <v>5</v>
      </c>
      <c r="K142" s="348"/>
      <c r="L142" s="348">
        <v>7</v>
      </c>
      <c r="M142" s="343">
        <f>L142*J142*C142</f>
        <v>16.100000000000001</v>
      </c>
      <c r="N142" s="349" t="s">
        <v>89</v>
      </c>
      <c r="O142" s="784"/>
      <c r="P142" s="398"/>
      <c r="Q142" s="564"/>
      <c r="R142" s="398"/>
      <c r="S142" s="398"/>
      <c r="T142" s="398"/>
      <c r="U142" s="555"/>
      <c r="V142" s="555"/>
      <c r="W142" s="555"/>
    </row>
    <row r="143" spans="1:23" s="554" customFormat="1" ht="28.5" customHeight="1">
      <c r="A143" s="355" t="s">
        <v>98</v>
      </c>
      <c r="B143" s="593" t="s">
        <v>538</v>
      </c>
      <c r="C143" s="348">
        <v>6</v>
      </c>
      <c r="D143" s="493"/>
      <c r="E143" s="348"/>
      <c r="F143" s="348"/>
      <c r="G143" s="348"/>
      <c r="H143" s="348"/>
      <c r="I143" s="348"/>
      <c r="J143" s="348">
        <v>1</v>
      </c>
      <c r="K143" s="348">
        <f>ROUNDUP((D147/0.5),0)</f>
        <v>7</v>
      </c>
      <c r="L143" s="348">
        <v>1</v>
      </c>
      <c r="M143" s="343">
        <f>L143*K143*J143*C143</f>
        <v>42</v>
      </c>
      <c r="N143" s="349" t="s">
        <v>1178</v>
      </c>
      <c r="O143" s="784"/>
      <c r="P143" s="398"/>
      <c r="Q143" s="564"/>
      <c r="R143" s="398"/>
      <c r="S143" s="398"/>
      <c r="T143" s="398"/>
      <c r="U143" s="555"/>
      <c r="V143" s="555"/>
      <c r="W143" s="555"/>
    </row>
    <row r="144" spans="1:23" s="554" customFormat="1" ht="15.75" customHeight="1">
      <c r="A144" s="355" t="s">
        <v>101</v>
      </c>
      <c r="B144" s="351" t="s">
        <v>823</v>
      </c>
      <c r="C144" s="348"/>
      <c r="D144" s="352"/>
      <c r="E144" s="348"/>
      <c r="F144" s="348"/>
      <c r="G144" s="348"/>
      <c r="H144" s="348"/>
      <c r="I144" s="348"/>
      <c r="J144" s="348"/>
      <c r="K144" s="348"/>
      <c r="L144" s="348"/>
      <c r="M144" s="565">
        <f>SUM(M145:M146)</f>
        <v>30</v>
      </c>
      <c r="N144" s="349" t="s">
        <v>824</v>
      </c>
      <c r="O144" s="784"/>
      <c r="P144" s="398"/>
      <c r="Q144" s="564"/>
      <c r="R144" s="398"/>
      <c r="S144" s="398"/>
      <c r="T144" s="398"/>
      <c r="U144" s="555"/>
      <c r="V144" s="555"/>
      <c r="W144" s="555"/>
    </row>
    <row r="145" spans="1:23" s="554" customFormat="1" ht="15.75" customHeight="1">
      <c r="A145" s="355"/>
      <c r="B145" s="589" t="s">
        <v>1024</v>
      </c>
      <c r="C145" s="348"/>
      <c r="D145" s="352"/>
      <c r="E145" s="348"/>
      <c r="F145" s="348"/>
      <c r="G145" s="348"/>
      <c r="H145" s="348"/>
      <c r="I145" s="348"/>
      <c r="J145" s="348">
        <v>3</v>
      </c>
      <c r="K145" s="348">
        <v>2</v>
      </c>
      <c r="L145" s="348">
        <f>J142</f>
        <v>5</v>
      </c>
      <c r="M145" s="343">
        <f>L145*K145*J145</f>
        <v>30</v>
      </c>
      <c r="N145" s="349" t="s">
        <v>824</v>
      </c>
      <c r="O145" s="784"/>
      <c r="P145" s="398"/>
      <c r="Q145" s="564"/>
      <c r="R145" s="398"/>
      <c r="S145" s="398"/>
      <c r="T145" s="398"/>
      <c r="U145" s="555"/>
      <c r="V145" s="555"/>
      <c r="W145" s="555"/>
    </row>
    <row r="146" spans="1:23" s="554" customFormat="1" ht="15.75" customHeight="1">
      <c r="A146" s="355"/>
      <c r="B146" s="589" t="s">
        <v>1025</v>
      </c>
      <c r="C146" s="348"/>
      <c r="D146" s="352"/>
      <c r="E146" s="348"/>
      <c r="F146" s="348">
        <v>2</v>
      </c>
      <c r="G146" s="348">
        <v>5</v>
      </c>
      <c r="H146" s="348">
        <v>1</v>
      </c>
      <c r="I146" s="348"/>
      <c r="J146" s="348"/>
      <c r="K146" s="348"/>
      <c r="L146" s="348">
        <v>0</v>
      </c>
      <c r="M146" s="343">
        <f>L146*H146*G146*F146</f>
        <v>0</v>
      </c>
      <c r="N146" s="349" t="s">
        <v>824</v>
      </c>
      <c r="O146" s="784"/>
      <c r="P146" s="398"/>
      <c r="Q146" s="564"/>
      <c r="R146" s="398"/>
      <c r="S146" s="398"/>
      <c r="T146" s="398"/>
      <c r="U146" s="555"/>
      <c r="V146" s="555"/>
      <c r="W146" s="555"/>
    </row>
    <row r="147" spans="1:23" s="554" customFormat="1" ht="15.75" customHeight="1">
      <c r="A147" s="355" t="s">
        <v>121</v>
      </c>
      <c r="B147" s="351" t="s">
        <v>1179</v>
      </c>
      <c r="C147" s="348">
        <f>C143</f>
        <v>6</v>
      </c>
      <c r="D147" s="401">
        <v>3.05</v>
      </c>
      <c r="E147" s="348"/>
      <c r="F147" s="348"/>
      <c r="G147" s="348"/>
      <c r="H147" s="348"/>
      <c r="I147" s="348"/>
      <c r="J147" s="348"/>
      <c r="K147" s="348"/>
      <c r="L147" s="348">
        <v>2</v>
      </c>
      <c r="M147" s="343">
        <f>L147*D147*C147</f>
        <v>36.599999999999994</v>
      </c>
      <c r="N147" s="349" t="s">
        <v>89</v>
      </c>
      <c r="O147" s="784"/>
      <c r="P147" s="398"/>
      <c r="Q147" s="564"/>
      <c r="R147" s="398"/>
      <c r="S147" s="398"/>
      <c r="T147" s="398"/>
      <c r="U147" s="555"/>
      <c r="V147" s="555"/>
      <c r="W147" s="555"/>
    </row>
    <row r="148" spans="1:23" s="554" customFormat="1" ht="15.75" customHeight="1">
      <c r="A148" s="355" t="s">
        <v>142</v>
      </c>
      <c r="B148" s="351" t="s">
        <v>1180</v>
      </c>
      <c r="C148" s="348">
        <v>0</v>
      </c>
      <c r="D148" s="352"/>
      <c r="E148" s="348"/>
      <c r="F148" s="348"/>
      <c r="G148" s="348"/>
      <c r="H148" s="348"/>
      <c r="I148" s="348"/>
      <c r="J148" s="348"/>
      <c r="K148" s="348"/>
      <c r="L148" s="348"/>
      <c r="M148" s="343">
        <f>C148</f>
        <v>0</v>
      </c>
      <c r="N148" s="349" t="s">
        <v>1178</v>
      </c>
      <c r="O148" s="784"/>
      <c r="P148" s="398"/>
      <c r="Q148" s="564"/>
      <c r="R148" s="398"/>
      <c r="S148" s="398"/>
      <c r="T148" s="398"/>
      <c r="U148" s="555"/>
      <c r="V148" s="555"/>
      <c r="W148" s="555"/>
    </row>
    <row r="149" spans="1:23" s="942" customFormat="1" ht="15.75" customHeight="1">
      <c r="A149" s="394">
        <f>A141+1</f>
        <v>6</v>
      </c>
      <c r="B149" s="389" t="s">
        <v>1403</v>
      </c>
      <c r="C149" s="428"/>
      <c r="D149" s="428"/>
      <c r="E149" s="428"/>
      <c r="F149" s="428"/>
      <c r="G149" s="428"/>
      <c r="H149" s="428"/>
      <c r="I149" s="428"/>
      <c r="J149" s="428"/>
      <c r="K149" s="428"/>
      <c r="L149" s="428"/>
      <c r="M149" s="428"/>
      <c r="N149" s="949"/>
    </row>
    <row r="150" spans="1:23" s="942" customFormat="1" ht="15.75" customHeight="1">
      <c r="A150" s="394"/>
      <c r="B150" s="682" t="s">
        <v>155</v>
      </c>
      <c r="C150" s="428">
        <f>C127-(0.15*4)</f>
        <v>5.4</v>
      </c>
      <c r="D150" s="428"/>
      <c r="E150" s="428">
        <v>1.8</v>
      </c>
      <c r="F150" s="428"/>
      <c r="G150" s="428"/>
      <c r="H150" s="428"/>
      <c r="I150" s="428"/>
      <c r="J150" s="428"/>
      <c r="K150" s="428"/>
      <c r="L150" s="428">
        <f>L127</f>
        <v>1</v>
      </c>
      <c r="M150" s="428">
        <f>C150*E150*L150</f>
        <v>9.7200000000000006</v>
      </c>
      <c r="N150" s="949"/>
    </row>
    <row r="151" spans="1:23" s="942" customFormat="1" ht="15.75" customHeight="1">
      <c r="A151" s="394"/>
      <c r="B151" s="389"/>
      <c r="C151" s="428">
        <f>C128-0.15</f>
        <v>5.85</v>
      </c>
      <c r="D151" s="428"/>
      <c r="E151" s="428">
        <f>E150</f>
        <v>1.8</v>
      </c>
      <c r="F151" s="428"/>
      <c r="G151" s="428"/>
      <c r="H151" s="428"/>
      <c r="I151" s="428"/>
      <c r="J151" s="428"/>
      <c r="K151" s="428"/>
      <c r="L151" s="428">
        <f>L128</f>
        <v>1</v>
      </c>
      <c r="M151" s="428">
        <f>C151*E151*L151</f>
        <v>10.53</v>
      </c>
      <c r="N151" s="949"/>
    </row>
    <row r="152" spans="1:23" s="942" customFormat="1" ht="15.75" customHeight="1">
      <c r="A152" s="394"/>
      <c r="B152" s="682" t="s">
        <v>154</v>
      </c>
      <c r="C152" s="428">
        <f>C129-(0.15*2)</f>
        <v>1.45</v>
      </c>
      <c r="D152" s="428"/>
      <c r="E152" s="428">
        <f>E151</f>
        <v>1.8</v>
      </c>
      <c r="F152" s="428"/>
      <c r="G152" s="428"/>
      <c r="H152" s="428"/>
      <c r="I152" s="428"/>
      <c r="J152" s="428"/>
      <c r="K152" s="428"/>
      <c r="L152" s="428">
        <f>L129</f>
        <v>2</v>
      </c>
      <c r="M152" s="590">
        <f>C152*E152*L152</f>
        <v>5.22</v>
      </c>
      <c r="N152" s="949"/>
    </row>
    <row r="153" spans="1:23" s="942" customFormat="1" ht="15.75" customHeight="1">
      <c r="A153" s="394"/>
      <c r="B153" s="389"/>
      <c r="C153" s="428"/>
      <c r="D153" s="428"/>
      <c r="E153" s="428"/>
      <c r="F153" s="428"/>
      <c r="G153" s="428"/>
      <c r="H153" s="428"/>
      <c r="I153" s="428"/>
      <c r="J153" s="428"/>
      <c r="K153" s="428"/>
      <c r="L153" s="428"/>
      <c r="M153" s="841">
        <f>SUM(M150:M152)</f>
        <v>25.47</v>
      </c>
      <c r="N153" s="955" t="s">
        <v>89</v>
      </c>
    </row>
    <row r="154" spans="1:23" s="942" customFormat="1" ht="15.75" customHeight="1">
      <c r="A154" s="394">
        <f>A149+1</f>
        <v>7</v>
      </c>
      <c r="B154" s="389" t="s">
        <v>1404</v>
      </c>
      <c r="C154" s="428">
        <v>7</v>
      </c>
      <c r="D154" s="428">
        <v>3</v>
      </c>
      <c r="E154" s="428"/>
      <c r="F154" s="428"/>
      <c r="G154" s="428"/>
      <c r="H154" s="428"/>
      <c r="I154" s="428"/>
      <c r="J154" s="428"/>
      <c r="K154" s="428"/>
      <c r="L154" s="428"/>
      <c r="M154" s="428">
        <f>C154*D154</f>
        <v>21</v>
      </c>
      <c r="N154" s="949" t="s">
        <v>89</v>
      </c>
    </row>
    <row r="155" spans="1:23" s="942" customFormat="1" ht="15.75" customHeight="1">
      <c r="A155" s="394">
        <f>A154+1</f>
        <v>8</v>
      </c>
      <c r="B155" s="389" t="s">
        <v>828</v>
      </c>
      <c r="C155" s="428" t="s">
        <v>1405</v>
      </c>
      <c r="D155" s="428"/>
      <c r="E155" s="428"/>
      <c r="F155" s="428"/>
      <c r="G155" s="428"/>
      <c r="H155" s="428"/>
      <c r="I155" s="428"/>
      <c r="J155" s="428"/>
      <c r="K155" s="428"/>
      <c r="L155" s="428"/>
      <c r="M155" s="428">
        <f>M135</f>
        <v>21.08</v>
      </c>
      <c r="N155" s="949" t="s">
        <v>89</v>
      </c>
    </row>
    <row r="156" spans="1:23" s="942" customFormat="1" ht="15.75" customHeight="1">
      <c r="A156" s="394">
        <f>A155+1</f>
        <v>9</v>
      </c>
      <c r="B156" s="389" t="s">
        <v>1406</v>
      </c>
      <c r="C156" s="428"/>
      <c r="D156" s="428"/>
      <c r="E156" s="428"/>
      <c r="F156" s="428"/>
      <c r="G156" s="428"/>
      <c r="H156" s="428"/>
      <c r="I156" s="428"/>
      <c r="J156" s="428"/>
      <c r="K156" s="428"/>
      <c r="L156" s="428"/>
      <c r="M156" s="428"/>
      <c r="N156" s="949"/>
    </row>
    <row r="157" spans="1:23" s="942" customFormat="1" ht="15.75" customHeight="1">
      <c r="A157" s="974"/>
      <c r="B157" s="450"/>
      <c r="C157" s="428"/>
      <c r="D157" s="428"/>
      <c r="E157" s="428">
        <v>3.5</v>
      </c>
      <c r="F157" s="428"/>
      <c r="G157" s="428"/>
      <c r="H157" s="428"/>
      <c r="I157" s="428"/>
      <c r="J157" s="428"/>
      <c r="K157" s="428"/>
      <c r="L157" s="428">
        <v>3</v>
      </c>
      <c r="M157" s="428">
        <f>E157*L157</f>
        <v>10.5</v>
      </c>
      <c r="N157" s="949"/>
    </row>
    <row r="158" spans="1:23" s="942" customFormat="1" ht="15.75" customHeight="1">
      <c r="A158" s="974"/>
      <c r="B158" s="450"/>
      <c r="C158" s="428"/>
      <c r="D158" s="428"/>
      <c r="E158" s="428"/>
      <c r="F158" s="428">
        <v>3</v>
      </c>
      <c r="G158" s="428">
        <v>6</v>
      </c>
      <c r="H158" s="428"/>
      <c r="I158" s="428"/>
      <c r="J158" s="428"/>
      <c r="K158" s="428"/>
      <c r="L158" s="428"/>
      <c r="M158" s="590">
        <f>F158*G158</f>
        <v>18</v>
      </c>
      <c r="N158" s="949"/>
    </row>
    <row r="159" spans="1:23" s="942" customFormat="1" ht="15.75" customHeight="1">
      <c r="A159" s="974"/>
      <c r="B159" s="450"/>
      <c r="C159" s="428"/>
      <c r="D159" s="428"/>
      <c r="E159" s="428"/>
      <c r="F159" s="428"/>
      <c r="G159" s="428"/>
      <c r="H159" s="428"/>
      <c r="I159" s="428"/>
      <c r="J159" s="428"/>
      <c r="K159" s="428"/>
      <c r="L159" s="428"/>
      <c r="M159" s="841">
        <f>SUM(M157:M158)</f>
        <v>28.5</v>
      </c>
      <c r="N159" s="955" t="s">
        <v>117</v>
      </c>
    </row>
    <row r="160" spans="1:23" s="942" customFormat="1" ht="15.75" customHeight="1">
      <c r="A160" s="915"/>
      <c r="B160" s="916"/>
      <c r="C160" s="917"/>
      <c r="D160" s="917"/>
      <c r="E160" s="917"/>
      <c r="F160" s="917"/>
      <c r="G160" s="917"/>
      <c r="H160" s="917"/>
      <c r="I160" s="917"/>
      <c r="J160" s="917"/>
      <c r="K160" s="917"/>
      <c r="L160" s="917"/>
      <c r="M160" s="917"/>
      <c r="N160" s="975"/>
    </row>
    <row r="161" spans="1:14" s="942" customFormat="1" ht="15.75" customHeight="1">
      <c r="A161" s="442"/>
      <c r="B161" s="442"/>
      <c r="C161" s="919"/>
      <c r="D161" s="919"/>
      <c r="E161" s="919"/>
      <c r="F161" s="919"/>
      <c r="G161" s="919"/>
      <c r="H161" s="919"/>
      <c r="I161" s="919"/>
      <c r="J161" s="919"/>
      <c r="K161" s="919"/>
      <c r="L161" s="919"/>
      <c r="M161" s="919"/>
      <c r="N161" s="442"/>
    </row>
    <row r="162" spans="1:14" s="942" customFormat="1" ht="15.75" customHeight="1">
      <c r="A162" s="442"/>
      <c r="B162" s="442"/>
      <c r="C162" s="919"/>
      <c r="D162" s="919"/>
      <c r="E162" s="919"/>
      <c r="F162" s="919"/>
      <c r="G162" s="919"/>
      <c r="H162" s="919"/>
      <c r="I162" s="919"/>
      <c r="J162" s="919"/>
      <c r="K162" s="919"/>
      <c r="L162" s="919"/>
      <c r="M162" s="919"/>
      <c r="N162" s="442"/>
    </row>
    <row r="163" spans="1:14" s="942" customFormat="1" ht="15.75" customHeight="1">
      <c r="A163" s="442"/>
      <c r="B163" s="442"/>
      <c r="C163" s="919"/>
      <c r="D163" s="919"/>
      <c r="E163" s="919"/>
      <c r="F163" s="919"/>
      <c r="G163" s="919"/>
      <c r="H163" s="919"/>
      <c r="I163" s="919"/>
      <c r="J163" s="919"/>
      <c r="K163" s="919"/>
      <c r="L163" s="919"/>
      <c r="M163" s="919"/>
      <c r="N163" s="442"/>
    </row>
    <row r="164" spans="1:14" s="942" customFormat="1" ht="15.75" customHeight="1">
      <c r="A164" s="442"/>
      <c r="B164" s="442"/>
      <c r="C164" s="919"/>
      <c r="D164" s="919"/>
      <c r="E164" s="919"/>
      <c r="F164" s="919"/>
      <c r="G164" s="919"/>
      <c r="H164" s="919"/>
      <c r="I164" s="919"/>
      <c r="J164" s="919"/>
      <c r="K164" s="919"/>
      <c r="L164" s="919"/>
      <c r="M164" s="919"/>
      <c r="N164" s="442"/>
    </row>
    <row r="165" spans="1:14" s="942" customFormat="1" ht="15.75" customHeight="1">
      <c r="A165" s="442"/>
      <c r="B165" s="442"/>
      <c r="C165" s="919"/>
      <c r="D165" s="919"/>
      <c r="E165" s="919"/>
      <c r="F165" s="919"/>
      <c r="G165" s="919"/>
      <c r="H165" s="919"/>
      <c r="I165" s="919"/>
      <c r="J165" s="919"/>
      <c r="K165" s="919"/>
      <c r="L165" s="919"/>
      <c r="M165" s="919"/>
      <c r="N165" s="442"/>
    </row>
    <row r="166" spans="1:14" s="942" customFormat="1" ht="15.75" customHeight="1">
      <c r="A166" s="442"/>
      <c r="B166" s="442"/>
      <c r="C166" s="919"/>
      <c r="D166" s="919"/>
      <c r="E166" s="919"/>
      <c r="F166" s="919"/>
      <c r="G166" s="919"/>
      <c r="H166" s="919"/>
      <c r="I166" s="919"/>
      <c r="J166" s="919"/>
      <c r="K166" s="919"/>
      <c r="L166" s="919"/>
      <c r="M166" s="919"/>
      <c r="N166" s="442"/>
    </row>
    <row r="167" spans="1:14" s="942" customFormat="1" ht="15.75" customHeight="1">
      <c r="A167" s="442"/>
      <c r="B167" s="442"/>
      <c r="C167" s="919"/>
      <c r="D167" s="919"/>
      <c r="E167" s="919"/>
      <c r="F167" s="919"/>
      <c r="G167" s="919"/>
      <c r="H167" s="919"/>
      <c r="I167" s="919"/>
      <c r="J167" s="919"/>
      <c r="K167" s="919"/>
      <c r="L167" s="919"/>
      <c r="M167" s="919"/>
      <c r="N167" s="442"/>
    </row>
    <row r="168" spans="1:14" s="942" customFormat="1" ht="15.75" customHeight="1">
      <c r="A168" s="442"/>
      <c r="B168" s="442"/>
      <c r="C168" s="919"/>
      <c r="D168" s="919"/>
      <c r="E168" s="919"/>
      <c r="F168" s="919"/>
      <c r="G168" s="919"/>
      <c r="H168" s="919"/>
      <c r="I168" s="919"/>
      <c r="J168" s="919"/>
      <c r="K168" s="919"/>
      <c r="L168" s="919"/>
      <c r="M168" s="919"/>
      <c r="N168" s="442"/>
    </row>
    <row r="169" spans="1:14" s="942" customFormat="1" ht="15.75" customHeight="1">
      <c r="A169" s="442"/>
      <c r="B169" s="442"/>
      <c r="C169" s="919"/>
      <c r="D169" s="919"/>
      <c r="E169" s="919"/>
      <c r="F169" s="919"/>
      <c r="G169" s="919"/>
      <c r="H169" s="919"/>
      <c r="I169" s="919"/>
      <c r="J169" s="919"/>
      <c r="K169" s="919"/>
      <c r="L169" s="919"/>
      <c r="M169" s="919"/>
      <c r="N169" s="442"/>
    </row>
    <row r="170" spans="1:14" s="942" customFormat="1" ht="15.75" customHeight="1">
      <c r="A170" s="442"/>
      <c r="B170" s="442"/>
      <c r="C170" s="919"/>
      <c r="D170" s="919"/>
      <c r="E170" s="919"/>
      <c r="F170" s="919"/>
      <c r="G170" s="919"/>
      <c r="H170" s="919"/>
      <c r="I170" s="919"/>
      <c r="J170" s="919"/>
      <c r="K170" s="919"/>
      <c r="L170" s="919"/>
      <c r="M170" s="919"/>
      <c r="N170" s="442"/>
    </row>
    <row r="171" spans="1:14" s="942" customFormat="1" ht="15.75" customHeight="1">
      <c r="A171" s="442"/>
      <c r="B171" s="442"/>
      <c r="C171" s="919"/>
      <c r="D171" s="919"/>
      <c r="E171" s="919"/>
      <c r="F171" s="919"/>
      <c r="G171" s="919"/>
      <c r="H171" s="919"/>
      <c r="I171" s="919"/>
      <c r="J171" s="919"/>
      <c r="K171" s="919"/>
      <c r="L171" s="919"/>
      <c r="M171" s="919"/>
      <c r="N171" s="442"/>
    </row>
    <row r="172" spans="1:14" s="942" customFormat="1" ht="15.75" customHeight="1">
      <c r="A172" s="442"/>
      <c r="B172" s="442"/>
      <c r="C172" s="919"/>
      <c r="D172" s="919"/>
      <c r="E172" s="919"/>
      <c r="F172" s="919"/>
      <c r="G172" s="919"/>
      <c r="H172" s="919"/>
      <c r="I172" s="919"/>
      <c r="J172" s="919"/>
      <c r="K172" s="919"/>
      <c r="L172" s="919"/>
      <c r="M172" s="919"/>
      <c r="N172" s="442"/>
    </row>
    <row r="173" spans="1:14" s="942" customFormat="1" ht="15.75" customHeight="1">
      <c r="A173" s="442"/>
      <c r="B173" s="442"/>
      <c r="C173" s="919"/>
      <c r="D173" s="919"/>
      <c r="E173" s="919"/>
      <c r="F173" s="919"/>
      <c r="G173" s="919"/>
      <c r="H173" s="919"/>
      <c r="I173" s="919"/>
      <c r="J173" s="919"/>
      <c r="K173" s="919"/>
      <c r="L173" s="919"/>
      <c r="M173" s="919"/>
      <c r="N173" s="442"/>
    </row>
    <row r="174" spans="1:14" s="942" customFormat="1" ht="15.75" customHeight="1">
      <c r="A174" s="442"/>
      <c r="B174" s="442"/>
      <c r="C174" s="919"/>
      <c r="D174" s="919"/>
      <c r="E174" s="919"/>
      <c r="F174" s="919"/>
      <c r="G174" s="919"/>
      <c r="H174" s="919"/>
      <c r="I174" s="919"/>
      <c r="J174" s="919"/>
      <c r="K174" s="919"/>
      <c r="L174" s="919"/>
      <c r="M174" s="919"/>
      <c r="N174" s="442"/>
    </row>
    <row r="175" spans="1:14" s="942" customFormat="1" ht="15.75" customHeight="1">
      <c r="A175" s="442"/>
      <c r="B175" s="442"/>
      <c r="C175" s="919"/>
      <c r="D175" s="919"/>
      <c r="E175" s="919"/>
      <c r="F175" s="919"/>
      <c r="G175" s="919"/>
      <c r="H175" s="919"/>
      <c r="I175" s="919"/>
      <c r="J175" s="919"/>
      <c r="K175" s="919"/>
      <c r="L175" s="919"/>
      <c r="M175" s="919"/>
      <c r="N175" s="442"/>
    </row>
    <row r="176" spans="1:14" s="942" customFormat="1" ht="15.75" customHeight="1">
      <c r="A176" s="442"/>
      <c r="B176" s="442"/>
      <c r="C176" s="919"/>
      <c r="D176" s="919"/>
      <c r="E176" s="919"/>
      <c r="F176" s="919"/>
      <c r="G176" s="919"/>
      <c r="H176" s="919"/>
      <c r="I176" s="919"/>
      <c r="J176" s="919"/>
      <c r="K176" s="919"/>
      <c r="L176" s="919"/>
      <c r="M176" s="919"/>
      <c r="N176" s="442"/>
    </row>
    <row r="177" spans="1:14" s="942" customFormat="1" ht="15.75" customHeight="1">
      <c r="A177" s="442"/>
      <c r="B177" s="442"/>
      <c r="C177" s="919"/>
      <c r="D177" s="919"/>
      <c r="E177" s="919"/>
      <c r="F177" s="919"/>
      <c r="G177" s="919"/>
      <c r="H177" s="919"/>
      <c r="I177" s="919"/>
      <c r="J177" s="919"/>
      <c r="K177" s="919"/>
      <c r="L177" s="919"/>
      <c r="M177" s="919"/>
      <c r="N177" s="442"/>
    </row>
    <row r="178" spans="1:14" s="942" customFormat="1" ht="15.75" customHeight="1">
      <c r="A178" s="442"/>
      <c r="B178" s="442"/>
      <c r="C178" s="919"/>
      <c r="D178" s="919"/>
      <c r="E178" s="919"/>
      <c r="F178" s="919"/>
      <c r="G178" s="919"/>
      <c r="H178" s="919"/>
      <c r="I178" s="919"/>
      <c r="J178" s="919"/>
      <c r="K178" s="919"/>
      <c r="L178" s="919"/>
      <c r="M178" s="919"/>
      <c r="N178" s="442"/>
    </row>
    <row r="179" spans="1:14" s="942" customFormat="1" ht="15.75" customHeight="1">
      <c r="A179" s="442"/>
      <c r="B179" s="442"/>
      <c r="C179" s="919"/>
      <c r="D179" s="919"/>
      <c r="E179" s="919"/>
      <c r="F179" s="919"/>
      <c r="G179" s="919"/>
      <c r="H179" s="919"/>
      <c r="I179" s="919"/>
      <c r="J179" s="919"/>
      <c r="K179" s="919"/>
      <c r="L179" s="919"/>
      <c r="M179" s="919"/>
      <c r="N179" s="442"/>
    </row>
    <row r="180" spans="1:14" s="942" customFormat="1" ht="15.75" customHeight="1">
      <c r="A180" s="442"/>
      <c r="B180" s="442"/>
      <c r="C180" s="919"/>
      <c r="D180" s="919"/>
      <c r="E180" s="919"/>
      <c r="F180" s="919"/>
      <c r="G180" s="919"/>
      <c r="H180" s="919"/>
      <c r="I180" s="919"/>
      <c r="J180" s="919"/>
      <c r="K180" s="919"/>
      <c r="L180" s="919"/>
      <c r="M180" s="919"/>
      <c r="N180" s="442"/>
    </row>
    <row r="181" spans="1:14" s="942" customFormat="1" ht="15.75" customHeight="1">
      <c r="A181" s="442"/>
      <c r="B181" s="442"/>
      <c r="C181" s="919"/>
      <c r="D181" s="919"/>
      <c r="E181" s="919"/>
      <c r="F181" s="919"/>
      <c r="G181" s="919"/>
      <c r="H181" s="919"/>
      <c r="I181" s="919"/>
      <c r="J181" s="919"/>
      <c r="K181" s="919"/>
      <c r="L181" s="919"/>
      <c r="M181" s="919"/>
      <c r="N181" s="442"/>
    </row>
    <row r="182" spans="1:14" s="942" customFormat="1" ht="15.75" customHeight="1">
      <c r="A182" s="442"/>
      <c r="B182" s="442"/>
      <c r="C182" s="919"/>
      <c r="D182" s="919"/>
      <c r="E182" s="919"/>
      <c r="F182" s="919"/>
      <c r="G182" s="919"/>
      <c r="H182" s="919"/>
      <c r="I182" s="919"/>
      <c r="J182" s="919"/>
      <c r="K182" s="919"/>
      <c r="L182" s="919"/>
      <c r="M182" s="919"/>
      <c r="N182" s="442"/>
    </row>
    <row r="183" spans="1:14" s="942" customFormat="1" ht="15.75" customHeight="1">
      <c r="A183" s="442"/>
      <c r="B183" s="442"/>
      <c r="C183" s="919"/>
      <c r="D183" s="919"/>
      <c r="E183" s="919"/>
      <c r="F183" s="919"/>
      <c r="G183" s="919"/>
      <c r="H183" s="919"/>
      <c r="I183" s="919"/>
      <c r="J183" s="919"/>
      <c r="K183" s="919"/>
      <c r="L183" s="919"/>
      <c r="M183" s="919"/>
      <c r="N183" s="442"/>
    </row>
    <row r="184" spans="1:14" s="942" customFormat="1" ht="15.75" customHeight="1">
      <c r="A184" s="442"/>
      <c r="B184" s="442"/>
      <c r="C184" s="919"/>
      <c r="D184" s="919"/>
      <c r="E184" s="919"/>
      <c r="F184" s="919"/>
      <c r="G184" s="919"/>
      <c r="H184" s="919"/>
      <c r="I184" s="919"/>
      <c r="J184" s="919"/>
      <c r="K184" s="919"/>
      <c r="L184" s="919"/>
      <c r="M184" s="919"/>
      <c r="N184" s="442"/>
    </row>
    <row r="185" spans="1:14" s="942" customFormat="1" ht="15.75" customHeight="1">
      <c r="A185" s="442"/>
      <c r="B185" s="442"/>
      <c r="C185" s="919"/>
      <c r="D185" s="919"/>
      <c r="E185" s="919"/>
      <c r="F185" s="919"/>
      <c r="G185" s="919"/>
      <c r="H185" s="919"/>
      <c r="I185" s="919"/>
      <c r="J185" s="919"/>
      <c r="K185" s="919"/>
      <c r="L185" s="919"/>
      <c r="M185" s="919"/>
      <c r="N185" s="442"/>
    </row>
    <row r="186" spans="1:14" s="942" customFormat="1" ht="15.75" customHeight="1">
      <c r="A186" s="442"/>
      <c r="B186" s="442"/>
      <c r="C186" s="919"/>
      <c r="D186" s="919"/>
      <c r="E186" s="919"/>
      <c r="F186" s="919"/>
      <c r="G186" s="919"/>
      <c r="H186" s="919"/>
      <c r="I186" s="919"/>
      <c r="J186" s="919"/>
      <c r="K186" s="919"/>
      <c r="L186" s="919"/>
      <c r="M186" s="919"/>
      <c r="N186" s="442"/>
    </row>
    <row r="187" spans="1:14" s="942" customFormat="1" ht="15.75" customHeight="1">
      <c r="A187" s="442"/>
      <c r="B187" s="442"/>
      <c r="C187" s="919"/>
      <c r="D187" s="919"/>
      <c r="E187" s="919"/>
      <c r="F187" s="919"/>
      <c r="G187" s="919"/>
      <c r="H187" s="919"/>
      <c r="I187" s="919"/>
      <c r="J187" s="919"/>
      <c r="K187" s="919"/>
      <c r="L187" s="919"/>
      <c r="M187" s="919"/>
      <c r="N187" s="442"/>
    </row>
    <row r="188" spans="1:14" s="942" customFormat="1" ht="15.75" customHeight="1">
      <c r="A188" s="442"/>
      <c r="B188" s="442"/>
      <c r="C188" s="919"/>
      <c r="D188" s="919"/>
      <c r="E188" s="919"/>
      <c r="F188" s="919"/>
      <c r="G188" s="919"/>
      <c r="H188" s="919"/>
      <c r="I188" s="919"/>
      <c r="J188" s="919"/>
      <c r="K188" s="919"/>
      <c r="L188" s="919"/>
      <c r="M188" s="919"/>
      <c r="N188" s="442"/>
    </row>
    <row r="189" spans="1:14" s="942" customFormat="1" ht="15.75" customHeight="1">
      <c r="A189" s="442"/>
      <c r="B189" s="442"/>
      <c r="C189" s="919"/>
      <c r="D189" s="919"/>
      <c r="E189" s="919"/>
      <c r="F189" s="919"/>
      <c r="G189" s="919"/>
      <c r="H189" s="919"/>
      <c r="I189" s="919"/>
      <c r="J189" s="919"/>
      <c r="K189" s="919"/>
      <c r="L189" s="919"/>
      <c r="M189" s="919"/>
      <c r="N189" s="442"/>
    </row>
    <row r="190" spans="1:14" s="942" customFormat="1" ht="15.75" customHeight="1">
      <c r="A190" s="442"/>
      <c r="B190" s="442"/>
      <c r="C190" s="919"/>
      <c r="D190" s="919"/>
      <c r="E190" s="919"/>
      <c r="F190" s="919"/>
      <c r="G190" s="919"/>
      <c r="H190" s="919"/>
      <c r="I190" s="919"/>
      <c r="J190" s="919"/>
      <c r="K190" s="919"/>
      <c r="L190" s="919"/>
      <c r="M190" s="919"/>
      <c r="N190" s="442"/>
    </row>
    <row r="191" spans="1:14" s="942" customFormat="1" ht="15.75" customHeight="1">
      <c r="A191" s="442"/>
      <c r="B191" s="442"/>
      <c r="C191" s="919"/>
      <c r="D191" s="919"/>
      <c r="E191" s="919"/>
      <c r="F191" s="919"/>
      <c r="G191" s="919"/>
      <c r="H191" s="919"/>
      <c r="I191" s="919"/>
      <c r="J191" s="919"/>
      <c r="K191" s="919"/>
      <c r="L191" s="919"/>
      <c r="M191" s="919"/>
      <c r="N191" s="442"/>
    </row>
    <row r="192" spans="1:14" s="942" customFormat="1" ht="15.75" customHeight="1">
      <c r="A192" s="442"/>
      <c r="B192" s="442"/>
      <c r="C192" s="919"/>
      <c r="D192" s="919"/>
      <c r="E192" s="919"/>
      <c r="F192" s="919"/>
      <c r="G192" s="919"/>
      <c r="H192" s="919"/>
      <c r="I192" s="919"/>
      <c r="J192" s="919"/>
      <c r="K192" s="919"/>
      <c r="L192" s="919"/>
      <c r="M192" s="919"/>
      <c r="N192" s="442"/>
    </row>
    <row r="193" spans="1:14" s="942" customFormat="1" ht="15.75" customHeight="1">
      <c r="A193" s="442"/>
      <c r="B193" s="442"/>
      <c r="C193" s="919"/>
      <c r="D193" s="919"/>
      <c r="E193" s="919"/>
      <c r="F193" s="919"/>
      <c r="G193" s="919"/>
      <c r="H193" s="919"/>
      <c r="I193" s="919"/>
      <c r="J193" s="919"/>
      <c r="K193" s="919"/>
      <c r="L193" s="919"/>
      <c r="M193" s="919"/>
      <c r="N193" s="442"/>
    </row>
    <row r="194" spans="1:14" s="942" customFormat="1" ht="15.75" customHeight="1">
      <c r="A194" s="442"/>
      <c r="B194" s="442"/>
      <c r="C194" s="919"/>
      <c r="D194" s="919"/>
      <c r="E194" s="919"/>
      <c r="F194" s="919"/>
      <c r="G194" s="919"/>
      <c r="H194" s="919"/>
      <c r="I194" s="919"/>
      <c r="J194" s="919"/>
      <c r="K194" s="919"/>
      <c r="L194" s="919"/>
      <c r="M194" s="919"/>
      <c r="N194" s="442"/>
    </row>
    <row r="195" spans="1:14" s="942" customFormat="1" ht="15.75" customHeight="1">
      <c r="A195" s="442"/>
      <c r="B195" s="442"/>
      <c r="C195" s="919"/>
      <c r="D195" s="919"/>
      <c r="E195" s="919"/>
      <c r="F195" s="919"/>
      <c r="G195" s="919"/>
      <c r="H195" s="919"/>
      <c r="I195" s="919"/>
      <c r="J195" s="919"/>
      <c r="K195" s="919"/>
      <c r="L195" s="919"/>
      <c r="M195" s="919"/>
      <c r="N195" s="442"/>
    </row>
    <row r="196" spans="1:14" s="942" customFormat="1" ht="15.75" customHeight="1">
      <c r="A196" s="442"/>
      <c r="B196" s="442"/>
      <c r="C196" s="919"/>
      <c r="D196" s="919"/>
      <c r="E196" s="919"/>
      <c r="F196" s="919"/>
      <c r="G196" s="919"/>
      <c r="H196" s="919"/>
      <c r="I196" s="919"/>
      <c r="J196" s="919"/>
      <c r="K196" s="919"/>
      <c r="L196" s="919"/>
      <c r="M196" s="919"/>
      <c r="N196" s="442"/>
    </row>
    <row r="197" spans="1:14" s="942" customFormat="1" ht="15.75" customHeight="1">
      <c r="A197" s="442"/>
      <c r="B197" s="442"/>
      <c r="C197" s="919"/>
      <c r="D197" s="919"/>
      <c r="E197" s="919"/>
      <c r="F197" s="919"/>
      <c r="G197" s="919"/>
      <c r="H197" s="919"/>
      <c r="I197" s="919"/>
      <c r="J197" s="919"/>
      <c r="K197" s="919"/>
      <c r="L197" s="919"/>
      <c r="M197" s="919"/>
      <c r="N197" s="442"/>
    </row>
    <row r="198" spans="1:14" s="942" customFormat="1" ht="15.75" customHeight="1">
      <c r="A198" s="442"/>
      <c r="B198" s="442"/>
      <c r="C198" s="919"/>
      <c r="D198" s="919"/>
      <c r="E198" s="919"/>
      <c r="F198" s="919"/>
      <c r="G198" s="919"/>
      <c r="H198" s="919"/>
      <c r="I198" s="919"/>
      <c r="J198" s="919"/>
      <c r="K198" s="919"/>
      <c r="L198" s="919"/>
      <c r="M198" s="919"/>
      <c r="N198" s="442"/>
    </row>
    <row r="199" spans="1:14" s="942" customFormat="1" ht="15.75" customHeight="1">
      <c r="A199" s="442"/>
      <c r="B199" s="442"/>
      <c r="C199" s="919"/>
      <c r="D199" s="919"/>
      <c r="E199" s="919"/>
      <c r="F199" s="919"/>
      <c r="G199" s="919"/>
      <c r="H199" s="919"/>
      <c r="I199" s="919"/>
      <c r="J199" s="919"/>
      <c r="K199" s="919"/>
      <c r="L199" s="919"/>
      <c r="M199" s="919"/>
      <c r="N199" s="442"/>
    </row>
    <row r="200" spans="1:14" s="942" customFormat="1" ht="15.75" customHeight="1">
      <c r="A200" s="442"/>
      <c r="B200" s="442"/>
      <c r="C200" s="919"/>
      <c r="D200" s="919"/>
      <c r="E200" s="919"/>
      <c r="F200" s="919"/>
      <c r="G200" s="919"/>
      <c r="H200" s="919"/>
      <c r="I200" s="919"/>
      <c r="J200" s="919"/>
      <c r="K200" s="919"/>
      <c r="L200" s="919"/>
      <c r="M200" s="919"/>
      <c r="N200" s="442"/>
    </row>
    <row r="201" spans="1:14" s="942" customFormat="1" ht="15.75" customHeight="1">
      <c r="A201" s="442"/>
      <c r="B201" s="442"/>
      <c r="C201" s="919"/>
      <c r="D201" s="919"/>
      <c r="E201" s="919"/>
      <c r="F201" s="919"/>
      <c r="G201" s="919"/>
      <c r="H201" s="919"/>
      <c r="I201" s="919"/>
      <c r="J201" s="919"/>
      <c r="K201" s="919"/>
      <c r="L201" s="919"/>
      <c r="M201" s="919"/>
      <c r="N201" s="442"/>
    </row>
    <row r="202" spans="1:14" s="942" customFormat="1" ht="15.75" customHeight="1">
      <c r="A202" s="442"/>
      <c r="B202" s="442"/>
      <c r="C202" s="919"/>
      <c r="D202" s="919"/>
      <c r="E202" s="919"/>
      <c r="F202" s="919"/>
      <c r="G202" s="919"/>
      <c r="H202" s="919"/>
      <c r="I202" s="919"/>
      <c r="J202" s="919"/>
      <c r="K202" s="919"/>
      <c r="L202" s="919"/>
      <c r="M202" s="919"/>
      <c r="N202" s="442"/>
    </row>
    <row r="203" spans="1:14" s="942" customFormat="1" ht="15.75" customHeight="1">
      <c r="A203" s="442"/>
      <c r="B203" s="442"/>
      <c r="C203" s="919"/>
      <c r="D203" s="919"/>
      <c r="E203" s="919"/>
      <c r="F203" s="919"/>
      <c r="G203" s="919"/>
      <c r="H203" s="919"/>
      <c r="I203" s="919"/>
      <c r="J203" s="919"/>
      <c r="K203" s="919"/>
      <c r="L203" s="919"/>
      <c r="M203" s="919"/>
      <c r="N203" s="442"/>
    </row>
    <row r="204" spans="1:14" s="942" customFormat="1" ht="15.75" customHeight="1">
      <c r="A204" s="442"/>
      <c r="B204" s="442"/>
      <c r="C204" s="919"/>
      <c r="D204" s="919"/>
      <c r="E204" s="919"/>
      <c r="F204" s="919"/>
      <c r="G204" s="919"/>
      <c r="H204" s="919"/>
      <c r="I204" s="919"/>
      <c r="J204" s="919"/>
      <c r="K204" s="919"/>
      <c r="L204" s="919"/>
      <c r="M204" s="919"/>
      <c r="N204" s="442"/>
    </row>
    <row r="205" spans="1:14" s="942" customFormat="1" ht="15.75" customHeight="1">
      <c r="A205" s="442"/>
      <c r="B205" s="442"/>
      <c r="C205" s="919"/>
      <c r="D205" s="919"/>
      <c r="E205" s="919"/>
      <c r="F205" s="919"/>
      <c r="G205" s="919"/>
      <c r="H205" s="919"/>
      <c r="I205" s="919"/>
      <c r="J205" s="919"/>
      <c r="K205" s="919"/>
      <c r="L205" s="919"/>
      <c r="M205" s="919"/>
      <c r="N205" s="442"/>
    </row>
    <row r="206" spans="1:14" s="942" customFormat="1" ht="15.75" customHeight="1">
      <c r="A206" s="442"/>
      <c r="B206" s="442"/>
      <c r="C206" s="919"/>
      <c r="D206" s="919"/>
      <c r="E206" s="919"/>
      <c r="F206" s="919"/>
      <c r="G206" s="919"/>
      <c r="H206" s="919"/>
      <c r="I206" s="919"/>
      <c r="J206" s="919"/>
      <c r="K206" s="919"/>
      <c r="L206" s="919"/>
      <c r="M206" s="919"/>
      <c r="N206" s="442"/>
    </row>
    <row r="207" spans="1:14" s="942" customFormat="1" ht="15.75" customHeight="1">
      <c r="A207" s="442"/>
      <c r="B207" s="442"/>
      <c r="C207" s="919"/>
      <c r="D207" s="919"/>
      <c r="E207" s="919"/>
      <c r="F207" s="919"/>
      <c r="G207" s="919"/>
      <c r="H207" s="919"/>
      <c r="I207" s="919"/>
      <c r="J207" s="919"/>
      <c r="K207" s="919"/>
      <c r="L207" s="919"/>
      <c r="M207" s="919"/>
      <c r="N207" s="442"/>
    </row>
    <row r="208" spans="1:14" s="942" customFormat="1" ht="15.75" customHeight="1">
      <c r="A208" s="442"/>
      <c r="B208" s="442"/>
      <c r="C208" s="919"/>
      <c r="D208" s="919"/>
      <c r="E208" s="919"/>
      <c r="F208" s="919"/>
      <c r="G208" s="919"/>
      <c r="H208" s="919"/>
      <c r="I208" s="919"/>
      <c r="J208" s="919"/>
      <c r="K208" s="919"/>
      <c r="L208" s="919"/>
      <c r="M208" s="919"/>
      <c r="N208" s="442"/>
    </row>
    <row r="209" spans="1:14" s="942" customFormat="1" ht="15.75" customHeight="1">
      <c r="A209" s="442"/>
      <c r="B209" s="442"/>
      <c r="C209" s="919"/>
      <c r="D209" s="919"/>
      <c r="E209" s="919"/>
      <c r="F209" s="919"/>
      <c r="G209" s="919"/>
      <c r="H209" s="919"/>
      <c r="I209" s="919"/>
      <c r="J209" s="919"/>
      <c r="K209" s="919"/>
      <c r="L209" s="919"/>
      <c r="M209" s="919"/>
      <c r="N209" s="442"/>
    </row>
    <row r="210" spans="1:14" s="942" customFormat="1" ht="15.75" customHeight="1">
      <c r="A210" s="442"/>
      <c r="B210" s="442"/>
      <c r="C210" s="919"/>
      <c r="D210" s="919"/>
      <c r="E210" s="919"/>
      <c r="F210" s="919"/>
      <c r="G210" s="919"/>
      <c r="H210" s="919"/>
      <c r="I210" s="919"/>
      <c r="J210" s="919"/>
      <c r="K210" s="919"/>
      <c r="L210" s="919"/>
      <c r="M210" s="919"/>
      <c r="N210" s="442"/>
    </row>
    <row r="211" spans="1:14" s="942" customFormat="1" ht="15.75" customHeight="1">
      <c r="A211" s="442"/>
      <c r="B211" s="442"/>
      <c r="C211" s="919"/>
      <c r="D211" s="919"/>
      <c r="E211" s="919"/>
      <c r="F211" s="919"/>
      <c r="G211" s="919"/>
      <c r="H211" s="919"/>
      <c r="I211" s="919"/>
      <c r="J211" s="919"/>
      <c r="K211" s="919"/>
      <c r="L211" s="919"/>
      <c r="M211" s="919"/>
      <c r="N211" s="442"/>
    </row>
    <row r="212" spans="1:14" s="942" customFormat="1" ht="15.75" customHeight="1">
      <c r="A212" s="442"/>
      <c r="B212" s="442"/>
      <c r="C212" s="919"/>
      <c r="D212" s="919"/>
      <c r="E212" s="919"/>
      <c r="F212" s="919"/>
      <c r="G212" s="919"/>
      <c r="H212" s="919"/>
      <c r="I212" s="919"/>
      <c r="J212" s="919"/>
      <c r="K212" s="919"/>
      <c r="L212" s="919"/>
      <c r="M212" s="919"/>
      <c r="N212" s="442"/>
    </row>
    <row r="213" spans="1:14" s="942" customFormat="1" ht="15.75" customHeight="1">
      <c r="A213" s="442"/>
      <c r="B213" s="442"/>
      <c r="C213" s="919"/>
      <c r="D213" s="919"/>
      <c r="E213" s="919"/>
      <c r="F213" s="919"/>
      <c r="G213" s="919"/>
      <c r="H213" s="919"/>
      <c r="I213" s="919"/>
      <c r="J213" s="919"/>
      <c r="K213" s="919"/>
      <c r="L213" s="919"/>
      <c r="M213" s="919"/>
      <c r="N213" s="442"/>
    </row>
    <row r="214" spans="1:14" s="942" customFormat="1" ht="15.75" customHeight="1">
      <c r="A214" s="442"/>
      <c r="B214" s="442"/>
      <c r="C214" s="919"/>
      <c r="D214" s="919"/>
      <c r="E214" s="919"/>
      <c r="F214" s="919"/>
      <c r="G214" s="919"/>
      <c r="H214" s="919"/>
      <c r="I214" s="919"/>
      <c r="J214" s="919"/>
      <c r="K214" s="919"/>
      <c r="L214" s="919"/>
      <c r="M214" s="919"/>
      <c r="N214" s="442"/>
    </row>
    <row r="215" spans="1:14" s="942" customFormat="1" ht="15.75" customHeight="1">
      <c r="A215" s="442"/>
      <c r="B215" s="442"/>
      <c r="C215" s="919"/>
      <c r="D215" s="919"/>
      <c r="E215" s="919"/>
      <c r="F215" s="919"/>
      <c r="G215" s="919"/>
      <c r="H215" s="919"/>
      <c r="I215" s="919"/>
      <c r="J215" s="919"/>
      <c r="K215" s="919"/>
      <c r="L215" s="919"/>
      <c r="M215" s="919"/>
      <c r="N215" s="442"/>
    </row>
    <row r="216" spans="1:14" s="942" customFormat="1" ht="15.75" customHeight="1">
      <c r="A216" s="442"/>
      <c r="B216" s="442"/>
      <c r="C216" s="919"/>
      <c r="D216" s="919"/>
      <c r="E216" s="919"/>
      <c r="F216" s="919"/>
      <c r="G216" s="919"/>
      <c r="H216" s="919"/>
      <c r="I216" s="919"/>
      <c r="J216" s="919"/>
      <c r="K216" s="919"/>
      <c r="L216" s="919"/>
      <c r="M216" s="919"/>
      <c r="N216" s="442"/>
    </row>
    <row r="217" spans="1:14" s="942" customFormat="1" ht="15.75" customHeight="1">
      <c r="A217" s="442"/>
      <c r="B217" s="442"/>
      <c r="C217" s="919"/>
      <c r="D217" s="919"/>
      <c r="E217" s="919"/>
      <c r="F217" s="919"/>
      <c r="G217" s="919"/>
      <c r="H217" s="919"/>
      <c r="I217" s="919"/>
      <c r="J217" s="919"/>
      <c r="K217" s="919"/>
      <c r="L217" s="919"/>
      <c r="M217" s="919"/>
      <c r="N217" s="442"/>
    </row>
    <row r="218" spans="1:14" s="942" customFormat="1" ht="15.75" customHeight="1">
      <c r="A218" s="442"/>
      <c r="B218" s="442"/>
      <c r="C218" s="919"/>
      <c r="D218" s="919"/>
      <c r="E218" s="919"/>
      <c r="F218" s="919"/>
      <c r="G218" s="919"/>
      <c r="H218" s="919"/>
      <c r="I218" s="919"/>
      <c r="J218" s="919"/>
      <c r="K218" s="919"/>
      <c r="L218" s="919"/>
      <c r="M218" s="919"/>
      <c r="N218" s="442"/>
    </row>
    <row r="219" spans="1:14" s="942" customFormat="1" ht="15.75" customHeight="1">
      <c r="A219" s="442"/>
      <c r="B219" s="442"/>
      <c r="C219" s="919"/>
      <c r="D219" s="919"/>
      <c r="E219" s="919"/>
      <c r="F219" s="919"/>
      <c r="G219" s="919"/>
      <c r="H219" s="919"/>
      <c r="I219" s="919"/>
      <c r="J219" s="919"/>
      <c r="K219" s="919"/>
      <c r="L219" s="919"/>
      <c r="M219" s="919"/>
      <c r="N219" s="442"/>
    </row>
    <row r="220" spans="1:14" s="942" customFormat="1" ht="15.75" customHeight="1">
      <c r="A220" s="442"/>
      <c r="B220" s="442"/>
      <c r="C220" s="919"/>
      <c r="D220" s="919"/>
      <c r="E220" s="919"/>
      <c r="F220" s="919"/>
      <c r="G220" s="919"/>
      <c r="H220" s="919"/>
      <c r="I220" s="919"/>
      <c r="J220" s="919"/>
      <c r="K220" s="919"/>
      <c r="L220" s="919"/>
      <c r="M220" s="919"/>
      <c r="N220" s="442"/>
    </row>
    <row r="221" spans="1:14" s="942" customFormat="1" ht="15.75" customHeight="1">
      <c r="A221" s="442"/>
      <c r="B221" s="442"/>
      <c r="C221" s="919"/>
      <c r="D221" s="919"/>
      <c r="E221" s="919"/>
      <c r="F221" s="919"/>
      <c r="G221" s="919"/>
      <c r="H221" s="919"/>
      <c r="I221" s="919"/>
      <c r="J221" s="919"/>
      <c r="K221" s="919"/>
      <c r="L221" s="919"/>
      <c r="M221" s="919"/>
      <c r="N221" s="442"/>
    </row>
    <row r="222" spans="1:14" s="942" customFormat="1" ht="15.75" customHeight="1">
      <c r="A222" s="442"/>
      <c r="B222" s="442"/>
      <c r="C222" s="919"/>
      <c r="D222" s="919"/>
      <c r="E222" s="919"/>
      <c r="F222" s="919"/>
      <c r="G222" s="919"/>
      <c r="H222" s="919"/>
      <c r="I222" s="919"/>
      <c r="J222" s="919"/>
      <c r="K222" s="919"/>
      <c r="L222" s="919"/>
      <c r="M222" s="919"/>
      <c r="N222" s="442"/>
    </row>
    <row r="223" spans="1:14" s="942" customFormat="1" ht="15.75" customHeight="1">
      <c r="A223" s="442"/>
      <c r="B223" s="442"/>
      <c r="C223" s="919"/>
      <c r="D223" s="919"/>
      <c r="E223" s="919"/>
      <c r="F223" s="919"/>
      <c r="G223" s="919"/>
      <c r="H223" s="919"/>
      <c r="I223" s="919"/>
      <c r="J223" s="919"/>
      <c r="K223" s="919"/>
      <c r="L223" s="919"/>
      <c r="M223" s="919"/>
      <c r="N223" s="442"/>
    </row>
    <row r="224" spans="1:14" s="942" customFormat="1" ht="15.75" customHeight="1">
      <c r="A224" s="442"/>
      <c r="B224" s="442"/>
      <c r="C224" s="919"/>
      <c r="D224" s="919"/>
      <c r="E224" s="919"/>
      <c r="F224" s="919"/>
      <c r="G224" s="919"/>
      <c r="H224" s="919"/>
      <c r="I224" s="919"/>
      <c r="J224" s="919"/>
      <c r="K224" s="919"/>
      <c r="L224" s="919"/>
      <c r="M224" s="919"/>
      <c r="N224" s="442"/>
    </row>
    <row r="225" spans="1:14" s="942" customFormat="1" ht="15.75" customHeight="1">
      <c r="A225" s="442"/>
      <c r="B225" s="442"/>
      <c r="C225" s="919"/>
      <c r="D225" s="919"/>
      <c r="E225" s="919"/>
      <c r="F225" s="919"/>
      <c r="G225" s="919"/>
      <c r="H225" s="919"/>
      <c r="I225" s="919"/>
      <c r="J225" s="919"/>
      <c r="K225" s="919"/>
      <c r="L225" s="919"/>
      <c r="M225" s="919"/>
      <c r="N225" s="442"/>
    </row>
    <row r="226" spans="1:14" s="942" customFormat="1" ht="15.75" customHeight="1">
      <c r="A226" s="442"/>
      <c r="B226" s="442"/>
      <c r="C226" s="919"/>
      <c r="D226" s="919"/>
      <c r="E226" s="919"/>
      <c r="F226" s="919"/>
      <c r="G226" s="919"/>
      <c r="H226" s="919"/>
      <c r="I226" s="919"/>
      <c r="J226" s="919"/>
      <c r="K226" s="919"/>
      <c r="L226" s="919"/>
      <c r="M226" s="919"/>
      <c r="N226" s="442"/>
    </row>
    <row r="227" spans="1:14" s="942" customFormat="1" ht="15.75" customHeight="1">
      <c r="A227" s="442"/>
      <c r="B227" s="442"/>
      <c r="C227" s="919"/>
      <c r="D227" s="919"/>
      <c r="E227" s="919"/>
      <c r="F227" s="919"/>
      <c r="G227" s="919"/>
      <c r="H227" s="919"/>
      <c r="I227" s="919"/>
      <c r="J227" s="919"/>
      <c r="K227" s="919"/>
      <c r="L227" s="919"/>
      <c r="M227" s="919"/>
      <c r="N227" s="442"/>
    </row>
    <row r="228" spans="1:14" s="942" customFormat="1" ht="15.75" customHeight="1">
      <c r="A228" s="442"/>
      <c r="B228" s="442"/>
      <c r="C228" s="919"/>
      <c r="D228" s="919"/>
      <c r="E228" s="919"/>
      <c r="F228" s="919"/>
      <c r="G228" s="919"/>
      <c r="H228" s="919"/>
      <c r="I228" s="919"/>
      <c r="J228" s="919"/>
      <c r="K228" s="919"/>
      <c r="L228" s="919"/>
      <c r="M228" s="919"/>
      <c r="N228" s="442"/>
    </row>
    <row r="229" spans="1:14" s="942" customFormat="1" ht="15.75" customHeight="1">
      <c r="A229" s="442"/>
      <c r="B229" s="442"/>
      <c r="C229" s="919"/>
      <c r="D229" s="919"/>
      <c r="E229" s="919"/>
      <c r="F229" s="919"/>
      <c r="G229" s="919"/>
      <c r="H229" s="919"/>
      <c r="I229" s="919"/>
      <c r="J229" s="919"/>
      <c r="K229" s="919"/>
      <c r="L229" s="919"/>
      <c r="M229" s="919"/>
      <c r="N229" s="442"/>
    </row>
    <row r="230" spans="1:14" s="942" customFormat="1" ht="15.75" customHeight="1">
      <c r="A230" s="442"/>
      <c r="B230" s="442"/>
      <c r="C230" s="919"/>
      <c r="D230" s="919"/>
      <c r="E230" s="919"/>
      <c r="F230" s="919"/>
      <c r="G230" s="919"/>
      <c r="H230" s="919"/>
      <c r="I230" s="919"/>
      <c r="J230" s="919"/>
      <c r="K230" s="919"/>
      <c r="L230" s="919"/>
      <c r="M230" s="919"/>
      <c r="N230" s="442"/>
    </row>
    <row r="231" spans="1:14" s="942" customFormat="1" ht="15.75" customHeight="1">
      <c r="A231" s="442"/>
      <c r="B231" s="442"/>
      <c r="C231" s="919"/>
      <c r="D231" s="919"/>
      <c r="E231" s="919"/>
      <c r="F231" s="919"/>
      <c r="G231" s="919"/>
      <c r="H231" s="919"/>
      <c r="I231" s="919"/>
      <c r="J231" s="919"/>
      <c r="K231" s="919"/>
      <c r="L231" s="919"/>
      <c r="M231" s="919"/>
      <c r="N231" s="442"/>
    </row>
    <row r="232" spans="1:14" s="942" customFormat="1" ht="15.75" customHeight="1">
      <c r="A232" s="442"/>
      <c r="B232" s="442"/>
      <c r="C232" s="919"/>
      <c r="D232" s="919"/>
      <c r="E232" s="919"/>
      <c r="F232" s="919"/>
      <c r="G232" s="919"/>
      <c r="H232" s="919"/>
      <c r="I232" s="919"/>
      <c r="J232" s="919"/>
      <c r="K232" s="919"/>
      <c r="L232" s="919"/>
      <c r="M232" s="919"/>
      <c r="N232" s="442"/>
    </row>
    <row r="233" spans="1:14" s="942" customFormat="1" ht="15.75" customHeight="1">
      <c r="A233" s="442"/>
      <c r="B233" s="442"/>
      <c r="C233" s="919"/>
      <c r="D233" s="919"/>
      <c r="E233" s="919"/>
      <c r="F233" s="919"/>
      <c r="G233" s="919"/>
      <c r="H233" s="919"/>
      <c r="I233" s="919"/>
      <c r="J233" s="919"/>
      <c r="K233" s="919"/>
      <c r="L233" s="919"/>
      <c r="M233" s="919"/>
      <c r="N233" s="442"/>
    </row>
    <row r="234" spans="1:14" s="942" customFormat="1" ht="15.75" customHeight="1">
      <c r="A234" s="442"/>
      <c r="B234" s="442"/>
      <c r="C234" s="919"/>
      <c r="D234" s="919"/>
      <c r="E234" s="919"/>
      <c r="F234" s="919"/>
      <c r="G234" s="919"/>
      <c r="H234" s="919"/>
      <c r="I234" s="919"/>
      <c r="J234" s="919"/>
      <c r="K234" s="919"/>
      <c r="L234" s="919"/>
      <c r="M234" s="919"/>
      <c r="N234" s="442"/>
    </row>
    <row r="235" spans="1:14" s="942" customFormat="1" ht="15.75" customHeight="1">
      <c r="A235" s="442"/>
      <c r="B235" s="442"/>
      <c r="C235" s="919"/>
      <c r="D235" s="919"/>
      <c r="E235" s="919"/>
      <c r="F235" s="919"/>
      <c r="G235" s="919"/>
      <c r="H235" s="919"/>
      <c r="I235" s="919"/>
      <c r="J235" s="919"/>
      <c r="K235" s="919"/>
      <c r="L235" s="919"/>
      <c r="M235" s="919"/>
      <c r="N235" s="442"/>
    </row>
    <row r="236" spans="1:14" s="942" customFormat="1" ht="15.75" customHeight="1">
      <c r="A236" s="442"/>
      <c r="B236" s="442"/>
      <c r="C236" s="919"/>
      <c r="D236" s="919"/>
      <c r="E236" s="919"/>
      <c r="F236" s="919"/>
      <c r="G236" s="919"/>
      <c r="H236" s="919"/>
      <c r="I236" s="919"/>
      <c r="J236" s="919"/>
      <c r="K236" s="919"/>
      <c r="L236" s="919"/>
      <c r="M236" s="919"/>
      <c r="N236" s="442"/>
    </row>
    <row r="237" spans="1:14" s="942" customFormat="1" ht="15.75" customHeight="1">
      <c r="A237" s="442"/>
      <c r="B237" s="442"/>
      <c r="C237" s="919"/>
      <c r="D237" s="919"/>
      <c r="E237" s="919"/>
      <c r="F237" s="919"/>
      <c r="G237" s="919"/>
      <c r="H237" s="919"/>
      <c r="I237" s="919"/>
      <c r="J237" s="919"/>
      <c r="K237" s="919"/>
      <c r="L237" s="919"/>
      <c r="M237" s="919"/>
      <c r="N237" s="442"/>
    </row>
    <row r="238" spans="1:14" s="942" customFormat="1" ht="15.75" customHeight="1">
      <c r="A238" s="442"/>
      <c r="B238" s="442"/>
      <c r="C238" s="919"/>
      <c r="D238" s="919"/>
      <c r="E238" s="919"/>
      <c r="F238" s="919"/>
      <c r="G238" s="919"/>
      <c r="H238" s="919"/>
      <c r="I238" s="919"/>
      <c r="J238" s="919"/>
      <c r="K238" s="919"/>
      <c r="L238" s="919"/>
      <c r="M238" s="919"/>
      <c r="N238" s="442"/>
    </row>
    <row r="239" spans="1:14" s="942" customFormat="1" ht="15.75" customHeight="1">
      <c r="A239" s="442"/>
      <c r="B239" s="442"/>
      <c r="C239" s="919"/>
      <c r="D239" s="919"/>
      <c r="E239" s="919"/>
      <c r="F239" s="919"/>
      <c r="G239" s="919"/>
      <c r="H239" s="919"/>
      <c r="I239" s="919"/>
      <c r="J239" s="919"/>
      <c r="K239" s="919"/>
      <c r="L239" s="919"/>
      <c r="M239" s="919"/>
      <c r="N239" s="442"/>
    </row>
    <row r="240" spans="1:14" s="942" customFormat="1" ht="15.75" customHeight="1">
      <c r="A240" s="442"/>
      <c r="B240" s="442"/>
      <c r="C240" s="919"/>
      <c r="D240" s="919"/>
      <c r="E240" s="919"/>
      <c r="F240" s="919"/>
      <c r="G240" s="919"/>
      <c r="H240" s="919"/>
      <c r="I240" s="919"/>
      <c r="J240" s="919"/>
      <c r="K240" s="919"/>
      <c r="L240" s="919"/>
      <c r="M240" s="919"/>
      <c r="N240" s="442"/>
    </row>
    <row r="241" spans="1:14" s="942" customFormat="1" ht="15.75" customHeight="1">
      <c r="A241" s="442"/>
      <c r="B241" s="442"/>
      <c r="C241" s="919"/>
      <c r="D241" s="919"/>
      <c r="E241" s="919"/>
      <c r="F241" s="919"/>
      <c r="G241" s="919"/>
      <c r="H241" s="919"/>
      <c r="I241" s="919"/>
      <c r="J241" s="919"/>
      <c r="K241" s="919"/>
      <c r="L241" s="919"/>
      <c r="M241" s="919"/>
      <c r="N241" s="442"/>
    </row>
    <row r="242" spans="1:14" s="942" customFormat="1" ht="15.75" customHeight="1">
      <c r="A242" s="442"/>
      <c r="B242" s="442"/>
      <c r="C242" s="919"/>
      <c r="D242" s="919"/>
      <c r="E242" s="919"/>
      <c r="F242" s="919"/>
      <c r="G242" s="919"/>
      <c r="H242" s="919"/>
      <c r="I242" s="919"/>
      <c r="J242" s="919"/>
      <c r="K242" s="919"/>
      <c r="L242" s="919"/>
      <c r="M242" s="919"/>
      <c r="N242" s="442"/>
    </row>
    <row r="243" spans="1:14" s="942" customFormat="1" ht="15.75" customHeight="1">
      <c r="A243" s="442"/>
      <c r="B243" s="442"/>
      <c r="C243" s="919"/>
      <c r="D243" s="919"/>
      <c r="E243" s="919"/>
      <c r="F243" s="919"/>
      <c r="G243" s="919"/>
      <c r="H243" s="919"/>
      <c r="I243" s="919"/>
      <c r="J243" s="919"/>
      <c r="K243" s="919"/>
      <c r="L243" s="919"/>
      <c r="M243" s="919"/>
      <c r="N243" s="442"/>
    </row>
    <row r="244" spans="1:14" s="942" customFormat="1" ht="15.75" customHeight="1">
      <c r="A244" s="442"/>
      <c r="B244" s="442"/>
      <c r="C244" s="919"/>
      <c r="D244" s="919"/>
      <c r="E244" s="919"/>
      <c r="F244" s="919"/>
      <c r="G244" s="919"/>
      <c r="H244" s="919"/>
      <c r="I244" s="919"/>
      <c r="J244" s="919"/>
      <c r="K244" s="919"/>
      <c r="L244" s="919"/>
      <c r="M244" s="919"/>
      <c r="N244" s="442"/>
    </row>
    <row r="245" spans="1:14" s="942" customFormat="1" ht="15.75" customHeight="1">
      <c r="A245" s="442"/>
      <c r="B245" s="442"/>
      <c r="C245" s="919"/>
      <c r="D245" s="919"/>
      <c r="E245" s="919"/>
      <c r="F245" s="919"/>
      <c r="G245" s="919"/>
      <c r="H245" s="919"/>
      <c r="I245" s="919"/>
      <c r="J245" s="919"/>
      <c r="K245" s="919"/>
      <c r="L245" s="919"/>
      <c r="M245" s="919"/>
      <c r="N245" s="442"/>
    </row>
    <row r="246" spans="1:14" s="942" customFormat="1" ht="15.75" customHeight="1">
      <c r="A246" s="442"/>
      <c r="B246" s="442"/>
      <c r="C246" s="919"/>
      <c r="D246" s="919"/>
      <c r="E246" s="919"/>
      <c r="F246" s="919"/>
      <c r="G246" s="919"/>
      <c r="H246" s="919"/>
      <c r="I246" s="919"/>
      <c r="J246" s="919"/>
      <c r="K246" s="919"/>
      <c r="L246" s="919"/>
      <c r="M246" s="919"/>
      <c r="N246" s="442"/>
    </row>
    <row r="247" spans="1:14" s="942" customFormat="1" ht="15.75" customHeight="1">
      <c r="A247" s="442"/>
      <c r="B247" s="442"/>
      <c r="C247" s="919"/>
      <c r="D247" s="919"/>
      <c r="E247" s="919"/>
      <c r="F247" s="919"/>
      <c r="G247" s="919"/>
      <c r="H247" s="919"/>
      <c r="I247" s="919"/>
      <c r="J247" s="919"/>
      <c r="K247" s="919"/>
      <c r="L247" s="919"/>
      <c r="M247" s="919"/>
      <c r="N247" s="442"/>
    </row>
    <row r="248" spans="1:14" s="942" customFormat="1" ht="15.75" customHeight="1">
      <c r="A248" s="442"/>
      <c r="B248" s="442"/>
      <c r="C248" s="919"/>
      <c r="D248" s="919"/>
      <c r="E248" s="919"/>
      <c r="F248" s="919"/>
      <c r="G248" s="919"/>
      <c r="H248" s="919"/>
      <c r="I248" s="919"/>
      <c r="J248" s="919"/>
      <c r="K248" s="919"/>
      <c r="L248" s="919"/>
      <c r="M248" s="919"/>
      <c r="N248" s="442"/>
    </row>
    <row r="249" spans="1:14" s="942" customFormat="1" ht="15.75" customHeight="1">
      <c r="A249" s="442"/>
      <c r="B249" s="442"/>
      <c r="C249" s="919"/>
      <c r="D249" s="919"/>
      <c r="E249" s="919"/>
      <c r="F249" s="919"/>
      <c r="G249" s="919"/>
      <c r="H249" s="919"/>
      <c r="I249" s="919"/>
      <c r="J249" s="919"/>
      <c r="K249" s="919"/>
      <c r="L249" s="919"/>
      <c r="M249" s="919"/>
      <c r="N249" s="442"/>
    </row>
    <row r="250" spans="1:14" s="942" customFormat="1" ht="15.75" customHeight="1">
      <c r="A250" s="442"/>
      <c r="B250" s="442"/>
      <c r="C250" s="919"/>
      <c r="D250" s="919"/>
      <c r="E250" s="919"/>
      <c r="F250" s="919"/>
      <c r="G250" s="919"/>
      <c r="H250" s="919"/>
      <c r="I250" s="919"/>
      <c r="J250" s="919"/>
      <c r="K250" s="919"/>
      <c r="L250" s="919"/>
      <c r="M250" s="919"/>
      <c r="N250" s="442"/>
    </row>
    <row r="251" spans="1:14" s="942" customFormat="1" ht="15.75" customHeight="1">
      <c r="A251" s="442"/>
      <c r="B251" s="442"/>
      <c r="C251" s="919"/>
      <c r="D251" s="919"/>
      <c r="E251" s="919"/>
      <c r="F251" s="919"/>
      <c r="G251" s="919"/>
      <c r="H251" s="919"/>
      <c r="I251" s="919"/>
      <c r="J251" s="919"/>
      <c r="K251" s="919"/>
      <c r="L251" s="919"/>
      <c r="M251" s="919"/>
      <c r="N251" s="442"/>
    </row>
    <row r="252" spans="1:14" s="942" customFormat="1" ht="15.75" customHeight="1">
      <c r="A252" s="442"/>
      <c r="B252" s="442"/>
      <c r="C252" s="919"/>
      <c r="D252" s="919"/>
      <c r="E252" s="919"/>
      <c r="F252" s="919"/>
      <c r="G252" s="919"/>
      <c r="H252" s="919"/>
      <c r="I252" s="919"/>
      <c r="J252" s="919"/>
      <c r="K252" s="919"/>
      <c r="L252" s="919"/>
      <c r="M252" s="919"/>
      <c r="N252" s="442"/>
    </row>
    <row r="253" spans="1:14" s="942" customFormat="1" ht="15.75" customHeight="1">
      <c r="A253" s="442"/>
      <c r="B253" s="442"/>
      <c r="C253" s="919"/>
      <c r="D253" s="919"/>
      <c r="E253" s="919"/>
      <c r="F253" s="919"/>
      <c r="G253" s="919"/>
      <c r="H253" s="919"/>
      <c r="I253" s="919"/>
      <c r="J253" s="919"/>
      <c r="K253" s="919"/>
      <c r="L253" s="919"/>
      <c r="M253" s="919"/>
      <c r="N253" s="442"/>
    </row>
    <row r="254" spans="1:14" s="942" customFormat="1" ht="15.75" customHeight="1">
      <c r="A254" s="442"/>
      <c r="B254" s="442"/>
      <c r="C254" s="919"/>
      <c r="D254" s="919"/>
      <c r="E254" s="919"/>
      <c r="F254" s="919"/>
      <c r="G254" s="919"/>
      <c r="H254" s="919"/>
      <c r="I254" s="919"/>
      <c r="J254" s="919"/>
      <c r="K254" s="919"/>
      <c r="L254" s="919"/>
      <c r="M254" s="919"/>
      <c r="N254" s="442"/>
    </row>
    <row r="255" spans="1:14" s="942" customFormat="1" ht="15.75" customHeight="1">
      <c r="A255" s="442"/>
      <c r="B255" s="442"/>
      <c r="C255" s="919"/>
      <c r="D255" s="919"/>
      <c r="E255" s="919"/>
      <c r="F255" s="919"/>
      <c r="G255" s="919"/>
      <c r="H255" s="919"/>
      <c r="I255" s="919"/>
      <c r="J255" s="919"/>
      <c r="K255" s="919"/>
      <c r="L255" s="919"/>
      <c r="M255" s="919"/>
      <c r="N255" s="442"/>
    </row>
    <row r="256" spans="1:14" s="942" customFormat="1" ht="15.75" customHeight="1">
      <c r="A256" s="442"/>
      <c r="B256" s="442"/>
      <c r="C256" s="919"/>
      <c r="D256" s="919"/>
      <c r="E256" s="919"/>
      <c r="F256" s="919"/>
      <c r="G256" s="919"/>
      <c r="H256" s="919"/>
      <c r="I256" s="919"/>
      <c r="J256" s="919"/>
      <c r="K256" s="919"/>
      <c r="L256" s="919"/>
      <c r="M256" s="919"/>
      <c r="N256" s="442"/>
    </row>
    <row r="257" spans="1:14" s="942" customFormat="1" ht="15.75" customHeight="1">
      <c r="A257" s="442"/>
      <c r="B257" s="442"/>
      <c r="C257" s="919"/>
      <c r="D257" s="919"/>
      <c r="E257" s="919"/>
      <c r="F257" s="919"/>
      <c r="G257" s="919"/>
      <c r="H257" s="919"/>
      <c r="I257" s="919"/>
      <c r="J257" s="919"/>
      <c r="K257" s="919"/>
      <c r="L257" s="919"/>
      <c r="M257" s="919"/>
      <c r="N257" s="442"/>
    </row>
    <row r="258" spans="1:14" s="942" customFormat="1" ht="15.75" customHeight="1">
      <c r="A258" s="442"/>
      <c r="B258" s="442"/>
      <c r="C258" s="919"/>
      <c r="D258" s="919"/>
      <c r="E258" s="919"/>
      <c r="F258" s="919"/>
      <c r="G258" s="919"/>
      <c r="H258" s="919"/>
      <c r="I258" s="919"/>
      <c r="J258" s="919"/>
      <c r="K258" s="919"/>
      <c r="L258" s="919"/>
      <c r="M258" s="919"/>
      <c r="N258" s="442"/>
    </row>
    <row r="259" spans="1:14" s="942" customFormat="1" ht="15.75" customHeight="1">
      <c r="A259" s="442"/>
      <c r="B259" s="442"/>
      <c r="C259" s="919"/>
      <c r="D259" s="919"/>
      <c r="E259" s="919"/>
      <c r="F259" s="919"/>
      <c r="G259" s="919"/>
      <c r="H259" s="919"/>
      <c r="I259" s="919"/>
      <c r="J259" s="919"/>
      <c r="K259" s="919"/>
      <c r="L259" s="919"/>
      <c r="M259" s="919"/>
      <c r="N259" s="442"/>
    </row>
    <row r="260" spans="1:14" s="942" customFormat="1" ht="15.75" customHeight="1">
      <c r="A260" s="442"/>
      <c r="B260" s="442"/>
      <c r="C260" s="919"/>
      <c r="D260" s="919"/>
      <c r="E260" s="919"/>
      <c r="F260" s="919"/>
      <c r="G260" s="919"/>
      <c r="H260" s="919"/>
      <c r="I260" s="919"/>
      <c r="J260" s="919"/>
      <c r="K260" s="919"/>
      <c r="L260" s="919"/>
      <c r="M260" s="919"/>
      <c r="N260" s="442"/>
    </row>
    <row r="261" spans="1:14" s="942" customFormat="1" ht="15.75" customHeight="1">
      <c r="A261" s="442"/>
      <c r="B261" s="442"/>
      <c r="C261" s="919"/>
      <c r="D261" s="919"/>
      <c r="E261" s="919"/>
      <c r="F261" s="919"/>
      <c r="G261" s="919"/>
      <c r="H261" s="919"/>
      <c r="I261" s="919"/>
      <c r="J261" s="919"/>
      <c r="K261" s="919"/>
      <c r="L261" s="919"/>
      <c r="M261" s="919"/>
      <c r="N261" s="442"/>
    </row>
    <row r="262" spans="1:14" s="942" customFormat="1" ht="15.75" customHeight="1">
      <c r="A262" s="442"/>
      <c r="B262" s="442"/>
      <c r="C262" s="919"/>
      <c r="D262" s="919"/>
      <c r="E262" s="919"/>
      <c r="F262" s="919"/>
      <c r="G262" s="919"/>
      <c r="H262" s="919"/>
      <c r="I262" s="919"/>
      <c r="J262" s="919"/>
      <c r="K262" s="919"/>
      <c r="L262" s="919"/>
      <c r="M262" s="919"/>
      <c r="N262" s="442"/>
    </row>
    <row r="263" spans="1:14" s="942" customFormat="1" ht="15.75" customHeight="1">
      <c r="A263" s="442"/>
      <c r="B263" s="442"/>
      <c r="C263" s="919"/>
      <c r="D263" s="919"/>
      <c r="E263" s="919"/>
      <c r="F263" s="919"/>
      <c r="G263" s="919"/>
      <c r="H263" s="919"/>
      <c r="I263" s="919"/>
      <c r="J263" s="919"/>
      <c r="K263" s="919"/>
      <c r="L263" s="919"/>
      <c r="M263" s="919"/>
      <c r="N263" s="442"/>
    </row>
    <row r="264" spans="1:14" s="942" customFormat="1" ht="15.75" customHeight="1">
      <c r="A264" s="442"/>
      <c r="B264" s="442"/>
      <c r="C264" s="919"/>
      <c r="D264" s="919"/>
      <c r="E264" s="919"/>
      <c r="F264" s="919"/>
      <c r="G264" s="919"/>
      <c r="H264" s="919"/>
      <c r="I264" s="919"/>
      <c r="J264" s="919"/>
      <c r="K264" s="919"/>
      <c r="L264" s="919"/>
      <c r="M264" s="919"/>
      <c r="N264" s="442"/>
    </row>
    <row r="265" spans="1:14" s="942" customFormat="1" ht="15.75" customHeight="1">
      <c r="A265" s="442"/>
      <c r="B265" s="442"/>
      <c r="C265" s="919"/>
      <c r="D265" s="919"/>
      <c r="E265" s="919"/>
      <c r="F265" s="919"/>
      <c r="G265" s="919"/>
      <c r="H265" s="919"/>
      <c r="I265" s="919"/>
      <c r="J265" s="919"/>
      <c r="K265" s="919"/>
      <c r="L265" s="919"/>
      <c r="M265" s="919"/>
      <c r="N265" s="442"/>
    </row>
    <row r="266" spans="1:14" s="942" customFormat="1" ht="15.75" customHeight="1">
      <c r="A266" s="442"/>
      <c r="B266" s="442"/>
      <c r="C266" s="919"/>
      <c r="D266" s="919"/>
      <c r="E266" s="919"/>
      <c r="F266" s="919"/>
      <c r="G266" s="919"/>
      <c r="H266" s="919"/>
      <c r="I266" s="919"/>
      <c r="J266" s="919"/>
      <c r="K266" s="919"/>
      <c r="L266" s="919"/>
      <c r="M266" s="919"/>
      <c r="N266" s="442"/>
    </row>
    <row r="267" spans="1:14" s="942" customFormat="1" ht="15.75" customHeight="1">
      <c r="A267" s="442"/>
      <c r="B267" s="442"/>
      <c r="C267" s="919"/>
      <c r="D267" s="919"/>
      <c r="E267" s="919"/>
      <c r="F267" s="919"/>
      <c r="G267" s="919"/>
      <c r="H267" s="919"/>
      <c r="I267" s="919"/>
      <c r="J267" s="919"/>
      <c r="K267" s="919"/>
      <c r="L267" s="919"/>
      <c r="M267" s="919"/>
      <c r="N267" s="442"/>
    </row>
    <row r="268" spans="1:14" s="942" customFormat="1" ht="15.75" customHeight="1">
      <c r="A268" s="442"/>
      <c r="B268" s="442"/>
      <c r="C268" s="919"/>
      <c r="D268" s="919"/>
      <c r="E268" s="919"/>
      <c r="F268" s="919"/>
      <c r="G268" s="919"/>
      <c r="H268" s="919"/>
      <c r="I268" s="919"/>
      <c r="J268" s="919"/>
      <c r="K268" s="919"/>
      <c r="L268" s="919"/>
      <c r="M268" s="919"/>
      <c r="N268" s="442"/>
    </row>
    <row r="269" spans="1:14" s="942" customFormat="1" ht="15.75" customHeight="1">
      <c r="A269" s="442"/>
      <c r="B269" s="442"/>
      <c r="C269" s="919"/>
      <c r="D269" s="919"/>
      <c r="E269" s="919"/>
      <c r="F269" s="919"/>
      <c r="G269" s="919"/>
      <c r="H269" s="919"/>
      <c r="I269" s="919"/>
      <c r="J269" s="919"/>
      <c r="K269" s="919"/>
      <c r="L269" s="919"/>
      <c r="M269" s="919"/>
      <c r="N269" s="442"/>
    </row>
    <row r="270" spans="1:14" s="942" customFormat="1" ht="15.75" customHeight="1">
      <c r="A270" s="442"/>
      <c r="B270" s="442"/>
      <c r="C270" s="919"/>
      <c r="D270" s="919"/>
      <c r="E270" s="919"/>
      <c r="F270" s="919"/>
      <c r="G270" s="919"/>
      <c r="H270" s="919"/>
      <c r="I270" s="919"/>
      <c r="J270" s="919"/>
      <c r="K270" s="919"/>
      <c r="L270" s="919"/>
      <c r="M270" s="919"/>
      <c r="N270" s="442"/>
    </row>
    <row r="271" spans="1:14" s="942" customFormat="1" ht="15.75" customHeight="1">
      <c r="A271" s="442"/>
      <c r="B271" s="442"/>
      <c r="C271" s="919"/>
      <c r="D271" s="919"/>
      <c r="E271" s="919"/>
      <c r="F271" s="919"/>
      <c r="G271" s="919"/>
      <c r="H271" s="919"/>
      <c r="I271" s="919"/>
      <c r="J271" s="919"/>
      <c r="K271" s="919"/>
      <c r="L271" s="919"/>
      <c r="M271" s="919"/>
      <c r="N271" s="442"/>
    </row>
    <row r="272" spans="1:14" s="942" customFormat="1" ht="15.75" customHeight="1">
      <c r="A272" s="442"/>
      <c r="B272" s="442"/>
      <c r="C272" s="919"/>
      <c r="D272" s="919"/>
      <c r="E272" s="919"/>
      <c r="F272" s="919"/>
      <c r="G272" s="919"/>
      <c r="H272" s="919"/>
      <c r="I272" s="919"/>
      <c r="J272" s="919"/>
      <c r="K272" s="919"/>
      <c r="L272" s="919"/>
      <c r="M272" s="919"/>
      <c r="N272" s="442"/>
    </row>
    <row r="273" spans="1:14" s="942" customFormat="1" ht="15.75" customHeight="1">
      <c r="A273" s="442"/>
      <c r="B273" s="442"/>
      <c r="C273" s="919"/>
      <c r="D273" s="919"/>
      <c r="E273" s="919"/>
      <c r="F273" s="919"/>
      <c r="G273" s="919"/>
      <c r="H273" s="919"/>
      <c r="I273" s="919"/>
      <c r="J273" s="919"/>
      <c r="K273" s="919"/>
      <c r="L273" s="919"/>
      <c r="M273" s="919"/>
      <c r="N273" s="442"/>
    </row>
    <row r="274" spans="1:14" s="942" customFormat="1" ht="15.75" customHeight="1">
      <c r="A274" s="442"/>
      <c r="B274" s="442"/>
      <c r="C274" s="919"/>
      <c r="D274" s="919"/>
      <c r="E274" s="919"/>
      <c r="F274" s="919"/>
      <c r="G274" s="919"/>
      <c r="H274" s="919"/>
      <c r="I274" s="919"/>
      <c r="J274" s="919"/>
      <c r="K274" s="919"/>
      <c r="L274" s="919"/>
      <c r="M274" s="919"/>
      <c r="N274" s="442"/>
    </row>
    <row r="275" spans="1:14" s="942" customFormat="1" ht="15.75" customHeight="1">
      <c r="A275" s="442"/>
      <c r="B275" s="442"/>
      <c r="C275" s="919"/>
      <c r="D275" s="919"/>
      <c r="E275" s="919"/>
      <c r="F275" s="919"/>
      <c r="G275" s="919"/>
      <c r="H275" s="919"/>
      <c r="I275" s="919"/>
      <c r="J275" s="919"/>
      <c r="K275" s="919"/>
      <c r="L275" s="919"/>
      <c r="M275" s="919"/>
      <c r="N275" s="442"/>
    </row>
    <row r="276" spans="1:14" s="942" customFormat="1" ht="15.75" customHeight="1">
      <c r="A276" s="442"/>
      <c r="B276" s="442"/>
      <c r="C276" s="919"/>
      <c r="D276" s="919"/>
      <c r="E276" s="919"/>
      <c r="F276" s="919"/>
      <c r="G276" s="919"/>
      <c r="H276" s="919"/>
      <c r="I276" s="919"/>
      <c r="J276" s="919"/>
      <c r="K276" s="919"/>
      <c r="L276" s="919"/>
      <c r="M276" s="919"/>
      <c r="N276" s="442"/>
    </row>
    <row r="277" spans="1:14" s="942" customFormat="1" ht="15.75" customHeight="1">
      <c r="A277" s="442"/>
      <c r="B277" s="442"/>
      <c r="C277" s="919"/>
      <c r="D277" s="919"/>
      <c r="E277" s="919"/>
      <c r="F277" s="919"/>
      <c r="G277" s="919"/>
      <c r="H277" s="919"/>
      <c r="I277" s="919"/>
      <c r="J277" s="919"/>
      <c r="K277" s="919"/>
      <c r="L277" s="919"/>
      <c r="M277" s="919"/>
      <c r="N277" s="442"/>
    </row>
    <row r="278" spans="1:14" s="942" customFormat="1" ht="15.75" customHeight="1">
      <c r="A278" s="442"/>
      <c r="B278" s="442"/>
      <c r="C278" s="442"/>
      <c r="D278" s="442"/>
      <c r="E278" s="442"/>
      <c r="F278" s="442"/>
      <c r="G278" s="442"/>
      <c r="H278" s="442"/>
      <c r="I278" s="442"/>
      <c r="J278" s="442"/>
      <c r="K278" s="442"/>
      <c r="L278" s="442"/>
      <c r="M278" s="442"/>
      <c r="N278" s="442"/>
    </row>
    <row r="279" spans="1:14" s="942" customFormat="1" ht="15.75" customHeight="1">
      <c r="A279" s="442"/>
      <c r="B279" s="442"/>
      <c r="C279" s="442"/>
      <c r="D279" s="442"/>
      <c r="E279" s="442"/>
      <c r="F279" s="442"/>
      <c r="G279" s="442"/>
      <c r="H279" s="442"/>
      <c r="I279" s="442"/>
      <c r="J279" s="442"/>
      <c r="K279" s="442"/>
      <c r="L279" s="442"/>
      <c r="M279" s="442"/>
      <c r="N279" s="442"/>
    </row>
    <row r="280" spans="1:14" s="942" customFormat="1" ht="15.75" customHeight="1">
      <c r="A280" s="442"/>
      <c r="B280" s="442"/>
      <c r="C280" s="442"/>
      <c r="D280" s="442"/>
      <c r="E280" s="442"/>
      <c r="F280" s="442"/>
      <c r="G280" s="442"/>
      <c r="H280" s="442"/>
      <c r="I280" s="442"/>
      <c r="J280" s="442"/>
      <c r="K280" s="442"/>
      <c r="L280" s="442"/>
      <c r="M280" s="442"/>
      <c r="N280" s="442"/>
    </row>
    <row r="281" spans="1:14" s="942" customFormat="1" ht="15.75" customHeight="1">
      <c r="A281" s="442"/>
      <c r="B281" s="442"/>
      <c r="C281" s="442"/>
      <c r="D281" s="442"/>
      <c r="E281" s="442"/>
      <c r="F281" s="442"/>
      <c r="G281" s="442"/>
      <c r="H281" s="442"/>
      <c r="I281" s="442"/>
      <c r="J281" s="442"/>
      <c r="K281" s="442"/>
      <c r="L281" s="442"/>
      <c r="M281" s="442"/>
      <c r="N281" s="442"/>
    </row>
    <row r="282" spans="1:14" s="942" customFormat="1" ht="15.75" customHeight="1">
      <c r="A282" s="442"/>
      <c r="B282" s="442"/>
      <c r="C282" s="442"/>
      <c r="D282" s="442"/>
      <c r="E282" s="442"/>
      <c r="F282" s="442"/>
      <c r="G282" s="442"/>
      <c r="H282" s="442"/>
      <c r="I282" s="442"/>
      <c r="J282" s="442"/>
      <c r="K282" s="442"/>
      <c r="L282" s="442"/>
      <c r="M282" s="442"/>
      <c r="N282" s="442"/>
    </row>
    <row r="283" spans="1:14" s="942" customFormat="1" ht="15.75" customHeight="1">
      <c r="A283" s="442"/>
      <c r="B283" s="442"/>
      <c r="C283" s="442"/>
      <c r="D283" s="442"/>
      <c r="E283" s="442"/>
      <c r="F283" s="442"/>
      <c r="G283" s="442"/>
      <c r="H283" s="442"/>
      <c r="I283" s="442"/>
      <c r="J283" s="442"/>
      <c r="K283" s="442"/>
      <c r="L283" s="442"/>
      <c r="M283" s="442"/>
      <c r="N283" s="442"/>
    </row>
    <row r="284" spans="1:14" s="942" customFormat="1" ht="15.75" customHeight="1">
      <c r="A284" s="442"/>
      <c r="B284" s="442"/>
      <c r="C284" s="442"/>
      <c r="D284" s="442"/>
      <c r="E284" s="442"/>
      <c r="F284" s="442"/>
      <c r="G284" s="442"/>
      <c r="H284" s="442"/>
      <c r="I284" s="442"/>
      <c r="J284" s="442"/>
      <c r="K284" s="442"/>
      <c r="L284" s="442"/>
      <c r="M284" s="442"/>
      <c r="N284" s="442"/>
    </row>
    <row r="285" spans="1:14" s="942" customFormat="1" ht="15.75" customHeight="1">
      <c r="A285" s="442"/>
      <c r="B285" s="442"/>
      <c r="C285" s="442"/>
      <c r="D285" s="442"/>
      <c r="E285" s="442"/>
      <c r="F285" s="442"/>
      <c r="G285" s="442"/>
      <c r="H285" s="442"/>
      <c r="I285" s="442"/>
      <c r="J285" s="442"/>
      <c r="K285" s="442"/>
      <c r="L285" s="442"/>
      <c r="M285" s="442"/>
      <c r="N285" s="442"/>
    </row>
    <row r="286" spans="1:14" s="942" customFormat="1" ht="15.75" customHeight="1">
      <c r="A286" s="442"/>
      <c r="B286" s="442"/>
      <c r="C286" s="442"/>
      <c r="D286" s="442"/>
      <c r="E286" s="442"/>
      <c r="F286" s="442"/>
      <c r="G286" s="442"/>
      <c r="H286" s="442"/>
      <c r="I286" s="442"/>
      <c r="J286" s="442"/>
      <c r="K286" s="442"/>
      <c r="L286" s="442"/>
      <c r="M286" s="442"/>
      <c r="N286" s="442"/>
    </row>
    <row r="287" spans="1:14" s="942" customFormat="1" ht="15.75" customHeight="1">
      <c r="A287" s="442"/>
      <c r="B287" s="442"/>
      <c r="C287" s="442"/>
      <c r="D287" s="442"/>
      <c r="E287" s="442"/>
      <c r="F287" s="442"/>
      <c r="G287" s="442"/>
      <c r="H287" s="442"/>
      <c r="I287" s="442"/>
      <c r="J287" s="442"/>
      <c r="K287" s="442"/>
      <c r="L287" s="442"/>
      <c r="M287" s="442"/>
      <c r="N287" s="442"/>
    </row>
    <row r="288" spans="1:14" s="942" customFormat="1" ht="15.75" customHeight="1">
      <c r="A288" s="442"/>
      <c r="B288" s="442"/>
      <c r="C288" s="442"/>
      <c r="D288" s="442"/>
      <c r="E288" s="442"/>
      <c r="F288" s="442"/>
      <c r="G288" s="442"/>
      <c r="H288" s="442"/>
      <c r="I288" s="442"/>
      <c r="J288" s="442"/>
      <c r="K288" s="442"/>
      <c r="L288" s="442"/>
      <c r="M288" s="442"/>
      <c r="N288" s="442"/>
    </row>
    <row r="289" spans="1:14" s="942" customFormat="1" ht="15.75" customHeight="1">
      <c r="A289" s="442"/>
      <c r="B289" s="442"/>
      <c r="C289" s="442"/>
      <c r="D289" s="442"/>
      <c r="E289" s="442"/>
      <c r="F289" s="442"/>
      <c r="G289" s="442"/>
      <c r="H289" s="442"/>
      <c r="I289" s="442"/>
      <c r="J289" s="442"/>
      <c r="K289" s="442"/>
      <c r="L289" s="442"/>
      <c r="M289" s="442"/>
      <c r="N289" s="442"/>
    </row>
    <row r="290" spans="1:14" s="942" customFormat="1" ht="15.75" customHeight="1">
      <c r="A290" s="442"/>
      <c r="B290" s="442"/>
      <c r="C290" s="442"/>
      <c r="D290" s="442"/>
      <c r="E290" s="442"/>
      <c r="F290" s="442"/>
      <c r="G290" s="442"/>
      <c r="H290" s="442"/>
      <c r="I290" s="442"/>
      <c r="J290" s="442"/>
      <c r="K290" s="442"/>
      <c r="L290" s="442"/>
      <c r="M290" s="442"/>
      <c r="N290" s="442"/>
    </row>
    <row r="291" spans="1:14" s="942" customFormat="1" ht="15.75" customHeight="1">
      <c r="A291" s="442"/>
      <c r="B291" s="442"/>
      <c r="C291" s="442"/>
      <c r="D291" s="442"/>
      <c r="E291" s="442"/>
      <c r="F291" s="442"/>
      <c r="G291" s="442"/>
      <c r="H291" s="442"/>
      <c r="I291" s="442"/>
      <c r="J291" s="442"/>
      <c r="K291" s="442"/>
      <c r="L291" s="442"/>
      <c r="M291" s="442"/>
      <c r="N291" s="442"/>
    </row>
    <row r="292" spans="1:14" s="942" customFormat="1" ht="15.75" customHeight="1">
      <c r="A292" s="442"/>
      <c r="B292" s="442"/>
      <c r="C292" s="442"/>
      <c r="D292" s="442"/>
      <c r="E292" s="442"/>
      <c r="F292" s="442"/>
      <c r="G292" s="442"/>
      <c r="H292" s="442"/>
      <c r="I292" s="442"/>
      <c r="J292" s="442"/>
      <c r="K292" s="442"/>
      <c r="L292" s="442"/>
      <c r="M292" s="442"/>
      <c r="N292" s="442"/>
    </row>
    <row r="293" spans="1:14" s="942" customFormat="1" ht="15.75" customHeight="1">
      <c r="A293" s="442"/>
      <c r="B293" s="442"/>
      <c r="C293" s="442"/>
      <c r="D293" s="442"/>
      <c r="E293" s="442"/>
      <c r="F293" s="442"/>
      <c r="G293" s="442"/>
      <c r="H293" s="442"/>
      <c r="I293" s="442"/>
      <c r="J293" s="442"/>
      <c r="K293" s="442"/>
      <c r="L293" s="442"/>
      <c r="M293" s="442"/>
      <c r="N293" s="442"/>
    </row>
    <row r="294" spans="1:14" s="942" customFormat="1" ht="15.75" customHeight="1">
      <c r="A294" s="442"/>
      <c r="B294" s="442"/>
      <c r="C294" s="442"/>
      <c r="D294" s="442"/>
      <c r="E294" s="442"/>
      <c r="F294" s="442"/>
      <c r="G294" s="442"/>
      <c r="H294" s="442"/>
      <c r="I294" s="442"/>
      <c r="J294" s="442"/>
      <c r="K294" s="442"/>
      <c r="L294" s="442"/>
      <c r="M294" s="442"/>
      <c r="N294" s="442"/>
    </row>
    <row r="295" spans="1:14" s="942" customFormat="1" ht="15.75" customHeight="1">
      <c r="A295" s="442"/>
      <c r="B295" s="442"/>
      <c r="C295" s="442"/>
      <c r="D295" s="442"/>
      <c r="E295" s="442"/>
      <c r="F295" s="442"/>
      <c r="G295" s="442"/>
      <c r="H295" s="442"/>
      <c r="I295" s="442"/>
      <c r="J295" s="442"/>
      <c r="K295" s="442"/>
      <c r="L295" s="442"/>
      <c r="M295" s="442"/>
      <c r="N295" s="442"/>
    </row>
    <row r="296" spans="1:14" s="942" customFormat="1" ht="15.75" customHeight="1">
      <c r="A296" s="442"/>
      <c r="B296" s="442"/>
      <c r="C296" s="442"/>
      <c r="D296" s="442"/>
      <c r="E296" s="442"/>
      <c r="F296" s="442"/>
      <c r="G296" s="442"/>
      <c r="H296" s="442"/>
      <c r="I296" s="442"/>
      <c r="J296" s="442"/>
      <c r="K296" s="442"/>
      <c r="L296" s="442"/>
      <c r="M296" s="442"/>
      <c r="N296" s="442"/>
    </row>
    <row r="297" spans="1:14" s="942" customFormat="1" ht="15.75" customHeight="1">
      <c r="A297" s="442"/>
      <c r="B297" s="442"/>
      <c r="C297" s="442"/>
      <c r="D297" s="442"/>
      <c r="E297" s="442"/>
      <c r="F297" s="442"/>
      <c r="G297" s="442"/>
      <c r="H297" s="442"/>
      <c r="I297" s="442"/>
      <c r="J297" s="442"/>
      <c r="K297" s="442"/>
      <c r="L297" s="442"/>
      <c r="M297" s="442"/>
      <c r="N297" s="442"/>
    </row>
    <row r="298" spans="1:14" s="942" customFormat="1" ht="15.75" customHeight="1">
      <c r="A298" s="442"/>
      <c r="B298" s="442"/>
      <c r="C298" s="442"/>
      <c r="D298" s="442"/>
      <c r="E298" s="442"/>
      <c r="F298" s="442"/>
      <c r="G298" s="442"/>
      <c r="H298" s="442"/>
      <c r="I298" s="442"/>
      <c r="J298" s="442"/>
      <c r="K298" s="442"/>
      <c r="L298" s="442"/>
      <c r="M298" s="442"/>
      <c r="N298" s="442"/>
    </row>
    <row r="299" spans="1:14" s="942" customFormat="1" ht="15.75" customHeight="1">
      <c r="A299" s="442"/>
      <c r="B299" s="442"/>
      <c r="C299" s="442"/>
      <c r="D299" s="442"/>
      <c r="E299" s="442"/>
      <c r="F299" s="442"/>
      <c r="G299" s="442"/>
      <c r="H299" s="442"/>
      <c r="I299" s="442"/>
      <c r="J299" s="442"/>
      <c r="K299" s="442"/>
      <c r="L299" s="442"/>
      <c r="M299" s="442"/>
      <c r="N299" s="442"/>
    </row>
    <row r="300" spans="1:14" s="942" customFormat="1" ht="15.75" customHeight="1">
      <c r="A300" s="442"/>
      <c r="B300" s="442"/>
      <c r="C300" s="442"/>
      <c r="D300" s="442"/>
      <c r="E300" s="442"/>
      <c r="F300" s="442"/>
      <c r="G300" s="442"/>
      <c r="H300" s="442"/>
      <c r="I300" s="442"/>
      <c r="J300" s="442"/>
      <c r="K300" s="442"/>
      <c r="L300" s="442"/>
      <c r="M300" s="442"/>
      <c r="N300" s="442"/>
    </row>
    <row r="301" spans="1:14" s="942" customFormat="1" ht="15.75" customHeight="1">
      <c r="A301" s="442"/>
      <c r="B301" s="442"/>
      <c r="C301" s="442"/>
      <c r="D301" s="442"/>
      <c r="E301" s="442"/>
      <c r="F301" s="442"/>
      <c r="G301" s="442"/>
      <c r="H301" s="442"/>
      <c r="I301" s="442"/>
      <c r="J301" s="442"/>
      <c r="K301" s="442"/>
      <c r="L301" s="442"/>
      <c r="M301" s="442"/>
      <c r="N301" s="442"/>
    </row>
    <row r="302" spans="1:14" s="942" customFormat="1" ht="15.75" customHeight="1">
      <c r="A302" s="442"/>
      <c r="B302" s="442"/>
      <c r="C302" s="442"/>
      <c r="D302" s="442"/>
      <c r="E302" s="442"/>
      <c r="F302" s="442"/>
      <c r="G302" s="442"/>
      <c r="H302" s="442"/>
      <c r="I302" s="442"/>
      <c r="J302" s="442"/>
      <c r="K302" s="442"/>
      <c r="L302" s="442"/>
      <c r="M302" s="442"/>
      <c r="N302" s="442"/>
    </row>
    <row r="303" spans="1:14" s="942" customFormat="1" ht="15.75" customHeight="1">
      <c r="A303" s="442"/>
      <c r="B303" s="442"/>
      <c r="C303" s="442"/>
      <c r="D303" s="442"/>
      <c r="E303" s="442"/>
      <c r="F303" s="442"/>
      <c r="G303" s="442"/>
      <c r="H303" s="442"/>
      <c r="I303" s="442"/>
      <c r="J303" s="442"/>
      <c r="K303" s="442"/>
      <c r="L303" s="442"/>
      <c r="M303" s="442"/>
      <c r="N303" s="442"/>
    </row>
    <row r="304" spans="1:14" s="942" customFormat="1" ht="15.75" customHeight="1">
      <c r="A304" s="442"/>
      <c r="B304" s="442"/>
      <c r="C304" s="442"/>
      <c r="D304" s="442"/>
      <c r="E304" s="442"/>
      <c r="F304" s="442"/>
      <c r="G304" s="442"/>
      <c r="H304" s="442"/>
      <c r="I304" s="442"/>
      <c r="J304" s="442"/>
      <c r="K304" s="442"/>
      <c r="L304" s="442"/>
      <c r="M304" s="442"/>
      <c r="N304" s="442"/>
    </row>
    <row r="305" spans="1:14" s="942" customFormat="1" ht="15.75" customHeight="1">
      <c r="A305" s="442"/>
      <c r="B305" s="442"/>
      <c r="C305" s="442"/>
      <c r="D305" s="442"/>
      <c r="E305" s="442"/>
      <c r="F305" s="442"/>
      <c r="G305" s="442"/>
      <c r="H305" s="442"/>
      <c r="I305" s="442"/>
      <c r="J305" s="442"/>
      <c r="K305" s="442"/>
      <c r="L305" s="442"/>
      <c r="M305" s="442"/>
      <c r="N305" s="442"/>
    </row>
    <row r="306" spans="1:14" s="942" customFormat="1" ht="15.75" customHeight="1">
      <c r="A306" s="442"/>
      <c r="B306" s="442"/>
      <c r="C306" s="442"/>
      <c r="D306" s="442"/>
      <c r="E306" s="442"/>
      <c r="F306" s="442"/>
      <c r="G306" s="442"/>
      <c r="H306" s="442"/>
      <c r="I306" s="442"/>
      <c r="J306" s="442"/>
      <c r="K306" s="442"/>
      <c r="L306" s="442"/>
      <c r="M306" s="442"/>
      <c r="N306" s="442"/>
    </row>
    <row r="307" spans="1:14" s="942" customFormat="1" ht="15.75" customHeight="1">
      <c r="A307" s="442"/>
      <c r="B307" s="442"/>
      <c r="C307" s="442"/>
      <c r="D307" s="442"/>
      <c r="E307" s="442"/>
      <c r="F307" s="442"/>
      <c r="G307" s="442"/>
      <c r="H307" s="442"/>
      <c r="I307" s="442"/>
      <c r="J307" s="442"/>
      <c r="K307" s="442"/>
      <c r="L307" s="442"/>
      <c r="M307" s="442"/>
      <c r="N307" s="442"/>
    </row>
    <row r="308" spans="1:14" s="942" customFormat="1" ht="15.75" customHeight="1">
      <c r="A308" s="442"/>
      <c r="B308" s="442"/>
      <c r="C308" s="442"/>
      <c r="D308" s="442"/>
      <c r="E308" s="442"/>
      <c r="F308" s="442"/>
      <c r="G308" s="442"/>
      <c r="H308" s="442"/>
      <c r="I308" s="442"/>
      <c r="J308" s="442"/>
      <c r="K308" s="442"/>
      <c r="L308" s="442"/>
      <c r="M308" s="442"/>
      <c r="N308" s="442"/>
    </row>
    <row r="309" spans="1:14" s="942" customFormat="1" ht="15.75" customHeight="1">
      <c r="A309" s="442"/>
      <c r="B309" s="442"/>
      <c r="C309" s="442"/>
      <c r="D309" s="442"/>
      <c r="E309" s="442"/>
      <c r="F309" s="442"/>
      <c r="G309" s="442"/>
      <c r="H309" s="442"/>
      <c r="I309" s="442"/>
      <c r="J309" s="442"/>
      <c r="K309" s="442"/>
      <c r="L309" s="442"/>
      <c r="M309" s="442"/>
      <c r="N309" s="442"/>
    </row>
    <row r="310" spans="1:14" s="942" customFormat="1" ht="15.75" customHeight="1">
      <c r="A310" s="442"/>
      <c r="B310" s="442"/>
      <c r="C310" s="442"/>
      <c r="D310" s="442"/>
      <c r="E310" s="442"/>
      <c r="F310" s="442"/>
      <c r="G310" s="442"/>
      <c r="H310" s="442"/>
      <c r="I310" s="442"/>
      <c r="J310" s="442"/>
      <c r="K310" s="442"/>
      <c r="L310" s="442"/>
      <c r="M310" s="442"/>
      <c r="N310" s="442"/>
    </row>
    <row r="311" spans="1:14" s="942" customFormat="1" ht="15.75" customHeight="1">
      <c r="A311" s="442"/>
      <c r="B311" s="442"/>
      <c r="C311" s="442"/>
      <c r="D311" s="442"/>
      <c r="E311" s="442"/>
      <c r="F311" s="442"/>
      <c r="G311" s="442"/>
      <c r="H311" s="442"/>
      <c r="I311" s="442"/>
      <c r="J311" s="442"/>
      <c r="K311" s="442"/>
      <c r="L311" s="442"/>
      <c r="M311" s="442"/>
      <c r="N311" s="442"/>
    </row>
    <row r="312" spans="1:14" s="942" customFormat="1" ht="15.75" customHeight="1">
      <c r="A312" s="442"/>
      <c r="B312" s="442"/>
      <c r="C312" s="442"/>
      <c r="D312" s="442"/>
      <c r="E312" s="442"/>
      <c r="F312" s="442"/>
      <c r="G312" s="442"/>
      <c r="H312" s="442"/>
      <c r="I312" s="442"/>
      <c r="J312" s="442"/>
      <c r="K312" s="442"/>
      <c r="L312" s="442"/>
      <c r="M312" s="442"/>
      <c r="N312" s="442"/>
    </row>
    <row r="313" spans="1:14" s="942" customFormat="1" ht="15.75" customHeight="1">
      <c r="A313" s="442"/>
      <c r="B313" s="442"/>
      <c r="C313" s="442"/>
      <c r="D313" s="442"/>
      <c r="E313" s="442"/>
      <c r="F313" s="442"/>
      <c r="G313" s="442"/>
      <c r="H313" s="442"/>
      <c r="I313" s="442"/>
      <c r="J313" s="442"/>
      <c r="K313" s="442"/>
      <c r="L313" s="442"/>
      <c r="M313" s="442"/>
      <c r="N313" s="442"/>
    </row>
    <row r="314" spans="1:14" s="942" customFormat="1" ht="15.75" customHeight="1">
      <c r="A314" s="442"/>
      <c r="B314" s="442"/>
      <c r="C314" s="442"/>
      <c r="D314" s="442"/>
      <c r="E314" s="442"/>
      <c r="F314" s="442"/>
      <c r="G314" s="442"/>
      <c r="H314" s="442"/>
      <c r="I314" s="442"/>
      <c r="J314" s="442"/>
      <c r="K314" s="442"/>
      <c r="L314" s="442"/>
      <c r="M314" s="442"/>
      <c r="N314" s="442"/>
    </row>
    <row r="315" spans="1:14" s="942" customFormat="1" ht="15.75" customHeight="1">
      <c r="A315" s="442"/>
      <c r="B315" s="442"/>
      <c r="C315" s="442"/>
      <c r="D315" s="442"/>
      <c r="E315" s="442"/>
      <c r="F315" s="442"/>
      <c r="G315" s="442"/>
      <c r="H315" s="442"/>
      <c r="I315" s="442"/>
      <c r="J315" s="442"/>
      <c r="K315" s="442"/>
      <c r="L315" s="442"/>
      <c r="M315" s="442"/>
      <c r="N315" s="442"/>
    </row>
    <row r="316" spans="1:14" s="942" customFormat="1" ht="15.75" customHeight="1">
      <c r="A316" s="442"/>
      <c r="B316" s="442"/>
      <c r="C316" s="442"/>
      <c r="D316" s="442"/>
      <c r="E316" s="442"/>
      <c r="F316" s="442"/>
      <c r="G316" s="442"/>
      <c r="H316" s="442"/>
      <c r="I316" s="442"/>
      <c r="J316" s="442"/>
      <c r="K316" s="442"/>
      <c r="L316" s="442"/>
      <c r="M316" s="442"/>
      <c r="N316" s="442"/>
    </row>
    <row r="317" spans="1:14" s="942" customFormat="1" ht="15.75" customHeight="1">
      <c r="A317" s="442"/>
      <c r="B317" s="442"/>
      <c r="C317" s="442"/>
      <c r="D317" s="442"/>
      <c r="E317" s="442"/>
      <c r="F317" s="442"/>
      <c r="G317" s="442"/>
      <c r="H317" s="442"/>
      <c r="I317" s="442"/>
      <c r="J317" s="442"/>
      <c r="K317" s="442"/>
      <c r="L317" s="442"/>
      <c r="M317" s="442"/>
      <c r="N317" s="442"/>
    </row>
    <row r="318" spans="1:14" s="942" customFormat="1" ht="15.75" customHeight="1">
      <c r="A318" s="442"/>
      <c r="B318" s="442"/>
      <c r="C318" s="442"/>
      <c r="D318" s="442"/>
      <c r="E318" s="442"/>
      <c r="F318" s="442"/>
      <c r="G318" s="442"/>
      <c r="H318" s="442"/>
      <c r="I318" s="442"/>
      <c r="J318" s="442"/>
      <c r="K318" s="442"/>
      <c r="L318" s="442"/>
      <c r="M318" s="442"/>
      <c r="N318" s="442"/>
    </row>
    <row r="319" spans="1:14" s="942" customFormat="1" ht="15.75" customHeight="1">
      <c r="A319" s="442"/>
      <c r="B319" s="442"/>
      <c r="C319" s="442"/>
      <c r="D319" s="442"/>
      <c r="E319" s="442"/>
      <c r="F319" s="442"/>
      <c r="G319" s="442"/>
      <c r="H319" s="442"/>
      <c r="I319" s="442"/>
      <c r="J319" s="442"/>
      <c r="K319" s="442"/>
      <c r="L319" s="442"/>
      <c r="M319" s="442"/>
      <c r="N319" s="442"/>
    </row>
    <row r="320" spans="1:14" s="942" customFormat="1" ht="15.75" customHeight="1">
      <c r="A320" s="442"/>
      <c r="B320" s="442"/>
      <c r="C320" s="442"/>
      <c r="D320" s="442"/>
      <c r="E320" s="442"/>
      <c r="F320" s="442"/>
      <c r="G320" s="442"/>
      <c r="H320" s="442"/>
      <c r="I320" s="442"/>
      <c r="J320" s="442"/>
      <c r="K320" s="442"/>
      <c r="L320" s="442"/>
      <c r="M320" s="442"/>
      <c r="N320" s="442"/>
    </row>
    <row r="321" spans="1:14" s="942" customFormat="1" ht="15.75" customHeight="1">
      <c r="A321" s="442"/>
      <c r="B321" s="442"/>
      <c r="C321" s="442"/>
      <c r="D321" s="442"/>
      <c r="E321" s="442"/>
      <c r="F321" s="442"/>
      <c r="G321" s="442"/>
      <c r="H321" s="442"/>
      <c r="I321" s="442"/>
      <c r="J321" s="442"/>
      <c r="K321" s="442"/>
      <c r="L321" s="442"/>
      <c r="M321" s="442"/>
      <c r="N321" s="442"/>
    </row>
    <row r="322" spans="1:14" s="942" customFormat="1" ht="15.75" customHeight="1">
      <c r="A322" s="442"/>
      <c r="B322" s="442"/>
      <c r="C322" s="442"/>
      <c r="D322" s="442"/>
      <c r="E322" s="442"/>
      <c r="F322" s="442"/>
      <c r="G322" s="442"/>
      <c r="H322" s="442"/>
      <c r="I322" s="442"/>
      <c r="J322" s="442"/>
      <c r="K322" s="442"/>
      <c r="L322" s="442"/>
      <c r="M322" s="442"/>
      <c r="N322" s="442"/>
    </row>
    <row r="323" spans="1:14" s="942" customFormat="1" ht="15.75" customHeight="1">
      <c r="A323" s="442"/>
      <c r="B323" s="442"/>
      <c r="C323" s="442"/>
      <c r="D323" s="442"/>
      <c r="E323" s="442"/>
      <c r="F323" s="442"/>
      <c r="G323" s="442"/>
      <c r="H323" s="442"/>
      <c r="I323" s="442"/>
      <c r="J323" s="442"/>
      <c r="K323" s="442"/>
      <c r="L323" s="442"/>
      <c r="M323" s="442"/>
      <c r="N323" s="442"/>
    </row>
    <row r="324" spans="1:14" s="942" customFormat="1" ht="15.75" customHeight="1">
      <c r="A324" s="442"/>
      <c r="B324" s="442"/>
      <c r="C324" s="442"/>
      <c r="D324" s="442"/>
      <c r="E324" s="442"/>
      <c r="F324" s="442"/>
      <c r="G324" s="442"/>
      <c r="H324" s="442"/>
      <c r="I324" s="442"/>
      <c r="J324" s="442"/>
      <c r="K324" s="442"/>
      <c r="L324" s="442"/>
      <c r="M324" s="442"/>
      <c r="N324" s="442"/>
    </row>
    <row r="325" spans="1:14" s="942" customFormat="1" ht="15.75" customHeight="1">
      <c r="A325" s="442"/>
      <c r="B325" s="442"/>
      <c r="C325" s="442"/>
      <c r="D325" s="442"/>
      <c r="E325" s="442"/>
      <c r="F325" s="442"/>
      <c r="G325" s="442"/>
      <c r="H325" s="442"/>
      <c r="I325" s="442"/>
      <c r="J325" s="442"/>
      <c r="K325" s="442"/>
      <c r="L325" s="442"/>
      <c r="M325" s="442"/>
      <c r="N325" s="442"/>
    </row>
    <row r="326" spans="1:14" s="942" customFormat="1" ht="15.75" customHeight="1">
      <c r="A326" s="442"/>
      <c r="B326" s="442"/>
      <c r="C326" s="442"/>
      <c r="D326" s="442"/>
      <c r="E326" s="442"/>
      <c r="F326" s="442"/>
      <c r="G326" s="442"/>
      <c r="H326" s="442"/>
      <c r="I326" s="442"/>
      <c r="J326" s="442"/>
      <c r="K326" s="442"/>
      <c r="L326" s="442"/>
      <c r="M326" s="442"/>
      <c r="N326" s="442"/>
    </row>
    <row r="327" spans="1:14" s="942" customFormat="1" ht="15.75" customHeight="1">
      <c r="A327" s="442"/>
      <c r="B327" s="442"/>
      <c r="C327" s="442"/>
      <c r="D327" s="442"/>
      <c r="E327" s="442"/>
      <c r="F327" s="442"/>
      <c r="G327" s="442"/>
      <c r="H327" s="442"/>
      <c r="I327" s="442"/>
      <c r="J327" s="442"/>
      <c r="K327" s="442"/>
      <c r="L327" s="442"/>
      <c r="M327" s="442"/>
      <c r="N327" s="442"/>
    </row>
    <row r="328" spans="1:14" s="942" customFormat="1" ht="15.75" customHeight="1">
      <c r="A328" s="442"/>
      <c r="B328" s="442"/>
      <c r="C328" s="442"/>
      <c r="D328" s="442"/>
      <c r="E328" s="442"/>
      <c r="F328" s="442"/>
      <c r="G328" s="442"/>
      <c r="H328" s="442"/>
      <c r="I328" s="442"/>
      <c r="J328" s="442"/>
      <c r="K328" s="442"/>
      <c r="L328" s="442"/>
      <c r="M328" s="442"/>
      <c r="N328" s="442"/>
    </row>
    <row r="329" spans="1:14" s="942" customFormat="1" ht="15.75" customHeight="1">
      <c r="A329" s="442"/>
      <c r="B329" s="442"/>
      <c r="C329" s="442"/>
      <c r="D329" s="442"/>
      <c r="E329" s="442"/>
      <c r="F329" s="442"/>
      <c r="G329" s="442"/>
      <c r="H329" s="442"/>
      <c r="I329" s="442"/>
      <c r="J329" s="442"/>
      <c r="K329" s="442"/>
      <c r="L329" s="442"/>
      <c r="M329" s="442"/>
      <c r="N329" s="442"/>
    </row>
    <row r="330" spans="1:14" s="942" customFormat="1" ht="15.75" customHeight="1">
      <c r="A330" s="442"/>
      <c r="B330" s="442"/>
      <c r="C330" s="442"/>
      <c r="D330" s="442"/>
      <c r="E330" s="442"/>
      <c r="F330" s="442"/>
      <c r="G330" s="442"/>
      <c r="H330" s="442"/>
      <c r="I330" s="442"/>
      <c r="J330" s="442"/>
      <c r="K330" s="442"/>
      <c r="L330" s="442"/>
      <c r="M330" s="442"/>
      <c r="N330" s="442"/>
    </row>
    <row r="331" spans="1:14" s="942" customFormat="1" ht="15.75" customHeight="1">
      <c r="A331" s="442"/>
      <c r="B331" s="442"/>
      <c r="C331" s="442"/>
      <c r="D331" s="442"/>
      <c r="E331" s="442"/>
      <c r="F331" s="442"/>
      <c r="G331" s="442"/>
      <c r="H331" s="442"/>
      <c r="I331" s="442"/>
      <c r="J331" s="442"/>
      <c r="K331" s="442"/>
      <c r="L331" s="442"/>
      <c r="M331" s="442"/>
      <c r="N331" s="442"/>
    </row>
    <row r="332" spans="1:14" s="942" customFormat="1" ht="15.75" customHeight="1">
      <c r="A332" s="442"/>
      <c r="B332" s="442"/>
      <c r="C332" s="442"/>
      <c r="D332" s="442"/>
      <c r="E332" s="442"/>
      <c r="F332" s="442"/>
      <c r="G332" s="442"/>
      <c r="H332" s="442"/>
      <c r="I332" s="442"/>
      <c r="J332" s="442"/>
      <c r="K332" s="442"/>
      <c r="L332" s="442"/>
      <c r="M332" s="442"/>
      <c r="N332" s="442"/>
    </row>
    <row r="333" spans="1:14" s="942" customFormat="1" ht="15.75" customHeight="1">
      <c r="A333" s="442"/>
      <c r="B333" s="442"/>
      <c r="C333" s="442"/>
      <c r="D333" s="442"/>
      <c r="E333" s="442"/>
      <c r="F333" s="442"/>
      <c r="G333" s="442"/>
      <c r="H333" s="442"/>
      <c r="I333" s="442"/>
      <c r="J333" s="442"/>
      <c r="K333" s="442"/>
      <c r="L333" s="442"/>
      <c r="M333" s="442"/>
      <c r="N333" s="442"/>
    </row>
    <row r="334" spans="1:14" s="942" customFormat="1" ht="15.75" customHeight="1">
      <c r="A334" s="442"/>
      <c r="B334" s="442"/>
      <c r="C334" s="442"/>
      <c r="D334" s="442"/>
      <c r="E334" s="442"/>
      <c r="F334" s="442"/>
      <c r="G334" s="442"/>
      <c r="H334" s="442"/>
      <c r="I334" s="442"/>
      <c r="J334" s="442"/>
      <c r="K334" s="442"/>
      <c r="L334" s="442"/>
      <c r="M334" s="442"/>
      <c r="N334" s="442"/>
    </row>
    <row r="335" spans="1:14" s="942" customFormat="1" ht="15.75" customHeight="1">
      <c r="A335" s="442"/>
      <c r="B335" s="442"/>
      <c r="C335" s="442"/>
      <c r="D335" s="442"/>
      <c r="E335" s="442"/>
      <c r="F335" s="442"/>
      <c r="G335" s="442"/>
      <c r="H335" s="442"/>
      <c r="I335" s="442"/>
      <c r="J335" s="442"/>
      <c r="K335" s="442"/>
      <c r="L335" s="442"/>
      <c r="M335" s="442"/>
      <c r="N335" s="442"/>
    </row>
    <row r="336" spans="1:14" s="942" customFormat="1" ht="15.75" customHeight="1">
      <c r="A336" s="442"/>
      <c r="B336" s="442"/>
      <c r="C336" s="442"/>
      <c r="D336" s="442"/>
      <c r="E336" s="442"/>
      <c r="F336" s="442"/>
      <c r="G336" s="442"/>
      <c r="H336" s="442"/>
      <c r="I336" s="442"/>
      <c r="J336" s="442"/>
      <c r="K336" s="442"/>
      <c r="L336" s="442"/>
      <c r="M336" s="442"/>
      <c r="N336" s="442"/>
    </row>
    <row r="337" spans="1:14" s="942" customFormat="1" ht="15.75" customHeight="1">
      <c r="A337" s="442"/>
      <c r="B337" s="442"/>
      <c r="C337" s="442"/>
      <c r="D337" s="442"/>
      <c r="E337" s="442"/>
      <c r="F337" s="442"/>
      <c r="G337" s="442"/>
      <c r="H337" s="442"/>
      <c r="I337" s="442"/>
      <c r="J337" s="442"/>
      <c r="K337" s="442"/>
      <c r="L337" s="442"/>
      <c r="M337" s="442"/>
      <c r="N337" s="442"/>
    </row>
    <row r="338" spans="1:14" s="942" customFormat="1" ht="15.75" customHeight="1">
      <c r="A338" s="442"/>
      <c r="B338" s="442"/>
      <c r="C338" s="442"/>
      <c r="D338" s="442"/>
      <c r="E338" s="442"/>
      <c r="F338" s="442"/>
      <c r="G338" s="442"/>
      <c r="H338" s="442"/>
      <c r="I338" s="442"/>
      <c r="J338" s="442"/>
      <c r="K338" s="442"/>
      <c r="L338" s="442"/>
      <c r="M338" s="442"/>
      <c r="N338" s="442"/>
    </row>
    <row r="339" spans="1:14" s="942" customFormat="1" ht="15.75" customHeight="1">
      <c r="A339" s="442"/>
      <c r="B339" s="442"/>
      <c r="C339" s="442"/>
      <c r="D339" s="442"/>
      <c r="E339" s="442"/>
      <c r="F339" s="442"/>
      <c r="G339" s="442"/>
      <c r="H339" s="442"/>
      <c r="I339" s="442"/>
      <c r="J339" s="442"/>
      <c r="K339" s="442"/>
      <c r="L339" s="442"/>
      <c r="M339" s="442"/>
      <c r="N339" s="442"/>
    </row>
    <row r="340" spans="1:14" s="942" customFormat="1" ht="15.75" customHeight="1">
      <c r="A340" s="442"/>
      <c r="B340" s="442"/>
      <c r="C340" s="442"/>
      <c r="D340" s="442"/>
      <c r="E340" s="442"/>
      <c r="F340" s="442"/>
      <c r="G340" s="442"/>
      <c r="H340" s="442"/>
      <c r="I340" s="442"/>
      <c r="J340" s="442"/>
      <c r="K340" s="442"/>
      <c r="L340" s="442"/>
      <c r="M340" s="442"/>
      <c r="N340" s="442"/>
    </row>
    <row r="341" spans="1:14" s="942" customFormat="1" ht="15.75" customHeight="1">
      <c r="A341" s="442"/>
      <c r="B341" s="442"/>
      <c r="C341" s="442"/>
      <c r="D341" s="442"/>
      <c r="E341" s="442"/>
      <c r="F341" s="442"/>
      <c r="G341" s="442"/>
      <c r="H341" s="442"/>
      <c r="I341" s="442"/>
      <c r="J341" s="442"/>
      <c r="K341" s="442"/>
      <c r="L341" s="442"/>
      <c r="M341" s="442"/>
      <c r="N341" s="442"/>
    </row>
    <row r="342" spans="1:14" s="942" customFormat="1" ht="15.75" customHeight="1">
      <c r="A342" s="442"/>
      <c r="B342" s="442"/>
      <c r="C342" s="442"/>
      <c r="D342" s="442"/>
      <c r="E342" s="442"/>
      <c r="F342" s="442"/>
      <c r="G342" s="442"/>
      <c r="H342" s="442"/>
      <c r="I342" s="442"/>
      <c r="J342" s="442"/>
      <c r="K342" s="442"/>
      <c r="L342" s="442"/>
      <c r="M342" s="442"/>
      <c r="N342" s="442"/>
    </row>
    <row r="343" spans="1:14" s="942" customFormat="1" ht="15.75" customHeight="1">
      <c r="A343" s="442"/>
      <c r="B343" s="442"/>
      <c r="C343" s="442"/>
      <c r="D343" s="442"/>
      <c r="E343" s="442"/>
      <c r="F343" s="442"/>
      <c r="G343" s="442"/>
      <c r="H343" s="442"/>
      <c r="I343" s="442"/>
      <c r="J343" s="442"/>
      <c r="K343" s="442"/>
      <c r="L343" s="442"/>
      <c r="M343" s="442"/>
      <c r="N343" s="442"/>
    </row>
    <row r="344" spans="1:14" s="942" customFormat="1" ht="15.75" customHeight="1">
      <c r="A344" s="442"/>
      <c r="B344" s="442"/>
      <c r="C344" s="442"/>
      <c r="D344" s="442"/>
      <c r="E344" s="442"/>
      <c r="F344" s="442"/>
      <c r="G344" s="442"/>
      <c r="H344" s="442"/>
      <c r="I344" s="442"/>
      <c r="J344" s="442"/>
      <c r="K344" s="442"/>
      <c r="L344" s="442"/>
      <c r="M344" s="442"/>
      <c r="N344" s="442"/>
    </row>
    <row r="345" spans="1:14" s="942" customFormat="1" ht="15.75" customHeight="1">
      <c r="A345" s="442"/>
      <c r="B345" s="442"/>
      <c r="C345" s="442"/>
      <c r="D345" s="442"/>
      <c r="E345" s="442"/>
      <c r="F345" s="442"/>
      <c r="G345" s="442"/>
      <c r="H345" s="442"/>
      <c r="I345" s="442"/>
      <c r="J345" s="442"/>
      <c r="K345" s="442"/>
      <c r="L345" s="442"/>
      <c r="M345" s="442"/>
      <c r="N345" s="442"/>
    </row>
    <row r="346" spans="1:14" s="942" customFormat="1" ht="15.75" customHeight="1">
      <c r="A346" s="442"/>
      <c r="B346" s="442"/>
      <c r="C346" s="442"/>
      <c r="D346" s="442"/>
      <c r="E346" s="442"/>
      <c r="F346" s="442"/>
      <c r="G346" s="442"/>
      <c r="H346" s="442"/>
      <c r="I346" s="442"/>
      <c r="J346" s="442"/>
      <c r="K346" s="442"/>
      <c r="L346" s="442"/>
      <c r="M346" s="442"/>
      <c r="N346" s="442"/>
    </row>
    <row r="347" spans="1:14" s="942" customFormat="1" ht="15.75" customHeight="1">
      <c r="A347" s="442"/>
      <c r="B347" s="442"/>
      <c r="C347" s="442"/>
      <c r="D347" s="442"/>
      <c r="E347" s="442"/>
      <c r="F347" s="442"/>
      <c r="G347" s="442"/>
      <c r="H347" s="442"/>
      <c r="I347" s="442"/>
      <c r="J347" s="442"/>
      <c r="K347" s="442"/>
      <c r="L347" s="442"/>
      <c r="M347" s="442"/>
      <c r="N347" s="442"/>
    </row>
    <row r="348" spans="1:14" s="942" customFormat="1" ht="15.75" customHeight="1">
      <c r="A348" s="442"/>
      <c r="B348" s="442"/>
      <c r="C348" s="442"/>
      <c r="D348" s="442"/>
      <c r="E348" s="442"/>
      <c r="F348" s="442"/>
      <c r="G348" s="442"/>
      <c r="H348" s="442"/>
      <c r="I348" s="442"/>
      <c r="J348" s="442"/>
      <c r="K348" s="442"/>
      <c r="L348" s="442"/>
      <c r="M348" s="442"/>
      <c r="N348" s="442"/>
    </row>
    <row r="349" spans="1:14" s="942" customFormat="1" ht="15.75" customHeight="1">
      <c r="A349" s="442"/>
      <c r="B349" s="442"/>
      <c r="C349" s="442"/>
      <c r="D349" s="442"/>
      <c r="E349" s="442"/>
      <c r="F349" s="442"/>
      <c r="G349" s="442"/>
      <c r="H349" s="442"/>
      <c r="I349" s="442"/>
      <c r="J349" s="442"/>
      <c r="K349" s="442"/>
      <c r="L349" s="442"/>
      <c r="M349" s="442"/>
      <c r="N349" s="442"/>
    </row>
    <row r="350" spans="1:14" s="942" customFormat="1" ht="15.75" customHeight="1">
      <c r="A350" s="442"/>
      <c r="B350" s="442"/>
      <c r="C350" s="442"/>
      <c r="D350" s="442"/>
      <c r="E350" s="442"/>
      <c r="F350" s="442"/>
      <c r="G350" s="442"/>
      <c r="H350" s="442"/>
      <c r="I350" s="442"/>
      <c r="J350" s="442"/>
      <c r="K350" s="442"/>
      <c r="L350" s="442"/>
      <c r="M350" s="442"/>
      <c r="N350" s="442"/>
    </row>
    <row r="351" spans="1:14" s="942" customFormat="1" ht="15.75" customHeight="1">
      <c r="A351" s="442"/>
      <c r="B351" s="442"/>
      <c r="C351" s="442"/>
      <c r="D351" s="442"/>
      <c r="E351" s="442"/>
      <c r="F351" s="442"/>
      <c r="G351" s="442"/>
      <c r="H351" s="442"/>
      <c r="I351" s="442"/>
      <c r="J351" s="442"/>
      <c r="K351" s="442"/>
      <c r="L351" s="442"/>
      <c r="M351" s="442"/>
      <c r="N351" s="442"/>
    </row>
    <row r="352" spans="1:14" s="942" customFormat="1" ht="15.75" customHeight="1">
      <c r="A352" s="442"/>
      <c r="B352" s="442"/>
      <c r="C352" s="442"/>
      <c r="D352" s="442"/>
      <c r="E352" s="442"/>
      <c r="F352" s="442"/>
      <c r="G352" s="442"/>
      <c r="H352" s="442"/>
      <c r="I352" s="442"/>
      <c r="J352" s="442"/>
      <c r="K352" s="442"/>
      <c r="L352" s="442"/>
      <c r="M352" s="442"/>
      <c r="N352" s="442"/>
    </row>
    <row r="353" spans="1:14" s="942" customFormat="1" ht="15.75" customHeight="1">
      <c r="A353" s="442"/>
      <c r="B353" s="442"/>
      <c r="C353" s="442"/>
      <c r="D353" s="442"/>
      <c r="E353" s="442"/>
      <c r="F353" s="442"/>
      <c r="G353" s="442"/>
      <c r="H353" s="442"/>
      <c r="I353" s="442"/>
      <c r="J353" s="442"/>
      <c r="K353" s="442"/>
      <c r="L353" s="442"/>
      <c r="M353" s="442"/>
      <c r="N353" s="442"/>
    </row>
    <row r="354" spans="1:14" s="942" customFormat="1" ht="15.75" customHeight="1">
      <c r="A354" s="442"/>
      <c r="B354" s="442"/>
      <c r="C354" s="442"/>
      <c r="D354" s="442"/>
      <c r="E354" s="442"/>
      <c r="F354" s="442"/>
      <c r="G354" s="442"/>
      <c r="H354" s="442"/>
      <c r="I354" s="442"/>
      <c r="J354" s="442"/>
      <c r="K354" s="442"/>
      <c r="L354" s="442"/>
      <c r="M354" s="442"/>
      <c r="N354" s="442"/>
    </row>
    <row r="355" spans="1:14" s="942" customFormat="1" ht="15.75" customHeight="1">
      <c r="A355" s="442"/>
      <c r="B355" s="442"/>
      <c r="C355" s="442"/>
      <c r="D355" s="442"/>
      <c r="E355" s="442"/>
      <c r="F355" s="442"/>
      <c r="G355" s="442"/>
      <c r="H355" s="442"/>
      <c r="I355" s="442"/>
      <c r="J355" s="442"/>
      <c r="K355" s="442"/>
      <c r="L355" s="442"/>
      <c r="M355" s="442"/>
      <c r="N355" s="442"/>
    </row>
    <row r="356" spans="1:14" s="942" customFormat="1" ht="15.75" customHeight="1">
      <c r="A356" s="442"/>
      <c r="B356" s="442"/>
      <c r="C356" s="442"/>
      <c r="D356" s="442"/>
      <c r="E356" s="442"/>
      <c r="F356" s="442"/>
      <c r="G356" s="442"/>
      <c r="H356" s="442"/>
      <c r="I356" s="442"/>
      <c r="J356" s="442"/>
      <c r="K356" s="442"/>
      <c r="L356" s="442"/>
      <c r="M356" s="442"/>
      <c r="N356" s="442"/>
    </row>
    <row r="357" spans="1:14" s="942" customFormat="1" ht="15.75" customHeight="1">
      <c r="A357" s="442"/>
      <c r="B357" s="442"/>
      <c r="C357" s="442"/>
      <c r="D357" s="442"/>
      <c r="E357" s="442"/>
      <c r="F357" s="442"/>
      <c r="G357" s="442"/>
      <c r="H357" s="442"/>
      <c r="I357" s="442"/>
      <c r="J357" s="442"/>
      <c r="K357" s="442"/>
      <c r="L357" s="442"/>
      <c r="M357" s="442"/>
      <c r="N357" s="442"/>
    </row>
    <row r="358" spans="1:14" s="942" customFormat="1" ht="15.75" customHeight="1">
      <c r="A358" s="442"/>
      <c r="B358" s="442"/>
      <c r="C358" s="442"/>
      <c r="D358" s="442"/>
      <c r="E358" s="442"/>
      <c r="F358" s="442"/>
      <c r="G358" s="442"/>
      <c r="H358" s="442"/>
      <c r="I358" s="442"/>
      <c r="J358" s="442"/>
      <c r="K358" s="442"/>
      <c r="L358" s="442"/>
      <c r="M358" s="442"/>
      <c r="N358" s="442"/>
    </row>
    <row r="359" spans="1:14" s="942" customFormat="1" ht="15.75" customHeight="1">
      <c r="A359" s="442"/>
      <c r="B359" s="442"/>
      <c r="C359" s="442"/>
      <c r="D359" s="442"/>
      <c r="E359" s="442"/>
      <c r="F359" s="442"/>
      <c r="G359" s="442"/>
      <c r="H359" s="442"/>
      <c r="I359" s="442"/>
      <c r="J359" s="442"/>
      <c r="K359" s="442"/>
      <c r="L359" s="442"/>
      <c r="M359" s="442"/>
      <c r="N359" s="442"/>
    </row>
    <row r="360" spans="1:14" s="942" customFormat="1" ht="15.75" customHeight="1">
      <c r="A360" s="442"/>
      <c r="B360" s="442"/>
      <c r="C360" s="442"/>
      <c r="D360" s="442"/>
      <c r="E360" s="442"/>
      <c r="F360" s="442"/>
      <c r="G360" s="442"/>
      <c r="H360" s="442"/>
      <c r="I360" s="442"/>
      <c r="J360" s="442"/>
      <c r="K360" s="442"/>
      <c r="L360" s="442"/>
      <c r="M360" s="442"/>
      <c r="N360" s="442"/>
    </row>
    <row r="361" spans="1:14" s="942" customFormat="1" ht="15.75" customHeight="1">
      <c r="A361" s="442"/>
      <c r="B361" s="442"/>
      <c r="C361" s="442"/>
      <c r="D361" s="442"/>
      <c r="E361" s="442"/>
      <c r="F361" s="442"/>
      <c r="G361" s="442"/>
      <c r="H361" s="442"/>
      <c r="I361" s="442"/>
      <c r="J361" s="442"/>
      <c r="K361" s="442"/>
      <c r="L361" s="442"/>
      <c r="M361" s="442"/>
      <c r="N361" s="442"/>
    </row>
    <row r="362" spans="1:14" s="942" customFormat="1" ht="15.75" customHeight="1">
      <c r="A362" s="442"/>
      <c r="B362" s="442"/>
      <c r="C362" s="442"/>
      <c r="D362" s="442"/>
      <c r="E362" s="442"/>
      <c r="F362" s="442"/>
      <c r="G362" s="442"/>
      <c r="H362" s="442"/>
      <c r="I362" s="442"/>
      <c r="J362" s="442"/>
      <c r="K362" s="442"/>
      <c r="L362" s="442"/>
      <c r="M362" s="442"/>
      <c r="N362" s="442"/>
    </row>
    <row r="363" spans="1:14" s="942" customFormat="1" ht="15.75" customHeight="1">
      <c r="A363" s="442"/>
      <c r="B363" s="442"/>
      <c r="C363" s="442"/>
      <c r="D363" s="442"/>
      <c r="E363" s="442"/>
      <c r="F363" s="442"/>
      <c r="G363" s="442"/>
      <c r="H363" s="442"/>
      <c r="I363" s="442"/>
      <c r="J363" s="442"/>
      <c r="K363" s="442"/>
      <c r="L363" s="442"/>
      <c r="M363" s="442"/>
      <c r="N363" s="442"/>
    </row>
    <row r="364" spans="1:14" s="942" customFormat="1" ht="15.75" customHeight="1">
      <c r="A364" s="442"/>
      <c r="B364" s="442"/>
      <c r="C364" s="442"/>
      <c r="D364" s="442"/>
      <c r="E364" s="442"/>
      <c r="F364" s="442"/>
      <c r="G364" s="442"/>
      <c r="H364" s="442"/>
      <c r="I364" s="442"/>
      <c r="J364" s="442"/>
      <c r="K364" s="442"/>
      <c r="L364" s="442"/>
      <c r="M364" s="442"/>
      <c r="N364" s="442"/>
    </row>
    <row r="365" spans="1:14" s="942" customFormat="1" ht="15.75" customHeight="1">
      <c r="A365" s="442"/>
      <c r="B365" s="442"/>
      <c r="C365" s="442"/>
      <c r="D365" s="442"/>
      <c r="E365" s="442"/>
      <c r="F365" s="442"/>
      <c r="G365" s="442"/>
      <c r="H365" s="442"/>
      <c r="I365" s="442"/>
      <c r="J365" s="442"/>
      <c r="K365" s="442"/>
      <c r="L365" s="442"/>
      <c r="M365" s="442"/>
      <c r="N365" s="442"/>
    </row>
    <row r="366" spans="1:14" s="942" customFormat="1" ht="15.75" customHeight="1">
      <c r="A366" s="442"/>
      <c r="B366" s="442"/>
      <c r="C366" s="442"/>
      <c r="D366" s="442"/>
      <c r="E366" s="442"/>
      <c r="F366" s="442"/>
      <c r="G366" s="442"/>
      <c r="H366" s="442"/>
      <c r="I366" s="442"/>
      <c r="J366" s="442"/>
      <c r="K366" s="442"/>
      <c r="L366" s="442"/>
      <c r="M366" s="442"/>
      <c r="N366" s="442"/>
    </row>
    <row r="367" spans="1:14" s="942" customFormat="1" ht="15.75" customHeight="1">
      <c r="A367" s="442"/>
      <c r="B367" s="442"/>
      <c r="C367" s="442"/>
      <c r="D367" s="442"/>
      <c r="E367" s="442"/>
      <c r="F367" s="442"/>
      <c r="G367" s="442"/>
      <c r="H367" s="442"/>
      <c r="I367" s="442"/>
      <c r="J367" s="442"/>
      <c r="K367" s="442"/>
      <c r="L367" s="442"/>
      <c r="M367" s="442"/>
      <c r="N367" s="442"/>
    </row>
    <row r="368" spans="1:14" s="942" customFormat="1" ht="15.75" customHeight="1">
      <c r="A368" s="442"/>
      <c r="B368" s="442"/>
      <c r="C368" s="442"/>
      <c r="D368" s="442"/>
      <c r="E368" s="442"/>
      <c r="F368" s="442"/>
      <c r="G368" s="442"/>
      <c r="H368" s="442"/>
      <c r="I368" s="442"/>
      <c r="J368" s="442"/>
      <c r="K368" s="442"/>
      <c r="L368" s="442"/>
      <c r="M368" s="442"/>
      <c r="N368" s="442"/>
    </row>
    <row r="369" spans="1:14" s="942" customFormat="1" ht="15.75" customHeight="1">
      <c r="A369" s="442"/>
      <c r="B369" s="442"/>
      <c r="C369" s="442"/>
      <c r="D369" s="442"/>
      <c r="E369" s="442"/>
      <c r="F369" s="442"/>
      <c r="G369" s="442"/>
      <c r="H369" s="442"/>
      <c r="I369" s="442"/>
      <c r="J369" s="442"/>
      <c r="K369" s="442"/>
      <c r="L369" s="442"/>
      <c r="M369" s="442"/>
      <c r="N369" s="442"/>
    </row>
    <row r="370" spans="1:14" s="942" customFormat="1" ht="15.75" customHeight="1">
      <c r="A370" s="442"/>
      <c r="B370" s="442"/>
      <c r="C370" s="442"/>
      <c r="D370" s="442"/>
      <c r="E370" s="442"/>
      <c r="F370" s="442"/>
      <c r="G370" s="442"/>
      <c r="H370" s="442"/>
      <c r="I370" s="442"/>
      <c r="J370" s="442"/>
      <c r="K370" s="442"/>
      <c r="L370" s="442"/>
      <c r="M370" s="442"/>
      <c r="N370" s="442"/>
    </row>
    <row r="371" spans="1:14" s="942" customFormat="1" ht="15.75" customHeight="1">
      <c r="A371" s="442"/>
      <c r="B371" s="442"/>
      <c r="C371" s="442"/>
      <c r="D371" s="442"/>
      <c r="E371" s="442"/>
      <c r="F371" s="442"/>
      <c r="G371" s="442"/>
      <c r="H371" s="442"/>
      <c r="I371" s="442"/>
      <c r="J371" s="442"/>
      <c r="K371" s="442"/>
      <c r="L371" s="442"/>
      <c r="M371" s="442"/>
      <c r="N371" s="442"/>
    </row>
    <row r="372" spans="1:14" s="942" customFormat="1" ht="15.75" customHeight="1"/>
    <row r="373" spans="1:14" s="942" customFormat="1" ht="15.75" customHeight="1"/>
    <row r="374" spans="1:14" s="942" customFormat="1" ht="15.75" customHeight="1"/>
    <row r="375" spans="1:14" s="942" customFormat="1" ht="15.75" customHeight="1"/>
    <row r="376" spans="1:14" s="942" customFormat="1" ht="15.75" customHeight="1"/>
    <row r="377" spans="1:14" s="942" customFormat="1" ht="15.75" customHeight="1"/>
    <row r="378" spans="1:14" s="942" customFormat="1" ht="15.75" customHeight="1"/>
    <row r="379" spans="1:14" s="942" customFormat="1" ht="15.75" customHeight="1"/>
    <row r="380" spans="1:14" s="942" customFormat="1" ht="15.75" customHeight="1"/>
    <row r="381" spans="1:14" s="942" customFormat="1" ht="15.75" customHeight="1"/>
    <row r="382" spans="1:14" s="942" customFormat="1" ht="15.75" customHeight="1"/>
    <row r="383" spans="1:14" s="942" customFormat="1" ht="15.75" customHeight="1"/>
    <row r="384" spans="1:14" s="942" customFormat="1" ht="15.75" customHeight="1"/>
    <row r="385" s="942" customFormat="1" ht="15.75" customHeight="1"/>
    <row r="386" s="942" customFormat="1" ht="15.75" customHeight="1"/>
    <row r="387" s="942" customFormat="1" ht="15.75" customHeight="1"/>
    <row r="388" s="942" customFormat="1" ht="15.75" customHeight="1"/>
    <row r="389" s="942" customFormat="1" ht="15.75" customHeight="1"/>
    <row r="390" s="942" customFormat="1" ht="15.75" customHeight="1"/>
    <row r="391" s="942" customFormat="1" ht="15.75" customHeight="1"/>
    <row r="392" s="942" customFormat="1" ht="15.75" customHeight="1"/>
    <row r="393" s="942" customFormat="1" ht="15.75" customHeight="1"/>
    <row r="394" s="942" customFormat="1" ht="15.75" customHeight="1"/>
    <row r="395" s="942" customFormat="1" ht="15.75" customHeight="1"/>
    <row r="396" s="942" customFormat="1" ht="15.75" customHeight="1"/>
    <row r="397" s="942" customFormat="1" ht="15.75" customHeight="1"/>
    <row r="398" s="942" customFormat="1" ht="15.75" customHeight="1"/>
    <row r="399" s="942" customFormat="1" ht="15.75" customHeight="1"/>
    <row r="400" s="942" customFormat="1" ht="15.75" customHeight="1"/>
    <row r="401" s="942" customFormat="1" ht="15.75" customHeight="1"/>
    <row r="402" s="942" customFormat="1" ht="15.75" customHeight="1"/>
    <row r="403" s="942" customFormat="1" ht="15.75" customHeight="1"/>
    <row r="404" s="942" customFormat="1" ht="15.75" customHeight="1"/>
    <row r="405" s="942" customFormat="1" ht="15.75" customHeight="1"/>
    <row r="406" s="942" customFormat="1" ht="15.75" customHeight="1"/>
    <row r="407" s="942" customFormat="1" ht="15.75" customHeight="1"/>
    <row r="408" s="942" customFormat="1" ht="15.75" customHeight="1"/>
    <row r="409" s="942" customFormat="1" ht="15.75" customHeight="1"/>
    <row r="410" s="942" customFormat="1" ht="15.75" customHeight="1"/>
    <row r="411" s="942" customFormat="1" ht="15.75" customHeight="1"/>
    <row r="412" s="942" customFormat="1" ht="15.75" customHeight="1"/>
    <row r="413" s="942" customFormat="1" ht="15.75" customHeight="1"/>
    <row r="414" s="942" customFormat="1" ht="15.75" customHeight="1"/>
    <row r="415" s="942" customFormat="1" ht="15.75" customHeight="1"/>
    <row r="416" s="942" customFormat="1" ht="15.75" customHeight="1"/>
    <row r="417" s="942" customFormat="1" ht="15.75" customHeight="1"/>
    <row r="418" s="942" customFormat="1" ht="15.75" customHeight="1"/>
    <row r="419" s="942" customFormat="1" ht="15.75" customHeight="1"/>
    <row r="420" s="942" customFormat="1" ht="15.75" customHeight="1"/>
    <row r="421" s="942" customFormat="1" ht="15.75" customHeight="1"/>
    <row r="422" s="942" customFormat="1" ht="15.75" customHeight="1"/>
    <row r="423" s="942" customFormat="1" ht="15.75" customHeight="1"/>
    <row r="424" s="942" customFormat="1" ht="15.75" customHeight="1"/>
    <row r="425" s="942" customFormat="1" ht="15.75" customHeight="1"/>
    <row r="426" s="942" customFormat="1" ht="15.75" customHeight="1"/>
    <row r="427" s="942" customFormat="1" ht="15.75" customHeight="1"/>
    <row r="428" s="942" customFormat="1" ht="15.75" customHeight="1"/>
    <row r="429" s="942" customFormat="1" ht="15.75" customHeight="1"/>
    <row r="430" s="942" customFormat="1" ht="15.75" customHeight="1"/>
    <row r="431" s="942" customFormat="1" ht="15.75" customHeight="1"/>
    <row r="432" s="942" customFormat="1" ht="15.75" customHeight="1"/>
    <row r="433" s="942" customFormat="1" ht="15.75" customHeight="1"/>
    <row r="434" s="942" customFormat="1" ht="15.75" customHeight="1"/>
    <row r="435" s="942" customFormat="1" ht="15.75" customHeight="1"/>
    <row r="436" s="942" customFormat="1" ht="15.75" customHeight="1"/>
    <row r="437" s="942" customFormat="1" ht="15.75" customHeight="1"/>
    <row r="438" s="942" customFormat="1" ht="15.75" customHeight="1"/>
    <row r="439" s="942" customFormat="1" ht="15.75" customHeight="1"/>
    <row r="440" s="942" customFormat="1" ht="15.75" customHeight="1"/>
    <row r="441" s="942" customFormat="1" ht="15.75" customHeight="1"/>
    <row r="442" s="942" customFormat="1" ht="15.75" customHeight="1"/>
    <row r="443" s="942" customFormat="1" ht="15.75" customHeight="1"/>
    <row r="444" s="942" customFormat="1" ht="15.75" customHeight="1"/>
    <row r="445" s="942" customFormat="1" ht="15.75" customHeight="1"/>
    <row r="446" s="942" customFormat="1" ht="15.75" customHeight="1"/>
    <row r="447" s="942" customFormat="1" ht="15.75" customHeight="1"/>
    <row r="448" s="942" customFormat="1" ht="15.75" customHeight="1"/>
    <row r="449" s="942" customFormat="1" ht="15.75" customHeight="1"/>
    <row r="450" s="942" customFormat="1" ht="15.75" customHeight="1"/>
    <row r="451" s="942" customFormat="1" ht="15.75" customHeight="1"/>
    <row r="452" s="942" customFormat="1" ht="15.75" customHeight="1"/>
    <row r="453" s="942" customFormat="1" ht="15.75" customHeight="1"/>
    <row r="454" s="942" customFormat="1" ht="15.75" customHeight="1"/>
    <row r="455" s="942" customFormat="1" ht="15.75" customHeight="1"/>
    <row r="456" s="942" customFormat="1" ht="15.75" customHeight="1"/>
    <row r="457" s="942" customFormat="1" ht="15.75" customHeight="1"/>
    <row r="458" s="942" customFormat="1" ht="15.75" customHeight="1"/>
    <row r="459" s="942" customFormat="1" ht="15.75" customHeight="1"/>
    <row r="460" s="942" customFormat="1" ht="15.75" customHeight="1"/>
    <row r="461" s="942" customFormat="1" ht="15.75" customHeight="1"/>
    <row r="462" s="942" customFormat="1" ht="15.75" customHeight="1"/>
    <row r="463" s="942" customFormat="1" ht="15.75" customHeight="1"/>
    <row r="464" s="942" customFormat="1" ht="15.75" customHeight="1"/>
    <row r="465" s="942" customFormat="1" ht="15.75" customHeight="1"/>
    <row r="466" s="942" customFormat="1" ht="15.75" customHeight="1"/>
    <row r="467" s="942" customFormat="1" ht="15.75" customHeight="1"/>
    <row r="468" s="942" customFormat="1" ht="15.75" customHeight="1"/>
    <row r="469" s="942" customFormat="1" ht="15.75" customHeight="1"/>
    <row r="470" s="942" customFormat="1" ht="15.75" customHeight="1"/>
    <row r="471" s="942" customFormat="1" ht="15.75" customHeight="1"/>
    <row r="472" s="942" customFormat="1" ht="15.75" customHeight="1"/>
    <row r="473" s="942" customFormat="1" ht="15.75" customHeight="1"/>
    <row r="474" s="942" customFormat="1" ht="15.75" customHeight="1"/>
    <row r="475" s="942" customFormat="1" ht="15.75" customHeight="1"/>
    <row r="476" s="942" customFormat="1" ht="15.75" customHeight="1"/>
    <row r="477" s="942" customFormat="1" ht="15.75" customHeight="1"/>
    <row r="478" s="942" customFormat="1" ht="15.75" customHeight="1"/>
    <row r="479" s="942" customFormat="1" ht="15.75" customHeight="1"/>
    <row r="480" s="942" customFormat="1" ht="15.75" customHeight="1"/>
    <row r="481" s="942" customFormat="1" ht="15.75" customHeight="1"/>
    <row r="482" s="942" customFormat="1" ht="15.75" customHeight="1"/>
    <row r="483" s="942" customFormat="1" ht="15.75" customHeight="1"/>
    <row r="484" s="942" customFormat="1" ht="15.75" customHeight="1"/>
    <row r="485" s="942" customFormat="1" ht="15.75" customHeight="1"/>
    <row r="486" s="942" customFormat="1" ht="15.75" customHeight="1"/>
    <row r="487" s="942" customFormat="1" ht="15.75" customHeight="1"/>
    <row r="488" s="942" customFormat="1" ht="15.75" customHeight="1"/>
    <row r="489" s="942" customFormat="1" ht="15.75" customHeight="1"/>
    <row r="490" s="942" customFormat="1" ht="15.75" customHeight="1"/>
    <row r="491" s="942" customFormat="1" ht="15.75" customHeight="1"/>
    <row r="492" s="942" customFormat="1" ht="15.75" customHeight="1"/>
    <row r="493" s="942" customFormat="1" ht="15.75" customHeight="1"/>
    <row r="494" s="942" customFormat="1" ht="15.75" customHeight="1"/>
    <row r="495" s="942" customFormat="1" ht="15.75" customHeight="1"/>
    <row r="496" s="942" customFormat="1" ht="15.75" customHeight="1"/>
    <row r="497" s="942" customFormat="1" ht="15.75" customHeight="1"/>
    <row r="498" s="942" customFormat="1" ht="15.75" customHeight="1"/>
    <row r="499" s="942" customFormat="1" ht="15.75" customHeight="1"/>
    <row r="500" s="942" customFormat="1" ht="15.75" customHeight="1"/>
    <row r="501" s="942" customFormat="1" ht="15.75" customHeight="1"/>
    <row r="502" s="942" customFormat="1" ht="15.75" customHeight="1"/>
    <row r="503" s="942" customFormat="1" ht="15.75" customHeight="1"/>
    <row r="504" s="942" customFormat="1" ht="15.75" customHeight="1"/>
    <row r="505" s="942" customFormat="1" ht="15.75" customHeight="1"/>
    <row r="506" s="942" customFormat="1" ht="15.75" customHeight="1"/>
    <row r="507" s="942" customFormat="1" ht="15.75" customHeight="1"/>
    <row r="508" s="942" customFormat="1" ht="15.75" customHeight="1"/>
    <row r="509" s="942" customFormat="1" ht="15.75" customHeight="1"/>
    <row r="510" s="942" customFormat="1" ht="15.75" customHeight="1"/>
    <row r="511" s="942" customFormat="1" ht="15.75" customHeight="1"/>
    <row r="512" s="942" customFormat="1" ht="15.75" customHeight="1"/>
    <row r="513" s="942" customFormat="1" ht="15.75" customHeight="1"/>
    <row r="514" s="942" customFormat="1" ht="15.75" customHeight="1"/>
    <row r="515" s="942" customFormat="1" ht="15.75" customHeight="1"/>
    <row r="516" s="942" customFormat="1" ht="15.75" customHeight="1"/>
    <row r="517" s="942" customFormat="1" ht="15.75" customHeight="1"/>
    <row r="518" s="942" customFormat="1" ht="15.75" customHeight="1"/>
    <row r="519" s="942" customFormat="1" ht="15.75" customHeight="1"/>
    <row r="520" s="942" customFormat="1" ht="15.75" customHeight="1"/>
    <row r="521" s="942" customFormat="1" ht="15.75" customHeight="1"/>
    <row r="522" s="942" customFormat="1" ht="15.75" customHeight="1"/>
    <row r="523" s="942" customFormat="1" ht="15.75" customHeight="1"/>
    <row r="524" s="942" customFormat="1" ht="15.75" customHeight="1"/>
    <row r="525" s="942" customFormat="1" ht="15.75" customHeight="1"/>
    <row r="526" s="942" customFormat="1" ht="15.75" customHeight="1"/>
    <row r="527" s="942" customFormat="1" ht="15.75" customHeight="1"/>
    <row r="528" s="942" customFormat="1" ht="15.75" customHeight="1"/>
    <row r="529" s="942" customFormat="1" ht="15.75" customHeight="1"/>
    <row r="530" s="942" customFormat="1" ht="15.75" customHeight="1"/>
    <row r="531" s="942" customFormat="1" ht="15.75" customHeight="1"/>
    <row r="532" s="942" customFormat="1" ht="15.75" customHeight="1"/>
    <row r="533" s="942" customFormat="1" ht="15.75" customHeight="1"/>
    <row r="534" s="942" customFormat="1" ht="15.75" customHeight="1"/>
    <row r="535" s="942" customFormat="1" ht="15.75" customHeight="1"/>
    <row r="536" s="942" customFormat="1" ht="15.75" customHeight="1"/>
    <row r="537" s="942" customFormat="1" ht="15.75" customHeight="1"/>
    <row r="538" s="942" customFormat="1" ht="15.75" customHeight="1"/>
    <row r="539" s="942" customFormat="1" ht="15.75" customHeight="1"/>
    <row r="540" s="942" customFormat="1" ht="15.75" customHeight="1"/>
    <row r="541" s="942" customFormat="1" ht="15.75" customHeight="1"/>
    <row r="542" s="942" customFormat="1" ht="15.75" customHeight="1"/>
    <row r="543" s="942" customFormat="1" ht="15.75" customHeight="1"/>
    <row r="544" s="942" customFormat="1" ht="15.75" customHeight="1"/>
    <row r="545" s="942" customFormat="1" ht="15.75" customHeight="1"/>
    <row r="546" s="942" customFormat="1" ht="15.75" customHeight="1"/>
    <row r="547" s="942" customFormat="1" ht="15.75" customHeight="1"/>
    <row r="548" s="942" customFormat="1" ht="15.75" customHeight="1"/>
    <row r="549" s="942" customFormat="1" ht="15.75" customHeight="1"/>
    <row r="550" s="942" customFormat="1" ht="15.75" customHeight="1"/>
    <row r="551" s="942" customFormat="1" ht="15.75" customHeight="1"/>
    <row r="552" s="942" customFormat="1" ht="15.75" customHeight="1"/>
    <row r="553" s="942" customFormat="1" ht="15.75" customHeight="1"/>
    <row r="554" s="942" customFormat="1" ht="15.75" customHeight="1"/>
    <row r="555" s="942" customFormat="1" ht="15.75" customHeight="1"/>
    <row r="556" s="942" customFormat="1" ht="15.75" customHeight="1"/>
    <row r="557" s="942" customFormat="1" ht="15.75" customHeight="1"/>
    <row r="558" s="942" customFormat="1" ht="15.75" customHeight="1"/>
    <row r="559" s="942" customFormat="1" ht="15.75" customHeight="1"/>
    <row r="560" s="942" customFormat="1" ht="15.75" customHeight="1"/>
    <row r="561" s="942" customFormat="1" ht="15.75" customHeight="1"/>
    <row r="562" s="942" customFormat="1" ht="15.75" customHeight="1"/>
    <row r="563" s="942" customFormat="1" ht="15.75" customHeight="1"/>
    <row r="564" s="942" customFormat="1" ht="15.75" customHeight="1"/>
    <row r="565" s="942" customFormat="1" ht="15.75" customHeight="1"/>
    <row r="566" s="942" customFormat="1" ht="15.75" customHeight="1"/>
    <row r="567" s="942" customFormat="1" ht="15.75" customHeight="1"/>
    <row r="568" s="942" customFormat="1" ht="15.75" customHeight="1"/>
    <row r="569" s="942" customFormat="1" ht="15.75" customHeight="1"/>
    <row r="570" s="942" customFormat="1" ht="15.75" customHeight="1"/>
    <row r="571" s="942" customFormat="1" ht="15.75" customHeight="1"/>
    <row r="572" s="942" customFormat="1" ht="15.75" customHeight="1"/>
    <row r="573" s="942" customFormat="1" ht="15.75" customHeight="1"/>
    <row r="574" s="942" customFormat="1" ht="15.75" customHeight="1"/>
    <row r="575" s="942" customFormat="1" ht="15.75" customHeight="1"/>
    <row r="576" s="942" customFormat="1" ht="15.75" customHeight="1"/>
    <row r="577" s="942" customFormat="1" ht="15.75" customHeight="1"/>
    <row r="578" s="942" customFormat="1" ht="15.75" customHeight="1"/>
    <row r="579" s="942" customFormat="1" ht="15.75" customHeight="1"/>
    <row r="580" s="942" customFormat="1" ht="15.75" customHeight="1"/>
    <row r="581" s="942" customFormat="1" ht="15.75" customHeight="1"/>
    <row r="582" s="942" customFormat="1" ht="15.75" customHeight="1"/>
    <row r="583" s="942" customFormat="1" ht="15.75" customHeight="1"/>
    <row r="584" s="942" customFormat="1" ht="15.75" customHeight="1"/>
    <row r="585" s="942" customFormat="1" ht="15.75" customHeight="1"/>
    <row r="586" s="942" customFormat="1" ht="15.75" customHeight="1"/>
    <row r="587" s="942" customFormat="1" ht="15.75" customHeight="1"/>
    <row r="588" s="942" customFormat="1" ht="15.75" customHeight="1"/>
    <row r="589" s="942" customFormat="1" ht="15.75" customHeight="1"/>
    <row r="590" s="942" customFormat="1" ht="15.75" customHeight="1"/>
    <row r="591" s="942" customFormat="1" ht="15.75" customHeight="1"/>
    <row r="592" s="942" customFormat="1" ht="15.75" customHeight="1"/>
    <row r="593" s="942" customFormat="1" ht="15.75" customHeight="1"/>
    <row r="594" s="942" customFormat="1" ht="15.75" customHeight="1"/>
    <row r="595" s="942" customFormat="1" ht="15.75" customHeight="1"/>
    <row r="596" s="942" customFormat="1" ht="15.75" customHeight="1"/>
    <row r="597" s="942" customFormat="1" ht="15.75" customHeight="1"/>
    <row r="598" s="942" customFormat="1" ht="15.75" customHeight="1"/>
    <row r="599" s="942" customFormat="1" ht="15.75" customHeight="1"/>
    <row r="600" s="942" customFormat="1" ht="15.75" customHeight="1"/>
    <row r="601" s="942" customFormat="1" ht="15.75" customHeight="1"/>
    <row r="602" s="942" customFormat="1" ht="15.75" customHeight="1"/>
    <row r="603" s="942" customFormat="1" ht="15.75" customHeight="1"/>
    <row r="604" s="942" customFormat="1" ht="15.75" customHeight="1"/>
    <row r="605" s="942" customFormat="1" ht="15.75" customHeight="1"/>
    <row r="606" s="942" customFormat="1" ht="15.75" customHeight="1"/>
    <row r="607" s="942" customFormat="1" ht="15.75" customHeight="1"/>
    <row r="608" s="942" customFormat="1" ht="15.75" customHeight="1"/>
    <row r="609" s="942" customFormat="1" ht="15.75" customHeight="1"/>
    <row r="610" s="942" customFormat="1" ht="15.75" customHeight="1"/>
    <row r="611" s="942" customFormat="1" ht="15.75" customHeight="1"/>
    <row r="612" s="942" customFormat="1" ht="15.75" customHeight="1"/>
    <row r="613" s="942" customFormat="1" ht="15.75" customHeight="1"/>
    <row r="614" s="942" customFormat="1" ht="15.75" customHeight="1"/>
    <row r="615" s="942" customFormat="1" ht="15.75" customHeight="1"/>
    <row r="616" s="942" customFormat="1" ht="15.75" customHeight="1"/>
    <row r="617" s="942" customFormat="1" ht="15.75" customHeight="1"/>
    <row r="618" s="942" customFormat="1" ht="15.75" customHeight="1"/>
    <row r="619" s="942" customFormat="1" ht="15.75" customHeight="1"/>
    <row r="620" s="942" customFormat="1" ht="15.75" customHeight="1"/>
    <row r="621" s="942" customFormat="1" ht="15.75" customHeight="1"/>
    <row r="622" s="942" customFormat="1" ht="15.75" customHeight="1"/>
    <row r="623" s="942" customFormat="1" ht="15.75" customHeight="1"/>
    <row r="624" s="942" customFormat="1" ht="15.75" customHeight="1"/>
    <row r="625" s="942" customFormat="1" ht="15.75" customHeight="1"/>
    <row r="626" s="942" customFormat="1" ht="15.75" customHeight="1"/>
    <row r="627" s="942" customFormat="1" ht="15.75" customHeight="1"/>
    <row r="628" s="942" customFormat="1" ht="15.75" customHeight="1"/>
    <row r="629" s="942" customFormat="1" ht="15.75" customHeight="1"/>
    <row r="630" s="942" customFormat="1" ht="15.75" customHeight="1"/>
    <row r="631" s="942" customFormat="1" ht="15.75" customHeight="1"/>
    <row r="632" s="942" customFormat="1" ht="15.75" customHeight="1"/>
    <row r="633" s="942" customFormat="1" ht="15.75" customHeight="1"/>
    <row r="634" s="942" customFormat="1" ht="15.75" customHeight="1"/>
    <row r="635" s="942" customFormat="1" ht="15.75" customHeight="1"/>
    <row r="636" s="942" customFormat="1" ht="15.75" customHeight="1"/>
    <row r="637" s="942" customFormat="1" ht="15.75" customHeight="1"/>
    <row r="638" s="942" customFormat="1" ht="15.75" customHeight="1"/>
    <row r="639" s="942" customFormat="1" ht="15.75" customHeight="1"/>
    <row r="640" s="942" customFormat="1" ht="15.75" customHeight="1"/>
    <row r="641" s="942" customFormat="1" ht="15.75" customHeight="1"/>
    <row r="642" s="942" customFormat="1" ht="15.75" customHeight="1"/>
    <row r="643" s="942" customFormat="1" ht="15.75" customHeight="1"/>
    <row r="644" s="942" customFormat="1" ht="15.75" customHeight="1"/>
    <row r="645" s="942" customFormat="1" ht="15.75" customHeight="1"/>
    <row r="646" s="942" customFormat="1" ht="15.75" customHeight="1"/>
    <row r="647" s="942" customFormat="1" ht="15.75" customHeight="1"/>
    <row r="648" s="942" customFormat="1" ht="15.75" customHeight="1"/>
    <row r="649" s="942" customFormat="1" ht="15.75" customHeight="1"/>
    <row r="650" s="942" customFormat="1" ht="15.75" customHeight="1"/>
    <row r="651" s="942" customFormat="1" ht="15.75" customHeight="1"/>
    <row r="652" s="942" customFormat="1" ht="15.75" customHeight="1"/>
    <row r="653" s="942" customFormat="1" ht="15.75" customHeight="1"/>
    <row r="654" s="942" customFormat="1" ht="15.75" customHeight="1"/>
    <row r="655" s="942" customFormat="1" ht="15.75" customHeight="1"/>
    <row r="656" s="942" customFormat="1" ht="15.75" customHeight="1"/>
    <row r="657" s="942" customFormat="1" ht="15.75" customHeight="1"/>
    <row r="658" s="942" customFormat="1" ht="15.75" customHeight="1"/>
    <row r="659" s="942" customFormat="1" ht="15.75" customHeight="1"/>
    <row r="660" s="942" customFormat="1" ht="15.75" customHeight="1"/>
    <row r="661" s="942" customFormat="1" ht="15.75" customHeight="1"/>
    <row r="662" s="942" customFormat="1" ht="15.75" customHeight="1"/>
    <row r="663" s="942" customFormat="1" ht="15.75" customHeight="1"/>
    <row r="664" s="942" customFormat="1" ht="15.75" customHeight="1"/>
    <row r="665" s="942" customFormat="1" ht="15.75" customHeight="1"/>
    <row r="666" s="942" customFormat="1" ht="15.75" customHeight="1"/>
    <row r="667" s="942" customFormat="1" ht="15.75" customHeight="1"/>
    <row r="668" s="942" customFormat="1" ht="15.75" customHeight="1"/>
    <row r="669" s="942" customFormat="1" ht="15.75" customHeight="1"/>
    <row r="670" s="942" customFormat="1" ht="15.75" customHeight="1"/>
    <row r="671" s="942" customFormat="1" ht="15.75" customHeight="1"/>
    <row r="672" s="942" customFormat="1" ht="15.75" customHeight="1"/>
    <row r="673" s="942" customFormat="1" ht="15.75" customHeight="1"/>
    <row r="674" s="942" customFormat="1" ht="15.75" customHeight="1"/>
    <row r="675" s="942" customFormat="1" ht="15.75" customHeight="1"/>
    <row r="676" s="942" customFormat="1" ht="15.75" customHeight="1"/>
    <row r="677" s="942" customFormat="1" ht="15.75" customHeight="1"/>
    <row r="678" s="942" customFormat="1" ht="15.75" customHeight="1"/>
    <row r="679" s="942" customFormat="1" ht="15.75" customHeight="1"/>
    <row r="680" s="942" customFormat="1" ht="15.75" customHeight="1"/>
    <row r="681" s="942" customFormat="1" ht="15.75" customHeight="1"/>
    <row r="682" s="942" customFormat="1" ht="15.75" customHeight="1"/>
    <row r="683" s="942" customFormat="1" ht="15.75" customHeight="1"/>
    <row r="684" s="942" customFormat="1" ht="15.75" customHeight="1"/>
    <row r="685" s="942" customFormat="1" ht="15.75" customHeight="1"/>
    <row r="686" s="942" customFormat="1" ht="15.75" customHeight="1"/>
    <row r="687" s="942" customFormat="1" ht="15.75" customHeight="1"/>
    <row r="688" s="942" customFormat="1" ht="15.75" customHeight="1"/>
    <row r="689" s="942" customFormat="1" ht="15.75" customHeight="1"/>
    <row r="690" s="942" customFormat="1" ht="15.75" customHeight="1"/>
    <row r="691" s="942" customFormat="1" ht="15.75" customHeight="1"/>
    <row r="692" s="942" customFormat="1" ht="15.75" customHeight="1"/>
    <row r="693" s="942" customFormat="1" ht="15.75" customHeight="1"/>
    <row r="694" s="942" customFormat="1" ht="15.75" customHeight="1"/>
    <row r="695" s="942" customFormat="1" ht="15.75" customHeight="1"/>
    <row r="696" s="942" customFormat="1" ht="15.75" customHeight="1"/>
    <row r="697" s="942" customFormat="1" ht="15.75" customHeight="1"/>
    <row r="698" s="942" customFormat="1" ht="15.75" customHeight="1"/>
    <row r="699" s="942" customFormat="1" ht="15.75" customHeight="1"/>
    <row r="700" s="942" customFormat="1" ht="15.75" customHeight="1"/>
    <row r="701" s="942" customFormat="1" ht="15.75" customHeight="1"/>
    <row r="702" s="942" customFormat="1" ht="15.75" customHeight="1"/>
    <row r="703" s="942" customFormat="1" ht="15.75" customHeight="1"/>
    <row r="704" s="942" customFormat="1" ht="15.75" customHeight="1"/>
    <row r="705" s="942" customFormat="1" ht="15.75" customHeight="1"/>
    <row r="706" s="942" customFormat="1" ht="15.75" customHeight="1"/>
    <row r="707" s="942" customFormat="1" ht="15.75" customHeight="1"/>
    <row r="708" s="942" customFormat="1" ht="15.75" customHeight="1"/>
    <row r="709" s="942" customFormat="1" ht="15.75" customHeight="1"/>
    <row r="710" s="942" customFormat="1" ht="15.75" customHeight="1"/>
    <row r="711" s="942" customFormat="1" ht="15.75" customHeight="1"/>
    <row r="712" s="942" customFormat="1" ht="15.75" customHeight="1"/>
    <row r="713" s="942" customFormat="1" ht="15.75" customHeight="1"/>
    <row r="714" s="942" customFormat="1" ht="15.75" customHeight="1"/>
    <row r="715" s="942" customFormat="1" ht="15.75" customHeight="1"/>
    <row r="716" s="942" customFormat="1" ht="15.75" customHeight="1"/>
    <row r="717" s="942" customFormat="1" ht="15.75" customHeight="1"/>
    <row r="718" s="942" customFormat="1" ht="15.75" customHeight="1"/>
    <row r="719" s="942" customFormat="1" ht="15.75" customHeight="1"/>
    <row r="720" s="942" customFormat="1" ht="15.75" customHeight="1"/>
    <row r="721" s="942" customFormat="1" ht="15.75" customHeight="1"/>
    <row r="722" s="942" customFormat="1" ht="15.75" customHeight="1"/>
    <row r="723" s="942" customFormat="1" ht="15.75" customHeight="1"/>
    <row r="724" s="942" customFormat="1" ht="15.75" customHeight="1"/>
    <row r="725" s="942" customFormat="1" ht="15.75" customHeight="1"/>
    <row r="726" s="942" customFormat="1" ht="15.75" customHeight="1"/>
    <row r="727" s="942" customFormat="1" ht="15.75" customHeight="1"/>
    <row r="728" s="942" customFormat="1" ht="15.75" customHeight="1"/>
    <row r="729" s="942" customFormat="1" ht="15.75" customHeight="1"/>
    <row r="730" s="942" customFormat="1" ht="15.75" customHeight="1"/>
    <row r="731" s="942" customFormat="1" ht="15.75" customHeight="1"/>
    <row r="732" s="942" customFormat="1" ht="15.75" customHeight="1"/>
    <row r="733" s="942" customFormat="1" ht="15.75" customHeight="1"/>
    <row r="734" s="942" customFormat="1" ht="15.75" customHeight="1"/>
    <row r="735" s="942" customFormat="1" ht="15.75" customHeight="1"/>
    <row r="736" s="942" customFormat="1" ht="15.75" customHeight="1"/>
    <row r="737" s="942" customFormat="1" ht="15.75" customHeight="1"/>
    <row r="738" s="942" customFormat="1" ht="15.75" customHeight="1"/>
    <row r="739" s="942" customFormat="1" ht="15.75" customHeight="1"/>
    <row r="740" s="942" customFormat="1" ht="15.75" customHeight="1"/>
    <row r="741" s="942" customFormat="1" ht="15.75" customHeight="1"/>
    <row r="742" s="942" customFormat="1" ht="15.75" customHeight="1"/>
    <row r="743" s="942" customFormat="1" ht="15.75" customHeight="1"/>
    <row r="744" s="942" customFormat="1" ht="15.75" customHeight="1"/>
    <row r="745" s="942" customFormat="1" ht="15.75" customHeight="1"/>
    <row r="746" s="942" customFormat="1" ht="15.75" customHeight="1"/>
    <row r="747" s="942" customFormat="1" ht="15.75" customHeight="1"/>
    <row r="748" s="942" customFormat="1" ht="15.75" customHeight="1"/>
    <row r="749" s="942" customFormat="1" ht="15.75" customHeight="1"/>
    <row r="750" s="942" customFormat="1" ht="15.75" customHeight="1"/>
    <row r="751" s="942" customFormat="1" ht="15.75" customHeight="1"/>
    <row r="752" s="942" customFormat="1" ht="15.75" customHeight="1"/>
    <row r="753" s="942" customFormat="1" ht="15.75" customHeight="1"/>
    <row r="754" s="942" customFormat="1" ht="15.75" customHeight="1"/>
    <row r="755" s="942" customFormat="1" ht="15.75" customHeight="1"/>
    <row r="756" s="942" customFormat="1" ht="15.75" customHeight="1"/>
    <row r="757" s="942" customFormat="1" ht="15.75" customHeight="1"/>
    <row r="758" s="942" customFormat="1" ht="15.75" customHeight="1"/>
    <row r="759" s="942" customFormat="1" ht="15.75" customHeight="1"/>
    <row r="760" s="942" customFormat="1" ht="15.75" customHeight="1"/>
    <row r="761" s="942" customFormat="1" ht="15.75" customHeight="1"/>
    <row r="762" s="942" customFormat="1" ht="15.75" customHeight="1"/>
    <row r="763" s="942" customFormat="1" ht="15.75" customHeight="1"/>
    <row r="764" s="942" customFormat="1" ht="15.75" customHeight="1"/>
    <row r="765" s="942" customFormat="1" ht="15.75" customHeight="1"/>
    <row r="766" s="942" customFormat="1" ht="15.75" customHeight="1"/>
    <row r="767" s="942" customFormat="1" ht="15.75" customHeight="1"/>
    <row r="768" s="942" customFormat="1" ht="15.75" customHeight="1"/>
    <row r="769" s="942" customFormat="1" ht="15.75" customHeight="1"/>
    <row r="770" s="942" customFormat="1" ht="15.75" customHeight="1"/>
    <row r="771" s="942" customFormat="1" ht="15.75" customHeight="1"/>
    <row r="772" s="942" customFormat="1" ht="15.75" customHeight="1"/>
    <row r="773" s="942" customFormat="1" ht="15.75" customHeight="1"/>
    <row r="774" s="942" customFormat="1" ht="15.75" customHeight="1"/>
    <row r="775" s="942" customFormat="1" ht="15.75" customHeight="1"/>
    <row r="776" s="942" customFormat="1" ht="15.75" customHeight="1"/>
    <row r="777" s="942" customFormat="1" ht="15.75" customHeight="1"/>
    <row r="778" s="942" customFormat="1" ht="15.75" customHeight="1"/>
    <row r="779" s="942" customFormat="1" ht="15.75" customHeight="1"/>
    <row r="780" s="942" customFormat="1" ht="15.75" customHeight="1"/>
    <row r="781" s="942" customFormat="1" ht="15.75" customHeight="1"/>
    <row r="782" s="942" customFormat="1" ht="15.75" customHeight="1"/>
    <row r="783" s="942" customFormat="1" ht="15.75" customHeight="1"/>
    <row r="784" s="942" customFormat="1" ht="15.75" customHeight="1"/>
    <row r="785" s="942" customFormat="1" ht="15.75" customHeight="1"/>
    <row r="786" s="942" customFormat="1" ht="15.75" customHeight="1"/>
    <row r="787" s="942" customFormat="1" ht="15.75" customHeight="1"/>
    <row r="788" s="942" customFormat="1" ht="15.75" customHeight="1"/>
    <row r="789" s="942" customFormat="1" ht="15.75" customHeight="1"/>
    <row r="790" s="942" customFormat="1" ht="15.75" customHeight="1"/>
    <row r="791" s="942" customFormat="1" ht="15.75" customHeight="1"/>
    <row r="792" s="942" customFormat="1" ht="15.75" customHeight="1"/>
    <row r="793" s="942" customFormat="1" ht="15.75" customHeight="1"/>
    <row r="794" s="942" customFormat="1" ht="15.75" customHeight="1"/>
    <row r="795" s="942" customFormat="1" ht="15.75" customHeight="1"/>
    <row r="796" s="942" customFormat="1" ht="15.75" customHeight="1"/>
    <row r="797" s="942" customFormat="1" ht="15.75" customHeight="1"/>
    <row r="798" s="942" customFormat="1" ht="15.75" customHeight="1"/>
    <row r="799" s="942" customFormat="1" ht="15.75" customHeight="1"/>
    <row r="800" s="942" customFormat="1" ht="15.75" customHeight="1"/>
    <row r="801" s="942" customFormat="1" ht="15.75" customHeight="1"/>
    <row r="802" s="942" customFormat="1" ht="15.75" customHeight="1"/>
    <row r="803" s="942" customFormat="1" ht="15.75" customHeight="1"/>
    <row r="804" s="942" customFormat="1" ht="15.75" customHeight="1"/>
    <row r="805" s="942" customFormat="1" ht="15.75" customHeight="1"/>
    <row r="806" s="942" customFormat="1" ht="15.75" customHeight="1"/>
    <row r="807" s="942" customFormat="1" ht="15.75" customHeight="1"/>
    <row r="808" s="942" customFormat="1" ht="15.75" customHeight="1"/>
    <row r="809" s="942" customFormat="1" ht="15.75" customHeight="1"/>
    <row r="810" s="942" customFormat="1" ht="15.75" customHeight="1"/>
    <row r="811" s="942" customFormat="1" ht="15.75" customHeight="1"/>
    <row r="812" s="942" customFormat="1" ht="15.75" customHeight="1"/>
    <row r="813" s="942" customFormat="1" ht="15.75" customHeight="1"/>
    <row r="814" s="942" customFormat="1" ht="15.75" customHeight="1"/>
    <row r="815" s="942" customFormat="1" ht="15.75" customHeight="1"/>
    <row r="816" s="942" customFormat="1" ht="15.75" customHeight="1"/>
    <row r="817" s="942" customFormat="1" ht="15.75" customHeight="1"/>
    <row r="818" s="942" customFormat="1" ht="15.75" customHeight="1"/>
    <row r="819" s="942" customFormat="1" ht="15.75" customHeight="1"/>
    <row r="820" s="942" customFormat="1" ht="15.75" customHeight="1"/>
    <row r="821" s="942" customFormat="1" ht="15.75" customHeight="1"/>
    <row r="822" s="942" customFormat="1" ht="15.75" customHeight="1"/>
    <row r="823" s="942" customFormat="1" ht="15.75" customHeight="1"/>
    <row r="824" s="942" customFormat="1" ht="15.75" customHeight="1"/>
    <row r="825" s="942" customFormat="1" ht="15.75" customHeight="1"/>
    <row r="826" s="942" customFormat="1" ht="15.75" customHeight="1"/>
    <row r="827" s="942" customFormat="1" ht="15.75" customHeight="1"/>
    <row r="828" s="942" customFormat="1" ht="15.75" customHeight="1"/>
    <row r="829" s="942" customFormat="1" ht="15.75" customHeight="1"/>
    <row r="830" s="942" customFormat="1" ht="15.75" customHeight="1"/>
    <row r="831" s="942" customFormat="1" ht="15.75" customHeight="1"/>
    <row r="832" s="942" customFormat="1" ht="15.75" customHeight="1"/>
    <row r="833" s="942" customFormat="1" ht="15.75" customHeight="1"/>
    <row r="834" s="942" customFormat="1" ht="15.75" customHeight="1"/>
    <row r="835" s="942" customFormat="1" ht="15.75" customHeight="1"/>
    <row r="836" s="942" customFormat="1" ht="15.75" customHeight="1"/>
    <row r="837" s="942" customFormat="1" ht="15.75" customHeight="1"/>
    <row r="838" s="942" customFormat="1" ht="15.75" customHeight="1"/>
    <row r="839" s="942" customFormat="1" ht="15.75" customHeight="1"/>
    <row r="840" s="942" customFormat="1" ht="15.75" customHeight="1"/>
    <row r="841" s="942" customFormat="1" ht="15.75" customHeight="1"/>
    <row r="842" s="942" customFormat="1" ht="15.75" customHeight="1"/>
    <row r="843" s="942" customFormat="1" ht="15.75" customHeight="1"/>
    <row r="844" s="942" customFormat="1" ht="15.75" customHeight="1"/>
    <row r="845" s="942" customFormat="1" ht="15.75" customHeight="1"/>
    <row r="846" s="942" customFormat="1" ht="15.75" customHeight="1"/>
    <row r="847" s="942" customFormat="1" ht="15.75" customHeight="1"/>
    <row r="848" s="942" customFormat="1" ht="15.75" customHeight="1"/>
    <row r="849" s="942" customFormat="1" ht="15.75" customHeight="1"/>
    <row r="850" s="942" customFormat="1" ht="15.75" customHeight="1"/>
    <row r="851" s="942" customFormat="1" ht="15.75" customHeight="1"/>
    <row r="852" s="942" customFormat="1" ht="15.75" customHeight="1"/>
    <row r="853" s="942" customFormat="1" ht="15.75" customHeight="1"/>
    <row r="854" s="942" customFormat="1" ht="15.75" customHeight="1"/>
    <row r="855" s="942" customFormat="1" ht="15.75" customHeight="1"/>
    <row r="856" s="942" customFormat="1" ht="15.75" customHeight="1"/>
    <row r="857" s="942" customFormat="1" ht="15.75" customHeight="1"/>
    <row r="858" s="942" customFormat="1" ht="15.75" customHeight="1"/>
    <row r="859" s="942" customFormat="1" ht="15.75" customHeight="1"/>
    <row r="860" s="942" customFormat="1" ht="15.75" customHeight="1"/>
    <row r="861" s="942" customFormat="1" ht="15.75" customHeight="1"/>
    <row r="862" s="942" customFormat="1" ht="15.75" customHeight="1"/>
    <row r="863" s="942" customFormat="1" ht="15.75" customHeight="1"/>
    <row r="864" s="942" customFormat="1" ht="15.75" customHeight="1"/>
    <row r="865" s="942" customFormat="1" ht="15.75" customHeight="1"/>
    <row r="866" s="942" customFormat="1" ht="15.75" customHeight="1"/>
    <row r="867" s="942" customFormat="1" ht="15.75" customHeight="1"/>
    <row r="868" s="942" customFormat="1" ht="15.75" customHeight="1"/>
    <row r="869" s="942" customFormat="1" ht="15.75" customHeight="1"/>
    <row r="870" s="942" customFormat="1" ht="15.75" customHeight="1"/>
    <row r="871" s="942" customFormat="1" ht="15.75" customHeight="1"/>
    <row r="872" s="942" customFormat="1" ht="15.75" customHeight="1"/>
    <row r="873" s="942" customFormat="1" ht="15.75" customHeight="1"/>
    <row r="874" s="942" customFormat="1" ht="15.75" customHeight="1"/>
    <row r="875" s="942" customFormat="1" ht="15.75" customHeight="1"/>
    <row r="876" s="942" customFormat="1" ht="15.75" customHeight="1"/>
    <row r="877" s="942" customFormat="1" ht="15.75" customHeight="1"/>
    <row r="878" s="942" customFormat="1" ht="15.75" customHeight="1"/>
    <row r="879" s="942" customFormat="1" ht="15.75" customHeight="1"/>
    <row r="880" s="942" customFormat="1" ht="15.75" customHeight="1"/>
    <row r="881" s="942" customFormat="1" ht="15.75" customHeight="1"/>
    <row r="882" s="942" customFormat="1" ht="15.75" customHeight="1"/>
    <row r="883" s="942" customFormat="1" ht="15.75" customHeight="1"/>
    <row r="884" s="942" customFormat="1" ht="15.75" customHeight="1"/>
    <row r="885" s="942" customFormat="1" ht="15.75" customHeight="1"/>
    <row r="886" s="942" customFormat="1" ht="15.75" customHeight="1"/>
    <row r="887" s="942" customFormat="1" ht="15.75" customHeight="1"/>
    <row r="888" s="942" customFormat="1" ht="15.75" customHeight="1"/>
    <row r="889" s="942" customFormat="1" ht="15.75" customHeight="1"/>
    <row r="890" s="942" customFormat="1" ht="15.75" customHeight="1"/>
    <row r="891" s="942" customFormat="1" ht="15.75" customHeight="1"/>
    <row r="892" s="942" customFormat="1" ht="15.75" customHeight="1"/>
    <row r="893" s="942" customFormat="1" ht="15.75" customHeight="1"/>
    <row r="894" s="942" customFormat="1" ht="15.75" customHeight="1"/>
    <row r="895" s="942" customFormat="1" ht="15.75" customHeight="1"/>
    <row r="896" s="942" customFormat="1" ht="15.75" customHeight="1"/>
    <row r="897" s="942" customFormat="1" ht="15.75" customHeight="1"/>
    <row r="898" s="942" customFormat="1" ht="15.75" customHeight="1"/>
    <row r="899" s="942" customFormat="1" ht="15.75" customHeight="1"/>
    <row r="900" s="942" customFormat="1" ht="15.75" customHeight="1"/>
    <row r="901" s="942" customFormat="1" ht="15.75" customHeight="1"/>
    <row r="902" s="942" customFormat="1" ht="15.75" customHeight="1"/>
    <row r="903" s="942" customFormat="1" ht="15.75" customHeight="1"/>
    <row r="904" s="942" customFormat="1" ht="15.75" customHeight="1"/>
    <row r="905" s="942" customFormat="1" ht="15.75" customHeight="1"/>
    <row r="906" s="942" customFormat="1" ht="15.75" customHeight="1"/>
    <row r="907" s="942" customFormat="1" ht="15.75" customHeight="1"/>
    <row r="908" s="942" customFormat="1" ht="15.75" customHeight="1"/>
    <row r="909" s="942" customFormat="1" ht="15.75" customHeight="1"/>
    <row r="910" s="942" customFormat="1" ht="15.75" customHeight="1"/>
    <row r="911" s="942" customFormat="1" ht="15.75" customHeight="1"/>
    <row r="912" s="942" customFormat="1" ht="15.75" customHeight="1"/>
    <row r="913" s="942" customFormat="1" ht="15.75" customHeight="1"/>
    <row r="914" s="942" customFormat="1" ht="15.75" customHeight="1"/>
    <row r="915" s="942" customFormat="1" ht="15.75" customHeight="1"/>
    <row r="916" s="942" customFormat="1" ht="15.75" customHeight="1"/>
    <row r="917" s="942" customFormat="1" ht="15.75" customHeight="1"/>
    <row r="918" s="942" customFormat="1" ht="15.75" customHeight="1"/>
    <row r="919" s="942" customFormat="1" ht="15.75" customHeight="1"/>
    <row r="920" s="942" customFormat="1" ht="15.75" customHeight="1"/>
    <row r="921" s="942" customFormat="1" ht="15.75" customHeight="1"/>
    <row r="922" s="942" customFormat="1" ht="15.75" customHeight="1"/>
    <row r="923" s="942" customFormat="1" ht="15.75" customHeight="1"/>
    <row r="924" s="942" customFormat="1" ht="15.75" customHeight="1"/>
    <row r="925" s="942" customFormat="1" ht="15.75" customHeight="1"/>
    <row r="926" s="942" customFormat="1" ht="15.75" customHeight="1"/>
    <row r="927" s="942" customFormat="1" ht="15.75" customHeight="1"/>
    <row r="928" s="942" customFormat="1" ht="15.75" customHeight="1"/>
    <row r="929" s="942" customFormat="1" ht="15.75" customHeight="1"/>
    <row r="930" s="942" customFormat="1" ht="15.75" customHeight="1"/>
    <row r="931" s="942" customFormat="1" ht="15.75" customHeight="1"/>
    <row r="932" s="942" customFormat="1" ht="15.75" customHeight="1"/>
    <row r="933" s="942" customFormat="1" ht="15.75" customHeight="1"/>
    <row r="934" s="942" customFormat="1" ht="15.75" customHeight="1"/>
    <row r="935" s="942" customFormat="1" ht="15.75" customHeight="1"/>
    <row r="936" s="942" customFormat="1" ht="15.75" customHeight="1"/>
    <row r="937" s="942" customFormat="1" ht="15.75" customHeight="1"/>
    <row r="938" s="942" customFormat="1" ht="15.75" customHeight="1"/>
    <row r="939" s="942" customFormat="1" ht="15.75" customHeight="1"/>
    <row r="940" s="942" customFormat="1" ht="15.75" customHeight="1"/>
    <row r="941" s="942" customFormat="1" ht="15.75" customHeight="1"/>
    <row r="942" s="942" customFormat="1" ht="15.75" customHeight="1"/>
    <row r="943" s="942" customFormat="1" ht="15.75" customHeight="1"/>
    <row r="944" s="942" customFormat="1" ht="15.75" customHeight="1"/>
    <row r="945" s="942" customFormat="1" ht="15.75" customHeight="1"/>
    <row r="946" s="942" customFormat="1" ht="15.75" customHeight="1"/>
    <row r="947" s="942" customFormat="1" ht="15.75" customHeight="1"/>
    <row r="948" s="942" customFormat="1" ht="15.75" customHeight="1"/>
    <row r="949" s="942" customFormat="1" ht="15.75" customHeight="1"/>
    <row r="950" s="942" customFormat="1" ht="15.75" customHeight="1"/>
    <row r="951" s="942" customFormat="1" ht="15.75" customHeight="1"/>
    <row r="952" s="942" customFormat="1" ht="15.75" customHeight="1"/>
    <row r="953" s="942" customFormat="1" ht="15.75" customHeight="1"/>
    <row r="954" s="942" customFormat="1" ht="15.75" customHeight="1"/>
    <row r="955" s="942" customFormat="1" ht="15.75" customHeight="1"/>
    <row r="956" s="942" customFormat="1" ht="15.75" customHeight="1"/>
    <row r="957" s="942" customFormat="1" ht="15.75" customHeight="1"/>
    <row r="958" s="942" customFormat="1" ht="15.75" customHeight="1"/>
    <row r="959" s="942" customFormat="1" ht="15.75" customHeight="1"/>
    <row r="960" s="942" customFormat="1" ht="15.75" customHeight="1"/>
    <row r="961" s="942" customFormat="1" ht="15.75" customHeight="1"/>
    <row r="962" s="942" customFormat="1" ht="15.75" customHeight="1"/>
    <row r="963" s="942" customFormat="1" ht="15.75" customHeight="1"/>
    <row r="964" s="942" customFormat="1" ht="15.75" customHeight="1"/>
    <row r="965" s="942" customFormat="1" ht="15.75" customHeight="1"/>
    <row r="966" s="942" customFormat="1" ht="15.75" customHeight="1"/>
    <row r="967" s="942" customFormat="1" ht="15.75" customHeight="1"/>
    <row r="968" s="942" customFormat="1" ht="15.75" customHeight="1"/>
    <row r="969" s="942" customFormat="1" ht="15.75" customHeight="1"/>
    <row r="970" s="942" customFormat="1" ht="15.75" customHeight="1"/>
    <row r="971" s="942" customFormat="1" ht="15.75" customHeight="1"/>
    <row r="972" s="942" customFormat="1" ht="15.75" customHeight="1"/>
    <row r="973" s="942" customFormat="1" ht="15.75" customHeight="1"/>
    <row r="974" s="942" customFormat="1" ht="15.75" customHeight="1"/>
    <row r="975" s="942" customFormat="1" ht="15.75" customHeight="1"/>
    <row r="976" s="942" customFormat="1" ht="15.75" customHeight="1"/>
    <row r="977" s="942" customFormat="1" ht="15.75" customHeight="1"/>
    <row r="978" s="942" customFormat="1" ht="15.75" customHeight="1"/>
    <row r="979" s="942" customFormat="1" ht="15.75" customHeight="1"/>
    <row r="980" s="942" customFormat="1" ht="15.75" customHeight="1"/>
    <row r="981" s="942" customFormat="1" ht="15.75" customHeight="1"/>
    <row r="982" s="942" customFormat="1" ht="15.75" customHeight="1"/>
    <row r="983" s="942" customFormat="1" ht="15.75" customHeight="1"/>
    <row r="984" s="942" customFormat="1" ht="15.75" customHeight="1"/>
    <row r="985" s="942" customFormat="1" ht="15.75" customHeight="1"/>
    <row r="986" s="942" customFormat="1" ht="15.75" customHeight="1"/>
    <row r="987" s="942" customFormat="1" ht="15.75" customHeight="1"/>
    <row r="988" s="942" customFormat="1" ht="15.75" customHeight="1"/>
    <row r="989" s="942" customFormat="1" ht="15.75" customHeight="1"/>
    <row r="990" s="942" customFormat="1" ht="15.75" customHeight="1"/>
    <row r="991" s="942" customFormat="1" ht="15.75" customHeight="1"/>
    <row r="992" s="942" customFormat="1" ht="15.75" customHeight="1"/>
    <row r="993" s="942" customFormat="1" ht="15.75" customHeight="1"/>
    <row r="994" s="942" customFormat="1" ht="15.75" customHeight="1"/>
    <row r="995" s="942" customFormat="1" ht="15.75" customHeight="1"/>
    <row r="996" s="942" customFormat="1" ht="15.75" customHeight="1"/>
    <row r="997" s="942" customFormat="1" ht="15.75" customHeight="1"/>
    <row r="998" s="942" customFormat="1" ht="15.75" customHeight="1"/>
    <row r="999" s="942" customFormat="1" ht="15.75" customHeight="1"/>
    <row r="1000" s="942" customFormat="1" ht="15.75" customHeight="1"/>
    <row r="1001" s="942" customFormat="1" ht="15.75" customHeight="1"/>
    <row r="1002" s="942" customFormat="1" ht="15.75" customHeight="1"/>
    <row r="1003" s="942" customFormat="1" ht="15.75" customHeight="1"/>
    <row r="1004" s="942" customFormat="1" ht="15.75" customHeight="1"/>
    <row r="1005" s="942" customFormat="1" ht="15.75" customHeight="1"/>
    <row r="1006" s="942" customFormat="1" ht="15.75" customHeight="1"/>
    <row r="1007" s="942" customFormat="1" ht="15.75" customHeight="1"/>
    <row r="1008" s="942" customFormat="1" ht="15.75" customHeight="1"/>
    <row r="1009" s="942" customFormat="1" ht="15.75" customHeight="1"/>
    <row r="1010" s="942" customFormat="1" ht="15.75" customHeight="1"/>
    <row r="1011" s="942" customFormat="1" ht="15.75" customHeight="1"/>
    <row r="1012" s="942" customFormat="1" ht="15.75" customHeight="1"/>
    <row r="1013" s="942" customFormat="1" ht="15.75" customHeight="1"/>
    <row r="1014" s="942" customFormat="1" ht="15.75" customHeight="1"/>
    <row r="1015" s="942" customFormat="1" ht="15.75" customHeight="1"/>
    <row r="1016" s="942" customFormat="1" ht="15.75" customHeight="1"/>
    <row r="1017" s="942" customFormat="1" ht="15.75" customHeight="1"/>
    <row r="1018" s="942" customFormat="1" ht="15.75" customHeight="1"/>
    <row r="1019" s="942" customFormat="1" ht="15.75" customHeight="1"/>
    <row r="1020" s="942" customFormat="1" ht="15.75" customHeight="1"/>
    <row r="1021" s="942" customFormat="1" ht="15.75" customHeight="1"/>
    <row r="1022" s="942" customFormat="1" ht="15.75" customHeight="1"/>
    <row r="1023" s="942" customFormat="1" ht="15.75" customHeight="1"/>
    <row r="1024" s="942" customFormat="1" ht="15.75" customHeight="1"/>
    <row r="1025" s="942" customFormat="1" ht="15.75" customHeight="1"/>
    <row r="1026" s="942" customFormat="1" ht="15.75" customHeight="1"/>
    <row r="1027" s="942" customFormat="1" ht="15.75" customHeight="1"/>
    <row r="1028" s="942" customFormat="1" ht="15.75" customHeight="1"/>
    <row r="1029" s="942" customFormat="1" ht="15.75" customHeight="1"/>
    <row r="1030" s="942" customFormat="1" ht="15.75" customHeight="1"/>
    <row r="1031" s="942" customFormat="1" ht="15.75" customHeight="1"/>
    <row r="1032" s="942" customFormat="1" ht="15.75" customHeight="1"/>
    <row r="1033" s="942" customFormat="1" ht="15.75" customHeight="1"/>
    <row r="1034" s="942" customFormat="1" ht="15.75" customHeight="1"/>
    <row r="1035" s="942" customFormat="1" ht="15.75" customHeight="1"/>
    <row r="1036" s="942" customFormat="1" ht="15.75" customHeight="1"/>
    <row r="1037" s="942" customFormat="1" ht="15.75" customHeight="1"/>
    <row r="1038" s="942" customFormat="1" ht="15.75" customHeight="1"/>
    <row r="1039" s="942" customFormat="1" ht="15.75" customHeight="1"/>
    <row r="1040" s="942" customFormat="1" ht="15.75" customHeight="1"/>
    <row r="1041" s="942" customFormat="1" ht="15.75" customHeight="1"/>
    <row r="1042" s="942" customFormat="1" ht="15.75" customHeight="1"/>
    <row r="1043" s="942" customFormat="1" ht="15.75" customHeight="1"/>
    <row r="1044" s="942" customFormat="1" ht="15.75" customHeight="1"/>
    <row r="1045" s="942" customFormat="1" ht="15.75" customHeight="1"/>
    <row r="1046" s="942" customFormat="1" ht="15.75" customHeight="1"/>
    <row r="1047" s="942" customFormat="1" ht="15.75" customHeight="1"/>
    <row r="1048" s="942" customFormat="1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</sheetData>
  <pageMargins left="0.7" right="0.45" top="0.75" bottom="0.5" header="0.511811023622047" footer="0.511811023622047"/>
  <pageSetup paperSize="9" scale="67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X1728"/>
  <sheetViews>
    <sheetView topLeftCell="A6" zoomScale="85" zoomScaleNormal="85" workbookViewId="0">
      <pane ySplit="1" topLeftCell="A209" activePane="bottomLeft" state="frozen"/>
      <selection activeCell="A6" sqref="A6"/>
      <selection pane="bottomLeft" activeCell="B247" sqref="B247"/>
    </sheetView>
  </sheetViews>
  <sheetFormatPr baseColWidth="10" defaultColWidth="9.1640625" defaultRowHeight="15"/>
  <cols>
    <col min="1" max="1" width="9.1640625" style="976"/>
    <col min="2" max="2" width="51.5" style="976" customWidth="1"/>
    <col min="3" max="10" width="12.5" style="976" customWidth="1"/>
    <col min="11" max="11" width="10.5" style="976" customWidth="1"/>
    <col min="12" max="12" width="8.5" style="976" customWidth="1"/>
    <col min="13" max="13" width="14.5" style="976" customWidth="1"/>
    <col min="14" max="14" width="6.5" style="976" customWidth="1"/>
    <col min="15" max="15" width="9.1640625" style="977"/>
    <col min="16" max="16" width="11.83203125" style="977" customWidth="1"/>
    <col min="17" max="18" width="9.1640625" style="977"/>
    <col min="19" max="19" width="12.1640625" style="977" customWidth="1"/>
    <col min="20" max="16384" width="9.1640625" style="977"/>
  </cols>
  <sheetData>
    <row r="1" spans="1:22" ht="15.75" customHeight="1">
      <c r="A1" s="978"/>
      <c r="B1" s="978"/>
      <c r="C1" s="978"/>
      <c r="D1" s="978"/>
      <c r="E1" s="978"/>
      <c r="F1" s="978"/>
      <c r="G1" s="978"/>
      <c r="H1" s="978"/>
      <c r="I1" s="978"/>
      <c r="J1" s="978"/>
      <c r="K1" s="978"/>
      <c r="L1" s="978"/>
      <c r="M1" s="978"/>
      <c r="N1" s="978"/>
      <c r="O1" s="979"/>
      <c r="P1" s="979"/>
      <c r="Q1" s="979"/>
      <c r="R1" s="979"/>
      <c r="S1" s="979"/>
      <c r="T1" s="980"/>
      <c r="U1" s="980"/>
      <c r="V1" s="980"/>
    </row>
    <row r="2" spans="1:22" ht="15.75" customHeight="1">
      <c r="A2" s="978"/>
      <c r="B2" s="978"/>
      <c r="C2" s="978"/>
      <c r="D2" s="978"/>
      <c r="E2" s="978"/>
      <c r="F2" s="978"/>
      <c r="G2" s="978"/>
      <c r="H2" s="978"/>
      <c r="I2" s="978"/>
      <c r="J2" s="978"/>
      <c r="K2" s="978"/>
      <c r="L2" s="978"/>
      <c r="M2" s="978"/>
      <c r="N2" s="978"/>
      <c r="O2" s="979"/>
      <c r="P2" s="979"/>
      <c r="Q2" s="979"/>
      <c r="R2" s="979"/>
      <c r="S2" s="979"/>
      <c r="T2" s="980"/>
      <c r="U2" s="980"/>
      <c r="V2" s="980"/>
    </row>
    <row r="3" spans="1:22" ht="15.75" customHeight="1">
      <c r="A3" s="978"/>
      <c r="B3" s="978"/>
      <c r="C3" s="978"/>
      <c r="D3" s="978"/>
      <c r="E3" s="978"/>
      <c r="F3" s="978"/>
      <c r="G3" s="978"/>
      <c r="H3" s="978"/>
      <c r="I3" s="978"/>
      <c r="J3" s="978"/>
      <c r="K3" s="978"/>
      <c r="L3" s="978"/>
      <c r="M3" s="978"/>
      <c r="N3" s="978"/>
      <c r="O3" s="979"/>
      <c r="P3" s="979"/>
      <c r="Q3" s="979"/>
      <c r="R3" s="979"/>
      <c r="S3" s="979"/>
      <c r="T3" s="980"/>
      <c r="U3" s="980"/>
      <c r="V3" s="980"/>
    </row>
    <row r="4" spans="1:22" ht="24" customHeight="1">
      <c r="A4" s="981" t="s">
        <v>76</v>
      </c>
      <c r="B4" s="978"/>
      <c r="C4" s="978"/>
      <c r="D4" s="978"/>
      <c r="E4" s="978"/>
      <c r="F4" s="978"/>
      <c r="G4" s="978"/>
      <c r="H4" s="978"/>
      <c r="I4" s="978"/>
      <c r="J4" s="978"/>
      <c r="K4" s="978"/>
      <c r="L4" s="978"/>
      <c r="M4" s="978"/>
      <c r="N4" s="978"/>
      <c r="O4" s="979"/>
      <c r="P4" s="979"/>
      <c r="Q4" s="979"/>
      <c r="R4" s="979"/>
      <c r="S4" s="979"/>
      <c r="T4" s="980"/>
      <c r="U4" s="980"/>
      <c r="V4" s="980"/>
    </row>
    <row r="5" spans="1:22" ht="15.75" customHeight="1">
      <c r="A5" s="978"/>
      <c r="B5" s="978"/>
      <c r="C5" s="978"/>
      <c r="D5" s="978"/>
      <c r="E5" s="978"/>
      <c r="F5" s="978"/>
      <c r="G5" s="978"/>
      <c r="H5" s="978"/>
      <c r="I5" s="978"/>
      <c r="J5" s="978"/>
      <c r="K5" s="978"/>
      <c r="L5" s="978"/>
      <c r="M5" s="978"/>
      <c r="N5" s="978"/>
      <c r="O5" s="979"/>
      <c r="P5" s="979"/>
      <c r="Q5" s="979"/>
      <c r="R5" s="979"/>
      <c r="S5" s="979"/>
      <c r="T5" s="980"/>
      <c r="U5" s="980"/>
      <c r="V5" s="980"/>
    </row>
    <row r="6" spans="1:22" s="986" customFormat="1" ht="27.75" customHeight="1">
      <c r="A6" s="982" t="s">
        <v>1</v>
      </c>
      <c r="B6" s="983" t="s">
        <v>68</v>
      </c>
      <c r="C6" s="983" t="s">
        <v>77</v>
      </c>
      <c r="D6" s="983" t="s">
        <v>78</v>
      </c>
      <c r="E6" s="983" t="s">
        <v>79</v>
      </c>
      <c r="F6" s="983" t="s">
        <v>978</v>
      </c>
      <c r="G6" s="984" t="s">
        <v>1095</v>
      </c>
      <c r="H6" s="984" t="s">
        <v>1096</v>
      </c>
      <c r="I6" s="983" t="s">
        <v>213</v>
      </c>
      <c r="J6" s="983" t="s">
        <v>977</v>
      </c>
      <c r="K6" s="983" t="s">
        <v>6</v>
      </c>
      <c r="L6" s="983" t="s">
        <v>80</v>
      </c>
      <c r="M6" s="983" t="s">
        <v>81</v>
      </c>
      <c r="N6" s="985" t="s">
        <v>82</v>
      </c>
      <c r="O6" s="979"/>
      <c r="P6" s="979"/>
      <c r="Q6" s="979"/>
      <c r="R6" s="979"/>
      <c r="S6" s="979"/>
      <c r="T6" s="979"/>
      <c r="U6" s="979"/>
      <c r="V6" s="979"/>
    </row>
    <row r="7" spans="1:22" s="986" customFormat="1" ht="7.5" customHeight="1">
      <c r="A7" s="987"/>
      <c r="B7" s="978"/>
      <c r="C7" s="978"/>
      <c r="D7" s="978"/>
      <c r="E7" s="978"/>
      <c r="F7" s="978"/>
      <c r="G7" s="978"/>
      <c r="H7" s="978"/>
      <c r="I7" s="978"/>
      <c r="J7" s="978"/>
      <c r="K7" s="978"/>
      <c r="L7" s="978"/>
      <c r="M7" s="978"/>
      <c r="N7" s="988"/>
      <c r="O7" s="979"/>
      <c r="P7" s="979"/>
      <c r="Q7" s="979"/>
      <c r="R7" s="979"/>
      <c r="S7" s="979"/>
      <c r="T7" s="979"/>
      <c r="U7" s="979"/>
      <c r="V7" s="979"/>
    </row>
    <row r="8" spans="1:22" s="986" customFormat="1" ht="7.5" customHeight="1">
      <c r="A8" s="989"/>
      <c r="B8" s="990"/>
      <c r="C8" s="990"/>
      <c r="D8" s="990"/>
      <c r="E8" s="990"/>
      <c r="F8" s="990"/>
      <c r="G8" s="990"/>
      <c r="H8" s="990"/>
      <c r="I8" s="990"/>
      <c r="J8" s="990"/>
      <c r="K8" s="990"/>
      <c r="L8" s="990"/>
      <c r="M8" s="990"/>
      <c r="N8" s="991"/>
      <c r="O8" s="979"/>
      <c r="P8" s="979"/>
      <c r="Q8" s="979"/>
      <c r="R8" s="979"/>
      <c r="S8" s="979"/>
      <c r="T8" s="979"/>
      <c r="U8" s="979"/>
      <c r="V8" s="979"/>
    </row>
    <row r="9" spans="1:22" s="986" customFormat="1" ht="15.75" customHeight="1">
      <c r="A9" s="992"/>
      <c r="B9" s="993"/>
      <c r="C9" s="994"/>
      <c r="D9" s="994"/>
      <c r="E9" s="994"/>
      <c r="F9" s="995"/>
      <c r="G9" s="995"/>
      <c r="H9" s="995"/>
      <c r="I9" s="995"/>
      <c r="J9" s="995"/>
      <c r="K9" s="994"/>
      <c r="L9" s="994"/>
      <c r="M9" s="995"/>
      <c r="N9" s="996"/>
    </row>
    <row r="10" spans="1:22" s="986" customFormat="1" ht="21.75" customHeight="1">
      <c r="A10" s="997" t="s">
        <v>520</v>
      </c>
      <c r="B10" s="998" t="s">
        <v>1407</v>
      </c>
      <c r="C10" s="999"/>
      <c r="D10" s="999"/>
      <c r="E10" s="999"/>
      <c r="F10" s="999"/>
      <c r="G10" s="999"/>
      <c r="H10" s="999"/>
      <c r="I10" s="999"/>
      <c r="J10" s="999"/>
      <c r="K10" s="999"/>
      <c r="L10" s="999"/>
      <c r="M10" s="999"/>
      <c r="N10" s="1000"/>
    </row>
    <row r="11" spans="1:22" s="986" customFormat="1" ht="15.75" customHeight="1">
      <c r="A11" s="1001" t="s">
        <v>522</v>
      </c>
      <c r="B11" s="1002" t="s">
        <v>395</v>
      </c>
      <c r="C11" s="999"/>
      <c r="D11" s="999"/>
      <c r="E11" s="999"/>
      <c r="F11" s="999"/>
      <c r="G11" s="999"/>
      <c r="H11" s="999"/>
      <c r="I11" s="999"/>
      <c r="J11" s="999"/>
      <c r="K11" s="999"/>
      <c r="L11" s="999"/>
      <c r="M11" s="999"/>
      <c r="N11" s="1000"/>
    </row>
    <row r="12" spans="1:22" s="986" customFormat="1" ht="15.75" customHeight="1">
      <c r="A12" s="1003">
        <v>1</v>
      </c>
      <c r="B12" s="1004" t="s">
        <v>396</v>
      </c>
      <c r="C12" s="999"/>
      <c r="D12" s="999"/>
      <c r="E12" s="999"/>
      <c r="F12" s="999"/>
      <c r="G12" s="999"/>
      <c r="H12" s="999"/>
      <c r="I12" s="999"/>
      <c r="J12" s="999"/>
      <c r="K12" s="999"/>
      <c r="L12" s="999"/>
      <c r="M12" s="999"/>
      <c r="N12" s="1000"/>
    </row>
    <row r="13" spans="1:22" s="986" customFormat="1" ht="15.75" customHeight="1">
      <c r="A13" s="1003"/>
      <c r="B13" s="1004"/>
      <c r="C13" s="994"/>
      <c r="D13" s="994">
        <f>1+4.5+1</f>
        <v>6.5</v>
      </c>
      <c r="E13" s="994"/>
      <c r="F13" s="994"/>
      <c r="G13" s="994"/>
      <c r="H13" s="994"/>
      <c r="I13" s="994"/>
      <c r="J13" s="994">
        <v>2</v>
      </c>
      <c r="K13" s="994"/>
      <c r="L13" s="994"/>
      <c r="M13" s="994">
        <f>D13*J13</f>
        <v>13</v>
      </c>
      <c r="N13" s="1005"/>
    </row>
    <row r="14" spans="1:22" s="986" customFormat="1" ht="15.75" customHeight="1">
      <c r="A14" s="1003"/>
      <c r="B14" s="1004"/>
      <c r="C14" s="994">
        <f>1+7+1</f>
        <v>9</v>
      </c>
      <c r="D14" s="994"/>
      <c r="E14" s="994"/>
      <c r="F14" s="994"/>
      <c r="G14" s="994"/>
      <c r="H14" s="994"/>
      <c r="I14" s="994"/>
      <c r="J14" s="994">
        <f>J13</f>
        <v>2</v>
      </c>
      <c r="K14" s="994"/>
      <c r="L14" s="994"/>
      <c r="M14" s="1006">
        <f>C14*J14</f>
        <v>18</v>
      </c>
      <c r="N14" s="1005"/>
    </row>
    <row r="15" spans="1:22" s="986" customFormat="1" ht="15.75" customHeight="1">
      <c r="A15" s="1003"/>
      <c r="B15" s="1004"/>
      <c r="C15" s="994"/>
      <c r="D15" s="994"/>
      <c r="E15" s="994"/>
      <c r="F15" s="994"/>
      <c r="G15" s="994"/>
      <c r="H15" s="994"/>
      <c r="I15" s="994"/>
      <c r="J15" s="994"/>
      <c r="K15" s="994"/>
      <c r="L15" s="994"/>
      <c r="M15" s="1007">
        <f>SUM(M13:M14)</f>
        <v>31</v>
      </c>
      <c r="N15" s="1008" t="s">
        <v>117</v>
      </c>
    </row>
    <row r="16" spans="1:22" s="986" customFormat="1" ht="15.75" customHeight="1">
      <c r="A16" s="1003">
        <f>A12+1</f>
        <v>2</v>
      </c>
      <c r="B16" s="993" t="s">
        <v>397</v>
      </c>
      <c r="C16" s="994"/>
      <c r="D16" s="994"/>
      <c r="E16" s="994"/>
      <c r="F16" s="994"/>
      <c r="G16" s="994"/>
      <c r="H16" s="994"/>
      <c r="I16" s="994"/>
      <c r="J16" s="994"/>
      <c r="K16" s="994"/>
      <c r="L16" s="994"/>
      <c r="M16" s="1007"/>
      <c r="N16" s="1008"/>
    </row>
    <row r="17" spans="1:14" s="986" customFormat="1" ht="15.75" customHeight="1">
      <c r="A17" s="1009" t="s">
        <v>95</v>
      </c>
      <c r="B17" s="993" t="s">
        <v>398</v>
      </c>
      <c r="C17" s="343">
        <f>0.8+0.1+0.1</f>
        <v>1</v>
      </c>
      <c r="D17" s="343">
        <f>C17</f>
        <v>1</v>
      </c>
      <c r="E17" s="343">
        <f>0.8+0.3+0.03+0.07</f>
        <v>1.2000000000000002</v>
      </c>
      <c r="F17" s="343"/>
      <c r="G17" s="343"/>
      <c r="H17" s="343"/>
      <c r="I17" s="1010"/>
      <c r="J17" s="1010"/>
      <c r="K17" s="1010"/>
      <c r="L17" s="1010">
        <v>6</v>
      </c>
      <c r="M17" s="1010">
        <f>C17*D17*E17*L17</f>
        <v>7.2000000000000011</v>
      </c>
      <c r="N17" s="1000" t="s">
        <v>103</v>
      </c>
    </row>
    <row r="18" spans="1:14" s="986" customFormat="1" ht="15.75" customHeight="1">
      <c r="A18" s="1009" t="s">
        <v>98</v>
      </c>
      <c r="B18" s="993" t="s">
        <v>399</v>
      </c>
      <c r="C18" s="343">
        <f>C17</f>
        <v>1</v>
      </c>
      <c r="D18" s="343">
        <f>D17</f>
        <v>1</v>
      </c>
      <c r="E18" s="343">
        <v>7.0000000000000007E-2</v>
      </c>
      <c r="F18" s="343"/>
      <c r="G18" s="343"/>
      <c r="H18" s="343"/>
      <c r="I18" s="1010"/>
      <c r="J18" s="1010"/>
      <c r="K18" s="1010"/>
      <c r="L18" s="1010">
        <f t="shared" ref="L18:L23" si="0">L17</f>
        <v>6</v>
      </c>
      <c r="M18" s="1010">
        <f>C18*D18*E18*L18</f>
        <v>0.42000000000000004</v>
      </c>
      <c r="N18" s="1000" t="s">
        <v>103</v>
      </c>
    </row>
    <row r="19" spans="1:14" s="986" customFormat="1" ht="15.75" customHeight="1">
      <c r="A19" s="1009" t="s">
        <v>101</v>
      </c>
      <c r="B19" s="993" t="s">
        <v>400</v>
      </c>
      <c r="C19" s="343">
        <f>C18</f>
        <v>1</v>
      </c>
      <c r="D19" s="343">
        <f>D18</f>
        <v>1</v>
      </c>
      <c r="E19" s="343">
        <v>0.03</v>
      </c>
      <c r="F19" s="343"/>
      <c r="G19" s="343"/>
      <c r="H19" s="343"/>
      <c r="I19" s="1010"/>
      <c r="J19" s="1010"/>
      <c r="K19" s="1010"/>
      <c r="L19" s="1010">
        <f t="shared" si="0"/>
        <v>6</v>
      </c>
      <c r="M19" s="1010">
        <f>C19*D19*E19*L19</f>
        <v>0.18</v>
      </c>
      <c r="N19" s="1000" t="s">
        <v>103</v>
      </c>
    </row>
    <row r="20" spans="1:14" s="986" customFormat="1" ht="15.75" customHeight="1">
      <c r="A20" s="1009" t="s">
        <v>121</v>
      </c>
      <c r="B20" s="993" t="s">
        <v>401</v>
      </c>
      <c r="C20" s="343">
        <f>C19</f>
        <v>1</v>
      </c>
      <c r="D20" s="343"/>
      <c r="E20" s="343">
        <f>E17-0.8-E18-E19</f>
        <v>0.30000000000000016</v>
      </c>
      <c r="F20" s="343"/>
      <c r="G20" s="343"/>
      <c r="H20" s="343">
        <v>4</v>
      </c>
      <c r="I20" s="1010"/>
      <c r="J20" s="1010"/>
      <c r="K20" s="1010"/>
      <c r="L20" s="1010">
        <f t="shared" si="0"/>
        <v>6</v>
      </c>
      <c r="M20" s="1010">
        <f>C20*E20*H20*L20</f>
        <v>7.2000000000000037</v>
      </c>
      <c r="N20" s="1000" t="s">
        <v>89</v>
      </c>
    </row>
    <row r="21" spans="1:14" s="986" customFormat="1" ht="15.75" customHeight="1">
      <c r="A21" s="1009" t="s">
        <v>142</v>
      </c>
      <c r="B21" s="993" t="s">
        <v>402</v>
      </c>
      <c r="C21" s="343">
        <v>0.45</v>
      </c>
      <c r="D21" s="343"/>
      <c r="E21" s="343"/>
      <c r="F21" s="343">
        <f>10*10*0.006165</f>
        <v>0.61650000000000005</v>
      </c>
      <c r="G21" s="343">
        <f>0.15*2</f>
        <v>0.3</v>
      </c>
      <c r="H21" s="343">
        <v>4</v>
      </c>
      <c r="I21" s="1010"/>
      <c r="J21" s="1010"/>
      <c r="K21" s="1010">
        <f>ROUNDUP((C21/0.15),0.5)</f>
        <v>3</v>
      </c>
      <c r="L21" s="1010">
        <f t="shared" si="0"/>
        <v>6</v>
      </c>
      <c r="M21" s="1010">
        <f>(C21+G21)*F21*H21*K21*L21</f>
        <v>33.291000000000004</v>
      </c>
      <c r="N21" s="1000" t="s">
        <v>100</v>
      </c>
    </row>
    <row r="22" spans="1:14" s="986" customFormat="1" ht="15.75" customHeight="1">
      <c r="A22" s="1009" t="s">
        <v>217</v>
      </c>
      <c r="B22" s="1011" t="s">
        <v>420</v>
      </c>
      <c r="C22" s="343">
        <f>C17-0.2</f>
        <v>0.8</v>
      </c>
      <c r="D22" s="343">
        <f>D17-0.2</f>
        <v>0.8</v>
      </c>
      <c r="E22" s="343">
        <f>E20</f>
        <v>0.30000000000000016</v>
      </c>
      <c r="F22" s="343"/>
      <c r="G22" s="343"/>
      <c r="H22" s="343"/>
      <c r="I22" s="1010"/>
      <c r="J22" s="1010"/>
      <c r="K22" s="1010"/>
      <c r="L22" s="1010">
        <f t="shared" si="0"/>
        <v>6</v>
      </c>
      <c r="M22" s="1010">
        <f>C22*D22*E22*L22</f>
        <v>1.1520000000000008</v>
      </c>
      <c r="N22" s="1000" t="s">
        <v>103</v>
      </c>
    </row>
    <row r="23" spans="1:14" s="986" customFormat="1" ht="15.75" customHeight="1">
      <c r="A23" s="1009" t="s">
        <v>366</v>
      </c>
      <c r="B23" s="993" t="s">
        <v>383</v>
      </c>
      <c r="C23" s="343"/>
      <c r="D23" s="343"/>
      <c r="E23" s="343">
        <v>4</v>
      </c>
      <c r="F23" s="343"/>
      <c r="G23" s="343"/>
      <c r="H23" s="343"/>
      <c r="I23" s="1010"/>
      <c r="J23" s="1010"/>
      <c r="K23" s="1010">
        <v>5</v>
      </c>
      <c r="L23" s="1010">
        <f t="shared" si="0"/>
        <v>6</v>
      </c>
      <c r="M23" s="1010">
        <f>E23*K23*L23</f>
        <v>120</v>
      </c>
      <c r="N23" s="1000" t="s">
        <v>117</v>
      </c>
    </row>
    <row r="24" spans="1:14" s="986" customFormat="1" ht="15.75" customHeight="1">
      <c r="A24" s="1012">
        <f>A16+1</f>
        <v>3</v>
      </c>
      <c r="B24" s="1013" t="s">
        <v>1408</v>
      </c>
      <c r="C24" s="994"/>
      <c r="D24" s="994"/>
      <c r="E24" s="994"/>
      <c r="F24" s="994"/>
      <c r="G24" s="994"/>
      <c r="H24" s="994"/>
      <c r="I24" s="994"/>
      <c r="J24" s="994"/>
      <c r="K24" s="994"/>
      <c r="L24" s="994"/>
      <c r="M24" s="1007"/>
      <c r="N24" s="1008"/>
    </row>
    <row r="25" spans="1:14" s="986" customFormat="1" ht="15.75" customHeight="1">
      <c r="A25" s="1009" t="s">
        <v>95</v>
      </c>
      <c r="B25" s="1013" t="s">
        <v>694</v>
      </c>
      <c r="C25" s="994"/>
      <c r="D25" s="994"/>
      <c r="E25" s="994"/>
      <c r="F25" s="994"/>
      <c r="G25" s="994"/>
      <c r="H25" s="994"/>
      <c r="I25" s="994"/>
      <c r="J25" s="994"/>
      <c r="K25" s="994"/>
      <c r="L25" s="994"/>
      <c r="M25" s="1007"/>
      <c r="N25" s="1008"/>
    </row>
    <row r="26" spans="1:14" s="986" customFormat="1" ht="15.75" customHeight="1">
      <c r="A26" s="1009"/>
      <c r="B26" s="1014" t="s">
        <v>154</v>
      </c>
      <c r="C26" s="994">
        <v>4.5</v>
      </c>
      <c r="D26" s="994">
        <v>0.8</v>
      </c>
      <c r="E26" s="994">
        <f>0.8+0.07</f>
        <v>0.87000000000000011</v>
      </c>
      <c r="F26" s="994"/>
      <c r="G26" s="994"/>
      <c r="H26" s="994"/>
      <c r="I26" s="994"/>
      <c r="J26" s="994"/>
      <c r="K26" s="994"/>
      <c r="L26" s="994">
        <v>4</v>
      </c>
      <c r="M26" s="994">
        <f>C26*D26*E26*L26</f>
        <v>12.528000000000002</v>
      </c>
      <c r="N26" s="1005"/>
    </row>
    <row r="27" spans="1:14" s="986" customFormat="1" ht="15.75" customHeight="1">
      <c r="A27" s="1009"/>
      <c r="B27" s="1014" t="s">
        <v>155</v>
      </c>
      <c r="C27" s="994">
        <v>7</v>
      </c>
      <c r="D27" s="994">
        <f>D26</f>
        <v>0.8</v>
      </c>
      <c r="E27" s="994">
        <f>E26</f>
        <v>0.87000000000000011</v>
      </c>
      <c r="F27" s="994"/>
      <c r="G27" s="994"/>
      <c r="H27" s="994"/>
      <c r="I27" s="994"/>
      <c r="J27" s="994"/>
      <c r="K27" s="994"/>
      <c r="L27" s="994">
        <v>2</v>
      </c>
      <c r="M27" s="1006">
        <f>C27*D27*E27*L27</f>
        <v>9.7440000000000015</v>
      </c>
      <c r="N27" s="1005"/>
    </row>
    <row r="28" spans="1:14" s="986" customFormat="1" ht="15.75" customHeight="1">
      <c r="A28" s="1009"/>
      <c r="B28" s="993"/>
      <c r="C28" s="994"/>
      <c r="D28" s="994"/>
      <c r="E28" s="994"/>
      <c r="F28" s="994"/>
      <c r="G28" s="994"/>
      <c r="H28" s="994"/>
      <c r="I28" s="994"/>
      <c r="J28" s="994"/>
      <c r="K28" s="994"/>
      <c r="L28" s="994"/>
      <c r="M28" s="1007">
        <f>SUM(M26:M27)</f>
        <v>22.272000000000006</v>
      </c>
      <c r="N28" s="1015" t="s">
        <v>103</v>
      </c>
    </row>
    <row r="29" spans="1:14" s="986" customFormat="1" ht="15.75" customHeight="1">
      <c r="A29" s="1009" t="s">
        <v>98</v>
      </c>
      <c r="B29" s="1016" t="s">
        <v>405</v>
      </c>
      <c r="C29" s="994"/>
      <c r="D29" s="994"/>
      <c r="E29" s="994"/>
      <c r="F29" s="994"/>
      <c r="G29" s="994"/>
      <c r="H29" s="994"/>
      <c r="I29" s="994"/>
      <c r="J29" s="994"/>
      <c r="K29" s="994"/>
      <c r="L29" s="994"/>
      <c r="M29" s="1007"/>
      <c r="N29" s="1008"/>
    </row>
    <row r="30" spans="1:14" s="986" customFormat="1" ht="15.75" customHeight="1">
      <c r="A30" s="1009"/>
      <c r="B30" s="1017" t="str">
        <f>B26</f>
        <v>Melintang</v>
      </c>
      <c r="C30" s="994">
        <f>C26</f>
        <v>4.5</v>
      </c>
      <c r="D30" s="994"/>
      <c r="E30" s="994"/>
      <c r="F30" s="994"/>
      <c r="G30" s="994"/>
      <c r="H30" s="994"/>
      <c r="I30" s="994"/>
      <c r="J30" s="994"/>
      <c r="K30" s="994"/>
      <c r="L30" s="994">
        <f>L26</f>
        <v>4</v>
      </c>
      <c r="M30" s="995">
        <f>C30*L30</f>
        <v>18</v>
      </c>
      <c r="N30" s="1005"/>
    </row>
    <row r="31" spans="1:14" s="986" customFormat="1" ht="15.75" customHeight="1">
      <c r="A31" s="1009"/>
      <c r="B31" s="1017" t="str">
        <f>B27</f>
        <v>Memanjang</v>
      </c>
      <c r="C31" s="994">
        <f>C27</f>
        <v>7</v>
      </c>
      <c r="D31" s="994"/>
      <c r="E31" s="994"/>
      <c r="F31" s="994"/>
      <c r="G31" s="994"/>
      <c r="H31" s="994"/>
      <c r="I31" s="994"/>
      <c r="J31" s="994"/>
      <c r="K31" s="994"/>
      <c r="L31" s="994">
        <f>L27</f>
        <v>2</v>
      </c>
      <c r="M31" s="1006">
        <f>C31*L31</f>
        <v>14</v>
      </c>
      <c r="N31" s="1005"/>
    </row>
    <row r="32" spans="1:14" s="986" customFormat="1" ht="15.75" customHeight="1">
      <c r="A32" s="1009"/>
      <c r="B32" s="1016"/>
      <c r="C32" s="994"/>
      <c r="D32" s="994"/>
      <c r="E32" s="994"/>
      <c r="F32" s="994"/>
      <c r="G32" s="994"/>
      <c r="H32" s="994"/>
      <c r="I32" s="994"/>
      <c r="J32" s="994"/>
      <c r="K32" s="994"/>
      <c r="L32" s="994"/>
      <c r="M32" s="995">
        <f>SUM(M30:M31)</f>
        <v>32</v>
      </c>
      <c r="N32" s="1005" t="s">
        <v>117</v>
      </c>
    </row>
    <row r="33" spans="1:14" s="986" customFormat="1" ht="15.75" customHeight="1">
      <c r="A33" s="1009"/>
      <c r="B33" s="1016"/>
      <c r="C33" s="994"/>
      <c r="D33" s="994"/>
      <c r="E33" s="994">
        <v>4</v>
      </c>
      <c r="F33" s="994"/>
      <c r="G33" s="994"/>
      <c r="H33" s="994"/>
      <c r="I33" s="994"/>
      <c r="J33" s="994">
        <v>2</v>
      </c>
      <c r="K33" s="994">
        <f>ROUNDDOWN((M32/0.5),0.5)</f>
        <v>64</v>
      </c>
      <c r="L33" s="994"/>
      <c r="M33" s="1007">
        <f>E33*J33*K33</f>
        <v>512</v>
      </c>
      <c r="N33" s="1008" t="s">
        <v>117</v>
      </c>
    </row>
    <row r="34" spans="1:14" s="986" customFormat="1" ht="15.75" customHeight="1">
      <c r="A34" s="1009" t="s">
        <v>101</v>
      </c>
      <c r="B34" s="1013" t="s">
        <v>695</v>
      </c>
      <c r="C34" s="994"/>
      <c r="D34" s="994"/>
      <c r="E34" s="994"/>
      <c r="F34" s="994"/>
      <c r="G34" s="994"/>
      <c r="H34" s="994"/>
      <c r="I34" s="994"/>
      <c r="J34" s="994"/>
      <c r="K34" s="994"/>
      <c r="L34" s="994"/>
      <c r="M34" s="1007"/>
      <c r="N34" s="1008"/>
    </row>
    <row r="35" spans="1:14" s="986" customFormat="1" ht="15.75" customHeight="1">
      <c r="A35" s="1009"/>
      <c r="B35" s="1018" t="str">
        <f>B30</f>
        <v>Melintang</v>
      </c>
      <c r="C35" s="994">
        <f>C30</f>
        <v>4.5</v>
      </c>
      <c r="D35" s="994">
        <f>D26</f>
        <v>0.8</v>
      </c>
      <c r="E35" s="994">
        <v>7.0000000000000007E-2</v>
      </c>
      <c r="F35" s="994"/>
      <c r="G35" s="994"/>
      <c r="H35" s="994"/>
      <c r="I35" s="994"/>
      <c r="J35" s="994"/>
      <c r="K35" s="994"/>
      <c r="L35" s="994">
        <f>L30</f>
        <v>4</v>
      </c>
      <c r="M35" s="995">
        <f>C35*D35*E35*L35</f>
        <v>1.0080000000000002</v>
      </c>
      <c r="N35" s="1008"/>
    </row>
    <row r="36" spans="1:14" s="986" customFormat="1" ht="15.75" customHeight="1">
      <c r="A36" s="1009"/>
      <c r="B36" s="1018" t="str">
        <f>B31</f>
        <v>Memanjang</v>
      </c>
      <c r="C36" s="994">
        <f>C31</f>
        <v>7</v>
      </c>
      <c r="D36" s="994">
        <f>D27</f>
        <v>0.8</v>
      </c>
      <c r="E36" s="994">
        <f>E35</f>
        <v>7.0000000000000007E-2</v>
      </c>
      <c r="F36" s="994"/>
      <c r="G36" s="994"/>
      <c r="H36" s="994"/>
      <c r="I36" s="994"/>
      <c r="J36" s="994"/>
      <c r="K36" s="994"/>
      <c r="L36" s="994">
        <f>L31</f>
        <v>2</v>
      </c>
      <c r="M36" s="1006">
        <f>C36*D36*E36*L36</f>
        <v>0.78400000000000014</v>
      </c>
      <c r="N36" s="1008"/>
    </row>
    <row r="37" spans="1:14" s="986" customFormat="1" ht="15.75" customHeight="1">
      <c r="A37" s="1009"/>
      <c r="B37" s="1013"/>
      <c r="C37" s="994"/>
      <c r="D37" s="994"/>
      <c r="E37" s="994"/>
      <c r="F37" s="994"/>
      <c r="G37" s="994"/>
      <c r="H37" s="994"/>
      <c r="I37" s="994"/>
      <c r="J37" s="994"/>
      <c r="K37" s="994"/>
      <c r="L37" s="994"/>
      <c r="M37" s="1007">
        <f>SUM(M35:M36)</f>
        <v>1.7920000000000003</v>
      </c>
      <c r="N37" s="1015" t="s">
        <v>103</v>
      </c>
    </row>
    <row r="38" spans="1:14" s="986" customFormat="1" ht="15.75" hidden="1" customHeight="1">
      <c r="A38" s="1009" t="s">
        <v>121</v>
      </c>
      <c r="B38" s="1013" t="s">
        <v>1409</v>
      </c>
      <c r="C38" s="994"/>
      <c r="D38" s="994"/>
      <c r="E38" s="994"/>
      <c r="F38" s="994"/>
      <c r="G38" s="994"/>
      <c r="H38" s="994"/>
      <c r="I38" s="994"/>
      <c r="J38" s="994"/>
      <c r="K38" s="994"/>
      <c r="L38" s="994"/>
      <c r="M38" s="995"/>
      <c r="N38" s="1008"/>
    </row>
    <row r="39" spans="1:14" s="986" customFormat="1" ht="15.75" hidden="1" customHeight="1">
      <c r="A39" s="1009"/>
      <c r="B39" s="1018" t="str">
        <f t="shared" ref="B39:D40" si="1">B35</f>
        <v>Melintang</v>
      </c>
      <c r="C39" s="994">
        <f t="shared" si="1"/>
        <v>4.5</v>
      </c>
      <c r="D39" s="994">
        <f t="shared" si="1"/>
        <v>0.8</v>
      </c>
      <c r="E39" s="994">
        <v>0</v>
      </c>
      <c r="F39" s="994"/>
      <c r="G39" s="994"/>
      <c r="H39" s="994"/>
      <c r="I39" s="994"/>
      <c r="J39" s="994"/>
      <c r="K39" s="994"/>
      <c r="L39" s="994">
        <f>L35</f>
        <v>4</v>
      </c>
      <c r="M39" s="995">
        <f>C39*D39*E39*L39</f>
        <v>0</v>
      </c>
      <c r="N39" s="1008"/>
    </row>
    <row r="40" spans="1:14" s="986" customFormat="1" ht="15.75" hidden="1" customHeight="1">
      <c r="A40" s="1009"/>
      <c r="B40" s="1018" t="str">
        <f t="shared" si="1"/>
        <v>Memanjang</v>
      </c>
      <c r="C40" s="994">
        <f t="shared" si="1"/>
        <v>7</v>
      </c>
      <c r="D40" s="994">
        <f t="shared" si="1"/>
        <v>0.8</v>
      </c>
      <c r="E40" s="994">
        <f>E39</f>
        <v>0</v>
      </c>
      <c r="F40" s="994"/>
      <c r="G40" s="994"/>
      <c r="H40" s="994"/>
      <c r="I40" s="994"/>
      <c r="J40" s="994"/>
      <c r="K40" s="994"/>
      <c r="L40" s="994">
        <f>L36</f>
        <v>2</v>
      </c>
      <c r="M40" s="1006">
        <f>C40*D40*E40*L40</f>
        <v>0</v>
      </c>
      <c r="N40" s="1008"/>
    </row>
    <row r="41" spans="1:14" s="986" customFormat="1" ht="15.75" hidden="1" customHeight="1">
      <c r="A41" s="1009"/>
      <c r="B41" s="1013"/>
      <c r="C41" s="994"/>
      <c r="D41" s="994"/>
      <c r="E41" s="994"/>
      <c r="F41" s="994"/>
      <c r="G41" s="994"/>
      <c r="H41" s="994"/>
      <c r="I41" s="994"/>
      <c r="J41" s="994"/>
      <c r="K41" s="994"/>
      <c r="L41" s="994"/>
      <c r="M41" s="1007">
        <f>SUM(M39:M40)*0</f>
        <v>0</v>
      </c>
      <c r="N41" s="1015" t="s">
        <v>103</v>
      </c>
    </row>
    <row r="42" spans="1:14" s="986" customFormat="1" ht="15.75" customHeight="1">
      <c r="A42" s="1009" t="s">
        <v>121</v>
      </c>
      <c r="B42" s="1013" t="s">
        <v>696</v>
      </c>
      <c r="C42" s="994"/>
      <c r="D42" s="994"/>
      <c r="E42" s="994"/>
      <c r="F42" s="994"/>
      <c r="G42" s="994"/>
      <c r="H42" s="994"/>
      <c r="I42" s="994"/>
      <c r="J42" s="994"/>
      <c r="K42" s="994"/>
      <c r="L42" s="994"/>
      <c r="M42" s="995"/>
      <c r="N42" s="1008"/>
    </row>
    <row r="43" spans="1:14" s="986" customFormat="1" ht="15.75" customHeight="1">
      <c r="A43" s="1003"/>
      <c r="B43" s="1018" t="str">
        <f>B39</f>
        <v>Melintang</v>
      </c>
      <c r="C43" s="994">
        <f>C39</f>
        <v>4.5</v>
      </c>
      <c r="D43" s="994">
        <f>(0.3+D26)/2</f>
        <v>0.55000000000000004</v>
      </c>
      <c r="E43" s="994">
        <f>E26-E35</f>
        <v>0.8</v>
      </c>
      <c r="F43" s="994"/>
      <c r="G43" s="994"/>
      <c r="H43" s="994"/>
      <c r="I43" s="994"/>
      <c r="J43" s="994"/>
      <c r="K43" s="994"/>
      <c r="L43" s="994">
        <f>L39</f>
        <v>4</v>
      </c>
      <c r="M43" s="995">
        <f>C43*D43*E43*L43</f>
        <v>7.9200000000000008</v>
      </c>
      <c r="N43" s="1008"/>
    </row>
    <row r="44" spans="1:14" s="986" customFormat="1" ht="15.75" customHeight="1">
      <c r="A44" s="1003"/>
      <c r="B44" s="1018" t="str">
        <f>B40</f>
        <v>Memanjang</v>
      </c>
      <c r="C44" s="994">
        <f>C40</f>
        <v>7</v>
      </c>
      <c r="D44" s="994">
        <f>D43</f>
        <v>0.55000000000000004</v>
      </c>
      <c r="E44" s="994">
        <f>E43</f>
        <v>0.8</v>
      </c>
      <c r="F44" s="994"/>
      <c r="G44" s="994"/>
      <c r="H44" s="994"/>
      <c r="I44" s="994"/>
      <c r="J44" s="994"/>
      <c r="K44" s="994"/>
      <c r="L44" s="994">
        <f>L40</f>
        <v>2</v>
      </c>
      <c r="M44" s="1006">
        <f>C44*D44*E44*L44</f>
        <v>6.160000000000001</v>
      </c>
      <c r="N44" s="1008"/>
    </row>
    <row r="45" spans="1:14" s="986" customFormat="1" ht="15.75" customHeight="1">
      <c r="A45" s="1003"/>
      <c r="B45" s="1013"/>
      <c r="C45" s="994"/>
      <c r="D45" s="994"/>
      <c r="E45" s="994"/>
      <c r="F45" s="994"/>
      <c r="G45" s="994"/>
      <c r="H45" s="994"/>
      <c r="I45" s="994"/>
      <c r="J45" s="994"/>
      <c r="K45" s="994"/>
      <c r="L45" s="994"/>
      <c r="M45" s="1007">
        <f>SUM(M43:M44)</f>
        <v>14.080000000000002</v>
      </c>
      <c r="N45" s="1015" t="s">
        <v>103</v>
      </c>
    </row>
    <row r="46" spans="1:14" s="986" customFormat="1" ht="15.75" customHeight="1">
      <c r="A46" s="1003">
        <f>A24+1</f>
        <v>4</v>
      </c>
      <c r="B46" s="351" t="s">
        <v>1222</v>
      </c>
      <c r="C46" s="994"/>
      <c r="D46" s="994"/>
      <c r="E46" s="994"/>
      <c r="F46" s="994"/>
      <c r="G46" s="994"/>
      <c r="H46" s="994"/>
      <c r="I46" s="994"/>
      <c r="J46" s="994"/>
      <c r="K46" s="994"/>
      <c r="L46" s="994"/>
      <c r="M46" s="1007"/>
      <c r="N46" s="1015"/>
    </row>
    <row r="47" spans="1:14" s="986" customFormat="1" ht="15.75" customHeight="1">
      <c r="A47" s="1003"/>
      <c r="B47" s="1018" t="s">
        <v>1008</v>
      </c>
      <c r="C47" s="994">
        <f>C43</f>
        <v>4.5</v>
      </c>
      <c r="D47" s="994"/>
      <c r="E47" s="994"/>
      <c r="F47" s="994"/>
      <c r="G47" s="994"/>
      <c r="H47" s="994"/>
      <c r="I47" s="994"/>
      <c r="J47" s="994"/>
      <c r="K47" s="994"/>
      <c r="L47" s="994">
        <f>L43</f>
        <v>4</v>
      </c>
      <c r="M47" s="995">
        <f>C47*L47</f>
        <v>18</v>
      </c>
      <c r="N47" s="1015"/>
    </row>
    <row r="48" spans="1:14" s="986" customFormat="1" ht="15.75" customHeight="1">
      <c r="A48" s="1003"/>
      <c r="B48" s="1013"/>
      <c r="C48" s="994">
        <f>C44</f>
        <v>7</v>
      </c>
      <c r="D48" s="994"/>
      <c r="E48" s="994"/>
      <c r="F48" s="994"/>
      <c r="G48" s="994"/>
      <c r="H48" s="994"/>
      <c r="I48" s="994"/>
      <c r="J48" s="994"/>
      <c r="K48" s="994"/>
      <c r="L48" s="994">
        <f>L44</f>
        <v>2</v>
      </c>
      <c r="M48" s="995">
        <f>C48*L48</f>
        <v>14</v>
      </c>
      <c r="N48" s="1015"/>
    </row>
    <row r="49" spans="1:14" s="986" customFormat="1" ht="15.75" customHeight="1">
      <c r="A49" s="1003"/>
      <c r="B49" s="1013"/>
      <c r="C49" s="994"/>
      <c r="D49" s="994"/>
      <c r="E49" s="994"/>
      <c r="F49" s="994"/>
      <c r="G49" s="994"/>
      <c r="H49" s="994"/>
      <c r="I49" s="994"/>
      <c r="J49" s="994"/>
      <c r="K49" s="994"/>
      <c r="L49" s="994"/>
      <c r="M49" s="995">
        <f>SUM(M47:M48)</f>
        <v>32</v>
      </c>
      <c r="N49" s="1015"/>
    </row>
    <row r="50" spans="1:14" s="986" customFormat="1" ht="15.75" customHeight="1">
      <c r="A50" s="1003"/>
      <c r="B50" s="1013"/>
      <c r="C50" s="994">
        <v>0.5</v>
      </c>
      <c r="D50" s="994"/>
      <c r="E50" s="994"/>
      <c r="F50" s="994"/>
      <c r="G50" s="994"/>
      <c r="H50" s="994"/>
      <c r="I50" s="330">
        <f>10*10*0.006165</f>
        <v>0.61650000000000005</v>
      </c>
      <c r="J50" s="994"/>
      <c r="K50" s="994">
        <f>M49/1</f>
        <v>32</v>
      </c>
      <c r="L50" s="994"/>
      <c r="M50" s="1007">
        <f>C50*I50*K50</f>
        <v>9.8640000000000008</v>
      </c>
      <c r="N50" s="1015" t="s">
        <v>100</v>
      </c>
    </row>
    <row r="51" spans="1:14" s="986" customFormat="1" ht="15.75" customHeight="1">
      <c r="A51" s="1003">
        <f>A46+1</f>
        <v>5</v>
      </c>
      <c r="B51" s="993" t="s">
        <v>409</v>
      </c>
      <c r="C51" s="994"/>
      <c r="D51" s="994"/>
      <c r="E51" s="994"/>
      <c r="F51" s="994"/>
      <c r="G51" s="994"/>
      <c r="H51" s="994"/>
      <c r="I51" s="994"/>
      <c r="J51" s="994"/>
      <c r="K51" s="994"/>
      <c r="L51" s="994"/>
      <c r="M51" s="994"/>
      <c r="N51" s="1005"/>
    </row>
    <row r="52" spans="1:14" s="986" customFormat="1" ht="15.75" customHeight="1">
      <c r="A52" s="1019" t="s">
        <v>95</v>
      </c>
      <c r="B52" s="993" t="s">
        <v>1410</v>
      </c>
      <c r="C52" s="994"/>
      <c r="D52" s="994"/>
      <c r="E52" s="994"/>
      <c r="F52" s="994"/>
      <c r="G52" s="994"/>
      <c r="H52" s="994"/>
      <c r="I52" s="994"/>
      <c r="J52" s="994"/>
      <c r="K52" s="994"/>
      <c r="L52" s="994"/>
      <c r="M52" s="994"/>
      <c r="N52" s="1020"/>
    </row>
    <row r="53" spans="1:14" s="986" customFormat="1" ht="15.75" customHeight="1">
      <c r="A53" s="1019"/>
      <c r="B53" s="1014" t="s">
        <v>154</v>
      </c>
      <c r="C53" s="994">
        <f>C43</f>
        <v>4.5</v>
      </c>
      <c r="D53" s="994"/>
      <c r="E53" s="994">
        <v>0.3</v>
      </c>
      <c r="F53" s="994"/>
      <c r="G53" s="994"/>
      <c r="H53" s="994"/>
      <c r="I53" s="994"/>
      <c r="J53" s="994">
        <v>2</v>
      </c>
      <c r="K53" s="994"/>
      <c r="L53" s="994">
        <f>L43</f>
        <v>4</v>
      </c>
      <c r="M53" s="994">
        <f>C53*E53*J53*L53</f>
        <v>10.799999999999999</v>
      </c>
      <c r="N53" s="1020"/>
    </row>
    <row r="54" spans="1:14" s="986" customFormat="1" ht="15.75" customHeight="1">
      <c r="A54" s="1019"/>
      <c r="B54" s="1014" t="s">
        <v>155</v>
      </c>
      <c r="C54" s="994">
        <f>C44</f>
        <v>7</v>
      </c>
      <c r="D54" s="994"/>
      <c r="E54" s="994">
        <f>E53</f>
        <v>0.3</v>
      </c>
      <c r="F54" s="994"/>
      <c r="G54" s="994"/>
      <c r="H54" s="994"/>
      <c r="I54" s="994"/>
      <c r="J54" s="994">
        <f>J53</f>
        <v>2</v>
      </c>
      <c r="K54" s="994"/>
      <c r="L54" s="994">
        <f>L44</f>
        <v>2</v>
      </c>
      <c r="M54" s="1006">
        <f>C54*E54*J54*L54</f>
        <v>8.4</v>
      </c>
      <c r="N54" s="1020"/>
    </row>
    <row r="55" spans="1:14" s="986" customFormat="1" ht="15.75" customHeight="1">
      <c r="A55" s="1019"/>
      <c r="B55" s="993"/>
      <c r="C55" s="994"/>
      <c r="D55" s="994"/>
      <c r="E55" s="994"/>
      <c r="F55" s="994"/>
      <c r="G55" s="994"/>
      <c r="H55" s="994"/>
      <c r="I55" s="994"/>
      <c r="J55" s="994"/>
      <c r="K55" s="994"/>
      <c r="L55" s="994"/>
      <c r="M55" s="1007">
        <f>SUM(M53:M54)</f>
        <v>19.2</v>
      </c>
      <c r="N55" s="1015" t="s">
        <v>89</v>
      </c>
    </row>
    <row r="56" spans="1:14" s="986" customFormat="1" ht="15.75" customHeight="1">
      <c r="A56" s="1019" t="s">
        <v>98</v>
      </c>
      <c r="B56" s="993" t="s">
        <v>410</v>
      </c>
      <c r="C56" s="994"/>
      <c r="D56" s="994"/>
      <c r="E56" s="994"/>
      <c r="F56" s="994"/>
      <c r="G56" s="994"/>
      <c r="H56" s="994"/>
      <c r="I56" s="994"/>
      <c r="J56" s="994"/>
      <c r="K56" s="994"/>
      <c r="L56" s="994"/>
      <c r="M56" s="994"/>
      <c r="N56" s="1005"/>
    </row>
    <row r="57" spans="1:14" s="986" customFormat="1" ht="15.75" customHeight="1">
      <c r="A57" s="1019"/>
      <c r="B57" s="1014" t="s">
        <v>154</v>
      </c>
      <c r="C57" s="994">
        <f>C53</f>
        <v>4.5</v>
      </c>
      <c r="D57" s="994"/>
      <c r="E57" s="994"/>
      <c r="F57" s="994"/>
      <c r="G57" s="994"/>
      <c r="H57" s="994"/>
      <c r="I57" s="994">
        <f>10*10*0.006165</f>
        <v>0.61650000000000005</v>
      </c>
      <c r="J57" s="994"/>
      <c r="K57" s="994">
        <v>5</v>
      </c>
      <c r="L57" s="994">
        <f>L53</f>
        <v>4</v>
      </c>
      <c r="M57" s="994">
        <f>C57*I57*K57*L57</f>
        <v>55.485000000000007</v>
      </c>
      <c r="N57" s="1005"/>
    </row>
    <row r="58" spans="1:14" s="986" customFormat="1" ht="15.75" customHeight="1">
      <c r="A58" s="1019"/>
      <c r="B58" s="1014" t="s">
        <v>155</v>
      </c>
      <c r="C58" s="994">
        <f>C54</f>
        <v>7</v>
      </c>
      <c r="D58" s="994"/>
      <c r="E58" s="994"/>
      <c r="F58" s="994"/>
      <c r="G58" s="994"/>
      <c r="H58" s="994"/>
      <c r="I58" s="994">
        <f>I57</f>
        <v>0.61650000000000005</v>
      </c>
      <c r="J58" s="994"/>
      <c r="K58" s="994">
        <f>K57</f>
        <v>5</v>
      </c>
      <c r="L58" s="994">
        <f>L54</f>
        <v>2</v>
      </c>
      <c r="M58" s="1006">
        <f>C58*I58*K58*L58</f>
        <v>43.155000000000001</v>
      </c>
      <c r="N58" s="1005"/>
    </row>
    <row r="59" spans="1:14" s="986" customFormat="1" ht="15.75" customHeight="1">
      <c r="A59" s="1019"/>
      <c r="B59" s="993"/>
      <c r="C59" s="994"/>
      <c r="D59" s="994"/>
      <c r="E59" s="994"/>
      <c r="F59" s="994"/>
      <c r="G59" s="994"/>
      <c r="H59" s="994"/>
      <c r="I59" s="994"/>
      <c r="J59" s="994"/>
      <c r="K59" s="994"/>
      <c r="L59" s="994"/>
      <c r="M59" s="1007">
        <f>SUM(M57:M58)</f>
        <v>98.640000000000015</v>
      </c>
      <c r="N59" s="1008" t="s">
        <v>100</v>
      </c>
    </row>
    <row r="60" spans="1:14" s="986" customFormat="1" ht="15.75" customHeight="1">
      <c r="A60" s="1019" t="s">
        <v>101</v>
      </c>
      <c r="B60" s="993" t="s">
        <v>411</v>
      </c>
      <c r="C60" s="994"/>
      <c r="D60" s="994"/>
      <c r="E60" s="994"/>
      <c r="F60" s="994"/>
      <c r="G60" s="994"/>
      <c r="H60" s="994"/>
      <c r="I60" s="994"/>
      <c r="J60" s="994"/>
      <c r="K60" s="994"/>
      <c r="L60" s="994"/>
      <c r="M60" s="994"/>
      <c r="N60" s="1005"/>
    </row>
    <row r="61" spans="1:14" s="986" customFormat="1" ht="15.75" customHeight="1">
      <c r="A61" s="1019"/>
      <c r="B61" s="1014" t="s">
        <v>154</v>
      </c>
      <c r="C61" s="994">
        <f>(0.17+0.22)*2</f>
        <v>0.78</v>
      </c>
      <c r="D61" s="994"/>
      <c r="E61" s="994"/>
      <c r="F61" s="994">
        <v>0.1</v>
      </c>
      <c r="G61" s="994"/>
      <c r="H61" s="994"/>
      <c r="I61" s="994">
        <f>8*8*0.006165</f>
        <v>0.39456000000000002</v>
      </c>
      <c r="J61" s="994"/>
      <c r="K61" s="994">
        <f>ROUNDUP((C57/0.125),0.5)</f>
        <v>36</v>
      </c>
      <c r="L61" s="994">
        <f>L57</f>
        <v>4</v>
      </c>
      <c r="M61" s="994">
        <f>(C61+F61)*I61*K61*L61</f>
        <v>49.998643200000004</v>
      </c>
      <c r="N61" s="1005"/>
    </row>
    <row r="62" spans="1:14" s="986" customFormat="1" ht="15.75" customHeight="1">
      <c r="A62" s="1019"/>
      <c r="B62" s="1014" t="s">
        <v>155</v>
      </c>
      <c r="C62" s="994">
        <f>C61</f>
        <v>0.78</v>
      </c>
      <c r="D62" s="994"/>
      <c r="E62" s="994"/>
      <c r="F62" s="994">
        <f>F61</f>
        <v>0.1</v>
      </c>
      <c r="G62" s="994"/>
      <c r="H62" s="994"/>
      <c r="I62" s="994">
        <f>I61</f>
        <v>0.39456000000000002</v>
      </c>
      <c r="J62" s="994"/>
      <c r="K62" s="994">
        <f>ROUNDUP((C58/0.125),0.5)</f>
        <v>56</v>
      </c>
      <c r="L62" s="994">
        <f>L58</f>
        <v>2</v>
      </c>
      <c r="M62" s="1006">
        <f>(C62+F62)*I62*K62*L62</f>
        <v>38.887833600000008</v>
      </c>
      <c r="N62" s="1005"/>
    </row>
    <row r="63" spans="1:14" s="986" customFormat="1" ht="15.75" customHeight="1">
      <c r="A63" s="1019"/>
      <c r="B63" s="993"/>
      <c r="C63" s="994"/>
      <c r="D63" s="994"/>
      <c r="E63" s="994"/>
      <c r="F63" s="994"/>
      <c r="G63" s="994"/>
      <c r="H63" s="994"/>
      <c r="I63" s="994"/>
      <c r="J63" s="994"/>
      <c r="K63" s="994"/>
      <c r="L63" s="994"/>
      <c r="M63" s="1007">
        <f>SUM(M61:M62)</f>
        <v>88.886476800000011</v>
      </c>
      <c r="N63" s="1008" t="s">
        <v>100</v>
      </c>
    </row>
    <row r="64" spans="1:14" s="986" customFormat="1" ht="15.75" customHeight="1">
      <c r="A64" s="1019" t="s">
        <v>121</v>
      </c>
      <c r="B64" s="1004" t="s">
        <v>420</v>
      </c>
      <c r="C64" s="994"/>
      <c r="D64" s="994"/>
      <c r="E64" s="994"/>
      <c r="F64" s="994"/>
      <c r="G64" s="994"/>
      <c r="H64" s="994"/>
      <c r="I64" s="994"/>
      <c r="J64" s="994"/>
      <c r="K64" s="994"/>
      <c r="L64" s="994"/>
      <c r="M64" s="994"/>
      <c r="N64" s="1005"/>
    </row>
    <row r="65" spans="1:14" s="986" customFormat="1" ht="15.75" customHeight="1">
      <c r="A65" s="1019"/>
      <c r="B65" s="1014" t="s">
        <v>154</v>
      </c>
      <c r="C65" s="994">
        <f>C57</f>
        <v>4.5</v>
      </c>
      <c r="D65" s="994">
        <v>0.25</v>
      </c>
      <c r="E65" s="994">
        <f>E53</f>
        <v>0.3</v>
      </c>
      <c r="F65" s="994"/>
      <c r="G65" s="994"/>
      <c r="H65" s="994"/>
      <c r="I65" s="994"/>
      <c r="J65" s="994"/>
      <c r="K65" s="994"/>
      <c r="L65" s="994">
        <f>L61</f>
        <v>4</v>
      </c>
      <c r="M65" s="994">
        <f>C65*D65*E65*L65</f>
        <v>1.3499999999999999</v>
      </c>
      <c r="N65" s="1005"/>
    </row>
    <row r="66" spans="1:14" s="986" customFormat="1" ht="15.75" customHeight="1">
      <c r="A66" s="1019"/>
      <c r="B66" s="1014" t="s">
        <v>155</v>
      </c>
      <c r="C66" s="994">
        <f>C58</f>
        <v>7</v>
      </c>
      <c r="D66" s="994">
        <f>D65</f>
        <v>0.25</v>
      </c>
      <c r="E66" s="994">
        <f>E65</f>
        <v>0.3</v>
      </c>
      <c r="F66" s="994"/>
      <c r="G66" s="994"/>
      <c r="H66" s="994"/>
      <c r="I66" s="994"/>
      <c r="J66" s="994"/>
      <c r="K66" s="994"/>
      <c r="L66" s="994">
        <f>L62</f>
        <v>2</v>
      </c>
      <c r="M66" s="1006">
        <f>C66*D66*E66*L66</f>
        <v>1.05</v>
      </c>
      <c r="N66" s="1005"/>
    </row>
    <row r="67" spans="1:14" s="986" customFormat="1" ht="15.75" customHeight="1">
      <c r="A67" s="1019"/>
      <c r="B67" s="993"/>
      <c r="C67" s="994"/>
      <c r="D67" s="994"/>
      <c r="E67" s="994"/>
      <c r="F67" s="994"/>
      <c r="G67" s="994"/>
      <c r="H67" s="994"/>
      <c r="I67" s="994"/>
      <c r="J67" s="994"/>
      <c r="K67" s="994"/>
      <c r="L67" s="994"/>
      <c r="M67" s="1007">
        <f>SUM(M65:M66)</f>
        <v>2.4</v>
      </c>
      <c r="N67" s="1015" t="s">
        <v>103</v>
      </c>
    </row>
    <row r="68" spans="1:14" s="986" customFormat="1" ht="15.75" customHeight="1">
      <c r="A68" s="1003">
        <f>A51+1</f>
        <v>6</v>
      </c>
      <c r="B68" s="993" t="s">
        <v>831</v>
      </c>
      <c r="C68" s="994"/>
      <c r="D68" s="994"/>
      <c r="E68" s="994"/>
      <c r="F68" s="994"/>
      <c r="G68" s="994"/>
      <c r="H68" s="994"/>
      <c r="I68" s="994"/>
      <c r="J68" s="994"/>
      <c r="K68" s="994"/>
      <c r="L68" s="994"/>
      <c r="M68" s="994"/>
      <c r="N68" s="1005"/>
    </row>
    <row r="69" spans="1:14" s="986" customFormat="1" ht="15.75" customHeight="1">
      <c r="A69" s="1009" t="s">
        <v>95</v>
      </c>
      <c r="B69" s="1013" t="s">
        <v>694</v>
      </c>
      <c r="C69" s="994">
        <v>7.15</v>
      </c>
      <c r="D69" s="994">
        <v>0.15</v>
      </c>
      <c r="E69" s="994">
        <v>0.2</v>
      </c>
      <c r="F69" s="994"/>
      <c r="G69" s="994"/>
      <c r="H69" s="994"/>
      <c r="I69" s="994"/>
      <c r="J69" s="994"/>
      <c r="K69" s="994"/>
      <c r="L69" s="994"/>
      <c r="M69" s="994">
        <f>C69*D69*E69</f>
        <v>0.21450000000000002</v>
      </c>
      <c r="N69" s="1020" t="s">
        <v>103</v>
      </c>
    </row>
    <row r="70" spans="1:14" s="986" customFormat="1" ht="15.75" customHeight="1">
      <c r="A70" s="1019" t="s">
        <v>98</v>
      </c>
      <c r="B70" s="993" t="s">
        <v>1410</v>
      </c>
      <c r="C70" s="994">
        <f>C69</f>
        <v>7.15</v>
      </c>
      <c r="D70" s="994"/>
      <c r="E70" s="994">
        <f>E69</f>
        <v>0.2</v>
      </c>
      <c r="F70" s="994"/>
      <c r="G70" s="994"/>
      <c r="H70" s="994"/>
      <c r="I70" s="994"/>
      <c r="J70" s="994">
        <v>2</v>
      </c>
      <c r="K70" s="994"/>
      <c r="L70" s="994"/>
      <c r="M70" s="994">
        <f>C70*E70*J70</f>
        <v>2.8600000000000003</v>
      </c>
      <c r="N70" s="1021" t="s">
        <v>89</v>
      </c>
    </row>
    <row r="71" spans="1:14" s="986" customFormat="1" ht="15.75" customHeight="1">
      <c r="A71" s="1019" t="s">
        <v>101</v>
      </c>
      <c r="B71" s="993" t="s">
        <v>432</v>
      </c>
      <c r="C71" s="994">
        <f>C70</f>
        <v>7.15</v>
      </c>
      <c r="D71" s="994"/>
      <c r="E71" s="994"/>
      <c r="F71" s="994"/>
      <c r="G71" s="994"/>
      <c r="H71" s="994"/>
      <c r="I71" s="994">
        <f>10*10*0.006165</f>
        <v>0.61650000000000005</v>
      </c>
      <c r="J71" s="994"/>
      <c r="K71" s="994">
        <v>4</v>
      </c>
      <c r="L71" s="994"/>
      <c r="M71" s="994">
        <f>C71*I71*K71</f>
        <v>17.631900000000002</v>
      </c>
      <c r="N71" s="1021" t="s">
        <v>100</v>
      </c>
    </row>
    <row r="72" spans="1:14" s="986" customFormat="1" ht="15.75" customHeight="1">
      <c r="A72" s="1019" t="s">
        <v>121</v>
      </c>
      <c r="B72" s="993" t="s">
        <v>411</v>
      </c>
      <c r="C72" s="994">
        <f>(0.1+0.15)*2</f>
        <v>0.5</v>
      </c>
      <c r="D72" s="994"/>
      <c r="E72" s="994"/>
      <c r="F72" s="994">
        <v>0.1</v>
      </c>
      <c r="G72" s="994"/>
      <c r="H72" s="994"/>
      <c r="I72" s="994">
        <f>8*8*0.006165</f>
        <v>0.39456000000000002</v>
      </c>
      <c r="J72" s="994"/>
      <c r="K72" s="994">
        <f>ROUNDUP((C71/0.125),0.5)</f>
        <v>58</v>
      </c>
      <c r="L72" s="994"/>
      <c r="M72" s="994">
        <f>(C72+F72)*I72*K72</f>
        <v>13.730688000000001</v>
      </c>
      <c r="N72" s="1021" t="s">
        <v>100</v>
      </c>
    </row>
    <row r="73" spans="1:14" s="986" customFormat="1" ht="15.75" customHeight="1">
      <c r="A73" s="1019" t="s">
        <v>142</v>
      </c>
      <c r="B73" s="1004" t="s">
        <v>420</v>
      </c>
      <c r="C73" s="994">
        <f>C69</f>
        <v>7.15</v>
      </c>
      <c r="D73" s="994">
        <f>D69</f>
        <v>0.15</v>
      </c>
      <c r="E73" s="994">
        <f>E69</f>
        <v>0.2</v>
      </c>
      <c r="F73" s="994"/>
      <c r="G73" s="994"/>
      <c r="H73" s="994"/>
      <c r="I73" s="994"/>
      <c r="J73" s="994"/>
      <c r="K73" s="994"/>
      <c r="L73" s="994"/>
      <c r="M73" s="994">
        <f>C73*D73*E73</f>
        <v>0.21450000000000002</v>
      </c>
      <c r="N73" s="1020" t="s">
        <v>103</v>
      </c>
    </row>
    <row r="74" spans="1:14" s="986" customFormat="1" ht="15.75" customHeight="1">
      <c r="A74" s="1003">
        <f>A68+1</f>
        <v>7</v>
      </c>
      <c r="B74" s="993" t="s">
        <v>832</v>
      </c>
      <c r="C74" s="994"/>
      <c r="D74" s="994"/>
      <c r="E74" s="994"/>
      <c r="F74" s="994"/>
      <c r="G74" s="994"/>
      <c r="H74" s="994"/>
      <c r="I74" s="994"/>
      <c r="J74" s="994"/>
      <c r="K74" s="994"/>
      <c r="L74" s="994"/>
      <c r="M74" s="994"/>
      <c r="N74" s="1005"/>
    </row>
    <row r="75" spans="1:14" s="986" customFormat="1" ht="15.75" customHeight="1">
      <c r="A75" s="1019" t="s">
        <v>95</v>
      </c>
      <c r="B75" s="993" t="s">
        <v>382</v>
      </c>
      <c r="C75" s="994">
        <v>3</v>
      </c>
      <c r="D75" s="994">
        <v>1</v>
      </c>
      <c r="E75" s="994">
        <v>0.2</v>
      </c>
      <c r="F75" s="994"/>
      <c r="G75" s="994"/>
      <c r="H75" s="994"/>
      <c r="I75" s="994"/>
      <c r="J75" s="994"/>
      <c r="K75" s="994"/>
      <c r="L75" s="994"/>
      <c r="M75" s="994">
        <f>C75*D75*E75</f>
        <v>0.60000000000000009</v>
      </c>
      <c r="N75" s="1020" t="s">
        <v>103</v>
      </c>
    </row>
    <row r="76" spans="1:14" s="1026" customFormat="1" ht="15.75" customHeight="1">
      <c r="A76" s="1022" t="s">
        <v>98</v>
      </c>
      <c r="B76" s="1023" t="s">
        <v>1411</v>
      </c>
      <c r="C76" s="1024">
        <f>C75</f>
        <v>3</v>
      </c>
      <c r="D76" s="1024">
        <f>D75</f>
        <v>1</v>
      </c>
      <c r="E76" s="1024">
        <v>0.05</v>
      </c>
      <c r="F76" s="1024"/>
      <c r="G76" s="1024"/>
      <c r="H76" s="1024"/>
      <c r="I76" s="1024"/>
      <c r="J76" s="1024"/>
      <c r="K76" s="1024"/>
      <c r="L76" s="1024"/>
      <c r="M76" s="1025">
        <f>C76*D76*E76</f>
        <v>0.15000000000000002</v>
      </c>
      <c r="N76" s="1020" t="s">
        <v>103</v>
      </c>
    </row>
    <row r="77" spans="1:14" s="1026" customFormat="1" ht="15.75" customHeight="1">
      <c r="A77" s="1022" t="s">
        <v>101</v>
      </c>
      <c r="B77" s="1023" t="s">
        <v>1412</v>
      </c>
      <c r="C77" s="1024">
        <f>C76</f>
        <v>3</v>
      </c>
      <c r="D77" s="1024">
        <f>D76</f>
        <v>1</v>
      </c>
      <c r="E77" s="1024">
        <f>E76</f>
        <v>0.05</v>
      </c>
      <c r="F77" s="1024"/>
      <c r="G77" s="1024"/>
      <c r="H77" s="1024"/>
      <c r="I77" s="1024"/>
      <c r="J77" s="1024"/>
      <c r="K77" s="1024"/>
      <c r="L77" s="1024"/>
      <c r="M77" s="1025">
        <f>C77*D77*E77</f>
        <v>0.15000000000000002</v>
      </c>
      <c r="N77" s="1020" t="s">
        <v>103</v>
      </c>
    </row>
    <row r="78" spans="1:14" s="1026" customFormat="1" ht="15.75" customHeight="1">
      <c r="A78" s="1022" t="s">
        <v>121</v>
      </c>
      <c r="B78" s="1023" t="s">
        <v>1204</v>
      </c>
      <c r="C78" s="1024">
        <f>C77</f>
        <v>3</v>
      </c>
      <c r="D78" s="1024"/>
      <c r="E78" s="1024">
        <v>0.6</v>
      </c>
      <c r="F78" s="1024"/>
      <c r="G78" s="1024"/>
      <c r="H78" s="1024"/>
      <c r="I78" s="1024"/>
      <c r="J78" s="1024">
        <v>2</v>
      </c>
      <c r="K78" s="1024"/>
      <c r="L78" s="1024"/>
      <c r="M78" s="1027">
        <f>C78*E78*J78+M79</f>
        <v>4.8</v>
      </c>
      <c r="N78" s="1028" t="s">
        <v>89</v>
      </c>
    </row>
    <row r="79" spans="1:14" s="1026" customFormat="1" ht="15.75" customHeight="1">
      <c r="A79" s="1022"/>
      <c r="B79" s="1023"/>
      <c r="C79" s="1024">
        <f>D77</f>
        <v>1</v>
      </c>
      <c r="D79" s="1024"/>
      <c r="E79" s="1024">
        <v>0.6</v>
      </c>
      <c r="F79" s="1024"/>
      <c r="G79" s="1024"/>
      <c r="H79" s="1024"/>
      <c r="I79" s="1024"/>
      <c r="J79" s="1024">
        <v>2</v>
      </c>
      <c r="K79" s="1024"/>
      <c r="L79" s="1024"/>
      <c r="M79" s="1025">
        <f>C79*E79*J79</f>
        <v>1.2</v>
      </c>
      <c r="N79" s="1020"/>
    </row>
    <row r="80" spans="1:14" s="986" customFormat="1" ht="15.75" customHeight="1">
      <c r="A80" s="1019" t="s">
        <v>142</v>
      </c>
      <c r="B80" s="993" t="s">
        <v>791</v>
      </c>
      <c r="C80" s="994"/>
      <c r="D80" s="994"/>
      <c r="E80" s="994"/>
      <c r="F80" s="994"/>
      <c r="G80" s="994"/>
      <c r="H80" s="994"/>
      <c r="I80" s="994"/>
      <c r="J80" s="994"/>
      <c r="K80" s="994"/>
      <c r="L80" s="994"/>
      <c r="M80" s="994"/>
      <c r="N80" s="1005"/>
    </row>
    <row r="81" spans="1:14" s="986" customFormat="1" ht="15.75" customHeight="1">
      <c r="A81" s="1019"/>
      <c r="B81" s="1014" t="s">
        <v>154</v>
      </c>
      <c r="C81" s="994">
        <f>D75+0.2</f>
        <v>1.2</v>
      </c>
      <c r="D81" s="994"/>
      <c r="E81" s="994"/>
      <c r="F81" s="994">
        <f>0.5*2</f>
        <v>1</v>
      </c>
      <c r="G81" s="994"/>
      <c r="H81" s="994"/>
      <c r="I81" s="994">
        <f>10*10*0.006165</f>
        <v>0.61650000000000005</v>
      </c>
      <c r="J81" s="994"/>
      <c r="K81" s="994">
        <f>ROUNDUP((C82/0.15),0.5)+1</f>
        <v>23</v>
      </c>
      <c r="L81" s="994">
        <v>2</v>
      </c>
      <c r="M81" s="994">
        <f>(C81+F81)*I81*K81*L81</f>
        <v>62.389800000000015</v>
      </c>
      <c r="N81" s="1005"/>
    </row>
    <row r="82" spans="1:14" s="986" customFormat="1" ht="15.75" customHeight="1">
      <c r="A82" s="1019"/>
      <c r="B82" s="1014" t="s">
        <v>155</v>
      </c>
      <c r="C82" s="994">
        <f>C75+0.2</f>
        <v>3.2</v>
      </c>
      <c r="D82" s="994"/>
      <c r="E82" s="994"/>
      <c r="F82" s="994">
        <f>F81</f>
        <v>1</v>
      </c>
      <c r="G82" s="994"/>
      <c r="H82" s="994"/>
      <c r="I82" s="994">
        <f>I81</f>
        <v>0.61650000000000005</v>
      </c>
      <c r="J82" s="994"/>
      <c r="K82" s="994">
        <f>ROUNDUP((C81/0.15),0.5)+1</f>
        <v>9</v>
      </c>
      <c r="L82" s="994">
        <f>L81</f>
        <v>2</v>
      </c>
      <c r="M82" s="1006">
        <f>(C82+F82)*I82*K82*L82</f>
        <v>46.607400000000005</v>
      </c>
      <c r="N82" s="1005"/>
    </row>
    <row r="83" spans="1:14" s="986" customFormat="1" ht="15.75" customHeight="1">
      <c r="A83" s="1019"/>
      <c r="B83" s="993"/>
      <c r="C83" s="994"/>
      <c r="D83" s="994"/>
      <c r="E83" s="994"/>
      <c r="F83" s="994"/>
      <c r="G83" s="994"/>
      <c r="H83" s="994"/>
      <c r="I83" s="994"/>
      <c r="J83" s="994"/>
      <c r="K83" s="994"/>
      <c r="L83" s="994"/>
      <c r="M83" s="1007">
        <f>SUM(M81:M82)</f>
        <v>108.99720000000002</v>
      </c>
      <c r="N83" s="1008" t="s">
        <v>100</v>
      </c>
    </row>
    <row r="84" spans="1:14" s="986" customFormat="1" ht="15.75" customHeight="1">
      <c r="A84" s="1019" t="s">
        <v>217</v>
      </c>
      <c r="B84" s="993" t="s">
        <v>833</v>
      </c>
      <c r="C84" s="994"/>
      <c r="D84" s="994"/>
      <c r="E84" s="994"/>
      <c r="F84" s="994"/>
      <c r="G84" s="994"/>
      <c r="H84" s="994"/>
      <c r="I84" s="994"/>
      <c r="J84" s="994"/>
      <c r="K84" s="994"/>
      <c r="L84" s="994"/>
      <c r="M84" s="994"/>
      <c r="N84" s="1005"/>
    </row>
    <row r="85" spans="1:14" s="986" customFormat="1" ht="15.75" customHeight="1">
      <c r="A85" s="1019"/>
      <c r="B85" s="1014" t="s">
        <v>154</v>
      </c>
      <c r="C85" s="994">
        <f>(0.9+0.5)*2</f>
        <v>2.8</v>
      </c>
      <c r="D85" s="994"/>
      <c r="E85" s="994"/>
      <c r="F85" s="994">
        <f>0.5*2</f>
        <v>1</v>
      </c>
      <c r="G85" s="994"/>
      <c r="H85" s="994"/>
      <c r="I85" s="994">
        <f>8*8*0.006165</f>
        <v>0.39456000000000002</v>
      </c>
      <c r="J85" s="994"/>
      <c r="K85" s="994">
        <f>ROUNDUP((C75/0.15),0.5)</f>
        <v>20</v>
      </c>
      <c r="L85" s="994"/>
      <c r="M85" s="994">
        <f>(C85+F85)*I85*K85</f>
        <v>29.986560000000001</v>
      </c>
      <c r="N85" s="1005"/>
    </row>
    <row r="86" spans="1:14" s="986" customFormat="1" ht="15.75" customHeight="1">
      <c r="A86" s="1019"/>
      <c r="B86" s="1014" t="s">
        <v>155</v>
      </c>
      <c r="C86" s="994">
        <f>C82</f>
        <v>3.2</v>
      </c>
      <c r="D86" s="994"/>
      <c r="E86" s="994"/>
      <c r="F86" s="994">
        <f>F85</f>
        <v>1</v>
      </c>
      <c r="G86" s="994"/>
      <c r="H86" s="994"/>
      <c r="I86" s="994">
        <v>0</v>
      </c>
      <c r="J86" s="994"/>
      <c r="K86" s="994">
        <f>ROUNDUP((C85/0.15),0.5)+1</f>
        <v>20</v>
      </c>
      <c r="L86" s="994"/>
      <c r="M86" s="1006">
        <f>(C86+F86)*I86*K86</f>
        <v>0</v>
      </c>
      <c r="N86" s="1005"/>
    </row>
    <row r="87" spans="1:14" s="986" customFormat="1" ht="15.75" customHeight="1">
      <c r="A87" s="1019"/>
      <c r="B87" s="993"/>
      <c r="C87" s="994"/>
      <c r="D87" s="994"/>
      <c r="E87" s="994"/>
      <c r="F87" s="994"/>
      <c r="G87" s="994"/>
      <c r="H87" s="994"/>
      <c r="I87" s="994"/>
      <c r="J87" s="994"/>
      <c r="K87" s="994"/>
      <c r="L87" s="994"/>
      <c r="M87" s="1007">
        <f>SUM(M85:M86)</f>
        <v>29.986560000000001</v>
      </c>
      <c r="N87" s="1008" t="s">
        <v>100</v>
      </c>
    </row>
    <row r="88" spans="1:14" s="1033" customFormat="1" ht="15.75" hidden="1" customHeight="1">
      <c r="A88" s="1029" t="s">
        <v>121</v>
      </c>
      <c r="B88" s="1030" t="s">
        <v>1413</v>
      </c>
      <c r="C88" s="1031"/>
      <c r="D88" s="1031"/>
      <c r="E88" s="1031"/>
      <c r="F88" s="1031"/>
      <c r="G88" s="1031"/>
      <c r="H88" s="1031"/>
      <c r="I88" s="1031"/>
      <c r="J88" s="1031"/>
      <c r="K88" s="1031"/>
      <c r="L88" s="1031"/>
      <c r="M88" s="1031"/>
      <c r="N88" s="1032"/>
    </row>
    <row r="89" spans="1:14" s="1033" customFormat="1" ht="15.75" hidden="1" customHeight="1">
      <c r="A89" s="1029"/>
      <c r="B89" s="1034" t="s">
        <v>154</v>
      </c>
      <c r="C89" s="1031">
        <f>C85-0.1</f>
        <v>2.6999999999999997</v>
      </c>
      <c r="D89" s="1031"/>
      <c r="E89" s="1031"/>
      <c r="F89" s="1031">
        <v>0.1</v>
      </c>
      <c r="G89" s="1031"/>
      <c r="H89" s="1031"/>
      <c r="I89" s="1031">
        <v>0</v>
      </c>
      <c r="J89" s="1031">
        <v>2</v>
      </c>
      <c r="K89" s="1031">
        <v>3</v>
      </c>
      <c r="L89" s="1031"/>
      <c r="M89" s="1031">
        <f>(C89+F89)*I89*J89*K89</f>
        <v>0</v>
      </c>
      <c r="N89" s="1032"/>
    </row>
    <row r="90" spans="1:14" s="1033" customFormat="1" ht="15.75" hidden="1" customHeight="1">
      <c r="A90" s="1029"/>
      <c r="B90" s="1034" t="s">
        <v>155</v>
      </c>
      <c r="C90" s="1031">
        <f>C86-0.1</f>
        <v>3.1</v>
      </c>
      <c r="D90" s="1031"/>
      <c r="E90" s="1031"/>
      <c r="F90" s="1031">
        <f>F89</f>
        <v>0.1</v>
      </c>
      <c r="G90" s="1031"/>
      <c r="H90" s="1031"/>
      <c r="I90" s="1031">
        <f>I89</f>
        <v>0</v>
      </c>
      <c r="J90" s="1031">
        <f>J89</f>
        <v>2</v>
      </c>
      <c r="K90" s="1031">
        <f>K89</f>
        <v>3</v>
      </c>
      <c r="L90" s="1031"/>
      <c r="M90" s="1035">
        <f>(C90+F90)*I90*J90*K90</f>
        <v>0</v>
      </c>
      <c r="N90" s="1032"/>
    </row>
    <row r="91" spans="1:14" s="1033" customFormat="1" ht="15.75" hidden="1" customHeight="1">
      <c r="A91" s="1029"/>
      <c r="B91" s="1030"/>
      <c r="C91" s="1031"/>
      <c r="D91" s="1031"/>
      <c r="E91" s="1031"/>
      <c r="F91" s="1031"/>
      <c r="G91" s="1031"/>
      <c r="H91" s="1031"/>
      <c r="I91" s="1031"/>
      <c r="J91" s="1031"/>
      <c r="K91" s="1031"/>
      <c r="L91" s="1031"/>
      <c r="M91" s="1036">
        <f>SUM(M89:M90)</f>
        <v>0</v>
      </c>
      <c r="N91" s="1037" t="s">
        <v>100</v>
      </c>
    </row>
    <row r="92" spans="1:14" s="986" customFormat="1" ht="15.75" customHeight="1">
      <c r="A92" s="1019" t="s">
        <v>366</v>
      </c>
      <c r="B92" s="1004" t="s">
        <v>420</v>
      </c>
      <c r="C92" s="994">
        <f>C75</f>
        <v>3</v>
      </c>
      <c r="D92" s="994">
        <f>D75</f>
        <v>1</v>
      </c>
      <c r="E92" s="994">
        <v>0.6</v>
      </c>
      <c r="F92" s="994"/>
      <c r="G92" s="994"/>
      <c r="H92" s="994"/>
      <c r="I92" s="994"/>
      <c r="J92" s="994"/>
      <c r="K92" s="994"/>
      <c r="L92" s="994"/>
      <c r="M92" s="994">
        <f>C92*D92*E92</f>
        <v>1.7999999999999998</v>
      </c>
      <c r="N92" s="1020" t="s">
        <v>103</v>
      </c>
    </row>
    <row r="93" spans="1:14" s="1026" customFormat="1" ht="15.75" customHeight="1">
      <c r="A93" s="421">
        <f>A74+1</f>
        <v>8</v>
      </c>
      <c r="B93" s="763" t="s">
        <v>416</v>
      </c>
      <c r="C93" s="826"/>
      <c r="D93" s="826"/>
      <c r="E93" s="826"/>
      <c r="F93" s="826"/>
      <c r="G93" s="826"/>
      <c r="H93" s="826"/>
      <c r="I93" s="826"/>
      <c r="J93" s="826"/>
      <c r="K93" s="826"/>
      <c r="L93" s="826"/>
      <c r="M93" s="826"/>
      <c r="N93" s="1021"/>
    </row>
    <row r="94" spans="1:14" s="1026" customFormat="1" ht="15.75" customHeight="1">
      <c r="A94" s="771" t="s">
        <v>95</v>
      </c>
      <c r="B94" s="763" t="s">
        <v>417</v>
      </c>
      <c r="C94" s="401"/>
      <c r="D94" s="401">
        <v>0.25</v>
      </c>
      <c r="E94" s="401">
        <v>0.8</v>
      </c>
      <c r="F94" s="401"/>
      <c r="G94" s="401"/>
      <c r="H94" s="401">
        <v>4</v>
      </c>
      <c r="I94" s="401"/>
      <c r="J94" s="401"/>
      <c r="K94" s="401"/>
      <c r="L94" s="401">
        <f>L17</f>
        <v>6</v>
      </c>
      <c r="M94" s="401">
        <f>D94*E94*H94*L94</f>
        <v>4.8000000000000007</v>
      </c>
      <c r="N94" s="1021" t="s">
        <v>89</v>
      </c>
    </row>
    <row r="95" spans="1:14" s="1026" customFormat="1" ht="15.75" customHeight="1">
      <c r="A95" s="771" t="s">
        <v>98</v>
      </c>
      <c r="B95" s="763" t="s">
        <v>418</v>
      </c>
      <c r="C95" s="401"/>
      <c r="D95" s="401"/>
      <c r="E95" s="401">
        <f>E94</f>
        <v>0.8</v>
      </c>
      <c r="F95" s="401">
        <f>10*10*0.006165</f>
        <v>0.61650000000000005</v>
      </c>
      <c r="G95" s="401"/>
      <c r="H95" s="401"/>
      <c r="I95" s="401">
        <v>0.25</v>
      </c>
      <c r="J95" s="401"/>
      <c r="K95" s="401">
        <v>8</v>
      </c>
      <c r="L95" s="401">
        <f>L18</f>
        <v>6</v>
      </c>
      <c r="M95" s="401">
        <f>(E95+I95)*F95*K95*L95</f>
        <v>31.071600000000004</v>
      </c>
      <c r="N95" s="1021" t="s">
        <v>100</v>
      </c>
    </row>
    <row r="96" spans="1:14" s="1026" customFormat="1" ht="15.75" customHeight="1">
      <c r="A96" s="771" t="s">
        <v>101</v>
      </c>
      <c r="B96" s="763" t="s">
        <v>419</v>
      </c>
      <c r="C96" s="401">
        <f>0.17*4</f>
        <v>0.68</v>
      </c>
      <c r="D96" s="401"/>
      <c r="E96" s="401"/>
      <c r="F96" s="401">
        <f>8*8*0.006165</f>
        <v>0.39456000000000002</v>
      </c>
      <c r="G96" s="401">
        <f>0.05*2</f>
        <v>0.1</v>
      </c>
      <c r="H96" s="401"/>
      <c r="I96" s="401"/>
      <c r="J96" s="401"/>
      <c r="K96" s="401">
        <f>ROUNDDOWN((E95/0.15),0.5)</f>
        <v>5</v>
      </c>
      <c r="L96" s="401">
        <f>L19</f>
        <v>6</v>
      </c>
      <c r="M96" s="401">
        <f>(C96+G96)*F96*K96*L96</f>
        <v>9.2327040000000018</v>
      </c>
      <c r="N96" s="1021" t="s">
        <v>100</v>
      </c>
    </row>
    <row r="97" spans="1:14" s="1026" customFormat="1" ht="15.75" customHeight="1">
      <c r="A97" s="771" t="s">
        <v>121</v>
      </c>
      <c r="B97" s="1004" t="s">
        <v>420</v>
      </c>
      <c r="C97" s="401">
        <v>0.25</v>
      </c>
      <c r="D97" s="401">
        <v>0.25</v>
      </c>
      <c r="E97" s="401">
        <f>E95</f>
        <v>0.8</v>
      </c>
      <c r="F97" s="401"/>
      <c r="G97" s="401"/>
      <c r="H97" s="401"/>
      <c r="I97" s="401"/>
      <c r="J97" s="401"/>
      <c r="K97" s="401"/>
      <c r="L97" s="401">
        <f>L20</f>
        <v>6</v>
      </c>
      <c r="M97" s="401">
        <f>C97*D97*E97*L97</f>
        <v>0.30000000000000004</v>
      </c>
      <c r="N97" s="1021" t="s">
        <v>103</v>
      </c>
    </row>
    <row r="98" spans="1:14" s="986" customFormat="1" ht="15.75" customHeight="1">
      <c r="A98" s="1003">
        <f>A93+1</f>
        <v>9</v>
      </c>
      <c r="B98" s="454" t="s">
        <v>421</v>
      </c>
      <c r="C98" s="1038"/>
      <c r="D98" s="1038"/>
      <c r="E98" s="994"/>
      <c r="F98" s="994"/>
      <c r="G98" s="994"/>
      <c r="H98" s="994"/>
      <c r="I98" s="994"/>
      <c r="J98" s="994"/>
      <c r="K98" s="994"/>
      <c r="L98" s="994"/>
      <c r="M98" s="994"/>
      <c r="N98" s="1005"/>
    </row>
    <row r="99" spans="1:14" s="986" customFormat="1" ht="15.75" customHeight="1">
      <c r="A99" s="1019" t="s">
        <v>95</v>
      </c>
      <c r="B99" s="993" t="s">
        <v>417</v>
      </c>
      <c r="C99" s="401"/>
      <c r="D99" s="401">
        <f>D94</f>
        <v>0.25</v>
      </c>
      <c r="E99" s="401">
        <f>3.88-0.3</f>
        <v>3.58</v>
      </c>
      <c r="F99" s="401"/>
      <c r="G99" s="401"/>
      <c r="H99" s="401">
        <v>4</v>
      </c>
      <c r="I99" s="401"/>
      <c r="J99" s="401"/>
      <c r="K99" s="401"/>
      <c r="L99" s="401">
        <f>L94</f>
        <v>6</v>
      </c>
      <c r="M99" s="401">
        <f>D99*E99*H99*L99</f>
        <v>21.48</v>
      </c>
      <c r="N99" s="1005" t="s">
        <v>89</v>
      </c>
    </row>
    <row r="100" spans="1:14" s="986" customFormat="1" ht="15.75" customHeight="1">
      <c r="A100" s="1019" t="s">
        <v>98</v>
      </c>
      <c r="B100" s="763" t="s">
        <v>418</v>
      </c>
      <c r="C100" s="401"/>
      <c r="D100" s="401"/>
      <c r="E100" s="401">
        <f>E99</f>
        <v>3.58</v>
      </c>
      <c r="F100" s="401">
        <f>F95</f>
        <v>0.61650000000000005</v>
      </c>
      <c r="G100" s="401"/>
      <c r="H100" s="401"/>
      <c r="I100" s="401">
        <f>I95</f>
        <v>0.25</v>
      </c>
      <c r="J100" s="401"/>
      <c r="K100" s="401">
        <v>8</v>
      </c>
      <c r="L100" s="401">
        <f>L95</f>
        <v>6</v>
      </c>
      <c r="M100" s="401">
        <f>(E100+I100)*F100*K100*L100</f>
        <v>113.33736000000002</v>
      </c>
      <c r="N100" s="1005" t="s">
        <v>100</v>
      </c>
    </row>
    <row r="101" spans="1:14" s="986" customFormat="1" ht="15.75" customHeight="1">
      <c r="A101" s="1019" t="s">
        <v>101</v>
      </c>
      <c r="B101" s="763" t="s">
        <v>419</v>
      </c>
      <c r="C101" s="401">
        <f>C96</f>
        <v>0.68</v>
      </c>
      <c r="D101" s="401"/>
      <c r="E101" s="401"/>
      <c r="F101" s="401">
        <f>F96</f>
        <v>0.39456000000000002</v>
      </c>
      <c r="G101" s="401">
        <f>0.05*2</f>
        <v>0.1</v>
      </c>
      <c r="H101" s="401"/>
      <c r="I101" s="401"/>
      <c r="J101" s="401"/>
      <c r="K101" s="401">
        <f>ROUNDDOWN((E100/0.15),0.5)</f>
        <v>23</v>
      </c>
      <c r="L101" s="401">
        <f>L96</f>
        <v>6</v>
      </c>
      <c r="M101" s="401">
        <f>(C101+G101)*F101*K101*L101</f>
        <v>42.470438400000006</v>
      </c>
      <c r="N101" s="1005" t="s">
        <v>100</v>
      </c>
    </row>
    <row r="102" spans="1:14" s="986" customFormat="1" ht="15.75" customHeight="1">
      <c r="A102" s="1019" t="s">
        <v>121</v>
      </c>
      <c r="B102" s="1004" t="s">
        <v>420</v>
      </c>
      <c r="C102" s="401">
        <f>C97</f>
        <v>0.25</v>
      </c>
      <c r="D102" s="401">
        <f>D97</f>
        <v>0.25</v>
      </c>
      <c r="E102" s="401">
        <f>E99</f>
        <v>3.58</v>
      </c>
      <c r="F102" s="401"/>
      <c r="G102" s="401"/>
      <c r="H102" s="401"/>
      <c r="I102" s="401"/>
      <c r="J102" s="401"/>
      <c r="K102" s="401"/>
      <c r="L102" s="401">
        <f>L97</f>
        <v>6</v>
      </c>
      <c r="M102" s="401">
        <f>C102*D102*E102*L102</f>
        <v>1.3425</v>
      </c>
      <c r="N102" s="1020" t="s">
        <v>103</v>
      </c>
    </row>
    <row r="103" spans="1:14" s="986" customFormat="1" ht="15.75" customHeight="1">
      <c r="A103" s="1003">
        <f>A98+1</f>
        <v>10</v>
      </c>
      <c r="B103" s="454" t="s">
        <v>422</v>
      </c>
      <c r="C103" s="994"/>
      <c r="D103" s="994"/>
      <c r="E103" s="994"/>
      <c r="F103" s="994"/>
      <c r="G103" s="994"/>
      <c r="H103" s="994"/>
      <c r="I103" s="994"/>
      <c r="J103" s="994"/>
      <c r="K103" s="994"/>
      <c r="L103" s="994"/>
      <c r="M103" s="994"/>
      <c r="N103" s="1005"/>
    </row>
    <row r="104" spans="1:14" s="986" customFormat="1" ht="15.75" customHeight="1">
      <c r="A104" s="1019" t="s">
        <v>95</v>
      </c>
      <c r="B104" s="993" t="s">
        <v>1134</v>
      </c>
      <c r="C104" s="994"/>
      <c r="D104" s="994"/>
      <c r="E104" s="994"/>
      <c r="F104" s="994"/>
      <c r="G104" s="994"/>
      <c r="H104" s="994"/>
      <c r="I104" s="994"/>
      <c r="J104" s="994"/>
      <c r="K104" s="994"/>
      <c r="L104" s="994"/>
      <c r="M104" s="994"/>
      <c r="N104" s="1005"/>
    </row>
    <row r="105" spans="1:14" s="986" customFormat="1" ht="15.75" customHeight="1">
      <c r="A105" s="1019"/>
      <c r="B105" s="1014" t="s">
        <v>154</v>
      </c>
      <c r="C105" s="994">
        <f>C65</f>
        <v>4.5</v>
      </c>
      <c r="D105" s="994"/>
      <c r="E105" s="994">
        <v>0.35</v>
      </c>
      <c r="F105" s="994"/>
      <c r="G105" s="994"/>
      <c r="H105" s="994"/>
      <c r="I105" s="994"/>
      <c r="J105" s="994">
        <v>2</v>
      </c>
      <c r="K105" s="994"/>
      <c r="L105" s="994">
        <f>L65-2</f>
        <v>2</v>
      </c>
      <c r="M105" s="994">
        <f>C105*E105*J105*L105</f>
        <v>6.3</v>
      </c>
      <c r="N105" s="1005"/>
    </row>
    <row r="106" spans="1:14" s="986" customFormat="1" ht="15.75" customHeight="1">
      <c r="A106" s="1019"/>
      <c r="B106" s="1014"/>
      <c r="C106" s="994">
        <f>C105</f>
        <v>4.5</v>
      </c>
      <c r="D106" s="994">
        <v>0.2</v>
      </c>
      <c r="E106" s="994"/>
      <c r="F106" s="994"/>
      <c r="G106" s="994"/>
      <c r="H106" s="994"/>
      <c r="I106" s="994"/>
      <c r="J106" s="994">
        <v>1</v>
      </c>
      <c r="K106" s="994"/>
      <c r="L106" s="994">
        <f>L105</f>
        <v>2</v>
      </c>
      <c r="M106" s="994">
        <f>C106*D106*J106*L106</f>
        <v>1.8</v>
      </c>
      <c r="N106" s="1005"/>
    </row>
    <row r="107" spans="1:14" s="986" customFormat="1" ht="15.75" customHeight="1">
      <c r="A107" s="1019"/>
      <c r="B107" s="1014" t="s">
        <v>155</v>
      </c>
      <c r="C107" s="994">
        <f>C66</f>
        <v>7</v>
      </c>
      <c r="D107" s="994"/>
      <c r="E107" s="994">
        <f>E105</f>
        <v>0.35</v>
      </c>
      <c r="F107" s="994"/>
      <c r="G107" s="994"/>
      <c r="H107" s="994"/>
      <c r="I107" s="994"/>
      <c r="J107" s="994">
        <f>J105</f>
        <v>2</v>
      </c>
      <c r="K107" s="994"/>
      <c r="L107" s="994">
        <f>L66</f>
        <v>2</v>
      </c>
      <c r="M107" s="994">
        <f>C107*E107*J107*L107</f>
        <v>9.7999999999999989</v>
      </c>
      <c r="N107" s="1005"/>
    </row>
    <row r="108" spans="1:14" s="986" customFormat="1" ht="15.75" customHeight="1">
      <c r="A108" s="1019"/>
      <c r="B108" s="1014"/>
      <c r="C108" s="994">
        <f>C107</f>
        <v>7</v>
      </c>
      <c r="D108" s="994">
        <f>D106</f>
        <v>0.2</v>
      </c>
      <c r="E108" s="994"/>
      <c r="F108" s="994"/>
      <c r="G108" s="994"/>
      <c r="H108" s="994"/>
      <c r="I108" s="994"/>
      <c r="J108" s="994">
        <f>J106</f>
        <v>1</v>
      </c>
      <c r="K108" s="994"/>
      <c r="L108" s="994">
        <f>L107</f>
        <v>2</v>
      </c>
      <c r="M108" s="1006">
        <f>C108*D108*J108*L108</f>
        <v>2.8000000000000003</v>
      </c>
      <c r="N108" s="1005"/>
    </row>
    <row r="109" spans="1:14" s="986" customFormat="1" ht="15.75" customHeight="1">
      <c r="A109" s="1019"/>
      <c r="B109" s="993"/>
      <c r="C109" s="994"/>
      <c r="D109" s="994"/>
      <c r="E109" s="994"/>
      <c r="F109" s="994"/>
      <c r="G109" s="994"/>
      <c r="H109" s="994"/>
      <c r="I109" s="994"/>
      <c r="J109" s="994"/>
      <c r="K109" s="994"/>
      <c r="L109" s="994"/>
      <c r="M109" s="1007">
        <f>SUM(M105:M107)</f>
        <v>17.899999999999999</v>
      </c>
      <c r="N109" s="1008" t="s">
        <v>89</v>
      </c>
    </row>
    <row r="110" spans="1:14" s="986" customFormat="1" ht="15.75" customHeight="1">
      <c r="A110" s="1019" t="s">
        <v>98</v>
      </c>
      <c r="B110" s="993" t="s">
        <v>410</v>
      </c>
      <c r="C110" s="994"/>
      <c r="D110" s="994"/>
      <c r="E110" s="994"/>
      <c r="F110" s="994"/>
      <c r="G110" s="994"/>
      <c r="H110" s="994"/>
      <c r="I110" s="994"/>
      <c r="J110" s="994"/>
      <c r="K110" s="994"/>
      <c r="L110" s="994"/>
      <c r="M110" s="994"/>
      <c r="N110" s="1005"/>
    </row>
    <row r="111" spans="1:14" s="986" customFormat="1" ht="15.75" customHeight="1">
      <c r="A111" s="1019"/>
      <c r="B111" s="1014" t="s">
        <v>154</v>
      </c>
      <c r="C111" s="994">
        <f>C105</f>
        <v>4.5</v>
      </c>
      <c r="D111" s="994"/>
      <c r="E111" s="994"/>
      <c r="F111" s="994"/>
      <c r="G111" s="994"/>
      <c r="H111" s="994"/>
      <c r="I111" s="994">
        <f>10*10*0.006165</f>
        <v>0.61650000000000005</v>
      </c>
      <c r="J111" s="994"/>
      <c r="K111" s="994">
        <v>5</v>
      </c>
      <c r="L111" s="994">
        <f>L105</f>
        <v>2</v>
      </c>
      <c r="M111" s="994">
        <f>C111*I111*K111*L111</f>
        <v>27.742500000000003</v>
      </c>
      <c r="N111" s="1005"/>
    </row>
    <row r="112" spans="1:14" s="986" customFormat="1" ht="15.75" customHeight="1">
      <c r="A112" s="1019"/>
      <c r="B112" s="1014" t="s">
        <v>155</v>
      </c>
      <c r="C112" s="994">
        <f>C107</f>
        <v>7</v>
      </c>
      <c r="D112" s="994"/>
      <c r="E112" s="994"/>
      <c r="F112" s="994"/>
      <c r="G112" s="994"/>
      <c r="H112" s="994"/>
      <c r="I112" s="994">
        <f>I111</f>
        <v>0.61650000000000005</v>
      </c>
      <c r="J112" s="994"/>
      <c r="K112" s="994">
        <f>K111</f>
        <v>5</v>
      </c>
      <c r="L112" s="994">
        <f>L107</f>
        <v>2</v>
      </c>
      <c r="M112" s="1006">
        <f>C112*I112*K112*L112</f>
        <v>43.155000000000001</v>
      </c>
      <c r="N112" s="1005"/>
    </row>
    <row r="113" spans="1:14" s="986" customFormat="1" ht="15.75" customHeight="1">
      <c r="A113" s="1019"/>
      <c r="B113" s="993"/>
      <c r="C113" s="994"/>
      <c r="D113" s="994"/>
      <c r="E113" s="994"/>
      <c r="F113" s="994"/>
      <c r="G113" s="994"/>
      <c r="H113" s="994"/>
      <c r="I113" s="994"/>
      <c r="J113" s="994"/>
      <c r="K113" s="994"/>
      <c r="L113" s="994"/>
      <c r="M113" s="1007">
        <f>SUM(M111:M112)</f>
        <v>70.897500000000008</v>
      </c>
      <c r="N113" s="1008" t="s">
        <v>100</v>
      </c>
    </row>
    <row r="114" spans="1:14" s="986" customFormat="1" ht="15.75" customHeight="1">
      <c r="A114" s="1019" t="s">
        <v>101</v>
      </c>
      <c r="B114" s="993" t="s">
        <v>411</v>
      </c>
      <c r="C114" s="994"/>
      <c r="D114" s="994"/>
      <c r="E114" s="994"/>
      <c r="F114" s="994"/>
      <c r="G114" s="994"/>
      <c r="H114" s="994"/>
      <c r="I114" s="994"/>
      <c r="J114" s="994"/>
      <c r="K114" s="994"/>
      <c r="L114" s="994"/>
      <c r="M114" s="994"/>
      <c r="N114" s="1005"/>
    </row>
    <row r="115" spans="1:14" s="986" customFormat="1" ht="15.75" customHeight="1">
      <c r="A115" s="1019"/>
      <c r="B115" s="1014" t="s">
        <v>154</v>
      </c>
      <c r="C115" s="994">
        <f>(0.12+0.27)*2</f>
        <v>0.78</v>
      </c>
      <c r="D115" s="994"/>
      <c r="E115" s="994"/>
      <c r="F115" s="994">
        <v>0.1</v>
      </c>
      <c r="G115" s="994"/>
      <c r="H115" s="994"/>
      <c r="I115" s="994">
        <f>8*8*0.006165</f>
        <v>0.39456000000000002</v>
      </c>
      <c r="J115" s="994"/>
      <c r="K115" s="994">
        <f>ROUNDUP((C111/0.125),0.5)+1</f>
        <v>37</v>
      </c>
      <c r="L115" s="994">
        <f>L111</f>
        <v>2</v>
      </c>
      <c r="M115" s="994">
        <f>(C115+F115)*I115*K115*L115</f>
        <v>25.693747200000004</v>
      </c>
      <c r="N115" s="1005"/>
    </row>
    <row r="116" spans="1:14" s="986" customFormat="1" ht="15.75" customHeight="1">
      <c r="A116" s="1019"/>
      <c r="B116" s="1014" t="s">
        <v>155</v>
      </c>
      <c r="C116" s="994">
        <f>C115</f>
        <v>0.78</v>
      </c>
      <c r="D116" s="994"/>
      <c r="E116" s="994"/>
      <c r="F116" s="994">
        <f>F115</f>
        <v>0.1</v>
      </c>
      <c r="G116" s="994"/>
      <c r="H116" s="994"/>
      <c r="I116" s="994">
        <f>I115</f>
        <v>0.39456000000000002</v>
      </c>
      <c r="J116" s="994"/>
      <c r="K116" s="994">
        <f>ROUNDUP((C112/0.125),0.5)+1</f>
        <v>57</v>
      </c>
      <c r="L116" s="994">
        <f>L112</f>
        <v>2</v>
      </c>
      <c r="M116" s="1006">
        <f>(C116+F116)*I116*K116*L116</f>
        <v>39.582259200000003</v>
      </c>
      <c r="N116" s="1005"/>
    </row>
    <row r="117" spans="1:14" s="986" customFormat="1" ht="15.75" customHeight="1">
      <c r="A117" s="1019"/>
      <c r="B117" s="993"/>
      <c r="C117" s="994"/>
      <c r="D117" s="994"/>
      <c r="E117" s="994"/>
      <c r="F117" s="994"/>
      <c r="G117" s="994"/>
      <c r="H117" s="994"/>
      <c r="I117" s="994"/>
      <c r="J117" s="994"/>
      <c r="K117" s="994"/>
      <c r="L117" s="994"/>
      <c r="M117" s="1007">
        <f>SUM(M115:M116)</f>
        <v>65.2760064</v>
      </c>
      <c r="N117" s="1008" t="s">
        <v>100</v>
      </c>
    </row>
    <row r="118" spans="1:14" s="986" customFormat="1" ht="15.75" customHeight="1">
      <c r="A118" s="1019" t="s">
        <v>121</v>
      </c>
      <c r="B118" s="1004" t="s">
        <v>420</v>
      </c>
      <c r="C118" s="994"/>
      <c r="D118" s="994"/>
      <c r="E118" s="994"/>
      <c r="F118" s="994"/>
      <c r="G118" s="994"/>
      <c r="H118" s="994"/>
      <c r="I118" s="994"/>
      <c r="J118" s="994"/>
      <c r="K118" s="994"/>
      <c r="L118" s="994"/>
      <c r="M118" s="994"/>
      <c r="N118" s="1005"/>
    </row>
    <row r="119" spans="1:14" s="986" customFormat="1" ht="15.75" customHeight="1">
      <c r="A119" s="1019"/>
      <c r="B119" s="1014" t="s">
        <v>154</v>
      </c>
      <c r="C119" s="994">
        <f>C111</f>
        <v>4.5</v>
      </c>
      <c r="D119" s="994">
        <f>D106</f>
        <v>0.2</v>
      </c>
      <c r="E119" s="994">
        <f>E105</f>
        <v>0.35</v>
      </c>
      <c r="F119" s="994"/>
      <c r="G119" s="994"/>
      <c r="H119" s="994"/>
      <c r="I119" s="994"/>
      <c r="J119" s="994"/>
      <c r="K119" s="994"/>
      <c r="L119" s="994">
        <f>L115</f>
        <v>2</v>
      </c>
      <c r="M119" s="994">
        <f>C119*D119*E119*L119</f>
        <v>0.63</v>
      </c>
      <c r="N119" s="1005"/>
    </row>
    <row r="120" spans="1:14" s="986" customFormat="1" ht="15.75" customHeight="1">
      <c r="A120" s="1019"/>
      <c r="B120" s="1014" t="s">
        <v>155</v>
      </c>
      <c r="C120" s="994">
        <f>C112</f>
        <v>7</v>
      </c>
      <c r="D120" s="994">
        <f>D119</f>
        <v>0.2</v>
      </c>
      <c r="E120" s="994">
        <f>E119</f>
        <v>0.35</v>
      </c>
      <c r="F120" s="994"/>
      <c r="G120" s="994"/>
      <c r="H120" s="994"/>
      <c r="I120" s="994"/>
      <c r="J120" s="994"/>
      <c r="K120" s="994"/>
      <c r="L120" s="994">
        <f>L116</f>
        <v>2</v>
      </c>
      <c r="M120" s="1006">
        <f>C120*D120*E120*L120</f>
        <v>0.98</v>
      </c>
      <c r="N120" s="1005"/>
    </row>
    <row r="121" spans="1:14" s="986" customFormat="1" ht="15.75" customHeight="1">
      <c r="A121" s="1019"/>
      <c r="B121" s="993"/>
      <c r="C121" s="994"/>
      <c r="D121" s="994"/>
      <c r="E121" s="994"/>
      <c r="F121" s="994"/>
      <c r="G121" s="994"/>
      <c r="H121" s="994"/>
      <c r="I121" s="994"/>
      <c r="J121" s="994"/>
      <c r="K121" s="994"/>
      <c r="L121" s="994"/>
      <c r="M121" s="1007">
        <f>SUM(M119:M120)</f>
        <v>1.6099999999999999</v>
      </c>
      <c r="N121" s="1008" t="s">
        <v>103</v>
      </c>
    </row>
    <row r="122" spans="1:14" s="986" customFormat="1" ht="15.75" customHeight="1">
      <c r="A122" s="1003">
        <f>A103+1</f>
        <v>11</v>
      </c>
      <c r="B122" s="454" t="s">
        <v>553</v>
      </c>
      <c r="C122" s="995"/>
      <c r="D122" s="995"/>
      <c r="E122" s="994"/>
      <c r="F122" s="994"/>
      <c r="G122" s="994"/>
      <c r="H122" s="994"/>
      <c r="I122" s="994"/>
      <c r="J122" s="994"/>
      <c r="K122" s="994"/>
      <c r="L122" s="994"/>
      <c r="M122" s="1007"/>
      <c r="N122" s="1008"/>
    </row>
    <row r="123" spans="1:14" s="986" customFormat="1" ht="15.75" customHeight="1">
      <c r="A123" s="1019" t="s">
        <v>95</v>
      </c>
      <c r="B123" s="993" t="s">
        <v>1134</v>
      </c>
      <c r="C123" s="995"/>
      <c r="D123" s="995"/>
      <c r="E123" s="994"/>
      <c r="F123" s="994"/>
      <c r="G123" s="994"/>
      <c r="H123" s="994"/>
      <c r="I123" s="994"/>
      <c r="J123" s="994"/>
      <c r="K123" s="994"/>
      <c r="L123" s="994"/>
      <c r="M123" s="1039">
        <f>SUM(M124:M125)</f>
        <v>8.1</v>
      </c>
      <c r="N123" s="1008" t="s">
        <v>89</v>
      </c>
    </row>
    <row r="124" spans="1:14" s="986" customFormat="1" ht="15.75" customHeight="1">
      <c r="A124" s="1019"/>
      <c r="B124" s="993"/>
      <c r="C124" s="995">
        <v>4.5</v>
      </c>
      <c r="D124" s="995"/>
      <c r="E124" s="994">
        <v>0.35</v>
      </c>
      <c r="F124" s="994"/>
      <c r="G124" s="994"/>
      <c r="H124" s="994"/>
      <c r="I124" s="994"/>
      <c r="J124" s="994">
        <v>2</v>
      </c>
      <c r="K124" s="994"/>
      <c r="L124" s="994">
        <f>L105</f>
        <v>2</v>
      </c>
      <c r="M124" s="995">
        <f>C124*E124*J124*L124</f>
        <v>6.3</v>
      </c>
      <c r="N124" s="1005"/>
    </row>
    <row r="125" spans="1:14" s="986" customFormat="1" ht="15.75" customHeight="1">
      <c r="A125" s="1019"/>
      <c r="B125" s="993"/>
      <c r="C125" s="995">
        <f>C124</f>
        <v>4.5</v>
      </c>
      <c r="D125" s="995">
        <v>0.2</v>
      </c>
      <c r="E125" s="994"/>
      <c r="F125" s="994"/>
      <c r="G125" s="994"/>
      <c r="H125" s="994"/>
      <c r="I125" s="994"/>
      <c r="J125" s="994">
        <v>1</v>
      </c>
      <c r="K125" s="994"/>
      <c r="L125" s="994">
        <f>L124</f>
        <v>2</v>
      </c>
      <c r="M125" s="995">
        <f>C125*D125*J125*L125</f>
        <v>1.8</v>
      </c>
      <c r="N125" s="1005"/>
    </row>
    <row r="126" spans="1:14" s="986" customFormat="1" ht="15.75" customHeight="1">
      <c r="A126" s="1019" t="s">
        <v>98</v>
      </c>
      <c r="B126" s="993" t="s">
        <v>410</v>
      </c>
      <c r="C126" s="995">
        <f>C124</f>
        <v>4.5</v>
      </c>
      <c r="D126" s="995"/>
      <c r="E126" s="994"/>
      <c r="F126" s="994"/>
      <c r="G126" s="994"/>
      <c r="H126" s="994"/>
      <c r="I126" s="994">
        <f>10*10*0.006165</f>
        <v>0.61650000000000005</v>
      </c>
      <c r="J126" s="994"/>
      <c r="K126" s="994">
        <v>5</v>
      </c>
      <c r="L126" s="994">
        <f>L125</f>
        <v>2</v>
      </c>
      <c r="M126" s="994">
        <f>C126*I126*K126*L126</f>
        <v>27.742500000000003</v>
      </c>
      <c r="N126" s="1005" t="s">
        <v>100</v>
      </c>
    </row>
    <row r="127" spans="1:14" s="986" customFormat="1" ht="15.75" customHeight="1">
      <c r="A127" s="1019" t="s">
        <v>101</v>
      </c>
      <c r="B127" s="993" t="s">
        <v>411</v>
      </c>
      <c r="C127" s="995">
        <f>C115</f>
        <v>0.78</v>
      </c>
      <c r="D127" s="995"/>
      <c r="E127" s="994"/>
      <c r="F127" s="995">
        <f>F115</f>
        <v>0.1</v>
      </c>
      <c r="G127" s="994"/>
      <c r="H127" s="994"/>
      <c r="I127" s="995">
        <f>I115</f>
        <v>0.39456000000000002</v>
      </c>
      <c r="J127" s="994"/>
      <c r="K127" s="994">
        <f>ROUNDUP((C126/0.125),0.5)+1</f>
        <v>37</v>
      </c>
      <c r="L127" s="994">
        <f>L126</f>
        <v>2</v>
      </c>
      <c r="M127" s="995">
        <f>(C127+F127)*I127*K127*L127</f>
        <v>25.693747200000004</v>
      </c>
      <c r="N127" s="1005" t="s">
        <v>100</v>
      </c>
    </row>
    <row r="128" spans="1:14" s="986" customFormat="1" ht="15.75" customHeight="1">
      <c r="A128" s="1019" t="s">
        <v>121</v>
      </c>
      <c r="B128" s="1004" t="s">
        <v>420</v>
      </c>
      <c r="C128" s="995">
        <f>C126</f>
        <v>4.5</v>
      </c>
      <c r="D128" s="995">
        <f>D125</f>
        <v>0.2</v>
      </c>
      <c r="E128" s="994">
        <f>E124</f>
        <v>0.35</v>
      </c>
      <c r="F128" s="994"/>
      <c r="G128" s="994"/>
      <c r="H128" s="994"/>
      <c r="I128" s="994"/>
      <c r="J128" s="994"/>
      <c r="K128" s="994"/>
      <c r="L128" s="994">
        <f>L127</f>
        <v>2</v>
      </c>
      <c r="M128" s="995">
        <f>C128*D128*E128*L128</f>
        <v>0.63</v>
      </c>
      <c r="N128" s="1005" t="s">
        <v>103</v>
      </c>
    </row>
    <row r="129" spans="1:23" s="986" customFormat="1" ht="15.75" customHeight="1">
      <c r="A129" s="1003">
        <f>A122+1</f>
        <v>12</v>
      </c>
      <c r="B129" s="454" t="s">
        <v>819</v>
      </c>
      <c r="C129" s="1038"/>
      <c r="D129" s="1038"/>
      <c r="E129" s="994"/>
      <c r="F129" s="994"/>
      <c r="G129" s="994"/>
      <c r="H129" s="994"/>
      <c r="I129" s="994"/>
      <c r="J129" s="994"/>
      <c r="K129" s="994"/>
      <c r="L129" s="994"/>
      <c r="M129" s="994"/>
      <c r="N129" s="1005"/>
    </row>
    <row r="130" spans="1:23" s="986" customFormat="1" ht="15.75" customHeight="1">
      <c r="A130" s="1019" t="s">
        <v>95</v>
      </c>
      <c r="B130" s="993" t="s">
        <v>417</v>
      </c>
      <c r="C130" s="994">
        <v>3.5</v>
      </c>
      <c r="D130" s="994"/>
      <c r="E130" s="994">
        <v>0.2</v>
      </c>
      <c r="F130" s="994"/>
      <c r="G130" s="994"/>
      <c r="H130" s="994"/>
      <c r="I130" s="994"/>
      <c r="J130" s="994">
        <v>3</v>
      </c>
      <c r="K130" s="994"/>
      <c r="L130" s="994"/>
      <c r="M130" s="994">
        <f>C130*E130*J130</f>
        <v>2.1</v>
      </c>
      <c r="N130" s="1005" t="s">
        <v>89</v>
      </c>
    </row>
    <row r="131" spans="1:23" s="986" customFormat="1" ht="15.75" customHeight="1">
      <c r="A131" s="1019" t="s">
        <v>98</v>
      </c>
      <c r="B131" s="993" t="s">
        <v>432</v>
      </c>
      <c r="C131" s="994">
        <f>C130</f>
        <v>3.5</v>
      </c>
      <c r="D131" s="994"/>
      <c r="E131" s="994"/>
      <c r="F131" s="994"/>
      <c r="G131" s="994"/>
      <c r="H131" s="994"/>
      <c r="I131" s="994">
        <f>10*10*0.006165</f>
        <v>0.61650000000000005</v>
      </c>
      <c r="J131" s="994"/>
      <c r="K131" s="994">
        <v>5</v>
      </c>
      <c r="L131" s="994"/>
      <c r="M131" s="994">
        <f>C131*I131*K131</f>
        <v>10.78875</v>
      </c>
      <c r="N131" s="1005" t="s">
        <v>100</v>
      </c>
    </row>
    <row r="132" spans="1:23" s="986" customFormat="1" ht="15.75" customHeight="1">
      <c r="A132" s="1019" t="s">
        <v>101</v>
      </c>
      <c r="B132" s="454" t="s">
        <v>411</v>
      </c>
      <c r="C132" s="994">
        <f>(0.1+0.15)*2</f>
        <v>0.5</v>
      </c>
      <c r="D132" s="994"/>
      <c r="E132" s="994"/>
      <c r="F132" s="994">
        <v>0.1</v>
      </c>
      <c r="G132" s="994"/>
      <c r="H132" s="994"/>
      <c r="I132" s="994">
        <f>8*8*0.006165</f>
        <v>0.39456000000000002</v>
      </c>
      <c r="J132" s="994"/>
      <c r="K132" s="994">
        <f>ROUNDUP((C131/0.125),0.5)+1</f>
        <v>29</v>
      </c>
      <c r="L132" s="994"/>
      <c r="M132" s="994">
        <f>(C132+F132)*I132*K132</f>
        <v>6.8653440000000003</v>
      </c>
      <c r="N132" s="1005" t="s">
        <v>100</v>
      </c>
    </row>
    <row r="133" spans="1:23" s="986" customFormat="1" ht="15.75" customHeight="1">
      <c r="A133" s="1019" t="s">
        <v>121</v>
      </c>
      <c r="B133" s="1004" t="s">
        <v>420</v>
      </c>
      <c r="C133" s="994">
        <f>C130</f>
        <v>3.5</v>
      </c>
      <c r="D133" s="994">
        <v>0.15</v>
      </c>
      <c r="E133" s="994">
        <v>0.2</v>
      </c>
      <c r="F133" s="994"/>
      <c r="G133" s="994"/>
      <c r="H133" s="994"/>
      <c r="I133" s="994"/>
      <c r="J133" s="994"/>
      <c r="K133" s="994"/>
      <c r="L133" s="994"/>
      <c r="M133" s="994">
        <f>C133*D133*E133</f>
        <v>0.10500000000000001</v>
      </c>
      <c r="N133" s="1020" t="s">
        <v>103</v>
      </c>
    </row>
    <row r="134" spans="1:23" s="554" customFormat="1" ht="15.75" customHeight="1">
      <c r="A134" s="350">
        <f>A129+1</f>
        <v>13</v>
      </c>
      <c r="B134" s="359" t="s">
        <v>424</v>
      </c>
      <c r="C134" s="348"/>
      <c r="D134" s="348"/>
      <c r="E134" s="348"/>
      <c r="F134" s="348"/>
      <c r="G134" s="348"/>
      <c r="H134" s="348"/>
      <c r="I134" s="348"/>
      <c r="J134" s="348"/>
      <c r="K134" s="348"/>
      <c r="L134" s="348"/>
      <c r="M134" s="348"/>
      <c r="N134" s="1020"/>
      <c r="O134" s="398"/>
      <c r="P134" s="564"/>
      <c r="Q134" s="398"/>
      <c r="R134" s="398"/>
      <c r="S134" s="398"/>
      <c r="T134" s="555"/>
      <c r="U134" s="555"/>
      <c r="V134" s="555"/>
    </row>
    <row r="135" spans="1:23" s="554" customFormat="1" ht="15.75" customHeight="1">
      <c r="A135" s="350"/>
      <c r="B135" s="356" t="s">
        <v>426</v>
      </c>
      <c r="C135" s="348"/>
      <c r="D135" s="348"/>
      <c r="E135" s="348"/>
      <c r="F135" s="348"/>
      <c r="G135" s="348"/>
      <c r="H135" s="348"/>
      <c r="I135" s="348"/>
      <c r="J135" s="348"/>
      <c r="K135" s="348"/>
      <c r="L135" s="348"/>
      <c r="M135" s="348"/>
      <c r="N135" s="1020"/>
      <c r="P135" s="398"/>
      <c r="Q135" s="564"/>
      <c r="R135" s="398"/>
      <c r="S135" s="398"/>
      <c r="T135" s="398"/>
      <c r="U135" s="555"/>
      <c r="V135" s="555"/>
      <c r="W135" s="555"/>
    </row>
    <row r="136" spans="1:23" s="554" customFormat="1" ht="15.75" customHeight="1">
      <c r="A136" s="355" t="s">
        <v>95</v>
      </c>
      <c r="B136" s="359" t="s">
        <v>423</v>
      </c>
      <c r="C136" s="348"/>
      <c r="D136" s="348"/>
      <c r="E136" s="348"/>
      <c r="F136" s="348"/>
      <c r="G136" s="348"/>
      <c r="H136" s="348"/>
      <c r="I136" s="348"/>
      <c r="J136" s="348"/>
      <c r="K136" s="348"/>
      <c r="L136" s="348"/>
      <c r="M136" s="348"/>
      <c r="N136" s="1020"/>
      <c r="P136" s="398"/>
      <c r="Q136" s="564"/>
      <c r="R136" s="398"/>
      <c r="S136" s="398"/>
      <c r="T136" s="398"/>
      <c r="U136" s="555"/>
      <c r="V136" s="555"/>
      <c r="W136" s="555"/>
    </row>
    <row r="137" spans="1:23" s="554" customFormat="1" ht="15.75" customHeight="1">
      <c r="A137" s="355"/>
      <c r="B137" s="567" t="s">
        <v>1010</v>
      </c>
      <c r="C137" s="348">
        <f>D236*2</f>
        <v>8.9980000000000011</v>
      </c>
      <c r="D137" s="348"/>
      <c r="E137" s="348">
        <v>0.2</v>
      </c>
      <c r="F137" s="348"/>
      <c r="G137" s="348"/>
      <c r="H137" s="348">
        <v>2</v>
      </c>
      <c r="I137" s="348"/>
      <c r="J137" s="348"/>
      <c r="K137" s="348">
        <v>1</v>
      </c>
      <c r="L137" s="348">
        <v>2</v>
      </c>
      <c r="M137" s="348">
        <f>C137*E137*H137*L137</f>
        <v>7.1984000000000012</v>
      </c>
      <c r="N137" s="1020"/>
      <c r="P137" s="398"/>
      <c r="Q137" s="564"/>
      <c r="R137" s="398"/>
      <c r="S137" s="398"/>
      <c r="T137" s="398"/>
      <c r="U137" s="555"/>
      <c r="V137" s="555"/>
      <c r="W137" s="555"/>
    </row>
    <row r="138" spans="1:23" s="554" customFormat="1" ht="15.75" customHeight="1">
      <c r="A138" s="355"/>
      <c r="B138" s="359"/>
      <c r="C138" s="348">
        <f>C137</f>
        <v>8.9980000000000011</v>
      </c>
      <c r="D138" s="348">
        <v>0.15</v>
      </c>
      <c r="E138" s="348"/>
      <c r="F138" s="348"/>
      <c r="G138" s="348"/>
      <c r="H138" s="348">
        <v>1</v>
      </c>
      <c r="I138" s="348"/>
      <c r="J138" s="348"/>
      <c r="K138" s="348">
        <f>K137</f>
        <v>1</v>
      </c>
      <c r="L138" s="348">
        <f>L137</f>
        <v>2</v>
      </c>
      <c r="M138" s="348">
        <f>C138*D138*H138*L138</f>
        <v>2.6994000000000002</v>
      </c>
      <c r="N138" s="1020"/>
      <c r="P138" s="398"/>
      <c r="Q138" s="564"/>
      <c r="R138" s="398"/>
      <c r="S138" s="398"/>
      <c r="T138" s="398"/>
      <c r="U138" s="555"/>
      <c r="V138" s="555"/>
      <c r="W138" s="555"/>
    </row>
    <row r="139" spans="1:23" s="554" customFormat="1" ht="15.75" customHeight="1">
      <c r="A139" s="355"/>
      <c r="B139" s="567" t="s">
        <v>1011</v>
      </c>
      <c r="C139" s="348">
        <v>1.125</v>
      </c>
      <c r="D139" s="348"/>
      <c r="E139" s="348">
        <v>0.2</v>
      </c>
      <c r="F139" s="348"/>
      <c r="G139" s="348"/>
      <c r="H139" s="348">
        <v>2</v>
      </c>
      <c r="I139" s="348"/>
      <c r="J139" s="348"/>
      <c r="K139" s="348">
        <v>2</v>
      </c>
      <c r="L139" s="348">
        <f>L138</f>
        <v>2</v>
      </c>
      <c r="M139" s="348">
        <f>C139*E139*H139*L139</f>
        <v>0.9</v>
      </c>
      <c r="N139" s="1020"/>
      <c r="P139" s="398"/>
      <c r="Q139" s="564"/>
      <c r="R139" s="398"/>
      <c r="S139" s="398"/>
      <c r="T139" s="398"/>
      <c r="U139" s="555"/>
      <c r="V139" s="555"/>
      <c r="W139" s="555"/>
    </row>
    <row r="140" spans="1:23" s="554" customFormat="1" ht="15.75" customHeight="1">
      <c r="A140" s="355"/>
      <c r="B140" s="359"/>
      <c r="C140" s="348">
        <f>C139</f>
        <v>1.125</v>
      </c>
      <c r="D140" s="348">
        <f>D138</f>
        <v>0.15</v>
      </c>
      <c r="E140" s="348"/>
      <c r="F140" s="348"/>
      <c r="G140" s="348"/>
      <c r="H140" s="348">
        <v>1</v>
      </c>
      <c r="I140" s="348"/>
      <c r="J140" s="348"/>
      <c r="K140" s="348">
        <f>K139</f>
        <v>2</v>
      </c>
      <c r="L140" s="348">
        <f>L139</f>
        <v>2</v>
      </c>
      <c r="M140" s="565">
        <f>C140*D140*H140*L140</f>
        <v>0.33749999999999997</v>
      </c>
      <c r="N140" s="1020"/>
      <c r="P140" s="398"/>
      <c r="Q140" s="564"/>
      <c r="R140" s="398"/>
      <c r="S140" s="398"/>
      <c r="T140" s="398"/>
      <c r="U140" s="555"/>
      <c r="V140" s="555"/>
      <c r="W140" s="555"/>
    </row>
    <row r="141" spans="1:23" s="554" customFormat="1" ht="15.75" customHeight="1">
      <c r="A141" s="355"/>
      <c r="B141" s="359"/>
      <c r="C141" s="348"/>
      <c r="D141" s="348"/>
      <c r="E141" s="348"/>
      <c r="F141" s="348"/>
      <c r="G141" s="348"/>
      <c r="H141" s="348"/>
      <c r="I141" s="348"/>
      <c r="J141" s="348"/>
      <c r="K141" s="348"/>
      <c r="L141" s="348"/>
      <c r="M141" s="343">
        <f>SUM(M137:M140)/2</f>
        <v>5.5676500000000013</v>
      </c>
      <c r="N141" s="1020" t="s">
        <v>89</v>
      </c>
      <c r="P141" s="398"/>
      <c r="Q141" s="564"/>
      <c r="R141" s="398"/>
      <c r="S141" s="398"/>
      <c r="T141" s="398"/>
      <c r="U141" s="555"/>
      <c r="V141" s="555"/>
      <c r="W141" s="555"/>
    </row>
    <row r="142" spans="1:23" s="554" customFormat="1" ht="15.75" customHeight="1">
      <c r="A142" s="355" t="s">
        <v>98</v>
      </c>
      <c r="B142" s="359" t="s">
        <v>427</v>
      </c>
      <c r="C142" s="348"/>
      <c r="D142" s="348"/>
      <c r="E142" s="348"/>
      <c r="F142" s="348"/>
      <c r="G142" s="348"/>
      <c r="H142" s="348"/>
      <c r="I142" s="348"/>
      <c r="J142" s="348"/>
      <c r="K142" s="348"/>
      <c r="L142" s="348"/>
      <c r="M142" s="348"/>
      <c r="N142" s="1020"/>
      <c r="P142" s="398"/>
      <c r="Q142" s="564"/>
      <c r="R142" s="398"/>
      <c r="S142" s="398"/>
      <c r="T142" s="398"/>
      <c r="U142" s="555"/>
      <c r="V142" s="555"/>
      <c r="W142" s="555"/>
    </row>
    <row r="143" spans="1:23" s="554" customFormat="1" ht="15.75" customHeight="1">
      <c r="A143" s="355"/>
      <c r="B143" s="567" t="s">
        <v>1010</v>
      </c>
      <c r="C143" s="348">
        <f>C137</f>
        <v>8.9980000000000011</v>
      </c>
      <c r="D143" s="348"/>
      <c r="E143" s="348"/>
      <c r="F143" s="348">
        <v>4</v>
      </c>
      <c r="G143" s="348"/>
      <c r="H143" s="348"/>
      <c r="I143" s="348">
        <f>0.006165*10*10</f>
        <v>0.61650000000000005</v>
      </c>
      <c r="J143" s="348"/>
      <c r="K143" s="348">
        <f>K137</f>
        <v>1</v>
      </c>
      <c r="L143" s="348">
        <f>L137</f>
        <v>2</v>
      </c>
      <c r="M143" s="348">
        <f>(C143+I143)*F143*K143*L143</f>
        <v>76.916000000000011</v>
      </c>
      <c r="N143" s="1020"/>
      <c r="P143" s="398"/>
      <c r="Q143" s="564"/>
      <c r="R143" s="398"/>
      <c r="S143" s="398"/>
      <c r="T143" s="398"/>
      <c r="U143" s="555"/>
      <c r="V143" s="555"/>
      <c r="W143" s="555"/>
    </row>
    <row r="144" spans="1:23" s="554" customFormat="1" ht="15.75" customHeight="1">
      <c r="A144" s="355"/>
      <c r="B144" s="567" t="s">
        <v>1011</v>
      </c>
      <c r="C144" s="348">
        <f>C140</f>
        <v>1.125</v>
      </c>
      <c r="D144" s="348"/>
      <c r="E144" s="348"/>
      <c r="F144" s="348">
        <f>F143</f>
        <v>4</v>
      </c>
      <c r="G144" s="348"/>
      <c r="H144" s="348"/>
      <c r="I144" s="348">
        <f>I143</f>
        <v>0.61650000000000005</v>
      </c>
      <c r="J144" s="348"/>
      <c r="K144" s="348">
        <f>K139</f>
        <v>2</v>
      </c>
      <c r="L144" s="348">
        <f>L143</f>
        <v>2</v>
      </c>
      <c r="M144" s="565">
        <f>(C144+I144)*F144*K144*L144</f>
        <v>27.864000000000001</v>
      </c>
      <c r="N144" s="1020"/>
      <c r="P144" s="398"/>
      <c r="Q144" s="564"/>
      <c r="R144" s="398"/>
      <c r="S144" s="398"/>
      <c r="T144" s="398"/>
      <c r="U144" s="555"/>
      <c r="V144" s="555"/>
      <c r="W144" s="555"/>
    </row>
    <row r="145" spans="1:23" s="554" customFormat="1" ht="15.75" customHeight="1">
      <c r="A145" s="355"/>
      <c r="B145" s="359"/>
      <c r="C145" s="348"/>
      <c r="D145" s="348"/>
      <c r="E145" s="348"/>
      <c r="F145" s="348"/>
      <c r="G145" s="348"/>
      <c r="H145" s="348"/>
      <c r="I145" s="348"/>
      <c r="J145" s="348"/>
      <c r="K145" s="348"/>
      <c r="L145" s="348"/>
      <c r="M145" s="343">
        <f>SUM(M143:M144)</f>
        <v>104.78000000000002</v>
      </c>
      <c r="N145" s="1020" t="s">
        <v>100</v>
      </c>
      <c r="P145" s="398"/>
      <c r="Q145" s="564"/>
      <c r="R145" s="398"/>
      <c r="S145" s="398"/>
      <c r="T145" s="398"/>
      <c r="U145" s="555"/>
      <c r="V145" s="555"/>
      <c r="W145" s="555"/>
    </row>
    <row r="146" spans="1:23" s="554" customFormat="1" ht="15.75" customHeight="1">
      <c r="A146" s="355" t="s">
        <v>101</v>
      </c>
      <c r="B146" s="359" t="s">
        <v>428</v>
      </c>
      <c r="C146" s="348"/>
      <c r="D146" s="348"/>
      <c r="E146" s="348"/>
      <c r="F146" s="348"/>
      <c r="G146" s="348"/>
      <c r="H146" s="348"/>
      <c r="I146" s="348"/>
      <c r="J146" s="348"/>
      <c r="K146" s="348"/>
      <c r="L146" s="348"/>
      <c r="M146" s="348"/>
      <c r="N146" s="1020"/>
      <c r="P146" s="398"/>
      <c r="Q146" s="564"/>
      <c r="R146" s="398"/>
      <c r="S146" s="398"/>
      <c r="T146" s="398"/>
      <c r="U146" s="555"/>
      <c r="V146" s="555"/>
      <c r="W146" s="555"/>
    </row>
    <row r="147" spans="1:23" s="554" customFormat="1" ht="15.75" customHeight="1">
      <c r="A147" s="355"/>
      <c r="B147" s="567" t="s">
        <v>1010</v>
      </c>
      <c r="C147" s="348">
        <f>(0.09+0.14)*2</f>
        <v>0.46</v>
      </c>
      <c r="D147" s="348"/>
      <c r="E147" s="348"/>
      <c r="F147" s="348">
        <f>ROUNDDOWN((C143/0.125),0.1)</f>
        <v>71</v>
      </c>
      <c r="G147" s="348"/>
      <c r="H147" s="348"/>
      <c r="I147" s="348">
        <f>0.006165*8*8</f>
        <v>0.39456000000000002</v>
      </c>
      <c r="J147" s="348"/>
      <c r="K147" s="348">
        <f>K143</f>
        <v>1</v>
      </c>
      <c r="L147" s="348">
        <f>L143</f>
        <v>2</v>
      </c>
      <c r="M147" s="348">
        <f>(C147+I147)*F147*K147*L147</f>
        <v>121.34752</v>
      </c>
      <c r="N147" s="1020"/>
      <c r="P147" s="398"/>
      <c r="Q147" s="564"/>
      <c r="R147" s="398"/>
      <c r="S147" s="398"/>
      <c r="T147" s="398"/>
      <c r="U147" s="555"/>
      <c r="V147" s="555"/>
      <c r="W147" s="555"/>
    </row>
    <row r="148" spans="1:23" s="554" customFormat="1" ht="15.75" customHeight="1">
      <c r="A148" s="355"/>
      <c r="B148" s="567" t="s">
        <v>1011</v>
      </c>
      <c r="C148" s="348">
        <f>(0.09+0.14)*2</f>
        <v>0.46</v>
      </c>
      <c r="D148" s="348"/>
      <c r="E148" s="348"/>
      <c r="F148" s="348">
        <f>ROUNDDOWN((C144/0.125),0.1)</f>
        <v>9</v>
      </c>
      <c r="G148" s="348"/>
      <c r="H148" s="348"/>
      <c r="I148" s="348">
        <f>I147</f>
        <v>0.39456000000000002</v>
      </c>
      <c r="J148" s="348"/>
      <c r="K148" s="348">
        <f>K144</f>
        <v>2</v>
      </c>
      <c r="L148" s="348">
        <f>L144</f>
        <v>2</v>
      </c>
      <c r="M148" s="565">
        <f>(C148+I148)*F148*K148*L148</f>
        <v>30.76416</v>
      </c>
      <c r="N148" s="1020"/>
      <c r="P148" s="398"/>
      <c r="Q148" s="564"/>
      <c r="R148" s="398"/>
      <c r="S148" s="398"/>
      <c r="T148" s="398"/>
      <c r="U148" s="555"/>
      <c r="V148" s="555"/>
      <c r="W148" s="555"/>
    </row>
    <row r="149" spans="1:23" s="554" customFormat="1" ht="15.75" customHeight="1">
      <c r="A149" s="355"/>
      <c r="B149" s="359"/>
      <c r="C149" s="348"/>
      <c r="D149" s="348"/>
      <c r="E149" s="348"/>
      <c r="F149" s="348"/>
      <c r="G149" s="348"/>
      <c r="H149" s="348"/>
      <c r="I149" s="348"/>
      <c r="J149" s="348"/>
      <c r="K149" s="348"/>
      <c r="L149" s="348"/>
      <c r="M149" s="343">
        <f>SUM(M147:M148)</f>
        <v>152.11168000000001</v>
      </c>
      <c r="N149" s="1020" t="s">
        <v>100</v>
      </c>
      <c r="P149" s="398"/>
      <c r="Q149" s="564"/>
      <c r="R149" s="398"/>
      <c r="S149" s="398"/>
      <c r="T149" s="398"/>
      <c r="U149" s="555"/>
      <c r="V149" s="555"/>
      <c r="W149" s="555"/>
    </row>
    <row r="150" spans="1:23" s="554" customFormat="1" ht="15.75" customHeight="1">
      <c r="A150" s="355" t="s">
        <v>121</v>
      </c>
      <c r="B150" s="1004" t="s">
        <v>420</v>
      </c>
      <c r="C150" s="348"/>
      <c r="D150" s="348"/>
      <c r="E150" s="348"/>
      <c r="F150" s="348"/>
      <c r="G150" s="348"/>
      <c r="H150" s="348"/>
      <c r="I150" s="348"/>
      <c r="J150" s="348"/>
      <c r="K150" s="348"/>
      <c r="L150" s="348"/>
      <c r="M150" s="348"/>
      <c r="N150" s="1020"/>
      <c r="P150" s="398"/>
      <c r="Q150" s="564"/>
      <c r="R150" s="398"/>
      <c r="S150" s="398"/>
      <c r="T150" s="398"/>
      <c r="U150" s="555"/>
      <c r="V150" s="555"/>
      <c r="W150" s="555"/>
    </row>
    <row r="151" spans="1:23" s="554" customFormat="1" ht="15.75" customHeight="1">
      <c r="A151" s="355"/>
      <c r="B151" s="567" t="s">
        <v>1010</v>
      </c>
      <c r="C151" s="348">
        <f>C143</f>
        <v>8.9980000000000011</v>
      </c>
      <c r="D151" s="348">
        <f>D138</f>
        <v>0.15</v>
      </c>
      <c r="E151" s="348">
        <f>E137</f>
        <v>0.2</v>
      </c>
      <c r="F151" s="348"/>
      <c r="G151" s="348"/>
      <c r="H151" s="348"/>
      <c r="I151" s="348"/>
      <c r="J151" s="348"/>
      <c r="K151" s="348">
        <f>K147</f>
        <v>1</v>
      </c>
      <c r="L151" s="348">
        <f>L147</f>
        <v>2</v>
      </c>
      <c r="M151" s="348">
        <f>C151*D151*E151*K151*L151</f>
        <v>0.53988000000000003</v>
      </c>
      <c r="N151" s="1020"/>
      <c r="P151" s="398"/>
      <c r="Q151" s="564"/>
      <c r="R151" s="398"/>
      <c r="S151" s="398"/>
      <c r="T151" s="398"/>
      <c r="U151" s="555"/>
      <c r="V151" s="555"/>
      <c r="W151" s="555"/>
    </row>
    <row r="152" spans="1:23" s="554" customFormat="1" ht="15.75" customHeight="1">
      <c r="A152" s="355"/>
      <c r="B152" s="567" t="s">
        <v>1011</v>
      </c>
      <c r="C152" s="348">
        <f>C144</f>
        <v>1.125</v>
      </c>
      <c r="D152" s="348">
        <f>D151</f>
        <v>0.15</v>
      </c>
      <c r="E152" s="348">
        <f>E151</f>
        <v>0.2</v>
      </c>
      <c r="F152" s="348"/>
      <c r="G152" s="348"/>
      <c r="H152" s="348"/>
      <c r="I152" s="348"/>
      <c r="J152" s="348"/>
      <c r="K152" s="348">
        <f>K148</f>
        <v>2</v>
      </c>
      <c r="L152" s="348">
        <f>L148</f>
        <v>2</v>
      </c>
      <c r="M152" s="565">
        <f>C152*D152*E152*K152*L152</f>
        <v>0.13499999999999998</v>
      </c>
      <c r="N152" s="1020"/>
      <c r="P152" s="398"/>
      <c r="Q152" s="564"/>
      <c r="R152" s="398"/>
      <c r="S152" s="398"/>
      <c r="T152" s="398"/>
      <c r="U152" s="555"/>
      <c r="V152" s="555"/>
      <c r="W152" s="555"/>
    </row>
    <row r="153" spans="1:23" s="554" customFormat="1" ht="15.75" customHeight="1">
      <c r="A153" s="355"/>
      <c r="B153" s="359"/>
      <c r="C153" s="348"/>
      <c r="D153" s="348"/>
      <c r="E153" s="348"/>
      <c r="F153" s="348"/>
      <c r="G153" s="348"/>
      <c r="H153" s="348"/>
      <c r="I153" s="348"/>
      <c r="J153" s="348"/>
      <c r="K153" s="348"/>
      <c r="L153" s="348"/>
      <c r="M153" s="343">
        <f>SUM(M151:M152)</f>
        <v>0.67488000000000004</v>
      </c>
      <c r="N153" s="1020" t="s">
        <v>103</v>
      </c>
      <c r="P153" s="398"/>
      <c r="Q153" s="564"/>
      <c r="R153" s="398"/>
      <c r="S153" s="398"/>
      <c r="T153" s="398"/>
      <c r="U153" s="555"/>
      <c r="V153" s="555"/>
      <c r="W153" s="555"/>
    </row>
    <row r="154" spans="1:23" s="554" customFormat="1" ht="15.75" customHeight="1">
      <c r="A154" s="350"/>
      <c r="B154" s="356" t="s">
        <v>431</v>
      </c>
      <c r="C154" s="348"/>
      <c r="D154" s="348"/>
      <c r="E154" s="348"/>
      <c r="F154" s="348"/>
      <c r="G154" s="348"/>
      <c r="H154" s="348"/>
      <c r="I154" s="348"/>
      <c r="J154" s="348"/>
      <c r="K154" s="348"/>
      <c r="L154" s="348"/>
      <c r="M154" s="348"/>
      <c r="N154" s="1020"/>
      <c r="P154" s="398"/>
      <c r="Q154" s="564"/>
      <c r="R154" s="398"/>
      <c r="S154" s="398"/>
      <c r="T154" s="398"/>
      <c r="U154" s="555"/>
      <c r="V154" s="555"/>
      <c r="W154" s="555"/>
    </row>
    <row r="155" spans="1:23" s="554" customFormat="1" ht="15.75" customHeight="1">
      <c r="A155" s="355" t="s">
        <v>95</v>
      </c>
      <c r="B155" s="359" t="s">
        <v>423</v>
      </c>
      <c r="C155" s="348"/>
      <c r="D155" s="348"/>
      <c r="E155" s="348"/>
      <c r="F155" s="348"/>
      <c r="G155" s="348"/>
      <c r="H155" s="348"/>
      <c r="I155" s="348"/>
      <c r="J155" s="348"/>
      <c r="K155" s="348"/>
      <c r="L155" s="348"/>
      <c r="M155" s="348"/>
      <c r="N155" s="1020"/>
      <c r="P155" s="398"/>
      <c r="Q155" s="564"/>
      <c r="R155" s="398"/>
      <c r="S155" s="398"/>
      <c r="T155" s="398"/>
      <c r="U155" s="555"/>
      <c r="V155" s="555"/>
      <c r="W155" s="555"/>
    </row>
    <row r="156" spans="1:23" s="554" customFormat="1" ht="15.75" customHeight="1">
      <c r="A156" s="355"/>
      <c r="B156" s="567"/>
      <c r="C156" s="348">
        <v>0.15</v>
      </c>
      <c r="D156" s="348"/>
      <c r="E156" s="348">
        <v>1</v>
      </c>
      <c r="F156" s="348"/>
      <c r="G156" s="348"/>
      <c r="H156" s="348"/>
      <c r="I156" s="348"/>
      <c r="J156" s="348">
        <v>2</v>
      </c>
      <c r="K156" s="348">
        <v>2</v>
      </c>
      <c r="L156" s="348">
        <f>L152</f>
        <v>2</v>
      </c>
      <c r="M156" s="348">
        <f>C156*E156*J156*K156*L156</f>
        <v>1.2</v>
      </c>
      <c r="N156" s="1020"/>
      <c r="P156" s="398"/>
      <c r="Q156" s="564"/>
      <c r="R156" s="398"/>
      <c r="S156" s="398"/>
      <c r="T156" s="398"/>
      <c r="U156" s="555"/>
      <c r="V156" s="555"/>
      <c r="W156" s="555"/>
    </row>
    <row r="157" spans="1:23" s="554" customFormat="1" ht="15.75" customHeight="1">
      <c r="A157" s="355"/>
      <c r="B157" s="567"/>
      <c r="C157" s="348"/>
      <c r="D157" s="348">
        <v>0.2</v>
      </c>
      <c r="E157" s="348">
        <f>E156</f>
        <v>1</v>
      </c>
      <c r="F157" s="348"/>
      <c r="G157" s="348"/>
      <c r="H157" s="348"/>
      <c r="I157" s="348"/>
      <c r="J157" s="348">
        <f>J156</f>
        <v>2</v>
      </c>
      <c r="K157" s="348">
        <f>K156</f>
        <v>2</v>
      </c>
      <c r="L157" s="348">
        <f>L156</f>
        <v>2</v>
      </c>
      <c r="M157" s="565">
        <f>D157*E157*J157*K157*L157</f>
        <v>1.6</v>
      </c>
      <c r="N157" s="1020"/>
      <c r="P157" s="398"/>
      <c r="Q157" s="564"/>
      <c r="R157" s="398"/>
      <c r="S157" s="398"/>
      <c r="T157" s="398"/>
      <c r="U157" s="555"/>
      <c r="V157" s="555"/>
      <c r="W157" s="555"/>
    </row>
    <row r="158" spans="1:23" s="554" customFormat="1" ht="15.75" customHeight="1">
      <c r="A158" s="355"/>
      <c r="B158" s="359"/>
      <c r="C158" s="348"/>
      <c r="D158" s="348"/>
      <c r="E158" s="348"/>
      <c r="F158" s="348"/>
      <c r="G158" s="348"/>
      <c r="H158" s="348"/>
      <c r="I158" s="348"/>
      <c r="J158" s="348"/>
      <c r="K158" s="348"/>
      <c r="L158" s="348"/>
      <c r="M158" s="343">
        <f>SUM(M156:M157)/2</f>
        <v>1.4</v>
      </c>
      <c r="N158" s="1020" t="s">
        <v>89</v>
      </c>
      <c r="P158" s="398"/>
      <c r="Q158" s="564"/>
      <c r="R158" s="398"/>
      <c r="S158" s="398"/>
      <c r="T158" s="398"/>
      <c r="U158" s="555"/>
      <c r="V158" s="555"/>
      <c r="W158" s="555"/>
    </row>
    <row r="159" spans="1:23" s="554" customFormat="1" ht="15.75" customHeight="1">
      <c r="A159" s="355" t="s">
        <v>98</v>
      </c>
      <c r="B159" s="359" t="s">
        <v>427</v>
      </c>
      <c r="C159" s="348"/>
      <c r="D159" s="348"/>
      <c r="E159" s="348"/>
      <c r="F159" s="348"/>
      <c r="G159" s="348"/>
      <c r="H159" s="348"/>
      <c r="I159" s="348"/>
      <c r="J159" s="348"/>
      <c r="K159" s="348"/>
      <c r="L159" s="348"/>
      <c r="M159" s="348"/>
      <c r="N159" s="1020"/>
      <c r="P159" s="398"/>
      <c r="Q159" s="564"/>
      <c r="R159" s="398"/>
      <c r="S159" s="398"/>
      <c r="T159" s="398"/>
      <c r="U159" s="555"/>
      <c r="V159" s="555"/>
      <c r="W159" s="555"/>
    </row>
    <row r="160" spans="1:23" s="554" customFormat="1" ht="15.75" customHeight="1">
      <c r="A160" s="355"/>
      <c r="B160" s="567"/>
      <c r="C160" s="348">
        <f>E156</f>
        <v>1</v>
      </c>
      <c r="D160" s="348"/>
      <c r="E160" s="348"/>
      <c r="F160" s="348"/>
      <c r="G160" s="348"/>
      <c r="H160" s="348">
        <v>0.1</v>
      </c>
      <c r="I160" s="348">
        <f>0.006165*10*10</f>
        <v>0.61650000000000005</v>
      </c>
      <c r="J160" s="348"/>
      <c r="K160" s="348">
        <v>4</v>
      </c>
      <c r="L160" s="348">
        <f>L156*K156</f>
        <v>4</v>
      </c>
      <c r="M160" s="565">
        <f>(C160+H160)*I160*K160*L160</f>
        <v>10.850400000000002</v>
      </c>
      <c r="N160" s="1020"/>
      <c r="P160" s="398"/>
      <c r="Q160" s="564"/>
      <c r="R160" s="398"/>
      <c r="S160" s="398"/>
      <c r="T160" s="398"/>
      <c r="U160" s="555"/>
      <c r="V160" s="555"/>
      <c r="W160" s="555"/>
    </row>
    <row r="161" spans="1:24" s="554" customFormat="1" ht="15.75" customHeight="1">
      <c r="A161" s="355"/>
      <c r="B161" s="359"/>
      <c r="C161" s="348"/>
      <c r="D161" s="348"/>
      <c r="E161" s="348"/>
      <c r="F161" s="348"/>
      <c r="G161" s="348"/>
      <c r="H161" s="348"/>
      <c r="I161" s="348"/>
      <c r="J161" s="348"/>
      <c r="K161" s="348"/>
      <c r="L161" s="348"/>
      <c r="M161" s="343">
        <f>SUM(M160:M160)</f>
        <v>10.850400000000002</v>
      </c>
      <c r="N161" s="1020" t="s">
        <v>100</v>
      </c>
      <c r="P161" s="398"/>
      <c r="Q161" s="564"/>
      <c r="R161" s="398"/>
      <c r="S161" s="398"/>
      <c r="T161" s="398"/>
      <c r="U161" s="555"/>
      <c r="V161" s="555"/>
      <c r="W161" s="555"/>
    </row>
    <row r="162" spans="1:24" s="554" customFormat="1" ht="15.75" customHeight="1">
      <c r="A162" s="355" t="s">
        <v>101</v>
      </c>
      <c r="B162" s="359" t="s">
        <v>428</v>
      </c>
      <c r="C162" s="348"/>
      <c r="D162" s="348"/>
      <c r="E162" s="348"/>
      <c r="F162" s="348"/>
      <c r="G162" s="348"/>
      <c r="H162" s="348"/>
      <c r="I162" s="348"/>
      <c r="J162" s="348"/>
      <c r="K162" s="348"/>
      <c r="L162" s="348"/>
      <c r="M162" s="348"/>
      <c r="N162" s="1020"/>
      <c r="P162" s="398"/>
      <c r="Q162" s="564"/>
      <c r="R162" s="398"/>
      <c r="S162" s="398"/>
      <c r="T162" s="398"/>
      <c r="U162" s="555"/>
      <c r="V162" s="555"/>
      <c r="W162" s="555"/>
    </row>
    <row r="163" spans="1:24" s="554" customFormat="1" ht="15.75" customHeight="1">
      <c r="A163" s="355"/>
      <c r="B163" s="567"/>
      <c r="C163" s="348">
        <f>(0.1+0.15)*2</f>
        <v>0.5</v>
      </c>
      <c r="D163" s="348"/>
      <c r="E163" s="348"/>
      <c r="F163" s="348">
        <v>0.1</v>
      </c>
      <c r="G163" s="348"/>
      <c r="H163" s="348"/>
      <c r="I163" s="348">
        <f>I147</f>
        <v>0.39456000000000002</v>
      </c>
      <c r="J163" s="348"/>
      <c r="K163" s="348">
        <f>ROUNDDOWN((C160/0.125),0.1)</f>
        <v>8</v>
      </c>
      <c r="L163" s="348">
        <f>L160</f>
        <v>4</v>
      </c>
      <c r="M163" s="565">
        <f>(C163+F163)*I163*K163*L163</f>
        <v>7.5755520000000001</v>
      </c>
      <c r="N163" s="1020"/>
      <c r="P163" s="398"/>
      <c r="Q163" s="564"/>
      <c r="R163" s="398"/>
      <c r="S163" s="398"/>
      <c r="T163" s="398"/>
      <c r="U163" s="555"/>
      <c r="V163" s="555"/>
      <c r="W163" s="555"/>
    </row>
    <row r="164" spans="1:24" s="554" customFormat="1" ht="15.75" customHeight="1">
      <c r="A164" s="355"/>
      <c r="B164" s="359"/>
      <c r="C164" s="348"/>
      <c r="D164" s="348"/>
      <c r="E164" s="348"/>
      <c r="F164" s="348"/>
      <c r="G164" s="348"/>
      <c r="H164" s="348"/>
      <c r="I164" s="348"/>
      <c r="J164" s="348"/>
      <c r="K164" s="348"/>
      <c r="L164" s="348"/>
      <c r="M164" s="343">
        <f>SUM(M163:M163)</f>
        <v>7.5755520000000001</v>
      </c>
      <c r="N164" s="1020" t="s">
        <v>100</v>
      </c>
      <c r="P164" s="398"/>
      <c r="Q164" s="564"/>
      <c r="R164" s="398"/>
      <c r="S164" s="398"/>
      <c r="T164" s="398"/>
      <c r="U164" s="555"/>
      <c r="V164" s="555"/>
      <c r="W164" s="555"/>
    </row>
    <row r="165" spans="1:24" s="554" customFormat="1" ht="15.75" customHeight="1">
      <c r="A165" s="355" t="s">
        <v>121</v>
      </c>
      <c r="B165" s="1004" t="s">
        <v>420</v>
      </c>
      <c r="C165" s="348"/>
      <c r="D165" s="348"/>
      <c r="E165" s="348"/>
      <c r="F165" s="348"/>
      <c r="G165" s="348"/>
      <c r="H165" s="348"/>
      <c r="I165" s="348"/>
      <c r="J165" s="348"/>
      <c r="K165" s="348"/>
      <c r="L165" s="348"/>
      <c r="M165" s="348"/>
      <c r="N165" s="1020"/>
      <c r="P165" s="398"/>
      <c r="Q165" s="564"/>
      <c r="R165" s="398"/>
      <c r="S165" s="398"/>
      <c r="T165" s="398"/>
      <c r="U165" s="555"/>
      <c r="V165" s="555"/>
      <c r="W165" s="555"/>
    </row>
    <row r="166" spans="1:24" s="554" customFormat="1" ht="15.75" customHeight="1">
      <c r="A166" s="355"/>
      <c r="B166" s="567"/>
      <c r="C166" s="348">
        <f>C156</f>
        <v>0.15</v>
      </c>
      <c r="D166" s="348">
        <f>D157</f>
        <v>0.2</v>
      </c>
      <c r="E166" s="348">
        <f>E156</f>
        <v>1</v>
      </c>
      <c r="F166" s="348"/>
      <c r="G166" s="348"/>
      <c r="H166" s="348"/>
      <c r="I166" s="348"/>
      <c r="J166" s="348"/>
      <c r="K166" s="348">
        <f>K156</f>
        <v>2</v>
      </c>
      <c r="L166" s="348">
        <f>L156</f>
        <v>2</v>
      </c>
      <c r="M166" s="565">
        <f>C166*D166*E166*L166*K166</f>
        <v>0.12</v>
      </c>
      <c r="N166" s="1020"/>
      <c r="P166" s="398"/>
      <c r="Q166" s="564"/>
      <c r="R166" s="398"/>
      <c r="S166" s="398"/>
      <c r="T166" s="398"/>
      <c r="U166" s="555"/>
      <c r="V166" s="555"/>
      <c r="W166" s="555"/>
    </row>
    <row r="167" spans="1:24" s="554" customFormat="1" ht="15.75" customHeight="1">
      <c r="A167" s="355"/>
      <c r="B167" s="359"/>
      <c r="C167" s="348"/>
      <c r="D167" s="348"/>
      <c r="E167" s="348"/>
      <c r="F167" s="348"/>
      <c r="G167" s="348"/>
      <c r="H167" s="348"/>
      <c r="I167" s="348"/>
      <c r="J167" s="348"/>
      <c r="K167" s="348"/>
      <c r="L167" s="348"/>
      <c r="M167" s="343">
        <f>SUM(M166:M166)</f>
        <v>0.12</v>
      </c>
      <c r="N167" s="1020" t="s">
        <v>103</v>
      </c>
      <c r="P167" s="398"/>
      <c r="Q167" s="564"/>
      <c r="R167" s="398"/>
      <c r="S167" s="398"/>
      <c r="T167" s="398"/>
      <c r="U167" s="555"/>
      <c r="V167" s="555"/>
      <c r="W167" s="555"/>
    </row>
    <row r="168" spans="1:24" s="554" customFormat="1" ht="15.75" customHeight="1">
      <c r="A168" s="350">
        <f>A129+1</f>
        <v>13</v>
      </c>
      <c r="B168" s="351" t="s">
        <v>649</v>
      </c>
      <c r="C168" s="348"/>
      <c r="D168" s="348"/>
      <c r="E168" s="348"/>
      <c r="F168" s="348"/>
      <c r="G168" s="348"/>
      <c r="H168" s="348"/>
      <c r="I168" s="348"/>
      <c r="J168" s="348"/>
      <c r="K168" s="348"/>
      <c r="L168" s="348"/>
      <c r="M168" s="343"/>
      <c r="N168" s="1020"/>
      <c r="P168" s="398"/>
      <c r="Q168" s="564"/>
      <c r="R168" s="398"/>
      <c r="S168" s="398"/>
      <c r="T168" s="398"/>
      <c r="U168" s="555"/>
      <c r="V168" s="555"/>
      <c r="W168" s="555"/>
    </row>
    <row r="169" spans="1:24" s="554" customFormat="1" ht="15.75" customHeight="1">
      <c r="A169" s="355" t="s">
        <v>95</v>
      </c>
      <c r="B169" s="351" t="s">
        <v>148</v>
      </c>
      <c r="C169" s="348"/>
      <c r="D169" s="348"/>
      <c r="E169" s="348"/>
      <c r="F169" s="348"/>
      <c r="G169" s="348"/>
      <c r="H169" s="348"/>
      <c r="I169" s="348"/>
      <c r="J169" s="348"/>
      <c r="K169" s="348"/>
      <c r="L169" s="348"/>
      <c r="M169" s="1040">
        <f>SUM(M170:M172)</f>
        <v>1.3340000000000001</v>
      </c>
      <c r="N169" s="1015" t="s">
        <v>89</v>
      </c>
      <c r="O169" s="1041"/>
      <c r="Q169" s="398"/>
      <c r="R169" s="564"/>
      <c r="S169" s="398"/>
      <c r="T169" s="398"/>
      <c r="U169" s="398"/>
      <c r="V169" s="555"/>
      <c r="W169" s="555"/>
      <c r="X169" s="555"/>
    </row>
    <row r="170" spans="1:24" s="554" customFormat="1" ht="15.75" customHeight="1">
      <c r="A170" s="355"/>
      <c r="B170" s="682" t="s">
        <v>1135</v>
      </c>
      <c r="C170" s="348">
        <v>2.14</v>
      </c>
      <c r="D170" s="348">
        <v>0.5</v>
      </c>
      <c r="E170" s="348"/>
      <c r="F170" s="348"/>
      <c r="G170" s="348"/>
      <c r="H170" s="348"/>
      <c r="I170" s="348"/>
      <c r="J170" s="348"/>
      <c r="K170" s="348"/>
      <c r="L170" s="348"/>
      <c r="M170" s="343">
        <f>C170*D170</f>
        <v>1.07</v>
      </c>
      <c r="N170" s="1020"/>
      <c r="O170" s="1041"/>
      <c r="Q170" s="398"/>
      <c r="R170" s="564"/>
      <c r="S170" s="398"/>
      <c r="T170" s="398"/>
      <c r="U170" s="398"/>
      <c r="V170" s="555"/>
      <c r="W170" s="555"/>
      <c r="X170" s="555"/>
    </row>
    <row r="171" spans="1:24" s="554" customFormat="1" ht="15.75" customHeight="1">
      <c r="A171" s="355"/>
      <c r="B171" s="682" t="s">
        <v>1136</v>
      </c>
      <c r="C171" s="348">
        <f>C170</f>
        <v>2.14</v>
      </c>
      <c r="D171" s="348"/>
      <c r="E171" s="348">
        <v>0.1</v>
      </c>
      <c r="F171" s="348"/>
      <c r="G171" s="348"/>
      <c r="H171" s="348"/>
      <c r="I171" s="348"/>
      <c r="J171" s="348"/>
      <c r="K171" s="348"/>
      <c r="L171" s="348"/>
      <c r="M171" s="343">
        <f>C171*E171</f>
        <v>0.21400000000000002</v>
      </c>
      <c r="N171" s="1020"/>
      <c r="O171" s="1041"/>
      <c r="Q171" s="398"/>
      <c r="R171" s="564"/>
      <c r="S171" s="398"/>
      <c r="T171" s="398"/>
      <c r="U171" s="398"/>
      <c r="V171" s="555"/>
      <c r="W171" s="555"/>
      <c r="X171" s="555"/>
    </row>
    <row r="172" spans="1:24" s="554" customFormat="1" ht="15.75" customHeight="1">
      <c r="A172" s="355"/>
      <c r="B172" s="682" t="s">
        <v>1137</v>
      </c>
      <c r="C172" s="348">
        <f>D170</f>
        <v>0.5</v>
      </c>
      <c r="D172" s="348"/>
      <c r="E172" s="348">
        <v>0.1</v>
      </c>
      <c r="F172" s="348"/>
      <c r="G172" s="348"/>
      <c r="H172" s="348"/>
      <c r="I172" s="348"/>
      <c r="J172" s="348"/>
      <c r="K172" s="348"/>
      <c r="L172" s="348"/>
      <c r="M172" s="343">
        <f>C172*E172</f>
        <v>0.05</v>
      </c>
      <c r="N172" s="1020"/>
      <c r="O172" s="1041"/>
      <c r="Q172" s="398"/>
      <c r="R172" s="564"/>
      <c r="S172" s="398"/>
      <c r="T172" s="398"/>
      <c r="U172" s="398"/>
      <c r="V172" s="555"/>
      <c r="W172" s="555"/>
      <c r="X172" s="555"/>
    </row>
    <row r="173" spans="1:24" s="554" customFormat="1" ht="15.75" customHeight="1">
      <c r="A173" s="355" t="s">
        <v>98</v>
      </c>
      <c r="B173" s="351" t="s">
        <v>419</v>
      </c>
      <c r="C173" s="348"/>
      <c r="D173" s="348"/>
      <c r="E173" s="348"/>
      <c r="F173" s="348"/>
      <c r="G173" s="348"/>
      <c r="H173" s="348"/>
      <c r="I173" s="348"/>
      <c r="J173" s="348"/>
      <c r="K173" s="348"/>
      <c r="L173" s="348"/>
      <c r="M173" s="1040">
        <f>SUM(M174:M175)</f>
        <v>7.6939200000000012</v>
      </c>
      <c r="N173" s="1015" t="s">
        <v>100</v>
      </c>
      <c r="O173" s="1041"/>
      <c r="Q173" s="398"/>
      <c r="R173" s="564"/>
      <c r="S173" s="398"/>
      <c r="T173" s="398"/>
      <c r="U173" s="398"/>
      <c r="V173" s="555"/>
      <c r="W173" s="555"/>
      <c r="X173" s="555"/>
    </row>
    <row r="174" spans="1:24" s="554" customFormat="1" ht="15.75" customHeight="1">
      <c r="A174" s="355"/>
      <c r="B174" s="356"/>
      <c r="C174" s="348">
        <f>C170</f>
        <v>2.14</v>
      </c>
      <c r="D174" s="348"/>
      <c r="E174" s="348"/>
      <c r="F174" s="348"/>
      <c r="G174" s="348"/>
      <c r="H174" s="348"/>
      <c r="I174" s="348">
        <f>8*8*0.006165</f>
        <v>0.39456000000000002</v>
      </c>
      <c r="J174" s="348"/>
      <c r="K174" s="428">
        <f>ROUNDUP((C175/0.15),0.1)+1</f>
        <v>5</v>
      </c>
      <c r="L174" s="348"/>
      <c r="M174" s="343">
        <f>C174*I174*K174</f>
        <v>4.2217920000000007</v>
      </c>
      <c r="N174" s="1020"/>
      <c r="O174" s="1041"/>
      <c r="Q174" s="398"/>
      <c r="R174" s="564"/>
      <c r="S174" s="398"/>
      <c r="T174" s="398"/>
      <c r="U174" s="398"/>
      <c r="V174" s="555"/>
      <c r="W174" s="555"/>
      <c r="X174" s="555"/>
    </row>
    <row r="175" spans="1:24" s="554" customFormat="1" ht="15.75" customHeight="1">
      <c r="A175" s="355"/>
      <c r="B175" s="356"/>
      <c r="C175" s="348">
        <f>C172</f>
        <v>0.5</v>
      </c>
      <c r="D175" s="348"/>
      <c r="E175" s="348"/>
      <c r="F175" s="348"/>
      <c r="G175" s="348">
        <v>0.05</v>
      </c>
      <c r="H175" s="348"/>
      <c r="I175" s="348">
        <f>I174</f>
        <v>0.39456000000000002</v>
      </c>
      <c r="J175" s="348"/>
      <c r="K175" s="428">
        <f>ROUNDUP((C174/0.15),0.1)+1</f>
        <v>16</v>
      </c>
      <c r="L175" s="348"/>
      <c r="M175" s="343">
        <f>(C175+G175)*I175*K175</f>
        <v>3.4721280000000005</v>
      </c>
      <c r="N175" s="1020"/>
      <c r="O175" s="1041"/>
      <c r="Q175" s="398"/>
      <c r="R175" s="564"/>
      <c r="S175" s="398"/>
      <c r="T175" s="398"/>
      <c r="U175" s="398"/>
      <c r="V175" s="555"/>
      <c r="W175" s="555"/>
      <c r="X175" s="555"/>
    </row>
    <row r="176" spans="1:24" s="554" customFormat="1" ht="15.75" customHeight="1">
      <c r="A176" s="355" t="s">
        <v>101</v>
      </c>
      <c r="B176" s="1004" t="s">
        <v>420</v>
      </c>
      <c r="C176" s="348">
        <f>C170</f>
        <v>2.14</v>
      </c>
      <c r="D176" s="348">
        <f>D170</f>
        <v>0.5</v>
      </c>
      <c r="E176" s="348">
        <f>E171</f>
        <v>0.1</v>
      </c>
      <c r="F176" s="348"/>
      <c r="G176" s="348"/>
      <c r="H176" s="348"/>
      <c r="I176" s="348"/>
      <c r="J176" s="348"/>
      <c r="K176" s="348"/>
      <c r="L176" s="348"/>
      <c r="M176" s="343">
        <f>C176*D176*E176</f>
        <v>0.10700000000000001</v>
      </c>
      <c r="N176" s="1020" t="s">
        <v>103</v>
      </c>
      <c r="O176" s="1041"/>
      <c r="Q176" s="398"/>
      <c r="R176" s="564"/>
      <c r="S176" s="398"/>
      <c r="T176" s="398"/>
      <c r="U176" s="398"/>
      <c r="V176" s="555"/>
      <c r="W176" s="555"/>
      <c r="X176" s="555"/>
    </row>
    <row r="177" spans="1:24" s="554" customFormat="1" ht="15.75" customHeight="1">
      <c r="A177" s="355" t="s">
        <v>121</v>
      </c>
      <c r="B177" s="351" t="s">
        <v>489</v>
      </c>
      <c r="C177" s="428" t="s">
        <v>1236</v>
      </c>
      <c r="D177" s="348"/>
      <c r="E177" s="348"/>
      <c r="F177" s="348"/>
      <c r="G177" s="348"/>
      <c r="H177" s="348"/>
      <c r="I177" s="348"/>
      <c r="J177" s="348"/>
      <c r="K177" s="348"/>
      <c r="L177" s="348"/>
      <c r="M177" s="343">
        <f>M170</f>
        <v>1.07</v>
      </c>
      <c r="N177" s="1020" t="s">
        <v>89</v>
      </c>
      <c r="O177" s="1041"/>
      <c r="Q177" s="398"/>
      <c r="R177" s="564"/>
      <c r="S177" s="398"/>
      <c r="T177" s="398"/>
      <c r="U177" s="398"/>
      <c r="V177" s="555"/>
      <c r="W177" s="555"/>
      <c r="X177" s="555"/>
    </row>
    <row r="178" spans="1:24" s="554" customFormat="1" ht="15.75" customHeight="1">
      <c r="A178" s="355" t="s">
        <v>142</v>
      </c>
      <c r="B178" s="351" t="s">
        <v>650</v>
      </c>
      <c r="C178" s="428" t="s">
        <v>1141</v>
      </c>
      <c r="D178" s="348"/>
      <c r="E178" s="348"/>
      <c r="F178" s="348"/>
      <c r="G178" s="348"/>
      <c r="H178" s="348"/>
      <c r="I178" s="348"/>
      <c r="J178" s="348"/>
      <c r="K178" s="348"/>
      <c r="L178" s="348"/>
      <c r="M178" s="343">
        <f>M177</f>
        <v>1.07</v>
      </c>
      <c r="N178" s="1020" t="s">
        <v>89</v>
      </c>
      <c r="O178" s="1041"/>
      <c r="Q178" s="398"/>
      <c r="R178" s="564"/>
      <c r="S178" s="398"/>
      <c r="T178" s="398"/>
      <c r="U178" s="398"/>
      <c r="V178" s="555"/>
      <c r="W178" s="555"/>
      <c r="X178" s="555"/>
    </row>
    <row r="179" spans="1:24" s="554" customFormat="1" ht="15.75" customHeight="1">
      <c r="A179" s="350">
        <f>A168+1</f>
        <v>14</v>
      </c>
      <c r="B179" s="351" t="s">
        <v>483</v>
      </c>
      <c r="C179" s="348"/>
      <c r="D179" s="348"/>
      <c r="E179" s="348"/>
      <c r="F179" s="348"/>
      <c r="G179" s="348"/>
      <c r="H179" s="348"/>
      <c r="I179" s="348"/>
      <c r="J179" s="348"/>
      <c r="K179" s="348"/>
      <c r="L179" s="348"/>
      <c r="M179" s="343"/>
      <c r="N179" s="1020"/>
      <c r="O179" s="1041"/>
      <c r="Q179" s="398"/>
      <c r="R179" s="564"/>
      <c r="S179" s="398"/>
      <c r="T179" s="398"/>
      <c r="U179" s="398"/>
      <c r="V179" s="555"/>
      <c r="W179" s="555"/>
      <c r="X179" s="555"/>
    </row>
    <row r="180" spans="1:24" s="554" customFormat="1" ht="15.75" customHeight="1">
      <c r="A180" s="355" t="s">
        <v>95</v>
      </c>
      <c r="B180" s="359" t="s">
        <v>413</v>
      </c>
      <c r="C180" s="348">
        <v>7</v>
      </c>
      <c r="D180" s="348">
        <v>4.5</v>
      </c>
      <c r="E180" s="348">
        <f>0.3-E182-E183-E185</f>
        <v>5.0000000000000017E-2</v>
      </c>
      <c r="F180" s="348"/>
      <c r="G180" s="348"/>
      <c r="H180" s="348"/>
      <c r="I180" s="348"/>
      <c r="J180" s="348"/>
      <c r="K180" s="348"/>
      <c r="L180" s="348"/>
      <c r="M180" s="343">
        <f>C180*D180*E180</f>
        <v>1.5750000000000006</v>
      </c>
      <c r="N180" s="1020" t="s">
        <v>103</v>
      </c>
      <c r="O180" s="1041"/>
      <c r="Q180" s="398"/>
      <c r="R180" s="564"/>
      <c r="S180" s="398"/>
      <c r="T180" s="398"/>
      <c r="U180" s="398"/>
      <c r="V180" s="555"/>
      <c r="W180" s="555"/>
      <c r="X180" s="555"/>
    </row>
    <row r="181" spans="1:24" s="554" customFormat="1" ht="15.75" customHeight="1">
      <c r="A181" s="355" t="s">
        <v>98</v>
      </c>
      <c r="B181" s="351" t="s">
        <v>414</v>
      </c>
      <c r="C181" s="348"/>
      <c r="D181" s="348"/>
      <c r="E181" s="348"/>
      <c r="F181" s="348"/>
      <c r="G181" s="348"/>
      <c r="H181" s="348"/>
      <c r="I181" s="348"/>
      <c r="J181" s="348"/>
      <c r="K181" s="348"/>
      <c r="L181" s="348"/>
      <c r="M181" s="343">
        <f>M180</f>
        <v>1.5750000000000006</v>
      </c>
      <c r="N181" s="1020" t="s">
        <v>103</v>
      </c>
      <c r="O181" s="1041"/>
      <c r="Q181" s="398"/>
      <c r="R181" s="564"/>
      <c r="S181" s="398"/>
      <c r="T181" s="398"/>
      <c r="U181" s="398"/>
      <c r="V181" s="555"/>
      <c r="W181" s="555"/>
      <c r="X181" s="555"/>
    </row>
    <row r="182" spans="1:24" s="554" customFormat="1" ht="15.75" customHeight="1">
      <c r="A182" s="355" t="s">
        <v>101</v>
      </c>
      <c r="B182" s="351" t="s">
        <v>415</v>
      </c>
      <c r="C182" s="348">
        <f>C180</f>
        <v>7</v>
      </c>
      <c r="D182" s="348">
        <f>D180</f>
        <v>4.5</v>
      </c>
      <c r="E182" s="348">
        <v>0.05</v>
      </c>
      <c r="F182" s="348"/>
      <c r="G182" s="348"/>
      <c r="H182" s="348"/>
      <c r="I182" s="348"/>
      <c r="J182" s="348"/>
      <c r="K182" s="348"/>
      <c r="L182" s="348"/>
      <c r="M182" s="343">
        <f>C182*D182*E182</f>
        <v>1.5750000000000002</v>
      </c>
      <c r="N182" s="1020" t="s">
        <v>103</v>
      </c>
      <c r="O182" s="1041"/>
      <c r="Q182" s="398"/>
      <c r="R182" s="564"/>
      <c r="S182" s="398"/>
      <c r="T182" s="398"/>
      <c r="U182" s="398"/>
      <c r="V182" s="555"/>
      <c r="W182" s="555"/>
      <c r="X182" s="555"/>
    </row>
    <row r="183" spans="1:24" s="554" customFormat="1" ht="15.75" customHeight="1">
      <c r="A183" s="355" t="s">
        <v>121</v>
      </c>
      <c r="B183" s="351" t="s">
        <v>496</v>
      </c>
      <c r="C183" s="348">
        <f t="shared" ref="C183:D185" si="2">C182</f>
        <v>7</v>
      </c>
      <c r="D183" s="348">
        <f t="shared" si="2"/>
        <v>4.5</v>
      </c>
      <c r="E183" s="348">
        <v>0.05</v>
      </c>
      <c r="F183" s="348"/>
      <c r="G183" s="348"/>
      <c r="H183" s="348"/>
      <c r="I183" s="348"/>
      <c r="J183" s="348"/>
      <c r="K183" s="348"/>
      <c r="L183" s="348"/>
      <c r="M183" s="343">
        <f>C183*D183*E183</f>
        <v>1.5750000000000002</v>
      </c>
      <c r="N183" s="1020" t="s">
        <v>103</v>
      </c>
      <c r="O183" s="1041"/>
      <c r="Q183" s="398"/>
      <c r="R183" s="564"/>
      <c r="S183" s="398"/>
      <c r="T183" s="398"/>
      <c r="U183" s="398"/>
      <c r="V183" s="555"/>
      <c r="W183" s="555"/>
      <c r="X183" s="555"/>
    </row>
    <row r="184" spans="1:24" s="554" customFormat="1" ht="15.75" customHeight="1">
      <c r="A184" s="355" t="s">
        <v>142</v>
      </c>
      <c r="B184" s="455" t="s">
        <v>836</v>
      </c>
      <c r="C184" s="348">
        <f t="shared" si="2"/>
        <v>7</v>
      </c>
      <c r="D184" s="348">
        <f t="shared" si="2"/>
        <v>4.5</v>
      </c>
      <c r="E184" s="348"/>
      <c r="F184" s="348"/>
      <c r="G184" s="348"/>
      <c r="H184" s="348"/>
      <c r="I184" s="348"/>
      <c r="J184" s="348">
        <v>2</v>
      </c>
      <c r="K184" s="348"/>
      <c r="L184" s="348"/>
      <c r="M184" s="343">
        <f>C184*D184*J184</f>
        <v>63</v>
      </c>
      <c r="N184" s="1020" t="s">
        <v>89</v>
      </c>
      <c r="O184" s="1041"/>
      <c r="Q184" s="398"/>
      <c r="R184" s="564"/>
      <c r="S184" s="398"/>
      <c r="T184" s="398"/>
      <c r="U184" s="398"/>
      <c r="V184" s="555"/>
      <c r="W184" s="555"/>
      <c r="X184" s="555"/>
    </row>
    <row r="185" spans="1:24" s="554" customFormat="1" ht="15.75" customHeight="1">
      <c r="A185" s="355" t="s">
        <v>217</v>
      </c>
      <c r="B185" s="456" t="s">
        <v>429</v>
      </c>
      <c r="C185" s="348">
        <f t="shared" si="2"/>
        <v>7</v>
      </c>
      <c r="D185" s="348">
        <f t="shared" si="2"/>
        <v>4.5</v>
      </c>
      <c r="E185" s="348">
        <v>0.15</v>
      </c>
      <c r="F185" s="348"/>
      <c r="G185" s="348"/>
      <c r="H185" s="348"/>
      <c r="I185" s="348"/>
      <c r="J185" s="348"/>
      <c r="K185" s="348"/>
      <c r="L185" s="348"/>
      <c r="M185" s="343">
        <f>C185*D185*E185</f>
        <v>4.7249999999999996</v>
      </c>
      <c r="N185" s="1020" t="s">
        <v>103</v>
      </c>
      <c r="O185" s="1041"/>
      <c r="Q185" s="398"/>
      <c r="R185" s="564"/>
      <c r="S185" s="398"/>
      <c r="T185" s="398"/>
      <c r="U185" s="398"/>
      <c r="V185" s="555"/>
      <c r="W185" s="555"/>
      <c r="X185" s="555"/>
    </row>
    <row r="186" spans="1:24" s="986" customFormat="1" ht="15.75" customHeight="1">
      <c r="A186" s="1003">
        <f>A179+1</f>
        <v>15</v>
      </c>
      <c r="B186" s="993" t="s">
        <v>837</v>
      </c>
      <c r="C186" s="994"/>
      <c r="D186" s="994"/>
      <c r="E186" s="994"/>
      <c r="F186" s="994"/>
      <c r="G186" s="994"/>
      <c r="H186" s="994"/>
      <c r="I186" s="994"/>
      <c r="J186" s="994"/>
      <c r="K186" s="994"/>
      <c r="L186" s="994"/>
      <c r="M186" s="994"/>
      <c r="N186" s="1020"/>
    </row>
    <row r="187" spans="1:24" s="1033" customFormat="1" ht="15.75" hidden="1" customHeight="1">
      <c r="A187" s="1029" t="s">
        <v>95</v>
      </c>
      <c r="B187" s="1030" t="s">
        <v>398</v>
      </c>
      <c r="C187" s="1031">
        <v>1.5</v>
      </c>
      <c r="D187" s="1031">
        <v>0.4</v>
      </c>
      <c r="E187" s="1031">
        <v>0.3</v>
      </c>
      <c r="F187" s="1031"/>
      <c r="G187" s="1031"/>
      <c r="H187" s="1031"/>
      <c r="I187" s="1031"/>
      <c r="J187" s="1031">
        <v>2</v>
      </c>
      <c r="K187" s="1031"/>
      <c r="L187" s="1031"/>
      <c r="M187" s="1031">
        <f>C187*D187*E187*J187</f>
        <v>0.36000000000000004</v>
      </c>
      <c r="N187" s="1032" t="s">
        <v>103</v>
      </c>
    </row>
    <row r="188" spans="1:24" s="1033" customFormat="1" ht="15.75" hidden="1" customHeight="1">
      <c r="A188" s="1029" t="s">
        <v>98</v>
      </c>
      <c r="B188" s="1042" t="s">
        <v>897</v>
      </c>
      <c r="C188" s="1031">
        <f>C187</f>
        <v>1.5</v>
      </c>
      <c r="D188" s="1031">
        <f>(0.4+0.25)/2</f>
        <v>0.32500000000000001</v>
      </c>
      <c r="E188" s="1031">
        <f>E187</f>
        <v>0.3</v>
      </c>
      <c r="F188" s="1031"/>
      <c r="G188" s="1031"/>
      <c r="H188" s="1031">
        <f>0.5/2</f>
        <v>0.25</v>
      </c>
      <c r="I188" s="1031"/>
      <c r="J188" s="1031">
        <f>J187</f>
        <v>2</v>
      </c>
      <c r="K188" s="1031"/>
      <c r="L188" s="1031"/>
      <c r="M188" s="1031">
        <f>C188*D188*(E188+H188)*J188</f>
        <v>0.53625000000000012</v>
      </c>
      <c r="N188" s="1032" t="s">
        <v>103</v>
      </c>
    </row>
    <row r="189" spans="1:24" s="986" customFormat="1" ht="15.75" customHeight="1">
      <c r="A189" s="1019" t="s">
        <v>95</v>
      </c>
      <c r="B189" s="993" t="s">
        <v>413</v>
      </c>
      <c r="C189" s="994">
        <f>C188</f>
        <v>1.5</v>
      </c>
      <c r="D189" s="994">
        <v>7.15</v>
      </c>
      <c r="E189" s="994">
        <f>0.3-E191-E192-E198</f>
        <v>5.0000000000000017E-2</v>
      </c>
      <c r="F189" s="994"/>
      <c r="G189" s="994"/>
      <c r="H189" s="994"/>
      <c r="I189" s="994"/>
      <c r="J189" s="994"/>
      <c r="K189" s="994"/>
      <c r="L189" s="994"/>
      <c r="M189" s="994">
        <f>C189*D189*E189</f>
        <v>0.53625000000000023</v>
      </c>
      <c r="N189" s="1005" t="s">
        <v>103</v>
      </c>
    </row>
    <row r="190" spans="1:24" s="986" customFormat="1" ht="15.75" customHeight="1">
      <c r="A190" s="1019" t="s">
        <v>98</v>
      </c>
      <c r="B190" s="1004" t="s">
        <v>414</v>
      </c>
      <c r="C190" s="994"/>
      <c r="D190" s="994"/>
      <c r="E190" s="994"/>
      <c r="F190" s="994"/>
      <c r="G190" s="994"/>
      <c r="H190" s="994"/>
      <c r="I190" s="994"/>
      <c r="J190" s="994"/>
      <c r="K190" s="994"/>
      <c r="L190" s="994"/>
      <c r="M190" s="994">
        <f>M189</f>
        <v>0.53625000000000023</v>
      </c>
      <c r="N190" s="1005" t="s">
        <v>103</v>
      </c>
    </row>
    <row r="191" spans="1:24" s="986" customFormat="1" ht="15.75" customHeight="1">
      <c r="A191" s="1019" t="s">
        <v>101</v>
      </c>
      <c r="B191" s="351" t="s">
        <v>415</v>
      </c>
      <c r="C191" s="994">
        <f>C189</f>
        <v>1.5</v>
      </c>
      <c r="D191" s="994">
        <f>D189</f>
        <v>7.15</v>
      </c>
      <c r="E191" s="994">
        <v>0.05</v>
      </c>
      <c r="F191" s="994"/>
      <c r="G191" s="994"/>
      <c r="H191" s="994"/>
      <c r="I191" s="994"/>
      <c r="J191" s="994"/>
      <c r="K191" s="994"/>
      <c r="L191" s="994"/>
      <c r="M191" s="994">
        <f>C191*D191*E191</f>
        <v>0.53625000000000012</v>
      </c>
      <c r="N191" s="1005" t="s">
        <v>103</v>
      </c>
    </row>
    <row r="192" spans="1:24" s="986" customFormat="1" ht="15.75" customHeight="1">
      <c r="A192" s="1019" t="s">
        <v>121</v>
      </c>
      <c r="B192" s="351" t="s">
        <v>496</v>
      </c>
      <c r="C192" s="994">
        <f>C191</f>
        <v>1.5</v>
      </c>
      <c r="D192" s="994">
        <f>D191</f>
        <v>7.15</v>
      </c>
      <c r="E192" s="994">
        <f>E191</f>
        <v>0.05</v>
      </c>
      <c r="F192" s="994"/>
      <c r="G192" s="994"/>
      <c r="H192" s="994"/>
      <c r="I192" s="994"/>
      <c r="J192" s="994"/>
      <c r="K192" s="994"/>
      <c r="L192" s="994"/>
      <c r="M192" s="994">
        <f>C192*D192*E192</f>
        <v>0.53625000000000012</v>
      </c>
      <c r="N192" s="1005" t="s">
        <v>103</v>
      </c>
    </row>
    <row r="193" spans="1:14" s="986" customFormat="1" ht="15.75" customHeight="1">
      <c r="A193" s="1019" t="s">
        <v>142</v>
      </c>
      <c r="B193" s="351" t="s">
        <v>838</v>
      </c>
      <c r="C193" s="994">
        <f>C192</f>
        <v>1.5</v>
      </c>
      <c r="D193" s="994"/>
      <c r="E193" s="994">
        <f>0.3/2</f>
        <v>0.15</v>
      </c>
      <c r="F193" s="994"/>
      <c r="G193" s="994"/>
      <c r="H193" s="994"/>
      <c r="I193" s="994"/>
      <c r="J193" s="994">
        <v>2</v>
      </c>
      <c r="K193" s="994"/>
      <c r="L193" s="994"/>
      <c r="M193" s="994">
        <f>C193*E193*J193</f>
        <v>0.44999999999999996</v>
      </c>
      <c r="N193" s="1020" t="s">
        <v>89</v>
      </c>
    </row>
    <row r="194" spans="1:14" s="986" customFormat="1" ht="15.75" customHeight="1">
      <c r="A194" s="1019" t="s">
        <v>217</v>
      </c>
      <c r="B194" s="455" t="s">
        <v>839</v>
      </c>
      <c r="C194" s="994">
        <f>C189</f>
        <v>1.5</v>
      </c>
      <c r="D194" s="994">
        <f>D189</f>
        <v>7.15</v>
      </c>
      <c r="E194" s="994"/>
      <c r="F194" s="994"/>
      <c r="G194" s="994"/>
      <c r="H194" s="994"/>
      <c r="I194" s="994"/>
      <c r="J194" s="994"/>
      <c r="K194" s="994"/>
      <c r="L194" s="994"/>
      <c r="M194" s="994">
        <f>C194*D194</f>
        <v>10.725000000000001</v>
      </c>
      <c r="N194" s="1020" t="s">
        <v>89</v>
      </c>
    </row>
    <row r="195" spans="1:14" s="1033" customFormat="1" ht="15.75" hidden="1" customHeight="1">
      <c r="A195" s="1029"/>
      <c r="B195" s="1034" t="s">
        <v>154</v>
      </c>
      <c r="C195" s="1031">
        <f>C191</f>
        <v>1.5</v>
      </c>
      <c r="D195" s="1031"/>
      <c r="E195" s="1031"/>
      <c r="F195" s="1031"/>
      <c r="G195" s="1031"/>
      <c r="H195" s="1031"/>
      <c r="I195" s="1031">
        <f>6*6*0.006165</f>
        <v>0.22194000000000003</v>
      </c>
      <c r="J195" s="1031"/>
      <c r="K195" s="1031">
        <f>ROUNDUP((C196/0.15),0.5)+1</f>
        <v>49</v>
      </c>
      <c r="L195" s="1031"/>
      <c r="M195" s="1031">
        <f>C195*I195*K195</f>
        <v>16.31259</v>
      </c>
      <c r="N195" s="1032"/>
    </row>
    <row r="196" spans="1:14" s="1033" customFormat="1" ht="15.75" hidden="1" customHeight="1">
      <c r="A196" s="1029"/>
      <c r="B196" s="1034" t="s">
        <v>155</v>
      </c>
      <c r="C196" s="1031">
        <f>D191</f>
        <v>7.15</v>
      </c>
      <c r="D196" s="1031"/>
      <c r="E196" s="1031"/>
      <c r="F196" s="1031"/>
      <c r="G196" s="1031"/>
      <c r="H196" s="1031"/>
      <c r="I196" s="1031">
        <f>I195</f>
        <v>0.22194000000000003</v>
      </c>
      <c r="J196" s="1031"/>
      <c r="K196" s="1031">
        <f>ROUNDUP((C195/0.15),0.5)+1</f>
        <v>11</v>
      </c>
      <c r="L196" s="1031"/>
      <c r="M196" s="1035">
        <f>C196*I196*K196</f>
        <v>17.455581000000002</v>
      </c>
      <c r="N196" s="1032"/>
    </row>
    <row r="197" spans="1:14" s="1033" customFormat="1" ht="15.75" hidden="1" customHeight="1">
      <c r="A197" s="1029"/>
      <c r="B197" s="1030"/>
      <c r="C197" s="1031"/>
      <c r="D197" s="1031"/>
      <c r="E197" s="1031"/>
      <c r="F197" s="1031"/>
      <c r="G197" s="1031"/>
      <c r="H197" s="1031"/>
      <c r="I197" s="1031"/>
      <c r="J197" s="1031"/>
      <c r="K197" s="1031"/>
      <c r="L197" s="1031"/>
      <c r="M197" s="1036">
        <f>SUM(M195:M196)</f>
        <v>33.768171000000002</v>
      </c>
      <c r="N197" s="1037" t="s">
        <v>100</v>
      </c>
    </row>
    <row r="198" spans="1:14" s="986" customFormat="1" ht="15.75" customHeight="1">
      <c r="A198" s="1019" t="s">
        <v>366</v>
      </c>
      <c r="B198" s="1004" t="s">
        <v>420</v>
      </c>
      <c r="C198" s="994">
        <f>C195</f>
        <v>1.5</v>
      </c>
      <c r="D198" s="994">
        <f>C196</f>
        <v>7.15</v>
      </c>
      <c r="E198" s="994">
        <v>0.15</v>
      </c>
      <c r="F198" s="994"/>
      <c r="G198" s="994"/>
      <c r="H198" s="994"/>
      <c r="I198" s="994"/>
      <c r="J198" s="994"/>
      <c r="K198" s="994"/>
      <c r="L198" s="994"/>
      <c r="M198" s="994">
        <f>C198*D198*E198</f>
        <v>1.6087500000000001</v>
      </c>
      <c r="N198" s="1005" t="s">
        <v>103</v>
      </c>
    </row>
    <row r="199" spans="1:14" s="986" customFormat="1" ht="15.75" customHeight="1">
      <c r="A199" s="1019" t="s">
        <v>476</v>
      </c>
      <c r="B199" s="993" t="s">
        <v>193</v>
      </c>
      <c r="C199" s="994" t="s">
        <v>1414</v>
      </c>
      <c r="D199" s="994"/>
      <c r="E199" s="994"/>
      <c r="F199" s="994"/>
      <c r="G199" s="994"/>
      <c r="H199" s="994"/>
      <c r="I199" s="994"/>
      <c r="J199" s="994"/>
      <c r="K199" s="994"/>
      <c r="L199" s="994"/>
      <c r="M199" s="994">
        <f>M193</f>
        <v>0.44999999999999996</v>
      </c>
      <c r="N199" s="1005" t="s">
        <v>89</v>
      </c>
    </row>
    <row r="200" spans="1:14" s="986" customFormat="1" ht="15.75" customHeight="1">
      <c r="A200" s="1019" t="s">
        <v>728</v>
      </c>
      <c r="B200" s="993" t="s">
        <v>194</v>
      </c>
      <c r="C200" s="994" t="s">
        <v>1022</v>
      </c>
      <c r="D200" s="994"/>
      <c r="E200" s="994"/>
      <c r="F200" s="994"/>
      <c r="G200" s="994"/>
      <c r="H200" s="994"/>
      <c r="I200" s="994"/>
      <c r="J200" s="994"/>
      <c r="K200" s="994"/>
      <c r="L200" s="994"/>
      <c r="M200" s="994">
        <f>M199</f>
        <v>0.44999999999999996</v>
      </c>
      <c r="N200" s="1005" t="s">
        <v>89</v>
      </c>
    </row>
    <row r="201" spans="1:14" s="986" customFormat="1" ht="15.75" customHeight="1">
      <c r="A201" s="1001" t="s">
        <v>535</v>
      </c>
      <c r="B201" s="1002" t="s">
        <v>840</v>
      </c>
      <c r="C201" s="994"/>
      <c r="D201" s="994"/>
      <c r="E201" s="994"/>
      <c r="F201" s="994"/>
      <c r="G201" s="994"/>
      <c r="H201" s="994"/>
      <c r="I201" s="994"/>
      <c r="J201" s="994"/>
      <c r="K201" s="994"/>
      <c r="L201" s="994"/>
      <c r="M201" s="994"/>
      <c r="N201" s="1005"/>
    </row>
    <row r="202" spans="1:14" s="986" customFormat="1" ht="15.75" customHeight="1">
      <c r="A202" s="1043">
        <v>1</v>
      </c>
      <c r="B202" s="993" t="s">
        <v>629</v>
      </c>
      <c r="C202" s="994"/>
      <c r="D202" s="994"/>
      <c r="E202" s="994"/>
      <c r="F202" s="994"/>
      <c r="G202" s="994"/>
      <c r="H202" s="994"/>
      <c r="I202" s="994"/>
      <c r="J202" s="994"/>
      <c r="K202" s="994"/>
      <c r="L202" s="994"/>
      <c r="M202" s="994"/>
      <c r="N202" s="1005"/>
    </row>
    <row r="203" spans="1:14" s="986" customFormat="1" ht="15.75" customHeight="1">
      <c r="A203" s="1043"/>
      <c r="B203" s="1014" t="s">
        <v>154</v>
      </c>
      <c r="C203" s="994"/>
      <c r="D203" s="994">
        <v>4.5</v>
      </c>
      <c r="E203" s="994">
        <v>3.58</v>
      </c>
      <c r="F203" s="994"/>
      <c r="G203" s="994"/>
      <c r="H203" s="994"/>
      <c r="I203" s="994"/>
      <c r="J203" s="994">
        <v>2</v>
      </c>
      <c r="K203" s="994"/>
      <c r="L203" s="994"/>
      <c r="M203" s="994">
        <f>D203*E203*J203</f>
        <v>32.22</v>
      </c>
      <c r="N203" s="1005"/>
    </row>
    <row r="204" spans="1:14" s="986" customFormat="1" ht="15.75" customHeight="1">
      <c r="A204" s="1043"/>
      <c r="B204" s="1014"/>
      <c r="C204" s="994"/>
      <c r="D204" s="994">
        <v>2.85</v>
      </c>
      <c r="E204" s="994">
        <f>E203</f>
        <v>3.58</v>
      </c>
      <c r="F204" s="994"/>
      <c r="G204" s="994"/>
      <c r="H204" s="994"/>
      <c r="I204" s="994"/>
      <c r="J204" s="994">
        <f>J203</f>
        <v>2</v>
      </c>
      <c r="K204" s="994"/>
      <c r="L204" s="994"/>
      <c r="M204" s="994">
        <f>D204*E204*J204</f>
        <v>20.406000000000002</v>
      </c>
      <c r="N204" s="1005"/>
    </row>
    <row r="205" spans="1:14" s="986" customFormat="1" ht="15.75" customHeight="1">
      <c r="A205" s="1043"/>
      <c r="B205" s="1014" t="s">
        <v>155</v>
      </c>
      <c r="C205" s="994">
        <v>7</v>
      </c>
      <c r="D205" s="994"/>
      <c r="E205" s="994">
        <f>E204</f>
        <v>3.58</v>
      </c>
      <c r="F205" s="994"/>
      <c r="G205" s="994"/>
      <c r="H205" s="994"/>
      <c r="I205" s="994"/>
      <c r="J205" s="994">
        <f>J204</f>
        <v>2</v>
      </c>
      <c r="K205" s="994"/>
      <c r="L205" s="994"/>
      <c r="M205" s="994">
        <f>C205*E205*J205</f>
        <v>50.120000000000005</v>
      </c>
      <c r="N205" s="1005"/>
    </row>
    <row r="206" spans="1:14" s="986" customFormat="1" ht="15.75" customHeight="1">
      <c r="A206" s="1043"/>
      <c r="B206" s="1014" t="s">
        <v>1415</v>
      </c>
      <c r="C206" s="994"/>
      <c r="D206" s="994">
        <v>1.9930000000000001</v>
      </c>
      <c r="E206" s="994">
        <v>0.871</v>
      </c>
      <c r="F206" s="994"/>
      <c r="G206" s="994"/>
      <c r="H206" s="994"/>
      <c r="I206" s="994"/>
      <c r="J206" s="994">
        <f>J205</f>
        <v>2</v>
      </c>
      <c r="K206" s="994"/>
      <c r="L206" s="994"/>
      <c r="M206" s="994">
        <f>D206*E206*J206*O206</f>
        <v>0</v>
      </c>
      <c r="N206" s="1005"/>
    </row>
    <row r="207" spans="1:14" s="986" customFormat="1" ht="15.75" customHeight="1">
      <c r="A207" s="1043"/>
      <c r="B207" s="1014"/>
      <c r="C207" s="994"/>
      <c r="D207" s="994">
        <v>1.524</v>
      </c>
      <c r="E207" s="994">
        <f>E206</f>
        <v>0.871</v>
      </c>
      <c r="F207" s="994"/>
      <c r="G207" s="994"/>
      <c r="H207" s="994"/>
      <c r="I207" s="994"/>
      <c r="J207" s="994">
        <f>J206</f>
        <v>2</v>
      </c>
      <c r="K207" s="994"/>
      <c r="L207" s="994"/>
      <c r="M207" s="994">
        <f>D207*E207*J207*O207</f>
        <v>0</v>
      </c>
      <c r="N207" s="1005"/>
    </row>
    <row r="208" spans="1:14" s="986" customFormat="1" ht="15.75" customHeight="1">
      <c r="A208" s="1043"/>
      <c r="B208" s="1014"/>
      <c r="C208" s="994"/>
      <c r="D208" s="994">
        <f>D206/2</f>
        <v>0.99650000000000005</v>
      </c>
      <c r="E208" s="994">
        <v>1.345</v>
      </c>
      <c r="F208" s="994"/>
      <c r="G208" s="994"/>
      <c r="H208" s="994"/>
      <c r="I208" s="994"/>
      <c r="J208" s="994">
        <f>J207</f>
        <v>2</v>
      </c>
      <c r="K208" s="994"/>
      <c r="L208" s="994"/>
      <c r="M208" s="994">
        <f>D208*E208*J208*O208</f>
        <v>0</v>
      </c>
      <c r="N208" s="1005"/>
    </row>
    <row r="209" spans="1:14" s="986" customFormat="1" ht="15.75" customHeight="1">
      <c r="A209" s="1043"/>
      <c r="B209" s="1014" t="s">
        <v>1282</v>
      </c>
      <c r="C209" s="994"/>
      <c r="D209" s="994">
        <v>2.14</v>
      </c>
      <c r="E209" s="994">
        <v>2.17</v>
      </c>
      <c r="F209" s="994"/>
      <c r="G209" s="994"/>
      <c r="H209" s="994"/>
      <c r="I209" s="994"/>
      <c r="J209" s="994"/>
      <c r="K209" s="994"/>
      <c r="L209" s="994">
        <v>1</v>
      </c>
      <c r="M209" s="994">
        <f>-D209*E209*L209</f>
        <v>-4.6437999999999997</v>
      </c>
      <c r="N209" s="1005"/>
    </row>
    <row r="210" spans="1:14" s="986" customFormat="1" ht="15.75" customHeight="1">
      <c r="A210" s="1043"/>
      <c r="B210" s="1014" t="s">
        <v>1416</v>
      </c>
      <c r="C210" s="994">
        <v>1.5</v>
      </c>
      <c r="D210" s="994"/>
      <c r="E210" s="994">
        <v>0.8</v>
      </c>
      <c r="F210" s="994"/>
      <c r="G210" s="994"/>
      <c r="H210" s="994"/>
      <c r="I210" s="994"/>
      <c r="J210" s="994"/>
      <c r="K210" s="994"/>
      <c r="L210" s="994">
        <v>2</v>
      </c>
      <c r="M210" s="1006">
        <f>-C210*E210*L210</f>
        <v>-2.4000000000000004</v>
      </c>
      <c r="N210" s="1005"/>
    </row>
    <row r="211" spans="1:14" s="986" customFormat="1" ht="15.75" customHeight="1">
      <c r="A211" s="1043"/>
      <c r="B211" s="993"/>
      <c r="C211" s="994"/>
      <c r="D211" s="994"/>
      <c r="E211" s="994"/>
      <c r="F211" s="994"/>
      <c r="G211" s="994"/>
      <c r="H211" s="994"/>
      <c r="I211" s="994"/>
      <c r="J211" s="994"/>
      <c r="K211" s="994"/>
      <c r="L211" s="994"/>
      <c r="M211" s="1007">
        <f>SUM(M203:M210)</f>
        <v>95.702200000000005</v>
      </c>
      <c r="N211" s="1008" t="s">
        <v>89</v>
      </c>
    </row>
    <row r="212" spans="1:14" s="986" customFormat="1" ht="15.75" customHeight="1">
      <c r="A212" s="1003">
        <f>A202+1</f>
        <v>2</v>
      </c>
      <c r="B212" s="993" t="s">
        <v>630</v>
      </c>
      <c r="C212" s="994" t="s">
        <v>1147</v>
      </c>
      <c r="D212" s="994"/>
      <c r="E212" s="994"/>
      <c r="F212" s="994"/>
      <c r="G212" s="994"/>
      <c r="H212" s="994"/>
      <c r="I212" s="994"/>
      <c r="J212" s="994"/>
      <c r="K212" s="994"/>
      <c r="L212" s="994"/>
      <c r="M212" s="994">
        <f>M211</f>
        <v>95.702200000000005</v>
      </c>
      <c r="N212" s="1005" t="s">
        <v>89</v>
      </c>
    </row>
    <row r="213" spans="1:14" s="986" customFormat="1" ht="15.75" customHeight="1">
      <c r="A213" s="1003">
        <f>A212+1</f>
        <v>3</v>
      </c>
      <c r="B213" s="993" t="s">
        <v>631</v>
      </c>
      <c r="C213" s="994"/>
      <c r="D213" s="994"/>
      <c r="E213" s="994"/>
      <c r="F213" s="994"/>
      <c r="G213" s="994"/>
      <c r="H213" s="994"/>
      <c r="I213" s="994"/>
      <c r="J213" s="994"/>
      <c r="K213" s="994"/>
      <c r="L213" s="994"/>
      <c r="M213" s="994"/>
      <c r="N213" s="1005"/>
    </row>
    <row r="214" spans="1:14" s="986" customFormat="1" ht="15.75" customHeight="1">
      <c r="A214" s="1003"/>
      <c r="B214" s="1014" t="s">
        <v>1148</v>
      </c>
      <c r="C214" s="994"/>
      <c r="D214" s="994"/>
      <c r="E214" s="994"/>
      <c r="F214" s="994"/>
      <c r="G214" s="994"/>
      <c r="H214" s="994"/>
      <c r="I214" s="994"/>
      <c r="J214" s="994"/>
      <c r="K214" s="994"/>
      <c r="L214" s="994"/>
      <c r="M214" s="994">
        <f>M212</f>
        <v>95.702200000000005</v>
      </c>
      <c r="N214" s="1005"/>
    </row>
    <row r="215" spans="1:14" s="986" customFormat="1" ht="15.75" customHeight="1">
      <c r="A215" s="1003"/>
      <c r="B215" s="1014" t="s">
        <v>1417</v>
      </c>
      <c r="C215" s="994"/>
      <c r="D215" s="994">
        <v>0.25</v>
      </c>
      <c r="E215" s="994">
        <v>3.58</v>
      </c>
      <c r="F215" s="994"/>
      <c r="G215" s="994"/>
      <c r="H215" s="994"/>
      <c r="I215" s="994"/>
      <c r="J215" s="994">
        <v>2</v>
      </c>
      <c r="K215" s="994"/>
      <c r="L215" s="994">
        <v>6</v>
      </c>
      <c r="M215" s="994">
        <f>D215*E215*J215*L215</f>
        <v>10.74</v>
      </c>
      <c r="N215" s="1005"/>
    </row>
    <row r="216" spans="1:14" s="986" customFormat="1" ht="15.75" customHeight="1">
      <c r="A216" s="1003"/>
      <c r="B216" s="1014" t="s">
        <v>1018</v>
      </c>
      <c r="C216" s="994">
        <v>7</v>
      </c>
      <c r="D216" s="994"/>
      <c r="E216" s="994">
        <v>0.2</v>
      </c>
      <c r="F216" s="994"/>
      <c r="G216" s="994"/>
      <c r="H216" s="994"/>
      <c r="I216" s="994"/>
      <c r="J216" s="994">
        <f>J215</f>
        <v>2</v>
      </c>
      <c r="K216" s="994">
        <v>2</v>
      </c>
      <c r="L216" s="994"/>
      <c r="M216" s="994">
        <f>C216*E216*J216*K216</f>
        <v>5.6000000000000005</v>
      </c>
      <c r="N216" s="1005"/>
    </row>
    <row r="217" spans="1:14" s="986" customFormat="1" ht="15.75" customHeight="1">
      <c r="A217" s="1003"/>
      <c r="B217" s="1014"/>
      <c r="C217" s="994">
        <v>4.5</v>
      </c>
      <c r="D217" s="994"/>
      <c r="E217" s="994">
        <f>E216</f>
        <v>0.2</v>
      </c>
      <c r="F217" s="994"/>
      <c r="G217" s="994"/>
      <c r="H217" s="994"/>
      <c r="I217" s="994"/>
      <c r="J217" s="994">
        <f>J216</f>
        <v>2</v>
      </c>
      <c r="K217" s="994">
        <f>K216</f>
        <v>2</v>
      </c>
      <c r="L217" s="994"/>
      <c r="M217" s="994">
        <f>C217*E217*J217*K217</f>
        <v>3.6</v>
      </c>
      <c r="N217" s="1005"/>
    </row>
    <row r="218" spans="1:14" s="986" customFormat="1" ht="15.75" customHeight="1">
      <c r="A218" s="1003"/>
      <c r="B218" s="993"/>
      <c r="C218" s="994"/>
      <c r="D218" s="994"/>
      <c r="E218" s="994"/>
      <c r="F218" s="994"/>
      <c r="G218" s="994"/>
      <c r="H218" s="994"/>
      <c r="I218" s="994"/>
      <c r="J218" s="994"/>
      <c r="K218" s="994"/>
      <c r="L218" s="994"/>
      <c r="M218" s="1007">
        <f>SUM(M214:M217)</f>
        <v>115.64219999999999</v>
      </c>
      <c r="N218" s="1008" t="s">
        <v>89</v>
      </c>
    </row>
    <row r="219" spans="1:14" s="1033" customFormat="1" ht="15.75" hidden="1" customHeight="1">
      <c r="A219" s="1044">
        <f>A213+1</f>
        <v>4</v>
      </c>
      <c r="B219" s="1030" t="s">
        <v>911</v>
      </c>
      <c r="C219" s="1031"/>
      <c r="D219" s="1031"/>
      <c r="E219" s="1031"/>
      <c r="F219" s="1031"/>
      <c r="G219" s="1031"/>
      <c r="H219" s="1031"/>
      <c r="I219" s="1031"/>
      <c r="J219" s="1031"/>
      <c r="K219" s="1031"/>
      <c r="L219" s="1031"/>
      <c r="M219" s="1031"/>
      <c r="N219" s="1032"/>
    </row>
    <row r="220" spans="1:14" s="1033" customFormat="1" ht="15.75" hidden="1" customHeight="1">
      <c r="A220" s="1044"/>
      <c r="B220" s="1034" t="s">
        <v>154</v>
      </c>
      <c r="C220" s="1031">
        <v>2.8</v>
      </c>
      <c r="D220" s="1031"/>
      <c r="E220" s="1031">
        <v>3.88</v>
      </c>
      <c r="F220" s="1031"/>
      <c r="G220" s="1031"/>
      <c r="H220" s="1031"/>
      <c r="I220" s="1031"/>
      <c r="J220" s="1031">
        <v>2</v>
      </c>
      <c r="K220" s="1031"/>
      <c r="L220" s="1031"/>
      <c r="M220" s="1031">
        <f>C220*E220*J220</f>
        <v>21.727999999999998</v>
      </c>
      <c r="N220" s="1032"/>
    </row>
    <row r="221" spans="1:14" s="1033" customFormat="1" ht="15.75" hidden="1" customHeight="1">
      <c r="A221" s="1044"/>
      <c r="B221" s="1034" t="s">
        <v>155</v>
      </c>
      <c r="C221" s="1031">
        <v>3</v>
      </c>
      <c r="D221" s="1031"/>
      <c r="E221" s="1031">
        <f>E220</f>
        <v>3.88</v>
      </c>
      <c r="F221" s="1031"/>
      <c r="G221" s="1031"/>
      <c r="H221" s="1031"/>
      <c r="I221" s="1031"/>
      <c r="J221" s="1031">
        <v>2</v>
      </c>
      <c r="K221" s="1031"/>
      <c r="L221" s="1031"/>
      <c r="M221" s="1035">
        <f>C221*E221*J221</f>
        <v>23.28</v>
      </c>
      <c r="N221" s="1032"/>
    </row>
    <row r="222" spans="1:14" s="1033" customFormat="1" ht="15.75" hidden="1" customHeight="1">
      <c r="A222" s="1044"/>
      <c r="B222" s="1030"/>
      <c r="C222" s="1031"/>
      <c r="D222" s="1031"/>
      <c r="E222" s="1031"/>
      <c r="F222" s="1031"/>
      <c r="G222" s="1031"/>
      <c r="H222" s="1031"/>
      <c r="I222" s="1031"/>
      <c r="J222" s="1031"/>
      <c r="K222" s="1031"/>
      <c r="L222" s="1031"/>
      <c r="M222" s="1036">
        <f>SUM(M220:M221)</f>
        <v>45.007999999999996</v>
      </c>
      <c r="N222" s="1037" t="s">
        <v>89</v>
      </c>
    </row>
    <row r="223" spans="1:14" s="487" customFormat="1" ht="15.75" customHeight="1">
      <c r="A223" s="350">
        <f>A213+1</f>
        <v>4</v>
      </c>
      <c r="B223" s="351" t="s">
        <v>436</v>
      </c>
      <c r="C223" s="330"/>
      <c r="D223" s="330"/>
      <c r="E223" s="330"/>
      <c r="F223" s="330"/>
      <c r="G223" s="330"/>
      <c r="H223" s="330"/>
      <c r="I223" s="330"/>
      <c r="J223" s="330"/>
      <c r="K223" s="330"/>
      <c r="L223" s="330"/>
      <c r="M223" s="474"/>
      <c r="N223" s="562"/>
    </row>
    <row r="224" spans="1:14" s="487" customFormat="1" ht="15.75" customHeight="1">
      <c r="A224" s="350"/>
      <c r="B224" s="567" t="s">
        <v>1149</v>
      </c>
      <c r="C224" s="382">
        <f>D206</f>
        <v>1.9930000000000001</v>
      </c>
      <c r="D224" s="382"/>
      <c r="E224" s="382">
        <f>E206</f>
        <v>0.871</v>
      </c>
      <c r="F224" s="330"/>
      <c r="G224" s="330"/>
      <c r="H224" s="330"/>
      <c r="I224" s="330"/>
      <c r="J224" s="330"/>
      <c r="K224" s="330"/>
      <c r="L224" s="330">
        <f>J206</f>
        <v>2</v>
      </c>
      <c r="M224" s="330">
        <f>C224*E224*L224</f>
        <v>3.4718059999999999</v>
      </c>
      <c r="N224" s="562"/>
    </row>
    <row r="225" spans="1:23" s="487" customFormat="1" ht="15.75" customHeight="1">
      <c r="A225" s="400"/>
      <c r="B225" s="351"/>
      <c r="C225" s="382">
        <f>D207</f>
        <v>1.524</v>
      </c>
      <c r="D225" s="382"/>
      <c r="E225" s="382">
        <f>E207</f>
        <v>0.871</v>
      </c>
      <c r="F225" s="330"/>
      <c r="G225" s="330"/>
      <c r="H225" s="330"/>
      <c r="I225" s="330"/>
      <c r="J225" s="330"/>
      <c r="K225" s="330"/>
      <c r="L225" s="330">
        <f>L224</f>
        <v>2</v>
      </c>
      <c r="M225" s="330">
        <f>C225*E225*L225</f>
        <v>2.6548080000000001</v>
      </c>
      <c r="N225" s="562"/>
    </row>
    <row r="226" spans="1:23" s="487" customFormat="1" ht="15.75" customHeight="1">
      <c r="A226" s="400"/>
      <c r="B226" s="351"/>
      <c r="C226" s="382">
        <f>D208</f>
        <v>0.99650000000000005</v>
      </c>
      <c r="D226" s="382"/>
      <c r="E226" s="382">
        <f>E208</f>
        <v>1.345</v>
      </c>
      <c r="F226" s="330"/>
      <c r="G226" s="330"/>
      <c r="H226" s="330"/>
      <c r="I226" s="330"/>
      <c r="J226" s="330"/>
      <c r="K226" s="330"/>
      <c r="L226" s="330">
        <f>L225</f>
        <v>2</v>
      </c>
      <c r="M226" s="752">
        <f>C226*E226*L226</f>
        <v>2.6805850000000002</v>
      </c>
      <c r="N226" s="562"/>
    </row>
    <row r="227" spans="1:23" s="487" customFormat="1" ht="15.75" customHeight="1">
      <c r="A227" s="400"/>
      <c r="B227" s="351"/>
      <c r="C227" s="330"/>
      <c r="D227" s="330"/>
      <c r="E227" s="330"/>
      <c r="F227" s="330"/>
      <c r="G227" s="330"/>
      <c r="H227" s="330"/>
      <c r="I227" s="330"/>
      <c r="J227" s="330"/>
      <c r="K227" s="330"/>
      <c r="L227" s="330"/>
      <c r="M227" s="474">
        <f>SUM(M225:M226)</f>
        <v>5.3353929999999998</v>
      </c>
      <c r="N227" s="562" t="s">
        <v>89</v>
      </c>
    </row>
    <row r="228" spans="1:23" s="1033" customFormat="1" ht="15.75" hidden="1" customHeight="1">
      <c r="A228" s="1044">
        <f>A223+1</f>
        <v>5</v>
      </c>
      <c r="B228" s="1030" t="s">
        <v>1012</v>
      </c>
      <c r="C228" s="1031">
        <v>8.75</v>
      </c>
      <c r="D228" s="1031">
        <v>6.58</v>
      </c>
      <c r="E228" s="1031"/>
      <c r="F228" s="1031"/>
      <c r="G228" s="1031"/>
      <c r="H228" s="1031"/>
      <c r="I228" s="1031"/>
      <c r="J228" s="1031"/>
      <c r="K228" s="1031"/>
      <c r="L228" s="1031">
        <v>2</v>
      </c>
      <c r="M228" s="1031">
        <f>C228*D228</f>
        <v>57.575000000000003</v>
      </c>
      <c r="N228" s="1032" t="s">
        <v>89</v>
      </c>
    </row>
    <row r="229" spans="1:23" s="1033" customFormat="1" ht="15.75" hidden="1" customHeight="1">
      <c r="A229" s="1044">
        <f>A228+1</f>
        <v>6</v>
      </c>
      <c r="B229" s="1030" t="s">
        <v>1418</v>
      </c>
      <c r="C229" s="1031"/>
      <c r="D229" s="1031"/>
      <c r="E229" s="1031"/>
      <c r="F229" s="1031"/>
      <c r="G229" s="1031"/>
      <c r="H229" s="1031"/>
      <c r="I229" s="1031"/>
      <c r="J229" s="1031"/>
      <c r="K229" s="1031"/>
      <c r="L229" s="1031"/>
      <c r="M229" s="1031">
        <f>M228</f>
        <v>57.575000000000003</v>
      </c>
      <c r="N229" s="1032" t="s">
        <v>89</v>
      </c>
    </row>
    <row r="230" spans="1:23" s="554" customFormat="1" ht="15.75" customHeight="1">
      <c r="A230" s="1003">
        <f>A223+1</f>
        <v>5</v>
      </c>
      <c r="B230" s="591" t="s">
        <v>443</v>
      </c>
      <c r="C230" s="592" t="s">
        <v>1023</v>
      </c>
      <c r="D230" s="348"/>
      <c r="E230" s="348"/>
      <c r="F230" s="348"/>
      <c r="G230" s="348"/>
      <c r="H230" s="348"/>
      <c r="I230" s="348"/>
      <c r="J230" s="348"/>
      <c r="K230" s="348"/>
      <c r="L230" s="348"/>
      <c r="M230" s="343"/>
      <c r="N230" s="1005"/>
      <c r="P230" s="398"/>
      <c r="Q230" s="564"/>
      <c r="R230" s="398"/>
      <c r="S230" s="398"/>
      <c r="T230" s="398"/>
      <c r="U230" s="555"/>
      <c r="V230" s="555"/>
      <c r="W230" s="555"/>
    </row>
    <row r="231" spans="1:23" s="554" customFormat="1" ht="37.5" customHeight="1">
      <c r="A231" s="355" t="s">
        <v>95</v>
      </c>
      <c r="B231" s="593" t="s">
        <v>537</v>
      </c>
      <c r="C231" s="592">
        <v>6.38</v>
      </c>
      <c r="D231" s="493"/>
      <c r="E231" s="348"/>
      <c r="F231" s="348"/>
      <c r="G231" s="348"/>
      <c r="H231" s="348"/>
      <c r="I231" s="348"/>
      <c r="J231" s="348">
        <v>8</v>
      </c>
      <c r="K231" s="348">
        <v>1</v>
      </c>
      <c r="L231" s="348">
        <v>1</v>
      </c>
      <c r="M231" s="343">
        <f>L231*K231*J231*C231</f>
        <v>51.04</v>
      </c>
      <c r="N231" s="1005" t="s">
        <v>89</v>
      </c>
      <c r="P231" s="398"/>
      <c r="Q231" s="564"/>
      <c r="R231" s="398"/>
      <c r="S231" s="398"/>
      <c r="T231" s="398"/>
      <c r="U231" s="555"/>
      <c r="V231" s="555"/>
      <c r="W231" s="555"/>
    </row>
    <row r="232" spans="1:23" s="554" customFormat="1" ht="28.5" customHeight="1">
      <c r="A232" s="355" t="s">
        <v>98</v>
      </c>
      <c r="B232" s="593" t="s">
        <v>538</v>
      </c>
      <c r="C232" s="348">
        <f>C245</f>
        <v>9.15</v>
      </c>
      <c r="D232" s="493"/>
      <c r="E232" s="348"/>
      <c r="F232" s="348"/>
      <c r="G232" s="348"/>
      <c r="H232" s="348"/>
      <c r="I232" s="348"/>
      <c r="J232" s="348"/>
      <c r="K232" s="348">
        <f>ROUNDUP((D236/0.5),0)</f>
        <v>9</v>
      </c>
      <c r="L232" s="348">
        <v>2</v>
      </c>
      <c r="M232" s="343">
        <f>L232*K232*C232</f>
        <v>164.70000000000002</v>
      </c>
      <c r="N232" s="1005" t="s">
        <v>117</v>
      </c>
      <c r="P232" s="398"/>
      <c r="Q232" s="564"/>
      <c r="R232" s="398"/>
      <c r="S232" s="398"/>
      <c r="T232" s="398"/>
      <c r="U232" s="555"/>
      <c r="V232" s="555"/>
      <c r="W232" s="555"/>
    </row>
    <row r="233" spans="1:23" s="554" customFormat="1" ht="15.75" customHeight="1">
      <c r="A233" s="355" t="s">
        <v>101</v>
      </c>
      <c r="B233" s="351" t="s">
        <v>823</v>
      </c>
      <c r="C233" s="348"/>
      <c r="D233" s="352"/>
      <c r="E233" s="348"/>
      <c r="F233" s="348"/>
      <c r="G233" s="348"/>
      <c r="H233" s="348"/>
      <c r="I233" s="348"/>
      <c r="J233" s="348"/>
      <c r="K233" s="348"/>
      <c r="L233" s="348"/>
      <c r="M233" s="565">
        <f>SUM(M234:M235)</f>
        <v>64</v>
      </c>
      <c r="N233" s="1005" t="s">
        <v>824</v>
      </c>
      <c r="P233" s="398"/>
      <c r="Q233" s="564"/>
      <c r="R233" s="398"/>
      <c r="S233" s="398"/>
      <c r="T233" s="398"/>
      <c r="U233" s="555"/>
      <c r="V233" s="555"/>
      <c r="W233" s="555"/>
    </row>
    <row r="234" spans="1:23" s="554" customFormat="1" ht="15.75" customHeight="1">
      <c r="A234" s="355"/>
      <c r="B234" s="589" t="s">
        <v>1024</v>
      </c>
      <c r="C234" s="348"/>
      <c r="D234" s="352"/>
      <c r="E234" s="348"/>
      <c r="F234" s="348">
        <v>2</v>
      </c>
      <c r="G234" s="348">
        <v>2</v>
      </c>
      <c r="H234" s="348">
        <v>2</v>
      </c>
      <c r="I234" s="348"/>
      <c r="J234" s="348"/>
      <c r="K234" s="348"/>
      <c r="L234" s="348">
        <f>J231</f>
        <v>8</v>
      </c>
      <c r="M234" s="343">
        <f>L234*H234*G234*F234</f>
        <v>64</v>
      </c>
      <c r="N234" s="1005" t="s">
        <v>824</v>
      </c>
      <c r="P234" s="398"/>
      <c r="Q234" s="564"/>
      <c r="R234" s="398"/>
      <c r="S234" s="398"/>
      <c r="T234" s="398"/>
      <c r="U234" s="555"/>
      <c r="V234" s="555"/>
      <c r="W234" s="555"/>
    </row>
    <row r="235" spans="1:23" s="554" customFormat="1" ht="15.75" customHeight="1">
      <c r="A235" s="355"/>
      <c r="B235" s="589" t="s">
        <v>1025</v>
      </c>
      <c r="C235" s="348"/>
      <c r="D235" s="352"/>
      <c r="E235" s="348"/>
      <c r="F235" s="348">
        <v>2</v>
      </c>
      <c r="G235" s="348">
        <v>5</v>
      </c>
      <c r="H235" s="348">
        <v>1</v>
      </c>
      <c r="I235" s="348"/>
      <c r="J235" s="348"/>
      <c r="K235" s="348"/>
      <c r="L235" s="348">
        <v>0</v>
      </c>
      <c r="M235" s="343">
        <f>L235*H235*G235*F235</f>
        <v>0</v>
      </c>
      <c r="N235" s="1005" t="s">
        <v>824</v>
      </c>
      <c r="P235" s="398"/>
      <c r="Q235" s="564"/>
      <c r="R235" s="398"/>
      <c r="S235" s="398"/>
      <c r="T235" s="398"/>
      <c r="U235" s="555"/>
      <c r="V235" s="555"/>
      <c r="W235" s="555"/>
    </row>
    <row r="236" spans="1:23" s="554" customFormat="1" ht="15.75" customHeight="1">
      <c r="A236" s="355" t="s">
        <v>121</v>
      </c>
      <c r="B236" s="351" t="s">
        <v>571</v>
      </c>
      <c r="C236" s="348">
        <v>9.25</v>
      </c>
      <c r="D236" s="594">
        <f>2.458+2.041</f>
        <v>4.4990000000000006</v>
      </c>
      <c r="E236" s="348"/>
      <c r="F236" s="348"/>
      <c r="G236" s="348"/>
      <c r="H236" s="348"/>
      <c r="I236" s="348"/>
      <c r="J236" s="348"/>
      <c r="K236" s="348"/>
      <c r="L236" s="348">
        <v>2</v>
      </c>
      <c r="M236" s="343">
        <f>L236*D236*C236</f>
        <v>83.231500000000011</v>
      </c>
      <c r="N236" s="1005" t="s">
        <v>89</v>
      </c>
      <c r="P236" s="398"/>
      <c r="Q236" s="564"/>
      <c r="R236" s="398"/>
      <c r="S236" s="398"/>
      <c r="T236" s="398"/>
      <c r="U236" s="555"/>
      <c r="V236" s="555"/>
      <c r="W236" s="555"/>
    </row>
    <row r="237" spans="1:23" s="554" customFormat="1" ht="15.75" customHeight="1">
      <c r="A237" s="355" t="s">
        <v>142</v>
      </c>
      <c r="B237" s="351" t="s">
        <v>447</v>
      </c>
      <c r="C237" s="348">
        <f>C236</f>
        <v>9.25</v>
      </c>
      <c r="D237" s="352"/>
      <c r="E237" s="348"/>
      <c r="F237" s="348"/>
      <c r="G237" s="348"/>
      <c r="H237" s="348"/>
      <c r="I237" s="348"/>
      <c r="J237" s="348"/>
      <c r="K237" s="348"/>
      <c r="L237" s="348"/>
      <c r="M237" s="343">
        <f>C237</f>
        <v>9.25</v>
      </c>
      <c r="N237" s="1005" t="s">
        <v>117</v>
      </c>
      <c r="P237" s="398"/>
      <c r="Q237" s="564"/>
      <c r="R237" s="398"/>
      <c r="S237" s="398"/>
      <c r="T237" s="398"/>
      <c r="U237" s="555"/>
      <c r="V237" s="555"/>
      <c r="W237" s="555"/>
    </row>
    <row r="238" spans="1:23" s="554" customFormat="1" ht="15.75" customHeight="1">
      <c r="A238" s="350"/>
      <c r="B238" s="567"/>
      <c r="C238" s="348"/>
      <c r="D238" s="348"/>
      <c r="E238" s="348"/>
      <c r="F238" s="348"/>
      <c r="G238" s="348"/>
      <c r="H238" s="348"/>
      <c r="I238" s="348"/>
      <c r="J238" s="348"/>
      <c r="K238" s="348"/>
      <c r="L238" s="348"/>
      <c r="M238" s="343"/>
      <c r="N238" s="1005"/>
      <c r="P238" s="398"/>
      <c r="Q238" s="564"/>
      <c r="R238" s="398"/>
      <c r="S238" s="398"/>
      <c r="T238" s="398"/>
      <c r="U238" s="555"/>
      <c r="V238" s="555"/>
      <c r="W238" s="555"/>
    </row>
    <row r="239" spans="1:23" s="554" customFormat="1" ht="15.75" customHeight="1">
      <c r="A239" s="350">
        <f>A230+1</f>
        <v>6</v>
      </c>
      <c r="B239" s="403" t="s">
        <v>1419</v>
      </c>
      <c r="C239" s="348"/>
      <c r="D239" s="348"/>
      <c r="E239" s="348"/>
      <c r="F239" s="348"/>
      <c r="G239" s="348"/>
      <c r="H239" s="348"/>
      <c r="I239" s="348"/>
      <c r="J239" s="348"/>
      <c r="K239" s="348"/>
      <c r="L239" s="348"/>
      <c r="M239" s="343"/>
      <c r="N239" s="1005"/>
      <c r="P239" s="398"/>
      <c r="Q239" s="564"/>
      <c r="R239" s="398"/>
      <c r="S239" s="398"/>
      <c r="T239" s="398"/>
      <c r="U239" s="555"/>
      <c r="V239" s="555"/>
      <c r="W239" s="555"/>
    </row>
    <row r="240" spans="1:23" s="554" customFormat="1" ht="15.75" customHeight="1">
      <c r="A240" s="350"/>
      <c r="B240" s="589" t="s">
        <v>1183</v>
      </c>
      <c r="C240" s="348">
        <v>7</v>
      </c>
      <c r="D240" s="348">
        <v>4.5</v>
      </c>
      <c r="E240" s="348"/>
      <c r="F240" s="348"/>
      <c r="G240" s="348"/>
      <c r="H240" s="348"/>
      <c r="I240" s="348"/>
      <c r="J240" s="348"/>
      <c r="K240" s="348"/>
      <c r="L240" s="348"/>
      <c r="M240" s="343">
        <f>C240*D240</f>
        <v>31.5</v>
      </c>
      <c r="N240" s="1005"/>
      <c r="P240" s="398"/>
      <c r="Q240" s="564"/>
      <c r="R240" s="398"/>
      <c r="S240" s="398"/>
      <c r="T240" s="398"/>
      <c r="U240" s="555"/>
      <c r="V240" s="555"/>
      <c r="W240" s="555"/>
    </row>
    <row r="241" spans="1:23" s="554" customFormat="1" ht="15.75" customHeight="1">
      <c r="A241" s="350"/>
      <c r="B241" s="589" t="s">
        <v>1182</v>
      </c>
      <c r="C241" s="348">
        <f>C245</f>
        <v>9.15</v>
      </c>
      <c r="D241" s="348">
        <v>1</v>
      </c>
      <c r="E241" s="348"/>
      <c r="F241" s="348"/>
      <c r="G241" s="348">
        <v>2</v>
      </c>
      <c r="H241" s="348"/>
      <c r="I241" s="348"/>
      <c r="J241" s="348"/>
      <c r="K241" s="348"/>
      <c r="L241" s="348"/>
      <c r="M241" s="343">
        <f>C241*D241*G241</f>
        <v>18.3</v>
      </c>
      <c r="N241" s="1005"/>
      <c r="P241" s="398"/>
      <c r="Q241" s="564"/>
      <c r="R241" s="398"/>
      <c r="S241" s="398"/>
      <c r="T241" s="398"/>
      <c r="U241" s="555"/>
      <c r="V241" s="555"/>
      <c r="W241" s="555"/>
    </row>
    <row r="242" spans="1:23" s="554" customFormat="1" ht="15.75" customHeight="1">
      <c r="A242" s="350"/>
      <c r="B242" s="403"/>
      <c r="C242" s="348">
        <f>D236</f>
        <v>4.4990000000000006</v>
      </c>
      <c r="D242" s="348">
        <v>1</v>
      </c>
      <c r="E242" s="348"/>
      <c r="F242" s="348"/>
      <c r="G242" s="348">
        <f>G241</f>
        <v>2</v>
      </c>
      <c r="H242" s="348"/>
      <c r="I242" s="348"/>
      <c r="J242" s="348"/>
      <c r="K242" s="348"/>
      <c r="L242" s="348"/>
      <c r="M242" s="565">
        <f>C242*D242*G242</f>
        <v>8.9980000000000011</v>
      </c>
      <c r="N242" s="1005"/>
      <c r="P242" s="398"/>
      <c r="Q242" s="564"/>
      <c r="R242" s="398"/>
      <c r="S242" s="398"/>
      <c r="T242" s="398"/>
      <c r="U242" s="555"/>
      <c r="V242" s="555"/>
      <c r="W242" s="555"/>
    </row>
    <row r="243" spans="1:23" s="986" customFormat="1" ht="15.75" customHeight="1">
      <c r="A243" s="1003">
        <f>A239+1</f>
        <v>7</v>
      </c>
      <c r="B243" s="993" t="s">
        <v>1297</v>
      </c>
      <c r="C243" s="994"/>
      <c r="D243" s="994"/>
      <c r="E243" s="994"/>
      <c r="F243" s="994"/>
      <c r="G243" s="994"/>
      <c r="H243" s="994"/>
      <c r="I243" s="994"/>
      <c r="J243" s="994"/>
      <c r="K243" s="994"/>
      <c r="L243" s="994"/>
      <c r="M243" s="1007">
        <f>SUM(M240:M242)</f>
        <v>58.798000000000002</v>
      </c>
      <c r="N243" s="1008" t="s">
        <v>89</v>
      </c>
    </row>
    <row r="244" spans="1:23" s="986" customFormat="1" ht="15.75" customHeight="1">
      <c r="A244" s="1003"/>
      <c r="B244" s="1014" t="s">
        <v>154</v>
      </c>
      <c r="C244" s="994">
        <f>D236-0.1</f>
        <v>4.3990000000000009</v>
      </c>
      <c r="D244" s="994"/>
      <c r="E244" s="994"/>
      <c r="F244" s="994"/>
      <c r="G244" s="994"/>
      <c r="H244" s="994"/>
      <c r="I244" s="994"/>
      <c r="J244" s="994">
        <v>2</v>
      </c>
      <c r="K244" s="994"/>
      <c r="L244" s="994">
        <v>2</v>
      </c>
      <c r="M244" s="994">
        <f>C244*J244*L244</f>
        <v>17.596000000000004</v>
      </c>
      <c r="N244" s="1005"/>
    </row>
    <row r="245" spans="1:23" s="986" customFormat="1" ht="15.75" customHeight="1">
      <c r="A245" s="1003"/>
      <c r="B245" s="1014" t="s">
        <v>155</v>
      </c>
      <c r="C245" s="994">
        <f>C236-0.1</f>
        <v>9.15</v>
      </c>
      <c r="D245" s="994"/>
      <c r="E245" s="994"/>
      <c r="F245" s="994"/>
      <c r="G245" s="994"/>
      <c r="H245" s="994"/>
      <c r="I245" s="994"/>
      <c r="J245" s="994">
        <f>J244</f>
        <v>2</v>
      </c>
      <c r="K245" s="994"/>
      <c r="L245" s="994"/>
      <c r="M245" s="1006">
        <f>C245*J245</f>
        <v>18.3</v>
      </c>
      <c r="N245" s="1005"/>
    </row>
    <row r="246" spans="1:23" s="986" customFormat="1" ht="15.75" customHeight="1">
      <c r="A246" s="1003"/>
      <c r="B246" s="993"/>
      <c r="C246" s="994"/>
      <c r="D246" s="994"/>
      <c r="E246" s="994"/>
      <c r="F246" s="994"/>
      <c r="G246" s="994"/>
      <c r="H246" s="994"/>
      <c r="I246" s="994"/>
      <c r="J246" s="994"/>
      <c r="K246" s="994"/>
      <c r="L246" s="994"/>
      <c r="M246" s="1007">
        <f>SUM(M244:M245)</f>
        <v>35.896000000000001</v>
      </c>
      <c r="N246" s="1008" t="s">
        <v>117</v>
      </c>
    </row>
    <row r="247" spans="1:23" s="986" customFormat="1" ht="15.75" customHeight="1">
      <c r="A247" s="1003">
        <f>A243+1</f>
        <v>8</v>
      </c>
      <c r="B247" s="993" t="s">
        <v>841</v>
      </c>
      <c r="C247" s="994">
        <f>M246</f>
        <v>35.896000000000001</v>
      </c>
      <c r="D247" s="994">
        <v>0.3</v>
      </c>
      <c r="E247" s="994"/>
      <c r="F247" s="994"/>
      <c r="G247" s="994"/>
      <c r="H247" s="994"/>
      <c r="I247" s="994"/>
      <c r="J247" s="994"/>
      <c r="K247" s="994"/>
      <c r="L247" s="994"/>
      <c r="M247" s="995">
        <f>C247*D247</f>
        <v>10.768800000000001</v>
      </c>
      <c r="N247" s="1005" t="s">
        <v>89</v>
      </c>
    </row>
    <row r="248" spans="1:23" s="986" customFormat="1" ht="15.75" customHeight="1">
      <c r="A248" s="1003">
        <f t="shared" ref="A248:A262" si="3">A247+1</f>
        <v>9</v>
      </c>
      <c r="B248" s="993" t="s">
        <v>1420</v>
      </c>
      <c r="C248" s="994"/>
      <c r="D248" s="994">
        <v>2.14</v>
      </c>
      <c r="E248" s="994">
        <v>2.17</v>
      </c>
      <c r="F248" s="994"/>
      <c r="G248" s="994"/>
      <c r="H248" s="994"/>
      <c r="I248" s="994"/>
      <c r="J248" s="994"/>
      <c r="K248" s="994"/>
      <c r="L248" s="994"/>
      <c r="M248" s="994">
        <f>D248*E248</f>
        <v>4.6437999999999997</v>
      </c>
      <c r="N248" s="1005" t="s">
        <v>89</v>
      </c>
    </row>
    <row r="249" spans="1:23" s="986" customFormat="1" ht="15.75" customHeight="1">
      <c r="A249" s="1003">
        <f t="shared" si="3"/>
        <v>10</v>
      </c>
      <c r="B249" s="993" t="s">
        <v>1421</v>
      </c>
      <c r="C249" s="994"/>
      <c r="D249" s="994">
        <v>1.5</v>
      </c>
      <c r="E249" s="994">
        <v>0.8</v>
      </c>
      <c r="F249" s="994"/>
      <c r="G249" s="994"/>
      <c r="H249" s="994"/>
      <c r="I249" s="994"/>
      <c r="J249" s="994"/>
      <c r="K249" s="994"/>
      <c r="L249" s="994">
        <v>2</v>
      </c>
      <c r="M249" s="994">
        <f>D249*E249*L249</f>
        <v>2.4000000000000004</v>
      </c>
      <c r="N249" s="1005" t="s">
        <v>89</v>
      </c>
    </row>
    <row r="250" spans="1:23" s="986" customFormat="1" ht="75.75" customHeight="1">
      <c r="A250" s="1003">
        <f t="shared" si="3"/>
        <v>11</v>
      </c>
      <c r="B250" s="1045" t="s">
        <v>1422</v>
      </c>
      <c r="C250" s="994"/>
      <c r="D250" s="994"/>
      <c r="E250" s="994"/>
      <c r="F250" s="994"/>
      <c r="G250" s="994"/>
      <c r="H250" s="994"/>
      <c r="I250" s="994"/>
      <c r="J250" s="994"/>
      <c r="K250" s="994"/>
      <c r="L250" s="994">
        <v>1</v>
      </c>
      <c r="M250" s="994">
        <f>L250</f>
        <v>1</v>
      </c>
      <c r="N250" s="1005" t="s">
        <v>360</v>
      </c>
    </row>
    <row r="251" spans="1:23" s="986" customFormat="1" ht="15.75" customHeight="1">
      <c r="A251" s="1003">
        <f t="shared" si="3"/>
        <v>12</v>
      </c>
      <c r="B251" s="993" t="s">
        <v>844</v>
      </c>
      <c r="C251" s="994" t="s">
        <v>1405</v>
      </c>
      <c r="D251" s="994"/>
      <c r="E251" s="994"/>
      <c r="F251" s="994"/>
      <c r="G251" s="994"/>
      <c r="H251" s="994"/>
      <c r="I251" s="994"/>
      <c r="J251" s="994"/>
      <c r="K251" s="994"/>
      <c r="L251" s="994"/>
      <c r="M251" s="994">
        <f>M218</f>
        <v>115.64219999999999</v>
      </c>
      <c r="N251" s="1005" t="s">
        <v>89</v>
      </c>
    </row>
    <row r="252" spans="1:23" s="986" customFormat="1" ht="15.75" customHeight="1">
      <c r="A252" s="1003">
        <f t="shared" si="3"/>
        <v>13</v>
      </c>
      <c r="B252" s="351" t="s">
        <v>458</v>
      </c>
      <c r="C252" s="1046"/>
      <c r="D252" s="1046"/>
      <c r="E252" s="1046"/>
      <c r="F252" s="1046"/>
      <c r="G252" s="1046"/>
      <c r="H252" s="1046"/>
      <c r="I252" s="1046"/>
      <c r="J252" s="1046"/>
      <c r="K252" s="330">
        <v>6</v>
      </c>
      <c r="L252" s="1046"/>
      <c r="M252" s="1046">
        <f t="shared" ref="M252:M262" si="4">K252</f>
        <v>6</v>
      </c>
      <c r="N252" s="1047" t="s">
        <v>357</v>
      </c>
    </row>
    <row r="253" spans="1:23" s="986" customFormat="1" ht="15.75" customHeight="1">
      <c r="A253" s="1003">
        <f t="shared" si="3"/>
        <v>14</v>
      </c>
      <c r="B253" s="351" t="s">
        <v>718</v>
      </c>
      <c r="C253" s="1046"/>
      <c r="D253" s="1046"/>
      <c r="E253" s="1046"/>
      <c r="F253" s="1046"/>
      <c r="G253" s="1046"/>
      <c r="H253" s="1046"/>
      <c r="I253" s="1046"/>
      <c r="J253" s="1046"/>
      <c r="K253" s="330">
        <v>4</v>
      </c>
      <c r="L253" s="1046"/>
      <c r="M253" s="1046">
        <f t="shared" si="4"/>
        <v>4</v>
      </c>
      <c r="N253" s="1047" t="s">
        <v>357</v>
      </c>
    </row>
    <row r="254" spans="1:23" s="986" customFormat="1" ht="15.75" customHeight="1">
      <c r="A254" s="1003">
        <f t="shared" si="3"/>
        <v>15</v>
      </c>
      <c r="B254" s="366" t="s">
        <v>846</v>
      </c>
      <c r="C254" s="1046"/>
      <c r="D254" s="1046"/>
      <c r="E254" s="1046"/>
      <c r="F254" s="1046"/>
      <c r="G254" s="1046"/>
      <c r="H254" s="1046"/>
      <c r="I254" s="1046"/>
      <c r="J254" s="1046"/>
      <c r="K254" s="401">
        <v>1</v>
      </c>
      <c r="L254" s="1046"/>
      <c r="M254" s="1046">
        <f t="shared" si="4"/>
        <v>1</v>
      </c>
      <c r="N254" s="1047" t="s">
        <v>357</v>
      </c>
    </row>
    <row r="255" spans="1:23" s="986" customFormat="1" ht="15.75" customHeight="1">
      <c r="A255" s="1003">
        <f t="shared" si="3"/>
        <v>16</v>
      </c>
      <c r="B255" s="366" t="s">
        <v>615</v>
      </c>
      <c r="C255" s="1046"/>
      <c r="D255" s="1046"/>
      <c r="E255" s="1046"/>
      <c r="F255" s="1046"/>
      <c r="G255" s="1046"/>
      <c r="H255" s="1046"/>
      <c r="I255" s="1046"/>
      <c r="J255" s="1046"/>
      <c r="K255" s="401">
        <f>K253</f>
        <v>4</v>
      </c>
      <c r="L255" s="1046"/>
      <c r="M255" s="1046">
        <f t="shared" si="4"/>
        <v>4</v>
      </c>
      <c r="N255" s="1047" t="s">
        <v>357</v>
      </c>
    </row>
    <row r="256" spans="1:23" s="986" customFormat="1" ht="15.75" customHeight="1">
      <c r="A256" s="1003">
        <f t="shared" si="3"/>
        <v>17</v>
      </c>
      <c r="B256" s="351" t="s">
        <v>547</v>
      </c>
      <c r="C256" s="1046"/>
      <c r="D256" s="1046"/>
      <c r="E256" s="1046"/>
      <c r="F256" s="1046"/>
      <c r="G256" s="1046"/>
      <c r="H256" s="1046"/>
      <c r="I256" s="1046"/>
      <c r="J256" s="1046"/>
      <c r="K256" s="1048">
        <f>K252</f>
        <v>6</v>
      </c>
      <c r="L256" s="1046"/>
      <c r="M256" s="1046">
        <f t="shared" si="4"/>
        <v>6</v>
      </c>
      <c r="N256" s="1047" t="s">
        <v>124</v>
      </c>
    </row>
    <row r="257" spans="1:14" s="986" customFormat="1" ht="15.75" customHeight="1">
      <c r="A257" s="1003">
        <f t="shared" si="3"/>
        <v>18</v>
      </c>
      <c r="B257" s="457" t="s">
        <v>847</v>
      </c>
      <c r="C257" s="1046"/>
      <c r="D257" s="1046"/>
      <c r="E257" s="1046"/>
      <c r="F257" s="1046"/>
      <c r="G257" s="1046"/>
      <c r="H257" s="1046"/>
      <c r="I257" s="1046"/>
      <c r="J257" s="1046"/>
      <c r="K257" s="401">
        <v>1</v>
      </c>
      <c r="L257" s="1046"/>
      <c r="M257" s="1046">
        <f t="shared" si="4"/>
        <v>1</v>
      </c>
      <c r="N257" s="1047" t="s">
        <v>124</v>
      </c>
    </row>
    <row r="258" spans="1:14" s="986" customFormat="1" ht="15.75" customHeight="1">
      <c r="A258" s="1003">
        <f t="shared" si="3"/>
        <v>19</v>
      </c>
      <c r="B258" s="351" t="s">
        <v>1423</v>
      </c>
      <c r="C258" s="351"/>
      <c r="D258" s="351"/>
      <c r="E258" s="351"/>
      <c r="F258" s="351"/>
      <c r="G258" s="351"/>
      <c r="H258" s="1046"/>
      <c r="I258" s="1046"/>
      <c r="J258" s="1046"/>
      <c r="K258" s="401">
        <v>1</v>
      </c>
      <c r="L258" s="1046"/>
      <c r="M258" s="1046">
        <f t="shared" si="4"/>
        <v>1</v>
      </c>
      <c r="N258" s="1047" t="s">
        <v>360</v>
      </c>
    </row>
    <row r="259" spans="1:14" s="986" customFormat="1" ht="15.75" customHeight="1">
      <c r="A259" s="1003">
        <f t="shared" si="3"/>
        <v>20</v>
      </c>
      <c r="B259" s="363" t="s">
        <v>1424</v>
      </c>
      <c r="C259" s="363"/>
      <c r="D259" s="363"/>
      <c r="E259" s="363"/>
      <c r="F259" s="363"/>
      <c r="G259" s="363"/>
      <c r="H259" s="1046"/>
      <c r="I259" s="1046"/>
      <c r="J259" s="1046"/>
      <c r="K259" s="401">
        <v>1</v>
      </c>
      <c r="L259" s="1046"/>
      <c r="M259" s="1046">
        <f t="shared" si="4"/>
        <v>1</v>
      </c>
      <c r="N259" s="1047" t="s">
        <v>360</v>
      </c>
    </row>
    <row r="260" spans="1:14" s="986" customFormat="1" ht="15.75" customHeight="1">
      <c r="A260" s="1003">
        <f t="shared" si="3"/>
        <v>21</v>
      </c>
      <c r="B260" s="363" t="s">
        <v>1425</v>
      </c>
      <c r="C260" s="363"/>
      <c r="D260" s="363"/>
      <c r="E260" s="363"/>
      <c r="F260" s="363"/>
      <c r="G260" s="363"/>
      <c r="H260" s="1046"/>
      <c r="I260" s="1046"/>
      <c r="J260" s="1046"/>
      <c r="K260" s="401">
        <v>1</v>
      </c>
      <c r="L260" s="1046"/>
      <c r="M260" s="1046">
        <f t="shared" si="4"/>
        <v>1</v>
      </c>
      <c r="N260" s="1047" t="s">
        <v>360</v>
      </c>
    </row>
    <row r="261" spans="1:14" s="986" customFormat="1" ht="15.75" customHeight="1">
      <c r="A261" s="1003">
        <f t="shared" si="3"/>
        <v>22</v>
      </c>
      <c r="B261" s="363" t="s">
        <v>1426</v>
      </c>
      <c r="C261" s="363"/>
      <c r="D261" s="363"/>
      <c r="E261" s="363"/>
      <c r="F261" s="363"/>
      <c r="G261" s="363"/>
      <c r="H261" s="1046"/>
      <c r="I261" s="1046"/>
      <c r="J261" s="1046"/>
      <c r="K261" s="401">
        <v>1</v>
      </c>
      <c r="L261" s="1046"/>
      <c r="M261" s="1046">
        <f t="shared" si="4"/>
        <v>1</v>
      </c>
      <c r="N261" s="1047" t="s">
        <v>360</v>
      </c>
    </row>
    <row r="262" spans="1:14" s="986" customFormat="1" ht="15.75" customHeight="1">
      <c r="A262" s="1003">
        <f t="shared" si="3"/>
        <v>23</v>
      </c>
      <c r="B262" s="1049" t="s">
        <v>1427</v>
      </c>
      <c r="C262" s="1046"/>
      <c r="D262" s="1046"/>
      <c r="E262" s="1046"/>
      <c r="F262" s="1046"/>
      <c r="G262" s="1046"/>
      <c r="H262" s="1046"/>
      <c r="I262" s="1046"/>
      <c r="J262" s="1046"/>
      <c r="K262" s="401">
        <v>1</v>
      </c>
      <c r="L262" s="1046"/>
      <c r="M262" s="1046">
        <f t="shared" si="4"/>
        <v>1</v>
      </c>
      <c r="N262" s="1047" t="s">
        <v>360</v>
      </c>
    </row>
    <row r="263" spans="1:14" s="986" customFormat="1" ht="15.75" customHeight="1">
      <c r="A263" s="1050"/>
      <c r="B263" s="1051"/>
      <c r="C263" s="1052"/>
      <c r="D263" s="1052"/>
      <c r="E263" s="1052"/>
      <c r="F263" s="1052"/>
      <c r="G263" s="1052"/>
      <c r="H263" s="1052"/>
      <c r="I263" s="1052"/>
      <c r="J263" s="1052"/>
      <c r="K263" s="1052"/>
      <c r="L263" s="1052"/>
      <c r="M263" s="1052"/>
      <c r="N263" s="1053"/>
    </row>
    <row r="264" spans="1:14" s="986" customFormat="1" ht="15.75" customHeight="1">
      <c r="A264" s="978"/>
      <c r="B264" s="978"/>
      <c r="C264" s="1054"/>
      <c r="D264" s="1054"/>
      <c r="E264" s="1054"/>
      <c r="F264" s="1054"/>
      <c r="G264" s="1054"/>
      <c r="H264" s="1054"/>
      <c r="I264" s="1054"/>
      <c r="J264" s="1054"/>
      <c r="K264" s="1054"/>
      <c r="L264" s="1054"/>
      <c r="M264" s="1054"/>
      <c r="N264" s="978"/>
    </row>
    <row r="265" spans="1:14" s="986" customFormat="1" ht="15.75" customHeight="1">
      <c r="A265" s="978"/>
      <c r="B265" s="978"/>
      <c r="C265" s="1054"/>
      <c r="D265" s="1054"/>
      <c r="E265" s="1054"/>
      <c r="F265" s="1054"/>
      <c r="G265" s="1054"/>
      <c r="H265" s="1054"/>
      <c r="I265" s="1054"/>
      <c r="J265" s="1054"/>
      <c r="K265" s="1054"/>
      <c r="L265" s="1054"/>
      <c r="M265" s="1054"/>
      <c r="N265" s="978"/>
    </row>
    <row r="266" spans="1:14" s="986" customFormat="1" ht="15.75" customHeight="1">
      <c r="A266" s="978"/>
      <c r="B266" s="978"/>
      <c r="C266" s="1054"/>
      <c r="D266" s="1054"/>
      <c r="E266" s="1054"/>
      <c r="F266" s="1054"/>
      <c r="G266" s="1054"/>
      <c r="H266" s="1054"/>
      <c r="I266" s="1054"/>
      <c r="J266" s="1054"/>
      <c r="K266" s="1054"/>
      <c r="L266" s="1054"/>
      <c r="M266" s="1054"/>
      <c r="N266" s="978"/>
    </row>
    <row r="267" spans="1:14" s="986" customFormat="1" ht="15.75" customHeight="1">
      <c r="A267" s="978"/>
      <c r="B267" s="978"/>
      <c r="C267" s="1054"/>
      <c r="D267" s="1054"/>
      <c r="E267" s="1054"/>
      <c r="F267" s="1054"/>
      <c r="G267" s="1054"/>
      <c r="H267" s="1054"/>
      <c r="I267" s="1054"/>
      <c r="J267" s="1054"/>
      <c r="K267" s="1054"/>
      <c r="L267" s="1054"/>
      <c r="M267" s="1054"/>
      <c r="N267" s="978"/>
    </row>
    <row r="268" spans="1:14" s="986" customFormat="1" ht="15.75" customHeight="1">
      <c r="A268" s="978"/>
      <c r="B268" s="978"/>
      <c r="C268" s="1054"/>
      <c r="D268" s="1054"/>
      <c r="E268" s="1054"/>
      <c r="F268" s="1054"/>
      <c r="G268" s="1054"/>
      <c r="H268" s="1054"/>
      <c r="I268" s="1054"/>
      <c r="J268" s="1054"/>
      <c r="K268" s="1054"/>
      <c r="L268" s="1054"/>
      <c r="M268" s="1054"/>
      <c r="N268" s="978"/>
    </row>
    <row r="269" spans="1:14" s="986" customFormat="1" ht="15.75" customHeight="1">
      <c r="A269" s="978"/>
      <c r="B269" s="978"/>
      <c r="C269" s="1054"/>
      <c r="D269" s="1054"/>
      <c r="E269" s="1054"/>
      <c r="F269" s="1054"/>
      <c r="G269" s="1054"/>
      <c r="H269" s="1054"/>
      <c r="I269" s="1054"/>
      <c r="J269" s="1054"/>
      <c r="K269" s="1054"/>
      <c r="L269" s="1054"/>
      <c r="M269" s="1054"/>
      <c r="N269" s="978"/>
    </row>
    <row r="270" spans="1:14" s="986" customFormat="1" ht="15.75" customHeight="1">
      <c r="A270" s="978"/>
      <c r="B270" s="978"/>
      <c r="C270" s="1054"/>
      <c r="D270" s="1054"/>
      <c r="E270" s="1054"/>
      <c r="F270" s="1054"/>
      <c r="G270" s="1054"/>
      <c r="H270" s="1054"/>
      <c r="I270" s="1054"/>
      <c r="J270" s="1054"/>
      <c r="K270" s="1054"/>
      <c r="L270" s="1054"/>
      <c r="M270" s="1054"/>
      <c r="N270" s="978"/>
    </row>
    <row r="271" spans="1:14" s="986" customFormat="1" ht="15.75" customHeight="1">
      <c r="A271" s="978"/>
      <c r="B271" s="978"/>
      <c r="C271" s="1054"/>
      <c r="D271" s="1054"/>
      <c r="E271" s="1054"/>
      <c r="F271" s="1054"/>
      <c r="G271" s="1054"/>
      <c r="H271" s="1054"/>
      <c r="I271" s="1054"/>
      <c r="J271" s="1054"/>
      <c r="K271" s="1054"/>
      <c r="L271" s="1054"/>
      <c r="M271" s="1054"/>
      <c r="N271" s="978"/>
    </row>
    <row r="272" spans="1:14" s="986" customFormat="1" ht="15.75" customHeight="1">
      <c r="A272" s="978"/>
      <c r="B272" s="978"/>
      <c r="C272" s="1054"/>
      <c r="D272" s="1054"/>
      <c r="E272" s="1054"/>
      <c r="F272" s="1054"/>
      <c r="G272" s="1054"/>
      <c r="H272" s="1054"/>
      <c r="I272" s="1054"/>
      <c r="J272" s="1054"/>
      <c r="K272" s="1054"/>
      <c r="L272" s="1054"/>
      <c r="M272" s="1054"/>
      <c r="N272" s="978"/>
    </row>
    <row r="273" spans="1:14" s="986" customFormat="1" ht="15.75" customHeight="1">
      <c r="A273" s="978"/>
      <c r="B273" s="978"/>
      <c r="C273" s="1054"/>
      <c r="D273" s="1054"/>
      <c r="E273" s="1054"/>
      <c r="F273" s="1054"/>
      <c r="G273" s="1054"/>
      <c r="H273" s="1054"/>
      <c r="I273" s="1054"/>
      <c r="J273" s="1054"/>
      <c r="K273" s="1054"/>
      <c r="L273" s="1054"/>
      <c r="M273" s="1054"/>
      <c r="N273" s="978"/>
    </row>
    <row r="274" spans="1:14" s="986" customFormat="1" ht="15.75" customHeight="1">
      <c r="A274" s="978"/>
      <c r="B274" s="978"/>
      <c r="C274" s="1054"/>
      <c r="D274" s="1054"/>
      <c r="E274" s="1054"/>
      <c r="F274" s="1054"/>
      <c r="G274" s="1054"/>
      <c r="H274" s="1054"/>
      <c r="I274" s="1054"/>
      <c r="J274" s="1054"/>
      <c r="K274" s="1054"/>
      <c r="L274" s="1054"/>
      <c r="M274" s="1054"/>
      <c r="N274" s="978"/>
    </row>
    <row r="275" spans="1:14" s="986" customFormat="1" ht="15.75" customHeight="1">
      <c r="A275" s="978"/>
      <c r="B275" s="978"/>
      <c r="C275" s="1054"/>
      <c r="D275" s="1054"/>
      <c r="E275" s="1054"/>
      <c r="F275" s="1054"/>
      <c r="G275" s="1054"/>
      <c r="H275" s="1054"/>
      <c r="I275" s="1054"/>
      <c r="J275" s="1054"/>
      <c r="K275" s="1054"/>
      <c r="L275" s="1054"/>
      <c r="M275" s="1054"/>
      <c r="N275" s="978"/>
    </row>
    <row r="276" spans="1:14" s="986" customFormat="1" ht="15.75" customHeight="1">
      <c r="A276" s="978"/>
      <c r="B276" s="978"/>
      <c r="C276" s="1054"/>
      <c r="D276" s="1054"/>
      <c r="E276" s="1054"/>
      <c r="F276" s="1054"/>
      <c r="G276" s="1054"/>
      <c r="H276" s="1054"/>
      <c r="I276" s="1054"/>
      <c r="J276" s="1054"/>
      <c r="K276" s="1054"/>
      <c r="L276" s="1054"/>
      <c r="M276" s="1054"/>
      <c r="N276" s="978"/>
    </row>
    <row r="277" spans="1:14" s="986" customFormat="1" ht="15.75" customHeight="1">
      <c r="A277" s="978"/>
      <c r="B277" s="978"/>
      <c r="C277" s="1054"/>
      <c r="D277" s="1054"/>
      <c r="E277" s="1054"/>
      <c r="F277" s="1054"/>
      <c r="G277" s="1054"/>
      <c r="H277" s="1054"/>
      <c r="I277" s="1054"/>
      <c r="J277" s="1054"/>
      <c r="K277" s="1054"/>
      <c r="L277" s="1054"/>
      <c r="M277" s="1054"/>
      <c r="N277" s="978"/>
    </row>
    <row r="278" spans="1:14" s="986" customFormat="1" ht="15.75" customHeight="1">
      <c r="A278" s="978"/>
      <c r="B278" s="978"/>
      <c r="C278" s="1054"/>
      <c r="D278" s="1054"/>
      <c r="E278" s="1054"/>
      <c r="F278" s="1054"/>
      <c r="G278" s="1054"/>
      <c r="H278" s="1054"/>
      <c r="I278" s="1054"/>
      <c r="J278" s="1054"/>
      <c r="K278" s="1054"/>
      <c r="L278" s="1054"/>
      <c r="M278" s="1054"/>
      <c r="N278" s="978"/>
    </row>
    <row r="279" spans="1:14" s="986" customFormat="1" ht="15.75" customHeight="1">
      <c r="A279" s="978"/>
      <c r="B279" s="978"/>
      <c r="C279" s="1054"/>
      <c r="D279" s="1054"/>
      <c r="E279" s="1054"/>
      <c r="F279" s="1054"/>
      <c r="G279" s="1054"/>
      <c r="H279" s="1054"/>
      <c r="I279" s="1054"/>
      <c r="J279" s="1054"/>
      <c r="K279" s="1054"/>
      <c r="L279" s="1054"/>
      <c r="M279" s="1054"/>
      <c r="N279" s="978"/>
    </row>
    <row r="280" spans="1:14" s="986" customFormat="1" ht="15.75" customHeight="1">
      <c r="A280" s="978"/>
      <c r="B280" s="978"/>
      <c r="C280" s="1054"/>
      <c r="D280" s="1054"/>
      <c r="E280" s="1054"/>
      <c r="F280" s="1054"/>
      <c r="G280" s="1054"/>
      <c r="H280" s="1054"/>
      <c r="I280" s="1054"/>
      <c r="J280" s="1054"/>
      <c r="K280" s="1054"/>
      <c r="L280" s="1054"/>
      <c r="M280" s="1054"/>
      <c r="N280" s="978"/>
    </row>
    <row r="281" spans="1:14" s="986" customFormat="1" ht="15.75" customHeight="1">
      <c r="A281" s="978"/>
      <c r="B281" s="978"/>
      <c r="C281" s="1054"/>
      <c r="D281" s="1054"/>
      <c r="E281" s="1054"/>
      <c r="F281" s="1054"/>
      <c r="G281" s="1054"/>
      <c r="H281" s="1054"/>
      <c r="I281" s="1054"/>
      <c r="J281" s="1054"/>
      <c r="K281" s="1054"/>
      <c r="L281" s="1054"/>
      <c r="M281" s="1054"/>
      <c r="N281" s="978"/>
    </row>
    <row r="282" spans="1:14" s="986" customFormat="1" ht="15.75" customHeight="1">
      <c r="A282" s="978"/>
      <c r="B282" s="978"/>
      <c r="C282" s="1054"/>
      <c r="D282" s="1054"/>
      <c r="E282" s="1054"/>
      <c r="F282" s="1054"/>
      <c r="G282" s="1054"/>
      <c r="H282" s="1054"/>
      <c r="I282" s="1054"/>
      <c r="J282" s="1054"/>
      <c r="K282" s="1054"/>
      <c r="L282" s="1054"/>
      <c r="M282" s="1054"/>
      <c r="N282" s="978"/>
    </row>
    <row r="283" spans="1:14" s="986" customFormat="1" ht="15.75" customHeight="1">
      <c r="A283" s="978"/>
      <c r="B283" s="978"/>
      <c r="C283" s="1054"/>
      <c r="D283" s="1054"/>
      <c r="E283" s="1054"/>
      <c r="F283" s="1054"/>
      <c r="G283" s="1054"/>
      <c r="H283" s="1054"/>
      <c r="I283" s="1054"/>
      <c r="J283" s="1054"/>
      <c r="K283" s="1054"/>
      <c r="L283" s="1054"/>
      <c r="M283" s="1054"/>
      <c r="N283" s="978"/>
    </row>
    <row r="284" spans="1:14" s="986" customFormat="1" ht="15.75" customHeight="1">
      <c r="A284" s="978"/>
      <c r="B284" s="978"/>
      <c r="C284" s="1054"/>
      <c r="D284" s="1054"/>
      <c r="E284" s="1054"/>
      <c r="F284" s="1054"/>
      <c r="G284" s="1054"/>
      <c r="H284" s="1054"/>
      <c r="I284" s="1054"/>
      <c r="J284" s="1054"/>
      <c r="K284" s="1054"/>
      <c r="L284" s="1054"/>
      <c r="M284" s="1054"/>
      <c r="N284" s="978"/>
    </row>
    <row r="285" spans="1:14" s="986" customFormat="1" ht="15.75" customHeight="1">
      <c r="A285" s="978"/>
      <c r="B285" s="978"/>
      <c r="C285" s="1054"/>
      <c r="D285" s="1054"/>
      <c r="E285" s="1054"/>
      <c r="F285" s="1054"/>
      <c r="G285" s="1054"/>
      <c r="H285" s="1054"/>
      <c r="I285" s="1054"/>
      <c r="J285" s="1054"/>
      <c r="K285" s="1054"/>
      <c r="L285" s="1054"/>
      <c r="M285" s="1054"/>
      <c r="N285" s="978"/>
    </row>
    <row r="286" spans="1:14" s="986" customFormat="1" ht="15.75" customHeight="1">
      <c r="A286" s="978"/>
      <c r="B286" s="978"/>
      <c r="C286" s="1054"/>
      <c r="D286" s="1054"/>
      <c r="E286" s="1054"/>
      <c r="F286" s="1054"/>
      <c r="G286" s="1054"/>
      <c r="H286" s="1054"/>
      <c r="I286" s="1054"/>
      <c r="J286" s="1054"/>
      <c r="K286" s="1054"/>
      <c r="L286" s="1054"/>
      <c r="M286" s="1054"/>
      <c r="N286" s="978"/>
    </row>
    <row r="287" spans="1:14" s="986" customFormat="1" ht="15.75" customHeight="1">
      <c r="A287" s="978"/>
      <c r="B287" s="978"/>
      <c r="C287" s="1054"/>
      <c r="D287" s="1054"/>
      <c r="E287" s="1054"/>
      <c r="F287" s="1054"/>
      <c r="G287" s="1054"/>
      <c r="H287" s="1054"/>
      <c r="I287" s="1054"/>
      <c r="J287" s="1054"/>
      <c r="K287" s="1054"/>
      <c r="L287" s="1054"/>
      <c r="M287" s="1054"/>
      <c r="N287" s="978"/>
    </row>
    <row r="288" spans="1:14" s="986" customFormat="1" ht="15.75" customHeight="1">
      <c r="A288" s="978"/>
      <c r="B288" s="978"/>
      <c r="C288" s="1054"/>
      <c r="D288" s="1054"/>
      <c r="E288" s="1054"/>
      <c r="F288" s="1054"/>
      <c r="G288" s="1054"/>
      <c r="H288" s="1054"/>
      <c r="I288" s="1054"/>
      <c r="J288" s="1054"/>
      <c r="K288" s="1054"/>
      <c r="L288" s="1054"/>
      <c r="M288" s="1054"/>
      <c r="N288" s="978"/>
    </row>
    <row r="289" spans="1:14" s="986" customFormat="1" ht="15.75" customHeight="1">
      <c r="A289" s="978"/>
      <c r="B289" s="978"/>
      <c r="C289" s="1054"/>
      <c r="D289" s="1054"/>
      <c r="E289" s="1054"/>
      <c r="F289" s="1054"/>
      <c r="G289" s="1054"/>
      <c r="H289" s="1054"/>
      <c r="I289" s="1054"/>
      <c r="J289" s="1054"/>
      <c r="K289" s="1054"/>
      <c r="L289" s="1054"/>
      <c r="M289" s="1054"/>
      <c r="N289" s="978"/>
    </row>
    <row r="290" spans="1:14" s="986" customFormat="1" ht="15.75" customHeight="1">
      <c r="A290" s="978"/>
      <c r="B290" s="978"/>
      <c r="C290" s="1054"/>
      <c r="D290" s="1054"/>
      <c r="E290" s="1054"/>
      <c r="F290" s="1054"/>
      <c r="G290" s="1054"/>
      <c r="H290" s="1054"/>
      <c r="I290" s="1054"/>
      <c r="J290" s="1054"/>
      <c r="K290" s="1054"/>
      <c r="L290" s="1054"/>
      <c r="M290" s="1054"/>
      <c r="N290" s="978"/>
    </row>
    <row r="291" spans="1:14" s="986" customFormat="1" ht="15.75" customHeight="1">
      <c r="A291" s="978"/>
      <c r="B291" s="978"/>
      <c r="C291" s="1054"/>
      <c r="D291" s="1054"/>
      <c r="E291" s="1054"/>
      <c r="F291" s="1054"/>
      <c r="G291" s="1054"/>
      <c r="H291" s="1054"/>
      <c r="I291" s="1054"/>
      <c r="J291" s="1054"/>
      <c r="K291" s="1054"/>
      <c r="L291" s="1054"/>
      <c r="M291" s="1054"/>
      <c r="N291" s="978"/>
    </row>
    <row r="292" spans="1:14" s="986" customFormat="1" ht="15.75" customHeight="1">
      <c r="A292" s="978"/>
      <c r="B292" s="978"/>
      <c r="C292" s="1054"/>
      <c r="D292" s="1054"/>
      <c r="E292" s="1054"/>
      <c r="F292" s="1054"/>
      <c r="G292" s="1054"/>
      <c r="H292" s="1054"/>
      <c r="I292" s="1054"/>
      <c r="J292" s="1054"/>
      <c r="K292" s="1054"/>
      <c r="L292" s="1054"/>
      <c r="M292" s="1054"/>
      <c r="N292" s="978"/>
    </row>
    <row r="293" spans="1:14" s="986" customFormat="1" ht="15.75" customHeight="1">
      <c r="A293" s="978"/>
      <c r="B293" s="978"/>
      <c r="C293" s="1054"/>
      <c r="D293" s="1054"/>
      <c r="E293" s="1054"/>
      <c r="F293" s="1054"/>
      <c r="G293" s="1054"/>
      <c r="H293" s="1054"/>
      <c r="I293" s="1054"/>
      <c r="J293" s="1054"/>
      <c r="K293" s="1054"/>
      <c r="L293" s="1054"/>
      <c r="M293" s="1054"/>
      <c r="N293" s="978"/>
    </row>
    <row r="294" spans="1:14" s="986" customFormat="1" ht="15.75" customHeight="1">
      <c r="A294" s="978"/>
      <c r="B294" s="978"/>
      <c r="C294" s="1054"/>
      <c r="D294" s="1054"/>
      <c r="E294" s="1054"/>
      <c r="F294" s="1054"/>
      <c r="G294" s="1054"/>
      <c r="H294" s="1054"/>
      <c r="I294" s="1054"/>
      <c r="J294" s="1054"/>
      <c r="K294" s="1054"/>
      <c r="L294" s="1054"/>
      <c r="M294" s="1054"/>
      <c r="N294" s="978"/>
    </row>
    <row r="295" spans="1:14" s="986" customFormat="1" ht="15.75" customHeight="1">
      <c r="A295" s="978"/>
      <c r="B295" s="978"/>
      <c r="C295" s="1054"/>
      <c r="D295" s="1054"/>
      <c r="E295" s="1054"/>
      <c r="F295" s="1054"/>
      <c r="G295" s="1054"/>
      <c r="H295" s="1054"/>
      <c r="I295" s="1054"/>
      <c r="J295" s="1054"/>
      <c r="K295" s="1054"/>
      <c r="L295" s="1054"/>
      <c r="M295" s="1054"/>
      <c r="N295" s="978"/>
    </row>
    <row r="296" spans="1:14" s="986" customFormat="1" ht="15.75" customHeight="1">
      <c r="A296" s="978"/>
      <c r="B296" s="978"/>
      <c r="C296" s="1054"/>
      <c r="D296" s="1054"/>
      <c r="E296" s="1054"/>
      <c r="F296" s="1054"/>
      <c r="G296" s="1054"/>
      <c r="H296" s="1054"/>
      <c r="I296" s="1054"/>
      <c r="J296" s="1054"/>
      <c r="K296" s="1054"/>
      <c r="L296" s="1054"/>
      <c r="M296" s="1054"/>
      <c r="N296" s="978"/>
    </row>
    <row r="297" spans="1:14" s="986" customFormat="1" ht="15.75" customHeight="1">
      <c r="A297" s="978"/>
      <c r="B297" s="978"/>
      <c r="C297" s="1054"/>
      <c r="D297" s="1054"/>
      <c r="E297" s="1054"/>
      <c r="F297" s="1054"/>
      <c r="G297" s="1054"/>
      <c r="H297" s="1054"/>
      <c r="I297" s="1054"/>
      <c r="J297" s="1054"/>
      <c r="K297" s="1054"/>
      <c r="L297" s="1054"/>
      <c r="M297" s="1054"/>
      <c r="N297" s="978"/>
    </row>
    <row r="298" spans="1:14" s="986" customFormat="1" ht="15.75" customHeight="1">
      <c r="A298" s="978"/>
      <c r="B298" s="978"/>
      <c r="C298" s="1054"/>
      <c r="D298" s="1054"/>
      <c r="E298" s="1054"/>
      <c r="F298" s="1054"/>
      <c r="G298" s="1054"/>
      <c r="H298" s="1054"/>
      <c r="I298" s="1054"/>
      <c r="J298" s="1054"/>
      <c r="K298" s="1054"/>
      <c r="L298" s="1054"/>
      <c r="M298" s="1054"/>
      <c r="N298" s="978"/>
    </row>
    <row r="299" spans="1:14" s="986" customFormat="1" ht="15.75" customHeight="1">
      <c r="A299" s="978"/>
      <c r="B299" s="978"/>
      <c r="C299" s="1054"/>
      <c r="D299" s="1054"/>
      <c r="E299" s="1054"/>
      <c r="F299" s="1054"/>
      <c r="G299" s="1054"/>
      <c r="H299" s="1054"/>
      <c r="I299" s="1054"/>
      <c r="J299" s="1054"/>
      <c r="K299" s="1054"/>
      <c r="L299" s="1054"/>
      <c r="M299" s="1054"/>
      <c r="N299" s="978"/>
    </row>
    <row r="300" spans="1:14" s="986" customFormat="1" ht="15.75" customHeight="1">
      <c r="A300" s="978"/>
      <c r="B300" s="978"/>
      <c r="C300" s="1054"/>
      <c r="D300" s="1054"/>
      <c r="E300" s="1054"/>
      <c r="F300" s="1054"/>
      <c r="G300" s="1054"/>
      <c r="H300" s="1054"/>
      <c r="I300" s="1054"/>
      <c r="J300" s="1054"/>
      <c r="K300" s="1054"/>
      <c r="L300" s="1054"/>
      <c r="M300" s="1054"/>
      <c r="N300" s="978"/>
    </row>
    <row r="301" spans="1:14" s="986" customFormat="1" ht="15.75" customHeight="1">
      <c r="A301" s="978"/>
      <c r="B301" s="978"/>
      <c r="C301" s="1054"/>
      <c r="D301" s="1054"/>
      <c r="E301" s="1054"/>
      <c r="F301" s="1054"/>
      <c r="G301" s="1054"/>
      <c r="H301" s="1054"/>
      <c r="I301" s="1054"/>
      <c r="J301" s="1054"/>
      <c r="K301" s="1054"/>
      <c r="L301" s="1054"/>
      <c r="M301" s="1054"/>
      <c r="N301" s="978"/>
    </row>
    <row r="302" spans="1:14" s="986" customFormat="1" ht="15.75" customHeight="1">
      <c r="A302" s="978"/>
      <c r="B302" s="978"/>
      <c r="C302" s="1054"/>
      <c r="D302" s="1054"/>
      <c r="E302" s="1054"/>
      <c r="F302" s="1054"/>
      <c r="G302" s="1054"/>
      <c r="H302" s="1054"/>
      <c r="I302" s="1054"/>
      <c r="J302" s="1054"/>
      <c r="K302" s="1054"/>
      <c r="L302" s="1054"/>
      <c r="M302" s="1054"/>
      <c r="N302" s="978"/>
    </row>
    <row r="303" spans="1:14" s="986" customFormat="1" ht="15.75" customHeight="1">
      <c r="A303" s="978"/>
      <c r="B303" s="978"/>
      <c r="C303" s="1054"/>
      <c r="D303" s="1054"/>
      <c r="E303" s="1054"/>
      <c r="F303" s="1054"/>
      <c r="G303" s="1054"/>
      <c r="H303" s="1054"/>
      <c r="I303" s="1054"/>
      <c r="J303" s="1054"/>
      <c r="K303" s="1054"/>
      <c r="L303" s="1054"/>
      <c r="M303" s="1054"/>
      <c r="N303" s="978"/>
    </row>
    <row r="304" spans="1:14" s="986" customFormat="1" ht="15.75" customHeight="1">
      <c r="A304" s="978"/>
      <c r="B304" s="978"/>
      <c r="C304" s="1054"/>
      <c r="D304" s="1054"/>
      <c r="E304" s="1054"/>
      <c r="F304" s="1054"/>
      <c r="G304" s="1054"/>
      <c r="H304" s="1054"/>
      <c r="I304" s="1054"/>
      <c r="J304" s="1054"/>
      <c r="K304" s="1054"/>
      <c r="L304" s="1054"/>
      <c r="M304" s="1054"/>
      <c r="N304" s="978"/>
    </row>
    <row r="305" spans="1:14" s="986" customFormat="1" ht="15.75" customHeight="1">
      <c r="A305" s="978"/>
      <c r="B305" s="978"/>
      <c r="C305" s="1054"/>
      <c r="D305" s="1054"/>
      <c r="E305" s="1054"/>
      <c r="F305" s="1054"/>
      <c r="G305" s="1054"/>
      <c r="H305" s="1054"/>
      <c r="I305" s="1054"/>
      <c r="J305" s="1054"/>
      <c r="K305" s="1054"/>
      <c r="L305" s="1054"/>
      <c r="M305" s="1054"/>
      <c r="N305" s="978"/>
    </row>
    <row r="306" spans="1:14" s="986" customFormat="1" ht="15.75" customHeight="1">
      <c r="A306" s="978"/>
      <c r="B306" s="978"/>
      <c r="C306" s="1054"/>
      <c r="D306" s="1054"/>
      <c r="E306" s="1054"/>
      <c r="F306" s="1054"/>
      <c r="G306" s="1054"/>
      <c r="H306" s="1054"/>
      <c r="I306" s="1054"/>
      <c r="J306" s="1054"/>
      <c r="K306" s="1054"/>
      <c r="L306" s="1054"/>
      <c r="M306" s="1054"/>
      <c r="N306" s="978"/>
    </row>
    <row r="307" spans="1:14" s="986" customFormat="1" ht="15.75" customHeight="1">
      <c r="A307" s="978"/>
      <c r="B307" s="978"/>
      <c r="C307" s="1054"/>
      <c r="D307" s="1054"/>
      <c r="E307" s="1054"/>
      <c r="F307" s="1054"/>
      <c r="G307" s="1054"/>
      <c r="H307" s="1054"/>
      <c r="I307" s="1054"/>
      <c r="J307" s="1054"/>
      <c r="K307" s="1054"/>
      <c r="L307" s="1054"/>
      <c r="M307" s="1054"/>
      <c r="N307" s="978"/>
    </row>
    <row r="308" spans="1:14" s="986" customFormat="1" ht="15.75" customHeight="1">
      <c r="A308" s="978"/>
      <c r="B308" s="978"/>
      <c r="C308" s="1054"/>
      <c r="D308" s="1054"/>
      <c r="E308" s="1054"/>
      <c r="F308" s="1054"/>
      <c r="G308" s="1054"/>
      <c r="H308" s="1054"/>
      <c r="I308" s="1054"/>
      <c r="J308" s="1054"/>
      <c r="K308" s="1054"/>
      <c r="L308" s="1054"/>
      <c r="M308" s="1054"/>
      <c r="N308" s="978"/>
    </row>
    <row r="309" spans="1:14" s="986" customFormat="1" ht="15.75" customHeight="1">
      <c r="A309" s="978"/>
      <c r="B309" s="978"/>
      <c r="C309" s="1054"/>
      <c r="D309" s="1054"/>
      <c r="E309" s="1054"/>
      <c r="F309" s="1054"/>
      <c r="G309" s="1054"/>
      <c r="H309" s="1054"/>
      <c r="I309" s="1054"/>
      <c r="J309" s="1054"/>
      <c r="K309" s="1054"/>
      <c r="L309" s="1054"/>
      <c r="M309" s="1054"/>
      <c r="N309" s="978"/>
    </row>
    <row r="310" spans="1:14" s="986" customFormat="1" ht="15.75" customHeight="1">
      <c r="A310" s="978"/>
      <c r="B310" s="978"/>
      <c r="C310" s="1054"/>
      <c r="D310" s="1054"/>
      <c r="E310" s="1054"/>
      <c r="F310" s="1054"/>
      <c r="G310" s="1054"/>
      <c r="H310" s="1054"/>
      <c r="I310" s="1054"/>
      <c r="J310" s="1054"/>
      <c r="K310" s="1054"/>
      <c r="L310" s="1054"/>
      <c r="M310" s="1054"/>
      <c r="N310" s="978"/>
    </row>
    <row r="311" spans="1:14" s="986" customFormat="1" ht="15.75" customHeight="1">
      <c r="A311" s="978"/>
      <c r="B311" s="978"/>
      <c r="C311" s="1054"/>
      <c r="D311" s="1054"/>
      <c r="E311" s="1054"/>
      <c r="F311" s="1054"/>
      <c r="G311" s="1054"/>
      <c r="H311" s="1054"/>
      <c r="I311" s="1054"/>
      <c r="J311" s="1054"/>
      <c r="K311" s="1054"/>
      <c r="L311" s="1054"/>
      <c r="M311" s="1054"/>
      <c r="N311" s="978"/>
    </row>
    <row r="312" spans="1:14" s="986" customFormat="1" ht="15.75" customHeight="1">
      <c r="A312" s="978"/>
      <c r="B312" s="978"/>
      <c r="C312" s="1054"/>
      <c r="D312" s="1054"/>
      <c r="E312" s="1054"/>
      <c r="F312" s="1054"/>
      <c r="G312" s="1054"/>
      <c r="H312" s="1054"/>
      <c r="I312" s="1054"/>
      <c r="J312" s="1054"/>
      <c r="K312" s="1054"/>
      <c r="L312" s="1054"/>
      <c r="M312" s="1054"/>
      <c r="N312" s="978"/>
    </row>
    <row r="313" spans="1:14" s="986" customFormat="1" ht="15.75" customHeight="1">
      <c r="A313" s="978"/>
      <c r="B313" s="978"/>
      <c r="C313" s="1054"/>
      <c r="D313" s="1054"/>
      <c r="E313" s="1054"/>
      <c r="F313" s="1054"/>
      <c r="G313" s="1054"/>
      <c r="H313" s="1054"/>
      <c r="I313" s="1054"/>
      <c r="J313" s="1054"/>
      <c r="K313" s="1054"/>
      <c r="L313" s="1054"/>
      <c r="M313" s="1054"/>
      <c r="N313" s="978"/>
    </row>
    <row r="314" spans="1:14" s="986" customFormat="1" ht="15.75" customHeight="1">
      <c r="A314" s="978"/>
      <c r="B314" s="978"/>
      <c r="C314" s="1054"/>
      <c r="D314" s="1054"/>
      <c r="E314" s="1054"/>
      <c r="F314" s="1054"/>
      <c r="G314" s="1054"/>
      <c r="H314" s="1054"/>
      <c r="I314" s="1054"/>
      <c r="J314" s="1054"/>
      <c r="K314" s="1054"/>
      <c r="L314" s="1054"/>
      <c r="M314" s="1054"/>
      <c r="N314" s="978"/>
    </row>
    <row r="315" spans="1:14" s="986" customFormat="1" ht="15.75" customHeight="1">
      <c r="A315" s="978"/>
      <c r="B315" s="978"/>
      <c r="C315" s="1054"/>
      <c r="D315" s="1054"/>
      <c r="E315" s="1054"/>
      <c r="F315" s="1054"/>
      <c r="G315" s="1054"/>
      <c r="H315" s="1054"/>
      <c r="I315" s="1054"/>
      <c r="J315" s="1054"/>
      <c r="K315" s="1054"/>
      <c r="L315" s="1054"/>
      <c r="M315" s="1054"/>
      <c r="N315" s="978"/>
    </row>
    <row r="316" spans="1:14" s="986" customFormat="1" ht="15.75" customHeight="1">
      <c r="A316" s="978"/>
      <c r="B316" s="978"/>
      <c r="C316" s="1054"/>
      <c r="D316" s="1054"/>
      <c r="E316" s="1054"/>
      <c r="F316" s="1054"/>
      <c r="G316" s="1054"/>
      <c r="H316" s="1054"/>
      <c r="I316" s="1054"/>
      <c r="J316" s="1054"/>
      <c r="K316" s="1054"/>
      <c r="L316" s="1054"/>
      <c r="M316" s="1054"/>
      <c r="N316" s="978"/>
    </row>
    <row r="317" spans="1:14" s="986" customFormat="1" ht="15.75" customHeight="1">
      <c r="A317" s="978"/>
      <c r="B317" s="978"/>
      <c r="C317" s="1054"/>
      <c r="D317" s="1054"/>
      <c r="E317" s="1054"/>
      <c r="F317" s="1054"/>
      <c r="G317" s="1054"/>
      <c r="H317" s="1054"/>
      <c r="I317" s="1054"/>
      <c r="J317" s="1054"/>
      <c r="K317" s="1054"/>
      <c r="L317" s="1054"/>
      <c r="M317" s="1054"/>
      <c r="N317" s="978"/>
    </row>
    <row r="318" spans="1:14" s="986" customFormat="1" ht="15.75" customHeight="1">
      <c r="A318" s="978"/>
      <c r="B318" s="978"/>
      <c r="C318" s="1054"/>
      <c r="D318" s="1054"/>
      <c r="E318" s="1054"/>
      <c r="F318" s="1054"/>
      <c r="G318" s="1054"/>
      <c r="H318" s="1054"/>
      <c r="I318" s="1054"/>
      <c r="J318" s="1054"/>
      <c r="K318" s="1054"/>
      <c r="L318" s="1054"/>
      <c r="M318" s="1054"/>
      <c r="N318" s="978"/>
    </row>
    <row r="319" spans="1:14" s="986" customFormat="1" ht="15.75" customHeight="1">
      <c r="A319" s="978"/>
      <c r="B319" s="978"/>
      <c r="C319" s="1054"/>
      <c r="D319" s="1054"/>
      <c r="E319" s="1054"/>
      <c r="F319" s="1054"/>
      <c r="G319" s="1054"/>
      <c r="H319" s="1054"/>
      <c r="I319" s="1054"/>
      <c r="J319" s="1054"/>
      <c r="K319" s="1054"/>
      <c r="L319" s="1054"/>
      <c r="M319" s="1054"/>
      <c r="N319" s="978"/>
    </row>
    <row r="320" spans="1:14" s="986" customFormat="1" ht="15.75" customHeight="1">
      <c r="A320" s="978"/>
      <c r="B320" s="978"/>
      <c r="C320" s="1054"/>
      <c r="D320" s="1054"/>
      <c r="E320" s="1054"/>
      <c r="F320" s="1054"/>
      <c r="G320" s="1054"/>
      <c r="H320" s="1054"/>
      <c r="I320" s="1054"/>
      <c r="J320" s="1054"/>
      <c r="K320" s="1054"/>
      <c r="L320" s="1054"/>
      <c r="M320" s="1054"/>
      <c r="N320" s="978"/>
    </row>
    <row r="321" spans="1:14" s="986" customFormat="1" ht="15.75" customHeight="1">
      <c r="A321" s="978"/>
      <c r="B321" s="978"/>
      <c r="C321" s="1054"/>
      <c r="D321" s="1054"/>
      <c r="E321" s="1054"/>
      <c r="F321" s="1054"/>
      <c r="G321" s="1054"/>
      <c r="H321" s="1054"/>
      <c r="I321" s="1054"/>
      <c r="J321" s="1054"/>
      <c r="K321" s="1054"/>
      <c r="L321" s="1054"/>
      <c r="M321" s="1054"/>
      <c r="N321" s="978"/>
    </row>
    <row r="322" spans="1:14" s="986" customFormat="1" ht="15.75" customHeight="1">
      <c r="A322" s="978"/>
      <c r="B322" s="978"/>
      <c r="C322" s="1054"/>
      <c r="D322" s="1054"/>
      <c r="E322" s="1054"/>
      <c r="F322" s="1054"/>
      <c r="G322" s="1054"/>
      <c r="H322" s="1054"/>
      <c r="I322" s="1054"/>
      <c r="J322" s="1054"/>
      <c r="K322" s="1054"/>
      <c r="L322" s="1054"/>
      <c r="M322" s="1054"/>
      <c r="N322" s="978"/>
    </row>
    <row r="323" spans="1:14" s="986" customFormat="1" ht="15.75" customHeight="1">
      <c r="A323" s="978"/>
      <c r="B323" s="978"/>
      <c r="C323" s="1054"/>
      <c r="D323" s="1054"/>
      <c r="E323" s="1054"/>
      <c r="F323" s="1054"/>
      <c r="G323" s="1054"/>
      <c r="H323" s="1054"/>
      <c r="I323" s="1054"/>
      <c r="J323" s="1054"/>
      <c r="K323" s="1054"/>
      <c r="L323" s="1054"/>
      <c r="M323" s="1054"/>
      <c r="N323" s="978"/>
    </row>
    <row r="324" spans="1:14" s="986" customFormat="1" ht="15.75" customHeight="1">
      <c r="A324" s="978"/>
      <c r="B324" s="978"/>
      <c r="C324" s="1054"/>
      <c r="D324" s="1054"/>
      <c r="E324" s="1054"/>
      <c r="F324" s="1054"/>
      <c r="G324" s="1054"/>
      <c r="H324" s="1054"/>
      <c r="I324" s="1054"/>
      <c r="J324" s="1054"/>
      <c r="K324" s="1054"/>
      <c r="L324" s="1054"/>
      <c r="M324" s="1054"/>
      <c r="N324" s="978"/>
    </row>
    <row r="325" spans="1:14" s="986" customFormat="1" ht="15.75" customHeight="1">
      <c r="A325" s="978"/>
      <c r="B325" s="978"/>
      <c r="C325" s="1054"/>
      <c r="D325" s="1054"/>
      <c r="E325" s="1054"/>
      <c r="F325" s="1054"/>
      <c r="G325" s="1054"/>
      <c r="H325" s="1054"/>
      <c r="I325" s="1054"/>
      <c r="J325" s="1054"/>
      <c r="K325" s="1054"/>
      <c r="L325" s="1054"/>
      <c r="M325" s="1054"/>
      <c r="N325" s="978"/>
    </row>
    <row r="326" spans="1:14" s="986" customFormat="1" ht="15.75" customHeight="1">
      <c r="A326" s="978"/>
      <c r="B326" s="978"/>
      <c r="C326" s="1054"/>
      <c r="D326" s="1054"/>
      <c r="E326" s="1054"/>
      <c r="F326" s="1054"/>
      <c r="G326" s="1054"/>
      <c r="H326" s="1054"/>
      <c r="I326" s="1054"/>
      <c r="J326" s="1054"/>
      <c r="K326" s="1054"/>
      <c r="L326" s="1054"/>
      <c r="M326" s="1054"/>
      <c r="N326" s="978"/>
    </row>
    <row r="327" spans="1:14" s="986" customFormat="1" ht="15.75" customHeight="1">
      <c r="A327" s="978"/>
      <c r="B327" s="978"/>
      <c r="C327" s="1054"/>
      <c r="D327" s="1054"/>
      <c r="E327" s="1054"/>
      <c r="F327" s="1054"/>
      <c r="G327" s="1054"/>
      <c r="H327" s="1054"/>
      <c r="I327" s="1054"/>
      <c r="J327" s="1054"/>
      <c r="K327" s="1054"/>
      <c r="L327" s="1054"/>
      <c r="M327" s="1054"/>
      <c r="N327" s="978"/>
    </row>
    <row r="328" spans="1:14" s="986" customFormat="1" ht="15.75" customHeight="1">
      <c r="A328" s="978"/>
      <c r="B328" s="978"/>
      <c r="C328" s="1054"/>
      <c r="D328" s="1054"/>
      <c r="E328" s="1054"/>
      <c r="F328" s="1054"/>
      <c r="G328" s="1054"/>
      <c r="H328" s="1054"/>
      <c r="I328" s="1054"/>
      <c r="J328" s="1054"/>
      <c r="K328" s="1054"/>
      <c r="L328" s="1054"/>
      <c r="M328" s="1054"/>
      <c r="N328" s="978"/>
    </row>
    <row r="329" spans="1:14" s="986" customFormat="1" ht="15.75" customHeight="1">
      <c r="A329" s="978"/>
      <c r="B329" s="978"/>
      <c r="C329" s="1054"/>
      <c r="D329" s="1054"/>
      <c r="E329" s="1054"/>
      <c r="F329" s="1054"/>
      <c r="G329" s="1054"/>
      <c r="H329" s="1054"/>
      <c r="I329" s="1054"/>
      <c r="J329" s="1054"/>
      <c r="K329" s="1054"/>
      <c r="L329" s="1054"/>
      <c r="M329" s="1054"/>
      <c r="N329" s="978"/>
    </row>
    <row r="330" spans="1:14" s="986" customFormat="1" ht="15.75" customHeight="1">
      <c r="A330" s="978"/>
      <c r="B330" s="978"/>
      <c r="C330" s="1054"/>
      <c r="D330" s="1054"/>
      <c r="E330" s="1054"/>
      <c r="F330" s="1054"/>
      <c r="G330" s="1054"/>
      <c r="H330" s="1054"/>
      <c r="I330" s="1054"/>
      <c r="J330" s="1054"/>
      <c r="K330" s="1054"/>
      <c r="L330" s="1054"/>
      <c r="M330" s="1054"/>
      <c r="N330" s="978"/>
    </row>
    <row r="331" spans="1:14" s="986" customFormat="1" ht="15.75" customHeight="1">
      <c r="A331" s="978"/>
      <c r="B331" s="978"/>
      <c r="C331" s="1054"/>
      <c r="D331" s="1054"/>
      <c r="E331" s="1054"/>
      <c r="F331" s="1054"/>
      <c r="G331" s="1054"/>
      <c r="H331" s="1054"/>
      <c r="I331" s="1054"/>
      <c r="J331" s="1054"/>
      <c r="K331" s="1054"/>
      <c r="L331" s="1054"/>
      <c r="M331" s="1054"/>
      <c r="N331" s="978"/>
    </row>
    <row r="332" spans="1:14" s="986" customFormat="1" ht="15.75" customHeight="1">
      <c r="A332" s="978"/>
      <c r="B332" s="978"/>
      <c r="C332" s="1054"/>
      <c r="D332" s="1054"/>
      <c r="E332" s="1054"/>
      <c r="F332" s="1054"/>
      <c r="G332" s="1054"/>
      <c r="H332" s="1054"/>
      <c r="I332" s="1054"/>
      <c r="J332" s="1054"/>
      <c r="K332" s="1054"/>
      <c r="L332" s="1054"/>
      <c r="M332" s="1054"/>
      <c r="N332" s="978"/>
    </row>
    <row r="333" spans="1:14" s="986" customFormat="1" ht="15.75" customHeight="1">
      <c r="A333" s="978"/>
      <c r="B333" s="978"/>
      <c r="C333" s="1054"/>
      <c r="D333" s="1054"/>
      <c r="E333" s="1054"/>
      <c r="F333" s="1054"/>
      <c r="G333" s="1054"/>
      <c r="H333" s="1054"/>
      <c r="I333" s="1054"/>
      <c r="J333" s="1054"/>
      <c r="K333" s="1054"/>
      <c r="L333" s="1054"/>
      <c r="M333" s="1054"/>
      <c r="N333" s="978"/>
    </row>
    <row r="334" spans="1:14" s="986" customFormat="1" ht="15.75" customHeight="1">
      <c r="A334" s="978"/>
      <c r="B334" s="978"/>
      <c r="C334" s="1054"/>
      <c r="D334" s="1054"/>
      <c r="E334" s="1054"/>
      <c r="F334" s="1054"/>
      <c r="G334" s="1054"/>
      <c r="H334" s="1054"/>
      <c r="I334" s="1054"/>
      <c r="J334" s="1054"/>
      <c r="K334" s="1054"/>
      <c r="L334" s="1054"/>
      <c r="M334" s="1054"/>
      <c r="N334" s="978"/>
    </row>
    <row r="335" spans="1:14" s="986" customFormat="1" ht="15.75" customHeight="1">
      <c r="A335" s="978"/>
      <c r="B335" s="978"/>
      <c r="C335" s="1054"/>
      <c r="D335" s="1054"/>
      <c r="E335" s="1054"/>
      <c r="F335" s="1054"/>
      <c r="G335" s="1054"/>
      <c r="H335" s="1054"/>
      <c r="I335" s="1054"/>
      <c r="J335" s="1054"/>
      <c r="K335" s="1054"/>
      <c r="L335" s="1054"/>
      <c r="M335" s="1054"/>
      <c r="N335" s="978"/>
    </row>
    <row r="336" spans="1:14" s="986" customFormat="1" ht="15.75" customHeight="1">
      <c r="A336" s="978"/>
      <c r="B336" s="978"/>
      <c r="C336" s="1054"/>
      <c r="D336" s="1054"/>
      <c r="E336" s="1054"/>
      <c r="F336" s="1054"/>
      <c r="G336" s="1054"/>
      <c r="H336" s="1054"/>
      <c r="I336" s="1054"/>
      <c r="J336" s="1054"/>
      <c r="K336" s="1054"/>
      <c r="L336" s="1054"/>
      <c r="M336" s="1054"/>
      <c r="N336" s="978"/>
    </row>
    <row r="337" spans="1:14" s="986" customFormat="1" ht="15.75" customHeight="1">
      <c r="A337" s="978"/>
      <c r="B337" s="978"/>
      <c r="C337" s="1054"/>
      <c r="D337" s="1054"/>
      <c r="E337" s="1054"/>
      <c r="F337" s="1054"/>
      <c r="G337" s="1054"/>
      <c r="H337" s="1054"/>
      <c r="I337" s="1054"/>
      <c r="J337" s="1054"/>
      <c r="K337" s="1054"/>
      <c r="L337" s="1054"/>
      <c r="M337" s="1054"/>
      <c r="N337" s="978"/>
    </row>
    <row r="338" spans="1:14" s="986" customFormat="1" ht="15.75" customHeight="1">
      <c r="A338" s="978"/>
      <c r="B338" s="978"/>
      <c r="C338" s="1054"/>
      <c r="D338" s="1054"/>
      <c r="E338" s="1054"/>
      <c r="F338" s="1054"/>
      <c r="G338" s="1054"/>
      <c r="H338" s="1054"/>
      <c r="I338" s="1054"/>
      <c r="J338" s="1054"/>
      <c r="K338" s="1054"/>
      <c r="L338" s="1054"/>
      <c r="M338" s="1054"/>
      <c r="N338" s="978"/>
    </row>
    <row r="339" spans="1:14" s="986" customFormat="1" ht="15.75" customHeight="1">
      <c r="A339" s="978"/>
      <c r="B339" s="978"/>
      <c r="C339" s="1054"/>
      <c r="D339" s="1054"/>
      <c r="E339" s="1054"/>
      <c r="F339" s="1054"/>
      <c r="G339" s="1054"/>
      <c r="H339" s="1054"/>
      <c r="I339" s="1054"/>
      <c r="J339" s="1054"/>
      <c r="K339" s="1054"/>
      <c r="L339" s="1054"/>
      <c r="M339" s="1054"/>
      <c r="N339" s="978"/>
    </row>
    <row r="340" spans="1:14" s="986" customFormat="1" ht="15.75" customHeight="1">
      <c r="A340" s="978"/>
      <c r="B340" s="978"/>
      <c r="C340" s="1054"/>
      <c r="D340" s="1054"/>
      <c r="E340" s="1054"/>
      <c r="F340" s="1054"/>
      <c r="G340" s="1054"/>
      <c r="H340" s="1054"/>
      <c r="I340" s="1054"/>
      <c r="J340" s="1054"/>
      <c r="K340" s="1054"/>
      <c r="L340" s="1054"/>
      <c r="M340" s="1054"/>
      <c r="N340" s="978"/>
    </row>
    <row r="341" spans="1:14" s="986" customFormat="1" ht="15.75" customHeight="1">
      <c r="A341" s="978"/>
      <c r="B341" s="978"/>
      <c r="C341" s="1054"/>
      <c r="D341" s="1054"/>
      <c r="E341" s="1054"/>
      <c r="F341" s="1054"/>
      <c r="G341" s="1054"/>
      <c r="H341" s="1054"/>
      <c r="I341" s="1054"/>
      <c r="J341" s="1054"/>
      <c r="K341" s="1054"/>
      <c r="L341" s="1054"/>
      <c r="M341" s="1054"/>
      <c r="N341" s="978"/>
    </row>
    <row r="342" spans="1:14" s="986" customFormat="1" ht="15.75" customHeight="1">
      <c r="A342" s="978"/>
      <c r="B342" s="978"/>
      <c r="C342" s="1054"/>
      <c r="D342" s="1054"/>
      <c r="E342" s="1054"/>
      <c r="F342" s="1054"/>
      <c r="G342" s="1054"/>
      <c r="H342" s="1054"/>
      <c r="I342" s="1054"/>
      <c r="J342" s="1054"/>
      <c r="K342" s="1054"/>
      <c r="L342" s="1054"/>
      <c r="M342" s="1054"/>
      <c r="N342" s="978"/>
    </row>
    <row r="343" spans="1:14" s="986" customFormat="1" ht="15.75" customHeight="1">
      <c r="A343" s="978"/>
      <c r="B343" s="978"/>
      <c r="C343" s="1054"/>
      <c r="D343" s="1054"/>
      <c r="E343" s="1054"/>
      <c r="F343" s="1054"/>
      <c r="G343" s="1054"/>
      <c r="H343" s="1054"/>
      <c r="I343" s="1054"/>
      <c r="J343" s="1054"/>
      <c r="K343" s="1054"/>
      <c r="L343" s="1054"/>
      <c r="M343" s="1054"/>
      <c r="N343" s="978"/>
    </row>
    <row r="344" spans="1:14" s="986" customFormat="1" ht="15.75" customHeight="1">
      <c r="A344" s="978"/>
      <c r="B344" s="978"/>
      <c r="C344" s="1054"/>
      <c r="D344" s="1054"/>
      <c r="E344" s="1054"/>
      <c r="F344" s="1054"/>
      <c r="G344" s="1054"/>
      <c r="H344" s="1054"/>
      <c r="I344" s="1054"/>
      <c r="J344" s="1054"/>
      <c r="K344" s="1054"/>
      <c r="L344" s="1054"/>
      <c r="M344" s="1054"/>
      <c r="N344" s="978"/>
    </row>
    <row r="345" spans="1:14" s="986" customFormat="1" ht="15.75" customHeight="1">
      <c r="A345" s="978"/>
      <c r="B345" s="978"/>
      <c r="C345" s="1054"/>
      <c r="D345" s="1054"/>
      <c r="E345" s="1054"/>
      <c r="F345" s="1054"/>
      <c r="G345" s="1054"/>
      <c r="H345" s="1054"/>
      <c r="I345" s="1054"/>
      <c r="J345" s="1054"/>
      <c r="K345" s="1054"/>
      <c r="L345" s="1054"/>
      <c r="M345" s="1054"/>
      <c r="N345" s="978"/>
    </row>
    <row r="346" spans="1:14" s="986" customFormat="1" ht="15.75" customHeight="1">
      <c r="A346" s="978"/>
      <c r="B346" s="978"/>
      <c r="C346" s="1054"/>
      <c r="D346" s="1054"/>
      <c r="E346" s="1054"/>
      <c r="F346" s="1054"/>
      <c r="G346" s="1054"/>
      <c r="H346" s="1054"/>
      <c r="I346" s="1054"/>
      <c r="J346" s="1054"/>
      <c r="K346" s="1054"/>
      <c r="L346" s="1054"/>
      <c r="M346" s="1054"/>
      <c r="N346" s="978"/>
    </row>
    <row r="347" spans="1:14" s="986" customFormat="1" ht="15.75" customHeight="1">
      <c r="A347" s="978"/>
      <c r="B347" s="978"/>
      <c r="C347" s="1054"/>
      <c r="D347" s="1054"/>
      <c r="E347" s="1054"/>
      <c r="F347" s="1054"/>
      <c r="G347" s="1054"/>
      <c r="H347" s="1054"/>
      <c r="I347" s="1054"/>
      <c r="J347" s="1054"/>
      <c r="K347" s="1054"/>
      <c r="L347" s="1054"/>
      <c r="M347" s="1054"/>
      <c r="N347" s="978"/>
    </row>
    <row r="348" spans="1:14" s="986" customFormat="1" ht="15.75" customHeight="1">
      <c r="A348" s="978"/>
      <c r="B348" s="978"/>
      <c r="C348" s="1054"/>
      <c r="D348" s="1054"/>
      <c r="E348" s="1054"/>
      <c r="F348" s="1054"/>
      <c r="G348" s="1054"/>
      <c r="H348" s="1054"/>
      <c r="I348" s="1054"/>
      <c r="J348" s="1054"/>
      <c r="K348" s="1054"/>
      <c r="L348" s="1054"/>
      <c r="M348" s="1054"/>
      <c r="N348" s="978"/>
    </row>
    <row r="349" spans="1:14" s="986" customFormat="1" ht="15.75" customHeight="1">
      <c r="A349" s="978"/>
      <c r="B349" s="978"/>
      <c r="C349" s="1054"/>
      <c r="D349" s="1054"/>
      <c r="E349" s="1054"/>
      <c r="F349" s="1054"/>
      <c r="G349" s="1054"/>
      <c r="H349" s="1054"/>
      <c r="I349" s="1054"/>
      <c r="J349" s="1054"/>
      <c r="K349" s="1054"/>
      <c r="L349" s="1054"/>
      <c r="M349" s="1054"/>
      <c r="N349" s="978"/>
    </row>
    <row r="350" spans="1:14" s="986" customFormat="1" ht="15.75" customHeight="1">
      <c r="A350" s="978"/>
      <c r="B350" s="978"/>
      <c r="C350" s="1054"/>
      <c r="D350" s="1054"/>
      <c r="E350" s="1054"/>
      <c r="F350" s="1054"/>
      <c r="G350" s="1054"/>
      <c r="H350" s="1054"/>
      <c r="I350" s="1054"/>
      <c r="J350" s="1054"/>
      <c r="K350" s="1054"/>
      <c r="L350" s="1054"/>
      <c r="M350" s="1054"/>
      <c r="N350" s="978"/>
    </row>
    <row r="351" spans="1:14" s="986" customFormat="1" ht="15.75" customHeight="1">
      <c r="A351" s="978"/>
      <c r="B351" s="978"/>
      <c r="C351" s="1054"/>
      <c r="D351" s="1054"/>
      <c r="E351" s="1054"/>
      <c r="F351" s="1054"/>
      <c r="G351" s="1054"/>
      <c r="H351" s="1054"/>
      <c r="I351" s="1054"/>
      <c r="J351" s="1054"/>
      <c r="K351" s="1054"/>
      <c r="L351" s="1054"/>
      <c r="M351" s="1054"/>
      <c r="N351" s="978"/>
    </row>
    <row r="352" spans="1:14" s="986" customFormat="1" ht="15.75" customHeight="1">
      <c r="A352" s="978"/>
      <c r="B352" s="978"/>
      <c r="C352" s="1054"/>
      <c r="D352" s="1054"/>
      <c r="E352" s="1054"/>
      <c r="F352" s="1054"/>
      <c r="G352" s="1054"/>
      <c r="H352" s="1054"/>
      <c r="I352" s="1054"/>
      <c r="J352" s="1054"/>
      <c r="K352" s="1054"/>
      <c r="L352" s="1054"/>
      <c r="M352" s="1054"/>
      <c r="N352" s="978"/>
    </row>
    <row r="353" spans="1:14" s="986" customFormat="1" ht="15.75" customHeight="1">
      <c r="A353" s="978"/>
      <c r="B353" s="978"/>
      <c r="C353" s="1054"/>
      <c r="D353" s="1054"/>
      <c r="E353" s="1054"/>
      <c r="F353" s="1054"/>
      <c r="G353" s="1054"/>
      <c r="H353" s="1054"/>
      <c r="I353" s="1054"/>
      <c r="J353" s="1054"/>
      <c r="K353" s="1054"/>
      <c r="L353" s="1054"/>
      <c r="M353" s="1054"/>
      <c r="N353" s="978"/>
    </row>
    <row r="354" spans="1:14" s="986" customFormat="1" ht="15.75" customHeight="1">
      <c r="A354" s="978"/>
      <c r="B354" s="978"/>
      <c r="C354" s="1054"/>
      <c r="D354" s="1054"/>
      <c r="E354" s="1054"/>
      <c r="F354" s="1054"/>
      <c r="G354" s="1054"/>
      <c r="H354" s="1054"/>
      <c r="I354" s="1054"/>
      <c r="J354" s="1054"/>
      <c r="K354" s="1054"/>
      <c r="L354" s="1054"/>
      <c r="M354" s="1054"/>
      <c r="N354" s="978"/>
    </row>
    <row r="355" spans="1:14" s="986" customFormat="1" ht="15.75" customHeight="1">
      <c r="A355" s="978"/>
      <c r="B355" s="978"/>
      <c r="C355" s="1054"/>
      <c r="D355" s="1054"/>
      <c r="E355" s="1054"/>
      <c r="F355" s="1054"/>
      <c r="G355" s="1054"/>
      <c r="H355" s="1054"/>
      <c r="I355" s="1054"/>
      <c r="J355" s="1054"/>
      <c r="K355" s="1054"/>
      <c r="L355" s="1054"/>
      <c r="M355" s="1054"/>
      <c r="N355" s="978"/>
    </row>
    <row r="356" spans="1:14" s="986" customFormat="1" ht="15.75" customHeight="1">
      <c r="A356" s="978"/>
      <c r="B356" s="978"/>
      <c r="C356" s="1054"/>
      <c r="D356" s="1054"/>
      <c r="E356" s="1054"/>
      <c r="F356" s="1054"/>
      <c r="G356" s="1054"/>
      <c r="H356" s="1054"/>
      <c r="I356" s="1054"/>
      <c r="J356" s="1054"/>
      <c r="K356" s="1054"/>
      <c r="L356" s="1054"/>
      <c r="M356" s="1054"/>
      <c r="N356" s="978"/>
    </row>
    <row r="357" spans="1:14" s="986" customFormat="1" ht="15.75" customHeight="1">
      <c r="A357" s="978"/>
      <c r="B357" s="978"/>
      <c r="C357" s="1054"/>
      <c r="D357" s="1054"/>
      <c r="E357" s="1054"/>
      <c r="F357" s="1054"/>
      <c r="G357" s="1054"/>
      <c r="H357" s="1054"/>
      <c r="I357" s="1054"/>
      <c r="J357" s="1054"/>
      <c r="K357" s="1054"/>
      <c r="L357" s="1054"/>
      <c r="M357" s="1054"/>
      <c r="N357" s="978"/>
    </row>
    <row r="358" spans="1:14" s="986" customFormat="1" ht="15.75" customHeight="1">
      <c r="A358" s="978"/>
      <c r="B358" s="978"/>
      <c r="C358" s="1054"/>
      <c r="D358" s="1054"/>
      <c r="E358" s="1054"/>
      <c r="F358" s="1054"/>
      <c r="G358" s="1054"/>
      <c r="H358" s="1054"/>
      <c r="I358" s="1054"/>
      <c r="J358" s="1054"/>
      <c r="K358" s="1054"/>
      <c r="L358" s="1054"/>
      <c r="M358" s="1054"/>
      <c r="N358" s="978"/>
    </row>
    <row r="359" spans="1:14" s="986" customFormat="1" ht="15.75" customHeight="1">
      <c r="A359" s="978"/>
      <c r="B359" s="978"/>
      <c r="C359" s="1054"/>
      <c r="D359" s="1054"/>
      <c r="E359" s="1054"/>
      <c r="F359" s="1054"/>
      <c r="G359" s="1054"/>
      <c r="H359" s="1054"/>
      <c r="I359" s="1054"/>
      <c r="J359" s="1054"/>
      <c r="K359" s="1054"/>
      <c r="L359" s="1054"/>
      <c r="M359" s="1054"/>
      <c r="N359" s="978"/>
    </row>
    <row r="360" spans="1:14" s="986" customFormat="1" ht="15.75" customHeight="1">
      <c r="A360" s="978"/>
      <c r="B360" s="978"/>
      <c r="C360" s="1054"/>
      <c r="D360" s="1054"/>
      <c r="E360" s="1054"/>
      <c r="F360" s="1054"/>
      <c r="G360" s="1054"/>
      <c r="H360" s="1054"/>
      <c r="I360" s="1054"/>
      <c r="J360" s="1054"/>
      <c r="K360" s="1054"/>
      <c r="L360" s="1054"/>
      <c r="M360" s="1054"/>
      <c r="N360" s="978"/>
    </row>
    <row r="361" spans="1:14" s="986" customFormat="1" ht="15.75" customHeight="1">
      <c r="A361" s="978"/>
      <c r="B361" s="978"/>
      <c r="C361" s="1054"/>
      <c r="D361" s="1054"/>
      <c r="E361" s="1054"/>
      <c r="F361" s="1054"/>
      <c r="G361" s="1054"/>
      <c r="H361" s="1054"/>
      <c r="I361" s="1054"/>
      <c r="J361" s="1054"/>
      <c r="K361" s="1054"/>
      <c r="L361" s="1054"/>
      <c r="M361" s="1054"/>
      <c r="N361" s="978"/>
    </row>
    <row r="362" spans="1:14" s="986" customFormat="1" ht="15.75" customHeight="1">
      <c r="A362" s="978"/>
      <c r="B362" s="978"/>
      <c r="C362" s="1054"/>
      <c r="D362" s="1054"/>
      <c r="E362" s="1054"/>
      <c r="F362" s="1054"/>
      <c r="G362" s="1054"/>
      <c r="H362" s="1054"/>
      <c r="I362" s="1054"/>
      <c r="J362" s="1054"/>
      <c r="K362" s="1054"/>
      <c r="L362" s="1054"/>
      <c r="M362" s="1054"/>
      <c r="N362" s="978"/>
    </row>
    <row r="363" spans="1:14" s="986" customFormat="1" ht="15.75" customHeight="1">
      <c r="A363" s="978"/>
      <c r="B363" s="978"/>
      <c r="C363" s="1054"/>
      <c r="D363" s="1054"/>
      <c r="E363" s="1054"/>
      <c r="F363" s="1054"/>
      <c r="G363" s="1054"/>
      <c r="H363" s="1054"/>
      <c r="I363" s="1054"/>
      <c r="J363" s="1054"/>
      <c r="K363" s="1054"/>
      <c r="L363" s="1054"/>
      <c r="M363" s="1054"/>
      <c r="N363" s="978"/>
    </row>
    <row r="364" spans="1:14" s="986" customFormat="1" ht="15.75" customHeight="1">
      <c r="A364" s="978"/>
      <c r="B364" s="978"/>
      <c r="C364" s="1054"/>
      <c r="D364" s="1054"/>
      <c r="E364" s="1054"/>
      <c r="F364" s="1054"/>
      <c r="G364" s="1054"/>
      <c r="H364" s="1054"/>
      <c r="I364" s="1054"/>
      <c r="J364" s="1054"/>
      <c r="K364" s="1054"/>
      <c r="L364" s="1054"/>
      <c r="M364" s="1054"/>
      <c r="N364" s="978"/>
    </row>
    <row r="365" spans="1:14" s="986" customFormat="1" ht="15.75" customHeight="1">
      <c r="A365" s="978"/>
      <c r="B365" s="978"/>
      <c r="C365" s="1054"/>
      <c r="D365" s="1054"/>
      <c r="E365" s="1054"/>
      <c r="F365" s="1054"/>
      <c r="G365" s="1054"/>
      <c r="H365" s="1054"/>
      <c r="I365" s="1054"/>
      <c r="J365" s="1054"/>
      <c r="K365" s="1054"/>
      <c r="L365" s="1054"/>
      <c r="M365" s="1054"/>
      <c r="N365" s="978"/>
    </row>
    <row r="366" spans="1:14" s="986" customFormat="1" ht="15.75" customHeight="1">
      <c r="A366" s="978"/>
      <c r="B366" s="978"/>
      <c r="C366" s="1054"/>
      <c r="D366" s="1054"/>
      <c r="E366" s="1054"/>
      <c r="F366" s="1054"/>
      <c r="G366" s="1054"/>
      <c r="H366" s="1054"/>
      <c r="I366" s="1054"/>
      <c r="J366" s="1054"/>
      <c r="K366" s="1054"/>
      <c r="L366" s="1054"/>
      <c r="M366" s="1054"/>
      <c r="N366" s="978"/>
    </row>
    <row r="367" spans="1:14" s="986" customFormat="1" ht="15.75" customHeight="1">
      <c r="A367" s="978"/>
      <c r="B367" s="978"/>
      <c r="C367" s="1054"/>
      <c r="D367" s="1054"/>
      <c r="E367" s="1054"/>
      <c r="F367" s="1054"/>
      <c r="G367" s="1054"/>
      <c r="H367" s="1054"/>
      <c r="I367" s="1054"/>
      <c r="J367" s="1054"/>
      <c r="K367" s="1054"/>
      <c r="L367" s="1054"/>
      <c r="M367" s="1054"/>
      <c r="N367" s="978"/>
    </row>
    <row r="368" spans="1:14" s="986" customFormat="1" ht="15.75" customHeight="1">
      <c r="A368" s="978"/>
      <c r="B368" s="978"/>
      <c r="C368" s="1054"/>
      <c r="D368" s="1054"/>
      <c r="E368" s="1054"/>
      <c r="F368" s="1054"/>
      <c r="G368" s="1054"/>
      <c r="H368" s="1054"/>
      <c r="I368" s="1054"/>
      <c r="J368" s="1054"/>
      <c r="K368" s="1054"/>
      <c r="L368" s="1054"/>
      <c r="M368" s="1054"/>
      <c r="N368" s="978"/>
    </row>
    <row r="369" spans="1:14" s="986" customFormat="1" ht="15.75" customHeight="1">
      <c r="A369" s="978"/>
      <c r="B369" s="978"/>
      <c r="C369" s="1054"/>
      <c r="D369" s="1054"/>
      <c r="E369" s="1054"/>
      <c r="F369" s="1054"/>
      <c r="G369" s="1054"/>
      <c r="H369" s="1054"/>
      <c r="I369" s="1054"/>
      <c r="J369" s="1054"/>
      <c r="K369" s="1054"/>
      <c r="L369" s="1054"/>
      <c r="M369" s="1054"/>
      <c r="N369" s="978"/>
    </row>
    <row r="370" spans="1:14" s="986" customFormat="1" ht="15.75" customHeight="1">
      <c r="A370" s="978"/>
      <c r="B370" s="978"/>
      <c r="C370" s="1054"/>
      <c r="D370" s="1054"/>
      <c r="E370" s="1054"/>
      <c r="F370" s="1054"/>
      <c r="G370" s="1054"/>
      <c r="H370" s="1054"/>
      <c r="I370" s="1054"/>
      <c r="J370" s="1054"/>
      <c r="K370" s="1054"/>
      <c r="L370" s="1054"/>
      <c r="M370" s="1054"/>
      <c r="N370" s="978"/>
    </row>
    <row r="371" spans="1:14" s="986" customFormat="1" ht="15.75" customHeight="1">
      <c r="A371" s="978"/>
      <c r="B371" s="978"/>
      <c r="C371" s="1054"/>
      <c r="D371" s="1054"/>
      <c r="E371" s="1054"/>
      <c r="F371" s="1054"/>
      <c r="G371" s="1054"/>
      <c r="H371" s="1054"/>
      <c r="I371" s="1054"/>
      <c r="J371" s="1054"/>
      <c r="K371" s="1054"/>
      <c r="L371" s="1054"/>
      <c r="M371" s="1054"/>
      <c r="N371" s="978"/>
    </row>
    <row r="372" spans="1:14" s="986" customFormat="1" ht="15.75" customHeight="1">
      <c r="A372" s="978"/>
      <c r="B372" s="978"/>
      <c r="C372" s="1054"/>
      <c r="D372" s="1054"/>
      <c r="E372" s="1054"/>
      <c r="F372" s="1054"/>
      <c r="G372" s="1054"/>
      <c r="H372" s="1054"/>
      <c r="I372" s="1054"/>
      <c r="J372" s="1054"/>
      <c r="K372" s="1054"/>
      <c r="L372" s="1054"/>
      <c r="M372" s="1054"/>
      <c r="N372" s="978"/>
    </row>
    <row r="373" spans="1:14" s="986" customFormat="1" ht="15.75" customHeight="1">
      <c r="A373" s="978"/>
      <c r="B373" s="978"/>
      <c r="C373" s="1054"/>
      <c r="D373" s="1054"/>
      <c r="E373" s="1054"/>
      <c r="F373" s="1054"/>
      <c r="G373" s="1054"/>
      <c r="H373" s="1054"/>
      <c r="I373" s="1054"/>
      <c r="J373" s="1054"/>
      <c r="K373" s="1054"/>
      <c r="L373" s="1054"/>
      <c r="M373" s="1054"/>
      <c r="N373" s="978"/>
    </row>
    <row r="374" spans="1:14" s="986" customFormat="1" ht="15.75" customHeight="1">
      <c r="A374" s="978"/>
      <c r="B374" s="978"/>
      <c r="C374" s="1054"/>
      <c r="D374" s="1054"/>
      <c r="E374" s="1054"/>
      <c r="F374" s="1054"/>
      <c r="G374" s="1054"/>
      <c r="H374" s="1054"/>
      <c r="I374" s="1054"/>
      <c r="J374" s="1054"/>
      <c r="K374" s="1054"/>
      <c r="L374" s="1054"/>
      <c r="M374" s="1054"/>
      <c r="N374" s="978"/>
    </row>
    <row r="375" spans="1:14" s="986" customFormat="1" ht="15.75" customHeight="1">
      <c r="A375" s="978"/>
      <c r="B375" s="978"/>
      <c r="C375" s="1054"/>
      <c r="D375" s="1054"/>
      <c r="E375" s="1054"/>
      <c r="F375" s="1054"/>
      <c r="G375" s="1054"/>
      <c r="H375" s="1054"/>
      <c r="I375" s="1054"/>
      <c r="J375" s="1054"/>
      <c r="K375" s="1054"/>
      <c r="L375" s="1054"/>
      <c r="M375" s="1054"/>
      <c r="N375" s="978"/>
    </row>
    <row r="376" spans="1:14" s="986" customFormat="1" ht="15.75" customHeight="1">
      <c r="A376" s="978"/>
      <c r="B376" s="978"/>
      <c r="C376" s="1054"/>
      <c r="D376" s="1054"/>
      <c r="E376" s="1054"/>
      <c r="F376" s="1054"/>
      <c r="G376" s="1054"/>
      <c r="H376" s="1054"/>
      <c r="I376" s="1054"/>
      <c r="J376" s="1054"/>
      <c r="K376" s="1054"/>
      <c r="L376" s="1054"/>
      <c r="M376" s="1054"/>
      <c r="N376" s="978"/>
    </row>
    <row r="377" spans="1:14" s="986" customFormat="1" ht="15.75" customHeight="1">
      <c r="A377" s="978"/>
      <c r="B377" s="978"/>
      <c r="C377" s="1054"/>
      <c r="D377" s="1054"/>
      <c r="E377" s="1054"/>
      <c r="F377" s="1054"/>
      <c r="G377" s="1054"/>
      <c r="H377" s="1054"/>
      <c r="I377" s="1054"/>
      <c r="J377" s="1054"/>
      <c r="K377" s="1054"/>
      <c r="L377" s="1054"/>
      <c r="M377" s="1054"/>
      <c r="N377" s="978"/>
    </row>
    <row r="378" spans="1:14" s="986" customFormat="1" ht="15.75" customHeight="1">
      <c r="A378" s="978"/>
      <c r="B378" s="978"/>
      <c r="C378" s="1054"/>
      <c r="D378" s="1054"/>
      <c r="E378" s="1054"/>
      <c r="F378" s="1054"/>
      <c r="G378" s="1054"/>
      <c r="H378" s="1054"/>
      <c r="I378" s="1054"/>
      <c r="J378" s="1054"/>
      <c r="K378" s="1054"/>
      <c r="L378" s="1054"/>
      <c r="M378" s="1054"/>
      <c r="N378" s="978"/>
    </row>
    <row r="379" spans="1:14" s="986" customFormat="1" ht="15.75" customHeight="1">
      <c r="A379" s="978"/>
      <c r="B379" s="978"/>
      <c r="C379" s="1054"/>
      <c r="D379" s="1054"/>
      <c r="E379" s="1054"/>
      <c r="F379" s="1054"/>
      <c r="G379" s="1054"/>
      <c r="H379" s="1054"/>
      <c r="I379" s="1054"/>
      <c r="J379" s="1054"/>
      <c r="K379" s="1054"/>
      <c r="L379" s="1054"/>
      <c r="M379" s="1054"/>
      <c r="N379" s="978"/>
    </row>
    <row r="380" spans="1:14" s="986" customFormat="1" ht="15.75" customHeight="1">
      <c r="A380" s="978"/>
      <c r="B380" s="978"/>
      <c r="C380" s="1054"/>
      <c r="D380" s="1054"/>
      <c r="E380" s="1054"/>
      <c r="F380" s="1054"/>
      <c r="G380" s="1054"/>
      <c r="H380" s="1054"/>
      <c r="I380" s="1054"/>
      <c r="J380" s="1054"/>
      <c r="K380" s="1054"/>
      <c r="L380" s="1054"/>
      <c r="M380" s="1054"/>
      <c r="N380" s="978"/>
    </row>
    <row r="381" spans="1:14" s="986" customFormat="1" ht="15.75" customHeight="1">
      <c r="A381" s="978"/>
      <c r="B381" s="978"/>
      <c r="C381" s="978"/>
      <c r="D381" s="978"/>
      <c r="E381" s="978"/>
      <c r="F381" s="978"/>
      <c r="G381" s="978"/>
      <c r="H381" s="978"/>
      <c r="I381" s="978"/>
      <c r="J381" s="978"/>
      <c r="K381" s="978"/>
      <c r="L381" s="978"/>
      <c r="M381" s="978"/>
      <c r="N381" s="978"/>
    </row>
    <row r="382" spans="1:14" s="986" customFormat="1" ht="15.75" customHeight="1">
      <c r="A382" s="978"/>
      <c r="B382" s="978"/>
      <c r="C382" s="978"/>
      <c r="D382" s="978"/>
      <c r="E382" s="978"/>
      <c r="F382" s="978"/>
      <c r="G382" s="978"/>
      <c r="H382" s="978"/>
      <c r="I382" s="978"/>
      <c r="J382" s="978"/>
      <c r="K382" s="978"/>
      <c r="L382" s="978"/>
      <c r="M382" s="978"/>
      <c r="N382" s="978"/>
    </row>
    <row r="383" spans="1:14" s="986" customFormat="1" ht="15.75" customHeight="1">
      <c r="A383" s="978"/>
      <c r="B383" s="978"/>
      <c r="C383" s="978"/>
      <c r="D383" s="978"/>
      <c r="E383" s="978"/>
      <c r="F383" s="978"/>
      <c r="G383" s="978"/>
      <c r="H383" s="978"/>
      <c r="I383" s="978"/>
      <c r="J383" s="978"/>
      <c r="K383" s="978"/>
      <c r="L383" s="978"/>
      <c r="M383" s="978"/>
      <c r="N383" s="978"/>
    </row>
    <row r="384" spans="1:14" s="986" customFormat="1" ht="15.75" customHeight="1">
      <c r="A384" s="978"/>
      <c r="B384" s="978"/>
      <c r="C384" s="978"/>
      <c r="D384" s="978"/>
      <c r="E384" s="978"/>
      <c r="F384" s="978"/>
      <c r="G384" s="978"/>
      <c r="H384" s="978"/>
      <c r="I384" s="978"/>
      <c r="J384" s="978"/>
      <c r="K384" s="978"/>
      <c r="L384" s="978"/>
      <c r="M384" s="978"/>
      <c r="N384" s="978"/>
    </row>
    <row r="385" spans="1:14" s="986" customFormat="1" ht="15.75" customHeight="1">
      <c r="A385" s="978"/>
      <c r="B385" s="978"/>
      <c r="C385" s="978"/>
      <c r="D385" s="978"/>
      <c r="E385" s="978"/>
      <c r="F385" s="978"/>
      <c r="G385" s="978"/>
      <c r="H385" s="978"/>
      <c r="I385" s="978"/>
      <c r="J385" s="978"/>
      <c r="K385" s="978"/>
      <c r="L385" s="978"/>
      <c r="M385" s="978"/>
      <c r="N385" s="978"/>
    </row>
    <row r="386" spans="1:14" s="986" customFormat="1" ht="15.75" customHeight="1">
      <c r="A386" s="978"/>
      <c r="B386" s="978"/>
      <c r="C386" s="978"/>
      <c r="D386" s="978"/>
      <c r="E386" s="978"/>
      <c r="F386" s="978"/>
      <c r="G386" s="978"/>
      <c r="H386" s="978"/>
      <c r="I386" s="978"/>
      <c r="J386" s="978"/>
      <c r="K386" s="978"/>
      <c r="L386" s="978"/>
      <c r="M386" s="978"/>
      <c r="N386" s="978"/>
    </row>
    <row r="387" spans="1:14" s="986" customFormat="1" ht="15.75" customHeight="1">
      <c r="A387" s="978"/>
      <c r="B387" s="978"/>
      <c r="C387" s="978"/>
      <c r="D387" s="978"/>
      <c r="E387" s="978"/>
      <c r="F387" s="978"/>
      <c r="G387" s="978"/>
      <c r="H387" s="978"/>
      <c r="I387" s="978"/>
      <c r="J387" s="978"/>
      <c r="K387" s="978"/>
      <c r="L387" s="978"/>
      <c r="M387" s="978"/>
      <c r="N387" s="978"/>
    </row>
    <row r="388" spans="1:14" s="986" customFormat="1" ht="15.75" customHeight="1">
      <c r="A388" s="978"/>
      <c r="B388" s="978"/>
      <c r="C388" s="978"/>
      <c r="D388" s="978"/>
      <c r="E388" s="978"/>
      <c r="F388" s="978"/>
      <c r="G388" s="978"/>
      <c r="H388" s="978"/>
      <c r="I388" s="978"/>
      <c r="J388" s="978"/>
      <c r="K388" s="978"/>
      <c r="L388" s="978"/>
      <c r="M388" s="978"/>
      <c r="N388" s="978"/>
    </row>
    <row r="389" spans="1:14" s="986" customFormat="1" ht="15.75" customHeight="1">
      <c r="A389" s="978"/>
      <c r="B389" s="978"/>
      <c r="C389" s="978"/>
      <c r="D389" s="978"/>
      <c r="E389" s="978"/>
      <c r="F389" s="978"/>
      <c r="G389" s="978"/>
      <c r="H389" s="978"/>
      <c r="I389" s="978"/>
      <c r="J389" s="978"/>
      <c r="K389" s="978"/>
      <c r="L389" s="978"/>
      <c r="M389" s="978"/>
      <c r="N389" s="978"/>
    </row>
    <row r="390" spans="1:14" s="986" customFormat="1" ht="15.75" customHeight="1">
      <c r="A390" s="978"/>
      <c r="B390" s="978"/>
      <c r="C390" s="978"/>
      <c r="D390" s="978"/>
      <c r="E390" s="978"/>
      <c r="F390" s="978"/>
      <c r="G390" s="978"/>
      <c r="H390" s="978"/>
      <c r="I390" s="978"/>
      <c r="J390" s="978"/>
      <c r="K390" s="978"/>
      <c r="L390" s="978"/>
      <c r="M390" s="978"/>
      <c r="N390" s="978"/>
    </row>
    <row r="391" spans="1:14" s="986" customFormat="1" ht="15.75" customHeight="1">
      <c r="A391" s="978"/>
      <c r="B391" s="978"/>
      <c r="C391" s="978"/>
      <c r="D391" s="978"/>
      <c r="E391" s="978"/>
      <c r="F391" s="978"/>
      <c r="G391" s="978"/>
      <c r="H391" s="978"/>
      <c r="I391" s="978"/>
      <c r="J391" s="978"/>
      <c r="K391" s="978"/>
      <c r="L391" s="978"/>
      <c r="M391" s="978"/>
      <c r="N391" s="978"/>
    </row>
    <row r="392" spans="1:14" s="986" customFormat="1" ht="15.75" customHeight="1">
      <c r="A392" s="978"/>
      <c r="B392" s="978"/>
      <c r="C392" s="978"/>
      <c r="D392" s="978"/>
      <c r="E392" s="978"/>
      <c r="F392" s="978"/>
      <c r="G392" s="978"/>
      <c r="H392" s="978"/>
      <c r="I392" s="978"/>
      <c r="J392" s="978"/>
      <c r="K392" s="978"/>
      <c r="L392" s="978"/>
      <c r="M392" s="978"/>
      <c r="N392" s="978"/>
    </row>
    <row r="393" spans="1:14" s="986" customFormat="1" ht="15.75" customHeight="1">
      <c r="A393" s="978"/>
      <c r="B393" s="978"/>
      <c r="C393" s="978"/>
      <c r="D393" s="978"/>
      <c r="E393" s="978"/>
      <c r="F393" s="978"/>
      <c r="G393" s="978"/>
      <c r="H393" s="978"/>
      <c r="I393" s="978"/>
      <c r="J393" s="978"/>
      <c r="K393" s="978"/>
      <c r="L393" s="978"/>
      <c r="M393" s="978"/>
      <c r="N393" s="978"/>
    </row>
    <row r="394" spans="1:14" s="986" customFormat="1" ht="15.75" customHeight="1">
      <c r="A394" s="978"/>
      <c r="B394" s="978"/>
      <c r="C394" s="978"/>
      <c r="D394" s="978"/>
      <c r="E394" s="978"/>
      <c r="F394" s="978"/>
      <c r="G394" s="978"/>
      <c r="H394" s="978"/>
      <c r="I394" s="978"/>
      <c r="J394" s="978"/>
      <c r="K394" s="978"/>
      <c r="L394" s="978"/>
      <c r="M394" s="978"/>
      <c r="N394" s="978"/>
    </row>
    <row r="395" spans="1:14" s="986" customFormat="1" ht="15.75" customHeight="1">
      <c r="A395" s="978"/>
      <c r="B395" s="978"/>
      <c r="C395" s="978"/>
      <c r="D395" s="978"/>
      <c r="E395" s="978"/>
      <c r="F395" s="978"/>
      <c r="G395" s="978"/>
      <c r="H395" s="978"/>
      <c r="I395" s="978"/>
      <c r="J395" s="978"/>
      <c r="K395" s="978"/>
      <c r="L395" s="978"/>
      <c r="M395" s="978"/>
      <c r="N395" s="978"/>
    </row>
    <row r="396" spans="1:14" s="986" customFormat="1" ht="15.75" customHeight="1">
      <c r="A396" s="978"/>
      <c r="B396" s="978"/>
      <c r="C396" s="978"/>
      <c r="D396" s="978"/>
      <c r="E396" s="978"/>
      <c r="F396" s="978"/>
      <c r="G396" s="978"/>
      <c r="H396" s="978"/>
      <c r="I396" s="978"/>
      <c r="J396" s="978"/>
      <c r="K396" s="978"/>
      <c r="L396" s="978"/>
      <c r="M396" s="978"/>
      <c r="N396" s="978"/>
    </row>
    <row r="397" spans="1:14" s="986" customFormat="1" ht="15.75" customHeight="1">
      <c r="A397" s="978"/>
      <c r="B397" s="978"/>
      <c r="C397" s="978"/>
      <c r="D397" s="978"/>
      <c r="E397" s="978"/>
      <c r="F397" s="978"/>
      <c r="G397" s="978"/>
      <c r="H397" s="978"/>
      <c r="I397" s="978"/>
      <c r="J397" s="978"/>
      <c r="K397" s="978"/>
      <c r="L397" s="978"/>
      <c r="M397" s="978"/>
      <c r="N397" s="978"/>
    </row>
    <row r="398" spans="1:14" s="986" customFormat="1" ht="15.75" customHeight="1">
      <c r="A398" s="978"/>
      <c r="B398" s="978"/>
      <c r="C398" s="978"/>
      <c r="D398" s="978"/>
      <c r="E398" s="978"/>
      <c r="F398" s="978"/>
      <c r="G398" s="978"/>
      <c r="H398" s="978"/>
      <c r="I398" s="978"/>
      <c r="J398" s="978"/>
      <c r="K398" s="978"/>
      <c r="L398" s="978"/>
      <c r="M398" s="978"/>
      <c r="N398" s="978"/>
    </row>
    <row r="399" spans="1:14" s="986" customFormat="1" ht="15.75" customHeight="1">
      <c r="A399" s="978"/>
      <c r="B399" s="978"/>
      <c r="C399" s="978"/>
      <c r="D399" s="978"/>
      <c r="E399" s="978"/>
      <c r="F399" s="978"/>
      <c r="G399" s="978"/>
      <c r="H399" s="978"/>
      <c r="I399" s="978"/>
      <c r="J399" s="978"/>
      <c r="K399" s="978"/>
      <c r="L399" s="978"/>
      <c r="M399" s="978"/>
      <c r="N399" s="978"/>
    </row>
    <row r="400" spans="1:14" s="986" customFormat="1" ht="15.75" customHeight="1">
      <c r="A400" s="978"/>
      <c r="B400" s="978"/>
      <c r="C400" s="978"/>
      <c r="D400" s="978"/>
      <c r="E400" s="978"/>
      <c r="F400" s="978"/>
      <c r="G400" s="978"/>
      <c r="H400" s="978"/>
      <c r="I400" s="978"/>
      <c r="J400" s="978"/>
      <c r="K400" s="978"/>
      <c r="L400" s="978"/>
      <c r="M400" s="978"/>
      <c r="N400" s="978"/>
    </row>
    <row r="401" spans="1:14" s="986" customFormat="1" ht="15.75" customHeight="1">
      <c r="A401" s="978"/>
      <c r="B401" s="978"/>
      <c r="C401" s="978"/>
      <c r="D401" s="978"/>
      <c r="E401" s="978"/>
      <c r="F401" s="978"/>
      <c r="G401" s="978"/>
      <c r="H401" s="978"/>
      <c r="I401" s="978"/>
      <c r="J401" s="978"/>
      <c r="K401" s="978"/>
      <c r="L401" s="978"/>
      <c r="M401" s="978"/>
      <c r="N401" s="978"/>
    </row>
    <row r="402" spans="1:14" s="986" customFormat="1" ht="15.75" customHeight="1">
      <c r="A402" s="978"/>
      <c r="B402" s="978"/>
      <c r="C402" s="978"/>
      <c r="D402" s="978"/>
      <c r="E402" s="978"/>
      <c r="F402" s="978"/>
      <c r="G402" s="978"/>
      <c r="H402" s="978"/>
      <c r="I402" s="978"/>
      <c r="J402" s="978"/>
      <c r="K402" s="978"/>
      <c r="L402" s="978"/>
      <c r="M402" s="978"/>
      <c r="N402" s="978"/>
    </row>
    <row r="403" spans="1:14" s="986" customFormat="1" ht="15.75" customHeight="1">
      <c r="A403" s="978"/>
      <c r="B403" s="978"/>
      <c r="C403" s="978"/>
      <c r="D403" s="978"/>
      <c r="E403" s="978"/>
      <c r="F403" s="978"/>
      <c r="G403" s="978"/>
      <c r="H403" s="978"/>
      <c r="I403" s="978"/>
      <c r="J403" s="978"/>
      <c r="K403" s="978"/>
      <c r="L403" s="978"/>
      <c r="M403" s="978"/>
      <c r="N403" s="978"/>
    </row>
    <row r="404" spans="1:14" s="986" customFormat="1" ht="15.75" customHeight="1">
      <c r="A404" s="978"/>
      <c r="B404" s="978"/>
      <c r="C404" s="978"/>
      <c r="D404" s="978"/>
      <c r="E404" s="978"/>
      <c r="F404" s="978"/>
      <c r="G404" s="978"/>
      <c r="H404" s="978"/>
      <c r="I404" s="978"/>
      <c r="J404" s="978"/>
      <c r="K404" s="978"/>
      <c r="L404" s="978"/>
      <c r="M404" s="978"/>
      <c r="N404" s="978"/>
    </row>
    <row r="405" spans="1:14" s="986" customFormat="1" ht="15.75" customHeight="1">
      <c r="A405" s="978"/>
      <c r="B405" s="978"/>
      <c r="C405" s="978"/>
      <c r="D405" s="978"/>
      <c r="E405" s="978"/>
      <c r="F405" s="978"/>
      <c r="G405" s="978"/>
      <c r="H405" s="978"/>
      <c r="I405" s="978"/>
      <c r="J405" s="978"/>
      <c r="K405" s="978"/>
      <c r="L405" s="978"/>
      <c r="M405" s="978"/>
      <c r="N405" s="978"/>
    </row>
    <row r="406" spans="1:14" s="986" customFormat="1" ht="15.75" customHeight="1">
      <c r="A406" s="978"/>
      <c r="B406" s="978"/>
      <c r="C406" s="978"/>
      <c r="D406" s="978"/>
      <c r="E406" s="978"/>
      <c r="F406" s="978"/>
      <c r="G406" s="978"/>
      <c r="H406" s="978"/>
      <c r="I406" s="978"/>
      <c r="J406" s="978"/>
      <c r="K406" s="978"/>
      <c r="L406" s="978"/>
      <c r="M406" s="978"/>
      <c r="N406" s="978"/>
    </row>
    <row r="407" spans="1:14" s="986" customFormat="1" ht="15.75" customHeight="1">
      <c r="A407" s="978"/>
      <c r="B407" s="978"/>
      <c r="C407" s="978"/>
      <c r="D407" s="978"/>
      <c r="E407" s="978"/>
      <c r="F407" s="978"/>
      <c r="G407" s="978"/>
      <c r="H407" s="978"/>
      <c r="I407" s="978"/>
      <c r="J407" s="978"/>
      <c r="K407" s="978"/>
      <c r="L407" s="978"/>
      <c r="M407" s="978"/>
      <c r="N407" s="978"/>
    </row>
    <row r="408" spans="1:14" s="986" customFormat="1" ht="15.75" customHeight="1">
      <c r="A408" s="978"/>
      <c r="B408" s="978"/>
      <c r="C408" s="978"/>
      <c r="D408" s="978"/>
      <c r="E408" s="978"/>
      <c r="F408" s="978"/>
      <c r="G408" s="978"/>
      <c r="H408" s="978"/>
      <c r="I408" s="978"/>
      <c r="J408" s="978"/>
      <c r="K408" s="978"/>
      <c r="L408" s="978"/>
      <c r="M408" s="978"/>
      <c r="N408" s="978"/>
    </row>
    <row r="409" spans="1:14" s="986" customFormat="1" ht="15.75" customHeight="1">
      <c r="A409" s="978"/>
      <c r="B409" s="978"/>
      <c r="C409" s="978"/>
      <c r="D409" s="978"/>
      <c r="E409" s="978"/>
      <c r="F409" s="978"/>
      <c r="G409" s="978"/>
      <c r="H409" s="978"/>
      <c r="I409" s="978"/>
      <c r="J409" s="978"/>
      <c r="K409" s="978"/>
      <c r="L409" s="978"/>
      <c r="M409" s="978"/>
      <c r="N409" s="978"/>
    </row>
    <row r="410" spans="1:14" s="986" customFormat="1" ht="15.75" customHeight="1">
      <c r="A410" s="978"/>
      <c r="B410" s="978"/>
      <c r="C410" s="978"/>
      <c r="D410" s="978"/>
      <c r="E410" s="978"/>
      <c r="F410" s="978"/>
      <c r="G410" s="978"/>
      <c r="H410" s="978"/>
      <c r="I410" s="978"/>
      <c r="J410" s="978"/>
      <c r="K410" s="978"/>
      <c r="L410" s="978"/>
      <c r="M410" s="978"/>
      <c r="N410" s="978"/>
    </row>
    <row r="411" spans="1:14" s="986" customFormat="1" ht="15.75" customHeight="1">
      <c r="A411" s="978"/>
      <c r="B411" s="978"/>
      <c r="C411" s="978"/>
      <c r="D411" s="978"/>
      <c r="E411" s="978"/>
      <c r="F411" s="978"/>
      <c r="G411" s="978"/>
      <c r="H411" s="978"/>
      <c r="I411" s="978"/>
      <c r="J411" s="978"/>
      <c r="K411" s="978"/>
      <c r="L411" s="978"/>
      <c r="M411" s="978"/>
      <c r="N411" s="978"/>
    </row>
    <row r="412" spans="1:14" s="986" customFormat="1" ht="15.75" customHeight="1">
      <c r="A412" s="978"/>
      <c r="B412" s="978"/>
      <c r="C412" s="978"/>
      <c r="D412" s="978"/>
      <c r="E412" s="978"/>
      <c r="F412" s="978"/>
      <c r="G412" s="978"/>
      <c r="H412" s="978"/>
      <c r="I412" s="978"/>
      <c r="J412" s="978"/>
      <c r="K412" s="978"/>
      <c r="L412" s="978"/>
      <c r="M412" s="978"/>
      <c r="N412" s="978"/>
    </row>
    <row r="413" spans="1:14" s="986" customFormat="1" ht="15.75" customHeight="1">
      <c r="A413" s="978"/>
      <c r="B413" s="978"/>
      <c r="C413" s="978"/>
      <c r="D413" s="978"/>
      <c r="E413" s="978"/>
      <c r="F413" s="978"/>
      <c r="G413" s="978"/>
      <c r="H413" s="978"/>
      <c r="I413" s="978"/>
      <c r="J413" s="978"/>
      <c r="K413" s="978"/>
      <c r="L413" s="978"/>
      <c r="M413" s="978"/>
      <c r="N413" s="978"/>
    </row>
    <row r="414" spans="1:14" s="986" customFormat="1" ht="15.75" customHeight="1">
      <c r="A414" s="978"/>
      <c r="B414" s="978"/>
      <c r="C414" s="978"/>
      <c r="D414" s="978"/>
      <c r="E414" s="978"/>
      <c r="F414" s="978"/>
      <c r="G414" s="978"/>
      <c r="H414" s="978"/>
      <c r="I414" s="978"/>
      <c r="J414" s="978"/>
      <c r="K414" s="978"/>
      <c r="L414" s="978"/>
      <c r="M414" s="978"/>
      <c r="N414" s="978"/>
    </row>
    <row r="415" spans="1:14" s="986" customFormat="1" ht="15.75" customHeight="1">
      <c r="A415" s="978"/>
      <c r="B415" s="978"/>
      <c r="C415" s="978"/>
      <c r="D415" s="978"/>
      <c r="E415" s="978"/>
      <c r="F415" s="978"/>
      <c r="G415" s="978"/>
      <c r="H415" s="978"/>
      <c r="I415" s="978"/>
      <c r="J415" s="978"/>
      <c r="K415" s="978"/>
      <c r="L415" s="978"/>
      <c r="M415" s="978"/>
      <c r="N415" s="978"/>
    </row>
    <row r="416" spans="1:14" s="986" customFormat="1" ht="15.75" customHeight="1">
      <c r="A416" s="978"/>
      <c r="B416" s="978"/>
      <c r="C416" s="978"/>
      <c r="D416" s="978"/>
      <c r="E416" s="978"/>
      <c r="F416" s="978"/>
      <c r="G416" s="978"/>
      <c r="H416" s="978"/>
      <c r="I416" s="978"/>
      <c r="J416" s="978"/>
      <c r="K416" s="978"/>
      <c r="L416" s="978"/>
      <c r="M416" s="978"/>
      <c r="N416" s="978"/>
    </row>
    <row r="417" spans="1:14" s="986" customFormat="1" ht="15.75" customHeight="1">
      <c r="A417" s="978"/>
      <c r="B417" s="978"/>
      <c r="C417" s="978"/>
      <c r="D417" s="978"/>
      <c r="E417" s="978"/>
      <c r="F417" s="978"/>
      <c r="G417" s="978"/>
      <c r="H417" s="978"/>
      <c r="I417" s="978"/>
      <c r="J417" s="978"/>
      <c r="K417" s="978"/>
      <c r="L417" s="978"/>
      <c r="M417" s="978"/>
      <c r="N417" s="978"/>
    </row>
    <row r="418" spans="1:14" s="986" customFormat="1" ht="15.75" customHeight="1">
      <c r="A418" s="978"/>
      <c r="B418" s="978"/>
      <c r="C418" s="978"/>
      <c r="D418" s="978"/>
      <c r="E418" s="978"/>
      <c r="F418" s="978"/>
      <c r="G418" s="978"/>
      <c r="H418" s="978"/>
      <c r="I418" s="978"/>
      <c r="J418" s="978"/>
      <c r="K418" s="978"/>
      <c r="L418" s="978"/>
      <c r="M418" s="978"/>
      <c r="N418" s="978"/>
    </row>
    <row r="419" spans="1:14" s="986" customFormat="1" ht="15.75" customHeight="1">
      <c r="A419" s="978"/>
      <c r="B419" s="978"/>
      <c r="C419" s="978"/>
      <c r="D419" s="978"/>
      <c r="E419" s="978"/>
      <c r="F419" s="978"/>
      <c r="G419" s="978"/>
      <c r="H419" s="978"/>
      <c r="I419" s="978"/>
      <c r="J419" s="978"/>
      <c r="K419" s="978"/>
      <c r="L419" s="978"/>
      <c r="M419" s="978"/>
      <c r="N419" s="978"/>
    </row>
    <row r="420" spans="1:14" s="986" customFormat="1" ht="15.75" customHeight="1">
      <c r="A420" s="978"/>
      <c r="B420" s="978"/>
      <c r="C420" s="978"/>
      <c r="D420" s="978"/>
      <c r="E420" s="978"/>
      <c r="F420" s="978"/>
      <c r="G420" s="978"/>
      <c r="H420" s="978"/>
      <c r="I420" s="978"/>
      <c r="J420" s="978"/>
      <c r="K420" s="978"/>
      <c r="L420" s="978"/>
      <c r="M420" s="978"/>
      <c r="N420" s="978"/>
    </row>
    <row r="421" spans="1:14" s="986" customFormat="1" ht="15.75" customHeight="1">
      <c r="A421" s="978"/>
      <c r="B421" s="978"/>
      <c r="C421" s="978"/>
      <c r="D421" s="978"/>
      <c r="E421" s="978"/>
      <c r="F421" s="978"/>
      <c r="G421" s="978"/>
      <c r="H421" s="978"/>
      <c r="I421" s="978"/>
      <c r="J421" s="978"/>
      <c r="K421" s="978"/>
      <c r="L421" s="978"/>
      <c r="M421" s="978"/>
      <c r="N421" s="978"/>
    </row>
    <row r="422" spans="1:14" s="986" customFormat="1" ht="15.75" customHeight="1">
      <c r="A422" s="978"/>
      <c r="B422" s="978"/>
      <c r="C422" s="978"/>
      <c r="D422" s="978"/>
      <c r="E422" s="978"/>
      <c r="F422" s="978"/>
      <c r="G422" s="978"/>
      <c r="H422" s="978"/>
      <c r="I422" s="978"/>
      <c r="J422" s="978"/>
      <c r="K422" s="978"/>
      <c r="L422" s="978"/>
      <c r="M422" s="978"/>
      <c r="N422" s="978"/>
    </row>
    <row r="423" spans="1:14" s="986" customFormat="1" ht="15.75" customHeight="1">
      <c r="A423" s="978"/>
      <c r="B423" s="978"/>
      <c r="C423" s="978"/>
      <c r="D423" s="978"/>
      <c r="E423" s="978"/>
      <c r="F423" s="978"/>
      <c r="G423" s="978"/>
      <c r="H423" s="978"/>
      <c r="I423" s="978"/>
      <c r="J423" s="978"/>
      <c r="K423" s="978"/>
      <c r="L423" s="978"/>
      <c r="M423" s="978"/>
      <c r="N423" s="978"/>
    </row>
    <row r="424" spans="1:14" s="986" customFormat="1" ht="15.75" customHeight="1">
      <c r="A424" s="978"/>
      <c r="B424" s="978"/>
      <c r="C424" s="978"/>
      <c r="D424" s="978"/>
      <c r="E424" s="978"/>
      <c r="F424" s="978"/>
      <c r="G424" s="978"/>
      <c r="H424" s="978"/>
      <c r="I424" s="978"/>
      <c r="J424" s="978"/>
      <c r="K424" s="978"/>
      <c r="L424" s="978"/>
      <c r="M424" s="978"/>
      <c r="N424" s="978"/>
    </row>
    <row r="425" spans="1:14" s="986" customFormat="1" ht="15.75" customHeight="1">
      <c r="A425" s="978"/>
      <c r="B425" s="978"/>
      <c r="C425" s="978"/>
      <c r="D425" s="978"/>
      <c r="E425" s="978"/>
      <c r="F425" s="978"/>
      <c r="G425" s="978"/>
      <c r="H425" s="978"/>
      <c r="I425" s="978"/>
      <c r="J425" s="978"/>
      <c r="K425" s="978"/>
      <c r="L425" s="978"/>
      <c r="M425" s="978"/>
      <c r="N425" s="978"/>
    </row>
    <row r="426" spans="1:14" s="986" customFormat="1" ht="15.75" customHeight="1">
      <c r="A426" s="978"/>
      <c r="B426" s="978"/>
      <c r="C426" s="978"/>
      <c r="D426" s="978"/>
      <c r="E426" s="978"/>
      <c r="F426" s="978"/>
      <c r="G426" s="978"/>
      <c r="H426" s="978"/>
      <c r="I426" s="978"/>
      <c r="J426" s="978"/>
      <c r="K426" s="978"/>
      <c r="L426" s="978"/>
      <c r="M426" s="978"/>
      <c r="N426" s="978"/>
    </row>
    <row r="427" spans="1:14" s="986" customFormat="1" ht="15.75" customHeight="1">
      <c r="A427" s="978"/>
      <c r="B427" s="978"/>
      <c r="C427" s="978"/>
      <c r="D427" s="978"/>
      <c r="E427" s="978"/>
      <c r="F427" s="978"/>
      <c r="G427" s="978"/>
      <c r="H427" s="978"/>
      <c r="I427" s="978"/>
      <c r="J427" s="978"/>
      <c r="K427" s="978"/>
      <c r="L427" s="978"/>
      <c r="M427" s="978"/>
      <c r="N427" s="978"/>
    </row>
    <row r="428" spans="1:14" s="986" customFormat="1" ht="15.75" customHeight="1">
      <c r="A428" s="978"/>
      <c r="B428" s="978"/>
      <c r="C428" s="978"/>
      <c r="D428" s="978"/>
      <c r="E428" s="978"/>
      <c r="F428" s="978"/>
      <c r="G428" s="978"/>
      <c r="H428" s="978"/>
      <c r="I428" s="978"/>
      <c r="J428" s="978"/>
      <c r="K428" s="978"/>
      <c r="L428" s="978"/>
      <c r="M428" s="978"/>
      <c r="N428" s="978"/>
    </row>
    <row r="429" spans="1:14" s="986" customFormat="1" ht="15.75" customHeight="1">
      <c r="A429" s="978"/>
      <c r="B429" s="978"/>
      <c r="C429" s="978"/>
      <c r="D429" s="978"/>
      <c r="E429" s="978"/>
      <c r="F429" s="978"/>
      <c r="G429" s="978"/>
      <c r="H429" s="978"/>
      <c r="I429" s="978"/>
      <c r="J429" s="978"/>
      <c r="K429" s="978"/>
      <c r="L429" s="978"/>
      <c r="M429" s="978"/>
      <c r="N429" s="978"/>
    </row>
    <row r="430" spans="1:14" s="986" customFormat="1" ht="15.75" customHeight="1">
      <c r="A430" s="978"/>
      <c r="B430" s="978"/>
      <c r="C430" s="978"/>
      <c r="D430" s="978"/>
      <c r="E430" s="978"/>
      <c r="F430" s="978"/>
      <c r="G430" s="978"/>
      <c r="H430" s="978"/>
      <c r="I430" s="978"/>
      <c r="J430" s="978"/>
      <c r="K430" s="978"/>
      <c r="L430" s="978"/>
      <c r="M430" s="978"/>
      <c r="N430" s="978"/>
    </row>
    <row r="431" spans="1:14" s="986" customFormat="1" ht="15.75" customHeight="1">
      <c r="A431" s="978"/>
      <c r="B431" s="978"/>
      <c r="C431" s="978"/>
      <c r="D431" s="978"/>
      <c r="E431" s="978"/>
      <c r="F431" s="978"/>
      <c r="G431" s="978"/>
      <c r="H431" s="978"/>
      <c r="I431" s="978"/>
      <c r="J431" s="978"/>
      <c r="K431" s="978"/>
      <c r="L431" s="978"/>
      <c r="M431" s="978"/>
      <c r="N431" s="978"/>
    </row>
    <row r="432" spans="1:14" s="986" customFormat="1" ht="15.75" customHeight="1">
      <c r="A432" s="978"/>
      <c r="B432" s="978"/>
      <c r="C432" s="978"/>
      <c r="D432" s="978"/>
      <c r="E432" s="978"/>
      <c r="F432" s="978"/>
      <c r="G432" s="978"/>
      <c r="H432" s="978"/>
      <c r="I432" s="978"/>
      <c r="J432" s="978"/>
      <c r="K432" s="978"/>
      <c r="L432" s="978"/>
      <c r="M432" s="978"/>
      <c r="N432" s="978"/>
    </row>
    <row r="433" spans="1:14" s="986" customFormat="1" ht="15.75" customHeight="1">
      <c r="A433" s="978"/>
      <c r="B433" s="978"/>
      <c r="C433" s="978"/>
      <c r="D433" s="978"/>
      <c r="E433" s="978"/>
      <c r="F433" s="978"/>
      <c r="G433" s="978"/>
      <c r="H433" s="978"/>
      <c r="I433" s="978"/>
      <c r="J433" s="978"/>
      <c r="K433" s="978"/>
      <c r="L433" s="978"/>
      <c r="M433" s="978"/>
      <c r="N433" s="978"/>
    </row>
    <row r="434" spans="1:14" s="986" customFormat="1" ht="15.75" customHeight="1">
      <c r="A434" s="978"/>
      <c r="B434" s="978"/>
      <c r="C434" s="978"/>
      <c r="D434" s="978"/>
      <c r="E434" s="978"/>
      <c r="F434" s="978"/>
      <c r="G434" s="978"/>
      <c r="H434" s="978"/>
      <c r="I434" s="978"/>
      <c r="J434" s="978"/>
      <c r="K434" s="978"/>
      <c r="L434" s="978"/>
      <c r="M434" s="978"/>
      <c r="N434" s="978"/>
    </row>
    <row r="435" spans="1:14" s="986" customFormat="1" ht="15.75" customHeight="1">
      <c r="A435" s="978"/>
      <c r="B435" s="978"/>
      <c r="C435" s="978"/>
      <c r="D435" s="978"/>
      <c r="E435" s="978"/>
      <c r="F435" s="978"/>
      <c r="G435" s="978"/>
      <c r="H435" s="978"/>
      <c r="I435" s="978"/>
      <c r="J435" s="978"/>
      <c r="K435" s="978"/>
      <c r="L435" s="978"/>
      <c r="M435" s="978"/>
      <c r="N435" s="978"/>
    </row>
    <row r="436" spans="1:14" s="986" customFormat="1" ht="15.75" customHeight="1">
      <c r="A436" s="978"/>
      <c r="B436" s="978"/>
      <c r="C436" s="978"/>
      <c r="D436" s="978"/>
      <c r="E436" s="978"/>
      <c r="F436" s="978"/>
      <c r="G436" s="978"/>
      <c r="H436" s="978"/>
      <c r="I436" s="978"/>
      <c r="J436" s="978"/>
      <c r="K436" s="978"/>
      <c r="L436" s="978"/>
      <c r="M436" s="978"/>
      <c r="N436" s="978"/>
    </row>
    <row r="437" spans="1:14" s="986" customFormat="1" ht="15.75" customHeight="1">
      <c r="A437" s="978"/>
      <c r="B437" s="978"/>
      <c r="C437" s="978"/>
      <c r="D437" s="978"/>
      <c r="E437" s="978"/>
      <c r="F437" s="978"/>
      <c r="G437" s="978"/>
      <c r="H437" s="978"/>
      <c r="I437" s="978"/>
      <c r="J437" s="978"/>
      <c r="K437" s="978"/>
      <c r="L437" s="978"/>
      <c r="M437" s="978"/>
      <c r="N437" s="978"/>
    </row>
    <row r="438" spans="1:14" s="986" customFormat="1" ht="15.75" customHeight="1">
      <c r="A438" s="978"/>
      <c r="B438" s="978"/>
      <c r="C438" s="978"/>
      <c r="D438" s="978"/>
      <c r="E438" s="978"/>
      <c r="F438" s="978"/>
      <c r="G438" s="978"/>
      <c r="H438" s="978"/>
      <c r="I438" s="978"/>
      <c r="J438" s="978"/>
      <c r="K438" s="978"/>
      <c r="L438" s="978"/>
      <c r="M438" s="978"/>
      <c r="N438" s="978"/>
    </row>
    <row r="439" spans="1:14" s="986" customFormat="1" ht="15.75" customHeight="1">
      <c r="A439" s="978"/>
      <c r="B439" s="978"/>
      <c r="C439" s="978"/>
      <c r="D439" s="978"/>
      <c r="E439" s="978"/>
      <c r="F439" s="978"/>
      <c r="G439" s="978"/>
      <c r="H439" s="978"/>
      <c r="I439" s="978"/>
      <c r="J439" s="978"/>
      <c r="K439" s="978"/>
      <c r="L439" s="978"/>
      <c r="M439" s="978"/>
      <c r="N439" s="978"/>
    </row>
    <row r="440" spans="1:14" s="986" customFormat="1" ht="15.75" customHeight="1">
      <c r="A440" s="978"/>
      <c r="B440" s="978"/>
      <c r="C440" s="978"/>
      <c r="D440" s="978"/>
      <c r="E440" s="978"/>
      <c r="F440" s="978"/>
      <c r="G440" s="978"/>
      <c r="H440" s="978"/>
      <c r="I440" s="978"/>
      <c r="J440" s="978"/>
      <c r="K440" s="978"/>
      <c r="L440" s="978"/>
      <c r="M440" s="978"/>
      <c r="N440" s="978"/>
    </row>
    <row r="441" spans="1:14" s="986" customFormat="1" ht="15.75" customHeight="1">
      <c r="A441" s="978"/>
      <c r="B441" s="978"/>
      <c r="C441" s="978"/>
      <c r="D441" s="978"/>
      <c r="E441" s="978"/>
      <c r="F441" s="978"/>
      <c r="G441" s="978"/>
      <c r="H441" s="978"/>
      <c r="I441" s="978"/>
      <c r="J441" s="978"/>
      <c r="K441" s="978"/>
      <c r="L441" s="978"/>
      <c r="M441" s="978"/>
      <c r="N441" s="978"/>
    </row>
    <row r="442" spans="1:14" s="986" customFormat="1" ht="15.75" customHeight="1">
      <c r="A442" s="978"/>
      <c r="B442" s="978"/>
      <c r="C442" s="978"/>
      <c r="D442" s="978"/>
      <c r="E442" s="978"/>
      <c r="F442" s="978"/>
      <c r="G442" s="978"/>
      <c r="H442" s="978"/>
      <c r="I442" s="978"/>
      <c r="J442" s="978"/>
      <c r="K442" s="978"/>
      <c r="L442" s="978"/>
      <c r="M442" s="978"/>
      <c r="N442" s="978"/>
    </row>
    <row r="443" spans="1:14" s="986" customFormat="1" ht="15.75" customHeight="1">
      <c r="A443" s="978"/>
      <c r="B443" s="978"/>
      <c r="C443" s="978"/>
      <c r="D443" s="978"/>
      <c r="E443" s="978"/>
      <c r="F443" s="978"/>
      <c r="G443" s="978"/>
      <c r="H443" s="978"/>
      <c r="I443" s="978"/>
      <c r="J443" s="978"/>
      <c r="K443" s="978"/>
      <c r="L443" s="978"/>
      <c r="M443" s="978"/>
      <c r="N443" s="978"/>
    </row>
    <row r="444" spans="1:14" s="986" customFormat="1" ht="15.75" customHeight="1">
      <c r="A444" s="978"/>
      <c r="B444" s="978"/>
      <c r="C444" s="978"/>
      <c r="D444" s="978"/>
      <c r="E444" s="978"/>
      <c r="F444" s="978"/>
      <c r="G444" s="978"/>
      <c r="H444" s="978"/>
      <c r="I444" s="978"/>
      <c r="J444" s="978"/>
      <c r="K444" s="978"/>
      <c r="L444" s="978"/>
      <c r="M444" s="978"/>
      <c r="N444" s="978"/>
    </row>
    <row r="445" spans="1:14" s="986" customFormat="1" ht="15.75" customHeight="1">
      <c r="A445" s="978"/>
      <c r="B445" s="978"/>
      <c r="C445" s="978"/>
      <c r="D445" s="978"/>
      <c r="E445" s="978"/>
      <c r="F445" s="978"/>
      <c r="G445" s="978"/>
      <c r="H445" s="978"/>
      <c r="I445" s="978"/>
      <c r="J445" s="978"/>
      <c r="K445" s="978"/>
      <c r="L445" s="978"/>
      <c r="M445" s="978"/>
      <c r="N445" s="978"/>
    </row>
    <row r="446" spans="1:14" s="986" customFormat="1" ht="15.75" customHeight="1">
      <c r="A446" s="978"/>
      <c r="B446" s="978"/>
      <c r="C446" s="978"/>
      <c r="D446" s="978"/>
      <c r="E446" s="978"/>
      <c r="F446" s="978"/>
      <c r="G446" s="978"/>
      <c r="H446" s="978"/>
      <c r="I446" s="978"/>
      <c r="J446" s="978"/>
      <c r="K446" s="978"/>
      <c r="L446" s="978"/>
      <c r="M446" s="978"/>
      <c r="N446" s="978"/>
    </row>
    <row r="447" spans="1:14" s="986" customFormat="1" ht="15.75" customHeight="1">
      <c r="A447" s="978"/>
      <c r="B447" s="978"/>
      <c r="C447" s="978"/>
      <c r="D447" s="978"/>
      <c r="E447" s="978"/>
      <c r="F447" s="978"/>
      <c r="G447" s="978"/>
      <c r="H447" s="978"/>
      <c r="I447" s="978"/>
      <c r="J447" s="978"/>
      <c r="K447" s="978"/>
      <c r="L447" s="978"/>
      <c r="M447" s="978"/>
      <c r="N447" s="978"/>
    </row>
    <row r="448" spans="1:14" s="986" customFormat="1" ht="15.75" customHeight="1">
      <c r="A448" s="978"/>
      <c r="B448" s="978"/>
      <c r="C448" s="978"/>
      <c r="D448" s="978"/>
      <c r="E448" s="978"/>
      <c r="F448" s="978"/>
      <c r="G448" s="978"/>
      <c r="H448" s="978"/>
      <c r="I448" s="978"/>
      <c r="J448" s="978"/>
      <c r="K448" s="978"/>
      <c r="L448" s="978"/>
      <c r="M448" s="978"/>
      <c r="N448" s="978"/>
    </row>
    <row r="449" spans="1:14" s="986" customFormat="1" ht="15.75" customHeight="1">
      <c r="A449" s="978"/>
      <c r="B449" s="978"/>
      <c r="C449" s="978"/>
      <c r="D449" s="978"/>
      <c r="E449" s="978"/>
      <c r="F449" s="978"/>
      <c r="G449" s="978"/>
      <c r="H449" s="978"/>
      <c r="I449" s="978"/>
      <c r="J449" s="978"/>
      <c r="K449" s="978"/>
      <c r="L449" s="978"/>
      <c r="M449" s="978"/>
      <c r="N449" s="978"/>
    </row>
    <row r="450" spans="1:14" s="986" customFormat="1" ht="15.75" customHeight="1">
      <c r="A450" s="978"/>
      <c r="B450" s="978"/>
      <c r="C450" s="978"/>
      <c r="D450" s="978"/>
      <c r="E450" s="978"/>
      <c r="F450" s="978"/>
      <c r="G450" s="978"/>
      <c r="H450" s="978"/>
      <c r="I450" s="978"/>
      <c r="J450" s="978"/>
      <c r="K450" s="978"/>
      <c r="L450" s="978"/>
      <c r="M450" s="978"/>
      <c r="N450" s="978"/>
    </row>
    <row r="451" spans="1:14" s="986" customFormat="1" ht="15.75" customHeight="1">
      <c r="A451" s="978"/>
      <c r="B451" s="978"/>
      <c r="C451" s="978"/>
      <c r="D451" s="978"/>
      <c r="E451" s="978"/>
      <c r="F451" s="978"/>
      <c r="G451" s="978"/>
      <c r="H451" s="978"/>
      <c r="I451" s="978"/>
      <c r="J451" s="978"/>
      <c r="K451" s="978"/>
      <c r="L451" s="978"/>
      <c r="M451" s="978"/>
      <c r="N451" s="978"/>
    </row>
    <row r="452" spans="1:14" s="986" customFormat="1" ht="15.75" customHeight="1">
      <c r="A452" s="978"/>
      <c r="B452" s="978"/>
      <c r="C452" s="978"/>
      <c r="D452" s="978"/>
      <c r="E452" s="978"/>
      <c r="F452" s="978"/>
      <c r="G452" s="978"/>
      <c r="H452" s="978"/>
      <c r="I452" s="978"/>
      <c r="J452" s="978"/>
      <c r="K452" s="978"/>
      <c r="L452" s="978"/>
      <c r="M452" s="978"/>
      <c r="N452" s="978"/>
    </row>
    <row r="453" spans="1:14" s="986" customFormat="1" ht="15.75" customHeight="1">
      <c r="A453" s="978"/>
      <c r="B453" s="978"/>
      <c r="C453" s="978"/>
      <c r="D453" s="978"/>
      <c r="E453" s="978"/>
      <c r="F453" s="978"/>
      <c r="G453" s="978"/>
      <c r="H453" s="978"/>
      <c r="I453" s="978"/>
      <c r="J453" s="978"/>
      <c r="K453" s="978"/>
      <c r="L453" s="978"/>
      <c r="M453" s="978"/>
      <c r="N453" s="978"/>
    </row>
    <row r="454" spans="1:14" s="986" customFormat="1" ht="15.75" customHeight="1">
      <c r="A454" s="978"/>
      <c r="B454" s="978"/>
      <c r="C454" s="978"/>
      <c r="D454" s="978"/>
      <c r="E454" s="978"/>
      <c r="F454" s="978"/>
      <c r="G454" s="978"/>
      <c r="H454" s="978"/>
      <c r="I454" s="978"/>
      <c r="J454" s="978"/>
      <c r="K454" s="978"/>
      <c r="L454" s="978"/>
      <c r="M454" s="978"/>
      <c r="N454" s="978"/>
    </row>
    <row r="455" spans="1:14" s="986" customFormat="1" ht="15.75" customHeight="1">
      <c r="A455" s="978"/>
      <c r="B455" s="978"/>
      <c r="C455" s="978"/>
      <c r="D455" s="978"/>
      <c r="E455" s="978"/>
      <c r="F455" s="978"/>
      <c r="G455" s="978"/>
      <c r="H455" s="978"/>
      <c r="I455" s="978"/>
      <c r="J455" s="978"/>
      <c r="K455" s="978"/>
      <c r="L455" s="978"/>
      <c r="M455" s="978"/>
      <c r="N455" s="978"/>
    </row>
    <row r="456" spans="1:14" s="986" customFormat="1" ht="15.75" customHeight="1">
      <c r="A456" s="978"/>
      <c r="B456" s="978"/>
      <c r="C456" s="978"/>
      <c r="D456" s="978"/>
      <c r="E456" s="978"/>
      <c r="F456" s="978"/>
      <c r="G456" s="978"/>
      <c r="H456" s="978"/>
      <c r="I456" s="978"/>
      <c r="J456" s="978"/>
      <c r="K456" s="978"/>
      <c r="L456" s="978"/>
      <c r="M456" s="978"/>
      <c r="N456" s="978"/>
    </row>
    <row r="457" spans="1:14" s="986" customFormat="1" ht="15.75" customHeight="1">
      <c r="A457" s="978"/>
      <c r="B457" s="978"/>
      <c r="C457" s="978"/>
      <c r="D457" s="978"/>
      <c r="E457" s="978"/>
      <c r="F457" s="978"/>
      <c r="G457" s="978"/>
      <c r="H457" s="978"/>
      <c r="I457" s="978"/>
      <c r="J457" s="978"/>
      <c r="K457" s="978"/>
      <c r="L457" s="978"/>
      <c r="M457" s="978"/>
      <c r="N457" s="978"/>
    </row>
    <row r="458" spans="1:14" s="986" customFormat="1" ht="15.75" customHeight="1">
      <c r="A458" s="978"/>
      <c r="B458" s="978"/>
      <c r="C458" s="978"/>
      <c r="D458" s="978"/>
      <c r="E458" s="978"/>
      <c r="F458" s="978"/>
      <c r="G458" s="978"/>
      <c r="H458" s="978"/>
      <c r="I458" s="978"/>
      <c r="J458" s="978"/>
      <c r="K458" s="978"/>
      <c r="L458" s="978"/>
      <c r="M458" s="978"/>
      <c r="N458" s="978"/>
    </row>
    <row r="459" spans="1:14" s="986" customFormat="1" ht="15.75" customHeight="1">
      <c r="A459" s="978"/>
      <c r="B459" s="978"/>
      <c r="C459" s="978"/>
      <c r="D459" s="978"/>
      <c r="E459" s="978"/>
      <c r="F459" s="978"/>
      <c r="G459" s="978"/>
      <c r="H459" s="978"/>
      <c r="I459" s="978"/>
      <c r="J459" s="978"/>
      <c r="K459" s="978"/>
      <c r="L459" s="978"/>
      <c r="M459" s="978"/>
      <c r="N459" s="978"/>
    </row>
    <row r="460" spans="1:14" s="986" customFormat="1" ht="15.75" customHeight="1">
      <c r="A460" s="978"/>
      <c r="B460" s="978"/>
      <c r="C460" s="978"/>
      <c r="D460" s="978"/>
      <c r="E460" s="978"/>
      <c r="F460" s="978"/>
      <c r="G460" s="978"/>
      <c r="H460" s="978"/>
      <c r="I460" s="978"/>
      <c r="J460" s="978"/>
      <c r="K460" s="978"/>
      <c r="L460" s="978"/>
      <c r="M460" s="978"/>
      <c r="N460" s="978"/>
    </row>
    <row r="461" spans="1:14" s="986" customFormat="1" ht="15.75" customHeight="1">
      <c r="A461" s="978"/>
      <c r="B461" s="978"/>
      <c r="C461" s="978"/>
      <c r="D461" s="978"/>
      <c r="E461" s="978"/>
      <c r="F461" s="978"/>
      <c r="G461" s="978"/>
      <c r="H461" s="978"/>
      <c r="I461" s="978"/>
      <c r="J461" s="978"/>
      <c r="K461" s="978"/>
      <c r="L461" s="978"/>
      <c r="M461" s="978"/>
      <c r="N461" s="978"/>
    </row>
    <row r="462" spans="1:14" s="986" customFormat="1" ht="15.75" customHeight="1">
      <c r="A462" s="978"/>
      <c r="B462" s="978"/>
      <c r="C462" s="978"/>
      <c r="D462" s="978"/>
      <c r="E462" s="978"/>
      <c r="F462" s="978"/>
      <c r="G462" s="978"/>
      <c r="H462" s="978"/>
      <c r="I462" s="978"/>
      <c r="J462" s="978"/>
      <c r="K462" s="978"/>
      <c r="L462" s="978"/>
      <c r="M462" s="978"/>
      <c r="N462" s="978"/>
    </row>
    <row r="463" spans="1:14" s="986" customFormat="1" ht="15.75" customHeight="1">
      <c r="A463" s="978"/>
      <c r="B463" s="978"/>
      <c r="C463" s="978"/>
      <c r="D463" s="978"/>
      <c r="E463" s="978"/>
      <c r="F463" s="978"/>
      <c r="G463" s="978"/>
      <c r="H463" s="978"/>
      <c r="I463" s="978"/>
      <c r="J463" s="978"/>
      <c r="K463" s="978"/>
      <c r="L463" s="978"/>
      <c r="M463" s="978"/>
      <c r="N463" s="978"/>
    </row>
    <row r="464" spans="1:14" s="986" customFormat="1" ht="15.75" customHeight="1">
      <c r="A464" s="978"/>
      <c r="B464" s="978"/>
      <c r="C464" s="978"/>
      <c r="D464" s="978"/>
      <c r="E464" s="978"/>
      <c r="F464" s="978"/>
      <c r="G464" s="978"/>
      <c r="H464" s="978"/>
      <c r="I464" s="978"/>
      <c r="J464" s="978"/>
      <c r="K464" s="978"/>
      <c r="L464" s="978"/>
      <c r="M464" s="978"/>
      <c r="N464" s="978"/>
    </row>
    <row r="465" spans="1:14" s="986" customFormat="1" ht="15.75" customHeight="1">
      <c r="A465" s="978"/>
      <c r="B465" s="978"/>
      <c r="C465" s="978"/>
      <c r="D465" s="978"/>
      <c r="E465" s="978"/>
      <c r="F465" s="978"/>
      <c r="G465" s="978"/>
      <c r="H465" s="978"/>
      <c r="I465" s="978"/>
      <c r="J465" s="978"/>
      <c r="K465" s="978"/>
      <c r="L465" s="978"/>
      <c r="M465" s="978"/>
      <c r="N465" s="978"/>
    </row>
    <row r="466" spans="1:14" s="986" customFormat="1" ht="15.75" customHeight="1">
      <c r="A466" s="978"/>
      <c r="B466" s="978"/>
      <c r="C466" s="978"/>
      <c r="D466" s="978"/>
      <c r="E466" s="978"/>
      <c r="F466" s="978"/>
      <c r="G466" s="978"/>
      <c r="H466" s="978"/>
      <c r="I466" s="978"/>
      <c r="J466" s="978"/>
      <c r="K466" s="978"/>
      <c r="L466" s="978"/>
      <c r="M466" s="978"/>
      <c r="N466" s="978"/>
    </row>
    <row r="467" spans="1:14" s="986" customFormat="1" ht="15.75" customHeight="1">
      <c r="A467" s="978"/>
      <c r="B467" s="978"/>
      <c r="C467" s="978"/>
      <c r="D467" s="978"/>
      <c r="E467" s="978"/>
      <c r="F467" s="978"/>
      <c r="G467" s="978"/>
      <c r="H467" s="978"/>
      <c r="I467" s="978"/>
      <c r="J467" s="978"/>
      <c r="K467" s="978"/>
      <c r="L467" s="978"/>
      <c r="M467" s="978"/>
      <c r="N467" s="978"/>
    </row>
    <row r="468" spans="1:14" s="986" customFormat="1" ht="15.75" customHeight="1">
      <c r="A468" s="978"/>
      <c r="B468" s="978"/>
      <c r="C468" s="978"/>
      <c r="D468" s="978"/>
      <c r="E468" s="978"/>
      <c r="F468" s="978"/>
      <c r="G468" s="978"/>
      <c r="H468" s="978"/>
      <c r="I468" s="978"/>
      <c r="J468" s="978"/>
      <c r="K468" s="978"/>
      <c r="L468" s="978"/>
      <c r="M468" s="978"/>
      <c r="N468" s="978"/>
    </row>
    <row r="469" spans="1:14" s="986" customFormat="1" ht="15.75" customHeight="1">
      <c r="A469" s="978"/>
      <c r="B469" s="978"/>
      <c r="C469" s="978"/>
      <c r="D469" s="978"/>
      <c r="E469" s="978"/>
      <c r="F469" s="978"/>
      <c r="G469" s="978"/>
      <c r="H469" s="978"/>
      <c r="I469" s="978"/>
      <c r="J469" s="978"/>
      <c r="K469" s="978"/>
      <c r="L469" s="978"/>
      <c r="M469" s="978"/>
      <c r="N469" s="978"/>
    </row>
    <row r="470" spans="1:14" s="986" customFormat="1" ht="15.75" customHeight="1">
      <c r="A470" s="978"/>
      <c r="B470" s="978"/>
      <c r="C470" s="978"/>
      <c r="D470" s="978"/>
      <c r="E470" s="978"/>
      <c r="F470" s="978"/>
      <c r="G470" s="978"/>
      <c r="H470" s="978"/>
      <c r="I470" s="978"/>
      <c r="J470" s="978"/>
      <c r="K470" s="978"/>
      <c r="L470" s="978"/>
      <c r="M470" s="978"/>
      <c r="N470" s="978"/>
    </row>
    <row r="471" spans="1:14" s="986" customFormat="1" ht="15.75" customHeight="1">
      <c r="A471" s="978"/>
      <c r="B471" s="978"/>
      <c r="C471" s="978"/>
      <c r="D471" s="978"/>
      <c r="E471" s="978"/>
      <c r="F471" s="978"/>
      <c r="G471" s="978"/>
      <c r="H471" s="978"/>
      <c r="I471" s="978"/>
      <c r="J471" s="978"/>
      <c r="K471" s="978"/>
      <c r="L471" s="978"/>
      <c r="M471" s="978"/>
      <c r="N471" s="978"/>
    </row>
    <row r="472" spans="1:14" s="986" customFormat="1" ht="15.75" customHeight="1">
      <c r="A472" s="978"/>
      <c r="B472" s="978"/>
      <c r="C472" s="978"/>
      <c r="D472" s="978"/>
      <c r="E472" s="978"/>
      <c r="F472" s="978"/>
      <c r="G472" s="978"/>
      <c r="H472" s="978"/>
      <c r="I472" s="978"/>
      <c r="J472" s="978"/>
      <c r="K472" s="978"/>
      <c r="L472" s="978"/>
      <c r="M472" s="978"/>
      <c r="N472" s="978"/>
    </row>
    <row r="473" spans="1:14" s="986" customFormat="1" ht="15.75" customHeight="1">
      <c r="A473" s="978"/>
      <c r="B473" s="978"/>
      <c r="C473" s="978"/>
      <c r="D473" s="978"/>
      <c r="E473" s="978"/>
      <c r="F473" s="978"/>
      <c r="G473" s="978"/>
      <c r="H473" s="978"/>
      <c r="I473" s="978"/>
      <c r="J473" s="978"/>
      <c r="K473" s="978"/>
      <c r="L473" s="978"/>
      <c r="M473" s="978"/>
      <c r="N473" s="978"/>
    </row>
    <row r="474" spans="1:14" s="986" customFormat="1" ht="15.75" customHeight="1">
      <c r="A474" s="978"/>
      <c r="B474" s="978"/>
      <c r="C474" s="978"/>
      <c r="D474" s="978"/>
      <c r="E474" s="978"/>
      <c r="F474" s="978"/>
      <c r="G474" s="978"/>
      <c r="H474" s="978"/>
      <c r="I474" s="978"/>
      <c r="J474" s="978"/>
      <c r="K474" s="978"/>
      <c r="L474" s="978"/>
      <c r="M474" s="978"/>
      <c r="N474" s="978"/>
    </row>
    <row r="475" spans="1:14" s="986" customFormat="1" ht="15.75" customHeight="1">
      <c r="A475" s="1055"/>
      <c r="B475" s="1055"/>
      <c r="C475" s="1055"/>
      <c r="D475" s="1055"/>
      <c r="E475" s="1055"/>
      <c r="F475" s="1055"/>
      <c r="G475" s="1055"/>
      <c r="H475" s="1055"/>
      <c r="I475" s="1055"/>
      <c r="J475" s="1055"/>
      <c r="K475" s="1055"/>
      <c r="L475" s="1055"/>
      <c r="M475" s="1055"/>
      <c r="N475" s="1055"/>
    </row>
    <row r="476" spans="1:14" s="986" customFormat="1" ht="15.75" customHeight="1">
      <c r="A476" s="1055"/>
      <c r="B476" s="1055"/>
      <c r="C476" s="1055"/>
      <c r="D476" s="1055"/>
      <c r="E476" s="1055"/>
      <c r="F476" s="1055"/>
      <c r="G476" s="1055"/>
      <c r="H476" s="1055"/>
      <c r="I476" s="1055"/>
      <c r="J476" s="1055"/>
      <c r="K476" s="1055"/>
      <c r="L476" s="1055"/>
      <c r="M476" s="1055"/>
      <c r="N476" s="1055"/>
    </row>
    <row r="477" spans="1:14" s="986" customFormat="1" ht="15.75" customHeight="1">
      <c r="A477" s="1055"/>
      <c r="B477" s="1055"/>
      <c r="C477" s="1055"/>
      <c r="D477" s="1055"/>
      <c r="E477" s="1055"/>
      <c r="F477" s="1055"/>
      <c r="G477" s="1055"/>
      <c r="H477" s="1055"/>
      <c r="I477" s="1055"/>
      <c r="J477" s="1055"/>
      <c r="K477" s="1055"/>
      <c r="L477" s="1055"/>
      <c r="M477" s="1055"/>
      <c r="N477" s="1055"/>
    </row>
    <row r="478" spans="1:14" s="986" customFormat="1" ht="15.75" customHeight="1">
      <c r="A478" s="1055"/>
      <c r="B478" s="1055"/>
      <c r="C478" s="1055"/>
      <c r="D478" s="1055"/>
      <c r="E478" s="1055"/>
      <c r="F478" s="1055"/>
      <c r="G478" s="1055"/>
      <c r="H478" s="1055"/>
      <c r="I478" s="1055"/>
      <c r="J478" s="1055"/>
      <c r="K478" s="1055"/>
      <c r="L478" s="1055"/>
      <c r="M478" s="1055"/>
      <c r="N478" s="1055"/>
    </row>
    <row r="479" spans="1:14" s="986" customFormat="1" ht="15.75" customHeight="1">
      <c r="A479" s="1055"/>
      <c r="B479" s="1055"/>
      <c r="C479" s="1055"/>
      <c r="D479" s="1055"/>
      <c r="E479" s="1055"/>
      <c r="F479" s="1055"/>
      <c r="G479" s="1055"/>
      <c r="H479" s="1055"/>
      <c r="I479" s="1055"/>
      <c r="J479" s="1055"/>
      <c r="K479" s="1055"/>
      <c r="L479" s="1055"/>
      <c r="M479" s="1055"/>
      <c r="N479" s="1055"/>
    </row>
    <row r="480" spans="1:14" s="986" customFormat="1" ht="15.75" customHeight="1">
      <c r="A480" s="1055"/>
      <c r="B480" s="1055"/>
      <c r="C480" s="1055"/>
      <c r="D480" s="1055"/>
      <c r="E480" s="1055"/>
      <c r="F480" s="1055"/>
      <c r="G480" s="1055"/>
      <c r="H480" s="1055"/>
      <c r="I480" s="1055"/>
      <c r="J480" s="1055"/>
      <c r="K480" s="1055"/>
      <c r="L480" s="1055"/>
      <c r="M480" s="1055"/>
      <c r="N480" s="1055"/>
    </row>
    <row r="481" spans="1:14" s="986" customFormat="1" ht="15.75" customHeight="1">
      <c r="A481" s="1055"/>
      <c r="B481" s="1055"/>
      <c r="C481" s="1055"/>
      <c r="D481" s="1055"/>
      <c r="E481" s="1055"/>
      <c r="F481" s="1055"/>
      <c r="G481" s="1055"/>
      <c r="H481" s="1055"/>
      <c r="I481" s="1055"/>
      <c r="J481" s="1055"/>
      <c r="K481" s="1055"/>
      <c r="L481" s="1055"/>
      <c r="M481" s="1055"/>
      <c r="N481" s="1055"/>
    </row>
    <row r="482" spans="1:14" s="986" customFormat="1" ht="15.75" customHeight="1">
      <c r="A482" s="1055"/>
      <c r="B482" s="1055"/>
      <c r="C482" s="1055"/>
      <c r="D482" s="1055"/>
      <c r="E482" s="1055"/>
      <c r="F482" s="1055"/>
      <c r="G482" s="1055"/>
      <c r="H482" s="1055"/>
      <c r="I482" s="1055"/>
      <c r="J482" s="1055"/>
      <c r="K482" s="1055"/>
      <c r="L482" s="1055"/>
      <c r="M482" s="1055"/>
      <c r="N482" s="1055"/>
    </row>
    <row r="483" spans="1:14" s="986" customFormat="1" ht="15.75" customHeight="1">
      <c r="A483" s="1055"/>
      <c r="B483" s="1055"/>
      <c r="C483" s="1055"/>
      <c r="D483" s="1055"/>
      <c r="E483" s="1055"/>
      <c r="F483" s="1055"/>
      <c r="G483" s="1055"/>
      <c r="H483" s="1055"/>
      <c r="I483" s="1055"/>
      <c r="J483" s="1055"/>
      <c r="K483" s="1055"/>
      <c r="L483" s="1055"/>
      <c r="M483" s="1055"/>
      <c r="N483" s="1055"/>
    </row>
    <row r="484" spans="1:14" s="986" customFormat="1" ht="15.75" customHeight="1">
      <c r="A484" s="1055"/>
      <c r="B484" s="1055"/>
      <c r="C484" s="1055"/>
      <c r="D484" s="1055"/>
      <c r="E484" s="1055"/>
      <c r="F484" s="1055"/>
      <c r="G484" s="1055"/>
      <c r="H484" s="1055"/>
      <c r="I484" s="1055"/>
      <c r="J484" s="1055"/>
      <c r="K484" s="1055"/>
      <c r="L484" s="1055"/>
      <c r="M484" s="1055"/>
      <c r="N484" s="1055"/>
    </row>
    <row r="485" spans="1:14" s="986" customFormat="1" ht="15.75" customHeight="1">
      <c r="A485" s="1055"/>
      <c r="B485" s="1055"/>
      <c r="C485" s="1055"/>
      <c r="D485" s="1055"/>
      <c r="E485" s="1055"/>
      <c r="F485" s="1055"/>
      <c r="G485" s="1055"/>
      <c r="H485" s="1055"/>
      <c r="I485" s="1055"/>
      <c r="J485" s="1055"/>
      <c r="K485" s="1055"/>
      <c r="L485" s="1055"/>
      <c r="M485" s="1055"/>
      <c r="N485" s="1055"/>
    </row>
    <row r="486" spans="1:14" s="986" customFormat="1" ht="15.75" customHeight="1">
      <c r="A486" s="1055"/>
      <c r="B486" s="1055"/>
      <c r="C486" s="1055"/>
      <c r="D486" s="1055"/>
      <c r="E486" s="1055"/>
      <c r="F486" s="1055"/>
      <c r="G486" s="1055"/>
      <c r="H486" s="1055"/>
      <c r="I486" s="1055"/>
      <c r="J486" s="1055"/>
      <c r="K486" s="1055"/>
      <c r="L486" s="1055"/>
      <c r="M486" s="1055"/>
      <c r="N486" s="1055"/>
    </row>
    <row r="487" spans="1:14" s="986" customFormat="1" ht="15.75" customHeight="1">
      <c r="A487" s="1055"/>
      <c r="B487" s="1055"/>
      <c r="C487" s="1055"/>
      <c r="D487" s="1055"/>
      <c r="E487" s="1055"/>
      <c r="F487" s="1055"/>
      <c r="G487" s="1055"/>
      <c r="H487" s="1055"/>
      <c r="I487" s="1055"/>
      <c r="J487" s="1055"/>
      <c r="K487" s="1055"/>
      <c r="L487" s="1055"/>
      <c r="M487" s="1055"/>
      <c r="N487" s="1055"/>
    </row>
    <row r="488" spans="1:14" s="986" customFormat="1" ht="15.75" customHeight="1">
      <c r="A488" s="1055"/>
      <c r="B488" s="1055"/>
      <c r="C488" s="1055"/>
      <c r="D488" s="1055"/>
      <c r="E488" s="1055"/>
      <c r="F488" s="1055"/>
      <c r="G488" s="1055"/>
      <c r="H488" s="1055"/>
      <c r="I488" s="1055"/>
      <c r="J488" s="1055"/>
      <c r="K488" s="1055"/>
      <c r="L488" s="1055"/>
      <c r="M488" s="1055"/>
      <c r="N488" s="1055"/>
    </row>
    <row r="489" spans="1:14" s="986" customFormat="1" ht="15.75" customHeight="1">
      <c r="A489" s="1055"/>
      <c r="B489" s="1055"/>
      <c r="C489" s="1055"/>
      <c r="D489" s="1055"/>
      <c r="E489" s="1055"/>
      <c r="F489" s="1055"/>
      <c r="G489" s="1055"/>
      <c r="H489" s="1055"/>
      <c r="I489" s="1055"/>
      <c r="J489" s="1055"/>
      <c r="K489" s="1055"/>
      <c r="L489" s="1055"/>
      <c r="M489" s="1055"/>
      <c r="N489" s="1055"/>
    </row>
    <row r="490" spans="1:14" s="986" customFormat="1" ht="15.75" customHeight="1">
      <c r="A490" s="1055"/>
      <c r="B490" s="1055"/>
      <c r="C490" s="1055"/>
      <c r="D490" s="1055"/>
      <c r="E490" s="1055"/>
      <c r="F490" s="1055"/>
      <c r="G490" s="1055"/>
      <c r="H490" s="1055"/>
      <c r="I490" s="1055"/>
      <c r="J490" s="1055"/>
      <c r="K490" s="1055"/>
      <c r="L490" s="1055"/>
      <c r="M490" s="1055"/>
      <c r="N490" s="1055"/>
    </row>
    <row r="491" spans="1:14" s="986" customFormat="1" ht="15.75" customHeight="1">
      <c r="A491" s="1055"/>
      <c r="B491" s="1055"/>
      <c r="C491" s="1055"/>
      <c r="D491" s="1055"/>
      <c r="E491" s="1055"/>
      <c r="F491" s="1055"/>
      <c r="G491" s="1055"/>
      <c r="H491" s="1055"/>
      <c r="I491" s="1055"/>
      <c r="J491" s="1055"/>
      <c r="K491" s="1055"/>
      <c r="L491" s="1055"/>
      <c r="M491" s="1055"/>
      <c r="N491" s="1055"/>
    </row>
    <row r="492" spans="1:14" s="986" customFormat="1" ht="15.75" customHeight="1">
      <c r="A492" s="1055"/>
      <c r="B492" s="1055"/>
      <c r="C492" s="1055"/>
      <c r="D492" s="1055"/>
      <c r="E492" s="1055"/>
      <c r="F492" s="1055"/>
      <c r="G492" s="1055"/>
      <c r="H492" s="1055"/>
      <c r="I492" s="1055"/>
      <c r="J492" s="1055"/>
      <c r="K492" s="1055"/>
      <c r="L492" s="1055"/>
      <c r="M492" s="1055"/>
      <c r="N492" s="1055"/>
    </row>
    <row r="493" spans="1:14" s="986" customFormat="1" ht="15.75" customHeight="1">
      <c r="A493" s="1055"/>
      <c r="B493" s="1055"/>
      <c r="C493" s="1055"/>
      <c r="D493" s="1055"/>
      <c r="E493" s="1055"/>
      <c r="F493" s="1055"/>
      <c r="G493" s="1055"/>
      <c r="H493" s="1055"/>
      <c r="I493" s="1055"/>
      <c r="J493" s="1055"/>
      <c r="K493" s="1055"/>
      <c r="L493" s="1055"/>
      <c r="M493" s="1055"/>
      <c r="N493" s="1055"/>
    </row>
    <row r="494" spans="1:14" s="986" customFormat="1" ht="15.75" customHeight="1">
      <c r="A494" s="1055"/>
      <c r="B494" s="1055"/>
      <c r="C494" s="1055"/>
      <c r="D494" s="1055"/>
      <c r="E494" s="1055"/>
      <c r="F494" s="1055"/>
      <c r="G494" s="1055"/>
      <c r="H494" s="1055"/>
      <c r="I494" s="1055"/>
      <c r="J494" s="1055"/>
      <c r="K494" s="1055"/>
      <c r="L494" s="1055"/>
      <c r="M494" s="1055"/>
      <c r="N494" s="1055"/>
    </row>
    <row r="495" spans="1:14" s="986" customFormat="1" ht="15.75" customHeight="1">
      <c r="A495" s="1055"/>
      <c r="B495" s="1055"/>
      <c r="C495" s="1055"/>
      <c r="D495" s="1055"/>
      <c r="E495" s="1055"/>
      <c r="F495" s="1055"/>
      <c r="G495" s="1055"/>
      <c r="H495" s="1055"/>
      <c r="I495" s="1055"/>
      <c r="J495" s="1055"/>
      <c r="K495" s="1055"/>
      <c r="L495" s="1055"/>
      <c r="M495" s="1055"/>
      <c r="N495" s="1055"/>
    </row>
    <row r="496" spans="1:14" s="986" customFormat="1" ht="15.75" customHeight="1">
      <c r="A496" s="1055"/>
      <c r="B496" s="1055"/>
      <c r="C496" s="1055"/>
      <c r="D496" s="1055"/>
      <c r="E496" s="1055"/>
      <c r="F496" s="1055"/>
      <c r="G496" s="1055"/>
      <c r="H496" s="1055"/>
      <c r="I496" s="1055"/>
      <c r="J496" s="1055"/>
      <c r="K496" s="1055"/>
      <c r="L496" s="1055"/>
      <c r="M496" s="1055"/>
      <c r="N496" s="1055"/>
    </row>
    <row r="497" spans="1:14" s="986" customFormat="1" ht="15.75" customHeight="1">
      <c r="A497" s="1055"/>
      <c r="B497" s="1055"/>
      <c r="C497" s="1055"/>
      <c r="D497" s="1055"/>
      <c r="E497" s="1055"/>
      <c r="F497" s="1055"/>
      <c r="G497" s="1055"/>
      <c r="H497" s="1055"/>
      <c r="I497" s="1055"/>
      <c r="J497" s="1055"/>
      <c r="K497" s="1055"/>
      <c r="L497" s="1055"/>
      <c r="M497" s="1055"/>
      <c r="N497" s="1055"/>
    </row>
    <row r="498" spans="1:14" s="986" customFormat="1" ht="15.75" customHeight="1">
      <c r="A498" s="1055"/>
      <c r="B498" s="1055"/>
      <c r="C498" s="1055"/>
      <c r="D498" s="1055"/>
      <c r="E498" s="1055"/>
      <c r="F498" s="1055"/>
      <c r="G498" s="1055"/>
      <c r="H498" s="1055"/>
      <c r="I498" s="1055"/>
      <c r="J498" s="1055"/>
      <c r="K498" s="1055"/>
      <c r="L498" s="1055"/>
      <c r="M498" s="1055"/>
      <c r="N498" s="1055"/>
    </row>
    <row r="499" spans="1:14" s="986" customFormat="1" ht="15.75" customHeight="1">
      <c r="A499" s="1055"/>
      <c r="B499" s="1055"/>
      <c r="C499" s="1055"/>
      <c r="D499" s="1055"/>
      <c r="E499" s="1055"/>
      <c r="F499" s="1055"/>
      <c r="G499" s="1055"/>
      <c r="H499" s="1055"/>
      <c r="I499" s="1055"/>
      <c r="J499" s="1055"/>
      <c r="K499" s="1055"/>
      <c r="L499" s="1055"/>
      <c r="M499" s="1055"/>
      <c r="N499" s="1055"/>
    </row>
    <row r="500" spans="1:14" s="986" customFormat="1" ht="15.75" customHeight="1">
      <c r="A500" s="1055"/>
      <c r="B500" s="1055"/>
      <c r="C500" s="1055"/>
      <c r="D500" s="1055"/>
      <c r="E500" s="1055"/>
      <c r="F500" s="1055"/>
      <c r="G500" s="1055"/>
      <c r="H500" s="1055"/>
      <c r="I500" s="1055"/>
      <c r="J500" s="1055"/>
      <c r="K500" s="1055"/>
      <c r="L500" s="1055"/>
      <c r="M500" s="1055"/>
      <c r="N500" s="1055"/>
    </row>
    <row r="501" spans="1:14" s="986" customFormat="1" ht="15.75" customHeight="1">
      <c r="A501" s="1055"/>
      <c r="B501" s="1055"/>
      <c r="C501" s="1055"/>
      <c r="D501" s="1055"/>
      <c r="E501" s="1055"/>
      <c r="F501" s="1055"/>
      <c r="G501" s="1055"/>
      <c r="H501" s="1055"/>
      <c r="I501" s="1055"/>
      <c r="J501" s="1055"/>
      <c r="K501" s="1055"/>
      <c r="L501" s="1055"/>
      <c r="M501" s="1055"/>
      <c r="N501" s="1055"/>
    </row>
    <row r="502" spans="1:14" s="986" customFormat="1" ht="15.75" customHeight="1">
      <c r="A502" s="1055"/>
      <c r="B502" s="1055"/>
      <c r="C502" s="1055"/>
      <c r="D502" s="1055"/>
      <c r="E502" s="1055"/>
      <c r="F502" s="1055"/>
      <c r="G502" s="1055"/>
      <c r="H502" s="1055"/>
      <c r="I502" s="1055"/>
      <c r="J502" s="1055"/>
      <c r="K502" s="1055"/>
      <c r="L502" s="1055"/>
      <c r="M502" s="1055"/>
      <c r="N502" s="1055"/>
    </row>
    <row r="503" spans="1:14" s="986" customFormat="1" ht="15.75" customHeight="1">
      <c r="A503" s="1055"/>
      <c r="B503" s="1055"/>
      <c r="C503" s="1055"/>
      <c r="D503" s="1055"/>
      <c r="E503" s="1055"/>
      <c r="F503" s="1055"/>
      <c r="G503" s="1055"/>
      <c r="H503" s="1055"/>
      <c r="I503" s="1055"/>
      <c r="J503" s="1055"/>
      <c r="K503" s="1055"/>
      <c r="L503" s="1055"/>
      <c r="M503" s="1055"/>
      <c r="N503" s="1055"/>
    </row>
    <row r="504" spans="1:14" s="986" customFormat="1" ht="15.75" customHeight="1">
      <c r="A504" s="1055"/>
      <c r="B504" s="1055"/>
      <c r="C504" s="1055"/>
      <c r="D504" s="1055"/>
      <c r="E504" s="1055"/>
      <c r="F504" s="1055"/>
      <c r="G504" s="1055"/>
      <c r="H504" s="1055"/>
      <c r="I504" s="1055"/>
      <c r="J504" s="1055"/>
      <c r="K504" s="1055"/>
      <c r="L504" s="1055"/>
      <c r="M504" s="1055"/>
      <c r="N504" s="1055"/>
    </row>
    <row r="505" spans="1:14" s="986" customFormat="1" ht="15.75" customHeight="1">
      <c r="A505" s="1055"/>
      <c r="B505" s="1055"/>
      <c r="C505" s="1055"/>
      <c r="D505" s="1055"/>
      <c r="E505" s="1055"/>
      <c r="F505" s="1055"/>
      <c r="G505" s="1055"/>
      <c r="H505" s="1055"/>
      <c r="I505" s="1055"/>
      <c r="J505" s="1055"/>
      <c r="K505" s="1055"/>
      <c r="L505" s="1055"/>
      <c r="M505" s="1055"/>
      <c r="N505" s="1055"/>
    </row>
    <row r="506" spans="1:14" s="986" customFormat="1" ht="15.75" customHeight="1">
      <c r="A506" s="1055"/>
      <c r="B506" s="1055"/>
      <c r="C506" s="1055"/>
      <c r="D506" s="1055"/>
      <c r="E506" s="1055"/>
      <c r="F506" s="1055"/>
      <c r="G506" s="1055"/>
      <c r="H506" s="1055"/>
      <c r="I506" s="1055"/>
      <c r="J506" s="1055"/>
      <c r="K506" s="1055"/>
      <c r="L506" s="1055"/>
      <c r="M506" s="1055"/>
      <c r="N506" s="1055"/>
    </row>
    <row r="507" spans="1:14" s="986" customFormat="1" ht="15.75" customHeight="1">
      <c r="A507" s="1055"/>
      <c r="B507" s="1055"/>
      <c r="C507" s="1055"/>
      <c r="D507" s="1055"/>
      <c r="E507" s="1055"/>
      <c r="F507" s="1055"/>
      <c r="G507" s="1055"/>
      <c r="H507" s="1055"/>
      <c r="I507" s="1055"/>
      <c r="J507" s="1055"/>
      <c r="K507" s="1055"/>
      <c r="L507" s="1055"/>
      <c r="M507" s="1055"/>
      <c r="N507" s="1055"/>
    </row>
    <row r="508" spans="1:14" s="986" customFormat="1" ht="15.75" customHeight="1">
      <c r="A508" s="1055"/>
      <c r="B508" s="1055"/>
      <c r="C508" s="1055"/>
      <c r="D508" s="1055"/>
      <c r="E508" s="1055"/>
      <c r="F508" s="1055"/>
      <c r="G508" s="1055"/>
      <c r="H508" s="1055"/>
      <c r="I508" s="1055"/>
      <c r="J508" s="1055"/>
      <c r="K508" s="1055"/>
      <c r="L508" s="1055"/>
      <c r="M508" s="1055"/>
      <c r="N508" s="1055"/>
    </row>
    <row r="509" spans="1:14" s="986" customFormat="1" ht="15.75" customHeight="1">
      <c r="A509" s="1055"/>
      <c r="B509" s="1055"/>
      <c r="C509" s="1055"/>
      <c r="D509" s="1055"/>
      <c r="E509" s="1055"/>
      <c r="F509" s="1055"/>
      <c r="G509" s="1055"/>
      <c r="H509" s="1055"/>
      <c r="I509" s="1055"/>
      <c r="J509" s="1055"/>
      <c r="K509" s="1055"/>
      <c r="L509" s="1055"/>
      <c r="M509" s="1055"/>
      <c r="N509" s="1055"/>
    </row>
    <row r="510" spans="1:14" s="986" customFormat="1" ht="15.75" customHeight="1">
      <c r="A510" s="1055"/>
      <c r="B510" s="1055"/>
      <c r="C510" s="1055"/>
      <c r="D510" s="1055"/>
      <c r="E510" s="1055"/>
      <c r="F510" s="1055"/>
      <c r="G510" s="1055"/>
      <c r="H510" s="1055"/>
      <c r="I510" s="1055"/>
      <c r="J510" s="1055"/>
      <c r="K510" s="1055"/>
      <c r="L510" s="1055"/>
      <c r="M510" s="1055"/>
      <c r="N510" s="1055"/>
    </row>
    <row r="511" spans="1:14" s="986" customFormat="1" ht="15.75" customHeight="1">
      <c r="A511" s="1055"/>
      <c r="B511" s="1055"/>
      <c r="C511" s="1055"/>
      <c r="D511" s="1055"/>
      <c r="E511" s="1055"/>
      <c r="F511" s="1055"/>
      <c r="G511" s="1055"/>
      <c r="H511" s="1055"/>
      <c r="I511" s="1055"/>
      <c r="J511" s="1055"/>
      <c r="K511" s="1055"/>
      <c r="L511" s="1055"/>
      <c r="M511" s="1055"/>
      <c r="N511" s="1055"/>
    </row>
    <row r="512" spans="1:14" s="986" customFormat="1" ht="15.75" customHeight="1">
      <c r="A512" s="1055"/>
      <c r="B512" s="1055"/>
      <c r="C512" s="1055"/>
      <c r="D512" s="1055"/>
      <c r="E512" s="1055"/>
      <c r="F512" s="1055"/>
      <c r="G512" s="1055"/>
      <c r="H512" s="1055"/>
      <c r="I512" s="1055"/>
      <c r="J512" s="1055"/>
      <c r="K512" s="1055"/>
      <c r="L512" s="1055"/>
      <c r="M512" s="1055"/>
      <c r="N512" s="1055"/>
    </row>
    <row r="513" spans="1:14" s="986" customFormat="1" ht="15.75" customHeight="1">
      <c r="A513" s="1055"/>
      <c r="B513" s="1055"/>
      <c r="C513" s="1055"/>
      <c r="D513" s="1055"/>
      <c r="E513" s="1055"/>
      <c r="F513" s="1055"/>
      <c r="G513" s="1055"/>
      <c r="H513" s="1055"/>
      <c r="I513" s="1055"/>
      <c r="J513" s="1055"/>
      <c r="K513" s="1055"/>
      <c r="L513" s="1055"/>
      <c r="M513" s="1055"/>
      <c r="N513" s="1055"/>
    </row>
    <row r="514" spans="1:14" s="986" customFormat="1" ht="15.75" customHeight="1">
      <c r="A514" s="1055"/>
      <c r="B514" s="1055"/>
      <c r="C514" s="1055"/>
      <c r="D514" s="1055"/>
      <c r="E514" s="1055"/>
      <c r="F514" s="1055"/>
      <c r="G514" s="1055"/>
      <c r="H514" s="1055"/>
      <c r="I514" s="1055"/>
      <c r="J514" s="1055"/>
      <c r="K514" s="1055"/>
      <c r="L514" s="1055"/>
      <c r="M514" s="1055"/>
      <c r="N514" s="1055"/>
    </row>
    <row r="515" spans="1:14" s="986" customFormat="1" ht="15.75" customHeight="1">
      <c r="A515" s="1055"/>
      <c r="B515" s="1055"/>
      <c r="C515" s="1055"/>
      <c r="D515" s="1055"/>
      <c r="E515" s="1055"/>
      <c r="F515" s="1055"/>
      <c r="G515" s="1055"/>
      <c r="H515" s="1055"/>
      <c r="I515" s="1055"/>
      <c r="J515" s="1055"/>
      <c r="K515" s="1055"/>
      <c r="L515" s="1055"/>
      <c r="M515" s="1055"/>
      <c r="N515" s="1055"/>
    </row>
    <row r="516" spans="1:14" s="986" customFormat="1" ht="15.75" customHeight="1">
      <c r="A516" s="1055"/>
      <c r="B516" s="1055"/>
      <c r="C516" s="1055"/>
      <c r="D516" s="1055"/>
      <c r="E516" s="1055"/>
      <c r="F516" s="1055"/>
      <c r="G516" s="1055"/>
      <c r="H516" s="1055"/>
      <c r="I516" s="1055"/>
      <c r="J516" s="1055"/>
      <c r="K516" s="1055"/>
      <c r="L516" s="1055"/>
      <c r="M516" s="1055"/>
      <c r="N516" s="1055"/>
    </row>
    <row r="517" spans="1:14" s="986" customFormat="1" ht="15.75" customHeight="1">
      <c r="A517" s="1055"/>
      <c r="B517" s="1055"/>
      <c r="C517" s="1055"/>
      <c r="D517" s="1055"/>
      <c r="E517" s="1055"/>
      <c r="F517" s="1055"/>
      <c r="G517" s="1055"/>
      <c r="H517" s="1055"/>
      <c r="I517" s="1055"/>
      <c r="J517" s="1055"/>
      <c r="K517" s="1055"/>
      <c r="L517" s="1055"/>
      <c r="M517" s="1055"/>
      <c r="N517" s="1055"/>
    </row>
    <row r="518" spans="1:14" s="986" customFormat="1" ht="15.75" customHeight="1">
      <c r="A518" s="1055"/>
      <c r="B518" s="1055"/>
      <c r="C518" s="1055"/>
      <c r="D518" s="1055"/>
      <c r="E518" s="1055"/>
      <c r="F518" s="1055"/>
      <c r="G518" s="1055"/>
      <c r="H518" s="1055"/>
      <c r="I518" s="1055"/>
      <c r="J518" s="1055"/>
      <c r="K518" s="1055"/>
      <c r="L518" s="1055"/>
      <c r="M518" s="1055"/>
      <c r="N518" s="1055"/>
    </row>
    <row r="519" spans="1:14" s="986" customFormat="1" ht="15.75" customHeight="1">
      <c r="A519" s="1055"/>
      <c r="B519" s="1055"/>
      <c r="C519" s="1055"/>
      <c r="D519" s="1055"/>
      <c r="E519" s="1055"/>
      <c r="F519" s="1055"/>
      <c r="G519" s="1055"/>
      <c r="H519" s="1055"/>
      <c r="I519" s="1055"/>
      <c r="J519" s="1055"/>
      <c r="K519" s="1055"/>
      <c r="L519" s="1055"/>
      <c r="M519" s="1055"/>
      <c r="N519" s="1055"/>
    </row>
    <row r="520" spans="1:14" s="986" customFormat="1" ht="15.75" customHeight="1">
      <c r="A520" s="1055"/>
      <c r="B520" s="1055"/>
      <c r="C520" s="1055"/>
      <c r="D520" s="1055"/>
      <c r="E520" s="1055"/>
      <c r="F520" s="1055"/>
      <c r="G520" s="1055"/>
      <c r="H520" s="1055"/>
      <c r="I520" s="1055"/>
      <c r="J520" s="1055"/>
      <c r="K520" s="1055"/>
      <c r="L520" s="1055"/>
      <c r="M520" s="1055"/>
      <c r="N520" s="1055"/>
    </row>
    <row r="521" spans="1:14" s="986" customFormat="1" ht="15.75" customHeight="1">
      <c r="A521" s="1055"/>
      <c r="B521" s="1055"/>
      <c r="C521" s="1055"/>
      <c r="D521" s="1055"/>
      <c r="E521" s="1055"/>
      <c r="F521" s="1055"/>
      <c r="G521" s="1055"/>
      <c r="H521" s="1055"/>
      <c r="I521" s="1055"/>
      <c r="J521" s="1055"/>
      <c r="K521" s="1055"/>
      <c r="L521" s="1055"/>
      <c r="M521" s="1055"/>
      <c r="N521" s="1055"/>
    </row>
    <row r="522" spans="1:14" s="986" customFormat="1" ht="15.75" customHeight="1">
      <c r="A522" s="1055"/>
      <c r="B522" s="1055"/>
      <c r="C522" s="1055"/>
      <c r="D522" s="1055"/>
      <c r="E522" s="1055"/>
      <c r="F522" s="1055"/>
      <c r="G522" s="1055"/>
      <c r="H522" s="1055"/>
      <c r="I522" s="1055"/>
      <c r="J522" s="1055"/>
      <c r="K522" s="1055"/>
      <c r="L522" s="1055"/>
      <c r="M522" s="1055"/>
      <c r="N522" s="1055"/>
    </row>
    <row r="523" spans="1:14" s="986" customFormat="1" ht="15.75" customHeight="1">
      <c r="A523" s="1055"/>
      <c r="B523" s="1055"/>
      <c r="C523" s="1055"/>
      <c r="D523" s="1055"/>
      <c r="E523" s="1055"/>
      <c r="F523" s="1055"/>
      <c r="G523" s="1055"/>
      <c r="H523" s="1055"/>
      <c r="I523" s="1055"/>
      <c r="J523" s="1055"/>
      <c r="K523" s="1055"/>
      <c r="L523" s="1055"/>
      <c r="M523" s="1055"/>
      <c r="N523" s="1055"/>
    </row>
    <row r="524" spans="1:14" s="986" customFormat="1" ht="15.75" customHeight="1">
      <c r="A524" s="1055"/>
      <c r="B524" s="1055"/>
      <c r="C524" s="1055"/>
      <c r="D524" s="1055"/>
      <c r="E524" s="1055"/>
      <c r="F524" s="1055"/>
      <c r="G524" s="1055"/>
      <c r="H524" s="1055"/>
      <c r="I524" s="1055"/>
      <c r="J524" s="1055"/>
      <c r="K524" s="1055"/>
      <c r="L524" s="1055"/>
      <c r="M524" s="1055"/>
      <c r="N524" s="1055"/>
    </row>
    <row r="525" spans="1:14" s="986" customFormat="1" ht="15.75" customHeight="1">
      <c r="A525" s="1055"/>
      <c r="B525" s="1055"/>
      <c r="C525" s="1055"/>
      <c r="D525" s="1055"/>
      <c r="E525" s="1055"/>
      <c r="F525" s="1055"/>
      <c r="G525" s="1055"/>
      <c r="H525" s="1055"/>
      <c r="I525" s="1055"/>
      <c r="J525" s="1055"/>
      <c r="K525" s="1055"/>
      <c r="L525" s="1055"/>
      <c r="M525" s="1055"/>
      <c r="N525" s="1055"/>
    </row>
    <row r="526" spans="1:14" s="986" customFormat="1" ht="15.75" customHeight="1">
      <c r="A526" s="1055"/>
      <c r="B526" s="1055"/>
      <c r="C526" s="1055"/>
      <c r="D526" s="1055"/>
      <c r="E526" s="1055"/>
      <c r="F526" s="1055"/>
      <c r="G526" s="1055"/>
      <c r="H526" s="1055"/>
      <c r="I526" s="1055"/>
      <c r="J526" s="1055"/>
      <c r="K526" s="1055"/>
      <c r="L526" s="1055"/>
      <c r="M526" s="1055"/>
      <c r="N526" s="1055"/>
    </row>
    <row r="527" spans="1:14" s="986" customFormat="1" ht="15.75" customHeight="1">
      <c r="A527" s="1055"/>
      <c r="B527" s="1055"/>
      <c r="C527" s="1055"/>
      <c r="D527" s="1055"/>
      <c r="E527" s="1055"/>
      <c r="F527" s="1055"/>
      <c r="G527" s="1055"/>
      <c r="H527" s="1055"/>
      <c r="I527" s="1055"/>
      <c r="J527" s="1055"/>
      <c r="K527" s="1055"/>
      <c r="L527" s="1055"/>
      <c r="M527" s="1055"/>
      <c r="N527" s="1055"/>
    </row>
    <row r="528" spans="1:14" s="986" customFormat="1" ht="15.75" customHeight="1">
      <c r="A528" s="1055"/>
      <c r="B528" s="1055"/>
      <c r="C528" s="1055"/>
      <c r="D528" s="1055"/>
      <c r="E528" s="1055"/>
      <c r="F528" s="1055"/>
      <c r="G528" s="1055"/>
      <c r="H528" s="1055"/>
      <c r="I528" s="1055"/>
      <c r="J528" s="1055"/>
      <c r="K528" s="1055"/>
      <c r="L528" s="1055"/>
      <c r="M528" s="1055"/>
      <c r="N528" s="1055"/>
    </row>
    <row r="529" spans="1:14" s="986" customFormat="1" ht="15.75" customHeight="1">
      <c r="A529" s="1055"/>
      <c r="B529" s="1055"/>
      <c r="C529" s="1055"/>
      <c r="D529" s="1055"/>
      <c r="E529" s="1055"/>
      <c r="F529" s="1055"/>
      <c r="G529" s="1055"/>
      <c r="H529" s="1055"/>
      <c r="I529" s="1055"/>
      <c r="J529" s="1055"/>
      <c r="K529" s="1055"/>
      <c r="L529" s="1055"/>
      <c r="M529" s="1055"/>
      <c r="N529" s="1055"/>
    </row>
    <row r="530" spans="1:14" s="986" customFormat="1" ht="15.75" customHeight="1">
      <c r="A530" s="1055"/>
      <c r="B530" s="1055"/>
      <c r="C530" s="1055"/>
      <c r="D530" s="1055"/>
      <c r="E530" s="1055"/>
      <c r="F530" s="1055"/>
      <c r="G530" s="1055"/>
      <c r="H530" s="1055"/>
      <c r="I530" s="1055"/>
      <c r="J530" s="1055"/>
      <c r="K530" s="1055"/>
      <c r="L530" s="1055"/>
      <c r="M530" s="1055"/>
      <c r="N530" s="1055"/>
    </row>
    <row r="531" spans="1:14" s="986" customFormat="1" ht="15.75" customHeight="1">
      <c r="A531" s="1055"/>
      <c r="B531" s="1055"/>
      <c r="C531" s="1055"/>
      <c r="D531" s="1055"/>
      <c r="E531" s="1055"/>
      <c r="F531" s="1055"/>
      <c r="G531" s="1055"/>
      <c r="H531" s="1055"/>
      <c r="I531" s="1055"/>
      <c r="J531" s="1055"/>
      <c r="K531" s="1055"/>
      <c r="L531" s="1055"/>
      <c r="M531" s="1055"/>
      <c r="N531" s="1055"/>
    </row>
    <row r="532" spans="1:14" s="986" customFormat="1" ht="15.75" customHeight="1">
      <c r="A532" s="1055"/>
      <c r="B532" s="1055"/>
      <c r="C532" s="1055"/>
      <c r="D532" s="1055"/>
      <c r="E532" s="1055"/>
      <c r="F532" s="1055"/>
      <c r="G532" s="1055"/>
      <c r="H532" s="1055"/>
      <c r="I532" s="1055"/>
      <c r="J532" s="1055"/>
      <c r="K532" s="1055"/>
      <c r="L532" s="1055"/>
      <c r="M532" s="1055"/>
      <c r="N532" s="1055"/>
    </row>
    <row r="533" spans="1:14" s="986" customFormat="1" ht="15.75" customHeight="1">
      <c r="A533" s="1055"/>
      <c r="B533" s="1055"/>
      <c r="C533" s="1055"/>
      <c r="D533" s="1055"/>
      <c r="E533" s="1055"/>
      <c r="F533" s="1055"/>
      <c r="G533" s="1055"/>
      <c r="H533" s="1055"/>
      <c r="I533" s="1055"/>
      <c r="J533" s="1055"/>
      <c r="K533" s="1055"/>
      <c r="L533" s="1055"/>
      <c r="M533" s="1055"/>
      <c r="N533" s="1055"/>
    </row>
    <row r="534" spans="1:14" s="986" customFormat="1" ht="15.75" customHeight="1">
      <c r="A534" s="1055"/>
      <c r="B534" s="1055"/>
      <c r="C534" s="1055"/>
      <c r="D534" s="1055"/>
      <c r="E534" s="1055"/>
      <c r="F534" s="1055"/>
      <c r="G534" s="1055"/>
      <c r="H534" s="1055"/>
      <c r="I534" s="1055"/>
      <c r="J534" s="1055"/>
      <c r="K534" s="1055"/>
      <c r="L534" s="1055"/>
      <c r="M534" s="1055"/>
      <c r="N534" s="1055"/>
    </row>
    <row r="535" spans="1:14" s="986" customFormat="1" ht="15.75" customHeight="1">
      <c r="A535" s="1055"/>
      <c r="B535" s="1055"/>
      <c r="C535" s="1055"/>
      <c r="D535" s="1055"/>
      <c r="E535" s="1055"/>
      <c r="F535" s="1055"/>
      <c r="G535" s="1055"/>
      <c r="H535" s="1055"/>
      <c r="I535" s="1055"/>
      <c r="J535" s="1055"/>
      <c r="K535" s="1055"/>
      <c r="L535" s="1055"/>
      <c r="M535" s="1055"/>
      <c r="N535" s="1055"/>
    </row>
    <row r="536" spans="1:14" s="986" customFormat="1" ht="15.75" customHeight="1">
      <c r="A536" s="1055"/>
      <c r="B536" s="1055"/>
      <c r="C536" s="1055"/>
      <c r="D536" s="1055"/>
      <c r="E536" s="1055"/>
      <c r="F536" s="1055"/>
      <c r="G536" s="1055"/>
      <c r="H536" s="1055"/>
      <c r="I536" s="1055"/>
      <c r="J536" s="1055"/>
      <c r="K536" s="1055"/>
      <c r="L536" s="1055"/>
      <c r="M536" s="1055"/>
      <c r="N536" s="1055"/>
    </row>
    <row r="537" spans="1:14" s="986" customFormat="1" ht="15.75" customHeight="1">
      <c r="A537" s="1055"/>
      <c r="B537" s="1055"/>
      <c r="C537" s="1055"/>
      <c r="D537" s="1055"/>
      <c r="E537" s="1055"/>
      <c r="F537" s="1055"/>
      <c r="G537" s="1055"/>
      <c r="H537" s="1055"/>
      <c r="I537" s="1055"/>
      <c r="J537" s="1055"/>
      <c r="K537" s="1055"/>
      <c r="L537" s="1055"/>
      <c r="M537" s="1055"/>
      <c r="N537" s="1055"/>
    </row>
    <row r="538" spans="1:14" s="986" customFormat="1" ht="15.75" customHeight="1">
      <c r="A538" s="1055"/>
      <c r="B538" s="1055"/>
      <c r="C538" s="1055"/>
      <c r="D538" s="1055"/>
      <c r="E538" s="1055"/>
      <c r="F538" s="1055"/>
      <c r="G538" s="1055"/>
      <c r="H538" s="1055"/>
      <c r="I538" s="1055"/>
      <c r="J538" s="1055"/>
      <c r="K538" s="1055"/>
      <c r="L538" s="1055"/>
      <c r="M538" s="1055"/>
      <c r="N538" s="1055"/>
    </row>
    <row r="539" spans="1:14" s="986" customFormat="1" ht="15.75" customHeight="1">
      <c r="A539" s="1055"/>
      <c r="B539" s="1055"/>
      <c r="C539" s="1055"/>
      <c r="D539" s="1055"/>
      <c r="E539" s="1055"/>
      <c r="F539" s="1055"/>
      <c r="G539" s="1055"/>
      <c r="H539" s="1055"/>
      <c r="I539" s="1055"/>
      <c r="J539" s="1055"/>
      <c r="K539" s="1055"/>
      <c r="L539" s="1055"/>
      <c r="M539" s="1055"/>
      <c r="N539" s="1055"/>
    </row>
    <row r="540" spans="1:14" s="986" customFormat="1" ht="15.75" customHeight="1">
      <c r="A540" s="1055"/>
      <c r="B540" s="1055"/>
      <c r="C540" s="1055"/>
      <c r="D540" s="1055"/>
      <c r="E540" s="1055"/>
      <c r="F540" s="1055"/>
      <c r="G540" s="1055"/>
      <c r="H540" s="1055"/>
      <c r="I540" s="1055"/>
      <c r="J540" s="1055"/>
      <c r="K540" s="1055"/>
      <c r="L540" s="1055"/>
      <c r="M540" s="1055"/>
      <c r="N540" s="1055"/>
    </row>
    <row r="541" spans="1:14" s="986" customFormat="1" ht="15.75" customHeight="1">
      <c r="A541" s="1055"/>
      <c r="B541" s="1055"/>
      <c r="C541" s="1055"/>
      <c r="D541" s="1055"/>
      <c r="E541" s="1055"/>
      <c r="F541" s="1055"/>
      <c r="G541" s="1055"/>
      <c r="H541" s="1055"/>
      <c r="I541" s="1055"/>
      <c r="J541" s="1055"/>
      <c r="K541" s="1055"/>
      <c r="L541" s="1055"/>
      <c r="M541" s="1055"/>
      <c r="N541" s="1055"/>
    </row>
    <row r="542" spans="1:14" s="986" customFormat="1" ht="15.75" customHeight="1">
      <c r="A542" s="1055"/>
      <c r="B542" s="1055"/>
      <c r="C542" s="1055"/>
      <c r="D542" s="1055"/>
      <c r="E542" s="1055"/>
      <c r="F542" s="1055"/>
      <c r="G542" s="1055"/>
      <c r="H542" s="1055"/>
      <c r="I542" s="1055"/>
      <c r="J542" s="1055"/>
      <c r="K542" s="1055"/>
      <c r="L542" s="1055"/>
      <c r="M542" s="1055"/>
      <c r="N542" s="1055"/>
    </row>
    <row r="543" spans="1:14" s="986" customFormat="1" ht="15.75" customHeight="1">
      <c r="A543" s="1055"/>
      <c r="B543" s="1055"/>
      <c r="C543" s="1055"/>
      <c r="D543" s="1055"/>
      <c r="E543" s="1055"/>
      <c r="F543" s="1055"/>
      <c r="G543" s="1055"/>
      <c r="H543" s="1055"/>
      <c r="I543" s="1055"/>
      <c r="J543" s="1055"/>
      <c r="K543" s="1055"/>
      <c r="L543" s="1055"/>
      <c r="M543" s="1055"/>
      <c r="N543" s="1055"/>
    </row>
    <row r="544" spans="1:14" s="986" customFormat="1" ht="15.75" customHeight="1">
      <c r="A544" s="1055"/>
      <c r="B544" s="1055"/>
      <c r="C544" s="1055"/>
      <c r="D544" s="1055"/>
      <c r="E544" s="1055"/>
      <c r="F544" s="1055"/>
      <c r="G544" s="1055"/>
      <c r="H544" s="1055"/>
      <c r="I544" s="1055"/>
      <c r="J544" s="1055"/>
      <c r="K544" s="1055"/>
      <c r="L544" s="1055"/>
      <c r="M544" s="1055"/>
      <c r="N544" s="1055"/>
    </row>
    <row r="545" spans="1:14" s="986" customFormat="1" ht="15.75" customHeight="1">
      <c r="A545" s="1055"/>
      <c r="B545" s="1055"/>
      <c r="C545" s="1055"/>
      <c r="D545" s="1055"/>
      <c r="E545" s="1055"/>
      <c r="F545" s="1055"/>
      <c r="G545" s="1055"/>
      <c r="H545" s="1055"/>
      <c r="I545" s="1055"/>
      <c r="J545" s="1055"/>
      <c r="K545" s="1055"/>
      <c r="L545" s="1055"/>
      <c r="M545" s="1055"/>
      <c r="N545" s="1055"/>
    </row>
    <row r="546" spans="1:14" s="986" customFormat="1" ht="15.75" customHeight="1">
      <c r="A546" s="1055"/>
      <c r="B546" s="1055"/>
      <c r="C546" s="1055"/>
      <c r="D546" s="1055"/>
      <c r="E546" s="1055"/>
      <c r="F546" s="1055"/>
      <c r="G546" s="1055"/>
      <c r="H546" s="1055"/>
      <c r="I546" s="1055"/>
      <c r="J546" s="1055"/>
      <c r="K546" s="1055"/>
      <c r="L546" s="1055"/>
      <c r="M546" s="1055"/>
      <c r="N546" s="1055"/>
    </row>
    <row r="547" spans="1:14" s="986" customFormat="1" ht="15.75" customHeight="1">
      <c r="A547" s="1055"/>
      <c r="B547" s="1055"/>
      <c r="C547" s="1055"/>
      <c r="D547" s="1055"/>
      <c r="E547" s="1055"/>
      <c r="F547" s="1055"/>
      <c r="G547" s="1055"/>
      <c r="H547" s="1055"/>
      <c r="I547" s="1055"/>
      <c r="J547" s="1055"/>
      <c r="K547" s="1055"/>
      <c r="L547" s="1055"/>
      <c r="M547" s="1055"/>
      <c r="N547" s="1055"/>
    </row>
    <row r="548" spans="1:14" s="986" customFormat="1" ht="15.75" customHeight="1">
      <c r="A548" s="1055"/>
      <c r="B548" s="1055"/>
      <c r="C548" s="1055"/>
      <c r="D548" s="1055"/>
      <c r="E548" s="1055"/>
      <c r="F548" s="1055"/>
      <c r="G548" s="1055"/>
      <c r="H548" s="1055"/>
      <c r="I548" s="1055"/>
      <c r="J548" s="1055"/>
      <c r="K548" s="1055"/>
      <c r="L548" s="1055"/>
      <c r="M548" s="1055"/>
      <c r="N548" s="1055"/>
    </row>
    <row r="549" spans="1:14" s="986" customFormat="1" ht="15.75" customHeight="1">
      <c r="A549" s="1055"/>
      <c r="B549" s="1055"/>
      <c r="C549" s="1055"/>
      <c r="D549" s="1055"/>
      <c r="E549" s="1055"/>
      <c r="F549" s="1055"/>
      <c r="G549" s="1055"/>
      <c r="H549" s="1055"/>
      <c r="I549" s="1055"/>
      <c r="J549" s="1055"/>
      <c r="K549" s="1055"/>
      <c r="L549" s="1055"/>
      <c r="M549" s="1055"/>
      <c r="N549" s="1055"/>
    </row>
    <row r="550" spans="1:14" s="986" customFormat="1" ht="15.75" customHeight="1">
      <c r="A550" s="1055"/>
      <c r="B550" s="1055"/>
      <c r="C550" s="1055"/>
      <c r="D550" s="1055"/>
      <c r="E550" s="1055"/>
      <c r="F550" s="1055"/>
      <c r="G550" s="1055"/>
      <c r="H550" s="1055"/>
      <c r="I550" s="1055"/>
      <c r="J550" s="1055"/>
      <c r="K550" s="1055"/>
      <c r="L550" s="1055"/>
      <c r="M550" s="1055"/>
      <c r="N550" s="1055"/>
    </row>
    <row r="551" spans="1:14" s="986" customFormat="1" ht="15.75" customHeight="1">
      <c r="A551" s="1055"/>
      <c r="B551" s="1055"/>
      <c r="C551" s="1055"/>
      <c r="D551" s="1055"/>
      <c r="E551" s="1055"/>
      <c r="F551" s="1055"/>
      <c r="G551" s="1055"/>
      <c r="H551" s="1055"/>
      <c r="I551" s="1055"/>
      <c r="J551" s="1055"/>
      <c r="K551" s="1055"/>
      <c r="L551" s="1055"/>
      <c r="M551" s="1055"/>
      <c r="N551" s="1055"/>
    </row>
    <row r="552" spans="1:14" s="986" customFormat="1" ht="15.75" customHeight="1">
      <c r="A552" s="1055"/>
      <c r="B552" s="1055"/>
      <c r="C552" s="1055"/>
      <c r="D552" s="1055"/>
      <c r="E552" s="1055"/>
      <c r="F552" s="1055"/>
      <c r="G552" s="1055"/>
      <c r="H552" s="1055"/>
      <c r="I552" s="1055"/>
      <c r="J552" s="1055"/>
      <c r="K552" s="1055"/>
      <c r="L552" s="1055"/>
      <c r="M552" s="1055"/>
      <c r="N552" s="1055"/>
    </row>
    <row r="553" spans="1:14" s="986" customFormat="1" ht="15.75" customHeight="1">
      <c r="A553" s="1055"/>
      <c r="B553" s="1055"/>
      <c r="C553" s="1055"/>
      <c r="D553" s="1055"/>
      <c r="E553" s="1055"/>
      <c r="F553" s="1055"/>
      <c r="G553" s="1055"/>
      <c r="H553" s="1055"/>
      <c r="I553" s="1055"/>
      <c r="J553" s="1055"/>
      <c r="K553" s="1055"/>
      <c r="L553" s="1055"/>
      <c r="M553" s="1055"/>
      <c r="N553" s="1055"/>
    </row>
    <row r="554" spans="1:14" s="986" customFormat="1" ht="15.75" customHeight="1">
      <c r="A554" s="1055"/>
      <c r="B554" s="1055"/>
      <c r="C554" s="1055"/>
      <c r="D554" s="1055"/>
      <c r="E554" s="1055"/>
      <c r="F554" s="1055"/>
      <c r="G554" s="1055"/>
      <c r="H554" s="1055"/>
      <c r="I554" s="1055"/>
      <c r="J554" s="1055"/>
      <c r="K554" s="1055"/>
      <c r="L554" s="1055"/>
      <c r="M554" s="1055"/>
      <c r="N554" s="1055"/>
    </row>
    <row r="555" spans="1:14" s="986" customFormat="1" ht="15.75" customHeight="1">
      <c r="A555" s="1055"/>
      <c r="B555" s="1055"/>
      <c r="C555" s="1055"/>
      <c r="D555" s="1055"/>
      <c r="E555" s="1055"/>
      <c r="F555" s="1055"/>
      <c r="G555" s="1055"/>
      <c r="H555" s="1055"/>
      <c r="I555" s="1055"/>
      <c r="J555" s="1055"/>
      <c r="K555" s="1055"/>
      <c r="L555" s="1055"/>
      <c r="M555" s="1055"/>
      <c r="N555" s="1055"/>
    </row>
    <row r="556" spans="1:14" s="986" customFormat="1" ht="15.75" customHeight="1">
      <c r="A556" s="1055"/>
      <c r="B556" s="1055"/>
      <c r="C556" s="1055"/>
      <c r="D556" s="1055"/>
      <c r="E556" s="1055"/>
      <c r="F556" s="1055"/>
      <c r="G556" s="1055"/>
      <c r="H556" s="1055"/>
      <c r="I556" s="1055"/>
      <c r="J556" s="1055"/>
      <c r="K556" s="1055"/>
      <c r="L556" s="1055"/>
      <c r="M556" s="1055"/>
      <c r="N556" s="1055"/>
    </row>
    <row r="557" spans="1:14" s="986" customFormat="1" ht="15.75" customHeight="1">
      <c r="A557" s="1055"/>
      <c r="B557" s="1055"/>
      <c r="C557" s="1055"/>
      <c r="D557" s="1055"/>
      <c r="E557" s="1055"/>
      <c r="F557" s="1055"/>
      <c r="G557" s="1055"/>
      <c r="H557" s="1055"/>
      <c r="I557" s="1055"/>
      <c r="J557" s="1055"/>
      <c r="K557" s="1055"/>
      <c r="L557" s="1055"/>
      <c r="M557" s="1055"/>
      <c r="N557" s="1055"/>
    </row>
    <row r="558" spans="1:14" s="986" customFormat="1" ht="15.75" customHeight="1">
      <c r="A558" s="1055"/>
      <c r="B558" s="1055"/>
      <c r="C558" s="1055"/>
      <c r="D558" s="1055"/>
      <c r="E558" s="1055"/>
      <c r="F558" s="1055"/>
      <c r="G558" s="1055"/>
      <c r="H558" s="1055"/>
      <c r="I558" s="1055"/>
      <c r="J558" s="1055"/>
      <c r="K558" s="1055"/>
      <c r="L558" s="1055"/>
      <c r="M558" s="1055"/>
      <c r="N558" s="1055"/>
    </row>
    <row r="559" spans="1:14" s="986" customFormat="1" ht="15.75" customHeight="1">
      <c r="A559" s="1055"/>
      <c r="B559" s="1055"/>
      <c r="C559" s="1055"/>
      <c r="D559" s="1055"/>
      <c r="E559" s="1055"/>
      <c r="F559" s="1055"/>
      <c r="G559" s="1055"/>
      <c r="H559" s="1055"/>
      <c r="I559" s="1055"/>
      <c r="J559" s="1055"/>
      <c r="K559" s="1055"/>
      <c r="L559" s="1055"/>
      <c r="M559" s="1055"/>
      <c r="N559" s="1055"/>
    </row>
    <row r="560" spans="1:14" s="986" customFormat="1" ht="15.75" customHeight="1">
      <c r="A560" s="1055"/>
      <c r="B560" s="1055"/>
      <c r="C560" s="1055"/>
      <c r="D560" s="1055"/>
      <c r="E560" s="1055"/>
      <c r="F560" s="1055"/>
      <c r="G560" s="1055"/>
      <c r="H560" s="1055"/>
      <c r="I560" s="1055"/>
      <c r="J560" s="1055"/>
      <c r="K560" s="1055"/>
      <c r="L560" s="1055"/>
      <c r="M560" s="1055"/>
      <c r="N560" s="1055"/>
    </row>
    <row r="561" spans="1:14" s="986" customFormat="1" ht="15.75" customHeight="1">
      <c r="A561" s="1055"/>
      <c r="B561" s="1055"/>
      <c r="C561" s="1055"/>
      <c r="D561" s="1055"/>
      <c r="E561" s="1055"/>
      <c r="F561" s="1055"/>
      <c r="G561" s="1055"/>
      <c r="H561" s="1055"/>
      <c r="I561" s="1055"/>
      <c r="J561" s="1055"/>
      <c r="K561" s="1055"/>
      <c r="L561" s="1055"/>
      <c r="M561" s="1055"/>
      <c r="N561" s="1055"/>
    </row>
    <row r="562" spans="1:14" s="986" customFormat="1" ht="15.75" customHeight="1">
      <c r="A562" s="1055"/>
      <c r="B562" s="1055"/>
      <c r="C562" s="1055"/>
      <c r="D562" s="1055"/>
      <c r="E562" s="1055"/>
      <c r="F562" s="1055"/>
      <c r="G562" s="1055"/>
      <c r="H562" s="1055"/>
      <c r="I562" s="1055"/>
      <c r="J562" s="1055"/>
      <c r="K562" s="1055"/>
      <c r="L562" s="1055"/>
      <c r="M562" s="1055"/>
      <c r="N562" s="1055"/>
    </row>
    <row r="563" spans="1:14" s="986" customFormat="1" ht="15.75" customHeight="1">
      <c r="A563" s="1055"/>
      <c r="B563" s="1055"/>
      <c r="C563" s="1055"/>
      <c r="D563" s="1055"/>
      <c r="E563" s="1055"/>
      <c r="F563" s="1055"/>
      <c r="G563" s="1055"/>
      <c r="H563" s="1055"/>
      <c r="I563" s="1055"/>
      <c r="J563" s="1055"/>
      <c r="K563" s="1055"/>
      <c r="L563" s="1055"/>
      <c r="M563" s="1055"/>
      <c r="N563" s="1055"/>
    </row>
    <row r="564" spans="1:14" s="986" customFormat="1" ht="15.75" customHeight="1">
      <c r="A564" s="1055"/>
      <c r="B564" s="1055"/>
      <c r="C564" s="1055"/>
      <c r="D564" s="1055"/>
      <c r="E564" s="1055"/>
      <c r="F564" s="1055"/>
      <c r="G564" s="1055"/>
      <c r="H564" s="1055"/>
      <c r="I564" s="1055"/>
      <c r="J564" s="1055"/>
      <c r="K564" s="1055"/>
      <c r="L564" s="1055"/>
      <c r="M564" s="1055"/>
      <c r="N564" s="1055"/>
    </row>
    <row r="565" spans="1:14" s="986" customFormat="1" ht="15.75" customHeight="1">
      <c r="A565" s="1055"/>
      <c r="B565" s="1055"/>
      <c r="C565" s="1055"/>
      <c r="D565" s="1055"/>
      <c r="E565" s="1055"/>
      <c r="F565" s="1055"/>
      <c r="G565" s="1055"/>
      <c r="H565" s="1055"/>
      <c r="I565" s="1055"/>
      <c r="J565" s="1055"/>
      <c r="K565" s="1055"/>
      <c r="L565" s="1055"/>
      <c r="M565" s="1055"/>
      <c r="N565" s="1055"/>
    </row>
    <row r="566" spans="1:14" s="986" customFormat="1" ht="15.75" customHeight="1">
      <c r="A566" s="1055"/>
      <c r="B566" s="1055"/>
      <c r="C566" s="1055"/>
      <c r="D566" s="1055"/>
      <c r="E566" s="1055"/>
      <c r="F566" s="1055"/>
      <c r="G566" s="1055"/>
      <c r="H566" s="1055"/>
      <c r="I566" s="1055"/>
      <c r="J566" s="1055"/>
      <c r="K566" s="1055"/>
      <c r="L566" s="1055"/>
      <c r="M566" s="1055"/>
      <c r="N566" s="1055"/>
    </row>
    <row r="567" spans="1:14" s="986" customFormat="1" ht="15.75" customHeight="1">
      <c r="A567" s="1055"/>
      <c r="B567" s="1055"/>
      <c r="C567" s="1055"/>
      <c r="D567" s="1055"/>
      <c r="E567" s="1055"/>
      <c r="F567" s="1055"/>
      <c r="G567" s="1055"/>
      <c r="H567" s="1055"/>
      <c r="I567" s="1055"/>
      <c r="J567" s="1055"/>
      <c r="K567" s="1055"/>
      <c r="L567" s="1055"/>
      <c r="M567" s="1055"/>
      <c r="N567" s="1055"/>
    </row>
    <row r="568" spans="1:14" s="986" customFormat="1" ht="15.75" customHeight="1">
      <c r="A568" s="1055"/>
      <c r="B568" s="1055"/>
      <c r="C568" s="1055"/>
      <c r="D568" s="1055"/>
      <c r="E568" s="1055"/>
      <c r="F568" s="1055"/>
      <c r="G568" s="1055"/>
      <c r="H568" s="1055"/>
      <c r="I568" s="1055"/>
      <c r="J568" s="1055"/>
      <c r="K568" s="1055"/>
      <c r="L568" s="1055"/>
      <c r="M568" s="1055"/>
      <c r="N568" s="1055"/>
    </row>
    <row r="569" spans="1:14" s="986" customFormat="1" ht="15.75" customHeight="1">
      <c r="A569" s="1055"/>
      <c r="B569" s="1055"/>
      <c r="C569" s="1055"/>
      <c r="D569" s="1055"/>
      <c r="E569" s="1055"/>
      <c r="F569" s="1055"/>
      <c r="G569" s="1055"/>
      <c r="H569" s="1055"/>
      <c r="I569" s="1055"/>
      <c r="J569" s="1055"/>
      <c r="K569" s="1055"/>
      <c r="L569" s="1055"/>
      <c r="M569" s="1055"/>
      <c r="N569" s="1055"/>
    </row>
    <row r="570" spans="1:14" s="986" customFormat="1" ht="15.75" customHeight="1">
      <c r="A570" s="1055"/>
      <c r="B570" s="1055"/>
      <c r="C570" s="1055"/>
      <c r="D570" s="1055"/>
      <c r="E570" s="1055"/>
      <c r="F570" s="1055"/>
      <c r="G570" s="1055"/>
      <c r="H570" s="1055"/>
      <c r="I570" s="1055"/>
      <c r="J570" s="1055"/>
      <c r="K570" s="1055"/>
      <c r="L570" s="1055"/>
      <c r="M570" s="1055"/>
      <c r="N570" s="1055"/>
    </row>
    <row r="571" spans="1:14" s="986" customFormat="1" ht="15.75" customHeight="1">
      <c r="A571" s="1055"/>
      <c r="B571" s="1055"/>
      <c r="C571" s="1055"/>
      <c r="D571" s="1055"/>
      <c r="E571" s="1055"/>
      <c r="F571" s="1055"/>
      <c r="G571" s="1055"/>
      <c r="H571" s="1055"/>
      <c r="I571" s="1055"/>
      <c r="J571" s="1055"/>
      <c r="K571" s="1055"/>
      <c r="L571" s="1055"/>
      <c r="M571" s="1055"/>
      <c r="N571" s="1055"/>
    </row>
    <row r="572" spans="1:14" s="986" customFormat="1" ht="15.75" customHeight="1">
      <c r="A572" s="1055"/>
      <c r="B572" s="1055"/>
      <c r="C572" s="1055"/>
      <c r="D572" s="1055"/>
      <c r="E572" s="1055"/>
      <c r="F572" s="1055"/>
      <c r="G572" s="1055"/>
      <c r="H572" s="1055"/>
      <c r="I572" s="1055"/>
      <c r="J572" s="1055"/>
      <c r="K572" s="1055"/>
      <c r="L572" s="1055"/>
      <c r="M572" s="1055"/>
      <c r="N572" s="1055"/>
    </row>
    <row r="573" spans="1:14" s="986" customFormat="1" ht="15.75" customHeight="1">
      <c r="A573" s="1055"/>
      <c r="B573" s="1055"/>
      <c r="C573" s="1055"/>
      <c r="D573" s="1055"/>
      <c r="E573" s="1055"/>
      <c r="F573" s="1055"/>
      <c r="G573" s="1055"/>
      <c r="H573" s="1055"/>
      <c r="I573" s="1055"/>
      <c r="J573" s="1055"/>
      <c r="K573" s="1055"/>
      <c r="L573" s="1055"/>
      <c r="M573" s="1055"/>
      <c r="N573" s="1055"/>
    </row>
    <row r="574" spans="1:14" s="986" customFormat="1" ht="15.75" customHeight="1">
      <c r="A574" s="1055"/>
      <c r="B574" s="1055"/>
      <c r="C574" s="1055"/>
      <c r="D574" s="1055"/>
      <c r="E574" s="1055"/>
      <c r="F574" s="1055"/>
      <c r="G574" s="1055"/>
      <c r="H574" s="1055"/>
      <c r="I574" s="1055"/>
      <c r="J574" s="1055"/>
      <c r="K574" s="1055"/>
      <c r="L574" s="1055"/>
      <c r="M574" s="1055"/>
      <c r="N574" s="1055"/>
    </row>
    <row r="575" spans="1:14" s="986" customFormat="1" ht="15.75" customHeight="1">
      <c r="A575" s="1055"/>
      <c r="B575" s="1055"/>
      <c r="C575" s="1055"/>
      <c r="D575" s="1055"/>
      <c r="E575" s="1055"/>
      <c r="F575" s="1055"/>
      <c r="G575" s="1055"/>
      <c r="H575" s="1055"/>
      <c r="I575" s="1055"/>
      <c r="J575" s="1055"/>
      <c r="K575" s="1055"/>
      <c r="L575" s="1055"/>
      <c r="M575" s="1055"/>
      <c r="N575" s="1055"/>
    </row>
    <row r="576" spans="1:14" s="986" customFormat="1" ht="15.75" customHeight="1">
      <c r="A576" s="1055"/>
      <c r="B576" s="1055"/>
      <c r="C576" s="1055"/>
      <c r="D576" s="1055"/>
      <c r="E576" s="1055"/>
      <c r="F576" s="1055"/>
      <c r="G576" s="1055"/>
      <c r="H576" s="1055"/>
      <c r="I576" s="1055"/>
      <c r="J576" s="1055"/>
      <c r="K576" s="1055"/>
      <c r="L576" s="1055"/>
      <c r="M576" s="1055"/>
      <c r="N576" s="1055"/>
    </row>
    <row r="577" spans="1:14" s="986" customFormat="1" ht="15.75" customHeight="1">
      <c r="A577" s="1055"/>
      <c r="B577" s="1055"/>
      <c r="C577" s="1055"/>
      <c r="D577" s="1055"/>
      <c r="E577" s="1055"/>
      <c r="F577" s="1055"/>
      <c r="G577" s="1055"/>
      <c r="H577" s="1055"/>
      <c r="I577" s="1055"/>
      <c r="J577" s="1055"/>
      <c r="K577" s="1055"/>
      <c r="L577" s="1055"/>
      <c r="M577" s="1055"/>
      <c r="N577" s="1055"/>
    </row>
    <row r="578" spans="1:14" s="986" customFormat="1" ht="15.75" customHeight="1">
      <c r="A578" s="1055"/>
      <c r="B578" s="1055"/>
      <c r="C578" s="1055"/>
      <c r="D578" s="1055"/>
      <c r="E578" s="1055"/>
      <c r="F578" s="1055"/>
      <c r="G578" s="1055"/>
      <c r="H578" s="1055"/>
      <c r="I578" s="1055"/>
      <c r="J578" s="1055"/>
      <c r="K578" s="1055"/>
      <c r="L578" s="1055"/>
      <c r="M578" s="1055"/>
      <c r="N578" s="1055"/>
    </row>
    <row r="579" spans="1:14" s="986" customFormat="1" ht="15.75" customHeight="1">
      <c r="A579" s="1055"/>
      <c r="B579" s="1055"/>
      <c r="C579" s="1055"/>
      <c r="D579" s="1055"/>
      <c r="E579" s="1055"/>
      <c r="F579" s="1055"/>
      <c r="G579" s="1055"/>
      <c r="H579" s="1055"/>
      <c r="I579" s="1055"/>
      <c r="J579" s="1055"/>
      <c r="K579" s="1055"/>
      <c r="L579" s="1055"/>
      <c r="M579" s="1055"/>
      <c r="N579" s="1055"/>
    </row>
    <row r="580" spans="1:14" s="986" customFormat="1" ht="15.75" customHeight="1">
      <c r="A580" s="1055"/>
      <c r="B580" s="1055"/>
      <c r="C580" s="1055"/>
      <c r="D580" s="1055"/>
      <c r="E580" s="1055"/>
      <c r="F580" s="1055"/>
      <c r="G580" s="1055"/>
      <c r="H580" s="1055"/>
      <c r="I580" s="1055"/>
      <c r="J580" s="1055"/>
      <c r="K580" s="1055"/>
      <c r="L580" s="1055"/>
      <c r="M580" s="1055"/>
      <c r="N580" s="1055"/>
    </row>
    <row r="581" spans="1:14" s="986" customFormat="1" ht="15.75" customHeight="1">
      <c r="A581" s="1055"/>
      <c r="B581" s="1055"/>
      <c r="C581" s="1055"/>
      <c r="D581" s="1055"/>
      <c r="E581" s="1055"/>
      <c r="F581" s="1055"/>
      <c r="G581" s="1055"/>
      <c r="H581" s="1055"/>
      <c r="I581" s="1055"/>
      <c r="J581" s="1055"/>
      <c r="K581" s="1055"/>
      <c r="L581" s="1055"/>
      <c r="M581" s="1055"/>
      <c r="N581" s="1055"/>
    </row>
    <row r="582" spans="1:14" s="986" customFormat="1" ht="15.75" customHeight="1">
      <c r="A582" s="1055"/>
      <c r="B582" s="1055"/>
      <c r="C582" s="1055"/>
      <c r="D582" s="1055"/>
      <c r="E582" s="1055"/>
      <c r="F582" s="1055"/>
      <c r="G582" s="1055"/>
      <c r="H582" s="1055"/>
      <c r="I582" s="1055"/>
      <c r="J582" s="1055"/>
      <c r="K582" s="1055"/>
      <c r="L582" s="1055"/>
      <c r="M582" s="1055"/>
      <c r="N582" s="1055"/>
    </row>
    <row r="583" spans="1:14" s="986" customFormat="1" ht="15.75" customHeight="1">
      <c r="A583" s="1055"/>
      <c r="B583" s="1055"/>
      <c r="C583" s="1055"/>
      <c r="D583" s="1055"/>
      <c r="E583" s="1055"/>
      <c r="F583" s="1055"/>
      <c r="G583" s="1055"/>
      <c r="H583" s="1055"/>
      <c r="I583" s="1055"/>
      <c r="J583" s="1055"/>
      <c r="K583" s="1055"/>
      <c r="L583" s="1055"/>
      <c r="M583" s="1055"/>
      <c r="N583" s="1055"/>
    </row>
    <row r="584" spans="1:14" s="986" customFormat="1" ht="15.75" customHeight="1">
      <c r="A584" s="1055"/>
      <c r="B584" s="1055"/>
      <c r="C584" s="1055"/>
      <c r="D584" s="1055"/>
      <c r="E584" s="1055"/>
      <c r="F584" s="1055"/>
      <c r="G584" s="1055"/>
      <c r="H584" s="1055"/>
      <c r="I584" s="1055"/>
      <c r="J584" s="1055"/>
      <c r="K584" s="1055"/>
      <c r="L584" s="1055"/>
      <c r="M584" s="1055"/>
      <c r="N584" s="1055"/>
    </row>
    <row r="585" spans="1:14" s="986" customFormat="1" ht="15.75" customHeight="1">
      <c r="A585" s="1055"/>
      <c r="B585" s="1055"/>
      <c r="C585" s="1055"/>
      <c r="D585" s="1055"/>
      <c r="E585" s="1055"/>
      <c r="F585" s="1055"/>
      <c r="G585" s="1055"/>
      <c r="H585" s="1055"/>
      <c r="I585" s="1055"/>
      <c r="J585" s="1055"/>
      <c r="K585" s="1055"/>
      <c r="L585" s="1055"/>
      <c r="M585" s="1055"/>
      <c r="N585" s="1055"/>
    </row>
    <row r="586" spans="1:14" s="986" customFormat="1" ht="15.75" customHeight="1">
      <c r="A586" s="1055"/>
      <c r="B586" s="1055"/>
      <c r="C586" s="1055"/>
      <c r="D586" s="1055"/>
      <c r="E586" s="1055"/>
      <c r="F586" s="1055"/>
      <c r="G586" s="1055"/>
      <c r="H586" s="1055"/>
      <c r="I586" s="1055"/>
      <c r="J586" s="1055"/>
      <c r="K586" s="1055"/>
      <c r="L586" s="1055"/>
      <c r="M586" s="1055"/>
      <c r="N586" s="1055"/>
    </row>
    <row r="587" spans="1:14" s="986" customFormat="1" ht="15.75" customHeight="1">
      <c r="A587" s="1055"/>
      <c r="B587" s="1055"/>
      <c r="C587" s="1055"/>
      <c r="D587" s="1055"/>
      <c r="E587" s="1055"/>
      <c r="F587" s="1055"/>
      <c r="G587" s="1055"/>
      <c r="H587" s="1055"/>
      <c r="I587" s="1055"/>
      <c r="J587" s="1055"/>
      <c r="K587" s="1055"/>
      <c r="L587" s="1055"/>
      <c r="M587" s="1055"/>
      <c r="N587" s="1055"/>
    </row>
    <row r="588" spans="1:14" s="986" customFormat="1" ht="15.75" customHeight="1">
      <c r="A588" s="1055"/>
      <c r="B588" s="1055"/>
      <c r="C588" s="1055"/>
      <c r="D588" s="1055"/>
      <c r="E588" s="1055"/>
      <c r="F588" s="1055"/>
      <c r="G588" s="1055"/>
      <c r="H588" s="1055"/>
      <c r="I588" s="1055"/>
      <c r="J588" s="1055"/>
      <c r="K588" s="1055"/>
      <c r="L588" s="1055"/>
      <c r="M588" s="1055"/>
      <c r="N588" s="1055"/>
    </row>
    <row r="589" spans="1:14" s="986" customFormat="1" ht="15.75" customHeight="1">
      <c r="A589" s="1055"/>
      <c r="B589" s="1055"/>
      <c r="C589" s="1055"/>
      <c r="D589" s="1055"/>
      <c r="E589" s="1055"/>
      <c r="F589" s="1055"/>
      <c r="G589" s="1055"/>
      <c r="H589" s="1055"/>
      <c r="I589" s="1055"/>
      <c r="J589" s="1055"/>
      <c r="K589" s="1055"/>
      <c r="L589" s="1055"/>
      <c r="M589" s="1055"/>
      <c r="N589" s="1055"/>
    </row>
    <row r="590" spans="1:14" s="986" customFormat="1" ht="15.75" customHeight="1">
      <c r="A590" s="1055"/>
      <c r="B590" s="1055"/>
      <c r="C590" s="1055"/>
      <c r="D590" s="1055"/>
      <c r="E590" s="1055"/>
      <c r="F590" s="1055"/>
      <c r="G590" s="1055"/>
      <c r="H590" s="1055"/>
      <c r="I590" s="1055"/>
      <c r="J590" s="1055"/>
      <c r="K590" s="1055"/>
      <c r="L590" s="1055"/>
      <c r="M590" s="1055"/>
      <c r="N590" s="1055"/>
    </row>
    <row r="591" spans="1:14" s="986" customFormat="1" ht="15.75" customHeight="1">
      <c r="A591" s="1055"/>
      <c r="B591" s="1055"/>
      <c r="C591" s="1055"/>
      <c r="D591" s="1055"/>
      <c r="E591" s="1055"/>
      <c r="F591" s="1055"/>
      <c r="G591" s="1055"/>
      <c r="H591" s="1055"/>
      <c r="I591" s="1055"/>
      <c r="J591" s="1055"/>
      <c r="K591" s="1055"/>
      <c r="L591" s="1055"/>
      <c r="M591" s="1055"/>
      <c r="N591" s="1055"/>
    </row>
    <row r="592" spans="1:14" s="986" customFormat="1" ht="15.75" customHeight="1">
      <c r="A592" s="1055"/>
      <c r="B592" s="1055"/>
      <c r="C592" s="1055"/>
      <c r="D592" s="1055"/>
      <c r="E592" s="1055"/>
      <c r="F592" s="1055"/>
      <c r="G592" s="1055"/>
      <c r="H592" s="1055"/>
      <c r="I592" s="1055"/>
      <c r="J592" s="1055"/>
      <c r="K592" s="1055"/>
      <c r="L592" s="1055"/>
      <c r="M592" s="1055"/>
      <c r="N592" s="1055"/>
    </row>
    <row r="593" spans="1:14" s="986" customFormat="1" ht="15.75" customHeight="1">
      <c r="A593" s="1055"/>
      <c r="B593" s="1055"/>
      <c r="C593" s="1055"/>
      <c r="D593" s="1055"/>
      <c r="E593" s="1055"/>
      <c r="F593" s="1055"/>
      <c r="G593" s="1055"/>
      <c r="H593" s="1055"/>
      <c r="I593" s="1055"/>
      <c r="J593" s="1055"/>
      <c r="K593" s="1055"/>
      <c r="L593" s="1055"/>
      <c r="M593" s="1055"/>
      <c r="N593" s="1055"/>
    </row>
    <row r="594" spans="1:14" s="986" customFormat="1" ht="15.75" customHeight="1">
      <c r="A594" s="1055"/>
      <c r="B594" s="1055"/>
      <c r="C594" s="1055"/>
      <c r="D594" s="1055"/>
      <c r="E594" s="1055"/>
      <c r="F594" s="1055"/>
      <c r="G594" s="1055"/>
      <c r="H594" s="1055"/>
      <c r="I594" s="1055"/>
      <c r="J594" s="1055"/>
      <c r="K594" s="1055"/>
      <c r="L594" s="1055"/>
      <c r="M594" s="1055"/>
      <c r="N594" s="1055"/>
    </row>
    <row r="595" spans="1:14" s="986" customFormat="1" ht="15.75" customHeight="1">
      <c r="A595" s="1055"/>
      <c r="B595" s="1055"/>
      <c r="C595" s="1055"/>
      <c r="D595" s="1055"/>
      <c r="E595" s="1055"/>
      <c r="F595" s="1055"/>
      <c r="G595" s="1055"/>
      <c r="H595" s="1055"/>
      <c r="I595" s="1055"/>
      <c r="J595" s="1055"/>
      <c r="K595" s="1055"/>
      <c r="L595" s="1055"/>
      <c r="M595" s="1055"/>
      <c r="N595" s="1055"/>
    </row>
    <row r="596" spans="1:14" s="986" customFormat="1" ht="15.75" customHeight="1">
      <c r="A596" s="1055"/>
      <c r="B596" s="1055"/>
      <c r="C596" s="1055"/>
      <c r="D596" s="1055"/>
      <c r="E596" s="1055"/>
      <c r="F596" s="1055"/>
      <c r="G596" s="1055"/>
      <c r="H596" s="1055"/>
      <c r="I596" s="1055"/>
      <c r="J596" s="1055"/>
      <c r="K596" s="1055"/>
      <c r="L596" s="1055"/>
      <c r="M596" s="1055"/>
      <c r="N596" s="1055"/>
    </row>
    <row r="597" spans="1:14" s="986" customFormat="1" ht="15.75" customHeight="1">
      <c r="A597" s="1055"/>
      <c r="B597" s="1055"/>
      <c r="C597" s="1055"/>
      <c r="D597" s="1055"/>
      <c r="E597" s="1055"/>
      <c r="F597" s="1055"/>
      <c r="G597" s="1055"/>
      <c r="H597" s="1055"/>
      <c r="I597" s="1055"/>
      <c r="J597" s="1055"/>
      <c r="K597" s="1055"/>
      <c r="L597" s="1055"/>
      <c r="M597" s="1055"/>
      <c r="N597" s="1055"/>
    </row>
    <row r="598" spans="1:14" s="986" customFormat="1" ht="15.75" customHeight="1">
      <c r="A598" s="1055"/>
      <c r="B598" s="1055"/>
      <c r="C598" s="1055"/>
      <c r="D598" s="1055"/>
      <c r="E598" s="1055"/>
      <c r="F598" s="1055"/>
      <c r="G598" s="1055"/>
      <c r="H598" s="1055"/>
      <c r="I598" s="1055"/>
      <c r="J598" s="1055"/>
      <c r="K598" s="1055"/>
      <c r="L598" s="1055"/>
      <c r="M598" s="1055"/>
      <c r="N598" s="1055"/>
    </row>
    <row r="599" spans="1:14" s="986" customFormat="1" ht="15.75" customHeight="1">
      <c r="A599" s="1055"/>
      <c r="B599" s="1055"/>
      <c r="C599" s="1055"/>
      <c r="D599" s="1055"/>
      <c r="E599" s="1055"/>
      <c r="F599" s="1055"/>
      <c r="G599" s="1055"/>
      <c r="H599" s="1055"/>
      <c r="I599" s="1055"/>
      <c r="J599" s="1055"/>
      <c r="K599" s="1055"/>
      <c r="L599" s="1055"/>
      <c r="M599" s="1055"/>
      <c r="N599" s="1055"/>
    </row>
    <row r="600" spans="1:14" s="986" customFormat="1" ht="15.75" customHeight="1">
      <c r="A600" s="1055"/>
      <c r="B600" s="1055"/>
      <c r="C600" s="1055"/>
      <c r="D600" s="1055"/>
      <c r="E600" s="1055"/>
      <c r="F600" s="1055"/>
      <c r="G600" s="1055"/>
      <c r="H600" s="1055"/>
      <c r="I600" s="1055"/>
      <c r="J600" s="1055"/>
      <c r="K600" s="1055"/>
      <c r="L600" s="1055"/>
      <c r="M600" s="1055"/>
      <c r="N600" s="1055"/>
    </row>
    <row r="601" spans="1:14" s="986" customFormat="1" ht="15.75" customHeight="1">
      <c r="A601" s="1055"/>
      <c r="B601" s="1055"/>
      <c r="C601" s="1055"/>
      <c r="D601" s="1055"/>
      <c r="E601" s="1055"/>
      <c r="F601" s="1055"/>
      <c r="G601" s="1055"/>
      <c r="H601" s="1055"/>
      <c r="I601" s="1055"/>
      <c r="J601" s="1055"/>
      <c r="K601" s="1055"/>
      <c r="L601" s="1055"/>
      <c r="M601" s="1055"/>
      <c r="N601" s="1055"/>
    </row>
    <row r="602" spans="1:14" s="986" customFormat="1" ht="15.75" customHeight="1">
      <c r="A602" s="1055"/>
      <c r="B602" s="1055"/>
      <c r="C602" s="1055"/>
      <c r="D602" s="1055"/>
      <c r="E602" s="1055"/>
      <c r="F602" s="1055"/>
      <c r="G602" s="1055"/>
      <c r="H602" s="1055"/>
      <c r="I602" s="1055"/>
      <c r="J602" s="1055"/>
      <c r="K602" s="1055"/>
      <c r="L602" s="1055"/>
      <c r="M602" s="1055"/>
      <c r="N602" s="1055"/>
    </row>
    <row r="603" spans="1:14" s="986" customFormat="1" ht="15.75" customHeight="1">
      <c r="A603" s="1055"/>
      <c r="B603" s="1055"/>
      <c r="C603" s="1055"/>
      <c r="D603" s="1055"/>
      <c r="E603" s="1055"/>
      <c r="F603" s="1055"/>
      <c r="G603" s="1055"/>
      <c r="H603" s="1055"/>
      <c r="I603" s="1055"/>
      <c r="J603" s="1055"/>
      <c r="K603" s="1055"/>
      <c r="L603" s="1055"/>
      <c r="M603" s="1055"/>
      <c r="N603" s="1055"/>
    </row>
    <row r="604" spans="1:14" s="986" customFormat="1" ht="15.75" customHeight="1">
      <c r="A604" s="1055"/>
      <c r="B604" s="1055"/>
      <c r="C604" s="1055"/>
      <c r="D604" s="1055"/>
      <c r="E604" s="1055"/>
      <c r="F604" s="1055"/>
      <c r="G604" s="1055"/>
      <c r="H604" s="1055"/>
      <c r="I604" s="1055"/>
      <c r="J604" s="1055"/>
      <c r="K604" s="1055"/>
      <c r="L604" s="1055"/>
      <c r="M604" s="1055"/>
      <c r="N604" s="1055"/>
    </row>
    <row r="605" spans="1:14" s="986" customFormat="1" ht="15.75" customHeight="1">
      <c r="A605" s="1055"/>
      <c r="B605" s="1055"/>
      <c r="C605" s="1055"/>
      <c r="D605" s="1055"/>
      <c r="E605" s="1055"/>
      <c r="F605" s="1055"/>
      <c r="G605" s="1055"/>
      <c r="H605" s="1055"/>
      <c r="I605" s="1055"/>
      <c r="J605" s="1055"/>
      <c r="K605" s="1055"/>
      <c r="L605" s="1055"/>
      <c r="M605" s="1055"/>
      <c r="N605" s="1055"/>
    </row>
    <row r="606" spans="1:14" s="986" customFormat="1" ht="15.75" customHeight="1">
      <c r="A606" s="1055"/>
      <c r="B606" s="1055"/>
      <c r="C606" s="1055"/>
      <c r="D606" s="1055"/>
      <c r="E606" s="1055"/>
      <c r="F606" s="1055"/>
      <c r="G606" s="1055"/>
      <c r="H606" s="1055"/>
      <c r="I606" s="1055"/>
      <c r="J606" s="1055"/>
      <c r="K606" s="1055"/>
      <c r="L606" s="1055"/>
      <c r="M606" s="1055"/>
      <c r="N606" s="1055"/>
    </row>
    <row r="607" spans="1:14" s="986" customFormat="1" ht="15.75" customHeight="1">
      <c r="A607" s="1055"/>
      <c r="B607" s="1055"/>
      <c r="C607" s="1055"/>
      <c r="D607" s="1055"/>
      <c r="E607" s="1055"/>
      <c r="F607" s="1055"/>
      <c r="G607" s="1055"/>
      <c r="H607" s="1055"/>
      <c r="I607" s="1055"/>
      <c r="J607" s="1055"/>
      <c r="K607" s="1055"/>
      <c r="L607" s="1055"/>
      <c r="M607" s="1055"/>
      <c r="N607" s="1055"/>
    </row>
    <row r="608" spans="1:14" s="986" customFormat="1" ht="15.75" customHeight="1">
      <c r="A608" s="1055"/>
      <c r="B608" s="1055"/>
      <c r="C608" s="1055"/>
      <c r="D608" s="1055"/>
      <c r="E608" s="1055"/>
      <c r="F608" s="1055"/>
      <c r="G608" s="1055"/>
      <c r="H608" s="1055"/>
      <c r="I608" s="1055"/>
      <c r="J608" s="1055"/>
      <c r="K608" s="1055"/>
      <c r="L608" s="1055"/>
      <c r="M608" s="1055"/>
      <c r="N608" s="1055"/>
    </row>
    <row r="609" spans="1:14" s="986" customFormat="1" ht="15.75" customHeight="1">
      <c r="A609" s="1055"/>
      <c r="B609" s="1055"/>
      <c r="C609" s="1055"/>
      <c r="D609" s="1055"/>
      <c r="E609" s="1055"/>
      <c r="F609" s="1055"/>
      <c r="G609" s="1055"/>
      <c r="H609" s="1055"/>
      <c r="I609" s="1055"/>
      <c r="J609" s="1055"/>
      <c r="K609" s="1055"/>
      <c r="L609" s="1055"/>
      <c r="M609" s="1055"/>
      <c r="N609" s="1055"/>
    </row>
    <row r="610" spans="1:14" s="986" customFormat="1" ht="15.75" customHeight="1">
      <c r="A610" s="1055"/>
      <c r="B610" s="1055"/>
      <c r="C610" s="1055"/>
      <c r="D610" s="1055"/>
      <c r="E610" s="1055"/>
      <c r="F610" s="1055"/>
      <c r="G610" s="1055"/>
      <c r="H610" s="1055"/>
      <c r="I610" s="1055"/>
      <c r="J610" s="1055"/>
      <c r="K610" s="1055"/>
      <c r="L610" s="1055"/>
      <c r="M610" s="1055"/>
      <c r="N610" s="1055"/>
    </row>
    <row r="611" spans="1:14" s="986" customFormat="1" ht="15.75" customHeight="1">
      <c r="A611" s="1055"/>
      <c r="B611" s="1055"/>
      <c r="C611" s="1055"/>
      <c r="D611" s="1055"/>
      <c r="E611" s="1055"/>
      <c r="F611" s="1055"/>
      <c r="G611" s="1055"/>
      <c r="H611" s="1055"/>
      <c r="I611" s="1055"/>
      <c r="J611" s="1055"/>
      <c r="K611" s="1055"/>
      <c r="L611" s="1055"/>
      <c r="M611" s="1055"/>
      <c r="N611" s="1055"/>
    </row>
    <row r="612" spans="1:14" s="986" customFormat="1" ht="15.75" customHeight="1">
      <c r="A612" s="1055"/>
      <c r="B612" s="1055"/>
      <c r="C612" s="1055"/>
      <c r="D612" s="1055"/>
      <c r="E612" s="1055"/>
      <c r="F612" s="1055"/>
      <c r="G612" s="1055"/>
      <c r="H612" s="1055"/>
      <c r="I612" s="1055"/>
      <c r="J612" s="1055"/>
      <c r="K612" s="1055"/>
      <c r="L612" s="1055"/>
      <c r="M612" s="1055"/>
      <c r="N612" s="1055"/>
    </row>
    <row r="613" spans="1:14" s="986" customFormat="1" ht="15.75" customHeight="1">
      <c r="A613" s="1055"/>
      <c r="B613" s="1055"/>
      <c r="C613" s="1055"/>
      <c r="D613" s="1055"/>
      <c r="E613" s="1055"/>
      <c r="F613" s="1055"/>
      <c r="G613" s="1055"/>
      <c r="H613" s="1055"/>
      <c r="I613" s="1055"/>
      <c r="J613" s="1055"/>
      <c r="K613" s="1055"/>
      <c r="L613" s="1055"/>
      <c r="M613" s="1055"/>
      <c r="N613" s="1055"/>
    </row>
    <row r="614" spans="1:14" s="986" customFormat="1" ht="15.75" customHeight="1">
      <c r="A614" s="1055"/>
      <c r="B614" s="1055"/>
      <c r="C614" s="1055"/>
      <c r="D614" s="1055"/>
      <c r="E614" s="1055"/>
      <c r="F614" s="1055"/>
      <c r="G614" s="1055"/>
      <c r="H614" s="1055"/>
      <c r="I614" s="1055"/>
      <c r="J614" s="1055"/>
      <c r="K614" s="1055"/>
      <c r="L614" s="1055"/>
      <c r="M614" s="1055"/>
      <c r="N614" s="1055"/>
    </row>
    <row r="615" spans="1:14" s="986" customFormat="1" ht="15.75" customHeight="1">
      <c r="A615" s="1055"/>
      <c r="B615" s="1055"/>
      <c r="C615" s="1055"/>
      <c r="D615" s="1055"/>
      <c r="E615" s="1055"/>
      <c r="F615" s="1055"/>
      <c r="G615" s="1055"/>
      <c r="H615" s="1055"/>
      <c r="I615" s="1055"/>
      <c r="J615" s="1055"/>
      <c r="K615" s="1055"/>
      <c r="L615" s="1055"/>
      <c r="M615" s="1055"/>
      <c r="N615" s="1055"/>
    </row>
    <row r="616" spans="1:14" s="986" customFormat="1" ht="15.75" customHeight="1">
      <c r="A616" s="1055"/>
      <c r="B616" s="1055"/>
      <c r="C616" s="1055"/>
      <c r="D616" s="1055"/>
      <c r="E616" s="1055"/>
      <c r="F616" s="1055"/>
      <c r="G616" s="1055"/>
      <c r="H616" s="1055"/>
      <c r="I616" s="1055"/>
      <c r="J616" s="1055"/>
      <c r="K616" s="1055"/>
      <c r="L616" s="1055"/>
      <c r="M616" s="1055"/>
      <c r="N616" s="1055"/>
    </row>
    <row r="617" spans="1:14" s="986" customFormat="1" ht="15.75" customHeight="1">
      <c r="A617" s="1055"/>
      <c r="B617" s="1055"/>
      <c r="C617" s="1055"/>
      <c r="D617" s="1055"/>
      <c r="E617" s="1055"/>
      <c r="F617" s="1055"/>
      <c r="G617" s="1055"/>
      <c r="H617" s="1055"/>
      <c r="I617" s="1055"/>
      <c r="J617" s="1055"/>
      <c r="K617" s="1055"/>
      <c r="L617" s="1055"/>
      <c r="M617" s="1055"/>
      <c r="N617" s="1055"/>
    </row>
    <row r="618" spans="1:14" s="986" customFormat="1" ht="15.75" customHeight="1">
      <c r="A618" s="1055"/>
      <c r="B618" s="1055"/>
      <c r="C618" s="1055"/>
      <c r="D618" s="1055"/>
      <c r="E618" s="1055"/>
      <c r="F618" s="1055"/>
      <c r="G618" s="1055"/>
      <c r="H618" s="1055"/>
      <c r="I618" s="1055"/>
      <c r="J618" s="1055"/>
      <c r="K618" s="1055"/>
      <c r="L618" s="1055"/>
      <c r="M618" s="1055"/>
      <c r="N618" s="1055"/>
    </row>
    <row r="619" spans="1:14" s="986" customFormat="1" ht="15.75" customHeight="1">
      <c r="A619" s="1055"/>
      <c r="B619" s="1055"/>
      <c r="C619" s="1055"/>
      <c r="D619" s="1055"/>
      <c r="E619" s="1055"/>
      <c r="F619" s="1055"/>
      <c r="G619" s="1055"/>
      <c r="H619" s="1055"/>
      <c r="I619" s="1055"/>
      <c r="J619" s="1055"/>
      <c r="K619" s="1055"/>
      <c r="L619" s="1055"/>
      <c r="M619" s="1055"/>
      <c r="N619" s="1055"/>
    </row>
    <row r="620" spans="1:14" s="986" customFormat="1" ht="15.75" customHeight="1">
      <c r="A620" s="1055"/>
      <c r="B620" s="1055"/>
      <c r="C620" s="1055"/>
      <c r="D620" s="1055"/>
      <c r="E620" s="1055"/>
      <c r="F620" s="1055"/>
      <c r="G620" s="1055"/>
      <c r="H620" s="1055"/>
      <c r="I620" s="1055"/>
      <c r="J620" s="1055"/>
      <c r="K620" s="1055"/>
      <c r="L620" s="1055"/>
      <c r="M620" s="1055"/>
      <c r="N620" s="1055"/>
    </row>
    <row r="621" spans="1:14" s="986" customFormat="1" ht="15.75" customHeight="1">
      <c r="A621" s="1055"/>
      <c r="B621" s="1055"/>
      <c r="C621" s="1055"/>
      <c r="D621" s="1055"/>
      <c r="E621" s="1055"/>
      <c r="F621" s="1055"/>
      <c r="G621" s="1055"/>
      <c r="H621" s="1055"/>
      <c r="I621" s="1055"/>
      <c r="J621" s="1055"/>
      <c r="K621" s="1055"/>
      <c r="L621" s="1055"/>
      <c r="M621" s="1055"/>
      <c r="N621" s="1055"/>
    </row>
    <row r="622" spans="1:14" s="986" customFormat="1" ht="15.75" customHeight="1">
      <c r="A622" s="1055"/>
      <c r="B622" s="1055"/>
      <c r="C622" s="1055"/>
      <c r="D622" s="1055"/>
      <c r="E622" s="1055"/>
      <c r="F622" s="1055"/>
      <c r="G622" s="1055"/>
      <c r="H622" s="1055"/>
      <c r="I622" s="1055"/>
      <c r="J622" s="1055"/>
      <c r="K622" s="1055"/>
      <c r="L622" s="1055"/>
      <c r="M622" s="1055"/>
      <c r="N622" s="1055"/>
    </row>
    <row r="623" spans="1:14" s="986" customFormat="1" ht="15.75" customHeight="1">
      <c r="A623" s="1055"/>
      <c r="B623" s="1055"/>
      <c r="C623" s="1055"/>
      <c r="D623" s="1055"/>
      <c r="E623" s="1055"/>
      <c r="F623" s="1055"/>
      <c r="G623" s="1055"/>
      <c r="H623" s="1055"/>
      <c r="I623" s="1055"/>
      <c r="J623" s="1055"/>
      <c r="K623" s="1055"/>
      <c r="L623" s="1055"/>
      <c r="M623" s="1055"/>
      <c r="N623" s="1055"/>
    </row>
    <row r="624" spans="1:14" s="986" customFormat="1" ht="15.75" customHeight="1">
      <c r="A624" s="1055"/>
      <c r="B624" s="1055"/>
      <c r="C624" s="1055"/>
      <c r="D624" s="1055"/>
      <c r="E624" s="1055"/>
      <c r="F624" s="1055"/>
      <c r="G624" s="1055"/>
      <c r="H624" s="1055"/>
      <c r="I624" s="1055"/>
      <c r="J624" s="1055"/>
      <c r="K624" s="1055"/>
      <c r="L624" s="1055"/>
      <c r="M624" s="1055"/>
      <c r="N624" s="1055"/>
    </row>
    <row r="625" spans="1:14" s="986" customFormat="1" ht="15.75" customHeight="1">
      <c r="A625" s="1055"/>
      <c r="B625" s="1055"/>
      <c r="C625" s="1055"/>
      <c r="D625" s="1055"/>
      <c r="E625" s="1055"/>
      <c r="F625" s="1055"/>
      <c r="G625" s="1055"/>
      <c r="H625" s="1055"/>
      <c r="I625" s="1055"/>
      <c r="J625" s="1055"/>
      <c r="K625" s="1055"/>
      <c r="L625" s="1055"/>
      <c r="M625" s="1055"/>
      <c r="N625" s="1055"/>
    </row>
    <row r="626" spans="1:14" s="986" customFormat="1" ht="15.75" customHeight="1">
      <c r="A626" s="1055"/>
      <c r="B626" s="1055"/>
      <c r="C626" s="1055"/>
      <c r="D626" s="1055"/>
      <c r="E626" s="1055"/>
      <c r="F626" s="1055"/>
      <c r="G626" s="1055"/>
      <c r="H626" s="1055"/>
      <c r="I626" s="1055"/>
      <c r="J626" s="1055"/>
      <c r="K626" s="1055"/>
      <c r="L626" s="1055"/>
      <c r="M626" s="1055"/>
      <c r="N626" s="1055"/>
    </row>
    <row r="627" spans="1:14" s="986" customFormat="1" ht="15.75" customHeight="1">
      <c r="A627" s="1055"/>
      <c r="B627" s="1055"/>
      <c r="C627" s="1055"/>
      <c r="D627" s="1055"/>
      <c r="E627" s="1055"/>
      <c r="F627" s="1055"/>
      <c r="G627" s="1055"/>
      <c r="H627" s="1055"/>
      <c r="I627" s="1055"/>
      <c r="J627" s="1055"/>
      <c r="K627" s="1055"/>
      <c r="L627" s="1055"/>
      <c r="M627" s="1055"/>
      <c r="N627" s="1055"/>
    </row>
    <row r="628" spans="1:14" s="986" customFormat="1" ht="15.75" customHeight="1">
      <c r="A628" s="1055"/>
      <c r="B628" s="1055"/>
      <c r="C628" s="1055"/>
      <c r="D628" s="1055"/>
      <c r="E628" s="1055"/>
      <c r="F628" s="1055"/>
      <c r="G628" s="1055"/>
      <c r="H628" s="1055"/>
      <c r="I628" s="1055"/>
      <c r="J628" s="1055"/>
      <c r="K628" s="1055"/>
      <c r="L628" s="1055"/>
      <c r="M628" s="1055"/>
      <c r="N628" s="1055"/>
    </row>
    <row r="629" spans="1:14" s="986" customFormat="1" ht="15.75" customHeight="1">
      <c r="A629" s="1055"/>
      <c r="B629" s="1055"/>
      <c r="C629" s="1055"/>
      <c r="D629" s="1055"/>
      <c r="E629" s="1055"/>
      <c r="F629" s="1055"/>
      <c r="G629" s="1055"/>
      <c r="H629" s="1055"/>
      <c r="I629" s="1055"/>
      <c r="J629" s="1055"/>
      <c r="K629" s="1055"/>
      <c r="L629" s="1055"/>
      <c r="M629" s="1055"/>
      <c r="N629" s="1055"/>
    </row>
    <row r="630" spans="1:14" s="986" customFormat="1" ht="15.75" customHeight="1">
      <c r="A630" s="1055"/>
      <c r="B630" s="1055"/>
      <c r="C630" s="1055"/>
      <c r="D630" s="1055"/>
      <c r="E630" s="1055"/>
      <c r="F630" s="1055"/>
      <c r="G630" s="1055"/>
      <c r="H630" s="1055"/>
      <c r="I630" s="1055"/>
      <c r="J630" s="1055"/>
      <c r="K630" s="1055"/>
      <c r="L630" s="1055"/>
      <c r="M630" s="1055"/>
      <c r="N630" s="1055"/>
    </row>
    <row r="631" spans="1:14" s="986" customFormat="1" ht="15.75" customHeight="1">
      <c r="A631" s="1055"/>
      <c r="B631" s="1055"/>
      <c r="C631" s="1055"/>
      <c r="D631" s="1055"/>
      <c r="E631" s="1055"/>
      <c r="F631" s="1055"/>
      <c r="G631" s="1055"/>
      <c r="H631" s="1055"/>
      <c r="I631" s="1055"/>
      <c r="J631" s="1055"/>
      <c r="K631" s="1055"/>
      <c r="L631" s="1055"/>
      <c r="M631" s="1055"/>
      <c r="N631" s="1055"/>
    </row>
    <row r="632" spans="1:14" s="986" customFormat="1" ht="15.75" customHeight="1">
      <c r="A632" s="1055"/>
      <c r="B632" s="1055"/>
      <c r="C632" s="1055"/>
      <c r="D632" s="1055"/>
      <c r="E632" s="1055"/>
      <c r="F632" s="1055"/>
      <c r="G632" s="1055"/>
      <c r="H632" s="1055"/>
      <c r="I632" s="1055"/>
      <c r="J632" s="1055"/>
      <c r="K632" s="1055"/>
      <c r="L632" s="1055"/>
      <c r="M632" s="1055"/>
      <c r="N632" s="1055"/>
    </row>
    <row r="633" spans="1:14" s="986" customFormat="1" ht="15.75" customHeight="1">
      <c r="A633" s="1055"/>
      <c r="B633" s="1055"/>
      <c r="C633" s="1055"/>
      <c r="D633" s="1055"/>
      <c r="E633" s="1055"/>
      <c r="F633" s="1055"/>
      <c r="G633" s="1055"/>
      <c r="H633" s="1055"/>
      <c r="I633" s="1055"/>
      <c r="J633" s="1055"/>
      <c r="K633" s="1055"/>
      <c r="L633" s="1055"/>
      <c r="M633" s="1055"/>
      <c r="N633" s="1055"/>
    </row>
    <row r="634" spans="1:14" s="986" customFormat="1" ht="15.75" customHeight="1">
      <c r="A634" s="1055"/>
      <c r="B634" s="1055"/>
      <c r="C634" s="1055"/>
      <c r="D634" s="1055"/>
      <c r="E634" s="1055"/>
      <c r="F634" s="1055"/>
      <c r="G634" s="1055"/>
      <c r="H634" s="1055"/>
      <c r="I634" s="1055"/>
      <c r="J634" s="1055"/>
      <c r="K634" s="1055"/>
      <c r="L634" s="1055"/>
      <c r="M634" s="1055"/>
      <c r="N634" s="1055"/>
    </row>
    <row r="635" spans="1:14" s="986" customFormat="1" ht="15.75" customHeight="1">
      <c r="A635" s="1055"/>
      <c r="B635" s="1055"/>
      <c r="C635" s="1055"/>
      <c r="D635" s="1055"/>
      <c r="E635" s="1055"/>
      <c r="F635" s="1055"/>
      <c r="G635" s="1055"/>
      <c r="H635" s="1055"/>
      <c r="I635" s="1055"/>
      <c r="J635" s="1055"/>
      <c r="K635" s="1055"/>
      <c r="L635" s="1055"/>
      <c r="M635" s="1055"/>
      <c r="N635" s="1055"/>
    </row>
    <row r="636" spans="1:14" s="986" customFormat="1" ht="15.75" customHeight="1">
      <c r="A636" s="1055"/>
      <c r="B636" s="1055"/>
      <c r="C636" s="1055"/>
      <c r="D636" s="1055"/>
      <c r="E636" s="1055"/>
      <c r="F636" s="1055"/>
      <c r="G636" s="1055"/>
      <c r="H636" s="1055"/>
      <c r="I636" s="1055"/>
      <c r="J636" s="1055"/>
      <c r="K636" s="1055"/>
      <c r="L636" s="1055"/>
      <c r="M636" s="1055"/>
      <c r="N636" s="1055"/>
    </row>
    <row r="637" spans="1:14" s="986" customFormat="1" ht="15.75" customHeight="1">
      <c r="A637" s="1055"/>
      <c r="B637" s="1055"/>
      <c r="C637" s="1055"/>
      <c r="D637" s="1055"/>
      <c r="E637" s="1055"/>
      <c r="F637" s="1055"/>
      <c r="G637" s="1055"/>
      <c r="H637" s="1055"/>
      <c r="I637" s="1055"/>
      <c r="J637" s="1055"/>
      <c r="K637" s="1055"/>
      <c r="L637" s="1055"/>
      <c r="M637" s="1055"/>
      <c r="N637" s="1055"/>
    </row>
    <row r="638" spans="1:14" s="986" customFormat="1" ht="15.75" customHeight="1">
      <c r="A638" s="1055"/>
      <c r="B638" s="1055"/>
      <c r="C638" s="1055"/>
      <c r="D638" s="1055"/>
      <c r="E638" s="1055"/>
      <c r="F638" s="1055"/>
      <c r="G638" s="1055"/>
      <c r="H638" s="1055"/>
      <c r="I638" s="1055"/>
      <c r="J638" s="1055"/>
      <c r="K638" s="1055"/>
      <c r="L638" s="1055"/>
      <c r="M638" s="1055"/>
      <c r="N638" s="1055"/>
    </row>
    <row r="639" spans="1:14" s="986" customFormat="1" ht="15.75" customHeight="1">
      <c r="A639" s="1055"/>
      <c r="B639" s="1055"/>
      <c r="C639" s="1055"/>
      <c r="D639" s="1055"/>
      <c r="E639" s="1055"/>
      <c r="F639" s="1055"/>
      <c r="G639" s="1055"/>
      <c r="H639" s="1055"/>
      <c r="I639" s="1055"/>
      <c r="J639" s="1055"/>
      <c r="K639" s="1055"/>
      <c r="L639" s="1055"/>
      <c r="M639" s="1055"/>
      <c r="N639" s="1055"/>
    </row>
    <row r="640" spans="1:14" s="986" customFormat="1" ht="15.75" customHeight="1">
      <c r="A640" s="1055"/>
      <c r="B640" s="1055"/>
      <c r="C640" s="1055"/>
      <c r="D640" s="1055"/>
      <c r="E640" s="1055"/>
      <c r="F640" s="1055"/>
      <c r="G640" s="1055"/>
      <c r="H640" s="1055"/>
      <c r="I640" s="1055"/>
      <c r="J640" s="1055"/>
      <c r="K640" s="1055"/>
      <c r="L640" s="1055"/>
      <c r="M640" s="1055"/>
      <c r="N640" s="1055"/>
    </row>
    <row r="641" spans="1:14" s="986" customFormat="1" ht="15.75" customHeight="1">
      <c r="A641" s="1055"/>
      <c r="B641" s="1055"/>
      <c r="C641" s="1055"/>
      <c r="D641" s="1055"/>
      <c r="E641" s="1055"/>
      <c r="F641" s="1055"/>
      <c r="G641" s="1055"/>
      <c r="H641" s="1055"/>
      <c r="I641" s="1055"/>
      <c r="J641" s="1055"/>
      <c r="K641" s="1055"/>
      <c r="L641" s="1055"/>
      <c r="M641" s="1055"/>
      <c r="N641" s="1055"/>
    </row>
    <row r="642" spans="1:14" s="986" customFormat="1" ht="15.75" customHeight="1">
      <c r="A642" s="1055"/>
      <c r="B642" s="1055"/>
      <c r="C642" s="1055"/>
      <c r="D642" s="1055"/>
      <c r="E642" s="1055"/>
      <c r="F642" s="1055"/>
      <c r="G642" s="1055"/>
      <c r="H642" s="1055"/>
      <c r="I642" s="1055"/>
      <c r="J642" s="1055"/>
      <c r="K642" s="1055"/>
      <c r="L642" s="1055"/>
      <c r="M642" s="1055"/>
      <c r="N642" s="1055"/>
    </row>
    <row r="643" spans="1:14" s="986" customFormat="1" ht="15.75" customHeight="1">
      <c r="A643" s="1055"/>
      <c r="B643" s="1055"/>
      <c r="C643" s="1055"/>
      <c r="D643" s="1055"/>
      <c r="E643" s="1055"/>
      <c r="F643" s="1055"/>
      <c r="G643" s="1055"/>
      <c r="H643" s="1055"/>
      <c r="I643" s="1055"/>
      <c r="J643" s="1055"/>
      <c r="K643" s="1055"/>
      <c r="L643" s="1055"/>
      <c r="M643" s="1055"/>
      <c r="N643" s="1055"/>
    </row>
    <row r="644" spans="1:14" s="986" customFormat="1" ht="15.75" customHeight="1">
      <c r="A644" s="1055"/>
      <c r="B644" s="1055"/>
      <c r="C644" s="1055"/>
      <c r="D644" s="1055"/>
      <c r="E644" s="1055"/>
      <c r="F644" s="1055"/>
      <c r="G644" s="1055"/>
      <c r="H644" s="1055"/>
      <c r="I644" s="1055"/>
      <c r="J644" s="1055"/>
      <c r="K644" s="1055"/>
      <c r="L644" s="1055"/>
      <c r="M644" s="1055"/>
      <c r="N644" s="1055"/>
    </row>
    <row r="645" spans="1:14" s="986" customFormat="1" ht="15.75" customHeight="1">
      <c r="A645" s="1055"/>
      <c r="B645" s="1055"/>
      <c r="C645" s="1055"/>
      <c r="D645" s="1055"/>
      <c r="E645" s="1055"/>
      <c r="F645" s="1055"/>
      <c r="G645" s="1055"/>
      <c r="H645" s="1055"/>
      <c r="I645" s="1055"/>
      <c r="J645" s="1055"/>
      <c r="K645" s="1055"/>
      <c r="L645" s="1055"/>
      <c r="M645" s="1055"/>
      <c r="N645" s="1055"/>
    </row>
    <row r="646" spans="1:14" s="986" customFormat="1" ht="15.75" customHeight="1">
      <c r="A646" s="1055"/>
      <c r="B646" s="1055"/>
      <c r="C646" s="1055"/>
      <c r="D646" s="1055"/>
      <c r="E646" s="1055"/>
      <c r="F646" s="1055"/>
      <c r="G646" s="1055"/>
      <c r="H646" s="1055"/>
      <c r="I646" s="1055"/>
      <c r="J646" s="1055"/>
      <c r="K646" s="1055"/>
      <c r="L646" s="1055"/>
      <c r="M646" s="1055"/>
      <c r="N646" s="1055"/>
    </row>
    <row r="647" spans="1:14" s="986" customFormat="1" ht="15.75" customHeight="1">
      <c r="A647" s="1055"/>
      <c r="B647" s="1055"/>
      <c r="C647" s="1055"/>
      <c r="D647" s="1055"/>
      <c r="E647" s="1055"/>
      <c r="F647" s="1055"/>
      <c r="G647" s="1055"/>
      <c r="H647" s="1055"/>
      <c r="I647" s="1055"/>
      <c r="J647" s="1055"/>
      <c r="K647" s="1055"/>
      <c r="L647" s="1055"/>
      <c r="M647" s="1055"/>
      <c r="N647" s="1055"/>
    </row>
    <row r="648" spans="1:14" s="986" customFormat="1" ht="15.75" customHeight="1">
      <c r="A648" s="1055"/>
      <c r="B648" s="1055"/>
      <c r="C648" s="1055"/>
      <c r="D648" s="1055"/>
      <c r="E648" s="1055"/>
      <c r="F648" s="1055"/>
      <c r="G648" s="1055"/>
      <c r="H648" s="1055"/>
      <c r="I648" s="1055"/>
      <c r="J648" s="1055"/>
      <c r="K648" s="1055"/>
      <c r="L648" s="1055"/>
      <c r="M648" s="1055"/>
      <c r="N648" s="1055"/>
    </row>
    <row r="649" spans="1:14" s="986" customFormat="1" ht="15.75" customHeight="1">
      <c r="A649" s="1055"/>
      <c r="B649" s="1055"/>
      <c r="C649" s="1055"/>
      <c r="D649" s="1055"/>
      <c r="E649" s="1055"/>
      <c r="F649" s="1055"/>
      <c r="G649" s="1055"/>
      <c r="H649" s="1055"/>
      <c r="I649" s="1055"/>
      <c r="J649" s="1055"/>
      <c r="K649" s="1055"/>
      <c r="L649" s="1055"/>
      <c r="M649" s="1055"/>
      <c r="N649" s="1055"/>
    </row>
    <row r="650" spans="1:14" s="986" customFormat="1" ht="15.75" customHeight="1">
      <c r="A650" s="1055"/>
      <c r="B650" s="1055"/>
      <c r="C650" s="1055"/>
      <c r="D650" s="1055"/>
      <c r="E650" s="1055"/>
      <c r="F650" s="1055"/>
      <c r="G650" s="1055"/>
      <c r="H650" s="1055"/>
      <c r="I650" s="1055"/>
      <c r="J650" s="1055"/>
      <c r="K650" s="1055"/>
      <c r="L650" s="1055"/>
      <c r="M650" s="1055"/>
      <c r="N650" s="1055"/>
    </row>
    <row r="651" spans="1:14" s="986" customFormat="1" ht="15.75" customHeight="1">
      <c r="A651" s="1055"/>
      <c r="B651" s="1055"/>
      <c r="C651" s="1055"/>
      <c r="D651" s="1055"/>
      <c r="E651" s="1055"/>
      <c r="F651" s="1055"/>
      <c r="G651" s="1055"/>
      <c r="H651" s="1055"/>
      <c r="I651" s="1055"/>
      <c r="J651" s="1055"/>
      <c r="K651" s="1055"/>
      <c r="L651" s="1055"/>
      <c r="M651" s="1055"/>
      <c r="N651" s="1055"/>
    </row>
    <row r="652" spans="1:14" s="986" customFormat="1" ht="15.75" customHeight="1">
      <c r="A652" s="1055"/>
      <c r="B652" s="1055"/>
      <c r="C652" s="1055"/>
      <c r="D652" s="1055"/>
      <c r="E652" s="1055"/>
      <c r="F652" s="1055"/>
      <c r="G652" s="1055"/>
      <c r="H652" s="1055"/>
      <c r="I652" s="1055"/>
      <c r="J652" s="1055"/>
      <c r="K652" s="1055"/>
      <c r="L652" s="1055"/>
      <c r="M652" s="1055"/>
      <c r="N652" s="1055"/>
    </row>
    <row r="653" spans="1:14" s="986" customFormat="1" ht="15.75" customHeight="1">
      <c r="A653" s="1055"/>
      <c r="B653" s="1055"/>
      <c r="C653" s="1055"/>
      <c r="D653" s="1055"/>
      <c r="E653" s="1055"/>
      <c r="F653" s="1055"/>
      <c r="G653" s="1055"/>
      <c r="H653" s="1055"/>
      <c r="I653" s="1055"/>
      <c r="J653" s="1055"/>
      <c r="K653" s="1055"/>
      <c r="L653" s="1055"/>
      <c r="M653" s="1055"/>
      <c r="N653" s="1055"/>
    </row>
    <row r="654" spans="1:14" s="986" customFormat="1" ht="15.75" customHeight="1">
      <c r="A654" s="1055"/>
      <c r="B654" s="1055"/>
      <c r="C654" s="1055"/>
      <c r="D654" s="1055"/>
      <c r="E654" s="1055"/>
      <c r="F654" s="1055"/>
      <c r="G654" s="1055"/>
      <c r="H654" s="1055"/>
      <c r="I654" s="1055"/>
      <c r="J654" s="1055"/>
      <c r="K654" s="1055"/>
      <c r="L654" s="1055"/>
      <c r="M654" s="1055"/>
      <c r="N654" s="1055"/>
    </row>
    <row r="655" spans="1:14" s="986" customFormat="1" ht="15.75" customHeight="1">
      <c r="A655" s="1055"/>
      <c r="B655" s="1055"/>
      <c r="C655" s="1055"/>
      <c r="D655" s="1055"/>
      <c r="E655" s="1055"/>
      <c r="F655" s="1055"/>
      <c r="G655" s="1055"/>
      <c r="H655" s="1055"/>
      <c r="I655" s="1055"/>
      <c r="J655" s="1055"/>
      <c r="K655" s="1055"/>
      <c r="L655" s="1055"/>
      <c r="M655" s="1055"/>
      <c r="N655" s="1055"/>
    </row>
    <row r="656" spans="1:14" s="986" customFormat="1" ht="15.75" customHeight="1">
      <c r="A656" s="1055"/>
      <c r="B656" s="1055"/>
      <c r="C656" s="1055"/>
      <c r="D656" s="1055"/>
      <c r="E656" s="1055"/>
      <c r="F656" s="1055"/>
      <c r="G656" s="1055"/>
      <c r="H656" s="1055"/>
      <c r="I656" s="1055"/>
      <c r="J656" s="1055"/>
      <c r="K656" s="1055"/>
      <c r="L656" s="1055"/>
      <c r="M656" s="1055"/>
      <c r="N656" s="1055"/>
    </row>
    <row r="657" spans="1:14" s="986" customFormat="1" ht="15.75" customHeight="1">
      <c r="A657" s="1055"/>
      <c r="B657" s="1055"/>
      <c r="C657" s="1055"/>
      <c r="D657" s="1055"/>
      <c r="E657" s="1055"/>
      <c r="F657" s="1055"/>
      <c r="G657" s="1055"/>
      <c r="H657" s="1055"/>
      <c r="I657" s="1055"/>
      <c r="J657" s="1055"/>
      <c r="K657" s="1055"/>
      <c r="L657" s="1055"/>
      <c r="M657" s="1055"/>
      <c r="N657" s="1055"/>
    </row>
    <row r="658" spans="1:14" s="986" customFormat="1" ht="15.75" customHeight="1">
      <c r="A658" s="1055"/>
      <c r="B658" s="1055"/>
      <c r="C658" s="1055"/>
      <c r="D658" s="1055"/>
      <c r="E658" s="1055"/>
      <c r="F658" s="1055"/>
      <c r="G658" s="1055"/>
      <c r="H658" s="1055"/>
      <c r="I658" s="1055"/>
      <c r="J658" s="1055"/>
      <c r="K658" s="1055"/>
      <c r="L658" s="1055"/>
      <c r="M658" s="1055"/>
      <c r="N658" s="1055"/>
    </row>
    <row r="659" spans="1:14" s="986" customFormat="1" ht="15.75" customHeight="1">
      <c r="A659" s="1055"/>
      <c r="B659" s="1055"/>
      <c r="C659" s="1055"/>
      <c r="D659" s="1055"/>
      <c r="E659" s="1055"/>
      <c r="F659" s="1055"/>
      <c r="G659" s="1055"/>
      <c r="H659" s="1055"/>
      <c r="I659" s="1055"/>
      <c r="J659" s="1055"/>
      <c r="K659" s="1055"/>
      <c r="L659" s="1055"/>
      <c r="M659" s="1055"/>
      <c r="N659" s="1055"/>
    </row>
    <row r="660" spans="1:14" s="986" customFormat="1" ht="15.75" customHeight="1">
      <c r="A660" s="1055"/>
      <c r="B660" s="1055"/>
      <c r="C660" s="1055"/>
      <c r="D660" s="1055"/>
      <c r="E660" s="1055"/>
      <c r="F660" s="1055"/>
      <c r="G660" s="1055"/>
      <c r="H660" s="1055"/>
      <c r="I660" s="1055"/>
      <c r="J660" s="1055"/>
      <c r="K660" s="1055"/>
      <c r="L660" s="1055"/>
      <c r="M660" s="1055"/>
      <c r="N660" s="1055"/>
    </row>
    <row r="661" spans="1:14" s="986" customFormat="1" ht="15.75" customHeight="1">
      <c r="A661" s="1055"/>
      <c r="B661" s="1055"/>
      <c r="C661" s="1055"/>
      <c r="D661" s="1055"/>
      <c r="E661" s="1055"/>
      <c r="F661" s="1055"/>
      <c r="G661" s="1055"/>
      <c r="H661" s="1055"/>
      <c r="I661" s="1055"/>
      <c r="J661" s="1055"/>
      <c r="K661" s="1055"/>
      <c r="L661" s="1055"/>
      <c r="M661" s="1055"/>
      <c r="N661" s="1055"/>
    </row>
    <row r="662" spans="1:14" s="986" customFormat="1" ht="15.75" customHeight="1">
      <c r="A662" s="1055"/>
      <c r="B662" s="1055"/>
      <c r="C662" s="1055"/>
      <c r="D662" s="1055"/>
      <c r="E662" s="1055"/>
      <c r="F662" s="1055"/>
      <c r="G662" s="1055"/>
      <c r="H662" s="1055"/>
      <c r="I662" s="1055"/>
      <c r="J662" s="1055"/>
      <c r="K662" s="1055"/>
      <c r="L662" s="1055"/>
      <c r="M662" s="1055"/>
      <c r="N662" s="1055"/>
    </row>
    <row r="663" spans="1:14" s="986" customFormat="1" ht="15.75" customHeight="1">
      <c r="A663" s="1055"/>
      <c r="B663" s="1055"/>
      <c r="C663" s="1055"/>
      <c r="D663" s="1055"/>
      <c r="E663" s="1055"/>
      <c r="F663" s="1055"/>
      <c r="G663" s="1055"/>
      <c r="H663" s="1055"/>
      <c r="I663" s="1055"/>
      <c r="J663" s="1055"/>
      <c r="K663" s="1055"/>
      <c r="L663" s="1055"/>
      <c r="M663" s="1055"/>
      <c r="N663" s="1055"/>
    </row>
    <row r="664" spans="1:14" s="986" customFormat="1" ht="15.75" customHeight="1">
      <c r="A664" s="1055"/>
      <c r="B664" s="1055"/>
      <c r="C664" s="1055"/>
      <c r="D664" s="1055"/>
      <c r="E664" s="1055"/>
      <c r="F664" s="1055"/>
      <c r="G664" s="1055"/>
      <c r="H664" s="1055"/>
      <c r="I664" s="1055"/>
      <c r="J664" s="1055"/>
      <c r="K664" s="1055"/>
      <c r="L664" s="1055"/>
      <c r="M664" s="1055"/>
      <c r="N664" s="1055"/>
    </row>
    <row r="665" spans="1:14" s="986" customFormat="1" ht="15.75" customHeight="1">
      <c r="A665" s="1055"/>
      <c r="B665" s="1055"/>
      <c r="C665" s="1055"/>
      <c r="D665" s="1055"/>
      <c r="E665" s="1055"/>
      <c r="F665" s="1055"/>
      <c r="G665" s="1055"/>
      <c r="H665" s="1055"/>
      <c r="I665" s="1055"/>
      <c r="J665" s="1055"/>
      <c r="K665" s="1055"/>
      <c r="L665" s="1055"/>
      <c r="M665" s="1055"/>
      <c r="N665" s="1055"/>
    </row>
    <row r="666" spans="1:14" s="986" customFormat="1" ht="15.75" customHeight="1">
      <c r="A666" s="1055"/>
      <c r="B666" s="1055"/>
      <c r="C666" s="1055"/>
      <c r="D666" s="1055"/>
      <c r="E666" s="1055"/>
      <c r="F666" s="1055"/>
      <c r="G666" s="1055"/>
      <c r="H666" s="1055"/>
      <c r="I666" s="1055"/>
      <c r="J666" s="1055"/>
      <c r="K666" s="1055"/>
      <c r="L666" s="1055"/>
      <c r="M666" s="1055"/>
      <c r="N666" s="1055"/>
    </row>
    <row r="667" spans="1:14" s="986" customFormat="1" ht="15.75" customHeight="1">
      <c r="A667" s="1055"/>
      <c r="B667" s="1055"/>
      <c r="C667" s="1055"/>
      <c r="D667" s="1055"/>
      <c r="E667" s="1055"/>
      <c r="F667" s="1055"/>
      <c r="G667" s="1055"/>
      <c r="H667" s="1055"/>
      <c r="I667" s="1055"/>
      <c r="J667" s="1055"/>
      <c r="K667" s="1055"/>
      <c r="L667" s="1055"/>
      <c r="M667" s="1055"/>
      <c r="N667" s="1055"/>
    </row>
    <row r="668" spans="1:14" s="986" customFormat="1" ht="15.75" customHeight="1">
      <c r="A668" s="1055"/>
      <c r="B668" s="1055"/>
      <c r="C668" s="1055"/>
      <c r="D668" s="1055"/>
      <c r="E668" s="1055"/>
      <c r="F668" s="1055"/>
      <c r="G668" s="1055"/>
      <c r="H668" s="1055"/>
      <c r="I668" s="1055"/>
      <c r="J668" s="1055"/>
      <c r="K668" s="1055"/>
      <c r="L668" s="1055"/>
      <c r="M668" s="1055"/>
      <c r="N668" s="1055"/>
    </row>
    <row r="669" spans="1:14" s="986" customFormat="1" ht="15.75" customHeight="1">
      <c r="A669" s="1055"/>
      <c r="B669" s="1055"/>
      <c r="C669" s="1055"/>
      <c r="D669" s="1055"/>
      <c r="E669" s="1055"/>
      <c r="F669" s="1055"/>
      <c r="G669" s="1055"/>
      <c r="H669" s="1055"/>
      <c r="I669" s="1055"/>
      <c r="J669" s="1055"/>
      <c r="K669" s="1055"/>
      <c r="L669" s="1055"/>
      <c r="M669" s="1055"/>
      <c r="N669" s="1055"/>
    </row>
    <row r="670" spans="1:14" s="986" customFormat="1" ht="15.75" customHeight="1">
      <c r="A670" s="1055"/>
      <c r="B670" s="1055"/>
      <c r="C670" s="1055"/>
      <c r="D670" s="1055"/>
      <c r="E670" s="1055"/>
      <c r="F670" s="1055"/>
      <c r="G670" s="1055"/>
      <c r="H670" s="1055"/>
      <c r="I670" s="1055"/>
      <c r="J670" s="1055"/>
      <c r="K670" s="1055"/>
      <c r="L670" s="1055"/>
      <c r="M670" s="1055"/>
      <c r="N670" s="1055"/>
    </row>
    <row r="671" spans="1:14" s="986" customFormat="1" ht="15.75" customHeight="1">
      <c r="A671" s="1055"/>
      <c r="B671" s="1055"/>
      <c r="C671" s="1055"/>
      <c r="D671" s="1055"/>
      <c r="E671" s="1055"/>
      <c r="F671" s="1055"/>
      <c r="G671" s="1055"/>
      <c r="H671" s="1055"/>
      <c r="I671" s="1055"/>
      <c r="J671" s="1055"/>
      <c r="K671" s="1055"/>
      <c r="L671" s="1055"/>
      <c r="M671" s="1055"/>
      <c r="N671" s="1055"/>
    </row>
    <row r="672" spans="1:14" s="986" customFormat="1" ht="15.75" customHeight="1">
      <c r="A672" s="1055"/>
      <c r="B672" s="1055"/>
      <c r="C672" s="1055"/>
      <c r="D672" s="1055"/>
      <c r="E672" s="1055"/>
      <c r="F672" s="1055"/>
      <c r="G672" s="1055"/>
      <c r="H672" s="1055"/>
      <c r="I672" s="1055"/>
      <c r="J672" s="1055"/>
      <c r="K672" s="1055"/>
      <c r="L672" s="1055"/>
      <c r="M672" s="1055"/>
      <c r="N672" s="1055"/>
    </row>
    <row r="673" spans="1:14" s="986" customFormat="1" ht="15.75" customHeight="1">
      <c r="A673" s="1055"/>
      <c r="B673" s="1055"/>
      <c r="C673" s="1055"/>
      <c r="D673" s="1055"/>
      <c r="E673" s="1055"/>
      <c r="F673" s="1055"/>
      <c r="G673" s="1055"/>
      <c r="H673" s="1055"/>
      <c r="I673" s="1055"/>
      <c r="J673" s="1055"/>
      <c r="K673" s="1055"/>
      <c r="L673" s="1055"/>
      <c r="M673" s="1055"/>
      <c r="N673" s="1055"/>
    </row>
    <row r="674" spans="1:14" s="986" customFormat="1" ht="15.75" customHeight="1">
      <c r="A674" s="1055"/>
      <c r="B674" s="1055"/>
      <c r="C674" s="1055"/>
      <c r="D674" s="1055"/>
      <c r="E674" s="1055"/>
      <c r="F674" s="1055"/>
      <c r="G674" s="1055"/>
      <c r="H674" s="1055"/>
      <c r="I674" s="1055"/>
      <c r="J674" s="1055"/>
      <c r="K674" s="1055"/>
      <c r="L674" s="1055"/>
      <c r="M674" s="1055"/>
      <c r="N674" s="1055"/>
    </row>
    <row r="675" spans="1:14" s="986" customFormat="1" ht="15.75" customHeight="1">
      <c r="A675" s="1055"/>
      <c r="B675" s="1055"/>
      <c r="C675" s="1055"/>
      <c r="D675" s="1055"/>
      <c r="E675" s="1055"/>
      <c r="F675" s="1055"/>
      <c r="G675" s="1055"/>
      <c r="H675" s="1055"/>
      <c r="I675" s="1055"/>
      <c r="J675" s="1055"/>
      <c r="K675" s="1055"/>
      <c r="L675" s="1055"/>
      <c r="M675" s="1055"/>
      <c r="N675" s="1055"/>
    </row>
    <row r="676" spans="1:14" s="986" customFormat="1" ht="15.75" customHeight="1">
      <c r="A676" s="1055"/>
      <c r="B676" s="1055"/>
      <c r="C676" s="1055"/>
      <c r="D676" s="1055"/>
      <c r="E676" s="1055"/>
      <c r="F676" s="1055"/>
      <c r="G676" s="1055"/>
      <c r="H676" s="1055"/>
      <c r="I676" s="1055"/>
      <c r="J676" s="1055"/>
      <c r="K676" s="1055"/>
      <c r="L676" s="1055"/>
      <c r="M676" s="1055"/>
      <c r="N676" s="1055"/>
    </row>
    <row r="677" spans="1:14" s="986" customFormat="1" ht="15.75" customHeight="1">
      <c r="A677" s="1055"/>
      <c r="B677" s="1055"/>
      <c r="C677" s="1055"/>
      <c r="D677" s="1055"/>
      <c r="E677" s="1055"/>
      <c r="F677" s="1055"/>
      <c r="G677" s="1055"/>
      <c r="H677" s="1055"/>
      <c r="I677" s="1055"/>
      <c r="J677" s="1055"/>
      <c r="K677" s="1055"/>
      <c r="L677" s="1055"/>
      <c r="M677" s="1055"/>
      <c r="N677" s="1055"/>
    </row>
    <row r="678" spans="1:14" s="986" customFormat="1" ht="15.75" customHeight="1">
      <c r="A678" s="1055"/>
      <c r="B678" s="1055"/>
      <c r="C678" s="1055"/>
      <c r="D678" s="1055"/>
      <c r="E678" s="1055"/>
      <c r="F678" s="1055"/>
      <c r="G678" s="1055"/>
      <c r="H678" s="1055"/>
      <c r="I678" s="1055"/>
      <c r="J678" s="1055"/>
      <c r="K678" s="1055"/>
      <c r="L678" s="1055"/>
      <c r="M678" s="1055"/>
      <c r="N678" s="1055"/>
    </row>
    <row r="679" spans="1:14" s="986" customFormat="1" ht="15.75" customHeight="1">
      <c r="A679" s="1055"/>
      <c r="B679" s="1055"/>
      <c r="C679" s="1055"/>
      <c r="D679" s="1055"/>
      <c r="E679" s="1055"/>
      <c r="F679" s="1055"/>
      <c r="G679" s="1055"/>
      <c r="H679" s="1055"/>
      <c r="I679" s="1055"/>
      <c r="J679" s="1055"/>
      <c r="K679" s="1055"/>
      <c r="L679" s="1055"/>
      <c r="M679" s="1055"/>
      <c r="N679" s="1055"/>
    </row>
    <row r="680" spans="1:14" s="986" customFormat="1" ht="15.75" customHeight="1">
      <c r="A680" s="1055"/>
      <c r="B680" s="1055"/>
      <c r="C680" s="1055"/>
      <c r="D680" s="1055"/>
      <c r="E680" s="1055"/>
      <c r="F680" s="1055"/>
      <c r="G680" s="1055"/>
      <c r="H680" s="1055"/>
      <c r="I680" s="1055"/>
      <c r="J680" s="1055"/>
      <c r="K680" s="1055"/>
      <c r="L680" s="1055"/>
      <c r="M680" s="1055"/>
      <c r="N680" s="1055"/>
    </row>
    <row r="681" spans="1:14" s="986" customFormat="1" ht="15.75" customHeight="1">
      <c r="A681" s="1055"/>
      <c r="B681" s="1055"/>
      <c r="C681" s="1055"/>
      <c r="D681" s="1055"/>
      <c r="E681" s="1055"/>
      <c r="F681" s="1055"/>
      <c r="G681" s="1055"/>
      <c r="H681" s="1055"/>
      <c r="I681" s="1055"/>
      <c r="J681" s="1055"/>
      <c r="K681" s="1055"/>
      <c r="L681" s="1055"/>
      <c r="M681" s="1055"/>
      <c r="N681" s="1055"/>
    </row>
    <row r="682" spans="1:14" s="986" customFormat="1" ht="15.75" customHeight="1">
      <c r="A682" s="1055"/>
      <c r="B682" s="1055"/>
      <c r="C682" s="1055"/>
      <c r="D682" s="1055"/>
      <c r="E682" s="1055"/>
      <c r="F682" s="1055"/>
      <c r="G682" s="1055"/>
      <c r="H682" s="1055"/>
      <c r="I682" s="1055"/>
      <c r="J682" s="1055"/>
      <c r="K682" s="1055"/>
      <c r="L682" s="1055"/>
      <c r="M682" s="1055"/>
      <c r="N682" s="1055"/>
    </row>
    <row r="683" spans="1:14" s="986" customFormat="1" ht="15.75" customHeight="1">
      <c r="A683" s="1055"/>
      <c r="B683" s="1055"/>
      <c r="C683" s="1055"/>
      <c r="D683" s="1055"/>
      <c r="E683" s="1055"/>
      <c r="F683" s="1055"/>
      <c r="G683" s="1055"/>
      <c r="H683" s="1055"/>
      <c r="I683" s="1055"/>
      <c r="J683" s="1055"/>
      <c r="K683" s="1055"/>
      <c r="L683" s="1055"/>
      <c r="M683" s="1055"/>
      <c r="N683" s="1055"/>
    </row>
    <row r="684" spans="1:14" s="986" customFormat="1" ht="15.75" customHeight="1">
      <c r="A684" s="1055"/>
      <c r="B684" s="1055"/>
      <c r="C684" s="1055"/>
      <c r="D684" s="1055"/>
      <c r="E684" s="1055"/>
      <c r="F684" s="1055"/>
      <c r="G684" s="1055"/>
      <c r="H684" s="1055"/>
      <c r="I684" s="1055"/>
      <c r="J684" s="1055"/>
      <c r="K684" s="1055"/>
      <c r="L684" s="1055"/>
      <c r="M684" s="1055"/>
      <c r="N684" s="1055"/>
    </row>
    <row r="685" spans="1:14" s="986" customFormat="1" ht="15.75" customHeight="1">
      <c r="A685" s="1055"/>
      <c r="B685" s="1055"/>
      <c r="C685" s="1055"/>
      <c r="D685" s="1055"/>
      <c r="E685" s="1055"/>
      <c r="F685" s="1055"/>
      <c r="G685" s="1055"/>
      <c r="H685" s="1055"/>
      <c r="I685" s="1055"/>
      <c r="J685" s="1055"/>
      <c r="K685" s="1055"/>
      <c r="L685" s="1055"/>
      <c r="M685" s="1055"/>
      <c r="N685" s="1055"/>
    </row>
    <row r="686" spans="1:14" s="986" customFormat="1" ht="15.75" customHeight="1">
      <c r="A686" s="1055"/>
      <c r="B686" s="1055"/>
      <c r="C686" s="1055"/>
      <c r="D686" s="1055"/>
      <c r="E686" s="1055"/>
      <c r="F686" s="1055"/>
      <c r="G686" s="1055"/>
      <c r="H686" s="1055"/>
      <c r="I686" s="1055"/>
      <c r="J686" s="1055"/>
      <c r="K686" s="1055"/>
      <c r="L686" s="1055"/>
      <c r="M686" s="1055"/>
      <c r="N686" s="1055"/>
    </row>
    <row r="687" spans="1:14" s="986" customFormat="1" ht="15.75" customHeight="1">
      <c r="A687" s="1055"/>
      <c r="B687" s="1055"/>
      <c r="C687" s="1055"/>
      <c r="D687" s="1055"/>
      <c r="E687" s="1055"/>
      <c r="F687" s="1055"/>
      <c r="G687" s="1055"/>
      <c r="H687" s="1055"/>
      <c r="I687" s="1055"/>
      <c r="J687" s="1055"/>
      <c r="K687" s="1055"/>
      <c r="L687" s="1055"/>
      <c r="M687" s="1055"/>
      <c r="N687" s="1055"/>
    </row>
    <row r="688" spans="1:14" s="986" customFormat="1" ht="15.75" customHeight="1">
      <c r="A688" s="1055"/>
      <c r="B688" s="1055"/>
      <c r="C688" s="1055"/>
      <c r="D688" s="1055"/>
      <c r="E688" s="1055"/>
      <c r="F688" s="1055"/>
      <c r="G688" s="1055"/>
      <c r="H688" s="1055"/>
      <c r="I688" s="1055"/>
      <c r="J688" s="1055"/>
      <c r="K688" s="1055"/>
      <c r="L688" s="1055"/>
      <c r="M688" s="1055"/>
      <c r="N688" s="1055"/>
    </row>
    <row r="689" spans="1:14" s="986" customFormat="1" ht="15.75" customHeight="1">
      <c r="A689" s="1055"/>
      <c r="B689" s="1055"/>
      <c r="C689" s="1055"/>
      <c r="D689" s="1055"/>
      <c r="E689" s="1055"/>
      <c r="F689" s="1055"/>
      <c r="G689" s="1055"/>
      <c r="H689" s="1055"/>
      <c r="I689" s="1055"/>
      <c r="J689" s="1055"/>
      <c r="K689" s="1055"/>
      <c r="L689" s="1055"/>
      <c r="M689" s="1055"/>
      <c r="N689" s="1055"/>
    </row>
    <row r="690" spans="1:14" s="986" customFormat="1" ht="15.75" customHeight="1">
      <c r="A690" s="1055"/>
      <c r="B690" s="1055"/>
      <c r="C690" s="1055"/>
      <c r="D690" s="1055"/>
      <c r="E690" s="1055"/>
      <c r="F690" s="1055"/>
      <c r="G690" s="1055"/>
      <c r="H690" s="1055"/>
      <c r="I690" s="1055"/>
      <c r="J690" s="1055"/>
      <c r="K690" s="1055"/>
      <c r="L690" s="1055"/>
      <c r="M690" s="1055"/>
      <c r="N690" s="1055"/>
    </row>
    <row r="691" spans="1:14" s="986" customFormat="1" ht="15.75" customHeight="1">
      <c r="A691" s="1055"/>
      <c r="B691" s="1055"/>
      <c r="C691" s="1055"/>
      <c r="D691" s="1055"/>
      <c r="E691" s="1055"/>
      <c r="F691" s="1055"/>
      <c r="G691" s="1055"/>
      <c r="H691" s="1055"/>
      <c r="I691" s="1055"/>
      <c r="J691" s="1055"/>
      <c r="K691" s="1055"/>
      <c r="L691" s="1055"/>
      <c r="M691" s="1055"/>
      <c r="N691" s="1055"/>
    </row>
    <row r="692" spans="1:14" s="986" customFormat="1" ht="15.75" customHeight="1">
      <c r="A692" s="1055"/>
      <c r="B692" s="1055"/>
      <c r="C692" s="1055"/>
      <c r="D692" s="1055"/>
      <c r="E692" s="1055"/>
      <c r="F692" s="1055"/>
      <c r="G692" s="1055"/>
      <c r="H692" s="1055"/>
      <c r="I692" s="1055"/>
      <c r="J692" s="1055"/>
      <c r="K692" s="1055"/>
      <c r="L692" s="1055"/>
      <c r="M692" s="1055"/>
      <c r="N692" s="1055"/>
    </row>
    <row r="693" spans="1:14" s="986" customFormat="1" ht="15.75" customHeight="1">
      <c r="A693" s="1055"/>
      <c r="B693" s="1055"/>
      <c r="C693" s="1055"/>
      <c r="D693" s="1055"/>
      <c r="E693" s="1055"/>
      <c r="F693" s="1055"/>
      <c r="G693" s="1055"/>
      <c r="H693" s="1055"/>
      <c r="I693" s="1055"/>
      <c r="J693" s="1055"/>
      <c r="K693" s="1055"/>
      <c r="L693" s="1055"/>
      <c r="M693" s="1055"/>
      <c r="N693" s="1055"/>
    </row>
    <row r="694" spans="1:14" s="986" customFormat="1" ht="15.75" customHeight="1">
      <c r="A694" s="1055"/>
      <c r="B694" s="1055"/>
      <c r="C694" s="1055"/>
      <c r="D694" s="1055"/>
      <c r="E694" s="1055"/>
      <c r="F694" s="1055"/>
      <c r="G694" s="1055"/>
      <c r="H694" s="1055"/>
      <c r="I694" s="1055"/>
      <c r="J694" s="1055"/>
      <c r="K694" s="1055"/>
      <c r="L694" s="1055"/>
      <c r="M694" s="1055"/>
      <c r="N694" s="1055"/>
    </row>
    <row r="695" spans="1:14" s="986" customFormat="1" ht="15.75" customHeight="1">
      <c r="A695" s="1055"/>
      <c r="B695" s="1055"/>
      <c r="C695" s="1055"/>
      <c r="D695" s="1055"/>
      <c r="E695" s="1055"/>
      <c r="F695" s="1055"/>
      <c r="G695" s="1055"/>
      <c r="H695" s="1055"/>
      <c r="I695" s="1055"/>
      <c r="J695" s="1055"/>
      <c r="K695" s="1055"/>
      <c r="L695" s="1055"/>
      <c r="M695" s="1055"/>
      <c r="N695" s="1055"/>
    </row>
    <row r="696" spans="1:14" s="986" customFormat="1" ht="15.75" customHeight="1">
      <c r="A696" s="1055"/>
      <c r="B696" s="1055"/>
      <c r="C696" s="1055"/>
      <c r="D696" s="1055"/>
      <c r="E696" s="1055"/>
      <c r="F696" s="1055"/>
      <c r="G696" s="1055"/>
      <c r="H696" s="1055"/>
      <c r="I696" s="1055"/>
      <c r="J696" s="1055"/>
      <c r="K696" s="1055"/>
      <c r="L696" s="1055"/>
      <c r="M696" s="1055"/>
      <c r="N696" s="1055"/>
    </row>
    <row r="697" spans="1:14" s="986" customFormat="1" ht="15.75" customHeight="1">
      <c r="A697" s="1055"/>
      <c r="B697" s="1055"/>
      <c r="C697" s="1055"/>
      <c r="D697" s="1055"/>
      <c r="E697" s="1055"/>
      <c r="F697" s="1055"/>
      <c r="G697" s="1055"/>
      <c r="H697" s="1055"/>
      <c r="I697" s="1055"/>
      <c r="J697" s="1055"/>
      <c r="K697" s="1055"/>
      <c r="L697" s="1055"/>
      <c r="M697" s="1055"/>
      <c r="N697" s="1055"/>
    </row>
    <row r="698" spans="1:14" s="986" customFormat="1" ht="15.75" customHeight="1">
      <c r="A698" s="1055"/>
      <c r="B698" s="1055"/>
      <c r="C698" s="1055"/>
      <c r="D698" s="1055"/>
      <c r="E698" s="1055"/>
      <c r="F698" s="1055"/>
      <c r="G698" s="1055"/>
      <c r="H698" s="1055"/>
      <c r="I698" s="1055"/>
      <c r="J698" s="1055"/>
      <c r="K698" s="1055"/>
      <c r="L698" s="1055"/>
      <c r="M698" s="1055"/>
      <c r="N698" s="1055"/>
    </row>
    <row r="699" spans="1:14" s="986" customFormat="1" ht="15.75" customHeight="1">
      <c r="A699" s="1055"/>
      <c r="B699" s="1055"/>
      <c r="C699" s="1055"/>
      <c r="D699" s="1055"/>
      <c r="E699" s="1055"/>
      <c r="F699" s="1055"/>
      <c r="G699" s="1055"/>
      <c r="H699" s="1055"/>
      <c r="I699" s="1055"/>
      <c r="J699" s="1055"/>
      <c r="K699" s="1055"/>
      <c r="L699" s="1055"/>
      <c r="M699" s="1055"/>
      <c r="N699" s="1055"/>
    </row>
    <row r="700" spans="1:14" s="986" customFormat="1" ht="15.75" customHeight="1">
      <c r="A700" s="1055"/>
      <c r="B700" s="1055"/>
      <c r="C700" s="1055"/>
      <c r="D700" s="1055"/>
      <c r="E700" s="1055"/>
      <c r="F700" s="1055"/>
      <c r="G700" s="1055"/>
      <c r="H700" s="1055"/>
      <c r="I700" s="1055"/>
      <c r="J700" s="1055"/>
      <c r="K700" s="1055"/>
      <c r="L700" s="1055"/>
      <c r="M700" s="1055"/>
      <c r="N700" s="1055"/>
    </row>
    <row r="701" spans="1:14" s="986" customFormat="1" ht="15.75" customHeight="1">
      <c r="A701" s="1055"/>
      <c r="B701" s="1055"/>
      <c r="C701" s="1055"/>
      <c r="D701" s="1055"/>
      <c r="E701" s="1055"/>
      <c r="F701" s="1055"/>
      <c r="G701" s="1055"/>
      <c r="H701" s="1055"/>
      <c r="I701" s="1055"/>
      <c r="J701" s="1055"/>
      <c r="K701" s="1055"/>
      <c r="L701" s="1055"/>
      <c r="M701" s="1055"/>
      <c r="N701" s="1055"/>
    </row>
    <row r="702" spans="1:14" s="986" customFormat="1" ht="15.75" customHeight="1">
      <c r="A702" s="1055"/>
      <c r="B702" s="1055"/>
      <c r="C702" s="1055"/>
      <c r="D702" s="1055"/>
      <c r="E702" s="1055"/>
      <c r="F702" s="1055"/>
      <c r="G702" s="1055"/>
      <c r="H702" s="1055"/>
      <c r="I702" s="1055"/>
      <c r="J702" s="1055"/>
      <c r="K702" s="1055"/>
      <c r="L702" s="1055"/>
      <c r="M702" s="1055"/>
      <c r="N702" s="1055"/>
    </row>
    <row r="703" spans="1:14" s="986" customFormat="1" ht="15.75" customHeight="1">
      <c r="A703" s="1055"/>
      <c r="B703" s="1055"/>
      <c r="C703" s="1055"/>
      <c r="D703" s="1055"/>
      <c r="E703" s="1055"/>
      <c r="F703" s="1055"/>
      <c r="G703" s="1055"/>
      <c r="H703" s="1055"/>
      <c r="I703" s="1055"/>
      <c r="J703" s="1055"/>
      <c r="K703" s="1055"/>
      <c r="L703" s="1055"/>
      <c r="M703" s="1055"/>
      <c r="N703" s="1055"/>
    </row>
    <row r="704" spans="1:14" s="986" customFormat="1" ht="15.75" customHeight="1">
      <c r="A704" s="1055"/>
      <c r="B704" s="1055"/>
      <c r="C704" s="1055"/>
      <c r="D704" s="1055"/>
      <c r="E704" s="1055"/>
      <c r="F704" s="1055"/>
      <c r="G704" s="1055"/>
      <c r="H704" s="1055"/>
      <c r="I704" s="1055"/>
      <c r="J704" s="1055"/>
      <c r="K704" s="1055"/>
      <c r="L704" s="1055"/>
      <c r="M704" s="1055"/>
      <c r="N704" s="1055"/>
    </row>
    <row r="705" spans="1:14" s="986" customFormat="1" ht="15.75" customHeight="1">
      <c r="A705" s="1055"/>
      <c r="B705" s="1055"/>
      <c r="C705" s="1055"/>
      <c r="D705" s="1055"/>
      <c r="E705" s="1055"/>
      <c r="F705" s="1055"/>
      <c r="G705" s="1055"/>
      <c r="H705" s="1055"/>
      <c r="I705" s="1055"/>
      <c r="J705" s="1055"/>
      <c r="K705" s="1055"/>
      <c r="L705" s="1055"/>
      <c r="M705" s="1055"/>
      <c r="N705" s="1055"/>
    </row>
    <row r="706" spans="1:14" s="986" customFormat="1" ht="15.75" customHeight="1">
      <c r="A706" s="1055"/>
      <c r="B706" s="1055"/>
      <c r="C706" s="1055"/>
      <c r="D706" s="1055"/>
      <c r="E706" s="1055"/>
      <c r="F706" s="1055"/>
      <c r="G706" s="1055"/>
      <c r="H706" s="1055"/>
      <c r="I706" s="1055"/>
      <c r="J706" s="1055"/>
      <c r="K706" s="1055"/>
      <c r="L706" s="1055"/>
      <c r="M706" s="1055"/>
      <c r="N706" s="1055"/>
    </row>
    <row r="707" spans="1:14" s="986" customFormat="1" ht="15.75" customHeight="1">
      <c r="A707" s="1055"/>
      <c r="B707" s="1055"/>
      <c r="C707" s="1055"/>
      <c r="D707" s="1055"/>
      <c r="E707" s="1055"/>
      <c r="F707" s="1055"/>
      <c r="G707" s="1055"/>
      <c r="H707" s="1055"/>
      <c r="I707" s="1055"/>
      <c r="J707" s="1055"/>
      <c r="K707" s="1055"/>
      <c r="L707" s="1055"/>
      <c r="M707" s="1055"/>
      <c r="N707" s="1055"/>
    </row>
    <row r="708" spans="1:14" s="986" customFormat="1" ht="15.75" customHeight="1">
      <c r="A708" s="1055"/>
      <c r="B708" s="1055"/>
      <c r="C708" s="1055"/>
      <c r="D708" s="1055"/>
      <c r="E708" s="1055"/>
      <c r="F708" s="1055"/>
      <c r="G708" s="1055"/>
      <c r="H708" s="1055"/>
      <c r="I708" s="1055"/>
      <c r="J708" s="1055"/>
      <c r="K708" s="1055"/>
      <c r="L708" s="1055"/>
      <c r="M708" s="1055"/>
      <c r="N708" s="1055"/>
    </row>
    <row r="709" spans="1:14" s="986" customFormat="1" ht="15.75" customHeight="1">
      <c r="A709" s="1055"/>
      <c r="B709" s="1055"/>
      <c r="C709" s="1055"/>
      <c r="D709" s="1055"/>
      <c r="E709" s="1055"/>
      <c r="F709" s="1055"/>
      <c r="G709" s="1055"/>
      <c r="H709" s="1055"/>
      <c r="I709" s="1055"/>
      <c r="J709" s="1055"/>
      <c r="K709" s="1055"/>
      <c r="L709" s="1055"/>
      <c r="M709" s="1055"/>
      <c r="N709" s="1055"/>
    </row>
    <row r="710" spans="1:14" s="986" customFormat="1" ht="15.75" customHeight="1">
      <c r="A710" s="1055"/>
      <c r="B710" s="1055"/>
      <c r="C710" s="1055"/>
      <c r="D710" s="1055"/>
      <c r="E710" s="1055"/>
      <c r="F710" s="1055"/>
      <c r="G710" s="1055"/>
      <c r="H710" s="1055"/>
      <c r="I710" s="1055"/>
      <c r="J710" s="1055"/>
      <c r="K710" s="1055"/>
      <c r="L710" s="1055"/>
      <c r="M710" s="1055"/>
      <c r="N710" s="1055"/>
    </row>
    <row r="711" spans="1:14" s="986" customFormat="1" ht="15.75" customHeight="1">
      <c r="A711" s="1055"/>
      <c r="B711" s="1055"/>
      <c r="C711" s="1055"/>
      <c r="D711" s="1055"/>
      <c r="E711" s="1055"/>
      <c r="F711" s="1055"/>
      <c r="G711" s="1055"/>
      <c r="H711" s="1055"/>
      <c r="I711" s="1055"/>
      <c r="J711" s="1055"/>
      <c r="K711" s="1055"/>
      <c r="L711" s="1055"/>
      <c r="M711" s="1055"/>
      <c r="N711" s="1055"/>
    </row>
    <row r="712" spans="1:14" s="986" customFormat="1" ht="15.75" customHeight="1">
      <c r="A712" s="1055"/>
      <c r="B712" s="1055"/>
      <c r="C712" s="1055"/>
      <c r="D712" s="1055"/>
      <c r="E712" s="1055"/>
      <c r="F712" s="1055"/>
      <c r="G712" s="1055"/>
      <c r="H712" s="1055"/>
      <c r="I712" s="1055"/>
      <c r="J712" s="1055"/>
      <c r="K712" s="1055"/>
      <c r="L712" s="1055"/>
      <c r="M712" s="1055"/>
      <c r="N712" s="1055"/>
    </row>
    <row r="713" spans="1:14" s="986" customFormat="1" ht="15.75" customHeight="1">
      <c r="A713" s="1055"/>
      <c r="B713" s="1055"/>
      <c r="C713" s="1055"/>
      <c r="D713" s="1055"/>
      <c r="E713" s="1055"/>
      <c r="F713" s="1055"/>
      <c r="G713" s="1055"/>
      <c r="H713" s="1055"/>
      <c r="I713" s="1055"/>
      <c r="J713" s="1055"/>
      <c r="K713" s="1055"/>
      <c r="L713" s="1055"/>
      <c r="M713" s="1055"/>
      <c r="N713" s="1055"/>
    </row>
    <row r="714" spans="1:14" s="986" customFormat="1" ht="15.75" customHeight="1">
      <c r="A714" s="1055"/>
      <c r="B714" s="1055"/>
      <c r="C714" s="1055"/>
      <c r="D714" s="1055"/>
      <c r="E714" s="1055"/>
      <c r="F714" s="1055"/>
      <c r="G714" s="1055"/>
      <c r="H714" s="1055"/>
      <c r="I714" s="1055"/>
      <c r="J714" s="1055"/>
      <c r="K714" s="1055"/>
      <c r="L714" s="1055"/>
      <c r="M714" s="1055"/>
      <c r="N714" s="1055"/>
    </row>
    <row r="715" spans="1:14" s="986" customFormat="1" ht="15.75" customHeight="1">
      <c r="A715" s="1055"/>
      <c r="B715" s="1055"/>
      <c r="C715" s="1055"/>
      <c r="D715" s="1055"/>
      <c r="E715" s="1055"/>
      <c r="F715" s="1055"/>
      <c r="G715" s="1055"/>
      <c r="H715" s="1055"/>
      <c r="I715" s="1055"/>
      <c r="J715" s="1055"/>
      <c r="K715" s="1055"/>
      <c r="L715" s="1055"/>
      <c r="M715" s="1055"/>
      <c r="N715" s="1055"/>
    </row>
    <row r="716" spans="1:14" s="986" customFormat="1" ht="15.75" customHeight="1">
      <c r="A716" s="1055"/>
      <c r="B716" s="1055"/>
      <c r="C716" s="1055"/>
      <c r="D716" s="1055"/>
      <c r="E716" s="1055"/>
      <c r="F716" s="1055"/>
      <c r="G716" s="1055"/>
      <c r="H716" s="1055"/>
      <c r="I716" s="1055"/>
      <c r="J716" s="1055"/>
      <c r="K716" s="1055"/>
      <c r="L716" s="1055"/>
      <c r="M716" s="1055"/>
      <c r="N716" s="1055"/>
    </row>
    <row r="717" spans="1:14" s="986" customFormat="1" ht="15.75" customHeight="1">
      <c r="A717" s="1055"/>
      <c r="B717" s="1055"/>
      <c r="C717" s="1055"/>
      <c r="D717" s="1055"/>
      <c r="E717" s="1055"/>
      <c r="F717" s="1055"/>
      <c r="G717" s="1055"/>
      <c r="H717" s="1055"/>
      <c r="I717" s="1055"/>
      <c r="J717" s="1055"/>
      <c r="K717" s="1055"/>
      <c r="L717" s="1055"/>
      <c r="M717" s="1055"/>
      <c r="N717" s="1055"/>
    </row>
    <row r="718" spans="1:14" s="986" customFormat="1" ht="15.75" customHeight="1">
      <c r="A718" s="1055"/>
      <c r="B718" s="1055"/>
      <c r="C718" s="1055"/>
      <c r="D718" s="1055"/>
      <c r="E718" s="1055"/>
      <c r="F718" s="1055"/>
      <c r="G718" s="1055"/>
      <c r="H718" s="1055"/>
      <c r="I718" s="1055"/>
      <c r="J718" s="1055"/>
      <c r="K718" s="1055"/>
      <c r="L718" s="1055"/>
      <c r="M718" s="1055"/>
      <c r="N718" s="1055"/>
    </row>
    <row r="719" spans="1:14" s="986" customFormat="1" ht="15.75" customHeight="1">
      <c r="A719" s="1055"/>
      <c r="B719" s="1055"/>
      <c r="C719" s="1055"/>
      <c r="D719" s="1055"/>
      <c r="E719" s="1055"/>
      <c r="F719" s="1055"/>
      <c r="G719" s="1055"/>
      <c r="H719" s="1055"/>
      <c r="I719" s="1055"/>
      <c r="J719" s="1055"/>
      <c r="K719" s="1055"/>
      <c r="L719" s="1055"/>
      <c r="M719" s="1055"/>
      <c r="N719" s="1055"/>
    </row>
    <row r="720" spans="1:14" s="986" customFormat="1" ht="15.75" customHeight="1">
      <c r="A720" s="1055"/>
      <c r="B720" s="1055"/>
      <c r="C720" s="1055"/>
      <c r="D720" s="1055"/>
      <c r="E720" s="1055"/>
      <c r="F720" s="1055"/>
      <c r="G720" s="1055"/>
      <c r="H720" s="1055"/>
      <c r="I720" s="1055"/>
      <c r="J720" s="1055"/>
      <c r="K720" s="1055"/>
      <c r="L720" s="1055"/>
      <c r="M720" s="1055"/>
      <c r="N720" s="1055"/>
    </row>
    <row r="721" spans="1:14" s="986" customFormat="1" ht="15.75" customHeight="1">
      <c r="A721" s="1055"/>
      <c r="B721" s="1055"/>
      <c r="C721" s="1055"/>
      <c r="D721" s="1055"/>
      <c r="E721" s="1055"/>
      <c r="F721" s="1055"/>
      <c r="G721" s="1055"/>
      <c r="H721" s="1055"/>
      <c r="I721" s="1055"/>
      <c r="J721" s="1055"/>
      <c r="K721" s="1055"/>
      <c r="L721" s="1055"/>
      <c r="M721" s="1055"/>
      <c r="N721" s="1055"/>
    </row>
    <row r="722" spans="1:14" s="986" customFormat="1" ht="15.75" customHeight="1">
      <c r="A722" s="1055"/>
      <c r="B722" s="1055"/>
      <c r="C722" s="1055"/>
      <c r="D722" s="1055"/>
      <c r="E722" s="1055"/>
      <c r="F722" s="1055"/>
      <c r="G722" s="1055"/>
      <c r="H722" s="1055"/>
      <c r="I722" s="1055"/>
      <c r="J722" s="1055"/>
      <c r="K722" s="1055"/>
      <c r="L722" s="1055"/>
      <c r="M722" s="1055"/>
      <c r="N722" s="1055"/>
    </row>
    <row r="723" spans="1:14" s="986" customFormat="1" ht="15.75" customHeight="1">
      <c r="A723" s="1055"/>
      <c r="B723" s="1055"/>
      <c r="C723" s="1055"/>
      <c r="D723" s="1055"/>
      <c r="E723" s="1055"/>
      <c r="F723" s="1055"/>
      <c r="G723" s="1055"/>
      <c r="H723" s="1055"/>
      <c r="I723" s="1055"/>
      <c r="J723" s="1055"/>
      <c r="K723" s="1055"/>
      <c r="L723" s="1055"/>
      <c r="M723" s="1055"/>
      <c r="N723" s="1055"/>
    </row>
    <row r="724" spans="1:14" s="986" customFormat="1" ht="15.75" customHeight="1">
      <c r="A724" s="1055"/>
      <c r="B724" s="1055"/>
      <c r="C724" s="1055"/>
      <c r="D724" s="1055"/>
      <c r="E724" s="1055"/>
      <c r="F724" s="1055"/>
      <c r="G724" s="1055"/>
      <c r="H724" s="1055"/>
      <c r="I724" s="1055"/>
      <c r="J724" s="1055"/>
      <c r="K724" s="1055"/>
      <c r="L724" s="1055"/>
      <c r="M724" s="1055"/>
      <c r="N724" s="1055"/>
    </row>
    <row r="725" spans="1:14" s="986" customFormat="1" ht="15.75" customHeight="1">
      <c r="A725" s="1055"/>
      <c r="B725" s="1055"/>
      <c r="C725" s="1055"/>
      <c r="D725" s="1055"/>
      <c r="E725" s="1055"/>
      <c r="F725" s="1055"/>
      <c r="G725" s="1055"/>
      <c r="H725" s="1055"/>
      <c r="I725" s="1055"/>
      <c r="J725" s="1055"/>
      <c r="K725" s="1055"/>
      <c r="L725" s="1055"/>
      <c r="M725" s="1055"/>
      <c r="N725" s="1055"/>
    </row>
    <row r="726" spans="1:14" s="986" customFormat="1" ht="15.75" customHeight="1">
      <c r="A726" s="1055"/>
      <c r="B726" s="1055"/>
      <c r="C726" s="1055"/>
      <c r="D726" s="1055"/>
      <c r="E726" s="1055"/>
      <c r="F726" s="1055"/>
      <c r="G726" s="1055"/>
      <c r="H726" s="1055"/>
      <c r="I726" s="1055"/>
      <c r="J726" s="1055"/>
      <c r="K726" s="1055"/>
      <c r="L726" s="1055"/>
      <c r="M726" s="1055"/>
      <c r="N726" s="1055"/>
    </row>
    <row r="727" spans="1:14" s="986" customFormat="1" ht="15.75" customHeight="1">
      <c r="A727" s="1055"/>
      <c r="B727" s="1055"/>
      <c r="C727" s="1055"/>
      <c r="D727" s="1055"/>
      <c r="E727" s="1055"/>
      <c r="F727" s="1055"/>
      <c r="G727" s="1055"/>
      <c r="H727" s="1055"/>
      <c r="I727" s="1055"/>
      <c r="J727" s="1055"/>
      <c r="K727" s="1055"/>
      <c r="L727" s="1055"/>
      <c r="M727" s="1055"/>
      <c r="N727" s="1055"/>
    </row>
    <row r="728" spans="1:14" s="986" customFormat="1" ht="15.75" customHeight="1">
      <c r="A728" s="1055"/>
      <c r="B728" s="1055"/>
      <c r="C728" s="1055"/>
      <c r="D728" s="1055"/>
      <c r="E728" s="1055"/>
      <c r="F728" s="1055"/>
      <c r="G728" s="1055"/>
      <c r="H728" s="1055"/>
      <c r="I728" s="1055"/>
      <c r="J728" s="1055"/>
      <c r="K728" s="1055"/>
      <c r="L728" s="1055"/>
      <c r="M728" s="1055"/>
      <c r="N728" s="1055"/>
    </row>
    <row r="729" spans="1:14" s="986" customFormat="1" ht="15.75" customHeight="1">
      <c r="A729" s="1055"/>
      <c r="B729" s="1055"/>
      <c r="C729" s="1055"/>
      <c r="D729" s="1055"/>
      <c r="E729" s="1055"/>
      <c r="F729" s="1055"/>
      <c r="G729" s="1055"/>
      <c r="H729" s="1055"/>
      <c r="I729" s="1055"/>
      <c r="J729" s="1055"/>
      <c r="K729" s="1055"/>
      <c r="L729" s="1055"/>
      <c r="M729" s="1055"/>
      <c r="N729" s="1055"/>
    </row>
    <row r="730" spans="1:14" s="986" customFormat="1" ht="15.75" customHeight="1">
      <c r="A730" s="1055"/>
      <c r="B730" s="1055"/>
      <c r="C730" s="1055"/>
      <c r="D730" s="1055"/>
      <c r="E730" s="1055"/>
      <c r="F730" s="1055"/>
      <c r="G730" s="1055"/>
      <c r="H730" s="1055"/>
      <c r="I730" s="1055"/>
      <c r="J730" s="1055"/>
      <c r="K730" s="1055"/>
      <c r="L730" s="1055"/>
      <c r="M730" s="1055"/>
      <c r="N730" s="1055"/>
    </row>
    <row r="731" spans="1:14" s="986" customFormat="1" ht="15.75" customHeight="1">
      <c r="A731" s="1055"/>
      <c r="B731" s="1055"/>
      <c r="C731" s="1055"/>
      <c r="D731" s="1055"/>
      <c r="E731" s="1055"/>
      <c r="F731" s="1055"/>
      <c r="G731" s="1055"/>
      <c r="H731" s="1055"/>
      <c r="I731" s="1055"/>
      <c r="J731" s="1055"/>
      <c r="K731" s="1055"/>
      <c r="L731" s="1055"/>
      <c r="M731" s="1055"/>
      <c r="N731" s="1055"/>
    </row>
    <row r="732" spans="1:14" s="986" customFormat="1" ht="15.75" customHeight="1">
      <c r="A732" s="1055"/>
      <c r="B732" s="1055"/>
      <c r="C732" s="1055"/>
      <c r="D732" s="1055"/>
      <c r="E732" s="1055"/>
      <c r="F732" s="1055"/>
      <c r="G732" s="1055"/>
      <c r="H732" s="1055"/>
      <c r="I732" s="1055"/>
      <c r="J732" s="1055"/>
      <c r="K732" s="1055"/>
      <c r="L732" s="1055"/>
      <c r="M732" s="1055"/>
      <c r="N732" s="1055"/>
    </row>
    <row r="733" spans="1:14" s="986" customFormat="1" ht="15.75" customHeight="1">
      <c r="A733" s="1055"/>
      <c r="B733" s="1055"/>
      <c r="C733" s="1055"/>
      <c r="D733" s="1055"/>
      <c r="E733" s="1055"/>
      <c r="F733" s="1055"/>
      <c r="G733" s="1055"/>
      <c r="H733" s="1055"/>
      <c r="I733" s="1055"/>
      <c r="J733" s="1055"/>
      <c r="K733" s="1055"/>
      <c r="L733" s="1055"/>
      <c r="M733" s="1055"/>
      <c r="N733" s="1055"/>
    </row>
    <row r="734" spans="1:14" s="986" customFormat="1" ht="15.75" customHeight="1">
      <c r="A734" s="1055"/>
      <c r="B734" s="1055"/>
      <c r="C734" s="1055"/>
      <c r="D734" s="1055"/>
      <c r="E734" s="1055"/>
      <c r="F734" s="1055"/>
      <c r="G734" s="1055"/>
      <c r="H734" s="1055"/>
      <c r="I734" s="1055"/>
      <c r="J734" s="1055"/>
      <c r="K734" s="1055"/>
      <c r="L734" s="1055"/>
      <c r="M734" s="1055"/>
      <c r="N734" s="1055"/>
    </row>
    <row r="735" spans="1:14" s="986" customFormat="1" ht="15.75" customHeight="1">
      <c r="A735" s="1055"/>
      <c r="B735" s="1055"/>
      <c r="C735" s="1055"/>
      <c r="D735" s="1055"/>
      <c r="E735" s="1055"/>
      <c r="F735" s="1055"/>
      <c r="G735" s="1055"/>
      <c r="H735" s="1055"/>
      <c r="I735" s="1055"/>
      <c r="J735" s="1055"/>
      <c r="K735" s="1055"/>
      <c r="L735" s="1055"/>
      <c r="M735" s="1055"/>
      <c r="N735" s="1055"/>
    </row>
    <row r="736" spans="1:14" s="986" customFormat="1" ht="15.75" customHeight="1">
      <c r="A736" s="1055"/>
      <c r="B736" s="1055"/>
      <c r="C736" s="1055"/>
      <c r="D736" s="1055"/>
      <c r="E736" s="1055"/>
      <c r="F736" s="1055"/>
      <c r="G736" s="1055"/>
      <c r="H736" s="1055"/>
      <c r="I736" s="1055"/>
      <c r="J736" s="1055"/>
      <c r="K736" s="1055"/>
      <c r="L736" s="1055"/>
      <c r="M736" s="1055"/>
      <c r="N736" s="1055"/>
    </row>
    <row r="737" spans="1:14" s="986" customFormat="1" ht="15.75" customHeight="1">
      <c r="A737" s="1055"/>
      <c r="B737" s="1055"/>
      <c r="C737" s="1055"/>
      <c r="D737" s="1055"/>
      <c r="E737" s="1055"/>
      <c r="F737" s="1055"/>
      <c r="G737" s="1055"/>
      <c r="H737" s="1055"/>
      <c r="I737" s="1055"/>
      <c r="J737" s="1055"/>
      <c r="K737" s="1055"/>
      <c r="L737" s="1055"/>
      <c r="M737" s="1055"/>
      <c r="N737" s="1055"/>
    </row>
    <row r="738" spans="1:14" s="986" customFormat="1" ht="15.75" customHeight="1">
      <c r="A738" s="1055"/>
      <c r="B738" s="1055"/>
      <c r="C738" s="1055"/>
      <c r="D738" s="1055"/>
      <c r="E738" s="1055"/>
      <c r="F738" s="1055"/>
      <c r="G738" s="1055"/>
      <c r="H738" s="1055"/>
      <c r="I738" s="1055"/>
      <c r="J738" s="1055"/>
      <c r="K738" s="1055"/>
      <c r="L738" s="1055"/>
      <c r="M738" s="1055"/>
      <c r="N738" s="1055"/>
    </row>
    <row r="739" spans="1:14" s="986" customFormat="1" ht="15.75" customHeight="1">
      <c r="A739" s="1055"/>
      <c r="B739" s="1055"/>
      <c r="C739" s="1055"/>
      <c r="D739" s="1055"/>
      <c r="E739" s="1055"/>
      <c r="F739" s="1055"/>
      <c r="G739" s="1055"/>
      <c r="H739" s="1055"/>
      <c r="I739" s="1055"/>
      <c r="J739" s="1055"/>
      <c r="K739" s="1055"/>
      <c r="L739" s="1055"/>
      <c r="M739" s="1055"/>
      <c r="N739" s="1055"/>
    </row>
    <row r="740" spans="1:14" s="986" customFormat="1" ht="15.75" customHeight="1">
      <c r="A740" s="1055"/>
      <c r="B740" s="1055"/>
      <c r="C740" s="1055"/>
      <c r="D740" s="1055"/>
      <c r="E740" s="1055"/>
      <c r="F740" s="1055"/>
      <c r="G740" s="1055"/>
      <c r="H740" s="1055"/>
      <c r="I740" s="1055"/>
      <c r="J740" s="1055"/>
      <c r="K740" s="1055"/>
      <c r="L740" s="1055"/>
      <c r="M740" s="1055"/>
      <c r="N740" s="1055"/>
    </row>
    <row r="741" spans="1:14" s="986" customFormat="1" ht="15.75" customHeight="1">
      <c r="A741" s="1055"/>
      <c r="B741" s="1055"/>
      <c r="C741" s="1055"/>
      <c r="D741" s="1055"/>
      <c r="E741" s="1055"/>
      <c r="F741" s="1055"/>
      <c r="G741" s="1055"/>
      <c r="H741" s="1055"/>
      <c r="I741" s="1055"/>
      <c r="J741" s="1055"/>
      <c r="K741" s="1055"/>
      <c r="L741" s="1055"/>
      <c r="M741" s="1055"/>
      <c r="N741" s="1055"/>
    </row>
    <row r="742" spans="1:14" s="986" customFormat="1" ht="15.75" customHeight="1">
      <c r="A742" s="1055"/>
      <c r="B742" s="1055"/>
      <c r="C742" s="1055"/>
      <c r="D742" s="1055"/>
      <c r="E742" s="1055"/>
      <c r="F742" s="1055"/>
      <c r="G742" s="1055"/>
      <c r="H742" s="1055"/>
      <c r="I742" s="1055"/>
      <c r="J742" s="1055"/>
      <c r="K742" s="1055"/>
      <c r="L742" s="1055"/>
      <c r="M742" s="1055"/>
      <c r="N742" s="1055"/>
    </row>
    <row r="743" spans="1:14" s="986" customFormat="1" ht="15.75" customHeight="1">
      <c r="A743" s="1055"/>
      <c r="B743" s="1055"/>
      <c r="C743" s="1055"/>
      <c r="D743" s="1055"/>
      <c r="E743" s="1055"/>
      <c r="F743" s="1055"/>
      <c r="G743" s="1055"/>
      <c r="H743" s="1055"/>
      <c r="I743" s="1055"/>
      <c r="J743" s="1055"/>
      <c r="K743" s="1055"/>
      <c r="L743" s="1055"/>
      <c r="M743" s="1055"/>
      <c r="N743" s="1055"/>
    </row>
    <row r="744" spans="1:14" s="986" customFormat="1" ht="15.75" customHeight="1">
      <c r="A744" s="1055"/>
      <c r="B744" s="1055"/>
      <c r="C744" s="1055"/>
      <c r="D744" s="1055"/>
      <c r="E744" s="1055"/>
      <c r="F744" s="1055"/>
      <c r="G744" s="1055"/>
      <c r="H744" s="1055"/>
      <c r="I744" s="1055"/>
      <c r="J744" s="1055"/>
      <c r="K744" s="1055"/>
      <c r="L744" s="1055"/>
      <c r="M744" s="1055"/>
      <c r="N744" s="1055"/>
    </row>
    <row r="745" spans="1:14" s="986" customFormat="1" ht="15.75" customHeight="1">
      <c r="A745" s="1055"/>
      <c r="B745" s="1055"/>
      <c r="C745" s="1055"/>
      <c r="D745" s="1055"/>
      <c r="E745" s="1055"/>
      <c r="F745" s="1055"/>
      <c r="G745" s="1055"/>
      <c r="H745" s="1055"/>
      <c r="I745" s="1055"/>
      <c r="J745" s="1055"/>
      <c r="K745" s="1055"/>
      <c r="L745" s="1055"/>
      <c r="M745" s="1055"/>
      <c r="N745" s="1055"/>
    </row>
    <row r="746" spans="1:14" s="986" customFormat="1" ht="15.75" customHeight="1">
      <c r="A746" s="1055"/>
      <c r="B746" s="1055"/>
      <c r="C746" s="1055"/>
      <c r="D746" s="1055"/>
      <c r="E746" s="1055"/>
      <c r="F746" s="1055"/>
      <c r="G746" s="1055"/>
      <c r="H746" s="1055"/>
      <c r="I746" s="1055"/>
      <c r="J746" s="1055"/>
      <c r="K746" s="1055"/>
      <c r="L746" s="1055"/>
      <c r="M746" s="1055"/>
      <c r="N746" s="1055"/>
    </row>
    <row r="747" spans="1:14" s="986" customFormat="1" ht="15.75" customHeight="1">
      <c r="A747" s="1055"/>
      <c r="B747" s="1055"/>
      <c r="C747" s="1055"/>
      <c r="D747" s="1055"/>
      <c r="E747" s="1055"/>
      <c r="F747" s="1055"/>
      <c r="G747" s="1055"/>
      <c r="H747" s="1055"/>
      <c r="I747" s="1055"/>
      <c r="J747" s="1055"/>
      <c r="K747" s="1055"/>
      <c r="L747" s="1055"/>
      <c r="M747" s="1055"/>
      <c r="N747" s="1055"/>
    </row>
    <row r="748" spans="1:14" s="986" customFormat="1" ht="15.75" customHeight="1">
      <c r="A748" s="1055"/>
      <c r="B748" s="1055"/>
      <c r="C748" s="1055"/>
      <c r="D748" s="1055"/>
      <c r="E748" s="1055"/>
      <c r="F748" s="1055"/>
      <c r="G748" s="1055"/>
      <c r="H748" s="1055"/>
      <c r="I748" s="1055"/>
      <c r="J748" s="1055"/>
      <c r="K748" s="1055"/>
      <c r="L748" s="1055"/>
      <c r="M748" s="1055"/>
      <c r="N748" s="1055"/>
    </row>
    <row r="749" spans="1:14" s="986" customFormat="1" ht="15.75" customHeight="1">
      <c r="A749" s="1055"/>
      <c r="B749" s="1055"/>
      <c r="C749" s="1055"/>
      <c r="D749" s="1055"/>
      <c r="E749" s="1055"/>
      <c r="F749" s="1055"/>
      <c r="G749" s="1055"/>
      <c r="H749" s="1055"/>
      <c r="I749" s="1055"/>
      <c r="J749" s="1055"/>
      <c r="K749" s="1055"/>
      <c r="L749" s="1055"/>
      <c r="M749" s="1055"/>
      <c r="N749" s="1055"/>
    </row>
    <row r="750" spans="1:14" s="986" customFormat="1" ht="15.75" customHeight="1">
      <c r="A750" s="1055"/>
      <c r="B750" s="1055"/>
      <c r="C750" s="1055"/>
      <c r="D750" s="1055"/>
      <c r="E750" s="1055"/>
      <c r="F750" s="1055"/>
      <c r="G750" s="1055"/>
      <c r="H750" s="1055"/>
      <c r="I750" s="1055"/>
      <c r="J750" s="1055"/>
      <c r="K750" s="1055"/>
      <c r="L750" s="1055"/>
      <c r="M750" s="1055"/>
      <c r="N750" s="1055"/>
    </row>
    <row r="751" spans="1:14" s="986" customFormat="1" ht="15.75" customHeight="1">
      <c r="A751" s="1055"/>
      <c r="B751" s="1055"/>
      <c r="C751" s="1055"/>
      <c r="D751" s="1055"/>
      <c r="E751" s="1055"/>
      <c r="F751" s="1055"/>
      <c r="G751" s="1055"/>
      <c r="H751" s="1055"/>
      <c r="I751" s="1055"/>
      <c r="J751" s="1055"/>
      <c r="K751" s="1055"/>
      <c r="L751" s="1055"/>
      <c r="M751" s="1055"/>
      <c r="N751" s="1055"/>
    </row>
    <row r="752" spans="1:14" s="986" customFormat="1" ht="15.75" customHeight="1">
      <c r="A752" s="1055"/>
      <c r="B752" s="1055"/>
      <c r="C752" s="1055"/>
      <c r="D752" s="1055"/>
      <c r="E752" s="1055"/>
      <c r="F752" s="1055"/>
      <c r="G752" s="1055"/>
      <c r="H752" s="1055"/>
      <c r="I752" s="1055"/>
      <c r="J752" s="1055"/>
      <c r="K752" s="1055"/>
      <c r="L752" s="1055"/>
      <c r="M752" s="1055"/>
      <c r="N752" s="1055"/>
    </row>
    <row r="753" spans="1:14" s="986" customFormat="1" ht="15.75" customHeight="1">
      <c r="A753" s="1055"/>
      <c r="B753" s="1055"/>
      <c r="C753" s="1055"/>
      <c r="D753" s="1055"/>
      <c r="E753" s="1055"/>
      <c r="F753" s="1055"/>
      <c r="G753" s="1055"/>
      <c r="H753" s="1055"/>
      <c r="I753" s="1055"/>
      <c r="J753" s="1055"/>
      <c r="K753" s="1055"/>
      <c r="L753" s="1055"/>
      <c r="M753" s="1055"/>
      <c r="N753" s="1055"/>
    </row>
    <row r="754" spans="1:14" s="986" customFormat="1" ht="15.75" customHeight="1">
      <c r="A754" s="1055"/>
      <c r="B754" s="1055"/>
      <c r="C754" s="1055"/>
      <c r="D754" s="1055"/>
      <c r="E754" s="1055"/>
      <c r="F754" s="1055"/>
      <c r="G754" s="1055"/>
      <c r="H754" s="1055"/>
      <c r="I754" s="1055"/>
      <c r="J754" s="1055"/>
      <c r="K754" s="1055"/>
      <c r="L754" s="1055"/>
      <c r="M754" s="1055"/>
      <c r="N754" s="1055"/>
    </row>
    <row r="755" spans="1:14" s="986" customFormat="1" ht="15.75" customHeight="1">
      <c r="A755" s="1055"/>
      <c r="B755" s="1055"/>
      <c r="C755" s="1055"/>
      <c r="D755" s="1055"/>
      <c r="E755" s="1055"/>
      <c r="F755" s="1055"/>
      <c r="G755" s="1055"/>
      <c r="H755" s="1055"/>
      <c r="I755" s="1055"/>
      <c r="J755" s="1055"/>
      <c r="K755" s="1055"/>
      <c r="L755" s="1055"/>
      <c r="M755" s="1055"/>
      <c r="N755" s="1055"/>
    </row>
    <row r="756" spans="1:14" s="986" customFormat="1" ht="15.75" customHeight="1">
      <c r="A756" s="1055"/>
      <c r="B756" s="1055"/>
      <c r="C756" s="1055"/>
      <c r="D756" s="1055"/>
      <c r="E756" s="1055"/>
      <c r="F756" s="1055"/>
      <c r="G756" s="1055"/>
      <c r="H756" s="1055"/>
      <c r="I756" s="1055"/>
      <c r="J756" s="1055"/>
      <c r="K756" s="1055"/>
      <c r="L756" s="1055"/>
      <c r="M756" s="1055"/>
      <c r="N756" s="1055"/>
    </row>
    <row r="757" spans="1:14" s="986" customFormat="1" ht="15.75" customHeight="1">
      <c r="A757" s="1055"/>
      <c r="B757" s="1055"/>
      <c r="C757" s="1055"/>
      <c r="D757" s="1055"/>
      <c r="E757" s="1055"/>
      <c r="F757" s="1055"/>
      <c r="G757" s="1055"/>
      <c r="H757" s="1055"/>
      <c r="I757" s="1055"/>
      <c r="J757" s="1055"/>
      <c r="K757" s="1055"/>
      <c r="L757" s="1055"/>
      <c r="M757" s="1055"/>
      <c r="N757" s="1055"/>
    </row>
    <row r="758" spans="1:14" s="986" customFormat="1" ht="15.75" customHeight="1">
      <c r="A758" s="1055"/>
      <c r="B758" s="1055"/>
      <c r="C758" s="1055"/>
      <c r="D758" s="1055"/>
      <c r="E758" s="1055"/>
      <c r="F758" s="1055"/>
      <c r="G758" s="1055"/>
      <c r="H758" s="1055"/>
      <c r="I758" s="1055"/>
      <c r="J758" s="1055"/>
      <c r="K758" s="1055"/>
      <c r="L758" s="1055"/>
      <c r="M758" s="1055"/>
      <c r="N758" s="1055"/>
    </row>
    <row r="759" spans="1:14" s="986" customFormat="1" ht="15.75" customHeight="1">
      <c r="A759" s="1055"/>
      <c r="B759" s="1055"/>
      <c r="C759" s="1055"/>
      <c r="D759" s="1055"/>
      <c r="E759" s="1055"/>
      <c r="F759" s="1055"/>
      <c r="G759" s="1055"/>
      <c r="H759" s="1055"/>
      <c r="I759" s="1055"/>
      <c r="J759" s="1055"/>
      <c r="K759" s="1055"/>
      <c r="L759" s="1055"/>
      <c r="M759" s="1055"/>
      <c r="N759" s="1055"/>
    </row>
    <row r="760" spans="1:14" s="986" customFormat="1" ht="15.75" customHeight="1">
      <c r="A760" s="1055"/>
      <c r="B760" s="1055"/>
      <c r="C760" s="1055"/>
      <c r="D760" s="1055"/>
      <c r="E760" s="1055"/>
      <c r="F760" s="1055"/>
      <c r="G760" s="1055"/>
      <c r="H760" s="1055"/>
      <c r="I760" s="1055"/>
      <c r="J760" s="1055"/>
      <c r="K760" s="1055"/>
      <c r="L760" s="1055"/>
      <c r="M760" s="1055"/>
      <c r="N760" s="1055"/>
    </row>
    <row r="761" spans="1:14" s="986" customFormat="1" ht="15.75" customHeight="1">
      <c r="A761" s="1055"/>
      <c r="B761" s="1055"/>
      <c r="C761" s="1055"/>
      <c r="D761" s="1055"/>
      <c r="E761" s="1055"/>
      <c r="F761" s="1055"/>
      <c r="G761" s="1055"/>
      <c r="H761" s="1055"/>
      <c r="I761" s="1055"/>
      <c r="J761" s="1055"/>
      <c r="K761" s="1055"/>
      <c r="L761" s="1055"/>
      <c r="M761" s="1055"/>
      <c r="N761" s="1055"/>
    </row>
    <row r="762" spans="1:14" s="986" customFormat="1" ht="15.75" customHeight="1">
      <c r="A762" s="1055"/>
      <c r="B762" s="1055"/>
      <c r="C762" s="1055"/>
      <c r="D762" s="1055"/>
      <c r="E762" s="1055"/>
      <c r="F762" s="1055"/>
      <c r="G762" s="1055"/>
      <c r="H762" s="1055"/>
      <c r="I762" s="1055"/>
      <c r="J762" s="1055"/>
      <c r="K762" s="1055"/>
      <c r="L762" s="1055"/>
      <c r="M762" s="1055"/>
      <c r="N762" s="1055"/>
    </row>
    <row r="763" spans="1:14" s="986" customFormat="1" ht="15.75" customHeight="1">
      <c r="A763" s="1055"/>
      <c r="B763" s="1055"/>
      <c r="C763" s="1055"/>
      <c r="D763" s="1055"/>
      <c r="E763" s="1055"/>
      <c r="F763" s="1055"/>
      <c r="G763" s="1055"/>
      <c r="H763" s="1055"/>
      <c r="I763" s="1055"/>
      <c r="J763" s="1055"/>
      <c r="K763" s="1055"/>
      <c r="L763" s="1055"/>
      <c r="M763" s="1055"/>
      <c r="N763" s="1055"/>
    </row>
    <row r="764" spans="1:14" s="986" customFormat="1" ht="15.75" customHeight="1">
      <c r="A764" s="1055"/>
      <c r="B764" s="1055"/>
      <c r="C764" s="1055"/>
      <c r="D764" s="1055"/>
      <c r="E764" s="1055"/>
      <c r="F764" s="1055"/>
      <c r="G764" s="1055"/>
      <c r="H764" s="1055"/>
      <c r="I764" s="1055"/>
      <c r="J764" s="1055"/>
      <c r="K764" s="1055"/>
      <c r="L764" s="1055"/>
      <c r="M764" s="1055"/>
      <c r="N764" s="1055"/>
    </row>
    <row r="765" spans="1:14" s="986" customFormat="1" ht="15.75" customHeight="1">
      <c r="A765" s="1055"/>
      <c r="B765" s="1055"/>
      <c r="C765" s="1055"/>
      <c r="D765" s="1055"/>
      <c r="E765" s="1055"/>
      <c r="F765" s="1055"/>
      <c r="G765" s="1055"/>
      <c r="H765" s="1055"/>
      <c r="I765" s="1055"/>
      <c r="J765" s="1055"/>
      <c r="K765" s="1055"/>
      <c r="L765" s="1055"/>
      <c r="M765" s="1055"/>
      <c r="N765" s="1055"/>
    </row>
    <row r="766" spans="1:14" s="986" customFormat="1" ht="15.75" customHeight="1">
      <c r="A766" s="1055"/>
      <c r="B766" s="1055"/>
      <c r="C766" s="1055"/>
      <c r="D766" s="1055"/>
      <c r="E766" s="1055"/>
      <c r="F766" s="1055"/>
      <c r="G766" s="1055"/>
      <c r="H766" s="1055"/>
      <c r="I766" s="1055"/>
      <c r="J766" s="1055"/>
      <c r="K766" s="1055"/>
      <c r="L766" s="1055"/>
      <c r="M766" s="1055"/>
      <c r="N766" s="1055"/>
    </row>
    <row r="767" spans="1:14" s="986" customFormat="1" ht="15.75" customHeight="1">
      <c r="A767" s="1055"/>
      <c r="B767" s="1055"/>
      <c r="C767" s="1055"/>
      <c r="D767" s="1055"/>
      <c r="E767" s="1055"/>
      <c r="F767" s="1055"/>
      <c r="G767" s="1055"/>
      <c r="H767" s="1055"/>
      <c r="I767" s="1055"/>
      <c r="J767" s="1055"/>
      <c r="K767" s="1055"/>
      <c r="L767" s="1055"/>
      <c r="M767" s="1055"/>
      <c r="N767" s="1055"/>
    </row>
    <row r="768" spans="1:14" s="986" customFormat="1" ht="15.75" customHeight="1">
      <c r="A768" s="1055"/>
      <c r="B768" s="1055"/>
      <c r="C768" s="1055"/>
      <c r="D768" s="1055"/>
      <c r="E768" s="1055"/>
      <c r="F768" s="1055"/>
      <c r="G768" s="1055"/>
      <c r="H768" s="1055"/>
      <c r="I768" s="1055"/>
      <c r="J768" s="1055"/>
      <c r="K768" s="1055"/>
      <c r="L768" s="1055"/>
      <c r="M768" s="1055"/>
      <c r="N768" s="1055"/>
    </row>
    <row r="769" spans="1:14" s="986" customFormat="1" ht="15.75" customHeight="1">
      <c r="A769" s="1055"/>
      <c r="B769" s="1055"/>
      <c r="C769" s="1055"/>
      <c r="D769" s="1055"/>
      <c r="E769" s="1055"/>
      <c r="F769" s="1055"/>
      <c r="G769" s="1055"/>
      <c r="H769" s="1055"/>
      <c r="I769" s="1055"/>
      <c r="J769" s="1055"/>
      <c r="K769" s="1055"/>
      <c r="L769" s="1055"/>
      <c r="M769" s="1055"/>
      <c r="N769" s="1055"/>
    </row>
    <row r="770" spans="1:14" s="986" customFormat="1" ht="15.75" customHeight="1">
      <c r="A770" s="1055"/>
      <c r="B770" s="1055"/>
      <c r="C770" s="1055"/>
      <c r="D770" s="1055"/>
      <c r="E770" s="1055"/>
      <c r="F770" s="1055"/>
      <c r="G770" s="1055"/>
      <c r="H770" s="1055"/>
      <c r="I770" s="1055"/>
      <c r="J770" s="1055"/>
      <c r="K770" s="1055"/>
      <c r="L770" s="1055"/>
      <c r="M770" s="1055"/>
      <c r="N770" s="1055"/>
    </row>
    <row r="771" spans="1:14" s="986" customFormat="1" ht="15.75" customHeight="1">
      <c r="A771" s="1055"/>
      <c r="B771" s="1055"/>
      <c r="C771" s="1055"/>
      <c r="D771" s="1055"/>
      <c r="E771" s="1055"/>
      <c r="F771" s="1055"/>
      <c r="G771" s="1055"/>
      <c r="H771" s="1055"/>
      <c r="I771" s="1055"/>
      <c r="J771" s="1055"/>
      <c r="K771" s="1055"/>
      <c r="L771" s="1055"/>
      <c r="M771" s="1055"/>
      <c r="N771" s="1055"/>
    </row>
    <row r="772" spans="1:14" s="986" customFormat="1" ht="15.75" customHeight="1">
      <c r="A772" s="1055"/>
      <c r="B772" s="1055"/>
      <c r="C772" s="1055"/>
      <c r="D772" s="1055"/>
      <c r="E772" s="1055"/>
      <c r="F772" s="1055"/>
      <c r="G772" s="1055"/>
      <c r="H772" s="1055"/>
      <c r="I772" s="1055"/>
      <c r="J772" s="1055"/>
      <c r="K772" s="1055"/>
      <c r="L772" s="1055"/>
      <c r="M772" s="1055"/>
      <c r="N772" s="1055"/>
    </row>
    <row r="773" spans="1:14" s="986" customFormat="1" ht="15.75" customHeight="1">
      <c r="A773" s="1055"/>
      <c r="B773" s="1055"/>
      <c r="C773" s="1055"/>
      <c r="D773" s="1055"/>
      <c r="E773" s="1055"/>
      <c r="F773" s="1055"/>
      <c r="G773" s="1055"/>
      <c r="H773" s="1055"/>
      <c r="I773" s="1055"/>
      <c r="J773" s="1055"/>
      <c r="K773" s="1055"/>
      <c r="L773" s="1055"/>
      <c r="M773" s="1055"/>
      <c r="N773" s="1055"/>
    </row>
    <row r="774" spans="1:14" s="986" customFormat="1" ht="15.75" customHeight="1">
      <c r="A774" s="1055"/>
      <c r="B774" s="1055"/>
      <c r="C774" s="1055"/>
      <c r="D774" s="1055"/>
      <c r="E774" s="1055"/>
      <c r="F774" s="1055"/>
      <c r="G774" s="1055"/>
      <c r="H774" s="1055"/>
      <c r="I774" s="1055"/>
      <c r="J774" s="1055"/>
      <c r="K774" s="1055"/>
      <c r="L774" s="1055"/>
      <c r="M774" s="1055"/>
      <c r="N774" s="1055"/>
    </row>
    <row r="775" spans="1:14" s="986" customFormat="1" ht="15.75" customHeight="1">
      <c r="A775" s="1055"/>
      <c r="B775" s="1055"/>
      <c r="C775" s="1055"/>
      <c r="D775" s="1055"/>
      <c r="E775" s="1055"/>
      <c r="F775" s="1055"/>
      <c r="G775" s="1055"/>
      <c r="H775" s="1055"/>
      <c r="I775" s="1055"/>
      <c r="J775" s="1055"/>
      <c r="K775" s="1055"/>
      <c r="L775" s="1055"/>
      <c r="M775" s="1055"/>
      <c r="N775" s="1055"/>
    </row>
    <row r="776" spans="1:14" s="986" customFormat="1" ht="15.75" customHeight="1">
      <c r="A776" s="1055"/>
      <c r="B776" s="1055"/>
      <c r="C776" s="1055"/>
      <c r="D776" s="1055"/>
      <c r="E776" s="1055"/>
      <c r="F776" s="1055"/>
      <c r="G776" s="1055"/>
      <c r="H776" s="1055"/>
      <c r="I776" s="1055"/>
      <c r="J776" s="1055"/>
      <c r="K776" s="1055"/>
      <c r="L776" s="1055"/>
      <c r="M776" s="1055"/>
      <c r="N776" s="1055"/>
    </row>
    <row r="777" spans="1:14" s="986" customFormat="1" ht="15.75" customHeight="1">
      <c r="A777" s="1055"/>
      <c r="B777" s="1055"/>
      <c r="C777" s="1055"/>
      <c r="D777" s="1055"/>
      <c r="E777" s="1055"/>
      <c r="F777" s="1055"/>
      <c r="G777" s="1055"/>
      <c r="H777" s="1055"/>
      <c r="I777" s="1055"/>
      <c r="J777" s="1055"/>
      <c r="K777" s="1055"/>
      <c r="L777" s="1055"/>
      <c r="M777" s="1055"/>
      <c r="N777" s="1055"/>
    </row>
    <row r="778" spans="1:14" s="986" customFormat="1" ht="15.75" customHeight="1">
      <c r="A778" s="1055"/>
      <c r="B778" s="1055"/>
      <c r="C778" s="1055"/>
      <c r="D778" s="1055"/>
      <c r="E778" s="1055"/>
      <c r="F778" s="1055"/>
      <c r="G778" s="1055"/>
      <c r="H778" s="1055"/>
      <c r="I778" s="1055"/>
      <c r="J778" s="1055"/>
      <c r="K778" s="1055"/>
      <c r="L778" s="1055"/>
      <c r="M778" s="1055"/>
      <c r="N778" s="1055"/>
    </row>
    <row r="779" spans="1:14" s="986" customFormat="1" ht="15.75" customHeight="1">
      <c r="A779" s="1055"/>
      <c r="B779" s="1055"/>
      <c r="C779" s="1055"/>
      <c r="D779" s="1055"/>
      <c r="E779" s="1055"/>
      <c r="F779" s="1055"/>
      <c r="G779" s="1055"/>
      <c r="H779" s="1055"/>
      <c r="I779" s="1055"/>
      <c r="J779" s="1055"/>
      <c r="K779" s="1055"/>
      <c r="L779" s="1055"/>
      <c r="M779" s="1055"/>
      <c r="N779" s="1055"/>
    </row>
    <row r="780" spans="1:14" s="986" customFormat="1" ht="15.75" customHeight="1">
      <c r="A780" s="1055"/>
      <c r="B780" s="1055"/>
      <c r="C780" s="1055"/>
      <c r="D780" s="1055"/>
      <c r="E780" s="1055"/>
      <c r="F780" s="1055"/>
      <c r="G780" s="1055"/>
      <c r="H780" s="1055"/>
      <c r="I780" s="1055"/>
      <c r="J780" s="1055"/>
      <c r="K780" s="1055"/>
      <c r="L780" s="1055"/>
      <c r="M780" s="1055"/>
      <c r="N780" s="1055"/>
    </row>
    <row r="781" spans="1:14" s="986" customFormat="1" ht="15.75" customHeight="1">
      <c r="A781" s="1055"/>
      <c r="B781" s="1055"/>
      <c r="C781" s="1055"/>
      <c r="D781" s="1055"/>
      <c r="E781" s="1055"/>
      <c r="F781" s="1055"/>
      <c r="G781" s="1055"/>
      <c r="H781" s="1055"/>
      <c r="I781" s="1055"/>
      <c r="J781" s="1055"/>
      <c r="K781" s="1055"/>
      <c r="L781" s="1055"/>
      <c r="M781" s="1055"/>
      <c r="N781" s="1055"/>
    </row>
    <row r="782" spans="1:14" s="986" customFormat="1" ht="15.75" customHeight="1">
      <c r="A782" s="1055"/>
      <c r="B782" s="1055"/>
      <c r="C782" s="1055"/>
      <c r="D782" s="1055"/>
      <c r="E782" s="1055"/>
      <c r="F782" s="1055"/>
      <c r="G782" s="1055"/>
      <c r="H782" s="1055"/>
      <c r="I782" s="1055"/>
      <c r="J782" s="1055"/>
      <c r="K782" s="1055"/>
      <c r="L782" s="1055"/>
      <c r="M782" s="1055"/>
      <c r="N782" s="1055"/>
    </row>
    <row r="783" spans="1:14" s="986" customFormat="1" ht="15.75" customHeight="1">
      <c r="A783" s="1055"/>
      <c r="B783" s="1055"/>
      <c r="C783" s="1055"/>
      <c r="D783" s="1055"/>
      <c r="E783" s="1055"/>
      <c r="F783" s="1055"/>
      <c r="G783" s="1055"/>
      <c r="H783" s="1055"/>
      <c r="I783" s="1055"/>
      <c r="J783" s="1055"/>
      <c r="K783" s="1055"/>
      <c r="L783" s="1055"/>
      <c r="M783" s="1055"/>
      <c r="N783" s="1055"/>
    </row>
    <row r="784" spans="1:14" s="986" customFormat="1" ht="15.75" customHeight="1">
      <c r="A784" s="1055"/>
      <c r="B784" s="1055"/>
      <c r="C784" s="1055"/>
      <c r="D784" s="1055"/>
      <c r="E784" s="1055"/>
      <c r="F784" s="1055"/>
      <c r="G784" s="1055"/>
      <c r="H784" s="1055"/>
      <c r="I784" s="1055"/>
      <c r="J784" s="1055"/>
      <c r="K784" s="1055"/>
      <c r="L784" s="1055"/>
      <c r="M784" s="1055"/>
      <c r="N784" s="1055"/>
    </row>
    <row r="785" spans="1:14" s="986" customFormat="1" ht="15.75" customHeight="1">
      <c r="A785" s="1055"/>
      <c r="B785" s="1055"/>
      <c r="C785" s="1055"/>
      <c r="D785" s="1055"/>
      <c r="E785" s="1055"/>
      <c r="F785" s="1055"/>
      <c r="G785" s="1055"/>
      <c r="H785" s="1055"/>
      <c r="I785" s="1055"/>
      <c r="J785" s="1055"/>
      <c r="K785" s="1055"/>
      <c r="L785" s="1055"/>
      <c r="M785" s="1055"/>
      <c r="N785" s="1055"/>
    </row>
    <row r="786" spans="1:14" s="986" customFormat="1" ht="15.75" customHeight="1">
      <c r="A786" s="1055"/>
      <c r="B786" s="1055"/>
      <c r="C786" s="1055"/>
      <c r="D786" s="1055"/>
      <c r="E786" s="1055"/>
      <c r="F786" s="1055"/>
      <c r="G786" s="1055"/>
      <c r="H786" s="1055"/>
      <c r="I786" s="1055"/>
      <c r="J786" s="1055"/>
      <c r="K786" s="1055"/>
      <c r="L786" s="1055"/>
      <c r="M786" s="1055"/>
      <c r="N786" s="1055"/>
    </row>
    <row r="787" spans="1:14" s="986" customFormat="1" ht="15.75" customHeight="1">
      <c r="A787" s="1055"/>
      <c r="B787" s="1055"/>
      <c r="C787" s="1055"/>
      <c r="D787" s="1055"/>
      <c r="E787" s="1055"/>
      <c r="F787" s="1055"/>
      <c r="G787" s="1055"/>
      <c r="H787" s="1055"/>
      <c r="I787" s="1055"/>
      <c r="J787" s="1055"/>
      <c r="K787" s="1055"/>
      <c r="L787" s="1055"/>
      <c r="M787" s="1055"/>
      <c r="N787" s="1055"/>
    </row>
    <row r="788" spans="1:14" s="986" customFormat="1" ht="15.75" customHeight="1">
      <c r="A788" s="1055"/>
      <c r="B788" s="1055"/>
      <c r="C788" s="1055"/>
      <c r="D788" s="1055"/>
      <c r="E788" s="1055"/>
      <c r="F788" s="1055"/>
      <c r="G788" s="1055"/>
      <c r="H788" s="1055"/>
      <c r="I788" s="1055"/>
      <c r="J788" s="1055"/>
      <c r="K788" s="1055"/>
      <c r="L788" s="1055"/>
      <c r="M788" s="1055"/>
      <c r="N788" s="1055"/>
    </row>
    <row r="789" spans="1:14" s="986" customFormat="1" ht="15.75" customHeight="1">
      <c r="A789" s="1055"/>
      <c r="B789" s="1055"/>
      <c r="C789" s="1055"/>
      <c r="D789" s="1055"/>
      <c r="E789" s="1055"/>
      <c r="F789" s="1055"/>
      <c r="G789" s="1055"/>
      <c r="H789" s="1055"/>
      <c r="I789" s="1055"/>
      <c r="J789" s="1055"/>
      <c r="K789" s="1055"/>
      <c r="L789" s="1055"/>
      <c r="M789" s="1055"/>
      <c r="N789" s="1055"/>
    </row>
    <row r="790" spans="1:14" s="986" customFormat="1" ht="15.75" customHeight="1">
      <c r="A790" s="1055"/>
      <c r="B790" s="1055"/>
      <c r="C790" s="1055"/>
      <c r="D790" s="1055"/>
      <c r="E790" s="1055"/>
      <c r="F790" s="1055"/>
      <c r="G790" s="1055"/>
      <c r="H790" s="1055"/>
      <c r="I790" s="1055"/>
      <c r="J790" s="1055"/>
      <c r="K790" s="1055"/>
      <c r="L790" s="1055"/>
      <c r="M790" s="1055"/>
      <c r="N790" s="1055"/>
    </row>
    <row r="791" spans="1:14" s="986" customFormat="1" ht="15.75" customHeight="1">
      <c r="A791" s="1055"/>
      <c r="B791" s="1055"/>
      <c r="C791" s="1055"/>
      <c r="D791" s="1055"/>
      <c r="E791" s="1055"/>
      <c r="F791" s="1055"/>
      <c r="G791" s="1055"/>
      <c r="H791" s="1055"/>
      <c r="I791" s="1055"/>
      <c r="J791" s="1055"/>
      <c r="K791" s="1055"/>
      <c r="L791" s="1055"/>
      <c r="M791" s="1055"/>
      <c r="N791" s="1055"/>
    </row>
    <row r="792" spans="1:14" s="986" customFormat="1" ht="15.75" customHeight="1">
      <c r="A792" s="1055"/>
      <c r="B792" s="1055"/>
      <c r="C792" s="1055"/>
      <c r="D792" s="1055"/>
      <c r="E792" s="1055"/>
      <c r="F792" s="1055"/>
      <c r="G792" s="1055"/>
      <c r="H792" s="1055"/>
      <c r="I792" s="1055"/>
      <c r="J792" s="1055"/>
      <c r="K792" s="1055"/>
      <c r="L792" s="1055"/>
      <c r="M792" s="1055"/>
      <c r="N792" s="1055"/>
    </row>
    <row r="793" spans="1:14" s="986" customFormat="1" ht="15.75" customHeight="1">
      <c r="A793" s="1055"/>
      <c r="B793" s="1055"/>
      <c r="C793" s="1055"/>
      <c r="D793" s="1055"/>
      <c r="E793" s="1055"/>
      <c r="F793" s="1055"/>
      <c r="G793" s="1055"/>
      <c r="H793" s="1055"/>
      <c r="I793" s="1055"/>
      <c r="J793" s="1055"/>
      <c r="K793" s="1055"/>
      <c r="L793" s="1055"/>
      <c r="M793" s="1055"/>
      <c r="N793" s="1055"/>
    </row>
    <row r="794" spans="1:14" s="986" customFormat="1" ht="15.75" customHeight="1">
      <c r="A794" s="1055"/>
      <c r="B794" s="1055"/>
      <c r="C794" s="1055"/>
      <c r="D794" s="1055"/>
      <c r="E794" s="1055"/>
      <c r="F794" s="1055"/>
      <c r="G794" s="1055"/>
      <c r="H794" s="1055"/>
      <c r="I794" s="1055"/>
      <c r="J794" s="1055"/>
      <c r="K794" s="1055"/>
      <c r="L794" s="1055"/>
      <c r="M794" s="1055"/>
      <c r="N794" s="1055"/>
    </row>
    <row r="795" spans="1:14" s="986" customFormat="1" ht="15.75" customHeight="1">
      <c r="A795" s="1055"/>
      <c r="B795" s="1055"/>
      <c r="C795" s="1055"/>
      <c r="D795" s="1055"/>
      <c r="E795" s="1055"/>
      <c r="F795" s="1055"/>
      <c r="G795" s="1055"/>
      <c r="H795" s="1055"/>
      <c r="I795" s="1055"/>
      <c r="J795" s="1055"/>
      <c r="K795" s="1055"/>
      <c r="L795" s="1055"/>
      <c r="M795" s="1055"/>
      <c r="N795" s="1055"/>
    </row>
    <row r="796" spans="1:14" s="986" customFormat="1" ht="15.75" customHeight="1">
      <c r="A796" s="1055"/>
      <c r="B796" s="1055"/>
      <c r="C796" s="1055"/>
      <c r="D796" s="1055"/>
      <c r="E796" s="1055"/>
      <c r="F796" s="1055"/>
      <c r="G796" s="1055"/>
      <c r="H796" s="1055"/>
      <c r="I796" s="1055"/>
      <c r="J796" s="1055"/>
      <c r="K796" s="1055"/>
      <c r="L796" s="1055"/>
      <c r="M796" s="1055"/>
      <c r="N796" s="1055"/>
    </row>
    <row r="797" spans="1:14" s="986" customFormat="1" ht="15.75" customHeight="1">
      <c r="A797" s="1055"/>
      <c r="B797" s="1055"/>
      <c r="C797" s="1055"/>
      <c r="D797" s="1055"/>
      <c r="E797" s="1055"/>
      <c r="F797" s="1055"/>
      <c r="G797" s="1055"/>
      <c r="H797" s="1055"/>
      <c r="I797" s="1055"/>
      <c r="J797" s="1055"/>
      <c r="K797" s="1055"/>
      <c r="L797" s="1055"/>
      <c r="M797" s="1055"/>
      <c r="N797" s="1055"/>
    </row>
    <row r="798" spans="1:14" s="986" customFormat="1" ht="15.75" customHeight="1">
      <c r="A798" s="1055"/>
      <c r="B798" s="1055"/>
      <c r="C798" s="1055"/>
      <c r="D798" s="1055"/>
      <c r="E798" s="1055"/>
      <c r="F798" s="1055"/>
      <c r="G798" s="1055"/>
      <c r="H798" s="1055"/>
      <c r="I798" s="1055"/>
      <c r="J798" s="1055"/>
      <c r="K798" s="1055"/>
      <c r="L798" s="1055"/>
      <c r="M798" s="1055"/>
      <c r="N798" s="1055"/>
    </row>
    <row r="799" spans="1:14" s="986" customFormat="1" ht="15.75" customHeight="1">
      <c r="A799" s="1055"/>
      <c r="B799" s="1055"/>
      <c r="C799" s="1055"/>
      <c r="D799" s="1055"/>
      <c r="E799" s="1055"/>
      <c r="F799" s="1055"/>
      <c r="G799" s="1055"/>
      <c r="H799" s="1055"/>
      <c r="I799" s="1055"/>
      <c r="J799" s="1055"/>
      <c r="K799" s="1055"/>
      <c r="L799" s="1055"/>
      <c r="M799" s="1055"/>
      <c r="N799" s="1055"/>
    </row>
    <row r="800" spans="1:14" s="986" customFormat="1" ht="15.75" customHeight="1">
      <c r="A800" s="1055"/>
      <c r="B800" s="1055"/>
      <c r="C800" s="1055"/>
      <c r="D800" s="1055"/>
      <c r="E800" s="1055"/>
      <c r="F800" s="1055"/>
      <c r="G800" s="1055"/>
      <c r="H800" s="1055"/>
      <c r="I800" s="1055"/>
      <c r="J800" s="1055"/>
      <c r="K800" s="1055"/>
      <c r="L800" s="1055"/>
      <c r="M800" s="1055"/>
      <c r="N800" s="1055"/>
    </row>
    <row r="801" spans="1:14" s="986" customFormat="1" ht="15.75" customHeight="1">
      <c r="A801" s="1055"/>
      <c r="B801" s="1055"/>
      <c r="C801" s="1055"/>
      <c r="D801" s="1055"/>
      <c r="E801" s="1055"/>
      <c r="F801" s="1055"/>
      <c r="G801" s="1055"/>
      <c r="H801" s="1055"/>
      <c r="I801" s="1055"/>
      <c r="J801" s="1055"/>
      <c r="K801" s="1055"/>
      <c r="L801" s="1055"/>
      <c r="M801" s="1055"/>
      <c r="N801" s="1055"/>
    </row>
    <row r="802" spans="1:14" s="986" customFormat="1" ht="15.75" customHeight="1">
      <c r="A802" s="1055"/>
      <c r="B802" s="1055"/>
      <c r="C802" s="1055"/>
      <c r="D802" s="1055"/>
      <c r="E802" s="1055"/>
      <c r="F802" s="1055"/>
      <c r="G802" s="1055"/>
      <c r="H802" s="1055"/>
      <c r="I802" s="1055"/>
      <c r="J802" s="1055"/>
      <c r="K802" s="1055"/>
      <c r="L802" s="1055"/>
      <c r="M802" s="1055"/>
      <c r="N802" s="1055"/>
    </row>
    <row r="803" spans="1:14" s="986" customFormat="1" ht="15.75" customHeight="1">
      <c r="A803" s="1055"/>
      <c r="B803" s="1055"/>
      <c r="C803" s="1055"/>
      <c r="D803" s="1055"/>
      <c r="E803" s="1055"/>
      <c r="F803" s="1055"/>
      <c r="G803" s="1055"/>
      <c r="H803" s="1055"/>
      <c r="I803" s="1055"/>
      <c r="J803" s="1055"/>
      <c r="K803" s="1055"/>
      <c r="L803" s="1055"/>
      <c r="M803" s="1055"/>
      <c r="N803" s="1055"/>
    </row>
    <row r="804" spans="1:14" s="986" customFormat="1" ht="15.75" customHeight="1">
      <c r="A804" s="1055"/>
      <c r="B804" s="1055"/>
      <c r="C804" s="1055"/>
      <c r="D804" s="1055"/>
      <c r="E804" s="1055"/>
      <c r="F804" s="1055"/>
      <c r="G804" s="1055"/>
      <c r="H804" s="1055"/>
      <c r="I804" s="1055"/>
      <c r="J804" s="1055"/>
      <c r="K804" s="1055"/>
      <c r="L804" s="1055"/>
      <c r="M804" s="1055"/>
      <c r="N804" s="1055"/>
    </row>
    <row r="805" spans="1:14" s="986" customFormat="1" ht="15.75" customHeight="1">
      <c r="A805" s="1055"/>
      <c r="B805" s="1055"/>
      <c r="C805" s="1055"/>
      <c r="D805" s="1055"/>
      <c r="E805" s="1055"/>
      <c r="F805" s="1055"/>
      <c r="G805" s="1055"/>
      <c r="H805" s="1055"/>
      <c r="I805" s="1055"/>
      <c r="J805" s="1055"/>
      <c r="K805" s="1055"/>
      <c r="L805" s="1055"/>
      <c r="M805" s="1055"/>
      <c r="N805" s="1055"/>
    </row>
    <row r="806" spans="1:14" s="986" customFormat="1" ht="15.75" customHeight="1">
      <c r="A806" s="1055"/>
      <c r="B806" s="1055"/>
      <c r="C806" s="1055"/>
      <c r="D806" s="1055"/>
      <c r="E806" s="1055"/>
      <c r="F806" s="1055"/>
      <c r="G806" s="1055"/>
      <c r="H806" s="1055"/>
      <c r="I806" s="1055"/>
      <c r="J806" s="1055"/>
      <c r="K806" s="1055"/>
      <c r="L806" s="1055"/>
      <c r="M806" s="1055"/>
      <c r="N806" s="1055"/>
    </row>
    <row r="807" spans="1:14" s="986" customFormat="1" ht="15.75" customHeight="1">
      <c r="A807" s="1055"/>
      <c r="B807" s="1055"/>
      <c r="C807" s="1055"/>
      <c r="D807" s="1055"/>
      <c r="E807" s="1055"/>
      <c r="F807" s="1055"/>
      <c r="G807" s="1055"/>
      <c r="H807" s="1055"/>
      <c r="I807" s="1055"/>
      <c r="J807" s="1055"/>
      <c r="K807" s="1055"/>
      <c r="L807" s="1055"/>
      <c r="M807" s="1055"/>
      <c r="N807" s="1055"/>
    </row>
    <row r="808" spans="1:14" s="986" customFormat="1" ht="15.75" customHeight="1">
      <c r="A808" s="1055"/>
      <c r="B808" s="1055"/>
      <c r="C808" s="1055"/>
      <c r="D808" s="1055"/>
      <c r="E808" s="1055"/>
      <c r="F808" s="1055"/>
      <c r="G808" s="1055"/>
      <c r="H808" s="1055"/>
      <c r="I808" s="1055"/>
      <c r="J808" s="1055"/>
      <c r="K808" s="1055"/>
      <c r="L808" s="1055"/>
      <c r="M808" s="1055"/>
      <c r="N808" s="1055"/>
    </row>
    <row r="809" spans="1:14" s="986" customFormat="1" ht="15.75" customHeight="1">
      <c r="A809" s="1055"/>
      <c r="B809" s="1055"/>
      <c r="C809" s="1055"/>
      <c r="D809" s="1055"/>
      <c r="E809" s="1055"/>
      <c r="F809" s="1055"/>
      <c r="G809" s="1055"/>
      <c r="H809" s="1055"/>
      <c r="I809" s="1055"/>
      <c r="J809" s="1055"/>
      <c r="K809" s="1055"/>
      <c r="L809" s="1055"/>
      <c r="M809" s="1055"/>
      <c r="N809" s="1055"/>
    </row>
    <row r="810" spans="1:14" s="986" customFormat="1" ht="15.75" customHeight="1">
      <c r="A810" s="1055"/>
      <c r="B810" s="1055"/>
      <c r="C810" s="1055"/>
      <c r="D810" s="1055"/>
      <c r="E810" s="1055"/>
      <c r="F810" s="1055"/>
      <c r="G810" s="1055"/>
      <c r="H810" s="1055"/>
      <c r="I810" s="1055"/>
      <c r="J810" s="1055"/>
      <c r="K810" s="1055"/>
      <c r="L810" s="1055"/>
      <c r="M810" s="1055"/>
      <c r="N810" s="1055"/>
    </row>
    <row r="811" spans="1:14" s="986" customFormat="1" ht="15.75" customHeight="1">
      <c r="A811" s="1055"/>
      <c r="B811" s="1055"/>
      <c r="C811" s="1055"/>
      <c r="D811" s="1055"/>
      <c r="E811" s="1055"/>
      <c r="F811" s="1055"/>
      <c r="G811" s="1055"/>
      <c r="H811" s="1055"/>
      <c r="I811" s="1055"/>
      <c r="J811" s="1055"/>
      <c r="K811" s="1055"/>
      <c r="L811" s="1055"/>
      <c r="M811" s="1055"/>
      <c r="N811" s="1055"/>
    </row>
    <row r="812" spans="1:14" s="986" customFormat="1" ht="15.75" customHeight="1">
      <c r="A812" s="1055"/>
      <c r="B812" s="1055"/>
      <c r="C812" s="1055"/>
      <c r="D812" s="1055"/>
      <c r="E812" s="1055"/>
      <c r="F812" s="1055"/>
      <c r="G812" s="1055"/>
      <c r="H812" s="1055"/>
      <c r="I812" s="1055"/>
      <c r="J812" s="1055"/>
      <c r="K812" s="1055"/>
      <c r="L812" s="1055"/>
      <c r="M812" s="1055"/>
      <c r="N812" s="1055"/>
    </row>
    <row r="813" spans="1:14" s="986" customFormat="1" ht="15.75" customHeight="1">
      <c r="A813" s="1055"/>
      <c r="B813" s="1055"/>
      <c r="C813" s="1055"/>
      <c r="D813" s="1055"/>
      <c r="E813" s="1055"/>
      <c r="F813" s="1055"/>
      <c r="G813" s="1055"/>
      <c r="H813" s="1055"/>
      <c r="I813" s="1055"/>
      <c r="J813" s="1055"/>
      <c r="K813" s="1055"/>
      <c r="L813" s="1055"/>
      <c r="M813" s="1055"/>
      <c r="N813" s="1055"/>
    </row>
    <row r="814" spans="1:14" s="986" customFormat="1" ht="15.75" customHeight="1">
      <c r="A814" s="1055"/>
      <c r="B814" s="1055"/>
      <c r="C814" s="1055"/>
      <c r="D814" s="1055"/>
      <c r="E814" s="1055"/>
      <c r="F814" s="1055"/>
      <c r="G814" s="1055"/>
      <c r="H814" s="1055"/>
      <c r="I814" s="1055"/>
      <c r="J814" s="1055"/>
      <c r="K814" s="1055"/>
      <c r="L814" s="1055"/>
      <c r="M814" s="1055"/>
      <c r="N814" s="1055"/>
    </row>
    <row r="815" spans="1:14" s="986" customFormat="1" ht="15.75" customHeight="1">
      <c r="A815" s="1055"/>
      <c r="B815" s="1055"/>
      <c r="C815" s="1055"/>
      <c r="D815" s="1055"/>
      <c r="E815" s="1055"/>
      <c r="F815" s="1055"/>
      <c r="G815" s="1055"/>
      <c r="H815" s="1055"/>
      <c r="I815" s="1055"/>
      <c r="J815" s="1055"/>
      <c r="K815" s="1055"/>
      <c r="L815" s="1055"/>
      <c r="M815" s="1055"/>
      <c r="N815" s="1055"/>
    </row>
    <row r="816" spans="1:14" s="986" customFormat="1" ht="15.75" customHeight="1">
      <c r="A816" s="1055"/>
      <c r="B816" s="1055"/>
      <c r="C816" s="1055"/>
      <c r="D816" s="1055"/>
      <c r="E816" s="1055"/>
      <c r="F816" s="1055"/>
      <c r="G816" s="1055"/>
      <c r="H816" s="1055"/>
      <c r="I816" s="1055"/>
      <c r="J816" s="1055"/>
      <c r="K816" s="1055"/>
      <c r="L816" s="1055"/>
      <c r="M816" s="1055"/>
      <c r="N816" s="1055"/>
    </row>
    <row r="817" spans="1:14" s="986" customFormat="1" ht="15.75" customHeight="1">
      <c r="A817" s="1055"/>
      <c r="B817" s="1055"/>
      <c r="C817" s="1055"/>
      <c r="D817" s="1055"/>
      <c r="E817" s="1055"/>
      <c r="F817" s="1055"/>
      <c r="G817" s="1055"/>
      <c r="H817" s="1055"/>
      <c r="I817" s="1055"/>
      <c r="J817" s="1055"/>
      <c r="K817" s="1055"/>
      <c r="L817" s="1055"/>
      <c r="M817" s="1055"/>
      <c r="N817" s="1055"/>
    </row>
    <row r="818" spans="1:14" s="986" customFormat="1" ht="15.75" customHeight="1">
      <c r="A818" s="1055"/>
      <c r="B818" s="1055"/>
      <c r="C818" s="1055"/>
      <c r="D818" s="1055"/>
      <c r="E818" s="1055"/>
      <c r="F818" s="1055"/>
      <c r="G818" s="1055"/>
      <c r="H818" s="1055"/>
      <c r="I818" s="1055"/>
      <c r="J818" s="1055"/>
      <c r="K818" s="1055"/>
      <c r="L818" s="1055"/>
      <c r="M818" s="1055"/>
      <c r="N818" s="1055"/>
    </row>
    <row r="819" spans="1:14" s="986" customFormat="1" ht="15.75" customHeight="1">
      <c r="A819" s="1055"/>
      <c r="B819" s="1055"/>
      <c r="C819" s="1055"/>
      <c r="D819" s="1055"/>
      <c r="E819" s="1055"/>
      <c r="F819" s="1055"/>
      <c r="G819" s="1055"/>
      <c r="H819" s="1055"/>
      <c r="I819" s="1055"/>
      <c r="J819" s="1055"/>
      <c r="K819" s="1055"/>
      <c r="L819" s="1055"/>
      <c r="M819" s="1055"/>
      <c r="N819" s="1055"/>
    </row>
    <row r="820" spans="1:14" s="986" customFormat="1" ht="15.75" customHeight="1">
      <c r="A820" s="1055"/>
      <c r="B820" s="1055"/>
      <c r="C820" s="1055"/>
      <c r="D820" s="1055"/>
      <c r="E820" s="1055"/>
      <c r="F820" s="1055"/>
      <c r="G820" s="1055"/>
      <c r="H820" s="1055"/>
      <c r="I820" s="1055"/>
      <c r="J820" s="1055"/>
      <c r="K820" s="1055"/>
      <c r="L820" s="1055"/>
      <c r="M820" s="1055"/>
      <c r="N820" s="1055"/>
    </row>
    <row r="821" spans="1:14" s="986" customFormat="1" ht="15.75" customHeight="1">
      <c r="A821" s="1055"/>
      <c r="B821" s="1055"/>
      <c r="C821" s="1055"/>
      <c r="D821" s="1055"/>
      <c r="E821" s="1055"/>
      <c r="F821" s="1055"/>
      <c r="G821" s="1055"/>
      <c r="H821" s="1055"/>
      <c r="I821" s="1055"/>
      <c r="J821" s="1055"/>
      <c r="K821" s="1055"/>
      <c r="L821" s="1055"/>
      <c r="M821" s="1055"/>
      <c r="N821" s="1055"/>
    </row>
    <row r="822" spans="1:14" s="986" customFormat="1" ht="15.75" customHeight="1">
      <c r="A822" s="1055"/>
      <c r="B822" s="1055"/>
      <c r="C822" s="1055"/>
      <c r="D822" s="1055"/>
      <c r="E822" s="1055"/>
      <c r="F822" s="1055"/>
      <c r="G822" s="1055"/>
      <c r="H822" s="1055"/>
      <c r="I822" s="1055"/>
      <c r="J822" s="1055"/>
      <c r="K822" s="1055"/>
      <c r="L822" s="1055"/>
      <c r="M822" s="1055"/>
      <c r="N822" s="1055"/>
    </row>
    <row r="823" spans="1:14" s="986" customFormat="1" ht="15.75" customHeight="1">
      <c r="A823" s="1055"/>
      <c r="B823" s="1055"/>
      <c r="C823" s="1055"/>
      <c r="D823" s="1055"/>
      <c r="E823" s="1055"/>
      <c r="F823" s="1055"/>
      <c r="G823" s="1055"/>
      <c r="H823" s="1055"/>
      <c r="I823" s="1055"/>
      <c r="J823" s="1055"/>
      <c r="K823" s="1055"/>
      <c r="L823" s="1055"/>
      <c r="M823" s="1055"/>
      <c r="N823" s="1055"/>
    </row>
    <row r="824" spans="1:14" s="986" customFormat="1" ht="15.75" customHeight="1">
      <c r="A824" s="1055"/>
      <c r="B824" s="1055"/>
      <c r="C824" s="1055"/>
      <c r="D824" s="1055"/>
      <c r="E824" s="1055"/>
      <c r="F824" s="1055"/>
      <c r="G824" s="1055"/>
      <c r="H824" s="1055"/>
      <c r="I824" s="1055"/>
      <c r="J824" s="1055"/>
      <c r="K824" s="1055"/>
      <c r="L824" s="1055"/>
      <c r="M824" s="1055"/>
      <c r="N824" s="1055"/>
    </row>
    <row r="825" spans="1:14" s="986" customFormat="1" ht="15.75" customHeight="1">
      <c r="A825" s="1055"/>
      <c r="B825" s="1055"/>
      <c r="C825" s="1055"/>
      <c r="D825" s="1055"/>
      <c r="E825" s="1055"/>
      <c r="F825" s="1055"/>
      <c r="G825" s="1055"/>
      <c r="H825" s="1055"/>
      <c r="I825" s="1055"/>
      <c r="J825" s="1055"/>
      <c r="K825" s="1055"/>
      <c r="L825" s="1055"/>
      <c r="M825" s="1055"/>
      <c r="N825" s="1055"/>
    </row>
    <row r="826" spans="1:14" s="986" customFormat="1" ht="15.75" customHeight="1">
      <c r="A826" s="1055"/>
      <c r="B826" s="1055"/>
      <c r="C826" s="1055"/>
      <c r="D826" s="1055"/>
      <c r="E826" s="1055"/>
      <c r="F826" s="1055"/>
      <c r="G826" s="1055"/>
      <c r="H826" s="1055"/>
      <c r="I826" s="1055"/>
      <c r="J826" s="1055"/>
      <c r="K826" s="1055"/>
      <c r="L826" s="1055"/>
      <c r="M826" s="1055"/>
      <c r="N826" s="1055"/>
    </row>
    <row r="827" spans="1:14" s="986" customFormat="1" ht="15.75" customHeight="1">
      <c r="A827" s="1055"/>
      <c r="B827" s="1055"/>
      <c r="C827" s="1055"/>
      <c r="D827" s="1055"/>
      <c r="E827" s="1055"/>
      <c r="F827" s="1055"/>
      <c r="G827" s="1055"/>
      <c r="H827" s="1055"/>
      <c r="I827" s="1055"/>
      <c r="J827" s="1055"/>
      <c r="K827" s="1055"/>
      <c r="L827" s="1055"/>
      <c r="M827" s="1055"/>
      <c r="N827" s="1055"/>
    </row>
    <row r="828" spans="1:14" s="986" customFormat="1" ht="15.75" customHeight="1">
      <c r="A828" s="1055"/>
      <c r="B828" s="1055"/>
      <c r="C828" s="1055"/>
      <c r="D828" s="1055"/>
      <c r="E828" s="1055"/>
      <c r="F828" s="1055"/>
      <c r="G828" s="1055"/>
      <c r="H828" s="1055"/>
      <c r="I828" s="1055"/>
      <c r="J828" s="1055"/>
      <c r="K828" s="1055"/>
      <c r="L828" s="1055"/>
      <c r="M828" s="1055"/>
      <c r="N828" s="1055"/>
    </row>
    <row r="829" spans="1:14" s="986" customFormat="1" ht="15.75" customHeight="1">
      <c r="A829" s="1055"/>
      <c r="B829" s="1055"/>
      <c r="C829" s="1055"/>
      <c r="D829" s="1055"/>
      <c r="E829" s="1055"/>
      <c r="F829" s="1055"/>
      <c r="G829" s="1055"/>
      <c r="H829" s="1055"/>
      <c r="I829" s="1055"/>
      <c r="J829" s="1055"/>
      <c r="K829" s="1055"/>
      <c r="L829" s="1055"/>
      <c r="M829" s="1055"/>
      <c r="N829" s="1055"/>
    </row>
    <row r="830" spans="1:14" s="986" customFormat="1" ht="15.75" customHeight="1">
      <c r="A830" s="1055"/>
      <c r="B830" s="1055"/>
      <c r="C830" s="1055"/>
      <c r="D830" s="1055"/>
      <c r="E830" s="1055"/>
      <c r="F830" s="1055"/>
      <c r="G830" s="1055"/>
      <c r="H830" s="1055"/>
      <c r="I830" s="1055"/>
      <c r="J830" s="1055"/>
      <c r="K830" s="1055"/>
      <c r="L830" s="1055"/>
      <c r="M830" s="1055"/>
      <c r="N830" s="1055"/>
    </row>
    <row r="831" spans="1:14" s="986" customFormat="1" ht="15.75" customHeight="1">
      <c r="A831" s="1055"/>
      <c r="B831" s="1055"/>
      <c r="C831" s="1055"/>
      <c r="D831" s="1055"/>
      <c r="E831" s="1055"/>
      <c r="F831" s="1055"/>
      <c r="G831" s="1055"/>
      <c r="H831" s="1055"/>
      <c r="I831" s="1055"/>
      <c r="J831" s="1055"/>
      <c r="K831" s="1055"/>
      <c r="L831" s="1055"/>
      <c r="M831" s="1055"/>
      <c r="N831" s="1055"/>
    </row>
    <row r="832" spans="1:14" s="986" customFormat="1" ht="15.75" customHeight="1">
      <c r="A832" s="1055"/>
      <c r="B832" s="1055"/>
      <c r="C832" s="1055"/>
      <c r="D832" s="1055"/>
      <c r="E832" s="1055"/>
      <c r="F832" s="1055"/>
      <c r="G832" s="1055"/>
      <c r="H832" s="1055"/>
      <c r="I832" s="1055"/>
      <c r="J832" s="1055"/>
      <c r="K832" s="1055"/>
      <c r="L832" s="1055"/>
      <c r="M832" s="1055"/>
      <c r="N832" s="1055"/>
    </row>
    <row r="833" spans="1:14" s="986" customFormat="1" ht="15.75" customHeight="1">
      <c r="A833" s="1055"/>
      <c r="B833" s="1055"/>
      <c r="C833" s="1055"/>
      <c r="D833" s="1055"/>
      <c r="E833" s="1055"/>
      <c r="F833" s="1055"/>
      <c r="G833" s="1055"/>
      <c r="H833" s="1055"/>
      <c r="I833" s="1055"/>
      <c r="J833" s="1055"/>
      <c r="K833" s="1055"/>
      <c r="L833" s="1055"/>
      <c r="M833" s="1055"/>
      <c r="N833" s="1055"/>
    </row>
    <row r="834" spans="1:14" s="986" customFormat="1" ht="15.75" customHeight="1">
      <c r="A834" s="1055"/>
      <c r="B834" s="1055"/>
      <c r="C834" s="1055"/>
      <c r="D834" s="1055"/>
      <c r="E834" s="1055"/>
      <c r="F834" s="1055"/>
      <c r="G834" s="1055"/>
      <c r="H834" s="1055"/>
      <c r="I834" s="1055"/>
      <c r="J834" s="1055"/>
      <c r="K834" s="1055"/>
      <c r="L834" s="1055"/>
      <c r="M834" s="1055"/>
      <c r="N834" s="1055"/>
    </row>
    <row r="835" spans="1:14" s="986" customFormat="1" ht="15.75" customHeight="1">
      <c r="A835" s="1055"/>
      <c r="B835" s="1055"/>
      <c r="C835" s="1055"/>
      <c r="D835" s="1055"/>
      <c r="E835" s="1055"/>
      <c r="F835" s="1055"/>
      <c r="G835" s="1055"/>
      <c r="H835" s="1055"/>
      <c r="I835" s="1055"/>
      <c r="J835" s="1055"/>
      <c r="K835" s="1055"/>
      <c r="L835" s="1055"/>
      <c r="M835" s="1055"/>
      <c r="N835" s="1055"/>
    </row>
    <row r="836" spans="1:14" s="986" customFormat="1" ht="15.75" customHeight="1">
      <c r="A836" s="1055"/>
      <c r="B836" s="1055"/>
      <c r="C836" s="1055"/>
      <c r="D836" s="1055"/>
      <c r="E836" s="1055"/>
      <c r="F836" s="1055"/>
      <c r="G836" s="1055"/>
      <c r="H836" s="1055"/>
      <c r="I836" s="1055"/>
      <c r="J836" s="1055"/>
      <c r="K836" s="1055"/>
      <c r="L836" s="1055"/>
      <c r="M836" s="1055"/>
      <c r="N836" s="1055"/>
    </row>
    <row r="837" spans="1:14" s="986" customFormat="1" ht="15.75" customHeight="1">
      <c r="A837" s="1055"/>
      <c r="B837" s="1055"/>
      <c r="C837" s="1055"/>
      <c r="D837" s="1055"/>
      <c r="E837" s="1055"/>
      <c r="F837" s="1055"/>
      <c r="G837" s="1055"/>
      <c r="H837" s="1055"/>
      <c r="I837" s="1055"/>
      <c r="J837" s="1055"/>
      <c r="K837" s="1055"/>
      <c r="L837" s="1055"/>
      <c r="M837" s="1055"/>
      <c r="N837" s="1055"/>
    </row>
    <row r="838" spans="1:14" s="986" customFormat="1" ht="15.75" customHeight="1">
      <c r="A838" s="1055"/>
      <c r="B838" s="1055"/>
      <c r="C838" s="1055"/>
      <c r="D838" s="1055"/>
      <c r="E838" s="1055"/>
      <c r="F838" s="1055"/>
      <c r="G838" s="1055"/>
      <c r="H838" s="1055"/>
      <c r="I838" s="1055"/>
      <c r="J838" s="1055"/>
      <c r="K838" s="1055"/>
      <c r="L838" s="1055"/>
      <c r="M838" s="1055"/>
      <c r="N838" s="1055"/>
    </row>
    <row r="839" spans="1:14" s="986" customFormat="1" ht="15.75" customHeight="1">
      <c r="A839" s="1055"/>
      <c r="B839" s="1055"/>
      <c r="C839" s="1055"/>
      <c r="D839" s="1055"/>
      <c r="E839" s="1055"/>
      <c r="F839" s="1055"/>
      <c r="G839" s="1055"/>
      <c r="H839" s="1055"/>
      <c r="I839" s="1055"/>
      <c r="J839" s="1055"/>
      <c r="K839" s="1055"/>
      <c r="L839" s="1055"/>
      <c r="M839" s="1055"/>
      <c r="N839" s="1055"/>
    </row>
    <row r="840" spans="1:14" s="986" customFormat="1" ht="15.75" customHeight="1">
      <c r="A840" s="1055"/>
      <c r="B840" s="1055"/>
      <c r="C840" s="1055"/>
      <c r="D840" s="1055"/>
      <c r="E840" s="1055"/>
      <c r="F840" s="1055"/>
      <c r="G840" s="1055"/>
      <c r="H840" s="1055"/>
      <c r="I840" s="1055"/>
      <c r="J840" s="1055"/>
      <c r="K840" s="1055"/>
      <c r="L840" s="1055"/>
      <c r="M840" s="1055"/>
      <c r="N840" s="1055"/>
    </row>
    <row r="841" spans="1:14" s="986" customFormat="1" ht="15.75" customHeight="1">
      <c r="A841" s="1055"/>
      <c r="B841" s="1055"/>
      <c r="C841" s="1055"/>
      <c r="D841" s="1055"/>
      <c r="E841" s="1055"/>
      <c r="F841" s="1055"/>
      <c r="G841" s="1055"/>
      <c r="H841" s="1055"/>
      <c r="I841" s="1055"/>
      <c r="J841" s="1055"/>
      <c r="K841" s="1055"/>
      <c r="L841" s="1055"/>
      <c r="M841" s="1055"/>
      <c r="N841" s="1055"/>
    </row>
    <row r="842" spans="1:14" s="986" customFormat="1" ht="15.75" customHeight="1">
      <c r="A842" s="1055"/>
      <c r="B842" s="1055"/>
      <c r="C842" s="1055"/>
      <c r="D842" s="1055"/>
      <c r="E842" s="1055"/>
      <c r="F842" s="1055"/>
      <c r="G842" s="1055"/>
      <c r="H842" s="1055"/>
      <c r="I842" s="1055"/>
      <c r="J842" s="1055"/>
      <c r="K842" s="1055"/>
      <c r="L842" s="1055"/>
      <c r="M842" s="1055"/>
      <c r="N842" s="1055"/>
    </row>
    <row r="843" spans="1:14" s="986" customFormat="1" ht="15.75" customHeight="1">
      <c r="A843" s="1055"/>
      <c r="B843" s="1055"/>
      <c r="C843" s="1055"/>
      <c r="D843" s="1055"/>
      <c r="E843" s="1055"/>
      <c r="F843" s="1055"/>
      <c r="G843" s="1055"/>
      <c r="H843" s="1055"/>
      <c r="I843" s="1055"/>
      <c r="J843" s="1055"/>
      <c r="K843" s="1055"/>
      <c r="L843" s="1055"/>
      <c r="M843" s="1055"/>
      <c r="N843" s="1055"/>
    </row>
    <row r="844" spans="1:14" s="986" customFormat="1" ht="15.75" customHeight="1">
      <c r="A844" s="1055"/>
      <c r="B844" s="1055"/>
      <c r="C844" s="1055"/>
      <c r="D844" s="1055"/>
      <c r="E844" s="1055"/>
      <c r="F844" s="1055"/>
      <c r="G844" s="1055"/>
      <c r="H844" s="1055"/>
      <c r="I844" s="1055"/>
      <c r="J844" s="1055"/>
      <c r="K844" s="1055"/>
      <c r="L844" s="1055"/>
      <c r="M844" s="1055"/>
      <c r="N844" s="1055"/>
    </row>
    <row r="845" spans="1:14" s="986" customFormat="1" ht="15.75" customHeight="1">
      <c r="A845" s="1055"/>
      <c r="B845" s="1055"/>
      <c r="C845" s="1055"/>
      <c r="D845" s="1055"/>
      <c r="E845" s="1055"/>
      <c r="F845" s="1055"/>
      <c r="G845" s="1055"/>
      <c r="H845" s="1055"/>
      <c r="I845" s="1055"/>
      <c r="J845" s="1055"/>
      <c r="K845" s="1055"/>
      <c r="L845" s="1055"/>
      <c r="M845" s="1055"/>
      <c r="N845" s="1055"/>
    </row>
    <row r="846" spans="1:14" s="986" customFormat="1" ht="15.75" customHeight="1">
      <c r="A846" s="1055"/>
      <c r="B846" s="1055"/>
      <c r="C846" s="1055"/>
      <c r="D846" s="1055"/>
      <c r="E846" s="1055"/>
      <c r="F846" s="1055"/>
      <c r="G846" s="1055"/>
      <c r="H846" s="1055"/>
      <c r="I846" s="1055"/>
      <c r="J846" s="1055"/>
      <c r="K846" s="1055"/>
      <c r="L846" s="1055"/>
      <c r="M846" s="1055"/>
      <c r="N846" s="1055"/>
    </row>
    <row r="847" spans="1:14" s="986" customFormat="1" ht="15.75" customHeight="1">
      <c r="A847" s="1055"/>
      <c r="B847" s="1055"/>
      <c r="C847" s="1055"/>
      <c r="D847" s="1055"/>
      <c r="E847" s="1055"/>
      <c r="F847" s="1055"/>
      <c r="G847" s="1055"/>
      <c r="H847" s="1055"/>
      <c r="I847" s="1055"/>
      <c r="J847" s="1055"/>
      <c r="K847" s="1055"/>
      <c r="L847" s="1055"/>
      <c r="M847" s="1055"/>
      <c r="N847" s="1055"/>
    </row>
    <row r="848" spans="1:14" s="986" customFormat="1" ht="15.75" customHeight="1">
      <c r="A848" s="1055"/>
      <c r="B848" s="1055"/>
      <c r="C848" s="1055"/>
      <c r="D848" s="1055"/>
      <c r="E848" s="1055"/>
      <c r="F848" s="1055"/>
      <c r="G848" s="1055"/>
      <c r="H848" s="1055"/>
      <c r="I848" s="1055"/>
      <c r="J848" s="1055"/>
      <c r="K848" s="1055"/>
      <c r="L848" s="1055"/>
      <c r="M848" s="1055"/>
      <c r="N848" s="1055"/>
    </row>
    <row r="849" spans="1:14" s="986" customFormat="1" ht="15.75" customHeight="1">
      <c r="A849" s="1055"/>
      <c r="B849" s="1055"/>
      <c r="C849" s="1055"/>
      <c r="D849" s="1055"/>
      <c r="E849" s="1055"/>
      <c r="F849" s="1055"/>
      <c r="G849" s="1055"/>
      <c r="H849" s="1055"/>
      <c r="I849" s="1055"/>
      <c r="J849" s="1055"/>
      <c r="K849" s="1055"/>
      <c r="L849" s="1055"/>
      <c r="M849" s="1055"/>
      <c r="N849" s="1055"/>
    </row>
    <row r="850" spans="1:14" s="986" customFormat="1" ht="15.75" customHeight="1">
      <c r="A850" s="1055"/>
      <c r="B850" s="1055"/>
      <c r="C850" s="1055"/>
      <c r="D850" s="1055"/>
      <c r="E850" s="1055"/>
      <c r="F850" s="1055"/>
      <c r="G850" s="1055"/>
      <c r="H850" s="1055"/>
      <c r="I850" s="1055"/>
      <c r="J850" s="1055"/>
      <c r="K850" s="1055"/>
      <c r="L850" s="1055"/>
      <c r="M850" s="1055"/>
      <c r="N850" s="1055"/>
    </row>
    <row r="851" spans="1:14" s="986" customFormat="1" ht="15.75" customHeight="1">
      <c r="A851" s="1055"/>
      <c r="B851" s="1055"/>
      <c r="C851" s="1055"/>
      <c r="D851" s="1055"/>
      <c r="E851" s="1055"/>
      <c r="F851" s="1055"/>
      <c r="G851" s="1055"/>
      <c r="H851" s="1055"/>
      <c r="I851" s="1055"/>
      <c r="J851" s="1055"/>
      <c r="K851" s="1055"/>
      <c r="L851" s="1055"/>
      <c r="M851" s="1055"/>
      <c r="N851" s="1055"/>
    </row>
    <row r="852" spans="1:14" s="986" customFormat="1" ht="15.75" customHeight="1">
      <c r="A852" s="1055"/>
      <c r="B852" s="1055"/>
      <c r="C852" s="1055"/>
      <c r="D852" s="1055"/>
      <c r="E852" s="1055"/>
      <c r="F852" s="1055"/>
      <c r="G852" s="1055"/>
      <c r="H852" s="1055"/>
      <c r="I852" s="1055"/>
      <c r="J852" s="1055"/>
      <c r="K852" s="1055"/>
      <c r="L852" s="1055"/>
      <c r="M852" s="1055"/>
      <c r="N852" s="1055"/>
    </row>
    <row r="853" spans="1:14" s="986" customFormat="1" ht="15.75" customHeight="1">
      <c r="A853" s="1055"/>
      <c r="B853" s="1055"/>
      <c r="C853" s="1055"/>
      <c r="D853" s="1055"/>
      <c r="E853" s="1055"/>
      <c r="F853" s="1055"/>
      <c r="G853" s="1055"/>
      <c r="H853" s="1055"/>
      <c r="I853" s="1055"/>
      <c r="J853" s="1055"/>
      <c r="K853" s="1055"/>
      <c r="L853" s="1055"/>
      <c r="M853" s="1055"/>
      <c r="N853" s="1055"/>
    </row>
    <row r="854" spans="1:14" s="986" customFormat="1" ht="15.75" customHeight="1">
      <c r="A854" s="1055"/>
      <c r="B854" s="1055"/>
      <c r="C854" s="1055"/>
      <c r="D854" s="1055"/>
      <c r="E854" s="1055"/>
      <c r="F854" s="1055"/>
      <c r="G854" s="1055"/>
      <c r="H854" s="1055"/>
      <c r="I854" s="1055"/>
      <c r="J854" s="1055"/>
      <c r="K854" s="1055"/>
      <c r="L854" s="1055"/>
      <c r="M854" s="1055"/>
      <c r="N854" s="1055"/>
    </row>
    <row r="855" spans="1:14" s="986" customFormat="1" ht="15.75" customHeight="1">
      <c r="A855" s="1055"/>
      <c r="B855" s="1055"/>
      <c r="C855" s="1055"/>
      <c r="D855" s="1055"/>
      <c r="E855" s="1055"/>
      <c r="F855" s="1055"/>
      <c r="G855" s="1055"/>
      <c r="H855" s="1055"/>
      <c r="I855" s="1055"/>
      <c r="J855" s="1055"/>
      <c r="K855" s="1055"/>
      <c r="L855" s="1055"/>
      <c r="M855" s="1055"/>
      <c r="N855" s="1055"/>
    </row>
    <row r="856" spans="1:14" s="986" customFormat="1" ht="15.75" customHeight="1">
      <c r="A856" s="1055"/>
      <c r="B856" s="1055"/>
      <c r="C856" s="1055"/>
      <c r="D856" s="1055"/>
      <c r="E856" s="1055"/>
      <c r="F856" s="1055"/>
      <c r="G856" s="1055"/>
      <c r="H856" s="1055"/>
      <c r="I856" s="1055"/>
      <c r="J856" s="1055"/>
      <c r="K856" s="1055"/>
      <c r="L856" s="1055"/>
      <c r="M856" s="1055"/>
      <c r="N856" s="1055"/>
    </row>
    <row r="857" spans="1:14" s="986" customFormat="1" ht="15.75" customHeight="1">
      <c r="A857" s="1055"/>
      <c r="B857" s="1055"/>
      <c r="C857" s="1055"/>
      <c r="D857" s="1055"/>
      <c r="E857" s="1055"/>
      <c r="F857" s="1055"/>
      <c r="G857" s="1055"/>
      <c r="H857" s="1055"/>
      <c r="I857" s="1055"/>
      <c r="J857" s="1055"/>
      <c r="K857" s="1055"/>
      <c r="L857" s="1055"/>
      <c r="M857" s="1055"/>
      <c r="N857" s="1055"/>
    </row>
    <row r="858" spans="1:14" s="986" customFormat="1" ht="15.75" customHeight="1">
      <c r="A858" s="1055"/>
      <c r="B858" s="1055"/>
      <c r="C858" s="1055"/>
      <c r="D858" s="1055"/>
      <c r="E858" s="1055"/>
      <c r="F858" s="1055"/>
      <c r="G858" s="1055"/>
      <c r="H858" s="1055"/>
      <c r="I858" s="1055"/>
      <c r="J858" s="1055"/>
      <c r="K858" s="1055"/>
      <c r="L858" s="1055"/>
      <c r="M858" s="1055"/>
      <c r="N858" s="1055"/>
    </row>
    <row r="859" spans="1:14" s="986" customFormat="1" ht="15.75" customHeight="1">
      <c r="A859" s="1055"/>
      <c r="B859" s="1055"/>
      <c r="C859" s="1055"/>
      <c r="D859" s="1055"/>
      <c r="E859" s="1055"/>
      <c r="F859" s="1055"/>
      <c r="G859" s="1055"/>
      <c r="H859" s="1055"/>
      <c r="I859" s="1055"/>
      <c r="J859" s="1055"/>
      <c r="K859" s="1055"/>
      <c r="L859" s="1055"/>
      <c r="M859" s="1055"/>
      <c r="N859" s="1055"/>
    </row>
    <row r="860" spans="1:14" s="986" customFormat="1" ht="15.75" customHeight="1">
      <c r="A860" s="1055"/>
      <c r="B860" s="1055"/>
      <c r="C860" s="1055"/>
      <c r="D860" s="1055"/>
      <c r="E860" s="1055"/>
      <c r="F860" s="1055"/>
      <c r="G860" s="1055"/>
      <c r="H860" s="1055"/>
      <c r="I860" s="1055"/>
      <c r="J860" s="1055"/>
      <c r="K860" s="1055"/>
      <c r="L860" s="1055"/>
      <c r="M860" s="1055"/>
      <c r="N860" s="1055"/>
    </row>
    <row r="861" spans="1:14" s="986" customFormat="1" ht="15.75" customHeight="1">
      <c r="A861" s="1055"/>
      <c r="B861" s="1055"/>
      <c r="C861" s="1055"/>
      <c r="D861" s="1055"/>
      <c r="E861" s="1055"/>
      <c r="F861" s="1055"/>
      <c r="G861" s="1055"/>
      <c r="H861" s="1055"/>
      <c r="I861" s="1055"/>
      <c r="J861" s="1055"/>
      <c r="K861" s="1055"/>
      <c r="L861" s="1055"/>
      <c r="M861" s="1055"/>
      <c r="N861" s="1055"/>
    </row>
    <row r="862" spans="1:14" s="986" customFormat="1" ht="15.75" customHeight="1">
      <c r="A862" s="1055"/>
      <c r="B862" s="1055"/>
      <c r="C862" s="1055"/>
      <c r="D862" s="1055"/>
      <c r="E862" s="1055"/>
      <c r="F862" s="1055"/>
      <c r="G862" s="1055"/>
      <c r="H862" s="1055"/>
      <c r="I862" s="1055"/>
      <c r="J862" s="1055"/>
      <c r="K862" s="1055"/>
      <c r="L862" s="1055"/>
      <c r="M862" s="1055"/>
      <c r="N862" s="1055"/>
    </row>
    <row r="863" spans="1:14" s="986" customFormat="1" ht="15.75" customHeight="1">
      <c r="A863" s="1055"/>
      <c r="B863" s="1055"/>
      <c r="C863" s="1055"/>
      <c r="D863" s="1055"/>
      <c r="E863" s="1055"/>
      <c r="F863" s="1055"/>
      <c r="G863" s="1055"/>
      <c r="H863" s="1055"/>
      <c r="I863" s="1055"/>
      <c r="J863" s="1055"/>
      <c r="K863" s="1055"/>
      <c r="L863" s="1055"/>
      <c r="M863" s="1055"/>
      <c r="N863" s="1055"/>
    </row>
    <row r="864" spans="1:14" s="986" customFormat="1" ht="15.75" customHeight="1">
      <c r="A864" s="1055"/>
      <c r="B864" s="1055"/>
      <c r="C864" s="1055"/>
      <c r="D864" s="1055"/>
      <c r="E864" s="1055"/>
      <c r="F864" s="1055"/>
      <c r="G864" s="1055"/>
      <c r="H864" s="1055"/>
      <c r="I864" s="1055"/>
      <c r="J864" s="1055"/>
      <c r="K864" s="1055"/>
      <c r="L864" s="1055"/>
      <c r="M864" s="1055"/>
      <c r="N864" s="1055"/>
    </row>
    <row r="865" spans="1:14" s="986" customFormat="1" ht="15.75" customHeight="1">
      <c r="A865" s="1055"/>
      <c r="B865" s="1055"/>
      <c r="C865" s="1055"/>
      <c r="D865" s="1055"/>
      <c r="E865" s="1055"/>
      <c r="F865" s="1055"/>
      <c r="G865" s="1055"/>
      <c r="H865" s="1055"/>
      <c r="I865" s="1055"/>
      <c r="J865" s="1055"/>
      <c r="K865" s="1055"/>
      <c r="L865" s="1055"/>
      <c r="M865" s="1055"/>
      <c r="N865" s="1055"/>
    </row>
    <row r="866" spans="1:14" s="986" customFormat="1" ht="15.75" customHeight="1">
      <c r="A866" s="1055"/>
      <c r="B866" s="1055"/>
      <c r="C866" s="1055"/>
      <c r="D866" s="1055"/>
      <c r="E866" s="1055"/>
      <c r="F866" s="1055"/>
      <c r="G866" s="1055"/>
      <c r="H866" s="1055"/>
      <c r="I866" s="1055"/>
      <c r="J866" s="1055"/>
      <c r="K866" s="1055"/>
      <c r="L866" s="1055"/>
      <c r="M866" s="1055"/>
      <c r="N866" s="1055"/>
    </row>
    <row r="867" spans="1:14" s="986" customFormat="1" ht="15.75" customHeight="1">
      <c r="A867" s="1055"/>
      <c r="B867" s="1055"/>
      <c r="C867" s="1055"/>
      <c r="D867" s="1055"/>
      <c r="E867" s="1055"/>
      <c r="F867" s="1055"/>
      <c r="G867" s="1055"/>
      <c r="H867" s="1055"/>
      <c r="I867" s="1055"/>
      <c r="J867" s="1055"/>
      <c r="K867" s="1055"/>
      <c r="L867" s="1055"/>
      <c r="M867" s="1055"/>
      <c r="N867" s="1055"/>
    </row>
    <row r="868" spans="1:14" s="986" customFormat="1" ht="15.75" customHeight="1">
      <c r="A868" s="1055"/>
      <c r="B868" s="1055"/>
      <c r="C868" s="1055"/>
      <c r="D868" s="1055"/>
      <c r="E868" s="1055"/>
      <c r="F868" s="1055"/>
      <c r="G868" s="1055"/>
      <c r="H868" s="1055"/>
      <c r="I868" s="1055"/>
      <c r="J868" s="1055"/>
      <c r="K868" s="1055"/>
      <c r="L868" s="1055"/>
      <c r="M868" s="1055"/>
      <c r="N868" s="1055"/>
    </row>
    <row r="869" spans="1:14" s="986" customFormat="1" ht="15.75" customHeight="1">
      <c r="A869" s="1055"/>
      <c r="B869" s="1055"/>
      <c r="C869" s="1055"/>
      <c r="D869" s="1055"/>
      <c r="E869" s="1055"/>
      <c r="F869" s="1055"/>
      <c r="G869" s="1055"/>
      <c r="H869" s="1055"/>
      <c r="I869" s="1055"/>
      <c r="J869" s="1055"/>
      <c r="K869" s="1055"/>
      <c r="L869" s="1055"/>
      <c r="M869" s="1055"/>
      <c r="N869" s="1055"/>
    </row>
    <row r="870" spans="1:14" s="986" customFormat="1" ht="15.75" customHeight="1">
      <c r="A870" s="1055"/>
      <c r="B870" s="1055"/>
      <c r="C870" s="1055"/>
      <c r="D870" s="1055"/>
      <c r="E870" s="1055"/>
      <c r="F870" s="1055"/>
      <c r="G870" s="1055"/>
      <c r="H870" s="1055"/>
      <c r="I870" s="1055"/>
      <c r="J870" s="1055"/>
      <c r="K870" s="1055"/>
      <c r="L870" s="1055"/>
      <c r="M870" s="1055"/>
      <c r="N870" s="1055"/>
    </row>
    <row r="871" spans="1:14" s="986" customFormat="1" ht="15.75" customHeight="1">
      <c r="A871" s="1055"/>
      <c r="B871" s="1055"/>
      <c r="C871" s="1055"/>
      <c r="D871" s="1055"/>
      <c r="E871" s="1055"/>
      <c r="F871" s="1055"/>
      <c r="G871" s="1055"/>
      <c r="H871" s="1055"/>
      <c r="I871" s="1055"/>
      <c r="J871" s="1055"/>
      <c r="K871" s="1055"/>
      <c r="L871" s="1055"/>
      <c r="M871" s="1055"/>
      <c r="N871" s="1055"/>
    </row>
    <row r="872" spans="1:14" s="986" customFormat="1" ht="15.75" customHeight="1">
      <c r="A872" s="1055"/>
      <c r="B872" s="1055"/>
      <c r="C872" s="1055"/>
      <c r="D872" s="1055"/>
      <c r="E872" s="1055"/>
      <c r="F872" s="1055"/>
      <c r="G872" s="1055"/>
      <c r="H872" s="1055"/>
      <c r="I872" s="1055"/>
      <c r="J872" s="1055"/>
      <c r="K872" s="1055"/>
      <c r="L872" s="1055"/>
      <c r="M872" s="1055"/>
      <c r="N872" s="1055"/>
    </row>
    <row r="873" spans="1:14" s="986" customFormat="1" ht="15.75" customHeight="1">
      <c r="A873" s="1055"/>
      <c r="B873" s="1055"/>
      <c r="C873" s="1055"/>
      <c r="D873" s="1055"/>
      <c r="E873" s="1055"/>
      <c r="F873" s="1055"/>
      <c r="G873" s="1055"/>
      <c r="H873" s="1055"/>
      <c r="I873" s="1055"/>
      <c r="J873" s="1055"/>
      <c r="K873" s="1055"/>
      <c r="L873" s="1055"/>
      <c r="M873" s="1055"/>
      <c r="N873" s="1055"/>
    </row>
    <row r="874" spans="1:14" s="986" customFormat="1" ht="15.75" customHeight="1">
      <c r="A874" s="1055"/>
      <c r="B874" s="1055"/>
      <c r="C874" s="1055"/>
      <c r="D874" s="1055"/>
      <c r="E874" s="1055"/>
      <c r="F874" s="1055"/>
      <c r="G874" s="1055"/>
      <c r="H874" s="1055"/>
      <c r="I874" s="1055"/>
      <c r="J874" s="1055"/>
      <c r="K874" s="1055"/>
      <c r="L874" s="1055"/>
      <c r="M874" s="1055"/>
      <c r="N874" s="1055"/>
    </row>
    <row r="875" spans="1:14" s="986" customFormat="1" ht="15.75" customHeight="1">
      <c r="A875" s="1055"/>
      <c r="B875" s="1055"/>
      <c r="C875" s="1055"/>
      <c r="D875" s="1055"/>
      <c r="E875" s="1055"/>
      <c r="F875" s="1055"/>
      <c r="G875" s="1055"/>
      <c r="H875" s="1055"/>
      <c r="I875" s="1055"/>
      <c r="J875" s="1055"/>
      <c r="K875" s="1055"/>
      <c r="L875" s="1055"/>
      <c r="M875" s="1055"/>
      <c r="N875" s="1055"/>
    </row>
    <row r="876" spans="1:14" s="986" customFormat="1" ht="15.75" customHeight="1">
      <c r="A876" s="1055"/>
      <c r="B876" s="1055"/>
      <c r="C876" s="1055"/>
      <c r="D876" s="1055"/>
      <c r="E876" s="1055"/>
      <c r="F876" s="1055"/>
      <c r="G876" s="1055"/>
      <c r="H876" s="1055"/>
      <c r="I876" s="1055"/>
      <c r="J876" s="1055"/>
      <c r="K876" s="1055"/>
      <c r="L876" s="1055"/>
      <c r="M876" s="1055"/>
      <c r="N876" s="1055"/>
    </row>
    <row r="877" spans="1:14" s="986" customFormat="1" ht="15.75" customHeight="1">
      <c r="A877" s="1055"/>
      <c r="B877" s="1055"/>
      <c r="C877" s="1055"/>
      <c r="D877" s="1055"/>
      <c r="E877" s="1055"/>
      <c r="F877" s="1055"/>
      <c r="G877" s="1055"/>
      <c r="H877" s="1055"/>
      <c r="I877" s="1055"/>
      <c r="J877" s="1055"/>
      <c r="K877" s="1055"/>
      <c r="L877" s="1055"/>
      <c r="M877" s="1055"/>
      <c r="N877" s="1055"/>
    </row>
    <row r="878" spans="1:14" s="986" customFormat="1" ht="15.75" customHeight="1">
      <c r="A878" s="1055"/>
      <c r="B878" s="1055"/>
      <c r="C878" s="1055"/>
      <c r="D878" s="1055"/>
      <c r="E878" s="1055"/>
      <c r="F878" s="1055"/>
      <c r="G878" s="1055"/>
      <c r="H878" s="1055"/>
      <c r="I878" s="1055"/>
      <c r="J878" s="1055"/>
      <c r="K878" s="1055"/>
      <c r="L878" s="1055"/>
      <c r="M878" s="1055"/>
      <c r="N878" s="1055"/>
    </row>
    <row r="879" spans="1:14" s="986" customFormat="1" ht="15.75" customHeight="1">
      <c r="A879" s="1055"/>
      <c r="B879" s="1055"/>
      <c r="C879" s="1055"/>
      <c r="D879" s="1055"/>
      <c r="E879" s="1055"/>
      <c r="F879" s="1055"/>
      <c r="G879" s="1055"/>
      <c r="H879" s="1055"/>
      <c r="I879" s="1055"/>
      <c r="J879" s="1055"/>
      <c r="K879" s="1055"/>
      <c r="L879" s="1055"/>
      <c r="M879" s="1055"/>
      <c r="N879" s="1055"/>
    </row>
    <row r="880" spans="1:14" s="986" customFormat="1" ht="15.75" customHeight="1">
      <c r="A880" s="1055"/>
      <c r="B880" s="1055"/>
      <c r="C880" s="1055"/>
      <c r="D880" s="1055"/>
      <c r="E880" s="1055"/>
      <c r="F880" s="1055"/>
      <c r="G880" s="1055"/>
      <c r="H880" s="1055"/>
      <c r="I880" s="1055"/>
      <c r="J880" s="1055"/>
      <c r="K880" s="1055"/>
      <c r="L880" s="1055"/>
      <c r="M880" s="1055"/>
      <c r="N880" s="1055"/>
    </row>
    <row r="881" spans="1:14" s="986" customFormat="1" ht="15.75" customHeight="1">
      <c r="A881" s="1055"/>
      <c r="B881" s="1055"/>
      <c r="C881" s="1055"/>
      <c r="D881" s="1055"/>
      <c r="E881" s="1055"/>
      <c r="F881" s="1055"/>
      <c r="G881" s="1055"/>
      <c r="H881" s="1055"/>
      <c r="I881" s="1055"/>
      <c r="J881" s="1055"/>
      <c r="K881" s="1055"/>
      <c r="L881" s="1055"/>
      <c r="M881" s="1055"/>
      <c r="N881" s="1055"/>
    </row>
    <row r="882" spans="1:14" s="986" customFormat="1" ht="15.75" customHeight="1">
      <c r="A882" s="1055"/>
      <c r="B882" s="1055"/>
      <c r="C882" s="1055"/>
      <c r="D882" s="1055"/>
      <c r="E882" s="1055"/>
      <c r="F882" s="1055"/>
      <c r="G882" s="1055"/>
      <c r="H882" s="1055"/>
      <c r="I882" s="1055"/>
      <c r="J882" s="1055"/>
      <c r="K882" s="1055"/>
      <c r="L882" s="1055"/>
      <c r="M882" s="1055"/>
      <c r="N882" s="1055"/>
    </row>
    <row r="883" spans="1:14" s="986" customFormat="1" ht="15.75" customHeight="1">
      <c r="A883" s="1055"/>
      <c r="B883" s="1055"/>
      <c r="C883" s="1055"/>
      <c r="D883" s="1055"/>
      <c r="E883" s="1055"/>
      <c r="F883" s="1055"/>
      <c r="G883" s="1055"/>
      <c r="H883" s="1055"/>
      <c r="I883" s="1055"/>
      <c r="J883" s="1055"/>
      <c r="K883" s="1055"/>
      <c r="L883" s="1055"/>
      <c r="M883" s="1055"/>
      <c r="N883" s="1055"/>
    </row>
    <row r="884" spans="1:14" s="986" customFormat="1" ht="15.75" customHeight="1">
      <c r="A884" s="1055"/>
      <c r="B884" s="1055"/>
      <c r="C884" s="1055"/>
      <c r="D884" s="1055"/>
      <c r="E884" s="1055"/>
      <c r="F884" s="1055"/>
      <c r="G884" s="1055"/>
      <c r="H884" s="1055"/>
      <c r="I884" s="1055"/>
      <c r="J884" s="1055"/>
      <c r="K884" s="1055"/>
      <c r="L884" s="1055"/>
      <c r="M884" s="1055"/>
      <c r="N884" s="1055"/>
    </row>
    <row r="885" spans="1:14" s="986" customFormat="1" ht="15.75" customHeight="1">
      <c r="A885" s="1055"/>
      <c r="B885" s="1055"/>
      <c r="C885" s="1055"/>
      <c r="D885" s="1055"/>
      <c r="E885" s="1055"/>
      <c r="F885" s="1055"/>
      <c r="G885" s="1055"/>
      <c r="H885" s="1055"/>
      <c r="I885" s="1055"/>
      <c r="J885" s="1055"/>
      <c r="K885" s="1055"/>
      <c r="L885" s="1055"/>
      <c r="M885" s="1055"/>
      <c r="N885" s="1055"/>
    </row>
    <row r="886" spans="1:14" s="986" customFormat="1" ht="15.75" customHeight="1">
      <c r="A886" s="1055"/>
      <c r="B886" s="1055"/>
      <c r="C886" s="1055"/>
      <c r="D886" s="1055"/>
      <c r="E886" s="1055"/>
      <c r="F886" s="1055"/>
      <c r="G886" s="1055"/>
      <c r="H886" s="1055"/>
      <c r="I886" s="1055"/>
      <c r="J886" s="1055"/>
      <c r="K886" s="1055"/>
      <c r="L886" s="1055"/>
      <c r="M886" s="1055"/>
      <c r="N886" s="1055"/>
    </row>
    <row r="887" spans="1:14" s="986" customFormat="1" ht="15.75" customHeight="1">
      <c r="A887" s="1055"/>
      <c r="B887" s="1055"/>
      <c r="C887" s="1055"/>
      <c r="D887" s="1055"/>
      <c r="E887" s="1055"/>
      <c r="F887" s="1055"/>
      <c r="G887" s="1055"/>
      <c r="H887" s="1055"/>
      <c r="I887" s="1055"/>
      <c r="J887" s="1055"/>
      <c r="K887" s="1055"/>
      <c r="L887" s="1055"/>
      <c r="M887" s="1055"/>
      <c r="N887" s="1055"/>
    </row>
    <row r="888" spans="1:14" s="986" customFormat="1" ht="15.75" customHeight="1">
      <c r="A888" s="1055"/>
      <c r="B888" s="1055"/>
      <c r="C888" s="1055"/>
      <c r="D888" s="1055"/>
      <c r="E888" s="1055"/>
      <c r="F888" s="1055"/>
      <c r="G888" s="1055"/>
      <c r="H888" s="1055"/>
      <c r="I888" s="1055"/>
      <c r="J888" s="1055"/>
      <c r="K888" s="1055"/>
      <c r="L888" s="1055"/>
      <c r="M888" s="1055"/>
      <c r="N888" s="1055"/>
    </row>
    <row r="889" spans="1:14" s="986" customFormat="1" ht="15.75" customHeight="1">
      <c r="A889" s="1055"/>
      <c r="B889" s="1055"/>
      <c r="C889" s="1055"/>
      <c r="D889" s="1055"/>
      <c r="E889" s="1055"/>
      <c r="F889" s="1055"/>
      <c r="G889" s="1055"/>
      <c r="H889" s="1055"/>
      <c r="I889" s="1055"/>
      <c r="J889" s="1055"/>
      <c r="K889" s="1055"/>
      <c r="L889" s="1055"/>
      <c r="M889" s="1055"/>
      <c r="N889" s="1055"/>
    </row>
    <row r="890" spans="1:14" s="986" customFormat="1" ht="15.75" customHeight="1">
      <c r="A890" s="1055"/>
      <c r="B890" s="1055"/>
      <c r="C890" s="1055"/>
      <c r="D890" s="1055"/>
      <c r="E890" s="1055"/>
      <c r="F890" s="1055"/>
      <c r="G890" s="1055"/>
      <c r="H890" s="1055"/>
      <c r="I890" s="1055"/>
      <c r="J890" s="1055"/>
      <c r="K890" s="1055"/>
      <c r="L890" s="1055"/>
      <c r="M890" s="1055"/>
      <c r="N890" s="1055"/>
    </row>
    <row r="891" spans="1:14" s="986" customFormat="1" ht="15.75" customHeight="1">
      <c r="A891" s="1055"/>
      <c r="B891" s="1055"/>
      <c r="C891" s="1055"/>
      <c r="D891" s="1055"/>
      <c r="E891" s="1055"/>
      <c r="F891" s="1055"/>
      <c r="G891" s="1055"/>
      <c r="H891" s="1055"/>
      <c r="I891" s="1055"/>
      <c r="J891" s="1055"/>
      <c r="K891" s="1055"/>
      <c r="L891" s="1055"/>
      <c r="M891" s="1055"/>
      <c r="N891" s="1055"/>
    </row>
    <row r="892" spans="1:14" s="986" customFormat="1" ht="15.75" customHeight="1">
      <c r="A892" s="1055"/>
      <c r="B892" s="1055"/>
      <c r="C892" s="1055"/>
      <c r="D892" s="1055"/>
      <c r="E892" s="1055"/>
      <c r="F892" s="1055"/>
      <c r="G892" s="1055"/>
      <c r="H892" s="1055"/>
      <c r="I892" s="1055"/>
      <c r="J892" s="1055"/>
      <c r="K892" s="1055"/>
      <c r="L892" s="1055"/>
      <c r="M892" s="1055"/>
      <c r="N892" s="1055"/>
    </row>
    <row r="893" spans="1:14" s="986" customFormat="1" ht="15.75" customHeight="1">
      <c r="A893" s="1055"/>
      <c r="B893" s="1055"/>
      <c r="C893" s="1055"/>
      <c r="D893" s="1055"/>
      <c r="E893" s="1055"/>
      <c r="F893" s="1055"/>
      <c r="G893" s="1055"/>
      <c r="H893" s="1055"/>
      <c r="I893" s="1055"/>
      <c r="J893" s="1055"/>
      <c r="K893" s="1055"/>
      <c r="L893" s="1055"/>
      <c r="M893" s="1055"/>
      <c r="N893" s="1055"/>
    </row>
    <row r="894" spans="1:14" s="986" customFormat="1" ht="15.75" customHeight="1">
      <c r="A894" s="1055"/>
      <c r="B894" s="1055"/>
      <c r="C894" s="1055"/>
      <c r="D894" s="1055"/>
      <c r="E894" s="1055"/>
      <c r="F894" s="1055"/>
      <c r="G894" s="1055"/>
      <c r="H894" s="1055"/>
      <c r="I894" s="1055"/>
      <c r="J894" s="1055"/>
      <c r="K894" s="1055"/>
      <c r="L894" s="1055"/>
      <c r="M894" s="1055"/>
      <c r="N894" s="1055"/>
    </row>
    <row r="895" spans="1:14" s="986" customFormat="1" ht="15.75" customHeight="1">
      <c r="A895" s="1055"/>
      <c r="B895" s="1055"/>
      <c r="C895" s="1055"/>
      <c r="D895" s="1055"/>
      <c r="E895" s="1055"/>
      <c r="F895" s="1055"/>
      <c r="G895" s="1055"/>
      <c r="H895" s="1055"/>
      <c r="I895" s="1055"/>
      <c r="J895" s="1055"/>
      <c r="K895" s="1055"/>
      <c r="L895" s="1055"/>
      <c r="M895" s="1055"/>
      <c r="N895" s="1055"/>
    </row>
    <row r="896" spans="1:14" s="986" customFormat="1" ht="15.75" customHeight="1">
      <c r="A896" s="1055"/>
      <c r="B896" s="1055"/>
      <c r="C896" s="1055"/>
      <c r="D896" s="1055"/>
      <c r="E896" s="1055"/>
      <c r="F896" s="1055"/>
      <c r="G896" s="1055"/>
      <c r="H896" s="1055"/>
      <c r="I896" s="1055"/>
      <c r="J896" s="1055"/>
      <c r="K896" s="1055"/>
      <c r="L896" s="1055"/>
      <c r="M896" s="1055"/>
      <c r="N896" s="1055"/>
    </row>
    <row r="897" spans="1:14" s="986" customFormat="1" ht="15.75" customHeight="1">
      <c r="A897" s="1055"/>
      <c r="B897" s="1055"/>
      <c r="C897" s="1055"/>
      <c r="D897" s="1055"/>
      <c r="E897" s="1055"/>
      <c r="F897" s="1055"/>
      <c r="G897" s="1055"/>
      <c r="H897" s="1055"/>
      <c r="I897" s="1055"/>
      <c r="J897" s="1055"/>
      <c r="K897" s="1055"/>
      <c r="L897" s="1055"/>
      <c r="M897" s="1055"/>
      <c r="N897" s="1055"/>
    </row>
    <row r="898" spans="1:14" s="986" customFormat="1" ht="15.75" customHeight="1">
      <c r="A898" s="1055"/>
      <c r="B898" s="1055"/>
      <c r="C898" s="1055"/>
      <c r="D898" s="1055"/>
      <c r="E898" s="1055"/>
      <c r="F898" s="1055"/>
      <c r="G898" s="1055"/>
      <c r="H898" s="1055"/>
      <c r="I898" s="1055"/>
      <c r="J898" s="1055"/>
      <c r="K898" s="1055"/>
      <c r="L898" s="1055"/>
      <c r="M898" s="1055"/>
      <c r="N898" s="1055"/>
    </row>
    <row r="899" spans="1:14" s="986" customFormat="1" ht="15.75" customHeight="1">
      <c r="A899" s="1055"/>
      <c r="B899" s="1055"/>
      <c r="C899" s="1055"/>
      <c r="D899" s="1055"/>
      <c r="E899" s="1055"/>
      <c r="F899" s="1055"/>
      <c r="G899" s="1055"/>
      <c r="H899" s="1055"/>
      <c r="I899" s="1055"/>
      <c r="J899" s="1055"/>
      <c r="K899" s="1055"/>
      <c r="L899" s="1055"/>
      <c r="M899" s="1055"/>
      <c r="N899" s="1055"/>
    </row>
    <row r="900" spans="1:14" s="986" customFormat="1" ht="15.75" customHeight="1">
      <c r="A900" s="1055"/>
      <c r="B900" s="1055"/>
      <c r="C900" s="1055"/>
      <c r="D900" s="1055"/>
      <c r="E900" s="1055"/>
      <c r="F900" s="1055"/>
      <c r="G900" s="1055"/>
      <c r="H900" s="1055"/>
      <c r="I900" s="1055"/>
      <c r="J900" s="1055"/>
      <c r="K900" s="1055"/>
      <c r="L900" s="1055"/>
      <c r="M900" s="1055"/>
      <c r="N900" s="1055"/>
    </row>
    <row r="901" spans="1:14" s="986" customFormat="1" ht="15.75" customHeight="1">
      <c r="A901" s="1055"/>
      <c r="B901" s="1055"/>
      <c r="C901" s="1055"/>
      <c r="D901" s="1055"/>
      <c r="E901" s="1055"/>
      <c r="F901" s="1055"/>
      <c r="G901" s="1055"/>
      <c r="H901" s="1055"/>
      <c r="I901" s="1055"/>
      <c r="J901" s="1055"/>
      <c r="K901" s="1055"/>
      <c r="L901" s="1055"/>
      <c r="M901" s="1055"/>
      <c r="N901" s="1055"/>
    </row>
    <row r="902" spans="1:14" s="986" customFormat="1" ht="15.75" customHeight="1">
      <c r="A902" s="1055"/>
      <c r="B902" s="1055"/>
      <c r="C902" s="1055"/>
      <c r="D902" s="1055"/>
      <c r="E902" s="1055"/>
      <c r="F902" s="1055"/>
      <c r="G902" s="1055"/>
      <c r="H902" s="1055"/>
      <c r="I902" s="1055"/>
      <c r="J902" s="1055"/>
      <c r="K902" s="1055"/>
      <c r="L902" s="1055"/>
      <c r="M902" s="1055"/>
      <c r="N902" s="1055"/>
    </row>
    <row r="903" spans="1:14" s="986" customFormat="1" ht="15.75" customHeight="1">
      <c r="A903" s="1055"/>
      <c r="B903" s="1055"/>
      <c r="C903" s="1055"/>
      <c r="D903" s="1055"/>
      <c r="E903" s="1055"/>
      <c r="F903" s="1055"/>
      <c r="G903" s="1055"/>
      <c r="H903" s="1055"/>
      <c r="I903" s="1055"/>
      <c r="J903" s="1055"/>
      <c r="K903" s="1055"/>
      <c r="L903" s="1055"/>
      <c r="M903" s="1055"/>
      <c r="N903" s="1055"/>
    </row>
    <row r="904" spans="1:14" s="986" customFormat="1" ht="15.75" customHeight="1">
      <c r="A904" s="1055"/>
      <c r="B904" s="1055"/>
      <c r="C904" s="1055"/>
      <c r="D904" s="1055"/>
      <c r="E904" s="1055"/>
      <c r="F904" s="1055"/>
      <c r="G904" s="1055"/>
      <c r="H904" s="1055"/>
      <c r="I904" s="1055"/>
      <c r="J904" s="1055"/>
      <c r="K904" s="1055"/>
      <c r="L904" s="1055"/>
      <c r="M904" s="1055"/>
      <c r="N904" s="1055"/>
    </row>
    <row r="905" spans="1:14" s="986" customFormat="1" ht="15.75" customHeight="1">
      <c r="A905" s="1055"/>
      <c r="B905" s="1055"/>
      <c r="C905" s="1055"/>
      <c r="D905" s="1055"/>
      <c r="E905" s="1055"/>
      <c r="F905" s="1055"/>
      <c r="G905" s="1055"/>
      <c r="H905" s="1055"/>
      <c r="I905" s="1055"/>
      <c r="J905" s="1055"/>
      <c r="K905" s="1055"/>
      <c r="L905" s="1055"/>
      <c r="M905" s="1055"/>
      <c r="N905" s="1055"/>
    </row>
    <row r="906" spans="1:14" s="986" customFormat="1" ht="15.75" customHeight="1">
      <c r="A906" s="1055"/>
      <c r="B906" s="1055"/>
      <c r="C906" s="1055"/>
      <c r="D906" s="1055"/>
      <c r="E906" s="1055"/>
      <c r="F906" s="1055"/>
      <c r="G906" s="1055"/>
      <c r="H906" s="1055"/>
      <c r="I906" s="1055"/>
      <c r="J906" s="1055"/>
      <c r="K906" s="1055"/>
      <c r="L906" s="1055"/>
      <c r="M906" s="1055"/>
      <c r="N906" s="1055"/>
    </row>
    <row r="907" spans="1:14" s="986" customFormat="1" ht="15.75" customHeight="1">
      <c r="A907" s="1055"/>
      <c r="B907" s="1055"/>
      <c r="C907" s="1055"/>
      <c r="D907" s="1055"/>
      <c r="E907" s="1055"/>
      <c r="F907" s="1055"/>
      <c r="G907" s="1055"/>
      <c r="H907" s="1055"/>
      <c r="I907" s="1055"/>
      <c r="J907" s="1055"/>
      <c r="K907" s="1055"/>
      <c r="L907" s="1055"/>
      <c r="M907" s="1055"/>
      <c r="N907" s="1055"/>
    </row>
    <row r="908" spans="1:14" s="986" customFormat="1" ht="15.75" customHeight="1">
      <c r="A908" s="1055"/>
      <c r="B908" s="1055"/>
      <c r="C908" s="1055"/>
      <c r="D908" s="1055"/>
      <c r="E908" s="1055"/>
      <c r="F908" s="1055"/>
      <c r="G908" s="1055"/>
      <c r="H908" s="1055"/>
      <c r="I908" s="1055"/>
      <c r="J908" s="1055"/>
      <c r="K908" s="1055"/>
      <c r="L908" s="1055"/>
      <c r="M908" s="1055"/>
      <c r="N908" s="1055"/>
    </row>
    <row r="909" spans="1:14" s="986" customFormat="1" ht="15.75" customHeight="1">
      <c r="A909" s="1055"/>
      <c r="B909" s="1055"/>
      <c r="C909" s="1055"/>
      <c r="D909" s="1055"/>
      <c r="E909" s="1055"/>
      <c r="F909" s="1055"/>
      <c r="G909" s="1055"/>
      <c r="H909" s="1055"/>
      <c r="I909" s="1055"/>
      <c r="J909" s="1055"/>
      <c r="K909" s="1055"/>
      <c r="L909" s="1055"/>
      <c r="M909" s="1055"/>
      <c r="N909" s="1055"/>
    </row>
    <row r="910" spans="1:14" s="986" customFormat="1" ht="15.75" customHeight="1">
      <c r="A910" s="1055"/>
      <c r="B910" s="1055"/>
      <c r="C910" s="1055"/>
      <c r="D910" s="1055"/>
      <c r="E910" s="1055"/>
      <c r="F910" s="1055"/>
      <c r="G910" s="1055"/>
      <c r="H910" s="1055"/>
      <c r="I910" s="1055"/>
      <c r="J910" s="1055"/>
      <c r="K910" s="1055"/>
      <c r="L910" s="1055"/>
      <c r="M910" s="1055"/>
      <c r="N910" s="1055"/>
    </row>
    <row r="911" spans="1:14" s="986" customFormat="1" ht="15.75" customHeight="1">
      <c r="A911" s="1055"/>
      <c r="B911" s="1055"/>
      <c r="C911" s="1055"/>
      <c r="D911" s="1055"/>
      <c r="E911" s="1055"/>
      <c r="F911" s="1055"/>
      <c r="G911" s="1055"/>
      <c r="H911" s="1055"/>
      <c r="I911" s="1055"/>
      <c r="J911" s="1055"/>
      <c r="K911" s="1055"/>
      <c r="L911" s="1055"/>
      <c r="M911" s="1055"/>
      <c r="N911" s="1055"/>
    </row>
    <row r="912" spans="1:14" s="986" customFormat="1" ht="15.75" customHeight="1">
      <c r="A912" s="1055"/>
      <c r="B912" s="1055"/>
      <c r="C912" s="1055"/>
      <c r="D912" s="1055"/>
      <c r="E912" s="1055"/>
      <c r="F912" s="1055"/>
      <c r="G912" s="1055"/>
      <c r="H912" s="1055"/>
      <c r="I912" s="1055"/>
      <c r="J912" s="1055"/>
      <c r="K912" s="1055"/>
      <c r="L912" s="1055"/>
      <c r="M912" s="1055"/>
      <c r="N912" s="1055"/>
    </row>
    <row r="913" spans="1:14" s="986" customFormat="1" ht="15.75" customHeight="1">
      <c r="A913" s="1055"/>
      <c r="B913" s="1055"/>
      <c r="C913" s="1055"/>
      <c r="D913" s="1055"/>
      <c r="E913" s="1055"/>
      <c r="F913" s="1055"/>
      <c r="G913" s="1055"/>
      <c r="H913" s="1055"/>
      <c r="I913" s="1055"/>
      <c r="J913" s="1055"/>
      <c r="K913" s="1055"/>
      <c r="L913" s="1055"/>
      <c r="M913" s="1055"/>
      <c r="N913" s="1055"/>
    </row>
    <row r="914" spans="1:14" s="986" customFormat="1" ht="15.75" customHeight="1">
      <c r="A914" s="1055"/>
      <c r="B914" s="1055"/>
      <c r="C914" s="1055"/>
      <c r="D914" s="1055"/>
      <c r="E914" s="1055"/>
      <c r="F914" s="1055"/>
      <c r="G914" s="1055"/>
      <c r="H914" s="1055"/>
      <c r="I914" s="1055"/>
      <c r="J914" s="1055"/>
      <c r="K914" s="1055"/>
      <c r="L914" s="1055"/>
      <c r="M914" s="1055"/>
      <c r="N914" s="1055"/>
    </row>
    <row r="915" spans="1:14" s="986" customFormat="1" ht="15.75" customHeight="1">
      <c r="A915" s="1055"/>
      <c r="B915" s="1055"/>
      <c r="C915" s="1055"/>
      <c r="D915" s="1055"/>
      <c r="E915" s="1055"/>
      <c r="F915" s="1055"/>
      <c r="G915" s="1055"/>
      <c r="H915" s="1055"/>
      <c r="I915" s="1055"/>
      <c r="J915" s="1055"/>
      <c r="K915" s="1055"/>
      <c r="L915" s="1055"/>
      <c r="M915" s="1055"/>
      <c r="N915" s="1055"/>
    </row>
    <row r="916" spans="1:14" s="986" customFormat="1" ht="15.75" customHeight="1">
      <c r="A916" s="1055"/>
      <c r="B916" s="1055"/>
      <c r="C916" s="1055"/>
      <c r="D916" s="1055"/>
      <c r="E916" s="1055"/>
      <c r="F916" s="1055"/>
      <c r="G916" s="1055"/>
      <c r="H916" s="1055"/>
      <c r="I916" s="1055"/>
      <c r="J916" s="1055"/>
      <c r="K916" s="1055"/>
      <c r="L916" s="1055"/>
      <c r="M916" s="1055"/>
      <c r="N916" s="1055"/>
    </row>
    <row r="917" spans="1:14" s="986" customFormat="1" ht="15.75" customHeight="1">
      <c r="A917" s="1055"/>
      <c r="B917" s="1055"/>
      <c r="C917" s="1055"/>
      <c r="D917" s="1055"/>
      <c r="E917" s="1055"/>
      <c r="F917" s="1055"/>
      <c r="G917" s="1055"/>
      <c r="H917" s="1055"/>
      <c r="I917" s="1055"/>
      <c r="J917" s="1055"/>
      <c r="K917" s="1055"/>
      <c r="L917" s="1055"/>
      <c r="M917" s="1055"/>
      <c r="N917" s="1055"/>
    </row>
    <row r="918" spans="1:14" s="986" customFormat="1" ht="15.75" customHeight="1">
      <c r="A918" s="1055"/>
      <c r="B918" s="1055"/>
      <c r="C918" s="1055"/>
      <c r="D918" s="1055"/>
      <c r="E918" s="1055"/>
      <c r="F918" s="1055"/>
      <c r="G918" s="1055"/>
      <c r="H918" s="1055"/>
      <c r="I918" s="1055"/>
      <c r="J918" s="1055"/>
      <c r="K918" s="1055"/>
      <c r="L918" s="1055"/>
      <c r="M918" s="1055"/>
      <c r="N918" s="1055"/>
    </row>
    <row r="919" spans="1:14" s="986" customFormat="1" ht="15.75" customHeight="1">
      <c r="A919" s="1055"/>
      <c r="B919" s="1055"/>
      <c r="C919" s="1055"/>
      <c r="D919" s="1055"/>
      <c r="E919" s="1055"/>
      <c r="F919" s="1055"/>
      <c r="G919" s="1055"/>
      <c r="H919" s="1055"/>
      <c r="I919" s="1055"/>
      <c r="J919" s="1055"/>
      <c r="K919" s="1055"/>
      <c r="L919" s="1055"/>
      <c r="M919" s="1055"/>
      <c r="N919" s="1055"/>
    </row>
    <row r="920" spans="1:14" s="986" customFormat="1" ht="15.75" customHeight="1">
      <c r="A920" s="1055"/>
      <c r="B920" s="1055"/>
      <c r="C920" s="1055"/>
      <c r="D920" s="1055"/>
      <c r="E920" s="1055"/>
      <c r="F920" s="1055"/>
      <c r="G920" s="1055"/>
      <c r="H920" s="1055"/>
      <c r="I920" s="1055"/>
      <c r="J920" s="1055"/>
      <c r="K920" s="1055"/>
      <c r="L920" s="1055"/>
      <c r="M920" s="1055"/>
      <c r="N920" s="1055"/>
    </row>
    <row r="921" spans="1:14" s="986" customFormat="1" ht="15.75" customHeight="1">
      <c r="A921" s="1055"/>
      <c r="B921" s="1055"/>
      <c r="C921" s="1055"/>
      <c r="D921" s="1055"/>
      <c r="E921" s="1055"/>
      <c r="F921" s="1055"/>
      <c r="G921" s="1055"/>
      <c r="H921" s="1055"/>
      <c r="I921" s="1055"/>
      <c r="J921" s="1055"/>
      <c r="K921" s="1055"/>
      <c r="L921" s="1055"/>
      <c r="M921" s="1055"/>
      <c r="N921" s="1055"/>
    </row>
    <row r="922" spans="1:14" s="986" customFormat="1" ht="15.75" customHeight="1">
      <c r="A922" s="1055"/>
      <c r="B922" s="1055"/>
      <c r="C922" s="1055"/>
      <c r="D922" s="1055"/>
      <c r="E922" s="1055"/>
      <c r="F922" s="1055"/>
      <c r="G922" s="1055"/>
      <c r="H922" s="1055"/>
      <c r="I922" s="1055"/>
      <c r="J922" s="1055"/>
      <c r="K922" s="1055"/>
      <c r="L922" s="1055"/>
      <c r="M922" s="1055"/>
      <c r="N922" s="1055"/>
    </row>
    <row r="923" spans="1:14" s="986" customFormat="1" ht="15.75" customHeight="1">
      <c r="A923" s="1055"/>
      <c r="B923" s="1055"/>
      <c r="C923" s="1055"/>
      <c r="D923" s="1055"/>
      <c r="E923" s="1055"/>
      <c r="F923" s="1055"/>
      <c r="G923" s="1055"/>
      <c r="H923" s="1055"/>
      <c r="I923" s="1055"/>
      <c r="J923" s="1055"/>
      <c r="K923" s="1055"/>
      <c r="L923" s="1055"/>
      <c r="M923" s="1055"/>
      <c r="N923" s="1055"/>
    </row>
    <row r="924" spans="1:14" s="986" customFormat="1" ht="15.75" customHeight="1">
      <c r="A924" s="1055"/>
      <c r="B924" s="1055"/>
      <c r="C924" s="1055"/>
      <c r="D924" s="1055"/>
      <c r="E924" s="1055"/>
      <c r="F924" s="1055"/>
      <c r="G924" s="1055"/>
      <c r="H924" s="1055"/>
      <c r="I924" s="1055"/>
      <c r="J924" s="1055"/>
      <c r="K924" s="1055"/>
      <c r="L924" s="1055"/>
      <c r="M924" s="1055"/>
      <c r="N924" s="1055"/>
    </row>
    <row r="925" spans="1:14" s="986" customFormat="1" ht="15.75" customHeight="1">
      <c r="A925" s="1055"/>
      <c r="B925" s="1055"/>
      <c r="C925" s="1055"/>
      <c r="D925" s="1055"/>
      <c r="E925" s="1055"/>
      <c r="F925" s="1055"/>
      <c r="G925" s="1055"/>
      <c r="H925" s="1055"/>
      <c r="I925" s="1055"/>
      <c r="J925" s="1055"/>
      <c r="K925" s="1055"/>
      <c r="L925" s="1055"/>
      <c r="M925" s="1055"/>
      <c r="N925" s="1055"/>
    </row>
    <row r="926" spans="1:14" s="986" customFormat="1" ht="15.75" customHeight="1">
      <c r="A926" s="1055"/>
      <c r="B926" s="1055"/>
      <c r="C926" s="1055"/>
      <c r="D926" s="1055"/>
      <c r="E926" s="1055"/>
      <c r="F926" s="1055"/>
      <c r="G926" s="1055"/>
      <c r="H926" s="1055"/>
      <c r="I926" s="1055"/>
      <c r="J926" s="1055"/>
      <c r="K926" s="1055"/>
      <c r="L926" s="1055"/>
      <c r="M926" s="1055"/>
      <c r="N926" s="1055"/>
    </row>
    <row r="927" spans="1:14" s="986" customFormat="1" ht="15.75" customHeight="1">
      <c r="A927" s="1055"/>
      <c r="B927" s="1055"/>
      <c r="C927" s="1055"/>
      <c r="D927" s="1055"/>
      <c r="E927" s="1055"/>
      <c r="F927" s="1055"/>
      <c r="G927" s="1055"/>
      <c r="H927" s="1055"/>
      <c r="I927" s="1055"/>
      <c r="J927" s="1055"/>
      <c r="K927" s="1055"/>
      <c r="L927" s="1055"/>
      <c r="M927" s="1055"/>
      <c r="N927" s="1055"/>
    </row>
    <row r="928" spans="1:14" s="986" customFormat="1" ht="15.75" customHeight="1">
      <c r="A928" s="1055"/>
      <c r="B928" s="1055"/>
      <c r="C928" s="1055"/>
      <c r="D928" s="1055"/>
      <c r="E928" s="1055"/>
      <c r="F928" s="1055"/>
      <c r="G928" s="1055"/>
      <c r="H928" s="1055"/>
      <c r="I928" s="1055"/>
      <c r="J928" s="1055"/>
      <c r="K928" s="1055"/>
      <c r="L928" s="1055"/>
      <c r="M928" s="1055"/>
      <c r="N928" s="1055"/>
    </row>
    <row r="929" spans="1:14" s="986" customFormat="1" ht="15.75" customHeight="1">
      <c r="A929" s="1055"/>
      <c r="B929" s="1055"/>
      <c r="C929" s="1055"/>
      <c r="D929" s="1055"/>
      <c r="E929" s="1055"/>
      <c r="F929" s="1055"/>
      <c r="G929" s="1055"/>
      <c r="H929" s="1055"/>
      <c r="I929" s="1055"/>
      <c r="J929" s="1055"/>
      <c r="K929" s="1055"/>
      <c r="L929" s="1055"/>
      <c r="M929" s="1055"/>
      <c r="N929" s="1055"/>
    </row>
    <row r="930" spans="1:14" s="986" customFormat="1" ht="15.75" customHeight="1">
      <c r="A930" s="1055"/>
      <c r="B930" s="1055"/>
      <c r="C930" s="1055"/>
      <c r="D930" s="1055"/>
      <c r="E930" s="1055"/>
      <c r="F930" s="1055"/>
      <c r="G930" s="1055"/>
      <c r="H930" s="1055"/>
      <c r="I930" s="1055"/>
      <c r="J930" s="1055"/>
      <c r="K930" s="1055"/>
      <c r="L930" s="1055"/>
      <c r="M930" s="1055"/>
      <c r="N930" s="1055"/>
    </row>
    <row r="931" spans="1:14" s="986" customFormat="1" ht="15.75" customHeight="1">
      <c r="A931" s="1055"/>
      <c r="B931" s="1055"/>
      <c r="C931" s="1055"/>
      <c r="D931" s="1055"/>
      <c r="E931" s="1055"/>
      <c r="F931" s="1055"/>
      <c r="G931" s="1055"/>
      <c r="H931" s="1055"/>
      <c r="I931" s="1055"/>
      <c r="J931" s="1055"/>
      <c r="K931" s="1055"/>
      <c r="L931" s="1055"/>
      <c r="M931" s="1055"/>
      <c r="N931" s="1055"/>
    </row>
    <row r="932" spans="1:14" s="986" customFormat="1" ht="15.75" customHeight="1">
      <c r="A932" s="1055"/>
      <c r="B932" s="1055"/>
      <c r="C932" s="1055"/>
      <c r="D932" s="1055"/>
      <c r="E932" s="1055"/>
      <c r="F932" s="1055"/>
      <c r="G932" s="1055"/>
      <c r="H932" s="1055"/>
      <c r="I932" s="1055"/>
      <c r="J932" s="1055"/>
      <c r="K932" s="1055"/>
      <c r="L932" s="1055"/>
      <c r="M932" s="1055"/>
      <c r="N932" s="1055"/>
    </row>
    <row r="933" spans="1:14" s="986" customFormat="1" ht="15.75" customHeight="1">
      <c r="A933" s="1055"/>
      <c r="B933" s="1055"/>
      <c r="C933" s="1055"/>
      <c r="D933" s="1055"/>
      <c r="E933" s="1055"/>
      <c r="F933" s="1055"/>
      <c r="G933" s="1055"/>
      <c r="H933" s="1055"/>
      <c r="I933" s="1055"/>
      <c r="J933" s="1055"/>
      <c r="K933" s="1055"/>
      <c r="L933" s="1055"/>
      <c r="M933" s="1055"/>
      <c r="N933" s="1055"/>
    </row>
    <row r="934" spans="1:14" s="986" customFormat="1" ht="15.75" customHeight="1">
      <c r="A934" s="1055"/>
      <c r="B934" s="1055"/>
      <c r="C934" s="1055"/>
      <c r="D934" s="1055"/>
      <c r="E934" s="1055"/>
      <c r="F934" s="1055"/>
      <c r="G934" s="1055"/>
      <c r="H934" s="1055"/>
      <c r="I934" s="1055"/>
      <c r="J934" s="1055"/>
      <c r="K934" s="1055"/>
      <c r="L934" s="1055"/>
      <c r="M934" s="1055"/>
      <c r="N934" s="1055"/>
    </row>
    <row r="935" spans="1:14" s="986" customFormat="1" ht="15.75" customHeight="1">
      <c r="A935" s="1055"/>
      <c r="B935" s="1055"/>
      <c r="C935" s="1055"/>
      <c r="D935" s="1055"/>
      <c r="E935" s="1055"/>
      <c r="F935" s="1055"/>
      <c r="G935" s="1055"/>
      <c r="H935" s="1055"/>
      <c r="I935" s="1055"/>
      <c r="J935" s="1055"/>
      <c r="K935" s="1055"/>
      <c r="L935" s="1055"/>
      <c r="M935" s="1055"/>
      <c r="N935" s="1055"/>
    </row>
    <row r="936" spans="1:14" s="986" customFormat="1" ht="15.75" customHeight="1">
      <c r="A936" s="1055"/>
      <c r="B936" s="1055"/>
      <c r="C936" s="1055"/>
      <c r="D936" s="1055"/>
      <c r="E936" s="1055"/>
      <c r="F936" s="1055"/>
      <c r="G936" s="1055"/>
      <c r="H936" s="1055"/>
      <c r="I936" s="1055"/>
      <c r="J936" s="1055"/>
      <c r="K936" s="1055"/>
      <c r="L936" s="1055"/>
      <c r="M936" s="1055"/>
      <c r="N936" s="1055"/>
    </row>
    <row r="937" spans="1:14" s="986" customFormat="1" ht="15.75" customHeight="1">
      <c r="A937" s="1055"/>
      <c r="B937" s="1055"/>
      <c r="C937" s="1055"/>
      <c r="D937" s="1055"/>
      <c r="E937" s="1055"/>
      <c r="F937" s="1055"/>
      <c r="G937" s="1055"/>
      <c r="H937" s="1055"/>
      <c r="I937" s="1055"/>
      <c r="J937" s="1055"/>
      <c r="K937" s="1055"/>
      <c r="L937" s="1055"/>
      <c r="M937" s="1055"/>
      <c r="N937" s="1055"/>
    </row>
    <row r="938" spans="1:14" s="986" customFormat="1" ht="15.75" customHeight="1">
      <c r="A938" s="1055"/>
      <c r="B938" s="1055"/>
      <c r="C938" s="1055"/>
      <c r="D938" s="1055"/>
      <c r="E938" s="1055"/>
      <c r="F938" s="1055"/>
      <c r="G938" s="1055"/>
      <c r="H938" s="1055"/>
      <c r="I938" s="1055"/>
      <c r="J938" s="1055"/>
      <c r="K938" s="1055"/>
      <c r="L938" s="1055"/>
      <c r="M938" s="1055"/>
      <c r="N938" s="1055"/>
    </row>
    <row r="939" spans="1:14" s="986" customFormat="1" ht="15.75" customHeight="1">
      <c r="A939" s="1055"/>
      <c r="B939" s="1055"/>
      <c r="C939" s="1055"/>
      <c r="D939" s="1055"/>
      <c r="E939" s="1055"/>
      <c r="F939" s="1055"/>
      <c r="G939" s="1055"/>
      <c r="H939" s="1055"/>
      <c r="I939" s="1055"/>
      <c r="J939" s="1055"/>
      <c r="K939" s="1055"/>
      <c r="L939" s="1055"/>
      <c r="M939" s="1055"/>
      <c r="N939" s="1055"/>
    </row>
    <row r="940" spans="1:14" s="986" customFormat="1" ht="15.75" customHeight="1">
      <c r="A940" s="1055"/>
      <c r="B940" s="1055"/>
      <c r="C940" s="1055"/>
      <c r="D940" s="1055"/>
      <c r="E940" s="1055"/>
      <c r="F940" s="1055"/>
      <c r="G940" s="1055"/>
      <c r="H940" s="1055"/>
      <c r="I940" s="1055"/>
      <c r="J940" s="1055"/>
      <c r="K940" s="1055"/>
      <c r="L940" s="1055"/>
      <c r="M940" s="1055"/>
      <c r="N940" s="1055"/>
    </row>
    <row r="941" spans="1:14" s="986" customFormat="1" ht="15.75" customHeight="1">
      <c r="A941" s="1055"/>
      <c r="B941" s="1055"/>
      <c r="C941" s="1055"/>
      <c r="D941" s="1055"/>
      <c r="E941" s="1055"/>
      <c r="F941" s="1055"/>
      <c r="G941" s="1055"/>
      <c r="H941" s="1055"/>
      <c r="I941" s="1055"/>
      <c r="J941" s="1055"/>
      <c r="K941" s="1055"/>
      <c r="L941" s="1055"/>
      <c r="M941" s="1055"/>
      <c r="N941" s="1055"/>
    </row>
    <row r="942" spans="1:14" s="986" customFormat="1" ht="15.75" customHeight="1">
      <c r="A942" s="1055"/>
      <c r="B942" s="1055"/>
      <c r="C942" s="1055"/>
      <c r="D942" s="1055"/>
      <c r="E942" s="1055"/>
      <c r="F942" s="1055"/>
      <c r="G942" s="1055"/>
      <c r="H942" s="1055"/>
      <c r="I942" s="1055"/>
      <c r="J942" s="1055"/>
      <c r="K942" s="1055"/>
      <c r="L942" s="1055"/>
      <c r="M942" s="1055"/>
      <c r="N942" s="1055"/>
    </row>
    <row r="943" spans="1:14" s="986" customFormat="1" ht="15.75" customHeight="1">
      <c r="A943" s="1055"/>
      <c r="B943" s="1055"/>
      <c r="C943" s="1055"/>
      <c r="D943" s="1055"/>
      <c r="E943" s="1055"/>
      <c r="F943" s="1055"/>
      <c r="G943" s="1055"/>
      <c r="H943" s="1055"/>
      <c r="I943" s="1055"/>
      <c r="J943" s="1055"/>
      <c r="K943" s="1055"/>
      <c r="L943" s="1055"/>
      <c r="M943" s="1055"/>
      <c r="N943" s="1055"/>
    </row>
    <row r="944" spans="1:14" s="986" customFormat="1" ht="15.75" customHeight="1">
      <c r="A944" s="1055"/>
      <c r="B944" s="1055"/>
      <c r="C944" s="1055"/>
      <c r="D944" s="1055"/>
      <c r="E944" s="1055"/>
      <c r="F944" s="1055"/>
      <c r="G944" s="1055"/>
      <c r="H944" s="1055"/>
      <c r="I944" s="1055"/>
      <c r="J944" s="1055"/>
      <c r="K944" s="1055"/>
      <c r="L944" s="1055"/>
      <c r="M944" s="1055"/>
      <c r="N944" s="1055"/>
    </row>
    <row r="945" spans="1:14" s="986" customFormat="1" ht="15.75" customHeight="1">
      <c r="A945" s="1055"/>
      <c r="B945" s="1055"/>
      <c r="C945" s="1055"/>
      <c r="D945" s="1055"/>
      <c r="E945" s="1055"/>
      <c r="F945" s="1055"/>
      <c r="G945" s="1055"/>
      <c r="H945" s="1055"/>
      <c r="I945" s="1055"/>
      <c r="J945" s="1055"/>
      <c r="K945" s="1055"/>
      <c r="L945" s="1055"/>
      <c r="M945" s="1055"/>
      <c r="N945" s="1055"/>
    </row>
    <row r="946" spans="1:14" s="986" customFormat="1" ht="15.75" customHeight="1">
      <c r="A946" s="1055"/>
      <c r="B946" s="1055"/>
      <c r="C946" s="1055"/>
      <c r="D946" s="1055"/>
      <c r="E946" s="1055"/>
      <c r="F946" s="1055"/>
      <c r="G946" s="1055"/>
      <c r="H946" s="1055"/>
      <c r="I946" s="1055"/>
      <c r="J946" s="1055"/>
      <c r="K946" s="1055"/>
      <c r="L946" s="1055"/>
      <c r="M946" s="1055"/>
      <c r="N946" s="1055"/>
    </row>
    <row r="947" spans="1:14" s="986" customFormat="1" ht="15.75" customHeight="1">
      <c r="A947" s="1055"/>
      <c r="B947" s="1055"/>
      <c r="C947" s="1055"/>
      <c r="D947" s="1055"/>
      <c r="E947" s="1055"/>
      <c r="F947" s="1055"/>
      <c r="G947" s="1055"/>
      <c r="H947" s="1055"/>
      <c r="I947" s="1055"/>
      <c r="J947" s="1055"/>
      <c r="K947" s="1055"/>
      <c r="L947" s="1055"/>
      <c r="M947" s="1055"/>
      <c r="N947" s="1055"/>
    </row>
    <row r="948" spans="1:14" s="986" customFormat="1" ht="15.75" customHeight="1">
      <c r="A948" s="1055"/>
      <c r="B948" s="1055"/>
      <c r="C948" s="1055"/>
      <c r="D948" s="1055"/>
      <c r="E948" s="1055"/>
      <c r="F948" s="1055"/>
      <c r="G948" s="1055"/>
      <c r="H948" s="1055"/>
      <c r="I948" s="1055"/>
      <c r="J948" s="1055"/>
      <c r="K948" s="1055"/>
      <c r="L948" s="1055"/>
      <c r="M948" s="1055"/>
      <c r="N948" s="1055"/>
    </row>
    <row r="949" spans="1:14" s="986" customFormat="1" ht="15.75" customHeight="1">
      <c r="A949" s="1055"/>
      <c r="B949" s="1055"/>
      <c r="C949" s="1055"/>
      <c r="D949" s="1055"/>
      <c r="E949" s="1055"/>
      <c r="F949" s="1055"/>
      <c r="G949" s="1055"/>
      <c r="H949" s="1055"/>
      <c r="I949" s="1055"/>
      <c r="J949" s="1055"/>
      <c r="K949" s="1055"/>
      <c r="L949" s="1055"/>
      <c r="M949" s="1055"/>
      <c r="N949" s="1055"/>
    </row>
    <row r="950" spans="1:14" s="986" customFormat="1" ht="15.75" customHeight="1">
      <c r="A950" s="1055"/>
      <c r="B950" s="1055"/>
      <c r="C950" s="1055"/>
      <c r="D950" s="1055"/>
      <c r="E950" s="1055"/>
      <c r="F950" s="1055"/>
      <c r="G950" s="1055"/>
      <c r="H950" s="1055"/>
      <c r="I950" s="1055"/>
      <c r="J950" s="1055"/>
      <c r="K950" s="1055"/>
      <c r="L950" s="1055"/>
      <c r="M950" s="1055"/>
      <c r="N950" s="1055"/>
    </row>
    <row r="951" spans="1:14" s="986" customFormat="1" ht="15.75" customHeight="1">
      <c r="A951" s="1055"/>
      <c r="B951" s="1055"/>
      <c r="C951" s="1055"/>
      <c r="D951" s="1055"/>
      <c r="E951" s="1055"/>
      <c r="F951" s="1055"/>
      <c r="G951" s="1055"/>
      <c r="H951" s="1055"/>
      <c r="I951" s="1055"/>
      <c r="J951" s="1055"/>
      <c r="K951" s="1055"/>
      <c r="L951" s="1055"/>
      <c r="M951" s="1055"/>
      <c r="N951" s="1055"/>
    </row>
    <row r="952" spans="1:14" s="986" customFormat="1" ht="15.75" customHeight="1">
      <c r="A952" s="1055"/>
      <c r="B952" s="1055"/>
      <c r="C952" s="1055"/>
      <c r="D952" s="1055"/>
      <c r="E952" s="1055"/>
      <c r="F952" s="1055"/>
      <c r="G952" s="1055"/>
      <c r="H952" s="1055"/>
      <c r="I952" s="1055"/>
      <c r="J952" s="1055"/>
      <c r="K952" s="1055"/>
      <c r="L952" s="1055"/>
      <c r="M952" s="1055"/>
      <c r="N952" s="1055"/>
    </row>
    <row r="953" spans="1:14" s="986" customFormat="1" ht="15.75" customHeight="1">
      <c r="A953" s="1055"/>
      <c r="B953" s="1055"/>
      <c r="C953" s="1055"/>
      <c r="D953" s="1055"/>
      <c r="E953" s="1055"/>
      <c r="F953" s="1055"/>
      <c r="G953" s="1055"/>
      <c r="H953" s="1055"/>
      <c r="I953" s="1055"/>
      <c r="J953" s="1055"/>
      <c r="K953" s="1055"/>
      <c r="L953" s="1055"/>
      <c r="M953" s="1055"/>
      <c r="N953" s="1055"/>
    </row>
    <row r="954" spans="1:14" s="986" customFormat="1" ht="15.75" customHeight="1">
      <c r="A954" s="1055"/>
      <c r="B954" s="1055"/>
      <c r="C954" s="1055"/>
      <c r="D954" s="1055"/>
      <c r="E954" s="1055"/>
      <c r="F954" s="1055"/>
      <c r="G954" s="1055"/>
      <c r="H954" s="1055"/>
      <c r="I954" s="1055"/>
      <c r="J954" s="1055"/>
      <c r="K954" s="1055"/>
      <c r="L954" s="1055"/>
      <c r="M954" s="1055"/>
      <c r="N954" s="1055"/>
    </row>
    <row r="955" spans="1:14" s="986" customFormat="1" ht="15.75" customHeight="1">
      <c r="A955" s="1055"/>
      <c r="B955" s="1055"/>
      <c r="C955" s="1055"/>
      <c r="D955" s="1055"/>
      <c r="E955" s="1055"/>
      <c r="F955" s="1055"/>
      <c r="G955" s="1055"/>
      <c r="H955" s="1055"/>
      <c r="I955" s="1055"/>
      <c r="J955" s="1055"/>
      <c r="K955" s="1055"/>
      <c r="L955" s="1055"/>
      <c r="M955" s="1055"/>
      <c r="N955" s="1055"/>
    </row>
    <row r="956" spans="1:14" s="986" customFormat="1" ht="15.75" customHeight="1">
      <c r="A956" s="1055"/>
      <c r="B956" s="1055"/>
      <c r="C956" s="1055"/>
      <c r="D956" s="1055"/>
      <c r="E956" s="1055"/>
      <c r="F956" s="1055"/>
      <c r="G956" s="1055"/>
      <c r="H956" s="1055"/>
      <c r="I956" s="1055"/>
      <c r="J956" s="1055"/>
      <c r="K956" s="1055"/>
      <c r="L956" s="1055"/>
      <c r="M956" s="1055"/>
      <c r="N956" s="1055"/>
    </row>
    <row r="957" spans="1:14" s="986" customFormat="1" ht="15.75" customHeight="1">
      <c r="A957" s="1055"/>
      <c r="B957" s="1055"/>
      <c r="C957" s="1055"/>
      <c r="D957" s="1055"/>
      <c r="E957" s="1055"/>
      <c r="F957" s="1055"/>
      <c r="G957" s="1055"/>
      <c r="H957" s="1055"/>
      <c r="I957" s="1055"/>
      <c r="J957" s="1055"/>
      <c r="K957" s="1055"/>
      <c r="L957" s="1055"/>
      <c r="M957" s="1055"/>
      <c r="N957" s="1055"/>
    </row>
    <row r="958" spans="1:14" s="986" customFormat="1" ht="15.75" customHeight="1">
      <c r="A958" s="1055"/>
      <c r="B958" s="1055"/>
      <c r="C958" s="1055"/>
      <c r="D958" s="1055"/>
      <c r="E958" s="1055"/>
      <c r="F958" s="1055"/>
      <c r="G958" s="1055"/>
      <c r="H958" s="1055"/>
      <c r="I958" s="1055"/>
      <c r="J958" s="1055"/>
      <c r="K958" s="1055"/>
      <c r="L958" s="1055"/>
      <c r="M958" s="1055"/>
      <c r="N958" s="1055"/>
    </row>
    <row r="959" spans="1:14" s="986" customFormat="1" ht="15.75" customHeight="1">
      <c r="A959" s="1055"/>
      <c r="B959" s="1055"/>
      <c r="C959" s="1055"/>
      <c r="D959" s="1055"/>
      <c r="E959" s="1055"/>
      <c r="F959" s="1055"/>
      <c r="G959" s="1055"/>
      <c r="H959" s="1055"/>
      <c r="I959" s="1055"/>
      <c r="J959" s="1055"/>
      <c r="K959" s="1055"/>
      <c r="L959" s="1055"/>
      <c r="M959" s="1055"/>
      <c r="N959" s="1055"/>
    </row>
    <row r="960" spans="1:14" s="986" customFormat="1" ht="15.75" customHeight="1">
      <c r="A960" s="1055"/>
      <c r="B960" s="1055"/>
      <c r="C960" s="1055"/>
      <c r="D960" s="1055"/>
      <c r="E960" s="1055"/>
      <c r="F960" s="1055"/>
      <c r="G960" s="1055"/>
      <c r="H960" s="1055"/>
      <c r="I960" s="1055"/>
      <c r="J960" s="1055"/>
      <c r="K960" s="1055"/>
      <c r="L960" s="1055"/>
      <c r="M960" s="1055"/>
      <c r="N960" s="1055"/>
    </row>
    <row r="961" spans="1:14" s="986" customFormat="1" ht="15.75" customHeight="1">
      <c r="A961" s="1055"/>
      <c r="B961" s="1055"/>
      <c r="C961" s="1055"/>
      <c r="D961" s="1055"/>
      <c r="E961" s="1055"/>
      <c r="F961" s="1055"/>
      <c r="G961" s="1055"/>
      <c r="H961" s="1055"/>
      <c r="I961" s="1055"/>
      <c r="J961" s="1055"/>
      <c r="K961" s="1055"/>
      <c r="L961" s="1055"/>
      <c r="M961" s="1055"/>
      <c r="N961" s="1055"/>
    </row>
    <row r="962" spans="1:14" s="986" customFormat="1" ht="15.75" customHeight="1">
      <c r="A962" s="1055"/>
      <c r="B962" s="1055"/>
      <c r="C962" s="1055"/>
      <c r="D962" s="1055"/>
      <c r="E962" s="1055"/>
      <c r="F962" s="1055"/>
      <c r="G962" s="1055"/>
      <c r="H962" s="1055"/>
      <c r="I962" s="1055"/>
      <c r="J962" s="1055"/>
      <c r="K962" s="1055"/>
      <c r="L962" s="1055"/>
      <c r="M962" s="1055"/>
      <c r="N962" s="1055"/>
    </row>
    <row r="963" spans="1:14" s="986" customFormat="1" ht="15.75" customHeight="1">
      <c r="A963" s="1055"/>
      <c r="B963" s="1055"/>
      <c r="C963" s="1055"/>
      <c r="D963" s="1055"/>
      <c r="E963" s="1055"/>
      <c r="F963" s="1055"/>
      <c r="G963" s="1055"/>
      <c r="H963" s="1055"/>
      <c r="I963" s="1055"/>
      <c r="J963" s="1055"/>
      <c r="K963" s="1055"/>
      <c r="L963" s="1055"/>
      <c r="M963" s="1055"/>
      <c r="N963" s="1055"/>
    </row>
    <row r="964" spans="1:14" s="986" customFormat="1" ht="15.75" customHeight="1">
      <c r="A964" s="1055"/>
      <c r="B964" s="1055"/>
      <c r="C964" s="1055"/>
      <c r="D964" s="1055"/>
      <c r="E964" s="1055"/>
      <c r="F964" s="1055"/>
      <c r="G964" s="1055"/>
      <c r="H964" s="1055"/>
      <c r="I964" s="1055"/>
      <c r="J964" s="1055"/>
      <c r="K964" s="1055"/>
      <c r="L964" s="1055"/>
      <c r="M964" s="1055"/>
      <c r="N964" s="1055"/>
    </row>
    <row r="965" spans="1:14" s="986" customFormat="1" ht="15.75" customHeight="1">
      <c r="A965" s="1055"/>
      <c r="B965" s="1055"/>
      <c r="C965" s="1055"/>
      <c r="D965" s="1055"/>
      <c r="E965" s="1055"/>
      <c r="F965" s="1055"/>
      <c r="G965" s="1055"/>
      <c r="H965" s="1055"/>
      <c r="I965" s="1055"/>
      <c r="J965" s="1055"/>
      <c r="K965" s="1055"/>
      <c r="L965" s="1055"/>
      <c r="M965" s="1055"/>
      <c r="N965" s="1055"/>
    </row>
    <row r="966" spans="1:14" s="986" customFormat="1" ht="15.75" customHeight="1">
      <c r="A966" s="1055"/>
      <c r="B966" s="1055"/>
      <c r="C966" s="1055"/>
      <c r="D966" s="1055"/>
      <c r="E966" s="1055"/>
      <c r="F966" s="1055"/>
      <c r="G966" s="1055"/>
      <c r="H966" s="1055"/>
      <c r="I966" s="1055"/>
      <c r="J966" s="1055"/>
      <c r="K966" s="1055"/>
      <c r="L966" s="1055"/>
      <c r="M966" s="1055"/>
      <c r="N966" s="1055"/>
    </row>
    <row r="967" spans="1:14" s="986" customFormat="1" ht="15.75" customHeight="1">
      <c r="A967" s="1055"/>
      <c r="B967" s="1055"/>
      <c r="C967" s="1055"/>
      <c r="D967" s="1055"/>
      <c r="E967" s="1055"/>
      <c r="F967" s="1055"/>
      <c r="G967" s="1055"/>
      <c r="H967" s="1055"/>
      <c r="I967" s="1055"/>
      <c r="J967" s="1055"/>
      <c r="K967" s="1055"/>
      <c r="L967" s="1055"/>
      <c r="M967" s="1055"/>
      <c r="N967" s="1055"/>
    </row>
    <row r="968" spans="1:14" s="986" customFormat="1" ht="15.75" customHeight="1">
      <c r="A968" s="1055"/>
      <c r="B968" s="1055"/>
      <c r="C968" s="1055"/>
      <c r="D968" s="1055"/>
      <c r="E968" s="1055"/>
      <c r="F968" s="1055"/>
      <c r="G968" s="1055"/>
      <c r="H968" s="1055"/>
      <c r="I968" s="1055"/>
      <c r="J968" s="1055"/>
      <c r="K968" s="1055"/>
      <c r="L968" s="1055"/>
      <c r="M968" s="1055"/>
      <c r="N968" s="1055"/>
    </row>
    <row r="969" spans="1:14" s="986" customFormat="1" ht="15.75" customHeight="1">
      <c r="A969" s="1055"/>
      <c r="B969" s="1055"/>
      <c r="C969" s="1055"/>
      <c r="D969" s="1055"/>
      <c r="E969" s="1055"/>
      <c r="F969" s="1055"/>
      <c r="G969" s="1055"/>
      <c r="H969" s="1055"/>
      <c r="I969" s="1055"/>
      <c r="J969" s="1055"/>
      <c r="K969" s="1055"/>
      <c r="L969" s="1055"/>
      <c r="M969" s="1055"/>
      <c r="N969" s="1055"/>
    </row>
    <row r="970" spans="1:14" s="986" customFormat="1" ht="15.75" customHeight="1">
      <c r="A970" s="1055"/>
      <c r="B970" s="1055"/>
      <c r="C970" s="1055"/>
      <c r="D970" s="1055"/>
      <c r="E970" s="1055"/>
      <c r="F970" s="1055"/>
      <c r="G970" s="1055"/>
      <c r="H970" s="1055"/>
      <c r="I970" s="1055"/>
      <c r="J970" s="1055"/>
      <c r="K970" s="1055"/>
      <c r="L970" s="1055"/>
      <c r="M970" s="1055"/>
      <c r="N970" s="1055"/>
    </row>
    <row r="971" spans="1:14" s="986" customFormat="1" ht="15.75" customHeight="1">
      <c r="A971" s="1055"/>
      <c r="B971" s="1055"/>
      <c r="C971" s="1055"/>
      <c r="D971" s="1055"/>
      <c r="E971" s="1055"/>
      <c r="F971" s="1055"/>
      <c r="G971" s="1055"/>
      <c r="H971" s="1055"/>
      <c r="I971" s="1055"/>
      <c r="J971" s="1055"/>
      <c r="K971" s="1055"/>
      <c r="L971" s="1055"/>
      <c r="M971" s="1055"/>
      <c r="N971" s="1055"/>
    </row>
    <row r="972" spans="1:14" s="986" customFormat="1" ht="15.75" customHeight="1">
      <c r="A972" s="1055"/>
      <c r="B972" s="1055"/>
      <c r="C972" s="1055"/>
      <c r="D972" s="1055"/>
      <c r="E972" s="1055"/>
      <c r="F972" s="1055"/>
      <c r="G972" s="1055"/>
      <c r="H972" s="1055"/>
      <c r="I972" s="1055"/>
      <c r="J972" s="1055"/>
      <c r="K972" s="1055"/>
      <c r="L972" s="1055"/>
      <c r="M972" s="1055"/>
      <c r="N972" s="1055"/>
    </row>
    <row r="973" spans="1:14" s="986" customFormat="1" ht="15.75" customHeight="1">
      <c r="A973" s="1055"/>
      <c r="B973" s="1055"/>
      <c r="C973" s="1055"/>
      <c r="D973" s="1055"/>
      <c r="E973" s="1055"/>
      <c r="F973" s="1055"/>
      <c r="G973" s="1055"/>
      <c r="H973" s="1055"/>
      <c r="I973" s="1055"/>
      <c r="J973" s="1055"/>
      <c r="K973" s="1055"/>
      <c r="L973" s="1055"/>
      <c r="M973" s="1055"/>
      <c r="N973" s="1055"/>
    </row>
    <row r="974" spans="1:14" s="986" customFormat="1" ht="15.75" customHeight="1">
      <c r="A974" s="1055"/>
      <c r="B974" s="1055"/>
      <c r="C974" s="1055"/>
      <c r="D974" s="1055"/>
      <c r="E974" s="1055"/>
      <c r="F974" s="1055"/>
      <c r="G974" s="1055"/>
      <c r="H974" s="1055"/>
      <c r="I974" s="1055"/>
      <c r="J974" s="1055"/>
      <c r="K974" s="1055"/>
      <c r="L974" s="1055"/>
      <c r="M974" s="1055"/>
      <c r="N974" s="1055"/>
    </row>
    <row r="975" spans="1:14" s="986" customFormat="1" ht="15.75" customHeight="1">
      <c r="A975" s="1055"/>
      <c r="B975" s="1055"/>
      <c r="C975" s="1055"/>
      <c r="D975" s="1055"/>
      <c r="E975" s="1055"/>
      <c r="F975" s="1055"/>
      <c r="G975" s="1055"/>
      <c r="H975" s="1055"/>
      <c r="I975" s="1055"/>
      <c r="J975" s="1055"/>
      <c r="K975" s="1055"/>
      <c r="L975" s="1055"/>
      <c r="M975" s="1055"/>
      <c r="N975" s="1055"/>
    </row>
    <row r="976" spans="1:14" s="986" customFormat="1" ht="15.75" customHeight="1">
      <c r="A976" s="1055"/>
      <c r="B976" s="1055"/>
      <c r="C976" s="1055"/>
      <c r="D976" s="1055"/>
      <c r="E976" s="1055"/>
      <c r="F976" s="1055"/>
      <c r="G976" s="1055"/>
      <c r="H976" s="1055"/>
      <c r="I976" s="1055"/>
      <c r="J976" s="1055"/>
      <c r="K976" s="1055"/>
      <c r="L976" s="1055"/>
      <c r="M976" s="1055"/>
      <c r="N976" s="1055"/>
    </row>
    <row r="977" spans="1:14" s="986" customFormat="1" ht="15.75" customHeight="1">
      <c r="A977" s="1055"/>
      <c r="B977" s="1055"/>
      <c r="C977" s="1055"/>
      <c r="D977" s="1055"/>
      <c r="E977" s="1055"/>
      <c r="F977" s="1055"/>
      <c r="G977" s="1055"/>
      <c r="H977" s="1055"/>
      <c r="I977" s="1055"/>
      <c r="J977" s="1055"/>
      <c r="K977" s="1055"/>
      <c r="L977" s="1055"/>
      <c r="M977" s="1055"/>
      <c r="N977" s="1055"/>
    </row>
    <row r="978" spans="1:14" s="986" customFormat="1" ht="15.75" customHeight="1">
      <c r="A978" s="1055"/>
      <c r="B978" s="1055"/>
      <c r="C978" s="1055"/>
      <c r="D978" s="1055"/>
      <c r="E978" s="1055"/>
      <c r="F978" s="1055"/>
      <c r="G978" s="1055"/>
      <c r="H978" s="1055"/>
      <c r="I978" s="1055"/>
      <c r="J978" s="1055"/>
      <c r="K978" s="1055"/>
      <c r="L978" s="1055"/>
      <c r="M978" s="1055"/>
      <c r="N978" s="1055"/>
    </row>
    <row r="979" spans="1:14" s="986" customFormat="1" ht="15.75" customHeight="1">
      <c r="A979" s="1055"/>
      <c r="B979" s="1055"/>
      <c r="C979" s="1055"/>
      <c r="D979" s="1055"/>
      <c r="E979" s="1055"/>
      <c r="F979" s="1055"/>
      <c r="G979" s="1055"/>
      <c r="H979" s="1055"/>
      <c r="I979" s="1055"/>
      <c r="J979" s="1055"/>
      <c r="K979" s="1055"/>
      <c r="L979" s="1055"/>
      <c r="M979" s="1055"/>
      <c r="N979" s="1055"/>
    </row>
    <row r="980" spans="1:14" s="986" customFormat="1" ht="15.75" customHeight="1">
      <c r="A980" s="1055"/>
      <c r="B980" s="1055"/>
      <c r="C980" s="1055"/>
      <c r="D980" s="1055"/>
      <c r="E980" s="1055"/>
      <c r="F980" s="1055"/>
      <c r="G980" s="1055"/>
      <c r="H980" s="1055"/>
      <c r="I980" s="1055"/>
      <c r="J980" s="1055"/>
      <c r="K980" s="1055"/>
      <c r="L980" s="1055"/>
      <c r="M980" s="1055"/>
      <c r="N980" s="1055"/>
    </row>
    <row r="981" spans="1:14" s="986" customFormat="1" ht="15.75" customHeight="1">
      <c r="A981" s="1055"/>
      <c r="B981" s="1055"/>
      <c r="C981" s="1055"/>
      <c r="D981" s="1055"/>
      <c r="E981" s="1055"/>
      <c r="F981" s="1055"/>
      <c r="G981" s="1055"/>
      <c r="H981" s="1055"/>
      <c r="I981" s="1055"/>
      <c r="J981" s="1055"/>
      <c r="K981" s="1055"/>
      <c r="L981" s="1055"/>
      <c r="M981" s="1055"/>
      <c r="N981" s="1055"/>
    </row>
    <row r="982" spans="1:14" s="986" customFormat="1" ht="15.75" customHeight="1">
      <c r="A982" s="1055"/>
      <c r="B982" s="1055"/>
      <c r="C982" s="1055"/>
      <c r="D982" s="1055"/>
      <c r="E982" s="1055"/>
      <c r="F982" s="1055"/>
      <c r="G982" s="1055"/>
      <c r="H982" s="1055"/>
      <c r="I982" s="1055"/>
      <c r="J982" s="1055"/>
      <c r="K982" s="1055"/>
      <c r="L982" s="1055"/>
      <c r="M982" s="1055"/>
      <c r="N982" s="1055"/>
    </row>
    <row r="983" spans="1:14" s="986" customFormat="1" ht="15.75" customHeight="1">
      <c r="A983" s="1055"/>
      <c r="B983" s="1055"/>
      <c r="C983" s="1055"/>
      <c r="D983" s="1055"/>
      <c r="E983" s="1055"/>
      <c r="F983" s="1055"/>
      <c r="G983" s="1055"/>
      <c r="H983" s="1055"/>
      <c r="I983" s="1055"/>
      <c r="J983" s="1055"/>
      <c r="K983" s="1055"/>
      <c r="L983" s="1055"/>
      <c r="M983" s="1055"/>
      <c r="N983" s="1055"/>
    </row>
    <row r="984" spans="1:14" s="986" customFormat="1" ht="15.75" customHeight="1">
      <c r="A984" s="1055"/>
      <c r="B984" s="1055"/>
      <c r="C984" s="1055"/>
      <c r="D984" s="1055"/>
      <c r="E984" s="1055"/>
      <c r="F984" s="1055"/>
      <c r="G984" s="1055"/>
      <c r="H984" s="1055"/>
      <c r="I984" s="1055"/>
      <c r="J984" s="1055"/>
      <c r="K984" s="1055"/>
      <c r="L984" s="1055"/>
      <c r="M984" s="1055"/>
      <c r="N984" s="1055"/>
    </row>
    <row r="985" spans="1:14" s="986" customFormat="1" ht="15.75" customHeight="1">
      <c r="A985" s="1055"/>
      <c r="B985" s="1055"/>
      <c r="C985" s="1055"/>
      <c r="D985" s="1055"/>
      <c r="E985" s="1055"/>
      <c r="F985" s="1055"/>
      <c r="G985" s="1055"/>
      <c r="H985" s="1055"/>
      <c r="I985" s="1055"/>
      <c r="J985" s="1055"/>
      <c r="K985" s="1055"/>
      <c r="L985" s="1055"/>
      <c r="M985" s="1055"/>
      <c r="N985" s="1055"/>
    </row>
    <row r="986" spans="1:14" s="986" customFormat="1" ht="15.75" customHeight="1">
      <c r="A986" s="1055"/>
      <c r="B986" s="1055"/>
      <c r="C986" s="1055"/>
      <c r="D986" s="1055"/>
      <c r="E986" s="1055"/>
      <c r="F986" s="1055"/>
      <c r="G986" s="1055"/>
      <c r="H986" s="1055"/>
      <c r="I986" s="1055"/>
      <c r="J986" s="1055"/>
      <c r="K986" s="1055"/>
      <c r="L986" s="1055"/>
      <c r="M986" s="1055"/>
      <c r="N986" s="1055"/>
    </row>
    <row r="987" spans="1:14" s="986" customFormat="1" ht="15.75" customHeight="1">
      <c r="A987" s="1055"/>
      <c r="B987" s="1055"/>
      <c r="C987" s="1055"/>
      <c r="D987" s="1055"/>
      <c r="E987" s="1055"/>
      <c r="F987" s="1055"/>
      <c r="G987" s="1055"/>
      <c r="H987" s="1055"/>
      <c r="I987" s="1055"/>
      <c r="J987" s="1055"/>
      <c r="K987" s="1055"/>
      <c r="L987" s="1055"/>
      <c r="M987" s="1055"/>
      <c r="N987" s="1055"/>
    </row>
    <row r="988" spans="1:14" s="986" customFormat="1" ht="15.75" customHeight="1">
      <c r="A988" s="1055"/>
      <c r="B988" s="1055"/>
      <c r="C988" s="1055"/>
      <c r="D988" s="1055"/>
      <c r="E988" s="1055"/>
      <c r="F988" s="1055"/>
      <c r="G988" s="1055"/>
      <c r="H988" s="1055"/>
      <c r="I988" s="1055"/>
      <c r="J988" s="1055"/>
      <c r="K988" s="1055"/>
      <c r="L988" s="1055"/>
      <c r="M988" s="1055"/>
      <c r="N988" s="1055"/>
    </row>
    <row r="989" spans="1:14" s="986" customFormat="1" ht="15.75" customHeight="1">
      <c r="A989" s="1055"/>
      <c r="B989" s="1055"/>
      <c r="C989" s="1055"/>
      <c r="D989" s="1055"/>
      <c r="E989" s="1055"/>
      <c r="F989" s="1055"/>
      <c r="G989" s="1055"/>
      <c r="H989" s="1055"/>
      <c r="I989" s="1055"/>
      <c r="J989" s="1055"/>
      <c r="K989" s="1055"/>
      <c r="L989" s="1055"/>
      <c r="M989" s="1055"/>
      <c r="N989" s="1055"/>
    </row>
    <row r="990" spans="1:14" s="986" customFormat="1" ht="15.75" customHeight="1">
      <c r="A990" s="1055"/>
      <c r="B990" s="1055"/>
      <c r="C990" s="1055"/>
      <c r="D990" s="1055"/>
      <c r="E990" s="1055"/>
      <c r="F990" s="1055"/>
      <c r="G990" s="1055"/>
      <c r="H990" s="1055"/>
      <c r="I990" s="1055"/>
      <c r="J990" s="1055"/>
      <c r="K990" s="1055"/>
      <c r="L990" s="1055"/>
      <c r="M990" s="1055"/>
      <c r="N990" s="1055"/>
    </row>
    <row r="991" spans="1:14" s="986" customFormat="1" ht="15.75" customHeight="1">
      <c r="A991" s="1055"/>
      <c r="B991" s="1055"/>
      <c r="C991" s="1055"/>
      <c r="D991" s="1055"/>
      <c r="E991" s="1055"/>
      <c r="F991" s="1055"/>
      <c r="G991" s="1055"/>
      <c r="H991" s="1055"/>
      <c r="I991" s="1055"/>
      <c r="J991" s="1055"/>
      <c r="K991" s="1055"/>
      <c r="L991" s="1055"/>
      <c r="M991" s="1055"/>
      <c r="N991" s="1055"/>
    </row>
    <row r="992" spans="1:14" s="986" customFormat="1" ht="15.75" customHeight="1">
      <c r="A992" s="1055"/>
      <c r="B992" s="1055"/>
      <c r="C992" s="1055"/>
      <c r="D992" s="1055"/>
      <c r="E992" s="1055"/>
      <c r="F992" s="1055"/>
      <c r="G992" s="1055"/>
      <c r="H992" s="1055"/>
      <c r="I992" s="1055"/>
      <c r="J992" s="1055"/>
      <c r="K992" s="1055"/>
      <c r="L992" s="1055"/>
      <c r="M992" s="1055"/>
      <c r="N992" s="1055"/>
    </row>
    <row r="993" spans="1:14" s="986" customFormat="1" ht="15.75" customHeight="1">
      <c r="A993" s="1055"/>
      <c r="B993" s="1055"/>
      <c r="C993" s="1055"/>
      <c r="D993" s="1055"/>
      <c r="E993" s="1055"/>
      <c r="F993" s="1055"/>
      <c r="G993" s="1055"/>
      <c r="H993" s="1055"/>
      <c r="I993" s="1055"/>
      <c r="J993" s="1055"/>
      <c r="K993" s="1055"/>
      <c r="L993" s="1055"/>
      <c r="M993" s="1055"/>
      <c r="N993" s="1055"/>
    </row>
    <row r="994" spans="1:14" s="986" customFormat="1" ht="15.75" customHeight="1">
      <c r="A994" s="1055"/>
      <c r="B994" s="1055"/>
      <c r="C994" s="1055"/>
      <c r="D994" s="1055"/>
      <c r="E994" s="1055"/>
      <c r="F994" s="1055"/>
      <c r="G994" s="1055"/>
      <c r="H994" s="1055"/>
      <c r="I994" s="1055"/>
      <c r="J994" s="1055"/>
      <c r="K994" s="1055"/>
      <c r="L994" s="1055"/>
      <c r="M994" s="1055"/>
      <c r="N994" s="1055"/>
    </row>
    <row r="995" spans="1:14" s="986" customFormat="1" ht="15.75" customHeight="1">
      <c r="A995" s="1055"/>
      <c r="B995" s="1055"/>
      <c r="C995" s="1055"/>
      <c r="D995" s="1055"/>
      <c r="E995" s="1055"/>
      <c r="F995" s="1055"/>
      <c r="G995" s="1055"/>
      <c r="H995" s="1055"/>
      <c r="I995" s="1055"/>
      <c r="J995" s="1055"/>
      <c r="K995" s="1055"/>
      <c r="L995" s="1055"/>
      <c r="M995" s="1055"/>
      <c r="N995" s="1055"/>
    </row>
    <row r="996" spans="1:14" s="986" customFormat="1" ht="15.75" customHeight="1">
      <c r="A996" s="1055"/>
      <c r="B996" s="1055"/>
      <c r="C996" s="1055"/>
      <c r="D996" s="1055"/>
      <c r="E996" s="1055"/>
      <c r="F996" s="1055"/>
      <c r="G996" s="1055"/>
      <c r="H996" s="1055"/>
      <c r="I996" s="1055"/>
      <c r="J996" s="1055"/>
      <c r="K996" s="1055"/>
      <c r="L996" s="1055"/>
      <c r="M996" s="1055"/>
      <c r="N996" s="1055"/>
    </row>
    <row r="997" spans="1:14" s="986" customFormat="1" ht="15.75" customHeight="1">
      <c r="A997" s="1055"/>
      <c r="B997" s="1055"/>
      <c r="C997" s="1055"/>
      <c r="D997" s="1055"/>
      <c r="E997" s="1055"/>
      <c r="F997" s="1055"/>
      <c r="G997" s="1055"/>
      <c r="H997" s="1055"/>
      <c r="I997" s="1055"/>
      <c r="J997" s="1055"/>
      <c r="K997" s="1055"/>
      <c r="L997" s="1055"/>
      <c r="M997" s="1055"/>
      <c r="N997" s="1055"/>
    </row>
    <row r="998" spans="1:14" s="986" customFormat="1" ht="15.75" customHeight="1">
      <c r="A998" s="1055"/>
      <c r="B998" s="1055"/>
      <c r="C998" s="1055"/>
      <c r="D998" s="1055"/>
      <c r="E998" s="1055"/>
      <c r="F998" s="1055"/>
      <c r="G998" s="1055"/>
      <c r="H998" s="1055"/>
      <c r="I998" s="1055"/>
      <c r="J998" s="1055"/>
      <c r="K998" s="1055"/>
      <c r="L998" s="1055"/>
      <c r="M998" s="1055"/>
      <c r="N998" s="1055"/>
    </row>
    <row r="999" spans="1:14" s="986" customFormat="1" ht="15.75" customHeight="1">
      <c r="A999" s="1055"/>
      <c r="B999" s="1055"/>
      <c r="C999" s="1055"/>
      <c r="D999" s="1055"/>
      <c r="E999" s="1055"/>
      <c r="F999" s="1055"/>
      <c r="G999" s="1055"/>
      <c r="H999" s="1055"/>
      <c r="I999" s="1055"/>
      <c r="J999" s="1055"/>
      <c r="K999" s="1055"/>
      <c r="L999" s="1055"/>
      <c r="M999" s="1055"/>
      <c r="N999" s="1055"/>
    </row>
    <row r="1000" spans="1:14" s="986" customFormat="1" ht="15.75" customHeight="1">
      <c r="A1000" s="1055"/>
      <c r="B1000" s="1055"/>
      <c r="C1000" s="1055"/>
      <c r="D1000" s="1055"/>
      <c r="E1000" s="1055"/>
      <c r="F1000" s="1055"/>
      <c r="G1000" s="1055"/>
      <c r="H1000" s="1055"/>
      <c r="I1000" s="1055"/>
      <c r="J1000" s="1055"/>
      <c r="K1000" s="1055"/>
      <c r="L1000" s="1055"/>
      <c r="M1000" s="1055"/>
      <c r="N1000" s="1055"/>
    </row>
    <row r="1001" spans="1:14" s="986" customFormat="1" ht="15.75" customHeight="1">
      <c r="A1001" s="1055"/>
      <c r="B1001" s="1055"/>
      <c r="C1001" s="1055"/>
      <c r="D1001" s="1055"/>
      <c r="E1001" s="1055"/>
      <c r="F1001" s="1055"/>
      <c r="G1001" s="1055"/>
      <c r="H1001" s="1055"/>
      <c r="I1001" s="1055"/>
      <c r="J1001" s="1055"/>
      <c r="K1001" s="1055"/>
      <c r="L1001" s="1055"/>
      <c r="M1001" s="1055"/>
      <c r="N1001" s="1055"/>
    </row>
    <row r="1002" spans="1:14" s="986" customFormat="1" ht="15.75" customHeight="1">
      <c r="A1002" s="1055"/>
      <c r="B1002" s="1055"/>
      <c r="C1002" s="1055"/>
      <c r="D1002" s="1055"/>
      <c r="E1002" s="1055"/>
      <c r="F1002" s="1055"/>
      <c r="G1002" s="1055"/>
      <c r="H1002" s="1055"/>
      <c r="I1002" s="1055"/>
      <c r="J1002" s="1055"/>
      <c r="K1002" s="1055"/>
      <c r="L1002" s="1055"/>
      <c r="M1002" s="1055"/>
      <c r="N1002" s="1055"/>
    </row>
    <row r="1003" spans="1:14" s="986" customFormat="1" ht="15.75" customHeight="1">
      <c r="A1003" s="1055"/>
      <c r="B1003" s="1055"/>
      <c r="C1003" s="1055"/>
      <c r="D1003" s="1055"/>
      <c r="E1003" s="1055"/>
      <c r="F1003" s="1055"/>
      <c r="G1003" s="1055"/>
      <c r="H1003" s="1055"/>
      <c r="I1003" s="1055"/>
      <c r="J1003" s="1055"/>
      <c r="K1003" s="1055"/>
      <c r="L1003" s="1055"/>
      <c r="M1003" s="1055"/>
      <c r="N1003" s="1055"/>
    </row>
    <row r="1004" spans="1:14" s="986" customFormat="1" ht="15.75" customHeight="1">
      <c r="A1004" s="1055"/>
      <c r="B1004" s="1055"/>
      <c r="C1004" s="1055"/>
      <c r="D1004" s="1055"/>
      <c r="E1004" s="1055"/>
      <c r="F1004" s="1055"/>
      <c r="G1004" s="1055"/>
      <c r="H1004" s="1055"/>
      <c r="I1004" s="1055"/>
      <c r="J1004" s="1055"/>
      <c r="K1004" s="1055"/>
      <c r="L1004" s="1055"/>
      <c r="M1004" s="1055"/>
      <c r="N1004" s="1055"/>
    </row>
    <row r="1005" spans="1:14" s="986" customFormat="1" ht="15.75" customHeight="1">
      <c r="A1005" s="1055"/>
      <c r="B1005" s="1055"/>
      <c r="C1005" s="1055"/>
      <c r="D1005" s="1055"/>
      <c r="E1005" s="1055"/>
      <c r="F1005" s="1055"/>
      <c r="G1005" s="1055"/>
      <c r="H1005" s="1055"/>
      <c r="I1005" s="1055"/>
      <c r="J1005" s="1055"/>
      <c r="K1005" s="1055"/>
      <c r="L1005" s="1055"/>
      <c r="M1005" s="1055"/>
      <c r="N1005" s="1055"/>
    </row>
    <row r="1006" spans="1:14" s="986" customFormat="1" ht="15.75" customHeight="1">
      <c r="A1006" s="1055"/>
      <c r="B1006" s="1055"/>
      <c r="C1006" s="1055"/>
      <c r="D1006" s="1055"/>
      <c r="E1006" s="1055"/>
      <c r="F1006" s="1055"/>
      <c r="G1006" s="1055"/>
      <c r="H1006" s="1055"/>
      <c r="I1006" s="1055"/>
      <c r="J1006" s="1055"/>
      <c r="K1006" s="1055"/>
      <c r="L1006" s="1055"/>
      <c r="M1006" s="1055"/>
      <c r="N1006" s="1055"/>
    </row>
    <row r="1007" spans="1:14" s="986" customFormat="1" ht="15.75" customHeight="1">
      <c r="A1007" s="1055"/>
      <c r="B1007" s="1055"/>
      <c r="C1007" s="1055"/>
      <c r="D1007" s="1055"/>
      <c r="E1007" s="1055"/>
      <c r="F1007" s="1055"/>
      <c r="G1007" s="1055"/>
      <c r="H1007" s="1055"/>
      <c r="I1007" s="1055"/>
      <c r="J1007" s="1055"/>
      <c r="K1007" s="1055"/>
      <c r="L1007" s="1055"/>
      <c r="M1007" s="1055"/>
      <c r="N1007" s="1055"/>
    </row>
    <row r="1008" spans="1:14" s="986" customFormat="1" ht="15.75" customHeight="1">
      <c r="A1008" s="1055"/>
      <c r="B1008" s="1055"/>
      <c r="C1008" s="1055"/>
      <c r="D1008" s="1055"/>
      <c r="E1008" s="1055"/>
      <c r="F1008" s="1055"/>
      <c r="G1008" s="1055"/>
      <c r="H1008" s="1055"/>
      <c r="I1008" s="1055"/>
      <c r="J1008" s="1055"/>
      <c r="K1008" s="1055"/>
      <c r="L1008" s="1055"/>
      <c r="M1008" s="1055"/>
      <c r="N1008" s="1055"/>
    </row>
    <row r="1009" spans="1:14" s="986" customFormat="1" ht="15.75" customHeight="1">
      <c r="A1009" s="1055"/>
      <c r="B1009" s="1055"/>
      <c r="C1009" s="1055"/>
      <c r="D1009" s="1055"/>
      <c r="E1009" s="1055"/>
      <c r="F1009" s="1055"/>
      <c r="G1009" s="1055"/>
      <c r="H1009" s="1055"/>
      <c r="I1009" s="1055"/>
      <c r="J1009" s="1055"/>
      <c r="K1009" s="1055"/>
      <c r="L1009" s="1055"/>
      <c r="M1009" s="1055"/>
      <c r="N1009" s="1055"/>
    </row>
    <row r="1010" spans="1:14" s="986" customFormat="1" ht="15.75" customHeight="1">
      <c r="A1010" s="1055"/>
      <c r="B1010" s="1055"/>
      <c r="C1010" s="1055"/>
      <c r="D1010" s="1055"/>
      <c r="E1010" s="1055"/>
      <c r="F1010" s="1055"/>
      <c r="G1010" s="1055"/>
      <c r="H1010" s="1055"/>
      <c r="I1010" s="1055"/>
      <c r="J1010" s="1055"/>
      <c r="K1010" s="1055"/>
      <c r="L1010" s="1055"/>
      <c r="M1010" s="1055"/>
      <c r="N1010" s="1055"/>
    </row>
    <row r="1011" spans="1:14" s="986" customFormat="1" ht="15.75" customHeight="1">
      <c r="A1011" s="1055"/>
      <c r="B1011" s="1055"/>
      <c r="C1011" s="1055"/>
      <c r="D1011" s="1055"/>
      <c r="E1011" s="1055"/>
      <c r="F1011" s="1055"/>
      <c r="G1011" s="1055"/>
      <c r="H1011" s="1055"/>
      <c r="I1011" s="1055"/>
      <c r="J1011" s="1055"/>
      <c r="K1011" s="1055"/>
      <c r="L1011" s="1055"/>
      <c r="M1011" s="1055"/>
      <c r="N1011" s="1055"/>
    </row>
    <row r="1012" spans="1:14" s="986" customFormat="1" ht="15.75" customHeight="1">
      <c r="A1012" s="1055"/>
      <c r="B1012" s="1055"/>
      <c r="C1012" s="1055"/>
      <c r="D1012" s="1055"/>
      <c r="E1012" s="1055"/>
      <c r="F1012" s="1055"/>
      <c r="G1012" s="1055"/>
      <c r="H1012" s="1055"/>
      <c r="I1012" s="1055"/>
      <c r="J1012" s="1055"/>
      <c r="K1012" s="1055"/>
      <c r="L1012" s="1055"/>
      <c r="M1012" s="1055"/>
      <c r="N1012" s="1055"/>
    </row>
    <row r="1013" spans="1:14" s="986" customFormat="1" ht="15.75" customHeight="1">
      <c r="A1013" s="1055"/>
      <c r="B1013" s="1055"/>
      <c r="C1013" s="1055"/>
      <c r="D1013" s="1055"/>
      <c r="E1013" s="1055"/>
      <c r="F1013" s="1055"/>
      <c r="G1013" s="1055"/>
      <c r="H1013" s="1055"/>
      <c r="I1013" s="1055"/>
      <c r="J1013" s="1055"/>
      <c r="K1013" s="1055"/>
      <c r="L1013" s="1055"/>
      <c r="M1013" s="1055"/>
      <c r="N1013" s="1055"/>
    </row>
    <row r="1014" spans="1:14" s="986" customFormat="1" ht="15.75" customHeight="1">
      <c r="A1014" s="1055"/>
      <c r="B1014" s="1055"/>
      <c r="C1014" s="1055"/>
      <c r="D1014" s="1055"/>
      <c r="E1014" s="1055"/>
      <c r="F1014" s="1055"/>
      <c r="G1014" s="1055"/>
      <c r="H1014" s="1055"/>
      <c r="I1014" s="1055"/>
      <c r="J1014" s="1055"/>
      <c r="K1014" s="1055"/>
      <c r="L1014" s="1055"/>
      <c r="M1014" s="1055"/>
      <c r="N1014" s="1055"/>
    </row>
    <row r="1015" spans="1:14" s="986" customFormat="1" ht="15.75" customHeight="1">
      <c r="A1015" s="1055"/>
      <c r="B1015" s="1055"/>
      <c r="C1015" s="1055"/>
      <c r="D1015" s="1055"/>
      <c r="E1015" s="1055"/>
      <c r="F1015" s="1055"/>
      <c r="G1015" s="1055"/>
      <c r="H1015" s="1055"/>
      <c r="I1015" s="1055"/>
      <c r="J1015" s="1055"/>
      <c r="K1015" s="1055"/>
      <c r="L1015" s="1055"/>
      <c r="M1015" s="1055"/>
      <c r="N1015" s="1055"/>
    </row>
    <row r="1016" spans="1:14" s="986" customFormat="1" ht="15.75" customHeight="1">
      <c r="A1016" s="1055"/>
      <c r="B1016" s="1055"/>
      <c r="C1016" s="1055"/>
      <c r="D1016" s="1055"/>
      <c r="E1016" s="1055"/>
      <c r="F1016" s="1055"/>
      <c r="G1016" s="1055"/>
      <c r="H1016" s="1055"/>
      <c r="I1016" s="1055"/>
      <c r="J1016" s="1055"/>
      <c r="K1016" s="1055"/>
      <c r="L1016" s="1055"/>
      <c r="M1016" s="1055"/>
      <c r="N1016" s="1055"/>
    </row>
    <row r="1017" spans="1:14" s="986" customFormat="1" ht="15.75" customHeight="1">
      <c r="A1017" s="1055"/>
      <c r="B1017" s="1055"/>
      <c r="C1017" s="1055"/>
      <c r="D1017" s="1055"/>
      <c r="E1017" s="1055"/>
      <c r="F1017" s="1055"/>
      <c r="G1017" s="1055"/>
      <c r="H1017" s="1055"/>
      <c r="I1017" s="1055"/>
      <c r="J1017" s="1055"/>
      <c r="K1017" s="1055"/>
      <c r="L1017" s="1055"/>
      <c r="M1017" s="1055"/>
      <c r="N1017" s="1055"/>
    </row>
    <row r="1018" spans="1:14" s="986" customFormat="1" ht="15.75" customHeight="1">
      <c r="A1018" s="1055"/>
      <c r="B1018" s="1055"/>
      <c r="C1018" s="1055"/>
      <c r="D1018" s="1055"/>
      <c r="E1018" s="1055"/>
      <c r="F1018" s="1055"/>
      <c r="G1018" s="1055"/>
      <c r="H1018" s="1055"/>
      <c r="I1018" s="1055"/>
      <c r="J1018" s="1055"/>
      <c r="K1018" s="1055"/>
      <c r="L1018" s="1055"/>
      <c r="M1018" s="1055"/>
      <c r="N1018" s="1055"/>
    </row>
    <row r="1019" spans="1:14" s="986" customFormat="1" ht="15.75" customHeight="1">
      <c r="A1019" s="1055"/>
      <c r="B1019" s="1055"/>
      <c r="C1019" s="1055"/>
      <c r="D1019" s="1055"/>
      <c r="E1019" s="1055"/>
      <c r="F1019" s="1055"/>
      <c r="G1019" s="1055"/>
      <c r="H1019" s="1055"/>
      <c r="I1019" s="1055"/>
      <c r="J1019" s="1055"/>
      <c r="K1019" s="1055"/>
      <c r="L1019" s="1055"/>
      <c r="M1019" s="1055"/>
      <c r="N1019" s="1055"/>
    </row>
    <row r="1020" spans="1:14" s="986" customFormat="1" ht="15.75" customHeight="1">
      <c r="A1020" s="1055"/>
      <c r="B1020" s="1055"/>
      <c r="C1020" s="1055"/>
      <c r="D1020" s="1055"/>
      <c r="E1020" s="1055"/>
      <c r="F1020" s="1055"/>
      <c r="G1020" s="1055"/>
      <c r="H1020" s="1055"/>
      <c r="I1020" s="1055"/>
      <c r="J1020" s="1055"/>
      <c r="K1020" s="1055"/>
      <c r="L1020" s="1055"/>
      <c r="M1020" s="1055"/>
      <c r="N1020" s="1055"/>
    </row>
    <row r="1021" spans="1:14" s="986" customFormat="1" ht="15.75" customHeight="1">
      <c r="A1021" s="1055"/>
      <c r="B1021" s="1055"/>
      <c r="C1021" s="1055"/>
      <c r="D1021" s="1055"/>
      <c r="E1021" s="1055"/>
      <c r="F1021" s="1055"/>
      <c r="G1021" s="1055"/>
      <c r="H1021" s="1055"/>
      <c r="I1021" s="1055"/>
      <c r="J1021" s="1055"/>
      <c r="K1021" s="1055"/>
      <c r="L1021" s="1055"/>
      <c r="M1021" s="1055"/>
      <c r="N1021" s="1055"/>
    </row>
    <row r="1022" spans="1:14" s="986" customFormat="1" ht="15.75" customHeight="1">
      <c r="A1022" s="1055"/>
      <c r="B1022" s="1055"/>
      <c r="C1022" s="1055"/>
      <c r="D1022" s="1055"/>
      <c r="E1022" s="1055"/>
      <c r="F1022" s="1055"/>
      <c r="G1022" s="1055"/>
      <c r="H1022" s="1055"/>
      <c r="I1022" s="1055"/>
      <c r="J1022" s="1055"/>
      <c r="K1022" s="1055"/>
      <c r="L1022" s="1055"/>
      <c r="M1022" s="1055"/>
      <c r="N1022" s="1055"/>
    </row>
    <row r="1023" spans="1:14" s="986" customFormat="1" ht="15.75" customHeight="1">
      <c r="A1023" s="1055"/>
      <c r="B1023" s="1055"/>
      <c r="C1023" s="1055"/>
      <c r="D1023" s="1055"/>
      <c r="E1023" s="1055"/>
      <c r="F1023" s="1055"/>
      <c r="G1023" s="1055"/>
      <c r="H1023" s="1055"/>
      <c r="I1023" s="1055"/>
      <c r="J1023" s="1055"/>
      <c r="K1023" s="1055"/>
      <c r="L1023" s="1055"/>
      <c r="M1023" s="1055"/>
      <c r="N1023" s="1055"/>
    </row>
    <row r="1024" spans="1:14" s="986" customFormat="1" ht="15.75" customHeight="1">
      <c r="A1024" s="1055"/>
      <c r="B1024" s="1055"/>
      <c r="C1024" s="1055"/>
      <c r="D1024" s="1055"/>
      <c r="E1024" s="1055"/>
      <c r="F1024" s="1055"/>
      <c r="G1024" s="1055"/>
      <c r="H1024" s="1055"/>
      <c r="I1024" s="1055"/>
      <c r="J1024" s="1055"/>
      <c r="K1024" s="1055"/>
      <c r="L1024" s="1055"/>
      <c r="M1024" s="1055"/>
      <c r="N1024" s="1055"/>
    </row>
    <row r="1025" spans="1:14" s="986" customFormat="1" ht="15.75" customHeight="1">
      <c r="A1025" s="1055"/>
      <c r="B1025" s="1055"/>
      <c r="C1025" s="1055"/>
      <c r="D1025" s="1055"/>
      <c r="E1025" s="1055"/>
      <c r="F1025" s="1055"/>
      <c r="G1025" s="1055"/>
      <c r="H1025" s="1055"/>
      <c r="I1025" s="1055"/>
      <c r="J1025" s="1055"/>
      <c r="K1025" s="1055"/>
      <c r="L1025" s="1055"/>
      <c r="M1025" s="1055"/>
      <c r="N1025" s="1055"/>
    </row>
    <row r="1026" spans="1:14" s="986" customFormat="1" ht="15.75" customHeight="1">
      <c r="A1026" s="1055"/>
      <c r="B1026" s="1055"/>
      <c r="C1026" s="1055"/>
      <c r="D1026" s="1055"/>
      <c r="E1026" s="1055"/>
      <c r="F1026" s="1055"/>
      <c r="G1026" s="1055"/>
      <c r="H1026" s="1055"/>
      <c r="I1026" s="1055"/>
      <c r="J1026" s="1055"/>
      <c r="K1026" s="1055"/>
      <c r="L1026" s="1055"/>
      <c r="M1026" s="1055"/>
      <c r="N1026" s="1055"/>
    </row>
    <row r="1027" spans="1:14" s="986" customFormat="1" ht="15.75" customHeight="1">
      <c r="A1027" s="1055"/>
      <c r="B1027" s="1055"/>
      <c r="C1027" s="1055"/>
      <c r="D1027" s="1055"/>
      <c r="E1027" s="1055"/>
      <c r="F1027" s="1055"/>
      <c r="G1027" s="1055"/>
      <c r="H1027" s="1055"/>
      <c r="I1027" s="1055"/>
      <c r="J1027" s="1055"/>
      <c r="K1027" s="1055"/>
      <c r="L1027" s="1055"/>
      <c r="M1027" s="1055"/>
      <c r="N1027" s="1055"/>
    </row>
    <row r="1028" spans="1:14" s="986" customFormat="1" ht="15.75" customHeight="1">
      <c r="A1028" s="1055"/>
      <c r="B1028" s="1055"/>
      <c r="C1028" s="1055"/>
      <c r="D1028" s="1055"/>
      <c r="E1028" s="1055"/>
      <c r="F1028" s="1055"/>
      <c r="G1028" s="1055"/>
      <c r="H1028" s="1055"/>
      <c r="I1028" s="1055"/>
      <c r="J1028" s="1055"/>
      <c r="K1028" s="1055"/>
      <c r="L1028" s="1055"/>
      <c r="M1028" s="1055"/>
      <c r="N1028" s="1055"/>
    </row>
    <row r="1029" spans="1:14" s="986" customFormat="1" ht="15.75" customHeight="1">
      <c r="A1029" s="1055"/>
      <c r="B1029" s="1055"/>
      <c r="C1029" s="1055"/>
      <c r="D1029" s="1055"/>
      <c r="E1029" s="1055"/>
      <c r="F1029" s="1055"/>
      <c r="G1029" s="1055"/>
      <c r="H1029" s="1055"/>
      <c r="I1029" s="1055"/>
      <c r="J1029" s="1055"/>
      <c r="K1029" s="1055"/>
      <c r="L1029" s="1055"/>
      <c r="M1029" s="1055"/>
      <c r="N1029" s="1055"/>
    </row>
    <row r="1030" spans="1:14" s="986" customFormat="1" ht="15.75" customHeight="1">
      <c r="A1030" s="1055"/>
      <c r="B1030" s="1055"/>
      <c r="C1030" s="1055"/>
      <c r="D1030" s="1055"/>
      <c r="E1030" s="1055"/>
      <c r="F1030" s="1055"/>
      <c r="G1030" s="1055"/>
      <c r="H1030" s="1055"/>
      <c r="I1030" s="1055"/>
      <c r="J1030" s="1055"/>
      <c r="K1030" s="1055"/>
      <c r="L1030" s="1055"/>
      <c r="M1030" s="1055"/>
      <c r="N1030" s="1055"/>
    </row>
    <row r="1031" spans="1:14" s="986" customFormat="1" ht="15.75" customHeight="1">
      <c r="A1031" s="1055"/>
      <c r="B1031" s="1055"/>
      <c r="C1031" s="1055"/>
      <c r="D1031" s="1055"/>
      <c r="E1031" s="1055"/>
      <c r="F1031" s="1055"/>
      <c r="G1031" s="1055"/>
      <c r="H1031" s="1055"/>
      <c r="I1031" s="1055"/>
      <c r="J1031" s="1055"/>
      <c r="K1031" s="1055"/>
      <c r="L1031" s="1055"/>
      <c r="M1031" s="1055"/>
      <c r="N1031" s="1055"/>
    </row>
    <row r="1032" spans="1:14" s="986" customFormat="1" ht="15.75" customHeight="1">
      <c r="A1032" s="1055"/>
      <c r="B1032" s="1055"/>
      <c r="C1032" s="1055"/>
      <c r="D1032" s="1055"/>
      <c r="E1032" s="1055"/>
      <c r="F1032" s="1055"/>
      <c r="G1032" s="1055"/>
      <c r="H1032" s="1055"/>
      <c r="I1032" s="1055"/>
      <c r="J1032" s="1055"/>
      <c r="K1032" s="1055"/>
      <c r="L1032" s="1055"/>
      <c r="M1032" s="1055"/>
      <c r="N1032" s="1055"/>
    </row>
    <row r="1033" spans="1:14" s="986" customFormat="1" ht="15.75" customHeight="1">
      <c r="A1033" s="1055"/>
      <c r="B1033" s="1055"/>
      <c r="C1033" s="1055"/>
      <c r="D1033" s="1055"/>
      <c r="E1033" s="1055"/>
      <c r="F1033" s="1055"/>
      <c r="G1033" s="1055"/>
      <c r="H1033" s="1055"/>
      <c r="I1033" s="1055"/>
      <c r="J1033" s="1055"/>
      <c r="K1033" s="1055"/>
      <c r="L1033" s="1055"/>
      <c r="M1033" s="1055"/>
      <c r="N1033" s="1055"/>
    </row>
    <row r="1034" spans="1:14" s="986" customFormat="1" ht="15.75" customHeight="1">
      <c r="A1034" s="1055"/>
      <c r="B1034" s="1055"/>
      <c r="C1034" s="1055"/>
      <c r="D1034" s="1055"/>
      <c r="E1034" s="1055"/>
      <c r="F1034" s="1055"/>
      <c r="G1034" s="1055"/>
      <c r="H1034" s="1055"/>
      <c r="I1034" s="1055"/>
      <c r="J1034" s="1055"/>
      <c r="K1034" s="1055"/>
      <c r="L1034" s="1055"/>
      <c r="M1034" s="1055"/>
      <c r="N1034" s="1055"/>
    </row>
    <row r="1035" spans="1:14" s="986" customFormat="1" ht="15.75" customHeight="1">
      <c r="A1035" s="1055"/>
      <c r="B1035" s="1055"/>
      <c r="C1035" s="1055"/>
      <c r="D1035" s="1055"/>
      <c r="E1035" s="1055"/>
      <c r="F1035" s="1055"/>
      <c r="G1035" s="1055"/>
      <c r="H1035" s="1055"/>
      <c r="I1035" s="1055"/>
      <c r="J1035" s="1055"/>
      <c r="K1035" s="1055"/>
      <c r="L1035" s="1055"/>
      <c r="M1035" s="1055"/>
      <c r="N1035" s="1055"/>
    </row>
    <row r="1036" spans="1:14" s="986" customFormat="1" ht="15.75" customHeight="1">
      <c r="A1036" s="1055"/>
      <c r="B1036" s="1055"/>
      <c r="C1036" s="1055"/>
      <c r="D1036" s="1055"/>
      <c r="E1036" s="1055"/>
      <c r="F1036" s="1055"/>
      <c r="G1036" s="1055"/>
      <c r="H1036" s="1055"/>
      <c r="I1036" s="1055"/>
      <c r="J1036" s="1055"/>
      <c r="K1036" s="1055"/>
      <c r="L1036" s="1055"/>
      <c r="M1036" s="1055"/>
      <c r="N1036" s="1055"/>
    </row>
    <row r="1037" spans="1:14" s="986" customFormat="1" ht="15.75" customHeight="1">
      <c r="A1037" s="1055"/>
      <c r="B1037" s="1055"/>
      <c r="C1037" s="1055"/>
      <c r="D1037" s="1055"/>
      <c r="E1037" s="1055"/>
      <c r="F1037" s="1055"/>
      <c r="G1037" s="1055"/>
      <c r="H1037" s="1055"/>
      <c r="I1037" s="1055"/>
      <c r="J1037" s="1055"/>
      <c r="K1037" s="1055"/>
      <c r="L1037" s="1055"/>
      <c r="M1037" s="1055"/>
      <c r="N1037" s="1055"/>
    </row>
    <row r="1038" spans="1:14" s="986" customFormat="1" ht="15.75" customHeight="1">
      <c r="A1038" s="1055"/>
      <c r="B1038" s="1055"/>
      <c r="C1038" s="1055"/>
      <c r="D1038" s="1055"/>
      <c r="E1038" s="1055"/>
      <c r="F1038" s="1055"/>
      <c r="G1038" s="1055"/>
      <c r="H1038" s="1055"/>
      <c r="I1038" s="1055"/>
      <c r="J1038" s="1055"/>
      <c r="K1038" s="1055"/>
      <c r="L1038" s="1055"/>
      <c r="M1038" s="1055"/>
      <c r="N1038" s="1055"/>
    </row>
    <row r="1039" spans="1:14" s="986" customFormat="1" ht="15.75" customHeight="1">
      <c r="A1039" s="1055"/>
      <c r="B1039" s="1055"/>
      <c r="C1039" s="1055"/>
      <c r="D1039" s="1055"/>
      <c r="E1039" s="1055"/>
      <c r="F1039" s="1055"/>
      <c r="G1039" s="1055"/>
      <c r="H1039" s="1055"/>
      <c r="I1039" s="1055"/>
      <c r="J1039" s="1055"/>
      <c r="K1039" s="1055"/>
      <c r="L1039" s="1055"/>
      <c r="M1039" s="1055"/>
      <c r="N1039" s="1055"/>
    </row>
    <row r="1040" spans="1:14" s="986" customFormat="1" ht="15.75" customHeight="1">
      <c r="A1040" s="1055"/>
      <c r="B1040" s="1055"/>
      <c r="C1040" s="1055"/>
      <c r="D1040" s="1055"/>
      <c r="E1040" s="1055"/>
      <c r="F1040" s="1055"/>
      <c r="G1040" s="1055"/>
      <c r="H1040" s="1055"/>
      <c r="I1040" s="1055"/>
      <c r="J1040" s="1055"/>
      <c r="K1040" s="1055"/>
      <c r="L1040" s="1055"/>
      <c r="M1040" s="1055"/>
      <c r="N1040" s="1055"/>
    </row>
    <row r="1041" spans="1:14" s="986" customFormat="1" ht="15.75" customHeight="1">
      <c r="A1041" s="1055"/>
      <c r="B1041" s="1055"/>
      <c r="C1041" s="1055"/>
      <c r="D1041" s="1055"/>
      <c r="E1041" s="1055"/>
      <c r="F1041" s="1055"/>
      <c r="G1041" s="1055"/>
      <c r="H1041" s="1055"/>
      <c r="I1041" s="1055"/>
      <c r="J1041" s="1055"/>
      <c r="K1041" s="1055"/>
      <c r="L1041" s="1055"/>
      <c r="M1041" s="1055"/>
      <c r="N1041" s="1055"/>
    </row>
    <row r="1042" spans="1:14" s="986" customFormat="1" ht="15.75" customHeight="1">
      <c r="A1042" s="1055"/>
      <c r="B1042" s="1055"/>
      <c r="C1042" s="1055"/>
      <c r="D1042" s="1055"/>
      <c r="E1042" s="1055"/>
      <c r="F1042" s="1055"/>
      <c r="G1042" s="1055"/>
      <c r="H1042" s="1055"/>
      <c r="I1042" s="1055"/>
      <c r="J1042" s="1055"/>
      <c r="K1042" s="1055"/>
      <c r="L1042" s="1055"/>
      <c r="M1042" s="1055"/>
      <c r="N1042" s="1055"/>
    </row>
    <row r="1043" spans="1:14" s="986" customFormat="1" ht="15.75" customHeight="1">
      <c r="A1043" s="1055"/>
      <c r="B1043" s="1055"/>
      <c r="C1043" s="1055"/>
      <c r="D1043" s="1055"/>
      <c r="E1043" s="1055"/>
      <c r="F1043" s="1055"/>
      <c r="G1043" s="1055"/>
      <c r="H1043" s="1055"/>
      <c r="I1043" s="1055"/>
      <c r="J1043" s="1055"/>
      <c r="K1043" s="1055"/>
      <c r="L1043" s="1055"/>
      <c r="M1043" s="1055"/>
      <c r="N1043" s="1055"/>
    </row>
    <row r="1044" spans="1:14" s="986" customFormat="1" ht="15.75" customHeight="1">
      <c r="A1044" s="1055"/>
      <c r="B1044" s="1055"/>
      <c r="C1044" s="1055"/>
      <c r="D1044" s="1055"/>
      <c r="E1044" s="1055"/>
      <c r="F1044" s="1055"/>
      <c r="G1044" s="1055"/>
      <c r="H1044" s="1055"/>
      <c r="I1044" s="1055"/>
      <c r="J1044" s="1055"/>
      <c r="K1044" s="1055"/>
      <c r="L1044" s="1055"/>
      <c r="M1044" s="1055"/>
      <c r="N1044" s="1055"/>
    </row>
    <row r="1045" spans="1:14" s="986" customFormat="1" ht="15.75" customHeight="1">
      <c r="A1045" s="1055"/>
      <c r="B1045" s="1055"/>
      <c r="C1045" s="1055"/>
      <c r="D1045" s="1055"/>
      <c r="E1045" s="1055"/>
      <c r="F1045" s="1055"/>
      <c r="G1045" s="1055"/>
      <c r="H1045" s="1055"/>
      <c r="I1045" s="1055"/>
      <c r="J1045" s="1055"/>
      <c r="K1045" s="1055"/>
      <c r="L1045" s="1055"/>
      <c r="M1045" s="1055"/>
      <c r="N1045" s="1055"/>
    </row>
    <row r="1046" spans="1:14" s="986" customFormat="1" ht="15.75" customHeight="1">
      <c r="A1046" s="1055"/>
      <c r="B1046" s="1055"/>
      <c r="C1046" s="1055"/>
      <c r="D1046" s="1055"/>
      <c r="E1046" s="1055"/>
      <c r="F1046" s="1055"/>
      <c r="G1046" s="1055"/>
      <c r="H1046" s="1055"/>
      <c r="I1046" s="1055"/>
      <c r="J1046" s="1055"/>
      <c r="K1046" s="1055"/>
      <c r="L1046" s="1055"/>
      <c r="M1046" s="1055"/>
      <c r="N1046" s="1055"/>
    </row>
    <row r="1047" spans="1:14" s="986" customFormat="1" ht="15.75" customHeight="1">
      <c r="A1047" s="1055"/>
      <c r="B1047" s="1055"/>
      <c r="C1047" s="1055"/>
      <c r="D1047" s="1055"/>
      <c r="E1047" s="1055"/>
      <c r="F1047" s="1055"/>
      <c r="G1047" s="1055"/>
      <c r="H1047" s="1055"/>
      <c r="I1047" s="1055"/>
      <c r="J1047" s="1055"/>
      <c r="K1047" s="1055"/>
      <c r="L1047" s="1055"/>
      <c r="M1047" s="1055"/>
      <c r="N1047" s="1055"/>
    </row>
    <row r="1048" spans="1:14" s="986" customFormat="1" ht="15.75" customHeight="1">
      <c r="A1048" s="1055"/>
      <c r="B1048" s="1055"/>
      <c r="C1048" s="1055"/>
      <c r="D1048" s="1055"/>
      <c r="E1048" s="1055"/>
      <c r="F1048" s="1055"/>
      <c r="G1048" s="1055"/>
      <c r="H1048" s="1055"/>
      <c r="I1048" s="1055"/>
      <c r="J1048" s="1055"/>
      <c r="K1048" s="1055"/>
      <c r="L1048" s="1055"/>
      <c r="M1048" s="1055"/>
      <c r="N1048" s="1055"/>
    </row>
    <row r="1049" spans="1:14" s="986" customFormat="1" ht="15.75" customHeight="1">
      <c r="A1049" s="1055"/>
      <c r="B1049" s="1055"/>
      <c r="C1049" s="1055"/>
      <c r="D1049" s="1055"/>
      <c r="E1049" s="1055"/>
      <c r="F1049" s="1055"/>
      <c r="G1049" s="1055"/>
      <c r="H1049" s="1055"/>
      <c r="I1049" s="1055"/>
      <c r="J1049" s="1055"/>
      <c r="K1049" s="1055"/>
      <c r="L1049" s="1055"/>
      <c r="M1049" s="1055"/>
      <c r="N1049" s="1055"/>
    </row>
    <row r="1050" spans="1:14" s="986" customFormat="1" ht="15.75" customHeight="1">
      <c r="A1050" s="1055"/>
      <c r="B1050" s="1055"/>
      <c r="C1050" s="1055"/>
      <c r="D1050" s="1055"/>
      <c r="E1050" s="1055"/>
      <c r="F1050" s="1055"/>
      <c r="G1050" s="1055"/>
      <c r="H1050" s="1055"/>
      <c r="I1050" s="1055"/>
      <c r="J1050" s="1055"/>
      <c r="K1050" s="1055"/>
      <c r="L1050" s="1055"/>
      <c r="M1050" s="1055"/>
      <c r="N1050" s="1055"/>
    </row>
    <row r="1051" spans="1:14" s="986" customFormat="1" ht="15.75" customHeight="1">
      <c r="A1051" s="1055"/>
      <c r="B1051" s="1055"/>
      <c r="C1051" s="1055"/>
      <c r="D1051" s="1055"/>
      <c r="E1051" s="1055"/>
      <c r="F1051" s="1055"/>
      <c r="G1051" s="1055"/>
      <c r="H1051" s="1055"/>
      <c r="I1051" s="1055"/>
      <c r="J1051" s="1055"/>
      <c r="K1051" s="1055"/>
      <c r="L1051" s="1055"/>
      <c r="M1051" s="1055"/>
      <c r="N1051" s="1055"/>
    </row>
    <row r="1052" spans="1:14" s="986" customFormat="1" ht="15.75" customHeight="1">
      <c r="A1052" s="1055"/>
      <c r="B1052" s="1055"/>
      <c r="C1052" s="1055"/>
      <c r="D1052" s="1055"/>
      <c r="E1052" s="1055"/>
      <c r="F1052" s="1055"/>
      <c r="G1052" s="1055"/>
      <c r="H1052" s="1055"/>
      <c r="I1052" s="1055"/>
      <c r="J1052" s="1055"/>
      <c r="K1052" s="1055"/>
      <c r="L1052" s="1055"/>
      <c r="M1052" s="1055"/>
      <c r="N1052" s="1055"/>
    </row>
    <row r="1053" spans="1:14" s="986" customFormat="1" ht="15.75" customHeight="1">
      <c r="A1053" s="1055"/>
      <c r="B1053" s="1055"/>
      <c r="C1053" s="1055"/>
      <c r="D1053" s="1055"/>
      <c r="E1053" s="1055"/>
      <c r="F1053" s="1055"/>
      <c r="G1053" s="1055"/>
      <c r="H1053" s="1055"/>
      <c r="I1053" s="1055"/>
      <c r="J1053" s="1055"/>
      <c r="K1053" s="1055"/>
      <c r="L1053" s="1055"/>
      <c r="M1053" s="1055"/>
      <c r="N1053" s="1055"/>
    </row>
    <row r="1054" spans="1:14" s="986" customFormat="1" ht="15.75" customHeight="1">
      <c r="A1054" s="1055"/>
      <c r="B1054" s="1055"/>
      <c r="C1054" s="1055"/>
      <c r="D1054" s="1055"/>
      <c r="E1054" s="1055"/>
      <c r="F1054" s="1055"/>
      <c r="G1054" s="1055"/>
      <c r="H1054" s="1055"/>
      <c r="I1054" s="1055"/>
      <c r="J1054" s="1055"/>
      <c r="K1054" s="1055"/>
      <c r="L1054" s="1055"/>
      <c r="M1054" s="1055"/>
      <c r="N1054" s="1055"/>
    </row>
    <row r="1055" spans="1:14" s="986" customFormat="1" ht="15.75" customHeight="1">
      <c r="A1055" s="1055"/>
      <c r="B1055" s="1055"/>
      <c r="C1055" s="1055"/>
      <c r="D1055" s="1055"/>
      <c r="E1055" s="1055"/>
      <c r="F1055" s="1055"/>
      <c r="G1055" s="1055"/>
      <c r="H1055" s="1055"/>
      <c r="I1055" s="1055"/>
      <c r="J1055" s="1055"/>
      <c r="K1055" s="1055"/>
      <c r="L1055" s="1055"/>
      <c r="M1055" s="1055"/>
      <c r="N1055" s="1055"/>
    </row>
    <row r="1056" spans="1:14" s="986" customFormat="1" ht="15.75" customHeight="1">
      <c r="A1056" s="1055"/>
      <c r="B1056" s="1055"/>
      <c r="C1056" s="1055"/>
      <c r="D1056" s="1055"/>
      <c r="E1056" s="1055"/>
      <c r="F1056" s="1055"/>
      <c r="G1056" s="1055"/>
      <c r="H1056" s="1055"/>
      <c r="I1056" s="1055"/>
      <c r="J1056" s="1055"/>
      <c r="K1056" s="1055"/>
      <c r="L1056" s="1055"/>
      <c r="M1056" s="1055"/>
      <c r="N1056" s="1055"/>
    </row>
    <row r="1057" spans="1:14" s="986" customFormat="1" ht="15.75" customHeight="1">
      <c r="A1057" s="1055"/>
      <c r="B1057" s="1055"/>
      <c r="C1057" s="1055"/>
      <c r="D1057" s="1055"/>
      <c r="E1057" s="1055"/>
      <c r="F1057" s="1055"/>
      <c r="G1057" s="1055"/>
      <c r="H1057" s="1055"/>
      <c r="I1057" s="1055"/>
      <c r="J1057" s="1055"/>
      <c r="K1057" s="1055"/>
      <c r="L1057" s="1055"/>
      <c r="M1057" s="1055"/>
      <c r="N1057" s="1055"/>
    </row>
    <row r="1058" spans="1:14" s="986" customFormat="1" ht="15.75" customHeight="1">
      <c r="A1058" s="1055"/>
      <c r="B1058" s="1055"/>
      <c r="C1058" s="1055"/>
      <c r="D1058" s="1055"/>
      <c r="E1058" s="1055"/>
      <c r="F1058" s="1055"/>
      <c r="G1058" s="1055"/>
      <c r="H1058" s="1055"/>
      <c r="I1058" s="1055"/>
      <c r="J1058" s="1055"/>
      <c r="K1058" s="1055"/>
      <c r="L1058" s="1055"/>
      <c r="M1058" s="1055"/>
      <c r="N1058" s="1055"/>
    </row>
    <row r="1059" spans="1:14" s="986" customFormat="1" ht="15.75" customHeight="1">
      <c r="A1059" s="1055"/>
      <c r="B1059" s="1055"/>
      <c r="C1059" s="1055"/>
      <c r="D1059" s="1055"/>
      <c r="E1059" s="1055"/>
      <c r="F1059" s="1055"/>
      <c r="G1059" s="1055"/>
      <c r="H1059" s="1055"/>
      <c r="I1059" s="1055"/>
      <c r="J1059" s="1055"/>
      <c r="K1059" s="1055"/>
      <c r="L1059" s="1055"/>
      <c r="M1059" s="1055"/>
      <c r="N1059" s="1055"/>
    </row>
    <row r="1060" spans="1:14" s="986" customFormat="1" ht="15.75" customHeight="1">
      <c r="A1060" s="1055"/>
      <c r="B1060" s="1055"/>
      <c r="C1060" s="1055"/>
      <c r="D1060" s="1055"/>
      <c r="E1060" s="1055"/>
      <c r="F1060" s="1055"/>
      <c r="G1060" s="1055"/>
      <c r="H1060" s="1055"/>
      <c r="I1060" s="1055"/>
      <c r="J1060" s="1055"/>
      <c r="K1060" s="1055"/>
      <c r="L1060" s="1055"/>
      <c r="M1060" s="1055"/>
      <c r="N1060" s="1055"/>
    </row>
    <row r="1061" spans="1:14" s="986" customFormat="1" ht="15.75" customHeight="1">
      <c r="A1061" s="1055"/>
      <c r="B1061" s="1055"/>
      <c r="C1061" s="1055"/>
      <c r="D1061" s="1055"/>
      <c r="E1061" s="1055"/>
      <c r="F1061" s="1055"/>
      <c r="G1061" s="1055"/>
      <c r="H1061" s="1055"/>
      <c r="I1061" s="1055"/>
      <c r="J1061" s="1055"/>
      <c r="K1061" s="1055"/>
      <c r="L1061" s="1055"/>
      <c r="M1061" s="1055"/>
      <c r="N1061" s="1055"/>
    </row>
    <row r="1062" spans="1:14" s="986" customFormat="1" ht="15.75" customHeight="1">
      <c r="A1062" s="1055"/>
      <c r="B1062" s="1055"/>
      <c r="C1062" s="1055"/>
      <c r="D1062" s="1055"/>
      <c r="E1062" s="1055"/>
      <c r="F1062" s="1055"/>
      <c r="G1062" s="1055"/>
      <c r="H1062" s="1055"/>
      <c r="I1062" s="1055"/>
      <c r="J1062" s="1055"/>
      <c r="K1062" s="1055"/>
      <c r="L1062" s="1055"/>
      <c r="M1062" s="1055"/>
      <c r="N1062" s="1055"/>
    </row>
    <row r="1063" spans="1:14" s="986" customFormat="1" ht="15.75" customHeight="1">
      <c r="A1063" s="1055"/>
      <c r="B1063" s="1055"/>
      <c r="C1063" s="1055"/>
      <c r="D1063" s="1055"/>
      <c r="E1063" s="1055"/>
      <c r="F1063" s="1055"/>
      <c r="G1063" s="1055"/>
      <c r="H1063" s="1055"/>
      <c r="I1063" s="1055"/>
      <c r="J1063" s="1055"/>
      <c r="K1063" s="1055"/>
      <c r="L1063" s="1055"/>
      <c r="M1063" s="1055"/>
      <c r="N1063" s="1055"/>
    </row>
    <row r="1064" spans="1:14" s="986" customFormat="1" ht="15.75" customHeight="1">
      <c r="A1064" s="1055"/>
      <c r="B1064" s="1055"/>
      <c r="C1064" s="1055"/>
      <c r="D1064" s="1055"/>
      <c r="E1064" s="1055"/>
      <c r="F1064" s="1055"/>
      <c r="G1064" s="1055"/>
      <c r="H1064" s="1055"/>
      <c r="I1064" s="1055"/>
      <c r="J1064" s="1055"/>
      <c r="K1064" s="1055"/>
      <c r="L1064" s="1055"/>
      <c r="M1064" s="1055"/>
      <c r="N1064" s="1055"/>
    </row>
    <row r="1065" spans="1:14" s="986" customFormat="1" ht="15.75" customHeight="1">
      <c r="A1065" s="1055"/>
      <c r="B1065" s="1055"/>
      <c r="C1065" s="1055"/>
      <c r="D1065" s="1055"/>
      <c r="E1065" s="1055"/>
      <c r="F1065" s="1055"/>
      <c r="G1065" s="1055"/>
      <c r="H1065" s="1055"/>
      <c r="I1065" s="1055"/>
      <c r="J1065" s="1055"/>
      <c r="K1065" s="1055"/>
      <c r="L1065" s="1055"/>
      <c r="M1065" s="1055"/>
      <c r="N1065" s="1055"/>
    </row>
    <row r="1066" spans="1:14" s="986" customFormat="1" ht="15.75" customHeight="1">
      <c r="A1066" s="1055"/>
      <c r="B1066" s="1055"/>
      <c r="C1066" s="1055"/>
      <c r="D1066" s="1055"/>
      <c r="E1066" s="1055"/>
      <c r="F1066" s="1055"/>
      <c r="G1066" s="1055"/>
      <c r="H1066" s="1055"/>
      <c r="I1066" s="1055"/>
      <c r="J1066" s="1055"/>
      <c r="K1066" s="1055"/>
      <c r="L1066" s="1055"/>
      <c r="M1066" s="1055"/>
      <c r="N1066" s="1055"/>
    </row>
    <row r="1067" spans="1:14" s="986" customFormat="1" ht="15.75" customHeight="1">
      <c r="A1067" s="1055"/>
      <c r="B1067" s="1055"/>
      <c r="C1067" s="1055"/>
      <c r="D1067" s="1055"/>
      <c r="E1067" s="1055"/>
      <c r="F1067" s="1055"/>
      <c r="G1067" s="1055"/>
      <c r="H1067" s="1055"/>
      <c r="I1067" s="1055"/>
      <c r="J1067" s="1055"/>
      <c r="K1067" s="1055"/>
      <c r="L1067" s="1055"/>
      <c r="M1067" s="1055"/>
      <c r="N1067" s="1055"/>
    </row>
    <row r="1068" spans="1:14" s="986" customFormat="1" ht="15.75" customHeight="1">
      <c r="A1068" s="1055"/>
      <c r="B1068" s="1055"/>
      <c r="C1068" s="1055"/>
      <c r="D1068" s="1055"/>
      <c r="E1068" s="1055"/>
      <c r="F1068" s="1055"/>
      <c r="G1068" s="1055"/>
      <c r="H1068" s="1055"/>
      <c r="I1068" s="1055"/>
      <c r="J1068" s="1055"/>
      <c r="K1068" s="1055"/>
      <c r="L1068" s="1055"/>
      <c r="M1068" s="1055"/>
      <c r="N1068" s="1055"/>
    </row>
    <row r="1069" spans="1:14" s="986" customFormat="1" ht="15.75" customHeight="1">
      <c r="A1069" s="1055"/>
      <c r="B1069" s="1055"/>
      <c r="C1069" s="1055"/>
      <c r="D1069" s="1055"/>
      <c r="E1069" s="1055"/>
      <c r="F1069" s="1055"/>
      <c r="G1069" s="1055"/>
      <c r="H1069" s="1055"/>
      <c r="I1069" s="1055"/>
      <c r="J1069" s="1055"/>
      <c r="K1069" s="1055"/>
      <c r="L1069" s="1055"/>
      <c r="M1069" s="1055"/>
      <c r="N1069" s="1055"/>
    </row>
    <row r="1070" spans="1:14" s="986" customFormat="1" ht="15.75" customHeight="1">
      <c r="A1070" s="1055"/>
      <c r="B1070" s="1055"/>
      <c r="C1070" s="1055"/>
      <c r="D1070" s="1055"/>
      <c r="E1070" s="1055"/>
      <c r="F1070" s="1055"/>
      <c r="G1070" s="1055"/>
      <c r="H1070" s="1055"/>
      <c r="I1070" s="1055"/>
      <c r="J1070" s="1055"/>
      <c r="K1070" s="1055"/>
      <c r="L1070" s="1055"/>
      <c r="M1070" s="1055"/>
      <c r="N1070" s="1055"/>
    </row>
    <row r="1071" spans="1:14" s="986" customFormat="1" ht="15.75" customHeight="1">
      <c r="A1071" s="1055"/>
      <c r="B1071" s="1055"/>
      <c r="C1071" s="1055"/>
      <c r="D1071" s="1055"/>
      <c r="E1071" s="1055"/>
      <c r="F1071" s="1055"/>
      <c r="G1071" s="1055"/>
      <c r="H1071" s="1055"/>
      <c r="I1071" s="1055"/>
      <c r="J1071" s="1055"/>
      <c r="K1071" s="1055"/>
      <c r="L1071" s="1055"/>
      <c r="M1071" s="1055"/>
      <c r="N1071" s="1055"/>
    </row>
    <row r="1072" spans="1:14" s="986" customFormat="1" ht="15.75" customHeight="1">
      <c r="A1072" s="1055"/>
      <c r="B1072" s="1055"/>
      <c r="C1072" s="1055"/>
      <c r="D1072" s="1055"/>
      <c r="E1072" s="1055"/>
      <c r="F1072" s="1055"/>
      <c r="G1072" s="1055"/>
      <c r="H1072" s="1055"/>
      <c r="I1072" s="1055"/>
      <c r="J1072" s="1055"/>
      <c r="K1072" s="1055"/>
      <c r="L1072" s="1055"/>
      <c r="M1072" s="1055"/>
      <c r="N1072" s="1055"/>
    </row>
    <row r="1073" spans="1:14" s="986" customFormat="1" ht="15.75" customHeight="1">
      <c r="A1073" s="1055"/>
      <c r="B1073" s="1055"/>
      <c r="C1073" s="1055"/>
      <c r="D1073" s="1055"/>
      <c r="E1073" s="1055"/>
      <c r="F1073" s="1055"/>
      <c r="G1073" s="1055"/>
      <c r="H1073" s="1055"/>
      <c r="I1073" s="1055"/>
      <c r="J1073" s="1055"/>
      <c r="K1073" s="1055"/>
      <c r="L1073" s="1055"/>
      <c r="M1073" s="1055"/>
      <c r="N1073" s="1055"/>
    </row>
    <row r="1074" spans="1:14" s="986" customFormat="1" ht="15.75" customHeight="1">
      <c r="A1074" s="1055"/>
      <c r="B1074" s="1055"/>
      <c r="C1074" s="1055"/>
      <c r="D1074" s="1055"/>
      <c r="E1074" s="1055"/>
      <c r="F1074" s="1055"/>
      <c r="G1074" s="1055"/>
      <c r="H1074" s="1055"/>
      <c r="I1074" s="1055"/>
      <c r="J1074" s="1055"/>
      <c r="K1074" s="1055"/>
      <c r="L1074" s="1055"/>
      <c r="M1074" s="1055"/>
      <c r="N1074" s="1055"/>
    </row>
    <row r="1075" spans="1:14" s="986" customFormat="1" ht="15.75" customHeight="1">
      <c r="A1075" s="1055"/>
      <c r="B1075" s="1055"/>
      <c r="C1075" s="1055"/>
      <c r="D1075" s="1055"/>
      <c r="E1075" s="1055"/>
      <c r="F1075" s="1055"/>
      <c r="G1075" s="1055"/>
      <c r="H1075" s="1055"/>
      <c r="I1075" s="1055"/>
      <c r="J1075" s="1055"/>
      <c r="K1075" s="1055"/>
      <c r="L1075" s="1055"/>
      <c r="M1075" s="1055"/>
      <c r="N1075" s="1055"/>
    </row>
    <row r="1076" spans="1:14" s="986" customFormat="1" ht="15.75" customHeight="1">
      <c r="A1076" s="1055"/>
      <c r="B1076" s="1055"/>
      <c r="C1076" s="1055"/>
      <c r="D1076" s="1055"/>
      <c r="E1076" s="1055"/>
      <c r="F1076" s="1055"/>
      <c r="G1076" s="1055"/>
      <c r="H1076" s="1055"/>
      <c r="I1076" s="1055"/>
      <c r="J1076" s="1055"/>
      <c r="K1076" s="1055"/>
      <c r="L1076" s="1055"/>
      <c r="M1076" s="1055"/>
      <c r="N1076" s="1055"/>
    </row>
    <row r="1077" spans="1:14" s="986" customFormat="1" ht="15.75" customHeight="1">
      <c r="A1077" s="1055"/>
      <c r="B1077" s="1055"/>
      <c r="C1077" s="1055"/>
      <c r="D1077" s="1055"/>
      <c r="E1077" s="1055"/>
      <c r="F1077" s="1055"/>
      <c r="G1077" s="1055"/>
      <c r="H1077" s="1055"/>
      <c r="I1077" s="1055"/>
      <c r="J1077" s="1055"/>
      <c r="K1077" s="1055"/>
      <c r="L1077" s="1055"/>
      <c r="M1077" s="1055"/>
      <c r="N1077" s="1055"/>
    </row>
    <row r="1078" spans="1:14" s="986" customFormat="1" ht="15.75" customHeight="1">
      <c r="A1078" s="1055"/>
      <c r="B1078" s="1055"/>
      <c r="C1078" s="1055"/>
      <c r="D1078" s="1055"/>
      <c r="E1078" s="1055"/>
      <c r="F1078" s="1055"/>
      <c r="G1078" s="1055"/>
      <c r="H1078" s="1055"/>
      <c r="I1078" s="1055"/>
      <c r="J1078" s="1055"/>
      <c r="K1078" s="1055"/>
      <c r="L1078" s="1055"/>
      <c r="M1078" s="1055"/>
      <c r="N1078" s="1055"/>
    </row>
    <row r="1079" spans="1:14" s="986" customFormat="1" ht="15.75" customHeight="1">
      <c r="A1079" s="1055"/>
      <c r="B1079" s="1055"/>
      <c r="C1079" s="1055"/>
      <c r="D1079" s="1055"/>
      <c r="E1079" s="1055"/>
      <c r="F1079" s="1055"/>
      <c r="G1079" s="1055"/>
      <c r="H1079" s="1055"/>
      <c r="I1079" s="1055"/>
      <c r="J1079" s="1055"/>
      <c r="K1079" s="1055"/>
      <c r="L1079" s="1055"/>
      <c r="M1079" s="1055"/>
      <c r="N1079" s="1055"/>
    </row>
    <row r="1080" spans="1:14" s="986" customFormat="1" ht="15.75" customHeight="1">
      <c r="A1080" s="1055"/>
      <c r="B1080" s="1055"/>
      <c r="C1080" s="1055"/>
      <c r="D1080" s="1055"/>
      <c r="E1080" s="1055"/>
      <c r="F1080" s="1055"/>
      <c r="G1080" s="1055"/>
      <c r="H1080" s="1055"/>
      <c r="I1080" s="1055"/>
      <c r="J1080" s="1055"/>
      <c r="K1080" s="1055"/>
      <c r="L1080" s="1055"/>
      <c r="M1080" s="1055"/>
      <c r="N1080" s="1055"/>
    </row>
    <row r="1081" spans="1:14" s="986" customFormat="1" ht="15.75" customHeight="1">
      <c r="A1081" s="1055"/>
      <c r="B1081" s="1055"/>
      <c r="C1081" s="1055"/>
      <c r="D1081" s="1055"/>
      <c r="E1081" s="1055"/>
      <c r="F1081" s="1055"/>
      <c r="G1081" s="1055"/>
      <c r="H1081" s="1055"/>
      <c r="I1081" s="1055"/>
      <c r="J1081" s="1055"/>
      <c r="K1081" s="1055"/>
      <c r="L1081" s="1055"/>
      <c r="M1081" s="1055"/>
      <c r="N1081" s="1055"/>
    </row>
    <row r="1082" spans="1:14" s="986" customFormat="1" ht="15.75" customHeight="1">
      <c r="A1082" s="1055"/>
      <c r="B1082" s="1055"/>
      <c r="C1082" s="1055"/>
      <c r="D1082" s="1055"/>
      <c r="E1082" s="1055"/>
      <c r="F1082" s="1055"/>
      <c r="G1082" s="1055"/>
      <c r="H1082" s="1055"/>
      <c r="I1082" s="1055"/>
      <c r="J1082" s="1055"/>
      <c r="K1082" s="1055"/>
      <c r="L1082" s="1055"/>
      <c r="M1082" s="1055"/>
      <c r="N1082" s="1055"/>
    </row>
    <row r="1083" spans="1:14" s="986" customFormat="1" ht="15.75" customHeight="1">
      <c r="A1083" s="1055"/>
      <c r="B1083" s="1055"/>
      <c r="C1083" s="1055"/>
      <c r="D1083" s="1055"/>
      <c r="E1083" s="1055"/>
      <c r="F1083" s="1055"/>
      <c r="G1083" s="1055"/>
      <c r="H1083" s="1055"/>
      <c r="I1083" s="1055"/>
      <c r="J1083" s="1055"/>
      <c r="K1083" s="1055"/>
      <c r="L1083" s="1055"/>
      <c r="M1083" s="1055"/>
      <c r="N1083" s="1055"/>
    </row>
    <row r="1084" spans="1:14" s="986" customFormat="1" ht="15.75" customHeight="1">
      <c r="A1084" s="1055"/>
      <c r="B1084" s="1055"/>
      <c r="C1084" s="1055"/>
      <c r="D1084" s="1055"/>
      <c r="E1084" s="1055"/>
      <c r="F1084" s="1055"/>
      <c r="G1084" s="1055"/>
      <c r="H1084" s="1055"/>
      <c r="I1084" s="1055"/>
      <c r="J1084" s="1055"/>
      <c r="K1084" s="1055"/>
      <c r="L1084" s="1055"/>
      <c r="M1084" s="1055"/>
      <c r="N1084" s="1055"/>
    </row>
    <row r="1085" spans="1:14" s="986" customFormat="1" ht="15.75" customHeight="1">
      <c r="A1085" s="1055"/>
      <c r="B1085" s="1055"/>
      <c r="C1085" s="1055"/>
      <c r="D1085" s="1055"/>
      <c r="E1085" s="1055"/>
      <c r="F1085" s="1055"/>
      <c r="G1085" s="1055"/>
      <c r="H1085" s="1055"/>
      <c r="I1085" s="1055"/>
      <c r="J1085" s="1055"/>
      <c r="K1085" s="1055"/>
      <c r="L1085" s="1055"/>
      <c r="M1085" s="1055"/>
      <c r="N1085" s="1055"/>
    </row>
    <row r="1086" spans="1:14" s="986" customFormat="1" ht="15.75" customHeight="1">
      <c r="A1086" s="1055"/>
      <c r="B1086" s="1055"/>
      <c r="C1086" s="1055"/>
      <c r="D1086" s="1055"/>
      <c r="E1086" s="1055"/>
      <c r="F1086" s="1055"/>
      <c r="G1086" s="1055"/>
      <c r="H1086" s="1055"/>
      <c r="I1086" s="1055"/>
      <c r="J1086" s="1055"/>
      <c r="K1086" s="1055"/>
      <c r="L1086" s="1055"/>
      <c r="M1086" s="1055"/>
      <c r="N1086" s="1055"/>
    </row>
    <row r="1087" spans="1:14" s="986" customFormat="1" ht="15.75" customHeight="1">
      <c r="A1087" s="1055"/>
      <c r="B1087" s="1055"/>
      <c r="C1087" s="1055"/>
      <c r="D1087" s="1055"/>
      <c r="E1087" s="1055"/>
      <c r="F1087" s="1055"/>
      <c r="G1087" s="1055"/>
      <c r="H1087" s="1055"/>
      <c r="I1087" s="1055"/>
      <c r="J1087" s="1055"/>
      <c r="K1087" s="1055"/>
      <c r="L1087" s="1055"/>
      <c r="M1087" s="1055"/>
      <c r="N1087" s="1055"/>
    </row>
    <row r="1088" spans="1:14" s="986" customFormat="1" ht="15.75" customHeight="1">
      <c r="A1088" s="1055"/>
      <c r="B1088" s="1055"/>
      <c r="C1088" s="1055"/>
      <c r="D1088" s="1055"/>
      <c r="E1088" s="1055"/>
      <c r="F1088" s="1055"/>
      <c r="G1088" s="1055"/>
      <c r="H1088" s="1055"/>
      <c r="I1088" s="1055"/>
      <c r="J1088" s="1055"/>
      <c r="K1088" s="1055"/>
      <c r="L1088" s="1055"/>
      <c r="M1088" s="1055"/>
      <c r="N1088" s="1055"/>
    </row>
    <row r="1089" spans="1:14" s="986" customFormat="1" ht="15.75" customHeight="1">
      <c r="A1089" s="1055"/>
      <c r="B1089" s="1055"/>
      <c r="C1089" s="1055"/>
      <c r="D1089" s="1055"/>
      <c r="E1089" s="1055"/>
      <c r="F1089" s="1055"/>
      <c r="G1089" s="1055"/>
      <c r="H1089" s="1055"/>
      <c r="I1089" s="1055"/>
      <c r="J1089" s="1055"/>
      <c r="K1089" s="1055"/>
      <c r="L1089" s="1055"/>
      <c r="M1089" s="1055"/>
      <c r="N1089" s="1055"/>
    </row>
    <row r="1090" spans="1:14" s="986" customFormat="1" ht="15.75" customHeight="1">
      <c r="A1090" s="1055"/>
      <c r="B1090" s="1055"/>
      <c r="C1090" s="1055"/>
      <c r="D1090" s="1055"/>
      <c r="E1090" s="1055"/>
      <c r="F1090" s="1055"/>
      <c r="G1090" s="1055"/>
      <c r="H1090" s="1055"/>
      <c r="I1090" s="1055"/>
      <c r="J1090" s="1055"/>
      <c r="K1090" s="1055"/>
      <c r="L1090" s="1055"/>
      <c r="M1090" s="1055"/>
      <c r="N1090" s="1055"/>
    </row>
    <row r="1091" spans="1:14" s="986" customFormat="1" ht="15.75" customHeight="1">
      <c r="A1091" s="1055"/>
      <c r="B1091" s="1055"/>
      <c r="C1091" s="1055"/>
      <c r="D1091" s="1055"/>
      <c r="E1091" s="1055"/>
      <c r="F1091" s="1055"/>
      <c r="G1091" s="1055"/>
      <c r="H1091" s="1055"/>
      <c r="I1091" s="1055"/>
      <c r="J1091" s="1055"/>
      <c r="K1091" s="1055"/>
      <c r="L1091" s="1055"/>
      <c r="M1091" s="1055"/>
      <c r="N1091" s="1055"/>
    </row>
    <row r="1092" spans="1:14" s="986" customFormat="1" ht="15.75" customHeight="1">
      <c r="A1092" s="1055"/>
      <c r="B1092" s="1055"/>
      <c r="C1092" s="1055"/>
      <c r="D1092" s="1055"/>
      <c r="E1092" s="1055"/>
      <c r="F1092" s="1055"/>
      <c r="G1092" s="1055"/>
      <c r="H1092" s="1055"/>
      <c r="I1092" s="1055"/>
      <c r="J1092" s="1055"/>
      <c r="K1092" s="1055"/>
      <c r="L1092" s="1055"/>
      <c r="M1092" s="1055"/>
      <c r="N1092" s="1055"/>
    </row>
    <row r="1093" spans="1:14" s="986" customFormat="1" ht="15.75" customHeight="1">
      <c r="A1093" s="1055"/>
      <c r="B1093" s="1055"/>
      <c r="C1093" s="1055"/>
      <c r="D1093" s="1055"/>
      <c r="E1093" s="1055"/>
      <c r="F1093" s="1055"/>
      <c r="G1093" s="1055"/>
      <c r="H1093" s="1055"/>
      <c r="I1093" s="1055"/>
      <c r="J1093" s="1055"/>
      <c r="K1093" s="1055"/>
      <c r="L1093" s="1055"/>
      <c r="M1093" s="1055"/>
      <c r="N1093" s="1055"/>
    </row>
    <row r="1094" spans="1:14" s="986" customFormat="1" ht="15.75" customHeight="1">
      <c r="A1094" s="1055"/>
      <c r="B1094" s="1055"/>
      <c r="C1094" s="1055"/>
      <c r="D1094" s="1055"/>
      <c r="E1094" s="1055"/>
      <c r="F1094" s="1055"/>
      <c r="G1094" s="1055"/>
      <c r="H1094" s="1055"/>
      <c r="I1094" s="1055"/>
      <c r="J1094" s="1055"/>
      <c r="K1094" s="1055"/>
      <c r="L1094" s="1055"/>
      <c r="M1094" s="1055"/>
      <c r="N1094" s="1055"/>
    </row>
    <row r="1095" spans="1:14" s="986" customFormat="1" ht="15.75" customHeight="1">
      <c r="A1095" s="1055"/>
      <c r="B1095" s="1055"/>
      <c r="C1095" s="1055"/>
      <c r="D1095" s="1055"/>
      <c r="E1095" s="1055"/>
      <c r="F1095" s="1055"/>
      <c r="G1095" s="1055"/>
      <c r="H1095" s="1055"/>
      <c r="I1095" s="1055"/>
      <c r="J1095" s="1055"/>
      <c r="K1095" s="1055"/>
      <c r="L1095" s="1055"/>
      <c r="M1095" s="1055"/>
      <c r="N1095" s="1055"/>
    </row>
    <row r="1096" spans="1:14" s="986" customFormat="1" ht="15.75" customHeight="1">
      <c r="A1096" s="1055"/>
      <c r="B1096" s="1055"/>
      <c r="C1096" s="1055"/>
      <c r="D1096" s="1055"/>
      <c r="E1096" s="1055"/>
      <c r="F1096" s="1055"/>
      <c r="G1096" s="1055"/>
      <c r="H1096" s="1055"/>
      <c r="I1096" s="1055"/>
      <c r="J1096" s="1055"/>
      <c r="K1096" s="1055"/>
      <c r="L1096" s="1055"/>
      <c r="M1096" s="1055"/>
      <c r="N1096" s="1055"/>
    </row>
    <row r="1097" spans="1:14" s="986" customFormat="1" ht="15.75" customHeight="1">
      <c r="A1097" s="1055"/>
      <c r="B1097" s="1055"/>
      <c r="C1097" s="1055"/>
      <c r="D1097" s="1055"/>
      <c r="E1097" s="1055"/>
      <c r="F1097" s="1055"/>
      <c r="G1097" s="1055"/>
      <c r="H1097" s="1055"/>
      <c r="I1097" s="1055"/>
      <c r="J1097" s="1055"/>
      <c r="K1097" s="1055"/>
      <c r="L1097" s="1055"/>
      <c r="M1097" s="1055"/>
      <c r="N1097" s="1055"/>
    </row>
    <row r="1098" spans="1:14" s="986" customFormat="1" ht="15.75" customHeight="1">
      <c r="A1098" s="1055"/>
      <c r="B1098" s="1055"/>
      <c r="C1098" s="1055"/>
      <c r="D1098" s="1055"/>
      <c r="E1098" s="1055"/>
      <c r="F1098" s="1055"/>
      <c r="G1098" s="1055"/>
      <c r="H1098" s="1055"/>
      <c r="I1098" s="1055"/>
      <c r="J1098" s="1055"/>
      <c r="K1098" s="1055"/>
      <c r="L1098" s="1055"/>
      <c r="M1098" s="1055"/>
      <c r="N1098" s="1055"/>
    </row>
    <row r="1099" spans="1:14" s="986" customFormat="1" ht="15.75" customHeight="1">
      <c r="A1099" s="1055"/>
      <c r="B1099" s="1055"/>
      <c r="C1099" s="1055"/>
      <c r="D1099" s="1055"/>
      <c r="E1099" s="1055"/>
      <c r="F1099" s="1055"/>
      <c r="G1099" s="1055"/>
      <c r="H1099" s="1055"/>
      <c r="I1099" s="1055"/>
      <c r="J1099" s="1055"/>
      <c r="K1099" s="1055"/>
      <c r="L1099" s="1055"/>
      <c r="M1099" s="1055"/>
      <c r="N1099" s="1055"/>
    </row>
    <row r="1100" spans="1:14" s="986" customFormat="1" ht="15.75" customHeight="1">
      <c r="A1100" s="1055"/>
      <c r="B1100" s="1055"/>
      <c r="C1100" s="1055"/>
      <c r="D1100" s="1055"/>
      <c r="E1100" s="1055"/>
      <c r="F1100" s="1055"/>
      <c r="G1100" s="1055"/>
      <c r="H1100" s="1055"/>
      <c r="I1100" s="1055"/>
      <c r="J1100" s="1055"/>
      <c r="K1100" s="1055"/>
      <c r="L1100" s="1055"/>
      <c r="M1100" s="1055"/>
      <c r="N1100" s="1055"/>
    </row>
    <row r="1101" spans="1:14" s="986" customFormat="1" ht="15.75" customHeight="1">
      <c r="A1101" s="1055"/>
      <c r="B1101" s="1055"/>
      <c r="C1101" s="1055"/>
      <c r="D1101" s="1055"/>
      <c r="E1101" s="1055"/>
      <c r="F1101" s="1055"/>
      <c r="G1101" s="1055"/>
      <c r="H1101" s="1055"/>
      <c r="I1101" s="1055"/>
      <c r="J1101" s="1055"/>
      <c r="K1101" s="1055"/>
      <c r="L1101" s="1055"/>
      <c r="M1101" s="1055"/>
      <c r="N1101" s="1055"/>
    </row>
    <row r="1102" spans="1:14" s="986" customFormat="1" ht="15.75" customHeight="1">
      <c r="A1102" s="1055"/>
      <c r="B1102" s="1055"/>
      <c r="C1102" s="1055"/>
      <c r="D1102" s="1055"/>
      <c r="E1102" s="1055"/>
      <c r="F1102" s="1055"/>
      <c r="G1102" s="1055"/>
      <c r="H1102" s="1055"/>
      <c r="I1102" s="1055"/>
      <c r="J1102" s="1055"/>
      <c r="K1102" s="1055"/>
      <c r="L1102" s="1055"/>
      <c r="M1102" s="1055"/>
      <c r="N1102" s="1055"/>
    </row>
    <row r="1103" spans="1:14" s="986" customFormat="1" ht="15.75" customHeight="1">
      <c r="A1103" s="1055"/>
      <c r="B1103" s="1055"/>
      <c r="C1103" s="1055"/>
      <c r="D1103" s="1055"/>
      <c r="E1103" s="1055"/>
      <c r="F1103" s="1055"/>
      <c r="G1103" s="1055"/>
      <c r="H1103" s="1055"/>
      <c r="I1103" s="1055"/>
      <c r="J1103" s="1055"/>
      <c r="K1103" s="1055"/>
      <c r="L1103" s="1055"/>
      <c r="M1103" s="1055"/>
      <c r="N1103" s="1055"/>
    </row>
    <row r="1104" spans="1:14" s="986" customFormat="1" ht="15.75" customHeight="1">
      <c r="A1104" s="1055"/>
      <c r="B1104" s="1055"/>
      <c r="C1104" s="1055"/>
      <c r="D1104" s="1055"/>
      <c r="E1104" s="1055"/>
      <c r="F1104" s="1055"/>
      <c r="G1104" s="1055"/>
      <c r="H1104" s="1055"/>
      <c r="I1104" s="1055"/>
      <c r="J1104" s="1055"/>
      <c r="K1104" s="1055"/>
      <c r="L1104" s="1055"/>
      <c r="M1104" s="1055"/>
      <c r="N1104" s="1055"/>
    </row>
    <row r="1105" spans="1:14" s="986" customFormat="1" ht="15.75" customHeight="1">
      <c r="A1105" s="1055"/>
      <c r="B1105" s="1055"/>
      <c r="C1105" s="1055"/>
      <c r="D1105" s="1055"/>
      <c r="E1105" s="1055"/>
      <c r="F1105" s="1055"/>
      <c r="G1105" s="1055"/>
      <c r="H1105" s="1055"/>
      <c r="I1105" s="1055"/>
      <c r="J1105" s="1055"/>
      <c r="K1105" s="1055"/>
      <c r="L1105" s="1055"/>
      <c r="M1105" s="1055"/>
      <c r="N1105" s="1055"/>
    </row>
    <row r="1106" spans="1:14" s="986" customFormat="1" ht="15.75" customHeight="1">
      <c r="A1106" s="1055"/>
      <c r="B1106" s="1055"/>
      <c r="C1106" s="1055"/>
      <c r="D1106" s="1055"/>
      <c r="E1106" s="1055"/>
      <c r="F1106" s="1055"/>
      <c r="G1106" s="1055"/>
      <c r="H1106" s="1055"/>
      <c r="I1106" s="1055"/>
      <c r="J1106" s="1055"/>
      <c r="K1106" s="1055"/>
      <c r="L1106" s="1055"/>
      <c r="M1106" s="1055"/>
      <c r="N1106" s="1055"/>
    </row>
    <row r="1107" spans="1:14" s="986" customFormat="1" ht="15.75" customHeight="1">
      <c r="A1107" s="1055"/>
      <c r="B1107" s="1055"/>
      <c r="C1107" s="1055"/>
      <c r="D1107" s="1055"/>
      <c r="E1107" s="1055"/>
      <c r="F1107" s="1055"/>
      <c r="G1107" s="1055"/>
      <c r="H1107" s="1055"/>
      <c r="I1107" s="1055"/>
      <c r="J1107" s="1055"/>
      <c r="K1107" s="1055"/>
      <c r="L1107" s="1055"/>
      <c r="M1107" s="1055"/>
      <c r="N1107" s="1055"/>
    </row>
    <row r="1108" spans="1:14" s="986" customFormat="1" ht="15.75" customHeight="1">
      <c r="A1108" s="1055"/>
      <c r="B1108" s="1055"/>
      <c r="C1108" s="1055"/>
      <c r="D1108" s="1055"/>
      <c r="E1108" s="1055"/>
      <c r="F1108" s="1055"/>
      <c r="G1108" s="1055"/>
      <c r="H1108" s="1055"/>
      <c r="I1108" s="1055"/>
      <c r="J1108" s="1055"/>
      <c r="K1108" s="1055"/>
      <c r="L1108" s="1055"/>
      <c r="M1108" s="1055"/>
      <c r="N1108" s="1055"/>
    </row>
    <row r="1109" spans="1:14" s="986" customFormat="1" ht="15.75" customHeight="1">
      <c r="A1109" s="1055"/>
      <c r="B1109" s="1055"/>
      <c r="C1109" s="1055"/>
      <c r="D1109" s="1055"/>
      <c r="E1109" s="1055"/>
      <c r="F1109" s="1055"/>
      <c r="G1109" s="1055"/>
      <c r="H1109" s="1055"/>
      <c r="I1109" s="1055"/>
      <c r="J1109" s="1055"/>
      <c r="K1109" s="1055"/>
      <c r="L1109" s="1055"/>
      <c r="M1109" s="1055"/>
      <c r="N1109" s="1055"/>
    </row>
    <row r="1110" spans="1:14" s="986" customFormat="1" ht="15.75" customHeight="1">
      <c r="A1110" s="1055"/>
      <c r="B1110" s="1055"/>
      <c r="C1110" s="1055"/>
      <c r="D1110" s="1055"/>
      <c r="E1110" s="1055"/>
      <c r="F1110" s="1055"/>
      <c r="G1110" s="1055"/>
      <c r="H1110" s="1055"/>
      <c r="I1110" s="1055"/>
      <c r="J1110" s="1055"/>
      <c r="K1110" s="1055"/>
      <c r="L1110" s="1055"/>
      <c r="M1110" s="1055"/>
      <c r="N1110" s="1055"/>
    </row>
    <row r="1111" spans="1:14" s="986" customFormat="1" ht="15.75" customHeight="1">
      <c r="A1111" s="1055"/>
      <c r="B1111" s="1055"/>
      <c r="C1111" s="1055"/>
      <c r="D1111" s="1055"/>
      <c r="E1111" s="1055"/>
      <c r="F1111" s="1055"/>
      <c r="G1111" s="1055"/>
      <c r="H1111" s="1055"/>
      <c r="I1111" s="1055"/>
      <c r="J1111" s="1055"/>
      <c r="K1111" s="1055"/>
      <c r="L1111" s="1055"/>
      <c r="M1111" s="1055"/>
      <c r="N1111" s="1055"/>
    </row>
    <row r="1112" spans="1:14" s="986" customFormat="1" ht="15.75" customHeight="1">
      <c r="A1112" s="1055"/>
      <c r="B1112" s="1055"/>
      <c r="C1112" s="1055"/>
      <c r="D1112" s="1055"/>
      <c r="E1112" s="1055"/>
      <c r="F1112" s="1055"/>
      <c r="G1112" s="1055"/>
      <c r="H1112" s="1055"/>
      <c r="I1112" s="1055"/>
      <c r="J1112" s="1055"/>
      <c r="K1112" s="1055"/>
      <c r="L1112" s="1055"/>
      <c r="M1112" s="1055"/>
      <c r="N1112" s="1055"/>
    </row>
    <row r="1113" spans="1:14" s="986" customFormat="1" ht="15.75" customHeight="1">
      <c r="A1113" s="1055"/>
      <c r="B1113" s="1055"/>
      <c r="C1113" s="1055"/>
      <c r="D1113" s="1055"/>
      <c r="E1113" s="1055"/>
      <c r="F1113" s="1055"/>
      <c r="G1113" s="1055"/>
      <c r="H1113" s="1055"/>
      <c r="I1113" s="1055"/>
      <c r="J1113" s="1055"/>
      <c r="K1113" s="1055"/>
      <c r="L1113" s="1055"/>
      <c r="M1113" s="1055"/>
      <c r="N1113" s="1055"/>
    </row>
    <row r="1114" spans="1:14" s="986" customFormat="1" ht="15.75" customHeight="1">
      <c r="A1114" s="1055"/>
      <c r="B1114" s="1055"/>
      <c r="C1114" s="1055"/>
      <c r="D1114" s="1055"/>
      <c r="E1114" s="1055"/>
      <c r="F1114" s="1055"/>
      <c r="G1114" s="1055"/>
      <c r="H1114" s="1055"/>
      <c r="I1114" s="1055"/>
      <c r="J1114" s="1055"/>
      <c r="K1114" s="1055"/>
      <c r="L1114" s="1055"/>
      <c r="M1114" s="1055"/>
      <c r="N1114" s="1055"/>
    </row>
    <row r="1115" spans="1:14" s="986" customFormat="1" ht="15.75" customHeight="1">
      <c r="A1115" s="1055"/>
      <c r="B1115" s="1055"/>
      <c r="C1115" s="1055"/>
      <c r="D1115" s="1055"/>
      <c r="E1115" s="1055"/>
      <c r="F1115" s="1055"/>
      <c r="G1115" s="1055"/>
      <c r="H1115" s="1055"/>
      <c r="I1115" s="1055"/>
      <c r="J1115" s="1055"/>
      <c r="K1115" s="1055"/>
      <c r="L1115" s="1055"/>
      <c r="M1115" s="1055"/>
      <c r="N1115" s="1055"/>
    </row>
    <row r="1116" spans="1:14" s="986" customFormat="1" ht="15.75" customHeight="1">
      <c r="A1116" s="1055"/>
      <c r="B1116" s="1055"/>
      <c r="C1116" s="1055"/>
      <c r="D1116" s="1055"/>
      <c r="E1116" s="1055"/>
      <c r="F1116" s="1055"/>
      <c r="G1116" s="1055"/>
      <c r="H1116" s="1055"/>
      <c r="I1116" s="1055"/>
      <c r="J1116" s="1055"/>
      <c r="K1116" s="1055"/>
      <c r="L1116" s="1055"/>
      <c r="M1116" s="1055"/>
      <c r="N1116" s="1055"/>
    </row>
    <row r="1117" spans="1:14" s="986" customFormat="1" ht="15.75" customHeight="1">
      <c r="A1117" s="1055"/>
      <c r="B1117" s="1055"/>
      <c r="C1117" s="1055"/>
      <c r="D1117" s="1055"/>
      <c r="E1117" s="1055"/>
      <c r="F1117" s="1055"/>
      <c r="G1117" s="1055"/>
      <c r="H1117" s="1055"/>
      <c r="I1117" s="1055"/>
      <c r="J1117" s="1055"/>
      <c r="K1117" s="1055"/>
      <c r="L1117" s="1055"/>
      <c r="M1117" s="1055"/>
      <c r="N1117" s="1055"/>
    </row>
    <row r="1118" spans="1:14" s="986" customFormat="1" ht="15.75" customHeight="1">
      <c r="A1118" s="1055"/>
      <c r="B1118" s="1055"/>
      <c r="C1118" s="1055"/>
      <c r="D1118" s="1055"/>
      <c r="E1118" s="1055"/>
      <c r="F1118" s="1055"/>
      <c r="G1118" s="1055"/>
      <c r="H1118" s="1055"/>
      <c r="I1118" s="1055"/>
      <c r="J1118" s="1055"/>
      <c r="K1118" s="1055"/>
      <c r="L1118" s="1055"/>
      <c r="M1118" s="1055"/>
      <c r="N1118" s="1055"/>
    </row>
    <row r="1119" spans="1:14" s="986" customFormat="1" ht="15.75" customHeight="1">
      <c r="A1119" s="1055"/>
      <c r="B1119" s="1055"/>
      <c r="C1119" s="1055"/>
      <c r="D1119" s="1055"/>
      <c r="E1119" s="1055"/>
      <c r="F1119" s="1055"/>
      <c r="G1119" s="1055"/>
      <c r="H1119" s="1055"/>
      <c r="I1119" s="1055"/>
      <c r="J1119" s="1055"/>
      <c r="K1119" s="1055"/>
      <c r="L1119" s="1055"/>
      <c r="M1119" s="1055"/>
      <c r="N1119" s="1055"/>
    </row>
    <row r="1120" spans="1:14" s="986" customFormat="1" ht="15.75" customHeight="1">
      <c r="A1120" s="1055"/>
      <c r="B1120" s="1055"/>
      <c r="C1120" s="1055"/>
      <c r="D1120" s="1055"/>
      <c r="E1120" s="1055"/>
      <c r="F1120" s="1055"/>
      <c r="G1120" s="1055"/>
      <c r="H1120" s="1055"/>
      <c r="I1120" s="1055"/>
      <c r="J1120" s="1055"/>
      <c r="K1120" s="1055"/>
      <c r="L1120" s="1055"/>
      <c r="M1120" s="1055"/>
      <c r="N1120" s="1055"/>
    </row>
    <row r="1121" spans="1:14" s="986" customFormat="1" ht="15.75" customHeight="1">
      <c r="A1121" s="1055"/>
      <c r="B1121" s="1055"/>
      <c r="C1121" s="1055"/>
      <c r="D1121" s="1055"/>
      <c r="E1121" s="1055"/>
      <c r="F1121" s="1055"/>
      <c r="G1121" s="1055"/>
      <c r="H1121" s="1055"/>
      <c r="I1121" s="1055"/>
      <c r="J1121" s="1055"/>
      <c r="K1121" s="1055"/>
      <c r="L1121" s="1055"/>
      <c r="M1121" s="1055"/>
      <c r="N1121" s="1055"/>
    </row>
    <row r="1122" spans="1:14" s="986" customFormat="1" ht="15.75" customHeight="1">
      <c r="A1122" s="1055"/>
      <c r="B1122" s="1055"/>
      <c r="C1122" s="1055"/>
      <c r="D1122" s="1055"/>
      <c r="E1122" s="1055"/>
      <c r="F1122" s="1055"/>
      <c r="G1122" s="1055"/>
      <c r="H1122" s="1055"/>
      <c r="I1122" s="1055"/>
      <c r="J1122" s="1055"/>
      <c r="K1122" s="1055"/>
      <c r="L1122" s="1055"/>
      <c r="M1122" s="1055"/>
      <c r="N1122" s="1055"/>
    </row>
    <row r="1123" spans="1:14" s="986" customFormat="1" ht="15.75" customHeight="1">
      <c r="A1123" s="1055"/>
      <c r="B1123" s="1055"/>
      <c r="C1123" s="1055"/>
      <c r="D1123" s="1055"/>
      <c r="E1123" s="1055"/>
      <c r="F1123" s="1055"/>
      <c r="G1123" s="1055"/>
      <c r="H1123" s="1055"/>
      <c r="I1123" s="1055"/>
      <c r="J1123" s="1055"/>
      <c r="K1123" s="1055"/>
      <c r="L1123" s="1055"/>
      <c r="M1123" s="1055"/>
      <c r="N1123" s="1055"/>
    </row>
    <row r="1124" spans="1:14" s="986" customFormat="1" ht="15.75" customHeight="1">
      <c r="A1124" s="1055"/>
      <c r="B1124" s="1055"/>
      <c r="C1124" s="1055"/>
      <c r="D1124" s="1055"/>
      <c r="E1124" s="1055"/>
      <c r="F1124" s="1055"/>
      <c r="G1124" s="1055"/>
      <c r="H1124" s="1055"/>
      <c r="I1124" s="1055"/>
      <c r="J1124" s="1055"/>
      <c r="K1124" s="1055"/>
      <c r="L1124" s="1055"/>
      <c r="M1124" s="1055"/>
      <c r="N1124" s="1055"/>
    </row>
    <row r="1125" spans="1:14" s="986" customFormat="1" ht="15.75" customHeight="1">
      <c r="A1125" s="1055"/>
      <c r="B1125" s="1055"/>
      <c r="C1125" s="1055"/>
      <c r="D1125" s="1055"/>
      <c r="E1125" s="1055"/>
      <c r="F1125" s="1055"/>
      <c r="G1125" s="1055"/>
      <c r="H1125" s="1055"/>
      <c r="I1125" s="1055"/>
      <c r="J1125" s="1055"/>
      <c r="K1125" s="1055"/>
      <c r="L1125" s="1055"/>
      <c r="M1125" s="1055"/>
      <c r="N1125" s="1055"/>
    </row>
    <row r="1126" spans="1:14" s="986" customFormat="1" ht="15.75" customHeight="1">
      <c r="A1126" s="1055"/>
      <c r="B1126" s="1055"/>
      <c r="C1126" s="1055"/>
      <c r="D1126" s="1055"/>
      <c r="E1126" s="1055"/>
      <c r="F1126" s="1055"/>
      <c r="G1126" s="1055"/>
      <c r="H1126" s="1055"/>
      <c r="I1126" s="1055"/>
      <c r="J1126" s="1055"/>
      <c r="K1126" s="1055"/>
      <c r="L1126" s="1055"/>
      <c r="M1126" s="1055"/>
      <c r="N1126" s="1055"/>
    </row>
    <row r="1127" spans="1:14" s="986" customFormat="1" ht="15.75" customHeight="1">
      <c r="A1127" s="1055"/>
      <c r="B1127" s="1055"/>
      <c r="C1127" s="1055"/>
      <c r="D1127" s="1055"/>
      <c r="E1127" s="1055"/>
      <c r="F1127" s="1055"/>
      <c r="G1127" s="1055"/>
      <c r="H1127" s="1055"/>
      <c r="I1127" s="1055"/>
      <c r="J1127" s="1055"/>
      <c r="K1127" s="1055"/>
      <c r="L1127" s="1055"/>
      <c r="M1127" s="1055"/>
      <c r="N1127" s="1055"/>
    </row>
    <row r="1128" spans="1:14" s="986" customFormat="1" ht="15.75" customHeight="1">
      <c r="A1128" s="1055"/>
      <c r="B1128" s="1055"/>
      <c r="C1128" s="1055"/>
      <c r="D1128" s="1055"/>
      <c r="E1128" s="1055"/>
      <c r="F1128" s="1055"/>
      <c r="G1128" s="1055"/>
      <c r="H1128" s="1055"/>
      <c r="I1128" s="1055"/>
      <c r="J1128" s="1055"/>
      <c r="K1128" s="1055"/>
      <c r="L1128" s="1055"/>
      <c r="M1128" s="1055"/>
      <c r="N1128" s="1055"/>
    </row>
    <row r="1129" spans="1:14" s="986" customFormat="1" ht="15.75" customHeight="1">
      <c r="A1129" s="1055"/>
      <c r="B1129" s="1055"/>
      <c r="C1129" s="1055"/>
      <c r="D1129" s="1055"/>
      <c r="E1129" s="1055"/>
      <c r="F1129" s="1055"/>
      <c r="G1129" s="1055"/>
      <c r="H1129" s="1055"/>
      <c r="I1129" s="1055"/>
      <c r="J1129" s="1055"/>
      <c r="K1129" s="1055"/>
      <c r="L1129" s="1055"/>
      <c r="M1129" s="1055"/>
      <c r="N1129" s="1055"/>
    </row>
    <row r="1130" spans="1:14" s="986" customFormat="1" ht="15.75" customHeight="1">
      <c r="A1130" s="1055"/>
      <c r="B1130" s="1055"/>
      <c r="C1130" s="1055"/>
      <c r="D1130" s="1055"/>
      <c r="E1130" s="1055"/>
      <c r="F1130" s="1055"/>
      <c r="G1130" s="1055"/>
      <c r="H1130" s="1055"/>
      <c r="I1130" s="1055"/>
      <c r="J1130" s="1055"/>
      <c r="K1130" s="1055"/>
      <c r="L1130" s="1055"/>
      <c r="M1130" s="1055"/>
      <c r="N1130" s="1055"/>
    </row>
    <row r="1131" spans="1:14" s="986" customFormat="1" ht="15.75" customHeight="1">
      <c r="A1131" s="1055"/>
      <c r="B1131" s="1055"/>
      <c r="C1131" s="1055"/>
      <c r="D1131" s="1055"/>
      <c r="E1131" s="1055"/>
      <c r="F1131" s="1055"/>
      <c r="G1131" s="1055"/>
      <c r="H1131" s="1055"/>
      <c r="I1131" s="1055"/>
      <c r="J1131" s="1055"/>
      <c r="K1131" s="1055"/>
      <c r="L1131" s="1055"/>
      <c r="M1131" s="1055"/>
      <c r="N1131" s="1055"/>
    </row>
    <row r="1132" spans="1:14" s="986" customFormat="1" ht="15.75" customHeight="1">
      <c r="A1132" s="1055"/>
      <c r="B1132" s="1055"/>
      <c r="C1132" s="1055"/>
      <c r="D1132" s="1055"/>
      <c r="E1132" s="1055"/>
      <c r="F1132" s="1055"/>
      <c r="G1132" s="1055"/>
      <c r="H1132" s="1055"/>
      <c r="I1132" s="1055"/>
      <c r="J1132" s="1055"/>
      <c r="K1132" s="1055"/>
      <c r="L1132" s="1055"/>
      <c r="M1132" s="1055"/>
      <c r="N1132" s="1055"/>
    </row>
    <row r="1133" spans="1:14" s="986" customFormat="1" ht="15.75" customHeight="1">
      <c r="A1133" s="1055"/>
      <c r="B1133" s="1055"/>
      <c r="C1133" s="1055"/>
      <c r="D1133" s="1055"/>
      <c r="E1133" s="1055"/>
      <c r="F1133" s="1055"/>
      <c r="G1133" s="1055"/>
      <c r="H1133" s="1055"/>
      <c r="I1133" s="1055"/>
      <c r="J1133" s="1055"/>
      <c r="K1133" s="1055"/>
      <c r="L1133" s="1055"/>
      <c r="M1133" s="1055"/>
      <c r="N1133" s="1055"/>
    </row>
    <row r="1134" spans="1:14" s="986" customFormat="1" ht="15.75" customHeight="1">
      <c r="A1134" s="1055"/>
      <c r="B1134" s="1055"/>
      <c r="C1134" s="1055"/>
      <c r="D1134" s="1055"/>
      <c r="E1134" s="1055"/>
      <c r="F1134" s="1055"/>
      <c r="G1134" s="1055"/>
      <c r="H1134" s="1055"/>
      <c r="I1134" s="1055"/>
      <c r="J1134" s="1055"/>
      <c r="K1134" s="1055"/>
      <c r="L1134" s="1055"/>
      <c r="M1134" s="1055"/>
      <c r="N1134" s="1055"/>
    </row>
    <row r="1135" spans="1:14" s="986" customFormat="1" ht="15.75" customHeight="1">
      <c r="A1135" s="1055"/>
      <c r="B1135" s="1055"/>
      <c r="C1135" s="1055"/>
      <c r="D1135" s="1055"/>
      <c r="E1135" s="1055"/>
      <c r="F1135" s="1055"/>
      <c r="G1135" s="1055"/>
      <c r="H1135" s="1055"/>
      <c r="I1135" s="1055"/>
      <c r="J1135" s="1055"/>
      <c r="K1135" s="1055"/>
      <c r="L1135" s="1055"/>
      <c r="M1135" s="1055"/>
      <c r="N1135" s="1055"/>
    </row>
    <row r="1136" spans="1:14" s="986" customFormat="1" ht="15.75" customHeight="1">
      <c r="A1136" s="1055"/>
      <c r="B1136" s="1055"/>
      <c r="C1136" s="1055"/>
      <c r="D1136" s="1055"/>
      <c r="E1136" s="1055"/>
      <c r="F1136" s="1055"/>
      <c r="G1136" s="1055"/>
      <c r="H1136" s="1055"/>
      <c r="I1136" s="1055"/>
      <c r="J1136" s="1055"/>
      <c r="K1136" s="1055"/>
      <c r="L1136" s="1055"/>
      <c r="M1136" s="1055"/>
      <c r="N1136" s="1055"/>
    </row>
    <row r="1137" spans="1:14" s="986" customFormat="1" ht="15.75" customHeight="1">
      <c r="A1137" s="1055"/>
      <c r="B1137" s="1055"/>
      <c r="C1137" s="1055"/>
      <c r="D1137" s="1055"/>
      <c r="E1137" s="1055"/>
      <c r="F1137" s="1055"/>
      <c r="G1137" s="1055"/>
      <c r="H1137" s="1055"/>
      <c r="I1137" s="1055"/>
      <c r="J1137" s="1055"/>
      <c r="K1137" s="1055"/>
      <c r="L1137" s="1055"/>
      <c r="M1137" s="1055"/>
      <c r="N1137" s="1055"/>
    </row>
    <row r="1138" spans="1:14" s="986" customFormat="1" ht="15.75" customHeight="1">
      <c r="A1138" s="1055"/>
      <c r="B1138" s="1055"/>
      <c r="C1138" s="1055"/>
      <c r="D1138" s="1055"/>
      <c r="E1138" s="1055"/>
      <c r="F1138" s="1055"/>
      <c r="G1138" s="1055"/>
      <c r="H1138" s="1055"/>
      <c r="I1138" s="1055"/>
      <c r="J1138" s="1055"/>
      <c r="K1138" s="1055"/>
      <c r="L1138" s="1055"/>
      <c r="M1138" s="1055"/>
      <c r="N1138" s="1055"/>
    </row>
    <row r="1139" spans="1:14" s="986" customFormat="1" ht="15.75" customHeight="1">
      <c r="A1139" s="1055"/>
      <c r="B1139" s="1055"/>
      <c r="C1139" s="1055"/>
      <c r="D1139" s="1055"/>
      <c r="E1139" s="1055"/>
      <c r="F1139" s="1055"/>
      <c r="G1139" s="1055"/>
      <c r="H1139" s="1055"/>
      <c r="I1139" s="1055"/>
      <c r="J1139" s="1055"/>
      <c r="K1139" s="1055"/>
      <c r="L1139" s="1055"/>
      <c r="M1139" s="1055"/>
      <c r="N1139" s="1055"/>
    </row>
    <row r="1140" spans="1:14" s="986" customFormat="1" ht="15.75" customHeight="1">
      <c r="A1140" s="1055"/>
      <c r="B1140" s="1055"/>
      <c r="C1140" s="1055"/>
      <c r="D1140" s="1055"/>
      <c r="E1140" s="1055"/>
      <c r="F1140" s="1055"/>
      <c r="G1140" s="1055"/>
      <c r="H1140" s="1055"/>
      <c r="I1140" s="1055"/>
      <c r="J1140" s="1055"/>
      <c r="K1140" s="1055"/>
      <c r="L1140" s="1055"/>
      <c r="M1140" s="1055"/>
      <c r="N1140" s="1055"/>
    </row>
    <row r="1141" spans="1:14" s="986" customFormat="1" ht="15.75" customHeight="1">
      <c r="A1141" s="1055"/>
      <c r="B1141" s="1055"/>
      <c r="C1141" s="1055"/>
      <c r="D1141" s="1055"/>
      <c r="E1141" s="1055"/>
      <c r="F1141" s="1055"/>
      <c r="G1141" s="1055"/>
      <c r="H1141" s="1055"/>
      <c r="I1141" s="1055"/>
      <c r="J1141" s="1055"/>
      <c r="K1141" s="1055"/>
      <c r="L1141" s="1055"/>
      <c r="M1141" s="1055"/>
      <c r="N1141" s="1055"/>
    </row>
    <row r="1142" spans="1:14" s="986" customFormat="1" ht="15.75" customHeight="1">
      <c r="A1142" s="1055"/>
      <c r="B1142" s="1055"/>
      <c r="C1142" s="1055"/>
      <c r="D1142" s="1055"/>
      <c r="E1142" s="1055"/>
      <c r="F1142" s="1055"/>
      <c r="G1142" s="1055"/>
      <c r="H1142" s="1055"/>
      <c r="I1142" s="1055"/>
      <c r="J1142" s="1055"/>
      <c r="K1142" s="1055"/>
      <c r="L1142" s="1055"/>
      <c r="M1142" s="1055"/>
      <c r="N1142" s="1055"/>
    </row>
    <row r="1143" spans="1:14" s="986" customFormat="1" ht="15.75" customHeight="1">
      <c r="A1143" s="1055"/>
      <c r="B1143" s="1055"/>
      <c r="C1143" s="1055"/>
      <c r="D1143" s="1055"/>
      <c r="E1143" s="1055"/>
      <c r="F1143" s="1055"/>
      <c r="G1143" s="1055"/>
      <c r="H1143" s="1055"/>
      <c r="I1143" s="1055"/>
      <c r="J1143" s="1055"/>
      <c r="K1143" s="1055"/>
      <c r="L1143" s="1055"/>
      <c r="M1143" s="1055"/>
      <c r="N1143" s="1055"/>
    </row>
    <row r="1144" spans="1:14" s="986" customFormat="1" ht="15.75" customHeight="1">
      <c r="A1144" s="1055"/>
      <c r="B1144" s="1055"/>
      <c r="C1144" s="1055"/>
      <c r="D1144" s="1055"/>
      <c r="E1144" s="1055"/>
      <c r="F1144" s="1055"/>
      <c r="G1144" s="1055"/>
      <c r="H1144" s="1055"/>
      <c r="I1144" s="1055"/>
      <c r="J1144" s="1055"/>
      <c r="K1144" s="1055"/>
      <c r="L1144" s="1055"/>
      <c r="M1144" s="1055"/>
      <c r="N1144" s="1055"/>
    </row>
    <row r="1145" spans="1:14" s="986" customFormat="1" ht="15.75" customHeight="1">
      <c r="A1145" s="1055"/>
      <c r="B1145" s="1055"/>
      <c r="C1145" s="1055"/>
      <c r="D1145" s="1055"/>
      <c r="E1145" s="1055"/>
      <c r="F1145" s="1055"/>
      <c r="G1145" s="1055"/>
      <c r="H1145" s="1055"/>
      <c r="I1145" s="1055"/>
      <c r="J1145" s="1055"/>
      <c r="K1145" s="1055"/>
      <c r="L1145" s="1055"/>
      <c r="M1145" s="1055"/>
      <c r="N1145" s="1055"/>
    </row>
    <row r="1146" spans="1:14" s="986" customFormat="1" ht="15.75" customHeight="1">
      <c r="A1146" s="1055"/>
      <c r="B1146" s="1055"/>
      <c r="C1146" s="1055"/>
      <c r="D1146" s="1055"/>
      <c r="E1146" s="1055"/>
      <c r="F1146" s="1055"/>
      <c r="G1146" s="1055"/>
      <c r="H1146" s="1055"/>
      <c r="I1146" s="1055"/>
      <c r="J1146" s="1055"/>
      <c r="K1146" s="1055"/>
      <c r="L1146" s="1055"/>
      <c r="M1146" s="1055"/>
      <c r="N1146" s="1055"/>
    </row>
    <row r="1147" spans="1:14" s="986" customFormat="1" ht="15.75" customHeight="1">
      <c r="A1147" s="1055"/>
      <c r="B1147" s="1055"/>
      <c r="C1147" s="1055"/>
      <c r="D1147" s="1055"/>
      <c r="E1147" s="1055"/>
      <c r="F1147" s="1055"/>
      <c r="G1147" s="1055"/>
      <c r="H1147" s="1055"/>
      <c r="I1147" s="1055"/>
      <c r="J1147" s="1055"/>
      <c r="K1147" s="1055"/>
      <c r="L1147" s="1055"/>
      <c r="M1147" s="1055"/>
      <c r="N1147" s="1055"/>
    </row>
    <row r="1148" spans="1:14" s="986" customFormat="1" ht="15.75" customHeight="1">
      <c r="A1148" s="1055"/>
      <c r="B1148" s="1055"/>
      <c r="C1148" s="1055"/>
      <c r="D1148" s="1055"/>
      <c r="E1148" s="1055"/>
      <c r="F1148" s="1055"/>
      <c r="G1148" s="1055"/>
      <c r="H1148" s="1055"/>
      <c r="I1148" s="1055"/>
      <c r="J1148" s="1055"/>
      <c r="K1148" s="1055"/>
      <c r="L1148" s="1055"/>
      <c r="M1148" s="1055"/>
      <c r="N1148" s="1055"/>
    </row>
    <row r="1149" spans="1:14" s="986" customFormat="1" ht="15.75" customHeight="1">
      <c r="A1149" s="1055"/>
      <c r="B1149" s="1055"/>
      <c r="C1149" s="1055"/>
      <c r="D1149" s="1055"/>
      <c r="E1149" s="1055"/>
      <c r="F1149" s="1055"/>
      <c r="G1149" s="1055"/>
      <c r="H1149" s="1055"/>
      <c r="I1149" s="1055"/>
      <c r="J1149" s="1055"/>
      <c r="K1149" s="1055"/>
      <c r="L1149" s="1055"/>
      <c r="M1149" s="1055"/>
      <c r="N1149" s="1055"/>
    </row>
    <row r="1150" spans="1:14" s="986" customFormat="1" ht="15.75" customHeight="1">
      <c r="A1150" s="1055"/>
      <c r="B1150" s="1055"/>
      <c r="C1150" s="1055"/>
      <c r="D1150" s="1055"/>
      <c r="E1150" s="1055"/>
      <c r="F1150" s="1055"/>
      <c r="G1150" s="1055"/>
      <c r="H1150" s="1055"/>
      <c r="I1150" s="1055"/>
      <c r="J1150" s="1055"/>
      <c r="K1150" s="1055"/>
      <c r="L1150" s="1055"/>
      <c r="M1150" s="1055"/>
      <c r="N1150" s="1055"/>
    </row>
    <row r="1151" spans="1:14" s="986" customFormat="1" ht="15.75" customHeight="1">
      <c r="A1151" s="1055"/>
      <c r="B1151" s="1055"/>
      <c r="C1151" s="1055"/>
      <c r="D1151" s="1055"/>
      <c r="E1151" s="1055"/>
      <c r="F1151" s="1055"/>
      <c r="G1151" s="1055"/>
      <c r="H1151" s="1055"/>
      <c r="I1151" s="1055"/>
      <c r="J1151" s="1055"/>
      <c r="K1151" s="1055"/>
      <c r="L1151" s="1055"/>
      <c r="M1151" s="1055"/>
      <c r="N1151" s="1055"/>
    </row>
    <row r="1152" spans="1:14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</sheetData>
  <pageMargins left="0.7" right="0.45" top="0.75" bottom="0.5" header="0.511811023622047" footer="0.511811023622047"/>
  <pageSetup paperSize="9" scale="67" orientation="landscape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P742"/>
  <sheetViews>
    <sheetView zoomScale="80" zoomScaleNormal="80" workbookViewId="0">
      <selection activeCell="H7" sqref="H7"/>
    </sheetView>
  </sheetViews>
  <sheetFormatPr baseColWidth="10" defaultColWidth="8.83203125" defaultRowHeight="13"/>
  <cols>
    <col min="2" max="2" width="57.5" customWidth="1"/>
    <col min="3" max="5" width="10.5" customWidth="1"/>
    <col min="6" max="6" width="12" customWidth="1"/>
    <col min="7" max="13" width="10.5" customWidth="1"/>
    <col min="14" max="14" width="12" customWidth="1"/>
    <col min="15" max="15" width="6.1640625" customWidth="1"/>
    <col min="16" max="16" width="20.5" customWidth="1"/>
  </cols>
  <sheetData>
    <row r="1" spans="1:16" ht="19.5" customHeight="1">
      <c r="A1" s="3239" t="s">
        <v>1</v>
      </c>
      <c r="B1" s="3240" t="s">
        <v>68</v>
      </c>
      <c r="C1" s="3240" t="s">
        <v>77</v>
      </c>
      <c r="D1" s="3240" t="s">
        <v>78</v>
      </c>
      <c r="E1" s="3240" t="s">
        <v>79</v>
      </c>
      <c r="F1" s="3240" t="s">
        <v>6</v>
      </c>
      <c r="G1" s="3240" t="s">
        <v>999</v>
      </c>
      <c r="H1" s="3240" t="s">
        <v>977</v>
      </c>
      <c r="I1" s="3240" t="s">
        <v>978</v>
      </c>
      <c r="J1" s="3240" t="s">
        <v>1000</v>
      </c>
      <c r="K1" s="3240"/>
      <c r="L1" s="3240" t="s">
        <v>213</v>
      </c>
      <c r="M1" s="3240" t="s">
        <v>80</v>
      </c>
      <c r="N1" s="3240" t="s">
        <v>81</v>
      </c>
      <c r="O1" s="3240" t="s">
        <v>82</v>
      </c>
      <c r="P1" s="3260" t="s">
        <v>83</v>
      </c>
    </row>
    <row r="2" spans="1:16" ht="19.5" customHeight="1">
      <c r="A2" s="3239"/>
      <c r="B2" s="3240"/>
      <c r="C2" s="3240"/>
      <c r="D2" s="3240"/>
      <c r="E2" s="3240"/>
      <c r="F2" s="3240"/>
      <c r="G2" s="3240"/>
      <c r="H2" s="3240"/>
      <c r="I2" s="3240"/>
      <c r="J2" s="921" t="s">
        <v>1001</v>
      </c>
      <c r="K2" s="921" t="s">
        <v>1002</v>
      </c>
      <c r="L2" s="3240"/>
      <c r="M2" s="3240"/>
      <c r="N2" s="3240"/>
      <c r="O2" s="3240"/>
      <c r="P2" s="3260"/>
    </row>
    <row r="3" spans="1:16" ht="7.5" customHeight="1">
      <c r="A3" s="442"/>
      <c r="B3" s="442"/>
      <c r="C3" s="442"/>
      <c r="D3" s="442"/>
      <c r="E3" s="442"/>
      <c r="F3" s="442"/>
      <c r="G3" s="442"/>
      <c r="H3" s="442"/>
      <c r="I3" s="442"/>
      <c r="J3" s="442"/>
      <c r="K3" s="442"/>
      <c r="L3" s="442"/>
      <c r="M3" s="442"/>
      <c r="N3" s="442"/>
      <c r="O3" s="442"/>
      <c r="P3" s="1096"/>
    </row>
    <row r="4" spans="1:16" ht="7.5" customHeight="1">
      <c r="A4" s="857"/>
      <c r="B4" s="858"/>
      <c r="C4" s="858"/>
      <c r="D4" s="858"/>
      <c r="E4" s="858"/>
      <c r="F4" s="858"/>
      <c r="G4" s="858"/>
      <c r="H4" s="858"/>
      <c r="I4" s="858"/>
      <c r="J4" s="858"/>
      <c r="K4" s="858"/>
      <c r="L4" s="858"/>
      <c r="M4" s="858"/>
      <c r="N4" s="858"/>
      <c r="O4" s="858"/>
      <c r="P4" s="1097"/>
    </row>
    <row r="5" spans="1:16" ht="15.75" customHeight="1">
      <c r="A5" s="425" t="s">
        <v>1483</v>
      </c>
      <c r="B5" s="443" t="s">
        <v>885</v>
      </c>
      <c r="C5" s="428"/>
      <c r="D5" s="428"/>
      <c r="E5" s="428"/>
      <c r="F5" s="428"/>
      <c r="G5" s="428"/>
      <c r="H5" s="428"/>
      <c r="I5" s="428"/>
      <c r="J5" s="428"/>
      <c r="K5" s="428"/>
      <c r="L5" s="428"/>
      <c r="M5" s="428"/>
      <c r="N5" s="428"/>
      <c r="O5" s="362"/>
      <c r="P5" s="1098"/>
    </row>
    <row r="6" spans="1:16" ht="15.75" customHeight="1">
      <c r="A6" s="62">
        <v>1</v>
      </c>
      <c r="B6" s="428" t="s">
        <v>886</v>
      </c>
      <c r="C6" s="428">
        <v>50</v>
      </c>
      <c r="D6" s="428">
        <v>10</v>
      </c>
      <c r="E6" s="428"/>
      <c r="F6" s="428">
        <f>'12. Vol Levelling'!C6*15%</f>
        <v>1.6635</v>
      </c>
      <c r="G6" s="428"/>
      <c r="H6" s="428"/>
      <c r="I6" s="428"/>
      <c r="J6" s="428"/>
      <c r="K6" s="428"/>
      <c r="L6" s="428"/>
      <c r="M6" s="428"/>
      <c r="N6" s="428">
        <f>C6*D6*0+F6</f>
        <v>1.6635</v>
      </c>
      <c r="O6" s="362" t="s">
        <v>89</v>
      </c>
      <c r="P6" s="1099">
        <f>ROUND((N6),2)</f>
        <v>1.66</v>
      </c>
    </row>
    <row r="7" spans="1:16" ht="40.5" customHeight="1">
      <c r="A7" s="62">
        <f>A6+1</f>
        <v>2</v>
      </c>
      <c r="B7" s="1100" t="s">
        <v>887</v>
      </c>
      <c r="C7" s="428"/>
      <c r="D7" s="428"/>
      <c r="E7" s="428"/>
      <c r="F7" s="428">
        <v>10</v>
      </c>
      <c r="G7" s="428"/>
      <c r="H7" s="428"/>
      <c r="I7" s="428"/>
      <c r="J7" s="428"/>
      <c r="K7" s="428"/>
      <c r="L7" s="428"/>
      <c r="M7" s="428"/>
      <c r="N7" s="428">
        <f>F7</f>
        <v>10</v>
      </c>
      <c r="O7" s="362" t="s">
        <v>888</v>
      </c>
      <c r="P7" s="1099">
        <f>ROUND((N7),2)</f>
        <v>10</v>
      </c>
    </row>
    <row r="8" spans="1:16" ht="40.5" customHeight="1">
      <c r="A8" s="62">
        <f>A7+1</f>
        <v>3</v>
      </c>
      <c r="B8" s="1101" t="s">
        <v>889</v>
      </c>
      <c r="C8" s="428"/>
      <c r="D8" s="428"/>
      <c r="E8" s="428"/>
      <c r="F8" s="428">
        <f>F7</f>
        <v>10</v>
      </c>
      <c r="G8" s="428"/>
      <c r="H8" s="428"/>
      <c r="I8" s="428"/>
      <c r="J8" s="428"/>
      <c r="K8" s="428"/>
      <c r="L8" s="428"/>
      <c r="M8" s="428"/>
      <c r="N8" s="428">
        <f>F8</f>
        <v>10</v>
      </c>
      <c r="O8" s="362" t="s">
        <v>888</v>
      </c>
      <c r="P8" s="1099">
        <f>ROUND((N8),2)</f>
        <v>10</v>
      </c>
    </row>
    <row r="9" spans="1:16" ht="40.5" customHeight="1">
      <c r="A9" s="62">
        <f>A8+1</f>
        <v>4</v>
      </c>
      <c r="B9" s="1101" t="s">
        <v>890</v>
      </c>
      <c r="C9" s="428"/>
      <c r="D9" s="428"/>
      <c r="E9" s="428"/>
      <c r="F9" s="428">
        <f>F8</f>
        <v>10</v>
      </c>
      <c r="G9" s="428"/>
      <c r="H9" s="428"/>
      <c r="I9" s="428"/>
      <c r="J9" s="428"/>
      <c r="K9" s="428"/>
      <c r="L9" s="428"/>
      <c r="M9" s="428"/>
      <c r="N9" s="428">
        <f>F9</f>
        <v>10</v>
      </c>
      <c r="O9" s="362" t="s">
        <v>888</v>
      </c>
      <c r="P9" s="1099">
        <f>ROUND((N9),2)</f>
        <v>10</v>
      </c>
    </row>
    <row r="10" spans="1:16" ht="40.5" customHeight="1">
      <c r="A10" s="62">
        <f>A9+1</f>
        <v>5</v>
      </c>
      <c r="B10" s="1101" t="s">
        <v>891</v>
      </c>
      <c r="C10" s="428"/>
      <c r="D10" s="428"/>
      <c r="E10" s="428"/>
      <c r="F10" s="428">
        <f>F9</f>
        <v>10</v>
      </c>
      <c r="G10" s="428"/>
      <c r="H10" s="428"/>
      <c r="I10" s="428"/>
      <c r="J10" s="428"/>
      <c r="K10" s="428"/>
      <c r="L10" s="428"/>
      <c r="M10" s="428"/>
      <c r="N10" s="428">
        <f>F10</f>
        <v>10</v>
      </c>
      <c r="O10" s="362" t="s">
        <v>888</v>
      </c>
      <c r="P10" s="1099">
        <f>ROUND((N10),2)</f>
        <v>10</v>
      </c>
    </row>
    <row r="11" spans="1:16" ht="15.75" customHeight="1">
      <c r="A11" s="1102"/>
      <c r="B11" s="1103"/>
      <c r="C11" s="428"/>
      <c r="D11" s="428"/>
      <c r="E11" s="428"/>
      <c r="F11" s="428"/>
      <c r="G11" s="428"/>
      <c r="H11" s="428"/>
      <c r="I11" s="428"/>
      <c r="J11" s="428"/>
      <c r="K11" s="428"/>
      <c r="L11" s="428"/>
      <c r="M11" s="428"/>
      <c r="N11" s="390"/>
      <c r="O11" s="362"/>
      <c r="P11" s="962"/>
    </row>
    <row r="12" spans="1:16" ht="15.75" customHeight="1"/>
    <row r="13" spans="1:16" ht="15.75" customHeight="1"/>
    <row r="14" spans="1:16" ht="15.75" customHeight="1"/>
    <row r="15" spans="1:16" ht="15.75" customHeight="1"/>
    <row r="16" spans="1: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</sheetData>
  <mergeCells count="15">
    <mergeCell ref="L1:L2"/>
    <mergeCell ref="M1:M2"/>
    <mergeCell ref="N1:N2"/>
    <mergeCell ref="O1:O2"/>
    <mergeCell ref="P1:P2"/>
    <mergeCell ref="F1:F2"/>
    <mergeCell ref="G1:G2"/>
    <mergeCell ref="H1:H2"/>
    <mergeCell ref="I1:I2"/>
    <mergeCell ref="J1:K1"/>
    <mergeCell ref="A1:A2"/>
    <mergeCell ref="B1:B2"/>
    <mergeCell ref="C1:C2"/>
    <mergeCell ref="D1:D2"/>
    <mergeCell ref="E1:E2"/>
  </mergeCells>
  <pageMargins left="0.7" right="0.7" top="0.75" bottom="0.75" header="0.511811023622047" footer="0.511811023622047"/>
  <pageSetup paperSize="9" orientation="portrait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0000"/>
  </sheetPr>
  <dimension ref="A1:X780"/>
  <sheetViews>
    <sheetView topLeftCell="A6" zoomScaleNormal="100" workbookViewId="0">
      <pane ySplit="1" topLeftCell="A248" activePane="bottomLeft" state="frozen"/>
      <selection activeCell="A6" sqref="A6"/>
      <selection pane="bottomLeft" activeCell="Q43" sqref="Q43"/>
    </sheetView>
  </sheetViews>
  <sheetFormatPr baseColWidth="10" defaultColWidth="9.1640625" defaultRowHeight="15"/>
  <cols>
    <col min="1" max="1" width="9.1640625" style="399"/>
    <col min="2" max="2" width="50.5" style="399" customWidth="1"/>
    <col min="3" max="10" width="12.5" style="399" customWidth="1"/>
    <col min="11" max="11" width="10.5" style="399" customWidth="1"/>
    <col min="12" max="12" width="9.5" style="399" customWidth="1"/>
    <col min="13" max="13" width="14.5" style="399" customWidth="1"/>
    <col min="14" max="14" width="6.5" style="399" customWidth="1"/>
    <col min="15" max="15" width="12.5" style="399" customWidth="1"/>
    <col min="16" max="16" width="21.83203125" style="399" customWidth="1"/>
    <col min="17" max="17" width="17.1640625" style="399" customWidth="1"/>
    <col min="18" max="18" width="9.1640625" style="399"/>
    <col min="19" max="19" width="12.1640625" style="399" customWidth="1"/>
    <col min="20" max="16384" width="9.1640625" style="399"/>
  </cols>
  <sheetData>
    <row r="1" spans="1:22" ht="15.75" customHeight="1">
      <c r="A1" s="398"/>
      <c r="B1" s="398"/>
      <c r="C1" s="398"/>
      <c r="D1" s="398"/>
      <c r="E1" s="398"/>
      <c r="F1" s="398"/>
      <c r="G1" s="398"/>
      <c r="H1" s="398"/>
      <c r="I1" s="398"/>
      <c r="J1" s="398"/>
      <c r="K1" s="398"/>
      <c r="L1" s="398"/>
      <c r="M1" s="398"/>
      <c r="N1" s="398"/>
      <c r="O1" s="398"/>
      <c r="P1" s="398"/>
      <c r="Q1" s="398"/>
      <c r="R1" s="398"/>
      <c r="S1" s="398"/>
      <c r="T1" s="738"/>
      <c r="U1" s="738"/>
      <c r="V1" s="738"/>
    </row>
    <row r="2" spans="1:22" ht="15.75" customHeight="1">
      <c r="A2" s="398"/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398"/>
      <c r="M2" s="398"/>
      <c r="N2" s="398"/>
      <c r="O2" s="398"/>
      <c r="P2" s="398"/>
      <c r="Q2" s="398"/>
      <c r="R2" s="398"/>
      <c r="S2" s="398"/>
      <c r="T2" s="738"/>
      <c r="U2" s="738"/>
      <c r="V2" s="738"/>
    </row>
    <row r="3" spans="1:22" ht="15.75" customHeight="1">
      <c r="A3" s="398"/>
      <c r="B3" s="398"/>
      <c r="C3" s="398"/>
      <c r="D3" s="398"/>
      <c r="E3" s="398"/>
      <c r="F3" s="398"/>
      <c r="G3" s="398"/>
      <c r="H3" s="398"/>
      <c r="I3" s="398"/>
      <c r="J3" s="398"/>
      <c r="K3" s="398"/>
      <c r="L3" s="398"/>
      <c r="M3" s="398"/>
      <c r="N3" s="398"/>
      <c r="O3" s="398"/>
      <c r="P3" s="398"/>
      <c r="Q3" s="398"/>
      <c r="R3" s="398"/>
      <c r="S3" s="398"/>
      <c r="T3" s="738"/>
      <c r="U3" s="738"/>
      <c r="V3" s="738"/>
    </row>
    <row r="4" spans="1:22" ht="24" customHeight="1">
      <c r="A4" s="739" t="s">
        <v>76</v>
      </c>
      <c r="B4" s="398"/>
      <c r="C4" s="398"/>
      <c r="D4" s="398"/>
      <c r="E4" s="398"/>
      <c r="F4" s="398"/>
      <c r="G4" s="398"/>
      <c r="H4" s="398"/>
      <c r="I4" s="398"/>
      <c r="J4" s="398"/>
      <c r="K4" s="398"/>
      <c r="L4" s="398"/>
      <c r="M4" s="398"/>
      <c r="N4" s="398"/>
      <c r="O4" s="398"/>
      <c r="P4" s="398"/>
      <c r="Q4" s="398"/>
      <c r="R4" s="398"/>
      <c r="S4" s="398"/>
      <c r="T4" s="738"/>
      <c r="U4" s="738"/>
      <c r="V4" s="738"/>
    </row>
    <row r="5" spans="1:22" ht="15.75" customHeight="1">
      <c r="A5" s="398"/>
      <c r="B5" s="398"/>
      <c r="C5" s="398"/>
      <c r="D5" s="398"/>
      <c r="E5" s="398"/>
      <c r="F5" s="398"/>
      <c r="G5" s="398"/>
      <c r="H5" s="398"/>
      <c r="I5" s="398"/>
      <c r="J5" s="398"/>
      <c r="K5" s="398"/>
      <c r="L5" s="398"/>
      <c r="M5" s="398"/>
      <c r="N5" s="398"/>
      <c r="O5" s="398"/>
      <c r="P5" s="398"/>
      <c r="Q5" s="398"/>
      <c r="R5" s="398"/>
      <c r="S5" s="398"/>
      <c r="T5" s="738"/>
      <c r="U5" s="738"/>
      <c r="V5" s="738"/>
    </row>
    <row r="6" spans="1:22" ht="30" customHeight="1">
      <c r="A6" s="740" t="s">
        <v>1</v>
      </c>
      <c r="B6" s="741" t="s">
        <v>68</v>
      </c>
      <c r="C6" s="741" t="s">
        <v>77</v>
      </c>
      <c r="D6" s="741" t="s">
        <v>78</v>
      </c>
      <c r="E6" s="741" t="s">
        <v>79</v>
      </c>
      <c r="F6" s="741" t="s">
        <v>213</v>
      </c>
      <c r="G6" s="741" t="s">
        <v>978</v>
      </c>
      <c r="H6" s="741" t="s">
        <v>977</v>
      </c>
      <c r="I6" s="742" t="s">
        <v>1095</v>
      </c>
      <c r="J6" s="742" t="s">
        <v>1096</v>
      </c>
      <c r="K6" s="741" t="s">
        <v>6</v>
      </c>
      <c r="L6" s="741" t="s">
        <v>80</v>
      </c>
      <c r="M6" s="741" t="s">
        <v>81</v>
      </c>
      <c r="N6" s="743" t="s">
        <v>82</v>
      </c>
      <c r="O6" s="398"/>
      <c r="P6" s="398"/>
      <c r="Q6" s="398"/>
      <c r="R6" s="398"/>
      <c r="S6" s="398"/>
      <c r="T6" s="738"/>
      <c r="U6" s="738"/>
      <c r="V6" s="738"/>
    </row>
    <row r="7" spans="1:22" ht="7.5" customHeight="1">
      <c r="A7" s="398"/>
      <c r="B7" s="398"/>
      <c r="C7" s="398"/>
      <c r="D7" s="398"/>
      <c r="E7" s="398"/>
      <c r="F7" s="398"/>
      <c r="G7" s="398"/>
      <c r="H7" s="398"/>
      <c r="I7" s="398"/>
      <c r="J7" s="398"/>
      <c r="K7" s="398"/>
      <c r="L7" s="398"/>
      <c r="M7" s="398"/>
      <c r="N7" s="398"/>
      <c r="O7" s="398"/>
      <c r="P7" s="398"/>
      <c r="Q7" s="398"/>
      <c r="R7" s="398"/>
      <c r="S7" s="398"/>
      <c r="T7" s="738"/>
      <c r="U7" s="738"/>
      <c r="V7" s="738"/>
    </row>
    <row r="8" spans="1:22" ht="21.75" customHeight="1">
      <c r="A8" s="1104" t="s">
        <v>690</v>
      </c>
      <c r="B8" s="1104" t="s">
        <v>691</v>
      </c>
      <c r="C8" s="401"/>
      <c r="D8" s="401"/>
      <c r="E8" s="401"/>
      <c r="F8" s="401"/>
      <c r="G8" s="401"/>
      <c r="H8" s="401"/>
      <c r="I8" s="401"/>
      <c r="J8" s="401"/>
      <c r="K8" s="401"/>
      <c r="L8" s="401"/>
      <c r="M8" s="401"/>
      <c r="N8" s="801"/>
      <c r="O8" s="398"/>
      <c r="P8" s="779"/>
      <c r="Q8" s="398"/>
      <c r="R8" s="398"/>
      <c r="S8" s="398"/>
      <c r="T8" s="738"/>
      <c r="U8" s="738"/>
      <c r="V8" s="738"/>
    </row>
    <row r="9" spans="1:22" ht="15.75" customHeight="1">
      <c r="A9" s="1104" t="s">
        <v>692</v>
      </c>
      <c r="B9" s="1104" t="s">
        <v>395</v>
      </c>
      <c r="C9" s="401"/>
      <c r="D9" s="401"/>
      <c r="E9" s="401"/>
      <c r="F9" s="401"/>
      <c r="G9" s="401"/>
      <c r="H9" s="401"/>
      <c r="I9" s="401"/>
      <c r="J9" s="401"/>
      <c r="K9" s="401"/>
      <c r="L9" s="401"/>
      <c r="M9" s="401"/>
      <c r="N9" s="801"/>
      <c r="O9" s="398"/>
      <c r="P9" s="779"/>
      <c r="Q9" s="398"/>
      <c r="R9" s="398"/>
      <c r="S9" s="398"/>
      <c r="T9" s="738"/>
      <c r="U9" s="738"/>
      <c r="V9" s="738"/>
    </row>
    <row r="10" spans="1:22" ht="15.75" customHeight="1">
      <c r="A10" s="400">
        <v>1</v>
      </c>
      <c r="B10" s="351" t="s">
        <v>396</v>
      </c>
      <c r="C10" s="401"/>
      <c r="D10" s="401"/>
      <c r="E10" s="401"/>
      <c r="F10" s="401"/>
      <c r="G10" s="401"/>
      <c r="H10" s="401"/>
      <c r="I10" s="401"/>
      <c r="J10" s="401"/>
      <c r="K10" s="401"/>
      <c r="L10" s="401"/>
      <c r="M10" s="401"/>
      <c r="N10" s="801"/>
      <c r="O10" s="398"/>
      <c r="P10" s="779"/>
      <c r="Q10" s="398"/>
      <c r="R10" s="398"/>
      <c r="S10" s="398"/>
      <c r="T10" s="738"/>
      <c r="U10" s="738"/>
      <c r="V10" s="738"/>
    </row>
    <row r="11" spans="1:22" ht="15.75" customHeight="1">
      <c r="A11" s="341"/>
      <c r="B11" s="589" t="s">
        <v>1044</v>
      </c>
      <c r="C11" s="401">
        <f>7.5+1</f>
        <v>8.5</v>
      </c>
      <c r="D11" s="401"/>
      <c r="E11" s="401"/>
      <c r="F11" s="401"/>
      <c r="G11" s="401"/>
      <c r="H11" s="401">
        <v>2</v>
      </c>
      <c r="I11" s="401"/>
      <c r="J11" s="401"/>
      <c r="K11" s="401"/>
      <c r="L11" s="401"/>
      <c r="M11" s="401">
        <f>C11*H11</f>
        <v>17</v>
      </c>
      <c r="N11" s="801"/>
      <c r="O11" s="398"/>
      <c r="P11" s="779"/>
      <c r="Q11" s="398"/>
      <c r="R11" s="398"/>
      <c r="S11" s="398"/>
      <c r="T11" s="738"/>
      <c r="U11" s="738"/>
      <c r="V11" s="738"/>
    </row>
    <row r="12" spans="1:22" ht="15.75" customHeight="1">
      <c r="A12" s="341"/>
      <c r="B12" s="589" t="s">
        <v>136</v>
      </c>
      <c r="C12" s="401">
        <f>3+1</f>
        <v>4</v>
      </c>
      <c r="D12" s="401"/>
      <c r="E12" s="401"/>
      <c r="F12" s="401"/>
      <c r="G12" s="401"/>
      <c r="H12" s="401">
        <f>H11</f>
        <v>2</v>
      </c>
      <c r="I12" s="401"/>
      <c r="J12" s="401"/>
      <c r="K12" s="401"/>
      <c r="L12" s="401"/>
      <c r="M12" s="752">
        <f>C12*H12</f>
        <v>8</v>
      </c>
      <c r="N12" s="801"/>
      <c r="O12" s="398"/>
      <c r="P12" s="779"/>
      <c r="Q12" s="398"/>
      <c r="R12" s="398"/>
      <c r="S12" s="398"/>
      <c r="T12" s="738"/>
      <c r="U12" s="738"/>
      <c r="V12" s="738"/>
    </row>
    <row r="13" spans="1:22" ht="15.75" customHeight="1">
      <c r="A13" s="341"/>
      <c r="B13" s="347"/>
      <c r="C13" s="401"/>
      <c r="D13" s="401"/>
      <c r="E13" s="401"/>
      <c r="F13" s="401"/>
      <c r="G13" s="401"/>
      <c r="H13" s="401"/>
      <c r="I13" s="401"/>
      <c r="J13" s="401"/>
      <c r="K13" s="401"/>
      <c r="L13" s="401"/>
      <c r="M13" s="401">
        <f>SUM(M11:M12)</f>
        <v>25</v>
      </c>
      <c r="N13" s="801" t="s">
        <v>117</v>
      </c>
      <c r="O13" s="784">
        <f>ROUND((M13),2)</f>
        <v>25</v>
      </c>
      <c r="P13" s="779"/>
      <c r="Q13" s="398"/>
      <c r="R13" s="398"/>
      <c r="S13" s="398"/>
      <c r="T13" s="738"/>
      <c r="U13" s="738"/>
      <c r="V13" s="738"/>
    </row>
    <row r="14" spans="1:22" ht="15.75" customHeight="1">
      <c r="A14" s="751">
        <f>A10+1</f>
        <v>2</v>
      </c>
      <c r="B14" s="354" t="s">
        <v>523</v>
      </c>
      <c r="C14" s="330"/>
      <c r="D14" s="330"/>
      <c r="E14" s="330"/>
      <c r="F14" s="330"/>
      <c r="G14" s="330"/>
      <c r="H14" s="330"/>
      <c r="I14" s="330"/>
      <c r="J14" s="330"/>
      <c r="K14" s="330"/>
      <c r="L14" s="330"/>
      <c r="M14" s="330"/>
      <c r="N14" s="748"/>
      <c r="O14" s="814"/>
      <c r="P14" s="779"/>
      <c r="Q14" s="398"/>
      <c r="R14" s="398"/>
      <c r="S14" s="398"/>
      <c r="T14" s="738"/>
      <c r="U14" s="738"/>
      <c r="V14" s="738"/>
    </row>
    <row r="15" spans="1:22" ht="15.75" customHeight="1">
      <c r="A15" s="402" t="s">
        <v>95</v>
      </c>
      <c r="B15" s="354" t="s">
        <v>398</v>
      </c>
      <c r="C15" s="343">
        <f>0.6+0.1+0.1</f>
        <v>0.79999999999999993</v>
      </c>
      <c r="D15" s="343">
        <f>C15</f>
        <v>0.79999999999999993</v>
      </c>
      <c r="E15" s="343">
        <f>0.6+0.15+0.03+0.07</f>
        <v>0.85000000000000009</v>
      </c>
      <c r="F15" s="343"/>
      <c r="G15" s="343"/>
      <c r="H15" s="343"/>
      <c r="I15" s="1010"/>
      <c r="J15" s="1010"/>
      <c r="K15" s="1010"/>
      <c r="L15" s="1010">
        <v>8</v>
      </c>
      <c r="M15" s="1010">
        <f>C15*D15*E15*L15</f>
        <v>4.3519999999999994</v>
      </c>
      <c r="N15" s="801" t="s">
        <v>103</v>
      </c>
      <c r="O15" s="814"/>
      <c r="P15" s="779"/>
      <c r="Q15" s="398"/>
      <c r="R15" s="398"/>
      <c r="S15" s="398"/>
      <c r="T15" s="738"/>
      <c r="U15" s="738"/>
      <c r="V15" s="738"/>
    </row>
    <row r="16" spans="1:22" ht="15.75" customHeight="1">
      <c r="A16" s="402" t="s">
        <v>98</v>
      </c>
      <c r="B16" s="354" t="s">
        <v>399</v>
      </c>
      <c r="C16" s="343">
        <v>0.8</v>
      </c>
      <c r="D16" s="343">
        <v>0.8</v>
      </c>
      <c r="E16" s="343">
        <v>7.0000000000000007E-2</v>
      </c>
      <c r="F16" s="343"/>
      <c r="G16" s="343"/>
      <c r="H16" s="343"/>
      <c r="I16" s="1010"/>
      <c r="J16" s="1010"/>
      <c r="K16" s="1010"/>
      <c r="L16" s="1010">
        <f t="shared" ref="L16:L21" si="0">L15</f>
        <v>8</v>
      </c>
      <c r="M16" s="1010">
        <f>C16*D16*E16*L16</f>
        <v>0.35840000000000011</v>
      </c>
      <c r="N16" s="801" t="s">
        <v>103</v>
      </c>
      <c r="O16" s="814"/>
      <c r="P16" s="779"/>
      <c r="Q16" s="398"/>
      <c r="R16" s="398"/>
      <c r="S16" s="398"/>
      <c r="T16" s="738"/>
      <c r="U16" s="738"/>
      <c r="V16" s="738"/>
    </row>
    <row r="17" spans="1:22" ht="15.75" customHeight="1">
      <c r="A17" s="402" t="s">
        <v>101</v>
      </c>
      <c r="B17" s="354" t="s">
        <v>400</v>
      </c>
      <c r="C17" s="343">
        <f>C16</f>
        <v>0.8</v>
      </c>
      <c r="D17" s="343">
        <f>D16</f>
        <v>0.8</v>
      </c>
      <c r="E17" s="343">
        <v>0.03</v>
      </c>
      <c r="F17" s="343"/>
      <c r="G17" s="343"/>
      <c r="H17" s="343"/>
      <c r="I17" s="1010"/>
      <c r="J17" s="1010"/>
      <c r="K17" s="1010"/>
      <c r="L17" s="1010">
        <f t="shared" si="0"/>
        <v>8</v>
      </c>
      <c r="M17" s="1010">
        <f>C17*D17*E17*L17</f>
        <v>0.15360000000000001</v>
      </c>
      <c r="N17" s="801" t="s">
        <v>103</v>
      </c>
      <c r="O17" s="814"/>
      <c r="P17" s="779"/>
      <c r="Q17" s="398"/>
      <c r="R17" s="398"/>
      <c r="S17" s="398"/>
      <c r="T17" s="738"/>
      <c r="U17" s="738"/>
      <c r="V17" s="738"/>
    </row>
    <row r="18" spans="1:22" ht="15.75" customHeight="1">
      <c r="A18" s="402" t="s">
        <v>121</v>
      </c>
      <c r="B18" s="354" t="s">
        <v>401</v>
      </c>
      <c r="C18" s="343">
        <f>C17</f>
        <v>0.8</v>
      </c>
      <c r="D18" s="343"/>
      <c r="E18" s="343">
        <f>E15-0.6-E16-E17</f>
        <v>0.15000000000000011</v>
      </c>
      <c r="F18" s="343"/>
      <c r="G18" s="343"/>
      <c r="H18" s="343">
        <v>4</v>
      </c>
      <c r="I18" s="1010"/>
      <c r="J18" s="1010"/>
      <c r="K18" s="1010"/>
      <c r="L18" s="1010">
        <f t="shared" si="0"/>
        <v>8</v>
      </c>
      <c r="M18" s="1010">
        <f>C18*E18*H18*L18</f>
        <v>3.840000000000003</v>
      </c>
      <c r="N18" s="801" t="s">
        <v>89</v>
      </c>
      <c r="O18" s="814"/>
      <c r="P18" s="779"/>
      <c r="Q18" s="398"/>
      <c r="R18" s="398"/>
      <c r="S18" s="398"/>
      <c r="T18" s="738"/>
      <c r="U18" s="738"/>
      <c r="V18" s="738"/>
    </row>
    <row r="19" spans="1:22" ht="15.75" customHeight="1">
      <c r="A19" s="402" t="s">
        <v>142</v>
      </c>
      <c r="B19" s="354" t="s">
        <v>504</v>
      </c>
      <c r="C19" s="343">
        <v>0.45</v>
      </c>
      <c r="D19" s="343"/>
      <c r="E19" s="343"/>
      <c r="F19" s="343">
        <f>10*10*0.006165</f>
        <v>0.61650000000000005</v>
      </c>
      <c r="G19" s="343">
        <f>0.15*2</f>
        <v>0.3</v>
      </c>
      <c r="H19" s="343">
        <v>4</v>
      </c>
      <c r="I19" s="1010"/>
      <c r="J19" s="1010"/>
      <c r="K19" s="1010">
        <f>ROUNDUP((C19/0.15),0.5)</f>
        <v>3</v>
      </c>
      <c r="L19" s="1010">
        <f t="shared" si="0"/>
        <v>8</v>
      </c>
      <c r="M19" s="1010">
        <f>(C19+G19)*F19*H19*K19*L19</f>
        <v>44.388000000000005</v>
      </c>
      <c r="N19" s="801" t="s">
        <v>100</v>
      </c>
      <c r="O19" s="814"/>
      <c r="P19" s="779"/>
      <c r="Q19" s="398"/>
      <c r="R19" s="398"/>
      <c r="S19" s="398"/>
      <c r="T19" s="738"/>
      <c r="U19" s="738"/>
      <c r="V19" s="738"/>
    </row>
    <row r="20" spans="1:22" ht="15.75" customHeight="1">
      <c r="A20" s="402" t="s">
        <v>217</v>
      </c>
      <c r="B20" s="356" t="s">
        <v>169</v>
      </c>
      <c r="C20" s="343">
        <f>C15-0.2</f>
        <v>0.59999999999999987</v>
      </c>
      <c r="D20" s="343">
        <f>D15-0.2</f>
        <v>0.59999999999999987</v>
      </c>
      <c r="E20" s="343">
        <f>E18</f>
        <v>0.15000000000000011</v>
      </c>
      <c r="F20" s="343"/>
      <c r="G20" s="343"/>
      <c r="H20" s="343"/>
      <c r="I20" s="1010"/>
      <c r="J20" s="1010"/>
      <c r="K20" s="1010"/>
      <c r="L20" s="1010">
        <f t="shared" si="0"/>
        <v>8</v>
      </c>
      <c r="M20" s="1010">
        <f>C20*D20*E20*L20</f>
        <v>0.43200000000000011</v>
      </c>
      <c r="N20" s="801" t="s">
        <v>103</v>
      </c>
      <c r="O20" s="814"/>
      <c r="P20" s="779"/>
      <c r="Q20" s="398"/>
      <c r="R20" s="398"/>
      <c r="S20" s="398"/>
      <c r="T20" s="738"/>
      <c r="U20" s="738"/>
      <c r="V20" s="738"/>
    </row>
    <row r="21" spans="1:22" ht="15.75" customHeight="1">
      <c r="A21" s="402" t="s">
        <v>366</v>
      </c>
      <c r="B21" s="354" t="s">
        <v>383</v>
      </c>
      <c r="C21" s="343"/>
      <c r="D21" s="343"/>
      <c r="E21" s="343">
        <v>4</v>
      </c>
      <c r="F21" s="343"/>
      <c r="G21" s="343"/>
      <c r="H21" s="343"/>
      <c r="I21" s="1010"/>
      <c r="J21" s="1010"/>
      <c r="K21" s="1010">
        <v>4</v>
      </c>
      <c r="L21" s="1010">
        <f t="shared" si="0"/>
        <v>8</v>
      </c>
      <c r="M21" s="1010">
        <f>E21*K21*L21</f>
        <v>128</v>
      </c>
      <c r="N21" s="801" t="s">
        <v>117</v>
      </c>
      <c r="O21" s="814"/>
      <c r="P21" s="779"/>
      <c r="Q21" s="398"/>
      <c r="R21" s="398"/>
      <c r="S21" s="398"/>
      <c r="T21" s="738"/>
      <c r="U21" s="738"/>
      <c r="V21" s="738"/>
    </row>
    <row r="22" spans="1:22" ht="15.75" customHeight="1">
      <c r="A22" s="400">
        <f>A14+1</f>
        <v>3</v>
      </c>
      <c r="B22" s="351" t="s">
        <v>1491</v>
      </c>
      <c r="C22" s="401"/>
      <c r="D22" s="401"/>
      <c r="E22" s="401"/>
      <c r="F22" s="401"/>
      <c r="G22" s="401"/>
      <c r="H22" s="401"/>
      <c r="I22" s="401"/>
      <c r="J22" s="401"/>
      <c r="K22" s="401"/>
      <c r="L22" s="401"/>
      <c r="M22" s="401"/>
      <c r="N22" s="801"/>
      <c r="O22" s="398"/>
      <c r="P22" s="779"/>
      <c r="Q22" s="398"/>
      <c r="R22" s="398"/>
      <c r="S22" s="398"/>
      <c r="T22" s="738"/>
      <c r="U22" s="738"/>
      <c r="V22" s="738"/>
    </row>
    <row r="23" spans="1:22" ht="15.75" customHeight="1">
      <c r="A23" s="404" t="s">
        <v>95</v>
      </c>
      <c r="B23" s="351" t="s">
        <v>398</v>
      </c>
      <c r="C23" s="401"/>
      <c r="D23" s="401"/>
      <c r="E23" s="401"/>
      <c r="F23" s="401"/>
      <c r="G23" s="401"/>
      <c r="H23" s="401"/>
      <c r="I23" s="401"/>
      <c r="J23" s="401"/>
      <c r="K23" s="401"/>
      <c r="L23" s="401"/>
      <c r="M23" s="401"/>
      <c r="N23" s="801"/>
      <c r="O23" s="398"/>
      <c r="P23" s="779"/>
      <c r="Q23" s="398"/>
      <c r="R23" s="398"/>
      <c r="S23" s="398"/>
      <c r="T23" s="738"/>
      <c r="U23" s="738"/>
      <c r="V23" s="738"/>
    </row>
    <row r="24" spans="1:22" ht="15.75" customHeight="1">
      <c r="A24" s="404"/>
      <c r="B24" s="589" t="s">
        <v>1044</v>
      </c>
      <c r="C24" s="401">
        <v>7.5</v>
      </c>
      <c r="D24" s="401">
        <v>0.6</v>
      </c>
      <c r="E24" s="401">
        <f>0.6+0.07</f>
        <v>0.66999999999999993</v>
      </c>
      <c r="F24" s="401"/>
      <c r="G24" s="401"/>
      <c r="H24" s="401"/>
      <c r="I24" s="401"/>
      <c r="J24" s="401"/>
      <c r="K24" s="401"/>
      <c r="L24" s="401">
        <v>3</v>
      </c>
      <c r="M24" s="401">
        <f>C24*D24*E24*L24</f>
        <v>9.0449999999999982</v>
      </c>
      <c r="N24" s="801"/>
      <c r="O24" s="398"/>
      <c r="P24" s="779"/>
      <c r="Q24" s="398"/>
      <c r="R24" s="398"/>
      <c r="S24" s="398"/>
      <c r="T24" s="738"/>
      <c r="U24" s="738"/>
      <c r="V24" s="738"/>
    </row>
    <row r="25" spans="1:22" ht="15.75" customHeight="1">
      <c r="A25" s="404"/>
      <c r="B25" s="589" t="s">
        <v>136</v>
      </c>
      <c r="C25" s="401">
        <v>1.75</v>
      </c>
      <c r="D25" s="401">
        <f>D24</f>
        <v>0.6</v>
      </c>
      <c r="E25" s="401">
        <f>E24</f>
        <v>0.66999999999999993</v>
      </c>
      <c r="F25" s="401"/>
      <c r="G25" s="401"/>
      <c r="H25" s="401"/>
      <c r="I25" s="401"/>
      <c r="J25" s="401"/>
      <c r="K25" s="401"/>
      <c r="L25" s="401">
        <v>2</v>
      </c>
      <c r="M25" s="401">
        <f>C25*D25*E25*L25</f>
        <v>1.4069999999999998</v>
      </c>
      <c r="N25" s="801"/>
      <c r="O25" s="398"/>
      <c r="P25" s="779"/>
      <c r="Q25" s="398"/>
      <c r="R25" s="398"/>
      <c r="S25" s="398"/>
      <c r="T25" s="738"/>
      <c r="U25" s="738"/>
      <c r="V25" s="738"/>
    </row>
    <row r="26" spans="1:22" ht="15.75" customHeight="1">
      <c r="A26" s="404"/>
      <c r="B26" s="589"/>
      <c r="C26" s="401">
        <v>3</v>
      </c>
      <c r="D26" s="401">
        <f>D25</f>
        <v>0.6</v>
      </c>
      <c r="E26" s="401">
        <f>E25</f>
        <v>0.66999999999999993</v>
      </c>
      <c r="F26" s="401"/>
      <c r="G26" s="401"/>
      <c r="H26" s="401"/>
      <c r="I26" s="401"/>
      <c r="J26" s="401"/>
      <c r="K26" s="401"/>
      <c r="L26" s="401">
        <v>4</v>
      </c>
      <c r="M26" s="752">
        <f>C26*D26*E26*L26</f>
        <v>4.823999999999999</v>
      </c>
      <c r="N26" s="801"/>
      <c r="O26" s="398"/>
      <c r="P26" s="779"/>
      <c r="Q26" s="398"/>
      <c r="R26" s="398"/>
      <c r="S26" s="398"/>
      <c r="T26" s="738"/>
      <c r="U26" s="738"/>
      <c r="V26" s="738"/>
    </row>
    <row r="27" spans="1:22" ht="15.75" customHeight="1">
      <c r="A27" s="404"/>
      <c r="B27" s="589"/>
      <c r="C27" s="401"/>
      <c r="D27" s="401"/>
      <c r="E27" s="401"/>
      <c r="F27" s="401"/>
      <c r="G27" s="401"/>
      <c r="H27" s="401"/>
      <c r="I27" s="401"/>
      <c r="J27" s="401"/>
      <c r="K27" s="401"/>
      <c r="L27" s="401"/>
      <c r="M27" s="474">
        <f>SUM(M24:M26)</f>
        <v>15.275999999999996</v>
      </c>
      <c r="N27" s="1105" t="s">
        <v>103</v>
      </c>
      <c r="O27" s="784">
        <f>ROUND((M27),2)</f>
        <v>15.28</v>
      </c>
      <c r="P27" s="779"/>
      <c r="Q27" s="398"/>
      <c r="R27" s="398"/>
      <c r="S27" s="398"/>
      <c r="T27" s="738"/>
      <c r="U27" s="738"/>
      <c r="V27" s="738"/>
    </row>
    <row r="28" spans="1:22" ht="15.75" customHeight="1">
      <c r="A28" s="404" t="s">
        <v>98</v>
      </c>
      <c r="B28" s="417" t="s">
        <v>405</v>
      </c>
      <c r="C28" s="401"/>
      <c r="D28" s="401"/>
      <c r="E28" s="401"/>
      <c r="F28" s="401"/>
      <c r="G28" s="401"/>
      <c r="H28" s="401"/>
      <c r="I28" s="401"/>
      <c r="J28" s="401"/>
      <c r="K28" s="401"/>
      <c r="L28" s="401"/>
      <c r="M28" s="474">
        <f>M29</f>
        <v>504</v>
      </c>
      <c r="N28" s="1105" t="s">
        <v>117</v>
      </c>
      <c r="O28" s="784">
        <f>ROUND((M28),2)</f>
        <v>504</v>
      </c>
      <c r="P28" s="398"/>
      <c r="Q28" s="568"/>
      <c r="R28" s="568"/>
      <c r="S28" s="568"/>
      <c r="T28" s="738"/>
      <c r="U28" s="738"/>
      <c r="V28" s="738"/>
    </row>
    <row r="29" spans="1:22" ht="15.75" customHeight="1">
      <c r="A29" s="404"/>
      <c r="B29" s="803" t="s">
        <v>1492</v>
      </c>
      <c r="C29" s="401"/>
      <c r="D29" s="401"/>
      <c r="E29" s="401">
        <v>4</v>
      </c>
      <c r="F29" s="401"/>
      <c r="G29" s="401"/>
      <c r="H29" s="401">
        <v>2</v>
      </c>
      <c r="I29" s="401"/>
      <c r="J29" s="401"/>
      <c r="K29" s="401">
        <f>ROUNDDOWN((M33/0.6),0.5)</f>
        <v>63</v>
      </c>
      <c r="L29" s="401"/>
      <c r="M29" s="401">
        <f>E29*H29*K29</f>
        <v>504</v>
      </c>
      <c r="N29" s="1105"/>
      <c r="O29" s="784"/>
      <c r="P29" s="398"/>
      <c r="Q29" s="568"/>
      <c r="R29" s="568"/>
      <c r="S29" s="568"/>
      <c r="T29" s="738"/>
      <c r="U29" s="738"/>
      <c r="V29" s="738"/>
    </row>
    <row r="30" spans="1:22" ht="15.75" customHeight="1">
      <c r="A30" s="404"/>
      <c r="B30" s="589" t="s">
        <v>1044</v>
      </c>
      <c r="C30" s="401">
        <f>C24</f>
        <v>7.5</v>
      </c>
      <c r="D30" s="401"/>
      <c r="E30" s="401"/>
      <c r="F30" s="401"/>
      <c r="G30" s="401"/>
      <c r="H30" s="401"/>
      <c r="I30" s="401"/>
      <c r="J30" s="401"/>
      <c r="K30" s="401"/>
      <c r="L30" s="401">
        <f>L24</f>
        <v>3</v>
      </c>
      <c r="M30" s="401">
        <f>C30*L30</f>
        <v>22.5</v>
      </c>
      <c r="N30" s="1105"/>
      <c r="O30" s="784"/>
      <c r="P30" s="398"/>
      <c r="Q30" s="568"/>
      <c r="R30" s="568"/>
      <c r="S30" s="568"/>
      <c r="T30" s="738"/>
      <c r="U30" s="738"/>
      <c r="V30" s="738"/>
    </row>
    <row r="31" spans="1:22" ht="15.75" customHeight="1">
      <c r="A31" s="404"/>
      <c r="B31" s="589" t="s">
        <v>136</v>
      </c>
      <c r="C31" s="401">
        <f>C25</f>
        <v>1.75</v>
      </c>
      <c r="D31" s="401"/>
      <c r="E31" s="401"/>
      <c r="F31" s="401"/>
      <c r="G31" s="401"/>
      <c r="H31" s="401"/>
      <c r="I31" s="401"/>
      <c r="J31" s="401"/>
      <c r="K31" s="401"/>
      <c r="L31" s="401">
        <f>L25</f>
        <v>2</v>
      </c>
      <c r="M31" s="401">
        <f>C31*L31</f>
        <v>3.5</v>
      </c>
      <c r="N31" s="1105"/>
      <c r="O31" s="784"/>
      <c r="P31" s="398"/>
      <c r="Q31" s="568"/>
      <c r="R31" s="568"/>
      <c r="S31" s="568"/>
      <c r="T31" s="738"/>
      <c r="U31" s="738"/>
      <c r="V31" s="738"/>
    </row>
    <row r="32" spans="1:22" ht="15.75" customHeight="1">
      <c r="A32" s="404"/>
      <c r="B32" s="589"/>
      <c r="C32" s="401">
        <f>C26</f>
        <v>3</v>
      </c>
      <c r="D32" s="401"/>
      <c r="E32" s="401"/>
      <c r="F32" s="401"/>
      <c r="G32" s="401"/>
      <c r="H32" s="401"/>
      <c r="I32" s="401"/>
      <c r="J32" s="401"/>
      <c r="K32" s="401"/>
      <c r="L32" s="401">
        <f>L26</f>
        <v>4</v>
      </c>
      <c r="M32" s="401">
        <f>C32*L32</f>
        <v>12</v>
      </c>
      <c r="N32" s="1105"/>
      <c r="O32" s="784"/>
      <c r="P32" s="398"/>
      <c r="Q32" s="568"/>
      <c r="R32" s="568"/>
      <c r="S32" s="568"/>
      <c r="T32" s="738"/>
      <c r="U32" s="738"/>
      <c r="V32" s="738"/>
    </row>
    <row r="33" spans="1:22" ht="15.75" customHeight="1">
      <c r="A33" s="404"/>
      <c r="B33" s="589"/>
      <c r="C33" s="401"/>
      <c r="D33" s="401"/>
      <c r="E33" s="401"/>
      <c r="F33" s="401"/>
      <c r="G33" s="401"/>
      <c r="H33" s="401"/>
      <c r="I33" s="401"/>
      <c r="J33" s="401"/>
      <c r="K33" s="401"/>
      <c r="L33" s="401"/>
      <c r="M33" s="401">
        <f>SUM(M30:M32)</f>
        <v>38</v>
      </c>
      <c r="N33" s="801" t="s">
        <v>117</v>
      </c>
      <c r="O33" s="784"/>
      <c r="P33" s="398"/>
      <c r="Q33" s="568"/>
      <c r="R33" s="568"/>
      <c r="S33" s="568"/>
      <c r="T33" s="738"/>
      <c r="U33" s="738"/>
      <c r="V33" s="738"/>
    </row>
    <row r="34" spans="1:22" ht="15.75" customHeight="1">
      <c r="A34" s="404" t="s">
        <v>101</v>
      </c>
      <c r="B34" s="351" t="s">
        <v>695</v>
      </c>
      <c r="C34" s="401"/>
      <c r="D34" s="401"/>
      <c r="E34" s="401"/>
      <c r="F34" s="401"/>
      <c r="G34" s="401"/>
      <c r="H34" s="401"/>
      <c r="I34" s="401"/>
      <c r="J34" s="401"/>
      <c r="K34" s="401"/>
      <c r="L34" s="401"/>
      <c r="M34" s="401"/>
      <c r="N34" s="801"/>
      <c r="O34" s="784"/>
      <c r="P34" s="398"/>
      <c r="Q34" s="568"/>
      <c r="R34" s="568"/>
      <c r="S34" s="568"/>
      <c r="T34" s="738"/>
      <c r="U34" s="738"/>
      <c r="V34" s="738"/>
    </row>
    <row r="35" spans="1:22" ht="15.75" customHeight="1">
      <c r="A35" s="404"/>
      <c r="B35" s="589" t="s">
        <v>1044</v>
      </c>
      <c r="C35" s="401">
        <f>C24</f>
        <v>7.5</v>
      </c>
      <c r="D35" s="401">
        <f>D25</f>
        <v>0.6</v>
      </c>
      <c r="E35" s="401">
        <v>7.0000000000000007E-2</v>
      </c>
      <c r="F35" s="401"/>
      <c r="G35" s="401"/>
      <c r="H35" s="401"/>
      <c r="I35" s="401"/>
      <c r="J35" s="401"/>
      <c r="K35" s="401"/>
      <c r="L35" s="401">
        <f>L24</f>
        <v>3</v>
      </c>
      <c r="M35" s="401">
        <f>C35*D35*(E35+J35)*L35</f>
        <v>0.94500000000000017</v>
      </c>
      <c r="N35" s="801"/>
      <c r="O35" s="398"/>
      <c r="P35" s="398"/>
      <c r="Q35" s="568"/>
      <c r="R35" s="568"/>
      <c r="S35" s="568"/>
      <c r="T35" s="738"/>
      <c r="U35" s="738"/>
      <c r="V35" s="738"/>
    </row>
    <row r="36" spans="1:22" ht="15.75" customHeight="1">
      <c r="A36" s="404"/>
      <c r="B36" s="589" t="s">
        <v>136</v>
      </c>
      <c r="C36" s="401">
        <f>C25</f>
        <v>1.75</v>
      </c>
      <c r="D36" s="401">
        <f>D35</f>
        <v>0.6</v>
      </c>
      <c r="E36" s="401">
        <f>E35</f>
        <v>7.0000000000000007E-2</v>
      </c>
      <c r="F36" s="401"/>
      <c r="G36" s="401"/>
      <c r="H36" s="401"/>
      <c r="I36" s="401"/>
      <c r="J36" s="401"/>
      <c r="K36" s="401"/>
      <c r="L36" s="401">
        <f>L25</f>
        <v>2</v>
      </c>
      <c r="M36" s="401">
        <f>C36*D36*(E36+J36)*L36</f>
        <v>0.14700000000000002</v>
      </c>
      <c r="N36" s="801"/>
      <c r="O36" s="398"/>
      <c r="P36" s="398"/>
      <c r="Q36" s="568"/>
      <c r="R36" s="568"/>
      <c r="S36" s="568"/>
      <c r="T36" s="738"/>
      <c r="U36" s="738"/>
      <c r="V36" s="738"/>
    </row>
    <row r="37" spans="1:22" ht="15.75" customHeight="1">
      <c r="A37" s="404"/>
      <c r="B37" s="351"/>
      <c r="C37" s="401">
        <f>C26</f>
        <v>3</v>
      </c>
      <c r="D37" s="401">
        <f>D36</f>
        <v>0.6</v>
      </c>
      <c r="E37" s="401">
        <f>E36</f>
        <v>7.0000000000000007E-2</v>
      </c>
      <c r="F37" s="401"/>
      <c r="G37" s="401"/>
      <c r="H37" s="401"/>
      <c r="I37" s="401"/>
      <c r="J37" s="401"/>
      <c r="K37" s="401"/>
      <c r="L37" s="401">
        <f>L26</f>
        <v>4</v>
      </c>
      <c r="M37" s="752">
        <f>C37*D37*(E37+J37)*L37</f>
        <v>0.504</v>
      </c>
      <c r="N37" s="801"/>
      <c r="O37" s="398"/>
      <c r="P37" s="398"/>
      <c r="Q37" s="568"/>
      <c r="R37" s="568"/>
      <c r="S37" s="568"/>
      <c r="T37" s="738"/>
      <c r="U37" s="738"/>
      <c r="V37" s="738"/>
    </row>
    <row r="38" spans="1:22" ht="15.75" customHeight="1">
      <c r="A38" s="404"/>
      <c r="B38" s="351"/>
      <c r="C38" s="401"/>
      <c r="D38" s="401"/>
      <c r="E38" s="401"/>
      <c r="F38" s="401"/>
      <c r="G38" s="401"/>
      <c r="H38" s="401"/>
      <c r="I38" s="401"/>
      <c r="J38" s="401"/>
      <c r="K38" s="401"/>
      <c r="L38" s="401"/>
      <c r="M38" s="474">
        <f>SUM(M35:M37)</f>
        <v>1.5960000000000001</v>
      </c>
      <c r="N38" s="1105" t="s">
        <v>103</v>
      </c>
      <c r="O38" s="784">
        <f>ROUND((M38),2)</f>
        <v>1.6</v>
      </c>
      <c r="P38" s="398"/>
      <c r="Q38" s="568"/>
      <c r="R38" s="568"/>
      <c r="S38" s="568"/>
      <c r="T38" s="738"/>
      <c r="U38" s="738"/>
      <c r="V38" s="738"/>
    </row>
    <row r="39" spans="1:22" s="787" customFormat="1" ht="15.75" hidden="1" customHeight="1">
      <c r="A39" s="823" t="s">
        <v>121</v>
      </c>
      <c r="B39" s="572" t="s">
        <v>1409</v>
      </c>
      <c r="C39" s="762"/>
      <c r="D39" s="762"/>
      <c r="E39" s="762"/>
      <c r="F39" s="762"/>
      <c r="G39" s="762"/>
      <c r="H39" s="762"/>
      <c r="I39" s="762"/>
      <c r="J39" s="762"/>
      <c r="K39" s="762"/>
      <c r="L39" s="762"/>
      <c r="M39" s="762"/>
      <c r="N39" s="1106"/>
      <c r="O39" s="817"/>
      <c r="P39" s="577"/>
      <c r="Q39" s="1107"/>
      <c r="R39" s="1107"/>
      <c r="S39" s="1107"/>
      <c r="T39" s="786"/>
      <c r="U39" s="786"/>
      <c r="V39" s="786"/>
    </row>
    <row r="40" spans="1:22" s="787" customFormat="1" ht="15.75" hidden="1" customHeight="1">
      <c r="A40" s="823"/>
      <c r="B40" s="775" t="s">
        <v>1044</v>
      </c>
      <c r="C40" s="762">
        <f t="shared" ref="C40:D42" si="1">C35</f>
        <v>7.5</v>
      </c>
      <c r="D40" s="762">
        <f t="shared" si="1"/>
        <v>0.6</v>
      </c>
      <c r="E40" s="762">
        <v>0</v>
      </c>
      <c r="F40" s="762"/>
      <c r="G40" s="762"/>
      <c r="H40" s="762"/>
      <c r="I40" s="762"/>
      <c r="J40" s="762"/>
      <c r="K40" s="762"/>
      <c r="L40" s="762">
        <f>L35</f>
        <v>3</v>
      </c>
      <c r="M40" s="762">
        <f>C40*D40*(E40+J40)*L40</f>
        <v>0</v>
      </c>
      <c r="N40" s="1106"/>
      <c r="O40" s="577"/>
      <c r="P40" s="577"/>
      <c r="Q40" s="1107"/>
      <c r="R40" s="1107"/>
      <c r="S40" s="1107"/>
      <c r="T40" s="786"/>
      <c r="U40" s="786"/>
      <c r="V40" s="786"/>
    </row>
    <row r="41" spans="1:22" s="787" customFormat="1" ht="15.75" hidden="1" customHeight="1">
      <c r="A41" s="823"/>
      <c r="B41" s="775" t="s">
        <v>136</v>
      </c>
      <c r="C41" s="762">
        <f t="shared" si="1"/>
        <v>1.75</v>
      </c>
      <c r="D41" s="762">
        <f t="shared" si="1"/>
        <v>0.6</v>
      </c>
      <c r="E41" s="762">
        <f>E40</f>
        <v>0</v>
      </c>
      <c r="F41" s="762"/>
      <c r="G41" s="762"/>
      <c r="H41" s="762"/>
      <c r="I41" s="762"/>
      <c r="J41" s="762"/>
      <c r="K41" s="762"/>
      <c r="L41" s="762">
        <f>L36</f>
        <v>2</v>
      </c>
      <c r="M41" s="762">
        <f>C41*D41*(E41+J41)*L41</f>
        <v>0</v>
      </c>
      <c r="N41" s="1106"/>
      <c r="O41" s="577"/>
      <c r="P41" s="577"/>
      <c r="Q41" s="1107"/>
      <c r="R41" s="1107"/>
      <c r="S41" s="1107"/>
      <c r="T41" s="786"/>
      <c r="U41" s="786"/>
      <c r="V41" s="786"/>
    </row>
    <row r="42" spans="1:22" s="787" customFormat="1" ht="15.75" hidden="1" customHeight="1">
      <c r="A42" s="823"/>
      <c r="B42" s="572"/>
      <c r="C42" s="762">
        <f t="shared" si="1"/>
        <v>3</v>
      </c>
      <c r="D42" s="762">
        <f t="shared" si="1"/>
        <v>0.6</v>
      </c>
      <c r="E42" s="762">
        <f>E41</f>
        <v>0</v>
      </c>
      <c r="F42" s="762"/>
      <c r="G42" s="762"/>
      <c r="H42" s="762"/>
      <c r="I42" s="762"/>
      <c r="J42" s="762"/>
      <c r="K42" s="762"/>
      <c r="L42" s="762">
        <f>L37</f>
        <v>4</v>
      </c>
      <c r="M42" s="759">
        <f>C42*D42*(E42+J42)*L42</f>
        <v>0</v>
      </c>
      <c r="N42" s="1106"/>
      <c r="O42" s="577"/>
      <c r="P42" s="577"/>
      <c r="Q42" s="1107"/>
      <c r="R42" s="1107"/>
      <c r="S42" s="1107"/>
      <c r="T42" s="786"/>
      <c r="U42" s="786"/>
      <c r="V42" s="786"/>
    </row>
    <row r="43" spans="1:22" s="787" customFormat="1" ht="15.75" hidden="1" customHeight="1">
      <c r="A43" s="823"/>
      <c r="B43" s="572"/>
      <c r="C43" s="762"/>
      <c r="D43" s="762"/>
      <c r="E43" s="762"/>
      <c r="F43" s="762"/>
      <c r="G43" s="762"/>
      <c r="H43" s="762"/>
      <c r="I43" s="762"/>
      <c r="J43" s="762"/>
      <c r="K43" s="762"/>
      <c r="L43" s="762"/>
      <c r="M43" s="755">
        <f>SUM(M40:M42)</f>
        <v>0</v>
      </c>
      <c r="N43" s="1108" t="s">
        <v>103</v>
      </c>
      <c r="O43" s="785">
        <f>ROUND((M43),2)</f>
        <v>0</v>
      </c>
      <c r="P43" s="577"/>
      <c r="Q43" s="1107"/>
      <c r="R43" s="1107"/>
      <c r="S43" s="1107"/>
      <c r="T43" s="786"/>
      <c r="U43" s="786"/>
      <c r="V43" s="786"/>
    </row>
    <row r="44" spans="1:22" ht="15.75" customHeight="1">
      <c r="A44" s="404" t="s">
        <v>121</v>
      </c>
      <c r="B44" s="351" t="s">
        <v>696</v>
      </c>
      <c r="C44" s="401"/>
      <c r="D44" s="401"/>
      <c r="E44" s="401"/>
      <c r="F44" s="401"/>
      <c r="G44" s="401"/>
      <c r="H44" s="401"/>
      <c r="I44" s="401"/>
      <c r="J44" s="401"/>
      <c r="K44" s="401"/>
      <c r="L44" s="401"/>
      <c r="M44" s="401"/>
      <c r="N44" s="801"/>
      <c r="O44" s="398"/>
      <c r="P44" s="779"/>
      <c r="Q44" s="398"/>
      <c r="R44" s="398"/>
      <c r="S44" s="398"/>
      <c r="T44" s="738"/>
      <c r="U44" s="738"/>
      <c r="V44" s="738"/>
    </row>
    <row r="45" spans="1:22" ht="15.75" customHeight="1">
      <c r="A45" s="404"/>
      <c r="B45" s="589" t="s">
        <v>1044</v>
      </c>
      <c r="C45" s="401">
        <f>C24</f>
        <v>7.5</v>
      </c>
      <c r="D45" s="401">
        <f>(0.2+D24)/2</f>
        <v>0.4</v>
      </c>
      <c r="E45" s="401">
        <f>E24-E35</f>
        <v>0.59999999999999987</v>
      </c>
      <c r="F45" s="401"/>
      <c r="G45" s="401"/>
      <c r="H45" s="401"/>
      <c r="I45" s="401"/>
      <c r="J45" s="401"/>
      <c r="K45" s="401"/>
      <c r="L45" s="401">
        <f>L24</f>
        <v>3</v>
      </c>
      <c r="M45" s="401">
        <f>C45*D45*(E45+J45)*L45</f>
        <v>5.3999999999999986</v>
      </c>
      <c r="N45" s="801"/>
      <c r="O45" s="398"/>
      <c r="P45" s="779"/>
      <c r="Q45" s="398"/>
      <c r="R45" s="398"/>
      <c r="S45" s="398"/>
      <c r="T45" s="738"/>
      <c r="U45" s="738"/>
      <c r="V45" s="738"/>
    </row>
    <row r="46" spans="1:22" ht="15.75" customHeight="1">
      <c r="A46" s="404"/>
      <c r="B46" s="589" t="s">
        <v>136</v>
      </c>
      <c r="C46" s="401">
        <f>C25</f>
        <v>1.75</v>
      </c>
      <c r="D46" s="401">
        <f>D45</f>
        <v>0.4</v>
      </c>
      <c r="E46" s="401">
        <f>E45</f>
        <v>0.59999999999999987</v>
      </c>
      <c r="F46" s="401"/>
      <c r="G46" s="401"/>
      <c r="H46" s="401"/>
      <c r="I46" s="401"/>
      <c r="J46" s="401"/>
      <c r="K46" s="401"/>
      <c r="L46" s="401">
        <f>L25</f>
        <v>2</v>
      </c>
      <c r="M46" s="401">
        <f>C46*D46*(E46+J46)*L46</f>
        <v>0.83999999999999986</v>
      </c>
      <c r="N46" s="801"/>
      <c r="O46" s="398"/>
      <c r="P46" s="779"/>
      <c r="Q46" s="398"/>
      <c r="R46" s="398"/>
      <c r="S46" s="398"/>
      <c r="T46" s="738"/>
      <c r="U46" s="738"/>
      <c r="V46" s="738"/>
    </row>
    <row r="47" spans="1:22" ht="15.75" customHeight="1">
      <c r="A47" s="404"/>
      <c r="B47" s="589"/>
      <c r="C47" s="401">
        <f>C26</f>
        <v>3</v>
      </c>
      <c r="D47" s="401">
        <f>D46</f>
        <v>0.4</v>
      </c>
      <c r="E47" s="401">
        <f>E46</f>
        <v>0.59999999999999987</v>
      </c>
      <c r="F47" s="401"/>
      <c r="G47" s="401"/>
      <c r="H47" s="401"/>
      <c r="I47" s="401"/>
      <c r="J47" s="401"/>
      <c r="K47" s="401"/>
      <c r="L47" s="401">
        <f>L26</f>
        <v>4</v>
      </c>
      <c r="M47" s="752">
        <f>C47*D47*(E47+J47)*L47</f>
        <v>2.88</v>
      </c>
      <c r="N47" s="801"/>
      <c r="O47" s="398"/>
      <c r="P47" s="779"/>
      <c r="Q47" s="398"/>
      <c r="R47" s="398"/>
      <c r="S47" s="398"/>
      <c r="T47" s="738"/>
      <c r="U47" s="738"/>
      <c r="V47" s="738"/>
    </row>
    <row r="48" spans="1:22" ht="15.75" customHeight="1">
      <c r="A48" s="404"/>
      <c r="B48" s="351"/>
      <c r="C48" s="401"/>
      <c r="D48" s="401"/>
      <c r="E48" s="401"/>
      <c r="F48" s="401"/>
      <c r="G48" s="401"/>
      <c r="H48" s="401"/>
      <c r="I48" s="401"/>
      <c r="J48" s="401"/>
      <c r="K48" s="401"/>
      <c r="L48" s="401"/>
      <c r="M48" s="474">
        <f>SUM(M45:M47)</f>
        <v>9.1199999999999974</v>
      </c>
      <c r="N48" s="1105" t="s">
        <v>103</v>
      </c>
      <c r="O48" s="784">
        <f>ROUND((M48),2)</f>
        <v>9.1199999999999992</v>
      </c>
      <c r="P48" s="779"/>
      <c r="Q48" s="398"/>
      <c r="R48" s="398"/>
      <c r="S48" s="398"/>
      <c r="T48" s="738"/>
      <c r="U48" s="738"/>
      <c r="V48" s="738"/>
    </row>
    <row r="49" spans="1:22" ht="15.75" customHeight="1">
      <c r="A49" s="400">
        <f>A22+1</f>
        <v>4</v>
      </c>
      <c r="B49" s="351" t="s">
        <v>1130</v>
      </c>
      <c r="C49" s="330"/>
      <c r="D49" s="330"/>
      <c r="E49" s="330"/>
      <c r="F49" s="330"/>
      <c r="G49" s="330"/>
      <c r="H49" s="330"/>
      <c r="I49" s="330"/>
      <c r="J49" s="330"/>
      <c r="K49" s="330"/>
      <c r="L49" s="330"/>
      <c r="M49" s="401"/>
      <c r="N49" s="748"/>
      <c r="O49" s="814"/>
      <c r="P49" s="779"/>
      <c r="Q49" s="398"/>
      <c r="R49" s="398"/>
      <c r="S49" s="398"/>
      <c r="T49" s="738"/>
      <c r="U49" s="738"/>
      <c r="V49" s="738"/>
    </row>
    <row r="50" spans="1:22" ht="15.75" customHeight="1">
      <c r="A50" s="404"/>
      <c r="B50" s="567" t="s">
        <v>1111</v>
      </c>
      <c r="C50" s="330">
        <f>C58</f>
        <v>7.5</v>
      </c>
      <c r="D50" s="330"/>
      <c r="E50" s="330"/>
      <c r="F50" s="330"/>
      <c r="G50" s="330"/>
      <c r="H50" s="330"/>
      <c r="I50" s="330"/>
      <c r="J50" s="330"/>
      <c r="K50" s="330"/>
      <c r="L50" s="330">
        <f>L58</f>
        <v>3</v>
      </c>
      <c r="M50" s="401">
        <f>C50*L50</f>
        <v>22.5</v>
      </c>
      <c r="N50" s="748"/>
      <c r="O50" s="814"/>
      <c r="P50" s="779"/>
      <c r="Q50" s="398"/>
      <c r="R50" s="398"/>
      <c r="S50" s="398"/>
      <c r="T50" s="738"/>
      <c r="U50" s="738"/>
      <c r="V50" s="738"/>
    </row>
    <row r="51" spans="1:22" ht="15.75" customHeight="1">
      <c r="A51" s="404"/>
      <c r="B51" s="567"/>
      <c r="C51" s="330">
        <f>C59</f>
        <v>1.75</v>
      </c>
      <c r="D51" s="330"/>
      <c r="E51" s="330"/>
      <c r="F51" s="330"/>
      <c r="G51" s="330"/>
      <c r="H51" s="330"/>
      <c r="I51" s="330"/>
      <c r="J51" s="330"/>
      <c r="K51" s="330"/>
      <c r="L51" s="330">
        <f>L59</f>
        <v>2</v>
      </c>
      <c r="M51" s="401">
        <f>C51*L51</f>
        <v>3.5</v>
      </c>
      <c r="N51" s="748"/>
      <c r="O51" s="814"/>
      <c r="P51" s="779"/>
      <c r="Q51" s="398"/>
      <c r="R51" s="398"/>
      <c r="S51" s="398"/>
      <c r="T51" s="738"/>
      <c r="U51" s="738"/>
      <c r="V51" s="738"/>
    </row>
    <row r="52" spans="1:22" ht="15.75" customHeight="1">
      <c r="A52" s="404"/>
      <c r="B52" s="359"/>
      <c r="C52" s="330">
        <f>C60</f>
        <v>3</v>
      </c>
      <c r="D52" s="330"/>
      <c r="E52" s="330"/>
      <c r="F52" s="330"/>
      <c r="G52" s="330"/>
      <c r="H52" s="330"/>
      <c r="I52" s="330"/>
      <c r="J52" s="330"/>
      <c r="K52" s="330"/>
      <c r="L52" s="330">
        <f>L60</f>
        <v>4</v>
      </c>
      <c r="M52" s="401">
        <f>C52*L52</f>
        <v>12</v>
      </c>
      <c r="N52" s="748"/>
      <c r="O52" s="814"/>
      <c r="P52" s="779"/>
      <c r="Q52" s="398"/>
      <c r="R52" s="398"/>
      <c r="S52" s="398"/>
      <c r="T52" s="738"/>
      <c r="U52" s="738"/>
      <c r="V52" s="738"/>
    </row>
    <row r="53" spans="1:22" ht="15.75" customHeight="1">
      <c r="A53" s="404"/>
      <c r="B53" s="359"/>
      <c r="C53" s="330"/>
      <c r="D53" s="330"/>
      <c r="E53" s="330"/>
      <c r="F53" s="330"/>
      <c r="G53" s="330"/>
      <c r="H53" s="330"/>
      <c r="I53" s="330"/>
      <c r="J53" s="330"/>
      <c r="K53" s="330"/>
      <c r="L53" s="330"/>
      <c r="M53" s="401">
        <f>SUM(M50:M52)</f>
        <v>38</v>
      </c>
      <c r="N53" s="748" t="s">
        <v>117</v>
      </c>
      <c r="O53" s="814"/>
      <c r="P53" s="779"/>
      <c r="Q53" s="398"/>
      <c r="R53" s="398"/>
      <c r="S53" s="398"/>
      <c r="T53" s="738"/>
      <c r="U53" s="738"/>
      <c r="V53" s="738"/>
    </row>
    <row r="54" spans="1:22" ht="15.75" customHeight="1">
      <c r="A54" s="404"/>
      <c r="B54" s="567" t="s">
        <v>1131</v>
      </c>
      <c r="C54" s="330">
        <f>M53</f>
        <v>38</v>
      </c>
      <c r="D54" s="330">
        <v>1</v>
      </c>
      <c r="E54" s="330"/>
      <c r="F54" s="330"/>
      <c r="G54" s="330"/>
      <c r="H54" s="330"/>
      <c r="I54" s="330"/>
      <c r="J54" s="330"/>
      <c r="K54" s="330"/>
      <c r="L54" s="330"/>
      <c r="M54" s="401">
        <f>ROUNDDOWN((C54/D54),0.5)</f>
        <v>38</v>
      </c>
      <c r="N54" s="748" t="s">
        <v>124</v>
      </c>
      <c r="O54" s="814"/>
      <c r="P54" s="779"/>
      <c r="Q54" s="398"/>
      <c r="R54" s="398"/>
      <c r="S54" s="398"/>
      <c r="T54" s="738"/>
      <c r="U54" s="738"/>
      <c r="V54" s="738"/>
    </row>
    <row r="55" spans="1:22" ht="15.75" customHeight="1">
      <c r="A55" s="404"/>
      <c r="B55" s="567" t="s">
        <v>1132</v>
      </c>
      <c r="C55" s="330">
        <v>0.5</v>
      </c>
      <c r="D55" s="330"/>
      <c r="E55" s="330"/>
      <c r="F55" s="330">
        <f>M54</f>
        <v>38</v>
      </c>
      <c r="G55" s="330"/>
      <c r="H55" s="330"/>
      <c r="I55" s="330"/>
      <c r="J55" s="330"/>
      <c r="K55" s="330">
        <f>13*13*0.006165</f>
        <v>1.041885</v>
      </c>
      <c r="L55" s="330"/>
      <c r="M55" s="474">
        <f>F55*K55*C55</f>
        <v>19.795814999999997</v>
      </c>
      <c r="N55" s="562" t="s">
        <v>100</v>
      </c>
      <c r="O55" s="814">
        <f>ROUND((M55),2)</f>
        <v>19.8</v>
      </c>
      <c r="P55" s="779"/>
      <c r="Q55" s="398"/>
      <c r="R55" s="398"/>
      <c r="S55" s="398"/>
      <c r="T55" s="738"/>
      <c r="U55" s="738"/>
      <c r="V55" s="738"/>
    </row>
    <row r="56" spans="1:22" ht="15.75" customHeight="1">
      <c r="A56" s="350">
        <f>A49+1</f>
        <v>5</v>
      </c>
      <c r="B56" s="351" t="s">
        <v>524</v>
      </c>
      <c r="C56" s="401"/>
      <c r="D56" s="401"/>
      <c r="E56" s="401"/>
      <c r="F56" s="401"/>
      <c r="G56" s="401"/>
      <c r="H56" s="401"/>
      <c r="I56" s="401"/>
      <c r="J56" s="401"/>
      <c r="K56" s="401"/>
      <c r="L56" s="401"/>
      <c r="M56" s="401"/>
      <c r="N56" s="801"/>
      <c r="O56" s="398"/>
      <c r="P56" s="779"/>
      <c r="Q56" s="398"/>
      <c r="R56" s="398"/>
      <c r="S56" s="398"/>
      <c r="T56" s="738"/>
      <c r="U56" s="738"/>
      <c r="V56" s="738"/>
    </row>
    <row r="57" spans="1:22" ht="15.75" customHeight="1">
      <c r="A57" s="419" t="s">
        <v>95</v>
      </c>
      <c r="B57" s="351" t="s">
        <v>1493</v>
      </c>
      <c r="C57" s="401"/>
      <c r="D57" s="401"/>
      <c r="E57" s="401"/>
      <c r="F57" s="401"/>
      <c r="G57" s="401"/>
      <c r="H57" s="401"/>
      <c r="I57" s="401"/>
      <c r="J57" s="401"/>
      <c r="K57" s="401"/>
      <c r="L57" s="401"/>
      <c r="M57" s="401"/>
      <c r="N57" s="801"/>
      <c r="O57" s="398"/>
      <c r="P57" s="779"/>
      <c r="Q57" s="398"/>
      <c r="R57" s="398"/>
      <c r="S57" s="398"/>
      <c r="T57" s="738"/>
      <c r="U57" s="738"/>
      <c r="V57" s="738"/>
    </row>
    <row r="58" spans="1:22" ht="15.75" customHeight="1">
      <c r="A58" s="419"/>
      <c r="B58" s="589" t="s">
        <v>1044</v>
      </c>
      <c r="C58" s="401">
        <f>C45</f>
        <v>7.5</v>
      </c>
      <c r="D58" s="401"/>
      <c r="E58" s="401">
        <v>0.3</v>
      </c>
      <c r="F58" s="401"/>
      <c r="G58" s="401"/>
      <c r="H58" s="401">
        <v>2</v>
      </c>
      <c r="I58" s="401"/>
      <c r="J58" s="401"/>
      <c r="K58" s="401"/>
      <c r="L58" s="401">
        <f>L45</f>
        <v>3</v>
      </c>
      <c r="M58" s="401">
        <f>C58*E58*H58*L58</f>
        <v>13.5</v>
      </c>
      <c r="N58" s="801"/>
      <c r="O58" s="398"/>
      <c r="P58" s="779"/>
      <c r="Q58" s="398"/>
      <c r="R58" s="398"/>
      <c r="S58" s="398"/>
      <c r="T58" s="738"/>
      <c r="U58" s="738"/>
      <c r="V58" s="738"/>
    </row>
    <row r="59" spans="1:22" ht="15.75" customHeight="1">
      <c r="A59" s="419"/>
      <c r="B59" s="589" t="s">
        <v>136</v>
      </c>
      <c r="C59" s="401">
        <f>C46</f>
        <v>1.75</v>
      </c>
      <c r="D59" s="401"/>
      <c r="E59" s="401">
        <f>E58</f>
        <v>0.3</v>
      </c>
      <c r="F59" s="401"/>
      <c r="G59" s="401"/>
      <c r="H59" s="401">
        <f>H58</f>
        <v>2</v>
      </c>
      <c r="I59" s="401"/>
      <c r="J59" s="401"/>
      <c r="K59" s="401"/>
      <c r="L59" s="401">
        <f>L46</f>
        <v>2</v>
      </c>
      <c r="M59" s="401">
        <f>C59*E59*H59*L59</f>
        <v>2.1</v>
      </c>
      <c r="N59" s="801"/>
      <c r="O59" s="398"/>
      <c r="P59" s="779"/>
      <c r="Q59" s="398"/>
      <c r="R59" s="398"/>
      <c r="S59" s="398"/>
      <c r="T59" s="738"/>
      <c r="U59" s="738"/>
      <c r="V59" s="738"/>
    </row>
    <row r="60" spans="1:22" ht="15.75" customHeight="1">
      <c r="A60" s="419"/>
      <c r="B60" s="589"/>
      <c r="C60" s="401">
        <f>C47</f>
        <v>3</v>
      </c>
      <c r="D60" s="401"/>
      <c r="E60" s="401">
        <f>E59</f>
        <v>0.3</v>
      </c>
      <c r="F60" s="401"/>
      <c r="G60" s="401"/>
      <c r="H60" s="401">
        <f>H59</f>
        <v>2</v>
      </c>
      <c r="I60" s="401"/>
      <c r="J60" s="401"/>
      <c r="K60" s="401"/>
      <c r="L60" s="401">
        <f>L47</f>
        <v>4</v>
      </c>
      <c r="M60" s="752">
        <f>C60*E60*H60*L60</f>
        <v>7.1999999999999993</v>
      </c>
      <c r="N60" s="801"/>
      <c r="O60" s="398"/>
      <c r="P60" s="779"/>
      <c r="Q60" s="398"/>
      <c r="R60" s="398"/>
      <c r="S60" s="398"/>
      <c r="T60" s="738"/>
      <c r="U60" s="738"/>
      <c r="V60" s="738"/>
    </row>
    <row r="61" spans="1:22" ht="15.75" customHeight="1">
      <c r="A61" s="419"/>
      <c r="B61" s="351"/>
      <c r="C61" s="401"/>
      <c r="D61" s="401"/>
      <c r="E61" s="401"/>
      <c r="F61" s="401"/>
      <c r="G61" s="401"/>
      <c r="H61" s="401"/>
      <c r="I61" s="401"/>
      <c r="J61" s="401"/>
      <c r="K61" s="401"/>
      <c r="L61" s="401"/>
      <c r="M61" s="474">
        <f>SUM(M58:M60)</f>
        <v>22.799999999999997</v>
      </c>
      <c r="N61" s="1105" t="s">
        <v>89</v>
      </c>
      <c r="O61" s="784">
        <f>ROUND((M61),2)</f>
        <v>22.8</v>
      </c>
      <c r="P61" s="779"/>
      <c r="Q61" s="398"/>
      <c r="R61" s="398"/>
      <c r="S61" s="398"/>
      <c r="T61" s="738"/>
      <c r="U61" s="738"/>
      <c r="V61" s="738"/>
    </row>
    <row r="62" spans="1:22" ht="15.75" customHeight="1">
      <c r="A62" s="419" t="s">
        <v>98</v>
      </c>
      <c r="B62" s="351" t="s">
        <v>410</v>
      </c>
      <c r="C62" s="401"/>
      <c r="D62" s="401"/>
      <c r="E62" s="401"/>
      <c r="F62" s="401"/>
      <c r="G62" s="401"/>
      <c r="H62" s="401"/>
      <c r="I62" s="401"/>
      <c r="J62" s="401"/>
      <c r="K62" s="401"/>
      <c r="L62" s="401"/>
      <c r="M62" s="401"/>
      <c r="N62" s="801"/>
      <c r="O62" s="398"/>
      <c r="P62" s="779"/>
      <c r="Q62" s="398"/>
      <c r="R62" s="398"/>
      <c r="S62" s="398"/>
      <c r="T62" s="738"/>
      <c r="U62" s="738"/>
      <c r="V62" s="738"/>
    </row>
    <row r="63" spans="1:22" ht="15.75" customHeight="1">
      <c r="A63" s="419"/>
      <c r="B63" s="589" t="s">
        <v>1044</v>
      </c>
      <c r="C63" s="401">
        <f>C58</f>
        <v>7.5</v>
      </c>
      <c r="D63" s="401"/>
      <c r="E63" s="401"/>
      <c r="F63" s="401">
        <f>10*10*0.006165</f>
        <v>0.61650000000000005</v>
      </c>
      <c r="G63" s="401"/>
      <c r="H63" s="401"/>
      <c r="I63" s="401"/>
      <c r="J63" s="401"/>
      <c r="K63" s="401">
        <v>5</v>
      </c>
      <c r="L63" s="401">
        <f>L58</f>
        <v>3</v>
      </c>
      <c r="M63" s="401">
        <f>C63*F63*K63*L63</f>
        <v>69.356250000000003</v>
      </c>
      <c r="N63" s="801"/>
      <c r="O63" s="398"/>
      <c r="P63" s="779"/>
      <c r="Q63" s="398"/>
      <c r="R63" s="398"/>
      <c r="S63" s="398"/>
      <c r="T63" s="738"/>
      <c r="U63" s="738"/>
      <c r="V63" s="738"/>
    </row>
    <row r="64" spans="1:22" ht="15.75" customHeight="1">
      <c r="A64" s="419"/>
      <c r="B64" s="589" t="s">
        <v>136</v>
      </c>
      <c r="C64" s="401">
        <f>C59</f>
        <v>1.75</v>
      </c>
      <c r="D64" s="401"/>
      <c r="E64" s="401"/>
      <c r="F64" s="401">
        <f>F63</f>
        <v>0.61650000000000005</v>
      </c>
      <c r="G64" s="401"/>
      <c r="H64" s="401"/>
      <c r="I64" s="401"/>
      <c r="J64" s="401"/>
      <c r="K64" s="401">
        <f>K63</f>
        <v>5</v>
      </c>
      <c r="L64" s="401">
        <f>L59</f>
        <v>2</v>
      </c>
      <c r="M64" s="486"/>
      <c r="N64" s="801"/>
      <c r="O64" s="398"/>
      <c r="P64" s="779"/>
      <c r="Q64" s="398"/>
      <c r="R64" s="398"/>
      <c r="S64" s="398"/>
      <c r="T64" s="738"/>
      <c r="U64" s="738"/>
      <c r="V64" s="738"/>
    </row>
    <row r="65" spans="1:22" ht="15.75" customHeight="1">
      <c r="A65" s="419"/>
      <c r="B65" s="589"/>
      <c r="C65" s="401">
        <f>C60</f>
        <v>3</v>
      </c>
      <c r="D65" s="401"/>
      <c r="E65" s="401"/>
      <c r="F65" s="401">
        <f>F64</f>
        <v>0.61650000000000005</v>
      </c>
      <c r="G65" s="401"/>
      <c r="H65" s="401"/>
      <c r="I65" s="401"/>
      <c r="J65" s="401"/>
      <c r="K65" s="401">
        <f>K64</f>
        <v>5</v>
      </c>
      <c r="L65" s="401">
        <f>L60</f>
        <v>4</v>
      </c>
      <c r="M65" s="752">
        <f>C65*F65*K65*L65</f>
        <v>36.99</v>
      </c>
      <c r="N65" s="801"/>
      <c r="O65" s="398"/>
      <c r="P65" s="779"/>
      <c r="Q65" s="398"/>
      <c r="R65" s="398"/>
      <c r="S65" s="398"/>
      <c r="T65" s="738"/>
      <c r="U65" s="738"/>
      <c r="V65" s="738"/>
    </row>
    <row r="66" spans="1:22" ht="15.75" customHeight="1">
      <c r="A66" s="419"/>
      <c r="B66" s="351"/>
      <c r="C66" s="401"/>
      <c r="D66" s="401"/>
      <c r="E66" s="401"/>
      <c r="F66" s="401"/>
      <c r="G66" s="401"/>
      <c r="H66" s="401"/>
      <c r="I66" s="401"/>
      <c r="J66" s="401"/>
      <c r="K66" s="401"/>
      <c r="L66" s="401"/>
      <c r="M66" s="474">
        <f>TRUNC(M63+M65,2)</f>
        <v>106.34</v>
      </c>
      <c r="N66" s="1105" t="s">
        <v>100</v>
      </c>
      <c r="O66" s="784">
        <f>ROUND((M66),2)</f>
        <v>106.34</v>
      </c>
      <c r="P66" s="779"/>
      <c r="Q66" s="398"/>
      <c r="R66" s="398"/>
      <c r="S66" s="398"/>
      <c r="T66" s="738"/>
      <c r="U66" s="738"/>
      <c r="V66" s="738"/>
    </row>
    <row r="67" spans="1:22" ht="15.75" customHeight="1">
      <c r="A67" s="419" t="s">
        <v>101</v>
      </c>
      <c r="B67" s="351" t="s">
        <v>529</v>
      </c>
      <c r="C67" s="401"/>
      <c r="D67" s="401"/>
      <c r="E67" s="401"/>
      <c r="F67" s="401"/>
      <c r="G67" s="401"/>
      <c r="H67" s="401"/>
      <c r="I67" s="401"/>
      <c r="J67" s="401"/>
      <c r="K67" s="401"/>
      <c r="L67" s="401"/>
      <c r="M67" s="401"/>
      <c r="N67" s="801"/>
      <c r="O67" s="398"/>
      <c r="P67" s="779"/>
      <c r="Q67" s="398"/>
      <c r="R67" s="398"/>
      <c r="S67" s="398"/>
      <c r="T67" s="738"/>
      <c r="U67" s="738"/>
      <c r="V67" s="738"/>
    </row>
    <row r="68" spans="1:22" ht="15.75" customHeight="1">
      <c r="A68" s="419"/>
      <c r="B68" s="589" t="s">
        <v>1044</v>
      </c>
      <c r="C68" s="401">
        <f>(0.07+0.22)*2</f>
        <v>0.58000000000000007</v>
      </c>
      <c r="D68" s="401"/>
      <c r="E68" s="401"/>
      <c r="F68" s="401">
        <f>6*6*0.006165</f>
        <v>0.22194000000000003</v>
      </c>
      <c r="G68" s="401">
        <v>0.1</v>
      </c>
      <c r="H68" s="401"/>
      <c r="I68" s="401"/>
      <c r="J68" s="401"/>
      <c r="K68" s="401">
        <f>ROUNDUP((C63/0.15),0.5)</f>
        <v>50</v>
      </c>
      <c r="L68" s="401">
        <f>L63</f>
        <v>3</v>
      </c>
      <c r="M68" s="401">
        <f>(C68+G68)*F68*K68*L68</f>
        <v>22.637880000000006</v>
      </c>
      <c r="N68" s="801"/>
      <c r="O68" s="398"/>
      <c r="P68" s="779"/>
      <c r="Q68" s="398"/>
      <c r="R68" s="398"/>
      <c r="S68" s="398"/>
      <c r="T68" s="738"/>
      <c r="U68" s="738"/>
      <c r="V68" s="738"/>
    </row>
    <row r="69" spans="1:22" ht="15.75" customHeight="1">
      <c r="A69" s="419"/>
      <c r="B69" s="589" t="s">
        <v>136</v>
      </c>
      <c r="C69" s="401">
        <f>C68</f>
        <v>0.58000000000000007</v>
      </c>
      <c r="D69" s="401"/>
      <c r="E69" s="401"/>
      <c r="F69" s="401">
        <f>F68</f>
        <v>0.22194000000000003</v>
      </c>
      <c r="G69" s="401">
        <f>G68</f>
        <v>0.1</v>
      </c>
      <c r="H69" s="401"/>
      <c r="I69" s="401"/>
      <c r="J69" s="401"/>
      <c r="K69" s="401">
        <f>ROUNDUP((C64/0.15),0.5)</f>
        <v>12</v>
      </c>
      <c r="L69" s="401">
        <f>L64</f>
        <v>2</v>
      </c>
      <c r="M69" s="401">
        <f>(C69+G69)*F69*K69*L69</f>
        <v>3.6220608000000007</v>
      </c>
      <c r="N69" s="801"/>
      <c r="O69" s="398"/>
      <c r="P69" s="779"/>
      <c r="Q69" s="398"/>
      <c r="R69" s="398"/>
      <c r="S69" s="398"/>
      <c r="T69" s="738"/>
      <c r="U69" s="738"/>
      <c r="V69" s="738"/>
    </row>
    <row r="70" spans="1:22" ht="15.75" customHeight="1">
      <c r="A70" s="419"/>
      <c r="B70" s="589"/>
      <c r="C70" s="401">
        <f>C69</f>
        <v>0.58000000000000007</v>
      </c>
      <c r="D70" s="401"/>
      <c r="E70" s="401"/>
      <c r="F70" s="401">
        <f>F69</f>
        <v>0.22194000000000003</v>
      </c>
      <c r="G70" s="401">
        <f>G69</f>
        <v>0.1</v>
      </c>
      <c r="H70" s="401"/>
      <c r="I70" s="401"/>
      <c r="J70" s="401"/>
      <c r="K70" s="401">
        <f>ROUNDUP((C65/0.15),0.5)</f>
        <v>20</v>
      </c>
      <c r="L70" s="401">
        <f>L65</f>
        <v>4</v>
      </c>
      <c r="M70" s="752">
        <f>(C70+G70)*F70*K70*L70</f>
        <v>12.073536000000002</v>
      </c>
      <c r="N70" s="801"/>
      <c r="O70" s="398"/>
      <c r="P70" s="779"/>
      <c r="Q70" s="398"/>
      <c r="R70" s="398"/>
      <c r="S70" s="398"/>
      <c r="T70" s="738"/>
      <c r="U70" s="738"/>
      <c r="V70" s="738"/>
    </row>
    <row r="71" spans="1:22" ht="15.75" customHeight="1">
      <c r="A71" s="419"/>
      <c r="B71" s="351"/>
      <c r="C71" s="401"/>
      <c r="D71" s="401"/>
      <c r="E71" s="401"/>
      <c r="F71" s="401"/>
      <c r="G71" s="401"/>
      <c r="H71" s="401"/>
      <c r="I71" s="401"/>
      <c r="J71" s="401"/>
      <c r="K71" s="401"/>
      <c r="L71" s="401"/>
      <c r="M71" s="474">
        <f>TRUNC(M68+M70,2)</f>
        <v>34.71</v>
      </c>
      <c r="N71" s="1105" t="s">
        <v>100</v>
      </c>
      <c r="O71" s="784">
        <f>ROUND((M71),2)</f>
        <v>34.71</v>
      </c>
      <c r="P71" s="779"/>
      <c r="Q71" s="398"/>
      <c r="R71" s="398"/>
      <c r="S71" s="398"/>
      <c r="T71" s="738"/>
      <c r="U71" s="738"/>
      <c r="V71" s="738"/>
    </row>
    <row r="72" spans="1:22" s="787" customFormat="1" ht="15.75" hidden="1" customHeight="1">
      <c r="A72" s="806"/>
      <c r="B72" s="585" t="s">
        <v>945</v>
      </c>
      <c r="C72" s="754"/>
      <c r="D72" s="754"/>
      <c r="E72" s="754"/>
      <c r="F72" s="754"/>
      <c r="G72" s="754"/>
      <c r="H72" s="754"/>
      <c r="I72" s="754"/>
      <c r="J72" s="754"/>
      <c r="K72" s="754"/>
      <c r="L72" s="754"/>
      <c r="M72" s="762"/>
      <c r="N72" s="575"/>
      <c r="O72" s="785"/>
      <c r="P72" s="577"/>
      <c r="Q72" s="577"/>
      <c r="R72" s="577"/>
      <c r="S72" s="786"/>
      <c r="T72" s="786"/>
      <c r="U72" s="786"/>
    </row>
    <row r="73" spans="1:22" s="787" customFormat="1" ht="15.75" hidden="1" customHeight="1">
      <c r="A73" s="806"/>
      <c r="B73" s="581" t="s">
        <v>1111</v>
      </c>
      <c r="C73" s="754">
        <f>C63</f>
        <v>7.5</v>
      </c>
      <c r="D73" s="754"/>
      <c r="E73" s="754"/>
      <c r="F73" s="754"/>
      <c r="G73" s="754"/>
      <c r="H73" s="754"/>
      <c r="I73" s="754"/>
      <c r="J73" s="754"/>
      <c r="K73" s="754"/>
      <c r="L73" s="754">
        <f>L68</f>
        <v>3</v>
      </c>
      <c r="M73" s="762">
        <f>C73*L73</f>
        <v>22.5</v>
      </c>
      <c r="N73" s="575"/>
      <c r="O73" s="785"/>
      <c r="P73" s="577"/>
      <c r="Q73" s="577"/>
      <c r="R73" s="577"/>
      <c r="S73" s="786"/>
      <c r="T73" s="786"/>
      <c r="U73" s="786"/>
    </row>
    <row r="74" spans="1:22" s="787" customFormat="1" ht="15.75" hidden="1" customHeight="1">
      <c r="A74" s="806"/>
      <c r="B74" s="581"/>
      <c r="C74" s="754">
        <f>C64</f>
        <v>1.75</v>
      </c>
      <c r="D74" s="754"/>
      <c r="E74" s="754"/>
      <c r="F74" s="754"/>
      <c r="G74" s="754"/>
      <c r="H74" s="754"/>
      <c r="I74" s="754"/>
      <c r="J74" s="754"/>
      <c r="K74" s="754"/>
      <c r="L74" s="754">
        <f>L69</f>
        <v>2</v>
      </c>
      <c r="M74" s="762">
        <f>C74*L74</f>
        <v>3.5</v>
      </c>
      <c r="N74" s="575"/>
      <c r="O74" s="785"/>
      <c r="P74" s="577"/>
      <c r="Q74" s="577"/>
      <c r="R74" s="577"/>
      <c r="S74" s="786"/>
      <c r="T74" s="786"/>
      <c r="U74" s="786"/>
    </row>
    <row r="75" spans="1:22" s="787" customFormat="1" ht="15.75" hidden="1" customHeight="1">
      <c r="A75" s="806"/>
      <c r="B75" s="581"/>
      <c r="C75" s="754">
        <f>C65</f>
        <v>3</v>
      </c>
      <c r="D75" s="754"/>
      <c r="E75" s="754"/>
      <c r="F75" s="754"/>
      <c r="G75" s="754"/>
      <c r="H75" s="754"/>
      <c r="I75" s="754"/>
      <c r="J75" s="754"/>
      <c r="K75" s="754"/>
      <c r="L75" s="754">
        <f>L70</f>
        <v>4</v>
      </c>
      <c r="M75" s="759">
        <f>C75*L75</f>
        <v>12</v>
      </c>
      <c r="N75" s="575"/>
      <c r="O75" s="785"/>
      <c r="P75" s="577"/>
      <c r="Q75" s="577"/>
      <c r="R75" s="577"/>
      <c r="S75" s="786"/>
      <c r="T75" s="786"/>
      <c r="U75" s="786"/>
    </row>
    <row r="76" spans="1:22" s="787" customFormat="1" ht="15.75" hidden="1" customHeight="1">
      <c r="A76" s="806"/>
      <c r="B76" s="581"/>
      <c r="C76" s="754"/>
      <c r="D76" s="754"/>
      <c r="E76" s="754"/>
      <c r="F76" s="754"/>
      <c r="G76" s="754"/>
      <c r="H76" s="754"/>
      <c r="I76" s="754"/>
      <c r="J76" s="754"/>
      <c r="K76" s="754"/>
      <c r="L76" s="754"/>
      <c r="M76" s="762">
        <f>SUM(M73:M75)</f>
        <v>38</v>
      </c>
      <c r="N76" s="575" t="s">
        <v>117</v>
      </c>
      <c r="O76" s="785"/>
      <c r="P76" s="577"/>
      <c r="Q76" s="577"/>
      <c r="R76" s="577"/>
      <c r="S76" s="786"/>
      <c r="T76" s="786"/>
      <c r="U76" s="786"/>
    </row>
    <row r="77" spans="1:22" s="787" customFormat="1" ht="15.75" hidden="1" customHeight="1">
      <c r="A77" s="806"/>
      <c r="B77" s="581"/>
      <c r="C77" s="754">
        <f>M76</f>
        <v>38</v>
      </c>
      <c r="D77" s="754">
        <v>0.5</v>
      </c>
      <c r="E77" s="754"/>
      <c r="F77" s="754"/>
      <c r="G77" s="754"/>
      <c r="H77" s="754"/>
      <c r="I77" s="754"/>
      <c r="J77" s="754"/>
      <c r="K77" s="754"/>
      <c r="L77" s="754"/>
      <c r="M77" s="755">
        <f>ROUNDDOWN((C77/D77),0.5)</f>
        <v>76</v>
      </c>
      <c r="N77" s="1109" t="s">
        <v>124</v>
      </c>
      <c r="O77" s="785">
        <f>ROUND((M77),2)</f>
        <v>76</v>
      </c>
      <c r="P77" s="577"/>
      <c r="Q77" s="577"/>
      <c r="R77" s="577"/>
      <c r="S77" s="786"/>
      <c r="T77" s="786"/>
      <c r="U77" s="786"/>
    </row>
    <row r="78" spans="1:22" ht="15.75" customHeight="1">
      <c r="A78" s="419" t="s">
        <v>121</v>
      </c>
      <c r="B78" s="356" t="s">
        <v>420</v>
      </c>
      <c r="C78" s="401"/>
      <c r="D78" s="401"/>
      <c r="E78" s="401"/>
      <c r="F78" s="401"/>
      <c r="G78" s="401"/>
      <c r="H78" s="401"/>
      <c r="I78" s="401"/>
      <c r="J78" s="401"/>
      <c r="K78" s="401"/>
      <c r="L78" s="401"/>
      <c r="M78" s="401"/>
      <c r="N78" s="801"/>
      <c r="O78" s="398"/>
      <c r="P78" s="779"/>
      <c r="Q78" s="398"/>
      <c r="R78" s="398"/>
      <c r="S78" s="398"/>
      <c r="T78" s="738"/>
      <c r="U78" s="738"/>
      <c r="V78" s="738"/>
    </row>
    <row r="79" spans="1:22" ht="15.75" customHeight="1">
      <c r="A79" s="820"/>
      <c r="B79" s="589" t="s">
        <v>1044</v>
      </c>
      <c r="C79" s="401">
        <f>C63</f>
        <v>7.5</v>
      </c>
      <c r="D79" s="401">
        <v>0.15</v>
      </c>
      <c r="E79" s="401">
        <v>0.3</v>
      </c>
      <c r="F79" s="401"/>
      <c r="G79" s="401"/>
      <c r="H79" s="401"/>
      <c r="I79" s="401"/>
      <c r="J79" s="401"/>
      <c r="K79" s="401"/>
      <c r="L79" s="401">
        <f>L68</f>
        <v>3</v>
      </c>
      <c r="M79" s="401">
        <f>C79*D79*E79*L79</f>
        <v>1.0125</v>
      </c>
      <c r="N79" s="801"/>
      <c r="O79" s="398"/>
      <c r="P79" s="779"/>
      <c r="Q79" s="398"/>
      <c r="R79" s="398"/>
      <c r="S79" s="398"/>
      <c r="T79" s="738"/>
      <c r="U79" s="738"/>
      <c r="V79" s="738"/>
    </row>
    <row r="80" spans="1:22" ht="15.75" customHeight="1">
      <c r="A80" s="820"/>
      <c r="B80" s="589" t="s">
        <v>136</v>
      </c>
      <c r="C80" s="401">
        <f>C64</f>
        <v>1.75</v>
      </c>
      <c r="D80" s="401">
        <f>D79</f>
        <v>0.15</v>
      </c>
      <c r="E80" s="401">
        <f>E79</f>
        <v>0.3</v>
      </c>
      <c r="F80" s="401"/>
      <c r="G80" s="401"/>
      <c r="H80" s="401"/>
      <c r="I80" s="401"/>
      <c r="J80" s="401"/>
      <c r="K80" s="401"/>
      <c r="L80" s="401">
        <f>L69</f>
        <v>2</v>
      </c>
      <c r="M80" s="401">
        <f>C80*D80*E80*L80</f>
        <v>0.1575</v>
      </c>
      <c r="N80" s="801"/>
      <c r="O80" s="398"/>
      <c r="P80" s="779"/>
      <c r="Q80" s="398"/>
      <c r="R80" s="398"/>
      <c r="S80" s="398"/>
      <c r="T80" s="738"/>
      <c r="U80" s="738"/>
      <c r="V80" s="738"/>
    </row>
    <row r="81" spans="1:22" ht="15.75" customHeight="1">
      <c r="A81" s="820"/>
      <c r="B81" s="589"/>
      <c r="C81" s="401">
        <f>C65</f>
        <v>3</v>
      </c>
      <c r="D81" s="401">
        <f>D80</f>
        <v>0.15</v>
      </c>
      <c r="E81" s="401">
        <f>E80</f>
        <v>0.3</v>
      </c>
      <c r="F81" s="401"/>
      <c r="G81" s="401"/>
      <c r="H81" s="401"/>
      <c r="I81" s="401"/>
      <c r="J81" s="401"/>
      <c r="K81" s="401"/>
      <c r="L81" s="401">
        <f>L70</f>
        <v>4</v>
      </c>
      <c r="M81" s="752">
        <f>C81*D81*E81*L81</f>
        <v>0.53999999999999992</v>
      </c>
      <c r="N81" s="801"/>
      <c r="O81" s="398"/>
      <c r="P81" s="779"/>
      <c r="Q81" s="398"/>
      <c r="R81" s="398"/>
      <c r="S81" s="398"/>
      <c r="T81" s="738"/>
      <c r="U81" s="738"/>
      <c r="V81" s="738"/>
    </row>
    <row r="82" spans="1:22" ht="15.75" customHeight="1">
      <c r="A82" s="820"/>
      <c r="B82" s="351"/>
      <c r="C82" s="401"/>
      <c r="D82" s="401"/>
      <c r="E82" s="401"/>
      <c r="F82" s="401"/>
      <c r="G82" s="401"/>
      <c r="H82" s="401"/>
      <c r="I82" s="401"/>
      <c r="J82" s="401"/>
      <c r="K82" s="401"/>
      <c r="L82" s="401"/>
      <c r="M82" s="474">
        <f>SUM(M79:M81)</f>
        <v>1.71</v>
      </c>
      <c r="N82" s="1105" t="s">
        <v>103</v>
      </c>
      <c r="O82" s="784">
        <f>ROUND((M82),2)</f>
        <v>1.71</v>
      </c>
      <c r="P82" s="779"/>
      <c r="Q82" s="398"/>
      <c r="R82" s="398"/>
      <c r="S82" s="398"/>
      <c r="T82" s="738"/>
      <c r="U82" s="738"/>
      <c r="V82" s="738"/>
    </row>
    <row r="83" spans="1:22" ht="15.75" customHeight="1">
      <c r="A83" s="350">
        <f>A56+1</f>
        <v>6</v>
      </c>
      <c r="B83" s="351" t="s">
        <v>527</v>
      </c>
      <c r="C83" s="401"/>
      <c r="D83" s="401"/>
      <c r="E83" s="401"/>
      <c r="F83" s="401"/>
      <c r="G83" s="401"/>
      <c r="H83" s="401"/>
      <c r="I83" s="401"/>
      <c r="J83" s="401"/>
      <c r="K83" s="401"/>
      <c r="L83" s="401"/>
      <c r="M83" s="474"/>
      <c r="N83" s="1105"/>
      <c r="O83" s="398"/>
      <c r="P83" s="779"/>
      <c r="Q83" s="398"/>
      <c r="R83" s="398"/>
      <c r="S83" s="398"/>
      <c r="T83" s="738"/>
      <c r="U83" s="738"/>
      <c r="V83" s="738"/>
    </row>
    <row r="84" spans="1:22" ht="15.75" customHeight="1">
      <c r="A84" s="355" t="s">
        <v>95</v>
      </c>
      <c r="B84" s="351" t="s">
        <v>1200</v>
      </c>
      <c r="C84" s="401"/>
      <c r="D84" s="401">
        <v>0.15</v>
      </c>
      <c r="E84" s="401">
        <v>0.7</v>
      </c>
      <c r="F84" s="401"/>
      <c r="G84" s="401"/>
      <c r="H84" s="401">
        <v>4</v>
      </c>
      <c r="I84" s="401"/>
      <c r="J84" s="401"/>
      <c r="K84" s="401"/>
      <c r="L84" s="401">
        <v>8</v>
      </c>
      <c r="M84" s="401">
        <f>D84*E84*H84*L84</f>
        <v>3.36</v>
      </c>
      <c r="N84" s="801" t="s">
        <v>89</v>
      </c>
      <c r="O84" s="784">
        <f>ROUND((M84),2)</f>
        <v>3.36</v>
      </c>
      <c r="P84" s="779"/>
      <c r="Q84" s="398"/>
      <c r="R84" s="398"/>
      <c r="S84" s="398"/>
      <c r="T84" s="738"/>
      <c r="U84" s="738"/>
      <c r="V84" s="738"/>
    </row>
    <row r="85" spans="1:22" ht="15.75" customHeight="1">
      <c r="A85" s="355" t="s">
        <v>98</v>
      </c>
      <c r="B85" s="351" t="s">
        <v>528</v>
      </c>
      <c r="C85" s="401"/>
      <c r="D85" s="401"/>
      <c r="E85" s="401">
        <f>E84</f>
        <v>0.7</v>
      </c>
      <c r="F85" s="401">
        <f>10*10*0.006165</f>
        <v>0.61650000000000005</v>
      </c>
      <c r="G85" s="401"/>
      <c r="H85" s="401"/>
      <c r="I85" s="401">
        <v>0.6</v>
      </c>
      <c r="J85" s="401"/>
      <c r="K85" s="401">
        <v>6</v>
      </c>
      <c r="L85" s="401">
        <v>8</v>
      </c>
      <c r="M85" s="401">
        <f>(E85+I85)*F85*K85*L85</f>
        <v>38.4696</v>
      </c>
      <c r="N85" s="801" t="s">
        <v>100</v>
      </c>
      <c r="O85" s="784">
        <f>ROUND((M85),2)</f>
        <v>38.47</v>
      </c>
      <c r="P85" s="779"/>
      <c r="Q85" s="398"/>
      <c r="R85" s="398"/>
      <c r="S85" s="398"/>
      <c r="T85" s="738"/>
      <c r="U85" s="738"/>
      <c r="V85" s="738"/>
    </row>
    <row r="86" spans="1:22" ht="15.75" customHeight="1">
      <c r="A86" s="355" t="s">
        <v>101</v>
      </c>
      <c r="B86" s="351" t="s">
        <v>529</v>
      </c>
      <c r="C86" s="401">
        <f>0.07*4</f>
        <v>0.28000000000000003</v>
      </c>
      <c r="D86" s="401"/>
      <c r="E86" s="401"/>
      <c r="F86" s="401">
        <f>6*6*0.006165</f>
        <v>0.22194000000000003</v>
      </c>
      <c r="G86" s="401">
        <f>0.05*2</f>
        <v>0.1</v>
      </c>
      <c r="H86" s="401"/>
      <c r="I86" s="401"/>
      <c r="J86" s="401"/>
      <c r="K86" s="401">
        <f>ROUNDDOWN((E85/0.125),0.5)</f>
        <v>5</v>
      </c>
      <c r="L86" s="401">
        <f>L85</f>
        <v>8</v>
      </c>
      <c r="M86" s="401">
        <f>(C86+G86)*F86*K86*L86</f>
        <v>3.3734880000000005</v>
      </c>
      <c r="N86" s="801" t="s">
        <v>100</v>
      </c>
      <c r="O86" s="784">
        <f>ROUND((M86),2)</f>
        <v>3.37</v>
      </c>
      <c r="P86" s="779"/>
      <c r="Q86" s="398"/>
      <c r="R86" s="398"/>
      <c r="S86" s="398"/>
      <c r="T86" s="738"/>
      <c r="U86" s="738"/>
      <c r="V86" s="738"/>
    </row>
    <row r="87" spans="1:22" ht="15.75" customHeight="1">
      <c r="A87" s="355" t="s">
        <v>121</v>
      </c>
      <c r="B87" s="356" t="s">
        <v>420</v>
      </c>
      <c r="C87" s="401">
        <v>0.15</v>
      </c>
      <c r="D87" s="401">
        <v>0.15</v>
      </c>
      <c r="E87" s="401">
        <f>E85</f>
        <v>0.7</v>
      </c>
      <c r="F87" s="401"/>
      <c r="G87" s="401"/>
      <c r="H87" s="401"/>
      <c r="I87" s="401"/>
      <c r="J87" s="401"/>
      <c r="K87" s="401"/>
      <c r="L87" s="401">
        <f>L86</f>
        <v>8</v>
      </c>
      <c r="M87" s="401">
        <f>C87*D87*E87*L87</f>
        <v>0.126</v>
      </c>
      <c r="N87" s="801" t="s">
        <v>103</v>
      </c>
      <c r="O87" s="784">
        <f>ROUND((M87),2)</f>
        <v>0.13</v>
      </c>
      <c r="P87" s="779"/>
      <c r="Q87" s="398"/>
      <c r="R87" s="398"/>
      <c r="S87" s="398"/>
      <c r="T87" s="738"/>
      <c r="U87" s="738"/>
      <c r="V87" s="738"/>
    </row>
    <row r="88" spans="1:22" ht="15.75" customHeight="1">
      <c r="A88" s="350">
        <f>A83+1</f>
        <v>7</v>
      </c>
      <c r="B88" s="351" t="s">
        <v>530</v>
      </c>
      <c r="C88" s="401"/>
      <c r="D88" s="401"/>
      <c r="E88" s="401"/>
      <c r="F88" s="401"/>
      <c r="G88" s="401"/>
      <c r="H88" s="401"/>
      <c r="I88" s="401"/>
      <c r="J88" s="401"/>
      <c r="K88" s="401"/>
      <c r="L88" s="401"/>
      <c r="M88" s="474"/>
      <c r="N88" s="1105"/>
      <c r="O88" s="398"/>
      <c r="P88" s="779"/>
      <c r="Q88" s="398"/>
      <c r="R88" s="398"/>
      <c r="S88" s="398"/>
      <c r="T88" s="738"/>
      <c r="U88" s="738"/>
      <c r="V88" s="738"/>
    </row>
    <row r="89" spans="1:22" ht="15.75" customHeight="1">
      <c r="A89" s="355" t="s">
        <v>95</v>
      </c>
      <c r="B89" s="351" t="s">
        <v>1200</v>
      </c>
      <c r="C89" s="401"/>
      <c r="D89" s="401">
        <f>D84</f>
        <v>0.15</v>
      </c>
      <c r="E89" s="401">
        <v>3</v>
      </c>
      <c r="F89" s="401"/>
      <c r="G89" s="401"/>
      <c r="H89" s="401">
        <v>4</v>
      </c>
      <c r="I89" s="401"/>
      <c r="J89" s="401"/>
      <c r="K89" s="401"/>
      <c r="L89" s="401">
        <f>L84</f>
        <v>8</v>
      </c>
      <c r="M89" s="401">
        <f>D89*E89*H89*L89</f>
        <v>14.399999999999999</v>
      </c>
      <c r="N89" s="801" t="s">
        <v>89</v>
      </c>
      <c r="O89" s="784">
        <f>ROUND((M89),2)</f>
        <v>14.4</v>
      </c>
      <c r="P89" s="779"/>
      <c r="Q89" s="398"/>
      <c r="R89" s="398"/>
      <c r="S89" s="398"/>
      <c r="T89" s="738"/>
      <c r="U89" s="738"/>
      <c r="V89" s="738"/>
    </row>
    <row r="90" spans="1:22" ht="15.75" customHeight="1">
      <c r="A90" s="355" t="s">
        <v>98</v>
      </c>
      <c r="B90" s="351" t="s">
        <v>528</v>
      </c>
      <c r="C90" s="401"/>
      <c r="D90" s="401"/>
      <c r="E90" s="401">
        <f>E89</f>
        <v>3</v>
      </c>
      <c r="F90" s="401">
        <f>F85</f>
        <v>0.61650000000000005</v>
      </c>
      <c r="G90" s="401"/>
      <c r="H90" s="401"/>
      <c r="I90" s="401">
        <v>0.3</v>
      </c>
      <c r="J90" s="401"/>
      <c r="K90" s="401">
        <v>6</v>
      </c>
      <c r="L90" s="401">
        <v>8</v>
      </c>
      <c r="M90" s="401">
        <f>(E90+I90)*F90*K90*L90</f>
        <v>97.653600000000012</v>
      </c>
      <c r="N90" s="801" t="s">
        <v>100</v>
      </c>
      <c r="O90" s="784">
        <f>ROUND((M90),2)</f>
        <v>97.65</v>
      </c>
      <c r="P90" s="779"/>
      <c r="Q90" s="398"/>
      <c r="R90" s="398"/>
      <c r="S90" s="398"/>
      <c r="T90" s="738"/>
      <c r="U90" s="738"/>
      <c r="V90" s="738"/>
    </row>
    <row r="91" spans="1:22" ht="15.75" customHeight="1">
      <c r="A91" s="355" t="s">
        <v>101</v>
      </c>
      <c r="B91" s="351" t="s">
        <v>529</v>
      </c>
      <c r="C91" s="401">
        <f>C86</f>
        <v>0.28000000000000003</v>
      </c>
      <c r="D91" s="401"/>
      <c r="E91" s="401"/>
      <c r="F91" s="401">
        <f>F86</f>
        <v>0.22194000000000003</v>
      </c>
      <c r="G91" s="401">
        <f>0.05*2</f>
        <v>0.1</v>
      </c>
      <c r="H91" s="401"/>
      <c r="I91" s="401"/>
      <c r="J91" s="401"/>
      <c r="K91" s="401">
        <f>ROUNDDOWN((E90/0.125),0.5)</f>
        <v>24</v>
      </c>
      <c r="L91" s="401">
        <f>L90</f>
        <v>8</v>
      </c>
      <c r="M91" s="401">
        <f>(C91+G91)*F91*K91*L91</f>
        <v>16.192742400000004</v>
      </c>
      <c r="N91" s="801" t="s">
        <v>100</v>
      </c>
      <c r="O91" s="784">
        <f>ROUND((M91),2)</f>
        <v>16.190000000000001</v>
      </c>
      <c r="P91" s="779"/>
      <c r="Q91" s="398"/>
      <c r="R91" s="398"/>
      <c r="S91" s="398"/>
      <c r="T91" s="738"/>
      <c r="U91" s="738"/>
      <c r="V91" s="738"/>
    </row>
    <row r="92" spans="1:22" ht="15.75" customHeight="1">
      <c r="A92" s="355" t="s">
        <v>121</v>
      </c>
      <c r="B92" s="356" t="s">
        <v>420</v>
      </c>
      <c r="C92" s="401">
        <f>C87</f>
        <v>0.15</v>
      </c>
      <c r="D92" s="401">
        <f>D87</f>
        <v>0.15</v>
      </c>
      <c r="E92" s="401">
        <f>E89</f>
        <v>3</v>
      </c>
      <c r="F92" s="401"/>
      <c r="G92" s="401"/>
      <c r="H92" s="401"/>
      <c r="I92" s="401"/>
      <c r="J92" s="401"/>
      <c r="K92" s="401"/>
      <c r="L92" s="401">
        <f>L91</f>
        <v>8</v>
      </c>
      <c r="M92" s="401">
        <f>C92*D92*E92*L92</f>
        <v>0.54</v>
      </c>
      <c r="N92" s="801" t="s">
        <v>103</v>
      </c>
      <c r="O92" s="784">
        <f>ROUND((M92),2)</f>
        <v>0.54</v>
      </c>
      <c r="P92" s="779"/>
      <c r="Q92" s="398"/>
      <c r="R92" s="398"/>
      <c r="S92" s="398"/>
      <c r="T92" s="738"/>
      <c r="U92" s="738"/>
      <c r="V92" s="738"/>
    </row>
    <row r="93" spans="1:22" ht="15.75" customHeight="1">
      <c r="A93" s="350">
        <f>A88+1</f>
        <v>8</v>
      </c>
      <c r="B93" s="351" t="s">
        <v>552</v>
      </c>
      <c r="C93" s="401"/>
      <c r="D93" s="401"/>
      <c r="E93" s="401"/>
      <c r="F93" s="401"/>
      <c r="G93" s="401"/>
      <c r="H93" s="401"/>
      <c r="I93" s="401"/>
      <c r="J93" s="401"/>
      <c r="K93" s="401"/>
      <c r="L93" s="401"/>
      <c r="M93" s="401"/>
      <c r="N93" s="801"/>
      <c r="O93" s="398"/>
      <c r="P93" s="779"/>
      <c r="Q93" s="398"/>
      <c r="R93" s="398"/>
      <c r="S93" s="398"/>
      <c r="T93" s="738"/>
      <c r="U93" s="738"/>
      <c r="V93" s="738"/>
    </row>
    <row r="94" spans="1:22" ht="15.75" customHeight="1">
      <c r="A94" s="419" t="s">
        <v>95</v>
      </c>
      <c r="B94" s="351" t="s">
        <v>1200</v>
      </c>
      <c r="C94" s="401"/>
      <c r="D94" s="401">
        <f>D89</f>
        <v>0.15</v>
      </c>
      <c r="E94" s="401">
        <f>E89</f>
        <v>3</v>
      </c>
      <c r="F94" s="401"/>
      <c r="G94" s="401"/>
      <c r="H94" s="401">
        <v>2</v>
      </c>
      <c r="I94" s="401"/>
      <c r="J94" s="401"/>
      <c r="K94" s="401"/>
      <c r="L94" s="401">
        <v>6</v>
      </c>
      <c r="M94" s="401">
        <f>D94*E94*H94*L94</f>
        <v>5.3999999999999995</v>
      </c>
      <c r="N94" s="801" t="s">
        <v>89</v>
      </c>
      <c r="O94" s="784">
        <f>ROUND((M94),2)</f>
        <v>5.4</v>
      </c>
      <c r="P94" s="779"/>
      <c r="Q94" s="398"/>
      <c r="R94" s="398"/>
      <c r="S94" s="398"/>
      <c r="T94" s="738"/>
      <c r="U94" s="738"/>
      <c r="V94" s="738"/>
    </row>
    <row r="95" spans="1:22" ht="15.75" customHeight="1">
      <c r="A95" s="419" t="s">
        <v>98</v>
      </c>
      <c r="B95" s="351" t="s">
        <v>432</v>
      </c>
      <c r="C95" s="401"/>
      <c r="D95" s="401"/>
      <c r="E95" s="401">
        <f>E94</f>
        <v>3</v>
      </c>
      <c r="F95" s="401">
        <f>F90</f>
        <v>0.61650000000000005</v>
      </c>
      <c r="G95" s="401"/>
      <c r="H95" s="401"/>
      <c r="I95" s="401">
        <v>0.6</v>
      </c>
      <c r="J95" s="401">
        <v>0.1</v>
      </c>
      <c r="K95" s="401">
        <v>4</v>
      </c>
      <c r="L95" s="401">
        <v>6</v>
      </c>
      <c r="M95" s="401">
        <f>(E95+I95+J95)*F95*K95*L95</f>
        <v>54.745200000000011</v>
      </c>
      <c r="N95" s="801" t="s">
        <v>100</v>
      </c>
      <c r="O95" s="784">
        <f>ROUND((M95),2)</f>
        <v>54.75</v>
      </c>
      <c r="P95" s="779"/>
      <c r="Q95" s="398"/>
      <c r="R95" s="398"/>
      <c r="S95" s="398"/>
      <c r="T95" s="738"/>
      <c r="U95" s="738"/>
      <c r="V95" s="738"/>
    </row>
    <row r="96" spans="1:22" ht="15.75" customHeight="1">
      <c r="A96" s="419" t="s">
        <v>101</v>
      </c>
      <c r="B96" s="351" t="s">
        <v>529</v>
      </c>
      <c r="C96" s="401">
        <f>C91</f>
        <v>0.28000000000000003</v>
      </c>
      <c r="D96" s="401"/>
      <c r="E96" s="401"/>
      <c r="F96" s="401">
        <f>F91</f>
        <v>0.22194000000000003</v>
      </c>
      <c r="G96" s="401">
        <f>G91</f>
        <v>0.1</v>
      </c>
      <c r="H96" s="401"/>
      <c r="I96" s="401"/>
      <c r="J96" s="401"/>
      <c r="K96" s="401">
        <f>ROUNDUP((E94/0.15),0.5)+1</f>
        <v>21</v>
      </c>
      <c r="L96" s="401">
        <f>L95</f>
        <v>6</v>
      </c>
      <c r="M96" s="401">
        <f>(C96+G96)*F96*K96*L96</f>
        <v>10.626487200000001</v>
      </c>
      <c r="N96" s="801" t="s">
        <v>100</v>
      </c>
      <c r="O96" s="784">
        <f>ROUND((M96),2)</f>
        <v>10.63</v>
      </c>
      <c r="P96" s="779"/>
      <c r="Q96" s="398"/>
      <c r="R96" s="398"/>
      <c r="S96" s="398"/>
      <c r="T96" s="738"/>
      <c r="U96" s="738"/>
      <c r="V96" s="738"/>
    </row>
    <row r="97" spans="1:22" ht="15.75" customHeight="1">
      <c r="A97" s="419" t="s">
        <v>121</v>
      </c>
      <c r="B97" s="356" t="s">
        <v>420</v>
      </c>
      <c r="C97" s="401">
        <f>C92</f>
        <v>0.15</v>
      </c>
      <c r="D97" s="401">
        <f>D92</f>
        <v>0.15</v>
      </c>
      <c r="E97" s="401">
        <f>E95</f>
        <v>3</v>
      </c>
      <c r="F97" s="401"/>
      <c r="G97" s="401"/>
      <c r="H97" s="401"/>
      <c r="I97" s="401"/>
      <c r="J97" s="401"/>
      <c r="K97" s="401"/>
      <c r="L97" s="401">
        <f>L96</f>
        <v>6</v>
      </c>
      <c r="M97" s="401">
        <f>C97*D97*E97*L97</f>
        <v>0.40500000000000003</v>
      </c>
      <c r="N97" s="801" t="s">
        <v>103</v>
      </c>
      <c r="O97" s="784">
        <f>ROUND((M97),2)</f>
        <v>0.41</v>
      </c>
      <c r="P97" s="779"/>
      <c r="Q97" s="398"/>
      <c r="R97" s="398"/>
      <c r="S97" s="398"/>
      <c r="T97" s="738"/>
      <c r="U97" s="738"/>
      <c r="V97" s="738"/>
    </row>
    <row r="98" spans="1:22" ht="15.75" customHeight="1">
      <c r="A98" s="350">
        <f>A93+1</f>
        <v>9</v>
      </c>
      <c r="B98" s="351" t="s">
        <v>412</v>
      </c>
      <c r="C98" s="401"/>
      <c r="D98" s="401"/>
      <c r="E98" s="401"/>
      <c r="F98" s="401"/>
      <c r="G98" s="401"/>
      <c r="H98" s="401"/>
      <c r="I98" s="401"/>
      <c r="J98" s="401"/>
      <c r="K98" s="401"/>
      <c r="L98" s="401"/>
      <c r="M98" s="401"/>
      <c r="N98" s="801"/>
      <c r="O98" s="398"/>
      <c r="P98" s="779"/>
      <c r="Q98" s="398"/>
      <c r="R98" s="398"/>
      <c r="S98" s="398"/>
      <c r="T98" s="738"/>
      <c r="U98" s="738"/>
      <c r="V98" s="738"/>
    </row>
    <row r="99" spans="1:22" ht="15.75" customHeight="1">
      <c r="A99" s="355" t="s">
        <v>95</v>
      </c>
      <c r="B99" s="359" t="s">
        <v>413</v>
      </c>
      <c r="C99" s="401">
        <f>C45</f>
        <v>7.5</v>
      </c>
      <c r="D99" s="401">
        <f>C47</f>
        <v>3</v>
      </c>
      <c r="E99" s="401">
        <v>0.15</v>
      </c>
      <c r="F99" s="401"/>
      <c r="G99" s="401"/>
      <c r="H99" s="401"/>
      <c r="I99" s="401"/>
      <c r="J99" s="401"/>
      <c r="K99" s="401"/>
      <c r="L99" s="401"/>
      <c r="M99" s="401">
        <f>C99*D99*E99</f>
        <v>3.375</v>
      </c>
      <c r="N99" s="801" t="s">
        <v>103</v>
      </c>
      <c r="O99" s="784">
        <f>ROUND((M99),2)</f>
        <v>3.38</v>
      </c>
      <c r="P99" s="779"/>
      <c r="Q99" s="398"/>
      <c r="R99" s="398"/>
      <c r="S99" s="398"/>
      <c r="T99" s="738"/>
      <c r="U99" s="738"/>
      <c r="V99" s="738"/>
    </row>
    <row r="100" spans="1:22" ht="15.75" customHeight="1">
      <c r="A100" s="355" t="s">
        <v>98</v>
      </c>
      <c r="B100" s="351" t="s">
        <v>415</v>
      </c>
      <c r="C100" s="401">
        <f>C99</f>
        <v>7.5</v>
      </c>
      <c r="D100" s="401">
        <f>D99</f>
        <v>3</v>
      </c>
      <c r="E100" s="401">
        <v>0.05</v>
      </c>
      <c r="F100" s="401"/>
      <c r="G100" s="401"/>
      <c r="H100" s="401"/>
      <c r="I100" s="401"/>
      <c r="J100" s="401"/>
      <c r="K100" s="401"/>
      <c r="L100" s="401"/>
      <c r="M100" s="401">
        <f>C100*D100*E100</f>
        <v>1.125</v>
      </c>
      <c r="N100" s="801" t="s">
        <v>103</v>
      </c>
      <c r="O100" s="784">
        <f>ROUND((M100),2)</f>
        <v>1.1299999999999999</v>
      </c>
      <c r="P100" s="779"/>
      <c r="Q100" s="398"/>
      <c r="R100" s="398"/>
      <c r="S100" s="398"/>
      <c r="T100" s="738"/>
      <c r="U100" s="738"/>
      <c r="V100" s="738"/>
    </row>
    <row r="101" spans="1:22" ht="15.75" customHeight="1">
      <c r="A101" s="355" t="s">
        <v>101</v>
      </c>
      <c r="B101" s="351" t="s">
        <v>496</v>
      </c>
      <c r="C101" s="401">
        <f>C100</f>
        <v>7.5</v>
      </c>
      <c r="D101" s="401">
        <f>D100</f>
        <v>3</v>
      </c>
      <c r="E101" s="401">
        <v>0.05</v>
      </c>
      <c r="F101" s="401"/>
      <c r="G101" s="401"/>
      <c r="H101" s="401"/>
      <c r="I101" s="401"/>
      <c r="J101" s="401"/>
      <c r="K101" s="401"/>
      <c r="L101" s="401"/>
      <c r="M101" s="401">
        <f>C101*D101*E101</f>
        <v>1.125</v>
      </c>
      <c r="N101" s="801" t="s">
        <v>103</v>
      </c>
      <c r="O101" s="784">
        <f>ROUND((M101),2)</f>
        <v>1.1299999999999999</v>
      </c>
      <c r="P101" s="779"/>
      <c r="Q101" s="398"/>
      <c r="R101" s="398"/>
      <c r="S101" s="398"/>
      <c r="T101" s="738"/>
      <c r="U101" s="738"/>
      <c r="V101" s="738"/>
    </row>
    <row r="102" spans="1:22" ht="15.75" customHeight="1">
      <c r="A102" s="350">
        <f>A98+1</f>
        <v>10</v>
      </c>
      <c r="B102" s="351" t="s">
        <v>1494</v>
      </c>
      <c r="C102" s="401"/>
      <c r="D102" s="401"/>
      <c r="E102" s="401"/>
      <c r="F102" s="401"/>
      <c r="G102" s="401"/>
      <c r="H102" s="401"/>
      <c r="I102" s="401"/>
      <c r="J102" s="401"/>
      <c r="K102" s="401"/>
      <c r="L102" s="401"/>
      <c r="M102" s="401"/>
      <c r="N102" s="801"/>
      <c r="O102" s="398"/>
      <c r="P102" s="779"/>
      <c r="Q102" s="398"/>
      <c r="R102" s="398"/>
      <c r="S102" s="398"/>
      <c r="T102" s="738"/>
      <c r="U102" s="738"/>
      <c r="V102" s="738"/>
    </row>
    <row r="103" spans="1:22" ht="15.75" customHeight="1">
      <c r="A103" s="419" t="s">
        <v>95</v>
      </c>
      <c r="B103" s="351" t="s">
        <v>1495</v>
      </c>
      <c r="C103" s="401"/>
      <c r="D103" s="401"/>
      <c r="E103" s="401"/>
      <c r="F103" s="401"/>
      <c r="G103" s="401"/>
      <c r="H103" s="401"/>
      <c r="I103" s="401"/>
      <c r="J103" s="401"/>
      <c r="K103" s="401"/>
      <c r="L103" s="401"/>
      <c r="M103" s="401"/>
      <c r="N103" s="801"/>
      <c r="O103" s="398"/>
      <c r="P103" s="779"/>
      <c r="Q103" s="398"/>
      <c r="R103" s="398"/>
      <c r="S103" s="398"/>
      <c r="T103" s="738"/>
      <c r="U103" s="738"/>
      <c r="V103" s="738"/>
    </row>
    <row r="104" spans="1:22" ht="15.75" customHeight="1">
      <c r="A104" s="419"/>
      <c r="B104" s="589" t="s">
        <v>1044</v>
      </c>
      <c r="C104" s="401">
        <f>C79</f>
        <v>7.5</v>
      </c>
      <c r="D104" s="401"/>
      <c r="E104" s="401">
        <v>0.3</v>
      </c>
      <c r="F104" s="401"/>
      <c r="G104" s="401"/>
      <c r="H104" s="401">
        <v>2</v>
      </c>
      <c r="I104" s="401"/>
      <c r="J104" s="401"/>
      <c r="K104" s="401"/>
      <c r="L104" s="401">
        <f>L79</f>
        <v>3</v>
      </c>
      <c r="M104" s="401">
        <f>C104*E104*H104*L104</f>
        <v>13.5</v>
      </c>
      <c r="N104" s="801"/>
      <c r="O104" s="398"/>
      <c r="P104" s="779"/>
      <c r="Q104" s="398"/>
      <c r="R104" s="398"/>
      <c r="S104" s="398"/>
      <c r="T104" s="738"/>
      <c r="U104" s="738"/>
      <c r="V104" s="738"/>
    </row>
    <row r="105" spans="1:22" ht="15.75" customHeight="1">
      <c r="A105" s="419"/>
      <c r="B105" s="589"/>
      <c r="C105" s="401">
        <f>C104</f>
        <v>7.5</v>
      </c>
      <c r="D105" s="401">
        <v>0.15</v>
      </c>
      <c r="E105" s="401"/>
      <c r="F105" s="401"/>
      <c r="G105" s="401"/>
      <c r="H105" s="401">
        <v>1</v>
      </c>
      <c r="I105" s="401"/>
      <c r="J105" s="401"/>
      <c r="K105" s="401"/>
      <c r="L105" s="401">
        <f>L104</f>
        <v>3</v>
      </c>
      <c r="M105" s="401">
        <f>C105*D105*H105*L105</f>
        <v>3.375</v>
      </c>
      <c r="N105" s="801"/>
      <c r="O105" s="398"/>
      <c r="P105" s="779"/>
      <c r="Q105" s="398"/>
      <c r="R105" s="398"/>
      <c r="S105" s="398"/>
      <c r="T105" s="738"/>
      <c r="U105" s="738"/>
      <c r="V105" s="738"/>
    </row>
    <row r="106" spans="1:22" ht="15.75" customHeight="1">
      <c r="A106" s="419"/>
      <c r="B106" s="589" t="s">
        <v>136</v>
      </c>
      <c r="C106" s="401">
        <f>C80</f>
        <v>1.75</v>
      </c>
      <c r="D106" s="401"/>
      <c r="E106" s="401">
        <f>E104</f>
        <v>0.3</v>
      </c>
      <c r="F106" s="401"/>
      <c r="G106" s="401"/>
      <c r="H106" s="401">
        <f>H104</f>
        <v>2</v>
      </c>
      <c r="I106" s="401"/>
      <c r="J106" s="401"/>
      <c r="K106" s="401"/>
      <c r="L106" s="401">
        <f>L80</f>
        <v>2</v>
      </c>
      <c r="M106" s="401">
        <f>C106*E106*H106*L106</f>
        <v>2.1</v>
      </c>
      <c r="N106" s="801"/>
      <c r="O106" s="398"/>
      <c r="P106" s="779"/>
      <c r="Q106" s="398"/>
      <c r="R106" s="398"/>
      <c r="S106" s="398"/>
      <c r="T106" s="738"/>
      <c r="U106" s="738"/>
      <c r="V106" s="738"/>
    </row>
    <row r="107" spans="1:22" ht="15.75" customHeight="1">
      <c r="A107" s="419"/>
      <c r="B107" s="589"/>
      <c r="C107" s="401">
        <f>C106</f>
        <v>1.75</v>
      </c>
      <c r="D107" s="401">
        <f>D105</f>
        <v>0.15</v>
      </c>
      <c r="E107" s="401"/>
      <c r="F107" s="401"/>
      <c r="G107" s="401"/>
      <c r="H107" s="401">
        <v>1</v>
      </c>
      <c r="I107" s="401"/>
      <c r="J107" s="401"/>
      <c r="K107" s="401"/>
      <c r="L107" s="401">
        <f>L106</f>
        <v>2</v>
      </c>
      <c r="M107" s="401">
        <f>C107*D107*H107*L107</f>
        <v>0.52500000000000002</v>
      </c>
      <c r="N107" s="801"/>
      <c r="O107" s="398"/>
      <c r="P107" s="779"/>
      <c r="Q107" s="398"/>
      <c r="R107" s="398"/>
      <c r="S107" s="398"/>
      <c r="T107" s="738"/>
      <c r="U107" s="738"/>
      <c r="V107" s="738"/>
    </row>
    <row r="108" spans="1:22" ht="15.75" customHeight="1">
      <c r="A108" s="419"/>
      <c r="B108" s="589"/>
      <c r="C108" s="401">
        <f>C81</f>
        <v>3</v>
      </c>
      <c r="D108" s="401"/>
      <c r="E108" s="401">
        <f>E106</f>
        <v>0.3</v>
      </c>
      <c r="F108" s="401"/>
      <c r="G108" s="401"/>
      <c r="H108" s="401">
        <f>H106</f>
        <v>2</v>
      </c>
      <c r="I108" s="401"/>
      <c r="J108" s="401"/>
      <c r="K108" s="401"/>
      <c r="L108" s="401">
        <f>L81</f>
        <v>4</v>
      </c>
      <c r="M108" s="401">
        <f>C108*E108*H108*L108</f>
        <v>7.1999999999999993</v>
      </c>
      <c r="N108" s="801"/>
      <c r="O108" s="398"/>
      <c r="P108" s="779"/>
      <c r="Q108" s="398"/>
      <c r="R108" s="398"/>
      <c r="S108" s="398"/>
      <c r="T108" s="738"/>
      <c r="U108" s="738"/>
      <c r="V108" s="738"/>
    </row>
    <row r="109" spans="1:22" ht="15.75" customHeight="1">
      <c r="A109" s="419"/>
      <c r="B109" s="589"/>
      <c r="C109" s="401">
        <f>C108</f>
        <v>3</v>
      </c>
      <c r="D109" s="401">
        <f>D107</f>
        <v>0.15</v>
      </c>
      <c r="E109" s="401"/>
      <c r="F109" s="401"/>
      <c r="G109" s="401"/>
      <c r="H109" s="401">
        <v>1</v>
      </c>
      <c r="I109" s="401"/>
      <c r="J109" s="401"/>
      <c r="K109" s="401"/>
      <c r="L109" s="401">
        <f>L108</f>
        <v>4</v>
      </c>
      <c r="M109" s="752">
        <f>C109*D109*H109*L109</f>
        <v>1.7999999999999998</v>
      </c>
      <c r="N109" s="801"/>
      <c r="O109" s="398"/>
      <c r="P109" s="779"/>
      <c r="Q109" s="398"/>
      <c r="R109" s="398"/>
      <c r="S109" s="398"/>
      <c r="T109" s="738"/>
      <c r="U109" s="738"/>
      <c r="V109" s="738"/>
    </row>
    <row r="110" spans="1:22" ht="15.75" customHeight="1">
      <c r="A110" s="419"/>
      <c r="B110" s="351"/>
      <c r="C110" s="401"/>
      <c r="D110" s="401"/>
      <c r="E110" s="401"/>
      <c r="F110" s="401"/>
      <c r="G110" s="401"/>
      <c r="H110" s="401"/>
      <c r="I110" s="401"/>
      <c r="J110" s="401"/>
      <c r="K110" s="401"/>
      <c r="L110" s="401"/>
      <c r="M110" s="474">
        <f>SUM(M104:M109)</f>
        <v>28.5</v>
      </c>
      <c r="N110" s="1105" t="s">
        <v>89</v>
      </c>
      <c r="O110" s="784">
        <f>ROUND((M110),2)</f>
        <v>28.5</v>
      </c>
      <c r="P110" s="779"/>
      <c r="Q110" s="398"/>
      <c r="R110" s="398"/>
      <c r="S110" s="398"/>
      <c r="T110" s="738"/>
      <c r="U110" s="738"/>
      <c r="V110" s="738"/>
    </row>
    <row r="111" spans="1:22" ht="15.75" customHeight="1">
      <c r="A111" s="419" t="s">
        <v>98</v>
      </c>
      <c r="B111" s="351" t="s">
        <v>741</v>
      </c>
      <c r="C111" s="401"/>
      <c r="D111" s="401"/>
      <c r="E111" s="401"/>
      <c r="F111" s="401"/>
      <c r="G111" s="401"/>
      <c r="H111" s="401"/>
      <c r="I111" s="401"/>
      <c r="J111" s="401"/>
      <c r="K111" s="401"/>
      <c r="L111" s="401"/>
      <c r="M111" s="401"/>
      <c r="N111" s="801"/>
      <c r="O111" s="398"/>
      <c r="P111" s="779"/>
      <c r="Q111" s="398"/>
      <c r="R111" s="398"/>
      <c r="S111" s="398"/>
      <c r="T111" s="738"/>
      <c r="U111" s="738"/>
      <c r="V111" s="738"/>
    </row>
    <row r="112" spans="1:22" ht="15.75" customHeight="1">
      <c r="A112" s="419"/>
      <c r="B112" s="589" t="s">
        <v>1044</v>
      </c>
      <c r="C112" s="401">
        <f>C104</f>
        <v>7.5</v>
      </c>
      <c r="D112" s="401"/>
      <c r="E112" s="401"/>
      <c r="F112" s="401">
        <f>10*10*0.006165</f>
        <v>0.61650000000000005</v>
      </c>
      <c r="G112" s="401"/>
      <c r="H112" s="401"/>
      <c r="I112" s="401"/>
      <c r="J112" s="401"/>
      <c r="K112" s="401">
        <v>5</v>
      </c>
      <c r="L112" s="401">
        <f>L104</f>
        <v>3</v>
      </c>
      <c r="M112" s="401">
        <f>C112*F112*K112*L112</f>
        <v>69.356250000000003</v>
      </c>
      <c r="N112" s="801"/>
      <c r="O112" s="398"/>
      <c r="P112" s="779"/>
      <c r="Q112" s="398"/>
      <c r="R112" s="398"/>
      <c r="S112" s="398"/>
      <c r="T112" s="738"/>
      <c r="U112" s="738"/>
      <c r="V112" s="738"/>
    </row>
    <row r="113" spans="1:23" ht="15.75" customHeight="1">
      <c r="A113" s="419"/>
      <c r="B113" s="589" t="s">
        <v>136</v>
      </c>
      <c r="C113" s="401">
        <f>C106</f>
        <v>1.75</v>
      </c>
      <c r="D113" s="401"/>
      <c r="E113" s="401"/>
      <c r="F113" s="401">
        <f>F112</f>
        <v>0.61650000000000005</v>
      </c>
      <c r="G113" s="401"/>
      <c r="H113" s="401"/>
      <c r="I113" s="401"/>
      <c r="J113" s="401"/>
      <c r="K113" s="401">
        <f>K112</f>
        <v>5</v>
      </c>
      <c r="L113" s="401">
        <f>L106</f>
        <v>2</v>
      </c>
      <c r="M113" s="401">
        <f>C113*F113*K113*L113</f>
        <v>10.78875</v>
      </c>
      <c r="N113" s="801"/>
      <c r="O113" s="398"/>
      <c r="P113" s="779"/>
      <c r="Q113" s="398"/>
      <c r="R113" s="398"/>
      <c r="S113" s="398"/>
      <c r="T113" s="738"/>
      <c r="U113" s="738"/>
      <c r="V113" s="738"/>
    </row>
    <row r="114" spans="1:23" ht="15.75" customHeight="1">
      <c r="A114" s="419"/>
      <c r="B114" s="589"/>
      <c r="C114" s="401">
        <f>C108</f>
        <v>3</v>
      </c>
      <c r="D114" s="401"/>
      <c r="E114" s="401"/>
      <c r="F114" s="401">
        <f>F113</f>
        <v>0.61650000000000005</v>
      </c>
      <c r="G114" s="401"/>
      <c r="H114" s="401"/>
      <c r="I114" s="401"/>
      <c r="J114" s="401"/>
      <c r="K114" s="401">
        <f>K113</f>
        <v>5</v>
      </c>
      <c r="L114" s="401">
        <f>L108</f>
        <v>4</v>
      </c>
      <c r="M114" s="330">
        <f>C114*F114*K114*L114</f>
        <v>36.99</v>
      </c>
      <c r="N114" s="801"/>
      <c r="O114" s="398"/>
      <c r="P114" s="779"/>
      <c r="Q114" s="398"/>
      <c r="R114" s="398"/>
      <c r="S114" s="398"/>
      <c r="T114" s="738"/>
      <c r="U114" s="738"/>
      <c r="V114" s="738"/>
    </row>
    <row r="115" spans="1:23" ht="15.75" customHeight="1">
      <c r="A115" s="419"/>
      <c r="B115" s="589"/>
      <c r="C115" s="401"/>
      <c r="D115" s="401"/>
      <c r="E115" s="401"/>
      <c r="F115" s="401"/>
      <c r="G115" s="401"/>
      <c r="H115" s="401"/>
      <c r="I115" s="401"/>
      <c r="J115" s="401"/>
      <c r="K115" s="401"/>
      <c r="L115" s="401"/>
      <c r="M115" s="1110"/>
      <c r="N115" s="801"/>
      <c r="O115" s="398"/>
      <c r="P115" s="779"/>
      <c r="Q115" s="398"/>
      <c r="R115" s="398"/>
      <c r="S115" s="398"/>
      <c r="T115" s="738"/>
      <c r="U115" s="738"/>
      <c r="V115" s="738"/>
    </row>
    <row r="116" spans="1:23" ht="15.75" customHeight="1">
      <c r="A116" s="419"/>
      <c r="B116" s="351"/>
      <c r="C116" s="401"/>
      <c r="D116" s="401"/>
      <c r="E116" s="401"/>
      <c r="F116" s="401"/>
      <c r="G116" s="401"/>
      <c r="H116" s="401"/>
      <c r="I116" s="401"/>
      <c r="J116" s="401"/>
      <c r="K116" s="401"/>
      <c r="L116" s="401"/>
      <c r="M116" s="474">
        <f>SUM(M112:M115)</f>
        <v>117.13500000000002</v>
      </c>
      <c r="N116" s="1105" t="s">
        <v>100</v>
      </c>
      <c r="O116" s="784">
        <f>ROUND((M116),2)</f>
        <v>117.14</v>
      </c>
      <c r="P116" s="779"/>
      <c r="Q116" s="398"/>
      <c r="R116" s="398"/>
      <c r="S116" s="398"/>
      <c r="T116" s="738"/>
      <c r="U116" s="738"/>
      <c r="V116" s="738"/>
    </row>
    <row r="117" spans="1:23" ht="15.75" customHeight="1">
      <c r="A117" s="419" t="s">
        <v>101</v>
      </c>
      <c r="B117" s="351" t="s">
        <v>529</v>
      </c>
      <c r="C117" s="401"/>
      <c r="D117" s="401"/>
      <c r="E117" s="401"/>
      <c r="F117" s="401"/>
      <c r="G117" s="401"/>
      <c r="H117" s="401"/>
      <c r="I117" s="401"/>
      <c r="J117" s="401"/>
      <c r="K117" s="401"/>
      <c r="L117" s="401"/>
      <c r="M117" s="401"/>
      <c r="N117" s="801"/>
      <c r="O117" s="398"/>
      <c r="P117" s="779"/>
      <c r="Q117" s="398"/>
      <c r="R117" s="398"/>
      <c r="S117" s="398"/>
      <c r="T117" s="738"/>
      <c r="U117" s="738"/>
      <c r="V117" s="738"/>
    </row>
    <row r="118" spans="1:23" ht="15.75" customHeight="1">
      <c r="A118" s="419"/>
      <c r="B118" s="589" t="s">
        <v>1044</v>
      </c>
      <c r="C118" s="401">
        <f>(0.07+0.22)*2</f>
        <v>0.58000000000000007</v>
      </c>
      <c r="D118" s="401"/>
      <c r="E118" s="401"/>
      <c r="F118" s="401">
        <f>6*6*0.006165</f>
        <v>0.22194000000000003</v>
      </c>
      <c r="G118" s="401">
        <v>0.1</v>
      </c>
      <c r="H118" s="401"/>
      <c r="I118" s="401"/>
      <c r="J118" s="401"/>
      <c r="K118" s="401">
        <f>ROUNDUP((C112/0.125),0.5)</f>
        <v>60</v>
      </c>
      <c r="L118" s="401">
        <f>L112</f>
        <v>3</v>
      </c>
      <c r="M118" s="401">
        <f>(C118+G118)*F118*K118*L118</f>
        <v>27.165456000000006</v>
      </c>
      <c r="N118" s="801"/>
      <c r="O118" s="398"/>
      <c r="P118" s="779"/>
      <c r="Q118" s="398"/>
      <c r="R118" s="398"/>
      <c r="S118" s="398"/>
      <c r="T118" s="738"/>
      <c r="U118" s="738"/>
      <c r="V118" s="738"/>
    </row>
    <row r="119" spans="1:23" ht="15.75" customHeight="1">
      <c r="A119" s="419"/>
      <c r="B119" s="589" t="s">
        <v>136</v>
      </c>
      <c r="C119" s="401">
        <f>C118</f>
        <v>0.58000000000000007</v>
      </c>
      <c r="D119" s="401"/>
      <c r="E119" s="401"/>
      <c r="F119" s="401">
        <f>F118</f>
        <v>0.22194000000000003</v>
      </c>
      <c r="G119" s="401">
        <f>G118</f>
        <v>0.1</v>
      </c>
      <c r="H119" s="401"/>
      <c r="I119" s="401"/>
      <c r="J119" s="401"/>
      <c r="K119" s="401">
        <f>ROUNDUP((C113/0.125),0.5)</f>
        <v>14</v>
      </c>
      <c r="L119" s="401">
        <f>L113</f>
        <v>2</v>
      </c>
      <c r="M119" s="401">
        <f>(C119+G119)*F119*K119*L119</f>
        <v>4.2257376000000004</v>
      </c>
      <c r="N119" s="801"/>
      <c r="O119" s="398"/>
      <c r="P119" s="779"/>
      <c r="Q119" s="398"/>
      <c r="R119" s="398"/>
      <c r="S119" s="398"/>
      <c r="T119" s="738"/>
      <c r="U119" s="738"/>
      <c r="V119" s="738"/>
    </row>
    <row r="120" spans="1:23" ht="15.75" customHeight="1">
      <c r="A120" s="419"/>
      <c r="B120" s="589"/>
      <c r="C120" s="401">
        <f>C119</f>
        <v>0.58000000000000007</v>
      </c>
      <c r="D120" s="401"/>
      <c r="E120" s="401"/>
      <c r="F120" s="401">
        <f>F119</f>
        <v>0.22194000000000003</v>
      </c>
      <c r="G120" s="401">
        <f>G119</f>
        <v>0.1</v>
      </c>
      <c r="H120" s="401"/>
      <c r="I120" s="401"/>
      <c r="J120" s="401"/>
      <c r="K120" s="401">
        <f>ROUNDUP((C114/0.125),0.5)</f>
        <v>24</v>
      </c>
      <c r="L120" s="401">
        <f>L114</f>
        <v>4</v>
      </c>
      <c r="M120" s="401">
        <f>(C120+G120)*F120*K120*L120</f>
        <v>14.488243200000003</v>
      </c>
      <c r="N120" s="801"/>
      <c r="O120" s="398"/>
      <c r="P120" s="779"/>
      <c r="Q120" s="398"/>
      <c r="R120" s="398"/>
      <c r="S120" s="398"/>
      <c r="T120" s="738"/>
      <c r="U120" s="738"/>
      <c r="V120" s="738"/>
    </row>
    <row r="121" spans="1:23" ht="15.75" customHeight="1">
      <c r="A121" s="419"/>
      <c r="B121" s="589"/>
      <c r="C121" s="401"/>
      <c r="D121" s="401"/>
      <c r="E121" s="401"/>
      <c r="F121" s="401"/>
      <c r="G121" s="401"/>
      <c r="H121" s="401"/>
      <c r="I121" s="401"/>
      <c r="J121" s="401"/>
      <c r="K121" s="401"/>
      <c r="L121" s="401"/>
      <c r="M121" s="752"/>
      <c r="N121" s="801"/>
      <c r="O121" s="398"/>
      <c r="P121" s="779"/>
      <c r="Q121" s="398"/>
      <c r="R121" s="398"/>
      <c r="S121" s="398"/>
      <c r="T121" s="738"/>
      <c r="U121" s="738"/>
      <c r="V121" s="738"/>
    </row>
    <row r="122" spans="1:23" ht="15.75" customHeight="1">
      <c r="A122" s="419"/>
      <c r="B122" s="351"/>
      <c r="C122" s="401"/>
      <c r="D122" s="401"/>
      <c r="E122" s="401"/>
      <c r="F122" s="401"/>
      <c r="G122" s="401"/>
      <c r="H122" s="401"/>
      <c r="I122" s="401"/>
      <c r="J122" s="401"/>
      <c r="K122" s="401"/>
      <c r="L122" s="401"/>
      <c r="M122" s="474">
        <f>SUM(M118:M121)</f>
        <v>45.879436800000008</v>
      </c>
      <c r="N122" s="1105" t="s">
        <v>100</v>
      </c>
      <c r="O122" s="784">
        <f>ROUND((M122),2)</f>
        <v>45.88</v>
      </c>
      <c r="P122" s="779"/>
      <c r="Q122" s="398"/>
      <c r="R122" s="398"/>
      <c r="S122" s="398"/>
      <c r="T122" s="738"/>
      <c r="U122" s="738"/>
      <c r="V122" s="738"/>
    </row>
    <row r="123" spans="1:23" ht="15.75" customHeight="1">
      <c r="A123" s="419" t="s">
        <v>121</v>
      </c>
      <c r="B123" s="356" t="s">
        <v>420</v>
      </c>
      <c r="C123" s="401"/>
      <c r="D123" s="401"/>
      <c r="E123" s="401"/>
      <c r="F123" s="401"/>
      <c r="G123" s="401"/>
      <c r="H123" s="401"/>
      <c r="I123" s="401"/>
      <c r="J123" s="401"/>
      <c r="K123" s="401"/>
      <c r="L123" s="401"/>
      <c r="M123" s="401"/>
      <c r="N123" s="801"/>
      <c r="O123" s="398"/>
      <c r="P123" s="779"/>
      <c r="Q123" s="398"/>
      <c r="R123" s="398"/>
      <c r="S123" s="398"/>
      <c r="T123" s="738"/>
      <c r="U123" s="738"/>
      <c r="V123" s="738"/>
    </row>
    <row r="124" spans="1:23" ht="15.75" customHeight="1">
      <c r="A124" s="820"/>
      <c r="B124" s="589" t="s">
        <v>1044</v>
      </c>
      <c r="C124" s="401">
        <f>C112</f>
        <v>7.5</v>
      </c>
      <c r="D124" s="401">
        <f>D105</f>
        <v>0.15</v>
      </c>
      <c r="E124" s="401">
        <f>E104</f>
        <v>0.3</v>
      </c>
      <c r="F124" s="401"/>
      <c r="G124" s="401"/>
      <c r="H124" s="401"/>
      <c r="I124" s="401"/>
      <c r="J124" s="401"/>
      <c r="K124" s="401"/>
      <c r="L124" s="401">
        <f>L118</f>
        <v>3</v>
      </c>
      <c r="M124" s="401">
        <f>C124*D124*E124*L124</f>
        <v>1.0125</v>
      </c>
      <c r="N124" s="801"/>
      <c r="O124" s="398"/>
      <c r="P124" s="779"/>
      <c r="Q124" s="398"/>
      <c r="R124" s="398"/>
      <c r="S124" s="398"/>
      <c r="T124" s="738"/>
      <c r="U124" s="738"/>
      <c r="V124" s="738"/>
    </row>
    <row r="125" spans="1:23" ht="15.75" customHeight="1">
      <c r="A125" s="820"/>
      <c r="B125" s="589" t="s">
        <v>136</v>
      </c>
      <c r="C125" s="401">
        <f>C113</f>
        <v>1.75</v>
      </c>
      <c r="D125" s="401">
        <f>D124</f>
        <v>0.15</v>
      </c>
      <c r="E125" s="401">
        <f>E124</f>
        <v>0.3</v>
      </c>
      <c r="F125" s="401"/>
      <c r="G125" s="401"/>
      <c r="H125" s="401"/>
      <c r="I125" s="401"/>
      <c r="J125" s="401"/>
      <c r="K125" s="401"/>
      <c r="L125" s="401">
        <f>L119</f>
        <v>2</v>
      </c>
      <c r="M125" s="401">
        <f>C125*D125*E125*L125</f>
        <v>0.1575</v>
      </c>
      <c r="N125" s="801"/>
      <c r="O125" s="398"/>
      <c r="P125" s="779"/>
      <c r="Q125" s="398"/>
      <c r="R125" s="398"/>
      <c r="S125" s="398"/>
      <c r="T125" s="738"/>
      <c r="U125" s="738"/>
      <c r="V125" s="738"/>
    </row>
    <row r="126" spans="1:23" ht="15.75" customHeight="1">
      <c r="A126" s="820"/>
      <c r="B126" s="589"/>
      <c r="C126" s="401">
        <f>C114</f>
        <v>3</v>
      </c>
      <c r="D126" s="401">
        <f>D125</f>
        <v>0.15</v>
      </c>
      <c r="E126" s="401">
        <f>E125</f>
        <v>0.3</v>
      </c>
      <c r="F126" s="401"/>
      <c r="G126" s="401"/>
      <c r="H126" s="401"/>
      <c r="I126" s="401"/>
      <c r="J126" s="401"/>
      <c r="K126" s="401"/>
      <c r="L126" s="401">
        <f>L120</f>
        <v>4</v>
      </c>
      <c r="M126" s="752">
        <f>C126*D126*E126*L126</f>
        <v>0.53999999999999992</v>
      </c>
      <c r="N126" s="801"/>
      <c r="O126" s="398"/>
      <c r="P126" s="779"/>
      <c r="Q126" s="398"/>
      <c r="R126" s="398"/>
      <c r="S126" s="398"/>
      <c r="T126" s="738"/>
      <c r="U126" s="738"/>
      <c r="V126" s="738"/>
    </row>
    <row r="127" spans="1:23" ht="15.75" customHeight="1">
      <c r="A127" s="820"/>
      <c r="B127" s="589"/>
      <c r="C127" s="401"/>
      <c r="D127" s="401"/>
      <c r="E127" s="401"/>
      <c r="F127" s="401"/>
      <c r="G127" s="401"/>
      <c r="H127" s="401"/>
      <c r="I127" s="401"/>
      <c r="J127" s="401"/>
      <c r="K127" s="401"/>
      <c r="L127" s="401"/>
      <c r="M127" s="474">
        <f>SUM(M124:M126)</f>
        <v>1.71</v>
      </c>
      <c r="N127" s="1105" t="s">
        <v>103</v>
      </c>
      <c r="O127" s="398"/>
      <c r="P127" s="779"/>
      <c r="Q127" s="398"/>
      <c r="R127" s="398"/>
      <c r="S127" s="398"/>
      <c r="T127" s="738"/>
      <c r="U127" s="738"/>
      <c r="V127" s="738"/>
    </row>
    <row r="128" spans="1:23" s="554" customFormat="1" ht="15.75" hidden="1" customHeight="1">
      <c r="A128" s="350">
        <f>A102+1</f>
        <v>11</v>
      </c>
      <c r="B128" s="359" t="s">
        <v>424</v>
      </c>
      <c r="C128" s="348"/>
      <c r="D128" s="348"/>
      <c r="E128" s="348"/>
      <c r="F128" s="348"/>
      <c r="G128" s="348"/>
      <c r="H128" s="348"/>
      <c r="I128" s="348"/>
      <c r="J128" s="348"/>
      <c r="K128" s="348"/>
      <c r="L128" s="348"/>
      <c r="M128" s="348"/>
      <c r="N128" s="348"/>
      <c r="O128" s="398"/>
      <c r="P128" s="398"/>
      <c r="Q128" s="564"/>
      <c r="R128" s="398"/>
      <c r="S128" s="398"/>
      <c r="T128" s="398"/>
      <c r="U128" s="555"/>
      <c r="V128" s="555"/>
      <c r="W128" s="555"/>
    </row>
    <row r="129" spans="1:24" s="554" customFormat="1" ht="15.75" hidden="1" customHeight="1">
      <c r="A129" s="350"/>
      <c r="B129" s="359" t="s">
        <v>1010</v>
      </c>
      <c r="C129" s="348"/>
      <c r="D129" s="348"/>
      <c r="E129" s="348"/>
      <c r="F129" s="348"/>
      <c r="G129" s="348"/>
      <c r="H129" s="348"/>
      <c r="I129" s="348"/>
      <c r="J129" s="348"/>
      <c r="K129" s="348"/>
      <c r="L129" s="348"/>
      <c r="M129" s="348"/>
      <c r="N129" s="349"/>
      <c r="O129" s="398"/>
      <c r="Q129" s="398"/>
      <c r="R129" s="564"/>
      <c r="S129" s="398"/>
      <c r="T129" s="398"/>
      <c r="U129" s="398"/>
      <c r="V129" s="555"/>
      <c r="W129" s="555"/>
      <c r="X129" s="555"/>
    </row>
    <row r="130" spans="1:24" s="554" customFormat="1" ht="15.75" hidden="1" customHeight="1">
      <c r="A130" s="355" t="s">
        <v>95</v>
      </c>
      <c r="B130" s="359" t="s">
        <v>423</v>
      </c>
      <c r="C130" s="348"/>
      <c r="D130" s="348"/>
      <c r="E130" s="348"/>
      <c r="F130" s="348"/>
      <c r="G130" s="348"/>
      <c r="H130" s="348"/>
      <c r="I130" s="348"/>
      <c r="J130" s="348"/>
      <c r="K130" s="348"/>
      <c r="L130" s="348"/>
      <c r="M130" s="348"/>
      <c r="N130" s="349"/>
      <c r="O130" s="398"/>
      <c r="Q130" s="398"/>
      <c r="R130" s="564"/>
      <c r="S130" s="398"/>
      <c r="T130" s="398"/>
      <c r="U130" s="398"/>
      <c r="V130" s="555"/>
      <c r="W130" s="555"/>
      <c r="X130" s="555"/>
    </row>
    <row r="131" spans="1:24" s="554" customFormat="1" ht="15.75" hidden="1" customHeight="1">
      <c r="A131" s="355"/>
      <c r="B131" s="567" t="s">
        <v>1010</v>
      </c>
      <c r="C131" s="348">
        <f>D207</f>
        <v>3.7469999999999999</v>
      </c>
      <c r="D131" s="348"/>
      <c r="E131" s="348">
        <v>0.2</v>
      </c>
      <c r="F131" s="348"/>
      <c r="G131" s="348"/>
      <c r="H131" s="348">
        <v>2</v>
      </c>
      <c r="I131" s="348"/>
      <c r="J131" s="348"/>
      <c r="K131" s="348"/>
      <c r="L131" s="348">
        <v>2</v>
      </c>
      <c r="M131" s="348">
        <f>C131*E131*H131*L131</f>
        <v>2.9976000000000003</v>
      </c>
      <c r="N131" s="349"/>
      <c r="O131" s="398"/>
      <c r="Q131" s="398"/>
      <c r="R131" s="564"/>
      <c r="S131" s="398"/>
      <c r="T131" s="398"/>
      <c r="U131" s="398"/>
      <c r="V131" s="555"/>
      <c r="W131" s="555"/>
      <c r="X131" s="555"/>
    </row>
    <row r="132" spans="1:24" s="554" customFormat="1" ht="15.75" hidden="1" customHeight="1">
      <c r="A132" s="355"/>
      <c r="B132" s="359"/>
      <c r="C132" s="348">
        <f>C131</f>
        <v>3.7469999999999999</v>
      </c>
      <c r="D132" s="348">
        <v>0.15</v>
      </c>
      <c r="E132" s="348"/>
      <c r="F132" s="348"/>
      <c r="G132" s="348"/>
      <c r="H132" s="348">
        <v>1</v>
      </c>
      <c r="I132" s="348"/>
      <c r="J132" s="348"/>
      <c r="K132" s="348"/>
      <c r="L132" s="348">
        <f>L131</f>
        <v>2</v>
      </c>
      <c r="M132" s="348">
        <f>C132*D132*H132*L132</f>
        <v>1.1240999999999999</v>
      </c>
      <c r="N132" s="349"/>
      <c r="O132" s="398"/>
      <c r="Q132" s="398"/>
      <c r="R132" s="564"/>
      <c r="S132" s="398"/>
      <c r="T132" s="398"/>
      <c r="U132" s="398"/>
      <c r="V132" s="555"/>
      <c r="W132" s="555"/>
      <c r="X132" s="555"/>
    </row>
    <row r="133" spans="1:24" s="554" customFormat="1" ht="15.75" hidden="1" customHeight="1">
      <c r="A133" s="355"/>
      <c r="B133" s="567" t="s">
        <v>1011</v>
      </c>
      <c r="C133" s="348">
        <v>1.83</v>
      </c>
      <c r="D133" s="348"/>
      <c r="E133" s="348">
        <v>0.2</v>
      </c>
      <c r="F133" s="348"/>
      <c r="G133" s="348"/>
      <c r="H133" s="348">
        <v>2</v>
      </c>
      <c r="I133" s="348"/>
      <c r="J133" s="348"/>
      <c r="K133" s="348"/>
      <c r="L133" s="348">
        <f>L131</f>
        <v>2</v>
      </c>
      <c r="M133" s="348">
        <f>C133*E133*H133*L133</f>
        <v>1.4640000000000002</v>
      </c>
      <c r="N133" s="349"/>
      <c r="O133" s="398"/>
      <c r="Q133" s="398"/>
      <c r="R133" s="564"/>
      <c r="S133" s="398"/>
      <c r="T133" s="398"/>
      <c r="U133" s="398"/>
      <c r="V133" s="555"/>
      <c r="W133" s="555"/>
      <c r="X133" s="555"/>
    </row>
    <row r="134" spans="1:24" s="554" customFormat="1" ht="15.75" hidden="1" customHeight="1">
      <c r="A134" s="355"/>
      <c r="B134" s="359"/>
      <c r="C134" s="348">
        <f>C133</f>
        <v>1.83</v>
      </c>
      <c r="D134" s="348">
        <f>D132</f>
        <v>0.15</v>
      </c>
      <c r="E134" s="348"/>
      <c r="F134" s="348"/>
      <c r="G134" s="348"/>
      <c r="H134" s="348">
        <v>1</v>
      </c>
      <c r="I134" s="348"/>
      <c r="J134" s="348"/>
      <c r="K134" s="348"/>
      <c r="L134" s="348">
        <f>L133</f>
        <v>2</v>
      </c>
      <c r="M134" s="565">
        <f>C134*D134*H134*L134</f>
        <v>0.54900000000000004</v>
      </c>
      <c r="N134" s="349"/>
      <c r="O134" s="398"/>
      <c r="Q134" s="398"/>
      <c r="R134" s="564"/>
      <c r="S134" s="398"/>
      <c r="T134" s="398"/>
      <c r="U134" s="398"/>
      <c r="V134" s="555"/>
      <c r="W134" s="555"/>
      <c r="X134" s="555"/>
    </row>
    <row r="135" spans="1:24" s="554" customFormat="1" ht="15.75" hidden="1" customHeight="1">
      <c r="A135" s="355"/>
      <c r="B135" s="359"/>
      <c r="C135" s="348"/>
      <c r="D135" s="348"/>
      <c r="E135" s="348"/>
      <c r="F135" s="348"/>
      <c r="G135" s="348"/>
      <c r="H135" s="348"/>
      <c r="I135" s="348"/>
      <c r="J135" s="348"/>
      <c r="K135" s="348"/>
      <c r="L135" s="348"/>
      <c r="M135" s="343">
        <f>SUM(M131:M134)/2</f>
        <v>3.0673500000000007</v>
      </c>
      <c r="N135" s="349" t="s">
        <v>89</v>
      </c>
      <c r="O135" s="398">
        <f>ROUND((M135),2)</f>
        <v>3.07</v>
      </c>
      <c r="Q135" s="398"/>
      <c r="R135" s="564"/>
      <c r="S135" s="398"/>
      <c r="T135" s="398"/>
      <c r="U135" s="398"/>
      <c r="V135" s="555"/>
      <c r="W135" s="555"/>
      <c r="X135" s="555"/>
    </row>
    <row r="136" spans="1:24" s="554" customFormat="1" ht="15.75" hidden="1" customHeight="1">
      <c r="A136" s="355" t="s">
        <v>98</v>
      </c>
      <c r="B136" s="359" t="s">
        <v>741</v>
      </c>
      <c r="C136" s="348"/>
      <c r="D136" s="348"/>
      <c r="E136" s="348"/>
      <c r="F136" s="348"/>
      <c r="G136" s="348"/>
      <c r="H136" s="348"/>
      <c r="I136" s="348"/>
      <c r="J136" s="348"/>
      <c r="K136" s="348"/>
      <c r="L136" s="348"/>
      <c r="M136" s="348"/>
      <c r="N136" s="349"/>
      <c r="O136" s="398"/>
      <c r="Q136" s="398"/>
      <c r="R136" s="564"/>
      <c r="S136" s="398"/>
      <c r="T136" s="398"/>
      <c r="U136" s="398"/>
      <c r="V136" s="555"/>
      <c r="W136" s="555"/>
      <c r="X136" s="555"/>
    </row>
    <row r="137" spans="1:24" s="554" customFormat="1" ht="15.75" hidden="1" customHeight="1">
      <c r="A137" s="355"/>
      <c r="B137" s="567" t="s">
        <v>1010</v>
      </c>
      <c r="C137" s="348">
        <f>C131</f>
        <v>3.7469999999999999</v>
      </c>
      <c r="D137" s="348"/>
      <c r="E137" s="348"/>
      <c r="F137" s="348">
        <v>5</v>
      </c>
      <c r="G137" s="348"/>
      <c r="H137" s="348"/>
      <c r="I137" s="348">
        <f>0.006165*10*10</f>
        <v>0.61650000000000005</v>
      </c>
      <c r="J137" s="348"/>
      <c r="K137" s="348">
        <f>0.006165*10*10</f>
        <v>0.61650000000000005</v>
      </c>
      <c r="L137" s="348">
        <f>L131</f>
        <v>2</v>
      </c>
      <c r="M137" s="348">
        <f>(C137+I137)*F137*K137*L137</f>
        <v>26.900977500000007</v>
      </c>
      <c r="N137" s="349"/>
      <c r="O137" s="398"/>
      <c r="Q137" s="398"/>
      <c r="R137" s="564"/>
      <c r="S137" s="398"/>
      <c r="T137" s="398"/>
      <c r="U137" s="398"/>
      <c r="V137" s="555"/>
      <c r="W137" s="555"/>
      <c r="X137" s="555"/>
    </row>
    <row r="138" spans="1:24" s="554" customFormat="1" ht="15.75" hidden="1" customHeight="1">
      <c r="A138" s="355"/>
      <c r="B138" s="567" t="s">
        <v>1011</v>
      </c>
      <c r="C138" s="348">
        <f>C134</f>
        <v>1.83</v>
      </c>
      <c r="D138" s="348"/>
      <c r="E138" s="348"/>
      <c r="F138" s="348">
        <v>5</v>
      </c>
      <c r="G138" s="348"/>
      <c r="H138" s="348"/>
      <c r="I138" s="348">
        <f>I137</f>
        <v>0.61650000000000005</v>
      </c>
      <c r="J138" s="348"/>
      <c r="K138" s="348">
        <f>K137</f>
        <v>0.61650000000000005</v>
      </c>
      <c r="L138" s="348">
        <f>L137</f>
        <v>2</v>
      </c>
      <c r="M138" s="565">
        <f>(C138+I138)*F138*K138*L138</f>
        <v>15.082672500000003</v>
      </c>
      <c r="N138" s="349"/>
      <c r="O138" s="398"/>
      <c r="Q138" s="398"/>
      <c r="R138" s="564"/>
      <c r="S138" s="398"/>
      <c r="T138" s="398"/>
      <c r="U138" s="398"/>
      <c r="V138" s="555"/>
      <c r="W138" s="555"/>
      <c r="X138" s="555"/>
    </row>
    <row r="139" spans="1:24" s="554" customFormat="1" ht="15.75" hidden="1" customHeight="1">
      <c r="A139" s="355"/>
      <c r="B139" s="359"/>
      <c r="C139" s="348"/>
      <c r="D139" s="348"/>
      <c r="E139" s="348"/>
      <c r="F139" s="348"/>
      <c r="G139" s="348"/>
      <c r="H139" s="348"/>
      <c r="I139" s="348"/>
      <c r="J139" s="348"/>
      <c r="K139" s="348"/>
      <c r="L139" s="348"/>
      <c r="M139" s="343">
        <f>SUM(M137:M138)</f>
        <v>41.983650000000011</v>
      </c>
      <c r="N139" s="349" t="s">
        <v>100</v>
      </c>
      <c r="O139" s="398">
        <f>ROUND((M139),2)</f>
        <v>41.98</v>
      </c>
      <c r="Q139" s="398"/>
      <c r="R139" s="564"/>
      <c r="S139" s="398"/>
      <c r="T139" s="398"/>
      <c r="U139" s="398"/>
      <c r="V139" s="555"/>
      <c r="W139" s="555"/>
      <c r="X139" s="555"/>
    </row>
    <row r="140" spans="1:24" s="554" customFormat="1" ht="15.75" hidden="1" customHeight="1">
      <c r="A140" s="355" t="s">
        <v>101</v>
      </c>
      <c r="B140" s="359" t="s">
        <v>428</v>
      </c>
      <c r="C140" s="348"/>
      <c r="D140" s="348"/>
      <c r="E140" s="348"/>
      <c r="F140" s="348"/>
      <c r="G140" s="348"/>
      <c r="H140" s="348"/>
      <c r="I140" s="348"/>
      <c r="J140" s="348"/>
      <c r="K140" s="348"/>
      <c r="L140" s="348"/>
      <c r="M140" s="348"/>
      <c r="N140" s="349"/>
      <c r="O140" s="398"/>
      <c r="Q140" s="398"/>
      <c r="R140" s="564"/>
      <c r="S140" s="398"/>
      <c r="T140" s="398"/>
      <c r="U140" s="398"/>
      <c r="V140" s="555"/>
      <c r="W140" s="555"/>
      <c r="X140" s="555"/>
    </row>
    <row r="141" spans="1:24" s="554" customFormat="1" ht="15.75" hidden="1" customHeight="1">
      <c r="A141" s="355"/>
      <c r="B141" s="567" t="s">
        <v>1010</v>
      </c>
      <c r="C141" s="348">
        <f>(0.09+0.14)*2</f>
        <v>0.46</v>
      </c>
      <c r="D141" s="348"/>
      <c r="E141" s="348"/>
      <c r="F141" s="348">
        <f>ROUNDDOWN((C137/0.125),0.1)</f>
        <v>29</v>
      </c>
      <c r="G141" s="348"/>
      <c r="H141" s="348"/>
      <c r="I141" s="348">
        <f>0.006165*8*8</f>
        <v>0.39456000000000002</v>
      </c>
      <c r="J141" s="348"/>
      <c r="K141" s="348">
        <f>0.006165*8*8</f>
        <v>0.39456000000000002</v>
      </c>
      <c r="L141" s="348">
        <f>L137</f>
        <v>2</v>
      </c>
      <c r="M141" s="348">
        <f>(C141+I141)*F141*K141*L141</f>
        <v>19.556161228800001</v>
      </c>
      <c r="N141" s="349"/>
      <c r="O141" s="398"/>
      <c r="Q141" s="398"/>
      <c r="R141" s="564"/>
      <c r="S141" s="398"/>
      <c r="T141" s="398"/>
      <c r="U141" s="398"/>
      <c r="V141" s="555"/>
      <c r="W141" s="555"/>
      <c r="X141" s="555"/>
    </row>
    <row r="142" spans="1:24" s="554" customFormat="1" ht="15.75" hidden="1" customHeight="1">
      <c r="A142" s="355"/>
      <c r="B142" s="567" t="s">
        <v>1011</v>
      </c>
      <c r="C142" s="348">
        <f>(0.09+0.14)*2</f>
        <v>0.46</v>
      </c>
      <c r="D142" s="348"/>
      <c r="E142" s="348"/>
      <c r="F142" s="348">
        <f>ROUNDDOWN((C138/0.125),0.1)</f>
        <v>14</v>
      </c>
      <c r="G142" s="348"/>
      <c r="H142" s="348"/>
      <c r="I142" s="348">
        <f>I141</f>
        <v>0.39456000000000002</v>
      </c>
      <c r="J142" s="348"/>
      <c r="K142" s="348">
        <f>K141</f>
        <v>0.39456000000000002</v>
      </c>
      <c r="L142" s="348">
        <f>L138</f>
        <v>2</v>
      </c>
      <c r="M142" s="348">
        <f>(C142+I142)*F142*K142*L142</f>
        <v>9.4409054208000001</v>
      </c>
      <c r="N142" s="349"/>
      <c r="O142" s="398"/>
      <c r="Q142" s="398"/>
      <c r="R142" s="564"/>
      <c r="S142" s="398"/>
      <c r="T142" s="398"/>
      <c r="U142" s="398"/>
      <c r="V142" s="555"/>
      <c r="W142" s="555"/>
      <c r="X142" s="555"/>
    </row>
    <row r="143" spans="1:24" s="554" customFormat="1" ht="15.75" hidden="1" customHeight="1">
      <c r="A143" s="355"/>
      <c r="B143" s="359"/>
      <c r="C143" s="348"/>
      <c r="D143" s="348"/>
      <c r="E143" s="348"/>
      <c r="F143" s="348"/>
      <c r="G143" s="348"/>
      <c r="H143" s="348"/>
      <c r="I143" s="348"/>
      <c r="J143" s="348"/>
      <c r="K143" s="348"/>
      <c r="L143" s="348"/>
      <c r="M143" s="343">
        <f>SUM(M141:M142)</f>
        <v>28.997066649600001</v>
      </c>
      <c r="N143" s="349" t="s">
        <v>100</v>
      </c>
      <c r="O143" s="398">
        <f>ROUND((M143),2)</f>
        <v>29</v>
      </c>
      <c r="Q143" s="398"/>
      <c r="R143" s="564"/>
      <c r="S143" s="398"/>
      <c r="T143" s="398"/>
      <c r="U143" s="398"/>
      <c r="V143" s="555"/>
      <c r="W143" s="555"/>
      <c r="X143" s="555"/>
    </row>
    <row r="144" spans="1:24" s="554" customFormat="1" ht="15.75" hidden="1" customHeight="1">
      <c r="A144" s="355" t="s">
        <v>121</v>
      </c>
      <c r="B144" s="359" t="s">
        <v>1043</v>
      </c>
      <c r="C144" s="348"/>
      <c r="D144" s="348"/>
      <c r="E144" s="348"/>
      <c r="F144" s="348"/>
      <c r="G144" s="348"/>
      <c r="H144" s="348"/>
      <c r="I144" s="348"/>
      <c r="J144" s="348"/>
      <c r="K144" s="348"/>
      <c r="L144" s="348"/>
      <c r="M144" s="348"/>
      <c r="N144" s="349"/>
      <c r="O144" s="398"/>
      <c r="Q144" s="398"/>
      <c r="R144" s="564"/>
      <c r="S144" s="398"/>
      <c r="T144" s="398"/>
      <c r="U144" s="398"/>
      <c r="V144" s="555"/>
      <c r="W144" s="555"/>
      <c r="X144" s="555"/>
    </row>
    <row r="145" spans="1:24" s="554" customFormat="1" ht="15.75" hidden="1" customHeight="1">
      <c r="A145" s="355"/>
      <c r="B145" s="567" t="s">
        <v>1010</v>
      </c>
      <c r="C145" s="348">
        <f>C137</f>
        <v>3.7469999999999999</v>
      </c>
      <c r="D145" s="348">
        <f>D132</f>
        <v>0.15</v>
      </c>
      <c r="E145" s="348">
        <f>E131</f>
        <v>0.2</v>
      </c>
      <c r="F145" s="348"/>
      <c r="G145" s="348"/>
      <c r="H145" s="348"/>
      <c r="I145" s="348"/>
      <c r="J145" s="348"/>
      <c r="K145" s="348"/>
      <c r="L145" s="348">
        <f>L141</f>
        <v>2</v>
      </c>
      <c r="M145" s="348">
        <f>C145*D145*E145*L145</f>
        <v>0.22481999999999999</v>
      </c>
      <c r="N145" s="349"/>
      <c r="O145" s="398"/>
      <c r="Q145" s="398"/>
      <c r="R145" s="564"/>
      <c r="S145" s="398"/>
      <c r="T145" s="398"/>
      <c r="U145" s="398"/>
      <c r="V145" s="555"/>
      <c r="W145" s="555"/>
      <c r="X145" s="555"/>
    </row>
    <row r="146" spans="1:24" s="554" customFormat="1" ht="15.75" hidden="1" customHeight="1">
      <c r="A146" s="355"/>
      <c r="B146" s="567" t="s">
        <v>1011</v>
      </c>
      <c r="C146" s="348">
        <f>C138</f>
        <v>1.83</v>
      </c>
      <c r="D146" s="348">
        <f>D145</f>
        <v>0.15</v>
      </c>
      <c r="E146" s="348">
        <f>E145</f>
        <v>0.2</v>
      </c>
      <c r="F146" s="348"/>
      <c r="G146" s="348"/>
      <c r="H146" s="348"/>
      <c r="I146" s="348"/>
      <c r="J146" s="348"/>
      <c r="K146" s="348"/>
      <c r="L146" s="348">
        <f>L142</f>
        <v>2</v>
      </c>
      <c r="M146" s="565">
        <f>C146*D146*E146*L146</f>
        <v>0.10980000000000001</v>
      </c>
      <c r="N146" s="349"/>
      <c r="O146" s="398"/>
      <c r="Q146" s="398"/>
      <c r="R146" s="564"/>
      <c r="S146" s="398"/>
      <c r="T146" s="398"/>
      <c r="U146" s="398"/>
      <c r="V146" s="555"/>
      <c r="W146" s="555"/>
      <c r="X146" s="555"/>
    </row>
    <row r="147" spans="1:24" s="554" customFormat="1" ht="15.75" hidden="1" customHeight="1">
      <c r="A147" s="355"/>
      <c r="B147" s="359"/>
      <c r="C147" s="348"/>
      <c r="D147" s="348"/>
      <c r="E147" s="348"/>
      <c r="F147" s="348"/>
      <c r="G147" s="348"/>
      <c r="H147" s="348"/>
      <c r="I147" s="348"/>
      <c r="J147" s="348"/>
      <c r="K147" s="348"/>
      <c r="L147" s="348"/>
      <c r="M147" s="343">
        <f>SUM(M145:M146)</f>
        <v>0.33462000000000003</v>
      </c>
      <c r="N147" s="349" t="s">
        <v>103</v>
      </c>
      <c r="O147" s="398">
        <f>ROUND((M147),2)</f>
        <v>0.33</v>
      </c>
      <c r="Q147" s="398"/>
      <c r="R147" s="564"/>
      <c r="S147" s="398"/>
      <c r="T147" s="398"/>
      <c r="U147" s="398"/>
      <c r="V147" s="555"/>
      <c r="W147" s="555"/>
      <c r="X147" s="555"/>
    </row>
    <row r="148" spans="1:24" s="554" customFormat="1" ht="15.75" hidden="1" customHeight="1">
      <c r="A148" s="350"/>
      <c r="B148" s="359" t="s">
        <v>1166</v>
      </c>
      <c r="C148" s="348"/>
      <c r="D148" s="348"/>
      <c r="E148" s="348"/>
      <c r="F148" s="348"/>
      <c r="G148" s="348"/>
      <c r="H148" s="348"/>
      <c r="I148" s="348"/>
      <c r="J148" s="348"/>
      <c r="K148" s="348"/>
      <c r="L148" s="348"/>
      <c r="M148" s="348"/>
      <c r="N148" s="349"/>
      <c r="O148" s="398"/>
      <c r="Q148" s="398"/>
      <c r="R148" s="564"/>
      <c r="S148" s="398"/>
      <c r="T148" s="398"/>
      <c r="U148" s="398"/>
      <c r="V148" s="555"/>
      <c r="W148" s="555"/>
      <c r="X148" s="555"/>
    </row>
    <row r="149" spans="1:24" s="554" customFormat="1" ht="15.75" hidden="1" customHeight="1">
      <c r="A149" s="355" t="s">
        <v>95</v>
      </c>
      <c r="B149" s="359" t="s">
        <v>423</v>
      </c>
      <c r="C149" s="348"/>
      <c r="D149" s="348"/>
      <c r="E149" s="348"/>
      <c r="F149" s="348"/>
      <c r="G149" s="348"/>
      <c r="H149" s="348"/>
      <c r="I149" s="348"/>
      <c r="J149" s="348"/>
      <c r="K149" s="348"/>
      <c r="L149" s="348"/>
      <c r="M149" s="348"/>
      <c r="N149" s="349"/>
      <c r="O149" s="398"/>
      <c r="Q149" s="398"/>
      <c r="R149" s="564"/>
      <c r="S149" s="398"/>
      <c r="T149" s="398"/>
      <c r="U149" s="398"/>
      <c r="V149" s="555"/>
      <c r="W149" s="555"/>
      <c r="X149" s="555"/>
    </row>
    <row r="150" spans="1:24" s="554" customFormat="1" ht="15.75" hidden="1" customHeight="1">
      <c r="A150" s="355"/>
      <c r="B150" s="567"/>
      <c r="C150" s="348">
        <v>1</v>
      </c>
      <c r="D150" s="348">
        <v>0.15</v>
      </c>
      <c r="E150" s="348">
        <v>0.2</v>
      </c>
      <c r="F150" s="348">
        <v>2</v>
      </c>
      <c r="G150" s="348"/>
      <c r="H150" s="348"/>
      <c r="I150" s="348"/>
      <c r="J150" s="348"/>
      <c r="K150" s="348"/>
      <c r="L150" s="348">
        <f>L146</f>
        <v>2</v>
      </c>
      <c r="M150" s="348">
        <f>C150*((E150+D150)*2)*F150*L150</f>
        <v>2.8</v>
      </c>
      <c r="N150" s="349"/>
      <c r="O150" s="398"/>
      <c r="Q150" s="398"/>
      <c r="R150" s="564"/>
      <c r="S150" s="398"/>
      <c r="T150" s="398"/>
      <c r="U150" s="398"/>
      <c r="V150" s="555"/>
      <c r="W150" s="555"/>
      <c r="X150" s="555"/>
    </row>
    <row r="151" spans="1:24" s="554" customFormat="1" ht="15.75" hidden="1" customHeight="1">
      <c r="A151" s="355"/>
      <c r="B151" s="359"/>
      <c r="C151" s="348"/>
      <c r="D151" s="348"/>
      <c r="E151" s="348"/>
      <c r="F151" s="348"/>
      <c r="G151" s="348"/>
      <c r="H151" s="348"/>
      <c r="I151" s="348"/>
      <c r="J151" s="348"/>
      <c r="K151" s="348"/>
      <c r="L151" s="348"/>
      <c r="M151" s="343">
        <f>SUM(M150:M150)/2</f>
        <v>1.4</v>
      </c>
      <c r="N151" s="349" t="s">
        <v>89</v>
      </c>
      <c r="O151" s="398">
        <f>ROUND((M151),2)</f>
        <v>1.4</v>
      </c>
      <c r="Q151" s="398"/>
      <c r="R151" s="564"/>
      <c r="S151" s="398"/>
      <c r="T151" s="398"/>
      <c r="U151" s="398"/>
      <c r="V151" s="555"/>
      <c r="W151" s="555"/>
      <c r="X151" s="555"/>
    </row>
    <row r="152" spans="1:24" s="554" customFormat="1" ht="15.75" hidden="1" customHeight="1">
      <c r="A152" s="355" t="s">
        <v>98</v>
      </c>
      <c r="B152" s="359" t="s">
        <v>928</v>
      </c>
      <c r="C152" s="348"/>
      <c r="D152" s="348"/>
      <c r="E152" s="348"/>
      <c r="F152" s="348"/>
      <c r="G152" s="348"/>
      <c r="H152" s="348"/>
      <c r="I152" s="348"/>
      <c r="J152" s="348"/>
      <c r="K152" s="348"/>
      <c r="L152" s="348"/>
      <c r="M152" s="348"/>
      <c r="N152" s="349"/>
      <c r="O152" s="398"/>
      <c r="Q152" s="398"/>
      <c r="R152" s="564"/>
      <c r="S152" s="398"/>
      <c r="T152" s="398"/>
      <c r="U152" s="398"/>
      <c r="V152" s="555"/>
      <c r="W152" s="555"/>
      <c r="X152" s="555"/>
    </row>
    <row r="153" spans="1:24" s="554" customFormat="1" ht="15.75" hidden="1" customHeight="1">
      <c r="A153" s="355"/>
      <c r="B153" s="567"/>
      <c r="C153" s="348">
        <f>C150</f>
        <v>1</v>
      </c>
      <c r="D153" s="348"/>
      <c r="E153" s="348"/>
      <c r="F153" s="348">
        <v>4</v>
      </c>
      <c r="G153" s="348">
        <v>2</v>
      </c>
      <c r="H153" s="348"/>
      <c r="I153" s="348">
        <f>0.006165*13*13</f>
        <v>1.0418850000000002</v>
      </c>
      <c r="J153" s="348"/>
      <c r="K153" s="348">
        <f>0.006165*13*13</f>
        <v>1.0418850000000002</v>
      </c>
      <c r="L153" s="348">
        <f>L150</f>
        <v>2</v>
      </c>
      <c r="M153" s="565">
        <f>(C153+I153)*F153*K153*L153*G153</f>
        <v>34.038549651600007</v>
      </c>
      <c r="N153" s="349"/>
      <c r="O153" s="398"/>
      <c r="Q153" s="398"/>
      <c r="R153" s="564"/>
      <c r="S153" s="398"/>
      <c r="T153" s="398"/>
      <c r="U153" s="398"/>
      <c r="V153" s="555"/>
      <c r="W153" s="555"/>
      <c r="X153" s="555"/>
    </row>
    <row r="154" spans="1:24" s="554" customFormat="1" ht="15.75" hidden="1" customHeight="1">
      <c r="A154" s="355"/>
      <c r="B154" s="359"/>
      <c r="C154" s="348"/>
      <c r="D154" s="348"/>
      <c r="E154" s="348"/>
      <c r="F154" s="348"/>
      <c r="G154" s="348"/>
      <c r="H154" s="348"/>
      <c r="I154" s="348"/>
      <c r="J154" s="348"/>
      <c r="K154" s="348"/>
      <c r="L154" s="348"/>
      <c r="M154" s="343">
        <f>SUM(M153:M153)</f>
        <v>34.038549651600007</v>
      </c>
      <c r="N154" s="349" t="s">
        <v>100</v>
      </c>
      <c r="O154" s="398">
        <f>ROUND((M154),2)</f>
        <v>34.04</v>
      </c>
      <c r="Q154" s="398"/>
      <c r="R154" s="564"/>
      <c r="S154" s="398"/>
      <c r="T154" s="398"/>
      <c r="U154" s="398"/>
      <c r="V154" s="555"/>
      <c r="W154" s="555"/>
      <c r="X154" s="555"/>
    </row>
    <row r="155" spans="1:24" s="554" customFormat="1" ht="15.75" hidden="1" customHeight="1">
      <c r="A155" s="355" t="s">
        <v>101</v>
      </c>
      <c r="B155" s="359" t="s">
        <v>428</v>
      </c>
      <c r="C155" s="348"/>
      <c r="D155" s="348"/>
      <c r="E155" s="348"/>
      <c r="F155" s="348"/>
      <c r="G155" s="348"/>
      <c r="H155" s="348"/>
      <c r="I155" s="348"/>
      <c r="J155" s="348"/>
      <c r="K155" s="348"/>
      <c r="L155" s="348"/>
      <c r="M155" s="348"/>
      <c r="N155" s="349"/>
      <c r="O155" s="398"/>
      <c r="Q155" s="398"/>
      <c r="R155" s="564"/>
      <c r="S155" s="398"/>
      <c r="T155" s="398"/>
      <c r="U155" s="398"/>
      <c r="V155" s="555"/>
      <c r="W155" s="555"/>
      <c r="X155" s="555"/>
    </row>
    <row r="156" spans="1:24" s="554" customFormat="1" ht="15.75" hidden="1" customHeight="1">
      <c r="A156" s="355"/>
      <c r="B156" s="567"/>
      <c r="C156" s="348">
        <f>(0.09+0.14)*2</f>
        <v>0.46</v>
      </c>
      <c r="D156" s="348"/>
      <c r="E156" s="348"/>
      <c r="F156" s="348">
        <f>ROUNDDOWN((C153/0.125),0.1)</f>
        <v>8</v>
      </c>
      <c r="G156" s="348">
        <v>2</v>
      </c>
      <c r="H156" s="348"/>
      <c r="I156" s="348">
        <f>I141</f>
        <v>0.39456000000000002</v>
      </c>
      <c r="J156" s="348"/>
      <c r="K156" s="348">
        <f>K141</f>
        <v>0.39456000000000002</v>
      </c>
      <c r="L156" s="348">
        <f>L153</f>
        <v>2</v>
      </c>
      <c r="M156" s="565">
        <f>(C156+I156)*F156*K156*L156*G156</f>
        <v>10.789606195200001</v>
      </c>
      <c r="N156" s="349"/>
      <c r="O156" s="398"/>
      <c r="Q156" s="398"/>
      <c r="R156" s="564"/>
      <c r="S156" s="398"/>
      <c r="T156" s="398"/>
      <c r="U156" s="398"/>
      <c r="V156" s="555"/>
      <c r="W156" s="555"/>
      <c r="X156" s="555"/>
    </row>
    <row r="157" spans="1:24" s="554" customFormat="1" ht="15.75" hidden="1" customHeight="1">
      <c r="A157" s="355"/>
      <c r="B157" s="359"/>
      <c r="C157" s="348"/>
      <c r="D157" s="348"/>
      <c r="E157" s="348"/>
      <c r="F157" s="348"/>
      <c r="G157" s="348"/>
      <c r="H157" s="348"/>
      <c r="I157" s="348"/>
      <c r="J157" s="348"/>
      <c r="K157" s="348"/>
      <c r="L157" s="348"/>
      <c r="M157" s="343">
        <f>SUM(M156:M156)</f>
        <v>10.789606195200001</v>
      </c>
      <c r="N157" s="349" t="s">
        <v>100</v>
      </c>
      <c r="O157" s="398">
        <f>ROUND((M157),2)</f>
        <v>10.79</v>
      </c>
      <c r="Q157" s="398"/>
      <c r="R157" s="564"/>
      <c r="S157" s="398"/>
      <c r="T157" s="398"/>
      <c r="U157" s="398"/>
      <c r="V157" s="555"/>
      <c r="W157" s="555"/>
      <c r="X157" s="555"/>
    </row>
    <row r="158" spans="1:24" s="554" customFormat="1" ht="15.75" hidden="1" customHeight="1">
      <c r="A158" s="355" t="s">
        <v>121</v>
      </c>
      <c r="B158" s="359" t="s">
        <v>1043</v>
      </c>
      <c r="C158" s="348"/>
      <c r="D158" s="348"/>
      <c r="E158" s="348"/>
      <c r="F158" s="348"/>
      <c r="G158" s="348"/>
      <c r="H158" s="348"/>
      <c r="I158" s="348"/>
      <c r="J158" s="348"/>
      <c r="K158" s="348"/>
      <c r="L158" s="348"/>
      <c r="M158" s="348"/>
      <c r="N158" s="349"/>
      <c r="O158" s="398"/>
      <c r="Q158" s="398"/>
      <c r="R158" s="564"/>
      <c r="S158" s="398"/>
      <c r="T158" s="398"/>
      <c r="U158" s="398"/>
      <c r="V158" s="555"/>
      <c r="W158" s="555"/>
      <c r="X158" s="555"/>
    </row>
    <row r="159" spans="1:24" s="554" customFormat="1" ht="15.75" hidden="1" customHeight="1">
      <c r="A159" s="355"/>
      <c r="B159" s="567"/>
      <c r="C159" s="348">
        <f>C153</f>
        <v>1</v>
      </c>
      <c r="D159" s="348">
        <f>D145</f>
        <v>0.15</v>
      </c>
      <c r="E159" s="348">
        <f>E150</f>
        <v>0.2</v>
      </c>
      <c r="F159" s="348">
        <v>2</v>
      </c>
      <c r="G159" s="348"/>
      <c r="H159" s="348"/>
      <c r="I159" s="348"/>
      <c r="J159" s="348"/>
      <c r="K159" s="348"/>
      <c r="L159" s="348">
        <f>L156*F159</f>
        <v>4</v>
      </c>
      <c r="M159" s="565">
        <f>C159*D159*E159*L159</f>
        <v>0.12</v>
      </c>
      <c r="N159" s="349"/>
      <c r="O159" s="398"/>
      <c r="Q159" s="398"/>
      <c r="R159" s="564"/>
      <c r="S159" s="398"/>
      <c r="T159" s="398"/>
      <c r="U159" s="398"/>
      <c r="V159" s="555"/>
      <c r="W159" s="555"/>
      <c r="X159" s="555"/>
    </row>
    <row r="160" spans="1:24" s="554" customFormat="1" ht="15.75" hidden="1" customHeight="1">
      <c r="A160" s="355"/>
      <c r="B160" s="359"/>
      <c r="C160" s="348"/>
      <c r="D160" s="348"/>
      <c r="E160" s="348"/>
      <c r="F160" s="348"/>
      <c r="G160" s="348"/>
      <c r="H160" s="348"/>
      <c r="I160" s="348"/>
      <c r="J160" s="348"/>
      <c r="K160" s="348"/>
      <c r="L160" s="348"/>
      <c r="M160" s="343">
        <f>SUM(M159:M159)</f>
        <v>0.12</v>
      </c>
      <c r="N160" s="349" t="s">
        <v>103</v>
      </c>
      <c r="O160" s="398">
        <f>ROUND((M160),2)</f>
        <v>0.12</v>
      </c>
      <c r="Q160" s="398"/>
      <c r="R160" s="564"/>
      <c r="S160" s="398"/>
      <c r="T160" s="398"/>
      <c r="U160" s="398"/>
      <c r="V160" s="555"/>
      <c r="W160" s="555"/>
      <c r="X160" s="555"/>
    </row>
    <row r="161" spans="1:22" ht="15.75" customHeight="1">
      <c r="A161" s="820"/>
      <c r="B161" s="589"/>
      <c r="C161" s="401"/>
      <c r="D161" s="401"/>
      <c r="E161" s="401"/>
      <c r="F161" s="401"/>
      <c r="G161" s="401"/>
      <c r="H161" s="401"/>
      <c r="I161" s="401"/>
      <c r="J161" s="401"/>
      <c r="K161" s="401"/>
      <c r="L161" s="401"/>
      <c r="M161" s="401"/>
      <c r="N161" s="801"/>
      <c r="O161" s="398"/>
      <c r="P161" s="779"/>
      <c r="Q161" s="398"/>
      <c r="R161" s="398"/>
      <c r="S161" s="398"/>
      <c r="T161" s="738"/>
      <c r="U161" s="738"/>
      <c r="V161" s="738"/>
    </row>
    <row r="162" spans="1:22" ht="15.75" customHeight="1">
      <c r="A162" s="820"/>
      <c r="B162" s="351"/>
      <c r="C162" s="401"/>
      <c r="D162" s="401"/>
      <c r="E162" s="401"/>
      <c r="F162" s="401"/>
      <c r="G162" s="401"/>
      <c r="H162" s="401"/>
      <c r="I162" s="401"/>
      <c r="J162" s="401"/>
      <c r="K162" s="401"/>
      <c r="L162" s="401"/>
      <c r="M162" s="401"/>
      <c r="N162" s="1105"/>
      <c r="O162" s="398"/>
      <c r="P162" s="779"/>
      <c r="Q162" s="398"/>
      <c r="R162" s="398"/>
      <c r="S162" s="398"/>
      <c r="T162" s="738"/>
      <c r="U162" s="738"/>
      <c r="V162" s="738"/>
    </row>
    <row r="163" spans="1:22" ht="15.75" customHeight="1">
      <c r="A163" s="347" t="s">
        <v>699</v>
      </c>
      <c r="B163" s="347" t="s">
        <v>434</v>
      </c>
      <c r="C163" s="401"/>
      <c r="D163" s="401"/>
      <c r="E163" s="401"/>
      <c r="F163" s="401"/>
      <c r="G163" s="401"/>
      <c r="H163" s="401"/>
      <c r="I163" s="401"/>
      <c r="J163" s="401"/>
      <c r="K163" s="401"/>
      <c r="L163" s="401"/>
      <c r="M163" s="401"/>
      <c r="N163" s="801"/>
      <c r="O163" s="398"/>
      <c r="P163" s="779"/>
      <c r="Q163" s="398"/>
      <c r="R163" s="398"/>
      <c r="S163" s="398"/>
      <c r="T163" s="738"/>
      <c r="U163" s="738"/>
      <c r="V163" s="738"/>
    </row>
    <row r="164" spans="1:22" ht="15.75" customHeight="1">
      <c r="A164" s="400">
        <v>1</v>
      </c>
      <c r="B164" s="351" t="s">
        <v>700</v>
      </c>
      <c r="C164" s="401"/>
      <c r="D164" s="401"/>
      <c r="E164" s="401"/>
      <c r="F164" s="401"/>
      <c r="G164" s="401"/>
      <c r="H164" s="401"/>
      <c r="I164" s="401"/>
      <c r="J164" s="401"/>
      <c r="K164" s="401"/>
      <c r="L164" s="401"/>
      <c r="M164" s="401"/>
      <c r="N164" s="801"/>
      <c r="O164" s="398"/>
      <c r="P164" s="779"/>
      <c r="Q164" s="398"/>
      <c r="R164" s="398"/>
      <c r="S164" s="398"/>
      <c r="T164" s="738"/>
      <c r="U164" s="738"/>
      <c r="V164" s="738"/>
    </row>
    <row r="165" spans="1:22" ht="15.75" customHeight="1">
      <c r="A165" s="400"/>
      <c r="B165" s="589" t="s">
        <v>1044</v>
      </c>
      <c r="C165" s="401">
        <f>C124</f>
        <v>7.5</v>
      </c>
      <c r="D165" s="401"/>
      <c r="E165" s="401">
        <f>3.88-0.3</f>
        <v>3.58</v>
      </c>
      <c r="F165" s="401"/>
      <c r="G165" s="401"/>
      <c r="H165" s="401"/>
      <c r="I165" s="401"/>
      <c r="J165" s="401"/>
      <c r="K165" s="401"/>
      <c r="L165" s="401">
        <f>L124</f>
        <v>3</v>
      </c>
      <c r="M165" s="401">
        <f>C165*E165*L165</f>
        <v>80.550000000000011</v>
      </c>
      <c r="N165" s="801"/>
      <c r="O165" s="398"/>
      <c r="P165" s="779"/>
      <c r="Q165" s="398"/>
      <c r="R165" s="398"/>
      <c r="S165" s="398"/>
      <c r="T165" s="738"/>
      <c r="U165" s="738"/>
      <c r="V165" s="738"/>
    </row>
    <row r="166" spans="1:22" ht="15.75" customHeight="1">
      <c r="A166" s="400"/>
      <c r="B166" s="589" t="s">
        <v>136</v>
      </c>
      <c r="C166" s="401">
        <f>C126</f>
        <v>3</v>
      </c>
      <c r="D166" s="401"/>
      <c r="E166" s="401">
        <f>E165</f>
        <v>3.58</v>
      </c>
      <c r="F166" s="401"/>
      <c r="G166" s="401"/>
      <c r="H166" s="401"/>
      <c r="I166" s="401"/>
      <c r="J166" s="401"/>
      <c r="K166" s="401"/>
      <c r="L166" s="401">
        <f>L126</f>
        <v>4</v>
      </c>
      <c r="M166" s="401">
        <f>C166*E166*L166</f>
        <v>42.96</v>
      </c>
      <c r="N166" s="801"/>
      <c r="O166" s="398"/>
      <c r="P166" s="779"/>
      <c r="Q166" s="398"/>
      <c r="R166" s="398"/>
      <c r="S166" s="398"/>
      <c r="T166" s="738"/>
      <c r="U166" s="738"/>
      <c r="V166" s="738"/>
    </row>
    <row r="167" spans="1:22" ht="15.75" customHeight="1">
      <c r="A167" s="400"/>
      <c r="B167" s="567" t="s">
        <v>1149</v>
      </c>
      <c r="C167" s="382">
        <v>1.6020000000000001</v>
      </c>
      <c r="D167" s="382"/>
      <c r="E167" s="382">
        <v>0.92800000000000005</v>
      </c>
      <c r="F167" s="330"/>
      <c r="G167" s="330"/>
      <c r="H167" s="330"/>
      <c r="I167" s="330"/>
      <c r="J167" s="330"/>
      <c r="K167" s="330"/>
      <c r="L167" s="330">
        <v>2</v>
      </c>
      <c r="M167" s="401">
        <f>C167*E167*L167*O167</f>
        <v>0</v>
      </c>
      <c r="N167" s="801"/>
      <c r="O167" s="398"/>
      <c r="P167" s="779"/>
      <c r="Q167" s="398"/>
      <c r="R167" s="398"/>
      <c r="S167" s="398"/>
      <c r="T167" s="738"/>
      <c r="U167" s="738"/>
      <c r="V167" s="738"/>
    </row>
    <row r="168" spans="1:22" ht="15.75" customHeight="1">
      <c r="A168" s="400"/>
      <c r="B168" s="351"/>
      <c r="C168" s="382">
        <v>1.304</v>
      </c>
      <c r="D168" s="382"/>
      <c r="E168" s="382">
        <v>0.92800000000000005</v>
      </c>
      <c r="F168" s="330"/>
      <c r="G168" s="330"/>
      <c r="H168" s="330"/>
      <c r="I168" s="330"/>
      <c r="J168" s="330"/>
      <c r="K168" s="330"/>
      <c r="L168" s="330">
        <f>L167</f>
        <v>2</v>
      </c>
      <c r="M168" s="401">
        <f>C168*E168*L168*O168</f>
        <v>0</v>
      </c>
      <c r="N168" s="801"/>
      <c r="O168" s="398"/>
      <c r="P168" s="779"/>
      <c r="Q168" s="398"/>
      <c r="R168" s="398"/>
      <c r="S168" s="398"/>
      <c r="T168" s="738"/>
      <c r="U168" s="738"/>
      <c r="V168" s="738"/>
    </row>
    <row r="169" spans="1:22" ht="15.75" customHeight="1">
      <c r="A169" s="400"/>
      <c r="B169" s="351"/>
      <c r="C169" s="382">
        <f>(1/2*1.602)</f>
        <v>0.80100000000000005</v>
      </c>
      <c r="D169" s="382"/>
      <c r="E169" s="382">
        <v>1.341</v>
      </c>
      <c r="F169" s="330"/>
      <c r="G169" s="330"/>
      <c r="H169" s="330"/>
      <c r="I169" s="330"/>
      <c r="J169" s="330"/>
      <c r="K169" s="330"/>
      <c r="L169" s="330">
        <f>L168</f>
        <v>2</v>
      </c>
      <c r="M169" s="401">
        <f>C169*E169*L169*O169</f>
        <v>0</v>
      </c>
      <c r="N169" s="801"/>
      <c r="O169" s="398"/>
      <c r="P169" s="779"/>
      <c r="Q169" s="398"/>
      <c r="R169" s="398"/>
      <c r="S169" s="398"/>
      <c r="T169" s="738"/>
      <c r="U169" s="738"/>
      <c r="V169" s="738"/>
    </row>
    <row r="170" spans="1:22" ht="15.75" customHeight="1">
      <c r="A170" s="400"/>
      <c r="B170" s="589" t="s">
        <v>1282</v>
      </c>
      <c r="C170" s="401"/>
      <c r="D170" s="401">
        <v>0.8</v>
      </c>
      <c r="E170" s="401">
        <v>2</v>
      </c>
      <c r="F170" s="401"/>
      <c r="G170" s="401"/>
      <c r="H170" s="401"/>
      <c r="I170" s="401"/>
      <c r="J170" s="401"/>
      <c r="K170" s="401"/>
      <c r="L170" s="401">
        <v>5</v>
      </c>
      <c r="M170" s="401">
        <f>-D170*E170*L170</f>
        <v>-8</v>
      </c>
      <c r="N170" s="801"/>
      <c r="O170" s="398"/>
      <c r="P170" s="779"/>
      <c r="Q170" s="398"/>
      <c r="R170" s="398"/>
      <c r="S170" s="398"/>
      <c r="T170" s="738"/>
      <c r="U170" s="738"/>
      <c r="V170" s="738"/>
    </row>
    <row r="171" spans="1:22" ht="15.75" customHeight="1">
      <c r="A171" s="400"/>
      <c r="B171" s="589" t="s">
        <v>1146</v>
      </c>
      <c r="C171" s="401">
        <v>1</v>
      </c>
      <c r="D171" s="401"/>
      <c r="E171" s="401">
        <v>0.5</v>
      </c>
      <c r="F171" s="401"/>
      <c r="G171" s="401"/>
      <c r="H171" s="401"/>
      <c r="I171" s="401"/>
      <c r="J171" s="401"/>
      <c r="K171" s="401"/>
      <c r="L171" s="401">
        <v>5</v>
      </c>
      <c r="M171" s="401">
        <f>-C171*E171</f>
        <v>-0.5</v>
      </c>
      <c r="N171" s="801"/>
      <c r="O171" s="398"/>
      <c r="P171" s="779"/>
      <c r="Q171" s="398"/>
      <c r="R171" s="398"/>
      <c r="S171" s="398"/>
      <c r="T171" s="738"/>
      <c r="U171" s="738"/>
      <c r="V171" s="738"/>
    </row>
    <row r="172" spans="1:22" ht="15.75" customHeight="1">
      <c r="A172" s="400"/>
      <c r="B172" s="589" t="s">
        <v>1496</v>
      </c>
      <c r="C172" s="401"/>
      <c r="D172" s="401">
        <v>0.9</v>
      </c>
      <c r="E172" s="401">
        <v>2</v>
      </c>
      <c r="F172" s="401"/>
      <c r="G172" s="401"/>
      <c r="H172" s="401"/>
      <c r="I172" s="401"/>
      <c r="J172" s="401"/>
      <c r="K172" s="401"/>
      <c r="L172" s="401">
        <v>2</v>
      </c>
      <c r="M172" s="401">
        <f>-D172*E172*L172</f>
        <v>-3.6</v>
      </c>
      <c r="N172" s="801"/>
      <c r="O172" s="398"/>
      <c r="P172" s="779"/>
      <c r="Q172" s="398"/>
      <c r="R172" s="398"/>
      <c r="S172" s="398"/>
      <c r="T172" s="738"/>
      <c r="U172" s="738"/>
      <c r="V172" s="738"/>
    </row>
    <row r="173" spans="1:22" ht="15.75" customHeight="1">
      <c r="A173" s="400"/>
      <c r="B173" s="589" t="s">
        <v>1497</v>
      </c>
      <c r="C173" s="401">
        <f>C182</f>
        <v>2.2000000000000002</v>
      </c>
      <c r="D173" s="401"/>
      <c r="E173" s="401">
        <f>E182</f>
        <v>1.2</v>
      </c>
      <c r="F173" s="401"/>
      <c r="G173" s="401"/>
      <c r="H173" s="401"/>
      <c r="I173" s="401"/>
      <c r="J173" s="401"/>
      <c r="K173" s="401"/>
      <c r="L173" s="401"/>
      <c r="M173" s="401">
        <f>-C173*E173</f>
        <v>-2.64</v>
      </c>
      <c r="N173" s="801"/>
      <c r="O173" s="398"/>
      <c r="P173" s="779"/>
      <c r="Q173" s="398"/>
      <c r="R173" s="398"/>
      <c r="S173" s="398"/>
      <c r="T173" s="738"/>
      <c r="U173" s="738"/>
      <c r="V173" s="738"/>
    </row>
    <row r="174" spans="1:22" ht="15.75" customHeight="1">
      <c r="A174" s="400"/>
      <c r="B174" s="589"/>
      <c r="C174" s="401">
        <f>C173</f>
        <v>2.2000000000000002</v>
      </c>
      <c r="D174" s="401"/>
      <c r="E174" s="401">
        <f>E173</f>
        <v>1.2</v>
      </c>
      <c r="F174" s="401"/>
      <c r="G174" s="401"/>
      <c r="H174" s="401"/>
      <c r="I174" s="401"/>
      <c r="J174" s="401"/>
      <c r="K174" s="401"/>
      <c r="L174" s="401"/>
      <c r="M174" s="752">
        <f>-C174*E174</f>
        <v>-2.64</v>
      </c>
      <c r="N174" s="801"/>
      <c r="O174" s="398"/>
      <c r="P174" s="779"/>
      <c r="Q174" s="398"/>
      <c r="R174" s="398"/>
      <c r="S174" s="398"/>
      <c r="T174" s="738"/>
      <c r="U174" s="738"/>
      <c r="V174" s="738"/>
    </row>
    <row r="175" spans="1:22" ht="15.75" customHeight="1">
      <c r="A175" s="400"/>
      <c r="B175" s="589"/>
      <c r="C175" s="401"/>
      <c r="D175" s="401"/>
      <c r="E175" s="401"/>
      <c r="F175" s="401"/>
      <c r="G175" s="401"/>
      <c r="H175" s="401"/>
      <c r="I175" s="401"/>
      <c r="J175" s="401"/>
      <c r="K175" s="401"/>
      <c r="L175" s="401"/>
      <c r="M175" s="474">
        <f>SUM(M165:M174)</f>
        <v>106.13000000000002</v>
      </c>
      <c r="N175" s="1105" t="s">
        <v>89</v>
      </c>
      <c r="O175" s="784">
        <f>ROUND((M175),2)</f>
        <v>106.13</v>
      </c>
      <c r="P175" s="779"/>
      <c r="Q175" s="398"/>
      <c r="R175" s="398"/>
      <c r="S175" s="398"/>
      <c r="T175" s="738"/>
      <c r="U175" s="738"/>
      <c r="V175" s="738"/>
    </row>
    <row r="176" spans="1:22" ht="15.75" customHeight="1">
      <c r="A176" s="350">
        <f>A164+1</f>
        <v>2</v>
      </c>
      <c r="B176" s="351" t="s">
        <v>193</v>
      </c>
      <c r="C176" s="401"/>
      <c r="D176" s="401"/>
      <c r="E176" s="401"/>
      <c r="F176" s="401"/>
      <c r="G176" s="401"/>
      <c r="H176" s="401"/>
      <c r="I176" s="401"/>
      <c r="J176" s="401"/>
      <c r="K176" s="401"/>
      <c r="L176" s="401"/>
      <c r="M176" s="401">
        <f>M175*2</f>
        <v>212.26000000000005</v>
      </c>
      <c r="N176" s="801" t="s">
        <v>89</v>
      </c>
      <c r="O176" s="784">
        <f>ROUND((M176),2)</f>
        <v>212.26</v>
      </c>
      <c r="P176" s="779"/>
      <c r="Q176" s="398"/>
      <c r="R176" s="398"/>
      <c r="S176" s="398"/>
      <c r="T176" s="738"/>
      <c r="U176" s="738"/>
      <c r="V176" s="738"/>
    </row>
    <row r="177" spans="1:22" ht="15.75" customHeight="1">
      <c r="A177" s="350">
        <f>A176+1</f>
        <v>3</v>
      </c>
      <c r="B177" s="351" t="s">
        <v>194</v>
      </c>
      <c r="C177" s="401"/>
      <c r="D177" s="401"/>
      <c r="E177" s="401"/>
      <c r="F177" s="401"/>
      <c r="G177" s="401"/>
      <c r="H177" s="401"/>
      <c r="I177" s="401"/>
      <c r="J177" s="401"/>
      <c r="K177" s="401"/>
      <c r="L177" s="401"/>
      <c r="M177" s="401"/>
      <c r="N177" s="801"/>
      <c r="O177" s="398"/>
      <c r="P177" s="779"/>
      <c r="Q177" s="398"/>
      <c r="R177" s="398"/>
      <c r="S177" s="398"/>
      <c r="T177" s="738"/>
      <c r="U177" s="738"/>
      <c r="V177" s="738"/>
    </row>
    <row r="178" spans="1:22" ht="15.75" customHeight="1">
      <c r="A178" s="350"/>
      <c r="B178" s="589" t="s">
        <v>1248</v>
      </c>
      <c r="C178" s="401"/>
      <c r="D178" s="401"/>
      <c r="E178" s="401"/>
      <c r="F178" s="401"/>
      <c r="G178" s="401"/>
      <c r="H178" s="401"/>
      <c r="I178" s="401"/>
      <c r="J178" s="401"/>
      <c r="K178" s="401"/>
      <c r="L178" s="401"/>
      <c r="M178" s="401">
        <f>M176</f>
        <v>212.26000000000005</v>
      </c>
      <c r="N178" s="801"/>
      <c r="O178" s="398"/>
      <c r="P178" s="779"/>
      <c r="Q178" s="398"/>
      <c r="R178" s="398"/>
      <c r="S178" s="398"/>
      <c r="T178" s="738"/>
      <c r="U178" s="738"/>
      <c r="V178" s="738"/>
    </row>
    <row r="179" spans="1:22" ht="15.75" customHeight="1">
      <c r="A179" s="350"/>
      <c r="B179" s="589" t="s">
        <v>1498</v>
      </c>
      <c r="C179" s="401"/>
      <c r="D179" s="401"/>
      <c r="E179" s="401"/>
      <c r="F179" s="401"/>
      <c r="G179" s="401"/>
      <c r="H179" s="401"/>
      <c r="I179" s="401"/>
      <c r="J179" s="401"/>
      <c r="K179" s="401"/>
      <c r="L179" s="401"/>
      <c r="M179" s="752">
        <f>-M220</f>
        <v>-25.5</v>
      </c>
      <c r="N179" s="801"/>
      <c r="O179" s="398"/>
      <c r="P179" s="779"/>
      <c r="Q179" s="398"/>
      <c r="R179" s="398"/>
      <c r="S179" s="398"/>
      <c r="T179" s="738"/>
      <c r="U179" s="738"/>
      <c r="V179" s="738"/>
    </row>
    <row r="180" spans="1:22" ht="15.75" customHeight="1">
      <c r="A180" s="350"/>
      <c r="B180" s="589"/>
      <c r="C180" s="401"/>
      <c r="D180" s="401"/>
      <c r="E180" s="401"/>
      <c r="F180" s="401"/>
      <c r="G180" s="401"/>
      <c r="H180" s="401"/>
      <c r="I180" s="401"/>
      <c r="J180" s="401"/>
      <c r="K180" s="401"/>
      <c r="L180" s="401"/>
      <c r="M180" s="474">
        <f>SUM(M178:M179)</f>
        <v>186.76000000000005</v>
      </c>
      <c r="N180" s="1105" t="s">
        <v>89</v>
      </c>
      <c r="O180" s="784">
        <f>ROUND((M180),2)</f>
        <v>186.76</v>
      </c>
      <c r="P180" s="779"/>
      <c r="Q180" s="398"/>
      <c r="R180" s="398"/>
      <c r="S180" s="398"/>
      <c r="T180" s="738"/>
      <c r="U180" s="738"/>
      <c r="V180" s="738"/>
    </row>
    <row r="181" spans="1:22" ht="15.75" customHeight="1">
      <c r="A181" s="350">
        <f>A177+1</f>
        <v>4</v>
      </c>
      <c r="B181" s="351" t="s">
        <v>701</v>
      </c>
      <c r="C181" s="401"/>
      <c r="D181" s="401"/>
      <c r="E181" s="401"/>
      <c r="F181" s="401"/>
      <c r="G181" s="401"/>
      <c r="H181" s="401"/>
      <c r="I181" s="401"/>
      <c r="J181" s="401"/>
      <c r="K181" s="401"/>
      <c r="L181" s="401"/>
      <c r="M181" s="474"/>
      <c r="N181" s="1105"/>
      <c r="O181" s="398"/>
      <c r="P181" s="779"/>
      <c r="Q181" s="398"/>
      <c r="R181" s="398"/>
      <c r="S181" s="398"/>
      <c r="T181" s="738"/>
      <c r="U181" s="738"/>
      <c r="V181" s="738"/>
    </row>
    <row r="182" spans="1:22" ht="15.75" customHeight="1">
      <c r="A182" s="350"/>
      <c r="B182" s="351"/>
      <c r="C182" s="401">
        <v>2.2000000000000002</v>
      </c>
      <c r="D182" s="401"/>
      <c r="E182" s="401">
        <v>1.2</v>
      </c>
      <c r="F182" s="401"/>
      <c r="G182" s="401"/>
      <c r="H182" s="401"/>
      <c r="I182" s="401"/>
      <c r="J182" s="401"/>
      <c r="K182" s="401"/>
      <c r="L182" s="401"/>
      <c r="M182" s="401">
        <f>C182*E182</f>
        <v>2.64</v>
      </c>
      <c r="N182" s="801"/>
      <c r="O182" s="398"/>
      <c r="P182" s="779"/>
      <c r="Q182" s="398"/>
      <c r="R182" s="398"/>
      <c r="S182" s="398"/>
      <c r="T182" s="738"/>
      <c r="U182" s="738"/>
      <c r="V182" s="738"/>
    </row>
    <row r="183" spans="1:22" ht="15.75" customHeight="1">
      <c r="A183" s="350"/>
      <c r="B183" s="351"/>
      <c r="C183" s="401">
        <v>2.2000000000000002</v>
      </c>
      <c r="D183" s="401"/>
      <c r="E183" s="401">
        <v>1.2</v>
      </c>
      <c r="F183" s="401"/>
      <c r="G183" s="401"/>
      <c r="H183" s="401"/>
      <c r="I183" s="401"/>
      <c r="J183" s="401"/>
      <c r="K183" s="401"/>
      <c r="L183" s="401"/>
      <c r="M183" s="752">
        <f>C183*E183</f>
        <v>2.64</v>
      </c>
      <c r="N183" s="801"/>
      <c r="O183" s="398"/>
      <c r="P183" s="779"/>
      <c r="Q183" s="398"/>
      <c r="R183" s="398"/>
      <c r="S183" s="398"/>
      <c r="T183" s="738"/>
      <c r="U183" s="738"/>
      <c r="V183" s="738"/>
    </row>
    <row r="184" spans="1:22" ht="15.75" customHeight="1">
      <c r="A184" s="350"/>
      <c r="B184" s="351"/>
      <c r="C184" s="401"/>
      <c r="D184" s="401"/>
      <c r="E184" s="401"/>
      <c r="F184" s="401"/>
      <c r="G184" s="401"/>
      <c r="H184" s="401"/>
      <c r="I184" s="401"/>
      <c r="J184" s="401"/>
      <c r="K184" s="401"/>
      <c r="L184" s="401"/>
      <c r="M184" s="474">
        <f>TRUNC(M182+M183,2)</f>
        <v>5.28</v>
      </c>
      <c r="N184" s="1105" t="s">
        <v>89</v>
      </c>
      <c r="O184" s="784">
        <f>ROUND((M184),2)</f>
        <v>5.28</v>
      </c>
      <c r="P184" s="779"/>
      <c r="Q184" s="398"/>
      <c r="R184" s="398"/>
      <c r="S184" s="398"/>
      <c r="T184" s="738"/>
      <c r="U184" s="738"/>
      <c r="V184" s="738"/>
    </row>
    <row r="185" spans="1:22" ht="15.75" customHeight="1">
      <c r="A185" s="350">
        <f>A181+1</f>
        <v>5</v>
      </c>
      <c r="B185" s="351" t="s">
        <v>702</v>
      </c>
      <c r="C185" s="401"/>
      <c r="D185" s="401"/>
      <c r="E185" s="401"/>
      <c r="F185" s="401"/>
      <c r="G185" s="401"/>
      <c r="H185" s="401"/>
      <c r="I185" s="401"/>
      <c r="J185" s="401"/>
      <c r="K185" s="401"/>
      <c r="L185" s="401"/>
      <c r="M185" s="401"/>
      <c r="N185" s="801"/>
      <c r="O185" s="398"/>
      <c r="P185" s="779"/>
      <c r="Q185" s="398"/>
      <c r="R185" s="398"/>
      <c r="S185" s="398"/>
      <c r="T185" s="738"/>
      <c r="U185" s="738"/>
      <c r="V185" s="738"/>
    </row>
    <row r="186" spans="1:22" ht="15.75" customHeight="1">
      <c r="A186" s="350"/>
      <c r="B186" s="589" t="s">
        <v>1282</v>
      </c>
      <c r="C186" s="401"/>
      <c r="D186" s="401">
        <v>0.8</v>
      </c>
      <c r="E186" s="401"/>
      <c r="F186" s="401"/>
      <c r="G186" s="401"/>
      <c r="H186" s="401"/>
      <c r="I186" s="401"/>
      <c r="J186" s="401"/>
      <c r="K186" s="401">
        <v>2</v>
      </c>
      <c r="L186" s="401">
        <v>5</v>
      </c>
      <c r="M186" s="401">
        <f>D186*K186*L186</f>
        <v>8</v>
      </c>
      <c r="N186" s="801"/>
      <c r="O186" s="398"/>
      <c r="P186" s="779"/>
      <c r="Q186" s="398"/>
      <c r="R186" s="398"/>
      <c r="S186" s="398"/>
      <c r="T186" s="738"/>
      <c r="U186" s="738"/>
      <c r="V186" s="738"/>
    </row>
    <row r="187" spans="1:22" ht="15.75" customHeight="1">
      <c r="A187" s="350"/>
      <c r="B187" s="589"/>
      <c r="C187" s="401"/>
      <c r="D187" s="401"/>
      <c r="E187" s="401">
        <v>2</v>
      </c>
      <c r="F187" s="401"/>
      <c r="G187" s="401"/>
      <c r="H187" s="401">
        <v>2</v>
      </c>
      <c r="I187" s="401"/>
      <c r="J187" s="401"/>
      <c r="K187" s="401">
        <f t="shared" ref="K187:L189" si="2">K186</f>
        <v>2</v>
      </c>
      <c r="L187" s="401">
        <f t="shared" si="2"/>
        <v>5</v>
      </c>
      <c r="M187" s="401">
        <f>E187*H187*K187*L187</f>
        <v>40</v>
      </c>
      <c r="N187" s="801"/>
      <c r="O187" s="398"/>
      <c r="P187" s="779"/>
      <c r="Q187" s="398"/>
      <c r="R187" s="398"/>
      <c r="S187" s="398"/>
      <c r="T187" s="738"/>
      <c r="U187" s="738"/>
      <c r="V187" s="738"/>
    </row>
    <row r="188" spans="1:22" ht="15.75" customHeight="1">
      <c r="A188" s="350"/>
      <c r="B188" s="589" t="s">
        <v>1499</v>
      </c>
      <c r="C188" s="401">
        <v>1</v>
      </c>
      <c r="D188" s="401"/>
      <c r="E188" s="401"/>
      <c r="F188" s="401"/>
      <c r="G188" s="401"/>
      <c r="H188" s="401">
        <v>2</v>
      </c>
      <c r="I188" s="401"/>
      <c r="J188" s="401"/>
      <c r="K188" s="401">
        <f t="shared" si="2"/>
        <v>2</v>
      </c>
      <c r="L188" s="401">
        <f t="shared" si="2"/>
        <v>5</v>
      </c>
      <c r="M188" s="401">
        <f>C188*H188*K188*L188</f>
        <v>20</v>
      </c>
      <c r="N188" s="801"/>
      <c r="O188" s="398"/>
      <c r="P188" s="779"/>
      <c r="Q188" s="398"/>
      <c r="R188" s="398"/>
      <c r="S188" s="398"/>
      <c r="T188" s="738"/>
      <c r="U188" s="738"/>
      <c r="V188" s="738"/>
    </row>
    <row r="189" spans="1:22" ht="15.75" customHeight="1">
      <c r="A189" s="350"/>
      <c r="B189" s="589"/>
      <c r="C189" s="401"/>
      <c r="D189" s="401"/>
      <c r="E189" s="401">
        <v>0.5</v>
      </c>
      <c r="F189" s="401"/>
      <c r="G189" s="401"/>
      <c r="H189" s="401">
        <v>2</v>
      </c>
      <c r="I189" s="401"/>
      <c r="J189" s="401"/>
      <c r="K189" s="401">
        <f t="shared" si="2"/>
        <v>2</v>
      </c>
      <c r="L189" s="401">
        <f t="shared" si="2"/>
        <v>5</v>
      </c>
      <c r="M189" s="401">
        <f>E189*H189*K189*L189</f>
        <v>10</v>
      </c>
      <c r="N189" s="801"/>
      <c r="O189" s="398"/>
      <c r="P189" s="779"/>
      <c r="Q189" s="398"/>
      <c r="R189" s="398"/>
      <c r="S189" s="398"/>
      <c r="T189" s="738"/>
      <c r="U189" s="738"/>
      <c r="V189" s="738"/>
    </row>
    <row r="190" spans="1:22" ht="15.75" customHeight="1">
      <c r="A190" s="350"/>
      <c r="B190" s="589" t="s">
        <v>1496</v>
      </c>
      <c r="C190" s="401"/>
      <c r="D190" s="401">
        <v>0.9</v>
      </c>
      <c r="E190" s="401"/>
      <c r="F190" s="401"/>
      <c r="G190" s="401"/>
      <c r="H190" s="401"/>
      <c r="I190" s="401"/>
      <c r="J190" s="401"/>
      <c r="K190" s="401">
        <f>K189</f>
        <v>2</v>
      </c>
      <c r="L190" s="401">
        <v>2</v>
      </c>
      <c r="M190" s="401">
        <f>D190*K190*L190</f>
        <v>3.6</v>
      </c>
      <c r="N190" s="801"/>
      <c r="O190" s="398"/>
      <c r="P190" s="779"/>
      <c r="Q190" s="398"/>
      <c r="R190" s="398"/>
      <c r="S190" s="398"/>
      <c r="T190" s="738"/>
      <c r="U190" s="738"/>
      <c r="V190" s="738"/>
    </row>
    <row r="191" spans="1:22" ht="15.75" customHeight="1">
      <c r="A191" s="350"/>
      <c r="B191" s="589"/>
      <c r="C191" s="401"/>
      <c r="D191" s="401"/>
      <c r="E191" s="401">
        <v>2</v>
      </c>
      <c r="F191" s="401"/>
      <c r="G191" s="401"/>
      <c r="H191" s="401">
        <v>2</v>
      </c>
      <c r="I191" s="401"/>
      <c r="J191" s="401"/>
      <c r="K191" s="401">
        <f>K190</f>
        <v>2</v>
      </c>
      <c r="L191" s="401">
        <f>L190</f>
        <v>2</v>
      </c>
      <c r="M191" s="752">
        <f>E191*H191*K191*L191</f>
        <v>16</v>
      </c>
      <c r="N191" s="801"/>
      <c r="O191" s="398"/>
      <c r="P191" s="779"/>
      <c r="Q191" s="398"/>
      <c r="R191" s="398"/>
      <c r="S191" s="398"/>
      <c r="T191" s="738"/>
      <c r="U191" s="738"/>
      <c r="V191" s="738"/>
    </row>
    <row r="192" spans="1:22" ht="15.75" customHeight="1">
      <c r="A192" s="350"/>
      <c r="B192" s="589"/>
      <c r="C192" s="401"/>
      <c r="D192" s="401"/>
      <c r="E192" s="401"/>
      <c r="F192" s="401"/>
      <c r="G192" s="401"/>
      <c r="H192" s="401"/>
      <c r="I192" s="401"/>
      <c r="J192" s="401"/>
      <c r="K192" s="401"/>
      <c r="L192" s="401"/>
      <c r="M192" s="474">
        <f>SUM(M186:M191)</f>
        <v>97.6</v>
      </c>
      <c r="N192" s="1105" t="s">
        <v>117</v>
      </c>
      <c r="O192" s="784">
        <f>ROUND((M192),2)</f>
        <v>97.6</v>
      </c>
      <c r="P192" s="779"/>
      <c r="Q192" s="398"/>
      <c r="R192" s="398"/>
      <c r="S192" s="398"/>
      <c r="T192" s="738"/>
      <c r="U192" s="738"/>
      <c r="V192" s="738"/>
    </row>
    <row r="193" spans="1:24" ht="15.75" customHeight="1">
      <c r="A193" s="421">
        <f>A185+1</f>
        <v>6</v>
      </c>
      <c r="B193" s="422" t="s">
        <v>436</v>
      </c>
      <c r="C193" s="401"/>
      <c r="D193" s="401"/>
      <c r="E193" s="401"/>
      <c r="F193" s="401"/>
      <c r="G193" s="401"/>
      <c r="H193" s="401"/>
      <c r="I193" s="401"/>
      <c r="J193" s="401"/>
      <c r="K193" s="401"/>
      <c r="L193" s="401"/>
      <c r="M193" s="474"/>
      <c r="N193" s="1105"/>
      <c r="O193" s="784"/>
      <c r="P193" s="779"/>
      <c r="Q193" s="398"/>
      <c r="R193" s="398"/>
      <c r="S193" s="398"/>
      <c r="T193" s="738"/>
      <c r="U193" s="738"/>
      <c r="V193" s="738"/>
    </row>
    <row r="194" spans="1:24" ht="15.75" customHeight="1">
      <c r="A194" s="350"/>
      <c r="B194" s="567" t="s">
        <v>1149</v>
      </c>
      <c r="C194" s="382">
        <v>1.264</v>
      </c>
      <c r="D194" s="382"/>
      <c r="E194" s="382">
        <v>0.90500000000000003</v>
      </c>
      <c r="F194" s="330"/>
      <c r="G194" s="330"/>
      <c r="H194" s="330"/>
      <c r="I194" s="330"/>
      <c r="J194" s="330"/>
      <c r="K194" s="330"/>
      <c r="L194" s="330">
        <f>L167</f>
        <v>2</v>
      </c>
      <c r="M194" s="330">
        <f>C194*E194*L194</f>
        <v>2.2878400000000001</v>
      </c>
      <c r="N194" s="562"/>
      <c r="O194" s="784"/>
      <c r="P194" s="779"/>
      <c r="Q194" s="398"/>
      <c r="R194" s="398"/>
      <c r="S194" s="398"/>
      <c r="T194" s="738"/>
      <c r="U194" s="738"/>
      <c r="V194" s="738"/>
    </row>
    <row r="195" spans="1:24" ht="15.75" customHeight="1">
      <c r="A195" s="350"/>
      <c r="B195" s="351"/>
      <c r="C195" s="382">
        <v>1.2749999999999999</v>
      </c>
      <c r="D195" s="382"/>
      <c r="E195" s="382">
        <v>0.90500000000000003</v>
      </c>
      <c r="F195" s="330"/>
      <c r="G195" s="330"/>
      <c r="H195" s="330"/>
      <c r="I195" s="330"/>
      <c r="J195" s="330"/>
      <c r="K195" s="330"/>
      <c r="L195" s="330">
        <f>L194</f>
        <v>2</v>
      </c>
      <c r="M195" s="330">
        <f>C195*E195*L195</f>
        <v>2.30775</v>
      </c>
      <c r="N195" s="562"/>
      <c r="O195" s="784"/>
      <c r="P195" s="779"/>
      <c r="Q195" s="398"/>
      <c r="R195" s="398"/>
      <c r="S195" s="398"/>
      <c r="T195" s="738"/>
      <c r="U195" s="738"/>
      <c r="V195" s="738"/>
    </row>
    <row r="196" spans="1:24" ht="15.75" customHeight="1">
      <c r="A196" s="350"/>
      <c r="B196" s="351"/>
      <c r="C196" s="382">
        <f>(1/2*1.264)</f>
        <v>0.63200000000000001</v>
      </c>
      <c r="D196" s="382"/>
      <c r="E196" s="382">
        <v>1.462</v>
      </c>
      <c r="F196" s="330"/>
      <c r="G196" s="330"/>
      <c r="H196" s="330"/>
      <c r="I196" s="330"/>
      <c r="J196" s="330"/>
      <c r="K196" s="330"/>
      <c r="L196" s="330">
        <f>L195</f>
        <v>2</v>
      </c>
      <c r="M196" s="752">
        <f>C196*E196*L196</f>
        <v>1.8479680000000001</v>
      </c>
      <c r="N196" s="562"/>
      <c r="O196" s="784"/>
      <c r="P196" s="779"/>
      <c r="Q196" s="398"/>
      <c r="R196" s="398"/>
      <c r="S196" s="398"/>
      <c r="T196" s="738"/>
      <c r="U196" s="738"/>
      <c r="V196" s="738"/>
    </row>
    <row r="197" spans="1:24" ht="15.75" customHeight="1">
      <c r="A197" s="350"/>
      <c r="B197" s="351"/>
      <c r="C197" s="330"/>
      <c r="D197" s="330"/>
      <c r="E197" s="330"/>
      <c r="F197" s="330"/>
      <c r="G197" s="330"/>
      <c r="H197" s="330"/>
      <c r="I197" s="330"/>
      <c r="J197" s="330"/>
      <c r="K197" s="330"/>
      <c r="L197" s="330"/>
      <c r="M197" s="474">
        <f>SUM(M195:M196)</f>
        <v>4.1557180000000002</v>
      </c>
      <c r="N197" s="562" t="s">
        <v>89</v>
      </c>
      <c r="O197" s="784">
        <f>ROUND((M197),2)</f>
        <v>4.16</v>
      </c>
      <c r="P197" s="779"/>
      <c r="Q197" s="398"/>
      <c r="R197" s="398"/>
      <c r="S197" s="398"/>
      <c r="T197" s="738"/>
      <c r="U197" s="738"/>
      <c r="V197" s="738"/>
    </row>
    <row r="198" spans="1:24" ht="15.75" customHeight="1">
      <c r="A198" s="350">
        <f>A193+1</f>
        <v>7</v>
      </c>
      <c r="B198" s="351" t="s">
        <v>443</v>
      </c>
      <c r="C198" s="401">
        <v>9.25</v>
      </c>
      <c r="D198" s="401">
        <f>3.743*2</f>
        <v>7.4859999999999998</v>
      </c>
      <c r="E198" s="401"/>
      <c r="F198" s="401"/>
      <c r="G198" s="401"/>
      <c r="H198" s="401"/>
      <c r="I198" s="401"/>
      <c r="J198" s="401"/>
      <c r="K198" s="401"/>
      <c r="L198" s="401"/>
      <c r="M198" s="401">
        <f>C198*D198</f>
        <v>69.245499999999993</v>
      </c>
      <c r="N198" s="801" t="s">
        <v>89</v>
      </c>
      <c r="O198" s="784">
        <f>ROUND((M198),2)</f>
        <v>69.25</v>
      </c>
      <c r="P198" s="779"/>
      <c r="Q198" s="398"/>
      <c r="R198" s="398"/>
      <c r="S198" s="398"/>
      <c r="T198" s="738"/>
      <c r="U198" s="738"/>
      <c r="V198" s="738"/>
    </row>
    <row r="199" spans="1:24" ht="15.75" customHeight="1">
      <c r="A199" s="350">
        <f>A198+1</f>
        <v>8</v>
      </c>
      <c r="B199" s="351" t="s">
        <v>1500</v>
      </c>
      <c r="C199" s="401">
        <f>C198</f>
        <v>9.25</v>
      </c>
      <c r="D199" s="401">
        <f>D198</f>
        <v>7.4859999999999998</v>
      </c>
      <c r="E199" s="401"/>
      <c r="F199" s="401"/>
      <c r="G199" s="401"/>
      <c r="H199" s="401"/>
      <c r="I199" s="401"/>
      <c r="J199" s="401"/>
      <c r="K199" s="401"/>
      <c r="L199" s="401"/>
      <c r="M199" s="401">
        <f>C199*D199</f>
        <v>69.245499999999993</v>
      </c>
      <c r="N199" s="801" t="s">
        <v>89</v>
      </c>
      <c r="O199" s="784">
        <f>ROUND((M199),2)</f>
        <v>69.25</v>
      </c>
      <c r="P199" s="779"/>
      <c r="Q199" s="398"/>
      <c r="R199" s="398"/>
      <c r="S199" s="398"/>
      <c r="T199" s="738"/>
      <c r="U199" s="738"/>
      <c r="V199" s="738"/>
    </row>
    <row r="200" spans="1:24" ht="15.75" customHeight="1">
      <c r="A200" s="350">
        <f>A199+1</f>
        <v>9</v>
      </c>
      <c r="B200" s="351" t="s">
        <v>1501</v>
      </c>
      <c r="C200" s="401">
        <f>C199</f>
        <v>9.25</v>
      </c>
      <c r="D200" s="401"/>
      <c r="E200" s="401"/>
      <c r="F200" s="401"/>
      <c r="G200" s="401"/>
      <c r="H200" s="401"/>
      <c r="I200" s="401"/>
      <c r="J200" s="401"/>
      <c r="K200" s="401"/>
      <c r="L200" s="401"/>
      <c r="M200" s="401">
        <f>C200</f>
        <v>9.25</v>
      </c>
      <c r="N200" s="801" t="s">
        <v>117</v>
      </c>
      <c r="O200" s="784"/>
      <c r="P200" s="779"/>
      <c r="Q200" s="398"/>
      <c r="R200" s="398"/>
      <c r="S200" s="398"/>
      <c r="T200" s="738"/>
      <c r="U200" s="738"/>
      <c r="V200" s="738"/>
    </row>
    <row r="201" spans="1:24" s="554" customFormat="1" ht="15.75" customHeight="1">
      <c r="A201" s="751">
        <f>A200+1</f>
        <v>10</v>
      </c>
      <c r="B201" s="591" t="s">
        <v>443</v>
      </c>
      <c r="C201" s="348"/>
      <c r="D201" s="348"/>
      <c r="E201" s="348"/>
      <c r="F201" s="348"/>
      <c r="G201" s="348"/>
      <c r="H201" s="348"/>
      <c r="I201" s="348"/>
      <c r="J201" s="348"/>
      <c r="K201" s="348"/>
      <c r="L201" s="348"/>
      <c r="M201" s="343"/>
      <c r="N201" s="349"/>
      <c r="O201" s="784"/>
      <c r="Q201" s="398"/>
      <c r="R201" s="564"/>
      <c r="S201" s="398"/>
      <c r="T201" s="398"/>
      <c r="U201" s="398"/>
      <c r="V201" s="555"/>
      <c r="W201" s="555"/>
      <c r="X201" s="555"/>
    </row>
    <row r="202" spans="1:24" s="554" customFormat="1" ht="37.5" customHeight="1">
      <c r="A202" s="355" t="s">
        <v>95</v>
      </c>
      <c r="B202" s="593" t="s">
        <v>537</v>
      </c>
      <c r="C202" s="348">
        <v>4.3479999999999999</v>
      </c>
      <c r="D202" s="493"/>
      <c r="E202" s="348"/>
      <c r="F202" s="348"/>
      <c r="G202" s="348"/>
      <c r="H202" s="348"/>
      <c r="I202" s="348"/>
      <c r="J202" s="348">
        <v>8</v>
      </c>
      <c r="K202" s="348">
        <v>1</v>
      </c>
      <c r="L202" s="348">
        <v>1</v>
      </c>
      <c r="M202" s="343">
        <f>L202*K202*J202*C202</f>
        <v>34.783999999999999</v>
      </c>
      <c r="N202" s="349" t="s">
        <v>89</v>
      </c>
      <c r="O202" s="784"/>
      <c r="Q202" s="398"/>
      <c r="R202" s="564"/>
      <c r="S202" s="398"/>
      <c r="T202" s="398"/>
      <c r="U202" s="398"/>
      <c r="V202" s="555"/>
      <c r="W202" s="555"/>
      <c r="X202" s="555"/>
    </row>
    <row r="203" spans="1:24" s="554" customFormat="1" ht="28.5" customHeight="1">
      <c r="A203" s="355" t="s">
        <v>98</v>
      </c>
      <c r="B203" s="593" t="s">
        <v>538</v>
      </c>
      <c r="C203" s="348">
        <f>C211</f>
        <v>9.25</v>
      </c>
      <c r="D203" s="493"/>
      <c r="E203" s="348"/>
      <c r="F203" s="348"/>
      <c r="G203" s="348"/>
      <c r="H203" s="348"/>
      <c r="I203" s="348"/>
      <c r="J203" s="348"/>
      <c r="K203" s="348">
        <f>ROUNDUP((D207/0.5),0)</f>
        <v>8</v>
      </c>
      <c r="L203" s="348">
        <v>2</v>
      </c>
      <c r="M203" s="343">
        <f>L203*K203*C203</f>
        <v>148</v>
      </c>
      <c r="N203" s="349" t="s">
        <v>1178</v>
      </c>
      <c r="O203" s="784"/>
      <c r="Q203" s="398"/>
      <c r="R203" s="564"/>
      <c r="S203" s="398"/>
      <c r="T203" s="398"/>
      <c r="U203" s="398"/>
      <c r="V203" s="555"/>
      <c r="W203" s="555"/>
      <c r="X203" s="555"/>
    </row>
    <row r="204" spans="1:24" s="554" customFormat="1" ht="15.75" customHeight="1">
      <c r="A204" s="355" t="s">
        <v>101</v>
      </c>
      <c r="B204" s="351" t="s">
        <v>823</v>
      </c>
      <c r="C204" s="348"/>
      <c r="D204" s="352"/>
      <c r="E204" s="348"/>
      <c r="F204" s="348"/>
      <c r="G204" s="348"/>
      <c r="H204" s="348"/>
      <c r="I204" s="348"/>
      <c r="J204" s="348"/>
      <c r="K204" s="348"/>
      <c r="L204" s="348"/>
      <c r="M204" s="565">
        <f>SUM(M205:M206)</f>
        <v>64</v>
      </c>
      <c r="N204" s="349" t="s">
        <v>824</v>
      </c>
      <c r="O204" s="784"/>
      <c r="Q204" s="398"/>
      <c r="R204" s="564"/>
      <c r="S204" s="398"/>
      <c r="T204" s="398"/>
      <c r="U204" s="398"/>
      <c r="V204" s="555"/>
      <c r="W204" s="555"/>
      <c r="X204" s="555"/>
    </row>
    <row r="205" spans="1:24" s="554" customFormat="1" ht="15.75" customHeight="1">
      <c r="A205" s="355"/>
      <c r="B205" s="589" t="s">
        <v>1024</v>
      </c>
      <c r="C205" s="348"/>
      <c r="D205" s="352"/>
      <c r="E205" s="348"/>
      <c r="F205" s="348">
        <v>2</v>
      </c>
      <c r="G205" s="348">
        <v>2</v>
      </c>
      <c r="H205" s="348">
        <v>2</v>
      </c>
      <c r="I205" s="348"/>
      <c r="J205" s="348"/>
      <c r="K205" s="348"/>
      <c r="L205" s="348">
        <f>J202</f>
        <v>8</v>
      </c>
      <c r="M205" s="343">
        <f>L205*H205*G205*F205</f>
        <v>64</v>
      </c>
      <c r="N205" s="349" t="s">
        <v>824</v>
      </c>
      <c r="O205" s="784"/>
      <c r="Q205" s="398"/>
      <c r="R205" s="564"/>
      <c r="S205" s="398"/>
      <c r="T205" s="398"/>
      <c r="U205" s="398"/>
      <c r="V205" s="555"/>
      <c r="W205" s="555"/>
      <c r="X205" s="555"/>
    </row>
    <row r="206" spans="1:24" s="554" customFormat="1" ht="15.75" customHeight="1">
      <c r="A206" s="355"/>
      <c r="B206" s="589" t="s">
        <v>1025</v>
      </c>
      <c r="C206" s="348"/>
      <c r="D206" s="352"/>
      <c r="E206" s="348"/>
      <c r="F206" s="348">
        <v>2</v>
      </c>
      <c r="G206" s="348">
        <v>5</v>
      </c>
      <c r="H206" s="348">
        <v>1</v>
      </c>
      <c r="I206" s="348"/>
      <c r="J206" s="348"/>
      <c r="K206" s="348"/>
      <c r="L206" s="348">
        <v>0</v>
      </c>
      <c r="M206" s="343">
        <f>L206*H206*G206*F206</f>
        <v>0</v>
      </c>
      <c r="N206" s="349" t="s">
        <v>824</v>
      </c>
      <c r="O206" s="784"/>
      <c r="Q206" s="398"/>
      <c r="R206" s="564"/>
      <c r="S206" s="398"/>
      <c r="T206" s="398"/>
      <c r="U206" s="398"/>
      <c r="V206" s="555"/>
      <c r="W206" s="555"/>
      <c r="X206" s="555"/>
    </row>
    <row r="207" spans="1:24" s="554" customFormat="1" ht="15.75" customHeight="1">
      <c r="A207" s="355" t="s">
        <v>121</v>
      </c>
      <c r="B207" s="351" t="s">
        <v>1179</v>
      </c>
      <c r="C207" s="348">
        <f>C203</f>
        <v>9.25</v>
      </c>
      <c r="D207" s="594">
        <f>C212</f>
        <v>3.7469999999999999</v>
      </c>
      <c r="E207" s="348"/>
      <c r="F207" s="348"/>
      <c r="G207" s="348"/>
      <c r="H207" s="348"/>
      <c r="I207" s="348"/>
      <c r="J207" s="348"/>
      <c r="K207" s="348"/>
      <c r="L207" s="348">
        <v>2</v>
      </c>
      <c r="M207" s="343">
        <f>L207*D207*C207</f>
        <v>69.319500000000005</v>
      </c>
      <c r="N207" s="349" t="s">
        <v>89</v>
      </c>
      <c r="O207" s="784"/>
      <c r="Q207" s="398"/>
      <c r="R207" s="564"/>
      <c r="S207" s="398"/>
      <c r="T207" s="398"/>
      <c r="U207" s="398"/>
      <c r="V207" s="555"/>
      <c r="W207" s="555"/>
      <c r="X207" s="555"/>
    </row>
    <row r="208" spans="1:24" s="554" customFormat="1" ht="15.75" customHeight="1">
      <c r="A208" s="355" t="s">
        <v>142</v>
      </c>
      <c r="B208" s="351" t="s">
        <v>1180</v>
      </c>
      <c r="C208" s="348">
        <f>C207</f>
        <v>9.25</v>
      </c>
      <c r="D208" s="352"/>
      <c r="E208" s="348"/>
      <c r="F208" s="348"/>
      <c r="G208" s="348"/>
      <c r="H208" s="348"/>
      <c r="I208" s="348"/>
      <c r="J208" s="348"/>
      <c r="K208" s="348"/>
      <c r="L208" s="348"/>
      <c r="M208" s="343">
        <f>C208</f>
        <v>9.25</v>
      </c>
      <c r="N208" s="349" t="s">
        <v>1178</v>
      </c>
      <c r="O208" s="784"/>
      <c r="Q208" s="398"/>
      <c r="R208" s="564"/>
      <c r="S208" s="398"/>
      <c r="T208" s="398"/>
      <c r="U208" s="398"/>
      <c r="V208" s="555"/>
      <c r="W208" s="555"/>
      <c r="X208" s="555"/>
    </row>
    <row r="209" spans="1:24" s="554" customFormat="1" ht="15.75" customHeight="1">
      <c r="A209" s="350"/>
      <c r="B209" s="567"/>
      <c r="C209" s="348"/>
      <c r="D209" s="348"/>
      <c r="E209" s="348"/>
      <c r="F209" s="348"/>
      <c r="G209" s="348"/>
      <c r="H209" s="348"/>
      <c r="I209" s="348"/>
      <c r="J209" s="348"/>
      <c r="K209" s="348"/>
      <c r="L209" s="348"/>
      <c r="M209" s="343"/>
      <c r="N209" s="349"/>
      <c r="O209" s="784"/>
      <c r="Q209" s="398"/>
      <c r="R209" s="564"/>
      <c r="S209" s="398"/>
      <c r="T209" s="398"/>
      <c r="U209" s="398"/>
      <c r="V209" s="555"/>
      <c r="W209" s="555"/>
      <c r="X209" s="555"/>
    </row>
    <row r="210" spans="1:24" ht="15.75" customHeight="1">
      <c r="A210" s="350">
        <f>A201+1</f>
        <v>11</v>
      </c>
      <c r="B210" s="351" t="s">
        <v>1502</v>
      </c>
      <c r="C210" s="401"/>
      <c r="D210" s="401"/>
      <c r="E210" s="401"/>
      <c r="F210" s="401"/>
      <c r="G210" s="401"/>
      <c r="H210" s="401"/>
      <c r="I210" s="401"/>
      <c r="J210" s="401"/>
      <c r="K210" s="401"/>
      <c r="L210" s="401"/>
      <c r="M210" s="401"/>
      <c r="N210" s="801"/>
      <c r="O210" s="784"/>
      <c r="P210" s="779"/>
      <c r="Q210" s="398"/>
      <c r="R210" s="398"/>
      <c r="S210" s="398"/>
      <c r="T210" s="738"/>
      <c r="U210" s="738"/>
      <c r="V210" s="738"/>
    </row>
    <row r="211" spans="1:24" ht="15.75" customHeight="1">
      <c r="A211" s="751"/>
      <c r="B211" s="1111"/>
      <c r="C211" s="401">
        <f>C198</f>
        <v>9.25</v>
      </c>
      <c r="D211" s="401"/>
      <c r="E211" s="401"/>
      <c r="F211" s="401"/>
      <c r="G211" s="401"/>
      <c r="H211" s="401"/>
      <c r="I211" s="401"/>
      <c r="J211" s="401"/>
      <c r="K211" s="401"/>
      <c r="L211" s="401"/>
      <c r="M211" s="401">
        <f>C211</f>
        <v>9.25</v>
      </c>
      <c r="N211" s="801"/>
      <c r="O211" s="398"/>
      <c r="P211" s="779"/>
      <c r="Q211" s="398"/>
      <c r="R211" s="398"/>
      <c r="S211" s="398"/>
      <c r="T211" s="738"/>
      <c r="U211" s="738"/>
      <c r="V211" s="738"/>
    </row>
    <row r="212" spans="1:24" ht="15.75" customHeight="1">
      <c r="A212" s="751"/>
      <c r="B212" s="1111"/>
      <c r="C212" s="401">
        <f>1.891+1.856</f>
        <v>3.7469999999999999</v>
      </c>
      <c r="D212" s="401"/>
      <c r="E212" s="401"/>
      <c r="F212" s="401"/>
      <c r="G212" s="401"/>
      <c r="H212" s="401">
        <v>2</v>
      </c>
      <c r="I212" s="401"/>
      <c r="J212" s="401"/>
      <c r="K212" s="401">
        <v>2</v>
      </c>
      <c r="L212" s="401"/>
      <c r="M212" s="752">
        <f>C212*H212*K212</f>
        <v>14.988</v>
      </c>
      <c r="N212" s="801"/>
      <c r="O212" s="398"/>
      <c r="P212" s="779"/>
      <c r="Q212" s="398"/>
      <c r="R212" s="398"/>
      <c r="S212" s="398"/>
      <c r="T212" s="738"/>
      <c r="U212" s="738"/>
      <c r="V212" s="738"/>
    </row>
    <row r="213" spans="1:24" ht="15.75" customHeight="1">
      <c r="A213" s="751"/>
      <c r="B213" s="1111"/>
      <c r="C213" s="401"/>
      <c r="D213" s="401"/>
      <c r="E213" s="401"/>
      <c r="F213" s="401"/>
      <c r="G213" s="401"/>
      <c r="H213" s="401"/>
      <c r="I213" s="401"/>
      <c r="J213" s="401"/>
      <c r="K213" s="401"/>
      <c r="L213" s="401"/>
      <c r="M213" s="474">
        <f>SUM(M211:M212)</f>
        <v>24.238</v>
      </c>
      <c r="N213" s="1105" t="s">
        <v>117</v>
      </c>
      <c r="O213" s="784">
        <f>ROUND((M213),2)</f>
        <v>24.24</v>
      </c>
      <c r="P213" s="779"/>
      <c r="Q213" s="398"/>
      <c r="R213" s="398"/>
      <c r="S213" s="398"/>
      <c r="T213" s="738"/>
      <c r="U213" s="738"/>
      <c r="V213" s="738"/>
    </row>
    <row r="214" spans="1:24" ht="15.75" customHeight="1">
      <c r="A214" s="350">
        <f>A210+1</f>
        <v>12</v>
      </c>
      <c r="B214" s="351" t="s">
        <v>541</v>
      </c>
      <c r="C214" s="401">
        <v>7.5</v>
      </c>
      <c r="D214" s="401">
        <v>3</v>
      </c>
      <c r="E214" s="401"/>
      <c r="F214" s="401"/>
      <c r="G214" s="401"/>
      <c r="H214" s="401"/>
      <c r="I214" s="401"/>
      <c r="J214" s="401"/>
      <c r="K214" s="401"/>
      <c r="L214" s="401"/>
      <c r="M214" s="401">
        <f>C214*D214</f>
        <v>22.5</v>
      </c>
      <c r="N214" s="801" t="s">
        <v>89</v>
      </c>
      <c r="O214" s="784">
        <f>ROUND((M214),2)</f>
        <v>22.5</v>
      </c>
      <c r="P214" s="779"/>
      <c r="Q214" s="398"/>
      <c r="R214" s="398"/>
      <c r="S214" s="398"/>
      <c r="T214" s="738"/>
      <c r="U214" s="738"/>
      <c r="V214" s="738"/>
    </row>
    <row r="215" spans="1:24" ht="15.75" customHeight="1">
      <c r="A215" s="350">
        <f>A214+1</f>
        <v>13</v>
      </c>
      <c r="B215" s="351" t="s">
        <v>703</v>
      </c>
      <c r="C215" s="401"/>
      <c r="D215" s="401"/>
      <c r="E215" s="401"/>
      <c r="F215" s="401"/>
      <c r="G215" s="401"/>
      <c r="H215" s="401"/>
      <c r="I215" s="401"/>
      <c r="J215" s="401"/>
      <c r="K215" s="401"/>
      <c r="L215" s="401"/>
      <c r="M215" s="401"/>
      <c r="N215" s="801"/>
      <c r="O215" s="398"/>
      <c r="P215" s="779"/>
      <c r="Q215" s="1112" t="s">
        <v>1503</v>
      </c>
      <c r="R215" s="398"/>
      <c r="S215" s="398"/>
      <c r="T215" s="738"/>
      <c r="U215" s="738"/>
      <c r="V215" s="738"/>
    </row>
    <row r="216" spans="1:24" ht="15.75" customHeight="1">
      <c r="A216" s="350"/>
      <c r="B216" s="351"/>
      <c r="C216" s="401">
        <v>1.7</v>
      </c>
      <c r="D216" s="401"/>
      <c r="E216" s="401">
        <v>1.2</v>
      </c>
      <c r="F216" s="401"/>
      <c r="G216" s="401"/>
      <c r="H216" s="401">
        <v>2</v>
      </c>
      <c r="I216" s="401"/>
      <c r="J216" s="401"/>
      <c r="K216" s="401"/>
      <c r="L216" s="401">
        <v>5</v>
      </c>
      <c r="M216" s="401">
        <f>C216*E216*H216*L216</f>
        <v>20.399999999999999</v>
      </c>
      <c r="N216" s="801"/>
      <c r="O216" s="398"/>
      <c r="P216" s="779"/>
      <c r="Q216" s="398"/>
      <c r="R216" s="398"/>
      <c r="S216" s="398"/>
      <c r="T216" s="738"/>
      <c r="U216" s="738"/>
      <c r="V216" s="738"/>
    </row>
    <row r="217" spans="1:24" ht="15.75" customHeight="1">
      <c r="A217" s="350"/>
      <c r="B217" s="351"/>
      <c r="C217" s="401"/>
      <c r="D217" s="401">
        <v>1.3</v>
      </c>
      <c r="E217" s="401">
        <f>E216</f>
        <v>1.2</v>
      </c>
      <c r="F217" s="401"/>
      <c r="G217" s="401"/>
      <c r="H217" s="401">
        <f>H216</f>
        <v>2</v>
      </c>
      <c r="I217" s="401"/>
      <c r="J217" s="401"/>
      <c r="K217" s="401"/>
      <c r="L217" s="401">
        <f>L216</f>
        <v>5</v>
      </c>
      <c r="M217" s="401">
        <f>D217*E217*H217*L217</f>
        <v>15.600000000000001</v>
      </c>
      <c r="N217" s="801"/>
      <c r="O217" s="398"/>
      <c r="P217" s="779"/>
      <c r="Q217" s="398"/>
      <c r="R217" s="398"/>
      <c r="S217" s="398"/>
      <c r="T217" s="738"/>
      <c r="U217" s="738"/>
      <c r="V217" s="738"/>
    </row>
    <row r="218" spans="1:24" ht="15.75" customHeight="1">
      <c r="A218" s="350"/>
      <c r="B218" s="589" t="s">
        <v>1282</v>
      </c>
      <c r="C218" s="401"/>
      <c r="D218" s="401">
        <f>D186</f>
        <v>0.8</v>
      </c>
      <c r="E218" s="401">
        <f>E187</f>
        <v>2</v>
      </c>
      <c r="F218" s="401"/>
      <c r="G218" s="401"/>
      <c r="H218" s="401"/>
      <c r="I218" s="401"/>
      <c r="J218" s="401"/>
      <c r="K218" s="401"/>
      <c r="L218" s="401">
        <f>L217</f>
        <v>5</v>
      </c>
      <c r="M218" s="401">
        <f>-D218*E218*L218</f>
        <v>-8</v>
      </c>
      <c r="N218" s="801"/>
      <c r="O218" s="398"/>
      <c r="P218" s="779"/>
      <c r="Q218" s="398"/>
      <c r="R218" s="398"/>
      <c r="S218" s="398"/>
      <c r="T218" s="738"/>
      <c r="U218" s="738"/>
      <c r="V218" s="738"/>
    </row>
    <row r="219" spans="1:24" ht="15.75" customHeight="1">
      <c r="A219" s="350"/>
      <c r="B219" s="589" t="s">
        <v>1499</v>
      </c>
      <c r="C219" s="401">
        <f>C188</f>
        <v>1</v>
      </c>
      <c r="D219" s="401"/>
      <c r="E219" s="401">
        <f>E189</f>
        <v>0.5</v>
      </c>
      <c r="F219" s="401"/>
      <c r="G219" s="401"/>
      <c r="H219" s="401"/>
      <c r="I219" s="401"/>
      <c r="J219" s="401"/>
      <c r="K219" s="401"/>
      <c r="L219" s="401">
        <f>L218</f>
        <v>5</v>
      </c>
      <c r="M219" s="752">
        <f>-C219*E219*L219</f>
        <v>-2.5</v>
      </c>
      <c r="N219" s="801"/>
      <c r="O219" s="398"/>
      <c r="P219" s="779"/>
      <c r="Q219" s="398"/>
      <c r="R219" s="398"/>
      <c r="S219" s="398"/>
      <c r="T219" s="738"/>
      <c r="U219" s="738"/>
      <c r="V219" s="738"/>
    </row>
    <row r="220" spans="1:24" ht="15.75" customHeight="1">
      <c r="A220" s="350"/>
      <c r="B220" s="351"/>
      <c r="C220" s="401"/>
      <c r="D220" s="401"/>
      <c r="E220" s="401"/>
      <c r="F220" s="401"/>
      <c r="G220" s="401"/>
      <c r="H220" s="401"/>
      <c r="I220" s="401"/>
      <c r="J220" s="401"/>
      <c r="K220" s="401"/>
      <c r="L220" s="401"/>
      <c r="M220" s="474">
        <f>SUM(M216:M219)</f>
        <v>25.5</v>
      </c>
      <c r="N220" s="1105" t="s">
        <v>89</v>
      </c>
      <c r="O220" s="784">
        <f>ROUND((M220),2)</f>
        <v>25.5</v>
      </c>
      <c r="P220" s="779"/>
      <c r="Q220" s="398"/>
      <c r="R220" s="398"/>
      <c r="S220" s="398"/>
      <c r="T220" s="738"/>
      <c r="U220" s="738"/>
      <c r="V220" s="738"/>
    </row>
    <row r="221" spans="1:24" ht="27.75" customHeight="1">
      <c r="A221" s="350">
        <f>A215+1</f>
        <v>14</v>
      </c>
      <c r="B221" s="593" t="s">
        <v>1504</v>
      </c>
      <c r="C221" s="401"/>
      <c r="D221" s="401"/>
      <c r="E221" s="401"/>
      <c r="F221" s="401"/>
      <c r="G221" s="401"/>
      <c r="H221" s="401"/>
      <c r="I221" s="401"/>
      <c r="J221" s="401"/>
      <c r="K221" s="401">
        <v>5</v>
      </c>
      <c r="L221" s="401">
        <v>5</v>
      </c>
      <c r="M221" s="474">
        <f>K221</f>
        <v>5</v>
      </c>
      <c r="N221" s="1105" t="s">
        <v>360</v>
      </c>
      <c r="O221" s="784">
        <f>ROUND((M221),2)</f>
        <v>5</v>
      </c>
      <c r="P221" s="779"/>
      <c r="Q221" s="398"/>
      <c r="R221" s="398"/>
      <c r="S221" s="398"/>
      <c r="T221" s="738"/>
      <c r="U221" s="738"/>
      <c r="V221" s="738"/>
    </row>
    <row r="222" spans="1:24" ht="15.75" customHeight="1">
      <c r="A222" s="350">
        <f>A221+1</f>
        <v>15</v>
      </c>
      <c r="B222" s="351" t="s">
        <v>1505</v>
      </c>
      <c r="C222" s="401"/>
      <c r="D222" s="401"/>
      <c r="E222" s="401"/>
      <c r="F222" s="401"/>
      <c r="G222" s="401"/>
      <c r="H222" s="401"/>
      <c r="I222" s="401"/>
      <c r="J222" s="401"/>
      <c r="K222" s="401"/>
      <c r="L222" s="401"/>
      <c r="M222" s="474"/>
      <c r="N222" s="1105"/>
      <c r="O222" s="784"/>
      <c r="P222" s="779"/>
      <c r="Q222" s="398"/>
      <c r="R222" s="398"/>
      <c r="S222" s="398"/>
      <c r="T222" s="738"/>
      <c r="U222" s="738"/>
      <c r="V222" s="738"/>
    </row>
    <row r="223" spans="1:24" ht="15.75" customHeight="1">
      <c r="A223" s="355" t="s">
        <v>95</v>
      </c>
      <c r="B223" s="351" t="s">
        <v>566</v>
      </c>
      <c r="C223" s="330"/>
      <c r="D223" s="330">
        <v>0.8</v>
      </c>
      <c r="E223" s="330">
        <v>0.5</v>
      </c>
      <c r="F223" s="330"/>
      <c r="G223" s="330"/>
      <c r="H223" s="401"/>
      <c r="I223" s="401"/>
      <c r="J223" s="401"/>
      <c r="K223" s="330">
        <v>2</v>
      </c>
      <c r="L223" s="401">
        <v>5</v>
      </c>
      <c r="M223" s="474">
        <f>(D223+E223)*K223*L223</f>
        <v>13</v>
      </c>
      <c r="N223" s="562" t="s">
        <v>117</v>
      </c>
      <c r="O223" s="784">
        <f>ROUND((M223),2)</f>
        <v>13</v>
      </c>
      <c r="P223" s="779"/>
      <c r="Q223" s="398"/>
      <c r="R223" s="398"/>
      <c r="S223" s="398"/>
      <c r="T223" s="738"/>
      <c r="U223" s="738"/>
      <c r="V223" s="738"/>
    </row>
    <row r="224" spans="1:24" ht="15.75" customHeight="1">
      <c r="A224" s="355" t="s">
        <v>98</v>
      </c>
      <c r="B224" s="351" t="s">
        <v>567</v>
      </c>
      <c r="C224" s="330"/>
      <c r="D224" s="330">
        <v>0.8</v>
      </c>
      <c r="E224" s="330">
        <v>0.5</v>
      </c>
      <c r="F224" s="330"/>
      <c r="G224" s="330"/>
      <c r="H224" s="401"/>
      <c r="I224" s="401"/>
      <c r="J224" s="401"/>
      <c r="K224" s="330"/>
      <c r="L224" s="401">
        <v>5</v>
      </c>
      <c r="M224" s="474">
        <f>D224*E224*L224</f>
        <v>2</v>
      </c>
      <c r="N224" s="562" t="s">
        <v>89</v>
      </c>
      <c r="O224" s="784">
        <f>ROUND((M224),2)</f>
        <v>2</v>
      </c>
      <c r="P224" s="779"/>
      <c r="Q224" s="398"/>
      <c r="R224" s="398"/>
      <c r="S224" s="398"/>
      <c r="T224" s="738"/>
      <c r="U224" s="738"/>
      <c r="V224" s="738"/>
    </row>
    <row r="225" spans="1:22" ht="15.75" customHeight="1">
      <c r="A225" s="350">
        <f>A222+1</f>
        <v>16</v>
      </c>
      <c r="B225" s="351" t="s">
        <v>1506</v>
      </c>
      <c r="C225" s="401">
        <v>7.5</v>
      </c>
      <c r="D225" s="401">
        <v>3</v>
      </c>
      <c r="E225" s="401"/>
      <c r="F225" s="401"/>
      <c r="G225" s="401"/>
      <c r="H225" s="401"/>
      <c r="I225" s="401"/>
      <c r="J225" s="401"/>
      <c r="K225" s="401"/>
      <c r="L225" s="401"/>
      <c r="M225" s="401">
        <f>C225*D225</f>
        <v>22.5</v>
      </c>
      <c r="N225" s="801" t="s">
        <v>89</v>
      </c>
      <c r="O225" s="784">
        <f>ROUND((M225),2)</f>
        <v>22.5</v>
      </c>
      <c r="P225" s="779"/>
      <c r="Q225" s="398"/>
      <c r="R225" s="398"/>
      <c r="S225" s="398"/>
      <c r="T225" s="738"/>
      <c r="U225" s="738"/>
      <c r="V225" s="738"/>
    </row>
    <row r="226" spans="1:22" ht="15.75" customHeight="1">
      <c r="A226" s="350">
        <f>A225+1</f>
        <v>17</v>
      </c>
      <c r="B226" s="351" t="s">
        <v>1507</v>
      </c>
      <c r="C226" s="401"/>
      <c r="D226" s="401"/>
      <c r="E226" s="401"/>
      <c r="F226" s="401"/>
      <c r="G226" s="401"/>
      <c r="H226" s="401"/>
      <c r="I226" s="401"/>
      <c r="J226" s="401"/>
      <c r="K226" s="401"/>
      <c r="L226" s="401"/>
      <c r="M226" s="401"/>
      <c r="N226" s="801"/>
      <c r="O226" s="398"/>
      <c r="P226" s="779"/>
      <c r="Q226" s="398"/>
      <c r="R226" s="398"/>
      <c r="S226" s="398"/>
      <c r="T226" s="738"/>
      <c r="U226" s="738"/>
      <c r="V226" s="738"/>
    </row>
    <row r="227" spans="1:22" ht="15.75" customHeight="1">
      <c r="A227" s="350"/>
      <c r="B227" s="589" t="s">
        <v>1044</v>
      </c>
      <c r="C227" s="401">
        <v>0.8</v>
      </c>
      <c r="D227" s="401"/>
      <c r="E227" s="401"/>
      <c r="F227" s="401"/>
      <c r="G227" s="401"/>
      <c r="H227" s="401"/>
      <c r="I227" s="401"/>
      <c r="J227" s="401"/>
      <c r="K227" s="401">
        <v>5</v>
      </c>
      <c r="L227" s="401"/>
      <c r="M227" s="401">
        <f>C227*K227</f>
        <v>4</v>
      </c>
      <c r="N227" s="801"/>
      <c r="O227" s="398"/>
      <c r="P227" s="779"/>
      <c r="Q227" s="398"/>
      <c r="R227" s="398"/>
      <c r="S227" s="398"/>
      <c r="T227" s="738"/>
      <c r="U227" s="738"/>
      <c r="V227" s="738"/>
    </row>
    <row r="228" spans="1:22" ht="15.75" customHeight="1">
      <c r="A228" s="350"/>
      <c r="B228" s="589"/>
      <c r="C228" s="401">
        <v>4.3</v>
      </c>
      <c r="D228" s="401"/>
      <c r="E228" s="401"/>
      <c r="F228" s="401"/>
      <c r="G228" s="401"/>
      <c r="H228" s="401"/>
      <c r="I228" s="401"/>
      <c r="J228" s="401"/>
      <c r="K228" s="401"/>
      <c r="L228" s="401"/>
      <c r="M228" s="401">
        <f>C228</f>
        <v>4.3</v>
      </c>
      <c r="N228" s="801"/>
      <c r="O228" s="398"/>
      <c r="P228" s="779"/>
      <c r="Q228" s="398"/>
      <c r="R228" s="398"/>
      <c r="S228" s="398"/>
      <c r="T228" s="738"/>
      <c r="U228" s="738"/>
      <c r="V228" s="738"/>
    </row>
    <row r="229" spans="1:22" ht="15.75" customHeight="1">
      <c r="A229" s="350"/>
      <c r="B229" s="589"/>
      <c r="C229" s="401">
        <v>2.8</v>
      </c>
      <c r="D229" s="401"/>
      <c r="E229" s="401"/>
      <c r="F229" s="401"/>
      <c r="G229" s="401"/>
      <c r="H229" s="401"/>
      <c r="I229" s="401"/>
      <c r="J229" s="401"/>
      <c r="K229" s="401"/>
      <c r="L229" s="401"/>
      <c r="M229" s="401">
        <f>C229</f>
        <v>2.8</v>
      </c>
      <c r="N229" s="801"/>
      <c r="O229" s="398"/>
      <c r="P229" s="779"/>
      <c r="Q229" s="398"/>
      <c r="R229" s="398"/>
      <c r="S229" s="398"/>
      <c r="T229" s="738"/>
      <c r="U229" s="738"/>
      <c r="V229" s="738"/>
    </row>
    <row r="230" spans="1:22" ht="15.75" customHeight="1">
      <c r="A230" s="350"/>
      <c r="B230" s="589" t="s">
        <v>136</v>
      </c>
      <c r="C230" s="401"/>
      <c r="D230" s="401">
        <v>0.9</v>
      </c>
      <c r="E230" s="401"/>
      <c r="F230" s="401"/>
      <c r="G230" s="401"/>
      <c r="H230" s="401">
        <v>2</v>
      </c>
      <c r="I230" s="401"/>
      <c r="J230" s="401"/>
      <c r="K230" s="401"/>
      <c r="L230" s="401"/>
      <c r="M230" s="752">
        <f>D230*H230</f>
        <v>1.8</v>
      </c>
      <c r="N230" s="801"/>
      <c r="O230" s="398"/>
      <c r="P230" s="779"/>
      <c r="Q230" s="398"/>
      <c r="R230" s="398"/>
      <c r="S230" s="398"/>
      <c r="T230" s="738"/>
      <c r="U230" s="738"/>
      <c r="V230" s="738"/>
    </row>
    <row r="231" spans="1:22" ht="15.75" customHeight="1">
      <c r="A231" s="350"/>
      <c r="B231" s="351"/>
      <c r="C231" s="401"/>
      <c r="D231" s="401"/>
      <c r="E231" s="401"/>
      <c r="F231" s="401"/>
      <c r="G231" s="401"/>
      <c r="H231" s="401"/>
      <c r="I231" s="401"/>
      <c r="J231" s="401"/>
      <c r="K231" s="401"/>
      <c r="L231" s="401"/>
      <c r="M231" s="474">
        <f>SUM(M227:M230)</f>
        <v>12.900000000000002</v>
      </c>
      <c r="N231" s="1105" t="s">
        <v>117</v>
      </c>
      <c r="O231" s="784">
        <f>ROUND((M231),2)</f>
        <v>12.9</v>
      </c>
      <c r="P231" s="779"/>
      <c r="Q231" s="398"/>
      <c r="R231" s="398"/>
      <c r="S231" s="398"/>
      <c r="T231" s="738"/>
      <c r="U231" s="738"/>
      <c r="V231" s="738"/>
    </row>
    <row r="232" spans="1:22" ht="15.75" customHeight="1">
      <c r="A232" s="350">
        <f>A226+1</f>
        <v>18</v>
      </c>
      <c r="B232" s="351" t="s">
        <v>707</v>
      </c>
      <c r="C232" s="401"/>
      <c r="D232" s="401"/>
      <c r="E232" s="401"/>
      <c r="F232" s="401"/>
      <c r="G232" s="401"/>
      <c r="H232" s="401"/>
      <c r="I232" s="401"/>
      <c r="J232" s="401"/>
      <c r="K232" s="401"/>
      <c r="L232" s="401"/>
      <c r="M232" s="401"/>
      <c r="N232" s="801"/>
      <c r="O232" s="398"/>
      <c r="P232" s="779"/>
      <c r="Q232" s="398"/>
      <c r="R232" s="398"/>
      <c r="S232" s="398"/>
      <c r="T232" s="738"/>
      <c r="U232" s="738"/>
      <c r="V232" s="738"/>
    </row>
    <row r="233" spans="1:22" ht="15.75" customHeight="1">
      <c r="A233" s="350"/>
      <c r="B233" s="589" t="s">
        <v>1405</v>
      </c>
      <c r="C233" s="401"/>
      <c r="D233" s="401"/>
      <c r="E233" s="401"/>
      <c r="F233" s="401"/>
      <c r="G233" s="401"/>
      <c r="H233" s="401"/>
      <c r="I233" s="401"/>
      <c r="J233" s="401"/>
      <c r="K233" s="401"/>
      <c r="L233" s="401"/>
      <c r="M233" s="401">
        <f>M180</f>
        <v>186.76000000000005</v>
      </c>
      <c r="N233" s="801"/>
      <c r="O233" s="398"/>
      <c r="P233" s="779"/>
      <c r="Q233" s="398"/>
      <c r="R233" s="398"/>
      <c r="S233" s="398"/>
      <c r="T233" s="738"/>
      <c r="U233" s="738"/>
      <c r="V233" s="738"/>
    </row>
    <row r="234" spans="1:22" ht="15.75" customHeight="1">
      <c r="A234" s="350"/>
      <c r="B234" s="589" t="s">
        <v>1508</v>
      </c>
      <c r="C234" s="401"/>
      <c r="D234" s="401"/>
      <c r="E234" s="401"/>
      <c r="F234" s="401"/>
      <c r="G234" s="401"/>
      <c r="H234" s="401"/>
      <c r="I234" s="401"/>
      <c r="J234" s="401"/>
      <c r="K234" s="401"/>
      <c r="L234" s="401"/>
      <c r="M234" s="752">
        <f>M184*2</f>
        <v>10.56</v>
      </c>
      <c r="N234" s="801"/>
      <c r="O234" s="398"/>
      <c r="P234" s="779"/>
      <c r="Q234" s="398"/>
      <c r="R234" s="398"/>
      <c r="S234" s="398"/>
      <c r="T234" s="738"/>
      <c r="U234" s="738"/>
      <c r="V234" s="738"/>
    </row>
    <row r="235" spans="1:22" ht="15.75" customHeight="1">
      <c r="A235" s="350"/>
      <c r="B235" s="351"/>
      <c r="C235" s="401"/>
      <c r="D235" s="401"/>
      <c r="E235" s="401"/>
      <c r="F235" s="401"/>
      <c r="G235" s="401"/>
      <c r="H235" s="401"/>
      <c r="I235" s="401"/>
      <c r="J235" s="401"/>
      <c r="K235" s="401"/>
      <c r="L235" s="401"/>
      <c r="M235" s="474">
        <f>SUM(M233:M234)</f>
        <v>197.32000000000005</v>
      </c>
      <c r="N235" s="1105" t="s">
        <v>89</v>
      </c>
      <c r="O235" s="784">
        <f>ROUND((M235),2)</f>
        <v>197.32</v>
      </c>
      <c r="P235" s="779"/>
      <c r="Q235" s="398"/>
      <c r="R235" s="398"/>
      <c r="S235" s="398"/>
      <c r="T235" s="738"/>
      <c r="U235" s="738"/>
      <c r="V235" s="738"/>
    </row>
    <row r="236" spans="1:22" ht="15.75" customHeight="1">
      <c r="A236" s="350">
        <f>A232+1</f>
        <v>19</v>
      </c>
      <c r="B236" s="351" t="s">
        <v>451</v>
      </c>
      <c r="C236" s="401"/>
      <c r="D236" s="401"/>
      <c r="E236" s="401"/>
      <c r="F236" s="401"/>
      <c r="G236" s="401"/>
      <c r="H236" s="401"/>
      <c r="I236" s="401"/>
      <c r="J236" s="401"/>
      <c r="K236" s="401"/>
      <c r="L236" s="401"/>
      <c r="M236" s="401">
        <f>M225</f>
        <v>22.5</v>
      </c>
      <c r="N236" s="801" t="s">
        <v>89</v>
      </c>
      <c r="O236" s="784">
        <f>ROUND((M236),2)</f>
        <v>22.5</v>
      </c>
      <c r="P236" s="779"/>
      <c r="Q236" s="398"/>
      <c r="R236" s="398"/>
      <c r="S236" s="398"/>
      <c r="T236" s="738"/>
      <c r="U236" s="738"/>
      <c r="V236" s="738"/>
    </row>
    <row r="237" spans="1:22" ht="15.75" customHeight="1">
      <c r="A237" s="350">
        <f>A236+1</f>
        <v>20</v>
      </c>
      <c r="B237" s="351" t="s">
        <v>708</v>
      </c>
      <c r="C237" s="401"/>
      <c r="D237" s="401"/>
      <c r="E237" s="401"/>
      <c r="F237" s="401"/>
      <c r="G237" s="401"/>
      <c r="H237" s="401"/>
      <c r="I237" s="401"/>
      <c r="J237" s="401"/>
      <c r="K237" s="401"/>
      <c r="L237" s="401"/>
      <c r="M237" s="401">
        <f>M213*0.3</f>
        <v>7.2713999999999999</v>
      </c>
      <c r="N237" s="801" t="s">
        <v>89</v>
      </c>
      <c r="O237" s="784">
        <f>ROUND((M237),2)</f>
        <v>7.27</v>
      </c>
      <c r="P237" s="779"/>
      <c r="Q237" s="398"/>
      <c r="R237" s="398"/>
      <c r="S237" s="398"/>
      <c r="T237" s="738"/>
      <c r="U237" s="738"/>
      <c r="V237" s="738"/>
    </row>
    <row r="238" spans="1:22" ht="15.75" customHeight="1">
      <c r="A238" s="350">
        <f>A237+1</f>
        <v>21</v>
      </c>
      <c r="B238" s="351" t="s">
        <v>676</v>
      </c>
      <c r="C238" s="401"/>
      <c r="D238" s="401"/>
      <c r="E238" s="401"/>
      <c r="F238" s="401"/>
      <c r="G238" s="401"/>
      <c r="H238" s="401"/>
      <c r="I238" s="401"/>
      <c r="J238" s="401"/>
      <c r="K238" s="401"/>
      <c r="L238" s="401"/>
      <c r="M238" s="401">
        <v>1</v>
      </c>
      <c r="N238" s="801" t="s">
        <v>360</v>
      </c>
      <c r="O238" s="784">
        <f>ROUND((M238),2)</f>
        <v>1</v>
      </c>
      <c r="P238" s="779"/>
      <c r="Q238" s="398"/>
      <c r="R238" s="398"/>
      <c r="S238" s="398"/>
      <c r="T238" s="738"/>
      <c r="U238" s="738"/>
      <c r="V238" s="738"/>
    </row>
    <row r="239" spans="1:22" ht="27.75" customHeight="1">
      <c r="A239" s="350">
        <f>A238+1</f>
        <v>22</v>
      </c>
      <c r="B239" s="414" t="s">
        <v>709</v>
      </c>
      <c r="C239" s="401"/>
      <c r="D239" s="401"/>
      <c r="E239" s="401"/>
      <c r="F239" s="401"/>
      <c r="G239" s="401"/>
      <c r="H239" s="401"/>
      <c r="I239" s="401"/>
      <c r="J239" s="401"/>
      <c r="K239" s="401"/>
      <c r="L239" s="401"/>
      <c r="M239" s="401">
        <v>10</v>
      </c>
      <c r="N239" s="801" t="s">
        <v>124</v>
      </c>
      <c r="O239" s="784">
        <f>ROUND((M239),2)</f>
        <v>10</v>
      </c>
      <c r="P239" s="779"/>
      <c r="Q239" s="398"/>
      <c r="R239" s="398"/>
      <c r="S239" s="398"/>
      <c r="T239" s="738"/>
      <c r="U239" s="738"/>
      <c r="V239" s="738"/>
    </row>
    <row r="240" spans="1:22" ht="15.75" customHeight="1">
      <c r="A240" s="341" t="s">
        <v>710</v>
      </c>
      <c r="B240" s="347" t="s">
        <v>585</v>
      </c>
      <c r="C240" s="401"/>
      <c r="D240" s="401"/>
      <c r="E240" s="401"/>
      <c r="F240" s="401"/>
      <c r="G240" s="401"/>
      <c r="H240" s="401"/>
      <c r="I240" s="401"/>
      <c r="J240" s="401"/>
      <c r="K240" s="401"/>
      <c r="L240" s="401"/>
      <c r="M240" s="401"/>
      <c r="N240" s="801"/>
      <c r="O240" s="398"/>
      <c r="P240" s="779"/>
      <c r="Q240" s="398"/>
      <c r="R240" s="398"/>
      <c r="S240" s="398"/>
      <c r="T240" s="738"/>
      <c r="U240" s="738"/>
      <c r="V240" s="738"/>
    </row>
    <row r="241" spans="1:22" ht="15.75" customHeight="1">
      <c r="A241" s="400">
        <v>1</v>
      </c>
      <c r="B241" s="351" t="s">
        <v>586</v>
      </c>
      <c r="C241" s="401"/>
      <c r="D241" s="401"/>
      <c r="E241" s="401">
        <v>2</v>
      </c>
      <c r="F241" s="401"/>
      <c r="G241" s="401"/>
      <c r="H241" s="401"/>
      <c r="I241" s="401"/>
      <c r="J241" s="401"/>
      <c r="K241" s="401"/>
      <c r="L241" s="401">
        <v>5</v>
      </c>
      <c r="M241" s="401">
        <f>E241*L241</f>
        <v>10</v>
      </c>
      <c r="N241" s="801" t="s">
        <v>117</v>
      </c>
      <c r="O241" s="784">
        <f>ROUND((M241),2)</f>
        <v>10</v>
      </c>
      <c r="P241" s="779"/>
      <c r="Q241" s="398"/>
      <c r="R241" s="398"/>
      <c r="S241" s="398"/>
      <c r="T241" s="738"/>
      <c r="U241" s="738"/>
      <c r="V241" s="738"/>
    </row>
    <row r="242" spans="1:22" ht="15.75" customHeight="1">
      <c r="A242" s="350">
        <f>A241+1</f>
        <v>2</v>
      </c>
      <c r="B242" s="351" t="s">
        <v>587</v>
      </c>
      <c r="C242" s="401">
        <v>7.5</v>
      </c>
      <c r="D242" s="401"/>
      <c r="E242" s="401"/>
      <c r="F242" s="401"/>
      <c r="G242" s="401">
        <v>2</v>
      </c>
      <c r="H242" s="401"/>
      <c r="I242" s="401"/>
      <c r="J242" s="401">
        <v>5.5</v>
      </c>
      <c r="K242" s="401"/>
      <c r="L242" s="401"/>
      <c r="M242" s="401">
        <f>C242+G242+J242</f>
        <v>15</v>
      </c>
      <c r="N242" s="801" t="s">
        <v>117</v>
      </c>
      <c r="O242" s="784">
        <f>ROUND((M242),2)</f>
        <v>15</v>
      </c>
      <c r="P242" s="779"/>
      <c r="Q242" s="398"/>
      <c r="R242" s="398"/>
      <c r="S242" s="398"/>
      <c r="T242" s="738"/>
      <c r="U242" s="738"/>
      <c r="V242" s="738"/>
    </row>
    <row r="243" spans="1:22" ht="15.75" customHeight="1">
      <c r="A243" s="350">
        <f>A242+1</f>
        <v>3</v>
      </c>
      <c r="B243" s="351" t="s">
        <v>588</v>
      </c>
      <c r="C243" s="401"/>
      <c r="D243" s="401"/>
      <c r="E243" s="401"/>
      <c r="F243" s="401"/>
      <c r="G243" s="401"/>
      <c r="H243" s="401"/>
      <c r="I243" s="401"/>
      <c r="J243" s="401"/>
      <c r="K243" s="401"/>
      <c r="L243" s="401"/>
      <c r="M243" s="401"/>
      <c r="N243" s="801"/>
      <c r="O243" s="398"/>
      <c r="P243" s="779"/>
      <c r="Q243" s="398"/>
      <c r="R243" s="398"/>
      <c r="S243" s="398"/>
      <c r="T243" s="738"/>
      <c r="U243" s="738"/>
      <c r="V243" s="738"/>
    </row>
    <row r="244" spans="1:22" ht="15.75" customHeight="1">
      <c r="A244" s="350"/>
      <c r="B244" s="589" t="s">
        <v>1509</v>
      </c>
      <c r="C244" s="401">
        <v>7.5</v>
      </c>
      <c r="D244" s="401"/>
      <c r="E244" s="401"/>
      <c r="F244" s="401"/>
      <c r="G244" s="401"/>
      <c r="H244" s="401"/>
      <c r="I244" s="401"/>
      <c r="J244" s="401"/>
      <c r="K244" s="401"/>
      <c r="L244" s="401"/>
      <c r="M244" s="401">
        <f>C244</f>
        <v>7.5</v>
      </c>
      <c r="N244" s="801"/>
      <c r="O244" s="398"/>
      <c r="P244" s="779"/>
      <c r="Q244" s="398"/>
      <c r="R244" s="398"/>
      <c r="S244" s="398"/>
      <c r="T244" s="738"/>
      <c r="U244" s="738"/>
      <c r="V244" s="738"/>
    </row>
    <row r="245" spans="1:22" ht="15.75" customHeight="1">
      <c r="A245" s="350"/>
      <c r="B245" s="589" t="s">
        <v>1510</v>
      </c>
      <c r="C245" s="401">
        <v>2</v>
      </c>
      <c r="D245" s="401"/>
      <c r="E245" s="401"/>
      <c r="F245" s="401"/>
      <c r="G245" s="401"/>
      <c r="H245" s="401"/>
      <c r="I245" s="401"/>
      <c r="J245" s="401"/>
      <c r="K245" s="401"/>
      <c r="L245" s="401">
        <v>5</v>
      </c>
      <c r="M245" s="752">
        <f>C245*L245</f>
        <v>10</v>
      </c>
      <c r="N245" s="801"/>
      <c r="O245" s="398"/>
      <c r="P245" s="779"/>
      <c r="Q245" s="398"/>
      <c r="R245" s="398"/>
      <c r="S245" s="398"/>
      <c r="T245" s="738"/>
      <c r="U245" s="738"/>
      <c r="V245" s="738"/>
    </row>
    <row r="246" spans="1:22" ht="15.75" customHeight="1">
      <c r="A246" s="350"/>
      <c r="B246" s="589"/>
      <c r="C246" s="401"/>
      <c r="D246" s="401"/>
      <c r="E246" s="401"/>
      <c r="F246" s="401"/>
      <c r="G246" s="401"/>
      <c r="H246" s="401"/>
      <c r="I246" s="401"/>
      <c r="J246" s="401"/>
      <c r="K246" s="401"/>
      <c r="L246" s="401"/>
      <c r="M246" s="474">
        <f>SUM(M244:M245)</f>
        <v>17.5</v>
      </c>
      <c r="N246" s="1105" t="s">
        <v>117</v>
      </c>
      <c r="O246" s="784">
        <f>ROUND((M246),2)</f>
        <v>17.5</v>
      </c>
      <c r="P246" s="779"/>
      <c r="Q246" s="398"/>
      <c r="R246" s="398"/>
      <c r="S246" s="398"/>
      <c r="T246" s="738"/>
      <c r="U246" s="738"/>
      <c r="V246" s="738"/>
    </row>
    <row r="247" spans="1:22" ht="15.75" customHeight="1">
      <c r="A247" s="350">
        <f>A243+1</f>
        <v>4</v>
      </c>
      <c r="B247" s="351" t="s">
        <v>589</v>
      </c>
      <c r="C247" s="401"/>
      <c r="D247" s="401"/>
      <c r="E247" s="401"/>
      <c r="F247" s="401"/>
      <c r="G247" s="401"/>
      <c r="H247" s="401"/>
      <c r="I247" s="401"/>
      <c r="J247" s="401"/>
      <c r="K247" s="401"/>
      <c r="L247" s="401"/>
      <c r="M247" s="401"/>
      <c r="N247" s="801"/>
      <c r="O247" s="398"/>
      <c r="P247" s="779"/>
      <c r="Q247" s="398"/>
      <c r="R247" s="398"/>
      <c r="S247" s="398"/>
      <c r="T247" s="738"/>
      <c r="U247" s="738"/>
      <c r="V247" s="738"/>
    </row>
    <row r="248" spans="1:22" ht="15.75" customHeight="1">
      <c r="A248" s="350"/>
      <c r="B248" s="589" t="s">
        <v>1509</v>
      </c>
      <c r="C248" s="401">
        <v>7.5</v>
      </c>
      <c r="D248" s="401"/>
      <c r="E248" s="401"/>
      <c r="F248" s="401"/>
      <c r="G248" s="401"/>
      <c r="H248" s="401"/>
      <c r="I248" s="401"/>
      <c r="J248" s="401"/>
      <c r="K248" s="401"/>
      <c r="L248" s="401"/>
      <c r="M248" s="401">
        <f>C248</f>
        <v>7.5</v>
      </c>
      <c r="N248" s="801"/>
      <c r="O248" s="398"/>
      <c r="P248" s="779"/>
      <c r="Q248" s="398"/>
      <c r="R248" s="398"/>
      <c r="S248" s="398"/>
      <c r="T248" s="738"/>
      <c r="U248" s="738"/>
      <c r="V248" s="738"/>
    </row>
    <row r="249" spans="1:22" ht="15.75" customHeight="1">
      <c r="A249" s="350"/>
      <c r="B249" s="589" t="s">
        <v>1510</v>
      </c>
      <c r="C249" s="401">
        <v>1</v>
      </c>
      <c r="D249" s="401"/>
      <c r="E249" s="401"/>
      <c r="F249" s="401"/>
      <c r="G249" s="401"/>
      <c r="H249" s="401"/>
      <c r="I249" s="401"/>
      <c r="J249" s="401"/>
      <c r="K249" s="401"/>
      <c r="L249" s="401">
        <v>5</v>
      </c>
      <c r="M249" s="752">
        <f>C249*L249</f>
        <v>5</v>
      </c>
      <c r="N249" s="801"/>
      <c r="O249" s="398"/>
      <c r="P249" s="779"/>
      <c r="Q249" s="398"/>
      <c r="R249" s="398"/>
      <c r="S249" s="398"/>
      <c r="T249" s="738"/>
      <c r="U249" s="738"/>
      <c r="V249" s="738"/>
    </row>
    <row r="250" spans="1:22" ht="15.75" customHeight="1">
      <c r="A250" s="350"/>
      <c r="B250" s="589"/>
      <c r="C250" s="401"/>
      <c r="D250" s="401"/>
      <c r="E250" s="401"/>
      <c r="F250" s="401"/>
      <c r="G250" s="401"/>
      <c r="H250" s="401"/>
      <c r="I250" s="401"/>
      <c r="J250" s="401"/>
      <c r="K250" s="401"/>
      <c r="L250" s="401"/>
      <c r="M250" s="474">
        <f>SUM(M248:M249)</f>
        <v>12.5</v>
      </c>
      <c r="N250" s="1105" t="s">
        <v>117</v>
      </c>
      <c r="O250" s="784">
        <f>ROUND((M250),2)</f>
        <v>12.5</v>
      </c>
      <c r="P250" s="779"/>
      <c r="Q250" s="398"/>
      <c r="R250" s="398"/>
      <c r="S250" s="398"/>
      <c r="T250" s="738"/>
      <c r="U250" s="738"/>
      <c r="V250" s="738"/>
    </row>
    <row r="251" spans="1:22" ht="15.75" customHeight="1">
      <c r="A251" s="350">
        <f>A247+1</f>
        <v>5</v>
      </c>
      <c r="B251" s="351" t="s">
        <v>711</v>
      </c>
      <c r="C251" s="401"/>
      <c r="D251" s="401"/>
      <c r="E251" s="401"/>
      <c r="F251" s="401"/>
      <c r="G251" s="401"/>
      <c r="H251" s="401"/>
      <c r="I251" s="401"/>
      <c r="J251" s="401"/>
      <c r="K251" s="401"/>
      <c r="L251" s="401"/>
      <c r="M251" s="401">
        <v>5</v>
      </c>
      <c r="N251" s="801" t="s">
        <v>124</v>
      </c>
      <c r="O251" s="784">
        <f>ROUND((M251),2)</f>
        <v>5</v>
      </c>
      <c r="P251" s="779"/>
      <c r="Q251" s="398"/>
      <c r="R251" s="398"/>
      <c r="S251" s="398"/>
      <c r="T251" s="738"/>
      <c r="U251" s="738"/>
      <c r="V251" s="738"/>
    </row>
    <row r="252" spans="1:22" ht="15.75" customHeight="1">
      <c r="A252" s="350">
        <f>A251+1</f>
        <v>6</v>
      </c>
      <c r="B252" s="351" t="s">
        <v>712</v>
      </c>
      <c r="C252" s="401"/>
      <c r="D252" s="401"/>
      <c r="E252" s="401"/>
      <c r="F252" s="401"/>
      <c r="G252" s="401"/>
      <c r="H252" s="401"/>
      <c r="I252" s="401"/>
      <c r="J252" s="401"/>
      <c r="K252" s="401"/>
      <c r="L252" s="401"/>
      <c r="M252" s="401">
        <v>5</v>
      </c>
      <c r="N252" s="801" t="s">
        <v>124</v>
      </c>
      <c r="O252" s="784">
        <f>ROUND((M252),2)</f>
        <v>5</v>
      </c>
      <c r="P252" s="779"/>
      <c r="Q252" s="398"/>
      <c r="R252" s="398"/>
      <c r="S252" s="398"/>
      <c r="T252" s="738"/>
      <c r="U252" s="738"/>
      <c r="V252" s="738"/>
    </row>
    <row r="253" spans="1:22" ht="15.75" customHeight="1">
      <c r="A253" s="350">
        <f>A252+1</f>
        <v>7</v>
      </c>
      <c r="B253" s="351" t="s">
        <v>713</v>
      </c>
      <c r="C253" s="401"/>
      <c r="D253" s="401"/>
      <c r="E253" s="401"/>
      <c r="F253" s="401"/>
      <c r="G253" s="401"/>
      <c r="H253" s="401"/>
      <c r="I253" s="401"/>
      <c r="J253" s="401"/>
      <c r="K253" s="401"/>
      <c r="L253" s="401"/>
      <c r="M253" s="401">
        <v>1</v>
      </c>
      <c r="N253" s="801" t="s">
        <v>360</v>
      </c>
      <c r="O253" s="784">
        <f>ROUND((M253),2)</f>
        <v>1</v>
      </c>
      <c r="P253" s="779"/>
      <c r="Q253" s="398"/>
      <c r="R253" s="398"/>
      <c r="S253" s="398"/>
      <c r="T253" s="738"/>
      <c r="U253" s="738"/>
      <c r="V253" s="738"/>
    </row>
    <row r="254" spans="1:22" ht="15.75" customHeight="1">
      <c r="A254" s="350">
        <f>A253+1</f>
        <v>8</v>
      </c>
      <c r="B254" s="593" t="s">
        <v>714</v>
      </c>
      <c r="C254" s="330"/>
      <c r="D254" s="330"/>
      <c r="E254" s="330"/>
      <c r="F254" s="330"/>
      <c r="G254" s="330"/>
      <c r="H254" s="401"/>
      <c r="I254" s="748"/>
      <c r="J254" s="814"/>
      <c r="K254" s="401"/>
      <c r="L254" s="401"/>
      <c r="M254" s="401"/>
      <c r="N254" s="801"/>
      <c r="O254" s="398"/>
      <c r="P254" s="779"/>
      <c r="Q254" s="398"/>
      <c r="R254" s="398"/>
      <c r="S254" s="398"/>
      <c r="T254" s="738"/>
      <c r="U254" s="738"/>
      <c r="V254" s="738"/>
    </row>
    <row r="255" spans="1:22" ht="15.75" customHeight="1">
      <c r="A255" s="355" t="s">
        <v>95</v>
      </c>
      <c r="B255" s="414" t="s">
        <v>596</v>
      </c>
      <c r="C255" s="330"/>
      <c r="D255" s="330"/>
      <c r="E255" s="330"/>
      <c r="F255" s="330"/>
      <c r="G255" s="330"/>
      <c r="H255" s="401">
        <v>1</v>
      </c>
      <c r="I255" s="748" t="s">
        <v>360</v>
      </c>
      <c r="J255" s="814">
        <f>ROUND((H255),2)</f>
        <v>1</v>
      </c>
      <c r="K255" s="401"/>
      <c r="L255" s="401"/>
      <c r="M255" s="401"/>
      <c r="N255" s="801"/>
      <c r="O255" s="398"/>
      <c r="P255" s="779"/>
      <c r="Q255" s="398"/>
      <c r="R255" s="398"/>
      <c r="S255" s="398"/>
      <c r="T255" s="738"/>
      <c r="U255" s="738"/>
      <c r="V255" s="738"/>
    </row>
    <row r="256" spans="1:22" ht="15.75" customHeight="1">
      <c r="A256" s="355" t="s">
        <v>98</v>
      </c>
      <c r="B256" s="414" t="s">
        <v>597</v>
      </c>
      <c r="C256" s="330"/>
      <c r="D256" s="330"/>
      <c r="E256" s="330"/>
      <c r="F256" s="330"/>
      <c r="G256" s="330"/>
      <c r="H256" s="401">
        <v>1</v>
      </c>
      <c r="I256" s="748" t="s">
        <v>360</v>
      </c>
      <c r="J256" s="814">
        <f>ROUND((H256),2)</f>
        <v>1</v>
      </c>
      <c r="K256" s="401"/>
      <c r="L256" s="401"/>
      <c r="M256" s="401"/>
      <c r="N256" s="801"/>
      <c r="O256" s="398"/>
      <c r="P256" s="779"/>
      <c r="Q256" s="398"/>
      <c r="R256" s="398"/>
      <c r="S256" s="398"/>
      <c r="T256" s="738"/>
      <c r="U256" s="738"/>
      <c r="V256" s="738"/>
    </row>
    <row r="257" spans="1:22" ht="15.75" customHeight="1">
      <c r="A257" s="355" t="s">
        <v>101</v>
      </c>
      <c r="B257" s="403" t="s">
        <v>598</v>
      </c>
      <c r="C257" s="330"/>
      <c r="D257" s="330"/>
      <c r="E257" s="330"/>
      <c r="F257" s="330"/>
      <c r="G257" s="330"/>
      <c r="H257" s="330"/>
      <c r="I257" s="330"/>
      <c r="J257" s="330"/>
      <c r="K257" s="330"/>
      <c r="L257" s="330"/>
      <c r="M257" s="401"/>
      <c r="N257" s="748"/>
      <c r="O257" s="814"/>
      <c r="P257" s="779"/>
      <c r="Q257" s="398"/>
      <c r="R257" s="398"/>
      <c r="S257" s="398"/>
      <c r="T257" s="738"/>
      <c r="U257" s="738"/>
      <c r="V257" s="738"/>
    </row>
    <row r="258" spans="1:22" ht="15.75" customHeight="1">
      <c r="A258" s="355"/>
      <c r="B258" s="403" t="s">
        <v>599</v>
      </c>
      <c r="C258" s="330">
        <v>0.8</v>
      </c>
      <c r="D258" s="330">
        <v>0.8</v>
      </c>
      <c r="E258" s="330">
        <v>0.9</v>
      </c>
      <c r="F258" s="330"/>
      <c r="G258" s="330"/>
      <c r="H258" s="330"/>
      <c r="I258" s="330"/>
      <c r="J258" s="330"/>
      <c r="K258" s="330"/>
      <c r="L258" s="330">
        <v>4</v>
      </c>
      <c r="M258" s="401">
        <f>C258*D258*E258*L258</f>
        <v>2.3040000000000007</v>
      </c>
      <c r="N258" s="748" t="s">
        <v>103</v>
      </c>
      <c r="O258" s="814">
        <f>ROUND((M258),2)</f>
        <v>2.2999999999999998</v>
      </c>
      <c r="P258" s="779"/>
      <c r="Q258" s="398"/>
      <c r="R258" s="398"/>
      <c r="S258" s="398"/>
      <c r="T258" s="738"/>
      <c r="U258" s="738"/>
      <c r="V258" s="738"/>
    </row>
    <row r="259" spans="1:22" ht="15.75" customHeight="1">
      <c r="A259" s="355"/>
      <c r="B259" s="403" t="s">
        <v>600</v>
      </c>
      <c r="C259" s="330">
        <v>0.6</v>
      </c>
      <c r="D259" s="330"/>
      <c r="E259" s="330">
        <v>0.3</v>
      </c>
      <c r="F259" s="330"/>
      <c r="G259" s="330">
        <v>4</v>
      </c>
      <c r="H259" s="330"/>
      <c r="I259" s="330"/>
      <c r="J259" s="330"/>
      <c r="K259" s="330"/>
      <c r="L259" s="330">
        <f>L258</f>
        <v>4</v>
      </c>
      <c r="M259" s="401">
        <f>C259*E259*G259*L259</f>
        <v>2.88</v>
      </c>
      <c r="N259" s="748" t="s">
        <v>89</v>
      </c>
      <c r="O259" s="814">
        <f>ROUND((M259),2)</f>
        <v>2.88</v>
      </c>
      <c r="P259" s="779"/>
      <c r="Q259" s="398"/>
      <c r="R259" s="398"/>
      <c r="S259" s="398"/>
      <c r="T259" s="738"/>
      <c r="U259" s="738"/>
      <c r="V259" s="738"/>
    </row>
    <row r="260" spans="1:22" ht="15.75" customHeight="1">
      <c r="A260" s="355"/>
      <c r="B260" s="403" t="s">
        <v>601</v>
      </c>
      <c r="C260" s="330">
        <v>0.45</v>
      </c>
      <c r="D260" s="330"/>
      <c r="E260" s="330"/>
      <c r="F260" s="330">
        <f>0.15*2</f>
        <v>0.3</v>
      </c>
      <c r="G260" s="330">
        <v>4</v>
      </c>
      <c r="H260" s="330"/>
      <c r="I260" s="330"/>
      <c r="J260" s="330"/>
      <c r="K260" s="330">
        <f>13*13*0.006165</f>
        <v>1.041885</v>
      </c>
      <c r="L260" s="330">
        <f>L259</f>
        <v>4</v>
      </c>
      <c r="M260" s="401">
        <f>(C260+F260)*G260*K260*L260</f>
        <v>12.50262</v>
      </c>
      <c r="N260" s="748" t="s">
        <v>100</v>
      </c>
      <c r="O260" s="814">
        <f>ROUND((M260),2)</f>
        <v>12.5</v>
      </c>
      <c r="P260" s="779"/>
      <c r="Q260" s="398"/>
      <c r="R260" s="398"/>
      <c r="S260" s="398"/>
      <c r="T260" s="738"/>
      <c r="U260" s="738"/>
      <c r="V260" s="738"/>
    </row>
    <row r="261" spans="1:22" ht="15.75" customHeight="1">
      <c r="A261" s="355"/>
      <c r="B261" s="403" t="s">
        <v>602</v>
      </c>
      <c r="C261" s="330">
        <f>C259</f>
        <v>0.6</v>
      </c>
      <c r="D261" s="330">
        <f>C261</f>
        <v>0.6</v>
      </c>
      <c r="E261" s="330">
        <v>0.3</v>
      </c>
      <c r="F261" s="330"/>
      <c r="G261" s="330"/>
      <c r="H261" s="330"/>
      <c r="I261" s="330"/>
      <c r="J261" s="330"/>
      <c r="K261" s="330"/>
      <c r="L261" s="330">
        <f>L260</f>
        <v>4</v>
      </c>
      <c r="M261" s="401">
        <f>C261*D261*E261*L261</f>
        <v>0.432</v>
      </c>
      <c r="N261" s="748" t="s">
        <v>103</v>
      </c>
      <c r="O261" s="814">
        <f>ROUND((M261),2)</f>
        <v>0.43</v>
      </c>
      <c r="P261" s="779"/>
      <c r="Q261" s="398"/>
      <c r="R261" s="398"/>
      <c r="S261" s="398"/>
      <c r="T261" s="738"/>
      <c r="U261" s="738"/>
      <c r="V261" s="738"/>
    </row>
    <row r="262" spans="1:22" ht="15.75" customHeight="1">
      <c r="A262" s="355" t="s">
        <v>121</v>
      </c>
      <c r="B262" s="403" t="s">
        <v>603</v>
      </c>
      <c r="C262" s="330"/>
      <c r="D262" s="330"/>
      <c r="E262" s="330"/>
      <c r="F262" s="330"/>
      <c r="G262" s="330"/>
      <c r="H262" s="330"/>
      <c r="I262" s="330"/>
      <c r="J262" s="330"/>
      <c r="K262" s="330"/>
      <c r="L262" s="330"/>
      <c r="M262" s="401"/>
      <c r="N262" s="748"/>
      <c r="O262" s="814"/>
      <c r="P262" s="779"/>
      <c r="Q262" s="398"/>
      <c r="R262" s="398"/>
      <c r="S262" s="398"/>
      <c r="T262" s="738"/>
      <c r="U262" s="738"/>
      <c r="V262" s="738"/>
    </row>
    <row r="263" spans="1:22" ht="15.75" customHeight="1">
      <c r="A263" s="355"/>
      <c r="B263" s="403" t="s">
        <v>604</v>
      </c>
      <c r="C263" s="330"/>
      <c r="D263" s="330">
        <v>0.25</v>
      </c>
      <c r="E263" s="330">
        <v>0.8</v>
      </c>
      <c r="F263" s="330"/>
      <c r="G263" s="330">
        <v>4</v>
      </c>
      <c r="H263" s="330"/>
      <c r="I263" s="330"/>
      <c r="J263" s="330"/>
      <c r="K263" s="330"/>
      <c r="L263" s="330">
        <f>L261</f>
        <v>4</v>
      </c>
      <c r="M263" s="401">
        <f>D263*E263*G263*L263</f>
        <v>3.2</v>
      </c>
      <c r="N263" s="748" t="s">
        <v>103</v>
      </c>
      <c r="O263" s="814">
        <f t="shared" ref="O263:O268" si="3">ROUND((M263),2)</f>
        <v>3.2</v>
      </c>
      <c r="P263" s="779"/>
      <c r="Q263" s="398"/>
      <c r="R263" s="398"/>
      <c r="S263" s="398"/>
      <c r="T263" s="738"/>
      <c r="U263" s="738"/>
      <c r="V263" s="738"/>
    </row>
    <row r="264" spans="1:22" ht="15.75" customHeight="1">
      <c r="A264" s="355"/>
      <c r="B264" s="403" t="s">
        <v>605</v>
      </c>
      <c r="C264" s="330"/>
      <c r="D264" s="330"/>
      <c r="E264" s="330">
        <f>E263</f>
        <v>0.8</v>
      </c>
      <c r="F264" s="330"/>
      <c r="G264" s="330">
        <v>4</v>
      </c>
      <c r="H264" s="330"/>
      <c r="I264" s="330">
        <v>0.55000000000000004</v>
      </c>
      <c r="J264" s="330"/>
      <c r="K264" s="330">
        <f>13*13*0.006165</f>
        <v>1.041885</v>
      </c>
      <c r="L264" s="330">
        <f>L263</f>
        <v>4</v>
      </c>
      <c r="M264" s="401">
        <f>(E264+I264)*G264*K264*L264</f>
        <v>22.504716000000002</v>
      </c>
      <c r="N264" s="748" t="s">
        <v>89</v>
      </c>
      <c r="O264" s="814">
        <f t="shared" si="3"/>
        <v>22.5</v>
      </c>
      <c r="P264" s="779"/>
      <c r="Q264" s="398"/>
      <c r="R264" s="398"/>
      <c r="S264" s="398"/>
      <c r="T264" s="738"/>
      <c r="U264" s="738"/>
      <c r="V264" s="738"/>
    </row>
    <row r="265" spans="1:22" ht="15.75" customHeight="1">
      <c r="A265" s="355"/>
      <c r="B265" s="403" t="s">
        <v>606</v>
      </c>
      <c r="C265" s="330">
        <f>0.17*4</f>
        <v>0.68</v>
      </c>
      <c r="D265" s="330"/>
      <c r="E265" s="330"/>
      <c r="F265" s="330">
        <f>0.05*2</f>
        <v>0.1</v>
      </c>
      <c r="G265" s="330"/>
      <c r="H265" s="330">
        <f>ROUNDUP((E264/0.125),0.5)+1</f>
        <v>8</v>
      </c>
      <c r="I265" s="330"/>
      <c r="J265" s="330"/>
      <c r="K265" s="330">
        <f>8*8*0.006165</f>
        <v>0.39456000000000002</v>
      </c>
      <c r="L265" s="330">
        <f>L264</f>
        <v>4</v>
      </c>
      <c r="M265" s="401">
        <f>(C265+F265)*H265*K265*L265</f>
        <v>9.8482176000000017</v>
      </c>
      <c r="N265" s="748" t="s">
        <v>100</v>
      </c>
      <c r="O265" s="814">
        <f t="shared" si="3"/>
        <v>9.85</v>
      </c>
      <c r="P265" s="779"/>
      <c r="Q265" s="398"/>
      <c r="R265" s="398"/>
      <c r="S265" s="398"/>
      <c r="T265" s="738"/>
      <c r="U265" s="738"/>
      <c r="V265" s="738"/>
    </row>
    <row r="266" spans="1:22" ht="15.75" customHeight="1">
      <c r="A266" s="355"/>
      <c r="B266" s="403" t="s">
        <v>602</v>
      </c>
      <c r="C266" s="330">
        <v>0.25</v>
      </c>
      <c r="D266" s="330">
        <v>0.25</v>
      </c>
      <c r="E266" s="330">
        <f>E264</f>
        <v>0.8</v>
      </c>
      <c r="F266" s="330"/>
      <c r="G266" s="330"/>
      <c r="H266" s="330"/>
      <c r="I266" s="330"/>
      <c r="J266" s="330"/>
      <c r="K266" s="330"/>
      <c r="L266" s="330">
        <f>L265</f>
        <v>4</v>
      </c>
      <c r="M266" s="401">
        <f>C266*D266*E266*L266</f>
        <v>0.2</v>
      </c>
      <c r="N266" s="748" t="s">
        <v>103</v>
      </c>
      <c r="O266" s="814">
        <f t="shared" si="3"/>
        <v>0.2</v>
      </c>
      <c r="P266" s="779"/>
      <c r="Q266" s="398"/>
      <c r="R266" s="398"/>
      <c r="S266" s="398"/>
      <c r="T266" s="738"/>
      <c r="U266" s="738"/>
      <c r="V266" s="738"/>
    </row>
    <row r="267" spans="1:22" ht="15.75" customHeight="1">
      <c r="A267" s="355"/>
      <c r="B267" s="351" t="s">
        <v>607</v>
      </c>
      <c r="C267" s="401">
        <v>0.4</v>
      </c>
      <c r="D267" s="401">
        <v>0.3</v>
      </c>
      <c r="E267" s="401"/>
      <c r="F267" s="401"/>
      <c r="G267" s="401"/>
      <c r="H267" s="401"/>
      <c r="I267" s="401"/>
      <c r="J267" s="401"/>
      <c r="K267" s="401">
        <v>4</v>
      </c>
      <c r="L267" s="401">
        <f>L266</f>
        <v>4</v>
      </c>
      <c r="M267" s="401">
        <f>(C267+D267)*K267*L267</f>
        <v>11.2</v>
      </c>
      <c r="N267" s="349" t="s">
        <v>100</v>
      </c>
      <c r="O267" s="814">
        <f t="shared" si="3"/>
        <v>11.2</v>
      </c>
      <c r="P267" s="779"/>
      <c r="Q267" s="398"/>
      <c r="R267" s="398"/>
      <c r="S267" s="398"/>
      <c r="T267" s="738"/>
      <c r="U267" s="738"/>
      <c r="V267" s="738"/>
    </row>
    <row r="268" spans="1:22" ht="15.75" customHeight="1">
      <c r="A268" s="350">
        <f>A254+1</f>
        <v>9</v>
      </c>
      <c r="B268" s="351" t="s">
        <v>1511</v>
      </c>
      <c r="C268" s="401"/>
      <c r="D268" s="401"/>
      <c r="E268" s="401"/>
      <c r="F268" s="401"/>
      <c r="G268" s="401"/>
      <c r="H268" s="401"/>
      <c r="I268" s="401"/>
      <c r="J268" s="401"/>
      <c r="K268" s="401"/>
      <c r="L268" s="401"/>
      <c r="M268" s="401">
        <v>1</v>
      </c>
      <c r="N268" s="801" t="s">
        <v>360</v>
      </c>
      <c r="O268" s="784">
        <f t="shared" si="3"/>
        <v>1</v>
      </c>
      <c r="P268" s="779"/>
      <c r="Q268" s="398"/>
      <c r="R268" s="398"/>
      <c r="S268" s="398"/>
      <c r="T268" s="738"/>
      <c r="U268" s="738"/>
      <c r="V268" s="738"/>
    </row>
    <row r="269" spans="1:22" ht="15.75" customHeight="1">
      <c r="A269" s="350">
        <f>A268+1</f>
        <v>10</v>
      </c>
      <c r="B269" s="351" t="s">
        <v>1512</v>
      </c>
      <c r="C269" s="401"/>
      <c r="D269" s="401"/>
      <c r="E269" s="401"/>
      <c r="F269" s="401"/>
      <c r="G269" s="401"/>
      <c r="H269" s="401"/>
      <c r="I269" s="401"/>
      <c r="J269" s="401"/>
      <c r="K269" s="401"/>
      <c r="L269" s="401"/>
      <c r="M269" s="401"/>
      <c r="N269" s="801"/>
      <c r="O269" s="398"/>
      <c r="P269" s="779"/>
      <c r="Q269" s="398"/>
      <c r="R269" s="398"/>
      <c r="S269" s="398"/>
      <c r="T269" s="738"/>
      <c r="U269" s="738"/>
      <c r="V269" s="738"/>
    </row>
    <row r="270" spans="1:22" ht="15.75" customHeight="1">
      <c r="A270" s="355" t="s">
        <v>95</v>
      </c>
      <c r="B270" s="351" t="s">
        <v>398</v>
      </c>
      <c r="C270" s="401">
        <v>2</v>
      </c>
      <c r="D270" s="401">
        <v>1.2</v>
      </c>
      <c r="E270" s="401">
        <v>1.35</v>
      </c>
      <c r="F270" s="401"/>
      <c r="G270" s="401"/>
      <c r="H270" s="401"/>
      <c r="I270" s="401"/>
      <c r="J270" s="401"/>
      <c r="K270" s="401"/>
      <c r="L270" s="401"/>
      <c r="M270" s="401">
        <f>C270*D270*E270</f>
        <v>3.24</v>
      </c>
      <c r="N270" s="801" t="s">
        <v>103</v>
      </c>
      <c r="O270" s="784">
        <f t="shared" ref="O270:O276" si="4">ROUND((M270),2)</f>
        <v>3.24</v>
      </c>
      <c r="P270" s="779"/>
      <c r="Q270" s="398"/>
      <c r="R270" s="398"/>
      <c r="S270" s="398"/>
      <c r="T270" s="738"/>
      <c r="U270" s="738"/>
      <c r="V270" s="738"/>
    </row>
    <row r="271" spans="1:22" ht="15.75" customHeight="1">
      <c r="A271" s="355" t="s">
        <v>98</v>
      </c>
      <c r="B271" s="351" t="s">
        <v>496</v>
      </c>
      <c r="C271" s="401">
        <f>C270</f>
        <v>2</v>
      </c>
      <c r="D271" s="401">
        <f>D270</f>
        <v>1.2</v>
      </c>
      <c r="E271" s="401">
        <v>0.05</v>
      </c>
      <c r="F271" s="401"/>
      <c r="G271" s="401"/>
      <c r="H271" s="401"/>
      <c r="I271" s="401"/>
      <c r="J271" s="401"/>
      <c r="K271" s="401"/>
      <c r="L271" s="401"/>
      <c r="M271" s="401">
        <f>C271*D271*E271</f>
        <v>0.12</v>
      </c>
      <c r="N271" s="801" t="s">
        <v>103</v>
      </c>
      <c r="O271" s="784">
        <f t="shared" si="4"/>
        <v>0.12</v>
      </c>
      <c r="P271" s="779"/>
      <c r="Q271" s="398"/>
      <c r="R271" s="398"/>
      <c r="S271" s="398"/>
      <c r="T271" s="738"/>
      <c r="U271" s="738"/>
      <c r="V271" s="738"/>
    </row>
    <row r="272" spans="1:22" ht="15.75" customHeight="1">
      <c r="A272" s="355" t="s">
        <v>101</v>
      </c>
      <c r="B272" s="351" t="s">
        <v>1513</v>
      </c>
      <c r="C272" s="401"/>
      <c r="D272" s="401"/>
      <c r="E272" s="401"/>
      <c r="F272" s="401"/>
      <c r="G272" s="401"/>
      <c r="H272" s="401"/>
      <c r="I272" s="401"/>
      <c r="J272" s="401"/>
      <c r="K272" s="401"/>
      <c r="L272" s="401"/>
      <c r="M272" s="401">
        <v>1</v>
      </c>
      <c r="N272" s="801" t="s">
        <v>360</v>
      </c>
      <c r="O272" s="784">
        <f t="shared" si="4"/>
        <v>1</v>
      </c>
      <c r="P272" s="779"/>
      <c r="Q272" s="398"/>
      <c r="R272" s="398"/>
      <c r="S272" s="398"/>
      <c r="T272" s="738"/>
      <c r="U272" s="738"/>
      <c r="V272" s="738"/>
    </row>
    <row r="273" spans="1:22" ht="15.75" customHeight="1">
      <c r="A273" s="350">
        <f>A269+1</f>
        <v>11</v>
      </c>
      <c r="B273" s="351" t="s">
        <v>458</v>
      </c>
      <c r="C273" s="401"/>
      <c r="D273" s="401"/>
      <c r="E273" s="401"/>
      <c r="F273" s="401"/>
      <c r="G273" s="401"/>
      <c r="H273" s="401"/>
      <c r="I273" s="401"/>
      <c r="J273" s="401"/>
      <c r="K273" s="401"/>
      <c r="L273" s="401"/>
      <c r="M273" s="401">
        <f>M275+M276</f>
        <v>7</v>
      </c>
      <c r="N273" s="801" t="s">
        <v>357</v>
      </c>
      <c r="O273" s="784">
        <f t="shared" si="4"/>
        <v>7</v>
      </c>
      <c r="P273" s="779"/>
      <c r="Q273" s="398"/>
      <c r="R273" s="398"/>
      <c r="S273" s="398"/>
      <c r="T273" s="738"/>
      <c r="U273" s="738"/>
      <c r="V273" s="738"/>
    </row>
    <row r="274" spans="1:22" ht="15.75" customHeight="1">
      <c r="A274" s="350">
        <f>A273+1</f>
        <v>12</v>
      </c>
      <c r="B274" s="351" t="s">
        <v>718</v>
      </c>
      <c r="C274" s="401"/>
      <c r="D274" s="401"/>
      <c r="E274" s="401"/>
      <c r="F274" s="401"/>
      <c r="G274" s="401"/>
      <c r="H274" s="401"/>
      <c r="I274" s="401"/>
      <c r="J274" s="401"/>
      <c r="K274" s="401"/>
      <c r="L274" s="401"/>
      <c r="M274" s="401">
        <v>1</v>
      </c>
      <c r="N274" s="801" t="s">
        <v>357</v>
      </c>
      <c r="O274" s="784">
        <f t="shared" si="4"/>
        <v>1</v>
      </c>
      <c r="P274" s="779"/>
      <c r="Q274" s="398"/>
      <c r="R274" s="398"/>
      <c r="S274" s="398"/>
      <c r="T274" s="738"/>
      <c r="U274" s="738"/>
      <c r="V274" s="738"/>
    </row>
    <row r="275" spans="1:22" ht="15.75" customHeight="1">
      <c r="A275" s="350">
        <f>A274+1</f>
        <v>13</v>
      </c>
      <c r="B275" s="351" t="s">
        <v>1514</v>
      </c>
      <c r="C275" s="401"/>
      <c r="D275" s="401"/>
      <c r="E275" s="401"/>
      <c r="F275" s="401"/>
      <c r="G275" s="401"/>
      <c r="H275" s="401"/>
      <c r="I275" s="401"/>
      <c r="J275" s="401"/>
      <c r="K275" s="401"/>
      <c r="L275" s="401"/>
      <c r="M275" s="401">
        <v>2</v>
      </c>
      <c r="N275" s="801" t="s">
        <v>124</v>
      </c>
      <c r="O275" s="784">
        <f t="shared" si="4"/>
        <v>2</v>
      </c>
      <c r="P275" s="779"/>
      <c r="Q275" s="398"/>
      <c r="R275" s="398"/>
      <c r="S275" s="398"/>
      <c r="T275" s="738"/>
      <c r="U275" s="738"/>
      <c r="V275" s="738"/>
    </row>
    <row r="276" spans="1:22" ht="15.75" customHeight="1">
      <c r="A276" s="350">
        <f>A275+1</f>
        <v>14</v>
      </c>
      <c r="B276" s="351" t="s">
        <v>1515</v>
      </c>
      <c r="C276" s="401"/>
      <c r="D276" s="401"/>
      <c r="E276" s="401"/>
      <c r="F276" s="401"/>
      <c r="G276" s="401"/>
      <c r="H276" s="401"/>
      <c r="I276" s="401"/>
      <c r="J276" s="401"/>
      <c r="K276" s="401"/>
      <c r="L276" s="401"/>
      <c r="M276" s="401">
        <v>5</v>
      </c>
      <c r="N276" s="801" t="s">
        <v>124</v>
      </c>
      <c r="O276" s="784">
        <f t="shared" si="4"/>
        <v>5</v>
      </c>
      <c r="P276" s="779"/>
      <c r="Q276" s="398"/>
      <c r="R276" s="398"/>
      <c r="S276" s="398"/>
      <c r="T276" s="738"/>
      <c r="U276" s="738"/>
      <c r="V276" s="738"/>
    </row>
    <row r="277" spans="1:22" ht="15.75" customHeight="1">
      <c r="A277" s="601"/>
      <c r="B277" s="602"/>
      <c r="C277" s="778"/>
      <c r="D277" s="778"/>
      <c r="E277" s="778"/>
      <c r="F277" s="778"/>
      <c r="G277" s="778"/>
      <c r="H277" s="778"/>
      <c r="I277" s="778"/>
      <c r="J277" s="778"/>
      <c r="K277" s="778"/>
      <c r="L277" s="778"/>
      <c r="M277" s="778"/>
      <c r="N277" s="605"/>
      <c r="O277" s="398"/>
      <c r="P277" s="398"/>
      <c r="Q277" s="398"/>
      <c r="R277" s="398"/>
      <c r="S277" s="398"/>
      <c r="T277" s="738"/>
      <c r="U277" s="738"/>
      <c r="V277" s="738"/>
    </row>
    <row r="278" spans="1:22" ht="15.75" customHeight="1">
      <c r="A278" s="606"/>
      <c r="B278" s="398"/>
      <c r="C278" s="779"/>
      <c r="D278" s="779"/>
      <c r="E278" s="779"/>
      <c r="F278" s="779"/>
      <c r="G278" s="779"/>
      <c r="H278" s="779"/>
      <c r="I278" s="779"/>
      <c r="J278" s="779"/>
      <c r="K278" s="779"/>
      <c r="L278" s="779"/>
      <c r="M278" s="779"/>
      <c r="N278" s="606"/>
      <c r="O278" s="398"/>
      <c r="P278" s="398"/>
      <c r="Q278" s="398"/>
      <c r="R278" s="398"/>
      <c r="S278" s="398"/>
      <c r="T278" s="738"/>
      <c r="U278" s="738"/>
      <c r="V278" s="738"/>
    </row>
    <row r="279" spans="1:22" ht="15.75" customHeight="1">
      <c r="A279" s="606"/>
      <c r="B279" s="398"/>
      <c r="C279" s="779"/>
      <c r="D279" s="779"/>
      <c r="E279" s="779"/>
      <c r="F279" s="779"/>
      <c r="G279" s="779"/>
      <c r="H279" s="779"/>
      <c r="I279" s="779"/>
      <c r="J279" s="779"/>
      <c r="K279" s="779"/>
      <c r="L279" s="779"/>
      <c r="M279" s="779"/>
      <c r="N279" s="606"/>
      <c r="O279" s="398"/>
      <c r="P279" s="398"/>
      <c r="Q279" s="398"/>
      <c r="R279" s="398"/>
      <c r="S279" s="398"/>
      <c r="T279" s="738"/>
      <c r="U279" s="738"/>
      <c r="V279" s="738"/>
    </row>
    <row r="280" spans="1:22" ht="15.75" customHeight="1">
      <c r="A280" s="606"/>
      <c r="B280" s="398"/>
      <c r="C280" s="779"/>
      <c r="D280" s="779"/>
      <c r="E280" s="779"/>
      <c r="F280" s="779"/>
      <c r="G280" s="779"/>
      <c r="H280" s="779"/>
      <c r="I280" s="779"/>
      <c r="J280" s="779"/>
      <c r="K280" s="779"/>
      <c r="L280" s="779"/>
      <c r="M280" s="779"/>
      <c r="N280" s="606"/>
      <c r="O280" s="398"/>
      <c r="P280" s="398"/>
      <c r="Q280" s="398"/>
      <c r="R280" s="398"/>
      <c r="S280" s="398"/>
      <c r="T280" s="738"/>
      <c r="U280" s="738"/>
      <c r="V280" s="738"/>
    </row>
    <row r="281" spans="1:22" ht="15.75" customHeight="1">
      <c r="A281" s="606"/>
      <c r="B281" s="398"/>
      <c r="C281" s="779"/>
      <c r="D281" s="779"/>
      <c r="E281" s="779"/>
      <c r="F281" s="779"/>
      <c r="G281" s="779"/>
      <c r="H281" s="779"/>
      <c r="I281" s="779"/>
      <c r="J281" s="779"/>
      <c r="K281" s="779"/>
      <c r="L281" s="779"/>
      <c r="M281" s="779"/>
      <c r="N281" s="606"/>
      <c r="O281" s="398"/>
      <c r="P281" s="398"/>
      <c r="Q281" s="398"/>
      <c r="R281" s="398"/>
      <c r="S281" s="398"/>
      <c r="T281" s="738"/>
      <c r="U281" s="738"/>
      <c r="V281" s="738"/>
    </row>
    <row r="282" spans="1:22" ht="15.75" customHeight="1">
      <c r="A282" s="398"/>
      <c r="B282" s="398"/>
      <c r="C282" s="779"/>
      <c r="D282" s="779"/>
      <c r="E282" s="779"/>
      <c r="F282" s="779"/>
      <c r="G282" s="779"/>
      <c r="H282" s="779"/>
      <c r="I282" s="779"/>
      <c r="J282" s="779"/>
      <c r="K282" s="779"/>
      <c r="L282" s="779"/>
      <c r="M282" s="779"/>
      <c r="N282" s="606"/>
      <c r="O282" s="398"/>
      <c r="P282" s="398"/>
      <c r="Q282" s="398"/>
      <c r="R282" s="398"/>
      <c r="S282" s="398"/>
      <c r="T282" s="738"/>
      <c r="U282" s="738"/>
      <c r="V282" s="738"/>
    </row>
    <row r="283" spans="1:22" ht="15.75" customHeight="1">
      <c r="A283" s="398"/>
      <c r="B283" s="398"/>
      <c r="C283" s="779"/>
      <c r="D283" s="779"/>
      <c r="E283" s="779"/>
      <c r="F283" s="779"/>
      <c r="G283" s="779"/>
      <c r="H283" s="779"/>
      <c r="I283" s="779"/>
      <c r="J283" s="779"/>
      <c r="K283" s="779"/>
      <c r="L283" s="779"/>
      <c r="M283" s="779"/>
      <c r="N283" s="606"/>
      <c r="O283" s="398"/>
      <c r="P283" s="398"/>
      <c r="Q283" s="398"/>
      <c r="R283" s="398"/>
      <c r="S283" s="398"/>
      <c r="T283" s="738"/>
      <c r="U283" s="738"/>
      <c r="V283" s="738"/>
    </row>
    <row r="284" spans="1:22" ht="15.75" customHeight="1">
      <c r="A284" s="398"/>
      <c r="B284" s="398"/>
      <c r="C284" s="779"/>
      <c r="D284" s="779"/>
      <c r="E284" s="779"/>
      <c r="F284" s="779"/>
      <c r="G284" s="779"/>
      <c r="H284" s="779"/>
      <c r="I284" s="779"/>
      <c r="J284" s="779"/>
      <c r="K284" s="779"/>
      <c r="L284" s="779"/>
      <c r="M284" s="779"/>
      <c r="N284" s="606"/>
      <c r="O284" s="398"/>
      <c r="P284" s="398"/>
      <c r="Q284" s="398"/>
      <c r="R284" s="398"/>
      <c r="S284" s="398"/>
      <c r="T284" s="738"/>
      <c r="U284" s="738"/>
      <c r="V284" s="738"/>
    </row>
    <row r="285" spans="1:22" ht="15.75" customHeight="1">
      <c r="A285" s="398"/>
      <c r="B285" s="398"/>
      <c r="C285" s="779"/>
      <c r="D285" s="779"/>
      <c r="E285" s="779"/>
      <c r="F285" s="779"/>
      <c r="G285" s="779"/>
      <c r="H285" s="779"/>
      <c r="I285" s="779"/>
      <c r="J285" s="779"/>
      <c r="K285" s="779"/>
      <c r="L285" s="779"/>
      <c r="M285" s="779"/>
      <c r="N285" s="606"/>
      <c r="O285" s="398"/>
      <c r="P285" s="398"/>
      <c r="Q285" s="398"/>
      <c r="R285" s="398"/>
      <c r="S285" s="398"/>
      <c r="T285" s="738"/>
      <c r="U285" s="738"/>
      <c r="V285" s="738"/>
    </row>
    <row r="286" spans="1:22" ht="15.75" customHeight="1">
      <c r="A286" s="398"/>
      <c r="B286" s="398"/>
      <c r="C286" s="779"/>
      <c r="D286" s="779"/>
      <c r="E286" s="779"/>
      <c r="F286" s="779"/>
      <c r="G286" s="779"/>
      <c r="H286" s="779"/>
      <c r="I286" s="779"/>
      <c r="J286" s="779"/>
      <c r="K286" s="779"/>
      <c r="L286" s="779"/>
      <c r="M286" s="779"/>
      <c r="N286" s="606"/>
      <c r="O286" s="398"/>
      <c r="P286" s="398"/>
      <c r="Q286" s="398"/>
      <c r="R286" s="398"/>
      <c r="S286" s="398"/>
      <c r="T286" s="738"/>
      <c r="U286" s="738"/>
      <c r="V286" s="738"/>
    </row>
    <row r="287" spans="1:22" ht="15.75" customHeight="1">
      <c r="A287" s="398"/>
      <c r="B287" s="398"/>
      <c r="C287" s="779"/>
      <c r="D287" s="779"/>
      <c r="E287" s="779"/>
      <c r="F287" s="779"/>
      <c r="G287" s="779"/>
      <c r="H287" s="779"/>
      <c r="I287" s="779"/>
      <c r="J287" s="779"/>
      <c r="K287" s="779"/>
      <c r="L287" s="779"/>
      <c r="M287" s="779"/>
      <c r="N287" s="606"/>
      <c r="O287" s="398"/>
      <c r="P287" s="398"/>
      <c r="Q287" s="398"/>
      <c r="R287" s="398"/>
      <c r="S287" s="398"/>
      <c r="T287" s="738"/>
      <c r="U287" s="738"/>
      <c r="V287" s="738"/>
    </row>
    <row r="288" spans="1:22" ht="15.75" customHeight="1">
      <c r="A288" s="398"/>
      <c r="B288" s="398"/>
      <c r="C288" s="779"/>
      <c r="D288" s="779"/>
      <c r="E288" s="779"/>
      <c r="F288" s="779"/>
      <c r="G288" s="779"/>
      <c r="H288" s="779"/>
      <c r="I288" s="779"/>
      <c r="J288" s="779"/>
      <c r="K288" s="779"/>
      <c r="L288" s="779"/>
      <c r="M288" s="779"/>
      <c r="N288" s="606"/>
      <c r="O288" s="398"/>
      <c r="P288" s="398"/>
      <c r="Q288" s="398"/>
      <c r="R288" s="398"/>
      <c r="S288" s="398"/>
      <c r="T288" s="738"/>
      <c r="U288" s="738"/>
      <c r="V288" s="738"/>
    </row>
    <row r="289" spans="1:22" ht="15.75" customHeight="1">
      <c r="A289" s="398"/>
      <c r="B289" s="398"/>
      <c r="C289" s="779"/>
      <c r="D289" s="779"/>
      <c r="E289" s="779"/>
      <c r="F289" s="779"/>
      <c r="G289" s="779"/>
      <c r="H289" s="779"/>
      <c r="I289" s="779"/>
      <c r="J289" s="779"/>
      <c r="K289" s="779"/>
      <c r="L289" s="779"/>
      <c r="M289" s="779"/>
      <c r="N289" s="606"/>
      <c r="O289" s="398"/>
      <c r="P289" s="398"/>
      <c r="Q289" s="398"/>
      <c r="R289" s="398"/>
      <c r="S289" s="398"/>
      <c r="T289" s="738"/>
      <c r="U289" s="738"/>
      <c r="V289" s="738"/>
    </row>
    <row r="290" spans="1:22" ht="15.75" customHeight="1">
      <c r="A290" s="398"/>
      <c r="B290" s="398"/>
      <c r="C290" s="779"/>
      <c r="D290" s="779"/>
      <c r="E290" s="779"/>
      <c r="F290" s="779"/>
      <c r="G290" s="779"/>
      <c r="H290" s="779"/>
      <c r="I290" s="779"/>
      <c r="J290" s="779"/>
      <c r="K290" s="779"/>
      <c r="L290" s="779"/>
      <c r="M290" s="779"/>
      <c r="N290" s="606"/>
      <c r="O290" s="398"/>
      <c r="P290" s="398"/>
      <c r="Q290" s="398"/>
      <c r="R290" s="398"/>
      <c r="S290" s="398"/>
      <c r="T290" s="738"/>
      <c r="U290" s="738"/>
      <c r="V290" s="738"/>
    </row>
    <row r="291" spans="1:22" ht="15.75" customHeight="1">
      <c r="A291" s="398"/>
      <c r="B291" s="398"/>
      <c r="C291" s="779"/>
      <c r="D291" s="779"/>
      <c r="E291" s="779"/>
      <c r="F291" s="779"/>
      <c r="G291" s="779"/>
      <c r="H291" s="779"/>
      <c r="I291" s="779"/>
      <c r="J291" s="779"/>
      <c r="K291" s="779"/>
      <c r="L291" s="779"/>
      <c r="M291" s="779"/>
      <c r="N291" s="606"/>
      <c r="O291" s="398"/>
      <c r="P291" s="398"/>
      <c r="Q291" s="398"/>
      <c r="R291" s="398"/>
      <c r="S291" s="398"/>
      <c r="T291" s="738"/>
      <c r="U291" s="738"/>
      <c r="V291" s="738"/>
    </row>
    <row r="292" spans="1:22" ht="15.75" customHeight="1">
      <c r="A292" s="398"/>
      <c r="B292" s="398"/>
      <c r="C292" s="779"/>
      <c r="D292" s="779"/>
      <c r="E292" s="779"/>
      <c r="F292" s="779"/>
      <c r="G292" s="779"/>
      <c r="H292" s="779"/>
      <c r="I292" s="779"/>
      <c r="J292" s="779"/>
      <c r="K292" s="779"/>
      <c r="L292" s="779"/>
      <c r="M292" s="779"/>
      <c r="N292" s="606"/>
      <c r="O292" s="398"/>
      <c r="P292" s="398"/>
      <c r="Q292" s="398"/>
      <c r="R292" s="398"/>
      <c r="S292" s="398"/>
      <c r="T292" s="738"/>
      <c r="U292" s="738"/>
      <c r="V292" s="738"/>
    </row>
    <row r="293" spans="1:22" ht="15.75" customHeight="1">
      <c r="A293" s="398"/>
      <c r="B293" s="398"/>
      <c r="C293" s="779"/>
      <c r="D293" s="779"/>
      <c r="E293" s="779"/>
      <c r="F293" s="779"/>
      <c r="G293" s="779"/>
      <c r="H293" s="779"/>
      <c r="I293" s="779"/>
      <c r="J293" s="779"/>
      <c r="K293" s="779"/>
      <c r="L293" s="779"/>
      <c r="M293" s="779"/>
      <c r="N293" s="606"/>
      <c r="O293" s="398"/>
      <c r="P293" s="398"/>
      <c r="Q293" s="398"/>
      <c r="R293" s="398"/>
      <c r="S293" s="398"/>
      <c r="T293" s="738"/>
      <c r="U293" s="738"/>
      <c r="V293" s="738"/>
    </row>
    <row r="294" spans="1:22" ht="15.75" customHeight="1">
      <c r="A294" s="398"/>
      <c r="B294" s="398"/>
      <c r="C294" s="779"/>
      <c r="D294" s="779"/>
      <c r="E294" s="779"/>
      <c r="F294" s="779"/>
      <c r="G294" s="779"/>
      <c r="H294" s="779"/>
      <c r="I294" s="779"/>
      <c r="J294" s="779"/>
      <c r="K294" s="779"/>
      <c r="L294" s="779"/>
      <c r="M294" s="779"/>
      <c r="N294" s="606"/>
      <c r="O294" s="398"/>
      <c r="P294" s="398"/>
      <c r="Q294" s="398"/>
      <c r="R294" s="398"/>
      <c r="S294" s="398"/>
      <c r="T294" s="738"/>
      <c r="U294" s="738"/>
      <c r="V294" s="738"/>
    </row>
    <row r="295" spans="1:22" ht="15.75" customHeight="1">
      <c r="A295" s="398"/>
      <c r="B295" s="398"/>
      <c r="C295" s="779"/>
      <c r="D295" s="779"/>
      <c r="E295" s="779"/>
      <c r="F295" s="779"/>
      <c r="G295" s="779"/>
      <c r="H295" s="779"/>
      <c r="I295" s="779"/>
      <c r="J295" s="779"/>
      <c r="K295" s="779"/>
      <c r="L295" s="779"/>
      <c r="M295" s="779"/>
      <c r="N295" s="606"/>
      <c r="O295" s="398"/>
      <c r="P295" s="398"/>
      <c r="Q295" s="398"/>
      <c r="R295" s="398"/>
      <c r="S295" s="398"/>
      <c r="T295" s="738"/>
      <c r="U295" s="738"/>
      <c r="V295" s="738"/>
    </row>
    <row r="296" spans="1:22" ht="15.75" customHeight="1">
      <c r="A296" s="398"/>
      <c r="B296" s="398"/>
      <c r="C296" s="779"/>
      <c r="D296" s="779"/>
      <c r="E296" s="779"/>
      <c r="F296" s="779"/>
      <c r="G296" s="779"/>
      <c r="H296" s="779"/>
      <c r="I296" s="779"/>
      <c r="J296" s="779"/>
      <c r="K296" s="779"/>
      <c r="L296" s="779"/>
      <c r="M296" s="779"/>
      <c r="N296" s="606"/>
      <c r="O296" s="398"/>
      <c r="P296" s="398"/>
      <c r="Q296" s="398"/>
      <c r="R296" s="398"/>
      <c r="S296" s="398"/>
      <c r="T296" s="738"/>
      <c r="U296" s="738"/>
      <c r="V296" s="738"/>
    </row>
    <row r="297" spans="1:22" ht="15.75" customHeight="1">
      <c r="A297" s="398"/>
      <c r="B297" s="398"/>
      <c r="C297" s="779"/>
      <c r="D297" s="779"/>
      <c r="E297" s="779"/>
      <c r="F297" s="779"/>
      <c r="G297" s="779"/>
      <c r="H297" s="779"/>
      <c r="I297" s="779"/>
      <c r="J297" s="779"/>
      <c r="K297" s="779"/>
      <c r="L297" s="779"/>
      <c r="M297" s="779"/>
      <c r="N297" s="606"/>
      <c r="O297" s="398"/>
      <c r="P297" s="398"/>
      <c r="Q297" s="398"/>
      <c r="R297" s="398"/>
      <c r="S297" s="398"/>
      <c r="T297" s="738"/>
      <c r="U297" s="738"/>
      <c r="V297" s="738"/>
    </row>
    <row r="298" spans="1:22" ht="15.75" customHeight="1">
      <c r="A298" s="398"/>
      <c r="B298" s="398"/>
      <c r="C298" s="779"/>
      <c r="D298" s="779"/>
      <c r="E298" s="779"/>
      <c r="F298" s="779"/>
      <c r="G298" s="779"/>
      <c r="H298" s="779"/>
      <c r="I298" s="779"/>
      <c r="J298" s="779"/>
      <c r="K298" s="779"/>
      <c r="L298" s="779"/>
      <c r="M298" s="779"/>
      <c r="N298" s="606"/>
      <c r="O298" s="398"/>
      <c r="P298" s="398"/>
      <c r="Q298" s="398"/>
      <c r="R298" s="398"/>
      <c r="S298" s="398"/>
      <c r="T298" s="738"/>
      <c r="U298" s="738"/>
      <c r="V298" s="738"/>
    </row>
    <row r="299" spans="1:22" ht="15.75" customHeight="1">
      <c r="A299" s="398"/>
      <c r="B299" s="398"/>
      <c r="C299" s="779"/>
      <c r="D299" s="779"/>
      <c r="E299" s="779"/>
      <c r="F299" s="779"/>
      <c r="G299" s="779"/>
      <c r="H299" s="779"/>
      <c r="I299" s="779"/>
      <c r="J299" s="779"/>
      <c r="K299" s="779"/>
      <c r="L299" s="779"/>
      <c r="M299" s="779"/>
      <c r="N299" s="606"/>
      <c r="O299" s="398"/>
      <c r="P299" s="398"/>
      <c r="Q299" s="398"/>
      <c r="R299" s="398"/>
      <c r="S299" s="398"/>
      <c r="T299" s="738"/>
      <c r="U299" s="738"/>
      <c r="V299" s="738"/>
    </row>
    <row r="300" spans="1:22" ht="15.75" customHeight="1">
      <c r="A300" s="398"/>
      <c r="B300" s="398"/>
      <c r="C300" s="779"/>
      <c r="D300" s="779"/>
      <c r="E300" s="779"/>
      <c r="F300" s="779"/>
      <c r="G300" s="779"/>
      <c r="H300" s="779"/>
      <c r="I300" s="779"/>
      <c r="J300" s="779"/>
      <c r="K300" s="779"/>
      <c r="L300" s="779"/>
      <c r="M300" s="779"/>
      <c r="N300" s="606"/>
      <c r="O300" s="398"/>
      <c r="P300" s="398"/>
      <c r="Q300" s="398"/>
      <c r="R300" s="398"/>
      <c r="S300" s="398"/>
      <c r="T300" s="738"/>
      <c r="U300" s="738"/>
      <c r="V300" s="738"/>
    </row>
    <row r="301" spans="1:22" ht="15.75" customHeight="1">
      <c r="A301" s="398"/>
      <c r="B301" s="398"/>
      <c r="C301" s="779"/>
      <c r="D301" s="779"/>
      <c r="E301" s="779"/>
      <c r="F301" s="779"/>
      <c r="G301" s="779"/>
      <c r="H301" s="779"/>
      <c r="I301" s="779"/>
      <c r="J301" s="779"/>
      <c r="K301" s="779"/>
      <c r="L301" s="779"/>
      <c r="M301" s="779"/>
      <c r="N301" s="606"/>
      <c r="O301" s="398"/>
      <c r="P301" s="398"/>
      <c r="Q301" s="398"/>
      <c r="R301" s="398"/>
      <c r="S301" s="398"/>
      <c r="T301" s="738"/>
      <c r="U301" s="738"/>
      <c r="V301" s="738"/>
    </row>
    <row r="302" spans="1:22" ht="15.75" customHeight="1">
      <c r="A302" s="398"/>
      <c r="B302" s="398"/>
      <c r="C302" s="779"/>
      <c r="D302" s="779"/>
      <c r="E302" s="779"/>
      <c r="F302" s="779"/>
      <c r="G302" s="779"/>
      <c r="H302" s="779"/>
      <c r="I302" s="779"/>
      <c r="J302" s="779"/>
      <c r="K302" s="779"/>
      <c r="L302" s="779"/>
      <c r="M302" s="779"/>
      <c r="N302" s="606"/>
      <c r="O302" s="398"/>
      <c r="P302" s="398"/>
      <c r="Q302" s="398"/>
      <c r="R302" s="398"/>
      <c r="S302" s="398"/>
      <c r="T302" s="738"/>
      <c r="U302" s="738"/>
      <c r="V302" s="738"/>
    </row>
    <row r="303" spans="1:22" ht="15.75" customHeight="1">
      <c r="A303" s="398"/>
      <c r="B303" s="398"/>
      <c r="C303" s="779"/>
      <c r="D303" s="779"/>
      <c r="E303" s="779"/>
      <c r="F303" s="779"/>
      <c r="G303" s="779"/>
      <c r="H303" s="779"/>
      <c r="I303" s="779"/>
      <c r="J303" s="779"/>
      <c r="K303" s="779"/>
      <c r="L303" s="779"/>
      <c r="M303" s="779"/>
      <c r="N303" s="606"/>
      <c r="O303" s="398"/>
      <c r="P303" s="398"/>
      <c r="Q303" s="398"/>
      <c r="R303" s="398"/>
      <c r="S303" s="398"/>
      <c r="T303" s="738"/>
      <c r="U303" s="738"/>
      <c r="V303" s="738"/>
    </row>
    <row r="304" spans="1:22" ht="15.75" customHeight="1">
      <c r="A304" s="398"/>
      <c r="B304" s="398"/>
      <c r="C304" s="779"/>
      <c r="D304" s="779"/>
      <c r="E304" s="779"/>
      <c r="F304" s="779"/>
      <c r="G304" s="779"/>
      <c r="H304" s="779"/>
      <c r="I304" s="779"/>
      <c r="J304" s="779"/>
      <c r="K304" s="779"/>
      <c r="L304" s="779"/>
      <c r="M304" s="779"/>
      <c r="N304" s="606"/>
      <c r="O304" s="398"/>
      <c r="P304" s="398"/>
      <c r="Q304" s="398"/>
      <c r="R304" s="398"/>
      <c r="S304" s="398"/>
      <c r="T304" s="738"/>
      <c r="U304" s="738"/>
      <c r="V304" s="738"/>
    </row>
    <row r="305" spans="1:22" ht="15.75" customHeight="1">
      <c r="A305" s="398"/>
      <c r="B305" s="398"/>
      <c r="C305" s="779"/>
      <c r="D305" s="779"/>
      <c r="E305" s="779"/>
      <c r="F305" s="779"/>
      <c r="G305" s="779"/>
      <c r="H305" s="779"/>
      <c r="I305" s="779"/>
      <c r="J305" s="779"/>
      <c r="K305" s="779"/>
      <c r="L305" s="779"/>
      <c r="M305" s="779"/>
      <c r="N305" s="606"/>
      <c r="O305" s="398"/>
      <c r="P305" s="398"/>
      <c r="Q305" s="398"/>
      <c r="R305" s="398"/>
      <c r="S305" s="398"/>
      <c r="T305" s="738"/>
      <c r="U305" s="738"/>
      <c r="V305" s="738"/>
    </row>
    <row r="306" spans="1:22" ht="15.75" customHeight="1">
      <c r="A306" s="398"/>
      <c r="B306" s="398"/>
      <c r="C306" s="779"/>
      <c r="D306" s="779"/>
      <c r="E306" s="779"/>
      <c r="F306" s="779"/>
      <c r="G306" s="779"/>
      <c r="H306" s="779"/>
      <c r="I306" s="779"/>
      <c r="J306" s="779"/>
      <c r="K306" s="779"/>
      <c r="L306" s="779"/>
      <c r="M306" s="779"/>
      <c r="N306" s="606"/>
      <c r="O306" s="398"/>
      <c r="P306" s="398"/>
      <c r="Q306" s="398"/>
      <c r="R306" s="398"/>
      <c r="S306" s="398"/>
      <c r="T306" s="738"/>
      <c r="U306" s="738"/>
      <c r="V306" s="738"/>
    </row>
    <row r="307" spans="1:22" ht="15.75" customHeight="1">
      <c r="A307" s="398"/>
      <c r="B307" s="398"/>
      <c r="C307" s="779"/>
      <c r="D307" s="779"/>
      <c r="E307" s="779"/>
      <c r="F307" s="779"/>
      <c r="G307" s="779"/>
      <c r="H307" s="779"/>
      <c r="I307" s="779"/>
      <c r="J307" s="779"/>
      <c r="K307" s="779"/>
      <c r="L307" s="779"/>
      <c r="M307" s="779"/>
      <c r="N307" s="606"/>
      <c r="O307" s="398"/>
      <c r="P307" s="398"/>
      <c r="Q307" s="398"/>
      <c r="R307" s="398"/>
      <c r="S307" s="398"/>
      <c r="T307" s="738"/>
      <c r="U307" s="738"/>
      <c r="V307" s="738"/>
    </row>
    <row r="308" spans="1:22" ht="15.75" customHeight="1">
      <c r="A308" s="398"/>
      <c r="B308" s="398"/>
      <c r="C308" s="779"/>
      <c r="D308" s="779"/>
      <c r="E308" s="779"/>
      <c r="F308" s="779"/>
      <c r="G308" s="779"/>
      <c r="H308" s="779"/>
      <c r="I308" s="779"/>
      <c r="J308" s="779"/>
      <c r="K308" s="779"/>
      <c r="L308" s="779"/>
      <c r="M308" s="779"/>
      <c r="N308" s="606"/>
      <c r="O308" s="398"/>
      <c r="P308" s="398"/>
      <c r="Q308" s="398"/>
      <c r="R308" s="398"/>
      <c r="S308" s="398"/>
      <c r="T308" s="738"/>
      <c r="U308" s="738"/>
      <c r="V308" s="738"/>
    </row>
    <row r="309" spans="1:22" ht="15.75" customHeight="1">
      <c r="A309" s="398"/>
      <c r="B309" s="398"/>
      <c r="C309" s="779"/>
      <c r="D309" s="779"/>
      <c r="E309" s="779"/>
      <c r="F309" s="779"/>
      <c r="G309" s="779"/>
      <c r="H309" s="779"/>
      <c r="I309" s="779"/>
      <c r="J309" s="779"/>
      <c r="K309" s="779"/>
      <c r="L309" s="779"/>
      <c r="M309" s="779"/>
      <c r="N309" s="606"/>
      <c r="O309" s="398"/>
      <c r="P309" s="398"/>
      <c r="Q309" s="398"/>
      <c r="R309" s="398"/>
      <c r="S309" s="398"/>
      <c r="T309" s="738"/>
      <c r="U309" s="738"/>
      <c r="V309" s="738"/>
    </row>
    <row r="310" spans="1:22" ht="15.75" customHeight="1">
      <c r="A310" s="398"/>
      <c r="B310" s="398"/>
      <c r="C310" s="779"/>
      <c r="D310" s="779"/>
      <c r="E310" s="779"/>
      <c r="F310" s="779"/>
      <c r="G310" s="779"/>
      <c r="H310" s="779"/>
      <c r="I310" s="779"/>
      <c r="J310" s="779"/>
      <c r="K310" s="779"/>
      <c r="L310" s="779"/>
      <c r="M310" s="779"/>
      <c r="N310" s="606"/>
      <c r="O310" s="398"/>
      <c r="P310" s="398"/>
      <c r="Q310" s="398"/>
      <c r="R310" s="398"/>
      <c r="S310" s="398"/>
      <c r="T310" s="738"/>
      <c r="U310" s="738"/>
      <c r="V310" s="738"/>
    </row>
    <row r="311" spans="1:22" ht="15.75" customHeight="1">
      <c r="A311" s="398"/>
      <c r="B311" s="398"/>
      <c r="C311" s="779"/>
      <c r="D311" s="779"/>
      <c r="E311" s="779"/>
      <c r="F311" s="779"/>
      <c r="G311" s="779"/>
      <c r="H311" s="779"/>
      <c r="I311" s="779"/>
      <c r="J311" s="779"/>
      <c r="K311" s="779"/>
      <c r="L311" s="779"/>
      <c r="M311" s="779"/>
      <c r="N311" s="606"/>
      <c r="O311" s="398"/>
      <c r="P311" s="398"/>
      <c r="Q311" s="398"/>
      <c r="R311" s="398"/>
      <c r="S311" s="398"/>
      <c r="T311" s="738"/>
      <c r="U311" s="738"/>
      <c r="V311" s="738"/>
    </row>
    <row r="312" spans="1:22" ht="15.75" customHeight="1">
      <c r="A312" s="398"/>
      <c r="B312" s="398"/>
      <c r="C312" s="779"/>
      <c r="D312" s="779"/>
      <c r="E312" s="779"/>
      <c r="F312" s="779"/>
      <c r="G312" s="779"/>
      <c r="H312" s="779"/>
      <c r="I312" s="779"/>
      <c r="J312" s="779"/>
      <c r="K312" s="779"/>
      <c r="L312" s="779"/>
      <c r="M312" s="779"/>
      <c r="N312" s="606"/>
      <c r="O312" s="398"/>
      <c r="P312" s="398"/>
      <c r="Q312" s="398"/>
      <c r="R312" s="398"/>
      <c r="S312" s="398"/>
      <c r="T312" s="738"/>
      <c r="U312" s="738"/>
      <c r="V312" s="738"/>
    </row>
    <row r="313" spans="1:22" ht="15.75" customHeight="1">
      <c r="A313" s="398"/>
      <c r="B313" s="398"/>
      <c r="C313" s="779"/>
      <c r="D313" s="779"/>
      <c r="E313" s="779"/>
      <c r="F313" s="779"/>
      <c r="G313" s="779"/>
      <c r="H313" s="779"/>
      <c r="I313" s="779"/>
      <c r="J313" s="779"/>
      <c r="K313" s="779"/>
      <c r="L313" s="779"/>
      <c r="M313" s="779"/>
      <c r="N313" s="606"/>
      <c r="O313" s="398"/>
      <c r="P313" s="398"/>
      <c r="Q313" s="398"/>
      <c r="R313" s="398"/>
      <c r="S313" s="398"/>
      <c r="T313" s="738"/>
      <c r="U313" s="738"/>
      <c r="V313" s="738"/>
    </row>
    <row r="314" spans="1:22" ht="15.75" customHeight="1">
      <c r="A314" s="398"/>
      <c r="B314" s="398"/>
      <c r="C314" s="779"/>
      <c r="D314" s="779"/>
      <c r="E314" s="779"/>
      <c r="F314" s="779"/>
      <c r="G314" s="779"/>
      <c r="H314" s="779"/>
      <c r="I314" s="779"/>
      <c r="J314" s="779"/>
      <c r="K314" s="779"/>
      <c r="L314" s="779"/>
      <c r="M314" s="779"/>
      <c r="N314" s="606"/>
      <c r="O314" s="398"/>
      <c r="P314" s="398"/>
      <c r="Q314" s="398"/>
      <c r="R314" s="398"/>
      <c r="S314" s="398"/>
      <c r="T314" s="738"/>
      <c r="U314" s="738"/>
      <c r="V314" s="738"/>
    </row>
    <row r="315" spans="1:22" ht="15.75" customHeight="1">
      <c r="A315" s="398"/>
      <c r="B315" s="398"/>
      <c r="C315" s="779"/>
      <c r="D315" s="779"/>
      <c r="E315" s="779"/>
      <c r="F315" s="779"/>
      <c r="G315" s="779"/>
      <c r="H315" s="779"/>
      <c r="I315" s="779"/>
      <c r="J315" s="779"/>
      <c r="K315" s="779"/>
      <c r="L315" s="779"/>
      <c r="M315" s="779"/>
      <c r="N315" s="606"/>
      <c r="O315" s="398"/>
      <c r="P315" s="398"/>
      <c r="Q315" s="398"/>
      <c r="R315" s="398"/>
      <c r="S315" s="398"/>
      <c r="T315" s="738"/>
      <c r="U315" s="738"/>
      <c r="V315" s="738"/>
    </row>
    <row r="316" spans="1:22" ht="15.75" customHeight="1">
      <c r="A316" s="398"/>
      <c r="B316" s="398"/>
      <c r="C316" s="779"/>
      <c r="D316" s="779"/>
      <c r="E316" s="779"/>
      <c r="F316" s="779"/>
      <c r="G316" s="779"/>
      <c r="H316" s="779"/>
      <c r="I316" s="779"/>
      <c r="J316" s="779"/>
      <c r="K316" s="779"/>
      <c r="L316" s="779"/>
      <c r="M316" s="779"/>
      <c r="N316" s="606"/>
      <c r="O316" s="398"/>
      <c r="P316" s="398"/>
      <c r="Q316" s="398"/>
      <c r="R316" s="398"/>
      <c r="S316" s="398"/>
      <c r="T316" s="738"/>
      <c r="U316" s="738"/>
      <c r="V316" s="738"/>
    </row>
    <row r="317" spans="1:22" ht="15.75" customHeight="1">
      <c r="A317" s="398"/>
      <c r="B317" s="398"/>
      <c r="C317" s="779"/>
      <c r="D317" s="779"/>
      <c r="E317" s="779"/>
      <c r="F317" s="779"/>
      <c r="G317" s="779"/>
      <c r="H317" s="779"/>
      <c r="I317" s="779"/>
      <c r="J317" s="779"/>
      <c r="K317" s="779"/>
      <c r="L317" s="779"/>
      <c r="M317" s="779"/>
      <c r="N317" s="606"/>
      <c r="O317" s="398"/>
      <c r="P317" s="398"/>
      <c r="Q317" s="398"/>
      <c r="R317" s="398"/>
      <c r="S317" s="398"/>
      <c r="T317" s="738"/>
      <c r="U317" s="738"/>
      <c r="V317" s="738"/>
    </row>
    <row r="318" spans="1:22" ht="15.75" customHeight="1">
      <c r="A318" s="398"/>
      <c r="B318" s="398"/>
      <c r="C318" s="779"/>
      <c r="D318" s="779"/>
      <c r="E318" s="779"/>
      <c r="F318" s="779"/>
      <c r="G318" s="779"/>
      <c r="H318" s="779"/>
      <c r="I318" s="779"/>
      <c r="J318" s="779"/>
      <c r="K318" s="779"/>
      <c r="L318" s="779"/>
      <c r="M318" s="779"/>
      <c r="N318" s="606"/>
      <c r="O318" s="398"/>
      <c r="P318" s="398"/>
      <c r="Q318" s="398"/>
      <c r="R318" s="398"/>
      <c r="S318" s="398"/>
      <c r="T318" s="738"/>
      <c r="U318" s="738"/>
      <c r="V318" s="738"/>
    </row>
    <row r="319" spans="1:22" ht="15.75" customHeight="1">
      <c r="A319" s="398"/>
      <c r="B319" s="398"/>
      <c r="C319" s="779"/>
      <c r="D319" s="779"/>
      <c r="E319" s="779"/>
      <c r="F319" s="779"/>
      <c r="G319" s="779"/>
      <c r="H319" s="779"/>
      <c r="I319" s="779"/>
      <c r="J319" s="779"/>
      <c r="K319" s="779"/>
      <c r="L319" s="779"/>
      <c r="M319" s="779"/>
      <c r="N319" s="606"/>
      <c r="O319" s="398"/>
      <c r="P319" s="398"/>
      <c r="Q319" s="398"/>
      <c r="R319" s="398"/>
      <c r="S319" s="398"/>
      <c r="T319" s="738"/>
      <c r="U319" s="738"/>
      <c r="V319" s="738"/>
    </row>
    <row r="320" spans="1:22" ht="15.75" customHeight="1">
      <c r="A320" s="398"/>
      <c r="B320" s="398"/>
      <c r="C320" s="779"/>
      <c r="D320" s="779"/>
      <c r="E320" s="779"/>
      <c r="F320" s="779"/>
      <c r="G320" s="779"/>
      <c r="H320" s="779"/>
      <c r="I320" s="779"/>
      <c r="J320" s="779"/>
      <c r="K320" s="779"/>
      <c r="L320" s="779"/>
      <c r="M320" s="779"/>
      <c r="N320" s="606"/>
      <c r="O320" s="398"/>
      <c r="P320" s="398"/>
      <c r="Q320" s="398"/>
      <c r="R320" s="398"/>
      <c r="S320" s="398"/>
      <c r="T320" s="738"/>
      <c r="U320" s="738"/>
      <c r="V320" s="738"/>
    </row>
    <row r="321" spans="1:22" ht="15.75" customHeight="1">
      <c r="A321" s="398"/>
      <c r="B321" s="398"/>
      <c r="C321" s="779"/>
      <c r="D321" s="779"/>
      <c r="E321" s="779"/>
      <c r="F321" s="779"/>
      <c r="G321" s="779"/>
      <c r="H321" s="779"/>
      <c r="I321" s="779"/>
      <c r="J321" s="779"/>
      <c r="K321" s="779"/>
      <c r="L321" s="779"/>
      <c r="M321" s="779"/>
      <c r="N321" s="606"/>
      <c r="O321" s="398"/>
      <c r="P321" s="398"/>
      <c r="Q321" s="398"/>
      <c r="R321" s="398"/>
      <c r="S321" s="398"/>
      <c r="T321" s="738"/>
      <c r="U321" s="738"/>
      <c r="V321" s="738"/>
    </row>
    <row r="322" spans="1:22" ht="15.75" customHeight="1">
      <c r="A322" s="398"/>
      <c r="B322" s="398"/>
      <c r="C322" s="779"/>
      <c r="D322" s="779"/>
      <c r="E322" s="779"/>
      <c r="F322" s="779"/>
      <c r="G322" s="779"/>
      <c r="H322" s="779"/>
      <c r="I322" s="779"/>
      <c r="J322" s="779"/>
      <c r="K322" s="779"/>
      <c r="L322" s="779"/>
      <c r="M322" s="779"/>
      <c r="N322" s="606"/>
      <c r="O322" s="398"/>
      <c r="P322" s="398"/>
      <c r="Q322" s="398"/>
      <c r="R322" s="398"/>
      <c r="S322" s="398"/>
      <c r="T322" s="738"/>
      <c r="U322" s="738"/>
      <c r="V322" s="738"/>
    </row>
    <row r="323" spans="1:22" ht="15.75" customHeight="1">
      <c r="A323" s="398"/>
      <c r="B323" s="398"/>
      <c r="C323" s="779"/>
      <c r="D323" s="779"/>
      <c r="E323" s="779"/>
      <c r="F323" s="779"/>
      <c r="G323" s="779"/>
      <c r="H323" s="779"/>
      <c r="I323" s="779"/>
      <c r="J323" s="779"/>
      <c r="K323" s="779"/>
      <c r="L323" s="779"/>
      <c r="M323" s="779"/>
      <c r="N323" s="606"/>
      <c r="O323" s="398"/>
      <c r="P323" s="398"/>
      <c r="Q323" s="398"/>
      <c r="R323" s="398"/>
      <c r="S323" s="398"/>
      <c r="T323" s="738"/>
      <c r="U323" s="738"/>
      <c r="V323" s="738"/>
    </row>
    <row r="324" spans="1:22" ht="15.75" customHeight="1">
      <c r="A324" s="398"/>
      <c r="B324" s="398"/>
      <c r="C324" s="779"/>
      <c r="D324" s="779"/>
      <c r="E324" s="779"/>
      <c r="F324" s="779"/>
      <c r="G324" s="779"/>
      <c r="H324" s="779"/>
      <c r="I324" s="779"/>
      <c r="J324" s="779"/>
      <c r="K324" s="779"/>
      <c r="L324" s="779"/>
      <c r="M324" s="779"/>
      <c r="N324" s="606"/>
      <c r="O324" s="398"/>
      <c r="P324" s="398"/>
      <c r="Q324" s="398"/>
      <c r="R324" s="398"/>
      <c r="S324" s="398"/>
      <c r="T324" s="738"/>
      <c r="U324" s="738"/>
      <c r="V324" s="738"/>
    </row>
    <row r="325" spans="1:22" ht="15.75" customHeight="1">
      <c r="A325" s="398"/>
      <c r="B325" s="398"/>
      <c r="C325" s="779"/>
      <c r="D325" s="779"/>
      <c r="E325" s="779"/>
      <c r="F325" s="779"/>
      <c r="G325" s="779"/>
      <c r="H325" s="779"/>
      <c r="I325" s="779"/>
      <c r="J325" s="779"/>
      <c r="K325" s="779"/>
      <c r="L325" s="779"/>
      <c r="M325" s="779"/>
      <c r="N325" s="606"/>
      <c r="O325" s="398"/>
      <c r="P325" s="398"/>
      <c r="Q325" s="398"/>
      <c r="R325" s="398"/>
      <c r="S325" s="398"/>
      <c r="T325" s="738"/>
      <c r="U325" s="738"/>
      <c r="V325" s="738"/>
    </row>
    <row r="326" spans="1:22" ht="15.75" customHeight="1">
      <c r="A326" s="398"/>
      <c r="B326" s="398"/>
      <c r="C326" s="779"/>
      <c r="D326" s="779"/>
      <c r="E326" s="779"/>
      <c r="F326" s="779"/>
      <c r="G326" s="779"/>
      <c r="H326" s="779"/>
      <c r="I326" s="779"/>
      <c r="J326" s="779"/>
      <c r="K326" s="779"/>
      <c r="L326" s="779"/>
      <c r="M326" s="779"/>
      <c r="N326" s="606"/>
      <c r="O326" s="398"/>
      <c r="P326" s="398"/>
      <c r="Q326" s="398"/>
      <c r="R326" s="398"/>
      <c r="S326" s="398"/>
      <c r="T326" s="738"/>
      <c r="U326" s="738"/>
      <c r="V326" s="738"/>
    </row>
    <row r="327" spans="1:22" ht="15.75" customHeight="1">
      <c r="A327" s="398"/>
      <c r="B327" s="398"/>
      <c r="C327" s="779"/>
      <c r="D327" s="779"/>
      <c r="E327" s="779"/>
      <c r="F327" s="779"/>
      <c r="G327" s="779"/>
      <c r="H327" s="779"/>
      <c r="I327" s="779"/>
      <c r="J327" s="779"/>
      <c r="K327" s="779"/>
      <c r="L327" s="779"/>
      <c r="M327" s="779"/>
      <c r="N327" s="606"/>
      <c r="O327" s="398"/>
      <c r="P327" s="398"/>
      <c r="Q327" s="398"/>
      <c r="R327" s="398"/>
      <c r="S327" s="398"/>
      <c r="T327" s="738"/>
      <c r="U327" s="738"/>
      <c r="V327" s="738"/>
    </row>
    <row r="328" spans="1:22" ht="15.75" customHeight="1">
      <c r="A328" s="398"/>
      <c r="B328" s="398"/>
      <c r="C328" s="779"/>
      <c r="D328" s="779"/>
      <c r="E328" s="779"/>
      <c r="F328" s="779"/>
      <c r="G328" s="779"/>
      <c r="H328" s="779"/>
      <c r="I328" s="779"/>
      <c r="J328" s="779"/>
      <c r="K328" s="779"/>
      <c r="L328" s="779"/>
      <c r="M328" s="779"/>
      <c r="N328" s="606"/>
      <c r="O328" s="398"/>
      <c r="P328" s="398"/>
      <c r="Q328" s="398"/>
      <c r="R328" s="398"/>
      <c r="S328" s="398"/>
      <c r="T328" s="738"/>
      <c r="U328" s="738"/>
      <c r="V328" s="738"/>
    </row>
    <row r="329" spans="1:22" ht="15.75" customHeight="1">
      <c r="A329" s="398"/>
      <c r="B329" s="398"/>
      <c r="C329" s="779"/>
      <c r="D329" s="779"/>
      <c r="E329" s="779"/>
      <c r="F329" s="779"/>
      <c r="G329" s="779"/>
      <c r="H329" s="779"/>
      <c r="I329" s="779"/>
      <c r="J329" s="779"/>
      <c r="K329" s="779"/>
      <c r="L329" s="779"/>
      <c r="M329" s="779"/>
      <c r="N329" s="606"/>
      <c r="O329" s="398"/>
      <c r="P329" s="398"/>
      <c r="Q329" s="398"/>
      <c r="R329" s="398"/>
      <c r="S329" s="398"/>
      <c r="T329" s="738"/>
      <c r="U329" s="738"/>
      <c r="V329" s="738"/>
    </row>
    <row r="330" spans="1:22" ht="15.75" customHeight="1">
      <c r="A330" s="398"/>
      <c r="B330" s="398"/>
      <c r="C330" s="779"/>
      <c r="D330" s="779"/>
      <c r="E330" s="779"/>
      <c r="F330" s="779"/>
      <c r="G330" s="779"/>
      <c r="H330" s="779"/>
      <c r="I330" s="779"/>
      <c r="J330" s="779"/>
      <c r="K330" s="779"/>
      <c r="L330" s="779"/>
      <c r="M330" s="779"/>
      <c r="N330" s="606"/>
      <c r="O330" s="398"/>
      <c r="P330" s="398"/>
      <c r="Q330" s="398"/>
      <c r="R330" s="398"/>
      <c r="S330" s="398"/>
      <c r="T330" s="738"/>
      <c r="U330" s="738"/>
      <c r="V330" s="738"/>
    </row>
    <row r="331" spans="1:22" ht="15.75" customHeight="1">
      <c r="A331" s="398"/>
      <c r="B331" s="398"/>
      <c r="C331" s="779"/>
      <c r="D331" s="779"/>
      <c r="E331" s="779"/>
      <c r="F331" s="779"/>
      <c r="G331" s="779"/>
      <c r="H331" s="779"/>
      <c r="I331" s="779"/>
      <c r="J331" s="779"/>
      <c r="K331" s="779"/>
      <c r="L331" s="779"/>
      <c r="M331" s="779"/>
      <c r="N331" s="606"/>
      <c r="O331" s="398"/>
      <c r="P331" s="398"/>
      <c r="Q331" s="398"/>
      <c r="R331" s="398"/>
      <c r="S331" s="398"/>
      <c r="T331" s="738"/>
      <c r="U331" s="738"/>
      <c r="V331" s="738"/>
    </row>
    <row r="332" spans="1:22" ht="15.75" customHeight="1">
      <c r="A332" s="398"/>
      <c r="B332" s="398"/>
      <c r="C332" s="779"/>
      <c r="D332" s="779"/>
      <c r="E332" s="779"/>
      <c r="F332" s="779"/>
      <c r="G332" s="779"/>
      <c r="H332" s="779"/>
      <c r="I332" s="779"/>
      <c r="J332" s="779"/>
      <c r="K332" s="779"/>
      <c r="L332" s="779"/>
      <c r="M332" s="779"/>
      <c r="N332" s="606"/>
      <c r="O332" s="398"/>
      <c r="P332" s="398"/>
      <c r="Q332" s="398"/>
      <c r="R332" s="398"/>
      <c r="S332" s="398"/>
      <c r="T332" s="738"/>
      <c r="U332" s="738"/>
      <c r="V332" s="738"/>
    </row>
    <row r="333" spans="1:22" ht="15.75" customHeight="1">
      <c r="A333" s="398"/>
      <c r="B333" s="398"/>
      <c r="C333" s="779"/>
      <c r="D333" s="779"/>
      <c r="E333" s="779"/>
      <c r="F333" s="779"/>
      <c r="G333" s="779"/>
      <c r="H333" s="779"/>
      <c r="I333" s="779"/>
      <c r="J333" s="779"/>
      <c r="K333" s="779"/>
      <c r="L333" s="779"/>
      <c r="M333" s="779"/>
      <c r="N333" s="606"/>
      <c r="O333" s="398"/>
      <c r="P333" s="398"/>
      <c r="Q333" s="398"/>
      <c r="R333" s="398"/>
      <c r="S333" s="398"/>
      <c r="T333" s="738"/>
      <c r="U333" s="738"/>
      <c r="V333" s="738"/>
    </row>
    <row r="334" spans="1:22" ht="15.75" customHeight="1">
      <c r="A334" s="398"/>
      <c r="B334" s="398"/>
      <c r="C334" s="779"/>
      <c r="D334" s="779"/>
      <c r="E334" s="779"/>
      <c r="F334" s="779"/>
      <c r="G334" s="779"/>
      <c r="H334" s="779"/>
      <c r="I334" s="779"/>
      <c r="J334" s="779"/>
      <c r="K334" s="779"/>
      <c r="L334" s="779"/>
      <c r="M334" s="779"/>
      <c r="N334" s="606"/>
      <c r="O334" s="398"/>
      <c r="P334" s="398"/>
      <c r="Q334" s="398"/>
      <c r="R334" s="398"/>
      <c r="S334" s="398"/>
      <c r="T334" s="738"/>
      <c r="U334" s="738"/>
      <c r="V334" s="738"/>
    </row>
    <row r="335" spans="1:22" ht="15.75" customHeight="1">
      <c r="A335" s="398"/>
      <c r="B335" s="398"/>
      <c r="C335" s="779"/>
      <c r="D335" s="779"/>
      <c r="E335" s="779"/>
      <c r="F335" s="779"/>
      <c r="G335" s="779"/>
      <c r="H335" s="779"/>
      <c r="I335" s="779"/>
      <c r="J335" s="779"/>
      <c r="K335" s="779"/>
      <c r="L335" s="779"/>
      <c r="M335" s="779"/>
      <c r="N335" s="606"/>
      <c r="O335" s="398"/>
      <c r="P335" s="398"/>
      <c r="Q335" s="398"/>
      <c r="R335" s="398"/>
      <c r="S335" s="398"/>
      <c r="T335" s="738"/>
      <c r="U335" s="738"/>
      <c r="V335" s="738"/>
    </row>
    <row r="336" spans="1:22" ht="15.75" customHeight="1">
      <c r="A336" s="398"/>
      <c r="B336" s="398"/>
      <c r="C336" s="779"/>
      <c r="D336" s="779"/>
      <c r="E336" s="779"/>
      <c r="F336" s="779"/>
      <c r="G336" s="779"/>
      <c r="H336" s="779"/>
      <c r="I336" s="779"/>
      <c r="J336" s="779"/>
      <c r="K336" s="779"/>
      <c r="L336" s="779"/>
      <c r="M336" s="779"/>
      <c r="N336" s="606"/>
      <c r="O336" s="398"/>
      <c r="P336" s="398"/>
      <c r="Q336" s="398"/>
      <c r="R336" s="398"/>
      <c r="S336" s="398"/>
      <c r="T336" s="738"/>
      <c r="U336" s="738"/>
      <c r="V336" s="738"/>
    </row>
    <row r="337" spans="1:22" ht="15.75" customHeight="1">
      <c r="A337" s="398"/>
      <c r="B337" s="398"/>
      <c r="C337" s="779"/>
      <c r="D337" s="779"/>
      <c r="E337" s="779"/>
      <c r="F337" s="779"/>
      <c r="G337" s="779"/>
      <c r="H337" s="779"/>
      <c r="I337" s="779"/>
      <c r="J337" s="779"/>
      <c r="K337" s="779"/>
      <c r="L337" s="779"/>
      <c r="M337" s="779"/>
      <c r="N337" s="606"/>
      <c r="O337" s="398"/>
      <c r="P337" s="398"/>
      <c r="Q337" s="398"/>
      <c r="R337" s="398"/>
      <c r="S337" s="398"/>
      <c r="T337" s="738"/>
      <c r="U337" s="738"/>
      <c r="V337" s="738"/>
    </row>
    <row r="338" spans="1:22" ht="15.75" customHeight="1">
      <c r="A338" s="398"/>
      <c r="B338" s="398"/>
      <c r="C338" s="779"/>
      <c r="D338" s="779"/>
      <c r="E338" s="779"/>
      <c r="F338" s="779"/>
      <c r="G338" s="779"/>
      <c r="H338" s="779"/>
      <c r="I338" s="779"/>
      <c r="J338" s="779"/>
      <c r="K338" s="779"/>
      <c r="L338" s="779"/>
      <c r="M338" s="779"/>
      <c r="N338" s="606"/>
      <c r="O338" s="398"/>
      <c r="P338" s="398"/>
      <c r="Q338" s="398"/>
      <c r="R338" s="398"/>
      <c r="S338" s="398"/>
      <c r="T338" s="738"/>
      <c r="U338" s="738"/>
      <c r="V338" s="738"/>
    </row>
    <row r="339" spans="1:22" ht="15.75" customHeight="1">
      <c r="A339" s="398"/>
      <c r="B339" s="398"/>
      <c r="C339" s="779"/>
      <c r="D339" s="779"/>
      <c r="E339" s="779"/>
      <c r="F339" s="779"/>
      <c r="G339" s="779"/>
      <c r="H339" s="779"/>
      <c r="I339" s="779"/>
      <c r="J339" s="779"/>
      <c r="K339" s="779"/>
      <c r="L339" s="779"/>
      <c r="M339" s="779"/>
      <c r="N339" s="606"/>
      <c r="O339" s="398"/>
      <c r="P339" s="398"/>
      <c r="Q339" s="398"/>
      <c r="R339" s="398"/>
      <c r="S339" s="398"/>
      <c r="T339" s="738"/>
      <c r="U339" s="738"/>
      <c r="V339" s="738"/>
    </row>
    <row r="340" spans="1:22" ht="15.75" customHeight="1">
      <c r="A340" s="398"/>
      <c r="B340" s="398"/>
      <c r="C340" s="779"/>
      <c r="D340" s="779"/>
      <c r="E340" s="779"/>
      <c r="F340" s="779"/>
      <c r="G340" s="779"/>
      <c r="H340" s="779"/>
      <c r="I340" s="779"/>
      <c r="J340" s="779"/>
      <c r="K340" s="779"/>
      <c r="L340" s="779"/>
      <c r="M340" s="779"/>
      <c r="N340" s="606"/>
      <c r="O340" s="398"/>
      <c r="P340" s="398"/>
      <c r="Q340" s="398"/>
      <c r="R340" s="398"/>
      <c r="S340" s="398"/>
      <c r="T340" s="738"/>
      <c r="U340" s="738"/>
      <c r="V340" s="738"/>
    </row>
    <row r="341" spans="1:22" ht="15.75" customHeight="1">
      <c r="A341" s="398"/>
      <c r="B341" s="398"/>
      <c r="C341" s="779"/>
      <c r="D341" s="779"/>
      <c r="E341" s="779"/>
      <c r="F341" s="779"/>
      <c r="G341" s="779"/>
      <c r="H341" s="779"/>
      <c r="I341" s="779"/>
      <c r="J341" s="779"/>
      <c r="K341" s="779"/>
      <c r="L341" s="779"/>
      <c r="M341" s="779"/>
      <c r="N341" s="606"/>
      <c r="O341" s="398"/>
      <c r="P341" s="398"/>
      <c r="Q341" s="398"/>
      <c r="R341" s="398"/>
      <c r="S341" s="398"/>
      <c r="T341" s="738"/>
      <c r="U341" s="738"/>
      <c r="V341" s="738"/>
    </row>
    <row r="342" spans="1:22" ht="15.75" customHeight="1">
      <c r="A342" s="398"/>
      <c r="B342" s="398"/>
      <c r="C342" s="779"/>
      <c r="D342" s="779"/>
      <c r="E342" s="779"/>
      <c r="F342" s="779"/>
      <c r="G342" s="779"/>
      <c r="H342" s="779"/>
      <c r="I342" s="779"/>
      <c r="J342" s="779"/>
      <c r="K342" s="779"/>
      <c r="L342" s="779"/>
      <c r="M342" s="779"/>
      <c r="N342" s="606"/>
      <c r="O342" s="398"/>
      <c r="P342" s="398"/>
      <c r="Q342" s="398"/>
      <c r="R342" s="398"/>
      <c r="S342" s="398"/>
      <c r="T342" s="738"/>
      <c r="U342" s="738"/>
      <c r="V342" s="738"/>
    </row>
    <row r="343" spans="1:22" ht="15.75" customHeight="1">
      <c r="A343" s="398"/>
      <c r="B343" s="398"/>
      <c r="C343" s="779"/>
      <c r="D343" s="779"/>
      <c r="E343" s="779"/>
      <c r="F343" s="779"/>
      <c r="G343" s="779"/>
      <c r="H343" s="779"/>
      <c r="I343" s="779"/>
      <c r="J343" s="779"/>
      <c r="K343" s="779"/>
      <c r="L343" s="779"/>
      <c r="M343" s="779"/>
      <c r="N343" s="606"/>
      <c r="O343" s="398"/>
      <c r="P343" s="398"/>
      <c r="Q343" s="398"/>
      <c r="R343" s="398"/>
      <c r="S343" s="398"/>
      <c r="T343" s="738"/>
      <c r="U343" s="738"/>
      <c r="V343" s="738"/>
    </row>
    <row r="344" spans="1:22" ht="15.75" customHeight="1">
      <c r="A344" s="398"/>
      <c r="B344" s="398"/>
      <c r="C344" s="779"/>
      <c r="D344" s="779"/>
      <c r="E344" s="779"/>
      <c r="F344" s="779"/>
      <c r="G344" s="779"/>
      <c r="H344" s="779"/>
      <c r="I344" s="779"/>
      <c r="J344" s="779"/>
      <c r="K344" s="779"/>
      <c r="L344" s="779"/>
      <c r="M344" s="779"/>
      <c r="N344" s="606"/>
      <c r="O344" s="398"/>
      <c r="P344" s="398"/>
      <c r="Q344" s="398"/>
      <c r="R344" s="398"/>
      <c r="S344" s="398"/>
      <c r="T344" s="738"/>
      <c r="U344" s="738"/>
      <c r="V344" s="738"/>
    </row>
    <row r="345" spans="1:22" ht="15.75" customHeight="1">
      <c r="A345" s="398"/>
      <c r="B345" s="398"/>
      <c r="C345" s="779"/>
      <c r="D345" s="779"/>
      <c r="E345" s="779"/>
      <c r="F345" s="779"/>
      <c r="G345" s="779"/>
      <c r="H345" s="779"/>
      <c r="I345" s="779"/>
      <c r="J345" s="779"/>
      <c r="K345" s="779"/>
      <c r="L345" s="779"/>
      <c r="M345" s="779"/>
      <c r="N345" s="606"/>
      <c r="O345" s="398"/>
      <c r="P345" s="398"/>
      <c r="Q345" s="398"/>
      <c r="R345" s="398"/>
      <c r="S345" s="398"/>
      <c r="T345" s="738"/>
      <c r="U345" s="738"/>
      <c r="V345" s="738"/>
    </row>
    <row r="346" spans="1:22" ht="15.75" customHeight="1">
      <c r="A346" s="398"/>
      <c r="B346" s="398"/>
      <c r="C346" s="779"/>
      <c r="D346" s="779"/>
      <c r="E346" s="779"/>
      <c r="F346" s="779"/>
      <c r="G346" s="779"/>
      <c r="H346" s="779"/>
      <c r="I346" s="779"/>
      <c r="J346" s="779"/>
      <c r="K346" s="779"/>
      <c r="L346" s="779"/>
      <c r="M346" s="779"/>
      <c r="N346" s="606"/>
      <c r="O346" s="398"/>
      <c r="P346" s="398"/>
      <c r="Q346" s="398"/>
      <c r="R346" s="398"/>
      <c r="S346" s="398"/>
      <c r="T346" s="738"/>
      <c r="U346" s="738"/>
      <c r="V346" s="738"/>
    </row>
    <row r="347" spans="1:22" ht="15.75" customHeight="1">
      <c r="A347" s="398"/>
      <c r="B347" s="398"/>
      <c r="C347" s="779"/>
      <c r="D347" s="779"/>
      <c r="E347" s="779"/>
      <c r="F347" s="779"/>
      <c r="G347" s="779"/>
      <c r="H347" s="779"/>
      <c r="I347" s="779"/>
      <c r="J347" s="779"/>
      <c r="K347" s="779"/>
      <c r="L347" s="779"/>
      <c r="M347" s="779"/>
      <c r="N347" s="606"/>
      <c r="O347" s="398"/>
      <c r="P347" s="398"/>
      <c r="Q347" s="398"/>
      <c r="R347" s="398"/>
      <c r="S347" s="398"/>
      <c r="T347" s="738"/>
      <c r="U347" s="738"/>
      <c r="V347" s="738"/>
    </row>
    <row r="348" spans="1:22" ht="15.75" customHeight="1">
      <c r="A348" s="398"/>
      <c r="B348" s="398"/>
      <c r="C348" s="779"/>
      <c r="D348" s="779"/>
      <c r="E348" s="779"/>
      <c r="F348" s="779"/>
      <c r="G348" s="779"/>
      <c r="H348" s="779"/>
      <c r="I348" s="779"/>
      <c r="J348" s="779"/>
      <c r="K348" s="779"/>
      <c r="L348" s="779"/>
      <c r="M348" s="779"/>
      <c r="N348" s="606"/>
      <c r="O348" s="398"/>
      <c r="P348" s="398"/>
      <c r="Q348" s="398"/>
      <c r="R348" s="398"/>
      <c r="S348" s="398"/>
      <c r="T348" s="738"/>
      <c r="U348" s="738"/>
      <c r="V348" s="738"/>
    </row>
    <row r="349" spans="1:22" ht="15.75" customHeight="1">
      <c r="A349" s="398"/>
      <c r="B349" s="398"/>
      <c r="C349" s="779"/>
      <c r="D349" s="779"/>
      <c r="E349" s="779"/>
      <c r="F349" s="779"/>
      <c r="G349" s="779"/>
      <c r="H349" s="779"/>
      <c r="I349" s="779"/>
      <c r="J349" s="779"/>
      <c r="K349" s="779"/>
      <c r="L349" s="779"/>
      <c r="M349" s="779"/>
      <c r="N349" s="606"/>
      <c r="O349" s="398"/>
      <c r="P349" s="398"/>
      <c r="Q349" s="398"/>
      <c r="R349" s="398"/>
      <c r="S349" s="398"/>
      <c r="T349" s="738"/>
      <c r="U349" s="738"/>
      <c r="V349" s="738"/>
    </row>
    <row r="350" spans="1:22" ht="15.75" customHeight="1">
      <c r="A350" s="398"/>
      <c r="B350" s="398"/>
      <c r="C350" s="779"/>
      <c r="D350" s="779"/>
      <c r="E350" s="779"/>
      <c r="F350" s="779"/>
      <c r="G350" s="779"/>
      <c r="H350" s="779"/>
      <c r="I350" s="779"/>
      <c r="J350" s="779"/>
      <c r="K350" s="779"/>
      <c r="L350" s="779"/>
      <c r="M350" s="779"/>
      <c r="N350" s="606"/>
      <c r="O350" s="398"/>
      <c r="P350" s="398"/>
      <c r="Q350" s="398"/>
      <c r="R350" s="398"/>
      <c r="S350" s="398"/>
      <c r="T350" s="738"/>
      <c r="U350" s="738"/>
      <c r="V350" s="738"/>
    </row>
    <row r="351" spans="1:22" ht="15.75" customHeight="1">
      <c r="A351" s="398"/>
      <c r="B351" s="398"/>
      <c r="C351" s="779"/>
      <c r="D351" s="779"/>
      <c r="E351" s="779"/>
      <c r="F351" s="779"/>
      <c r="G351" s="779"/>
      <c r="H351" s="779"/>
      <c r="I351" s="779"/>
      <c r="J351" s="779"/>
      <c r="K351" s="779"/>
      <c r="L351" s="779"/>
      <c r="M351" s="779"/>
      <c r="N351" s="606"/>
      <c r="O351" s="398"/>
      <c r="P351" s="398"/>
      <c r="Q351" s="398"/>
      <c r="R351" s="398"/>
      <c r="S351" s="398"/>
      <c r="T351" s="738"/>
      <c r="U351" s="738"/>
      <c r="V351" s="738"/>
    </row>
    <row r="352" spans="1:22" ht="15.75" customHeight="1">
      <c r="A352" s="398"/>
      <c r="B352" s="398"/>
      <c r="C352" s="779"/>
      <c r="D352" s="779"/>
      <c r="E352" s="779"/>
      <c r="F352" s="779"/>
      <c r="G352" s="779"/>
      <c r="H352" s="779"/>
      <c r="I352" s="779"/>
      <c r="J352" s="779"/>
      <c r="K352" s="779"/>
      <c r="L352" s="779"/>
      <c r="M352" s="779"/>
      <c r="N352" s="606"/>
      <c r="O352" s="398"/>
      <c r="P352" s="398"/>
      <c r="Q352" s="398"/>
      <c r="R352" s="398"/>
      <c r="S352" s="398"/>
      <c r="T352" s="738"/>
      <c r="U352" s="738"/>
      <c r="V352" s="738"/>
    </row>
    <row r="353" spans="1:22" ht="15.75" customHeight="1">
      <c r="A353" s="398"/>
      <c r="B353" s="398"/>
      <c r="C353" s="779"/>
      <c r="D353" s="779"/>
      <c r="E353" s="779"/>
      <c r="F353" s="779"/>
      <c r="G353" s="779"/>
      <c r="H353" s="779"/>
      <c r="I353" s="779"/>
      <c r="J353" s="779"/>
      <c r="K353" s="779"/>
      <c r="L353" s="779"/>
      <c r="M353" s="779"/>
      <c r="N353" s="606"/>
      <c r="O353" s="398"/>
      <c r="P353" s="398"/>
      <c r="Q353" s="398"/>
      <c r="R353" s="398"/>
      <c r="S353" s="398"/>
      <c r="T353" s="738"/>
      <c r="U353" s="738"/>
      <c r="V353" s="738"/>
    </row>
    <row r="354" spans="1:22" ht="15.75" customHeight="1">
      <c r="A354" s="398"/>
      <c r="B354" s="398"/>
      <c r="C354" s="779"/>
      <c r="D354" s="779"/>
      <c r="E354" s="779"/>
      <c r="F354" s="779"/>
      <c r="G354" s="779"/>
      <c r="H354" s="779"/>
      <c r="I354" s="779"/>
      <c r="J354" s="779"/>
      <c r="K354" s="779"/>
      <c r="L354" s="779"/>
      <c r="M354" s="779"/>
      <c r="N354" s="606"/>
      <c r="O354" s="398"/>
      <c r="P354" s="398"/>
      <c r="Q354" s="398"/>
      <c r="R354" s="398"/>
      <c r="S354" s="398"/>
      <c r="T354" s="738"/>
      <c r="U354" s="738"/>
      <c r="V354" s="738"/>
    </row>
    <row r="355" spans="1:22" ht="15.75" customHeight="1">
      <c r="A355" s="398"/>
      <c r="B355" s="398"/>
      <c r="C355" s="779"/>
      <c r="D355" s="779"/>
      <c r="E355" s="779"/>
      <c r="F355" s="779"/>
      <c r="G355" s="779"/>
      <c r="H355" s="779"/>
      <c r="I355" s="779"/>
      <c r="J355" s="779"/>
      <c r="K355" s="779"/>
      <c r="L355" s="779"/>
      <c r="M355" s="779"/>
      <c r="N355" s="398"/>
      <c r="O355" s="398"/>
      <c r="P355" s="398"/>
      <c r="Q355" s="398"/>
      <c r="R355" s="398"/>
      <c r="S355" s="398"/>
      <c r="T355" s="738"/>
      <c r="U355" s="738"/>
      <c r="V355" s="738"/>
    </row>
    <row r="356" spans="1:22" ht="15.75" customHeight="1">
      <c r="A356" s="398"/>
      <c r="B356" s="398"/>
      <c r="C356" s="779"/>
      <c r="D356" s="779"/>
      <c r="E356" s="779"/>
      <c r="F356" s="779"/>
      <c r="G356" s="779"/>
      <c r="H356" s="779"/>
      <c r="I356" s="779"/>
      <c r="J356" s="779"/>
      <c r="K356" s="779"/>
      <c r="L356" s="779"/>
      <c r="M356" s="779"/>
      <c r="N356" s="398"/>
      <c r="O356" s="398"/>
      <c r="P356" s="398"/>
      <c r="Q356" s="398"/>
      <c r="R356" s="398"/>
      <c r="S356" s="398"/>
      <c r="T356" s="738"/>
      <c r="U356" s="738"/>
      <c r="V356" s="738"/>
    </row>
    <row r="357" spans="1:22" ht="15.75" customHeight="1">
      <c r="A357" s="398"/>
      <c r="B357" s="398"/>
      <c r="C357" s="779"/>
      <c r="D357" s="779"/>
      <c r="E357" s="779"/>
      <c r="F357" s="779"/>
      <c r="G357" s="779"/>
      <c r="H357" s="779"/>
      <c r="I357" s="779"/>
      <c r="J357" s="779"/>
      <c r="K357" s="779"/>
      <c r="L357" s="779"/>
      <c r="M357" s="779"/>
      <c r="N357" s="398"/>
      <c r="O357" s="398"/>
      <c r="P357" s="398"/>
      <c r="Q357" s="398"/>
      <c r="R357" s="398"/>
      <c r="S357" s="398"/>
      <c r="T357" s="738"/>
      <c r="U357" s="738"/>
      <c r="V357" s="738"/>
    </row>
    <row r="358" spans="1:22" ht="15.75" customHeight="1">
      <c r="A358" s="398"/>
      <c r="B358" s="398"/>
      <c r="C358" s="779"/>
      <c r="D358" s="779"/>
      <c r="E358" s="779"/>
      <c r="F358" s="779"/>
      <c r="G358" s="779"/>
      <c r="H358" s="779"/>
      <c r="I358" s="779"/>
      <c r="J358" s="779"/>
      <c r="K358" s="779"/>
      <c r="L358" s="779"/>
      <c r="M358" s="779"/>
      <c r="N358" s="398"/>
      <c r="O358" s="398"/>
      <c r="P358" s="398"/>
      <c r="Q358" s="398"/>
      <c r="R358" s="398"/>
      <c r="S358" s="398"/>
      <c r="T358" s="738"/>
      <c r="U358" s="738"/>
      <c r="V358" s="738"/>
    </row>
    <row r="359" spans="1:22" ht="15.75" customHeight="1">
      <c r="A359" s="398"/>
      <c r="B359" s="398"/>
      <c r="C359" s="779"/>
      <c r="D359" s="779"/>
      <c r="E359" s="779"/>
      <c r="F359" s="779"/>
      <c r="G359" s="779"/>
      <c r="H359" s="779"/>
      <c r="I359" s="779"/>
      <c r="J359" s="779"/>
      <c r="K359" s="779"/>
      <c r="L359" s="779"/>
      <c r="M359" s="779"/>
      <c r="N359" s="398"/>
      <c r="O359" s="398"/>
      <c r="P359" s="398"/>
      <c r="Q359" s="398"/>
      <c r="R359" s="398"/>
      <c r="S359" s="398"/>
      <c r="T359" s="738"/>
      <c r="U359" s="738"/>
      <c r="V359" s="738"/>
    </row>
    <row r="360" spans="1:22" ht="15.75" customHeight="1">
      <c r="A360" s="398"/>
      <c r="B360" s="398"/>
      <c r="C360" s="779"/>
      <c r="D360" s="779"/>
      <c r="E360" s="779"/>
      <c r="F360" s="779"/>
      <c r="G360" s="779"/>
      <c r="H360" s="779"/>
      <c r="I360" s="779"/>
      <c r="J360" s="779"/>
      <c r="K360" s="779"/>
      <c r="L360" s="779"/>
      <c r="M360" s="779"/>
      <c r="N360" s="398"/>
      <c r="O360" s="398"/>
      <c r="P360" s="398"/>
      <c r="Q360" s="398"/>
      <c r="R360" s="398"/>
      <c r="S360" s="398"/>
      <c r="T360" s="738"/>
      <c r="U360" s="738"/>
      <c r="V360" s="738"/>
    </row>
    <row r="361" spans="1:22" ht="15.75" customHeight="1">
      <c r="A361" s="398"/>
      <c r="B361" s="398"/>
      <c r="C361" s="779"/>
      <c r="D361" s="779"/>
      <c r="E361" s="779"/>
      <c r="F361" s="779"/>
      <c r="G361" s="779"/>
      <c r="H361" s="779"/>
      <c r="I361" s="779"/>
      <c r="J361" s="779"/>
      <c r="K361" s="779"/>
      <c r="L361" s="779"/>
      <c r="M361" s="779"/>
      <c r="N361" s="398"/>
      <c r="O361" s="398"/>
      <c r="P361" s="398"/>
      <c r="Q361" s="398"/>
      <c r="R361" s="398"/>
      <c r="S361" s="398"/>
      <c r="T361" s="738"/>
      <c r="U361" s="738"/>
      <c r="V361" s="738"/>
    </row>
    <row r="362" spans="1:22" ht="15.75" customHeight="1">
      <c r="A362" s="398"/>
      <c r="B362" s="398"/>
      <c r="C362" s="779"/>
      <c r="D362" s="779"/>
      <c r="E362" s="779"/>
      <c r="F362" s="779"/>
      <c r="G362" s="779"/>
      <c r="H362" s="779"/>
      <c r="I362" s="779"/>
      <c r="J362" s="779"/>
      <c r="K362" s="779"/>
      <c r="L362" s="779"/>
      <c r="M362" s="779"/>
      <c r="N362" s="398"/>
      <c r="O362" s="398"/>
      <c r="P362" s="398"/>
      <c r="Q362" s="398"/>
      <c r="R362" s="398"/>
      <c r="S362" s="398"/>
      <c r="T362" s="738"/>
      <c r="U362" s="738"/>
      <c r="V362" s="738"/>
    </row>
    <row r="363" spans="1:22" ht="15.75" customHeight="1">
      <c r="A363" s="398"/>
      <c r="B363" s="398"/>
      <c r="C363" s="779"/>
      <c r="D363" s="779"/>
      <c r="E363" s="779"/>
      <c r="F363" s="779"/>
      <c r="G363" s="779"/>
      <c r="H363" s="779"/>
      <c r="I363" s="779"/>
      <c r="J363" s="779"/>
      <c r="K363" s="779"/>
      <c r="L363" s="779"/>
      <c r="M363" s="779"/>
      <c r="N363" s="398"/>
      <c r="O363" s="398"/>
      <c r="P363" s="398"/>
      <c r="Q363" s="398"/>
      <c r="R363" s="398"/>
      <c r="S363" s="398"/>
      <c r="T363" s="738"/>
      <c r="U363" s="738"/>
      <c r="V363" s="738"/>
    </row>
    <row r="364" spans="1:22" ht="15.75" customHeight="1">
      <c r="A364" s="398"/>
      <c r="B364" s="398"/>
      <c r="C364" s="779"/>
      <c r="D364" s="779"/>
      <c r="E364" s="779"/>
      <c r="F364" s="779"/>
      <c r="G364" s="779"/>
      <c r="H364" s="779"/>
      <c r="I364" s="779"/>
      <c r="J364" s="779"/>
      <c r="K364" s="779"/>
      <c r="L364" s="779"/>
      <c r="M364" s="779"/>
      <c r="N364" s="398"/>
      <c r="O364" s="398"/>
      <c r="P364" s="398"/>
      <c r="Q364" s="398"/>
      <c r="R364" s="398"/>
      <c r="S364" s="398"/>
      <c r="T364" s="738"/>
      <c r="U364" s="738"/>
      <c r="V364" s="738"/>
    </row>
    <row r="365" spans="1:22" ht="15.75" customHeight="1">
      <c r="A365" s="398"/>
      <c r="B365" s="398"/>
      <c r="C365" s="779"/>
      <c r="D365" s="779"/>
      <c r="E365" s="779"/>
      <c r="F365" s="779"/>
      <c r="G365" s="779"/>
      <c r="H365" s="779"/>
      <c r="I365" s="779"/>
      <c r="J365" s="779"/>
      <c r="K365" s="779"/>
      <c r="L365" s="779"/>
      <c r="M365" s="779"/>
      <c r="N365" s="398"/>
      <c r="O365" s="398"/>
      <c r="P365" s="398"/>
      <c r="Q365" s="398"/>
      <c r="R365" s="398"/>
      <c r="S365" s="398"/>
      <c r="T365" s="738"/>
      <c r="U365" s="738"/>
      <c r="V365" s="738"/>
    </row>
    <row r="366" spans="1:22" ht="15.75" customHeight="1">
      <c r="A366" s="398"/>
      <c r="B366" s="398"/>
      <c r="C366" s="779"/>
      <c r="D366" s="779"/>
      <c r="E366" s="779"/>
      <c r="F366" s="779"/>
      <c r="G366" s="779"/>
      <c r="H366" s="779"/>
      <c r="I366" s="779"/>
      <c r="J366" s="779"/>
      <c r="K366" s="779"/>
      <c r="L366" s="779"/>
      <c r="M366" s="779"/>
      <c r="N366" s="398"/>
      <c r="O366" s="398"/>
      <c r="P366" s="398"/>
      <c r="Q366" s="398"/>
      <c r="R366" s="398"/>
      <c r="S366" s="398"/>
      <c r="T366" s="738"/>
      <c r="U366" s="738"/>
      <c r="V366" s="738"/>
    </row>
    <row r="367" spans="1:22" ht="15.75" customHeight="1">
      <c r="A367" s="398"/>
      <c r="B367" s="398"/>
      <c r="C367" s="779"/>
      <c r="D367" s="779"/>
      <c r="E367" s="779"/>
      <c r="F367" s="779"/>
      <c r="G367" s="779"/>
      <c r="H367" s="779"/>
      <c r="I367" s="779"/>
      <c r="J367" s="779"/>
      <c r="K367" s="779"/>
      <c r="L367" s="779"/>
      <c r="M367" s="779"/>
      <c r="N367" s="398"/>
      <c r="O367" s="398"/>
      <c r="P367" s="398"/>
      <c r="Q367" s="398"/>
      <c r="R367" s="398"/>
      <c r="S367" s="398"/>
      <c r="T367" s="738"/>
      <c r="U367" s="738"/>
      <c r="V367" s="738"/>
    </row>
    <row r="368" spans="1:22" ht="15.75" customHeight="1">
      <c r="A368" s="398"/>
      <c r="B368" s="398"/>
      <c r="C368" s="779"/>
      <c r="D368" s="779"/>
      <c r="E368" s="779"/>
      <c r="F368" s="779"/>
      <c r="G368" s="779"/>
      <c r="H368" s="779"/>
      <c r="I368" s="779"/>
      <c r="J368" s="779"/>
      <c r="K368" s="779"/>
      <c r="L368" s="779"/>
      <c r="M368" s="779"/>
      <c r="N368" s="398"/>
      <c r="O368" s="398"/>
      <c r="P368" s="398"/>
      <c r="Q368" s="398"/>
      <c r="R368" s="398"/>
      <c r="S368" s="398"/>
      <c r="T368" s="738"/>
      <c r="U368" s="738"/>
      <c r="V368" s="738"/>
    </row>
    <row r="369" spans="1:22" ht="15.75" customHeight="1">
      <c r="A369" s="398"/>
      <c r="B369" s="398"/>
      <c r="C369" s="779"/>
      <c r="D369" s="779"/>
      <c r="E369" s="779"/>
      <c r="F369" s="779"/>
      <c r="G369" s="779"/>
      <c r="H369" s="779"/>
      <c r="I369" s="779"/>
      <c r="J369" s="779"/>
      <c r="K369" s="779"/>
      <c r="L369" s="779"/>
      <c r="M369" s="779"/>
      <c r="N369" s="398"/>
      <c r="O369" s="398"/>
      <c r="P369" s="398"/>
      <c r="Q369" s="398"/>
      <c r="R369" s="398"/>
      <c r="S369" s="398"/>
      <c r="T369" s="738"/>
      <c r="U369" s="738"/>
      <c r="V369" s="738"/>
    </row>
    <row r="370" spans="1:22" ht="15.75" customHeight="1">
      <c r="A370" s="398"/>
      <c r="B370" s="398"/>
      <c r="C370" s="779"/>
      <c r="D370" s="779"/>
      <c r="E370" s="779"/>
      <c r="F370" s="779"/>
      <c r="G370" s="779"/>
      <c r="H370" s="779"/>
      <c r="I370" s="779"/>
      <c r="J370" s="779"/>
      <c r="K370" s="779"/>
      <c r="L370" s="779"/>
      <c r="M370" s="779"/>
      <c r="N370" s="398"/>
      <c r="O370" s="398"/>
      <c r="P370" s="398"/>
      <c r="Q370" s="398"/>
      <c r="R370" s="398"/>
      <c r="S370" s="398"/>
      <c r="T370" s="738"/>
      <c r="U370" s="738"/>
      <c r="V370" s="738"/>
    </row>
    <row r="371" spans="1:22" ht="15.75" customHeight="1">
      <c r="A371" s="398"/>
      <c r="B371" s="398"/>
      <c r="C371" s="779"/>
      <c r="D371" s="779"/>
      <c r="E371" s="779"/>
      <c r="F371" s="779"/>
      <c r="G371" s="779"/>
      <c r="H371" s="779"/>
      <c r="I371" s="779"/>
      <c r="J371" s="779"/>
      <c r="K371" s="779"/>
      <c r="L371" s="779"/>
      <c r="M371" s="779"/>
      <c r="N371" s="398"/>
      <c r="O371" s="398"/>
      <c r="P371" s="398"/>
      <c r="Q371" s="398"/>
      <c r="R371" s="398"/>
      <c r="S371" s="398"/>
      <c r="T371" s="738"/>
      <c r="U371" s="738"/>
      <c r="V371" s="738"/>
    </row>
    <row r="372" spans="1:22" ht="15.75" customHeight="1">
      <c r="A372" s="398"/>
      <c r="B372" s="398"/>
      <c r="C372" s="779"/>
      <c r="D372" s="779"/>
      <c r="E372" s="779"/>
      <c r="F372" s="779"/>
      <c r="G372" s="779"/>
      <c r="H372" s="779"/>
      <c r="I372" s="779"/>
      <c r="J372" s="779"/>
      <c r="K372" s="779"/>
      <c r="L372" s="779"/>
      <c r="M372" s="779"/>
      <c r="N372" s="398"/>
      <c r="O372" s="398"/>
      <c r="P372" s="398"/>
      <c r="Q372" s="398"/>
      <c r="R372" s="398"/>
      <c r="S372" s="398"/>
      <c r="T372" s="738"/>
      <c r="U372" s="738"/>
      <c r="V372" s="738"/>
    </row>
    <row r="373" spans="1:22" ht="15.75" customHeight="1">
      <c r="A373" s="398"/>
      <c r="B373" s="398"/>
      <c r="C373" s="779"/>
      <c r="D373" s="779"/>
      <c r="E373" s="779"/>
      <c r="F373" s="779"/>
      <c r="G373" s="779"/>
      <c r="H373" s="779"/>
      <c r="I373" s="779"/>
      <c r="J373" s="779"/>
      <c r="K373" s="779"/>
      <c r="L373" s="779"/>
      <c r="M373" s="779"/>
      <c r="N373" s="398"/>
      <c r="O373" s="398"/>
      <c r="P373" s="398"/>
      <c r="Q373" s="398"/>
      <c r="R373" s="398"/>
      <c r="S373" s="398"/>
      <c r="T373" s="738"/>
      <c r="U373" s="738"/>
      <c r="V373" s="738"/>
    </row>
    <row r="374" spans="1:22" ht="15.75" customHeight="1">
      <c r="A374" s="398"/>
      <c r="B374" s="398"/>
      <c r="C374" s="779"/>
      <c r="D374" s="779"/>
      <c r="E374" s="779"/>
      <c r="F374" s="779"/>
      <c r="G374" s="779"/>
      <c r="H374" s="779"/>
      <c r="I374" s="779"/>
      <c r="J374" s="779"/>
      <c r="K374" s="779"/>
      <c r="L374" s="779"/>
      <c r="M374" s="779"/>
      <c r="N374" s="398"/>
      <c r="O374" s="398"/>
      <c r="P374" s="398"/>
      <c r="Q374" s="398"/>
      <c r="R374" s="398"/>
      <c r="S374" s="398"/>
      <c r="T374" s="738"/>
      <c r="U374" s="738"/>
      <c r="V374" s="738"/>
    </row>
    <row r="375" spans="1:22" ht="15.75" customHeight="1">
      <c r="A375" s="398"/>
      <c r="B375" s="398"/>
      <c r="C375" s="779"/>
      <c r="D375" s="779"/>
      <c r="E375" s="779"/>
      <c r="F375" s="779"/>
      <c r="G375" s="779"/>
      <c r="H375" s="779"/>
      <c r="I375" s="779"/>
      <c r="J375" s="779"/>
      <c r="K375" s="779"/>
      <c r="L375" s="779"/>
      <c r="M375" s="779"/>
      <c r="N375" s="398"/>
      <c r="O375" s="398"/>
      <c r="P375" s="398"/>
      <c r="Q375" s="398"/>
      <c r="R375" s="398"/>
      <c r="S375" s="398"/>
      <c r="T375" s="738"/>
      <c r="U375" s="738"/>
      <c r="V375" s="738"/>
    </row>
    <row r="376" spans="1:22" ht="15.75" customHeight="1">
      <c r="A376" s="398"/>
      <c r="B376" s="398"/>
      <c r="C376" s="779"/>
      <c r="D376" s="779"/>
      <c r="E376" s="779"/>
      <c r="F376" s="779"/>
      <c r="G376" s="779"/>
      <c r="H376" s="779"/>
      <c r="I376" s="779"/>
      <c r="J376" s="779"/>
      <c r="K376" s="779"/>
      <c r="L376" s="779"/>
      <c r="M376" s="779"/>
      <c r="N376" s="398"/>
      <c r="O376" s="398"/>
      <c r="P376" s="398"/>
      <c r="Q376" s="398"/>
      <c r="R376" s="398"/>
      <c r="S376" s="398"/>
      <c r="T376" s="738"/>
      <c r="U376" s="738"/>
      <c r="V376" s="738"/>
    </row>
    <row r="377" spans="1:22" ht="15.75" customHeight="1">
      <c r="A377" s="398"/>
      <c r="B377" s="398"/>
      <c r="C377" s="779"/>
      <c r="D377" s="779"/>
      <c r="E377" s="779"/>
      <c r="F377" s="779"/>
      <c r="G377" s="779"/>
      <c r="H377" s="779"/>
      <c r="I377" s="779"/>
      <c r="J377" s="779"/>
      <c r="K377" s="779"/>
      <c r="L377" s="779"/>
      <c r="M377" s="779"/>
      <c r="N377" s="398"/>
      <c r="O377" s="398"/>
      <c r="P377" s="398"/>
      <c r="Q377" s="398"/>
      <c r="R377" s="398"/>
      <c r="S377" s="398"/>
      <c r="T377" s="738"/>
      <c r="U377" s="738"/>
      <c r="V377" s="738"/>
    </row>
    <row r="378" spans="1:22" ht="15.75" customHeight="1">
      <c r="A378" s="398"/>
      <c r="B378" s="398"/>
      <c r="C378" s="779"/>
      <c r="D378" s="779"/>
      <c r="E378" s="779"/>
      <c r="F378" s="779"/>
      <c r="G378" s="779"/>
      <c r="H378" s="779"/>
      <c r="I378" s="779"/>
      <c r="J378" s="779"/>
      <c r="K378" s="779"/>
      <c r="L378" s="779"/>
      <c r="M378" s="779"/>
      <c r="N378" s="398"/>
      <c r="O378" s="398"/>
      <c r="P378" s="398"/>
      <c r="Q378" s="398"/>
      <c r="R378" s="398"/>
      <c r="S378" s="398"/>
      <c r="T378" s="738"/>
      <c r="U378" s="738"/>
      <c r="V378" s="738"/>
    </row>
    <row r="379" spans="1:22" ht="15.75" customHeight="1">
      <c r="A379" s="398"/>
      <c r="B379" s="398"/>
      <c r="C379" s="779"/>
      <c r="D379" s="779"/>
      <c r="E379" s="779"/>
      <c r="F379" s="779"/>
      <c r="G379" s="779"/>
      <c r="H379" s="779"/>
      <c r="I379" s="779"/>
      <c r="J379" s="779"/>
      <c r="K379" s="779"/>
      <c r="L379" s="779"/>
      <c r="M379" s="779"/>
      <c r="N379" s="398"/>
      <c r="O379" s="398"/>
      <c r="P379" s="398"/>
      <c r="Q379" s="398"/>
      <c r="R379" s="398"/>
      <c r="S379" s="398"/>
      <c r="T379" s="738"/>
      <c r="U379" s="738"/>
      <c r="V379" s="738"/>
    </row>
    <row r="380" spans="1:22" ht="15.75" customHeight="1">
      <c r="A380" s="398"/>
      <c r="B380" s="398"/>
      <c r="C380" s="779"/>
      <c r="D380" s="779"/>
      <c r="E380" s="779"/>
      <c r="F380" s="779"/>
      <c r="G380" s="779"/>
      <c r="H380" s="779"/>
      <c r="I380" s="779"/>
      <c r="J380" s="779"/>
      <c r="K380" s="779"/>
      <c r="L380" s="779"/>
      <c r="M380" s="779"/>
      <c r="N380" s="398"/>
      <c r="O380" s="398"/>
      <c r="P380" s="398"/>
      <c r="Q380" s="398"/>
      <c r="R380" s="398"/>
      <c r="S380" s="398"/>
      <c r="T380" s="738"/>
      <c r="U380" s="738"/>
      <c r="V380" s="738"/>
    </row>
    <row r="381" spans="1:22" ht="15.75" customHeight="1">
      <c r="A381" s="398"/>
      <c r="B381" s="398"/>
      <c r="C381" s="779"/>
      <c r="D381" s="779"/>
      <c r="E381" s="779"/>
      <c r="F381" s="779"/>
      <c r="G381" s="779"/>
      <c r="H381" s="779"/>
      <c r="I381" s="779"/>
      <c r="J381" s="779"/>
      <c r="K381" s="779"/>
      <c r="L381" s="779"/>
      <c r="M381" s="779"/>
      <c r="N381" s="398"/>
      <c r="O381" s="398"/>
      <c r="P381" s="398"/>
      <c r="Q381" s="398"/>
      <c r="R381" s="398"/>
      <c r="S381" s="398"/>
      <c r="T381" s="738"/>
      <c r="U381" s="738"/>
      <c r="V381" s="738"/>
    </row>
    <row r="382" spans="1:22" ht="15.75" customHeight="1">
      <c r="A382" s="398"/>
      <c r="B382" s="398"/>
      <c r="C382" s="779"/>
      <c r="D382" s="779"/>
      <c r="E382" s="779"/>
      <c r="F382" s="779"/>
      <c r="G382" s="779"/>
      <c r="H382" s="779"/>
      <c r="I382" s="779"/>
      <c r="J382" s="779"/>
      <c r="K382" s="779"/>
      <c r="L382" s="779"/>
      <c r="M382" s="779"/>
      <c r="N382" s="398"/>
      <c r="O382" s="398"/>
      <c r="P382" s="398"/>
      <c r="Q382" s="398"/>
      <c r="R382" s="398"/>
      <c r="S382" s="398"/>
      <c r="T382" s="738"/>
      <c r="U382" s="738"/>
      <c r="V382" s="738"/>
    </row>
    <row r="383" spans="1:22" ht="15.75" customHeight="1">
      <c r="A383" s="398"/>
      <c r="B383" s="398"/>
      <c r="C383" s="779"/>
      <c r="D383" s="779"/>
      <c r="E383" s="779"/>
      <c r="F383" s="779"/>
      <c r="G383" s="779"/>
      <c r="H383" s="779"/>
      <c r="I383" s="779"/>
      <c r="J383" s="779"/>
      <c r="K383" s="779"/>
      <c r="L383" s="779"/>
      <c r="M383" s="779"/>
      <c r="N383" s="398"/>
      <c r="O383" s="398"/>
      <c r="P383" s="398"/>
      <c r="Q383" s="398"/>
      <c r="R383" s="398"/>
      <c r="S383" s="398"/>
      <c r="T383" s="738"/>
      <c r="U383" s="738"/>
      <c r="V383" s="738"/>
    </row>
    <row r="384" spans="1:22" ht="15.75" customHeight="1">
      <c r="A384" s="398"/>
      <c r="B384" s="398"/>
      <c r="C384" s="779"/>
      <c r="D384" s="779"/>
      <c r="E384" s="779"/>
      <c r="F384" s="779"/>
      <c r="G384" s="779"/>
      <c r="H384" s="779"/>
      <c r="I384" s="779"/>
      <c r="J384" s="779"/>
      <c r="K384" s="779"/>
      <c r="L384" s="779"/>
      <c r="M384" s="779"/>
      <c r="N384" s="398"/>
      <c r="O384" s="398"/>
      <c r="P384" s="398"/>
      <c r="Q384" s="398"/>
      <c r="R384" s="398"/>
      <c r="S384" s="398"/>
      <c r="T384" s="738"/>
      <c r="U384" s="738"/>
      <c r="V384" s="738"/>
    </row>
    <row r="385" spans="1:22" ht="15.75" customHeight="1">
      <c r="A385" s="398"/>
      <c r="B385" s="398"/>
      <c r="C385" s="779"/>
      <c r="D385" s="779"/>
      <c r="E385" s="779"/>
      <c r="F385" s="779"/>
      <c r="G385" s="779"/>
      <c r="H385" s="779"/>
      <c r="I385" s="779"/>
      <c r="J385" s="779"/>
      <c r="K385" s="779"/>
      <c r="L385" s="779"/>
      <c r="M385" s="779"/>
      <c r="N385" s="398"/>
      <c r="O385" s="398"/>
      <c r="P385" s="398"/>
      <c r="Q385" s="398"/>
      <c r="R385" s="398"/>
      <c r="S385" s="398"/>
      <c r="T385" s="738"/>
      <c r="U385" s="738"/>
      <c r="V385" s="738"/>
    </row>
    <row r="386" spans="1:22" ht="15.75" customHeight="1">
      <c r="A386" s="398"/>
      <c r="B386" s="398"/>
      <c r="C386" s="779"/>
      <c r="D386" s="779"/>
      <c r="E386" s="779"/>
      <c r="F386" s="779"/>
      <c r="G386" s="779"/>
      <c r="H386" s="779"/>
      <c r="I386" s="779"/>
      <c r="J386" s="779"/>
      <c r="K386" s="779"/>
      <c r="L386" s="779"/>
      <c r="M386" s="779"/>
      <c r="N386" s="398"/>
      <c r="O386" s="398"/>
      <c r="P386" s="398"/>
      <c r="Q386" s="398"/>
      <c r="R386" s="398"/>
      <c r="S386" s="398"/>
      <c r="T386" s="738"/>
      <c r="U386" s="738"/>
      <c r="V386" s="738"/>
    </row>
    <row r="387" spans="1:22" ht="15.75" customHeight="1">
      <c r="A387" s="398"/>
      <c r="B387" s="398"/>
      <c r="C387" s="779"/>
      <c r="D387" s="779"/>
      <c r="E387" s="779"/>
      <c r="F387" s="779"/>
      <c r="G387" s="779"/>
      <c r="H387" s="779"/>
      <c r="I387" s="779"/>
      <c r="J387" s="779"/>
      <c r="K387" s="779"/>
      <c r="L387" s="779"/>
      <c r="M387" s="779"/>
      <c r="N387" s="398"/>
      <c r="O387" s="398"/>
      <c r="P387" s="398"/>
      <c r="Q387" s="398"/>
      <c r="R387" s="398"/>
      <c r="S387" s="398"/>
      <c r="T387" s="738"/>
      <c r="U387" s="738"/>
      <c r="V387" s="738"/>
    </row>
    <row r="388" spans="1:22" ht="15.75" customHeight="1">
      <c r="A388" s="398"/>
      <c r="B388" s="398"/>
      <c r="C388" s="779"/>
      <c r="D388" s="779"/>
      <c r="E388" s="779"/>
      <c r="F388" s="779"/>
      <c r="G388" s="779"/>
      <c r="H388" s="779"/>
      <c r="I388" s="779"/>
      <c r="J388" s="779"/>
      <c r="K388" s="779"/>
      <c r="L388" s="779"/>
      <c r="M388" s="779"/>
      <c r="N388" s="398"/>
      <c r="O388" s="398"/>
      <c r="P388" s="398"/>
      <c r="Q388" s="398"/>
      <c r="R388" s="398"/>
      <c r="S388" s="398"/>
      <c r="T388" s="738"/>
      <c r="U388" s="738"/>
      <c r="V388" s="738"/>
    </row>
    <row r="389" spans="1:22" ht="15.75" customHeight="1">
      <c r="A389" s="398"/>
      <c r="B389" s="398"/>
      <c r="C389" s="779"/>
      <c r="D389" s="779"/>
      <c r="E389" s="779"/>
      <c r="F389" s="779"/>
      <c r="G389" s="779"/>
      <c r="H389" s="779"/>
      <c r="I389" s="779"/>
      <c r="J389" s="779"/>
      <c r="K389" s="779"/>
      <c r="L389" s="779"/>
      <c r="M389" s="779"/>
      <c r="N389" s="398"/>
      <c r="O389" s="398"/>
      <c r="P389" s="398"/>
      <c r="Q389" s="398"/>
      <c r="R389" s="398"/>
      <c r="S389" s="398"/>
      <c r="T389" s="738"/>
      <c r="U389" s="738"/>
      <c r="V389" s="738"/>
    </row>
    <row r="390" spans="1:22" ht="15.75" customHeight="1">
      <c r="A390" s="398"/>
      <c r="B390" s="398"/>
      <c r="C390" s="779"/>
      <c r="D390" s="779"/>
      <c r="E390" s="779"/>
      <c r="F390" s="779"/>
      <c r="G390" s="779"/>
      <c r="H390" s="779"/>
      <c r="I390" s="779"/>
      <c r="J390" s="779"/>
      <c r="K390" s="779"/>
      <c r="L390" s="779"/>
      <c r="M390" s="779"/>
      <c r="N390" s="398"/>
      <c r="O390" s="398"/>
      <c r="P390" s="398"/>
      <c r="Q390" s="398"/>
      <c r="R390" s="398"/>
      <c r="S390" s="398"/>
      <c r="T390" s="738"/>
      <c r="U390" s="738"/>
      <c r="V390" s="738"/>
    </row>
    <row r="391" spans="1:22" ht="15.75" customHeight="1">
      <c r="A391" s="398"/>
      <c r="B391" s="398"/>
      <c r="C391" s="779"/>
      <c r="D391" s="779"/>
      <c r="E391" s="779"/>
      <c r="F391" s="779"/>
      <c r="G391" s="779"/>
      <c r="H391" s="779"/>
      <c r="I391" s="779"/>
      <c r="J391" s="779"/>
      <c r="K391" s="779"/>
      <c r="L391" s="779"/>
      <c r="M391" s="779"/>
      <c r="N391" s="398"/>
      <c r="O391" s="398"/>
      <c r="P391" s="398"/>
      <c r="Q391" s="398"/>
      <c r="R391" s="398"/>
      <c r="S391" s="398"/>
      <c r="T391" s="738"/>
      <c r="U391" s="738"/>
      <c r="V391" s="738"/>
    </row>
    <row r="392" spans="1:22" ht="15.75" customHeight="1">
      <c r="A392" s="398"/>
      <c r="B392" s="398"/>
      <c r="C392" s="779"/>
      <c r="D392" s="779"/>
      <c r="E392" s="779"/>
      <c r="F392" s="779"/>
      <c r="G392" s="779"/>
      <c r="H392" s="779"/>
      <c r="I392" s="779"/>
      <c r="J392" s="779"/>
      <c r="K392" s="779"/>
      <c r="L392" s="779"/>
      <c r="M392" s="779"/>
      <c r="N392" s="398"/>
      <c r="O392" s="398"/>
      <c r="P392" s="398"/>
      <c r="Q392" s="398"/>
      <c r="R392" s="398"/>
      <c r="S392" s="398"/>
      <c r="T392" s="738"/>
      <c r="U392" s="738"/>
      <c r="V392" s="738"/>
    </row>
    <row r="393" spans="1:22" ht="15.75" customHeight="1">
      <c r="A393" s="398"/>
      <c r="B393" s="398"/>
      <c r="C393" s="779"/>
      <c r="D393" s="779"/>
      <c r="E393" s="779"/>
      <c r="F393" s="779"/>
      <c r="G393" s="779"/>
      <c r="H393" s="779"/>
      <c r="I393" s="779"/>
      <c r="J393" s="779"/>
      <c r="K393" s="779"/>
      <c r="L393" s="779"/>
      <c r="M393" s="779"/>
      <c r="N393" s="398"/>
      <c r="O393" s="398"/>
      <c r="P393" s="398"/>
      <c r="Q393" s="398"/>
      <c r="R393" s="398"/>
      <c r="S393" s="398"/>
      <c r="T393" s="738"/>
      <c r="U393" s="738"/>
      <c r="V393" s="738"/>
    </row>
    <row r="394" spans="1:22" ht="15.75" customHeight="1">
      <c r="A394" s="398"/>
      <c r="B394" s="398"/>
      <c r="C394" s="779"/>
      <c r="D394" s="779"/>
      <c r="E394" s="779"/>
      <c r="F394" s="779"/>
      <c r="G394" s="779"/>
      <c r="H394" s="779"/>
      <c r="I394" s="779"/>
      <c r="J394" s="779"/>
      <c r="K394" s="779"/>
      <c r="L394" s="779"/>
      <c r="M394" s="779"/>
      <c r="N394" s="398"/>
      <c r="O394" s="398"/>
      <c r="P394" s="398"/>
      <c r="Q394" s="398"/>
      <c r="R394" s="398"/>
      <c r="S394" s="398"/>
      <c r="T394" s="738"/>
      <c r="U394" s="738"/>
      <c r="V394" s="738"/>
    </row>
    <row r="395" spans="1:22" ht="15.75" customHeight="1">
      <c r="A395" s="398"/>
      <c r="B395" s="398"/>
      <c r="C395" s="779"/>
      <c r="D395" s="779"/>
      <c r="E395" s="779"/>
      <c r="F395" s="779"/>
      <c r="G395" s="779"/>
      <c r="H395" s="779"/>
      <c r="I395" s="779"/>
      <c r="J395" s="779"/>
      <c r="K395" s="779"/>
      <c r="L395" s="779"/>
      <c r="M395" s="779"/>
      <c r="N395" s="398"/>
      <c r="O395" s="398"/>
      <c r="P395" s="398"/>
      <c r="Q395" s="398"/>
      <c r="R395" s="398"/>
      <c r="S395" s="398"/>
      <c r="T395" s="738"/>
      <c r="U395" s="738"/>
      <c r="V395" s="738"/>
    </row>
    <row r="396" spans="1:22" ht="15.75" customHeight="1">
      <c r="A396" s="398"/>
      <c r="B396" s="398"/>
      <c r="C396" s="779"/>
      <c r="D396" s="779"/>
      <c r="E396" s="779"/>
      <c r="F396" s="779"/>
      <c r="G396" s="779"/>
      <c r="H396" s="779"/>
      <c r="I396" s="779"/>
      <c r="J396" s="779"/>
      <c r="K396" s="779"/>
      <c r="L396" s="779"/>
      <c r="M396" s="779"/>
      <c r="N396" s="398"/>
      <c r="O396" s="398"/>
      <c r="P396" s="398"/>
      <c r="Q396" s="398"/>
      <c r="R396" s="398"/>
      <c r="S396" s="398"/>
      <c r="T396" s="738"/>
      <c r="U396" s="738"/>
      <c r="V396" s="738"/>
    </row>
    <row r="397" spans="1:22" ht="15.75" customHeight="1">
      <c r="A397" s="398"/>
      <c r="B397" s="398"/>
      <c r="C397" s="779"/>
      <c r="D397" s="779"/>
      <c r="E397" s="779"/>
      <c r="F397" s="779"/>
      <c r="G397" s="779"/>
      <c r="H397" s="779"/>
      <c r="I397" s="779"/>
      <c r="J397" s="779"/>
      <c r="K397" s="779"/>
      <c r="L397" s="779"/>
      <c r="M397" s="779"/>
      <c r="N397" s="398"/>
      <c r="O397" s="398"/>
      <c r="P397" s="398"/>
      <c r="Q397" s="398"/>
      <c r="R397" s="398"/>
      <c r="S397" s="398"/>
      <c r="T397" s="738"/>
      <c r="U397" s="738"/>
      <c r="V397" s="738"/>
    </row>
    <row r="398" spans="1:22" ht="15.75" customHeight="1">
      <c r="A398" s="398"/>
      <c r="B398" s="398"/>
      <c r="C398" s="779"/>
      <c r="D398" s="779"/>
      <c r="E398" s="779"/>
      <c r="F398" s="779"/>
      <c r="G398" s="779"/>
      <c r="H398" s="779"/>
      <c r="I398" s="779"/>
      <c r="J398" s="779"/>
      <c r="K398" s="779"/>
      <c r="L398" s="779"/>
      <c r="M398" s="779"/>
      <c r="N398" s="398"/>
      <c r="O398" s="398"/>
      <c r="P398" s="398"/>
      <c r="Q398" s="398"/>
      <c r="R398" s="398"/>
      <c r="S398" s="398"/>
      <c r="T398" s="738"/>
      <c r="U398" s="738"/>
      <c r="V398" s="738"/>
    </row>
    <row r="399" spans="1:22" ht="15.75" customHeight="1">
      <c r="A399" s="398"/>
      <c r="B399" s="398"/>
      <c r="C399" s="779"/>
      <c r="D399" s="779"/>
      <c r="E399" s="779"/>
      <c r="F399" s="779"/>
      <c r="G399" s="779"/>
      <c r="H399" s="779"/>
      <c r="I399" s="779"/>
      <c r="J399" s="779"/>
      <c r="K399" s="779"/>
      <c r="L399" s="779"/>
      <c r="M399" s="779"/>
      <c r="N399" s="398"/>
      <c r="O399" s="398"/>
      <c r="P399" s="398"/>
      <c r="Q399" s="398"/>
      <c r="R399" s="398"/>
      <c r="S399" s="398"/>
      <c r="T399" s="738"/>
      <c r="U399" s="738"/>
      <c r="V399" s="738"/>
    </row>
    <row r="400" spans="1:22" ht="15.75" customHeight="1">
      <c r="A400" s="398"/>
      <c r="B400" s="398"/>
      <c r="C400" s="779"/>
      <c r="D400" s="779"/>
      <c r="E400" s="779"/>
      <c r="F400" s="779"/>
      <c r="G400" s="779"/>
      <c r="H400" s="779"/>
      <c r="I400" s="779"/>
      <c r="J400" s="779"/>
      <c r="K400" s="779"/>
      <c r="L400" s="779"/>
      <c r="M400" s="779"/>
      <c r="N400" s="398"/>
      <c r="O400" s="398"/>
      <c r="P400" s="398"/>
      <c r="Q400" s="398"/>
      <c r="R400" s="398"/>
      <c r="S400" s="398"/>
      <c r="T400" s="738"/>
      <c r="U400" s="738"/>
      <c r="V400" s="738"/>
    </row>
    <row r="401" spans="1:22" ht="15.75" customHeight="1">
      <c r="A401" s="398"/>
      <c r="B401" s="398"/>
      <c r="C401" s="779"/>
      <c r="D401" s="779"/>
      <c r="E401" s="779"/>
      <c r="F401" s="779"/>
      <c r="G401" s="779"/>
      <c r="H401" s="779"/>
      <c r="I401" s="779"/>
      <c r="J401" s="779"/>
      <c r="K401" s="779"/>
      <c r="L401" s="779"/>
      <c r="M401" s="779"/>
      <c r="N401" s="398"/>
      <c r="O401" s="398"/>
      <c r="P401" s="398"/>
      <c r="Q401" s="398"/>
      <c r="R401" s="398"/>
      <c r="S401" s="398"/>
      <c r="T401" s="738"/>
      <c r="U401" s="738"/>
      <c r="V401" s="738"/>
    </row>
    <row r="402" spans="1:22" ht="15.75" customHeight="1">
      <c r="A402" s="398"/>
      <c r="B402" s="398"/>
      <c r="C402" s="779"/>
      <c r="D402" s="779"/>
      <c r="E402" s="779"/>
      <c r="F402" s="779"/>
      <c r="G402" s="779"/>
      <c r="H402" s="779"/>
      <c r="I402" s="779"/>
      <c r="J402" s="779"/>
      <c r="K402" s="779"/>
      <c r="L402" s="779"/>
      <c r="M402" s="779"/>
      <c r="N402" s="398"/>
      <c r="O402" s="398"/>
      <c r="P402" s="398"/>
      <c r="Q402" s="398"/>
      <c r="R402" s="398"/>
      <c r="S402" s="398"/>
      <c r="T402" s="738"/>
      <c r="U402" s="738"/>
      <c r="V402" s="738"/>
    </row>
    <row r="403" spans="1:22" ht="15.75" customHeight="1">
      <c r="A403" s="398"/>
      <c r="B403" s="398"/>
      <c r="C403" s="779"/>
      <c r="D403" s="779"/>
      <c r="E403" s="779"/>
      <c r="F403" s="779"/>
      <c r="G403" s="779"/>
      <c r="H403" s="779"/>
      <c r="I403" s="779"/>
      <c r="J403" s="779"/>
      <c r="K403" s="779"/>
      <c r="L403" s="779"/>
      <c r="M403" s="779"/>
      <c r="N403" s="398"/>
      <c r="O403" s="398"/>
      <c r="P403" s="398"/>
      <c r="Q403" s="398"/>
      <c r="R403" s="398"/>
      <c r="S403" s="398"/>
      <c r="T403" s="738"/>
      <c r="U403" s="738"/>
      <c r="V403" s="738"/>
    </row>
    <row r="404" spans="1:22" ht="15.75" customHeight="1">
      <c r="A404" s="398"/>
      <c r="B404" s="398"/>
      <c r="C404" s="779"/>
      <c r="D404" s="779"/>
      <c r="E404" s="779"/>
      <c r="F404" s="779"/>
      <c r="G404" s="779"/>
      <c r="H404" s="779"/>
      <c r="I404" s="779"/>
      <c r="J404" s="779"/>
      <c r="K404" s="779"/>
      <c r="L404" s="779"/>
      <c r="M404" s="779"/>
      <c r="N404" s="398"/>
      <c r="O404" s="398"/>
      <c r="P404" s="398"/>
      <c r="Q404" s="398"/>
      <c r="R404" s="398"/>
      <c r="S404" s="398"/>
      <c r="T404" s="738"/>
      <c r="U404" s="738"/>
      <c r="V404" s="738"/>
    </row>
    <row r="405" spans="1:22" ht="15.75" customHeight="1">
      <c r="A405" s="398"/>
      <c r="B405" s="398"/>
      <c r="C405" s="779"/>
      <c r="D405" s="779"/>
      <c r="E405" s="779"/>
      <c r="F405" s="779"/>
      <c r="G405" s="779"/>
      <c r="H405" s="779"/>
      <c r="I405" s="779"/>
      <c r="J405" s="779"/>
      <c r="K405" s="779"/>
      <c r="L405" s="779"/>
      <c r="M405" s="779"/>
      <c r="N405" s="398"/>
      <c r="O405" s="398"/>
      <c r="P405" s="398"/>
      <c r="Q405" s="398"/>
      <c r="R405" s="398"/>
      <c r="S405" s="398"/>
      <c r="T405" s="738"/>
      <c r="U405" s="738"/>
      <c r="V405" s="738"/>
    </row>
    <row r="406" spans="1:22" ht="15.75" customHeight="1">
      <c r="A406" s="398"/>
      <c r="B406" s="398"/>
      <c r="C406" s="779"/>
      <c r="D406" s="779"/>
      <c r="E406" s="779"/>
      <c r="F406" s="779"/>
      <c r="G406" s="779"/>
      <c r="H406" s="779"/>
      <c r="I406" s="779"/>
      <c r="J406" s="779"/>
      <c r="K406" s="779"/>
      <c r="L406" s="779"/>
      <c r="M406" s="779"/>
      <c r="N406" s="398"/>
      <c r="O406" s="398"/>
      <c r="P406" s="398"/>
      <c r="Q406" s="398"/>
      <c r="R406" s="398"/>
      <c r="S406" s="398"/>
      <c r="T406" s="738"/>
      <c r="U406" s="738"/>
      <c r="V406" s="738"/>
    </row>
    <row r="407" spans="1:22" ht="15.75" customHeight="1">
      <c r="A407" s="398"/>
      <c r="B407" s="398"/>
      <c r="C407" s="779"/>
      <c r="D407" s="779"/>
      <c r="E407" s="779"/>
      <c r="F407" s="779"/>
      <c r="G407" s="779"/>
      <c r="H407" s="779"/>
      <c r="I407" s="779"/>
      <c r="J407" s="779"/>
      <c r="K407" s="779"/>
      <c r="L407" s="779"/>
      <c r="M407" s="779"/>
      <c r="N407" s="398"/>
      <c r="O407" s="398"/>
      <c r="P407" s="398"/>
      <c r="Q407" s="398"/>
      <c r="R407" s="398"/>
      <c r="S407" s="398"/>
      <c r="T407" s="738"/>
      <c r="U407" s="738"/>
      <c r="V407" s="738"/>
    </row>
    <row r="408" spans="1:22" ht="15.75" customHeight="1">
      <c r="A408" s="398"/>
      <c r="B408" s="398"/>
      <c r="C408" s="779"/>
      <c r="D408" s="779"/>
      <c r="E408" s="779"/>
      <c r="F408" s="779"/>
      <c r="G408" s="779"/>
      <c r="H408" s="779"/>
      <c r="I408" s="779"/>
      <c r="J408" s="779"/>
      <c r="K408" s="779"/>
      <c r="L408" s="779"/>
      <c r="M408" s="779"/>
      <c r="N408" s="398"/>
      <c r="O408" s="398"/>
      <c r="P408" s="398"/>
      <c r="Q408" s="398"/>
      <c r="R408" s="398"/>
      <c r="S408" s="398"/>
      <c r="T408" s="738"/>
      <c r="U408" s="738"/>
      <c r="V408" s="738"/>
    </row>
    <row r="409" spans="1:22" ht="15.75" customHeight="1">
      <c r="A409" s="398"/>
      <c r="B409" s="398"/>
      <c r="C409" s="779"/>
      <c r="D409" s="779"/>
      <c r="E409" s="779"/>
      <c r="F409" s="779"/>
      <c r="G409" s="779"/>
      <c r="H409" s="779"/>
      <c r="I409" s="779"/>
      <c r="J409" s="779"/>
      <c r="K409" s="779"/>
      <c r="L409" s="779"/>
      <c r="M409" s="779"/>
      <c r="N409" s="398"/>
      <c r="O409" s="398"/>
      <c r="P409" s="398"/>
      <c r="Q409" s="398"/>
      <c r="R409" s="398"/>
      <c r="S409" s="398"/>
      <c r="T409" s="738"/>
      <c r="U409" s="738"/>
      <c r="V409" s="738"/>
    </row>
    <row r="410" spans="1:22" ht="15.75" customHeight="1">
      <c r="A410" s="398"/>
      <c r="B410" s="398"/>
      <c r="C410" s="779"/>
      <c r="D410" s="779"/>
      <c r="E410" s="779"/>
      <c r="F410" s="779"/>
      <c r="G410" s="779"/>
      <c r="H410" s="779"/>
      <c r="I410" s="779"/>
      <c r="J410" s="779"/>
      <c r="K410" s="779"/>
      <c r="L410" s="779"/>
      <c r="M410" s="779"/>
      <c r="N410" s="398"/>
      <c r="O410" s="398"/>
      <c r="P410" s="398"/>
      <c r="Q410" s="398"/>
      <c r="R410" s="398"/>
      <c r="S410" s="398"/>
      <c r="T410" s="738"/>
      <c r="U410" s="738"/>
      <c r="V410" s="738"/>
    </row>
    <row r="411" spans="1:22" ht="15.75" customHeight="1">
      <c r="A411" s="398"/>
      <c r="B411" s="398"/>
      <c r="C411" s="779"/>
      <c r="D411" s="779"/>
      <c r="E411" s="779"/>
      <c r="F411" s="779"/>
      <c r="G411" s="779"/>
      <c r="H411" s="779"/>
      <c r="I411" s="779"/>
      <c r="J411" s="779"/>
      <c r="K411" s="779"/>
      <c r="L411" s="779"/>
      <c r="M411" s="779"/>
      <c r="N411" s="398"/>
      <c r="O411" s="398"/>
      <c r="P411" s="398"/>
      <c r="Q411" s="398"/>
      <c r="R411" s="398"/>
      <c r="S411" s="398"/>
      <c r="T411" s="738"/>
      <c r="U411" s="738"/>
      <c r="V411" s="738"/>
    </row>
    <row r="412" spans="1:22" ht="15.75" customHeight="1">
      <c r="A412" s="398"/>
      <c r="B412" s="398"/>
      <c r="C412" s="779"/>
      <c r="D412" s="779"/>
      <c r="E412" s="779"/>
      <c r="F412" s="779"/>
      <c r="G412" s="779"/>
      <c r="H412" s="779"/>
      <c r="I412" s="779"/>
      <c r="J412" s="779"/>
      <c r="K412" s="779"/>
      <c r="L412" s="779"/>
      <c r="M412" s="779"/>
      <c r="N412" s="398"/>
      <c r="O412" s="398"/>
      <c r="P412" s="398"/>
      <c r="Q412" s="398"/>
      <c r="R412" s="398"/>
      <c r="S412" s="398"/>
      <c r="T412" s="738"/>
      <c r="U412" s="738"/>
      <c r="V412" s="738"/>
    </row>
    <row r="413" spans="1:22" ht="15.75" customHeight="1">
      <c r="A413" s="398"/>
      <c r="B413" s="398"/>
      <c r="C413" s="779"/>
      <c r="D413" s="779"/>
      <c r="E413" s="779"/>
      <c r="F413" s="779"/>
      <c r="G413" s="779"/>
      <c r="H413" s="779"/>
      <c r="I413" s="779"/>
      <c r="J413" s="779"/>
      <c r="K413" s="779"/>
      <c r="L413" s="779"/>
      <c r="M413" s="779"/>
      <c r="N413" s="398"/>
      <c r="O413" s="398"/>
      <c r="P413" s="398"/>
      <c r="Q413" s="398"/>
      <c r="R413" s="398"/>
      <c r="S413" s="398"/>
      <c r="T413" s="738"/>
      <c r="U413" s="738"/>
      <c r="V413" s="738"/>
    </row>
    <row r="414" spans="1:22" ht="15.75" customHeight="1">
      <c r="A414" s="398"/>
      <c r="B414" s="398"/>
      <c r="C414" s="779"/>
      <c r="D414" s="779"/>
      <c r="E414" s="779"/>
      <c r="F414" s="779"/>
      <c r="G414" s="779"/>
      <c r="H414" s="779"/>
      <c r="I414" s="779"/>
      <c r="J414" s="779"/>
      <c r="K414" s="779"/>
      <c r="L414" s="779"/>
      <c r="M414" s="779"/>
      <c r="N414" s="398"/>
      <c r="O414" s="398"/>
      <c r="P414" s="398"/>
      <c r="Q414" s="398"/>
      <c r="R414" s="398"/>
      <c r="S414" s="398"/>
      <c r="T414" s="738"/>
      <c r="U414" s="738"/>
      <c r="V414" s="738"/>
    </row>
    <row r="415" spans="1:22" ht="15.75" customHeight="1">
      <c r="A415" s="398"/>
      <c r="B415" s="398"/>
      <c r="C415" s="779"/>
      <c r="D415" s="779"/>
      <c r="E415" s="779"/>
      <c r="F415" s="779"/>
      <c r="G415" s="779"/>
      <c r="H415" s="779"/>
      <c r="I415" s="779"/>
      <c r="J415" s="779"/>
      <c r="K415" s="779"/>
      <c r="L415" s="779"/>
      <c r="M415" s="779"/>
      <c r="N415" s="398"/>
      <c r="O415" s="398"/>
      <c r="P415" s="398"/>
      <c r="Q415" s="398"/>
      <c r="R415" s="398"/>
      <c r="S415" s="398"/>
      <c r="T415" s="738"/>
      <c r="U415" s="738"/>
      <c r="V415" s="738"/>
    </row>
    <row r="416" spans="1:22" ht="15.75" customHeight="1">
      <c r="A416" s="398"/>
      <c r="B416" s="398"/>
      <c r="C416" s="779"/>
      <c r="D416" s="779"/>
      <c r="E416" s="779"/>
      <c r="F416" s="779"/>
      <c r="G416" s="779"/>
      <c r="H416" s="779"/>
      <c r="I416" s="779"/>
      <c r="J416" s="779"/>
      <c r="K416" s="779"/>
      <c r="L416" s="779"/>
      <c r="M416" s="779"/>
      <c r="N416" s="398"/>
      <c r="O416" s="398"/>
      <c r="P416" s="398"/>
      <c r="Q416" s="398"/>
      <c r="R416" s="398"/>
      <c r="S416" s="398"/>
      <c r="T416" s="738"/>
      <c r="U416" s="738"/>
      <c r="V416" s="738"/>
    </row>
    <row r="417" spans="1:22" ht="15.75" customHeight="1">
      <c r="A417" s="398"/>
      <c r="B417" s="398"/>
      <c r="C417" s="779"/>
      <c r="D417" s="779"/>
      <c r="E417" s="779"/>
      <c r="F417" s="779"/>
      <c r="G417" s="779"/>
      <c r="H417" s="779"/>
      <c r="I417" s="779"/>
      <c r="J417" s="779"/>
      <c r="K417" s="779"/>
      <c r="L417" s="779"/>
      <c r="M417" s="779"/>
      <c r="N417" s="398"/>
      <c r="O417" s="398"/>
      <c r="P417" s="398"/>
      <c r="Q417" s="398"/>
      <c r="R417" s="398"/>
      <c r="S417" s="398"/>
      <c r="T417" s="738"/>
      <c r="U417" s="738"/>
      <c r="V417" s="738"/>
    </row>
    <row r="418" spans="1:22" ht="15.75" customHeight="1">
      <c r="A418" s="398"/>
      <c r="B418" s="398"/>
      <c r="C418" s="779"/>
      <c r="D418" s="779"/>
      <c r="E418" s="779"/>
      <c r="F418" s="779"/>
      <c r="G418" s="779"/>
      <c r="H418" s="779"/>
      <c r="I418" s="779"/>
      <c r="J418" s="779"/>
      <c r="K418" s="779"/>
      <c r="L418" s="779"/>
      <c r="M418" s="779"/>
      <c r="N418" s="398"/>
      <c r="O418" s="398"/>
      <c r="P418" s="398"/>
      <c r="Q418" s="398"/>
      <c r="R418" s="398"/>
      <c r="S418" s="398"/>
      <c r="T418" s="738"/>
      <c r="U418" s="738"/>
      <c r="V418" s="738"/>
    </row>
    <row r="419" spans="1:22" ht="15.75" customHeight="1">
      <c r="A419" s="398"/>
      <c r="B419" s="398"/>
      <c r="C419" s="779"/>
      <c r="D419" s="779"/>
      <c r="E419" s="779"/>
      <c r="F419" s="779"/>
      <c r="G419" s="779"/>
      <c r="H419" s="779"/>
      <c r="I419" s="779"/>
      <c r="J419" s="779"/>
      <c r="K419" s="779"/>
      <c r="L419" s="779"/>
      <c r="M419" s="779"/>
      <c r="N419" s="398"/>
      <c r="O419" s="398"/>
      <c r="P419" s="398"/>
      <c r="Q419" s="398"/>
      <c r="R419" s="398"/>
      <c r="S419" s="398"/>
      <c r="T419" s="738"/>
      <c r="U419" s="738"/>
      <c r="V419" s="738"/>
    </row>
    <row r="420" spans="1:22" ht="15.75" customHeight="1">
      <c r="A420" s="398"/>
      <c r="B420" s="398"/>
      <c r="C420" s="779"/>
      <c r="D420" s="779"/>
      <c r="E420" s="779"/>
      <c r="F420" s="779"/>
      <c r="G420" s="779"/>
      <c r="H420" s="779"/>
      <c r="I420" s="779"/>
      <c r="J420" s="779"/>
      <c r="K420" s="779"/>
      <c r="L420" s="779"/>
      <c r="M420" s="779"/>
      <c r="N420" s="398"/>
      <c r="O420" s="398"/>
      <c r="P420" s="398"/>
      <c r="Q420" s="398"/>
      <c r="R420" s="398"/>
      <c r="S420" s="398"/>
      <c r="T420" s="738"/>
      <c r="U420" s="738"/>
      <c r="V420" s="738"/>
    </row>
    <row r="421" spans="1:22" ht="15.75" customHeight="1">
      <c r="A421" s="398"/>
      <c r="B421" s="398"/>
      <c r="C421" s="779"/>
      <c r="D421" s="779"/>
      <c r="E421" s="779"/>
      <c r="F421" s="779"/>
      <c r="G421" s="779"/>
      <c r="H421" s="779"/>
      <c r="I421" s="779"/>
      <c r="J421" s="779"/>
      <c r="K421" s="779"/>
      <c r="L421" s="779"/>
      <c r="M421" s="779"/>
      <c r="N421" s="398"/>
      <c r="O421" s="398"/>
      <c r="P421" s="398"/>
      <c r="Q421" s="398"/>
      <c r="R421" s="398"/>
      <c r="S421" s="398"/>
      <c r="T421" s="738"/>
      <c r="U421" s="738"/>
      <c r="V421" s="738"/>
    </row>
    <row r="422" spans="1:22" ht="15.75" customHeight="1">
      <c r="A422" s="398"/>
      <c r="B422" s="398"/>
      <c r="C422" s="779"/>
      <c r="D422" s="779"/>
      <c r="E422" s="779"/>
      <c r="F422" s="779"/>
      <c r="G422" s="779"/>
      <c r="H422" s="779"/>
      <c r="I422" s="779"/>
      <c r="J422" s="779"/>
      <c r="K422" s="779"/>
      <c r="L422" s="779"/>
      <c r="M422" s="779"/>
      <c r="N422" s="398"/>
      <c r="O422" s="398"/>
      <c r="P422" s="398"/>
      <c r="Q422" s="398"/>
      <c r="R422" s="398"/>
      <c r="S422" s="398"/>
      <c r="T422" s="738"/>
      <c r="U422" s="738"/>
      <c r="V422" s="738"/>
    </row>
    <row r="423" spans="1:22" ht="15.75" customHeight="1">
      <c r="A423" s="398"/>
      <c r="B423" s="398"/>
      <c r="C423" s="779"/>
      <c r="D423" s="779"/>
      <c r="E423" s="779"/>
      <c r="F423" s="779"/>
      <c r="G423" s="779"/>
      <c r="H423" s="779"/>
      <c r="I423" s="779"/>
      <c r="J423" s="779"/>
      <c r="K423" s="779"/>
      <c r="L423" s="779"/>
      <c r="M423" s="779"/>
      <c r="N423" s="398"/>
      <c r="O423" s="398"/>
      <c r="P423" s="398"/>
      <c r="Q423" s="398"/>
      <c r="R423" s="398"/>
      <c r="S423" s="398"/>
      <c r="T423" s="738"/>
      <c r="U423" s="738"/>
      <c r="V423" s="738"/>
    </row>
    <row r="424" spans="1:22" ht="15.75" customHeight="1">
      <c r="A424" s="398"/>
      <c r="B424" s="398"/>
      <c r="C424" s="779"/>
      <c r="D424" s="779"/>
      <c r="E424" s="779"/>
      <c r="F424" s="779"/>
      <c r="G424" s="779"/>
      <c r="H424" s="779"/>
      <c r="I424" s="779"/>
      <c r="J424" s="779"/>
      <c r="K424" s="779"/>
      <c r="L424" s="779"/>
      <c r="M424" s="779"/>
      <c r="N424" s="398"/>
      <c r="O424" s="398"/>
      <c r="P424" s="398"/>
      <c r="Q424" s="398"/>
      <c r="R424" s="398"/>
      <c r="S424" s="398"/>
      <c r="T424" s="738"/>
      <c r="U424" s="738"/>
      <c r="V424" s="738"/>
    </row>
    <row r="425" spans="1:22" ht="15.75" customHeight="1">
      <c r="A425" s="398"/>
      <c r="B425" s="398"/>
      <c r="C425" s="779"/>
      <c r="D425" s="779"/>
      <c r="E425" s="779"/>
      <c r="F425" s="779"/>
      <c r="G425" s="779"/>
      <c r="H425" s="779"/>
      <c r="I425" s="779"/>
      <c r="J425" s="779"/>
      <c r="K425" s="779"/>
      <c r="L425" s="779"/>
      <c r="M425" s="779"/>
      <c r="N425" s="398"/>
      <c r="O425" s="398"/>
      <c r="P425" s="398"/>
      <c r="Q425" s="398"/>
      <c r="R425" s="398"/>
      <c r="S425" s="398"/>
      <c r="T425" s="738"/>
      <c r="U425" s="738"/>
      <c r="V425" s="738"/>
    </row>
    <row r="426" spans="1:22" ht="15.75" customHeight="1">
      <c r="A426" s="398"/>
      <c r="B426" s="398"/>
      <c r="C426" s="779"/>
      <c r="D426" s="779"/>
      <c r="E426" s="779"/>
      <c r="F426" s="779"/>
      <c r="G426" s="779"/>
      <c r="H426" s="779"/>
      <c r="I426" s="779"/>
      <c r="J426" s="779"/>
      <c r="K426" s="779"/>
      <c r="L426" s="779"/>
      <c r="M426" s="779"/>
      <c r="N426" s="398"/>
      <c r="O426" s="398"/>
      <c r="P426" s="398"/>
      <c r="Q426" s="398"/>
      <c r="R426" s="398"/>
      <c r="S426" s="398"/>
      <c r="T426" s="738"/>
      <c r="U426" s="738"/>
      <c r="V426" s="738"/>
    </row>
    <row r="427" spans="1:22" ht="15.75" customHeight="1">
      <c r="A427" s="398"/>
      <c r="B427" s="398"/>
      <c r="C427" s="779"/>
      <c r="D427" s="779"/>
      <c r="E427" s="779"/>
      <c r="F427" s="779"/>
      <c r="G427" s="779"/>
      <c r="H427" s="779"/>
      <c r="I427" s="779"/>
      <c r="J427" s="779"/>
      <c r="K427" s="779"/>
      <c r="L427" s="779"/>
      <c r="M427" s="779"/>
      <c r="N427" s="398"/>
      <c r="O427" s="398"/>
      <c r="P427" s="398"/>
      <c r="Q427" s="398"/>
      <c r="R427" s="398"/>
      <c r="S427" s="398"/>
      <c r="T427" s="738"/>
      <c r="U427" s="738"/>
      <c r="V427" s="738"/>
    </row>
    <row r="428" spans="1:22" ht="15.75" customHeight="1">
      <c r="A428" s="398"/>
      <c r="B428" s="398"/>
      <c r="C428" s="779"/>
      <c r="D428" s="779"/>
      <c r="E428" s="779"/>
      <c r="F428" s="779"/>
      <c r="G428" s="779"/>
      <c r="H428" s="779"/>
      <c r="I428" s="779"/>
      <c r="J428" s="779"/>
      <c r="K428" s="779"/>
      <c r="L428" s="779"/>
      <c r="M428" s="779"/>
      <c r="N428" s="398"/>
      <c r="O428" s="398"/>
      <c r="P428" s="398"/>
      <c r="Q428" s="398"/>
      <c r="R428" s="398"/>
      <c r="S428" s="398"/>
      <c r="T428" s="738"/>
      <c r="U428" s="738"/>
      <c r="V428" s="738"/>
    </row>
    <row r="429" spans="1:22" ht="15.75" customHeight="1">
      <c r="A429" s="398"/>
      <c r="B429" s="398"/>
      <c r="C429" s="779"/>
      <c r="D429" s="779"/>
      <c r="E429" s="779"/>
      <c r="F429" s="779"/>
      <c r="G429" s="779"/>
      <c r="H429" s="779"/>
      <c r="I429" s="779"/>
      <c r="J429" s="779"/>
      <c r="K429" s="779"/>
      <c r="L429" s="779"/>
      <c r="M429" s="779"/>
      <c r="N429" s="398"/>
      <c r="O429" s="398"/>
      <c r="P429" s="398"/>
      <c r="Q429" s="398"/>
      <c r="R429" s="398"/>
      <c r="S429" s="398"/>
      <c r="T429" s="738"/>
      <c r="U429" s="738"/>
      <c r="V429" s="738"/>
    </row>
    <row r="430" spans="1:22" ht="15.75" customHeight="1">
      <c r="A430" s="398"/>
      <c r="B430" s="398"/>
      <c r="C430" s="779"/>
      <c r="D430" s="779"/>
      <c r="E430" s="779"/>
      <c r="F430" s="779"/>
      <c r="G430" s="779"/>
      <c r="H430" s="779"/>
      <c r="I430" s="779"/>
      <c r="J430" s="779"/>
      <c r="K430" s="779"/>
      <c r="L430" s="779"/>
      <c r="M430" s="779"/>
      <c r="N430" s="398"/>
      <c r="O430" s="398"/>
      <c r="P430" s="398"/>
      <c r="Q430" s="398"/>
      <c r="R430" s="398"/>
      <c r="S430" s="398"/>
      <c r="T430" s="738"/>
      <c r="U430" s="738"/>
      <c r="V430" s="738"/>
    </row>
    <row r="431" spans="1:22" ht="15.75" customHeight="1">
      <c r="A431" s="398"/>
      <c r="B431" s="398"/>
      <c r="C431" s="779"/>
      <c r="D431" s="779"/>
      <c r="E431" s="779"/>
      <c r="F431" s="779"/>
      <c r="G431" s="779"/>
      <c r="H431" s="779"/>
      <c r="I431" s="779"/>
      <c r="J431" s="779"/>
      <c r="K431" s="779"/>
      <c r="L431" s="779"/>
      <c r="M431" s="779"/>
      <c r="N431" s="398"/>
      <c r="O431" s="398"/>
      <c r="P431" s="398"/>
      <c r="Q431" s="398"/>
      <c r="R431" s="398"/>
      <c r="S431" s="398"/>
      <c r="T431" s="738"/>
      <c r="U431" s="738"/>
      <c r="V431" s="738"/>
    </row>
    <row r="432" spans="1:22" ht="15.75" customHeight="1">
      <c r="A432" s="398"/>
      <c r="B432" s="398"/>
      <c r="C432" s="779"/>
      <c r="D432" s="779"/>
      <c r="E432" s="779"/>
      <c r="F432" s="779"/>
      <c r="G432" s="779"/>
      <c r="H432" s="779"/>
      <c r="I432" s="779"/>
      <c r="J432" s="779"/>
      <c r="K432" s="779"/>
      <c r="L432" s="779"/>
      <c r="M432" s="779"/>
      <c r="N432" s="398"/>
      <c r="O432" s="398"/>
      <c r="P432" s="398"/>
      <c r="Q432" s="398"/>
      <c r="R432" s="398"/>
      <c r="S432" s="398"/>
      <c r="T432" s="738"/>
      <c r="U432" s="738"/>
      <c r="V432" s="738"/>
    </row>
    <row r="433" spans="1:22" ht="15.75" customHeight="1">
      <c r="A433" s="398"/>
      <c r="B433" s="398"/>
      <c r="C433" s="779"/>
      <c r="D433" s="779"/>
      <c r="E433" s="779"/>
      <c r="F433" s="779"/>
      <c r="G433" s="779"/>
      <c r="H433" s="779"/>
      <c r="I433" s="779"/>
      <c r="J433" s="779"/>
      <c r="K433" s="779"/>
      <c r="L433" s="779"/>
      <c r="M433" s="779"/>
      <c r="N433" s="398"/>
      <c r="O433" s="398"/>
      <c r="P433" s="398"/>
      <c r="Q433" s="398"/>
      <c r="R433" s="398"/>
      <c r="S433" s="398"/>
      <c r="T433" s="738"/>
      <c r="U433" s="738"/>
      <c r="V433" s="738"/>
    </row>
    <row r="434" spans="1:22" ht="15.75" customHeight="1">
      <c r="A434" s="398"/>
      <c r="B434" s="398"/>
      <c r="C434" s="779"/>
      <c r="D434" s="779"/>
      <c r="E434" s="779"/>
      <c r="F434" s="779"/>
      <c r="G434" s="779"/>
      <c r="H434" s="779"/>
      <c r="I434" s="779"/>
      <c r="J434" s="779"/>
      <c r="K434" s="779"/>
      <c r="L434" s="779"/>
      <c r="M434" s="779"/>
      <c r="N434" s="398"/>
      <c r="O434" s="398"/>
      <c r="P434" s="398"/>
      <c r="Q434" s="398"/>
      <c r="R434" s="398"/>
      <c r="S434" s="398"/>
      <c r="T434" s="738"/>
      <c r="U434" s="738"/>
      <c r="V434" s="738"/>
    </row>
    <row r="435" spans="1:22" ht="15.75" customHeight="1">
      <c r="A435" s="398"/>
      <c r="B435" s="398"/>
      <c r="C435" s="779"/>
      <c r="D435" s="779"/>
      <c r="E435" s="779"/>
      <c r="F435" s="779"/>
      <c r="G435" s="779"/>
      <c r="H435" s="779"/>
      <c r="I435" s="779"/>
      <c r="J435" s="779"/>
      <c r="K435" s="779"/>
      <c r="L435" s="779"/>
      <c r="M435" s="779"/>
      <c r="N435" s="398"/>
      <c r="O435" s="398"/>
      <c r="P435" s="398"/>
      <c r="Q435" s="398"/>
      <c r="R435" s="398"/>
      <c r="S435" s="398"/>
      <c r="T435" s="738"/>
      <c r="U435" s="738"/>
      <c r="V435" s="738"/>
    </row>
    <row r="436" spans="1:22" ht="15.75" customHeight="1">
      <c r="A436" s="398"/>
      <c r="B436" s="398"/>
      <c r="C436" s="779"/>
      <c r="D436" s="779"/>
      <c r="E436" s="779"/>
      <c r="F436" s="779"/>
      <c r="G436" s="779"/>
      <c r="H436" s="779"/>
      <c r="I436" s="779"/>
      <c r="J436" s="779"/>
      <c r="K436" s="779"/>
      <c r="L436" s="779"/>
      <c r="M436" s="779"/>
      <c r="N436" s="398"/>
      <c r="O436" s="398"/>
      <c r="P436" s="398"/>
      <c r="Q436" s="398"/>
      <c r="R436" s="398"/>
      <c r="S436" s="398"/>
      <c r="T436" s="738"/>
      <c r="U436" s="738"/>
      <c r="V436" s="738"/>
    </row>
    <row r="437" spans="1:22" ht="15.75" customHeight="1">
      <c r="A437" s="398"/>
      <c r="B437" s="398"/>
      <c r="C437" s="779"/>
      <c r="D437" s="779"/>
      <c r="E437" s="779"/>
      <c r="F437" s="779"/>
      <c r="G437" s="779"/>
      <c r="H437" s="779"/>
      <c r="I437" s="779"/>
      <c r="J437" s="779"/>
      <c r="K437" s="779"/>
      <c r="L437" s="779"/>
      <c r="M437" s="779"/>
      <c r="N437" s="398"/>
      <c r="O437" s="398"/>
      <c r="P437" s="398"/>
      <c r="Q437" s="398"/>
      <c r="R437" s="398"/>
      <c r="S437" s="398"/>
      <c r="T437" s="738"/>
      <c r="U437" s="738"/>
      <c r="V437" s="738"/>
    </row>
    <row r="438" spans="1:22" ht="15.75" customHeight="1">
      <c r="A438" s="398"/>
      <c r="B438" s="398"/>
      <c r="C438" s="779"/>
      <c r="D438" s="779"/>
      <c r="E438" s="779"/>
      <c r="F438" s="779"/>
      <c r="G438" s="779"/>
      <c r="H438" s="779"/>
      <c r="I438" s="779"/>
      <c r="J438" s="779"/>
      <c r="K438" s="779"/>
      <c r="L438" s="779"/>
      <c r="M438" s="779"/>
      <c r="N438" s="398"/>
      <c r="O438" s="398"/>
      <c r="P438" s="398"/>
      <c r="Q438" s="398"/>
      <c r="R438" s="398"/>
      <c r="S438" s="398"/>
      <c r="T438" s="738"/>
      <c r="U438" s="738"/>
      <c r="V438" s="738"/>
    </row>
    <row r="439" spans="1:22" ht="15.75" customHeight="1">
      <c r="A439" s="398"/>
      <c r="B439" s="398"/>
      <c r="C439" s="779"/>
      <c r="D439" s="779"/>
      <c r="E439" s="779"/>
      <c r="F439" s="779"/>
      <c r="G439" s="779"/>
      <c r="H439" s="779"/>
      <c r="I439" s="779"/>
      <c r="J439" s="779"/>
      <c r="K439" s="779"/>
      <c r="L439" s="779"/>
      <c r="M439" s="779"/>
      <c r="N439" s="398"/>
      <c r="O439" s="398"/>
      <c r="P439" s="398"/>
      <c r="Q439" s="398"/>
      <c r="R439" s="398"/>
      <c r="S439" s="398"/>
      <c r="T439" s="738"/>
      <c r="U439" s="738"/>
      <c r="V439" s="738"/>
    </row>
    <row r="440" spans="1:22" ht="15.75" customHeight="1">
      <c r="A440" s="398"/>
      <c r="B440" s="398"/>
      <c r="C440" s="779"/>
      <c r="D440" s="779"/>
      <c r="E440" s="779"/>
      <c r="F440" s="779"/>
      <c r="G440" s="779"/>
      <c r="H440" s="779"/>
      <c r="I440" s="779"/>
      <c r="J440" s="779"/>
      <c r="K440" s="779"/>
      <c r="L440" s="779"/>
      <c r="M440" s="779"/>
      <c r="N440" s="398"/>
      <c r="O440" s="398"/>
      <c r="P440" s="398"/>
      <c r="Q440" s="398"/>
      <c r="R440" s="398"/>
      <c r="S440" s="398"/>
      <c r="T440" s="738"/>
      <c r="U440" s="738"/>
      <c r="V440" s="738"/>
    </row>
    <row r="441" spans="1:22" ht="15.75" customHeight="1">
      <c r="A441" s="398"/>
      <c r="B441" s="398"/>
      <c r="C441" s="779"/>
      <c r="D441" s="779"/>
      <c r="E441" s="779"/>
      <c r="F441" s="779"/>
      <c r="G441" s="779"/>
      <c r="H441" s="779"/>
      <c r="I441" s="779"/>
      <c r="J441" s="779"/>
      <c r="K441" s="779"/>
      <c r="L441" s="779"/>
      <c r="M441" s="779"/>
      <c r="N441" s="398"/>
      <c r="O441" s="398"/>
      <c r="P441" s="398"/>
      <c r="Q441" s="398"/>
      <c r="R441" s="398"/>
      <c r="S441" s="398"/>
      <c r="T441" s="738"/>
      <c r="U441" s="738"/>
      <c r="V441" s="738"/>
    </row>
    <row r="442" spans="1:22" ht="15.75" customHeight="1">
      <c r="A442" s="398"/>
      <c r="B442" s="398"/>
      <c r="C442" s="779"/>
      <c r="D442" s="779"/>
      <c r="E442" s="779"/>
      <c r="F442" s="779"/>
      <c r="G442" s="779"/>
      <c r="H442" s="779"/>
      <c r="I442" s="779"/>
      <c r="J442" s="779"/>
      <c r="K442" s="779"/>
      <c r="L442" s="779"/>
      <c r="M442" s="779"/>
      <c r="N442" s="398"/>
      <c r="O442" s="398"/>
      <c r="P442" s="398"/>
      <c r="Q442" s="398"/>
      <c r="R442" s="398"/>
      <c r="S442" s="398"/>
      <c r="T442" s="738"/>
      <c r="U442" s="738"/>
      <c r="V442" s="738"/>
    </row>
    <row r="443" spans="1:22" ht="15.75" customHeight="1">
      <c r="A443" s="398"/>
      <c r="B443" s="398"/>
      <c r="C443" s="779"/>
      <c r="D443" s="779"/>
      <c r="E443" s="779"/>
      <c r="F443" s="779"/>
      <c r="G443" s="779"/>
      <c r="H443" s="779"/>
      <c r="I443" s="779"/>
      <c r="J443" s="779"/>
      <c r="K443" s="779"/>
      <c r="L443" s="779"/>
      <c r="M443" s="779"/>
      <c r="N443" s="398"/>
      <c r="O443" s="398"/>
      <c r="P443" s="398"/>
      <c r="Q443" s="398"/>
      <c r="R443" s="398"/>
      <c r="S443" s="398"/>
      <c r="T443" s="738"/>
      <c r="U443" s="738"/>
      <c r="V443" s="738"/>
    </row>
    <row r="444" spans="1:22" ht="15.75" customHeight="1">
      <c r="A444" s="398"/>
      <c r="B444" s="398"/>
      <c r="C444" s="779"/>
      <c r="D444" s="779"/>
      <c r="E444" s="779"/>
      <c r="F444" s="779"/>
      <c r="G444" s="779"/>
      <c r="H444" s="779"/>
      <c r="I444" s="779"/>
      <c r="J444" s="779"/>
      <c r="K444" s="779"/>
      <c r="L444" s="779"/>
      <c r="M444" s="779"/>
      <c r="N444" s="398"/>
      <c r="O444" s="398"/>
      <c r="P444" s="398"/>
      <c r="Q444" s="398"/>
      <c r="R444" s="398"/>
      <c r="S444" s="398"/>
      <c r="T444" s="738"/>
      <c r="U444" s="738"/>
      <c r="V444" s="738"/>
    </row>
    <row r="445" spans="1:22" ht="15.75" customHeight="1">
      <c r="A445" s="398"/>
      <c r="B445" s="398"/>
      <c r="C445" s="779"/>
      <c r="D445" s="779"/>
      <c r="E445" s="779"/>
      <c r="F445" s="779"/>
      <c r="G445" s="779"/>
      <c r="H445" s="779"/>
      <c r="I445" s="779"/>
      <c r="J445" s="779"/>
      <c r="K445" s="779"/>
      <c r="L445" s="779"/>
      <c r="M445" s="779"/>
      <c r="N445" s="398"/>
      <c r="O445" s="398"/>
      <c r="P445" s="398"/>
      <c r="Q445" s="398"/>
      <c r="R445" s="398"/>
      <c r="S445" s="398"/>
      <c r="T445" s="738"/>
      <c r="U445" s="738"/>
      <c r="V445" s="738"/>
    </row>
    <row r="446" spans="1:22" ht="15.75" customHeight="1">
      <c r="A446" s="398"/>
      <c r="B446" s="398"/>
      <c r="C446" s="779"/>
      <c r="D446" s="779"/>
      <c r="E446" s="779"/>
      <c r="F446" s="779"/>
      <c r="G446" s="779"/>
      <c r="H446" s="779"/>
      <c r="I446" s="779"/>
      <c r="J446" s="779"/>
      <c r="K446" s="779"/>
      <c r="L446" s="779"/>
      <c r="M446" s="779"/>
      <c r="N446" s="398"/>
      <c r="O446" s="398"/>
      <c r="P446" s="398"/>
      <c r="Q446" s="398"/>
      <c r="R446" s="398"/>
      <c r="S446" s="398"/>
      <c r="T446" s="738"/>
      <c r="U446" s="738"/>
      <c r="V446" s="738"/>
    </row>
    <row r="447" spans="1:22" ht="15.75" customHeight="1">
      <c r="A447" s="398"/>
      <c r="B447" s="398"/>
      <c r="C447" s="779"/>
      <c r="D447" s="779"/>
      <c r="E447" s="779"/>
      <c r="F447" s="779"/>
      <c r="G447" s="779"/>
      <c r="H447" s="779"/>
      <c r="I447" s="779"/>
      <c r="J447" s="779"/>
      <c r="K447" s="779"/>
      <c r="L447" s="779"/>
      <c r="M447" s="779"/>
      <c r="N447" s="398"/>
      <c r="O447" s="398"/>
      <c r="P447" s="398"/>
      <c r="Q447" s="398"/>
      <c r="R447" s="398"/>
      <c r="S447" s="398"/>
      <c r="T447" s="738"/>
      <c r="U447" s="738"/>
      <c r="V447" s="738"/>
    </row>
    <row r="448" spans="1:22" ht="15.75" customHeight="1">
      <c r="A448" s="398"/>
      <c r="B448" s="398"/>
      <c r="C448" s="779"/>
      <c r="D448" s="779"/>
      <c r="E448" s="779"/>
      <c r="F448" s="779"/>
      <c r="G448" s="779"/>
      <c r="H448" s="779"/>
      <c r="I448" s="779"/>
      <c r="J448" s="779"/>
      <c r="K448" s="779"/>
      <c r="L448" s="779"/>
      <c r="M448" s="779"/>
      <c r="N448" s="398"/>
      <c r="O448" s="398"/>
      <c r="P448" s="398"/>
      <c r="Q448" s="398"/>
      <c r="R448" s="398"/>
      <c r="S448" s="398"/>
      <c r="T448" s="738"/>
      <c r="U448" s="738"/>
      <c r="V448" s="738"/>
    </row>
    <row r="449" spans="1:22" ht="15.75" customHeight="1">
      <c r="A449" s="398"/>
      <c r="B449" s="398"/>
      <c r="C449" s="779"/>
      <c r="D449" s="779"/>
      <c r="E449" s="779"/>
      <c r="F449" s="779"/>
      <c r="G449" s="779"/>
      <c r="H449" s="779"/>
      <c r="I449" s="779"/>
      <c r="J449" s="779"/>
      <c r="K449" s="779"/>
      <c r="L449" s="779"/>
      <c r="M449" s="779"/>
      <c r="N449" s="398"/>
      <c r="O449" s="398"/>
      <c r="P449" s="398"/>
      <c r="Q449" s="398"/>
      <c r="R449" s="398"/>
      <c r="S449" s="398"/>
      <c r="T449" s="738"/>
      <c r="U449" s="738"/>
      <c r="V449" s="738"/>
    </row>
    <row r="450" spans="1:22" ht="15.75" customHeight="1">
      <c r="A450" s="398"/>
      <c r="B450" s="398"/>
      <c r="C450" s="779"/>
      <c r="D450" s="779"/>
      <c r="E450" s="779"/>
      <c r="F450" s="779"/>
      <c r="G450" s="779"/>
      <c r="H450" s="779"/>
      <c r="I450" s="779"/>
      <c r="J450" s="779"/>
      <c r="K450" s="779"/>
      <c r="L450" s="779"/>
      <c r="M450" s="779"/>
      <c r="N450" s="398"/>
      <c r="O450" s="398"/>
      <c r="P450" s="398"/>
      <c r="Q450" s="398"/>
      <c r="R450" s="398"/>
      <c r="S450" s="398"/>
      <c r="T450" s="738"/>
      <c r="U450" s="738"/>
      <c r="V450" s="738"/>
    </row>
    <row r="451" spans="1:22" ht="15.75" customHeight="1">
      <c r="A451" s="487"/>
      <c r="B451" s="487"/>
      <c r="C451" s="850"/>
      <c r="D451" s="850"/>
      <c r="E451" s="850"/>
      <c r="F451" s="850"/>
      <c r="G451" s="850"/>
      <c r="H451" s="850"/>
      <c r="I451" s="850"/>
      <c r="J451" s="850"/>
      <c r="K451" s="850"/>
      <c r="L451" s="850"/>
      <c r="M451" s="850"/>
      <c r="N451" s="487"/>
      <c r="O451" s="487"/>
      <c r="P451" s="487"/>
      <c r="Q451" s="487"/>
      <c r="R451" s="487"/>
      <c r="S451" s="487"/>
    </row>
    <row r="452" spans="1:22" ht="15.75" customHeight="1">
      <c r="A452" s="487"/>
      <c r="B452" s="487"/>
      <c r="C452" s="850"/>
      <c r="D452" s="850"/>
      <c r="E452" s="850"/>
      <c r="F452" s="850"/>
      <c r="G452" s="850"/>
      <c r="H452" s="850"/>
      <c r="I452" s="850"/>
      <c r="J452" s="850"/>
      <c r="K452" s="850"/>
      <c r="L452" s="850"/>
      <c r="M452" s="850"/>
      <c r="N452" s="487"/>
      <c r="O452" s="487"/>
      <c r="P452" s="487"/>
      <c r="Q452" s="487"/>
      <c r="R452" s="487"/>
      <c r="S452" s="487"/>
    </row>
    <row r="453" spans="1:22" ht="15.75" customHeight="1">
      <c r="A453" s="487"/>
      <c r="B453" s="487"/>
      <c r="C453" s="850"/>
      <c r="D453" s="850"/>
      <c r="E453" s="850"/>
      <c r="F453" s="850"/>
      <c r="G453" s="850"/>
      <c r="H453" s="850"/>
      <c r="I453" s="850"/>
      <c r="J453" s="850"/>
      <c r="K453" s="850"/>
      <c r="L453" s="850"/>
      <c r="M453" s="850"/>
      <c r="N453" s="487"/>
      <c r="O453" s="487"/>
      <c r="P453" s="487"/>
      <c r="Q453" s="487"/>
      <c r="R453" s="487"/>
      <c r="S453" s="487"/>
    </row>
    <row r="454" spans="1:22" ht="15.75" customHeight="1">
      <c r="A454" s="487"/>
      <c r="B454" s="487"/>
      <c r="C454" s="850"/>
      <c r="D454" s="850"/>
      <c r="E454" s="850"/>
      <c r="F454" s="850"/>
      <c r="G454" s="850"/>
      <c r="H454" s="850"/>
      <c r="I454" s="850"/>
      <c r="J454" s="850"/>
      <c r="K454" s="850"/>
      <c r="L454" s="850"/>
      <c r="M454" s="850"/>
      <c r="N454" s="487"/>
      <c r="O454" s="487"/>
      <c r="P454" s="487"/>
      <c r="Q454" s="487"/>
      <c r="R454" s="487"/>
      <c r="S454" s="487"/>
    </row>
    <row r="455" spans="1:22" ht="15.75" customHeight="1">
      <c r="A455" s="487"/>
      <c r="B455" s="487"/>
      <c r="C455" s="850"/>
      <c r="D455" s="850"/>
      <c r="E455" s="850"/>
      <c r="F455" s="850"/>
      <c r="G455" s="850"/>
      <c r="H455" s="850"/>
      <c r="I455" s="850"/>
      <c r="J455" s="850"/>
      <c r="K455" s="850"/>
      <c r="L455" s="850"/>
      <c r="M455" s="850"/>
      <c r="N455" s="487"/>
      <c r="O455" s="487"/>
      <c r="P455" s="487"/>
      <c r="Q455" s="487"/>
      <c r="R455" s="487"/>
      <c r="S455" s="487"/>
    </row>
    <row r="456" spans="1:22" ht="15.75" customHeight="1">
      <c r="A456" s="487"/>
      <c r="B456" s="487"/>
      <c r="C456" s="850"/>
      <c r="D456" s="850"/>
      <c r="E456" s="850"/>
      <c r="F456" s="850"/>
      <c r="G456" s="850"/>
      <c r="H456" s="850"/>
      <c r="I456" s="850"/>
      <c r="J456" s="850"/>
      <c r="K456" s="850"/>
      <c r="L456" s="850"/>
      <c r="M456" s="850"/>
      <c r="N456" s="487"/>
      <c r="O456" s="487"/>
      <c r="P456" s="487"/>
      <c r="Q456" s="487"/>
      <c r="R456" s="487"/>
      <c r="S456" s="487"/>
    </row>
    <row r="457" spans="1:22" ht="15.75" customHeight="1">
      <c r="A457" s="487"/>
      <c r="B457" s="487"/>
      <c r="C457" s="850"/>
      <c r="D457" s="850"/>
      <c r="E457" s="850"/>
      <c r="F457" s="850"/>
      <c r="G457" s="850"/>
      <c r="H457" s="850"/>
      <c r="I457" s="850"/>
      <c r="J457" s="850"/>
      <c r="K457" s="850"/>
      <c r="L457" s="850"/>
      <c r="M457" s="850"/>
      <c r="N457" s="487"/>
      <c r="O457" s="487"/>
      <c r="P457" s="487"/>
      <c r="Q457" s="487"/>
      <c r="R457" s="487"/>
      <c r="S457" s="487"/>
    </row>
    <row r="458" spans="1:22" ht="15.75" customHeight="1">
      <c r="A458" s="487"/>
      <c r="B458" s="487"/>
      <c r="C458" s="850"/>
      <c r="D458" s="850"/>
      <c r="E458" s="850"/>
      <c r="F458" s="850"/>
      <c r="G458" s="850"/>
      <c r="H458" s="850"/>
      <c r="I458" s="850"/>
      <c r="J458" s="850"/>
      <c r="K458" s="850"/>
      <c r="L458" s="850"/>
      <c r="M458" s="850"/>
      <c r="N458" s="487"/>
      <c r="O458" s="487"/>
      <c r="P458" s="487"/>
      <c r="Q458" s="487"/>
      <c r="R458" s="487"/>
      <c r="S458" s="487"/>
    </row>
    <row r="459" spans="1:22" ht="15.75" customHeight="1">
      <c r="A459" s="487"/>
      <c r="B459" s="487"/>
      <c r="C459" s="850"/>
      <c r="D459" s="850"/>
      <c r="E459" s="850"/>
      <c r="F459" s="850"/>
      <c r="G459" s="850"/>
      <c r="H459" s="850"/>
      <c r="I459" s="850"/>
      <c r="J459" s="850"/>
      <c r="K459" s="850"/>
      <c r="L459" s="850"/>
      <c r="M459" s="850"/>
      <c r="N459" s="487"/>
      <c r="O459" s="487"/>
      <c r="P459" s="487"/>
      <c r="Q459" s="487"/>
      <c r="R459" s="487"/>
      <c r="S459" s="487"/>
    </row>
    <row r="460" spans="1:22" ht="15.75" customHeight="1">
      <c r="A460" s="487"/>
      <c r="B460" s="487"/>
      <c r="C460" s="850"/>
      <c r="D460" s="850"/>
      <c r="E460" s="850"/>
      <c r="F460" s="850"/>
      <c r="G460" s="850"/>
      <c r="H460" s="850"/>
      <c r="I460" s="850"/>
      <c r="J460" s="850"/>
      <c r="K460" s="850"/>
      <c r="L460" s="850"/>
      <c r="M460" s="850"/>
      <c r="N460" s="487"/>
      <c r="O460" s="487"/>
      <c r="P460" s="487"/>
      <c r="Q460" s="487"/>
      <c r="R460" s="487"/>
      <c r="S460" s="487"/>
    </row>
    <row r="461" spans="1:22" ht="15.75" customHeight="1">
      <c r="A461" s="487"/>
      <c r="B461" s="487"/>
      <c r="C461" s="850"/>
      <c r="D461" s="850"/>
      <c r="E461" s="850"/>
      <c r="F461" s="850"/>
      <c r="G461" s="850"/>
      <c r="H461" s="850"/>
      <c r="I461" s="850"/>
      <c r="J461" s="850"/>
      <c r="K461" s="850"/>
      <c r="L461" s="850"/>
      <c r="M461" s="850"/>
      <c r="N461" s="487"/>
      <c r="O461" s="487"/>
      <c r="P461" s="487"/>
      <c r="Q461" s="487"/>
      <c r="R461" s="487"/>
      <c r="S461" s="487"/>
    </row>
    <row r="462" spans="1:22" ht="15.75" customHeight="1">
      <c r="A462" s="487"/>
      <c r="B462" s="487"/>
      <c r="C462" s="850"/>
      <c r="D462" s="850"/>
      <c r="E462" s="850"/>
      <c r="F462" s="850"/>
      <c r="G462" s="850"/>
      <c r="H462" s="850"/>
      <c r="I462" s="850"/>
      <c r="J462" s="850"/>
      <c r="K462" s="850"/>
      <c r="L462" s="850"/>
      <c r="M462" s="850"/>
      <c r="N462" s="487"/>
      <c r="O462" s="487"/>
      <c r="P462" s="487"/>
      <c r="Q462" s="487"/>
      <c r="R462" s="487"/>
      <c r="S462" s="487"/>
    </row>
    <row r="463" spans="1:22" ht="15.75" customHeight="1">
      <c r="A463" s="487"/>
      <c r="B463" s="487"/>
      <c r="C463" s="850"/>
      <c r="D463" s="850"/>
      <c r="E463" s="850"/>
      <c r="F463" s="850"/>
      <c r="G463" s="850"/>
      <c r="H463" s="850"/>
      <c r="I463" s="850"/>
      <c r="J463" s="850"/>
      <c r="K463" s="850"/>
      <c r="L463" s="850"/>
      <c r="M463" s="850"/>
      <c r="N463" s="487"/>
      <c r="O463" s="487"/>
      <c r="P463" s="487"/>
      <c r="Q463" s="487"/>
      <c r="R463" s="487"/>
      <c r="S463" s="487"/>
    </row>
    <row r="464" spans="1:22" ht="15.75" customHeight="1">
      <c r="A464" s="487"/>
      <c r="B464" s="487"/>
      <c r="C464" s="850"/>
      <c r="D464" s="850"/>
      <c r="E464" s="850"/>
      <c r="F464" s="850"/>
      <c r="G464" s="850"/>
      <c r="H464" s="850"/>
      <c r="I464" s="850"/>
      <c r="J464" s="850"/>
      <c r="K464" s="850"/>
      <c r="L464" s="850"/>
      <c r="M464" s="850"/>
      <c r="N464" s="487"/>
      <c r="O464" s="487"/>
      <c r="P464" s="487"/>
      <c r="Q464" s="487"/>
      <c r="R464" s="487"/>
      <c r="S464" s="487"/>
    </row>
    <row r="465" spans="3:13" ht="15.75" customHeight="1">
      <c r="C465" s="851"/>
      <c r="D465" s="851"/>
      <c r="E465" s="851"/>
      <c r="F465" s="851"/>
      <c r="G465" s="851"/>
      <c r="H465" s="851"/>
      <c r="I465" s="851"/>
      <c r="J465" s="851"/>
      <c r="K465" s="851"/>
      <c r="L465" s="851"/>
      <c r="M465" s="851"/>
    </row>
    <row r="466" spans="3:13" ht="15.75" customHeight="1">
      <c r="C466" s="851"/>
      <c r="D466" s="851"/>
      <c r="E466" s="851"/>
      <c r="F466" s="851"/>
      <c r="G466" s="851"/>
      <c r="H466" s="851"/>
      <c r="I466" s="851"/>
      <c r="J466" s="851"/>
      <c r="K466" s="851"/>
      <c r="L466" s="851"/>
      <c r="M466" s="851"/>
    </row>
    <row r="467" spans="3:13" ht="15.75" customHeight="1">
      <c r="C467" s="851"/>
      <c r="D467" s="851"/>
      <c r="E467" s="851"/>
      <c r="F467" s="851"/>
      <c r="G467" s="851"/>
      <c r="H467" s="851"/>
      <c r="I467" s="851"/>
      <c r="J467" s="851"/>
      <c r="K467" s="851"/>
      <c r="L467" s="851"/>
      <c r="M467" s="851"/>
    </row>
    <row r="468" spans="3:13" ht="15.75" customHeight="1">
      <c r="C468" s="851"/>
      <c r="D468" s="851"/>
      <c r="E468" s="851"/>
      <c r="F468" s="851"/>
      <c r="G468" s="851"/>
      <c r="H468" s="851"/>
      <c r="I468" s="851"/>
      <c r="J468" s="851"/>
      <c r="K468" s="851"/>
      <c r="L468" s="851"/>
      <c r="M468" s="851"/>
    </row>
    <row r="469" spans="3:13" ht="15.75" customHeight="1">
      <c r="C469" s="851"/>
      <c r="D469" s="851"/>
      <c r="E469" s="851"/>
      <c r="F469" s="851"/>
      <c r="G469" s="851"/>
      <c r="H469" s="851"/>
      <c r="I469" s="851"/>
      <c r="J469" s="851"/>
      <c r="K469" s="851"/>
      <c r="L469" s="851"/>
      <c r="M469" s="851"/>
    </row>
    <row r="470" spans="3:13" ht="15.75" customHeight="1">
      <c r="C470" s="851"/>
      <c r="D470" s="851"/>
      <c r="E470" s="851"/>
      <c r="F470" s="851"/>
      <c r="G470" s="851"/>
      <c r="H470" s="851"/>
      <c r="I470" s="851"/>
      <c r="J470" s="851"/>
      <c r="K470" s="851"/>
      <c r="L470" s="851"/>
      <c r="M470" s="851"/>
    </row>
    <row r="471" spans="3:13" ht="15.75" customHeight="1">
      <c r="C471" s="851"/>
      <c r="D471" s="851"/>
      <c r="E471" s="851"/>
      <c r="F471" s="851"/>
      <c r="G471" s="851"/>
      <c r="H471" s="851"/>
      <c r="I471" s="851"/>
      <c r="J471" s="851"/>
      <c r="K471" s="851"/>
      <c r="L471" s="851"/>
      <c r="M471" s="851"/>
    </row>
    <row r="472" spans="3:13" ht="15.75" customHeight="1">
      <c r="C472" s="851"/>
      <c r="D472" s="851"/>
      <c r="E472" s="851"/>
      <c r="F472" s="851"/>
      <c r="G472" s="851"/>
      <c r="H472" s="851"/>
      <c r="I472" s="851"/>
      <c r="J472" s="851"/>
      <c r="K472" s="851"/>
      <c r="L472" s="851"/>
      <c r="M472" s="851"/>
    </row>
    <row r="473" spans="3:13" ht="15.75" customHeight="1">
      <c r="C473" s="851"/>
      <c r="D473" s="851"/>
      <c r="E473" s="851"/>
      <c r="F473" s="851"/>
      <c r="G473" s="851"/>
      <c r="H473" s="851"/>
      <c r="I473" s="851"/>
      <c r="J473" s="851"/>
      <c r="K473" s="851"/>
      <c r="L473" s="851"/>
      <c r="M473" s="851"/>
    </row>
    <row r="474" spans="3:13" ht="15.75" customHeight="1">
      <c r="C474" s="851"/>
      <c r="D474" s="851"/>
      <c r="E474" s="851"/>
      <c r="F474" s="851"/>
      <c r="G474" s="851"/>
      <c r="H474" s="851"/>
      <c r="I474" s="851"/>
      <c r="J474" s="851"/>
      <c r="K474" s="851"/>
      <c r="L474" s="851"/>
      <c r="M474" s="851"/>
    </row>
    <row r="475" spans="3:13" ht="15.75" customHeight="1">
      <c r="C475" s="851"/>
      <c r="D475" s="851"/>
      <c r="E475" s="851"/>
      <c r="F475" s="851"/>
      <c r="G475" s="851"/>
      <c r="H475" s="851"/>
      <c r="I475" s="851"/>
      <c r="J475" s="851"/>
      <c r="K475" s="851"/>
      <c r="L475" s="851"/>
      <c r="M475" s="851"/>
    </row>
    <row r="476" spans="3:13" ht="15.75" customHeight="1">
      <c r="C476" s="851"/>
      <c r="D476" s="851"/>
      <c r="E476" s="851"/>
      <c r="F476" s="851"/>
      <c r="G476" s="851"/>
      <c r="H476" s="851"/>
      <c r="I476" s="851"/>
      <c r="J476" s="851"/>
      <c r="K476" s="851"/>
      <c r="L476" s="851"/>
      <c r="M476" s="851"/>
    </row>
    <row r="477" spans="3:13" ht="15.75" customHeight="1">
      <c r="C477" s="851"/>
      <c r="D477" s="851"/>
      <c r="E477" s="851"/>
      <c r="F477" s="851"/>
      <c r="G477" s="851"/>
      <c r="H477" s="851"/>
      <c r="I477" s="851"/>
      <c r="J477" s="851"/>
      <c r="K477" s="851"/>
      <c r="L477" s="851"/>
      <c r="M477" s="851"/>
    </row>
    <row r="478" spans="3:13" ht="15.75" customHeight="1">
      <c r="C478" s="851"/>
      <c r="D478" s="851"/>
      <c r="E478" s="851"/>
      <c r="F478" s="851"/>
      <c r="G478" s="851"/>
      <c r="H478" s="851"/>
      <c r="I478" s="851"/>
      <c r="J478" s="851"/>
      <c r="K478" s="851"/>
      <c r="L478" s="851"/>
      <c r="M478" s="851"/>
    </row>
    <row r="479" spans="3:13" ht="15.75" customHeight="1">
      <c r="C479" s="851"/>
      <c r="D479" s="851"/>
      <c r="E479" s="851"/>
      <c r="F479" s="851"/>
      <c r="G479" s="851"/>
      <c r="H479" s="851"/>
      <c r="I479" s="851"/>
      <c r="J479" s="851"/>
      <c r="K479" s="851"/>
      <c r="L479" s="851"/>
      <c r="M479" s="851"/>
    </row>
    <row r="480" spans="3:13" ht="15.75" customHeight="1">
      <c r="C480" s="851"/>
      <c r="D480" s="851"/>
      <c r="E480" s="851"/>
      <c r="F480" s="851"/>
      <c r="G480" s="851"/>
      <c r="H480" s="851"/>
      <c r="I480" s="851"/>
      <c r="J480" s="851"/>
      <c r="K480" s="851"/>
      <c r="L480" s="851"/>
      <c r="M480" s="851"/>
    </row>
    <row r="481" spans="3:13" ht="15.75" customHeight="1">
      <c r="C481" s="851"/>
      <c r="D481" s="851"/>
      <c r="E481" s="851"/>
      <c r="F481" s="851"/>
      <c r="G481" s="851"/>
      <c r="H481" s="851"/>
      <c r="I481" s="851"/>
      <c r="J481" s="851"/>
      <c r="K481" s="851"/>
      <c r="L481" s="851"/>
      <c r="M481" s="851"/>
    </row>
    <row r="482" spans="3:13" ht="15.75" customHeight="1">
      <c r="C482" s="851"/>
      <c r="D482" s="851"/>
      <c r="E482" s="851"/>
      <c r="F482" s="851"/>
      <c r="G482" s="851"/>
      <c r="H482" s="851"/>
      <c r="I482" s="851"/>
      <c r="J482" s="851"/>
      <c r="K482" s="851"/>
      <c r="L482" s="851"/>
      <c r="M482" s="851"/>
    </row>
    <row r="483" spans="3:13" ht="15.75" customHeight="1">
      <c r="C483" s="851"/>
      <c r="D483" s="851"/>
      <c r="E483" s="851"/>
      <c r="F483" s="851"/>
      <c r="G483" s="851"/>
      <c r="H483" s="851"/>
      <c r="I483" s="851"/>
      <c r="J483" s="851"/>
      <c r="K483" s="851"/>
      <c r="L483" s="851"/>
      <c r="M483" s="851"/>
    </row>
    <row r="484" spans="3:13" ht="15.75" customHeight="1">
      <c r="C484" s="851"/>
      <c r="D484" s="851"/>
      <c r="E484" s="851"/>
      <c r="F484" s="851"/>
      <c r="G484" s="851"/>
      <c r="H484" s="851"/>
      <c r="I484" s="851"/>
      <c r="J484" s="851"/>
      <c r="K484" s="851"/>
      <c r="L484" s="851"/>
      <c r="M484" s="851"/>
    </row>
    <row r="485" spans="3:13" ht="15.75" customHeight="1">
      <c r="C485" s="851"/>
      <c r="D485" s="851"/>
      <c r="E485" s="851"/>
      <c r="F485" s="851"/>
      <c r="G485" s="851"/>
      <c r="H485" s="851"/>
      <c r="I485" s="851"/>
      <c r="J485" s="851"/>
      <c r="K485" s="851"/>
      <c r="L485" s="851"/>
      <c r="M485" s="851"/>
    </row>
    <row r="486" spans="3:13" ht="15.75" customHeight="1">
      <c r="C486" s="851"/>
      <c r="D486" s="851"/>
      <c r="E486" s="851"/>
      <c r="F486" s="851"/>
      <c r="G486" s="851"/>
      <c r="H486" s="851"/>
      <c r="I486" s="851"/>
      <c r="J486" s="851"/>
      <c r="K486" s="851"/>
      <c r="L486" s="851"/>
      <c r="M486" s="851"/>
    </row>
    <row r="487" spans="3:13" ht="15.75" customHeight="1">
      <c r="C487" s="851"/>
      <c r="D487" s="851"/>
      <c r="E487" s="851"/>
      <c r="F487" s="851"/>
      <c r="G487" s="851"/>
      <c r="H487" s="851"/>
      <c r="I487" s="851"/>
      <c r="J487" s="851"/>
      <c r="K487" s="851"/>
      <c r="L487" s="851"/>
      <c r="M487" s="851"/>
    </row>
    <row r="488" spans="3:13" ht="15.75" customHeight="1">
      <c r="C488" s="851"/>
      <c r="D488" s="851"/>
      <c r="E488" s="851"/>
      <c r="F488" s="851"/>
      <c r="G488" s="851"/>
      <c r="H488" s="851"/>
      <c r="I488" s="851"/>
      <c r="J488" s="851"/>
      <c r="K488" s="851"/>
      <c r="L488" s="851"/>
      <c r="M488" s="851"/>
    </row>
    <row r="489" spans="3:13" ht="15.75" customHeight="1">
      <c r="C489" s="851"/>
      <c r="D489" s="851"/>
      <c r="E489" s="851"/>
      <c r="F489" s="851"/>
      <c r="G489" s="851"/>
      <c r="H489" s="851"/>
      <c r="I489" s="851"/>
      <c r="J489" s="851"/>
      <c r="K489" s="851"/>
      <c r="L489" s="851"/>
      <c r="M489" s="851"/>
    </row>
    <row r="490" spans="3:13" ht="15.75" customHeight="1">
      <c r="C490" s="851"/>
      <c r="D490" s="851"/>
      <c r="E490" s="851"/>
      <c r="F490" s="851"/>
      <c r="G490" s="851"/>
      <c r="H490" s="851"/>
      <c r="I490" s="851"/>
      <c r="J490" s="851"/>
      <c r="K490" s="851"/>
      <c r="L490" s="851"/>
      <c r="M490" s="851"/>
    </row>
    <row r="491" spans="3:13" ht="15.75" customHeight="1">
      <c r="C491" s="851"/>
      <c r="D491" s="851"/>
      <c r="E491" s="851"/>
      <c r="F491" s="851"/>
      <c r="G491" s="851"/>
      <c r="H491" s="851"/>
      <c r="I491" s="851"/>
      <c r="J491" s="851"/>
      <c r="K491" s="851"/>
      <c r="L491" s="851"/>
      <c r="M491" s="851"/>
    </row>
    <row r="492" spans="3:13" ht="14.25" customHeight="1">
      <c r="C492" s="851"/>
      <c r="D492" s="851"/>
      <c r="E492" s="851"/>
      <c r="F492" s="851"/>
      <c r="G492" s="851"/>
      <c r="H492" s="851"/>
      <c r="I492" s="851"/>
      <c r="J492" s="851"/>
      <c r="K492" s="851"/>
      <c r="L492" s="851"/>
      <c r="M492" s="851"/>
    </row>
    <row r="493" spans="3:13" ht="14.25" customHeight="1">
      <c r="C493" s="851"/>
      <c r="D493" s="851"/>
      <c r="E493" s="851"/>
      <c r="F493" s="851"/>
      <c r="G493" s="851"/>
      <c r="H493" s="851"/>
      <c r="I493" s="851"/>
      <c r="J493" s="851"/>
      <c r="K493" s="851"/>
      <c r="L493" s="851"/>
      <c r="M493" s="851"/>
    </row>
    <row r="494" spans="3:13" ht="14.25" customHeight="1">
      <c r="C494" s="851"/>
      <c r="D494" s="851"/>
      <c r="E494" s="851"/>
      <c r="F494" s="851"/>
      <c r="G494" s="851"/>
      <c r="H494" s="851"/>
      <c r="I494" s="851"/>
      <c r="J494" s="851"/>
      <c r="K494" s="851"/>
      <c r="L494" s="851"/>
      <c r="M494" s="851"/>
    </row>
    <row r="495" spans="3:13" ht="14.25" customHeight="1">
      <c r="C495" s="851"/>
      <c r="D495" s="851"/>
      <c r="E495" s="851"/>
      <c r="F495" s="851"/>
      <c r="G495" s="851"/>
      <c r="H495" s="851"/>
      <c r="I495" s="851"/>
      <c r="J495" s="851"/>
      <c r="K495" s="851"/>
      <c r="L495" s="851"/>
      <c r="M495" s="851"/>
    </row>
    <row r="496" spans="3:13" ht="14.25" customHeight="1">
      <c r="C496" s="851"/>
      <c r="D496" s="851"/>
      <c r="E496" s="851"/>
      <c r="F496" s="851"/>
      <c r="G496" s="851"/>
      <c r="H496" s="851"/>
      <c r="I496" s="851"/>
      <c r="J496" s="851"/>
      <c r="K496" s="851"/>
      <c r="L496" s="851"/>
      <c r="M496" s="851"/>
    </row>
    <row r="497" spans="3:13" ht="14.25" customHeight="1">
      <c r="C497" s="851"/>
      <c r="D497" s="851"/>
      <c r="E497" s="851"/>
      <c r="F497" s="851"/>
      <c r="G497" s="851"/>
      <c r="H497" s="851"/>
      <c r="I497" s="851"/>
      <c r="J497" s="851"/>
      <c r="K497" s="851"/>
      <c r="L497" s="851"/>
      <c r="M497" s="851"/>
    </row>
    <row r="498" spans="3:13" ht="14.25" customHeight="1">
      <c r="C498" s="851"/>
      <c r="D498" s="851"/>
      <c r="E498" s="851"/>
      <c r="F498" s="851"/>
      <c r="G498" s="851"/>
      <c r="H498" s="851"/>
      <c r="I498" s="851"/>
      <c r="J498" s="851"/>
      <c r="K498" s="851"/>
      <c r="L498" s="851"/>
      <c r="M498" s="851"/>
    </row>
    <row r="499" spans="3:13" ht="14.25" customHeight="1">
      <c r="C499" s="851"/>
      <c r="D499" s="851"/>
      <c r="E499" s="851"/>
      <c r="F499" s="851"/>
      <c r="G499" s="851"/>
      <c r="H499" s="851"/>
      <c r="I499" s="851"/>
      <c r="J499" s="851"/>
      <c r="K499" s="851"/>
      <c r="L499" s="851"/>
      <c r="M499" s="851"/>
    </row>
    <row r="500" spans="3:13" ht="14.25" customHeight="1">
      <c r="C500" s="851"/>
      <c r="D500" s="851"/>
      <c r="E500" s="851"/>
      <c r="F500" s="851"/>
      <c r="G500" s="851"/>
      <c r="H500" s="851"/>
      <c r="I500" s="851"/>
      <c r="J500" s="851"/>
      <c r="K500" s="851"/>
      <c r="L500" s="851"/>
      <c r="M500" s="851"/>
    </row>
    <row r="501" spans="3:13" ht="14.25" customHeight="1">
      <c r="C501" s="851"/>
      <c r="D501" s="851"/>
      <c r="E501" s="851"/>
      <c r="F501" s="851"/>
      <c r="G501" s="851"/>
      <c r="H501" s="851"/>
      <c r="I501" s="851"/>
      <c r="J501" s="851"/>
      <c r="K501" s="851"/>
      <c r="L501" s="851"/>
      <c r="M501" s="851"/>
    </row>
    <row r="502" spans="3:13" ht="14.25" customHeight="1">
      <c r="C502" s="851"/>
      <c r="D502" s="851"/>
      <c r="E502" s="851"/>
      <c r="F502" s="851"/>
      <c r="G502" s="851"/>
      <c r="H502" s="851"/>
      <c r="I502" s="851"/>
      <c r="J502" s="851"/>
      <c r="K502" s="851"/>
      <c r="L502" s="851"/>
      <c r="M502" s="851"/>
    </row>
    <row r="503" spans="3:13" ht="14.25" customHeight="1">
      <c r="C503" s="851"/>
      <c r="D503" s="851"/>
      <c r="E503" s="851"/>
      <c r="F503" s="851"/>
      <c r="G503" s="851"/>
      <c r="H503" s="851"/>
      <c r="I503" s="851"/>
      <c r="J503" s="851"/>
      <c r="K503" s="851"/>
      <c r="L503" s="851"/>
      <c r="M503" s="851"/>
    </row>
    <row r="504" spans="3:13" ht="14.25" customHeight="1">
      <c r="C504" s="851"/>
      <c r="D504" s="851"/>
      <c r="E504" s="851"/>
      <c r="F504" s="851"/>
      <c r="G504" s="851"/>
      <c r="H504" s="851"/>
      <c r="I504" s="851"/>
      <c r="J504" s="851"/>
      <c r="K504" s="851"/>
      <c r="L504" s="851"/>
      <c r="M504" s="851"/>
    </row>
    <row r="505" spans="3:13" ht="14.25" customHeight="1">
      <c r="C505" s="851"/>
      <c r="D505" s="851"/>
      <c r="E505" s="851"/>
      <c r="F505" s="851"/>
      <c r="G505" s="851"/>
      <c r="H505" s="851"/>
      <c r="I505" s="851"/>
      <c r="J505" s="851"/>
      <c r="K505" s="851"/>
      <c r="L505" s="851"/>
      <c r="M505" s="851"/>
    </row>
    <row r="506" spans="3:13" ht="14.25" customHeight="1">
      <c r="C506" s="851"/>
      <c r="D506" s="851"/>
      <c r="E506" s="851"/>
      <c r="F506" s="851"/>
      <c r="G506" s="851"/>
      <c r="H506" s="851"/>
      <c r="I506" s="851"/>
      <c r="J506" s="851"/>
      <c r="K506" s="851"/>
      <c r="L506" s="851"/>
      <c r="M506" s="851"/>
    </row>
    <row r="507" spans="3:13" ht="14.25" customHeight="1">
      <c r="C507" s="851"/>
      <c r="D507" s="851"/>
      <c r="E507" s="851"/>
      <c r="F507" s="851"/>
      <c r="G507" s="851"/>
      <c r="H507" s="851"/>
      <c r="I507" s="851"/>
      <c r="J507" s="851"/>
      <c r="K507" s="851"/>
      <c r="L507" s="851"/>
      <c r="M507" s="851"/>
    </row>
    <row r="508" spans="3:13" ht="14.25" customHeight="1">
      <c r="C508" s="851"/>
      <c r="D508" s="851"/>
      <c r="E508" s="851"/>
      <c r="F508" s="851"/>
      <c r="G508" s="851"/>
      <c r="H508" s="851"/>
      <c r="I508" s="851"/>
      <c r="J508" s="851"/>
      <c r="K508" s="851"/>
      <c r="L508" s="851"/>
      <c r="M508" s="851"/>
    </row>
    <row r="509" spans="3:13" ht="14.25" customHeight="1">
      <c r="C509" s="851"/>
      <c r="D509" s="851"/>
      <c r="E509" s="851"/>
      <c r="F509" s="851"/>
      <c r="G509" s="851"/>
      <c r="H509" s="851"/>
      <c r="I509" s="851"/>
      <c r="J509" s="851"/>
      <c r="K509" s="851"/>
      <c r="L509" s="851"/>
      <c r="M509" s="851"/>
    </row>
    <row r="510" spans="3:13" ht="14.25" customHeight="1">
      <c r="C510" s="851"/>
      <c r="D510" s="851"/>
      <c r="E510" s="851"/>
      <c r="F510" s="851"/>
      <c r="G510" s="851"/>
      <c r="H510" s="851"/>
      <c r="I510" s="851"/>
      <c r="J510" s="851"/>
      <c r="K510" s="851"/>
      <c r="L510" s="851"/>
      <c r="M510" s="851"/>
    </row>
    <row r="511" spans="3:13" ht="14.25" customHeight="1">
      <c r="C511" s="851"/>
      <c r="D511" s="851"/>
      <c r="E511" s="851"/>
      <c r="F511" s="851"/>
      <c r="G511" s="851"/>
      <c r="H511" s="851"/>
      <c r="I511" s="851"/>
      <c r="J511" s="851"/>
      <c r="K511" s="851"/>
      <c r="L511" s="851"/>
      <c r="M511" s="851"/>
    </row>
    <row r="512" spans="3:13" ht="14.25" customHeight="1">
      <c r="C512" s="851"/>
      <c r="D512" s="851"/>
      <c r="E512" s="851"/>
      <c r="F512" s="851"/>
      <c r="G512" s="851"/>
      <c r="H512" s="851"/>
      <c r="I512" s="851"/>
      <c r="J512" s="851"/>
      <c r="K512" s="851"/>
      <c r="L512" s="851"/>
      <c r="M512" s="851"/>
    </row>
    <row r="513" spans="3:13" ht="14.25" customHeight="1">
      <c r="C513" s="851"/>
      <c r="D513" s="851"/>
      <c r="E513" s="851"/>
      <c r="F513" s="851"/>
      <c r="G513" s="851"/>
      <c r="H513" s="851"/>
      <c r="I513" s="851"/>
      <c r="J513" s="851"/>
      <c r="K513" s="851"/>
      <c r="L513" s="851"/>
      <c r="M513" s="851"/>
    </row>
    <row r="514" spans="3:13" ht="14.25" customHeight="1">
      <c r="C514" s="851"/>
      <c r="D514" s="851"/>
      <c r="E514" s="851"/>
      <c r="F514" s="851"/>
      <c r="G514" s="851"/>
      <c r="H514" s="851"/>
      <c r="I514" s="851"/>
      <c r="J514" s="851"/>
      <c r="K514" s="851"/>
      <c r="L514" s="851"/>
      <c r="M514" s="851"/>
    </row>
    <row r="515" spans="3:13" ht="14.25" customHeight="1">
      <c r="C515" s="851"/>
      <c r="D515" s="851"/>
      <c r="E515" s="851"/>
      <c r="F515" s="851"/>
      <c r="G515" s="851"/>
      <c r="H515" s="851"/>
      <c r="I515" s="851"/>
      <c r="J515" s="851"/>
      <c r="K515" s="851"/>
      <c r="L515" s="851"/>
      <c r="M515" s="851"/>
    </row>
    <row r="516" spans="3:13" ht="14.25" customHeight="1">
      <c r="C516" s="851"/>
      <c r="D516" s="851"/>
      <c r="E516" s="851"/>
      <c r="F516" s="851"/>
      <c r="G516" s="851"/>
      <c r="H516" s="851"/>
      <c r="I516" s="851"/>
      <c r="J516" s="851"/>
      <c r="K516" s="851"/>
      <c r="L516" s="851"/>
      <c r="M516" s="851"/>
    </row>
    <row r="517" spans="3:13" ht="14.25" customHeight="1">
      <c r="C517" s="851"/>
      <c r="D517" s="851"/>
      <c r="E517" s="851"/>
      <c r="F517" s="851"/>
      <c r="G517" s="851"/>
      <c r="H517" s="851"/>
      <c r="I517" s="851"/>
      <c r="J517" s="851"/>
      <c r="K517" s="851"/>
      <c r="L517" s="851"/>
      <c r="M517" s="851"/>
    </row>
    <row r="518" spans="3:13" ht="14.25" customHeight="1">
      <c r="C518" s="851"/>
      <c r="D518" s="851"/>
      <c r="E518" s="851"/>
      <c r="F518" s="851"/>
      <c r="G518" s="851"/>
      <c r="H518" s="851"/>
      <c r="I518" s="851"/>
      <c r="J518" s="851"/>
      <c r="K518" s="851"/>
      <c r="L518" s="851"/>
      <c r="M518" s="851"/>
    </row>
    <row r="519" spans="3:13" ht="14.25" customHeight="1">
      <c r="C519" s="851"/>
      <c r="D519" s="851"/>
      <c r="E519" s="851"/>
      <c r="F519" s="851"/>
      <c r="G519" s="851"/>
      <c r="H519" s="851"/>
      <c r="I519" s="851"/>
      <c r="J519" s="851"/>
      <c r="K519" s="851"/>
      <c r="L519" s="851"/>
      <c r="M519" s="851"/>
    </row>
    <row r="520" spans="3:13" ht="14.25" customHeight="1">
      <c r="C520" s="851"/>
      <c r="D520" s="851"/>
      <c r="E520" s="851"/>
      <c r="F520" s="851"/>
      <c r="G520" s="851"/>
      <c r="H520" s="851"/>
      <c r="I520" s="851"/>
      <c r="J520" s="851"/>
      <c r="K520" s="851"/>
      <c r="L520" s="851"/>
      <c r="M520" s="851"/>
    </row>
    <row r="521" spans="3:13" ht="14.25" customHeight="1">
      <c r="C521" s="851"/>
      <c r="D521" s="851"/>
      <c r="E521" s="851"/>
      <c r="F521" s="851"/>
      <c r="G521" s="851"/>
      <c r="H521" s="851"/>
      <c r="I521" s="851"/>
      <c r="J521" s="851"/>
      <c r="K521" s="851"/>
      <c r="L521" s="851"/>
      <c r="M521" s="851"/>
    </row>
    <row r="522" spans="3:13" ht="14.25" customHeight="1">
      <c r="C522" s="851"/>
      <c r="D522" s="851"/>
      <c r="E522" s="851"/>
      <c r="F522" s="851"/>
      <c r="G522" s="851"/>
      <c r="H522" s="851"/>
      <c r="I522" s="851"/>
      <c r="J522" s="851"/>
      <c r="K522" s="851"/>
      <c r="L522" s="851"/>
      <c r="M522" s="851"/>
    </row>
    <row r="523" spans="3:13" ht="14.25" customHeight="1">
      <c r="C523" s="851"/>
      <c r="D523" s="851"/>
      <c r="E523" s="851"/>
      <c r="F523" s="851"/>
      <c r="G523" s="851"/>
      <c r="H523" s="851"/>
      <c r="I523" s="851"/>
      <c r="J523" s="851"/>
      <c r="K523" s="851"/>
      <c r="L523" s="851"/>
      <c r="M523" s="851"/>
    </row>
    <row r="524" spans="3:13" ht="14.25" customHeight="1">
      <c r="C524" s="851"/>
      <c r="D524" s="851"/>
      <c r="E524" s="851"/>
      <c r="F524" s="851"/>
      <c r="G524" s="851"/>
      <c r="H524" s="851"/>
      <c r="I524" s="851"/>
      <c r="J524" s="851"/>
      <c r="K524" s="851"/>
      <c r="L524" s="851"/>
      <c r="M524" s="851"/>
    </row>
    <row r="525" spans="3:13" ht="14.25" customHeight="1">
      <c r="C525" s="851"/>
      <c r="D525" s="851"/>
      <c r="E525" s="851"/>
      <c r="F525" s="851"/>
      <c r="G525" s="851"/>
      <c r="H525" s="851"/>
      <c r="I525" s="851"/>
      <c r="J525" s="851"/>
      <c r="K525" s="851"/>
      <c r="L525" s="851"/>
      <c r="M525" s="851"/>
    </row>
    <row r="526" spans="3:13" ht="14.25" customHeight="1">
      <c r="C526" s="851"/>
      <c r="D526" s="851"/>
      <c r="E526" s="851"/>
      <c r="F526" s="851"/>
      <c r="G526" s="851"/>
      <c r="H526" s="851"/>
      <c r="I526" s="851"/>
      <c r="J526" s="851"/>
      <c r="K526" s="851"/>
      <c r="L526" s="851"/>
      <c r="M526" s="851"/>
    </row>
    <row r="527" spans="3:13" ht="14.25" customHeight="1">
      <c r="C527" s="851"/>
      <c r="D527" s="851"/>
      <c r="E527" s="851"/>
      <c r="F527" s="851"/>
      <c r="G527" s="851"/>
      <c r="H527" s="851"/>
      <c r="I527" s="851"/>
      <c r="J527" s="851"/>
      <c r="K527" s="851"/>
      <c r="L527" s="851"/>
      <c r="M527" s="851"/>
    </row>
    <row r="528" spans="3:13" ht="14.25" customHeight="1">
      <c r="C528" s="851"/>
      <c r="D528" s="851"/>
      <c r="E528" s="851"/>
      <c r="F528" s="851"/>
      <c r="G528" s="851"/>
      <c r="H528" s="851"/>
      <c r="I528" s="851"/>
      <c r="J528" s="851"/>
      <c r="K528" s="851"/>
      <c r="L528" s="851"/>
      <c r="M528" s="851"/>
    </row>
    <row r="529" spans="3:13" ht="14.25" customHeight="1">
      <c r="C529" s="851"/>
      <c r="D529" s="851"/>
      <c r="E529" s="851"/>
      <c r="F529" s="851"/>
      <c r="G529" s="851"/>
      <c r="H529" s="851"/>
      <c r="I529" s="851"/>
      <c r="J529" s="851"/>
      <c r="K529" s="851"/>
      <c r="L529" s="851"/>
      <c r="M529" s="851"/>
    </row>
    <row r="530" spans="3:13" ht="14.25" customHeight="1">
      <c r="C530" s="851"/>
      <c r="D530" s="851"/>
      <c r="E530" s="851"/>
      <c r="F530" s="851"/>
      <c r="G530" s="851"/>
      <c r="H530" s="851"/>
      <c r="I530" s="851"/>
      <c r="J530" s="851"/>
      <c r="K530" s="851"/>
      <c r="L530" s="851"/>
      <c r="M530" s="851"/>
    </row>
    <row r="531" spans="3:13" ht="14.25" customHeight="1">
      <c r="C531" s="851"/>
      <c r="D531" s="851"/>
      <c r="E531" s="851"/>
      <c r="F531" s="851"/>
      <c r="G531" s="851"/>
      <c r="H531" s="851"/>
      <c r="I531" s="851"/>
      <c r="J531" s="851"/>
      <c r="K531" s="851"/>
      <c r="L531" s="851"/>
      <c r="M531" s="851"/>
    </row>
    <row r="532" spans="3:13" ht="14.25" customHeight="1">
      <c r="C532" s="851"/>
      <c r="D532" s="851"/>
      <c r="E532" s="851"/>
      <c r="F532" s="851"/>
      <c r="G532" s="851"/>
      <c r="H532" s="851"/>
      <c r="I532" s="851"/>
      <c r="J532" s="851"/>
      <c r="K532" s="851"/>
      <c r="L532" s="851"/>
      <c r="M532" s="851"/>
    </row>
    <row r="533" spans="3:13" ht="14.25" customHeight="1">
      <c r="C533" s="851"/>
      <c r="D533" s="851"/>
      <c r="E533" s="851"/>
      <c r="F533" s="851"/>
      <c r="G533" s="851"/>
      <c r="H533" s="851"/>
      <c r="I533" s="851"/>
      <c r="J533" s="851"/>
      <c r="K533" s="851"/>
      <c r="L533" s="851"/>
      <c r="M533" s="851"/>
    </row>
    <row r="534" spans="3:13" ht="14.25" customHeight="1">
      <c r="C534" s="851"/>
      <c r="D534" s="851"/>
      <c r="E534" s="851"/>
      <c r="F534" s="851"/>
      <c r="G534" s="851"/>
      <c r="H534" s="851"/>
      <c r="I534" s="851"/>
      <c r="J534" s="851"/>
      <c r="K534" s="851"/>
      <c r="L534" s="851"/>
      <c r="M534" s="851"/>
    </row>
    <row r="535" spans="3:13" ht="14.25" customHeight="1">
      <c r="C535" s="851"/>
      <c r="D535" s="851"/>
      <c r="E535" s="851"/>
      <c r="F535" s="851"/>
      <c r="G535" s="851"/>
      <c r="H535" s="851"/>
      <c r="I535" s="851"/>
      <c r="J535" s="851"/>
      <c r="K535" s="851"/>
      <c r="L535" s="851"/>
      <c r="M535" s="851"/>
    </row>
    <row r="536" spans="3:13" ht="14.25" customHeight="1">
      <c r="C536" s="851"/>
      <c r="D536" s="851"/>
      <c r="E536" s="851"/>
      <c r="F536" s="851"/>
      <c r="G536" s="851"/>
      <c r="H536" s="851"/>
      <c r="I536" s="851"/>
      <c r="J536" s="851"/>
      <c r="K536" s="851"/>
      <c r="L536" s="851"/>
      <c r="M536" s="851"/>
    </row>
    <row r="537" spans="3:13" ht="14.25" customHeight="1">
      <c r="C537" s="851"/>
      <c r="D537" s="851"/>
      <c r="E537" s="851"/>
      <c r="F537" s="851"/>
      <c r="G537" s="851"/>
      <c r="H537" s="851"/>
      <c r="I537" s="851"/>
      <c r="J537" s="851"/>
      <c r="K537" s="851"/>
      <c r="L537" s="851"/>
      <c r="M537" s="851"/>
    </row>
    <row r="538" spans="3:13" ht="14.25" customHeight="1">
      <c r="C538" s="851"/>
      <c r="D538" s="851"/>
      <c r="E538" s="851"/>
      <c r="F538" s="851"/>
      <c r="G538" s="851"/>
      <c r="H538" s="851"/>
      <c r="I538" s="851"/>
      <c r="J538" s="851"/>
      <c r="K538" s="851"/>
      <c r="L538" s="851"/>
      <c r="M538" s="851"/>
    </row>
    <row r="539" spans="3:13" ht="14.25" customHeight="1">
      <c r="C539" s="851"/>
      <c r="D539" s="851"/>
      <c r="E539" s="851"/>
      <c r="F539" s="851"/>
      <c r="G539" s="851"/>
      <c r="H539" s="851"/>
      <c r="I539" s="851"/>
      <c r="J539" s="851"/>
      <c r="K539" s="851"/>
      <c r="L539" s="851"/>
      <c r="M539" s="851"/>
    </row>
    <row r="540" spans="3:13" ht="14.25" customHeight="1">
      <c r="C540" s="851"/>
      <c r="D540" s="851"/>
      <c r="E540" s="851"/>
      <c r="F540" s="851"/>
      <c r="G540" s="851"/>
      <c r="H540" s="851"/>
      <c r="I540" s="851"/>
      <c r="J540" s="851"/>
      <c r="K540" s="851"/>
      <c r="L540" s="851"/>
      <c r="M540" s="851"/>
    </row>
    <row r="541" spans="3:13" ht="14.25" customHeight="1">
      <c r="C541" s="851"/>
      <c r="D541" s="851"/>
      <c r="E541" s="851"/>
      <c r="F541" s="851"/>
      <c r="G541" s="851"/>
      <c r="H541" s="851"/>
      <c r="I541" s="851"/>
      <c r="J541" s="851"/>
      <c r="K541" s="851"/>
      <c r="L541" s="851"/>
      <c r="M541" s="851"/>
    </row>
    <row r="542" spans="3:13" ht="14.25" customHeight="1">
      <c r="C542" s="851"/>
      <c r="D542" s="851"/>
      <c r="E542" s="851"/>
      <c r="F542" s="851"/>
      <c r="G542" s="851"/>
      <c r="H542" s="851"/>
      <c r="I542" s="851"/>
      <c r="J542" s="851"/>
      <c r="K542" s="851"/>
      <c r="L542" s="851"/>
      <c r="M542" s="851"/>
    </row>
    <row r="543" spans="3:13" ht="14.25" customHeight="1">
      <c r="C543" s="851"/>
      <c r="D543" s="851"/>
      <c r="E543" s="851"/>
      <c r="F543" s="851"/>
      <c r="G543" s="851"/>
      <c r="H543" s="851"/>
      <c r="I543" s="851"/>
      <c r="J543" s="851"/>
      <c r="K543" s="851"/>
      <c r="L543" s="851"/>
      <c r="M543" s="851"/>
    </row>
    <row r="544" spans="3:13" ht="14.25" customHeight="1">
      <c r="C544" s="851"/>
      <c r="D544" s="851"/>
      <c r="E544" s="851"/>
      <c r="F544" s="851"/>
      <c r="G544" s="851"/>
      <c r="H544" s="851"/>
      <c r="I544" s="851"/>
      <c r="J544" s="851"/>
      <c r="K544" s="851"/>
      <c r="L544" s="851"/>
      <c r="M544" s="851"/>
    </row>
    <row r="545" spans="3:13" ht="14.25" customHeight="1">
      <c r="C545" s="851"/>
      <c r="D545" s="851"/>
      <c r="E545" s="851"/>
      <c r="F545" s="851"/>
      <c r="G545" s="851"/>
      <c r="H545" s="851"/>
      <c r="I545" s="851"/>
      <c r="J545" s="851"/>
      <c r="K545" s="851"/>
      <c r="L545" s="851"/>
      <c r="M545" s="851"/>
    </row>
    <row r="546" spans="3:13" ht="14.25" customHeight="1">
      <c r="C546" s="851"/>
      <c r="D546" s="851"/>
      <c r="E546" s="851"/>
      <c r="F546" s="851"/>
      <c r="G546" s="851"/>
      <c r="H546" s="851"/>
      <c r="I546" s="851"/>
      <c r="J546" s="851"/>
      <c r="K546" s="851"/>
      <c r="L546" s="851"/>
      <c r="M546" s="851"/>
    </row>
    <row r="547" spans="3:13" ht="14.25" customHeight="1">
      <c r="C547" s="851"/>
      <c r="D547" s="851"/>
      <c r="E547" s="851"/>
      <c r="F547" s="851"/>
      <c r="G547" s="851"/>
      <c r="H547" s="851"/>
      <c r="I547" s="851"/>
      <c r="J547" s="851"/>
      <c r="K547" s="851"/>
      <c r="L547" s="851"/>
      <c r="M547" s="851"/>
    </row>
    <row r="548" spans="3:13" ht="14.25" customHeight="1">
      <c r="C548" s="851"/>
      <c r="D548" s="851"/>
      <c r="E548" s="851"/>
      <c r="F548" s="851"/>
      <c r="G548" s="851"/>
      <c r="H548" s="851"/>
      <c r="I548" s="851"/>
      <c r="J548" s="851"/>
      <c r="K548" s="851"/>
      <c r="L548" s="851"/>
      <c r="M548" s="851"/>
    </row>
    <row r="549" spans="3:13" ht="14.25" customHeight="1">
      <c r="C549" s="851"/>
      <c r="D549" s="851"/>
      <c r="E549" s="851"/>
      <c r="F549" s="851"/>
      <c r="G549" s="851"/>
      <c r="H549" s="851"/>
      <c r="I549" s="851"/>
      <c r="J549" s="851"/>
      <c r="K549" s="851"/>
      <c r="L549" s="851"/>
      <c r="M549" s="851"/>
    </row>
    <row r="550" spans="3:13" ht="14.25" customHeight="1">
      <c r="C550" s="851"/>
      <c r="D550" s="851"/>
      <c r="E550" s="851"/>
      <c r="F550" s="851"/>
      <c r="G550" s="851"/>
      <c r="H550" s="851"/>
      <c r="I550" s="851"/>
      <c r="J550" s="851"/>
      <c r="K550" s="851"/>
      <c r="L550" s="851"/>
      <c r="M550" s="851"/>
    </row>
    <row r="551" spans="3:13" ht="14.25" customHeight="1">
      <c r="C551" s="851"/>
      <c r="D551" s="851"/>
      <c r="E551" s="851"/>
      <c r="F551" s="851"/>
      <c r="G551" s="851"/>
      <c r="H551" s="851"/>
      <c r="I551" s="851"/>
      <c r="J551" s="851"/>
      <c r="K551" s="851"/>
      <c r="L551" s="851"/>
      <c r="M551" s="851"/>
    </row>
    <row r="552" spans="3:13" ht="14.25" customHeight="1">
      <c r="C552" s="851"/>
      <c r="D552" s="851"/>
      <c r="E552" s="851"/>
      <c r="F552" s="851"/>
      <c r="G552" s="851"/>
      <c r="H552" s="851"/>
      <c r="I552" s="851"/>
      <c r="J552" s="851"/>
      <c r="K552" s="851"/>
      <c r="L552" s="851"/>
      <c r="M552" s="851"/>
    </row>
    <row r="553" spans="3:13" ht="14.25" customHeight="1">
      <c r="C553" s="851"/>
      <c r="D553" s="851"/>
      <c r="E553" s="851"/>
      <c r="F553" s="851"/>
      <c r="G553" s="851"/>
      <c r="H553" s="851"/>
      <c r="I553" s="851"/>
      <c r="J553" s="851"/>
      <c r="K553" s="851"/>
      <c r="L553" s="851"/>
      <c r="M553" s="851"/>
    </row>
    <row r="554" spans="3:13" ht="14.25" customHeight="1">
      <c r="C554" s="851"/>
      <c r="D554" s="851"/>
      <c r="E554" s="851"/>
      <c r="F554" s="851"/>
      <c r="G554" s="851"/>
      <c r="H554" s="851"/>
      <c r="I554" s="851"/>
      <c r="J554" s="851"/>
      <c r="K554" s="851"/>
      <c r="L554" s="851"/>
      <c r="M554" s="851"/>
    </row>
    <row r="555" spans="3:13" ht="14.25" customHeight="1">
      <c r="C555" s="851"/>
      <c r="D555" s="851"/>
      <c r="E555" s="851"/>
      <c r="F555" s="851"/>
      <c r="G555" s="851"/>
      <c r="H555" s="851"/>
      <c r="I555" s="851"/>
      <c r="J555" s="851"/>
      <c r="K555" s="851"/>
      <c r="L555" s="851"/>
      <c r="M555" s="851"/>
    </row>
    <row r="556" spans="3:13" ht="14.25" customHeight="1">
      <c r="C556" s="851"/>
      <c r="D556" s="851"/>
      <c r="E556" s="851"/>
      <c r="F556" s="851"/>
      <c r="G556" s="851"/>
      <c r="H556" s="851"/>
      <c r="I556" s="851"/>
      <c r="J556" s="851"/>
      <c r="K556" s="851"/>
      <c r="L556" s="851"/>
      <c r="M556" s="851"/>
    </row>
    <row r="557" spans="3:13" ht="14.25" customHeight="1">
      <c r="C557" s="851"/>
      <c r="D557" s="851"/>
      <c r="E557" s="851"/>
      <c r="F557" s="851"/>
      <c r="G557" s="851"/>
      <c r="H557" s="851"/>
      <c r="I557" s="851"/>
      <c r="J557" s="851"/>
      <c r="K557" s="851"/>
      <c r="L557" s="851"/>
      <c r="M557" s="851"/>
    </row>
    <row r="558" spans="3:13" ht="14.25" customHeight="1">
      <c r="C558" s="851"/>
      <c r="D558" s="851"/>
      <c r="E558" s="851"/>
      <c r="F558" s="851"/>
      <c r="G558" s="851"/>
      <c r="H558" s="851"/>
      <c r="I558" s="851"/>
      <c r="J558" s="851"/>
      <c r="K558" s="851"/>
      <c r="L558" s="851"/>
      <c r="M558" s="851"/>
    </row>
    <row r="559" spans="3:13" ht="14.25" customHeight="1">
      <c r="C559" s="851"/>
      <c r="D559" s="851"/>
      <c r="E559" s="851"/>
      <c r="F559" s="851"/>
      <c r="G559" s="851"/>
      <c r="H559" s="851"/>
      <c r="I559" s="851"/>
      <c r="J559" s="851"/>
      <c r="K559" s="851"/>
      <c r="L559" s="851"/>
      <c r="M559" s="851"/>
    </row>
    <row r="560" spans="3:13" ht="14.25" customHeight="1">
      <c r="C560" s="851"/>
      <c r="D560" s="851"/>
      <c r="E560" s="851"/>
      <c r="F560" s="851"/>
      <c r="G560" s="851"/>
      <c r="H560" s="851"/>
      <c r="I560" s="851"/>
      <c r="J560" s="851"/>
      <c r="K560" s="851"/>
      <c r="L560" s="851"/>
      <c r="M560" s="851"/>
    </row>
    <row r="561" spans="3:13" ht="14.25" customHeight="1">
      <c r="C561" s="851"/>
      <c r="D561" s="851"/>
      <c r="E561" s="851"/>
      <c r="F561" s="851"/>
      <c r="G561" s="851"/>
      <c r="H561" s="851"/>
      <c r="I561" s="851"/>
      <c r="J561" s="851"/>
      <c r="K561" s="851"/>
      <c r="L561" s="851"/>
      <c r="M561" s="851"/>
    </row>
    <row r="562" spans="3:13" ht="14.25" customHeight="1">
      <c r="C562" s="851"/>
      <c r="D562" s="851"/>
      <c r="E562" s="851"/>
      <c r="F562" s="851"/>
      <c r="G562" s="851"/>
      <c r="H562" s="851"/>
      <c r="I562" s="851"/>
      <c r="J562" s="851"/>
      <c r="K562" s="851"/>
      <c r="L562" s="851"/>
      <c r="M562" s="851"/>
    </row>
    <row r="563" spans="3:13" ht="14.25" customHeight="1">
      <c r="C563" s="851"/>
      <c r="D563" s="851"/>
      <c r="E563" s="851"/>
      <c r="F563" s="851"/>
      <c r="G563" s="851"/>
      <c r="H563" s="851"/>
      <c r="I563" s="851"/>
      <c r="J563" s="851"/>
      <c r="K563" s="851"/>
      <c r="L563" s="851"/>
      <c r="M563" s="851"/>
    </row>
    <row r="564" spans="3:13" ht="14.25" customHeight="1">
      <c r="C564" s="851"/>
      <c r="D564" s="851"/>
      <c r="E564" s="851"/>
      <c r="F564" s="851"/>
      <c r="G564" s="851"/>
      <c r="H564" s="851"/>
      <c r="I564" s="851"/>
      <c r="J564" s="851"/>
      <c r="K564" s="851"/>
      <c r="L564" s="851"/>
      <c r="M564" s="851"/>
    </row>
    <row r="565" spans="3:13" ht="14.25" customHeight="1">
      <c r="C565" s="851"/>
      <c r="D565" s="851"/>
      <c r="E565" s="851"/>
      <c r="F565" s="851"/>
      <c r="G565" s="851"/>
      <c r="H565" s="851"/>
      <c r="I565" s="851"/>
      <c r="J565" s="851"/>
      <c r="K565" s="851"/>
      <c r="L565" s="851"/>
      <c r="M565" s="851"/>
    </row>
    <row r="566" spans="3:13" ht="14.25" customHeight="1">
      <c r="C566" s="851"/>
      <c r="D566" s="851"/>
      <c r="E566" s="851"/>
      <c r="F566" s="851"/>
      <c r="G566" s="851"/>
      <c r="H566" s="851"/>
      <c r="I566" s="851"/>
      <c r="J566" s="851"/>
      <c r="K566" s="851"/>
      <c r="L566" s="851"/>
      <c r="M566" s="851"/>
    </row>
    <row r="567" spans="3:13" ht="14.25" customHeight="1">
      <c r="C567" s="851"/>
      <c r="D567" s="851"/>
      <c r="E567" s="851"/>
      <c r="F567" s="851"/>
      <c r="G567" s="851"/>
      <c r="H567" s="851"/>
      <c r="I567" s="851"/>
      <c r="J567" s="851"/>
      <c r="K567" s="851"/>
      <c r="L567" s="851"/>
      <c r="M567" s="851"/>
    </row>
    <row r="568" spans="3:13" ht="14.25" customHeight="1">
      <c r="C568" s="851"/>
      <c r="D568" s="851"/>
      <c r="E568" s="851"/>
      <c r="F568" s="851"/>
      <c r="G568" s="851"/>
      <c r="H568" s="851"/>
      <c r="I568" s="851"/>
      <c r="J568" s="851"/>
      <c r="K568" s="851"/>
      <c r="L568" s="851"/>
      <c r="M568" s="851"/>
    </row>
    <row r="569" spans="3:13" ht="14.25" customHeight="1">
      <c r="C569" s="851"/>
      <c r="D569" s="851"/>
      <c r="E569" s="851"/>
      <c r="F569" s="851"/>
      <c r="G569" s="851"/>
      <c r="H569" s="851"/>
      <c r="I569" s="851"/>
      <c r="J569" s="851"/>
      <c r="K569" s="851"/>
      <c r="L569" s="851"/>
      <c r="M569" s="851"/>
    </row>
    <row r="570" spans="3:13" ht="14.25" customHeight="1">
      <c r="C570" s="851"/>
      <c r="D570" s="851"/>
      <c r="E570" s="851"/>
      <c r="F570" s="851"/>
      <c r="G570" s="851"/>
      <c r="H570" s="851"/>
      <c r="I570" s="851"/>
      <c r="J570" s="851"/>
      <c r="K570" s="851"/>
      <c r="L570" s="851"/>
      <c r="M570" s="851"/>
    </row>
    <row r="571" spans="3:13" ht="14.25" customHeight="1">
      <c r="C571" s="851"/>
      <c r="D571" s="851"/>
      <c r="E571" s="851"/>
      <c r="F571" s="851"/>
      <c r="G571" s="851"/>
      <c r="H571" s="851"/>
      <c r="I571" s="851"/>
      <c r="J571" s="851"/>
      <c r="K571" s="851"/>
      <c r="L571" s="851"/>
      <c r="M571" s="851"/>
    </row>
    <row r="572" spans="3:13" ht="14.25" customHeight="1">
      <c r="C572" s="851"/>
      <c r="D572" s="851"/>
      <c r="E572" s="851"/>
      <c r="F572" s="851"/>
      <c r="G572" s="851"/>
      <c r="H572" s="851"/>
      <c r="I572" s="851"/>
      <c r="J572" s="851"/>
      <c r="K572" s="851"/>
      <c r="L572" s="851"/>
      <c r="M572" s="851"/>
    </row>
    <row r="573" spans="3:13" ht="14.25" customHeight="1">
      <c r="C573" s="851"/>
      <c r="D573" s="851"/>
      <c r="E573" s="851"/>
      <c r="F573" s="851"/>
      <c r="G573" s="851"/>
      <c r="H573" s="851"/>
      <c r="I573" s="851"/>
      <c r="J573" s="851"/>
      <c r="K573" s="851"/>
      <c r="L573" s="851"/>
      <c r="M573" s="851"/>
    </row>
    <row r="574" spans="3:13" ht="14.25" customHeight="1">
      <c r="C574" s="851"/>
      <c r="D574" s="851"/>
      <c r="E574" s="851"/>
      <c r="F574" s="851"/>
      <c r="G574" s="851"/>
      <c r="H574" s="851"/>
      <c r="I574" s="851"/>
      <c r="J574" s="851"/>
      <c r="K574" s="851"/>
      <c r="L574" s="851"/>
      <c r="M574" s="851"/>
    </row>
    <row r="575" spans="3:13" ht="14.25" customHeight="1">
      <c r="C575" s="851"/>
      <c r="D575" s="851"/>
      <c r="E575" s="851"/>
      <c r="F575" s="851"/>
      <c r="G575" s="851"/>
      <c r="H575" s="851"/>
      <c r="I575" s="851"/>
      <c r="J575" s="851"/>
      <c r="K575" s="851"/>
      <c r="L575" s="851"/>
      <c r="M575" s="851"/>
    </row>
    <row r="576" spans="3:13" ht="14.25" customHeight="1">
      <c r="C576" s="851"/>
      <c r="D576" s="851"/>
      <c r="E576" s="851"/>
      <c r="F576" s="851"/>
      <c r="G576" s="851"/>
      <c r="H576" s="851"/>
      <c r="I576" s="851"/>
      <c r="J576" s="851"/>
      <c r="K576" s="851"/>
      <c r="L576" s="851"/>
      <c r="M576" s="851"/>
    </row>
    <row r="577" spans="3:13" ht="14.25" customHeight="1">
      <c r="C577" s="851"/>
      <c r="D577" s="851"/>
      <c r="E577" s="851"/>
      <c r="F577" s="851"/>
      <c r="G577" s="851"/>
      <c r="H577" s="851"/>
      <c r="I577" s="851"/>
      <c r="J577" s="851"/>
      <c r="K577" s="851"/>
      <c r="L577" s="851"/>
      <c r="M577" s="851"/>
    </row>
    <row r="578" spans="3:13" ht="14.25" customHeight="1">
      <c r="C578" s="851"/>
      <c r="D578" s="851"/>
      <c r="E578" s="851"/>
      <c r="F578" s="851"/>
      <c r="G578" s="851"/>
      <c r="H578" s="851"/>
      <c r="I578" s="851"/>
      <c r="J578" s="851"/>
      <c r="K578" s="851"/>
      <c r="L578" s="851"/>
      <c r="M578" s="851"/>
    </row>
    <row r="579" spans="3:13" ht="14.25" customHeight="1">
      <c r="C579" s="851"/>
      <c r="D579" s="851"/>
      <c r="E579" s="851"/>
      <c r="F579" s="851"/>
      <c r="G579" s="851"/>
      <c r="H579" s="851"/>
      <c r="I579" s="851"/>
      <c r="J579" s="851"/>
      <c r="K579" s="851"/>
      <c r="L579" s="851"/>
      <c r="M579" s="851"/>
    </row>
    <row r="580" spans="3:13" ht="14.25" customHeight="1">
      <c r="C580" s="851"/>
      <c r="D580" s="851"/>
      <c r="E580" s="851"/>
      <c r="F580" s="851"/>
      <c r="G580" s="851"/>
      <c r="H580" s="851"/>
      <c r="I580" s="851"/>
      <c r="J580" s="851"/>
      <c r="K580" s="851"/>
      <c r="L580" s="851"/>
      <c r="M580" s="851"/>
    </row>
    <row r="581" spans="3:13" ht="14.25" customHeight="1">
      <c r="C581" s="851"/>
      <c r="D581" s="851"/>
      <c r="E581" s="851"/>
      <c r="F581" s="851"/>
      <c r="G581" s="851"/>
      <c r="H581" s="851"/>
      <c r="I581" s="851"/>
      <c r="J581" s="851"/>
      <c r="K581" s="851"/>
      <c r="L581" s="851"/>
      <c r="M581" s="851"/>
    </row>
    <row r="582" spans="3:13" ht="14.25" customHeight="1">
      <c r="C582" s="851"/>
      <c r="D582" s="851"/>
      <c r="E582" s="851"/>
      <c r="F582" s="851"/>
      <c r="G582" s="851"/>
      <c r="H582" s="851"/>
      <c r="I582" s="851"/>
      <c r="J582" s="851"/>
      <c r="K582" s="851"/>
      <c r="L582" s="851"/>
      <c r="M582" s="851"/>
    </row>
    <row r="583" spans="3:13" ht="14.25" customHeight="1">
      <c r="C583" s="851"/>
      <c r="D583" s="851"/>
      <c r="E583" s="851"/>
      <c r="F583" s="851"/>
      <c r="G583" s="851"/>
      <c r="H583" s="851"/>
      <c r="I583" s="851"/>
      <c r="J583" s="851"/>
      <c r="K583" s="851"/>
      <c r="L583" s="851"/>
      <c r="M583" s="851"/>
    </row>
    <row r="584" spans="3:13" ht="14.25" customHeight="1">
      <c r="C584" s="851"/>
      <c r="D584" s="851"/>
      <c r="E584" s="851"/>
      <c r="F584" s="851"/>
      <c r="G584" s="851"/>
      <c r="H584" s="851"/>
      <c r="I584" s="851"/>
      <c r="J584" s="851"/>
      <c r="K584" s="851"/>
      <c r="L584" s="851"/>
      <c r="M584" s="851"/>
    </row>
    <row r="585" spans="3:13" ht="14.25" customHeight="1">
      <c r="C585" s="851"/>
      <c r="D585" s="851"/>
      <c r="E585" s="851"/>
      <c r="F585" s="851"/>
      <c r="G585" s="851"/>
      <c r="H585" s="851"/>
      <c r="I585" s="851"/>
      <c r="J585" s="851"/>
      <c r="K585" s="851"/>
      <c r="L585" s="851"/>
      <c r="M585" s="851"/>
    </row>
    <row r="586" spans="3:13" ht="14.25" customHeight="1">
      <c r="C586" s="851"/>
      <c r="D586" s="851"/>
      <c r="E586" s="851"/>
      <c r="F586" s="851"/>
      <c r="G586" s="851"/>
      <c r="H586" s="851"/>
      <c r="I586" s="851"/>
      <c r="J586" s="851"/>
      <c r="K586" s="851"/>
      <c r="L586" s="851"/>
      <c r="M586" s="851"/>
    </row>
    <row r="587" spans="3:13" ht="14.25" customHeight="1">
      <c r="C587" s="851"/>
      <c r="D587" s="851"/>
      <c r="E587" s="851"/>
      <c r="F587" s="851"/>
      <c r="G587" s="851"/>
      <c r="H587" s="851"/>
      <c r="I587" s="851"/>
      <c r="J587" s="851"/>
      <c r="K587" s="851"/>
      <c r="L587" s="851"/>
      <c r="M587" s="851"/>
    </row>
    <row r="588" spans="3:13" ht="14.25" customHeight="1">
      <c r="C588" s="851"/>
      <c r="D588" s="851"/>
      <c r="E588" s="851"/>
      <c r="F588" s="851"/>
      <c r="G588" s="851"/>
      <c r="H588" s="851"/>
      <c r="I588" s="851"/>
      <c r="J588" s="851"/>
      <c r="K588" s="851"/>
      <c r="L588" s="851"/>
      <c r="M588" s="851"/>
    </row>
    <row r="589" spans="3:13" ht="14.25" customHeight="1">
      <c r="C589" s="851"/>
      <c r="D589" s="851"/>
      <c r="E589" s="851"/>
      <c r="F589" s="851"/>
      <c r="G589" s="851"/>
      <c r="H589" s="851"/>
      <c r="I589" s="851"/>
      <c r="J589" s="851"/>
      <c r="K589" s="851"/>
      <c r="L589" s="851"/>
      <c r="M589" s="851"/>
    </row>
    <row r="590" spans="3:13" ht="14.25" customHeight="1">
      <c r="C590" s="851"/>
      <c r="D590" s="851"/>
      <c r="E590" s="851"/>
      <c r="F590" s="851"/>
      <c r="G590" s="851"/>
      <c r="H590" s="851"/>
      <c r="I590" s="851"/>
      <c r="J590" s="851"/>
      <c r="K590" s="851"/>
      <c r="L590" s="851"/>
      <c r="M590" s="851"/>
    </row>
    <row r="591" spans="3:13" ht="14.25" customHeight="1">
      <c r="C591" s="851"/>
      <c r="D591" s="851"/>
      <c r="E591" s="851"/>
      <c r="F591" s="851"/>
      <c r="G591" s="851"/>
      <c r="H591" s="851"/>
      <c r="I591" s="851"/>
      <c r="J591" s="851"/>
      <c r="K591" s="851"/>
      <c r="L591" s="851"/>
      <c r="M591" s="851"/>
    </row>
    <row r="592" spans="3:13" ht="14.25" customHeight="1">
      <c r="C592" s="851"/>
      <c r="D592" s="851"/>
      <c r="E592" s="851"/>
      <c r="F592" s="851"/>
      <c r="G592" s="851"/>
      <c r="H592" s="851"/>
      <c r="I592" s="851"/>
      <c r="J592" s="851"/>
      <c r="K592" s="851"/>
      <c r="L592" s="851"/>
      <c r="M592" s="851"/>
    </row>
    <row r="593" spans="3:13" ht="14.25" customHeight="1">
      <c r="C593" s="851"/>
      <c r="D593" s="851"/>
      <c r="E593" s="851"/>
      <c r="F593" s="851"/>
      <c r="G593" s="851"/>
      <c r="H593" s="851"/>
      <c r="I593" s="851"/>
      <c r="J593" s="851"/>
      <c r="K593" s="851"/>
      <c r="L593" s="851"/>
      <c r="M593" s="851"/>
    </row>
    <row r="594" spans="3:13" ht="14.25" customHeight="1">
      <c r="C594" s="851"/>
      <c r="D594" s="851"/>
      <c r="E594" s="851"/>
      <c r="F594" s="851"/>
      <c r="G594" s="851"/>
      <c r="H594" s="851"/>
      <c r="I594" s="851"/>
      <c r="J594" s="851"/>
      <c r="K594" s="851"/>
      <c r="L594" s="851"/>
      <c r="M594" s="851"/>
    </row>
    <row r="595" spans="3:13" ht="14.25" customHeight="1">
      <c r="C595" s="851"/>
      <c r="D595" s="851"/>
      <c r="E595" s="851"/>
      <c r="F595" s="851"/>
      <c r="G595" s="851"/>
      <c r="H595" s="851"/>
      <c r="I595" s="851"/>
      <c r="J595" s="851"/>
      <c r="K595" s="851"/>
      <c r="L595" s="851"/>
      <c r="M595" s="851"/>
    </row>
    <row r="596" spans="3:13" ht="14.25" customHeight="1">
      <c r="C596" s="851"/>
      <c r="D596" s="851"/>
      <c r="E596" s="851"/>
      <c r="F596" s="851"/>
      <c r="G596" s="851"/>
      <c r="H596" s="851"/>
      <c r="I596" s="851"/>
      <c r="J596" s="851"/>
      <c r="K596" s="851"/>
      <c r="L596" s="851"/>
      <c r="M596" s="851"/>
    </row>
    <row r="597" spans="3:13" ht="14.25" customHeight="1">
      <c r="C597" s="851"/>
      <c r="D597" s="851"/>
      <c r="E597" s="851"/>
      <c r="F597" s="851"/>
      <c r="G597" s="851"/>
      <c r="H597" s="851"/>
      <c r="I597" s="851"/>
      <c r="J597" s="851"/>
      <c r="K597" s="851"/>
      <c r="L597" s="851"/>
      <c r="M597" s="851"/>
    </row>
    <row r="598" spans="3:13" ht="14.25" customHeight="1">
      <c r="C598" s="851"/>
      <c r="D598" s="851"/>
      <c r="E598" s="851"/>
      <c r="F598" s="851"/>
      <c r="G598" s="851"/>
      <c r="H598" s="851"/>
      <c r="I598" s="851"/>
      <c r="J598" s="851"/>
      <c r="K598" s="851"/>
      <c r="L598" s="851"/>
      <c r="M598" s="851"/>
    </row>
    <row r="599" spans="3:13" ht="14.25" customHeight="1">
      <c r="C599" s="851"/>
      <c r="D599" s="851"/>
      <c r="E599" s="851"/>
      <c r="F599" s="851"/>
      <c r="G599" s="851"/>
      <c r="H599" s="851"/>
      <c r="I599" s="851"/>
      <c r="J599" s="851"/>
      <c r="K599" s="851"/>
      <c r="L599" s="851"/>
      <c r="M599" s="851"/>
    </row>
    <row r="600" spans="3:13" ht="14.25" customHeight="1">
      <c r="C600" s="851"/>
      <c r="D600" s="851"/>
      <c r="E600" s="851"/>
      <c r="F600" s="851"/>
      <c r="G600" s="851"/>
      <c r="H600" s="851"/>
      <c r="I600" s="851"/>
      <c r="J600" s="851"/>
      <c r="K600" s="851"/>
      <c r="L600" s="851"/>
      <c r="M600" s="851"/>
    </row>
    <row r="601" spans="3:13" ht="14.25" customHeight="1">
      <c r="C601" s="851"/>
      <c r="D601" s="851"/>
      <c r="E601" s="851"/>
      <c r="F601" s="851"/>
      <c r="G601" s="851"/>
      <c r="H601" s="851"/>
      <c r="I601" s="851"/>
      <c r="J601" s="851"/>
      <c r="K601" s="851"/>
      <c r="L601" s="851"/>
      <c r="M601" s="851"/>
    </row>
    <row r="602" spans="3:13" ht="14.25" customHeight="1">
      <c r="C602" s="851"/>
      <c r="D602" s="851"/>
      <c r="E602" s="851"/>
      <c r="F602" s="851"/>
      <c r="G602" s="851"/>
      <c r="H602" s="851"/>
      <c r="I602" s="851"/>
      <c r="J602" s="851"/>
      <c r="K602" s="851"/>
      <c r="L602" s="851"/>
      <c r="M602" s="851"/>
    </row>
    <row r="603" spans="3:13" ht="14.25" customHeight="1">
      <c r="C603" s="851"/>
      <c r="D603" s="851"/>
      <c r="E603" s="851"/>
      <c r="F603" s="851"/>
      <c r="G603" s="851"/>
      <c r="H603" s="851"/>
      <c r="I603" s="851"/>
      <c r="J603" s="851"/>
      <c r="K603" s="851"/>
      <c r="L603" s="851"/>
      <c r="M603" s="851"/>
    </row>
    <row r="604" spans="3:13" ht="14.25" customHeight="1">
      <c r="C604" s="851"/>
      <c r="D604" s="851"/>
      <c r="E604" s="851"/>
      <c r="F604" s="851"/>
      <c r="G604" s="851"/>
      <c r="H604" s="851"/>
      <c r="I604" s="851"/>
      <c r="J604" s="851"/>
      <c r="K604" s="851"/>
      <c r="L604" s="851"/>
      <c r="M604" s="851"/>
    </row>
    <row r="605" spans="3:13" ht="14.25" customHeight="1">
      <c r="C605" s="851"/>
      <c r="D605" s="851"/>
      <c r="E605" s="851"/>
      <c r="F605" s="851"/>
      <c r="G605" s="851"/>
      <c r="H605" s="851"/>
      <c r="I605" s="851"/>
      <c r="J605" s="851"/>
      <c r="K605" s="851"/>
      <c r="L605" s="851"/>
      <c r="M605" s="851"/>
    </row>
    <row r="606" spans="3:13" ht="14.25" customHeight="1">
      <c r="C606" s="851"/>
      <c r="D606" s="851"/>
      <c r="E606" s="851"/>
      <c r="F606" s="851"/>
      <c r="G606" s="851"/>
      <c r="H606" s="851"/>
      <c r="I606" s="851"/>
      <c r="J606" s="851"/>
      <c r="K606" s="851"/>
      <c r="L606" s="851"/>
      <c r="M606" s="851"/>
    </row>
    <row r="607" spans="3:13" ht="14.25" customHeight="1">
      <c r="C607" s="851"/>
      <c r="D607" s="851"/>
      <c r="E607" s="851"/>
      <c r="F607" s="851"/>
      <c r="G607" s="851"/>
      <c r="H607" s="851"/>
      <c r="I607" s="851"/>
      <c r="J607" s="851"/>
      <c r="K607" s="851"/>
      <c r="L607" s="851"/>
      <c r="M607" s="851"/>
    </row>
    <row r="608" spans="3:13" ht="14.25" customHeight="1">
      <c r="C608" s="851"/>
      <c r="D608" s="851"/>
      <c r="E608" s="851"/>
      <c r="F608" s="851"/>
      <c r="G608" s="851"/>
      <c r="H608" s="851"/>
      <c r="I608" s="851"/>
      <c r="J608" s="851"/>
      <c r="K608" s="851"/>
      <c r="L608" s="851"/>
      <c r="M608" s="851"/>
    </row>
    <row r="609" spans="3:13" ht="14.25" customHeight="1">
      <c r="C609" s="851"/>
      <c r="D609" s="851"/>
      <c r="E609" s="851"/>
      <c r="F609" s="851"/>
      <c r="G609" s="851"/>
      <c r="H609" s="851"/>
      <c r="I609" s="851"/>
      <c r="J609" s="851"/>
      <c r="K609" s="851"/>
      <c r="L609" s="851"/>
      <c r="M609" s="851"/>
    </row>
    <row r="610" spans="3:13" ht="14.25" customHeight="1">
      <c r="C610" s="851"/>
      <c r="D610" s="851"/>
      <c r="E610" s="851"/>
      <c r="F610" s="851"/>
      <c r="G610" s="851"/>
      <c r="H610" s="851"/>
      <c r="I610" s="851"/>
      <c r="J610" s="851"/>
      <c r="K610" s="851"/>
      <c r="L610" s="851"/>
      <c r="M610" s="851"/>
    </row>
    <row r="611" spans="3:13" ht="14.25" customHeight="1">
      <c r="C611" s="851"/>
      <c r="D611" s="851"/>
      <c r="E611" s="851"/>
      <c r="F611" s="851"/>
      <c r="G611" s="851"/>
      <c r="H611" s="851"/>
      <c r="I611" s="851"/>
      <c r="J611" s="851"/>
      <c r="K611" s="851"/>
      <c r="L611" s="851"/>
      <c r="M611" s="851"/>
    </row>
    <row r="612" spans="3:13" ht="14.25" customHeight="1">
      <c r="C612" s="851"/>
      <c r="D612" s="851"/>
      <c r="E612" s="851"/>
      <c r="F612" s="851"/>
      <c r="G612" s="851"/>
      <c r="H612" s="851"/>
      <c r="I612" s="851"/>
      <c r="J612" s="851"/>
      <c r="K612" s="851"/>
      <c r="L612" s="851"/>
      <c r="M612" s="851"/>
    </row>
    <row r="613" spans="3:13" ht="14.25" customHeight="1">
      <c r="C613" s="851"/>
      <c r="D613" s="851"/>
      <c r="E613" s="851"/>
      <c r="F613" s="851"/>
      <c r="G613" s="851"/>
      <c r="H613" s="851"/>
      <c r="I613" s="851"/>
      <c r="J613" s="851"/>
      <c r="K613" s="851"/>
      <c r="L613" s="851"/>
      <c r="M613" s="851"/>
    </row>
    <row r="614" spans="3:13" ht="14.25" customHeight="1">
      <c r="C614" s="851"/>
      <c r="D614" s="851"/>
      <c r="E614" s="851"/>
      <c r="F614" s="851"/>
      <c r="G614" s="851"/>
      <c r="H614" s="851"/>
      <c r="I614" s="851"/>
      <c r="J614" s="851"/>
      <c r="K614" s="851"/>
      <c r="L614" s="851"/>
      <c r="M614" s="851"/>
    </row>
    <row r="615" spans="3:13" ht="14.25" customHeight="1">
      <c r="C615" s="851"/>
      <c r="D615" s="851"/>
      <c r="E615" s="851"/>
      <c r="F615" s="851"/>
      <c r="G615" s="851"/>
      <c r="H615" s="851"/>
      <c r="I615" s="851"/>
      <c r="J615" s="851"/>
      <c r="K615" s="851"/>
      <c r="L615" s="851"/>
      <c r="M615" s="851"/>
    </row>
    <row r="616" spans="3:13" ht="14.25" customHeight="1">
      <c r="C616" s="851"/>
      <c r="D616" s="851"/>
      <c r="E616" s="851"/>
      <c r="F616" s="851"/>
      <c r="G616" s="851"/>
      <c r="H616" s="851"/>
      <c r="I616" s="851"/>
      <c r="J616" s="851"/>
      <c r="K616" s="851"/>
      <c r="L616" s="851"/>
      <c r="M616" s="851"/>
    </row>
    <row r="617" spans="3:13" ht="14.25" customHeight="1">
      <c r="C617" s="851"/>
      <c r="D617" s="851"/>
      <c r="E617" s="851"/>
      <c r="F617" s="851"/>
      <c r="G617" s="851"/>
      <c r="H617" s="851"/>
      <c r="I617" s="851"/>
      <c r="J617" s="851"/>
      <c r="K617" s="851"/>
      <c r="L617" s="851"/>
      <c r="M617" s="851"/>
    </row>
    <row r="618" spans="3:13" ht="14.25" customHeight="1">
      <c r="C618" s="851"/>
      <c r="D618" s="851"/>
      <c r="E618" s="851"/>
      <c r="F618" s="851"/>
      <c r="G618" s="851"/>
      <c r="H618" s="851"/>
      <c r="I618" s="851"/>
      <c r="J618" s="851"/>
      <c r="K618" s="851"/>
      <c r="L618" s="851"/>
      <c r="M618" s="851"/>
    </row>
    <row r="619" spans="3:13" ht="14.25" customHeight="1">
      <c r="C619" s="851"/>
      <c r="D619" s="851"/>
      <c r="E619" s="851"/>
      <c r="F619" s="851"/>
      <c r="G619" s="851"/>
      <c r="H619" s="851"/>
      <c r="I619" s="851"/>
      <c r="J619" s="851"/>
      <c r="K619" s="851"/>
      <c r="L619" s="851"/>
      <c r="M619" s="851"/>
    </row>
    <row r="620" spans="3:13" ht="14.25" customHeight="1">
      <c r="C620" s="851"/>
      <c r="D620" s="851"/>
      <c r="E620" s="851"/>
      <c r="F620" s="851"/>
      <c r="G620" s="851"/>
      <c r="H620" s="851"/>
      <c r="I620" s="851"/>
      <c r="J620" s="851"/>
      <c r="K620" s="851"/>
      <c r="L620" s="851"/>
      <c r="M620" s="851"/>
    </row>
    <row r="621" spans="3:13" ht="14.25" customHeight="1">
      <c r="C621" s="851"/>
      <c r="D621" s="851"/>
      <c r="E621" s="851"/>
      <c r="F621" s="851"/>
      <c r="G621" s="851"/>
      <c r="H621" s="851"/>
      <c r="I621" s="851"/>
      <c r="J621" s="851"/>
      <c r="K621" s="851"/>
      <c r="L621" s="851"/>
      <c r="M621" s="851"/>
    </row>
    <row r="622" spans="3:13" ht="14.25" customHeight="1">
      <c r="C622" s="851"/>
      <c r="D622" s="851"/>
      <c r="E622" s="851"/>
      <c r="F622" s="851"/>
      <c r="G622" s="851"/>
      <c r="H622" s="851"/>
      <c r="I622" s="851"/>
      <c r="J622" s="851"/>
      <c r="K622" s="851"/>
      <c r="L622" s="851"/>
      <c r="M622" s="851"/>
    </row>
    <row r="623" spans="3:13" ht="14.25" customHeight="1">
      <c r="C623" s="851"/>
      <c r="D623" s="851"/>
      <c r="E623" s="851"/>
      <c r="F623" s="851"/>
      <c r="G623" s="851"/>
      <c r="H623" s="851"/>
      <c r="I623" s="851"/>
      <c r="J623" s="851"/>
      <c r="K623" s="851"/>
      <c r="L623" s="851"/>
      <c r="M623" s="851"/>
    </row>
    <row r="624" spans="3:13" ht="14.25" customHeight="1">
      <c r="C624" s="851"/>
      <c r="D624" s="851"/>
      <c r="E624" s="851"/>
      <c r="F624" s="851"/>
      <c r="G624" s="851"/>
      <c r="H624" s="851"/>
      <c r="I624" s="851"/>
      <c r="J624" s="851"/>
      <c r="K624" s="851"/>
      <c r="L624" s="851"/>
      <c r="M624" s="851"/>
    </row>
    <row r="625" spans="3:13" ht="14.25" customHeight="1">
      <c r="C625" s="851"/>
      <c r="D625" s="851"/>
      <c r="E625" s="851"/>
      <c r="F625" s="851"/>
      <c r="G625" s="851"/>
      <c r="H625" s="851"/>
      <c r="I625" s="851"/>
      <c r="J625" s="851"/>
      <c r="K625" s="851"/>
      <c r="L625" s="851"/>
      <c r="M625" s="851"/>
    </row>
    <row r="626" spans="3:13" ht="14.25" customHeight="1">
      <c r="C626" s="851"/>
      <c r="D626" s="851"/>
      <c r="E626" s="851"/>
      <c r="F626" s="851"/>
      <c r="G626" s="851"/>
      <c r="H626" s="851"/>
      <c r="I626" s="851"/>
      <c r="J626" s="851"/>
      <c r="K626" s="851"/>
      <c r="L626" s="851"/>
      <c r="M626" s="851"/>
    </row>
    <row r="627" spans="3:13" ht="14.25" customHeight="1">
      <c r="C627" s="851"/>
      <c r="D627" s="851"/>
      <c r="E627" s="851"/>
      <c r="F627" s="851"/>
      <c r="G627" s="851"/>
      <c r="H627" s="851"/>
      <c r="I627" s="851"/>
      <c r="J627" s="851"/>
      <c r="K627" s="851"/>
      <c r="L627" s="851"/>
      <c r="M627" s="851"/>
    </row>
    <row r="628" spans="3:13" ht="14.25" customHeight="1">
      <c r="C628" s="851"/>
      <c r="D628" s="851"/>
      <c r="E628" s="851"/>
      <c r="F628" s="851"/>
      <c r="G628" s="851"/>
      <c r="H628" s="851"/>
      <c r="I628" s="851"/>
      <c r="J628" s="851"/>
      <c r="K628" s="851"/>
      <c r="L628" s="851"/>
      <c r="M628" s="851"/>
    </row>
    <row r="629" spans="3:13" ht="14.25" customHeight="1">
      <c r="C629" s="851"/>
      <c r="D629" s="851"/>
      <c r="E629" s="851"/>
      <c r="F629" s="851"/>
      <c r="G629" s="851"/>
      <c r="H629" s="851"/>
      <c r="I629" s="851"/>
      <c r="J629" s="851"/>
      <c r="K629" s="851"/>
      <c r="L629" s="851"/>
      <c r="M629" s="851"/>
    </row>
    <row r="630" spans="3:13" ht="14.25" customHeight="1">
      <c r="C630" s="851"/>
      <c r="D630" s="851"/>
      <c r="E630" s="851"/>
      <c r="F630" s="851"/>
      <c r="G630" s="851"/>
      <c r="H630" s="851"/>
      <c r="I630" s="851"/>
      <c r="J630" s="851"/>
      <c r="K630" s="851"/>
      <c r="L630" s="851"/>
      <c r="M630" s="851"/>
    </row>
    <row r="631" spans="3:13" ht="14.25" customHeight="1">
      <c r="C631" s="851"/>
      <c r="D631" s="851"/>
      <c r="E631" s="851"/>
      <c r="F631" s="851"/>
      <c r="G631" s="851"/>
      <c r="H631" s="851"/>
      <c r="I631" s="851"/>
      <c r="J631" s="851"/>
      <c r="K631" s="851"/>
      <c r="L631" s="851"/>
      <c r="M631" s="851"/>
    </row>
    <row r="632" spans="3:13" ht="14.25" customHeight="1">
      <c r="C632" s="851"/>
      <c r="D632" s="851"/>
      <c r="E632" s="851"/>
      <c r="F632" s="851"/>
      <c r="G632" s="851"/>
      <c r="H632" s="851"/>
      <c r="I632" s="851"/>
      <c r="J632" s="851"/>
      <c r="K632" s="851"/>
      <c r="L632" s="851"/>
      <c r="M632" s="851"/>
    </row>
    <row r="633" spans="3:13" ht="14.25" customHeight="1">
      <c r="C633" s="851"/>
      <c r="D633" s="851"/>
      <c r="E633" s="851"/>
      <c r="F633" s="851"/>
      <c r="G633" s="851"/>
      <c r="H633" s="851"/>
      <c r="I633" s="851"/>
      <c r="J633" s="851"/>
      <c r="K633" s="851"/>
      <c r="L633" s="851"/>
      <c r="M633" s="851"/>
    </row>
    <row r="634" spans="3:13" ht="14.25" customHeight="1">
      <c r="C634" s="851"/>
      <c r="D634" s="851"/>
      <c r="E634" s="851"/>
      <c r="F634" s="851"/>
      <c r="G634" s="851"/>
      <c r="H634" s="851"/>
      <c r="I634" s="851"/>
      <c r="J634" s="851"/>
      <c r="K634" s="851"/>
      <c r="L634" s="851"/>
      <c r="M634" s="851"/>
    </row>
    <row r="635" spans="3:13" ht="14.25" customHeight="1">
      <c r="C635" s="851"/>
      <c r="D635" s="851"/>
      <c r="E635" s="851"/>
      <c r="F635" s="851"/>
      <c r="G635" s="851"/>
      <c r="H635" s="851"/>
      <c r="I635" s="851"/>
      <c r="J635" s="851"/>
      <c r="K635" s="851"/>
      <c r="L635" s="851"/>
      <c r="M635" s="851"/>
    </row>
    <row r="636" spans="3:13" ht="14.25" customHeight="1">
      <c r="C636" s="851"/>
      <c r="D636" s="851"/>
      <c r="E636" s="851"/>
      <c r="F636" s="851"/>
      <c r="G636" s="851"/>
      <c r="H636" s="851"/>
      <c r="I636" s="851"/>
      <c r="J636" s="851"/>
      <c r="K636" s="851"/>
      <c r="L636" s="851"/>
      <c r="M636" s="851"/>
    </row>
    <row r="637" spans="3:13" ht="14.25" customHeight="1">
      <c r="C637" s="851"/>
      <c r="D637" s="851"/>
      <c r="E637" s="851"/>
      <c r="F637" s="851"/>
      <c r="G637" s="851"/>
      <c r="H637" s="851"/>
      <c r="I637" s="851"/>
      <c r="J637" s="851"/>
      <c r="K637" s="851"/>
      <c r="L637" s="851"/>
      <c r="M637" s="851"/>
    </row>
    <row r="638" spans="3:13" ht="14.25" customHeight="1">
      <c r="C638" s="851"/>
      <c r="D638" s="851"/>
      <c r="E638" s="851"/>
      <c r="F638" s="851"/>
      <c r="G638" s="851"/>
      <c r="H638" s="851"/>
      <c r="I638" s="851"/>
      <c r="J638" s="851"/>
      <c r="K638" s="851"/>
      <c r="L638" s="851"/>
      <c r="M638" s="851"/>
    </row>
    <row r="639" spans="3:13" ht="14.25" customHeight="1">
      <c r="C639" s="851"/>
      <c r="D639" s="851"/>
      <c r="E639" s="851"/>
      <c r="F639" s="851"/>
      <c r="G639" s="851"/>
      <c r="H639" s="851"/>
      <c r="I639" s="851"/>
      <c r="J639" s="851"/>
      <c r="K639" s="851"/>
      <c r="L639" s="851"/>
      <c r="M639" s="851"/>
    </row>
    <row r="640" spans="3:13" ht="14.25" customHeight="1">
      <c r="C640" s="851"/>
      <c r="D640" s="851"/>
      <c r="E640" s="851"/>
      <c r="F640" s="851"/>
      <c r="G640" s="851"/>
      <c r="H640" s="851"/>
      <c r="I640" s="851"/>
      <c r="J640" s="851"/>
      <c r="K640" s="851"/>
      <c r="L640" s="851"/>
      <c r="M640" s="851"/>
    </row>
    <row r="641" spans="3:13" ht="14.25" customHeight="1">
      <c r="C641" s="851"/>
      <c r="D641" s="851"/>
      <c r="E641" s="851"/>
      <c r="F641" s="851"/>
      <c r="G641" s="851"/>
      <c r="H641" s="851"/>
      <c r="I641" s="851"/>
      <c r="J641" s="851"/>
      <c r="K641" s="851"/>
      <c r="L641" s="851"/>
      <c r="M641" s="851"/>
    </row>
    <row r="642" spans="3:13" ht="14.25" customHeight="1">
      <c r="C642" s="851"/>
      <c r="D642" s="851"/>
      <c r="E642" s="851"/>
      <c r="F642" s="851"/>
      <c r="G642" s="851"/>
      <c r="H642" s="851"/>
      <c r="I642" s="851"/>
      <c r="J642" s="851"/>
      <c r="K642" s="851"/>
      <c r="L642" s="851"/>
      <c r="M642" s="851"/>
    </row>
    <row r="643" spans="3:13" ht="14.25" customHeight="1">
      <c r="C643" s="851"/>
      <c r="D643" s="851"/>
      <c r="E643" s="851"/>
      <c r="F643" s="851"/>
      <c r="G643" s="851"/>
      <c r="H643" s="851"/>
      <c r="I643" s="851"/>
      <c r="J643" s="851"/>
      <c r="K643" s="851"/>
      <c r="L643" s="851"/>
      <c r="M643" s="851"/>
    </row>
    <row r="644" spans="3:13" ht="14.25" customHeight="1">
      <c r="C644" s="851"/>
      <c r="D644" s="851"/>
      <c r="E644" s="851"/>
      <c r="F644" s="851"/>
      <c r="G644" s="851"/>
      <c r="H644" s="851"/>
      <c r="I644" s="851"/>
      <c r="J644" s="851"/>
      <c r="K644" s="851"/>
      <c r="L644" s="851"/>
      <c r="M644" s="851"/>
    </row>
    <row r="645" spans="3:13" ht="14.25" customHeight="1">
      <c r="C645" s="851"/>
      <c r="D645" s="851"/>
      <c r="E645" s="851"/>
      <c r="F645" s="851"/>
      <c r="G645" s="851"/>
      <c r="H645" s="851"/>
      <c r="I645" s="851"/>
      <c r="J645" s="851"/>
      <c r="K645" s="851"/>
      <c r="L645" s="851"/>
      <c r="M645" s="851"/>
    </row>
    <row r="646" spans="3:13" ht="14.25" customHeight="1">
      <c r="C646" s="851"/>
      <c r="D646" s="851"/>
      <c r="E646" s="851"/>
      <c r="F646" s="851"/>
      <c r="G646" s="851"/>
      <c r="H646" s="851"/>
      <c r="I646" s="851"/>
      <c r="J646" s="851"/>
      <c r="K646" s="851"/>
      <c r="L646" s="851"/>
      <c r="M646" s="851"/>
    </row>
    <row r="647" spans="3:13" ht="14.25" customHeight="1">
      <c r="C647" s="851"/>
      <c r="D647" s="851"/>
      <c r="E647" s="851"/>
      <c r="F647" s="851"/>
      <c r="G647" s="851"/>
      <c r="H647" s="851"/>
      <c r="I647" s="851"/>
      <c r="J647" s="851"/>
      <c r="K647" s="851"/>
      <c r="L647" s="851"/>
      <c r="M647" s="851"/>
    </row>
    <row r="648" spans="3:13" ht="14.25" customHeight="1">
      <c r="C648" s="851"/>
      <c r="D648" s="851"/>
      <c r="E648" s="851"/>
      <c r="F648" s="851"/>
      <c r="G648" s="851"/>
      <c r="H648" s="851"/>
      <c r="I648" s="851"/>
      <c r="J648" s="851"/>
      <c r="K648" s="851"/>
      <c r="L648" s="851"/>
      <c r="M648" s="851"/>
    </row>
    <row r="649" spans="3:13" ht="14.25" customHeight="1">
      <c r="C649" s="851"/>
      <c r="D649" s="851"/>
      <c r="E649" s="851"/>
      <c r="F649" s="851"/>
      <c r="G649" s="851"/>
      <c r="H649" s="851"/>
      <c r="I649" s="851"/>
      <c r="J649" s="851"/>
      <c r="K649" s="851"/>
      <c r="L649" s="851"/>
      <c r="M649" s="851"/>
    </row>
    <row r="650" spans="3:13" ht="14.25" customHeight="1">
      <c r="C650" s="851"/>
      <c r="D650" s="851"/>
      <c r="E650" s="851"/>
      <c r="F650" s="851"/>
      <c r="G650" s="851"/>
      <c r="H650" s="851"/>
      <c r="I650" s="851"/>
      <c r="J650" s="851"/>
      <c r="K650" s="851"/>
      <c r="L650" s="851"/>
      <c r="M650" s="851"/>
    </row>
    <row r="651" spans="3:13" ht="14.25" customHeight="1">
      <c r="C651" s="851"/>
      <c r="D651" s="851"/>
      <c r="E651" s="851"/>
      <c r="F651" s="851"/>
      <c r="G651" s="851"/>
      <c r="H651" s="851"/>
      <c r="I651" s="851"/>
      <c r="J651" s="851"/>
      <c r="K651" s="851"/>
      <c r="L651" s="851"/>
      <c r="M651" s="851"/>
    </row>
    <row r="652" spans="3:13" ht="14.25" customHeight="1">
      <c r="C652" s="851"/>
      <c r="D652" s="851"/>
      <c r="E652" s="851"/>
      <c r="F652" s="851"/>
      <c r="G652" s="851"/>
      <c r="H652" s="851"/>
      <c r="I652" s="851"/>
      <c r="J652" s="851"/>
      <c r="K652" s="851"/>
      <c r="L652" s="851"/>
      <c r="M652" s="851"/>
    </row>
    <row r="653" spans="3:13" ht="14.25" customHeight="1">
      <c r="C653" s="851"/>
      <c r="D653" s="851"/>
      <c r="E653" s="851"/>
      <c r="F653" s="851"/>
      <c r="G653" s="851"/>
      <c r="H653" s="851"/>
      <c r="I653" s="851"/>
      <c r="J653" s="851"/>
      <c r="K653" s="851"/>
      <c r="L653" s="851"/>
      <c r="M653" s="851"/>
    </row>
    <row r="654" spans="3:13" ht="14.25" customHeight="1">
      <c r="C654" s="851"/>
      <c r="D654" s="851"/>
      <c r="E654" s="851"/>
      <c r="F654" s="851"/>
      <c r="G654" s="851"/>
      <c r="H654" s="851"/>
      <c r="I654" s="851"/>
      <c r="J654" s="851"/>
      <c r="K654" s="851"/>
      <c r="L654" s="851"/>
      <c r="M654" s="851"/>
    </row>
    <row r="655" spans="3:13" ht="14.25" customHeight="1">
      <c r="C655" s="851"/>
      <c r="D655" s="851"/>
      <c r="E655" s="851"/>
      <c r="F655" s="851"/>
      <c r="G655" s="851"/>
      <c r="H655" s="851"/>
      <c r="I655" s="851"/>
      <c r="J655" s="851"/>
      <c r="K655" s="851"/>
      <c r="L655" s="851"/>
      <c r="M655" s="851"/>
    </row>
    <row r="656" spans="3:13" ht="14.25" customHeight="1">
      <c r="C656" s="851"/>
      <c r="D656" s="851"/>
      <c r="E656" s="851"/>
      <c r="F656" s="851"/>
      <c r="G656" s="851"/>
      <c r="H656" s="851"/>
      <c r="I656" s="851"/>
      <c r="J656" s="851"/>
      <c r="K656" s="851"/>
      <c r="L656" s="851"/>
      <c r="M656" s="851"/>
    </row>
    <row r="657" spans="3:13" ht="14.25" customHeight="1">
      <c r="C657" s="851"/>
      <c r="D657" s="851"/>
      <c r="E657" s="851"/>
      <c r="F657" s="851"/>
      <c r="G657" s="851"/>
      <c r="H657" s="851"/>
      <c r="I657" s="851"/>
      <c r="J657" s="851"/>
      <c r="K657" s="851"/>
      <c r="L657" s="851"/>
      <c r="M657" s="851"/>
    </row>
    <row r="658" spans="3:13" ht="14.25" customHeight="1">
      <c r="C658" s="851"/>
      <c r="D658" s="851"/>
      <c r="E658" s="851"/>
      <c r="F658" s="851"/>
      <c r="G658" s="851"/>
      <c r="H658" s="851"/>
      <c r="I658" s="851"/>
      <c r="J658" s="851"/>
      <c r="K658" s="851"/>
      <c r="L658" s="851"/>
      <c r="M658" s="851"/>
    </row>
    <row r="659" spans="3:13" ht="14.25" customHeight="1">
      <c r="C659" s="851"/>
      <c r="D659" s="851"/>
      <c r="E659" s="851"/>
      <c r="F659" s="851"/>
      <c r="G659" s="851"/>
      <c r="H659" s="851"/>
      <c r="I659" s="851"/>
      <c r="J659" s="851"/>
      <c r="K659" s="851"/>
      <c r="L659" s="851"/>
      <c r="M659" s="851"/>
    </row>
    <row r="660" spans="3:13" ht="14.25" customHeight="1">
      <c r="C660" s="851"/>
      <c r="D660" s="851"/>
      <c r="E660" s="851"/>
      <c r="F660" s="851"/>
      <c r="G660" s="851"/>
      <c r="H660" s="851"/>
      <c r="I660" s="851"/>
      <c r="J660" s="851"/>
      <c r="K660" s="851"/>
      <c r="L660" s="851"/>
      <c r="M660" s="851"/>
    </row>
    <row r="661" spans="3:13" ht="14.25" customHeight="1">
      <c r="C661" s="851"/>
      <c r="D661" s="851"/>
      <c r="E661" s="851"/>
      <c r="F661" s="851"/>
      <c r="G661" s="851"/>
      <c r="H661" s="851"/>
      <c r="I661" s="851"/>
      <c r="J661" s="851"/>
      <c r="K661" s="851"/>
      <c r="L661" s="851"/>
      <c r="M661" s="851"/>
    </row>
    <row r="662" spans="3:13" ht="14.25" customHeight="1">
      <c r="C662" s="851"/>
      <c r="D662" s="851"/>
      <c r="E662" s="851"/>
      <c r="F662" s="851"/>
      <c r="G662" s="851"/>
      <c r="H662" s="851"/>
      <c r="I662" s="851"/>
      <c r="J662" s="851"/>
      <c r="K662" s="851"/>
      <c r="L662" s="851"/>
      <c r="M662" s="851"/>
    </row>
    <row r="663" spans="3:13" ht="14.25" customHeight="1">
      <c r="C663" s="851"/>
      <c r="D663" s="851"/>
      <c r="E663" s="851"/>
      <c r="F663" s="851"/>
      <c r="G663" s="851"/>
      <c r="H663" s="851"/>
      <c r="I663" s="851"/>
      <c r="J663" s="851"/>
      <c r="K663" s="851"/>
      <c r="L663" s="851"/>
      <c r="M663" s="851"/>
    </row>
    <row r="664" spans="3:13" ht="14.25" customHeight="1">
      <c r="C664" s="851"/>
      <c r="D664" s="851"/>
      <c r="E664" s="851"/>
      <c r="F664" s="851"/>
      <c r="G664" s="851"/>
      <c r="H664" s="851"/>
      <c r="I664" s="851"/>
      <c r="J664" s="851"/>
      <c r="K664" s="851"/>
      <c r="L664" s="851"/>
      <c r="M664" s="851"/>
    </row>
    <row r="665" spans="3:13" ht="14.25" customHeight="1">
      <c r="C665" s="851"/>
      <c r="D665" s="851"/>
      <c r="E665" s="851"/>
      <c r="F665" s="851"/>
      <c r="G665" s="851"/>
      <c r="H665" s="851"/>
      <c r="I665" s="851"/>
      <c r="J665" s="851"/>
      <c r="K665" s="851"/>
      <c r="L665" s="851"/>
      <c r="M665" s="851"/>
    </row>
    <row r="666" spans="3:13" ht="14.25" customHeight="1">
      <c r="C666" s="851"/>
      <c r="D666" s="851"/>
      <c r="E666" s="851"/>
      <c r="F666" s="851"/>
      <c r="G666" s="851"/>
      <c r="H666" s="851"/>
      <c r="I666" s="851"/>
      <c r="J666" s="851"/>
      <c r="K666" s="851"/>
      <c r="L666" s="851"/>
      <c r="M666" s="851"/>
    </row>
    <row r="667" spans="3:13" ht="14.25" customHeight="1">
      <c r="C667" s="851"/>
      <c r="D667" s="851"/>
      <c r="E667" s="851"/>
      <c r="F667" s="851"/>
      <c r="G667" s="851"/>
      <c r="H667" s="851"/>
      <c r="I667" s="851"/>
      <c r="J667" s="851"/>
      <c r="K667" s="851"/>
      <c r="L667" s="851"/>
      <c r="M667" s="851"/>
    </row>
    <row r="668" spans="3:13" ht="14.25" customHeight="1">
      <c r="C668" s="851"/>
      <c r="D668" s="851"/>
      <c r="E668" s="851"/>
      <c r="F668" s="851"/>
      <c r="G668" s="851"/>
      <c r="H668" s="851"/>
      <c r="I668" s="851"/>
      <c r="J668" s="851"/>
      <c r="K668" s="851"/>
      <c r="L668" s="851"/>
      <c r="M668" s="851"/>
    </row>
    <row r="669" spans="3:13" ht="14.25" customHeight="1">
      <c r="C669" s="851"/>
      <c r="D669" s="851"/>
      <c r="E669" s="851"/>
      <c r="F669" s="851"/>
      <c r="G669" s="851"/>
      <c r="H669" s="851"/>
      <c r="I669" s="851"/>
      <c r="J669" s="851"/>
      <c r="K669" s="851"/>
      <c r="L669" s="851"/>
      <c r="M669" s="851"/>
    </row>
    <row r="670" spans="3:13" ht="14.25" customHeight="1">
      <c r="C670" s="851"/>
      <c r="D670" s="851"/>
      <c r="E670" s="851"/>
      <c r="F670" s="851"/>
      <c r="G670" s="851"/>
      <c r="H670" s="851"/>
      <c r="I670" s="851"/>
      <c r="J670" s="851"/>
      <c r="K670" s="851"/>
      <c r="L670" s="851"/>
      <c r="M670" s="851"/>
    </row>
    <row r="671" spans="3:13" ht="14.25" customHeight="1">
      <c r="C671" s="851"/>
      <c r="D671" s="851"/>
      <c r="E671" s="851"/>
      <c r="F671" s="851"/>
      <c r="G671" s="851"/>
      <c r="H671" s="851"/>
      <c r="I671" s="851"/>
      <c r="J671" s="851"/>
      <c r="K671" s="851"/>
      <c r="L671" s="851"/>
      <c r="M671" s="851"/>
    </row>
    <row r="672" spans="3:13" ht="14.25" customHeight="1">
      <c r="C672" s="851"/>
      <c r="D672" s="851"/>
      <c r="E672" s="851"/>
      <c r="F672" s="851"/>
      <c r="G672" s="851"/>
      <c r="H672" s="851"/>
      <c r="I672" s="851"/>
      <c r="J672" s="851"/>
      <c r="K672" s="851"/>
      <c r="L672" s="851"/>
      <c r="M672" s="851"/>
    </row>
    <row r="673" spans="3:13" ht="14.25" customHeight="1">
      <c r="C673" s="851"/>
      <c r="D673" s="851"/>
      <c r="E673" s="851"/>
      <c r="F673" s="851"/>
      <c r="G673" s="851"/>
      <c r="H673" s="851"/>
      <c r="I673" s="851"/>
      <c r="J673" s="851"/>
      <c r="K673" s="851"/>
      <c r="L673" s="851"/>
      <c r="M673" s="851"/>
    </row>
    <row r="674" spans="3:13" ht="14.25" customHeight="1">
      <c r="C674" s="851"/>
      <c r="D674" s="851"/>
      <c r="E674" s="851"/>
      <c r="F674" s="851"/>
      <c r="G674" s="851"/>
      <c r="H674" s="851"/>
      <c r="I674" s="851"/>
      <c r="J674" s="851"/>
      <c r="K674" s="851"/>
      <c r="L674" s="851"/>
      <c r="M674" s="851"/>
    </row>
    <row r="675" spans="3:13" ht="14.25" customHeight="1">
      <c r="C675" s="851"/>
      <c r="D675" s="851"/>
      <c r="E675" s="851"/>
      <c r="F675" s="851"/>
      <c r="G675" s="851"/>
      <c r="H675" s="851"/>
      <c r="I675" s="851"/>
      <c r="J675" s="851"/>
      <c r="K675" s="851"/>
      <c r="L675" s="851"/>
      <c r="M675" s="851"/>
    </row>
    <row r="676" spans="3:13" ht="14.25" customHeight="1">
      <c r="C676" s="851"/>
      <c r="D676" s="851"/>
      <c r="E676" s="851"/>
      <c r="F676" s="851"/>
      <c r="G676" s="851"/>
      <c r="H676" s="851"/>
      <c r="I676" s="851"/>
      <c r="J676" s="851"/>
      <c r="K676" s="851"/>
      <c r="L676" s="851"/>
      <c r="M676" s="851"/>
    </row>
    <row r="677" spans="3:13" ht="14.25" customHeight="1">
      <c r="C677" s="851"/>
      <c r="D677" s="851"/>
      <c r="E677" s="851"/>
      <c r="F677" s="851"/>
      <c r="G677" s="851"/>
      <c r="H677" s="851"/>
      <c r="I677" s="851"/>
      <c r="J677" s="851"/>
      <c r="K677" s="851"/>
      <c r="L677" s="851"/>
      <c r="M677" s="851"/>
    </row>
    <row r="678" spans="3:13" ht="14.25" customHeight="1">
      <c r="C678" s="851"/>
      <c r="D678" s="851"/>
      <c r="E678" s="851"/>
      <c r="F678" s="851"/>
      <c r="G678" s="851"/>
      <c r="H678" s="851"/>
      <c r="I678" s="851"/>
      <c r="J678" s="851"/>
      <c r="K678" s="851"/>
      <c r="L678" s="851"/>
      <c r="M678" s="851"/>
    </row>
    <row r="679" spans="3:13" ht="14.25" customHeight="1">
      <c r="C679" s="851"/>
      <c r="D679" s="851"/>
      <c r="E679" s="851"/>
      <c r="F679" s="851"/>
      <c r="G679" s="851"/>
      <c r="H679" s="851"/>
      <c r="I679" s="851"/>
      <c r="J679" s="851"/>
      <c r="K679" s="851"/>
      <c r="L679" s="851"/>
      <c r="M679" s="851"/>
    </row>
    <row r="680" spans="3:13" ht="14.25" customHeight="1">
      <c r="C680" s="851"/>
      <c r="D680" s="851"/>
      <c r="E680" s="851"/>
      <c r="F680" s="851"/>
      <c r="G680" s="851"/>
      <c r="H680" s="851"/>
      <c r="I680" s="851"/>
      <c r="J680" s="851"/>
      <c r="K680" s="851"/>
      <c r="L680" s="851"/>
      <c r="M680" s="851"/>
    </row>
    <row r="681" spans="3:13" ht="14.25" customHeight="1">
      <c r="C681" s="851"/>
      <c r="D681" s="851"/>
      <c r="E681" s="851"/>
      <c r="F681" s="851"/>
      <c r="G681" s="851"/>
      <c r="H681" s="851"/>
      <c r="I681" s="851"/>
      <c r="J681" s="851"/>
      <c r="K681" s="851"/>
      <c r="L681" s="851"/>
      <c r="M681" s="851"/>
    </row>
    <row r="682" spans="3:13" ht="14.25" customHeight="1">
      <c r="C682" s="851"/>
      <c r="D682" s="851"/>
      <c r="E682" s="851"/>
      <c r="F682" s="851"/>
      <c r="G682" s="851"/>
      <c r="H682" s="851"/>
      <c r="I682" s="851"/>
      <c r="J682" s="851"/>
      <c r="K682" s="851"/>
      <c r="L682" s="851"/>
      <c r="M682" s="851"/>
    </row>
    <row r="683" spans="3:13" ht="14.25" customHeight="1">
      <c r="C683" s="851"/>
      <c r="D683" s="851"/>
      <c r="E683" s="851"/>
      <c r="F683" s="851"/>
      <c r="G683" s="851"/>
      <c r="H683" s="851"/>
      <c r="I683" s="851"/>
      <c r="J683" s="851"/>
      <c r="K683" s="851"/>
      <c r="L683" s="851"/>
      <c r="M683" s="851"/>
    </row>
    <row r="684" spans="3:13" ht="14.25" customHeight="1">
      <c r="C684" s="851"/>
      <c r="D684" s="851"/>
      <c r="E684" s="851"/>
      <c r="F684" s="851"/>
      <c r="G684" s="851"/>
      <c r="H684" s="851"/>
      <c r="I684" s="851"/>
      <c r="J684" s="851"/>
      <c r="K684" s="851"/>
      <c r="L684" s="851"/>
      <c r="M684" s="851"/>
    </row>
    <row r="685" spans="3:13" ht="14.25" customHeight="1">
      <c r="C685" s="851"/>
      <c r="D685" s="851"/>
      <c r="E685" s="851"/>
      <c r="F685" s="851"/>
      <c r="G685" s="851"/>
      <c r="H685" s="851"/>
      <c r="I685" s="851"/>
      <c r="J685" s="851"/>
      <c r="K685" s="851"/>
      <c r="L685" s="851"/>
      <c r="M685" s="851"/>
    </row>
    <row r="686" spans="3:13" ht="14.25" customHeight="1">
      <c r="C686" s="851"/>
      <c r="D686" s="851"/>
      <c r="E686" s="851"/>
      <c r="F686" s="851"/>
      <c r="G686" s="851"/>
      <c r="H686" s="851"/>
      <c r="I686" s="851"/>
      <c r="J686" s="851"/>
      <c r="K686" s="851"/>
      <c r="L686" s="851"/>
      <c r="M686" s="851"/>
    </row>
    <row r="687" spans="3:13" ht="14.25" customHeight="1">
      <c r="C687" s="851"/>
      <c r="D687" s="851"/>
      <c r="E687" s="851"/>
      <c r="F687" s="851"/>
      <c r="G687" s="851"/>
      <c r="H687" s="851"/>
      <c r="I687" s="851"/>
      <c r="J687" s="851"/>
      <c r="K687" s="851"/>
      <c r="L687" s="851"/>
      <c r="M687" s="851"/>
    </row>
    <row r="688" spans="3:13" ht="14.25" customHeight="1">
      <c r="C688" s="851"/>
      <c r="D688" s="851"/>
      <c r="E688" s="851"/>
      <c r="F688" s="851"/>
      <c r="G688" s="851"/>
      <c r="H688" s="851"/>
      <c r="I688" s="851"/>
      <c r="J688" s="851"/>
      <c r="K688" s="851"/>
      <c r="L688" s="851"/>
      <c r="M688" s="851"/>
    </row>
    <row r="689" spans="3:13" ht="14.25" customHeight="1">
      <c r="C689" s="851"/>
      <c r="D689" s="851"/>
      <c r="E689" s="851"/>
      <c r="F689" s="851"/>
      <c r="G689" s="851"/>
      <c r="H689" s="851"/>
      <c r="I689" s="851"/>
      <c r="J689" s="851"/>
      <c r="K689" s="851"/>
      <c r="L689" s="851"/>
      <c r="M689" s="851"/>
    </row>
    <row r="690" spans="3:13" ht="14.25" customHeight="1">
      <c r="C690" s="851"/>
      <c r="D690" s="851"/>
      <c r="E690" s="851"/>
      <c r="F690" s="851"/>
      <c r="G690" s="851"/>
      <c r="H690" s="851"/>
      <c r="I690" s="851"/>
      <c r="J690" s="851"/>
      <c r="K690" s="851"/>
      <c r="L690" s="851"/>
      <c r="M690" s="851"/>
    </row>
    <row r="691" spans="3:13" ht="14.25" customHeight="1">
      <c r="C691" s="851"/>
      <c r="D691" s="851"/>
      <c r="E691" s="851"/>
      <c r="F691" s="851"/>
      <c r="G691" s="851"/>
      <c r="H691" s="851"/>
      <c r="I691" s="851"/>
      <c r="J691" s="851"/>
      <c r="K691" s="851"/>
      <c r="L691" s="851"/>
      <c r="M691" s="851"/>
    </row>
    <row r="692" spans="3:13" ht="14.25" customHeight="1">
      <c r="C692" s="851"/>
      <c r="D692" s="851"/>
      <c r="E692" s="851"/>
      <c r="F692" s="851"/>
      <c r="G692" s="851"/>
      <c r="H692" s="851"/>
      <c r="I692" s="851"/>
      <c r="J692" s="851"/>
      <c r="K692" s="851"/>
      <c r="L692" s="851"/>
      <c r="M692" s="851"/>
    </row>
    <row r="693" spans="3:13" ht="14.25" customHeight="1">
      <c r="C693" s="851"/>
      <c r="D693" s="851"/>
      <c r="E693" s="851"/>
      <c r="F693" s="851"/>
      <c r="G693" s="851"/>
      <c r="H693" s="851"/>
      <c r="I693" s="851"/>
      <c r="J693" s="851"/>
      <c r="K693" s="851"/>
      <c r="L693" s="851"/>
      <c r="M693" s="851"/>
    </row>
    <row r="694" spans="3:13" ht="14.25" customHeight="1">
      <c r="C694" s="851"/>
      <c r="D694" s="851"/>
      <c r="E694" s="851"/>
      <c r="F694" s="851"/>
      <c r="G694" s="851"/>
      <c r="H694" s="851"/>
      <c r="I694" s="851"/>
      <c r="J694" s="851"/>
      <c r="K694" s="851"/>
      <c r="L694" s="851"/>
      <c r="M694" s="851"/>
    </row>
    <row r="695" spans="3:13" ht="14.25" customHeight="1">
      <c r="C695" s="851"/>
      <c r="D695" s="851"/>
      <c r="E695" s="851"/>
      <c r="F695" s="851"/>
      <c r="G695" s="851"/>
      <c r="H695" s="851"/>
      <c r="I695" s="851"/>
      <c r="J695" s="851"/>
      <c r="K695" s="851"/>
      <c r="L695" s="851"/>
      <c r="M695" s="851"/>
    </row>
    <row r="696" spans="3:13" ht="14.25" customHeight="1">
      <c r="C696" s="851"/>
      <c r="D696" s="851"/>
      <c r="E696" s="851"/>
      <c r="F696" s="851"/>
      <c r="G696" s="851"/>
      <c r="H696" s="851"/>
      <c r="I696" s="851"/>
      <c r="J696" s="851"/>
      <c r="K696" s="851"/>
      <c r="L696" s="851"/>
      <c r="M696" s="851"/>
    </row>
    <row r="697" spans="3:13" ht="14.25" customHeight="1">
      <c r="C697" s="851"/>
      <c r="D697" s="851"/>
      <c r="E697" s="851"/>
      <c r="F697" s="851"/>
      <c r="G697" s="851"/>
      <c r="H697" s="851"/>
      <c r="I697" s="851"/>
      <c r="J697" s="851"/>
      <c r="K697" s="851"/>
      <c r="L697" s="851"/>
      <c r="M697" s="851"/>
    </row>
    <row r="698" spans="3:13" ht="14.25" customHeight="1">
      <c r="C698" s="851"/>
      <c r="D698" s="851"/>
      <c r="E698" s="851"/>
      <c r="F698" s="851"/>
      <c r="G698" s="851"/>
      <c r="H698" s="851"/>
      <c r="I698" s="851"/>
      <c r="J698" s="851"/>
      <c r="K698" s="851"/>
      <c r="L698" s="851"/>
      <c r="M698" s="851"/>
    </row>
    <row r="699" spans="3:13" ht="14.25" customHeight="1">
      <c r="C699" s="851"/>
      <c r="D699" s="851"/>
      <c r="E699" s="851"/>
      <c r="F699" s="851"/>
      <c r="G699" s="851"/>
      <c r="H699" s="851"/>
      <c r="I699" s="851"/>
      <c r="J699" s="851"/>
      <c r="K699" s="851"/>
      <c r="L699" s="851"/>
      <c r="M699" s="851"/>
    </row>
    <row r="700" spans="3:13" ht="14.25" customHeight="1">
      <c r="C700" s="851"/>
      <c r="D700" s="851"/>
      <c r="E700" s="851"/>
      <c r="F700" s="851"/>
      <c r="G700" s="851"/>
      <c r="H700" s="851"/>
      <c r="I700" s="851"/>
      <c r="J700" s="851"/>
      <c r="K700" s="851"/>
      <c r="L700" s="851"/>
      <c r="M700" s="851"/>
    </row>
    <row r="701" spans="3:13" ht="14.25" customHeight="1">
      <c r="C701" s="851"/>
      <c r="D701" s="851"/>
      <c r="E701" s="851"/>
      <c r="F701" s="851"/>
      <c r="G701" s="851"/>
      <c r="H701" s="851"/>
      <c r="I701" s="851"/>
      <c r="J701" s="851"/>
      <c r="K701" s="851"/>
      <c r="L701" s="851"/>
      <c r="M701" s="851"/>
    </row>
    <row r="702" spans="3:13" ht="14.25" customHeight="1">
      <c r="C702" s="851"/>
      <c r="D702" s="851"/>
      <c r="E702" s="851"/>
      <c r="F702" s="851"/>
      <c r="G702" s="851"/>
      <c r="H702" s="851"/>
      <c r="I702" s="851"/>
      <c r="J702" s="851"/>
      <c r="K702" s="851"/>
      <c r="L702" s="851"/>
      <c r="M702" s="851"/>
    </row>
    <row r="703" spans="3:13" ht="14.25" customHeight="1">
      <c r="C703" s="851"/>
      <c r="D703" s="851"/>
      <c r="E703" s="851"/>
      <c r="F703" s="851"/>
      <c r="G703" s="851"/>
      <c r="H703" s="851"/>
      <c r="I703" s="851"/>
      <c r="J703" s="851"/>
      <c r="K703" s="851"/>
      <c r="L703" s="851"/>
      <c r="M703" s="851"/>
    </row>
    <row r="704" spans="3:13" ht="14.25" customHeight="1">
      <c r="C704" s="851"/>
      <c r="D704" s="851"/>
      <c r="E704" s="851"/>
      <c r="F704" s="851"/>
      <c r="G704" s="851"/>
      <c r="H704" s="851"/>
      <c r="I704" s="851"/>
      <c r="J704" s="851"/>
      <c r="K704" s="851"/>
      <c r="L704" s="851"/>
      <c r="M704" s="851"/>
    </row>
    <row r="705" spans="3:13" ht="14.25" customHeight="1">
      <c r="C705" s="851"/>
      <c r="D705" s="851"/>
      <c r="E705" s="851"/>
      <c r="F705" s="851"/>
      <c r="G705" s="851"/>
      <c r="H705" s="851"/>
      <c r="I705" s="851"/>
      <c r="J705" s="851"/>
      <c r="K705" s="851"/>
      <c r="L705" s="851"/>
      <c r="M705" s="851"/>
    </row>
    <row r="706" spans="3:13" ht="14.25" customHeight="1">
      <c r="C706" s="851"/>
      <c r="D706" s="851"/>
      <c r="E706" s="851"/>
      <c r="F706" s="851"/>
      <c r="G706" s="851"/>
      <c r="H706" s="851"/>
      <c r="I706" s="851"/>
      <c r="J706" s="851"/>
      <c r="K706" s="851"/>
      <c r="L706" s="851"/>
      <c r="M706" s="851"/>
    </row>
    <row r="707" spans="3:13" ht="14.25" customHeight="1">
      <c r="C707" s="851"/>
      <c r="D707" s="851"/>
      <c r="E707" s="851"/>
      <c r="F707" s="851"/>
      <c r="G707" s="851"/>
      <c r="H707" s="851"/>
      <c r="I707" s="851"/>
      <c r="J707" s="851"/>
      <c r="K707" s="851"/>
      <c r="L707" s="851"/>
      <c r="M707" s="851"/>
    </row>
    <row r="708" spans="3:13" ht="14.25" customHeight="1">
      <c r="C708" s="851"/>
      <c r="D708" s="851"/>
      <c r="E708" s="851"/>
      <c r="F708" s="851"/>
      <c r="G708" s="851"/>
      <c r="H708" s="851"/>
      <c r="I708" s="851"/>
      <c r="J708" s="851"/>
      <c r="K708" s="851"/>
      <c r="L708" s="851"/>
      <c r="M708" s="851"/>
    </row>
    <row r="709" spans="3:13" ht="14.25" customHeight="1">
      <c r="C709" s="851"/>
      <c r="D709" s="851"/>
      <c r="E709" s="851"/>
      <c r="F709" s="851"/>
      <c r="G709" s="851"/>
      <c r="H709" s="851"/>
      <c r="I709" s="851"/>
      <c r="J709" s="851"/>
      <c r="K709" s="851"/>
      <c r="L709" s="851"/>
      <c r="M709" s="851"/>
    </row>
    <row r="710" spans="3:13" ht="14.25" customHeight="1">
      <c r="C710" s="851"/>
      <c r="D710" s="851"/>
      <c r="E710" s="851"/>
      <c r="F710" s="851"/>
      <c r="G710" s="851"/>
      <c r="H710" s="851"/>
      <c r="I710" s="851"/>
      <c r="J710" s="851"/>
      <c r="K710" s="851"/>
      <c r="L710" s="851"/>
      <c r="M710" s="851"/>
    </row>
    <row r="711" spans="3:13" ht="14.25" customHeight="1">
      <c r="C711" s="851"/>
      <c r="D711" s="851"/>
      <c r="E711" s="851"/>
      <c r="F711" s="851"/>
      <c r="G711" s="851"/>
      <c r="H711" s="851"/>
      <c r="I711" s="851"/>
      <c r="J711" s="851"/>
      <c r="K711" s="851"/>
      <c r="L711" s="851"/>
      <c r="M711" s="851"/>
    </row>
    <row r="712" spans="3:13" ht="14.25" customHeight="1">
      <c r="C712" s="851"/>
      <c r="D712" s="851"/>
      <c r="E712" s="851"/>
      <c r="F712" s="851"/>
      <c r="G712" s="851"/>
      <c r="H712" s="851"/>
      <c r="I712" s="851"/>
      <c r="J712" s="851"/>
      <c r="K712" s="851"/>
      <c r="L712" s="851"/>
      <c r="M712" s="851"/>
    </row>
    <row r="713" spans="3:13" ht="14.25" customHeight="1">
      <c r="C713" s="851"/>
      <c r="D713" s="851"/>
      <c r="E713" s="851"/>
      <c r="F713" s="851"/>
      <c r="G713" s="851"/>
      <c r="H713" s="851"/>
      <c r="I713" s="851"/>
      <c r="J713" s="851"/>
      <c r="K713" s="851"/>
      <c r="L713" s="851"/>
      <c r="M713" s="851"/>
    </row>
    <row r="714" spans="3:13" ht="14.25" customHeight="1">
      <c r="C714" s="851"/>
      <c r="D714" s="851"/>
      <c r="E714" s="851"/>
      <c r="F714" s="851"/>
      <c r="G714" s="851"/>
      <c r="H714" s="851"/>
      <c r="I714" s="851"/>
      <c r="J714" s="851"/>
      <c r="K714" s="851"/>
      <c r="L714" s="851"/>
      <c r="M714" s="851"/>
    </row>
    <row r="715" spans="3:13" ht="14.25" customHeight="1">
      <c r="C715" s="851"/>
      <c r="D715" s="851"/>
      <c r="E715" s="851"/>
      <c r="F715" s="851"/>
      <c r="G715" s="851"/>
      <c r="H715" s="851"/>
      <c r="I715" s="851"/>
      <c r="J715" s="851"/>
      <c r="K715" s="851"/>
      <c r="L715" s="851"/>
      <c r="M715" s="851"/>
    </row>
    <row r="716" spans="3:13" ht="14.25" customHeight="1">
      <c r="C716" s="851"/>
      <c r="D716" s="851"/>
      <c r="E716" s="851"/>
      <c r="F716" s="851"/>
      <c r="G716" s="851"/>
      <c r="H716" s="851"/>
      <c r="I716" s="851"/>
      <c r="J716" s="851"/>
      <c r="K716" s="851"/>
      <c r="L716" s="851"/>
      <c r="M716" s="851"/>
    </row>
    <row r="717" spans="3:13" ht="14.25" customHeight="1">
      <c r="C717" s="851"/>
      <c r="D717" s="851"/>
      <c r="E717" s="851"/>
      <c r="F717" s="851"/>
      <c r="G717" s="851"/>
      <c r="H717" s="851"/>
      <c r="I717" s="851"/>
      <c r="J717" s="851"/>
      <c r="K717" s="851"/>
      <c r="L717" s="851"/>
      <c r="M717" s="851"/>
    </row>
    <row r="718" spans="3:13" ht="14.25" customHeight="1">
      <c r="C718" s="851"/>
      <c r="D718" s="851"/>
      <c r="E718" s="851"/>
      <c r="F718" s="851"/>
      <c r="G718" s="851"/>
      <c r="H718" s="851"/>
      <c r="I718" s="851"/>
      <c r="J718" s="851"/>
      <c r="K718" s="851"/>
      <c r="L718" s="851"/>
      <c r="M718" s="851"/>
    </row>
    <row r="719" spans="3:13" ht="14.25" customHeight="1">
      <c r="C719" s="851"/>
      <c r="D719" s="851"/>
      <c r="E719" s="851"/>
      <c r="F719" s="851"/>
      <c r="G719" s="851"/>
      <c r="H719" s="851"/>
      <c r="I719" s="851"/>
      <c r="J719" s="851"/>
      <c r="K719" s="851"/>
      <c r="L719" s="851"/>
      <c r="M719" s="851"/>
    </row>
    <row r="720" spans="3:13" ht="14.25" customHeight="1">
      <c r="C720" s="851"/>
      <c r="D720" s="851"/>
      <c r="E720" s="851"/>
      <c r="F720" s="851"/>
      <c r="G720" s="851"/>
      <c r="H720" s="851"/>
      <c r="I720" s="851"/>
      <c r="J720" s="851"/>
      <c r="K720" s="851"/>
      <c r="L720" s="851"/>
      <c r="M720" s="851"/>
    </row>
    <row r="721" spans="3:13" ht="14.25" customHeight="1">
      <c r="C721" s="851"/>
      <c r="D721" s="851"/>
      <c r="E721" s="851"/>
      <c r="F721" s="851"/>
      <c r="G721" s="851"/>
      <c r="H721" s="851"/>
      <c r="I721" s="851"/>
      <c r="J721" s="851"/>
      <c r="K721" s="851"/>
      <c r="L721" s="851"/>
      <c r="M721" s="851"/>
    </row>
    <row r="722" spans="3:13" ht="14.25" customHeight="1">
      <c r="C722" s="851"/>
      <c r="D722" s="851"/>
      <c r="E722" s="851"/>
      <c r="F722" s="851"/>
      <c r="G722" s="851"/>
      <c r="H722" s="851"/>
      <c r="I722" s="851"/>
      <c r="J722" s="851"/>
      <c r="K722" s="851"/>
      <c r="L722" s="851"/>
      <c r="M722" s="851"/>
    </row>
    <row r="723" spans="3:13" ht="14.25" customHeight="1">
      <c r="C723" s="851"/>
      <c r="D723" s="851"/>
      <c r="E723" s="851"/>
      <c r="F723" s="851"/>
      <c r="G723" s="851"/>
      <c r="H723" s="851"/>
      <c r="I723" s="851"/>
      <c r="J723" s="851"/>
      <c r="K723" s="851"/>
      <c r="L723" s="851"/>
      <c r="M723" s="851"/>
    </row>
    <row r="724" spans="3:13" ht="14.25" customHeight="1">
      <c r="C724" s="851"/>
      <c r="D724" s="851"/>
      <c r="E724" s="851"/>
      <c r="F724" s="851"/>
      <c r="G724" s="851"/>
      <c r="H724" s="851"/>
      <c r="I724" s="851"/>
      <c r="J724" s="851"/>
      <c r="K724" s="851"/>
      <c r="L724" s="851"/>
      <c r="M724" s="851"/>
    </row>
    <row r="725" spans="3:13" ht="14.25" customHeight="1">
      <c r="C725" s="851"/>
      <c r="D725" s="851"/>
      <c r="E725" s="851"/>
      <c r="F725" s="851"/>
      <c r="G725" s="851"/>
      <c r="H725" s="851"/>
      <c r="I725" s="851"/>
      <c r="J725" s="851"/>
      <c r="K725" s="851"/>
      <c r="L725" s="851"/>
      <c r="M725" s="851"/>
    </row>
    <row r="726" spans="3:13" ht="14.25" customHeight="1">
      <c r="C726" s="851"/>
      <c r="D726" s="851"/>
      <c r="E726" s="851"/>
      <c r="F726" s="851"/>
      <c r="G726" s="851"/>
      <c r="H726" s="851"/>
      <c r="I726" s="851"/>
      <c r="J726" s="851"/>
      <c r="K726" s="851"/>
      <c r="L726" s="851"/>
      <c r="M726" s="851"/>
    </row>
    <row r="727" spans="3:13" ht="14.25" customHeight="1">
      <c r="C727" s="851"/>
      <c r="D727" s="851"/>
      <c r="E727" s="851"/>
      <c r="F727" s="851"/>
      <c r="G727" s="851"/>
      <c r="H727" s="851"/>
      <c r="I727" s="851"/>
      <c r="J727" s="851"/>
      <c r="K727" s="851"/>
      <c r="L727" s="851"/>
      <c r="M727" s="851"/>
    </row>
    <row r="728" spans="3:13" ht="14.25" customHeight="1">
      <c r="C728" s="851"/>
      <c r="D728" s="851"/>
      <c r="E728" s="851"/>
      <c r="F728" s="851"/>
      <c r="G728" s="851"/>
      <c r="H728" s="851"/>
      <c r="I728" s="851"/>
      <c r="J728" s="851"/>
      <c r="K728" s="851"/>
      <c r="L728" s="851"/>
      <c r="M728" s="851"/>
    </row>
    <row r="729" spans="3:13" ht="14.25" customHeight="1">
      <c r="C729" s="851"/>
      <c r="D729" s="851"/>
      <c r="E729" s="851"/>
      <c r="F729" s="851"/>
      <c r="G729" s="851"/>
      <c r="H729" s="851"/>
      <c r="I729" s="851"/>
      <c r="J729" s="851"/>
      <c r="K729" s="851"/>
      <c r="L729" s="851"/>
      <c r="M729" s="851"/>
    </row>
    <row r="730" spans="3:13" ht="14.25" customHeight="1">
      <c r="C730" s="851"/>
      <c r="D730" s="851"/>
      <c r="E730" s="851"/>
      <c r="F730" s="851"/>
      <c r="G730" s="851"/>
      <c r="H730" s="851"/>
      <c r="I730" s="851"/>
      <c r="J730" s="851"/>
      <c r="K730" s="851"/>
      <c r="L730" s="851"/>
      <c r="M730" s="851"/>
    </row>
    <row r="731" spans="3:13" ht="14.25" customHeight="1">
      <c r="C731" s="851"/>
      <c r="D731" s="851"/>
      <c r="E731" s="851"/>
      <c r="F731" s="851"/>
      <c r="G731" s="851"/>
      <c r="H731" s="851"/>
      <c r="I731" s="851"/>
      <c r="J731" s="851"/>
      <c r="K731" s="851"/>
      <c r="L731" s="851"/>
      <c r="M731" s="851"/>
    </row>
    <row r="732" spans="3:13" ht="14.25" customHeight="1">
      <c r="C732" s="851"/>
      <c r="D732" s="851"/>
      <c r="E732" s="851"/>
      <c r="F732" s="851"/>
      <c r="G732" s="851"/>
      <c r="H732" s="851"/>
      <c r="I732" s="851"/>
      <c r="J732" s="851"/>
      <c r="K732" s="851"/>
      <c r="L732" s="851"/>
      <c r="M732" s="851"/>
    </row>
    <row r="733" spans="3:13" ht="14.25" customHeight="1">
      <c r="C733" s="851"/>
      <c r="D733" s="851"/>
      <c r="E733" s="851"/>
      <c r="F733" s="851"/>
      <c r="G733" s="851"/>
      <c r="H733" s="851"/>
      <c r="I733" s="851"/>
      <c r="J733" s="851"/>
      <c r="K733" s="851"/>
      <c r="L733" s="851"/>
      <c r="M733" s="851"/>
    </row>
    <row r="734" spans="3:13" ht="14.25" customHeight="1">
      <c r="C734" s="851"/>
      <c r="D734" s="851"/>
      <c r="E734" s="851"/>
      <c r="F734" s="851"/>
      <c r="G734" s="851"/>
      <c r="H734" s="851"/>
      <c r="I734" s="851"/>
      <c r="J734" s="851"/>
      <c r="K734" s="851"/>
      <c r="L734" s="851"/>
      <c r="M734" s="851"/>
    </row>
    <row r="735" spans="3:13" ht="14.25" customHeight="1">
      <c r="C735" s="851"/>
      <c r="D735" s="851"/>
      <c r="E735" s="851"/>
      <c r="F735" s="851"/>
      <c r="G735" s="851"/>
      <c r="H735" s="851"/>
      <c r="I735" s="851"/>
      <c r="J735" s="851"/>
      <c r="K735" s="851"/>
      <c r="L735" s="851"/>
      <c r="M735" s="851"/>
    </row>
    <row r="736" spans="3:13" ht="14.25" customHeight="1">
      <c r="C736" s="851"/>
      <c r="D736" s="851"/>
      <c r="E736" s="851"/>
      <c r="F736" s="851"/>
      <c r="G736" s="851"/>
      <c r="H736" s="851"/>
      <c r="I736" s="851"/>
      <c r="J736" s="851"/>
      <c r="K736" s="851"/>
      <c r="L736" s="851"/>
      <c r="M736" s="851"/>
    </row>
    <row r="737" spans="3:13" ht="14.25" customHeight="1">
      <c r="C737" s="851"/>
      <c r="D737" s="851"/>
      <c r="E737" s="851"/>
      <c r="F737" s="851"/>
      <c r="G737" s="851"/>
      <c r="H737" s="851"/>
      <c r="I737" s="851"/>
      <c r="J737" s="851"/>
      <c r="K737" s="851"/>
      <c r="L737" s="851"/>
      <c r="M737" s="851"/>
    </row>
    <row r="738" spans="3:13" ht="14.25" customHeight="1">
      <c r="C738" s="851"/>
      <c r="D738" s="851"/>
      <c r="E738" s="851"/>
      <c r="F738" s="851"/>
      <c r="G738" s="851"/>
      <c r="H738" s="851"/>
      <c r="I738" s="851"/>
      <c r="J738" s="851"/>
      <c r="K738" s="851"/>
      <c r="L738" s="851"/>
      <c r="M738" s="851"/>
    </row>
    <row r="739" spans="3:13" ht="14.25" customHeight="1">
      <c r="C739" s="851"/>
      <c r="D739" s="851"/>
      <c r="E739" s="851"/>
      <c r="F739" s="851"/>
      <c r="G739" s="851"/>
      <c r="H739" s="851"/>
      <c r="I739" s="851"/>
      <c r="J739" s="851"/>
      <c r="K739" s="851"/>
      <c r="L739" s="851"/>
      <c r="M739" s="851"/>
    </row>
    <row r="740" spans="3:13" ht="14.25" customHeight="1">
      <c r="C740" s="851"/>
      <c r="D740" s="851"/>
      <c r="E740" s="851"/>
      <c r="F740" s="851"/>
      <c r="G740" s="851"/>
      <c r="H740" s="851"/>
      <c r="I740" s="851"/>
      <c r="J740" s="851"/>
      <c r="K740" s="851"/>
      <c r="L740" s="851"/>
      <c r="M740" s="851"/>
    </row>
    <row r="741" spans="3:13" ht="14.25" customHeight="1">
      <c r="C741" s="851"/>
      <c r="D741" s="851"/>
      <c r="E741" s="851"/>
      <c r="F741" s="851"/>
      <c r="G741" s="851"/>
      <c r="H741" s="851"/>
      <c r="I741" s="851"/>
      <c r="J741" s="851"/>
      <c r="K741" s="851"/>
      <c r="L741" s="851"/>
      <c r="M741" s="851"/>
    </row>
    <row r="742" spans="3:13" ht="14.25" customHeight="1">
      <c r="C742" s="851"/>
      <c r="D742" s="851"/>
      <c r="E742" s="851"/>
      <c r="F742" s="851"/>
      <c r="G742" s="851"/>
      <c r="H742" s="851"/>
      <c r="I742" s="851"/>
      <c r="J742" s="851"/>
      <c r="K742" s="851"/>
      <c r="L742" s="851"/>
      <c r="M742" s="851"/>
    </row>
    <row r="743" spans="3:13" ht="14.25" customHeight="1">
      <c r="C743" s="851"/>
      <c r="D743" s="851"/>
      <c r="E743" s="851"/>
      <c r="F743" s="851"/>
      <c r="G743" s="851"/>
      <c r="H743" s="851"/>
      <c r="I743" s="851"/>
      <c r="J743" s="851"/>
      <c r="K743" s="851"/>
      <c r="L743" s="851"/>
      <c r="M743" s="851"/>
    </row>
    <row r="744" spans="3:13" ht="14.25" customHeight="1">
      <c r="C744" s="851"/>
      <c r="D744" s="851"/>
      <c r="E744" s="851"/>
      <c r="F744" s="851"/>
      <c r="G744" s="851"/>
      <c r="H744" s="851"/>
      <c r="I744" s="851"/>
      <c r="J744" s="851"/>
      <c r="K744" s="851"/>
      <c r="L744" s="851"/>
      <c r="M744" s="851"/>
    </row>
    <row r="745" spans="3:13" ht="14.25" customHeight="1">
      <c r="C745" s="851"/>
      <c r="D745" s="851"/>
      <c r="E745" s="851"/>
      <c r="F745" s="851"/>
      <c r="G745" s="851"/>
      <c r="H745" s="851"/>
      <c r="I745" s="851"/>
      <c r="J745" s="851"/>
      <c r="K745" s="851"/>
      <c r="L745" s="851"/>
      <c r="M745" s="851"/>
    </row>
    <row r="746" spans="3:13" ht="14.25" customHeight="1">
      <c r="C746" s="851"/>
      <c r="D746" s="851"/>
      <c r="E746" s="851"/>
      <c r="F746" s="851"/>
      <c r="G746" s="851"/>
      <c r="H746" s="851"/>
      <c r="I746" s="851"/>
      <c r="J746" s="851"/>
      <c r="K746" s="851"/>
      <c r="L746" s="851"/>
      <c r="M746" s="851"/>
    </row>
    <row r="747" spans="3:13" ht="14.25" customHeight="1">
      <c r="C747" s="851"/>
      <c r="D747" s="851"/>
      <c r="E747" s="851"/>
      <c r="F747" s="851"/>
      <c r="G747" s="851"/>
      <c r="H747" s="851"/>
      <c r="I747" s="851"/>
      <c r="J747" s="851"/>
      <c r="K747" s="851"/>
      <c r="L747" s="851"/>
      <c r="M747" s="851"/>
    </row>
    <row r="748" spans="3:13" ht="14.25" customHeight="1">
      <c r="C748" s="851"/>
      <c r="D748" s="851"/>
      <c r="E748" s="851"/>
      <c r="F748" s="851"/>
      <c r="G748" s="851"/>
      <c r="H748" s="851"/>
      <c r="I748" s="851"/>
      <c r="J748" s="851"/>
      <c r="K748" s="851"/>
      <c r="L748" s="851"/>
      <c r="M748" s="851"/>
    </row>
    <row r="749" spans="3:13" ht="14.25" customHeight="1">
      <c r="C749" s="851"/>
      <c r="D749" s="851"/>
      <c r="E749" s="851"/>
      <c r="F749" s="851"/>
      <c r="G749" s="851"/>
      <c r="H749" s="851"/>
      <c r="I749" s="851"/>
      <c r="J749" s="851"/>
      <c r="K749" s="851"/>
      <c r="L749" s="851"/>
      <c r="M749" s="851"/>
    </row>
    <row r="750" spans="3:13" ht="14.25" customHeight="1">
      <c r="C750" s="851"/>
      <c r="D750" s="851"/>
      <c r="E750" s="851"/>
      <c r="F750" s="851"/>
      <c r="G750" s="851"/>
      <c r="H750" s="851"/>
      <c r="I750" s="851"/>
      <c r="J750" s="851"/>
      <c r="K750" s="851"/>
      <c r="L750" s="851"/>
      <c r="M750" s="851"/>
    </row>
    <row r="751" spans="3:13" ht="14.25" customHeight="1">
      <c r="C751" s="851"/>
      <c r="D751" s="851"/>
      <c r="E751" s="851"/>
      <c r="F751" s="851"/>
      <c r="G751" s="851"/>
      <c r="H751" s="851"/>
      <c r="I751" s="851"/>
      <c r="J751" s="851"/>
      <c r="K751" s="851"/>
      <c r="L751" s="851"/>
      <c r="M751" s="851"/>
    </row>
    <row r="752" spans="3:13" ht="14.25" customHeight="1">
      <c r="C752" s="851"/>
      <c r="D752" s="851"/>
      <c r="E752" s="851"/>
      <c r="F752" s="851"/>
      <c r="G752" s="851"/>
      <c r="H752" s="851"/>
      <c r="I752" s="851"/>
      <c r="J752" s="851"/>
      <c r="K752" s="851"/>
      <c r="L752" s="851"/>
      <c r="M752" s="851"/>
    </row>
    <row r="753" spans="3:13" ht="14.25" customHeight="1">
      <c r="C753" s="851"/>
      <c r="D753" s="851"/>
      <c r="E753" s="851"/>
      <c r="F753" s="851"/>
      <c r="G753" s="851"/>
      <c r="H753" s="851"/>
      <c r="I753" s="851"/>
      <c r="J753" s="851"/>
      <c r="K753" s="851"/>
      <c r="L753" s="851"/>
      <c r="M753" s="851"/>
    </row>
    <row r="754" spans="3:13" ht="14.25" customHeight="1">
      <c r="C754" s="851"/>
      <c r="D754" s="851"/>
      <c r="E754" s="851"/>
      <c r="F754" s="851"/>
      <c r="G754" s="851"/>
      <c r="H754" s="851"/>
      <c r="I754" s="851"/>
      <c r="J754" s="851"/>
      <c r="K754" s="851"/>
      <c r="L754" s="851"/>
      <c r="M754" s="851"/>
    </row>
    <row r="755" spans="3:13" ht="14.25" customHeight="1">
      <c r="C755" s="851"/>
      <c r="D755" s="851"/>
      <c r="E755" s="851"/>
      <c r="F755" s="851"/>
      <c r="G755" s="851"/>
      <c r="H755" s="851"/>
      <c r="I755" s="851"/>
      <c r="J755" s="851"/>
      <c r="K755" s="851"/>
      <c r="L755" s="851"/>
      <c r="M755" s="851"/>
    </row>
    <row r="756" spans="3:13" ht="14.25" customHeight="1">
      <c r="C756" s="851"/>
      <c r="D756" s="851"/>
      <c r="E756" s="851"/>
      <c r="F756" s="851"/>
      <c r="G756" s="851"/>
      <c r="H756" s="851"/>
      <c r="I756" s="851"/>
      <c r="J756" s="851"/>
      <c r="K756" s="851"/>
      <c r="L756" s="851"/>
      <c r="M756" s="851"/>
    </row>
    <row r="757" spans="3:13" ht="14.25" customHeight="1">
      <c r="C757" s="851"/>
      <c r="D757" s="851"/>
      <c r="E757" s="851"/>
      <c r="F757" s="851"/>
      <c r="G757" s="851"/>
      <c r="H757" s="851"/>
      <c r="I757" s="851"/>
      <c r="J757" s="851"/>
      <c r="K757" s="851"/>
      <c r="L757" s="851"/>
      <c r="M757" s="851"/>
    </row>
    <row r="758" spans="3:13" ht="14.25" customHeight="1">
      <c r="C758" s="851"/>
      <c r="D758" s="851"/>
      <c r="E758" s="851"/>
      <c r="F758" s="851"/>
      <c r="G758" s="851"/>
      <c r="H758" s="851"/>
      <c r="I758" s="851"/>
      <c r="J758" s="851"/>
      <c r="K758" s="851"/>
      <c r="L758" s="851"/>
      <c r="M758" s="851"/>
    </row>
    <row r="759" spans="3:13" ht="14.25" customHeight="1">
      <c r="C759" s="851"/>
      <c r="D759" s="851"/>
      <c r="E759" s="851"/>
      <c r="F759" s="851"/>
      <c r="G759" s="851"/>
      <c r="H759" s="851"/>
      <c r="I759" s="851"/>
      <c r="J759" s="851"/>
      <c r="K759" s="851"/>
      <c r="L759" s="851"/>
      <c r="M759" s="851"/>
    </row>
    <row r="760" spans="3:13" ht="14.25" customHeight="1">
      <c r="C760" s="851"/>
      <c r="D760" s="851"/>
      <c r="E760" s="851"/>
      <c r="F760" s="851"/>
      <c r="G760" s="851"/>
      <c r="H760" s="851"/>
      <c r="I760" s="851"/>
      <c r="J760" s="851"/>
      <c r="K760" s="851"/>
      <c r="L760" s="851"/>
      <c r="M760" s="851"/>
    </row>
    <row r="761" spans="3:13" ht="14.25" customHeight="1">
      <c r="C761" s="851"/>
      <c r="D761" s="851"/>
      <c r="E761" s="851"/>
      <c r="F761" s="851"/>
      <c r="G761" s="851"/>
      <c r="H761" s="851"/>
      <c r="I761" s="851"/>
      <c r="J761" s="851"/>
      <c r="K761" s="851"/>
      <c r="L761" s="851"/>
      <c r="M761" s="851"/>
    </row>
    <row r="762" spans="3:13" ht="14.25" customHeight="1">
      <c r="C762" s="851"/>
      <c r="D762" s="851"/>
      <c r="E762" s="851"/>
      <c r="F762" s="851"/>
      <c r="G762" s="851"/>
      <c r="H762" s="851"/>
      <c r="I762" s="851"/>
      <c r="J762" s="851"/>
      <c r="K762" s="851"/>
      <c r="L762" s="851"/>
      <c r="M762" s="851"/>
    </row>
    <row r="763" spans="3:13" ht="14.25" customHeight="1">
      <c r="C763" s="851"/>
      <c r="D763" s="851"/>
      <c r="E763" s="851"/>
      <c r="F763" s="851"/>
      <c r="G763" s="851"/>
      <c r="H763" s="851"/>
      <c r="I763" s="851"/>
      <c r="J763" s="851"/>
      <c r="K763" s="851"/>
      <c r="L763" s="851"/>
      <c r="M763" s="851"/>
    </row>
    <row r="764" spans="3:13" ht="14.25" customHeight="1">
      <c r="C764" s="851"/>
      <c r="D764" s="851"/>
      <c r="E764" s="851"/>
      <c r="F764" s="851"/>
      <c r="G764" s="851"/>
      <c r="H764" s="851"/>
      <c r="I764" s="851"/>
      <c r="J764" s="851"/>
      <c r="K764" s="851"/>
      <c r="L764" s="851"/>
      <c r="M764" s="851"/>
    </row>
    <row r="765" spans="3:13" ht="14.25" customHeight="1">
      <c r="C765" s="851"/>
      <c r="D765" s="851"/>
      <c r="E765" s="851"/>
      <c r="F765" s="851"/>
      <c r="G765" s="851"/>
      <c r="H765" s="851"/>
      <c r="I765" s="851"/>
      <c r="J765" s="851"/>
      <c r="K765" s="851"/>
      <c r="L765" s="851"/>
      <c r="M765" s="851"/>
    </row>
    <row r="766" spans="3:13" ht="14.25" customHeight="1">
      <c r="C766" s="851"/>
      <c r="D766" s="851"/>
      <c r="E766" s="851"/>
      <c r="F766" s="851"/>
      <c r="G766" s="851"/>
      <c r="H766" s="851"/>
      <c r="I766" s="851"/>
      <c r="J766" s="851"/>
      <c r="K766" s="851"/>
      <c r="L766" s="851"/>
      <c r="M766" s="851"/>
    </row>
    <row r="767" spans="3:13" ht="14.25" customHeight="1">
      <c r="C767" s="851"/>
      <c r="D767" s="851"/>
      <c r="E767" s="851"/>
      <c r="F767" s="851"/>
      <c r="G767" s="851"/>
      <c r="H767" s="851"/>
      <c r="I767" s="851"/>
      <c r="J767" s="851"/>
      <c r="K767" s="851"/>
      <c r="L767" s="851"/>
      <c r="M767" s="851"/>
    </row>
    <row r="768" spans="3:13" ht="14.25" customHeight="1">
      <c r="C768" s="851"/>
      <c r="D768" s="851"/>
      <c r="E768" s="851"/>
      <c r="F768" s="851"/>
      <c r="G768" s="851"/>
      <c r="H768" s="851"/>
      <c r="I768" s="851"/>
      <c r="J768" s="851"/>
      <c r="K768" s="851"/>
      <c r="L768" s="851"/>
      <c r="M768" s="851"/>
    </row>
    <row r="769" spans="3:13" ht="14.25" customHeight="1">
      <c r="C769" s="851"/>
      <c r="D769" s="851"/>
      <c r="E769" s="851"/>
      <c r="F769" s="851"/>
      <c r="G769" s="851"/>
      <c r="H769" s="851"/>
      <c r="I769" s="851"/>
      <c r="J769" s="851"/>
      <c r="K769" s="851"/>
      <c r="L769" s="851"/>
      <c r="M769" s="851"/>
    </row>
    <row r="770" spans="3:13" ht="14.25" customHeight="1">
      <c r="C770" s="851"/>
      <c r="D770" s="851"/>
      <c r="E770" s="851"/>
      <c r="F770" s="851"/>
      <c r="G770" s="851"/>
      <c r="H770" s="851"/>
      <c r="I770" s="851"/>
      <c r="J770" s="851"/>
      <c r="K770" s="851"/>
      <c r="L770" s="851"/>
      <c r="M770" s="851"/>
    </row>
    <row r="771" spans="3:13" ht="14.25" customHeight="1">
      <c r="C771" s="851"/>
      <c r="D771" s="851"/>
      <c r="E771" s="851"/>
      <c r="F771" s="851"/>
      <c r="G771" s="851"/>
      <c r="H771" s="851"/>
      <c r="I771" s="851"/>
      <c r="J771" s="851"/>
      <c r="K771" s="851"/>
      <c r="L771" s="851"/>
      <c r="M771" s="851"/>
    </row>
    <row r="772" spans="3:13" ht="14.25" customHeight="1">
      <c r="C772" s="851"/>
      <c r="D772" s="851"/>
      <c r="E772" s="851"/>
      <c r="F772" s="851"/>
      <c r="G772" s="851"/>
      <c r="H772" s="851"/>
      <c r="I772" s="851"/>
      <c r="J772" s="851"/>
      <c r="K772" s="851"/>
      <c r="L772" s="851"/>
      <c r="M772" s="851"/>
    </row>
    <row r="773" spans="3:13" ht="14.25" customHeight="1">
      <c r="C773" s="851"/>
      <c r="D773" s="851"/>
      <c r="E773" s="851"/>
      <c r="F773" s="851"/>
      <c r="G773" s="851"/>
      <c r="H773" s="851"/>
      <c r="I773" s="851"/>
      <c r="J773" s="851"/>
      <c r="K773" s="851"/>
      <c r="L773" s="851"/>
      <c r="M773" s="851"/>
    </row>
    <row r="774" spans="3:13" ht="14.25" customHeight="1">
      <c r="C774" s="851"/>
      <c r="D774" s="851"/>
      <c r="E774" s="851"/>
      <c r="F774" s="851"/>
      <c r="G774" s="851"/>
      <c r="H774" s="851"/>
      <c r="I774" s="851"/>
      <c r="J774" s="851"/>
      <c r="K774" s="851"/>
      <c r="L774" s="851"/>
      <c r="M774" s="851"/>
    </row>
    <row r="775" spans="3:13" ht="14.25" customHeight="1">
      <c r="C775" s="851"/>
      <c r="D775" s="851"/>
      <c r="E775" s="851"/>
      <c r="F775" s="851"/>
      <c r="G775" s="851"/>
      <c r="H775" s="851"/>
      <c r="I775" s="851"/>
      <c r="J775" s="851"/>
      <c r="K775" s="851"/>
      <c r="L775" s="851"/>
      <c r="M775" s="851"/>
    </row>
    <row r="776" spans="3:13" ht="14.25" customHeight="1">
      <c r="C776" s="851"/>
      <c r="D776" s="851"/>
      <c r="E776" s="851"/>
      <c r="F776" s="851"/>
      <c r="G776" s="851"/>
      <c r="H776" s="851"/>
      <c r="I776" s="851"/>
      <c r="J776" s="851"/>
      <c r="K776" s="851"/>
      <c r="L776" s="851"/>
      <c r="M776" s="851"/>
    </row>
    <row r="777" spans="3:13" ht="14.25" customHeight="1">
      <c r="C777" s="851"/>
      <c r="D777" s="851"/>
      <c r="E777" s="851"/>
      <c r="F777" s="851"/>
      <c r="G777" s="851"/>
      <c r="H777" s="851"/>
      <c r="I777" s="851"/>
      <c r="J777" s="851"/>
      <c r="K777" s="851"/>
      <c r="L777" s="851"/>
      <c r="M777" s="851"/>
    </row>
    <row r="778" spans="3:13" ht="14.25" customHeight="1">
      <c r="C778" s="851"/>
      <c r="D778" s="851"/>
      <c r="E778" s="851"/>
      <c r="F778" s="851"/>
      <c r="G778" s="851"/>
      <c r="H778" s="851"/>
      <c r="I778" s="851"/>
      <c r="J778" s="851"/>
      <c r="K778" s="851"/>
      <c r="L778" s="851"/>
      <c r="M778" s="851"/>
    </row>
    <row r="779" spans="3:13" ht="14.25" customHeight="1">
      <c r="C779" s="851"/>
      <c r="D779" s="851"/>
      <c r="E779" s="851"/>
      <c r="F779" s="851"/>
      <c r="G779" s="851"/>
      <c r="H779" s="851"/>
      <c r="I779" s="851"/>
      <c r="J779" s="851"/>
      <c r="K779" s="851"/>
      <c r="L779" s="851"/>
      <c r="M779" s="851"/>
    </row>
    <row r="780" spans="3:13" ht="14.25" customHeight="1">
      <c r="C780" s="851"/>
      <c r="D780" s="851"/>
      <c r="E780" s="851"/>
      <c r="F780" s="851"/>
      <c r="G780" s="851"/>
      <c r="H780" s="851"/>
      <c r="I780" s="851"/>
      <c r="J780" s="851"/>
      <c r="K780" s="851"/>
      <c r="L780" s="851"/>
      <c r="M780" s="851"/>
    </row>
  </sheetData>
  <pageMargins left="0.7" right="0.7" top="0.75" bottom="0.75" header="0.511811023622047" footer="0.511811023622047"/>
  <pageSetup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W959"/>
  <sheetViews>
    <sheetView topLeftCell="A6" zoomScaleNormal="100" workbookViewId="0">
      <pane ySplit="1" topLeftCell="A255" activePane="bottomLeft" state="frozen"/>
      <selection activeCell="A6" sqref="A6"/>
      <selection pane="bottomLeft" activeCell="G284" sqref="G284"/>
    </sheetView>
  </sheetViews>
  <sheetFormatPr baseColWidth="10" defaultColWidth="9.1640625" defaultRowHeight="15"/>
  <cols>
    <col min="1" max="1" width="9.1640625" style="463"/>
    <col min="2" max="2" width="50.5" style="463" customWidth="1"/>
    <col min="3" max="10" width="12.5" style="463" customWidth="1"/>
    <col min="11" max="11" width="10.5" style="463" customWidth="1"/>
    <col min="12" max="12" width="9.5" style="463" customWidth="1"/>
    <col min="13" max="13" width="14.5" style="463" customWidth="1"/>
    <col min="14" max="14" width="6.5" style="463" customWidth="1"/>
    <col min="15" max="15" width="9.1640625" style="463"/>
    <col min="16" max="16" width="21.83203125" style="463" customWidth="1"/>
    <col min="17" max="17" width="17.1640625" style="463" customWidth="1"/>
    <col min="18" max="18" width="9.1640625" style="463"/>
    <col min="19" max="19" width="12.1640625" style="463" customWidth="1"/>
    <col min="20" max="16384" width="9.1640625" style="463"/>
  </cols>
  <sheetData>
    <row r="1" spans="1:22" ht="15.75" customHeight="1">
      <c r="A1" s="462"/>
      <c r="B1" s="462"/>
      <c r="C1" s="462"/>
      <c r="D1" s="462"/>
      <c r="E1" s="462"/>
      <c r="F1" s="462"/>
      <c r="G1" s="462"/>
      <c r="H1" s="462"/>
      <c r="I1" s="462"/>
      <c r="J1" s="462"/>
      <c r="K1" s="462"/>
      <c r="L1" s="462"/>
      <c r="M1" s="462"/>
      <c r="N1" s="462"/>
      <c r="O1" s="462"/>
      <c r="P1" s="462"/>
      <c r="Q1" s="462"/>
      <c r="R1" s="462"/>
      <c r="S1" s="462"/>
      <c r="T1" s="1113"/>
      <c r="U1" s="1113"/>
      <c r="V1" s="1113"/>
    </row>
    <row r="2" spans="1:22" ht="15.75" customHeight="1">
      <c r="A2" s="462"/>
      <c r="B2" s="462"/>
      <c r="C2" s="462"/>
      <c r="D2" s="462"/>
      <c r="E2" s="462"/>
      <c r="F2" s="462"/>
      <c r="G2" s="462"/>
      <c r="H2" s="462"/>
      <c r="I2" s="462"/>
      <c r="J2" s="462"/>
      <c r="K2" s="462"/>
      <c r="L2" s="462"/>
      <c r="M2" s="462"/>
      <c r="N2" s="462"/>
      <c r="O2" s="462"/>
      <c r="P2" s="462"/>
      <c r="Q2" s="462"/>
      <c r="R2" s="462"/>
      <c r="S2" s="462"/>
      <c r="T2" s="1113"/>
      <c r="U2" s="1113"/>
      <c r="V2" s="1113"/>
    </row>
    <row r="3" spans="1:22" ht="15.75" customHeight="1">
      <c r="A3" s="462"/>
      <c r="B3" s="462"/>
      <c r="C3" s="462"/>
      <c r="D3" s="462"/>
      <c r="E3" s="462"/>
      <c r="F3" s="462"/>
      <c r="G3" s="462"/>
      <c r="H3" s="462"/>
      <c r="I3" s="462"/>
      <c r="J3" s="462"/>
      <c r="K3" s="462"/>
      <c r="L3" s="462"/>
      <c r="M3" s="462"/>
      <c r="N3" s="462"/>
      <c r="O3" s="462"/>
      <c r="P3" s="462"/>
      <c r="Q3" s="462"/>
      <c r="R3" s="462"/>
      <c r="S3" s="462"/>
      <c r="T3" s="1113"/>
      <c r="U3" s="1113"/>
      <c r="V3" s="1113"/>
    </row>
    <row r="4" spans="1:22" ht="24" customHeight="1">
      <c r="A4" s="1114" t="s">
        <v>76</v>
      </c>
      <c r="B4" s="462"/>
      <c r="C4" s="462"/>
      <c r="D4" s="462"/>
      <c r="E4" s="462"/>
      <c r="F4" s="462"/>
      <c r="G4" s="462"/>
      <c r="H4" s="462"/>
      <c r="I4" s="462"/>
      <c r="J4" s="462"/>
      <c r="K4" s="462"/>
      <c r="L4" s="462"/>
      <c r="M4" s="462"/>
      <c r="N4" s="462"/>
      <c r="O4" s="462"/>
      <c r="P4" s="462"/>
      <c r="Q4" s="462"/>
      <c r="R4" s="462"/>
      <c r="S4" s="462"/>
      <c r="T4" s="1113"/>
      <c r="U4" s="1113"/>
      <c r="V4" s="1113"/>
    </row>
    <row r="5" spans="1:22" ht="15.75" customHeight="1">
      <c r="A5" s="462"/>
      <c r="B5" s="462"/>
      <c r="C5" s="462"/>
      <c r="D5" s="462"/>
      <c r="E5" s="462"/>
      <c r="F5" s="462"/>
      <c r="G5" s="462"/>
      <c r="H5" s="462"/>
      <c r="I5" s="462"/>
      <c r="J5" s="462"/>
      <c r="K5" s="462"/>
      <c r="L5" s="462"/>
      <c r="M5" s="462"/>
      <c r="N5" s="462"/>
      <c r="O5" s="462"/>
      <c r="P5" s="462"/>
      <c r="Q5" s="462"/>
      <c r="R5" s="462"/>
      <c r="S5" s="462"/>
      <c r="T5" s="1113"/>
      <c r="U5" s="1113"/>
      <c r="V5" s="1113"/>
    </row>
    <row r="6" spans="1:22" ht="30" customHeight="1">
      <c r="A6" s="1115" t="s">
        <v>1</v>
      </c>
      <c r="B6" s="1116" t="s">
        <v>68</v>
      </c>
      <c r="C6" s="1116" t="s">
        <v>77</v>
      </c>
      <c r="D6" s="1116" t="s">
        <v>78</v>
      </c>
      <c r="E6" s="1116" t="s">
        <v>79</v>
      </c>
      <c r="F6" s="1116" t="s">
        <v>213</v>
      </c>
      <c r="G6" s="1116" t="s">
        <v>978</v>
      </c>
      <c r="H6" s="1116" t="s">
        <v>977</v>
      </c>
      <c r="I6" s="1117" t="s">
        <v>1095</v>
      </c>
      <c r="J6" s="1117" t="s">
        <v>1096</v>
      </c>
      <c r="K6" s="1116" t="s">
        <v>6</v>
      </c>
      <c r="L6" s="1116" t="s">
        <v>80</v>
      </c>
      <c r="M6" s="1116" t="s">
        <v>81</v>
      </c>
      <c r="N6" s="1118" t="s">
        <v>82</v>
      </c>
      <c r="O6" s="462"/>
      <c r="P6" s="462"/>
      <c r="Q6" s="462"/>
      <c r="R6" s="462"/>
      <c r="S6" s="462"/>
      <c r="T6" s="1113"/>
      <c r="U6" s="1113"/>
      <c r="V6" s="1113"/>
    </row>
    <row r="7" spans="1:22" ht="7.5" customHeight="1">
      <c r="A7" s="462"/>
      <c r="B7" s="462"/>
      <c r="C7" s="462"/>
      <c r="D7" s="462"/>
      <c r="E7" s="462"/>
      <c r="F7" s="462"/>
      <c r="G7" s="462"/>
      <c r="H7" s="462"/>
      <c r="I7" s="462"/>
      <c r="J7" s="462"/>
      <c r="K7" s="462"/>
      <c r="L7" s="462"/>
      <c r="M7" s="462"/>
      <c r="N7" s="462"/>
      <c r="O7" s="462"/>
      <c r="P7" s="462"/>
      <c r="Q7" s="462"/>
      <c r="R7" s="462"/>
      <c r="S7" s="462"/>
      <c r="T7" s="1113"/>
      <c r="U7" s="1113"/>
      <c r="V7" s="1113"/>
    </row>
    <row r="8" spans="1:22" ht="7.5" customHeight="1">
      <c r="A8" s="1119"/>
      <c r="B8" s="1120"/>
      <c r="C8" s="1120"/>
      <c r="D8" s="1120"/>
      <c r="E8" s="1120"/>
      <c r="F8" s="1120"/>
      <c r="G8" s="1120"/>
      <c r="H8" s="1120"/>
      <c r="I8" s="1120"/>
      <c r="J8" s="1120"/>
      <c r="K8" s="1120"/>
      <c r="L8" s="1120"/>
      <c r="M8" s="1120"/>
      <c r="N8" s="1121"/>
      <c r="O8" s="462"/>
      <c r="P8" s="462"/>
      <c r="Q8" s="462"/>
      <c r="R8" s="462"/>
      <c r="S8" s="462"/>
      <c r="T8" s="1113"/>
      <c r="U8" s="1113"/>
      <c r="V8" s="1113"/>
    </row>
    <row r="9" spans="1:22" ht="21.75" customHeight="1">
      <c r="A9" s="1122" t="s">
        <v>467</v>
      </c>
      <c r="B9" s="1123" t="s">
        <v>1516</v>
      </c>
      <c r="C9" s="1124"/>
      <c r="D9" s="1124"/>
      <c r="E9" s="1124"/>
      <c r="F9" s="1124"/>
      <c r="G9" s="1124"/>
      <c r="H9" s="1124"/>
      <c r="I9" s="1124"/>
      <c r="J9" s="1124"/>
      <c r="K9" s="1124"/>
      <c r="L9" s="1124"/>
      <c r="M9" s="1124"/>
      <c r="N9" s="1125"/>
      <c r="O9" s="462"/>
      <c r="P9" s="1126"/>
      <c r="Q9" s="462"/>
      <c r="R9" s="462"/>
      <c r="S9" s="462"/>
      <c r="T9" s="1113"/>
      <c r="U9" s="1113"/>
      <c r="V9" s="1113"/>
    </row>
    <row r="10" spans="1:22" ht="15.75" customHeight="1">
      <c r="A10" s="1127" t="s">
        <v>469</v>
      </c>
      <c r="B10" s="1128" t="s">
        <v>395</v>
      </c>
      <c r="C10" s="1124"/>
      <c r="D10" s="1124"/>
      <c r="E10" s="1124"/>
      <c r="F10" s="1124"/>
      <c r="G10" s="1124"/>
      <c r="H10" s="1124"/>
      <c r="I10" s="1124"/>
      <c r="J10" s="1124"/>
      <c r="K10" s="1124"/>
      <c r="L10" s="1124"/>
      <c r="M10" s="1124"/>
      <c r="N10" s="1125"/>
      <c r="O10" s="462"/>
      <c r="P10" s="1126"/>
      <c r="Q10" s="462"/>
      <c r="R10" s="462"/>
      <c r="S10" s="462"/>
      <c r="T10" s="1113"/>
      <c r="U10" s="1113"/>
      <c r="V10" s="1113"/>
    </row>
    <row r="11" spans="1:22" ht="15.75" customHeight="1">
      <c r="A11" s="464">
        <v>1</v>
      </c>
      <c r="B11" s="391" t="s">
        <v>396</v>
      </c>
      <c r="C11" s="1124"/>
      <c r="D11" s="1124"/>
      <c r="E11" s="1124"/>
      <c r="F11" s="1124"/>
      <c r="G11" s="1124"/>
      <c r="H11" s="1124"/>
      <c r="I11" s="1124"/>
      <c r="J11" s="1124"/>
      <c r="K11" s="1124"/>
      <c r="L11" s="1124"/>
      <c r="M11" s="1124"/>
      <c r="N11" s="1125"/>
      <c r="O11" s="462"/>
      <c r="P11" s="1126"/>
      <c r="Q11" s="462"/>
      <c r="R11" s="462"/>
      <c r="S11" s="462"/>
      <c r="T11" s="1113"/>
      <c r="U11" s="1113"/>
      <c r="V11" s="1113"/>
    </row>
    <row r="12" spans="1:22" ht="15.75" customHeight="1">
      <c r="A12" s="1129"/>
      <c r="B12" s="1130" t="s">
        <v>155</v>
      </c>
      <c r="C12" s="382">
        <f>20+2</f>
        <v>22</v>
      </c>
      <c r="D12" s="382"/>
      <c r="E12" s="1124"/>
      <c r="F12" s="1124"/>
      <c r="G12" s="1124"/>
      <c r="H12" s="1124">
        <v>2</v>
      </c>
      <c r="I12" s="1124"/>
      <c r="J12" s="1124"/>
      <c r="K12" s="1124"/>
      <c r="L12" s="1124"/>
      <c r="M12" s="1124">
        <f>C12*H12</f>
        <v>44</v>
      </c>
      <c r="N12" s="1125"/>
      <c r="O12" s="462"/>
      <c r="P12" s="1126"/>
      <c r="Q12" s="462"/>
      <c r="R12" s="462"/>
      <c r="S12" s="462"/>
      <c r="T12" s="1113"/>
      <c r="U12" s="1113"/>
      <c r="V12" s="1113"/>
    </row>
    <row r="13" spans="1:22" ht="15.75" customHeight="1">
      <c r="A13" s="1129"/>
      <c r="B13" s="1130" t="s">
        <v>154</v>
      </c>
      <c r="C13" s="382"/>
      <c r="D13" s="382">
        <f>10+2</f>
        <v>12</v>
      </c>
      <c r="E13" s="1124"/>
      <c r="F13" s="1124"/>
      <c r="G13" s="1124"/>
      <c r="H13" s="1124">
        <v>2</v>
      </c>
      <c r="I13" s="1124"/>
      <c r="J13" s="1124"/>
      <c r="K13" s="1124"/>
      <c r="L13" s="1124"/>
      <c r="M13" s="1131">
        <f>D13*H13</f>
        <v>24</v>
      </c>
      <c r="N13" s="1125"/>
      <c r="O13" s="462"/>
      <c r="P13" s="1126"/>
      <c r="Q13" s="462"/>
      <c r="R13" s="462"/>
      <c r="S13" s="462"/>
      <c r="T13" s="1113"/>
      <c r="U13" s="1113"/>
      <c r="V13" s="1113"/>
    </row>
    <row r="14" spans="1:22" ht="15.75" customHeight="1">
      <c r="A14" s="1129"/>
      <c r="B14" s="391"/>
      <c r="C14" s="1124"/>
      <c r="D14" s="1124"/>
      <c r="E14" s="1124"/>
      <c r="F14" s="1124"/>
      <c r="G14" s="1124"/>
      <c r="H14" s="1124"/>
      <c r="I14" s="1124"/>
      <c r="J14" s="1124"/>
      <c r="K14" s="1124"/>
      <c r="L14" s="1124"/>
      <c r="M14" s="1132">
        <f>SUM(M12:M13)</f>
        <v>68</v>
      </c>
      <c r="N14" s="1133" t="s">
        <v>117</v>
      </c>
      <c r="O14" s="462"/>
      <c r="P14" s="1126"/>
      <c r="Q14" s="462"/>
      <c r="R14" s="462"/>
      <c r="S14" s="462"/>
      <c r="T14" s="1113"/>
      <c r="U14" s="1113"/>
      <c r="V14" s="1113"/>
    </row>
    <row r="15" spans="1:22" ht="15.75" customHeight="1">
      <c r="A15" s="350">
        <f>A11+1</f>
        <v>2</v>
      </c>
      <c r="B15" s="465" t="s">
        <v>397</v>
      </c>
      <c r="C15" s="405"/>
      <c r="D15" s="405"/>
      <c r="E15" s="405"/>
      <c r="F15" s="405"/>
      <c r="G15" s="405"/>
      <c r="H15" s="405"/>
      <c r="I15" s="405"/>
      <c r="J15" s="405"/>
      <c r="K15" s="405"/>
      <c r="L15" s="405"/>
      <c r="M15" s="405"/>
      <c r="N15" s="1125"/>
      <c r="O15" s="462"/>
      <c r="P15" s="1126"/>
      <c r="Q15" s="462"/>
      <c r="R15" s="462"/>
      <c r="S15" s="462"/>
      <c r="T15" s="1113"/>
      <c r="U15" s="1113"/>
      <c r="V15" s="1113"/>
    </row>
    <row r="16" spans="1:22" ht="15.75" customHeight="1">
      <c r="A16" s="1134" t="s">
        <v>95</v>
      </c>
      <c r="B16" s="465" t="s">
        <v>398</v>
      </c>
      <c r="C16" s="401">
        <v>1</v>
      </c>
      <c r="D16" s="401">
        <v>1</v>
      </c>
      <c r="E16" s="401">
        <v>1.27</v>
      </c>
      <c r="F16" s="401"/>
      <c r="G16" s="401"/>
      <c r="H16" s="401"/>
      <c r="I16" s="401"/>
      <c r="J16" s="401"/>
      <c r="K16" s="401"/>
      <c r="L16" s="401">
        <v>17</v>
      </c>
      <c r="M16" s="401">
        <f>C16*D16*E16*L16</f>
        <v>21.59</v>
      </c>
      <c r="N16" s="801" t="s">
        <v>103</v>
      </c>
      <c r="O16" s="462"/>
      <c r="P16" s="1126"/>
      <c r="Q16" s="462"/>
      <c r="R16" s="462"/>
      <c r="S16" s="462"/>
      <c r="T16" s="1113"/>
      <c r="U16" s="1113"/>
      <c r="V16" s="1113"/>
    </row>
    <row r="17" spans="1:22" ht="15.75" customHeight="1">
      <c r="A17" s="1134" t="s">
        <v>98</v>
      </c>
      <c r="B17" s="465" t="s">
        <v>399</v>
      </c>
      <c r="C17" s="401">
        <v>0.8</v>
      </c>
      <c r="D17" s="401">
        <v>0.8</v>
      </c>
      <c r="E17" s="401">
        <v>7.0000000000000007E-2</v>
      </c>
      <c r="F17" s="401"/>
      <c r="G17" s="401"/>
      <c r="H17" s="401"/>
      <c r="I17" s="401"/>
      <c r="J17" s="401"/>
      <c r="K17" s="401"/>
      <c r="L17" s="401">
        <f t="shared" ref="L17:L22" si="0">L16</f>
        <v>17</v>
      </c>
      <c r="M17" s="401">
        <f>C17*D17*E17*L17</f>
        <v>0.76160000000000028</v>
      </c>
      <c r="N17" s="801" t="s">
        <v>103</v>
      </c>
      <c r="O17" s="462"/>
      <c r="P17" s="1126"/>
      <c r="Q17" s="462"/>
      <c r="R17" s="462"/>
      <c r="S17" s="462"/>
      <c r="T17" s="1113"/>
      <c r="U17" s="1113"/>
      <c r="V17" s="1113"/>
    </row>
    <row r="18" spans="1:22" ht="15.75" customHeight="1">
      <c r="A18" s="1134" t="s">
        <v>101</v>
      </c>
      <c r="B18" s="465" t="s">
        <v>496</v>
      </c>
      <c r="C18" s="401">
        <f>C17</f>
        <v>0.8</v>
      </c>
      <c r="D18" s="401">
        <f>D17</f>
        <v>0.8</v>
      </c>
      <c r="E18" s="401">
        <v>0.03</v>
      </c>
      <c r="F18" s="401"/>
      <c r="G18" s="401"/>
      <c r="H18" s="401"/>
      <c r="I18" s="401"/>
      <c r="J18" s="401"/>
      <c r="K18" s="401"/>
      <c r="L18" s="401">
        <f t="shared" si="0"/>
        <v>17</v>
      </c>
      <c r="M18" s="401">
        <f>C18*D18*E18*L18</f>
        <v>0.32640000000000002</v>
      </c>
      <c r="N18" s="801" t="s">
        <v>103</v>
      </c>
      <c r="O18" s="462"/>
      <c r="P18" s="1126"/>
      <c r="Q18" s="462"/>
      <c r="R18" s="462"/>
      <c r="S18" s="462"/>
      <c r="T18" s="1113"/>
      <c r="U18" s="1113"/>
      <c r="V18" s="1113"/>
    </row>
    <row r="19" spans="1:22" ht="15.75" customHeight="1">
      <c r="A19" s="1134" t="s">
        <v>121</v>
      </c>
      <c r="B19" s="465" t="s">
        <v>401</v>
      </c>
      <c r="C19" s="401">
        <v>1</v>
      </c>
      <c r="D19" s="401"/>
      <c r="E19" s="401">
        <v>0.3</v>
      </c>
      <c r="F19" s="401"/>
      <c r="G19" s="401"/>
      <c r="H19" s="401">
        <v>4</v>
      </c>
      <c r="I19" s="401"/>
      <c r="J19" s="401"/>
      <c r="K19" s="401"/>
      <c r="L19" s="401">
        <f t="shared" si="0"/>
        <v>17</v>
      </c>
      <c r="M19" s="401">
        <f>C19*E19*H19*L19</f>
        <v>20.399999999999999</v>
      </c>
      <c r="N19" s="801" t="s">
        <v>89</v>
      </c>
      <c r="O19" s="462"/>
      <c r="P19" s="1126"/>
      <c r="Q19" s="462"/>
      <c r="R19" s="462"/>
      <c r="S19" s="462"/>
      <c r="T19" s="1113"/>
      <c r="U19" s="1113"/>
      <c r="V19" s="1113"/>
    </row>
    <row r="20" spans="1:22" ht="15.75" customHeight="1">
      <c r="A20" s="1134" t="s">
        <v>142</v>
      </c>
      <c r="B20" s="465" t="s">
        <v>895</v>
      </c>
      <c r="C20" s="401">
        <v>0.65</v>
      </c>
      <c r="D20" s="401"/>
      <c r="E20" s="401"/>
      <c r="F20" s="401">
        <f>13*13*0.006165</f>
        <v>1.041885</v>
      </c>
      <c r="G20" s="401">
        <f>0.15*2</f>
        <v>0.3</v>
      </c>
      <c r="H20" s="401">
        <v>4</v>
      </c>
      <c r="I20" s="401"/>
      <c r="J20" s="401"/>
      <c r="K20" s="401">
        <f>ROUNDUP((C20/0.15),0.5)+1</f>
        <v>6</v>
      </c>
      <c r="L20" s="401">
        <f t="shared" si="0"/>
        <v>17</v>
      </c>
      <c r="M20" s="401">
        <f>(C20+G20)*F20*H20*K20*L20</f>
        <v>403.83462599999996</v>
      </c>
      <c r="N20" s="801" t="s">
        <v>100</v>
      </c>
      <c r="O20" s="462"/>
      <c r="P20" s="1126"/>
      <c r="Q20" s="462"/>
      <c r="R20" s="462"/>
      <c r="S20" s="462"/>
      <c r="T20" s="1113"/>
      <c r="U20" s="1113"/>
      <c r="V20" s="1113"/>
    </row>
    <row r="21" spans="1:22" ht="15.75" customHeight="1">
      <c r="A21" s="1134" t="s">
        <v>217</v>
      </c>
      <c r="B21" s="356" t="s">
        <v>429</v>
      </c>
      <c r="C21" s="401">
        <f>C18</f>
        <v>0.8</v>
      </c>
      <c r="D21" s="401">
        <f>D18</f>
        <v>0.8</v>
      </c>
      <c r="E21" s="401">
        <f>E19</f>
        <v>0.3</v>
      </c>
      <c r="F21" s="401"/>
      <c r="G21" s="401"/>
      <c r="H21" s="401"/>
      <c r="I21" s="401"/>
      <c r="J21" s="401"/>
      <c r="K21" s="401"/>
      <c r="L21" s="401">
        <f t="shared" si="0"/>
        <v>17</v>
      </c>
      <c r="M21" s="401">
        <f>C21*D21*E21*L21</f>
        <v>3.2640000000000007</v>
      </c>
      <c r="N21" s="801" t="s">
        <v>103</v>
      </c>
      <c r="O21" s="462"/>
      <c r="P21" s="1126"/>
      <c r="Q21" s="462"/>
      <c r="R21" s="462"/>
      <c r="S21" s="462"/>
      <c r="T21" s="1113"/>
      <c r="U21" s="1113"/>
      <c r="V21" s="1113"/>
    </row>
    <row r="22" spans="1:22" ht="15.75" customHeight="1">
      <c r="A22" s="1134" t="s">
        <v>366</v>
      </c>
      <c r="B22" s="465" t="s">
        <v>383</v>
      </c>
      <c r="C22" s="401"/>
      <c r="D22" s="401"/>
      <c r="E22" s="401">
        <v>4</v>
      </c>
      <c r="F22" s="401"/>
      <c r="G22" s="401"/>
      <c r="H22" s="401"/>
      <c r="I22" s="401"/>
      <c r="J22" s="401"/>
      <c r="K22" s="401">
        <v>9</v>
      </c>
      <c r="L22" s="401">
        <f t="shared" si="0"/>
        <v>17</v>
      </c>
      <c r="M22" s="401">
        <f>E22*K22*L22</f>
        <v>612</v>
      </c>
      <c r="N22" s="801" t="s">
        <v>117</v>
      </c>
      <c r="O22" s="462"/>
      <c r="P22" s="1126"/>
      <c r="Q22" s="462"/>
      <c r="R22" s="462"/>
      <c r="S22" s="462"/>
      <c r="T22" s="1113"/>
      <c r="U22" s="1113"/>
      <c r="V22" s="1113"/>
    </row>
    <row r="23" spans="1:22" ht="15.75" customHeight="1">
      <c r="A23" s="1135">
        <f>A15+1</f>
        <v>3</v>
      </c>
      <c r="B23" s="358" t="s">
        <v>693</v>
      </c>
      <c r="C23" s="1124"/>
      <c r="D23" s="1124"/>
      <c r="E23" s="1124"/>
      <c r="F23" s="1124"/>
      <c r="G23" s="1124"/>
      <c r="H23" s="1124"/>
      <c r="I23" s="1124"/>
      <c r="J23" s="1124"/>
      <c r="K23" s="1124"/>
      <c r="L23" s="1124"/>
      <c r="M23" s="1124"/>
      <c r="N23" s="1125"/>
      <c r="O23" s="462"/>
      <c r="P23" s="1126"/>
      <c r="Q23" s="462"/>
      <c r="R23" s="462"/>
      <c r="S23" s="462"/>
      <c r="T23" s="1113"/>
      <c r="U23" s="1113"/>
      <c r="V23" s="1113"/>
    </row>
    <row r="24" spans="1:22" ht="15.75" customHeight="1">
      <c r="A24" s="1136" t="s">
        <v>95</v>
      </c>
      <c r="B24" s="354" t="s">
        <v>383</v>
      </c>
      <c r="C24" s="1124"/>
      <c r="D24" s="1124"/>
      <c r="E24" s="1124"/>
      <c r="F24" s="1124"/>
      <c r="G24" s="1124"/>
      <c r="H24" s="1124"/>
      <c r="I24" s="1124"/>
      <c r="J24" s="1124"/>
      <c r="K24" s="1124"/>
      <c r="L24" s="1124"/>
      <c r="M24" s="1124"/>
      <c r="N24" s="1125"/>
      <c r="O24" s="462"/>
      <c r="P24" s="1126"/>
      <c r="Q24" s="462"/>
      <c r="R24" s="462"/>
      <c r="S24" s="462"/>
      <c r="T24" s="1113"/>
      <c r="U24" s="1113"/>
      <c r="V24" s="1113"/>
    </row>
    <row r="25" spans="1:22" ht="15.75" customHeight="1">
      <c r="A25" s="1136"/>
      <c r="B25" s="358" t="s">
        <v>1517</v>
      </c>
      <c r="C25" s="1124"/>
      <c r="D25" s="1124"/>
      <c r="E25" s="1124"/>
      <c r="F25" s="1124"/>
      <c r="G25" s="1124"/>
      <c r="H25" s="1124"/>
      <c r="I25" s="1124"/>
      <c r="J25" s="1124"/>
      <c r="K25" s="1124"/>
      <c r="L25" s="1124"/>
      <c r="M25" s="1124"/>
      <c r="N25" s="1125"/>
      <c r="O25" s="462"/>
      <c r="P25" s="1126"/>
      <c r="Q25" s="462"/>
      <c r="R25" s="462"/>
      <c r="S25" s="462"/>
      <c r="T25" s="1113"/>
      <c r="U25" s="1113"/>
      <c r="V25" s="1113"/>
    </row>
    <row r="26" spans="1:22" ht="15.75" customHeight="1">
      <c r="A26" s="1136"/>
      <c r="B26" s="472" t="s">
        <v>226</v>
      </c>
      <c r="C26" s="1124"/>
      <c r="D26" s="1124"/>
      <c r="E26" s="1124"/>
      <c r="F26" s="1124"/>
      <c r="G26" s="1124"/>
      <c r="H26" s="1124"/>
      <c r="I26" s="1124"/>
      <c r="J26" s="1124"/>
      <c r="K26" s="1124"/>
      <c r="L26" s="1124"/>
      <c r="M26" s="1124"/>
      <c r="N26" s="1125"/>
      <c r="O26" s="462"/>
      <c r="P26" s="1126"/>
      <c r="Q26" s="462"/>
      <c r="R26" s="462"/>
      <c r="S26" s="462"/>
      <c r="T26" s="1113"/>
      <c r="U26" s="1113"/>
      <c r="V26" s="1113"/>
    </row>
    <row r="27" spans="1:22" ht="15.75" customHeight="1">
      <c r="A27" s="1136"/>
      <c r="B27" s="1137" t="s">
        <v>1518</v>
      </c>
      <c r="C27" s="1124">
        <v>20</v>
      </c>
      <c r="D27" s="1124"/>
      <c r="E27" s="1124"/>
      <c r="F27" s="1124"/>
      <c r="G27" s="1124"/>
      <c r="H27" s="1124"/>
      <c r="I27" s="1124"/>
      <c r="J27" s="1124"/>
      <c r="K27" s="1124"/>
      <c r="L27" s="1124">
        <v>2</v>
      </c>
      <c r="M27" s="1124">
        <f>C27*L27</f>
        <v>40</v>
      </c>
      <c r="N27" s="1125"/>
      <c r="O27" s="462"/>
      <c r="P27" s="1126"/>
      <c r="Q27" s="462"/>
      <c r="R27" s="462"/>
      <c r="S27" s="462"/>
      <c r="T27" s="1113"/>
      <c r="U27" s="1113"/>
      <c r="V27" s="1113"/>
    </row>
    <row r="28" spans="1:22" ht="15.75" customHeight="1">
      <c r="A28" s="1136"/>
      <c r="B28" s="1137"/>
      <c r="C28" s="1124">
        <v>16</v>
      </c>
      <c r="D28" s="1124"/>
      <c r="E28" s="1124"/>
      <c r="F28" s="1124"/>
      <c r="G28" s="1124"/>
      <c r="H28" s="1124"/>
      <c r="I28" s="1124"/>
      <c r="J28" s="1124"/>
      <c r="K28" s="1124"/>
      <c r="L28" s="1124">
        <v>1</v>
      </c>
      <c r="M28" s="467">
        <f>C28*L28</f>
        <v>16</v>
      </c>
      <c r="N28" s="1125"/>
      <c r="O28" s="462"/>
      <c r="P28" s="1126"/>
      <c r="Q28" s="462"/>
      <c r="R28" s="462"/>
      <c r="S28" s="462"/>
      <c r="T28" s="1113"/>
      <c r="U28" s="1113"/>
      <c r="V28" s="1113"/>
    </row>
    <row r="29" spans="1:22" ht="15.75" customHeight="1">
      <c r="A29" s="1136"/>
      <c r="B29" s="1137" t="s">
        <v>1519</v>
      </c>
      <c r="C29" s="1124">
        <v>3</v>
      </c>
      <c r="D29" s="1124"/>
      <c r="E29" s="1124"/>
      <c r="F29" s="1124"/>
      <c r="G29" s="1124"/>
      <c r="H29" s="1124"/>
      <c r="I29" s="1124"/>
      <c r="J29" s="1124"/>
      <c r="K29" s="1124"/>
      <c r="L29" s="1124">
        <v>5</v>
      </c>
      <c r="M29" s="467">
        <f>C29*L29</f>
        <v>15</v>
      </c>
      <c r="N29" s="1125"/>
      <c r="O29" s="462"/>
      <c r="P29" s="1126"/>
      <c r="Q29" s="462"/>
      <c r="R29" s="462"/>
      <c r="S29" s="462"/>
      <c r="T29" s="1113"/>
      <c r="U29" s="1113"/>
      <c r="V29" s="1113"/>
    </row>
    <row r="30" spans="1:22" ht="15.75" customHeight="1">
      <c r="A30" s="1136"/>
      <c r="B30" s="472" t="s">
        <v>227</v>
      </c>
      <c r="C30" s="1124"/>
      <c r="D30" s="1124"/>
      <c r="E30" s="1124"/>
      <c r="F30" s="1124"/>
      <c r="G30" s="1124"/>
      <c r="H30" s="1124"/>
      <c r="I30" s="1124"/>
      <c r="J30" s="1124"/>
      <c r="K30" s="1124"/>
      <c r="L30" s="1124"/>
      <c r="M30" s="1124"/>
      <c r="N30" s="1125"/>
      <c r="O30" s="462"/>
      <c r="P30" s="1126"/>
      <c r="Q30" s="462"/>
      <c r="R30" s="462"/>
      <c r="S30" s="462"/>
      <c r="T30" s="1113"/>
      <c r="U30" s="1113"/>
      <c r="V30" s="1113"/>
    </row>
    <row r="31" spans="1:22" ht="15.75" customHeight="1">
      <c r="A31" s="1136"/>
      <c r="B31" s="1137" t="s">
        <v>1518</v>
      </c>
      <c r="C31" s="1124">
        <v>10</v>
      </c>
      <c r="D31" s="1124"/>
      <c r="E31" s="1124"/>
      <c r="F31" s="1124"/>
      <c r="G31" s="1124"/>
      <c r="H31" s="1124"/>
      <c r="I31" s="1124"/>
      <c r="J31" s="1124"/>
      <c r="K31" s="1124"/>
      <c r="L31" s="1124">
        <v>5</v>
      </c>
      <c r="M31" s="1124">
        <f>C31*L31</f>
        <v>50</v>
      </c>
      <c r="N31" s="1125"/>
      <c r="O31" s="462"/>
      <c r="P31" s="1126"/>
      <c r="Q31" s="462"/>
      <c r="R31" s="462"/>
      <c r="S31" s="462"/>
      <c r="T31" s="1113"/>
      <c r="U31" s="1113"/>
      <c r="V31" s="1113"/>
    </row>
    <row r="32" spans="1:22" ht="15.75" customHeight="1">
      <c r="A32" s="1136"/>
      <c r="B32" s="1137"/>
      <c r="C32" s="1124">
        <v>5</v>
      </c>
      <c r="D32" s="1124"/>
      <c r="E32" s="1124"/>
      <c r="F32" s="1124"/>
      <c r="G32" s="1124"/>
      <c r="H32" s="1124"/>
      <c r="I32" s="1124"/>
      <c r="J32" s="1124"/>
      <c r="K32" s="1124"/>
      <c r="L32" s="1124">
        <v>1</v>
      </c>
      <c r="M32" s="1124">
        <f>C32*L32</f>
        <v>5</v>
      </c>
      <c r="N32" s="1125"/>
      <c r="O32" s="462"/>
      <c r="P32" s="1126"/>
      <c r="Q32" s="462"/>
      <c r="R32" s="462"/>
      <c r="S32" s="462"/>
      <c r="T32" s="1113"/>
      <c r="U32" s="1113"/>
      <c r="V32" s="1113"/>
    </row>
    <row r="33" spans="1:22" ht="15.75" customHeight="1">
      <c r="A33" s="1136"/>
      <c r="B33" s="1137" t="s">
        <v>1519</v>
      </c>
      <c r="C33" s="1124">
        <f>C31</f>
        <v>10</v>
      </c>
      <c r="D33" s="1124"/>
      <c r="E33" s="1124"/>
      <c r="F33" s="1124"/>
      <c r="G33" s="1124"/>
      <c r="H33" s="1124"/>
      <c r="I33" s="1124"/>
      <c r="J33" s="1124"/>
      <c r="K33" s="1124"/>
      <c r="L33" s="1124">
        <f>L32</f>
        <v>1</v>
      </c>
      <c r="M33" s="1124">
        <f>C33*L33</f>
        <v>10</v>
      </c>
      <c r="N33" s="1125"/>
      <c r="O33" s="462"/>
      <c r="P33" s="1126"/>
      <c r="Q33" s="462"/>
      <c r="R33" s="462"/>
      <c r="S33" s="462"/>
      <c r="T33" s="1113"/>
      <c r="U33" s="1113"/>
      <c r="V33" s="1113"/>
    </row>
    <row r="34" spans="1:22" ht="15.75" customHeight="1">
      <c r="A34" s="1136"/>
      <c r="B34" s="1137"/>
      <c r="C34" s="1124">
        <f>C32</f>
        <v>5</v>
      </c>
      <c r="D34" s="1124"/>
      <c r="E34" s="1124"/>
      <c r="F34" s="1124"/>
      <c r="G34" s="1124"/>
      <c r="H34" s="1124"/>
      <c r="I34" s="1124"/>
      <c r="J34" s="1124"/>
      <c r="K34" s="1124"/>
      <c r="L34" s="1124">
        <f>L33</f>
        <v>1</v>
      </c>
      <c r="M34" s="1138">
        <f>C34*L34</f>
        <v>5</v>
      </c>
      <c r="N34" s="1125"/>
      <c r="O34" s="462"/>
      <c r="P34" s="1126"/>
      <c r="Q34" s="462"/>
      <c r="R34" s="462"/>
      <c r="S34" s="462"/>
      <c r="T34" s="1113"/>
      <c r="U34" s="1113"/>
      <c r="V34" s="1113"/>
    </row>
    <row r="35" spans="1:22" ht="15.75" customHeight="1">
      <c r="A35" s="1136"/>
      <c r="B35" s="358"/>
      <c r="C35" s="1124"/>
      <c r="D35" s="1124"/>
      <c r="E35" s="1124"/>
      <c r="F35" s="1124"/>
      <c r="G35" s="1124"/>
      <c r="H35" s="1124"/>
      <c r="I35" s="1124"/>
      <c r="J35" s="1124"/>
      <c r="K35" s="1124"/>
      <c r="L35" s="1124"/>
      <c r="M35" s="1124">
        <f>SUM(M27:M34)</f>
        <v>141</v>
      </c>
      <c r="N35" s="1125"/>
      <c r="O35" s="462"/>
      <c r="P35" s="1126"/>
      <c r="Q35" s="462"/>
      <c r="R35" s="462"/>
      <c r="S35" s="462"/>
      <c r="T35" s="1113"/>
      <c r="U35" s="1113"/>
      <c r="V35" s="1113"/>
    </row>
    <row r="36" spans="1:22" ht="15.75" customHeight="1">
      <c r="A36" s="1136"/>
      <c r="B36" s="358"/>
      <c r="C36" s="1124"/>
      <c r="D36" s="1124"/>
      <c r="E36" s="1124">
        <v>4</v>
      </c>
      <c r="F36" s="1124"/>
      <c r="G36" s="1124"/>
      <c r="H36" s="1124">
        <v>2</v>
      </c>
      <c r="I36" s="1124"/>
      <c r="J36" s="1124"/>
      <c r="K36" s="1124">
        <f>M35/0.5</f>
        <v>282</v>
      </c>
      <c r="L36" s="1124"/>
      <c r="M36" s="1132">
        <f>E36*H36*K36</f>
        <v>2256</v>
      </c>
      <c r="N36" s="1133" t="s">
        <v>117</v>
      </c>
      <c r="O36" s="462"/>
      <c r="P36" s="1126"/>
      <c r="Q36" s="462"/>
      <c r="R36" s="462"/>
      <c r="S36" s="462"/>
      <c r="T36" s="1113"/>
      <c r="U36" s="1113"/>
      <c r="V36" s="1113"/>
    </row>
    <row r="37" spans="1:22" ht="15.75" customHeight="1">
      <c r="A37" s="1136" t="s">
        <v>98</v>
      </c>
      <c r="B37" s="358" t="s">
        <v>398</v>
      </c>
      <c r="C37" s="1124"/>
      <c r="D37" s="1124"/>
      <c r="E37" s="1124"/>
      <c r="F37" s="1124"/>
      <c r="G37" s="1124"/>
      <c r="H37" s="1124"/>
      <c r="I37" s="1124"/>
      <c r="J37" s="1124"/>
      <c r="K37" s="1124"/>
      <c r="L37" s="1124"/>
      <c r="M37" s="1124"/>
      <c r="N37" s="1125"/>
      <c r="O37" s="462"/>
      <c r="P37" s="1126"/>
      <c r="Q37" s="462"/>
      <c r="R37" s="462"/>
      <c r="S37" s="462"/>
      <c r="T37" s="1113"/>
      <c r="U37" s="1113"/>
      <c r="V37" s="1113"/>
    </row>
    <row r="38" spans="1:22" ht="15.75" customHeight="1">
      <c r="A38" s="1136"/>
      <c r="B38" s="472" t="str">
        <f>B26</f>
        <v>horisontal</v>
      </c>
      <c r="C38" s="1124"/>
      <c r="D38" s="1124"/>
      <c r="E38" s="1124"/>
      <c r="F38" s="1124"/>
      <c r="G38" s="1124"/>
      <c r="H38" s="1124"/>
      <c r="I38" s="1124"/>
      <c r="J38" s="1124"/>
      <c r="K38" s="1124"/>
      <c r="L38" s="1124"/>
      <c r="M38" s="1124"/>
      <c r="N38" s="1125"/>
      <c r="O38" s="462"/>
      <c r="P38" s="1126"/>
      <c r="Q38" s="462"/>
      <c r="R38" s="462"/>
      <c r="S38" s="462"/>
      <c r="T38" s="1113"/>
      <c r="U38" s="1113"/>
      <c r="V38" s="1113"/>
    </row>
    <row r="39" spans="1:22" ht="15.75" customHeight="1">
      <c r="A39" s="1136"/>
      <c r="B39" s="1137" t="str">
        <f>B27</f>
        <v>L=0,8</v>
      </c>
      <c r="C39" s="1124">
        <f>C27</f>
        <v>20</v>
      </c>
      <c r="D39" s="1124">
        <v>0.8</v>
      </c>
      <c r="E39" s="1124">
        <v>0.9</v>
      </c>
      <c r="F39" s="1124"/>
      <c r="G39" s="1124"/>
      <c r="H39" s="1124"/>
      <c r="I39" s="1124"/>
      <c r="J39" s="1124"/>
      <c r="K39" s="1124"/>
      <c r="L39" s="1124">
        <f>L27</f>
        <v>2</v>
      </c>
      <c r="M39" s="1124">
        <f>C39*D39*E39*L39</f>
        <v>28.8</v>
      </c>
      <c r="N39" s="1125"/>
      <c r="O39" s="462"/>
      <c r="P39" s="1126"/>
      <c r="Q39" s="462"/>
      <c r="R39" s="462"/>
      <c r="S39" s="462"/>
      <c r="T39" s="1113"/>
      <c r="U39" s="1113"/>
      <c r="V39" s="1113"/>
    </row>
    <row r="40" spans="1:22" ht="15.75" customHeight="1">
      <c r="A40" s="1136"/>
      <c r="B40" s="1137"/>
      <c r="C40" s="1124">
        <f>C28</f>
        <v>16</v>
      </c>
      <c r="D40" s="1124">
        <f>D39</f>
        <v>0.8</v>
      </c>
      <c r="E40" s="1124">
        <f>E39</f>
        <v>0.9</v>
      </c>
      <c r="F40" s="1124"/>
      <c r="G40" s="1124"/>
      <c r="H40" s="1124"/>
      <c r="I40" s="1124"/>
      <c r="J40" s="1124"/>
      <c r="K40" s="1124"/>
      <c r="L40" s="1124">
        <f>L28</f>
        <v>1</v>
      </c>
      <c r="M40" s="467">
        <f>C40*D40*E40*L40</f>
        <v>11.520000000000001</v>
      </c>
      <c r="N40" s="1125"/>
      <c r="O40" s="462"/>
      <c r="P40" s="1126"/>
      <c r="Q40" s="462"/>
      <c r="R40" s="462"/>
      <c r="S40" s="462"/>
      <c r="T40" s="1113"/>
      <c r="U40" s="1113"/>
      <c r="V40" s="1113"/>
    </row>
    <row r="41" spans="1:22" ht="15.75" customHeight="1">
      <c r="A41" s="1136"/>
      <c r="B41" s="1137" t="str">
        <f>B29</f>
        <v>L=0,6</v>
      </c>
      <c r="C41" s="1124">
        <f>C29</f>
        <v>3</v>
      </c>
      <c r="D41" s="1124">
        <v>0.6</v>
      </c>
      <c r="E41" s="1124">
        <v>0.7</v>
      </c>
      <c r="F41" s="1124"/>
      <c r="G41" s="1124"/>
      <c r="H41" s="1124"/>
      <c r="I41" s="1124"/>
      <c r="J41" s="1124"/>
      <c r="K41" s="1124"/>
      <c r="L41" s="1124">
        <f>L29</f>
        <v>5</v>
      </c>
      <c r="M41" s="467">
        <f>C41*D41*E41*L41</f>
        <v>6.2999999999999989</v>
      </c>
      <c r="N41" s="1125"/>
      <c r="O41" s="462"/>
      <c r="P41" s="1126"/>
      <c r="Q41" s="462"/>
      <c r="R41" s="462"/>
      <c r="S41" s="462"/>
      <c r="T41" s="1113"/>
      <c r="U41" s="1113"/>
      <c r="V41" s="1113"/>
    </row>
    <row r="42" spans="1:22" ht="15.75" customHeight="1">
      <c r="A42" s="1136"/>
      <c r="B42" s="472" t="str">
        <f>B30</f>
        <v>vertikal</v>
      </c>
      <c r="C42" s="1124"/>
      <c r="D42" s="1124"/>
      <c r="E42" s="1124"/>
      <c r="F42" s="1124"/>
      <c r="G42" s="1124"/>
      <c r="H42" s="1124"/>
      <c r="I42" s="1124"/>
      <c r="J42" s="1124"/>
      <c r="K42" s="1124"/>
      <c r="L42" s="1124"/>
      <c r="M42" s="1124"/>
      <c r="N42" s="1125"/>
      <c r="O42" s="462"/>
      <c r="P42" s="1126"/>
      <c r="Q42" s="462"/>
      <c r="R42" s="462"/>
      <c r="S42" s="462"/>
      <c r="T42" s="1113"/>
      <c r="U42" s="1113"/>
      <c r="V42" s="1113"/>
    </row>
    <row r="43" spans="1:22" ht="15.75" customHeight="1">
      <c r="A43" s="1136"/>
      <c r="B43" s="1137" t="str">
        <f>B31</f>
        <v>L=0,8</v>
      </c>
      <c r="C43" s="1124">
        <f>C31</f>
        <v>10</v>
      </c>
      <c r="D43" s="1124">
        <f>D40</f>
        <v>0.8</v>
      </c>
      <c r="E43" s="1124">
        <f>E40</f>
        <v>0.9</v>
      </c>
      <c r="F43" s="1124"/>
      <c r="G43" s="1124"/>
      <c r="H43" s="1124"/>
      <c r="I43" s="1124"/>
      <c r="J43" s="1124"/>
      <c r="K43" s="1124"/>
      <c r="L43" s="1124">
        <f>L31</f>
        <v>5</v>
      </c>
      <c r="M43" s="1124">
        <f>C43*D43*E43*L43</f>
        <v>36</v>
      </c>
      <c r="N43" s="1125"/>
      <c r="O43" s="462"/>
      <c r="P43" s="1126"/>
      <c r="Q43" s="462"/>
      <c r="R43" s="462"/>
      <c r="S43" s="462"/>
      <c r="T43" s="1113"/>
      <c r="U43" s="1113"/>
      <c r="V43" s="1113"/>
    </row>
    <row r="44" spans="1:22" ht="15.75" customHeight="1">
      <c r="A44" s="1136"/>
      <c r="B44" s="1137"/>
      <c r="C44" s="1124">
        <f>C32</f>
        <v>5</v>
      </c>
      <c r="D44" s="1124">
        <f>D43</f>
        <v>0.8</v>
      </c>
      <c r="E44" s="1124">
        <f>E43</f>
        <v>0.9</v>
      </c>
      <c r="F44" s="1124"/>
      <c r="G44" s="1124"/>
      <c r="H44" s="1124"/>
      <c r="I44" s="1124"/>
      <c r="J44" s="1124"/>
      <c r="K44" s="1124"/>
      <c r="L44" s="1124">
        <f>L32</f>
        <v>1</v>
      </c>
      <c r="M44" s="1124">
        <f>C44*D44*E44*L44</f>
        <v>3.6</v>
      </c>
      <c r="N44" s="1125"/>
      <c r="O44" s="462"/>
      <c r="P44" s="1126"/>
      <c r="Q44" s="462"/>
      <c r="R44" s="462"/>
      <c r="S44" s="462"/>
      <c r="T44" s="1113"/>
      <c r="U44" s="1113"/>
      <c r="V44" s="1113"/>
    </row>
    <row r="45" spans="1:22" ht="15.75" customHeight="1">
      <c r="A45" s="1136"/>
      <c r="B45" s="1137" t="str">
        <f>B33</f>
        <v>L=0,6</v>
      </c>
      <c r="C45" s="1124">
        <f>C33</f>
        <v>10</v>
      </c>
      <c r="D45" s="1124">
        <f>D41</f>
        <v>0.6</v>
      </c>
      <c r="E45" s="1124">
        <f>E41</f>
        <v>0.7</v>
      </c>
      <c r="F45" s="1124"/>
      <c r="G45" s="1124"/>
      <c r="H45" s="1124"/>
      <c r="I45" s="1124"/>
      <c r="J45" s="1124"/>
      <c r="K45" s="1124"/>
      <c r="L45" s="1124">
        <f>L33</f>
        <v>1</v>
      </c>
      <c r="M45" s="1124">
        <f>C45*D45*E45*L45</f>
        <v>4.1999999999999993</v>
      </c>
      <c r="N45" s="1125"/>
      <c r="O45" s="462"/>
      <c r="P45" s="1126"/>
      <c r="Q45" s="462"/>
      <c r="R45" s="462"/>
      <c r="S45" s="462"/>
      <c r="T45" s="1113"/>
      <c r="U45" s="1113"/>
      <c r="V45" s="1113"/>
    </row>
    <row r="46" spans="1:22" ht="15.75" customHeight="1">
      <c r="A46" s="1136"/>
      <c r="B46" s="1137"/>
      <c r="C46" s="1124">
        <f>C34</f>
        <v>5</v>
      </c>
      <c r="D46" s="1124">
        <f>D45</f>
        <v>0.6</v>
      </c>
      <c r="E46" s="1124">
        <f>E45</f>
        <v>0.7</v>
      </c>
      <c r="F46" s="1124"/>
      <c r="G46" s="1124"/>
      <c r="H46" s="1124"/>
      <c r="I46" s="1124"/>
      <c r="J46" s="1124"/>
      <c r="K46" s="1124"/>
      <c r="L46" s="1124">
        <f>L34</f>
        <v>1</v>
      </c>
      <c r="M46" s="1138">
        <f>C46*D46*E46*L46</f>
        <v>2.0999999999999996</v>
      </c>
      <c r="N46" s="1125"/>
      <c r="O46" s="462"/>
      <c r="P46" s="1126"/>
      <c r="Q46" s="462"/>
      <c r="R46" s="462"/>
      <c r="S46" s="462"/>
      <c r="T46" s="1113"/>
      <c r="U46" s="1113"/>
      <c r="V46" s="1113"/>
    </row>
    <row r="47" spans="1:22" ht="15.75" customHeight="1">
      <c r="A47" s="1136"/>
      <c r="B47" s="1137"/>
      <c r="C47" s="1124"/>
      <c r="D47" s="1124"/>
      <c r="E47" s="1124"/>
      <c r="F47" s="1124"/>
      <c r="G47" s="1124"/>
      <c r="H47" s="1124"/>
      <c r="I47" s="1124"/>
      <c r="J47" s="1124"/>
      <c r="K47" s="1124"/>
      <c r="L47" s="1124"/>
      <c r="M47" s="1132">
        <f>SUM(M39:M46)</f>
        <v>92.52</v>
      </c>
      <c r="N47" s="1133" t="s">
        <v>103</v>
      </c>
      <c r="O47" s="462"/>
      <c r="P47" s="1126"/>
      <c r="Q47" s="462"/>
      <c r="R47" s="462"/>
      <c r="S47" s="462"/>
      <c r="T47" s="1113"/>
      <c r="U47" s="1113"/>
      <c r="V47" s="1113"/>
    </row>
    <row r="48" spans="1:22" ht="15.75" customHeight="1">
      <c r="A48" s="1136" t="s">
        <v>101</v>
      </c>
      <c r="B48" s="358" t="s">
        <v>896</v>
      </c>
      <c r="C48" s="1124"/>
      <c r="D48" s="1124"/>
      <c r="E48" s="1124"/>
      <c r="F48" s="1124"/>
      <c r="G48" s="1124"/>
      <c r="H48" s="1124"/>
      <c r="I48" s="1124"/>
      <c r="J48" s="1124"/>
      <c r="K48" s="1124"/>
      <c r="L48" s="1124"/>
      <c r="M48" s="1124"/>
      <c r="N48" s="1125"/>
      <c r="O48" s="462"/>
      <c r="P48" s="1126"/>
      <c r="Q48" s="462"/>
      <c r="R48" s="462"/>
      <c r="S48" s="462"/>
      <c r="T48" s="1113"/>
      <c r="U48" s="1113"/>
      <c r="V48" s="1113"/>
    </row>
    <row r="49" spans="1:22" ht="15.75" customHeight="1">
      <c r="A49" s="1136"/>
      <c r="B49" s="472" t="str">
        <f>B38</f>
        <v>horisontal</v>
      </c>
      <c r="C49" s="1124"/>
      <c r="D49" s="1124"/>
      <c r="E49" s="1124"/>
      <c r="F49" s="1124"/>
      <c r="G49" s="1124"/>
      <c r="H49" s="1124"/>
      <c r="I49" s="1124"/>
      <c r="J49" s="1124"/>
      <c r="K49" s="1124"/>
      <c r="L49" s="1124"/>
      <c r="M49" s="1124"/>
      <c r="N49" s="1125"/>
      <c r="O49" s="462"/>
      <c r="P49" s="1126"/>
      <c r="Q49" s="462"/>
      <c r="R49" s="462"/>
      <c r="S49" s="462"/>
      <c r="T49" s="1113"/>
      <c r="U49" s="1113"/>
      <c r="V49" s="1113"/>
    </row>
    <row r="50" spans="1:22" ht="15.75" customHeight="1">
      <c r="A50" s="1136"/>
      <c r="B50" s="1137" t="str">
        <f>B39</f>
        <v>L=0,8</v>
      </c>
      <c r="C50" s="1124">
        <f t="shared" ref="C50:D52" si="1">C39</f>
        <v>20</v>
      </c>
      <c r="D50" s="1124">
        <f t="shared" si="1"/>
        <v>0.8</v>
      </c>
      <c r="E50" s="1124">
        <v>7.0000000000000007E-2</v>
      </c>
      <c r="F50" s="1124"/>
      <c r="G50" s="1124"/>
      <c r="H50" s="1124"/>
      <c r="I50" s="1124"/>
      <c r="J50" s="1124"/>
      <c r="K50" s="1124"/>
      <c r="L50" s="1124">
        <f>L39</f>
        <v>2</v>
      </c>
      <c r="M50" s="1124">
        <f>C50*D50*E50*L50</f>
        <v>2.2400000000000002</v>
      </c>
      <c r="N50" s="1125"/>
      <c r="O50" s="462"/>
      <c r="P50" s="1126"/>
      <c r="Q50" s="462"/>
      <c r="R50" s="462"/>
      <c r="S50" s="462"/>
      <c r="T50" s="1113"/>
      <c r="U50" s="1113"/>
      <c r="V50" s="1113"/>
    </row>
    <row r="51" spans="1:22" ht="15.75" customHeight="1">
      <c r="A51" s="1136"/>
      <c r="B51" s="1137"/>
      <c r="C51" s="1124">
        <f t="shared" si="1"/>
        <v>16</v>
      </c>
      <c r="D51" s="1124">
        <f t="shared" si="1"/>
        <v>0.8</v>
      </c>
      <c r="E51" s="1124">
        <f>E50</f>
        <v>7.0000000000000007E-2</v>
      </c>
      <c r="F51" s="1124"/>
      <c r="G51" s="1124"/>
      <c r="H51" s="1124"/>
      <c r="I51" s="1124"/>
      <c r="J51" s="1124"/>
      <c r="K51" s="1124"/>
      <c r="L51" s="1124">
        <f>L40</f>
        <v>1</v>
      </c>
      <c r="M51" s="467">
        <f>C51*D51*E51*L51</f>
        <v>0.89600000000000013</v>
      </c>
      <c r="N51" s="1125"/>
      <c r="O51" s="462"/>
      <c r="P51" s="1126"/>
      <c r="Q51" s="462"/>
      <c r="R51" s="462"/>
      <c r="S51" s="462"/>
      <c r="T51" s="1113"/>
      <c r="U51" s="1113"/>
      <c r="V51" s="1113"/>
    </row>
    <row r="52" spans="1:22" ht="15.75" customHeight="1">
      <c r="A52" s="1136"/>
      <c r="B52" s="1137" t="str">
        <f>B41</f>
        <v>L=0,6</v>
      </c>
      <c r="C52" s="1124">
        <f t="shared" si="1"/>
        <v>3</v>
      </c>
      <c r="D52" s="1124">
        <f t="shared" si="1"/>
        <v>0.6</v>
      </c>
      <c r="E52" s="1124">
        <f>E51</f>
        <v>7.0000000000000007E-2</v>
      </c>
      <c r="F52" s="1124"/>
      <c r="G52" s="1124"/>
      <c r="H52" s="1124"/>
      <c r="I52" s="1124"/>
      <c r="J52" s="1124"/>
      <c r="K52" s="1124"/>
      <c r="L52" s="1124">
        <f>L41</f>
        <v>5</v>
      </c>
      <c r="M52" s="467">
        <f>C52*D52*E52*L52</f>
        <v>0.63</v>
      </c>
      <c r="N52" s="1125"/>
      <c r="O52" s="462"/>
      <c r="P52" s="1126"/>
      <c r="Q52" s="462"/>
      <c r="R52" s="462"/>
      <c r="S52" s="462"/>
      <c r="T52" s="1113"/>
      <c r="U52" s="1113"/>
      <c r="V52" s="1113"/>
    </row>
    <row r="53" spans="1:22" ht="15.75" customHeight="1">
      <c r="A53" s="1136"/>
      <c r="B53" s="472" t="str">
        <f>B42</f>
        <v>vertikal</v>
      </c>
      <c r="C53" s="1124"/>
      <c r="D53" s="1124"/>
      <c r="E53" s="1124"/>
      <c r="F53" s="1124"/>
      <c r="G53" s="1124"/>
      <c r="H53" s="1124"/>
      <c r="I53" s="1124"/>
      <c r="J53" s="1124"/>
      <c r="K53" s="1124"/>
      <c r="L53" s="1124"/>
      <c r="M53" s="1124"/>
      <c r="N53" s="1125"/>
      <c r="O53" s="462"/>
      <c r="P53" s="1126"/>
      <c r="Q53" s="462"/>
      <c r="R53" s="462"/>
      <c r="S53" s="462"/>
      <c r="T53" s="1113"/>
      <c r="U53" s="1113"/>
      <c r="V53" s="1113"/>
    </row>
    <row r="54" spans="1:22" ht="15.75" customHeight="1">
      <c r="A54" s="1136"/>
      <c r="B54" s="1137" t="str">
        <f>B43</f>
        <v>L=0,8</v>
      </c>
      <c r="C54" s="1124">
        <f t="shared" ref="C54:D57" si="2">C43</f>
        <v>10</v>
      </c>
      <c r="D54" s="1124">
        <f t="shared" si="2"/>
        <v>0.8</v>
      </c>
      <c r="E54" s="1124">
        <f>E51</f>
        <v>7.0000000000000007E-2</v>
      </c>
      <c r="F54" s="1124"/>
      <c r="G54" s="1124"/>
      <c r="H54" s="1124"/>
      <c r="I54" s="1124"/>
      <c r="J54" s="1124"/>
      <c r="K54" s="1124"/>
      <c r="L54" s="1124">
        <f>L43</f>
        <v>5</v>
      </c>
      <c r="M54" s="1124">
        <f>C54*D54*E54*L54</f>
        <v>2.8000000000000003</v>
      </c>
      <c r="N54" s="1125"/>
      <c r="O54" s="462"/>
      <c r="P54" s="1126"/>
      <c r="Q54" s="462"/>
      <c r="R54" s="462"/>
      <c r="S54" s="462"/>
      <c r="T54" s="1113"/>
      <c r="U54" s="1113"/>
      <c r="V54" s="1113"/>
    </row>
    <row r="55" spans="1:22" ht="15.75" customHeight="1">
      <c r="A55" s="1136"/>
      <c r="B55" s="1137"/>
      <c r="C55" s="1124">
        <f t="shared" si="2"/>
        <v>5</v>
      </c>
      <c r="D55" s="1124">
        <f t="shared" si="2"/>
        <v>0.8</v>
      </c>
      <c r="E55" s="1124">
        <f>E54</f>
        <v>7.0000000000000007E-2</v>
      </c>
      <c r="F55" s="1124"/>
      <c r="G55" s="1124"/>
      <c r="H55" s="1124"/>
      <c r="I55" s="1124"/>
      <c r="J55" s="1124"/>
      <c r="K55" s="1124"/>
      <c r="L55" s="1124">
        <f>L44</f>
        <v>1</v>
      </c>
      <c r="M55" s="1124">
        <f>C55*D55*E55*L55</f>
        <v>0.28000000000000003</v>
      </c>
      <c r="N55" s="1125"/>
      <c r="O55" s="462"/>
      <c r="P55" s="1126"/>
      <c r="Q55" s="462"/>
      <c r="R55" s="462"/>
      <c r="S55" s="462"/>
      <c r="T55" s="1113"/>
      <c r="U55" s="1113"/>
      <c r="V55" s="1113"/>
    </row>
    <row r="56" spans="1:22" ht="15.75" customHeight="1">
      <c r="A56" s="1136"/>
      <c r="B56" s="1137" t="str">
        <f>B45</f>
        <v>L=0,6</v>
      </c>
      <c r="C56" s="1124">
        <f t="shared" si="2"/>
        <v>10</v>
      </c>
      <c r="D56" s="1124">
        <f t="shared" si="2"/>
        <v>0.6</v>
      </c>
      <c r="E56" s="1124">
        <f>E55</f>
        <v>7.0000000000000007E-2</v>
      </c>
      <c r="F56" s="1124"/>
      <c r="G56" s="1124"/>
      <c r="H56" s="1124"/>
      <c r="I56" s="1124"/>
      <c r="J56" s="1124"/>
      <c r="K56" s="1124"/>
      <c r="L56" s="1124">
        <f>L45</f>
        <v>1</v>
      </c>
      <c r="M56" s="1124">
        <f>C56*D56*E56*L56</f>
        <v>0.42000000000000004</v>
      </c>
      <c r="N56" s="1125"/>
      <c r="O56" s="462"/>
      <c r="P56" s="1126"/>
      <c r="Q56" s="462"/>
      <c r="R56" s="462"/>
      <c r="S56" s="462"/>
      <c r="T56" s="1113"/>
      <c r="U56" s="1113"/>
      <c r="V56" s="1113"/>
    </row>
    <row r="57" spans="1:22" ht="15.75" customHeight="1">
      <c r="A57" s="1136"/>
      <c r="B57" s="358"/>
      <c r="C57" s="1124">
        <f t="shared" si="2"/>
        <v>5</v>
      </c>
      <c r="D57" s="1124">
        <f t="shared" si="2"/>
        <v>0.6</v>
      </c>
      <c r="E57" s="1124">
        <f>E56</f>
        <v>7.0000000000000007E-2</v>
      </c>
      <c r="F57" s="1124"/>
      <c r="G57" s="1124"/>
      <c r="H57" s="1124"/>
      <c r="I57" s="1124"/>
      <c r="J57" s="1124"/>
      <c r="K57" s="1124"/>
      <c r="L57" s="1124">
        <f>L46</f>
        <v>1</v>
      </c>
      <c r="M57" s="1138">
        <f>C57*D57*E57*L57</f>
        <v>0.21000000000000002</v>
      </c>
      <c r="N57" s="1125"/>
      <c r="O57" s="462"/>
      <c r="P57" s="1126"/>
      <c r="Q57" s="462"/>
      <c r="R57" s="462"/>
      <c r="S57" s="462"/>
      <c r="T57" s="1113"/>
      <c r="U57" s="1113"/>
      <c r="V57" s="1113"/>
    </row>
    <row r="58" spans="1:22" ht="15.75" customHeight="1">
      <c r="A58" s="1136"/>
      <c r="B58" s="358"/>
      <c r="C58" s="1124"/>
      <c r="D58" s="1124"/>
      <c r="E58" s="1124"/>
      <c r="F58" s="1124"/>
      <c r="G58" s="1124"/>
      <c r="H58" s="1124"/>
      <c r="I58" s="1124"/>
      <c r="J58" s="1124"/>
      <c r="K58" s="1124"/>
      <c r="L58" s="1124"/>
      <c r="M58" s="1132">
        <f>SUM(M50:M57)</f>
        <v>7.4760000000000009</v>
      </c>
      <c r="N58" s="1133" t="s">
        <v>103</v>
      </c>
      <c r="O58" s="462"/>
      <c r="P58" s="1126"/>
      <c r="Q58" s="462"/>
      <c r="R58" s="462"/>
      <c r="S58" s="462"/>
      <c r="T58" s="1113"/>
      <c r="U58" s="1113"/>
      <c r="V58" s="1113"/>
    </row>
    <row r="59" spans="1:22" ht="15.75" customHeight="1">
      <c r="A59" s="1136" t="s">
        <v>121</v>
      </c>
      <c r="B59" s="358" t="s">
        <v>400</v>
      </c>
      <c r="C59" s="1124"/>
      <c r="D59" s="1124"/>
      <c r="E59" s="1124"/>
      <c r="F59" s="1124"/>
      <c r="G59" s="1124"/>
      <c r="H59" s="1124"/>
      <c r="I59" s="1124"/>
      <c r="J59" s="1124"/>
      <c r="K59" s="1124"/>
      <c r="L59" s="1124"/>
      <c r="M59" s="1124"/>
      <c r="N59" s="1125"/>
      <c r="O59" s="462"/>
      <c r="P59" s="1126"/>
      <c r="Q59" s="462"/>
      <c r="R59" s="462"/>
      <c r="S59" s="462"/>
      <c r="T59" s="1113"/>
      <c r="U59" s="1113"/>
      <c r="V59" s="1113"/>
    </row>
    <row r="60" spans="1:22" ht="15.75" customHeight="1">
      <c r="A60" s="1136"/>
      <c r="B60" s="472" t="str">
        <f>B49</f>
        <v>horisontal</v>
      </c>
      <c r="C60" s="1124"/>
      <c r="D60" s="1124"/>
      <c r="E60" s="1124"/>
      <c r="F60" s="1124"/>
      <c r="G60" s="1124"/>
      <c r="H60" s="1124"/>
      <c r="I60" s="1124"/>
      <c r="J60" s="1124"/>
      <c r="K60" s="1124"/>
      <c r="L60" s="1124"/>
      <c r="M60" s="1124"/>
      <c r="N60" s="1125"/>
      <c r="O60" s="462"/>
      <c r="P60" s="1126"/>
      <c r="Q60" s="462"/>
      <c r="R60" s="462"/>
      <c r="S60" s="462"/>
      <c r="T60" s="1113"/>
      <c r="U60" s="1113"/>
      <c r="V60" s="1113"/>
    </row>
    <row r="61" spans="1:22" ht="15.75" customHeight="1">
      <c r="A61" s="1136"/>
      <c r="B61" s="1137" t="str">
        <f>B50</f>
        <v>L=0,8</v>
      </c>
      <c r="C61" s="1124">
        <f t="shared" ref="C61:D63" si="3">C50</f>
        <v>20</v>
      </c>
      <c r="D61" s="1124">
        <f t="shared" si="3"/>
        <v>0.8</v>
      </c>
      <c r="E61" s="1124">
        <v>0.03</v>
      </c>
      <c r="F61" s="1124"/>
      <c r="G61" s="1124"/>
      <c r="H61" s="1124"/>
      <c r="I61" s="1124"/>
      <c r="J61" s="1124"/>
      <c r="K61" s="1124"/>
      <c r="L61" s="1124">
        <f>L50</f>
        <v>2</v>
      </c>
      <c r="M61" s="1124">
        <f>C61*D61*E61*L61</f>
        <v>0.96</v>
      </c>
      <c r="N61" s="1125"/>
      <c r="O61" s="462"/>
      <c r="P61" s="1126"/>
      <c r="Q61" s="462"/>
      <c r="R61" s="462"/>
      <c r="S61" s="462"/>
      <c r="T61" s="1113"/>
      <c r="U61" s="1113"/>
      <c r="V61" s="1113"/>
    </row>
    <row r="62" spans="1:22" ht="15.75" customHeight="1">
      <c r="A62" s="1136"/>
      <c r="B62" s="1137"/>
      <c r="C62" s="1124">
        <f t="shared" si="3"/>
        <v>16</v>
      </c>
      <c r="D62" s="1124">
        <f t="shared" si="3"/>
        <v>0.8</v>
      </c>
      <c r="E62" s="1124">
        <f>E61</f>
        <v>0.03</v>
      </c>
      <c r="F62" s="1124"/>
      <c r="G62" s="1124"/>
      <c r="H62" s="1124"/>
      <c r="I62" s="1124"/>
      <c r="J62" s="1124"/>
      <c r="K62" s="1124"/>
      <c r="L62" s="1124">
        <f>L51</f>
        <v>1</v>
      </c>
      <c r="M62" s="467">
        <f>C62*D62*E62*L62</f>
        <v>0.38400000000000001</v>
      </c>
      <c r="N62" s="1125"/>
      <c r="O62" s="462"/>
      <c r="P62" s="1126"/>
      <c r="Q62" s="462"/>
      <c r="R62" s="462"/>
      <c r="S62" s="462"/>
      <c r="T62" s="1113"/>
      <c r="U62" s="1113"/>
      <c r="V62" s="1113"/>
    </row>
    <row r="63" spans="1:22" ht="15.75" customHeight="1">
      <c r="A63" s="1136"/>
      <c r="B63" s="1137" t="str">
        <f>B52</f>
        <v>L=0,6</v>
      </c>
      <c r="C63" s="1124">
        <f t="shared" si="3"/>
        <v>3</v>
      </c>
      <c r="D63" s="1124">
        <f t="shared" si="3"/>
        <v>0.6</v>
      </c>
      <c r="E63" s="1124">
        <f>E62</f>
        <v>0.03</v>
      </c>
      <c r="F63" s="1124"/>
      <c r="G63" s="1124"/>
      <c r="H63" s="1124"/>
      <c r="I63" s="1124"/>
      <c r="J63" s="1124"/>
      <c r="K63" s="1124"/>
      <c r="L63" s="1124">
        <f>L52</f>
        <v>5</v>
      </c>
      <c r="M63" s="467">
        <f>C63*D63*E63*L63</f>
        <v>0.26999999999999996</v>
      </c>
      <c r="N63" s="1125"/>
      <c r="O63" s="462"/>
      <c r="P63" s="1126"/>
      <c r="Q63" s="462"/>
      <c r="R63" s="462"/>
      <c r="S63" s="462"/>
      <c r="T63" s="1113"/>
      <c r="U63" s="1113"/>
      <c r="V63" s="1113"/>
    </row>
    <row r="64" spans="1:22" ht="15.75" customHeight="1">
      <c r="A64" s="1136"/>
      <c r="B64" s="472" t="str">
        <f>B53</f>
        <v>vertikal</v>
      </c>
      <c r="C64" s="1124"/>
      <c r="D64" s="1124"/>
      <c r="E64" s="1124"/>
      <c r="F64" s="1124"/>
      <c r="G64" s="1124"/>
      <c r="H64" s="1124"/>
      <c r="I64" s="1124"/>
      <c r="J64" s="1124"/>
      <c r="K64" s="1124"/>
      <c r="L64" s="1124"/>
      <c r="M64" s="1124"/>
      <c r="N64" s="1125"/>
      <c r="O64" s="462"/>
      <c r="P64" s="1126"/>
      <c r="Q64" s="462"/>
      <c r="R64" s="462"/>
      <c r="S64" s="462"/>
      <c r="T64" s="1113"/>
      <c r="U64" s="1113"/>
      <c r="V64" s="1113"/>
    </row>
    <row r="65" spans="1:22" ht="15.75" customHeight="1">
      <c r="A65" s="1136"/>
      <c r="B65" s="1137" t="str">
        <f>B54</f>
        <v>L=0,8</v>
      </c>
      <c r="C65" s="1124">
        <f t="shared" ref="C65:D68" si="4">C54</f>
        <v>10</v>
      </c>
      <c r="D65" s="1124">
        <f t="shared" si="4"/>
        <v>0.8</v>
      </c>
      <c r="E65" s="1124">
        <f>E62</f>
        <v>0.03</v>
      </c>
      <c r="F65" s="1124"/>
      <c r="G65" s="1124"/>
      <c r="H65" s="1124"/>
      <c r="I65" s="1124"/>
      <c r="J65" s="1124"/>
      <c r="K65" s="1124"/>
      <c r="L65" s="1124">
        <f>L54</f>
        <v>5</v>
      </c>
      <c r="M65" s="1124">
        <f>C65*D65*E65*L65</f>
        <v>1.2</v>
      </c>
      <c r="N65" s="1125"/>
      <c r="O65" s="462"/>
      <c r="P65" s="1126"/>
      <c r="Q65" s="462"/>
      <c r="R65" s="462"/>
      <c r="S65" s="462"/>
      <c r="T65" s="1113"/>
      <c r="U65" s="1113"/>
      <c r="V65" s="1113"/>
    </row>
    <row r="66" spans="1:22" ht="15.75" customHeight="1">
      <c r="A66" s="1136"/>
      <c r="B66" s="1137"/>
      <c r="C66" s="1124">
        <f t="shared" si="4"/>
        <v>5</v>
      </c>
      <c r="D66" s="1124">
        <f t="shared" si="4"/>
        <v>0.8</v>
      </c>
      <c r="E66" s="1124">
        <f>E65</f>
        <v>0.03</v>
      </c>
      <c r="F66" s="1124"/>
      <c r="G66" s="1124"/>
      <c r="H66" s="1124"/>
      <c r="I66" s="1124"/>
      <c r="J66" s="1124"/>
      <c r="K66" s="1124"/>
      <c r="L66" s="1124">
        <f>L55</f>
        <v>1</v>
      </c>
      <c r="M66" s="1124">
        <f>C66*D66*E66*L66</f>
        <v>0.12</v>
      </c>
      <c r="N66" s="1125"/>
      <c r="O66" s="462"/>
      <c r="P66" s="1126"/>
      <c r="Q66" s="462"/>
      <c r="R66" s="462"/>
      <c r="S66" s="462"/>
      <c r="T66" s="1113"/>
      <c r="U66" s="1113"/>
      <c r="V66" s="1113"/>
    </row>
    <row r="67" spans="1:22" ht="15.75" customHeight="1">
      <c r="A67" s="1136"/>
      <c r="B67" s="1137" t="str">
        <f>B56</f>
        <v>L=0,6</v>
      </c>
      <c r="C67" s="1124">
        <f t="shared" si="4"/>
        <v>10</v>
      </c>
      <c r="D67" s="1124">
        <f t="shared" si="4"/>
        <v>0.6</v>
      </c>
      <c r="E67" s="1124">
        <f>E66</f>
        <v>0.03</v>
      </c>
      <c r="F67" s="1124"/>
      <c r="G67" s="1124"/>
      <c r="H67" s="1124"/>
      <c r="I67" s="1124"/>
      <c r="J67" s="1124"/>
      <c r="K67" s="1124"/>
      <c r="L67" s="1124">
        <f>L56</f>
        <v>1</v>
      </c>
      <c r="M67" s="1124">
        <f>C67*D67*E67*L67</f>
        <v>0.18</v>
      </c>
      <c r="N67" s="1125"/>
      <c r="O67" s="462"/>
      <c r="P67" s="1126"/>
      <c r="Q67" s="462"/>
      <c r="R67" s="462"/>
      <c r="S67" s="462"/>
      <c r="T67" s="1113"/>
      <c r="U67" s="1113"/>
      <c r="V67" s="1113"/>
    </row>
    <row r="68" spans="1:22" ht="15.75" customHeight="1">
      <c r="A68" s="1136"/>
      <c r="B68" s="358"/>
      <c r="C68" s="1124">
        <f t="shared" si="4"/>
        <v>5</v>
      </c>
      <c r="D68" s="1124">
        <f t="shared" si="4"/>
        <v>0.6</v>
      </c>
      <c r="E68" s="1124">
        <f>E67</f>
        <v>0.03</v>
      </c>
      <c r="F68" s="1124"/>
      <c r="G68" s="1124"/>
      <c r="H68" s="1124"/>
      <c r="I68" s="1124"/>
      <c r="J68" s="1124"/>
      <c r="K68" s="1124"/>
      <c r="L68" s="1124">
        <f>L57</f>
        <v>1</v>
      </c>
      <c r="M68" s="1138">
        <f>C68*D68*E68*L68</f>
        <v>0.09</v>
      </c>
      <c r="N68" s="1125"/>
      <c r="O68" s="462"/>
      <c r="P68" s="1126"/>
      <c r="Q68" s="462"/>
      <c r="R68" s="462"/>
      <c r="S68" s="462"/>
      <c r="T68" s="1113"/>
      <c r="U68" s="1113"/>
      <c r="V68" s="1113"/>
    </row>
    <row r="69" spans="1:22" ht="15.75" customHeight="1">
      <c r="A69" s="1136"/>
      <c r="B69" s="358"/>
      <c r="C69" s="1124"/>
      <c r="D69" s="1124"/>
      <c r="E69" s="1124"/>
      <c r="F69" s="1124"/>
      <c r="G69" s="1124"/>
      <c r="H69" s="1124"/>
      <c r="I69" s="1124"/>
      <c r="J69" s="1124"/>
      <c r="K69" s="1124"/>
      <c r="L69" s="1124"/>
      <c r="M69" s="1132">
        <f>SUM(M61:M68)</f>
        <v>3.2040000000000002</v>
      </c>
      <c r="N69" s="1133" t="s">
        <v>103</v>
      </c>
      <c r="O69" s="462"/>
      <c r="P69" s="1126"/>
      <c r="Q69" s="462"/>
      <c r="R69" s="462"/>
      <c r="S69" s="462"/>
      <c r="T69" s="1113"/>
      <c r="U69" s="1113"/>
      <c r="V69" s="1113"/>
    </row>
    <row r="70" spans="1:22" ht="15.75" customHeight="1">
      <c r="A70" s="1136" t="s">
        <v>142</v>
      </c>
      <c r="B70" s="358" t="s">
        <v>897</v>
      </c>
      <c r="C70" s="1124"/>
      <c r="D70" s="1124"/>
      <c r="E70" s="1124"/>
      <c r="F70" s="1124"/>
      <c r="G70" s="1124"/>
      <c r="H70" s="1124"/>
      <c r="I70" s="1124"/>
      <c r="J70" s="1124"/>
      <c r="K70" s="1124"/>
      <c r="L70" s="1124"/>
      <c r="M70" s="1124"/>
      <c r="N70" s="1125"/>
      <c r="O70" s="462"/>
      <c r="P70" s="1126"/>
      <c r="Q70" s="462"/>
      <c r="R70" s="462"/>
      <c r="S70" s="462"/>
      <c r="T70" s="1113"/>
      <c r="U70" s="1113"/>
      <c r="V70" s="1113"/>
    </row>
    <row r="71" spans="1:22" ht="15.75" customHeight="1">
      <c r="A71" s="1136"/>
      <c r="B71" s="472" t="str">
        <f>B60</f>
        <v>horisontal</v>
      </c>
      <c r="C71" s="1124"/>
      <c r="D71" s="1124"/>
      <c r="E71" s="1124"/>
      <c r="F71" s="1124"/>
      <c r="G71" s="1124"/>
      <c r="H71" s="1124"/>
      <c r="I71" s="1124"/>
      <c r="J71" s="1124"/>
      <c r="K71" s="1124"/>
      <c r="L71" s="1124"/>
      <c r="M71" s="1124"/>
      <c r="N71" s="1125"/>
      <c r="O71" s="462"/>
      <c r="P71" s="1126"/>
      <c r="Q71" s="462"/>
      <c r="R71" s="462"/>
      <c r="S71" s="462"/>
      <c r="T71" s="1113"/>
      <c r="U71" s="1113"/>
      <c r="V71" s="1113"/>
    </row>
    <row r="72" spans="1:22" ht="15.75" customHeight="1">
      <c r="A72" s="1136"/>
      <c r="B72" s="1137" t="str">
        <f>B61</f>
        <v>L=0,8</v>
      </c>
      <c r="C72" s="1124">
        <f>C61</f>
        <v>20</v>
      </c>
      <c r="D72" s="1124">
        <f>(0.3+0.8)/2</f>
        <v>0.55000000000000004</v>
      </c>
      <c r="E72" s="1124">
        <v>0.8</v>
      </c>
      <c r="F72" s="1124"/>
      <c r="G72" s="1124"/>
      <c r="H72" s="1124"/>
      <c r="I72" s="1124"/>
      <c r="J72" s="1124"/>
      <c r="K72" s="1124"/>
      <c r="L72" s="1124">
        <f>L61</f>
        <v>2</v>
      </c>
      <c r="M72" s="1124">
        <f>C72*D72*E72*L72</f>
        <v>17.600000000000001</v>
      </c>
      <c r="N72" s="1125"/>
      <c r="O72" s="462"/>
      <c r="P72" s="1126"/>
      <c r="Q72" s="462"/>
      <c r="R72" s="462"/>
      <c r="S72" s="462"/>
      <c r="T72" s="1113"/>
      <c r="U72" s="1113"/>
      <c r="V72" s="1113"/>
    </row>
    <row r="73" spans="1:22" ht="15.75" customHeight="1">
      <c r="A73" s="1136"/>
      <c r="B73" s="1137"/>
      <c r="C73" s="1124">
        <f>C62</f>
        <v>16</v>
      </c>
      <c r="D73" s="1124">
        <f>D72</f>
        <v>0.55000000000000004</v>
      </c>
      <c r="E73" s="1124">
        <f>E72</f>
        <v>0.8</v>
      </c>
      <c r="F73" s="1124"/>
      <c r="G73" s="1124"/>
      <c r="H73" s="1124"/>
      <c r="I73" s="1124"/>
      <c r="J73" s="1124"/>
      <c r="K73" s="1124"/>
      <c r="L73" s="1124">
        <f>L62</f>
        <v>1</v>
      </c>
      <c r="M73" s="467">
        <f>C73*D73*E73*L73</f>
        <v>7.0400000000000009</v>
      </c>
      <c r="N73" s="1125"/>
      <c r="O73" s="462"/>
      <c r="P73" s="1126"/>
      <c r="Q73" s="462"/>
      <c r="R73" s="462"/>
      <c r="S73" s="462"/>
      <c r="T73" s="1113"/>
      <c r="U73" s="1113"/>
      <c r="V73" s="1113"/>
    </row>
    <row r="74" spans="1:22" ht="15.75" customHeight="1">
      <c r="A74" s="1136"/>
      <c r="B74" s="1137" t="str">
        <f>B63</f>
        <v>L=0,6</v>
      </c>
      <c r="C74" s="1124">
        <f>C63</f>
        <v>3</v>
      </c>
      <c r="D74" s="1124">
        <f>(0.3+0.6)/2</f>
        <v>0.44999999999999996</v>
      </c>
      <c r="E74" s="1124">
        <v>0.6</v>
      </c>
      <c r="F74" s="1124"/>
      <c r="G74" s="1124"/>
      <c r="H74" s="1124"/>
      <c r="I74" s="1124"/>
      <c r="J74" s="1124"/>
      <c r="K74" s="1124"/>
      <c r="L74" s="1124">
        <f>L63</f>
        <v>5</v>
      </c>
      <c r="M74" s="467">
        <f>C74*D74*E74*L74</f>
        <v>4.05</v>
      </c>
      <c r="N74" s="1125"/>
      <c r="O74" s="462"/>
      <c r="P74" s="1126"/>
      <c r="Q74" s="462"/>
      <c r="R74" s="462"/>
      <c r="S74" s="462"/>
      <c r="T74" s="1113"/>
      <c r="U74" s="1113"/>
      <c r="V74" s="1113"/>
    </row>
    <row r="75" spans="1:22" ht="15.75" customHeight="1">
      <c r="A75" s="1136"/>
      <c r="B75" s="472" t="str">
        <f>B64</f>
        <v>vertikal</v>
      </c>
      <c r="C75" s="1124"/>
      <c r="D75" s="1124"/>
      <c r="E75" s="1124"/>
      <c r="F75" s="1124"/>
      <c r="G75" s="1124"/>
      <c r="H75" s="1124"/>
      <c r="I75" s="1124"/>
      <c r="J75" s="1124"/>
      <c r="K75" s="1124"/>
      <c r="L75" s="1124"/>
      <c r="M75" s="1124"/>
      <c r="N75" s="1125"/>
      <c r="O75" s="462"/>
      <c r="P75" s="1126"/>
      <c r="Q75" s="462"/>
      <c r="R75" s="462"/>
      <c r="S75" s="462"/>
      <c r="T75" s="1113"/>
      <c r="U75" s="1113"/>
      <c r="V75" s="1113"/>
    </row>
    <row r="76" spans="1:22" ht="15.75" customHeight="1">
      <c r="A76" s="1136"/>
      <c r="B76" s="1137" t="str">
        <f>B65</f>
        <v>L=0,8</v>
      </c>
      <c r="C76" s="1124">
        <f>C65</f>
        <v>10</v>
      </c>
      <c r="D76" s="1124">
        <f>D72</f>
        <v>0.55000000000000004</v>
      </c>
      <c r="E76" s="1124">
        <f>E73</f>
        <v>0.8</v>
      </c>
      <c r="F76" s="1124"/>
      <c r="G76" s="1124"/>
      <c r="H76" s="1124"/>
      <c r="I76" s="1124"/>
      <c r="J76" s="1124"/>
      <c r="K76" s="1124"/>
      <c r="L76" s="1124">
        <f>L65</f>
        <v>5</v>
      </c>
      <c r="M76" s="1124">
        <f>C76*D76*E76*L76</f>
        <v>22</v>
      </c>
      <c r="N76" s="1125"/>
      <c r="O76" s="462"/>
      <c r="P76" s="1126"/>
      <c r="Q76" s="462"/>
      <c r="R76" s="462"/>
      <c r="S76" s="462"/>
      <c r="T76" s="1113"/>
      <c r="U76" s="1113"/>
      <c r="V76" s="1113"/>
    </row>
    <row r="77" spans="1:22" ht="15.75" customHeight="1">
      <c r="A77" s="1136"/>
      <c r="B77" s="1137"/>
      <c r="C77" s="1124">
        <f>C66</f>
        <v>5</v>
      </c>
      <c r="D77" s="1124">
        <f>D73</f>
        <v>0.55000000000000004</v>
      </c>
      <c r="E77" s="1124">
        <f>E76</f>
        <v>0.8</v>
      </c>
      <c r="F77" s="1124"/>
      <c r="G77" s="1124"/>
      <c r="H77" s="1124"/>
      <c r="I77" s="1124"/>
      <c r="J77" s="1124"/>
      <c r="K77" s="1124"/>
      <c r="L77" s="1124">
        <f>L66</f>
        <v>1</v>
      </c>
      <c r="M77" s="1124">
        <f>C77*D77*E77*L77</f>
        <v>2.2000000000000002</v>
      </c>
      <c r="N77" s="1125"/>
      <c r="O77" s="462"/>
      <c r="P77" s="1126"/>
      <c r="Q77" s="462"/>
      <c r="R77" s="462"/>
      <c r="S77" s="462"/>
      <c r="T77" s="1113"/>
      <c r="U77" s="1113"/>
      <c r="V77" s="1113"/>
    </row>
    <row r="78" spans="1:22" ht="15.75" customHeight="1">
      <c r="A78" s="1136"/>
      <c r="B78" s="1137" t="str">
        <f>B67</f>
        <v>L=0,6</v>
      </c>
      <c r="C78" s="1124">
        <f>C67</f>
        <v>10</v>
      </c>
      <c r="D78" s="1124">
        <f>D74</f>
        <v>0.44999999999999996</v>
      </c>
      <c r="E78" s="1124">
        <f>E74</f>
        <v>0.6</v>
      </c>
      <c r="F78" s="1124"/>
      <c r="G78" s="1124"/>
      <c r="H78" s="1124"/>
      <c r="I78" s="1124"/>
      <c r="J78" s="1124"/>
      <c r="K78" s="1124"/>
      <c r="L78" s="1124">
        <f>L67</f>
        <v>1</v>
      </c>
      <c r="M78" s="1124">
        <f>C78*D78*E78*L78</f>
        <v>2.6999999999999997</v>
      </c>
      <c r="N78" s="1125"/>
      <c r="O78" s="462"/>
      <c r="P78" s="1126"/>
      <c r="Q78" s="462"/>
      <c r="R78" s="462"/>
      <c r="S78" s="462"/>
      <c r="T78" s="1113"/>
      <c r="U78" s="1113"/>
      <c r="V78" s="1113"/>
    </row>
    <row r="79" spans="1:22" ht="15.75" customHeight="1">
      <c r="A79" s="1136"/>
      <c r="B79" s="358"/>
      <c r="C79" s="1124">
        <f>C68</f>
        <v>5</v>
      </c>
      <c r="D79" s="1124">
        <f>D78</f>
        <v>0.44999999999999996</v>
      </c>
      <c r="E79" s="1124">
        <f>E78</f>
        <v>0.6</v>
      </c>
      <c r="F79" s="1124"/>
      <c r="G79" s="1124"/>
      <c r="H79" s="1124"/>
      <c r="I79" s="1124"/>
      <c r="J79" s="1124"/>
      <c r="K79" s="1124"/>
      <c r="L79" s="1124">
        <f>L68</f>
        <v>1</v>
      </c>
      <c r="M79" s="1138">
        <f>C79*D79*E79*L79</f>
        <v>1.3499999999999999</v>
      </c>
      <c r="N79" s="1125"/>
      <c r="O79" s="462"/>
      <c r="P79" s="1126"/>
      <c r="Q79" s="462"/>
      <c r="R79" s="462"/>
      <c r="S79" s="462"/>
      <c r="T79" s="1113"/>
      <c r="U79" s="1113"/>
      <c r="V79" s="1113"/>
    </row>
    <row r="80" spans="1:22" ht="15.75" customHeight="1">
      <c r="A80" s="1136"/>
      <c r="B80" s="358"/>
      <c r="C80" s="1124"/>
      <c r="D80" s="1124"/>
      <c r="E80" s="1124"/>
      <c r="F80" s="1124"/>
      <c r="G80" s="1124"/>
      <c r="H80" s="1124"/>
      <c r="I80" s="1124"/>
      <c r="J80" s="1124"/>
      <c r="K80" s="1124"/>
      <c r="L80" s="1124"/>
      <c r="M80" s="1132">
        <f>SUM(M72:M79)</f>
        <v>56.940000000000005</v>
      </c>
      <c r="N80" s="1133" t="s">
        <v>103</v>
      </c>
      <c r="O80" s="462"/>
      <c r="P80" s="1126"/>
      <c r="Q80" s="462"/>
      <c r="R80" s="462"/>
      <c r="S80" s="462"/>
      <c r="T80" s="1113"/>
      <c r="U80" s="1113"/>
      <c r="V80" s="1113"/>
    </row>
    <row r="81" spans="1:22" ht="15.75" customHeight="1">
      <c r="A81" s="350">
        <f>A23+1</f>
        <v>4</v>
      </c>
      <c r="B81" s="351" t="s">
        <v>1130</v>
      </c>
      <c r="C81" s="330"/>
      <c r="D81" s="330"/>
      <c r="E81" s="330"/>
      <c r="F81" s="330"/>
      <c r="G81" s="330"/>
      <c r="H81" s="330"/>
      <c r="I81" s="330"/>
      <c r="J81" s="330"/>
      <c r="K81" s="330"/>
      <c r="L81" s="330"/>
      <c r="M81" s="401"/>
      <c r="N81" s="1133"/>
      <c r="O81" s="1126"/>
      <c r="P81" s="462"/>
      <c r="Q81" s="462"/>
      <c r="R81" s="462"/>
      <c r="S81" s="1113"/>
      <c r="T81" s="1113"/>
      <c r="U81" s="1113"/>
    </row>
    <row r="82" spans="1:22" ht="15.75" customHeight="1">
      <c r="A82" s="350"/>
      <c r="B82" s="567" t="s">
        <v>1111</v>
      </c>
      <c r="C82" s="330">
        <f>C72</f>
        <v>20</v>
      </c>
      <c r="D82" s="330"/>
      <c r="E82" s="330"/>
      <c r="F82" s="330"/>
      <c r="G82" s="330"/>
      <c r="H82" s="330"/>
      <c r="I82" s="330"/>
      <c r="J82" s="330"/>
      <c r="K82" s="330"/>
      <c r="L82" s="330">
        <f>L72</f>
        <v>2</v>
      </c>
      <c r="M82" s="401">
        <f t="shared" ref="M82:M88" si="5">C82*L82</f>
        <v>40</v>
      </c>
      <c r="N82" s="1133"/>
      <c r="O82" s="1126"/>
      <c r="P82" s="462"/>
      <c r="Q82" s="462"/>
      <c r="R82" s="462"/>
      <c r="S82" s="1113"/>
      <c r="T82" s="1113"/>
      <c r="U82" s="1113"/>
    </row>
    <row r="83" spans="1:22" ht="15.75" customHeight="1">
      <c r="A83" s="350"/>
      <c r="B83" s="359"/>
      <c r="C83" s="330">
        <f>C73</f>
        <v>16</v>
      </c>
      <c r="D83" s="330"/>
      <c r="E83" s="330"/>
      <c r="F83" s="330"/>
      <c r="G83" s="330"/>
      <c r="H83" s="330"/>
      <c r="I83" s="330"/>
      <c r="J83" s="330"/>
      <c r="K83" s="330"/>
      <c r="L83" s="330">
        <f>L73</f>
        <v>1</v>
      </c>
      <c r="M83" s="401">
        <f t="shared" si="5"/>
        <v>16</v>
      </c>
      <c r="N83" s="1133"/>
      <c r="O83" s="1126"/>
      <c r="P83" s="462"/>
      <c r="Q83" s="462"/>
      <c r="R83" s="462"/>
      <c r="S83" s="1113"/>
      <c r="T83" s="1113"/>
      <c r="U83" s="1113"/>
    </row>
    <row r="84" spans="1:22" ht="15.75" customHeight="1">
      <c r="A84" s="350"/>
      <c r="B84" s="359"/>
      <c r="C84" s="330">
        <f>C74</f>
        <v>3</v>
      </c>
      <c r="D84" s="330"/>
      <c r="E84" s="330"/>
      <c r="F84" s="330"/>
      <c r="G84" s="330"/>
      <c r="H84" s="330"/>
      <c r="I84" s="330"/>
      <c r="J84" s="330"/>
      <c r="K84" s="330"/>
      <c r="L84" s="330">
        <f>L74</f>
        <v>5</v>
      </c>
      <c r="M84" s="401">
        <f t="shared" si="5"/>
        <v>15</v>
      </c>
      <c r="N84" s="1133"/>
      <c r="O84" s="1126"/>
      <c r="P84" s="462"/>
      <c r="Q84" s="462"/>
      <c r="R84" s="462"/>
      <c r="S84" s="1113"/>
      <c r="T84" s="1113"/>
      <c r="U84" s="1113"/>
    </row>
    <row r="85" spans="1:22" ht="15.75" customHeight="1">
      <c r="A85" s="350"/>
      <c r="B85" s="359"/>
      <c r="C85" s="330">
        <f>C76</f>
        <v>10</v>
      </c>
      <c r="D85" s="330"/>
      <c r="E85" s="330"/>
      <c r="F85" s="330"/>
      <c r="G85" s="330"/>
      <c r="H85" s="330"/>
      <c r="I85" s="330"/>
      <c r="J85" s="330"/>
      <c r="K85" s="330"/>
      <c r="L85" s="330">
        <f>L76</f>
        <v>5</v>
      </c>
      <c r="M85" s="401">
        <f t="shared" si="5"/>
        <v>50</v>
      </c>
      <c r="N85" s="1133"/>
      <c r="O85" s="1126"/>
      <c r="P85" s="462"/>
      <c r="Q85" s="462"/>
      <c r="R85" s="462"/>
      <c r="S85" s="1113"/>
      <c r="T85" s="1113"/>
      <c r="U85" s="1113"/>
    </row>
    <row r="86" spans="1:22" ht="15.75" customHeight="1">
      <c r="A86" s="350"/>
      <c r="B86" s="359"/>
      <c r="C86" s="330">
        <f>C77</f>
        <v>5</v>
      </c>
      <c r="D86" s="330"/>
      <c r="E86" s="330"/>
      <c r="F86" s="330"/>
      <c r="G86" s="330"/>
      <c r="H86" s="330"/>
      <c r="I86" s="330"/>
      <c r="J86" s="330"/>
      <c r="K86" s="330"/>
      <c r="L86" s="330">
        <f>L77</f>
        <v>1</v>
      </c>
      <c r="M86" s="401">
        <f t="shared" si="5"/>
        <v>5</v>
      </c>
      <c r="N86" s="1133"/>
      <c r="O86" s="1126"/>
      <c r="P86" s="462"/>
      <c r="Q86" s="462"/>
      <c r="R86" s="462"/>
      <c r="S86" s="1113"/>
      <c r="T86" s="1113"/>
      <c r="U86" s="1113"/>
    </row>
    <row r="87" spans="1:22" ht="15.75" customHeight="1">
      <c r="A87" s="350"/>
      <c r="B87" s="359"/>
      <c r="C87" s="330">
        <f>C78</f>
        <v>10</v>
      </c>
      <c r="D87" s="330"/>
      <c r="E87" s="330"/>
      <c r="F87" s="330"/>
      <c r="G87" s="330"/>
      <c r="H87" s="330"/>
      <c r="I87" s="330"/>
      <c r="J87" s="330"/>
      <c r="K87" s="330"/>
      <c r="L87" s="330">
        <f>L78</f>
        <v>1</v>
      </c>
      <c r="M87" s="401">
        <f t="shared" si="5"/>
        <v>10</v>
      </c>
      <c r="N87" s="1133"/>
      <c r="O87" s="1126"/>
      <c r="P87" s="462"/>
      <c r="Q87" s="462"/>
      <c r="R87" s="462"/>
      <c r="S87" s="1113"/>
      <c r="T87" s="1113"/>
      <c r="U87" s="1113"/>
    </row>
    <row r="88" spans="1:22" ht="15.75" customHeight="1">
      <c r="A88" s="350"/>
      <c r="B88" s="359"/>
      <c r="C88" s="330">
        <f>C79</f>
        <v>5</v>
      </c>
      <c r="D88" s="330"/>
      <c r="E88" s="330"/>
      <c r="F88" s="330"/>
      <c r="G88" s="330"/>
      <c r="H88" s="330"/>
      <c r="I88" s="330"/>
      <c r="J88" s="330"/>
      <c r="K88" s="330"/>
      <c r="L88" s="330">
        <f>L79</f>
        <v>1</v>
      </c>
      <c r="M88" s="401">
        <f t="shared" si="5"/>
        <v>5</v>
      </c>
      <c r="N88" s="1133"/>
      <c r="O88" s="1126"/>
      <c r="P88" s="462"/>
      <c r="Q88" s="462"/>
      <c r="R88" s="462"/>
      <c r="S88" s="1113"/>
      <c r="T88" s="1113"/>
      <c r="U88" s="1113"/>
    </row>
    <row r="89" spans="1:22" ht="15.75" customHeight="1">
      <c r="A89" s="350"/>
      <c r="B89" s="359"/>
      <c r="C89" s="330"/>
      <c r="D89" s="330"/>
      <c r="E89" s="330"/>
      <c r="F89" s="330"/>
      <c r="G89" s="330"/>
      <c r="H89" s="330"/>
      <c r="I89" s="330"/>
      <c r="J89" s="330"/>
      <c r="K89" s="330"/>
      <c r="L89" s="330"/>
      <c r="M89" s="401">
        <f>SUM(M82:M88)</f>
        <v>141</v>
      </c>
      <c r="N89" s="1125" t="s">
        <v>117</v>
      </c>
      <c r="O89" s="1126"/>
      <c r="P89" s="462"/>
      <c r="Q89" s="462"/>
      <c r="R89" s="462"/>
      <c r="S89" s="1113"/>
      <c r="T89" s="1113"/>
      <c r="U89" s="1113"/>
    </row>
    <row r="90" spans="1:22" ht="15.75" customHeight="1">
      <c r="A90" s="350"/>
      <c r="B90" s="567" t="s">
        <v>1131</v>
      </c>
      <c r="C90" s="330">
        <f>M89</f>
        <v>141</v>
      </c>
      <c r="D90" s="330">
        <v>0.5</v>
      </c>
      <c r="E90" s="330"/>
      <c r="F90" s="330"/>
      <c r="G90" s="330"/>
      <c r="H90" s="330"/>
      <c r="I90" s="330"/>
      <c r="J90" s="330"/>
      <c r="K90" s="330"/>
      <c r="L90" s="330"/>
      <c r="M90" s="401">
        <f>ROUNDDOWN((C90/D90),0.5)</f>
        <v>282</v>
      </c>
      <c r="N90" s="1125" t="s">
        <v>124</v>
      </c>
      <c r="O90" s="1126"/>
      <c r="P90" s="462"/>
      <c r="Q90" s="462"/>
      <c r="R90" s="462"/>
      <c r="S90" s="1113"/>
      <c r="T90" s="1113"/>
      <c r="U90" s="1113"/>
    </row>
    <row r="91" spans="1:22" ht="15.75" customHeight="1">
      <c r="A91" s="350"/>
      <c r="B91" s="567" t="s">
        <v>1132</v>
      </c>
      <c r="C91" s="330"/>
      <c r="D91" s="330"/>
      <c r="E91" s="330"/>
      <c r="F91" s="330">
        <f>M90</f>
        <v>282</v>
      </c>
      <c r="G91" s="330"/>
      <c r="H91" s="330"/>
      <c r="I91" s="330"/>
      <c r="J91" s="330"/>
      <c r="K91" s="330">
        <f>13*13*0.006165</f>
        <v>1.041885</v>
      </c>
      <c r="L91" s="330"/>
      <c r="M91" s="474">
        <f>F91*K91</f>
        <v>293.81156999999996</v>
      </c>
      <c r="N91" s="1133" t="s">
        <v>100</v>
      </c>
      <c r="O91" s="1126"/>
      <c r="P91" s="462"/>
      <c r="Q91" s="462"/>
      <c r="R91" s="462"/>
      <c r="S91" s="1113"/>
      <c r="T91" s="1113"/>
      <c r="U91" s="1113"/>
    </row>
    <row r="92" spans="1:22" ht="15.75" customHeight="1">
      <c r="A92" s="1135">
        <f>A81+1</f>
        <v>5</v>
      </c>
      <c r="B92" s="358" t="s">
        <v>409</v>
      </c>
      <c r="C92" s="1124"/>
      <c r="D92" s="1124"/>
      <c r="E92" s="1124"/>
      <c r="F92" s="1124"/>
      <c r="G92" s="1124"/>
      <c r="H92" s="1124"/>
      <c r="I92" s="1124"/>
      <c r="J92" s="1124"/>
      <c r="K92" s="1124"/>
      <c r="L92" s="1124"/>
      <c r="M92" s="1124"/>
      <c r="N92" s="1133"/>
      <c r="O92" s="462"/>
      <c r="P92" s="1126"/>
      <c r="Q92" s="462"/>
      <c r="R92" s="462"/>
      <c r="S92" s="462"/>
      <c r="T92" s="1113"/>
      <c r="U92" s="1113"/>
      <c r="V92" s="1113"/>
    </row>
    <row r="93" spans="1:22" ht="15.75" customHeight="1">
      <c r="A93" s="1136" t="s">
        <v>95</v>
      </c>
      <c r="B93" s="358" t="s">
        <v>423</v>
      </c>
      <c r="C93" s="1124"/>
      <c r="D93" s="1124"/>
      <c r="E93" s="1124"/>
      <c r="F93" s="1124"/>
      <c r="G93" s="1124"/>
      <c r="H93" s="1124"/>
      <c r="I93" s="1124"/>
      <c r="J93" s="1124"/>
      <c r="K93" s="1124"/>
      <c r="L93" s="1124"/>
      <c r="M93" s="1124"/>
      <c r="N93" s="1125"/>
      <c r="O93" s="462"/>
      <c r="P93" s="1126"/>
      <c r="Q93" s="462"/>
      <c r="R93" s="462"/>
      <c r="S93" s="462"/>
      <c r="T93" s="1113"/>
      <c r="U93" s="1113"/>
      <c r="V93" s="1113"/>
    </row>
    <row r="94" spans="1:22" ht="15.75" customHeight="1">
      <c r="A94" s="1136"/>
      <c r="B94" s="1137" t="s">
        <v>226</v>
      </c>
      <c r="C94" s="1124">
        <f>C72</f>
        <v>20</v>
      </c>
      <c r="D94" s="1124"/>
      <c r="E94" s="1124">
        <v>0.3</v>
      </c>
      <c r="F94" s="1124"/>
      <c r="G94" s="1124"/>
      <c r="H94" s="1124">
        <v>2</v>
      </c>
      <c r="I94" s="1124"/>
      <c r="J94" s="1124"/>
      <c r="K94" s="1124"/>
      <c r="L94" s="1124">
        <f>L72</f>
        <v>2</v>
      </c>
      <c r="M94" s="1124">
        <f>C94*E94*H94*L94</f>
        <v>24</v>
      </c>
      <c r="N94" s="1125"/>
      <c r="O94" s="462"/>
      <c r="P94" s="1126"/>
      <c r="Q94" s="462"/>
      <c r="R94" s="462"/>
      <c r="S94" s="462"/>
      <c r="T94" s="1113"/>
      <c r="U94" s="1113"/>
      <c r="V94" s="1113"/>
    </row>
    <row r="95" spans="1:22" ht="15.75" customHeight="1">
      <c r="A95" s="1136"/>
      <c r="B95" s="1137"/>
      <c r="C95" s="1124">
        <f>C73</f>
        <v>16</v>
      </c>
      <c r="D95" s="1124"/>
      <c r="E95" s="1124">
        <f>E94</f>
        <v>0.3</v>
      </c>
      <c r="F95" s="1124"/>
      <c r="G95" s="1124"/>
      <c r="H95" s="1124">
        <f>H94</f>
        <v>2</v>
      </c>
      <c r="I95" s="1124"/>
      <c r="J95" s="1124"/>
      <c r="K95" s="1124"/>
      <c r="L95" s="1124">
        <f>L73</f>
        <v>1</v>
      </c>
      <c r="M95" s="1124">
        <f>C95*E95*H95*L95</f>
        <v>9.6</v>
      </c>
      <c r="N95" s="1125"/>
      <c r="O95" s="462"/>
      <c r="P95" s="1126"/>
      <c r="Q95" s="462"/>
      <c r="R95" s="462"/>
      <c r="S95" s="462"/>
      <c r="T95" s="1113"/>
      <c r="U95" s="1113"/>
      <c r="V95" s="1113"/>
    </row>
    <row r="96" spans="1:22" ht="15.75" customHeight="1">
      <c r="A96" s="1136"/>
      <c r="B96" s="1137" t="s">
        <v>227</v>
      </c>
      <c r="C96" s="1124">
        <f>C76</f>
        <v>10</v>
      </c>
      <c r="D96" s="1124"/>
      <c r="E96" s="1124">
        <f>E95</f>
        <v>0.3</v>
      </c>
      <c r="F96" s="1124"/>
      <c r="G96" s="1124"/>
      <c r="H96" s="1124">
        <f>H95</f>
        <v>2</v>
      </c>
      <c r="I96" s="1124"/>
      <c r="J96" s="1124"/>
      <c r="K96" s="1124"/>
      <c r="L96" s="1124">
        <f>L76</f>
        <v>5</v>
      </c>
      <c r="M96" s="1124">
        <f>C96*E96*H96*L96</f>
        <v>30</v>
      </c>
      <c r="N96" s="1125"/>
      <c r="O96" s="462"/>
      <c r="P96" s="1126"/>
      <c r="Q96" s="462"/>
      <c r="R96" s="462"/>
      <c r="S96" s="462"/>
      <c r="T96" s="1113"/>
      <c r="U96" s="1113"/>
      <c r="V96" s="1113"/>
    </row>
    <row r="97" spans="1:22" ht="15.75" customHeight="1">
      <c r="A97" s="1136"/>
      <c r="B97" s="1137"/>
      <c r="C97" s="1124">
        <f>C77</f>
        <v>5</v>
      </c>
      <c r="D97" s="1124"/>
      <c r="E97" s="1124">
        <f>E96</f>
        <v>0.3</v>
      </c>
      <c r="F97" s="1124"/>
      <c r="G97" s="1124"/>
      <c r="H97" s="1124">
        <f>H96</f>
        <v>2</v>
      </c>
      <c r="I97" s="1124"/>
      <c r="J97" s="1124"/>
      <c r="K97" s="1124"/>
      <c r="L97" s="1124">
        <f>L77</f>
        <v>1</v>
      </c>
      <c r="M97" s="1138">
        <f>C97*E97*H97*L97</f>
        <v>3</v>
      </c>
      <c r="N97" s="1125"/>
      <c r="O97" s="462"/>
      <c r="P97" s="1126"/>
      <c r="Q97" s="462"/>
      <c r="R97" s="462"/>
      <c r="S97" s="462"/>
      <c r="T97" s="1113"/>
      <c r="U97" s="1113"/>
      <c r="V97" s="1113"/>
    </row>
    <row r="98" spans="1:22" ht="15.75" customHeight="1">
      <c r="A98" s="1136"/>
      <c r="B98" s="358"/>
      <c r="C98" s="1124"/>
      <c r="D98" s="1124"/>
      <c r="E98" s="1124"/>
      <c r="F98" s="1124"/>
      <c r="G98" s="1124"/>
      <c r="H98" s="1124"/>
      <c r="I98" s="1124"/>
      <c r="J98" s="1124"/>
      <c r="K98" s="1124"/>
      <c r="L98" s="1124"/>
      <c r="M98" s="1132">
        <f>SUM(M94:M97)</f>
        <v>66.599999999999994</v>
      </c>
      <c r="N98" s="1133" t="s">
        <v>89</v>
      </c>
      <c r="O98" s="462"/>
      <c r="P98" s="1126"/>
      <c r="Q98" s="462"/>
      <c r="R98" s="462"/>
      <c r="S98" s="462"/>
      <c r="T98" s="1113"/>
      <c r="U98" s="1113"/>
      <c r="V98" s="1113"/>
    </row>
    <row r="99" spans="1:22" ht="15.75" customHeight="1">
      <c r="A99" s="1136" t="s">
        <v>98</v>
      </c>
      <c r="B99" s="358" t="s">
        <v>898</v>
      </c>
      <c r="C99" s="1124"/>
      <c r="D99" s="1124"/>
      <c r="E99" s="1124"/>
      <c r="F99" s="1124"/>
      <c r="G99" s="1124"/>
      <c r="H99" s="1124"/>
      <c r="I99" s="1124"/>
      <c r="J99" s="1124"/>
      <c r="K99" s="1124"/>
      <c r="L99" s="1124"/>
      <c r="M99" s="1124"/>
      <c r="N99" s="1125"/>
      <c r="O99" s="462"/>
      <c r="P99" s="1126"/>
      <c r="Q99" s="462"/>
      <c r="R99" s="462"/>
      <c r="S99" s="462"/>
      <c r="T99" s="1113"/>
      <c r="U99" s="1113"/>
      <c r="V99" s="1113"/>
    </row>
    <row r="100" spans="1:22" ht="15.75" customHeight="1">
      <c r="A100" s="1136"/>
      <c r="B100" s="1137" t="str">
        <f>B94</f>
        <v>horisontal</v>
      </c>
      <c r="C100" s="1124">
        <f>C94</f>
        <v>20</v>
      </c>
      <c r="D100" s="1124"/>
      <c r="E100" s="1124"/>
      <c r="F100" s="1124">
        <f>13*13*0.006165</f>
        <v>1.041885</v>
      </c>
      <c r="G100" s="1124"/>
      <c r="H100" s="1124"/>
      <c r="I100" s="1124"/>
      <c r="J100" s="1124"/>
      <c r="K100" s="1124">
        <v>5</v>
      </c>
      <c r="L100" s="1124">
        <f>L94</f>
        <v>2</v>
      </c>
      <c r="M100" s="1124">
        <f>C100*F100*K100*L100</f>
        <v>208.37699999999998</v>
      </c>
      <c r="N100" s="1125"/>
      <c r="O100" s="462"/>
      <c r="P100" s="1126"/>
      <c r="Q100" s="462"/>
      <c r="R100" s="462"/>
      <c r="S100" s="462"/>
      <c r="T100" s="1113"/>
      <c r="U100" s="1113"/>
      <c r="V100" s="1113"/>
    </row>
    <row r="101" spans="1:22" ht="15.75" customHeight="1">
      <c r="A101" s="1136"/>
      <c r="B101" s="1137"/>
      <c r="C101" s="1124">
        <f>C95</f>
        <v>16</v>
      </c>
      <c r="D101" s="1124"/>
      <c r="E101" s="1124"/>
      <c r="F101" s="1124">
        <f>F100</f>
        <v>1.041885</v>
      </c>
      <c r="G101" s="1124"/>
      <c r="H101" s="1124"/>
      <c r="I101" s="1124"/>
      <c r="J101" s="1124"/>
      <c r="K101" s="1124">
        <f>K100</f>
        <v>5</v>
      </c>
      <c r="L101" s="1124">
        <f>L95</f>
        <v>1</v>
      </c>
      <c r="M101" s="1124">
        <f>C101*F101*K101*L101</f>
        <v>83.350799999999992</v>
      </c>
      <c r="N101" s="1125"/>
      <c r="O101" s="462"/>
      <c r="P101" s="1126"/>
      <c r="Q101" s="462"/>
      <c r="R101" s="462"/>
      <c r="S101" s="462"/>
      <c r="T101" s="1113"/>
      <c r="U101" s="1113"/>
      <c r="V101" s="1113"/>
    </row>
    <row r="102" spans="1:22" ht="15.75" customHeight="1">
      <c r="A102" s="1136"/>
      <c r="B102" s="1137" t="str">
        <f>B96</f>
        <v>vertikal</v>
      </c>
      <c r="C102" s="1124">
        <f>C96</f>
        <v>10</v>
      </c>
      <c r="D102" s="1124"/>
      <c r="E102" s="1124"/>
      <c r="F102" s="1124">
        <f>F101</f>
        <v>1.041885</v>
      </c>
      <c r="G102" s="1124"/>
      <c r="H102" s="1124"/>
      <c r="I102" s="1124"/>
      <c r="J102" s="1124"/>
      <c r="K102" s="1124">
        <f>K101</f>
        <v>5</v>
      </c>
      <c r="L102" s="1124">
        <f>L96</f>
        <v>5</v>
      </c>
      <c r="M102" s="1124">
        <f>C102*F102*K102</f>
        <v>52.094249999999995</v>
      </c>
      <c r="N102" s="1125"/>
      <c r="O102" s="462"/>
      <c r="P102" s="1126"/>
      <c r="Q102" s="462"/>
      <c r="R102" s="462"/>
      <c r="S102" s="462"/>
      <c r="T102" s="1113"/>
      <c r="U102" s="1113"/>
      <c r="V102" s="1113"/>
    </row>
    <row r="103" spans="1:22" ht="15.75" customHeight="1">
      <c r="A103" s="1136"/>
      <c r="B103" s="1137"/>
      <c r="C103" s="1124">
        <f>C97</f>
        <v>5</v>
      </c>
      <c r="D103" s="1124"/>
      <c r="E103" s="1124"/>
      <c r="F103" s="1124">
        <f>F102</f>
        <v>1.041885</v>
      </c>
      <c r="G103" s="1124"/>
      <c r="H103" s="1124"/>
      <c r="I103" s="1124"/>
      <c r="J103" s="1124"/>
      <c r="K103" s="1124">
        <f>K102</f>
        <v>5</v>
      </c>
      <c r="L103" s="1124">
        <f>L97</f>
        <v>1</v>
      </c>
      <c r="M103" s="1138">
        <f>C103*F103*K103</f>
        <v>26.047124999999998</v>
      </c>
      <c r="N103" s="1125"/>
      <c r="O103" s="462"/>
      <c r="P103" s="1126"/>
      <c r="Q103" s="462"/>
      <c r="R103" s="462"/>
      <c r="S103" s="462"/>
      <c r="T103" s="1113"/>
      <c r="U103" s="1113"/>
      <c r="V103" s="1113"/>
    </row>
    <row r="104" spans="1:22" ht="15.75" customHeight="1">
      <c r="A104" s="1136"/>
      <c r="B104" s="358"/>
      <c r="C104" s="1124"/>
      <c r="D104" s="1124"/>
      <c r="E104" s="1124"/>
      <c r="F104" s="1124"/>
      <c r="G104" s="1124"/>
      <c r="H104" s="1124"/>
      <c r="I104" s="1124"/>
      <c r="J104" s="1124"/>
      <c r="K104" s="1124"/>
      <c r="L104" s="1124"/>
      <c r="M104" s="1132">
        <f>SUM(M100:M103)</f>
        <v>369.86917499999998</v>
      </c>
      <c r="N104" s="1133" t="s">
        <v>100</v>
      </c>
      <c r="O104" s="462"/>
      <c r="P104" s="1126"/>
      <c r="Q104" s="462"/>
      <c r="R104" s="462"/>
      <c r="S104" s="462"/>
      <c r="T104" s="1113"/>
      <c r="U104" s="1113"/>
      <c r="V104" s="1113"/>
    </row>
    <row r="105" spans="1:22" ht="15.75" customHeight="1">
      <c r="A105" s="1136" t="s">
        <v>101</v>
      </c>
      <c r="B105" s="358" t="s">
        <v>899</v>
      </c>
      <c r="C105" s="1124"/>
      <c r="D105" s="1124"/>
      <c r="E105" s="1124"/>
      <c r="F105" s="1124"/>
      <c r="G105" s="1124"/>
      <c r="H105" s="1124"/>
      <c r="I105" s="1124"/>
      <c r="J105" s="1124"/>
      <c r="K105" s="1124"/>
      <c r="L105" s="1124"/>
      <c r="M105" s="1124"/>
      <c r="N105" s="1125"/>
      <c r="O105" s="462"/>
      <c r="P105" s="1126"/>
      <c r="Q105" s="462"/>
      <c r="R105" s="462"/>
      <c r="S105" s="462"/>
      <c r="T105" s="1113"/>
      <c r="U105" s="1113"/>
      <c r="V105" s="1113"/>
    </row>
    <row r="106" spans="1:22" ht="15.75" customHeight="1">
      <c r="A106" s="1136"/>
      <c r="B106" s="1137" t="str">
        <f>B100</f>
        <v>horisontal</v>
      </c>
      <c r="C106" s="1124">
        <f>(0.1+0.15)*2</f>
        <v>0.5</v>
      </c>
      <c r="D106" s="1124"/>
      <c r="E106" s="1124"/>
      <c r="F106" s="1124">
        <v>0.1</v>
      </c>
      <c r="G106" s="1124"/>
      <c r="H106" s="1124"/>
      <c r="I106" s="1124">
        <f>8*8*0.006165</f>
        <v>0.39456000000000002</v>
      </c>
      <c r="J106" s="1124"/>
      <c r="K106" s="1124">
        <f>ROUNDUP((C94/0.125),0.5)</f>
        <v>160</v>
      </c>
      <c r="L106" s="1124">
        <f>L94</f>
        <v>2</v>
      </c>
      <c r="M106" s="1124">
        <f>(C106+F106)*I106*K106*L106</f>
        <v>75.755520000000004</v>
      </c>
      <c r="N106" s="1125"/>
      <c r="O106" s="462"/>
      <c r="P106" s="1126"/>
      <c r="Q106" s="462"/>
      <c r="R106" s="462"/>
      <c r="S106" s="462"/>
      <c r="T106" s="1113"/>
      <c r="U106" s="1113"/>
      <c r="V106" s="1113"/>
    </row>
    <row r="107" spans="1:22" ht="15.75" customHeight="1">
      <c r="A107" s="1136"/>
      <c r="B107" s="1137"/>
      <c r="C107" s="1124">
        <f>C106</f>
        <v>0.5</v>
      </c>
      <c r="D107" s="1124"/>
      <c r="E107" s="1124"/>
      <c r="F107" s="1124">
        <f>F106</f>
        <v>0.1</v>
      </c>
      <c r="G107" s="1124"/>
      <c r="H107" s="1124"/>
      <c r="I107" s="1124">
        <f>I106</f>
        <v>0.39456000000000002</v>
      </c>
      <c r="J107" s="1124"/>
      <c r="K107" s="1124">
        <f>ROUNDUP((C95/0.125),0.5)</f>
        <v>128</v>
      </c>
      <c r="L107" s="1124">
        <f>L95</f>
        <v>1</v>
      </c>
      <c r="M107" s="467">
        <f>(C107+F107)*I107*K107*L107</f>
        <v>30.302208</v>
      </c>
      <c r="N107" s="1125"/>
      <c r="O107" s="462"/>
      <c r="P107" s="1126"/>
      <c r="Q107" s="462"/>
      <c r="R107" s="462"/>
      <c r="S107" s="462"/>
      <c r="T107" s="1113"/>
      <c r="U107" s="1113"/>
      <c r="V107" s="1113"/>
    </row>
    <row r="108" spans="1:22" ht="15.75" customHeight="1">
      <c r="A108" s="1136"/>
      <c r="B108" s="1137" t="str">
        <f>B102</f>
        <v>vertikal</v>
      </c>
      <c r="C108" s="1124">
        <f>C107</f>
        <v>0.5</v>
      </c>
      <c r="D108" s="1124"/>
      <c r="E108" s="1124"/>
      <c r="F108" s="1124">
        <f>F107</f>
        <v>0.1</v>
      </c>
      <c r="G108" s="1124"/>
      <c r="H108" s="1124"/>
      <c r="I108" s="1124">
        <f>I107</f>
        <v>0.39456000000000002</v>
      </c>
      <c r="J108" s="1124"/>
      <c r="K108" s="1124">
        <f>ROUNDUP((C96/0.125),0.5)</f>
        <v>80</v>
      </c>
      <c r="L108" s="1124">
        <f>L96</f>
        <v>5</v>
      </c>
      <c r="M108" s="1124">
        <f>(C108+F108)*I108*K108*L108</f>
        <v>94.694400000000002</v>
      </c>
      <c r="N108" s="1125"/>
      <c r="O108" s="462"/>
      <c r="P108" s="1126"/>
      <c r="Q108" s="462"/>
      <c r="R108" s="462"/>
      <c r="S108" s="462"/>
      <c r="T108" s="1113"/>
      <c r="U108" s="1113"/>
      <c r="V108" s="1113"/>
    </row>
    <row r="109" spans="1:22" ht="15.75" customHeight="1">
      <c r="A109" s="1136"/>
      <c r="B109" s="1137"/>
      <c r="C109" s="1124">
        <f>C108</f>
        <v>0.5</v>
      </c>
      <c r="D109" s="1124"/>
      <c r="E109" s="1124"/>
      <c r="F109" s="1124">
        <f>F108</f>
        <v>0.1</v>
      </c>
      <c r="G109" s="1124"/>
      <c r="H109" s="1124"/>
      <c r="I109" s="1124">
        <f>I108</f>
        <v>0.39456000000000002</v>
      </c>
      <c r="J109" s="1124"/>
      <c r="K109" s="1124">
        <f>ROUNDUP((C97/0.125),0.5)</f>
        <v>40</v>
      </c>
      <c r="L109" s="1124">
        <f>L97</f>
        <v>1</v>
      </c>
      <c r="M109" s="1138">
        <f>(C109+F109)*I109*K109*L109</f>
        <v>9.4694400000000005</v>
      </c>
      <c r="N109" s="1125"/>
      <c r="O109" s="462"/>
      <c r="P109" s="1126"/>
      <c r="Q109" s="462"/>
      <c r="R109" s="462"/>
      <c r="S109" s="462"/>
      <c r="T109" s="1113"/>
      <c r="U109" s="1113"/>
      <c r="V109" s="1113"/>
    </row>
    <row r="110" spans="1:22" ht="15.75" customHeight="1">
      <c r="A110" s="1136"/>
      <c r="B110" s="358"/>
      <c r="C110" s="1124"/>
      <c r="D110" s="1124"/>
      <c r="E110" s="1124"/>
      <c r="F110" s="1124"/>
      <c r="G110" s="1124"/>
      <c r="H110" s="1124"/>
      <c r="I110" s="1124"/>
      <c r="J110" s="1124"/>
      <c r="K110" s="1124"/>
      <c r="L110" s="1124"/>
      <c r="M110" s="1132">
        <f>SUM(M106:M109)</f>
        <v>210.22156799999999</v>
      </c>
      <c r="N110" s="1133" t="s">
        <v>100</v>
      </c>
      <c r="O110" s="462"/>
      <c r="P110" s="1126"/>
      <c r="Q110" s="462"/>
      <c r="R110" s="462"/>
      <c r="S110" s="462"/>
      <c r="T110" s="1113"/>
      <c r="U110" s="1113"/>
      <c r="V110" s="1113"/>
    </row>
    <row r="111" spans="1:22" ht="15.75" customHeight="1">
      <c r="A111" s="1136" t="s">
        <v>121</v>
      </c>
      <c r="B111" s="358" t="s">
        <v>102</v>
      </c>
      <c r="C111" s="1124"/>
      <c r="D111" s="1124"/>
      <c r="E111" s="1124"/>
      <c r="F111" s="1124"/>
      <c r="G111" s="1124"/>
      <c r="H111" s="1124"/>
      <c r="I111" s="1124"/>
      <c r="J111" s="1124"/>
      <c r="K111" s="1124"/>
      <c r="L111" s="1124"/>
      <c r="M111" s="1124"/>
      <c r="N111" s="1125"/>
      <c r="O111" s="462"/>
      <c r="P111" s="462"/>
      <c r="Q111" s="462"/>
      <c r="R111" s="462"/>
      <c r="S111" s="462"/>
      <c r="T111" s="1113"/>
      <c r="U111" s="1113"/>
      <c r="V111" s="1113"/>
    </row>
    <row r="112" spans="1:22" ht="15.75" customHeight="1">
      <c r="A112" s="1136"/>
      <c r="B112" s="1137" t="str">
        <f>B106</f>
        <v>horisontal</v>
      </c>
      <c r="C112" s="1124">
        <f>C94</f>
        <v>20</v>
      </c>
      <c r="D112" s="1124">
        <v>0.25</v>
      </c>
      <c r="E112" s="1124">
        <v>0.3</v>
      </c>
      <c r="F112" s="1124"/>
      <c r="G112" s="1124"/>
      <c r="H112" s="1124"/>
      <c r="I112" s="1124"/>
      <c r="J112" s="1124"/>
      <c r="K112" s="1124"/>
      <c r="L112" s="1124">
        <f>L106</f>
        <v>2</v>
      </c>
      <c r="M112" s="1124">
        <f>C112*D112*E112*L112</f>
        <v>3</v>
      </c>
      <c r="N112" s="1125"/>
      <c r="O112" s="462"/>
      <c r="P112" s="462"/>
      <c r="Q112" s="462"/>
      <c r="R112" s="462"/>
      <c r="S112" s="462"/>
      <c r="T112" s="1113"/>
      <c r="U112" s="1113"/>
      <c r="V112" s="1113"/>
    </row>
    <row r="113" spans="1:22" ht="15.75" customHeight="1">
      <c r="A113" s="1136"/>
      <c r="B113" s="1137"/>
      <c r="C113" s="1124">
        <f>C95</f>
        <v>16</v>
      </c>
      <c r="D113" s="1124">
        <f t="shared" ref="D113:E115" si="6">D112</f>
        <v>0.25</v>
      </c>
      <c r="E113" s="1124">
        <f t="shared" si="6"/>
        <v>0.3</v>
      </c>
      <c r="F113" s="1124"/>
      <c r="G113" s="1124"/>
      <c r="H113" s="1124"/>
      <c r="I113" s="1124"/>
      <c r="J113" s="1124"/>
      <c r="K113" s="1124"/>
      <c r="L113" s="1124">
        <f>L107</f>
        <v>1</v>
      </c>
      <c r="M113" s="467">
        <f>C113*D113*E113*L113</f>
        <v>1.2</v>
      </c>
      <c r="N113" s="1125"/>
      <c r="O113" s="462"/>
      <c r="P113" s="462"/>
      <c r="Q113" s="462"/>
      <c r="R113" s="462"/>
      <c r="S113" s="462"/>
      <c r="T113" s="1113"/>
      <c r="U113" s="1113"/>
      <c r="V113" s="1113"/>
    </row>
    <row r="114" spans="1:22" ht="15.75" customHeight="1">
      <c r="A114" s="1136"/>
      <c r="B114" s="1137" t="str">
        <f>B108</f>
        <v>vertikal</v>
      </c>
      <c r="C114" s="1124">
        <f>C96</f>
        <v>10</v>
      </c>
      <c r="D114" s="1124">
        <f t="shared" si="6"/>
        <v>0.25</v>
      </c>
      <c r="E114" s="1124">
        <f t="shared" si="6"/>
        <v>0.3</v>
      </c>
      <c r="F114" s="1124"/>
      <c r="G114" s="1124"/>
      <c r="H114" s="1124"/>
      <c r="I114" s="1124"/>
      <c r="J114" s="1124"/>
      <c r="K114" s="1124"/>
      <c r="L114" s="1124">
        <f>L108</f>
        <v>5</v>
      </c>
      <c r="M114" s="1124">
        <f>C114*D114*E114*L114</f>
        <v>3.75</v>
      </c>
      <c r="N114" s="1125"/>
      <c r="O114" s="462"/>
      <c r="P114" s="462"/>
      <c r="Q114" s="462"/>
      <c r="R114" s="462"/>
      <c r="S114" s="462"/>
      <c r="T114" s="1113"/>
      <c r="U114" s="1113"/>
      <c r="V114" s="1113"/>
    </row>
    <row r="115" spans="1:22" ht="15.75" customHeight="1">
      <c r="A115" s="1136"/>
      <c r="B115" s="1137"/>
      <c r="C115" s="1124">
        <f>C97</f>
        <v>5</v>
      </c>
      <c r="D115" s="1124">
        <f t="shared" si="6"/>
        <v>0.25</v>
      </c>
      <c r="E115" s="1124">
        <f t="shared" si="6"/>
        <v>0.3</v>
      </c>
      <c r="F115" s="1124"/>
      <c r="G115" s="1124"/>
      <c r="H115" s="1124"/>
      <c r="I115" s="1124"/>
      <c r="J115" s="1124"/>
      <c r="K115" s="1124"/>
      <c r="L115" s="1124">
        <f>L109</f>
        <v>1</v>
      </c>
      <c r="M115" s="1138">
        <f>C115*D115*E115*L115</f>
        <v>0.375</v>
      </c>
      <c r="N115" s="1125"/>
      <c r="O115" s="462"/>
      <c r="P115" s="462"/>
      <c r="Q115" s="462"/>
      <c r="R115" s="462"/>
      <c r="S115" s="462"/>
      <c r="T115" s="1113"/>
      <c r="U115" s="1113"/>
      <c r="V115" s="1113"/>
    </row>
    <row r="116" spans="1:22" ht="15.75" customHeight="1">
      <c r="A116" s="1136"/>
      <c r="B116" s="358"/>
      <c r="C116" s="1124"/>
      <c r="D116" s="1124"/>
      <c r="E116" s="1124"/>
      <c r="F116" s="1124"/>
      <c r="G116" s="1124"/>
      <c r="H116" s="1124"/>
      <c r="I116" s="1124"/>
      <c r="J116" s="1124"/>
      <c r="K116" s="1124"/>
      <c r="L116" s="1124"/>
      <c r="M116" s="1132">
        <f>SUM(M112:M115)</f>
        <v>8.3249999999999993</v>
      </c>
      <c r="N116" s="1133" t="s">
        <v>103</v>
      </c>
      <c r="O116" s="462"/>
      <c r="P116" s="462"/>
      <c r="Q116" s="462"/>
      <c r="R116" s="462"/>
      <c r="S116" s="462"/>
      <c r="T116" s="1113"/>
      <c r="U116" s="1113"/>
      <c r="V116" s="1113"/>
    </row>
    <row r="117" spans="1:22" ht="15.75" customHeight="1">
      <c r="A117" s="1135">
        <f>A92+1</f>
        <v>6</v>
      </c>
      <c r="B117" s="358" t="s">
        <v>1520</v>
      </c>
      <c r="C117" s="1124"/>
      <c r="D117" s="1124"/>
      <c r="E117" s="1124"/>
      <c r="F117" s="1124"/>
      <c r="G117" s="1124"/>
      <c r="H117" s="1124"/>
      <c r="I117" s="1124"/>
      <c r="J117" s="1124"/>
      <c r="K117" s="1124"/>
      <c r="L117" s="1124"/>
      <c r="M117" s="1124"/>
      <c r="N117" s="1133"/>
      <c r="O117" s="462"/>
      <c r="P117" s="1126"/>
      <c r="Q117" s="462"/>
      <c r="R117" s="462"/>
      <c r="S117" s="462"/>
      <c r="T117" s="1113"/>
      <c r="U117" s="1113"/>
      <c r="V117" s="1113"/>
    </row>
    <row r="118" spans="1:22" ht="15.75" customHeight="1">
      <c r="A118" s="1136" t="s">
        <v>95</v>
      </c>
      <c r="B118" s="358" t="s">
        <v>423</v>
      </c>
      <c r="C118" s="1124"/>
      <c r="D118" s="1124"/>
      <c r="E118" s="1124"/>
      <c r="F118" s="1124"/>
      <c r="G118" s="1124"/>
      <c r="H118" s="1124"/>
      <c r="I118" s="1124"/>
      <c r="J118" s="1124"/>
      <c r="K118" s="1124"/>
      <c r="L118" s="1124"/>
      <c r="M118" s="1124"/>
      <c r="N118" s="1125"/>
      <c r="O118" s="462"/>
      <c r="P118" s="1126"/>
      <c r="Q118" s="462"/>
      <c r="R118" s="462"/>
      <c r="S118" s="462"/>
      <c r="T118" s="1113"/>
      <c r="U118" s="1113"/>
      <c r="V118" s="1113"/>
    </row>
    <row r="119" spans="1:22" ht="15.75" customHeight="1">
      <c r="A119" s="1136"/>
      <c r="B119" s="1137" t="s">
        <v>226</v>
      </c>
      <c r="C119" s="1124">
        <v>3</v>
      </c>
      <c r="D119" s="1124"/>
      <c r="E119" s="1124">
        <v>0.3</v>
      </c>
      <c r="F119" s="1124"/>
      <c r="G119" s="1124"/>
      <c r="H119" s="1124">
        <v>2</v>
      </c>
      <c r="I119" s="1124"/>
      <c r="J119" s="1124"/>
      <c r="K119" s="1124"/>
      <c r="L119" s="1124">
        <v>5</v>
      </c>
      <c r="M119" s="1124">
        <f>C119*E119*H119*L119</f>
        <v>9</v>
      </c>
      <c r="N119" s="1125"/>
      <c r="O119" s="462"/>
      <c r="P119" s="1126"/>
      <c r="Q119" s="462"/>
      <c r="R119" s="462"/>
      <c r="S119" s="462"/>
      <c r="T119" s="1113"/>
      <c r="U119" s="1113"/>
      <c r="V119" s="1113"/>
    </row>
    <row r="120" spans="1:22" ht="15.75" customHeight="1">
      <c r="A120" s="1136"/>
      <c r="B120" s="1137" t="s">
        <v>227</v>
      </c>
      <c r="C120" s="1124">
        <v>10</v>
      </c>
      <c r="D120" s="1124"/>
      <c r="E120" s="1124">
        <f>E119</f>
        <v>0.3</v>
      </c>
      <c r="F120" s="1124"/>
      <c r="G120" s="1124"/>
      <c r="H120" s="1124">
        <f>H119</f>
        <v>2</v>
      </c>
      <c r="I120" s="1124"/>
      <c r="J120" s="1124"/>
      <c r="K120" s="1124"/>
      <c r="L120" s="1124">
        <f>L101</f>
        <v>1</v>
      </c>
      <c r="M120" s="1124">
        <f>C120*E120*H120*L120</f>
        <v>6</v>
      </c>
      <c r="N120" s="1125"/>
      <c r="O120" s="462"/>
      <c r="P120" s="1126"/>
      <c r="Q120" s="462"/>
      <c r="R120" s="462"/>
      <c r="S120" s="462"/>
      <c r="T120" s="1113"/>
      <c r="U120" s="1113"/>
      <c r="V120" s="1113"/>
    </row>
    <row r="121" spans="1:22" ht="15.75" customHeight="1">
      <c r="A121" s="1136"/>
      <c r="B121" s="1137"/>
      <c r="C121" s="1124">
        <v>5</v>
      </c>
      <c r="D121" s="1124"/>
      <c r="E121" s="1124">
        <f>E120</f>
        <v>0.3</v>
      </c>
      <c r="F121" s="1124"/>
      <c r="G121" s="1124"/>
      <c r="H121" s="1124">
        <f>H120</f>
        <v>2</v>
      </c>
      <c r="I121" s="1124"/>
      <c r="J121" s="1124"/>
      <c r="K121" s="1124"/>
      <c r="L121" s="1124">
        <v>1</v>
      </c>
      <c r="M121" s="1138">
        <f>C121*E121*H121*L121</f>
        <v>3</v>
      </c>
      <c r="N121" s="1125"/>
      <c r="O121" s="462"/>
      <c r="P121" s="1126"/>
      <c r="Q121" s="462"/>
      <c r="R121" s="462"/>
      <c r="S121" s="462"/>
      <c r="T121" s="1113"/>
      <c r="U121" s="1113"/>
      <c r="V121" s="1113"/>
    </row>
    <row r="122" spans="1:22" ht="15.75" customHeight="1">
      <c r="A122" s="1136"/>
      <c r="B122" s="358"/>
      <c r="C122" s="1124"/>
      <c r="D122" s="1124"/>
      <c r="E122" s="1124"/>
      <c r="F122" s="1124"/>
      <c r="G122" s="1124"/>
      <c r="H122" s="1124"/>
      <c r="I122" s="1124"/>
      <c r="J122" s="1124"/>
      <c r="K122" s="1124"/>
      <c r="L122" s="1124"/>
      <c r="M122" s="1132">
        <f>SUM(M119:M121)</f>
        <v>18</v>
      </c>
      <c r="N122" s="1133" t="s">
        <v>89</v>
      </c>
      <c r="O122" s="462"/>
      <c r="P122" s="1126"/>
      <c r="Q122" s="462"/>
      <c r="R122" s="462"/>
      <c r="S122" s="462"/>
      <c r="T122" s="1113"/>
      <c r="U122" s="1113"/>
      <c r="V122" s="1113"/>
    </row>
    <row r="123" spans="1:22" ht="15.75" customHeight="1">
      <c r="A123" s="1136" t="s">
        <v>98</v>
      </c>
      <c r="B123" s="358" t="s">
        <v>900</v>
      </c>
      <c r="C123" s="1124"/>
      <c r="D123" s="1124"/>
      <c r="E123" s="1124"/>
      <c r="F123" s="1124"/>
      <c r="G123" s="1124"/>
      <c r="H123" s="1124"/>
      <c r="I123" s="1124"/>
      <c r="J123" s="1124"/>
      <c r="K123" s="1124"/>
      <c r="L123" s="1124"/>
      <c r="M123" s="1124"/>
      <c r="N123" s="1125"/>
      <c r="O123" s="462"/>
      <c r="P123" s="1126"/>
      <c r="Q123" s="462"/>
      <c r="R123" s="462"/>
      <c r="S123" s="462"/>
      <c r="T123" s="1113"/>
      <c r="U123" s="1113"/>
      <c r="V123" s="1113"/>
    </row>
    <row r="124" spans="1:22" ht="15.75" customHeight="1">
      <c r="A124" s="1136"/>
      <c r="B124" s="1137" t="str">
        <f>B119</f>
        <v>horisontal</v>
      </c>
      <c r="C124" s="1124">
        <f>C119</f>
        <v>3</v>
      </c>
      <c r="D124" s="1124"/>
      <c r="E124" s="1124"/>
      <c r="F124" s="1124">
        <f>13*13*0.006165</f>
        <v>1.041885</v>
      </c>
      <c r="G124" s="1124"/>
      <c r="H124" s="1124"/>
      <c r="I124" s="1124"/>
      <c r="J124" s="1124"/>
      <c r="K124" s="1124">
        <v>4</v>
      </c>
      <c r="L124" s="1124">
        <f>L119</f>
        <v>5</v>
      </c>
      <c r="M124" s="1124">
        <f>C124*F124*K124*L124</f>
        <v>62.513100000000001</v>
      </c>
      <c r="N124" s="1125"/>
      <c r="O124" s="462"/>
      <c r="P124" s="1126"/>
      <c r="Q124" s="462"/>
      <c r="R124" s="462"/>
      <c r="S124" s="462"/>
      <c r="T124" s="1113"/>
      <c r="U124" s="1113"/>
      <c r="V124" s="1113"/>
    </row>
    <row r="125" spans="1:22" ht="15.75" customHeight="1">
      <c r="A125" s="1136"/>
      <c r="B125" s="1137" t="str">
        <f>B120</f>
        <v>vertikal</v>
      </c>
      <c r="C125" s="1124">
        <f>C120</f>
        <v>10</v>
      </c>
      <c r="D125" s="1124"/>
      <c r="E125" s="1124"/>
      <c r="F125" s="1124">
        <f>F124</f>
        <v>1.041885</v>
      </c>
      <c r="G125" s="1124"/>
      <c r="H125" s="1124"/>
      <c r="I125" s="1124"/>
      <c r="J125" s="1124"/>
      <c r="K125" s="1124">
        <f>K124</f>
        <v>4</v>
      </c>
      <c r="L125" s="1124">
        <f>L120</f>
        <v>1</v>
      </c>
      <c r="M125" s="1124">
        <f>C125*F125*K125</f>
        <v>41.675399999999996</v>
      </c>
      <c r="N125" s="1125"/>
      <c r="O125" s="462"/>
      <c r="P125" s="1126"/>
      <c r="Q125" s="462"/>
      <c r="R125" s="462"/>
      <c r="S125" s="462"/>
      <c r="T125" s="1113"/>
      <c r="U125" s="1113"/>
      <c r="V125" s="1113"/>
    </row>
    <row r="126" spans="1:22" ht="15.75" customHeight="1">
      <c r="A126" s="1136"/>
      <c r="B126" s="1137"/>
      <c r="C126" s="1124">
        <f>C121</f>
        <v>5</v>
      </c>
      <c r="D126" s="1124"/>
      <c r="E126" s="1124"/>
      <c r="F126" s="1124">
        <f>F125</f>
        <v>1.041885</v>
      </c>
      <c r="G126" s="1124"/>
      <c r="H126" s="1124"/>
      <c r="I126" s="1124"/>
      <c r="J126" s="1124"/>
      <c r="K126" s="1124">
        <f>K125</f>
        <v>4</v>
      </c>
      <c r="L126" s="1124">
        <f>L121</f>
        <v>1</v>
      </c>
      <c r="M126" s="1138">
        <f>C126*F126*K126</f>
        <v>20.837699999999998</v>
      </c>
      <c r="N126" s="1125"/>
      <c r="O126" s="462"/>
      <c r="P126" s="1126"/>
      <c r="Q126" s="462"/>
      <c r="R126" s="462"/>
      <c r="S126" s="462"/>
      <c r="T126" s="1113"/>
      <c r="U126" s="1113"/>
      <c r="V126" s="1113"/>
    </row>
    <row r="127" spans="1:22" ht="15.75" customHeight="1">
      <c r="A127" s="1136"/>
      <c r="B127" s="358"/>
      <c r="C127" s="1124"/>
      <c r="D127" s="1124"/>
      <c r="E127" s="1124"/>
      <c r="F127" s="1124"/>
      <c r="G127" s="1124"/>
      <c r="H127" s="1124"/>
      <c r="I127" s="1124"/>
      <c r="J127" s="1124"/>
      <c r="K127" s="1124"/>
      <c r="L127" s="1124"/>
      <c r="M127" s="1132">
        <f>SUM(M124:M126)</f>
        <v>125.0262</v>
      </c>
      <c r="N127" s="1133" t="s">
        <v>100</v>
      </c>
      <c r="O127" s="462"/>
      <c r="P127" s="1126"/>
      <c r="Q127" s="462"/>
      <c r="R127" s="462"/>
      <c r="S127" s="462"/>
      <c r="T127" s="1113"/>
      <c r="U127" s="1113"/>
      <c r="V127" s="1113"/>
    </row>
    <row r="128" spans="1:22" ht="15.75" customHeight="1">
      <c r="A128" s="1136" t="s">
        <v>101</v>
      </c>
      <c r="B128" s="358" t="s">
        <v>899</v>
      </c>
      <c r="C128" s="1124"/>
      <c r="D128" s="1124"/>
      <c r="E128" s="1124"/>
      <c r="F128" s="1124"/>
      <c r="G128" s="1124"/>
      <c r="H128" s="1124"/>
      <c r="I128" s="1124"/>
      <c r="J128" s="1124"/>
      <c r="K128" s="1124"/>
      <c r="L128" s="1124"/>
      <c r="M128" s="1124"/>
      <c r="N128" s="1125"/>
      <c r="O128" s="462"/>
      <c r="P128" s="1126"/>
      <c r="Q128" s="462"/>
      <c r="R128" s="462"/>
      <c r="S128" s="462"/>
      <c r="T128" s="1113"/>
      <c r="U128" s="1113"/>
      <c r="V128" s="1113"/>
    </row>
    <row r="129" spans="1:22" ht="15.75" customHeight="1">
      <c r="A129" s="1136"/>
      <c r="B129" s="1137" t="str">
        <f>B124</f>
        <v>horisontal</v>
      </c>
      <c r="C129" s="1124">
        <f>(0.1+0.15)*2</f>
        <v>0.5</v>
      </c>
      <c r="D129" s="1124"/>
      <c r="E129" s="1124"/>
      <c r="F129" s="1124">
        <v>0.1</v>
      </c>
      <c r="G129" s="1124"/>
      <c r="H129" s="1124"/>
      <c r="I129" s="1124">
        <f>8*8*0.006165</f>
        <v>0.39456000000000002</v>
      </c>
      <c r="J129" s="1124"/>
      <c r="K129" s="1124">
        <f>ROUNDUP((C119/0.125),0.5)</f>
        <v>24</v>
      </c>
      <c r="L129" s="1124">
        <f>L119</f>
        <v>5</v>
      </c>
      <c r="M129" s="1124">
        <f>(C129+F129)*I129*K129*L129</f>
        <v>28.408319999999996</v>
      </c>
      <c r="N129" s="1125"/>
      <c r="O129" s="462"/>
      <c r="P129" s="1126"/>
      <c r="Q129" s="462"/>
      <c r="R129" s="462"/>
      <c r="S129" s="462"/>
      <c r="T129" s="1113"/>
      <c r="U129" s="1113"/>
      <c r="V129" s="1113"/>
    </row>
    <row r="130" spans="1:22" ht="15.75" customHeight="1">
      <c r="A130" s="1136"/>
      <c r="B130" s="1137" t="str">
        <f>B125</f>
        <v>vertikal</v>
      </c>
      <c r="C130" s="1124">
        <f>C129</f>
        <v>0.5</v>
      </c>
      <c r="D130" s="1124"/>
      <c r="E130" s="1124"/>
      <c r="F130" s="1124">
        <f>F129</f>
        <v>0.1</v>
      </c>
      <c r="G130" s="1124"/>
      <c r="H130" s="1124"/>
      <c r="I130" s="1124">
        <f>I129</f>
        <v>0.39456000000000002</v>
      </c>
      <c r="J130" s="1124"/>
      <c r="K130" s="1124">
        <f>ROUNDUP((C120/0.125),0.5)</f>
        <v>80</v>
      </c>
      <c r="L130" s="1124">
        <f>L120</f>
        <v>1</v>
      </c>
      <c r="M130" s="1124">
        <f>(C130+F130)*I130*K130*L130</f>
        <v>18.938880000000001</v>
      </c>
      <c r="N130" s="1125"/>
      <c r="O130" s="462"/>
      <c r="P130" s="1126"/>
      <c r="Q130" s="462"/>
      <c r="R130" s="462"/>
      <c r="S130" s="462"/>
      <c r="T130" s="1113"/>
      <c r="U130" s="1113"/>
      <c r="V130" s="1113"/>
    </row>
    <row r="131" spans="1:22" ht="15.75" customHeight="1">
      <c r="A131" s="1136"/>
      <c r="B131" s="1137"/>
      <c r="C131" s="1124">
        <f>C130</f>
        <v>0.5</v>
      </c>
      <c r="D131" s="1124"/>
      <c r="E131" s="1124"/>
      <c r="F131" s="1124">
        <f>F130</f>
        <v>0.1</v>
      </c>
      <c r="G131" s="1124"/>
      <c r="H131" s="1124"/>
      <c r="I131" s="1124">
        <f>I130</f>
        <v>0.39456000000000002</v>
      </c>
      <c r="J131" s="1124"/>
      <c r="K131" s="1124">
        <f>ROUNDUP((C121/0.125),0.5)</f>
        <v>40</v>
      </c>
      <c r="L131" s="1124">
        <f>L121</f>
        <v>1</v>
      </c>
      <c r="M131" s="1138">
        <f>(C131+F131)*I131*K131*L131</f>
        <v>9.4694400000000005</v>
      </c>
      <c r="N131" s="1125"/>
      <c r="O131" s="462"/>
      <c r="P131" s="1126"/>
      <c r="Q131" s="462"/>
      <c r="R131" s="462"/>
      <c r="S131" s="462"/>
      <c r="T131" s="1113"/>
      <c r="U131" s="1113"/>
      <c r="V131" s="1113"/>
    </row>
    <row r="132" spans="1:22" ht="15.75" customHeight="1">
      <c r="A132" s="1136"/>
      <c r="B132" s="358"/>
      <c r="C132" s="1124"/>
      <c r="D132" s="1124"/>
      <c r="E132" s="1124"/>
      <c r="F132" s="1124"/>
      <c r="G132" s="1124"/>
      <c r="H132" s="1124"/>
      <c r="I132" s="1124"/>
      <c r="J132" s="1124"/>
      <c r="K132" s="1124"/>
      <c r="L132" s="1124"/>
      <c r="M132" s="1132">
        <f>SUM(M129:M131)</f>
        <v>56.81664</v>
      </c>
      <c r="N132" s="1133" t="s">
        <v>100</v>
      </c>
      <c r="O132" s="462"/>
      <c r="P132" s="1126"/>
      <c r="Q132" s="462"/>
      <c r="R132" s="462"/>
      <c r="S132" s="462"/>
      <c r="T132" s="1113"/>
      <c r="U132" s="1113"/>
      <c r="V132" s="1113"/>
    </row>
    <row r="133" spans="1:22" ht="15.75" customHeight="1">
      <c r="A133" s="1136" t="s">
        <v>121</v>
      </c>
      <c r="B133" s="358" t="s">
        <v>102</v>
      </c>
      <c r="C133" s="1124"/>
      <c r="D133" s="1124"/>
      <c r="E133" s="1124"/>
      <c r="F133" s="1124"/>
      <c r="G133" s="1124"/>
      <c r="H133" s="1124"/>
      <c r="I133" s="1124"/>
      <c r="J133" s="1124"/>
      <c r="K133" s="1124"/>
      <c r="L133" s="1124"/>
      <c r="M133" s="1124"/>
      <c r="N133" s="1125"/>
      <c r="O133" s="462"/>
      <c r="P133" s="462"/>
      <c r="Q133" s="462"/>
      <c r="R133" s="462"/>
      <c r="S133" s="462"/>
      <c r="T133" s="1113"/>
      <c r="U133" s="1113"/>
      <c r="V133" s="1113"/>
    </row>
    <row r="134" spans="1:22" ht="15.75" customHeight="1">
      <c r="A134" s="1136"/>
      <c r="B134" s="1137" t="str">
        <f>B129</f>
        <v>horisontal</v>
      </c>
      <c r="C134" s="1124">
        <f>C119</f>
        <v>3</v>
      </c>
      <c r="D134" s="1124">
        <v>0.25</v>
      </c>
      <c r="E134" s="1124">
        <v>0.3</v>
      </c>
      <c r="F134" s="1124"/>
      <c r="G134" s="1124"/>
      <c r="H134" s="1124"/>
      <c r="I134" s="1124"/>
      <c r="J134" s="1124"/>
      <c r="K134" s="1124"/>
      <c r="L134" s="1124">
        <f>L129</f>
        <v>5</v>
      </c>
      <c r="M134" s="1124">
        <f>C134*D134*E134*L134</f>
        <v>1.125</v>
      </c>
      <c r="N134" s="1125"/>
      <c r="O134" s="462"/>
      <c r="P134" s="462"/>
      <c r="Q134" s="462"/>
      <c r="R134" s="462"/>
      <c r="S134" s="462"/>
      <c r="T134" s="1113"/>
      <c r="U134" s="1113"/>
      <c r="V134" s="1113"/>
    </row>
    <row r="135" spans="1:22" ht="15.75" customHeight="1">
      <c r="A135" s="1136"/>
      <c r="B135" s="1137" t="str">
        <f>B130</f>
        <v>vertikal</v>
      </c>
      <c r="C135" s="1124">
        <f>C120</f>
        <v>10</v>
      </c>
      <c r="D135" s="1124">
        <f>D134</f>
        <v>0.25</v>
      </c>
      <c r="E135" s="1124">
        <f>E134</f>
        <v>0.3</v>
      </c>
      <c r="F135" s="1124"/>
      <c r="G135" s="1124"/>
      <c r="H135" s="1124"/>
      <c r="I135" s="1124"/>
      <c r="J135" s="1124"/>
      <c r="K135" s="1124"/>
      <c r="L135" s="1124">
        <f>L130</f>
        <v>1</v>
      </c>
      <c r="M135" s="1124">
        <f>C135*D135*E135*L135</f>
        <v>0.75</v>
      </c>
      <c r="N135" s="1125"/>
      <c r="O135" s="462"/>
      <c r="P135" s="462"/>
      <c r="Q135" s="462"/>
      <c r="R135" s="462"/>
      <c r="S135" s="462"/>
      <c r="T135" s="1113"/>
      <c r="U135" s="1113"/>
      <c r="V135" s="1113"/>
    </row>
    <row r="136" spans="1:22" ht="15.75" customHeight="1">
      <c r="A136" s="1136"/>
      <c r="B136" s="1137"/>
      <c r="C136" s="1124">
        <f>C121</f>
        <v>5</v>
      </c>
      <c r="D136" s="1124">
        <f>D135</f>
        <v>0.25</v>
      </c>
      <c r="E136" s="1124">
        <f>E135</f>
        <v>0.3</v>
      </c>
      <c r="F136" s="1124"/>
      <c r="G136" s="1124"/>
      <c r="H136" s="1124"/>
      <c r="I136" s="1124"/>
      <c r="J136" s="1124"/>
      <c r="K136" s="1124"/>
      <c r="L136" s="1124">
        <f>L131</f>
        <v>1</v>
      </c>
      <c r="M136" s="1138">
        <f>C136*D136*E136*L136</f>
        <v>0.375</v>
      </c>
      <c r="N136" s="1125"/>
      <c r="O136" s="462"/>
      <c r="P136" s="462"/>
      <c r="Q136" s="462"/>
      <c r="R136" s="462"/>
      <c r="S136" s="462"/>
      <c r="T136" s="1113"/>
      <c r="U136" s="1113"/>
      <c r="V136" s="1113"/>
    </row>
    <row r="137" spans="1:22" ht="15.75" customHeight="1">
      <c r="A137" s="1136"/>
      <c r="B137" s="358"/>
      <c r="C137" s="1124"/>
      <c r="D137" s="1124"/>
      <c r="E137" s="1124"/>
      <c r="F137" s="1124"/>
      <c r="G137" s="1124"/>
      <c r="H137" s="1124"/>
      <c r="I137" s="1124"/>
      <c r="J137" s="1124"/>
      <c r="K137" s="1124"/>
      <c r="L137" s="1124"/>
      <c r="M137" s="1132">
        <f>SUM(M134:M136)</f>
        <v>2.25</v>
      </c>
      <c r="N137" s="1133" t="s">
        <v>103</v>
      </c>
      <c r="O137" s="462"/>
      <c r="P137" s="462"/>
      <c r="Q137" s="462"/>
      <c r="R137" s="462"/>
      <c r="S137" s="462"/>
      <c r="T137" s="1113"/>
      <c r="U137" s="1113"/>
      <c r="V137" s="1113"/>
    </row>
    <row r="138" spans="1:22" ht="15.75" customHeight="1">
      <c r="A138" s="350">
        <f>A117+1</f>
        <v>7</v>
      </c>
      <c r="B138" s="351" t="s">
        <v>412</v>
      </c>
      <c r="C138" s="1124"/>
      <c r="D138" s="1124"/>
      <c r="E138" s="1124"/>
      <c r="F138" s="1124"/>
      <c r="G138" s="1124"/>
      <c r="H138" s="1124"/>
      <c r="I138" s="1124"/>
      <c r="J138" s="1124"/>
      <c r="K138" s="1124"/>
      <c r="L138" s="1124"/>
      <c r="M138" s="1132"/>
      <c r="N138" s="1133"/>
      <c r="O138" s="462"/>
      <c r="P138" s="462"/>
      <c r="Q138" s="462"/>
      <c r="R138" s="462"/>
      <c r="S138" s="462"/>
      <c r="T138" s="1113"/>
      <c r="U138" s="1113"/>
      <c r="V138" s="1113"/>
    </row>
    <row r="139" spans="1:22" ht="15.75" customHeight="1">
      <c r="A139" s="1136" t="s">
        <v>95</v>
      </c>
      <c r="B139" s="359" t="s">
        <v>413</v>
      </c>
      <c r="C139" s="1124"/>
      <c r="D139" s="1124"/>
      <c r="E139" s="1124"/>
      <c r="F139" s="1124"/>
      <c r="G139" s="1124"/>
      <c r="H139" s="1124"/>
      <c r="I139" s="1124"/>
      <c r="J139" s="1124"/>
      <c r="K139" s="1124"/>
      <c r="L139" s="1124"/>
      <c r="M139" s="1132"/>
      <c r="N139" s="1125"/>
      <c r="O139" s="462"/>
      <c r="P139" s="462"/>
      <c r="Q139" s="462"/>
      <c r="R139" s="462"/>
      <c r="S139" s="462"/>
      <c r="T139" s="1113"/>
      <c r="U139" s="1113"/>
      <c r="V139" s="1113"/>
    </row>
    <row r="140" spans="1:22" ht="15.75" customHeight="1">
      <c r="A140" s="1136"/>
      <c r="B140" s="351"/>
      <c r="C140" s="1124">
        <v>20</v>
      </c>
      <c r="D140" s="1124">
        <v>5</v>
      </c>
      <c r="E140" s="1124">
        <v>0.15</v>
      </c>
      <c r="F140" s="1124"/>
      <c r="G140" s="1124"/>
      <c r="H140" s="1124"/>
      <c r="I140" s="1124"/>
      <c r="J140" s="1124"/>
      <c r="K140" s="1124"/>
      <c r="L140" s="1124"/>
      <c r="M140" s="1124">
        <f>C140*D140*E140</f>
        <v>15</v>
      </c>
      <c r="N140" s="1125"/>
      <c r="O140" s="462"/>
      <c r="P140" s="462"/>
      <c r="Q140" s="462"/>
      <c r="R140" s="462"/>
      <c r="S140" s="462"/>
      <c r="T140" s="1113"/>
      <c r="U140" s="1113"/>
      <c r="V140" s="1113"/>
    </row>
    <row r="141" spans="1:22" ht="15.75" customHeight="1">
      <c r="A141" s="1136"/>
      <c r="B141" s="351"/>
      <c r="C141" s="1124">
        <v>10</v>
      </c>
      <c r="D141" s="1124">
        <f>D140</f>
        <v>5</v>
      </c>
      <c r="E141" s="1124">
        <f>E140</f>
        <v>0.15</v>
      </c>
      <c r="F141" s="1124"/>
      <c r="G141" s="1124"/>
      <c r="H141" s="1124"/>
      <c r="I141" s="1124"/>
      <c r="J141" s="1124"/>
      <c r="K141" s="1124"/>
      <c r="L141" s="1124"/>
      <c r="M141" s="1138">
        <f>C141*D141*E141</f>
        <v>7.5</v>
      </c>
      <c r="N141" s="1125"/>
      <c r="O141" s="462"/>
      <c r="P141" s="462"/>
      <c r="Q141" s="462"/>
      <c r="R141" s="462"/>
      <c r="S141" s="462"/>
      <c r="T141" s="1113"/>
      <c r="U141" s="1113"/>
      <c r="V141" s="1113"/>
    </row>
    <row r="142" spans="1:22" ht="15.75" customHeight="1">
      <c r="A142" s="1136"/>
      <c r="B142" s="351"/>
      <c r="C142" s="1124"/>
      <c r="D142" s="1124"/>
      <c r="E142" s="1124"/>
      <c r="F142" s="1124"/>
      <c r="G142" s="1124"/>
      <c r="H142" s="1124"/>
      <c r="I142" s="1124"/>
      <c r="J142" s="1124"/>
      <c r="K142" s="1124"/>
      <c r="L142" s="1124"/>
      <c r="M142" s="1132">
        <f>SUM(M140:M141)</f>
        <v>22.5</v>
      </c>
      <c r="N142" s="1133" t="s">
        <v>103</v>
      </c>
      <c r="O142" s="462"/>
      <c r="P142" s="462"/>
      <c r="Q142" s="462"/>
      <c r="R142" s="462"/>
      <c r="S142" s="462"/>
      <c r="T142" s="1113"/>
      <c r="U142" s="1113"/>
      <c r="V142" s="1113"/>
    </row>
    <row r="143" spans="1:22" ht="15.75" customHeight="1">
      <c r="A143" s="1136" t="s">
        <v>98</v>
      </c>
      <c r="B143" s="351" t="s">
        <v>414</v>
      </c>
      <c r="C143" s="1124"/>
      <c r="D143" s="1124"/>
      <c r="E143" s="1124"/>
      <c r="F143" s="1124"/>
      <c r="G143" s="1124"/>
      <c r="H143" s="1124"/>
      <c r="I143" s="1124"/>
      <c r="J143" s="1124"/>
      <c r="K143" s="1124"/>
      <c r="L143" s="1124"/>
      <c r="M143" s="1124">
        <f>M142</f>
        <v>22.5</v>
      </c>
      <c r="N143" s="1125" t="s">
        <v>103</v>
      </c>
      <c r="O143" s="462"/>
      <c r="P143" s="462"/>
      <c r="Q143" s="462"/>
      <c r="R143" s="462"/>
      <c r="S143" s="462"/>
      <c r="T143" s="1113"/>
      <c r="U143" s="1113"/>
      <c r="V143" s="1113"/>
    </row>
    <row r="144" spans="1:22" ht="15.75" customHeight="1">
      <c r="A144" s="1136" t="s">
        <v>101</v>
      </c>
      <c r="B144" s="351" t="s">
        <v>415</v>
      </c>
      <c r="C144" s="1124"/>
      <c r="D144" s="1124"/>
      <c r="E144" s="1124"/>
      <c r="F144" s="1124"/>
      <c r="G144" s="1124"/>
      <c r="H144" s="1124"/>
      <c r="I144" s="1124"/>
      <c r="J144" s="1124"/>
      <c r="K144" s="1124"/>
      <c r="L144" s="1124"/>
      <c r="M144" s="1132"/>
      <c r="N144" s="1125"/>
      <c r="O144" s="462"/>
      <c r="P144" s="462"/>
      <c r="Q144" s="462"/>
      <c r="R144" s="462"/>
      <c r="S144" s="462"/>
      <c r="T144" s="1113"/>
      <c r="U144" s="1113"/>
      <c r="V144" s="1113"/>
    </row>
    <row r="145" spans="1:22" ht="15.75" customHeight="1">
      <c r="A145" s="1136"/>
      <c r="B145" s="351"/>
      <c r="C145" s="1124">
        <f>C140</f>
        <v>20</v>
      </c>
      <c r="D145" s="1124">
        <f>D140</f>
        <v>5</v>
      </c>
      <c r="E145" s="1124">
        <v>0.05</v>
      </c>
      <c r="F145" s="1124"/>
      <c r="G145" s="1124"/>
      <c r="H145" s="1124"/>
      <c r="I145" s="1124"/>
      <c r="J145" s="1124"/>
      <c r="K145" s="1124"/>
      <c r="L145" s="1124"/>
      <c r="M145" s="1124">
        <f>C145*D145*E145</f>
        <v>5</v>
      </c>
      <c r="N145" s="1125"/>
      <c r="O145" s="462"/>
      <c r="P145" s="462"/>
      <c r="Q145" s="462"/>
      <c r="R145" s="462"/>
      <c r="S145" s="462"/>
      <c r="T145" s="1113"/>
      <c r="U145" s="1113"/>
      <c r="V145" s="1113"/>
    </row>
    <row r="146" spans="1:22" ht="15.75" customHeight="1">
      <c r="A146" s="1136"/>
      <c r="B146" s="351"/>
      <c r="C146" s="1124">
        <f>C141</f>
        <v>10</v>
      </c>
      <c r="D146" s="1124">
        <f>D145</f>
        <v>5</v>
      </c>
      <c r="E146" s="1124">
        <f>E145</f>
        <v>0.05</v>
      </c>
      <c r="F146" s="1124"/>
      <c r="G146" s="1124"/>
      <c r="H146" s="1124"/>
      <c r="I146" s="1124"/>
      <c r="J146" s="1124"/>
      <c r="K146" s="1124"/>
      <c r="L146" s="1124"/>
      <c r="M146" s="1138">
        <f>C146*D146*E146</f>
        <v>2.5</v>
      </c>
      <c r="N146" s="1125"/>
      <c r="O146" s="462"/>
      <c r="P146" s="462"/>
      <c r="Q146" s="462"/>
      <c r="R146" s="462"/>
      <c r="S146" s="462"/>
      <c r="T146" s="1113"/>
      <c r="U146" s="1113"/>
      <c r="V146" s="1113"/>
    </row>
    <row r="147" spans="1:22" ht="15.75" customHeight="1">
      <c r="A147" s="1136"/>
      <c r="B147" s="351"/>
      <c r="C147" s="1124"/>
      <c r="D147" s="1124"/>
      <c r="E147" s="1124"/>
      <c r="F147" s="1124"/>
      <c r="G147" s="1124"/>
      <c r="H147" s="1124"/>
      <c r="I147" s="1124"/>
      <c r="J147" s="1124"/>
      <c r="K147" s="1124"/>
      <c r="L147" s="1124"/>
      <c r="M147" s="1132">
        <f>SUM(M145:M146)</f>
        <v>7.5</v>
      </c>
      <c r="N147" s="1133" t="s">
        <v>103</v>
      </c>
      <c r="O147" s="462"/>
      <c r="P147" s="462"/>
      <c r="Q147" s="462"/>
      <c r="R147" s="462"/>
      <c r="S147" s="462"/>
      <c r="T147" s="1113"/>
      <c r="U147" s="1113"/>
      <c r="V147" s="1113"/>
    </row>
    <row r="148" spans="1:22" ht="15.75" customHeight="1">
      <c r="A148" s="1136" t="s">
        <v>121</v>
      </c>
      <c r="B148" s="351" t="s">
        <v>496</v>
      </c>
      <c r="C148" s="1124"/>
      <c r="D148" s="1124"/>
      <c r="E148" s="1124"/>
      <c r="F148" s="1124"/>
      <c r="G148" s="1124"/>
      <c r="H148" s="1124"/>
      <c r="I148" s="1124"/>
      <c r="J148" s="1124"/>
      <c r="K148" s="1124"/>
      <c r="L148" s="1124"/>
      <c r="M148" s="1132"/>
      <c r="N148" s="1125"/>
      <c r="O148" s="462"/>
      <c r="P148" s="462"/>
      <c r="Q148" s="462"/>
      <c r="R148" s="462"/>
      <c r="S148" s="462"/>
      <c r="T148" s="1113"/>
      <c r="U148" s="1113"/>
      <c r="V148" s="1113"/>
    </row>
    <row r="149" spans="1:22" ht="15.75" customHeight="1">
      <c r="A149" s="1136"/>
      <c r="B149" s="351"/>
      <c r="C149" s="1124">
        <f>C145</f>
        <v>20</v>
      </c>
      <c r="D149" s="1124">
        <f>D145</f>
        <v>5</v>
      </c>
      <c r="E149" s="1124">
        <f>E145</f>
        <v>0.05</v>
      </c>
      <c r="F149" s="1124"/>
      <c r="G149" s="1124"/>
      <c r="H149" s="1124"/>
      <c r="I149" s="1124"/>
      <c r="J149" s="1124"/>
      <c r="K149" s="1124"/>
      <c r="L149" s="1124"/>
      <c r="M149" s="1124">
        <f>C149*D149*E149</f>
        <v>5</v>
      </c>
      <c r="N149" s="1125"/>
      <c r="O149" s="462"/>
      <c r="P149" s="462"/>
      <c r="Q149" s="462"/>
      <c r="R149" s="462"/>
      <c r="S149" s="462"/>
      <c r="T149" s="1113"/>
      <c r="U149" s="1113"/>
      <c r="V149" s="1113"/>
    </row>
    <row r="150" spans="1:22" ht="15.75" customHeight="1">
      <c r="A150" s="1136"/>
      <c r="B150" s="351"/>
      <c r="C150" s="1124">
        <f>C146</f>
        <v>10</v>
      </c>
      <c r="D150" s="1124">
        <f>D146</f>
        <v>5</v>
      </c>
      <c r="E150" s="1124">
        <f>E149</f>
        <v>0.05</v>
      </c>
      <c r="F150" s="1124"/>
      <c r="G150" s="1124"/>
      <c r="H150" s="1124"/>
      <c r="I150" s="1124"/>
      <c r="J150" s="1124"/>
      <c r="K150" s="1124"/>
      <c r="L150" s="1124"/>
      <c r="M150" s="1138">
        <f>C150*D150*E150</f>
        <v>2.5</v>
      </c>
      <c r="N150" s="1125"/>
      <c r="O150" s="462"/>
      <c r="P150" s="462"/>
      <c r="Q150" s="462"/>
      <c r="R150" s="462"/>
      <c r="S150" s="462"/>
      <c r="T150" s="1113"/>
      <c r="U150" s="1113"/>
      <c r="V150" s="1113"/>
    </row>
    <row r="151" spans="1:22" ht="15.75" customHeight="1">
      <c r="A151" s="1136"/>
      <c r="B151" s="351"/>
      <c r="C151" s="1124"/>
      <c r="D151" s="1124"/>
      <c r="E151" s="1124"/>
      <c r="F151" s="1124"/>
      <c r="G151" s="1124"/>
      <c r="H151" s="1124"/>
      <c r="I151" s="1124"/>
      <c r="J151" s="1124"/>
      <c r="K151" s="1124"/>
      <c r="L151" s="1124"/>
      <c r="M151" s="1132">
        <f>SUM(M149:M150)</f>
        <v>7.5</v>
      </c>
      <c r="N151" s="1133" t="s">
        <v>103</v>
      </c>
      <c r="O151" s="462"/>
      <c r="P151" s="462"/>
      <c r="Q151" s="462"/>
      <c r="R151" s="462"/>
      <c r="S151" s="462"/>
      <c r="T151" s="1113"/>
      <c r="U151" s="1113"/>
      <c r="V151" s="1113"/>
    </row>
    <row r="152" spans="1:22" ht="15.75" customHeight="1">
      <c r="A152" s="1135">
        <f>A138+1</f>
        <v>8</v>
      </c>
      <c r="B152" s="358" t="s">
        <v>1521</v>
      </c>
      <c r="C152" s="1132"/>
      <c r="D152" s="1132"/>
      <c r="E152" s="1124"/>
      <c r="F152" s="1124"/>
      <c r="G152" s="1124"/>
      <c r="H152" s="1124"/>
      <c r="I152" s="1124"/>
      <c r="J152" s="1124"/>
      <c r="K152" s="1124"/>
      <c r="L152" s="1124"/>
      <c r="M152" s="1124"/>
      <c r="N152" s="1125"/>
      <c r="O152" s="462"/>
      <c r="P152" s="1126"/>
      <c r="Q152" s="462"/>
      <c r="R152" s="462"/>
      <c r="S152" s="462"/>
      <c r="T152" s="1113"/>
      <c r="U152" s="1113"/>
      <c r="V152" s="1113"/>
    </row>
    <row r="153" spans="1:22" ht="15.75" customHeight="1">
      <c r="A153" s="1136" t="s">
        <v>95</v>
      </c>
      <c r="B153" s="358" t="s">
        <v>1522</v>
      </c>
      <c r="C153" s="330"/>
      <c r="D153" s="330">
        <v>0.25</v>
      </c>
      <c r="E153" s="330">
        <v>0.9</v>
      </c>
      <c r="F153" s="330"/>
      <c r="G153" s="330">
        <v>4</v>
      </c>
      <c r="H153" s="330"/>
      <c r="I153" s="330"/>
      <c r="J153" s="330"/>
      <c r="K153" s="330"/>
      <c r="L153" s="330">
        <f>L16</f>
        <v>17</v>
      </c>
      <c r="M153" s="330">
        <f>D153*(E153+J153)*G153*L153</f>
        <v>15.3</v>
      </c>
      <c r="N153" s="1125" t="s">
        <v>89</v>
      </c>
      <c r="O153" s="1126"/>
      <c r="P153" s="462"/>
      <c r="Q153" s="462"/>
      <c r="R153" s="462"/>
      <c r="S153" s="1113"/>
      <c r="T153" s="1113"/>
      <c r="U153" s="1113"/>
    </row>
    <row r="154" spans="1:22" ht="15.75" customHeight="1">
      <c r="A154" s="1136" t="s">
        <v>98</v>
      </c>
      <c r="B154" s="358" t="s">
        <v>902</v>
      </c>
      <c r="C154" s="330"/>
      <c r="D154" s="330"/>
      <c r="E154" s="330">
        <v>1.4</v>
      </c>
      <c r="F154" s="330">
        <v>8</v>
      </c>
      <c r="G154" s="330"/>
      <c r="H154" s="330"/>
      <c r="I154" s="330">
        <v>0.2</v>
      </c>
      <c r="J154" s="330"/>
      <c r="K154" s="330">
        <f>13*13*0.006165</f>
        <v>1.041885</v>
      </c>
      <c r="L154" s="330">
        <f>L153</f>
        <v>17</v>
      </c>
      <c r="M154" s="330">
        <f>(E154+I154)*F154*K154*L154</f>
        <v>226.71417599999998</v>
      </c>
      <c r="N154" s="1125" t="s">
        <v>100</v>
      </c>
      <c r="O154" s="1126"/>
      <c r="P154" s="462"/>
      <c r="Q154" s="462"/>
      <c r="R154" s="462"/>
      <c r="S154" s="1113"/>
      <c r="T154" s="1113"/>
      <c r="U154" s="1113"/>
    </row>
    <row r="155" spans="1:22" ht="15.75" customHeight="1">
      <c r="A155" s="1136" t="s">
        <v>101</v>
      </c>
      <c r="B155" s="358" t="s">
        <v>899</v>
      </c>
      <c r="C155" s="330">
        <f>0.17*4</f>
        <v>0.68</v>
      </c>
      <c r="D155" s="330"/>
      <c r="E155" s="330"/>
      <c r="F155" s="330">
        <f>ROUNDDOWN((E154/0.15),0.1)</f>
        <v>9</v>
      </c>
      <c r="G155" s="330"/>
      <c r="H155" s="330">
        <f>0.05*2</f>
        <v>0.1</v>
      </c>
      <c r="I155" s="330"/>
      <c r="J155" s="330"/>
      <c r="K155" s="330">
        <f>8*8*0.006165</f>
        <v>0.39456000000000002</v>
      </c>
      <c r="L155" s="330">
        <f>L154</f>
        <v>17</v>
      </c>
      <c r="M155" s="330">
        <f>(C155+H155)*F155*K155*L155</f>
        <v>47.086790400000005</v>
      </c>
      <c r="N155" s="1125" t="s">
        <v>100</v>
      </c>
      <c r="O155" s="1126"/>
      <c r="P155" s="462"/>
      <c r="Q155" s="462"/>
      <c r="R155" s="462"/>
      <c r="S155" s="1113"/>
      <c r="T155" s="1113"/>
      <c r="U155" s="1113"/>
    </row>
    <row r="156" spans="1:22" ht="15.75" customHeight="1">
      <c r="A156" s="1136" t="s">
        <v>121</v>
      </c>
      <c r="B156" s="358" t="s">
        <v>102</v>
      </c>
      <c r="C156" s="330">
        <v>0.25</v>
      </c>
      <c r="D156" s="330">
        <v>0.25</v>
      </c>
      <c r="E156" s="330">
        <f>E153</f>
        <v>0.9</v>
      </c>
      <c r="F156" s="330"/>
      <c r="G156" s="330"/>
      <c r="H156" s="330"/>
      <c r="I156" s="330"/>
      <c r="J156" s="330"/>
      <c r="K156" s="330"/>
      <c r="L156" s="330">
        <f>L154</f>
        <v>17</v>
      </c>
      <c r="M156" s="330">
        <f>C156*D156*(E156+J156)*L156</f>
        <v>0.95625000000000004</v>
      </c>
      <c r="N156" s="1125" t="s">
        <v>103</v>
      </c>
      <c r="O156" s="1126"/>
      <c r="P156" s="462"/>
      <c r="Q156" s="462"/>
      <c r="R156" s="462"/>
      <c r="S156" s="1113"/>
      <c r="T156" s="1113"/>
      <c r="U156" s="1113"/>
    </row>
    <row r="157" spans="1:22" ht="15.75" customHeight="1">
      <c r="A157" s="1135">
        <f>A152+1</f>
        <v>9</v>
      </c>
      <c r="B157" s="358" t="s">
        <v>949</v>
      </c>
      <c r="C157" s="382"/>
      <c r="D157" s="382"/>
      <c r="E157" s="382"/>
      <c r="F157" s="382"/>
      <c r="G157" s="382"/>
      <c r="H157" s="382"/>
      <c r="I157" s="382"/>
      <c r="J157" s="382"/>
      <c r="K157" s="382"/>
      <c r="L157" s="382"/>
      <c r="M157" s="382"/>
      <c r="N157" s="1125"/>
      <c r="O157" s="462"/>
      <c r="P157" s="1126"/>
      <c r="Q157" s="462"/>
      <c r="R157" s="462"/>
      <c r="S157" s="462"/>
      <c r="T157" s="1113"/>
      <c r="U157" s="1113"/>
      <c r="V157" s="1113"/>
    </row>
    <row r="158" spans="1:22" ht="15.75" customHeight="1">
      <c r="A158" s="1136" t="s">
        <v>95</v>
      </c>
      <c r="B158" s="358" t="s">
        <v>1522</v>
      </c>
      <c r="C158" s="330"/>
      <c r="D158" s="330">
        <v>0.25</v>
      </c>
      <c r="E158" s="330">
        <v>3.58</v>
      </c>
      <c r="F158" s="330"/>
      <c r="G158" s="330">
        <v>4</v>
      </c>
      <c r="H158" s="330"/>
      <c r="I158" s="330"/>
      <c r="J158" s="330"/>
      <c r="K158" s="330"/>
      <c r="L158" s="330">
        <f>L153</f>
        <v>17</v>
      </c>
      <c r="M158" s="330">
        <f>D158*E158*G158*L158</f>
        <v>60.86</v>
      </c>
      <c r="N158" s="1125" t="s">
        <v>89</v>
      </c>
      <c r="O158" s="1126"/>
      <c r="P158" s="462"/>
      <c r="Q158" s="462"/>
      <c r="R158" s="462"/>
      <c r="S158" s="1113"/>
      <c r="T158" s="1113"/>
      <c r="U158" s="1113"/>
    </row>
    <row r="159" spans="1:22" ht="15.75" customHeight="1">
      <c r="A159" s="1136" t="s">
        <v>98</v>
      </c>
      <c r="B159" s="358" t="s">
        <v>902</v>
      </c>
      <c r="C159" s="330"/>
      <c r="D159" s="330"/>
      <c r="E159" s="330">
        <f>E158</f>
        <v>3.58</v>
      </c>
      <c r="F159" s="330">
        <v>8</v>
      </c>
      <c r="G159" s="330"/>
      <c r="H159" s="330"/>
      <c r="I159" s="330">
        <v>0.2</v>
      </c>
      <c r="J159" s="330"/>
      <c r="K159" s="330">
        <f>13*13*0.006165</f>
        <v>1.041885</v>
      </c>
      <c r="L159" s="330">
        <f>L158</f>
        <v>17</v>
      </c>
      <c r="M159" s="330">
        <f>(E159+I159)*F159*K159*L159</f>
        <v>535.6122408</v>
      </c>
      <c r="N159" s="1125" t="s">
        <v>100</v>
      </c>
      <c r="O159" s="1126"/>
      <c r="P159" s="462"/>
      <c r="Q159" s="462"/>
      <c r="R159" s="462"/>
      <c r="S159" s="1113"/>
      <c r="T159" s="1113"/>
      <c r="U159" s="1113"/>
    </row>
    <row r="160" spans="1:22" ht="15.75" customHeight="1">
      <c r="A160" s="1136" t="s">
        <v>101</v>
      </c>
      <c r="B160" s="358" t="s">
        <v>899</v>
      </c>
      <c r="C160" s="330">
        <f>0.17*4</f>
        <v>0.68</v>
      </c>
      <c r="D160" s="330"/>
      <c r="E160" s="330"/>
      <c r="F160" s="330">
        <f>ROUNDDOWN((E159/0.125),0.5)</f>
        <v>28</v>
      </c>
      <c r="G160" s="330"/>
      <c r="H160" s="330">
        <f>0.05*2</f>
        <v>0.1</v>
      </c>
      <c r="I160" s="330"/>
      <c r="J160" s="330"/>
      <c r="K160" s="330">
        <f>8*8*0.006165</f>
        <v>0.39456000000000002</v>
      </c>
      <c r="L160" s="330">
        <f>L159</f>
        <v>17</v>
      </c>
      <c r="M160" s="330">
        <f>(C160+H160)*F160*K160*L160</f>
        <v>146.4922368</v>
      </c>
      <c r="N160" s="1125" t="s">
        <v>100</v>
      </c>
      <c r="O160" s="1126"/>
      <c r="P160" s="462"/>
      <c r="Q160" s="462"/>
      <c r="R160" s="462"/>
      <c r="S160" s="1113"/>
      <c r="T160" s="1113"/>
      <c r="U160" s="1113"/>
    </row>
    <row r="161" spans="1:22" ht="15.75" customHeight="1">
      <c r="A161" s="1136" t="s">
        <v>121</v>
      </c>
      <c r="B161" s="358" t="s">
        <v>102</v>
      </c>
      <c r="C161" s="330">
        <v>0.25</v>
      </c>
      <c r="D161" s="330">
        <v>0.25</v>
      </c>
      <c r="E161" s="330">
        <f>E159</f>
        <v>3.58</v>
      </c>
      <c r="F161" s="330"/>
      <c r="G161" s="330"/>
      <c r="H161" s="330"/>
      <c r="I161" s="330"/>
      <c r="J161" s="330"/>
      <c r="K161" s="330"/>
      <c r="L161" s="330">
        <f>L159</f>
        <v>17</v>
      </c>
      <c r="M161" s="330">
        <f>C161*D161*E161*L161</f>
        <v>3.80375</v>
      </c>
      <c r="N161" s="1125" t="s">
        <v>103</v>
      </c>
      <c r="O161" s="1126"/>
      <c r="P161" s="462"/>
      <c r="Q161" s="462"/>
      <c r="R161" s="462"/>
      <c r="S161" s="1113"/>
      <c r="T161" s="1113"/>
      <c r="U161" s="1113"/>
    </row>
    <row r="162" spans="1:22" ht="15.75" customHeight="1">
      <c r="A162" s="1135">
        <f>A157+1</f>
        <v>10</v>
      </c>
      <c r="B162" s="358" t="s">
        <v>903</v>
      </c>
      <c r="C162" s="1124"/>
      <c r="D162" s="1124"/>
      <c r="E162" s="1124"/>
      <c r="F162" s="1124"/>
      <c r="G162" s="1124"/>
      <c r="H162" s="1124"/>
      <c r="I162" s="1124"/>
      <c r="J162" s="1124"/>
      <c r="K162" s="1124"/>
      <c r="L162" s="1124"/>
      <c r="M162" s="1124"/>
      <c r="N162" s="1125"/>
      <c r="O162" s="462"/>
      <c r="P162" s="1126"/>
      <c r="Q162" s="462"/>
      <c r="R162" s="462"/>
      <c r="S162" s="462"/>
      <c r="T162" s="1113"/>
      <c r="U162" s="1113"/>
      <c r="V162" s="1113"/>
    </row>
    <row r="163" spans="1:22" ht="15.75" customHeight="1">
      <c r="A163" s="1136" t="s">
        <v>95</v>
      </c>
      <c r="B163" s="358" t="s">
        <v>1522</v>
      </c>
      <c r="C163" s="1124"/>
      <c r="D163" s="1124"/>
      <c r="E163" s="1124"/>
      <c r="F163" s="1124"/>
      <c r="G163" s="1124"/>
      <c r="H163" s="1124"/>
      <c r="I163" s="1124"/>
      <c r="J163" s="1124"/>
      <c r="K163" s="1124"/>
      <c r="L163" s="1124"/>
      <c r="M163" s="1124"/>
      <c r="N163" s="1125"/>
      <c r="O163" s="462"/>
      <c r="P163" s="1126"/>
      <c r="Q163" s="462"/>
      <c r="R163" s="462"/>
      <c r="S163" s="462"/>
      <c r="T163" s="1113"/>
      <c r="U163" s="1113"/>
      <c r="V163" s="1113"/>
    </row>
    <row r="164" spans="1:22" ht="15.75" customHeight="1">
      <c r="A164" s="1136"/>
      <c r="B164" s="1137"/>
      <c r="C164" s="1124"/>
      <c r="D164" s="1124">
        <v>0.15</v>
      </c>
      <c r="E164" s="1124">
        <f>E158</f>
        <v>3.58</v>
      </c>
      <c r="F164" s="1124"/>
      <c r="G164" s="1124"/>
      <c r="H164" s="1124">
        <v>2</v>
      </c>
      <c r="I164" s="1124"/>
      <c r="J164" s="1124"/>
      <c r="K164" s="1124"/>
      <c r="L164" s="1124">
        <v>14</v>
      </c>
      <c r="M164" s="1124">
        <f>D164*H164*E164*L164</f>
        <v>15.036000000000001</v>
      </c>
      <c r="N164" s="1125"/>
      <c r="O164" s="462"/>
      <c r="P164" s="1126"/>
      <c r="Q164" s="462"/>
      <c r="R164" s="462"/>
      <c r="S164" s="462"/>
      <c r="T164" s="1113"/>
      <c r="U164" s="1113"/>
      <c r="V164" s="1113"/>
    </row>
    <row r="165" spans="1:22" ht="15.75" customHeight="1">
      <c r="A165" s="1136"/>
      <c r="B165" s="358"/>
      <c r="C165" s="1124"/>
      <c r="D165" s="1124"/>
      <c r="E165" s="1124"/>
      <c r="F165" s="1124"/>
      <c r="G165" s="1124"/>
      <c r="H165" s="1124"/>
      <c r="I165" s="1124"/>
      <c r="J165" s="1124"/>
      <c r="K165" s="1124"/>
      <c r="L165" s="1124"/>
      <c r="M165" s="1132">
        <f>SUM(M164:M164)</f>
        <v>15.036000000000001</v>
      </c>
      <c r="N165" s="1133" t="s">
        <v>89</v>
      </c>
      <c r="O165" s="462"/>
      <c r="P165" s="1126"/>
      <c r="Q165" s="462"/>
      <c r="R165" s="462"/>
      <c r="S165" s="462"/>
      <c r="T165" s="1113"/>
      <c r="U165" s="1113"/>
      <c r="V165" s="1113"/>
    </row>
    <row r="166" spans="1:22" ht="15.75" customHeight="1">
      <c r="A166" s="1136" t="s">
        <v>98</v>
      </c>
      <c r="B166" s="358" t="s">
        <v>1523</v>
      </c>
      <c r="C166" s="1124"/>
      <c r="D166" s="1124"/>
      <c r="E166" s="1124"/>
      <c r="F166" s="1124"/>
      <c r="G166" s="1124"/>
      <c r="H166" s="1124"/>
      <c r="I166" s="1124"/>
      <c r="J166" s="1124"/>
      <c r="K166" s="1124"/>
      <c r="L166" s="1124"/>
      <c r="M166" s="1124"/>
      <c r="N166" s="1125"/>
      <c r="O166" s="462"/>
      <c r="P166" s="1126"/>
      <c r="Q166" s="462"/>
      <c r="R166" s="462"/>
      <c r="S166" s="462"/>
      <c r="T166" s="1113"/>
      <c r="U166" s="1113"/>
      <c r="V166" s="1113"/>
    </row>
    <row r="167" spans="1:22" ht="15.75" customHeight="1">
      <c r="A167" s="1136"/>
      <c r="B167" s="1137"/>
      <c r="C167" s="1124"/>
      <c r="D167" s="1124"/>
      <c r="E167" s="382">
        <f>E164+0.2</f>
        <v>3.7800000000000002</v>
      </c>
      <c r="F167" s="1124">
        <f>13*13*0.006165</f>
        <v>1.041885</v>
      </c>
      <c r="G167" s="1124">
        <v>0.1</v>
      </c>
      <c r="H167" s="1124"/>
      <c r="I167" s="1124"/>
      <c r="J167" s="1124"/>
      <c r="K167" s="1124">
        <v>4</v>
      </c>
      <c r="L167" s="1124">
        <f>L164</f>
        <v>14</v>
      </c>
      <c r="M167" s="1131">
        <f>(E167+G167)*F167*K167*L167</f>
        <v>226.38077279999999</v>
      </c>
      <c r="N167" s="1125"/>
      <c r="O167" s="462"/>
      <c r="P167" s="1126"/>
      <c r="Q167" s="462"/>
      <c r="R167" s="462"/>
      <c r="S167" s="462"/>
      <c r="T167" s="1113"/>
      <c r="U167" s="1113"/>
      <c r="V167" s="1113"/>
    </row>
    <row r="168" spans="1:22" ht="15.75" customHeight="1">
      <c r="A168" s="1136"/>
      <c r="B168" s="358"/>
      <c r="C168" s="1124"/>
      <c r="D168" s="1124"/>
      <c r="E168" s="1124"/>
      <c r="F168" s="1124"/>
      <c r="G168" s="1124"/>
      <c r="H168" s="1124"/>
      <c r="I168" s="1124"/>
      <c r="J168" s="1124"/>
      <c r="K168" s="1124"/>
      <c r="L168" s="1124"/>
      <c r="M168" s="1132">
        <f>SUM(M167)</f>
        <v>226.38077279999999</v>
      </c>
      <c r="N168" s="1133" t="s">
        <v>100</v>
      </c>
      <c r="O168" s="462"/>
      <c r="P168" s="1126"/>
      <c r="Q168" s="462"/>
      <c r="R168" s="462"/>
      <c r="S168" s="462"/>
      <c r="T168" s="1113"/>
      <c r="U168" s="1113"/>
      <c r="V168" s="1113"/>
    </row>
    <row r="169" spans="1:22" ht="15.75" customHeight="1">
      <c r="A169" s="1136" t="s">
        <v>101</v>
      </c>
      <c r="B169" s="358" t="s">
        <v>1524</v>
      </c>
      <c r="C169" s="1124"/>
      <c r="D169" s="1124"/>
      <c r="E169" s="1124"/>
      <c r="F169" s="1124"/>
      <c r="G169" s="1124"/>
      <c r="H169" s="1124"/>
      <c r="I169" s="1124"/>
      <c r="J169" s="1124"/>
      <c r="K169" s="1124"/>
      <c r="L169" s="1124"/>
      <c r="M169" s="1124"/>
      <c r="N169" s="1125"/>
      <c r="O169" s="462"/>
      <c r="P169" s="1126"/>
      <c r="Q169" s="462"/>
      <c r="R169" s="462"/>
      <c r="S169" s="462"/>
      <c r="T169" s="1113"/>
      <c r="U169" s="1113"/>
      <c r="V169" s="1113"/>
    </row>
    <row r="170" spans="1:22" ht="15.75" customHeight="1">
      <c r="A170" s="1136"/>
      <c r="B170" s="1137"/>
      <c r="C170" s="382">
        <f>0.07*4</f>
        <v>0.28000000000000003</v>
      </c>
      <c r="D170" s="382"/>
      <c r="E170" s="382"/>
      <c r="F170" s="382">
        <f>8*8*0.006165</f>
        <v>0.39456000000000002</v>
      </c>
      <c r="G170" s="382">
        <v>0.1</v>
      </c>
      <c r="H170" s="382"/>
      <c r="I170" s="382"/>
      <c r="J170" s="382"/>
      <c r="K170" s="382">
        <f>ROUNDUP((E167/0.15),0.5)+1</f>
        <v>27</v>
      </c>
      <c r="L170" s="382">
        <f>L167</f>
        <v>14</v>
      </c>
      <c r="M170" s="382">
        <f>(C170+G170)*F170*K170*L170</f>
        <v>56.674598400000001</v>
      </c>
      <c r="N170" s="1125"/>
      <c r="O170" s="462"/>
      <c r="P170" s="1126"/>
      <c r="Q170" s="462"/>
      <c r="R170" s="462"/>
      <c r="S170" s="462"/>
      <c r="T170" s="1113"/>
      <c r="U170" s="1113"/>
      <c r="V170" s="1113"/>
    </row>
    <row r="171" spans="1:22" ht="15.75" customHeight="1">
      <c r="A171" s="1136"/>
      <c r="B171" s="358"/>
      <c r="C171" s="1124"/>
      <c r="D171" s="1124"/>
      <c r="E171" s="1124"/>
      <c r="F171" s="1124"/>
      <c r="G171" s="1124"/>
      <c r="H171" s="1124"/>
      <c r="I171" s="1124"/>
      <c r="J171" s="1124"/>
      <c r="K171" s="1124"/>
      <c r="L171" s="1124"/>
      <c r="M171" s="1132">
        <f>SUM(M170)</f>
        <v>56.674598400000001</v>
      </c>
      <c r="N171" s="1133" t="s">
        <v>100</v>
      </c>
      <c r="O171" s="462"/>
      <c r="P171" s="1126"/>
      <c r="Q171" s="462"/>
      <c r="R171" s="462"/>
      <c r="S171" s="462"/>
      <c r="T171" s="1113"/>
      <c r="U171" s="1113"/>
      <c r="V171" s="1113"/>
    </row>
    <row r="172" spans="1:22" ht="15.75" customHeight="1">
      <c r="A172" s="1136" t="s">
        <v>121</v>
      </c>
      <c r="B172" s="358" t="s">
        <v>102</v>
      </c>
      <c r="C172" s="1124"/>
      <c r="D172" s="1124"/>
      <c r="E172" s="1124"/>
      <c r="F172" s="1124"/>
      <c r="G172" s="1124"/>
      <c r="H172" s="1124"/>
      <c r="I172" s="1124"/>
      <c r="J172" s="1124"/>
      <c r="K172" s="1124"/>
      <c r="L172" s="1124"/>
      <c r="M172" s="1124"/>
      <c r="N172" s="1125"/>
      <c r="O172" s="462"/>
      <c r="P172" s="1126"/>
      <c r="Q172" s="462"/>
      <c r="R172" s="462"/>
      <c r="S172" s="462"/>
      <c r="T172" s="1113"/>
      <c r="U172" s="1113"/>
      <c r="V172" s="1113"/>
    </row>
    <row r="173" spans="1:22" ht="15.75" customHeight="1">
      <c r="A173" s="1136"/>
      <c r="B173" s="1137"/>
      <c r="C173" s="1124">
        <v>0.15</v>
      </c>
      <c r="D173" s="1124">
        <v>0.15</v>
      </c>
      <c r="E173" s="1124">
        <f>E164</f>
        <v>3.58</v>
      </c>
      <c r="F173" s="1124"/>
      <c r="G173" s="1124"/>
      <c r="H173" s="1124"/>
      <c r="I173" s="1124"/>
      <c r="J173" s="1124"/>
      <c r="K173" s="1124"/>
      <c r="L173" s="1124">
        <f>L170</f>
        <v>14</v>
      </c>
      <c r="M173" s="1124">
        <f>C173*D173*E173*L173</f>
        <v>1.1276999999999999</v>
      </c>
      <c r="N173" s="1125"/>
      <c r="O173" s="462"/>
      <c r="P173" s="1126"/>
      <c r="Q173" s="462"/>
      <c r="R173" s="462"/>
      <c r="S173" s="462"/>
      <c r="T173" s="1113"/>
      <c r="U173" s="1113"/>
      <c r="V173" s="1113"/>
    </row>
    <row r="174" spans="1:22" ht="15.75" customHeight="1">
      <c r="A174" s="1136"/>
      <c r="B174" s="358"/>
      <c r="C174" s="1124"/>
      <c r="D174" s="1124"/>
      <c r="E174" s="1124"/>
      <c r="F174" s="1124"/>
      <c r="G174" s="1124"/>
      <c r="H174" s="1124"/>
      <c r="I174" s="1124"/>
      <c r="J174" s="1124"/>
      <c r="K174" s="1124"/>
      <c r="L174" s="1124"/>
      <c r="M174" s="1132">
        <f>SUM(M173:M173)</f>
        <v>1.1276999999999999</v>
      </c>
      <c r="N174" s="1133" t="s">
        <v>103</v>
      </c>
      <c r="O174" s="462"/>
      <c r="P174" s="1126"/>
      <c r="Q174" s="462"/>
      <c r="R174" s="462"/>
      <c r="S174" s="462"/>
      <c r="T174" s="1113"/>
      <c r="U174" s="1113"/>
      <c r="V174" s="1113"/>
    </row>
    <row r="175" spans="1:22" ht="15.75" customHeight="1">
      <c r="A175" s="1135">
        <f>A162+1</f>
        <v>11</v>
      </c>
      <c r="B175" s="358" t="s">
        <v>1525</v>
      </c>
      <c r="C175" s="1124"/>
      <c r="D175" s="1124"/>
      <c r="E175" s="1124"/>
      <c r="F175" s="1124"/>
      <c r="G175" s="1124"/>
      <c r="H175" s="1124"/>
      <c r="I175" s="1124"/>
      <c r="J175" s="1124"/>
      <c r="K175" s="1124"/>
      <c r="L175" s="1124"/>
      <c r="M175" s="1124"/>
      <c r="N175" s="1125"/>
      <c r="O175" s="462"/>
      <c r="P175" s="1126"/>
      <c r="Q175" s="462"/>
      <c r="R175" s="462"/>
      <c r="S175" s="462"/>
      <c r="T175" s="1113"/>
      <c r="U175" s="1113"/>
      <c r="V175" s="1113"/>
    </row>
    <row r="176" spans="1:22" ht="15.75" customHeight="1">
      <c r="A176" s="1136" t="s">
        <v>95</v>
      </c>
      <c r="B176" s="358" t="s">
        <v>423</v>
      </c>
      <c r="C176" s="1124"/>
      <c r="D176" s="1124"/>
      <c r="E176" s="1124"/>
      <c r="F176" s="1124"/>
      <c r="G176" s="1124"/>
      <c r="H176" s="1124"/>
      <c r="I176" s="1124"/>
      <c r="J176" s="1124"/>
      <c r="K176" s="1124"/>
      <c r="L176" s="1124"/>
      <c r="M176" s="1124"/>
      <c r="N176" s="1125"/>
      <c r="O176" s="462"/>
      <c r="P176" s="1126"/>
      <c r="Q176" s="462"/>
      <c r="R176" s="462"/>
      <c r="S176" s="462"/>
      <c r="T176" s="1113"/>
      <c r="U176" s="1113"/>
      <c r="V176" s="1113"/>
    </row>
    <row r="177" spans="1:22" ht="15.75" customHeight="1">
      <c r="A177" s="1136"/>
      <c r="B177" s="1137" t="s">
        <v>1044</v>
      </c>
      <c r="C177" s="1124">
        <f>C112</f>
        <v>20</v>
      </c>
      <c r="D177" s="1124"/>
      <c r="E177" s="1124">
        <v>0.45</v>
      </c>
      <c r="F177" s="1124"/>
      <c r="G177" s="1124"/>
      <c r="H177" s="1124">
        <v>2</v>
      </c>
      <c r="I177" s="1124"/>
      <c r="J177" s="1124"/>
      <c r="K177" s="1124"/>
      <c r="L177" s="1124">
        <f>L106</f>
        <v>2</v>
      </c>
      <c r="M177" s="1124">
        <f>C177*E177*H177*L177</f>
        <v>36</v>
      </c>
      <c r="N177" s="1125"/>
      <c r="O177" s="462"/>
      <c r="P177" s="1126"/>
      <c r="Q177" s="462"/>
      <c r="R177" s="462"/>
      <c r="S177" s="462"/>
      <c r="T177" s="1113"/>
      <c r="U177" s="1113"/>
      <c r="V177" s="1113"/>
    </row>
    <row r="178" spans="1:22" ht="15.75" customHeight="1">
      <c r="A178" s="1136"/>
      <c r="B178" s="1137"/>
      <c r="C178" s="1124">
        <f>C113</f>
        <v>16</v>
      </c>
      <c r="D178" s="1124"/>
      <c r="E178" s="1124">
        <f>E177</f>
        <v>0.45</v>
      </c>
      <c r="F178" s="1124"/>
      <c r="G178" s="1124"/>
      <c r="H178" s="1124">
        <f>H177</f>
        <v>2</v>
      </c>
      <c r="I178" s="1124"/>
      <c r="J178" s="1124"/>
      <c r="K178" s="1124"/>
      <c r="L178" s="1124">
        <f>L107</f>
        <v>1</v>
      </c>
      <c r="M178" s="467">
        <f>C178*E178*H178*L178</f>
        <v>14.4</v>
      </c>
      <c r="N178" s="1125"/>
      <c r="O178" s="462"/>
      <c r="P178" s="1126"/>
      <c r="Q178" s="462"/>
      <c r="R178" s="462"/>
      <c r="S178" s="462"/>
      <c r="T178" s="1113"/>
      <c r="U178" s="1113"/>
      <c r="V178" s="1113"/>
    </row>
    <row r="179" spans="1:22" ht="15.75" customHeight="1">
      <c r="A179" s="1136"/>
      <c r="B179" s="1137" t="s">
        <v>136</v>
      </c>
      <c r="C179" s="1124">
        <f>C114</f>
        <v>10</v>
      </c>
      <c r="D179" s="1124"/>
      <c r="E179" s="1124">
        <f>E178</f>
        <v>0.45</v>
      </c>
      <c r="F179" s="1124"/>
      <c r="G179" s="1124"/>
      <c r="H179" s="1124">
        <f>H178</f>
        <v>2</v>
      </c>
      <c r="I179" s="1124"/>
      <c r="J179" s="1124"/>
      <c r="K179" s="1124"/>
      <c r="L179" s="1124">
        <f>L108</f>
        <v>5</v>
      </c>
      <c r="M179" s="1124">
        <f>C179*E179*H179*L179</f>
        <v>45</v>
      </c>
      <c r="N179" s="1125"/>
      <c r="O179" s="462"/>
      <c r="P179" s="1126"/>
      <c r="Q179" s="462"/>
      <c r="R179" s="462"/>
      <c r="S179" s="462"/>
      <c r="T179" s="1113"/>
      <c r="U179" s="1113"/>
      <c r="V179" s="1113"/>
    </row>
    <row r="180" spans="1:22" ht="15.75" customHeight="1">
      <c r="A180" s="1136"/>
      <c r="B180" s="1137"/>
      <c r="C180" s="1124">
        <f>C115</f>
        <v>5</v>
      </c>
      <c r="D180" s="1124"/>
      <c r="E180" s="1124">
        <f>E179</f>
        <v>0.45</v>
      </c>
      <c r="F180" s="1124"/>
      <c r="G180" s="1124"/>
      <c r="H180" s="1124">
        <f>H178</f>
        <v>2</v>
      </c>
      <c r="I180" s="1124"/>
      <c r="J180" s="1124"/>
      <c r="K180" s="1124"/>
      <c r="L180" s="1124">
        <f>L109</f>
        <v>1</v>
      </c>
      <c r="M180" s="1138">
        <f>C180*E180*H180*L180</f>
        <v>4.5</v>
      </c>
      <c r="N180" s="1125"/>
      <c r="O180" s="462"/>
      <c r="P180" s="1126"/>
      <c r="Q180" s="462"/>
      <c r="R180" s="462"/>
      <c r="S180" s="462"/>
      <c r="T180" s="1113"/>
      <c r="U180" s="1113"/>
      <c r="V180" s="1113"/>
    </row>
    <row r="181" spans="1:22" ht="15.75" customHeight="1">
      <c r="A181" s="1136"/>
      <c r="B181" s="1137"/>
      <c r="C181" s="1124"/>
      <c r="D181" s="1124"/>
      <c r="E181" s="1124"/>
      <c r="F181" s="1124"/>
      <c r="G181" s="1124"/>
      <c r="H181" s="1124"/>
      <c r="I181" s="1124"/>
      <c r="J181" s="1124"/>
      <c r="K181" s="1124"/>
      <c r="L181" s="1124"/>
      <c r="M181" s="1132">
        <f>SUM(M177:M180)</f>
        <v>99.9</v>
      </c>
      <c r="N181" s="1133" t="s">
        <v>89</v>
      </c>
      <c r="O181" s="462"/>
      <c r="P181" s="1126"/>
      <c r="Q181" s="462"/>
      <c r="R181" s="462"/>
      <c r="S181" s="462"/>
      <c r="T181" s="1113"/>
      <c r="U181" s="1113"/>
      <c r="V181" s="1113"/>
    </row>
    <row r="182" spans="1:22" ht="15.75" customHeight="1">
      <c r="A182" s="1136" t="s">
        <v>98</v>
      </c>
      <c r="B182" s="358" t="s">
        <v>898</v>
      </c>
      <c r="C182" s="1124"/>
      <c r="D182" s="1124"/>
      <c r="E182" s="1124"/>
      <c r="F182" s="1124"/>
      <c r="G182" s="1124"/>
      <c r="H182" s="1124"/>
      <c r="I182" s="1124"/>
      <c r="J182" s="1124"/>
      <c r="K182" s="1124"/>
      <c r="L182" s="1124"/>
      <c r="M182" s="1124"/>
      <c r="N182" s="1125"/>
      <c r="O182" s="462"/>
      <c r="P182" s="1126"/>
      <c r="Q182" s="462"/>
      <c r="R182" s="462"/>
      <c r="S182" s="462"/>
      <c r="T182" s="1113"/>
      <c r="U182" s="1113"/>
      <c r="V182" s="1113"/>
    </row>
    <row r="183" spans="1:22" ht="15.75" customHeight="1">
      <c r="A183" s="1136"/>
      <c r="B183" s="1137"/>
      <c r="C183" s="1124">
        <f>C177</f>
        <v>20</v>
      </c>
      <c r="D183" s="1124"/>
      <c r="E183" s="1124"/>
      <c r="F183" s="1124"/>
      <c r="G183" s="1124"/>
      <c r="H183" s="1124"/>
      <c r="I183" s="1124">
        <f>13*13*0.006165</f>
        <v>1.041885</v>
      </c>
      <c r="J183" s="1124"/>
      <c r="K183" s="1124">
        <v>8</v>
      </c>
      <c r="L183" s="1124">
        <f>L177</f>
        <v>2</v>
      </c>
      <c r="M183" s="1124">
        <f>C183*I183*K183*L183</f>
        <v>333.40319999999997</v>
      </c>
      <c r="N183" s="1125"/>
      <c r="O183" s="462"/>
      <c r="P183" s="1126"/>
      <c r="Q183" s="462"/>
      <c r="R183" s="462"/>
      <c r="S183" s="462"/>
      <c r="T183" s="1113"/>
      <c r="U183" s="1113"/>
      <c r="V183" s="1113"/>
    </row>
    <row r="184" spans="1:22" ht="15.75" customHeight="1">
      <c r="A184" s="1136"/>
      <c r="B184" s="1137"/>
      <c r="C184" s="1124">
        <f>C178</f>
        <v>16</v>
      </c>
      <c r="D184" s="1124"/>
      <c r="E184" s="1124"/>
      <c r="F184" s="1124"/>
      <c r="G184" s="1124"/>
      <c r="H184" s="1124"/>
      <c r="I184" s="1124">
        <f>I183</f>
        <v>1.041885</v>
      </c>
      <c r="J184" s="1124"/>
      <c r="K184" s="1124">
        <f>K183</f>
        <v>8</v>
      </c>
      <c r="L184" s="1124">
        <f>L178</f>
        <v>1</v>
      </c>
      <c r="M184" s="1124">
        <f>C184*I184*K184*L184</f>
        <v>133.36127999999999</v>
      </c>
      <c r="N184" s="1125"/>
      <c r="O184" s="462"/>
      <c r="P184" s="1126"/>
      <c r="Q184" s="462"/>
      <c r="R184" s="462"/>
      <c r="S184" s="462"/>
      <c r="T184" s="1113"/>
      <c r="U184" s="1113"/>
      <c r="V184" s="1113"/>
    </row>
    <row r="185" spans="1:22" ht="15.75" customHeight="1">
      <c r="A185" s="1136"/>
      <c r="B185" s="1137"/>
      <c r="C185" s="1124">
        <f>C179</f>
        <v>10</v>
      </c>
      <c r="D185" s="1124"/>
      <c r="E185" s="1124"/>
      <c r="F185" s="1124"/>
      <c r="G185" s="1124"/>
      <c r="H185" s="1124"/>
      <c r="I185" s="1124">
        <f>I184</f>
        <v>1.041885</v>
      </c>
      <c r="J185" s="1124"/>
      <c r="K185" s="1124">
        <f>K184</f>
        <v>8</v>
      </c>
      <c r="L185" s="1124">
        <f>L179</f>
        <v>5</v>
      </c>
      <c r="M185" s="1124">
        <f>C185*I185*K185*L185</f>
        <v>416.75399999999996</v>
      </c>
      <c r="N185" s="1125"/>
      <c r="O185" s="462"/>
      <c r="P185" s="1126"/>
      <c r="Q185" s="462"/>
      <c r="R185" s="462"/>
      <c r="S185" s="462"/>
      <c r="T185" s="1113"/>
      <c r="U185" s="1113"/>
      <c r="V185" s="1113"/>
    </row>
    <row r="186" spans="1:22" ht="15.75" customHeight="1">
      <c r="A186" s="1136"/>
      <c r="B186" s="1137"/>
      <c r="C186" s="1124">
        <f>C180</f>
        <v>5</v>
      </c>
      <c r="D186" s="1124"/>
      <c r="E186" s="1124"/>
      <c r="F186" s="1124"/>
      <c r="G186" s="1124"/>
      <c r="H186" s="1124"/>
      <c r="I186" s="1124">
        <f>I185</f>
        <v>1.041885</v>
      </c>
      <c r="J186" s="1124"/>
      <c r="K186" s="1124">
        <f>K185</f>
        <v>8</v>
      </c>
      <c r="L186" s="1124">
        <f>L180</f>
        <v>1</v>
      </c>
      <c r="M186" s="1131">
        <f>C186*I186*K186*L186</f>
        <v>41.675399999999996</v>
      </c>
      <c r="N186" s="1125"/>
      <c r="O186" s="462"/>
      <c r="P186" s="1126"/>
      <c r="Q186" s="462"/>
      <c r="R186" s="462"/>
      <c r="S186" s="462"/>
      <c r="T186" s="1113"/>
      <c r="U186" s="1113"/>
      <c r="V186" s="1113"/>
    </row>
    <row r="187" spans="1:22" ht="15.75" customHeight="1">
      <c r="A187" s="1136"/>
      <c r="B187" s="358"/>
      <c r="C187" s="1124"/>
      <c r="D187" s="1124"/>
      <c r="E187" s="1124"/>
      <c r="F187" s="1124"/>
      <c r="G187" s="1124"/>
      <c r="H187" s="1124"/>
      <c r="I187" s="1124"/>
      <c r="J187" s="1124"/>
      <c r="K187" s="1124"/>
      <c r="L187" s="1124"/>
      <c r="M187" s="1132">
        <f>SUM(M183:M186)</f>
        <v>925.19387999999992</v>
      </c>
      <c r="N187" s="1133" t="s">
        <v>100</v>
      </c>
      <c r="O187" s="462"/>
      <c r="P187" s="1126"/>
      <c r="Q187" s="462"/>
      <c r="R187" s="462"/>
      <c r="S187" s="462"/>
      <c r="T187" s="1113"/>
      <c r="U187" s="1113"/>
      <c r="V187" s="1113"/>
    </row>
    <row r="188" spans="1:22" ht="15.75" customHeight="1">
      <c r="A188" s="1136" t="s">
        <v>101</v>
      </c>
      <c r="B188" s="358" t="s">
        <v>1526</v>
      </c>
      <c r="C188" s="1124"/>
      <c r="D188" s="1124"/>
      <c r="E188" s="1124"/>
      <c r="F188" s="1124"/>
      <c r="G188" s="1124"/>
      <c r="H188" s="1124"/>
      <c r="I188" s="1124"/>
      <c r="J188" s="1124"/>
      <c r="K188" s="1124"/>
      <c r="L188" s="1124"/>
      <c r="M188" s="1124"/>
      <c r="N188" s="1125"/>
      <c r="O188" s="462"/>
      <c r="P188" s="1126"/>
      <c r="Q188" s="462"/>
      <c r="R188" s="462"/>
      <c r="S188" s="462"/>
      <c r="T188" s="1113"/>
      <c r="U188" s="1113"/>
      <c r="V188" s="1113"/>
    </row>
    <row r="189" spans="1:22" ht="15.75" customHeight="1">
      <c r="A189" s="1136"/>
      <c r="B189" s="1137"/>
      <c r="C189" s="1124">
        <f>C183</f>
        <v>20</v>
      </c>
      <c r="D189" s="1124">
        <v>0.2</v>
      </c>
      <c r="E189" s="1124">
        <v>0.35</v>
      </c>
      <c r="F189" s="1124"/>
      <c r="G189" s="1124"/>
      <c r="H189" s="1124"/>
      <c r="I189" s="1124">
        <f>10*10*0.006165</f>
        <v>0.61650000000000005</v>
      </c>
      <c r="J189" s="1124"/>
      <c r="K189" s="1124">
        <v>2</v>
      </c>
      <c r="L189" s="1124">
        <f>L183</f>
        <v>2</v>
      </c>
      <c r="M189" s="1124">
        <f>C189*I189*K189*L189</f>
        <v>49.320000000000007</v>
      </c>
      <c r="N189" s="1125"/>
      <c r="O189" s="462"/>
      <c r="P189" s="1126"/>
      <c r="Q189" s="462"/>
      <c r="R189" s="462"/>
      <c r="S189" s="462"/>
      <c r="T189" s="1113"/>
      <c r="U189" s="1113"/>
      <c r="V189" s="1113"/>
    </row>
    <row r="190" spans="1:22" ht="15.75" customHeight="1">
      <c r="A190" s="1136"/>
      <c r="B190" s="1137"/>
      <c r="C190" s="1124">
        <f>C184</f>
        <v>16</v>
      </c>
      <c r="D190" s="1124">
        <f t="shared" ref="D190:E192" si="7">D189</f>
        <v>0.2</v>
      </c>
      <c r="E190" s="1124">
        <f t="shared" si="7"/>
        <v>0.35</v>
      </c>
      <c r="F190" s="1124"/>
      <c r="G190" s="1124"/>
      <c r="H190" s="1124"/>
      <c r="I190" s="1124"/>
      <c r="J190" s="1124"/>
      <c r="K190" s="1124"/>
      <c r="L190" s="1124"/>
      <c r="M190" s="1139"/>
      <c r="N190" s="1125"/>
      <c r="O190" s="462"/>
      <c r="P190" s="1126"/>
      <c r="Q190" s="462"/>
      <c r="R190" s="462"/>
      <c r="S190" s="462"/>
      <c r="T190" s="1113"/>
      <c r="U190" s="1113"/>
      <c r="V190" s="1113"/>
    </row>
    <row r="191" spans="1:22" ht="15.75" customHeight="1">
      <c r="A191" s="1136"/>
      <c r="B191" s="1137"/>
      <c r="C191" s="1124">
        <f>C185</f>
        <v>10</v>
      </c>
      <c r="D191" s="1124">
        <f t="shared" si="7"/>
        <v>0.2</v>
      </c>
      <c r="E191" s="1124">
        <f t="shared" si="7"/>
        <v>0.35</v>
      </c>
      <c r="F191" s="1124"/>
      <c r="G191" s="1124"/>
      <c r="H191" s="1124"/>
      <c r="I191" s="1124"/>
      <c r="J191" s="1124"/>
      <c r="K191" s="1124"/>
      <c r="L191" s="1124"/>
      <c r="M191" s="1139"/>
      <c r="N191" s="1125"/>
      <c r="O191" s="462"/>
      <c r="P191" s="1126"/>
      <c r="Q191" s="462"/>
      <c r="R191" s="462"/>
      <c r="S191" s="462"/>
      <c r="T191" s="1113"/>
      <c r="U191" s="1113"/>
      <c r="V191" s="1113"/>
    </row>
    <row r="192" spans="1:22" ht="15.75" customHeight="1">
      <c r="A192" s="1136"/>
      <c r="B192" s="1137"/>
      <c r="C192" s="1124">
        <f>C186</f>
        <v>5</v>
      </c>
      <c r="D192" s="1124">
        <f t="shared" si="7"/>
        <v>0.2</v>
      </c>
      <c r="E192" s="1124">
        <f t="shared" si="7"/>
        <v>0.35</v>
      </c>
      <c r="F192" s="1124"/>
      <c r="G192" s="1124"/>
      <c r="H192" s="1124"/>
      <c r="I192" s="1124">
        <f>I189</f>
        <v>0.61650000000000005</v>
      </c>
      <c r="J192" s="1124"/>
      <c r="K192" s="1124">
        <f>K189</f>
        <v>2</v>
      </c>
      <c r="L192" s="1124">
        <f>L186</f>
        <v>1</v>
      </c>
      <c r="M192" s="1131">
        <f>C192*I192*K192*L192</f>
        <v>6.1650000000000009</v>
      </c>
      <c r="N192" s="1125"/>
      <c r="O192" s="462"/>
      <c r="P192" s="1126"/>
      <c r="Q192" s="462"/>
      <c r="R192" s="462"/>
      <c r="S192" s="462"/>
      <c r="T192" s="1113"/>
      <c r="U192" s="1113"/>
      <c r="V192" s="1113"/>
    </row>
    <row r="193" spans="1:22" ht="15.75" customHeight="1">
      <c r="A193" s="1136"/>
      <c r="B193" s="358"/>
      <c r="C193" s="1124"/>
      <c r="D193" s="1124"/>
      <c r="E193" s="1124"/>
      <c r="F193" s="1124"/>
      <c r="G193" s="1124"/>
      <c r="H193" s="1124"/>
      <c r="I193" s="1124"/>
      <c r="J193" s="1124"/>
      <c r="K193" s="1124"/>
      <c r="L193" s="1124"/>
      <c r="M193" s="1132"/>
      <c r="N193" s="1133" t="s">
        <v>100</v>
      </c>
      <c r="O193" s="462"/>
      <c r="P193" s="1126"/>
      <c r="Q193" s="462"/>
      <c r="R193" s="462"/>
      <c r="S193" s="462"/>
      <c r="T193" s="1113"/>
      <c r="U193" s="1113"/>
      <c r="V193" s="1113"/>
    </row>
    <row r="194" spans="1:22" ht="15.75" customHeight="1">
      <c r="A194" s="1136" t="s">
        <v>121</v>
      </c>
      <c r="B194" s="358" t="s">
        <v>899</v>
      </c>
      <c r="C194" s="1124"/>
      <c r="D194" s="1124"/>
      <c r="E194" s="1124"/>
      <c r="F194" s="1124"/>
      <c r="G194" s="1124"/>
      <c r="H194" s="1124"/>
      <c r="I194" s="1124"/>
      <c r="J194" s="1124"/>
      <c r="K194" s="1124"/>
      <c r="L194" s="1124"/>
      <c r="M194" s="1124"/>
      <c r="N194" s="1125"/>
      <c r="O194" s="462"/>
      <c r="P194" s="1126"/>
      <c r="Q194" s="462"/>
      <c r="R194" s="462"/>
      <c r="S194" s="462"/>
      <c r="T194" s="1113"/>
      <c r="U194" s="1113"/>
      <c r="V194" s="1113"/>
    </row>
    <row r="195" spans="1:22" ht="15.75" customHeight="1">
      <c r="A195" s="1136"/>
      <c r="B195" s="1137"/>
      <c r="C195" s="1124">
        <f>(0.12+0.27)*2</f>
        <v>0.78</v>
      </c>
      <c r="D195" s="1124"/>
      <c r="E195" s="1124"/>
      <c r="F195" s="1124">
        <f>8*8*0.006165</f>
        <v>0.39456000000000002</v>
      </c>
      <c r="G195" s="1124">
        <f>0.05*2</f>
        <v>0.1</v>
      </c>
      <c r="H195" s="1124"/>
      <c r="I195" s="1124"/>
      <c r="J195" s="1124"/>
      <c r="K195" s="1124">
        <f>ROUNDUP((C189/0.125),0.5)+1</f>
        <v>161</v>
      </c>
      <c r="L195" s="1124">
        <f>L183</f>
        <v>2</v>
      </c>
      <c r="M195" s="1124">
        <f>(C195+G195)*F195*K195*L195</f>
        <v>111.80252160000002</v>
      </c>
      <c r="N195" s="1125"/>
      <c r="O195" s="462"/>
      <c r="P195" s="1126"/>
      <c r="Q195" s="462"/>
      <c r="R195" s="462"/>
      <c r="S195" s="462"/>
      <c r="T195" s="1113"/>
      <c r="U195" s="1113"/>
      <c r="V195" s="1113"/>
    </row>
    <row r="196" spans="1:22" ht="15.75" customHeight="1">
      <c r="A196" s="1136"/>
      <c r="B196" s="1137"/>
      <c r="C196" s="1124">
        <f>C195</f>
        <v>0.78</v>
      </c>
      <c r="D196" s="1124"/>
      <c r="E196" s="1124"/>
      <c r="F196" s="1124">
        <f t="shared" ref="F196:G198" si="8">F195</f>
        <v>0.39456000000000002</v>
      </c>
      <c r="G196" s="1124">
        <f t="shared" si="8"/>
        <v>0.1</v>
      </c>
      <c r="H196" s="1124"/>
      <c r="I196" s="1124"/>
      <c r="J196" s="1124"/>
      <c r="K196" s="1124">
        <f>ROUNDUP((C190/0.125),0.5)+1</f>
        <v>129</v>
      </c>
      <c r="L196" s="1124">
        <f>L184</f>
        <v>1</v>
      </c>
      <c r="M196" s="467">
        <f>(C196+G196)*F196*K196*L196</f>
        <v>44.790451200000007</v>
      </c>
      <c r="N196" s="1125"/>
      <c r="O196" s="462"/>
      <c r="P196" s="1126"/>
      <c r="Q196" s="462"/>
      <c r="R196" s="462"/>
      <c r="S196" s="462"/>
      <c r="T196" s="1113"/>
      <c r="U196" s="1113"/>
      <c r="V196" s="1113"/>
    </row>
    <row r="197" spans="1:22" ht="15.75" customHeight="1">
      <c r="A197" s="1136"/>
      <c r="B197" s="1137"/>
      <c r="C197" s="1124">
        <f>C196</f>
        <v>0.78</v>
      </c>
      <c r="D197" s="1124"/>
      <c r="E197" s="1124"/>
      <c r="F197" s="1124">
        <f t="shared" si="8"/>
        <v>0.39456000000000002</v>
      </c>
      <c r="G197" s="1124">
        <f t="shared" si="8"/>
        <v>0.1</v>
      </c>
      <c r="H197" s="1124"/>
      <c r="I197" s="1124"/>
      <c r="J197" s="1124"/>
      <c r="K197" s="1124">
        <f>ROUNDUP((C191/0.125),0.5)+1</f>
        <v>81</v>
      </c>
      <c r="L197" s="1124">
        <f>L185</f>
        <v>5</v>
      </c>
      <c r="M197" s="1124">
        <f>(C197+G197)*F197*K197*L197</f>
        <v>140.621184</v>
      </c>
      <c r="N197" s="1125"/>
      <c r="O197" s="462"/>
      <c r="P197" s="1126"/>
      <c r="Q197" s="462"/>
      <c r="R197" s="462"/>
      <c r="S197" s="462"/>
      <c r="T197" s="1113"/>
      <c r="U197" s="1113"/>
      <c r="V197" s="1113"/>
    </row>
    <row r="198" spans="1:22" ht="15.75" customHeight="1">
      <c r="A198" s="1136"/>
      <c r="B198" s="1137"/>
      <c r="C198" s="1124">
        <f>C197</f>
        <v>0.78</v>
      </c>
      <c r="D198" s="1124"/>
      <c r="E198" s="1124"/>
      <c r="F198" s="1124">
        <f t="shared" si="8"/>
        <v>0.39456000000000002</v>
      </c>
      <c r="G198" s="1124">
        <f t="shared" si="8"/>
        <v>0.1</v>
      </c>
      <c r="H198" s="1124"/>
      <c r="I198" s="1124"/>
      <c r="J198" s="1124"/>
      <c r="K198" s="1124">
        <f>ROUNDUP((C192/0.125),0.5)+1</f>
        <v>41</v>
      </c>
      <c r="L198" s="1124">
        <f>L186</f>
        <v>1</v>
      </c>
      <c r="M198" s="1138">
        <f>(C198+G198)*F198*K198*L198</f>
        <v>14.235724800000002</v>
      </c>
      <c r="N198" s="1125"/>
      <c r="O198" s="462"/>
      <c r="P198" s="1126"/>
      <c r="Q198" s="462"/>
      <c r="R198" s="462"/>
      <c r="S198" s="462"/>
      <c r="T198" s="1113"/>
      <c r="U198" s="1113"/>
      <c r="V198" s="1113"/>
    </row>
    <row r="199" spans="1:22" ht="15.75" customHeight="1">
      <c r="A199" s="1136"/>
      <c r="B199" s="1137"/>
      <c r="C199" s="1124"/>
      <c r="D199" s="1124"/>
      <c r="E199" s="1124"/>
      <c r="F199" s="1124"/>
      <c r="G199" s="1124"/>
      <c r="H199" s="1124"/>
      <c r="I199" s="1124"/>
      <c r="J199" s="1124"/>
      <c r="K199" s="1124"/>
      <c r="L199" s="1124"/>
      <c r="M199" s="1132">
        <f>SUM(M195:M198)</f>
        <v>311.44988160000008</v>
      </c>
      <c r="N199" s="1133" t="s">
        <v>100</v>
      </c>
      <c r="O199" s="462"/>
      <c r="P199" s="1126"/>
      <c r="Q199" s="462"/>
      <c r="R199" s="462"/>
      <c r="S199" s="462"/>
      <c r="T199" s="1113"/>
      <c r="U199" s="1113"/>
      <c r="V199" s="1113"/>
    </row>
    <row r="200" spans="1:22" ht="15.75" customHeight="1">
      <c r="A200" s="1136" t="s">
        <v>142</v>
      </c>
      <c r="B200" s="358" t="s">
        <v>102</v>
      </c>
      <c r="C200" s="1124"/>
      <c r="D200" s="1124"/>
      <c r="E200" s="1124"/>
      <c r="F200" s="1124"/>
      <c r="G200" s="1124"/>
      <c r="H200" s="1124"/>
      <c r="I200" s="1124"/>
      <c r="J200" s="1124"/>
      <c r="K200" s="1124"/>
      <c r="L200" s="1124"/>
      <c r="M200" s="1124"/>
      <c r="N200" s="1125"/>
      <c r="O200" s="462"/>
      <c r="P200" s="1126"/>
      <c r="Q200" s="462"/>
      <c r="R200" s="462"/>
      <c r="S200" s="462"/>
      <c r="T200" s="1113"/>
      <c r="U200" s="1113"/>
      <c r="V200" s="1113"/>
    </row>
    <row r="201" spans="1:22" ht="15.75" customHeight="1">
      <c r="A201" s="1136"/>
      <c r="B201" s="1137"/>
      <c r="C201" s="1124">
        <f>C189</f>
        <v>20</v>
      </c>
      <c r="D201" s="1124">
        <v>0.2</v>
      </c>
      <c r="E201" s="1124">
        <v>0.35</v>
      </c>
      <c r="F201" s="1124"/>
      <c r="G201" s="1124"/>
      <c r="H201" s="1124"/>
      <c r="I201" s="1124"/>
      <c r="J201" s="1124"/>
      <c r="K201" s="1124"/>
      <c r="L201" s="1124">
        <f>L195</f>
        <v>2</v>
      </c>
      <c r="M201" s="1124">
        <f>C201*D201*E201*L201</f>
        <v>2.8</v>
      </c>
      <c r="N201" s="1125"/>
      <c r="O201" s="462"/>
      <c r="P201" s="1126"/>
      <c r="Q201" s="462"/>
      <c r="R201" s="462"/>
      <c r="S201" s="462"/>
      <c r="T201" s="1113"/>
      <c r="U201" s="1113"/>
      <c r="V201" s="1113"/>
    </row>
    <row r="202" spans="1:22" ht="15.75" customHeight="1">
      <c r="A202" s="1136"/>
      <c r="B202" s="1137"/>
      <c r="C202" s="1124">
        <f>C190</f>
        <v>16</v>
      </c>
      <c r="D202" s="1124">
        <f t="shared" ref="D202:E204" si="9">D201</f>
        <v>0.2</v>
      </c>
      <c r="E202" s="1124">
        <f t="shared" si="9"/>
        <v>0.35</v>
      </c>
      <c r="F202" s="1124"/>
      <c r="G202" s="1124"/>
      <c r="H202" s="1124"/>
      <c r="I202" s="1124"/>
      <c r="J202" s="1124"/>
      <c r="K202" s="1124"/>
      <c r="L202" s="1124">
        <f>L196</f>
        <v>1</v>
      </c>
      <c r="M202" s="1124">
        <f>C202*D202*E202*L202</f>
        <v>1.1199999999999999</v>
      </c>
      <c r="N202" s="1125"/>
      <c r="O202" s="462"/>
      <c r="P202" s="1126"/>
      <c r="Q202" s="462"/>
      <c r="R202" s="462"/>
      <c r="S202" s="462"/>
      <c r="T202" s="1113"/>
      <c r="U202" s="1113"/>
      <c r="V202" s="1113"/>
    </row>
    <row r="203" spans="1:22" ht="15.75" customHeight="1">
      <c r="A203" s="1136"/>
      <c r="B203" s="1137"/>
      <c r="C203" s="1124">
        <f>C191</f>
        <v>10</v>
      </c>
      <c r="D203" s="1124">
        <f t="shared" si="9"/>
        <v>0.2</v>
      </c>
      <c r="E203" s="1124">
        <f t="shared" si="9"/>
        <v>0.35</v>
      </c>
      <c r="F203" s="1124"/>
      <c r="G203" s="1124"/>
      <c r="H203" s="1124"/>
      <c r="I203" s="1124"/>
      <c r="J203" s="1124"/>
      <c r="K203" s="1124"/>
      <c r="L203" s="1124">
        <f>L197</f>
        <v>5</v>
      </c>
      <c r="M203" s="1124">
        <f>C203*D203*E203*L203</f>
        <v>3.5</v>
      </c>
      <c r="N203" s="1125"/>
      <c r="O203" s="462"/>
      <c r="P203" s="1126"/>
      <c r="Q203" s="462"/>
      <c r="R203" s="462"/>
      <c r="S203" s="462"/>
      <c r="T203" s="1113"/>
      <c r="U203" s="1113"/>
      <c r="V203" s="1113"/>
    </row>
    <row r="204" spans="1:22" ht="15.75" customHeight="1">
      <c r="A204" s="1136"/>
      <c r="B204" s="1137"/>
      <c r="C204" s="1124">
        <f>C192</f>
        <v>5</v>
      </c>
      <c r="D204" s="1124">
        <f t="shared" si="9"/>
        <v>0.2</v>
      </c>
      <c r="E204" s="1124">
        <f t="shared" si="9"/>
        <v>0.35</v>
      </c>
      <c r="F204" s="1124"/>
      <c r="G204" s="1124"/>
      <c r="H204" s="1124"/>
      <c r="I204" s="1124"/>
      <c r="J204" s="1124"/>
      <c r="K204" s="1124"/>
      <c r="L204" s="1124">
        <f>L198</f>
        <v>1</v>
      </c>
      <c r="M204" s="1131">
        <f>C204*D204*E204*L204</f>
        <v>0.35</v>
      </c>
      <c r="N204" s="1125"/>
      <c r="O204" s="462"/>
      <c r="P204" s="1126"/>
      <c r="Q204" s="462"/>
      <c r="R204" s="462"/>
      <c r="S204" s="462"/>
      <c r="T204" s="1113"/>
      <c r="U204" s="1113"/>
      <c r="V204" s="1113"/>
    </row>
    <row r="205" spans="1:22" ht="15.75" customHeight="1">
      <c r="A205" s="1136"/>
      <c r="B205" s="358"/>
      <c r="C205" s="1124"/>
      <c r="D205" s="1124"/>
      <c r="E205" s="1124"/>
      <c r="F205" s="1124"/>
      <c r="G205" s="1124"/>
      <c r="H205" s="1124"/>
      <c r="I205" s="1124"/>
      <c r="J205" s="1124"/>
      <c r="K205" s="1124"/>
      <c r="L205" s="1124"/>
      <c r="M205" s="1132">
        <f>SUM(M201:M204)</f>
        <v>7.77</v>
      </c>
      <c r="N205" s="1133" t="s">
        <v>103</v>
      </c>
      <c r="O205" s="462"/>
      <c r="P205" s="1126"/>
      <c r="Q205" s="462"/>
      <c r="R205" s="462"/>
      <c r="S205" s="462"/>
      <c r="T205" s="1113"/>
      <c r="U205" s="1113"/>
      <c r="V205" s="1113"/>
    </row>
    <row r="206" spans="1:22" s="1144" customFormat="1" ht="15.75" customHeight="1">
      <c r="A206" s="1140">
        <f>A175+1</f>
        <v>12</v>
      </c>
      <c r="B206" s="357" t="s">
        <v>1527</v>
      </c>
      <c r="C206" s="382"/>
      <c r="D206" s="382"/>
      <c r="E206" s="382"/>
      <c r="F206" s="382"/>
      <c r="G206" s="382"/>
      <c r="H206" s="382"/>
      <c r="I206" s="382"/>
      <c r="J206" s="382"/>
      <c r="K206" s="382"/>
      <c r="L206" s="382"/>
      <c r="M206" s="382"/>
      <c r="N206" s="1141"/>
      <c r="O206" s="1142"/>
      <c r="P206" s="1142"/>
      <c r="Q206" s="1142"/>
      <c r="R206" s="1142"/>
      <c r="S206" s="1142"/>
      <c r="T206" s="1143"/>
      <c r="U206" s="1143"/>
      <c r="V206" s="1143"/>
    </row>
    <row r="207" spans="1:22" s="1144" customFormat="1" ht="15.75" customHeight="1">
      <c r="A207" s="1145" t="s">
        <v>95</v>
      </c>
      <c r="B207" s="357" t="s">
        <v>423</v>
      </c>
      <c r="C207" s="382"/>
      <c r="D207" s="382"/>
      <c r="E207" s="382"/>
      <c r="F207" s="382"/>
      <c r="G207" s="382"/>
      <c r="H207" s="382"/>
      <c r="I207" s="382"/>
      <c r="J207" s="382"/>
      <c r="K207" s="382"/>
      <c r="L207" s="382"/>
      <c r="M207" s="382"/>
      <c r="N207" s="1141"/>
      <c r="O207" s="1142"/>
      <c r="P207" s="1142"/>
      <c r="Q207" s="1142"/>
      <c r="R207" s="1142"/>
      <c r="S207" s="1142"/>
      <c r="T207" s="1143"/>
      <c r="U207" s="1143"/>
      <c r="V207" s="1143"/>
    </row>
    <row r="208" spans="1:22" s="1144" customFormat="1" ht="15.75" customHeight="1">
      <c r="A208" s="1145"/>
      <c r="B208" s="569" t="s">
        <v>1528</v>
      </c>
      <c r="C208" s="382">
        <v>5</v>
      </c>
      <c r="D208" s="382">
        <v>0.15</v>
      </c>
      <c r="E208" s="382"/>
      <c r="F208" s="382"/>
      <c r="G208" s="382"/>
      <c r="H208" s="382"/>
      <c r="I208" s="382"/>
      <c r="J208" s="382">
        <v>1</v>
      </c>
      <c r="K208" s="382"/>
      <c r="L208" s="382"/>
      <c r="M208" s="382">
        <f>C208*D208*J208</f>
        <v>0.75</v>
      </c>
      <c r="N208" s="1141"/>
      <c r="O208" s="1142"/>
      <c r="P208" s="1142"/>
      <c r="Q208" s="1142"/>
      <c r="R208" s="1142"/>
      <c r="S208" s="1142"/>
      <c r="T208" s="1143"/>
      <c r="U208" s="1143"/>
      <c r="V208" s="1143"/>
    </row>
    <row r="209" spans="1:22" s="1144" customFormat="1" ht="15.75" customHeight="1">
      <c r="A209" s="1145"/>
      <c r="B209" s="569"/>
      <c r="C209" s="382">
        <f>C208</f>
        <v>5</v>
      </c>
      <c r="D209" s="382"/>
      <c r="E209" s="382">
        <v>0.2</v>
      </c>
      <c r="F209" s="382"/>
      <c r="G209" s="382"/>
      <c r="H209" s="382"/>
      <c r="I209" s="382"/>
      <c r="J209" s="382">
        <v>2</v>
      </c>
      <c r="K209" s="382"/>
      <c r="L209" s="382"/>
      <c r="M209" s="382">
        <f>C209*E209*J209</f>
        <v>2</v>
      </c>
      <c r="N209" s="1141"/>
      <c r="O209" s="1142"/>
      <c r="P209" s="1142"/>
      <c r="Q209" s="1142"/>
      <c r="R209" s="1142"/>
      <c r="S209" s="1142"/>
      <c r="T209" s="1143"/>
      <c r="U209" s="1143"/>
      <c r="V209" s="1143"/>
    </row>
    <row r="210" spans="1:22" s="1144" customFormat="1" ht="15.75" customHeight="1">
      <c r="A210" s="1145"/>
      <c r="B210" s="357"/>
      <c r="C210" s="382"/>
      <c r="D210" s="382"/>
      <c r="E210" s="382"/>
      <c r="F210" s="382"/>
      <c r="G210" s="382"/>
      <c r="H210" s="382"/>
      <c r="I210" s="382"/>
      <c r="J210" s="382"/>
      <c r="K210" s="382"/>
      <c r="L210" s="382"/>
      <c r="M210" s="382">
        <f>SUM(M208:M209)</f>
        <v>2.75</v>
      </c>
      <c r="N210" s="1141" t="s">
        <v>89</v>
      </c>
      <c r="O210" s="1142"/>
      <c r="P210" s="1142"/>
      <c r="Q210" s="1142"/>
      <c r="R210" s="1142"/>
      <c r="S210" s="1142"/>
      <c r="T210" s="1143"/>
      <c r="U210" s="1143"/>
      <c r="V210" s="1143"/>
    </row>
    <row r="211" spans="1:22" s="1144" customFormat="1" ht="15.75" customHeight="1">
      <c r="A211" s="1145" t="s">
        <v>98</v>
      </c>
      <c r="B211" s="357" t="s">
        <v>900</v>
      </c>
      <c r="C211" s="382">
        <f>C208</f>
        <v>5</v>
      </c>
      <c r="D211" s="382"/>
      <c r="E211" s="382"/>
      <c r="F211" s="382">
        <f>13*13*0.006165</f>
        <v>1.041885</v>
      </c>
      <c r="G211" s="382"/>
      <c r="H211" s="382"/>
      <c r="I211" s="382"/>
      <c r="J211" s="382"/>
      <c r="K211" s="382">
        <v>4</v>
      </c>
      <c r="L211" s="382"/>
      <c r="M211" s="382">
        <f>C211*F211*K211</f>
        <v>20.837699999999998</v>
      </c>
      <c r="N211" s="1141" t="s">
        <v>100</v>
      </c>
      <c r="O211" s="1142"/>
      <c r="P211" s="1142"/>
      <c r="Q211" s="1142"/>
      <c r="R211" s="1142"/>
      <c r="S211" s="1142"/>
      <c r="T211" s="1143"/>
      <c r="U211" s="1143"/>
      <c r="V211" s="1143"/>
    </row>
    <row r="212" spans="1:22" s="1144" customFormat="1" ht="15.75" customHeight="1">
      <c r="A212" s="1145" t="s">
        <v>101</v>
      </c>
      <c r="B212" s="357" t="s">
        <v>899</v>
      </c>
      <c r="C212" s="382">
        <f>(0.09+0.12)*2</f>
        <v>0.42</v>
      </c>
      <c r="D212" s="382"/>
      <c r="E212" s="382"/>
      <c r="F212" s="382">
        <f>8*8*0.006165</f>
        <v>0.39456000000000002</v>
      </c>
      <c r="G212" s="382"/>
      <c r="H212" s="382"/>
      <c r="I212" s="382">
        <v>0.1</v>
      </c>
      <c r="J212" s="382"/>
      <c r="K212" s="382">
        <f>ROUNDUP((C211/0.125),0.5)</f>
        <v>40</v>
      </c>
      <c r="L212" s="382"/>
      <c r="M212" s="382">
        <f>(C212+I212)*F212*K212</f>
        <v>8.2068480000000008</v>
      </c>
      <c r="N212" s="1141" t="s">
        <v>100</v>
      </c>
      <c r="O212" s="1142"/>
      <c r="P212" s="1142"/>
      <c r="Q212" s="1142"/>
      <c r="R212" s="1142"/>
      <c r="S212" s="1142"/>
      <c r="T212" s="1143"/>
      <c r="U212" s="1143"/>
      <c r="V212" s="1143"/>
    </row>
    <row r="213" spans="1:22" s="1144" customFormat="1" ht="15.75" customHeight="1">
      <c r="A213" s="1145" t="s">
        <v>121</v>
      </c>
      <c r="B213" s="357" t="s">
        <v>420</v>
      </c>
      <c r="C213" s="382">
        <f>C208</f>
        <v>5</v>
      </c>
      <c r="D213" s="382">
        <f>D208</f>
        <v>0.15</v>
      </c>
      <c r="E213" s="382">
        <f>E209</f>
        <v>0.2</v>
      </c>
      <c r="F213" s="382"/>
      <c r="G213" s="382"/>
      <c r="H213" s="382"/>
      <c r="I213" s="382"/>
      <c r="J213" s="382"/>
      <c r="K213" s="382"/>
      <c r="L213" s="382"/>
      <c r="M213" s="382">
        <f>C213*D213*E213</f>
        <v>0.15000000000000002</v>
      </c>
      <c r="N213" s="1141" t="s">
        <v>103</v>
      </c>
      <c r="O213" s="1142"/>
      <c r="P213" s="1142"/>
      <c r="Q213" s="1142"/>
      <c r="R213" s="1142"/>
      <c r="S213" s="1142"/>
      <c r="T213" s="1143"/>
      <c r="U213" s="1143"/>
      <c r="V213" s="1143"/>
    </row>
    <row r="214" spans="1:22" s="1144" customFormat="1" ht="15.75" customHeight="1">
      <c r="A214" s="1135">
        <f>A206+1</f>
        <v>13</v>
      </c>
      <c r="B214" s="358" t="s">
        <v>500</v>
      </c>
      <c r="C214" s="382"/>
      <c r="D214" s="382"/>
      <c r="E214" s="382"/>
      <c r="F214" s="382"/>
      <c r="G214" s="382"/>
      <c r="H214" s="382"/>
      <c r="I214" s="382"/>
      <c r="J214" s="382"/>
      <c r="K214" s="382"/>
      <c r="L214" s="382"/>
      <c r="M214" s="382"/>
      <c r="N214" s="1141"/>
      <c r="O214" s="1142"/>
      <c r="P214" s="1142"/>
      <c r="Q214" s="1142"/>
      <c r="R214" s="1142"/>
      <c r="S214" s="1142"/>
      <c r="T214" s="1143"/>
      <c r="U214" s="1143"/>
      <c r="V214" s="1143"/>
    </row>
    <row r="215" spans="1:22" s="1144" customFormat="1" ht="15.75" customHeight="1">
      <c r="A215" s="1136" t="s">
        <v>95</v>
      </c>
      <c r="B215" s="358" t="s">
        <v>1529</v>
      </c>
      <c r="C215" s="382"/>
      <c r="D215" s="382"/>
      <c r="E215" s="382"/>
      <c r="F215" s="382"/>
      <c r="G215" s="382"/>
      <c r="H215" s="382"/>
      <c r="I215" s="382"/>
      <c r="J215" s="382"/>
      <c r="K215" s="382"/>
      <c r="L215" s="382"/>
      <c r="M215" s="382"/>
      <c r="N215" s="1141"/>
      <c r="O215" s="1142"/>
      <c r="P215" s="1142"/>
      <c r="Q215" s="1142"/>
      <c r="R215" s="1142"/>
      <c r="S215" s="1142"/>
      <c r="T215" s="1143"/>
      <c r="U215" s="1143"/>
      <c r="V215" s="1143"/>
    </row>
    <row r="216" spans="1:22" s="1144" customFormat="1" ht="15.75" customHeight="1">
      <c r="A216" s="1136"/>
      <c r="B216" s="358"/>
      <c r="C216" s="382">
        <v>5</v>
      </c>
      <c r="D216" s="382"/>
      <c r="E216" s="382">
        <v>0.15</v>
      </c>
      <c r="F216" s="382"/>
      <c r="G216" s="382"/>
      <c r="H216" s="382"/>
      <c r="I216" s="382"/>
      <c r="J216" s="382">
        <v>3</v>
      </c>
      <c r="K216" s="382"/>
      <c r="L216" s="382">
        <v>3</v>
      </c>
      <c r="M216" s="382">
        <f>C216*E216*J216</f>
        <v>2.25</v>
      </c>
      <c r="N216" s="1141"/>
      <c r="O216" s="1142"/>
      <c r="P216" s="1142"/>
      <c r="Q216" s="1142"/>
      <c r="R216" s="1142"/>
      <c r="S216" s="1142"/>
      <c r="T216" s="1143"/>
      <c r="U216" s="1143"/>
      <c r="V216" s="1143"/>
    </row>
    <row r="217" spans="1:22" s="1144" customFormat="1" ht="15.75" customHeight="1">
      <c r="A217" s="1136"/>
      <c r="B217" s="358"/>
      <c r="C217" s="382">
        <v>3</v>
      </c>
      <c r="D217" s="382"/>
      <c r="E217" s="382">
        <v>0.15</v>
      </c>
      <c r="F217" s="382"/>
      <c r="G217" s="382"/>
      <c r="H217" s="382"/>
      <c r="I217" s="382"/>
      <c r="J217" s="382">
        <v>3</v>
      </c>
      <c r="K217" s="382"/>
      <c r="L217" s="382">
        <v>5</v>
      </c>
      <c r="M217" s="1131">
        <f>C217*E217*J217</f>
        <v>1.3499999999999999</v>
      </c>
      <c r="N217" s="1141"/>
      <c r="O217" s="1142"/>
      <c r="P217" s="1142"/>
      <c r="Q217" s="1142"/>
      <c r="R217" s="1142"/>
      <c r="S217" s="1142"/>
      <c r="T217" s="1143"/>
      <c r="U217" s="1143"/>
      <c r="V217" s="1143"/>
    </row>
    <row r="218" spans="1:22" s="1144" customFormat="1" ht="15.75" customHeight="1">
      <c r="A218" s="1136"/>
      <c r="B218" s="358"/>
      <c r="C218" s="382"/>
      <c r="D218" s="382"/>
      <c r="E218" s="382"/>
      <c r="F218" s="382"/>
      <c r="G218" s="382"/>
      <c r="H218" s="382"/>
      <c r="I218" s="382"/>
      <c r="J218" s="382"/>
      <c r="K218" s="382"/>
      <c r="L218" s="382"/>
      <c r="M218" s="645">
        <f>SUM(M216:M217)</f>
        <v>3.5999999999999996</v>
      </c>
      <c r="N218" s="1146" t="s">
        <v>89</v>
      </c>
      <c r="O218" s="1142"/>
      <c r="P218" s="1142"/>
      <c r="Q218" s="1142"/>
      <c r="R218" s="1142"/>
      <c r="S218" s="1142"/>
      <c r="T218" s="1143"/>
      <c r="U218" s="1143"/>
      <c r="V218" s="1143"/>
    </row>
    <row r="219" spans="1:22" s="1144" customFormat="1" ht="15.75" customHeight="1">
      <c r="A219" s="1136" t="s">
        <v>98</v>
      </c>
      <c r="B219" s="358" t="s">
        <v>900</v>
      </c>
      <c r="C219" s="382"/>
      <c r="D219" s="382"/>
      <c r="E219" s="382"/>
      <c r="F219" s="382"/>
      <c r="G219" s="382"/>
      <c r="H219" s="382"/>
      <c r="I219" s="382"/>
      <c r="J219" s="382"/>
      <c r="K219" s="382"/>
      <c r="L219" s="382"/>
      <c r="M219" s="382"/>
      <c r="N219" s="1141"/>
      <c r="O219" s="1142"/>
      <c r="P219" s="1142"/>
      <c r="Q219" s="1142"/>
      <c r="R219" s="1142"/>
      <c r="S219" s="1142"/>
      <c r="T219" s="1143"/>
      <c r="U219" s="1143"/>
      <c r="V219" s="1143"/>
    </row>
    <row r="220" spans="1:22" s="1144" customFormat="1" ht="15.75" customHeight="1">
      <c r="A220" s="1136"/>
      <c r="B220" s="358"/>
      <c r="C220" s="382">
        <f>C216</f>
        <v>5</v>
      </c>
      <c r="D220" s="382"/>
      <c r="E220" s="382"/>
      <c r="F220" s="382">
        <f>13*13*0.006165</f>
        <v>1.041885</v>
      </c>
      <c r="G220" s="382"/>
      <c r="H220" s="382"/>
      <c r="I220" s="382"/>
      <c r="J220" s="382"/>
      <c r="K220" s="382">
        <v>4</v>
      </c>
      <c r="L220" s="382">
        <f>L216</f>
        <v>3</v>
      </c>
      <c r="M220" s="382">
        <f>C220*F220*K220</f>
        <v>20.837699999999998</v>
      </c>
      <c r="N220" s="1141"/>
      <c r="O220" s="1142"/>
      <c r="P220" s="1142"/>
      <c r="Q220" s="1142"/>
      <c r="R220" s="1142"/>
      <c r="S220" s="1142"/>
      <c r="T220" s="1143"/>
      <c r="U220" s="1143"/>
      <c r="V220" s="1143"/>
    </row>
    <row r="221" spans="1:22" s="1144" customFormat="1" ht="15.75" customHeight="1">
      <c r="A221" s="1136"/>
      <c r="B221" s="358"/>
      <c r="C221" s="382">
        <f>C217</f>
        <v>3</v>
      </c>
      <c r="D221" s="382"/>
      <c r="E221" s="382"/>
      <c r="F221" s="382">
        <f>13*13*0.006165</f>
        <v>1.041885</v>
      </c>
      <c r="G221" s="382"/>
      <c r="H221" s="382"/>
      <c r="I221" s="382"/>
      <c r="J221" s="382"/>
      <c r="K221" s="382">
        <v>4</v>
      </c>
      <c r="L221" s="382">
        <f>L217</f>
        <v>5</v>
      </c>
      <c r="M221" s="1131">
        <f>C221*F221*K221</f>
        <v>12.50262</v>
      </c>
      <c r="N221" s="1141"/>
      <c r="O221" s="1142"/>
      <c r="P221" s="1142"/>
      <c r="Q221" s="1142"/>
      <c r="R221" s="1142"/>
      <c r="S221" s="1142"/>
      <c r="T221" s="1143"/>
      <c r="U221" s="1143"/>
      <c r="V221" s="1143"/>
    </row>
    <row r="222" spans="1:22" s="1144" customFormat="1" ht="15.75" customHeight="1">
      <c r="A222" s="1136"/>
      <c r="B222" s="358"/>
      <c r="C222" s="382"/>
      <c r="D222" s="382"/>
      <c r="E222" s="382"/>
      <c r="F222" s="382"/>
      <c r="G222" s="382"/>
      <c r="H222" s="382"/>
      <c r="I222" s="382"/>
      <c r="J222" s="382"/>
      <c r="K222" s="382"/>
      <c r="L222" s="382"/>
      <c r="M222" s="645">
        <f>SUM(M220:M221)</f>
        <v>33.340319999999998</v>
      </c>
      <c r="N222" s="1146" t="s">
        <v>100</v>
      </c>
      <c r="O222" s="1142"/>
      <c r="P222" s="1142"/>
      <c r="Q222" s="1142"/>
      <c r="R222" s="1142"/>
      <c r="S222" s="1142"/>
      <c r="T222" s="1143"/>
      <c r="U222" s="1143"/>
      <c r="V222" s="1143"/>
    </row>
    <row r="223" spans="1:22" s="1144" customFormat="1" ht="15.75" customHeight="1">
      <c r="A223" s="1136" t="s">
        <v>101</v>
      </c>
      <c r="B223" s="357" t="s">
        <v>899</v>
      </c>
      <c r="C223" s="382"/>
      <c r="D223" s="382"/>
      <c r="E223" s="382"/>
      <c r="F223" s="382"/>
      <c r="G223" s="382"/>
      <c r="H223" s="382"/>
      <c r="I223" s="382"/>
      <c r="J223" s="382"/>
      <c r="K223" s="382"/>
      <c r="L223" s="382"/>
      <c r="M223" s="382"/>
      <c r="N223" s="1141"/>
      <c r="O223" s="1142"/>
      <c r="P223" s="1142"/>
      <c r="Q223" s="1142"/>
      <c r="R223" s="1142"/>
      <c r="S223" s="1142"/>
      <c r="T223" s="1143"/>
      <c r="U223" s="1143"/>
      <c r="V223" s="1143"/>
    </row>
    <row r="224" spans="1:22" s="1144" customFormat="1" ht="15.75" customHeight="1">
      <c r="A224" s="1136"/>
      <c r="B224" s="357"/>
      <c r="C224" s="382">
        <f>(0.09+0.12)*2</f>
        <v>0.42</v>
      </c>
      <c r="D224" s="382"/>
      <c r="E224" s="382"/>
      <c r="F224" s="382">
        <f>8*8*0.006165</f>
        <v>0.39456000000000002</v>
      </c>
      <c r="G224" s="382"/>
      <c r="H224" s="382"/>
      <c r="I224" s="382">
        <v>0.1</v>
      </c>
      <c r="J224" s="382"/>
      <c r="K224" s="382">
        <f>ROUNDUP((C220/0.125),0.5)</f>
        <v>40</v>
      </c>
      <c r="L224" s="382">
        <f>L220</f>
        <v>3</v>
      </c>
      <c r="M224" s="382">
        <f>(C224+I224)*F224*K224</f>
        <v>8.2068480000000008</v>
      </c>
      <c r="N224" s="1141"/>
      <c r="O224" s="1142"/>
      <c r="P224" s="1142"/>
      <c r="Q224" s="1142"/>
      <c r="R224" s="1142"/>
      <c r="S224" s="1142"/>
      <c r="T224" s="1143"/>
      <c r="U224" s="1143"/>
      <c r="V224" s="1143"/>
    </row>
    <row r="225" spans="1:23" s="1144" customFormat="1" ht="15.75" customHeight="1">
      <c r="A225" s="1136"/>
      <c r="B225" s="357"/>
      <c r="C225" s="382">
        <f>C224</f>
        <v>0.42</v>
      </c>
      <c r="D225" s="382"/>
      <c r="E225" s="382"/>
      <c r="F225" s="382">
        <f>F224</f>
        <v>0.39456000000000002</v>
      </c>
      <c r="G225" s="382"/>
      <c r="H225" s="382"/>
      <c r="I225" s="382">
        <f>I224</f>
        <v>0.1</v>
      </c>
      <c r="J225" s="382"/>
      <c r="K225" s="382">
        <f>ROUNDUP((C221/0.125),0.5)</f>
        <v>24</v>
      </c>
      <c r="L225" s="382">
        <f>L221</f>
        <v>5</v>
      </c>
      <c r="M225" s="1131">
        <f>(C225+I225)*F225*K225</f>
        <v>4.9241088000000008</v>
      </c>
      <c r="N225" s="1141"/>
      <c r="O225" s="1142"/>
      <c r="P225" s="1142"/>
      <c r="Q225" s="1142"/>
      <c r="R225" s="1142"/>
      <c r="S225" s="1142"/>
      <c r="T225" s="1143"/>
      <c r="U225" s="1143"/>
      <c r="V225" s="1143"/>
    </row>
    <row r="226" spans="1:23" s="1144" customFormat="1" ht="15.75" customHeight="1">
      <c r="A226" s="1136"/>
      <c r="B226" s="357"/>
      <c r="C226" s="382"/>
      <c r="D226" s="382"/>
      <c r="E226" s="382"/>
      <c r="F226" s="382"/>
      <c r="G226" s="382"/>
      <c r="H226" s="382"/>
      <c r="I226" s="382"/>
      <c r="J226" s="382"/>
      <c r="K226" s="382"/>
      <c r="L226" s="382"/>
      <c r="M226" s="645">
        <f>SUM(M224:M225)</f>
        <v>13.130956800000002</v>
      </c>
      <c r="N226" s="1146" t="s">
        <v>100</v>
      </c>
      <c r="O226" s="1142"/>
      <c r="P226" s="1142"/>
      <c r="Q226" s="1142"/>
      <c r="R226" s="1142"/>
      <c r="S226" s="1142"/>
      <c r="T226" s="1143"/>
      <c r="U226" s="1143"/>
      <c r="V226" s="1143"/>
    </row>
    <row r="227" spans="1:23" s="1144" customFormat="1" ht="15.75" customHeight="1">
      <c r="A227" s="1136" t="s">
        <v>121</v>
      </c>
      <c r="B227" s="358" t="s">
        <v>102</v>
      </c>
      <c r="C227" s="382"/>
      <c r="D227" s="382"/>
      <c r="E227" s="382"/>
      <c r="F227" s="382"/>
      <c r="G227" s="382"/>
      <c r="H227" s="382"/>
      <c r="I227" s="382"/>
      <c r="J227" s="382"/>
      <c r="K227" s="382"/>
      <c r="L227" s="382"/>
      <c r="M227" s="382"/>
      <c r="N227" s="1141"/>
      <c r="O227" s="1142"/>
      <c r="P227" s="1142"/>
      <c r="Q227" s="1142"/>
      <c r="R227" s="1142"/>
      <c r="S227" s="1142"/>
      <c r="T227" s="1143"/>
      <c r="U227" s="1143"/>
      <c r="V227" s="1143"/>
    </row>
    <row r="228" spans="1:23" s="1144" customFormat="1" ht="15.75" customHeight="1">
      <c r="A228" s="1147"/>
      <c r="B228" s="358"/>
      <c r="C228" s="382">
        <f>C216</f>
        <v>5</v>
      </c>
      <c r="D228" s="382">
        <f>D213</f>
        <v>0.15</v>
      </c>
      <c r="E228" s="382">
        <v>0.15</v>
      </c>
      <c r="F228" s="382"/>
      <c r="G228" s="382"/>
      <c r="H228" s="382"/>
      <c r="I228" s="382"/>
      <c r="J228" s="382"/>
      <c r="K228" s="382"/>
      <c r="L228" s="382">
        <f>L224</f>
        <v>3</v>
      </c>
      <c r="M228" s="382">
        <f>C228*D228*E228</f>
        <v>0.11249999999999999</v>
      </c>
      <c r="N228" s="1141"/>
      <c r="O228" s="1142"/>
      <c r="P228" s="1142"/>
      <c r="Q228" s="1142"/>
      <c r="R228" s="1142"/>
      <c r="S228" s="1142"/>
      <c r="T228" s="1143"/>
      <c r="U228" s="1143"/>
      <c r="V228" s="1143"/>
    </row>
    <row r="229" spans="1:23" s="1144" customFormat="1" ht="15.75" customHeight="1">
      <c r="A229" s="1147"/>
      <c r="B229" s="358"/>
      <c r="C229" s="382">
        <f>C217</f>
        <v>3</v>
      </c>
      <c r="D229" s="382">
        <f>D228</f>
        <v>0.15</v>
      </c>
      <c r="E229" s="382">
        <f>E228</f>
        <v>0.15</v>
      </c>
      <c r="F229" s="382"/>
      <c r="G229" s="382"/>
      <c r="H229" s="382"/>
      <c r="I229" s="382"/>
      <c r="J229" s="382"/>
      <c r="K229" s="382"/>
      <c r="L229" s="382">
        <f>L225</f>
        <v>5</v>
      </c>
      <c r="M229" s="1131">
        <f>C229*D229*E229</f>
        <v>6.7499999999999991E-2</v>
      </c>
      <c r="N229" s="1141"/>
      <c r="O229" s="1142"/>
      <c r="P229" s="1142"/>
      <c r="Q229" s="1142"/>
      <c r="R229" s="1142"/>
      <c r="S229" s="1142"/>
      <c r="T229" s="1143"/>
      <c r="U229" s="1143"/>
      <c r="V229" s="1143"/>
    </row>
    <row r="230" spans="1:23" s="1144" customFormat="1" ht="15.75" customHeight="1">
      <c r="A230" s="1147"/>
      <c r="B230" s="358"/>
      <c r="C230" s="382"/>
      <c r="D230" s="382"/>
      <c r="E230" s="382"/>
      <c r="F230" s="382"/>
      <c r="G230" s="382"/>
      <c r="H230" s="382"/>
      <c r="I230" s="382"/>
      <c r="J230" s="382"/>
      <c r="K230" s="382"/>
      <c r="L230" s="382"/>
      <c r="M230" s="645">
        <f>SUM(M228:M229)</f>
        <v>0.18</v>
      </c>
      <c r="N230" s="1146" t="s">
        <v>103</v>
      </c>
      <c r="O230" s="1142"/>
      <c r="P230" s="1142"/>
      <c r="Q230" s="1142"/>
      <c r="R230" s="1142"/>
      <c r="S230" s="1142"/>
      <c r="T230" s="1143"/>
      <c r="U230" s="1143"/>
      <c r="V230" s="1143"/>
    </row>
    <row r="231" spans="1:23" s="554" customFormat="1" ht="15.75" customHeight="1">
      <c r="A231" s="350">
        <f>A214+1</f>
        <v>14</v>
      </c>
      <c r="B231" s="359" t="s">
        <v>424</v>
      </c>
      <c r="C231" s="348"/>
      <c r="D231" s="348"/>
      <c r="E231" s="348"/>
      <c r="F231" s="348"/>
      <c r="G231" s="348"/>
      <c r="H231" s="348"/>
      <c r="I231" s="348"/>
      <c r="J231" s="348"/>
      <c r="K231" s="348"/>
      <c r="L231" s="348"/>
      <c r="M231" s="348"/>
      <c r="N231" s="349"/>
      <c r="O231" s="784"/>
      <c r="P231" s="398"/>
      <c r="Q231" s="564"/>
      <c r="R231" s="398"/>
      <c r="S231" s="398"/>
      <c r="T231" s="398"/>
      <c r="U231" s="555"/>
      <c r="V231" s="555"/>
      <c r="W231" s="555"/>
    </row>
    <row r="232" spans="1:23" s="554" customFormat="1" ht="15.75" customHeight="1">
      <c r="A232" s="350"/>
      <c r="B232" s="359" t="s">
        <v>1010</v>
      </c>
      <c r="C232" s="348"/>
      <c r="D232" s="348"/>
      <c r="E232" s="348"/>
      <c r="F232" s="348"/>
      <c r="G232" s="348"/>
      <c r="H232" s="348"/>
      <c r="I232" s="348"/>
      <c r="J232" s="348"/>
      <c r="K232" s="348"/>
      <c r="L232" s="348"/>
      <c r="M232" s="348"/>
      <c r="N232" s="349"/>
      <c r="O232" s="784"/>
      <c r="P232" s="398"/>
      <c r="Q232" s="564"/>
      <c r="R232" s="398"/>
      <c r="S232" s="398"/>
      <c r="T232" s="398"/>
      <c r="U232" s="555"/>
      <c r="V232" s="555"/>
      <c r="W232" s="555"/>
    </row>
    <row r="233" spans="1:23" s="554" customFormat="1" ht="15.75" customHeight="1">
      <c r="A233" s="355" t="s">
        <v>95</v>
      </c>
      <c r="B233" s="359" t="s">
        <v>423</v>
      </c>
      <c r="C233" s="348"/>
      <c r="D233" s="348"/>
      <c r="E233" s="348"/>
      <c r="F233" s="348"/>
      <c r="G233" s="348"/>
      <c r="H233" s="348"/>
      <c r="I233" s="348"/>
      <c r="J233" s="348"/>
      <c r="K233" s="348"/>
      <c r="L233" s="348"/>
      <c r="M233" s="348"/>
      <c r="N233" s="349"/>
      <c r="O233" s="784"/>
      <c r="P233" s="398"/>
      <c r="Q233" s="564"/>
      <c r="R233" s="398"/>
      <c r="S233" s="398"/>
      <c r="T233" s="398"/>
      <c r="U233" s="555"/>
      <c r="V233" s="555"/>
      <c r="W233" s="555"/>
    </row>
    <row r="234" spans="1:23" s="554" customFormat="1" ht="15.75" customHeight="1">
      <c r="A234" s="355"/>
      <c r="B234" s="567" t="s">
        <v>1010</v>
      </c>
      <c r="C234" s="348">
        <f>D394*2</f>
        <v>14.093999999999999</v>
      </c>
      <c r="D234" s="348"/>
      <c r="E234" s="348">
        <v>0.2</v>
      </c>
      <c r="F234" s="348"/>
      <c r="G234" s="348"/>
      <c r="H234" s="348">
        <v>2</v>
      </c>
      <c r="I234" s="348"/>
      <c r="J234" s="348"/>
      <c r="K234" s="348"/>
      <c r="L234" s="348">
        <v>5</v>
      </c>
      <c r="M234" s="348">
        <f>C234*E234*H234*L234</f>
        <v>28.187999999999999</v>
      </c>
      <c r="N234" s="349"/>
      <c r="O234" s="784"/>
      <c r="P234" s="398"/>
      <c r="Q234" s="564"/>
      <c r="R234" s="398"/>
      <c r="S234" s="398"/>
      <c r="T234" s="398"/>
      <c r="U234" s="555"/>
      <c r="V234" s="555"/>
      <c r="W234" s="555"/>
    </row>
    <row r="235" spans="1:23" s="554" customFormat="1" ht="15.75" customHeight="1">
      <c r="A235" s="355"/>
      <c r="B235" s="359"/>
      <c r="C235" s="348">
        <f>C234</f>
        <v>14.093999999999999</v>
      </c>
      <c r="D235" s="348">
        <v>0.15</v>
      </c>
      <c r="E235" s="348"/>
      <c r="F235" s="348"/>
      <c r="G235" s="348"/>
      <c r="H235" s="348">
        <v>1</v>
      </c>
      <c r="I235" s="348"/>
      <c r="J235" s="348"/>
      <c r="K235" s="348"/>
      <c r="L235" s="348">
        <f>L234</f>
        <v>5</v>
      </c>
      <c r="M235" s="348">
        <f>C235*D235*H235*L235</f>
        <v>10.570499999999999</v>
      </c>
      <c r="N235" s="349"/>
      <c r="O235" s="784"/>
      <c r="P235" s="398"/>
      <c r="Q235" s="564"/>
      <c r="R235" s="398"/>
      <c r="S235" s="398"/>
      <c r="T235" s="398"/>
      <c r="U235" s="555"/>
      <c r="V235" s="555"/>
      <c r="W235" s="555"/>
    </row>
    <row r="236" spans="1:23" s="554" customFormat="1" ht="15.75" customHeight="1">
      <c r="A236" s="355"/>
      <c r="B236" s="567" t="s">
        <v>1011</v>
      </c>
      <c r="C236" s="348">
        <v>6</v>
      </c>
      <c r="D236" s="348"/>
      <c r="E236" s="348">
        <v>0.2</v>
      </c>
      <c r="F236" s="348"/>
      <c r="G236" s="348"/>
      <c r="H236" s="348">
        <v>2</v>
      </c>
      <c r="I236" s="348"/>
      <c r="J236" s="348"/>
      <c r="K236" s="348"/>
      <c r="L236" s="348">
        <f>L234</f>
        <v>5</v>
      </c>
      <c r="M236" s="348">
        <f>C236*E236*H236*L236</f>
        <v>12.000000000000002</v>
      </c>
      <c r="N236" s="349"/>
      <c r="O236" s="784"/>
      <c r="P236" s="398"/>
      <c r="Q236" s="564"/>
      <c r="R236" s="398"/>
      <c r="S236" s="398"/>
      <c r="T236" s="398"/>
      <c r="U236" s="555"/>
      <c r="V236" s="555"/>
      <c r="W236" s="555"/>
    </row>
    <row r="237" spans="1:23" s="554" customFormat="1" ht="15.75" customHeight="1">
      <c r="A237" s="355"/>
      <c r="B237" s="359"/>
      <c r="C237" s="348">
        <f>C236</f>
        <v>6</v>
      </c>
      <c r="D237" s="348">
        <f>D235</f>
        <v>0.15</v>
      </c>
      <c r="E237" s="348"/>
      <c r="F237" s="348"/>
      <c r="G237" s="348"/>
      <c r="H237" s="348">
        <v>1</v>
      </c>
      <c r="I237" s="348"/>
      <c r="J237" s="348"/>
      <c r="K237" s="348"/>
      <c r="L237" s="348">
        <f>L236</f>
        <v>5</v>
      </c>
      <c r="M237" s="565">
        <f>C237*D237*H237*L237</f>
        <v>4.5</v>
      </c>
      <c r="N237" s="349"/>
      <c r="O237" s="784"/>
      <c r="P237" s="398"/>
      <c r="Q237" s="564"/>
      <c r="R237" s="398"/>
      <c r="S237" s="398"/>
      <c r="T237" s="398"/>
      <c r="U237" s="555"/>
      <c r="V237" s="555"/>
      <c r="W237" s="555"/>
    </row>
    <row r="238" spans="1:23" s="554" customFormat="1" ht="15.75" customHeight="1">
      <c r="A238" s="355"/>
      <c r="B238" s="359"/>
      <c r="C238" s="348"/>
      <c r="D238" s="348"/>
      <c r="E238" s="348"/>
      <c r="F238" s="348"/>
      <c r="G238" s="348"/>
      <c r="H238" s="348"/>
      <c r="I238" s="348"/>
      <c r="J238" s="348"/>
      <c r="K238" s="348"/>
      <c r="L238" s="348"/>
      <c r="M238" s="343">
        <f>SUM(M234:M237)/2</f>
        <v>27.629249999999999</v>
      </c>
      <c r="N238" s="349" t="s">
        <v>89</v>
      </c>
      <c r="O238" s="784">
        <f>ROUND((M238),2)</f>
        <v>27.63</v>
      </c>
      <c r="P238" s="398"/>
      <c r="Q238" s="564"/>
      <c r="R238" s="398"/>
      <c r="S238" s="398"/>
      <c r="T238" s="398"/>
      <c r="U238" s="555"/>
      <c r="V238" s="555"/>
      <c r="W238" s="555"/>
    </row>
    <row r="239" spans="1:23" s="554" customFormat="1" ht="15.75" customHeight="1">
      <c r="A239" s="355" t="s">
        <v>98</v>
      </c>
      <c r="B239" s="359" t="s">
        <v>741</v>
      </c>
      <c r="C239" s="348"/>
      <c r="D239" s="348"/>
      <c r="E239" s="348"/>
      <c r="F239" s="348"/>
      <c r="G239" s="348"/>
      <c r="H239" s="348"/>
      <c r="I239" s="348"/>
      <c r="J239" s="348"/>
      <c r="K239" s="348"/>
      <c r="L239" s="348"/>
      <c r="M239" s="348"/>
      <c r="N239" s="349"/>
      <c r="O239" s="784"/>
      <c r="P239" s="398"/>
      <c r="Q239" s="564"/>
      <c r="R239" s="398"/>
      <c r="S239" s="398"/>
      <c r="T239" s="398"/>
      <c r="U239" s="555"/>
      <c r="V239" s="555"/>
      <c r="W239" s="555"/>
    </row>
    <row r="240" spans="1:23" s="554" customFormat="1" ht="15.75" customHeight="1">
      <c r="A240" s="355"/>
      <c r="B240" s="567" t="s">
        <v>1010</v>
      </c>
      <c r="C240" s="348">
        <f>C234</f>
        <v>14.093999999999999</v>
      </c>
      <c r="D240" s="348"/>
      <c r="E240" s="348"/>
      <c r="F240" s="348">
        <v>5</v>
      </c>
      <c r="G240" s="348"/>
      <c r="H240" s="348"/>
      <c r="I240" s="348">
        <v>0.1</v>
      </c>
      <c r="J240" s="348"/>
      <c r="K240" s="348">
        <f>0.006165*10*10</f>
        <v>0.61650000000000005</v>
      </c>
      <c r="L240" s="348">
        <f>L234</f>
        <v>5</v>
      </c>
      <c r="M240" s="348">
        <f>(C240+I240)*F240*K240*L240</f>
        <v>218.76502500000001</v>
      </c>
      <c r="N240" s="349"/>
      <c r="O240" s="784"/>
      <c r="P240" s="398"/>
      <c r="Q240" s="564"/>
      <c r="R240" s="398"/>
      <c r="S240" s="398"/>
      <c r="T240" s="398"/>
      <c r="U240" s="555"/>
      <c r="V240" s="555"/>
      <c r="W240" s="555"/>
    </row>
    <row r="241" spans="1:23" s="554" customFormat="1" ht="15.75" customHeight="1">
      <c r="A241" s="355"/>
      <c r="B241" s="567" t="s">
        <v>1011</v>
      </c>
      <c r="C241" s="348">
        <f>C237</f>
        <v>6</v>
      </c>
      <c r="D241" s="348"/>
      <c r="E241" s="348"/>
      <c r="F241" s="348">
        <v>5</v>
      </c>
      <c r="G241" s="348"/>
      <c r="H241" s="348"/>
      <c r="I241" s="348">
        <f>I240</f>
        <v>0.1</v>
      </c>
      <c r="J241" s="348"/>
      <c r="K241" s="348">
        <f>K240</f>
        <v>0.61650000000000005</v>
      </c>
      <c r="L241" s="348">
        <f>L240</f>
        <v>5</v>
      </c>
      <c r="M241" s="565">
        <f>(C241+I241)*F241*K241*L241</f>
        <v>94.016250000000014</v>
      </c>
      <c r="N241" s="349"/>
      <c r="O241" s="784"/>
      <c r="P241" s="398"/>
      <c r="Q241" s="564"/>
      <c r="R241" s="398"/>
      <c r="S241" s="398"/>
      <c r="T241" s="398"/>
      <c r="U241" s="555"/>
      <c r="V241" s="555"/>
      <c r="W241" s="555"/>
    </row>
    <row r="242" spans="1:23" s="554" customFormat="1" ht="15.75" customHeight="1">
      <c r="A242" s="355"/>
      <c r="B242" s="359"/>
      <c r="C242" s="348"/>
      <c r="D242" s="348"/>
      <c r="E242" s="348"/>
      <c r="F242" s="348"/>
      <c r="G242" s="348"/>
      <c r="H242" s="348"/>
      <c r="I242" s="348"/>
      <c r="J242" s="348"/>
      <c r="K242" s="348"/>
      <c r="L242" s="348"/>
      <c r="M242" s="343">
        <f>SUM(M240:M241)</f>
        <v>312.78127500000005</v>
      </c>
      <c r="N242" s="349" t="s">
        <v>100</v>
      </c>
      <c r="O242" s="784">
        <f>ROUND((M242),2)</f>
        <v>312.77999999999997</v>
      </c>
      <c r="P242" s="398"/>
      <c r="Q242" s="564"/>
      <c r="R242" s="398"/>
      <c r="S242" s="398"/>
      <c r="T242" s="398"/>
      <c r="U242" s="555"/>
      <c r="V242" s="555"/>
      <c r="W242" s="555"/>
    </row>
    <row r="243" spans="1:23" s="554" customFormat="1" ht="15.75" customHeight="1">
      <c r="A243" s="355" t="s">
        <v>101</v>
      </c>
      <c r="B243" s="359" t="s">
        <v>428</v>
      </c>
      <c r="C243" s="348"/>
      <c r="D243" s="348"/>
      <c r="E243" s="348"/>
      <c r="F243" s="348"/>
      <c r="G243" s="348"/>
      <c r="H243" s="348"/>
      <c r="I243" s="348"/>
      <c r="J243" s="348"/>
      <c r="K243" s="348"/>
      <c r="L243" s="348"/>
      <c r="M243" s="348"/>
      <c r="N243" s="349"/>
      <c r="O243" s="784"/>
      <c r="P243" s="398"/>
      <c r="Q243" s="564"/>
      <c r="R243" s="398"/>
      <c r="S243" s="398"/>
      <c r="T243" s="398"/>
      <c r="U243" s="555"/>
      <c r="V243" s="555"/>
      <c r="W243" s="555"/>
    </row>
    <row r="244" spans="1:23" s="554" customFormat="1" ht="15.75" customHeight="1">
      <c r="A244" s="355"/>
      <c r="B244" s="567" t="s">
        <v>1010</v>
      </c>
      <c r="C244" s="348">
        <f>(0.09+0.14)*2</f>
        <v>0.46</v>
      </c>
      <c r="D244" s="348"/>
      <c r="E244" s="348"/>
      <c r="F244" s="348">
        <f>ROUNDDOWN((C240/0.125),0.1)</f>
        <v>112</v>
      </c>
      <c r="G244" s="348"/>
      <c r="H244" s="348"/>
      <c r="I244" s="348">
        <v>0.1</v>
      </c>
      <c r="J244" s="348"/>
      <c r="K244" s="348">
        <f>L225</f>
        <v>5</v>
      </c>
      <c r="L244" s="348">
        <f>L240</f>
        <v>5</v>
      </c>
      <c r="M244" s="348">
        <f>(C244+I244)*F244*K244*L244</f>
        <v>1568</v>
      </c>
      <c r="N244" s="349"/>
      <c r="O244" s="784"/>
      <c r="P244" s="398"/>
      <c r="Q244" s="564"/>
      <c r="R244" s="398"/>
      <c r="S244" s="398"/>
      <c r="T244" s="398"/>
      <c r="U244" s="555"/>
      <c r="V244" s="555"/>
      <c r="W244" s="555"/>
    </row>
    <row r="245" spans="1:23" s="554" customFormat="1" ht="15.75" customHeight="1">
      <c r="A245" s="355"/>
      <c r="B245" s="567" t="s">
        <v>1011</v>
      </c>
      <c r="C245" s="348">
        <f>(0.09+0.14)*2</f>
        <v>0.46</v>
      </c>
      <c r="D245" s="348"/>
      <c r="E245" s="348"/>
      <c r="F245" s="348">
        <f>ROUNDDOWN((C241/0.125),0.1)</f>
        <v>48</v>
      </c>
      <c r="G245" s="348"/>
      <c r="H245" s="348"/>
      <c r="I245" s="348">
        <v>0.1</v>
      </c>
      <c r="J245" s="348"/>
      <c r="K245" s="348">
        <f>K244</f>
        <v>5</v>
      </c>
      <c r="L245" s="348">
        <f>L241</f>
        <v>5</v>
      </c>
      <c r="M245" s="348">
        <f>(C245+I245)*F245*K245*L245</f>
        <v>672</v>
      </c>
      <c r="N245" s="349"/>
      <c r="O245" s="784"/>
      <c r="P245" s="398"/>
      <c r="Q245" s="564"/>
      <c r="R245" s="398"/>
      <c r="S245" s="398"/>
      <c r="T245" s="398"/>
      <c r="U245" s="555"/>
      <c r="V245" s="555"/>
      <c r="W245" s="555"/>
    </row>
    <row r="246" spans="1:23" s="554" customFormat="1" ht="15.75" customHeight="1">
      <c r="A246" s="355"/>
      <c r="B246" s="359"/>
      <c r="C246" s="348"/>
      <c r="D246" s="348"/>
      <c r="E246" s="348"/>
      <c r="F246" s="348"/>
      <c r="G246" s="348"/>
      <c r="H246" s="348"/>
      <c r="I246" s="348"/>
      <c r="J246" s="348"/>
      <c r="K246" s="348"/>
      <c r="L246" s="348"/>
      <c r="M246" s="343">
        <f>SUM(M244:M245)</f>
        <v>2240</v>
      </c>
      <c r="N246" s="349" t="s">
        <v>100</v>
      </c>
      <c r="O246" s="784">
        <f>ROUND((M246),2)</f>
        <v>2240</v>
      </c>
      <c r="P246" s="398"/>
      <c r="Q246" s="564"/>
      <c r="R246" s="398"/>
      <c r="S246" s="398"/>
      <c r="T246" s="398"/>
      <c r="U246" s="555"/>
      <c r="V246" s="555"/>
      <c r="W246" s="555"/>
    </row>
    <row r="247" spans="1:23" s="554" customFormat="1" ht="15.75" customHeight="1">
      <c r="A247" s="355" t="s">
        <v>121</v>
      </c>
      <c r="B247" s="359" t="s">
        <v>1043</v>
      </c>
      <c r="C247" s="348"/>
      <c r="D247" s="348"/>
      <c r="E247" s="348"/>
      <c r="F247" s="348"/>
      <c r="G247" s="348"/>
      <c r="H247" s="348"/>
      <c r="I247" s="348"/>
      <c r="J247" s="348"/>
      <c r="K247" s="348"/>
      <c r="L247" s="348"/>
      <c r="M247" s="348"/>
      <c r="N247" s="349"/>
      <c r="O247" s="784"/>
      <c r="P247" s="398"/>
      <c r="Q247" s="564"/>
      <c r="R247" s="398"/>
      <c r="S247" s="398"/>
      <c r="T247" s="398"/>
      <c r="U247" s="555"/>
      <c r="V247" s="555"/>
      <c r="W247" s="555"/>
    </row>
    <row r="248" spans="1:23" s="554" customFormat="1" ht="15.75" customHeight="1">
      <c r="A248" s="355"/>
      <c r="B248" s="567" t="s">
        <v>1010</v>
      </c>
      <c r="C248" s="348">
        <f>C240</f>
        <v>14.093999999999999</v>
      </c>
      <c r="D248" s="348">
        <f>D235</f>
        <v>0.15</v>
      </c>
      <c r="E248" s="348">
        <f>E234</f>
        <v>0.2</v>
      </c>
      <c r="F248" s="348"/>
      <c r="G248" s="348"/>
      <c r="H248" s="348"/>
      <c r="I248" s="348"/>
      <c r="J248" s="348"/>
      <c r="K248" s="348"/>
      <c r="L248" s="348">
        <f>L244</f>
        <v>5</v>
      </c>
      <c r="M248" s="348">
        <f>C248*D248*E248*L248</f>
        <v>2.1140999999999996</v>
      </c>
      <c r="N248" s="349"/>
      <c r="O248" s="784"/>
      <c r="P248" s="398"/>
      <c r="Q248" s="564"/>
      <c r="R248" s="398"/>
      <c r="S248" s="398"/>
      <c r="T248" s="398"/>
      <c r="U248" s="555"/>
      <c r="V248" s="555"/>
      <c r="W248" s="555"/>
    </row>
    <row r="249" spans="1:23" s="554" customFormat="1" ht="15.75" customHeight="1">
      <c r="A249" s="355"/>
      <c r="B249" s="567" t="s">
        <v>1011</v>
      </c>
      <c r="C249" s="348">
        <f>C241</f>
        <v>6</v>
      </c>
      <c r="D249" s="348">
        <f>D248</f>
        <v>0.15</v>
      </c>
      <c r="E249" s="348">
        <f>E248</f>
        <v>0.2</v>
      </c>
      <c r="F249" s="348"/>
      <c r="G249" s="348"/>
      <c r="H249" s="348"/>
      <c r="I249" s="348"/>
      <c r="J249" s="348"/>
      <c r="K249" s="348"/>
      <c r="L249" s="348">
        <f>L245</f>
        <v>5</v>
      </c>
      <c r="M249" s="565">
        <f>C249*D249*E249*L249</f>
        <v>0.89999999999999991</v>
      </c>
      <c r="N249" s="349"/>
      <c r="O249" s="784"/>
      <c r="P249" s="398"/>
      <c r="Q249" s="564"/>
      <c r="R249" s="398"/>
      <c r="S249" s="398"/>
      <c r="T249" s="398"/>
      <c r="U249" s="555"/>
      <c r="V249" s="555"/>
      <c r="W249" s="555"/>
    </row>
    <row r="250" spans="1:23" s="554" customFormat="1" ht="15.75" customHeight="1">
      <c r="A250" s="355"/>
      <c r="B250" s="359"/>
      <c r="C250" s="348"/>
      <c r="D250" s="348"/>
      <c r="E250" s="348"/>
      <c r="F250" s="348"/>
      <c r="G250" s="348"/>
      <c r="H250" s="348"/>
      <c r="I250" s="348"/>
      <c r="J250" s="348"/>
      <c r="K250" s="348"/>
      <c r="L250" s="348"/>
      <c r="M250" s="343">
        <f>SUM(M248:M249)</f>
        <v>3.0140999999999996</v>
      </c>
      <c r="N250" s="349" t="s">
        <v>103</v>
      </c>
      <c r="O250" s="784">
        <f>ROUND((M250),2)</f>
        <v>3.01</v>
      </c>
      <c r="P250" s="398"/>
      <c r="Q250" s="564"/>
      <c r="R250" s="398"/>
      <c r="S250" s="398"/>
      <c r="T250" s="398"/>
      <c r="U250" s="555"/>
      <c r="V250" s="555"/>
      <c r="W250" s="555"/>
    </row>
    <row r="251" spans="1:23" s="554" customFormat="1" ht="15.75" customHeight="1">
      <c r="A251" s="350"/>
      <c r="B251" s="359" t="s">
        <v>1166</v>
      </c>
      <c r="C251" s="348"/>
      <c r="D251" s="348"/>
      <c r="E251" s="348"/>
      <c r="F251" s="348"/>
      <c r="G251" s="348"/>
      <c r="H251" s="348"/>
      <c r="I251" s="348"/>
      <c r="J251" s="348"/>
      <c r="K251" s="348"/>
      <c r="L251" s="348"/>
      <c r="M251" s="348"/>
      <c r="N251" s="349"/>
      <c r="O251" s="784"/>
      <c r="P251" s="398"/>
      <c r="Q251" s="564"/>
      <c r="R251" s="398"/>
      <c r="S251" s="398"/>
      <c r="T251" s="398"/>
      <c r="U251" s="555"/>
      <c r="V251" s="555"/>
      <c r="W251" s="555"/>
    </row>
    <row r="252" spans="1:23" s="554" customFormat="1" ht="15.75" customHeight="1">
      <c r="A252" s="355" t="s">
        <v>95</v>
      </c>
      <c r="B252" s="359" t="s">
        <v>423</v>
      </c>
      <c r="C252" s="348"/>
      <c r="D252" s="348"/>
      <c r="E252" s="348"/>
      <c r="F252" s="348"/>
      <c r="G252" s="348"/>
      <c r="H252" s="348"/>
      <c r="I252" s="348"/>
      <c r="J252" s="348"/>
      <c r="K252" s="348"/>
      <c r="L252" s="348"/>
      <c r="M252" s="348"/>
      <c r="N252" s="349"/>
      <c r="O252" s="784"/>
      <c r="P252" s="398"/>
      <c r="Q252" s="564"/>
      <c r="R252" s="398"/>
      <c r="S252" s="398"/>
      <c r="T252" s="398"/>
      <c r="U252" s="555"/>
      <c r="V252" s="555"/>
      <c r="W252" s="555"/>
    </row>
    <row r="253" spans="1:23" s="554" customFormat="1" ht="15.75" customHeight="1">
      <c r="A253" s="355"/>
      <c r="B253" s="567"/>
      <c r="C253" s="348">
        <v>1</v>
      </c>
      <c r="D253" s="348">
        <v>0.15</v>
      </c>
      <c r="E253" s="348">
        <v>0.2</v>
      </c>
      <c r="F253" s="348">
        <v>3</v>
      </c>
      <c r="G253" s="348"/>
      <c r="H253" s="348"/>
      <c r="I253" s="348"/>
      <c r="J253" s="348"/>
      <c r="K253" s="348"/>
      <c r="L253" s="348">
        <f>L249</f>
        <v>5</v>
      </c>
      <c r="M253" s="348">
        <f>C253*((E253+D253)*2)*F253*L253</f>
        <v>10.499999999999998</v>
      </c>
      <c r="N253" s="349"/>
      <c r="O253" s="784"/>
      <c r="P253" s="398"/>
      <c r="Q253" s="564"/>
      <c r="R253" s="398"/>
      <c r="S253" s="398"/>
      <c r="T253" s="398"/>
      <c r="U253" s="555"/>
      <c r="V253" s="555"/>
      <c r="W253" s="555"/>
    </row>
    <row r="254" spans="1:23" s="554" customFormat="1" ht="15.75" customHeight="1">
      <c r="A254" s="355"/>
      <c r="B254" s="359"/>
      <c r="C254" s="348"/>
      <c r="D254" s="348"/>
      <c r="E254" s="348"/>
      <c r="F254" s="348"/>
      <c r="G254" s="348"/>
      <c r="H254" s="348"/>
      <c r="I254" s="348"/>
      <c r="J254" s="348"/>
      <c r="K254" s="348"/>
      <c r="L254" s="348"/>
      <c r="M254" s="343">
        <f>SUM(M253:M253)/2</f>
        <v>5.2499999999999991</v>
      </c>
      <c r="N254" s="349" t="s">
        <v>89</v>
      </c>
      <c r="O254" s="784">
        <f>ROUND((M254),2)</f>
        <v>5.25</v>
      </c>
      <c r="P254" s="398"/>
      <c r="Q254" s="564"/>
      <c r="R254" s="398"/>
      <c r="S254" s="398"/>
      <c r="T254" s="398"/>
      <c r="U254" s="555"/>
      <c r="V254" s="555"/>
      <c r="W254" s="555"/>
    </row>
    <row r="255" spans="1:23" s="554" customFormat="1" ht="15.75" customHeight="1">
      <c r="A255" s="355" t="s">
        <v>98</v>
      </c>
      <c r="B255" s="359" t="s">
        <v>928</v>
      </c>
      <c r="C255" s="348"/>
      <c r="D255" s="348"/>
      <c r="E255" s="348"/>
      <c r="F255" s="348"/>
      <c r="G255" s="348"/>
      <c r="H255" s="348"/>
      <c r="I255" s="348"/>
      <c r="J255" s="348"/>
      <c r="K255" s="348"/>
      <c r="L255" s="348"/>
      <c r="M255" s="348"/>
      <c r="N255" s="349"/>
      <c r="O255" s="784"/>
      <c r="P255" s="398"/>
      <c r="Q255" s="564"/>
      <c r="R255" s="398"/>
      <c r="S255" s="398"/>
      <c r="T255" s="398"/>
      <c r="U255" s="555"/>
      <c r="V255" s="555"/>
      <c r="W255" s="555"/>
    </row>
    <row r="256" spans="1:23" s="554" customFormat="1" ht="15.75" customHeight="1">
      <c r="A256" s="355"/>
      <c r="B256" s="567"/>
      <c r="C256" s="348">
        <f>C253</f>
        <v>1</v>
      </c>
      <c r="D256" s="348"/>
      <c r="E256" s="348"/>
      <c r="F256" s="348">
        <v>4</v>
      </c>
      <c r="G256" s="348">
        <v>3</v>
      </c>
      <c r="H256" s="348"/>
      <c r="I256" s="348">
        <v>0.1</v>
      </c>
      <c r="J256" s="348"/>
      <c r="K256" s="348">
        <f>0.006165*13*13</f>
        <v>1.0418850000000002</v>
      </c>
      <c r="L256" s="348">
        <f>L253</f>
        <v>5</v>
      </c>
      <c r="M256" s="565">
        <f>(C256+I256)*F256*K256*L256*G256</f>
        <v>68.764410000000012</v>
      </c>
      <c r="N256" s="349"/>
      <c r="O256" s="784"/>
      <c r="P256" s="398"/>
      <c r="Q256" s="564"/>
      <c r="R256" s="398"/>
      <c r="S256" s="398"/>
      <c r="T256" s="398"/>
      <c r="U256" s="555"/>
      <c r="V256" s="555"/>
      <c r="W256" s="555"/>
    </row>
    <row r="257" spans="1:23" s="554" customFormat="1" ht="15.75" customHeight="1">
      <c r="A257" s="355"/>
      <c r="B257" s="359"/>
      <c r="C257" s="348"/>
      <c r="D257" s="348"/>
      <c r="E257" s="348"/>
      <c r="F257" s="348"/>
      <c r="G257" s="348"/>
      <c r="H257" s="348"/>
      <c r="I257" s="348"/>
      <c r="J257" s="348"/>
      <c r="K257" s="348"/>
      <c r="L257" s="348"/>
      <c r="M257" s="343">
        <f>SUM(M256:M256)</f>
        <v>68.764410000000012</v>
      </c>
      <c r="N257" s="349" t="s">
        <v>100</v>
      </c>
      <c r="O257" s="784">
        <f>ROUND((M257),2)</f>
        <v>68.760000000000005</v>
      </c>
      <c r="P257" s="398"/>
      <c r="Q257" s="564"/>
      <c r="R257" s="398"/>
      <c r="S257" s="398"/>
      <c r="T257" s="398"/>
      <c r="U257" s="555"/>
      <c r="V257" s="555"/>
      <c r="W257" s="555"/>
    </row>
    <row r="258" spans="1:23" s="554" customFormat="1" ht="15.75" customHeight="1">
      <c r="A258" s="355" t="s">
        <v>101</v>
      </c>
      <c r="B258" s="359" t="s">
        <v>428</v>
      </c>
      <c r="C258" s="348"/>
      <c r="D258" s="348"/>
      <c r="E258" s="348"/>
      <c r="F258" s="348"/>
      <c r="G258" s="348"/>
      <c r="H258" s="348"/>
      <c r="I258" s="348"/>
      <c r="J258" s="348"/>
      <c r="K258" s="348"/>
      <c r="L258" s="348"/>
      <c r="M258" s="348"/>
      <c r="N258" s="349"/>
      <c r="O258" s="784"/>
      <c r="P258" s="398"/>
      <c r="Q258" s="564"/>
      <c r="R258" s="398"/>
      <c r="S258" s="398"/>
      <c r="T258" s="398"/>
      <c r="U258" s="555"/>
      <c r="V258" s="555"/>
      <c r="W258" s="555"/>
    </row>
    <row r="259" spans="1:23" s="554" customFormat="1" ht="15.75" customHeight="1">
      <c r="A259" s="355"/>
      <c r="B259" s="567"/>
      <c r="C259" s="348">
        <f>(0.09+0.14)*2</f>
        <v>0.46</v>
      </c>
      <c r="D259" s="348"/>
      <c r="E259" s="348"/>
      <c r="F259" s="348">
        <f>ROUNDDOWN((C256/0.125),0.1)</f>
        <v>8</v>
      </c>
      <c r="G259" s="348">
        <v>2</v>
      </c>
      <c r="H259" s="348"/>
      <c r="I259" s="348">
        <v>0.1</v>
      </c>
      <c r="J259" s="348"/>
      <c r="K259" s="348">
        <f>K244</f>
        <v>5</v>
      </c>
      <c r="L259" s="348">
        <f>L256</f>
        <v>5</v>
      </c>
      <c r="M259" s="565">
        <f>(C259+I259)*F259*K259*L259*G259</f>
        <v>224.00000000000003</v>
      </c>
      <c r="N259" s="349"/>
      <c r="O259" s="784"/>
      <c r="P259" s="398"/>
      <c r="Q259" s="564"/>
      <c r="R259" s="398"/>
      <c r="S259" s="398"/>
      <c r="T259" s="398"/>
      <c r="U259" s="555"/>
      <c r="V259" s="555"/>
      <c r="W259" s="555"/>
    </row>
    <row r="260" spans="1:23" s="554" customFormat="1" ht="15.75" customHeight="1">
      <c r="A260" s="355"/>
      <c r="B260" s="359"/>
      <c r="C260" s="348"/>
      <c r="D260" s="348"/>
      <c r="E260" s="348"/>
      <c r="F260" s="348"/>
      <c r="G260" s="348"/>
      <c r="H260" s="348"/>
      <c r="I260" s="348"/>
      <c r="J260" s="348"/>
      <c r="K260" s="348"/>
      <c r="L260" s="348"/>
      <c r="M260" s="343">
        <f>SUM(M259:M259)</f>
        <v>224.00000000000003</v>
      </c>
      <c r="N260" s="349" t="s">
        <v>100</v>
      </c>
      <c r="O260" s="784">
        <f>ROUND((M260),2)</f>
        <v>224</v>
      </c>
      <c r="P260" s="398"/>
      <c r="Q260" s="564"/>
      <c r="R260" s="398"/>
      <c r="S260" s="398"/>
      <c r="T260" s="398"/>
      <c r="U260" s="555"/>
      <c r="V260" s="555"/>
      <c r="W260" s="555"/>
    </row>
    <row r="261" spans="1:23" s="554" customFormat="1" ht="15.75" customHeight="1">
      <c r="A261" s="355" t="s">
        <v>121</v>
      </c>
      <c r="B261" s="359" t="s">
        <v>1043</v>
      </c>
      <c r="C261" s="348"/>
      <c r="D261" s="348"/>
      <c r="E261" s="348"/>
      <c r="F261" s="348"/>
      <c r="G261" s="348"/>
      <c r="H261" s="348"/>
      <c r="I261" s="348"/>
      <c r="J261" s="348"/>
      <c r="K261" s="348"/>
      <c r="L261" s="348"/>
      <c r="M261" s="348"/>
      <c r="N261" s="349"/>
      <c r="O261" s="784"/>
      <c r="P261" s="398"/>
      <c r="Q261" s="564"/>
      <c r="R261" s="398"/>
      <c r="S261" s="398"/>
      <c r="T261" s="398"/>
      <c r="U261" s="555"/>
      <c r="V261" s="555"/>
      <c r="W261" s="555"/>
    </row>
    <row r="262" spans="1:23" s="554" customFormat="1" ht="15.75" customHeight="1">
      <c r="A262" s="355"/>
      <c r="B262" s="567"/>
      <c r="C262" s="348">
        <f>C256</f>
        <v>1</v>
      </c>
      <c r="D262" s="348">
        <f>D248</f>
        <v>0.15</v>
      </c>
      <c r="E262" s="348">
        <f>E253</f>
        <v>0.2</v>
      </c>
      <c r="F262" s="348">
        <v>2</v>
      </c>
      <c r="G262" s="348"/>
      <c r="H262" s="348"/>
      <c r="I262" s="348"/>
      <c r="J262" s="348"/>
      <c r="K262" s="348"/>
      <c r="L262" s="348">
        <f>L259*F262</f>
        <v>10</v>
      </c>
      <c r="M262" s="565">
        <f>C262*D262*E262*L262</f>
        <v>0.3</v>
      </c>
      <c r="N262" s="349"/>
      <c r="O262" s="784"/>
      <c r="P262" s="398"/>
      <c r="Q262" s="564"/>
      <c r="R262" s="398"/>
      <c r="S262" s="398"/>
      <c r="T262" s="398"/>
      <c r="U262" s="555"/>
      <c r="V262" s="555"/>
      <c r="W262" s="555"/>
    </row>
    <row r="263" spans="1:23" s="554" customFormat="1" ht="15.75" customHeight="1">
      <c r="A263" s="355"/>
      <c r="B263" s="359"/>
      <c r="C263" s="348"/>
      <c r="D263" s="348"/>
      <c r="E263" s="348"/>
      <c r="F263" s="348"/>
      <c r="G263" s="348"/>
      <c r="H263" s="348"/>
      <c r="I263" s="348"/>
      <c r="J263" s="348"/>
      <c r="K263" s="348"/>
      <c r="L263" s="348"/>
      <c r="M263" s="343">
        <f>SUM(M262:M262)</f>
        <v>0.3</v>
      </c>
      <c r="N263" s="349" t="s">
        <v>103</v>
      </c>
      <c r="O263" s="784">
        <f>ROUND((M263),2)</f>
        <v>0.3</v>
      </c>
      <c r="P263" s="398"/>
      <c r="Q263" s="564"/>
      <c r="R263" s="398"/>
      <c r="S263" s="398"/>
      <c r="T263" s="398"/>
      <c r="U263" s="555"/>
      <c r="V263" s="555"/>
      <c r="W263" s="555"/>
    </row>
    <row r="264" spans="1:23" ht="15.75" customHeight="1">
      <c r="A264" s="469">
        <f>A231+1</f>
        <v>15</v>
      </c>
      <c r="B264" s="423" t="s">
        <v>904</v>
      </c>
      <c r="C264" s="467"/>
      <c r="D264" s="467"/>
      <c r="E264" s="467"/>
      <c r="F264" s="467"/>
      <c r="G264" s="467"/>
      <c r="H264" s="467"/>
      <c r="I264" s="467"/>
      <c r="J264" s="467"/>
      <c r="K264" s="467"/>
      <c r="L264" s="467"/>
      <c r="M264" s="382"/>
      <c r="N264" s="1141"/>
      <c r="O264" s="462"/>
      <c r="P264" s="462"/>
      <c r="Q264" s="462"/>
      <c r="R264" s="1113"/>
      <c r="S264" s="1113"/>
      <c r="T264" s="1113"/>
    </row>
    <row r="265" spans="1:23" ht="15.75" customHeight="1">
      <c r="A265" s="471" t="s">
        <v>95</v>
      </c>
      <c r="B265" s="423" t="s">
        <v>211</v>
      </c>
      <c r="C265" s="467"/>
      <c r="D265" s="467"/>
      <c r="E265" s="467"/>
      <c r="F265" s="467"/>
      <c r="G265" s="467"/>
      <c r="H265" s="467"/>
      <c r="I265" s="467"/>
      <c r="J265" s="467"/>
      <c r="K265" s="467"/>
      <c r="L265" s="467"/>
      <c r="M265" s="382"/>
      <c r="N265" s="1141" t="s">
        <v>89</v>
      </c>
      <c r="O265" s="462"/>
      <c r="P265" s="462"/>
      <c r="Q265" s="462"/>
      <c r="R265" s="1113"/>
      <c r="S265" s="1113"/>
      <c r="T265" s="1113"/>
    </row>
    <row r="266" spans="1:23" ht="15.75" customHeight="1">
      <c r="A266" s="471"/>
      <c r="B266" s="589" t="s">
        <v>1135</v>
      </c>
      <c r="C266" s="330">
        <v>5</v>
      </c>
      <c r="D266" s="330">
        <v>0.65</v>
      </c>
      <c r="E266" s="330"/>
      <c r="F266" s="330"/>
      <c r="G266" s="330"/>
      <c r="H266" s="330"/>
      <c r="I266" s="330"/>
      <c r="J266" s="330"/>
      <c r="K266" s="330"/>
      <c r="L266" s="330">
        <v>2</v>
      </c>
      <c r="M266" s="401">
        <f>C266*D266*L266</f>
        <v>6.5</v>
      </c>
      <c r="N266" s="748"/>
      <c r="O266" s="462"/>
      <c r="P266" s="462"/>
      <c r="Q266" s="462"/>
      <c r="R266" s="1113"/>
      <c r="S266" s="1113"/>
      <c r="T266" s="1113"/>
    </row>
    <row r="267" spans="1:23" ht="15.75" customHeight="1">
      <c r="A267" s="471"/>
      <c r="B267" s="589" t="s">
        <v>1136</v>
      </c>
      <c r="C267" s="330">
        <f>C266</f>
        <v>5</v>
      </c>
      <c r="D267" s="330"/>
      <c r="E267" s="330">
        <v>0.1</v>
      </c>
      <c r="F267" s="330"/>
      <c r="G267" s="330"/>
      <c r="H267" s="330"/>
      <c r="I267" s="330">
        <v>1</v>
      </c>
      <c r="J267" s="330"/>
      <c r="K267" s="330"/>
      <c r="L267" s="330">
        <f>L266</f>
        <v>2</v>
      </c>
      <c r="M267" s="401">
        <f>C267*E267*I267*L267</f>
        <v>1</v>
      </c>
      <c r="N267" s="748"/>
      <c r="O267" s="462"/>
      <c r="P267" s="462"/>
      <c r="Q267" s="462"/>
      <c r="R267" s="1113"/>
      <c r="S267" s="1113"/>
      <c r="T267" s="1113"/>
    </row>
    <row r="268" spans="1:23" ht="15.75" customHeight="1">
      <c r="A268" s="471"/>
      <c r="B268" s="589" t="s">
        <v>1137</v>
      </c>
      <c r="C268" s="330">
        <f>D266</f>
        <v>0.65</v>
      </c>
      <c r="D268" s="330"/>
      <c r="E268" s="330">
        <f>E267</f>
        <v>0.1</v>
      </c>
      <c r="F268" s="330"/>
      <c r="G268" s="330"/>
      <c r="H268" s="330"/>
      <c r="I268" s="330">
        <v>2</v>
      </c>
      <c r="J268" s="330"/>
      <c r="K268" s="330"/>
      <c r="L268" s="330">
        <f>L267</f>
        <v>2</v>
      </c>
      <c r="M268" s="752">
        <f>C268*E268*I268*L268</f>
        <v>0.26</v>
      </c>
      <c r="N268" s="748"/>
      <c r="O268" s="462"/>
      <c r="P268" s="462"/>
      <c r="Q268" s="462"/>
      <c r="R268" s="1113"/>
      <c r="S268" s="1113"/>
      <c r="T268" s="1113"/>
    </row>
    <row r="269" spans="1:23" ht="15.75" customHeight="1">
      <c r="A269" s="471"/>
      <c r="B269" s="351"/>
      <c r="C269" s="330"/>
      <c r="D269" s="330"/>
      <c r="E269" s="330"/>
      <c r="F269" s="330"/>
      <c r="G269" s="330"/>
      <c r="H269" s="330"/>
      <c r="I269" s="330"/>
      <c r="J269" s="330"/>
      <c r="K269" s="330"/>
      <c r="L269" s="330"/>
      <c r="M269" s="474">
        <f>SUM(M266:M268)</f>
        <v>7.76</v>
      </c>
      <c r="N269" s="562" t="s">
        <v>89</v>
      </c>
      <c r="O269" s="462"/>
      <c r="P269" s="462"/>
      <c r="Q269" s="462"/>
      <c r="R269" s="1113"/>
      <c r="S269" s="1113"/>
      <c r="T269" s="1113"/>
    </row>
    <row r="270" spans="1:23" ht="15.75" customHeight="1">
      <c r="A270" s="471" t="s">
        <v>98</v>
      </c>
      <c r="B270" s="359" t="s">
        <v>905</v>
      </c>
      <c r="C270" s="330"/>
      <c r="D270" s="330"/>
      <c r="E270" s="330"/>
      <c r="F270" s="330"/>
      <c r="G270" s="330"/>
      <c r="H270" s="330"/>
      <c r="I270" s="330"/>
      <c r="J270" s="330"/>
      <c r="K270" s="330"/>
      <c r="L270" s="330"/>
      <c r="M270" s="401"/>
      <c r="N270" s="748"/>
      <c r="O270" s="462"/>
      <c r="P270" s="462"/>
      <c r="Q270" s="462"/>
      <c r="R270" s="1113"/>
      <c r="S270" s="1113"/>
      <c r="T270" s="1113"/>
    </row>
    <row r="271" spans="1:23" ht="15.75" customHeight="1">
      <c r="A271" s="471"/>
      <c r="B271" s="589"/>
      <c r="C271" s="330">
        <f>D266</f>
        <v>0.65</v>
      </c>
      <c r="D271" s="330"/>
      <c r="E271" s="330"/>
      <c r="F271" s="330">
        <f>ROUNDUP((C266/0.15),0.1)+1</f>
        <v>35</v>
      </c>
      <c r="G271" s="330"/>
      <c r="H271" s="330"/>
      <c r="I271" s="330"/>
      <c r="J271" s="330"/>
      <c r="K271" s="330">
        <f>8*8*0.006165</f>
        <v>0.39456000000000002</v>
      </c>
      <c r="L271" s="330">
        <f>L266</f>
        <v>2</v>
      </c>
      <c r="M271" s="401">
        <f>C271*F271*K271*L271</f>
        <v>17.952480000000001</v>
      </c>
      <c r="N271" s="748"/>
      <c r="O271" s="462"/>
      <c r="P271" s="462"/>
      <c r="Q271" s="462"/>
      <c r="R271" s="1113"/>
      <c r="S271" s="1113"/>
      <c r="T271" s="1113"/>
    </row>
    <row r="272" spans="1:23" ht="15.75" customHeight="1">
      <c r="A272" s="471"/>
      <c r="B272" s="589"/>
      <c r="C272" s="330">
        <f>C266</f>
        <v>5</v>
      </c>
      <c r="D272" s="330"/>
      <c r="E272" s="330"/>
      <c r="F272" s="330">
        <f>ROUNDUP((D266/0.15),0.1)+1</f>
        <v>6</v>
      </c>
      <c r="G272" s="330"/>
      <c r="H272" s="330"/>
      <c r="I272" s="330"/>
      <c r="J272" s="330"/>
      <c r="K272" s="330">
        <f>K271</f>
        <v>0.39456000000000002</v>
      </c>
      <c r="L272" s="330">
        <f>L271</f>
        <v>2</v>
      </c>
      <c r="M272" s="752">
        <f>C272*F272*K272*L272</f>
        <v>23.6736</v>
      </c>
      <c r="N272" s="748"/>
      <c r="O272" s="462"/>
      <c r="P272" s="462"/>
      <c r="Q272" s="462"/>
      <c r="R272" s="1113"/>
      <c r="S272" s="1113"/>
      <c r="T272" s="1113"/>
    </row>
    <row r="273" spans="1:20" ht="15.75" customHeight="1">
      <c r="A273" s="471"/>
      <c r="B273" s="351"/>
      <c r="C273" s="330"/>
      <c r="D273" s="330"/>
      <c r="E273" s="330"/>
      <c r="F273" s="330"/>
      <c r="G273" s="330"/>
      <c r="H273" s="330"/>
      <c r="I273" s="330"/>
      <c r="J273" s="330"/>
      <c r="K273" s="330"/>
      <c r="L273" s="330"/>
      <c r="M273" s="474">
        <f>SUM(M271:M272)</f>
        <v>41.626080000000002</v>
      </c>
      <c r="N273" s="562" t="s">
        <v>100</v>
      </c>
      <c r="O273" s="462"/>
      <c r="P273" s="462"/>
      <c r="Q273" s="462"/>
      <c r="R273" s="1113"/>
      <c r="S273" s="1113"/>
      <c r="T273" s="1113"/>
    </row>
    <row r="274" spans="1:20" ht="15.75" customHeight="1">
      <c r="A274" s="471" t="s">
        <v>101</v>
      </c>
      <c r="B274" s="351" t="s">
        <v>1043</v>
      </c>
      <c r="C274" s="330">
        <f>C272</f>
        <v>5</v>
      </c>
      <c r="D274" s="330">
        <f>C271</f>
        <v>0.65</v>
      </c>
      <c r="E274" s="330">
        <v>0.1</v>
      </c>
      <c r="F274" s="330"/>
      <c r="G274" s="330"/>
      <c r="H274" s="330"/>
      <c r="I274" s="330"/>
      <c r="J274" s="330"/>
      <c r="K274" s="330"/>
      <c r="L274" s="330">
        <v>2</v>
      </c>
      <c r="M274" s="401">
        <f>C274*D274*E274*L274</f>
        <v>0.65</v>
      </c>
      <c r="N274" s="748" t="s">
        <v>103</v>
      </c>
      <c r="O274" s="462"/>
      <c r="P274" s="462"/>
      <c r="Q274" s="462"/>
      <c r="R274" s="1113"/>
      <c r="S274" s="1113"/>
      <c r="T274" s="1113"/>
    </row>
    <row r="275" spans="1:20" ht="15.75" customHeight="1">
      <c r="A275" s="469">
        <f>A264+1</f>
        <v>16</v>
      </c>
      <c r="B275" s="423" t="s">
        <v>906</v>
      </c>
      <c r="C275" s="467"/>
      <c r="D275" s="467"/>
      <c r="E275" s="467"/>
      <c r="F275" s="467"/>
      <c r="G275" s="467"/>
      <c r="H275" s="467"/>
      <c r="I275" s="467"/>
      <c r="J275" s="467"/>
      <c r="K275" s="467"/>
      <c r="L275" s="467"/>
      <c r="M275" s="1124"/>
      <c r="N275" s="1141"/>
      <c r="O275" s="462"/>
      <c r="P275" s="462"/>
      <c r="Q275" s="462"/>
      <c r="R275" s="1113"/>
      <c r="S275" s="1113"/>
      <c r="T275" s="1113"/>
    </row>
    <row r="276" spans="1:20" ht="15.75" customHeight="1">
      <c r="A276" s="471" t="s">
        <v>95</v>
      </c>
      <c r="B276" s="423" t="s">
        <v>211</v>
      </c>
      <c r="C276" s="467"/>
      <c r="D276" s="467"/>
      <c r="E276" s="467"/>
      <c r="F276" s="467"/>
      <c r="G276" s="467"/>
      <c r="H276" s="467"/>
      <c r="I276" s="467"/>
      <c r="J276" s="467"/>
      <c r="K276" s="467"/>
      <c r="L276" s="467"/>
      <c r="M276" s="1124"/>
      <c r="N276" s="1141" t="s">
        <v>89</v>
      </c>
      <c r="O276" s="462"/>
      <c r="P276" s="462"/>
      <c r="Q276" s="462"/>
      <c r="R276" s="1113"/>
      <c r="S276" s="1113"/>
      <c r="T276" s="1113"/>
    </row>
    <row r="277" spans="1:20" ht="15.75" customHeight="1">
      <c r="A277" s="471"/>
      <c r="B277" s="589" t="s">
        <v>1135</v>
      </c>
      <c r="C277" s="330">
        <v>2.2999999999999998</v>
      </c>
      <c r="D277" s="330">
        <v>0.2</v>
      </c>
      <c r="E277" s="330"/>
      <c r="F277" s="330"/>
      <c r="G277" s="330"/>
      <c r="H277" s="330"/>
      <c r="I277" s="330"/>
      <c r="J277" s="330"/>
      <c r="K277" s="330"/>
      <c r="L277" s="330">
        <v>2</v>
      </c>
      <c r="M277" s="401">
        <f>C277*D277*L277</f>
        <v>0.91999999999999993</v>
      </c>
      <c r="N277" s="748"/>
      <c r="O277" s="462"/>
      <c r="P277" s="462"/>
      <c r="Q277" s="462"/>
      <c r="R277" s="1113"/>
      <c r="S277" s="1113"/>
      <c r="T277" s="1113"/>
    </row>
    <row r="278" spans="1:20" ht="15.75" customHeight="1">
      <c r="A278" s="471"/>
      <c r="B278" s="589" t="s">
        <v>1136</v>
      </c>
      <c r="C278" s="330">
        <f>C277</f>
        <v>2.2999999999999998</v>
      </c>
      <c r="D278" s="330"/>
      <c r="E278" s="330">
        <v>0.1</v>
      </c>
      <c r="F278" s="330"/>
      <c r="G278" s="330"/>
      <c r="H278" s="330">
        <v>1</v>
      </c>
      <c r="I278" s="330"/>
      <c r="J278" s="330"/>
      <c r="K278" s="330"/>
      <c r="L278" s="330">
        <f>L277</f>
        <v>2</v>
      </c>
      <c r="M278" s="401">
        <f>C278*E278*H278*L278</f>
        <v>0.45999999999999996</v>
      </c>
      <c r="N278" s="748"/>
      <c r="O278" s="462"/>
      <c r="P278" s="462"/>
      <c r="Q278" s="462"/>
      <c r="R278" s="1113"/>
      <c r="S278" s="1113"/>
      <c r="T278" s="1113"/>
    </row>
    <row r="279" spans="1:20" ht="15.75" customHeight="1">
      <c r="A279" s="471"/>
      <c r="B279" s="589" t="s">
        <v>1137</v>
      </c>
      <c r="C279" s="330">
        <f>D277</f>
        <v>0.2</v>
      </c>
      <c r="D279" s="330"/>
      <c r="E279" s="330">
        <f>E278</f>
        <v>0.1</v>
      </c>
      <c r="F279" s="330"/>
      <c r="G279" s="330"/>
      <c r="H279" s="330">
        <v>2</v>
      </c>
      <c r="I279" s="330"/>
      <c r="J279" s="330"/>
      <c r="K279" s="330"/>
      <c r="L279" s="330">
        <f>L278</f>
        <v>2</v>
      </c>
      <c r="M279" s="752">
        <f>C279*E279*H279*L279</f>
        <v>8.0000000000000016E-2</v>
      </c>
      <c r="N279" s="748"/>
      <c r="O279" s="462"/>
      <c r="P279" s="462"/>
      <c r="Q279" s="462"/>
      <c r="R279" s="1113"/>
      <c r="S279" s="1113"/>
      <c r="T279" s="1113"/>
    </row>
    <row r="280" spans="1:20" ht="15.75" customHeight="1">
      <c r="A280" s="471"/>
      <c r="B280" s="351"/>
      <c r="C280" s="330"/>
      <c r="D280" s="330"/>
      <c r="E280" s="330"/>
      <c r="F280" s="330"/>
      <c r="G280" s="330"/>
      <c r="H280" s="330"/>
      <c r="I280" s="330"/>
      <c r="J280" s="330"/>
      <c r="K280" s="330"/>
      <c r="L280" s="330"/>
      <c r="M280" s="474">
        <f>SUM(M277:M279)</f>
        <v>1.46</v>
      </c>
      <c r="N280" s="562" t="s">
        <v>89</v>
      </c>
      <c r="O280" s="462"/>
      <c r="P280" s="462"/>
      <c r="Q280" s="462"/>
      <c r="R280" s="1113"/>
      <c r="S280" s="1113"/>
      <c r="T280" s="1113"/>
    </row>
    <row r="281" spans="1:20" ht="15.75" customHeight="1">
      <c r="A281" s="471" t="s">
        <v>98</v>
      </c>
      <c r="B281" s="359" t="s">
        <v>905</v>
      </c>
      <c r="C281" s="330"/>
      <c r="D281" s="330"/>
      <c r="E281" s="330"/>
      <c r="F281" s="330"/>
      <c r="G281" s="330"/>
      <c r="H281" s="330"/>
      <c r="I281" s="330"/>
      <c r="J281" s="330"/>
      <c r="K281" s="330"/>
      <c r="L281" s="330"/>
      <c r="M281" s="401"/>
      <c r="N281" s="748"/>
      <c r="O281" s="462"/>
      <c r="P281" s="462"/>
      <c r="Q281" s="462"/>
      <c r="R281" s="1113"/>
      <c r="S281" s="1113"/>
      <c r="T281" s="1113"/>
    </row>
    <row r="282" spans="1:20" ht="15.75" customHeight="1">
      <c r="A282" s="471"/>
      <c r="B282" s="589"/>
      <c r="C282" s="330">
        <f>D277</f>
        <v>0.2</v>
      </c>
      <c r="D282" s="330"/>
      <c r="E282" s="330"/>
      <c r="F282" s="330">
        <f>ROUNDUP((C277/0.15),0.1)+1</f>
        <v>17</v>
      </c>
      <c r="G282" s="330"/>
      <c r="H282" s="330"/>
      <c r="I282" s="330"/>
      <c r="J282" s="330"/>
      <c r="K282" s="330">
        <f>8*8*0.006165</f>
        <v>0.39456000000000002</v>
      </c>
      <c r="L282" s="330">
        <f>L277</f>
        <v>2</v>
      </c>
      <c r="M282" s="401">
        <f>C282*F282*K282*L282</f>
        <v>2.6830080000000005</v>
      </c>
      <c r="N282" s="748"/>
      <c r="O282" s="462"/>
      <c r="P282" s="462"/>
      <c r="Q282" s="462"/>
      <c r="R282" s="1113"/>
      <c r="S282" s="1113"/>
      <c r="T282" s="1113"/>
    </row>
    <row r="283" spans="1:20" ht="15.75" customHeight="1">
      <c r="A283" s="471"/>
      <c r="B283" s="589"/>
      <c r="C283" s="330">
        <f>C277</f>
        <v>2.2999999999999998</v>
      </c>
      <c r="D283" s="330"/>
      <c r="E283" s="330"/>
      <c r="F283" s="330">
        <f>ROUNDUP((D277/0.15),0.1)+1</f>
        <v>3</v>
      </c>
      <c r="G283" s="330"/>
      <c r="H283" s="330"/>
      <c r="I283" s="330"/>
      <c r="J283" s="330"/>
      <c r="K283" s="330">
        <f>K282</f>
        <v>0.39456000000000002</v>
      </c>
      <c r="L283" s="330">
        <f>L282</f>
        <v>2</v>
      </c>
      <c r="M283" s="752">
        <f>C283*F283*K283*L283</f>
        <v>5.444928</v>
      </c>
      <c r="N283" s="748"/>
      <c r="O283" s="462"/>
      <c r="P283" s="462"/>
      <c r="Q283" s="462"/>
      <c r="R283" s="1113"/>
      <c r="S283" s="1113"/>
      <c r="T283" s="1113"/>
    </row>
    <row r="284" spans="1:20" ht="15.75" customHeight="1">
      <c r="A284" s="471"/>
      <c r="B284" s="351"/>
      <c r="C284" s="330"/>
      <c r="D284" s="330"/>
      <c r="E284" s="330"/>
      <c r="F284" s="330"/>
      <c r="G284" s="330"/>
      <c r="H284" s="330"/>
      <c r="I284" s="330"/>
      <c r="J284" s="330"/>
      <c r="K284" s="330"/>
      <c r="L284" s="330"/>
      <c r="M284" s="474">
        <f>SUM(M282:M283)</f>
        <v>8.127936</v>
      </c>
      <c r="N284" s="562" t="s">
        <v>100</v>
      </c>
      <c r="O284" s="462"/>
      <c r="P284" s="462"/>
      <c r="Q284" s="462"/>
      <c r="R284" s="1113"/>
      <c r="S284" s="1113"/>
      <c r="T284" s="1113"/>
    </row>
    <row r="285" spans="1:20" ht="15.75" customHeight="1">
      <c r="A285" s="471" t="s">
        <v>101</v>
      </c>
      <c r="B285" s="351" t="s">
        <v>1043</v>
      </c>
      <c r="C285" s="330">
        <f>C283</f>
        <v>2.2999999999999998</v>
      </c>
      <c r="D285" s="330">
        <f>C282</f>
        <v>0.2</v>
      </c>
      <c r="E285" s="330">
        <v>0.1</v>
      </c>
      <c r="F285" s="330"/>
      <c r="G285" s="330"/>
      <c r="H285" s="330"/>
      <c r="I285" s="330"/>
      <c r="J285" s="330"/>
      <c r="K285" s="330"/>
      <c r="L285" s="330">
        <v>2</v>
      </c>
      <c r="M285" s="401">
        <f>C285*D285*E285*L285</f>
        <v>9.1999999999999998E-2</v>
      </c>
      <c r="N285" s="748" t="s">
        <v>103</v>
      </c>
      <c r="O285" s="462"/>
      <c r="P285" s="462"/>
      <c r="Q285" s="462"/>
      <c r="R285" s="1113"/>
      <c r="S285" s="1113"/>
      <c r="T285" s="1113"/>
    </row>
    <row r="286" spans="1:20" ht="15.75" customHeight="1">
      <c r="A286" s="469">
        <f>A275+1</f>
        <v>17</v>
      </c>
      <c r="B286" s="423" t="s">
        <v>1530</v>
      </c>
      <c r="C286" s="467"/>
      <c r="D286" s="467"/>
      <c r="E286" s="467"/>
      <c r="F286" s="467"/>
      <c r="G286" s="467"/>
      <c r="H286" s="467"/>
      <c r="I286" s="467"/>
      <c r="J286" s="467"/>
      <c r="K286" s="467"/>
      <c r="L286" s="467"/>
      <c r="M286" s="1124"/>
      <c r="N286" s="1141"/>
      <c r="O286" s="462"/>
      <c r="P286" s="462"/>
      <c r="Q286" s="462"/>
      <c r="R286" s="1113"/>
      <c r="S286" s="1113"/>
      <c r="T286" s="1113"/>
    </row>
    <row r="287" spans="1:20" ht="15.75" customHeight="1">
      <c r="A287" s="471" t="s">
        <v>95</v>
      </c>
      <c r="B287" s="423" t="s">
        <v>211</v>
      </c>
      <c r="C287" s="467"/>
      <c r="D287" s="467"/>
      <c r="E287" s="467"/>
      <c r="F287" s="467"/>
      <c r="G287" s="467"/>
      <c r="H287" s="467"/>
      <c r="I287" s="467"/>
      <c r="J287" s="467"/>
      <c r="K287" s="467"/>
      <c r="L287" s="467"/>
      <c r="M287" s="1124"/>
      <c r="N287" s="1141" t="s">
        <v>89</v>
      </c>
      <c r="O287" s="462"/>
      <c r="P287" s="462"/>
      <c r="Q287" s="462"/>
      <c r="R287" s="1113"/>
      <c r="S287" s="1113"/>
      <c r="T287" s="1113"/>
    </row>
    <row r="288" spans="1:20" ht="15.75" customHeight="1">
      <c r="A288" s="471"/>
      <c r="B288" s="589" t="s">
        <v>1135</v>
      </c>
      <c r="C288" s="330">
        <v>2.2999999999999998</v>
      </c>
      <c r="D288" s="330">
        <v>0.2</v>
      </c>
      <c r="E288" s="330"/>
      <c r="F288" s="330"/>
      <c r="G288" s="330"/>
      <c r="H288" s="330"/>
      <c r="I288" s="330"/>
      <c r="J288" s="330"/>
      <c r="K288" s="330"/>
      <c r="L288" s="330">
        <v>2</v>
      </c>
      <c r="M288" s="401">
        <f>C288*D288*L288</f>
        <v>0.91999999999999993</v>
      </c>
      <c r="N288" s="748"/>
      <c r="O288" s="462"/>
      <c r="P288" s="462"/>
      <c r="Q288" s="462"/>
      <c r="R288" s="1113"/>
      <c r="S288" s="1113"/>
      <c r="T288" s="1113"/>
    </row>
    <row r="289" spans="1:22" ht="15.75" customHeight="1">
      <c r="A289" s="471"/>
      <c r="B289" s="589" t="s">
        <v>1136</v>
      </c>
      <c r="C289" s="330">
        <f>C288</f>
        <v>2.2999999999999998</v>
      </c>
      <c r="D289" s="330"/>
      <c r="E289" s="330">
        <v>0.1</v>
      </c>
      <c r="F289" s="330"/>
      <c r="G289" s="330"/>
      <c r="H289" s="330">
        <v>1</v>
      </c>
      <c r="I289" s="330"/>
      <c r="J289" s="330"/>
      <c r="K289" s="330"/>
      <c r="L289" s="330">
        <f>L288</f>
        <v>2</v>
      </c>
      <c r="M289" s="401">
        <f>C289*E289*H289*L289</f>
        <v>0.45999999999999996</v>
      </c>
      <c r="N289" s="748"/>
      <c r="O289" s="462"/>
      <c r="P289" s="462"/>
      <c r="Q289" s="462"/>
      <c r="R289" s="1113"/>
      <c r="S289" s="1113"/>
      <c r="T289" s="1113"/>
    </row>
    <row r="290" spans="1:22" ht="15.75" customHeight="1">
      <c r="A290" s="471"/>
      <c r="B290" s="589" t="s">
        <v>1137</v>
      </c>
      <c r="C290" s="330">
        <f>D288</f>
        <v>0.2</v>
      </c>
      <c r="D290" s="330"/>
      <c r="E290" s="330">
        <f>E289</f>
        <v>0.1</v>
      </c>
      <c r="F290" s="330"/>
      <c r="G290" s="330"/>
      <c r="H290" s="330">
        <v>2</v>
      </c>
      <c r="I290" s="330"/>
      <c r="J290" s="330"/>
      <c r="K290" s="330"/>
      <c r="L290" s="330">
        <f>L289</f>
        <v>2</v>
      </c>
      <c r="M290" s="752">
        <f>C290*E290*H290*L290</f>
        <v>8.0000000000000016E-2</v>
      </c>
      <c r="N290" s="748"/>
      <c r="O290" s="462"/>
      <c r="P290" s="462"/>
      <c r="Q290" s="462"/>
      <c r="R290" s="1113"/>
      <c r="S290" s="1113"/>
      <c r="T290" s="1113"/>
    </row>
    <row r="291" spans="1:22" ht="15.75" customHeight="1">
      <c r="A291" s="471"/>
      <c r="B291" s="351"/>
      <c r="C291" s="330"/>
      <c r="D291" s="330"/>
      <c r="E291" s="330"/>
      <c r="F291" s="330"/>
      <c r="G291" s="330"/>
      <c r="H291" s="330"/>
      <c r="I291" s="330"/>
      <c r="J291" s="330"/>
      <c r="K291" s="330"/>
      <c r="L291" s="330"/>
      <c r="M291" s="474">
        <f>SUM(M288:M290)</f>
        <v>1.46</v>
      </c>
      <c r="N291" s="562" t="s">
        <v>89</v>
      </c>
      <c r="O291" s="462"/>
      <c r="P291" s="462"/>
      <c r="Q291" s="462"/>
      <c r="R291" s="1113"/>
      <c r="S291" s="1113"/>
      <c r="T291" s="1113"/>
    </row>
    <row r="292" spans="1:22" ht="15.75" customHeight="1">
      <c r="A292" s="471" t="s">
        <v>98</v>
      </c>
      <c r="B292" s="359" t="s">
        <v>905</v>
      </c>
      <c r="C292" s="330"/>
      <c r="D292" s="330"/>
      <c r="E292" s="330"/>
      <c r="F292" s="330"/>
      <c r="G292" s="330"/>
      <c r="H292" s="330"/>
      <c r="I292" s="330"/>
      <c r="J292" s="330"/>
      <c r="K292" s="330"/>
      <c r="L292" s="330"/>
      <c r="M292" s="401"/>
      <c r="N292" s="748"/>
      <c r="O292" s="462"/>
      <c r="P292" s="462"/>
      <c r="Q292" s="462"/>
      <c r="R292" s="1113"/>
      <c r="S292" s="1113"/>
      <c r="T292" s="1113"/>
    </row>
    <row r="293" spans="1:22" ht="15.75" customHeight="1">
      <c r="A293" s="471"/>
      <c r="B293" s="589"/>
      <c r="C293" s="330">
        <f>D288</f>
        <v>0.2</v>
      </c>
      <c r="D293" s="330"/>
      <c r="E293" s="330"/>
      <c r="F293" s="330">
        <f>ROUNDUP((C288/0.15),0.1)+1</f>
        <v>17</v>
      </c>
      <c r="G293" s="330"/>
      <c r="H293" s="330"/>
      <c r="I293" s="330"/>
      <c r="J293" s="330"/>
      <c r="K293" s="330">
        <f>8*8*0.006165</f>
        <v>0.39456000000000002</v>
      </c>
      <c r="L293" s="330">
        <f>L288</f>
        <v>2</v>
      </c>
      <c r="M293" s="401">
        <f>C293*F293*K293*L293</f>
        <v>2.6830080000000005</v>
      </c>
      <c r="N293" s="748"/>
      <c r="O293" s="462"/>
      <c r="P293" s="462"/>
      <c r="Q293" s="462"/>
      <c r="R293" s="1113"/>
      <c r="S293" s="1113"/>
      <c r="T293" s="1113"/>
    </row>
    <row r="294" spans="1:22" ht="15.75" customHeight="1">
      <c r="A294" s="471"/>
      <c r="B294" s="589"/>
      <c r="C294" s="330">
        <f>C288</f>
        <v>2.2999999999999998</v>
      </c>
      <c r="D294" s="330"/>
      <c r="E294" s="330"/>
      <c r="F294" s="330">
        <f>ROUNDUP((D288/0.15),0.1)+1</f>
        <v>3</v>
      </c>
      <c r="G294" s="330"/>
      <c r="H294" s="330"/>
      <c r="I294" s="330"/>
      <c r="J294" s="330"/>
      <c r="K294" s="330">
        <f>K293</f>
        <v>0.39456000000000002</v>
      </c>
      <c r="L294" s="330">
        <f>L293</f>
        <v>2</v>
      </c>
      <c r="M294" s="752">
        <f>C294*F294*K294*L294</f>
        <v>5.444928</v>
      </c>
      <c r="N294" s="748"/>
      <c r="O294" s="462"/>
      <c r="P294" s="462"/>
      <c r="Q294" s="462"/>
      <c r="R294" s="1113"/>
      <c r="S294" s="1113"/>
      <c r="T294" s="1113"/>
    </row>
    <row r="295" spans="1:22" ht="15.75" customHeight="1">
      <c r="A295" s="471"/>
      <c r="B295" s="351"/>
      <c r="C295" s="330"/>
      <c r="D295" s="330"/>
      <c r="E295" s="330"/>
      <c r="F295" s="330"/>
      <c r="G295" s="330"/>
      <c r="H295" s="330"/>
      <c r="I295" s="330"/>
      <c r="J295" s="330"/>
      <c r="K295" s="330"/>
      <c r="L295" s="330"/>
      <c r="M295" s="474">
        <f>SUM(M293:M294)</f>
        <v>8.127936</v>
      </c>
      <c r="N295" s="562" t="s">
        <v>100</v>
      </c>
      <c r="O295" s="462"/>
      <c r="P295" s="462"/>
      <c r="Q295" s="462"/>
      <c r="R295" s="1113"/>
      <c r="S295" s="1113"/>
      <c r="T295" s="1113"/>
    </row>
    <row r="296" spans="1:22" ht="15.75" customHeight="1">
      <c r="A296" s="471" t="s">
        <v>101</v>
      </c>
      <c r="B296" s="351" t="s">
        <v>1043</v>
      </c>
      <c r="C296" s="330">
        <f>C294</f>
        <v>2.2999999999999998</v>
      </c>
      <c r="D296" s="330">
        <f>C293</f>
        <v>0.2</v>
      </c>
      <c r="E296" s="330">
        <v>0.1</v>
      </c>
      <c r="F296" s="330"/>
      <c r="G296" s="330"/>
      <c r="H296" s="330"/>
      <c r="I296" s="330"/>
      <c r="J296" s="330"/>
      <c r="K296" s="330"/>
      <c r="L296" s="330">
        <v>2</v>
      </c>
      <c r="M296" s="401">
        <f>C296*D296*E296*L296</f>
        <v>9.1999999999999998E-2</v>
      </c>
      <c r="N296" s="748" t="s">
        <v>103</v>
      </c>
      <c r="O296" s="462"/>
      <c r="P296" s="462"/>
      <c r="Q296" s="462"/>
      <c r="R296" s="1113"/>
      <c r="S296" s="1113"/>
      <c r="T296" s="1113"/>
    </row>
    <row r="297" spans="1:22" ht="15.75" customHeight="1">
      <c r="A297" s="471"/>
      <c r="B297" s="1148"/>
      <c r="C297" s="467"/>
      <c r="D297" s="467"/>
      <c r="E297" s="467"/>
      <c r="F297" s="467"/>
      <c r="G297" s="467"/>
      <c r="H297" s="467"/>
      <c r="I297" s="467"/>
      <c r="J297" s="467"/>
      <c r="K297" s="467"/>
      <c r="L297" s="467"/>
      <c r="M297" s="1124"/>
      <c r="N297" s="1141"/>
      <c r="O297" s="462"/>
      <c r="P297" s="462"/>
      <c r="Q297" s="462"/>
      <c r="R297" s="1113"/>
      <c r="S297" s="1113"/>
      <c r="T297" s="1113"/>
    </row>
    <row r="298" spans="1:22" ht="15.75" customHeight="1">
      <c r="A298" s="1149" t="s">
        <v>493</v>
      </c>
      <c r="B298" s="1150" t="s">
        <v>434</v>
      </c>
      <c r="C298" s="1124"/>
      <c r="D298" s="1124"/>
      <c r="E298" s="1124"/>
      <c r="F298" s="1124"/>
      <c r="G298" s="1124"/>
      <c r="H298" s="1124"/>
      <c r="I298" s="1124"/>
      <c r="J298" s="1124"/>
      <c r="K298" s="1124"/>
      <c r="L298" s="1124"/>
      <c r="M298" s="1124"/>
      <c r="N298" s="1125"/>
      <c r="O298" s="462"/>
      <c r="P298" s="1126"/>
      <c r="Q298" s="462"/>
      <c r="R298" s="462"/>
      <c r="S298" s="462"/>
      <c r="T298" s="1113"/>
      <c r="U298" s="1113"/>
      <c r="V298" s="1113"/>
    </row>
    <row r="299" spans="1:22" ht="15.75" customHeight="1">
      <c r="A299" s="484">
        <v>1</v>
      </c>
      <c r="B299" s="417" t="s">
        <v>907</v>
      </c>
      <c r="C299" s="330"/>
      <c r="D299" s="330"/>
      <c r="E299" s="330"/>
      <c r="F299" s="330"/>
      <c r="G299" s="330"/>
      <c r="H299" s="330"/>
      <c r="I299" s="330"/>
      <c r="J299" s="330"/>
      <c r="K299" s="330"/>
      <c r="L299" s="330"/>
      <c r="M299" s="330"/>
      <c r="N299" s="1151"/>
      <c r="O299" s="462"/>
      <c r="P299" s="1126"/>
      <c r="Q299" s="462"/>
      <c r="R299" s="462"/>
      <c r="S299" s="462"/>
      <c r="T299" s="1113"/>
      <c r="U299" s="1113"/>
      <c r="V299" s="1113"/>
    </row>
    <row r="300" spans="1:22" ht="15.75" customHeight="1">
      <c r="A300" s="484"/>
      <c r="B300" s="803" t="s">
        <v>1531</v>
      </c>
      <c r="C300" s="330">
        <v>10</v>
      </c>
      <c r="D300" s="330"/>
      <c r="E300" s="330">
        <f>3.88-0.3</f>
        <v>3.58</v>
      </c>
      <c r="F300" s="330"/>
      <c r="G300" s="330"/>
      <c r="H300" s="330"/>
      <c r="I300" s="330"/>
      <c r="J300" s="330"/>
      <c r="K300" s="330"/>
      <c r="L300" s="330"/>
      <c r="M300" s="330">
        <f>C300*E300</f>
        <v>35.799999999999997</v>
      </c>
      <c r="N300" s="1151"/>
      <c r="O300" s="462"/>
      <c r="P300" s="1126"/>
      <c r="Q300" s="462"/>
      <c r="R300" s="462"/>
      <c r="S300" s="462"/>
      <c r="T300" s="1113"/>
      <c r="U300" s="1113"/>
      <c r="V300" s="1113"/>
    </row>
    <row r="301" spans="1:22" ht="15.75" customHeight="1">
      <c r="A301" s="484"/>
      <c r="B301" s="803" t="s">
        <v>1532</v>
      </c>
      <c r="C301" s="330">
        <f>C300</f>
        <v>10</v>
      </c>
      <c r="D301" s="330"/>
      <c r="E301" s="330">
        <f>E300</f>
        <v>3.58</v>
      </c>
      <c r="F301" s="330"/>
      <c r="G301" s="330"/>
      <c r="H301" s="330"/>
      <c r="I301" s="330"/>
      <c r="J301" s="330"/>
      <c r="K301" s="330"/>
      <c r="L301" s="330"/>
      <c r="M301" s="330">
        <f>C301*E301</f>
        <v>35.799999999999997</v>
      </c>
      <c r="N301" s="1151"/>
      <c r="O301" s="462"/>
      <c r="P301" s="1126"/>
      <c r="Q301" s="462"/>
      <c r="R301" s="462"/>
      <c r="S301" s="462"/>
      <c r="T301" s="1113"/>
      <c r="U301" s="1113"/>
      <c r="V301" s="1113"/>
    </row>
    <row r="302" spans="1:22" ht="15.75" customHeight="1">
      <c r="A302" s="484"/>
      <c r="B302" s="803" t="s">
        <v>1533</v>
      </c>
      <c r="C302" s="330">
        <v>3</v>
      </c>
      <c r="D302" s="330"/>
      <c r="E302" s="330">
        <f>E301</f>
        <v>3.58</v>
      </c>
      <c r="F302" s="330"/>
      <c r="G302" s="330"/>
      <c r="H302" s="330"/>
      <c r="I302" s="330"/>
      <c r="J302" s="330"/>
      <c r="K302" s="330"/>
      <c r="L302" s="330">
        <v>4</v>
      </c>
      <c r="M302" s="330">
        <f>C302*E302*L302</f>
        <v>42.96</v>
      </c>
      <c r="N302" s="1151"/>
      <c r="O302" s="462"/>
      <c r="P302" s="1126"/>
      <c r="Q302" s="462"/>
      <c r="R302" s="462"/>
      <c r="S302" s="462"/>
      <c r="T302" s="1113"/>
      <c r="U302" s="1113"/>
      <c r="V302" s="1113"/>
    </row>
    <row r="303" spans="1:22" ht="15.75" customHeight="1">
      <c r="A303" s="484"/>
      <c r="B303" s="803" t="s">
        <v>1534</v>
      </c>
      <c r="C303" s="330">
        <v>1</v>
      </c>
      <c r="D303" s="330"/>
      <c r="E303" s="330">
        <v>1</v>
      </c>
      <c r="F303" s="330"/>
      <c r="G303" s="330"/>
      <c r="H303" s="330"/>
      <c r="I303" s="330"/>
      <c r="J303" s="330"/>
      <c r="K303" s="330"/>
      <c r="L303" s="330">
        <v>2</v>
      </c>
      <c r="M303" s="330">
        <f>C303*E303*L303</f>
        <v>2</v>
      </c>
      <c r="N303" s="1151"/>
      <c r="O303" s="462"/>
      <c r="P303" s="1126"/>
      <c r="Q303" s="462"/>
      <c r="R303" s="462"/>
      <c r="S303" s="462"/>
      <c r="T303" s="1113"/>
      <c r="U303" s="1113"/>
      <c r="V303" s="1113"/>
    </row>
    <row r="304" spans="1:22" ht="15.75" customHeight="1">
      <c r="A304" s="484"/>
      <c r="B304" s="803" t="s">
        <v>1535</v>
      </c>
      <c r="C304" s="330">
        <f>C301</f>
        <v>10</v>
      </c>
      <c r="D304" s="330"/>
      <c r="E304" s="330">
        <f>E302</f>
        <v>3.58</v>
      </c>
      <c r="F304" s="330"/>
      <c r="G304" s="330"/>
      <c r="H304" s="330"/>
      <c r="I304" s="330"/>
      <c r="J304" s="330"/>
      <c r="K304" s="330"/>
      <c r="L304" s="330"/>
      <c r="M304" s="330">
        <f>C304*E304</f>
        <v>35.799999999999997</v>
      </c>
      <c r="N304" s="1151"/>
      <c r="O304" s="462"/>
      <c r="P304" s="1126"/>
      <c r="Q304" s="462"/>
      <c r="R304" s="462"/>
      <c r="S304" s="462"/>
      <c r="T304" s="1113"/>
      <c r="U304" s="1113"/>
      <c r="V304" s="1113"/>
    </row>
    <row r="305" spans="1:22" ht="15.75" customHeight="1">
      <c r="A305" s="484"/>
      <c r="B305" s="803" t="s">
        <v>1536</v>
      </c>
      <c r="C305" s="330">
        <v>5</v>
      </c>
      <c r="D305" s="330"/>
      <c r="E305" s="330">
        <f>E304</f>
        <v>3.58</v>
      </c>
      <c r="F305" s="330"/>
      <c r="G305" s="330"/>
      <c r="H305" s="330"/>
      <c r="I305" s="330"/>
      <c r="J305" s="330"/>
      <c r="K305" s="330"/>
      <c r="L305" s="330"/>
      <c r="M305" s="330">
        <f>C305*E305</f>
        <v>17.899999999999999</v>
      </c>
      <c r="N305" s="1151"/>
      <c r="O305" s="462"/>
      <c r="P305" s="1126"/>
      <c r="Q305" s="462"/>
      <c r="R305" s="462"/>
      <c r="S305" s="462"/>
      <c r="T305" s="1113"/>
      <c r="U305" s="1113"/>
      <c r="V305" s="1113"/>
    </row>
    <row r="306" spans="1:22" ht="15.75" customHeight="1">
      <c r="A306" s="484"/>
      <c r="B306" s="803" t="s">
        <v>1537</v>
      </c>
      <c r="C306" s="330">
        <v>3</v>
      </c>
      <c r="D306" s="330"/>
      <c r="E306" s="330">
        <f>E305</f>
        <v>3.58</v>
      </c>
      <c r="F306" s="330"/>
      <c r="G306" s="330"/>
      <c r="H306" s="330"/>
      <c r="I306" s="330"/>
      <c r="J306" s="330"/>
      <c r="K306" s="330"/>
      <c r="L306" s="330"/>
      <c r="M306" s="330">
        <f>C306*E306</f>
        <v>10.74</v>
      </c>
      <c r="N306" s="1151"/>
      <c r="O306" s="462"/>
      <c r="P306" s="1126"/>
      <c r="Q306" s="462"/>
      <c r="R306" s="462"/>
      <c r="S306" s="462"/>
      <c r="T306" s="1113"/>
      <c r="U306" s="1113"/>
      <c r="V306" s="1113"/>
    </row>
    <row r="307" spans="1:22" ht="15.75" customHeight="1">
      <c r="A307" s="484"/>
      <c r="B307" s="803" t="s">
        <v>1538</v>
      </c>
      <c r="C307" s="330">
        <v>4</v>
      </c>
      <c r="D307" s="330"/>
      <c r="E307" s="330">
        <f>E306</f>
        <v>3.58</v>
      </c>
      <c r="F307" s="330"/>
      <c r="G307" s="330"/>
      <c r="H307" s="330"/>
      <c r="I307" s="330"/>
      <c r="J307" s="330"/>
      <c r="K307" s="330"/>
      <c r="L307" s="330">
        <v>2</v>
      </c>
      <c r="M307" s="330">
        <f>C307*E307*L307</f>
        <v>28.64</v>
      </c>
      <c r="N307" s="1151"/>
      <c r="O307" s="462"/>
      <c r="P307" s="1126"/>
      <c r="Q307" s="462"/>
      <c r="R307" s="462"/>
      <c r="S307" s="462"/>
      <c r="T307" s="1113"/>
      <c r="U307" s="1113"/>
      <c r="V307" s="1113"/>
    </row>
    <row r="308" spans="1:22" ht="15.75" customHeight="1">
      <c r="A308" s="484"/>
      <c r="B308" s="803" t="s">
        <v>1539</v>
      </c>
      <c r="C308" s="330"/>
      <c r="D308" s="330"/>
      <c r="E308" s="330"/>
      <c r="F308" s="330"/>
      <c r="G308" s="330"/>
      <c r="H308" s="330"/>
      <c r="I308" s="330"/>
      <c r="J308" s="330"/>
      <c r="K308" s="330"/>
      <c r="L308" s="330"/>
      <c r="M308" s="330"/>
      <c r="N308" s="1151"/>
      <c r="O308" s="462"/>
      <c r="P308" s="1126"/>
      <c r="Q308" s="462"/>
      <c r="R308" s="462"/>
      <c r="S308" s="462"/>
      <c r="T308" s="1113"/>
      <c r="U308" s="1113"/>
      <c r="V308" s="1113"/>
    </row>
    <row r="309" spans="1:22" ht="15.75" customHeight="1">
      <c r="A309" s="484"/>
      <c r="B309" s="1152" t="s">
        <v>1540</v>
      </c>
      <c r="C309" s="330"/>
      <c r="D309" s="330"/>
      <c r="E309" s="330"/>
      <c r="F309" s="330"/>
      <c r="G309" s="330"/>
      <c r="H309" s="330"/>
      <c r="I309" s="330"/>
      <c r="J309" s="330"/>
      <c r="K309" s="330"/>
      <c r="L309" s="330"/>
      <c r="M309" s="330"/>
      <c r="N309" s="1151"/>
      <c r="O309" s="462"/>
      <c r="P309" s="1126"/>
      <c r="Q309" s="462"/>
      <c r="R309" s="462"/>
      <c r="S309" s="462"/>
      <c r="T309" s="1113"/>
      <c r="U309" s="1113"/>
      <c r="V309" s="1113"/>
    </row>
    <row r="310" spans="1:22" ht="15.75" customHeight="1">
      <c r="A310" s="484"/>
      <c r="B310" s="803" t="str">
        <f>B301</f>
        <v>as E'</v>
      </c>
      <c r="C310" s="330">
        <v>1.75</v>
      </c>
      <c r="D310" s="330"/>
      <c r="E310" s="330">
        <v>2.4</v>
      </c>
      <c r="F310" s="330"/>
      <c r="G310" s="330"/>
      <c r="H310" s="330"/>
      <c r="I310" s="330"/>
      <c r="J310" s="330"/>
      <c r="K310" s="330"/>
      <c r="L310" s="330">
        <v>5</v>
      </c>
      <c r="M310" s="330">
        <f>-C310*E310*L310</f>
        <v>-21</v>
      </c>
      <c r="N310" s="1151"/>
      <c r="O310" s="462"/>
      <c r="P310" s="1126"/>
      <c r="Q310" s="462"/>
      <c r="R310" s="462"/>
      <c r="S310" s="462"/>
      <c r="T310" s="1113"/>
      <c r="U310" s="1113"/>
      <c r="V310" s="1113"/>
    </row>
    <row r="311" spans="1:22" ht="15.75" customHeight="1">
      <c r="A311" s="484"/>
      <c r="B311" s="803" t="str">
        <f>B304</f>
        <v>as B</v>
      </c>
      <c r="C311" s="330">
        <v>1.75</v>
      </c>
      <c r="D311" s="330"/>
      <c r="E311" s="330">
        <v>2.4</v>
      </c>
      <c r="F311" s="330"/>
      <c r="G311" s="330"/>
      <c r="H311" s="330"/>
      <c r="I311" s="330"/>
      <c r="J311" s="330"/>
      <c r="K311" s="330"/>
      <c r="L311" s="330">
        <v>2</v>
      </c>
      <c r="M311" s="330">
        <f>-C311*E311*L311</f>
        <v>-8.4</v>
      </c>
      <c r="N311" s="1151"/>
      <c r="O311" s="462"/>
      <c r="P311" s="1126"/>
      <c r="Q311" s="462"/>
      <c r="R311" s="462"/>
      <c r="S311" s="462"/>
      <c r="T311" s="1113"/>
      <c r="U311" s="1113"/>
      <c r="V311" s="1113"/>
    </row>
    <row r="312" spans="1:22" ht="15.75" customHeight="1">
      <c r="A312" s="484"/>
      <c r="B312" s="803"/>
      <c r="C312" s="330">
        <v>5</v>
      </c>
      <c r="D312" s="330"/>
      <c r="E312" s="330">
        <v>3</v>
      </c>
      <c r="F312" s="330"/>
      <c r="G312" s="330"/>
      <c r="H312" s="330"/>
      <c r="I312" s="330"/>
      <c r="J312" s="330"/>
      <c r="K312" s="330"/>
      <c r="L312" s="330"/>
      <c r="M312" s="330">
        <f>-C312*E312</f>
        <v>-15</v>
      </c>
      <c r="N312" s="1151"/>
      <c r="O312" s="462"/>
      <c r="P312" s="1126"/>
      <c r="Q312" s="462"/>
      <c r="R312" s="462"/>
      <c r="S312" s="462"/>
      <c r="T312" s="1113"/>
      <c r="U312" s="1113"/>
      <c r="V312" s="1113"/>
    </row>
    <row r="313" spans="1:22" ht="15.75" customHeight="1">
      <c r="A313" s="484"/>
      <c r="B313" s="803" t="s">
        <v>1541</v>
      </c>
      <c r="C313" s="330">
        <v>2.25</v>
      </c>
      <c r="D313" s="330"/>
      <c r="E313" s="330">
        <v>1.75</v>
      </c>
      <c r="F313" s="330"/>
      <c r="G313" s="330"/>
      <c r="H313" s="330"/>
      <c r="I313" s="330"/>
      <c r="J313" s="330"/>
      <c r="K313" s="330"/>
      <c r="L313" s="330">
        <v>2</v>
      </c>
      <c r="M313" s="330">
        <f>-C313*E313*L313</f>
        <v>-7.875</v>
      </c>
      <c r="N313" s="1151"/>
      <c r="O313" s="462"/>
      <c r="P313" s="1126"/>
      <c r="Q313" s="462"/>
      <c r="R313" s="462"/>
      <c r="S313" s="462"/>
      <c r="T313" s="1113"/>
      <c r="U313" s="1113"/>
      <c r="V313" s="1113"/>
    </row>
    <row r="314" spans="1:22" ht="15.75" customHeight="1">
      <c r="A314" s="484"/>
      <c r="B314" s="803" t="s">
        <v>1542</v>
      </c>
      <c r="C314" s="330">
        <v>2.75</v>
      </c>
      <c r="D314" s="330"/>
      <c r="E314" s="330">
        <v>1.75</v>
      </c>
      <c r="F314" s="330"/>
      <c r="G314" s="330"/>
      <c r="H314" s="330"/>
      <c r="I314" s="330"/>
      <c r="J314" s="330"/>
      <c r="K314" s="330"/>
      <c r="L314" s="330"/>
      <c r="M314" s="330">
        <f>-C314*E314</f>
        <v>-4.8125</v>
      </c>
      <c r="N314" s="1151"/>
      <c r="O314" s="462"/>
      <c r="P314" s="1126"/>
      <c r="Q314" s="462"/>
      <c r="R314" s="462"/>
      <c r="S314" s="462"/>
      <c r="T314" s="1113"/>
      <c r="U314" s="1113"/>
      <c r="V314" s="1113"/>
    </row>
    <row r="315" spans="1:22" ht="15.75" customHeight="1">
      <c r="A315" s="484"/>
      <c r="B315" s="803"/>
      <c r="C315" s="330"/>
      <c r="D315" s="330"/>
      <c r="E315" s="330"/>
      <c r="F315" s="330"/>
      <c r="G315" s="330"/>
      <c r="H315" s="330"/>
      <c r="I315" s="330"/>
      <c r="J315" s="330"/>
      <c r="K315" s="330"/>
      <c r="L315" s="330"/>
      <c r="M315" s="330">
        <f>SUM(M300:M314)</f>
        <v>152.55250000000004</v>
      </c>
      <c r="N315" s="1151" t="s">
        <v>89</v>
      </c>
      <c r="O315" s="462"/>
      <c r="P315" s="1126"/>
      <c r="Q315" s="462"/>
      <c r="R315" s="462"/>
      <c r="S315" s="462"/>
      <c r="T315" s="1113"/>
      <c r="U315" s="1113"/>
      <c r="V315" s="1113"/>
    </row>
    <row r="316" spans="1:22" ht="15.75" customHeight="1">
      <c r="A316" s="484">
        <f>A299+1</f>
        <v>2</v>
      </c>
      <c r="B316" s="417" t="s">
        <v>908</v>
      </c>
      <c r="C316" s="330"/>
      <c r="D316" s="330"/>
      <c r="E316" s="330"/>
      <c r="F316" s="330"/>
      <c r="G316" s="330"/>
      <c r="H316" s="330"/>
      <c r="I316" s="330"/>
      <c r="J316" s="330"/>
      <c r="K316" s="330"/>
      <c r="L316" s="330"/>
      <c r="M316" s="330"/>
      <c r="N316" s="1151"/>
      <c r="O316" s="462"/>
      <c r="P316" s="1126"/>
      <c r="Q316" s="462"/>
      <c r="R316" s="462"/>
      <c r="S316" s="462"/>
      <c r="T316" s="1113"/>
      <c r="U316" s="1113"/>
      <c r="V316" s="1113"/>
    </row>
    <row r="317" spans="1:22" ht="15.75" customHeight="1">
      <c r="A317" s="484"/>
      <c r="B317" s="803" t="s">
        <v>1543</v>
      </c>
      <c r="C317" s="330"/>
      <c r="D317" s="330"/>
      <c r="E317" s="330"/>
      <c r="F317" s="330"/>
      <c r="G317" s="330"/>
      <c r="H317" s="330">
        <v>2</v>
      </c>
      <c r="I317" s="330"/>
      <c r="J317" s="330"/>
      <c r="K317" s="330"/>
      <c r="L317" s="330"/>
      <c r="M317" s="330">
        <f>M315*H317</f>
        <v>305.10500000000008</v>
      </c>
      <c r="N317" s="1151" t="s">
        <v>89</v>
      </c>
      <c r="O317" s="462"/>
      <c r="P317" s="1126"/>
      <c r="Q317" s="462"/>
      <c r="R317" s="462"/>
      <c r="S317" s="462"/>
      <c r="T317" s="1113"/>
      <c r="U317" s="1113"/>
      <c r="V317" s="1113"/>
    </row>
    <row r="318" spans="1:22" ht="15.75" customHeight="1">
      <c r="A318" s="484">
        <f>A316+1</f>
        <v>3</v>
      </c>
      <c r="B318" s="417" t="s">
        <v>909</v>
      </c>
      <c r="C318" s="330"/>
      <c r="D318" s="330"/>
      <c r="E318" s="330"/>
      <c r="F318" s="330"/>
      <c r="G318" s="330"/>
      <c r="H318" s="330"/>
      <c r="I318" s="330"/>
      <c r="J318" s="330"/>
      <c r="K318" s="330"/>
      <c r="L318" s="330"/>
      <c r="M318" s="330"/>
      <c r="N318" s="1151"/>
      <c r="O318" s="462"/>
      <c r="P318" s="1126"/>
      <c r="Q318" s="462"/>
      <c r="R318" s="462"/>
      <c r="S318" s="462"/>
      <c r="T318" s="1113"/>
      <c r="U318" s="1113"/>
      <c r="V318" s="1113"/>
    </row>
    <row r="319" spans="1:22" ht="15.75" customHeight="1">
      <c r="A319" s="1153"/>
      <c r="B319" s="803" t="s">
        <v>1248</v>
      </c>
      <c r="C319" s="330"/>
      <c r="D319" s="330"/>
      <c r="E319" s="330"/>
      <c r="F319" s="330"/>
      <c r="G319" s="330"/>
      <c r="H319" s="330"/>
      <c r="I319" s="330"/>
      <c r="J319" s="330"/>
      <c r="K319" s="330"/>
      <c r="L319" s="330"/>
      <c r="M319" s="330">
        <f>M317</f>
        <v>305.10500000000008</v>
      </c>
      <c r="N319" s="1151"/>
      <c r="O319" s="462"/>
      <c r="P319" s="1126"/>
      <c r="Q319" s="462"/>
      <c r="R319" s="462"/>
      <c r="S319" s="462"/>
      <c r="T319" s="1113"/>
      <c r="U319" s="1113"/>
      <c r="V319" s="1113"/>
    </row>
    <row r="320" spans="1:22" ht="15.75" customHeight="1">
      <c r="A320" s="1153"/>
      <c r="B320" s="803" t="s">
        <v>1544</v>
      </c>
      <c r="C320" s="330"/>
      <c r="D320" s="330"/>
      <c r="E320" s="330"/>
      <c r="F320" s="330"/>
      <c r="G320" s="330"/>
      <c r="H320" s="330"/>
      <c r="I320" s="330"/>
      <c r="J320" s="330"/>
      <c r="K320" s="330"/>
      <c r="L320" s="330"/>
      <c r="M320" s="330">
        <f>-M335</f>
        <v>-6.9749999999999996</v>
      </c>
      <c r="N320" s="1151"/>
      <c r="O320" s="462"/>
      <c r="P320" s="1126"/>
      <c r="Q320" s="462"/>
      <c r="R320" s="462"/>
      <c r="S320" s="462"/>
      <c r="T320" s="1113"/>
      <c r="U320" s="1113"/>
      <c r="V320" s="1113"/>
    </row>
    <row r="321" spans="1:22" ht="15.75" customHeight="1">
      <c r="A321" s="1153"/>
      <c r="B321" s="803" t="s">
        <v>1545</v>
      </c>
      <c r="C321" s="330"/>
      <c r="D321" s="330"/>
      <c r="E321" s="330"/>
      <c r="F321" s="330"/>
      <c r="G321" s="330"/>
      <c r="H321" s="330"/>
      <c r="I321" s="330"/>
      <c r="J321" s="330"/>
      <c r="K321" s="330"/>
      <c r="L321" s="330"/>
      <c r="M321" s="330">
        <f>-M339</f>
        <v>-1.4524999999999999</v>
      </c>
      <c r="N321" s="1151"/>
      <c r="O321" s="462"/>
      <c r="P321" s="1126"/>
      <c r="Q321" s="462"/>
      <c r="R321" s="462"/>
      <c r="S321" s="462"/>
      <c r="T321" s="1113"/>
      <c r="U321" s="1113"/>
      <c r="V321" s="1113"/>
    </row>
    <row r="322" spans="1:22" ht="15.75" customHeight="1">
      <c r="A322" s="1153"/>
      <c r="B322" s="803" t="s">
        <v>1546</v>
      </c>
      <c r="C322" s="330"/>
      <c r="D322" s="330"/>
      <c r="E322" s="330"/>
      <c r="F322" s="330"/>
      <c r="G322" s="330"/>
      <c r="H322" s="330"/>
      <c r="I322" s="330"/>
      <c r="J322" s="330"/>
      <c r="K322" s="330"/>
      <c r="L322" s="330"/>
      <c r="M322" s="330">
        <f>-M345</f>
        <v>0</v>
      </c>
      <c r="N322" s="1151"/>
      <c r="O322" s="462"/>
      <c r="P322" s="1126"/>
      <c r="Q322" s="462"/>
      <c r="R322" s="462"/>
      <c r="S322" s="462"/>
      <c r="T322" s="1113"/>
      <c r="U322" s="1113"/>
      <c r="V322" s="1113"/>
    </row>
    <row r="323" spans="1:22" ht="15.75" customHeight="1">
      <c r="A323" s="1153"/>
      <c r="B323" s="417"/>
      <c r="C323" s="330"/>
      <c r="D323" s="330"/>
      <c r="E323" s="330"/>
      <c r="F323" s="330"/>
      <c r="G323" s="330"/>
      <c r="H323" s="330"/>
      <c r="I323" s="330"/>
      <c r="J323" s="330"/>
      <c r="K323" s="330"/>
      <c r="L323" s="330"/>
      <c r="M323" s="330">
        <f>SUM(M319:M322)</f>
        <v>296.67750000000007</v>
      </c>
      <c r="N323" s="1151" t="s">
        <v>89</v>
      </c>
      <c r="O323" s="462"/>
      <c r="P323" s="1126"/>
      <c r="Q323" s="462"/>
      <c r="R323" s="462"/>
      <c r="S323" s="462"/>
      <c r="T323" s="1113"/>
      <c r="U323" s="1113"/>
      <c r="V323" s="1113"/>
    </row>
    <row r="324" spans="1:22" ht="15.75" customHeight="1">
      <c r="A324" s="484">
        <f>A318+1</f>
        <v>4</v>
      </c>
      <c r="B324" s="417" t="s">
        <v>858</v>
      </c>
      <c r="C324" s="330"/>
      <c r="D324" s="330"/>
      <c r="E324" s="330"/>
      <c r="F324" s="330"/>
      <c r="G324" s="330"/>
      <c r="H324" s="330"/>
      <c r="I324" s="330"/>
      <c r="J324" s="330"/>
      <c r="K324" s="330"/>
      <c r="L324" s="330"/>
      <c r="M324" s="330"/>
      <c r="N324" s="1151"/>
      <c r="O324" s="462"/>
      <c r="P324" s="1126"/>
      <c r="Q324" s="462"/>
      <c r="R324" s="462"/>
      <c r="S324" s="462"/>
      <c r="T324" s="1113"/>
      <c r="U324" s="1113"/>
      <c r="V324" s="1113"/>
    </row>
    <row r="325" spans="1:22" ht="15.75" customHeight="1">
      <c r="A325" s="1153" t="s">
        <v>95</v>
      </c>
      <c r="B325" s="417" t="s">
        <v>1547</v>
      </c>
      <c r="C325" s="330"/>
      <c r="D325" s="330"/>
      <c r="E325" s="330"/>
      <c r="F325" s="330"/>
      <c r="G325" s="330"/>
      <c r="H325" s="330"/>
      <c r="I325" s="330"/>
      <c r="J325" s="330"/>
      <c r="K325" s="330"/>
      <c r="L325" s="330"/>
      <c r="M325" s="330"/>
      <c r="N325" s="1151"/>
      <c r="O325" s="462"/>
      <c r="P325" s="1126"/>
      <c r="Q325" s="462"/>
      <c r="R325" s="462"/>
      <c r="S325" s="462"/>
      <c r="T325" s="1113"/>
      <c r="U325" s="1113"/>
      <c r="V325" s="1113"/>
    </row>
    <row r="326" spans="1:22" ht="15.75" customHeight="1">
      <c r="A326" s="484"/>
      <c r="B326" s="803" t="s">
        <v>1548</v>
      </c>
      <c r="C326" s="330"/>
      <c r="D326" s="330"/>
      <c r="E326" s="330">
        <v>3.58</v>
      </c>
      <c r="F326" s="330"/>
      <c r="G326" s="330"/>
      <c r="H326" s="330">
        <v>4</v>
      </c>
      <c r="I326" s="330"/>
      <c r="J326" s="330"/>
      <c r="K326" s="330"/>
      <c r="L326" s="330">
        <v>10</v>
      </c>
      <c r="M326" s="330">
        <f>E326*H326*L326</f>
        <v>143.19999999999999</v>
      </c>
      <c r="N326" s="1151"/>
      <c r="O326" s="462"/>
      <c r="P326" s="1126"/>
      <c r="Q326" s="462"/>
      <c r="R326" s="462"/>
      <c r="S326" s="462"/>
      <c r="T326" s="1113"/>
      <c r="U326" s="1113"/>
      <c r="V326" s="1113"/>
    </row>
    <row r="327" spans="1:22" ht="15.75" customHeight="1">
      <c r="A327" s="484"/>
      <c r="B327" s="803" t="s">
        <v>1549</v>
      </c>
      <c r="C327" s="330"/>
      <c r="D327" s="330"/>
      <c r="E327" s="330">
        <f>E326</f>
        <v>3.58</v>
      </c>
      <c r="F327" s="330"/>
      <c r="G327" s="330"/>
      <c r="H327" s="330">
        <v>3</v>
      </c>
      <c r="I327" s="330"/>
      <c r="J327" s="330"/>
      <c r="K327" s="330"/>
      <c r="L327" s="330">
        <v>2</v>
      </c>
      <c r="M327" s="330">
        <f>E327*H327*L327</f>
        <v>21.48</v>
      </c>
      <c r="N327" s="1151"/>
      <c r="O327" s="462"/>
      <c r="P327" s="1126"/>
      <c r="Q327" s="462"/>
      <c r="R327" s="462"/>
      <c r="S327" s="462"/>
      <c r="T327" s="1113"/>
      <c r="U327" s="1113"/>
      <c r="V327" s="1113"/>
    </row>
    <row r="328" spans="1:22" ht="15.75" customHeight="1">
      <c r="A328" s="484"/>
      <c r="B328" s="803" t="s">
        <v>1550</v>
      </c>
      <c r="C328" s="330">
        <v>12</v>
      </c>
      <c r="D328" s="330"/>
      <c r="E328" s="330"/>
      <c r="F328" s="330"/>
      <c r="G328" s="330"/>
      <c r="H328" s="330">
        <v>3</v>
      </c>
      <c r="I328" s="330"/>
      <c r="J328" s="330"/>
      <c r="K328" s="330"/>
      <c r="L328" s="330">
        <v>2</v>
      </c>
      <c r="M328" s="330">
        <f>C328*H328*L328</f>
        <v>72</v>
      </c>
      <c r="N328" s="1151"/>
      <c r="O328" s="462"/>
      <c r="P328" s="1126"/>
      <c r="Q328" s="462"/>
      <c r="R328" s="462"/>
      <c r="S328" s="462"/>
      <c r="T328" s="1113"/>
      <c r="U328" s="1113"/>
      <c r="V328" s="1113"/>
    </row>
    <row r="329" spans="1:22" ht="15.75" customHeight="1">
      <c r="A329" s="484"/>
      <c r="B329" s="417"/>
      <c r="C329" s="330"/>
      <c r="D329" s="330"/>
      <c r="E329" s="330"/>
      <c r="F329" s="330"/>
      <c r="G329" s="330"/>
      <c r="H329" s="330"/>
      <c r="I329" s="330"/>
      <c r="J329" s="330"/>
      <c r="K329" s="330"/>
      <c r="L329" s="330"/>
      <c r="M329" s="330">
        <f>SUM(M326:M328)</f>
        <v>236.67999999999998</v>
      </c>
      <c r="N329" s="1151" t="s">
        <v>117</v>
      </c>
      <c r="O329" s="462"/>
      <c r="P329" s="1126"/>
      <c r="Q329" s="462"/>
      <c r="R329" s="462"/>
      <c r="S329" s="462"/>
      <c r="T329" s="1113"/>
      <c r="U329" s="1113"/>
      <c r="V329" s="1113"/>
    </row>
    <row r="330" spans="1:22" ht="15.75" customHeight="1">
      <c r="A330" s="484">
        <f>A324+1</f>
        <v>5</v>
      </c>
      <c r="B330" s="417" t="s">
        <v>1551</v>
      </c>
      <c r="C330" s="330"/>
      <c r="D330" s="330"/>
      <c r="E330" s="330"/>
      <c r="F330" s="330"/>
      <c r="G330" s="330"/>
      <c r="H330" s="330"/>
      <c r="I330" s="330"/>
      <c r="J330" s="330"/>
      <c r="K330" s="330"/>
      <c r="L330" s="330"/>
      <c r="M330" s="330"/>
      <c r="N330" s="1151"/>
      <c r="O330" s="462"/>
      <c r="P330" s="1126"/>
      <c r="Q330" s="462"/>
      <c r="R330" s="462"/>
      <c r="S330" s="462"/>
      <c r="T330" s="1113"/>
      <c r="U330" s="1113"/>
      <c r="V330" s="1113"/>
    </row>
    <row r="331" spans="1:22" ht="15.75" customHeight="1">
      <c r="A331" s="484"/>
      <c r="B331" s="803" t="s">
        <v>1552</v>
      </c>
      <c r="C331" s="330">
        <v>5</v>
      </c>
      <c r="D331" s="330"/>
      <c r="E331" s="330">
        <v>0.5</v>
      </c>
      <c r="F331" s="330"/>
      <c r="G331" s="330"/>
      <c r="H331" s="330"/>
      <c r="I331" s="330"/>
      <c r="J331" s="330"/>
      <c r="K331" s="330"/>
      <c r="L331" s="330"/>
      <c r="M331" s="330">
        <f>C331*E331</f>
        <v>2.5</v>
      </c>
      <c r="N331" s="1151"/>
      <c r="O331" s="462"/>
      <c r="P331" s="1126"/>
      <c r="Q331" s="462"/>
      <c r="R331" s="462"/>
      <c r="S331" s="462"/>
      <c r="T331" s="1113"/>
      <c r="U331" s="1113"/>
      <c r="V331" s="1113"/>
    </row>
    <row r="332" spans="1:22" ht="15.75" customHeight="1">
      <c r="A332" s="484"/>
      <c r="B332" s="803" t="s">
        <v>1553</v>
      </c>
      <c r="C332" s="330">
        <f>C307-1</f>
        <v>3</v>
      </c>
      <c r="D332" s="330"/>
      <c r="E332" s="330">
        <f>E307</f>
        <v>3.58</v>
      </c>
      <c r="F332" s="330"/>
      <c r="G332" s="330"/>
      <c r="H332" s="330"/>
      <c r="I332" s="330"/>
      <c r="J332" s="330"/>
      <c r="K332" s="330"/>
      <c r="L332" s="330"/>
      <c r="M332" s="330">
        <f>C332*E332</f>
        <v>10.74</v>
      </c>
      <c r="N332" s="1151"/>
      <c r="O332" s="462"/>
      <c r="P332" s="1126"/>
      <c r="Q332" s="462"/>
      <c r="R332" s="462"/>
      <c r="S332" s="462"/>
      <c r="T332" s="1113"/>
      <c r="U332" s="1113"/>
      <c r="V332" s="1113"/>
    </row>
    <row r="333" spans="1:22" ht="15.75" customHeight="1">
      <c r="A333" s="484"/>
      <c r="B333" s="803" t="s">
        <v>1545</v>
      </c>
      <c r="C333" s="330"/>
      <c r="D333" s="330"/>
      <c r="E333" s="330"/>
      <c r="F333" s="330"/>
      <c r="G333" s="330"/>
      <c r="H333" s="330"/>
      <c r="I333" s="330"/>
      <c r="J333" s="330"/>
      <c r="K333" s="330"/>
      <c r="L333" s="330"/>
      <c r="M333" s="330">
        <f>-M339</f>
        <v>-1.4524999999999999</v>
      </c>
      <c r="N333" s="1151"/>
      <c r="O333" s="462"/>
      <c r="P333" s="1126"/>
      <c r="Q333" s="462"/>
      <c r="R333" s="462"/>
      <c r="S333" s="462"/>
      <c r="T333" s="1113"/>
      <c r="U333" s="1113"/>
      <c r="V333" s="1113"/>
    </row>
    <row r="334" spans="1:22" ht="15.75" customHeight="1">
      <c r="A334" s="484"/>
      <c r="B334" s="803" t="s">
        <v>1554</v>
      </c>
      <c r="C334" s="330"/>
      <c r="D334" s="330"/>
      <c r="E334" s="330"/>
      <c r="F334" s="330"/>
      <c r="G334" s="330"/>
      <c r="H334" s="330"/>
      <c r="I334" s="330"/>
      <c r="J334" s="330"/>
      <c r="K334" s="330"/>
      <c r="L334" s="330"/>
      <c r="M334" s="330">
        <f>M314</f>
        <v>-4.8125</v>
      </c>
      <c r="N334" s="1151"/>
      <c r="O334" s="462"/>
      <c r="P334" s="1126"/>
      <c r="Q334" s="462"/>
      <c r="R334" s="462"/>
      <c r="S334" s="462"/>
      <c r="T334" s="1113"/>
      <c r="U334" s="1113"/>
      <c r="V334" s="1113"/>
    </row>
    <row r="335" spans="1:22" ht="15.75" customHeight="1">
      <c r="A335" s="484"/>
      <c r="B335" s="417"/>
      <c r="C335" s="330"/>
      <c r="D335" s="330"/>
      <c r="E335" s="330"/>
      <c r="F335" s="330"/>
      <c r="G335" s="330"/>
      <c r="H335" s="330"/>
      <c r="I335" s="330"/>
      <c r="J335" s="330"/>
      <c r="K335" s="330"/>
      <c r="L335" s="330"/>
      <c r="M335" s="330">
        <f>SUM(M331:M334)</f>
        <v>6.9749999999999996</v>
      </c>
      <c r="N335" s="1151" t="s">
        <v>89</v>
      </c>
      <c r="O335" s="462"/>
      <c r="P335" s="1126"/>
      <c r="Q335" s="462"/>
      <c r="R335" s="462"/>
      <c r="S335" s="462"/>
      <c r="T335" s="1113"/>
      <c r="U335" s="1113"/>
      <c r="V335" s="1113"/>
    </row>
    <row r="336" spans="1:22" ht="15.75" customHeight="1">
      <c r="A336" s="484">
        <f>A330+1</f>
        <v>6</v>
      </c>
      <c r="B336" s="417" t="s">
        <v>911</v>
      </c>
      <c r="C336" s="330"/>
      <c r="D336" s="330"/>
      <c r="E336" s="330"/>
      <c r="F336" s="330"/>
      <c r="G336" s="330"/>
      <c r="H336" s="330"/>
      <c r="I336" s="330"/>
      <c r="J336" s="330"/>
      <c r="K336" s="330"/>
      <c r="L336" s="330"/>
      <c r="M336" s="330"/>
      <c r="N336" s="1151"/>
      <c r="O336" s="462"/>
      <c r="P336" s="1126"/>
      <c r="Q336" s="462"/>
      <c r="R336" s="462"/>
      <c r="S336" s="462"/>
      <c r="T336" s="1113"/>
      <c r="U336" s="1113"/>
      <c r="V336" s="1113"/>
    </row>
    <row r="337" spans="1:22" ht="15.75" customHeight="1">
      <c r="A337" s="484"/>
      <c r="B337" s="803" t="s">
        <v>1555</v>
      </c>
      <c r="C337" s="330">
        <v>2.5</v>
      </c>
      <c r="D337" s="330"/>
      <c r="E337" s="330">
        <v>0.35</v>
      </c>
      <c r="F337" s="330"/>
      <c r="G337" s="330"/>
      <c r="H337" s="330"/>
      <c r="I337" s="330"/>
      <c r="J337" s="330"/>
      <c r="K337" s="330"/>
      <c r="L337" s="330"/>
      <c r="M337" s="330">
        <f>C337*E337</f>
        <v>0.875</v>
      </c>
      <c r="N337" s="1151"/>
      <c r="O337" s="462"/>
      <c r="P337" s="462"/>
      <c r="Q337" s="462"/>
      <c r="R337" s="462"/>
      <c r="S337" s="462"/>
      <c r="T337" s="1113"/>
      <c r="U337" s="1113"/>
      <c r="V337" s="1113"/>
    </row>
    <row r="338" spans="1:22" ht="15.75" customHeight="1">
      <c r="A338" s="484"/>
      <c r="B338" s="803" t="s">
        <v>1556</v>
      </c>
      <c r="C338" s="330">
        <v>1.65</v>
      </c>
      <c r="D338" s="330"/>
      <c r="E338" s="330">
        <f>E337</f>
        <v>0.35</v>
      </c>
      <c r="F338" s="330"/>
      <c r="G338" s="330"/>
      <c r="H338" s="330"/>
      <c r="I338" s="330"/>
      <c r="J338" s="330"/>
      <c r="K338" s="330"/>
      <c r="L338" s="330"/>
      <c r="M338" s="330">
        <f>C338*E338</f>
        <v>0.5774999999999999</v>
      </c>
      <c r="N338" s="1151"/>
      <c r="O338" s="462"/>
      <c r="P338" s="462"/>
      <c r="Q338" s="462"/>
      <c r="R338" s="462"/>
      <c r="S338" s="462"/>
      <c r="T338" s="1113"/>
      <c r="U338" s="1113"/>
      <c r="V338" s="1113"/>
    </row>
    <row r="339" spans="1:22" ht="15.75" customHeight="1">
      <c r="A339" s="484"/>
      <c r="B339" s="417"/>
      <c r="C339" s="330"/>
      <c r="D339" s="330"/>
      <c r="E339" s="330"/>
      <c r="F339" s="330"/>
      <c r="G339" s="330"/>
      <c r="H339" s="330"/>
      <c r="I339" s="330"/>
      <c r="J339" s="330"/>
      <c r="K339" s="330"/>
      <c r="L339" s="330"/>
      <c r="M339" s="330">
        <f>SUM(M337:M338)</f>
        <v>1.4524999999999999</v>
      </c>
      <c r="N339" s="1151" t="s">
        <v>89</v>
      </c>
      <c r="O339" s="462"/>
      <c r="P339" s="462"/>
      <c r="Q339" s="462"/>
      <c r="R339" s="462"/>
      <c r="S339" s="462"/>
      <c r="T339" s="1113"/>
      <c r="U339" s="1113"/>
      <c r="V339" s="1113"/>
    </row>
    <row r="340" spans="1:22" ht="15.75" hidden="1" customHeight="1">
      <c r="A340" s="484">
        <f>A336+1</f>
        <v>7</v>
      </c>
      <c r="B340" s="417" t="s">
        <v>1557</v>
      </c>
      <c r="C340" s="330"/>
      <c r="D340" s="330"/>
      <c r="E340" s="330"/>
      <c r="F340" s="330"/>
      <c r="G340" s="330"/>
      <c r="H340" s="330"/>
      <c r="I340" s="330"/>
      <c r="J340" s="330"/>
      <c r="K340" s="330"/>
      <c r="L340" s="330"/>
      <c r="M340" s="330"/>
      <c r="N340" s="1151"/>
      <c r="O340" s="462"/>
      <c r="P340" s="462"/>
      <c r="Q340" s="462"/>
      <c r="R340" s="462"/>
      <c r="S340" s="462"/>
      <c r="T340" s="1113"/>
      <c r="U340" s="1113"/>
      <c r="V340" s="1113"/>
    </row>
    <row r="341" spans="1:22" ht="15.75" hidden="1" customHeight="1">
      <c r="A341" s="484"/>
      <c r="B341" s="417"/>
      <c r="C341" s="330">
        <v>5.3</v>
      </c>
      <c r="D341" s="330"/>
      <c r="E341" s="330">
        <v>3</v>
      </c>
      <c r="F341" s="330"/>
      <c r="G341" s="330"/>
      <c r="H341" s="330"/>
      <c r="I341" s="330"/>
      <c r="J341" s="330"/>
      <c r="K341" s="330"/>
      <c r="L341" s="330">
        <v>2</v>
      </c>
      <c r="M341" s="330">
        <f>C341*E341*L341</f>
        <v>31.799999999999997</v>
      </c>
      <c r="N341" s="1151"/>
      <c r="O341" s="462"/>
      <c r="P341" s="462"/>
      <c r="Q341" s="462"/>
      <c r="R341" s="462"/>
      <c r="S341" s="462"/>
      <c r="T341" s="1113"/>
      <c r="U341" s="1113"/>
      <c r="V341" s="1113"/>
    </row>
    <row r="342" spans="1:22" ht="15.75" hidden="1" customHeight="1">
      <c r="A342" s="484"/>
      <c r="B342" s="417"/>
      <c r="C342" s="330">
        <v>3.8</v>
      </c>
      <c r="D342" s="330"/>
      <c r="E342" s="330">
        <f>E341</f>
        <v>3</v>
      </c>
      <c r="F342" s="330"/>
      <c r="G342" s="330"/>
      <c r="H342" s="330"/>
      <c r="I342" s="330"/>
      <c r="J342" s="330"/>
      <c r="K342" s="330"/>
      <c r="L342" s="330">
        <f>L341</f>
        <v>2</v>
      </c>
      <c r="M342" s="330">
        <f>C342*E342*L342</f>
        <v>22.799999999999997</v>
      </c>
      <c r="N342" s="1151"/>
      <c r="O342" s="462"/>
      <c r="P342" s="462"/>
      <c r="Q342" s="462"/>
      <c r="R342" s="462"/>
      <c r="S342" s="462"/>
      <c r="T342" s="1113"/>
      <c r="U342" s="1113"/>
      <c r="V342" s="1113"/>
    </row>
    <row r="343" spans="1:22" ht="15.75" hidden="1" customHeight="1">
      <c r="A343" s="484"/>
      <c r="B343" s="803" t="s">
        <v>1558</v>
      </c>
      <c r="C343" s="330"/>
      <c r="D343" s="330">
        <v>1.2</v>
      </c>
      <c r="E343" s="330">
        <v>2.15</v>
      </c>
      <c r="F343" s="330"/>
      <c r="G343" s="330"/>
      <c r="H343" s="330"/>
      <c r="I343" s="330"/>
      <c r="J343" s="330"/>
      <c r="K343" s="330"/>
      <c r="L343" s="330"/>
      <c r="M343" s="330">
        <f>-D343*E343</f>
        <v>-2.5799999999999996</v>
      </c>
      <c r="N343" s="1151"/>
      <c r="O343" s="462"/>
      <c r="P343" s="462"/>
      <c r="Q343" s="462"/>
      <c r="R343" s="462"/>
      <c r="S343" s="462"/>
      <c r="T343" s="1113"/>
      <c r="U343" s="1113"/>
      <c r="V343" s="1113"/>
    </row>
    <row r="344" spans="1:22" ht="15.75" hidden="1" customHeight="1">
      <c r="A344" s="484"/>
      <c r="B344" s="803" t="s">
        <v>1559</v>
      </c>
      <c r="C344" s="330">
        <v>1.8</v>
      </c>
      <c r="D344" s="330"/>
      <c r="E344" s="330">
        <v>2.4</v>
      </c>
      <c r="F344" s="330"/>
      <c r="G344" s="330"/>
      <c r="H344" s="330"/>
      <c r="I344" s="330"/>
      <c r="J344" s="330"/>
      <c r="K344" s="330"/>
      <c r="L344" s="330">
        <v>1</v>
      </c>
      <c r="M344" s="330">
        <f>-C344*E344*L344</f>
        <v>-4.32</v>
      </c>
      <c r="N344" s="1151"/>
      <c r="O344" s="462"/>
      <c r="P344" s="462"/>
      <c r="Q344" s="462"/>
      <c r="R344" s="462"/>
      <c r="S344" s="462"/>
      <c r="T344" s="1113"/>
      <c r="U344" s="1113"/>
      <c r="V344" s="1113"/>
    </row>
    <row r="345" spans="1:22" ht="15.75" hidden="1" customHeight="1">
      <c r="A345" s="484"/>
      <c r="B345" s="417"/>
      <c r="C345" s="330"/>
      <c r="D345" s="330"/>
      <c r="E345" s="330"/>
      <c r="F345" s="330"/>
      <c r="G345" s="330"/>
      <c r="H345" s="330"/>
      <c r="I345" s="330"/>
      <c r="J345" s="330"/>
      <c r="K345" s="330"/>
      <c r="L345" s="330"/>
      <c r="M345" s="330">
        <f>SUM(M341:M344)*0</f>
        <v>0</v>
      </c>
      <c r="N345" s="1151" t="s">
        <v>89</v>
      </c>
      <c r="O345" s="462"/>
      <c r="P345" s="462"/>
      <c r="Q345" s="462"/>
      <c r="R345" s="462"/>
      <c r="S345" s="462"/>
      <c r="T345" s="1113"/>
      <c r="U345" s="1113"/>
      <c r="V345" s="1113"/>
    </row>
    <row r="346" spans="1:22" ht="15.75" hidden="1" customHeight="1">
      <c r="A346" s="484">
        <f>A340+1</f>
        <v>8</v>
      </c>
      <c r="B346" s="417" t="s">
        <v>1560</v>
      </c>
      <c r="C346" s="330"/>
      <c r="D346" s="330"/>
      <c r="E346" s="330"/>
      <c r="F346" s="330"/>
      <c r="G346" s="330"/>
      <c r="H346" s="330"/>
      <c r="I346" s="330"/>
      <c r="J346" s="330"/>
      <c r="K346" s="330"/>
      <c r="L346" s="330"/>
      <c r="M346" s="330"/>
      <c r="N346" s="1151"/>
      <c r="O346" s="462"/>
      <c r="P346" s="462"/>
      <c r="Q346" s="462"/>
      <c r="R346" s="462"/>
      <c r="S346" s="462"/>
      <c r="T346" s="1113"/>
      <c r="U346" s="1113"/>
      <c r="V346" s="1113"/>
    </row>
    <row r="347" spans="1:22" ht="15.75" hidden="1" customHeight="1">
      <c r="A347" s="484"/>
      <c r="B347" s="803" t="s">
        <v>1561</v>
      </c>
      <c r="C347" s="330">
        <v>12</v>
      </c>
      <c r="D347" s="330">
        <v>11</v>
      </c>
      <c r="E347" s="330"/>
      <c r="F347" s="330"/>
      <c r="G347" s="330"/>
      <c r="H347" s="330"/>
      <c r="I347" s="330"/>
      <c r="J347" s="330"/>
      <c r="K347" s="330"/>
      <c r="L347" s="330"/>
      <c r="M347" s="330">
        <f>C347*D347</f>
        <v>132</v>
      </c>
      <c r="N347" s="1151"/>
      <c r="O347" s="462"/>
      <c r="P347" s="462"/>
      <c r="Q347" s="462"/>
      <c r="R347" s="462"/>
      <c r="S347" s="462"/>
      <c r="T347" s="1113"/>
      <c r="U347" s="1113"/>
      <c r="V347" s="1113"/>
    </row>
    <row r="348" spans="1:22" ht="15.75" hidden="1" customHeight="1">
      <c r="A348" s="484"/>
      <c r="B348" s="803" t="s">
        <v>1562</v>
      </c>
      <c r="C348" s="330">
        <v>5.5</v>
      </c>
      <c r="D348" s="330">
        <v>4</v>
      </c>
      <c r="E348" s="330"/>
      <c r="F348" s="330"/>
      <c r="G348" s="330"/>
      <c r="H348" s="330"/>
      <c r="I348" s="330"/>
      <c r="J348" s="330"/>
      <c r="K348" s="330"/>
      <c r="L348" s="330"/>
      <c r="M348" s="330">
        <f>C348*D348</f>
        <v>22</v>
      </c>
      <c r="N348" s="1151"/>
      <c r="O348" s="462"/>
      <c r="P348" s="462"/>
      <c r="Q348" s="462"/>
      <c r="R348" s="462"/>
      <c r="S348" s="462"/>
      <c r="T348" s="1113"/>
      <c r="U348" s="1113"/>
      <c r="V348" s="1113"/>
    </row>
    <row r="349" spans="1:22" ht="15.75" hidden="1" customHeight="1">
      <c r="A349" s="484"/>
      <c r="B349" s="803" t="s">
        <v>1563</v>
      </c>
      <c r="C349" s="330">
        <v>5.5</v>
      </c>
      <c r="D349" s="330">
        <v>4</v>
      </c>
      <c r="E349" s="330"/>
      <c r="F349" s="330"/>
      <c r="G349" s="330"/>
      <c r="H349" s="330"/>
      <c r="I349" s="330"/>
      <c r="J349" s="330"/>
      <c r="K349" s="330"/>
      <c r="L349" s="330"/>
      <c r="M349" s="330">
        <f>C349*D349</f>
        <v>22</v>
      </c>
      <c r="N349" s="1151"/>
      <c r="O349" s="462"/>
      <c r="P349" s="462"/>
      <c r="Q349" s="462"/>
      <c r="R349" s="462"/>
      <c r="S349" s="462"/>
      <c r="T349" s="1113"/>
      <c r="U349" s="1113"/>
      <c r="V349" s="1113"/>
    </row>
    <row r="350" spans="1:22" ht="15.75" hidden="1" customHeight="1">
      <c r="A350" s="484"/>
      <c r="B350" s="417"/>
      <c r="C350" s="330"/>
      <c r="D350" s="330"/>
      <c r="E350" s="330"/>
      <c r="F350" s="330"/>
      <c r="G350" s="330"/>
      <c r="H350" s="330"/>
      <c r="I350" s="330"/>
      <c r="J350" s="330"/>
      <c r="K350" s="330"/>
      <c r="L350" s="330"/>
      <c r="M350" s="330">
        <f>SUM(M347:M349)*0</f>
        <v>0</v>
      </c>
      <c r="N350" s="1151" t="s">
        <v>89</v>
      </c>
      <c r="O350" s="462"/>
      <c r="P350" s="462"/>
      <c r="Q350" s="462"/>
      <c r="R350" s="462"/>
      <c r="S350" s="462"/>
      <c r="T350" s="1113"/>
      <c r="U350" s="1113"/>
      <c r="V350" s="1113"/>
    </row>
    <row r="351" spans="1:22" ht="15.75" hidden="1" customHeight="1">
      <c r="A351" s="484">
        <f>A346+1</f>
        <v>9</v>
      </c>
      <c r="B351" s="417" t="s">
        <v>1564</v>
      </c>
      <c r="C351" s="330"/>
      <c r="D351" s="330"/>
      <c r="E351" s="330"/>
      <c r="F351" s="330"/>
      <c r="G351" s="330"/>
      <c r="H351" s="330"/>
      <c r="I351" s="330"/>
      <c r="J351" s="330"/>
      <c r="K351" s="330"/>
      <c r="L351" s="330"/>
      <c r="M351" s="330"/>
      <c r="N351" s="1151"/>
      <c r="O351" s="462"/>
      <c r="P351" s="462"/>
      <c r="Q351" s="462"/>
      <c r="R351" s="462"/>
      <c r="S351" s="462"/>
      <c r="T351" s="1113"/>
      <c r="U351" s="1113"/>
      <c r="V351" s="1113"/>
    </row>
    <row r="352" spans="1:22" ht="15.75" hidden="1" customHeight="1">
      <c r="A352" s="484"/>
      <c r="B352" s="803" t="s">
        <v>155</v>
      </c>
      <c r="C352" s="330">
        <v>20</v>
      </c>
      <c r="D352" s="330"/>
      <c r="E352" s="330"/>
      <c r="F352" s="330"/>
      <c r="G352" s="330"/>
      <c r="H352" s="330">
        <v>2</v>
      </c>
      <c r="I352" s="330"/>
      <c r="J352" s="330"/>
      <c r="K352" s="330"/>
      <c r="L352" s="330"/>
      <c r="M352" s="330">
        <f>C352*H352</f>
        <v>40</v>
      </c>
      <c r="N352" s="1151"/>
      <c r="O352" s="462"/>
      <c r="P352" s="462"/>
      <c r="Q352" s="462"/>
      <c r="R352" s="462"/>
      <c r="S352" s="462"/>
      <c r="T352" s="1113"/>
      <c r="U352" s="1113"/>
      <c r="V352" s="1113"/>
    </row>
    <row r="353" spans="1:22" ht="15.75" hidden="1" customHeight="1">
      <c r="A353" s="484"/>
      <c r="B353" s="803" t="s">
        <v>154</v>
      </c>
      <c r="C353" s="330">
        <v>11</v>
      </c>
      <c r="D353" s="330"/>
      <c r="E353" s="330"/>
      <c r="F353" s="330"/>
      <c r="G353" s="330"/>
      <c r="H353" s="330">
        <v>2</v>
      </c>
      <c r="I353" s="330"/>
      <c r="J353" s="330"/>
      <c r="K353" s="330"/>
      <c r="L353" s="330"/>
      <c r="M353" s="330">
        <f>C353*H353</f>
        <v>22</v>
      </c>
      <c r="N353" s="1151"/>
      <c r="O353" s="462"/>
      <c r="P353" s="462"/>
      <c r="Q353" s="462"/>
      <c r="R353" s="462"/>
      <c r="S353" s="462"/>
      <c r="T353" s="1113"/>
      <c r="U353" s="1113"/>
      <c r="V353" s="1113"/>
    </row>
    <row r="354" spans="1:22" ht="15.75" hidden="1" customHeight="1">
      <c r="A354" s="484"/>
      <c r="B354" s="417"/>
      <c r="C354" s="330"/>
      <c r="D354" s="330"/>
      <c r="E354" s="330"/>
      <c r="F354" s="330"/>
      <c r="G354" s="330"/>
      <c r="H354" s="330"/>
      <c r="I354" s="330"/>
      <c r="J354" s="330"/>
      <c r="K354" s="330"/>
      <c r="L354" s="330"/>
      <c r="M354" s="330">
        <f>SUM(M352:M353)*0</f>
        <v>0</v>
      </c>
      <c r="N354" s="1151" t="s">
        <v>117</v>
      </c>
      <c r="O354" s="462"/>
      <c r="P354" s="462"/>
      <c r="Q354" s="462"/>
      <c r="R354" s="462"/>
      <c r="S354" s="462"/>
      <c r="T354" s="1113"/>
      <c r="U354" s="1113"/>
      <c r="V354" s="1113"/>
    </row>
    <row r="355" spans="1:22" ht="15.75" customHeight="1">
      <c r="A355" s="484">
        <f>A336+1</f>
        <v>7</v>
      </c>
      <c r="B355" s="417" t="s">
        <v>912</v>
      </c>
      <c r="C355" s="330"/>
      <c r="D355" s="330"/>
      <c r="E355" s="330"/>
      <c r="F355" s="330"/>
      <c r="G355" s="330"/>
      <c r="H355" s="330"/>
      <c r="I355" s="330"/>
      <c r="J355" s="330"/>
      <c r="K355" s="330"/>
      <c r="L355" s="330"/>
      <c r="M355" s="330"/>
      <c r="N355" s="1151"/>
      <c r="O355" s="462"/>
      <c r="P355" s="462"/>
      <c r="Q355" s="462"/>
      <c r="R355" s="462"/>
      <c r="S355" s="462"/>
      <c r="T355" s="1113"/>
      <c r="U355" s="1113"/>
      <c r="V355" s="1113"/>
    </row>
    <row r="356" spans="1:22" ht="15.75" customHeight="1">
      <c r="A356" s="484"/>
      <c r="B356" s="803" t="s">
        <v>1565</v>
      </c>
      <c r="C356" s="330">
        <v>10</v>
      </c>
      <c r="D356" s="330">
        <v>3</v>
      </c>
      <c r="E356" s="330"/>
      <c r="F356" s="330"/>
      <c r="G356" s="330"/>
      <c r="H356" s="330"/>
      <c r="I356" s="330"/>
      <c r="J356" s="330"/>
      <c r="K356" s="330"/>
      <c r="L356" s="330"/>
      <c r="M356" s="330">
        <f>C356*D356</f>
        <v>30</v>
      </c>
      <c r="N356" s="1151"/>
      <c r="O356" s="462"/>
      <c r="P356" s="462"/>
      <c r="Q356" s="462"/>
      <c r="R356" s="462"/>
      <c r="S356" s="462"/>
      <c r="T356" s="1113"/>
      <c r="U356" s="1113"/>
      <c r="V356" s="1113"/>
    </row>
    <row r="357" spans="1:22" ht="15.75" customHeight="1">
      <c r="A357" s="484"/>
      <c r="B357" s="803"/>
      <c r="C357" s="330">
        <v>5</v>
      </c>
      <c r="D357" s="330">
        <v>3</v>
      </c>
      <c r="E357" s="330"/>
      <c r="F357" s="330"/>
      <c r="G357" s="330"/>
      <c r="H357" s="330"/>
      <c r="I357" s="330"/>
      <c r="J357" s="330"/>
      <c r="K357" s="330"/>
      <c r="L357" s="330"/>
      <c r="M357" s="330">
        <f>C357*D357</f>
        <v>15</v>
      </c>
      <c r="N357" s="1151"/>
      <c r="O357" s="462"/>
      <c r="P357" s="462"/>
      <c r="Q357" s="462"/>
      <c r="R357" s="462"/>
      <c r="S357" s="462"/>
      <c r="T357" s="1113"/>
      <c r="U357" s="1113"/>
      <c r="V357" s="1113"/>
    </row>
    <row r="358" spans="1:22" ht="15.75" customHeight="1">
      <c r="A358" s="484"/>
      <c r="B358" s="803" t="s">
        <v>1566</v>
      </c>
      <c r="C358" s="330">
        <v>14</v>
      </c>
      <c r="D358" s="330">
        <v>5</v>
      </c>
      <c r="E358" s="330"/>
      <c r="F358" s="330"/>
      <c r="G358" s="330"/>
      <c r="H358" s="330"/>
      <c r="I358" s="330"/>
      <c r="J358" s="330"/>
      <c r="K358" s="330"/>
      <c r="L358" s="330"/>
      <c r="M358" s="330">
        <f>C358*D358</f>
        <v>70</v>
      </c>
      <c r="N358" s="1151"/>
      <c r="O358" s="462"/>
      <c r="P358" s="462"/>
      <c r="Q358" s="462"/>
      <c r="R358" s="462"/>
      <c r="S358" s="462"/>
      <c r="T358" s="1113"/>
      <c r="U358" s="1113"/>
      <c r="V358" s="1113"/>
    </row>
    <row r="359" spans="1:22" ht="15.75" customHeight="1">
      <c r="A359" s="484"/>
      <c r="B359" s="803"/>
      <c r="C359" s="330">
        <v>13</v>
      </c>
      <c r="D359" s="330">
        <v>5</v>
      </c>
      <c r="E359" s="330"/>
      <c r="F359" s="330"/>
      <c r="G359" s="330"/>
      <c r="H359" s="330"/>
      <c r="I359" s="330"/>
      <c r="J359" s="330"/>
      <c r="K359" s="330"/>
      <c r="L359" s="330"/>
      <c r="M359" s="330">
        <f>C359*D359</f>
        <v>65</v>
      </c>
      <c r="N359" s="1151"/>
      <c r="O359" s="462"/>
      <c r="P359" s="462"/>
      <c r="Q359" s="462"/>
      <c r="R359" s="462"/>
      <c r="S359" s="462"/>
      <c r="T359" s="1113"/>
      <c r="U359" s="1113"/>
      <c r="V359" s="1113"/>
    </row>
    <row r="360" spans="1:22" ht="15.75" customHeight="1">
      <c r="A360" s="484"/>
      <c r="B360" s="417"/>
      <c r="C360" s="330"/>
      <c r="D360" s="330"/>
      <c r="E360" s="330"/>
      <c r="F360" s="330"/>
      <c r="G360" s="330"/>
      <c r="H360" s="330"/>
      <c r="I360" s="330"/>
      <c r="J360" s="330"/>
      <c r="K360" s="330"/>
      <c r="L360" s="330"/>
      <c r="M360" s="330">
        <f>SUM(M356:M359)</f>
        <v>180</v>
      </c>
      <c r="N360" s="1151" t="s">
        <v>89</v>
      </c>
      <c r="O360" s="462"/>
      <c r="P360" s="462"/>
      <c r="Q360" s="462"/>
      <c r="R360" s="462"/>
      <c r="S360" s="462"/>
      <c r="T360" s="1113"/>
      <c r="U360" s="1113"/>
      <c r="V360" s="1113"/>
    </row>
    <row r="361" spans="1:22" ht="32.25" customHeight="1">
      <c r="A361" s="484">
        <f>A355+1</f>
        <v>8</v>
      </c>
      <c r="B361" s="1154" t="s">
        <v>913</v>
      </c>
      <c r="C361" s="330"/>
      <c r="D361" s="330"/>
      <c r="E361" s="330"/>
      <c r="F361" s="330"/>
      <c r="G361" s="330"/>
      <c r="H361" s="330"/>
      <c r="I361" s="330"/>
      <c r="J361" s="330"/>
      <c r="K361" s="330"/>
      <c r="L361" s="330"/>
      <c r="M361" s="330"/>
      <c r="N361" s="1151"/>
      <c r="O361" s="462"/>
      <c r="P361" s="462"/>
      <c r="Q361" s="462"/>
      <c r="R361" s="462"/>
      <c r="S361" s="462"/>
      <c r="T361" s="1113"/>
      <c r="U361" s="1113"/>
      <c r="V361" s="1113"/>
    </row>
    <row r="362" spans="1:22" ht="15.75" customHeight="1">
      <c r="A362" s="484"/>
      <c r="B362" s="803" t="s">
        <v>1565</v>
      </c>
      <c r="C362" s="330">
        <v>10</v>
      </c>
      <c r="D362" s="330">
        <v>3</v>
      </c>
      <c r="E362" s="330"/>
      <c r="F362" s="330"/>
      <c r="G362" s="330"/>
      <c r="H362" s="330"/>
      <c r="I362" s="330"/>
      <c r="J362" s="330"/>
      <c r="K362" s="330"/>
      <c r="L362" s="330"/>
      <c r="M362" s="330">
        <f>C362*D362</f>
        <v>30</v>
      </c>
      <c r="N362" s="1151"/>
      <c r="O362" s="462"/>
      <c r="P362" s="462"/>
      <c r="Q362" s="462"/>
      <c r="R362" s="462"/>
      <c r="S362" s="462"/>
      <c r="T362" s="1113"/>
      <c r="U362" s="1113"/>
      <c r="V362" s="1113"/>
    </row>
    <row r="363" spans="1:22" ht="15.75" customHeight="1">
      <c r="A363" s="484"/>
      <c r="B363" s="803"/>
      <c r="C363" s="330">
        <v>5</v>
      </c>
      <c r="D363" s="330">
        <v>3</v>
      </c>
      <c r="E363" s="330"/>
      <c r="F363" s="330"/>
      <c r="G363" s="330"/>
      <c r="H363" s="330"/>
      <c r="I363" s="330"/>
      <c r="J363" s="330"/>
      <c r="K363" s="330"/>
      <c r="L363" s="330"/>
      <c r="M363" s="330">
        <f>C363*D363</f>
        <v>15</v>
      </c>
      <c r="N363" s="1151"/>
      <c r="O363" s="462"/>
      <c r="P363" s="462"/>
      <c r="Q363" s="462"/>
      <c r="R363" s="462"/>
      <c r="S363" s="462"/>
      <c r="T363" s="1113"/>
      <c r="U363" s="1113"/>
      <c r="V363" s="1113"/>
    </row>
    <row r="364" spans="1:22" ht="15.75" customHeight="1">
      <c r="A364" s="484"/>
      <c r="B364" s="803" t="s">
        <v>1566</v>
      </c>
      <c r="C364" s="330">
        <v>14</v>
      </c>
      <c r="D364" s="330">
        <v>5</v>
      </c>
      <c r="E364" s="330"/>
      <c r="F364" s="330"/>
      <c r="G364" s="330"/>
      <c r="H364" s="330"/>
      <c r="I364" s="330"/>
      <c r="J364" s="330"/>
      <c r="K364" s="330"/>
      <c r="L364" s="330"/>
      <c r="M364" s="330">
        <f>C364*D364</f>
        <v>70</v>
      </c>
      <c r="N364" s="1151"/>
      <c r="O364" s="462"/>
      <c r="P364" s="462"/>
      <c r="Q364" s="462"/>
      <c r="R364" s="462"/>
      <c r="S364" s="462"/>
      <c r="T364" s="1113"/>
      <c r="U364" s="1113"/>
      <c r="V364" s="1113"/>
    </row>
    <row r="365" spans="1:22" ht="15.75" customHeight="1">
      <c r="A365" s="484"/>
      <c r="B365" s="803"/>
      <c r="C365" s="330">
        <v>13</v>
      </c>
      <c r="D365" s="330">
        <v>5</v>
      </c>
      <c r="E365" s="330"/>
      <c r="F365" s="330"/>
      <c r="G365" s="330"/>
      <c r="H365" s="330"/>
      <c r="I365" s="330"/>
      <c r="J365" s="330"/>
      <c r="K365" s="330"/>
      <c r="L365" s="330"/>
      <c r="M365" s="330">
        <f>C365*D365</f>
        <v>65</v>
      </c>
      <c r="N365" s="1151"/>
      <c r="O365" s="462"/>
      <c r="P365" s="462"/>
      <c r="Q365" s="462"/>
      <c r="R365" s="462"/>
      <c r="S365" s="462"/>
      <c r="T365" s="1113"/>
      <c r="U365" s="1113"/>
      <c r="V365" s="1113"/>
    </row>
    <row r="366" spans="1:22" ht="15.75" customHeight="1">
      <c r="A366" s="484"/>
      <c r="B366" s="1155" t="s">
        <v>1567</v>
      </c>
      <c r="C366" s="330"/>
      <c r="D366" s="330"/>
      <c r="E366" s="330"/>
      <c r="F366" s="330"/>
      <c r="G366" s="330"/>
      <c r="H366" s="330"/>
      <c r="I366" s="330"/>
      <c r="J366" s="330"/>
      <c r="K366" s="330"/>
      <c r="L366" s="330"/>
      <c r="M366" s="330"/>
      <c r="N366" s="1151"/>
      <c r="O366" s="462"/>
      <c r="P366" s="462"/>
      <c r="Q366" s="462"/>
      <c r="R366" s="462"/>
      <c r="S366" s="462"/>
      <c r="T366" s="1113"/>
      <c r="U366" s="1113"/>
      <c r="V366" s="1113"/>
    </row>
    <row r="367" spans="1:22" ht="15.75" customHeight="1">
      <c r="A367" s="484"/>
      <c r="B367" s="803" t="s">
        <v>155</v>
      </c>
      <c r="C367" s="330">
        <f>20+(0.75*2)</f>
        <v>21.5</v>
      </c>
      <c r="D367" s="330">
        <v>0.75</v>
      </c>
      <c r="E367" s="330"/>
      <c r="F367" s="330"/>
      <c r="G367" s="330"/>
      <c r="H367" s="330">
        <v>2</v>
      </c>
      <c r="I367" s="330"/>
      <c r="J367" s="330"/>
      <c r="K367" s="330"/>
      <c r="L367" s="330"/>
      <c r="M367" s="330">
        <f>C367*D367*H367</f>
        <v>32.25</v>
      </c>
      <c r="N367" s="1151"/>
      <c r="O367" s="462"/>
      <c r="P367" s="462"/>
      <c r="Q367" s="462"/>
      <c r="R367" s="462"/>
      <c r="S367" s="462"/>
      <c r="T367" s="1113"/>
      <c r="U367" s="1113"/>
      <c r="V367" s="1113"/>
    </row>
    <row r="368" spans="1:22" ht="15.75" customHeight="1">
      <c r="A368" s="484"/>
      <c r="B368" s="803" t="s">
        <v>154</v>
      </c>
      <c r="C368" s="330">
        <f>10+(0.75*2)</f>
        <v>11.5</v>
      </c>
      <c r="D368" s="330">
        <f>D367</f>
        <v>0.75</v>
      </c>
      <c r="E368" s="330"/>
      <c r="F368" s="330"/>
      <c r="G368" s="330"/>
      <c r="H368" s="330">
        <f>H367</f>
        <v>2</v>
      </c>
      <c r="I368" s="330"/>
      <c r="J368" s="330"/>
      <c r="K368" s="330"/>
      <c r="L368" s="330"/>
      <c r="M368" s="330">
        <f>C368*D368*H368</f>
        <v>17.25</v>
      </c>
      <c r="N368" s="1151"/>
      <c r="O368" s="462"/>
      <c r="P368" s="462"/>
      <c r="Q368" s="462"/>
      <c r="R368" s="462"/>
      <c r="S368" s="462"/>
      <c r="T368" s="1113"/>
      <c r="U368" s="1113"/>
      <c r="V368" s="1113"/>
    </row>
    <row r="369" spans="1:22" ht="15.75" customHeight="1">
      <c r="A369" s="484"/>
      <c r="B369" s="417"/>
      <c r="C369" s="330"/>
      <c r="D369" s="330"/>
      <c r="E369" s="330"/>
      <c r="F369" s="330"/>
      <c r="G369" s="330"/>
      <c r="H369" s="330"/>
      <c r="I369" s="330"/>
      <c r="J369" s="330"/>
      <c r="K369" s="330"/>
      <c r="L369" s="330"/>
      <c r="M369" s="330">
        <f>SUM(M362:M368)</f>
        <v>229.5</v>
      </c>
      <c r="N369" s="1151" t="s">
        <v>89</v>
      </c>
      <c r="O369" s="462"/>
      <c r="P369" s="1126"/>
      <c r="Q369" s="462"/>
      <c r="R369" s="462"/>
      <c r="S369" s="462"/>
      <c r="T369" s="1113"/>
      <c r="U369" s="1113"/>
      <c r="V369" s="1113"/>
    </row>
    <row r="370" spans="1:22" ht="15.75" customHeight="1">
      <c r="A370" s="484">
        <f>A361+1</f>
        <v>9</v>
      </c>
      <c r="B370" s="417" t="s">
        <v>1568</v>
      </c>
      <c r="C370" s="330" t="s">
        <v>1569</v>
      </c>
      <c r="D370" s="330"/>
      <c r="E370" s="330"/>
      <c r="F370" s="330"/>
      <c r="G370" s="330"/>
      <c r="H370" s="330"/>
      <c r="I370" s="330"/>
      <c r="J370" s="330"/>
      <c r="K370" s="330"/>
      <c r="L370" s="330"/>
      <c r="M370" s="330">
        <f>M323</f>
        <v>296.67750000000007</v>
      </c>
      <c r="N370" s="1151" t="s">
        <v>89</v>
      </c>
      <c r="O370" s="462"/>
      <c r="P370" s="1126"/>
      <c r="Q370" s="462"/>
      <c r="R370" s="462"/>
      <c r="S370" s="462"/>
      <c r="T370" s="1113"/>
      <c r="U370" s="1113"/>
      <c r="V370" s="1113"/>
    </row>
    <row r="371" spans="1:22" ht="15.75" customHeight="1">
      <c r="A371" s="484">
        <f>A370+1</f>
        <v>10</v>
      </c>
      <c r="B371" s="417" t="s">
        <v>581</v>
      </c>
      <c r="C371" s="330" t="s">
        <v>1570</v>
      </c>
      <c r="D371" s="330"/>
      <c r="E371" s="330"/>
      <c r="F371" s="330"/>
      <c r="G371" s="330"/>
      <c r="H371" s="330"/>
      <c r="I371" s="330"/>
      <c r="J371" s="330"/>
      <c r="K371" s="330"/>
      <c r="L371" s="330"/>
      <c r="M371" s="330">
        <f>M369</f>
        <v>229.5</v>
      </c>
      <c r="N371" s="1151" t="s">
        <v>89</v>
      </c>
      <c r="O371" s="462"/>
      <c r="P371" s="1126"/>
      <c r="Q371" s="462"/>
      <c r="R371" s="462"/>
      <c r="S371" s="462"/>
      <c r="T371" s="1113"/>
      <c r="U371" s="1113"/>
      <c r="V371" s="1113"/>
    </row>
    <row r="372" spans="1:22" ht="15.75" customHeight="1">
      <c r="A372" s="484">
        <f>A371+1</f>
        <v>11</v>
      </c>
      <c r="B372" s="417" t="s">
        <v>914</v>
      </c>
      <c r="C372" s="330" t="s">
        <v>1290</v>
      </c>
      <c r="D372" s="330"/>
      <c r="E372" s="330"/>
      <c r="F372" s="330"/>
      <c r="G372" s="330"/>
      <c r="H372" s="330"/>
      <c r="I372" s="330"/>
      <c r="J372" s="330"/>
      <c r="K372" s="330"/>
      <c r="L372" s="330"/>
      <c r="M372" s="330">
        <f>(M414)*0.3</f>
        <v>22.425000000000001</v>
      </c>
      <c r="N372" s="1151" t="s">
        <v>89</v>
      </c>
      <c r="O372" s="462"/>
      <c r="P372" s="1126"/>
      <c r="Q372" s="462"/>
      <c r="R372" s="462"/>
      <c r="S372" s="462"/>
      <c r="T372" s="1113"/>
      <c r="U372" s="1113"/>
      <c r="V372" s="1113"/>
    </row>
    <row r="373" spans="1:22" ht="15.75" customHeight="1">
      <c r="A373" s="484">
        <f>A372+1</f>
        <v>12</v>
      </c>
      <c r="B373" s="417" t="s">
        <v>437</v>
      </c>
      <c r="C373" s="330"/>
      <c r="D373" s="330"/>
      <c r="E373" s="330"/>
      <c r="F373" s="330"/>
      <c r="G373" s="330"/>
      <c r="H373" s="330"/>
      <c r="I373" s="330"/>
      <c r="J373" s="330"/>
      <c r="K373" s="330"/>
      <c r="L373" s="330"/>
      <c r="M373" s="330"/>
      <c r="N373" s="1151"/>
      <c r="O373" s="462"/>
      <c r="P373" s="1126"/>
      <c r="Q373" s="462"/>
      <c r="R373" s="462"/>
      <c r="S373" s="462"/>
      <c r="T373" s="1113"/>
      <c r="U373" s="1113"/>
      <c r="V373" s="1113"/>
    </row>
    <row r="374" spans="1:22" ht="15.75" customHeight="1">
      <c r="A374" s="1153" t="s">
        <v>95</v>
      </c>
      <c r="B374" s="417" t="s">
        <v>438</v>
      </c>
      <c r="C374" s="330"/>
      <c r="D374" s="330"/>
      <c r="E374" s="330"/>
      <c r="F374" s="330"/>
      <c r="G374" s="330"/>
      <c r="H374" s="330"/>
      <c r="I374" s="330"/>
      <c r="J374" s="330"/>
      <c r="K374" s="330"/>
      <c r="L374" s="330"/>
      <c r="M374" s="330"/>
      <c r="N374" s="1151"/>
      <c r="O374" s="462"/>
      <c r="P374" s="1126"/>
      <c r="Q374" s="462"/>
      <c r="R374" s="462"/>
      <c r="S374" s="462"/>
      <c r="T374" s="1113"/>
      <c r="U374" s="1113"/>
      <c r="V374" s="1113"/>
    </row>
    <row r="375" spans="1:22" ht="15.75" customHeight="1">
      <c r="A375" s="1153"/>
      <c r="B375" s="803" t="s">
        <v>1020</v>
      </c>
      <c r="C375" s="330">
        <v>5</v>
      </c>
      <c r="D375" s="330"/>
      <c r="E375" s="330">
        <v>0.15</v>
      </c>
      <c r="F375" s="330"/>
      <c r="G375" s="330"/>
      <c r="H375" s="330"/>
      <c r="I375" s="330"/>
      <c r="J375" s="330"/>
      <c r="K375" s="330"/>
      <c r="L375" s="330"/>
      <c r="M375" s="330">
        <f>C375*E375</f>
        <v>0.75</v>
      </c>
      <c r="N375" s="1151"/>
      <c r="O375" s="462"/>
      <c r="P375" s="1126"/>
      <c r="Q375" s="462"/>
      <c r="R375" s="462"/>
      <c r="S375" s="462"/>
      <c r="T375" s="1113"/>
      <c r="U375" s="1113"/>
      <c r="V375" s="1113"/>
    </row>
    <row r="376" spans="1:22" ht="15.75" customHeight="1">
      <c r="A376" s="1153"/>
      <c r="B376" s="803" t="s">
        <v>1021</v>
      </c>
      <c r="C376" s="330">
        <f>C375</f>
        <v>5</v>
      </c>
      <c r="D376" s="330"/>
      <c r="E376" s="330">
        <v>0.15</v>
      </c>
      <c r="F376" s="330"/>
      <c r="G376" s="330"/>
      <c r="H376" s="330"/>
      <c r="I376" s="330"/>
      <c r="J376" s="330"/>
      <c r="K376" s="330"/>
      <c r="L376" s="330"/>
      <c r="M376" s="330">
        <f>C376*E376</f>
        <v>0.75</v>
      </c>
      <c r="N376" s="1151"/>
      <c r="O376" s="462"/>
      <c r="P376" s="1126"/>
      <c r="Q376" s="462"/>
      <c r="R376" s="462"/>
      <c r="S376" s="462"/>
      <c r="T376" s="1113"/>
      <c r="U376" s="1113"/>
      <c r="V376" s="1113"/>
    </row>
    <row r="377" spans="1:22" ht="15.75" customHeight="1">
      <c r="A377" s="1153"/>
      <c r="B377" s="417"/>
      <c r="C377" s="330"/>
      <c r="D377" s="330"/>
      <c r="E377" s="330"/>
      <c r="F377" s="330"/>
      <c r="G377" s="330"/>
      <c r="H377" s="330"/>
      <c r="I377" s="330"/>
      <c r="J377" s="330"/>
      <c r="K377" s="330"/>
      <c r="L377" s="330"/>
      <c r="M377" s="401">
        <f>SUM(M374:M376)</f>
        <v>1.5</v>
      </c>
      <c r="N377" s="1151" t="s">
        <v>89</v>
      </c>
      <c r="O377" s="462"/>
      <c r="P377" s="1126"/>
      <c r="Q377" s="462"/>
      <c r="R377" s="462"/>
      <c r="S377" s="462"/>
      <c r="T377" s="1113"/>
      <c r="U377" s="1113"/>
      <c r="V377" s="1113"/>
    </row>
    <row r="378" spans="1:22" ht="15.75" customHeight="1">
      <c r="A378" s="1153" t="s">
        <v>98</v>
      </c>
      <c r="B378" s="417" t="s">
        <v>439</v>
      </c>
      <c r="C378" s="330"/>
      <c r="D378" s="330"/>
      <c r="E378" s="330"/>
      <c r="F378" s="330"/>
      <c r="G378" s="330"/>
      <c r="H378" s="330"/>
      <c r="I378" s="330"/>
      <c r="J378" s="330"/>
      <c r="K378" s="330"/>
      <c r="L378" s="330"/>
      <c r="M378" s="330"/>
      <c r="N378" s="1151"/>
      <c r="O378" s="462"/>
      <c r="P378" s="1126"/>
      <c r="Q378" s="462"/>
      <c r="R378" s="462"/>
      <c r="S378" s="462"/>
      <c r="T378" s="1113"/>
      <c r="U378" s="1113"/>
      <c r="V378" s="1113"/>
    </row>
    <row r="379" spans="1:22" ht="15.75" customHeight="1">
      <c r="A379" s="1153"/>
      <c r="B379" s="803" t="s">
        <v>1020</v>
      </c>
      <c r="C379" s="330">
        <f>C375</f>
        <v>5</v>
      </c>
      <c r="D379" s="330"/>
      <c r="E379" s="330">
        <f>0.15+E375</f>
        <v>0.3</v>
      </c>
      <c r="F379" s="330"/>
      <c r="G379" s="330"/>
      <c r="H379" s="330"/>
      <c r="I379" s="330"/>
      <c r="J379" s="330"/>
      <c r="K379" s="330"/>
      <c r="L379" s="330"/>
      <c r="M379" s="330">
        <f>C379*E379</f>
        <v>1.5</v>
      </c>
      <c r="N379" s="1151"/>
      <c r="O379" s="462"/>
      <c r="P379" s="1126"/>
      <c r="Q379" s="462"/>
      <c r="R379" s="462"/>
      <c r="S379" s="462"/>
      <c r="T379" s="1113"/>
      <c r="U379" s="1113"/>
      <c r="V379" s="1113"/>
    </row>
    <row r="380" spans="1:22" ht="15.75" customHeight="1">
      <c r="A380" s="1153"/>
      <c r="B380" s="803" t="s">
        <v>1021</v>
      </c>
      <c r="C380" s="330">
        <f>C376</f>
        <v>5</v>
      </c>
      <c r="D380" s="330"/>
      <c r="E380" s="330">
        <f>0.3+E376</f>
        <v>0.44999999999999996</v>
      </c>
      <c r="F380" s="330"/>
      <c r="G380" s="330"/>
      <c r="H380" s="330"/>
      <c r="I380" s="330"/>
      <c r="J380" s="330"/>
      <c r="K380" s="330"/>
      <c r="L380" s="330"/>
      <c r="M380" s="330">
        <f>C380*E380</f>
        <v>2.25</v>
      </c>
      <c r="N380" s="1151"/>
      <c r="O380" s="462"/>
      <c r="P380" s="1126"/>
      <c r="Q380" s="462"/>
      <c r="R380" s="462"/>
      <c r="S380" s="462"/>
      <c r="T380" s="1113"/>
      <c r="U380" s="1113"/>
      <c r="V380" s="1113"/>
    </row>
    <row r="381" spans="1:22" ht="15.75" customHeight="1">
      <c r="A381" s="1153"/>
      <c r="B381" s="417"/>
      <c r="C381" s="330"/>
      <c r="D381" s="330"/>
      <c r="E381" s="330"/>
      <c r="F381" s="330"/>
      <c r="G381" s="330"/>
      <c r="H381" s="330"/>
      <c r="I381" s="330"/>
      <c r="J381" s="330"/>
      <c r="K381" s="330"/>
      <c r="L381" s="330"/>
      <c r="M381" s="401">
        <f>SUM(M378:M380)</f>
        <v>3.75</v>
      </c>
      <c r="N381" s="1151" t="s">
        <v>89</v>
      </c>
      <c r="O381" s="462"/>
      <c r="P381" s="1126"/>
      <c r="Q381" s="462"/>
      <c r="R381" s="462"/>
      <c r="S381" s="462"/>
      <c r="T381" s="1113"/>
      <c r="U381" s="1113"/>
      <c r="V381" s="1113"/>
    </row>
    <row r="382" spans="1:22" ht="15.75" customHeight="1">
      <c r="A382" s="1153" t="s">
        <v>101</v>
      </c>
      <c r="B382" s="417" t="s">
        <v>916</v>
      </c>
      <c r="C382" s="330"/>
      <c r="D382" s="330"/>
      <c r="E382" s="330"/>
      <c r="F382" s="330"/>
      <c r="G382" s="330"/>
      <c r="H382" s="330"/>
      <c r="I382" s="330"/>
      <c r="J382" s="330"/>
      <c r="K382" s="330"/>
      <c r="L382" s="330"/>
      <c r="M382" s="330"/>
      <c r="N382" s="1151"/>
      <c r="O382" s="462"/>
      <c r="P382" s="1126"/>
      <c r="Q382" s="462"/>
      <c r="R382" s="462"/>
      <c r="S382" s="462"/>
      <c r="T382" s="1113"/>
      <c r="U382" s="1113"/>
      <c r="V382" s="1113"/>
    </row>
    <row r="383" spans="1:22" ht="15.75" customHeight="1">
      <c r="A383" s="1153"/>
      <c r="B383" s="803" t="s">
        <v>1020</v>
      </c>
      <c r="C383" s="330">
        <f>C379</f>
        <v>5</v>
      </c>
      <c r="D383" s="330">
        <v>0.3</v>
      </c>
      <c r="E383" s="330">
        <v>0.05</v>
      </c>
      <c r="F383" s="330"/>
      <c r="G383" s="330"/>
      <c r="H383" s="330"/>
      <c r="I383" s="330"/>
      <c r="J383" s="330"/>
      <c r="K383" s="330"/>
      <c r="L383" s="330"/>
      <c r="M383" s="330">
        <f>C383*D383*E383</f>
        <v>7.5000000000000011E-2</v>
      </c>
      <c r="N383" s="1151" t="s">
        <v>103</v>
      </c>
      <c r="O383" s="462"/>
      <c r="P383" s="1126"/>
      <c r="Q383" s="462"/>
      <c r="R383" s="462"/>
      <c r="S383" s="462"/>
      <c r="T383" s="1113"/>
      <c r="U383" s="1113"/>
      <c r="V383" s="1113"/>
    </row>
    <row r="384" spans="1:22" ht="15.75" customHeight="1">
      <c r="A384" s="1153" t="s">
        <v>121</v>
      </c>
      <c r="B384" s="417" t="s">
        <v>917</v>
      </c>
      <c r="C384" s="330"/>
      <c r="D384" s="330"/>
      <c r="E384" s="330"/>
      <c r="F384" s="330"/>
      <c r="G384" s="330"/>
      <c r="H384" s="330"/>
      <c r="I384" s="330"/>
      <c r="J384" s="330"/>
      <c r="K384" s="330"/>
      <c r="L384" s="330"/>
      <c r="M384" s="330"/>
      <c r="N384" s="1151"/>
      <c r="O384" s="462"/>
      <c r="P384" s="1126"/>
      <c r="Q384" s="462"/>
      <c r="R384" s="462"/>
      <c r="S384" s="462"/>
      <c r="T384" s="1113"/>
      <c r="U384" s="1113"/>
      <c r="V384" s="1113"/>
    </row>
    <row r="385" spans="1:23" ht="15.75" customHeight="1">
      <c r="A385" s="1153"/>
      <c r="B385" s="803" t="s">
        <v>1020</v>
      </c>
      <c r="C385" s="330">
        <f>C383</f>
        <v>5</v>
      </c>
      <c r="D385" s="330">
        <v>0.3</v>
      </c>
      <c r="E385" s="330">
        <v>0.05</v>
      </c>
      <c r="F385" s="330"/>
      <c r="G385" s="330"/>
      <c r="H385" s="330"/>
      <c r="I385" s="330"/>
      <c r="J385" s="330"/>
      <c r="K385" s="330"/>
      <c r="L385" s="330"/>
      <c r="M385" s="330">
        <f>C385*D385*E385</f>
        <v>7.5000000000000011E-2</v>
      </c>
      <c r="N385" s="1151" t="s">
        <v>103</v>
      </c>
      <c r="O385" s="462"/>
      <c r="P385" s="1126"/>
      <c r="Q385" s="462"/>
      <c r="R385" s="462"/>
      <c r="S385" s="462"/>
      <c r="T385" s="1113"/>
      <c r="U385" s="1113"/>
      <c r="V385" s="1113"/>
    </row>
    <row r="386" spans="1:23" ht="15.75" customHeight="1">
      <c r="A386" s="1153" t="s">
        <v>142</v>
      </c>
      <c r="B386" s="417" t="s">
        <v>912</v>
      </c>
      <c r="C386" s="330"/>
      <c r="D386" s="330"/>
      <c r="E386" s="330"/>
      <c r="F386" s="330"/>
      <c r="G386" s="330"/>
      <c r="H386" s="330"/>
      <c r="I386" s="330"/>
      <c r="J386" s="330"/>
      <c r="K386" s="330"/>
      <c r="L386" s="330"/>
      <c r="M386" s="330"/>
      <c r="N386" s="1151"/>
      <c r="O386" s="462"/>
      <c r="P386" s="1126"/>
      <c r="Q386" s="462"/>
      <c r="R386" s="462"/>
      <c r="S386" s="462"/>
      <c r="T386" s="1113"/>
      <c r="U386" s="1113"/>
      <c r="V386" s="1113"/>
    </row>
    <row r="387" spans="1:23" ht="15.75" customHeight="1">
      <c r="A387" s="484"/>
      <c r="B387" s="417"/>
      <c r="C387" s="330">
        <f>C385</f>
        <v>5</v>
      </c>
      <c r="D387" s="330">
        <f>D385</f>
        <v>0.3</v>
      </c>
      <c r="E387" s="330"/>
      <c r="F387" s="330"/>
      <c r="G387" s="330"/>
      <c r="H387" s="330"/>
      <c r="I387" s="330"/>
      <c r="J387" s="330"/>
      <c r="K387" s="330"/>
      <c r="L387" s="330"/>
      <c r="M387" s="401">
        <f>C387*D387</f>
        <v>1.5</v>
      </c>
      <c r="N387" s="1151" t="s">
        <v>89</v>
      </c>
      <c r="O387" s="462"/>
      <c r="P387" s="1126"/>
      <c r="Q387" s="462"/>
      <c r="R387" s="462"/>
      <c r="S387" s="462"/>
      <c r="T387" s="1113"/>
      <c r="U387" s="1113"/>
      <c r="V387" s="1113"/>
    </row>
    <row r="388" spans="1:23" s="554" customFormat="1" ht="15.75" customHeight="1">
      <c r="A388" s="350">
        <f>A373+1</f>
        <v>13</v>
      </c>
      <c r="B388" s="591" t="s">
        <v>443</v>
      </c>
      <c r="C388" s="348"/>
      <c r="D388" s="348"/>
      <c r="E388" s="348"/>
      <c r="F388" s="348"/>
      <c r="G388" s="348"/>
      <c r="H388" s="348"/>
      <c r="I388" s="348"/>
      <c r="J388" s="348"/>
      <c r="K388" s="348"/>
      <c r="L388" s="348"/>
      <c r="M388" s="343"/>
      <c r="N388" s="349"/>
      <c r="O388" s="784"/>
      <c r="P388" s="398"/>
      <c r="Q388" s="564"/>
      <c r="R388" s="398"/>
      <c r="S388" s="398"/>
      <c r="T388" s="398"/>
      <c r="U388" s="555"/>
      <c r="V388" s="555"/>
      <c r="W388" s="555"/>
    </row>
    <row r="389" spans="1:23" s="554" customFormat="1" ht="37.5" customHeight="1">
      <c r="A389" s="355" t="s">
        <v>95</v>
      </c>
      <c r="B389" s="593" t="s">
        <v>537</v>
      </c>
      <c r="C389" s="348">
        <v>15.845000000000001</v>
      </c>
      <c r="D389" s="493"/>
      <c r="E389" s="348"/>
      <c r="F389" s="348">
        <v>21</v>
      </c>
      <c r="G389" s="348"/>
      <c r="H389" s="348">
        <v>1</v>
      </c>
      <c r="I389" s="348"/>
      <c r="J389" s="348"/>
      <c r="K389" s="348"/>
      <c r="L389" s="348">
        <v>1</v>
      </c>
      <c r="M389" s="343">
        <f>L389*F389*C389*H389</f>
        <v>332.745</v>
      </c>
      <c r="N389" s="349" t="s">
        <v>89</v>
      </c>
      <c r="O389" s="784"/>
      <c r="P389" s="398"/>
      <c r="Q389" s="564"/>
      <c r="R389" s="398"/>
      <c r="S389" s="398"/>
      <c r="T389" s="398"/>
      <c r="U389" s="555"/>
      <c r="V389" s="555"/>
      <c r="W389" s="555"/>
    </row>
    <row r="390" spans="1:23" s="554" customFormat="1" ht="28.5" customHeight="1">
      <c r="A390" s="355" t="s">
        <v>98</v>
      </c>
      <c r="B390" s="593" t="s">
        <v>538</v>
      </c>
      <c r="C390" s="348">
        <v>17.649999999999999</v>
      </c>
      <c r="D390" s="493"/>
      <c r="E390" s="348"/>
      <c r="F390" s="348">
        <f>ROUNDUP((D394/0.5),0)</f>
        <v>15</v>
      </c>
      <c r="G390" s="348"/>
      <c r="H390" s="348">
        <v>2</v>
      </c>
      <c r="I390" s="348"/>
      <c r="J390" s="348"/>
      <c r="K390" s="348"/>
      <c r="L390" s="348"/>
      <c r="M390" s="343">
        <f>H390*F390*C390</f>
        <v>529.5</v>
      </c>
      <c r="N390" s="349" t="s">
        <v>1178</v>
      </c>
      <c r="O390" s="784"/>
      <c r="P390" s="398"/>
      <c r="Q390" s="564"/>
      <c r="R390" s="398"/>
      <c r="S390" s="398"/>
      <c r="T390" s="398"/>
      <c r="U390" s="555"/>
      <c r="V390" s="555"/>
      <c r="W390" s="555"/>
    </row>
    <row r="391" spans="1:23" s="554" customFormat="1" ht="15.75" customHeight="1">
      <c r="A391" s="355" t="s">
        <v>101</v>
      </c>
      <c r="B391" s="351" t="s">
        <v>823</v>
      </c>
      <c r="C391" s="348"/>
      <c r="D391" s="352"/>
      <c r="E391" s="348"/>
      <c r="F391" s="348"/>
      <c r="G391" s="348"/>
      <c r="H391" s="348"/>
      <c r="I391" s="348"/>
      <c r="J391" s="348"/>
      <c r="K391" s="348"/>
      <c r="L391" s="348"/>
      <c r="M391" s="565">
        <f>SUM(M392:M393)</f>
        <v>168</v>
      </c>
      <c r="N391" s="349" t="s">
        <v>824</v>
      </c>
      <c r="O391" s="784"/>
      <c r="P391" s="398"/>
      <c r="Q391" s="564"/>
      <c r="R391" s="398"/>
      <c r="S391" s="398"/>
      <c r="T391" s="398"/>
      <c r="U391" s="555"/>
      <c r="V391" s="555"/>
      <c r="W391" s="555"/>
    </row>
    <row r="392" spans="1:23" s="554" customFormat="1" ht="15.75" customHeight="1">
      <c r="A392" s="355"/>
      <c r="B392" s="589" t="s">
        <v>1024</v>
      </c>
      <c r="C392" s="348"/>
      <c r="D392" s="352"/>
      <c r="E392" s="348"/>
      <c r="F392" s="348">
        <v>2</v>
      </c>
      <c r="G392" s="348">
        <v>2</v>
      </c>
      <c r="H392" s="348">
        <v>2</v>
      </c>
      <c r="I392" s="348"/>
      <c r="J392" s="348"/>
      <c r="K392" s="348"/>
      <c r="L392" s="348">
        <f>F389</f>
        <v>21</v>
      </c>
      <c r="M392" s="343">
        <f>L392*H392*G392*F392</f>
        <v>168</v>
      </c>
      <c r="N392" s="349" t="s">
        <v>824</v>
      </c>
      <c r="O392" s="784"/>
      <c r="P392" s="398"/>
      <c r="Q392" s="564"/>
      <c r="R392" s="398"/>
      <c r="S392" s="398"/>
      <c r="T392" s="398"/>
      <c r="U392" s="555"/>
      <c r="V392" s="555"/>
      <c r="W392" s="555"/>
    </row>
    <row r="393" spans="1:23" s="554" customFormat="1" ht="15.75" customHeight="1">
      <c r="A393" s="355"/>
      <c r="B393" s="589" t="s">
        <v>1025</v>
      </c>
      <c r="C393" s="348"/>
      <c r="D393" s="352"/>
      <c r="E393" s="348"/>
      <c r="F393" s="348">
        <v>2</v>
      </c>
      <c r="G393" s="348">
        <v>5</v>
      </c>
      <c r="H393" s="348">
        <v>1</v>
      </c>
      <c r="I393" s="348"/>
      <c r="J393" s="348"/>
      <c r="K393" s="348"/>
      <c r="L393" s="348">
        <v>0</v>
      </c>
      <c r="M393" s="343">
        <f>L393*H393*G393*F393</f>
        <v>0</v>
      </c>
      <c r="N393" s="349" t="s">
        <v>824</v>
      </c>
      <c r="O393" s="784"/>
      <c r="P393" s="398"/>
      <c r="Q393" s="564"/>
      <c r="R393" s="398"/>
      <c r="S393" s="398"/>
      <c r="T393" s="398"/>
      <c r="U393" s="555"/>
      <c r="V393" s="555"/>
      <c r="W393" s="555"/>
    </row>
    <row r="394" spans="1:23" s="554" customFormat="1" ht="15.75" customHeight="1">
      <c r="A394" s="355" t="s">
        <v>121</v>
      </c>
      <c r="B394" s="351" t="s">
        <v>1179</v>
      </c>
      <c r="C394" s="348">
        <f>C390</f>
        <v>17.649999999999999</v>
      </c>
      <c r="D394" s="352">
        <v>7.0469999999999997</v>
      </c>
      <c r="E394" s="348"/>
      <c r="F394" s="348"/>
      <c r="G394" s="348"/>
      <c r="H394" s="348"/>
      <c r="I394" s="348"/>
      <c r="J394" s="348"/>
      <c r="K394" s="348"/>
      <c r="L394" s="348">
        <v>2</v>
      </c>
      <c r="M394" s="343">
        <f>L394*D394*C394</f>
        <v>248.75909999999996</v>
      </c>
      <c r="N394" s="349" t="s">
        <v>89</v>
      </c>
      <c r="O394" s="784"/>
      <c r="P394" s="398"/>
      <c r="Q394" s="564"/>
      <c r="R394" s="398"/>
      <c r="S394" s="398"/>
      <c r="T394" s="398"/>
      <c r="U394" s="555"/>
      <c r="V394" s="555"/>
      <c r="W394" s="555"/>
    </row>
    <row r="395" spans="1:23" s="554" customFormat="1" ht="15.75" customHeight="1">
      <c r="A395" s="355" t="s">
        <v>142</v>
      </c>
      <c r="B395" s="351" t="s">
        <v>1180</v>
      </c>
      <c r="C395" s="348">
        <f>C394</f>
        <v>17.649999999999999</v>
      </c>
      <c r="D395" s="352"/>
      <c r="E395" s="348"/>
      <c r="F395" s="348"/>
      <c r="G395" s="348"/>
      <c r="H395" s="348"/>
      <c r="I395" s="348"/>
      <c r="J395" s="348"/>
      <c r="K395" s="348"/>
      <c r="L395" s="348"/>
      <c r="M395" s="343">
        <f>C395</f>
        <v>17.649999999999999</v>
      </c>
      <c r="N395" s="349" t="s">
        <v>1178</v>
      </c>
      <c r="O395" s="784"/>
      <c r="P395" s="398"/>
      <c r="Q395" s="564"/>
      <c r="R395" s="398"/>
      <c r="S395" s="398"/>
      <c r="T395" s="398"/>
      <c r="U395" s="555"/>
      <c r="V395" s="555"/>
      <c r="W395" s="555"/>
    </row>
    <row r="396" spans="1:23" ht="15.75" customHeight="1">
      <c r="A396" s="484">
        <f>A388+1</f>
        <v>14</v>
      </c>
      <c r="B396" s="1156" t="s">
        <v>1395</v>
      </c>
      <c r="C396" s="330"/>
      <c r="D396" s="330"/>
      <c r="E396" s="330"/>
      <c r="F396" s="330"/>
      <c r="G396" s="330"/>
      <c r="H396" s="330"/>
      <c r="I396" s="330"/>
      <c r="J396" s="330"/>
      <c r="K396" s="330"/>
      <c r="L396" s="330"/>
      <c r="M396" s="330"/>
      <c r="N396" s="1151"/>
      <c r="O396" s="462"/>
      <c r="P396" s="1126"/>
      <c r="Q396" s="462"/>
      <c r="R396" s="462"/>
      <c r="S396" s="462"/>
      <c r="T396" s="1113"/>
      <c r="U396" s="1113"/>
      <c r="V396" s="1113"/>
    </row>
    <row r="397" spans="1:23" ht="15.75" customHeight="1">
      <c r="A397" s="1153"/>
      <c r="B397" s="803" t="s">
        <v>1571</v>
      </c>
      <c r="C397" s="330">
        <f>16+(0.75*2)</f>
        <v>17.5</v>
      </c>
      <c r="D397" s="330">
        <f>10+(0.75*2)</f>
        <v>11.5</v>
      </c>
      <c r="E397" s="330"/>
      <c r="F397" s="330"/>
      <c r="G397" s="330"/>
      <c r="H397" s="330"/>
      <c r="I397" s="330"/>
      <c r="J397" s="330"/>
      <c r="K397" s="330"/>
      <c r="L397" s="330"/>
      <c r="M397" s="330">
        <f>C397*D397</f>
        <v>201.25</v>
      </c>
      <c r="N397" s="1151"/>
      <c r="O397" s="462"/>
      <c r="P397" s="1126"/>
      <c r="Q397" s="462"/>
      <c r="R397" s="462"/>
      <c r="S397" s="462"/>
      <c r="T397" s="1113"/>
      <c r="U397" s="1113"/>
      <c r="V397" s="1113"/>
    </row>
    <row r="398" spans="1:23" ht="15.75" customHeight="1">
      <c r="A398" s="1153"/>
      <c r="B398" s="803" t="s">
        <v>1572</v>
      </c>
      <c r="C398" s="330">
        <f>4+(0.75*2)</f>
        <v>5.5</v>
      </c>
      <c r="D398" s="330">
        <f>5+0.75</f>
        <v>5.75</v>
      </c>
      <c r="E398" s="330"/>
      <c r="F398" s="330"/>
      <c r="G398" s="330"/>
      <c r="H398" s="330"/>
      <c r="I398" s="330"/>
      <c r="J398" s="330"/>
      <c r="K398" s="330"/>
      <c r="L398" s="330"/>
      <c r="M398" s="330">
        <f>C398*D398</f>
        <v>31.625</v>
      </c>
      <c r="N398" s="1151"/>
      <c r="O398" s="462"/>
      <c r="P398" s="1126"/>
      <c r="Q398" s="462"/>
      <c r="R398" s="462"/>
      <c r="S398" s="462"/>
      <c r="T398" s="1113"/>
      <c r="U398" s="1113"/>
      <c r="V398" s="1113"/>
    </row>
    <row r="399" spans="1:23" ht="15.75" customHeight="1">
      <c r="A399" s="1153"/>
      <c r="B399" s="803"/>
      <c r="C399" s="330"/>
      <c r="D399" s="330"/>
      <c r="E399" s="330"/>
      <c r="F399" s="330"/>
      <c r="G399" s="330"/>
      <c r="H399" s="330"/>
      <c r="I399" s="330"/>
      <c r="J399" s="330"/>
      <c r="K399" s="330"/>
      <c r="L399" s="330"/>
      <c r="M399" s="330">
        <f>SUM(M397:M398)</f>
        <v>232.875</v>
      </c>
      <c r="N399" s="1151" t="s">
        <v>89</v>
      </c>
      <c r="O399" s="462"/>
      <c r="P399" s="1126"/>
      <c r="Q399" s="462"/>
      <c r="R399" s="462"/>
      <c r="S399" s="462"/>
      <c r="T399" s="1113"/>
      <c r="U399" s="1113"/>
      <c r="V399" s="1113"/>
    </row>
    <row r="400" spans="1:23" ht="15.75" customHeight="1">
      <c r="A400" s="484">
        <f>A396+1</f>
        <v>15</v>
      </c>
      <c r="B400" s="409" t="s">
        <v>1573</v>
      </c>
      <c r="C400" s="330"/>
      <c r="D400" s="330"/>
      <c r="E400" s="330"/>
      <c r="F400" s="330"/>
      <c r="G400" s="330"/>
      <c r="H400" s="330"/>
      <c r="I400" s="330"/>
      <c r="J400" s="330"/>
      <c r="K400" s="330"/>
      <c r="L400" s="330"/>
      <c r="M400" s="330"/>
      <c r="N400" s="1151"/>
      <c r="O400" s="462"/>
      <c r="P400" s="1126"/>
      <c r="Q400" s="462"/>
      <c r="R400" s="462"/>
      <c r="S400" s="462"/>
      <c r="T400" s="1113"/>
      <c r="U400" s="1113"/>
      <c r="V400" s="1113"/>
    </row>
    <row r="401" spans="1:22" ht="15.75" customHeight="1">
      <c r="A401" s="1153"/>
      <c r="B401" s="803" t="s">
        <v>1571</v>
      </c>
      <c r="C401" s="330"/>
      <c r="D401" s="330"/>
      <c r="E401" s="330"/>
      <c r="F401" s="330"/>
      <c r="G401" s="330"/>
      <c r="H401" s="330"/>
      <c r="I401" s="330"/>
      <c r="J401" s="330"/>
      <c r="K401" s="330"/>
      <c r="L401" s="330"/>
      <c r="M401" s="330">
        <f>M397</f>
        <v>201.25</v>
      </c>
      <c r="N401" s="1151"/>
      <c r="O401" s="462"/>
      <c r="P401" s="1126"/>
      <c r="Q401" s="462"/>
      <c r="R401" s="462"/>
      <c r="S401" s="462"/>
      <c r="T401" s="1113"/>
      <c r="U401" s="1113"/>
      <c r="V401" s="1113"/>
    </row>
    <row r="402" spans="1:22" ht="15.75" customHeight="1">
      <c r="A402" s="1153"/>
      <c r="B402" s="803" t="s">
        <v>1572</v>
      </c>
      <c r="C402" s="330"/>
      <c r="D402" s="330"/>
      <c r="E402" s="330"/>
      <c r="F402" s="330"/>
      <c r="G402" s="330"/>
      <c r="H402" s="330"/>
      <c r="I402" s="330"/>
      <c r="J402" s="330"/>
      <c r="K402" s="330"/>
      <c r="L402" s="330"/>
      <c r="M402" s="330">
        <f>M398</f>
        <v>31.625</v>
      </c>
      <c r="N402" s="1151"/>
      <c r="O402" s="462"/>
      <c r="P402" s="1126"/>
      <c r="Q402" s="462"/>
      <c r="R402" s="462"/>
      <c r="S402" s="462"/>
      <c r="T402" s="1113"/>
      <c r="U402" s="1113"/>
      <c r="V402" s="1113"/>
    </row>
    <row r="403" spans="1:22" ht="15.75" customHeight="1">
      <c r="A403" s="1153"/>
      <c r="B403" s="803"/>
      <c r="C403" s="330"/>
      <c r="D403" s="330"/>
      <c r="E403" s="330"/>
      <c r="F403" s="330"/>
      <c r="G403" s="330"/>
      <c r="H403" s="330"/>
      <c r="I403" s="330"/>
      <c r="J403" s="330"/>
      <c r="K403" s="330"/>
      <c r="L403" s="330"/>
      <c r="M403" s="330">
        <f>SUM(M401:M402)</f>
        <v>232.875</v>
      </c>
      <c r="N403" s="1151" t="s">
        <v>89</v>
      </c>
      <c r="O403" s="462"/>
      <c r="P403" s="1126"/>
      <c r="Q403" s="462"/>
      <c r="R403" s="462"/>
      <c r="S403" s="462"/>
      <c r="T403" s="1113"/>
      <c r="U403" s="1113"/>
      <c r="V403" s="1113"/>
    </row>
    <row r="404" spans="1:22" ht="15.75" customHeight="1">
      <c r="A404" s="484">
        <f>A400+1</f>
        <v>16</v>
      </c>
      <c r="B404" s="1157" t="s">
        <v>1574</v>
      </c>
      <c r="C404" s="330"/>
      <c r="D404" s="330"/>
      <c r="E404" s="330"/>
      <c r="F404" s="330"/>
      <c r="G404" s="330"/>
      <c r="H404" s="330"/>
      <c r="I404" s="330"/>
      <c r="J404" s="330"/>
      <c r="K404" s="330"/>
      <c r="L404" s="330"/>
      <c r="M404" s="330"/>
      <c r="N404" s="1151"/>
      <c r="O404" s="462"/>
      <c r="P404" s="1126"/>
      <c r="Q404" s="462"/>
      <c r="R404" s="462"/>
      <c r="S404" s="462"/>
      <c r="T404" s="1113"/>
      <c r="U404" s="1113"/>
      <c r="V404" s="1113"/>
    </row>
    <row r="405" spans="1:22" ht="15.75" customHeight="1">
      <c r="A405" s="1153"/>
      <c r="B405" s="803" t="s">
        <v>1571</v>
      </c>
      <c r="C405" s="330">
        <f>C397</f>
        <v>17.5</v>
      </c>
      <c r="D405" s="330"/>
      <c r="E405" s="330"/>
      <c r="F405" s="330"/>
      <c r="G405" s="330"/>
      <c r="H405" s="330"/>
      <c r="I405" s="330"/>
      <c r="J405" s="330"/>
      <c r="K405" s="330"/>
      <c r="L405" s="330"/>
      <c r="M405" s="330">
        <f>C405</f>
        <v>17.5</v>
      </c>
      <c r="N405" s="1151"/>
      <c r="O405" s="462"/>
      <c r="P405" s="1126"/>
      <c r="Q405" s="462"/>
      <c r="R405" s="462"/>
      <c r="S405" s="462"/>
      <c r="T405" s="1113"/>
      <c r="U405" s="1113"/>
      <c r="V405" s="1113"/>
    </row>
    <row r="406" spans="1:22" ht="15.75" customHeight="1">
      <c r="A406" s="1153"/>
      <c r="B406" s="803" t="s">
        <v>1572</v>
      </c>
      <c r="C406" s="330">
        <f>5*2+0.7</f>
        <v>10.7</v>
      </c>
      <c r="D406" s="330"/>
      <c r="E406" s="330"/>
      <c r="F406" s="330"/>
      <c r="G406" s="330"/>
      <c r="H406" s="330"/>
      <c r="I406" s="330"/>
      <c r="J406" s="330"/>
      <c r="K406" s="330"/>
      <c r="L406" s="330"/>
      <c r="M406" s="330">
        <f>C406</f>
        <v>10.7</v>
      </c>
      <c r="N406" s="1151"/>
      <c r="O406" s="462"/>
      <c r="P406" s="1126"/>
      <c r="Q406" s="462"/>
      <c r="R406" s="462"/>
      <c r="S406" s="462"/>
      <c r="T406" s="1113"/>
      <c r="U406" s="1113"/>
      <c r="V406" s="1113"/>
    </row>
    <row r="407" spans="1:22" ht="15.75" customHeight="1">
      <c r="A407" s="1153"/>
      <c r="B407" s="803"/>
      <c r="C407" s="330"/>
      <c r="D407" s="330"/>
      <c r="E407" s="330"/>
      <c r="F407" s="330"/>
      <c r="G407" s="330"/>
      <c r="H407" s="330"/>
      <c r="I407" s="330"/>
      <c r="J407" s="330"/>
      <c r="K407" s="330"/>
      <c r="L407" s="330"/>
      <c r="M407" s="330">
        <f>SUM(M405:M406)</f>
        <v>28.2</v>
      </c>
      <c r="N407" s="1151" t="s">
        <v>117</v>
      </c>
      <c r="O407" s="462"/>
      <c r="P407" s="1126"/>
      <c r="Q407" s="462"/>
      <c r="R407" s="462"/>
      <c r="S407" s="462"/>
      <c r="T407" s="1113"/>
      <c r="U407" s="1113"/>
      <c r="V407" s="1113"/>
    </row>
    <row r="408" spans="1:22" ht="15.75" customHeight="1">
      <c r="A408" s="484">
        <f>A404+1</f>
        <v>17</v>
      </c>
      <c r="B408" s="417" t="s">
        <v>915</v>
      </c>
      <c r="C408" s="330"/>
      <c r="D408" s="330"/>
      <c r="E408" s="330"/>
      <c r="F408" s="330"/>
      <c r="G408" s="330"/>
      <c r="H408" s="330"/>
      <c r="I408" s="330"/>
      <c r="J408" s="330"/>
      <c r="K408" s="330"/>
      <c r="L408" s="330"/>
      <c r="M408" s="330"/>
      <c r="N408" s="1151"/>
      <c r="O408" s="462"/>
      <c r="P408" s="1126"/>
      <c r="Q408" s="462"/>
      <c r="R408" s="462"/>
      <c r="S408" s="462"/>
      <c r="T408" s="1113"/>
      <c r="U408" s="1113"/>
      <c r="V408" s="1113"/>
    </row>
    <row r="409" spans="1:22" ht="15.75" customHeight="1">
      <c r="A409" s="1153"/>
      <c r="B409" s="803" t="s">
        <v>1571</v>
      </c>
      <c r="C409" s="330">
        <f>C397</f>
        <v>17.5</v>
      </c>
      <c r="D409" s="330"/>
      <c r="E409" s="330"/>
      <c r="F409" s="330"/>
      <c r="G409" s="330"/>
      <c r="H409" s="330">
        <v>2</v>
      </c>
      <c r="I409" s="330"/>
      <c r="J409" s="330"/>
      <c r="K409" s="330"/>
      <c r="L409" s="330"/>
      <c r="M409" s="330">
        <f>C409*H409</f>
        <v>35</v>
      </c>
      <c r="N409" s="1151"/>
      <c r="O409" s="462"/>
      <c r="P409" s="1126"/>
      <c r="Q409" s="462"/>
      <c r="R409" s="462"/>
      <c r="S409" s="462"/>
      <c r="T409" s="1113"/>
      <c r="U409" s="1113"/>
      <c r="V409" s="1113"/>
    </row>
    <row r="410" spans="1:22" ht="15.75" customHeight="1">
      <c r="A410" s="1153"/>
      <c r="B410" s="803"/>
      <c r="C410" s="330"/>
      <c r="D410" s="330">
        <f>D397</f>
        <v>11.5</v>
      </c>
      <c r="E410" s="330"/>
      <c r="F410" s="330"/>
      <c r="G410" s="330"/>
      <c r="H410" s="330">
        <v>2</v>
      </c>
      <c r="I410" s="330"/>
      <c r="J410" s="330"/>
      <c r="K410" s="330"/>
      <c r="L410" s="330"/>
      <c r="M410" s="330">
        <f>D410*H410</f>
        <v>23</v>
      </c>
      <c r="N410" s="1151"/>
      <c r="O410" s="462"/>
      <c r="P410" s="1126"/>
      <c r="Q410" s="462"/>
      <c r="R410" s="462"/>
      <c r="S410" s="462"/>
      <c r="T410" s="1113"/>
      <c r="U410" s="1113"/>
      <c r="V410" s="1113"/>
    </row>
    <row r="411" spans="1:22" ht="15.75" customHeight="1">
      <c r="A411" s="1153"/>
      <c r="B411" s="803" t="s">
        <v>1572</v>
      </c>
      <c r="C411" s="330"/>
      <c r="D411" s="330"/>
      <c r="E411" s="330"/>
      <c r="F411" s="330"/>
      <c r="G411" s="330"/>
      <c r="H411" s="330"/>
      <c r="I411" s="330"/>
      <c r="J411" s="330"/>
      <c r="K411" s="330"/>
      <c r="L411" s="330"/>
      <c r="M411" s="330"/>
      <c r="N411" s="1151"/>
      <c r="O411" s="462"/>
      <c r="P411" s="1126"/>
      <c r="Q411" s="462"/>
      <c r="R411" s="462"/>
      <c r="S411" s="462"/>
      <c r="T411" s="1113"/>
      <c r="U411" s="1113"/>
      <c r="V411" s="1113"/>
    </row>
    <row r="412" spans="1:22" ht="15.75" customHeight="1">
      <c r="A412" s="1153"/>
      <c r="B412" s="417"/>
      <c r="C412" s="330"/>
      <c r="D412" s="330">
        <f>C398</f>
        <v>5.5</v>
      </c>
      <c r="E412" s="330"/>
      <c r="F412" s="330"/>
      <c r="G412" s="330"/>
      <c r="H412" s="330">
        <v>2</v>
      </c>
      <c r="I412" s="330"/>
      <c r="J412" s="330"/>
      <c r="K412" s="330"/>
      <c r="L412" s="330"/>
      <c r="M412" s="330">
        <f>D412*H412</f>
        <v>11</v>
      </c>
      <c r="N412" s="1151"/>
      <c r="O412" s="462"/>
      <c r="P412" s="1126"/>
      <c r="Q412" s="462"/>
      <c r="R412" s="462"/>
      <c r="S412" s="462"/>
      <c r="T412" s="1113"/>
      <c r="U412" s="1113"/>
      <c r="V412" s="1113"/>
    </row>
    <row r="413" spans="1:22" ht="15.75" customHeight="1">
      <c r="A413" s="1153"/>
      <c r="B413" s="417"/>
      <c r="C413" s="330">
        <f>D398</f>
        <v>5.75</v>
      </c>
      <c r="D413" s="330"/>
      <c r="E413" s="330"/>
      <c r="F413" s="330"/>
      <c r="G413" s="330"/>
      <c r="H413" s="330">
        <v>1</v>
      </c>
      <c r="I413" s="330"/>
      <c r="J413" s="330"/>
      <c r="K413" s="330"/>
      <c r="L413" s="330"/>
      <c r="M413" s="330">
        <f>C413*H413</f>
        <v>5.75</v>
      </c>
      <c r="N413" s="1151"/>
      <c r="O413" s="462"/>
      <c r="P413" s="1126"/>
      <c r="Q413" s="462"/>
      <c r="R413" s="462"/>
      <c r="S413" s="462"/>
      <c r="T413" s="1113"/>
      <c r="U413" s="1113"/>
      <c r="V413" s="1113"/>
    </row>
    <row r="414" spans="1:22" ht="15.75" customHeight="1">
      <c r="A414" s="1153"/>
      <c r="B414" s="417"/>
      <c r="C414" s="330"/>
      <c r="D414" s="330"/>
      <c r="E414" s="330"/>
      <c r="F414" s="330"/>
      <c r="G414" s="330"/>
      <c r="H414" s="330"/>
      <c r="I414" s="330"/>
      <c r="J414" s="330"/>
      <c r="K414" s="330"/>
      <c r="L414" s="330"/>
      <c r="M414" s="330">
        <f>SUM(M409:M413)</f>
        <v>74.75</v>
      </c>
      <c r="N414" s="1151" t="s">
        <v>117</v>
      </c>
      <c r="O414" s="462"/>
      <c r="P414" s="1126"/>
      <c r="Q414" s="462"/>
      <c r="R414" s="462"/>
      <c r="S414" s="462"/>
      <c r="T414" s="1113"/>
      <c r="U414" s="1113"/>
      <c r="V414" s="1113"/>
    </row>
    <row r="415" spans="1:22" ht="33" customHeight="1">
      <c r="A415" s="484">
        <f>A408+1</f>
        <v>18</v>
      </c>
      <c r="B415" s="1154" t="s">
        <v>918</v>
      </c>
      <c r="C415" s="1158"/>
      <c r="D415" s="1158"/>
      <c r="E415" s="330"/>
      <c r="F415" s="330"/>
      <c r="G415" s="330"/>
      <c r="H415" s="330"/>
      <c r="I415" s="330"/>
      <c r="J415" s="330"/>
      <c r="K415" s="330">
        <v>13</v>
      </c>
      <c r="L415" s="330"/>
      <c r="M415" s="330">
        <f>K415</f>
        <v>13</v>
      </c>
      <c r="N415" s="1151" t="s">
        <v>124</v>
      </c>
      <c r="O415" s="462"/>
      <c r="P415" s="1126"/>
      <c r="Q415" s="462"/>
      <c r="R415" s="462"/>
      <c r="S415" s="462"/>
      <c r="T415" s="1113"/>
      <c r="U415" s="1113"/>
      <c r="V415" s="1113"/>
    </row>
    <row r="416" spans="1:22" ht="33" customHeight="1">
      <c r="A416" s="484">
        <f>A415+1</f>
        <v>19</v>
      </c>
      <c r="B416" s="1154" t="s">
        <v>919</v>
      </c>
      <c r="C416" s="330"/>
      <c r="D416" s="330"/>
      <c r="E416" s="330"/>
      <c r="F416" s="330"/>
      <c r="G416" s="330"/>
      <c r="H416" s="330"/>
      <c r="I416" s="330"/>
      <c r="J416" s="330"/>
      <c r="K416" s="330">
        <v>10</v>
      </c>
      <c r="L416" s="330"/>
      <c r="M416" s="330">
        <f>K416</f>
        <v>10</v>
      </c>
      <c r="N416" s="1151" t="s">
        <v>124</v>
      </c>
      <c r="O416" s="462"/>
      <c r="P416" s="1126"/>
      <c r="Q416" s="462"/>
      <c r="R416" s="462"/>
      <c r="S416" s="462"/>
      <c r="T416" s="1113"/>
      <c r="U416" s="1113"/>
      <c r="V416" s="1113"/>
    </row>
    <row r="417" spans="1:22" ht="15.75" customHeight="1">
      <c r="A417" s="1159"/>
      <c r="B417" s="358"/>
      <c r="C417" s="1124"/>
      <c r="D417" s="1124"/>
      <c r="E417" s="1124"/>
      <c r="F417" s="1124"/>
      <c r="G417" s="1124"/>
      <c r="H417" s="1124"/>
      <c r="I417" s="1124"/>
      <c r="J417" s="1124"/>
      <c r="K417" s="1124"/>
      <c r="L417" s="1124"/>
      <c r="M417" s="1132"/>
      <c r="N417" s="1133"/>
      <c r="O417" s="462"/>
      <c r="P417" s="1126"/>
      <c r="Q417" s="462"/>
      <c r="R417" s="462"/>
      <c r="S417" s="462"/>
      <c r="T417" s="1113"/>
      <c r="U417" s="1113"/>
      <c r="V417" s="1113"/>
    </row>
    <row r="418" spans="1:22" ht="15.75" customHeight="1">
      <c r="A418" s="1127" t="s">
        <v>1575</v>
      </c>
      <c r="B418" s="1160" t="s">
        <v>585</v>
      </c>
      <c r="C418" s="1124"/>
      <c r="D418" s="1124"/>
      <c r="E418" s="1124"/>
      <c r="F418" s="1124"/>
      <c r="G418" s="1124"/>
      <c r="H418" s="1124"/>
      <c r="I418" s="1124"/>
      <c r="J418" s="1124"/>
      <c r="K418" s="1124"/>
      <c r="L418" s="1124"/>
      <c r="M418" s="1124"/>
      <c r="N418" s="1125"/>
      <c r="O418" s="462"/>
      <c r="P418" s="1126"/>
      <c r="Q418" s="462"/>
      <c r="R418" s="462"/>
      <c r="S418" s="462"/>
      <c r="T418" s="1113"/>
      <c r="U418" s="1113"/>
      <c r="V418" s="1113"/>
    </row>
    <row r="419" spans="1:22" s="1161" customFormat="1" ht="14.25" customHeight="1">
      <c r="A419" s="484">
        <v>1</v>
      </c>
      <c r="B419" s="417" t="s">
        <v>586</v>
      </c>
      <c r="C419" s="330"/>
      <c r="D419" s="330"/>
      <c r="E419" s="330"/>
      <c r="F419" s="330"/>
      <c r="G419" s="330"/>
      <c r="H419" s="330"/>
      <c r="I419" s="330"/>
      <c r="J419" s="330"/>
      <c r="K419" s="330"/>
      <c r="L419" s="330"/>
      <c r="M419" s="330"/>
      <c r="N419" s="1151"/>
    </row>
    <row r="420" spans="1:22" s="1161" customFormat="1" ht="14.25" customHeight="1">
      <c r="A420" s="484"/>
      <c r="B420" s="803" t="s">
        <v>1565</v>
      </c>
      <c r="C420" s="330"/>
      <c r="D420" s="330"/>
      <c r="E420" s="330">
        <v>2</v>
      </c>
      <c r="F420" s="330"/>
      <c r="G420" s="330"/>
      <c r="H420" s="330"/>
      <c r="I420" s="330"/>
      <c r="J420" s="330"/>
      <c r="K420" s="330">
        <v>7</v>
      </c>
      <c r="L420" s="330"/>
      <c r="M420" s="330">
        <f>E420*K420</f>
        <v>14</v>
      </c>
      <c r="N420" s="1151"/>
    </row>
    <row r="421" spans="1:22" s="1161" customFormat="1" ht="14.25" customHeight="1">
      <c r="A421" s="484"/>
      <c r="B421" s="803" t="s">
        <v>1563</v>
      </c>
      <c r="C421" s="330"/>
      <c r="D421" s="330"/>
      <c r="E421" s="330">
        <v>2</v>
      </c>
      <c r="F421" s="330"/>
      <c r="G421" s="330"/>
      <c r="H421" s="330"/>
      <c r="I421" s="330"/>
      <c r="J421" s="330"/>
      <c r="K421" s="330">
        <v>2</v>
      </c>
      <c r="L421" s="330"/>
      <c r="M421" s="330">
        <f>E421*K421</f>
        <v>4</v>
      </c>
      <c r="N421" s="1151"/>
    </row>
    <row r="422" spans="1:22" s="1161" customFormat="1" ht="14.25" customHeight="1">
      <c r="A422" s="484"/>
      <c r="B422" s="417"/>
      <c r="C422" s="330"/>
      <c r="D422" s="330"/>
      <c r="E422" s="330"/>
      <c r="F422" s="330"/>
      <c r="G422" s="330"/>
      <c r="H422" s="330"/>
      <c r="I422" s="330"/>
      <c r="J422" s="330"/>
      <c r="K422" s="330"/>
      <c r="L422" s="330"/>
      <c r="M422" s="330">
        <f>SUM(M420:M421)</f>
        <v>18</v>
      </c>
      <c r="N422" s="1151" t="s">
        <v>117</v>
      </c>
    </row>
    <row r="423" spans="1:22" s="1161" customFormat="1" ht="14.25" customHeight="1">
      <c r="A423" s="484">
        <f>A419+1</f>
        <v>2</v>
      </c>
      <c r="B423" s="417" t="s">
        <v>587</v>
      </c>
      <c r="C423" s="330"/>
      <c r="D423" s="330"/>
      <c r="E423" s="330"/>
      <c r="F423" s="330"/>
      <c r="G423" s="330"/>
      <c r="H423" s="330"/>
      <c r="I423" s="330"/>
      <c r="J423" s="330"/>
      <c r="K423" s="330"/>
      <c r="L423" s="330"/>
      <c r="M423" s="330"/>
      <c r="N423" s="1151"/>
    </row>
    <row r="424" spans="1:22" s="1161" customFormat="1" ht="14.25" customHeight="1">
      <c r="A424" s="484"/>
      <c r="B424" s="803" t="s">
        <v>1565</v>
      </c>
      <c r="C424" s="330"/>
      <c r="D424" s="330"/>
      <c r="E424" s="330"/>
      <c r="F424" s="330"/>
      <c r="G424" s="330"/>
      <c r="H424" s="330"/>
      <c r="I424" s="330">
        <f>4+5.5+4+5</f>
        <v>18.5</v>
      </c>
      <c r="J424" s="330"/>
      <c r="K424" s="330"/>
      <c r="L424" s="330"/>
      <c r="M424" s="330">
        <f>I424</f>
        <v>18.5</v>
      </c>
      <c r="N424" s="1151"/>
    </row>
    <row r="425" spans="1:22" s="1161" customFormat="1" ht="14.25" customHeight="1">
      <c r="A425" s="484"/>
      <c r="B425" s="803" t="s">
        <v>1563</v>
      </c>
      <c r="C425" s="330"/>
      <c r="D425" s="330"/>
      <c r="E425" s="330"/>
      <c r="F425" s="330"/>
      <c r="G425" s="330"/>
      <c r="H425" s="330"/>
      <c r="I425" s="330">
        <f>3.5+4+5</f>
        <v>12.5</v>
      </c>
      <c r="J425" s="330"/>
      <c r="K425" s="330"/>
      <c r="L425" s="330"/>
      <c r="M425" s="330">
        <f>I425</f>
        <v>12.5</v>
      </c>
      <c r="N425" s="1151"/>
    </row>
    <row r="426" spans="1:22" s="1161" customFormat="1" ht="14.25" customHeight="1">
      <c r="A426" s="484"/>
      <c r="B426" s="417"/>
      <c r="C426" s="330"/>
      <c r="D426" s="330"/>
      <c r="E426" s="330"/>
      <c r="F426" s="330"/>
      <c r="G426" s="330"/>
      <c r="H426" s="330"/>
      <c r="I426" s="330"/>
      <c r="J426" s="330"/>
      <c r="K426" s="330"/>
      <c r="L426" s="330"/>
      <c r="M426" s="330">
        <f>SUM(M424:M425)</f>
        <v>31</v>
      </c>
      <c r="N426" s="1151" t="s">
        <v>117</v>
      </c>
    </row>
    <row r="427" spans="1:22" s="1161" customFormat="1" ht="14.25" customHeight="1">
      <c r="A427" s="484">
        <f>A423+1</f>
        <v>3</v>
      </c>
      <c r="B427" s="417" t="s">
        <v>920</v>
      </c>
      <c r="C427" s="330"/>
      <c r="D427" s="330"/>
      <c r="E427" s="330"/>
      <c r="F427" s="330"/>
      <c r="G427" s="330"/>
      <c r="H427" s="330"/>
      <c r="I427" s="330"/>
      <c r="J427" s="330"/>
      <c r="K427" s="330"/>
      <c r="L427" s="330"/>
      <c r="M427" s="330"/>
      <c r="N427" s="1151"/>
    </row>
    <row r="428" spans="1:22" s="1161" customFormat="1" ht="14.25" customHeight="1">
      <c r="A428" s="484"/>
      <c r="B428" s="803" t="s">
        <v>1565</v>
      </c>
      <c r="C428" s="330"/>
      <c r="D428" s="330"/>
      <c r="E428" s="330">
        <v>1.5</v>
      </c>
      <c r="F428" s="330"/>
      <c r="G428" s="330"/>
      <c r="H428" s="330"/>
      <c r="I428" s="330"/>
      <c r="J428" s="330"/>
      <c r="K428" s="330">
        <f>K420</f>
        <v>7</v>
      </c>
      <c r="L428" s="330"/>
      <c r="M428" s="330">
        <f>E428*K428</f>
        <v>10.5</v>
      </c>
      <c r="N428" s="1151"/>
    </row>
    <row r="429" spans="1:22" s="1161" customFormat="1" ht="14.25" customHeight="1">
      <c r="A429" s="484"/>
      <c r="B429" s="803" t="s">
        <v>1563</v>
      </c>
      <c r="C429" s="330"/>
      <c r="D429" s="330"/>
      <c r="E429" s="330">
        <v>1.5</v>
      </c>
      <c r="F429" s="330"/>
      <c r="G429" s="330"/>
      <c r="H429" s="330"/>
      <c r="I429" s="330"/>
      <c r="J429" s="330"/>
      <c r="K429" s="330">
        <f>K421</f>
        <v>2</v>
      </c>
      <c r="L429" s="330"/>
      <c r="M429" s="330">
        <f>E429*K429</f>
        <v>3</v>
      </c>
      <c r="N429" s="1151"/>
    </row>
    <row r="430" spans="1:22" s="1161" customFormat="1" ht="14.25" customHeight="1">
      <c r="A430" s="484"/>
      <c r="B430" s="417"/>
      <c r="C430" s="330"/>
      <c r="D430" s="330"/>
      <c r="E430" s="330"/>
      <c r="F430" s="330"/>
      <c r="G430" s="330"/>
      <c r="H430" s="330"/>
      <c r="I430" s="330"/>
      <c r="J430" s="330"/>
      <c r="K430" s="330"/>
      <c r="L430" s="330"/>
      <c r="M430" s="330">
        <f>SUM(M428:M429)</f>
        <v>13.5</v>
      </c>
      <c r="N430" s="1151" t="s">
        <v>117</v>
      </c>
    </row>
    <row r="431" spans="1:22" s="1161" customFormat="1" ht="14.25" customHeight="1">
      <c r="A431" s="484"/>
      <c r="B431" s="417"/>
      <c r="C431" s="330"/>
      <c r="D431" s="330"/>
      <c r="E431" s="330"/>
      <c r="F431" s="330"/>
      <c r="G431" s="330"/>
      <c r="H431" s="330"/>
      <c r="I431" s="330"/>
      <c r="J431" s="330"/>
      <c r="K431" s="330"/>
      <c r="L431" s="330"/>
      <c r="M431" s="330"/>
      <c r="N431" s="1151"/>
    </row>
    <row r="432" spans="1:22" s="1161" customFormat="1" ht="14.25" customHeight="1">
      <c r="A432" s="484">
        <f>A427+1</f>
        <v>4</v>
      </c>
      <c r="B432" s="417" t="s">
        <v>588</v>
      </c>
      <c r="C432" s="330"/>
      <c r="D432" s="330"/>
      <c r="E432" s="330"/>
      <c r="F432" s="330"/>
      <c r="G432" s="330"/>
      <c r="H432" s="330"/>
      <c r="I432" s="330"/>
      <c r="J432" s="330"/>
      <c r="K432" s="330"/>
      <c r="L432" s="330"/>
      <c r="M432" s="330"/>
      <c r="N432" s="1151"/>
    </row>
    <row r="433" spans="1:14" s="1161" customFormat="1" ht="14.25" customHeight="1">
      <c r="A433" s="484"/>
      <c r="B433" s="803" t="s">
        <v>1576</v>
      </c>
      <c r="C433" s="330">
        <f>20+10</f>
        <v>30</v>
      </c>
      <c r="D433" s="330"/>
      <c r="E433" s="330"/>
      <c r="F433" s="330"/>
      <c r="G433" s="330"/>
      <c r="H433" s="330"/>
      <c r="I433" s="330">
        <v>1.5</v>
      </c>
      <c r="J433" s="330"/>
      <c r="K433" s="330"/>
      <c r="L433" s="330"/>
      <c r="M433" s="330">
        <f>C433+I433</f>
        <v>31.5</v>
      </c>
      <c r="N433" s="1151" t="s">
        <v>117</v>
      </c>
    </row>
    <row r="434" spans="1:14" s="1161" customFormat="1" ht="14.25" customHeight="1">
      <c r="A434" s="484">
        <f>A432+1</f>
        <v>5</v>
      </c>
      <c r="B434" s="417" t="s">
        <v>712</v>
      </c>
      <c r="C434" s="330"/>
      <c r="D434" s="330"/>
      <c r="E434" s="330"/>
      <c r="F434" s="330"/>
      <c r="G434" s="330"/>
      <c r="H434" s="330"/>
      <c r="I434" s="330"/>
      <c r="J434" s="330"/>
      <c r="K434" s="330"/>
      <c r="L434" s="330"/>
      <c r="M434" s="330"/>
      <c r="N434" s="1151"/>
    </row>
    <row r="435" spans="1:14" s="1161" customFormat="1" ht="14.25" customHeight="1">
      <c r="A435" s="484"/>
      <c r="B435" s="803" t="s">
        <v>1565</v>
      </c>
      <c r="C435" s="330"/>
      <c r="D435" s="330"/>
      <c r="E435" s="330"/>
      <c r="F435" s="330"/>
      <c r="G435" s="330"/>
      <c r="H435" s="330"/>
      <c r="I435" s="330"/>
      <c r="J435" s="330"/>
      <c r="K435" s="330">
        <f>K428</f>
        <v>7</v>
      </c>
      <c r="L435" s="330"/>
      <c r="M435" s="330">
        <f>K435</f>
        <v>7</v>
      </c>
      <c r="N435" s="1151"/>
    </row>
    <row r="436" spans="1:14" s="1161" customFormat="1" ht="14.25" customHeight="1">
      <c r="A436" s="484"/>
      <c r="B436" s="803" t="s">
        <v>1563</v>
      </c>
      <c r="C436" s="330"/>
      <c r="D436" s="330"/>
      <c r="E436" s="330"/>
      <c r="F436" s="330"/>
      <c r="G436" s="330"/>
      <c r="H436" s="330"/>
      <c r="I436" s="330"/>
      <c r="J436" s="330"/>
      <c r="K436" s="330">
        <f>K429</f>
        <v>2</v>
      </c>
      <c r="L436" s="330"/>
      <c r="M436" s="330">
        <f>K436</f>
        <v>2</v>
      </c>
      <c r="N436" s="1151"/>
    </row>
    <row r="437" spans="1:14" s="1161" customFormat="1" ht="14.25" customHeight="1">
      <c r="A437" s="484"/>
      <c r="B437" s="417"/>
      <c r="C437" s="330"/>
      <c r="D437" s="330"/>
      <c r="E437" s="330"/>
      <c r="F437" s="330"/>
      <c r="G437" s="330"/>
      <c r="H437" s="330"/>
      <c r="I437" s="330"/>
      <c r="J437" s="330"/>
      <c r="K437" s="330"/>
      <c r="L437" s="330"/>
      <c r="M437" s="330">
        <f>SUM(M435:M436)</f>
        <v>9</v>
      </c>
      <c r="N437" s="1151" t="s">
        <v>124</v>
      </c>
    </row>
    <row r="438" spans="1:14" s="1161" customFormat="1" ht="14.25" customHeight="1">
      <c r="A438" s="484">
        <f>A434+1</f>
        <v>6</v>
      </c>
      <c r="B438" s="417" t="s">
        <v>458</v>
      </c>
      <c r="C438" s="330"/>
      <c r="D438" s="330"/>
      <c r="E438" s="330"/>
      <c r="F438" s="330"/>
      <c r="G438" s="330"/>
      <c r="H438" s="330"/>
      <c r="I438" s="330"/>
      <c r="J438" s="330"/>
      <c r="K438" s="330"/>
      <c r="L438" s="330"/>
      <c r="M438" s="330"/>
      <c r="N438" s="1151"/>
    </row>
    <row r="439" spans="1:14" s="1161" customFormat="1" ht="14.25" customHeight="1">
      <c r="A439" s="484"/>
      <c r="B439" s="803" t="s">
        <v>1577</v>
      </c>
      <c r="C439" s="330"/>
      <c r="D439" s="330"/>
      <c r="E439" s="330"/>
      <c r="F439" s="330"/>
      <c r="G439" s="330"/>
      <c r="H439" s="330"/>
      <c r="I439" s="330"/>
      <c r="J439" s="330"/>
      <c r="K439" s="330">
        <v>7</v>
      </c>
      <c r="L439" s="330"/>
      <c r="M439" s="330">
        <f>K439</f>
        <v>7</v>
      </c>
      <c r="N439" s="1151"/>
    </row>
    <row r="440" spans="1:14" s="1161" customFormat="1" ht="24.75" customHeight="1">
      <c r="A440" s="484"/>
      <c r="B440" s="1162" t="s">
        <v>1578</v>
      </c>
      <c r="C440" s="330"/>
      <c r="D440" s="330"/>
      <c r="E440" s="330"/>
      <c r="F440" s="330"/>
      <c r="G440" s="330"/>
      <c r="H440" s="330"/>
      <c r="I440" s="330"/>
      <c r="J440" s="330"/>
      <c r="K440" s="330">
        <v>6</v>
      </c>
      <c r="L440" s="330"/>
      <c r="M440" s="330">
        <f>K440</f>
        <v>6</v>
      </c>
      <c r="N440" s="1151"/>
    </row>
    <row r="441" spans="1:14" s="1161" customFormat="1" ht="14.25" customHeight="1">
      <c r="A441" s="484"/>
      <c r="B441" s="417"/>
      <c r="C441" s="330"/>
      <c r="D441" s="330"/>
      <c r="E441" s="330"/>
      <c r="F441" s="330"/>
      <c r="G441" s="330"/>
      <c r="H441" s="330"/>
      <c r="I441" s="330"/>
      <c r="J441" s="330"/>
      <c r="K441" s="330"/>
      <c r="L441" s="330"/>
      <c r="M441" s="330">
        <f>SUM(M439:M440)</f>
        <v>13</v>
      </c>
      <c r="N441" s="1151" t="s">
        <v>357</v>
      </c>
    </row>
    <row r="442" spans="1:14" s="1161" customFormat="1" ht="14.25" customHeight="1">
      <c r="A442" s="484">
        <f>A438+1</f>
        <v>7</v>
      </c>
      <c r="B442" s="417" t="s">
        <v>718</v>
      </c>
      <c r="C442" s="330"/>
      <c r="D442" s="330"/>
      <c r="E442" s="330"/>
      <c r="F442" s="330"/>
      <c r="G442" s="330"/>
      <c r="H442" s="330"/>
      <c r="I442" s="330"/>
      <c r="J442" s="330"/>
      <c r="K442" s="330"/>
      <c r="L442" s="330"/>
      <c r="M442" s="330"/>
      <c r="N442" s="1151"/>
    </row>
    <row r="443" spans="1:14" s="1161" customFormat="1" ht="14.25" customHeight="1">
      <c r="A443" s="484"/>
      <c r="B443" s="803" t="s">
        <v>1565</v>
      </c>
      <c r="C443" s="330"/>
      <c r="D443" s="330"/>
      <c r="E443" s="330"/>
      <c r="F443" s="330"/>
      <c r="G443" s="330"/>
      <c r="H443" s="330"/>
      <c r="I443" s="330"/>
      <c r="J443" s="330"/>
      <c r="K443" s="330">
        <v>7</v>
      </c>
      <c r="L443" s="330"/>
      <c r="M443" s="330">
        <f>K443</f>
        <v>7</v>
      </c>
      <c r="N443" s="1151"/>
    </row>
    <row r="444" spans="1:14" s="1161" customFormat="1" ht="14.25" customHeight="1">
      <c r="A444" s="484"/>
      <c r="B444" s="803" t="s">
        <v>1566</v>
      </c>
      <c r="C444" s="330"/>
      <c r="D444" s="330"/>
      <c r="E444" s="330"/>
      <c r="F444" s="330"/>
      <c r="G444" s="330"/>
      <c r="H444" s="330"/>
      <c r="I444" s="330"/>
      <c r="J444" s="330"/>
      <c r="K444" s="330">
        <v>6</v>
      </c>
      <c r="L444" s="330"/>
      <c r="M444" s="330">
        <f>K444</f>
        <v>6</v>
      </c>
      <c r="N444" s="1151"/>
    </row>
    <row r="445" spans="1:14" s="1161" customFormat="1" ht="14.25" customHeight="1">
      <c r="A445" s="484"/>
      <c r="B445" s="803" t="s">
        <v>1579</v>
      </c>
      <c r="C445" s="330"/>
      <c r="D445" s="330"/>
      <c r="E445" s="330"/>
      <c r="F445" s="330"/>
      <c r="G445" s="330"/>
      <c r="H445" s="330"/>
      <c r="I445" s="330"/>
      <c r="J445" s="330"/>
      <c r="K445" s="330">
        <v>5</v>
      </c>
      <c r="L445" s="330"/>
      <c r="M445" s="330">
        <f>K445</f>
        <v>5</v>
      </c>
      <c r="N445" s="1151"/>
    </row>
    <row r="446" spans="1:14" s="1161" customFormat="1" ht="14.25" customHeight="1">
      <c r="A446" s="484"/>
      <c r="B446" s="417"/>
      <c r="C446" s="330"/>
      <c r="D446" s="330"/>
      <c r="E446" s="330"/>
      <c r="F446" s="330"/>
      <c r="G446" s="330"/>
      <c r="H446" s="330"/>
      <c r="I446" s="330"/>
      <c r="J446" s="330"/>
      <c r="K446" s="330"/>
      <c r="L446" s="330"/>
      <c r="M446" s="330">
        <f>SUM(M443:M445)</f>
        <v>18</v>
      </c>
      <c r="N446" s="1151" t="s">
        <v>357</v>
      </c>
    </row>
    <row r="447" spans="1:14" s="1161" customFormat="1" ht="14.25" customHeight="1">
      <c r="A447" s="484">
        <f>A442+1</f>
        <v>8</v>
      </c>
      <c r="B447" s="358" t="s">
        <v>1580</v>
      </c>
      <c r="C447" s="330"/>
      <c r="D447" s="330"/>
      <c r="E447" s="330"/>
      <c r="F447" s="330"/>
      <c r="G447" s="330"/>
      <c r="H447" s="330"/>
      <c r="I447" s="330"/>
      <c r="J447" s="330"/>
      <c r="K447" s="330"/>
      <c r="L447" s="330"/>
      <c r="M447" s="330">
        <v>7</v>
      </c>
      <c r="N447" s="1151" t="s">
        <v>357</v>
      </c>
    </row>
    <row r="448" spans="1:14" s="1161" customFormat="1" ht="14.25" customHeight="1">
      <c r="A448" s="484">
        <f t="shared" ref="A448:A455" si="10">A447+1</f>
        <v>9</v>
      </c>
      <c r="B448" s="358" t="s">
        <v>1581</v>
      </c>
      <c r="C448" s="330"/>
      <c r="D448" s="330"/>
      <c r="E448" s="330"/>
      <c r="F448" s="330"/>
      <c r="G448" s="330"/>
      <c r="H448" s="330"/>
      <c r="I448" s="330"/>
      <c r="J448" s="330"/>
      <c r="K448" s="330"/>
      <c r="L448" s="330"/>
      <c r="M448" s="330">
        <v>3</v>
      </c>
      <c r="N448" s="1151" t="s">
        <v>357</v>
      </c>
    </row>
    <row r="449" spans="1:22" s="1161" customFormat="1" ht="14.25" customHeight="1">
      <c r="A449" s="484">
        <f t="shared" si="10"/>
        <v>10</v>
      </c>
      <c r="B449" s="358" t="s">
        <v>921</v>
      </c>
      <c r="C449" s="330"/>
      <c r="D449" s="330"/>
      <c r="E449" s="330"/>
      <c r="F449" s="330"/>
      <c r="G449" s="330"/>
      <c r="H449" s="330"/>
      <c r="I449" s="330"/>
      <c r="J449" s="330"/>
      <c r="K449" s="330"/>
      <c r="L449" s="330"/>
      <c r="M449" s="330">
        <f>M439</f>
        <v>7</v>
      </c>
      <c r="N449" s="1151" t="s">
        <v>124</v>
      </c>
    </row>
    <row r="450" spans="1:22" s="1161" customFormat="1" ht="14.25" customHeight="1">
      <c r="A450" s="484">
        <f t="shared" si="10"/>
        <v>11</v>
      </c>
      <c r="B450" s="417" t="s">
        <v>922</v>
      </c>
      <c r="C450" s="330"/>
      <c r="D450" s="330"/>
      <c r="E450" s="330"/>
      <c r="F450" s="330"/>
      <c r="G450" s="330"/>
      <c r="H450" s="330"/>
      <c r="I450" s="330"/>
      <c r="J450" s="330"/>
      <c r="K450" s="330"/>
      <c r="L450" s="330"/>
      <c r="M450" s="330">
        <f>M440</f>
        <v>6</v>
      </c>
      <c r="N450" s="1151" t="s">
        <v>124</v>
      </c>
    </row>
    <row r="451" spans="1:22" s="1161" customFormat="1" ht="14.25" customHeight="1">
      <c r="A451" s="484">
        <f t="shared" si="10"/>
        <v>12</v>
      </c>
      <c r="B451" s="417" t="s">
        <v>614</v>
      </c>
      <c r="C451" s="330"/>
      <c r="D451" s="330"/>
      <c r="E451" s="330"/>
      <c r="F451" s="330"/>
      <c r="G451" s="330"/>
      <c r="H451" s="330"/>
      <c r="I451" s="330"/>
      <c r="J451" s="330"/>
      <c r="K451" s="330"/>
      <c r="L451" s="330"/>
      <c r="M451" s="330">
        <f>M447</f>
        <v>7</v>
      </c>
      <c r="N451" s="1151" t="s">
        <v>124</v>
      </c>
    </row>
    <row r="452" spans="1:22" s="1161" customFormat="1" ht="14.25" customHeight="1">
      <c r="A452" s="484">
        <f t="shared" si="10"/>
        <v>13</v>
      </c>
      <c r="B452" s="417" t="s">
        <v>846</v>
      </c>
      <c r="C452" s="330"/>
      <c r="D452" s="330"/>
      <c r="E452" s="330"/>
      <c r="F452" s="330"/>
      <c r="G452" s="330"/>
      <c r="H452" s="330"/>
      <c r="I452" s="330"/>
      <c r="J452" s="330"/>
      <c r="K452" s="330"/>
      <c r="L452" s="330"/>
      <c r="M452" s="330">
        <f>M448</f>
        <v>3</v>
      </c>
      <c r="N452" s="1151" t="s">
        <v>124</v>
      </c>
    </row>
    <row r="453" spans="1:22" s="1161" customFormat="1" ht="14.25" customHeight="1">
      <c r="A453" s="484">
        <f t="shared" si="10"/>
        <v>14</v>
      </c>
      <c r="B453" s="417" t="s">
        <v>923</v>
      </c>
      <c r="C453" s="330"/>
      <c r="D453" s="330"/>
      <c r="E453" s="330"/>
      <c r="F453" s="330"/>
      <c r="G453" s="330"/>
      <c r="H453" s="330"/>
      <c r="I453" s="330"/>
      <c r="J453" s="330"/>
      <c r="K453" s="330"/>
      <c r="L453" s="330"/>
      <c r="M453" s="330">
        <f>M446</f>
        <v>18</v>
      </c>
      <c r="N453" s="1151" t="s">
        <v>124</v>
      </c>
    </row>
    <row r="454" spans="1:22" s="1161" customFormat="1" ht="14.25" customHeight="1">
      <c r="A454" s="484">
        <f t="shared" si="10"/>
        <v>15</v>
      </c>
      <c r="B454" s="417" t="s">
        <v>924</v>
      </c>
      <c r="C454" s="330"/>
      <c r="D454" s="330"/>
      <c r="E454" s="330"/>
      <c r="F454" s="330"/>
      <c r="G454" s="330"/>
      <c r="H454" s="330"/>
      <c r="I454" s="330"/>
      <c r="J454" s="330"/>
      <c r="K454" s="330"/>
      <c r="L454" s="330"/>
      <c r="M454" s="330">
        <v>5</v>
      </c>
      <c r="N454" s="1151" t="s">
        <v>124</v>
      </c>
    </row>
    <row r="455" spans="1:22" s="1161" customFormat="1" ht="14.25" customHeight="1">
      <c r="A455" s="484">
        <f t="shared" si="10"/>
        <v>16</v>
      </c>
      <c r="B455" s="417" t="s">
        <v>687</v>
      </c>
      <c r="C455" s="330"/>
      <c r="D455" s="330"/>
      <c r="E455" s="330"/>
      <c r="F455" s="330"/>
      <c r="G455" s="330"/>
      <c r="H455" s="330"/>
      <c r="I455" s="330"/>
      <c r="J455" s="330"/>
      <c r="K455" s="330"/>
      <c r="L455" s="330"/>
      <c r="M455" s="330">
        <v>1</v>
      </c>
      <c r="N455" s="1151" t="s">
        <v>360</v>
      </c>
    </row>
    <row r="456" spans="1:22" ht="7.5" customHeight="1">
      <c r="A456" s="1163"/>
      <c r="B456" s="1164"/>
      <c r="C456" s="1165"/>
      <c r="D456" s="1165"/>
      <c r="E456" s="1165"/>
      <c r="F456" s="1165"/>
      <c r="G456" s="1165"/>
      <c r="H456" s="1165"/>
      <c r="I456" s="1165"/>
      <c r="J456" s="1165"/>
      <c r="K456" s="1165"/>
      <c r="L456" s="1165"/>
      <c r="M456" s="1165"/>
      <c r="N456" s="1166"/>
      <c r="O456" s="462"/>
      <c r="P456" s="462"/>
      <c r="Q456" s="462"/>
      <c r="R456" s="462"/>
      <c r="S456" s="462"/>
      <c r="T456" s="1113"/>
      <c r="U456" s="1113"/>
      <c r="V456" s="1113"/>
    </row>
    <row r="457" spans="1:22" ht="15.75" customHeight="1">
      <c r="A457" s="1167"/>
      <c r="B457" s="462"/>
      <c r="C457" s="1126"/>
      <c r="D457" s="1126"/>
      <c r="E457" s="1126"/>
      <c r="F457" s="1126"/>
      <c r="G457" s="1126"/>
      <c r="H457" s="1126"/>
      <c r="I457" s="1126"/>
      <c r="J457" s="1126"/>
      <c r="K457" s="1126"/>
      <c r="L457" s="1126"/>
      <c r="M457" s="1126"/>
      <c r="N457" s="1167"/>
      <c r="O457" s="462"/>
      <c r="P457" s="462"/>
      <c r="Q457" s="462"/>
      <c r="R457" s="462"/>
      <c r="S457" s="462"/>
      <c r="T457" s="1113"/>
      <c r="U457" s="1113"/>
      <c r="V457" s="1113"/>
    </row>
    <row r="458" spans="1:22" ht="15.75" customHeight="1">
      <c r="A458" s="1167"/>
      <c r="B458" s="462"/>
      <c r="C458" s="1126"/>
      <c r="D458" s="1126"/>
      <c r="E458" s="1126"/>
      <c r="F458" s="1126"/>
      <c r="G458" s="1126"/>
      <c r="H458" s="1126"/>
      <c r="I458" s="1126"/>
      <c r="J458" s="1126"/>
      <c r="K458" s="1126"/>
      <c r="L458" s="1126"/>
      <c r="M458" s="1126"/>
      <c r="N458" s="1167"/>
      <c r="O458" s="462"/>
      <c r="P458" s="462"/>
      <c r="Q458" s="462"/>
      <c r="R458" s="462"/>
      <c r="S458" s="462"/>
      <c r="T458" s="1113"/>
      <c r="U458" s="1113"/>
      <c r="V458" s="1113"/>
    </row>
    <row r="459" spans="1:22" ht="15.75" customHeight="1">
      <c r="A459" s="1167"/>
      <c r="B459" s="462"/>
      <c r="C459" s="1126"/>
      <c r="D459" s="1126"/>
      <c r="E459" s="1126"/>
      <c r="F459" s="1126"/>
      <c r="G459" s="1126"/>
      <c r="H459" s="1126"/>
      <c r="I459" s="1126"/>
      <c r="J459" s="1126"/>
      <c r="K459" s="1126"/>
      <c r="L459" s="1126"/>
      <c r="M459" s="1126"/>
      <c r="N459" s="1167"/>
      <c r="O459" s="462"/>
      <c r="P459" s="462"/>
      <c r="Q459" s="462"/>
      <c r="R459" s="462"/>
      <c r="S459" s="462"/>
      <c r="T459" s="1113"/>
      <c r="U459" s="1113"/>
      <c r="V459" s="1113"/>
    </row>
    <row r="460" spans="1:22" ht="15.75" customHeight="1">
      <c r="A460" s="1167"/>
      <c r="B460" s="462"/>
      <c r="C460" s="1126"/>
      <c r="D460" s="1126"/>
      <c r="E460" s="1126"/>
      <c r="F460" s="1126"/>
      <c r="G460" s="1126"/>
      <c r="H460" s="1126"/>
      <c r="I460" s="1126"/>
      <c r="J460" s="1126"/>
      <c r="K460" s="1126"/>
      <c r="L460" s="1126"/>
      <c r="M460" s="1126"/>
      <c r="N460" s="1167"/>
      <c r="O460" s="462"/>
      <c r="P460" s="462"/>
      <c r="Q460" s="462"/>
      <c r="R460" s="462"/>
      <c r="S460" s="462"/>
      <c r="T460" s="1113"/>
      <c r="U460" s="1113"/>
      <c r="V460" s="1113"/>
    </row>
    <row r="461" spans="1:22" ht="15.75" customHeight="1">
      <c r="A461" s="462"/>
      <c r="B461" s="462"/>
      <c r="C461" s="1126"/>
      <c r="D461" s="1126"/>
      <c r="E461" s="1126"/>
      <c r="F461" s="1126"/>
      <c r="G461" s="1126"/>
      <c r="H461" s="1126"/>
      <c r="I461" s="1126"/>
      <c r="J461" s="1126"/>
      <c r="K461" s="1126"/>
      <c r="L461" s="1126"/>
      <c r="M461" s="1126"/>
      <c r="N461" s="1167"/>
      <c r="O461" s="462"/>
      <c r="P461" s="462"/>
      <c r="Q461" s="462"/>
      <c r="R461" s="462"/>
      <c r="S461" s="462"/>
      <c r="T461" s="1113"/>
      <c r="U461" s="1113"/>
      <c r="V461" s="1113"/>
    </row>
    <row r="462" spans="1:22" ht="15.75" customHeight="1">
      <c r="A462" s="462"/>
      <c r="B462" s="462"/>
      <c r="C462" s="1126"/>
      <c r="D462" s="1126"/>
      <c r="E462" s="1126"/>
      <c r="F462" s="1126"/>
      <c r="G462" s="1126"/>
      <c r="H462" s="1126"/>
      <c r="I462" s="1126"/>
      <c r="J462" s="1126"/>
      <c r="K462" s="1126"/>
      <c r="L462" s="1126"/>
      <c r="M462" s="1126"/>
      <c r="N462" s="1167"/>
      <c r="O462" s="462"/>
      <c r="P462" s="462"/>
      <c r="Q462" s="462"/>
      <c r="R462" s="462"/>
      <c r="S462" s="462"/>
      <c r="T462" s="1113"/>
      <c r="U462" s="1113"/>
      <c r="V462" s="1113"/>
    </row>
    <row r="463" spans="1:22" ht="15.75" customHeight="1">
      <c r="A463" s="462"/>
      <c r="B463" s="462"/>
      <c r="C463" s="1126"/>
      <c r="D463" s="1126"/>
      <c r="E463" s="1126"/>
      <c r="F463" s="1126"/>
      <c r="G463" s="1126"/>
      <c r="H463" s="1126"/>
      <c r="I463" s="1126"/>
      <c r="J463" s="1126"/>
      <c r="K463" s="1126"/>
      <c r="L463" s="1126"/>
      <c r="M463" s="1126"/>
      <c r="N463" s="1167"/>
      <c r="O463" s="462"/>
      <c r="P463" s="462"/>
      <c r="Q463" s="462"/>
      <c r="R463" s="462"/>
      <c r="S463" s="462"/>
      <c r="T463" s="1113"/>
      <c r="U463" s="1113"/>
      <c r="V463" s="1113"/>
    </row>
    <row r="464" spans="1:22" ht="15.75" customHeight="1">
      <c r="A464" s="462"/>
      <c r="B464" s="462"/>
      <c r="C464" s="1126"/>
      <c r="D464" s="1126"/>
      <c r="E464" s="1126"/>
      <c r="F464" s="1126"/>
      <c r="G464" s="1126"/>
      <c r="H464" s="1126"/>
      <c r="I464" s="1126"/>
      <c r="J464" s="1126"/>
      <c r="K464" s="1126"/>
      <c r="L464" s="1126"/>
      <c r="M464" s="1126"/>
      <c r="N464" s="1167"/>
      <c r="O464" s="462"/>
      <c r="P464" s="462"/>
      <c r="Q464" s="462"/>
      <c r="R464" s="462"/>
      <c r="S464" s="462"/>
      <c r="T464" s="1113"/>
      <c r="U464" s="1113"/>
      <c r="V464" s="1113"/>
    </row>
    <row r="465" spans="1:22" ht="15.75" customHeight="1">
      <c r="A465" s="462"/>
      <c r="B465" s="462"/>
      <c r="C465" s="1126"/>
      <c r="D465" s="1126"/>
      <c r="E465" s="1126"/>
      <c r="F465" s="1126"/>
      <c r="G465" s="1126"/>
      <c r="H465" s="1126"/>
      <c r="I465" s="1126"/>
      <c r="J465" s="1126"/>
      <c r="K465" s="1126"/>
      <c r="L465" s="1126"/>
      <c r="M465" s="1126"/>
      <c r="N465" s="1167"/>
      <c r="O465" s="462"/>
      <c r="P465" s="462"/>
      <c r="Q465" s="462"/>
      <c r="R465" s="462"/>
      <c r="S465" s="462"/>
      <c r="T465" s="1113"/>
      <c r="U465" s="1113"/>
      <c r="V465" s="1113"/>
    </row>
    <row r="466" spans="1:22" ht="15.75" customHeight="1">
      <c r="A466" s="462"/>
      <c r="B466" s="462"/>
      <c r="C466" s="1126"/>
      <c r="D466" s="1126"/>
      <c r="E466" s="1126"/>
      <c r="F466" s="1126"/>
      <c r="G466" s="1126"/>
      <c r="H466" s="1126"/>
      <c r="I466" s="1126"/>
      <c r="J466" s="1126"/>
      <c r="K466" s="1126"/>
      <c r="L466" s="1126"/>
      <c r="M466" s="1126"/>
      <c r="N466" s="1167"/>
      <c r="O466" s="462"/>
      <c r="P466" s="462"/>
      <c r="Q466" s="462"/>
      <c r="R466" s="462"/>
      <c r="S466" s="462"/>
      <c r="T466" s="1113"/>
      <c r="U466" s="1113"/>
      <c r="V466" s="1113"/>
    </row>
    <row r="467" spans="1:22" ht="15.75" customHeight="1">
      <c r="A467" s="462"/>
      <c r="B467" s="462"/>
      <c r="C467" s="1126"/>
      <c r="D467" s="1126"/>
      <c r="E467" s="1126"/>
      <c r="F467" s="1126"/>
      <c r="G467" s="1126"/>
      <c r="H467" s="1126"/>
      <c r="I467" s="1126"/>
      <c r="J467" s="1126"/>
      <c r="K467" s="1126"/>
      <c r="L467" s="1126"/>
      <c r="M467" s="1126"/>
      <c r="N467" s="1167"/>
      <c r="O467" s="462"/>
      <c r="P467" s="462"/>
      <c r="Q467" s="462"/>
      <c r="R467" s="462"/>
      <c r="S467" s="462"/>
      <c r="T467" s="1113"/>
      <c r="U467" s="1113"/>
      <c r="V467" s="1113"/>
    </row>
    <row r="468" spans="1:22" ht="15.75" customHeight="1">
      <c r="A468" s="462"/>
      <c r="B468" s="462"/>
      <c r="C468" s="1126"/>
      <c r="D468" s="1126"/>
      <c r="E468" s="1126"/>
      <c r="F468" s="1126"/>
      <c r="G468" s="1126"/>
      <c r="H468" s="1126"/>
      <c r="I468" s="1126"/>
      <c r="J468" s="1126"/>
      <c r="K468" s="1126"/>
      <c r="L468" s="1126"/>
      <c r="M468" s="1126"/>
      <c r="N468" s="1167"/>
      <c r="O468" s="462"/>
      <c r="P468" s="462"/>
      <c r="Q468" s="462"/>
      <c r="R468" s="462"/>
      <c r="S468" s="462"/>
      <c r="T468" s="1113"/>
      <c r="U468" s="1113"/>
      <c r="V468" s="1113"/>
    </row>
    <row r="469" spans="1:22" ht="15.75" customHeight="1">
      <c r="A469" s="462"/>
      <c r="B469" s="462"/>
      <c r="C469" s="1126"/>
      <c r="D469" s="1126"/>
      <c r="E469" s="1126"/>
      <c r="F469" s="1126"/>
      <c r="G469" s="1126"/>
      <c r="H469" s="1126"/>
      <c r="I469" s="1126"/>
      <c r="J469" s="1126"/>
      <c r="K469" s="1126"/>
      <c r="L469" s="1126"/>
      <c r="M469" s="1126"/>
      <c r="N469" s="1167"/>
      <c r="O469" s="462"/>
      <c r="P469" s="462"/>
      <c r="Q469" s="462"/>
      <c r="R469" s="462"/>
      <c r="S469" s="462"/>
      <c r="T469" s="1113"/>
      <c r="U469" s="1113"/>
      <c r="V469" s="1113"/>
    </row>
    <row r="470" spans="1:22" ht="15.75" customHeight="1">
      <c r="A470" s="462"/>
      <c r="B470" s="462"/>
      <c r="C470" s="1126"/>
      <c r="D470" s="1126"/>
      <c r="E470" s="1126"/>
      <c r="F470" s="1126"/>
      <c r="G470" s="1126"/>
      <c r="H470" s="1126"/>
      <c r="I470" s="1126"/>
      <c r="J470" s="1126"/>
      <c r="K470" s="1126"/>
      <c r="L470" s="1126"/>
      <c r="M470" s="1126"/>
      <c r="N470" s="1167"/>
      <c r="O470" s="462"/>
      <c r="P470" s="462"/>
      <c r="Q470" s="462"/>
      <c r="R470" s="462"/>
      <c r="S470" s="462"/>
      <c r="T470" s="1113"/>
      <c r="U470" s="1113"/>
      <c r="V470" s="1113"/>
    </row>
    <row r="471" spans="1:22" ht="15.75" customHeight="1">
      <c r="A471" s="462"/>
      <c r="B471" s="462"/>
      <c r="C471" s="1126"/>
      <c r="D471" s="1126"/>
      <c r="E471" s="1126"/>
      <c r="F471" s="1126"/>
      <c r="G471" s="1126"/>
      <c r="H471" s="1126"/>
      <c r="I471" s="1126"/>
      <c r="J471" s="1126"/>
      <c r="K471" s="1126"/>
      <c r="L471" s="1126"/>
      <c r="M471" s="1126"/>
      <c r="N471" s="1167"/>
      <c r="O471" s="462"/>
      <c r="P471" s="462"/>
      <c r="Q471" s="462"/>
      <c r="R471" s="462"/>
      <c r="S471" s="462"/>
      <c r="T471" s="1113"/>
      <c r="U471" s="1113"/>
      <c r="V471" s="1113"/>
    </row>
    <row r="472" spans="1:22" ht="15.75" customHeight="1">
      <c r="A472" s="462"/>
      <c r="B472" s="462"/>
      <c r="C472" s="1126"/>
      <c r="D472" s="1126"/>
      <c r="E472" s="1126"/>
      <c r="F472" s="1126"/>
      <c r="G472" s="1126"/>
      <c r="H472" s="1126"/>
      <c r="I472" s="1126"/>
      <c r="J472" s="1126"/>
      <c r="K472" s="1126"/>
      <c r="L472" s="1126"/>
      <c r="M472" s="1126"/>
      <c r="N472" s="1167"/>
      <c r="O472" s="462"/>
      <c r="P472" s="462"/>
      <c r="Q472" s="462"/>
      <c r="R472" s="462"/>
      <c r="S472" s="462"/>
      <c r="T472" s="1113"/>
      <c r="U472" s="1113"/>
      <c r="V472" s="1113"/>
    </row>
    <row r="473" spans="1:22" ht="15.75" customHeight="1">
      <c r="A473" s="462"/>
      <c r="B473" s="462"/>
      <c r="C473" s="1126"/>
      <c r="D473" s="1126"/>
      <c r="E473" s="1126"/>
      <c r="F473" s="1126"/>
      <c r="G473" s="1126"/>
      <c r="H473" s="1126"/>
      <c r="I473" s="1126"/>
      <c r="J473" s="1126"/>
      <c r="K473" s="1126"/>
      <c r="L473" s="1126"/>
      <c r="M473" s="1126"/>
      <c r="N473" s="1167"/>
      <c r="O473" s="462"/>
      <c r="P473" s="462"/>
      <c r="Q473" s="462"/>
      <c r="R473" s="462"/>
      <c r="S473" s="462"/>
      <c r="T473" s="1113"/>
      <c r="U473" s="1113"/>
      <c r="V473" s="1113"/>
    </row>
    <row r="474" spans="1:22" ht="15.75" customHeight="1">
      <c r="A474" s="462"/>
      <c r="B474" s="462"/>
      <c r="C474" s="1126"/>
      <c r="D474" s="1126"/>
      <c r="E474" s="1126"/>
      <c r="F474" s="1126"/>
      <c r="G474" s="1126"/>
      <c r="H474" s="1126"/>
      <c r="I474" s="1126"/>
      <c r="J474" s="1126"/>
      <c r="K474" s="1126"/>
      <c r="L474" s="1126"/>
      <c r="M474" s="1126"/>
      <c r="N474" s="1167"/>
      <c r="O474" s="462"/>
      <c r="P474" s="462"/>
      <c r="Q474" s="462"/>
      <c r="R474" s="462"/>
      <c r="S474" s="462"/>
      <c r="T474" s="1113"/>
      <c r="U474" s="1113"/>
      <c r="V474" s="1113"/>
    </row>
    <row r="475" spans="1:22" ht="15.75" customHeight="1">
      <c r="A475" s="462"/>
      <c r="B475" s="462"/>
      <c r="C475" s="1126"/>
      <c r="D475" s="1126"/>
      <c r="E475" s="1126"/>
      <c r="F475" s="1126"/>
      <c r="G475" s="1126"/>
      <c r="H475" s="1126"/>
      <c r="I475" s="1126"/>
      <c r="J475" s="1126"/>
      <c r="K475" s="1126"/>
      <c r="L475" s="1126"/>
      <c r="M475" s="1126"/>
      <c r="N475" s="1167"/>
      <c r="O475" s="462"/>
      <c r="P475" s="462"/>
      <c r="Q475" s="462"/>
      <c r="R475" s="462"/>
      <c r="S475" s="462"/>
      <c r="T475" s="1113"/>
      <c r="U475" s="1113"/>
      <c r="V475" s="1113"/>
    </row>
    <row r="476" spans="1:22" ht="15.75" customHeight="1">
      <c r="A476" s="462"/>
      <c r="B476" s="462"/>
      <c r="C476" s="1126"/>
      <c r="D476" s="1126"/>
      <c r="E476" s="1126"/>
      <c r="F476" s="1126"/>
      <c r="G476" s="1126"/>
      <c r="H476" s="1126"/>
      <c r="I476" s="1126"/>
      <c r="J476" s="1126"/>
      <c r="K476" s="1126"/>
      <c r="L476" s="1126"/>
      <c r="M476" s="1126"/>
      <c r="N476" s="1167"/>
      <c r="O476" s="462"/>
      <c r="P476" s="462"/>
      <c r="Q476" s="462"/>
      <c r="R476" s="462"/>
      <c r="S476" s="462"/>
      <c r="T476" s="1113"/>
      <c r="U476" s="1113"/>
      <c r="V476" s="1113"/>
    </row>
    <row r="477" spans="1:22" ht="15.75" customHeight="1">
      <c r="A477" s="462"/>
      <c r="B477" s="462"/>
      <c r="C477" s="1126"/>
      <c r="D477" s="1126"/>
      <c r="E477" s="1126"/>
      <c r="F477" s="1126"/>
      <c r="G477" s="1126"/>
      <c r="H477" s="1126"/>
      <c r="I477" s="1126"/>
      <c r="J477" s="1126"/>
      <c r="K477" s="1126"/>
      <c r="L477" s="1126"/>
      <c r="M477" s="1126"/>
      <c r="N477" s="1167"/>
      <c r="O477" s="462"/>
      <c r="P477" s="462"/>
      <c r="Q477" s="462"/>
      <c r="R477" s="462"/>
      <c r="S477" s="462"/>
      <c r="T477" s="1113"/>
      <c r="U477" s="1113"/>
      <c r="V477" s="1113"/>
    </row>
    <row r="478" spans="1:22" ht="15.75" customHeight="1">
      <c r="A478" s="462"/>
      <c r="B478" s="462"/>
      <c r="C478" s="1126"/>
      <c r="D478" s="1126"/>
      <c r="E478" s="1126"/>
      <c r="F478" s="1126"/>
      <c r="G478" s="1126"/>
      <c r="H478" s="1126"/>
      <c r="I478" s="1126"/>
      <c r="J478" s="1126"/>
      <c r="K478" s="1126"/>
      <c r="L478" s="1126"/>
      <c r="M478" s="1126"/>
      <c r="N478" s="1167"/>
      <c r="O478" s="462"/>
      <c r="P478" s="462"/>
      <c r="Q478" s="462"/>
      <c r="R478" s="462"/>
      <c r="S478" s="462"/>
      <c r="T478" s="1113"/>
      <c r="U478" s="1113"/>
      <c r="V478" s="1113"/>
    </row>
    <row r="479" spans="1:22" ht="15.75" customHeight="1">
      <c r="A479" s="462"/>
      <c r="B479" s="462"/>
      <c r="C479" s="1126"/>
      <c r="D479" s="1126"/>
      <c r="E479" s="1126"/>
      <c r="F479" s="1126"/>
      <c r="G479" s="1126"/>
      <c r="H479" s="1126"/>
      <c r="I479" s="1126"/>
      <c r="J479" s="1126"/>
      <c r="K479" s="1126"/>
      <c r="L479" s="1126"/>
      <c r="M479" s="1126"/>
      <c r="N479" s="1167"/>
      <c r="O479" s="462"/>
      <c r="P479" s="462"/>
      <c r="Q479" s="462"/>
      <c r="R479" s="462"/>
      <c r="S479" s="462"/>
      <c r="T479" s="1113"/>
      <c r="U479" s="1113"/>
      <c r="V479" s="1113"/>
    </row>
    <row r="480" spans="1:22" ht="15.75" customHeight="1">
      <c r="A480" s="462"/>
      <c r="B480" s="462"/>
      <c r="C480" s="1126"/>
      <c r="D480" s="1126"/>
      <c r="E480" s="1126"/>
      <c r="F480" s="1126"/>
      <c r="G480" s="1126"/>
      <c r="H480" s="1126"/>
      <c r="I480" s="1126"/>
      <c r="J480" s="1126"/>
      <c r="K480" s="1126"/>
      <c r="L480" s="1126"/>
      <c r="M480" s="1126"/>
      <c r="N480" s="1167"/>
      <c r="O480" s="462"/>
      <c r="P480" s="462"/>
      <c r="Q480" s="462"/>
      <c r="R480" s="462"/>
      <c r="S480" s="462"/>
      <c r="T480" s="1113"/>
      <c r="U480" s="1113"/>
      <c r="V480" s="1113"/>
    </row>
    <row r="481" spans="1:22" ht="15.75" customHeight="1">
      <c r="A481" s="462"/>
      <c r="B481" s="462"/>
      <c r="C481" s="1126"/>
      <c r="D481" s="1126"/>
      <c r="E481" s="1126"/>
      <c r="F481" s="1126"/>
      <c r="G481" s="1126"/>
      <c r="H481" s="1126"/>
      <c r="I481" s="1126"/>
      <c r="J481" s="1126"/>
      <c r="K481" s="1126"/>
      <c r="L481" s="1126"/>
      <c r="M481" s="1126"/>
      <c r="N481" s="1167"/>
      <c r="O481" s="462"/>
      <c r="P481" s="462"/>
      <c r="Q481" s="462"/>
      <c r="R481" s="462"/>
      <c r="S481" s="462"/>
      <c r="T481" s="1113"/>
      <c r="U481" s="1113"/>
      <c r="V481" s="1113"/>
    </row>
    <row r="482" spans="1:22" ht="15.75" customHeight="1">
      <c r="A482" s="462"/>
      <c r="B482" s="462"/>
      <c r="C482" s="1126"/>
      <c r="D482" s="1126"/>
      <c r="E482" s="1126"/>
      <c r="F482" s="1126"/>
      <c r="G482" s="1126"/>
      <c r="H482" s="1126"/>
      <c r="I482" s="1126"/>
      <c r="J482" s="1126"/>
      <c r="K482" s="1126"/>
      <c r="L482" s="1126"/>
      <c r="M482" s="1126"/>
      <c r="N482" s="1167"/>
      <c r="O482" s="462"/>
      <c r="P482" s="462"/>
      <c r="Q482" s="462"/>
      <c r="R482" s="462"/>
      <c r="S482" s="462"/>
      <c r="T482" s="1113"/>
      <c r="U482" s="1113"/>
      <c r="V482" s="1113"/>
    </row>
    <row r="483" spans="1:22" ht="15.75" customHeight="1">
      <c r="A483" s="462"/>
      <c r="B483" s="462"/>
      <c r="C483" s="1126"/>
      <c r="D483" s="1126"/>
      <c r="E483" s="1126"/>
      <c r="F483" s="1126"/>
      <c r="G483" s="1126"/>
      <c r="H483" s="1126"/>
      <c r="I483" s="1126"/>
      <c r="J483" s="1126"/>
      <c r="K483" s="1126"/>
      <c r="L483" s="1126"/>
      <c r="M483" s="1126"/>
      <c r="N483" s="1167"/>
      <c r="O483" s="462"/>
      <c r="P483" s="462"/>
      <c r="Q483" s="462"/>
      <c r="R483" s="462"/>
      <c r="S483" s="462"/>
      <c r="T483" s="1113"/>
      <c r="U483" s="1113"/>
      <c r="V483" s="1113"/>
    </row>
    <row r="484" spans="1:22" ht="15.75" customHeight="1">
      <c r="A484" s="462"/>
      <c r="B484" s="462"/>
      <c r="C484" s="1126"/>
      <c r="D484" s="1126"/>
      <c r="E484" s="1126"/>
      <c r="F484" s="1126"/>
      <c r="G484" s="1126"/>
      <c r="H484" s="1126"/>
      <c r="I484" s="1126"/>
      <c r="J484" s="1126"/>
      <c r="K484" s="1126"/>
      <c r="L484" s="1126"/>
      <c r="M484" s="1126"/>
      <c r="N484" s="1167"/>
      <c r="O484" s="462"/>
      <c r="P484" s="462"/>
      <c r="Q484" s="462"/>
      <c r="R484" s="462"/>
      <c r="S484" s="462"/>
      <c r="T484" s="1113"/>
      <c r="U484" s="1113"/>
      <c r="V484" s="1113"/>
    </row>
    <row r="485" spans="1:22" ht="15.75" customHeight="1">
      <c r="A485" s="462"/>
      <c r="B485" s="462"/>
      <c r="C485" s="1126"/>
      <c r="D485" s="1126"/>
      <c r="E485" s="1126"/>
      <c r="F485" s="1126"/>
      <c r="G485" s="1126"/>
      <c r="H485" s="1126"/>
      <c r="I485" s="1126"/>
      <c r="J485" s="1126"/>
      <c r="K485" s="1126"/>
      <c r="L485" s="1126"/>
      <c r="M485" s="1126"/>
      <c r="N485" s="1167"/>
      <c r="O485" s="462"/>
      <c r="P485" s="462"/>
      <c r="Q485" s="462"/>
      <c r="R485" s="462"/>
      <c r="S485" s="462"/>
      <c r="T485" s="1113"/>
      <c r="U485" s="1113"/>
      <c r="V485" s="1113"/>
    </row>
    <row r="486" spans="1:22" ht="15.75" customHeight="1">
      <c r="A486" s="462"/>
      <c r="B486" s="462"/>
      <c r="C486" s="1126"/>
      <c r="D486" s="1126"/>
      <c r="E486" s="1126"/>
      <c r="F486" s="1126"/>
      <c r="G486" s="1126"/>
      <c r="H486" s="1126"/>
      <c r="I486" s="1126"/>
      <c r="J486" s="1126"/>
      <c r="K486" s="1126"/>
      <c r="L486" s="1126"/>
      <c r="M486" s="1126"/>
      <c r="N486" s="1167"/>
      <c r="O486" s="462"/>
      <c r="P486" s="462"/>
      <c r="Q486" s="462"/>
      <c r="R486" s="462"/>
      <c r="S486" s="462"/>
      <c r="T486" s="1113"/>
      <c r="U486" s="1113"/>
      <c r="V486" s="1113"/>
    </row>
    <row r="487" spans="1:22" ht="15.75" customHeight="1">
      <c r="A487" s="462"/>
      <c r="B487" s="462"/>
      <c r="C487" s="1126"/>
      <c r="D487" s="1126"/>
      <c r="E487" s="1126"/>
      <c r="F487" s="1126"/>
      <c r="G487" s="1126"/>
      <c r="H487" s="1126"/>
      <c r="I487" s="1126"/>
      <c r="J487" s="1126"/>
      <c r="K487" s="1126"/>
      <c r="L487" s="1126"/>
      <c r="M487" s="1126"/>
      <c r="N487" s="1167"/>
      <c r="O487" s="462"/>
      <c r="P487" s="462"/>
      <c r="Q487" s="462"/>
      <c r="R487" s="462"/>
      <c r="S487" s="462"/>
      <c r="T487" s="1113"/>
      <c r="U487" s="1113"/>
      <c r="V487" s="1113"/>
    </row>
    <row r="488" spans="1:22" ht="15.75" customHeight="1">
      <c r="A488" s="462"/>
      <c r="B488" s="462"/>
      <c r="C488" s="1126"/>
      <c r="D488" s="1126"/>
      <c r="E488" s="1126"/>
      <c r="F488" s="1126"/>
      <c r="G488" s="1126"/>
      <c r="H488" s="1126"/>
      <c r="I488" s="1126"/>
      <c r="J488" s="1126"/>
      <c r="K488" s="1126"/>
      <c r="L488" s="1126"/>
      <c r="M488" s="1126"/>
      <c r="N488" s="1167"/>
      <c r="O488" s="462"/>
      <c r="P488" s="462"/>
      <c r="Q488" s="462"/>
      <c r="R488" s="462"/>
      <c r="S488" s="462"/>
      <c r="T488" s="1113"/>
      <c r="U488" s="1113"/>
      <c r="V488" s="1113"/>
    </row>
    <row r="489" spans="1:22" ht="15.75" customHeight="1">
      <c r="A489" s="462"/>
      <c r="B489" s="462"/>
      <c r="C489" s="1126"/>
      <c r="D489" s="1126"/>
      <c r="E489" s="1126"/>
      <c r="F489" s="1126"/>
      <c r="G489" s="1126"/>
      <c r="H489" s="1126"/>
      <c r="I489" s="1126"/>
      <c r="J489" s="1126"/>
      <c r="K489" s="1126"/>
      <c r="L489" s="1126"/>
      <c r="M489" s="1126"/>
      <c r="N489" s="1167"/>
      <c r="O489" s="462"/>
      <c r="P489" s="462"/>
      <c r="Q489" s="462"/>
      <c r="R489" s="462"/>
      <c r="S489" s="462"/>
      <c r="T489" s="1113"/>
      <c r="U489" s="1113"/>
      <c r="V489" s="1113"/>
    </row>
    <row r="490" spans="1:22" ht="15.75" customHeight="1">
      <c r="A490" s="462"/>
      <c r="B490" s="462"/>
      <c r="C490" s="1126"/>
      <c r="D490" s="1126"/>
      <c r="E490" s="1126"/>
      <c r="F490" s="1126"/>
      <c r="G490" s="1126"/>
      <c r="H490" s="1126"/>
      <c r="I490" s="1126"/>
      <c r="J490" s="1126"/>
      <c r="K490" s="1126"/>
      <c r="L490" s="1126"/>
      <c r="M490" s="1126"/>
      <c r="N490" s="1167"/>
      <c r="O490" s="462"/>
      <c r="P490" s="462"/>
      <c r="Q490" s="462"/>
      <c r="R490" s="462"/>
      <c r="S490" s="462"/>
      <c r="T490" s="1113"/>
      <c r="U490" s="1113"/>
      <c r="V490" s="1113"/>
    </row>
    <row r="491" spans="1:22" ht="15.75" customHeight="1">
      <c r="A491" s="462"/>
      <c r="B491" s="462"/>
      <c r="C491" s="1126"/>
      <c r="D491" s="1126"/>
      <c r="E491" s="1126"/>
      <c r="F491" s="1126"/>
      <c r="G491" s="1126"/>
      <c r="H491" s="1126"/>
      <c r="I491" s="1126"/>
      <c r="J491" s="1126"/>
      <c r="K491" s="1126"/>
      <c r="L491" s="1126"/>
      <c r="M491" s="1126"/>
      <c r="N491" s="1167"/>
      <c r="O491" s="462"/>
      <c r="P491" s="462"/>
      <c r="Q491" s="462"/>
      <c r="R491" s="462"/>
      <c r="S491" s="462"/>
      <c r="T491" s="1113"/>
      <c r="U491" s="1113"/>
      <c r="V491" s="1113"/>
    </row>
    <row r="492" spans="1:22" ht="15.75" customHeight="1">
      <c r="A492" s="462"/>
      <c r="B492" s="462"/>
      <c r="C492" s="1126"/>
      <c r="D492" s="1126"/>
      <c r="E492" s="1126"/>
      <c r="F492" s="1126"/>
      <c r="G492" s="1126"/>
      <c r="H492" s="1126"/>
      <c r="I492" s="1126"/>
      <c r="J492" s="1126"/>
      <c r="K492" s="1126"/>
      <c r="L492" s="1126"/>
      <c r="M492" s="1126"/>
      <c r="N492" s="1167"/>
      <c r="O492" s="462"/>
      <c r="P492" s="462"/>
      <c r="Q492" s="462"/>
      <c r="R492" s="462"/>
      <c r="S492" s="462"/>
      <c r="T492" s="1113"/>
      <c r="U492" s="1113"/>
      <c r="V492" s="1113"/>
    </row>
    <row r="493" spans="1:22" ht="15.75" customHeight="1">
      <c r="A493" s="462"/>
      <c r="B493" s="462"/>
      <c r="C493" s="1126"/>
      <c r="D493" s="1126"/>
      <c r="E493" s="1126"/>
      <c r="F493" s="1126"/>
      <c r="G493" s="1126"/>
      <c r="H493" s="1126"/>
      <c r="I493" s="1126"/>
      <c r="J493" s="1126"/>
      <c r="K493" s="1126"/>
      <c r="L493" s="1126"/>
      <c r="M493" s="1126"/>
      <c r="N493" s="1167"/>
      <c r="O493" s="462"/>
      <c r="P493" s="462"/>
      <c r="Q493" s="462"/>
      <c r="R493" s="462"/>
      <c r="S493" s="462"/>
      <c r="T493" s="1113"/>
      <c r="U493" s="1113"/>
      <c r="V493" s="1113"/>
    </row>
    <row r="494" spans="1:22" ht="15.75" customHeight="1">
      <c r="A494" s="462"/>
      <c r="B494" s="462"/>
      <c r="C494" s="1126"/>
      <c r="D494" s="1126"/>
      <c r="E494" s="1126"/>
      <c r="F494" s="1126"/>
      <c r="G494" s="1126"/>
      <c r="H494" s="1126"/>
      <c r="I494" s="1126"/>
      <c r="J494" s="1126"/>
      <c r="K494" s="1126"/>
      <c r="L494" s="1126"/>
      <c r="M494" s="1126"/>
      <c r="N494" s="1167"/>
      <c r="O494" s="462"/>
      <c r="P494" s="462"/>
      <c r="Q494" s="462"/>
      <c r="R494" s="462"/>
      <c r="S494" s="462"/>
      <c r="T494" s="1113"/>
      <c r="U494" s="1113"/>
      <c r="V494" s="1113"/>
    </row>
    <row r="495" spans="1:22" ht="15.75" customHeight="1">
      <c r="A495" s="462"/>
      <c r="B495" s="462"/>
      <c r="C495" s="1126"/>
      <c r="D495" s="1126"/>
      <c r="E495" s="1126"/>
      <c r="F495" s="1126"/>
      <c r="G495" s="1126"/>
      <c r="H495" s="1126"/>
      <c r="I495" s="1126"/>
      <c r="J495" s="1126"/>
      <c r="K495" s="1126"/>
      <c r="L495" s="1126"/>
      <c r="M495" s="1126"/>
      <c r="N495" s="1167"/>
      <c r="O495" s="462"/>
      <c r="P495" s="462"/>
      <c r="Q495" s="462"/>
      <c r="R495" s="462"/>
      <c r="S495" s="462"/>
      <c r="T495" s="1113"/>
      <c r="U495" s="1113"/>
      <c r="V495" s="1113"/>
    </row>
    <row r="496" spans="1:22" ht="15.75" customHeight="1">
      <c r="A496" s="462"/>
      <c r="B496" s="462"/>
      <c r="C496" s="1126"/>
      <c r="D496" s="1126"/>
      <c r="E496" s="1126"/>
      <c r="F496" s="1126"/>
      <c r="G496" s="1126"/>
      <c r="H496" s="1126"/>
      <c r="I496" s="1126"/>
      <c r="J496" s="1126"/>
      <c r="K496" s="1126"/>
      <c r="L496" s="1126"/>
      <c r="M496" s="1126"/>
      <c r="N496" s="1167"/>
      <c r="O496" s="462"/>
      <c r="P496" s="462"/>
      <c r="Q496" s="462"/>
      <c r="R496" s="462"/>
      <c r="S496" s="462"/>
      <c r="T496" s="1113"/>
      <c r="U496" s="1113"/>
      <c r="V496" s="1113"/>
    </row>
    <row r="497" spans="1:22" ht="15.75" customHeight="1">
      <c r="A497" s="462"/>
      <c r="B497" s="462"/>
      <c r="C497" s="1126"/>
      <c r="D497" s="1126"/>
      <c r="E497" s="1126"/>
      <c r="F497" s="1126"/>
      <c r="G497" s="1126"/>
      <c r="H497" s="1126"/>
      <c r="I497" s="1126"/>
      <c r="J497" s="1126"/>
      <c r="K497" s="1126"/>
      <c r="L497" s="1126"/>
      <c r="M497" s="1126"/>
      <c r="N497" s="1167"/>
      <c r="O497" s="462"/>
      <c r="P497" s="462"/>
      <c r="Q497" s="462"/>
      <c r="R497" s="462"/>
      <c r="S497" s="462"/>
      <c r="T497" s="1113"/>
      <c r="U497" s="1113"/>
      <c r="V497" s="1113"/>
    </row>
    <row r="498" spans="1:22" ht="15.75" customHeight="1">
      <c r="A498" s="462"/>
      <c r="B498" s="462"/>
      <c r="C498" s="1126"/>
      <c r="D498" s="1126"/>
      <c r="E498" s="1126"/>
      <c r="F498" s="1126"/>
      <c r="G498" s="1126"/>
      <c r="H498" s="1126"/>
      <c r="I498" s="1126"/>
      <c r="J498" s="1126"/>
      <c r="K498" s="1126"/>
      <c r="L498" s="1126"/>
      <c r="M498" s="1126"/>
      <c r="N498" s="1167"/>
      <c r="O498" s="462"/>
      <c r="P498" s="462"/>
      <c r="Q498" s="462"/>
      <c r="R498" s="462"/>
      <c r="S498" s="462"/>
      <c r="T498" s="1113"/>
      <c r="U498" s="1113"/>
      <c r="V498" s="1113"/>
    </row>
    <row r="499" spans="1:22" ht="15.75" customHeight="1">
      <c r="A499" s="462"/>
      <c r="B499" s="462"/>
      <c r="C499" s="1126"/>
      <c r="D499" s="1126"/>
      <c r="E499" s="1126"/>
      <c r="F499" s="1126"/>
      <c r="G499" s="1126"/>
      <c r="H499" s="1126"/>
      <c r="I499" s="1126"/>
      <c r="J499" s="1126"/>
      <c r="K499" s="1126"/>
      <c r="L499" s="1126"/>
      <c r="M499" s="1126"/>
      <c r="N499" s="1167"/>
      <c r="O499" s="462"/>
      <c r="P499" s="462"/>
      <c r="Q499" s="462"/>
      <c r="R499" s="462"/>
      <c r="S499" s="462"/>
      <c r="T499" s="1113"/>
      <c r="U499" s="1113"/>
      <c r="V499" s="1113"/>
    </row>
    <row r="500" spans="1:22" ht="15.75" customHeight="1">
      <c r="A500" s="462"/>
      <c r="B500" s="462"/>
      <c r="C500" s="1126"/>
      <c r="D500" s="1126"/>
      <c r="E500" s="1126"/>
      <c r="F500" s="1126"/>
      <c r="G500" s="1126"/>
      <c r="H500" s="1126"/>
      <c r="I500" s="1126"/>
      <c r="J500" s="1126"/>
      <c r="K500" s="1126"/>
      <c r="L500" s="1126"/>
      <c r="M500" s="1126"/>
      <c r="N500" s="1167"/>
      <c r="O500" s="462"/>
      <c r="P500" s="462"/>
      <c r="Q500" s="462"/>
      <c r="R500" s="462"/>
      <c r="S500" s="462"/>
      <c r="T500" s="1113"/>
      <c r="U500" s="1113"/>
      <c r="V500" s="1113"/>
    </row>
    <row r="501" spans="1:22" ht="15.75" customHeight="1">
      <c r="A501" s="462"/>
      <c r="B501" s="462"/>
      <c r="C501" s="1126"/>
      <c r="D501" s="1126"/>
      <c r="E501" s="1126"/>
      <c r="F501" s="1126"/>
      <c r="G501" s="1126"/>
      <c r="H501" s="1126"/>
      <c r="I501" s="1126"/>
      <c r="J501" s="1126"/>
      <c r="K501" s="1126"/>
      <c r="L501" s="1126"/>
      <c r="M501" s="1126"/>
      <c r="N501" s="1167"/>
      <c r="O501" s="462"/>
      <c r="P501" s="462"/>
      <c r="Q501" s="462"/>
      <c r="R501" s="462"/>
      <c r="S501" s="462"/>
      <c r="T501" s="1113"/>
      <c r="U501" s="1113"/>
      <c r="V501" s="1113"/>
    </row>
    <row r="502" spans="1:22" ht="15.75" customHeight="1">
      <c r="A502" s="462"/>
      <c r="B502" s="462"/>
      <c r="C502" s="1126"/>
      <c r="D502" s="1126"/>
      <c r="E502" s="1126"/>
      <c r="F502" s="1126"/>
      <c r="G502" s="1126"/>
      <c r="H502" s="1126"/>
      <c r="I502" s="1126"/>
      <c r="J502" s="1126"/>
      <c r="K502" s="1126"/>
      <c r="L502" s="1126"/>
      <c r="M502" s="1126"/>
      <c r="N502" s="1167"/>
      <c r="O502" s="462"/>
      <c r="P502" s="462"/>
      <c r="Q502" s="462"/>
      <c r="R502" s="462"/>
      <c r="S502" s="462"/>
      <c r="T502" s="1113"/>
      <c r="U502" s="1113"/>
      <c r="V502" s="1113"/>
    </row>
    <row r="503" spans="1:22" ht="15.75" customHeight="1">
      <c r="A503" s="462"/>
      <c r="B503" s="462"/>
      <c r="C503" s="1126"/>
      <c r="D503" s="1126"/>
      <c r="E503" s="1126"/>
      <c r="F503" s="1126"/>
      <c r="G503" s="1126"/>
      <c r="H503" s="1126"/>
      <c r="I503" s="1126"/>
      <c r="J503" s="1126"/>
      <c r="K503" s="1126"/>
      <c r="L503" s="1126"/>
      <c r="M503" s="1126"/>
      <c r="N503" s="1167"/>
      <c r="O503" s="462"/>
      <c r="P503" s="462"/>
      <c r="Q503" s="462"/>
      <c r="R503" s="462"/>
      <c r="S503" s="462"/>
      <c r="T503" s="1113"/>
      <c r="U503" s="1113"/>
      <c r="V503" s="1113"/>
    </row>
    <row r="504" spans="1:22" ht="15.75" customHeight="1">
      <c r="A504" s="462"/>
      <c r="B504" s="462"/>
      <c r="C504" s="1126"/>
      <c r="D504" s="1126"/>
      <c r="E504" s="1126"/>
      <c r="F504" s="1126"/>
      <c r="G504" s="1126"/>
      <c r="H504" s="1126"/>
      <c r="I504" s="1126"/>
      <c r="J504" s="1126"/>
      <c r="K504" s="1126"/>
      <c r="L504" s="1126"/>
      <c r="M504" s="1126"/>
      <c r="N504" s="1167"/>
      <c r="O504" s="462"/>
      <c r="P504" s="462"/>
      <c r="Q504" s="462"/>
      <c r="R504" s="462"/>
      <c r="S504" s="462"/>
      <c r="T504" s="1113"/>
      <c r="U504" s="1113"/>
      <c r="V504" s="1113"/>
    </row>
    <row r="505" spans="1:22" ht="15.75" customHeight="1">
      <c r="A505" s="462"/>
      <c r="B505" s="462"/>
      <c r="C505" s="1126"/>
      <c r="D505" s="1126"/>
      <c r="E505" s="1126"/>
      <c r="F505" s="1126"/>
      <c r="G505" s="1126"/>
      <c r="H505" s="1126"/>
      <c r="I505" s="1126"/>
      <c r="J505" s="1126"/>
      <c r="K505" s="1126"/>
      <c r="L505" s="1126"/>
      <c r="M505" s="1126"/>
      <c r="N505" s="1167"/>
      <c r="O505" s="462"/>
      <c r="P505" s="462"/>
      <c r="Q505" s="462"/>
      <c r="R505" s="462"/>
      <c r="S505" s="462"/>
      <c r="T505" s="1113"/>
      <c r="U505" s="1113"/>
      <c r="V505" s="1113"/>
    </row>
    <row r="506" spans="1:22" ht="15.75" customHeight="1">
      <c r="A506" s="462"/>
      <c r="B506" s="462"/>
      <c r="C506" s="1126"/>
      <c r="D506" s="1126"/>
      <c r="E506" s="1126"/>
      <c r="F506" s="1126"/>
      <c r="G506" s="1126"/>
      <c r="H506" s="1126"/>
      <c r="I506" s="1126"/>
      <c r="J506" s="1126"/>
      <c r="K506" s="1126"/>
      <c r="L506" s="1126"/>
      <c r="M506" s="1126"/>
      <c r="N506" s="1167"/>
      <c r="O506" s="462"/>
      <c r="P506" s="462"/>
      <c r="Q506" s="462"/>
      <c r="R506" s="462"/>
      <c r="S506" s="462"/>
      <c r="T506" s="1113"/>
      <c r="U506" s="1113"/>
      <c r="V506" s="1113"/>
    </row>
    <row r="507" spans="1:22" ht="15.75" customHeight="1">
      <c r="A507" s="462"/>
      <c r="B507" s="462"/>
      <c r="C507" s="1126"/>
      <c r="D507" s="1126"/>
      <c r="E507" s="1126"/>
      <c r="F507" s="1126"/>
      <c r="G507" s="1126"/>
      <c r="H507" s="1126"/>
      <c r="I507" s="1126"/>
      <c r="J507" s="1126"/>
      <c r="K507" s="1126"/>
      <c r="L507" s="1126"/>
      <c r="M507" s="1126"/>
      <c r="N507" s="1167"/>
      <c r="O507" s="462"/>
      <c r="P507" s="462"/>
      <c r="Q507" s="462"/>
      <c r="R507" s="462"/>
      <c r="S507" s="462"/>
      <c r="T507" s="1113"/>
      <c r="U507" s="1113"/>
      <c r="V507" s="1113"/>
    </row>
    <row r="508" spans="1:22" ht="15.75" customHeight="1">
      <c r="A508" s="462"/>
      <c r="B508" s="462"/>
      <c r="C508" s="1126"/>
      <c r="D508" s="1126"/>
      <c r="E508" s="1126"/>
      <c r="F508" s="1126"/>
      <c r="G508" s="1126"/>
      <c r="H508" s="1126"/>
      <c r="I508" s="1126"/>
      <c r="J508" s="1126"/>
      <c r="K508" s="1126"/>
      <c r="L508" s="1126"/>
      <c r="M508" s="1126"/>
      <c r="N508" s="1167"/>
      <c r="O508" s="462"/>
      <c r="P508" s="462"/>
      <c r="Q508" s="462"/>
      <c r="R508" s="462"/>
      <c r="S508" s="462"/>
      <c r="T508" s="1113"/>
      <c r="U508" s="1113"/>
      <c r="V508" s="1113"/>
    </row>
    <row r="509" spans="1:22" ht="15.75" customHeight="1">
      <c r="A509" s="462"/>
      <c r="B509" s="462"/>
      <c r="C509" s="1126"/>
      <c r="D509" s="1126"/>
      <c r="E509" s="1126"/>
      <c r="F509" s="1126"/>
      <c r="G509" s="1126"/>
      <c r="H509" s="1126"/>
      <c r="I509" s="1126"/>
      <c r="J509" s="1126"/>
      <c r="K509" s="1126"/>
      <c r="L509" s="1126"/>
      <c r="M509" s="1126"/>
      <c r="N509" s="1167"/>
      <c r="O509" s="462"/>
      <c r="P509" s="462"/>
      <c r="Q509" s="462"/>
      <c r="R509" s="462"/>
      <c r="S509" s="462"/>
      <c r="T509" s="1113"/>
      <c r="U509" s="1113"/>
      <c r="V509" s="1113"/>
    </row>
    <row r="510" spans="1:22" ht="15.75" customHeight="1">
      <c r="A510" s="462"/>
      <c r="B510" s="462"/>
      <c r="C510" s="1126"/>
      <c r="D510" s="1126"/>
      <c r="E510" s="1126"/>
      <c r="F510" s="1126"/>
      <c r="G510" s="1126"/>
      <c r="H510" s="1126"/>
      <c r="I510" s="1126"/>
      <c r="J510" s="1126"/>
      <c r="K510" s="1126"/>
      <c r="L510" s="1126"/>
      <c r="M510" s="1126"/>
      <c r="N510" s="1167"/>
      <c r="O510" s="462"/>
      <c r="P510" s="462"/>
      <c r="Q510" s="462"/>
      <c r="R510" s="462"/>
      <c r="S510" s="462"/>
      <c r="T510" s="1113"/>
      <c r="U510" s="1113"/>
      <c r="V510" s="1113"/>
    </row>
    <row r="511" spans="1:22" ht="15.75" customHeight="1">
      <c r="A511" s="462"/>
      <c r="B511" s="462"/>
      <c r="C511" s="1126"/>
      <c r="D511" s="1126"/>
      <c r="E511" s="1126"/>
      <c r="F511" s="1126"/>
      <c r="G511" s="1126"/>
      <c r="H511" s="1126"/>
      <c r="I511" s="1126"/>
      <c r="J511" s="1126"/>
      <c r="K511" s="1126"/>
      <c r="L511" s="1126"/>
      <c r="M511" s="1126"/>
      <c r="N511" s="1167"/>
      <c r="O511" s="462"/>
      <c r="P511" s="462"/>
      <c r="Q511" s="462"/>
      <c r="R511" s="462"/>
      <c r="S511" s="462"/>
      <c r="T511" s="1113"/>
      <c r="U511" s="1113"/>
      <c r="V511" s="1113"/>
    </row>
    <row r="512" spans="1:22" ht="15.75" customHeight="1">
      <c r="A512" s="462"/>
      <c r="B512" s="462"/>
      <c r="C512" s="1126"/>
      <c r="D512" s="1126"/>
      <c r="E512" s="1126"/>
      <c r="F512" s="1126"/>
      <c r="G512" s="1126"/>
      <c r="H512" s="1126"/>
      <c r="I512" s="1126"/>
      <c r="J512" s="1126"/>
      <c r="K512" s="1126"/>
      <c r="L512" s="1126"/>
      <c r="M512" s="1126"/>
      <c r="N512" s="1167"/>
      <c r="O512" s="462"/>
      <c r="P512" s="462"/>
      <c r="Q512" s="462"/>
      <c r="R512" s="462"/>
      <c r="S512" s="462"/>
      <c r="T512" s="1113"/>
      <c r="U512" s="1113"/>
      <c r="V512" s="1113"/>
    </row>
    <row r="513" spans="1:22" ht="15.75" customHeight="1">
      <c r="A513" s="462"/>
      <c r="B513" s="462"/>
      <c r="C513" s="1126"/>
      <c r="D513" s="1126"/>
      <c r="E513" s="1126"/>
      <c r="F513" s="1126"/>
      <c r="G513" s="1126"/>
      <c r="H513" s="1126"/>
      <c r="I513" s="1126"/>
      <c r="J513" s="1126"/>
      <c r="K513" s="1126"/>
      <c r="L513" s="1126"/>
      <c r="M513" s="1126"/>
      <c r="N513" s="1167"/>
      <c r="O513" s="462"/>
      <c r="P513" s="462"/>
      <c r="Q513" s="462"/>
      <c r="R513" s="462"/>
      <c r="S513" s="462"/>
      <c r="T513" s="1113"/>
      <c r="U513" s="1113"/>
      <c r="V513" s="1113"/>
    </row>
    <row r="514" spans="1:22" ht="15.75" customHeight="1">
      <c r="A514" s="462"/>
      <c r="B514" s="462"/>
      <c r="C514" s="1126"/>
      <c r="D514" s="1126"/>
      <c r="E514" s="1126"/>
      <c r="F514" s="1126"/>
      <c r="G514" s="1126"/>
      <c r="H514" s="1126"/>
      <c r="I514" s="1126"/>
      <c r="J514" s="1126"/>
      <c r="K514" s="1126"/>
      <c r="L514" s="1126"/>
      <c r="M514" s="1126"/>
      <c r="N514" s="1167"/>
      <c r="O514" s="462"/>
      <c r="P514" s="462"/>
      <c r="Q514" s="462"/>
      <c r="R514" s="462"/>
      <c r="S514" s="462"/>
      <c r="T514" s="1113"/>
      <c r="U514" s="1113"/>
      <c r="V514" s="1113"/>
    </row>
    <row r="515" spans="1:22" ht="15.75" customHeight="1">
      <c r="A515" s="462"/>
      <c r="B515" s="462"/>
      <c r="C515" s="1126"/>
      <c r="D515" s="1126"/>
      <c r="E515" s="1126"/>
      <c r="F515" s="1126"/>
      <c r="G515" s="1126"/>
      <c r="H515" s="1126"/>
      <c r="I515" s="1126"/>
      <c r="J515" s="1126"/>
      <c r="K515" s="1126"/>
      <c r="L515" s="1126"/>
      <c r="M515" s="1126"/>
      <c r="N515" s="1167"/>
      <c r="O515" s="462"/>
      <c r="P515" s="462"/>
      <c r="Q515" s="462"/>
      <c r="R515" s="462"/>
      <c r="S515" s="462"/>
      <c r="T515" s="1113"/>
      <c r="U515" s="1113"/>
      <c r="V515" s="1113"/>
    </row>
    <row r="516" spans="1:22" ht="15.75" customHeight="1">
      <c r="A516" s="462"/>
      <c r="B516" s="462"/>
      <c r="C516" s="1126"/>
      <c r="D516" s="1126"/>
      <c r="E516" s="1126"/>
      <c r="F516" s="1126"/>
      <c r="G516" s="1126"/>
      <c r="H516" s="1126"/>
      <c r="I516" s="1126"/>
      <c r="J516" s="1126"/>
      <c r="K516" s="1126"/>
      <c r="L516" s="1126"/>
      <c r="M516" s="1126"/>
      <c r="N516" s="1167"/>
      <c r="O516" s="462"/>
      <c r="P516" s="462"/>
      <c r="Q516" s="462"/>
      <c r="R516" s="462"/>
      <c r="S516" s="462"/>
      <c r="T516" s="1113"/>
      <c r="U516" s="1113"/>
      <c r="V516" s="1113"/>
    </row>
    <row r="517" spans="1:22" ht="15.75" customHeight="1">
      <c r="A517" s="462"/>
      <c r="B517" s="462"/>
      <c r="C517" s="1126"/>
      <c r="D517" s="1126"/>
      <c r="E517" s="1126"/>
      <c r="F517" s="1126"/>
      <c r="G517" s="1126"/>
      <c r="H517" s="1126"/>
      <c r="I517" s="1126"/>
      <c r="J517" s="1126"/>
      <c r="K517" s="1126"/>
      <c r="L517" s="1126"/>
      <c r="M517" s="1126"/>
      <c r="N517" s="1167"/>
      <c r="O517" s="462"/>
      <c r="P517" s="462"/>
      <c r="Q517" s="462"/>
      <c r="R517" s="462"/>
      <c r="S517" s="462"/>
      <c r="T517" s="1113"/>
      <c r="U517" s="1113"/>
      <c r="V517" s="1113"/>
    </row>
    <row r="518" spans="1:22" ht="15.75" customHeight="1">
      <c r="A518" s="462"/>
      <c r="B518" s="462"/>
      <c r="C518" s="1126"/>
      <c r="D518" s="1126"/>
      <c r="E518" s="1126"/>
      <c r="F518" s="1126"/>
      <c r="G518" s="1126"/>
      <c r="H518" s="1126"/>
      <c r="I518" s="1126"/>
      <c r="J518" s="1126"/>
      <c r="K518" s="1126"/>
      <c r="L518" s="1126"/>
      <c r="M518" s="1126"/>
      <c r="N518" s="1167"/>
      <c r="O518" s="462"/>
      <c r="P518" s="462"/>
      <c r="Q518" s="462"/>
      <c r="R518" s="462"/>
      <c r="S518" s="462"/>
      <c r="T518" s="1113"/>
      <c r="U518" s="1113"/>
      <c r="V518" s="1113"/>
    </row>
    <row r="519" spans="1:22" ht="15.75" customHeight="1">
      <c r="A519" s="462"/>
      <c r="B519" s="462"/>
      <c r="C519" s="1126"/>
      <c r="D519" s="1126"/>
      <c r="E519" s="1126"/>
      <c r="F519" s="1126"/>
      <c r="G519" s="1126"/>
      <c r="H519" s="1126"/>
      <c r="I519" s="1126"/>
      <c r="J519" s="1126"/>
      <c r="K519" s="1126"/>
      <c r="L519" s="1126"/>
      <c r="M519" s="1126"/>
      <c r="N519" s="1167"/>
      <c r="O519" s="462"/>
      <c r="P519" s="462"/>
      <c r="Q519" s="462"/>
      <c r="R519" s="462"/>
      <c r="S519" s="462"/>
      <c r="T519" s="1113"/>
      <c r="U519" s="1113"/>
      <c r="V519" s="1113"/>
    </row>
    <row r="520" spans="1:22" ht="15.75" customHeight="1">
      <c r="A520" s="462"/>
      <c r="B520" s="462"/>
      <c r="C520" s="1126"/>
      <c r="D520" s="1126"/>
      <c r="E520" s="1126"/>
      <c r="F520" s="1126"/>
      <c r="G520" s="1126"/>
      <c r="H520" s="1126"/>
      <c r="I520" s="1126"/>
      <c r="J520" s="1126"/>
      <c r="K520" s="1126"/>
      <c r="L520" s="1126"/>
      <c r="M520" s="1126"/>
      <c r="N520" s="1167"/>
      <c r="O520" s="462"/>
      <c r="P520" s="462"/>
      <c r="Q520" s="462"/>
      <c r="R520" s="462"/>
      <c r="S520" s="462"/>
      <c r="T520" s="1113"/>
      <c r="U520" s="1113"/>
      <c r="V520" s="1113"/>
    </row>
    <row r="521" spans="1:22" ht="15.75" customHeight="1">
      <c r="A521" s="462"/>
      <c r="B521" s="462"/>
      <c r="C521" s="1126"/>
      <c r="D521" s="1126"/>
      <c r="E521" s="1126"/>
      <c r="F521" s="1126"/>
      <c r="G521" s="1126"/>
      <c r="H521" s="1126"/>
      <c r="I521" s="1126"/>
      <c r="J521" s="1126"/>
      <c r="K521" s="1126"/>
      <c r="L521" s="1126"/>
      <c r="M521" s="1126"/>
      <c r="N521" s="1167"/>
      <c r="O521" s="462"/>
      <c r="P521" s="462"/>
      <c r="Q521" s="462"/>
      <c r="R521" s="462"/>
      <c r="S521" s="462"/>
      <c r="T521" s="1113"/>
      <c r="U521" s="1113"/>
      <c r="V521" s="1113"/>
    </row>
    <row r="522" spans="1:22" ht="15.75" customHeight="1">
      <c r="A522" s="462"/>
      <c r="B522" s="462"/>
      <c r="C522" s="1126"/>
      <c r="D522" s="1126"/>
      <c r="E522" s="1126"/>
      <c r="F522" s="1126"/>
      <c r="G522" s="1126"/>
      <c r="H522" s="1126"/>
      <c r="I522" s="1126"/>
      <c r="J522" s="1126"/>
      <c r="K522" s="1126"/>
      <c r="L522" s="1126"/>
      <c r="M522" s="1126"/>
      <c r="N522" s="1167"/>
      <c r="O522" s="462"/>
      <c r="P522" s="462"/>
      <c r="Q522" s="462"/>
      <c r="R522" s="462"/>
      <c r="S522" s="462"/>
      <c r="T522" s="1113"/>
      <c r="U522" s="1113"/>
      <c r="V522" s="1113"/>
    </row>
    <row r="523" spans="1:22" ht="15.75" customHeight="1">
      <c r="A523" s="462"/>
      <c r="B523" s="462"/>
      <c r="C523" s="1126"/>
      <c r="D523" s="1126"/>
      <c r="E523" s="1126"/>
      <c r="F523" s="1126"/>
      <c r="G523" s="1126"/>
      <c r="H523" s="1126"/>
      <c r="I523" s="1126"/>
      <c r="J523" s="1126"/>
      <c r="K523" s="1126"/>
      <c r="L523" s="1126"/>
      <c r="M523" s="1126"/>
      <c r="N523" s="1167"/>
      <c r="O523" s="462"/>
      <c r="P523" s="462"/>
      <c r="Q523" s="462"/>
      <c r="R523" s="462"/>
      <c r="S523" s="462"/>
      <c r="T523" s="1113"/>
      <c r="U523" s="1113"/>
      <c r="V523" s="1113"/>
    </row>
    <row r="524" spans="1:22" ht="15.75" customHeight="1">
      <c r="A524" s="462"/>
      <c r="B524" s="462"/>
      <c r="C524" s="1126"/>
      <c r="D524" s="1126"/>
      <c r="E524" s="1126"/>
      <c r="F524" s="1126"/>
      <c r="G524" s="1126"/>
      <c r="H524" s="1126"/>
      <c r="I524" s="1126"/>
      <c r="J524" s="1126"/>
      <c r="K524" s="1126"/>
      <c r="L524" s="1126"/>
      <c r="M524" s="1126"/>
      <c r="N524" s="1167"/>
      <c r="O524" s="462"/>
      <c r="P524" s="462"/>
      <c r="Q524" s="462"/>
      <c r="R524" s="462"/>
      <c r="S524" s="462"/>
      <c r="T524" s="1113"/>
      <c r="U524" s="1113"/>
      <c r="V524" s="1113"/>
    </row>
    <row r="525" spans="1:22" ht="15.75" customHeight="1">
      <c r="A525" s="462"/>
      <c r="B525" s="462"/>
      <c r="C525" s="1126"/>
      <c r="D525" s="1126"/>
      <c r="E525" s="1126"/>
      <c r="F525" s="1126"/>
      <c r="G525" s="1126"/>
      <c r="H525" s="1126"/>
      <c r="I525" s="1126"/>
      <c r="J525" s="1126"/>
      <c r="K525" s="1126"/>
      <c r="L525" s="1126"/>
      <c r="M525" s="1126"/>
      <c r="N525" s="1167"/>
      <c r="O525" s="462"/>
      <c r="P525" s="462"/>
      <c r="Q525" s="462"/>
      <c r="R525" s="462"/>
      <c r="S525" s="462"/>
      <c r="T525" s="1113"/>
      <c r="U525" s="1113"/>
      <c r="V525" s="1113"/>
    </row>
    <row r="526" spans="1:22" ht="15.75" customHeight="1">
      <c r="A526" s="462"/>
      <c r="B526" s="462"/>
      <c r="C526" s="1126"/>
      <c r="D526" s="1126"/>
      <c r="E526" s="1126"/>
      <c r="F526" s="1126"/>
      <c r="G526" s="1126"/>
      <c r="H526" s="1126"/>
      <c r="I526" s="1126"/>
      <c r="J526" s="1126"/>
      <c r="K526" s="1126"/>
      <c r="L526" s="1126"/>
      <c r="M526" s="1126"/>
      <c r="N526" s="1167"/>
      <c r="O526" s="462"/>
      <c r="P526" s="462"/>
      <c r="Q526" s="462"/>
      <c r="R526" s="462"/>
      <c r="S526" s="462"/>
      <c r="T526" s="1113"/>
      <c r="U526" s="1113"/>
      <c r="V526" s="1113"/>
    </row>
    <row r="527" spans="1:22" ht="15.75" customHeight="1">
      <c r="A527" s="462"/>
      <c r="B527" s="462"/>
      <c r="C527" s="1126"/>
      <c r="D527" s="1126"/>
      <c r="E527" s="1126"/>
      <c r="F527" s="1126"/>
      <c r="G527" s="1126"/>
      <c r="H527" s="1126"/>
      <c r="I527" s="1126"/>
      <c r="J527" s="1126"/>
      <c r="K527" s="1126"/>
      <c r="L527" s="1126"/>
      <c r="M527" s="1126"/>
      <c r="N527" s="1167"/>
      <c r="O527" s="462"/>
      <c r="P527" s="462"/>
      <c r="Q527" s="462"/>
      <c r="R527" s="462"/>
      <c r="S527" s="462"/>
      <c r="T527" s="1113"/>
      <c r="U527" s="1113"/>
      <c r="V527" s="1113"/>
    </row>
    <row r="528" spans="1:22" ht="15.75" customHeight="1">
      <c r="A528" s="462"/>
      <c r="B528" s="462"/>
      <c r="C528" s="1126"/>
      <c r="D528" s="1126"/>
      <c r="E528" s="1126"/>
      <c r="F528" s="1126"/>
      <c r="G528" s="1126"/>
      <c r="H528" s="1126"/>
      <c r="I528" s="1126"/>
      <c r="J528" s="1126"/>
      <c r="K528" s="1126"/>
      <c r="L528" s="1126"/>
      <c r="M528" s="1126"/>
      <c r="N528" s="1167"/>
      <c r="O528" s="462"/>
      <c r="P528" s="462"/>
      <c r="Q528" s="462"/>
      <c r="R528" s="462"/>
      <c r="S528" s="462"/>
      <c r="T528" s="1113"/>
      <c r="U528" s="1113"/>
      <c r="V528" s="1113"/>
    </row>
    <row r="529" spans="1:22" ht="15.75" customHeight="1">
      <c r="A529" s="462"/>
      <c r="B529" s="462"/>
      <c r="C529" s="1126"/>
      <c r="D529" s="1126"/>
      <c r="E529" s="1126"/>
      <c r="F529" s="1126"/>
      <c r="G529" s="1126"/>
      <c r="H529" s="1126"/>
      <c r="I529" s="1126"/>
      <c r="J529" s="1126"/>
      <c r="K529" s="1126"/>
      <c r="L529" s="1126"/>
      <c r="M529" s="1126"/>
      <c r="N529" s="1167"/>
      <c r="O529" s="462"/>
      <c r="P529" s="462"/>
      <c r="Q529" s="462"/>
      <c r="R529" s="462"/>
      <c r="S529" s="462"/>
      <c r="T529" s="1113"/>
      <c r="U529" s="1113"/>
      <c r="V529" s="1113"/>
    </row>
    <row r="530" spans="1:22" ht="15.75" customHeight="1">
      <c r="A530" s="462"/>
      <c r="B530" s="462"/>
      <c r="C530" s="1126"/>
      <c r="D530" s="1126"/>
      <c r="E530" s="1126"/>
      <c r="F530" s="1126"/>
      <c r="G530" s="1126"/>
      <c r="H530" s="1126"/>
      <c r="I530" s="1126"/>
      <c r="J530" s="1126"/>
      <c r="K530" s="1126"/>
      <c r="L530" s="1126"/>
      <c r="M530" s="1126"/>
      <c r="N530" s="1167"/>
      <c r="O530" s="462"/>
      <c r="P530" s="462"/>
      <c r="Q530" s="462"/>
      <c r="R530" s="462"/>
      <c r="S530" s="462"/>
      <c r="T530" s="1113"/>
      <c r="U530" s="1113"/>
      <c r="V530" s="1113"/>
    </row>
    <row r="531" spans="1:22" ht="15.75" customHeight="1">
      <c r="A531" s="462"/>
      <c r="B531" s="462"/>
      <c r="C531" s="1126"/>
      <c r="D531" s="1126"/>
      <c r="E531" s="1126"/>
      <c r="F531" s="1126"/>
      <c r="G531" s="1126"/>
      <c r="H531" s="1126"/>
      <c r="I531" s="1126"/>
      <c r="J531" s="1126"/>
      <c r="K531" s="1126"/>
      <c r="L531" s="1126"/>
      <c r="M531" s="1126"/>
      <c r="N531" s="1167"/>
      <c r="O531" s="462"/>
      <c r="P531" s="462"/>
      <c r="Q531" s="462"/>
      <c r="R531" s="462"/>
      <c r="S531" s="462"/>
      <c r="T531" s="1113"/>
      <c r="U531" s="1113"/>
      <c r="V531" s="1113"/>
    </row>
    <row r="532" spans="1:22" ht="15.75" customHeight="1">
      <c r="A532" s="462"/>
      <c r="B532" s="462"/>
      <c r="C532" s="1126"/>
      <c r="D532" s="1126"/>
      <c r="E532" s="1126"/>
      <c r="F532" s="1126"/>
      <c r="G532" s="1126"/>
      <c r="H532" s="1126"/>
      <c r="I532" s="1126"/>
      <c r="J532" s="1126"/>
      <c r="K532" s="1126"/>
      <c r="L532" s="1126"/>
      <c r="M532" s="1126"/>
      <c r="N532" s="1167"/>
      <c r="O532" s="462"/>
      <c r="P532" s="462"/>
      <c r="Q532" s="462"/>
      <c r="R532" s="462"/>
      <c r="S532" s="462"/>
      <c r="T532" s="1113"/>
      <c r="U532" s="1113"/>
      <c r="V532" s="1113"/>
    </row>
    <row r="533" spans="1:22" ht="15.75" customHeight="1">
      <c r="A533" s="462"/>
      <c r="B533" s="462"/>
      <c r="C533" s="1126"/>
      <c r="D533" s="1126"/>
      <c r="E533" s="1126"/>
      <c r="F533" s="1126"/>
      <c r="G533" s="1126"/>
      <c r="H533" s="1126"/>
      <c r="I533" s="1126"/>
      <c r="J533" s="1126"/>
      <c r="K533" s="1126"/>
      <c r="L533" s="1126"/>
      <c r="M533" s="1126"/>
      <c r="N533" s="1167"/>
      <c r="O533" s="462"/>
      <c r="P533" s="462"/>
      <c r="Q533" s="462"/>
      <c r="R533" s="462"/>
      <c r="S533" s="462"/>
      <c r="T533" s="1113"/>
      <c r="U533" s="1113"/>
      <c r="V533" s="1113"/>
    </row>
    <row r="534" spans="1:22" ht="15.75" customHeight="1">
      <c r="A534" s="462"/>
      <c r="B534" s="462"/>
      <c r="C534" s="1126"/>
      <c r="D534" s="1126"/>
      <c r="E534" s="1126"/>
      <c r="F534" s="1126"/>
      <c r="G534" s="1126"/>
      <c r="H534" s="1126"/>
      <c r="I534" s="1126"/>
      <c r="J534" s="1126"/>
      <c r="K534" s="1126"/>
      <c r="L534" s="1126"/>
      <c r="M534" s="1126"/>
      <c r="N534" s="462"/>
      <c r="O534" s="462"/>
      <c r="P534" s="462"/>
      <c r="Q534" s="462"/>
      <c r="R534" s="462"/>
      <c r="S534" s="462"/>
      <c r="T534" s="1113"/>
      <c r="U534" s="1113"/>
      <c r="V534" s="1113"/>
    </row>
    <row r="535" spans="1:22" ht="15.75" customHeight="1">
      <c r="A535" s="462"/>
      <c r="B535" s="462"/>
      <c r="C535" s="1126"/>
      <c r="D535" s="1126"/>
      <c r="E535" s="1126"/>
      <c r="F535" s="1126"/>
      <c r="G535" s="1126"/>
      <c r="H535" s="1126"/>
      <c r="I535" s="1126"/>
      <c r="J535" s="1126"/>
      <c r="K535" s="1126"/>
      <c r="L535" s="1126"/>
      <c r="M535" s="1126"/>
      <c r="N535" s="462"/>
      <c r="O535" s="462"/>
      <c r="P535" s="462"/>
      <c r="Q535" s="462"/>
      <c r="R535" s="462"/>
      <c r="S535" s="462"/>
      <c r="T535" s="1113"/>
      <c r="U535" s="1113"/>
      <c r="V535" s="1113"/>
    </row>
    <row r="536" spans="1:22" ht="15.75" customHeight="1">
      <c r="A536" s="462"/>
      <c r="B536" s="462"/>
      <c r="C536" s="1126"/>
      <c r="D536" s="1126"/>
      <c r="E536" s="1126"/>
      <c r="F536" s="1126"/>
      <c r="G536" s="1126"/>
      <c r="H536" s="1126"/>
      <c r="I536" s="1126"/>
      <c r="J536" s="1126"/>
      <c r="K536" s="1126"/>
      <c r="L536" s="1126"/>
      <c r="M536" s="1126"/>
      <c r="N536" s="462"/>
      <c r="O536" s="462"/>
      <c r="P536" s="462"/>
      <c r="Q536" s="462"/>
      <c r="R536" s="462"/>
      <c r="S536" s="462"/>
      <c r="T536" s="1113"/>
      <c r="U536" s="1113"/>
      <c r="V536" s="1113"/>
    </row>
    <row r="537" spans="1:22" ht="15.75" customHeight="1">
      <c r="A537" s="462"/>
      <c r="B537" s="462"/>
      <c r="C537" s="1126"/>
      <c r="D537" s="1126"/>
      <c r="E537" s="1126"/>
      <c r="F537" s="1126"/>
      <c r="G537" s="1126"/>
      <c r="H537" s="1126"/>
      <c r="I537" s="1126"/>
      <c r="J537" s="1126"/>
      <c r="K537" s="1126"/>
      <c r="L537" s="1126"/>
      <c r="M537" s="1126"/>
      <c r="N537" s="462"/>
      <c r="O537" s="462"/>
      <c r="P537" s="462"/>
      <c r="Q537" s="462"/>
      <c r="R537" s="462"/>
      <c r="S537" s="462"/>
      <c r="T537" s="1113"/>
      <c r="U537" s="1113"/>
      <c r="V537" s="1113"/>
    </row>
    <row r="538" spans="1:22" ht="15.75" customHeight="1">
      <c r="A538" s="462"/>
      <c r="B538" s="462"/>
      <c r="C538" s="1126"/>
      <c r="D538" s="1126"/>
      <c r="E538" s="1126"/>
      <c r="F538" s="1126"/>
      <c r="G538" s="1126"/>
      <c r="H538" s="1126"/>
      <c r="I538" s="1126"/>
      <c r="J538" s="1126"/>
      <c r="K538" s="1126"/>
      <c r="L538" s="1126"/>
      <c r="M538" s="1126"/>
      <c r="N538" s="462"/>
      <c r="O538" s="462"/>
      <c r="P538" s="462"/>
      <c r="Q538" s="462"/>
      <c r="R538" s="462"/>
      <c r="S538" s="462"/>
      <c r="T538" s="1113"/>
      <c r="U538" s="1113"/>
      <c r="V538" s="1113"/>
    </row>
    <row r="539" spans="1:22" ht="15.75" customHeight="1">
      <c r="A539" s="462"/>
      <c r="B539" s="462"/>
      <c r="C539" s="1126"/>
      <c r="D539" s="1126"/>
      <c r="E539" s="1126"/>
      <c r="F539" s="1126"/>
      <c r="G539" s="1126"/>
      <c r="H539" s="1126"/>
      <c r="I539" s="1126"/>
      <c r="J539" s="1126"/>
      <c r="K539" s="1126"/>
      <c r="L539" s="1126"/>
      <c r="M539" s="1126"/>
      <c r="N539" s="462"/>
      <c r="O539" s="462"/>
      <c r="P539" s="462"/>
      <c r="Q539" s="462"/>
      <c r="R539" s="462"/>
      <c r="S539" s="462"/>
      <c r="T539" s="1113"/>
      <c r="U539" s="1113"/>
      <c r="V539" s="1113"/>
    </row>
    <row r="540" spans="1:22" ht="15.75" customHeight="1">
      <c r="A540" s="462"/>
      <c r="B540" s="462"/>
      <c r="C540" s="1126"/>
      <c r="D540" s="1126"/>
      <c r="E540" s="1126"/>
      <c r="F540" s="1126"/>
      <c r="G540" s="1126"/>
      <c r="H540" s="1126"/>
      <c r="I540" s="1126"/>
      <c r="J540" s="1126"/>
      <c r="K540" s="1126"/>
      <c r="L540" s="1126"/>
      <c r="M540" s="1126"/>
      <c r="N540" s="462"/>
      <c r="O540" s="462"/>
      <c r="P540" s="462"/>
      <c r="Q540" s="462"/>
      <c r="R540" s="462"/>
      <c r="S540" s="462"/>
      <c r="T540" s="1113"/>
      <c r="U540" s="1113"/>
      <c r="V540" s="1113"/>
    </row>
    <row r="541" spans="1:22" ht="15.75" customHeight="1">
      <c r="A541" s="462"/>
      <c r="B541" s="462"/>
      <c r="C541" s="1126"/>
      <c r="D541" s="1126"/>
      <c r="E541" s="1126"/>
      <c r="F541" s="1126"/>
      <c r="G541" s="1126"/>
      <c r="H541" s="1126"/>
      <c r="I541" s="1126"/>
      <c r="J541" s="1126"/>
      <c r="K541" s="1126"/>
      <c r="L541" s="1126"/>
      <c r="M541" s="1126"/>
      <c r="N541" s="462"/>
      <c r="O541" s="462"/>
      <c r="P541" s="462"/>
      <c r="Q541" s="462"/>
      <c r="R541" s="462"/>
      <c r="S541" s="462"/>
      <c r="T541" s="1113"/>
      <c r="U541" s="1113"/>
      <c r="V541" s="1113"/>
    </row>
    <row r="542" spans="1:22" ht="15.75" customHeight="1">
      <c r="A542" s="462"/>
      <c r="B542" s="462"/>
      <c r="C542" s="1126"/>
      <c r="D542" s="1126"/>
      <c r="E542" s="1126"/>
      <c r="F542" s="1126"/>
      <c r="G542" s="1126"/>
      <c r="H542" s="1126"/>
      <c r="I542" s="1126"/>
      <c r="J542" s="1126"/>
      <c r="K542" s="1126"/>
      <c r="L542" s="1126"/>
      <c r="M542" s="1126"/>
      <c r="N542" s="462"/>
      <c r="O542" s="462"/>
      <c r="P542" s="462"/>
      <c r="Q542" s="462"/>
      <c r="R542" s="462"/>
      <c r="S542" s="462"/>
      <c r="T542" s="1113"/>
      <c r="U542" s="1113"/>
      <c r="V542" s="1113"/>
    </row>
    <row r="543" spans="1:22" ht="15.75" customHeight="1">
      <c r="A543" s="462"/>
      <c r="B543" s="462"/>
      <c r="C543" s="1126"/>
      <c r="D543" s="1126"/>
      <c r="E543" s="1126"/>
      <c r="F543" s="1126"/>
      <c r="G543" s="1126"/>
      <c r="H543" s="1126"/>
      <c r="I543" s="1126"/>
      <c r="J543" s="1126"/>
      <c r="K543" s="1126"/>
      <c r="L543" s="1126"/>
      <c r="M543" s="1126"/>
      <c r="N543" s="462"/>
      <c r="O543" s="462"/>
      <c r="P543" s="462"/>
      <c r="Q543" s="462"/>
      <c r="R543" s="462"/>
      <c r="S543" s="462"/>
      <c r="T543" s="1113"/>
      <c r="U543" s="1113"/>
      <c r="V543" s="1113"/>
    </row>
    <row r="544" spans="1:22" ht="15.75" customHeight="1">
      <c r="A544" s="462"/>
      <c r="B544" s="462"/>
      <c r="C544" s="1126"/>
      <c r="D544" s="1126"/>
      <c r="E544" s="1126"/>
      <c r="F544" s="1126"/>
      <c r="G544" s="1126"/>
      <c r="H544" s="1126"/>
      <c r="I544" s="1126"/>
      <c r="J544" s="1126"/>
      <c r="K544" s="1126"/>
      <c r="L544" s="1126"/>
      <c r="M544" s="1126"/>
      <c r="N544" s="462"/>
      <c r="O544" s="462"/>
      <c r="P544" s="462"/>
      <c r="Q544" s="462"/>
      <c r="R544" s="462"/>
      <c r="S544" s="462"/>
      <c r="T544" s="1113"/>
      <c r="U544" s="1113"/>
      <c r="V544" s="1113"/>
    </row>
    <row r="545" spans="1:22" ht="15.75" customHeight="1">
      <c r="A545" s="462"/>
      <c r="B545" s="462"/>
      <c r="C545" s="1126"/>
      <c r="D545" s="1126"/>
      <c r="E545" s="1126"/>
      <c r="F545" s="1126"/>
      <c r="G545" s="1126"/>
      <c r="H545" s="1126"/>
      <c r="I545" s="1126"/>
      <c r="J545" s="1126"/>
      <c r="K545" s="1126"/>
      <c r="L545" s="1126"/>
      <c r="M545" s="1126"/>
      <c r="N545" s="462"/>
      <c r="O545" s="462"/>
      <c r="P545" s="462"/>
      <c r="Q545" s="462"/>
      <c r="R545" s="462"/>
      <c r="S545" s="462"/>
      <c r="T545" s="1113"/>
      <c r="U545" s="1113"/>
      <c r="V545" s="1113"/>
    </row>
    <row r="546" spans="1:22" ht="15.75" customHeight="1">
      <c r="A546" s="462"/>
      <c r="B546" s="462"/>
      <c r="C546" s="1126"/>
      <c r="D546" s="1126"/>
      <c r="E546" s="1126"/>
      <c r="F546" s="1126"/>
      <c r="G546" s="1126"/>
      <c r="H546" s="1126"/>
      <c r="I546" s="1126"/>
      <c r="J546" s="1126"/>
      <c r="K546" s="1126"/>
      <c r="L546" s="1126"/>
      <c r="M546" s="1126"/>
      <c r="N546" s="462"/>
      <c r="O546" s="462"/>
      <c r="P546" s="462"/>
      <c r="Q546" s="462"/>
      <c r="R546" s="462"/>
      <c r="S546" s="462"/>
      <c r="T546" s="1113"/>
      <c r="U546" s="1113"/>
      <c r="V546" s="1113"/>
    </row>
    <row r="547" spans="1:22" ht="15.75" customHeight="1">
      <c r="A547" s="462"/>
      <c r="B547" s="462"/>
      <c r="C547" s="1126"/>
      <c r="D547" s="1126"/>
      <c r="E547" s="1126"/>
      <c r="F547" s="1126"/>
      <c r="G547" s="1126"/>
      <c r="H547" s="1126"/>
      <c r="I547" s="1126"/>
      <c r="J547" s="1126"/>
      <c r="K547" s="1126"/>
      <c r="L547" s="1126"/>
      <c r="M547" s="1126"/>
      <c r="N547" s="462"/>
      <c r="O547" s="462"/>
      <c r="P547" s="462"/>
      <c r="Q547" s="462"/>
      <c r="R547" s="462"/>
      <c r="S547" s="462"/>
      <c r="T547" s="1113"/>
      <c r="U547" s="1113"/>
      <c r="V547" s="1113"/>
    </row>
    <row r="548" spans="1:22" ht="15.75" customHeight="1">
      <c r="A548" s="462"/>
      <c r="B548" s="462"/>
      <c r="C548" s="1126"/>
      <c r="D548" s="1126"/>
      <c r="E548" s="1126"/>
      <c r="F548" s="1126"/>
      <c r="G548" s="1126"/>
      <c r="H548" s="1126"/>
      <c r="I548" s="1126"/>
      <c r="J548" s="1126"/>
      <c r="K548" s="1126"/>
      <c r="L548" s="1126"/>
      <c r="M548" s="1126"/>
      <c r="N548" s="462"/>
      <c r="O548" s="462"/>
      <c r="P548" s="462"/>
      <c r="Q548" s="462"/>
      <c r="R548" s="462"/>
      <c r="S548" s="462"/>
      <c r="T548" s="1113"/>
      <c r="U548" s="1113"/>
      <c r="V548" s="1113"/>
    </row>
    <row r="549" spans="1:22" ht="15.75" customHeight="1">
      <c r="A549" s="462"/>
      <c r="B549" s="462"/>
      <c r="C549" s="1126"/>
      <c r="D549" s="1126"/>
      <c r="E549" s="1126"/>
      <c r="F549" s="1126"/>
      <c r="G549" s="1126"/>
      <c r="H549" s="1126"/>
      <c r="I549" s="1126"/>
      <c r="J549" s="1126"/>
      <c r="K549" s="1126"/>
      <c r="L549" s="1126"/>
      <c r="M549" s="1126"/>
      <c r="N549" s="462"/>
      <c r="O549" s="462"/>
      <c r="P549" s="462"/>
      <c r="Q549" s="462"/>
      <c r="R549" s="462"/>
      <c r="S549" s="462"/>
      <c r="T549" s="1113"/>
      <c r="U549" s="1113"/>
      <c r="V549" s="1113"/>
    </row>
    <row r="550" spans="1:22" ht="15.75" customHeight="1">
      <c r="A550" s="462"/>
      <c r="B550" s="462"/>
      <c r="C550" s="1126"/>
      <c r="D550" s="1126"/>
      <c r="E550" s="1126"/>
      <c r="F550" s="1126"/>
      <c r="G550" s="1126"/>
      <c r="H550" s="1126"/>
      <c r="I550" s="1126"/>
      <c r="J550" s="1126"/>
      <c r="K550" s="1126"/>
      <c r="L550" s="1126"/>
      <c r="M550" s="1126"/>
      <c r="N550" s="462"/>
      <c r="O550" s="462"/>
      <c r="P550" s="462"/>
      <c r="Q550" s="462"/>
      <c r="R550" s="462"/>
      <c r="S550" s="462"/>
      <c r="T550" s="1113"/>
      <c r="U550" s="1113"/>
      <c r="V550" s="1113"/>
    </row>
    <row r="551" spans="1:22" ht="15.75" customHeight="1">
      <c r="A551" s="462"/>
      <c r="B551" s="462"/>
      <c r="C551" s="1126"/>
      <c r="D551" s="1126"/>
      <c r="E551" s="1126"/>
      <c r="F551" s="1126"/>
      <c r="G551" s="1126"/>
      <c r="H551" s="1126"/>
      <c r="I551" s="1126"/>
      <c r="J551" s="1126"/>
      <c r="K551" s="1126"/>
      <c r="L551" s="1126"/>
      <c r="M551" s="1126"/>
      <c r="N551" s="462"/>
      <c r="O551" s="462"/>
      <c r="P551" s="462"/>
      <c r="Q551" s="462"/>
      <c r="R551" s="462"/>
      <c r="S551" s="462"/>
      <c r="T551" s="1113"/>
      <c r="U551" s="1113"/>
      <c r="V551" s="1113"/>
    </row>
    <row r="552" spans="1:22" ht="15.75" customHeight="1">
      <c r="A552" s="462"/>
      <c r="B552" s="462"/>
      <c r="C552" s="1126"/>
      <c r="D552" s="1126"/>
      <c r="E552" s="1126"/>
      <c r="F552" s="1126"/>
      <c r="G552" s="1126"/>
      <c r="H552" s="1126"/>
      <c r="I552" s="1126"/>
      <c r="J552" s="1126"/>
      <c r="K552" s="1126"/>
      <c r="L552" s="1126"/>
      <c r="M552" s="1126"/>
      <c r="N552" s="462"/>
      <c r="O552" s="462"/>
      <c r="P552" s="462"/>
      <c r="Q552" s="462"/>
      <c r="R552" s="462"/>
      <c r="S552" s="462"/>
      <c r="T552" s="1113"/>
      <c r="U552" s="1113"/>
      <c r="V552" s="1113"/>
    </row>
    <row r="553" spans="1:22" ht="15.75" customHeight="1">
      <c r="A553" s="462"/>
      <c r="B553" s="462"/>
      <c r="C553" s="1126"/>
      <c r="D553" s="1126"/>
      <c r="E553" s="1126"/>
      <c r="F553" s="1126"/>
      <c r="G553" s="1126"/>
      <c r="H553" s="1126"/>
      <c r="I553" s="1126"/>
      <c r="J553" s="1126"/>
      <c r="K553" s="1126"/>
      <c r="L553" s="1126"/>
      <c r="M553" s="1126"/>
      <c r="N553" s="462"/>
      <c r="O553" s="462"/>
      <c r="P553" s="462"/>
      <c r="Q553" s="462"/>
      <c r="R553" s="462"/>
      <c r="S553" s="462"/>
      <c r="T553" s="1113"/>
      <c r="U553" s="1113"/>
      <c r="V553" s="1113"/>
    </row>
    <row r="554" spans="1:22" ht="15.75" customHeight="1">
      <c r="A554" s="462"/>
      <c r="B554" s="462"/>
      <c r="C554" s="1126"/>
      <c r="D554" s="1126"/>
      <c r="E554" s="1126"/>
      <c r="F554" s="1126"/>
      <c r="G554" s="1126"/>
      <c r="H554" s="1126"/>
      <c r="I554" s="1126"/>
      <c r="J554" s="1126"/>
      <c r="K554" s="1126"/>
      <c r="L554" s="1126"/>
      <c r="M554" s="1126"/>
      <c r="N554" s="462"/>
      <c r="O554" s="462"/>
      <c r="P554" s="462"/>
      <c r="Q554" s="462"/>
      <c r="R554" s="462"/>
      <c r="S554" s="462"/>
      <c r="T554" s="1113"/>
      <c r="U554" s="1113"/>
      <c r="V554" s="1113"/>
    </row>
    <row r="555" spans="1:22" ht="15.75" customHeight="1">
      <c r="A555" s="462"/>
      <c r="B555" s="462"/>
      <c r="C555" s="1126"/>
      <c r="D555" s="1126"/>
      <c r="E555" s="1126"/>
      <c r="F555" s="1126"/>
      <c r="G555" s="1126"/>
      <c r="H555" s="1126"/>
      <c r="I555" s="1126"/>
      <c r="J555" s="1126"/>
      <c r="K555" s="1126"/>
      <c r="L555" s="1126"/>
      <c r="M555" s="1126"/>
      <c r="N555" s="462"/>
      <c r="O555" s="462"/>
      <c r="P555" s="462"/>
      <c r="Q555" s="462"/>
      <c r="R555" s="462"/>
      <c r="S555" s="462"/>
      <c r="T555" s="1113"/>
      <c r="U555" s="1113"/>
      <c r="V555" s="1113"/>
    </row>
    <row r="556" spans="1:22" ht="15.75" customHeight="1">
      <c r="A556" s="462"/>
      <c r="B556" s="462"/>
      <c r="C556" s="1126"/>
      <c r="D556" s="1126"/>
      <c r="E556" s="1126"/>
      <c r="F556" s="1126"/>
      <c r="G556" s="1126"/>
      <c r="H556" s="1126"/>
      <c r="I556" s="1126"/>
      <c r="J556" s="1126"/>
      <c r="K556" s="1126"/>
      <c r="L556" s="1126"/>
      <c r="M556" s="1126"/>
      <c r="N556" s="462"/>
      <c r="O556" s="462"/>
      <c r="P556" s="462"/>
      <c r="Q556" s="462"/>
      <c r="R556" s="462"/>
      <c r="S556" s="462"/>
      <c r="T556" s="1113"/>
      <c r="U556" s="1113"/>
      <c r="V556" s="1113"/>
    </row>
    <row r="557" spans="1:22" ht="15.75" customHeight="1">
      <c r="A557" s="462"/>
      <c r="B557" s="462"/>
      <c r="C557" s="1126"/>
      <c r="D557" s="1126"/>
      <c r="E557" s="1126"/>
      <c r="F557" s="1126"/>
      <c r="G557" s="1126"/>
      <c r="H557" s="1126"/>
      <c r="I557" s="1126"/>
      <c r="J557" s="1126"/>
      <c r="K557" s="1126"/>
      <c r="L557" s="1126"/>
      <c r="M557" s="1126"/>
      <c r="N557" s="462"/>
      <c r="O557" s="462"/>
      <c r="P557" s="462"/>
      <c r="Q557" s="462"/>
      <c r="R557" s="462"/>
      <c r="S557" s="462"/>
      <c r="T557" s="1113"/>
      <c r="U557" s="1113"/>
      <c r="V557" s="1113"/>
    </row>
    <row r="558" spans="1:22" ht="15.75" customHeight="1">
      <c r="A558" s="462"/>
      <c r="B558" s="462"/>
      <c r="C558" s="1126"/>
      <c r="D558" s="1126"/>
      <c r="E558" s="1126"/>
      <c r="F558" s="1126"/>
      <c r="G558" s="1126"/>
      <c r="H558" s="1126"/>
      <c r="I558" s="1126"/>
      <c r="J558" s="1126"/>
      <c r="K558" s="1126"/>
      <c r="L558" s="1126"/>
      <c r="M558" s="1126"/>
      <c r="N558" s="462"/>
      <c r="O558" s="462"/>
      <c r="P558" s="462"/>
      <c r="Q558" s="462"/>
      <c r="R558" s="462"/>
      <c r="S558" s="462"/>
      <c r="T558" s="1113"/>
      <c r="U558" s="1113"/>
      <c r="V558" s="1113"/>
    </row>
    <row r="559" spans="1:22" ht="15.75" customHeight="1">
      <c r="A559" s="462"/>
      <c r="B559" s="462"/>
      <c r="C559" s="1126"/>
      <c r="D559" s="1126"/>
      <c r="E559" s="1126"/>
      <c r="F559" s="1126"/>
      <c r="G559" s="1126"/>
      <c r="H559" s="1126"/>
      <c r="I559" s="1126"/>
      <c r="J559" s="1126"/>
      <c r="K559" s="1126"/>
      <c r="L559" s="1126"/>
      <c r="M559" s="1126"/>
      <c r="N559" s="462"/>
      <c r="O559" s="462"/>
      <c r="P559" s="462"/>
      <c r="Q559" s="462"/>
      <c r="R559" s="462"/>
      <c r="S559" s="462"/>
      <c r="T559" s="1113"/>
      <c r="U559" s="1113"/>
      <c r="V559" s="1113"/>
    </row>
    <row r="560" spans="1:22" ht="15.75" customHeight="1">
      <c r="A560" s="462"/>
      <c r="B560" s="462"/>
      <c r="C560" s="1126"/>
      <c r="D560" s="1126"/>
      <c r="E560" s="1126"/>
      <c r="F560" s="1126"/>
      <c r="G560" s="1126"/>
      <c r="H560" s="1126"/>
      <c r="I560" s="1126"/>
      <c r="J560" s="1126"/>
      <c r="K560" s="1126"/>
      <c r="L560" s="1126"/>
      <c r="M560" s="1126"/>
      <c r="N560" s="462"/>
      <c r="O560" s="462"/>
      <c r="P560" s="462"/>
      <c r="Q560" s="462"/>
      <c r="R560" s="462"/>
      <c r="S560" s="462"/>
      <c r="T560" s="1113"/>
      <c r="U560" s="1113"/>
      <c r="V560" s="1113"/>
    </row>
    <row r="561" spans="1:22" ht="15.75" customHeight="1">
      <c r="A561" s="462"/>
      <c r="B561" s="462"/>
      <c r="C561" s="1126"/>
      <c r="D561" s="1126"/>
      <c r="E561" s="1126"/>
      <c r="F561" s="1126"/>
      <c r="G561" s="1126"/>
      <c r="H561" s="1126"/>
      <c r="I561" s="1126"/>
      <c r="J561" s="1126"/>
      <c r="K561" s="1126"/>
      <c r="L561" s="1126"/>
      <c r="M561" s="1126"/>
      <c r="N561" s="462"/>
      <c r="O561" s="462"/>
      <c r="P561" s="462"/>
      <c r="Q561" s="462"/>
      <c r="R561" s="462"/>
      <c r="S561" s="462"/>
      <c r="T561" s="1113"/>
      <c r="U561" s="1113"/>
      <c r="V561" s="1113"/>
    </row>
    <row r="562" spans="1:22" ht="15.75" customHeight="1">
      <c r="A562" s="462"/>
      <c r="B562" s="462"/>
      <c r="C562" s="1126"/>
      <c r="D562" s="1126"/>
      <c r="E562" s="1126"/>
      <c r="F562" s="1126"/>
      <c r="G562" s="1126"/>
      <c r="H562" s="1126"/>
      <c r="I562" s="1126"/>
      <c r="J562" s="1126"/>
      <c r="K562" s="1126"/>
      <c r="L562" s="1126"/>
      <c r="M562" s="1126"/>
      <c r="N562" s="462"/>
      <c r="O562" s="462"/>
      <c r="P562" s="462"/>
      <c r="Q562" s="462"/>
      <c r="R562" s="462"/>
      <c r="S562" s="462"/>
      <c r="T562" s="1113"/>
      <c r="U562" s="1113"/>
      <c r="V562" s="1113"/>
    </row>
    <row r="563" spans="1:22" ht="15.75" customHeight="1">
      <c r="A563" s="462"/>
      <c r="B563" s="462"/>
      <c r="C563" s="1126"/>
      <c r="D563" s="1126"/>
      <c r="E563" s="1126"/>
      <c r="F563" s="1126"/>
      <c r="G563" s="1126"/>
      <c r="H563" s="1126"/>
      <c r="I563" s="1126"/>
      <c r="J563" s="1126"/>
      <c r="K563" s="1126"/>
      <c r="L563" s="1126"/>
      <c r="M563" s="1126"/>
      <c r="N563" s="462"/>
      <c r="O563" s="462"/>
      <c r="P563" s="462"/>
      <c r="Q563" s="462"/>
      <c r="R563" s="462"/>
      <c r="S563" s="462"/>
      <c r="T563" s="1113"/>
      <c r="U563" s="1113"/>
      <c r="V563" s="1113"/>
    </row>
    <row r="564" spans="1:22" ht="15.75" customHeight="1">
      <c r="A564" s="462"/>
      <c r="B564" s="462"/>
      <c r="C564" s="1126"/>
      <c r="D564" s="1126"/>
      <c r="E564" s="1126"/>
      <c r="F564" s="1126"/>
      <c r="G564" s="1126"/>
      <c r="H564" s="1126"/>
      <c r="I564" s="1126"/>
      <c r="J564" s="1126"/>
      <c r="K564" s="1126"/>
      <c r="L564" s="1126"/>
      <c r="M564" s="1126"/>
      <c r="N564" s="462"/>
      <c r="O564" s="462"/>
      <c r="P564" s="462"/>
      <c r="Q564" s="462"/>
      <c r="R564" s="462"/>
      <c r="S564" s="462"/>
      <c r="T564" s="1113"/>
      <c r="U564" s="1113"/>
      <c r="V564" s="1113"/>
    </row>
    <row r="565" spans="1:22" ht="15.75" customHeight="1">
      <c r="A565" s="462"/>
      <c r="B565" s="462"/>
      <c r="C565" s="1126"/>
      <c r="D565" s="1126"/>
      <c r="E565" s="1126"/>
      <c r="F565" s="1126"/>
      <c r="G565" s="1126"/>
      <c r="H565" s="1126"/>
      <c r="I565" s="1126"/>
      <c r="J565" s="1126"/>
      <c r="K565" s="1126"/>
      <c r="L565" s="1126"/>
      <c r="M565" s="1126"/>
      <c r="N565" s="462"/>
      <c r="O565" s="462"/>
      <c r="P565" s="462"/>
      <c r="Q565" s="462"/>
      <c r="R565" s="462"/>
      <c r="S565" s="462"/>
      <c r="T565" s="1113"/>
      <c r="U565" s="1113"/>
      <c r="V565" s="1113"/>
    </row>
    <row r="566" spans="1:22" ht="15.75" customHeight="1">
      <c r="A566" s="462"/>
      <c r="B566" s="462"/>
      <c r="C566" s="1126"/>
      <c r="D566" s="1126"/>
      <c r="E566" s="1126"/>
      <c r="F566" s="1126"/>
      <c r="G566" s="1126"/>
      <c r="H566" s="1126"/>
      <c r="I566" s="1126"/>
      <c r="J566" s="1126"/>
      <c r="K566" s="1126"/>
      <c r="L566" s="1126"/>
      <c r="M566" s="1126"/>
      <c r="N566" s="462"/>
      <c r="O566" s="462"/>
      <c r="P566" s="462"/>
      <c r="Q566" s="462"/>
      <c r="R566" s="462"/>
      <c r="S566" s="462"/>
      <c r="T566" s="1113"/>
      <c r="U566" s="1113"/>
      <c r="V566" s="1113"/>
    </row>
    <row r="567" spans="1:22" ht="15.75" customHeight="1">
      <c r="A567" s="462"/>
      <c r="B567" s="462"/>
      <c r="C567" s="1126"/>
      <c r="D567" s="1126"/>
      <c r="E567" s="1126"/>
      <c r="F567" s="1126"/>
      <c r="G567" s="1126"/>
      <c r="H567" s="1126"/>
      <c r="I567" s="1126"/>
      <c r="J567" s="1126"/>
      <c r="K567" s="1126"/>
      <c r="L567" s="1126"/>
      <c r="M567" s="1126"/>
      <c r="N567" s="462"/>
      <c r="O567" s="462"/>
      <c r="P567" s="462"/>
      <c r="Q567" s="462"/>
      <c r="R567" s="462"/>
      <c r="S567" s="462"/>
      <c r="T567" s="1113"/>
      <c r="U567" s="1113"/>
      <c r="V567" s="1113"/>
    </row>
    <row r="568" spans="1:22" ht="15.75" customHeight="1">
      <c r="A568" s="462"/>
      <c r="B568" s="462"/>
      <c r="C568" s="1126"/>
      <c r="D568" s="1126"/>
      <c r="E568" s="1126"/>
      <c r="F568" s="1126"/>
      <c r="G568" s="1126"/>
      <c r="H568" s="1126"/>
      <c r="I568" s="1126"/>
      <c r="J568" s="1126"/>
      <c r="K568" s="1126"/>
      <c r="L568" s="1126"/>
      <c r="M568" s="1126"/>
      <c r="N568" s="462"/>
      <c r="O568" s="462"/>
      <c r="P568" s="462"/>
      <c r="Q568" s="462"/>
      <c r="R568" s="462"/>
      <c r="S568" s="462"/>
      <c r="T568" s="1113"/>
      <c r="U568" s="1113"/>
      <c r="V568" s="1113"/>
    </row>
    <row r="569" spans="1:22" ht="15.75" customHeight="1">
      <c r="A569" s="462"/>
      <c r="B569" s="462"/>
      <c r="C569" s="1126"/>
      <c r="D569" s="1126"/>
      <c r="E569" s="1126"/>
      <c r="F569" s="1126"/>
      <c r="G569" s="1126"/>
      <c r="H569" s="1126"/>
      <c r="I569" s="1126"/>
      <c r="J569" s="1126"/>
      <c r="K569" s="1126"/>
      <c r="L569" s="1126"/>
      <c r="M569" s="1126"/>
      <c r="N569" s="462"/>
      <c r="O569" s="462"/>
      <c r="P569" s="462"/>
      <c r="Q569" s="462"/>
      <c r="R569" s="462"/>
      <c r="S569" s="462"/>
      <c r="T569" s="1113"/>
      <c r="U569" s="1113"/>
      <c r="V569" s="1113"/>
    </row>
    <row r="570" spans="1:22" ht="15.75" customHeight="1">
      <c r="A570" s="462"/>
      <c r="B570" s="462"/>
      <c r="C570" s="1126"/>
      <c r="D570" s="1126"/>
      <c r="E570" s="1126"/>
      <c r="F570" s="1126"/>
      <c r="G570" s="1126"/>
      <c r="H570" s="1126"/>
      <c r="I570" s="1126"/>
      <c r="J570" s="1126"/>
      <c r="K570" s="1126"/>
      <c r="L570" s="1126"/>
      <c r="M570" s="1126"/>
      <c r="N570" s="462"/>
      <c r="O570" s="462"/>
      <c r="P570" s="462"/>
      <c r="Q570" s="462"/>
      <c r="R570" s="462"/>
      <c r="S570" s="462"/>
      <c r="T570" s="1113"/>
      <c r="U570" s="1113"/>
      <c r="V570" s="1113"/>
    </row>
    <row r="571" spans="1:22" ht="15.75" customHeight="1">
      <c r="A571" s="462"/>
      <c r="B571" s="462"/>
      <c r="C571" s="1126"/>
      <c r="D571" s="1126"/>
      <c r="E571" s="1126"/>
      <c r="F571" s="1126"/>
      <c r="G571" s="1126"/>
      <c r="H571" s="1126"/>
      <c r="I571" s="1126"/>
      <c r="J571" s="1126"/>
      <c r="K571" s="1126"/>
      <c r="L571" s="1126"/>
      <c r="M571" s="1126"/>
      <c r="N571" s="462"/>
      <c r="O571" s="462"/>
      <c r="P571" s="462"/>
      <c r="Q571" s="462"/>
      <c r="R571" s="462"/>
      <c r="S571" s="462"/>
      <c r="T571" s="1113"/>
      <c r="U571" s="1113"/>
      <c r="V571" s="1113"/>
    </row>
    <row r="572" spans="1:22" ht="15.75" customHeight="1">
      <c r="A572" s="462"/>
      <c r="B572" s="462"/>
      <c r="C572" s="1126"/>
      <c r="D572" s="1126"/>
      <c r="E572" s="1126"/>
      <c r="F572" s="1126"/>
      <c r="G572" s="1126"/>
      <c r="H572" s="1126"/>
      <c r="I572" s="1126"/>
      <c r="J572" s="1126"/>
      <c r="K572" s="1126"/>
      <c r="L572" s="1126"/>
      <c r="M572" s="1126"/>
      <c r="N572" s="462"/>
      <c r="O572" s="462"/>
      <c r="P572" s="462"/>
      <c r="Q572" s="462"/>
      <c r="R572" s="462"/>
      <c r="S572" s="462"/>
      <c r="T572" s="1113"/>
      <c r="U572" s="1113"/>
      <c r="V572" s="1113"/>
    </row>
    <row r="573" spans="1:22" ht="15.75" customHeight="1">
      <c r="A573" s="462"/>
      <c r="B573" s="462"/>
      <c r="C573" s="1126"/>
      <c r="D573" s="1126"/>
      <c r="E573" s="1126"/>
      <c r="F573" s="1126"/>
      <c r="G573" s="1126"/>
      <c r="H573" s="1126"/>
      <c r="I573" s="1126"/>
      <c r="J573" s="1126"/>
      <c r="K573" s="1126"/>
      <c r="L573" s="1126"/>
      <c r="M573" s="1126"/>
      <c r="N573" s="462"/>
      <c r="O573" s="462"/>
      <c r="P573" s="462"/>
      <c r="Q573" s="462"/>
      <c r="R573" s="462"/>
      <c r="S573" s="462"/>
      <c r="T573" s="1113"/>
      <c r="U573" s="1113"/>
      <c r="V573" s="1113"/>
    </row>
    <row r="574" spans="1:22" ht="15.75" customHeight="1">
      <c r="A574" s="462"/>
      <c r="B574" s="462"/>
      <c r="C574" s="1126"/>
      <c r="D574" s="1126"/>
      <c r="E574" s="1126"/>
      <c r="F574" s="1126"/>
      <c r="G574" s="1126"/>
      <c r="H574" s="1126"/>
      <c r="I574" s="1126"/>
      <c r="J574" s="1126"/>
      <c r="K574" s="1126"/>
      <c r="L574" s="1126"/>
      <c r="M574" s="1126"/>
      <c r="N574" s="462"/>
      <c r="O574" s="462"/>
      <c r="P574" s="462"/>
      <c r="Q574" s="462"/>
      <c r="R574" s="462"/>
      <c r="S574" s="462"/>
      <c r="T574" s="1113"/>
      <c r="U574" s="1113"/>
      <c r="V574" s="1113"/>
    </row>
    <row r="575" spans="1:22" ht="15.75" customHeight="1">
      <c r="A575" s="462"/>
      <c r="B575" s="462"/>
      <c r="C575" s="1126"/>
      <c r="D575" s="1126"/>
      <c r="E575" s="1126"/>
      <c r="F575" s="1126"/>
      <c r="G575" s="1126"/>
      <c r="H575" s="1126"/>
      <c r="I575" s="1126"/>
      <c r="J575" s="1126"/>
      <c r="K575" s="1126"/>
      <c r="L575" s="1126"/>
      <c r="M575" s="1126"/>
      <c r="N575" s="462"/>
      <c r="O575" s="462"/>
      <c r="P575" s="462"/>
      <c r="Q575" s="462"/>
      <c r="R575" s="462"/>
      <c r="S575" s="462"/>
      <c r="T575" s="1113"/>
      <c r="U575" s="1113"/>
      <c r="V575" s="1113"/>
    </row>
    <row r="576" spans="1:22" ht="15.75" customHeight="1">
      <c r="A576" s="462"/>
      <c r="B576" s="462"/>
      <c r="C576" s="1126"/>
      <c r="D576" s="1126"/>
      <c r="E576" s="1126"/>
      <c r="F576" s="1126"/>
      <c r="G576" s="1126"/>
      <c r="H576" s="1126"/>
      <c r="I576" s="1126"/>
      <c r="J576" s="1126"/>
      <c r="K576" s="1126"/>
      <c r="L576" s="1126"/>
      <c r="M576" s="1126"/>
      <c r="N576" s="462"/>
      <c r="O576" s="462"/>
      <c r="P576" s="462"/>
      <c r="Q576" s="462"/>
      <c r="R576" s="462"/>
      <c r="S576" s="462"/>
      <c r="T576" s="1113"/>
      <c r="U576" s="1113"/>
      <c r="V576" s="1113"/>
    </row>
    <row r="577" spans="1:22" ht="15.75" customHeight="1">
      <c r="A577" s="462"/>
      <c r="B577" s="462"/>
      <c r="C577" s="1126"/>
      <c r="D577" s="1126"/>
      <c r="E577" s="1126"/>
      <c r="F577" s="1126"/>
      <c r="G577" s="1126"/>
      <c r="H577" s="1126"/>
      <c r="I577" s="1126"/>
      <c r="J577" s="1126"/>
      <c r="K577" s="1126"/>
      <c r="L577" s="1126"/>
      <c r="M577" s="1126"/>
      <c r="N577" s="462"/>
      <c r="O577" s="462"/>
      <c r="P577" s="462"/>
      <c r="Q577" s="462"/>
      <c r="R577" s="462"/>
      <c r="S577" s="462"/>
      <c r="T577" s="1113"/>
      <c r="U577" s="1113"/>
      <c r="V577" s="1113"/>
    </row>
    <row r="578" spans="1:22" ht="15.75" customHeight="1">
      <c r="A578" s="462"/>
      <c r="B578" s="462"/>
      <c r="C578" s="1126"/>
      <c r="D578" s="1126"/>
      <c r="E578" s="1126"/>
      <c r="F578" s="1126"/>
      <c r="G578" s="1126"/>
      <c r="H578" s="1126"/>
      <c r="I578" s="1126"/>
      <c r="J578" s="1126"/>
      <c r="K578" s="1126"/>
      <c r="L578" s="1126"/>
      <c r="M578" s="1126"/>
      <c r="N578" s="462"/>
      <c r="O578" s="462"/>
      <c r="P578" s="462"/>
      <c r="Q578" s="462"/>
      <c r="R578" s="462"/>
      <c r="S578" s="462"/>
      <c r="T578" s="1113"/>
      <c r="U578" s="1113"/>
      <c r="V578" s="1113"/>
    </row>
    <row r="579" spans="1:22" ht="15.75" customHeight="1">
      <c r="A579" s="462"/>
      <c r="B579" s="462"/>
      <c r="C579" s="1126"/>
      <c r="D579" s="1126"/>
      <c r="E579" s="1126"/>
      <c r="F579" s="1126"/>
      <c r="G579" s="1126"/>
      <c r="H579" s="1126"/>
      <c r="I579" s="1126"/>
      <c r="J579" s="1126"/>
      <c r="K579" s="1126"/>
      <c r="L579" s="1126"/>
      <c r="M579" s="1126"/>
      <c r="N579" s="462"/>
      <c r="O579" s="462"/>
      <c r="P579" s="462"/>
      <c r="Q579" s="462"/>
      <c r="R579" s="462"/>
      <c r="S579" s="462"/>
      <c r="T579" s="1113"/>
      <c r="U579" s="1113"/>
      <c r="V579" s="1113"/>
    </row>
    <row r="580" spans="1:22" ht="15.75" customHeight="1">
      <c r="A580" s="462"/>
      <c r="B580" s="462"/>
      <c r="C580" s="1126"/>
      <c r="D580" s="1126"/>
      <c r="E580" s="1126"/>
      <c r="F580" s="1126"/>
      <c r="G580" s="1126"/>
      <c r="H580" s="1126"/>
      <c r="I580" s="1126"/>
      <c r="J580" s="1126"/>
      <c r="K580" s="1126"/>
      <c r="L580" s="1126"/>
      <c r="M580" s="1126"/>
      <c r="N580" s="462"/>
      <c r="O580" s="462"/>
      <c r="P580" s="462"/>
      <c r="Q580" s="462"/>
      <c r="R580" s="462"/>
      <c r="S580" s="462"/>
      <c r="T580" s="1113"/>
      <c r="U580" s="1113"/>
      <c r="V580" s="1113"/>
    </row>
    <row r="581" spans="1:22" ht="15.75" customHeight="1">
      <c r="A581" s="462"/>
      <c r="B581" s="462"/>
      <c r="C581" s="1126"/>
      <c r="D581" s="1126"/>
      <c r="E581" s="1126"/>
      <c r="F581" s="1126"/>
      <c r="G581" s="1126"/>
      <c r="H581" s="1126"/>
      <c r="I581" s="1126"/>
      <c r="J581" s="1126"/>
      <c r="K581" s="1126"/>
      <c r="L581" s="1126"/>
      <c r="M581" s="1126"/>
      <c r="N581" s="462"/>
      <c r="O581" s="462"/>
      <c r="P581" s="462"/>
      <c r="Q581" s="462"/>
      <c r="R581" s="462"/>
      <c r="S581" s="462"/>
      <c r="T581" s="1113"/>
      <c r="U581" s="1113"/>
      <c r="V581" s="1113"/>
    </row>
    <row r="582" spans="1:22" ht="15.75" customHeight="1">
      <c r="A582" s="462"/>
      <c r="B582" s="462"/>
      <c r="C582" s="1126"/>
      <c r="D582" s="1126"/>
      <c r="E582" s="1126"/>
      <c r="F582" s="1126"/>
      <c r="G582" s="1126"/>
      <c r="H582" s="1126"/>
      <c r="I582" s="1126"/>
      <c r="J582" s="1126"/>
      <c r="K582" s="1126"/>
      <c r="L582" s="1126"/>
      <c r="M582" s="1126"/>
      <c r="N582" s="462"/>
      <c r="O582" s="462"/>
      <c r="P582" s="462"/>
      <c r="Q582" s="462"/>
      <c r="R582" s="462"/>
      <c r="S582" s="462"/>
      <c r="T582" s="1113"/>
      <c r="U582" s="1113"/>
      <c r="V582" s="1113"/>
    </row>
    <row r="583" spans="1:22" ht="15.75" customHeight="1">
      <c r="A583" s="462"/>
      <c r="B583" s="462"/>
      <c r="C583" s="1126"/>
      <c r="D583" s="1126"/>
      <c r="E583" s="1126"/>
      <c r="F583" s="1126"/>
      <c r="G583" s="1126"/>
      <c r="H583" s="1126"/>
      <c r="I583" s="1126"/>
      <c r="J583" s="1126"/>
      <c r="K583" s="1126"/>
      <c r="L583" s="1126"/>
      <c r="M583" s="1126"/>
      <c r="N583" s="462"/>
      <c r="O583" s="462"/>
      <c r="P583" s="462"/>
      <c r="Q583" s="462"/>
      <c r="R583" s="462"/>
      <c r="S583" s="462"/>
      <c r="T583" s="1113"/>
      <c r="U583" s="1113"/>
      <c r="V583" s="1113"/>
    </row>
    <row r="584" spans="1:22" ht="15.75" customHeight="1">
      <c r="A584" s="462"/>
      <c r="B584" s="462"/>
      <c r="C584" s="1126"/>
      <c r="D584" s="1126"/>
      <c r="E584" s="1126"/>
      <c r="F584" s="1126"/>
      <c r="G584" s="1126"/>
      <c r="H584" s="1126"/>
      <c r="I584" s="1126"/>
      <c r="J584" s="1126"/>
      <c r="K584" s="1126"/>
      <c r="L584" s="1126"/>
      <c r="M584" s="1126"/>
      <c r="N584" s="462"/>
      <c r="O584" s="462"/>
      <c r="P584" s="462"/>
      <c r="Q584" s="462"/>
      <c r="R584" s="462"/>
      <c r="S584" s="462"/>
      <c r="T584" s="1113"/>
      <c r="U584" s="1113"/>
      <c r="V584" s="1113"/>
    </row>
    <row r="585" spans="1:22" ht="15.75" customHeight="1">
      <c r="A585" s="462"/>
      <c r="B585" s="462"/>
      <c r="C585" s="1126"/>
      <c r="D585" s="1126"/>
      <c r="E585" s="1126"/>
      <c r="F585" s="1126"/>
      <c r="G585" s="1126"/>
      <c r="H585" s="1126"/>
      <c r="I585" s="1126"/>
      <c r="J585" s="1126"/>
      <c r="K585" s="1126"/>
      <c r="L585" s="1126"/>
      <c r="M585" s="1126"/>
      <c r="N585" s="462"/>
      <c r="O585" s="462"/>
      <c r="P585" s="462"/>
      <c r="Q585" s="462"/>
      <c r="R585" s="462"/>
      <c r="S585" s="462"/>
      <c r="T585" s="1113"/>
      <c r="U585" s="1113"/>
      <c r="V585" s="1113"/>
    </row>
    <row r="586" spans="1:22" ht="15.75" customHeight="1">
      <c r="A586" s="462"/>
      <c r="B586" s="462"/>
      <c r="C586" s="1126"/>
      <c r="D586" s="1126"/>
      <c r="E586" s="1126"/>
      <c r="F586" s="1126"/>
      <c r="G586" s="1126"/>
      <c r="H586" s="1126"/>
      <c r="I586" s="1126"/>
      <c r="J586" s="1126"/>
      <c r="K586" s="1126"/>
      <c r="L586" s="1126"/>
      <c r="M586" s="1126"/>
      <c r="N586" s="462"/>
      <c r="O586" s="462"/>
      <c r="P586" s="462"/>
      <c r="Q586" s="462"/>
      <c r="R586" s="462"/>
      <c r="S586" s="462"/>
      <c r="T586" s="1113"/>
      <c r="U586" s="1113"/>
      <c r="V586" s="1113"/>
    </row>
    <row r="587" spans="1:22" ht="15.75" customHeight="1">
      <c r="A587" s="462"/>
      <c r="B587" s="462"/>
      <c r="C587" s="1126"/>
      <c r="D587" s="1126"/>
      <c r="E587" s="1126"/>
      <c r="F587" s="1126"/>
      <c r="G587" s="1126"/>
      <c r="H587" s="1126"/>
      <c r="I587" s="1126"/>
      <c r="J587" s="1126"/>
      <c r="K587" s="1126"/>
      <c r="L587" s="1126"/>
      <c r="M587" s="1126"/>
      <c r="N587" s="462"/>
      <c r="O587" s="462"/>
      <c r="P587" s="462"/>
      <c r="Q587" s="462"/>
      <c r="R587" s="462"/>
      <c r="S587" s="462"/>
      <c r="T587" s="1113"/>
      <c r="U587" s="1113"/>
      <c r="V587" s="1113"/>
    </row>
    <row r="588" spans="1:22" ht="15.75" customHeight="1">
      <c r="A588" s="462"/>
      <c r="B588" s="462"/>
      <c r="C588" s="1126"/>
      <c r="D588" s="1126"/>
      <c r="E588" s="1126"/>
      <c r="F588" s="1126"/>
      <c r="G588" s="1126"/>
      <c r="H588" s="1126"/>
      <c r="I588" s="1126"/>
      <c r="J588" s="1126"/>
      <c r="K588" s="1126"/>
      <c r="L588" s="1126"/>
      <c r="M588" s="1126"/>
      <c r="N588" s="462"/>
      <c r="O588" s="462"/>
      <c r="P588" s="462"/>
      <c r="Q588" s="462"/>
      <c r="R588" s="462"/>
      <c r="S588" s="462"/>
      <c r="T588" s="1113"/>
      <c r="U588" s="1113"/>
      <c r="V588" s="1113"/>
    </row>
    <row r="589" spans="1:22" ht="15.75" customHeight="1">
      <c r="A589" s="462"/>
      <c r="B589" s="462"/>
      <c r="C589" s="1126"/>
      <c r="D589" s="1126"/>
      <c r="E589" s="1126"/>
      <c r="F589" s="1126"/>
      <c r="G589" s="1126"/>
      <c r="H589" s="1126"/>
      <c r="I589" s="1126"/>
      <c r="J589" s="1126"/>
      <c r="K589" s="1126"/>
      <c r="L589" s="1126"/>
      <c r="M589" s="1126"/>
      <c r="N589" s="462"/>
      <c r="O589" s="462"/>
      <c r="P589" s="462"/>
      <c r="Q589" s="462"/>
      <c r="R589" s="462"/>
      <c r="S589" s="462"/>
      <c r="T589" s="1113"/>
      <c r="U589" s="1113"/>
      <c r="V589" s="1113"/>
    </row>
    <row r="590" spans="1:22" ht="15.75" customHeight="1">
      <c r="A590" s="462"/>
      <c r="B590" s="462"/>
      <c r="C590" s="1126"/>
      <c r="D590" s="1126"/>
      <c r="E590" s="1126"/>
      <c r="F590" s="1126"/>
      <c r="G590" s="1126"/>
      <c r="H590" s="1126"/>
      <c r="I590" s="1126"/>
      <c r="J590" s="1126"/>
      <c r="K590" s="1126"/>
      <c r="L590" s="1126"/>
      <c r="M590" s="1126"/>
      <c r="N590" s="462"/>
      <c r="O590" s="462"/>
      <c r="P590" s="462"/>
      <c r="Q590" s="462"/>
      <c r="R590" s="462"/>
      <c r="S590" s="462"/>
      <c r="T590" s="1113"/>
      <c r="U590" s="1113"/>
      <c r="V590" s="1113"/>
    </row>
    <row r="591" spans="1:22" ht="15.75" customHeight="1">
      <c r="A591" s="462"/>
      <c r="B591" s="462"/>
      <c r="C591" s="1126"/>
      <c r="D591" s="1126"/>
      <c r="E591" s="1126"/>
      <c r="F591" s="1126"/>
      <c r="G591" s="1126"/>
      <c r="H591" s="1126"/>
      <c r="I591" s="1126"/>
      <c r="J591" s="1126"/>
      <c r="K591" s="1126"/>
      <c r="L591" s="1126"/>
      <c r="M591" s="1126"/>
      <c r="N591" s="462"/>
      <c r="O591" s="462"/>
      <c r="P591" s="462"/>
      <c r="Q591" s="462"/>
      <c r="R591" s="462"/>
      <c r="S591" s="462"/>
      <c r="T591" s="1113"/>
      <c r="U591" s="1113"/>
      <c r="V591" s="1113"/>
    </row>
    <row r="592" spans="1:22" ht="15.75" customHeight="1">
      <c r="A592" s="462"/>
      <c r="B592" s="462"/>
      <c r="C592" s="1126"/>
      <c r="D592" s="1126"/>
      <c r="E592" s="1126"/>
      <c r="F592" s="1126"/>
      <c r="G592" s="1126"/>
      <c r="H592" s="1126"/>
      <c r="I592" s="1126"/>
      <c r="J592" s="1126"/>
      <c r="K592" s="1126"/>
      <c r="L592" s="1126"/>
      <c r="M592" s="1126"/>
      <c r="N592" s="462"/>
      <c r="O592" s="462"/>
      <c r="P592" s="462"/>
      <c r="Q592" s="462"/>
      <c r="R592" s="462"/>
      <c r="S592" s="462"/>
      <c r="T592" s="1113"/>
      <c r="U592" s="1113"/>
      <c r="V592" s="1113"/>
    </row>
    <row r="593" spans="1:22" ht="15.75" customHeight="1">
      <c r="A593" s="462"/>
      <c r="B593" s="462"/>
      <c r="C593" s="1126"/>
      <c r="D593" s="1126"/>
      <c r="E593" s="1126"/>
      <c r="F593" s="1126"/>
      <c r="G593" s="1126"/>
      <c r="H593" s="1126"/>
      <c r="I593" s="1126"/>
      <c r="J593" s="1126"/>
      <c r="K593" s="1126"/>
      <c r="L593" s="1126"/>
      <c r="M593" s="1126"/>
      <c r="N593" s="462"/>
      <c r="O593" s="462"/>
      <c r="P593" s="462"/>
      <c r="Q593" s="462"/>
      <c r="R593" s="462"/>
      <c r="S593" s="462"/>
      <c r="T593" s="1113"/>
      <c r="U593" s="1113"/>
      <c r="V593" s="1113"/>
    </row>
    <row r="594" spans="1:22" ht="15.75" customHeight="1">
      <c r="A594" s="462"/>
      <c r="B594" s="462"/>
      <c r="C594" s="1126"/>
      <c r="D594" s="1126"/>
      <c r="E594" s="1126"/>
      <c r="F594" s="1126"/>
      <c r="G594" s="1126"/>
      <c r="H594" s="1126"/>
      <c r="I594" s="1126"/>
      <c r="J594" s="1126"/>
      <c r="K594" s="1126"/>
      <c r="L594" s="1126"/>
      <c r="M594" s="1126"/>
      <c r="N594" s="462"/>
      <c r="O594" s="462"/>
      <c r="P594" s="462"/>
      <c r="Q594" s="462"/>
      <c r="R594" s="462"/>
      <c r="S594" s="462"/>
      <c r="T594" s="1113"/>
      <c r="U594" s="1113"/>
      <c r="V594" s="1113"/>
    </row>
    <row r="595" spans="1:22" ht="15.75" customHeight="1">
      <c r="A595" s="462"/>
      <c r="B595" s="462"/>
      <c r="C595" s="1126"/>
      <c r="D595" s="1126"/>
      <c r="E595" s="1126"/>
      <c r="F595" s="1126"/>
      <c r="G595" s="1126"/>
      <c r="H595" s="1126"/>
      <c r="I595" s="1126"/>
      <c r="J595" s="1126"/>
      <c r="K595" s="1126"/>
      <c r="L595" s="1126"/>
      <c r="M595" s="1126"/>
      <c r="N595" s="462"/>
      <c r="O595" s="462"/>
      <c r="P595" s="462"/>
      <c r="Q595" s="462"/>
      <c r="R595" s="462"/>
      <c r="S595" s="462"/>
      <c r="T595" s="1113"/>
      <c r="U595" s="1113"/>
      <c r="V595" s="1113"/>
    </row>
    <row r="596" spans="1:22" ht="15.75" customHeight="1">
      <c r="A596" s="462"/>
      <c r="B596" s="462"/>
      <c r="C596" s="1126"/>
      <c r="D596" s="1126"/>
      <c r="E596" s="1126"/>
      <c r="F596" s="1126"/>
      <c r="G596" s="1126"/>
      <c r="H596" s="1126"/>
      <c r="I596" s="1126"/>
      <c r="J596" s="1126"/>
      <c r="K596" s="1126"/>
      <c r="L596" s="1126"/>
      <c r="M596" s="1126"/>
      <c r="N596" s="462"/>
      <c r="O596" s="462"/>
      <c r="P596" s="462"/>
      <c r="Q596" s="462"/>
      <c r="R596" s="462"/>
      <c r="S596" s="462"/>
      <c r="T596" s="1113"/>
      <c r="U596" s="1113"/>
      <c r="V596" s="1113"/>
    </row>
    <row r="597" spans="1:22" ht="15.75" customHeight="1">
      <c r="A597" s="462"/>
      <c r="B597" s="462"/>
      <c r="C597" s="1126"/>
      <c r="D597" s="1126"/>
      <c r="E597" s="1126"/>
      <c r="F597" s="1126"/>
      <c r="G597" s="1126"/>
      <c r="H597" s="1126"/>
      <c r="I597" s="1126"/>
      <c r="J597" s="1126"/>
      <c r="K597" s="1126"/>
      <c r="L597" s="1126"/>
      <c r="M597" s="1126"/>
      <c r="N597" s="462"/>
      <c r="O597" s="462"/>
      <c r="P597" s="462"/>
      <c r="Q597" s="462"/>
      <c r="R597" s="462"/>
      <c r="S597" s="462"/>
      <c r="T597" s="1113"/>
      <c r="U597" s="1113"/>
      <c r="V597" s="1113"/>
    </row>
    <row r="598" spans="1:22" ht="15.75" customHeight="1">
      <c r="A598" s="462"/>
      <c r="B598" s="462"/>
      <c r="C598" s="1126"/>
      <c r="D598" s="1126"/>
      <c r="E598" s="1126"/>
      <c r="F598" s="1126"/>
      <c r="G598" s="1126"/>
      <c r="H598" s="1126"/>
      <c r="I598" s="1126"/>
      <c r="J598" s="1126"/>
      <c r="K598" s="1126"/>
      <c r="L598" s="1126"/>
      <c r="M598" s="1126"/>
      <c r="N598" s="462"/>
      <c r="O598" s="462"/>
      <c r="P598" s="462"/>
      <c r="Q598" s="462"/>
      <c r="R598" s="462"/>
      <c r="S598" s="462"/>
      <c r="T598" s="1113"/>
      <c r="U598" s="1113"/>
      <c r="V598" s="1113"/>
    </row>
    <row r="599" spans="1:22" ht="15.75" customHeight="1">
      <c r="A599" s="462"/>
      <c r="B599" s="462"/>
      <c r="C599" s="1126"/>
      <c r="D599" s="1126"/>
      <c r="E599" s="1126"/>
      <c r="F599" s="1126"/>
      <c r="G599" s="1126"/>
      <c r="H599" s="1126"/>
      <c r="I599" s="1126"/>
      <c r="J599" s="1126"/>
      <c r="K599" s="1126"/>
      <c r="L599" s="1126"/>
      <c r="M599" s="1126"/>
      <c r="N599" s="462"/>
      <c r="O599" s="462"/>
      <c r="P599" s="462"/>
      <c r="Q599" s="462"/>
      <c r="R599" s="462"/>
      <c r="S599" s="462"/>
      <c r="T599" s="1113"/>
      <c r="U599" s="1113"/>
      <c r="V599" s="1113"/>
    </row>
    <row r="600" spans="1:22" ht="15.75" customHeight="1">
      <c r="A600" s="462"/>
      <c r="B600" s="462"/>
      <c r="C600" s="1126"/>
      <c r="D600" s="1126"/>
      <c r="E600" s="1126"/>
      <c r="F600" s="1126"/>
      <c r="G600" s="1126"/>
      <c r="H600" s="1126"/>
      <c r="I600" s="1126"/>
      <c r="J600" s="1126"/>
      <c r="K600" s="1126"/>
      <c r="L600" s="1126"/>
      <c r="M600" s="1126"/>
      <c r="N600" s="462"/>
      <c r="O600" s="462"/>
      <c r="P600" s="462"/>
      <c r="Q600" s="462"/>
      <c r="R600" s="462"/>
      <c r="S600" s="462"/>
      <c r="T600" s="1113"/>
      <c r="U600" s="1113"/>
      <c r="V600" s="1113"/>
    </row>
    <row r="601" spans="1:22" ht="15.75" customHeight="1">
      <c r="A601" s="462"/>
      <c r="B601" s="462"/>
      <c r="C601" s="1126"/>
      <c r="D601" s="1126"/>
      <c r="E601" s="1126"/>
      <c r="F601" s="1126"/>
      <c r="G601" s="1126"/>
      <c r="H601" s="1126"/>
      <c r="I601" s="1126"/>
      <c r="J601" s="1126"/>
      <c r="K601" s="1126"/>
      <c r="L601" s="1126"/>
      <c r="M601" s="1126"/>
      <c r="N601" s="462"/>
      <c r="O601" s="462"/>
      <c r="P601" s="462"/>
      <c r="Q601" s="462"/>
      <c r="R601" s="462"/>
      <c r="S601" s="462"/>
      <c r="T601" s="1113"/>
      <c r="U601" s="1113"/>
      <c r="V601" s="1113"/>
    </row>
    <row r="602" spans="1:22" ht="15.75" customHeight="1">
      <c r="A602" s="462"/>
      <c r="B602" s="462"/>
      <c r="C602" s="1126"/>
      <c r="D602" s="1126"/>
      <c r="E602" s="1126"/>
      <c r="F602" s="1126"/>
      <c r="G602" s="1126"/>
      <c r="H602" s="1126"/>
      <c r="I602" s="1126"/>
      <c r="J602" s="1126"/>
      <c r="K602" s="1126"/>
      <c r="L602" s="1126"/>
      <c r="M602" s="1126"/>
      <c r="N602" s="462"/>
      <c r="O602" s="462"/>
      <c r="P602" s="462"/>
      <c r="Q602" s="462"/>
      <c r="R602" s="462"/>
      <c r="S602" s="462"/>
      <c r="T602" s="1113"/>
      <c r="U602" s="1113"/>
      <c r="V602" s="1113"/>
    </row>
    <row r="603" spans="1:22" ht="15.75" customHeight="1">
      <c r="A603" s="462"/>
      <c r="B603" s="462"/>
      <c r="C603" s="1126"/>
      <c r="D603" s="1126"/>
      <c r="E603" s="1126"/>
      <c r="F603" s="1126"/>
      <c r="G603" s="1126"/>
      <c r="H603" s="1126"/>
      <c r="I603" s="1126"/>
      <c r="J603" s="1126"/>
      <c r="K603" s="1126"/>
      <c r="L603" s="1126"/>
      <c r="M603" s="1126"/>
      <c r="N603" s="462"/>
      <c r="O603" s="462"/>
      <c r="P603" s="462"/>
      <c r="Q603" s="462"/>
      <c r="R603" s="462"/>
      <c r="S603" s="462"/>
      <c r="T603" s="1113"/>
      <c r="U603" s="1113"/>
      <c r="V603" s="1113"/>
    </row>
    <row r="604" spans="1:22" ht="15.75" customHeight="1">
      <c r="A604" s="462"/>
      <c r="B604" s="462"/>
      <c r="C604" s="1126"/>
      <c r="D604" s="1126"/>
      <c r="E604" s="1126"/>
      <c r="F604" s="1126"/>
      <c r="G604" s="1126"/>
      <c r="H604" s="1126"/>
      <c r="I604" s="1126"/>
      <c r="J604" s="1126"/>
      <c r="K604" s="1126"/>
      <c r="L604" s="1126"/>
      <c r="M604" s="1126"/>
      <c r="N604" s="462"/>
      <c r="O604" s="462"/>
      <c r="P604" s="462"/>
      <c r="Q604" s="462"/>
      <c r="R604" s="462"/>
      <c r="S604" s="462"/>
      <c r="T604" s="1113"/>
      <c r="U604" s="1113"/>
      <c r="V604" s="1113"/>
    </row>
    <row r="605" spans="1:22" ht="15.75" customHeight="1">
      <c r="A605" s="462"/>
      <c r="B605" s="462"/>
      <c r="C605" s="1126"/>
      <c r="D605" s="1126"/>
      <c r="E605" s="1126"/>
      <c r="F605" s="1126"/>
      <c r="G605" s="1126"/>
      <c r="H605" s="1126"/>
      <c r="I605" s="1126"/>
      <c r="J605" s="1126"/>
      <c r="K605" s="1126"/>
      <c r="L605" s="1126"/>
      <c r="M605" s="1126"/>
      <c r="N605" s="462"/>
      <c r="O605" s="462"/>
      <c r="P605" s="462"/>
      <c r="Q605" s="462"/>
      <c r="R605" s="462"/>
      <c r="S605" s="462"/>
      <c r="T605" s="1113"/>
      <c r="U605" s="1113"/>
      <c r="V605" s="1113"/>
    </row>
    <row r="606" spans="1:22" ht="15.75" customHeight="1">
      <c r="A606" s="462"/>
      <c r="B606" s="462"/>
      <c r="C606" s="1126"/>
      <c r="D606" s="1126"/>
      <c r="E606" s="1126"/>
      <c r="F606" s="1126"/>
      <c r="G606" s="1126"/>
      <c r="H606" s="1126"/>
      <c r="I606" s="1126"/>
      <c r="J606" s="1126"/>
      <c r="K606" s="1126"/>
      <c r="L606" s="1126"/>
      <c r="M606" s="1126"/>
      <c r="N606" s="462"/>
      <c r="O606" s="462"/>
      <c r="P606" s="462"/>
      <c r="Q606" s="462"/>
      <c r="R606" s="462"/>
      <c r="S606" s="462"/>
      <c r="T606" s="1113"/>
      <c r="U606" s="1113"/>
      <c r="V606" s="1113"/>
    </row>
    <row r="607" spans="1:22" ht="15.75" customHeight="1">
      <c r="A607" s="462"/>
      <c r="B607" s="462"/>
      <c r="C607" s="1126"/>
      <c r="D607" s="1126"/>
      <c r="E607" s="1126"/>
      <c r="F607" s="1126"/>
      <c r="G607" s="1126"/>
      <c r="H607" s="1126"/>
      <c r="I607" s="1126"/>
      <c r="J607" s="1126"/>
      <c r="K607" s="1126"/>
      <c r="L607" s="1126"/>
      <c r="M607" s="1126"/>
      <c r="N607" s="462"/>
      <c r="O607" s="462"/>
      <c r="P607" s="462"/>
      <c r="Q607" s="462"/>
      <c r="R607" s="462"/>
      <c r="S607" s="462"/>
      <c r="T607" s="1113"/>
      <c r="U607" s="1113"/>
      <c r="V607" s="1113"/>
    </row>
    <row r="608" spans="1:22" ht="15.75" customHeight="1">
      <c r="A608" s="462"/>
      <c r="B608" s="462"/>
      <c r="C608" s="1126"/>
      <c r="D608" s="1126"/>
      <c r="E608" s="1126"/>
      <c r="F608" s="1126"/>
      <c r="G608" s="1126"/>
      <c r="H608" s="1126"/>
      <c r="I608" s="1126"/>
      <c r="J608" s="1126"/>
      <c r="K608" s="1126"/>
      <c r="L608" s="1126"/>
      <c r="M608" s="1126"/>
      <c r="N608" s="462"/>
      <c r="O608" s="462"/>
      <c r="P608" s="462"/>
      <c r="Q608" s="462"/>
      <c r="R608" s="462"/>
      <c r="S608" s="462"/>
      <c r="T608" s="1113"/>
      <c r="U608" s="1113"/>
      <c r="V608" s="1113"/>
    </row>
    <row r="609" spans="1:22" ht="15.75" customHeight="1">
      <c r="A609" s="462"/>
      <c r="B609" s="462"/>
      <c r="C609" s="1126"/>
      <c r="D609" s="1126"/>
      <c r="E609" s="1126"/>
      <c r="F609" s="1126"/>
      <c r="G609" s="1126"/>
      <c r="H609" s="1126"/>
      <c r="I609" s="1126"/>
      <c r="J609" s="1126"/>
      <c r="K609" s="1126"/>
      <c r="L609" s="1126"/>
      <c r="M609" s="1126"/>
      <c r="N609" s="462"/>
      <c r="O609" s="462"/>
      <c r="P609" s="462"/>
      <c r="Q609" s="462"/>
      <c r="R609" s="462"/>
      <c r="S609" s="462"/>
      <c r="T609" s="1113"/>
      <c r="U609" s="1113"/>
      <c r="V609" s="1113"/>
    </row>
    <row r="610" spans="1:22" ht="15.75" customHeight="1">
      <c r="A610" s="462"/>
      <c r="B610" s="462"/>
      <c r="C610" s="1126"/>
      <c r="D610" s="1126"/>
      <c r="E610" s="1126"/>
      <c r="F610" s="1126"/>
      <c r="G610" s="1126"/>
      <c r="H610" s="1126"/>
      <c r="I610" s="1126"/>
      <c r="J610" s="1126"/>
      <c r="K610" s="1126"/>
      <c r="L610" s="1126"/>
      <c r="M610" s="1126"/>
      <c r="N610" s="462"/>
      <c r="O610" s="462"/>
      <c r="P610" s="462"/>
      <c r="Q610" s="462"/>
      <c r="R610" s="462"/>
      <c r="S610" s="462"/>
      <c r="T610" s="1113"/>
      <c r="U610" s="1113"/>
      <c r="V610" s="1113"/>
    </row>
    <row r="611" spans="1:22" ht="15.75" customHeight="1">
      <c r="A611" s="462"/>
      <c r="B611" s="462"/>
      <c r="C611" s="1126"/>
      <c r="D611" s="1126"/>
      <c r="E611" s="1126"/>
      <c r="F611" s="1126"/>
      <c r="G611" s="1126"/>
      <c r="H611" s="1126"/>
      <c r="I611" s="1126"/>
      <c r="J611" s="1126"/>
      <c r="K611" s="1126"/>
      <c r="L611" s="1126"/>
      <c r="M611" s="1126"/>
      <c r="N611" s="462"/>
      <c r="O611" s="462"/>
      <c r="P611" s="462"/>
      <c r="Q611" s="462"/>
      <c r="R611" s="462"/>
      <c r="S611" s="462"/>
      <c r="T611" s="1113"/>
      <c r="U611" s="1113"/>
      <c r="V611" s="1113"/>
    </row>
    <row r="612" spans="1:22" ht="15.75" customHeight="1">
      <c r="A612" s="462"/>
      <c r="B612" s="462"/>
      <c r="C612" s="1126"/>
      <c r="D612" s="1126"/>
      <c r="E612" s="1126"/>
      <c r="F612" s="1126"/>
      <c r="G612" s="1126"/>
      <c r="H612" s="1126"/>
      <c r="I612" s="1126"/>
      <c r="J612" s="1126"/>
      <c r="K612" s="1126"/>
      <c r="L612" s="1126"/>
      <c r="M612" s="1126"/>
      <c r="N612" s="462"/>
      <c r="O612" s="462"/>
      <c r="P612" s="462"/>
      <c r="Q612" s="462"/>
      <c r="R612" s="462"/>
      <c r="S612" s="462"/>
      <c r="T612" s="1113"/>
      <c r="U612" s="1113"/>
      <c r="V612" s="1113"/>
    </row>
    <row r="613" spans="1:22" ht="15.75" customHeight="1">
      <c r="A613" s="462"/>
      <c r="B613" s="462"/>
      <c r="C613" s="1126"/>
      <c r="D613" s="1126"/>
      <c r="E613" s="1126"/>
      <c r="F613" s="1126"/>
      <c r="G613" s="1126"/>
      <c r="H613" s="1126"/>
      <c r="I613" s="1126"/>
      <c r="J613" s="1126"/>
      <c r="K613" s="1126"/>
      <c r="L613" s="1126"/>
      <c r="M613" s="1126"/>
      <c r="N613" s="462"/>
      <c r="O613" s="462"/>
      <c r="P613" s="462"/>
      <c r="Q613" s="462"/>
      <c r="R613" s="462"/>
      <c r="S613" s="462"/>
      <c r="T613" s="1113"/>
      <c r="U613" s="1113"/>
      <c r="V613" s="1113"/>
    </row>
    <row r="614" spans="1:22" ht="15.75" customHeight="1">
      <c r="A614" s="462"/>
      <c r="B614" s="462"/>
      <c r="C614" s="1126"/>
      <c r="D614" s="1126"/>
      <c r="E614" s="1126"/>
      <c r="F614" s="1126"/>
      <c r="G614" s="1126"/>
      <c r="H614" s="1126"/>
      <c r="I614" s="1126"/>
      <c r="J614" s="1126"/>
      <c r="K614" s="1126"/>
      <c r="L614" s="1126"/>
      <c r="M614" s="1126"/>
      <c r="N614" s="462"/>
      <c r="O614" s="462"/>
      <c r="P614" s="462"/>
      <c r="Q614" s="462"/>
      <c r="R614" s="462"/>
      <c r="S614" s="462"/>
      <c r="T614" s="1113"/>
      <c r="U614" s="1113"/>
      <c r="V614" s="1113"/>
    </row>
    <row r="615" spans="1:22" ht="15.75" customHeight="1">
      <c r="A615" s="462"/>
      <c r="B615" s="462"/>
      <c r="C615" s="1126"/>
      <c r="D615" s="1126"/>
      <c r="E615" s="1126"/>
      <c r="F615" s="1126"/>
      <c r="G615" s="1126"/>
      <c r="H615" s="1126"/>
      <c r="I615" s="1126"/>
      <c r="J615" s="1126"/>
      <c r="K615" s="1126"/>
      <c r="L615" s="1126"/>
      <c r="M615" s="1126"/>
      <c r="N615" s="462"/>
      <c r="O615" s="462"/>
      <c r="P615" s="462"/>
      <c r="Q615" s="462"/>
      <c r="R615" s="462"/>
      <c r="S615" s="462"/>
      <c r="T615" s="1113"/>
      <c r="U615" s="1113"/>
      <c r="V615" s="1113"/>
    </row>
    <row r="616" spans="1:22" ht="15.75" customHeight="1">
      <c r="A616" s="462"/>
      <c r="B616" s="462"/>
      <c r="C616" s="1126"/>
      <c r="D616" s="1126"/>
      <c r="E616" s="1126"/>
      <c r="F616" s="1126"/>
      <c r="G616" s="1126"/>
      <c r="H616" s="1126"/>
      <c r="I616" s="1126"/>
      <c r="J616" s="1126"/>
      <c r="K616" s="1126"/>
      <c r="L616" s="1126"/>
      <c r="M616" s="1126"/>
      <c r="N616" s="462"/>
      <c r="O616" s="462"/>
      <c r="P616" s="462"/>
      <c r="Q616" s="462"/>
      <c r="R616" s="462"/>
      <c r="S616" s="462"/>
      <c r="T616" s="1113"/>
      <c r="U616" s="1113"/>
      <c r="V616" s="1113"/>
    </row>
    <row r="617" spans="1:22" ht="15.75" customHeight="1">
      <c r="A617" s="462"/>
      <c r="B617" s="462"/>
      <c r="C617" s="1126"/>
      <c r="D617" s="1126"/>
      <c r="E617" s="1126"/>
      <c r="F617" s="1126"/>
      <c r="G617" s="1126"/>
      <c r="H617" s="1126"/>
      <c r="I617" s="1126"/>
      <c r="J617" s="1126"/>
      <c r="K617" s="1126"/>
      <c r="L617" s="1126"/>
      <c r="M617" s="1126"/>
      <c r="N617" s="462"/>
      <c r="O617" s="462"/>
      <c r="P617" s="462"/>
      <c r="Q617" s="462"/>
      <c r="R617" s="462"/>
      <c r="S617" s="462"/>
      <c r="T617" s="1113"/>
      <c r="U617" s="1113"/>
      <c r="V617" s="1113"/>
    </row>
    <row r="618" spans="1:22" ht="15.75" customHeight="1">
      <c r="A618" s="462"/>
      <c r="B618" s="462"/>
      <c r="C618" s="1126"/>
      <c r="D618" s="1126"/>
      <c r="E618" s="1126"/>
      <c r="F618" s="1126"/>
      <c r="G618" s="1126"/>
      <c r="H618" s="1126"/>
      <c r="I618" s="1126"/>
      <c r="J618" s="1126"/>
      <c r="K618" s="1126"/>
      <c r="L618" s="1126"/>
      <c r="M618" s="1126"/>
      <c r="N618" s="462"/>
      <c r="O618" s="462"/>
      <c r="P618" s="462"/>
      <c r="Q618" s="462"/>
      <c r="R618" s="462"/>
      <c r="S618" s="462"/>
      <c r="T618" s="1113"/>
      <c r="U618" s="1113"/>
      <c r="V618" s="1113"/>
    </row>
    <row r="619" spans="1:22" ht="15.75" customHeight="1">
      <c r="A619" s="462"/>
      <c r="B619" s="462"/>
      <c r="C619" s="1126"/>
      <c r="D619" s="1126"/>
      <c r="E619" s="1126"/>
      <c r="F619" s="1126"/>
      <c r="G619" s="1126"/>
      <c r="H619" s="1126"/>
      <c r="I619" s="1126"/>
      <c r="J619" s="1126"/>
      <c r="K619" s="1126"/>
      <c r="L619" s="1126"/>
      <c r="M619" s="1126"/>
      <c r="N619" s="462"/>
      <c r="O619" s="462"/>
      <c r="P619" s="462"/>
      <c r="Q619" s="462"/>
      <c r="R619" s="462"/>
      <c r="S619" s="462"/>
      <c r="T619" s="1113"/>
      <c r="U619" s="1113"/>
      <c r="V619" s="1113"/>
    </row>
    <row r="620" spans="1:22" ht="15.75" customHeight="1">
      <c r="A620" s="462"/>
      <c r="B620" s="462"/>
      <c r="C620" s="1126"/>
      <c r="D620" s="1126"/>
      <c r="E620" s="1126"/>
      <c r="F620" s="1126"/>
      <c r="G620" s="1126"/>
      <c r="H620" s="1126"/>
      <c r="I620" s="1126"/>
      <c r="J620" s="1126"/>
      <c r="K620" s="1126"/>
      <c r="L620" s="1126"/>
      <c r="M620" s="1126"/>
      <c r="N620" s="462"/>
      <c r="O620" s="462"/>
      <c r="P620" s="462"/>
      <c r="Q620" s="462"/>
      <c r="R620" s="462"/>
      <c r="S620" s="462"/>
      <c r="T620" s="1113"/>
      <c r="U620" s="1113"/>
      <c r="V620" s="1113"/>
    </row>
    <row r="621" spans="1:22" ht="15.75" customHeight="1">
      <c r="A621" s="462"/>
      <c r="B621" s="462"/>
      <c r="C621" s="1126"/>
      <c r="D621" s="1126"/>
      <c r="E621" s="1126"/>
      <c r="F621" s="1126"/>
      <c r="G621" s="1126"/>
      <c r="H621" s="1126"/>
      <c r="I621" s="1126"/>
      <c r="J621" s="1126"/>
      <c r="K621" s="1126"/>
      <c r="L621" s="1126"/>
      <c r="M621" s="1126"/>
      <c r="N621" s="462"/>
      <c r="O621" s="462"/>
      <c r="P621" s="462"/>
      <c r="Q621" s="462"/>
      <c r="R621" s="462"/>
      <c r="S621" s="462"/>
      <c r="T621" s="1113"/>
      <c r="U621" s="1113"/>
      <c r="V621" s="1113"/>
    </row>
    <row r="622" spans="1:22" ht="15.75" customHeight="1">
      <c r="A622" s="462"/>
      <c r="B622" s="462"/>
      <c r="C622" s="1126"/>
      <c r="D622" s="1126"/>
      <c r="E622" s="1126"/>
      <c r="F622" s="1126"/>
      <c r="G622" s="1126"/>
      <c r="H622" s="1126"/>
      <c r="I622" s="1126"/>
      <c r="J622" s="1126"/>
      <c r="K622" s="1126"/>
      <c r="L622" s="1126"/>
      <c r="M622" s="1126"/>
      <c r="N622" s="462"/>
      <c r="O622" s="462"/>
      <c r="P622" s="462"/>
      <c r="Q622" s="462"/>
      <c r="R622" s="462"/>
      <c r="S622" s="462"/>
      <c r="T622" s="1113"/>
      <c r="U622" s="1113"/>
      <c r="V622" s="1113"/>
    </row>
    <row r="623" spans="1:22" ht="15.75" customHeight="1">
      <c r="A623" s="462"/>
      <c r="B623" s="462"/>
      <c r="C623" s="1126"/>
      <c r="D623" s="1126"/>
      <c r="E623" s="1126"/>
      <c r="F623" s="1126"/>
      <c r="G623" s="1126"/>
      <c r="H623" s="1126"/>
      <c r="I623" s="1126"/>
      <c r="J623" s="1126"/>
      <c r="K623" s="1126"/>
      <c r="L623" s="1126"/>
      <c r="M623" s="1126"/>
      <c r="N623" s="462"/>
      <c r="O623" s="462"/>
      <c r="P623" s="462"/>
      <c r="Q623" s="462"/>
      <c r="R623" s="462"/>
      <c r="S623" s="462"/>
      <c r="T623" s="1113"/>
      <c r="U623" s="1113"/>
      <c r="V623" s="1113"/>
    </row>
    <row r="624" spans="1:22" ht="15.75" customHeight="1">
      <c r="A624" s="462"/>
      <c r="B624" s="462"/>
      <c r="C624" s="1126"/>
      <c r="D624" s="1126"/>
      <c r="E624" s="1126"/>
      <c r="F624" s="1126"/>
      <c r="G624" s="1126"/>
      <c r="H624" s="1126"/>
      <c r="I624" s="1126"/>
      <c r="J624" s="1126"/>
      <c r="K624" s="1126"/>
      <c r="L624" s="1126"/>
      <c r="M624" s="1126"/>
      <c r="N624" s="462"/>
      <c r="O624" s="462"/>
      <c r="P624" s="462"/>
      <c r="Q624" s="462"/>
      <c r="R624" s="462"/>
      <c r="S624" s="462"/>
      <c r="T624" s="1113"/>
      <c r="U624" s="1113"/>
      <c r="V624" s="1113"/>
    </row>
    <row r="625" spans="1:22" ht="15.75" customHeight="1">
      <c r="A625" s="462"/>
      <c r="B625" s="462"/>
      <c r="C625" s="1126"/>
      <c r="D625" s="1126"/>
      <c r="E625" s="1126"/>
      <c r="F625" s="1126"/>
      <c r="G625" s="1126"/>
      <c r="H625" s="1126"/>
      <c r="I625" s="1126"/>
      <c r="J625" s="1126"/>
      <c r="K625" s="1126"/>
      <c r="L625" s="1126"/>
      <c r="M625" s="1126"/>
      <c r="N625" s="462"/>
      <c r="O625" s="462"/>
      <c r="P625" s="462"/>
      <c r="Q625" s="462"/>
      <c r="R625" s="462"/>
      <c r="S625" s="462"/>
      <c r="T625" s="1113"/>
      <c r="U625" s="1113"/>
      <c r="V625" s="1113"/>
    </row>
    <row r="626" spans="1:22" ht="15.75" customHeight="1">
      <c r="A626" s="462"/>
      <c r="B626" s="462"/>
      <c r="C626" s="1126"/>
      <c r="D626" s="1126"/>
      <c r="E626" s="1126"/>
      <c r="F626" s="1126"/>
      <c r="G626" s="1126"/>
      <c r="H626" s="1126"/>
      <c r="I626" s="1126"/>
      <c r="J626" s="1126"/>
      <c r="K626" s="1126"/>
      <c r="L626" s="1126"/>
      <c r="M626" s="1126"/>
      <c r="N626" s="462"/>
      <c r="O626" s="462"/>
      <c r="P626" s="462"/>
      <c r="Q626" s="462"/>
      <c r="R626" s="462"/>
      <c r="S626" s="462"/>
      <c r="T626" s="1113"/>
      <c r="U626" s="1113"/>
      <c r="V626" s="1113"/>
    </row>
    <row r="627" spans="1:22" ht="15.75" customHeight="1">
      <c r="A627" s="462"/>
      <c r="B627" s="462"/>
      <c r="C627" s="1126"/>
      <c r="D627" s="1126"/>
      <c r="E627" s="1126"/>
      <c r="F627" s="1126"/>
      <c r="G627" s="1126"/>
      <c r="H627" s="1126"/>
      <c r="I627" s="1126"/>
      <c r="J627" s="1126"/>
      <c r="K627" s="1126"/>
      <c r="L627" s="1126"/>
      <c r="M627" s="1126"/>
      <c r="N627" s="462"/>
      <c r="O627" s="462"/>
      <c r="P627" s="462"/>
      <c r="Q627" s="462"/>
      <c r="R627" s="462"/>
      <c r="S627" s="462"/>
      <c r="T627" s="1113"/>
      <c r="U627" s="1113"/>
      <c r="V627" s="1113"/>
    </row>
    <row r="628" spans="1:22" ht="15.75" customHeight="1">
      <c r="A628" s="462"/>
      <c r="B628" s="462"/>
      <c r="C628" s="1126"/>
      <c r="D628" s="1126"/>
      <c r="E628" s="1126"/>
      <c r="F628" s="1126"/>
      <c r="G628" s="1126"/>
      <c r="H628" s="1126"/>
      <c r="I628" s="1126"/>
      <c r="J628" s="1126"/>
      <c r="K628" s="1126"/>
      <c r="L628" s="1126"/>
      <c r="M628" s="1126"/>
      <c r="N628" s="462"/>
      <c r="O628" s="462"/>
      <c r="P628" s="462"/>
      <c r="Q628" s="462"/>
      <c r="R628" s="462"/>
      <c r="S628" s="462"/>
      <c r="T628" s="1113"/>
      <c r="U628" s="1113"/>
      <c r="V628" s="1113"/>
    </row>
    <row r="629" spans="1:22" ht="15.75" customHeight="1">
      <c r="A629" s="462"/>
      <c r="B629" s="462"/>
      <c r="C629" s="1126"/>
      <c r="D629" s="1126"/>
      <c r="E629" s="1126"/>
      <c r="F629" s="1126"/>
      <c r="G629" s="1126"/>
      <c r="H629" s="1126"/>
      <c r="I629" s="1126"/>
      <c r="J629" s="1126"/>
      <c r="K629" s="1126"/>
      <c r="L629" s="1126"/>
      <c r="M629" s="1126"/>
      <c r="N629" s="462"/>
      <c r="O629" s="462"/>
      <c r="P629" s="462"/>
      <c r="Q629" s="462"/>
      <c r="R629" s="462"/>
      <c r="S629" s="462"/>
      <c r="T629" s="1113"/>
      <c r="U629" s="1113"/>
      <c r="V629" s="1113"/>
    </row>
    <row r="630" spans="1:22" ht="15.75" customHeight="1">
      <c r="A630" s="1168"/>
      <c r="B630" s="1168"/>
      <c r="C630" s="1169"/>
      <c r="D630" s="1169"/>
      <c r="E630" s="1169"/>
      <c r="F630" s="1169"/>
      <c r="G630" s="1169"/>
      <c r="H630" s="1169"/>
      <c r="I630" s="1169"/>
      <c r="J630" s="1169"/>
      <c r="K630" s="1169"/>
      <c r="L630" s="1169"/>
      <c r="M630" s="1169"/>
      <c r="N630" s="1168"/>
      <c r="O630" s="1168"/>
      <c r="P630" s="1168"/>
      <c r="Q630" s="1168"/>
      <c r="R630" s="1168"/>
      <c r="S630" s="1168"/>
    </row>
    <row r="631" spans="1:22" ht="15.75" customHeight="1">
      <c r="A631" s="1168"/>
      <c r="B631" s="1168"/>
      <c r="C631" s="1169"/>
      <c r="D631" s="1169"/>
      <c r="E631" s="1169"/>
      <c r="F631" s="1169"/>
      <c r="G631" s="1169"/>
      <c r="H631" s="1169"/>
      <c r="I631" s="1169"/>
      <c r="J631" s="1169"/>
      <c r="K631" s="1169"/>
      <c r="L631" s="1169"/>
      <c r="M631" s="1169"/>
      <c r="N631" s="1168"/>
      <c r="O631" s="1168"/>
      <c r="P631" s="1168"/>
      <c r="Q631" s="1168"/>
      <c r="R631" s="1168"/>
      <c r="S631" s="1168"/>
    </row>
    <row r="632" spans="1:22" ht="15.75" customHeight="1">
      <c r="A632" s="1168"/>
      <c r="B632" s="1168"/>
      <c r="C632" s="1169"/>
      <c r="D632" s="1169"/>
      <c r="E632" s="1169"/>
      <c r="F632" s="1169"/>
      <c r="G632" s="1169"/>
      <c r="H632" s="1169"/>
      <c r="I632" s="1169"/>
      <c r="J632" s="1169"/>
      <c r="K632" s="1169"/>
      <c r="L632" s="1169"/>
      <c r="M632" s="1169"/>
      <c r="N632" s="1168"/>
      <c r="O632" s="1168"/>
      <c r="P632" s="1168"/>
      <c r="Q632" s="1168"/>
      <c r="R632" s="1168"/>
      <c r="S632" s="1168"/>
    </row>
    <row r="633" spans="1:22" ht="15.75" customHeight="1">
      <c r="A633" s="1168"/>
      <c r="B633" s="1168"/>
      <c r="C633" s="1169"/>
      <c r="D633" s="1169"/>
      <c r="E633" s="1169"/>
      <c r="F633" s="1169"/>
      <c r="G633" s="1169"/>
      <c r="H633" s="1169"/>
      <c r="I633" s="1169"/>
      <c r="J633" s="1169"/>
      <c r="K633" s="1169"/>
      <c r="L633" s="1169"/>
      <c r="M633" s="1169"/>
      <c r="N633" s="1168"/>
      <c r="O633" s="1168"/>
      <c r="P633" s="1168"/>
      <c r="Q633" s="1168"/>
      <c r="R633" s="1168"/>
      <c r="S633" s="1168"/>
    </row>
    <row r="634" spans="1:22" ht="15.75" customHeight="1">
      <c r="A634" s="1168"/>
      <c r="B634" s="1168"/>
      <c r="C634" s="1169"/>
      <c r="D634" s="1169"/>
      <c r="E634" s="1169"/>
      <c r="F634" s="1169"/>
      <c r="G634" s="1169"/>
      <c r="H634" s="1169"/>
      <c r="I634" s="1169"/>
      <c r="J634" s="1169"/>
      <c r="K634" s="1169"/>
      <c r="L634" s="1169"/>
      <c r="M634" s="1169"/>
      <c r="N634" s="1168"/>
      <c r="O634" s="1168"/>
      <c r="P634" s="1168"/>
      <c r="Q634" s="1168"/>
      <c r="R634" s="1168"/>
      <c r="S634" s="1168"/>
    </row>
    <row r="635" spans="1:22" ht="15.75" customHeight="1">
      <c r="A635" s="1168"/>
      <c r="B635" s="1168"/>
      <c r="C635" s="1169"/>
      <c r="D635" s="1169"/>
      <c r="E635" s="1169"/>
      <c r="F635" s="1169"/>
      <c r="G635" s="1169"/>
      <c r="H635" s="1169"/>
      <c r="I635" s="1169"/>
      <c r="J635" s="1169"/>
      <c r="K635" s="1169"/>
      <c r="L635" s="1169"/>
      <c r="M635" s="1169"/>
      <c r="N635" s="1168"/>
      <c r="O635" s="1168"/>
      <c r="P635" s="1168"/>
      <c r="Q635" s="1168"/>
      <c r="R635" s="1168"/>
      <c r="S635" s="1168"/>
    </row>
    <row r="636" spans="1:22" ht="15.75" customHeight="1">
      <c r="A636" s="1168"/>
      <c r="B636" s="1168"/>
      <c r="C636" s="1169"/>
      <c r="D636" s="1169"/>
      <c r="E636" s="1169"/>
      <c r="F636" s="1169"/>
      <c r="G636" s="1169"/>
      <c r="H636" s="1169"/>
      <c r="I636" s="1169"/>
      <c r="J636" s="1169"/>
      <c r="K636" s="1169"/>
      <c r="L636" s="1169"/>
      <c r="M636" s="1169"/>
      <c r="N636" s="1168"/>
      <c r="O636" s="1168"/>
      <c r="P636" s="1168"/>
      <c r="Q636" s="1168"/>
      <c r="R636" s="1168"/>
      <c r="S636" s="1168"/>
    </row>
    <row r="637" spans="1:22" ht="15.75" customHeight="1">
      <c r="A637" s="1168"/>
      <c r="B637" s="1168"/>
      <c r="C637" s="1169"/>
      <c r="D637" s="1169"/>
      <c r="E637" s="1169"/>
      <c r="F637" s="1169"/>
      <c r="G637" s="1169"/>
      <c r="H637" s="1169"/>
      <c r="I637" s="1169"/>
      <c r="J637" s="1169"/>
      <c r="K637" s="1169"/>
      <c r="L637" s="1169"/>
      <c r="M637" s="1169"/>
      <c r="N637" s="1168"/>
      <c r="O637" s="1168"/>
      <c r="P637" s="1168"/>
      <c r="Q637" s="1168"/>
      <c r="R637" s="1168"/>
      <c r="S637" s="1168"/>
    </row>
    <row r="638" spans="1:22" ht="15.75" customHeight="1">
      <c r="A638" s="1168"/>
      <c r="B638" s="1168"/>
      <c r="C638" s="1169"/>
      <c r="D638" s="1169"/>
      <c r="E638" s="1169"/>
      <c r="F638" s="1169"/>
      <c r="G638" s="1169"/>
      <c r="H638" s="1169"/>
      <c r="I638" s="1169"/>
      <c r="J638" s="1169"/>
      <c r="K638" s="1169"/>
      <c r="L638" s="1169"/>
      <c r="M638" s="1169"/>
      <c r="N638" s="1168"/>
      <c r="O638" s="1168"/>
      <c r="P638" s="1168"/>
      <c r="Q638" s="1168"/>
      <c r="R638" s="1168"/>
      <c r="S638" s="1168"/>
    </row>
    <row r="639" spans="1:22" ht="15.75" customHeight="1">
      <c r="A639" s="1168"/>
      <c r="B639" s="1168"/>
      <c r="C639" s="1169"/>
      <c r="D639" s="1169"/>
      <c r="E639" s="1169"/>
      <c r="F639" s="1169"/>
      <c r="G639" s="1169"/>
      <c r="H639" s="1169"/>
      <c r="I639" s="1169"/>
      <c r="J639" s="1169"/>
      <c r="K639" s="1169"/>
      <c r="L639" s="1169"/>
      <c r="M639" s="1169"/>
      <c r="N639" s="1168"/>
      <c r="O639" s="1168"/>
      <c r="P639" s="1168"/>
      <c r="Q639" s="1168"/>
      <c r="R639" s="1168"/>
      <c r="S639" s="1168"/>
    </row>
    <row r="640" spans="1:22" ht="15.75" customHeight="1">
      <c r="A640" s="1168"/>
      <c r="B640" s="1168"/>
      <c r="C640" s="1169"/>
      <c r="D640" s="1169"/>
      <c r="E640" s="1169"/>
      <c r="F640" s="1169"/>
      <c r="G640" s="1169"/>
      <c r="H640" s="1169"/>
      <c r="I640" s="1169"/>
      <c r="J640" s="1169"/>
      <c r="K640" s="1169"/>
      <c r="L640" s="1169"/>
      <c r="M640" s="1169"/>
      <c r="N640" s="1168"/>
      <c r="O640" s="1168"/>
      <c r="P640" s="1168"/>
      <c r="Q640" s="1168"/>
      <c r="R640" s="1168"/>
      <c r="S640" s="1168"/>
    </row>
    <row r="641" spans="1:19" ht="15.75" customHeight="1">
      <c r="A641" s="1168"/>
      <c r="B641" s="1168"/>
      <c r="C641" s="1169"/>
      <c r="D641" s="1169"/>
      <c r="E641" s="1169"/>
      <c r="F641" s="1169"/>
      <c r="G641" s="1169"/>
      <c r="H641" s="1169"/>
      <c r="I641" s="1169"/>
      <c r="J641" s="1169"/>
      <c r="K641" s="1169"/>
      <c r="L641" s="1169"/>
      <c r="M641" s="1169"/>
      <c r="N641" s="1168"/>
      <c r="O641" s="1168"/>
      <c r="P641" s="1168"/>
      <c r="Q641" s="1168"/>
      <c r="R641" s="1168"/>
      <c r="S641" s="1168"/>
    </row>
    <row r="642" spans="1:19" ht="15.75" customHeight="1">
      <c r="A642" s="1168"/>
      <c r="B642" s="1168"/>
      <c r="C642" s="1169"/>
      <c r="D642" s="1169"/>
      <c r="E642" s="1169"/>
      <c r="F642" s="1169"/>
      <c r="G642" s="1169"/>
      <c r="H642" s="1169"/>
      <c r="I642" s="1169"/>
      <c r="J642" s="1169"/>
      <c r="K642" s="1169"/>
      <c r="L642" s="1169"/>
      <c r="M642" s="1169"/>
      <c r="N642" s="1168"/>
      <c r="O642" s="1168"/>
      <c r="P642" s="1168"/>
      <c r="Q642" s="1168"/>
      <c r="R642" s="1168"/>
      <c r="S642" s="1168"/>
    </row>
    <row r="643" spans="1:19" ht="15.75" customHeight="1">
      <c r="A643" s="1168"/>
      <c r="B643" s="1168"/>
      <c r="C643" s="1169"/>
      <c r="D643" s="1169"/>
      <c r="E643" s="1169"/>
      <c r="F643" s="1169"/>
      <c r="G643" s="1169"/>
      <c r="H643" s="1169"/>
      <c r="I643" s="1169"/>
      <c r="J643" s="1169"/>
      <c r="K643" s="1169"/>
      <c r="L643" s="1169"/>
      <c r="M643" s="1169"/>
      <c r="N643" s="1168"/>
      <c r="O643" s="1168"/>
      <c r="P643" s="1168"/>
      <c r="Q643" s="1168"/>
      <c r="R643" s="1168"/>
      <c r="S643" s="1168"/>
    </row>
    <row r="644" spans="1:19" ht="15.75" customHeight="1">
      <c r="C644" s="1170"/>
      <c r="D644" s="1170"/>
      <c r="E644" s="1170"/>
      <c r="F644" s="1170"/>
      <c r="G644" s="1170"/>
      <c r="H644" s="1170"/>
      <c r="I644" s="1170"/>
      <c r="J644" s="1170"/>
      <c r="K644" s="1170"/>
      <c r="L644" s="1170"/>
      <c r="M644" s="1170"/>
    </row>
    <row r="645" spans="1:19" ht="15.75" customHeight="1">
      <c r="C645" s="1170"/>
      <c r="D645" s="1170"/>
      <c r="E645" s="1170"/>
      <c r="F645" s="1170"/>
      <c r="G645" s="1170"/>
      <c r="H645" s="1170"/>
      <c r="I645" s="1170"/>
      <c r="J645" s="1170"/>
      <c r="K645" s="1170"/>
      <c r="L645" s="1170"/>
      <c r="M645" s="1170"/>
    </row>
    <row r="646" spans="1:19" ht="15.75" customHeight="1">
      <c r="C646" s="1170"/>
      <c r="D646" s="1170"/>
      <c r="E646" s="1170"/>
      <c r="F646" s="1170"/>
      <c r="G646" s="1170"/>
      <c r="H646" s="1170"/>
      <c r="I646" s="1170"/>
      <c r="J646" s="1170"/>
      <c r="K646" s="1170"/>
      <c r="L646" s="1170"/>
      <c r="M646" s="1170"/>
    </row>
    <row r="647" spans="1:19" ht="15.75" customHeight="1">
      <c r="C647" s="1170"/>
      <c r="D647" s="1170"/>
      <c r="E647" s="1170"/>
      <c r="F647" s="1170"/>
      <c r="G647" s="1170"/>
      <c r="H647" s="1170"/>
      <c r="I647" s="1170"/>
      <c r="J647" s="1170"/>
      <c r="K647" s="1170"/>
      <c r="L647" s="1170"/>
      <c r="M647" s="1170"/>
    </row>
    <row r="648" spans="1:19" ht="15.75" customHeight="1">
      <c r="C648" s="1170"/>
      <c r="D648" s="1170"/>
      <c r="E648" s="1170"/>
      <c r="F648" s="1170"/>
      <c r="G648" s="1170"/>
      <c r="H648" s="1170"/>
      <c r="I648" s="1170"/>
      <c r="J648" s="1170"/>
      <c r="K648" s="1170"/>
      <c r="L648" s="1170"/>
      <c r="M648" s="1170"/>
    </row>
    <row r="649" spans="1:19" ht="15.75" customHeight="1">
      <c r="C649" s="1170"/>
      <c r="D649" s="1170"/>
      <c r="E649" s="1170"/>
      <c r="F649" s="1170"/>
      <c r="G649" s="1170"/>
      <c r="H649" s="1170"/>
      <c r="I649" s="1170"/>
      <c r="J649" s="1170"/>
      <c r="K649" s="1170"/>
      <c r="L649" s="1170"/>
      <c r="M649" s="1170"/>
    </row>
    <row r="650" spans="1:19" ht="15.75" customHeight="1">
      <c r="C650" s="1170"/>
      <c r="D650" s="1170"/>
      <c r="E650" s="1170"/>
      <c r="F650" s="1170"/>
      <c r="G650" s="1170"/>
      <c r="H650" s="1170"/>
      <c r="I650" s="1170"/>
      <c r="J650" s="1170"/>
      <c r="K650" s="1170"/>
      <c r="L650" s="1170"/>
      <c r="M650" s="1170"/>
    </row>
    <row r="651" spans="1:19" ht="15.75" customHeight="1">
      <c r="C651" s="1170"/>
      <c r="D651" s="1170"/>
      <c r="E651" s="1170"/>
      <c r="F651" s="1170"/>
      <c r="G651" s="1170"/>
      <c r="H651" s="1170"/>
      <c r="I651" s="1170"/>
      <c r="J651" s="1170"/>
      <c r="K651" s="1170"/>
      <c r="L651" s="1170"/>
      <c r="M651" s="1170"/>
    </row>
    <row r="652" spans="1:19" ht="15.75" customHeight="1">
      <c r="C652" s="1170"/>
      <c r="D652" s="1170"/>
      <c r="E652" s="1170"/>
      <c r="F652" s="1170"/>
      <c r="G652" s="1170"/>
      <c r="H652" s="1170"/>
      <c r="I652" s="1170"/>
      <c r="J652" s="1170"/>
      <c r="K652" s="1170"/>
      <c r="L652" s="1170"/>
      <c r="M652" s="1170"/>
    </row>
    <row r="653" spans="1:19" ht="15.75" customHeight="1">
      <c r="C653" s="1170"/>
      <c r="D653" s="1170"/>
      <c r="E653" s="1170"/>
      <c r="F653" s="1170"/>
      <c r="G653" s="1170"/>
      <c r="H653" s="1170"/>
      <c r="I653" s="1170"/>
      <c r="J653" s="1170"/>
      <c r="K653" s="1170"/>
      <c r="L653" s="1170"/>
      <c r="M653" s="1170"/>
    </row>
    <row r="654" spans="1:19" ht="15.75" customHeight="1">
      <c r="C654" s="1170"/>
      <c r="D654" s="1170"/>
      <c r="E654" s="1170"/>
      <c r="F654" s="1170"/>
      <c r="G654" s="1170"/>
      <c r="H654" s="1170"/>
      <c r="I654" s="1170"/>
      <c r="J654" s="1170"/>
      <c r="K654" s="1170"/>
      <c r="L654" s="1170"/>
      <c r="M654" s="1170"/>
    </row>
    <row r="655" spans="1:19" ht="15.75" customHeight="1">
      <c r="C655" s="1170"/>
      <c r="D655" s="1170"/>
      <c r="E655" s="1170"/>
      <c r="F655" s="1170"/>
      <c r="G655" s="1170"/>
      <c r="H655" s="1170"/>
      <c r="I655" s="1170"/>
      <c r="J655" s="1170"/>
      <c r="K655" s="1170"/>
      <c r="L655" s="1170"/>
      <c r="M655" s="1170"/>
    </row>
    <row r="656" spans="1:19" ht="15.75" customHeight="1">
      <c r="C656" s="1170"/>
      <c r="D656" s="1170"/>
      <c r="E656" s="1170"/>
      <c r="F656" s="1170"/>
      <c r="G656" s="1170"/>
      <c r="H656" s="1170"/>
      <c r="I656" s="1170"/>
      <c r="J656" s="1170"/>
      <c r="K656" s="1170"/>
      <c r="L656" s="1170"/>
      <c r="M656" s="1170"/>
    </row>
    <row r="657" spans="3:13" ht="15.75" customHeight="1">
      <c r="C657" s="1170"/>
      <c r="D657" s="1170"/>
      <c r="E657" s="1170"/>
      <c r="F657" s="1170"/>
      <c r="G657" s="1170"/>
      <c r="H657" s="1170"/>
      <c r="I657" s="1170"/>
      <c r="J657" s="1170"/>
      <c r="K657" s="1170"/>
      <c r="L657" s="1170"/>
      <c r="M657" s="1170"/>
    </row>
    <row r="658" spans="3:13" ht="15.75" customHeight="1">
      <c r="C658" s="1170"/>
      <c r="D658" s="1170"/>
      <c r="E658" s="1170"/>
      <c r="F658" s="1170"/>
      <c r="G658" s="1170"/>
      <c r="H658" s="1170"/>
      <c r="I658" s="1170"/>
      <c r="J658" s="1170"/>
      <c r="K658" s="1170"/>
      <c r="L658" s="1170"/>
      <c r="M658" s="1170"/>
    </row>
    <row r="659" spans="3:13" ht="15.75" customHeight="1">
      <c r="C659" s="1170"/>
      <c r="D659" s="1170"/>
      <c r="E659" s="1170"/>
      <c r="F659" s="1170"/>
      <c r="G659" s="1170"/>
      <c r="H659" s="1170"/>
      <c r="I659" s="1170"/>
      <c r="J659" s="1170"/>
      <c r="K659" s="1170"/>
      <c r="L659" s="1170"/>
      <c r="M659" s="1170"/>
    </row>
    <row r="660" spans="3:13" ht="15.75" customHeight="1">
      <c r="C660" s="1170"/>
      <c r="D660" s="1170"/>
      <c r="E660" s="1170"/>
      <c r="F660" s="1170"/>
      <c r="G660" s="1170"/>
      <c r="H660" s="1170"/>
      <c r="I660" s="1170"/>
      <c r="J660" s="1170"/>
      <c r="K660" s="1170"/>
      <c r="L660" s="1170"/>
      <c r="M660" s="1170"/>
    </row>
    <row r="661" spans="3:13" ht="15.75" customHeight="1">
      <c r="C661" s="1170"/>
      <c r="D661" s="1170"/>
      <c r="E661" s="1170"/>
      <c r="F661" s="1170"/>
      <c r="G661" s="1170"/>
      <c r="H661" s="1170"/>
      <c r="I661" s="1170"/>
      <c r="J661" s="1170"/>
      <c r="K661" s="1170"/>
      <c r="L661" s="1170"/>
      <c r="M661" s="1170"/>
    </row>
    <row r="662" spans="3:13" ht="15.75" customHeight="1">
      <c r="C662" s="1170"/>
      <c r="D662" s="1170"/>
      <c r="E662" s="1170"/>
      <c r="F662" s="1170"/>
      <c r="G662" s="1170"/>
      <c r="H662" s="1170"/>
      <c r="I662" s="1170"/>
      <c r="J662" s="1170"/>
      <c r="K662" s="1170"/>
      <c r="L662" s="1170"/>
      <c r="M662" s="1170"/>
    </row>
    <row r="663" spans="3:13" ht="15.75" customHeight="1">
      <c r="C663" s="1170"/>
      <c r="D663" s="1170"/>
      <c r="E663" s="1170"/>
      <c r="F663" s="1170"/>
      <c r="G663" s="1170"/>
      <c r="H663" s="1170"/>
      <c r="I663" s="1170"/>
      <c r="J663" s="1170"/>
      <c r="K663" s="1170"/>
      <c r="L663" s="1170"/>
      <c r="M663" s="1170"/>
    </row>
    <row r="664" spans="3:13" ht="15.75" customHeight="1">
      <c r="C664" s="1170"/>
      <c r="D664" s="1170"/>
      <c r="E664" s="1170"/>
      <c r="F664" s="1170"/>
      <c r="G664" s="1170"/>
      <c r="H664" s="1170"/>
      <c r="I664" s="1170"/>
      <c r="J664" s="1170"/>
      <c r="K664" s="1170"/>
      <c r="L664" s="1170"/>
      <c r="M664" s="1170"/>
    </row>
    <row r="665" spans="3:13" ht="15.75" customHeight="1">
      <c r="C665" s="1170"/>
      <c r="D665" s="1170"/>
      <c r="E665" s="1170"/>
      <c r="F665" s="1170"/>
      <c r="G665" s="1170"/>
      <c r="H665" s="1170"/>
      <c r="I665" s="1170"/>
      <c r="J665" s="1170"/>
      <c r="K665" s="1170"/>
      <c r="L665" s="1170"/>
      <c r="M665" s="1170"/>
    </row>
    <row r="666" spans="3:13" ht="15.75" customHeight="1">
      <c r="C666" s="1170"/>
      <c r="D666" s="1170"/>
      <c r="E666" s="1170"/>
      <c r="F666" s="1170"/>
      <c r="G666" s="1170"/>
      <c r="H666" s="1170"/>
      <c r="I666" s="1170"/>
      <c r="J666" s="1170"/>
      <c r="K666" s="1170"/>
      <c r="L666" s="1170"/>
      <c r="M666" s="1170"/>
    </row>
    <row r="667" spans="3:13" ht="15.75" customHeight="1">
      <c r="C667" s="1170"/>
      <c r="D667" s="1170"/>
      <c r="E667" s="1170"/>
      <c r="F667" s="1170"/>
      <c r="G667" s="1170"/>
      <c r="H667" s="1170"/>
      <c r="I667" s="1170"/>
      <c r="J667" s="1170"/>
      <c r="K667" s="1170"/>
      <c r="L667" s="1170"/>
      <c r="M667" s="1170"/>
    </row>
    <row r="668" spans="3:13" ht="15.75" customHeight="1">
      <c r="C668" s="1170"/>
      <c r="D668" s="1170"/>
      <c r="E668" s="1170"/>
      <c r="F668" s="1170"/>
      <c r="G668" s="1170"/>
      <c r="H668" s="1170"/>
      <c r="I668" s="1170"/>
      <c r="J668" s="1170"/>
      <c r="K668" s="1170"/>
      <c r="L668" s="1170"/>
      <c r="M668" s="1170"/>
    </row>
    <row r="669" spans="3:13" ht="15.75" customHeight="1">
      <c r="C669" s="1170"/>
      <c r="D669" s="1170"/>
      <c r="E669" s="1170"/>
      <c r="F669" s="1170"/>
      <c r="G669" s="1170"/>
      <c r="H669" s="1170"/>
      <c r="I669" s="1170"/>
      <c r="J669" s="1170"/>
      <c r="K669" s="1170"/>
      <c r="L669" s="1170"/>
      <c r="M669" s="1170"/>
    </row>
    <row r="670" spans="3:13" ht="15.75" customHeight="1">
      <c r="C670" s="1170"/>
      <c r="D670" s="1170"/>
      <c r="E670" s="1170"/>
      <c r="F670" s="1170"/>
      <c r="G670" s="1170"/>
      <c r="H670" s="1170"/>
      <c r="I670" s="1170"/>
      <c r="J670" s="1170"/>
      <c r="K670" s="1170"/>
      <c r="L670" s="1170"/>
      <c r="M670" s="1170"/>
    </row>
    <row r="671" spans="3:13" ht="14.25" customHeight="1">
      <c r="C671" s="1170"/>
      <c r="D671" s="1170"/>
      <c r="E671" s="1170"/>
      <c r="F671" s="1170"/>
      <c r="G671" s="1170"/>
      <c r="H671" s="1170"/>
      <c r="I671" s="1170"/>
      <c r="J671" s="1170"/>
      <c r="K671" s="1170"/>
      <c r="L671" s="1170"/>
      <c r="M671" s="1170"/>
    </row>
    <row r="672" spans="3:13" ht="14.25" customHeight="1">
      <c r="C672" s="1170"/>
      <c r="D672" s="1170"/>
      <c r="E672" s="1170"/>
      <c r="F672" s="1170"/>
      <c r="G672" s="1170"/>
      <c r="H672" s="1170"/>
      <c r="I672" s="1170"/>
      <c r="J672" s="1170"/>
      <c r="K672" s="1170"/>
      <c r="L672" s="1170"/>
      <c r="M672" s="1170"/>
    </row>
    <row r="673" spans="3:13" ht="14.25" customHeight="1">
      <c r="C673" s="1170"/>
      <c r="D673" s="1170"/>
      <c r="E673" s="1170"/>
      <c r="F673" s="1170"/>
      <c r="G673" s="1170"/>
      <c r="H673" s="1170"/>
      <c r="I673" s="1170"/>
      <c r="J673" s="1170"/>
      <c r="K673" s="1170"/>
      <c r="L673" s="1170"/>
      <c r="M673" s="1170"/>
    </row>
    <row r="674" spans="3:13" ht="14.25" customHeight="1">
      <c r="C674" s="1170"/>
      <c r="D674" s="1170"/>
      <c r="E674" s="1170"/>
      <c r="F674" s="1170"/>
      <c r="G674" s="1170"/>
      <c r="H674" s="1170"/>
      <c r="I674" s="1170"/>
      <c r="J674" s="1170"/>
      <c r="K674" s="1170"/>
      <c r="L674" s="1170"/>
      <c r="M674" s="1170"/>
    </row>
    <row r="675" spans="3:13" ht="14.25" customHeight="1">
      <c r="C675" s="1170"/>
      <c r="D675" s="1170"/>
      <c r="E675" s="1170"/>
      <c r="F675" s="1170"/>
      <c r="G675" s="1170"/>
      <c r="H675" s="1170"/>
      <c r="I675" s="1170"/>
      <c r="J675" s="1170"/>
      <c r="K675" s="1170"/>
      <c r="L675" s="1170"/>
      <c r="M675" s="1170"/>
    </row>
    <row r="676" spans="3:13" ht="14.25" customHeight="1">
      <c r="C676" s="1170"/>
      <c r="D676" s="1170"/>
      <c r="E676" s="1170"/>
      <c r="F676" s="1170"/>
      <c r="G676" s="1170"/>
      <c r="H676" s="1170"/>
      <c r="I676" s="1170"/>
      <c r="J676" s="1170"/>
      <c r="K676" s="1170"/>
      <c r="L676" s="1170"/>
      <c r="M676" s="1170"/>
    </row>
    <row r="677" spans="3:13" ht="14.25" customHeight="1">
      <c r="C677" s="1170"/>
      <c r="D677" s="1170"/>
      <c r="E677" s="1170"/>
      <c r="F677" s="1170"/>
      <c r="G677" s="1170"/>
      <c r="H677" s="1170"/>
      <c r="I677" s="1170"/>
      <c r="J677" s="1170"/>
      <c r="K677" s="1170"/>
      <c r="L677" s="1170"/>
      <c r="M677" s="1170"/>
    </row>
    <row r="678" spans="3:13" ht="14.25" customHeight="1">
      <c r="C678" s="1170"/>
      <c r="D678" s="1170"/>
      <c r="E678" s="1170"/>
      <c r="F678" s="1170"/>
      <c r="G678" s="1170"/>
      <c r="H678" s="1170"/>
      <c r="I678" s="1170"/>
      <c r="J678" s="1170"/>
      <c r="K678" s="1170"/>
      <c r="L678" s="1170"/>
      <c r="M678" s="1170"/>
    </row>
    <row r="679" spans="3:13" ht="14.25" customHeight="1">
      <c r="C679" s="1170"/>
      <c r="D679" s="1170"/>
      <c r="E679" s="1170"/>
      <c r="F679" s="1170"/>
      <c r="G679" s="1170"/>
      <c r="H679" s="1170"/>
      <c r="I679" s="1170"/>
      <c r="J679" s="1170"/>
      <c r="K679" s="1170"/>
      <c r="L679" s="1170"/>
      <c r="M679" s="1170"/>
    </row>
    <row r="680" spans="3:13" ht="14.25" customHeight="1">
      <c r="C680" s="1170"/>
      <c r="D680" s="1170"/>
      <c r="E680" s="1170"/>
      <c r="F680" s="1170"/>
      <c r="G680" s="1170"/>
      <c r="H680" s="1170"/>
      <c r="I680" s="1170"/>
      <c r="J680" s="1170"/>
      <c r="K680" s="1170"/>
      <c r="L680" s="1170"/>
      <c r="M680" s="1170"/>
    </row>
    <row r="681" spans="3:13" ht="14.25" customHeight="1">
      <c r="C681" s="1170"/>
      <c r="D681" s="1170"/>
      <c r="E681" s="1170"/>
      <c r="F681" s="1170"/>
      <c r="G681" s="1170"/>
      <c r="H681" s="1170"/>
      <c r="I681" s="1170"/>
      <c r="J681" s="1170"/>
      <c r="K681" s="1170"/>
      <c r="L681" s="1170"/>
      <c r="M681" s="1170"/>
    </row>
    <row r="682" spans="3:13" ht="14.25" customHeight="1">
      <c r="C682" s="1170"/>
      <c r="D682" s="1170"/>
      <c r="E682" s="1170"/>
      <c r="F682" s="1170"/>
      <c r="G682" s="1170"/>
      <c r="H682" s="1170"/>
      <c r="I682" s="1170"/>
      <c r="J682" s="1170"/>
      <c r="K682" s="1170"/>
      <c r="L682" s="1170"/>
      <c r="M682" s="1170"/>
    </row>
    <row r="683" spans="3:13" ht="14.25" customHeight="1">
      <c r="C683" s="1170"/>
      <c r="D683" s="1170"/>
      <c r="E683" s="1170"/>
      <c r="F683" s="1170"/>
      <c r="G683" s="1170"/>
      <c r="H683" s="1170"/>
      <c r="I683" s="1170"/>
      <c r="J683" s="1170"/>
      <c r="K683" s="1170"/>
      <c r="L683" s="1170"/>
      <c r="M683" s="1170"/>
    </row>
    <row r="684" spans="3:13" ht="14.25" customHeight="1">
      <c r="C684" s="1170"/>
      <c r="D684" s="1170"/>
      <c r="E684" s="1170"/>
      <c r="F684" s="1170"/>
      <c r="G684" s="1170"/>
      <c r="H684" s="1170"/>
      <c r="I684" s="1170"/>
      <c r="J684" s="1170"/>
      <c r="K684" s="1170"/>
      <c r="L684" s="1170"/>
      <c r="M684" s="1170"/>
    </row>
    <row r="685" spans="3:13" ht="14.25" customHeight="1">
      <c r="C685" s="1170"/>
      <c r="D685" s="1170"/>
      <c r="E685" s="1170"/>
      <c r="F685" s="1170"/>
      <c r="G685" s="1170"/>
      <c r="H685" s="1170"/>
      <c r="I685" s="1170"/>
      <c r="J685" s="1170"/>
      <c r="K685" s="1170"/>
      <c r="L685" s="1170"/>
      <c r="M685" s="1170"/>
    </row>
    <row r="686" spans="3:13" ht="14.25" customHeight="1">
      <c r="C686" s="1170"/>
      <c r="D686" s="1170"/>
      <c r="E686" s="1170"/>
      <c r="F686" s="1170"/>
      <c r="G686" s="1170"/>
      <c r="H686" s="1170"/>
      <c r="I686" s="1170"/>
      <c r="J686" s="1170"/>
      <c r="K686" s="1170"/>
      <c r="L686" s="1170"/>
      <c r="M686" s="1170"/>
    </row>
    <row r="687" spans="3:13" ht="14.25" customHeight="1">
      <c r="C687" s="1170"/>
      <c r="D687" s="1170"/>
      <c r="E687" s="1170"/>
      <c r="F687" s="1170"/>
      <c r="G687" s="1170"/>
      <c r="H687" s="1170"/>
      <c r="I687" s="1170"/>
      <c r="J687" s="1170"/>
      <c r="K687" s="1170"/>
      <c r="L687" s="1170"/>
      <c r="M687" s="1170"/>
    </row>
    <row r="688" spans="3:13" ht="14.25" customHeight="1">
      <c r="C688" s="1170"/>
      <c r="D688" s="1170"/>
      <c r="E688" s="1170"/>
      <c r="F688" s="1170"/>
      <c r="G688" s="1170"/>
      <c r="H688" s="1170"/>
      <c r="I688" s="1170"/>
      <c r="J688" s="1170"/>
      <c r="K688" s="1170"/>
      <c r="L688" s="1170"/>
      <c r="M688" s="1170"/>
    </row>
    <row r="689" spans="3:13" ht="14.25" customHeight="1">
      <c r="C689" s="1170"/>
      <c r="D689" s="1170"/>
      <c r="E689" s="1170"/>
      <c r="F689" s="1170"/>
      <c r="G689" s="1170"/>
      <c r="H689" s="1170"/>
      <c r="I689" s="1170"/>
      <c r="J689" s="1170"/>
      <c r="K689" s="1170"/>
      <c r="L689" s="1170"/>
      <c r="M689" s="1170"/>
    </row>
    <row r="690" spans="3:13" ht="14.25" customHeight="1">
      <c r="C690" s="1170"/>
      <c r="D690" s="1170"/>
      <c r="E690" s="1170"/>
      <c r="F690" s="1170"/>
      <c r="G690" s="1170"/>
      <c r="H690" s="1170"/>
      <c r="I690" s="1170"/>
      <c r="J690" s="1170"/>
      <c r="K690" s="1170"/>
      <c r="L690" s="1170"/>
      <c r="M690" s="1170"/>
    </row>
    <row r="691" spans="3:13" ht="14.25" customHeight="1">
      <c r="C691" s="1170"/>
      <c r="D691" s="1170"/>
      <c r="E691" s="1170"/>
      <c r="F691" s="1170"/>
      <c r="G691" s="1170"/>
      <c r="H691" s="1170"/>
      <c r="I691" s="1170"/>
      <c r="J691" s="1170"/>
      <c r="K691" s="1170"/>
      <c r="L691" s="1170"/>
      <c r="M691" s="1170"/>
    </row>
    <row r="692" spans="3:13" ht="14.25" customHeight="1">
      <c r="C692" s="1170"/>
      <c r="D692" s="1170"/>
      <c r="E692" s="1170"/>
      <c r="F692" s="1170"/>
      <c r="G692" s="1170"/>
      <c r="H692" s="1170"/>
      <c r="I692" s="1170"/>
      <c r="J692" s="1170"/>
      <c r="K692" s="1170"/>
      <c r="L692" s="1170"/>
      <c r="M692" s="1170"/>
    </row>
    <row r="693" spans="3:13" ht="14.25" customHeight="1">
      <c r="C693" s="1170"/>
      <c r="D693" s="1170"/>
      <c r="E693" s="1170"/>
      <c r="F693" s="1170"/>
      <c r="G693" s="1170"/>
      <c r="H693" s="1170"/>
      <c r="I693" s="1170"/>
      <c r="J693" s="1170"/>
      <c r="K693" s="1170"/>
      <c r="L693" s="1170"/>
      <c r="M693" s="1170"/>
    </row>
    <row r="694" spans="3:13" ht="14.25" customHeight="1">
      <c r="C694" s="1170"/>
      <c r="D694" s="1170"/>
      <c r="E694" s="1170"/>
      <c r="F694" s="1170"/>
      <c r="G694" s="1170"/>
      <c r="H694" s="1170"/>
      <c r="I694" s="1170"/>
      <c r="J694" s="1170"/>
      <c r="K694" s="1170"/>
      <c r="L694" s="1170"/>
      <c r="M694" s="1170"/>
    </row>
    <row r="695" spans="3:13" ht="14.25" customHeight="1">
      <c r="C695" s="1170"/>
      <c r="D695" s="1170"/>
      <c r="E695" s="1170"/>
      <c r="F695" s="1170"/>
      <c r="G695" s="1170"/>
      <c r="H695" s="1170"/>
      <c r="I695" s="1170"/>
      <c r="J695" s="1170"/>
      <c r="K695" s="1170"/>
      <c r="L695" s="1170"/>
      <c r="M695" s="1170"/>
    </row>
    <row r="696" spans="3:13" ht="14.25" customHeight="1">
      <c r="C696" s="1170"/>
      <c r="D696" s="1170"/>
      <c r="E696" s="1170"/>
      <c r="F696" s="1170"/>
      <c r="G696" s="1170"/>
      <c r="H696" s="1170"/>
      <c r="I696" s="1170"/>
      <c r="J696" s="1170"/>
      <c r="K696" s="1170"/>
      <c r="L696" s="1170"/>
      <c r="M696" s="1170"/>
    </row>
    <row r="697" spans="3:13" ht="14.25" customHeight="1">
      <c r="C697" s="1170"/>
      <c r="D697" s="1170"/>
      <c r="E697" s="1170"/>
      <c r="F697" s="1170"/>
      <c r="G697" s="1170"/>
      <c r="H697" s="1170"/>
      <c r="I697" s="1170"/>
      <c r="J697" s="1170"/>
      <c r="K697" s="1170"/>
      <c r="L697" s="1170"/>
      <c r="M697" s="1170"/>
    </row>
    <row r="698" spans="3:13" ht="14.25" customHeight="1">
      <c r="C698" s="1170"/>
      <c r="D698" s="1170"/>
      <c r="E698" s="1170"/>
      <c r="F698" s="1170"/>
      <c r="G698" s="1170"/>
      <c r="H698" s="1170"/>
      <c r="I698" s="1170"/>
      <c r="J698" s="1170"/>
      <c r="K698" s="1170"/>
      <c r="L698" s="1170"/>
      <c r="M698" s="1170"/>
    </row>
    <row r="699" spans="3:13" ht="14.25" customHeight="1">
      <c r="C699" s="1170"/>
      <c r="D699" s="1170"/>
      <c r="E699" s="1170"/>
      <c r="F699" s="1170"/>
      <c r="G699" s="1170"/>
      <c r="H699" s="1170"/>
      <c r="I699" s="1170"/>
      <c r="J699" s="1170"/>
      <c r="K699" s="1170"/>
      <c r="L699" s="1170"/>
      <c r="M699" s="1170"/>
    </row>
    <row r="700" spans="3:13" ht="14.25" customHeight="1">
      <c r="C700" s="1170"/>
      <c r="D700" s="1170"/>
      <c r="E700" s="1170"/>
      <c r="F700" s="1170"/>
      <c r="G700" s="1170"/>
      <c r="H700" s="1170"/>
      <c r="I700" s="1170"/>
      <c r="J700" s="1170"/>
      <c r="K700" s="1170"/>
      <c r="L700" s="1170"/>
      <c r="M700" s="1170"/>
    </row>
    <row r="701" spans="3:13" ht="14.25" customHeight="1">
      <c r="C701" s="1170"/>
      <c r="D701" s="1170"/>
      <c r="E701" s="1170"/>
      <c r="F701" s="1170"/>
      <c r="G701" s="1170"/>
      <c r="H701" s="1170"/>
      <c r="I701" s="1170"/>
      <c r="J701" s="1170"/>
      <c r="K701" s="1170"/>
      <c r="L701" s="1170"/>
      <c r="M701" s="1170"/>
    </row>
    <row r="702" spans="3:13" ht="14.25" customHeight="1">
      <c r="C702" s="1170"/>
      <c r="D702" s="1170"/>
      <c r="E702" s="1170"/>
      <c r="F702" s="1170"/>
      <c r="G702" s="1170"/>
      <c r="H702" s="1170"/>
      <c r="I702" s="1170"/>
      <c r="J702" s="1170"/>
      <c r="K702" s="1170"/>
      <c r="L702" s="1170"/>
      <c r="M702" s="1170"/>
    </row>
    <row r="703" spans="3:13" ht="14.25" customHeight="1">
      <c r="C703" s="1170"/>
      <c r="D703" s="1170"/>
      <c r="E703" s="1170"/>
      <c r="F703" s="1170"/>
      <c r="G703" s="1170"/>
      <c r="H703" s="1170"/>
      <c r="I703" s="1170"/>
      <c r="J703" s="1170"/>
      <c r="K703" s="1170"/>
      <c r="L703" s="1170"/>
      <c r="M703" s="1170"/>
    </row>
    <row r="704" spans="3:13" ht="14.25" customHeight="1">
      <c r="C704" s="1170"/>
      <c r="D704" s="1170"/>
      <c r="E704" s="1170"/>
      <c r="F704" s="1170"/>
      <c r="G704" s="1170"/>
      <c r="H704" s="1170"/>
      <c r="I704" s="1170"/>
      <c r="J704" s="1170"/>
      <c r="K704" s="1170"/>
      <c r="L704" s="1170"/>
      <c r="M704" s="1170"/>
    </row>
    <row r="705" spans="3:13" ht="14.25" customHeight="1">
      <c r="C705" s="1170"/>
      <c r="D705" s="1170"/>
      <c r="E705" s="1170"/>
      <c r="F705" s="1170"/>
      <c r="G705" s="1170"/>
      <c r="H705" s="1170"/>
      <c r="I705" s="1170"/>
      <c r="J705" s="1170"/>
      <c r="K705" s="1170"/>
      <c r="L705" s="1170"/>
      <c r="M705" s="1170"/>
    </row>
    <row r="706" spans="3:13" ht="14.25" customHeight="1">
      <c r="C706" s="1170"/>
      <c r="D706" s="1170"/>
      <c r="E706" s="1170"/>
      <c r="F706" s="1170"/>
      <c r="G706" s="1170"/>
      <c r="H706" s="1170"/>
      <c r="I706" s="1170"/>
      <c r="J706" s="1170"/>
      <c r="K706" s="1170"/>
      <c r="L706" s="1170"/>
      <c r="M706" s="1170"/>
    </row>
    <row r="707" spans="3:13" ht="14.25" customHeight="1">
      <c r="C707" s="1170"/>
      <c r="D707" s="1170"/>
      <c r="E707" s="1170"/>
      <c r="F707" s="1170"/>
      <c r="G707" s="1170"/>
      <c r="H707" s="1170"/>
      <c r="I707" s="1170"/>
      <c r="J707" s="1170"/>
      <c r="K707" s="1170"/>
      <c r="L707" s="1170"/>
      <c r="M707" s="1170"/>
    </row>
    <row r="708" spans="3:13" ht="14.25" customHeight="1">
      <c r="C708" s="1170"/>
      <c r="D708" s="1170"/>
      <c r="E708" s="1170"/>
      <c r="F708" s="1170"/>
      <c r="G708" s="1170"/>
      <c r="H708" s="1170"/>
      <c r="I708" s="1170"/>
      <c r="J708" s="1170"/>
      <c r="K708" s="1170"/>
      <c r="L708" s="1170"/>
      <c r="M708" s="1170"/>
    </row>
    <row r="709" spans="3:13" ht="14.25" customHeight="1">
      <c r="C709" s="1170"/>
      <c r="D709" s="1170"/>
      <c r="E709" s="1170"/>
      <c r="F709" s="1170"/>
      <c r="G709" s="1170"/>
      <c r="H709" s="1170"/>
      <c r="I709" s="1170"/>
      <c r="J709" s="1170"/>
      <c r="K709" s="1170"/>
      <c r="L709" s="1170"/>
      <c r="M709" s="1170"/>
    </row>
    <row r="710" spans="3:13" ht="14.25" customHeight="1">
      <c r="C710" s="1170"/>
      <c r="D710" s="1170"/>
      <c r="E710" s="1170"/>
      <c r="F710" s="1170"/>
      <c r="G710" s="1170"/>
      <c r="H710" s="1170"/>
      <c r="I710" s="1170"/>
      <c r="J710" s="1170"/>
      <c r="K710" s="1170"/>
      <c r="L710" s="1170"/>
      <c r="M710" s="1170"/>
    </row>
    <row r="711" spans="3:13" ht="14.25" customHeight="1">
      <c r="C711" s="1170"/>
      <c r="D711" s="1170"/>
      <c r="E711" s="1170"/>
      <c r="F711" s="1170"/>
      <c r="G711" s="1170"/>
      <c r="H711" s="1170"/>
      <c r="I711" s="1170"/>
      <c r="J711" s="1170"/>
      <c r="K711" s="1170"/>
      <c r="L711" s="1170"/>
      <c r="M711" s="1170"/>
    </row>
    <row r="712" spans="3:13" ht="14.25" customHeight="1">
      <c r="C712" s="1170"/>
      <c r="D712" s="1170"/>
      <c r="E712" s="1170"/>
      <c r="F712" s="1170"/>
      <c r="G712" s="1170"/>
      <c r="H712" s="1170"/>
      <c r="I712" s="1170"/>
      <c r="J712" s="1170"/>
      <c r="K712" s="1170"/>
      <c r="L712" s="1170"/>
      <c r="M712" s="1170"/>
    </row>
    <row r="713" spans="3:13" ht="14.25" customHeight="1">
      <c r="C713" s="1170"/>
      <c r="D713" s="1170"/>
      <c r="E713" s="1170"/>
      <c r="F713" s="1170"/>
      <c r="G713" s="1170"/>
      <c r="H713" s="1170"/>
      <c r="I713" s="1170"/>
      <c r="J713" s="1170"/>
      <c r="K713" s="1170"/>
      <c r="L713" s="1170"/>
      <c r="M713" s="1170"/>
    </row>
    <row r="714" spans="3:13" ht="14.25" customHeight="1">
      <c r="C714" s="1170"/>
      <c r="D714" s="1170"/>
      <c r="E714" s="1170"/>
      <c r="F714" s="1170"/>
      <c r="G714" s="1170"/>
      <c r="H714" s="1170"/>
      <c r="I714" s="1170"/>
      <c r="J714" s="1170"/>
      <c r="K714" s="1170"/>
      <c r="L714" s="1170"/>
      <c r="M714" s="1170"/>
    </row>
    <row r="715" spans="3:13" ht="14.25" customHeight="1">
      <c r="C715" s="1170"/>
      <c r="D715" s="1170"/>
      <c r="E715" s="1170"/>
      <c r="F715" s="1170"/>
      <c r="G715" s="1170"/>
      <c r="H715" s="1170"/>
      <c r="I715" s="1170"/>
      <c r="J715" s="1170"/>
      <c r="K715" s="1170"/>
      <c r="L715" s="1170"/>
      <c r="M715" s="1170"/>
    </row>
    <row r="716" spans="3:13" ht="14.25" customHeight="1">
      <c r="C716" s="1170"/>
      <c r="D716" s="1170"/>
      <c r="E716" s="1170"/>
      <c r="F716" s="1170"/>
      <c r="G716" s="1170"/>
      <c r="H716" s="1170"/>
      <c r="I716" s="1170"/>
      <c r="J716" s="1170"/>
      <c r="K716" s="1170"/>
      <c r="L716" s="1170"/>
      <c r="M716" s="1170"/>
    </row>
    <row r="717" spans="3:13" ht="14.25" customHeight="1">
      <c r="C717" s="1170"/>
      <c r="D717" s="1170"/>
      <c r="E717" s="1170"/>
      <c r="F717" s="1170"/>
      <c r="G717" s="1170"/>
      <c r="H717" s="1170"/>
      <c r="I717" s="1170"/>
      <c r="J717" s="1170"/>
      <c r="K717" s="1170"/>
      <c r="L717" s="1170"/>
      <c r="M717" s="1170"/>
    </row>
    <row r="718" spans="3:13" ht="14.25" customHeight="1">
      <c r="C718" s="1170"/>
      <c r="D718" s="1170"/>
      <c r="E718" s="1170"/>
      <c r="F718" s="1170"/>
      <c r="G718" s="1170"/>
      <c r="H718" s="1170"/>
      <c r="I718" s="1170"/>
      <c r="J718" s="1170"/>
      <c r="K718" s="1170"/>
      <c r="L718" s="1170"/>
      <c r="M718" s="1170"/>
    </row>
    <row r="719" spans="3:13" ht="14.25" customHeight="1">
      <c r="C719" s="1170"/>
      <c r="D719" s="1170"/>
      <c r="E719" s="1170"/>
      <c r="F719" s="1170"/>
      <c r="G719" s="1170"/>
      <c r="H719" s="1170"/>
      <c r="I719" s="1170"/>
      <c r="J719" s="1170"/>
      <c r="K719" s="1170"/>
      <c r="L719" s="1170"/>
      <c r="M719" s="1170"/>
    </row>
    <row r="720" spans="3:13" ht="14.25" customHeight="1">
      <c r="C720" s="1170"/>
      <c r="D720" s="1170"/>
      <c r="E720" s="1170"/>
      <c r="F720" s="1170"/>
      <c r="G720" s="1170"/>
      <c r="H720" s="1170"/>
      <c r="I720" s="1170"/>
      <c r="J720" s="1170"/>
      <c r="K720" s="1170"/>
      <c r="L720" s="1170"/>
      <c r="M720" s="1170"/>
    </row>
    <row r="721" spans="3:13" ht="14.25" customHeight="1">
      <c r="C721" s="1170"/>
      <c r="D721" s="1170"/>
      <c r="E721" s="1170"/>
      <c r="F721" s="1170"/>
      <c r="G721" s="1170"/>
      <c r="H721" s="1170"/>
      <c r="I721" s="1170"/>
      <c r="J721" s="1170"/>
      <c r="K721" s="1170"/>
      <c r="L721" s="1170"/>
      <c r="M721" s="1170"/>
    </row>
    <row r="722" spans="3:13" ht="14.25" customHeight="1">
      <c r="C722" s="1170"/>
      <c r="D722" s="1170"/>
      <c r="E722" s="1170"/>
      <c r="F722" s="1170"/>
      <c r="G722" s="1170"/>
      <c r="H722" s="1170"/>
      <c r="I722" s="1170"/>
      <c r="J722" s="1170"/>
      <c r="K722" s="1170"/>
      <c r="L722" s="1170"/>
      <c r="M722" s="1170"/>
    </row>
    <row r="723" spans="3:13" ht="14.25" customHeight="1">
      <c r="C723" s="1170"/>
      <c r="D723" s="1170"/>
      <c r="E723" s="1170"/>
      <c r="F723" s="1170"/>
      <c r="G723" s="1170"/>
      <c r="H723" s="1170"/>
      <c r="I723" s="1170"/>
      <c r="J723" s="1170"/>
      <c r="K723" s="1170"/>
      <c r="L723" s="1170"/>
      <c r="M723" s="1170"/>
    </row>
    <row r="724" spans="3:13" ht="14.25" customHeight="1">
      <c r="C724" s="1170"/>
      <c r="D724" s="1170"/>
      <c r="E724" s="1170"/>
      <c r="F724" s="1170"/>
      <c r="G724" s="1170"/>
      <c r="H724" s="1170"/>
      <c r="I724" s="1170"/>
      <c r="J724" s="1170"/>
      <c r="K724" s="1170"/>
      <c r="L724" s="1170"/>
      <c r="M724" s="1170"/>
    </row>
    <row r="725" spans="3:13" ht="14.25" customHeight="1">
      <c r="C725" s="1170"/>
      <c r="D725" s="1170"/>
      <c r="E725" s="1170"/>
      <c r="F725" s="1170"/>
      <c r="G725" s="1170"/>
      <c r="H725" s="1170"/>
      <c r="I725" s="1170"/>
      <c r="J725" s="1170"/>
      <c r="K725" s="1170"/>
      <c r="L725" s="1170"/>
      <c r="M725" s="1170"/>
    </row>
    <row r="726" spans="3:13" ht="14.25" customHeight="1">
      <c r="C726" s="1170"/>
      <c r="D726" s="1170"/>
      <c r="E726" s="1170"/>
      <c r="F726" s="1170"/>
      <c r="G726" s="1170"/>
      <c r="H726" s="1170"/>
      <c r="I726" s="1170"/>
      <c r="J726" s="1170"/>
      <c r="K726" s="1170"/>
      <c r="L726" s="1170"/>
      <c r="M726" s="1170"/>
    </row>
    <row r="727" spans="3:13" ht="14.25" customHeight="1">
      <c r="C727" s="1170"/>
      <c r="D727" s="1170"/>
      <c r="E727" s="1170"/>
      <c r="F727" s="1170"/>
      <c r="G727" s="1170"/>
      <c r="H727" s="1170"/>
      <c r="I727" s="1170"/>
      <c r="J727" s="1170"/>
      <c r="K727" s="1170"/>
      <c r="L727" s="1170"/>
      <c r="M727" s="1170"/>
    </row>
    <row r="728" spans="3:13" ht="14.25" customHeight="1">
      <c r="C728" s="1170"/>
      <c r="D728" s="1170"/>
      <c r="E728" s="1170"/>
      <c r="F728" s="1170"/>
      <c r="G728" s="1170"/>
      <c r="H728" s="1170"/>
      <c r="I728" s="1170"/>
      <c r="J728" s="1170"/>
      <c r="K728" s="1170"/>
      <c r="L728" s="1170"/>
      <c r="M728" s="1170"/>
    </row>
    <row r="729" spans="3:13" ht="14.25" customHeight="1">
      <c r="C729" s="1170"/>
      <c r="D729" s="1170"/>
      <c r="E729" s="1170"/>
      <c r="F729" s="1170"/>
      <c r="G729" s="1170"/>
      <c r="H729" s="1170"/>
      <c r="I729" s="1170"/>
      <c r="J729" s="1170"/>
      <c r="K729" s="1170"/>
      <c r="L729" s="1170"/>
      <c r="M729" s="1170"/>
    </row>
    <row r="730" spans="3:13" ht="14.25" customHeight="1">
      <c r="C730" s="1170"/>
      <c r="D730" s="1170"/>
      <c r="E730" s="1170"/>
      <c r="F730" s="1170"/>
      <c r="G730" s="1170"/>
      <c r="H730" s="1170"/>
      <c r="I730" s="1170"/>
      <c r="J730" s="1170"/>
      <c r="K730" s="1170"/>
      <c r="L730" s="1170"/>
      <c r="M730" s="1170"/>
    </row>
    <row r="731" spans="3:13" ht="14.25" customHeight="1">
      <c r="C731" s="1170"/>
      <c r="D731" s="1170"/>
      <c r="E731" s="1170"/>
      <c r="F731" s="1170"/>
      <c r="G731" s="1170"/>
      <c r="H731" s="1170"/>
      <c r="I731" s="1170"/>
      <c r="J731" s="1170"/>
      <c r="K731" s="1170"/>
      <c r="L731" s="1170"/>
      <c r="M731" s="1170"/>
    </row>
    <row r="732" spans="3:13" ht="14.25" customHeight="1">
      <c r="C732" s="1170"/>
      <c r="D732" s="1170"/>
      <c r="E732" s="1170"/>
      <c r="F732" s="1170"/>
      <c r="G732" s="1170"/>
      <c r="H732" s="1170"/>
      <c r="I732" s="1170"/>
      <c r="J732" s="1170"/>
      <c r="K732" s="1170"/>
      <c r="L732" s="1170"/>
      <c r="M732" s="1170"/>
    </row>
    <row r="733" spans="3:13" ht="14.25" customHeight="1">
      <c r="C733" s="1170"/>
      <c r="D733" s="1170"/>
      <c r="E733" s="1170"/>
      <c r="F733" s="1170"/>
      <c r="G733" s="1170"/>
      <c r="H733" s="1170"/>
      <c r="I733" s="1170"/>
      <c r="J733" s="1170"/>
      <c r="K733" s="1170"/>
      <c r="L733" s="1170"/>
      <c r="M733" s="1170"/>
    </row>
    <row r="734" spans="3:13" ht="14.25" customHeight="1">
      <c r="C734" s="1170"/>
      <c r="D734" s="1170"/>
      <c r="E734" s="1170"/>
      <c r="F734" s="1170"/>
      <c r="G734" s="1170"/>
      <c r="H734" s="1170"/>
      <c r="I734" s="1170"/>
      <c r="J734" s="1170"/>
      <c r="K734" s="1170"/>
      <c r="L734" s="1170"/>
      <c r="M734" s="1170"/>
    </row>
    <row r="735" spans="3:13" ht="14.25" customHeight="1">
      <c r="C735" s="1170"/>
      <c r="D735" s="1170"/>
      <c r="E735" s="1170"/>
      <c r="F735" s="1170"/>
      <c r="G735" s="1170"/>
      <c r="H735" s="1170"/>
      <c r="I735" s="1170"/>
      <c r="J735" s="1170"/>
      <c r="K735" s="1170"/>
      <c r="L735" s="1170"/>
      <c r="M735" s="1170"/>
    </row>
    <row r="736" spans="3:13" ht="14.25" customHeight="1">
      <c r="C736" s="1170"/>
      <c r="D736" s="1170"/>
      <c r="E736" s="1170"/>
      <c r="F736" s="1170"/>
      <c r="G736" s="1170"/>
      <c r="H736" s="1170"/>
      <c r="I736" s="1170"/>
      <c r="J736" s="1170"/>
      <c r="K736" s="1170"/>
      <c r="L736" s="1170"/>
      <c r="M736" s="1170"/>
    </row>
    <row r="737" spans="3:13" ht="14.25" customHeight="1">
      <c r="C737" s="1170"/>
      <c r="D737" s="1170"/>
      <c r="E737" s="1170"/>
      <c r="F737" s="1170"/>
      <c r="G737" s="1170"/>
      <c r="H737" s="1170"/>
      <c r="I737" s="1170"/>
      <c r="J737" s="1170"/>
      <c r="K737" s="1170"/>
      <c r="L737" s="1170"/>
      <c r="M737" s="1170"/>
    </row>
    <row r="738" spans="3:13" ht="14.25" customHeight="1">
      <c r="C738" s="1170"/>
      <c r="D738" s="1170"/>
      <c r="E738" s="1170"/>
      <c r="F738" s="1170"/>
      <c r="G738" s="1170"/>
      <c r="H738" s="1170"/>
      <c r="I738" s="1170"/>
      <c r="J738" s="1170"/>
      <c r="K738" s="1170"/>
      <c r="L738" s="1170"/>
      <c r="M738" s="1170"/>
    </row>
    <row r="739" spans="3:13" ht="14.25" customHeight="1">
      <c r="C739" s="1170"/>
      <c r="D739" s="1170"/>
      <c r="E739" s="1170"/>
      <c r="F739" s="1170"/>
      <c r="G739" s="1170"/>
      <c r="H739" s="1170"/>
      <c r="I739" s="1170"/>
      <c r="J739" s="1170"/>
      <c r="K739" s="1170"/>
      <c r="L739" s="1170"/>
      <c r="M739" s="1170"/>
    </row>
    <row r="740" spans="3:13" ht="14.25" customHeight="1">
      <c r="C740" s="1170"/>
      <c r="D740" s="1170"/>
      <c r="E740" s="1170"/>
      <c r="F740" s="1170"/>
      <c r="G740" s="1170"/>
      <c r="H740" s="1170"/>
      <c r="I740" s="1170"/>
      <c r="J740" s="1170"/>
      <c r="K740" s="1170"/>
      <c r="L740" s="1170"/>
      <c r="M740" s="1170"/>
    </row>
    <row r="741" spans="3:13" ht="14.25" customHeight="1">
      <c r="C741" s="1170"/>
      <c r="D741" s="1170"/>
      <c r="E741" s="1170"/>
      <c r="F741" s="1170"/>
      <c r="G741" s="1170"/>
      <c r="H741" s="1170"/>
      <c r="I741" s="1170"/>
      <c r="J741" s="1170"/>
      <c r="K741" s="1170"/>
      <c r="L741" s="1170"/>
      <c r="M741" s="1170"/>
    </row>
    <row r="742" spans="3:13" ht="14.25" customHeight="1">
      <c r="C742" s="1170"/>
      <c r="D742" s="1170"/>
      <c r="E742" s="1170"/>
      <c r="F742" s="1170"/>
      <c r="G742" s="1170"/>
      <c r="H742" s="1170"/>
      <c r="I742" s="1170"/>
      <c r="J742" s="1170"/>
      <c r="K742" s="1170"/>
      <c r="L742" s="1170"/>
      <c r="M742" s="1170"/>
    </row>
    <row r="743" spans="3:13" ht="14.25" customHeight="1">
      <c r="C743" s="1170"/>
      <c r="D743" s="1170"/>
      <c r="E743" s="1170"/>
      <c r="F743" s="1170"/>
      <c r="G743" s="1170"/>
      <c r="H743" s="1170"/>
      <c r="I743" s="1170"/>
      <c r="J743" s="1170"/>
      <c r="K743" s="1170"/>
      <c r="L743" s="1170"/>
      <c r="M743" s="1170"/>
    </row>
    <row r="744" spans="3:13" ht="14.25" customHeight="1">
      <c r="C744" s="1170"/>
      <c r="D744" s="1170"/>
      <c r="E744" s="1170"/>
      <c r="F744" s="1170"/>
      <c r="G744" s="1170"/>
      <c r="H744" s="1170"/>
      <c r="I744" s="1170"/>
      <c r="J744" s="1170"/>
      <c r="K744" s="1170"/>
      <c r="L744" s="1170"/>
      <c r="M744" s="1170"/>
    </row>
    <row r="745" spans="3:13" ht="14.25" customHeight="1">
      <c r="C745" s="1170"/>
      <c r="D745" s="1170"/>
      <c r="E745" s="1170"/>
      <c r="F745" s="1170"/>
      <c r="G745" s="1170"/>
      <c r="H745" s="1170"/>
      <c r="I745" s="1170"/>
      <c r="J745" s="1170"/>
      <c r="K745" s="1170"/>
      <c r="L745" s="1170"/>
      <c r="M745" s="1170"/>
    </row>
    <row r="746" spans="3:13" ht="14.25" customHeight="1">
      <c r="C746" s="1170"/>
      <c r="D746" s="1170"/>
      <c r="E746" s="1170"/>
      <c r="F746" s="1170"/>
      <c r="G746" s="1170"/>
      <c r="H746" s="1170"/>
      <c r="I746" s="1170"/>
      <c r="J746" s="1170"/>
      <c r="K746" s="1170"/>
      <c r="L746" s="1170"/>
      <c r="M746" s="1170"/>
    </row>
    <row r="747" spans="3:13" ht="14.25" customHeight="1">
      <c r="C747" s="1170"/>
      <c r="D747" s="1170"/>
      <c r="E747" s="1170"/>
      <c r="F747" s="1170"/>
      <c r="G747" s="1170"/>
      <c r="H747" s="1170"/>
      <c r="I747" s="1170"/>
      <c r="J747" s="1170"/>
      <c r="K747" s="1170"/>
      <c r="L747" s="1170"/>
      <c r="M747" s="1170"/>
    </row>
    <row r="748" spans="3:13" ht="14.25" customHeight="1">
      <c r="C748" s="1170"/>
      <c r="D748" s="1170"/>
      <c r="E748" s="1170"/>
      <c r="F748" s="1170"/>
      <c r="G748" s="1170"/>
      <c r="H748" s="1170"/>
      <c r="I748" s="1170"/>
      <c r="J748" s="1170"/>
      <c r="K748" s="1170"/>
      <c r="L748" s="1170"/>
      <c r="M748" s="1170"/>
    </row>
    <row r="749" spans="3:13" ht="14.25" customHeight="1">
      <c r="C749" s="1170"/>
      <c r="D749" s="1170"/>
      <c r="E749" s="1170"/>
      <c r="F749" s="1170"/>
      <c r="G749" s="1170"/>
      <c r="H749" s="1170"/>
      <c r="I749" s="1170"/>
      <c r="J749" s="1170"/>
      <c r="K749" s="1170"/>
      <c r="L749" s="1170"/>
      <c r="M749" s="1170"/>
    </row>
    <row r="750" spans="3:13" ht="14.25" customHeight="1">
      <c r="C750" s="1170"/>
      <c r="D750" s="1170"/>
      <c r="E750" s="1170"/>
      <c r="F750" s="1170"/>
      <c r="G750" s="1170"/>
      <c r="H750" s="1170"/>
      <c r="I750" s="1170"/>
      <c r="J750" s="1170"/>
      <c r="K750" s="1170"/>
      <c r="L750" s="1170"/>
      <c r="M750" s="1170"/>
    </row>
    <row r="751" spans="3:13" ht="14.25" customHeight="1">
      <c r="C751" s="1170"/>
      <c r="D751" s="1170"/>
      <c r="E751" s="1170"/>
      <c r="F751" s="1170"/>
      <c r="G751" s="1170"/>
      <c r="H751" s="1170"/>
      <c r="I751" s="1170"/>
      <c r="J751" s="1170"/>
      <c r="K751" s="1170"/>
      <c r="L751" s="1170"/>
      <c r="M751" s="1170"/>
    </row>
    <row r="752" spans="3:13" ht="14.25" customHeight="1">
      <c r="C752" s="1170"/>
      <c r="D752" s="1170"/>
      <c r="E752" s="1170"/>
      <c r="F752" s="1170"/>
      <c r="G752" s="1170"/>
      <c r="H752" s="1170"/>
      <c r="I752" s="1170"/>
      <c r="J752" s="1170"/>
      <c r="K752" s="1170"/>
      <c r="L752" s="1170"/>
      <c r="M752" s="1170"/>
    </row>
    <row r="753" spans="3:13" ht="14.25" customHeight="1">
      <c r="C753" s="1170"/>
      <c r="D753" s="1170"/>
      <c r="E753" s="1170"/>
      <c r="F753" s="1170"/>
      <c r="G753" s="1170"/>
      <c r="H753" s="1170"/>
      <c r="I753" s="1170"/>
      <c r="J753" s="1170"/>
      <c r="K753" s="1170"/>
      <c r="L753" s="1170"/>
      <c r="M753" s="1170"/>
    </row>
    <row r="754" spans="3:13" ht="14.25" customHeight="1">
      <c r="C754" s="1170"/>
      <c r="D754" s="1170"/>
      <c r="E754" s="1170"/>
      <c r="F754" s="1170"/>
      <c r="G754" s="1170"/>
      <c r="H754" s="1170"/>
      <c r="I754" s="1170"/>
      <c r="J754" s="1170"/>
      <c r="K754" s="1170"/>
      <c r="L754" s="1170"/>
      <c r="M754" s="1170"/>
    </row>
    <row r="755" spans="3:13" ht="14.25" customHeight="1">
      <c r="C755" s="1170"/>
      <c r="D755" s="1170"/>
      <c r="E755" s="1170"/>
      <c r="F755" s="1170"/>
      <c r="G755" s="1170"/>
      <c r="H755" s="1170"/>
      <c r="I755" s="1170"/>
      <c r="J755" s="1170"/>
      <c r="K755" s="1170"/>
      <c r="L755" s="1170"/>
      <c r="M755" s="1170"/>
    </row>
    <row r="756" spans="3:13" ht="14.25" customHeight="1">
      <c r="C756" s="1170"/>
      <c r="D756" s="1170"/>
      <c r="E756" s="1170"/>
      <c r="F756" s="1170"/>
      <c r="G756" s="1170"/>
      <c r="H756" s="1170"/>
      <c r="I756" s="1170"/>
      <c r="J756" s="1170"/>
      <c r="K756" s="1170"/>
      <c r="L756" s="1170"/>
      <c r="M756" s="1170"/>
    </row>
    <row r="757" spans="3:13" ht="14.25" customHeight="1">
      <c r="C757" s="1170"/>
      <c r="D757" s="1170"/>
      <c r="E757" s="1170"/>
      <c r="F757" s="1170"/>
      <c r="G757" s="1170"/>
      <c r="H757" s="1170"/>
      <c r="I757" s="1170"/>
      <c r="J757" s="1170"/>
      <c r="K757" s="1170"/>
      <c r="L757" s="1170"/>
      <c r="M757" s="1170"/>
    </row>
    <row r="758" spans="3:13" ht="14.25" customHeight="1">
      <c r="C758" s="1170"/>
      <c r="D758" s="1170"/>
      <c r="E758" s="1170"/>
      <c r="F758" s="1170"/>
      <c r="G758" s="1170"/>
      <c r="H758" s="1170"/>
      <c r="I758" s="1170"/>
      <c r="J758" s="1170"/>
      <c r="K758" s="1170"/>
      <c r="L758" s="1170"/>
      <c r="M758" s="1170"/>
    </row>
    <row r="759" spans="3:13" ht="14.25" customHeight="1">
      <c r="C759" s="1170"/>
      <c r="D759" s="1170"/>
      <c r="E759" s="1170"/>
      <c r="F759" s="1170"/>
      <c r="G759" s="1170"/>
      <c r="H759" s="1170"/>
      <c r="I759" s="1170"/>
      <c r="J759" s="1170"/>
      <c r="K759" s="1170"/>
      <c r="L759" s="1170"/>
      <c r="M759" s="1170"/>
    </row>
    <row r="760" spans="3:13" ht="14.25" customHeight="1">
      <c r="C760" s="1170"/>
      <c r="D760" s="1170"/>
      <c r="E760" s="1170"/>
      <c r="F760" s="1170"/>
      <c r="G760" s="1170"/>
      <c r="H760" s="1170"/>
      <c r="I760" s="1170"/>
      <c r="J760" s="1170"/>
      <c r="K760" s="1170"/>
      <c r="L760" s="1170"/>
      <c r="M760" s="1170"/>
    </row>
    <row r="761" spans="3:13" ht="14.25" customHeight="1">
      <c r="C761" s="1170"/>
      <c r="D761" s="1170"/>
      <c r="E761" s="1170"/>
      <c r="F761" s="1170"/>
      <c r="G761" s="1170"/>
      <c r="H761" s="1170"/>
      <c r="I761" s="1170"/>
      <c r="J761" s="1170"/>
      <c r="K761" s="1170"/>
      <c r="L761" s="1170"/>
      <c r="M761" s="1170"/>
    </row>
    <row r="762" spans="3:13" ht="14.25" customHeight="1">
      <c r="C762" s="1170"/>
      <c r="D762" s="1170"/>
      <c r="E762" s="1170"/>
      <c r="F762" s="1170"/>
      <c r="G762" s="1170"/>
      <c r="H762" s="1170"/>
      <c r="I762" s="1170"/>
      <c r="J762" s="1170"/>
      <c r="K762" s="1170"/>
      <c r="L762" s="1170"/>
      <c r="M762" s="1170"/>
    </row>
    <row r="763" spans="3:13" ht="14.25" customHeight="1">
      <c r="C763" s="1170"/>
      <c r="D763" s="1170"/>
      <c r="E763" s="1170"/>
      <c r="F763" s="1170"/>
      <c r="G763" s="1170"/>
      <c r="H763" s="1170"/>
      <c r="I763" s="1170"/>
      <c r="J763" s="1170"/>
      <c r="K763" s="1170"/>
      <c r="L763" s="1170"/>
      <c r="M763" s="1170"/>
    </row>
    <row r="764" spans="3:13" ht="14.25" customHeight="1">
      <c r="C764" s="1170"/>
      <c r="D764" s="1170"/>
      <c r="E764" s="1170"/>
      <c r="F764" s="1170"/>
      <c r="G764" s="1170"/>
      <c r="H764" s="1170"/>
      <c r="I764" s="1170"/>
      <c r="J764" s="1170"/>
      <c r="K764" s="1170"/>
      <c r="L764" s="1170"/>
      <c r="M764" s="1170"/>
    </row>
    <row r="765" spans="3:13" ht="14.25" customHeight="1">
      <c r="C765" s="1170"/>
      <c r="D765" s="1170"/>
      <c r="E765" s="1170"/>
      <c r="F765" s="1170"/>
      <c r="G765" s="1170"/>
      <c r="H765" s="1170"/>
      <c r="I765" s="1170"/>
      <c r="J765" s="1170"/>
      <c r="K765" s="1170"/>
      <c r="L765" s="1170"/>
      <c r="M765" s="1170"/>
    </row>
    <row r="766" spans="3:13" ht="14.25" customHeight="1">
      <c r="C766" s="1170"/>
      <c r="D766" s="1170"/>
      <c r="E766" s="1170"/>
      <c r="F766" s="1170"/>
      <c r="G766" s="1170"/>
      <c r="H766" s="1170"/>
      <c r="I766" s="1170"/>
      <c r="J766" s="1170"/>
      <c r="K766" s="1170"/>
      <c r="L766" s="1170"/>
      <c r="M766" s="1170"/>
    </row>
    <row r="767" spans="3:13" ht="14.25" customHeight="1">
      <c r="C767" s="1170"/>
      <c r="D767" s="1170"/>
      <c r="E767" s="1170"/>
      <c r="F767" s="1170"/>
      <c r="G767" s="1170"/>
      <c r="H767" s="1170"/>
      <c r="I767" s="1170"/>
      <c r="J767" s="1170"/>
      <c r="K767" s="1170"/>
      <c r="L767" s="1170"/>
      <c r="M767" s="1170"/>
    </row>
    <row r="768" spans="3:13" ht="14.25" customHeight="1">
      <c r="C768" s="1170"/>
      <c r="D768" s="1170"/>
      <c r="E768" s="1170"/>
      <c r="F768" s="1170"/>
      <c r="G768" s="1170"/>
      <c r="H768" s="1170"/>
      <c r="I768" s="1170"/>
      <c r="J768" s="1170"/>
      <c r="K768" s="1170"/>
      <c r="L768" s="1170"/>
      <c r="M768" s="1170"/>
    </row>
    <row r="769" spans="3:13" ht="14.25" customHeight="1">
      <c r="C769" s="1170"/>
      <c r="D769" s="1170"/>
      <c r="E769" s="1170"/>
      <c r="F769" s="1170"/>
      <c r="G769" s="1170"/>
      <c r="H769" s="1170"/>
      <c r="I769" s="1170"/>
      <c r="J769" s="1170"/>
      <c r="K769" s="1170"/>
      <c r="L769" s="1170"/>
      <c r="M769" s="1170"/>
    </row>
    <row r="770" spans="3:13" ht="14.25" customHeight="1">
      <c r="C770" s="1170"/>
      <c r="D770" s="1170"/>
      <c r="E770" s="1170"/>
      <c r="F770" s="1170"/>
      <c r="G770" s="1170"/>
      <c r="H770" s="1170"/>
      <c r="I770" s="1170"/>
      <c r="J770" s="1170"/>
      <c r="K770" s="1170"/>
      <c r="L770" s="1170"/>
      <c r="M770" s="1170"/>
    </row>
    <row r="771" spans="3:13" ht="14.25" customHeight="1">
      <c r="C771" s="1170"/>
      <c r="D771" s="1170"/>
      <c r="E771" s="1170"/>
      <c r="F771" s="1170"/>
      <c r="G771" s="1170"/>
      <c r="H771" s="1170"/>
      <c r="I771" s="1170"/>
      <c r="J771" s="1170"/>
      <c r="K771" s="1170"/>
      <c r="L771" s="1170"/>
      <c r="M771" s="1170"/>
    </row>
    <row r="772" spans="3:13" ht="14.25" customHeight="1">
      <c r="C772" s="1170"/>
      <c r="D772" s="1170"/>
      <c r="E772" s="1170"/>
      <c r="F772" s="1170"/>
      <c r="G772" s="1170"/>
      <c r="H772" s="1170"/>
      <c r="I772" s="1170"/>
      <c r="J772" s="1170"/>
      <c r="K772" s="1170"/>
      <c r="L772" s="1170"/>
      <c r="M772" s="1170"/>
    </row>
    <row r="773" spans="3:13" ht="14.25" customHeight="1">
      <c r="C773" s="1170"/>
      <c r="D773" s="1170"/>
      <c r="E773" s="1170"/>
      <c r="F773" s="1170"/>
      <c r="G773" s="1170"/>
      <c r="H773" s="1170"/>
      <c r="I773" s="1170"/>
      <c r="J773" s="1170"/>
      <c r="K773" s="1170"/>
      <c r="L773" s="1170"/>
      <c r="M773" s="1170"/>
    </row>
    <row r="774" spans="3:13" ht="14.25" customHeight="1">
      <c r="C774" s="1170"/>
      <c r="D774" s="1170"/>
      <c r="E774" s="1170"/>
      <c r="F774" s="1170"/>
      <c r="G774" s="1170"/>
      <c r="H774" s="1170"/>
      <c r="I774" s="1170"/>
      <c r="J774" s="1170"/>
      <c r="K774" s="1170"/>
      <c r="L774" s="1170"/>
      <c r="M774" s="1170"/>
    </row>
    <row r="775" spans="3:13" ht="14.25" customHeight="1">
      <c r="C775" s="1170"/>
      <c r="D775" s="1170"/>
      <c r="E775" s="1170"/>
      <c r="F775" s="1170"/>
      <c r="G775" s="1170"/>
      <c r="H775" s="1170"/>
      <c r="I775" s="1170"/>
      <c r="J775" s="1170"/>
      <c r="K775" s="1170"/>
      <c r="L775" s="1170"/>
      <c r="M775" s="1170"/>
    </row>
    <row r="776" spans="3:13" ht="14.25" customHeight="1">
      <c r="C776" s="1170"/>
      <c r="D776" s="1170"/>
      <c r="E776" s="1170"/>
      <c r="F776" s="1170"/>
      <c r="G776" s="1170"/>
      <c r="H776" s="1170"/>
      <c r="I776" s="1170"/>
      <c r="J776" s="1170"/>
      <c r="K776" s="1170"/>
      <c r="L776" s="1170"/>
      <c r="M776" s="1170"/>
    </row>
    <row r="777" spans="3:13" ht="14.25" customHeight="1">
      <c r="C777" s="1170"/>
      <c r="D777" s="1170"/>
      <c r="E777" s="1170"/>
      <c r="F777" s="1170"/>
      <c r="G777" s="1170"/>
      <c r="H777" s="1170"/>
      <c r="I777" s="1170"/>
      <c r="J777" s="1170"/>
      <c r="K777" s="1170"/>
      <c r="L777" s="1170"/>
      <c r="M777" s="1170"/>
    </row>
    <row r="778" spans="3:13" ht="14.25" customHeight="1">
      <c r="C778" s="1170"/>
      <c r="D778" s="1170"/>
      <c r="E778" s="1170"/>
      <c r="F778" s="1170"/>
      <c r="G778" s="1170"/>
      <c r="H778" s="1170"/>
      <c r="I778" s="1170"/>
      <c r="J778" s="1170"/>
      <c r="K778" s="1170"/>
      <c r="L778" s="1170"/>
      <c r="M778" s="1170"/>
    </row>
    <row r="779" spans="3:13" ht="14.25" customHeight="1">
      <c r="C779" s="1170"/>
      <c r="D779" s="1170"/>
      <c r="E779" s="1170"/>
      <c r="F779" s="1170"/>
      <c r="G779" s="1170"/>
      <c r="H779" s="1170"/>
      <c r="I779" s="1170"/>
      <c r="J779" s="1170"/>
      <c r="K779" s="1170"/>
      <c r="L779" s="1170"/>
      <c r="M779" s="1170"/>
    </row>
    <row r="780" spans="3:13" ht="14.25" customHeight="1">
      <c r="C780" s="1170"/>
      <c r="D780" s="1170"/>
      <c r="E780" s="1170"/>
      <c r="F780" s="1170"/>
      <c r="G780" s="1170"/>
      <c r="H780" s="1170"/>
      <c r="I780" s="1170"/>
      <c r="J780" s="1170"/>
      <c r="K780" s="1170"/>
      <c r="L780" s="1170"/>
      <c r="M780" s="1170"/>
    </row>
    <row r="781" spans="3:13" ht="14.25" customHeight="1">
      <c r="C781" s="1170"/>
      <c r="D781" s="1170"/>
      <c r="E781" s="1170"/>
      <c r="F781" s="1170"/>
      <c r="G781" s="1170"/>
      <c r="H781" s="1170"/>
      <c r="I781" s="1170"/>
      <c r="J781" s="1170"/>
      <c r="K781" s="1170"/>
      <c r="L781" s="1170"/>
      <c r="M781" s="1170"/>
    </row>
    <row r="782" spans="3:13" ht="14.25" customHeight="1">
      <c r="C782" s="1170"/>
      <c r="D782" s="1170"/>
      <c r="E782" s="1170"/>
      <c r="F782" s="1170"/>
      <c r="G782" s="1170"/>
      <c r="H782" s="1170"/>
      <c r="I782" s="1170"/>
      <c r="J782" s="1170"/>
      <c r="K782" s="1170"/>
      <c r="L782" s="1170"/>
      <c r="M782" s="1170"/>
    </row>
    <row r="783" spans="3:13" ht="14.25" customHeight="1">
      <c r="C783" s="1170"/>
      <c r="D783" s="1170"/>
      <c r="E783" s="1170"/>
      <c r="F783" s="1170"/>
      <c r="G783" s="1170"/>
      <c r="H783" s="1170"/>
      <c r="I783" s="1170"/>
      <c r="J783" s="1170"/>
      <c r="K783" s="1170"/>
      <c r="L783" s="1170"/>
      <c r="M783" s="1170"/>
    </row>
    <row r="784" spans="3:13" ht="14.25" customHeight="1">
      <c r="C784" s="1170"/>
      <c r="D784" s="1170"/>
      <c r="E784" s="1170"/>
      <c r="F784" s="1170"/>
      <c r="G784" s="1170"/>
      <c r="H784" s="1170"/>
      <c r="I784" s="1170"/>
      <c r="J784" s="1170"/>
      <c r="K784" s="1170"/>
      <c r="L784" s="1170"/>
      <c r="M784" s="1170"/>
    </row>
    <row r="785" spans="3:13" ht="14.25" customHeight="1">
      <c r="C785" s="1170"/>
      <c r="D785" s="1170"/>
      <c r="E785" s="1170"/>
      <c r="F785" s="1170"/>
      <c r="G785" s="1170"/>
      <c r="H785" s="1170"/>
      <c r="I785" s="1170"/>
      <c r="J785" s="1170"/>
      <c r="K785" s="1170"/>
      <c r="L785" s="1170"/>
      <c r="M785" s="1170"/>
    </row>
    <row r="786" spans="3:13" ht="14.25" customHeight="1">
      <c r="C786" s="1170"/>
      <c r="D786" s="1170"/>
      <c r="E786" s="1170"/>
      <c r="F786" s="1170"/>
      <c r="G786" s="1170"/>
      <c r="H786" s="1170"/>
      <c r="I786" s="1170"/>
      <c r="J786" s="1170"/>
      <c r="K786" s="1170"/>
      <c r="L786" s="1170"/>
      <c r="M786" s="1170"/>
    </row>
    <row r="787" spans="3:13" ht="14.25" customHeight="1">
      <c r="C787" s="1170"/>
      <c r="D787" s="1170"/>
      <c r="E787" s="1170"/>
      <c r="F787" s="1170"/>
      <c r="G787" s="1170"/>
      <c r="H787" s="1170"/>
      <c r="I787" s="1170"/>
      <c r="J787" s="1170"/>
      <c r="K787" s="1170"/>
      <c r="L787" s="1170"/>
      <c r="M787" s="1170"/>
    </row>
    <row r="788" spans="3:13" ht="14.25" customHeight="1">
      <c r="C788" s="1170"/>
      <c r="D788" s="1170"/>
      <c r="E788" s="1170"/>
      <c r="F788" s="1170"/>
      <c r="G788" s="1170"/>
      <c r="H788" s="1170"/>
      <c r="I788" s="1170"/>
      <c r="J788" s="1170"/>
      <c r="K788" s="1170"/>
      <c r="L788" s="1170"/>
      <c r="M788" s="1170"/>
    </row>
    <row r="789" spans="3:13" ht="14.25" customHeight="1">
      <c r="C789" s="1170"/>
      <c r="D789" s="1170"/>
      <c r="E789" s="1170"/>
      <c r="F789" s="1170"/>
      <c r="G789" s="1170"/>
      <c r="H789" s="1170"/>
      <c r="I789" s="1170"/>
      <c r="J789" s="1170"/>
      <c r="K789" s="1170"/>
      <c r="L789" s="1170"/>
      <c r="M789" s="1170"/>
    </row>
    <row r="790" spans="3:13" ht="14.25" customHeight="1">
      <c r="C790" s="1170"/>
      <c r="D790" s="1170"/>
      <c r="E790" s="1170"/>
      <c r="F790" s="1170"/>
      <c r="G790" s="1170"/>
      <c r="H790" s="1170"/>
      <c r="I790" s="1170"/>
      <c r="J790" s="1170"/>
      <c r="K790" s="1170"/>
      <c r="L790" s="1170"/>
      <c r="M790" s="1170"/>
    </row>
    <row r="791" spans="3:13" ht="14.25" customHeight="1">
      <c r="C791" s="1170"/>
      <c r="D791" s="1170"/>
      <c r="E791" s="1170"/>
      <c r="F791" s="1170"/>
      <c r="G791" s="1170"/>
      <c r="H791" s="1170"/>
      <c r="I791" s="1170"/>
      <c r="J791" s="1170"/>
      <c r="K791" s="1170"/>
      <c r="L791" s="1170"/>
      <c r="M791" s="1170"/>
    </row>
    <row r="792" spans="3:13" ht="14.25" customHeight="1">
      <c r="C792" s="1170"/>
      <c r="D792" s="1170"/>
      <c r="E792" s="1170"/>
      <c r="F792" s="1170"/>
      <c r="G792" s="1170"/>
      <c r="H792" s="1170"/>
      <c r="I792" s="1170"/>
      <c r="J792" s="1170"/>
      <c r="K792" s="1170"/>
      <c r="L792" s="1170"/>
      <c r="M792" s="1170"/>
    </row>
    <row r="793" spans="3:13" ht="14.25" customHeight="1">
      <c r="C793" s="1170"/>
      <c r="D793" s="1170"/>
      <c r="E793" s="1170"/>
      <c r="F793" s="1170"/>
      <c r="G793" s="1170"/>
      <c r="H793" s="1170"/>
      <c r="I793" s="1170"/>
      <c r="J793" s="1170"/>
      <c r="K793" s="1170"/>
      <c r="L793" s="1170"/>
      <c r="M793" s="1170"/>
    </row>
    <row r="794" spans="3:13" ht="14.25" customHeight="1">
      <c r="C794" s="1170"/>
      <c r="D794" s="1170"/>
      <c r="E794" s="1170"/>
      <c r="F794" s="1170"/>
      <c r="G794" s="1170"/>
      <c r="H794" s="1170"/>
      <c r="I794" s="1170"/>
      <c r="J794" s="1170"/>
      <c r="K794" s="1170"/>
      <c r="L794" s="1170"/>
      <c r="M794" s="1170"/>
    </row>
    <row r="795" spans="3:13" ht="14.25" customHeight="1">
      <c r="C795" s="1170"/>
      <c r="D795" s="1170"/>
      <c r="E795" s="1170"/>
      <c r="F795" s="1170"/>
      <c r="G795" s="1170"/>
      <c r="H795" s="1170"/>
      <c r="I795" s="1170"/>
      <c r="J795" s="1170"/>
      <c r="K795" s="1170"/>
      <c r="L795" s="1170"/>
      <c r="M795" s="1170"/>
    </row>
    <row r="796" spans="3:13" ht="14.25" customHeight="1">
      <c r="C796" s="1170"/>
      <c r="D796" s="1170"/>
      <c r="E796" s="1170"/>
      <c r="F796" s="1170"/>
      <c r="G796" s="1170"/>
      <c r="H796" s="1170"/>
      <c r="I796" s="1170"/>
      <c r="J796" s="1170"/>
      <c r="K796" s="1170"/>
      <c r="L796" s="1170"/>
      <c r="M796" s="1170"/>
    </row>
    <row r="797" spans="3:13" ht="14.25" customHeight="1">
      <c r="C797" s="1170"/>
      <c r="D797" s="1170"/>
      <c r="E797" s="1170"/>
      <c r="F797" s="1170"/>
      <c r="G797" s="1170"/>
      <c r="H797" s="1170"/>
      <c r="I797" s="1170"/>
      <c r="J797" s="1170"/>
      <c r="K797" s="1170"/>
      <c r="L797" s="1170"/>
      <c r="M797" s="1170"/>
    </row>
    <row r="798" spans="3:13" ht="14.25" customHeight="1">
      <c r="C798" s="1170"/>
      <c r="D798" s="1170"/>
      <c r="E798" s="1170"/>
      <c r="F798" s="1170"/>
      <c r="G798" s="1170"/>
      <c r="H798" s="1170"/>
      <c r="I798" s="1170"/>
      <c r="J798" s="1170"/>
      <c r="K798" s="1170"/>
      <c r="L798" s="1170"/>
      <c r="M798" s="1170"/>
    </row>
    <row r="799" spans="3:13" ht="14.25" customHeight="1">
      <c r="C799" s="1170"/>
      <c r="D799" s="1170"/>
      <c r="E799" s="1170"/>
      <c r="F799" s="1170"/>
      <c r="G799" s="1170"/>
      <c r="H799" s="1170"/>
      <c r="I799" s="1170"/>
      <c r="J799" s="1170"/>
      <c r="K799" s="1170"/>
      <c r="L799" s="1170"/>
      <c r="M799" s="1170"/>
    </row>
    <row r="800" spans="3:13" ht="14.25" customHeight="1">
      <c r="C800" s="1170"/>
      <c r="D800" s="1170"/>
      <c r="E800" s="1170"/>
      <c r="F800" s="1170"/>
      <c r="G800" s="1170"/>
      <c r="H800" s="1170"/>
      <c r="I800" s="1170"/>
      <c r="J800" s="1170"/>
      <c r="K800" s="1170"/>
      <c r="L800" s="1170"/>
      <c r="M800" s="1170"/>
    </row>
    <row r="801" spans="3:13" ht="14.25" customHeight="1">
      <c r="C801" s="1170"/>
      <c r="D801" s="1170"/>
      <c r="E801" s="1170"/>
      <c r="F801" s="1170"/>
      <c r="G801" s="1170"/>
      <c r="H801" s="1170"/>
      <c r="I801" s="1170"/>
      <c r="J801" s="1170"/>
      <c r="K801" s="1170"/>
      <c r="L801" s="1170"/>
      <c r="M801" s="1170"/>
    </row>
    <row r="802" spans="3:13" ht="14.25" customHeight="1">
      <c r="C802" s="1170"/>
      <c r="D802" s="1170"/>
      <c r="E802" s="1170"/>
      <c r="F802" s="1170"/>
      <c r="G802" s="1170"/>
      <c r="H802" s="1170"/>
      <c r="I802" s="1170"/>
      <c r="J802" s="1170"/>
      <c r="K802" s="1170"/>
      <c r="L802" s="1170"/>
      <c r="M802" s="1170"/>
    </row>
    <row r="803" spans="3:13" ht="14.25" customHeight="1">
      <c r="C803" s="1170"/>
      <c r="D803" s="1170"/>
      <c r="E803" s="1170"/>
      <c r="F803" s="1170"/>
      <c r="G803" s="1170"/>
      <c r="H803" s="1170"/>
      <c r="I803" s="1170"/>
      <c r="J803" s="1170"/>
      <c r="K803" s="1170"/>
      <c r="L803" s="1170"/>
      <c r="M803" s="1170"/>
    </row>
    <row r="804" spans="3:13" ht="14.25" customHeight="1">
      <c r="C804" s="1170"/>
      <c r="D804" s="1170"/>
      <c r="E804" s="1170"/>
      <c r="F804" s="1170"/>
      <c r="G804" s="1170"/>
      <c r="H804" s="1170"/>
      <c r="I804" s="1170"/>
      <c r="J804" s="1170"/>
      <c r="K804" s="1170"/>
      <c r="L804" s="1170"/>
      <c r="M804" s="1170"/>
    </row>
    <row r="805" spans="3:13" ht="14.25" customHeight="1">
      <c r="C805" s="1170"/>
      <c r="D805" s="1170"/>
      <c r="E805" s="1170"/>
      <c r="F805" s="1170"/>
      <c r="G805" s="1170"/>
      <c r="H805" s="1170"/>
      <c r="I805" s="1170"/>
      <c r="J805" s="1170"/>
      <c r="K805" s="1170"/>
      <c r="L805" s="1170"/>
      <c r="M805" s="1170"/>
    </row>
    <row r="806" spans="3:13" ht="14.25" customHeight="1">
      <c r="C806" s="1170"/>
      <c r="D806" s="1170"/>
      <c r="E806" s="1170"/>
      <c r="F806" s="1170"/>
      <c r="G806" s="1170"/>
      <c r="H806" s="1170"/>
      <c r="I806" s="1170"/>
      <c r="J806" s="1170"/>
      <c r="K806" s="1170"/>
      <c r="L806" s="1170"/>
      <c r="M806" s="1170"/>
    </row>
    <row r="807" spans="3:13" ht="14.25" customHeight="1">
      <c r="C807" s="1170"/>
      <c r="D807" s="1170"/>
      <c r="E807" s="1170"/>
      <c r="F807" s="1170"/>
      <c r="G807" s="1170"/>
      <c r="H807" s="1170"/>
      <c r="I807" s="1170"/>
      <c r="J807" s="1170"/>
      <c r="K807" s="1170"/>
      <c r="L807" s="1170"/>
      <c r="M807" s="1170"/>
    </row>
    <row r="808" spans="3:13" ht="14.25" customHeight="1">
      <c r="C808" s="1170"/>
      <c r="D808" s="1170"/>
      <c r="E808" s="1170"/>
      <c r="F808" s="1170"/>
      <c r="G808" s="1170"/>
      <c r="H808" s="1170"/>
      <c r="I808" s="1170"/>
      <c r="J808" s="1170"/>
      <c r="K808" s="1170"/>
      <c r="L808" s="1170"/>
      <c r="M808" s="1170"/>
    </row>
    <row r="809" spans="3:13" ht="14.25" customHeight="1">
      <c r="C809" s="1170"/>
      <c r="D809" s="1170"/>
      <c r="E809" s="1170"/>
      <c r="F809" s="1170"/>
      <c r="G809" s="1170"/>
      <c r="H809" s="1170"/>
      <c r="I809" s="1170"/>
      <c r="J809" s="1170"/>
      <c r="K809" s="1170"/>
      <c r="L809" s="1170"/>
      <c r="M809" s="1170"/>
    </row>
    <row r="810" spans="3:13" ht="14.25" customHeight="1">
      <c r="C810" s="1170"/>
      <c r="D810" s="1170"/>
      <c r="E810" s="1170"/>
      <c r="F810" s="1170"/>
      <c r="G810" s="1170"/>
      <c r="H810" s="1170"/>
      <c r="I810" s="1170"/>
      <c r="J810" s="1170"/>
      <c r="K810" s="1170"/>
      <c r="L810" s="1170"/>
      <c r="M810" s="1170"/>
    </row>
    <row r="811" spans="3:13" ht="14.25" customHeight="1">
      <c r="C811" s="1170"/>
      <c r="D811" s="1170"/>
      <c r="E811" s="1170"/>
      <c r="F811" s="1170"/>
      <c r="G811" s="1170"/>
      <c r="H811" s="1170"/>
      <c r="I811" s="1170"/>
      <c r="J811" s="1170"/>
      <c r="K811" s="1170"/>
      <c r="L811" s="1170"/>
      <c r="M811" s="1170"/>
    </row>
    <row r="812" spans="3:13" ht="14.25" customHeight="1">
      <c r="C812" s="1170"/>
      <c r="D812" s="1170"/>
      <c r="E812" s="1170"/>
      <c r="F812" s="1170"/>
      <c r="G812" s="1170"/>
      <c r="H812" s="1170"/>
      <c r="I812" s="1170"/>
      <c r="J812" s="1170"/>
      <c r="K812" s="1170"/>
      <c r="L812" s="1170"/>
      <c r="M812" s="1170"/>
    </row>
    <row r="813" spans="3:13" ht="14.25" customHeight="1">
      <c r="C813" s="1170"/>
      <c r="D813" s="1170"/>
      <c r="E813" s="1170"/>
      <c r="F813" s="1170"/>
      <c r="G813" s="1170"/>
      <c r="H813" s="1170"/>
      <c r="I813" s="1170"/>
      <c r="J813" s="1170"/>
      <c r="K813" s="1170"/>
      <c r="L813" s="1170"/>
      <c r="M813" s="1170"/>
    </row>
    <row r="814" spans="3:13" ht="14.25" customHeight="1">
      <c r="C814" s="1170"/>
      <c r="D814" s="1170"/>
      <c r="E814" s="1170"/>
      <c r="F814" s="1170"/>
      <c r="G814" s="1170"/>
      <c r="H814" s="1170"/>
      <c r="I814" s="1170"/>
      <c r="J814" s="1170"/>
      <c r="K814" s="1170"/>
      <c r="L814" s="1170"/>
      <c r="M814" s="1170"/>
    </row>
    <row r="815" spans="3:13" ht="14.25" customHeight="1">
      <c r="C815" s="1170"/>
      <c r="D815" s="1170"/>
      <c r="E815" s="1170"/>
      <c r="F815" s="1170"/>
      <c r="G815" s="1170"/>
      <c r="H815" s="1170"/>
      <c r="I815" s="1170"/>
      <c r="J815" s="1170"/>
      <c r="K815" s="1170"/>
      <c r="L815" s="1170"/>
      <c r="M815" s="1170"/>
    </row>
    <row r="816" spans="3:13" ht="14.25" customHeight="1">
      <c r="C816" s="1170"/>
      <c r="D816" s="1170"/>
      <c r="E816" s="1170"/>
      <c r="F816" s="1170"/>
      <c r="G816" s="1170"/>
      <c r="H816" s="1170"/>
      <c r="I816" s="1170"/>
      <c r="J816" s="1170"/>
      <c r="K816" s="1170"/>
      <c r="L816" s="1170"/>
      <c r="M816" s="1170"/>
    </row>
    <row r="817" spans="3:13" ht="14.25" customHeight="1">
      <c r="C817" s="1170"/>
      <c r="D817" s="1170"/>
      <c r="E817" s="1170"/>
      <c r="F817" s="1170"/>
      <c r="G817" s="1170"/>
      <c r="H817" s="1170"/>
      <c r="I817" s="1170"/>
      <c r="J817" s="1170"/>
      <c r="K817" s="1170"/>
      <c r="L817" s="1170"/>
      <c r="M817" s="1170"/>
    </row>
    <row r="818" spans="3:13" ht="14.25" customHeight="1">
      <c r="C818" s="1170"/>
      <c r="D818" s="1170"/>
      <c r="E818" s="1170"/>
      <c r="F818" s="1170"/>
      <c r="G818" s="1170"/>
      <c r="H818" s="1170"/>
      <c r="I818" s="1170"/>
      <c r="J818" s="1170"/>
      <c r="K818" s="1170"/>
      <c r="L818" s="1170"/>
      <c r="M818" s="1170"/>
    </row>
    <row r="819" spans="3:13" ht="14.25" customHeight="1">
      <c r="C819" s="1170"/>
      <c r="D819" s="1170"/>
      <c r="E819" s="1170"/>
      <c r="F819" s="1170"/>
      <c r="G819" s="1170"/>
      <c r="H819" s="1170"/>
      <c r="I819" s="1170"/>
      <c r="J819" s="1170"/>
      <c r="K819" s="1170"/>
      <c r="L819" s="1170"/>
      <c r="M819" s="1170"/>
    </row>
    <row r="820" spans="3:13" ht="14.25" customHeight="1">
      <c r="C820" s="1170"/>
      <c r="D820" s="1170"/>
      <c r="E820" s="1170"/>
      <c r="F820" s="1170"/>
      <c r="G820" s="1170"/>
      <c r="H820" s="1170"/>
      <c r="I820" s="1170"/>
      <c r="J820" s="1170"/>
      <c r="K820" s="1170"/>
      <c r="L820" s="1170"/>
      <c r="M820" s="1170"/>
    </row>
    <row r="821" spans="3:13" ht="14.25" customHeight="1">
      <c r="C821" s="1170"/>
      <c r="D821" s="1170"/>
      <c r="E821" s="1170"/>
      <c r="F821" s="1170"/>
      <c r="G821" s="1170"/>
      <c r="H821" s="1170"/>
      <c r="I821" s="1170"/>
      <c r="J821" s="1170"/>
      <c r="K821" s="1170"/>
      <c r="L821" s="1170"/>
      <c r="M821" s="1170"/>
    </row>
    <row r="822" spans="3:13" ht="14.25" customHeight="1">
      <c r="C822" s="1170"/>
      <c r="D822" s="1170"/>
      <c r="E822" s="1170"/>
      <c r="F822" s="1170"/>
      <c r="G822" s="1170"/>
      <c r="H822" s="1170"/>
      <c r="I822" s="1170"/>
      <c r="J822" s="1170"/>
      <c r="K822" s="1170"/>
      <c r="L822" s="1170"/>
      <c r="M822" s="1170"/>
    </row>
    <row r="823" spans="3:13" ht="14.25" customHeight="1">
      <c r="C823" s="1170"/>
      <c r="D823" s="1170"/>
      <c r="E823" s="1170"/>
      <c r="F823" s="1170"/>
      <c r="G823" s="1170"/>
      <c r="H823" s="1170"/>
      <c r="I823" s="1170"/>
      <c r="J823" s="1170"/>
      <c r="K823" s="1170"/>
      <c r="L823" s="1170"/>
      <c r="M823" s="1170"/>
    </row>
    <row r="824" spans="3:13" ht="14.25" customHeight="1">
      <c r="C824" s="1170"/>
      <c r="D824" s="1170"/>
      <c r="E824" s="1170"/>
      <c r="F824" s="1170"/>
      <c r="G824" s="1170"/>
      <c r="H824" s="1170"/>
      <c r="I824" s="1170"/>
      <c r="J824" s="1170"/>
      <c r="K824" s="1170"/>
      <c r="L824" s="1170"/>
      <c r="M824" s="1170"/>
    </row>
    <row r="825" spans="3:13" ht="14.25" customHeight="1">
      <c r="C825" s="1170"/>
      <c r="D825" s="1170"/>
      <c r="E825" s="1170"/>
      <c r="F825" s="1170"/>
      <c r="G825" s="1170"/>
      <c r="H825" s="1170"/>
      <c r="I825" s="1170"/>
      <c r="J825" s="1170"/>
      <c r="K825" s="1170"/>
      <c r="L825" s="1170"/>
      <c r="M825" s="1170"/>
    </row>
    <row r="826" spans="3:13" ht="14.25" customHeight="1">
      <c r="C826" s="1170"/>
      <c r="D826" s="1170"/>
      <c r="E826" s="1170"/>
      <c r="F826" s="1170"/>
      <c r="G826" s="1170"/>
      <c r="H826" s="1170"/>
      <c r="I826" s="1170"/>
      <c r="J826" s="1170"/>
      <c r="K826" s="1170"/>
      <c r="L826" s="1170"/>
      <c r="M826" s="1170"/>
    </row>
    <row r="827" spans="3:13" ht="14.25" customHeight="1">
      <c r="C827" s="1170"/>
      <c r="D827" s="1170"/>
      <c r="E827" s="1170"/>
      <c r="F827" s="1170"/>
      <c r="G827" s="1170"/>
      <c r="H827" s="1170"/>
      <c r="I827" s="1170"/>
      <c r="J827" s="1170"/>
      <c r="K827" s="1170"/>
      <c r="L827" s="1170"/>
      <c r="M827" s="1170"/>
    </row>
    <row r="828" spans="3:13" ht="14.25" customHeight="1">
      <c r="C828" s="1170"/>
      <c r="D828" s="1170"/>
      <c r="E828" s="1170"/>
      <c r="F828" s="1170"/>
      <c r="G828" s="1170"/>
      <c r="H828" s="1170"/>
      <c r="I828" s="1170"/>
      <c r="J828" s="1170"/>
      <c r="K828" s="1170"/>
      <c r="L828" s="1170"/>
      <c r="M828" s="1170"/>
    </row>
    <row r="829" spans="3:13" ht="14.25" customHeight="1">
      <c r="C829" s="1170"/>
      <c r="D829" s="1170"/>
      <c r="E829" s="1170"/>
      <c r="F829" s="1170"/>
      <c r="G829" s="1170"/>
      <c r="H829" s="1170"/>
      <c r="I829" s="1170"/>
      <c r="J829" s="1170"/>
      <c r="K829" s="1170"/>
      <c r="L829" s="1170"/>
      <c r="M829" s="1170"/>
    </row>
    <row r="830" spans="3:13" ht="14.25" customHeight="1">
      <c r="C830" s="1170"/>
      <c r="D830" s="1170"/>
      <c r="E830" s="1170"/>
      <c r="F830" s="1170"/>
      <c r="G830" s="1170"/>
      <c r="H830" s="1170"/>
      <c r="I830" s="1170"/>
      <c r="J830" s="1170"/>
      <c r="K830" s="1170"/>
      <c r="L830" s="1170"/>
      <c r="M830" s="1170"/>
    </row>
    <row r="831" spans="3:13" ht="14.25" customHeight="1">
      <c r="C831" s="1170"/>
      <c r="D831" s="1170"/>
      <c r="E831" s="1170"/>
      <c r="F831" s="1170"/>
      <c r="G831" s="1170"/>
      <c r="H831" s="1170"/>
      <c r="I831" s="1170"/>
      <c r="J831" s="1170"/>
      <c r="K831" s="1170"/>
      <c r="L831" s="1170"/>
      <c r="M831" s="1170"/>
    </row>
    <row r="832" spans="3:13" ht="14.25" customHeight="1">
      <c r="C832" s="1170"/>
      <c r="D832" s="1170"/>
      <c r="E832" s="1170"/>
      <c r="F832" s="1170"/>
      <c r="G832" s="1170"/>
      <c r="H832" s="1170"/>
      <c r="I832" s="1170"/>
      <c r="J832" s="1170"/>
      <c r="K832" s="1170"/>
      <c r="L832" s="1170"/>
      <c r="M832" s="1170"/>
    </row>
    <row r="833" spans="3:13" ht="14.25" customHeight="1">
      <c r="C833" s="1170"/>
      <c r="D833" s="1170"/>
      <c r="E833" s="1170"/>
      <c r="F833" s="1170"/>
      <c r="G833" s="1170"/>
      <c r="H833" s="1170"/>
      <c r="I833" s="1170"/>
      <c r="J833" s="1170"/>
      <c r="K833" s="1170"/>
      <c r="L833" s="1170"/>
      <c r="M833" s="1170"/>
    </row>
    <row r="834" spans="3:13" ht="14.25" customHeight="1">
      <c r="C834" s="1170"/>
      <c r="D834" s="1170"/>
      <c r="E834" s="1170"/>
      <c r="F834" s="1170"/>
      <c r="G834" s="1170"/>
      <c r="H834" s="1170"/>
      <c r="I834" s="1170"/>
      <c r="J834" s="1170"/>
      <c r="K834" s="1170"/>
      <c r="L834" s="1170"/>
      <c r="M834" s="1170"/>
    </row>
    <row r="835" spans="3:13" ht="14.25" customHeight="1">
      <c r="C835" s="1170"/>
      <c r="D835" s="1170"/>
      <c r="E835" s="1170"/>
      <c r="F835" s="1170"/>
      <c r="G835" s="1170"/>
      <c r="H835" s="1170"/>
      <c r="I835" s="1170"/>
      <c r="J835" s="1170"/>
      <c r="K835" s="1170"/>
      <c r="L835" s="1170"/>
      <c r="M835" s="1170"/>
    </row>
    <row r="836" spans="3:13" ht="14.25" customHeight="1">
      <c r="C836" s="1170"/>
      <c r="D836" s="1170"/>
      <c r="E836" s="1170"/>
      <c r="F836" s="1170"/>
      <c r="G836" s="1170"/>
      <c r="H836" s="1170"/>
      <c r="I836" s="1170"/>
      <c r="J836" s="1170"/>
      <c r="K836" s="1170"/>
      <c r="L836" s="1170"/>
      <c r="M836" s="1170"/>
    </row>
    <row r="837" spans="3:13" ht="14.25" customHeight="1">
      <c r="C837" s="1170"/>
      <c r="D837" s="1170"/>
      <c r="E837" s="1170"/>
      <c r="F837" s="1170"/>
      <c r="G837" s="1170"/>
      <c r="H837" s="1170"/>
      <c r="I837" s="1170"/>
      <c r="J837" s="1170"/>
      <c r="K837" s="1170"/>
      <c r="L837" s="1170"/>
      <c r="M837" s="1170"/>
    </row>
    <row r="838" spans="3:13" ht="14.25" customHeight="1">
      <c r="C838" s="1170"/>
      <c r="D838" s="1170"/>
      <c r="E838" s="1170"/>
      <c r="F838" s="1170"/>
      <c r="G838" s="1170"/>
      <c r="H838" s="1170"/>
      <c r="I838" s="1170"/>
      <c r="J838" s="1170"/>
      <c r="K838" s="1170"/>
      <c r="L838" s="1170"/>
      <c r="M838" s="1170"/>
    </row>
    <row r="839" spans="3:13" ht="14.25" customHeight="1">
      <c r="C839" s="1170"/>
      <c r="D839" s="1170"/>
      <c r="E839" s="1170"/>
      <c r="F839" s="1170"/>
      <c r="G839" s="1170"/>
      <c r="H839" s="1170"/>
      <c r="I839" s="1170"/>
      <c r="J839" s="1170"/>
      <c r="K839" s="1170"/>
      <c r="L839" s="1170"/>
      <c r="M839" s="1170"/>
    </row>
    <row r="840" spans="3:13" ht="14.25" customHeight="1">
      <c r="C840" s="1170"/>
      <c r="D840" s="1170"/>
      <c r="E840" s="1170"/>
      <c r="F840" s="1170"/>
      <c r="G840" s="1170"/>
      <c r="H840" s="1170"/>
      <c r="I840" s="1170"/>
      <c r="J840" s="1170"/>
      <c r="K840" s="1170"/>
      <c r="L840" s="1170"/>
      <c r="M840" s="1170"/>
    </row>
    <row r="841" spans="3:13" ht="14.25" customHeight="1">
      <c r="C841" s="1170"/>
      <c r="D841" s="1170"/>
      <c r="E841" s="1170"/>
      <c r="F841" s="1170"/>
      <c r="G841" s="1170"/>
      <c r="H841" s="1170"/>
      <c r="I841" s="1170"/>
      <c r="J841" s="1170"/>
      <c r="K841" s="1170"/>
      <c r="L841" s="1170"/>
      <c r="M841" s="1170"/>
    </row>
    <row r="842" spans="3:13" ht="14.25" customHeight="1">
      <c r="C842" s="1170"/>
      <c r="D842" s="1170"/>
      <c r="E842" s="1170"/>
      <c r="F842" s="1170"/>
      <c r="G842" s="1170"/>
      <c r="H842" s="1170"/>
      <c r="I842" s="1170"/>
      <c r="J842" s="1170"/>
      <c r="K842" s="1170"/>
      <c r="L842" s="1170"/>
      <c r="M842" s="1170"/>
    </row>
    <row r="843" spans="3:13" ht="14.25" customHeight="1">
      <c r="C843" s="1170"/>
      <c r="D843" s="1170"/>
      <c r="E843" s="1170"/>
      <c r="F843" s="1170"/>
      <c r="G843" s="1170"/>
      <c r="H843" s="1170"/>
      <c r="I843" s="1170"/>
      <c r="J843" s="1170"/>
      <c r="K843" s="1170"/>
      <c r="L843" s="1170"/>
      <c r="M843" s="1170"/>
    </row>
    <row r="844" spans="3:13" ht="14.25" customHeight="1">
      <c r="C844" s="1170"/>
      <c r="D844" s="1170"/>
      <c r="E844" s="1170"/>
      <c r="F844" s="1170"/>
      <c r="G844" s="1170"/>
      <c r="H844" s="1170"/>
      <c r="I844" s="1170"/>
      <c r="J844" s="1170"/>
      <c r="K844" s="1170"/>
      <c r="L844" s="1170"/>
      <c r="M844" s="1170"/>
    </row>
    <row r="845" spans="3:13" ht="14.25" customHeight="1">
      <c r="C845" s="1170"/>
      <c r="D845" s="1170"/>
      <c r="E845" s="1170"/>
      <c r="F845" s="1170"/>
      <c r="G845" s="1170"/>
      <c r="H845" s="1170"/>
      <c r="I845" s="1170"/>
      <c r="J845" s="1170"/>
      <c r="K845" s="1170"/>
      <c r="L845" s="1170"/>
      <c r="M845" s="1170"/>
    </row>
    <row r="846" spans="3:13" ht="14.25" customHeight="1">
      <c r="C846" s="1170"/>
      <c r="D846" s="1170"/>
      <c r="E846" s="1170"/>
      <c r="F846" s="1170"/>
      <c r="G846" s="1170"/>
      <c r="H846" s="1170"/>
      <c r="I846" s="1170"/>
      <c r="J846" s="1170"/>
      <c r="K846" s="1170"/>
      <c r="L846" s="1170"/>
      <c r="M846" s="1170"/>
    </row>
    <row r="847" spans="3:13" ht="14.25" customHeight="1">
      <c r="C847" s="1170"/>
      <c r="D847" s="1170"/>
      <c r="E847" s="1170"/>
      <c r="F847" s="1170"/>
      <c r="G847" s="1170"/>
      <c r="H847" s="1170"/>
      <c r="I847" s="1170"/>
      <c r="J847" s="1170"/>
      <c r="K847" s="1170"/>
      <c r="L847" s="1170"/>
      <c r="M847" s="1170"/>
    </row>
    <row r="848" spans="3:13" ht="14.25" customHeight="1">
      <c r="C848" s="1170"/>
      <c r="D848" s="1170"/>
      <c r="E848" s="1170"/>
      <c r="F848" s="1170"/>
      <c r="G848" s="1170"/>
      <c r="H848" s="1170"/>
      <c r="I848" s="1170"/>
      <c r="J848" s="1170"/>
      <c r="K848" s="1170"/>
      <c r="L848" s="1170"/>
      <c r="M848" s="1170"/>
    </row>
    <row r="849" spans="3:13" ht="14.25" customHeight="1">
      <c r="C849" s="1170"/>
      <c r="D849" s="1170"/>
      <c r="E849" s="1170"/>
      <c r="F849" s="1170"/>
      <c r="G849" s="1170"/>
      <c r="H849" s="1170"/>
      <c r="I849" s="1170"/>
      <c r="J849" s="1170"/>
      <c r="K849" s="1170"/>
      <c r="L849" s="1170"/>
      <c r="M849" s="1170"/>
    </row>
    <row r="850" spans="3:13" ht="14.25" customHeight="1">
      <c r="C850" s="1170"/>
      <c r="D850" s="1170"/>
      <c r="E850" s="1170"/>
      <c r="F850" s="1170"/>
      <c r="G850" s="1170"/>
      <c r="H850" s="1170"/>
      <c r="I850" s="1170"/>
      <c r="J850" s="1170"/>
      <c r="K850" s="1170"/>
      <c r="L850" s="1170"/>
      <c r="M850" s="1170"/>
    </row>
    <row r="851" spans="3:13" ht="14.25" customHeight="1">
      <c r="C851" s="1170"/>
      <c r="D851" s="1170"/>
      <c r="E851" s="1170"/>
      <c r="F851" s="1170"/>
      <c r="G851" s="1170"/>
      <c r="H851" s="1170"/>
      <c r="I851" s="1170"/>
      <c r="J851" s="1170"/>
      <c r="K851" s="1170"/>
      <c r="L851" s="1170"/>
      <c r="M851" s="1170"/>
    </row>
    <row r="852" spans="3:13" ht="14.25" customHeight="1">
      <c r="C852" s="1170"/>
      <c r="D852" s="1170"/>
      <c r="E852" s="1170"/>
      <c r="F852" s="1170"/>
      <c r="G852" s="1170"/>
      <c r="H852" s="1170"/>
      <c r="I852" s="1170"/>
      <c r="J852" s="1170"/>
      <c r="K852" s="1170"/>
      <c r="L852" s="1170"/>
      <c r="M852" s="1170"/>
    </row>
    <row r="853" spans="3:13" ht="14.25" customHeight="1">
      <c r="C853" s="1170"/>
      <c r="D853" s="1170"/>
      <c r="E853" s="1170"/>
      <c r="F853" s="1170"/>
      <c r="G853" s="1170"/>
      <c r="H853" s="1170"/>
      <c r="I853" s="1170"/>
      <c r="J853" s="1170"/>
      <c r="K853" s="1170"/>
      <c r="L853" s="1170"/>
      <c r="M853" s="1170"/>
    </row>
    <row r="854" spans="3:13" ht="14.25" customHeight="1">
      <c r="C854" s="1170"/>
      <c r="D854" s="1170"/>
      <c r="E854" s="1170"/>
      <c r="F854" s="1170"/>
      <c r="G854" s="1170"/>
      <c r="H854" s="1170"/>
      <c r="I854" s="1170"/>
      <c r="J854" s="1170"/>
      <c r="K854" s="1170"/>
      <c r="L854" s="1170"/>
      <c r="M854" s="1170"/>
    </row>
    <row r="855" spans="3:13" ht="14.25" customHeight="1">
      <c r="C855" s="1170"/>
      <c r="D855" s="1170"/>
      <c r="E855" s="1170"/>
      <c r="F855" s="1170"/>
      <c r="G855" s="1170"/>
      <c r="H855" s="1170"/>
      <c r="I855" s="1170"/>
      <c r="J855" s="1170"/>
      <c r="K855" s="1170"/>
      <c r="L855" s="1170"/>
      <c r="M855" s="1170"/>
    </row>
    <row r="856" spans="3:13" ht="14.25" customHeight="1">
      <c r="C856" s="1170"/>
      <c r="D856" s="1170"/>
      <c r="E856" s="1170"/>
      <c r="F856" s="1170"/>
      <c r="G856" s="1170"/>
      <c r="H856" s="1170"/>
      <c r="I856" s="1170"/>
      <c r="J856" s="1170"/>
      <c r="K856" s="1170"/>
      <c r="L856" s="1170"/>
      <c r="M856" s="1170"/>
    </row>
    <row r="857" spans="3:13" ht="14.25" customHeight="1">
      <c r="C857" s="1170"/>
      <c r="D857" s="1170"/>
      <c r="E857" s="1170"/>
      <c r="F857" s="1170"/>
      <c r="G857" s="1170"/>
      <c r="H857" s="1170"/>
      <c r="I857" s="1170"/>
      <c r="J857" s="1170"/>
      <c r="K857" s="1170"/>
      <c r="L857" s="1170"/>
      <c r="M857" s="1170"/>
    </row>
    <row r="858" spans="3:13" ht="14.25" customHeight="1">
      <c r="C858" s="1170"/>
      <c r="D858" s="1170"/>
      <c r="E858" s="1170"/>
      <c r="F858" s="1170"/>
      <c r="G858" s="1170"/>
      <c r="H858" s="1170"/>
      <c r="I858" s="1170"/>
      <c r="J858" s="1170"/>
      <c r="K858" s="1170"/>
      <c r="L858" s="1170"/>
      <c r="M858" s="1170"/>
    </row>
    <row r="859" spans="3:13" ht="14.25" customHeight="1">
      <c r="C859" s="1170"/>
      <c r="D859" s="1170"/>
      <c r="E859" s="1170"/>
      <c r="F859" s="1170"/>
      <c r="G859" s="1170"/>
      <c r="H859" s="1170"/>
      <c r="I859" s="1170"/>
      <c r="J859" s="1170"/>
      <c r="K859" s="1170"/>
      <c r="L859" s="1170"/>
      <c r="M859" s="1170"/>
    </row>
    <row r="860" spans="3:13" ht="14.25" customHeight="1">
      <c r="C860" s="1170"/>
      <c r="D860" s="1170"/>
      <c r="E860" s="1170"/>
      <c r="F860" s="1170"/>
      <c r="G860" s="1170"/>
      <c r="H860" s="1170"/>
      <c r="I860" s="1170"/>
      <c r="J860" s="1170"/>
      <c r="K860" s="1170"/>
      <c r="L860" s="1170"/>
      <c r="M860" s="1170"/>
    </row>
    <row r="861" spans="3:13" ht="14.25" customHeight="1">
      <c r="C861" s="1170"/>
      <c r="D861" s="1170"/>
      <c r="E861" s="1170"/>
      <c r="F861" s="1170"/>
      <c r="G861" s="1170"/>
      <c r="H861" s="1170"/>
      <c r="I861" s="1170"/>
      <c r="J861" s="1170"/>
      <c r="K861" s="1170"/>
      <c r="L861" s="1170"/>
      <c r="M861" s="1170"/>
    </row>
    <row r="862" spans="3:13" ht="14.25" customHeight="1">
      <c r="C862" s="1170"/>
      <c r="D862" s="1170"/>
      <c r="E862" s="1170"/>
      <c r="F862" s="1170"/>
      <c r="G862" s="1170"/>
      <c r="H862" s="1170"/>
      <c r="I862" s="1170"/>
      <c r="J862" s="1170"/>
      <c r="K862" s="1170"/>
      <c r="L862" s="1170"/>
      <c r="M862" s="1170"/>
    </row>
    <row r="863" spans="3:13" ht="14.25" customHeight="1">
      <c r="C863" s="1170"/>
      <c r="D863" s="1170"/>
      <c r="E863" s="1170"/>
      <c r="F863" s="1170"/>
      <c r="G863" s="1170"/>
      <c r="H863" s="1170"/>
      <c r="I863" s="1170"/>
      <c r="J863" s="1170"/>
      <c r="K863" s="1170"/>
      <c r="L863" s="1170"/>
      <c r="M863" s="1170"/>
    </row>
    <row r="864" spans="3:13" ht="14.25" customHeight="1">
      <c r="C864" s="1170"/>
      <c r="D864" s="1170"/>
      <c r="E864" s="1170"/>
      <c r="F864" s="1170"/>
      <c r="G864" s="1170"/>
      <c r="H864" s="1170"/>
      <c r="I864" s="1170"/>
      <c r="J864" s="1170"/>
      <c r="K864" s="1170"/>
      <c r="L864" s="1170"/>
      <c r="M864" s="1170"/>
    </row>
    <row r="865" spans="3:13" ht="14.25" customHeight="1">
      <c r="C865" s="1170"/>
      <c r="D865" s="1170"/>
      <c r="E865" s="1170"/>
      <c r="F865" s="1170"/>
      <c r="G865" s="1170"/>
      <c r="H865" s="1170"/>
      <c r="I865" s="1170"/>
      <c r="J865" s="1170"/>
      <c r="K865" s="1170"/>
      <c r="L865" s="1170"/>
      <c r="M865" s="1170"/>
    </row>
    <row r="866" spans="3:13" ht="14.25" customHeight="1">
      <c r="C866" s="1170"/>
      <c r="D866" s="1170"/>
      <c r="E866" s="1170"/>
      <c r="F866" s="1170"/>
      <c r="G866" s="1170"/>
      <c r="H866" s="1170"/>
      <c r="I866" s="1170"/>
      <c r="J866" s="1170"/>
      <c r="K866" s="1170"/>
      <c r="L866" s="1170"/>
      <c r="M866" s="1170"/>
    </row>
    <row r="867" spans="3:13" ht="14.25" customHeight="1">
      <c r="C867" s="1170"/>
      <c r="D867" s="1170"/>
      <c r="E867" s="1170"/>
      <c r="F867" s="1170"/>
      <c r="G867" s="1170"/>
      <c r="H867" s="1170"/>
      <c r="I867" s="1170"/>
      <c r="J867" s="1170"/>
      <c r="K867" s="1170"/>
      <c r="L867" s="1170"/>
      <c r="M867" s="1170"/>
    </row>
    <row r="868" spans="3:13" ht="14.25" customHeight="1">
      <c r="C868" s="1170"/>
      <c r="D868" s="1170"/>
      <c r="E868" s="1170"/>
      <c r="F868" s="1170"/>
      <c r="G868" s="1170"/>
      <c r="H868" s="1170"/>
      <c r="I868" s="1170"/>
      <c r="J868" s="1170"/>
      <c r="K868" s="1170"/>
      <c r="L868" s="1170"/>
      <c r="M868" s="1170"/>
    </row>
    <row r="869" spans="3:13" ht="14.25" customHeight="1">
      <c r="C869" s="1170"/>
      <c r="D869" s="1170"/>
      <c r="E869" s="1170"/>
      <c r="F869" s="1170"/>
      <c r="G869" s="1170"/>
      <c r="H869" s="1170"/>
      <c r="I869" s="1170"/>
      <c r="J869" s="1170"/>
      <c r="K869" s="1170"/>
      <c r="L869" s="1170"/>
      <c r="M869" s="1170"/>
    </row>
    <row r="870" spans="3:13" ht="14.25" customHeight="1">
      <c r="C870" s="1170"/>
      <c r="D870" s="1170"/>
      <c r="E870" s="1170"/>
      <c r="F870" s="1170"/>
      <c r="G870" s="1170"/>
      <c r="H870" s="1170"/>
      <c r="I870" s="1170"/>
      <c r="J870" s="1170"/>
      <c r="K870" s="1170"/>
      <c r="L870" s="1170"/>
      <c r="M870" s="1170"/>
    </row>
    <row r="871" spans="3:13" ht="14.25" customHeight="1">
      <c r="C871" s="1170"/>
      <c r="D871" s="1170"/>
      <c r="E871" s="1170"/>
      <c r="F871" s="1170"/>
      <c r="G871" s="1170"/>
      <c r="H871" s="1170"/>
      <c r="I871" s="1170"/>
      <c r="J871" s="1170"/>
      <c r="K871" s="1170"/>
      <c r="L871" s="1170"/>
      <c r="M871" s="1170"/>
    </row>
    <row r="872" spans="3:13" ht="14.25" customHeight="1">
      <c r="C872" s="1170"/>
      <c r="D872" s="1170"/>
      <c r="E872" s="1170"/>
      <c r="F872" s="1170"/>
      <c r="G872" s="1170"/>
      <c r="H872" s="1170"/>
      <c r="I872" s="1170"/>
      <c r="J872" s="1170"/>
      <c r="K872" s="1170"/>
      <c r="L872" s="1170"/>
      <c r="M872" s="1170"/>
    </row>
    <row r="873" spans="3:13" ht="14.25" customHeight="1">
      <c r="C873" s="1170"/>
      <c r="D873" s="1170"/>
      <c r="E873" s="1170"/>
      <c r="F873" s="1170"/>
      <c r="G873" s="1170"/>
      <c r="H873" s="1170"/>
      <c r="I873" s="1170"/>
      <c r="J873" s="1170"/>
      <c r="K873" s="1170"/>
      <c r="L873" s="1170"/>
      <c r="M873" s="1170"/>
    </row>
    <row r="874" spans="3:13" ht="14.25" customHeight="1">
      <c r="C874" s="1170"/>
      <c r="D874" s="1170"/>
      <c r="E874" s="1170"/>
      <c r="F874" s="1170"/>
      <c r="G874" s="1170"/>
      <c r="H874" s="1170"/>
      <c r="I874" s="1170"/>
      <c r="J874" s="1170"/>
      <c r="K874" s="1170"/>
      <c r="L874" s="1170"/>
      <c r="M874" s="1170"/>
    </row>
    <row r="875" spans="3:13" ht="14.25" customHeight="1">
      <c r="C875" s="1170"/>
      <c r="D875" s="1170"/>
      <c r="E875" s="1170"/>
      <c r="F875" s="1170"/>
      <c r="G875" s="1170"/>
      <c r="H875" s="1170"/>
      <c r="I875" s="1170"/>
      <c r="J875" s="1170"/>
      <c r="K875" s="1170"/>
      <c r="L875" s="1170"/>
      <c r="M875" s="1170"/>
    </row>
    <row r="876" spans="3:13" ht="14.25" customHeight="1">
      <c r="C876" s="1170"/>
      <c r="D876" s="1170"/>
      <c r="E876" s="1170"/>
      <c r="F876" s="1170"/>
      <c r="G876" s="1170"/>
      <c r="H876" s="1170"/>
      <c r="I876" s="1170"/>
      <c r="J876" s="1170"/>
      <c r="K876" s="1170"/>
      <c r="L876" s="1170"/>
      <c r="M876" s="1170"/>
    </row>
    <row r="877" spans="3:13" ht="14.25" customHeight="1">
      <c r="C877" s="1170"/>
      <c r="D877" s="1170"/>
      <c r="E877" s="1170"/>
      <c r="F877" s="1170"/>
      <c r="G877" s="1170"/>
      <c r="H877" s="1170"/>
      <c r="I877" s="1170"/>
      <c r="J877" s="1170"/>
      <c r="K877" s="1170"/>
      <c r="L877" s="1170"/>
      <c r="M877" s="1170"/>
    </row>
    <row r="878" spans="3:13" ht="14.25" customHeight="1">
      <c r="C878" s="1170"/>
      <c r="D878" s="1170"/>
      <c r="E878" s="1170"/>
      <c r="F878" s="1170"/>
      <c r="G878" s="1170"/>
      <c r="H878" s="1170"/>
      <c r="I878" s="1170"/>
      <c r="J878" s="1170"/>
      <c r="K878" s="1170"/>
      <c r="L878" s="1170"/>
      <c r="M878" s="1170"/>
    </row>
    <row r="879" spans="3:13" ht="14.25" customHeight="1">
      <c r="C879" s="1170"/>
      <c r="D879" s="1170"/>
      <c r="E879" s="1170"/>
      <c r="F879" s="1170"/>
      <c r="G879" s="1170"/>
      <c r="H879" s="1170"/>
      <c r="I879" s="1170"/>
      <c r="J879" s="1170"/>
      <c r="K879" s="1170"/>
      <c r="L879" s="1170"/>
      <c r="M879" s="1170"/>
    </row>
    <row r="880" spans="3:13" ht="14.25" customHeight="1">
      <c r="C880" s="1170"/>
      <c r="D880" s="1170"/>
      <c r="E880" s="1170"/>
      <c r="F880" s="1170"/>
      <c r="G880" s="1170"/>
      <c r="H880" s="1170"/>
      <c r="I880" s="1170"/>
      <c r="J880" s="1170"/>
      <c r="K880" s="1170"/>
      <c r="L880" s="1170"/>
      <c r="M880" s="1170"/>
    </row>
    <row r="881" spans="3:13" ht="14.25" customHeight="1">
      <c r="C881" s="1170"/>
      <c r="D881" s="1170"/>
      <c r="E881" s="1170"/>
      <c r="F881" s="1170"/>
      <c r="G881" s="1170"/>
      <c r="H881" s="1170"/>
      <c r="I881" s="1170"/>
      <c r="J881" s="1170"/>
      <c r="K881" s="1170"/>
      <c r="L881" s="1170"/>
      <c r="M881" s="1170"/>
    </row>
    <row r="882" spans="3:13" ht="14.25" customHeight="1">
      <c r="C882" s="1170"/>
      <c r="D882" s="1170"/>
      <c r="E882" s="1170"/>
      <c r="F882" s="1170"/>
      <c r="G882" s="1170"/>
      <c r="H882" s="1170"/>
      <c r="I882" s="1170"/>
      <c r="J882" s="1170"/>
      <c r="K882" s="1170"/>
      <c r="L882" s="1170"/>
      <c r="M882" s="1170"/>
    </row>
    <row r="883" spans="3:13" ht="14.25" customHeight="1">
      <c r="C883" s="1170"/>
      <c r="D883" s="1170"/>
      <c r="E883" s="1170"/>
      <c r="F883" s="1170"/>
      <c r="G883" s="1170"/>
      <c r="H883" s="1170"/>
      <c r="I883" s="1170"/>
      <c r="J883" s="1170"/>
      <c r="K883" s="1170"/>
      <c r="L883" s="1170"/>
      <c r="M883" s="1170"/>
    </row>
    <row r="884" spans="3:13" ht="14.25" customHeight="1">
      <c r="C884" s="1170"/>
      <c r="D884" s="1170"/>
      <c r="E884" s="1170"/>
      <c r="F884" s="1170"/>
      <c r="G884" s="1170"/>
      <c r="H884" s="1170"/>
      <c r="I884" s="1170"/>
      <c r="J884" s="1170"/>
      <c r="K884" s="1170"/>
      <c r="L884" s="1170"/>
      <c r="M884" s="1170"/>
    </row>
    <row r="885" spans="3:13" ht="14.25" customHeight="1">
      <c r="C885" s="1170"/>
      <c r="D885" s="1170"/>
      <c r="E885" s="1170"/>
      <c r="F885" s="1170"/>
      <c r="G885" s="1170"/>
      <c r="H885" s="1170"/>
      <c r="I885" s="1170"/>
      <c r="J885" s="1170"/>
      <c r="K885" s="1170"/>
      <c r="L885" s="1170"/>
      <c r="M885" s="1170"/>
    </row>
    <row r="886" spans="3:13" ht="14.25" customHeight="1">
      <c r="C886" s="1170"/>
      <c r="D886" s="1170"/>
      <c r="E886" s="1170"/>
      <c r="F886" s="1170"/>
      <c r="G886" s="1170"/>
      <c r="H886" s="1170"/>
      <c r="I886" s="1170"/>
      <c r="J886" s="1170"/>
      <c r="K886" s="1170"/>
      <c r="L886" s="1170"/>
      <c r="M886" s="1170"/>
    </row>
    <row r="887" spans="3:13" ht="14.25" customHeight="1">
      <c r="C887" s="1170"/>
      <c r="D887" s="1170"/>
      <c r="E887" s="1170"/>
      <c r="F887" s="1170"/>
      <c r="G887" s="1170"/>
      <c r="H887" s="1170"/>
      <c r="I887" s="1170"/>
      <c r="J887" s="1170"/>
      <c r="K887" s="1170"/>
      <c r="L887" s="1170"/>
      <c r="M887" s="1170"/>
    </row>
    <row r="888" spans="3:13" ht="14.25" customHeight="1">
      <c r="C888" s="1170"/>
      <c r="D888" s="1170"/>
      <c r="E888" s="1170"/>
      <c r="F888" s="1170"/>
      <c r="G888" s="1170"/>
      <c r="H888" s="1170"/>
      <c r="I888" s="1170"/>
      <c r="J888" s="1170"/>
      <c r="K888" s="1170"/>
      <c r="L888" s="1170"/>
      <c r="M888" s="1170"/>
    </row>
    <row r="889" spans="3:13" ht="14.25" customHeight="1">
      <c r="C889" s="1170"/>
      <c r="D889" s="1170"/>
      <c r="E889" s="1170"/>
      <c r="F889" s="1170"/>
      <c r="G889" s="1170"/>
      <c r="H889" s="1170"/>
      <c r="I889" s="1170"/>
      <c r="J889" s="1170"/>
      <c r="K889" s="1170"/>
      <c r="L889" s="1170"/>
      <c r="M889" s="1170"/>
    </row>
    <row r="890" spans="3:13" ht="14.25" customHeight="1">
      <c r="C890" s="1170"/>
      <c r="D890" s="1170"/>
      <c r="E890" s="1170"/>
      <c r="F890" s="1170"/>
      <c r="G890" s="1170"/>
      <c r="H890" s="1170"/>
      <c r="I890" s="1170"/>
      <c r="J890" s="1170"/>
      <c r="K890" s="1170"/>
      <c r="L890" s="1170"/>
      <c r="M890" s="1170"/>
    </row>
    <row r="891" spans="3:13" ht="14.25" customHeight="1">
      <c r="C891" s="1170"/>
      <c r="D891" s="1170"/>
      <c r="E891" s="1170"/>
      <c r="F891" s="1170"/>
      <c r="G891" s="1170"/>
      <c r="H891" s="1170"/>
      <c r="I891" s="1170"/>
      <c r="J891" s="1170"/>
      <c r="K891" s="1170"/>
      <c r="L891" s="1170"/>
      <c r="M891" s="1170"/>
    </row>
    <row r="892" spans="3:13" ht="14.25" customHeight="1">
      <c r="C892" s="1170"/>
      <c r="D892" s="1170"/>
      <c r="E892" s="1170"/>
      <c r="F892" s="1170"/>
      <c r="G892" s="1170"/>
      <c r="H892" s="1170"/>
      <c r="I892" s="1170"/>
      <c r="J892" s="1170"/>
      <c r="K892" s="1170"/>
      <c r="L892" s="1170"/>
      <c r="M892" s="1170"/>
    </row>
    <row r="893" spans="3:13" ht="14.25" customHeight="1">
      <c r="C893" s="1170"/>
      <c r="D893" s="1170"/>
      <c r="E893" s="1170"/>
      <c r="F893" s="1170"/>
      <c r="G893" s="1170"/>
      <c r="H893" s="1170"/>
      <c r="I893" s="1170"/>
      <c r="J893" s="1170"/>
      <c r="K893" s="1170"/>
      <c r="L893" s="1170"/>
      <c r="M893" s="1170"/>
    </row>
    <row r="894" spans="3:13" ht="14.25" customHeight="1">
      <c r="C894" s="1170"/>
      <c r="D894" s="1170"/>
      <c r="E894" s="1170"/>
      <c r="F894" s="1170"/>
      <c r="G894" s="1170"/>
      <c r="H894" s="1170"/>
      <c r="I894" s="1170"/>
      <c r="J894" s="1170"/>
      <c r="K894" s="1170"/>
      <c r="L894" s="1170"/>
      <c r="M894" s="1170"/>
    </row>
    <row r="895" spans="3:13" ht="14.25" customHeight="1">
      <c r="C895" s="1170"/>
      <c r="D895" s="1170"/>
      <c r="E895" s="1170"/>
      <c r="F895" s="1170"/>
      <c r="G895" s="1170"/>
      <c r="H895" s="1170"/>
      <c r="I895" s="1170"/>
      <c r="J895" s="1170"/>
      <c r="K895" s="1170"/>
      <c r="L895" s="1170"/>
      <c r="M895" s="1170"/>
    </row>
    <row r="896" spans="3:13" ht="14.25" customHeight="1">
      <c r="C896" s="1170"/>
      <c r="D896" s="1170"/>
      <c r="E896" s="1170"/>
      <c r="F896" s="1170"/>
      <c r="G896" s="1170"/>
      <c r="H896" s="1170"/>
      <c r="I896" s="1170"/>
      <c r="J896" s="1170"/>
      <c r="K896" s="1170"/>
      <c r="L896" s="1170"/>
      <c r="M896" s="1170"/>
    </row>
    <row r="897" spans="3:13" ht="14.25" customHeight="1">
      <c r="C897" s="1170"/>
      <c r="D897" s="1170"/>
      <c r="E897" s="1170"/>
      <c r="F897" s="1170"/>
      <c r="G897" s="1170"/>
      <c r="H897" s="1170"/>
      <c r="I897" s="1170"/>
      <c r="J897" s="1170"/>
      <c r="K897" s="1170"/>
      <c r="L897" s="1170"/>
      <c r="M897" s="1170"/>
    </row>
    <row r="898" spans="3:13" ht="14.25" customHeight="1">
      <c r="C898" s="1170"/>
      <c r="D898" s="1170"/>
      <c r="E898" s="1170"/>
      <c r="F898" s="1170"/>
      <c r="G898" s="1170"/>
      <c r="H898" s="1170"/>
      <c r="I898" s="1170"/>
      <c r="J898" s="1170"/>
      <c r="K898" s="1170"/>
      <c r="L898" s="1170"/>
      <c r="M898" s="1170"/>
    </row>
    <row r="899" spans="3:13" ht="14.25" customHeight="1">
      <c r="C899" s="1170"/>
      <c r="D899" s="1170"/>
      <c r="E899" s="1170"/>
      <c r="F899" s="1170"/>
      <c r="G899" s="1170"/>
      <c r="H899" s="1170"/>
      <c r="I899" s="1170"/>
      <c r="J899" s="1170"/>
      <c r="K899" s="1170"/>
      <c r="L899" s="1170"/>
      <c r="M899" s="1170"/>
    </row>
    <row r="900" spans="3:13" ht="14.25" customHeight="1">
      <c r="C900" s="1170"/>
      <c r="D900" s="1170"/>
      <c r="E900" s="1170"/>
      <c r="F900" s="1170"/>
      <c r="G900" s="1170"/>
      <c r="H900" s="1170"/>
      <c r="I900" s="1170"/>
      <c r="J900" s="1170"/>
      <c r="K900" s="1170"/>
      <c r="L900" s="1170"/>
      <c r="M900" s="1170"/>
    </row>
    <row r="901" spans="3:13" ht="14.25" customHeight="1">
      <c r="C901" s="1170"/>
      <c r="D901" s="1170"/>
      <c r="E901" s="1170"/>
      <c r="F901" s="1170"/>
      <c r="G901" s="1170"/>
      <c r="H901" s="1170"/>
      <c r="I901" s="1170"/>
      <c r="J901" s="1170"/>
      <c r="K901" s="1170"/>
      <c r="L901" s="1170"/>
      <c r="M901" s="1170"/>
    </row>
    <row r="902" spans="3:13" ht="14.25" customHeight="1">
      <c r="C902" s="1170"/>
      <c r="D902" s="1170"/>
      <c r="E902" s="1170"/>
      <c r="F902" s="1170"/>
      <c r="G902" s="1170"/>
      <c r="H902" s="1170"/>
      <c r="I902" s="1170"/>
      <c r="J902" s="1170"/>
      <c r="K902" s="1170"/>
      <c r="L902" s="1170"/>
      <c r="M902" s="1170"/>
    </row>
    <row r="903" spans="3:13" ht="14.25" customHeight="1">
      <c r="C903" s="1170"/>
      <c r="D903" s="1170"/>
      <c r="E903" s="1170"/>
      <c r="F903" s="1170"/>
      <c r="G903" s="1170"/>
      <c r="H903" s="1170"/>
      <c r="I903" s="1170"/>
      <c r="J903" s="1170"/>
      <c r="K903" s="1170"/>
      <c r="L903" s="1170"/>
      <c r="M903" s="1170"/>
    </row>
    <row r="904" spans="3:13" ht="14.25" customHeight="1">
      <c r="C904" s="1170"/>
      <c r="D904" s="1170"/>
      <c r="E904" s="1170"/>
      <c r="F904" s="1170"/>
      <c r="G904" s="1170"/>
      <c r="H904" s="1170"/>
      <c r="I904" s="1170"/>
      <c r="J904" s="1170"/>
      <c r="K904" s="1170"/>
      <c r="L904" s="1170"/>
      <c r="M904" s="1170"/>
    </row>
    <row r="905" spans="3:13" ht="14.25" customHeight="1">
      <c r="C905" s="1170"/>
      <c r="D905" s="1170"/>
      <c r="E905" s="1170"/>
      <c r="F905" s="1170"/>
      <c r="G905" s="1170"/>
      <c r="H905" s="1170"/>
      <c r="I905" s="1170"/>
      <c r="J905" s="1170"/>
      <c r="K905" s="1170"/>
      <c r="L905" s="1170"/>
      <c r="M905" s="1170"/>
    </row>
    <row r="906" spans="3:13" ht="14.25" customHeight="1">
      <c r="C906" s="1170"/>
      <c r="D906" s="1170"/>
      <c r="E906" s="1170"/>
      <c r="F906" s="1170"/>
      <c r="G906" s="1170"/>
      <c r="H906" s="1170"/>
      <c r="I906" s="1170"/>
      <c r="J906" s="1170"/>
      <c r="K906" s="1170"/>
      <c r="L906" s="1170"/>
      <c r="M906" s="1170"/>
    </row>
    <row r="907" spans="3:13" ht="14.25" customHeight="1">
      <c r="C907" s="1170"/>
      <c r="D907" s="1170"/>
      <c r="E907" s="1170"/>
      <c r="F907" s="1170"/>
      <c r="G907" s="1170"/>
      <c r="H907" s="1170"/>
      <c r="I907" s="1170"/>
      <c r="J907" s="1170"/>
      <c r="K907" s="1170"/>
      <c r="L907" s="1170"/>
      <c r="M907" s="1170"/>
    </row>
    <row r="908" spans="3:13" ht="14.25" customHeight="1">
      <c r="C908" s="1170"/>
      <c r="D908" s="1170"/>
      <c r="E908" s="1170"/>
      <c r="F908" s="1170"/>
      <c r="G908" s="1170"/>
      <c r="H908" s="1170"/>
      <c r="I908" s="1170"/>
      <c r="J908" s="1170"/>
      <c r="K908" s="1170"/>
      <c r="L908" s="1170"/>
      <c r="M908" s="1170"/>
    </row>
    <row r="909" spans="3:13" ht="14.25" customHeight="1">
      <c r="C909" s="1170"/>
      <c r="D909" s="1170"/>
      <c r="E909" s="1170"/>
      <c r="F909" s="1170"/>
      <c r="G909" s="1170"/>
      <c r="H909" s="1170"/>
      <c r="I909" s="1170"/>
      <c r="J909" s="1170"/>
      <c r="K909" s="1170"/>
      <c r="L909" s="1170"/>
      <c r="M909" s="1170"/>
    </row>
    <row r="910" spans="3:13" ht="14.25" customHeight="1">
      <c r="C910" s="1170"/>
      <c r="D910" s="1170"/>
      <c r="E910" s="1170"/>
      <c r="F910" s="1170"/>
      <c r="G910" s="1170"/>
      <c r="H910" s="1170"/>
      <c r="I910" s="1170"/>
      <c r="J910" s="1170"/>
      <c r="K910" s="1170"/>
      <c r="L910" s="1170"/>
      <c r="M910" s="1170"/>
    </row>
    <row r="911" spans="3:13" ht="14.25" customHeight="1">
      <c r="C911" s="1170"/>
      <c r="D911" s="1170"/>
      <c r="E911" s="1170"/>
      <c r="F911" s="1170"/>
      <c r="G911" s="1170"/>
      <c r="H911" s="1170"/>
      <c r="I911" s="1170"/>
      <c r="J911" s="1170"/>
      <c r="K911" s="1170"/>
      <c r="L911" s="1170"/>
      <c r="M911" s="1170"/>
    </row>
    <row r="912" spans="3:13" ht="14.25" customHeight="1">
      <c r="C912" s="1170"/>
      <c r="D912" s="1170"/>
      <c r="E912" s="1170"/>
      <c r="F912" s="1170"/>
      <c r="G912" s="1170"/>
      <c r="H912" s="1170"/>
      <c r="I912" s="1170"/>
      <c r="J912" s="1170"/>
      <c r="K912" s="1170"/>
      <c r="L912" s="1170"/>
      <c r="M912" s="1170"/>
    </row>
    <row r="913" spans="3:13" ht="14.25" customHeight="1">
      <c r="C913" s="1170"/>
      <c r="D913" s="1170"/>
      <c r="E913" s="1170"/>
      <c r="F913" s="1170"/>
      <c r="G913" s="1170"/>
      <c r="H913" s="1170"/>
      <c r="I913" s="1170"/>
      <c r="J913" s="1170"/>
      <c r="K913" s="1170"/>
      <c r="L913" s="1170"/>
      <c r="M913" s="1170"/>
    </row>
    <row r="914" spans="3:13" ht="14.25" customHeight="1">
      <c r="C914" s="1170"/>
      <c r="D914" s="1170"/>
      <c r="E914" s="1170"/>
      <c r="F914" s="1170"/>
      <c r="G914" s="1170"/>
      <c r="H914" s="1170"/>
      <c r="I914" s="1170"/>
      <c r="J914" s="1170"/>
      <c r="K914" s="1170"/>
      <c r="L914" s="1170"/>
      <c r="M914" s="1170"/>
    </row>
    <row r="915" spans="3:13" ht="14.25" customHeight="1">
      <c r="C915" s="1170"/>
      <c r="D915" s="1170"/>
      <c r="E915" s="1170"/>
      <c r="F915" s="1170"/>
      <c r="G915" s="1170"/>
      <c r="H915" s="1170"/>
      <c r="I915" s="1170"/>
      <c r="J915" s="1170"/>
      <c r="K915" s="1170"/>
      <c r="L915" s="1170"/>
      <c r="M915" s="1170"/>
    </row>
    <row r="916" spans="3:13" ht="14.25" customHeight="1">
      <c r="C916" s="1170"/>
      <c r="D916" s="1170"/>
      <c r="E916" s="1170"/>
      <c r="F916" s="1170"/>
      <c r="G916" s="1170"/>
      <c r="H916" s="1170"/>
      <c r="I916" s="1170"/>
      <c r="J916" s="1170"/>
      <c r="K916" s="1170"/>
      <c r="L916" s="1170"/>
      <c r="M916" s="1170"/>
    </row>
    <row r="917" spans="3:13" ht="14.25" customHeight="1">
      <c r="C917" s="1170"/>
      <c r="D917" s="1170"/>
      <c r="E917" s="1170"/>
      <c r="F917" s="1170"/>
      <c r="G917" s="1170"/>
      <c r="H917" s="1170"/>
      <c r="I917" s="1170"/>
      <c r="J917" s="1170"/>
      <c r="K917" s="1170"/>
      <c r="L917" s="1170"/>
      <c r="M917" s="1170"/>
    </row>
    <row r="918" spans="3:13" ht="14.25" customHeight="1">
      <c r="C918" s="1170"/>
      <c r="D918" s="1170"/>
      <c r="E918" s="1170"/>
      <c r="F918" s="1170"/>
      <c r="G918" s="1170"/>
      <c r="H918" s="1170"/>
      <c r="I918" s="1170"/>
      <c r="J918" s="1170"/>
      <c r="K918" s="1170"/>
      <c r="L918" s="1170"/>
      <c r="M918" s="1170"/>
    </row>
    <row r="919" spans="3:13" ht="14.25" customHeight="1">
      <c r="C919" s="1170"/>
      <c r="D919" s="1170"/>
      <c r="E919" s="1170"/>
      <c r="F919" s="1170"/>
      <c r="G919" s="1170"/>
      <c r="H919" s="1170"/>
      <c r="I919" s="1170"/>
      <c r="J919" s="1170"/>
      <c r="K919" s="1170"/>
      <c r="L919" s="1170"/>
      <c r="M919" s="1170"/>
    </row>
    <row r="920" spans="3:13" ht="14.25" customHeight="1">
      <c r="C920" s="1170"/>
      <c r="D920" s="1170"/>
      <c r="E920" s="1170"/>
      <c r="F920" s="1170"/>
      <c r="G920" s="1170"/>
      <c r="H920" s="1170"/>
      <c r="I920" s="1170"/>
      <c r="J920" s="1170"/>
      <c r="K920" s="1170"/>
      <c r="L920" s="1170"/>
      <c r="M920" s="1170"/>
    </row>
    <row r="921" spans="3:13" ht="14.25" customHeight="1">
      <c r="C921" s="1170"/>
      <c r="D921" s="1170"/>
      <c r="E921" s="1170"/>
      <c r="F921" s="1170"/>
      <c r="G921" s="1170"/>
      <c r="H921" s="1170"/>
      <c r="I921" s="1170"/>
      <c r="J921" s="1170"/>
      <c r="K921" s="1170"/>
      <c r="L921" s="1170"/>
      <c r="M921" s="1170"/>
    </row>
    <row r="922" spans="3:13" ht="14.25" customHeight="1">
      <c r="C922" s="1170"/>
      <c r="D922" s="1170"/>
      <c r="E922" s="1170"/>
      <c r="F922" s="1170"/>
      <c r="G922" s="1170"/>
      <c r="H922" s="1170"/>
      <c r="I922" s="1170"/>
      <c r="J922" s="1170"/>
      <c r="K922" s="1170"/>
      <c r="L922" s="1170"/>
      <c r="M922" s="1170"/>
    </row>
    <row r="923" spans="3:13" ht="14.25" customHeight="1">
      <c r="C923" s="1170"/>
      <c r="D923" s="1170"/>
      <c r="E923" s="1170"/>
      <c r="F923" s="1170"/>
      <c r="G923" s="1170"/>
      <c r="H923" s="1170"/>
      <c r="I923" s="1170"/>
      <c r="J923" s="1170"/>
      <c r="K923" s="1170"/>
      <c r="L923" s="1170"/>
      <c r="M923" s="1170"/>
    </row>
    <row r="924" spans="3:13" ht="14.25" customHeight="1">
      <c r="C924" s="1170"/>
      <c r="D924" s="1170"/>
      <c r="E924" s="1170"/>
      <c r="F924" s="1170"/>
      <c r="G924" s="1170"/>
      <c r="H924" s="1170"/>
      <c r="I924" s="1170"/>
      <c r="J924" s="1170"/>
      <c r="K924" s="1170"/>
      <c r="L924" s="1170"/>
      <c r="M924" s="1170"/>
    </row>
    <row r="925" spans="3:13" ht="14.25" customHeight="1">
      <c r="C925" s="1170"/>
      <c r="D925" s="1170"/>
      <c r="E925" s="1170"/>
      <c r="F925" s="1170"/>
      <c r="G925" s="1170"/>
      <c r="H925" s="1170"/>
      <c r="I925" s="1170"/>
      <c r="J925" s="1170"/>
      <c r="K925" s="1170"/>
      <c r="L925" s="1170"/>
      <c r="M925" s="1170"/>
    </row>
    <row r="926" spans="3:13" ht="14.25" customHeight="1">
      <c r="C926" s="1170"/>
      <c r="D926" s="1170"/>
      <c r="E926" s="1170"/>
      <c r="F926" s="1170"/>
      <c r="G926" s="1170"/>
      <c r="H926" s="1170"/>
      <c r="I926" s="1170"/>
      <c r="J926" s="1170"/>
      <c r="K926" s="1170"/>
      <c r="L926" s="1170"/>
      <c r="M926" s="1170"/>
    </row>
    <row r="927" spans="3:13" ht="14.25" customHeight="1">
      <c r="C927" s="1170"/>
      <c r="D927" s="1170"/>
      <c r="E927" s="1170"/>
      <c r="F927" s="1170"/>
      <c r="G927" s="1170"/>
      <c r="H927" s="1170"/>
      <c r="I927" s="1170"/>
      <c r="J927" s="1170"/>
      <c r="K927" s="1170"/>
      <c r="L927" s="1170"/>
      <c r="M927" s="1170"/>
    </row>
    <row r="928" spans="3:13" ht="14.25" customHeight="1">
      <c r="C928" s="1170"/>
      <c r="D928" s="1170"/>
      <c r="E928" s="1170"/>
      <c r="F928" s="1170"/>
      <c r="G928" s="1170"/>
      <c r="H928" s="1170"/>
      <c r="I928" s="1170"/>
      <c r="J928" s="1170"/>
      <c r="K928" s="1170"/>
      <c r="L928" s="1170"/>
      <c r="M928" s="1170"/>
    </row>
    <row r="929" spans="3:13" ht="14.25" customHeight="1">
      <c r="C929" s="1170"/>
      <c r="D929" s="1170"/>
      <c r="E929" s="1170"/>
      <c r="F929" s="1170"/>
      <c r="G929" s="1170"/>
      <c r="H929" s="1170"/>
      <c r="I929" s="1170"/>
      <c r="J929" s="1170"/>
      <c r="K929" s="1170"/>
      <c r="L929" s="1170"/>
      <c r="M929" s="1170"/>
    </row>
    <row r="930" spans="3:13" ht="14.25" customHeight="1">
      <c r="C930" s="1170"/>
      <c r="D930" s="1170"/>
      <c r="E930" s="1170"/>
      <c r="F930" s="1170"/>
      <c r="G930" s="1170"/>
      <c r="H930" s="1170"/>
      <c r="I930" s="1170"/>
      <c r="J930" s="1170"/>
      <c r="K930" s="1170"/>
      <c r="L930" s="1170"/>
      <c r="M930" s="1170"/>
    </row>
    <row r="931" spans="3:13" ht="14.25" customHeight="1">
      <c r="C931" s="1170"/>
      <c r="D931" s="1170"/>
      <c r="E931" s="1170"/>
      <c r="F931" s="1170"/>
      <c r="G931" s="1170"/>
      <c r="H931" s="1170"/>
      <c r="I931" s="1170"/>
      <c r="J931" s="1170"/>
      <c r="K931" s="1170"/>
      <c r="L931" s="1170"/>
      <c r="M931" s="1170"/>
    </row>
    <row r="932" spans="3:13" ht="14.25" customHeight="1">
      <c r="C932" s="1170"/>
      <c r="D932" s="1170"/>
      <c r="E932" s="1170"/>
      <c r="F932" s="1170"/>
      <c r="G932" s="1170"/>
      <c r="H932" s="1170"/>
      <c r="I932" s="1170"/>
      <c r="J932" s="1170"/>
      <c r="K932" s="1170"/>
      <c r="L932" s="1170"/>
      <c r="M932" s="1170"/>
    </row>
    <row r="933" spans="3:13" ht="14.25" customHeight="1">
      <c r="C933" s="1170"/>
      <c r="D933" s="1170"/>
      <c r="E933" s="1170"/>
      <c r="F933" s="1170"/>
      <c r="G933" s="1170"/>
      <c r="H933" s="1170"/>
      <c r="I933" s="1170"/>
      <c r="J933" s="1170"/>
      <c r="K933" s="1170"/>
      <c r="L933" s="1170"/>
      <c r="M933" s="1170"/>
    </row>
    <row r="934" spans="3:13" ht="14.25" customHeight="1">
      <c r="C934" s="1170"/>
      <c r="D934" s="1170"/>
      <c r="E934" s="1170"/>
      <c r="F934" s="1170"/>
      <c r="G934" s="1170"/>
      <c r="H934" s="1170"/>
      <c r="I934" s="1170"/>
      <c r="J934" s="1170"/>
      <c r="K934" s="1170"/>
      <c r="L934" s="1170"/>
      <c r="M934" s="1170"/>
    </row>
    <row r="935" spans="3:13" ht="14.25" customHeight="1">
      <c r="C935" s="1170"/>
      <c r="D935" s="1170"/>
      <c r="E935" s="1170"/>
      <c r="F935" s="1170"/>
      <c r="G935" s="1170"/>
      <c r="H935" s="1170"/>
      <c r="I935" s="1170"/>
      <c r="J935" s="1170"/>
      <c r="K935" s="1170"/>
      <c r="L935" s="1170"/>
      <c r="M935" s="1170"/>
    </row>
    <row r="936" spans="3:13" ht="14.25" customHeight="1">
      <c r="C936" s="1170"/>
      <c r="D936" s="1170"/>
      <c r="E936" s="1170"/>
      <c r="F936" s="1170"/>
      <c r="G936" s="1170"/>
      <c r="H936" s="1170"/>
      <c r="I936" s="1170"/>
      <c r="J936" s="1170"/>
      <c r="K936" s="1170"/>
      <c r="L936" s="1170"/>
      <c r="M936" s="1170"/>
    </row>
    <row r="937" spans="3:13" ht="14.25" customHeight="1">
      <c r="C937" s="1170"/>
      <c r="D937" s="1170"/>
      <c r="E937" s="1170"/>
      <c r="F937" s="1170"/>
      <c r="G937" s="1170"/>
      <c r="H937" s="1170"/>
      <c r="I937" s="1170"/>
      <c r="J937" s="1170"/>
      <c r="K937" s="1170"/>
      <c r="L937" s="1170"/>
      <c r="M937" s="1170"/>
    </row>
    <row r="938" spans="3:13" ht="14.25" customHeight="1">
      <c r="C938" s="1170"/>
      <c r="D938" s="1170"/>
      <c r="E938" s="1170"/>
      <c r="F938" s="1170"/>
      <c r="G938" s="1170"/>
      <c r="H938" s="1170"/>
      <c r="I938" s="1170"/>
      <c r="J938" s="1170"/>
      <c r="K938" s="1170"/>
      <c r="L938" s="1170"/>
      <c r="M938" s="1170"/>
    </row>
    <row r="939" spans="3:13" ht="14.25" customHeight="1">
      <c r="C939" s="1170"/>
      <c r="D939" s="1170"/>
      <c r="E939" s="1170"/>
      <c r="F939" s="1170"/>
      <c r="G939" s="1170"/>
      <c r="H939" s="1170"/>
      <c r="I939" s="1170"/>
      <c r="J939" s="1170"/>
      <c r="K939" s="1170"/>
      <c r="L939" s="1170"/>
      <c r="M939" s="1170"/>
    </row>
    <row r="940" spans="3:13" ht="14.25" customHeight="1">
      <c r="C940" s="1170"/>
      <c r="D940" s="1170"/>
      <c r="E940" s="1170"/>
      <c r="F940" s="1170"/>
      <c r="G940" s="1170"/>
      <c r="H940" s="1170"/>
      <c r="I940" s="1170"/>
      <c r="J940" s="1170"/>
      <c r="K940" s="1170"/>
      <c r="L940" s="1170"/>
      <c r="M940" s="1170"/>
    </row>
    <row r="941" spans="3:13" ht="14.25" customHeight="1">
      <c r="C941" s="1170"/>
      <c r="D941" s="1170"/>
      <c r="E941" s="1170"/>
      <c r="F941" s="1170"/>
      <c r="G941" s="1170"/>
      <c r="H941" s="1170"/>
      <c r="I941" s="1170"/>
      <c r="J941" s="1170"/>
      <c r="K941" s="1170"/>
      <c r="L941" s="1170"/>
      <c r="M941" s="1170"/>
    </row>
    <row r="942" spans="3:13" ht="14.25" customHeight="1">
      <c r="C942" s="1170"/>
      <c r="D942" s="1170"/>
      <c r="E942" s="1170"/>
      <c r="F942" s="1170"/>
      <c r="G942" s="1170"/>
      <c r="H942" s="1170"/>
      <c r="I942" s="1170"/>
      <c r="J942" s="1170"/>
      <c r="K942" s="1170"/>
      <c r="L942" s="1170"/>
      <c r="M942" s="1170"/>
    </row>
    <row r="943" spans="3:13" ht="14.25" customHeight="1">
      <c r="C943" s="1170"/>
      <c r="D943" s="1170"/>
      <c r="E943" s="1170"/>
      <c r="F943" s="1170"/>
      <c r="G943" s="1170"/>
      <c r="H943" s="1170"/>
      <c r="I943" s="1170"/>
      <c r="J943" s="1170"/>
      <c r="K943" s="1170"/>
      <c r="L943" s="1170"/>
      <c r="M943" s="1170"/>
    </row>
    <row r="944" spans="3:13" ht="14.25" customHeight="1">
      <c r="C944" s="1170"/>
      <c r="D944" s="1170"/>
      <c r="E944" s="1170"/>
      <c r="F944" s="1170"/>
      <c r="G944" s="1170"/>
      <c r="H944" s="1170"/>
      <c r="I944" s="1170"/>
      <c r="J944" s="1170"/>
      <c r="K944" s="1170"/>
      <c r="L944" s="1170"/>
      <c r="M944" s="1170"/>
    </row>
    <row r="945" spans="3:13" ht="14.25" customHeight="1">
      <c r="C945" s="1170"/>
      <c r="D945" s="1170"/>
      <c r="E945" s="1170"/>
      <c r="F945" s="1170"/>
      <c r="G945" s="1170"/>
      <c r="H945" s="1170"/>
      <c r="I945" s="1170"/>
      <c r="J945" s="1170"/>
      <c r="K945" s="1170"/>
      <c r="L945" s="1170"/>
      <c r="M945" s="1170"/>
    </row>
    <row r="946" spans="3:13" ht="14.25" customHeight="1">
      <c r="C946" s="1170"/>
      <c r="D946" s="1170"/>
      <c r="E946" s="1170"/>
      <c r="F946" s="1170"/>
      <c r="G946" s="1170"/>
      <c r="H946" s="1170"/>
      <c r="I946" s="1170"/>
      <c r="J946" s="1170"/>
      <c r="K946" s="1170"/>
      <c r="L946" s="1170"/>
      <c r="M946" s="1170"/>
    </row>
    <row r="947" spans="3:13" ht="14.25" customHeight="1">
      <c r="C947" s="1170"/>
      <c r="D947" s="1170"/>
      <c r="E947" s="1170"/>
      <c r="F947" s="1170"/>
      <c r="G947" s="1170"/>
      <c r="H947" s="1170"/>
      <c r="I947" s="1170"/>
      <c r="J947" s="1170"/>
      <c r="K947" s="1170"/>
      <c r="L947" s="1170"/>
      <c r="M947" s="1170"/>
    </row>
    <row r="948" spans="3:13" ht="14.25" customHeight="1">
      <c r="C948" s="1170"/>
      <c r="D948" s="1170"/>
      <c r="E948" s="1170"/>
      <c r="F948" s="1170"/>
      <c r="G948" s="1170"/>
      <c r="H948" s="1170"/>
      <c r="I948" s="1170"/>
      <c r="J948" s="1170"/>
      <c r="K948" s="1170"/>
      <c r="L948" s="1170"/>
      <c r="M948" s="1170"/>
    </row>
    <row r="949" spans="3:13" ht="14.25" customHeight="1">
      <c r="C949" s="1170"/>
      <c r="D949" s="1170"/>
      <c r="E949" s="1170"/>
      <c r="F949" s="1170"/>
      <c r="G949" s="1170"/>
      <c r="H949" s="1170"/>
      <c r="I949" s="1170"/>
      <c r="J949" s="1170"/>
      <c r="K949" s="1170"/>
      <c r="L949" s="1170"/>
      <c r="M949" s="1170"/>
    </row>
    <row r="950" spans="3:13" ht="14.25" customHeight="1">
      <c r="C950" s="1170"/>
      <c r="D950" s="1170"/>
      <c r="E950" s="1170"/>
      <c r="F950" s="1170"/>
      <c r="G950" s="1170"/>
      <c r="H950" s="1170"/>
      <c r="I950" s="1170"/>
      <c r="J950" s="1170"/>
      <c r="K950" s="1170"/>
      <c r="L950" s="1170"/>
      <c r="M950" s="1170"/>
    </row>
    <row r="951" spans="3:13" ht="14.25" customHeight="1">
      <c r="C951" s="1170"/>
      <c r="D951" s="1170"/>
      <c r="E951" s="1170"/>
      <c r="F951" s="1170"/>
      <c r="G951" s="1170"/>
      <c r="H951" s="1170"/>
      <c r="I951" s="1170"/>
      <c r="J951" s="1170"/>
      <c r="K951" s="1170"/>
      <c r="L951" s="1170"/>
      <c r="M951" s="1170"/>
    </row>
    <row r="952" spans="3:13" ht="14.25" customHeight="1">
      <c r="C952" s="1170"/>
      <c r="D952" s="1170"/>
      <c r="E952" s="1170"/>
      <c r="F952" s="1170"/>
      <c r="G952" s="1170"/>
      <c r="H952" s="1170"/>
      <c r="I952" s="1170"/>
      <c r="J952" s="1170"/>
      <c r="K952" s="1170"/>
      <c r="L952" s="1170"/>
      <c r="M952" s="1170"/>
    </row>
    <row r="953" spans="3:13" ht="14.25" customHeight="1">
      <c r="C953" s="1170"/>
      <c r="D953" s="1170"/>
      <c r="E953" s="1170"/>
      <c r="F953" s="1170"/>
      <c r="G953" s="1170"/>
      <c r="H953" s="1170"/>
      <c r="I953" s="1170"/>
      <c r="J953" s="1170"/>
      <c r="K953" s="1170"/>
      <c r="L953" s="1170"/>
      <c r="M953" s="1170"/>
    </row>
    <row r="954" spans="3:13" ht="14.25" customHeight="1">
      <c r="C954" s="1170"/>
      <c r="D954" s="1170"/>
      <c r="E954" s="1170"/>
      <c r="F954" s="1170"/>
      <c r="G954" s="1170"/>
      <c r="H954" s="1170"/>
      <c r="I954" s="1170"/>
      <c r="J954" s="1170"/>
      <c r="K954" s="1170"/>
      <c r="L954" s="1170"/>
      <c r="M954" s="1170"/>
    </row>
    <row r="955" spans="3:13" ht="14.25" customHeight="1">
      <c r="C955" s="1170"/>
      <c r="D955" s="1170"/>
      <c r="E955" s="1170"/>
      <c r="F955" s="1170"/>
      <c r="G955" s="1170"/>
      <c r="H955" s="1170"/>
      <c r="I955" s="1170"/>
      <c r="J955" s="1170"/>
      <c r="K955" s="1170"/>
      <c r="L955" s="1170"/>
      <c r="M955" s="1170"/>
    </row>
    <row r="956" spans="3:13" ht="14.25" customHeight="1">
      <c r="C956" s="1170"/>
      <c r="D956" s="1170"/>
      <c r="E956" s="1170"/>
      <c r="F956" s="1170"/>
      <c r="G956" s="1170"/>
      <c r="H956" s="1170"/>
      <c r="I956" s="1170"/>
      <c r="J956" s="1170"/>
      <c r="K956" s="1170"/>
      <c r="L956" s="1170"/>
      <c r="M956" s="1170"/>
    </row>
    <row r="957" spans="3:13" ht="14.25" customHeight="1">
      <c r="C957" s="1170"/>
      <c r="D957" s="1170"/>
      <c r="E957" s="1170"/>
      <c r="F957" s="1170"/>
      <c r="G957" s="1170"/>
      <c r="H957" s="1170"/>
      <c r="I957" s="1170"/>
      <c r="J957" s="1170"/>
      <c r="K957" s="1170"/>
      <c r="L957" s="1170"/>
      <c r="M957" s="1170"/>
    </row>
    <row r="958" spans="3:13" ht="14.25" customHeight="1">
      <c r="C958" s="1170"/>
      <c r="D958" s="1170"/>
      <c r="E958" s="1170"/>
      <c r="F958" s="1170"/>
      <c r="G958" s="1170"/>
      <c r="H958" s="1170"/>
      <c r="I958" s="1170"/>
      <c r="J958" s="1170"/>
      <c r="K958" s="1170"/>
      <c r="L958" s="1170"/>
      <c r="M958" s="1170"/>
    </row>
    <row r="959" spans="3:13" ht="14.25" customHeight="1">
      <c r="C959" s="1170"/>
      <c r="D959" s="1170"/>
      <c r="E959" s="1170"/>
      <c r="F959" s="1170"/>
      <c r="G959" s="1170"/>
      <c r="H959" s="1170"/>
      <c r="I959" s="1170"/>
      <c r="J959" s="1170"/>
      <c r="K959" s="1170"/>
      <c r="L959" s="1170"/>
      <c r="M959" s="1170"/>
    </row>
  </sheetData>
  <pageMargins left="0.7" right="0.7" top="0.75" bottom="0.75" header="0.511811023622047" footer="0.511811023622047"/>
  <pageSetup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Y780"/>
  <sheetViews>
    <sheetView topLeftCell="A3" zoomScaleNormal="100" workbookViewId="0">
      <pane ySplit="2" topLeftCell="A213" activePane="bottomLeft" state="frozen"/>
      <selection activeCell="A3" sqref="A3"/>
      <selection pane="bottomLeft" activeCell="B245" sqref="B245"/>
    </sheetView>
  </sheetViews>
  <sheetFormatPr baseColWidth="10" defaultColWidth="9.1640625" defaultRowHeight="15"/>
  <cols>
    <col min="1" max="1" width="9.1640625" style="399"/>
    <col min="2" max="2" width="50.5" style="399" customWidth="1"/>
    <col min="3" max="5" width="12.5" style="399" customWidth="1"/>
    <col min="6" max="12" width="10.5" style="399" customWidth="1"/>
    <col min="13" max="13" width="8.5" style="399" customWidth="1"/>
    <col min="14" max="14" width="14.5" style="399" customWidth="1"/>
    <col min="15" max="15" width="6.5" style="399" customWidth="1"/>
    <col min="16" max="16" width="15.5" style="399" customWidth="1"/>
    <col min="17" max="17" width="18.1640625" style="399" customWidth="1"/>
    <col min="18" max="18" width="11.83203125" style="399" customWidth="1"/>
    <col min="19" max="20" width="9.1640625" style="399"/>
    <col min="21" max="21" width="12.1640625" style="399" customWidth="1"/>
    <col min="22" max="24" width="9.1640625" style="399"/>
    <col min="25" max="25" width="12.5" style="399" customWidth="1"/>
    <col min="26" max="16384" width="9.1640625" style="399"/>
  </cols>
  <sheetData>
    <row r="1" spans="1:24" ht="24" customHeight="1">
      <c r="A1" s="739" t="s">
        <v>998</v>
      </c>
      <c r="B1" s="398"/>
      <c r="C1" s="398"/>
      <c r="D1" s="398"/>
      <c r="E1" s="398"/>
      <c r="F1" s="398"/>
      <c r="G1" s="398"/>
      <c r="H1" s="398"/>
      <c r="I1" s="398"/>
      <c r="J1" s="398"/>
      <c r="K1" s="398"/>
      <c r="L1" s="398"/>
      <c r="M1" s="398"/>
      <c r="N1" s="398"/>
      <c r="O1" s="398"/>
      <c r="P1" s="398"/>
      <c r="Q1" s="398"/>
      <c r="R1" s="398"/>
      <c r="S1" s="398"/>
      <c r="T1" s="398"/>
      <c r="U1" s="398"/>
      <c r="V1" s="738"/>
      <c r="W1" s="738"/>
      <c r="X1" s="738"/>
    </row>
    <row r="2" spans="1:24" ht="15.75" customHeight="1">
      <c r="A2" s="398"/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398"/>
      <c r="M2" s="398"/>
      <c r="N2" s="398"/>
      <c r="O2" s="398"/>
      <c r="P2" s="398"/>
      <c r="Q2" s="398"/>
      <c r="R2" s="398"/>
      <c r="S2" s="398"/>
      <c r="T2" s="398"/>
      <c r="U2" s="398"/>
      <c r="V2" s="738"/>
      <c r="W2" s="738"/>
      <c r="X2" s="738"/>
    </row>
    <row r="3" spans="1:24" ht="21.75" customHeight="1">
      <c r="A3" s="3245" t="s">
        <v>1</v>
      </c>
      <c r="B3" s="3246" t="s">
        <v>68</v>
      </c>
      <c r="C3" s="3246" t="s">
        <v>77</v>
      </c>
      <c r="D3" s="3246" t="s">
        <v>78</v>
      </c>
      <c r="E3" s="3246" t="s">
        <v>79</v>
      </c>
      <c r="F3" s="3246" t="s">
        <v>6</v>
      </c>
      <c r="G3" s="3246" t="s">
        <v>999</v>
      </c>
      <c r="H3" s="3246" t="s">
        <v>977</v>
      </c>
      <c r="I3" s="3246" t="s">
        <v>978</v>
      </c>
      <c r="J3" s="3246" t="s">
        <v>1000</v>
      </c>
      <c r="K3" s="3246"/>
      <c r="L3" s="3246" t="s">
        <v>213</v>
      </c>
      <c r="M3" s="3246" t="s">
        <v>80</v>
      </c>
      <c r="N3" s="3246" t="s">
        <v>81</v>
      </c>
      <c r="O3" s="3246" t="s">
        <v>82</v>
      </c>
      <c r="P3" s="3256" t="s">
        <v>83</v>
      </c>
      <c r="Q3" s="398"/>
      <c r="R3" s="398"/>
      <c r="S3" s="398"/>
      <c r="T3" s="398"/>
      <c r="U3" s="398"/>
      <c r="V3" s="738"/>
      <c r="W3" s="738"/>
      <c r="X3" s="738"/>
    </row>
    <row r="4" spans="1:24" ht="21.75" customHeight="1">
      <c r="A4" s="3245"/>
      <c r="B4" s="3246"/>
      <c r="C4" s="3246"/>
      <c r="D4" s="3246"/>
      <c r="E4" s="3246"/>
      <c r="F4" s="3246"/>
      <c r="G4" s="3246"/>
      <c r="H4" s="3246"/>
      <c r="I4" s="3246"/>
      <c r="J4" s="556" t="s">
        <v>1001</v>
      </c>
      <c r="K4" s="556" t="s">
        <v>1002</v>
      </c>
      <c r="L4" s="3246"/>
      <c r="M4" s="3246"/>
      <c r="N4" s="3246"/>
      <c r="O4" s="3246"/>
      <c r="P4" s="3256"/>
      <c r="Q4" s="398"/>
      <c r="R4" s="398"/>
      <c r="S4" s="398"/>
      <c r="T4" s="398"/>
      <c r="U4" s="398"/>
      <c r="V4" s="738"/>
      <c r="W4" s="738"/>
      <c r="X4" s="738"/>
    </row>
    <row r="5" spans="1:24" ht="7.5" customHeight="1">
      <c r="A5" s="398"/>
      <c r="B5" s="398"/>
      <c r="C5" s="398"/>
      <c r="D5" s="398"/>
      <c r="E5" s="398"/>
      <c r="F5" s="398"/>
      <c r="G5" s="398"/>
      <c r="H5" s="398"/>
      <c r="I5" s="398"/>
      <c r="J5" s="398"/>
      <c r="K5" s="398"/>
      <c r="L5" s="398"/>
      <c r="M5" s="398"/>
      <c r="N5" s="398"/>
      <c r="O5" s="398"/>
      <c r="P5" s="781"/>
      <c r="Q5" s="398"/>
      <c r="R5" s="398"/>
      <c r="S5" s="398"/>
      <c r="T5" s="398"/>
      <c r="U5" s="398"/>
      <c r="V5" s="738"/>
      <c r="W5" s="738"/>
      <c r="X5" s="738"/>
    </row>
    <row r="6" spans="1:24" ht="7.5" customHeight="1">
      <c r="A6" s="558"/>
      <c r="B6" s="559"/>
      <c r="C6" s="559"/>
      <c r="D6" s="559"/>
      <c r="E6" s="559"/>
      <c r="F6" s="559"/>
      <c r="G6" s="559"/>
      <c r="H6" s="559"/>
      <c r="I6" s="559"/>
      <c r="J6" s="559"/>
      <c r="K6" s="559"/>
      <c r="L6" s="559"/>
      <c r="M6" s="559"/>
      <c r="N6" s="559"/>
      <c r="O6" s="559"/>
      <c r="P6" s="782"/>
      <c r="Q6" s="398"/>
      <c r="R6" s="398"/>
      <c r="S6" s="398"/>
      <c r="T6" s="398"/>
      <c r="U6" s="398"/>
      <c r="V6" s="738"/>
      <c r="W6" s="738"/>
      <c r="X6" s="738"/>
    </row>
    <row r="7" spans="1:24" ht="15.75" customHeight="1">
      <c r="A7" s="346" t="s">
        <v>1162</v>
      </c>
      <c r="B7" s="561" t="s">
        <v>1582</v>
      </c>
      <c r="C7" s="330"/>
      <c r="D7" s="330"/>
      <c r="E7" s="330"/>
      <c r="F7" s="330"/>
      <c r="G7" s="330"/>
      <c r="H7" s="330"/>
      <c r="I7" s="330"/>
      <c r="J7" s="330"/>
      <c r="K7" s="330"/>
      <c r="L7" s="330"/>
      <c r="M7" s="330"/>
      <c r="N7" s="330"/>
      <c r="O7" s="349"/>
      <c r="P7" s="783"/>
      <c r="Q7" s="398"/>
      <c r="R7" s="398"/>
      <c r="S7" s="398"/>
      <c r="T7" s="398"/>
      <c r="U7" s="398"/>
      <c r="V7" s="738"/>
      <c r="W7" s="738"/>
      <c r="X7" s="738"/>
    </row>
    <row r="8" spans="1:24" ht="15.75" customHeight="1">
      <c r="A8" s="346" t="s">
        <v>1164</v>
      </c>
      <c r="B8" s="561" t="s">
        <v>395</v>
      </c>
      <c r="C8" s="330"/>
      <c r="D8" s="330"/>
      <c r="E8" s="330"/>
      <c r="F8" s="330"/>
      <c r="G8" s="330"/>
      <c r="H8" s="330"/>
      <c r="I8" s="330"/>
      <c r="J8" s="330"/>
      <c r="K8" s="330"/>
      <c r="L8" s="330"/>
      <c r="M8" s="330"/>
      <c r="N8" s="330"/>
      <c r="O8" s="349"/>
      <c r="P8" s="784"/>
      <c r="Q8" s="398"/>
      <c r="R8" s="779"/>
      <c r="S8" s="398"/>
      <c r="T8" s="398"/>
      <c r="U8" s="398"/>
      <c r="V8" s="738"/>
      <c r="W8" s="738"/>
      <c r="X8" s="738"/>
    </row>
    <row r="9" spans="1:24" ht="15.75" customHeight="1">
      <c r="A9" s="350">
        <v>1</v>
      </c>
      <c r="B9" s="359" t="s">
        <v>396</v>
      </c>
      <c r="C9" s="330" t="s">
        <v>1005</v>
      </c>
      <c r="D9" s="330"/>
      <c r="E9" s="330"/>
      <c r="F9" s="330"/>
      <c r="G9" s="330"/>
      <c r="H9" s="330"/>
      <c r="I9" s="330"/>
      <c r="J9" s="330"/>
      <c r="K9" s="330"/>
      <c r="L9" s="330"/>
      <c r="M9" s="330"/>
      <c r="N9" s="330"/>
      <c r="O9" s="349"/>
      <c r="P9" s="784"/>
      <c r="Q9" s="398"/>
      <c r="R9" s="779"/>
      <c r="S9" s="398"/>
      <c r="T9" s="398"/>
      <c r="U9" s="398"/>
      <c r="V9" s="738"/>
      <c r="W9" s="738"/>
      <c r="X9" s="738"/>
    </row>
    <row r="10" spans="1:24" ht="15.75" customHeight="1">
      <c r="A10" s="350"/>
      <c r="B10" s="359"/>
      <c r="C10" s="330">
        <f>8+1</f>
        <v>9</v>
      </c>
      <c r="D10" s="330"/>
      <c r="E10" s="330"/>
      <c r="F10" s="330"/>
      <c r="G10" s="330"/>
      <c r="H10" s="330">
        <v>2</v>
      </c>
      <c r="I10" s="330"/>
      <c r="J10" s="330"/>
      <c r="K10" s="330"/>
      <c r="L10" s="330"/>
      <c r="M10" s="330"/>
      <c r="N10" s="330">
        <f>C10*H10</f>
        <v>18</v>
      </c>
      <c r="O10" s="349"/>
      <c r="P10" s="784"/>
      <c r="Q10" s="398"/>
      <c r="R10" s="779"/>
      <c r="S10" s="398"/>
      <c r="T10" s="398"/>
      <c r="U10" s="398"/>
      <c r="V10" s="738"/>
      <c r="W10" s="738"/>
      <c r="X10" s="738"/>
    </row>
    <row r="11" spans="1:24" ht="15.75" customHeight="1">
      <c r="A11" s="350"/>
      <c r="B11" s="359"/>
      <c r="C11" s="330"/>
      <c r="D11" s="330">
        <f>5+1</f>
        <v>6</v>
      </c>
      <c r="E11" s="330"/>
      <c r="F11" s="330"/>
      <c r="G11" s="330"/>
      <c r="H11" s="330">
        <v>2</v>
      </c>
      <c r="I11" s="330"/>
      <c r="J11" s="330"/>
      <c r="K11" s="330"/>
      <c r="L11" s="330"/>
      <c r="M11" s="330"/>
      <c r="N11" s="752">
        <f>D11*H11</f>
        <v>12</v>
      </c>
      <c r="O11" s="349"/>
      <c r="P11" s="784"/>
      <c r="Q11" s="398"/>
      <c r="R11" s="779"/>
      <c r="S11" s="398"/>
      <c r="T11" s="398"/>
      <c r="U11" s="398"/>
      <c r="V11" s="738"/>
      <c r="W11" s="738"/>
      <c r="X11" s="738"/>
    </row>
    <row r="12" spans="1:24" ht="15.75" customHeight="1">
      <c r="A12" s="350"/>
      <c r="B12" s="359"/>
      <c r="C12" s="330"/>
      <c r="D12" s="330"/>
      <c r="E12" s="330"/>
      <c r="F12" s="330"/>
      <c r="G12" s="330"/>
      <c r="H12" s="330"/>
      <c r="I12" s="330"/>
      <c r="J12" s="330"/>
      <c r="K12" s="330"/>
      <c r="L12" s="330"/>
      <c r="M12" s="330"/>
      <c r="N12" s="401">
        <f>SUM(N10:N11)</f>
        <v>30</v>
      </c>
      <c r="O12" s="349" t="s">
        <v>89</v>
      </c>
      <c r="P12" s="784">
        <f>ROUND((N12),2)</f>
        <v>30</v>
      </c>
      <c r="Q12" s="398"/>
      <c r="R12" s="779"/>
      <c r="S12" s="398"/>
      <c r="T12" s="398"/>
      <c r="U12" s="398"/>
      <c r="V12" s="738"/>
      <c r="W12" s="738"/>
      <c r="X12" s="738"/>
    </row>
    <row r="13" spans="1:24" ht="15.75" customHeight="1">
      <c r="A13" s="751">
        <f>A9+1</f>
        <v>2</v>
      </c>
      <c r="B13" s="354" t="s">
        <v>397</v>
      </c>
      <c r="C13" s="330"/>
      <c r="D13" s="330"/>
      <c r="E13" s="330"/>
      <c r="F13" s="330"/>
      <c r="G13" s="330"/>
      <c r="H13" s="330"/>
      <c r="I13" s="330"/>
      <c r="J13" s="330"/>
      <c r="K13" s="330"/>
      <c r="L13" s="330"/>
      <c r="M13" s="330"/>
      <c r="N13" s="330"/>
      <c r="O13" s="349"/>
      <c r="P13" s="784"/>
      <c r="Q13" s="398"/>
      <c r="R13" s="779"/>
      <c r="S13" s="398"/>
      <c r="T13" s="398"/>
      <c r="U13" s="398"/>
      <c r="V13" s="738"/>
      <c r="W13" s="738"/>
      <c r="X13" s="738"/>
    </row>
    <row r="14" spans="1:24" ht="15.75" customHeight="1">
      <c r="A14" s="402" t="s">
        <v>95</v>
      </c>
      <c r="B14" s="354" t="s">
        <v>398</v>
      </c>
      <c r="C14" s="401">
        <v>1</v>
      </c>
      <c r="D14" s="401">
        <v>1</v>
      </c>
      <c r="E14" s="401">
        <f>0.8+0.3+0.03+0.07</f>
        <v>1.2000000000000002</v>
      </c>
      <c r="F14" s="401"/>
      <c r="G14" s="401"/>
      <c r="H14" s="401"/>
      <c r="I14" s="401"/>
      <c r="J14" s="401"/>
      <c r="K14" s="401"/>
      <c r="L14" s="401"/>
      <c r="M14" s="401">
        <v>6</v>
      </c>
      <c r="N14" s="401">
        <f>C14*D14*E14*M14</f>
        <v>7.2000000000000011</v>
      </c>
      <c r="O14" s="349" t="s">
        <v>103</v>
      </c>
      <c r="P14" s="784">
        <f t="shared" ref="P14:P20" si="0">ROUND((N14),2)</f>
        <v>7.2</v>
      </c>
      <c r="Q14" s="398"/>
      <c r="R14" s="779"/>
      <c r="S14" s="398"/>
      <c r="T14" s="398"/>
      <c r="U14" s="398"/>
      <c r="V14" s="738"/>
      <c r="W14" s="738"/>
      <c r="X14" s="738"/>
    </row>
    <row r="15" spans="1:24" ht="15.75" customHeight="1">
      <c r="A15" s="402" t="s">
        <v>98</v>
      </c>
      <c r="B15" s="354" t="s">
        <v>399</v>
      </c>
      <c r="C15" s="401">
        <v>0.8</v>
      </c>
      <c r="D15" s="401">
        <v>0.8</v>
      </c>
      <c r="E15" s="401">
        <v>7.0000000000000007E-2</v>
      </c>
      <c r="F15" s="401"/>
      <c r="G15" s="401"/>
      <c r="H15" s="401"/>
      <c r="I15" s="401"/>
      <c r="J15" s="401"/>
      <c r="K15" s="401"/>
      <c r="L15" s="401"/>
      <c r="M15" s="401">
        <f t="shared" ref="M15:M20" si="1">M14</f>
        <v>6</v>
      </c>
      <c r="N15" s="401">
        <f>C15*D15*E15*M15</f>
        <v>0.26880000000000009</v>
      </c>
      <c r="O15" s="349" t="s">
        <v>103</v>
      </c>
      <c r="P15" s="784">
        <f t="shared" si="0"/>
        <v>0.27</v>
      </c>
      <c r="Q15" s="398"/>
      <c r="R15" s="779"/>
      <c r="S15" s="398"/>
      <c r="T15" s="398"/>
      <c r="U15" s="398"/>
      <c r="V15" s="738"/>
      <c r="W15" s="738"/>
      <c r="X15" s="738"/>
    </row>
    <row r="16" spans="1:24" ht="15.75" customHeight="1">
      <c r="A16" s="402" t="s">
        <v>101</v>
      </c>
      <c r="B16" s="354" t="s">
        <v>400</v>
      </c>
      <c r="C16" s="401">
        <f>C15</f>
        <v>0.8</v>
      </c>
      <c r="D16" s="401">
        <f>D15</f>
        <v>0.8</v>
      </c>
      <c r="E16" s="401">
        <v>0.03</v>
      </c>
      <c r="F16" s="401"/>
      <c r="G16" s="401"/>
      <c r="H16" s="401"/>
      <c r="I16" s="401"/>
      <c r="J16" s="401"/>
      <c r="K16" s="401"/>
      <c r="L16" s="401"/>
      <c r="M16" s="401">
        <f t="shared" si="1"/>
        <v>6</v>
      </c>
      <c r="N16" s="401">
        <f>C16*D16*E16*M16</f>
        <v>0.11520000000000001</v>
      </c>
      <c r="O16" s="349" t="s">
        <v>103</v>
      </c>
      <c r="P16" s="784">
        <f t="shared" si="0"/>
        <v>0.12</v>
      </c>
      <c r="Q16" s="398"/>
      <c r="R16" s="779"/>
      <c r="S16" s="398"/>
      <c r="T16" s="398"/>
      <c r="U16" s="398"/>
      <c r="V16" s="738"/>
      <c r="W16" s="738"/>
      <c r="X16" s="738"/>
    </row>
    <row r="17" spans="1:24" ht="15.75" customHeight="1">
      <c r="A17" s="402" t="s">
        <v>121</v>
      </c>
      <c r="B17" s="354" t="s">
        <v>401</v>
      </c>
      <c r="C17" s="401">
        <v>1</v>
      </c>
      <c r="D17" s="401"/>
      <c r="E17" s="401">
        <v>0.3</v>
      </c>
      <c r="F17" s="401"/>
      <c r="G17" s="401"/>
      <c r="H17" s="401">
        <v>4</v>
      </c>
      <c r="I17" s="401"/>
      <c r="J17" s="401"/>
      <c r="K17" s="401"/>
      <c r="L17" s="401"/>
      <c r="M17" s="401">
        <f t="shared" si="1"/>
        <v>6</v>
      </c>
      <c r="N17" s="401">
        <f>C17*E17*H17*M17</f>
        <v>7.1999999999999993</v>
      </c>
      <c r="O17" s="349" t="s">
        <v>89</v>
      </c>
      <c r="P17" s="784">
        <f t="shared" si="0"/>
        <v>7.2</v>
      </c>
      <c r="Q17" s="398"/>
      <c r="R17" s="779"/>
      <c r="S17" s="398"/>
      <c r="T17" s="398"/>
      <c r="U17" s="398"/>
      <c r="V17" s="738"/>
      <c r="W17" s="738"/>
      <c r="X17" s="738"/>
    </row>
    <row r="18" spans="1:24" ht="15.75" customHeight="1">
      <c r="A18" s="402" t="s">
        <v>142</v>
      </c>
      <c r="B18" s="354" t="s">
        <v>895</v>
      </c>
      <c r="C18" s="401">
        <v>0.65</v>
      </c>
      <c r="D18" s="401"/>
      <c r="E18" s="401"/>
      <c r="F18" s="401">
        <f>13*13*0.006165</f>
        <v>1.041885</v>
      </c>
      <c r="G18" s="401">
        <f>0.15*2</f>
        <v>0.3</v>
      </c>
      <c r="H18" s="401">
        <v>4</v>
      </c>
      <c r="I18" s="401"/>
      <c r="J18" s="401"/>
      <c r="K18" s="401"/>
      <c r="L18" s="401">
        <f>ROUNDUP((C18/0.15),0.5)</f>
        <v>5</v>
      </c>
      <c r="M18" s="401">
        <f t="shared" si="1"/>
        <v>6</v>
      </c>
      <c r="N18" s="401">
        <f>(C18+G18)*F18*H18*L18*M18</f>
        <v>118.77488999999998</v>
      </c>
      <c r="O18" s="349" t="s">
        <v>100</v>
      </c>
      <c r="P18" s="784">
        <f t="shared" si="0"/>
        <v>118.77</v>
      </c>
      <c r="Q18" s="398"/>
      <c r="R18" s="779"/>
      <c r="S18" s="398"/>
      <c r="T18" s="398"/>
      <c r="U18" s="398"/>
      <c r="V18" s="738"/>
      <c r="W18" s="738"/>
      <c r="X18" s="738"/>
    </row>
    <row r="19" spans="1:24" ht="15.75" customHeight="1">
      <c r="A19" s="402" t="s">
        <v>217</v>
      </c>
      <c r="B19" s="356" t="s">
        <v>646</v>
      </c>
      <c r="C19" s="401">
        <f>C16</f>
        <v>0.8</v>
      </c>
      <c r="D19" s="401">
        <f>D16</f>
        <v>0.8</v>
      </c>
      <c r="E19" s="401">
        <f>E17</f>
        <v>0.3</v>
      </c>
      <c r="F19" s="401"/>
      <c r="G19" s="401"/>
      <c r="H19" s="401"/>
      <c r="I19" s="401"/>
      <c r="J19" s="401"/>
      <c r="K19" s="401"/>
      <c r="L19" s="401"/>
      <c r="M19" s="401">
        <f t="shared" si="1"/>
        <v>6</v>
      </c>
      <c r="N19" s="401">
        <f>C19*D19*E19*M19</f>
        <v>1.1520000000000001</v>
      </c>
      <c r="O19" s="349" t="s">
        <v>103</v>
      </c>
      <c r="P19" s="784">
        <f t="shared" si="0"/>
        <v>1.1499999999999999</v>
      </c>
      <c r="Q19" s="398"/>
      <c r="R19" s="779"/>
      <c r="S19" s="398"/>
      <c r="T19" s="398"/>
      <c r="U19" s="398"/>
      <c r="V19" s="738"/>
      <c r="W19" s="738"/>
      <c r="X19" s="738"/>
    </row>
    <row r="20" spans="1:24" ht="15.75" customHeight="1">
      <c r="A20" s="402" t="s">
        <v>366</v>
      </c>
      <c r="B20" s="354" t="s">
        <v>383</v>
      </c>
      <c r="C20" s="401"/>
      <c r="D20" s="401"/>
      <c r="E20" s="401">
        <v>4</v>
      </c>
      <c r="F20" s="401"/>
      <c r="G20" s="401"/>
      <c r="H20" s="401"/>
      <c r="I20" s="401"/>
      <c r="J20" s="401"/>
      <c r="K20" s="401"/>
      <c r="L20" s="401">
        <v>5</v>
      </c>
      <c r="M20" s="401">
        <f t="shared" si="1"/>
        <v>6</v>
      </c>
      <c r="N20" s="401">
        <f>E20*L20*M20</f>
        <v>120</v>
      </c>
      <c r="O20" s="349" t="s">
        <v>117</v>
      </c>
      <c r="P20" s="784">
        <f t="shared" si="0"/>
        <v>120</v>
      </c>
      <c r="Q20" s="398"/>
      <c r="R20" s="779"/>
      <c r="S20" s="398"/>
      <c r="T20" s="398"/>
      <c r="U20" s="398"/>
      <c r="V20" s="738"/>
      <c r="W20" s="738"/>
      <c r="X20" s="738"/>
    </row>
    <row r="21" spans="1:24" ht="15.75" customHeight="1">
      <c r="A21" s="350">
        <f>A13+1</f>
        <v>3</v>
      </c>
      <c r="B21" s="359" t="s">
        <v>403</v>
      </c>
      <c r="C21" s="330"/>
      <c r="D21" s="330"/>
      <c r="E21" s="330"/>
      <c r="F21" s="330"/>
      <c r="G21" s="330"/>
      <c r="H21" s="330"/>
      <c r="I21" s="330"/>
      <c r="J21" s="330"/>
      <c r="K21" s="330"/>
      <c r="L21" s="330"/>
      <c r="M21" s="330"/>
      <c r="N21" s="330"/>
      <c r="O21" s="349"/>
      <c r="P21" s="784"/>
      <c r="Q21" s="398"/>
      <c r="R21" s="779"/>
      <c r="S21" s="398"/>
      <c r="T21" s="398"/>
      <c r="U21" s="398"/>
      <c r="V21" s="738"/>
      <c r="W21" s="738"/>
      <c r="X21" s="738"/>
    </row>
    <row r="22" spans="1:24" ht="15.75" customHeight="1">
      <c r="A22" s="355" t="s">
        <v>95</v>
      </c>
      <c r="B22" s="359" t="s">
        <v>930</v>
      </c>
      <c r="C22" s="330"/>
      <c r="D22" s="818"/>
      <c r="E22" s="330"/>
      <c r="F22" s="330"/>
      <c r="G22" s="330"/>
      <c r="H22" s="330"/>
      <c r="I22" s="330"/>
      <c r="J22" s="330"/>
      <c r="K22" s="330"/>
      <c r="L22" s="330"/>
      <c r="M22" s="330"/>
      <c r="N22" s="330"/>
      <c r="O22" s="349"/>
      <c r="P22" s="784"/>
      <c r="Q22" s="398"/>
      <c r="R22" s="779"/>
      <c r="S22" s="398"/>
      <c r="T22" s="398"/>
      <c r="U22" s="398"/>
      <c r="V22" s="738"/>
      <c r="W22" s="738"/>
      <c r="X22" s="738"/>
    </row>
    <row r="23" spans="1:24" ht="15.75" customHeight="1">
      <c r="A23" s="355"/>
      <c r="B23" s="567" t="s">
        <v>227</v>
      </c>
      <c r="C23" s="330">
        <v>8</v>
      </c>
      <c r="D23" s="330">
        <v>0.8</v>
      </c>
      <c r="E23" s="330">
        <v>0.9</v>
      </c>
      <c r="F23" s="330"/>
      <c r="G23" s="330"/>
      <c r="H23" s="330"/>
      <c r="I23" s="330"/>
      <c r="J23" s="330"/>
      <c r="K23" s="330"/>
      <c r="L23" s="330"/>
      <c r="M23" s="330">
        <v>2</v>
      </c>
      <c r="N23" s="330">
        <f>C23*D23*E23*M23</f>
        <v>11.520000000000001</v>
      </c>
      <c r="O23" s="349"/>
      <c r="P23" s="784"/>
      <c r="Q23" s="398"/>
      <c r="R23" s="779"/>
      <c r="S23" s="398"/>
      <c r="T23" s="398"/>
      <c r="U23" s="398"/>
      <c r="V23" s="738"/>
      <c r="W23" s="738"/>
      <c r="X23" s="738"/>
    </row>
    <row r="24" spans="1:24" ht="15.75" customHeight="1">
      <c r="A24" s="355"/>
      <c r="B24" s="567" t="s">
        <v>202</v>
      </c>
      <c r="C24" s="330">
        <v>5</v>
      </c>
      <c r="D24" s="330">
        <f>D23</f>
        <v>0.8</v>
      </c>
      <c r="E24" s="330">
        <f>E23</f>
        <v>0.9</v>
      </c>
      <c r="F24" s="330"/>
      <c r="G24" s="330"/>
      <c r="H24" s="330"/>
      <c r="I24" s="330"/>
      <c r="J24" s="330"/>
      <c r="K24" s="330"/>
      <c r="L24" s="330"/>
      <c r="M24" s="330">
        <v>3</v>
      </c>
      <c r="N24" s="752">
        <f>C24*D24*E24*M24</f>
        <v>10.8</v>
      </c>
      <c r="O24" s="349"/>
      <c r="P24" s="784"/>
      <c r="Q24" s="398"/>
      <c r="R24" s="779"/>
      <c r="S24" s="398"/>
      <c r="T24" s="398"/>
      <c r="U24" s="398"/>
      <c r="V24" s="738"/>
      <c r="W24" s="738"/>
      <c r="X24" s="738"/>
    </row>
    <row r="25" spans="1:24" ht="15.75" customHeight="1">
      <c r="A25" s="355"/>
      <c r="B25" s="359"/>
      <c r="C25" s="330"/>
      <c r="D25" s="330"/>
      <c r="E25" s="330"/>
      <c r="F25" s="330"/>
      <c r="G25" s="330"/>
      <c r="H25" s="330"/>
      <c r="I25" s="330"/>
      <c r="J25" s="330"/>
      <c r="K25" s="330"/>
      <c r="L25" s="330"/>
      <c r="M25" s="330"/>
      <c r="N25" s="401">
        <f>SUM(N23:N24)</f>
        <v>22.32</v>
      </c>
      <c r="O25" s="349" t="s">
        <v>103</v>
      </c>
      <c r="P25" s="784">
        <f>ROUND((N25),2)</f>
        <v>22.32</v>
      </c>
      <c r="Q25" s="398"/>
      <c r="R25" s="779"/>
      <c r="S25" s="398"/>
      <c r="T25" s="398"/>
      <c r="U25" s="398"/>
      <c r="V25" s="738"/>
      <c r="W25" s="738"/>
      <c r="X25" s="738"/>
    </row>
    <row r="26" spans="1:24" ht="15.75" customHeight="1">
      <c r="A26" s="404" t="s">
        <v>98</v>
      </c>
      <c r="B26" s="357" t="s">
        <v>405</v>
      </c>
      <c r="C26" s="330"/>
      <c r="D26" s="330"/>
      <c r="E26" s="330"/>
      <c r="F26" s="401"/>
      <c r="G26" s="401"/>
      <c r="H26" s="330"/>
      <c r="I26" s="401"/>
      <c r="J26" s="401"/>
      <c r="K26" s="330"/>
      <c r="L26" s="330"/>
      <c r="M26" s="401"/>
      <c r="N26" s="330"/>
      <c r="O26" s="330"/>
      <c r="P26" s="784"/>
      <c r="Q26" s="398"/>
      <c r="R26" s="779"/>
      <c r="S26" s="398"/>
      <c r="T26" s="398"/>
      <c r="U26" s="398"/>
      <c r="V26" s="738"/>
      <c r="W26" s="738"/>
      <c r="X26" s="738"/>
    </row>
    <row r="27" spans="1:24" ht="15.75" customHeight="1">
      <c r="A27" s="404"/>
      <c r="B27" s="569" t="str">
        <f>B23</f>
        <v>vertikal</v>
      </c>
      <c r="C27" s="330">
        <f>C23</f>
        <v>8</v>
      </c>
      <c r="D27" s="330"/>
      <c r="E27" s="330"/>
      <c r="F27" s="401"/>
      <c r="G27" s="401"/>
      <c r="H27" s="330"/>
      <c r="I27" s="401"/>
      <c r="J27" s="401"/>
      <c r="K27" s="330"/>
      <c r="L27" s="330"/>
      <c r="M27" s="401">
        <f>M23</f>
        <v>2</v>
      </c>
      <c r="N27" s="570">
        <f>C27*M27</f>
        <v>16</v>
      </c>
      <c r="O27" s="395"/>
      <c r="P27" s="784"/>
      <c r="Q27" s="398"/>
      <c r="R27" s="779"/>
      <c r="S27" s="398"/>
      <c r="T27" s="398"/>
      <c r="U27" s="398"/>
      <c r="V27" s="738"/>
      <c r="W27" s="738"/>
      <c r="X27" s="738"/>
    </row>
    <row r="28" spans="1:24" ht="15.75" customHeight="1">
      <c r="A28" s="404"/>
      <c r="B28" s="569" t="str">
        <f>B24</f>
        <v>horizontal</v>
      </c>
      <c r="C28" s="330">
        <f>C24</f>
        <v>5</v>
      </c>
      <c r="D28" s="330"/>
      <c r="E28" s="330"/>
      <c r="F28" s="401"/>
      <c r="G28" s="401"/>
      <c r="H28" s="330"/>
      <c r="I28" s="401"/>
      <c r="J28" s="401"/>
      <c r="K28" s="330"/>
      <c r="L28" s="330"/>
      <c r="M28" s="401">
        <f>M24</f>
        <v>3</v>
      </c>
      <c r="N28" s="570">
        <f>C28*M28</f>
        <v>15</v>
      </c>
      <c r="O28" s="395"/>
      <c r="P28" s="784"/>
      <c r="Q28" s="398"/>
      <c r="R28" s="779"/>
      <c r="S28" s="398"/>
      <c r="T28" s="398"/>
      <c r="U28" s="398"/>
      <c r="V28" s="738"/>
      <c r="W28" s="738"/>
      <c r="X28" s="738"/>
    </row>
    <row r="29" spans="1:24" ht="15.75" customHeight="1">
      <c r="A29" s="404"/>
      <c r="B29" s="357"/>
      <c r="C29" s="401"/>
      <c r="D29" s="401"/>
      <c r="E29" s="401"/>
      <c r="F29" s="401"/>
      <c r="G29" s="401"/>
      <c r="H29" s="401"/>
      <c r="I29" s="401"/>
      <c r="J29" s="401"/>
      <c r="K29" s="401"/>
      <c r="L29" s="401"/>
      <c r="M29" s="401"/>
      <c r="N29" s="401">
        <f>SUM(N27:N28)</f>
        <v>31</v>
      </c>
      <c r="O29" s="395"/>
      <c r="P29" s="784"/>
      <c r="Q29" s="398"/>
      <c r="R29" s="779"/>
      <c r="S29" s="398"/>
      <c r="T29" s="398"/>
      <c r="U29" s="398"/>
      <c r="V29" s="738"/>
      <c r="W29" s="738"/>
      <c r="X29" s="738"/>
    </row>
    <row r="30" spans="1:24" ht="15.75" customHeight="1">
      <c r="A30" s="404"/>
      <c r="B30" s="569" t="s">
        <v>1006</v>
      </c>
      <c r="C30" s="401"/>
      <c r="D30" s="401"/>
      <c r="E30" s="401">
        <v>4</v>
      </c>
      <c r="F30" s="401">
        <f>N29/0.5</f>
        <v>62</v>
      </c>
      <c r="G30" s="401"/>
      <c r="H30" s="401">
        <v>2</v>
      </c>
      <c r="I30" s="401"/>
      <c r="J30" s="401"/>
      <c r="K30" s="554"/>
      <c r="L30" s="401"/>
      <c r="M30" s="401"/>
      <c r="N30" s="401">
        <f>E30*H30*F30</f>
        <v>496</v>
      </c>
      <c r="O30" s="395" t="s">
        <v>117</v>
      </c>
      <c r="P30" s="784">
        <f>ROUND((N30),2)</f>
        <v>496</v>
      </c>
      <c r="Q30" s="398"/>
      <c r="R30" s="779"/>
      <c r="S30" s="398"/>
      <c r="T30" s="398"/>
      <c r="U30" s="398"/>
      <c r="V30" s="738"/>
      <c r="W30" s="738"/>
      <c r="X30" s="738"/>
    </row>
    <row r="31" spans="1:24" ht="15.75" customHeight="1">
      <c r="A31" s="355" t="s">
        <v>101</v>
      </c>
      <c r="B31" s="359" t="s">
        <v>406</v>
      </c>
      <c r="C31" s="330"/>
      <c r="D31" s="330"/>
      <c r="E31" s="330"/>
      <c r="F31" s="330"/>
      <c r="G31" s="330"/>
      <c r="H31" s="330"/>
      <c r="I31" s="330"/>
      <c r="J31" s="330"/>
      <c r="K31" s="330"/>
      <c r="L31" s="330"/>
      <c r="M31" s="330"/>
      <c r="N31" s="401"/>
      <c r="O31" s="349"/>
      <c r="P31" s="784"/>
      <c r="Q31" s="398"/>
      <c r="R31" s="779"/>
      <c r="S31" s="398"/>
      <c r="T31" s="398"/>
      <c r="U31" s="398"/>
      <c r="V31" s="738"/>
      <c r="W31" s="738"/>
      <c r="X31" s="738"/>
    </row>
    <row r="32" spans="1:24" ht="15.75" customHeight="1">
      <c r="A32" s="355"/>
      <c r="B32" s="567" t="str">
        <f t="shared" ref="B32:D33" si="2">B23</f>
        <v>vertikal</v>
      </c>
      <c r="C32" s="330">
        <f t="shared" si="2"/>
        <v>8</v>
      </c>
      <c r="D32" s="330">
        <f t="shared" si="2"/>
        <v>0.8</v>
      </c>
      <c r="E32" s="330">
        <v>7.0000000000000007E-2</v>
      </c>
      <c r="F32" s="330"/>
      <c r="G32" s="330"/>
      <c r="H32" s="330"/>
      <c r="I32" s="330"/>
      <c r="J32" s="330"/>
      <c r="K32" s="330"/>
      <c r="L32" s="330"/>
      <c r="M32" s="330">
        <f>M23</f>
        <v>2</v>
      </c>
      <c r="N32" s="330">
        <f>C32*D32*E32*M32</f>
        <v>0.89600000000000013</v>
      </c>
      <c r="O32" s="349"/>
      <c r="P32" s="784"/>
      <c r="Q32" s="398"/>
      <c r="R32" s="779"/>
      <c r="S32" s="398"/>
      <c r="T32" s="398"/>
      <c r="U32" s="398"/>
      <c r="V32" s="738"/>
      <c r="W32" s="738"/>
      <c r="X32" s="738"/>
    </row>
    <row r="33" spans="1:24" ht="15.75" customHeight="1">
      <c r="A33" s="355"/>
      <c r="B33" s="567" t="str">
        <f t="shared" si="2"/>
        <v>horizontal</v>
      </c>
      <c r="C33" s="330">
        <f t="shared" si="2"/>
        <v>5</v>
      </c>
      <c r="D33" s="330">
        <f t="shared" si="2"/>
        <v>0.8</v>
      </c>
      <c r="E33" s="330">
        <f>E32</f>
        <v>7.0000000000000007E-2</v>
      </c>
      <c r="F33" s="330"/>
      <c r="G33" s="330"/>
      <c r="H33" s="330"/>
      <c r="I33" s="330"/>
      <c r="J33" s="330"/>
      <c r="K33" s="330"/>
      <c r="L33" s="330"/>
      <c r="M33" s="330">
        <f>M24</f>
        <v>3</v>
      </c>
      <c r="N33" s="752">
        <f>C33*D33*E33*M33</f>
        <v>0.84000000000000008</v>
      </c>
      <c r="O33" s="349"/>
      <c r="P33" s="784"/>
      <c r="Q33" s="398"/>
      <c r="R33" s="779"/>
      <c r="S33" s="398"/>
      <c r="T33" s="398"/>
      <c r="U33" s="398"/>
      <c r="V33" s="738"/>
      <c r="W33" s="738"/>
      <c r="X33" s="738"/>
    </row>
    <row r="34" spans="1:24" ht="15.75" customHeight="1">
      <c r="A34" s="355"/>
      <c r="B34" s="359"/>
      <c r="C34" s="330"/>
      <c r="D34" s="330"/>
      <c r="E34" s="330"/>
      <c r="F34" s="330"/>
      <c r="G34" s="330"/>
      <c r="H34" s="330"/>
      <c r="I34" s="330"/>
      <c r="J34" s="330"/>
      <c r="K34" s="330"/>
      <c r="L34" s="330"/>
      <c r="M34" s="330"/>
      <c r="N34" s="401">
        <f>SUM(N32:N33)</f>
        <v>1.7360000000000002</v>
      </c>
      <c r="O34" s="349" t="s">
        <v>103</v>
      </c>
      <c r="P34" s="784">
        <f>ROUND((N34),2)</f>
        <v>1.74</v>
      </c>
      <c r="Q34" s="398"/>
      <c r="R34" s="779"/>
      <c r="S34" s="398"/>
      <c r="T34" s="398"/>
      <c r="U34" s="398"/>
      <c r="V34" s="738"/>
      <c r="W34" s="738"/>
      <c r="X34" s="738"/>
    </row>
    <row r="35" spans="1:24" ht="15.75" customHeight="1">
      <c r="A35" s="355" t="s">
        <v>121</v>
      </c>
      <c r="B35" s="351" t="s">
        <v>400</v>
      </c>
      <c r="C35" s="330"/>
      <c r="D35" s="330"/>
      <c r="E35" s="330"/>
      <c r="F35" s="330"/>
      <c r="G35" s="330"/>
      <c r="H35" s="330"/>
      <c r="I35" s="330"/>
      <c r="J35" s="330"/>
      <c r="K35" s="330"/>
      <c r="L35" s="330"/>
      <c r="M35" s="330"/>
      <c r="N35" s="401"/>
      <c r="O35" s="349"/>
      <c r="P35" s="784"/>
      <c r="Q35" s="398"/>
      <c r="R35" s="779"/>
      <c r="S35" s="398"/>
      <c r="T35" s="398"/>
      <c r="U35" s="398"/>
      <c r="V35" s="738"/>
      <c r="W35" s="738"/>
      <c r="X35" s="738"/>
    </row>
    <row r="36" spans="1:24" ht="15.75" customHeight="1">
      <c r="A36" s="355"/>
      <c r="B36" s="567" t="str">
        <f t="shared" ref="B36:D37" si="3">B32</f>
        <v>vertikal</v>
      </c>
      <c r="C36" s="330">
        <f t="shared" si="3"/>
        <v>8</v>
      </c>
      <c r="D36" s="330">
        <f t="shared" si="3"/>
        <v>0.8</v>
      </c>
      <c r="E36" s="330">
        <f>E23-0.8-E32</f>
        <v>2.9999999999999971E-2</v>
      </c>
      <c r="F36" s="330"/>
      <c r="G36" s="330"/>
      <c r="H36" s="330"/>
      <c r="I36" s="330"/>
      <c r="J36" s="330"/>
      <c r="K36" s="330"/>
      <c r="L36" s="330"/>
      <c r="M36" s="330">
        <f>M32</f>
        <v>2</v>
      </c>
      <c r="N36" s="330">
        <f>C36*D36*E36*M36</f>
        <v>0.38399999999999967</v>
      </c>
      <c r="O36" s="349"/>
      <c r="P36" s="784"/>
      <c r="Q36" s="398"/>
      <c r="R36" s="779"/>
      <c r="S36" s="398"/>
      <c r="T36" s="398"/>
      <c r="U36" s="398"/>
      <c r="V36" s="738"/>
      <c r="W36" s="738"/>
      <c r="X36" s="738"/>
    </row>
    <row r="37" spans="1:24" ht="15.75" customHeight="1">
      <c r="A37" s="355"/>
      <c r="B37" s="567" t="str">
        <f t="shared" si="3"/>
        <v>horizontal</v>
      </c>
      <c r="C37" s="330">
        <f t="shared" si="3"/>
        <v>5</v>
      </c>
      <c r="D37" s="330">
        <f t="shared" si="3"/>
        <v>0.8</v>
      </c>
      <c r="E37" s="330">
        <f>E36</f>
        <v>2.9999999999999971E-2</v>
      </c>
      <c r="F37" s="330"/>
      <c r="G37" s="330"/>
      <c r="H37" s="330"/>
      <c r="I37" s="330"/>
      <c r="J37" s="330"/>
      <c r="K37" s="330"/>
      <c r="L37" s="330"/>
      <c r="M37" s="330">
        <f>M33</f>
        <v>3</v>
      </c>
      <c r="N37" s="752">
        <f>C37*D37*E37*M37</f>
        <v>0.35999999999999965</v>
      </c>
      <c r="O37" s="349"/>
      <c r="P37" s="784"/>
      <c r="Q37" s="398"/>
      <c r="R37" s="779"/>
      <c r="S37" s="398"/>
      <c r="T37" s="398"/>
      <c r="U37" s="398"/>
      <c r="V37" s="738"/>
      <c r="W37" s="738"/>
      <c r="X37" s="738"/>
    </row>
    <row r="38" spans="1:24" ht="15.75" customHeight="1">
      <c r="A38" s="355"/>
      <c r="B38" s="359"/>
      <c r="C38" s="330"/>
      <c r="D38" s="330"/>
      <c r="E38" s="330"/>
      <c r="F38" s="330"/>
      <c r="G38" s="330"/>
      <c r="H38" s="330"/>
      <c r="I38" s="330"/>
      <c r="J38" s="330"/>
      <c r="K38" s="330"/>
      <c r="L38" s="330"/>
      <c r="M38" s="330"/>
      <c r="N38" s="401">
        <f>SUM(N36:N37)</f>
        <v>0.74399999999999933</v>
      </c>
      <c r="O38" s="349" t="s">
        <v>103</v>
      </c>
      <c r="P38" s="784">
        <f>ROUND((N38),2)</f>
        <v>0.74</v>
      </c>
      <c r="Q38" s="398"/>
      <c r="R38" s="779"/>
      <c r="S38" s="398"/>
      <c r="T38" s="398"/>
      <c r="U38" s="398"/>
      <c r="V38" s="738"/>
      <c r="W38" s="738"/>
      <c r="X38" s="738"/>
    </row>
    <row r="39" spans="1:24" ht="15.75" customHeight="1">
      <c r="A39" s="355" t="s">
        <v>142</v>
      </c>
      <c r="B39" s="359" t="s">
        <v>407</v>
      </c>
      <c r="C39" s="330"/>
      <c r="D39" s="330"/>
      <c r="E39" s="330"/>
      <c r="F39" s="330"/>
      <c r="G39" s="330"/>
      <c r="H39" s="330"/>
      <c r="I39" s="330"/>
      <c r="J39" s="330"/>
      <c r="K39" s="330"/>
      <c r="L39" s="330"/>
      <c r="M39" s="330"/>
      <c r="N39" s="330"/>
      <c r="O39" s="349"/>
      <c r="P39" s="784"/>
      <c r="Q39" s="398"/>
      <c r="R39" s="779"/>
      <c r="S39" s="398"/>
      <c r="T39" s="398"/>
      <c r="U39" s="398"/>
      <c r="V39" s="738"/>
      <c r="W39" s="738"/>
      <c r="X39" s="738"/>
    </row>
    <row r="40" spans="1:24" ht="15.75" customHeight="1">
      <c r="A40" s="355"/>
      <c r="B40" s="567"/>
      <c r="C40" s="330"/>
      <c r="D40" s="818" t="s">
        <v>1007</v>
      </c>
      <c r="E40" s="330"/>
      <c r="F40" s="330"/>
      <c r="G40" s="330"/>
      <c r="H40" s="330"/>
      <c r="I40" s="330"/>
      <c r="J40" s="330"/>
      <c r="K40" s="330"/>
      <c r="L40" s="330"/>
      <c r="M40" s="330"/>
      <c r="N40" s="330"/>
      <c r="O40" s="349"/>
      <c r="P40" s="784"/>
      <c r="Q40" s="398"/>
      <c r="R40" s="779"/>
      <c r="S40" s="398"/>
      <c r="T40" s="398"/>
      <c r="U40" s="398"/>
      <c r="V40" s="738"/>
      <c r="W40" s="738"/>
      <c r="X40" s="738"/>
    </row>
    <row r="41" spans="1:24" ht="15.75" customHeight="1">
      <c r="A41" s="355"/>
      <c r="B41" s="567" t="str">
        <f>B32</f>
        <v>vertikal</v>
      </c>
      <c r="C41" s="330">
        <f>C23</f>
        <v>8</v>
      </c>
      <c r="D41" s="330">
        <f>(0.3+0.8)/2</f>
        <v>0.55000000000000004</v>
      </c>
      <c r="E41" s="330">
        <f>E23-E32-E36</f>
        <v>0.8</v>
      </c>
      <c r="F41" s="330"/>
      <c r="G41" s="330"/>
      <c r="H41" s="330"/>
      <c r="I41" s="330"/>
      <c r="J41" s="330"/>
      <c r="K41" s="330"/>
      <c r="L41" s="330"/>
      <c r="M41" s="330">
        <f>M32</f>
        <v>2</v>
      </c>
      <c r="N41" s="330">
        <f>C41*D41*E41*M41</f>
        <v>7.0400000000000009</v>
      </c>
      <c r="O41" s="349"/>
      <c r="P41" s="784"/>
      <c r="Q41" s="398"/>
      <c r="R41" s="779"/>
      <c r="S41" s="398"/>
      <c r="T41" s="398"/>
      <c r="U41" s="398"/>
      <c r="V41" s="738"/>
      <c r="W41" s="738"/>
      <c r="X41" s="738"/>
    </row>
    <row r="42" spans="1:24" ht="15.75" customHeight="1">
      <c r="A42" s="355"/>
      <c r="B42" s="567" t="str">
        <f>B33</f>
        <v>horizontal</v>
      </c>
      <c r="C42" s="330">
        <f>C33</f>
        <v>5</v>
      </c>
      <c r="D42" s="330">
        <f>D41</f>
        <v>0.55000000000000004</v>
      </c>
      <c r="E42" s="330">
        <f>E41</f>
        <v>0.8</v>
      </c>
      <c r="F42" s="330"/>
      <c r="G42" s="330"/>
      <c r="H42" s="330"/>
      <c r="I42" s="330"/>
      <c r="J42" s="330"/>
      <c r="K42" s="330"/>
      <c r="L42" s="330"/>
      <c r="M42" s="330">
        <f>M33</f>
        <v>3</v>
      </c>
      <c r="N42" s="752">
        <f>C42*D42*E42*M42</f>
        <v>6.6000000000000005</v>
      </c>
      <c r="O42" s="349"/>
      <c r="P42" s="784"/>
      <c r="Q42" s="398"/>
      <c r="R42" s="779"/>
      <c r="S42" s="398"/>
      <c r="T42" s="398"/>
      <c r="U42" s="398"/>
      <c r="V42" s="738"/>
      <c r="W42" s="738"/>
      <c r="X42" s="738"/>
    </row>
    <row r="43" spans="1:24" ht="15.75" customHeight="1">
      <c r="A43" s="350"/>
      <c r="B43" s="359"/>
      <c r="C43" s="330"/>
      <c r="D43" s="330"/>
      <c r="E43" s="330"/>
      <c r="F43" s="330"/>
      <c r="G43" s="330"/>
      <c r="H43" s="330"/>
      <c r="I43" s="330"/>
      <c r="J43" s="330"/>
      <c r="K43" s="330"/>
      <c r="L43" s="330"/>
      <c r="M43" s="330"/>
      <c r="N43" s="401">
        <f>SUM(N41:N42)</f>
        <v>13.64</v>
      </c>
      <c r="O43" s="349" t="s">
        <v>103</v>
      </c>
      <c r="P43" s="784">
        <f>ROUND((N43),2)</f>
        <v>13.64</v>
      </c>
      <c r="Q43" s="398"/>
      <c r="R43" s="779"/>
      <c r="S43" s="398"/>
      <c r="T43" s="398"/>
      <c r="U43" s="398"/>
      <c r="V43" s="738"/>
      <c r="W43" s="738"/>
      <c r="X43" s="738"/>
    </row>
    <row r="44" spans="1:24" ht="15.75" customHeight="1">
      <c r="A44" s="350">
        <f>A21+1</f>
        <v>4</v>
      </c>
      <c r="B44" s="351" t="s">
        <v>1130</v>
      </c>
      <c r="C44" s="330"/>
      <c r="D44" s="330"/>
      <c r="E44" s="330"/>
      <c r="F44" s="330"/>
      <c r="G44" s="330"/>
      <c r="H44" s="330"/>
      <c r="I44" s="330"/>
      <c r="J44" s="330"/>
      <c r="K44" s="330"/>
      <c r="L44" s="330"/>
      <c r="M44" s="330"/>
      <c r="N44" s="401"/>
      <c r="O44" s="349"/>
      <c r="P44" s="784"/>
      <c r="Q44" s="398"/>
      <c r="R44" s="779"/>
      <c r="S44" s="398"/>
      <c r="T44" s="398"/>
      <c r="U44" s="398"/>
      <c r="V44" s="738"/>
      <c r="W44" s="738"/>
      <c r="X44" s="738"/>
    </row>
    <row r="45" spans="1:24" ht="15.75" customHeight="1">
      <c r="A45" s="350"/>
      <c r="B45" s="567" t="s">
        <v>1111</v>
      </c>
      <c r="C45" s="330">
        <f>C52</f>
        <v>8</v>
      </c>
      <c r="D45" s="330"/>
      <c r="E45" s="330"/>
      <c r="F45" s="330"/>
      <c r="G45" s="330"/>
      <c r="H45" s="330"/>
      <c r="I45" s="330"/>
      <c r="J45" s="330"/>
      <c r="K45" s="330"/>
      <c r="L45" s="330"/>
      <c r="M45" s="330">
        <f>M52</f>
        <v>2</v>
      </c>
      <c r="N45" s="401">
        <f>C45*M45</f>
        <v>16</v>
      </c>
      <c r="O45" s="349"/>
      <c r="P45" s="784"/>
      <c r="Q45" s="398"/>
      <c r="R45" s="779"/>
      <c r="S45" s="398"/>
      <c r="T45" s="398"/>
      <c r="U45" s="398"/>
      <c r="V45" s="738"/>
      <c r="W45" s="738"/>
      <c r="X45" s="738"/>
    </row>
    <row r="46" spans="1:24" ht="15.75" customHeight="1">
      <c r="A46" s="350"/>
      <c r="B46" s="359"/>
      <c r="C46" s="330">
        <f>C53</f>
        <v>5</v>
      </c>
      <c r="D46" s="330"/>
      <c r="E46" s="330"/>
      <c r="F46" s="330"/>
      <c r="G46" s="330"/>
      <c r="H46" s="330"/>
      <c r="I46" s="330"/>
      <c r="J46" s="330"/>
      <c r="K46" s="330"/>
      <c r="L46" s="330"/>
      <c r="M46" s="330">
        <f>M53</f>
        <v>3</v>
      </c>
      <c r="N46" s="401">
        <f>C46*M46</f>
        <v>15</v>
      </c>
      <c r="O46" s="349"/>
      <c r="P46" s="784"/>
      <c r="Q46" s="398"/>
      <c r="R46" s="779"/>
      <c r="S46" s="398"/>
      <c r="T46" s="398"/>
      <c r="U46" s="398"/>
      <c r="V46" s="738"/>
      <c r="W46" s="738"/>
      <c r="X46" s="738"/>
    </row>
    <row r="47" spans="1:24" ht="15.75" customHeight="1">
      <c r="A47" s="350"/>
      <c r="B47" s="359"/>
      <c r="C47" s="330"/>
      <c r="D47" s="330"/>
      <c r="E47" s="330"/>
      <c r="F47" s="330"/>
      <c r="G47" s="330"/>
      <c r="H47" s="330"/>
      <c r="I47" s="330"/>
      <c r="J47" s="330"/>
      <c r="K47" s="330"/>
      <c r="L47" s="330"/>
      <c r="M47" s="330"/>
      <c r="N47" s="401">
        <f>SUM(N45:N46)</f>
        <v>31</v>
      </c>
      <c r="O47" s="395" t="s">
        <v>117</v>
      </c>
      <c r="P47" s="784"/>
      <c r="Q47" s="398"/>
      <c r="R47" s="779"/>
      <c r="S47" s="398"/>
      <c r="T47" s="398"/>
      <c r="U47" s="398"/>
      <c r="V47" s="738"/>
      <c r="W47" s="738"/>
      <c r="X47" s="738"/>
    </row>
    <row r="48" spans="1:24" ht="15.75" customHeight="1">
      <c r="A48" s="350"/>
      <c r="B48" s="567" t="s">
        <v>1131</v>
      </c>
      <c r="C48" s="330">
        <f>N47</f>
        <v>31</v>
      </c>
      <c r="D48" s="330">
        <v>1</v>
      </c>
      <c r="E48" s="330"/>
      <c r="F48" s="330"/>
      <c r="G48" s="330"/>
      <c r="H48" s="330"/>
      <c r="I48" s="330"/>
      <c r="J48" s="330"/>
      <c r="K48" s="330"/>
      <c r="L48" s="330"/>
      <c r="M48" s="330"/>
      <c r="N48" s="401">
        <f>ROUNDDOWN((C48/D48),0.5)</f>
        <v>31</v>
      </c>
      <c r="O48" s="349" t="s">
        <v>124</v>
      </c>
      <c r="P48" s="784"/>
      <c r="Q48" s="398"/>
      <c r="R48" s="779"/>
      <c r="S48" s="398"/>
      <c r="T48" s="398"/>
      <c r="U48" s="398"/>
      <c r="V48" s="738"/>
      <c r="W48" s="738"/>
      <c r="X48" s="738"/>
    </row>
    <row r="49" spans="1:24" ht="15.75" customHeight="1">
      <c r="A49" s="350"/>
      <c r="B49" s="567" t="s">
        <v>1132</v>
      </c>
      <c r="C49" s="330">
        <v>0.5</v>
      </c>
      <c r="D49" s="330"/>
      <c r="E49" s="330"/>
      <c r="F49" s="330">
        <f>N48</f>
        <v>31</v>
      </c>
      <c r="G49" s="330"/>
      <c r="H49" s="330"/>
      <c r="I49" s="330"/>
      <c r="J49" s="330"/>
      <c r="K49" s="330"/>
      <c r="L49" s="330">
        <f>13*13*0.006165</f>
        <v>1.041885</v>
      </c>
      <c r="M49" s="330"/>
      <c r="N49" s="401">
        <f>F49*L49*C49</f>
        <v>16.149217499999999</v>
      </c>
      <c r="O49" s="349" t="s">
        <v>100</v>
      </c>
      <c r="P49" s="784">
        <f>ROUND((N49),2)</f>
        <v>16.149999999999999</v>
      </c>
      <c r="Q49" s="398"/>
      <c r="R49" s="779"/>
      <c r="S49" s="398"/>
      <c r="T49" s="398"/>
      <c r="U49" s="398"/>
      <c r="V49" s="738"/>
      <c r="W49" s="738"/>
      <c r="X49" s="738"/>
    </row>
    <row r="50" spans="1:24" ht="15.75" customHeight="1">
      <c r="A50" s="350">
        <f>A44+1</f>
        <v>5</v>
      </c>
      <c r="B50" s="359" t="s">
        <v>409</v>
      </c>
      <c r="C50" s="330"/>
      <c r="D50" s="330"/>
      <c r="E50" s="330"/>
      <c r="F50" s="330"/>
      <c r="G50" s="330"/>
      <c r="H50" s="330"/>
      <c r="I50" s="330"/>
      <c r="J50" s="330"/>
      <c r="K50" s="330"/>
      <c r="L50" s="330"/>
      <c r="M50" s="330"/>
      <c r="N50" s="401"/>
      <c r="O50" s="349"/>
      <c r="P50" s="784"/>
      <c r="Q50" s="398"/>
      <c r="R50" s="779"/>
      <c r="S50" s="398"/>
      <c r="T50" s="398"/>
      <c r="U50" s="398"/>
      <c r="V50" s="738"/>
      <c r="W50" s="738"/>
      <c r="X50" s="738"/>
    </row>
    <row r="51" spans="1:24" ht="15.75" customHeight="1">
      <c r="A51" s="355" t="s">
        <v>95</v>
      </c>
      <c r="B51" s="359" t="s">
        <v>221</v>
      </c>
      <c r="C51" s="330"/>
      <c r="D51" s="330"/>
      <c r="E51" s="330"/>
      <c r="F51" s="330"/>
      <c r="G51" s="330"/>
      <c r="H51" s="330"/>
      <c r="I51" s="330"/>
      <c r="J51" s="330"/>
      <c r="K51" s="330"/>
      <c r="L51" s="330"/>
      <c r="M51" s="330"/>
      <c r="N51" s="330"/>
      <c r="O51" s="349"/>
      <c r="P51" s="784"/>
      <c r="Q51" s="398"/>
      <c r="R51" s="779"/>
      <c r="S51" s="398"/>
      <c r="T51" s="398"/>
      <c r="U51" s="398"/>
      <c r="V51" s="738"/>
      <c r="W51" s="738"/>
      <c r="X51" s="738"/>
    </row>
    <row r="52" spans="1:24" ht="15.75" customHeight="1">
      <c r="A52" s="355"/>
      <c r="B52" s="567" t="str">
        <f>B41</f>
        <v>vertikal</v>
      </c>
      <c r="C52" s="330">
        <f>C41</f>
        <v>8</v>
      </c>
      <c r="D52" s="330"/>
      <c r="E52" s="330">
        <v>0.3</v>
      </c>
      <c r="F52" s="330"/>
      <c r="G52" s="330"/>
      <c r="H52" s="330">
        <v>2</v>
      </c>
      <c r="I52" s="330"/>
      <c r="J52" s="330"/>
      <c r="K52" s="330"/>
      <c r="L52" s="330"/>
      <c r="M52" s="330">
        <f>M41</f>
        <v>2</v>
      </c>
      <c r="N52" s="330">
        <f>C52*E52*H52*M52</f>
        <v>9.6</v>
      </c>
      <c r="O52" s="349"/>
      <c r="P52" s="784"/>
      <c r="Q52" s="398"/>
      <c r="R52" s="779"/>
      <c r="S52" s="398"/>
      <c r="T52" s="398"/>
      <c r="U52" s="398"/>
      <c r="V52" s="738"/>
      <c r="W52" s="738"/>
      <c r="X52" s="738"/>
    </row>
    <row r="53" spans="1:24" ht="15.75" customHeight="1">
      <c r="A53" s="355"/>
      <c r="B53" s="567" t="str">
        <f>B42</f>
        <v>horizontal</v>
      </c>
      <c r="C53" s="330">
        <f>C42</f>
        <v>5</v>
      </c>
      <c r="D53" s="330"/>
      <c r="E53" s="330">
        <f>E52</f>
        <v>0.3</v>
      </c>
      <c r="F53" s="330"/>
      <c r="G53" s="330"/>
      <c r="H53" s="330">
        <f>H52</f>
        <v>2</v>
      </c>
      <c r="I53" s="330"/>
      <c r="J53" s="330"/>
      <c r="K53" s="330"/>
      <c r="L53" s="330"/>
      <c r="M53" s="330">
        <f>M42</f>
        <v>3</v>
      </c>
      <c r="N53" s="752">
        <f>C53*E53*H53*M53</f>
        <v>9</v>
      </c>
      <c r="O53" s="349"/>
      <c r="P53" s="784"/>
      <c r="Q53" s="398"/>
      <c r="R53" s="779"/>
      <c r="S53" s="398"/>
      <c r="T53" s="398"/>
      <c r="U53" s="398"/>
      <c r="V53" s="738"/>
      <c r="W53" s="738"/>
      <c r="X53" s="738"/>
    </row>
    <row r="54" spans="1:24" ht="15.75" customHeight="1">
      <c r="A54" s="355"/>
      <c r="B54" s="359"/>
      <c r="C54" s="330"/>
      <c r="D54" s="330"/>
      <c r="E54" s="330"/>
      <c r="F54" s="330"/>
      <c r="G54" s="330"/>
      <c r="H54" s="330"/>
      <c r="I54" s="330"/>
      <c r="J54" s="330"/>
      <c r="K54" s="330"/>
      <c r="L54" s="330"/>
      <c r="M54" s="330"/>
      <c r="N54" s="401">
        <f>SUM(N52:N53)</f>
        <v>18.600000000000001</v>
      </c>
      <c r="O54" s="349" t="s">
        <v>89</v>
      </c>
      <c r="P54" s="784">
        <f>ROUND((N54),2)</f>
        <v>18.600000000000001</v>
      </c>
      <c r="Q54" s="398"/>
      <c r="R54" s="779"/>
      <c r="S54" s="398"/>
      <c r="T54" s="398"/>
      <c r="U54" s="398"/>
      <c r="V54" s="738"/>
      <c r="W54" s="738"/>
      <c r="X54" s="738"/>
    </row>
    <row r="55" spans="1:24" ht="15.75" customHeight="1">
      <c r="A55" s="355" t="s">
        <v>98</v>
      </c>
      <c r="B55" s="351" t="s">
        <v>925</v>
      </c>
      <c r="C55" s="330"/>
      <c r="D55" s="330"/>
      <c r="E55" s="330"/>
      <c r="F55" s="330"/>
      <c r="G55" s="330"/>
      <c r="H55" s="330"/>
      <c r="I55" s="330"/>
      <c r="J55" s="330"/>
      <c r="K55" s="330"/>
      <c r="L55" s="330"/>
      <c r="M55" s="330"/>
      <c r="N55" s="330"/>
      <c r="O55" s="349"/>
      <c r="P55" s="784"/>
      <c r="Q55" s="398"/>
      <c r="R55" s="779"/>
      <c r="S55" s="398"/>
      <c r="T55" s="398"/>
      <c r="U55" s="398"/>
      <c r="V55" s="738"/>
      <c r="W55" s="738"/>
      <c r="X55" s="738"/>
    </row>
    <row r="56" spans="1:24" ht="15.75" customHeight="1">
      <c r="A56" s="355"/>
      <c r="B56" s="567" t="str">
        <f>B52</f>
        <v>vertikal</v>
      </c>
      <c r="C56" s="330">
        <f>C52</f>
        <v>8</v>
      </c>
      <c r="D56" s="330"/>
      <c r="E56" s="330"/>
      <c r="F56" s="330">
        <v>5</v>
      </c>
      <c r="G56" s="330"/>
      <c r="H56" s="330"/>
      <c r="I56" s="330"/>
      <c r="J56" s="330"/>
      <c r="K56" s="330"/>
      <c r="L56" s="330">
        <f>13*13*0.006165</f>
        <v>1.041885</v>
      </c>
      <c r="M56" s="330">
        <f>M52</f>
        <v>2</v>
      </c>
      <c r="N56" s="330">
        <f>C56*F56*L56*M56</f>
        <v>83.350799999999992</v>
      </c>
      <c r="O56" s="349"/>
      <c r="P56" s="784"/>
      <c r="Q56" s="398"/>
      <c r="R56" s="779"/>
      <c r="S56" s="398"/>
      <c r="T56" s="398"/>
      <c r="U56" s="398"/>
      <c r="V56" s="738"/>
      <c r="W56" s="738"/>
      <c r="X56" s="738"/>
    </row>
    <row r="57" spans="1:24" ht="15.75" customHeight="1">
      <c r="A57" s="355"/>
      <c r="B57" s="567" t="str">
        <f>B53</f>
        <v>horizontal</v>
      </c>
      <c r="C57" s="330">
        <f>C53</f>
        <v>5</v>
      </c>
      <c r="D57" s="330"/>
      <c r="E57" s="330"/>
      <c r="F57" s="330">
        <f>F56</f>
        <v>5</v>
      </c>
      <c r="G57" s="330"/>
      <c r="H57" s="330"/>
      <c r="I57" s="330"/>
      <c r="J57" s="330"/>
      <c r="K57" s="330"/>
      <c r="L57" s="330">
        <f>L56</f>
        <v>1.041885</v>
      </c>
      <c r="M57" s="330">
        <f>M53</f>
        <v>3</v>
      </c>
      <c r="N57" s="752">
        <f>C57*F57*L57*M57</f>
        <v>78.141374999999996</v>
      </c>
      <c r="O57" s="349"/>
      <c r="P57" s="784"/>
      <c r="Q57" s="398"/>
      <c r="R57" s="779"/>
      <c r="S57" s="398"/>
      <c r="T57" s="398"/>
      <c r="U57" s="398"/>
      <c r="V57" s="738"/>
      <c r="W57" s="738"/>
      <c r="X57" s="738"/>
    </row>
    <row r="58" spans="1:24" ht="15.75" customHeight="1">
      <c r="A58" s="355"/>
      <c r="B58" s="359"/>
      <c r="C58" s="330"/>
      <c r="D58" s="330"/>
      <c r="E58" s="330"/>
      <c r="F58" s="330"/>
      <c r="G58" s="330"/>
      <c r="H58" s="330"/>
      <c r="I58" s="330"/>
      <c r="J58" s="330"/>
      <c r="K58" s="330"/>
      <c r="L58" s="330"/>
      <c r="M58" s="330"/>
      <c r="N58" s="401">
        <f>SUM(N56:N57)</f>
        <v>161.49217499999997</v>
      </c>
      <c r="O58" s="349" t="s">
        <v>100</v>
      </c>
      <c r="P58" s="784">
        <f>ROUND((N58),2)</f>
        <v>161.49</v>
      </c>
      <c r="Q58" s="398"/>
      <c r="R58" s="779"/>
      <c r="S58" s="398"/>
      <c r="T58" s="398"/>
      <c r="U58" s="398"/>
      <c r="V58" s="738"/>
      <c r="W58" s="738"/>
      <c r="X58" s="738"/>
    </row>
    <row r="59" spans="1:24" ht="15.75" customHeight="1">
      <c r="A59" s="355" t="s">
        <v>101</v>
      </c>
      <c r="B59" s="351" t="s">
        <v>428</v>
      </c>
      <c r="C59" s="330"/>
      <c r="D59" s="330"/>
      <c r="E59" s="330"/>
      <c r="F59" s="330"/>
      <c r="G59" s="330"/>
      <c r="H59" s="330"/>
      <c r="I59" s="330"/>
      <c r="J59" s="330"/>
      <c r="K59" s="330"/>
      <c r="L59" s="330"/>
      <c r="M59" s="330"/>
      <c r="N59" s="330"/>
      <c r="O59" s="349"/>
      <c r="P59" s="784"/>
      <c r="Q59" s="398"/>
      <c r="R59" s="779"/>
      <c r="S59" s="398"/>
      <c r="T59" s="398"/>
      <c r="U59" s="398"/>
      <c r="V59" s="738"/>
      <c r="W59" s="738"/>
      <c r="X59" s="738"/>
    </row>
    <row r="60" spans="1:24" ht="15.75" customHeight="1">
      <c r="A60" s="355"/>
      <c r="B60" s="567" t="str">
        <f>B56</f>
        <v>vertikal</v>
      </c>
      <c r="C60" s="330">
        <f>(0.1+0.15)*2</f>
        <v>0.5</v>
      </c>
      <c r="D60" s="330"/>
      <c r="E60" s="330"/>
      <c r="F60" s="330">
        <f>ROUNDDOWN((C56/0.125),0.1)</f>
        <v>64</v>
      </c>
      <c r="G60" s="330"/>
      <c r="H60" s="330"/>
      <c r="I60" s="330">
        <f>0.05*2</f>
        <v>0.1</v>
      </c>
      <c r="J60" s="330"/>
      <c r="K60" s="330"/>
      <c r="L60" s="330">
        <f>8*8*0.006165</f>
        <v>0.39456000000000002</v>
      </c>
      <c r="M60" s="330">
        <f>M56</f>
        <v>2</v>
      </c>
      <c r="N60" s="330">
        <f>(C60+I60)*F60*L60*M60</f>
        <v>30.302208</v>
      </c>
      <c r="O60" s="349"/>
      <c r="P60" s="784"/>
      <c r="Q60" s="398"/>
      <c r="R60" s="779"/>
      <c r="S60" s="398"/>
      <c r="T60" s="398"/>
      <c r="U60" s="398"/>
      <c r="V60" s="738"/>
      <c r="W60" s="738"/>
      <c r="X60" s="738"/>
    </row>
    <row r="61" spans="1:24" ht="15.75" customHeight="1">
      <c r="A61" s="355"/>
      <c r="B61" s="567" t="str">
        <f>B57</f>
        <v>horizontal</v>
      </c>
      <c r="C61" s="330">
        <f>C60</f>
        <v>0.5</v>
      </c>
      <c r="D61" s="330"/>
      <c r="E61" s="330"/>
      <c r="F61" s="330">
        <f>ROUNDDOWN((C57/0.125),0.1)</f>
        <v>40</v>
      </c>
      <c r="G61" s="330"/>
      <c r="H61" s="330"/>
      <c r="I61" s="330">
        <f>I60</f>
        <v>0.1</v>
      </c>
      <c r="J61" s="330"/>
      <c r="K61" s="330"/>
      <c r="L61" s="330">
        <f>L60</f>
        <v>0.39456000000000002</v>
      </c>
      <c r="M61" s="330">
        <f>M57</f>
        <v>3</v>
      </c>
      <c r="N61" s="752">
        <f>(C61+I61)*F61*L61*M61</f>
        <v>28.408320000000003</v>
      </c>
      <c r="O61" s="349"/>
      <c r="P61" s="784"/>
      <c r="Q61" s="398"/>
      <c r="R61" s="779"/>
      <c r="S61" s="398"/>
      <c r="T61" s="398"/>
      <c r="U61" s="398"/>
      <c r="V61" s="738"/>
      <c r="W61" s="738"/>
      <c r="X61" s="738"/>
    </row>
    <row r="62" spans="1:24" ht="15.75" customHeight="1">
      <c r="A62" s="355"/>
      <c r="B62" s="359"/>
      <c r="C62" s="330"/>
      <c r="D62" s="330"/>
      <c r="E62" s="330"/>
      <c r="F62" s="330"/>
      <c r="G62" s="330"/>
      <c r="H62" s="330"/>
      <c r="I62" s="330"/>
      <c r="J62" s="330"/>
      <c r="K62" s="330"/>
      <c r="L62" s="330"/>
      <c r="M62" s="330"/>
      <c r="N62" s="401">
        <f>SUM(N60:N61)</f>
        <v>58.710528000000004</v>
      </c>
      <c r="O62" s="349" t="s">
        <v>100</v>
      </c>
      <c r="P62" s="784">
        <f>ROUND((N62),2)</f>
        <v>58.71</v>
      </c>
      <c r="Q62" s="398"/>
      <c r="R62" s="779"/>
      <c r="S62" s="398"/>
      <c r="T62" s="398"/>
      <c r="U62" s="398"/>
      <c r="V62" s="738"/>
      <c r="W62" s="738"/>
      <c r="X62" s="738"/>
    </row>
    <row r="63" spans="1:24" ht="15.75" customHeight="1">
      <c r="A63" s="355" t="s">
        <v>121</v>
      </c>
      <c r="B63" s="356" t="s">
        <v>646</v>
      </c>
      <c r="C63" s="330"/>
      <c r="D63" s="330"/>
      <c r="E63" s="330"/>
      <c r="F63" s="330"/>
      <c r="G63" s="330"/>
      <c r="H63" s="330"/>
      <c r="I63" s="330"/>
      <c r="J63" s="330"/>
      <c r="K63" s="330"/>
      <c r="L63" s="330"/>
      <c r="M63" s="330"/>
      <c r="N63" s="330"/>
      <c r="O63" s="349"/>
      <c r="P63" s="784"/>
      <c r="Q63" s="398"/>
      <c r="R63" s="779"/>
      <c r="S63" s="398"/>
      <c r="T63" s="398"/>
      <c r="U63" s="398"/>
      <c r="V63" s="738"/>
      <c r="W63" s="738"/>
      <c r="X63" s="738"/>
    </row>
    <row r="64" spans="1:24" ht="15.75" customHeight="1">
      <c r="A64" s="355"/>
      <c r="B64" s="567" t="str">
        <f>B60</f>
        <v>vertikal</v>
      </c>
      <c r="C64" s="330">
        <f>C56</f>
        <v>8</v>
      </c>
      <c r="D64" s="330">
        <v>0.25</v>
      </c>
      <c r="E64" s="330">
        <v>0.3</v>
      </c>
      <c r="F64" s="330"/>
      <c r="G64" s="330"/>
      <c r="H64" s="330"/>
      <c r="I64" s="330"/>
      <c r="J64" s="330"/>
      <c r="K64" s="330"/>
      <c r="L64" s="330"/>
      <c r="M64" s="330">
        <f>M60</f>
        <v>2</v>
      </c>
      <c r="N64" s="330">
        <f>C64*D64*E64*M64</f>
        <v>1.2</v>
      </c>
      <c r="O64" s="349"/>
      <c r="P64" s="784"/>
      <c r="Q64" s="398"/>
      <c r="R64" s="779"/>
      <c r="S64" s="398"/>
      <c r="T64" s="398"/>
      <c r="U64" s="398"/>
      <c r="V64" s="738"/>
      <c r="W64" s="738"/>
      <c r="X64" s="738"/>
    </row>
    <row r="65" spans="1:24" ht="15.75" customHeight="1">
      <c r="A65" s="355"/>
      <c r="B65" s="567" t="str">
        <f>B61</f>
        <v>horizontal</v>
      </c>
      <c r="C65" s="330">
        <f>C57</f>
        <v>5</v>
      </c>
      <c r="D65" s="330">
        <f>D64</f>
        <v>0.25</v>
      </c>
      <c r="E65" s="330">
        <f>E64</f>
        <v>0.3</v>
      </c>
      <c r="F65" s="330"/>
      <c r="G65" s="330"/>
      <c r="H65" s="330"/>
      <c r="I65" s="330"/>
      <c r="J65" s="330"/>
      <c r="K65" s="330"/>
      <c r="L65" s="330"/>
      <c r="M65" s="330">
        <f>M61</f>
        <v>3</v>
      </c>
      <c r="N65" s="752">
        <f>C65*D65*E65*M65</f>
        <v>1.125</v>
      </c>
      <c r="O65" s="349"/>
      <c r="P65" s="784"/>
      <c r="Q65" s="398"/>
      <c r="R65" s="779"/>
      <c r="S65" s="398"/>
      <c r="T65" s="398"/>
      <c r="U65" s="398"/>
      <c r="V65" s="738"/>
      <c r="W65" s="738"/>
      <c r="X65" s="738"/>
    </row>
    <row r="66" spans="1:24" ht="15.75" customHeight="1">
      <c r="A66" s="355"/>
      <c r="B66" s="359"/>
      <c r="C66" s="330"/>
      <c r="D66" s="330"/>
      <c r="E66" s="330"/>
      <c r="F66" s="330"/>
      <c r="G66" s="330"/>
      <c r="H66" s="330"/>
      <c r="I66" s="330"/>
      <c r="J66" s="330"/>
      <c r="K66" s="330"/>
      <c r="L66" s="330"/>
      <c r="M66" s="330"/>
      <c r="N66" s="401">
        <f>SUM(N64:N65)</f>
        <v>2.3250000000000002</v>
      </c>
      <c r="O66" s="349" t="s">
        <v>103</v>
      </c>
      <c r="P66" s="784">
        <f>ROUND((N66),2)</f>
        <v>2.33</v>
      </c>
      <c r="Q66" s="398"/>
      <c r="R66" s="779"/>
      <c r="S66" s="398"/>
      <c r="T66" s="398"/>
      <c r="U66" s="398"/>
      <c r="V66" s="738"/>
      <c r="W66" s="738"/>
      <c r="X66" s="738"/>
    </row>
    <row r="67" spans="1:24" ht="15.75" customHeight="1">
      <c r="A67" s="350">
        <f>A50+1</f>
        <v>6</v>
      </c>
      <c r="B67" s="359" t="s">
        <v>412</v>
      </c>
      <c r="C67" s="330"/>
      <c r="D67" s="330"/>
      <c r="E67" s="330"/>
      <c r="F67" s="330"/>
      <c r="G67" s="330"/>
      <c r="H67" s="330"/>
      <c r="I67" s="330"/>
      <c r="J67" s="330"/>
      <c r="K67" s="330"/>
      <c r="L67" s="330"/>
      <c r="M67" s="330"/>
      <c r="N67" s="330"/>
      <c r="O67" s="349"/>
      <c r="P67" s="784"/>
      <c r="Q67" s="398"/>
      <c r="R67" s="779"/>
      <c r="S67" s="398"/>
      <c r="T67" s="398"/>
      <c r="U67" s="398"/>
      <c r="V67" s="738"/>
      <c r="W67" s="738"/>
      <c r="X67" s="738"/>
    </row>
    <row r="68" spans="1:24" ht="15.75" customHeight="1">
      <c r="A68" s="355" t="s">
        <v>95</v>
      </c>
      <c r="B68" s="351" t="s">
        <v>413</v>
      </c>
      <c r="C68" s="330">
        <f>C64-(0.2*2)</f>
        <v>7.6</v>
      </c>
      <c r="D68" s="330">
        <f>C65-(0.2*2)</f>
        <v>4.5999999999999996</v>
      </c>
      <c r="E68" s="330">
        <f>0.3-E69-E70</f>
        <v>0.18</v>
      </c>
      <c r="F68" s="330"/>
      <c r="G68" s="330"/>
      <c r="H68" s="330"/>
      <c r="I68" s="330"/>
      <c r="J68" s="330"/>
      <c r="K68" s="330"/>
      <c r="L68" s="330"/>
      <c r="M68" s="330"/>
      <c r="N68" s="330">
        <f>C68*D68*E68</f>
        <v>6.2927999999999988</v>
      </c>
      <c r="O68" s="349" t="s">
        <v>103</v>
      </c>
      <c r="P68" s="784">
        <f>ROUND((N68),2)</f>
        <v>6.29</v>
      </c>
      <c r="Q68" s="398"/>
      <c r="R68" s="779"/>
      <c r="S68" s="398"/>
      <c r="T68" s="398"/>
      <c r="U68" s="398"/>
      <c r="V68" s="738"/>
      <c r="W68" s="738"/>
      <c r="X68" s="738"/>
    </row>
    <row r="69" spans="1:24" ht="15.75" customHeight="1">
      <c r="A69" s="355" t="s">
        <v>98</v>
      </c>
      <c r="B69" s="351" t="s">
        <v>415</v>
      </c>
      <c r="C69" s="330">
        <f t="shared" ref="C69:D71" si="4">C68</f>
        <v>7.6</v>
      </c>
      <c r="D69" s="330">
        <f t="shared" si="4"/>
        <v>4.5999999999999996</v>
      </c>
      <c r="E69" s="330">
        <v>0.05</v>
      </c>
      <c r="F69" s="330"/>
      <c r="G69" s="330"/>
      <c r="H69" s="330"/>
      <c r="I69" s="330"/>
      <c r="J69" s="330"/>
      <c r="K69" s="330"/>
      <c r="L69" s="330"/>
      <c r="M69" s="330"/>
      <c r="N69" s="330">
        <f>C69*D69*E69</f>
        <v>1.7479999999999998</v>
      </c>
      <c r="O69" s="349" t="s">
        <v>103</v>
      </c>
      <c r="P69" s="784">
        <f>ROUND((N69),2)</f>
        <v>1.75</v>
      </c>
      <c r="Q69" s="398"/>
      <c r="R69" s="779"/>
      <c r="S69" s="398"/>
      <c r="T69" s="398"/>
      <c r="U69" s="398"/>
      <c r="V69" s="738"/>
      <c r="W69" s="738"/>
      <c r="X69" s="738"/>
    </row>
    <row r="70" spans="1:24" ht="15.75" customHeight="1">
      <c r="A70" s="355" t="s">
        <v>101</v>
      </c>
      <c r="B70" s="351" t="s">
        <v>1172</v>
      </c>
      <c r="C70" s="330">
        <f t="shared" si="4"/>
        <v>7.6</v>
      </c>
      <c r="D70" s="330">
        <f t="shared" si="4"/>
        <v>4.5999999999999996</v>
      </c>
      <c r="E70" s="330">
        <v>7.0000000000000007E-2</v>
      </c>
      <c r="F70" s="330"/>
      <c r="G70" s="330"/>
      <c r="H70" s="330"/>
      <c r="I70" s="330"/>
      <c r="J70" s="330"/>
      <c r="K70" s="330"/>
      <c r="L70" s="330"/>
      <c r="M70" s="330"/>
      <c r="N70" s="330">
        <f>C70*D70*E70</f>
        <v>2.4471999999999996</v>
      </c>
      <c r="O70" s="349" t="s">
        <v>103</v>
      </c>
      <c r="P70" s="784">
        <f>ROUND((N70),2)</f>
        <v>2.4500000000000002</v>
      </c>
      <c r="Q70" s="398"/>
      <c r="R70" s="779"/>
      <c r="S70" s="398"/>
      <c r="T70" s="398"/>
      <c r="U70" s="398"/>
      <c r="V70" s="738"/>
      <c r="W70" s="738"/>
      <c r="X70" s="738"/>
    </row>
    <row r="71" spans="1:24" ht="15.75" customHeight="1">
      <c r="A71" s="355" t="s">
        <v>121</v>
      </c>
      <c r="B71" s="351" t="s">
        <v>194</v>
      </c>
      <c r="C71" s="330">
        <f t="shared" si="4"/>
        <v>7.6</v>
      </c>
      <c r="D71" s="330">
        <f t="shared" si="4"/>
        <v>4.5999999999999996</v>
      </c>
      <c r="E71" s="330"/>
      <c r="F71" s="330"/>
      <c r="G71" s="330"/>
      <c r="H71" s="330"/>
      <c r="I71" s="330"/>
      <c r="J71" s="330"/>
      <c r="K71" s="330"/>
      <c r="L71" s="330"/>
      <c r="M71" s="330"/>
      <c r="N71" s="330">
        <f>C71*D71</f>
        <v>34.959999999999994</v>
      </c>
      <c r="O71" s="349" t="s">
        <v>89</v>
      </c>
      <c r="P71" s="784">
        <f>ROUND((N71),2)</f>
        <v>34.96</v>
      </c>
      <c r="Q71" s="398"/>
      <c r="R71" s="779"/>
      <c r="S71" s="398"/>
      <c r="T71" s="398"/>
      <c r="U71" s="398"/>
      <c r="V71" s="738"/>
      <c r="W71" s="738"/>
      <c r="X71" s="738"/>
    </row>
    <row r="72" spans="1:24" ht="15.75" customHeight="1">
      <c r="A72" s="350">
        <f>A67+1</f>
        <v>7</v>
      </c>
      <c r="B72" s="359" t="s">
        <v>416</v>
      </c>
      <c r="C72" s="330"/>
      <c r="D72" s="330"/>
      <c r="E72" s="330"/>
      <c r="F72" s="330"/>
      <c r="G72" s="330"/>
      <c r="H72" s="330"/>
      <c r="I72" s="330"/>
      <c r="J72" s="330"/>
      <c r="K72" s="330"/>
      <c r="L72" s="330"/>
      <c r="M72" s="330"/>
      <c r="N72" s="330"/>
      <c r="O72" s="349"/>
      <c r="P72" s="784"/>
      <c r="Q72" s="398"/>
      <c r="R72" s="779"/>
      <c r="S72" s="398"/>
      <c r="T72" s="398"/>
      <c r="U72" s="398"/>
      <c r="V72" s="738"/>
      <c r="W72" s="738"/>
      <c r="X72" s="738"/>
    </row>
    <row r="73" spans="1:24" ht="15.75" customHeight="1">
      <c r="A73" s="355" t="s">
        <v>95</v>
      </c>
      <c r="B73" s="359" t="s">
        <v>417</v>
      </c>
      <c r="C73" s="330"/>
      <c r="D73" s="330">
        <v>0.25</v>
      </c>
      <c r="E73" s="330">
        <v>0.9</v>
      </c>
      <c r="F73" s="330"/>
      <c r="G73" s="330"/>
      <c r="H73" s="330">
        <v>4</v>
      </c>
      <c r="I73" s="330"/>
      <c r="J73" s="330"/>
      <c r="K73" s="330"/>
      <c r="L73" s="330"/>
      <c r="M73" s="330">
        <f>M14</f>
        <v>6</v>
      </c>
      <c r="N73" s="330">
        <f>D73*(E73+K73)*H73*M73</f>
        <v>5.4</v>
      </c>
      <c r="O73" s="349" t="s">
        <v>89</v>
      </c>
      <c r="P73" s="784">
        <f>ROUND((N73),2)</f>
        <v>5.4</v>
      </c>
      <c r="Q73" s="398"/>
      <c r="R73" s="779"/>
      <c r="S73" s="398"/>
      <c r="T73" s="398"/>
      <c r="U73" s="398"/>
      <c r="V73" s="738"/>
      <c r="W73" s="738"/>
      <c r="X73" s="738"/>
    </row>
    <row r="74" spans="1:24" ht="15.75" customHeight="1">
      <c r="A74" s="355" t="s">
        <v>98</v>
      </c>
      <c r="B74" s="359" t="s">
        <v>1042</v>
      </c>
      <c r="C74" s="330"/>
      <c r="D74" s="330"/>
      <c r="E74" s="330">
        <v>1.4</v>
      </c>
      <c r="F74" s="330">
        <v>8</v>
      </c>
      <c r="G74" s="330"/>
      <c r="H74" s="330"/>
      <c r="I74" s="330"/>
      <c r="J74" s="330">
        <v>0.2</v>
      </c>
      <c r="K74" s="330"/>
      <c r="L74" s="330">
        <f>13*13*0.006165</f>
        <v>1.041885</v>
      </c>
      <c r="M74" s="330">
        <f>M73</f>
        <v>6</v>
      </c>
      <c r="N74" s="330">
        <f>(E74+J74)*F74*L74*M74</f>
        <v>80.016767999999985</v>
      </c>
      <c r="O74" s="349" t="s">
        <v>100</v>
      </c>
      <c r="P74" s="784">
        <f>ROUND((N74),2)</f>
        <v>80.02</v>
      </c>
      <c r="Q74" s="398"/>
      <c r="R74" s="779"/>
      <c r="S74" s="398"/>
      <c r="T74" s="398"/>
      <c r="U74" s="398"/>
      <c r="V74" s="738"/>
      <c r="W74" s="738"/>
      <c r="X74" s="738"/>
    </row>
    <row r="75" spans="1:24" ht="15.75" customHeight="1">
      <c r="A75" s="355" t="s">
        <v>101</v>
      </c>
      <c r="B75" s="359" t="s">
        <v>428</v>
      </c>
      <c r="C75" s="330">
        <f>0.22*4</f>
        <v>0.88</v>
      </c>
      <c r="D75" s="330"/>
      <c r="E75" s="330"/>
      <c r="F75" s="330">
        <f>ROUNDDOWN((E74/0.15),0.1)</f>
        <v>9</v>
      </c>
      <c r="G75" s="330"/>
      <c r="H75" s="330"/>
      <c r="I75" s="330">
        <f>0.05*2</f>
        <v>0.1</v>
      </c>
      <c r="J75" s="330"/>
      <c r="K75" s="330"/>
      <c r="L75" s="330">
        <f>8*8*0.006165</f>
        <v>0.39456000000000002</v>
      </c>
      <c r="M75" s="330">
        <f>M74</f>
        <v>6</v>
      </c>
      <c r="N75" s="330">
        <f>(C75+I75)*F75*L75*M75</f>
        <v>20.880115199999999</v>
      </c>
      <c r="O75" s="349" t="s">
        <v>100</v>
      </c>
      <c r="P75" s="784">
        <f>ROUND((N75),2)</f>
        <v>20.88</v>
      </c>
      <c r="Q75" s="398"/>
      <c r="R75" s="779"/>
      <c r="S75" s="398"/>
      <c r="T75" s="398"/>
      <c r="U75" s="398"/>
      <c r="V75" s="738"/>
      <c r="W75" s="738"/>
      <c r="X75" s="738"/>
    </row>
    <row r="76" spans="1:24" ht="15.75" customHeight="1">
      <c r="A76" s="355" t="s">
        <v>121</v>
      </c>
      <c r="B76" s="359" t="s">
        <v>1043</v>
      </c>
      <c r="C76" s="330">
        <v>0.25</v>
      </c>
      <c r="D76" s="330">
        <v>0.25</v>
      </c>
      <c r="E76" s="330">
        <f>E73</f>
        <v>0.9</v>
      </c>
      <c r="F76" s="330"/>
      <c r="G76" s="330"/>
      <c r="H76" s="330"/>
      <c r="I76" s="330"/>
      <c r="J76" s="330"/>
      <c r="K76" s="330"/>
      <c r="L76" s="330"/>
      <c r="M76" s="330">
        <f>M74</f>
        <v>6</v>
      </c>
      <c r="N76" s="330">
        <f>C76*D76*(E76+K76)*M76</f>
        <v>0.33750000000000002</v>
      </c>
      <c r="O76" s="349" t="s">
        <v>103</v>
      </c>
      <c r="P76" s="784">
        <f>ROUND((N76),2)</f>
        <v>0.34</v>
      </c>
      <c r="Q76" s="398"/>
      <c r="R76" s="779"/>
      <c r="S76" s="398"/>
      <c r="T76" s="398"/>
      <c r="U76" s="398"/>
      <c r="V76" s="738"/>
      <c r="W76" s="738"/>
      <c r="X76" s="738"/>
    </row>
    <row r="77" spans="1:24" ht="15.75" customHeight="1">
      <c r="A77" s="350">
        <f>A72+1</f>
        <v>8</v>
      </c>
      <c r="B77" s="359" t="s">
        <v>421</v>
      </c>
      <c r="C77" s="330"/>
      <c r="D77" s="330"/>
      <c r="E77" s="330"/>
      <c r="F77" s="330"/>
      <c r="G77" s="330"/>
      <c r="H77" s="330"/>
      <c r="I77" s="330"/>
      <c r="J77" s="330"/>
      <c r="K77" s="330"/>
      <c r="L77" s="330"/>
      <c r="M77" s="330"/>
      <c r="N77" s="330"/>
      <c r="O77" s="349"/>
      <c r="P77" s="784"/>
      <c r="Q77" s="398"/>
      <c r="R77" s="779"/>
      <c r="S77" s="398"/>
      <c r="T77" s="398"/>
      <c r="U77" s="398"/>
      <c r="V77" s="738"/>
      <c r="W77" s="738"/>
      <c r="X77" s="738"/>
    </row>
    <row r="78" spans="1:24" ht="15.75" customHeight="1">
      <c r="A78" s="355" t="s">
        <v>95</v>
      </c>
      <c r="B78" s="359" t="s">
        <v>417</v>
      </c>
      <c r="C78" s="330"/>
      <c r="D78" s="330">
        <v>0.25</v>
      </c>
      <c r="E78" s="330">
        <v>3.58</v>
      </c>
      <c r="F78" s="330"/>
      <c r="G78" s="330"/>
      <c r="H78" s="330">
        <v>4</v>
      </c>
      <c r="I78" s="330"/>
      <c r="J78" s="330"/>
      <c r="K78" s="330"/>
      <c r="L78" s="330"/>
      <c r="M78" s="330">
        <v>6</v>
      </c>
      <c r="N78" s="330">
        <f>D78*E78*H78*M78</f>
        <v>21.48</v>
      </c>
      <c r="O78" s="349" t="s">
        <v>89</v>
      </c>
      <c r="P78" s="784">
        <f>ROUND((N78),2)</f>
        <v>21.48</v>
      </c>
      <c r="Q78" s="398"/>
      <c r="R78" s="779"/>
      <c r="S78" s="398"/>
      <c r="T78" s="398"/>
      <c r="U78" s="398"/>
      <c r="V78" s="738"/>
      <c r="W78" s="738"/>
      <c r="X78" s="738"/>
    </row>
    <row r="79" spans="1:24" ht="15.75" customHeight="1">
      <c r="A79" s="355" t="s">
        <v>98</v>
      </c>
      <c r="B79" s="359" t="s">
        <v>1042</v>
      </c>
      <c r="C79" s="330"/>
      <c r="D79" s="330"/>
      <c r="E79" s="330">
        <f>E78</f>
        <v>3.58</v>
      </c>
      <c r="F79" s="330">
        <v>8</v>
      </c>
      <c r="G79" s="330"/>
      <c r="H79" s="330"/>
      <c r="I79" s="330"/>
      <c r="J79" s="330">
        <v>0.2</v>
      </c>
      <c r="K79" s="330"/>
      <c r="L79" s="330">
        <f>13*13*0.006165</f>
        <v>1.041885</v>
      </c>
      <c r="M79" s="330">
        <f>M78</f>
        <v>6</v>
      </c>
      <c r="N79" s="330">
        <f>(E79+J79)*F79*L79*M79</f>
        <v>189.0396144</v>
      </c>
      <c r="O79" s="349" t="s">
        <v>100</v>
      </c>
      <c r="P79" s="784">
        <f>ROUND((N79),2)</f>
        <v>189.04</v>
      </c>
      <c r="Q79" s="398"/>
      <c r="R79" s="779"/>
      <c r="S79" s="398"/>
      <c r="T79" s="398"/>
      <c r="U79" s="398"/>
      <c r="V79" s="738"/>
      <c r="W79" s="738"/>
      <c r="X79" s="738"/>
    </row>
    <row r="80" spans="1:24" ht="15.75" customHeight="1">
      <c r="A80" s="355" t="s">
        <v>101</v>
      </c>
      <c r="B80" s="359" t="s">
        <v>428</v>
      </c>
      <c r="C80" s="330">
        <f>0.22*4</f>
        <v>0.88</v>
      </c>
      <c r="D80" s="330"/>
      <c r="E80" s="330"/>
      <c r="F80" s="330">
        <f>ROUNDDOWN((E79/0.125),0.5)</f>
        <v>28</v>
      </c>
      <c r="G80" s="330"/>
      <c r="H80" s="330"/>
      <c r="I80" s="330">
        <f>0.05*2</f>
        <v>0.1</v>
      </c>
      <c r="J80" s="330"/>
      <c r="K80" s="330"/>
      <c r="L80" s="330">
        <f>8*8*0.006165</f>
        <v>0.39456000000000002</v>
      </c>
      <c r="M80" s="330">
        <f>M79</f>
        <v>6</v>
      </c>
      <c r="N80" s="330">
        <f>(C80+I80)*F80*L80*M80</f>
        <v>64.960358400000004</v>
      </c>
      <c r="O80" s="349" t="s">
        <v>100</v>
      </c>
      <c r="P80" s="784">
        <f>ROUND((N80),2)</f>
        <v>64.959999999999994</v>
      </c>
      <c r="Q80" s="398"/>
      <c r="R80" s="779"/>
      <c r="S80" s="398"/>
      <c r="T80" s="398"/>
      <c r="U80" s="398"/>
      <c r="V80" s="738"/>
      <c r="W80" s="738"/>
      <c r="X80" s="738"/>
    </row>
    <row r="81" spans="1:24" ht="15.75" customHeight="1">
      <c r="A81" s="355" t="s">
        <v>121</v>
      </c>
      <c r="B81" s="359" t="s">
        <v>1043</v>
      </c>
      <c r="C81" s="330">
        <v>0.25</v>
      </c>
      <c r="D81" s="330">
        <v>0.25</v>
      </c>
      <c r="E81" s="330">
        <f>E79</f>
        <v>3.58</v>
      </c>
      <c r="F81" s="330"/>
      <c r="G81" s="330"/>
      <c r="H81" s="330"/>
      <c r="I81" s="330"/>
      <c r="J81" s="330"/>
      <c r="K81" s="330"/>
      <c r="L81" s="330"/>
      <c r="M81" s="330">
        <f>M79</f>
        <v>6</v>
      </c>
      <c r="N81" s="330">
        <f>C81*D81*E81*M81</f>
        <v>1.3425</v>
      </c>
      <c r="O81" s="349" t="s">
        <v>103</v>
      </c>
      <c r="P81" s="784">
        <f>ROUND((N81),2)</f>
        <v>1.34</v>
      </c>
      <c r="Q81" s="398"/>
      <c r="R81" s="779"/>
      <c r="S81" s="398"/>
      <c r="T81" s="398"/>
      <c r="U81" s="398"/>
      <c r="V81" s="738"/>
      <c r="W81" s="738"/>
      <c r="X81" s="738"/>
    </row>
    <row r="82" spans="1:24" ht="15.75" customHeight="1">
      <c r="A82" s="350">
        <f>A77+1</f>
        <v>9</v>
      </c>
      <c r="B82" s="351" t="s">
        <v>422</v>
      </c>
      <c r="C82" s="330"/>
      <c r="D82" s="330"/>
      <c r="E82" s="330"/>
      <c r="F82" s="330"/>
      <c r="G82" s="330"/>
      <c r="H82" s="330"/>
      <c r="I82" s="330"/>
      <c r="J82" s="330"/>
      <c r="K82" s="330"/>
      <c r="L82" s="330"/>
      <c r="M82" s="330"/>
      <c r="N82" s="330"/>
      <c r="O82" s="349"/>
      <c r="P82" s="784"/>
      <c r="Q82" s="398"/>
      <c r="R82" s="779"/>
      <c r="S82" s="398"/>
      <c r="T82" s="398"/>
      <c r="U82" s="398"/>
      <c r="V82" s="738"/>
      <c r="W82" s="738"/>
      <c r="X82" s="738"/>
    </row>
    <row r="83" spans="1:24" ht="15.75" customHeight="1">
      <c r="A83" s="355" t="s">
        <v>95</v>
      </c>
      <c r="B83" s="359" t="s">
        <v>423</v>
      </c>
      <c r="C83" s="330"/>
      <c r="D83" s="330"/>
      <c r="E83" s="330"/>
      <c r="F83" s="330"/>
      <c r="G83" s="330"/>
      <c r="H83" s="330"/>
      <c r="I83" s="330"/>
      <c r="J83" s="330"/>
      <c r="K83" s="330"/>
      <c r="L83" s="330"/>
      <c r="M83" s="330"/>
      <c r="N83" s="330"/>
      <c r="O83" s="349"/>
      <c r="P83" s="784"/>
      <c r="Q83" s="398"/>
      <c r="R83" s="779"/>
      <c r="S83" s="398"/>
      <c r="T83" s="398"/>
      <c r="U83" s="398"/>
      <c r="V83" s="738"/>
      <c r="W83" s="738"/>
      <c r="X83" s="738"/>
    </row>
    <row r="84" spans="1:24" ht="15.75" customHeight="1">
      <c r="A84" s="355"/>
      <c r="B84" s="567" t="s">
        <v>226</v>
      </c>
      <c r="C84" s="330">
        <f>C64</f>
        <v>8</v>
      </c>
      <c r="D84" s="330"/>
      <c r="E84" s="330">
        <v>0.35</v>
      </c>
      <c r="F84" s="330"/>
      <c r="G84" s="330"/>
      <c r="H84" s="330">
        <v>2</v>
      </c>
      <c r="I84" s="330"/>
      <c r="J84" s="330"/>
      <c r="K84" s="330"/>
      <c r="L84" s="330"/>
      <c r="M84" s="330">
        <v>2</v>
      </c>
      <c r="N84" s="330">
        <f>C84*E84*H84*M84</f>
        <v>11.2</v>
      </c>
      <c r="O84" s="349"/>
      <c r="P84" s="784"/>
      <c r="Q84" s="398"/>
      <c r="R84" s="779"/>
      <c r="S84" s="398"/>
      <c r="T84" s="398"/>
      <c r="U84" s="398"/>
      <c r="V84" s="738"/>
      <c r="W84" s="738"/>
      <c r="X84" s="738"/>
    </row>
    <row r="85" spans="1:24" ht="15.75" customHeight="1">
      <c r="A85" s="355"/>
      <c r="B85" s="567"/>
      <c r="C85" s="330">
        <f>C84</f>
        <v>8</v>
      </c>
      <c r="D85" s="330">
        <v>0.2</v>
      </c>
      <c r="E85" s="330"/>
      <c r="F85" s="330"/>
      <c r="G85" s="330"/>
      <c r="H85" s="330">
        <v>1</v>
      </c>
      <c r="I85" s="330"/>
      <c r="J85" s="330"/>
      <c r="K85" s="330"/>
      <c r="L85" s="330"/>
      <c r="M85" s="330">
        <f>M84</f>
        <v>2</v>
      </c>
      <c r="N85" s="330">
        <f>C85*D85*H85*M85</f>
        <v>3.2</v>
      </c>
      <c r="O85" s="349"/>
      <c r="P85" s="784"/>
      <c r="Q85" s="398"/>
      <c r="R85" s="779"/>
      <c r="S85" s="398"/>
      <c r="T85" s="398"/>
      <c r="U85" s="398"/>
      <c r="V85" s="738"/>
      <c r="W85" s="738"/>
      <c r="X85" s="738"/>
    </row>
    <row r="86" spans="1:24" ht="15.75" customHeight="1">
      <c r="A86" s="355"/>
      <c r="B86" s="567" t="s">
        <v>227</v>
      </c>
      <c r="C86" s="330">
        <f>C65</f>
        <v>5</v>
      </c>
      <c r="D86" s="330"/>
      <c r="E86" s="330">
        <f>E84</f>
        <v>0.35</v>
      </c>
      <c r="F86" s="330"/>
      <c r="G86" s="330"/>
      <c r="H86" s="330">
        <f>H84</f>
        <v>2</v>
      </c>
      <c r="I86" s="330"/>
      <c r="J86" s="330"/>
      <c r="K86" s="330"/>
      <c r="L86" s="330"/>
      <c r="M86" s="330">
        <v>2</v>
      </c>
      <c r="N86" s="330">
        <f>C86*E86*H86*M86</f>
        <v>7</v>
      </c>
      <c r="O86" s="349"/>
      <c r="P86" s="784"/>
      <c r="Q86" s="398"/>
      <c r="R86" s="779"/>
      <c r="S86" s="398"/>
      <c r="T86" s="398"/>
      <c r="U86" s="398"/>
      <c r="V86" s="738"/>
      <c r="W86" s="738"/>
      <c r="X86" s="738"/>
    </row>
    <row r="87" spans="1:24" ht="15.75" customHeight="1">
      <c r="A87" s="355"/>
      <c r="B87" s="567"/>
      <c r="C87" s="330">
        <f>C86</f>
        <v>5</v>
      </c>
      <c r="D87" s="330">
        <f>D85</f>
        <v>0.2</v>
      </c>
      <c r="E87" s="330"/>
      <c r="F87" s="330"/>
      <c r="G87" s="330"/>
      <c r="H87" s="330">
        <f>H85</f>
        <v>1</v>
      </c>
      <c r="I87" s="330"/>
      <c r="J87" s="330"/>
      <c r="K87" s="330"/>
      <c r="L87" s="330"/>
      <c r="M87" s="330">
        <f>M86</f>
        <v>2</v>
      </c>
      <c r="N87" s="752">
        <f>C87*D87*H87*M87</f>
        <v>2</v>
      </c>
      <c r="O87" s="349"/>
      <c r="P87" s="784"/>
      <c r="Q87" s="398"/>
      <c r="R87" s="779"/>
      <c r="S87" s="398"/>
      <c r="T87" s="398"/>
      <c r="U87" s="398"/>
      <c r="V87" s="738"/>
      <c r="W87" s="738"/>
      <c r="X87" s="738"/>
    </row>
    <row r="88" spans="1:24" ht="15.75" customHeight="1">
      <c r="A88" s="355"/>
      <c r="B88" s="359"/>
      <c r="C88" s="330"/>
      <c r="D88" s="330"/>
      <c r="E88" s="330"/>
      <c r="F88" s="330"/>
      <c r="G88" s="330"/>
      <c r="H88" s="330"/>
      <c r="I88" s="330"/>
      <c r="J88" s="330"/>
      <c r="K88" s="330"/>
      <c r="L88" s="330"/>
      <c r="M88" s="330"/>
      <c r="N88" s="330">
        <f>SUM(N84:N87)</f>
        <v>23.4</v>
      </c>
      <c r="O88" s="349" t="s">
        <v>89</v>
      </c>
      <c r="P88" s="784">
        <f>ROUND((N88),2)</f>
        <v>23.4</v>
      </c>
      <c r="Q88" s="398"/>
      <c r="R88" s="779"/>
      <c r="S88" s="398"/>
      <c r="T88" s="398"/>
      <c r="U88" s="398"/>
      <c r="V88" s="738"/>
      <c r="W88" s="738"/>
      <c r="X88" s="738"/>
    </row>
    <row r="89" spans="1:24" ht="15.75" customHeight="1">
      <c r="A89" s="355" t="s">
        <v>98</v>
      </c>
      <c r="B89" s="351" t="s">
        <v>925</v>
      </c>
      <c r="C89" s="330"/>
      <c r="D89" s="330"/>
      <c r="E89" s="330"/>
      <c r="F89" s="330"/>
      <c r="G89" s="330"/>
      <c r="H89" s="330"/>
      <c r="I89" s="330"/>
      <c r="J89" s="330"/>
      <c r="K89" s="330"/>
      <c r="L89" s="330"/>
      <c r="M89" s="330"/>
      <c r="N89" s="330"/>
      <c r="O89" s="349"/>
      <c r="P89" s="784"/>
      <c r="Q89" s="398"/>
      <c r="R89" s="779"/>
      <c r="S89" s="398"/>
      <c r="T89" s="398"/>
      <c r="U89" s="398"/>
      <c r="V89" s="738"/>
      <c r="W89" s="738"/>
      <c r="X89" s="738"/>
    </row>
    <row r="90" spans="1:24" ht="15.75" customHeight="1">
      <c r="A90" s="355"/>
      <c r="B90" s="359"/>
      <c r="C90" s="330">
        <f>C84</f>
        <v>8</v>
      </c>
      <c r="D90" s="330"/>
      <c r="E90" s="330"/>
      <c r="F90" s="330">
        <v>5</v>
      </c>
      <c r="G90" s="330"/>
      <c r="H90" s="330"/>
      <c r="I90" s="330"/>
      <c r="J90" s="330"/>
      <c r="K90" s="330"/>
      <c r="L90" s="330">
        <f>13*13*0.006165</f>
        <v>1.041885</v>
      </c>
      <c r="M90" s="330">
        <f>M84</f>
        <v>2</v>
      </c>
      <c r="N90" s="330">
        <f>C90*F90*L90*M90</f>
        <v>83.350799999999992</v>
      </c>
      <c r="O90" s="349"/>
      <c r="P90" s="784"/>
      <c r="Q90" s="398"/>
      <c r="R90" s="779"/>
      <c r="S90" s="398"/>
      <c r="T90" s="398"/>
      <c r="U90" s="398"/>
      <c r="V90" s="738"/>
      <c r="W90" s="738"/>
      <c r="X90" s="738"/>
    </row>
    <row r="91" spans="1:24" ht="15.75" customHeight="1">
      <c r="A91" s="355"/>
      <c r="B91" s="359"/>
      <c r="C91" s="330">
        <f>C86</f>
        <v>5</v>
      </c>
      <c r="D91" s="330"/>
      <c r="E91" s="330"/>
      <c r="F91" s="330">
        <f>F90</f>
        <v>5</v>
      </c>
      <c r="G91" s="330"/>
      <c r="H91" s="330"/>
      <c r="I91" s="330"/>
      <c r="J91" s="330"/>
      <c r="K91" s="330"/>
      <c r="L91" s="330">
        <f>L90</f>
        <v>1.041885</v>
      </c>
      <c r="M91" s="330">
        <f>M86</f>
        <v>2</v>
      </c>
      <c r="N91" s="752">
        <f>C91*F91*L91*M91</f>
        <v>52.094249999999995</v>
      </c>
      <c r="O91" s="349"/>
      <c r="P91" s="784"/>
      <c r="Q91" s="398"/>
      <c r="R91" s="779"/>
      <c r="S91" s="398"/>
      <c r="T91" s="398"/>
      <c r="U91" s="398"/>
      <c r="V91" s="738"/>
      <c r="W91" s="738"/>
      <c r="X91" s="738"/>
    </row>
    <row r="92" spans="1:24" ht="15.75" customHeight="1">
      <c r="A92" s="355"/>
      <c r="B92" s="359"/>
      <c r="C92" s="330"/>
      <c r="D92" s="330"/>
      <c r="E92" s="330"/>
      <c r="F92" s="330"/>
      <c r="G92" s="330"/>
      <c r="H92" s="330"/>
      <c r="I92" s="330"/>
      <c r="J92" s="330"/>
      <c r="K92" s="330"/>
      <c r="L92" s="330"/>
      <c r="M92" s="330"/>
      <c r="N92" s="401">
        <f>SUM(N90:N91)</f>
        <v>135.44504999999998</v>
      </c>
      <c r="O92" s="349" t="s">
        <v>100</v>
      </c>
      <c r="P92" s="784">
        <f>ROUND((N92),2)</f>
        <v>135.44999999999999</v>
      </c>
      <c r="Q92" s="398"/>
      <c r="R92" s="779"/>
      <c r="S92" s="398"/>
      <c r="T92" s="398"/>
      <c r="U92" s="398"/>
      <c r="V92" s="738"/>
      <c r="W92" s="738"/>
      <c r="X92" s="738"/>
    </row>
    <row r="93" spans="1:24" ht="15.75" customHeight="1">
      <c r="A93" s="355" t="s">
        <v>101</v>
      </c>
      <c r="B93" s="351" t="s">
        <v>411</v>
      </c>
      <c r="C93" s="330"/>
      <c r="D93" s="330"/>
      <c r="E93" s="330"/>
      <c r="F93" s="330"/>
      <c r="G93" s="330"/>
      <c r="H93" s="330"/>
      <c r="I93" s="330"/>
      <c r="J93" s="330"/>
      <c r="K93" s="330"/>
      <c r="L93" s="330"/>
      <c r="M93" s="330"/>
      <c r="N93" s="330"/>
      <c r="O93" s="349"/>
      <c r="P93" s="784"/>
      <c r="Q93" s="398"/>
      <c r="R93" s="779"/>
      <c r="S93" s="398"/>
      <c r="T93" s="398"/>
      <c r="U93" s="398"/>
      <c r="V93" s="738"/>
      <c r="W93" s="738"/>
      <c r="X93" s="738"/>
    </row>
    <row r="94" spans="1:24" ht="15.75" customHeight="1">
      <c r="A94" s="355"/>
      <c r="B94" s="359"/>
      <c r="C94" s="330">
        <f>(0.17+0.22)*2</f>
        <v>0.78</v>
      </c>
      <c r="D94" s="330"/>
      <c r="E94" s="330"/>
      <c r="F94" s="330">
        <f>ROUNDDOWN((C90/0.125),0.1)</f>
        <v>64</v>
      </c>
      <c r="G94" s="330"/>
      <c r="H94" s="330"/>
      <c r="I94" s="330">
        <f>0.05*2</f>
        <v>0.1</v>
      </c>
      <c r="J94" s="330"/>
      <c r="K94" s="330"/>
      <c r="L94" s="330">
        <f>8*8*0.006165</f>
        <v>0.39456000000000002</v>
      </c>
      <c r="M94" s="330">
        <f>M90</f>
        <v>2</v>
      </c>
      <c r="N94" s="330">
        <f>(C94+I94)*F94*L94*M94</f>
        <v>44.443238400000006</v>
      </c>
      <c r="O94" s="349"/>
      <c r="P94" s="784"/>
      <c r="Q94" s="398"/>
      <c r="R94" s="779"/>
      <c r="S94" s="398"/>
      <c r="T94" s="398"/>
      <c r="U94" s="398"/>
      <c r="V94" s="738"/>
      <c r="W94" s="738"/>
      <c r="X94" s="738"/>
    </row>
    <row r="95" spans="1:24" ht="15.75" customHeight="1">
      <c r="A95" s="355"/>
      <c r="B95" s="359"/>
      <c r="C95" s="330">
        <f>C94</f>
        <v>0.78</v>
      </c>
      <c r="D95" s="330"/>
      <c r="E95" s="330"/>
      <c r="F95" s="330">
        <f>ROUNDDOWN((C91/0.125),0.1)</f>
        <v>40</v>
      </c>
      <c r="G95" s="330"/>
      <c r="H95" s="330"/>
      <c r="I95" s="330">
        <f>I94</f>
        <v>0.1</v>
      </c>
      <c r="J95" s="330"/>
      <c r="K95" s="330"/>
      <c r="L95" s="330">
        <f>L94</f>
        <v>0.39456000000000002</v>
      </c>
      <c r="M95" s="330">
        <f>M91</f>
        <v>2</v>
      </c>
      <c r="N95" s="752">
        <f>(C95+I95)*F95*L95*M95</f>
        <v>27.777024000000004</v>
      </c>
      <c r="O95" s="349"/>
      <c r="P95" s="784"/>
      <c r="Q95" s="398"/>
      <c r="R95" s="779"/>
      <c r="S95" s="398"/>
      <c r="T95" s="398"/>
      <c r="U95" s="398"/>
      <c r="V95" s="738"/>
      <c r="W95" s="738"/>
      <c r="X95" s="738"/>
    </row>
    <row r="96" spans="1:24" ht="15.75" customHeight="1">
      <c r="A96" s="355"/>
      <c r="B96" s="359"/>
      <c r="C96" s="330"/>
      <c r="D96" s="330"/>
      <c r="E96" s="330"/>
      <c r="F96" s="330"/>
      <c r="G96" s="330"/>
      <c r="H96" s="330"/>
      <c r="I96" s="330"/>
      <c r="J96" s="330"/>
      <c r="K96" s="330"/>
      <c r="L96" s="330"/>
      <c r="M96" s="330"/>
      <c r="N96" s="401">
        <f>SUM(N94:N95)</f>
        <v>72.22026240000001</v>
      </c>
      <c r="O96" s="349" t="s">
        <v>100</v>
      </c>
      <c r="P96" s="784">
        <f>ROUND((N96),2)</f>
        <v>72.22</v>
      </c>
      <c r="Q96" s="398"/>
      <c r="R96" s="779"/>
      <c r="S96" s="398"/>
      <c r="T96" s="398"/>
      <c r="U96" s="398"/>
      <c r="V96" s="738"/>
      <c r="W96" s="738"/>
      <c r="X96" s="738"/>
    </row>
    <row r="97" spans="1:24" ht="15.75" customHeight="1">
      <c r="A97" s="355" t="s">
        <v>121</v>
      </c>
      <c r="B97" s="359" t="s">
        <v>1043</v>
      </c>
      <c r="C97" s="330"/>
      <c r="D97" s="330"/>
      <c r="E97" s="330"/>
      <c r="F97" s="330"/>
      <c r="G97" s="330"/>
      <c r="H97" s="330"/>
      <c r="I97" s="330"/>
      <c r="J97" s="330"/>
      <c r="K97" s="330"/>
      <c r="L97" s="330"/>
      <c r="M97" s="330"/>
      <c r="N97" s="330"/>
      <c r="O97" s="349"/>
      <c r="P97" s="784"/>
      <c r="Q97" s="398"/>
      <c r="R97" s="779"/>
      <c r="S97" s="398"/>
      <c r="T97" s="398"/>
      <c r="U97" s="398"/>
      <c r="V97" s="738"/>
      <c r="W97" s="738"/>
      <c r="X97" s="738"/>
    </row>
    <row r="98" spans="1:24" ht="15.75" customHeight="1">
      <c r="A98" s="355"/>
      <c r="B98" s="359"/>
      <c r="C98" s="330">
        <f>C90</f>
        <v>8</v>
      </c>
      <c r="D98" s="330">
        <v>0.2</v>
      </c>
      <c r="E98" s="330">
        <v>0.35</v>
      </c>
      <c r="F98" s="330"/>
      <c r="G98" s="330"/>
      <c r="H98" s="330"/>
      <c r="I98" s="330"/>
      <c r="J98" s="330"/>
      <c r="K98" s="330"/>
      <c r="L98" s="330"/>
      <c r="M98" s="330">
        <f>M94</f>
        <v>2</v>
      </c>
      <c r="N98" s="330">
        <f>C98*D98*E98*M98</f>
        <v>1.1199999999999999</v>
      </c>
      <c r="O98" s="349"/>
      <c r="P98" s="784"/>
      <c r="Q98" s="398"/>
      <c r="R98" s="779"/>
      <c r="S98" s="398"/>
      <c r="T98" s="398"/>
      <c r="U98" s="398"/>
      <c r="V98" s="738"/>
      <c r="W98" s="738"/>
      <c r="X98" s="738"/>
    </row>
    <row r="99" spans="1:24" ht="15.75" customHeight="1">
      <c r="A99" s="355"/>
      <c r="B99" s="359"/>
      <c r="C99" s="330">
        <f>C91</f>
        <v>5</v>
      </c>
      <c r="D99" s="330">
        <f>D98</f>
        <v>0.2</v>
      </c>
      <c r="E99" s="330">
        <f>E98</f>
        <v>0.35</v>
      </c>
      <c r="F99" s="330"/>
      <c r="G99" s="330"/>
      <c r="H99" s="330"/>
      <c r="I99" s="330"/>
      <c r="J99" s="330"/>
      <c r="K99" s="330"/>
      <c r="L99" s="330"/>
      <c r="M99" s="330">
        <f>M95</f>
        <v>2</v>
      </c>
      <c r="N99" s="752">
        <f>C99*D99*E99*M99</f>
        <v>0.7</v>
      </c>
      <c r="O99" s="349"/>
      <c r="P99" s="784"/>
      <c r="Q99" s="398"/>
      <c r="R99" s="779"/>
      <c r="S99" s="398"/>
      <c r="T99" s="398"/>
      <c r="U99" s="398"/>
      <c r="V99" s="738"/>
      <c r="W99" s="738"/>
      <c r="X99" s="738"/>
    </row>
    <row r="100" spans="1:24" ht="15.75" customHeight="1">
      <c r="A100" s="355"/>
      <c r="B100" s="359"/>
      <c r="C100" s="330"/>
      <c r="D100" s="330"/>
      <c r="E100" s="330"/>
      <c r="F100" s="330"/>
      <c r="G100" s="330"/>
      <c r="H100" s="330"/>
      <c r="I100" s="330"/>
      <c r="J100" s="330"/>
      <c r="K100" s="330"/>
      <c r="L100" s="330"/>
      <c r="M100" s="330"/>
      <c r="N100" s="401">
        <f>SUM(N98:N99)</f>
        <v>1.8199999999999998</v>
      </c>
      <c r="O100" s="349" t="s">
        <v>103</v>
      </c>
      <c r="P100" s="784">
        <f>ROUND((N100),2)</f>
        <v>1.82</v>
      </c>
      <c r="Q100" s="398"/>
      <c r="R100" s="779"/>
      <c r="S100" s="398"/>
      <c r="T100" s="398"/>
      <c r="U100" s="398"/>
      <c r="V100" s="738"/>
      <c r="W100" s="738"/>
      <c r="X100" s="738"/>
    </row>
    <row r="101" spans="1:24" ht="15.75" customHeight="1">
      <c r="A101" s="350">
        <f>A82+1</f>
        <v>10</v>
      </c>
      <c r="B101" s="359" t="s">
        <v>553</v>
      </c>
      <c r="C101" s="330"/>
      <c r="D101" s="330"/>
      <c r="E101" s="330"/>
      <c r="F101" s="330"/>
      <c r="G101" s="330"/>
      <c r="H101" s="330"/>
      <c r="I101" s="330"/>
      <c r="J101" s="330"/>
      <c r="K101" s="330"/>
      <c r="L101" s="330"/>
      <c r="M101" s="330"/>
      <c r="N101" s="401">
        <f>SUM(N99:N100)</f>
        <v>2.5199999999999996</v>
      </c>
      <c r="O101" s="349" t="s">
        <v>103</v>
      </c>
      <c r="P101" s="784">
        <f>ROUND((N101),2)</f>
        <v>2.52</v>
      </c>
      <c r="Q101" s="398"/>
      <c r="R101" s="779"/>
      <c r="S101" s="398"/>
      <c r="T101" s="398"/>
      <c r="U101" s="398"/>
      <c r="V101" s="738"/>
      <c r="W101" s="738"/>
      <c r="X101" s="738"/>
    </row>
    <row r="102" spans="1:24" ht="15.75" customHeight="1">
      <c r="A102" s="355" t="s">
        <v>95</v>
      </c>
      <c r="B102" s="351" t="s">
        <v>423</v>
      </c>
      <c r="C102" s="330"/>
      <c r="D102" s="330"/>
      <c r="E102" s="330"/>
      <c r="F102" s="330"/>
      <c r="G102" s="330"/>
      <c r="H102" s="330"/>
      <c r="I102" s="330"/>
      <c r="J102" s="330"/>
      <c r="K102" s="330"/>
      <c r="L102" s="330"/>
      <c r="M102" s="330"/>
      <c r="N102" s="401"/>
      <c r="O102" s="349"/>
      <c r="P102" s="784"/>
      <c r="Q102" s="398"/>
      <c r="R102" s="779"/>
      <c r="S102" s="398"/>
      <c r="T102" s="398"/>
      <c r="U102" s="398"/>
      <c r="V102" s="738"/>
      <c r="W102" s="738"/>
      <c r="X102" s="738"/>
    </row>
    <row r="103" spans="1:24" ht="15.75" customHeight="1">
      <c r="A103" s="355"/>
      <c r="B103" s="351"/>
      <c r="C103" s="330">
        <f>C87</f>
        <v>5</v>
      </c>
      <c r="D103" s="330"/>
      <c r="E103" s="330">
        <f>E86</f>
        <v>0.35</v>
      </c>
      <c r="F103" s="330"/>
      <c r="G103" s="330"/>
      <c r="H103" s="330">
        <f>H86</f>
        <v>2</v>
      </c>
      <c r="I103" s="330"/>
      <c r="J103" s="330"/>
      <c r="K103" s="330"/>
      <c r="L103" s="330"/>
      <c r="M103" s="330">
        <v>1</v>
      </c>
      <c r="N103" s="330">
        <f>C103*E103*H103*M103</f>
        <v>3.5</v>
      </c>
      <c r="O103" s="349"/>
      <c r="P103" s="784"/>
      <c r="Q103" s="398"/>
      <c r="R103" s="779"/>
      <c r="S103" s="398"/>
      <c r="T103" s="398"/>
      <c r="U103" s="398"/>
      <c r="V103" s="738"/>
      <c r="W103" s="738"/>
      <c r="X103" s="738"/>
    </row>
    <row r="104" spans="1:24" ht="15.75" customHeight="1">
      <c r="A104" s="355"/>
      <c r="B104" s="351"/>
      <c r="C104" s="330">
        <f>C103</f>
        <v>5</v>
      </c>
      <c r="D104" s="330">
        <f>D87</f>
        <v>0.2</v>
      </c>
      <c r="E104" s="330"/>
      <c r="F104" s="330"/>
      <c r="G104" s="330"/>
      <c r="H104" s="330">
        <f>H87</f>
        <v>1</v>
      </c>
      <c r="I104" s="330"/>
      <c r="J104" s="330"/>
      <c r="K104" s="330"/>
      <c r="L104" s="330"/>
      <c r="M104" s="330">
        <f>M103</f>
        <v>1</v>
      </c>
      <c r="N104" s="752">
        <f>C104*D104*H104*M104</f>
        <v>1</v>
      </c>
      <c r="O104" s="349"/>
      <c r="P104" s="784"/>
      <c r="Q104" s="398"/>
      <c r="R104" s="779"/>
      <c r="S104" s="398"/>
      <c r="T104" s="398"/>
      <c r="U104" s="398"/>
      <c r="V104" s="738"/>
      <c r="W104" s="738"/>
      <c r="X104" s="738"/>
    </row>
    <row r="105" spans="1:24" ht="15.75" customHeight="1">
      <c r="A105" s="355"/>
      <c r="B105" s="351"/>
      <c r="C105" s="330"/>
      <c r="D105" s="330"/>
      <c r="E105" s="330"/>
      <c r="F105" s="330"/>
      <c r="G105" s="330"/>
      <c r="H105" s="330"/>
      <c r="I105" s="330"/>
      <c r="J105" s="330"/>
      <c r="K105" s="330"/>
      <c r="L105" s="330"/>
      <c r="M105" s="330"/>
      <c r="N105" s="401">
        <f>SUM(N101:N104)</f>
        <v>7.02</v>
      </c>
      <c r="O105" s="349" t="s">
        <v>89</v>
      </c>
      <c r="P105" s="784">
        <f>ROUND((N105),2)</f>
        <v>7.02</v>
      </c>
      <c r="Q105" s="398"/>
      <c r="R105" s="779"/>
      <c r="S105" s="398"/>
      <c r="T105" s="398"/>
      <c r="U105" s="398"/>
      <c r="V105" s="738"/>
      <c r="W105" s="738"/>
      <c r="X105" s="738"/>
    </row>
    <row r="106" spans="1:24" ht="15.75" customHeight="1">
      <c r="A106" s="355" t="s">
        <v>98</v>
      </c>
      <c r="B106" s="351" t="s">
        <v>731</v>
      </c>
      <c r="C106" s="330">
        <f>C103</f>
        <v>5</v>
      </c>
      <c r="D106" s="330"/>
      <c r="E106" s="330"/>
      <c r="F106" s="330">
        <v>5</v>
      </c>
      <c r="G106" s="330"/>
      <c r="H106" s="330"/>
      <c r="I106" s="330"/>
      <c r="J106" s="330"/>
      <c r="K106" s="330"/>
      <c r="L106" s="330">
        <f>13*13*0.006165</f>
        <v>1.041885</v>
      </c>
      <c r="M106" s="330">
        <f>M104</f>
        <v>1</v>
      </c>
      <c r="N106" s="330">
        <f>C106*F106*L106*M106</f>
        <v>26.047124999999998</v>
      </c>
      <c r="O106" s="349" t="s">
        <v>100</v>
      </c>
      <c r="P106" s="784">
        <f>ROUND((N106),2)</f>
        <v>26.05</v>
      </c>
      <c r="Q106" s="398"/>
      <c r="R106" s="779"/>
      <c r="S106" s="398"/>
      <c r="T106" s="398"/>
      <c r="U106" s="398"/>
      <c r="V106" s="738"/>
      <c r="W106" s="738"/>
      <c r="X106" s="738"/>
    </row>
    <row r="107" spans="1:24" ht="15.75" customHeight="1">
      <c r="A107" s="355" t="s">
        <v>101</v>
      </c>
      <c r="B107" s="351" t="s">
        <v>428</v>
      </c>
      <c r="C107" s="330">
        <f>(0.17+0.22)*2</f>
        <v>0.78</v>
      </c>
      <c r="D107" s="330"/>
      <c r="E107" s="330"/>
      <c r="F107" s="330">
        <f>ROUNDDOWN((C103/0.125),0.1)</f>
        <v>40</v>
      </c>
      <c r="G107" s="330"/>
      <c r="H107" s="330"/>
      <c r="I107" s="330">
        <f>0.05*2</f>
        <v>0.1</v>
      </c>
      <c r="J107" s="330"/>
      <c r="K107" s="330"/>
      <c r="L107" s="330">
        <f>8*8*0.006165</f>
        <v>0.39456000000000002</v>
      </c>
      <c r="M107" s="330">
        <f>M106</f>
        <v>1</v>
      </c>
      <c r="N107" s="330">
        <f>(C107+I107)*F107*L107*M107</f>
        <v>13.888512000000002</v>
      </c>
      <c r="O107" s="349" t="s">
        <v>100</v>
      </c>
      <c r="P107" s="784">
        <f>ROUND((N107),2)</f>
        <v>13.89</v>
      </c>
      <c r="Q107" s="398"/>
      <c r="R107" s="779"/>
      <c r="S107" s="398"/>
      <c r="T107" s="398"/>
      <c r="U107" s="398"/>
      <c r="V107" s="738"/>
      <c r="W107" s="738"/>
      <c r="X107" s="738"/>
    </row>
    <row r="108" spans="1:24" ht="15.75" customHeight="1">
      <c r="A108" s="355" t="s">
        <v>121</v>
      </c>
      <c r="B108" s="356" t="s">
        <v>169</v>
      </c>
      <c r="C108" s="330">
        <f>C103</f>
        <v>5</v>
      </c>
      <c r="D108" s="330">
        <f>D104</f>
        <v>0.2</v>
      </c>
      <c r="E108" s="330">
        <f>E103</f>
        <v>0.35</v>
      </c>
      <c r="F108" s="330"/>
      <c r="G108" s="330"/>
      <c r="H108" s="330"/>
      <c r="I108" s="330"/>
      <c r="J108" s="330"/>
      <c r="K108" s="330"/>
      <c r="L108" s="330"/>
      <c r="M108" s="330">
        <f>M107</f>
        <v>1</v>
      </c>
      <c r="N108" s="330">
        <f>C108*D108*E108*M108</f>
        <v>0.35</v>
      </c>
      <c r="O108" s="349" t="s">
        <v>103</v>
      </c>
      <c r="P108" s="784">
        <f>ROUND((N108),2)</f>
        <v>0.35</v>
      </c>
      <c r="Q108" s="398"/>
      <c r="R108" s="779"/>
      <c r="S108" s="398"/>
      <c r="T108" s="398"/>
      <c r="U108" s="398"/>
      <c r="V108" s="738"/>
      <c r="W108" s="738"/>
      <c r="X108" s="738"/>
    </row>
    <row r="109" spans="1:24" ht="15.75" customHeight="1">
      <c r="A109" s="350">
        <f>A101+1</f>
        <v>11</v>
      </c>
      <c r="B109" s="351" t="s">
        <v>927</v>
      </c>
      <c r="C109" s="330"/>
      <c r="D109" s="330"/>
      <c r="E109" s="330"/>
      <c r="F109" s="330"/>
      <c r="G109" s="330"/>
      <c r="H109" s="330"/>
      <c r="I109" s="330"/>
      <c r="J109" s="330"/>
      <c r="K109" s="330"/>
      <c r="L109" s="330"/>
      <c r="M109" s="330"/>
      <c r="N109" s="330"/>
      <c r="O109" s="349"/>
      <c r="P109" s="784"/>
      <c r="Q109" s="398"/>
      <c r="R109" s="779"/>
      <c r="S109" s="398"/>
      <c r="T109" s="398"/>
      <c r="U109" s="398"/>
      <c r="V109" s="738"/>
      <c r="W109" s="738"/>
      <c r="X109" s="738"/>
    </row>
    <row r="110" spans="1:24" ht="15.75" customHeight="1">
      <c r="A110" s="355" t="s">
        <v>95</v>
      </c>
      <c r="B110" s="359" t="s">
        <v>423</v>
      </c>
      <c r="C110" s="330"/>
      <c r="D110" s="330"/>
      <c r="E110" s="330"/>
      <c r="F110" s="330"/>
      <c r="G110" s="330"/>
      <c r="H110" s="330"/>
      <c r="I110" s="330"/>
      <c r="J110" s="330"/>
      <c r="K110" s="330"/>
      <c r="L110" s="330"/>
      <c r="M110" s="330"/>
      <c r="N110" s="330"/>
      <c r="O110" s="349"/>
      <c r="P110" s="784"/>
      <c r="Q110" s="398"/>
      <c r="R110" s="779"/>
      <c r="S110" s="398"/>
      <c r="T110" s="398"/>
      <c r="U110" s="398"/>
      <c r="V110" s="738"/>
      <c r="W110" s="738"/>
      <c r="X110" s="738"/>
    </row>
    <row r="111" spans="1:24" ht="15.75" customHeight="1">
      <c r="A111" s="355"/>
      <c r="B111" s="567" t="s">
        <v>1583</v>
      </c>
      <c r="C111" s="330">
        <f>C98</f>
        <v>8</v>
      </c>
      <c r="D111" s="330"/>
      <c r="E111" s="330">
        <v>0.15</v>
      </c>
      <c r="F111" s="330"/>
      <c r="G111" s="330"/>
      <c r="H111" s="330">
        <v>3</v>
      </c>
      <c r="I111" s="330"/>
      <c r="J111" s="330"/>
      <c r="K111" s="330"/>
      <c r="L111" s="330"/>
      <c r="M111" s="330">
        <v>1</v>
      </c>
      <c r="N111" s="330">
        <f>C111*E111*H111*M111</f>
        <v>3.5999999999999996</v>
      </c>
      <c r="O111" s="349"/>
      <c r="P111" s="784"/>
      <c r="Q111" s="398"/>
      <c r="R111" s="779"/>
      <c r="S111" s="398"/>
      <c r="T111" s="398"/>
      <c r="U111" s="398"/>
      <c r="V111" s="738"/>
      <c r="W111" s="738"/>
      <c r="X111" s="738"/>
    </row>
    <row r="112" spans="1:24" ht="15.75" customHeight="1">
      <c r="A112" s="355"/>
      <c r="B112" s="567" t="s">
        <v>1584</v>
      </c>
      <c r="C112" s="330">
        <f>C99</f>
        <v>5</v>
      </c>
      <c r="D112" s="330"/>
      <c r="E112" s="330">
        <v>0.15</v>
      </c>
      <c r="F112" s="330"/>
      <c r="G112" s="330"/>
      <c r="H112" s="330">
        <v>2</v>
      </c>
      <c r="I112" s="330"/>
      <c r="J112" s="330"/>
      <c r="K112" s="330"/>
      <c r="L112" s="330"/>
      <c r="M112" s="330">
        <v>2</v>
      </c>
      <c r="N112" s="330">
        <f>C112*E112*H112*M112</f>
        <v>3</v>
      </c>
      <c r="O112" s="349"/>
      <c r="P112" s="784"/>
      <c r="Q112" s="398"/>
      <c r="R112" s="779"/>
      <c r="S112" s="398"/>
      <c r="T112" s="398"/>
      <c r="U112" s="398"/>
      <c r="V112" s="738"/>
      <c r="W112" s="738"/>
      <c r="X112" s="738"/>
    </row>
    <row r="113" spans="1:24" ht="15.75" customHeight="1">
      <c r="A113" s="355"/>
      <c r="B113" s="567"/>
      <c r="C113" s="330"/>
      <c r="D113" s="330"/>
      <c r="E113" s="330"/>
      <c r="F113" s="330"/>
      <c r="G113" s="330"/>
      <c r="H113" s="330"/>
      <c r="I113" s="330"/>
      <c r="J113" s="330"/>
      <c r="K113" s="330"/>
      <c r="L113" s="330"/>
      <c r="M113" s="330"/>
      <c r="N113" s="401">
        <f>SUM(N111:N112)</f>
        <v>6.6</v>
      </c>
      <c r="O113" s="349" t="s">
        <v>89</v>
      </c>
      <c r="P113" s="784">
        <f>ROUND((N113),2)</f>
        <v>6.6</v>
      </c>
      <c r="Q113" s="398"/>
      <c r="R113" s="779"/>
      <c r="S113" s="398"/>
      <c r="T113" s="398"/>
      <c r="U113" s="398"/>
      <c r="V113" s="738"/>
      <c r="W113" s="738"/>
      <c r="X113" s="738"/>
    </row>
    <row r="114" spans="1:24" ht="15.75" customHeight="1">
      <c r="A114" s="355" t="s">
        <v>98</v>
      </c>
      <c r="B114" s="359" t="s">
        <v>928</v>
      </c>
      <c r="C114" s="330"/>
      <c r="D114" s="330"/>
      <c r="E114" s="330"/>
      <c r="F114" s="330"/>
      <c r="G114" s="330"/>
      <c r="H114" s="330"/>
      <c r="I114" s="330"/>
      <c r="J114" s="330"/>
      <c r="K114" s="330"/>
      <c r="L114" s="330"/>
      <c r="M114" s="330"/>
      <c r="N114" s="330"/>
      <c r="O114" s="349"/>
      <c r="P114" s="784"/>
      <c r="Q114" s="398"/>
      <c r="R114" s="779"/>
      <c r="S114" s="398"/>
      <c r="T114" s="398"/>
      <c r="U114" s="398"/>
      <c r="V114" s="738"/>
      <c r="W114" s="738"/>
      <c r="X114" s="738"/>
    </row>
    <row r="115" spans="1:24" ht="15.75" customHeight="1">
      <c r="A115" s="355"/>
      <c r="B115" s="567" t="str">
        <f>B111</f>
        <v>Elv +0.700</v>
      </c>
      <c r="C115" s="330">
        <f>C111</f>
        <v>8</v>
      </c>
      <c r="D115" s="330"/>
      <c r="E115" s="330"/>
      <c r="F115" s="330">
        <v>4</v>
      </c>
      <c r="G115" s="330"/>
      <c r="H115" s="330"/>
      <c r="I115" s="330"/>
      <c r="J115" s="330"/>
      <c r="K115" s="330"/>
      <c r="L115" s="330">
        <f>13*13*0.006165</f>
        <v>1.041885</v>
      </c>
      <c r="M115" s="330">
        <f>M111</f>
        <v>1</v>
      </c>
      <c r="N115" s="330">
        <f>C115*F115*L115*M115</f>
        <v>33.340319999999998</v>
      </c>
      <c r="O115" s="349"/>
      <c r="P115" s="784"/>
      <c r="Q115" s="398"/>
      <c r="R115" s="779"/>
      <c r="S115" s="398"/>
      <c r="T115" s="398"/>
      <c r="U115" s="398"/>
      <c r="V115" s="738"/>
      <c r="W115" s="738"/>
      <c r="X115" s="738"/>
    </row>
    <row r="116" spans="1:24" ht="15.75" customHeight="1">
      <c r="A116" s="355"/>
      <c r="B116" s="567" t="str">
        <f>B112</f>
        <v>Elv +3.290</v>
      </c>
      <c r="C116" s="330">
        <f>C112</f>
        <v>5</v>
      </c>
      <c r="D116" s="330"/>
      <c r="E116" s="330"/>
      <c r="F116" s="330">
        <f>F115</f>
        <v>4</v>
      </c>
      <c r="G116" s="330"/>
      <c r="H116" s="330"/>
      <c r="I116" s="330"/>
      <c r="J116" s="330"/>
      <c r="K116" s="330"/>
      <c r="L116" s="330">
        <f>13*13*0.006165</f>
        <v>1.041885</v>
      </c>
      <c r="M116" s="330">
        <f>M112</f>
        <v>2</v>
      </c>
      <c r="N116" s="330">
        <f>C116*F116*L116*M116</f>
        <v>41.675399999999996</v>
      </c>
      <c r="O116" s="349"/>
      <c r="P116" s="784"/>
      <c r="Q116" s="398"/>
      <c r="R116" s="779"/>
      <c r="S116" s="398"/>
      <c r="T116" s="398"/>
      <c r="U116" s="398"/>
      <c r="V116" s="738"/>
      <c r="W116" s="738"/>
      <c r="X116" s="738"/>
    </row>
    <row r="117" spans="1:24" ht="15.75" customHeight="1">
      <c r="A117" s="355"/>
      <c r="B117" s="359"/>
      <c r="C117" s="330"/>
      <c r="D117" s="330"/>
      <c r="E117" s="330"/>
      <c r="F117" s="330"/>
      <c r="G117" s="330"/>
      <c r="H117" s="330"/>
      <c r="I117" s="330"/>
      <c r="J117" s="330"/>
      <c r="K117" s="330"/>
      <c r="L117" s="330"/>
      <c r="M117" s="330"/>
      <c r="N117" s="401">
        <f>SUM(N115:N116)</f>
        <v>75.015719999999988</v>
      </c>
      <c r="O117" s="349" t="s">
        <v>100</v>
      </c>
      <c r="P117" s="784">
        <f>ROUND((N117),2)</f>
        <v>75.02</v>
      </c>
      <c r="Q117" s="398"/>
      <c r="R117" s="779"/>
      <c r="S117" s="398"/>
      <c r="T117" s="398"/>
      <c r="U117" s="398"/>
      <c r="V117" s="738"/>
      <c r="W117" s="738"/>
      <c r="X117" s="738"/>
    </row>
    <row r="118" spans="1:24" ht="15.75" customHeight="1">
      <c r="A118" s="355" t="s">
        <v>101</v>
      </c>
      <c r="B118" s="359" t="s">
        <v>905</v>
      </c>
      <c r="C118" s="330"/>
      <c r="D118" s="330"/>
      <c r="E118" s="330"/>
      <c r="F118" s="330"/>
      <c r="G118" s="330"/>
      <c r="H118" s="330"/>
      <c r="I118" s="330"/>
      <c r="J118" s="330"/>
      <c r="K118" s="330"/>
      <c r="L118" s="330"/>
      <c r="M118" s="330"/>
      <c r="N118" s="330"/>
      <c r="O118" s="349"/>
      <c r="P118" s="784"/>
      <c r="Q118" s="398"/>
      <c r="R118" s="779"/>
      <c r="S118" s="398"/>
      <c r="T118" s="398"/>
      <c r="U118" s="398"/>
      <c r="V118" s="738"/>
      <c r="W118" s="738"/>
      <c r="X118" s="738"/>
    </row>
    <row r="119" spans="1:24" ht="15.75" customHeight="1">
      <c r="A119" s="355"/>
      <c r="B119" s="567" t="str">
        <f>B115</f>
        <v>Elv +0.700</v>
      </c>
      <c r="C119" s="330">
        <f>0.07*4</f>
        <v>0.28000000000000003</v>
      </c>
      <c r="D119" s="330"/>
      <c r="E119" s="330"/>
      <c r="F119" s="330">
        <f>ROUNDDOWN((C115/0.15),0.1)</f>
        <v>53</v>
      </c>
      <c r="G119" s="330"/>
      <c r="H119" s="330"/>
      <c r="I119" s="330">
        <f>0.05*2</f>
        <v>0.1</v>
      </c>
      <c r="J119" s="330"/>
      <c r="K119" s="330"/>
      <c r="L119" s="330">
        <f>8*8*0.006165</f>
        <v>0.39456000000000002</v>
      </c>
      <c r="M119" s="330">
        <f>M115</f>
        <v>1</v>
      </c>
      <c r="N119" s="330">
        <f>(C119+I119)*F119*L119*M119</f>
        <v>7.9464384000000008</v>
      </c>
      <c r="O119" s="349"/>
      <c r="P119" s="784"/>
      <c r="Q119" s="398"/>
      <c r="R119" s="779"/>
      <c r="S119" s="398"/>
      <c r="T119" s="398"/>
      <c r="U119" s="398"/>
      <c r="V119" s="738"/>
      <c r="W119" s="738"/>
      <c r="X119" s="738"/>
    </row>
    <row r="120" spans="1:24" ht="15.75" customHeight="1">
      <c r="A120" s="355"/>
      <c r="B120" s="567" t="str">
        <f>B116</f>
        <v>Elv +3.290</v>
      </c>
      <c r="C120" s="330">
        <f>C119</f>
        <v>0.28000000000000003</v>
      </c>
      <c r="D120" s="330"/>
      <c r="E120" s="330"/>
      <c r="F120" s="330">
        <f>ROUNDDOWN((C116/0.15),0.1)</f>
        <v>33</v>
      </c>
      <c r="G120" s="330"/>
      <c r="H120" s="330"/>
      <c r="I120" s="330">
        <f>I119</f>
        <v>0.1</v>
      </c>
      <c r="J120" s="330"/>
      <c r="K120" s="330"/>
      <c r="L120" s="330">
        <f>L119</f>
        <v>0.39456000000000002</v>
      </c>
      <c r="M120" s="330">
        <f>M116</f>
        <v>2</v>
      </c>
      <c r="N120" s="330">
        <f>(C120+I120)*F120*L120*M120</f>
        <v>9.8955648000000007</v>
      </c>
      <c r="O120" s="349"/>
      <c r="P120" s="784"/>
      <c r="Q120" s="398"/>
      <c r="R120" s="779"/>
      <c r="S120" s="398"/>
      <c r="T120" s="398"/>
      <c r="U120" s="398"/>
      <c r="V120" s="738"/>
      <c r="W120" s="738"/>
      <c r="X120" s="738"/>
    </row>
    <row r="121" spans="1:24" ht="15.75" customHeight="1">
      <c r="A121" s="355"/>
      <c r="B121" s="359"/>
      <c r="C121" s="330"/>
      <c r="D121" s="330"/>
      <c r="E121" s="330"/>
      <c r="F121" s="330"/>
      <c r="G121" s="330"/>
      <c r="H121" s="330"/>
      <c r="I121" s="330"/>
      <c r="J121" s="330"/>
      <c r="K121" s="330"/>
      <c r="L121" s="330"/>
      <c r="M121" s="330"/>
      <c r="N121" s="401">
        <f>SUM(N119:N120)</f>
        <v>17.842003200000001</v>
      </c>
      <c r="O121" s="349" t="s">
        <v>100</v>
      </c>
      <c r="P121" s="784">
        <f>ROUND((N121),2)</f>
        <v>17.84</v>
      </c>
      <c r="Q121" s="398"/>
      <c r="R121" s="779"/>
      <c r="S121" s="398"/>
      <c r="T121" s="398"/>
      <c r="U121" s="398"/>
      <c r="V121" s="738"/>
      <c r="W121" s="738"/>
      <c r="X121" s="738"/>
    </row>
    <row r="122" spans="1:24" ht="15.75" customHeight="1">
      <c r="A122" s="355" t="s">
        <v>121</v>
      </c>
      <c r="B122" s="359" t="s">
        <v>1043</v>
      </c>
      <c r="C122" s="330"/>
      <c r="D122" s="330"/>
      <c r="E122" s="330"/>
      <c r="F122" s="330"/>
      <c r="G122" s="330"/>
      <c r="H122" s="330"/>
      <c r="I122" s="330"/>
      <c r="J122" s="330"/>
      <c r="K122" s="330"/>
      <c r="L122" s="330"/>
      <c r="M122" s="330"/>
      <c r="N122" s="330"/>
      <c r="O122" s="349"/>
      <c r="P122" s="784"/>
      <c r="Q122" s="398"/>
      <c r="R122" s="779"/>
      <c r="S122" s="398"/>
      <c r="T122" s="398"/>
      <c r="U122" s="398"/>
      <c r="V122" s="738"/>
      <c r="W122" s="738"/>
      <c r="X122" s="738"/>
    </row>
    <row r="123" spans="1:24" ht="15.75" customHeight="1">
      <c r="A123" s="355"/>
      <c r="B123" s="567" t="str">
        <f>B119</f>
        <v>Elv +0.700</v>
      </c>
      <c r="C123" s="330">
        <f>C115</f>
        <v>8</v>
      </c>
      <c r="D123" s="330">
        <f>E111</f>
        <v>0.15</v>
      </c>
      <c r="E123" s="330">
        <f>E111</f>
        <v>0.15</v>
      </c>
      <c r="F123" s="330"/>
      <c r="G123" s="330"/>
      <c r="H123" s="330"/>
      <c r="I123" s="330"/>
      <c r="J123" s="330"/>
      <c r="K123" s="330"/>
      <c r="L123" s="330"/>
      <c r="M123" s="330">
        <f>M119</f>
        <v>1</v>
      </c>
      <c r="N123" s="330">
        <f>C123*D123*E123*M123</f>
        <v>0.18</v>
      </c>
      <c r="O123" s="349"/>
      <c r="P123" s="784"/>
      <c r="Q123" s="398"/>
      <c r="R123" s="779"/>
      <c r="S123" s="398"/>
      <c r="T123" s="398"/>
      <c r="U123" s="398"/>
      <c r="V123" s="738"/>
      <c r="W123" s="738"/>
      <c r="X123" s="738"/>
    </row>
    <row r="124" spans="1:24" ht="15.75" customHeight="1">
      <c r="A124" s="355"/>
      <c r="B124" s="567" t="str">
        <f>B120</f>
        <v>Elv +3.290</v>
      </c>
      <c r="C124" s="330">
        <f>C116</f>
        <v>5</v>
      </c>
      <c r="D124" s="330">
        <f>D123</f>
        <v>0.15</v>
      </c>
      <c r="E124" s="330">
        <f>E123</f>
        <v>0.15</v>
      </c>
      <c r="F124" s="330"/>
      <c r="G124" s="330"/>
      <c r="H124" s="330"/>
      <c r="I124" s="330"/>
      <c r="J124" s="330"/>
      <c r="K124" s="330"/>
      <c r="L124" s="330"/>
      <c r="M124" s="330">
        <f>M120</f>
        <v>2</v>
      </c>
      <c r="N124" s="330">
        <f>C124*D124*E124*M124</f>
        <v>0.22499999999999998</v>
      </c>
      <c r="O124" s="349"/>
      <c r="P124" s="784"/>
      <c r="Q124" s="398"/>
      <c r="R124" s="779"/>
      <c r="S124" s="398"/>
      <c r="T124" s="398"/>
      <c r="U124" s="398"/>
      <c r="V124" s="738"/>
      <c r="W124" s="738"/>
      <c r="X124" s="738"/>
    </row>
    <row r="125" spans="1:24" ht="15.75" customHeight="1">
      <c r="A125" s="355"/>
      <c r="B125" s="359"/>
      <c r="C125" s="330"/>
      <c r="D125" s="330"/>
      <c r="E125" s="330"/>
      <c r="F125" s="330"/>
      <c r="G125" s="330"/>
      <c r="H125" s="330"/>
      <c r="I125" s="330"/>
      <c r="J125" s="330"/>
      <c r="K125" s="330"/>
      <c r="L125" s="330"/>
      <c r="M125" s="330"/>
      <c r="N125" s="401">
        <f>SUM(N123:N124)</f>
        <v>0.40499999999999997</v>
      </c>
      <c r="O125" s="349" t="s">
        <v>103</v>
      </c>
      <c r="P125" s="784">
        <f>ROUND((N125),2)</f>
        <v>0.41</v>
      </c>
      <c r="Q125" s="398"/>
      <c r="R125" s="779"/>
      <c r="S125" s="398"/>
      <c r="T125" s="398"/>
      <c r="U125" s="398"/>
      <c r="V125" s="738"/>
      <c r="W125" s="738"/>
      <c r="X125" s="738"/>
    </row>
    <row r="126" spans="1:24" s="554" customFormat="1" ht="15.75" customHeight="1">
      <c r="A126" s="350">
        <f>A109+1</f>
        <v>12</v>
      </c>
      <c r="B126" s="359" t="s">
        <v>424</v>
      </c>
      <c r="C126" s="348"/>
      <c r="D126" s="348"/>
      <c r="E126" s="348"/>
      <c r="F126" s="348"/>
      <c r="G126" s="348"/>
      <c r="H126" s="348"/>
      <c r="I126" s="348"/>
      <c r="J126" s="348"/>
      <c r="K126" s="348"/>
      <c r="L126" s="348"/>
      <c r="M126" s="348"/>
      <c r="N126" s="348"/>
      <c r="O126" s="349"/>
      <c r="P126" s="784"/>
      <c r="Q126" s="398"/>
      <c r="R126" s="564"/>
      <c r="S126" s="398"/>
      <c r="T126" s="398"/>
      <c r="U126" s="398"/>
      <c r="V126" s="555"/>
      <c r="W126" s="555"/>
      <c r="X126" s="555"/>
    </row>
    <row r="127" spans="1:24" s="554" customFormat="1" ht="15.75" customHeight="1">
      <c r="A127" s="350"/>
      <c r="B127" s="359" t="s">
        <v>1010</v>
      </c>
      <c r="C127" s="348"/>
      <c r="D127" s="348"/>
      <c r="E127" s="348"/>
      <c r="F127" s="348"/>
      <c r="G127" s="348"/>
      <c r="H127" s="348"/>
      <c r="I127" s="348"/>
      <c r="J127" s="348"/>
      <c r="K127" s="348"/>
      <c r="L127" s="348"/>
      <c r="M127" s="348"/>
      <c r="N127" s="348"/>
      <c r="O127" s="349"/>
      <c r="P127" s="784"/>
      <c r="Q127" s="398"/>
      <c r="R127" s="564"/>
      <c r="S127" s="398"/>
      <c r="T127" s="398"/>
      <c r="U127" s="398"/>
      <c r="V127" s="555"/>
      <c r="W127" s="555"/>
      <c r="X127" s="555"/>
    </row>
    <row r="128" spans="1:24" s="554" customFormat="1" ht="15.75" customHeight="1">
      <c r="A128" s="355" t="s">
        <v>95</v>
      </c>
      <c r="B128" s="359" t="s">
        <v>423</v>
      </c>
      <c r="C128" s="348"/>
      <c r="D128" s="348"/>
      <c r="E128" s="348"/>
      <c r="F128" s="348"/>
      <c r="G128" s="348"/>
      <c r="H128" s="348"/>
      <c r="I128" s="348"/>
      <c r="J128" s="348"/>
      <c r="K128" s="348"/>
      <c r="L128" s="348"/>
      <c r="M128" s="348"/>
      <c r="N128" s="348"/>
      <c r="O128" s="349"/>
      <c r="P128" s="784"/>
      <c r="Q128" s="398"/>
      <c r="R128" s="564"/>
      <c r="S128" s="398"/>
      <c r="T128" s="398"/>
      <c r="U128" s="398"/>
      <c r="V128" s="555"/>
      <c r="W128" s="555"/>
      <c r="X128" s="555"/>
    </row>
    <row r="129" spans="1:24" s="554" customFormat="1" ht="15.75" customHeight="1">
      <c r="A129" s="355"/>
      <c r="B129" s="567" t="s">
        <v>1010</v>
      </c>
      <c r="C129" s="348">
        <f>C264*2</f>
        <v>8.36</v>
      </c>
      <c r="D129" s="348"/>
      <c r="E129" s="348">
        <v>0.2</v>
      </c>
      <c r="F129" s="348"/>
      <c r="G129" s="348"/>
      <c r="H129" s="348">
        <v>2</v>
      </c>
      <c r="I129" s="348"/>
      <c r="J129" s="348"/>
      <c r="K129" s="348"/>
      <c r="L129" s="348"/>
      <c r="M129" s="348">
        <v>3</v>
      </c>
      <c r="N129" s="348">
        <f>C129*E129*H129*M129</f>
        <v>10.032</v>
      </c>
      <c r="O129" s="349"/>
      <c r="P129" s="784"/>
      <c r="Q129" s="398"/>
      <c r="R129" s="564"/>
      <c r="S129" s="398"/>
      <c r="T129" s="398"/>
      <c r="U129" s="398"/>
      <c r="V129" s="555"/>
      <c r="W129" s="555"/>
      <c r="X129" s="555"/>
    </row>
    <row r="130" spans="1:24" s="554" customFormat="1" ht="15.75" customHeight="1">
      <c r="A130" s="355"/>
      <c r="B130" s="359"/>
      <c r="C130" s="348">
        <f>C129</f>
        <v>8.36</v>
      </c>
      <c r="D130" s="348">
        <v>0.15</v>
      </c>
      <c r="E130" s="348"/>
      <c r="F130" s="348"/>
      <c r="G130" s="348"/>
      <c r="H130" s="348">
        <v>1</v>
      </c>
      <c r="I130" s="348"/>
      <c r="J130" s="348"/>
      <c r="K130" s="348"/>
      <c r="L130" s="348"/>
      <c r="M130" s="348">
        <f>M129</f>
        <v>3</v>
      </c>
      <c r="N130" s="348">
        <f>C130*D130*H130*M130</f>
        <v>3.7619999999999996</v>
      </c>
      <c r="O130" s="349"/>
      <c r="P130" s="784"/>
      <c r="Q130" s="398"/>
      <c r="R130" s="564"/>
      <c r="S130" s="398"/>
      <c r="T130" s="398"/>
      <c r="U130" s="398"/>
      <c r="V130" s="555"/>
      <c r="W130" s="555"/>
      <c r="X130" s="555"/>
    </row>
    <row r="131" spans="1:24" s="554" customFormat="1" ht="15.75" customHeight="1">
      <c r="A131" s="355"/>
      <c r="B131" s="567" t="s">
        <v>1011</v>
      </c>
      <c r="C131" s="348">
        <v>2</v>
      </c>
      <c r="D131" s="348"/>
      <c r="E131" s="348">
        <v>0.2</v>
      </c>
      <c r="F131" s="348"/>
      <c r="G131" s="348"/>
      <c r="H131" s="348">
        <v>2</v>
      </c>
      <c r="I131" s="348"/>
      <c r="J131" s="348"/>
      <c r="K131" s="348"/>
      <c r="L131" s="348"/>
      <c r="M131" s="348">
        <f>M129</f>
        <v>3</v>
      </c>
      <c r="N131" s="348">
        <f>C131*E131*H131*M131</f>
        <v>2.4000000000000004</v>
      </c>
      <c r="O131" s="349"/>
      <c r="P131" s="784"/>
      <c r="Q131" s="398"/>
      <c r="R131" s="564"/>
      <c r="S131" s="398"/>
      <c r="T131" s="398"/>
      <c r="U131" s="398"/>
      <c r="V131" s="555"/>
      <c r="W131" s="555"/>
      <c r="X131" s="555"/>
    </row>
    <row r="132" spans="1:24" s="554" customFormat="1" ht="15.75" customHeight="1">
      <c r="A132" s="355"/>
      <c r="B132" s="359"/>
      <c r="C132" s="348">
        <f>C131</f>
        <v>2</v>
      </c>
      <c r="D132" s="348">
        <f>D130</f>
        <v>0.15</v>
      </c>
      <c r="E132" s="348"/>
      <c r="F132" s="348"/>
      <c r="G132" s="348"/>
      <c r="H132" s="348">
        <v>1</v>
      </c>
      <c r="I132" s="348"/>
      <c r="J132" s="348"/>
      <c r="K132" s="348"/>
      <c r="L132" s="348"/>
      <c r="M132" s="348">
        <f>M131</f>
        <v>3</v>
      </c>
      <c r="N132" s="565">
        <f>C132*D132*H132*M132</f>
        <v>0.89999999999999991</v>
      </c>
      <c r="O132" s="349"/>
      <c r="P132" s="784"/>
      <c r="Q132" s="398"/>
      <c r="R132" s="564"/>
      <c r="S132" s="398"/>
      <c r="T132" s="398"/>
      <c r="U132" s="398"/>
      <c r="V132" s="555"/>
      <c r="W132" s="555"/>
      <c r="X132" s="555"/>
    </row>
    <row r="133" spans="1:24" s="554" customFormat="1" ht="15.75" customHeight="1">
      <c r="A133" s="355"/>
      <c r="B133" s="359"/>
      <c r="C133" s="348"/>
      <c r="D133" s="348"/>
      <c r="E133" s="348"/>
      <c r="F133" s="348"/>
      <c r="G133" s="348"/>
      <c r="H133" s="348"/>
      <c r="I133" s="348"/>
      <c r="J133" s="348"/>
      <c r="K133" s="348"/>
      <c r="L133" s="348"/>
      <c r="M133" s="348"/>
      <c r="N133" s="343">
        <f>SUM(N129:N132)/2</f>
        <v>8.5470000000000006</v>
      </c>
      <c r="O133" s="349" t="s">
        <v>89</v>
      </c>
      <c r="P133" s="784">
        <f>ROUND((N133),2)</f>
        <v>8.5500000000000007</v>
      </c>
      <c r="Q133" s="398"/>
      <c r="R133" s="564"/>
      <c r="S133" s="398"/>
      <c r="T133" s="398"/>
      <c r="U133" s="398"/>
      <c r="V133" s="555"/>
      <c r="W133" s="555"/>
      <c r="X133" s="555"/>
    </row>
    <row r="134" spans="1:24" s="554" customFormat="1" ht="15.75" customHeight="1">
      <c r="A134" s="355" t="s">
        <v>98</v>
      </c>
      <c r="B134" s="359" t="s">
        <v>741</v>
      </c>
      <c r="C134" s="348"/>
      <c r="D134" s="348"/>
      <c r="E134" s="348"/>
      <c r="F134" s="348"/>
      <c r="G134" s="348"/>
      <c r="H134" s="348"/>
      <c r="I134" s="348"/>
      <c r="J134" s="348"/>
      <c r="K134" s="348"/>
      <c r="L134" s="348"/>
      <c r="M134" s="348"/>
      <c r="N134" s="348"/>
      <c r="O134" s="349"/>
      <c r="P134" s="784"/>
      <c r="Q134" s="398"/>
      <c r="R134" s="564"/>
      <c r="S134" s="398"/>
      <c r="T134" s="398"/>
      <c r="U134" s="398"/>
      <c r="V134" s="555"/>
      <c r="W134" s="555"/>
      <c r="X134" s="555"/>
    </row>
    <row r="135" spans="1:24" s="554" customFormat="1" ht="15.75" customHeight="1">
      <c r="A135" s="355"/>
      <c r="B135" s="567" t="s">
        <v>1010</v>
      </c>
      <c r="C135" s="348">
        <f>C129</f>
        <v>8.36</v>
      </c>
      <c r="D135" s="348"/>
      <c r="E135" s="348"/>
      <c r="F135" s="348">
        <v>5</v>
      </c>
      <c r="G135" s="348"/>
      <c r="H135" s="348"/>
      <c r="I135" s="348">
        <v>0.1</v>
      </c>
      <c r="J135" s="348"/>
      <c r="K135" s="348"/>
      <c r="L135" s="348">
        <f>0.006165*10*10</f>
        <v>0.61650000000000005</v>
      </c>
      <c r="M135" s="348">
        <f>M129</f>
        <v>3</v>
      </c>
      <c r="N135" s="348">
        <f>(C135+I135)*F135*L135*M135</f>
        <v>78.233850000000004</v>
      </c>
      <c r="O135" s="349"/>
      <c r="P135" s="784"/>
      <c r="Q135" s="398"/>
      <c r="R135" s="564"/>
      <c r="S135" s="398"/>
      <c r="T135" s="398"/>
      <c r="U135" s="398"/>
      <c r="V135" s="555"/>
      <c r="W135" s="555"/>
      <c r="X135" s="555"/>
    </row>
    <row r="136" spans="1:24" s="554" customFormat="1" ht="15.75" customHeight="1">
      <c r="A136" s="355"/>
      <c r="B136" s="567" t="s">
        <v>1011</v>
      </c>
      <c r="C136" s="348">
        <f>C132</f>
        <v>2</v>
      </c>
      <c r="D136" s="348"/>
      <c r="E136" s="348"/>
      <c r="F136" s="348">
        <v>5</v>
      </c>
      <c r="G136" s="348"/>
      <c r="H136" s="348"/>
      <c r="I136" s="348">
        <f>I135</f>
        <v>0.1</v>
      </c>
      <c r="J136" s="348"/>
      <c r="K136" s="348"/>
      <c r="L136" s="348">
        <f>L135</f>
        <v>0.61650000000000005</v>
      </c>
      <c r="M136" s="348">
        <f>M135</f>
        <v>3</v>
      </c>
      <c r="N136" s="565">
        <f>(C136+I136)*F136*L136*M136</f>
        <v>19.419750000000001</v>
      </c>
      <c r="O136" s="349"/>
      <c r="P136" s="784"/>
      <c r="Q136" s="398"/>
      <c r="R136" s="564"/>
      <c r="S136" s="398"/>
      <c r="T136" s="398"/>
      <c r="U136" s="398"/>
      <c r="V136" s="555"/>
      <c r="W136" s="555"/>
      <c r="X136" s="555"/>
    </row>
    <row r="137" spans="1:24" s="554" customFormat="1" ht="15.75" customHeight="1">
      <c r="A137" s="355"/>
      <c r="B137" s="359"/>
      <c r="C137" s="348"/>
      <c r="D137" s="348"/>
      <c r="E137" s="348"/>
      <c r="F137" s="348"/>
      <c r="G137" s="348"/>
      <c r="H137" s="348"/>
      <c r="I137" s="348"/>
      <c r="J137" s="348"/>
      <c r="K137" s="348"/>
      <c r="L137" s="348"/>
      <c r="M137" s="348"/>
      <c r="N137" s="343">
        <f>SUM(N135:N136)</f>
        <v>97.653600000000012</v>
      </c>
      <c r="O137" s="349" t="s">
        <v>100</v>
      </c>
      <c r="P137" s="784">
        <f>ROUND((N137),2)</f>
        <v>97.65</v>
      </c>
      <c r="Q137" s="398"/>
      <c r="R137" s="564"/>
      <c r="S137" s="398"/>
      <c r="T137" s="398"/>
      <c r="U137" s="398"/>
      <c r="V137" s="555"/>
      <c r="W137" s="555"/>
      <c r="X137" s="555"/>
    </row>
    <row r="138" spans="1:24" s="554" customFormat="1" ht="15.75" customHeight="1">
      <c r="A138" s="355" t="s">
        <v>101</v>
      </c>
      <c r="B138" s="359" t="s">
        <v>428</v>
      </c>
      <c r="C138" s="348"/>
      <c r="D138" s="348"/>
      <c r="E138" s="348"/>
      <c r="F138" s="348"/>
      <c r="G138" s="348"/>
      <c r="H138" s="348"/>
      <c r="I138" s="348"/>
      <c r="J138" s="348"/>
      <c r="K138" s="348"/>
      <c r="L138" s="348"/>
      <c r="M138" s="348"/>
      <c r="N138" s="348"/>
      <c r="O138" s="349"/>
      <c r="P138" s="784"/>
      <c r="Q138" s="398"/>
      <c r="R138" s="564"/>
      <c r="S138" s="398"/>
      <c r="T138" s="398"/>
      <c r="U138" s="398"/>
      <c r="V138" s="555"/>
      <c r="W138" s="555"/>
      <c r="X138" s="555"/>
    </row>
    <row r="139" spans="1:24" s="554" customFormat="1" ht="15.75" customHeight="1">
      <c r="A139" s="355"/>
      <c r="B139" s="567" t="s">
        <v>1010</v>
      </c>
      <c r="C139" s="348">
        <f>(0.09+0.14)*2</f>
        <v>0.46</v>
      </c>
      <c r="D139" s="348"/>
      <c r="E139" s="348"/>
      <c r="F139" s="348">
        <f>ROUNDDOWN((C135/0.125),0.1)</f>
        <v>66</v>
      </c>
      <c r="G139" s="348"/>
      <c r="H139" s="348"/>
      <c r="I139" s="348">
        <v>0.1</v>
      </c>
      <c r="J139" s="348"/>
      <c r="K139" s="348"/>
      <c r="L139" s="348">
        <f>L120</f>
        <v>0.39456000000000002</v>
      </c>
      <c r="M139" s="348">
        <f>M135</f>
        <v>3</v>
      </c>
      <c r="N139" s="348">
        <f>(C139+I139)*F139*L139*M139</f>
        <v>43.748812800000003</v>
      </c>
      <c r="O139" s="349"/>
      <c r="P139" s="784"/>
      <c r="Q139" s="398"/>
      <c r="R139" s="564"/>
      <c r="S139" s="398"/>
      <c r="T139" s="398"/>
      <c r="U139" s="398"/>
      <c r="V139" s="555"/>
      <c r="W139" s="555"/>
      <c r="X139" s="555"/>
    </row>
    <row r="140" spans="1:24" s="554" customFormat="1" ht="15.75" customHeight="1">
      <c r="A140" s="355"/>
      <c r="B140" s="567" t="s">
        <v>1011</v>
      </c>
      <c r="C140" s="348">
        <f>(0.09+0.14)*2</f>
        <v>0.46</v>
      </c>
      <c r="D140" s="348"/>
      <c r="E140" s="348"/>
      <c r="F140" s="348">
        <f>ROUNDDOWN((C136/0.125),0.1)</f>
        <v>16</v>
      </c>
      <c r="G140" s="348"/>
      <c r="H140" s="348"/>
      <c r="I140" s="348">
        <v>0.1</v>
      </c>
      <c r="J140" s="348"/>
      <c r="K140" s="348"/>
      <c r="L140" s="348">
        <f>L139</f>
        <v>0.39456000000000002</v>
      </c>
      <c r="M140" s="348">
        <f>M136</f>
        <v>3</v>
      </c>
      <c r="N140" s="348">
        <f>(C140+I140)*F140*L140*M140</f>
        <v>10.6057728</v>
      </c>
      <c r="O140" s="349"/>
      <c r="P140" s="784"/>
      <c r="Q140" s="398"/>
      <c r="R140" s="564"/>
      <c r="S140" s="398"/>
      <c r="T140" s="398"/>
      <c r="U140" s="398"/>
      <c r="V140" s="555"/>
      <c r="W140" s="555"/>
      <c r="X140" s="555"/>
    </row>
    <row r="141" spans="1:24" s="554" customFormat="1" ht="15.75" customHeight="1">
      <c r="A141" s="355"/>
      <c r="B141" s="359"/>
      <c r="C141" s="348"/>
      <c r="D141" s="348"/>
      <c r="E141" s="348"/>
      <c r="F141" s="348"/>
      <c r="G141" s="348"/>
      <c r="H141" s="348"/>
      <c r="I141" s="348"/>
      <c r="J141" s="348"/>
      <c r="K141" s="348"/>
      <c r="L141" s="348"/>
      <c r="M141" s="348"/>
      <c r="N141" s="343">
        <f>SUM(N139:N140)</f>
        <v>54.354585600000007</v>
      </c>
      <c r="O141" s="349" t="s">
        <v>100</v>
      </c>
      <c r="P141" s="784">
        <f>ROUND((N141),2)</f>
        <v>54.35</v>
      </c>
      <c r="Q141" s="398"/>
      <c r="R141" s="564"/>
      <c r="S141" s="398"/>
      <c r="T141" s="398"/>
      <c r="U141" s="398"/>
      <c r="V141" s="555"/>
      <c r="W141" s="555"/>
      <c r="X141" s="555"/>
    </row>
    <row r="142" spans="1:24" s="554" customFormat="1" ht="15.75" customHeight="1">
      <c r="A142" s="355" t="s">
        <v>121</v>
      </c>
      <c r="B142" s="359" t="s">
        <v>1043</v>
      </c>
      <c r="C142" s="348"/>
      <c r="D142" s="348"/>
      <c r="E142" s="348"/>
      <c r="F142" s="348"/>
      <c r="G142" s="348"/>
      <c r="H142" s="348"/>
      <c r="I142" s="348"/>
      <c r="J142" s="348"/>
      <c r="K142" s="348"/>
      <c r="L142" s="348"/>
      <c r="M142" s="348"/>
      <c r="N142" s="348"/>
      <c r="O142" s="349"/>
      <c r="P142" s="784"/>
      <c r="Q142" s="398"/>
      <c r="R142" s="564"/>
      <c r="S142" s="398"/>
      <c r="T142" s="398"/>
      <c r="U142" s="398"/>
      <c r="V142" s="555"/>
      <c r="W142" s="555"/>
      <c r="X142" s="555"/>
    </row>
    <row r="143" spans="1:24" s="554" customFormat="1" ht="15.75" customHeight="1">
      <c r="A143" s="355"/>
      <c r="B143" s="567" t="s">
        <v>1010</v>
      </c>
      <c r="C143" s="348">
        <f>C135</f>
        <v>8.36</v>
      </c>
      <c r="D143" s="348">
        <f>D130</f>
        <v>0.15</v>
      </c>
      <c r="E143" s="348">
        <f>E129</f>
        <v>0.2</v>
      </c>
      <c r="F143" s="348"/>
      <c r="G143" s="348"/>
      <c r="H143" s="348"/>
      <c r="I143" s="348"/>
      <c r="J143" s="348"/>
      <c r="K143" s="348"/>
      <c r="L143" s="348"/>
      <c r="M143" s="348">
        <f>M139</f>
        <v>3</v>
      </c>
      <c r="N143" s="348">
        <f>C143*D143*E143*M143</f>
        <v>0.75239999999999996</v>
      </c>
      <c r="O143" s="349"/>
      <c r="P143" s="784"/>
      <c r="Q143" s="398"/>
      <c r="R143" s="564"/>
      <c r="S143" s="398"/>
      <c r="T143" s="398"/>
      <c r="U143" s="398"/>
      <c r="V143" s="555"/>
      <c r="W143" s="555"/>
      <c r="X143" s="555"/>
    </row>
    <row r="144" spans="1:24" s="554" customFormat="1" ht="15.75" customHeight="1">
      <c r="A144" s="355"/>
      <c r="B144" s="567" t="s">
        <v>1011</v>
      </c>
      <c r="C144" s="348">
        <f>C136</f>
        <v>2</v>
      </c>
      <c r="D144" s="348">
        <f>D143</f>
        <v>0.15</v>
      </c>
      <c r="E144" s="348">
        <f>E143</f>
        <v>0.2</v>
      </c>
      <c r="F144" s="348"/>
      <c r="G144" s="348"/>
      <c r="H144" s="348"/>
      <c r="I144" s="348"/>
      <c r="J144" s="348"/>
      <c r="K144" s="348"/>
      <c r="L144" s="348"/>
      <c r="M144" s="348">
        <f>M140</f>
        <v>3</v>
      </c>
      <c r="N144" s="565">
        <f>C144*D144*E144*M144</f>
        <v>0.18</v>
      </c>
      <c r="O144" s="349"/>
      <c r="P144" s="784"/>
      <c r="Q144" s="398"/>
      <c r="R144" s="564"/>
      <c r="S144" s="398"/>
      <c r="T144" s="398"/>
      <c r="U144" s="398"/>
      <c r="V144" s="555"/>
      <c r="W144" s="555"/>
      <c r="X144" s="555"/>
    </row>
    <row r="145" spans="1:24" s="554" customFormat="1" ht="15.75" customHeight="1">
      <c r="A145" s="355"/>
      <c r="B145" s="359"/>
      <c r="C145" s="348"/>
      <c r="D145" s="348"/>
      <c r="E145" s="348"/>
      <c r="F145" s="348"/>
      <c r="G145" s="348"/>
      <c r="H145" s="348"/>
      <c r="I145" s="348"/>
      <c r="J145" s="348"/>
      <c r="K145" s="348"/>
      <c r="L145" s="348"/>
      <c r="M145" s="348"/>
      <c r="N145" s="343">
        <f>SUM(N143:N144)</f>
        <v>0.9323999999999999</v>
      </c>
      <c r="O145" s="349" t="s">
        <v>103</v>
      </c>
      <c r="P145" s="784">
        <f>ROUND((N145),2)</f>
        <v>0.93</v>
      </c>
      <c r="Q145" s="398"/>
      <c r="R145" s="564"/>
      <c r="S145" s="398"/>
      <c r="T145" s="398"/>
      <c r="U145" s="398"/>
      <c r="V145" s="555"/>
      <c r="W145" s="555"/>
      <c r="X145" s="555"/>
    </row>
    <row r="146" spans="1:24" s="554" customFormat="1" ht="15.75" customHeight="1">
      <c r="A146" s="350"/>
      <c r="B146" s="359" t="s">
        <v>1166</v>
      </c>
      <c r="C146" s="348"/>
      <c r="D146" s="348"/>
      <c r="E146" s="348"/>
      <c r="F146" s="348"/>
      <c r="G146" s="348"/>
      <c r="H146" s="348"/>
      <c r="I146" s="348"/>
      <c r="J146" s="348"/>
      <c r="K146" s="348"/>
      <c r="L146" s="348"/>
      <c r="M146" s="348"/>
      <c r="N146" s="348"/>
      <c r="O146" s="349"/>
      <c r="P146" s="784"/>
      <c r="Q146" s="398"/>
      <c r="R146" s="564"/>
      <c r="S146" s="398"/>
      <c r="T146" s="398"/>
      <c r="U146" s="398"/>
      <c r="V146" s="555"/>
      <c r="W146" s="555"/>
      <c r="X146" s="555"/>
    </row>
    <row r="147" spans="1:24" s="554" customFormat="1" ht="15.75" customHeight="1">
      <c r="A147" s="355" t="s">
        <v>95</v>
      </c>
      <c r="B147" s="359" t="s">
        <v>423</v>
      </c>
      <c r="C147" s="348"/>
      <c r="D147" s="348"/>
      <c r="E147" s="348"/>
      <c r="F147" s="348"/>
      <c r="G147" s="348"/>
      <c r="H147" s="348"/>
      <c r="I147" s="348"/>
      <c r="J147" s="348"/>
      <c r="K147" s="348"/>
      <c r="L147" s="348"/>
      <c r="M147" s="348"/>
      <c r="N147" s="348"/>
      <c r="O147" s="349"/>
      <c r="P147" s="784"/>
      <c r="Q147" s="398"/>
      <c r="R147" s="564"/>
      <c r="S147" s="398"/>
      <c r="T147" s="398"/>
      <c r="U147" s="398"/>
      <c r="V147" s="555"/>
      <c r="W147" s="555"/>
      <c r="X147" s="555"/>
    </row>
    <row r="148" spans="1:24" s="554" customFormat="1" ht="15.75" customHeight="1">
      <c r="A148" s="355"/>
      <c r="B148" s="567"/>
      <c r="C148" s="348">
        <v>1</v>
      </c>
      <c r="D148" s="348">
        <v>0.15</v>
      </c>
      <c r="E148" s="348">
        <v>0.2</v>
      </c>
      <c r="F148" s="348">
        <v>2</v>
      </c>
      <c r="G148" s="348"/>
      <c r="H148" s="348"/>
      <c r="I148" s="348"/>
      <c r="J148" s="348"/>
      <c r="K148" s="348"/>
      <c r="L148" s="348"/>
      <c r="M148" s="348">
        <f>M144</f>
        <v>3</v>
      </c>
      <c r="N148" s="348">
        <f>C148*((E148+D148)*2)*F148*M148</f>
        <v>4.1999999999999993</v>
      </c>
      <c r="O148" s="349"/>
      <c r="P148" s="784"/>
      <c r="Q148" s="398"/>
      <c r="R148" s="564"/>
      <c r="S148" s="398"/>
      <c r="T148" s="398"/>
      <c r="U148" s="398"/>
      <c r="V148" s="555"/>
      <c r="W148" s="555"/>
      <c r="X148" s="555"/>
    </row>
    <row r="149" spans="1:24" s="554" customFormat="1" ht="15.75" customHeight="1">
      <c r="A149" s="355"/>
      <c r="B149" s="359"/>
      <c r="C149" s="348"/>
      <c r="D149" s="348"/>
      <c r="E149" s="348"/>
      <c r="F149" s="348"/>
      <c r="G149" s="348"/>
      <c r="H149" s="348"/>
      <c r="I149" s="348"/>
      <c r="J149" s="348"/>
      <c r="K149" s="348"/>
      <c r="L149" s="348"/>
      <c r="M149" s="348"/>
      <c r="N149" s="343">
        <f>SUM(N148:N148)/2</f>
        <v>2.0999999999999996</v>
      </c>
      <c r="O149" s="349" t="s">
        <v>89</v>
      </c>
      <c r="P149" s="784">
        <f>ROUND((N149),2)</f>
        <v>2.1</v>
      </c>
      <c r="Q149" s="398"/>
      <c r="R149" s="564"/>
      <c r="S149" s="398"/>
      <c r="T149" s="398"/>
      <c r="U149" s="398"/>
      <c r="V149" s="555"/>
      <c r="W149" s="555"/>
      <c r="X149" s="555"/>
    </row>
    <row r="150" spans="1:24" s="554" customFormat="1" ht="15.75" customHeight="1">
      <c r="A150" s="355" t="s">
        <v>98</v>
      </c>
      <c r="B150" s="359" t="s">
        <v>928</v>
      </c>
      <c r="C150" s="348"/>
      <c r="D150" s="348"/>
      <c r="E150" s="348"/>
      <c r="F150" s="348"/>
      <c r="G150" s="348"/>
      <c r="H150" s="348"/>
      <c r="I150" s="348"/>
      <c r="J150" s="348"/>
      <c r="K150" s="348"/>
      <c r="L150" s="348"/>
      <c r="M150" s="348"/>
      <c r="N150" s="348"/>
      <c r="O150" s="349"/>
      <c r="P150" s="784"/>
      <c r="Q150" s="398"/>
      <c r="R150" s="564"/>
      <c r="S150" s="398"/>
      <c r="T150" s="398"/>
      <c r="U150" s="398"/>
      <c r="V150" s="555"/>
      <c r="W150" s="555"/>
      <c r="X150" s="555"/>
    </row>
    <row r="151" spans="1:24" s="554" customFormat="1" ht="15.75" customHeight="1">
      <c r="A151" s="355"/>
      <c r="B151" s="567"/>
      <c r="C151" s="348">
        <f>C148</f>
        <v>1</v>
      </c>
      <c r="D151" s="348"/>
      <c r="E151" s="348"/>
      <c r="F151" s="348">
        <v>4</v>
      </c>
      <c r="G151" s="348">
        <v>2</v>
      </c>
      <c r="H151" s="348"/>
      <c r="I151" s="348">
        <v>0.1</v>
      </c>
      <c r="J151" s="348"/>
      <c r="K151" s="348"/>
      <c r="L151" s="348">
        <f>0.006165*13*13</f>
        <v>1.0418850000000002</v>
      </c>
      <c r="M151" s="348">
        <f>M148</f>
        <v>3</v>
      </c>
      <c r="N151" s="565">
        <f>(C151+I151)*F151*L151*M151*G151</f>
        <v>27.505764000000006</v>
      </c>
      <c r="O151" s="349"/>
      <c r="P151" s="784"/>
      <c r="Q151" s="398"/>
      <c r="R151" s="564"/>
      <c r="S151" s="398"/>
      <c r="T151" s="398"/>
      <c r="U151" s="398"/>
      <c r="V151" s="555"/>
      <c r="W151" s="555"/>
      <c r="X151" s="555"/>
    </row>
    <row r="152" spans="1:24" s="554" customFormat="1" ht="15.75" customHeight="1">
      <c r="A152" s="355"/>
      <c r="B152" s="359"/>
      <c r="C152" s="348"/>
      <c r="D152" s="348"/>
      <c r="E152" s="348"/>
      <c r="F152" s="348"/>
      <c r="G152" s="348"/>
      <c r="H152" s="348"/>
      <c r="I152" s="348"/>
      <c r="J152" s="348"/>
      <c r="K152" s="348"/>
      <c r="L152" s="348"/>
      <c r="M152" s="348"/>
      <c r="N152" s="343">
        <f>SUM(N151:N151)</f>
        <v>27.505764000000006</v>
      </c>
      <c r="O152" s="349" t="s">
        <v>100</v>
      </c>
      <c r="P152" s="784">
        <f>ROUND((N152),2)</f>
        <v>27.51</v>
      </c>
      <c r="Q152" s="398"/>
      <c r="R152" s="564"/>
      <c r="S152" s="398"/>
      <c r="T152" s="398"/>
      <c r="U152" s="398"/>
      <c r="V152" s="555"/>
      <c r="W152" s="555"/>
      <c r="X152" s="555"/>
    </row>
    <row r="153" spans="1:24" s="554" customFormat="1" ht="15.75" customHeight="1">
      <c r="A153" s="355" t="s">
        <v>101</v>
      </c>
      <c r="B153" s="359" t="s">
        <v>428</v>
      </c>
      <c r="C153" s="348"/>
      <c r="D153" s="348"/>
      <c r="E153" s="348"/>
      <c r="F153" s="348"/>
      <c r="G153" s="348"/>
      <c r="H153" s="348"/>
      <c r="I153" s="348"/>
      <c r="J153" s="348"/>
      <c r="K153" s="348"/>
      <c r="L153" s="348"/>
      <c r="M153" s="348"/>
      <c r="N153" s="348"/>
      <c r="O153" s="349"/>
      <c r="P153" s="784"/>
      <c r="Q153" s="398"/>
      <c r="R153" s="564"/>
      <c r="S153" s="398"/>
      <c r="T153" s="398"/>
      <c r="U153" s="398"/>
      <c r="V153" s="555"/>
      <c r="W153" s="555"/>
      <c r="X153" s="555"/>
    </row>
    <row r="154" spans="1:24" s="554" customFormat="1" ht="15.75" customHeight="1">
      <c r="A154" s="355"/>
      <c r="B154" s="567"/>
      <c r="C154" s="348">
        <f>(0.09+0.14)*2</f>
        <v>0.46</v>
      </c>
      <c r="D154" s="348"/>
      <c r="E154" s="348"/>
      <c r="F154" s="348">
        <f>ROUNDDOWN((C151/0.125),0.1)</f>
        <v>8</v>
      </c>
      <c r="G154" s="348">
        <v>2</v>
      </c>
      <c r="H154" s="348"/>
      <c r="I154" s="348">
        <v>0.1</v>
      </c>
      <c r="J154" s="348"/>
      <c r="K154" s="348"/>
      <c r="L154" s="348">
        <f>L139</f>
        <v>0.39456000000000002</v>
      </c>
      <c r="M154" s="348">
        <f>M151</f>
        <v>3</v>
      </c>
      <c r="N154" s="565">
        <f>(C154+I154)*F154*L154*M154*G154</f>
        <v>10.6057728</v>
      </c>
      <c r="O154" s="349"/>
      <c r="P154" s="784"/>
      <c r="Q154" s="398"/>
      <c r="R154" s="564"/>
      <c r="S154" s="398"/>
      <c r="T154" s="398"/>
      <c r="U154" s="398"/>
      <c r="V154" s="555"/>
      <c r="W154" s="555"/>
      <c r="X154" s="555"/>
    </row>
    <row r="155" spans="1:24" s="554" customFormat="1" ht="15.75" customHeight="1">
      <c r="A155" s="355"/>
      <c r="B155" s="359"/>
      <c r="C155" s="348"/>
      <c r="D155" s="348"/>
      <c r="E155" s="348"/>
      <c r="F155" s="348"/>
      <c r="G155" s="348"/>
      <c r="H155" s="348"/>
      <c r="I155" s="348"/>
      <c r="J155" s="348"/>
      <c r="K155" s="348"/>
      <c r="L155" s="348"/>
      <c r="M155" s="348"/>
      <c r="N155" s="343">
        <f>SUM(N154:N154)</f>
        <v>10.6057728</v>
      </c>
      <c r="O155" s="349" t="s">
        <v>100</v>
      </c>
      <c r="P155" s="784">
        <f>ROUND((N155),2)</f>
        <v>10.61</v>
      </c>
      <c r="Q155" s="398"/>
      <c r="R155" s="564"/>
      <c r="S155" s="398"/>
      <c r="T155" s="398"/>
      <c r="U155" s="398"/>
      <c r="V155" s="555"/>
      <c r="W155" s="555"/>
      <c r="X155" s="555"/>
    </row>
    <row r="156" spans="1:24" s="554" customFormat="1" ht="15.75" customHeight="1">
      <c r="A156" s="355" t="s">
        <v>121</v>
      </c>
      <c r="B156" s="359" t="s">
        <v>1043</v>
      </c>
      <c r="C156" s="348"/>
      <c r="D156" s="348"/>
      <c r="E156" s="348"/>
      <c r="F156" s="348"/>
      <c r="G156" s="348"/>
      <c r="H156" s="348"/>
      <c r="I156" s="348"/>
      <c r="J156" s="348"/>
      <c r="K156" s="348"/>
      <c r="L156" s="348"/>
      <c r="M156" s="348"/>
      <c r="N156" s="348"/>
      <c r="O156" s="349"/>
      <c r="P156" s="784"/>
      <c r="Q156" s="398"/>
      <c r="R156" s="564"/>
      <c r="S156" s="398"/>
      <c r="T156" s="398"/>
      <c r="U156" s="398"/>
      <c r="V156" s="555"/>
      <c r="W156" s="555"/>
      <c r="X156" s="555"/>
    </row>
    <row r="157" spans="1:24" s="554" customFormat="1" ht="15.75" customHeight="1">
      <c r="A157" s="355"/>
      <c r="B157" s="567"/>
      <c r="C157" s="348">
        <f>C151</f>
        <v>1</v>
      </c>
      <c r="D157" s="348">
        <f>D143</f>
        <v>0.15</v>
      </c>
      <c r="E157" s="348">
        <f>E148</f>
        <v>0.2</v>
      </c>
      <c r="F157" s="348">
        <v>2</v>
      </c>
      <c r="G157" s="348"/>
      <c r="H157" s="348"/>
      <c r="I157" s="348"/>
      <c r="J157" s="348"/>
      <c r="K157" s="348"/>
      <c r="L157" s="348"/>
      <c r="M157" s="348">
        <f>M154*F157</f>
        <v>6</v>
      </c>
      <c r="N157" s="565">
        <f>C157*D157*E157*M157</f>
        <v>0.18</v>
      </c>
      <c r="O157" s="349"/>
      <c r="P157" s="784"/>
      <c r="Q157" s="398"/>
      <c r="R157" s="564"/>
      <c r="S157" s="398"/>
      <c r="T157" s="398"/>
      <c r="U157" s="398"/>
      <c r="V157" s="555"/>
      <c r="W157" s="555"/>
      <c r="X157" s="555"/>
    </row>
    <row r="158" spans="1:24" s="554" customFormat="1" ht="15.75" customHeight="1">
      <c r="A158" s="355"/>
      <c r="B158" s="359"/>
      <c r="C158" s="348"/>
      <c r="D158" s="348"/>
      <c r="E158" s="348"/>
      <c r="F158" s="348"/>
      <c r="G158" s="348"/>
      <c r="H158" s="348"/>
      <c r="I158" s="348"/>
      <c r="J158" s="348"/>
      <c r="K158" s="348"/>
      <c r="L158" s="348"/>
      <c r="M158" s="348"/>
      <c r="N158" s="343">
        <f>SUM(N157:N157)</f>
        <v>0.18</v>
      </c>
      <c r="O158" s="349" t="s">
        <v>103</v>
      </c>
      <c r="P158" s="784">
        <f>ROUND((N158),2)</f>
        <v>0.18</v>
      </c>
      <c r="Q158" s="398"/>
      <c r="R158" s="564"/>
      <c r="S158" s="398"/>
      <c r="T158" s="398"/>
      <c r="U158" s="398"/>
      <c r="V158" s="555"/>
      <c r="W158" s="555"/>
      <c r="X158" s="555"/>
    </row>
    <row r="159" spans="1:24" ht="15.75" customHeight="1">
      <c r="A159" s="355"/>
      <c r="B159" s="359"/>
      <c r="C159" s="348"/>
      <c r="D159" s="348"/>
      <c r="E159" s="348"/>
      <c r="F159" s="348"/>
      <c r="G159" s="348"/>
      <c r="H159" s="348"/>
      <c r="I159" s="348"/>
      <c r="J159" s="348"/>
      <c r="K159" s="348"/>
      <c r="L159" s="348"/>
      <c r="M159" s="348"/>
      <c r="N159" s="343"/>
      <c r="O159" s="349" t="s">
        <v>103</v>
      </c>
      <c r="P159" s="784">
        <f>ROUND((N159),2)</f>
        <v>0</v>
      </c>
      <c r="Q159" s="398"/>
      <c r="R159" s="564"/>
      <c r="S159" s="398"/>
      <c r="T159" s="398"/>
      <c r="U159" s="398"/>
      <c r="V159" s="738"/>
      <c r="W159" s="738"/>
      <c r="X159" s="738"/>
    </row>
    <row r="160" spans="1:24" ht="15.75" customHeight="1">
      <c r="A160" s="473">
        <f>A109+1</f>
        <v>12</v>
      </c>
      <c r="B160" s="359" t="s">
        <v>1585</v>
      </c>
      <c r="C160" s="330"/>
      <c r="D160" s="330"/>
      <c r="E160" s="330"/>
      <c r="F160" s="330"/>
      <c r="G160" s="330"/>
      <c r="H160" s="330"/>
      <c r="I160" s="330"/>
      <c r="J160" s="330"/>
      <c r="K160" s="330"/>
      <c r="L160" s="330"/>
      <c r="M160" s="330"/>
      <c r="N160" s="401"/>
      <c r="O160" s="349"/>
      <c r="P160" s="784"/>
      <c r="Q160" s="398"/>
      <c r="R160" s="779"/>
      <c r="S160" s="398"/>
      <c r="T160" s="398"/>
      <c r="U160" s="398"/>
      <c r="V160" s="738"/>
      <c r="W160" s="738"/>
      <c r="X160" s="738"/>
    </row>
    <row r="161" spans="1:24" ht="15.75" customHeight="1">
      <c r="A161" s="355" t="s">
        <v>95</v>
      </c>
      <c r="B161" s="351" t="s">
        <v>423</v>
      </c>
      <c r="C161" s="330"/>
      <c r="D161" s="330"/>
      <c r="E161" s="330"/>
      <c r="F161" s="330"/>
      <c r="G161" s="330"/>
      <c r="H161" s="330"/>
      <c r="I161" s="330"/>
      <c r="J161" s="330"/>
      <c r="K161" s="330"/>
      <c r="L161" s="330"/>
      <c r="M161" s="330"/>
      <c r="N161" s="401"/>
      <c r="O161" s="349" t="s">
        <v>89</v>
      </c>
      <c r="P161" s="784"/>
      <c r="Q161" s="398"/>
      <c r="R161" s="779"/>
      <c r="S161" s="398"/>
      <c r="T161" s="398"/>
      <c r="U161" s="398"/>
      <c r="V161" s="738"/>
      <c r="W161" s="738"/>
      <c r="X161" s="738"/>
    </row>
    <row r="162" spans="1:24" ht="15.75" customHeight="1">
      <c r="A162" s="355" t="s">
        <v>98</v>
      </c>
      <c r="B162" s="351" t="s">
        <v>928</v>
      </c>
      <c r="C162" s="330"/>
      <c r="D162" s="330"/>
      <c r="E162" s="330"/>
      <c r="F162" s="330"/>
      <c r="G162" s="330"/>
      <c r="H162" s="330"/>
      <c r="I162" s="330"/>
      <c r="J162" s="330"/>
      <c r="K162" s="330"/>
      <c r="L162" s="330"/>
      <c r="M162" s="330"/>
      <c r="N162" s="330"/>
      <c r="O162" s="349" t="s">
        <v>100</v>
      </c>
      <c r="P162" s="784"/>
      <c r="Q162" s="398"/>
      <c r="R162" s="779"/>
      <c r="S162" s="398"/>
      <c r="T162" s="398"/>
      <c r="U162" s="398"/>
      <c r="V162" s="738"/>
      <c r="W162" s="738"/>
      <c r="X162" s="738"/>
    </row>
    <row r="163" spans="1:24" ht="15.75" customHeight="1">
      <c r="A163" s="355" t="s">
        <v>101</v>
      </c>
      <c r="B163" s="351" t="s">
        <v>428</v>
      </c>
      <c r="C163" s="330"/>
      <c r="D163" s="330"/>
      <c r="E163" s="330"/>
      <c r="F163" s="330"/>
      <c r="G163" s="330"/>
      <c r="H163" s="330"/>
      <c r="I163" s="330"/>
      <c r="J163" s="330"/>
      <c r="K163" s="330"/>
      <c r="L163" s="330"/>
      <c r="M163" s="330"/>
      <c r="N163" s="330"/>
      <c r="O163" s="349" t="s">
        <v>100</v>
      </c>
      <c r="P163" s="784"/>
      <c r="Q163" s="398"/>
      <c r="R163" s="779"/>
      <c r="S163" s="398"/>
      <c r="T163" s="398"/>
      <c r="U163" s="398"/>
      <c r="V163" s="738"/>
      <c r="W163" s="738"/>
      <c r="X163" s="738"/>
    </row>
    <row r="164" spans="1:24" ht="15.75" customHeight="1">
      <c r="A164" s="355" t="s">
        <v>121</v>
      </c>
      <c r="B164" s="356" t="s">
        <v>169</v>
      </c>
      <c r="C164" s="330"/>
      <c r="D164" s="330"/>
      <c r="E164" s="330"/>
      <c r="F164" s="330"/>
      <c r="G164" s="330"/>
      <c r="H164" s="330"/>
      <c r="I164" s="330"/>
      <c r="J164" s="330"/>
      <c r="K164" s="330"/>
      <c r="L164" s="330"/>
      <c r="M164" s="330"/>
      <c r="N164" s="330"/>
      <c r="O164" s="349" t="s">
        <v>103</v>
      </c>
      <c r="P164" s="784"/>
      <c r="Q164" s="398"/>
      <c r="R164" s="779"/>
      <c r="S164" s="398"/>
      <c r="T164" s="398"/>
      <c r="U164" s="398"/>
      <c r="V164" s="738"/>
      <c r="W164" s="738"/>
      <c r="X164" s="738"/>
    </row>
    <row r="165" spans="1:24" ht="15.75" customHeight="1">
      <c r="A165" s="346" t="s">
        <v>1168</v>
      </c>
      <c r="B165" s="586" t="s">
        <v>434</v>
      </c>
      <c r="C165" s="330"/>
      <c r="D165" s="330"/>
      <c r="E165" s="330"/>
      <c r="F165" s="330"/>
      <c r="G165" s="330"/>
      <c r="H165" s="330"/>
      <c r="I165" s="330"/>
      <c r="J165" s="330"/>
      <c r="K165" s="330"/>
      <c r="L165" s="330"/>
      <c r="M165" s="330"/>
      <c r="N165" s="330"/>
      <c r="O165" s="349"/>
      <c r="P165" s="784"/>
      <c r="Q165" s="398"/>
      <c r="R165" s="779"/>
      <c r="S165" s="398"/>
      <c r="T165" s="398"/>
      <c r="U165" s="398"/>
      <c r="V165" s="738"/>
      <c r="W165" s="738"/>
      <c r="X165" s="738"/>
    </row>
    <row r="166" spans="1:24" ht="15.75" customHeight="1">
      <c r="A166" s="350">
        <v>1</v>
      </c>
      <c r="B166" s="359" t="s">
        <v>536</v>
      </c>
      <c r="C166" s="330"/>
      <c r="D166" s="330"/>
      <c r="E166" s="330"/>
      <c r="F166" s="330"/>
      <c r="G166" s="330"/>
      <c r="H166" s="330"/>
      <c r="I166" s="330"/>
      <c r="J166" s="330"/>
      <c r="K166" s="330"/>
      <c r="L166" s="330"/>
      <c r="M166" s="330"/>
      <c r="N166" s="330"/>
      <c r="O166" s="349"/>
      <c r="P166" s="784"/>
      <c r="Q166" s="398"/>
      <c r="R166" s="779"/>
      <c r="S166" s="398"/>
      <c r="T166" s="398"/>
      <c r="U166" s="398"/>
      <c r="V166" s="738"/>
      <c r="W166" s="738"/>
      <c r="X166" s="738"/>
    </row>
    <row r="167" spans="1:24" ht="15.75" customHeight="1">
      <c r="A167" s="350"/>
      <c r="B167" s="567" t="s">
        <v>1586</v>
      </c>
      <c r="C167" s="330">
        <f>C111</f>
        <v>8</v>
      </c>
      <c r="D167" s="330"/>
      <c r="E167" s="330">
        <v>0.65</v>
      </c>
      <c r="F167" s="330"/>
      <c r="G167" s="330"/>
      <c r="H167" s="330"/>
      <c r="I167" s="330"/>
      <c r="J167" s="330"/>
      <c r="K167" s="330"/>
      <c r="L167" s="330"/>
      <c r="M167" s="330">
        <v>2</v>
      </c>
      <c r="N167" s="330">
        <f>C167*E167*M167</f>
        <v>10.4</v>
      </c>
      <c r="O167" s="349"/>
      <c r="P167" s="784"/>
      <c r="Q167" s="398"/>
      <c r="R167" s="779"/>
      <c r="S167" s="398"/>
      <c r="T167" s="398"/>
      <c r="U167" s="398"/>
      <c r="V167" s="738"/>
      <c r="W167" s="738"/>
      <c r="X167" s="738"/>
    </row>
    <row r="168" spans="1:24" ht="15.75" customHeight="1">
      <c r="A168" s="350"/>
      <c r="B168" s="567" t="s">
        <v>1587</v>
      </c>
      <c r="C168" s="330">
        <f>C112</f>
        <v>5</v>
      </c>
      <c r="D168" s="330"/>
      <c r="E168" s="330">
        <f>E167</f>
        <v>0.65</v>
      </c>
      <c r="F168" s="330"/>
      <c r="G168" s="330"/>
      <c r="H168" s="330"/>
      <c r="I168" s="330"/>
      <c r="J168" s="330"/>
      <c r="K168" s="330"/>
      <c r="L168" s="330"/>
      <c r="M168" s="330">
        <v>1</v>
      </c>
      <c r="N168" s="330">
        <f>C168*E168*M168</f>
        <v>3.25</v>
      </c>
      <c r="O168" s="349"/>
      <c r="P168" s="784"/>
      <c r="Q168" s="398"/>
      <c r="R168" s="779"/>
      <c r="S168" s="398"/>
      <c r="T168" s="398"/>
      <c r="U168" s="398"/>
      <c r="V168" s="738"/>
      <c r="W168" s="738"/>
      <c r="X168" s="738"/>
    </row>
    <row r="169" spans="1:24" ht="15.75" customHeight="1">
      <c r="A169" s="350"/>
      <c r="B169" s="567" t="s">
        <v>1171</v>
      </c>
      <c r="C169" s="330">
        <f>C168</f>
        <v>5</v>
      </c>
      <c r="D169" s="330"/>
      <c r="E169" s="330">
        <v>0.44</v>
      </c>
      <c r="F169" s="330"/>
      <c r="G169" s="330"/>
      <c r="H169" s="330"/>
      <c r="I169" s="330"/>
      <c r="J169" s="330"/>
      <c r="K169" s="330"/>
      <c r="L169" s="330"/>
      <c r="M169" s="330">
        <v>1</v>
      </c>
      <c r="N169" s="330">
        <f>C169*E169*M169</f>
        <v>2.2000000000000002</v>
      </c>
      <c r="O169" s="349"/>
      <c r="P169" s="784"/>
      <c r="Q169" s="398"/>
      <c r="R169" s="779"/>
      <c r="S169" s="398"/>
      <c r="T169" s="398"/>
      <c r="U169" s="398"/>
      <c r="V169" s="738"/>
      <c r="W169" s="738"/>
      <c r="X169" s="738"/>
    </row>
    <row r="170" spans="1:24" ht="15.75" customHeight="1">
      <c r="A170" s="350"/>
      <c r="B170" s="567" t="s">
        <v>1149</v>
      </c>
      <c r="C170" s="330"/>
      <c r="D170" s="428">
        <v>2.6440000000000001</v>
      </c>
      <c r="E170" s="428">
        <v>1.2769999999999999</v>
      </c>
      <c r="F170" s="330"/>
      <c r="G170" s="330"/>
      <c r="H170" s="330">
        <v>2</v>
      </c>
      <c r="I170" s="330"/>
      <c r="J170" s="330"/>
      <c r="K170" s="330"/>
      <c r="L170" s="330"/>
      <c r="M170" s="330"/>
      <c r="N170" s="330">
        <f>D170*E170*H170*Q170</f>
        <v>0</v>
      </c>
      <c r="O170" s="349"/>
      <c r="P170" s="784"/>
      <c r="Q170" s="398"/>
      <c r="R170" s="779"/>
      <c r="S170" s="398"/>
      <c r="T170" s="398"/>
      <c r="U170" s="398"/>
      <c r="V170" s="738"/>
      <c r="W170" s="738"/>
      <c r="X170" s="738"/>
    </row>
    <row r="171" spans="1:24" ht="15.75" customHeight="1">
      <c r="A171" s="350"/>
      <c r="B171" s="567"/>
      <c r="C171" s="330"/>
      <c r="D171" s="428">
        <v>1.3029999999999999</v>
      </c>
      <c r="E171" s="428">
        <v>1.2769999999999999</v>
      </c>
      <c r="F171" s="330"/>
      <c r="G171" s="330"/>
      <c r="H171" s="330">
        <f>H170</f>
        <v>2</v>
      </c>
      <c r="I171" s="330"/>
      <c r="J171" s="330"/>
      <c r="K171" s="330"/>
      <c r="L171" s="330"/>
      <c r="M171" s="330"/>
      <c r="N171" s="330">
        <f>D171*E171*H171*Q171</f>
        <v>0</v>
      </c>
      <c r="O171" s="349"/>
      <c r="P171" s="784"/>
      <c r="Q171" s="398"/>
      <c r="R171" s="779"/>
      <c r="S171" s="398"/>
      <c r="T171" s="398"/>
      <c r="U171" s="398"/>
      <c r="V171" s="738"/>
      <c r="W171" s="738"/>
      <c r="X171" s="738"/>
    </row>
    <row r="172" spans="1:24" ht="15.75" customHeight="1">
      <c r="A172" s="350"/>
      <c r="B172" s="567"/>
      <c r="C172" s="330"/>
      <c r="D172" s="428">
        <f>2.644/2</f>
        <v>1.3220000000000001</v>
      </c>
      <c r="E172" s="428">
        <v>1.1459999999999999</v>
      </c>
      <c r="F172" s="330"/>
      <c r="G172" s="330"/>
      <c r="H172" s="330">
        <f>H171</f>
        <v>2</v>
      </c>
      <c r="I172" s="330"/>
      <c r="J172" s="330"/>
      <c r="K172" s="330"/>
      <c r="L172" s="330"/>
      <c r="M172" s="330"/>
      <c r="N172" s="752">
        <f>D172*E172*H172*Q172</f>
        <v>0</v>
      </c>
      <c r="O172" s="349"/>
      <c r="P172" s="784"/>
      <c r="Q172" s="398"/>
      <c r="R172" s="779"/>
      <c r="S172" s="398"/>
      <c r="T172" s="398"/>
      <c r="U172" s="398"/>
      <c r="V172" s="738"/>
      <c r="W172" s="738"/>
      <c r="X172" s="738"/>
    </row>
    <row r="173" spans="1:24" ht="15.75" customHeight="1">
      <c r="A173" s="350"/>
      <c r="B173" s="567"/>
      <c r="C173" s="330"/>
      <c r="D173" s="330"/>
      <c r="E173" s="330"/>
      <c r="F173" s="330"/>
      <c r="G173" s="330"/>
      <c r="H173" s="330"/>
      <c r="I173" s="330"/>
      <c r="J173" s="330"/>
      <c r="K173" s="330"/>
      <c r="L173" s="330"/>
      <c r="M173" s="330"/>
      <c r="N173" s="401">
        <f>SUM(N167:N172)</f>
        <v>15.850000000000001</v>
      </c>
      <c r="O173" s="349" t="s">
        <v>89</v>
      </c>
      <c r="P173" s="784">
        <f>ROUND((N173),2)</f>
        <v>15.85</v>
      </c>
      <c r="Q173" s="398"/>
      <c r="R173" s="779"/>
      <c r="S173" s="398"/>
      <c r="T173" s="398"/>
      <c r="U173" s="398"/>
      <c r="V173" s="738"/>
      <c r="W173" s="738"/>
      <c r="X173" s="738"/>
    </row>
    <row r="174" spans="1:24" ht="15.75" customHeight="1">
      <c r="A174" s="350">
        <f>A166+1</f>
        <v>2</v>
      </c>
      <c r="B174" s="359" t="s">
        <v>193</v>
      </c>
      <c r="C174" s="330"/>
      <c r="D174" s="330"/>
      <c r="E174" s="330"/>
      <c r="F174" s="330"/>
      <c r="G174" s="330"/>
      <c r="H174" s="330"/>
      <c r="I174" s="330"/>
      <c r="J174" s="330"/>
      <c r="K174" s="330"/>
      <c r="L174" s="330"/>
      <c r="M174" s="330"/>
      <c r="N174" s="330">
        <f>N173*2</f>
        <v>31.700000000000003</v>
      </c>
      <c r="O174" s="349" t="s">
        <v>89</v>
      </c>
      <c r="P174" s="784">
        <f>ROUND((N174),2)</f>
        <v>31.7</v>
      </c>
      <c r="Q174" s="398"/>
      <c r="R174" s="779"/>
      <c r="S174" s="398"/>
      <c r="T174" s="398"/>
      <c r="U174" s="398"/>
      <c r="V174" s="738"/>
      <c r="W174" s="738"/>
      <c r="X174" s="738"/>
    </row>
    <row r="175" spans="1:24" ht="15.75" customHeight="1">
      <c r="A175" s="350">
        <f>A174+1</f>
        <v>3</v>
      </c>
      <c r="B175" s="359" t="s">
        <v>194</v>
      </c>
      <c r="C175" s="330"/>
      <c r="D175" s="330"/>
      <c r="E175" s="330"/>
      <c r="F175" s="330"/>
      <c r="G175" s="330"/>
      <c r="H175" s="330"/>
      <c r="I175" s="330"/>
      <c r="J175" s="330"/>
      <c r="K175" s="330"/>
      <c r="L175" s="330"/>
      <c r="M175" s="330"/>
      <c r="N175" s="330">
        <f>N174</f>
        <v>31.700000000000003</v>
      </c>
      <c r="O175" s="349" t="s">
        <v>89</v>
      </c>
      <c r="P175" s="784">
        <f>ROUND((N175),2)</f>
        <v>31.7</v>
      </c>
      <c r="Q175" s="398"/>
      <c r="R175" s="779"/>
      <c r="S175" s="398"/>
      <c r="T175" s="398"/>
      <c r="U175" s="398"/>
      <c r="V175" s="738"/>
      <c r="W175" s="738"/>
      <c r="X175" s="738"/>
    </row>
    <row r="176" spans="1:24" ht="15.75" customHeight="1">
      <c r="A176" s="350">
        <f>A175+1</f>
        <v>4</v>
      </c>
      <c r="B176" s="359" t="s">
        <v>435</v>
      </c>
      <c r="C176" s="330"/>
      <c r="D176" s="330"/>
      <c r="E176" s="330"/>
      <c r="F176" s="330"/>
      <c r="G176" s="330"/>
      <c r="H176" s="330"/>
      <c r="I176" s="330"/>
      <c r="J176" s="330"/>
      <c r="K176" s="330"/>
      <c r="L176" s="330"/>
      <c r="M176" s="330"/>
      <c r="N176" s="330"/>
      <c r="O176" s="349"/>
      <c r="P176" s="784"/>
      <c r="Q176" s="398"/>
      <c r="R176" s="779"/>
      <c r="S176" s="398"/>
      <c r="T176" s="398"/>
      <c r="U176" s="398"/>
      <c r="V176" s="738"/>
      <c r="W176" s="738"/>
      <c r="X176" s="738"/>
    </row>
    <row r="177" spans="1:24" ht="15.75" customHeight="1">
      <c r="A177" s="350"/>
      <c r="B177" s="567" t="s">
        <v>1017</v>
      </c>
      <c r="C177" s="330"/>
      <c r="D177" s="330">
        <v>0.25</v>
      </c>
      <c r="E177" s="330">
        <f>E81</f>
        <v>3.58</v>
      </c>
      <c r="F177" s="330"/>
      <c r="G177" s="330"/>
      <c r="H177" s="330">
        <v>4</v>
      </c>
      <c r="I177" s="330"/>
      <c r="J177" s="330"/>
      <c r="K177" s="330"/>
      <c r="L177" s="330"/>
      <c r="M177" s="330">
        <v>6</v>
      </c>
      <c r="N177" s="330">
        <f>D177*E177*H177*M177</f>
        <v>21.48</v>
      </c>
      <c r="O177" s="349"/>
      <c r="P177" s="784"/>
      <c r="Q177" s="398"/>
      <c r="R177" s="779"/>
      <c r="S177" s="398"/>
      <c r="T177" s="398"/>
      <c r="U177" s="398"/>
      <c r="V177" s="738"/>
      <c r="W177" s="738"/>
      <c r="X177" s="738"/>
    </row>
    <row r="178" spans="1:24" ht="15.75" customHeight="1">
      <c r="A178" s="350"/>
      <c r="B178" s="567" t="s">
        <v>1018</v>
      </c>
      <c r="C178" s="330">
        <f>8-(0.2*4)</f>
        <v>7.2</v>
      </c>
      <c r="D178" s="330"/>
      <c r="E178" s="330">
        <v>0.3</v>
      </c>
      <c r="F178" s="330"/>
      <c r="G178" s="330"/>
      <c r="H178" s="330">
        <v>2</v>
      </c>
      <c r="I178" s="330"/>
      <c r="J178" s="330"/>
      <c r="K178" s="330"/>
      <c r="L178" s="330"/>
      <c r="M178" s="330">
        <v>2</v>
      </c>
      <c r="N178" s="330">
        <f>C178*E178*H178*M178</f>
        <v>8.64</v>
      </c>
      <c r="O178" s="349"/>
      <c r="P178" s="784"/>
      <c r="Q178" s="398"/>
      <c r="R178" s="779"/>
      <c r="S178" s="398"/>
      <c r="T178" s="398"/>
      <c r="U178" s="398"/>
      <c r="V178" s="738"/>
      <c r="W178" s="738"/>
      <c r="X178" s="738"/>
    </row>
    <row r="179" spans="1:24" ht="15.75" customHeight="1">
      <c r="A179" s="350"/>
      <c r="B179" s="567"/>
      <c r="C179" s="330">
        <f>C178</f>
        <v>7.2</v>
      </c>
      <c r="D179" s="330">
        <v>0.25</v>
      </c>
      <c r="E179" s="330"/>
      <c r="F179" s="330"/>
      <c r="G179" s="330"/>
      <c r="H179" s="330">
        <v>1</v>
      </c>
      <c r="I179" s="330"/>
      <c r="J179" s="330"/>
      <c r="K179" s="330"/>
      <c r="L179" s="330"/>
      <c r="M179" s="330">
        <f>M178</f>
        <v>2</v>
      </c>
      <c r="N179" s="330">
        <f>C179*D179*H179*M179</f>
        <v>3.6</v>
      </c>
      <c r="O179" s="349"/>
      <c r="P179" s="784"/>
      <c r="Q179" s="398"/>
      <c r="R179" s="779"/>
      <c r="S179" s="398"/>
      <c r="T179" s="398"/>
      <c r="U179" s="398"/>
      <c r="V179" s="738"/>
      <c r="W179" s="738"/>
      <c r="X179" s="738"/>
    </row>
    <row r="180" spans="1:24" ht="15.75" customHeight="1">
      <c r="A180" s="350"/>
      <c r="B180" s="567"/>
      <c r="C180" s="330">
        <f>5-(0.2*2)</f>
        <v>4.5999999999999996</v>
      </c>
      <c r="D180" s="330"/>
      <c r="E180" s="330">
        <f>E178</f>
        <v>0.3</v>
      </c>
      <c r="F180" s="330"/>
      <c r="G180" s="330"/>
      <c r="H180" s="330">
        <v>2</v>
      </c>
      <c r="I180" s="330"/>
      <c r="J180" s="330"/>
      <c r="K180" s="330"/>
      <c r="L180" s="330"/>
      <c r="M180" s="330">
        <v>2</v>
      </c>
      <c r="N180" s="330">
        <f>C180*E180*H180*M180</f>
        <v>5.52</v>
      </c>
      <c r="O180" s="349"/>
      <c r="P180" s="784"/>
      <c r="Q180" s="398"/>
      <c r="R180" s="779"/>
      <c r="S180" s="398"/>
      <c r="T180" s="398"/>
      <c r="U180" s="398"/>
      <c r="V180" s="738"/>
      <c r="W180" s="738"/>
      <c r="X180" s="738"/>
    </row>
    <row r="181" spans="1:24" ht="15.75" customHeight="1">
      <c r="A181" s="350"/>
      <c r="B181" s="567"/>
      <c r="C181" s="330">
        <f>C180</f>
        <v>4.5999999999999996</v>
      </c>
      <c r="D181" s="330">
        <f>D179</f>
        <v>0.25</v>
      </c>
      <c r="E181" s="330"/>
      <c r="F181" s="330"/>
      <c r="G181" s="330"/>
      <c r="H181" s="330">
        <f>H179</f>
        <v>1</v>
      </c>
      <c r="I181" s="330"/>
      <c r="J181" s="330"/>
      <c r="K181" s="330"/>
      <c r="L181" s="330"/>
      <c r="M181" s="330">
        <f>M180</f>
        <v>2</v>
      </c>
      <c r="N181" s="330">
        <f>C181*D181*H181*M181</f>
        <v>2.2999999999999998</v>
      </c>
      <c r="O181" s="349"/>
      <c r="P181" s="784"/>
      <c r="Q181" s="398"/>
      <c r="R181" s="779"/>
      <c r="S181" s="398"/>
      <c r="T181" s="398"/>
      <c r="U181" s="398"/>
      <c r="V181" s="738"/>
      <c r="W181" s="738"/>
      <c r="X181" s="738"/>
    </row>
    <row r="182" spans="1:24" ht="15.75" customHeight="1">
      <c r="A182" s="350"/>
      <c r="B182" s="567" t="s">
        <v>1019</v>
      </c>
      <c r="C182" s="330">
        <f>5-(0.2*2)</f>
        <v>4.5999999999999996</v>
      </c>
      <c r="D182" s="330"/>
      <c r="E182" s="330">
        <v>0.15</v>
      </c>
      <c r="F182" s="330"/>
      <c r="G182" s="330"/>
      <c r="H182" s="330">
        <v>3</v>
      </c>
      <c r="I182" s="330"/>
      <c r="J182" s="330"/>
      <c r="K182" s="330"/>
      <c r="L182" s="330"/>
      <c r="M182" s="330">
        <v>1</v>
      </c>
      <c r="N182" s="752">
        <f>C182*E182*H182*M182</f>
        <v>2.0699999999999998</v>
      </c>
      <c r="O182" s="349"/>
      <c r="P182" s="784"/>
      <c r="Q182" s="398"/>
      <c r="R182" s="779"/>
      <c r="S182" s="398"/>
      <c r="T182" s="398"/>
      <c r="U182" s="398"/>
      <c r="V182" s="738"/>
      <c r="W182" s="738"/>
      <c r="X182" s="738"/>
    </row>
    <row r="183" spans="1:24" ht="15.75" customHeight="1">
      <c r="A183" s="350"/>
      <c r="B183" s="567"/>
      <c r="C183" s="330"/>
      <c r="D183" s="330"/>
      <c r="E183" s="330"/>
      <c r="F183" s="330"/>
      <c r="G183" s="330"/>
      <c r="H183" s="330"/>
      <c r="I183" s="330"/>
      <c r="J183" s="330"/>
      <c r="K183" s="330"/>
      <c r="L183" s="330"/>
      <c r="M183" s="330"/>
      <c r="N183" s="401">
        <f>SUM(N177:N182)</f>
        <v>43.609999999999992</v>
      </c>
      <c r="O183" s="349" t="s">
        <v>89</v>
      </c>
      <c r="P183" s="784">
        <f>ROUND((N183),2)</f>
        <v>43.61</v>
      </c>
      <c r="Q183" s="398"/>
      <c r="R183" s="779"/>
      <c r="S183" s="398"/>
      <c r="T183" s="398"/>
      <c r="U183" s="398"/>
      <c r="V183" s="738"/>
      <c r="W183" s="738"/>
      <c r="X183" s="738"/>
    </row>
    <row r="184" spans="1:24" ht="15.75" customHeight="1">
      <c r="A184" s="350">
        <f>A176+1</f>
        <v>5</v>
      </c>
      <c r="B184" s="351" t="s">
        <v>436</v>
      </c>
      <c r="C184" s="348"/>
      <c r="D184" s="428">
        <f t="shared" ref="D184:E186" si="5">D170</f>
        <v>2.6440000000000001</v>
      </c>
      <c r="E184" s="428">
        <f t="shared" si="5"/>
        <v>1.2769999999999999</v>
      </c>
      <c r="F184" s="428"/>
      <c r="G184" s="428"/>
      <c r="H184" s="428">
        <f>H170</f>
        <v>2</v>
      </c>
      <c r="I184" s="428"/>
      <c r="J184" s="428"/>
      <c r="K184" s="428"/>
      <c r="L184" s="428"/>
      <c r="M184" s="428"/>
      <c r="N184" s="428">
        <f>D184*E184*H184</f>
        <v>6.7527759999999999</v>
      </c>
      <c r="O184" s="349"/>
      <c r="P184" s="784"/>
      <c r="Q184" s="398"/>
      <c r="R184" s="779"/>
      <c r="S184" s="398"/>
      <c r="T184" s="398"/>
      <c r="U184" s="398"/>
      <c r="V184" s="738"/>
      <c r="W184" s="738"/>
      <c r="X184" s="738"/>
    </row>
    <row r="185" spans="1:24" ht="15.75" customHeight="1">
      <c r="A185" s="350"/>
      <c r="B185" s="589"/>
      <c r="C185" s="348"/>
      <c r="D185" s="428">
        <f t="shared" si="5"/>
        <v>1.3029999999999999</v>
      </c>
      <c r="E185" s="428">
        <f t="shared" si="5"/>
        <v>1.2769999999999999</v>
      </c>
      <c r="F185" s="428"/>
      <c r="G185" s="428"/>
      <c r="H185" s="428">
        <f>H171</f>
        <v>2</v>
      </c>
      <c r="I185" s="428"/>
      <c r="J185" s="428"/>
      <c r="K185" s="428"/>
      <c r="L185" s="428"/>
      <c r="M185" s="428"/>
      <c r="N185" s="428">
        <f>D185*E185*H185</f>
        <v>3.3278619999999997</v>
      </c>
      <c r="O185" s="349"/>
      <c r="P185" s="784"/>
      <c r="Q185" s="398"/>
      <c r="R185" s="779"/>
      <c r="S185" s="398"/>
      <c r="T185" s="398"/>
      <c r="U185" s="398"/>
      <c r="V185" s="738"/>
      <c r="W185" s="738"/>
      <c r="X185" s="738"/>
    </row>
    <row r="186" spans="1:24" ht="15.75" customHeight="1">
      <c r="A186" s="350"/>
      <c r="B186" s="589"/>
      <c r="C186" s="348"/>
      <c r="D186" s="428">
        <f t="shared" si="5"/>
        <v>1.3220000000000001</v>
      </c>
      <c r="E186" s="428">
        <f t="shared" si="5"/>
        <v>1.1459999999999999</v>
      </c>
      <c r="F186" s="428"/>
      <c r="G186" s="428"/>
      <c r="H186" s="428">
        <f>H172</f>
        <v>2</v>
      </c>
      <c r="I186" s="428"/>
      <c r="J186" s="428"/>
      <c r="K186" s="428"/>
      <c r="L186" s="428"/>
      <c r="M186" s="428"/>
      <c r="N186" s="590">
        <f>D186*E186*H186</f>
        <v>3.0300240000000001</v>
      </c>
      <c r="O186" s="349"/>
      <c r="P186" s="784"/>
      <c r="Q186" s="398"/>
      <c r="R186" s="779"/>
      <c r="S186" s="398"/>
      <c r="T186" s="398"/>
      <c r="U186" s="398"/>
      <c r="V186" s="738"/>
      <c r="W186" s="738"/>
      <c r="X186" s="738"/>
    </row>
    <row r="187" spans="1:24" ht="15.75" customHeight="1">
      <c r="A187" s="350"/>
      <c r="B187" s="589"/>
      <c r="C187" s="348"/>
      <c r="D187" s="348"/>
      <c r="E187" s="348"/>
      <c r="F187" s="348"/>
      <c r="G187" s="348"/>
      <c r="H187" s="348"/>
      <c r="I187" s="348"/>
      <c r="J187" s="348"/>
      <c r="K187" s="348"/>
      <c r="L187" s="348"/>
      <c r="M187" s="348"/>
      <c r="N187" s="343">
        <f>SUM(N184:N186)</f>
        <v>13.110662000000001</v>
      </c>
      <c r="O187" s="349" t="s">
        <v>89</v>
      </c>
      <c r="P187" s="784">
        <f>ROUND((N187),2)</f>
        <v>13.11</v>
      </c>
      <c r="Q187" s="398"/>
      <c r="R187" s="779"/>
      <c r="S187" s="398"/>
      <c r="T187" s="398"/>
      <c r="U187" s="398"/>
      <c r="V187" s="738"/>
      <c r="W187" s="738"/>
      <c r="X187" s="738"/>
    </row>
    <row r="188" spans="1:24" ht="15.75" customHeight="1">
      <c r="A188" s="350">
        <f>A184+1</f>
        <v>6</v>
      </c>
      <c r="B188" s="591" t="s">
        <v>1588</v>
      </c>
      <c r="C188" s="330"/>
      <c r="D188" s="330"/>
      <c r="E188" s="330"/>
      <c r="F188" s="330"/>
      <c r="G188" s="330"/>
      <c r="H188" s="330"/>
      <c r="I188" s="330"/>
      <c r="J188" s="330"/>
      <c r="K188" s="330"/>
      <c r="L188" s="330"/>
      <c r="M188" s="330"/>
      <c r="N188" s="401"/>
      <c r="O188" s="349"/>
      <c r="P188" s="784"/>
      <c r="Q188" s="398"/>
      <c r="R188" s="779"/>
      <c r="S188" s="398"/>
      <c r="T188" s="398"/>
      <c r="U188" s="398"/>
      <c r="V188" s="738"/>
      <c r="W188" s="738"/>
      <c r="X188" s="738"/>
    </row>
    <row r="189" spans="1:24" ht="15.75" customHeight="1">
      <c r="A189" s="350"/>
      <c r="B189" s="567" t="s">
        <v>1183</v>
      </c>
      <c r="C189" s="330">
        <v>8</v>
      </c>
      <c r="D189" s="330">
        <v>5</v>
      </c>
      <c r="E189" s="330"/>
      <c r="F189" s="330"/>
      <c r="G189" s="330"/>
      <c r="H189" s="330"/>
      <c r="I189" s="330"/>
      <c r="J189" s="330"/>
      <c r="K189" s="330"/>
      <c r="L189" s="330"/>
      <c r="M189" s="330"/>
      <c r="N189" s="330">
        <f>C189*D189</f>
        <v>40</v>
      </c>
      <c r="O189" s="349"/>
      <c r="P189" s="784"/>
      <c r="Q189" s="398"/>
      <c r="R189" s="779"/>
      <c r="S189" s="398"/>
      <c r="T189" s="398"/>
      <c r="U189" s="398"/>
      <c r="V189" s="738"/>
      <c r="W189" s="738"/>
      <c r="X189" s="738"/>
    </row>
    <row r="190" spans="1:24" ht="15.75" customHeight="1">
      <c r="A190" s="350"/>
      <c r="B190" s="567" t="s">
        <v>1029</v>
      </c>
      <c r="C190" s="330">
        <f>C189</f>
        <v>8</v>
      </c>
      <c r="D190" s="330">
        <v>0.55000000000000004</v>
      </c>
      <c r="E190" s="330"/>
      <c r="F190" s="330"/>
      <c r="G190" s="330"/>
      <c r="H190" s="330">
        <v>2</v>
      </c>
      <c r="I190" s="330"/>
      <c r="J190" s="330"/>
      <c r="K190" s="330"/>
      <c r="L190" s="330"/>
      <c r="M190" s="330"/>
      <c r="N190" s="330">
        <f>C190*D190*H190</f>
        <v>8.8000000000000007</v>
      </c>
      <c r="O190" s="349"/>
      <c r="P190" s="784"/>
      <c r="Q190" s="398"/>
      <c r="R190" s="779"/>
      <c r="S190" s="398"/>
      <c r="T190" s="398"/>
      <c r="U190" s="398"/>
      <c r="V190" s="738"/>
      <c r="W190" s="738"/>
      <c r="X190" s="738"/>
    </row>
    <row r="191" spans="1:24" ht="15.75" customHeight="1">
      <c r="A191" s="350"/>
      <c r="B191" s="567"/>
      <c r="C191" s="330">
        <f>D189</f>
        <v>5</v>
      </c>
      <c r="D191" s="330">
        <f>D190</f>
        <v>0.55000000000000004</v>
      </c>
      <c r="E191" s="330"/>
      <c r="F191" s="330"/>
      <c r="G191" s="330"/>
      <c r="H191" s="330">
        <f>H190</f>
        <v>2</v>
      </c>
      <c r="I191" s="330"/>
      <c r="J191" s="330"/>
      <c r="K191" s="330"/>
      <c r="L191" s="330"/>
      <c r="M191" s="330"/>
      <c r="N191" s="752">
        <f>C191*D191*H191</f>
        <v>5.5</v>
      </c>
      <c r="O191" s="349"/>
      <c r="P191" s="784"/>
      <c r="Q191" s="398"/>
      <c r="R191" s="779"/>
      <c r="S191" s="398"/>
      <c r="T191" s="398"/>
      <c r="U191" s="398"/>
      <c r="V191" s="738"/>
      <c r="W191" s="738"/>
      <c r="X191" s="738"/>
    </row>
    <row r="192" spans="1:24" ht="15.75" customHeight="1">
      <c r="A192" s="350"/>
      <c r="B192" s="567"/>
      <c r="C192" s="330"/>
      <c r="D192" s="330"/>
      <c r="E192" s="330"/>
      <c r="F192" s="330"/>
      <c r="G192" s="330"/>
      <c r="H192" s="330"/>
      <c r="I192" s="330"/>
      <c r="J192" s="330"/>
      <c r="K192" s="330"/>
      <c r="L192" s="330"/>
      <c r="M192" s="330"/>
      <c r="N192" s="401">
        <f>SUM(N189:N191)</f>
        <v>54.3</v>
      </c>
      <c r="O192" s="349" t="s">
        <v>89</v>
      </c>
      <c r="P192" s="784">
        <f>ROUND((N192),2)</f>
        <v>54.3</v>
      </c>
      <c r="Q192" s="398"/>
      <c r="R192" s="779"/>
      <c r="S192" s="398"/>
      <c r="T192" s="398"/>
      <c r="U192" s="398"/>
      <c r="V192" s="738"/>
      <c r="W192" s="738"/>
      <c r="X192" s="738"/>
    </row>
    <row r="193" spans="1:24" s="554" customFormat="1" ht="15.75" customHeight="1">
      <c r="A193" s="350">
        <f>A188+1</f>
        <v>7</v>
      </c>
      <c r="B193" s="359" t="s">
        <v>437</v>
      </c>
      <c r="C193" s="348"/>
      <c r="D193" s="348"/>
      <c r="E193" s="348"/>
      <c r="F193" s="348"/>
      <c r="G193" s="348"/>
      <c r="H193" s="348"/>
      <c r="I193" s="348"/>
      <c r="J193" s="348"/>
      <c r="K193" s="348"/>
      <c r="L193" s="348"/>
      <c r="M193" s="348"/>
      <c r="N193" s="343"/>
      <c r="O193" s="349"/>
      <c r="P193" s="784"/>
      <c r="Q193" s="398"/>
      <c r="R193" s="564"/>
      <c r="S193" s="398"/>
      <c r="T193" s="398"/>
      <c r="U193" s="398"/>
      <c r="V193" s="555"/>
      <c r="W193" s="555"/>
      <c r="X193" s="555"/>
    </row>
    <row r="194" spans="1:24" s="554" customFormat="1" ht="15.75" customHeight="1">
      <c r="A194" s="355" t="s">
        <v>95</v>
      </c>
      <c r="B194" s="351" t="s">
        <v>438</v>
      </c>
      <c r="C194" s="348"/>
      <c r="D194" s="348"/>
      <c r="E194" s="348"/>
      <c r="F194" s="348"/>
      <c r="G194" s="348"/>
      <c r="H194" s="348"/>
      <c r="I194" s="348"/>
      <c r="J194" s="348"/>
      <c r="K194" s="348"/>
      <c r="L194" s="348"/>
      <c r="M194" s="348"/>
      <c r="N194" s="348"/>
      <c r="O194" s="349"/>
      <c r="P194" s="784"/>
      <c r="Q194" s="398"/>
      <c r="R194" s="564"/>
      <c r="S194" s="398"/>
      <c r="T194" s="398"/>
      <c r="U194" s="398"/>
      <c r="V194" s="555"/>
      <c r="W194" s="555"/>
      <c r="X194" s="555"/>
    </row>
    <row r="195" spans="1:24" s="554" customFormat="1" ht="15.75" customHeight="1">
      <c r="A195" s="350"/>
      <c r="B195" s="567" t="s">
        <v>1020</v>
      </c>
      <c r="C195" s="348">
        <f>5.25+(0.3*2)</f>
        <v>5.85</v>
      </c>
      <c r="D195" s="348">
        <v>0.12</v>
      </c>
      <c r="E195" s="348">
        <v>0.2</v>
      </c>
      <c r="F195" s="348"/>
      <c r="G195" s="348"/>
      <c r="H195" s="348">
        <v>1</v>
      </c>
      <c r="I195" s="348"/>
      <c r="J195" s="348"/>
      <c r="K195" s="348"/>
      <c r="L195" s="348"/>
      <c r="M195" s="348"/>
      <c r="N195" s="343">
        <f>C195*E195*H195*D195</f>
        <v>0.1404</v>
      </c>
      <c r="O195" s="349"/>
      <c r="P195" s="784"/>
      <c r="Q195" s="398"/>
      <c r="R195" s="564"/>
      <c r="S195" s="398"/>
      <c r="T195" s="398"/>
      <c r="U195" s="398"/>
      <c r="V195" s="555"/>
      <c r="W195" s="555"/>
      <c r="X195" s="555"/>
    </row>
    <row r="196" spans="1:24" s="554" customFormat="1" ht="15.75" customHeight="1">
      <c r="A196" s="350"/>
      <c r="B196" s="567" t="s">
        <v>1021</v>
      </c>
      <c r="C196" s="348">
        <f>C195</f>
        <v>5.85</v>
      </c>
      <c r="D196" s="348">
        <f>D195</f>
        <v>0.12</v>
      </c>
      <c r="E196" s="348">
        <f>E195</f>
        <v>0.2</v>
      </c>
      <c r="F196" s="348"/>
      <c r="G196" s="348"/>
      <c r="H196" s="348">
        <v>1</v>
      </c>
      <c r="I196" s="348"/>
      <c r="J196" s="348"/>
      <c r="K196" s="348"/>
      <c r="L196" s="348"/>
      <c r="M196" s="348"/>
      <c r="N196" s="343">
        <f>C196*E196*H196*D196</f>
        <v>0.1404</v>
      </c>
      <c r="O196" s="349"/>
      <c r="P196" s="784"/>
      <c r="Q196" s="398"/>
      <c r="R196" s="564"/>
      <c r="S196" s="398"/>
      <c r="T196" s="398"/>
      <c r="U196" s="398"/>
      <c r="V196" s="555"/>
      <c r="W196" s="555"/>
      <c r="X196" s="555"/>
    </row>
    <row r="197" spans="1:24" s="554" customFormat="1" ht="15.75" customHeight="1">
      <c r="A197" s="350"/>
      <c r="B197" s="359"/>
      <c r="C197" s="348"/>
      <c r="D197" s="348"/>
      <c r="E197" s="348"/>
      <c r="F197" s="348"/>
      <c r="G197" s="348"/>
      <c r="H197" s="348"/>
      <c r="I197" s="348"/>
      <c r="J197" s="348"/>
      <c r="K197" s="348"/>
      <c r="L197" s="348"/>
      <c r="M197" s="348"/>
      <c r="N197" s="343">
        <f>SUM(N195:N196)</f>
        <v>0.28079999999999999</v>
      </c>
      <c r="O197" s="349" t="s">
        <v>89</v>
      </c>
      <c r="P197" s="784">
        <f>ROUND((N197),2)</f>
        <v>0.28000000000000003</v>
      </c>
      <c r="Q197" s="398"/>
      <c r="R197" s="564"/>
      <c r="S197" s="398"/>
      <c r="T197" s="398"/>
      <c r="U197" s="398"/>
      <c r="V197" s="555"/>
      <c r="W197" s="555"/>
      <c r="X197" s="555"/>
    </row>
    <row r="198" spans="1:24" s="554" customFormat="1" ht="15.75" customHeight="1">
      <c r="A198" s="355" t="s">
        <v>98</v>
      </c>
      <c r="B198" s="359" t="s">
        <v>439</v>
      </c>
      <c r="C198" s="348"/>
      <c r="D198" s="348"/>
      <c r="E198" s="348"/>
      <c r="F198" s="348"/>
      <c r="G198" s="348"/>
      <c r="H198" s="348"/>
      <c r="I198" s="348"/>
      <c r="J198" s="348"/>
      <c r="K198" s="348"/>
      <c r="L198" s="348"/>
      <c r="M198" s="348"/>
      <c r="N198" s="348"/>
      <c r="O198" s="349"/>
      <c r="P198" s="784"/>
      <c r="Q198" s="398"/>
      <c r="R198" s="564"/>
      <c r="S198" s="398"/>
      <c r="T198" s="398"/>
      <c r="U198" s="398"/>
      <c r="V198" s="555"/>
      <c r="W198" s="555"/>
      <c r="X198" s="555"/>
    </row>
    <row r="199" spans="1:24" s="554" customFormat="1" ht="15.75" customHeight="1">
      <c r="A199" s="355"/>
      <c r="B199" s="567" t="s">
        <v>1020</v>
      </c>
      <c r="C199" s="348">
        <f>C195</f>
        <v>5.85</v>
      </c>
      <c r="D199" s="348"/>
      <c r="E199" s="348">
        <f>0.15+E195</f>
        <v>0.35</v>
      </c>
      <c r="F199" s="348"/>
      <c r="G199" s="348"/>
      <c r="H199" s="348">
        <f>H195</f>
        <v>1</v>
      </c>
      <c r="I199" s="348"/>
      <c r="J199" s="348"/>
      <c r="K199" s="348"/>
      <c r="L199" s="348"/>
      <c r="M199" s="348"/>
      <c r="N199" s="348">
        <f>C199*E199*H199</f>
        <v>2.0474999999999999</v>
      </c>
      <c r="O199" s="349"/>
      <c r="P199" s="784"/>
      <c r="Q199" s="398"/>
      <c r="R199" s="564"/>
      <c r="S199" s="398"/>
      <c r="T199" s="398"/>
      <c r="U199" s="398"/>
      <c r="V199" s="555"/>
      <c r="W199" s="555"/>
      <c r="X199" s="555"/>
    </row>
    <row r="200" spans="1:24" s="554" customFormat="1" ht="15.75" customHeight="1">
      <c r="A200" s="355"/>
      <c r="B200" s="567" t="s">
        <v>1021</v>
      </c>
      <c r="C200" s="348">
        <f>C199</f>
        <v>5.85</v>
      </c>
      <c r="D200" s="348"/>
      <c r="E200" s="348">
        <f>0.3+E196</f>
        <v>0.5</v>
      </c>
      <c r="F200" s="348"/>
      <c r="G200" s="348"/>
      <c r="H200" s="348">
        <f>H196</f>
        <v>1</v>
      </c>
      <c r="I200" s="348"/>
      <c r="J200" s="348"/>
      <c r="K200" s="348"/>
      <c r="L200" s="348"/>
      <c r="M200" s="348"/>
      <c r="N200" s="348">
        <f>C200*E200*H200</f>
        <v>2.9249999999999998</v>
      </c>
      <c r="O200" s="349"/>
      <c r="P200" s="784"/>
      <c r="Q200" s="398"/>
      <c r="R200" s="564"/>
      <c r="S200" s="398"/>
      <c r="T200" s="398"/>
      <c r="U200" s="398"/>
      <c r="V200" s="555"/>
      <c r="W200" s="555"/>
      <c r="X200" s="555"/>
    </row>
    <row r="201" spans="1:24" s="554" customFormat="1" ht="15.75" customHeight="1">
      <c r="A201" s="355"/>
      <c r="B201" s="359"/>
      <c r="C201" s="348"/>
      <c r="D201" s="348"/>
      <c r="E201" s="348"/>
      <c r="F201" s="348"/>
      <c r="G201" s="348"/>
      <c r="H201" s="348"/>
      <c r="I201" s="348"/>
      <c r="J201" s="348"/>
      <c r="K201" s="348"/>
      <c r="L201" s="348"/>
      <c r="M201" s="348"/>
      <c r="N201" s="343">
        <f>SUM(N199:N200)</f>
        <v>4.9725000000000001</v>
      </c>
      <c r="O201" s="349" t="s">
        <v>89</v>
      </c>
      <c r="P201" s="784">
        <f>ROUND((N201),2)</f>
        <v>4.97</v>
      </c>
      <c r="Q201" s="398"/>
      <c r="R201" s="564"/>
      <c r="S201" s="398"/>
      <c r="T201" s="398"/>
      <c r="U201" s="398"/>
      <c r="V201" s="555"/>
      <c r="W201" s="555"/>
      <c r="X201" s="555"/>
    </row>
    <row r="202" spans="1:24" s="554" customFormat="1" ht="15.75" customHeight="1">
      <c r="A202" s="355" t="s">
        <v>101</v>
      </c>
      <c r="B202" s="359" t="s">
        <v>413</v>
      </c>
      <c r="C202" s="348"/>
      <c r="D202" s="348"/>
      <c r="E202" s="348"/>
      <c r="F202" s="348"/>
      <c r="G202" s="348"/>
      <c r="H202" s="348"/>
      <c r="I202" s="348"/>
      <c r="J202" s="348"/>
      <c r="K202" s="348"/>
      <c r="L202" s="348"/>
      <c r="M202" s="348"/>
      <c r="N202" s="348"/>
      <c r="O202" s="349"/>
      <c r="P202" s="784"/>
      <c r="Q202" s="398"/>
      <c r="R202" s="564"/>
      <c r="S202" s="398"/>
      <c r="T202" s="398"/>
      <c r="U202" s="398"/>
      <c r="V202" s="555"/>
      <c r="W202" s="555"/>
      <c r="X202" s="555"/>
    </row>
    <row r="203" spans="1:24" s="554" customFormat="1" ht="15.75" customHeight="1">
      <c r="A203" s="355"/>
      <c r="B203" s="567" t="s">
        <v>1020</v>
      </c>
      <c r="C203" s="348">
        <f>C199-0.6</f>
        <v>5.25</v>
      </c>
      <c r="D203" s="348">
        <v>0.3</v>
      </c>
      <c r="E203" s="348">
        <f>E199-E195-E207-E211</f>
        <v>4.9999999999999961E-2</v>
      </c>
      <c r="F203" s="348"/>
      <c r="G203" s="348"/>
      <c r="H203" s="348">
        <f>H199</f>
        <v>1</v>
      </c>
      <c r="I203" s="348"/>
      <c r="J203" s="348"/>
      <c r="K203" s="348"/>
      <c r="L203" s="348"/>
      <c r="M203" s="348"/>
      <c r="N203" s="348">
        <f>C203*D203*E203*H203</f>
        <v>7.8749999999999931E-2</v>
      </c>
      <c r="O203" s="349"/>
      <c r="P203" s="784"/>
      <c r="Q203" s="398"/>
      <c r="R203" s="564"/>
      <c r="S203" s="398"/>
      <c r="T203" s="398"/>
      <c r="U203" s="398"/>
      <c r="V203" s="555"/>
      <c r="W203" s="555"/>
      <c r="X203" s="555"/>
    </row>
    <row r="204" spans="1:24" s="554" customFormat="1" ht="15.75" customHeight="1">
      <c r="A204" s="355"/>
      <c r="B204" s="567" t="s">
        <v>1021</v>
      </c>
      <c r="C204" s="348">
        <f>C203</f>
        <v>5.25</v>
      </c>
      <c r="D204" s="348">
        <f>D203</f>
        <v>0.3</v>
      </c>
      <c r="E204" s="348">
        <f>E200-E196-E208-E212</f>
        <v>0.2</v>
      </c>
      <c r="F204" s="348"/>
      <c r="G204" s="348"/>
      <c r="H204" s="348">
        <f>H200</f>
        <v>1</v>
      </c>
      <c r="I204" s="348"/>
      <c r="J204" s="348"/>
      <c r="K204" s="348"/>
      <c r="L204" s="348"/>
      <c r="M204" s="348"/>
      <c r="N204" s="348">
        <f>C204*D204*E204*H204</f>
        <v>0.315</v>
      </c>
      <c r="O204" s="349"/>
      <c r="P204" s="784"/>
      <c r="Q204" s="398"/>
      <c r="R204" s="564"/>
      <c r="S204" s="398"/>
      <c r="T204" s="398"/>
      <c r="U204" s="398"/>
      <c r="V204" s="555"/>
      <c r="W204" s="555"/>
      <c r="X204" s="555"/>
    </row>
    <row r="205" spans="1:24" s="554" customFormat="1" ht="15.75" customHeight="1">
      <c r="A205" s="355"/>
      <c r="B205" s="359"/>
      <c r="C205" s="348"/>
      <c r="D205" s="348"/>
      <c r="E205" s="348"/>
      <c r="F205" s="348"/>
      <c r="G205" s="348"/>
      <c r="H205" s="348"/>
      <c r="I205" s="348"/>
      <c r="J205" s="348"/>
      <c r="K205" s="348"/>
      <c r="L205" s="348"/>
      <c r="M205" s="348"/>
      <c r="N205" s="343">
        <f>SUM(N203:N204)</f>
        <v>0.39374999999999993</v>
      </c>
      <c r="O205" s="349" t="s">
        <v>103</v>
      </c>
      <c r="P205" s="784">
        <f>ROUND((N205),2)</f>
        <v>0.39</v>
      </c>
      <c r="Q205" s="398"/>
      <c r="R205" s="564"/>
      <c r="S205" s="398"/>
      <c r="T205" s="398"/>
      <c r="U205" s="398"/>
      <c r="V205" s="555"/>
      <c r="W205" s="555"/>
      <c r="X205" s="555"/>
    </row>
    <row r="206" spans="1:24" s="554" customFormat="1" ht="15.75" customHeight="1">
      <c r="A206" s="355" t="s">
        <v>121</v>
      </c>
      <c r="B206" s="359" t="s">
        <v>484</v>
      </c>
      <c r="C206" s="348"/>
      <c r="D206" s="348"/>
      <c r="E206" s="348"/>
      <c r="F206" s="348"/>
      <c r="G206" s="348"/>
      <c r="H206" s="348"/>
      <c r="I206" s="348"/>
      <c r="J206" s="348"/>
      <c r="K206" s="348"/>
      <c r="L206" s="348"/>
      <c r="M206" s="348"/>
      <c r="N206" s="348"/>
      <c r="O206" s="349"/>
      <c r="P206" s="784"/>
      <c r="Q206" s="398"/>
      <c r="R206" s="564"/>
      <c r="S206" s="398"/>
      <c r="T206" s="398"/>
      <c r="U206" s="398"/>
      <c r="V206" s="555"/>
      <c r="W206" s="555"/>
      <c r="X206" s="555"/>
    </row>
    <row r="207" spans="1:24" s="554" customFormat="1" ht="15.75" customHeight="1">
      <c r="A207" s="355"/>
      <c r="B207" s="567" t="s">
        <v>1020</v>
      </c>
      <c r="C207" s="348">
        <f>C203</f>
        <v>5.25</v>
      </c>
      <c r="D207" s="348">
        <v>0.3</v>
      </c>
      <c r="E207" s="348">
        <v>0.03</v>
      </c>
      <c r="F207" s="348"/>
      <c r="G207" s="348"/>
      <c r="H207" s="348">
        <f>H203</f>
        <v>1</v>
      </c>
      <c r="I207" s="348"/>
      <c r="J207" s="348"/>
      <c r="K207" s="348"/>
      <c r="L207" s="348"/>
      <c r="M207" s="348"/>
      <c r="N207" s="348">
        <f>C207*D207*E207*H207</f>
        <v>4.725E-2</v>
      </c>
      <c r="O207" s="349"/>
      <c r="P207" s="784"/>
      <c r="Q207" s="398"/>
      <c r="R207" s="564"/>
      <c r="S207" s="398"/>
      <c r="T207" s="398"/>
      <c r="U207" s="398"/>
      <c r="V207" s="555"/>
      <c r="W207" s="555"/>
      <c r="X207" s="555"/>
    </row>
    <row r="208" spans="1:24" s="554" customFormat="1" ht="15.75" customHeight="1">
      <c r="A208" s="355"/>
      <c r="B208" s="567" t="s">
        <v>1021</v>
      </c>
      <c r="C208" s="348">
        <f>C204</f>
        <v>5.25</v>
      </c>
      <c r="D208" s="348">
        <f>D204</f>
        <v>0.3</v>
      </c>
      <c r="E208" s="348">
        <f>E207</f>
        <v>0.03</v>
      </c>
      <c r="F208" s="348"/>
      <c r="G208" s="348"/>
      <c r="H208" s="348">
        <f>H204</f>
        <v>1</v>
      </c>
      <c r="I208" s="348"/>
      <c r="J208" s="348"/>
      <c r="K208" s="348"/>
      <c r="L208" s="348"/>
      <c r="M208" s="348"/>
      <c r="N208" s="348">
        <f>C208*D208*E208*H208</f>
        <v>4.725E-2</v>
      </c>
      <c r="O208" s="349"/>
      <c r="P208" s="784"/>
      <c r="Q208" s="398"/>
      <c r="R208" s="564"/>
      <c r="S208" s="398"/>
      <c r="T208" s="398"/>
      <c r="U208" s="398"/>
      <c r="V208" s="555"/>
      <c r="W208" s="555"/>
      <c r="X208" s="555"/>
    </row>
    <row r="209" spans="1:24" s="554" customFormat="1" ht="15.75" customHeight="1">
      <c r="A209" s="355"/>
      <c r="B209" s="359"/>
      <c r="C209" s="348"/>
      <c r="D209" s="348"/>
      <c r="E209" s="348"/>
      <c r="F209" s="348"/>
      <c r="G209" s="348"/>
      <c r="H209" s="348"/>
      <c r="I209" s="348"/>
      <c r="J209" s="348"/>
      <c r="K209" s="348"/>
      <c r="L209" s="348"/>
      <c r="M209" s="348"/>
      <c r="N209" s="343">
        <f>SUM(N207:N208)</f>
        <v>9.4500000000000001E-2</v>
      </c>
      <c r="O209" s="349" t="s">
        <v>103</v>
      </c>
      <c r="P209" s="784">
        <f>ROUND((N209),2)</f>
        <v>0.09</v>
      </c>
      <c r="Q209" s="398"/>
      <c r="R209" s="564"/>
      <c r="S209" s="398"/>
      <c r="T209" s="398"/>
      <c r="U209" s="398"/>
      <c r="V209" s="555"/>
      <c r="W209" s="555"/>
      <c r="X209" s="555"/>
    </row>
    <row r="210" spans="1:24" s="554" customFormat="1" ht="15.75" customHeight="1">
      <c r="A210" s="355" t="s">
        <v>142</v>
      </c>
      <c r="B210" s="359" t="s">
        <v>192</v>
      </c>
      <c r="C210" s="348"/>
      <c r="D210" s="348"/>
      <c r="E210" s="348"/>
      <c r="F210" s="348"/>
      <c r="G210" s="348"/>
      <c r="H210" s="348"/>
      <c r="I210" s="348"/>
      <c r="J210" s="348"/>
      <c r="K210" s="348"/>
      <c r="L210" s="348"/>
      <c r="M210" s="348"/>
      <c r="N210" s="348"/>
      <c r="O210" s="349"/>
      <c r="P210" s="784"/>
      <c r="Q210" s="398"/>
      <c r="R210" s="564"/>
      <c r="S210" s="398"/>
      <c r="T210" s="398"/>
      <c r="U210" s="398"/>
      <c r="V210" s="555"/>
      <c r="W210" s="555"/>
      <c r="X210" s="555"/>
    </row>
    <row r="211" spans="1:24" s="554" customFormat="1" ht="15.75" customHeight="1">
      <c r="A211" s="355"/>
      <c r="B211" s="567" t="s">
        <v>1020</v>
      </c>
      <c r="C211" s="348">
        <f>C203</f>
        <v>5.25</v>
      </c>
      <c r="D211" s="348">
        <f>D203</f>
        <v>0.3</v>
      </c>
      <c r="E211" s="348">
        <v>7.0000000000000007E-2</v>
      </c>
      <c r="F211" s="348"/>
      <c r="G211" s="348"/>
      <c r="H211" s="348">
        <f>H203</f>
        <v>1</v>
      </c>
      <c r="I211" s="348"/>
      <c r="J211" s="348"/>
      <c r="K211" s="348"/>
      <c r="L211" s="348"/>
      <c r="M211" s="348"/>
      <c r="N211" s="348">
        <f>C211*D211*E211*H211</f>
        <v>0.11025</v>
      </c>
      <c r="O211" s="349"/>
      <c r="P211" s="784"/>
      <c r="Q211" s="398"/>
      <c r="R211" s="564"/>
      <c r="S211" s="398"/>
      <c r="T211" s="398"/>
      <c r="U211" s="398"/>
      <c r="V211" s="555"/>
      <c r="W211" s="555"/>
      <c r="X211" s="555"/>
    </row>
    <row r="212" spans="1:24" s="554" customFormat="1" ht="15.75" customHeight="1">
      <c r="A212" s="355"/>
      <c r="B212" s="567" t="s">
        <v>1021</v>
      </c>
      <c r="C212" s="348">
        <f>C204</f>
        <v>5.25</v>
      </c>
      <c r="D212" s="348">
        <f>D204</f>
        <v>0.3</v>
      </c>
      <c r="E212" s="348">
        <f>E211</f>
        <v>7.0000000000000007E-2</v>
      </c>
      <c r="F212" s="348"/>
      <c r="G212" s="348"/>
      <c r="H212" s="348">
        <f>H204</f>
        <v>1</v>
      </c>
      <c r="I212" s="348"/>
      <c r="J212" s="348"/>
      <c r="K212" s="348"/>
      <c r="L212" s="348"/>
      <c r="M212" s="348"/>
      <c r="N212" s="348">
        <f>C212*D212*E212*H212</f>
        <v>0.11025</v>
      </c>
      <c r="O212" s="349"/>
      <c r="P212" s="784"/>
      <c r="Q212" s="398"/>
      <c r="R212" s="564"/>
      <c r="S212" s="398"/>
      <c r="T212" s="398"/>
      <c r="U212" s="398"/>
      <c r="V212" s="555"/>
      <c r="W212" s="555"/>
      <c r="X212" s="555"/>
    </row>
    <row r="213" spans="1:24" s="554" customFormat="1" ht="15.75" customHeight="1">
      <c r="A213" s="355"/>
      <c r="B213" s="359"/>
      <c r="C213" s="348"/>
      <c r="D213" s="348"/>
      <c r="E213" s="348"/>
      <c r="F213" s="348"/>
      <c r="G213" s="348"/>
      <c r="H213" s="348"/>
      <c r="I213" s="348"/>
      <c r="J213" s="348"/>
      <c r="K213" s="348"/>
      <c r="L213" s="348"/>
      <c r="M213" s="348"/>
      <c r="N213" s="343">
        <f>SUM(N211:N212)</f>
        <v>0.2205</v>
      </c>
      <c r="O213" s="349" t="s">
        <v>103</v>
      </c>
      <c r="P213" s="784">
        <f>ROUND((N213),2)</f>
        <v>0.22</v>
      </c>
      <c r="Q213" s="398"/>
      <c r="R213" s="564"/>
      <c r="S213" s="398"/>
      <c r="T213" s="398"/>
      <c r="U213" s="398"/>
      <c r="V213" s="555"/>
      <c r="W213" s="555"/>
      <c r="X213" s="555"/>
    </row>
    <row r="214" spans="1:24" s="554" customFormat="1" ht="15.75" customHeight="1">
      <c r="A214" s="355" t="s">
        <v>217</v>
      </c>
      <c r="B214" s="359" t="s">
        <v>193</v>
      </c>
      <c r="C214" s="348"/>
      <c r="D214" s="348"/>
      <c r="E214" s="348"/>
      <c r="F214" s="348"/>
      <c r="G214" s="348"/>
      <c r="H214" s="348"/>
      <c r="I214" s="348"/>
      <c r="J214" s="348"/>
      <c r="K214" s="348"/>
      <c r="L214" s="348"/>
      <c r="M214" s="348"/>
      <c r="N214" s="343"/>
      <c r="O214" s="349"/>
      <c r="P214" s="784"/>
      <c r="Q214" s="398"/>
      <c r="R214" s="564"/>
      <c r="S214" s="398"/>
      <c r="T214" s="398"/>
      <c r="U214" s="398"/>
      <c r="V214" s="555"/>
      <c r="W214" s="555"/>
      <c r="X214" s="555"/>
    </row>
    <row r="215" spans="1:24" s="554" customFormat="1" ht="15.75" customHeight="1">
      <c r="A215" s="355"/>
      <c r="B215" s="567" t="s">
        <v>1020</v>
      </c>
      <c r="C215" s="348">
        <f>C207</f>
        <v>5.25</v>
      </c>
      <c r="D215" s="348"/>
      <c r="E215" s="348">
        <v>0.15</v>
      </c>
      <c r="F215" s="348"/>
      <c r="G215" s="348"/>
      <c r="H215" s="348">
        <v>2</v>
      </c>
      <c r="I215" s="348"/>
      <c r="J215" s="348"/>
      <c r="K215" s="348"/>
      <c r="L215" s="348"/>
      <c r="M215" s="348"/>
      <c r="N215" s="348">
        <f>C215*E215*H215</f>
        <v>1.575</v>
      </c>
      <c r="O215" s="349"/>
      <c r="P215" s="784"/>
      <c r="Q215" s="398"/>
      <c r="R215" s="564"/>
      <c r="S215" s="398"/>
      <c r="T215" s="398"/>
      <c r="U215" s="398"/>
      <c r="V215" s="555"/>
      <c r="W215" s="555"/>
      <c r="X215" s="555"/>
    </row>
    <row r="216" spans="1:24" s="554" customFormat="1" ht="15.75" customHeight="1">
      <c r="A216" s="355"/>
      <c r="B216" s="567" t="s">
        <v>1021</v>
      </c>
      <c r="C216" s="348">
        <f>C208</f>
        <v>5.25</v>
      </c>
      <c r="D216" s="348"/>
      <c r="E216" s="348">
        <f>E215</f>
        <v>0.15</v>
      </c>
      <c r="F216" s="348"/>
      <c r="G216" s="348"/>
      <c r="H216" s="348">
        <v>1</v>
      </c>
      <c r="I216" s="348"/>
      <c r="J216" s="348"/>
      <c r="K216" s="348"/>
      <c r="L216" s="348"/>
      <c r="M216" s="348"/>
      <c r="N216" s="348">
        <f>C216*E216*H216</f>
        <v>0.78749999999999998</v>
      </c>
      <c r="O216" s="349"/>
      <c r="P216" s="784"/>
      <c r="Q216" s="398"/>
      <c r="R216" s="564"/>
      <c r="S216" s="398"/>
      <c r="T216" s="398"/>
      <c r="U216" s="398"/>
      <c r="V216" s="555"/>
      <c r="W216" s="555"/>
      <c r="X216" s="555"/>
    </row>
    <row r="217" spans="1:24" s="554" customFormat="1" ht="15.75" customHeight="1">
      <c r="A217" s="355"/>
      <c r="B217" s="351"/>
      <c r="C217" s="348"/>
      <c r="D217" s="348"/>
      <c r="E217" s="348"/>
      <c r="F217" s="348"/>
      <c r="G217" s="348"/>
      <c r="H217" s="348"/>
      <c r="I217" s="348"/>
      <c r="J217" s="348"/>
      <c r="K217" s="348"/>
      <c r="L217" s="348"/>
      <c r="M217" s="348"/>
      <c r="N217" s="343">
        <f>SUM(N215:N216)</f>
        <v>2.3624999999999998</v>
      </c>
      <c r="O217" s="349" t="s">
        <v>89</v>
      </c>
      <c r="P217" s="784">
        <f>ROUND((N217),2)</f>
        <v>2.36</v>
      </c>
      <c r="Q217" s="398"/>
      <c r="R217" s="564"/>
      <c r="S217" s="398"/>
      <c r="T217" s="398"/>
      <c r="U217" s="398"/>
      <c r="V217" s="555"/>
      <c r="W217" s="555"/>
      <c r="X217" s="555"/>
    </row>
    <row r="218" spans="1:24" s="554" customFormat="1" ht="15.75" customHeight="1">
      <c r="A218" s="355" t="s">
        <v>366</v>
      </c>
      <c r="B218" s="359" t="s">
        <v>194</v>
      </c>
      <c r="C218" s="348"/>
      <c r="D218" s="348"/>
      <c r="E218" s="348"/>
      <c r="F218" s="348"/>
      <c r="G218" s="348"/>
      <c r="H218" s="348"/>
      <c r="I218" s="348"/>
      <c r="J218" s="348"/>
      <c r="K218" s="348"/>
      <c r="L218" s="348"/>
      <c r="M218" s="348"/>
      <c r="N218" s="343"/>
      <c r="O218" s="349"/>
      <c r="P218" s="784"/>
      <c r="Q218" s="398"/>
      <c r="R218" s="564"/>
      <c r="S218" s="398"/>
      <c r="T218" s="398"/>
      <c r="U218" s="398"/>
      <c r="V218" s="555"/>
      <c r="W218" s="555"/>
      <c r="X218" s="555"/>
    </row>
    <row r="219" spans="1:24" s="554" customFormat="1" ht="15.75" customHeight="1">
      <c r="A219" s="355"/>
      <c r="B219" s="359"/>
      <c r="C219" s="348" t="s">
        <v>1022</v>
      </c>
      <c r="D219" s="348"/>
      <c r="E219" s="348"/>
      <c r="F219" s="348"/>
      <c r="G219" s="348"/>
      <c r="H219" s="348"/>
      <c r="I219" s="348"/>
      <c r="J219" s="348"/>
      <c r="K219" s="348"/>
      <c r="L219" s="348"/>
      <c r="M219" s="348"/>
      <c r="N219" s="343">
        <f>N217</f>
        <v>2.3624999999999998</v>
      </c>
      <c r="O219" s="349"/>
      <c r="P219" s="784"/>
      <c r="Q219" s="398"/>
      <c r="R219" s="564"/>
      <c r="S219" s="398"/>
      <c r="T219" s="398"/>
      <c r="U219" s="398"/>
      <c r="V219" s="555"/>
      <c r="W219" s="555"/>
      <c r="X219" s="555"/>
    </row>
    <row r="220" spans="1:24" s="554" customFormat="1" ht="15.75" customHeight="1">
      <c r="A220" s="355"/>
      <c r="B220" s="567" t="str">
        <f>B211</f>
        <v>trap 1</v>
      </c>
      <c r="C220" s="348">
        <f>C203</f>
        <v>5.25</v>
      </c>
      <c r="D220" s="348"/>
      <c r="E220" s="348">
        <f>D211</f>
        <v>0.3</v>
      </c>
      <c r="F220" s="348"/>
      <c r="G220" s="348"/>
      <c r="H220" s="348">
        <f>H211</f>
        <v>1</v>
      </c>
      <c r="I220" s="348"/>
      <c r="J220" s="348"/>
      <c r="K220" s="348"/>
      <c r="L220" s="348"/>
      <c r="M220" s="348"/>
      <c r="N220" s="343">
        <f>C220*E220*H220</f>
        <v>1.575</v>
      </c>
      <c r="O220" s="349"/>
      <c r="P220" s="784"/>
      <c r="Q220" s="398"/>
      <c r="R220" s="564"/>
      <c r="S220" s="398"/>
      <c r="T220" s="398"/>
      <c r="U220" s="398"/>
      <c r="V220" s="555"/>
      <c r="W220" s="555"/>
      <c r="X220" s="555"/>
    </row>
    <row r="221" spans="1:24" s="554" customFormat="1" ht="15.75" customHeight="1">
      <c r="A221" s="355"/>
      <c r="B221" s="567" t="str">
        <f>B212</f>
        <v>trap 2</v>
      </c>
      <c r="C221" s="348">
        <f>C204</f>
        <v>5.25</v>
      </c>
      <c r="D221" s="348"/>
      <c r="E221" s="348">
        <f>E220</f>
        <v>0.3</v>
      </c>
      <c r="F221" s="348"/>
      <c r="G221" s="348"/>
      <c r="H221" s="348">
        <f>H212</f>
        <v>1</v>
      </c>
      <c r="I221" s="348"/>
      <c r="J221" s="348"/>
      <c r="K221" s="348"/>
      <c r="L221" s="348"/>
      <c r="M221" s="348"/>
      <c r="N221" s="343">
        <f>C221*E221*H221</f>
        <v>1.575</v>
      </c>
      <c r="O221" s="349"/>
      <c r="P221" s="784"/>
      <c r="Q221" s="398"/>
      <c r="R221" s="564"/>
      <c r="S221" s="398"/>
      <c r="T221" s="398"/>
      <c r="U221" s="398"/>
      <c r="V221" s="555"/>
      <c r="W221" s="555"/>
      <c r="X221" s="555"/>
    </row>
    <row r="222" spans="1:24" s="554" customFormat="1" ht="15.75" customHeight="1">
      <c r="A222" s="355"/>
      <c r="B222" s="359"/>
      <c r="C222" s="348"/>
      <c r="D222" s="348"/>
      <c r="E222" s="348"/>
      <c r="F222" s="348"/>
      <c r="G222" s="348"/>
      <c r="H222" s="348"/>
      <c r="I222" s="348"/>
      <c r="J222" s="348"/>
      <c r="K222" s="348"/>
      <c r="L222" s="348"/>
      <c r="M222" s="348"/>
      <c r="N222" s="343">
        <f>SUM(N219:N221)</f>
        <v>5.5125000000000002</v>
      </c>
      <c r="O222" s="349" t="s">
        <v>89</v>
      </c>
      <c r="P222" s="784">
        <f>ROUND((N222),2)</f>
        <v>5.51</v>
      </c>
      <c r="Q222" s="398"/>
      <c r="R222" s="564"/>
      <c r="S222" s="398"/>
      <c r="T222" s="398"/>
      <c r="U222" s="398"/>
      <c r="V222" s="555"/>
      <c r="W222" s="555"/>
      <c r="X222" s="555"/>
    </row>
    <row r="223" spans="1:24" ht="15.75" customHeight="1">
      <c r="A223" s="571" t="s">
        <v>121</v>
      </c>
      <c r="B223" s="583" t="s">
        <v>912</v>
      </c>
      <c r="C223" s="330"/>
      <c r="D223" s="330"/>
      <c r="E223" s="330"/>
      <c r="F223" s="330"/>
      <c r="G223" s="330"/>
      <c r="H223" s="330"/>
      <c r="I223" s="330"/>
      <c r="J223" s="330"/>
      <c r="K223" s="330"/>
      <c r="L223" s="330"/>
      <c r="M223" s="330"/>
      <c r="N223" s="330"/>
      <c r="O223" s="349"/>
      <c r="P223" s="784"/>
      <c r="Q223" s="398"/>
      <c r="R223" s="779"/>
      <c r="S223" s="398"/>
      <c r="T223" s="398"/>
      <c r="U223" s="398"/>
      <c r="V223" s="738"/>
      <c r="W223" s="738"/>
      <c r="X223" s="738"/>
    </row>
    <row r="224" spans="1:24" ht="15.75" customHeight="1">
      <c r="A224" s="571"/>
      <c r="B224" s="581" t="s">
        <v>1175</v>
      </c>
      <c r="C224" s="330">
        <v>5.3</v>
      </c>
      <c r="D224" s="330">
        <v>1.05</v>
      </c>
      <c r="E224" s="330"/>
      <c r="F224" s="330"/>
      <c r="G224" s="330"/>
      <c r="H224" s="330"/>
      <c r="I224" s="330"/>
      <c r="J224" s="330"/>
      <c r="K224" s="330"/>
      <c r="L224" s="330"/>
      <c r="M224" s="330"/>
      <c r="N224" s="330">
        <f>C224*D224</f>
        <v>5.5650000000000004</v>
      </c>
      <c r="O224" s="349"/>
      <c r="P224" s="784"/>
      <c r="Q224" s="398"/>
      <c r="R224" s="779"/>
      <c r="S224" s="398"/>
      <c r="T224" s="398"/>
      <c r="U224" s="398"/>
      <c r="V224" s="738"/>
      <c r="W224" s="738"/>
      <c r="X224" s="738"/>
    </row>
    <row r="225" spans="1:24" ht="15.75" customHeight="1">
      <c r="A225" s="571"/>
      <c r="B225" s="581" t="s">
        <v>1176</v>
      </c>
      <c r="C225" s="330">
        <f>C224</f>
        <v>5.3</v>
      </c>
      <c r="D225" s="330"/>
      <c r="E225" s="330">
        <v>0.15</v>
      </c>
      <c r="F225" s="330"/>
      <c r="G225" s="330"/>
      <c r="H225" s="330"/>
      <c r="I225" s="330"/>
      <c r="J225" s="330"/>
      <c r="K225" s="330"/>
      <c r="L225" s="330"/>
      <c r="M225" s="330">
        <v>3</v>
      </c>
      <c r="N225" s="752">
        <f>C225*E225*M225</f>
        <v>2.3849999999999998</v>
      </c>
      <c r="O225" s="349"/>
      <c r="P225" s="784"/>
      <c r="Q225" s="398"/>
      <c r="R225" s="779"/>
      <c r="S225" s="398"/>
      <c r="T225" s="398"/>
      <c r="U225" s="398"/>
      <c r="V225" s="738"/>
      <c r="W225" s="738"/>
      <c r="X225" s="738"/>
    </row>
    <row r="226" spans="1:24" ht="15.75" customHeight="1">
      <c r="A226" s="355"/>
      <c r="B226" s="359"/>
      <c r="C226" s="330"/>
      <c r="D226" s="330"/>
      <c r="E226" s="330"/>
      <c r="F226" s="330"/>
      <c r="G226" s="330"/>
      <c r="H226" s="330"/>
      <c r="I226" s="330"/>
      <c r="J226" s="330"/>
      <c r="K226" s="330"/>
      <c r="L226" s="330"/>
      <c r="M226" s="330"/>
      <c r="N226" s="401">
        <f>SUM(N224:N225)</f>
        <v>7.95</v>
      </c>
      <c r="O226" s="349" t="s">
        <v>89</v>
      </c>
      <c r="P226" s="784">
        <f>ROUND((N226),2)</f>
        <v>7.95</v>
      </c>
      <c r="Q226" s="398"/>
      <c r="R226" s="779"/>
      <c r="S226" s="398"/>
      <c r="T226" s="398"/>
      <c r="U226" s="398"/>
      <c r="V226" s="738"/>
      <c r="W226" s="738"/>
      <c r="X226" s="738"/>
    </row>
    <row r="227" spans="1:24" ht="15.75" customHeight="1">
      <c r="A227" s="571" t="s">
        <v>142</v>
      </c>
      <c r="B227" s="1171" t="s">
        <v>912</v>
      </c>
      <c r="C227" s="330">
        <f>C189</f>
        <v>8</v>
      </c>
      <c r="D227" s="330">
        <f>D189</f>
        <v>5</v>
      </c>
      <c r="E227" s="330"/>
      <c r="F227" s="330"/>
      <c r="G227" s="330"/>
      <c r="H227" s="330"/>
      <c r="I227" s="330"/>
      <c r="J227" s="330"/>
      <c r="K227" s="330"/>
      <c r="L227" s="330"/>
      <c r="M227" s="330"/>
      <c r="N227" s="401">
        <f>C227*D227</f>
        <v>40</v>
      </c>
      <c r="O227" s="349" t="s">
        <v>89</v>
      </c>
      <c r="P227" s="784">
        <f>ROUND((N227),2)</f>
        <v>40</v>
      </c>
      <c r="Q227" s="398"/>
      <c r="R227" s="779"/>
      <c r="S227" s="398"/>
      <c r="T227" s="398"/>
      <c r="U227" s="398"/>
      <c r="V227" s="738"/>
      <c r="W227" s="738"/>
      <c r="X227" s="738"/>
    </row>
    <row r="228" spans="1:24" ht="15.75" hidden="1" customHeight="1">
      <c r="A228" s="350" t="e">
        <f>#REF!+1</f>
        <v>#REF!</v>
      </c>
      <c r="B228" s="359" t="s">
        <v>1589</v>
      </c>
      <c r="C228" s="330"/>
      <c r="D228" s="330"/>
      <c r="E228" s="330"/>
      <c r="F228" s="330"/>
      <c r="G228" s="330"/>
      <c r="H228" s="330"/>
      <c r="I228" s="330"/>
      <c r="J228" s="330"/>
      <c r="K228" s="330"/>
      <c r="L228" s="330"/>
      <c r="M228" s="330"/>
      <c r="N228" s="330"/>
      <c r="O228" s="349"/>
      <c r="P228" s="784"/>
      <c r="Q228" s="398"/>
      <c r="R228" s="779"/>
      <c r="S228" s="398"/>
      <c r="T228" s="398"/>
      <c r="U228" s="398"/>
      <c r="V228" s="738"/>
      <c r="W228" s="738"/>
      <c r="X228" s="738"/>
    </row>
    <row r="229" spans="1:24" ht="15.75" hidden="1" customHeight="1">
      <c r="A229" s="355" t="s">
        <v>95</v>
      </c>
      <c r="B229" s="359" t="s">
        <v>439</v>
      </c>
      <c r="C229" s="330"/>
      <c r="D229" s="330"/>
      <c r="E229" s="330"/>
      <c r="F229" s="330"/>
      <c r="G229" s="330"/>
      <c r="H229" s="330"/>
      <c r="I229" s="330"/>
      <c r="J229" s="330"/>
      <c r="K229" s="330"/>
      <c r="L229" s="330"/>
      <c r="M229" s="330"/>
      <c r="N229" s="330"/>
      <c r="O229" s="349"/>
      <c r="P229" s="784"/>
      <c r="Q229" s="398"/>
      <c r="R229" s="779"/>
      <c r="S229" s="398"/>
      <c r="T229" s="398"/>
      <c r="U229" s="398"/>
      <c r="V229" s="738"/>
      <c r="W229" s="738"/>
      <c r="X229" s="738"/>
    </row>
    <row r="230" spans="1:24" ht="15.75" hidden="1" customHeight="1">
      <c r="A230" s="355"/>
      <c r="B230" s="567" t="s">
        <v>1590</v>
      </c>
      <c r="C230" s="330">
        <v>8</v>
      </c>
      <c r="D230" s="330"/>
      <c r="E230" s="330">
        <v>0.5</v>
      </c>
      <c r="F230" s="330"/>
      <c r="G230" s="330"/>
      <c r="H230" s="330">
        <v>1</v>
      </c>
      <c r="I230" s="330"/>
      <c r="J230" s="330"/>
      <c r="K230" s="330"/>
      <c r="L230" s="330"/>
      <c r="M230" s="330">
        <f>2*0</f>
        <v>0</v>
      </c>
      <c r="N230" s="330">
        <f>C230*E230*H230*M230</f>
        <v>0</v>
      </c>
      <c r="O230" s="349"/>
      <c r="P230" s="784"/>
      <c r="Q230" s="398"/>
      <c r="R230" s="779"/>
      <c r="S230" s="398"/>
      <c r="T230" s="398"/>
      <c r="U230" s="398"/>
      <c r="V230" s="738"/>
      <c r="W230" s="738"/>
      <c r="X230" s="738"/>
    </row>
    <row r="231" spans="1:24" ht="15.75" hidden="1" customHeight="1">
      <c r="A231" s="355"/>
      <c r="B231" s="567" t="s">
        <v>1591</v>
      </c>
      <c r="C231" s="330">
        <v>0.8</v>
      </c>
      <c r="D231" s="330"/>
      <c r="E231" s="330">
        <f>E230</f>
        <v>0.5</v>
      </c>
      <c r="F231" s="330"/>
      <c r="G231" s="330"/>
      <c r="H231" s="330">
        <v>2</v>
      </c>
      <c r="I231" s="330"/>
      <c r="J231" s="330"/>
      <c r="K231" s="330"/>
      <c r="L231" s="330"/>
      <c r="M231" s="330">
        <f>M230</f>
        <v>0</v>
      </c>
      <c r="N231" s="752">
        <f>C231*E231*H231*M231</f>
        <v>0</v>
      </c>
      <c r="O231" s="349"/>
      <c r="P231" s="784"/>
      <c r="Q231" s="398"/>
      <c r="R231" s="779"/>
      <c r="S231" s="398"/>
      <c r="T231" s="398"/>
      <c r="U231" s="398"/>
      <c r="V231" s="738"/>
      <c r="W231" s="738"/>
      <c r="X231" s="738"/>
    </row>
    <row r="232" spans="1:24" ht="15.75" hidden="1" customHeight="1">
      <c r="A232" s="355"/>
      <c r="B232" s="359"/>
      <c r="C232" s="330"/>
      <c r="D232" s="330"/>
      <c r="E232" s="330"/>
      <c r="F232" s="330"/>
      <c r="G232" s="330"/>
      <c r="H232" s="330"/>
      <c r="I232" s="330"/>
      <c r="J232" s="330"/>
      <c r="K232" s="330"/>
      <c r="L232" s="330"/>
      <c r="M232" s="330"/>
      <c r="N232" s="401">
        <f>SUM(N230:N231)</f>
        <v>0</v>
      </c>
      <c r="O232" s="349" t="s">
        <v>89</v>
      </c>
      <c r="P232" s="784">
        <f>ROUND((N232),2)</f>
        <v>0</v>
      </c>
      <c r="Q232" s="398"/>
      <c r="R232" s="779"/>
      <c r="S232" s="398"/>
      <c r="T232" s="398"/>
      <c r="U232" s="398"/>
      <c r="V232" s="738"/>
      <c r="W232" s="738"/>
      <c r="X232" s="738"/>
    </row>
    <row r="233" spans="1:24" ht="15.75" hidden="1" customHeight="1">
      <c r="A233" s="355" t="s">
        <v>98</v>
      </c>
      <c r="B233" s="359" t="s">
        <v>193</v>
      </c>
      <c r="C233" s="330"/>
      <c r="D233" s="330"/>
      <c r="E233" s="330"/>
      <c r="F233" s="330"/>
      <c r="G233" s="330"/>
      <c r="H233" s="330"/>
      <c r="I233" s="330"/>
      <c r="J233" s="330"/>
      <c r="K233" s="330"/>
      <c r="L233" s="330"/>
      <c r="M233" s="330"/>
      <c r="N233" s="330"/>
      <c r="O233" s="349"/>
      <c r="P233" s="784"/>
      <c r="Q233" s="398"/>
      <c r="R233" s="779"/>
      <c r="S233" s="398"/>
      <c r="T233" s="398"/>
      <c r="U233" s="398"/>
      <c r="V233" s="738"/>
      <c r="W233" s="738"/>
      <c r="X233" s="738"/>
    </row>
    <row r="234" spans="1:24" ht="15.75" hidden="1" customHeight="1">
      <c r="A234" s="355"/>
      <c r="B234" s="567" t="s">
        <v>1592</v>
      </c>
      <c r="C234" s="330">
        <f>C230</f>
        <v>8</v>
      </c>
      <c r="D234" s="330"/>
      <c r="E234" s="330">
        <v>0.25</v>
      </c>
      <c r="F234" s="330"/>
      <c r="G234" s="330"/>
      <c r="H234" s="330">
        <v>1</v>
      </c>
      <c r="I234" s="330"/>
      <c r="J234" s="330"/>
      <c r="K234" s="330"/>
      <c r="L234" s="330"/>
      <c r="M234" s="330">
        <f>M231</f>
        <v>0</v>
      </c>
      <c r="N234" s="330">
        <f>C234*E234*H234*M234</f>
        <v>0</v>
      </c>
      <c r="O234" s="349"/>
      <c r="P234" s="784"/>
      <c r="Q234" s="398"/>
      <c r="R234" s="779"/>
      <c r="S234" s="398"/>
      <c r="T234" s="398"/>
      <c r="U234" s="398"/>
      <c r="V234" s="738"/>
      <c r="W234" s="738"/>
      <c r="X234" s="738"/>
    </row>
    <row r="235" spans="1:24" ht="15.75" hidden="1" customHeight="1">
      <c r="A235" s="355"/>
      <c r="B235" s="567"/>
      <c r="C235" s="330">
        <f>C234</f>
        <v>8</v>
      </c>
      <c r="D235" s="330">
        <v>0.08</v>
      </c>
      <c r="E235" s="330"/>
      <c r="F235" s="330"/>
      <c r="G235" s="330"/>
      <c r="H235" s="330">
        <v>1</v>
      </c>
      <c r="I235" s="330"/>
      <c r="J235" s="330"/>
      <c r="K235" s="330"/>
      <c r="L235" s="330"/>
      <c r="M235" s="330">
        <f>M234</f>
        <v>0</v>
      </c>
      <c r="N235" s="330">
        <f>C235*D235*H235*M235</f>
        <v>0</v>
      </c>
      <c r="O235" s="349"/>
      <c r="P235" s="784"/>
      <c r="Q235" s="398"/>
      <c r="R235" s="779"/>
      <c r="S235" s="398"/>
      <c r="T235" s="398"/>
      <c r="U235" s="398"/>
      <c r="V235" s="738"/>
      <c r="W235" s="738"/>
      <c r="X235" s="738"/>
    </row>
    <row r="236" spans="1:24" ht="15.75" hidden="1" customHeight="1">
      <c r="A236" s="355"/>
      <c r="B236" s="567" t="s">
        <v>1593</v>
      </c>
      <c r="C236" s="330">
        <f>C231</f>
        <v>0.8</v>
      </c>
      <c r="D236" s="330"/>
      <c r="E236" s="330">
        <f>E234</f>
        <v>0.25</v>
      </c>
      <c r="F236" s="330"/>
      <c r="G236" s="330"/>
      <c r="H236" s="330">
        <v>2</v>
      </c>
      <c r="I236" s="330"/>
      <c r="J236" s="330"/>
      <c r="K236" s="330"/>
      <c r="L236" s="330"/>
      <c r="M236" s="330">
        <f>M234</f>
        <v>0</v>
      </c>
      <c r="N236" s="330">
        <f>C236*E236*H236*M236</f>
        <v>0</v>
      </c>
      <c r="O236" s="349"/>
      <c r="P236" s="784"/>
      <c r="Q236" s="398"/>
      <c r="R236" s="779"/>
      <c r="S236" s="398"/>
      <c r="T236" s="398"/>
      <c r="U236" s="398"/>
      <c r="V236" s="738"/>
      <c r="W236" s="738"/>
      <c r="X236" s="738"/>
    </row>
    <row r="237" spans="1:24" ht="15.75" hidden="1" customHeight="1">
      <c r="A237" s="355"/>
      <c r="B237" s="567"/>
      <c r="C237" s="330">
        <f>C236</f>
        <v>0.8</v>
      </c>
      <c r="D237" s="330">
        <f>D235</f>
        <v>0.08</v>
      </c>
      <c r="E237" s="330"/>
      <c r="F237" s="330"/>
      <c r="G237" s="330"/>
      <c r="H237" s="330">
        <v>1</v>
      </c>
      <c r="I237" s="330"/>
      <c r="J237" s="330"/>
      <c r="K237" s="330"/>
      <c r="L237" s="330"/>
      <c r="M237" s="330">
        <f>M236</f>
        <v>0</v>
      </c>
      <c r="N237" s="752">
        <f>C237*D237*H237*M237</f>
        <v>0</v>
      </c>
      <c r="O237" s="349"/>
      <c r="P237" s="784"/>
      <c r="Q237" s="398"/>
      <c r="R237" s="779"/>
      <c r="S237" s="398"/>
      <c r="T237" s="398"/>
      <c r="U237" s="398"/>
      <c r="V237" s="738"/>
      <c r="W237" s="738"/>
      <c r="X237" s="738"/>
    </row>
    <row r="238" spans="1:24" ht="15.75" hidden="1" customHeight="1">
      <c r="A238" s="355"/>
      <c r="B238" s="359"/>
      <c r="C238" s="330"/>
      <c r="D238" s="330"/>
      <c r="E238" s="330"/>
      <c r="F238" s="330"/>
      <c r="G238" s="330"/>
      <c r="H238" s="330"/>
      <c r="I238" s="330"/>
      <c r="J238" s="330"/>
      <c r="K238" s="330"/>
      <c r="L238" s="330"/>
      <c r="M238" s="330"/>
      <c r="N238" s="401">
        <f>SUM(N234:N237)</f>
        <v>0</v>
      </c>
      <c r="O238" s="349" t="s">
        <v>89</v>
      </c>
      <c r="P238" s="784">
        <f>ROUND((N238),2)</f>
        <v>0</v>
      </c>
      <c r="Q238" s="398"/>
      <c r="R238" s="779"/>
      <c r="S238" s="398"/>
      <c r="T238" s="398"/>
      <c r="U238" s="398"/>
      <c r="V238" s="738"/>
      <c r="W238" s="738"/>
      <c r="X238" s="738"/>
    </row>
    <row r="239" spans="1:24" ht="15.75" hidden="1" customHeight="1">
      <c r="A239" s="355" t="s">
        <v>101</v>
      </c>
      <c r="B239" s="359" t="s">
        <v>857</v>
      </c>
      <c r="C239" s="330"/>
      <c r="D239" s="330"/>
      <c r="E239" s="330"/>
      <c r="F239" s="330"/>
      <c r="G239" s="330"/>
      <c r="H239" s="330"/>
      <c r="I239" s="330"/>
      <c r="J239" s="330"/>
      <c r="K239" s="330"/>
      <c r="L239" s="330"/>
      <c r="M239" s="330"/>
      <c r="N239" s="401">
        <f>N238</f>
        <v>0</v>
      </c>
      <c r="O239" s="349" t="s">
        <v>89</v>
      </c>
      <c r="P239" s="784">
        <f>ROUND((N239),2)</f>
        <v>0</v>
      </c>
      <c r="Q239" s="398"/>
      <c r="R239" s="779"/>
      <c r="S239" s="398"/>
      <c r="T239" s="398"/>
      <c r="U239" s="398"/>
      <c r="V239" s="738"/>
      <c r="W239" s="738"/>
      <c r="X239" s="738"/>
    </row>
    <row r="240" spans="1:24" ht="15.75" hidden="1" customHeight="1">
      <c r="A240" s="355" t="s">
        <v>121</v>
      </c>
      <c r="B240" s="359" t="s">
        <v>1594</v>
      </c>
      <c r="C240" s="330">
        <f>C235</f>
        <v>8</v>
      </c>
      <c r="D240" s="330">
        <v>0.5</v>
      </c>
      <c r="E240" s="330">
        <v>0.2</v>
      </c>
      <c r="F240" s="330"/>
      <c r="G240" s="330"/>
      <c r="H240" s="330"/>
      <c r="I240" s="330"/>
      <c r="J240" s="330"/>
      <c r="K240" s="330"/>
      <c r="L240" s="330"/>
      <c r="M240" s="330">
        <f>M235</f>
        <v>0</v>
      </c>
      <c r="N240" s="330">
        <f>C240*D240*E240*M240</f>
        <v>0</v>
      </c>
      <c r="O240" s="349" t="s">
        <v>103</v>
      </c>
      <c r="P240" s="784">
        <f>ROUND((N240),2)</f>
        <v>0</v>
      </c>
      <c r="Q240" s="398"/>
      <c r="R240" s="779"/>
      <c r="S240" s="398"/>
      <c r="T240" s="398"/>
      <c r="U240" s="398"/>
      <c r="V240" s="738"/>
      <c r="W240" s="738"/>
      <c r="X240" s="738"/>
    </row>
    <row r="241" spans="1:25" ht="15.75" hidden="1" customHeight="1">
      <c r="A241" s="355" t="s">
        <v>142</v>
      </c>
      <c r="B241" s="359" t="s">
        <v>1595</v>
      </c>
      <c r="C241" s="330">
        <f>C240</f>
        <v>8</v>
      </c>
      <c r="D241" s="330">
        <f>D240</f>
        <v>0.5</v>
      </c>
      <c r="E241" s="330"/>
      <c r="F241" s="330"/>
      <c r="G241" s="330"/>
      <c r="H241" s="330"/>
      <c r="I241" s="330"/>
      <c r="J241" s="330"/>
      <c r="K241" s="330"/>
      <c r="L241" s="330"/>
      <c r="M241" s="330">
        <f>M240</f>
        <v>0</v>
      </c>
      <c r="N241" s="330">
        <f>C241*D241*M241</f>
        <v>0</v>
      </c>
      <c r="O241" s="349" t="s">
        <v>89</v>
      </c>
      <c r="P241" s="784">
        <f>ROUND((N241),2)</f>
        <v>0</v>
      </c>
      <c r="Q241" s="398"/>
      <c r="R241" s="779"/>
      <c r="S241" s="398"/>
      <c r="T241" s="398"/>
      <c r="U241" s="398"/>
      <c r="V241" s="738"/>
      <c r="W241" s="738"/>
      <c r="X241" s="738"/>
    </row>
    <row r="242" spans="1:25" ht="27.75" customHeight="1">
      <c r="A242" s="350">
        <f>A193+1</f>
        <v>8</v>
      </c>
      <c r="B242" s="595" t="s">
        <v>1030</v>
      </c>
      <c r="C242" s="330"/>
      <c r="D242" s="330"/>
      <c r="E242" s="330"/>
      <c r="F242" s="330"/>
      <c r="G242" s="330"/>
      <c r="H242" s="330"/>
      <c r="I242" s="330"/>
      <c r="J242" s="330"/>
      <c r="K242" s="330"/>
      <c r="L242" s="330"/>
      <c r="M242" s="330"/>
      <c r="N242" s="330"/>
      <c r="O242" s="349"/>
      <c r="P242" s="784"/>
      <c r="Q242" s="398"/>
      <c r="R242" s="779"/>
      <c r="S242" s="398"/>
      <c r="T242" s="398"/>
      <c r="U242" s="398"/>
      <c r="V242" s="738"/>
      <c r="W242" s="738"/>
      <c r="X242" s="738"/>
    </row>
    <row r="243" spans="1:25" ht="15.75" customHeight="1">
      <c r="A243" s="350"/>
      <c r="B243" s="567" t="s">
        <v>1184</v>
      </c>
      <c r="C243" s="330">
        <f>5-(0.3*2)</f>
        <v>4.4000000000000004</v>
      </c>
      <c r="D243" s="330"/>
      <c r="E243" s="330">
        <v>0.5</v>
      </c>
      <c r="F243" s="330"/>
      <c r="G243" s="330"/>
      <c r="H243" s="330"/>
      <c r="I243" s="330"/>
      <c r="J243" s="330"/>
      <c r="K243" s="330"/>
      <c r="L243" s="330"/>
      <c r="M243" s="330">
        <v>1</v>
      </c>
      <c r="N243" s="330">
        <f>C243*E243*M243</f>
        <v>2.2000000000000002</v>
      </c>
      <c r="O243" s="349"/>
      <c r="P243" s="784"/>
      <c r="Q243" s="398"/>
      <c r="R243" s="779"/>
      <c r="S243" s="398"/>
      <c r="T243" s="398"/>
      <c r="U243" s="398"/>
      <c r="V243" s="738"/>
      <c r="W243" s="738"/>
      <c r="X243" s="738"/>
    </row>
    <row r="244" spans="1:25" ht="15.75" customHeight="1">
      <c r="A244" s="350"/>
      <c r="B244" s="567" t="s">
        <v>1032</v>
      </c>
      <c r="C244" s="330">
        <f>4-(0.3*2)</f>
        <v>3.4</v>
      </c>
      <c r="D244" s="330"/>
      <c r="E244" s="330">
        <f>E243</f>
        <v>0.5</v>
      </c>
      <c r="F244" s="330">
        <v>2</v>
      </c>
      <c r="G244" s="330"/>
      <c r="H244" s="330"/>
      <c r="I244" s="330"/>
      <c r="J244" s="330"/>
      <c r="K244" s="330"/>
      <c r="L244" s="330"/>
      <c r="M244" s="330">
        <v>2</v>
      </c>
      <c r="N244" s="752">
        <f>C244*E244*F244*M244</f>
        <v>6.8</v>
      </c>
      <c r="O244" s="349"/>
      <c r="P244" s="784"/>
      <c r="Q244" s="398"/>
      <c r="R244" s="779"/>
      <c r="S244" s="398"/>
      <c r="T244" s="398"/>
      <c r="U244" s="398"/>
      <c r="V244" s="738"/>
      <c r="W244" s="738"/>
      <c r="X244" s="738"/>
    </row>
    <row r="245" spans="1:25" ht="15.75" customHeight="1">
      <c r="A245" s="350"/>
      <c r="B245" s="595"/>
      <c r="C245" s="330"/>
      <c r="D245" s="330"/>
      <c r="E245" s="330"/>
      <c r="F245" s="330"/>
      <c r="G245" s="330"/>
      <c r="H245" s="330"/>
      <c r="I245" s="330"/>
      <c r="J245" s="330"/>
      <c r="K245" s="330"/>
      <c r="L245" s="330"/>
      <c r="M245" s="330"/>
      <c r="N245" s="401">
        <f>SUM(N243:N244)</f>
        <v>9</v>
      </c>
      <c r="O245" s="349" t="s">
        <v>89</v>
      </c>
      <c r="P245" s="784">
        <f>ROUND((N245),2)</f>
        <v>9</v>
      </c>
      <c r="Q245" s="398"/>
      <c r="R245" s="779"/>
      <c r="S245" s="398"/>
      <c r="T245" s="398"/>
      <c r="U245" s="398"/>
      <c r="V245" s="738"/>
      <c r="W245" s="738"/>
      <c r="X245" s="738"/>
    </row>
    <row r="246" spans="1:25" ht="15.75" customHeight="1">
      <c r="A246" s="350">
        <f>A242+1</f>
        <v>9</v>
      </c>
      <c r="B246" s="359" t="s">
        <v>580</v>
      </c>
      <c r="C246" s="330"/>
      <c r="D246" s="330"/>
      <c r="E246" s="330"/>
      <c r="F246" s="330"/>
      <c r="G246" s="330"/>
      <c r="H246" s="330"/>
      <c r="I246" s="330"/>
      <c r="J246" s="330"/>
      <c r="K246" s="330"/>
      <c r="L246" s="330"/>
      <c r="M246" s="330"/>
      <c r="N246" s="330"/>
      <c r="O246" s="349"/>
      <c r="P246" s="784"/>
      <c r="Q246" s="398"/>
      <c r="R246" s="779"/>
      <c r="S246" s="398"/>
      <c r="T246" s="398"/>
      <c r="U246" s="398"/>
      <c r="V246" s="738"/>
      <c r="W246" s="738"/>
      <c r="X246" s="738"/>
    </row>
    <row r="247" spans="1:25" ht="15.75" customHeight="1">
      <c r="A247" s="350"/>
      <c r="B247" s="567" t="s">
        <v>1033</v>
      </c>
      <c r="C247" s="330"/>
      <c r="D247" s="330"/>
      <c r="E247" s="330"/>
      <c r="F247" s="330"/>
      <c r="G247" s="330"/>
      <c r="H247" s="330"/>
      <c r="I247" s="330"/>
      <c r="J247" s="330"/>
      <c r="K247" s="330"/>
      <c r="L247" s="330"/>
      <c r="M247" s="330"/>
      <c r="N247" s="330">
        <f>N175</f>
        <v>31.700000000000003</v>
      </c>
      <c r="O247" s="349"/>
      <c r="P247" s="784"/>
      <c r="Q247" s="398"/>
      <c r="R247" s="779"/>
      <c r="S247" s="398"/>
      <c r="T247" s="398"/>
      <c r="U247" s="398"/>
      <c r="V247" s="738"/>
      <c r="W247" s="738"/>
      <c r="X247" s="738"/>
    </row>
    <row r="248" spans="1:25" ht="15.75" customHeight="1">
      <c r="A248" s="350"/>
      <c r="B248" s="567" t="s">
        <v>1035</v>
      </c>
      <c r="C248" s="330"/>
      <c r="D248" s="330"/>
      <c r="E248" s="330"/>
      <c r="F248" s="330"/>
      <c r="G248" s="330"/>
      <c r="H248" s="330"/>
      <c r="I248" s="330"/>
      <c r="J248" s="330"/>
      <c r="K248" s="330"/>
      <c r="L248" s="330"/>
      <c r="M248" s="330"/>
      <c r="N248" s="330">
        <f>N183</f>
        <v>43.609999999999992</v>
      </c>
      <c r="O248" s="349"/>
      <c r="P248" s="784"/>
      <c r="Q248" s="398"/>
      <c r="R248" s="779"/>
      <c r="S248" s="398"/>
      <c r="T248" s="398"/>
      <c r="U248" s="398"/>
      <c r="V248" s="738"/>
      <c r="W248" s="738"/>
      <c r="X248" s="738"/>
    </row>
    <row r="249" spans="1:25" ht="15.75" hidden="1" customHeight="1">
      <c r="A249" s="350"/>
      <c r="B249" s="567" t="s">
        <v>1596</v>
      </c>
      <c r="C249" s="330"/>
      <c r="D249" s="330"/>
      <c r="E249" s="330"/>
      <c r="F249" s="330"/>
      <c r="G249" s="330"/>
      <c r="H249" s="330"/>
      <c r="I249" s="330"/>
      <c r="J249" s="330"/>
      <c r="K249" s="330"/>
      <c r="L249" s="330"/>
      <c r="M249" s="330"/>
      <c r="N249" s="752">
        <f>N239</f>
        <v>0</v>
      </c>
      <c r="O249" s="349"/>
      <c r="P249" s="784"/>
      <c r="Q249" s="398"/>
      <c r="R249" s="779"/>
      <c r="S249" s="398"/>
      <c r="T249" s="398"/>
      <c r="U249" s="398"/>
      <c r="V249" s="738"/>
      <c r="W249" s="738"/>
      <c r="X249" s="738"/>
    </row>
    <row r="250" spans="1:25" ht="15.75" customHeight="1">
      <c r="A250" s="350"/>
      <c r="B250" s="567"/>
      <c r="C250" s="330"/>
      <c r="D250" s="330"/>
      <c r="E250" s="330"/>
      <c r="F250" s="330"/>
      <c r="G250" s="330"/>
      <c r="H250" s="330"/>
      <c r="I250" s="330"/>
      <c r="J250" s="330"/>
      <c r="K250" s="330"/>
      <c r="L250" s="330"/>
      <c r="M250" s="330"/>
      <c r="N250" s="401">
        <f>SUM(N247:N249)</f>
        <v>75.31</v>
      </c>
      <c r="O250" s="349" t="s">
        <v>89</v>
      </c>
      <c r="P250" s="784">
        <f>ROUND((N250),2)</f>
        <v>75.31</v>
      </c>
      <c r="Q250" s="398"/>
      <c r="R250" s="779"/>
      <c r="S250" s="398"/>
      <c r="T250" s="398"/>
      <c r="U250" s="398"/>
      <c r="V250" s="738"/>
      <c r="W250" s="738"/>
      <c r="X250" s="738"/>
    </row>
    <row r="251" spans="1:25" ht="15.75" customHeight="1">
      <c r="A251" s="350">
        <f>A246+1</f>
        <v>10</v>
      </c>
      <c r="B251" s="591" t="s">
        <v>451</v>
      </c>
      <c r="C251" s="330"/>
      <c r="D251" s="330"/>
      <c r="E251" s="330"/>
      <c r="F251" s="330"/>
      <c r="G251" s="330"/>
      <c r="H251" s="330"/>
      <c r="I251" s="330"/>
      <c r="J251" s="330"/>
      <c r="K251" s="330"/>
      <c r="L251" s="330"/>
      <c r="M251" s="330"/>
      <c r="N251" s="401"/>
      <c r="O251" s="349"/>
      <c r="P251" s="784"/>
      <c r="Q251" s="398"/>
      <c r="R251" s="779"/>
      <c r="S251" s="398"/>
      <c r="T251" s="398"/>
      <c r="U251" s="398"/>
      <c r="V251" s="738"/>
      <c r="W251" s="738"/>
      <c r="X251" s="738"/>
    </row>
    <row r="252" spans="1:25" ht="15.75" customHeight="1">
      <c r="A252" s="350"/>
      <c r="B252" s="567" t="s">
        <v>1570</v>
      </c>
      <c r="C252" s="330"/>
      <c r="D252" s="330"/>
      <c r="E252" s="330"/>
      <c r="F252" s="330"/>
      <c r="G252" s="330"/>
      <c r="H252" s="330"/>
      <c r="I252" s="330"/>
      <c r="J252" s="330"/>
      <c r="K252" s="330"/>
      <c r="L252" s="330"/>
      <c r="M252" s="330"/>
      <c r="N252" s="401">
        <f>N192</f>
        <v>54.3</v>
      </c>
      <c r="O252" s="349" t="s">
        <v>89</v>
      </c>
      <c r="P252" s="784">
        <f>ROUND((N252),2)</f>
        <v>54.3</v>
      </c>
      <c r="Q252" s="398"/>
      <c r="R252" s="779"/>
      <c r="S252" s="398"/>
      <c r="T252" s="398"/>
      <c r="U252" s="398"/>
      <c r="V252" s="738"/>
      <c r="W252" s="738"/>
      <c r="X252" s="738"/>
    </row>
    <row r="253" spans="1:25" s="554" customFormat="1" ht="15.75" customHeight="1">
      <c r="A253" s="350">
        <f>A251+1</f>
        <v>11</v>
      </c>
      <c r="B253" s="591" t="s">
        <v>443</v>
      </c>
      <c r="C253" s="348"/>
      <c r="D253" s="348"/>
      <c r="E253" s="348"/>
      <c r="F253" s="348"/>
      <c r="G253" s="348"/>
      <c r="H253" s="348"/>
      <c r="I253" s="348"/>
      <c r="J253" s="348"/>
      <c r="K253" s="348"/>
      <c r="L253" s="348"/>
      <c r="M253" s="348"/>
      <c r="N253" s="343"/>
      <c r="O253" s="349"/>
      <c r="P253" s="784"/>
      <c r="R253" s="398"/>
      <c r="S253" s="564"/>
      <c r="T253" s="398"/>
      <c r="U253" s="398"/>
      <c r="V253" s="398"/>
      <c r="W253" s="555"/>
      <c r="X253" s="555"/>
      <c r="Y253" s="555"/>
    </row>
    <row r="254" spans="1:25" s="554" customFormat="1" ht="37.5" customHeight="1">
      <c r="A254" s="355" t="s">
        <v>95</v>
      </c>
      <c r="B254" s="593" t="s">
        <v>537</v>
      </c>
      <c r="C254" s="348">
        <v>7.79</v>
      </c>
      <c r="D254" s="493"/>
      <c r="E254" s="348"/>
      <c r="F254" s="348">
        <v>9</v>
      </c>
      <c r="G254" s="348"/>
      <c r="H254" s="348">
        <v>1</v>
      </c>
      <c r="I254" s="348"/>
      <c r="J254" s="348"/>
      <c r="K254" s="348"/>
      <c r="L254" s="348"/>
      <c r="M254" s="348">
        <v>2</v>
      </c>
      <c r="N254" s="343">
        <f>M254*F254*C254*H254</f>
        <v>140.22</v>
      </c>
      <c r="O254" s="349" t="s">
        <v>89</v>
      </c>
      <c r="P254" s="784"/>
      <c r="R254" s="398"/>
      <c r="S254" s="564"/>
      <c r="T254" s="398"/>
      <c r="U254" s="398"/>
      <c r="V254" s="398"/>
      <c r="W254" s="555"/>
      <c r="X254" s="555"/>
      <c r="Y254" s="555"/>
    </row>
    <row r="255" spans="1:25" s="554" customFormat="1" ht="28.5" customHeight="1">
      <c r="A255" s="355" t="s">
        <v>98</v>
      </c>
      <c r="B255" s="593" t="s">
        <v>538</v>
      </c>
      <c r="C255" s="348">
        <v>9.65</v>
      </c>
      <c r="D255" s="493"/>
      <c r="E255" s="348"/>
      <c r="F255" s="348">
        <f>ROUNDUP((D259/0.5),0)</f>
        <v>9</v>
      </c>
      <c r="G255" s="348"/>
      <c r="H255" s="348">
        <v>2</v>
      </c>
      <c r="I255" s="348"/>
      <c r="J255" s="348"/>
      <c r="K255" s="348"/>
      <c r="L255" s="348"/>
      <c r="M255" s="348"/>
      <c r="N255" s="343">
        <f>H255*F255*C255</f>
        <v>173.70000000000002</v>
      </c>
      <c r="O255" s="349" t="s">
        <v>1178</v>
      </c>
      <c r="P255" s="784"/>
      <c r="R255" s="398"/>
      <c r="S255" s="564"/>
      <c r="T255" s="398"/>
      <c r="U255" s="398"/>
      <c r="V255" s="398"/>
      <c r="W255" s="555"/>
      <c r="X255" s="555"/>
      <c r="Y255" s="555"/>
    </row>
    <row r="256" spans="1:25" s="554" customFormat="1" ht="15.75" customHeight="1">
      <c r="A256" s="355" t="s">
        <v>101</v>
      </c>
      <c r="B256" s="351" t="s">
        <v>823</v>
      </c>
      <c r="C256" s="348"/>
      <c r="D256" s="352"/>
      <c r="E256" s="348"/>
      <c r="F256" s="348"/>
      <c r="G256" s="348"/>
      <c r="H256" s="348"/>
      <c r="I256" s="348"/>
      <c r="J256" s="348"/>
      <c r="K256" s="348"/>
      <c r="L256" s="348"/>
      <c r="M256" s="348"/>
      <c r="N256" s="565">
        <f>SUM(N257:N258)</f>
        <v>72</v>
      </c>
      <c r="O256" s="349" t="s">
        <v>824</v>
      </c>
      <c r="P256" s="784"/>
      <c r="R256" s="398"/>
      <c r="S256" s="564"/>
      <c r="T256" s="398"/>
      <c r="U256" s="398"/>
      <c r="V256" s="398"/>
      <c r="W256" s="555"/>
      <c r="X256" s="555"/>
      <c r="Y256" s="555"/>
    </row>
    <row r="257" spans="1:25" s="554" customFormat="1" ht="15.75" customHeight="1">
      <c r="A257" s="355"/>
      <c r="B257" s="589" t="s">
        <v>1024</v>
      </c>
      <c r="C257" s="348"/>
      <c r="D257" s="352"/>
      <c r="E257" s="348"/>
      <c r="F257" s="348">
        <v>2</v>
      </c>
      <c r="G257" s="348">
        <v>2</v>
      </c>
      <c r="H257" s="348">
        <v>2</v>
      </c>
      <c r="I257" s="348"/>
      <c r="J257" s="348"/>
      <c r="K257" s="348"/>
      <c r="L257" s="348"/>
      <c r="M257" s="348">
        <f>F254</f>
        <v>9</v>
      </c>
      <c r="N257" s="343">
        <f>M257*H257*G257*F257</f>
        <v>72</v>
      </c>
      <c r="O257" s="349" t="s">
        <v>824</v>
      </c>
      <c r="P257" s="784"/>
      <c r="R257" s="398"/>
      <c r="S257" s="564"/>
      <c r="T257" s="398"/>
      <c r="U257" s="398"/>
      <c r="V257" s="398"/>
      <c r="W257" s="555"/>
      <c r="X257" s="555"/>
      <c r="Y257" s="555"/>
    </row>
    <row r="258" spans="1:25" s="554" customFormat="1" ht="15.75" customHeight="1">
      <c r="A258" s="355"/>
      <c r="B258" s="589" t="s">
        <v>1025</v>
      </c>
      <c r="C258" s="348"/>
      <c r="D258" s="352"/>
      <c r="E258" s="348"/>
      <c r="F258" s="348">
        <v>2</v>
      </c>
      <c r="G258" s="348">
        <v>5</v>
      </c>
      <c r="H258" s="348">
        <v>1</v>
      </c>
      <c r="I258" s="348"/>
      <c r="J258" s="348"/>
      <c r="K258" s="348"/>
      <c r="L258" s="348"/>
      <c r="M258" s="348">
        <v>0</v>
      </c>
      <c r="N258" s="343">
        <f>M258*H258*G258*F258</f>
        <v>0</v>
      </c>
      <c r="O258" s="349" t="s">
        <v>824</v>
      </c>
      <c r="P258" s="784"/>
      <c r="R258" s="398"/>
      <c r="S258" s="564"/>
      <c r="T258" s="398"/>
      <c r="U258" s="398"/>
      <c r="V258" s="398"/>
      <c r="W258" s="555"/>
      <c r="X258" s="555"/>
      <c r="Y258" s="555"/>
    </row>
    <row r="259" spans="1:25" s="554" customFormat="1" ht="15.75" customHeight="1">
      <c r="A259" s="355" t="s">
        <v>121</v>
      </c>
      <c r="B259" s="351" t="s">
        <v>1179</v>
      </c>
      <c r="C259" s="348">
        <f>C255</f>
        <v>9.65</v>
      </c>
      <c r="D259" s="352">
        <v>4.18</v>
      </c>
      <c r="E259" s="348"/>
      <c r="F259" s="348"/>
      <c r="G259" s="348"/>
      <c r="H259" s="348"/>
      <c r="I259" s="348"/>
      <c r="J259" s="348"/>
      <c r="K259" s="348"/>
      <c r="L259" s="348"/>
      <c r="M259" s="348">
        <v>2</v>
      </c>
      <c r="N259" s="343">
        <f>M259*D259*C259</f>
        <v>80.673999999999992</v>
      </c>
      <c r="O259" s="349" t="s">
        <v>89</v>
      </c>
      <c r="P259" s="784"/>
      <c r="R259" s="398"/>
      <c r="S259" s="564"/>
      <c r="T259" s="398"/>
      <c r="U259" s="398"/>
      <c r="V259" s="398"/>
      <c r="W259" s="555"/>
      <c r="X259" s="555"/>
      <c r="Y259" s="555"/>
    </row>
    <row r="260" spans="1:25" s="554" customFormat="1" ht="15.75" customHeight="1">
      <c r="A260" s="355" t="s">
        <v>142</v>
      </c>
      <c r="B260" s="351" t="s">
        <v>1180</v>
      </c>
      <c r="C260" s="348">
        <f>C259</f>
        <v>9.65</v>
      </c>
      <c r="D260" s="352"/>
      <c r="E260" s="348"/>
      <c r="F260" s="348"/>
      <c r="G260" s="348"/>
      <c r="H260" s="348"/>
      <c r="I260" s="348"/>
      <c r="J260" s="348"/>
      <c r="K260" s="348"/>
      <c r="L260" s="348"/>
      <c r="M260" s="348"/>
      <c r="N260" s="343">
        <f>C260</f>
        <v>9.65</v>
      </c>
      <c r="O260" s="349" t="s">
        <v>1178</v>
      </c>
      <c r="P260" s="784"/>
      <c r="R260" s="398"/>
      <c r="S260" s="564"/>
      <c r="T260" s="398"/>
      <c r="U260" s="398"/>
      <c r="V260" s="398"/>
      <c r="W260" s="555"/>
      <c r="X260" s="555"/>
      <c r="Y260" s="555"/>
    </row>
    <row r="261" spans="1:25" s="554" customFormat="1" ht="15.75" customHeight="1">
      <c r="A261" s="350"/>
      <c r="B261" s="567"/>
      <c r="C261" s="348"/>
      <c r="D261" s="348"/>
      <c r="E261" s="348"/>
      <c r="F261" s="348"/>
      <c r="G261" s="348"/>
      <c r="H261" s="348"/>
      <c r="I261" s="348"/>
      <c r="J261" s="348"/>
      <c r="K261" s="348"/>
      <c r="L261" s="348"/>
      <c r="M261" s="348"/>
      <c r="N261" s="343"/>
      <c r="O261" s="349"/>
      <c r="P261" s="784"/>
      <c r="R261" s="398"/>
      <c r="S261" s="564"/>
      <c r="T261" s="398"/>
      <c r="U261" s="398"/>
      <c r="V261" s="398"/>
      <c r="W261" s="555"/>
      <c r="X261" s="555"/>
      <c r="Y261" s="555"/>
    </row>
    <row r="262" spans="1:25" ht="15.75" customHeight="1">
      <c r="A262" s="350">
        <f>A253+1</f>
        <v>12</v>
      </c>
      <c r="B262" s="359" t="s">
        <v>1037</v>
      </c>
      <c r="C262" s="330"/>
      <c r="D262" s="330"/>
      <c r="E262" s="330"/>
      <c r="F262" s="330"/>
      <c r="G262" s="330"/>
      <c r="H262" s="330"/>
      <c r="I262" s="330"/>
      <c r="J262" s="330"/>
      <c r="K262" s="330"/>
      <c r="L262" s="330"/>
      <c r="M262" s="330"/>
      <c r="N262" s="330"/>
      <c r="O262" s="349"/>
      <c r="P262" s="784"/>
      <c r="Q262" s="398"/>
      <c r="R262" s="779"/>
      <c r="S262" s="398"/>
      <c r="T262" s="398"/>
      <c r="U262" s="398"/>
      <c r="V262" s="738"/>
      <c r="W262" s="738"/>
      <c r="X262" s="738"/>
    </row>
    <row r="263" spans="1:25" ht="15.75" customHeight="1">
      <c r="A263" s="350"/>
      <c r="B263" s="596" t="s">
        <v>1185</v>
      </c>
      <c r="C263" s="330">
        <f>C255</f>
        <v>9.65</v>
      </c>
      <c r="D263" s="330"/>
      <c r="E263" s="330"/>
      <c r="F263" s="330"/>
      <c r="G263" s="330"/>
      <c r="H263" s="330">
        <v>1</v>
      </c>
      <c r="I263" s="330"/>
      <c r="J263" s="330"/>
      <c r="K263" s="330"/>
      <c r="L263" s="330"/>
      <c r="M263" s="330">
        <v>2</v>
      </c>
      <c r="N263" s="330">
        <f>C263*H263*M263</f>
        <v>19.3</v>
      </c>
      <c r="O263" s="349"/>
      <c r="P263" s="784"/>
      <c r="Q263" s="398"/>
      <c r="R263" s="779"/>
      <c r="S263" s="398"/>
      <c r="T263" s="398"/>
      <c r="U263" s="398"/>
      <c r="V263" s="738"/>
      <c r="W263" s="738"/>
      <c r="X263" s="738"/>
    </row>
    <row r="264" spans="1:25" ht="15.75" customHeight="1">
      <c r="A264" s="350"/>
      <c r="B264" s="596" t="s">
        <v>1186</v>
      </c>
      <c r="C264" s="330">
        <f>D259</f>
        <v>4.18</v>
      </c>
      <c r="D264" s="330"/>
      <c r="E264" s="330"/>
      <c r="F264" s="330"/>
      <c r="G264" s="330"/>
      <c r="H264" s="330">
        <v>2</v>
      </c>
      <c r="I264" s="330"/>
      <c r="J264" s="330"/>
      <c r="K264" s="330"/>
      <c r="L264" s="330"/>
      <c r="M264" s="330">
        <v>2</v>
      </c>
      <c r="N264" s="752">
        <f>C264*H264*M264</f>
        <v>16.72</v>
      </c>
      <c r="O264" s="349"/>
      <c r="P264" s="784"/>
      <c r="Q264" s="398"/>
      <c r="R264" s="779"/>
      <c r="S264" s="398"/>
      <c r="T264" s="398"/>
      <c r="U264" s="398"/>
      <c r="V264" s="738"/>
      <c r="W264" s="738"/>
      <c r="X264" s="738"/>
    </row>
    <row r="265" spans="1:25" ht="15.75" customHeight="1">
      <c r="A265" s="350"/>
      <c r="B265" s="597"/>
      <c r="C265" s="330"/>
      <c r="D265" s="330"/>
      <c r="E265" s="330"/>
      <c r="F265" s="330"/>
      <c r="G265" s="330"/>
      <c r="H265" s="330"/>
      <c r="I265" s="330"/>
      <c r="J265" s="330"/>
      <c r="K265" s="330"/>
      <c r="L265" s="330"/>
      <c r="M265" s="330"/>
      <c r="N265" s="401">
        <f>SUM(N263:N264)</f>
        <v>36.019999999999996</v>
      </c>
      <c r="O265" s="349" t="s">
        <v>117</v>
      </c>
      <c r="P265" s="784">
        <f>ROUND((N265),2)</f>
        <v>36.020000000000003</v>
      </c>
      <c r="Q265" s="398"/>
      <c r="R265" s="779"/>
      <c r="S265" s="398"/>
      <c r="T265" s="398"/>
      <c r="U265" s="398"/>
      <c r="V265" s="738"/>
      <c r="W265" s="738"/>
      <c r="X265" s="738"/>
    </row>
    <row r="266" spans="1:25" ht="15.75" customHeight="1">
      <c r="A266" s="350">
        <f>A262+1</f>
        <v>13</v>
      </c>
      <c r="B266" s="597" t="s">
        <v>968</v>
      </c>
      <c r="C266" s="330">
        <f>N265</f>
        <v>36.019999999999996</v>
      </c>
      <c r="D266" s="330">
        <v>0.3</v>
      </c>
      <c r="E266" s="330"/>
      <c r="F266" s="330"/>
      <c r="G266" s="330"/>
      <c r="H266" s="330"/>
      <c r="I266" s="330"/>
      <c r="J266" s="330"/>
      <c r="K266" s="330"/>
      <c r="L266" s="330"/>
      <c r="M266" s="330"/>
      <c r="N266" s="752">
        <f>C266*D266</f>
        <v>10.805999999999999</v>
      </c>
      <c r="O266" s="349"/>
      <c r="P266" s="784"/>
      <c r="Q266" s="398"/>
      <c r="R266" s="779"/>
      <c r="S266" s="398"/>
      <c r="T266" s="398"/>
      <c r="U266" s="398"/>
      <c r="V266" s="738"/>
      <c r="W266" s="738"/>
      <c r="X266" s="738"/>
    </row>
    <row r="267" spans="1:25" ht="15.75" customHeight="1">
      <c r="A267" s="350"/>
      <c r="B267" s="359"/>
      <c r="C267" s="330"/>
      <c r="D267" s="330"/>
      <c r="E267" s="330"/>
      <c r="F267" s="330"/>
      <c r="G267" s="330"/>
      <c r="H267" s="330"/>
      <c r="I267" s="330"/>
      <c r="J267" s="330"/>
      <c r="K267" s="330"/>
      <c r="L267" s="330"/>
      <c r="M267" s="330"/>
      <c r="N267" s="401">
        <f>SUM(N266)</f>
        <v>10.805999999999999</v>
      </c>
      <c r="O267" s="349" t="s">
        <v>89</v>
      </c>
      <c r="P267" s="784">
        <f>ROUND((N267),2)</f>
        <v>10.81</v>
      </c>
      <c r="Q267" s="398"/>
      <c r="R267" s="779"/>
      <c r="S267" s="398"/>
      <c r="T267" s="398"/>
      <c r="U267" s="398"/>
      <c r="V267" s="738"/>
      <c r="W267" s="738"/>
      <c r="X267" s="738"/>
    </row>
    <row r="268" spans="1:25" ht="15.75" customHeight="1">
      <c r="A268" s="350">
        <f>A266+1</f>
        <v>14</v>
      </c>
      <c r="B268" s="359" t="s">
        <v>582</v>
      </c>
      <c r="C268" s="330"/>
      <c r="D268" s="330"/>
      <c r="E268" s="330"/>
      <c r="F268" s="330"/>
      <c r="G268" s="330"/>
      <c r="H268" s="330"/>
      <c r="I268" s="330"/>
      <c r="J268" s="330"/>
      <c r="K268" s="330"/>
      <c r="L268" s="330"/>
      <c r="M268" s="330"/>
      <c r="N268" s="330">
        <v>1</v>
      </c>
      <c r="O268" s="349" t="s">
        <v>124</v>
      </c>
      <c r="P268" s="784">
        <f>ROUND((N268),2)</f>
        <v>1</v>
      </c>
      <c r="Q268" s="398"/>
      <c r="R268" s="779"/>
      <c r="S268" s="398"/>
      <c r="T268" s="398"/>
      <c r="U268" s="398"/>
      <c r="V268" s="738"/>
      <c r="W268" s="738"/>
      <c r="X268" s="738"/>
    </row>
    <row r="269" spans="1:25" ht="39" customHeight="1">
      <c r="A269" s="350">
        <f>A268+1</f>
        <v>15</v>
      </c>
      <c r="B269" s="598" t="s">
        <v>1597</v>
      </c>
      <c r="C269" s="330"/>
      <c r="D269" s="330"/>
      <c r="E269" s="330"/>
      <c r="F269" s="330"/>
      <c r="G269" s="330"/>
      <c r="H269" s="330"/>
      <c r="I269" s="330"/>
      <c r="J269" s="330"/>
      <c r="K269" s="330"/>
      <c r="L269" s="330"/>
      <c r="M269" s="330"/>
      <c r="N269" s="330">
        <v>27</v>
      </c>
      <c r="O269" s="349" t="s">
        <v>124</v>
      </c>
      <c r="P269" s="784">
        <f>ROUND((N269),2)</f>
        <v>27</v>
      </c>
      <c r="Q269" s="398"/>
      <c r="R269" s="779"/>
      <c r="S269" s="398"/>
      <c r="T269" s="398"/>
      <c r="U269" s="398"/>
      <c r="V269" s="738"/>
      <c r="W269" s="738"/>
      <c r="X269" s="738"/>
    </row>
    <row r="270" spans="1:25" ht="15.75" customHeight="1">
      <c r="A270" s="346" t="s">
        <v>1190</v>
      </c>
      <c r="B270" s="342" t="s">
        <v>457</v>
      </c>
      <c r="C270" s="424"/>
      <c r="D270" s="424"/>
      <c r="E270" s="424"/>
      <c r="F270" s="424"/>
      <c r="G270" s="424"/>
      <c r="H270" s="424"/>
      <c r="I270" s="424"/>
      <c r="J270" s="424"/>
      <c r="K270" s="424"/>
      <c r="L270" s="424"/>
      <c r="M270" s="424"/>
      <c r="N270" s="424"/>
      <c r="O270" s="599"/>
      <c r="P270" s="793"/>
      <c r="Q270" s="398"/>
      <c r="R270" s="779"/>
      <c r="S270" s="398"/>
      <c r="T270" s="398"/>
      <c r="U270" s="398"/>
      <c r="V270" s="738"/>
      <c r="W270" s="738"/>
      <c r="X270" s="738"/>
    </row>
    <row r="271" spans="1:25" ht="15.75" customHeight="1">
      <c r="A271" s="350">
        <v>1</v>
      </c>
      <c r="B271" s="351" t="s">
        <v>545</v>
      </c>
      <c r="C271" s="424"/>
      <c r="D271" s="424"/>
      <c r="E271" s="424"/>
      <c r="F271" s="424">
        <v>4</v>
      </c>
      <c r="G271" s="424"/>
      <c r="H271" s="424"/>
      <c r="I271" s="424"/>
      <c r="J271" s="424"/>
      <c r="K271" s="424"/>
      <c r="L271" s="424"/>
      <c r="M271" s="424"/>
      <c r="N271" s="424">
        <f t="shared" ref="N271:N276" si="6">F271</f>
        <v>4</v>
      </c>
      <c r="O271" s="349" t="s">
        <v>357</v>
      </c>
      <c r="P271" s="784">
        <f t="shared" ref="P271:P276" si="7">ROUND((N271),2)</f>
        <v>4</v>
      </c>
      <c r="Q271" s="398"/>
      <c r="R271" s="779"/>
      <c r="S271" s="398"/>
      <c r="T271" s="398"/>
      <c r="U271" s="398"/>
      <c r="V271" s="738"/>
      <c r="W271" s="738"/>
      <c r="X271" s="738"/>
    </row>
    <row r="272" spans="1:25" ht="15.75" customHeight="1">
      <c r="A272" s="350">
        <f>A271+1</f>
        <v>2</v>
      </c>
      <c r="B272" s="351" t="s">
        <v>638</v>
      </c>
      <c r="C272" s="424"/>
      <c r="D272" s="424"/>
      <c r="E272" s="424"/>
      <c r="F272" s="424">
        <v>2</v>
      </c>
      <c r="G272" s="424"/>
      <c r="H272" s="424"/>
      <c r="I272" s="424"/>
      <c r="J272" s="424"/>
      <c r="K272" s="424"/>
      <c r="L272" s="424"/>
      <c r="M272" s="424"/>
      <c r="N272" s="424">
        <f t="shared" si="6"/>
        <v>2</v>
      </c>
      <c r="O272" s="349" t="s">
        <v>357</v>
      </c>
      <c r="P272" s="784">
        <f t="shared" si="7"/>
        <v>2</v>
      </c>
      <c r="Q272" s="398"/>
      <c r="R272" s="779"/>
      <c r="S272" s="398"/>
      <c r="T272" s="398"/>
      <c r="U272" s="398"/>
      <c r="V272" s="738"/>
      <c r="W272" s="738"/>
      <c r="X272" s="738"/>
    </row>
    <row r="273" spans="1:24" ht="15.75" customHeight="1">
      <c r="A273" s="350">
        <f>A272+1</f>
        <v>3</v>
      </c>
      <c r="B273" s="351" t="s">
        <v>639</v>
      </c>
      <c r="C273" s="424"/>
      <c r="D273" s="424"/>
      <c r="E273" s="424"/>
      <c r="F273" s="424">
        <v>1</v>
      </c>
      <c r="G273" s="424"/>
      <c r="H273" s="424"/>
      <c r="I273" s="424"/>
      <c r="J273" s="424"/>
      <c r="K273" s="424"/>
      <c r="L273" s="424"/>
      <c r="M273" s="424"/>
      <c r="N273" s="424">
        <f t="shared" si="6"/>
        <v>1</v>
      </c>
      <c r="O273" s="349" t="s">
        <v>124</v>
      </c>
      <c r="P273" s="784">
        <f t="shared" si="7"/>
        <v>1</v>
      </c>
      <c r="Q273" s="398"/>
      <c r="R273" s="779"/>
      <c r="S273" s="398"/>
      <c r="T273" s="398"/>
      <c r="U273" s="398"/>
      <c r="V273" s="738"/>
      <c r="W273" s="738"/>
      <c r="X273" s="738"/>
    </row>
    <row r="274" spans="1:24" ht="15.75" customHeight="1">
      <c r="A274" s="350">
        <f>A273+1</f>
        <v>4</v>
      </c>
      <c r="B274" s="351" t="s">
        <v>615</v>
      </c>
      <c r="C274" s="424"/>
      <c r="D274" s="424"/>
      <c r="E274" s="424"/>
      <c r="F274" s="424">
        <f>F272</f>
        <v>2</v>
      </c>
      <c r="G274" s="424"/>
      <c r="H274" s="424"/>
      <c r="I274" s="424"/>
      <c r="J274" s="424"/>
      <c r="K274" s="424"/>
      <c r="L274" s="424"/>
      <c r="M274" s="424"/>
      <c r="N274" s="424">
        <f t="shared" si="6"/>
        <v>2</v>
      </c>
      <c r="O274" s="349" t="s">
        <v>124</v>
      </c>
      <c r="P274" s="784">
        <f t="shared" si="7"/>
        <v>2</v>
      </c>
      <c r="Q274" s="398"/>
      <c r="R274" s="779"/>
      <c r="S274" s="398"/>
      <c r="T274" s="398"/>
      <c r="U274" s="398"/>
      <c r="V274" s="738"/>
      <c r="W274" s="738"/>
      <c r="X274" s="738"/>
    </row>
    <row r="275" spans="1:24" ht="15.75" customHeight="1">
      <c r="A275" s="350">
        <f>A274+1</f>
        <v>5</v>
      </c>
      <c r="B275" s="403" t="s">
        <v>929</v>
      </c>
      <c r="C275" s="424"/>
      <c r="D275" s="424"/>
      <c r="E275" s="424"/>
      <c r="F275" s="424">
        <f>F271</f>
        <v>4</v>
      </c>
      <c r="G275" s="424"/>
      <c r="H275" s="424"/>
      <c r="I275" s="424"/>
      <c r="J275" s="424"/>
      <c r="K275" s="424"/>
      <c r="L275" s="424"/>
      <c r="M275" s="424"/>
      <c r="N275" s="424">
        <f t="shared" si="6"/>
        <v>4</v>
      </c>
      <c r="O275" s="349" t="s">
        <v>124</v>
      </c>
      <c r="P275" s="784">
        <f t="shared" si="7"/>
        <v>4</v>
      </c>
      <c r="Q275" s="398"/>
      <c r="R275" s="779"/>
      <c r="S275" s="398"/>
      <c r="T275" s="398"/>
      <c r="U275" s="398"/>
      <c r="V275" s="738"/>
      <c r="W275" s="738"/>
      <c r="X275" s="738"/>
    </row>
    <row r="276" spans="1:24" ht="15.75" customHeight="1">
      <c r="A276" s="350">
        <f>A275+1</f>
        <v>6</v>
      </c>
      <c r="B276" s="457" t="s">
        <v>1598</v>
      </c>
      <c r="C276" s="424"/>
      <c r="D276" s="424"/>
      <c r="E276" s="424"/>
      <c r="F276" s="424">
        <v>1</v>
      </c>
      <c r="G276" s="424"/>
      <c r="H276" s="424"/>
      <c r="I276" s="424"/>
      <c r="J276" s="424"/>
      <c r="K276" s="424"/>
      <c r="L276" s="424"/>
      <c r="M276" s="424"/>
      <c r="N276" s="424">
        <f t="shared" si="6"/>
        <v>1</v>
      </c>
      <c r="O276" s="349" t="s">
        <v>124</v>
      </c>
      <c r="P276" s="793">
        <f t="shared" si="7"/>
        <v>1</v>
      </c>
      <c r="Q276" s="398"/>
      <c r="R276" s="779"/>
      <c r="S276" s="398"/>
      <c r="T276" s="398"/>
      <c r="U276" s="398"/>
      <c r="V276" s="738"/>
      <c r="W276" s="738"/>
      <c r="X276" s="738"/>
    </row>
    <row r="277" spans="1:24" ht="7.5" customHeight="1">
      <c r="A277" s="601"/>
      <c r="B277" s="602"/>
      <c r="C277" s="778"/>
      <c r="D277" s="778"/>
      <c r="E277" s="778"/>
      <c r="F277" s="778"/>
      <c r="G277" s="778"/>
      <c r="H277" s="778"/>
      <c r="I277" s="778"/>
      <c r="J277" s="778"/>
      <c r="K277" s="778"/>
      <c r="L277" s="778"/>
      <c r="M277" s="778"/>
      <c r="N277" s="778"/>
      <c r="O277" s="604"/>
      <c r="P277" s="605"/>
      <c r="Q277" s="398"/>
      <c r="R277" s="398"/>
      <c r="S277" s="398"/>
      <c r="T277" s="398"/>
      <c r="U277" s="398"/>
      <c r="V277" s="738"/>
      <c r="W277" s="738"/>
      <c r="X277" s="738"/>
    </row>
    <row r="278" spans="1:24" ht="15.75" customHeight="1">
      <c r="A278" s="606"/>
      <c r="B278" s="398"/>
      <c r="C278" s="779"/>
      <c r="D278" s="779"/>
      <c r="E278" s="779"/>
      <c r="F278" s="779"/>
      <c r="G278" s="779"/>
      <c r="H278" s="779"/>
      <c r="I278" s="779"/>
      <c r="J278" s="779"/>
      <c r="K278" s="779"/>
      <c r="L278" s="779"/>
      <c r="M278" s="779"/>
      <c r="N278" s="779"/>
      <c r="O278" s="606"/>
      <c r="P278" s="606"/>
      <c r="Q278" s="398"/>
      <c r="R278" s="398"/>
      <c r="S278" s="398"/>
      <c r="T278" s="398"/>
      <c r="U278" s="398"/>
      <c r="V278" s="738"/>
      <c r="W278" s="738"/>
      <c r="X278" s="738"/>
    </row>
    <row r="279" spans="1:24" ht="15.75" customHeight="1">
      <c r="A279" s="606"/>
      <c r="B279" s="398"/>
      <c r="C279" s="779"/>
      <c r="D279" s="779"/>
      <c r="E279" s="779"/>
      <c r="F279" s="779"/>
      <c r="G279" s="779"/>
      <c r="H279" s="779"/>
      <c r="I279" s="779"/>
      <c r="J279" s="779"/>
      <c r="K279" s="779"/>
      <c r="L279" s="779"/>
      <c r="M279" s="779"/>
      <c r="N279" s="779"/>
      <c r="O279" s="606"/>
      <c r="P279" s="606"/>
      <c r="Q279" s="398"/>
      <c r="R279" s="398"/>
      <c r="S279" s="398"/>
      <c r="T279" s="398"/>
      <c r="U279" s="398"/>
      <c r="V279" s="738"/>
      <c r="W279" s="738"/>
      <c r="X279" s="738"/>
    </row>
    <row r="280" spans="1:24" ht="15.75" customHeight="1">
      <c r="A280" s="606"/>
      <c r="B280" s="398"/>
      <c r="C280" s="779"/>
      <c r="D280" s="779"/>
      <c r="E280" s="779"/>
      <c r="F280" s="779"/>
      <c r="G280" s="779"/>
      <c r="H280" s="779"/>
      <c r="I280" s="779"/>
      <c r="J280" s="779"/>
      <c r="K280" s="779"/>
      <c r="L280" s="779"/>
      <c r="M280" s="779"/>
      <c r="N280" s="779"/>
      <c r="O280" s="606"/>
      <c r="P280" s="606"/>
      <c r="Q280" s="398"/>
      <c r="R280" s="398"/>
      <c r="S280" s="398"/>
      <c r="T280" s="398"/>
      <c r="U280" s="398"/>
      <c r="V280" s="738"/>
      <c r="W280" s="738"/>
      <c r="X280" s="738"/>
    </row>
    <row r="281" spans="1:24" ht="15.75" customHeight="1">
      <c r="A281" s="606"/>
      <c r="B281" s="398"/>
      <c r="C281" s="779"/>
      <c r="D281" s="779"/>
      <c r="E281" s="779"/>
      <c r="F281" s="779"/>
      <c r="G281" s="779"/>
      <c r="H281" s="779"/>
      <c r="I281" s="779"/>
      <c r="J281" s="779"/>
      <c r="K281" s="779"/>
      <c r="L281" s="779"/>
      <c r="M281" s="779"/>
      <c r="N281" s="779"/>
      <c r="O281" s="606"/>
      <c r="P281" s="606"/>
      <c r="Q281" s="398"/>
      <c r="R281" s="398"/>
      <c r="S281" s="398"/>
      <c r="T281" s="398"/>
      <c r="U281" s="398"/>
      <c r="V281" s="738"/>
      <c r="W281" s="738"/>
      <c r="X281" s="738"/>
    </row>
    <row r="282" spans="1:24" ht="15.75" customHeight="1">
      <c r="A282" s="398"/>
      <c r="B282" s="398"/>
      <c r="C282" s="779"/>
      <c r="D282" s="779"/>
      <c r="E282" s="779"/>
      <c r="F282" s="779"/>
      <c r="G282" s="779"/>
      <c r="H282" s="779"/>
      <c r="I282" s="779"/>
      <c r="J282" s="779"/>
      <c r="K282" s="779"/>
      <c r="L282" s="779"/>
      <c r="M282" s="779"/>
      <c r="N282" s="779"/>
      <c r="O282" s="606"/>
      <c r="P282" s="606"/>
      <c r="Q282" s="398"/>
      <c r="R282" s="398"/>
      <c r="S282" s="398"/>
      <c r="T282" s="398"/>
      <c r="U282" s="398"/>
      <c r="V282" s="738"/>
      <c r="W282" s="738"/>
      <c r="X282" s="738"/>
    </row>
    <row r="283" spans="1:24" ht="15.75" customHeight="1">
      <c r="A283" s="398"/>
      <c r="B283" s="398"/>
      <c r="C283" s="779"/>
      <c r="D283" s="779"/>
      <c r="E283" s="779"/>
      <c r="F283" s="779"/>
      <c r="G283" s="779"/>
      <c r="H283" s="779"/>
      <c r="I283" s="779"/>
      <c r="J283" s="779"/>
      <c r="K283" s="779"/>
      <c r="L283" s="779"/>
      <c r="M283" s="779"/>
      <c r="N283" s="779"/>
      <c r="O283" s="606"/>
      <c r="P283" s="606"/>
      <c r="Q283" s="398"/>
      <c r="R283" s="398"/>
      <c r="S283" s="398"/>
      <c r="T283" s="398"/>
      <c r="U283" s="398"/>
      <c r="V283" s="738"/>
      <c r="W283" s="738"/>
      <c r="X283" s="738"/>
    </row>
    <row r="284" spans="1:24" ht="15.75" customHeight="1">
      <c r="A284" s="398"/>
      <c r="B284" s="398"/>
      <c r="C284" s="779"/>
      <c r="D284" s="779"/>
      <c r="E284" s="779"/>
      <c r="F284" s="779"/>
      <c r="G284" s="779"/>
      <c r="H284" s="779"/>
      <c r="I284" s="779"/>
      <c r="J284" s="779"/>
      <c r="K284" s="779"/>
      <c r="L284" s="779"/>
      <c r="M284" s="779"/>
      <c r="N284" s="779"/>
      <c r="O284" s="606"/>
      <c r="P284" s="606"/>
      <c r="Q284" s="398"/>
      <c r="R284" s="398"/>
      <c r="S284" s="398"/>
      <c r="T284" s="398"/>
      <c r="U284" s="398"/>
      <c r="V284" s="738"/>
      <c r="W284" s="738"/>
      <c r="X284" s="738"/>
    </row>
    <row r="285" spans="1:24" ht="15.75" customHeight="1">
      <c r="A285" s="398"/>
      <c r="B285" s="398"/>
      <c r="C285" s="779"/>
      <c r="D285" s="779"/>
      <c r="E285" s="779"/>
      <c r="F285" s="779"/>
      <c r="G285" s="779"/>
      <c r="H285" s="779"/>
      <c r="I285" s="779"/>
      <c r="J285" s="779"/>
      <c r="K285" s="779"/>
      <c r="L285" s="779"/>
      <c r="M285" s="779"/>
      <c r="N285" s="779"/>
      <c r="O285" s="606"/>
      <c r="P285" s="606"/>
      <c r="Q285" s="398"/>
      <c r="R285" s="398"/>
      <c r="S285" s="398"/>
      <c r="T285" s="398"/>
      <c r="U285" s="398"/>
      <c r="V285" s="738"/>
      <c r="W285" s="738"/>
      <c r="X285" s="738"/>
    </row>
    <row r="286" spans="1:24" ht="15.75" customHeight="1">
      <c r="A286" s="398"/>
      <c r="B286" s="398"/>
      <c r="C286" s="779"/>
      <c r="D286" s="779"/>
      <c r="E286" s="779"/>
      <c r="F286" s="779"/>
      <c r="G286" s="779"/>
      <c r="H286" s="779"/>
      <c r="I286" s="779"/>
      <c r="J286" s="779"/>
      <c r="K286" s="779"/>
      <c r="L286" s="779"/>
      <c r="M286" s="779"/>
      <c r="N286" s="779"/>
      <c r="O286" s="606"/>
      <c r="P286" s="606"/>
      <c r="Q286" s="398"/>
      <c r="R286" s="398"/>
      <c r="S286" s="398"/>
      <c r="T286" s="398"/>
      <c r="U286" s="398"/>
      <c r="V286" s="738"/>
      <c r="W286" s="738"/>
      <c r="X286" s="738"/>
    </row>
    <row r="287" spans="1:24" ht="15.75" customHeight="1">
      <c r="A287" s="398"/>
      <c r="B287" s="398"/>
      <c r="C287" s="779"/>
      <c r="D287" s="779"/>
      <c r="E287" s="779"/>
      <c r="F287" s="779"/>
      <c r="G287" s="779"/>
      <c r="H287" s="779"/>
      <c r="I287" s="779"/>
      <c r="J287" s="779"/>
      <c r="K287" s="779"/>
      <c r="L287" s="779"/>
      <c r="M287" s="779"/>
      <c r="N287" s="779"/>
      <c r="O287" s="606"/>
      <c r="P287" s="606"/>
      <c r="Q287" s="398"/>
      <c r="R287" s="398"/>
      <c r="S287" s="398"/>
      <c r="T287" s="398"/>
      <c r="U287" s="398"/>
      <c r="V287" s="738"/>
      <c r="W287" s="738"/>
      <c r="X287" s="738"/>
    </row>
    <row r="288" spans="1:24" ht="15.75" customHeight="1">
      <c r="A288" s="398"/>
      <c r="B288" s="398"/>
      <c r="C288" s="779"/>
      <c r="D288" s="779"/>
      <c r="E288" s="779"/>
      <c r="F288" s="779"/>
      <c r="G288" s="779"/>
      <c r="H288" s="779"/>
      <c r="I288" s="779"/>
      <c r="J288" s="779"/>
      <c r="K288" s="779"/>
      <c r="L288" s="779"/>
      <c r="M288" s="779"/>
      <c r="N288" s="779"/>
      <c r="O288" s="606"/>
      <c r="P288" s="606"/>
      <c r="Q288" s="398"/>
      <c r="R288" s="398"/>
      <c r="S288" s="398"/>
      <c r="T288" s="398"/>
      <c r="U288" s="398"/>
      <c r="V288" s="738"/>
      <c r="W288" s="738"/>
      <c r="X288" s="738"/>
    </row>
    <row r="289" spans="1:24" ht="15.75" customHeight="1">
      <c r="A289" s="398"/>
      <c r="B289" s="398"/>
      <c r="C289" s="779"/>
      <c r="D289" s="779"/>
      <c r="E289" s="779"/>
      <c r="F289" s="779"/>
      <c r="G289" s="779"/>
      <c r="H289" s="779"/>
      <c r="I289" s="779"/>
      <c r="J289" s="779"/>
      <c r="K289" s="779"/>
      <c r="L289" s="779"/>
      <c r="M289" s="779"/>
      <c r="N289" s="779"/>
      <c r="O289" s="606"/>
      <c r="P289" s="606"/>
      <c r="Q289" s="398"/>
      <c r="R289" s="398"/>
      <c r="S289" s="398"/>
      <c r="T289" s="398"/>
      <c r="U289" s="398"/>
      <c r="V289" s="738"/>
      <c r="W289" s="738"/>
      <c r="X289" s="738"/>
    </row>
    <row r="290" spans="1:24" ht="15.75" customHeight="1">
      <c r="A290" s="398"/>
      <c r="B290" s="398"/>
      <c r="C290" s="779"/>
      <c r="D290" s="779"/>
      <c r="E290" s="779"/>
      <c r="F290" s="779"/>
      <c r="G290" s="779"/>
      <c r="H290" s="779"/>
      <c r="I290" s="779"/>
      <c r="J290" s="779"/>
      <c r="K290" s="779"/>
      <c r="L290" s="779"/>
      <c r="M290" s="779"/>
      <c r="N290" s="779"/>
      <c r="O290" s="606"/>
      <c r="P290" s="606"/>
      <c r="Q290" s="398"/>
      <c r="R290" s="398"/>
      <c r="S290" s="398"/>
      <c r="T290" s="398"/>
      <c r="U290" s="398"/>
      <c r="V290" s="738"/>
      <c r="W290" s="738"/>
      <c r="X290" s="738"/>
    </row>
    <row r="291" spans="1:24" ht="15.75" customHeight="1">
      <c r="A291" s="398"/>
      <c r="B291" s="398"/>
      <c r="C291" s="779"/>
      <c r="D291" s="779"/>
      <c r="E291" s="779"/>
      <c r="F291" s="779"/>
      <c r="G291" s="779"/>
      <c r="H291" s="779"/>
      <c r="I291" s="779"/>
      <c r="J291" s="779"/>
      <c r="K291" s="779"/>
      <c r="L291" s="779"/>
      <c r="M291" s="779"/>
      <c r="N291" s="779"/>
      <c r="O291" s="606"/>
      <c r="P291" s="606"/>
      <c r="Q291" s="398"/>
      <c r="R291" s="398"/>
      <c r="S291" s="398"/>
      <c r="T291" s="398"/>
      <c r="U291" s="398"/>
      <c r="V291" s="738"/>
      <c r="W291" s="738"/>
      <c r="X291" s="738"/>
    </row>
    <row r="292" spans="1:24" ht="15.75" customHeight="1">
      <c r="A292" s="398"/>
      <c r="B292" s="398"/>
      <c r="C292" s="779"/>
      <c r="D292" s="779"/>
      <c r="E292" s="779"/>
      <c r="F292" s="779"/>
      <c r="G292" s="779"/>
      <c r="H292" s="779"/>
      <c r="I292" s="779"/>
      <c r="J292" s="779"/>
      <c r="K292" s="779"/>
      <c r="L292" s="779"/>
      <c r="M292" s="779"/>
      <c r="N292" s="779"/>
      <c r="O292" s="606"/>
      <c r="P292" s="606"/>
      <c r="Q292" s="398"/>
      <c r="R292" s="398"/>
      <c r="S292" s="398"/>
      <c r="T292" s="398"/>
      <c r="U292" s="398"/>
      <c r="V292" s="738"/>
      <c r="W292" s="738"/>
      <c r="X292" s="738"/>
    </row>
    <row r="293" spans="1:24" ht="15.75" customHeight="1">
      <c r="A293" s="398"/>
      <c r="B293" s="398"/>
      <c r="C293" s="779"/>
      <c r="D293" s="779"/>
      <c r="E293" s="779"/>
      <c r="F293" s="779"/>
      <c r="G293" s="779"/>
      <c r="H293" s="779"/>
      <c r="I293" s="779"/>
      <c r="J293" s="779"/>
      <c r="K293" s="779"/>
      <c r="L293" s="779"/>
      <c r="M293" s="779"/>
      <c r="N293" s="779"/>
      <c r="O293" s="606"/>
      <c r="P293" s="606"/>
      <c r="Q293" s="398"/>
      <c r="R293" s="398"/>
      <c r="S293" s="398"/>
      <c r="T293" s="398"/>
      <c r="U293" s="398"/>
      <c r="V293" s="738"/>
      <c r="W293" s="738"/>
      <c r="X293" s="738"/>
    </row>
    <row r="294" spans="1:24" ht="15.75" customHeight="1">
      <c r="A294" s="398"/>
      <c r="B294" s="398"/>
      <c r="C294" s="779"/>
      <c r="D294" s="779"/>
      <c r="E294" s="779"/>
      <c r="F294" s="779"/>
      <c r="G294" s="779"/>
      <c r="H294" s="779"/>
      <c r="I294" s="779"/>
      <c r="J294" s="779"/>
      <c r="K294" s="779"/>
      <c r="L294" s="779"/>
      <c r="M294" s="779"/>
      <c r="N294" s="779"/>
      <c r="O294" s="606"/>
      <c r="P294" s="606"/>
      <c r="Q294" s="398"/>
      <c r="R294" s="398"/>
      <c r="S294" s="398"/>
      <c r="T294" s="398"/>
      <c r="U294" s="398"/>
      <c r="V294" s="738"/>
      <c r="W294" s="738"/>
      <c r="X294" s="738"/>
    </row>
    <row r="295" spans="1:24" ht="15.75" customHeight="1">
      <c r="A295" s="398"/>
      <c r="B295" s="398"/>
      <c r="C295" s="779"/>
      <c r="D295" s="779"/>
      <c r="E295" s="779"/>
      <c r="F295" s="779"/>
      <c r="G295" s="779"/>
      <c r="H295" s="779"/>
      <c r="I295" s="779"/>
      <c r="J295" s="779"/>
      <c r="K295" s="779"/>
      <c r="L295" s="779"/>
      <c r="M295" s="779"/>
      <c r="N295" s="779"/>
      <c r="O295" s="606"/>
      <c r="P295" s="606"/>
      <c r="Q295" s="398"/>
      <c r="R295" s="398"/>
      <c r="S295" s="398"/>
      <c r="T295" s="398"/>
      <c r="U295" s="398"/>
      <c r="V295" s="738"/>
      <c r="W295" s="738"/>
      <c r="X295" s="738"/>
    </row>
    <row r="296" spans="1:24" ht="15.75" customHeight="1">
      <c r="A296" s="398"/>
      <c r="B296" s="398"/>
      <c r="C296" s="779"/>
      <c r="D296" s="779"/>
      <c r="E296" s="779"/>
      <c r="F296" s="779"/>
      <c r="G296" s="779"/>
      <c r="H296" s="779"/>
      <c r="I296" s="779"/>
      <c r="J296" s="779"/>
      <c r="K296" s="779"/>
      <c r="L296" s="779"/>
      <c r="M296" s="779"/>
      <c r="N296" s="779"/>
      <c r="O296" s="606"/>
      <c r="P296" s="606"/>
      <c r="Q296" s="398"/>
      <c r="R296" s="398"/>
      <c r="S296" s="398"/>
      <c r="T296" s="398"/>
      <c r="U296" s="398"/>
      <c r="V296" s="738"/>
      <c r="W296" s="738"/>
      <c r="X296" s="738"/>
    </row>
    <row r="297" spans="1:24" ht="15.75" customHeight="1">
      <c r="A297" s="398"/>
      <c r="B297" s="398"/>
      <c r="C297" s="779"/>
      <c r="D297" s="779"/>
      <c r="E297" s="779"/>
      <c r="F297" s="779"/>
      <c r="G297" s="779"/>
      <c r="H297" s="779"/>
      <c r="I297" s="779"/>
      <c r="J297" s="779"/>
      <c r="K297" s="779"/>
      <c r="L297" s="779"/>
      <c r="M297" s="779"/>
      <c r="N297" s="779"/>
      <c r="O297" s="606"/>
      <c r="P297" s="606"/>
      <c r="Q297" s="398"/>
      <c r="R297" s="398"/>
      <c r="S297" s="398"/>
      <c r="T297" s="398"/>
      <c r="U297" s="398"/>
      <c r="V297" s="738"/>
      <c r="W297" s="738"/>
      <c r="X297" s="738"/>
    </row>
    <row r="298" spans="1:24" ht="15.75" customHeight="1">
      <c r="A298" s="398"/>
      <c r="B298" s="398"/>
      <c r="C298" s="779"/>
      <c r="D298" s="779"/>
      <c r="E298" s="779"/>
      <c r="F298" s="779"/>
      <c r="G298" s="779"/>
      <c r="H298" s="779"/>
      <c r="I298" s="779"/>
      <c r="J298" s="779"/>
      <c r="K298" s="779"/>
      <c r="L298" s="779"/>
      <c r="M298" s="779"/>
      <c r="N298" s="779"/>
      <c r="O298" s="606"/>
      <c r="P298" s="606"/>
      <c r="Q298" s="398"/>
      <c r="R298" s="398"/>
      <c r="S298" s="398"/>
      <c r="T298" s="398"/>
      <c r="U298" s="398"/>
      <c r="V298" s="738"/>
      <c r="W298" s="738"/>
      <c r="X298" s="738"/>
    </row>
    <row r="299" spans="1:24" ht="15.75" customHeight="1">
      <c r="A299" s="398"/>
      <c r="B299" s="398"/>
      <c r="C299" s="779"/>
      <c r="D299" s="779"/>
      <c r="E299" s="779"/>
      <c r="F299" s="779"/>
      <c r="G299" s="779"/>
      <c r="H299" s="779"/>
      <c r="I299" s="779"/>
      <c r="J299" s="779"/>
      <c r="K299" s="779"/>
      <c r="L299" s="779"/>
      <c r="M299" s="779"/>
      <c r="N299" s="779"/>
      <c r="O299" s="606"/>
      <c r="P299" s="606"/>
      <c r="Q299" s="398"/>
      <c r="R299" s="398"/>
      <c r="S299" s="398"/>
      <c r="T299" s="398"/>
      <c r="U299" s="398"/>
      <c r="V299" s="738"/>
      <c r="W299" s="738"/>
      <c r="X299" s="738"/>
    </row>
    <row r="300" spans="1:24" ht="15.75" customHeight="1">
      <c r="A300" s="398"/>
      <c r="B300" s="398"/>
      <c r="C300" s="779"/>
      <c r="D300" s="779"/>
      <c r="E300" s="779"/>
      <c r="F300" s="779"/>
      <c r="G300" s="779"/>
      <c r="H300" s="779"/>
      <c r="I300" s="779"/>
      <c r="J300" s="779"/>
      <c r="K300" s="779"/>
      <c r="L300" s="779"/>
      <c r="M300" s="779"/>
      <c r="N300" s="779"/>
      <c r="O300" s="606"/>
      <c r="P300" s="606"/>
      <c r="Q300" s="398"/>
      <c r="R300" s="398"/>
      <c r="S300" s="398"/>
      <c r="T300" s="398"/>
      <c r="U300" s="398"/>
      <c r="V300" s="738"/>
      <c r="W300" s="738"/>
      <c r="X300" s="738"/>
    </row>
    <row r="301" spans="1:24" ht="15.75" customHeight="1">
      <c r="A301" s="398"/>
      <c r="B301" s="398"/>
      <c r="C301" s="779"/>
      <c r="D301" s="779"/>
      <c r="E301" s="779"/>
      <c r="F301" s="779"/>
      <c r="G301" s="779"/>
      <c r="H301" s="779"/>
      <c r="I301" s="779"/>
      <c r="J301" s="779"/>
      <c r="K301" s="779"/>
      <c r="L301" s="779"/>
      <c r="M301" s="779"/>
      <c r="N301" s="779"/>
      <c r="O301" s="606"/>
      <c r="P301" s="606"/>
      <c r="Q301" s="398"/>
      <c r="R301" s="398"/>
      <c r="S301" s="398"/>
      <c r="T301" s="398"/>
      <c r="U301" s="398"/>
      <c r="V301" s="738"/>
      <c r="W301" s="738"/>
      <c r="X301" s="738"/>
    </row>
    <row r="302" spans="1:24" ht="15.75" customHeight="1">
      <c r="A302" s="398"/>
      <c r="B302" s="398"/>
      <c r="C302" s="779"/>
      <c r="D302" s="779"/>
      <c r="E302" s="779"/>
      <c r="F302" s="779"/>
      <c r="G302" s="779"/>
      <c r="H302" s="779"/>
      <c r="I302" s="779"/>
      <c r="J302" s="779"/>
      <c r="K302" s="779"/>
      <c r="L302" s="779"/>
      <c r="M302" s="779"/>
      <c r="N302" s="779"/>
      <c r="O302" s="606"/>
      <c r="P302" s="606"/>
      <c r="Q302" s="398"/>
      <c r="R302" s="398"/>
      <c r="S302" s="398"/>
      <c r="T302" s="398"/>
      <c r="U302" s="398"/>
      <c r="V302" s="738"/>
      <c r="W302" s="738"/>
      <c r="X302" s="738"/>
    </row>
    <row r="303" spans="1:24" ht="15.75" customHeight="1">
      <c r="A303" s="398"/>
      <c r="B303" s="398"/>
      <c r="C303" s="779"/>
      <c r="D303" s="779"/>
      <c r="E303" s="779"/>
      <c r="F303" s="779"/>
      <c r="G303" s="779"/>
      <c r="H303" s="779"/>
      <c r="I303" s="779"/>
      <c r="J303" s="779"/>
      <c r="K303" s="779"/>
      <c r="L303" s="779"/>
      <c r="M303" s="779"/>
      <c r="N303" s="779"/>
      <c r="O303" s="606"/>
      <c r="P303" s="606"/>
      <c r="Q303" s="398"/>
      <c r="R303" s="398"/>
      <c r="S303" s="398"/>
      <c r="T303" s="398"/>
      <c r="U303" s="398"/>
      <c r="V303" s="738"/>
      <c r="W303" s="738"/>
      <c r="X303" s="738"/>
    </row>
    <row r="304" spans="1:24" ht="15.75" customHeight="1">
      <c r="A304" s="398"/>
      <c r="B304" s="398"/>
      <c r="C304" s="779"/>
      <c r="D304" s="779"/>
      <c r="E304" s="779"/>
      <c r="F304" s="779"/>
      <c r="G304" s="779"/>
      <c r="H304" s="779"/>
      <c r="I304" s="779"/>
      <c r="J304" s="779"/>
      <c r="K304" s="779"/>
      <c r="L304" s="779"/>
      <c r="M304" s="779"/>
      <c r="N304" s="779"/>
      <c r="O304" s="606"/>
      <c r="P304" s="606"/>
      <c r="Q304" s="398"/>
      <c r="R304" s="398"/>
      <c r="S304" s="398"/>
      <c r="T304" s="398"/>
      <c r="U304" s="398"/>
      <c r="V304" s="738"/>
      <c r="W304" s="738"/>
      <c r="X304" s="738"/>
    </row>
    <row r="305" spans="1:24" ht="15.75" customHeight="1">
      <c r="A305" s="398"/>
      <c r="B305" s="398"/>
      <c r="C305" s="779"/>
      <c r="D305" s="779"/>
      <c r="E305" s="779"/>
      <c r="F305" s="779"/>
      <c r="G305" s="779"/>
      <c r="H305" s="779"/>
      <c r="I305" s="779"/>
      <c r="J305" s="779"/>
      <c r="K305" s="779"/>
      <c r="L305" s="779"/>
      <c r="M305" s="779"/>
      <c r="N305" s="779"/>
      <c r="O305" s="606"/>
      <c r="P305" s="606"/>
      <c r="Q305" s="398"/>
      <c r="R305" s="398"/>
      <c r="S305" s="398"/>
      <c r="T305" s="398"/>
      <c r="U305" s="398"/>
      <c r="V305" s="738"/>
      <c r="W305" s="738"/>
      <c r="X305" s="738"/>
    </row>
    <row r="306" spans="1:24" ht="15.75" customHeight="1">
      <c r="A306" s="398"/>
      <c r="B306" s="398"/>
      <c r="C306" s="779"/>
      <c r="D306" s="779"/>
      <c r="E306" s="779"/>
      <c r="F306" s="779"/>
      <c r="G306" s="779"/>
      <c r="H306" s="779"/>
      <c r="I306" s="779"/>
      <c r="J306" s="779"/>
      <c r="K306" s="779"/>
      <c r="L306" s="779"/>
      <c r="M306" s="779"/>
      <c r="N306" s="779"/>
      <c r="O306" s="606"/>
      <c r="P306" s="606"/>
      <c r="Q306" s="398"/>
      <c r="R306" s="398"/>
      <c r="S306" s="398"/>
      <c r="T306" s="398"/>
      <c r="U306" s="398"/>
      <c r="V306" s="738"/>
      <c r="W306" s="738"/>
      <c r="X306" s="738"/>
    </row>
    <row r="307" spans="1:24" ht="15.75" customHeight="1">
      <c r="A307" s="398"/>
      <c r="B307" s="398"/>
      <c r="C307" s="779"/>
      <c r="D307" s="779"/>
      <c r="E307" s="779"/>
      <c r="F307" s="779"/>
      <c r="G307" s="779"/>
      <c r="H307" s="779"/>
      <c r="I307" s="779"/>
      <c r="J307" s="779"/>
      <c r="K307" s="779"/>
      <c r="L307" s="779"/>
      <c r="M307" s="779"/>
      <c r="N307" s="779"/>
      <c r="O307" s="606"/>
      <c r="P307" s="606"/>
      <c r="Q307" s="398"/>
      <c r="R307" s="398"/>
      <c r="S307" s="398"/>
      <c r="T307" s="398"/>
      <c r="U307" s="398"/>
      <c r="V307" s="738"/>
      <c r="W307" s="738"/>
      <c r="X307" s="738"/>
    </row>
    <row r="308" spans="1:24" ht="15.75" customHeight="1">
      <c r="A308" s="398"/>
      <c r="B308" s="398"/>
      <c r="C308" s="779"/>
      <c r="D308" s="779"/>
      <c r="E308" s="779"/>
      <c r="F308" s="779"/>
      <c r="G308" s="779"/>
      <c r="H308" s="779"/>
      <c r="I308" s="779"/>
      <c r="J308" s="779"/>
      <c r="K308" s="779"/>
      <c r="L308" s="779"/>
      <c r="M308" s="779"/>
      <c r="N308" s="779"/>
      <c r="O308" s="606"/>
      <c r="P308" s="606"/>
      <c r="Q308" s="398"/>
      <c r="R308" s="398"/>
      <c r="S308" s="398"/>
      <c r="T308" s="398"/>
      <c r="U308" s="398"/>
      <c r="V308" s="738"/>
      <c r="W308" s="738"/>
      <c r="X308" s="738"/>
    </row>
    <row r="309" spans="1:24" ht="15.75" customHeight="1">
      <c r="A309" s="398"/>
      <c r="B309" s="398"/>
      <c r="C309" s="779"/>
      <c r="D309" s="779"/>
      <c r="E309" s="779"/>
      <c r="F309" s="779"/>
      <c r="G309" s="779"/>
      <c r="H309" s="779"/>
      <c r="I309" s="779"/>
      <c r="J309" s="779"/>
      <c r="K309" s="779"/>
      <c r="L309" s="779"/>
      <c r="M309" s="779"/>
      <c r="N309" s="779"/>
      <c r="O309" s="606"/>
      <c r="P309" s="606"/>
      <c r="Q309" s="398"/>
      <c r="R309" s="398"/>
      <c r="S309" s="398"/>
      <c r="T309" s="398"/>
      <c r="U309" s="398"/>
      <c r="V309" s="738"/>
      <c r="W309" s="738"/>
      <c r="X309" s="738"/>
    </row>
    <row r="310" spans="1:24" ht="15.75" customHeight="1">
      <c r="A310" s="398"/>
      <c r="B310" s="398"/>
      <c r="C310" s="779"/>
      <c r="D310" s="779"/>
      <c r="E310" s="779"/>
      <c r="F310" s="779"/>
      <c r="G310" s="779"/>
      <c r="H310" s="779"/>
      <c r="I310" s="779"/>
      <c r="J310" s="779"/>
      <c r="K310" s="779"/>
      <c r="L310" s="779"/>
      <c r="M310" s="779"/>
      <c r="N310" s="779"/>
      <c r="O310" s="606"/>
      <c r="P310" s="606"/>
      <c r="Q310" s="398"/>
      <c r="R310" s="398"/>
      <c r="S310" s="398"/>
      <c r="T310" s="398"/>
      <c r="U310" s="398"/>
      <c r="V310" s="738"/>
      <c r="W310" s="738"/>
      <c r="X310" s="738"/>
    </row>
    <row r="311" spans="1:24" ht="15.75" customHeight="1">
      <c r="A311" s="398"/>
      <c r="B311" s="398"/>
      <c r="C311" s="779"/>
      <c r="D311" s="779"/>
      <c r="E311" s="779"/>
      <c r="F311" s="779"/>
      <c r="G311" s="779"/>
      <c r="H311" s="779"/>
      <c r="I311" s="779"/>
      <c r="J311" s="779"/>
      <c r="K311" s="779"/>
      <c r="L311" s="779"/>
      <c r="M311" s="779"/>
      <c r="N311" s="779"/>
      <c r="O311" s="606"/>
      <c r="P311" s="606"/>
      <c r="Q311" s="398"/>
      <c r="R311" s="398"/>
      <c r="S311" s="398"/>
      <c r="T311" s="398"/>
      <c r="U311" s="398"/>
      <c r="V311" s="738"/>
      <c r="W311" s="738"/>
      <c r="X311" s="738"/>
    </row>
    <row r="312" spans="1:24" ht="15.75" customHeight="1">
      <c r="A312" s="398"/>
      <c r="B312" s="398"/>
      <c r="C312" s="779"/>
      <c r="D312" s="779"/>
      <c r="E312" s="779"/>
      <c r="F312" s="779"/>
      <c r="G312" s="779"/>
      <c r="H312" s="779"/>
      <c r="I312" s="779"/>
      <c r="J312" s="779"/>
      <c r="K312" s="779"/>
      <c r="L312" s="779"/>
      <c r="M312" s="779"/>
      <c r="N312" s="779"/>
      <c r="O312" s="606"/>
      <c r="P312" s="606"/>
      <c r="Q312" s="398"/>
      <c r="R312" s="398"/>
      <c r="S312" s="398"/>
      <c r="T312" s="398"/>
      <c r="U312" s="398"/>
      <c r="V312" s="738"/>
      <c r="W312" s="738"/>
      <c r="X312" s="738"/>
    </row>
    <row r="313" spans="1:24" ht="15.75" customHeight="1">
      <c r="A313" s="398"/>
      <c r="B313" s="398"/>
      <c r="C313" s="779"/>
      <c r="D313" s="779"/>
      <c r="E313" s="779"/>
      <c r="F313" s="779"/>
      <c r="G313" s="779"/>
      <c r="H313" s="779"/>
      <c r="I313" s="779"/>
      <c r="J313" s="779"/>
      <c r="K313" s="779"/>
      <c r="L313" s="779"/>
      <c r="M313" s="779"/>
      <c r="N313" s="779"/>
      <c r="O313" s="606"/>
      <c r="P313" s="606"/>
      <c r="Q313" s="398"/>
      <c r="R313" s="398"/>
      <c r="S313" s="398"/>
      <c r="T313" s="398"/>
      <c r="U313" s="398"/>
      <c r="V313" s="738"/>
      <c r="W313" s="738"/>
      <c r="X313" s="738"/>
    </row>
    <row r="314" spans="1:24" ht="15.75" customHeight="1">
      <c r="A314" s="398"/>
      <c r="B314" s="398"/>
      <c r="C314" s="779"/>
      <c r="D314" s="779"/>
      <c r="E314" s="779"/>
      <c r="F314" s="779"/>
      <c r="G314" s="779"/>
      <c r="H314" s="779"/>
      <c r="I314" s="779"/>
      <c r="J314" s="779"/>
      <c r="K314" s="779"/>
      <c r="L314" s="779"/>
      <c r="M314" s="779"/>
      <c r="N314" s="779"/>
      <c r="O314" s="606"/>
      <c r="P314" s="606"/>
      <c r="Q314" s="398"/>
      <c r="R314" s="398"/>
      <c r="S314" s="398"/>
      <c r="T314" s="398"/>
      <c r="U314" s="398"/>
      <c r="V314" s="738"/>
      <c r="W314" s="738"/>
      <c r="X314" s="738"/>
    </row>
    <row r="315" spans="1:24" ht="15.75" customHeight="1">
      <c r="A315" s="398"/>
      <c r="B315" s="398"/>
      <c r="C315" s="779"/>
      <c r="D315" s="779"/>
      <c r="E315" s="779"/>
      <c r="F315" s="779"/>
      <c r="G315" s="779"/>
      <c r="H315" s="779"/>
      <c r="I315" s="779"/>
      <c r="J315" s="779"/>
      <c r="K315" s="779"/>
      <c r="L315" s="779"/>
      <c r="M315" s="779"/>
      <c r="N315" s="779"/>
      <c r="O315" s="606"/>
      <c r="P315" s="606"/>
      <c r="Q315" s="398"/>
      <c r="R315" s="398"/>
      <c r="S315" s="398"/>
      <c r="T315" s="398"/>
      <c r="U315" s="398"/>
      <c r="V315" s="738"/>
      <c r="W315" s="738"/>
      <c r="X315" s="738"/>
    </row>
    <row r="316" spans="1:24" ht="15.75" customHeight="1">
      <c r="A316" s="398"/>
      <c r="B316" s="398"/>
      <c r="C316" s="779"/>
      <c r="D316" s="779"/>
      <c r="E316" s="779"/>
      <c r="F316" s="779"/>
      <c r="G316" s="779"/>
      <c r="H316" s="779"/>
      <c r="I316" s="779"/>
      <c r="J316" s="779"/>
      <c r="K316" s="779"/>
      <c r="L316" s="779"/>
      <c r="M316" s="779"/>
      <c r="N316" s="779"/>
      <c r="O316" s="606"/>
      <c r="P316" s="606"/>
      <c r="Q316" s="398"/>
      <c r="R316" s="398"/>
      <c r="S316" s="398"/>
      <c r="T316" s="398"/>
      <c r="U316" s="398"/>
      <c r="V316" s="738"/>
      <c r="W316" s="738"/>
      <c r="X316" s="738"/>
    </row>
    <row r="317" spans="1:24" ht="15.75" customHeight="1">
      <c r="A317" s="398"/>
      <c r="B317" s="398"/>
      <c r="C317" s="779"/>
      <c r="D317" s="779"/>
      <c r="E317" s="779"/>
      <c r="F317" s="779"/>
      <c r="G317" s="779"/>
      <c r="H317" s="779"/>
      <c r="I317" s="779"/>
      <c r="J317" s="779"/>
      <c r="K317" s="779"/>
      <c r="L317" s="779"/>
      <c r="M317" s="779"/>
      <c r="N317" s="779"/>
      <c r="O317" s="606"/>
      <c r="P317" s="606"/>
      <c r="Q317" s="398"/>
      <c r="R317" s="398"/>
      <c r="S317" s="398"/>
      <c r="T317" s="398"/>
      <c r="U317" s="398"/>
      <c r="V317" s="738"/>
      <c r="W317" s="738"/>
      <c r="X317" s="738"/>
    </row>
    <row r="318" spans="1:24" ht="15.75" customHeight="1">
      <c r="A318" s="398"/>
      <c r="B318" s="398"/>
      <c r="C318" s="779"/>
      <c r="D318" s="779"/>
      <c r="E318" s="779"/>
      <c r="F318" s="779"/>
      <c r="G318" s="779"/>
      <c r="H318" s="779"/>
      <c r="I318" s="779"/>
      <c r="J318" s="779"/>
      <c r="K318" s="779"/>
      <c r="L318" s="779"/>
      <c r="M318" s="779"/>
      <c r="N318" s="779"/>
      <c r="O318" s="606"/>
      <c r="P318" s="606"/>
      <c r="Q318" s="398"/>
      <c r="R318" s="398"/>
      <c r="S318" s="398"/>
      <c r="T318" s="398"/>
      <c r="U318" s="398"/>
      <c r="V318" s="738"/>
      <c r="W318" s="738"/>
      <c r="X318" s="738"/>
    </row>
    <row r="319" spans="1:24" ht="15.75" customHeight="1">
      <c r="A319" s="398"/>
      <c r="B319" s="398"/>
      <c r="C319" s="779"/>
      <c r="D319" s="779"/>
      <c r="E319" s="779"/>
      <c r="F319" s="779"/>
      <c r="G319" s="779"/>
      <c r="H319" s="779"/>
      <c r="I319" s="779"/>
      <c r="J319" s="779"/>
      <c r="K319" s="779"/>
      <c r="L319" s="779"/>
      <c r="M319" s="779"/>
      <c r="N319" s="779"/>
      <c r="O319" s="606"/>
      <c r="P319" s="606"/>
      <c r="Q319" s="398"/>
      <c r="R319" s="398"/>
      <c r="S319" s="398"/>
      <c r="T319" s="398"/>
      <c r="U319" s="398"/>
      <c r="V319" s="738"/>
      <c r="W319" s="738"/>
      <c r="X319" s="738"/>
    </row>
    <row r="320" spans="1:24" ht="15.75" customHeight="1">
      <c r="A320" s="398"/>
      <c r="B320" s="398"/>
      <c r="C320" s="779"/>
      <c r="D320" s="779"/>
      <c r="E320" s="779"/>
      <c r="F320" s="779"/>
      <c r="G320" s="779"/>
      <c r="H320" s="779"/>
      <c r="I320" s="779"/>
      <c r="J320" s="779"/>
      <c r="K320" s="779"/>
      <c r="L320" s="779"/>
      <c r="M320" s="779"/>
      <c r="N320" s="779"/>
      <c r="O320" s="606"/>
      <c r="P320" s="606"/>
      <c r="Q320" s="398"/>
      <c r="R320" s="398"/>
      <c r="S320" s="398"/>
      <c r="T320" s="398"/>
      <c r="U320" s="398"/>
      <c r="V320" s="738"/>
      <c r="W320" s="738"/>
      <c r="X320" s="738"/>
    </row>
    <row r="321" spans="1:24" ht="15.75" customHeight="1">
      <c r="A321" s="398"/>
      <c r="B321" s="398"/>
      <c r="C321" s="779"/>
      <c r="D321" s="779"/>
      <c r="E321" s="779"/>
      <c r="F321" s="779"/>
      <c r="G321" s="779"/>
      <c r="H321" s="779"/>
      <c r="I321" s="779"/>
      <c r="J321" s="779"/>
      <c r="K321" s="779"/>
      <c r="L321" s="779"/>
      <c r="M321" s="779"/>
      <c r="N321" s="779"/>
      <c r="O321" s="606"/>
      <c r="P321" s="606"/>
      <c r="Q321" s="398"/>
      <c r="R321" s="398"/>
      <c r="S321" s="398"/>
      <c r="T321" s="398"/>
      <c r="U321" s="398"/>
      <c r="V321" s="738"/>
      <c r="W321" s="738"/>
      <c r="X321" s="738"/>
    </row>
    <row r="322" spans="1:24" ht="15.75" customHeight="1">
      <c r="A322" s="398"/>
      <c r="B322" s="398"/>
      <c r="C322" s="779"/>
      <c r="D322" s="779"/>
      <c r="E322" s="779"/>
      <c r="F322" s="779"/>
      <c r="G322" s="779"/>
      <c r="H322" s="779"/>
      <c r="I322" s="779"/>
      <c r="J322" s="779"/>
      <c r="K322" s="779"/>
      <c r="L322" s="779"/>
      <c r="M322" s="779"/>
      <c r="N322" s="779"/>
      <c r="O322" s="606"/>
      <c r="P322" s="606"/>
      <c r="Q322" s="398"/>
      <c r="R322" s="398"/>
      <c r="S322" s="398"/>
      <c r="T322" s="398"/>
      <c r="U322" s="398"/>
      <c r="V322" s="738"/>
      <c r="W322" s="738"/>
      <c r="X322" s="738"/>
    </row>
    <row r="323" spans="1:24" ht="15.75" customHeight="1">
      <c r="A323" s="398"/>
      <c r="B323" s="398"/>
      <c r="C323" s="779"/>
      <c r="D323" s="779"/>
      <c r="E323" s="779"/>
      <c r="F323" s="779"/>
      <c r="G323" s="779"/>
      <c r="H323" s="779"/>
      <c r="I323" s="779"/>
      <c r="J323" s="779"/>
      <c r="K323" s="779"/>
      <c r="L323" s="779"/>
      <c r="M323" s="779"/>
      <c r="N323" s="779"/>
      <c r="O323" s="606"/>
      <c r="P323" s="606"/>
      <c r="Q323" s="398"/>
      <c r="R323" s="398"/>
      <c r="S323" s="398"/>
      <c r="T323" s="398"/>
      <c r="U323" s="398"/>
      <c r="V323" s="738"/>
      <c r="W323" s="738"/>
      <c r="X323" s="738"/>
    </row>
    <row r="324" spans="1:24" ht="15.75" customHeight="1">
      <c r="A324" s="398"/>
      <c r="B324" s="398"/>
      <c r="C324" s="779"/>
      <c r="D324" s="779"/>
      <c r="E324" s="779"/>
      <c r="F324" s="779"/>
      <c r="G324" s="779"/>
      <c r="H324" s="779"/>
      <c r="I324" s="779"/>
      <c r="J324" s="779"/>
      <c r="K324" s="779"/>
      <c r="L324" s="779"/>
      <c r="M324" s="779"/>
      <c r="N324" s="779"/>
      <c r="O324" s="606"/>
      <c r="P324" s="606"/>
      <c r="Q324" s="398"/>
      <c r="R324" s="398"/>
      <c r="S324" s="398"/>
      <c r="T324" s="398"/>
      <c r="U324" s="398"/>
      <c r="V324" s="738"/>
      <c r="W324" s="738"/>
      <c r="X324" s="738"/>
    </row>
    <row r="325" spans="1:24" ht="15.75" customHeight="1">
      <c r="A325" s="398"/>
      <c r="B325" s="398"/>
      <c r="C325" s="779"/>
      <c r="D325" s="779"/>
      <c r="E325" s="779"/>
      <c r="F325" s="779"/>
      <c r="G325" s="779"/>
      <c r="H325" s="779"/>
      <c r="I325" s="779"/>
      <c r="J325" s="779"/>
      <c r="K325" s="779"/>
      <c r="L325" s="779"/>
      <c r="M325" s="779"/>
      <c r="N325" s="779"/>
      <c r="O325" s="606"/>
      <c r="P325" s="606"/>
      <c r="Q325" s="398"/>
      <c r="R325" s="398"/>
      <c r="S325" s="398"/>
      <c r="T325" s="398"/>
      <c r="U325" s="398"/>
      <c r="V325" s="738"/>
      <c r="W325" s="738"/>
      <c r="X325" s="738"/>
    </row>
    <row r="326" spans="1:24" ht="15.75" customHeight="1">
      <c r="A326" s="398"/>
      <c r="B326" s="398"/>
      <c r="C326" s="779"/>
      <c r="D326" s="779"/>
      <c r="E326" s="779"/>
      <c r="F326" s="779"/>
      <c r="G326" s="779"/>
      <c r="H326" s="779"/>
      <c r="I326" s="779"/>
      <c r="J326" s="779"/>
      <c r="K326" s="779"/>
      <c r="L326" s="779"/>
      <c r="M326" s="779"/>
      <c r="N326" s="779"/>
      <c r="O326" s="606"/>
      <c r="P326" s="606"/>
      <c r="Q326" s="398"/>
      <c r="R326" s="398"/>
      <c r="S326" s="398"/>
      <c r="T326" s="398"/>
      <c r="U326" s="398"/>
      <c r="V326" s="738"/>
      <c r="W326" s="738"/>
      <c r="X326" s="738"/>
    </row>
    <row r="327" spans="1:24" ht="15.75" customHeight="1">
      <c r="A327" s="398"/>
      <c r="B327" s="398"/>
      <c r="C327" s="779"/>
      <c r="D327" s="779"/>
      <c r="E327" s="779"/>
      <c r="F327" s="779"/>
      <c r="G327" s="779"/>
      <c r="H327" s="779"/>
      <c r="I327" s="779"/>
      <c r="J327" s="779"/>
      <c r="K327" s="779"/>
      <c r="L327" s="779"/>
      <c r="M327" s="779"/>
      <c r="N327" s="779"/>
      <c r="O327" s="606"/>
      <c r="P327" s="606"/>
      <c r="Q327" s="398"/>
      <c r="R327" s="398"/>
      <c r="S327" s="398"/>
      <c r="T327" s="398"/>
      <c r="U327" s="398"/>
      <c r="V327" s="738"/>
      <c r="W327" s="738"/>
      <c r="X327" s="738"/>
    </row>
    <row r="328" spans="1:24" ht="15.75" customHeight="1">
      <c r="A328" s="398"/>
      <c r="B328" s="398"/>
      <c r="C328" s="779"/>
      <c r="D328" s="779"/>
      <c r="E328" s="779"/>
      <c r="F328" s="779"/>
      <c r="G328" s="779"/>
      <c r="H328" s="779"/>
      <c r="I328" s="779"/>
      <c r="J328" s="779"/>
      <c r="K328" s="779"/>
      <c r="L328" s="779"/>
      <c r="M328" s="779"/>
      <c r="N328" s="779"/>
      <c r="O328" s="606"/>
      <c r="P328" s="606"/>
      <c r="Q328" s="398"/>
      <c r="R328" s="398"/>
      <c r="S328" s="398"/>
      <c r="T328" s="398"/>
      <c r="U328" s="398"/>
      <c r="V328" s="738"/>
      <c r="W328" s="738"/>
      <c r="X328" s="738"/>
    </row>
    <row r="329" spans="1:24" ht="15.75" customHeight="1">
      <c r="A329" s="398"/>
      <c r="B329" s="398"/>
      <c r="C329" s="779"/>
      <c r="D329" s="779"/>
      <c r="E329" s="779"/>
      <c r="F329" s="779"/>
      <c r="G329" s="779"/>
      <c r="H329" s="779"/>
      <c r="I329" s="779"/>
      <c r="J329" s="779"/>
      <c r="K329" s="779"/>
      <c r="L329" s="779"/>
      <c r="M329" s="779"/>
      <c r="N329" s="779"/>
      <c r="O329" s="606"/>
      <c r="P329" s="606"/>
      <c r="Q329" s="398"/>
      <c r="R329" s="398"/>
      <c r="S329" s="398"/>
      <c r="T329" s="398"/>
      <c r="U329" s="398"/>
      <c r="V329" s="738"/>
      <c r="W329" s="738"/>
      <c r="X329" s="738"/>
    </row>
    <row r="330" spans="1:24" ht="15.75" customHeight="1">
      <c r="A330" s="398"/>
      <c r="B330" s="398"/>
      <c r="C330" s="779"/>
      <c r="D330" s="779"/>
      <c r="E330" s="779"/>
      <c r="F330" s="779"/>
      <c r="G330" s="779"/>
      <c r="H330" s="779"/>
      <c r="I330" s="779"/>
      <c r="J330" s="779"/>
      <c r="K330" s="779"/>
      <c r="L330" s="779"/>
      <c r="M330" s="779"/>
      <c r="N330" s="779"/>
      <c r="O330" s="606"/>
      <c r="P330" s="606"/>
      <c r="Q330" s="398"/>
      <c r="R330" s="398"/>
      <c r="S330" s="398"/>
      <c r="T330" s="398"/>
      <c r="U330" s="398"/>
      <c r="V330" s="738"/>
      <c r="W330" s="738"/>
      <c r="X330" s="738"/>
    </row>
    <row r="331" spans="1:24" ht="15.75" customHeight="1">
      <c r="A331" s="398"/>
      <c r="B331" s="398"/>
      <c r="C331" s="779"/>
      <c r="D331" s="779"/>
      <c r="E331" s="779"/>
      <c r="F331" s="779"/>
      <c r="G331" s="779"/>
      <c r="H331" s="779"/>
      <c r="I331" s="779"/>
      <c r="J331" s="779"/>
      <c r="K331" s="779"/>
      <c r="L331" s="779"/>
      <c r="M331" s="779"/>
      <c r="N331" s="779"/>
      <c r="O331" s="606"/>
      <c r="P331" s="606"/>
      <c r="Q331" s="398"/>
      <c r="R331" s="398"/>
      <c r="S331" s="398"/>
      <c r="T331" s="398"/>
      <c r="U331" s="398"/>
      <c r="V331" s="738"/>
      <c r="W331" s="738"/>
      <c r="X331" s="738"/>
    </row>
    <row r="332" spans="1:24" ht="15.75" customHeight="1">
      <c r="A332" s="398"/>
      <c r="B332" s="398"/>
      <c r="C332" s="779"/>
      <c r="D332" s="779"/>
      <c r="E332" s="779"/>
      <c r="F332" s="779"/>
      <c r="G332" s="779"/>
      <c r="H332" s="779"/>
      <c r="I332" s="779"/>
      <c r="J332" s="779"/>
      <c r="K332" s="779"/>
      <c r="L332" s="779"/>
      <c r="M332" s="779"/>
      <c r="N332" s="779"/>
      <c r="O332" s="606"/>
      <c r="P332" s="606"/>
      <c r="Q332" s="398"/>
      <c r="R332" s="398"/>
      <c r="S332" s="398"/>
      <c r="T332" s="398"/>
      <c r="U332" s="398"/>
      <c r="V332" s="738"/>
      <c r="W332" s="738"/>
      <c r="X332" s="738"/>
    </row>
    <row r="333" spans="1:24" ht="15.75" customHeight="1">
      <c r="A333" s="398"/>
      <c r="B333" s="398"/>
      <c r="C333" s="779"/>
      <c r="D333" s="779"/>
      <c r="E333" s="779"/>
      <c r="F333" s="779"/>
      <c r="G333" s="779"/>
      <c r="H333" s="779"/>
      <c r="I333" s="779"/>
      <c r="J333" s="779"/>
      <c r="K333" s="779"/>
      <c r="L333" s="779"/>
      <c r="M333" s="779"/>
      <c r="N333" s="779"/>
      <c r="O333" s="606"/>
      <c r="P333" s="606"/>
      <c r="Q333" s="398"/>
      <c r="R333" s="398"/>
      <c r="S333" s="398"/>
      <c r="T333" s="398"/>
      <c r="U333" s="398"/>
      <c r="V333" s="738"/>
      <c r="W333" s="738"/>
      <c r="X333" s="738"/>
    </row>
    <row r="334" spans="1:24" ht="15.75" customHeight="1">
      <c r="A334" s="398"/>
      <c r="B334" s="398"/>
      <c r="C334" s="779"/>
      <c r="D334" s="779"/>
      <c r="E334" s="779"/>
      <c r="F334" s="779"/>
      <c r="G334" s="779"/>
      <c r="H334" s="779"/>
      <c r="I334" s="779"/>
      <c r="J334" s="779"/>
      <c r="K334" s="779"/>
      <c r="L334" s="779"/>
      <c r="M334" s="779"/>
      <c r="N334" s="779"/>
      <c r="O334" s="606"/>
      <c r="P334" s="606"/>
      <c r="Q334" s="398"/>
      <c r="R334" s="398"/>
      <c r="S334" s="398"/>
      <c r="T334" s="398"/>
      <c r="U334" s="398"/>
      <c r="V334" s="738"/>
      <c r="W334" s="738"/>
      <c r="X334" s="738"/>
    </row>
    <row r="335" spans="1:24" ht="15.75" customHeight="1">
      <c r="A335" s="398"/>
      <c r="B335" s="398"/>
      <c r="C335" s="779"/>
      <c r="D335" s="779"/>
      <c r="E335" s="779"/>
      <c r="F335" s="779"/>
      <c r="G335" s="779"/>
      <c r="H335" s="779"/>
      <c r="I335" s="779"/>
      <c r="J335" s="779"/>
      <c r="K335" s="779"/>
      <c r="L335" s="779"/>
      <c r="M335" s="779"/>
      <c r="N335" s="779"/>
      <c r="O335" s="606"/>
      <c r="P335" s="606"/>
      <c r="Q335" s="398"/>
      <c r="R335" s="398"/>
      <c r="S335" s="398"/>
      <c r="T335" s="398"/>
      <c r="U335" s="398"/>
      <c r="V335" s="738"/>
      <c r="W335" s="738"/>
      <c r="X335" s="738"/>
    </row>
    <row r="336" spans="1:24" ht="15.75" customHeight="1">
      <c r="A336" s="398"/>
      <c r="B336" s="398"/>
      <c r="C336" s="779"/>
      <c r="D336" s="779"/>
      <c r="E336" s="779"/>
      <c r="F336" s="779"/>
      <c r="G336" s="779"/>
      <c r="H336" s="779"/>
      <c r="I336" s="779"/>
      <c r="J336" s="779"/>
      <c r="K336" s="779"/>
      <c r="L336" s="779"/>
      <c r="M336" s="779"/>
      <c r="N336" s="779"/>
      <c r="O336" s="606"/>
      <c r="P336" s="606"/>
      <c r="Q336" s="398"/>
      <c r="R336" s="398"/>
      <c r="S336" s="398"/>
      <c r="T336" s="398"/>
      <c r="U336" s="398"/>
      <c r="V336" s="738"/>
      <c r="W336" s="738"/>
      <c r="X336" s="738"/>
    </row>
    <row r="337" spans="1:24" ht="15.75" customHeight="1">
      <c r="A337" s="398"/>
      <c r="B337" s="398"/>
      <c r="C337" s="779"/>
      <c r="D337" s="779"/>
      <c r="E337" s="779"/>
      <c r="F337" s="779"/>
      <c r="G337" s="779"/>
      <c r="H337" s="779"/>
      <c r="I337" s="779"/>
      <c r="J337" s="779"/>
      <c r="K337" s="779"/>
      <c r="L337" s="779"/>
      <c r="M337" s="779"/>
      <c r="N337" s="779"/>
      <c r="O337" s="606"/>
      <c r="P337" s="606"/>
      <c r="Q337" s="398"/>
      <c r="R337" s="398"/>
      <c r="S337" s="398"/>
      <c r="T337" s="398"/>
      <c r="U337" s="398"/>
      <c r="V337" s="738"/>
      <c r="W337" s="738"/>
      <c r="X337" s="738"/>
    </row>
    <row r="338" spans="1:24" ht="15.75" customHeight="1">
      <c r="A338" s="398"/>
      <c r="B338" s="398"/>
      <c r="C338" s="779"/>
      <c r="D338" s="779"/>
      <c r="E338" s="779"/>
      <c r="F338" s="779"/>
      <c r="G338" s="779"/>
      <c r="H338" s="779"/>
      <c r="I338" s="779"/>
      <c r="J338" s="779"/>
      <c r="K338" s="779"/>
      <c r="L338" s="779"/>
      <c r="M338" s="779"/>
      <c r="N338" s="779"/>
      <c r="O338" s="606"/>
      <c r="P338" s="606"/>
      <c r="Q338" s="398"/>
      <c r="R338" s="398"/>
      <c r="S338" s="398"/>
      <c r="T338" s="398"/>
      <c r="U338" s="398"/>
      <c r="V338" s="738"/>
      <c r="W338" s="738"/>
      <c r="X338" s="738"/>
    </row>
    <row r="339" spans="1:24" ht="15.75" customHeight="1">
      <c r="A339" s="398"/>
      <c r="B339" s="398"/>
      <c r="C339" s="779"/>
      <c r="D339" s="779"/>
      <c r="E339" s="779"/>
      <c r="F339" s="779"/>
      <c r="G339" s="779"/>
      <c r="H339" s="779"/>
      <c r="I339" s="779"/>
      <c r="J339" s="779"/>
      <c r="K339" s="779"/>
      <c r="L339" s="779"/>
      <c r="M339" s="779"/>
      <c r="N339" s="779"/>
      <c r="O339" s="606"/>
      <c r="P339" s="606"/>
      <c r="Q339" s="398"/>
      <c r="R339" s="398"/>
      <c r="S339" s="398"/>
      <c r="T339" s="398"/>
      <c r="U339" s="398"/>
      <c r="V339" s="738"/>
      <c r="W339" s="738"/>
      <c r="X339" s="738"/>
    </row>
    <row r="340" spans="1:24" ht="15.75" customHeight="1">
      <c r="A340" s="398"/>
      <c r="B340" s="398"/>
      <c r="C340" s="779"/>
      <c r="D340" s="779"/>
      <c r="E340" s="779"/>
      <c r="F340" s="779"/>
      <c r="G340" s="779"/>
      <c r="H340" s="779"/>
      <c r="I340" s="779"/>
      <c r="J340" s="779"/>
      <c r="K340" s="779"/>
      <c r="L340" s="779"/>
      <c r="M340" s="779"/>
      <c r="N340" s="779"/>
      <c r="O340" s="606"/>
      <c r="P340" s="606"/>
      <c r="Q340" s="398"/>
      <c r="R340" s="398"/>
      <c r="S340" s="398"/>
      <c r="T340" s="398"/>
      <c r="U340" s="398"/>
      <c r="V340" s="738"/>
      <c r="W340" s="738"/>
      <c r="X340" s="738"/>
    </row>
    <row r="341" spans="1:24" ht="15.75" customHeight="1">
      <c r="A341" s="398"/>
      <c r="B341" s="398"/>
      <c r="C341" s="779"/>
      <c r="D341" s="779"/>
      <c r="E341" s="779"/>
      <c r="F341" s="779"/>
      <c r="G341" s="779"/>
      <c r="H341" s="779"/>
      <c r="I341" s="779"/>
      <c r="J341" s="779"/>
      <c r="K341" s="779"/>
      <c r="L341" s="779"/>
      <c r="M341" s="779"/>
      <c r="N341" s="779"/>
      <c r="O341" s="606"/>
      <c r="P341" s="606"/>
      <c r="Q341" s="398"/>
      <c r="R341" s="398"/>
      <c r="S341" s="398"/>
      <c r="T341" s="398"/>
      <c r="U341" s="398"/>
      <c r="V341" s="738"/>
      <c r="W341" s="738"/>
      <c r="X341" s="738"/>
    </row>
    <row r="342" spans="1:24" ht="15.75" customHeight="1">
      <c r="A342" s="398"/>
      <c r="B342" s="398"/>
      <c r="C342" s="779"/>
      <c r="D342" s="779"/>
      <c r="E342" s="779"/>
      <c r="F342" s="779"/>
      <c r="G342" s="779"/>
      <c r="H342" s="779"/>
      <c r="I342" s="779"/>
      <c r="J342" s="779"/>
      <c r="K342" s="779"/>
      <c r="L342" s="779"/>
      <c r="M342" s="779"/>
      <c r="N342" s="779"/>
      <c r="O342" s="606"/>
      <c r="P342" s="606"/>
      <c r="Q342" s="398"/>
      <c r="R342" s="398"/>
      <c r="S342" s="398"/>
      <c r="T342" s="398"/>
      <c r="U342" s="398"/>
      <c r="V342" s="738"/>
      <c r="W342" s="738"/>
      <c r="X342" s="738"/>
    </row>
    <row r="343" spans="1:24" ht="15.75" customHeight="1">
      <c r="A343" s="398"/>
      <c r="B343" s="398"/>
      <c r="C343" s="779"/>
      <c r="D343" s="779"/>
      <c r="E343" s="779"/>
      <c r="F343" s="779"/>
      <c r="G343" s="779"/>
      <c r="H343" s="779"/>
      <c r="I343" s="779"/>
      <c r="J343" s="779"/>
      <c r="K343" s="779"/>
      <c r="L343" s="779"/>
      <c r="M343" s="779"/>
      <c r="N343" s="779"/>
      <c r="O343" s="606"/>
      <c r="P343" s="606"/>
      <c r="Q343" s="398"/>
      <c r="R343" s="398"/>
      <c r="S343" s="398"/>
      <c r="T343" s="398"/>
      <c r="U343" s="398"/>
      <c r="V343" s="738"/>
      <c r="W343" s="738"/>
      <c r="X343" s="738"/>
    </row>
    <row r="344" spans="1:24" ht="15.75" customHeight="1">
      <c r="A344" s="398"/>
      <c r="B344" s="398"/>
      <c r="C344" s="779"/>
      <c r="D344" s="779"/>
      <c r="E344" s="779"/>
      <c r="F344" s="779"/>
      <c r="G344" s="779"/>
      <c r="H344" s="779"/>
      <c r="I344" s="779"/>
      <c r="J344" s="779"/>
      <c r="K344" s="779"/>
      <c r="L344" s="779"/>
      <c r="M344" s="779"/>
      <c r="N344" s="779"/>
      <c r="O344" s="606"/>
      <c r="P344" s="606"/>
      <c r="Q344" s="398"/>
      <c r="R344" s="398"/>
      <c r="S344" s="398"/>
      <c r="T344" s="398"/>
      <c r="U344" s="398"/>
      <c r="V344" s="738"/>
      <c r="W344" s="738"/>
      <c r="X344" s="738"/>
    </row>
    <row r="345" spans="1:24" ht="15.75" customHeight="1">
      <c r="A345" s="398"/>
      <c r="B345" s="398"/>
      <c r="C345" s="779"/>
      <c r="D345" s="779"/>
      <c r="E345" s="779"/>
      <c r="F345" s="779"/>
      <c r="G345" s="779"/>
      <c r="H345" s="779"/>
      <c r="I345" s="779"/>
      <c r="J345" s="779"/>
      <c r="K345" s="779"/>
      <c r="L345" s="779"/>
      <c r="M345" s="779"/>
      <c r="N345" s="779"/>
      <c r="O345" s="606"/>
      <c r="P345" s="606"/>
      <c r="Q345" s="398"/>
      <c r="R345" s="398"/>
      <c r="S345" s="398"/>
      <c r="T345" s="398"/>
      <c r="U345" s="398"/>
      <c r="V345" s="738"/>
      <c r="W345" s="738"/>
      <c r="X345" s="738"/>
    </row>
    <row r="346" spans="1:24" ht="15.75" customHeight="1">
      <c r="A346" s="398"/>
      <c r="B346" s="398"/>
      <c r="C346" s="779"/>
      <c r="D346" s="779"/>
      <c r="E346" s="779"/>
      <c r="F346" s="779"/>
      <c r="G346" s="779"/>
      <c r="H346" s="779"/>
      <c r="I346" s="779"/>
      <c r="J346" s="779"/>
      <c r="K346" s="779"/>
      <c r="L346" s="779"/>
      <c r="M346" s="779"/>
      <c r="N346" s="779"/>
      <c r="O346" s="606"/>
      <c r="P346" s="606"/>
      <c r="Q346" s="398"/>
      <c r="R346" s="398"/>
      <c r="S346" s="398"/>
      <c r="T346" s="398"/>
      <c r="U346" s="398"/>
      <c r="V346" s="738"/>
      <c r="W346" s="738"/>
      <c r="X346" s="738"/>
    </row>
    <row r="347" spans="1:24" ht="15.75" customHeight="1">
      <c r="A347" s="398"/>
      <c r="B347" s="398"/>
      <c r="C347" s="779"/>
      <c r="D347" s="779"/>
      <c r="E347" s="779"/>
      <c r="F347" s="779"/>
      <c r="G347" s="779"/>
      <c r="H347" s="779"/>
      <c r="I347" s="779"/>
      <c r="J347" s="779"/>
      <c r="K347" s="779"/>
      <c r="L347" s="779"/>
      <c r="M347" s="779"/>
      <c r="N347" s="779"/>
      <c r="O347" s="606"/>
      <c r="P347" s="606"/>
      <c r="Q347" s="398"/>
      <c r="R347" s="398"/>
      <c r="S347" s="398"/>
      <c r="T347" s="398"/>
      <c r="U347" s="398"/>
      <c r="V347" s="738"/>
      <c r="W347" s="738"/>
      <c r="X347" s="738"/>
    </row>
    <row r="348" spans="1:24" ht="15.75" customHeight="1">
      <c r="A348" s="398"/>
      <c r="B348" s="398"/>
      <c r="C348" s="779"/>
      <c r="D348" s="779"/>
      <c r="E348" s="779"/>
      <c r="F348" s="779"/>
      <c r="G348" s="779"/>
      <c r="H348" s="779"/>
      <c r="I348" s="779"/>
      <c r="J348" s="779"/>
      <c r="K348" s="779"/>
      <c r="L348" s="779"/>
      <c r="M348" s="779"/>
      <c r="N348" s="779"/>
      <c r="O348" s="606"/>
      <c r="P348" s="606"/>
      <c r="Q348" s="398"/>
      <c r="R348" s="398"/>
      <c r="S348" s="398"/>
      <c r="T348" s="398"/>
      <c r="U348" s="398"/>
      <c r="V348" s="738"/>
      <c r="W348" s="738"/>
      <c r="X348" s="738"/>
    </row>
    <row r="349" spans="1:24" ht="15.75" customHeight="1">
      <c r="A349" s="398"/>
      <c r="B349" s="398"/>
      <c r="C349" s="779"/>
      <c r="D349" s="779"/>
      <c r="E349" s="779"/>
      <c r="F349" s="779"/>
      <c r="G349" s="779"/>
      <c r="H349" s="779"/>
      <c r="I349" s="779"/>
      <c r="J349" s="779"/>
      <c r="K349" s="779"/>
      <c r="L349" s="779"/>
      <c r="M349" s="779"/>
      <c r="N349" s="779"/>
      <c r="O349" s="606"/>
      <c r="P349" s="606"/>
      <c r="Q349" s="398"/>
      <c r="R349" s="398"/>
      <c r="S349" s="398"/>
      <c r="T349" s="398"/>
      <c r="U349" s="398"/>
      <c r="V349" s="738"/>
      <c r="W349" s="738"/>
      <c r="X349" s="738"/>
    </row>
    <row r="350" spans="1:24" ht="15.75" customHeight="1">
      <c r="A350" s="398"/>
      <c r="B350" s="398"/>
      <c r="C350" s="779"/>
      <c r="D350" s="779"/>
      <c r="E350" s="779"/>
      <c r="F350" s="779"/>
      <c r="G350" s="779"/>
      <c r="H350" s="779"/>
      <c r="I350" s="779"/>
      <c r="J350" s="779"/>
      <c r="K350" s="779"/>
      <c r="L350" s="779"/>
      <c r="M350" s="779"/>
      <c r="N350" s="779"/>
      <c r="O350" s="606"/>
      <c r="P350" s="606"/>
      <c r="Q350" s="398"/>
      <c r="R350" s="398"/>
      <c r="S350" s="398"/>
      <c r="T350" s="398"/>
      <c r="U350" s="398"/>
      <c r="V350" s="738"/>
      <c r="W350" s="738"/>
      <c r="X350" s="738"/>
    </row>
    <row r="351" spans="1:24" ht="15.75" customHeight="1">
      <c r="A351" s="398"/>
      <c r="B351" s="398"/>
      <c r="C351" s="779"/>
      <c r="D351" s="779"/>
      <c r="E351" s="779"/>
      <c r="F351" s="779"/>
      <c r="G351" s="779"/>
      <c r="H351" s="779"/>
      <c r="I351" s="779"/>
      <c r="J351" s="779"/>
      <c r="K351" s="779"/>
      <c r="L351" s="779"/>
      <c r="M351" s="779"/>
      <c r="N351" s="779"/>
      <c r="O351" s="606"/>
      <c r="P351" s="606"/>
      <c r="Q351" s="398"/>
      <c r="R351" s="398"/>
      <c r="S351" s="398"/>
      <c r="T351" s="398"/>
      <c r="U351" s="398"/>
      <c r="V351" s="738"/>
      <c r="W351" s="738"/>
      <c r="X351" s="738"/>
    </row>
    <row r="352" spans="1:24" ht="15.75" customHeight="1">
      <c r="A352" s="398"/>
      <c r="B352" s="398"/>
      <c r="C352" s="779"/>
      <c r="D352" s="779"/>
      <c r="E352" s="779"/>
      <c r="F352" s="779"/>
      <c r="G352" s="779"/>
      <c r="H352" s="779"/>
      <c r="I352" s="779"/>
      <c r="J352" s="779"/>
      <c r="K352" s="779"/>
      <c r="L352" s="779"/>
      <c r="M352" s="779"/>
      <c r="N352" s="779"/>
      <c r="O352" s="606"/>
      <c r="P352" s="606"/>
      <c r="Q352" s="398"/>
      <c r="R352" s="398"/>
      <c r="S352" s="398"/>
      <c r="T352" s="398"/>
      <c r="U352" s="398"/>
      <c r="V352" s="738"/>
      <c r="W352" s="738"/>
      <c r="X352" s="738"/>
    </row>
    <row r="353" spans="1:24" ht="15.75" customHeight="1">
      <c r="A353" s="398"/>
      <c r="B353" s="398"/>
      <c r="C353" s="779"/>
      <c r="D353" s="779"/>
      <c r="E353" s="779"/>
      <c r="F353" s="779"/>
      <c r="G353" s="779"/>
      <c r="H353" s="779"/>
      <c r="I353" s="779"/>
      <c r="J353" s="779"/>
      <c r="K353" s="779"/>
      <c r="L353" s="779"/>
      <c r="M353" s="779"/>
      <c r="N353" s="779"/>
      <c r="O353" s="606"/>
      <c r="P353" s="606"/>
      <c r="Q353" s="398"/>
      <c r="R353" s="398"/>
      <c r="S353" s="398"/>
      <c r="T353" s="398"/>
      <c r="U353" s="398"/>
      <c r="V353" s="738"/>
      <c r="W353" s="738"/>
      <c r="X353" s="738"/>
    </row>
    <row r="354" spans="1:24" ht="15.75" customHeight="1">
      <c r="A354" s="398"/>
      <c r="B354" s="398"/>
      <c r="C354" s="779"/>
      <c r="D354" s="779"/>
      <c r="E354" s="779"/>
      <c r="F354" s="779"/>
      <c r="G354" s="779"/>
      <c r="H354" s="779"/>
      <c r="I354" s="779"/>
      <c r="J354" s="779"/>
      <c r="K354" s="779"/>
      <c r="L354" s="779"/>
      <c r="M354" s="779"/>
      <c r="N354" s="779"/>
      <c r="O354" s="606"/>
      <c r="P354" s="606"/>
      <c r="Q354" s="398"/>
      <c r="R354" s="398"/>
      <c r="S354" s="398"/>
      <c r="T354" s="398"/>
      <c r="U354" s="398"/>
      <c r="V354" s="738"/>
      <c r="W354" s="738"/>
      <c r="X354" s="738"/>
    </row>
    <row r="355" spans="1:24" ht="15.75" customHeight="1">
      <c r="A355" s="398"/>
      <c r="B355" s="398"/>
      <c r="C355" s="779"/>
      <c r="D355" s="779"/>
      <c r="E355" s="779"/>
      <c r="F355" s="779"/>
      <c r="G355" s="779"/>
      <c r="H355" s="779"/>
      <c r="I355" s="779"/>
      <c r="J355" s="779"/>
      <c r="K355" s="779"/>
      <c r="L355" s="779"/>
      <c r="M355" s="779"/>
      <c r="N355" s="779"/>
      <c r="O355" s="398"/>
      <c r="P355" s="398"/>
      <c r="Q355" s="398"/>
      <c r="R355" s="398"/>
      <c r="S355" s="398"/>
      <c r="T355" s="398"/>
      <c r="U355" s="398"/>
      <c r="V355" s="738"/>
      <c r="W355" s="738"/>
      <c r="X355" s="738"/>
    </row>
    <row r="356" spans="1:24" ht="15.75" customHeight="1">
      <c r="A356" s="398"/>
      <c r="B356" s="398"/>
      <c r="C356" s="779"/>
      <c r="D356" s="779"/>
      <c r="E356" s="779"/>
      <c r="F356" s="779"/>
      <c r="G356" s="779"/>
      <c r="H356" s="779"/>
      <c r="I356" s="779"/>
      <c r="J356" s="779"/>
      <c r="K356" s="779"/>
      <c r="L356" s="779"/>
      <c r="M356" s="779"/>
      <c r="N356" s="779"/>
      <c r="O356" s="398"/>
      <c r="P356" s="398"/>
      <c r="Q356" s="398"/>
      <c r="R356" s="398"/>
      <c r="S356" s="398"/>
      <c r="T356" s="398"/>
      <c r="U356" s="398"/>
      <c r="V356" s="738"/>
      <c r="W356" s="738"/>
      <c r="X356" s="738"/>
    </row>
    <row r="357" spans="1:24" ht="15.75" customHeight="1">
      <c r="A357" s="398"/>
      <c r="B357" s="398"/>
      <c r="C357" s="779"/>
      <c r="D357" s="779"/>
      <c r="E357" s="779"/>
      <c r="F357" s="779"/>
      <c r="G357" s="779"/>
      <c r="H357" s="779"/>
      <c r="I357" s="779"/>
      <c r="J357" s="779"/>
      <c r="K357" s="779"/>
      <c r="L357" s="779"/>
      <c r="M357" s="779"/>
      <c r="N357" s="779"/>
      <c r="O357" s="398"/>
      <c r="P357" s="398"/>
      <c r="Q357" s="398"/>
      <c r="R357" s="398"/>
      <c r="S357" s="398"/>
      <c r="T357" s="398"/>
      <c r="U357" s="398"/>
      <c r="V357" s="738"/>
      <c r="W357" s="738"/>
      <c r="X357" s="738"/>
    </row>
    <row r="358" spans="1:24" ht="15.75" customHeight="1">
      <c r="A358" s="398"/>
      <c r="B358" s="398"/>
      <c r="C358" s="779"/>
      <c r="D358" s="779"/>
      <c r="E358" s="779"/>
      <c r="F358" s="779"/>
      <c r="G358" s="779"/>
      <c r="H358" s="779"/>
      <c r="I358" s="779"/>
      <c r="J358" s="779"/>
      <c r="K358" s="779"/>
      <c r="L358" s="779"/>
      <c r="M358" s="779"/>
      <c r="N358" s="779"/>
      <c r="O358" s="398"/>
      <c r="P358" s="398"/>
      <c r="Q358" s="398"/>
      <c r="R358" s="398"/>
      <c r="S358" s="398"/>
      <c r="T358" s="398"/>
      <c r="U358" s="398"/>
      <c r="V358" s="738"/>
      <c r="W358" s="738"/>
      <c r="X358" s="738"/>
    </row>
    <row r="359" spans="1:24" ht="15.75" customHeight="1">
      <c r="A359" s="398"/>
      <c r="B359" s="398"/>
      <c r="C359" s="779"/>
      <c r="D359" s="779"/>
      <c r="E359" s="779"/>
      <c r="F359" s="779"/>
      <c r="G359" s="779"/>
      <c r="H359" s="779"/>
      <c r="I359" s="779"/>
      <c r="J359" s="779"/>
      <c r="K359" s="779"/>
      <c r="L359" s="779"/>
      <c r="M359" s="779"/>
      <c r="N359" s="779"/>
      <c r="O359" s="398"/>
      <c r="P359" s="398"/>
      <c r="Q359" s="398"/>
      <c r="R359" s="398"/>
      <c r="S359" s="398"/>
      <c r="T359" s="398"/>
      <c r="U359" s="398"/>
      <c r="V359" s="738"/>
      <c r="W359" s="738"/>
      <c r="X359" s="738"/>
    </row>
    <row r="360" spans="1:24" ht="15.75" customHeight="1">
      <c r="A360" s="398"/>
      <c r="B360" s="398"/>
      <c r="C360" s="779"/>
      <c r="D360" s="779"/>
      <c r="E360" s="779"/>
      <c r="F360" s="779"/>
      <c r="G360" s="779"/>
      <c r="H360" s="779"/>
      <c r="I360" s="779"/>
      <c r="J360" s="779"/>
      <c r="K360" s="779"/>
      <c r="L360" s="779"/>
      <c r="M360" s="779"/>
      <c r="N360" s="779"/>
      <c r="O360" s="398"/>
      <c r="P360" s="398"/>
      <c r="Q360" s="398"/>
      <c r="R360" s="398"/>
      <c r="S360" s="398"/>
      <c r="T360" s="398"/>
      <c r="U360" s="398"/>
      <c r="V360" s="738"/>
      <c r="W360" s="738"/>
      <c r="X360" s="738"/>
    </row>
    <row r="361" spans="1:24" ht="15.75" customHeight="1">
      <c r="A361" s="398"/>
      <c r="B361" s="398"/>
      <c r="C361" s="779"/>
      <c r="D361" s="779"/>
      <c r="E361" s="779"/>
      <c r="F361" s="779"/>
      <c r="G361" s="779"/>
      <c r="H361" s="779"/>
      <c r="I361" s="779"/>
      <c r="J361" s="779"/>
      <c r="K361" s="779"/>
      <c r="L361" s="779"/>
      <c r="M361" s="779"/>
      <c r="N361" s="779"/>
      <c r="O361" s="398"/>
      <c r="P361" s="398"/>
      <c r="Q361" s="398"/>
      <c r="R361" s="398"/>
      <c r="S361" s="398"/>
      <c r="T361" s="398"/>
      <c r="U361" s="398"/>
      <c r="V361" s="738"/>
      <c r="W361" s="738"/>
      <c r="X361" s="738"/>
    </row>
    <row r="362" spans="1:24" ht="15.75" customHeight="1">
      <c r="A362" s="398"/>
      <c r="B362" s="398"/>
      <c r="C362" s="779"/>
      <c r="D362" s="779"/>
      <c r="E362" s="779"/>
      <c r="F362" s="779"/>
      <c r="G362" s="779"/>
      <c r="H362" s="779"/>
      <c r="I362" s="779"/>
      <c r="J362" s="779"/>
      <c r="K362" s="779"/>
      <c r="L362" s="779"/>
      <c r="M362" s="779"/>
      <c r="N362" s="779"/>
      <c r="O362" s="398"/>
      <c r="P362" s="398"/>
      <c r="Q362" s="398"/>
      <c r="R362" s="398"/>
      <c r="S362" s="398"/>
      <c r="T362" s="398"/>
      <c r="U362" s="398"/>
      <c r="V362" s="738"/>
      <c r="W362" s="738"/>
      <c r="X362" s="738"/>
    </row>
    <row r="363" spans="1:24" ht="15.75" customHeight="1">
      <c r="A363" s="398"/>
      <c r="B363" s="398"/>
      <c r="C363" s="779"/>
      <c r="D363" s="779"/>
      <c r="E363" s="779"/>
      <c r="F363" s="779"/>
      <c r="G363" s="779"/>
      <c r="H363" s="779"/>
      <c r="I363" s="779"/>
      <c r="J363" s="779"/>
      <c r="K363" s="779"/>
      <c r="L363" s="779"/>
      <c r="M363" s="779"/>
      <c r="N363" s="779"/>
      <c r="O363" s="398"/>
      <c r="P363" s="398"/>
      <c r="Q363" s="398"/>
      <c r="R363" s="398"/>
      <c r="S363" s="398"/>
      <c r="T363" s="398"/>
      <c r="U363" s="398"/>
      <c r="V363" s="738"/>
      <c r="W363" s="738"/>
      <c r="X363" s="738"/>
    </row>
    <row r="364" spans="1:24" ht="15.75" customHeight="1">
      <c r="A364" s="398"/>
      <c r="B364" s="398"/>
      <c r="C364" s="779"/>
      <c r="D364" s="779"/>
      <c r="E364" s="779"/>
      <c r="F364" s="779"/>
      <c r="G364" s="779"/>
      <c r="H364" s="779"/>
      <c r="I364" s="779"/>
      <c r="J364" s="779"/>
      <c r="K364" s="779"/>
      <c r="L364" s="779"/>
      <c r="M364" s="779"/>
      <c r="N364" s="779"/>
      <c r="O364" s="398"/>
      <c r="P364" s="398"/>
      <c r="Q364" s="398"/>
      <c r="R364" s="398"/>
      <c r="S364" s="398"/>
      <c r="T364" s="398"/>
      <c r="U364" s="398"/>
      <c r="V364" s="738"/>
      <c r="W364" s="738"/>
      <c r="X364" s="738"/>
    </row>
    <row r="365" spans="1:24" ht="15.75" customHeight="1">
      <c r="A365" s="398"/>
      <c r="B365" s="398"/>
      <c r="C365" s="779"/>
      <c r="D365" s="779"/>
      <c r="E365" s="779"/>
      <c r="F365" s="779"/>
      <c r="G365" s="779"/>
      <c r="H365" s="779"/>
      <c r="I365" s="779"/>
      <c r="J365" s="779"/>
      <c r="K365" s="779"/>
      <c r="L365" s="779"/>
      <c r="M365" s="779"/>
      <c r="N365" s="779"/>
      <c r="O365" s="398"/>
      <c r="P365" s="398"/>
      <c r="Q365" s="398"/>
      <c r="R365" s="398"/>
      <c r="S365" s="398"/>
      <c r="T365" s="398"/>
      <c r="U365" s="398"/>
      <c r="V365" s="738"/>
      <c r="W365" s="738"/>
      <c r="X365" s="738"/>
    </row>
    <row r="366" spans="1:24" ht="15.75" customHeight="1">
      <c r="A366" s="398"/>
      <c r="B366" s="398"/>
      <c r="C366" s="779"/>
      <c r="D366" s="779"/>
      <c r="E366" s="779"/>
      <c r="F366" s="779"/>
      <c r="G366" s="779"/>
      <c r="H366" s="779"/>
      <c r="I366" s="779"/>
      <c r="J366" s="779"/>
      <c r="K366" s="779"/>
      <c r="L366" s="779"/>
      <c r="M366" s="779"/>
      <c r="N366" s="779"/>
      <c r="O366" s="398"/>
      <c r="P366" s="398"/>
      <c r="Q366" s="398"/>
      <c r="R366" s="398"/>
      <c r="S366" s="398"/>
      <c r="T366" s="398"/>
      <c r="U366" s="398"/>
      <c r="V366" s="738"/>
      <c r="W366" s="738"/>
      <c r="X366" s="738"/>
    </row>
    <row r="367" spans="1:24" ht="15.75" customHeight="1">
      <c r="A367" s="398"/>
      <c r="B367" s="398"/>
      <c r="C367" s="779"/>
      <c r="D367" s="779"/>
      <c r="E367" s="779"/>
      <c r="F367" s="779"/>
      <c r="G367" s="779"/>
      <c r="H367" s="779"/>
      <c r="I367" s="779"/>
      <c r="J367" s="779"/>
      <c r="K367" s="779"/>
      <c r="L367" s="779"/>
      <c r="M367" s="779"/>
      <c r="N367" s="779"/>
      <c r="O367" s="398"/>
      <c r="P367" s="398"/>
      <c r="Q367" s="398"/>
      <c r="R367" s="398"/>
      <c r="S367" s="398"/>
      <c r="T367" s="398"/>
      <c r="U367" s="398"/>
      <c r="V367" s="738"/>
      <c r="W367" s="738"/>
      <c r="X367" s="738"/>
    </row>
    <row r="368" spans="1:24" ht="15.75" customHeight="1">
      <c r="A368" s="398"/>
      <c r="B368" s="398"/>
      <c r="C368" s="779"/>
      <c r="D368" s="779"/>
      <c r="E368" s="779"/>
      <c r="F368" s="779"/>
      <c r="G368" s="779"/>
      <c r="H368" s="779"/>
      <c r="I368" s="779"/>
      <c r="J368" s="779"/>
      <c r="K368" s="779"/>
      <c r="L368" s="779"/>
      <c r="M368" s="779"/>
      <c r="N368" s="779"/>
      <c r="O368" s="398"/>
      <c r="P368" s="398"/>
      <c r="Q368" s="398"/>
      <c r="R368" s="398"/>
      <c r="S368" s="398"/>
      <c r="T368" s="398"/>
      <c r="U368" s="398"/>
      <c r="V368" s="738"/>
      <c r="W368" s="738"/>
      <c r="X368" s="738"/>
    </row>
    <row r="369" spans="1:24" ht="15.75" customHeight="1">
      <c r="A369" s="398"/>
      <c r="B369" s="398"/>
      <c r="C369" s="779"/>
      <c r="D369" s="779"/>
      <c r="E369" s="779"/>
      <c r="F369" s="779"/>
      <c r="G369" s="779"/>
      <c r="H369" s="779"/>
      <c r="I369" s="779"/>
      <c r="J369" s="779"/>
      <c r="K369" s="779"/>
      <c r="L369" s="779"/>
      <c r="M369" s="779"/>
      <c r="N369" s="779"/>
      <c r="O369" s="398"/>
      <c r="P369" s="398"/>
      <c r="Q369" s="398"/>
      <c r="R369" s="398"/>
      <c r="S369" s="398"/>
      <c r="T369" s="398"/>
      <c r="U369" s="398"/>
      <c r="V369" s="738"/>
      <c r="W369" s="738"/>
      <c r="X369" s="738"/>
    </row>
    <row r="370" spans="1:24" ht="15.75" customHeight="1">
      <c r="A370" s="398"/>
      <c r="B370" s="398"/>
      <c r="C370" s="779"/>
      <c r="D370" s="779"/>
      <c r="E370" s="779"/>
      <c r="F370" s="779"/>
      <c r="G370" s="779"/>
      <c r="H370" s="779"/>
      <c r="I370" s="779"/>
      <c r="J370" s="779"/>
      <c r="K370" s="779"/>
      <c r="L370" s="779"/>
      <c r="M370" s="779"/>
      <c r="N370" s="779"/>
      <c r="O370" s="398"/>
      <c r="P370" s="398"/>
      <c r="Q370" s="398"/>
      <c r="R370" s="398"/>
      <c r="S370" s="398"/>
      <c r="T370" s="398"/>
      <c r="U370" s="398"/>
      <c r="V370" s="738"/>
      <c r="W370" s="738"/>
      <c r="X370" s="738"/>
    </row>
    <row r="371" spans="1:24" ht="15.75" customHeight="1">
      <c r="A371" s="398"/>
      <c r="B371" s="398"/>
      <c r="C371" s="779"/>
      <c r="D371" s="779"/>
      <c r="E371" s="779"/>
      <c r="F371" s="779"/>
      <c r="G371" s="779"/>
      <c r="H371" s="779"/>
      <c r="I371" s="779"/>
      <c r="J371" s="779"/>
      <c r="K371" s="779"/>
      <c r="L371" s="779"/>
      <c r="M371" s="779"/>
      <c r="N371" s="779"/>
      <c r="O371" s="398"/>
      <c r="P371" s="398"/>
      <c r="Q371" s="398"/>
      <c r="R371" s="398"/>
      <c r="S371" s="398"/>
      <c r="T371" s="398"/>
      <c r="U371" s="398"/>
      <c r="V371" s="738"/>
      <c r="W371" s="738"/>
      <c r="X371" s="738"/>
    </row>
    <row r="372" spans="1:24" ht="15.75" customHeight="1">
      <c r="A372" s="398"/>
      <c r="B372" s="398"/>
      <c r="C372" s="779"/>
      <c r="D372" s="779"/>
      <c r="E372" s="779"/>
      <c r="F372" s="779"/>
      <c r="G372" s="779"/>
      <c r="H372" s="779"/>
      <c r="I372" s="779"/>
      <c r="J372" s="779"/>
      <c r="K372" s="779"/>
      <c r="L372" s="779"/>
      <c r="M372" s="779"/>
      <c r="N372" s="779"/>
      <c r="O372" s="398"/>
      <c r="P372" s="398"/>
      <c r="Q372" s="398"/>
      <c r="R372" s="398"/>
      <c r="S372" s="398"/>
      <c r="T372" s="398"/>
      <c r="U372" s="398"/>
      <c r="V372" s="738"/>
      <c r="W372" s="738"/>
      <c r="X372" s="738"/>
    </row>
    <row r="373" spans="1:24" ht="15.75" customHeight="1">
      <c r="A373" s="398"/>
      <c r="B373" s="398"/>
      <c r="C373" s="779"/>
      <c r="D373" s="779"/>
      <c r="E373" s="779"/>
      <c r="F373" s="779"/>
      <c r="G373" s="779"/>
      <c r="H373" s="779"/>
      <c r="I373" s="779"/>
      <c r="J373" s="779"/>
      <c r="K373" s="779"/>
      <c r="L373" s="779"/>
      <c r="M373" s="779"/>
      <c r="N373" s="779"/>
      <c r="O373" s="398"/>
      <c r="P373" s="398"/>
      <c r="Q373" s="398"/>
      <c r="R373" s="398"/>
      <c r="S373" s="398"/>
      <c r="T373" s="398"/>
      <c r="U373" s="398"/>
      <c r="V373" s="738"/>
      <c r="W373" s="738"/>
      <c r="X373" s="738"/>
    </row>
    <row r="374" spans="1:24" ht="15.75" customHeight="1">
      <c r="A374" s="398"/>
      <c r="B374" s="398"/>
      <c r="C374" s="779"/>
      <c r="D374" s="779"/>
      <c r="E374" s="779"/>
      <c r="F374" s="779"/>
      <c r="G374" s="779"/>
      <c r="H374" s="779"/>
      <c r="I374" s="779"/>
      <c r="J374" s="779"/>
      <c r="K374" s="779"/>
      <c r="L374" s="779"/>
      <c r="M374" s="779"/>
      <c r="N374" s="779"/>
      <c r="O374" s="398"/>
      <c r="P374" s="398"/>
      <c r="Q374" s="398"/>
      <c r="R374" s="398"/>
      <c r="S374" s="398"/>
      <c r="T374" s="398"/>
      <c r="U374" s="398"/>
      <c r="V374" s="738"/>
      <c r="W374" s="738"/>
      <c r="X374" s="738"/>
    </row>
    <row r="375" spans="1:24" ht="15.75" customHeight="1">
      <c r="A375" s="398"/>
      <c r="B375" s="398"/>
      <c r="C375" s="779"/>
      <c r="D375" s="779"/>
      <c r="E375" s="779"/>
      <c r="F375" s="779"/>
      <c r="G375" s="779"/>
      <c r="H375" s="779"/>
      <c r="I375" s="779"/>
      <c r="J375" s="779"/>
      <c r="K375" s="779"/>
      <c r="L375" s="779"/>
      <c r="M375" s="779"/>
      <c r="N375" s="779"/>
      <c r="O375" s="398"/>
      <c r="P375" s="398"/>
      <c r="Q375" s="398"/>
      <c r="R375" s="398"/>
      <c r="S375" s="398"/>
      <c r="T375" s="398"/>
      <c r="U375" s="398"/>
      <c r="V375" s="738"/>
      <c r="W375" s="738"/>
      <c r="X375" s="738"/>
    </row>
    <row r="376" spans="1:24" ht="15.75" customHeight="1">
      <c r="A376" s="398"/>
      <c r="B376" s="398"/>
      <c r="C376" s="779"/>
      <c r="D376" s="779"/>
      <c r="E376" s="779"/>
      <c r="F376" s="779"/>
      <c r="G376" s="779"/>
      <c r="H376" s="779"/>
      <c r="I376" s="779"/>
      <c r="J376" s="779"/>
      <c r="K376" s="779"/>
      <c r="L376" s="779"/>
      <c r="M376" s="779"/>
      <c r="N376" s="779"/>
      <c r="O376" s="398"/>
      <c r="P376" s="398"/>
      <c r="Q376" s="398"/>
      <c r="R376" s="398"/>
      <c r="S376" s="398"/>
      <c r="T376" s="398"/>
      <c r="U376" s="398"/>
      <c r="V376" s="738"/>
      <c r="W376" s="738"/>
      <c r="X376" s="738"/>
    </row>
    <row r="377" spans="1:24" ht="15.75" customHeight="1">
      <c r="A377" s="398"/>
      <c r="B377" s="398"/>
      <c r="C377" s="779"/>
      <c r="D377" s="779"/>
      <c r="E377" s="779"/>
      <c r="F377" s="779"/>
      <c r="G377" s="779"/>
      <c r="H377" s="779"/>
      <c r="I377" s="779"/>
      <c r="J377" s="779"/>
      <c r="K377" s="779"/>
      <c r="L377" s="779"/>
      <c r="M377" s="779"/>
      <c r="N377" s="779"/>
      <c r="O377" s="398"/>
      <c r="P377" s="398"/>
      <c r="Q377" s="398"/>
      <c r="R377" s="398"/>
      <c r="S377" s="398"/>
      <c r="T377" s="398"/>
      <c r="U377" s="398"/>
      <c r="V377" s="738"/>
      <c r="W377" s="738"/>
      <c r="X377" s="738"/>
    </row>
    <row r="378" spans="1:24" ht="15.75" customHeight="1">
      <c r="A378" s="398"/>
      <c r="B378" s="398"/>
      <c r="C378" s="779"/>
      <c r="D378" s="779"/>
      <c r="E378" s="779"/>
      <c r="F378" s="779"/>
      <c r="G378" s="779"/>
      <c r="H378" s="779"/>
      <c r="I378" s="779"/>
      <c r="J378" s="779"/>
      <c r="K378" s="779"/>
      <c r="L378" s="779"/>
      <c r="M378" s="779"/>
      <c r="N378" s="779"/>
      <c r="O378" s="398"/>
      <c r="P378" s="398"/>
      <c r="Q378" s="398"/>
      <c r="R378" s="398"/>
      <c r="S378" s="398"/>
      <c r="T378" s="398"/>
      <c r="U378" s="398"/>
      <c r="V378" s="738"/>
      <c r="W378" s="738"/>
      <c r="X378" s="738"/>
    </row>
    <row r="379" spans="1:24" ht="15.75" customHeight="1">
      <c r="A379" s="398"/>
      <c r="B379" s="398"/>
      <c r="C379" s="779"/>
      <c r="D379" s="779"/>
      <c r="E379" s="779"/>
      <c r="F379" s="779"/>
      <c r="G379" s="779"/>
      <c r="H379" s="779"/>
      <c r="I379" s="779"/>
      <c r="J379" s="779"/>
      <c r="K379" s="779"/>
      <c r="L379" s="779"/>
      <c r="M379" s="779"/>
      <c r="N379" s="779"/>
      <c r="O379" s="398"/>
      <c r="P379" s="398"/>
      <c r="Q379" s="398"/>
      <c r="R379" s="398"/>
      <c r="S379" s="398"/>
      <c r="T379" s="398"/>
      <c r="U379" s="398"/>
      <c r="V379" s="738"/>
      <c r="W379" s="738"/>
      <c r="X379" s="738"/>
    </row>
    <row r="380" spans="1:24" ht="15.75" customHeight="1">
      <c r="A380" s="398"/>
      <c r="B380" s="398"/>
      <c r="C380" s="779"/>
      <c r="D380" s="779"/>
      <c r="E380" s="779"/>
      <c r="F380" s="779"/>
      <c r="G380" s="779"/>
      <c r="H380" s="779"/>
      <c r="I380" s="779"/>
      <c r="J380" s="779"/>
      <c r="K380" s="779"/>
      <c r="L380" s="779"/>
      <c r="M380" s="779"/>
      <c r="N380" s="779"/>
      <c r="O380" s="398"/>
      <c r="P380" s="398"/>
      <c r="Q380" s="398"/>
      <c r="R380" s="398"/>
      <c r="S380" s="398"/>
      <c r="T380" s="398"/>
      <c r="U380" s="398"/>
      <c r="V380" s="738"/>
      <c r="W380" s="738"/>
      <c r="X380" s="738"/>
    </row>
    <row r="381" spans="1:24" ht="15.75" customHeight="1">
      <c r="A381" s="398"/>
      <c r="B381" s="398"/>
      <c r="C381" s="779"/>
      <c r="D381" s="779"/>
      <c r="E381" s="779"/>
      <c r="F381" s="779"/>
      <c r="G381" s="779"/>
      <c r="H381" s="779"/>
      <c r="I381" s="779"/>
      <c r="J381" s="779"/>
      <c r="K381" s="779"/>
      <c r="L381" s="779"/>
      <c r="M381" s="779"/>
      <c r="N381" s="779"/>
      <c r="O381" s="398"/>
      <c r="P381" s="398"/>
      <c r="Q381" s="398"/>
      <c r="R381" s="398"/>
      <c r="S381" s="398"/>
      <c r="T381" s="398"/>
      <c r="U381" s="398"/>
      <c r="V381" s="738"/>
      <c r="W381" s="738"/>
      <c r="X381" s="738"/>
    </row>
    <row r="382" spans="1:24" ht="15.75" customHeight="1">
      <c r="A382" s="398"/>
      <c r="B382" s="398"/>
      <c r="C382" s="779"/>
      <c r="D382" s="779"/>
      <c r="E382" s="779"/>
      <c r="F382" s="779"/>
      <c r="G382" s="779"/>
      <c r="H382" s="779"/>
      <c r="I382" s="779"/>
      <c r="J382" s="779"/>
      <c r="K382" s="779"/>
      <c r="L382" s="779"/>
      <c r="M382" s="779"/>
      <c r="N382" s="779"/>
      <c r="O382" s="398"/>
      <c r="P382" s="398"/>
      <c r="Q382" s="398"/>
      <c r="R382" s="398"/>
      <c r="S382" s="398"/>
      <c r="T382" s="398"/>
      <c r="U382" s="398"/>
      <c r="V382" s="738"/>
      <c r="W382" s="738"/>
      <c r="X382" s="738"/>
    </row>
    <row r="383" spans="1:24" ht="15.75" customHeight="1">
      <c r="A383" s="398"/>
      <c r="B383" s="398"/>
      <c r="C383" s="779"/>
      <c r="D383" s="779"/>
      <c r="E383" s="779"/>
      <c r="F383" s="779"/>
      <c r="G383" s="779"/>
      <c r="H383" s="779"/>
      <c r="I383" s="779"/>
      <c r="J383" s="779"/>
      <c r="K383" s="779"/>
      <c r="L383" s="779"/>
      <c r="M383" s="779"/>
      <c r="N383" s="779"/>
      <c r="O383" s="398"/>
      <c r="P383" s="398"/>
      <c r="Q383" s="398"/>
      <c r="R383" s="398"/>
      <c r="S383" s="398"/>
      <c r="T383" s="398"/>
      <c r="U383" s="398"/>
      <c r="V383" s="738"/>
      <c r="W383" s="738"/>
      <c r="X383" s="738"/>
    </row>
    <row r="384" spans="1:24" ht="15.75" customHeight="1">
      <c r="A384" s="398"/>
      <c r="B384" s="398"/>
      <c r="C384" s="779"/>
      <c r="D384" s="779"/>
      <c r="E384" s="779"/>
      <c r="F384" s="779"/>
      <c r="G384" s="779"/>
      <c r="H384" s="779"/>
      <c r="I384" s="779"/>
      <c r="J384" s="779"/>
      <c r="K384" s="779"/>
      <c r="L384" s="779"/>
      <c r="M384" s="779"/>
      <c r="N384" s="779"/>
      <c r="O384" s="398"/>
      <c r="P384" s="398"/>
      <c r="Q384" s="398"/>
      <c r="R384" s="398"/>
      <c r="S384" s="398"/>
      <c r="T384" s="398"/>
      <c r="U384" s="398"/>
      <c r="V384" s="738"/>
      <c r="W384" s="738"/>
      <c r="X384" s="738"/>
    </row>
    <row r="385" spans="1:24" ht="15.75" customHeight="1">
      <c r="A385" s="398"/>
      <c r="B385" s="398"/>
      <c r="C385" s="779"/>
      <c r="D385" s="779"/>
      <c r="E385" s="779"/>
      <c r="F385" s="779"/>
      <c r="G385" s="779"/>
      <c r="H385" s="779"/>
      <c r="I385" s="779"/>
      <c r="J385" s="779"/>
      <c r="K385" s="779"/>
      <c r="L385" s="779"/>
      <c r="M385" s="779"/>
      <c r="N385" s="779"/>
      <c r="O385" s="398"/>
      <c r="P385" s="398"/>
      <c r="Q385" s="398"/>
      <c r="R385" s="398"/>
      <c r="S385" s="398"/>
      <c r="T385" s="398"/>
      <c r="U385" s="398"/>
      <c r="V385" s="738"/>
      <c r="W385" s="738"/>
      <c r="X385" s="738"/>
    </row>
    <row r="386" spans="1:24" ht="15.75" customHeight="1">
      <c r="A386" s="398"/>
      <c r="B386" s="398"/>
      <c r="C386" s="779"/>
      <c r="D386" s="779"/>
      <c r="E386" s="779"/>
      <c r="F386" s="779"/>
      <c r="G386" s="779"/>
      <c r="H386" s="779"/>
      <c r="I386" s="779"/>
      <c r="J386" s="779"/>
      <c r="K386" s="779"/>
      <c r="L386" s="779"/>
      <c r="M386" s="779"/>
      <c r="N386" s="779"/>
      <c r="O386" s="398"/>
      <c r="P386" s="398"/>
      <c r="Q386" s="398"/>
      <c r="R386" s="398"/>
      <c r="S386" s="398"/>
      <c r="T386" s="398"/>
      <c r="U386" s="398"/>
      <c r="V386" s="738"/>
      <c r="W386" s="738"/>
      <c r="X386" s="738"/>
    </row>
    <row r="387" spans="1:24" ht="15.75" customHeight="1">
      <c r="A387" s="398"/>
      <c r="B387" s="398"/>
      <c r="C387" s="779"/>
      <c r="D387" s="779"/>
      <c r="E387" s="779"/>
      <c r="F387" s="779"/>
      <c r="G387" s="779"/>
      <c r="H387" s="779"/>
      <c r="I387" s="779"/>
      <c r="J387" s="779"/>
      <c r="K387" s="779"/>
      <c r="L387" s="779"/>
      <c r="M387" s="779"/>
      <c r="N387" s="779"/>
      <c r="O387" s="398"/>
      <c r="P387" s="398"/>
      <c r="Q387" s="398"/>
      <c r="R387" s="398"/>
      <c r="S387" s="398"/>
      <c r="T387" s="398"/>
      <c r="U387" s="398"/>
      <c r="V387" s="738"/>
      <c r="W387" s="738"/>
      <c r="X387" s="738"/>
    </row>
    <row r="388" spans="1:24" ht="15.75" customHeight="1">
      <c r="A388" s="398"/>
      <c r="B388" s="398"/>
      <c r="C388" s="779"/>
      <c r="D388" s="779"/>
      <c r="E388" s="779"/>
      <c r="F388" s="779"/>
      <c r="G388" s="779"/>
      <c r="H388" s="779"/>
      <c r="I388" s="779"/>
      <c r="J388" s="779"/>
      <c r="K388" s="779"/>
      <c r="L388" s="779"/>
      <c r="M388" s="779"/>
      <c r="N388" s="779"/>
      <c r="O388" s="398"/>
      <c r="P388" s="398"/>
      <c r="Q388" s="398"/>
      <c r="R388" s="398"/>
      <c r="S388" s="398"/>
      <c r="T388" s="398"/>
      <c r="U388" s="398"/>
      <c r="V388" s="738"/>
      <c r="W388" s="738"/>
      <c r="X388" s="738"/>
    </row>
    <row r="389" spans="1:24" ht="15.75" customHeight="1">
      <c r="A389" s="398"/>
      <c r="B389" s="398"/>
      <c r="C389" s="779"/>
      <c r="D389" s="779"/>
      <c r="E389" s="779"/>
      <c r="F389" s="779"/>
      <c r="G389" s="779"/>
      <c r="H389" s="779"/>
      <c r="I389" s="779"/>
      <c r="J389" s="779"/>
      <c r="K389" s="779"/>
      <c r="L389" s="779"/>
      <c r="M389" s="779"/>
      <c r="N389" s="779"/>
      <c r="O389" s="398"/>
      <c r="P389" s="398"/>
      <c r="Q389" s="398"/>
      <c r="R389" s="398"/>
      <c r="S389" s="398"/>
      <c r="T389" s="398"/>
      <c r="U389" s="398"/>
      <c r="V389" s="738"/>
      <c r="W389" s="738"/>
      <c r="X389" s="738"/>
    </row>
    <row r="390" spans="1:24" ht="15.75" customHeight="1">
      <c r="A390" s="398"/>
      <c r="B390" s="398"/>
      <c r="C390" s="779"/>
      <c r="D390" s="779"/>
      <c r="E390" s="779"/>
      <c r="F390" s="779"/>
      <c r="G390" s="779"/>
      <c r="H390" s="779"/>
      <c r="I390" s="779"/>
      <c r="J390" s="779"/>
      <c r="K390" s="779"/>
      <c r="L390" s="779"/>
      <c r="M390" s="779"/>
      <c r="N390" s="779"/>
      <c r="O390" s="398"/>
      <c r="P390" s="398"/>
      <c r="Q390" s="398"/>
      <c r="R390" s="398"/>
      <c r="S390" s="398"/>
      <c r="T390" s="398"/>
      <c r="U390" s="398"/>
      <c r="V390" s="738"/>
      <c r="W390" s="738"/>
      <c r="X390" s="738"/>
    </row>
    <row r="391" spans="1:24" ht="15.75" customHeight="1">
      <c r="A391" s="398"/>
      <c r="B391" s="398"/>
      <c r="C391" s="779"/>
      <c r="D391" s="779"/>
      <c r="E391" s="779"/>
      <c r="F391" s="779"/>
      <c r="G391" s="779"/>
      <c r="H391" s="779"/>
      <c r="I391" s="779"/>
      <c r="J391" s="779"/>
      <c r="K391" s="779"/>
      <c r="L391" s="779"/>
      <c r="M391" s="779"/>
      <c r="N391" s="779"/>
      <c r="O391" s="398"/>
      <c r="P391" s="398"/>
      <c r="Q391" s="398"/>
      <c r="R391" s="398"/>
      <c r="S391" s="398"/>
      <c r="T391" s="398"/>
      <c r="U391" s="398"/>
      <c r="V391" s="738"/>
      <c r="W391" s="738"/>
      <c r="X391" s="738"/>
    </row>
    <row r="392" spans="1:24" ht="15.75" customHeight="1">
      <c r="A392" s="398"/>
      <c r="B392" s="398"/>
      <c r="C392" s="779"/>
      <c r="D392" s="779"/>
      <c r="E392" s="779"/>
      <c r="F392" s="779"/>
      <c r="G392" s="779"/>
      <c r="H392" s="779"/>
      <c r="I392" s="779"/>
      <c r="J392" s="779"/>
      <c r="K392" s="779"/>
      <c r="L392" s="779"/>
      <c r="M392" s="779"/>
      <c r="N392" s="779"/>
      <c r="O392" s="398"/>
      <c r="P392" s="398"/>
      <c r="Q392" s="398"/>
      <c r="R392" s="398"/>
      <c r="S392" s="398"/>
      <c r="T392" s="398"/>
      <c r="U392" s="398"/>
      <c r="V392" s="738"/>
      <c r="W392" s="738"/>
      <c r="X392" s="738"/>
    </row>
    <row r="393" spans="1:24" ht="15.75" customHeight="1">
      <c r="A393" s="398"/>
      <c r="B393" s="398"/>
      <c r="C393" s="779"/>
      <c r="D393" s="779"/>
      <c r="E393" s="779"/>
      <c r="F393" s="779"/>
      <c r="G393" s="779"/>
      <c r="H393" s="779"/>
      <c r="I393" s="779"/>
      <c r="J393" s="779"/>
      <c r="K393" s="779"/>
      <c r="L393" s="779"/>
      <c r="M393" s="779"/>
      <c r="N393" s="779"/>
      <c r="O393" s="398"/>
      <c r="P393" s="398"/>
      <c r="Q393" s="398"/>
      <c r="R393" s="398"/>
      <c r="S393" s="398"/>
      <c r="T393" s="398"/>
      <c r="U393" s="398"/>
      <c r="V393" s="738"/>
      <c r="W393" s="738"/>
      <c r="X393" s="738"/>
    </row>
    <row r="394" spans="1:24" ht="15.75" customHeight="1">
      <c r="A394" s="398"/>
      <c r="B394" s="398"/>
      <c r="C394" s="779"/>
      <c r="D394" s="779"/>
      <c r="E394" s="779"/>
      <c r="F394" s="779"/>
      <c r="G394" s="779"/>
      <c r="H394" s="779"/>
      <c r="I394" s="779"/>
      <c r="J394" s="779"/>
      <c r="K394" s="779"/>
      <c r="L394" s="779"/>
      <c r="M394" s="779"/>
      <c r="N394" s="779"/>
      <c r="O394" s="398"/>
      <c r="P394" s="398"/>
      <c r="Q394" s="398"/>
      <c r="R394" s="398"/>
      <c r="S394" s="398"/>
      <c r="T394" s="398"/>
      <c r="U394" s="398"/>
      <c r="V394" s="738"/>
      <c r="W394" s="738"/>
      <c r="X394" s="738"/>
    </row>
    <row r="395" spans="1:24" ht="15.75" customHeight="1">
      <c r="A395" s="398"/>
      <c r="B395" s="398"/>
      <c r="C395" s="779"/>
      <c r="D395" s="779"/>
      <c r="E395" s="779"/>
      <c r="F395" s="779"/>
      <c r="G395" s="779"/>
      <c r="H395" s="779"/>
      <c r="I395" s="779"/>
      <c r="J395" s="779"/>
      <c r="K395" s="779"/>
      <c r="L395" s="779"/>
      <c r="M395" s="779"/>
      <c r="N395" s="779"/>
      <c r="O395" s="398"/>
      <c r="P395" s="398"/>
      <c r="Q395" s="398"/>
      <c r="R395" s="398"/>
      <c r="S395" s="398"/>
      <c r="T395" s="398"/>
      <c r="U395" s="398"/>
      <c r="V395" s="738"/>
      <c r="W395" s="738"/>
      <c r="X395" s="738"/>
    </row>
    <row r="396" spans="1:24" ht="15.75" customHeight="1">
      <c r="A396" s="398"/>
      <c r="B396" s="398"/>
      <c r="C396" s="779"/>
      <c r="D396" s="779"/>
      <c r="E396" s="779"/>
      <c r="F396" s="779"/>
      <c r="G396" s="779"/>
      <c r="H396" s="779"/>
      <c r="I396" s="779"/>
      <c r="J396" s="779"/>
      <c r="K396" s="779"/>
      <c r="L396" s="779"/>
      <c r="M396" s="779"/>
      <c r="N396" s="779"/>
      <c r="O396" s="398"/>
      <c r="P396" s="398"/>
      <c r="Q396" s="398"/>
      <c r="R396" s="398"/>
      <c r="S396" s="398"/>
      <c r="T396" s="398"/>
      <c r="U396" s="398"/>
      <c r="V396" s="738"/>
      <c r="W396" s="738"/>
      <c r="X396" s="738"/>
    </row>
    <row r="397" spans="1:24" ht="15.75" customHeight="1">
      <c r="A397" s="398"/>
      <c r="B397" s="398"/>
      <c r="C397" s="779"/>
      <c r="D397" s="779"/>
      <c r="E397" s="779"/>
      <c r="F397" s="779"/>
      <c r="G397" s="779"/>
      <c r="H397" s="779"/>
      <c r="I397" s="779"/>
      <c r="J397" s="779"/>
      <c r="K397" s="779"/>
      <c r="L397" s="779"/>
      <c r="M397" s="779"/>
      <c r="N397" s="779"/>
      <c r="O397" s="398"/>
      <c r="P397" s="398"/>
      <c r="Q397" s="398"/>
      <c r="R397" s="398"/>
      <c r="S397" s="398"/>
      <c r="T397" s="398"/>
      <c r="U397" s="398"/>
      <c r="V397" s="738"/>
      <c r="W397" s="738"/>
      <c r="X397" s="738"/>
    </row>
    <row r="398" spans="1:24" ht="15.75" customHeight="1">
      <c r="A398" s="398"/>
      <c r="B398" s="398"/>
      <c r="C398" s="779"/>
      <c r="D398" s="779"/>
      <c r="E398" s="779"/>
      <c r="F398" s="779"/>
      <c r="G398" s="779"/>
      <c r="H398" s="779"/>
      <c r="I398" s="779"/>
      <c r="J398" s="779"/>
      <c r="K398" s="779"/>
      <c r="L398" s="779"/>
      <c r="M398" s="779"/>
      <c r="N398" s="779"/>
      <c r="O398" s="398"/>
      <c r="P398" s="398"/>
      <c r="Q398" s="398"/>
      <c r="R398" s="398"/>
      <c r="S398" s="398"/>
      <c r="T398" s="398"/>
      <c r="U398" s="398"/>
      <c r="V398" s="738"/>
      <c r="W398" s="738"/>
      <c r="X398" s="738"/>
    </row>
    <row r="399" spans="1:24" ht="15.75" customHeight="1">
      <c r="A399" s="398"/>
      <c r="B399" s="398"/>
      <c r="C399" s="779"/>
      <c r="D399" s="779"/>
      <c r="E399" s="779"/>
      <c r="F399" s="779"/>
      <c r="G399" s="779"/>
      <c r="H399" s="779"/>
      <c r="I399" s="779"/>
      <c r="J399" s="779"/>
      <c r="K399" s="779"/>
      <c r="L399" s="779"/>
      <c r="M399" s="779"/>
      <c r="N399" s="779"/>
      <c r="O399" s="398"/>
      <c r="P399" s="398"/>
      <c r="Q399" s="398"/>
      <c r="R399" s="398"/>
      <c r="S399" s="398"/>
      <c r="T399" s="398"/>
      <c r="U399" s="398"/>
      <c r="V399" s="738"/>
      <c r="W399" s="738"/>
      <c r="X399" s="738"/>
    </row>
    <row r="400" spans="1:24" ht="15.75" customHeight="1">
      <c r="A400" s="398"/>
      <c r="B400" s="398"/>
      <c r="C400" s="779"/>
      <c r="D400" s="779"/>
      <c r="E400" s="779"/>
      <c r="F400" s="779"/>
      <c r="G400" s="779"/>
      <c r="H400" s="779"/>
      <c r="I400" s="779"/>
      <c r="J400" s="779"/>
      <c r="K400" s="779"/>
      <c r="L400" s="779"/>
      <c r="M400" s="779"/>
      <c r="N400" s="779"/>
      <c r="O400" s="398"/>
      <c r="P400" s="398"/>
      <c r="Q400" s="398"/>
      <c r="R400" s="398"/>
      <c r="S400" s="398"/>
      <c r="T400" s="398"/>
      <c r="U400" s="398"/>
      <c r="V400" s="738"/>
      <c r="W400" s="738"/>
      <c r="X400" s="738"/>
    </row>
    <row r="401" spans="1:24" ht="15.75" customHeight="1">
      <c r="A401" s="398"/>
      <c r="B401" s="398"/>
      <c r="C401" s="779"/>
      <c r="D401" s="779"/>
      <c r="E401" s="779"/>
      <c r="F401" s="779"/>
      <c r="G401" s="779"/>
      <c r="H401" s="779"/>
      <c r="I401" s="779"/>
      <c r="J401" s="779"/>
      <c r="K401" s="779"/>
      <c r="L401" s="779"/>
      <c r="M401" s="779"/>
      <c r="N401" s="779"/>
      <c r="O401" s="398"/>
      <c r="P401" s="398"/>
      <c r="Q401" s="398"/>
      <c r="R401" s="398"/>
      <c r="S401" s="398"/>
      <c r="T401" s="398"/>
      <c r="U401" s="398"/>
      <c r="V401" s="738"/>
      <c r="W401" s="738"/>
      <c r="X401" s="738"/>
    </row>
    <row r="402" spans="1:24" ht="15.75" customHeight="1">
      <c r="A402" s="398"/>
      <c r="B402" s="398"/>
      <c r="C402" s="779"/>
      <c r="D402" s="779"/>
      <c r="E402" s="779"/>
      <c r="F402" s="779"/>
      <c r="G402" s="779"/>
      <c r="H402" s="779"/>
      <c r="I402" s="779"/>
      <c r="J402" s="779"/>
      <c r="K402" s="779"/>
      <c r="L402" s="779"/>
      <c r="M402" s="779"/>
      <c r="N402" s="779"/>
      <c r="O402" s="398"/>
      <c r="P402" s="398"/>
      <c r="Q402" s="398"/>
      <c r="R402" s="398"/>
      <c r="S402" s="398"/>
      <c r="T402" s="398"/>
      <c r="U402" s="398"/>
      <c r="V402" s="738"/>
      <c r="W402" s="738"/>
      <c r="X402" s="738"/>
    </row>
    <row r="403" spans="1:24" ht="15.75" customHeight="1">
      <c r="A403" s="398"/>
      <c r="B403" s="398"/>
      <c r="C403" s="779"/>
      <c r="D403" s="779"/>
      <c r="E403" s="779"/>
      <c r="F403" s="779"/>
      <c r="G403" s="779"/>
      <c r="H403" s="779"/>
      <c r="I403" s="779"/>
      <c r="J403" s="779"/>
      <c r="K403" s="779"/>
      <c r="L403" s="779"/>
      <c r="M403" s="779"/>
      <c r="N403" s="779"/>
      <c r="O403" s="398"/>
      <c r="P403" s="398"/>
      <c r="Q403" s="398"/>
      <c r="R403" s="398"/>
      <c r="S403" s="398"/>
      <c r="T403" s="398"/>
      <c r="U403" s="398"/>
      <c r="V403" s="738"/>
      <c r="W403" s="738"/>
      <c r="X403" s="738"/>
    </row>
    <row r="404" spans="1:24" ht="15.75" customHeight="1">
      <c r="A404" s="398"/>
      <c r="B404" s="398"/>
      <c r="C404" s="779"/>
      <c r="D404" s="779"/>
      <c r="E404" s="779"/>
      <c r="F404" s="779"/>
      <c r="G404" s="779"/>
      <c r="H404" s="779"/>
      <c r="I404" s="779"/>
      <c r="J404" s="779"/>
      <c r="K404" s="779"/>
      <c r="L404" s="779"/>
      <c r="M404" s="779"/>
      <c r="N404" s="779"/>
      <c r="O404" s="398"/>
      <c r="P404" s="398"/>
      <c r="Q404" s="398"/>
      <c r="R404" s="398"/>
      <c r="S404" s="398"/>
      <c r="T404" s="398"/>
      <c r="U404" s="398"/>
      <c r="V404" s="738"/>
      <c r="W404" s="738"/>
      <c r="X404" s="738"/>
    </row>
    <row r="405" spans="1:24" ht="15.75" customHeight="1">
      <c r="A405" s="398"/>
      <c r="B405" s="398"/>
      <c r="C405" s="779"/>
      <c r="D405" s="779"/>
      <c r="E405" s="779"/>
      <c r="F405" s="779"/>
      <c r="G405" s="779"/>
      <c r="H405" s="779"/>
      <c r="I405" s="779"/>
      <c r="J405" s="779"/>
      <c r="K405" s="779"/>
      <c r="L405" s="779"/>
      <c r="M405" s="779"/>
      <c r="N405" s="779"/>
      <c r="O405" s="398"/>
      <c r="P405" s="398"/>
      <c r="Q405" s="398"/>
      <c r="R405" s="398"/>
      <c r="S405" s="398"/>
      <c r="T405" s="398"/>
      <c r="U405" s="398"/>
      <c r="V405" s="738"/>
      <c r="W405" s="738"/>
      <c r="X405" s="738"/>
    </row>
    <row r="406" spans="1:24" ht="15.75" customHeight="1">
      <c r="A406" s="398"/>
      <c r="B406" s="398"/>
      <c r="C406" s="779"/>
      <c r="D406" s="779"/>
      <c r="E406" s="779"/>
      <c r="F406" s="779"/>
      <c r="G406" s="779"/>
      <c r="H406" s="779"/>
      <c r="I406" s="779"/>
      <c r="J406" s="779"/>
      <c r="K406" s="779"/>
      <c r="L406" s="779"/>
      <c r="M406" s="779"/>
      <c r="N406" s="779"/>
      <c r="O406" s="398"/>
      <c r="P406" s="398"/>
      <c r="Q406" s="398"/>
      <c r="R406" s="398"/>
      <c r="S406" s="398"/>
      <c r="T406" s="398"/>
      <c r="U406" s="398"/>
      <c r="V406" s="738"/>
      <c r="W406" s="738"/>
      <c r="X406" s="738"/>
    </row>
    <row r="407" spans="1:24" ht="15.75" customHeight="1">
      <c r="A407" s="398"/>
      <c r="B407" s="398"/>
      <c r="C407" s="779"/>
      <c r="D407" s="779"/>
      <c r="E407" s="779"/>
      <c r="F407" s="779"/>
      <c r="G407" s="779"/>
      <c r="H407" s="779"/>
      <c r="I407" s="779"/>
      <c r="J407" s="779"/>
      <c r="K407" s="779"/>
      <c r="L407" s="779"/>
      <c r="M407" s="779"/>
      <c r="N407" s="779"/>
      <c r="O407" s="398"/>
      <c r="P407" s="398"/>
      <c r="Q407" s="398"/>
      <c r="R407" s="398"/>
      <c r="S407" s="398"/>
      <c r="T407" s="398"/>
      <c r="U407" s="398"/>
      <c r="V407" s="738"/>
      <c r="W407" s="738"/>
      <c r="X407" s="738"/>
    </row>
    <row r="408" spans="1:24" ht="15.75" customHeight="1">
      <c r="A408" s="398"/>
      <c r="B408" s="398"/>
      <c r="C408" s="779"/>
      <c r="D408" s="779"/>
      <c r="E408" s="779"/>
      <c r="F408" s="779"/>
      <c r="G408" s="779"/>
      <c r="H408" s="779"/>
      <c r="I408" s="779"/>
      <c r="J408" s="779"/>
      <c r="K408" s="779"/>
      <c r="L408" s="779"/>
      <c r="M408" s="779"/>
      <c r="N408" s="779"/>
      <c r="O408" s="398"/>
      <c r="P408" s="398"/>
      <c r="Q408" s="398"/>
      <c r="R408" s="398"/>
      <c r="S408" s="398"/>
      <c r="T408" s="398"/>
      <c r="U408" s="398"/>
      <c r="V408" s="738"/>
      <c r="W408" s="738"/>
      <c r="X408" s="738"/>
    </row>
    <row r="409" spans="1:24" ht="15.75" customHeight="1">
      <c r="A409" s="398"/>
      <c r="B409" s="398"/>
      <c r="C409" s="779"/>
      <c r="D409" s="779"/>
      <c r="E409" s="779"/>
      <c r="F409" s="779"/>
      <c r="G409" s="779"/>
      <c r="H409" s="779"/>
      <c r="I409" s="779"/>
      <c r="J409" s="779"/>
      <c r="K409" s="779"/>
      <c r="L409" s="779"/>
      <c r="M409" s="779"/>
      <c r="N409" s="779"/>
      <c r="O409" s="398"/>
      <c r="P409" s="398"/>
      <c r="Q409" s="398"/>
      <c r="R409" s="398"/>
      <c r="S409" s="398"/>
      <c r="T409" s="398"/>
      <c r="U409" s="398"/>
      <c r="V409" s="738"/>
      <c r="W409" s="738"/>
      <c r="X409" s="738"/>
    </row>
    <row r="410" spans="1:24" ht="15.75" customHeight="1">
      <c r="A410" s="398"/>
      <c r="B410" s="398"/>
      <c r="C410" s="779"/>
      <c r="D410" s="779"/>
      <c r="E410" s="779"/>
      <c r="F410" s="779"/>
      <c r="G410" s="779"/>
      <c r="H410" s="779"/>
      <c r="I410" s="779"/>
      <c r="J410" s="779"/>
      <c r="K410" s="779"/>
      <c r="L410" s="779"/>
      <c r="M410" s="779"/>
      <c r="N410" s="779"/>
      <c r="O410" s="398"/>
      <c r="P410" s="398"/>
      <c r="Q410" s="398"/>
      <c r="R410" s="398"/>
      <c r="S410" s="398"/>
      <c r="T410" s="398"/>
      <c r="U410" s="398"/>
      <c r="V410" s="738"/>
      <c r="W410" s="738"/>
      <c r="X410" s="738"/>
    </row>
    <row r="411" spans="1:24" ht="15.75" customHeight="1">
      <c r="A411" s="398"/>
      <c r="B411" s="398"/>
      <c r="C411" s="779"/>
      <c r="D411" s="779"/>
      <c r="E411" s="779"/>
      <c r="F411" s="779"/>
      <c r="G411" s="779"/>
      <c r="H411" s="779"/>
      <c r="I411" s="779"/>
      <c r="J411" s="779"/>
      <c r="K411" s="779"/>
      <c r="L411" s="779"/>
      <c r="M411" s="779"/>
      <c r="N411" s="779"/>
      <c r="O411" s="398"/>
      <c r="P411" s="398"/>
      <c r="Q411" s="398"/>
      <c r="R411" s="398"/>
      <c r="S411" s="398"/>
      <c r="T411" s="398"/>
      <c r="U411" s="398"/>
      <c r="V411" s="738"/>
      <c r="W411" s="738"/>
      <c r="X411" s="738"/>
    </row>
    <row r="412" spans="1:24" ht="15.75" customHeight="1">
      <c r="A412" s="398"/>
      <c r="B412" s="398"/>
      <c r="C412" s="779"/>
      <c r="D412" s="779"/>
      <c r="E412" s="779"/>
      <c r="F412" s="779"/>
      <c r="G412" s="779"/>
      <c r="H412" s="779"/>
      <c r="I412" s="779"/>
      <c r="J412" s="779"/>
      <c r="K412" s="779"/>
      <c r="L412" s="779"/>
      <c r="M412" s="779"/>
      <c r="N412" s="779"/>
      <c r="O412" s="398"/>
      <c r="P412" s="398"/>
      <c r="Q412" s="398"/>
      <c r="R412" s="398"/>
      <c r="S412" s="398"/>
      <c r="T412" s="398"/>
      <c r="U412" s="398"/>
      <c r="V412" s="738"/>
      <c r="W412" s="738"/>
      <c r="X412" s="738"/>
    </row>
    <row r="413" spans="1:24" ht="15.75" customHeight="1">
      <c r="A413" s="398"/>
      <c r="B413" s="398"/>
      <c r="C413" s="779"/>
      <c r="D413" s="779"/>
      <c r="E413" s="779"/>
      <c r="F413" s="779"/>
      <c r="G413" s="779"/>
      <c r="H413" s="779"/>
      <c r="I413" s="779"/>
      <c r="J413" s="779"/>
      <c r="K413" s="779"/>
      <c r="L413" s="779"/>
      <c r="M413" s="779"/>
      <c r="N413" s="779"/>
      <c r="O413" s="398"/>
      <c r="P413" s="398"/>
      <c r="Q413" s="398"/>
      <c r="R413" s="398"/>
      <c r="S413" s="398"/>
      <c r="T413" s="398"/>
      <c r="U413" s="398"/>
      <c r="V413" s="738"/>
      <c r="W413" s="738"/>
      <c r="X413" s="738"/>
    </row>
    <row r="414" spans="1:24" ht="15.75" customHeight="1">
      <c r="A414" s="398"/>
      <c r="B414" s="398"/>
      <c r="C414" s="779"/>
      <c r="D414" s="779"/>
      <c r="E414" s="779"/>
      <c r="F414" s="779"/>
      <c r="G414" s="779"/>
      <c r="H414" s="779"/>
      <c r="I414" s="779"/>
      <c r="J414" s="779"/>
      <c r="K414" s="779"/>
      <c r="L414" s="779"/>
      <c r="M414" s="779"/>
      <c r="N414" s="779"/>
      <c r="O414" s="398"/>
      <c r="P414" s="398"/>
      <c r="Q414" s="398"/>
      <c r="R414" s="398"/>
      <c r="S414" s="398"/>
      <c r="T414" s="398"/>
      <c r="U414" s="398"/>
      <c r="V414" s="738"/>
      <c r="W414" s="738"/>
      <c r="X414" s="738"/>
    </row>
    <row r="415" spans="1:24" ht="15.75" customHeight="1">
      <c r="A415" s="398"/>
      <c r="B415" s="398"/>
      <c r="C415" s="779"/>
      <c r="D415" s="779"/>
      <c r="E415" s="779"/>
      <c r="F415" s="779"/>
      <c r="G415" s="779"/>
      <c r="H415" s="779"/>
      <c r="I415" s="779"/>
      <c r="J415" s="779"/>
      <c r="K415" s="779"/>
      <c r="L415" s="779"/>
      <c r="M415" s="779"/>
      <c r="N415" s="779"/>
      <c r="O415" s="398"/>
      <c r="P415" s="398"/>
      <c r="Q415" s="398"/>
      <c r="R415" s="398"/>
      <c r="S415" s="398"/>
      <c r="T415" s="398"/>
      <c r="U415" s="398"/>
      <c r="V415" s="738"/>
      <c r="W415" s="738"/>
      <c r="X415" s="738"/>
    </row>
    <row r="416" spans="1:24" ht="15.75" customHeight="1">
      <c r="A416" s="398"/>
      <c r="B416" s="398"/>
      <c r="C416" s="779"/>
      <c r="D416" s="779"/>
      <c r="E416" s="779"/>
      <c r="F416" s="779"/>
      <c r="G416" s="779"/>
      <c r="H416" s="779"/>
      <c r="I416" s="779"/>
      <c r="J416" s="779"/>
      <c r="K416" s="779"/>
      <c r="L416" s="779"/>
      <c r="M416" s="779"/>
      <c r="N416" s="779"/>
      <c r="O416" s="398"/>
      <c r="P416" s="398"/>
      <c r="Q416" s="398"/>
      <c r="R416" s="398"/>
      <c r="S416" s="398"/>
      <c r="T416" s="398"/>
      <c r="U416" s="398"/>
      <c r="V416" s="738"/>
      <c r="W416" s="738"/>
      <c r="X416" s="738"/>
    </row>
    <row r="417" spans="1:24" ht="15.75" customHeight="1">
      <c r="A417" s="398"/>
      <c r="B417" s="398"/>
      <c r="C417" s="779"/>
      <c r="D417" s="779"/>
      <c r="E417" s="779"/>
      <c r="F417" s="779"/>
      <c r="G417" s="779"/>
      <c r="H417" s="779"/>
      <c r="I417" s="779"/>
      <c r="J417" s="779"/>
      <c r="K417" s="779"/>
      <c r="L417" s="779"/>
      <c r="M417" s="779"/>
      <c r="N417" s="779"/>
      <c r="O417" s="398"/>
      <c r="P417" s="398"/>
      <c r="Q417" s="398"/>
      <c r="R417" s="398"/>
      <c r="S417" s="398"/>
      <c r="T417" s="398"/>
      <c r="U417" s="398"/>
      <c r="V417" s="738"/>
      <c r="W417" s="738"/>
      <c r="X417" s="738"/>
    </row>
    <row r="418" spans="1:24" ht="15.75" customHeight="1">
      <c r="A418" s="398"/>
      <c r="B418" s="398"/>
      <c r="C418" s="779"/>
      <c r="D418" s="779"/>
      <c r="E418" s="779"/>
      <c r="F418" s="779"/>
      <c r="G418" s="779"/>
      <c r="H418" s="779"/>
      <c r="I418" s="779"/>
      <c r="J418" s="779"/>
      <c r="K418" s="779"/>
      <c r="L418" s="779"/>
      <c r="M418" s="779"/>
      <c r="N418" s="779"/>
      <c r="O418" s="398"/>
      <c r="P418" s="398"/>
      <c r="Q418" s="398"/>
      <c r="R418" s="398"/>
      <c r="S418" s="398"/>
      <c r="T418" s="398"/>
      <c r="U418" s="398"/>
      <c r="V418" s="738"/>
      <c r="W418" s="738"/>
      <c r="X418" s="738"/>
    </row>
    <row r="419" spans="1:24" ht="15.75" customHeight="1">
      <c r="A419" s="398"/>
      <c r="B419" s="398"/>
      <c r="C419" s="779"/>
      <c r="D419" s="779"/>
      <c r="E419" s="779"/>
      <c r="F419" s="779"/>
      <c r="G419" s="779"/>
      <c r="H419" s="779"/>
      <c r="I419" s="779"/>
      <c r="J419" s="779"/>
      <c r="K419" s="779"/>
      <c r="L419" s="779"/>
      <c r="M419" s="779"/>
      <c r="N419" s="779"/>
      <c r="O419" s="398"/>
      <c r="P419" s="398"/>
      <c r="Q419" s="398"/>
      <c r="R419" s="398"/>
      <c r="S419" s="398"/>
      <c r="T419" s="398"/>
      <c r="U419" s="398"/>
      <c r="V419" s="738"/>
      <c r="W419" s="738"/>
      <c r="X419" s="738"/>
    </row>
    <row r="420" spans="1:24" ht="15.75" customHeight="1">
      <c r="A420" s="398"/>
      <c r="B420" s="398"/>
      <c r="C420" s="779"/>
      <c r="D420" s="779"/>
      <c r="E420" s="779"/>
      <c r="F420" s="779"/>
      <c r="G420" s="779"/>
      <c r="H420" s="779"/>
      <c r="I420" s="779"/>
      <c r="J420" s="779"/>
      <c r="K420" s="779"/>
      <c r="L420" s="779"/>
      <c r="M420" s="779"/>
      <c r="N420" s="779"/>
      <c r="O420" s="398"/>
      <c r="P420" s="398"/>
      <c r="Q420" s="398"/>
      <c r="R420" s="398"/>
      <c r="S420" s="398"/>
      <c r="T420" s="398"/>
      <c r="U420" s="398"/>
      <c r="V420" s="738"/>
      <c r="W420" s="738"/>
      <c r="X420" s="738"/>
    </row>
    <row r="421" spans="1:24" ht="15.75" customHeight="1">
      <c r="A421" s="398"/>
      <c r="B421" s="398"/>
      <c r="C421" s="779"/>
      <c r="D421" s="779"/>
      <c r="E421" s="779"/>
      <c r="F421" s="779"/>
      <c r="G421" s="779"/>
      <c r="H421" s="779"/>
      <c r="I421" s="779"/>
      <c r="J421" s="779"/>
      <c r="K421" s="779"/>
      <c r="L421" s="779"/>
      <c r="M421" s="779"/>
      <c r="N421" s="779"/>
      <c r="O421" s="398"/>
      <c r="P421" s="398"/>
      <c r="Q421" s="398"/>
      <c r="R421" s="398"/>
      <c r="S421" s="398"/>
      <c r="T421" s="398"/>
      <c r="U421" s="398"/>
      <c r="V421" s="738"/>
      <c r="W421" s="738"/>
      <c r="X421" s="738"/>
    </row>
    <row r="422" spans="1:24" ht="15.75" customHeight="1">
      <c r="A422" s="398"/>
      <c r="B422" s="398"/>
      <c r="C422" s="779"/>
      <c r="D422" s="779"/>
      <c r="E422" s="779"/>
      <c r="F422" s="779"/>
      <c r="G422" s="779"/>
      <c r="H422" s="779"/>
      <c r="I422" s="779"/>
      <c r="J422" s="779"/>
      <c r="K422" s="779"/>
      <c r="L422" s="779"/>
      <c r="M422" s="779"/>
      <c r="N422" s="779"/>
      <c r="O422" s="398"/>
      <c r="P422" s="398"/>
      <c r="Q422" s="398"/>
      <c r="R422" s="398"/>
      <c r="S422" s="398"/>
      <c r="T422" s="398"/>
      <c r="U422" s="398"/>
      <c r="V422" s="738"/>
      <c r="W422" s="738"/>
      <c r="X422" s="738"/>
    </row>
    <row r="423" spans="1:24" ht="15.75" customHeight="1">
      <c r="A423" s="398"/>
      <c r="B423" s="398"/>
      <c r="C423" s="779"/>
      <c r="D423" s="779"/>
      <c r="E423" s="779"/>
      <c r="F423" s="779"/>
      <c r="G423" s="779"/>
      <c r="H423" s="779"/>
      <c r="I423" s="779"/>
      <c r="J423" s="779"/>
      <c r="K423" s="779"/>
      <c r="L423" s="779"/>
      <c r="M423" s="779"/>
      <c r="N423" s="779"/>
      <c r="O423" s="398"/>
      <c r="P423" s="398"/>
      <c r="Q423" s="398"/>
      <c r="R423" s="398"/>
      <c r="S423" s="398"/>
      <c r="T423" s="398"/>
      <c r="U423" s="398"/>
      <c r="V423" s="738"/>
      <c r="W423" s="738"/>
      <c r="X423" s="738"/>
    </row>
    <row r="424" spans="1:24" ht="15.75" customHeight="1">
      <c r="A424" s="398"/>
      <c r="B424" s="398"/>
      <c r="C424" s="779"/>
      <c r="D424" s="779"/>
      <c r="E424" s="779"/>
      <c r="F424" s="779"/>
      <c r="G424" s="779"/>
      <c r="H424" s="779"/>
      <c r="I424" s="779"/>
      <c r="J424" s="779"/>
      <c r="K424" s="779"/>
      <c r="L424" s="779"/>
      <c r="M424" s="779"/>
      <c r="N424" s="779"/>
      <c r="O424" s="398"/>
      <c r="P424" s="398"/>
      <c r="Q424" s="398"/>
      <c r="R424" s="398"/>
      <c r="S424" s="398"/>
      <c r="T424" s="398"/>
      <c r="U424" s="398"/>
      <c r="V424" s="738"/>
      <c r="W424" s="738"/>
      <c r="X424" s="738"/>
    </row>
    <row r="425" spans="1:24" ht="15.75" customHeight="1">
      <c r="A425" s="398"/>
      <c r="B425" s="398"/>
      <c r="C425" s="779"/>
      <c r="D425" s="779"/>
      <c r="E425" s="779"/>
      <c r="F425" s="779"/>
      <c r="G425" s="779"/>
      <c r="H425" s="779"/>
      <c r="I425" s="779"/>
      <c r="J425" s="779"/>
      <c r="K425" s="779"/>
      <c r="L425" s="779"/>
      <c r="M425" s="779"/>
      <c r="N425" s="779"/>
      <c r="O425" s="398"/>
      <c r="P425" s="398"/>
      <c r="Q425" s="398"/>
      <c r="R425" s="398"/>
      <c r="S425" s="398"/>
      <c r="T425" s="398"/>
      <c r="U425" s="398"/>
      <c r="V425" s="738"/>
      <c r="W425" s="738"/>
      <c r="X425" s="738"/>
    </row>
    <row r="426" spans="1:24" ht="15.75" customHeight="1">
      <c r="A426" s="398"/>
      <c r="B426" s="398"/>
      <c r="C426" s="779"/>
      <c r="D426" s="779"/>
      <c r="E426" s="779"/>
      <c r="F426" s="779"/>
      <c r="G426" s="779"/>
      <c r="H426" s="779"/>
      <c r="I426" s="779"/>
      <c r="J426" s="779"/>
      <c r="K426" s="779"/>
      <c r="L426" s="779"/>
      <c r="M426" s="779"/>
      <c r="N426" s="779"/>
      <c r="O426" s="398"/>
      <c r="P426" s="398"/>
      <c r="Q426" s="398"/>
      <c r="R426" s="398"/>
      <c r="S426" s="398"/>
      <c r="T426" s="398"/>
      <c r="U426" s="398"/>
      <c r="V426" s="738"/>
      <c r="W426" s="738"/>
      <c r="X426" s="738"/>
    </row>
    <row r="427" spans="1:24" ht="15.75" customHeight="1">
      <c r="A427" s="398"/>
      <c r="B427" s="398"/>
      <c r="C427" s="779"/>
      <c r="D427" s="779"/>
      <c r="E427" s="779"/>
      <c r="F427" s="779"/>
      <c r="G427" s="779"/>
      <c r="H427" s="779"/>
      <c r="I427" s="779"/>
      <c r="J427" s="779"/>
      <c r="K427" s="779"/>
      <c r="L427" s="779"/>
      <c r="M427" s="779"/>
      <c r="N427" s="779"/>
      <c r="O427" s="398"/>
      <c r="P427" s="398"/>
      <c r="Q427" s="398"/>
      <c r="R427" s="398"/>
      <c r="S427" s="398"/>
      <c r="T427" s="398"/>
      <c r="U427" s="398"/>
      <c r="V427" s="738"/>
      <c r="W427" s="738"/>
      <c r="X427" s="738"/>
    </row>
    <row r="428" spans="1:24" ht="15.75" customHeight="1">
      <c r="A428" s="398"/>
      <c r="B428" s="398"/>
      <c r="C428" s="779"/>
      <c r="D428" s="779"/>
      <c r="E428" s="779"/>
      <c r="F428" s="779"/>
      <c r="G428" s="779"/>
      <c r="H428" s="779"/>
      <c r="I428" s="779"/>
      <c r="J428" s="779"/>
      <c r="K428" s="779"/>
      <c r="L428" s="779"/>
      <c r="M428" s="779"/>
      <c r="N428" s="779"/>
      <c r="O428" s="398"/>
      <c r="P428" s="398"/>
      <c r="Q428" s="398"/>
      <c r="R428" s="398"/>
      <c r="S428" s="398"/>
      <c r="T428" s="398"/>
      <c r="U428" s="398"/>
      <c r="V428" s="738"/>
      <c r="W428" s="738"/>
      <c r="X428" s="738"/>
    </row>
    <row r="429" spans="1:24" ht="15.75" customHeight="1">
      <c r="A429" s="398"/>
      <c r="B429" s="398"/>
      <c r="C429" s="779"/>
      <c r="D429" s="779"/>
      <c r="E429" s="779"/>
      <c r="F429" s="779"/>
      <c r="G429" s="779"/>
      <c r="H429" s="779"/>
      <c r="I429" s="779"/>
      <c r="J429" s="779"/>
      <c r="K429" s="779"/>
      <c r="L429" s="779"/>
      <c r="M429" s="779"/>
      <c r="N429" s="779"/>
      <c r="O429" s="398"/>
      <c r="P429" s="398"/>
      <c r="Q429" s="398"/>
      <c r="R429" s="398"/>
      <c r="S429" s="398"/>
      <c r="T429" s="398"/>
      <c r="U429" s="398"/>
      <c r="V429" s="738"/>
      <c r="W429" s="738"/>
      <c r="X429" s="738"/>
    </row>
    <row r="430" spans="1:24" ht="15.75" customHeight="1">
      <c r="A430" s="398"/>
      <c r="B430" s="398"/>
      <c r="C430" s="779"/>
      <c r="D430" s="779"/>
      <c r="E430" s="779"/>
      <c r="F430" s="779"/>
      <c r="G430" s="779"/>
      <c r="H430" s="779"/>
      <c r="I430" s="779"/>
      <c r="J430" s="779"/>
      <c r="K430" s="779"/>
      <c r="L430" s="779"/>
      <c r="M430" s="779"/>
      <c r="N430" s="779"/>
      <c r="O430" s="398"/>
      <c r="P430" s="398"/>
      <c r="Q430" s="398"/>
      <c r="R430" s="398"/>
      <c r="S430" s="398"/>
      <c r="T430" s="398"/>
      <c r="U430" s="398"/>
      <c r="V430" s="738"/>
      <c r="W430" s="738"/>
      <c r="X430" s="738"/>
    </row>
    <row r="431" spans="1:24" ht="15.75" customHeight="1">
      <c r="A431" s="398"/>
      <c r="B431" s="398"/>
      <c r="C431" s="779"/>
      <c r="D431" s="779"/>
      <c r="E431" s="779"/>
      <c r="F431" s="779"/>
      <c r="G431" s="779"/>
      <c r="H431" s="779"/>
      <c r="I431" s="779"/>
      <c r="J431" s="779"/>
      <c r="K431" s="779"/>
      <c r="L431" s="779"/>
      <c r="M431" s="779"/>
      <c r="N431" s="779"/>
      <c r="O431" s="398"/>
      <c r="P431" s="398"/>
      <c r="Q431" s="398"/>
      <c r="R431" s="398"/>
      <c r="S431" s="398"/>
      <c r="T431" s="398"/>
      <c r="U431" s="398"/>
      <c r="V431" s="738"/>
      <c r="W431" s="738"/>
      <c r="X431" s="738"/>
    </row>
    <row r="432" spans="1:24" ht="15.75" customHeight="1">
      <c r="A432" s="398"/>
      <c r="B432" s="398"/>
      <c r="C432" s="779"/>
      <c r="D432" s="779"/>
      <c r="E432" s="779"/>
      <c r="F432" s="779"/>
      <c r="G432" s="779"/>
      <c r="H432" s="779"/>
      <c r="I432" s="779"/>
      <c r="J432" s="779"/>
      <c r="K432" s="779"/>
      <c r="L432" s="779"/>
      <c r="M432" s="779"/>
      <c r="N432" s="779"/>
      <c r="O432" s="398"/>
      <c r="P432" s="398"/>
      <c r="Q432" s="398"/>
      <c r="R432" s="398"/>
      <c r="S432" s="398"/>
      <c r="T432" s="398"/>
      <c r="U432" s="398"/>
      <c r="V432" s="738"/>
      <c r="W432" s="738"/>
      <c r="X432" s="738"/>
    </row>
    <row r="433" spans="1:24" ht="15.75" customHeight="1">
      <c r="A433" s="398"/>
      <c r="B433" s="398"/>
      <c r="C433" s="779"/>
      <c r="D433" s="779"/>
      <c r="E433" s="779"/>
      <c r="F433" s="779"/>
      <c r="G433" s="779"/>
      <c r="H433" s="779"/>
      <c r="I433" s="779"/>
      <c r="J433" s="779"/>
      <c r="K433" s="779"/>
      <c r="L433" s="779"/>
      <c r="M433" s="779"/>
      <c r="N433" s="779"/>
      <c r="O433" s="398"/>
      <c r="P433" s="398"/>
      <c r="Q433" s="398"/>
      <c r="R433" s="398"/>
      <c r="S433" s="398"/>
      <c r="T433" s="398"/>
      <c r="U433" s="398"/>
      <c r="V433" s="738"/>
      <c r="W433" s="738"/>
      <c r="X433" s="738"/>
    </row>
    <row r="434" spans="1:24" ht="15.75" customHeight="1">
      <c r="A434" s="398"/>
      <c r="B434" s="398"/>
      <c r="C434" s="779"/>
      <c r="D434" s="779"/>
      <c r="E434" s="779"/>
      <c r="F434" s="779"/>
      <c r="G434" s="779"/>
      <c r="H434" s="779"/>
      <c r="I434" s="779"/>
      <c r="J434" s="779"/>
      <c r="K434" s="779"/>
      <c r="L434" s="779"/>
      <c r="M434" s="779"/>
      <c r="N434" s="779"/>
      <c r="O434" s="398"/>
      <c r="P434" s="398"/>
      <c r="Q434" s="398"/>
      <c r="R434" s="398"/>
      <c r="S434" s="398"/>
      <c r="T434" s="398"/>
      <c r="U434" s="398"/>
      <c r="V434" s="738"/>
      <c r="W434" s="738"/>
      <c r="X434" s="738"/>
    </row>
    <row r="435" spans="1:24" ht="15.75" customHeight="1">
      <c r="A435" s="398"/>
      <c r="B435" s="398"/>
      <c r="C435" s="779"/>
      <c r="D435" s="779"/>
      <c r="E435" s="779"/>
      <c r="F435" s="779"/>
      <c r="G435" s="779"/>
      <c r="H435" s="779"/>
      <c r="I435" s="779"/>
      <c r="J435" s="779"/>
      <c r="K435" s="779"/>
      <c r="L435" s="779"/>
      <c r="M435" s="779"/>
      <c r="N435" s="779"/>
      <c r="O435" s="398"/>
      <c r="P435" s="398"/>
      <c r="Q435" s="398"/>
      <c r="R435" s="398"/>
      <c r="S435" s="398"/>
      <c r="T435" s="398"/>
      <c r="U435" s="398"/>
      <c r="V435" s="738"/>
      <c r="W435" s="738"/>
      <c r="X435" s="738"/>
    </row>
    <row r="436" spans="1:24" ht="15.75" customHeight="1">
      <c r="A436" s="398"/>
      <c r="B436" s="398"/>
      <c r="C436" s="779"/>
      <c r="D436" s="779"/>
      <c r="E436" s="779"/>
      <c r="F436" s="779"/>
      <c r="G436" s="779"/>
      <c r="H436" s="779"/>
      <c r="I436" s="779"/>
      <c r="J436" s="779"/>
      <c r="K436" s="779"/>
      <c r="L436" s="779"/>
      <c r="M436" s="779"/>
      <c r="N436" s="779"/>
      <c r="O436" s="398"/>
      <c r="P436" s="398"/>
      <c r="Q436" s="398"/>
      <c r="R436" s="398"/>
      <c r="S436" s="398"/>
      <c r="T436" s="398"/>
      <c r="U436" s="398"/>
      <c r="V436" s="738"/>
      <c r="W436" s="738"/>
      <c r="X436" s="738"/>
    </row>
    <row r="437" spans="1:24" ht="15.75" customHeight="1">
      <c r="A437" s="398"/>
      <c r="B437" s="398"/>
      <c r="C437" s="779"/>
      <c r="D437" s="779"/>
      <c r="E437" s="779"/>
      <c r="F437" s="779"/>
      <c r="G437" s="779"/>
      <c r="H437" s="779"/>
      <c r="I437" s="779"/>
      <c r="J437" s="779"/>
      <c r="K437" s="779"/>
      <c r="L437" s="779"/>
      <c r="M437" s="779"/>
      <c r="N437" s="779"/>
      <c r="O437" s="398"/>
      <c r="P437" s="398"/>
      <c r="Q437" s="398"/>
      <c r="R437" s="398"/>
      <c r="S437" s="398"/>
      <c r="T437" s="398"/>
      <c r="U437" s="398"/>
      <c r="V437" s="738"/>
      <c r="W437" s="738"/>
      <c r="X437" s="738"/>
    </row>
    <row r="438" spans="1:24" ht="15.75" customHeight="1">
      <c r="A438" s="398"/>
      <c r="B438" s="398"/>
      <c r="C438" s="779"/>
      <c r="D438" s="779"/>
      <c r="E438" s="779"/>
      <c r="F438" s="779"/>
      <c r="G438" s="779"/>
      <c r="H438" s="779"/>
      <c r="I438" s="779"/>
      <c r="J438" s="779"/>
      <c r="K438" s="779"/>
      <c r="L438" s="779"/>
      <c r="M438" s="779"/>
      <c r="N438" s="779"/>
      <c r="O438" s="398"/>
      <c r="P438" s="398"/>
      <c r="Q438" s="398"/>
      <c r="R438" s="398"/>
      <c r="S438" s="398"/>
      <c r="T438" s="398"/>
      <c r="U438" s="398"/>
      <c r="V438" s="738"/>
      <c r="W438" s="738"/>
      <c r="X438" s="738"/>
    </row>
    <row r="439" spans="1:24" ht="15.75" customHeight="1">
      <c r="A439" s="398"/>
      <c r="B439" s="398"/>
      <c r="C439" s="779"/>
      <c r="D439" s="779"/>
      <c r="E439" s="779"/>
      <c r="F439" s="779"/>
      <c r="G439" s="779"/>
      <c r="H439" s="779"/>
      <c r="I439" s="779"/>
      <c r="J439" s="779"/>
      <c r="K439" s="779"/>
      <c r="L439" s="779"/>
      <c r="M439" s="779"/>
      <c r="N439" s="779"/>
      <c r="O439" s="398"/>
      <c r="P439" s="398"/>
      <c r="Q439" s="398"/>
      <c r="R439" s="398"/>
      <c r="S439" s="398"/>
      <c r="T439" s="398"/>
      <c r="U439" s="398"/>
      <c r="V439" s="738"/>
      <c r="W439" s="738"/>
      <c r="X439" s="738"/>
    </row>
    <row r="440" spans="1:24" ht="15.75" customHeight="1">
      <c r="A440" s="398"/>
      <c r="B440" s="398"/>
      <c r="C440" s="779"/>
      <c r="D440" s="779"/>
      <c r="E440" s="779"/>
      <c r="F440" s="779"/>
      <c r="G440" s="779"/>
      <c r="H440" s="779"/>
      <c r="I440" s="779"/>
      <c r="J440" s="779"/>
      <c r="K440" s="779"/>
      <c r="L440" s="779"/>
      <c r="M440" s="779"/>
      <c r="N440" s="779"/>
      <c r="O440" s="398"/>
      <c r="P440" s="398"/>
      <c r="Q440" s="398"/>
      <c r="R440" s="398"/>
      <c r="S440" s="398"/>
      <c r="T440" s="398"/>
      <c r="U440" s="398"/>
      <c r="V440" s="738"/>
      <c r="W440" s="738"/>
      <c r="X440" s="738"/>
    </row>
    <row r="441" spans="1:24" ht="15.75" customHeight="1">
      <c r="A441" s="398"/>
      <c r="B441" s="398"/>
      <c r="C441" s="779"/>
      <c r="D441" s="779"/>
      <c r="E441" s="779"/>
      <c r="F441" s="779"/>
      <c r="G441" s="779"/>
      <c r="H441" s="779"/>
      <c r="I441" s="779"/>
      <c r="J441" s="779"/>
      <c r="K441" s="779"/>
      <c r="L441" s="779"/>
      <c r="M441" s="779"/>
      <c r="N441" s="779"/>
      <c r="O441" s="398"/>
      <c r="P441" s="398"/>
      <c r="Q441" s="398"/>
      <c r="R441" s="398"/>
      <c r="S441" s="398"/>
      <c r="T441" s="398"/>
      <c r="U441" s="398"/>
      <c r="V441" s="738"/>
      <c r="W441" s="738"/>
      <c r="X441" s="738"/>
    </row>
    <row r="442" spans="1:24" ht="15.75" customHeight="1">
      <c r="A442" s="398"/>
      <c r="B442" s="398"/>
      <c r="C442" s="779"/>
      <c r="D442" s="779"/>
      <c r="E442" s="779"/>
      <c r="F442" s="779"/>
      <c r="G442" s="779"/>
      <c r="H442" s="779"/>
      <c r="I442" s="779"/>
      <c r="J442" s="779"/>
      <c r="K442" s="779"/>
      <c r="L442" s="779"/>
      <c r="M442" s="779"/>
      <c r="N442" s="779"/>
      <c r="O442" s="398"/>
      <c r="P442" s="398"/>
      <c r="Q442" s="398"/>
      <c r="R442" s="398"/>
      <c r="S442" s="398"/>
      <c r="T442" s="398"/>
      <c r="U442" s="398"/>
      <c r="V442" s="738"/>
      <c r="W442" s="738"/>
      <c r="X442" s="738"/>
    </row>
    <row r="443" spans="1:24" ht="15.75" customHeight="1">
      <c r="A443" s="398"/>
      <c r="B443" s="398"/>
      <c r="C443" s="779"/>
      <c r="D443" s="779"/>
      <c r="E443" s="779"/>
      <c r="F443" s="779"/>
      <c r="G443" s="779"/>
      <c r="H443" s="779"/>
      <c r="I443" s="779"/>
      <c r="J443" s="779"/>
      <c r="K443" s="779"/>
      <c r="L443" s="779"/>
      <c r="M443" s="779"/>
      <c r="N443" s="779"/>
      <c r="O443" s="398"/>
      <c r="P443" s="398"/>
      <c r="Q443" s="398"/>
      <c r="R443" s="398"/>
      <c r="S443" s="398"/>
      <c r="T443" s="398"/>
      <c r="U443" s="398"/>
      <c r="V443" s="738"/>
      <c r="W443" s="738"/>
      <c r="X443" s="738"/>
    </row>
    <row r="444" spans="1:24" ht="15.75" customHeight="1">
      <c r="A444" s="398"/>
      <c r="B444" s="398"/>
      <c r="C444" s="779"/>
      <c r="D444" s="779"/>
      <c r="E444" s="779"/>
      <c r="F444" s="779"/>
      <c r="G444" s="779"/>
      <c r="H444" s="779"/>
      <c r="I444" s="779"/>
      <c r="J444" s="779"/>
      <c r="K444" s="779"/>
      <c r="L444" s="779"/>
      <c r="M444" s="779"/>
      <c r="N444" s="779"/>
      <c r="O444" s="398"/>
      <c r="P444" s="398"/>
      <c r="Q444" s="398"/>
      <c r="R444" s="398"/>
      <c r="S444" s="398"/>
      <c r="T444" s="398"/>
      <c r="U444" s="398"/>
      <c r="V444" s="738"/>
      <c r="W444" s="738"/>
      <c r="X444" s="738"/>
    </row>
    <row r="445" spans="1:24" ht="15.75" customHeight="1">
      <c r="A445" s="398"/>
      <c r="B445" s="398"/>
      <c r="C445" s="779"/>
      <c r="D445" s="779"/>
      <c r="E445" s="779"/>
      <c r="F445" s="779"/>
      <c r="G445" s="779"/>
      <c r="H445" s="779"/>
      <c r="I445" s="779"/>
      <c r="J445" s="779"/>
      <c r="K445" s="779"/>
      <c r="L445" s="779"/>
      <c r="M445" s="779"/>
      <c r="N445" s="779"/>
      <c r="O445" s="398"/>
      <c r="P445" s="398"/>
      <c r="Q445" s="398"/>
      <c r="R445" s="398"/>
      <c r="S445" s="398"/>
      <c r="T445" s="398"/>
      <c r="U445" s="398"/>
      <c r="V445" s="738"/>
      <c r="W445" s="738"/>
      <c r="X445" s="738"/>
    </row>
    <row r="446" spans="1:24" ht="15.75" customHeight="1">
      <c r="A446" s="398"/>
      <c r="B446" s="398"/>
      <c r="C446" s="779"/>
      <c r="D446" s="779"/>
      <c r="E446" s="779"/>
      <c r="F446" s="779"/>
      <c r="G446" s="779"/>
      <c r="H446" s="779"/>
      <c r="I446" s="779"/>
      <c r="J446" s="779"/>
      <c r="K446" s="779"/>
      <c r="L446" s="779"/>
      <c r="M446" s="779"/>
      <c r="N446" s="779"/>
      <c r="O446" s="398"/>
      <c r="P446" s="398"/>
      <c r="Q446" s="398"/>
      <c r="R446" s="398"/>
      <c r="S446" s="398"/>
      <c r="T446" s="398"/>
      <c r="U446" s="398"/>
      <c r="V446" s="738"/>
      <c r="W446" s="738"/>
      <c r="X446" s="738"/>
    </row>
    <row r="447" spans="1:24" ht="15.75" customHeight="1">
      <c r="A447" s="398"/>
      <c r="B447" s="398"/>
      <c r="C447" s="779"/>
      <c r="D447" s="779"/>
      <c r="E447" s="779"/>
      <c r="F447" s="779"/>
      <c r="G447" s="779"/>
      <c r="H447" s="779"/>
      <c r="I447" s="779"/>
      <c r="J447" s="779"/>
      <c r="K447" s="779"/>
      <c r="L447" s="779"/>
      <c r="M447" s="779"/>
      <c r="N447" s="779"/>
      <c r="O447" s="398"/>
      <c r="P447" s="398"/>
      <c r="Q447" s="398"/>
      <c r="R447" s="398"/>
      <c r="S447" s="398"/>
      <c r="T447" s="398"/>
      <c r="U447" s="398"/>
      <c r="V447" s="738"/>
      <c r="W447" s="738"/>
      <c r="X447" s="738"/>
    </row>
    <row r="448" spans="1:24" ht="15.75" customHeight="1">
      <c r="A448" s="398"/>
      <c r="B448" s="398"/>
      <c r="C448" s="779"/>
      <c r="D448" s="779"/>
      <c r="E448" s="779"/>
      <c r="F448" s="779"/>
      <c r="G448" s="779"/>
      <c r="H448" s="779"/>
      <c r="I448" s="779"/>
      <c r="J448" s="779"/>
      <c r="K448" s="779"/>
      <c r="L448" s="779"/>
      <c r="M448" s="779"/>
      <c r="N448" s="779"/>
      <c r="O448" s="398"/>
      <c r="P448" s="398"/>
      <c r="Q448" s="398"/>
      <c r="R448" s="398"/>
      <c r="S448" s="398"/>
      <c r="T448" s="398"/>
      <c r="U448" s="398"/>
      <c r="V448" s="738"/>
      <c r="W448" s="738"/>
      <c r="X448" s="738"/>
    </row>
    <row r="449" spans="1:24" ht="15.75" customHeight="1">
      <c r="A449" s="398"/>
      <c r="B449" s="398"/>
      <c r="C449" s="779"/>
      <c r="D449" s="779"/>
      <c r="E449" s="779"/>
      <c r="F449" s="779"/>
      <c r="G449" s="779"/>
      <c r="H449" s="779"/>
      <c r="I449" s="779"/>
      <c r="J449" s="779"/>
      <c r="K449" s="779"/>
      <c r="L449" s="779"/>
      <c r="M449" s="779"/>
      <c r="N449" s="779"/>
      <c r="O449" s="398"/>
      <c r="P449" s="398"/>
      <c r="Q449" s="398"/>
      <c r="R449" s="398"/>
      <c r="S449" s="398"/>
      <c r="T449" s="398"/>
      <c r="U449" s="398"/>
      <c r="V449" s="738"/>
      <c r="W449" s="738"/>
      <c r="X449" s="738"/>
    </row>
    <row r="450" spans="1:24" ht="15.75" customHeight="1">
      <c r="A450" s="398"/>
      <c r="B450" s="398"/>
      <c r="C450" s="779"/>
      <c r="D450" s="779"/>
      <c r="E450" s="779"/>
      <c r="F450" s="779"/>
      <c r="G450" s="779"/>
      <c r="H450" s="779"/>
      <c r="I450" s="779"/>
      <c r="J450" s="779"/>
      <c r="K450" s="779"/>
      <c r="L450" s="779"/>
      <c r="M450" s="779"/>
      <c r="N450" s="779"/>
      <c r="O450" s="398"/>
      <c r="P450" s="398"/>
      <c r="Q450" s="398"/>
      <c r="R450" s="398"/>
      <c r="S450" s="398"/>
      <c r="T450" s="398"/>
      <c r="U450" s="398"/>
      <c r="V450" s="738"/>
      <c r="W450" s="738"/>
      <c r="X450" s="738"/>
    </row>
    <row r="451" spans="1:24" ht="15.75" customHeight="1">
      <c r="A451" s="487"/>
      <c r="B451" s="487"/>
      <c r="C451" s="850"/>
      <c r="D451" s="850"/>
      <c r="E451" s="850"/>
      <c r="F451" s="850"/>
      <c r="G451" s="850"/>
      <c r="H451" s="850"/>
      <c r="I451" s="850"/>
      <c r="J451" s="850"/>
      <c r="K451" s="850"/>
      <c r="L451" s="850"/>
      <c r="M451" s="850"/>
      <c r="N451" s="850"/>
      <c r="O451" s="487"/>
      <c r="P451" s="487"/>
      <c r="Q451" s="487"/>
      <c r="R451" s="487"/>
      <c r="S451" s="487"/>
      <c r="T451" s="487"/>
      <c r="U451" s="487"/>
    </row>
    <row r="452" spans="1:24" ht="15.75" customHeight="1">
      <c r="A452" s="487"/>
      <c r="B452" s="487"/>
      <c r="C452" s="850"/>
      <c r="D452" s="850"/>
      <c r="E452" s="850"/>
      <c r="F452" s="850"/>
      <c r="G452" s="850"/>
      <c r="H452" s="850"/>
      <c r="I452" s="850"/>
      <c r="J452" s="850"/>
      <c r="K452" s="850"/>
      <c r="L452" s="850"/>
      <c r="M452" s="850"/>
      <c r="N452" s="850"/>
      <c r="O452" s="487"/>
      <c r="P452" s="487"/>
      <c r="Q452" s="487"/>
      <c r="R452" s="487"/>
      <c r="S452" s="487"/>
      <c r="T452" s="487"/>
      <c r="U452" s="487"/>
    </row>
    <row r="453" spans="1:24" ht="15.75" customHeight="1">
      <c r="A453" s="487"/>
      <c r="B453" s="487"/>
      <c r="C453" s="850"/>
      <c r="D453" s="850"/>
      <c r="E453" s="850"/>
      <c r="F453" s="850"/>
      <c r="G453" s="850"/>
      <c r="H453" s="850"/>
      <c r="I453" s="850"/>
      <c r="J453" s="850"/>
      <c r="K453" s="850"/>
      <c r="L453" s="850"/>
      <c r="M453" s="850"/>
      <c r="N453" s="850"/>
      <c r="O453" s="487"/>
      <c r="P453" s="487"/>
      <c r="Q453" s="487"/>
      <c r="R453" s="487"/>
      <c r="S453" s="487"/>
      <c r="T453" s="487"/>
      <c r="U453" s="487"/>
    </row>
    <row r="454" spans="1:24" ht="15.75" customHeight="1">
      <c r="A454" s="487"/>
      <c r="B454" s="487"/>
      <c r="C454" s="850"/>
      <c r="D454" s="850"/>
      <c r="E454" s="850"/>
      <c r="F454" s="850"/>
      <c r="G454" s="850"/>
      <c r="H454" s="850"/>
      <c r="I454" s="850"/>
      <c r="J454" s="850"/>
      <c r="K454" s="850"/>
      <c r="L454" s="850"/>
      <c r="M454" s="850"/>
      <c r="N454" s="850"/>
      <c r="O454" s="487"/>
      <c r="P454" s="487"/>
      <c r="Q454" s="487"/>
      <c r="R454" s="487"/>
      <c r="S454" s="487"/>
      <c r="T454" s="487"/>
      <c r="U454" s="487"/>
    </row>
    <row r="455" spans="1:24" ht="15.75" customHeight="1">
      <c r="A455" s="487"/>
      <c r="B455" s="487"/>
      <c r="C455" s="850"/>
      <c r="D455" s="850"/>
      <c r="E455" s="850"/>
      <c r="F455" s="850"/>
      <c r="G455" s="850"/>
      <c r="H455" s="850"/>
      <c r="I455" s="850"/>
      <c r="J455" s="850"/>
      <c r="K455" s="850"/>
      <c r="L455" s="850"/>
      <c r="M455" s="850"/>
      <c r="N455" s="850"/>
      <c r="O455" s="487"/>
      <c r="P455" s="487"/>
      <c r="Q455" s="487"/>
      <c r="R455" s="487"/>
      <c r="S455" s="487"/>
      <c r="T455" s="487"/>
      <c r="U455" s="487"/>
    </row>
    <row r="456" spans="1:24" ht="15.75" customHeight="1">
      <c r="A456" s="487"/>
      <c r="B456" s="487"/>
      <c r="C456" s="850"/>
      <c r="D456" s="850"/>
      <c r="E456" s="850"/>
      <c r="F456" s="850"/>
      <c r="G456" s="850"/>
      <c r="H456" s="850"/>
      <c r="I456" s="850"/>
      <c r="J456" s="850"/>
      <c r="K456" s="850"/>
      <c r="L456" s="850"/>
      <c r="M456" s="850"/>
      <c r="N456" s="850"/>
      <c r="O456" s="487"/>
      <c r="P456" s="487"/>
      <c r="Q456" s="487"/>
      <c r="R456" s="487"/>
      <c r="S456" s="487"/>
      <c r="T456" s="487"/>
      <c r="U456" s="487"/>
    </row>
    <row r="457" spans="1:24" ht="15.75" customHeight="1">
      <c r="A457" s="487"/>
      <c r="B457" s="487"/>
      <c r="C457" s="850"/>
      <c r="D457" s="850"/>
      <c r="E457" s="850"/>
      <c r="F457" s="850"/>
      <c r="G457" s="850"/>
      <c r="H457" s="850"/>
      <c r="I457" s="850"/>
      <c r="J457" s="850"/>
      <c r="K457" s="850"/>
      <c r="L457" s="850"/>
      <c r="M457" s="850"/>
      <c r="N457" s="850"/>
      <c r="O457" s="487"/>
      <c r="P457" s="487"/>
      <c r="Q457" s="487"/>
      <c r="R457" s="487"/>
      <c r="S457" s="487"/>
      <c r="T457" s="487"/>
      <c r="U457" s="487"/>
    </row>
    <row r="458" spans="1:24" ht="15.75" customHeight="1">
      <c r="A458" s="487"/>
      <c r="B458" s="487"/>
      <c r="C458" s="850"/>
      <c r="D458" s="850"/>
      <c r="E458" s="850"/>
      <c r="F458" s="850"/>
      <c r="G458" s="850"/>
      <c r="H458" s="850"/>
      <c r="I458" s="850"/>
      <c r="J458" s="850"/>
      <c r="K458" s="850"/>
      <c r="L458" s="850"/>
      <c r="M458" s="850"/>
      <c r="N458" s="850"/>
      <c r="O458" s="487"/>
      <c r="P458" s="487"/>
      <c r="Q458" s="487"/>
      <c r="R458" s="487"/>
      <c r="S458" s="487"/>
      <c r="T458" s="487"/>
      <c r="U458" s="487"/>
    </row>
    <row r="459" spans="1:24" ht="15.75" customHeight="1">
      <c r="A459" s="487"/>
      <c r="B459" s="487"/>
      <c r="C459" s="850"/>
      <c r="D459" s="850"/>
      <c r="E459" s="850"/>
      <c r="F459" s="850"/>
      <c r="G459" s="850"/>
      <c r="H459" s="850"/>
      <c r="I459" s="850"/>
      <c r="J459" s="850"/>
      <c r="K459" s="850"/>
      <c r="L459" s="850"/>
      <c r="M459" s="850"/>
      <c r="N459" s="850"/>
      <c r="O459" s="487"/>
      <c r="P459" s="487"/>
      <c r="Q459" s="487"/>
      <c r="R459" s="487"/>
      <c r="S459" s="487"/>
      <c r="T459" s="487"/>
      <c r="U459" s="487"/>
    </row>
    <row r="460" spans="1:24" ht="15.75" customHeight="1">
      <c r="A460" s="487"/>
      <c r="B460" s="487"/>
      <c r="C460" s="850"/>
      <c r="D460" s="850"/>
      <c r="E460" s="850"/>
      <c r="F460" s="850"/>
      <c r="G460" s="850"/>
      <c r="H460" s="850"/>
      <c r="I460" s="850"/>
      <c r="J460" s="850"/>
      <c r="K460" s="850"/>
      <c r="L460" s="850"/>
      <c r="M460" s="850"/>
      <c r="N460" s="850"/>
      <c r="O460" s="487"/>
      <c r="P460" s="487"/>
      <c r="Q460" s="487"/>
      <c r="R460" s="487"/>
      <c r="S460" s="487"/>
      <c r="T460" s="487"/>
      <c r="U460" s="487"/>
    </row>
    <row r="461" spans="1:24" ht="15.75" customHeight="1">
      <c r="A461" s="487"/>
      <c r="B461" s="487"/>
      <c r="C461" s="850"/>
      <c r="D461" s="850"/>
      <c r="E461" s="850"/>
      <c r="F461" s="850"/>
      <c r="G461" s="850"/>
      <c r="H461" s="850"/>
      <c r="I461" s="850"/>
      <c r="J461" s="850"/>
      <c r="K461" s="850"/>
      <c r="L461" s="850"/>
      <c r="M461" s="850"/>
      <c r="N461" s="850"/>
      <c r="O461" s="487"/>
      <c r="P461" s="487"/>
      <c r="Q461" s="487"/>
      <c r="R461" s="487"/>
      <c r="S461" s="487"/>
      <c r="T461" s="487"/>
      <c r="U461" s="487"/>
    </row>
    <row r="462" spans="1:24" ht="15.75" customHeight="1">
      <c r="A462" s="487"/>
      <c r="B462" s="487"/>
      <c r="C462" s="850"/>
      <c r="D462" s="850"/>
      <c r="E462" s="850"/>
      <c r="F462" s="850"/>
      <c r="G462" s="850"/>
      <c r="H462" s="850"/>
      <c r="I462" s="850"/>
      <c r="J462" s="850"/>
      <c r="K462" s="850"/>
      <c r="L462" s="850"/>
      <c r="M462" s="850"/>
      <c r="N462" s="850"/>
      <c r="O462" s="487"/>
      <c r="P462" s="487"/>
      <c r="Q462" s="487"/>
      <c r="R462" s="487"/>
      <c r="S462" s="487"/>
      <c r="T462" s="487"/>
      <c r="U462" s="487"/>
    </row>
    <row r="463" spans="1:24" ht="15.75" customHeight="1">
      <c r="A463" s="487"/>
      <c r="B463" s="487"/>
      <c r="C463" s="850"/>
      <c r="D463" s="850"/>
      <c r="E463" s="850"/>
      <c r="F463" s="850"/>
      <c r="G463" s="850"/>
      <c r="H463" s="850"/>
      <c r="I463" s="850"/>
      <c r="J463" s="850"/>
      <c r="K463" s="850"/>
      <c r="L463" s="850"/>
      <c r="M463" s="850"/>
      <c r="N463" s="850"/>
      <c r="O463" s="487"/>
      <c r="P463" s="487"/>
      <c r="Q463" s="487"/>
      <c r="R463" s="487"/>
      <c r="S463" s="487"/>
      <c r="T463" s="487"/>
      <c r="U463" s="487"/>
    </row>
    <row r="464" spans="1:24" ht="15.75" customHeight="1">
      <c r="A464" s="487"/>
      <c r="B464" s="487"/>
      <c r="C464" s="850"/>
      <c r="D464" s="850"/>
      <c r="E464" s="850"/>
      <c r="F464" s="850"/>
      <c r="G464" s="850"/>
      <c r="H464" s="850"/>
      <c r="I464" s="850"/>
      <c r="J464" s="850"/>
      <c r="K464" s="850"/>
      <c r="L464" s="850"/>
      <c r="M464" s="850"/>
      <c r="N464" s="850"/>
      <c r="O464" s="487"/>
      <c r="P464" s="487"/>
      <c r="Q464" s="487"/>
      <c r="R464" s="487"/>
      <c r="S464" s="487"/>
      <c r="T464" s="487"/>
      <c r="U464" s="487"/>
    </row>
    <row r="465" spans="3:14" ht="15.75" customHeight="1">
      <c r="C465" s="851"/>
      <c r="D465" s="851"/>
      <c r="E465" s="851"/>
      <c r="F465" s="851"/>
      <c r="G465" s="851"/>
      <c r="H465" s="851"/>
      <c r="I465" s="851"/>
      <c r="J465" s="851"/>
      <c r="K465" s="851"/>
      <c r="L465" s="851"/>
      <c r="M465" s="851"/>
      <c r="N465" s="851"/>
    </row>
    <row r="466" spans="3:14" ht="15.75" customHeight="1">
      <c r="C466" s="851"/>
      <c r="D466" s="851"/>
      <c r="E466" s="851"/>
      <c r="F466" s="851"/>
      <c r="G466" s="851"/>
      <c r="H466" s="851"/>
      <c r="I466" s="851"/>
      <c r="J466" s="851"/>
      <c r="K466" s="851"/>
      <c r="L466" s="851"/>
      <c r="M466" s="851"/>
      <c r="N466" s="851"/>
    </row>
    <row r="467" spans="3:14" ht="15.75" customHeight="1">
      <c r="C467" s="851"/>
      <c r="D467" s="851"/>
      <c r="E467" s="851"/>
      <c r="F467" s="851"/>
      <c r="G467" s="851"/>
      <c r="H467" s="851"/>
      <c r="I467" s="851"/>
      <c r="J467" s="851"/>
      <c r="K467" s="851"/>
      <c r="L467" s="851"/>
      <c r="M467" s="851"/>
      <c r="N467" s="851"/>
    </row>
    <row r="468" spans="3:14" ht="15.75" customHeight="1">
      <c r="C468" s="851"/>
      <c r="D468" s="851"/>
      <c r="E468" s="851"/>
      <c r="F468" s="851"/>
      <c r="G468" s="851"/>
      <c r="H468" s="851"/>
      <c r="I468" s="851"/>
      <c r="J468" s="851"/>
      <c r="K468" s="851"/>
      <c r="L468" s="851"/>
      <c r="M468" s="851"/>
      <c r="N468" s="851"/>
    </row>
    <row r="469" spans="3:14" ht="15.75" customHeight="1">
      <c r="C469" s="851"/>
      <c r="D469" s="851"/>
      <c r="E469" s="851"/>
      <c r="F469" s="851"/>
      <c r="G469" s="851"/>
      <c r="H469" s="851"/>
      <c r="I469" s="851"/>
      <c r="J469" s="851"/>
      <c r="K469" s="851"/>
      <c r="L469" s="851"/>
      <c r="M469" s="851"/>
      <c r="N469" s="851"/>
    </row>
    <row r="470" spans="3:14" ht="15.75" customHeight="1">
      <c r="C470" s="851"/>
      <c r="D470" s="851"/>
      <c r="E470" s="851"/>
      <c r="F470" s="851"/>
      <c r="G470" s="851"/>
      <c r="H470" s="851"/>
      <c r="I470" s="851"/>
      <c r="J470" s="851"/>
      <c r="K470" s="851"/>
      <c r="L470" s="851"/>
      <c r="M470" s="851"/>
      <c r="N470" s="851"/>
    </row>
    <row r="471" spans="3:14" ht="15.75" customHeight="1">
      <c r="C471" s="851"/>
      <c r="D471" s="851"/>
      <c r="E471" s="851"/>
      <c r="F471" s="851"/>
      <c r="G471" s="851"/>
      <c r="H471" s="851"/>
      <c r="I471" s="851"/>
      <c r="J471" s="851"/>
      <c r="K471" s="851"/>
      <c r="L471" s="851"/>
      <c r="M471" s="851"/>
      <c r="N471" s="851"/>
    </row>
    <row r="472" spans="3:14" ht="15.75" customHeight="1">
      <c r="C472" s="851"/>
      <c r="D472" s="851"/>
      <c r="E472" s="851"/>
      <c r="F472" s="851"/>
      <c r="G472" s="851"/>
      <c r="H472" s="851"/>
      <c r="I472" s="851"/>
      <c r="J472" s="851"/>
      <c r="K472" s="851"/>
      <c r="L472" s="851"/>
      <c r="M472" s="851"/>
      <c r="N472" s="851"/>
    </row>
    <row r="473" spans="3:14" ht="15.75" customHeight="1">
      <c r="C473" s="851"/>
      <c r="D473" s="851"/>
      <c r="E473" s="851"/>
      <c r="F473" s="851"/>
      <c r="G473" s="851"/>
      <c r="H473" s="851"/>
      <c r="I473" s="851"/>
      <c r="J473" s="851"/>
      <c r="K473" s="851"/>
      <c r="L473" s="851"/>
      <c r="M473" s="851"/>
      <c r="N473" s="851"/>
    </row>
    <row r="474" spans="3:14" ht="15.75" customHeight="1">
      <c r="C474" s="851"/>
      <c r="D474" s="851"/>
      <c r="E474" s="851"/>
      <c r="F474" s="851"/>
      <c r="G474" s="851"/>
      <c r="H474" s="851"/>
      <c r="I474" s="851"/>
      <c r="J474" s="851"/>
      <c r="K474" s="851"/>
      <c r="L474" s="851"/>
      <c r="M474" s="851"/>
      <c r="N474" s="851"/>
    </row>
    <row r="475" spans="3:14" ht="15.75" customHeight="1">
      <c r="C475" s="851"/>
      <c r="D475" s="851"/>
      <c r="E475" s="851"/>
      <c r="F475" s="851"/>
      <c r="G475" s="851"/>
      <c r="H475" s="851"/>
      <c r="I475" s="851"/>
      <c r="J475" s="851"/>
      <c r="K475" s="851"/>
      <c r="L475" s="851"/>
      <c r="M475" s="851"/>
      <c r="N475" s="851"/>
    </row>
    <row r="476" spans="3:14" ht="15.75" customHeight="1">
      <c r="C476" s="851"/>
      <c r="D476" s="851"/>
      <c r="E476" s="851"/>
      <c r="F476" s="851"/>
      <c r="G476" s="851"/>
      <c r="H476" s="851"/>
      <c r="I476" s="851"/>
      <c r="J476" s="851"/>
      <c r="K476" s="851"/>
      <c r="L476" s="851"/>
      <c r="M476" s="851"/>
      <c r="N476" s="851"/>
    </row>
    <row r="477" spans="3:14" ht="15.75" customHeight="1">
      <c r="C477" s="851"/>
      <c r="D477" s="851"/>
      <c r="E477" s="851"/>
      <c r="F477" s="851"/>
      <c r="G477" s="851"/>
      <c r="H477" s="851"/>
      <c r="I477" s="851"/>
      <c r="J477" s="851"/>
      <c r="K477" s="851"/>
      <c r="L477" s="851"/>
      <c r="M477" s="851"/>
      <c r="N477" s="851"/>
    </row>
    <row r="478" spans="3:14" ht="15.75" customHeight="1">
      <c r="C478" s="851"/>
      <c r="D478" s="851"/>
      <c r="E478" s="851"/>
      <c r="F478" s="851"/>
      <c r="G478" s="851"/>
      <c r="H478" s="851"/>
      <c r="I478" s="851"/>
      <c r="J478" s="851"/>
      <c r="K478" s="851"/>
      <c r="L478" s="851"/>
      <c r="M478" s="851"/>
      <c r="N478" s="851"/>
    </row>
    <row r="479" spans="3:14" ht="15.75" customHeight="1">
      <c r="C479" s="851"/>
      <c r="D479" s="851"/>
      <c r="E479" s="851"/>
      <c r="F479" s="851"/>
      <c r="G479" s="851"/>
      <c r="H479" s="851"/>
      <c r="I479" s="851"/>
      <c r="J479" s="851"/>
      <c r="K479" s="851"/>
      <c r="L479" s="851"/>
      <c r="M479" s="851"/>
      <c r="N479" s="851"/>
    </row>
    <row r="480" spans="3:14" ht="15.75" customHeight="1">
      <c r="C480" s="851"/>
      <c r="D480" s="851"/>
      <c r="E480" s="851"/>
      <c r="F480" s="851"/>
      <c r="G480" s="851"/>
      <c r="H480" s="851"/>
      <c r="I480" s="851"/>
      <c r="J480" s="851"/>
      <c r="K480" s="851"/>
      <c r="L480" s="851"/>
      <c r="M480" s="851"/>
      <c r="N480" s="851"/>
    </row>
    <row r="481" spans="3:14" ht="15.75" customHeight="1">
      <c r="C481" s="851"/>
      <c r="D481" s="851"/>
      <c r="E481" s="851"/>
      <c r="F481" s="851"/>
      <c r="G481" s="851"/>
      <c r="H481" s="851"/>
      <c r="I481" s="851"/>
      <c r="J481" s="851"/>
      <c r="K481" s="851"/>
      <c r="L481" s="851"/>
      <c r="M481" s="851"/>
      <c r="N481" s="851"/>
    </row>
    <row r="482" spans="3:14" ht="15.75" customHeight="1">
      <c r="C482" s="851"/>
      <c r="D482" s="851"/>
      <c r="E482" s="851"/>
      <c r="F482" s="851"/>
      <c r="G482" s="851"/>
      <c r="H482" s="851"/>
      <c r="I482" s="851"/>
      <c r="J482" s="851"/>
      <c r="K482" s="851"/>
      <c r="L482" s="851"/>
      <c r="M482" s="851"/>
      <c r="N482" s="851"/>
    </row>
    <row r="483" spans="3:14" ht="15.75" customHeight="1">
      <c r="C483" s="851"/>
      <c r="D483" s="851"/>
      <c r="E483" s="851"/>
      <c r="F483" s="851"/>
      <c r="G483" s="851"/>
      <c r="H483" s="851"/>
      <c r="I483" s="851"/>
      <c r="J483" s="851"/>
      <c r="K483" s="851"/>
      <c r="L483" s="851"/>
      <c r="M483" s="851"/>
      <c r="N483" s="851"/>
    </row>
    <row r="484" spans="3:14" ht="15.75" customHeight="1">
      <c r="C484" s="851"/>
      <c r="D484" s="851"/>
      <c r="E484" s="851"/>
      <c r="F484" s="851"/>
      <c r="G484" s="851"/>
      <c r="H484" s="851"/>
      <c r="I484" s="851"/>
      <c r="J484" s="851"/>
      <c r="K484" s="851"/>
      <c r="L484" s="851"/>
      <c r="M484" s="851"/>
      <c r="N484" s="851"/>
    </row>
    <row r="485" spans="3:14" ht="15.75" customHeight="1">
      <c r="C485" s="851"/>
      <c r="D485" s="851"/>
      <c r="E485" s="851"/>
      <c r="F485" s="851"/>
      <c r="G485" s="851"/>
      <c r="H485" s="851"/>
      <c r="I485" s="851"/>
      <c r="J485" s="851"/>
      <c r="K485" s="851"/>
      <c r="L485" s="851"/>
      <c r="M485" s="851"/>
      <c r="N485" s="851"/>
    </row>
    <row r="486" spans="3:14" ht="15.75" customHeight="1">
      <c r="C486" s="851"/>
      <c r="D486" s="851"/>
      <c r="E486" s="851"/>
      <c r="F486" s="851"/>
      <c r="G486" s="851"/>
      <c r="H486" s="851"/>
      <c r="I486" s="851"/>
      <c r="J486" s="851"/>
      <c r="K486" s="851"/>
      <c r="L486" s="851"/>
      <c r="M486" s="851"/>
      <c r="N486" s="851"/>
    </row>
    <row r="487" spans="3:14" ht="15.75" customHeight="1">
      <c r="C487" s="851"/>
      <c r="D487" s="851"/>
      <c r="E487" s="851"/>
      <c r="F487" s="851"/>
      <c r="G487" s="851"/>
      <c r="H487" s="851"/>
      <c r="I487" s="851"/>
      <c r="J487" s="851"/>
      <c r="K487" s="851"/>
      <c r="L487" s="851"/>
      <c r="M487" s="851"/>
      <c r="N487" s="851"/>
    </row>
    <row r="488" spans="3:14" ht="15.75" customHeight="1">
      <c r="C488" s="851"/>
      <c r="D488" s="851"/>
      <c r="E488" s="851"/>
      <c r="F488" s="851"/>
      <c r="G488" s="851"/>
      <c r="H488" s="851"/>
      <c r="I488" s="851"/>
      <c r="J488" s="851"/>
      <c r="K488" s="851"/>
      <c r="L488" s="851"/>
      <c r="M488" s="851"/>
      <c r="N488" s="851"/>
    </row>
    <row r="489" spans="3:14" ht="15.75" customHeight="1">
      <c r="C489" s="851"/>
      <c r="D489" s="851"/>
      <c r="E489" s="851"/>
      <c r="F489" s="851"/>
      <c r="G489" s="851"/>
      <c r="H489" s="851"/>
      <c r="I489" s="851"/>
      <c r="J489" s="851"/>
      <c r="K489" s="851"/>
      <c r="L489" s="851"/>
      <c r="M489" s="851"/>
      <c r="N489" s="851"/>
    </row>
    <row r="490" spans="3:14" ht="15.75" customHeight="1">
      <c r="C490" s="851"/>
      <c r="D490" s="851"/>
      <c r="E490" s="851"/>
      <c r="F490" s="851"/>
      <c r="G490" s="851"/>
      <c r="H490" s="851"/>
      <c r="I490" s="851"/>
      <c r="J490" s="851"/>
      <c r="K490" s="851"/>
      <c r="L490" s="851"/>
      <c r="M490" s="851"/>
      <c r="N490" s="851"/>
    </row>
    <row r="491" spans="3:14" ht="15.75" customHeight="1">
      <c r="C491" s="851"/>
      <c r="D491" s="851"/>
      <c r="E491" s="851"/>
      <c r="F491" s="851"/>
      <c r="G491" s="851"/>
      <c r="H491" s="851"/>
      <c r="I491" s="851"/>
      <c r="J491" s="851"/>
      <c r="K491" s="851"/>
      <c r="L491" s="851"/>
      <c r="M491" s="851"/>
      <c r="N491" s="851"/>
    </row>
    <row r="492" spans="3:14" ht="14.25" customHeight="1">
      <c r="C492" s="851"/>
      <c r="D492" s="851"/>
      <c r="E492" s="851"/>
      <c r="F492" s="851"/>
      <c r="G492" s="851"/>
      <c r="H492" s="851"/>
      <c r="I492" s="851"/>
      <c r="J492" s="851"/>
      <c r="K492" s="851"/>
      <c r="L492" s="851"/>
      <c r="M492" s="851"/>
      <c r="N492" s="851"/>
    </row>
    <row r="493" spans="3:14" ht="14.25" customHeight="1">
      <c r="C493" s="851"/>
      <c r="D493" s="851"/>
      <c r="E493" s="851"/>
      <c r="F493" s="851"/>
      <c r="G493" s="851"/>
      <c r="H493" s="851"/>
      <c r="I493" s="851"/>
      <c r="J493" s="851"/>
      <c r="K493" s="851"/>
      <c r="L493" s="851"/>
      <c r="M493" s="851"/>
      <c r="N493" s="851"/>
    </row>
    <row r="494" spans="3:14" ht="14.25" customHeight="1">
      <c r="C494" s="851"/>
      <c r="D494" s="851"/>
      <c r="E494" s="851"/>
      <c r="F494" s="851"/>
      <c r="G494" s="851"/>
      <c r="H494" s="851"/>
      <c r="I494" s="851"/>
      <c r="J494" s="851"/>
      <c r="K494" s="851"/>
      <c r="L494" s="851"/>
      <c r="M494" s="851"/>
      <c r="N494" s="851"/>
    </row>
    <row r="495" spans="3:14" ht="14.25" customHeight="1">
      <c r="C495" s="851"/>
      <c r="D495" s="851"/>
      <c r="E495" s="851"/>
      <c r="F495" s="851"/>
      <c r="G495" s="851"/>
      <c r="H495" s="851"/>
      <c r="I495" s="851"/>
      <c r="J495" s="851"/>
      <c r="K495" s="851"/>
      <c r="L495" s="851"/>
      <c r="M495" s="851"/>
      <c r="N495" s="851"/>
    </row>
    <row r="496" spans="3:14" ht="14.25" customHeight="1">
      <c r="C496" s="851"/>
      <c r="D496" s="851"/>
      <c r="E496" s="851"/>
      <c r="F496" s="851"/>
      <c r="G496" s="851"/>
      <c r="H496" s="851"/>
      <c r="I496" s="851"/>
      <c r="J496" s="851"/>
      <c r="K496" s="851"/>
      <c r="L496" s="851"/>
      <c r="M496" s="851"/>
      <c r="N496" s="851"/>
    </row>
    <row r="497" spans="3:14" ht="14.25" customHeight="1">
      <c r="C497" s="851"/>
      <c r="D497" s="851"/>
      <c r="E497" s="851"/>
      <c r="F497" s="851"/>
      <c r="G497" s="851"/>
      <c r="H497" s="851"/>
      <c r="I497" s="851"/>
      <c r="J497" s="851"/>
      <c r="K497" s="851"/>
      <c r="L497" s="851"/>
      <c r="M497" s="851"/>
      <c r="N497" s="851"/>
    </row>
    <row r="498" spans="3:14" ht="14.25" customHeight="1">
      <c r="C498" s="851"/>
      <c r="D498" s="851"/>
      <c r="E498" s="851"/>
      <c r="F498" s="851"/>
      <c r="G498" s="851"/>
      <c r="H498" s="851"/>
      <c r="I498" s="851"/>
      <c r="J498" s="851"/>
      <c r="K498" s="851"/>
      <c r="L498" s="851"/>
      <c r="M498" s="851"/>
      <c r="N498" s="851"/>
    </row>
    <row r="499" spans="3:14" ht="14.25" customHeight="1">
      <c r="C499" s="851"/>
      <c r="D499" s="851"/>
      <c r="E499" s="851"/>
      <c r="F499" s="851"/>
      <c r="G499" s="851"/>
      <c r="H499" s="851"/>
      <c r="I499" s="851"/>
      <c r="J499" s="851"/>
      <c r="K499" s="851"/>
      <c r="L499" s="851"/>
      <c r="M499" s="851"/>
      <c r="N499" s="851"/>
    </row>
    <row r="500" spans="3:14" ht="14.25" customHeight="1">
      <c r="C500" s="851"/>
      <c r="D500" s="851"/>
      <c r="E500" s="851"/>
      <c r="F500" s="851"/>
      <c r="G500" s="851"/>
      <c r="H500" s="851"/>
      <c r="I500" s="851"/>
      <c r="J500" s="851"/>
      <c r="K500" s="851"/>
      <c r="L500" s="851"/>
      <c r="M500" s="851"/>
      <c r="N500" s="851"/>
    </row>
    <row r="501" spans="3:14" ht="14.25" customHeight="1">
      <c r="C501" s="851"/>
      <c r="D501" s="851"/>
      <c r="E501" s="851"/>
      <c r="F501" s="851"/>
      <c r="G501" s="851"/>
      <c r="H501" s="851"/>
      <c r="I501" s="851"/>
      <c r="J501" s="851"/>
      <c r="K501" s="851"/>
      <c r="L501" s="851"/>
      <c r="M501" s="851"/>
      <c r="N501" s="851"/>
    </row>
    <row r="502" spans="3:14" ht="14.25" customHeight="1">
      <c r="C502" s="851"/>
      <c r="D502" s="851"/>
      <c r="E502" s="851"/>
      <c r="F502" s="851"/>
      <c r="G502" s="851"/>
      <c r="H502" s="851"/>
      <c r="I502" s="851"/>
      <c r="J502" s="851"/>
      <c r="K502" s="851"/>
      <c r="L502" s="851"/>
      <c r="M502" s="851"/>
      <c r="N502" s="851"/>
    </row>
    <row r="503" spans="3:14" ht="14.25" customHeight="1">
      <c r="C503" s="851"/>
      <c r="D503" s="851"/>
      <c r="E503" s="851"/>
      <c r="F503" s="851"/>
      <c r="G503" s="851"/>
      <c r="H503" s="851"/>
      <c r="I503" s="851"/>
      <c r="J503" s="851"/>
      <c r="K503" s="851"/>
      <c r="L503" s="851"/>
      <c r="M503" s="851"/>
      <c r="N503" s="851"/>
    </row>
    <row r="504" spans="3:14" ht="14.25" customHeight="1">
      <c r="C504" s="851"/>
      <c r="D504" s="851"/>
      <c r="E504" s="851"/>
      <c r="F504" s="851"/>
      <c r="G504" s="851"/>
      <c r="H504" s="851"/>
      <c r="I504" s="851"/>
      <c r="J504" s="851"/>
      <c r="K504" s="851"/>
      <c r="L504" s="851"/>
      <c r="M504" s="851"/>
      <c r="N504" s="851"/>
    </row>
    <row r="505" spans="3:14" ht="14.25" customHeight="1">
      <c r="C505" s="851"/>
      <c r="D505" s="851"/>
      <c r="E505" s="851"/>
      <c r="F505" s="851"/>
      <c r="G505" s="851"/>
      <c r="H505" s="851"/>
      <c r="I505" s="851"/>
      <c r="J505" s="851"/>
      <c r="K505" s="851"/>
      <c r="L505" s="851"/>
      <c r="M505" s="851"/>
      <c r="N505" s="851"/>
    </row>
    <row r="506" spans="3:14" ht="14.25" customHeight="1">
      <c r="C506" s="851"/>
      <c r="D506" s="851"/>
      <c r="E506" s="851"/>
      <c r="F506" s="851"/>
      <c r="G506" s="851"/>
      <c r="H506" s="851"/>
      <c r="I506" s="851"/>
      <c r="J506" s="851"/>
      <c r="K506" s="851"/>
      <c r="L506" s="851"/>
      <c r="M506" s="851"/>
      <c r="N506" s="851"/>
    </row>
    <row r="507" spans="3:14" ht="14.25" customHeight="1">
      <c r="C507" s="851"/>
      <c r="D507" s="851"/>
      <c r="E507" s="851"/>
      <c r="F507" s="851"/>
      <c r="G507" s="851"/>
      <c r="H507" s="851"/>
      <c r="I507" s="851"/>
      <c r="J507" s="851"/>
      <c r="K507" s="851"/>
      <c r="L507" s="851"/>
      <c r="M507" s="851"/>
      <c r="N507" s="851"/>
    </row>
    <row r="508" spans="3:14" ht="14.25" customHeight="1">
      <c r="C508" s="851"/>
      <c r="D508" s="851"/>
      <c r="E508" s="851"/>
      <c r="F508" s="851"/>
      <c r="G508" s="851"/>
      <c r="H508" s="851"/>
      <c r="I508" s="851"/>
      <c r="J508" s="851"/>
      <c r="K508" s="851"/>
      <c r="L508" s="851"/>
      <c r="M508" s="851"/>
      <c r="N508" s="851"/>
    </row>
    <row r="509" spans="3:14" ht="14.25" customHeight="1">
      <c r="C509" s="851"/>
      <c r="D509" s="851"/>
      <c r="E509" s="851"/>
      <c r="F509" s="851"/>
      <c r="G509" s="851"/>
      <c r="H509" s="851"/>
      <c r="I509" s="851"/>
      <c r="J509" s="851"/>
      <c r="K509" s="851"/>
      <c r="L509" s="851"/>
      <c r="M509" s="851"/>
      <c r="N509" s="851"/>
    </row>
    <row r="510" spans="3:14" ht="14.25" customHeight="1">
      <c r="C510" s="851"/>
      <c r="D510" s="851"/>
      <c r="E510" s="851"/>
      <c r="F510" s="851"/>
      <c r="G510" s="851"/>
      <c r="H510" s="851"/>
      <c r="I510" s="851"/>
      <c r="J510" s="851"/>
      <c r="K510" s="851"/>
      <c r="L510" s="851"/>
      <c r="M510" s="851"/>
      <c r="N510" s="851"/>
    </row>
    <row r="511" spans="3:14" ht="14.25" customHeight="1">
      <c r="C511" s="851"/>
      <c r="D511" s="851"/>
      <c r="E511" s="851"/>
      <c r="F511" s="851"/>
      <c r="G511" s="851"/>
      <c r="H511" s="851"/>
      <c r="I511" s="851"/>
      <c r="J511" s="851"/>
      <c r="K511" s="851"/>
      <c r="L511" s="851"/>
      <c r="M511" s="851"/>
      <c r="N511" s="851"/>
    </row>
    <row r="512" spans="3:14" ht="14.25" customHeight="1">
      <c r="C512" s="851"/>
      <c r="D512" s="851"/>
      <c r="E512" s="851"/>
      <c r="F512" s="851"/>
      <c r="G512" s="851"/>
      <c r="H512" s="851"/>
      <c r="I512" s="851"/>
      <c r="J512" s="851"/>
      <c r="K512" s="851"/>
      <c r="L512" s="851"/>
      <c r="M512" s="851"/>
      <c r="N512" s="851"/>
    </row>
    <row r="513" spans="3:14" ht="14.25" customHeight="1">
      <c r="C513" s="851"/>
      <c r="D513" s="851"/>
      <c r="E513" s="851"/>
      <c r="F513" s="851"/>
      <c r="G513" s="851"/>
      <c r="H513" s="851"/>
      <c r="I513" s="851"/>
      <c r="J513" s="851"/>
      <c r="K513" s="851"/>
      <c r="L513" s="851"/>
      <c r="M513" s="851"/>
      <c r="N513" s="851"/>
    </row>
    <row r="514" spans="3:14" ht="14.25" customHeight="1">
      <c r="C514" s="851"/>
      <c r="D514" s="851"/>
      <c r="E514" s="851"/>
      <c r="F514" s="851"/>
      <c r="G514" s="851"/>
      <c r="H514" s="851"/>
      <c r="I514" s="851"/>
      <c r="J514" s="851"/>
      <c r="K514" s="851"/>
      <c r="L514" s="851"/>
      <c r="M514" s="851"/>
      <c r="N514" s="851"/>
    </row>
    <row r="515" spans="3:14" ht="14.25" customHeight="1">
      <c r="C515" s="851"/>
      <c r="D515" s="851"/>
      <c r="E515" s="851"/>
      <c r="F515" s="851"/>
      <c r="G515" s="851"/>
      <c r="H515" s="851"/>
      <c r="I515" s="851"/>
      <c r="J515" s="851"/>
      <c r="K515" s="851"/>
      <c r="L515" s="851"/>
      <c r="M515" s="851"/>
      <c r="N515" s="851"/>
    </row>
    <row r="516" spans="3:14" ht="14.25" customHeight="1">
      <c r="C516" s="851"/>
      <c r="D516" s="851"/>
      <c r="E516" s="851"/>
      <c r="F516" s="851"/>
      <c r="G516" s="851"/>
      <c r="H516" s="851"/>
      <c r="I516" s="851"/>
      <c r="J516" s="851"/>
      <c r="K516" s="851"/>
      <c r="L516" s="851"/>
      <c r="M516" s="851"/>
      <c r="N516" s="851"/>
    </row>
    <row r="517" spans="3:14" ht="14.25" customHeight="1">
      <c r="C517" s="851"/>
      <c r="D517" s="851"/>
      <c r="E517" s="851"/>
      <c r="F517" s="851"/>
      <c r="G517" s="851"/>
      <c r="H517" s="851"/>
      <c r="I517" s="851"/>
      <c r="J517" s="851"/>
      <c r="K517" s="851"/>
      <c r="L517" s="851"/>
      <c r="M517" s="851"/>
      <c r="N517" s="851"/>
    </row>
    <row r="518" spans="3:14" ht="14.25" customHeight="1">
      <c r="C518" s="851"/>
      <c r="D518" s="851"/>
      <c r="E518" s="851"/>
      <c r="F518" s="851"/>
      <c r="G518" s="851"/>
      <c r="H518" s="851"/>
      <c r="I518" s="851"/>
      <c r="J518" s="851"/>
      <c r="K518" s="851"/>
      <c r="L518" s="851"/>
      <c r="M518" s="851"/>
      <c r="N518" s="851"/>
    </row>
    <row r="519" spans="3:14" ht="14.25" customHeight="1">
      <c r="C519" s="851"/>
      <c r="D519" s="851"/>
      <c r="E519" s="851"/>
      <c r="F519" s="851"/>
      <c r="G519" s="851"/>
      <c r="H519" s="851"/>
      <c r="I519" s="851"/>
      <c r="J519" s="851"/>
      <c r="K519" s="851"/>
      <c r="L519" s="851"/>
      <c r="M519" s="851"/>
      <c r="N519" s="851"/>
    </row>
    <row r="520" spans="3:14" ht="14.25" customHeight="1">
      <c r="C520" s="851"/>
      <c r="D520" s="851"/>
      <c r="E520" s="851"/>
      <c r="F520" s="851"/>
      <c r="G520" s="851"/>
      <c r="H520" s="851"/>
      <c r="I520" s="851"/>
      <c r="J520" s="851"/>
      <c r="K520" s="851"/>
      <c r="L520" s="851"/>
      <c r="M520" s="851"/>
      <c r="N520" s="851"/>
    </row>
    <row r="521" spans="3:14" ht="14.25" customHeight="1">
      <c r="C521" s="851"/>
      <c r="D521" s="851"/>
      <c r="E521" s="851"/>
      <c r="F521" s="851"/>
      <c r="G521" s="851"/>
      <c r="H521" s="851"/>
      <c r="I521" s="851"/>
      <c r="J521" s="851"/>
      <c r="K521" s="851"/>
      <c r="L521" s="851"/>
      <c r="M521" s="851"/>
      <c r="N521" s="851"/>
    </row>
    <row r="522" spans="3:14" ht="14.25" customHeight="1">
      <c r="C522" s="851"/>
      <c r="D522" s="851"/>
      <c r="E522" s="851"/>
      <c r="F522" s="851"/>
      <c r="G522" s="851"/>
      <c r="H522" s="851"/>
      <c r="I522" s="851"/>
      <c r="J522" s="851"/>
      <c r="K522" s="851"/>
      <c r="L522" s="851"/>
      <c r="M522" s="851"/>
      <c r="N522" s="851"/>
    </row>
    <row r="523" spans="3:14" ht="14.25" customHeight="1">
      <c r="C523" s="851"/>
      <c r="D523" s="851"/>
      <c r="E523" s="851"/>
      <c r="F523" s="851"/>
      <c r="G523" s="851"/>
      <c r="H523" s="851"/>
      <c r="I523" s="851"/>
      <c r="J523" s="851"/>
      <c r="K523" s="851"/>
      <c r="L523" s="851"/>
      <c r="M523" s="851"/>
      <c r="N523" s="851"/>
    </row>
    <row r="524" spans="3:14" ht="14.25" customHeight="1">
      <c r="C524" s="851"/>
      <c r="D524" s="851"/>
      <c r="E524" s="851"/>
      <c r="F524" s="851"/>
      <c r="G524" s="851"/>
      <c r="H524" s="851"/>
      <c r="I524" s="851"/>
      <c r="J524" s="851"/>
      <c r="K524" s="851"/>
      <c r="L524" s="851"/>
      <c r="M524" s="851"/>
      <c r="N524" s="851"/>
    </row>
    <row r="525" spans="3:14" ht="14.25" customHeight="1">
      <c r="C525" s="851"/>
      <c r="D525" s="851"/>
      <c r="E525" s="851"/>
      <c r="F525" s="851"/>
      <c r="G525" s="851"/>
      <c r="H525" s="851"/>
      <c r="I525" s="851"/>
      <c r="J525" s="851"/>
      <c r="K525" s="851"/>
      <c r="L525" s="851"/>
      <c r="M525" s="851"/>
      <c r="N525" s="851"/>
    </row>
    <row r="526" spans="3:14" ht="14.25" customHeight="1">
      <c r="C526" s="851"/>
      <c r="D526" s="851"/>
      <c r="E526" s="851"/>
      <c r="F526" s="851"/>
      <c r="G526" s="851"/>
      <c r="H526" s="851"/>
      <c r="I526" s="851"/>
      <c r="J526" s="851"/>
      <c r="K526" s="851"/>
      <c r="L526" s="851"/>
      <c r="M526" s="851"/>
      <c r="N526" s="851"/>
    </row>
    <row r="527" spans="3:14" ht="14.25" customHeight="1">
      <c r="C527" s="851"/>
      <c r="D527" s="851"/>
      <c r="E527" s="851"/>
      <c r="F527" s="851"/>
      <c r="G527" s="851"/>
      <c r="H527" s="851"/>
      <c r="I527" s="851"/>
      <c r="J527" s="851"/>
      <c r="K527" s="851"/>
      <c r="L527" s="851"/>
      <c r="M527" s="851"/>
      <c r="N527" s="851"/>
    </row>
    <row r="528" spans="3:14" ht="14.25" customHeight="1">
      <c r="C528" s="851"/>
      <c r="D528" s="851"/>
      <c r="E528" s="851"/>
      <c r="F528" s="851"/>
      <c r="G528" s="851"/>
      <c r="H528" s="851"/>
      <c r="I528" s="851"/>
      <c r="J528" s="851"/>
      <c r="K528" s="851"/>
      <c r="L528" s="851"/>
      <c r="M528" s="851"/>
      <c r="N528" s="851"/>
    </row>
    <row r="529" spans="3:14" ht="14.25" customHeight="1">
      <c r="C529" s="851"/>
      <c r="D529" s="851"/>
      <c r="E529" s="851"/>
      <c r="F529" s="851"/>
      <c r="G529" s="851"/>
      <c r="H529" s="851"/>
      <c r="I529" s="851"/>
      <c r="J529" s="851"/>
      <c r="K529" s="851"/>
      <c r="L529" s="851"/>
      <c r="M529" s="851"/>
      <c r="N529" s="851"/>
    </row>
    <row r="530" spans="3:14" ht="14.25" customHeight="1">
      <c r="C530" s="851"/>
      <c r="D530" s="851"/>
      <c r="E530" s="851"/>
      <c r="F530" s="851"/>
      <c r="G530" s="851"/>
      <c r="H530" s="851"/>
      <c r="I530" s="851"/>
      <c r="J530" s="851"/>
      <c r="K530" s="851"/>
      <c r="L530" s="851"/>
      <c r="M530" s="851"/>
      <c r="N530" s="851"/>
    </row>
    <row r="531" spans="3:14" ht="14.25" customHeight="1">
      <c r="C531" s="851"/>
      <c r="D531" s="851"/>
      <c r="E531" s="851"/>
      <c r="F531" s="851"/>
      <c r="G531" s="851"/>
      <c r="H531" s="851"/>
      <c r="I531" s="851"/>
      <c r="J531" s="851"/>
      <c r="K531" s="851"/>
      <c r="L531" s="851"/>
      <c r="M531" s="851"/>
      <c r="N531" s="851"/>
    </row>
    <row r="532" spans="3:14" ht="14.25" customHeight="1">
      <c r="C532" s="851"/>
      <c r="D532" s="851"/>
      <c r="E532" s="851"/>
      <c r="F532" s="851"/>
      <c r="G532" s="851"/>
      <c r="H532" s="851"/>
      <c r="I532" s="851"/>
      <c r="J532" s="851"/>
      <c r="K532" s="851"/>
      <c r="L532" s="851"/>
      <c r="M532" s="851"/>
      <c r="N532" s="851"/>
    </row>
    <row r="533" spans="3:14" ht="14.25" customHeight="1">
      <c r="C533" s="851"/>
      <c r="D533" s="851"/>
      <c r="E533" s="851"/>
      <c r="F533" s="851"/>
      <c r="G533" s="851"/>
      <c r="H533" s="851"/>
      <c r="I533" s="851"/>
      <c r="J533" s="851"/>
      <c r="K533" s="851"/>
      <c r="L533" s="851"/>
      <c r="M533" s="851"/>
      <c r="N533" s="851"/>
    </row>
    <row r="534" spans="3:14" ht="14.25" customHeight="1">
      <c r="C534" s="851"/>
      <c r="D534" s="851"/>
      <c r="E534" s="851"/>
      <c r="F534" s="851"/>
      <c r="G534" s="851"/>
      <c r="H534" s="851"/>
      <c r="I534" s="851"/>
      <c r="J534" s="851"/>
      <c r="K534" s="851"/>
      <c r="L534" s="851"/>
      <c r="M534" s="851"/>
      <c r="N534" s="851"/>
    </row>
    <row r="535" spans="3:14" ht="14.25" customHeight="1">
      <c r="C535" s="851"/>
      <c r="D535" s="851"/>
      <c r="E535" s="851"/>
      <c r="F535" s="851"/>
      <c r="G535" s="851"/>
      <c r="H535" s="851"/>
      <c r="I535" s="851"/>
      <c r="J535" s="851"/>
      <c r="K535" s="851"/>
      <c r="L535" s="851"/>
      <c r="M535" s="851"/>
      <c r="N535" s="851"/>
    </row>
    <row r="536" spans="3:14" ht="14.25" customHeight="1">
      <c r="C536" s="851"/>
      <c r="D536" s="851"/>
      <c r="E536" s="851"/>
      <c r="F536" s="851"/>
      <c r="G536" s="851"/>
      <c r="H536" s="851"/>
      <c r="I536" s="851"/>
      <c r="J536" s="851"/>
      <c r="K536" s="851"/>
      <c r="L536" s="851"/>
      <c r="M536" s="851"/>
      <c r="N536" s="851"/>
    </row>
    <row r="537" spans="3:14" ht="14.25" customHeight="1">
      <c r="C537" s="851"/>
      <c r="D537" s="851"/>
      <c r="E537" s="851"/>
      <c r="F537" s="851"/>
      <c r="G537" s="851"/>
      <c r="H537" s="851"/>
      <c r="I537" s="851"/>
      <c r="J537" s="851"/>
      <c r="K537" s="851"/>
      <c r="L537" s="851"/>
      <c r="M537" s="851"/>
      <c r="N537" s="851"/>
    </row>
    <row r="538" spans="3:14" ht="14.25" customHeight="1">
      <c r="C538" s="851"/>
      <c r="D538" s="851"/>
      <c r="E538" s="851"/>
      <c r="F538" s="851"/>
      <c r="G538" s="851"/>
      <c r="H538" s="851"/>
      <c r="I538" s="851"/>
      <c r="J538" s="851"/>
      <c r="K538" s="851"/>
      <c r="L538" s="851"/>
      <c r="M538" s="851"/>
      <c r="N538" s="851"/>
    </row>
    <row r="539" spans="3:14" ht="14.25" customHeight="1">
      <c r="C539" s="851"/>
      <c r="D539" s="851"/>
      <c r="E539" s="851"/>
      <c r="F539" s="851"/>
      <c r="G539" s="851"/>
      <c r="H539" s="851"/>
      <c r="I539" s="851"/>
      <c r="J539" s="851"/>
      <c r="K539" s="851"/>
      <c r="L539" s="851"/>
      <c r="M539" s="851"/>
      <c r="N539" s="851"/>
    </row>
    <row r="540" spans="3:14" ht="14.25" customHeight="1">
      <c r="C540" s="851"/>
      <c r="D540" s="851"/>
      <c r="E540" s="851"/>
      <c r="F540" s="851"/>
      <c r="G540" s="851"/>
      <c r="H540" s="851"/>
      <c r="I540" s="851"/>
      <c r="J540" s="851"/>
      <c r="K540" s="851"/>
      <c r="L540" s="851"/>
      <c r="M540" s="851"/>
      <c r="N540" s="851"/>
    </row>
    <row r="541" spans="3:14" ht="14.25" customHeight="1">
      <c r="C541" s="851"/>
      <c r="D541" s="851"/>
      <c r="E541" s="851"/>
      <c r="F541" s="851"/>
      <c r="G541" s="851"/>
      <c r="H541" s="851"/>
      <c r="I541" s="851"/>
      <c r="J541" s="851"/>
      <c r="K541" s="851"/>
      <c r="L541" s="851"/>
      <c r="M541" s="851"/>
      <c r="N541" s="851"/>
    </row>
    <row r="542" spans="3:14" ht="14.25" customHeight="1">
      <c r="C542" s="851"/>
      <c r="D542" s="851"/>
      <c r="E542" s="851"/>
      <c r="F542" s="851"/>
      <c r="G542" s="851"/>
      <c r="H542" s="851"/>
      <c r="I542" s="851"/>
      <c r="J542" s="851"/>
      <c r="K542" s="851"/>
      <c r="L542" s="851"/>
      <c r="M542" s="851"/>
      <c r="N542" s="851"/>
    </row>
    <row r="543" spans="3:14" ht="14.25" customHeight="1">
      <c r="C543" s="851"/>
      <c r="D543" s="851"/>
      <c r="E543" s="851"/>
      <c r="F543" s="851"/>
      <c r="G543" s="851"/>
      <c r="H543" s="851"/>
      <c r="I543" s="851"/>
      <c r="J543" s="851"/>
      <c r="K543" s="851"/>
      <c r="L543" s="851"/>
      <c r="M543" s="851"/>
      <c r="N543" s="851"/>
    </row>
    <row r="544" spans="3:14" ht="14.25" customHeight="1">
      <c r="C544" s="851"/>
      <c r="D544" s="851"/>
      <c r="E544" s="851"/>
      <c r="F544" s="851"/>
      <c r="G544" s="851"/>
      <c r="H544" s="851"/>
      <c r="I544" s="851"/>
      <c r="J544" s="851"/>
      <c r="K544" s="851"/>
      <c r="L544" s="851"/>
      <c r="M544" s="851"/>
      <c r="N544" s="851"/>
    </row>
    <row r="545" spans="3:14" ht="14.25" customHeight="1">
      <c r="C545" s="851"/>
      <c r="D545" s="851"/>
      <c r="E545" s="851"/>
      <c r="F545" s="851"/>
      <c r="G545" s="851"/>
      <c r="H545" s="851"/>
      <c r="I545" s="851"/>
      <c r="J545" s="851"/>
      <c r="K545" s="851"/>
      <c r="L545" s="851"/>
      <c r="M545" s="851"/>
      <c r="N545" s="851"/>
    </row>
    <row r="546" spans="3:14" ht="14.25" customHeight="1">
      <c r="C546" s="851"/>
      <c r="D546" s="851"/>
      <c r="E546" s="851"/>
      <c r="F546" s="851"/>
      <c r="G546" s="851"/>
      <c r="H546" s="851"/>
      <c r="I546" s="851"/>
      <c r="J546" s="851"/>
      <c r="K546" s="851"/>
      <c r="L546" s="851"/>
      <c r="M546" s="851"/>
      <c r="N546" s="851"/>
    </row>
    <row r="547" spans="3:14" ht="14.25" customHeight="1">
      <c r="C547" s="851"/>
      <c r="D547" s="851"/>
      <c r="E547" s="851"/>
      <c r="F547" s="851"/>
      <c r="G547" s="851"/>
      <c r="H547" s="851"/>
      <c r="I547" s="851"/>
      <c r="J547" s="851"/>
      <c r="K547" s="851"/>
      <c r="L547" s="851"/>
      <c r="M547" s="851"/>
      <c r="N547" s="851"/>
    </row>
    <row r="548" spans="3:14" ht="14.25" customHeight="1">
      <c r="C548" s="851"/>
      <c r="D548" s="851"/>
      <c r="E548" s="851"/>
      <c r="F548" s="851"/>
      <c r="G548" s="851"/>
      <c r="H548" s="851"/>
      <c r="I548" s="851"/>
      <c r="J548" s="851"/>
      <c r="K548" s="851"/>
      <c r="L548" s="851"/>
      <c r="M548" s="851"/>
      <c r="N548" s="851"/>
    </row>
    <row r="549" spans="3:14" ht="14.25" customHeight="1">
      <c r="C549" s="851"/>
      <c r="D549" s="851"/>
      <c r="E549" s="851"/>
      <c r="F549" s="851"/>
      <c r="G549" s="851"/>
      <c r="H549" s="851"/>
      <c r="I549" s="851"/>
      <c r="J549" s="851"/>
      <c r="K549" s="851"/>
      <c r="L549" s="851"/>
      <c r="M549" s="851"/>
      <c r="N549" s="851"/>
    </row>
    <row r="550" spans="3:14" ht="14.25" customHeight="1">
      <c r="C550" s="851"/>
      <c r="D550" s="851"/>
      <c r="E550" s="851"/>
      <c r="F550" s="851"/>
      <c r="G550" s="851"/>
      <c r="H550" s="851"/>
      <c r="I550" s="851"/>
      <c r="J550" s="851"/>
      <c r="K550" s="851"/>
      <c r="L550" s="851"/>
      <c r="M550" s="851"/>
      <c r="N550" s="851"/>
    </row>
    <row r="551" spans="3:14" ht="14.25" customHeight="1">
      <c r="C551" s="851"/>
      <c r="D551" s="851"/>
      <c r="E551" s="851"/>
      <c r="F551" s="851"/>
      <c r="G551" s="851"/>
      <c r="H551" s="851"/>
      <c r="I551" s="851"/>
      <c r="J551" s="851"/>
      <c r="K551" s="851"/>
      <c r="L551" s="851"/>
      <c r="M551" s="851"/>
      <c r="N551" s="851"/>
    </row>
    <row r="552" spans="3:14" ht="14.25" customHeight="1">
      <c r="C552" s="851"/>
      <c r="D552" s="851"/>
      <c r="E552" s="851"/>
      <c r="F552" s="851"/>
      <c r="G552" s="851"/>
      <c r="H552" s="851"/>
      <c r="I552" s="851"/>
      <c r="J552" s="851"/>
      <c r="K552" s="851"/>
      <c r="L552" s="851"/>
      <c r="M552" s="851"/>
      <c r="N552" s="851"/>
    </row>
    <row r="553" spans="3:14" ht="14.25" customHeight="1">
      <c r="C553" s="851"/>
      <c r="D553" s="851"/>
      <c r="E553" s="851"/>
      <c r="F553" s="851"/>
      <c r="G553" s="851"/>
      <c r="H553" s="851"/>
      <c r="I553" s="851"/>
      <c r="J553" s="851"/>
      <c r="K553" s="851"/>
      <c r="L553" s="851"/>
      <c r="M553" s="851"/>
      <c r="N553" s="851"/>
    </row>
    <row r="554" spans="3:14" ht="14.25" customHeight="1">
      <c r="C554" s="851"/>
      <c r="D554" s="851"/>
      <c r="E554" s="851"/>
      <c r="F554" s="851"/>
      <c r="G554" s="851"/>
      <c r="H554" s="851"/>
      <c r="I554" s="851"/>
      <c r="J554" s="851"/>
      <c r="K554" s="851"/>
      <c r="L554" s="851"/>
      <c r="M554" s="851"/>
      <c r="N554" s="851"/>
    </row>
    <row r="555" spans="3:14" ht="14.25" customHeight="1">
      <c r="C555" s="851"/>
      <c r="D555" s="851"/>
      <c r="E555" s="851"/>
      <c r="F555" s="851"/>
      <c r="G555" s="851"/>
      <c r="H555" s="851"/>
      <c r="I555" s="851"/>
      <c r="J555" s="851"/>
      <c r="K555" s="851"/>
      <c r="L555" s="851"/>
      <c r="M555" s="851"/>
      <c r="N555" s="851"/>
    </row>
    <row r="556" spans="3:14" ht="14.25" customHeight="1">
      <c r="C556" s="851"/>
      <c r="D556" s="851"/>
      <c r="E556" s="851"/>
      <c r="F556" s="851"/>
      <c r="G556" s="851"/>
      <c r="H556" s="851"/>
      <c r="I556" s="851"/>
      <c r="J556" s="851"/>
      <c r="K556" s="851"/>
      <c r="L556" s="851"/>
      <c r="M556" s="851"/>
      <c r="N556" s="851"/>
    </row>
    <row r="557" spans="3:14" ht="14.25" customHeight="1">
      <c r="C557" s="851"/>
      <c r="D557" s="851"/>
      <c r="E557" s="851"/>
      <c r="F557" s="851"/>
      <c r="G557" s="851"/>
      <c r="H557" s="851"/>
      <c r="I557" s="851"/>
      <c r="J557" s="851"/>
      <c r="K557" s="851"/>
      <c r="L557" s="851"/>
      <c r="M557" s="851"/>
      <c r="N557" s="851"/>
    </row>
    <row r="558" spans="3:14" ht="14.25" customHeight="1">
      <c r="C558" s="851"/>
      <c r="D558" s="851"/>
      <c r="E558" s="851"/>
      <c r="F558" s="851"/>
      <c r="G558" s="851"/>
      <c r="H558" s="851"/>
      <c r="I558" s="851"/>
      <c r="J558" s="851"/>
      <c r="K558" s="851"/>
      <c r="L558" s="851"/>
      <c r="M558" s="851"/>
      <c r="N558" s="851"/>
    </row>
    <row r="559" spans="3:14" ht="14.25" customHeight="1">
      <c r="C559" s="851"/>
      <c r="D559" s="851"/>
      <c r="E559" s="851"/>
      <c r="F559" s="851"/>
      <c r="G559" s="851"/>
      <c r="H559" s="851"/>
      <c r="I559" s="851"/>
      <c r="J559" s="851"/>
      <c r="K559" s="851"/>
      <c r="L559" s="851"/>
      <c r="M559" s="851"/>
      <c r="N559" s="851"/>
    </row>
    <row r="560" spans="3:14" ht="14.25" customHeight="1">
      <c r="C560" s="851"/>
      <c r="D560" s="851"/>
      <c r="E560" s="851"/>
      <c r="F560" s="851"/>
      <c r="G560" s="851"/>
      <c r="H560" s="851"/>
      <c r="I560" s="851"/>
      <c r="J560" s="851"/>
      <c r="K560" s="851"/>
      <c r="L560" s="851"/>
      <c r="M560" s="851"/>
      <c r="N560" s="851"/>
    </row>
    <row r="561" spans="3:14" ht="14.25" customHeight="1">
      <c r="C561" s="851"/>
      <c r="D561" s="851"/>
      <c r="E561" s="851"/>
      <c r="F561" s="851"/>
      <c r="G561" s="851"/>
      <c r="H561" s="851"/>
      <c r="I561" s="851"/>
      <c r="J561" s="851"/>
      <c r="K561" s="851"/>
      <c r="L561" s="851"/>
      <c r="M561" s="851"/>
      <c r="N561" s="851"/>
    </row>
    <row r="562" spans="3:14" ht="14.25" customHeight="1">
      <c r="C562" s="851"/>
      <c r="D562" s="851"/>
      <c r="E562" s="851"/>
      <c r="F562" s="851"/>
      <c r="G562" s="851"/>
      <c r="H562" s="851"/>
      <c r="I562" s="851"/>
      <c r="J562" s="851"/>
      <c r="K562" s="851"/>
      <c r="L562" s="851"/>
      <c r="M562" s="851"/>
      <c r="N562" s="851"/>
    </row>
    <row r="563" spans="3:14" ht="14.25" customHeight="1">
      <c r="C563" s="851"/>
      <c r="D563" s="851"/>
      <c r="E563" s="851"/>
      <c r="F563" s="851"/>
      <c r="G563" s="851"/>
      <c r="H563" s="851"/>
      <c r="I563" s="851"/>
      <c r="J563" s="851"/>
      <c r="K563" s="851"/>
      <c r="L563" s="851"/>
      <c r="M563" s="851"/>
      <c r="N563" s="851"/>
    </row>
    <row r="564" spans="3:14" ht="14.25" customHeight="1">
      <c r="C564" s="851"/>
      <c r="D564" s="851"/>
      <c r="E564" s="851"/>
      <c r="F564" s="851"/>
      <c r="G564" s="851"/>
      <c r="H564" s="851"/>
      <c r="I564" s="851"/>
      <c r="J564" s="851"/>
      <c r="K564" s="851"/>
      <c r="L564" s="851"/>
      <c r="M564" s="851"/>
      <c r="N564" s="851"/>
    </row>
    <row r="565" spans="3:14" ht="14.25" customHeight="1">
      <c r="C565" s="851"/>
      <c r="D565" s="851"/>
      <c r="E565" s="851"/>
      <c r="F565" s="851"/>
      <c r="G565" s="851"/>
      <c r="H565" s="851"/>
      <c r="I565" s="851"/>
      <c r="J565" s="851"/>
      <c r="K565" s="851"/>
      <c r="L565" s="851"/>
      <c r="M565" s="851"/>
      <c r="N565" s="851"/>
    </row>
    <row r="566" spans="3:14" ht="14.25" customHeight="1">
      <c r="C566" s="851"/>
      <c r="D566" s="851"/>
      <c r="E566" s="851"/>
      <c r="F566" s="851"/>
      <c r="G566" s="851"/>
      <c r="H566" s="851"/>
      <c r="I566" s="851"/>
      <c r="J566" s="851"/>
      <c r="K566" s="851"/>
      <c r="L566" s="851"/>
      <c r="M566" s="851"/>
      <c r="N566" s="851"/>
    </row>
    <row r="567" spans="3:14" ht="14.25" customHeight="1">
      <c r="C567" s="851"/>
      <c r="D567" s="851"/>
      <c r="E567" s="851"/>
      <c r="F567" s="851"/>
      <c r="G567" s="851"/>
      <c r="H567" s="851"/>
      <c r="I567" s="851"/>
      <c r="J567" s="851"/>
      <c r="K567" s="851"/>
      <c r="L567" s="851"/>
      <c r="M567" s="851"/>
      <c r="N567" s="851"/>
    </row>
    <row r="568" spans="3:14" ht="14.25" customHeight="1">
      <c r="C568" s="851"/>
      <c r="D568" s="851"/>
      <c r="E568" s="851"/>
      <c r="F568" s="851"/>
      <c r="G568" s="851"/>
      <c r="H568" s="851"/>
      <c r="I568" s="851"/>
      <c r="J568" s="851"/>
      <c r="K568" s="851"/>
      <c r="L568" s="851"/>
      <c r="M568" s="851"/>
      <c r="N568" s="851"/>
    </row>
    <row r="569" spans="3:14" ht="14.25" customHeight="1">
      <c r="C569" s="851"/>
      <c r="D569" s="851"/>
      <c r="E569" s="851"/>
      <c r="F569" s="851"/>
      <c r="G569" s="851"/>
      <c r="H569" s="851"/>
      <c r="I569" s="851"/>
      <c r="J569" s="851"/>
      <c r="K569" s="851"/>
      <c r="L569" s="851"/>
      <c r="M569" s="851"/>
      <c r="N569" s="851"/>
    </row>
    <row r="570" spans="3:14" ht="14.25" customHeight="1">
      <c r="C570" s="851"/>
      <c r="D570" s="851"/>
      <c r="E570" s="851"/>
      <c r="F570" s="851"/>
      <c r="G570" s="851"/>
      <c r="H570" s="851"/>
      <c r="I570" s="851"/>
      <c r="J570" s="851"/>
      <c r="K570" s="851"/>
      <c r="L570" s="851"/>
      <c r="M570" s="851"/>
      <c r="N570" s="851"/>
    </row>
    <row r="571" spans="3:14" ht="14.25" customHeight="1">
      <c r="C571" s="851"/>
      <c r="D571" s="851"/>
      <c r="E571" s="851"/>
      <c r="F571" s="851"/>
      <c r="G571" s="851"/>
      <c r="H571" s="851"/>
      <c r="I571" s="851"/>
      <c r="J571" s="851"/>
      <c r="K571" s="851"/>
      <c r="L571" s="851"/>
      <c r="M571" s="851"/>
      <c r="N571" s="851"/>
    </row>
    <row r="572" spans="3:14" ht="14.25" customHeight="1">
      <c r="C572" s="851"/>
      <c r="D572" s="851"/>
      <c r="E572" s="851"/>
      <c r="F572" s="851"/>
      <c r="G572" s="851"/>
      <c r="H572" s="851"/>
      <c r="I572" s="851"/>
      <c r="J572" s="851"/>
      <c r="K572" s="851"/>
      <c r="L572" s="851"/>
      <c r="M572" s="851"/>
      <c r="N572" s="851"/>
    </row>
    <row r="573" spans="3:14" ht="14.25" customHeight="1">
      <c r="C573" s="851"/>
      <c r="D573" s="851"/>
      <c r="E573" s="851"/>
      <c r="F573" s="851"/>
      <c r="G573" s="851"/>
      <c r="H573" s="851"/>
      <c r="I573" s="851"/>
      <c r="J573" s="851"/>
      <c r="K573" s="851"/>
      <c r="L573" s="851"/>
      <c r="M573" s="851"/>
      <c r="N573" s="851"/>
    </row>
    <row r="574" spans="3:14" ht="14.25" customHeight="1">
      <c r="C574" s="851"/>
      <c r="D574" s="851"/>
      <c r="E574" s="851"/>
      <c r="F574" s="851"/>
      <c r="G574" s="851"/>
      <c r="H574" s="851"/>
      <c r="I574" s="851"/>
      <c r="J574" s="851"/>
      <c r="K574" s="851"/>
      <c r="L574" s="851"/>
      <c r="M574" s="851"/>
      <c r="N574" s="851"/>
    </row>
    <row r="575" spans="3:14" ht="14.25" customHeight="1">
      <c r="C575" s="851"/>
      <c r="D575" s="851"/>
      <c r="E575" s="851"/>
      <c r="F575" s="851"/>
      <c r="G575" s="851"/>
      <c r="H575" s="851"/>
      <c r="I575" s="851"/>
      <c r="J575" s="851"/>
      <c r="K575" s="851"/>
      <c r="L575" s="851"/>
      <c r="M575" s="851"/>
      <c r="N575" s="851"/>
    </row>
    <row r="576" spans="3:14" ht="14.25" customHeight="1">
      <c r="C576" s="851"/>
      <c r="D576" s="851"/>
      <c r="E576" s="851"/>
      <c r="F576" s="851"/>
      <c r="G576" s="851"/>
      <c r="H576" s="851"/>
      <c r="I576" s="851"/>
      <c r="J576" s="851"/>
      <c r="K576" s="851"/>
      <c r="L576" s="851"/>
      <c r="M576" s="851"/>
      <c r="N576" s="851"/>
    </row>
    <row r="577" spans="3:14" ht="14.25" customHeight="1">
      <c r="C577" s="851"/>
      <c r="D577" s="851"/>
      <c r="E577" s="851"/>
      <c r="F577" s="851"/>
      <c r="G577" s="851"/>
      <c r="H577" s="851"/>
      <c r="I577" s="851"/>
      <c r="J577" s="851"/>
      <c r="K577" s="851"/>
      <c r="L577" s="851"/>
      <c r="M577" s="851"/>
      <c r="N577" s="851"/>
    </row>
    <row r="578" spans="3:14" ht="14.25" customHeight="1">
      <c r="C578" s="851"/>
      <c r="D578" s="851"/>
      <c r="E578" s="851"/>
      <c r="F578" s="851"/>
      <c r="G578" s="851"/>
      <c r="H578" s="851"/>
      <c r="I578" s="851"/>
      <c r="J578" s="851"/>
      <c r="K578" s="851"/>
      <c r="L578" s="851"/>
      <c r="M578" s="851"/>
      <c r="N578" s="851"/>
    </row>
    <row r="579" spans="3:14" ht="14.25" customHeight="1">
      <c r="C579" s="851"/>
      <c r="D579" s="851"/>
      <c r="E579" s="851"/>
      <c r="F579" s="851"/>
      <c r="G579" s="851"/>
      <c r="H579" s="851"/>
      <c r="I579" s="851"/>
      <c r="J579" s="851"/>
      <c r="K579" s="851"/>
      <c r="L579" s="851"/>
      <c r="M579" s="851"/>
      <c r="N579" s="851"/>
    </row>
    <row r="580" spans="3:14" ht="14.25" customHeight="1">
      <c r="C580" s="851"/>
      <c r="D580" s="851"/>
      <c r="E580" s="851"/>
      <c r="F580" s="851"/>
      <c r="G580" s="851"/>
      <c r="H580" s="851"/>
      <c r="I580" s="851"/>
      <c r="J580" s="851"/>
      <c r="K580" s="851"/>
      <c r="L580" s="851"/>
      <c r="M580" s="851"/>
      <c r="N580" s="851"/>
    </row>
    <row r="581" spans="3:14" ht="14.25" customHeight="1">
      <c r="C581" s="851"/>
      <c r="D581" s="851"/>
      <c r="E581" s="851"/>
      <c r="F581" s="851"/>
      <c r="G581" s="851"/>
      <c r="H581" s="851"/>
      <c r="I581" s="851"/>
      <c r="J581" s="851"/>
      <c r="K581" s="851"/>
      <c r="L581" s="851"/>
      <c r="M581" s="851"/>
      <c r="N581" s="851"/>
    </row>
    <row r="582" spans="3:14" ht="14.25" customHeight="1">
      <c r="C582" s="851"/>
      <c r="D582" s="851"/>
      <c r="E582" s="851"/>
      <c r="F582" s="851"/>
      <c r="G582" s="851"/>
      <c r="H582" s="851"/>
      <c r="I582" s="851"/>
      <c r="J582" s="851"/>
      <c r="K582" s="851"/>
      <c r="L582" s="851"/>
      <c r="M582" s="851"/>
      <c r="N582" s="851"/>
    </row>
    <row r="583" spans="3:14" ht="14.25" customHeight="1">
      <c r="C583" s="851"/>
      <c r="D583" s="851"/>
      <c r="E583" s="851"/>
      <c r="F583" s="851"/>
      <c r="G583" s="851"/>
      <c r="H583" s="851"/>
      <c r="I583" s="851"/>
      <c r="J583" s="851"/>
      <c r="K583" s="851"/>
      <c r="L583" s="851"/>
      <c r="M583" s="851"/>
      <c r="N583" s="851"/>
    </row>
    <row r="584" spans="3:14" ht="14.25" customHeight="1">
      <c r="C584" s="851"/>
      <c r="D584" s="851"/>
      <c r="E584" s="851"/>
      <c r="F584" s="851"/>
      <c r="G584" s="851"/>
      <c r="H584" s="851"/>
      <c r="I584" s="851"/>
      <c r="J584" s="851"/>
      <c r="K584" s="851"/>
      <c r="L584" s="851"/>
      <c r="M584" s="851"/>
      <c r="N584" s="851"/>
    </row>
    <row r="585" spans="3:14" ht="14.25" customHeight="1">
      <c r="C585" s="851"/>
      <c r="D585" s="851"/>
      <c r="E585" s="851"/>
      <c r="F585" s="851"/>
      <c r="G585" s="851"/>
      <c r="H585" s="851"/>
      <c r="I585" s="851"/>
      <c r="J585" s="851"/>
      <c r="K585" s="851"/>
      <c r="L585" s="851"/>
      <c r="M585" s="851"/>
      <c r="N585" s="851"/>
    </row>
    <row r="586" spans="3:14" ht="14.25" customHeight="1">
      <c r="C586" s="851"/>
      <c r="D586" s="851"/>
      <c r="E586" s="851"/>
      <c r="F586" s="851"/>
      <c r="G586" s="851"/>
      <c r="H586" s="851"/>
      <c r="I586" s="851"/>
      <c r="J586" s="851"/>
      <c r="K586" s="851"/>
      <c r="L586" s="851"/>
      <c r="M586" s="851"/>
      <c r="N586" s="851"/>
    </row>
    <row r="587" spans="3:14" ht="14.25" customHeight="1">
      <c r="C587" s="851"/>
      <c r="D587" s="851"/>
      <c r="E587" s="851"/>
      <c r="F587" s="851"/>
      <c r="G587" s="851"/>
      <c r="H587" s="851"/>
      <c r="I587" s="851"/>
      <c r="J587" s="851"/>
      <c r="K587" s="851"/>
      <c r="L587" s="851"/>
      <c r="M587" s="851"/>
      <c r="N587" s="851"/>
    </row>
    <row r="588" spans="3:14" ht="14.25" customHeight="1">
      <c r="C588" s="851"/>
      <c r="D588" s="851"/>
      <c r="E588" s="851"/>
      <c r="F588" s="851"/>
      <c r="G588" s="851"/>
      <c r="H588" s="851"/>
      <c r="I588" s="851"/>
      <c r="J588" s="851"/>
      <c r="K588" s="851"/>
      <c r="L588" s="851"/>
      <c r="M588" s="851"/>
      <c r="N588" s="851"/>
    </row>
    <row r="589" spans="3:14" ht="14.25" customHeight="1">
      <c r="C589" s="851"/>
      <c r="D589" s="851"/>
      <c r="E589" s="851"/>
      <c r="F589" s="851"/>
      <c r="G589" s="851"/>
      <c r="H589" s="851"/>
      <c r="I589" s="851"/>
      <c r="J589" s="851"/>
      <c r="K589" s="851"/>
      <c r="L589" s="851"/>
      <c r="M589" s="851"/>
      <c r="N589" s="851"/>
    </row>
    <row r="590" spans="3:14" ht="14.25" customHeight="1">
      <c r="C590" s="851"/>
      <c r="D590" s="851"/>
      <c r="E590" s="851"/>
      <c r="F590" s="851"/>
      <c r="G590" s="851"/>
      <c r="H590" s="851"/>
      <c r="I590" s="851"/>
      <c r="J590" s="851"/>
      <c r="K590" s="851"/>
      <c r="L590" s="851"/>
      <c r="M590" s="851"/>
      <c r="N590" s="851"/>
    </row>
    <row r="591" spans="3:14" ht="14.25" customHeight="1">
      <c r="C591" s="851"/>
      <c r="D591" s="851"/>
      <c r="E591" s="851"/>
      <c r="F591" s="851"/>
      <c r="G591" s="851"/>
      <c r="H591" s="851"/>
      <c r="I591" s="851"/>
      <c r="J591" s="851"/>
      <c r="K591" s="851"/>
      <c r="L591" s="851"/>
      <c r="M591" s="851"/>
      <c r="N591" s="851"/>
    </row>
    <row r="592" spans="3:14" ht="14.25" customHeight="1">
      <c r="C592" s="851"/>
      <c r="D592" s="851"/>
      <c r="E592" s="851"/>
      <c r="F592" s="851"/>
      <c r="G592" s="851"/>
      <c r="H592" s="851"/>
      <c r="I592" s="851"/>
      <c r="J592" s="851"/>
      <c r="K592" s="851"/>
      <c r="L592" s="851"/>
      <c r="M592" s="851"/>
      <c r="N592" s="851"/>
    </row>
    <row r="593" spans="3:14" ht="14.25" customHeight="1">
      <c r="C593" s="851"/>
      <c r="D593" s="851"/>
      <c r="E593" s="851"/>
      <c r="F593" s="851"/>
      <c r="G593" s="851"/>
      <c r="H593" s="851"/>
      <c r="I593" s="851"/>
      <c r="J593" s="851"/>
      <c r="K593" s="851"/>
      <c r="L593" s="851"/>
      <c r="M593" s="851"/>
      <c r="N593" s="851"/>
    </row>
    <row r="594" spans="3:14" ht="14.25" customHeight="1">
      <c r="C594" s="851"/>
      <c r="D594" s="851"/>
      <c r="E594" s="851"/>
      <c r="F594" s="851"/>
      <c r="G594" s="851"/>
      <c r="H594" s="851"/>
      <c r="I594" s="851"/>
      <c r="J594" s="851"/>
      <c r="K594" s="851"/>
      <c r="L594" s="851"/>
      <c r="M594" s="851"/>
      <c r="N594" s="851"/>
    </row>
    <row r="595" spans="3:14" ht="14.25" customHeight="1">
      <c r="C595" s="851"/>
      <c r="D595" s="851"/>
      <c r="E595" s="851"/>
      <c r="F595" s="851"/>
      <c r="G595" s="851"/>
      <c r="H595" s="851"/>
      <c r="I595" s="851"/>
      <c r="J595" s="851"/>
      <c r="K595" s="851"/>
      <c r="L595" s="851"/>
      <c r="M595" s="851"/>
      <c r="N595" s="851"/>
    </row>
    <row r="596" spans="3:14" ht="14.25" customHeight="1">
      <c r="C596" s="851"/>
      <c r="D596" s="851"/>
      <c r="E596" s="851"/>
      <c r="F596" s="851"/>
      <c r="G596" s="851"/>
      <c r="H596" s="851"/>
      <c r="I596" s="851"/>
      <c r="J596" s="851"/>
      <c r="K596" s="851"/>
      <c r="L596" s="851"/>
      <c r="M596" s="851"/>
      <c r="N596" s="851"/>
    </row>
    <row r="597" spans="3:14" ht="14.25" customHeight="1">
      <c r="C597" s="851"/>
      <c r="D597" s="851"/>
      <c r="E597" s="851"/>
      <c r="F597" s="851"/>
      <c r="G597" s="851"/>
      <c r="H597" s="851"/>
      <c r="I597" s="851"/>
      <c r="J597" s="851"/>
      <c r="K597" s="851"/>
      <c r="L597" s="851"/>
      <c r="M597" s="851"/>
      <c r="N597" s="851"/>
    </row>
    <row r="598" spans="3:14" ht="14.25" customHeight="1">
      <c r="C598" s="851"/>
      <c r="D598" s="851"/>
      <c r="E598" s="851"/>
      <c r="F598" s="851"/>
      <c r="G598" s="851"/>
      <c r="H598" s="851"/>
      <c r="I598" s="851"/>
      <c r="J598" s="851"/>
      <c r="K598" s="851"/>
      <c r="L598" s="851"/>
      <c r="M598" s="851"/>
      <c r="N598" s="851"/>
    </row>
    <row r="599" spans="3:14" ht="14.25" customHeight="1">
      <c r="C599" s="851"/>
      <c r="D599" s="851"/>
      <c r="E599" s="851"/>
      <c r="F599" s="851"/>
      <c r="G599" s="851"/>
      <c r="H599" s="851"/>
      <c r="I599" s="851"/>
      <c r="J599" s="851"/>
      <c r="K599" s="851"/>
      <c r="L599" s="851"/>
      <c r="M599" s="851"/>
      <c r="N599" s="851"/>
    </row>
    <row r="600" spans="3:14" ht="14.25" customHeight="1">
      <c r="C600" s="851"/>
      <c r="D600" s="851"/>
      <c r="E600" s="851"/>
      <c r="F600" s="851"/>
      <c r="G600" s="851"/>
      <c r="H600" s="851"/>
      <c r="I600" s="851"/>
      <c r="J600" s="851"/>
      <c r="K600" s="851"/>
      <c r="L600" s="851"/>
      <c r="M600" s="851"/>
      <c r="N600" s="851"/>
    </row>
    <row r="601" spans="3:14" ht="14.25" customHeight="1">
      <c r="C601" s="851"/>
      <c r="D601" s="851"/>
      <c r="E601" s="851"/>
      <c r="F601" s="851"/>
      <c r="G601" s="851"/>
      <c r="H601" s="851"/>
      <c r="I601" s="851"/>
      <c r="J601" s="851"/>
      <c r="K601" s="851"/>
      <c r="L601" s="851"/>
      <c r="M601" s="851"/>
      <c r="N601" s="851"/>
    </row>
    <row r="602" spans="3:14" ht="14.25" customHeight="1">
      <c r="C602" s="851"/>
      <c r="D602" s="851"/>
      <c r="E602" s="851"/>
      <c r="F602" s="851"/>
      <c r="G602" s="851"/>
      <c r="H602" s="851"/>
      <c r="I602" s="851"/>
      <c r="J602" s="851"/>
      <c r="K602" s="851"/>
      <c r="L602" s="851"/>
      <c r="M602" s="851"/>
      <c r="N602" s="851"/>
    </row>
    <row r="603" spans="3:14" ht="14.25" customHeight="1">
      <c r="C603" s="851"/>
      <c r="D603" s="851"/>
      <c r="E603" s="851"/>
      <c r="F603" s="851"/>
      <c r="G603" s="851"/>
      <c r="H603" s="851"/>
      <c r="I603" s="851"/>
      <c r="J603" s="851"/>
      <c r="K603" s="851"/>
      <c r="L603" s="851"/>
      <c r="M603" s="851"/>
      <c r="N603" s="851"/>
    </row>
    <row r="604" spans="3:14" ht="14.25" customHeight="1">
      <c r="C604" s="851"/>
      <c r="D604" s="851"/>
      <c r="E604" s="851"/>
      <c r="F604" s="851"/>
      <c r="G604" s="851"/>
      <c r="H604" s="851"/>
      <c r="I604" s="851"/>
      <c r="J604" s="851"/>
      <c r="K604" s="851"/>
      <c r="L604" s="851"/>
      <c r="M604" s="851"/>
      <c r="N604" s="851"/>
    </row>
    <row r="605" spans="3:14" ht="14.25" customHeight="1">
      <c r="C605" s="851"/>
      <c r="D605" s="851"/>
      <c r="E605" s="851"/>
      <c r="F605" s="851"/>
      <c r="G605" s="851"/>
      <c r="H605" s="851"/>
      <c r="I605" s="851"/>
      <c r="J605" s="851"/>
      <c r="K605" s="851"/>
      <c r="L605" s="851"/>
      <c r="M605" s="851"/>
      <c r="N605" s="851"/>
    </row>
    <row r="606" spans="3:14" ht="14.25" customHeight="1">
      <c r="C606" s="851"/>
      <c r="D606" s="851"/>
      <c r="E606" s="851"/>
      <c r="F606" s="851"/>
      <c r="G606" s="851"/>
      <c r="H606" s="851"/>
      <c r="I606" s="851"/>
      <c r="J606" s="851"/>
      <c r="K606" s="851"/>
      <c r="L606" s="851"/>
      <c r="M606" s="851"/>
      <c r="N606" s="851"/>
    </row>
    <row r="607" spans="3:14" ht="14.25" customHeight="1">
      <c r="C607" s="851"/>
      <c r="D607" s="851"/>
      <c r="E607" s="851"/>
      <c r="F607" s="851"/>
      <c r="G607" s="851"/>
      <c r="H607" s="851"/>
      <c r="I607" s="851"/>
      <c r="J607" s="851"/>
      <c r="K607" s="851"/>
      <c r="L607" s="851"/>
      <c r="M607" s="851"/>
      <c r="N607" s="851"/>
    </row>
    <row r="608" spans="3:14" ht="14.25" customHeight="1">
      <c r="C608" s="851"/>
      <c r="D608" s="851"/>
      <c r="E608" s="851"/>
      <c r="F608" s="851"/>
      <c r="G608" s="851"/>
      <c r="H608" s="851"/>
      <c r="I608" s="851"/>
      <c r="J608" s="851"/>
      <c r="K608" s="851"/>
      <c r="L608" s="851"/>
      <c r="M608" s="851"/>
      <c r="N608" s="851"/>
    </row>
    <row r="609" spans="3:14" ht="14.25" customHeight="1">
      <c r="C609" s="851"/>
      <c r="D609" s="851"/>
      <c r="E609" s="851"/>
      <c r="F609" s="851"/>
      <c r="G609" s="851"/>
      <c r="H609" s="851"/>
      <c r="I609" s="851"/>
      <c r="J609" s="851"/>
      <c r="K609" s="851"/>
      <c r="L609" s="851"/>
      <c r="M609" s="851"/>
      <c r="N609" s="851"/>
    </row>
    <row r="610" spans="3:14" ht="14.25" customHeight="1">
      <c r="C610" s="851"/>
      <c r="D610" s="851"/>
      <c r="E610" s="851"/>
      <c r="F610" s="851"/>
      <c r="G610" s="851"/>
      <c r="H610" s="851"/>
      <c r="I610" s="851"/>
      <c r="J610" s="851"/>
      <c r="K610" s="851"/>
      <c r="L610" s="851"/>
      <c r="M610" s="851"/>
      <c r="N610" s="851"/>
    </row>
    <row r="611" spans="3:14" ht="14.25" customHeight="1">
      <c r="C611" s="851"/>
      <c r="D611" s="851"/>
      <c r="E611" s="851"/>
      <c r="F611" s="851"/>
      <c r="G611" s="851"/>
      <c r="H611" s="851"/>
      <c r="I611" s="851"/>
      <c r="J611" s="851"/>
      <c r="K611" s="851"/>
      <c r="L611" s="851"/>
      <c r="M611" s="851"/>
      <c r="N611" s="851"/>
    </row>
    <row r="612" spans="3:14" ht="14.25" customHeight="1">
      <c r="C612" s="851"/>
      <c r="D612" s="851"/>
      <c r="E612" s="851"/>
      <c r="F612" s="851"/>
      <c r="G612" s="851"/>
      <c r="H612" s="851"/>
      <c r="I612" s="851"/>
      <c r="J612" s="851"/>
      <c r="K612" s="851"/>
      <c r="L612" s="851"/>
      <c r="M612" s="851"/>
      <c r="N612" s="851"/>
    </row>
    <row r="613" spans="3:14" ht="14.25" customHeight="1">
      <c r="C613" s="851"/>
      <c r="D613" s="851"/>
      <c r="E613" s="851"/>
      <c r="F613" s="851"/>
      <c r="G613" s="851"/>
      <c r="H613" s="851"/>
      <c r="I613" s="851"/>
      <c r="J613" s="851"/>
      <c r="K613" s="851"/>
      <c r="L613" s="851"/>
      <c r="M613" s="851"/>
      <c r="N613" s="851"/>
    </row>
    <row r="614" spans="3:14" ht="14.25" customHeight="1">
      <c r="C614" s="851"/>
      <c r="D614" s="851"/>
      <c r="E614" s="851"/>
      <c r="F614" s="851"/>
      <c r="G614" s="851"/>
      <c r="H614" s="851"/>
      <c r="I614" s="851"/>
      <c r="J614" s="851"/>
      <c r="K614" s="851"/>
      <c r="L614" s="851"/>
      <c r="M614" s="851"/>
      <c r="N614" s="851"/>
    </row>
    <row r="615" spans="3:14" ht="14.25" customHeight="1">
      <c r="C615" s="851"/>
      <c r="D615" s="851"/>
      <c r="E615" s="851"/>
      <c r="F615" s="851"/>
      <c r="G615" s="851"/>
      <c r="H615" s="851"/>
      <c r="I615" s="851"/>
      <c r="J615" s="851"/>
      <c r="K615" s="851"/>
      <c r="L615" s="851"/>
      <c r="M615" s="851"/>
      <c r="N615" s="851"/>
    </row>
    <row r="616" spans="3:14" ht="14.25" customHeight="1">
      <c r="C616" s="851"/>
      <c r="D616" s="851"/>
      <c r="E616" s="851"/>
      <c r="F616" s="851"/>
      <c r="G616" s="851"/>
      <c r="H616" s="851"/>
      <c r="I616" s="851"/>
      <c r="J616" s="851"/>
      <c r="K616" s="851"/>
      <c r="L616" s="851"/>
      <c r="M616" s="851"/>
      <c r="N616" s="851"/>
    </row>
    <row r="617" spans="3:14" ht="14.25" customHeight="1">
      <c r="C617" s="851"/>
      <c r="D617" s="851"/>
      <c r="E617" s="851"/>
      <c r="F617" s="851"/>
      <c r="G617" s="851"/>
      <c r="H617" s="851"/>
      <c r="I617" s="851"/>
      <c r="J617" s="851"/>
      <c r="K617" s="851"/>
      <c r="L617" s="851"/>
      <c r="M617" s="851"/>
      <c r="N617" s="851"/>
    </row>
    <row r="618" spans="3:14" ht="14.25" customHeight="1">
      <c r="C618" s="851"/>
      <c r="D618" s="851"/>
      <c r="E618" s="851"/>
      <c r="F618" s="851"/>
      <c r="G618" s="851"/>
      <c r="H618" s="851"/>
      <c r="I618" s="851"/>
      <c r="J618" s="851"/>
      <c r="K618" s="851"/>
      <c r="L618" s="851"/>
      <c r="M618" s="851"/>
      <c r="N618" s="851"/>
    </row>
    <row r="619" spans="3:14" ht="14.25" customHeight="1">
      <c r="C619" s="851"/>
      <c r="D619" s="851"/>
      <c r="E619" s="851"/>
      <c r="F619" s="851"/>
      <c r="G619" s="851"/>
      <c r="H619" s="851"/>
      <c r="I619" s="851"/>
      <c r="J619" s="851"/>
      <c r="K619" s="851"/>
      <c r="L619" s="851"/>
      <c r="M619" s="851"/>
      <c r="N619" s="851"/>
    </row>
    <row r="620" spans="3:14" ht="14.25" customHeight="1">
      <c r="C620" s="851"/>
      <c r="D620" s="851"/>
      <c r="E620" s="851"/>
      <c r="F620" s="851"/>
      <c r="G620" s="851"/>
      <c r="H620" s="851"/>
      <c r="I620" s="851"/>
      <c r="J620" s="851"/>
      <c r="K620" s="851"/>
      <c r="L620" s="851"/>
      <c r="M620" s="851"/>
      <c r="N620" s="851"/>
    </row>
    <row r="621" spans="3:14" ht="14.25" customHeight="1">
      <c r="C621" s="851"/>
      <c r="D621" s="851"/>
      <c r="E621" s="851"/>
      <c r="F621" s="851"/>
      <c r="G621" s="851"/>
      <c r="H621" s="851"/>
      <c r="I621" s="851"/>
      <c r="J621" s="851"/>
      <c r="K621" s="851"/>
      <c r="L621" s="851"/>
      <c r="M621" s="851"/>
      <c r="N621" s="851"/>
    </row>
    <row r="622" spans="3:14" ht="14.25" customHeight="1">
      <c r="C622" s="851"/>
      <c r="D622" s="851"/>
      <c r="E622" s="851"/>
      <c r="F622" s="851"/>
      <c r="G622" s="851"/>
      <c r="H622" s="851"/>
      <c r="I622" s="851"/>
      <c r="J622" s="851"/>
      <c r="K622" s="851"/>
      <c r="L622" s="851"/>
      <c r="M622" s="851"/>
      <c r="N622" s="851"/>
    </row>
    <row r="623" spans="3:14" ht="14.25" customHeight="1">
      <c r="C623" s="851"/>
      <c r="D623" s="851"/>
      <c r="E623" s="851"/>
      <c r="F623" s="851"/>
      <c r="G623" s="851"/>
      <c r="H623" s="851"/>
      <c r="I623" s="851"/>
      <c r="J623" s="851"/>
      <c r="K623" s="851"/>
      <c r="L623" s="851"/>
      <c r="M623" s="851"/>
      <c r="N623" s="851"/>
    </row>
    <row r="624" spans="3:14" ht="14.25" customHeight="1">
      <c r="C624" s="851"/>
      <c r="D624" s="851"/>
      <c r="E624" s="851"/>
      <c r="F624" s="851"/>
      <c r="G624" s="851"/>
      <c r="H624" s="851"/>
      <c r="I624" s="851"/>
      <c r="J624" s="851"/>
      <c r="K624" s="851"/>
      <c r="L624" s="851"/>
      <c r="M624" s="851"/>
      <c r="N624" s="851"/>
    </row>
    <row r="625" spans="3:14" ht="14.25" customHeight="1">
      <c r="C625" s="851"/>
      <c r="D625" s="851"/>
      <c r="E625" s="851"/>
      <c r="F625" s="851"/>
      <c r="G625" s="851"/>
      <c r="H625" s="851"/>
      <c r="I625" s="851"/>
      <c r="J625" s="851"/>
      <c r="K625" s="851"/>
      <c r="L625" s="851"/>
      <c r="M625" s="851"/>
      <c r="N625" s="851"/>
    </row>
    <row r="626" spans="3:14" ht="14.25" customHeight="1">
      <c r="C626" s="851"/>
      <c r="D626" s="851"/>
      <c r="E626" s="851"/>
      <c r="F626" s="851"/>
      <c r="G626" s="851"/>
      <c r="H626" s="851"/>
      <c r="I626" s="851"/>
      <c r="J626" s="851"/>
      <c r="K626" s="851"/>
      <c r="L626" s="851"/>
      <c r="M626" s="851"/>
      <c r="N626" s="851"/>
    </row>
    <row r="627" spans="3:14" ht="14.25" customHeight="1">
      <c r="C627" s="851"/>
      <c r="D627" s="851"/>
      <c r="E627" s="851"/>
      <c r="F627" s="851"/>
      <c r="G627" s="851"/>
      <c r="H627" s="851"/>
      <c r="I627" s="851"/>
      <c r="J627" s="851"/>
      <c r="K627" s="851"/>
      <c r="L627" s="851"/>
      <c r="M627" s="851"/>
      <c r="N627" s="851"/>
    </row>
    <row r="628" spans="3:14" ht="14.25" customHeight="1">
      <c r="C628" s="851"/>
      <c r="D628" s="851"/>
      <c r="E628" s="851"/>
      <c r="F628" s="851"/>
      <c r="G628" s="851"/>
      <c r="H628" s="851"/>
      <c r="I628" s="851"/>
      <c r="J628" s="851"/>
      <c r="K628" s="851"/>
      <c r="L628" s="851"/>
      <c r="M628" s="851"/>
      <c r="N628" s="851"/>
    </row>
    <row r="629" spans="3:14" ht="14.25" customHeight="1">
      <c r="C629" s="851"/>
      <c r="D629" s="851"/>
      <c r="E629" s="851"/>
      <c r="F629" s="851"/>
      <c r="G629" s="851"/>
      <c r="H629" s="851"/>
      <c r="I629" s="851"/>
      <c r="J629" s="851"/>
      <c r="K629" s="851"/>
      <c r="L629" s="851"/>
      <c r="M629" s="851"/>
      <c r="N629" s="851"/>
    </row>
    <row r="630" spans="3:14" ht="14.25" customHeight="1">
      <c r="C630" s="851"/>
      <c r="D630" s="851"/>
      <c r="E630" s="851"/>
      <c r="F630" s="851"/>
      <c r="G630" s="851"/>
      <c r="H630" s="851"/>
      <c r="I630" s="851"/>
      <c r="J630" s="851"/>
      <c r="K630" s="851"/>
      <c r="L630" s="851"/>
      <c r="M630" s="851"/>
      <c r="N630" s="851"/>
    </row>
    <row r="631" spans="3:14" ht="14.25" customHeight="1">
      <c r="C631" s="851"/>
      <c r="D631" s="851"/>
      <c r="E631" s="851"/>
      <c r="F631" s="851"/>
      <c r="G631" s="851"/>
      <c r="H631" s="851"/>
      <c r="I631" s="851"/>
      <c r="J631" s="851"/>
      <c r="K631" s="851"/>
      <c r="L631" s="851"/>
      <c r="M631" s="851"/>
      <c r="N631" s="851"/>
    </row>
    <row r="632" spans="3:14" ht="14.25" customHeight="1">
      <c r="C632" s="851"/>
      <c r="D632" s="851"/>
      <c r="E632" s="851"/>
      <c r="F632" s="851"/>
      <c r="G632" s="851"/>
      <c r="H632" s="851"/>
      <c r="I632" s="851"/>
      <c r="J632" s="851"/>
      <c r="K632" s="851"/>
      <c r="L632" s="851"/>
      <c r="M632" s="851"/>
      <c r="N632" s="851"/>
    </row>
    <row r="633" spans="3:14" ht="14.25" customHeight="1">
      <c r="C633" s="851"/>
      <c r="D633" s="851"/>
      <c r="E633" s="851"/>
      <c r="F633" s="851"/>
      <c r="G633" s="851"/>
      <c r="H633" s="851"/>
      <c r="I633" s="851"/>
      <c r="J633" s="851"/>
      <c r="K633" s="851"/>
      <c r="L633" s="851"/>
      <c r="M633" s="851"/>
      <c r="N633" s="851"/>
    </row>
    <row r="634" spans="3:14" ht="14.25" customHeight="1">
      <c r="C634" s="851"/>
      <c r="D634" s="851"/>
      <c r="E634" s="851"/>
      <c r="F634" s="851"/>
      <c r="G634" s="851"/>
      <c r="H634" s="851"/>
      <c r="I634" s="851"/>
      <c r="J634" s="851"/>
      <c r="K634" s="851"/>
      <c r="L634" s="851"/>
      <c r="M634" s="851"/>
      <c r="N634" s="851"/>
    </row>
    <row r="635" spans="3:14" ht="14.25" customHeight="1">
      <c r="C635" s="851"/>
      <c r="D635" s="851"/>
      <c r="E635" s="851"/>
      <c r="F635" s="851"/>
      <c r="G635" s="851"/>
      <c r="H635" s="851"/>
      <c r="I635" s="851"/>
      <c r="J635" s="851"/>
      <c r="K635" s="851"/>
      <c r="L635" s="851"/>
      <c r="M635" s="851"/>
      <c r="N635" s="851"/>
    </row>
    <row r="636" spans="3:14" ht="14.25" customHeight="1">
      <c r="C636" s="851"/>
      <c r="D636" s="851"/>
      <c r="E636" s="851"/>
      <c r="F636" s="851"/>
      <c r="G636" s="851"/>
      <c r="H636" s="851"/>
      <c r="I636" s="851"/>
      <c r="J636" s="851"/>
      <c r="K636" s="851"/>
      <c r="L636" s="851"/>
      <c r="M636" s="851"/>
      <c r="N636" s="851"/>
    </row>
    <row r="637" spans="3:14" ht="14.25" customHeight="1">
      <c r="C637" s="851"/>
      <c r="D637" s="851"/>
      <c r="E637" s="851"/>
      <c r="F637" s="851"/>
      <c r="G637" s="851"/>
      <c r="H637" s="851"/>
      <c r="I637" s="851"/>
      <c r="J637" s="851"/>
      <c r="K637" s="851"/>
      <c r="L637" s="851"/>
      <c r="M637" s="851"/>
      <c r="N637" s="851"/>
    </row>
    <row r="638" spans="3:14" ht="14.25" customHeight="1">
      <c r="C638" s="851"/>
      <c r="D638" s="851"/>
      <c r="E638" s="851"/>
      <c r="F638" s="851"/>
      <c r="G638" s="851"/>
      <c r="H638" s="851"/>
      <c r="I638" s="851"/>
      <c r="J638" s="851"/>
      <c r="K638" s="851"/>
      <c r="L638" s="851"/>
      <c r="M638" s="851"/>
      <c r="N638" s="851"/>
    </row>
    <row r="639" spans="3:14" ht="14.25" customHeight="1">
      <c r="C639" s="851"/>
      <c r="D639" s="851"/>
      <c r="E639" s="851"/>
      <c r="F639" s="851"/>
      <c r="G639" s="851"/>
      <c r="H639" s="851"/>
      <c r="I639" s="851"/>
      <c r="J639" s="851"/>
      <c r="K639" s="851"/>
      <c r="L639" s="851"/>
      <c r="M639" s="851"/>
      <c r="N639" s="851"/>
    </row>
    <row r="640" spans="3:14" ht="14.25" customHeight="1">
      <c r="C640" s="851"/>
      <c r="D640" s="851"/>
      <c r="E640" s="851"/>
      <c r="F640" s="851"/>
      <c r="G640" s="851"/>
      <c r="H640" s="851"/>
      <c r="I640" s="851"/>
      <c r="J640" s="851"/>
      <c r="K640" s="851"/>
      <c r="L640" s="851"/>
      <c r="M640" s="851"/>
      <c r="N640" s="851"/>
    </row>
    <row r="641" spans="3:14" ht="14.25" customHeight="1">
      <c r="C641" s="851"/>
      <c r="D641" s="851"/>
      <c r="E641" s="851"/>
      <c r="F641" s="851"/>
      <c r="G641" s="851"/>
      <c r="H641" s="851"/>
      <c r="I641" s="851"/>
      <c r="J641" s="851"/>
      <c r="K641" s="851"/>
      <c r="L641" s="851"/>
      <c r="M641" s="851"/>
      <c r="N641" s="851"/>
    </row>
    <row r="642" spans="3:14" ht="14.25" customHeight="1">
      <c r="C642" s="851"/>
      <c r="D642" s="851"/>
      <c r="E642" s="851"/>
      <c r="F642" s="851"/>
      <c r="G642" s="851"/>
      <c r="H642" s="851"/>
      <c r="I642" s="851"/>
      <c r="J642" s="851"/>
      <c r="K642" s="851"/>
      <c r="L642" s="851"/>
      <c r="M642" s="851"/>
      <c r="N642" s="851"/>
    </row>
    <row r="643" spans="3:14" ht="14.25" customHeight="1">
      <c r="C643" s="851"/>
      <c r="D643" s="851"/>
      <c r="E643" s="851"/>
      <c r="F643" s="851"/>
      <c r="G643" s="851"/>
      <c r="H643" s="851"/>
      <c r="I643" s="851"/>
      <c r="J643" s="851"/>
      <c r="K643" s="851"/>
      <c r="L643" s="851"/>
      <c r="M643" s="851"/>
      <c r="N643" s="851"/>
    </row>
    <row r="644" spans="3:14" ht="14.25" customHeight="1">
      <c r="C644" s="851"/>
      <c r="D644" s="851"/>
      <c r="E644" s="851"/>
      <c r="F644" s="851"/>
      <c r="G644" s="851"/>
      <c r="H644" s="851"/>
      <c r="I644" s="851"/>
      <c r="J644" s="851"/>
      <c r="K644" s="851"/>
      <c r="L644" s="851"/>
      <c r="M644" s="851"/>
      <c r="N644" s="851"/>
    </row>
    <row r="645" spans="3:14" ht="14.25" customHeight="1">
      <c r="C645" s="851"/>
      <c r="D645" s="851"/>
      <c r="E645" s="851"/>
      <c r="F645" s="851"/>
      <c r="G645" s="851"/>
      <c r="H645" s="851"/>
      <c r="I645" s="851"/>
      <c r="J645" s="851"/>
      <c r="K645" s="851"/>
      <c r="L645" s="851"/>
      <c r="M645" s="851"/>
      <c r="N645" s="851"/>
    </row>
    <row r="646" spans="3:14" ht="14.25" customHeight="1">
      <c r="C646" s="851"/>
      <c r="D646" s="851"/>
      <c r="E646" s="851"/>
      <c r="F646" s="851"/>
      <c r="G646" s="851"/>
      <c r="H646" s="851"/>
      <c r="I646" s="851"/>
      <c r="J646" s="851"/>
      <c r="K646" s="851"/>
      <c r="L646" s="851"/>
      <c r="M646" s="851"/>
      <c r="N646" s="851"/>
    </row>
    <row r="647" spans="3:14" ht="14.25" customHeight="1">
      <c r="C647" s="851"/>
      <c r="D647" s="851"/>
      <c r="E647" s="851"/>
      <c r="F647" s="851"/>
      <c r="G647" s="851"/>
      <c r="H647" s="851"/>
      <c r="I647" s="851"/>
      <c r="J647" s="851"/>
      <c r="K647" s="851"/>
      <c r="L647" s="851"/>
      <c r="M647" s="851"/>
      <c r="N647" s="851"/>
    </row>
    <row r="648" spans="3:14" ht="14.25" customHeight="1">
      <c r="C648" s="851"/>
      <c r="D648" s="851"/>
      <c r="E648" s="851"/>
      <c r="F648" s="851"/>
      <c r="G648" s="851"/>
      <c r="H648" s="851"/>
      <c r="I648" s="851"/>
      <c r="J648" s="851"/>
      <c r="K648" s="851"/>
      <c r="L648" s="851"/>
      <c r="M648" s="851"/>
      <c r="N648" s="851"/>
    </row>
    <row r="649" spans="3:14" ht="14.25" customHeight="1">
      <c r="C649" s="851"/>
      <c r="D649" s="851"/>
      <c r="E649" s="851"/>
      <c r="F649" s="851"/>
      <c r="G649" s="851"/>
      <c r="H649" s="851"/>
      <c r="I649" s="851"/>
      <c r="J649" s="851"/>
      <c r="K649" s="851"/>
      <c r="L649" s="851"/>
      <c r="M649" s="851"/>
      <c r="N649" s="851"/>
    </row>
    <row r="650" spans="3:14" ht="14.25" customHeight="1">
      <c r="C650" s="851"/>
      <c r="D650" s="851"/>
      <c r="E650" s="851"/>
      <c r="F650" s="851"/>
      <c r="G650" s="851"/>
      <c r="H650" s="851"/>
      <c r="I650" s="851"/>
      <c r="J650" s="851"/>
      <c r="K650" s="851"/>
      <c r="L650" s="851"/>
      <c r="M650" s="851"/>
      <c r="N650" s="851"/>
    </row>
    <row r="651" spans="3:14" ht="14.25" customHeight="1">
      <c r="C651" s="851"/>
      <c r="D651" s="851"/>
      <c r="E651" s="851"/>
      <c r="F651" s="851"/>
      <c r="G651" s="851"/>
      <c r="H651" s="851"/>
      <c r="I651" s="851"/>
      <c r="J651" s="851"/>
      <c r="K651" s="851"/>
      <c r="L651" s="851"/>
      <c r="M651" s="851"/>
      <c r="N651" s="851"/>
    </row>
    <row r="652" spans="3:14" ht="14.25" customHeight="1">
      <c r="C652" s="851"/>
      <c r="D652" s="851"/>
      <c r="E652" s="851"/>
      <c r="F652" s="851"/>
      <c r="G652" s="851"/>
      <c r="H652" s="851"/>
      <c r="I652" s="851"/>
      <c r="J652" s="851"/>
      <c r="K652" s="851"/>
      <c r="L652" s="851"/>
      <c r="M652" s="851"/>
      <c r="N652" s="851"/>
    </row>
    <row r="653" spans="3:14" ht="14.25" customHeight="1">
      <c r="C653" s="851"/>
      <c r="D653" s="851"/>
      <c r="E653" s="851"/>
      <c r="F653" s="851"/>
      <c r="G653" s="851"/>
      <c r="H653" s="851"/>
      <c r="I653" s="851"/>
      <c r="J653" s="851"/>
      <c r="K653" s="851"/>
      <c r="L653" s="851"/>
      <c r="M653" s="851"/>
      <c r="N653" s="851"/>
    </row>
    <row r="654" spans="3:14" ht="14.25" customHeight="1">
      <c r="C654" s="851"/>
      <c r="D654" s="851"/>
      <c r="E654" s="851"/>
      <c r="F654" s="851"/>
      <c r="G654" s="851"/>
      <c r="H654" s="851"/>
      <c r="I654" s="851"/>
      <c r="J654" s="851"/>
      <c r="K654" s="851"/>
      <c r="L654" s="851"/>
      <c r="M654" s="851"/>
      <c r="N654" s="851"/>
    </row>
    <row r="655" spans="3:14" ht="14.25" customHeight="1">
      <c r="C655" s="851"/>
      <c r="D655" s="851"/>
      <c r="E655" s="851"/>
      <c r="F655" s="851"/>
      <c r="G655" s="851"/>
      <c r="H655" s="851"/>
      <c r="I655" s="851"/>
      <c r="J655" s="851"/>
      <c r="K655" s="851"/>
      <c r="L655" s="851"/>
      <c r="M655" s="851"/>
      <c r="N655" s="851"/>
    </row>
    <row r="656" spans="3:14" ht="14.25" customHeight="1">
      <c r="C656" s="851"/>
      <c r="D656" s="851"/>
      <c r="E656" s="851"/>
      <c r="F656" s="851"/>
      <c r="G656" s="851"/>
      <c r="H656" s="851"/>
      <c r="I656" s="851"/>
      <c r="J656" s="851"/>
      <c r="K656" s="851"/>
      <c r="L656" s="851"/>
      <c r="M656" s="851"/>
      <c r="N656" s="851"/>
    </row>
    <row r="657" spans="3:14" ht="14.25" customHeight="1">
      <c r="C657" s="851"/>
      <c r="D657" s="851"/>
      <c r="E657" s="851"/>
      <c r="F657" s="851"/>
      <c r="G657" s="851"/>
      <c r="H657" s="851"/>
      <c r="I657" s="851"/>
      <c r="J657" s="851"/>
      <c r="K657" s="851"/>
      <c r="L657" s="851"/>
      <c r="M657" s="851"/>
      <c r="N657" s="851"/>
    </row>
    <row r="658" spans="3:14" ht="14.25" customHeight="1">
      <c r="C658" s="851"/>
      <c r="D658" s="851"/>
      <c r="E658" s="851"/>
      <c r="F658" s="851"/>
      <c r="G658" s="851"/>
      <c r="H658" s="851"/>
      <c r="I658" s="851"/>
      <c r="J658" s="851"/>
      <c r="K658" s="851"/>
      <c r="L658" s="851"/>
      <c r="M658" s="851"/>
      <c r="N658" s="851"/>
    </row>
    <row r="659" spans="3:14" ht="14.25" customHeight="1">
      <c r="C659" s="851"/>
      <c r="D659" s="851"/>
      <c r="E659" s="851"/>
      <c r="F659" s="851"/>
      <c r="G659" s="851"/>
      <c r="H659" s="851"/>
      <c r="I659" s="851"/>
      <c r="J659" s="851"/>
      <c r="K659" s="851"/>
      <c r="L659" s="851"/>
      <c r="M659" s="851"/>
      <c r="N659" s="851"/>
    </row>
    <row r="660" spans="3:14" ht="14.25" customHeight="1">
      <c r="C660" s="851"/>
      <c r="D660" s="851"/>
      <c r="E660" s="851"/>
      <c r="F660" s="851"/>
      <c r="G660" s="851"/>
      <c r="H660" s="851"/>
      <c r="I660" s="851"/>
      <c r="J660" s="851"/>
      <c r="K660" s="851"/>
      <c r="L660" s="851"/>
      <c r="M660" s="851"/>
      <c r="N660" s="851"/>
    </row>
    <row r="661" spans="3:14" ht="14.25" customHeight="1">
      <c r="C661" s="851"/>
      <c r="D661" s="851"/>
      <c r="E661" s="851"/>
      <c r="F661" s="851"/>
      <c r="G661" s="851"/>
      <c r="H661" s="851"/>
      <c r="I661" s="851"/>
      <c r="J661" s="851"/>
      <c r="K661" s="851"/>
      <c r="L661" s="851"/>
      <c r="M661" s="851"/>
      <c r="N661" s="851"/>
    </row>
    <row r="662" spans="3:14" ht="14.25" customHeight="1">
      <c r="C662" s="851"/>
      <c r="D662" s="851"/>
      <c r="E662" s="851"/>
      <c r="F662" s="851"/>
      <c r="G662" s="851"/>
      <c r="H662" s="851"/>
      <c r="I662" s="851"/>
      <c r="J662" s="851"/>
      <c r="K662" s="851"/>
      <c r="L662" s="851"/>
      <c r="M662" s="851"/>
      <c r="N662" s="851"/>
    </row>
    <row r="663" spans="3:14" ht="14.25" customHeight="1">
      <c r="C663" s="851"/>
      <c r="D663" s="851"/>
      <c r="E663" s="851"/>
      <c r="F663" s="851"/>
      <c r="G663" s="851"/>
      <c r="H663" s="851"/>
      <c r="I663" s="851"/>
      <c r="J663" s="851"/>
      <c r="K663" s="851"/>
      <c r="L663" s="851"/>
      <c r="M663" s="851"/>
      <c r="N663" s="851"/>
    </row>
    <row r="664" spans="3:14" ht="14.25" customHeight="1">
      <c r="C664" s="851"/>
      <c r="D664" s="851"/>
      <c r="E664" s="851"/>
      <c r="F664" s="851"/>
      <c r="G664" s="851"/>
      <c r="H664" s="851"/>
      <c r="I664" s="851"/>
      <c r="J664" s="851"/>
      <c r="K664" s="851"/>
      <c r="L664" s="851"/>
      <c r="M664" s="851"/>
      <c r="N664" s="851"/>
    </row>
    <row r="665" spans="3:14" ht="14.25" customHeight="1">
      <c r="C665" s="851"/>
      <c r="D665" s="851"/>
      <c r="E665" s="851"/>
      <c r="F665" s="851"/>
      <c r="G665" s="851"/>
      <c r="H665" s="851"/>
      <c r="I665" s="851"/>
      <c r="J665" s="851"/>
      <c r="K665" s="851"/>
      <c r="L665" s="851"/>
      <c r="M665" s="851"/>
      <c r="N665" s="851"/>
    </row>
    <row r="666" spans="3:14" ht="14.25" customHeight="1">
      <c r="C666" s="851"/>
      <c r="D666" s="851"/>
      <c r="E666" s="851"/>
      <c r="F666" s="851"/>
      <c r="G666" s="851"/>
      <c r="H666" s="851"/>
      <c r="I666" s="851"/>
      <c r="J666" s="851"/>
      <c r="K666" s="851"/>
      <c r="L666" s="851"/>
      <c r="M666" s="851"/>
      <c r="N666" s="851"/>
    </row>
    <row r="667" spans="3:14" ht="14.25" customHeight="1">
      <c r="C667" s="851"/>
      <c r="D667" s="851"/>
      <c r="E667" s="851"/>
      <c r="F667" s="851"/>
      <c r="G667" s="851"/>
      <c r="H667" s="851"/>
      <c r="I667" s="851"/>
      <c r="J667" s="851"/>
      <c r="K667" s="851"/>
      <c r="L667" s="851"/>
      <c r="M667" s="851"/>
      <c r="N667" s="851"/>
    </row>
    <row r="668" spans="3:14" ht="14.25" customHeight="1">
      <c r="C668" s="851"/>
      <c r="D668" s="851"/>
      <c r="E668" s="851"/>
      <c r="F668" s="851"/>
      <c r="G668" s="851"/>
      <c r="H668" s="851"/>
      <c r="I668" s="851"/>
      <c r="J668" s="851"/>
      <c r="K668" s="851"/>
      <c r="L668" s="851"/>
      <c r="M668" s="851"/>
      <c r="N668" s="851"/>
    </row>
    <row r="669" spans="3:14" ht="14.25" customHeight="1">
      <c r="C669" s="851"/>
      <c r="D669" s="851"/>
      <c r="E669" s="851"/>
      <c r="F669" s="851"/>
      <c r="G669" s="851"/>
      <c r="H669" s="851"/>
      <c r="I669" s="851"/>
      <c r="J669" s="851"/>
      <c r="K669" s="851"/>
      <c r="L669" s="851"/>
      <c r="M669" s="851"/>
      <c r="N669" s="851"/>
    </row>
    <row r="670" spans="3:14" ht="14.25" customHeight="1">
      <c r="C670" s="851"/>
      <c r="D670" s="851"/>
      <c r="E670" s="851"/>
      <c r="F670" s="851"/>
      <c r="G670" s="851"/>
      <c r="H670" s="851"/>
      <c r="I670" s="851"/>
      <c r="J670" s="851"/>
      <c r="K670" s="851"/>
      <c r="L670" s="851"/>
      <c r="M670" s="851"/>
      <c r="N670" s="851"/>
    </row>
    <row r="671" spans="3:14" ht="14.25" customHeight="1">
      <c r="C671" s="851"/>
      <c r="D671" s="851"/>
      <c r="E671" s="851"/>
      <c r="F671" s="851"/>
      <c r="G671" s="851"/>
      <c r="H671" s="851"/>
      <c r="I671" s="851"/>
      <c r="J671" s="851"/>
      <c r="K671" s="851"/>
      <c r="L671" s="851"/>
      <c r="M671" s="851"/>
      <c r="N671" s="851"/>
    </row>
    <row r="672" spans="3:14" ht="14.25" customHeight="1">
      <c r="C672" s="851"/>
      <c r="D672" s="851"/>
      <c r="E672" s="851"/>
      <c r="F672" s="851"/>
      <c r="G672" s="851"/>
      <c r="H672" s="851"/>
      <c r="I672" s="851"/>
      <c r="J672" s="851"/>
      <c r="K672" s="851"/>
      <c r="L672" s="851"/>
      <c r="M672" s="851"/>
      <c r="N672" s="851"/>
    </row>
    <row r="673" spans="3:14" ht="14.25" customHeight="1">
      <c r="C673" s="851"/>
      <c r="D673" s="851"/>
      <c r="E673" s="851"/>
      <c r="F673" s="851"/>
      <c r="G673" s="851"/>
      <c r="H673" s="851"/>
      <c r="I673" s="851"/>
      <c r="J673" s="851"/>
      <c r="K673" s="851"/>
      <c r="L673" s="851"/>
      <c r="M673" s="851"/>
      <c r="N673" s="851"/>
    </row>
    <row r="674" spans="3:14" ht="14.25" customHeight="1">
      <c r="C674" s="851"/>
      <c r="D674" s="851"/>
      <c r="E674" s="851"/>
      <c r="F674" s="851"/>
      <c r="G674" s="851"/>
      <c r="H674" s="851"/>
      <c r="I674" s="851"/>
      <c r="J674" s="851"/>
      <c r="K674" s="851"/>
      <c r="L674" s="851"/>
      <c r="M674" s="851"/>
      <c r="N674" s="851"/>
    </row>
    <row r="675" spans="3:14" ht="14.25" customHeight="1">
      <c r="C675" s="851"/>
      <c r="D675" s="851"/>
      <c r="E675" s="851"/>
      <c r="F675" s="851"/>
      <c r="G675" s="851"/>
      <c r="H675" s="851"/>
      <c r="I675" s="851"/>
      <c r="J675" s="851"/>
      <c r="K675" s="851"/>
      <c r="L675" s="851"/>
      <c r="M675" s="851"/>
      <c r="N675" s="851"/>
    </row>
    <row r="676" spans="3:14" ht="14.25" customHeight="1">
      <c r="C676" s="851"/>
      <c r="D676" s="851"/>
      <c r="E676" s="851"/>
      <c r="F676" s="851"/>
      <c r="G676" s="851"/>
      <c r="H676" s="851"/>
      <c r="I676" s="851"/>
      <c r="J676" s="851"/>
      <c r="K676" s="851"/>
      <c r="L676" s="851"/>
      <c r="M676" s="851"/>
      <c r="N676" s="851"/>
    </row>
    <row r="677" spans="3:14" ht="14.25" customHeight="1">
      <c r="C677" s="851"/>
      <c r="D677" s="851"/>
      <c r="E677" s="851"/>
      <c r="F677" s="851"/>
      <c r="G677" s="851"/>
      <c r="H677" s="851"/>
      <c r="I677" s="851"/>
      <c r="J677" s="851"/>
      <c r="K677" s="851"/>
      <c r="L677" s="851"/>
      <c r="M677" s="851"/>
      <c r="N677" s="851"/>
    </row>
    <row r="678" spans="3:14" ht="14.25" customHeight="1">
      <c r="C678" s="851"/>
      <c r="D678" s="851"/>
      <c r="E678" s="851"/>
      <c r="F678" s="851"/>
      <c r="G678" s="851"/>
      <c r="H678" s="851"/>
      <c r="I678" s="851"/>
      <c r="J678" s="851"/>
      <c r="K678" s="851"/>
      <c r="L678" s="851"/>
      <c r="M678" s="851"/>
      <c r="N678" s="851"/>
    </row>
    <row r="679" spans="3:14" ht="14.25" customHeight="1">
      <c r="C679" s="851"/>
      <c r="D679" s="851"/>
      <c r="E679" s="851"/>
      <c r="F679" s="851"/>
      <c r="G679" s="851"/>
      <c r="H679" s="851"/>
      <c r="I679" s="851"/>
      <c r="J679" s="851"/>
      <c r="K679" s="851"/>
      <c r="L679" s="851"/>
      <c r="M679" s="851"/>
      <c r="N679" s="851"/>
    </row>
    <row r="680" spans="3:14" ht="14.25" customHeight="1">
      <c r="C680" s="851"/>
      <c r="D680" s="851"/>
      <c r="E680" s="851"/>
      <c r="F680" s="851"/>
      <c r="G680" s="851"/>
      <c r="H680" s="851"/>
      <c r="I680" s="851"/>
      <c r="J680" s="851"/>
      <c r="K680" s="851"/>
      <c r="L680" s="851"/>
      <c r="M680" s="851"/>
      <c r="N680" s="851"/>
    </row>
    <row r="681" spans="3:14" ht="14.25" customHeight="1">
      <c r="C681" s="851"/>
      <c r="D681" s="851"/>
      <c r="E681" s="851"/>
      <c r="F681" s="851"/>
      <c r="G681" s="851"/>
      <c r="H681" s="851"/>
      <c r="I681" s="851"/>
      <c r="J681" s="851"/>
      <c r="K681" s="851"/>
      <c r="L681" s="851"/>
      <c r="M681" s="851"/>
      <c r="N681" s="851"/>
    </row>
    <row r="682" spans="3:14" ht="14.25" customHeight="1">
      <c r="C682" s="851"/>
      <c r="D682" s="851"/>
      <c r="E682" s="851"/>
      <c r="F682" s="851"/>
      <c r="G682" s="851"/>
      <c r="H682" s="851"/>
      <c r="I682" s="851"/>
      <c r="J682" s="851"/>
      <c r="K682" s="851"/>
      <c r="L682" s="851"/>
      <c r="M682" s="851"/>
      <c r="N682" s="851"/>
    </row>
    <row r="683" spans="3:14" ht="14.25" customHeight="1">
      <c r="C683" s="851"/>
      <c r="D683" s="851"/>
      <c r="E683" s="851"/>
      <c r="F683" s="851"/>
      <c r="G683" s="851"/>
      <c r="H683" s="851"/>
      <c r="I683" s="851"/>
      <c r="J683" s="851"/>
      <c r="K683" s="851"/>
      <c r="L683" s="851"/>
      <c r="M683" s="851"/>
      <c r="N683" s="851"/>
    </row>
    <row r="684" spans="3:14" ht="14.25" customHeight="1">
      <c r="C684" s="851"/>
      <c r="D684" s="851"/>
      <c r="E684" s="851"/>
      <c r="F684" s="851"/>
      <c r="G684" s="851"/>
      <c r="H684" s="851"/>
      <c r="I684" s="851"/>
      <c r="J684" s="851"/>
      <c r="K684" s="851"/>
      <c r="L684" s="851"/>
      <c r="M684" s="851"/>
      <c r="N684" s="851"/>
    </row>
    <row r="685" spans="3:14" ht="14.25" customHeight="1">
      <c r="C685" s="851"/>
      <c r="D685" s="851"/>
      <c r="E685" s="851"/>
      <c r="F685" s="851"/>
      <c r="G685" s="851"/>
      <c r="H685" s="851"/>
      <c r="I685" s="851"/>
      <c r="J685" s="851"/>
      <c r="K685" s="851"/>
      <c r="L685" s="851"/>
      <c r="M685" s="851"/>
      <c r="N685" s="851"/>
    </row>
    <row r="686" spans="3:14" ht="14.25" customHeight="1">
      <c r="C686" s="851"/>
      <c r="D686" s="851"/>
      <c r="E686" s="851"/>
      <c r="F686" s="851"/>
      <c r="G686" s="851"/>
      <c r="H686" s="851"/>
      <c r="I686" s="851"/>
      <c r="J686" s="851"/>
      <c r="K686" s="851"/>
      <c r="L686" s="851"/>
      <c r="M686" s="851"/>
      <c r="N686" s="851"/>
    </row>
    <row r="687" spans="3:14" ht="14.25" customHeight="1">
      <c r="C687" s="851"/>
      <c r="D687" s="851"/>
      <c r="E687" s="851"/>
      <c r="F687" s="851"/>
      <c r="G687" s="851"/>
      <c r="H687" s="851"/>
      <c r="I687" s="851"/>
      <c r="J687" s="851"/>
      <c r="K687" s="851"/>
      <c r="L687" s="851"/>
      <c r="M687" s="851"/>
      <c r="N687" s="851"/>
    </row>
    <row r="688" spans="3:14" ht="14.25" customHeight="1">
      <c r="C688" s="851"/>
      <c r="D688" s="851"/>
      <c r="E688" s="851"/>
      <c r="F688" s="851"/>
      <c r="G688" s="851"/>
      <c r="H688" s="851"/>
      <c r="I688" s="851"/>
      <c r="J688" s="851"/>
      <c r="K688" s="851"/>
      <c r="L688" s="851"/>
      <c r="M688" s="851"/>
      <c r="N688" s="851"/>
    </row>
    <row r="689" spans="3:14" ht="14.25" customHeight="1">
      <c r="C689" s="851"/>
      <c r="D689" s="851"/>
      <c r="E689" s="851"/>
      <c r="F689" s="851"/>
      <c r="G689" s="851"/>
      <c r="H689" s="851"/>
      <c r="I689" s="851"/>
      <c r="J689" s="851"/>
      <c r="K689" s="851"/>
      <c r="L689" s="851"/>
      <c r="M689" s="851"/>
      <c r="N689" s="851"/>
    </row>
    <row r="690" spans="3:14" ht="14.25" customHeight="1">
      <c r="C690" s="851"/>
      <c r="D690" s="851"/>
      <c r="E690" s="851"/>
      <c r="F690" s="851"/>
      <c r="G690" s="851"/>
      <c r="H690" s="851"/>
      <c r="I690" s="851"/>
      <c r="J690" s="851"/>
      <c r="K690" s="851"/>
      <c r="L690" s="851"/>
      <c r="M690" s="851"/>
      <c r="N690" s="851"/>
    </row>
    <row r="691" spans="3:14" ht="14.25" customHeight="1">
      <c r="C691" s="851"/>
      <c r="D691" s="851"/>
      <c r="E691" s="851"/>
      <c r="F691" s="851"/>
      <c r="G691" s="851"/>
      <c r="H691" s="851"/>
      <c r="I691" s="851"/>
      <c r="J691" s="851"/>
      <c r="K691" s="851"/>
      <c r="L691" s="851"/>
      <c r="M691" s="851"/>
      <c r="N691" s="851"/>
    </row>
    <row r="692" spans="3:14" ht="14.25" customHeight="1">
      <c r="C692" s="851"/>
      <c r="D692" s="851"/>
      <c r="E692" s="851"/>
      <c r="F692" s="851"/>
      <c r="G692" s="851"/>
      <c r="H692" s="851"/>
      <c r="I692" s="851"/>
      <c r="J692" s="851"/>
      <c r="K692" s="851"/>
      <c r="L692" s="851"/>
      <c r="M692" s="851"/>
      <c r="N692" s="851"/>
    </row>
    <row r="693" spans="3:14" ht="14.25" customHeight="1">
      <c r="C693" s="851"/>
      <c r="D693" s="851"/>
      <c r="E693" s="851"/>
      <c r="F693" s="851"/>
      <c r="G693" s="851"/>
      <c r="H693" s="851"/>
      <c r="I693" s="851"/>
      <c r="J693" s="851"/>
      <c r="K693" s="851"/>
      <c r="L693" s="851"/>
      <c r="M693" s="851"/>
      <c r="N693" s="851"/>
    </row>
    <row r="694" spans="3:14" ht="14.25" customHeight="1">
      <c r="C694" s="851"/>
      <c r="D694" s="851"/>
      <c r="E694" s="851"/>
      <c r="F694" s="851"/>
      <c r="G694" s="851"/>
      <c r="H694" s="851"/>
      <c r="I694" s="851"/>
      <c r="J694" s="851"/>
      <c r="K694" s="851"/>
      <c r="L694" s="851"/>
      <c r="M694" s="851"/>
      <c r="N694" s="851"/>
    </row>
    <row r="695" spans="3:14" ht="14.25" customHeight="1">
      <c r="C695" s="851"/>
      <c r="D695" s="851"/>
      <c r="E695" s="851"/>
      <c r="F695" s="851"/>
      <c r="G695" s="851"/>
      <c r="H695" s="851"/>
      <c r="I695" s="851"/>
      <c r="J695" s="851"/>
      <c r="K695" s="851"/>
      <c r="L695" s="851"/>
      <c r="M695" s="851"/>
      <c r="N695" s="851"/>
    </row>
    <row r="696" spans="3:14" ht="14.25" customHeight="1">
      <c r="C696" s="851"/>
      <c r="D696" s="851"/>
      <c r="E696" s="851"/>
      <c r="F696" s="851"/>
      <c r="G696" s="851"/>
      <c r="H696" s="851"/>
      <c r="I696" s="851"/>
      <c r="J696" s="851"/>
      <c r="K696" s="851"/>
      <c r="L696" s="851"/>
      <c r="M696" s="851"/>
      <c r="N696" s="851"/>
    </row>
    <row r="697" spans="3:14" ht="14.25" customHeight="1">
      <c r="C697" s="851"/>
      <c r="D697" s="851"/>
      <c r="E697" s="851"/>
      <c r="F697" s="851"/>
      <c r="G697" s="851"/>
      <c r="H697" s="851"/>
      <c r="I697" s="851"/>
      <c r="J697" s="851"/>
      <c r="K697" s="851"/>
      <c r="L697" s="851"/>
      <c r="M697" s="851"/>
      <c r="N697" s="851"/>
    </row>
    <row r="698" spans="3:14" ht="14.25" customHeight="1">
      <c r="C698" s="851"/>
      <c r="D698" s="851"/>
      <c r="E698" s="851"/>
      <c r="F698" s="851"/>
      <c r="G698" s="851"/>
      <c r="H698" s="851"/>
      <c r="I698" s="851"/>
      <c r="J698" s="851"/>
      <c r="K698" s="851"/>
      <c r="L698" s="851"/>
      <c r="M698" s="851"/>
      <c r="N698" s="851"/>
    </row>
    <row r="699" spans="3:14" ht="14.25" customHeight="1">
      <c r="C699" s="851"/>
      <c r="D699" s="851"/>
      <c r="E699" s="851"/>
      <c r="F699" s="851"/>
      <c r="G699" s="851"/>
      <c r="H699" s="851"/>
      <c r="I699" s="851"/>
      <c r="J699" s="851"/>
      <c r="K699" s="851"/>
      <c r="L699" s="851"/>
      <c r="M699" s="851"/>
      <c r="N699" s="851"/>
    </row>
    <row r="700" spans="3:14" ht="14.25" customHeight="1">
      <c r="C700" s="851"/>
      <c r="D700" s="851"/>
      <c r="E700" s="851"/>
      <c r="F700" s="851"/>
      <c r="G700" s="851"/>
      <c r="H700" s="851"/>
      <c r="I700" s="851"/>
      <c r="J700" s="851"/>
      <c r="K700" s="851"/>
      <c r="L700" s="851"/>
      <c r="M700" s="851"/>
      <c r="N700" s="851"/>
    </row>
    <row r="701" spans="3:14" ht="14.25" customHeight="1">
      <c r="C701" s="851"/>
      <c r="D701" s="851"/>
      <c r="E701" s="851"/>
      <c r="F701" s="851"/>
      <c r="G701" s="851"/>
      <c r="H701" s="851"/>
      <c r="I701" s="851"/>
      <c r="J701" s="851"/>
      <c r="K701" s="851"/>
      <c r="L701" s="851"/>
      <c r="M701" s="851"/>
      <c r="N701" s="851"/>
    </row>
    <row r="702" spans="3:14" ht="14.25" customHeight="1">
      <c r="C702" s="851"/>
      <c r="D702" s="851"/>
      <c r="E702" s="851"/>
      <c r="F702" s="851"/>
      <c r="G702" s="851"/>
      <c r="H702" s="851"/>
      <c r="I702" s="851"/>
      <c r="J702" s="851"/>
      <c r="K702" s="851"/>
      <c r="L702" s="851"/>
      <c r="M702" s="851"/>
      <c r="N702" s="851"/>
    </row>
    <row r="703" spans="3:14" ht="14.25" customHeight="1">
      <c r="C703" s="851"/>
      <c r="D703" s="851"/>
      <c r="E703" s="851"/>
      <c r="F703" s="851"/>
      <c r="G703" s="851"/>
      <c r="H703" s="851"/>
      <c r="I703" s="851"/>
      <c r="J703" s="851"/>
      <c r="K703" s="851"/>
      <c r="L703" s="851"/>
      <c r="M703" s="851"/>
      <c r="N703" s="851"/>
    </row>
    <row r="704" spans="3:14" ht="14.25" customHeight="1">
      <c r="C704" s="851"/>
      <c r="D704" s="851"/>
      <c r="E704" s="851"/>
      <c r="F704" s="851"/>
      <c r="G704" s="851"/>
      <c r="H704" s="851"/>
      <c r="I704" s="851"/>
      <c r="J704" s="851"/>
      <c r="K704" s="851"/>
      <c r="L704" s="851"/>
      <c r="M704" s="851"/>
      <c r="N704" s="851"/>
    </row>
    <row r="705" spans="3:14" ht="14.25" customHeight="1">
      <c r="C705" s="851"/>
      <c r="D705" s="851"/>
      <c r="E705" s="851"/>
      <c r="F705" s="851"/>
      <c r="G705" s="851"/>
      <c r="H705" s="851"/>
      <c r="I705" s="851"/>
      <c r="J705" s="851"/>
      <c r="K705" s="851"/>
      <c r="L705" s="851"/>
      <c r="M705" s="851"/>
      <c r="N705" s="851"/>
    </row>
    <row r="706" spans="3:14" ht="14.25" customHeight="1">
      <c r="C706" s="851"/>
      <c r="D706" s="851"/>
      <c r="E706" s="851"/>
      <c r="F706" s="851"/>
      <c r="G706" s="851"/>
      <c r="H706" s="851"/>
      <c r="I706" s="851"/>
      <c r="J706" s="851"/>
      <c r="K706" s="851"/>
      <c r="L706" s="851"/>
      <c r="M706" s="851"/>
      <c r="N706" s="851"/>
    </row>
    <row r="707" spans="3:14" ht="14.25" customHeight="1">
      <c r="C707" s="851"/>
      <c r="D707" s="851"/>
      <c r="E707" s="851"/>
      <c r="F707" s="851"/>
      <c r="G707" s="851"/>
      <c r="H707" s="851"/>
      <c r="I707" s="851"/>
      <c r="J707" s="851"/>
      <c r="K707" s="851"/>
      <c r="L707" s="851"/>
      <c r="M707" s="851"/>
      <c r="N707" s="851"/>
    </row>
    <row r="708" spans="3:14" ht="14.25" customHeight="1">
      <c r="C708" s="851"/>
      <c r="D708" s="851"/>
      <c r="E708" s="851"/>
      <c r="F708" s="851"/>
      <c r="G708" s="851"/>
      <c r="H708" s="851"/>
      <c r="I708" s="851"/>
      <c r="J708" s="851"/>
      <c r="K708" s="851"/>
      <c r="L708" s="851"/>
      <c r="M708" s="851"/>
      <c r="N708" s="851"/>
    </row>
    <row r="709" spans="3:14" ht="14.25" customHeight="1">
      <c r="C709" s="851"/>
      <c r="D709" s="851"/>
      <c r="E709" s="851"/>
      <c r="F709" s="851"/>
      <c r="G709" s="851"/>
      <c r="H709" s="851"/>
      <c r="I709" s="851"/>
      <c r="J709" s="851"/>
      <c r="K709" s="851"/>
      <c r="L709" s="851"/>
      <c r="M709" s="851"/>
      <c r="N709" s="851"/>
    </row>
    <row r="710" spans="3:14" ht="14.25" customHeight="1">
      <c r="C710" s="851"/>
      <c r="D710" s="851"/>
      <c r="E710" s="851"/>
      <c r="F710" s="851"/>
      <c r="G710" s="851"/>
      <c r="H710" s="851"/>
      <c r="I710" s="851"/>
      <c r="J710" s="851"/>
      <c r="K710" s="851"/>
      <c r="L710" s="851"/>
      <c r="M710" s="851"/>
      <c r="N710" s="851"/>
    </row>
    <row r="711" spans="3:14" ht="14.25" customHeight="1">
      <c r="C711" s="851"/>
      <c r="D711" s="851"/>
      <c r="E711" s="851"/>
      <c r="F711" s="851"/>
      <c r="G711" s="851"/>
      <c r="H711" s="851"/>
      <c r="I711" s="851"/>
      <c r="J711" s="851"/>
      <c r="K711" s="851"/>
      <c r="L711" s="851"/>
      <c r="M711" s="851"/>
      <c r="N711" s="851"/>
    </row>
    <row r="712" spans="3:14" ht="14.25" customHeight="1">
      <c r="C712" s="851"/>
      <c r="D712" s="851"/>
      <c r="E712" s="851"/>
      <c r="F712" s="851"/>
      <c r="G712" s="851"/>
      <c r="H712" s="851"/>
      <c r="I712" s="851"/>
      <c r="J712" s="851"/>
      <c r="K712" s="851"/>
      <c r="L712" s="851"/>
      <c r="M712" s="851"/>
      <c r="N712" s="851"/>
    </row>
    <row r="713" spans="3:14" ht="14.25" customHeight="1">
      <c r="C713" s="851"/>
      <c r="D713" s="851"/>
      <c r="E713" s="851"/>
      <c r="F713" s="851"/>
      <c r="G713" s="851"/>
      <c r="H713" s="851"/>
      <c r="I713" s="851"/>
      <c r="J713" s="851"/>
      <c r="K713" s="851"/>
      <c r="L713" s="851"/>
      <c r="M713" s="851"/>
      <c r="N713" s="851"/>
    </row>
    <row r="714" spans="3:14" ht="14.25" customHeight="1">
      <c r="C714" s="851"/>
      <c r="D714" s="851"/>
      <c r="E714" s="851"/>
      <c r="F714" s="851"/>
      <c r="G714" s="851"/>
      <c r="H714" s="851"/>
      <c r="I714" s="851"/>
      <c r="J714" s="851"/>
      <c r="K714" s="851"/>
      <c r="L714" s="851"/>
      <c r="M714" s="851"/>
      <c r="N714" s="851"/>
    </row>
    <row r="715" spans="3:14" ht="14.25" customHeight="1">
      <c r="C715" s="851"/>
      <c r="D715" s="851"/>
      <c r="E715" s="851"/>
      <c r="F715" s="851"/>
      <c r="G715" s="851"/>
      <c r="H715" s="851"/>
      <c r="I715" s="851"/>
      <c r="J715" s="851"/>
      <c r="K715" s="851"/>
      <c r="L715" s="851"/>
      <c r="M715" s="851"/>
      <c r="N715" s="851"/>
    </row>
    <row r="716" spans="3:14" ht="14.25" customHeight="1">
      <c r="C716" s="851"/>
      <c r="D716" s="851"/>
      <c r="E716" s="851"/>
      <c r="F716" s="851"/>
      <c r="G716" s="851"/>
      <c r="H716" s="851"/>
      <c r="I716" s="851"/>
      <c r="J716" s="851"/>
      <c r="K716" s="851"/>
      <c r="L716" s="851"/>
      <c r="M716" s="851"/>
      <c r="N716" s="851"/>
    </row>
    <row r="717" spans="3:14" ht="14.25" customHeight="1">
      <c r="C717" s="851"/>
      <c r="D717" s="851"/>
      <c r="E717" s="851"/>
      <c r="F717" s="851"/>
      <c r="G717" s="851"/>
      <c r="H717" s="851"/>
      <c r="I717" s="851"/>
      <c r="J717" s="851"/>
      <c r="K717" s="851"/>
      <c r="L717" s="851"/>
      <c r="M717" s="851"/>
      <c r="N717" s="851"/>
    </row>
    <row r="718" spans="3:14" ht="14.25" customHeight="1">
      <c r="C718" s="851"/>
      <c r="D718" s="851"/>
      <c r="E718" s="851"/>
      <c r="F718" s="851"/>
      <c r="G718" s="851"/>
      <c r="H718" s="851"/>
      <c r="I718" s="851"/>
      <c r="J718" s="851"/>
      <c r="K718" s="851"/>
      <c r="L718" s="851"/>
      <c r="M718" s="851"/>
      <c r="N718" s="851"/>
    </row>
    <row r="719" spans="3:14" ht="14.25" customHeight="1">
      <c r="C719" s="851"/>
      <c r="D719" s="851"/>
      <c r="E719" s="851"/>
      <c r="F719" s="851"/>
      <c r="G719" s="851"/>
      <c r="H719" s="851"/>
      <c r="I719" s="851"/>
      <c r="J719" s="851"/>
      <c r="K719" s="851"/>
      <c r="L719" s="851"/>
      <c r="M719" s="851"/>
      <c r="N719" s="851"/>
    </row>
    <row r="720" spans="3:14" ht="14.25" customHeight="1">
      <c r="C720" s="851"/>
      <c r="D720" s="851"/>
      <c r="E720" s="851"/>
      <c r="F720" s="851"/>
      <c r="G720" s="851"/>
      <c r="H720" s="851"/>
      <c r="I720" s="851"/>
      <c r="J720" s="851"/>
      <c r="K720" s="851"/>
      <c r="L720" s="851"/>
      <c r="M720" s="851"/>
      <c r="N720" s="851"/>
    </row>
    <row r="721" spans="3:14" ht="14.25" customHeight="1">
      <c r="C721" s="851"/>
      <c r="D721" s="851"/>
      <c r="E721" s="851"/>
      <c r="F721" s="851"/>
      <c r="G721" s="851"/>
      <c r="H721" s="851"/>
      <c r="I721" s="851"/>
      <c r="J721" s="851"/>
      <c r="K721" s="851"/>
      <c r="L721" s="851"/>
      <c r="M721" s="851"/>
      <c r="N721" s="851"/>
    </row>
    <row r="722" spans="3:14" ht="14.25" customHeight="1">
      <c r="C722" s="851"/>
      <c r="D722" s="851"/>
      <c r="E722" s="851"/>
      <c r="F722" s="851"/>
      <c r="G722" s="851"/>
      <c r="H722" s="851"/>
      <c r="I722" s="851"/>
      <c r="J722" s="851"/>
      <c r="K722" s="851"/>
      <c r="L722" s="851"/>
      <c r="M722" s="851"/>
      <c r="N722" s="851"/>
    </row>
    <row r="723" spans="3:14" ht="14.25" customHeight="1">
      <c r="C723" s="851"/>
      <c r="D723" s="851"/>
      <c r="E723" s="851"/>
      <c r="F723" s="851"/>
      <c r="G723" s="851"/>
      <c r="H723" s="851"/>
      <c r="I723" s="851"/>
      <c r="J723" s="851"/>
      <c r="K723" s="851"/>
      <c r="L723" s="851"/>
      <c r="M723" s="851"/>
      <c r="N723" s="851"/>
    </row>
    <row r="724" spans="3:14" ht="14.25" customHeight="1">
      <c r="C724" s="851"/>
      <c r="D724" s="851"/>
      <c r="E724" s="851"/>
      <c r="F724" s="851"/>
      <c r="G724" s="851"/>
      <c r="H724" s="851"/>
      <c r="I724" s="851"/>
      <c r="J724" s="851"/>
      <c r="K724" s="851"/>
      <c r="L724" s="851"/>
      <c r="M724" s="851"/>
      <c r="N724" s="851"/>
    </row>
    <row r="725" spans="3:14" ht="14.25" customHeight="1">
      <c r="C725" s="851"/>
      <c r="D725" s="851"/>
      <c r="E725" s="851"/>
      <c r="F725" s="851"/>
      <c r="G725" s="851"/>
      <c r="H725" s="851"/>
      <c r="I725" s="851"/>
      <c r="J725" s="851"/>
      <c r="K725" s="851"/>
      <c r="L725" s="851"/>
      <c r="M725" s="851"/>
      <c r="N725" s="851"/>
    </row>
    <row r="726" spans="3:14" ht="14.25" customHeight="1">
      <c r="C726" s="851"/>
      <c r="D726" s="851"/>
      <c r="E726" s="851"/>
      <c r="F726" s="851"/>
      <c r="G726" s="851"/>
      <c r="H726" s="851"/>
      <c r="I726" s="851"/>
      <c r="J726" s="851"/>
      <c r="K726" s="851"/>
      <c r="L726" s="851"/>
      <c r="M726" s="851"/>
      <c r="N726" s="851"/>
    </row>
    <row r="727" spans="3:14" ht="14.25" customHeight="1">
      <c r="C727" s="851"/>
      <c r="D727" s="851"/>
      <c r="E727" s="851"/>
      <c r="F727" s="851"/>
      <c r="G727" s="851"/>
      <c r="H727" s="851"/>
      <c r="I727" s="851"/>
      <c r="J727" s="851"/>
      <c r="K727" s="851"/>
      <c r="L727" s="851"/>
      <c r="M727" s="851"/>
      <c r="N727" s="851"/>
    </row>
    <row r="728" spans="3:14" ht="14.25" customHeight="1">
      <c r="C728" s="851"/>
      <c r="D728" s="851"/>
      <c r="E728" s="851"/>
      <c r="F728" s="851"/>
      <c r="G728" s="851"/>
      <c r="H728" s="851"/>
      <c r="I728" s="851"/>
      <c r="J728" s="851"/>
      <c r="K728" s="851"/>
      <c r="L728" s="851"/>
      <c r="M728" s="851"/>
      <c r="N728" s="851"/>
    </row>
    <row r="729" spans="3:14" ht="14.25" customHeight="1">
      <c r="C729" s="851"/>
      <c r="D729" s="851"/>
      <c r="E729" s="851"/>
      <c r="F729" s="851"/>
      <c r="G729" s="851"/>
      <c r="H729" s="851"/>
      <c r="I729" s="851"/>
      <c r="J729" s="851"/>
      <c r="K729" s="851"/>
      <c r="L729" s="851"/>
      <c r="M729" s="851"/>
      <c r="N729" s="851"/>
    </row>
    <row r="730" spans="3:14" ht="14.25" customHeight="1">
      <c r="C730" s="851"/>
      <c r="D730" s="851"/>
      <c r="E730" s="851"/>
      <c r="F730" s="851"/>
      <c r="G730" s="851"/>
      <c r="H730" s="851"/>
      <c r="I730" s="851"/>
      <c r="J730" s="851"/>
      <c r="K730" s="851"/>
      <c r="L730" s="851"/>
      <c r="M730" s="851"/>
      <c r="N730" s="851"/>
    </row>
    <row r="731" spans="3:14" ht="14.25" customHeight="1">
      <c r="C731" s="851"/>
      <c r="D731" s="851"/>
      <c r="E731" s="851"/>
      <c r="F731" s="851"/>
      <c r="G731" s="851"/>
      <c r="H731" s="851"/>
      <c r="I731" s="851"/>
      <c r="J731" s="851"/>
      <c r="K731" s="851"/>
      <c r="L731" s="851"/>
      <c r="M731" s="851"/>
      <c r="N731" s="851"/>
    </row>
    <row r="732" spans="3:14" ht="14.25" customHeight="1">
      <c r="C732" s="851"/>
      <c r="D732" s="851"/>
      <c r="E732" s="851"/>
      <c r="F732" s="851"/>
      <c r="G732" s="851"/>
      <c r="H732" s="851"/>
      <c r="I732" s="851"/>
      <c r="J732" s="851"/>
      <c r="K732" s="851"/>
      <c r="L732" s="851"/>
      <c r="M732" s="851"/>
      <c r="N732" s="851"/>
    </row>
    <row r="733" spans="3:14" ht="14.25" customHeight="1">
      <c r="C733" s="851"/>
      <c r="D733" s="851"/>
      <c r="E733" s="851"/>
      <c r="F733" s="851"/>
      <c r="G733" s="851"/>
      <c r="H733" s="851"/>
      <c r="I733" s="851"/>
      <c r="J733" s="851"/>
      <c r="K733" s="851"/>
      <c r="L733" s="851"/>
      <c r="M733" s="851"/>
      <c r="N733" s="851"/>
    </row>
    <row r="734" spans="3:14" ht="14.25" customHeight="1">
      <c r="C734" s="851"/>
      <c r="D734" s="851"/>
      <c r="E734" s="851"/>
      <c r="F734" s="851"/>
      <c r="G734" s="851"/>
      <c r="H734" s="851"/>
      <c r="I734" s="851"/>
      <c r="J734" s="851"/>
      <c r="K734" s="851"/>
      <c r="L734" s="851"/>
      <c r="M734" s="851"/>
      <c r="N734" s="851"/>
    </row>
    <row r="735" spans="3:14" ht="14.25" customHeight="1">
      <c r="C735" s="851"/>
      <c r="D735" s="851"/>
      <c r="E735" s="851"/>
      <c r="F735" s="851"/>
      <c r="G735" s="851"/>
      <c r="H735" s="851"/>
      <c r="I735" s="851"/>
      <c r="J735" s="851"/>
      <c r="K735" s="851"/>
      <c r="L735" s="851"/>
      <c r="M735" s="851"/>
      <c r="N735" s="851"/>
    </row>
    <row r="736" spans="3:14" ht="14.25" customHeight="1">
      <c r="C736" s="851"/>
      <c r="D736" s="851"/>
      <c r="E736" s="851"/>
      <c r="F736" s="851"/>
      <c r="G736" s="851"/>
      <c r="H736" s="851"/>
      <c r="I736" s="851"/>
      <c r="J736" s="851"/>
      <c r="K736" s="851"/>
      <c r="L736" s="851"/>
      <c r="M736" s="851"/>
      <c r="N736" s="851"/>
    </row>
    <row r="737" spans="3:14" ht="14.25" customHeight="1">
      <c r="C737" s="851"/>
      <c r="D737" s="851"/>
      <c r="E737" s="851"/>
      <c r="F737" s="851"/>
      <c r="G737" s="851"/>
      <c r="H737" s="851"/>
      <c r="I737" s="851"/>
      <c r="J737" s="851"/>
      <c r="K737" s="851"/>
      <c r="L737" s="851"/>
      <c r="M737" s="851"/>
      <c r="N737" s="851"/>
    </row>
    <row r="738" spans="3:14" ht="14.25" customHeight="1">
      <c r="C738" s="851"/>
      <c r="D738" s="851"/>
      <c r="E738" s="851"/>
      <c r="F738" s="851"/>
      <c r="G738" s="851"/>
      <c r="H738" s="851"/>
      <c r="I738" s="851"/>
      <c r="J738" s="851"/>
      <c r="K738" s="851"/>
      <c r="L738" s="851"/>
      <c r="M738" s="851"/>
      <c r="N738" s="851"/>
    </row>
    <row r="739" spans="3:14" ht="14.25" customHeight="1">
      <c r="C739" s="851"/>
      <c r="D739" s="851"/>
      <c r="E739" s="851"/>
      <c r="F739" s="851"/>
      <c r="G739" s="851"/>
      <c r="H739" s="851"/>
      <c r="I739" s="851"/>
      <c r="J739" s="851"/>
      <c r="K739" s="851"/>
      <c r="L739" s="851"/>
      <c r="M739" s="851"/>
      <c r="N739" s="851"/>
    </row>
    <row r="740" spans="3:14" ht="14.25" customHeight="1">
      <c r="C740" s="851"/>
      <c r="D740" s="851"/>
      <c r="E740" s="851"/>
      <c r="F740" s="851"/>
      <c r="G740" s="851"/>
      <c r="H740" s="851"/>
      <c r="I740" s="851"/>
      <c r="J740" s="851"/>
      <c r="K740" s="851"/>
      <c r="L740" s="851"/>
      <c r="M740" s="851"/>
      <c r="N740" s="851"/>
    </row>
    <row r="741" spans="3:14" ht="14.25" customHeight="1">
      <c r="C741" s="851"/>
      <c r="D741" s="851"/>
      <c r="E741" s="851"/>
      <c r="F741" s="851"/>
      <c r="G741" s="851"/>
      <c r="H741" s="851"/>
      <c r="I741" s="851"/>
      <c r="J741" s="851"/>
      <c r="K741" s="851"/>
      <c r="L741" s="851"/>
      <c r="M741" s="851"/>
      <c r="N741" s="851"/>
    </row>
    <row r="742" spans="3:14" ht="14.25" customHeight="1">
      <c r="C742" s="851"/>
      <c r="D742" s="851"/>
      <c r="E742" s="851"/>
      <c r="F742" s="851"/>
      <c r="G742" s="851"/>
      <c r="H742" s="851"/>
      <c r="I742" s="851"/>
      <c r="J742" s="851"/>
      <c r="K742" s="851"/>
      <c r="L742" s="851"/>
      <c r="M742" s="851"/>
      <c r="N742" s="851"/>
    </row>
    <row r="743" spans="3:14" ht="14.25" customHeight="1">
      <c r="C743" s="851"/>
      <c r="D743" s="851"/>
      <c r="E743" s="851"/>
      <c r="F743" s="851"/>
      <c r="G743" s="851"/>
      <c r="H743" s="851"/>
      <c r="I743" s="851"/>
      <c r="J743" s="851"/>
      <c r="K743" s="851"/>
      <c r="L743" s="851"/>
      <c r="M743" s="851"/>
      <c r="N743" s="851"/>
    </row>
    <row r="744" spans="3:14" ht="14.25" customHeight="1">
      <c r="C744" s="851"/>
      <c r="D744" s="851"/>
      <c r="E744" s="851"/>
      <c r="F744" s="851"/>
      <c r="G744" s="851"/>
      <c r="H744" s="851"/>
      <c r="I744" s="851"/>
      <c r="J744" s="851"/>
      <c r="K744" s="851"/>
      <c r="L744" s="851"/>
      <c r="M744" s="851"/>
      <c r="N744" s="851"/>
    </row>
    <row r="745" spans="3:14" ht="14.25" customHeight="1">
      <c r="C745" s="851"/>
      <c r="D745" s="851"/>
      <c r="E745" s="851"/>
      <c r="F745" s="851"/>
      <c r="G745" s="851"/>
      <c r="H745" s="851"/>
      <c r="I745" s="851"/>
      <c r="J745" s="851"/>
      <c r="K745" s="851"/>
      <c r="L745" s="851"/>
      <c r="M745" s="851"/>
      <c r="N745" s="851"/>
    </row>
    <row r="746" spans="3:14" ht="14.25" customHeight="1">
      <c r="C746" s="851"/>
      <c r="D746" s="851"/>
      <c r="E746" s="851"/>
      <c r="F746" s="851"/>
      <c r="G746" s="851"/>
      <c r="H746" s="851"/>
      <c r="I746" s="851"/>
      <c r="J746" s="851"/>
      <c r="K746" s="851"/>
      <c r="L746" s="851"/>
      <c r="M746" s="851"/>
      <c r="N746" s="851"/>
    </row>
    <row r="747" spans="3:14" ht="14.25" customHeight="1">
      <c r="C747" s="851"/>
      <c r="D747" s="851"/>
      <c r="E747" s="851"/>
      <c r="F747" s="851"/>
      <c r="G747" s="851"/>
      <c r="H747" s="851"/>
      <c r="I747" s="851"/>
      <c r="J747" s="851"/>
      <c r="K747" s="851"/>
      <c r="L747" s="851"/>
      <c r="M747" s="851"/>
      <c r="N747" s="851"/>
    </row>
    <row r="748" spans="3:14" ht="14.25" customHeight="1">
      <c r="C748" s="851"/>
      <c r="D748" s="851"/>
      <c r="E748" s="851"/>
      <c r="F748" s="851"/>
      <c r="G748" s="851"/>
      <c r="H748" s="851"/>
      <c r="I748" s="851"/>
      <c r="J748" s="851"/>
      <c r="K748" s="851"/>
      <c r="L748" s="851"/>
      <c r="M748" s="851"/>
      <c r="N748" s="851"/>
    </row>
    <row r="749" spans="3:14" ht="14.25" customHeight="1">
      <c r="C749" s="851"/>
      <c r="D749" s="851"/>
      <c r="E749" s="851"/>
      <c r="F749" s="851"/>
      <c r="G749" s="851"/>
      <c r="H749" s="851"/>
      <c r="I749" s="851"/>
      <c r="J749" s="851"/>
      <c r="K749" s="851"/>
      <c r="L749" s="851"/>
      <c r="M749" s="851"/>
      <c r="N749" s="851"/>
    </row>
    <row r="750" spans="3:14" ht="14.25" customHeight="1">
      <c r="C750" s="851"/>
      <c r="D750" s="851"/>
      <c r="E750" s="851"/>
      <c r="F750" s="851"/>
      <c r="G750" s="851"/>
      <c r="H750" s="851"/>
      <c r="I750" s="851"/>
      <c r="J750" s="851"/>
      <c r="K750" s="851"/>
      <c r="L750" s="851"/>
      <c r="M750" s="851"/>
      <c r="N750" s="851"/>
    </row>
    <row r="751" spans="3:14" ht="14.25" customHeight="1">
      <c r="C751" s="851"/>
      <c r="D751" s="851"/>
      <c r="E751" s="851"/>
      <c r="F751" s="851"/>
      <c r="G751" s="851"/>
      <c r="H751" s="851"/>
      <c r="I751" s="851"/>
      <c r="J751" s="851"/>
      <c r="K751" s="851"/>
      <c r="L751" s="851"/>
      <c r="M751" s="851"/>
      <c r="N751" s="851"/>
    </row>
    <row r="752" spans="3:14" ht="14.25" customHeight="1">
      <c r="C752" s="851"/>
      <c r="D752" s="851"/>
      <c r="E752" s="851"/>
      <c r="F752" s="851"/>
      <c r="G752" s="851"/>
      <c r="H752" s="851"/>
      <c r="I752" s="851"/>
      <c r="J752" s="851"/>
      <c r="K752" s="851"/>
      <c r="L752" s="851"/>
      <c r="M752" s="851"/>
      <c r="N752" s="851"/>
    </row>
    <row r="753" spans="3:14" ht="14.25" customHeight="1">
      <c r="C753" s="851"/>
      <c r="D753" s="851"/>
      <c r="E753" s="851"/>
      <c r="F753" s="851"/>
      <c r="G753" s="851"/>
      <c r="H753" s="851"/>
      <c r="I753" s="851"/>
      <c r="J753" s="851"/>
      <c r="K753" s="851"/>
      <c r="L753" s="851"/>
      <c r="M753" s="851"/>
      <c r="N753" s="851"/>
    </row>
    <row r="754" spans="3:14" ht="14.25" customHeight="1">
      <c r="C754" s="851"/>
      <c r="D754" s="851"/>
      <c r="E754" s="851"/>
      <c r="F754" s="851"/>
      <c r="G754" s="851"/>
      <c r="H754" s="851"/>
      <c r="I754" s="851"/>
      <c r="J754" s="851"/>
      <c r="K754" s="851"/>
      <c r="L754" s="851"/>
      <c r="M754" s="851"/>
      <c r="N754" s="851"/>
    </row>
    <row r="755" spans="3:14" ht="14.25" customHeight="1">
      <c r="C755" s="851"/>
      <c r="D755" s="851"/>
      <c r="E755" s="851"/>
      <c r="F755" s="851"/>
      <c r="G755" s="851"/>
      <c r="H755" s="851"/>
      <c r="I755" s="851"/>
      <c r="J755" s="851"/>
      <c r="K755" s="851"/>
      <c r="L755" s="851"/>
      <c r="M755" s="851"/>
      <c r="N755" s="851"/>
    </row>
    <row r="756" spans="3:14" ht="14.25" customHeight="1">
      <c r="C756" s="851"/>
      <c r="D756" s="851"/>
      <c r="E756" s="851"/>
      <c r="F756" s="851"/>
      <c r="G756" s="851"/>
      <c r="H756" s="851"/>
      <c r="I756" s="851"/>
      <c r="J756" s="851"/>
      <c r="K756" s="851"/>
      <c r="L756" s="851"/>
      <c r="M756" s="851"/>
      <c r="N756" s="851"/>
    </row>
    <row r="757" spans="3:14" ht="14.25" customHeight="1">
      <c r="C757" s="851"/>
      <c r="D757" s="851"/>
      <c r="E757" s="851"/>
      <c r="F757" s="851"/>
      <c r="G757" s="851"/>
      <c r="H757" s="851"/>
      <c r="I757" s="851"/>
      <c r="J757" s="851"/>
      <c r="K757" s="851"/>
      <c r="L757" s="851"/>
      <c r="M757" s="851"/>
      <c r="N757" s="851"/>
    </row>
    <row r="758" spans="3:14" ht="14.25" customHeight="1">
      <c r="C758" s="851"/>
      <c r="D758" s="851"/>
      <c r="E758" s="851"/>
      <c r="F758" s="851"/>
      <c r="G758" s="851"/>
      <c r="H758" s="851"/>
      <c r="I758" s="851"/>
      <c r="J758" s="851"/>
      <c r="K758" s="851"/>
      <c r="L758" s="851"/>
      <c r="M758" s="851"/>
      <c r="N758" s="851"/>
    </row>
    <row r="759" spans="3:14" ht="14.25" customHeight="1">
      <c r="C759" s="851"/>
      <c r="D759" s="851"/>
      <c r="E759" s="851"/>
      <c r="F759" s="851"/>
      <c r="G759" s="851"/>
      <c r="H759" s="851"/>
      <c r="I759" s="851"/>
      <c r="J759" s="851"/>
      <c r="K759" s="851"/>
      <c r="L759" s="851"/>
      <c r="M759" s="851"/>
      <c r="N759" s="851"/>
    </row>
    <row r="760" spans="3:14" ht="14.25" customHeight="1">
      <c r="C760" s="851"/>
      <c r="D760" s="851"/>
      <c r="E760" s="851"/>
      <c r="F760" s="851"/>
      <c r="G760" s="851"/>
      <c r="H760" s="851"/>
      <c r="I760" s="851"/>
      <c r="J760" s="851"/>
      <c r="K760" s="851"/>
      <c r="L760" s="851"/>
      <c r="M760" s="851"/>
      <c r="N760" s="851"/>
    </row>
    <row r="761" spans="3:14" ht="14.25" customHeight="1">
      <c r="C761" s="851"/>
      <c r="D761" s="851"/>
      <c r="E761" s="851"/>
      <c r="F761" s="851"/>
      <c r="G761" s="851"/>
      <c r="H761" s="851"/>
      <c r="I761" s="851"/>
      <c r="J761" s="851"/>
      <c r="K761" s="851"/>
      <c r="L761" s="851"/>
      <c r="M761" s="851"/>
      <c r="N761" s="851"/>
    </row>
    <row r="762" spans="3:14" ht="14.25" customHeight="1">
      <c r="C762" s="851"/>
      <c r="D762" s="851"/>
      <c r="E762" s="851"/>
      <c r="F762" s="851"/>
      <c r="G762" s="851"/>
      <c r="H762" s="851"/>
      <c r="I762" s="851"/>
      <c r="J762" s="851"/>
      <c r="K762" s="851"/>
      <c r="L762" s="851"/>
      <c r="M762" s="851"/>
      <c r="N762" s="851"/>
    </row>
    <row r="763" spans="3:14" ht="14.25" customHeight="1">
      <c r="C763" s="851"/>
      <c r="D763" s="851"/>
      <c r="E763" s="851"/>
      <c r="F763" s="851"/>
      <c r="G763" s="851"/>
      <c r="H763" s="851"/>
      <c r="I763" s="851"/>
      <c r="J763" s="851"/>
      <c r="K763" s="851"/>
      <c r="L763" s="851"/>
      <c r="M763" s="851"/>
      <c r="N763" s="851"/>
    </row>
    <row r="764" spans="3:14" ht="14.25" customHeight="1">
      <c r="C764" s="851"/>
      <c r="D764" s="851"/>
      <c r="E764" s="851"/>
      <c r="F764" s="851"/>
      <c r="G764" s="851"/>
      <c r="H764" s="851"/>
      <c r="I764" s="851"/>
      <c r="J764" s="851"/>
      <c r="K764" s="851"/>
      <c r="L764" s="851"/>
      <c r="M764" s="851"/>
      <c r="N764" s="851"/>
    </row>
    <row r="765" spans="3:14" ht="14.25" customHeight="1">
      <c r="C765" s="851"/>
      <c r="D765" s="851"/>
      <c r="E765" s="851"/>
      <c r="F765" s="851"/>
      <c r="G765" s="851"/>
      <c r="H765" s="851"/>
      <c r="I765" s="851"/>
      <c r="J765" s="851"/>
      <c r="K765" s="851"/>
      <c r="L765" s="851"/>
      <c r="M765" s="851"/>
      <c r="N765" s="851"/>
    </row>
    <row r="766" spans="3:14" ht="14.25" customHeight="1">
      <c r="C766" s="851"/>
      <c r="D766" s="851"/>
      <c r="E766" s="851"/>
      <c r="F766" s="851"/>
      <c r="G766" s="851"/>
      <c r="H766" s="851"/>
      <c r="I766" s="851"/>
      <c r="J766" s="851"/>
      <c r="K766" s="851"/>
      <c r="L766" s="851"/>
      <c r="M766" s="851"/>
      <c r="N766" s="851"/>
    </row>
    <row r="767" spans="3:14" ht="14.25" customHeight="1">
      <c r="C767" s="851"/>
      <c r="D767" s="851"/>
      <c r="E767" s="851"/>
      <c r="F767" s="851"/>
      <c r="G767" s="851"/>
      <c r="H767" s="851"/>
      <c r="I767" s="851"/>
      <c r="J767" s="851"/>
      <c r="K767" s="851"/>
      <c r="L767" s="851"/>
      <c r="M767" s="851"/>
      <c r="N767" s="851"/>
    </row>
    <row r="768" spans="3:14" ht="14.25" customHeight="1">
      <c r="C768" s="851"/>
      <c r="D768" s="851"/>
      <c r="E768" s="851"/>
      <c r="F768" s="851"/>
      <c r="G768" s="851"/>
      <c r="H768" s="851"/>
      <c r="I768" s="851"/>
      <c r="J768" s="851"/>
      <c r="K768" s="851"/>
      <c r="L768" s="851"/>
      <c r="M768" s="851"/>
      <c r="N768" s="851"/>
    </row>
    <row r="769" spans="3:14" ht="14.25" customHeight="1">
      <c r="C769" s="851"/>
      <c r="D769" s="851"/>
      <c r="E769" s="851"/>
      <c r="F769" s="851"/>
      <c r="G769" s="851"/>
      <c r="H769" s="851"/>
      <c r="I769" s="851"/>
      <c r="J769" s="851"/>
      <c r="K769" s="851"/>
      <c r="L769" s="851"/>
      <c r="M769" s="851"/>
      <c r="N769" s="851"/>
    </row>
    <row r="770" spans="3:14" ht="14.25" customHeight="1">
      <c r="C770" s="851"/>
      <c r="D770" s="851"/>
      <c r="E770" s="851"/>
      <c r="F770" s="851"/>
      <c r="G770" s="851"/>
      <c r="H770" s="851"/>
      <c r="I770" s="851"/>
      <c r="J770" s="851"/>
      <c r="K770" s="851"/>
      <c r="L770" s="851"/>
      <c r="M770" s="851"/>
      <c r="N770" s="851"/>
    </row>
    <row r="771" spans="3:14" ht="14.25" customHeight="1">
      <c r="C771" s="851"/>
      <c r="D771" s="851"/>
      <c r="E771" s="851"/>
      <c r="F771" s="851"/>
      <c r="G771" s="851"/>
      <c r="H771" s="851"/>
      <c r="I771" s="851"/>
      <c r="J771" s="851"/>
      <c r="K771" s="851"/>
      <c r="L771" s="851"/>
      <c r="M771" s="851"/>
      <c r="N771" s="851"/>
    </row>
    <row r="772" spans="3:14" ht="14.25" customHeight="1">
      <c r="C772" s="851"/>
      <c r="D772" s="851"/>
      <c r="E772" s="851"/>
      <c r="F772" s="851"/>
      <c r="G772" s="851"/>
      <c r="H772" s="851"/>
      <c r="I772" s="851"/>
      <c r="J772" s="851"/>
      <c r="K772" s="851"/>
      <c r="L772" s="851"/>
      <c r="M772" s="851"/>
      <c r="N772" s="851"/>
    </row>
    <row r="773" spans="3:14" ht="14.25" customHeight="1">
      <c r="C773" s="851"/>
      <c r="D773" s="851"/>
      <c r="E773" s="851"/>
      <c r="F773" s="851"/>
      <c r="G773" s="851"/>
      <c r="H773" s="851"/>
      <c r="I773" s="851"/>
      <c r="J773" s="851"/>
      <c r="K773" s="851"/>
      <c r="L773" s="851"/>
      <c r="M773" s="851"/>
      <c r="N773" s="851"/>
    </row>
    <row r="774" spans="3:14" ht="14.25" customHeight="1">
      <c r="C774" s="851"/>
      <c r="D774" s="851"/>
      <c r="E774" s="851"/>
      <c r="F774" s="851"/>
      <c r="G774" s="851"/>
      <c r="H774" s="851"/>
      <c r="I774" s="851"/>
      <c r="J774" s="851"/>
      <c r="K774" s="851"/>
      <c r="L774" s="851"/>
      <c r="M774" s="851"/>
      <c r="N774" s="851"/>
    </row>
    <row r="775" spans="3:14" ht="14.25" customHeight="1">
      <c r="C775" s="851"/>
      <c r="D775" s="851"/>
      <c r="E775" s="851"/>
      <c r="F775" s="851"/>
      <c r="G775" s="851"/>
      <c r="H775" s="851"/>
      <c r="I775" s="851"/>
      <c r="J775" s="851"/>
      <c r="K775" s="851"/>
      <c r="L775" s="851"/>
      <c r="M775" s="851"/>
      <c r="N775" s="851"/>
    </row>
    <row r="776" spans="3:14" ht="14.25" customHeight="1">
      <c r="C776" s="851"/>
      <c r="D776" s="851"/>
      <c r="E776" s="851"/>
      <c r="F776" s="851"/>
      <c r="G776" s="851"/>
      <c r="H776" s="851"/>
      <c r="I776" s="851"/>
      <c r="J776" s="851"/>
      <c r="K776" s="851"/>
      <c r="L776" s="851"/>
      <c r="M776" s="851"/>
      <c r="N776" s="851"/>
    </row>
    <row r="777" spans="3:14" ht="14.25" customHeight="1">
      <c r="C777" s="851"/>
      <c r="D777" s="851"/>
      <c r="E777" s="851"/>
      <c r="F777" s="851"/>
      <c r="G777" s="851"/>
      <c r="H777" s="851"/>
      <c r="I777" s="851"/>
      <c r="J777" s="851"/>
      <c r="K777" s="851"/>
      <c r="L777" s="851"/>
      <c r="M777" s="851"/>
      <c r="N777" s="851"/>
    </row>
    <row r="778" spans="3:14" ht="14.25" customHeight="1">
      <c r="C778" s="851"/>
      <c r="D778" s="851"/>
      <c r="E778" s="851"/>
      <c r="F778" s="851"/>
      <c r="G778" s="851"/>
      <c r="H778" s="851"/>
      <c r="I778" s="851"/>
      <c r="J778" s="851"/>
      <c r="K778" s="851"/>
      <c r="L778" s="851"/>
      <c r="M778" s="851"/>
      <c r="N778" s="851"/>
    </row>
    <row r="779" spans="3:14" ht="14.25" customHeight="1">
      <c r="C779" s="851"/>
      <c r="D779" s="851"/>
      <c r="E779" s="851"/>
      <c r="F779" s="851"/>
      <c r="G779" s="851"/>
      <c r="H779" s="851"/>
      <c r="I779" s="851"/>
      <c r="J779" s="851"/>
      <c r="K779" s="851"/>
      <c r="L779" s="851"/>
      <c r="M779" s="851"/>
      <c r="N779" s="851"/>
    </row>
    <row r="780" spans="3:14" ht="14.25" customHeight="1">
      <c r="C780" s="851"/>
      <c r="D780" s="851"/>
      <c r="E780" s="851"/>
      <c r="F780" s="851"/>
      <c r="G780" s="851"/>
      <c r="H780" s="851"/>
      <c r="I780" s="851"/>
      <c r="J780" s="851"/>
      <c r="K780" s="851"/>
      <c r="L780" s="851"/>
      <c r="M780" s="851"/>
      <c r="N780" s="851"/>
    </row>
  </sheetData>
  <mergeCells count="15">
    <mergeCell ref="L3:L4"/>
    <mergeCell ref="M3:M4"/>
    <mergeCell ref="N3:N4"/>
    <mergeCell ref="O3:O4"/>
    <mergeCell ref="P3:P4"/>
    <mergeCell ref="F3:F4"/>
    <mergeCell ref="G3:G4"/>
    <mergeCell ref="H3:H4"/>
    <mergeCell ref="I3:I4"/>
    <mergeCell ref="J3:K3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orientation="portrait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X290"/>
  <sheetViews>
    <sheetView topLeftCell="A6" zoomScale="85" zoomScaleNormal="85" workbookViewId="0">
      <pane ySplit="1" topLeftCell="A7" activePane="bottomLeft" state="frozen"/>
      <selection activeCell="A6" sqref="A6"/>
      <selection pane="bottomLeft" activeCell="M15" sqref="M15"/>
    </sheetView>
  </sheetViews>
  <sheetFormatPr baseColWidth="10" defaultColWidth="9.1640625" defaultRowHeight="15"/>
  <cols>
    <col min="1" max="1" width="9.1640625" style="1161"/>
    <col min="2" max="2" width="50.5" style="1161" customWidth="1"/>
    <col min="3" max="10" width="12.5" style="1161" customWidth="1"/>
    <col min="11" max="11" width="10.5" style="1161" customWidth="1"/>
    <col min="12" max="12" width="9.5" style="1161" customWidth="1"/>
    <col min="13" max="13" width="14.5" style="1161" customWidth="1"/>
    <col min="14" max="14" width="6.5" style="1161" customWidth="1"/>
    <col min="15" max="15" width="9.1640625" style="1161"/>
    <col min="16" max="16" width="21.83203125" style="1161" customWidth="1"/>
    <col min="17" max="17" width="17.1640625" style="1161" customWidth="1"/>
    <col min="18" max="18" width="9.1640625" style="1161"/>
    <col min="19" max="19" width="12.1640625" style="1161" customWidth="1"/>
    <col min="20" max="16384" width="9.1640625" style="1161"/>
  </cols>
  <sheetData>
    <row r="1" spans="1:22" ht="15.75" customHeight="1">
      <c r="A1" s="485"/>
      <c r="B1" s="485"/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485"/>
      <c r="N1" s="485"/>
      <c r="O1" s="485"/>
      <c r="P1" s="485"/>
      <c r="Q1" s="485"/>
      <c r="R1" s="485"/>
      <c r="S1" s="485"/>
      <c r="T1" s="1172"/>
      <c r="U1" s="1172"/>
      <c r="V1" s="1172"/>
    </row>
    <row r="2" spans="1:22" ht="15.75" customHeight="1">
      <c r="A2" s="485"/>
      <c r="B2" s="485"/>
      <c r="C2" s="485"/>
      <c r="D2" s="485"/>
      <c r="E2" s="485"/>
      <c r="F2" s="485"/>
      <c r="G2" s="485"/>
      <c r="H2" s="485"/>
      <c r="I2" s="485"/>
      <c r="J2" s="485"/>
      <c r="K2" s="485"/>
      <c r="L2" s="485"/>
      <c r="M2" s="485"/>
      <c r="N2" s="485"/>
      <c r="O2" s="485"/>
      <c r="P2" s="485"/>
      <c r="Q2" s="485"/>
      <c r="R2" s="485"/>
      <c r="S2" s="485"/>
      <c r="T2" s="1172"/>
      <c r="U2" s="1172"/>
      <c r="V2" s="1172"/>
    </row>
    <row r="3" spans="1:22" ht="15.75" customHeight="1">
      <c r="A3" s="485"/>
      <c r="B3" s="485"/>
      <c r="C3" s="485"/>
      <c r="D3" s="485"/>
      <c r="E3" s="485"/>
      <c r="F3" s="485"/>
      <c r="G3" s="485"/>
      <c r="H3" s="485"/>
      <c r="I3" s="485"/>
      <c r="J3" s="485"/>
      <c r="K3" s="485"/>
      <c r="L3" s="485"/>
      <c r="M3" s="485"/>
      <c r="N3" s="485"/>
      <c r="O3" s="485"/>
      <c r="P3" s="485"/>
      <c r="Q3" s="485"/>
      <c r="R3" s="485"/>
      <c r="S3" s="485"/>
      <c r="T3" s="1172"/>
      <c r="U3" s="1172"/>
      <c r="V3" s="1172"/>
    </row>
    <row r="4" spans="1:22" ht="24" customHeight="1">
      <c r="A4" s="1173" t="s">
        <v>76</v>
      </c>
      <c r="B4" s="485"/>
      <c r="C4" s="485"/>
      <c r="D4" s="485"/>
      <c r="E4" s="485"/>
      <c r="F4" s="485"/>
      <c r="G4" s="485"/>
      <c r="H4" s="485"/>
      <c r="I4" s="485"/>
      <c r="J4" s="485"/>
      <c r="K4" s="485"/>
      <c r="L4" s="485"/>
      <c r="M4" s="485"/>
      <c r="N4" s="485"/>
      <c r="O4" s="485"/>
      <c r="P4" s="485"/>
      <c r="Q4" s="485"/>
      <c r="R4" s="485"/>
      <c r="S4" s="485"/>
      <c r="T4" s="1172"/>
      <c r="U4" s="1172"/>
      <c r="V4" s="1172"/>
    </row>
    <row r="5" spans="1:22" ht="15.75" customHeight="1">
      <c r="A5" s="485"/>
      <c r="B5" s="485"/>
      <c r="C5" s="485"/>
      <c r="D5" s="485"/>
      <c r="E5" s="485"/>
      <c r="F5" s="485"/>
      <c r="G5" s="485"/>
      <c r="H5" s="485"/>
      <c r="I5" s="485"/>
      <c r="J5" s="485"/>
      <c r="K5" s="485"/>
      <c r="L5" s="485"/>
      <c r="M5" s="485"/>
      <c r="N5" s="485"/>
      <c r="O5" s="485"/>
      <c r="P5" s="485"/>
      <c r="Q5" s="485"/>
      <c r="R5" s="485"/>
      <c r="S5" s="485"/>
      <c r="T5" s="1172"/>
      <c r="U5" s="1172"/>
      <c r="V5" s="1172"/>
    </row>
    <row r="6" spans="1:22" ht="30" customHeight="1">
      <c r="A6" s="1174" t="s">
        <v>1</v>
      </c>
      <c r="B6" s="1175" t="s">
        <v>68</v>
      </c>
      <c r="C6" s="1175" t="s">
        <v>77</v>
      </c>
      <c r="D6" s="1175" t="s">
        <v>78</v>
      </c>
      <c r="E6" s="1175" t="s">
        <v>79</v>
      </c>
      <c r="F6" s="1175" t="s">
        <v>213</v>
      </c>
      <c r="G6" s="1175" t="s">
        <v>978</v>
      </c>
      <c r="H6" s="1175" t="s">
        <v>977</v>
      </c>
      <c r="I6" s="1176" t="s">
        <v>1095</v>
      </c>
      <c r="J6" s="1176" t="s">
        <v>1096</v>
      </c>
      <c r="K6" s="1175" t="s">
        <v>6</v>
      </c>
      <c r="L6" s="1175" t="s">
        <v>80</v>
      </c>
      <c r="M6" s="1175" t="s">
        <v>81</v>
      </c>
      <c r="N6" s="1177" t="s">
        <v>82</v>
      </c>
      <c r="O6" s="485"/>
      <c r="P6" s="485"/>
      <c r="Q6" s="485"/>
      <c r="R6" s="485"/>
      <c r="S6" s="485"/>
      <c r="T6" s="1172"/>
      <c r="U6" s="1172"/>
      <c r="V6" s="1172"/>
    </row>
    <row r="7" spans="1:22" ht="7.5" customHeight="1">
      <c r="A7" s="485"/>
      <c r="B7" s="485"/>
      <c r="C7" s="485"/>
      <c r="D7" s="485"/>
      <c r="E7" s="485"/>
      <c r="F7" s="485"/>
      <c r="G7" s="485"/>
      <c r="H7" s="485"/>
      <c r="I7" s="485"/>
      <c r="J7" s="485"/>
      <c r="K7" s="485"/>
      <c r="L7" s="485"/>
      <c r="M7" s="485"/>
      <c r="N7" s="485"/>
      <c r="O7" s="485"/>
      <c r="P7" s="485"/>
      <c r="Q7" s="485"/>
      <c r="R7" s="485"/>
      <c r="S7" s="485"/>
      <c r="T7" s="1172"/>
      <c r="U7" s="1172"/>
      <c r="V7" s="1172"/>
    </row>
    <row r="8" spans="1:22" ht="7.5" customHeight="1">
      <c r="A8" s="1178"/>
      <c r="B8" s="1179"/>
      <c r="C8" s="1179"/>
      <c r="D8" s="1179"/>
      <c r="E8" s="1179"/>
      <c r="F8" s="1179"/>
      <c r="G8" s="1179"/>
      <c r="H8" s="1179"/>
      <c r="I8" s="1179"/>
      <c r="J8" s="1179"/>
      <c r="K8" s="1179"/>
      <c r="L8" s="1179"/>
      <c r="M8" s="1179"/>
      <c r="N8" s="1180"/>
      <c r="O8" s="485"/>
      <c r="P8" s="485"/>
      <c r="Q8" s="485"/>
      <c r="R8" s="485"/>
      <c r="S8" s="485"/>
      <c r="T8" s="1172"/>
      <c r="U8" s="1172"/>
      <c r="V8" s="1172"/>
    </row>
    <row r="9" spans="1:22" ht="15.75" customHeight="1">
      <c r="A9" s="1181"/>
      <c r="B9" s="417"/>
      <c r="C9" s="401"/>
      <c r="D9" s="401"/>
      <c r="E9" s="401"/>
      <c r="F9" s="401"/>
      <c r="G9" s="401"/>
      <c r="H9" s="401"/>
      <c r="I9" s="401"/>
      <c r="J9" s="401"/>
      <c r="K9" s="401"/>
      <c r="L9" s="401"/>
      <c r="M9" s="401"/>
      <c r="N9" s="805"/>
      <c r="O9" s="485"/>
      <c r="P9" s="779"/>
      <c r="Q9" s="485"/>
      <c r="R9" s="485"/>
      <c r="S9" s="485"/>
      <c r="T9" s="1172"/>
      <c r="U9" s="1172"/>
      <c r="V9" s="1172"/>
    </row>
    <row r="10" spans="1:22" ht="21.75" customHeight="1">
      <c r="A10" s="1182" t="s">
        <v>940</v>
      </c>
      <c r="B10" s="1183" t="s">
        <v>1599</v>
      </c>
      <c r="C10" s="401"/>
      <c r="D10" s="401"/>
      <c r="E10" s="401"/>
      <c r="F10" s="401"/>
      <c r="G10" s="401"/>
      <c r="H10" s="401"/>
      <c r="I10" s="401"/>
      <c r="J10" s="401"/>
      <c r="K10" s="401"/>
      <c r="L10" s="401"/>
      <c r="M10" s="401"/>
      <c r="N10" s="805"/>
      <c r="O10" s="485"/>
      <c r="P10" s="779"/>
      <c r="Q10" s="485"/>
      <c r="R10" s="485"/>
      <c r="S10" s="485"/>
      <c r="T10" s="1172"/>
      <c r="U10" s="1172"/>
      <c r="V10" s="1172"/>
    </row>
    <row r="11" spans="1:22" ht="15.75" customHeight="1">
      <c r="A11" s="1184" t="s">
        <v>1600</v>
      </c>
      <c r="B11" s="1185" t="s">
        <v>395</v>
      </c>
      <c r="C11" s="401"/>
      <c r="D11" s="401"/>
      <c r="E11" s="401"/>
      <c r="F11" s="401"/>
      <c r="G11" s="401"/>
      <c r="H11" s="401"/>
      <c r="I11" s="401"/>
      <c r="J11" s="401"/>
      <c r="K11" s="401"/>
      <c r="L11" s="401"/>
      <c r="M11" s="401"/>
      <c r="N11" s="805"/>
      <c r="O11" s="485"/>
      <c r="P11" s="779"/>
      <c r="Q11" s="485"/>
      <c r="R11" s="485"/>
      <c r="S11" s="485"/>
      <c r="T11" s="1172"/>
      <c r="U11" s="1172"/>
      <c r="V11" s="1172"/>
    </row>
    <row r="12" spans="1:22" ht="15.75" customHeight="1">
      <c r="A12" s="476">
        <v>1</v>
      </c>
      <c r="B12" s="477" t="s">
        <v>396</v>
      </c>
      <c r="C12" s="401"/>
      <c r="D12" s="401"/>
      <c r="E12" s="401"/>
      <c r="F12" s="401"/>
      <c r="G12" s="401"/>
      <c r="H12" s="401"/>
      <c r="I12" s="401"/>
      <c r="J12" s="401"/>
      <c r="K12" s="401"/>
      <c r="L12" s="401"/>
      <c r="M12" s="401"/>
      <c r="N12" s="805"/>
      <c r="O12" s="485"/>
      <c r="P12" s="779"/>
      <c r="Q12" s="485"/>
      <c r="R12" s="485"/>
      <c r="S12" s="485"/>
      <c r="T12" s="1172"/>
      <c r="U12" s="1172"/>
      <c r="V12" s="1172"/>
    </row>
    <row r="13" spans="1:22" ht="15.75" customHeight="1">
      <c r="A13" s="1181"/>
      <c r="B13" s="1186" t="s">
        <v>1044</v>
      </c>
      <c r="C13" s="401">
        <f>12+2.5+1</f>
        <v>15.5</v>
      </c>
      <c r="D13" s="401"/>
      <c r="E13" s="401"/>
      <c r="F13" s="401"/>
      <c r="G13" s="401"/>
      <c r="H13" s="401">
        <v>2</v>
      </c>
      <c r="I13" s="401"/>
      <c r="J13" s="401"/>
      <c r="K13" s="401"/>
      <c r="L13" s="401"/>
      <c r="M13" s="401">
        <f>C13*H13</f>
        <v>31</v>
      </c>
      <c r="N13" s="805"/>
      <c r="O13" s="485"/>
      <c r="P13" s="779"/>
      <c r="Q13" s="485"/>
      <c r="R13" s="485"/>
      <c r="S13" s="485"/>
      <c r="T13" s="1172"/>
      <c r="U13" s="1172"/>
      <c r="V13" s="1172"/>
    </row>
    <row r="14" spans="1:22" ht="15.75" customHeight="1">
      <c r="A14" s="1181"/>
      <c r="B14" s="1186" t="s">
        <v>136</v>
      </c>
      <c r="C14" s="401"/>
      <c r="D14" s="401">
        <f>5+2+1</f>
        <v>8</v>
      </c>
      <c r="E14" s="401"/>
      <c r="F14" s="401"/>
      <c r="G14" s="401"/>
      <c r="H14" s="401">
        <f>H13</f>
        <v>2</v>
      </c>
      <c r="I14" s="401"/>
      <c r="J14" s="401"/>
      <c r="K14" s="401"/>
      <c r="L14" s="401"/>
      <c r="M14" s="752">
        <f>D14*H14</f>
        <v>16</v>
      </c>
      <c r="N14" s="805"/>
      <c r="O14" s="485"/>
      <c r="P14" s="779"/>
      <c r="Q14" s="485"/>
      <c r="R14" s="485"/>
      <c r="S14" s="485"/>
      <c r="T14" s="1172"/>
      <c r="U14" s="1172"/>
      <c r="V14" s="1172"/>
    </row>
    <row r="15" spans="1:22" ht="15.75" customHeight="1">
      <c r="A15" s="1181"/>
      <c r="B15" s="477"/>
      <c r="C15" s="401"/>
      <c r="D15" s="401"/>
      <c r="E15" s="401"/>
      <c r="F15" s="401"/>
      <c r="G15" s="401"/>
      <c r="H15" s="401"/>
      <c r="I15" s="401"/>
      <c r="J15" s="401"/>
      <c r="K15" s="401"/>
      <c r="L15" s="401"/>
      <c r="M15" s="474">
        <f>SUM(M13:M14)</f>
        <v>47</v>
      </c>
      <c r="N15" s="802" t="s">
        <v>117</v>
      </c>
      <c r="O15" s="485"/>
      <c r="P15" s="779"/>
      <c r="Q15" s="485"/>
      <c r="R15" s="485"/>
      <c r="S15" s="485"/>
      <c r="T15" s="1172"/>
      <c r="U15" s="1172"/>
      <c r="V15" s="1172"/>
    </row>
    <row r="16" spans="1:22" ht="15.75" customHeight="1">
      <c r="A16" s="478">
        <f>A12+1</f>
        <v>2</v>
      </c>
      <c r="B16" s="417" t="s">
        <v>1601</v>
      </c>
      <c r="C16" s="401"/>
      <c r="D16" s="401"/>
      <c r="E16" s="401"/>
      <c r="F16" s="401"/>
      <c r="G16" s="401"/>
      <c r="H16" s="401"/>
      <c r="I16" s="401"/>
      <c r="J16" s="401"/>
      <c r="K16" s="401"/>
      <c r="L16" s="401"/>
      <c r="M16" s="401"/>
      <c r="N16" s="805"/>
      <c r="O16" s="485"/>
      <c r="P16" s="779"/>
      <c r="Q16" s="485"/>
      <c r="R16" s="485"/>
      <c r="S16" s="485"/>
      <c r="T16" s="1172"/>
      <c r="U16" s="1172"/>
      <c r="V16" s="1172"/>
    </row>
    <row r="17" spans="1:22" ht="15.75" customHeight="1">
      <c r="A17" s="479" t="s">
        <v>95</v>
      </c>
      <c r="B17" s="417" t="s">
        <v>398</v>
      </c>
      <c r="C17" s="401">
        <v>1.4</v>
      </c>
      <c r="D17" s="401">
        <v>1.4</v>
      </c>
      <c r="E17" s="401">
        <v>1</v>
      </c>
      <c r="F17" s="401"/>
      <c r="G17" s="401"/>
      <c r="H17" s="401"/>
      <c r="I17" s="401"/>
      <c r="J17" s="401"/>
      <c r="K17" s="401"/>
      <c r="L17" s="401">
        <v>8</v>
      </c>
      <c r="M17" s="474">
        <f>C17*D17*E17*L17</f>
        <v>15.679999999999998</v>
      </c>
      <c r="N17" s="802" t="s">
        <v>103</v>
      </c>
      <c r="O17" s="485"/>
      <c r="P17" s="779"/>
      <c r="Q17" s="485"/>
      <c r="R17" s="485"/>
      <c r="S17" s="485"/>
      <c r="T17" s="1172"/>
      <c r="U17" s="1172"/>
      <c r="V17" s="1172"/>
    </row>
    <row r="18" spans="1:22" ht="15.75" customHeight="1">
      <c r="A18" s="479" t="s">
        <v>98</v>
      </c>
      <c r="B18" s="417" t="s">
        <v>1602</v>
      </c>
      <c r="C18" s="466"/>
      <c r="D18" s="466"/>
      <c r="E18" s="466"/>
      <c r="F18" s="466"/>
      <c r="G18" s="466"/>
      <c r="H18" s="466"/>
      <c r="I18" s="401"/>
      <c r="J18" s="466"/>
      <c r="K18" s="466"/>
      <c r="L18" s="466"/>
      <c r="M18" s="1187">
        <f>M21</f>
        <v>288</v>
      </c>
      <c r="N18" s="562" t="s">
        <v>117</v>
      </c>
      <c r="O18" s="398"/>
      <c r="P18" s="568"/>
      <c r="Q18" s="568"/>
      <c r="R18" s="568"/>
      <c r="S18" s="485"/>
      <c r="T18" s="1172"/>
      <c r="U18" s="1172"/>
      <c r="V18" s="1172"/>
    </row>
    <row r="19" spans="1:22" ht="15.75" customHeight="1">
      <c r="A19" s="479"/>
      <c r="B19" s="803" t="s">
        <v>1603</v>
      </c>
      <c r="C19" s="1188">
        <v>8</v>
      </c>
      <c r="D19" s="1188"/>
      <c r="E19" s="1188">
        <v>4</v>
      </c>
      <c r="F19" s="1188"/>
      <c r="G19" s="1188"/>
      <c r="H19" s="1188"/>
      <c r="I19" s="401"/>
      <c r="J19" s="1188"/>
      <c r="K19" s="1188"/>
      <c r="L19" s="1188">
        <v>9</v>
      </c>
      <c r="M19" s="1188">
        <f>C19*L19*E19</f>
        <v>288</v>
      </c>
      <c r="N19" s="1189"/>
      <c r="O19" s="398"/>
      <c r="P19" s="568"/>
      <c r="Q19" s="568"/>
      <c r="R19" s="568"/>
      <c r="S19" s="485"/>
      <c r="T19" s="1172"/>
      <c r="U19" s="1172"/>
      <c r="V19" s="1172"/>
    </row>
    <row r="20" spans="1:22" ht="15.75" customHeight="1">
      <c r="A20" s="479"/>
      <c r="B20" s="417"/>
      <c r="C20" s="1188">
        <f>C34*(0.25*2)</f>
        <v>2.5</v>
      </c>
      <c r="D20" s="1188"/>
      <c r="E20" s="1188"/>
      <c r="F20" s="1188"/>
      <c r="G20" s="1188"/>
      <c r="H20" s="1188"/>
      <c r="I20" s="1111"/>
      <c r="J20" s="1188"/>
      <c r="K20" s="1188"/>
      <c r="L20" s="1188"/>
      <c r="M20" s="1190">
        <f>C20*L20</f>
        <v>0</v>
      </c>
      <c r="N20" s="1189"/>
      <c r="O20" s="398"/>
      <c r="P20" s="568"/>
      <c r="Q20" s="568"/>
      <c r="R20" s="568"/>
      <c r="S20" s="485"/>
      <c r="T20" s="1172"/>
      <c r="U20" s="1172"/>
      <c r="V20" s="1172"/>
    </row>
    <row r="21" spans="1:22" ht="15.75" customHeight="1">
      <c r="A21" s="479"/>
      <c r="B21" s="417"/>
      <c r="C21" s="1188"/>
      <c r="D21" s="1188"/>
      <c r="E21" s="1188"/>
      <c r="F21" s="1188"/>
      <c r="G21" s="1188"/>
      <c r="H21" s="1188"/>
      <c r="I21" s="1111"/>
      <c r="J21" s="1188"/>
      <c r="K21" s="1188"/>
      <c r="L21" s="1188"/>
      <c r="M21" s="1188">
        <f>SUM(M19:M20)</f>
        <v>288</v>
      </c>
      <c r="N21" s="1189"/>
      <c r="O21" s="398"/>
      <c r="P21" s="568"/>
      <c r="Q21" s="568"/>
      <c r="R21" s="568"/>
      <c r="S21" s="485"/>
      <c r="T21" s="1172"/>
      <c r="U21" s="1172"/>
      <c r="V21" s="1172"/>
    </row>
    <row r="22" spans="1:22" ht="15.75" customHeight="1">
      <c r="A22" s="479"/>
      <c r="B22" s="417"/>
      <c r="C22" s="1188"/>
      <c r="D22" s="1188"/>
      <c r="E22" s="1188"/>
      <c r="F22" s="1188"/>
      <c r="G22" s="1188"/>
      <c r="H22" s="1188"/>
      <c r="I22" s="1111"/>
      <c r="J22" s="1188"/>
      <c r="K22" s="1188"/>
      <c r="L22" s="1188"/>
      <c r="M22" s="1191"/>
      <c r="N22" s="1189"/>
      <c r="O22" s="398"/>
      <c r="P22" s="568"/>
      <c r="Q22" s="568"/>
      <c r="R22" s="568"/>
      <c r="S22" s="485"/>
      <c r="T22" s="1172"/>
      <c r="U22" s="1172"/>
      <c r="V22" s="1172"/>
    </row>
    <row r="23" spans="1:22" ht="15.75" customHeight="1">
      <c r="A23" s="479"/>
      <c r="B23" s="417"/>
      <c r="C23" s="1188"/>
      <c r="D23" s="1188"/>
      <c r="E23" s="1188"/>
      <c r="F23" s="1188"/>
      <c r="G23" s="1188"/>
      <c r="H23" s="1188">
        <v>2</v>
      </c>
      <c r="I23" s="1111"/>
      <c r="J23" s="1188"/>
      <c r="K23" s="1188">
        <f>M21/0.5</f>
        <v>576</v>
      </c>
      <c r="L23" s="1188"/>
      <c r="M23" s="1188">
        <f>E23*H23*K23</f>
        <v>0</v>
      </c>
      <c r="N23" s="1189"/>
      <c r="O23" s="398"/>
      <c r="P23" s="568"/>
      <c r="Q23" s="568"/>
      <c r="R23" s="568"/>
      <c r="S23" s="485"/>
      <c r="T23" s="1172"/>
      <c r="U23" s="1172"/>
      <c r="V23" s="1172"/>
    </row>
    <row r="24" spans="1:22" ht="15.75" customHeight="1">
      <c r="A24" s="479"/>
      <c r="B24" s="803"/>
      <c r="C24" s="1188"/>
      <c r="D24" s="1188"/>
      <c r="E24" s="1188"/>
      <c r="F24" s="1188"/>
      <c r="G24" s="1188"/>
      <c r="H24" s="1188"/>
      <c r="I24" s="1111"/>
      <c r="J24" s="1188"/>
      <c r="K24" s="1188">
        <v>9</v>
      </c>
      <c r="L24" s="1188">
        <f>L17</f>
        <v>8</v>
      </c>
      <c r="M24" s="1190">
        <f>E24*K24*L24</f>
        <v>0</v>
      </c>
      <c r="N24" s="1189"/>
      <c r="O24" s="398"/>
      <c r="P24" s="568"/>
      <c r="Q24" s="568"/>
      <c r="R24" s="568"/>
      <c r="S24" s="485"/>
      <c r="T24" s="1172"/>
      <c r="U24" s="1172"/>
      <c r="V24" s="1172"/>
    </row>
    <row r="25" spans="1:22" ht="15.75" customHeight="1">
      <c r="A25" s="479"/>
      <c r="B25" s="417"/>
      <c r="C25" s="1188"/>
      <c r="D25" s="1188"/>
      <c r="E25" s="1188"/>
      <c r="F25" s="1188"/>
      <c r="G25" s="1188"/>
      <c r="H25" s="1188"/>
      <c r="I25" s="1111"/>
      <c r="J25" s="1188"/>
      <c r="K25" s="1188"/>
      <c r="L25" s="1188"/>
      <c r="M25" s="1188">
        <f>SUM(M23:M24)</f>
        <v>0</v>
      </c>
      <c r="N25" s="748" t="s">
        <v>117</v>
      </c>
      <c r="O25" s="398"/>
      <c r="P25" s="568"/>
      <c r="Q25" s="568"/>
      <c r="R25" s="568"/>
      <c r="S25" s="485"/>
      <c r="T25" s="1172"/>
      <c r="U25" s="1172"/>
      <c r="V25" s="1172"/>
    </row>
    <row r="26" spans="1:22" ht="15.75" customHeight="1">
      <c r="A26" s="479" t="s">
        <v>101</v>
      </c>
      <c r="B26" s="417" t="s">
        <v>399</v>
      </c>
      <c r="C26" s="1188">
        <v>0.8</v>
      </c>
      <c r="D26" s="1188">
        <v>0.8</v>
      </c>
      <c r="E26" s="1188">
        <v>7.0000000000000007E-2</v>
      </c>
      <c r="F26" s="1188"/>
      <c r="G26" s="1188"/>
      <c r="H26" s="1188"/>
      <c r="I26" s="1111"/>
      <c r="J26" s="1188"/>
      <c r="K26" s="1188"/>
      <c r="L26" s="1188">
        <f>L24</f>
        <v>8</v>
      </c>
      <c r="M26" s="1192">
        <f>C26*D26*E26*L26</f>
        <v>0.35840000000000011</v>
      </c>
      <c r="N26" s="802" t="s">
        <v>103</v>
      </c>
      <c r="O26" s="398"/>
      <c r="P26" s="568"/>
      <c r="Q26" s="568"/>
      <c r="R26" s="568"/>
      <c r="S26" s="485"/>
      <c r="T26" s="1172"/>
      <c r="U26" s="1172"/>
      <c r="V26" s="1172"/>
    </row>
    <row r="27" spans="1:22" ht="15.75" customHeight="1">
      <c r="A27" s="479" t="s">
        <v>121</v>
      </c>
      <c r="B27" s="417" t="s">
        <v>400</v>
      </c>
      <c r="C27" s="1188">
        <f>C26</f>
        <v>0.8</v>
      </c>
      <c r="D27" s="1188">
        <f>D26</f>
        <v>0.8</v>
      </c>
      <c r="E27" s="1188">
        <v>0.03</v>
      </c>
      <c r="F27" s="1188"/>
      <c r="G27" s="1188"/>
      <c r="H27" s="1188"/>
      <c r="I27" s="1111"/>
      <c r="J27" s="1188"/>
      <c r="K27" s="1188"/>
      <c r="L27" s="1188">
        <f>L26</f>
        <v>8</v>
      </c>
      <c r="M27" s="1192">
        <f>C27*D27*E27*L27</f>
        <v>0.15360000000000001</v>
      </c>
      <c r="N27" s="802" t="s">
        <v>103</v>
      </c>
      <c r="O27" s="398"/>
      <c r="P27" s="568"/>
      <c r="Q27" s="568"/>
      <c r="R27" s="568"/>
      <c r="S27" s="485"/>
      <c r="T27" s="1172"/>
      <c r="U27" s="1172"/>
      <c r="V27" s="1172"/>
    </row>
    <row r="28" spans="1:22" ht="15.75" customHeight="1">
      <c r="A28" s="479" t="s">
        <v>142</v>
      </c>
      <c r="B28" s="417" t="s">
        <v>941</v>
      </c>
      <c r="C28" s="401"/>
      <c r="D28" s="401">
        <v>0.8</v>
      </c>
      <c r="E28" s="401">
        <v>0.3</v>
      </c>
      <c r="F28" s="401"/>
      <c r="G28" s="401"/>
      <c r="H28" s="401">
        <v>4</v>
      </c>
      <c r="I28" s="401"/>
      <c r="J28" s="401"/>
      <c r="K28" s="401"/>
      <c r="L28" s="401">
        <f>L17</f>
        <v>8</v>
      </c>
      <c r="M28" s="474">
        <f>D28*E28*H28*L28</f>
        <v>7.68</v>
      </c>
      <c r="N28" s="802" t="s">
        <v>89</v>
      </c>
      <c r="O28" s="398"/>
      <c r="P28" s="568">
        <v>15</v>
      </c>
      <c r="Q28" s="568">
        <f>P28/0.4</f>
        <v>37.5</v>
      </c>
      <c r="R28" s="568">
        <f>ROUNDUP(Q28,-0.5)</f>
        <v>38</v>
      </c>
      <c r="S28" s="485"/>
      <c r="T28" s="1172"/>
      <c r="U28" s="1172"/>
      <c r="V28" s="1172"/>
    </row>
    <row r="29" spans="1:22" ht="15.75" customHeight="1">
      <c r="A29" s="479" t="s">
        <v>217</v>
      </c>
      <c r="B29" s="417" t="s">
        <v>131</v>
      </c>
      <c r="C29" s="401">
        <v>1.05</v>
      </c>
      <c r="D29" s="401"/>
      <c r="E29" s="401"/>
      <c r="F29" s="401">
        <f>13*13*0.006165</f>
        <v>1.041885</v>
      </c>
      <c r="G29" s="401">
        <f>0.15*2</f>
        <v>0.3</v>
      </c>
      <c r="H29" s="401">
        <v>4</v>
      </c>
      <c r="I29" s="401"/>
      <c r="J29" s="401"/>
      <c r="K29" s="401">
        <f>ROUNDUP((C29/0.15),0.5)+1</f>
        <v>8</v>
      </c>
      <c r="L29" s="401">
        <f>L28</f>
        <v>8</v>
      </c>
      <c r="M29" s="474">
        <f>(C29+G29)*F29*H29*K29*L29</f>
        <v>360.07545600000003</v>
      </c>
      <c r="N29" s="802" t="s">
        <v>100</v>
      </c>
      <c r="O29" s="485"/>
      <c r="P29" s="779"/>
      <c r="Q29" s="485"/>
      <c r="R29" s="485"/>
      <c r="S29" s="485"/>
      <c r="T29" s="1172"/>
      <c r="U29" s="1172"/>
      <c r="V29" s="1172"/>
    </row>
    <row r="30" spans="1:22" ht="15.75" customHeight="1">
      <c r="A30" s="479" t="s">
        <v>366</v>
      </c>
      <c r="B30" s="417" t="s">
        <v>102</v>
      </c>
      <c r="C30" s="401">
        <v>1.2</v>
      </c>
      <c r="D30" s="401">
        <v>1.2</v>
      </c>
      <c r="E30" s="401">
        <f>E28</f>
        <v>0.3</v>
      </c>
      <c r="F30" s="401"/>
      <c r="G30" s="401"/>
      <c r="H30" s="401"/>
      <c r="I30" s="401"/>
      <c r="J30" s="401"/>
      <c r="K30" s="401"/>
      <c r="L30" s="401">
        <f>L29</f>
        <v>8</v>
      </c>
      <c r="M30" s="474">
        <f>C30*D30*E30*L30</f>
        <v>3.456</v>
      </c>
      <c r="N30" s="802" t="s">
        <v>103</v>
      </c>
      <c r="O30" s="485"/>
      <c r="P30" s="779"/>
      <c r="Q30" s="485"/>
      <c r="R30" s="485"/>
      <c r="S30" s="485"/>
      <c r="T30" s="1172"/>
      <c r="U30" s="1172"/>
      <c r="V30" s="1172"/>
    </row>
    <row r="31" spans="1:22" ht="15.75" customHeight="1">
      <c r="A31" s="478">
        <f>A16+1</f>
        <v>3</v>
      </c>
      <c r="B31" s="417" t="s">
        <v>693</v>
      </c>
      <c r="C31" s="401"/>
      <c r="D31" s="401"/>
      <c r="E31" s="401"/>
      <c r="F31" s="401"/>
      <c r="G31" s="401"/>
      <c r="H31" s="401"/>
      <c r="I31" s="401"/>
      <c r="J31" s="401"/>
      <c r="K31" s="401"/>
      <c r="L31" s="401"/>
      <c r="M31" s="401"/>
      <c r="N31" s="805"/>
      <c r="O31" s="485"/>
      <c r="P31" s="779"/>
      <c r="Q31" s="485"/>
      <c r="R31" s="485"/>
      <c r="S31" s="485"/>
      <c r="T31" s="1172"/>
      <c r="U31" s="1172"/>
      <c r="V31" s="1172"/>
    </row>
    <row r="32" spans="1:22" ht="15.75" customHeight="1">
      <c r="A32" s="479" t="s">
        <v>95</v>
      </c>
      <c r="B32" s="417" t="s">
        <v>398</v>
      </c>
      <c r="C32" s="401"/>
      <c r="D32" s="401"/>
      <c r="E32" s="401"/>
      <c r="F32" s="401"/>
      <c r="G32" s="401"/>
      <c r="H32" s="401"/>
      <c r="I32" s="401"/>
      <c r="J32" s="401"/>
      <c r="K32" s="401"/>
      <c r="L32" s="401"/>
      <c r="M32" s="401"/>
      <c r="N32" s="805"/>
      <c r="O32" s="485"/>
      <c r="P32" s="779"/>
      <c r="Q32" s="485"/>
      <c r="R32" s="485"/>
      <c r="S32" s="485"/>
      <c r="T32" s="1172"/>
      <c r="U32" s="1172"/>
      <c r="V32" s="1172"/>
    </row>
    <row r="33" spans="1:24" ht="15.75" customHeight="1">
      <c r="A33" s="479"/>
      <c r="B33" s="1186" t="s">
        <v>1604</v>
      </c>
      <c r="C33" s="401">
        <v>12</v>
      </c>
      <c r="D33" s="401">
        <v>0.8</v>
      </c>
      <c r="E33" s="401">
        <v>0.9</v>
      </c>
      <c r="F33" s="401"/>
      <c r="G33" s="401"/>
      <c r="H33" s="401"/>
      <c r="I33" s="401"/>
      <c r="J33" s="401"/>
      <c r="K33" s="401"/>
      <c r="L33" s="401">
        <v>2</v>
      </c>
      <c r="M33" s="401">
        <f>C33*D33*E33*L33</f>
        <v>17.280000000000005</v>
      </c>
      <c r="N33" s="805"/>
      <c r="O33" s="485"/>
      <c r="P33" s="779"/>
      <c r="Q33" s="485"/>
      <c r="R33" s="485"/>
      <c r="S33" s="485"/>
      <c r="T33" s="1172"/>
      <c r="U33" s="1172"/>
      <c r="V33" s="1172"/>
    </row>
    <row r="34" spans="1:24" ht="15.75" customHeight="1">
      <c r="A34" s="479"/>
      <c r="B34" s="1186" t="s">
        <v>1605</v>
      </c>
      <c r="C34" s="401">
        <v>5</v>
      </c>
      <c r="D34" s="401">
        <f>D33</f>
        <v>0.8</v>
      </c>
      <c r="E34" s="401">
        <f>E33</f>
        <v>0.9</v>
      </c>
      <c r="F34" s="401"/>
      <c r="G34" s="401"/>
      <c r="H34" s="401"/>
      <c r="I34" s="401"/>
      <c r="J34" s="401"/>
      <c r="K34" s="401"/>
      <c r="L34" s="401">
        <v>4</v>
      </c>
      <c r="M34" s="752">
        <f>C34*D34*E34*L34</f>
        <v>14.4</v>
      </c>
      <c r="N34" s="805"/>
      <c r="O34" s="485"/>
      <c r="P34" s="779"/>
      <c r="Q34" s="485"/>
      <c r="R34" s="485"/>
      <c r="S34" s="485"/>
      <c r="T34" s="1172"/>
      <c r="U34" s="1172"/>
      <c r="V34" s="1172"/>
    </row>
    <row r="35" spans="1:24" ht="15.75" customHeight="1">
      <c r="A35" s="479"/>
      <c r="B35" s="417"/>
      <c r="C35" s="401"/>
      <c r="D35" s="401"/>
      <c r="E35" s="401"/>
      <c r="F35" s="401"/>
      <c r="G35" s="401"/>
      <c r="H35" s="401"/>
      <c r="I35" s="401"/>
      <c r="J35" s="401"/>
      <c r="K35" s="401"/>
      <c r="L35" s="401"/>
      <c r="M35" s="474">
        <f>SUM(M33:M34)</f>
        <v>31.680000000000007</v>
      </c>
      <c r="N35" s="802" t="s">
        <v>103</v>
      </c>
      <c r="O35" s="485"/>
      <c r="P35" s="779"/>
      <c r="Q35" s="485"/>
      <c r="R35" s="485"/>
      <c r="S35" s="485"/>
      <c r="T35" s="1172"/>
      <c r="U35" s="1172"/>
      <c r="V35" s="1172"/>
    </row>
    <row r="36" spans="1:24" s="399" customFormat="1" ht="15.75" customHeight="1">
      <c r="A36" s="404" t="s">
        <v>98</v>
      </c>
      <c r="B36" s="417" t="s">
        <v>405</v>
      </c>
      <c r="C36" s="330"/>
      <c r="D36" s="330"/>
      <c r="E36" s="330"/>
      <c r="F36" s="401"/>
      <c r="G36" s="401"/>
      <c r="H36" s="330"/>
      <c r="I36" s="401"/>
      <c r="J36" s="401"/>
      <c r="K36" s="330"/>
      <c r="L36" s="330"/>
      <c r="M36" s="401"/>
      <c r="N36" s="330"/>
      <c r="O36" s="330"/>
      <c r="P36" s="784"/>
      <c r="Q36" s="398"/>
      <c r="R36" s="779"/>
      <c r="S36" s="398"/>
      <c r="T36" s="398"/>
      <c r="U36" s="398"/>
      <c r="V36" s="738"/>
      <c r="W36" s="738"/>
      <c r="X36" s="738"/>
    </row>
    <row r="37" spans="1:24" s="399" customFormat="1" ht="15.75" customHeight="1">
      <c r="A37" s="404"/>
      <c r="B37" s="803" t="str">
        <f>B32</f>
        <v>Pekerjaan Galian Tanah s/d 1 m</v>
      </c>
      <c r="C37" s="330">
        <f>C33</f>
        <v>12</v>
      </c>
      <c r="D37" s="330"/>
      <c r="E37" s="330"/>
      <c r="F37" s="401"/>
      <c r="G37" s="401"/>
      <c r="H37" s="330"/>
      <c r="I37" s="401"/>
      <c r="J37" s="401"/>
      <c r="K37" s="330"/>
      <c r="L37" s="401">
        <f>L33</f>
        <v>2</v>
      </c>
      <c r="M37" s="570">
        <f>C37*L37</f>
        <v>24</v>
      </c>
      <c r="N37" s="395"/>
      <c r="O37" s="784"/>
      <c r="P37" s="398"/>
      <c r="Q37" s="779"/>
      <c r="R37" s="398"/>
      <c r="S37" s="398"/>
      <c r="T37" s="398"/>
      <c r="U37" s="738"/>
      <c r="V37" s="738"/>
      <c r="W37" s="738"/>
    </row>
    <row r="38" spans="1:24" s="399" customFormat="1" ht="15.75" customHeight="1">
      <c r="A38" s="404"/>
      <c r="B38" s="803" t="str">
        <f>B33</f>
        <v>vertikale</v>
      </c>
      <c r="C38" s="330">
        <f>C34</f>
        <v>5</v>
      </c>
      <c r="D38" s="330"/>
      <c r="E38" s="330"/>
      <c r="F38" s="401"/>
      <c r="G38" s="401"/>
      <c r="H38" s="330"/>
      <c r="I38" s="401"/>
      <c r="J38" s="401"/>
      <c r="K38" s="330"/>
      <c r="L38" s="401">
        <f>L34</f>
        <v>4</v>
      </c>
      <c r="M38" s="570">
        <f>C38*L38</f>
        <v>20</v>
      </c>
      <c r="N38" s="395"/>
      <c r="O38" s="784"/>
      <c r="P38" s="398"/>
      <c r="Q38" s="779"/>
      <c r="R38" s="398"/>
      <c r="S38" s="398"/>
      <c r="T38" s="398"/>
      <c r="U38" s="738"/>
      <c r="V38" s="738"/>
      <c r="W38" s="738"/>
    </row>
    <row r="39" spans="1:24" s="399" customFormat="1" ht="15.75" customHeight="1">
      <c r="A39" s="404"/>
      <c r="B39" s="417"/>
      <c r="C39" s="401"/>
      <c r="D39" s="401"/>
      <c r="E39" s="401"/>
      <c r="F39" s="401"/>
      <c r="G39" s="401"/>
      <c r="H39" s="401"/>
      <c r="I39" s="401"/>
      <c r="J39" s="401"/>
      <c r="K39" s="401"/>
      <c r="L39" s="401"/>
      <c r="M39" s="401">
        <f>SUM(M37:M38)</f>
        <v>44</v>
      </c>
      <c r="N39" s="395"/>
      <c r="O39" s="784"/>
      <c r="P39" s="398"/>
      <c r="Q39" s="779"/>
      <c r="R39" s="398"/>
      <c r="S39" s="398"/>
      <c r="T39" s="398"/>
      <c r="U39" s="738"/>
      <c r="V39" s="738"/>
      <c r="W39" s="738"/>
    </row>
    <row r="40" spans="1:24" s="399" customFormat="1" ht="15.75" customHeight="1">
      <c r="A40" s="404"/>
      <c r="B40" s="803" t="s">
        <v>1006</v>
      </c>
      <c r="C40" s="401"/>
      <c r="D40" s="401"/>
      <c r="E40" s="401">
        <v>4</v>
      </c>
      <c r="F40" s="401">
        <f>M39/0.5</f>
        <v>88</v>
      </c>
      <c r="G40" s="401"/>
      <c r="H40" s="401">
        <v>2</v>
      </c>
      <c r="I40" s="401"/>
      <c r="J40" s="401"/>
      <c r="K40" s="401"/>
      <c r="L40" s="401"/>
      <c r="M40" s="401">
        <f>E40*H40*F40</f>
        <v>704</v>
      </c>
      <c r="N40" s="395" t="s">
        <v>117</v>
      </c>
      <c r="O40" s="784">
        <f>ROUND((M40),2)</f>
        <v>704</v>
      </c>
      <c r="P40" s="398"/>
      <c r="Q40" s="779"/>
      <c r="R40" s="398"/>
      <c r="S40" s="398"/>
      <c r="T40" s="398"/>
      <c r="U40" s="738"/>
      <c r="V40" s="738"/>
      <c r="W40" s="738"/>
    </row>
    <row r="41" spans="1:24" ht="15.75" customHeight="1">
      <c r="A41" s="479" t="s">
        <v>98</v>
      </c>
      <c r="B41" s="417" t="s">
        <v>399</v>
      </c>
      <c r="C41" s="401"/>
      <c r="D41" s="401"/>
      <c r="E41" s="401"/>
      <c r="F41" s="401"/>
      <c r="G41" s="401"/>
      <c r="H41" s="401"/>
      <c r="I41" s="401"/>
      <c r="J41" s="401"/>
      <c r="K41" s="401"/>
      <c r="L41" s="401"/>
      <c r="M41" s="474"/>
      <c r="N41" s="802"/>
      <c r="O41" s="485"/>
      <c r="P41" s="779"/>
      <c r="Q41" s="485"/>
      <c r="R41" s="485"/>
      <c r="S41" s="485"/>
      <c r="T41" s="1172"/>
      <c r="U41" s="1172"/>
      <c r="V41" s="1172"/>
    </row>
    <row r="42" spans="1:24" ht="15.75" customHeight="1">
      <c r="A42" s="479"/>
      <c r="B42" s="803" t="str">
        <f t="shared" ref="B42:D43" si="0">B33</f>
        <v>vertikale</v>
      </c>
      <c r="C42" s="401">
        <f t="shared" si="0"/>
        <v>12</v>
      </c>
      <c r="D42" s="401">
        <f t="shared" si="0"/>
        <v>0.8</v>
      </c>
      <c r="E42" s="401">
        <v>7.0000000000000007E-2</v>
      </c>
      <c r="F42" s="401"/>
      <c r="G42" s="401"/>
      <c r="H42" s="401"/>
      <c r="I42" s="401"/>
      <c r="J42" s="401"/>
      <c r="K42" s="401"/>
      <c r="L42" s="401">
        <f>L33</f>
        <v>2</v>
      </c>
      <c r="M42" s="401">
        <f>C42*D42*E42*L42</f>
        <v>1.3440000000000003</v>
      </c>
      <c r="N42" s="805"/>
      <c r="O42" s="485"/>
      <c r="P42" s="779"/>
      <c r="Q42" s="485"/>
      <c r="R42" s="485"/>
      <c r="S42" s="485"/>
      <c r="T42" s="1172"/>
      <c r="U42" s="1172"/>
      <c r="V42" s="1172"/>
    </row>
    <row r="43" spans="1:24" ht="15.75" customHeight="1">
      <c r="A43" s="479"/>
      <c r="B43" s="803" t="str">
        <f t="shared" si="0"/>
        <v>horizontale</v>
      </c>
      <c r="C43" s="401">
        <f t="shared" si="0"/>
        <v>5</v>
      </c>
      <c r="D43" s="401">
        <f t="shared" si="0"/>
        <v>0.8</v>
      </c>
      <c r="E43" s="401">
        <f>E42</f>
        <v>7.0000000000000007E-2</v>
      </c>
      <c r="F43" s="401"/>
      <c r="G43" s="401"/>
      <c r="H43" s="401"/>
      <c r="I43" s="401"/>
      <c r="J43" s="401"/>
      <c r="K43" s="401"/>
      <c r="L43" s="401">
        <f>L34</f>
        <v>4</v>
      </c>
      <c r="M43" s="752">
        <f>C43*D43*E43*L43</f>
        <v>1.1200000000000001</v>
      </c>
      <c r="N43" s="805"/>
      <c r="O43" s="485"/>
      <c r="P43" s="779"/>
      <c r="Q43" s="485"/>
      <c r="R43" s="485"/>
      <c r="S43" s="485"/>
      <c r="T43" s="1172"/>
      <c r="U43" s="1172"/>
      <c r="V43" s="1172"/>
    </row>
    <row r="44" spans="1:24" ht="15.75" customHeight="1">
      <c r="A44" s="479"/>
      <c r="B44" s="417"/>
      <c r="C44" s="401"/>
      <c r="D44" s="401"/>
      <c r="E44" s="401"/>
      <c r="F44" s="401"/>
      <c r="G44" s="401"/>
      <c r="H44" s="401"/>
      <c r="I44" s="401"/>
      <c r="J44" s="401"/>
      <c r="K44" s="401"/>
      <c r="L44" s="401"/>
      <c r="M44" s="474">
        <f>SUM(M42:M43)</f>
        <v>2.4640000000000004</v>
      </c>
      <c r="N44" s="802" t="s">
        <v>103</v>
      </c>
      <c r="O44" s="485"/>
      <c r="P44" s="779"/>
      <c r="Q44" s="485"/>
      <c r="R44" s="485"/>
      <c r="S44" s="485"/>
      <c r="T44" s="1172"/>
      <c r="U44" s="1172"/>
      <c r="V44" s="1172"/>
    </row>
    <row r="45" spans="1:24" ht="15.75" customHeight="1">
      <c r="A45" s="479" t="s">
        <v>101</v>
      </c>
      <c r="B45" s="417" t="s">
        <v>400</v>
      </c>
      <c r="C45" s="401"/>
      <c r="D45" s="401"/>
      <c r="E45" s="401"/>
      <c r="F45" s="401"/>
      <c r="G45" s="401"/>
      <c r="H45" s="401"/>
      <c r="I45" s="401"/>
      <c r="J45" s="401"/>
      <c r="K45" s="401"/>
      <c r="L45" s="401"/>
      <c r="M45" s="474"/>
      <c r="N45" s="802"/>
      <c r="O45" s="485"/>
      <c r="P45" s="779"/>
      <c r="Q45" s="485"/>
      <c r="R45" s="485"/>
      <c r="S45" s="485"/>
      <c r="T45" s="1172"/>
      <c r="U45" s="1172"/>
      <c r="V45" s="1172"/>
    </row>
    <row r="46" spans="1:24" ht="15.75" customHeight="1">
      <c r="A46" s="479"/>
      <c r="B46" s="803" t="str">
        <f t="shared" ref="B46:D47" si="1">B42</f>
        <v>vertikale</v>
      </c>
      <c r="C46" s="401">
        <f t="shared" si="1"/>
        <v>12</v>
      </c>
      <c r="D46" s="401">
        <f t="shared" si="1"/>
        <v>0.8</v>
      </c>
      <c r="E46" s="401">
        <v>0.03</v>
      </c>
      <c r="F46" s="401"/>
      <c r="G46" s="401"/>
      <c r="H46" s="401"/>
      <c r="I46" s="401"/>
      <c r="J46" s="401"/>
      <c r="K46" s="401"/>
      <c r="L46" s="401">
        <f>L42</f>
        <v>2</v>
      </c>
      <c r="M46" s="401">
        <f>C46*D46*E46*L46</f>
        <v>0.57600000000000007</v>
      </c>
      <c r="N46" s="805"/>
      <c r="O46" s="485"/>
      <c r="P46" s="779"/>
      <c r="Q46" s="485"/>
      <c r="R46" s="485"/>
      <c r="S46" s="485"/>
      <c r="T46" s="1172"/>
      <c r="U46" s="1172"/>
      <c r="V46" s="1172"/>
    </row>
    <row r="47" spans="1:24" ht="15.75" customHeight="1">
      <c r="A47" s="479"/>
      <c r="B47" s="803" t="str">
        <f t="shared" si="1"/>
        <v>horizontale</v>
      </c>
      <c r="C47" s="401">
        <f t="shared" si="1"/>
        <v>5</v>
      </c>
      <c r="D47" s="401">
        <f t="shared" si="1"/>
        <v>0.8</v>
      </c>
      <c r="E47" s="401">
        <f>E46</f>
        <v>0.03</v>
      </c>
      <c r="F47" s="401"/>
      <c r="G47" s="401"/>
      <c r="H47" s="401"/>
      <c r="I47" s="401"/>
      <c r="J47" s="401"/>
      <c r="K47" s="401"/>
      <c r="L47" s="401">
        <f>L43</f>
        <v>4</v>
      </c>
      <c r="M47" s="752">
        <f>C47*D47*E47*L47</f>
        <v>0.48</v>
      </c>
      <c r="N47" s="805"/>
      <c r="O47" s="485"/>
      <c r="P47" s="779"/>
      <c r="Q47" s="485"/>
      <c r="R47" s="485"/>
      <c r="S47" s="485"/>
      <c r="T47" s="1172"/>
      <c r="U47" s="1172"/>
      <c r="V47" s="1172"/>
    </row>
    <row r="48" spans="1:24" ht="15.75" customHeight="1">
      <c r="A48" s="479"/>
      <c r="B48" s="417"/>
      <c r="C48" s="401"/>
      <c r="D48" s="401"/>
      <c r="E48" s="401"/>
      <c r="F48" s="401"/>
      <c r="G48" s="401"/>
      <c r="H48" s="401"/>
      <c r="I48" s="401"/>
      <c r="J48" s="401"/>
      <c r="K48" s="401"/>
      <c r="L48" s="401"/>
      <c r="M48" s="474">
        <f>SUM(M46:M47)</f>
        <v>1.056</v>
      </c>
      <c r="N48" s="802" t="s">
        <v>103</v>
      </c>
      <c r="O48" s="485"/>
      <c r="P48" s="779"/>
      <c r="Q48" s="485"/>
      <c r="R48" s="485"/>
      <c r="S48" s="485"/>
      <c r="T48" s="1172"/>
      <c r="U48" s="1172"/>
      <c r="V48" s="1172"/>
    </row>
    <row r="49" spans="1:23" ht="15.75" customHeight="1">
      <c r="A49" s="479" t="s">
        <v>121</v>
      </c>
      <c r="B49" s="417" t="s">
        <v>696</v>
      </c>
      <c r="C49" s="401"/>
      <c r="D49" s="401"/>
      <c r="E49" s="401"/>
      <c r="F49" s="401"/>
      <c r="G49" s="401"/>
      <c r="H49" s="401"/>
      <c r="I49" s="401"/>
      <c r="J49" s="401"/>
      <c r="K49" s="401"/>
      <c r="L49" s="401"/>
      <c r="M49" s="401"/>
      <c r="N49" s="805"/>
      <c r="O49" s="485"/>
      <c r="P49" s="779"/>
      <c r="Q49" s="485"/>
      <c r="R49" s="485"/>
      <c r="S49" s="485"/>
      <c r="T49" s="1172"/>
      <c r="U49" s="1172"/>
      <c r="V49" s="1172"/>
    </row>
    <row r="50" spans="1:23" ht="15.75" customHeight="1">
      <c r="A50" s="479"/>
      <c r="B50" s="803" t="str">
        <f>B46</f>
        <v>vertikale</v>
      </c>
      <c r="C50" s="401">
        <f>C33</f>
        <v>12</v>
      </c>
      <c r="D50" s="401">
        <f>(0.3+0.8)/2</f>
        <v>0.55000000000000004</v>
      </c>
      <c r="E50" s="401">
        <v>0.8</v>
      </c>
      <c r="F50" s="401"/>
      <c r="G50" s="401"/>
      <c r="H50" s="401"/>
      <c r="I50" s="401"/>
      <c r="J50" s="401"/>
      <c r="K50" s="401"/>
      <c r="L50" s="401">
        <f>L46</f>
        <v>2</v>
      </c>
      <c r="M50" s="401">
        <f>C50*D50*E50*L50</f>
        <v>10.560000000000002</v>
      </c>
      <c r="N50" s="805"/>
      <c r="O50" s="485"/>
      <c r="P50" s="779"/>
      <c r="Q50" s="485"/>
      <c r="R50" s="485"/>
      <c r="S50" s="485"/>
      <c r="T50" s="1172"/>
      <c r="U50" s="1172"/>
      <c r="V50" s="1172"/>
    </row>
    <row r="51" spans="1:23" ht="15.75" customHeight="1">
      <c r="A51" s="479"/>
      <c r="B51" s="803" t="str">
        <f>B47</f>
        <v>horizontale</v>
      </c>
      <c r="C51" s="401">
        <f>C34</f>
        <v>5</v>
      </c>
      <c r="D51" s="401">
        <f>D50</f>
        <v>0.55000000000000004</v>
      </c>
      <c r="E51" s="401">
        <f>E50</f>
        <v>0.8</v>
      </c>
      <c r="F51" s="401"/>
      <c r="G51" s="401"/>
      <c r="H51" s="401"/>
      <c r="I51" s="401"/>
      <c r="J51" s="401"/>
      <c r="K51" s="401"/>
      <c r="L51" s="401">
        <v>4</v>
      </c>
      <c r="M51" s="752">
        <f>C51*D51*E51*L51</f>
        <v>8.8000000000000007</v>
      </c>
      <c r="N51" s="805"/>
      <c r="O51" s="485"/>
      <c r="P51" s="779"/>
      <c r="Q51" s="485"/>
      <c r="R51" s="485"/>
      <c r="S51" s="485"/>
      <c r="T51" s="1172"/>
      <c r="U51" s="1172"/>
      <c r="V51" s="1172"/>
    </row>
    <row r="52" spans="1:23" ht="15.75" customHeight="1">
      <c r="A52" s="479"/>
      <c r="B52" s="417"/>
      <c r="C52" s="401"/>
      <c r="D52" s="401"/>
      <c r="E52" s="401"/>
      <c r="F52" s="401"/>
      <c r="G52" s="401"/>
      <c r="H52" s="401"/>
      <c r="I52" s="401"/>
      <c r="J52" s="401"/>
      <c r="K52" s="401"/>
      <c r="L52" s="401"/>
      <c r="M52" s="474">
        <f>SUM(M50:M51)</f>
        <v>19.360000000000003</v>
      </c>
      <c r="N52" s="802" t="s">
        <v>103</v>
      </c>
      <c r="O52" s="485"/>
      <c r="P52" s="779"/>
      <c r="Q52" s="485"/>
      <c r="R52" s="485"/>
      <c r="S52" s="485"/>
      <c r="T52" s="1172"/>
      <c r="U52" s="1172"/>
      <c r="V52" s="1172"/>
    </row>
    <row r="53" spans="1:23" ht="15.75" customHeight="1">
      <c r="A53" s="479" t="s">
        <v>142</v>
      </c>
      <c r="B53" s="417" t="s">
        <v>631</v>
      </c>
      <c r="C53" s="401"/>
      <c r="D53" s="401"/>
      <c r="E53" s="401"/>
      <c r="F53" s="401"/>
      <c r="G53" s="401"/>
      <c r="H53" s="401"/>
      <c r="I53" s="401"/>
      <c r="J53" s="401"/>
      <c r="K53" s="401"/>
      <c r="L53" s="401"/>
      <c r="M53" s="401"/>
      <c r="N53" s="805"/>
      <c r="O53" s="485"/>
      <c r="P53" s="779"/>
      <c r="Q53" s="485"/>
      <c r="R53" s="485"/>
      <c r="S53" s="485"/>
      <c r="T53" s="1172"/>
      <c r="U53" s="1172"/>
      <c r="V53" s="1172"/>
    </row>
    <row r="54" spans="1:23" ht="15.75" customHeight="1">
      <c r="A54" s="479"/>
      <c r="B54" s="803" t="str">
        <f>B50</f>
        <v>vertikale</v>
      </c>
      <c r="C54" s="401">
        <f>C50</f>
        <v>12</v>
      </c>
      <c r="D54" s="401"/>
      <c r="E54" s="401">
        <v>0.4</v>
      </c>
      <c r="F54" s="401"/>
      <c r="G54" s="401"/>
      <c r="H54" s="401">
        <v>2</v>
      </c>
      <c r="I54" s="401"/>
      <c r="J54" s="401"/>
      <c r="K54" s="401"/>
      <c r="L54" s="401"/>
      <c r="M54" s="401">
        <f>C54*E54*H54</f>
        <v>9.6000000000000014</v>
      </c>
      <c r="N54" s="805"/>
      <c r="O54" s="485"/>
      <c r="P54" s="779"/>
      <c r="Q54" s="485"/>
      <c r="R54" s="485"/>
      <c r="S54" s="485"/>
      <c r="T54" s="1172"/>
      <c r="U54" s="1172"/>
      <c r="V54" s="1172"/>
    </row>
    <row r="55" spans="1:23" ht="15.75" customHeight="1">
      <c r="A55" s="479"/>
      <c r="B55" s="803" t="str">
        <f>B51</f>
        <v>horizontale</v>
      </c>
      <c r="C55" s="401">
        <f>C51</f>
        <v>5</v>
      </c>
      <c r="D55" s="401"/>
      <c r="E55" s="401">
        <f>E54</f>
        <v>0.4</v>
      </c>
      <c r="F55" s="401"/>
      <c r="G55" s="401"/>
      <c r="H55" s="401">
        <f>H54</f>
        <v>2</v>
      </c>
      <c r="I55" s="401"/>
      <c r="J55" s="401"/>
      <c r="K55" s="401"/>
      <c r="L55" s="401"/>
      <c r="M55" s="752">
        <f>C55*E55*H55</f>
        <v>4</v>
      </c>
      <c r="N55" s="805"/>
      <c r="O55" s="485"/>
      <c r="P55" s="779"/>
      <c r="Q55" s="485"/>
      <c r="R55" s="485"/>
      <c r="S55" s="485"/>
      <c r="T55" s="1172"/>
      <c r="U55" s="1172"/>
      <c r="V55" s="1172"/>
    </row>
    <row r="56" spans="1:23" ht="15.75" customHeight="1">
      <c r="A56" s="479"/>
      <c r="B56" s="417"/>
      <c r="C56" s="401"/>
      <c r="D56" s="401"/>
      <c r="E56" s="401"/>
      <c r="F56" s="401"/>
      <c r="G56" s="401"/>
      <c r="H56" s="401"/>
      <c r="I56" s="401"/>
      <c r="J56" s="401"/>
      <c r="K56" s="401"/>
      <c r="L56" s="401"/>
      <c r="M56" s="474">
        <f>SUM(M54:M55)</f>
        <v>13.600000000000001</v>
      </c>
      <c r="N56" s="802" t="s">
        <v>89</v>
      </c>
      <c r="O56" s="485"/>
      <c r="P56" s="779"/>
      <c r="Q56" s="485"/>
      <c r="R56" s="485"/>
      <c r="S56" s="485"/>
      <c r="T56" s="1172"/>
      <c r="U56" s="1172"/>
      <c r="V56" s="1172"/>
    </row>
    <row r="57" spans="1:23" s="399" customFormat="1" ht="15.75" customHeight="1">
      <c r="A57" s="350">
        <f>A34+1</f>
        <v>1</v>
      </c>
      <c r="B57" s="351" t="s">
        <v>1130</v>
      </c>
      <c r="C57" s="330"/>
      <c r="D57" s="330"/>
      <c r="E57" s="330"/>
      <c r="F57" s="330"/>
      <c r="G57" s="330"/>
      <c r="H57" s="330"/>
      <c r="I57" s="330"/>
      <c r="J57" s="330"/>
      <c r="K57" s="330"/>
      <c r="L57" s="330"/>
      <c r="M57" s="401"/>
      <c r="N57" s="349"/>
      <c r="O57" s="784"/>
      <c r="P57" s="398"/>
      <c r="Q57" s="779"/>
      <c r="R57" s="398"/>
      <c r="S57" s="398"/>
      <c r="T57" s="398"/>
      <c r="U57" s="738"/>
      <c r="V57" s="738"/>
      <c r="W57" s="738"/>
    </row>
    <row r="58" spans="1:23" s="399" customFormat="1" ht="15.75" customHeight="1">
      <c r="A58" s="350"/>
      <c r="B58" s="567" t="s">
        <v>1111</v>
      </c>
      <c r="C58" s="330">
        <f>C54</f>
        <v>12</v>
      </c>
      <c r="D58" s="330"/>
      <c r="E58" s="330"/>
      <c r="F58" s="330"/>
      <c r="G58" s="330"/>
      <c r="H58" s="330"/>
      <c r="I58" s="330"/>
      <c r="J58" s="330"/>
      <c r="K58" s="330"/>
      <c r="L58" s="330">
        <v>2</v>
      </c>
      <c r="M58" s="401">
        <f>C58*L58</f>
        <v>24</v>
      </c>
      <c r="N58" s="349"/>
      <c r="O58" s="784"/>
      <c r="P58" s="398"/>
      <c r="Q58" s="779"/>
      <c r="R58" s="398"/>
      <c r="S58" s="398"/>
      <c r="T58" s="398"/>
      <c r="U58" s="738"/>
      <c r="V58" s="738"/>
      <c r="W58" s="738"/>
    </row>
    <row r="59" spans="1:23" s="399" customFormat="1" ht="15.75" customHeight="1">
      <c r="A59" s="350"/>
      <c r="B59" s="359"/>
      <c r="C59" s="330">
        <f>C55</f>
        <v>5</v>
      </c>
      <c r="D59" s="330"/>
      <c r="E59" s="330"/>
      <c r="F59" s="330"/>
      <c r="G59" s="330"/>
      <c r="H59" s="330"/>
      <c r="I59" s="330"/>
      <c r="J59" s="330"/>
      <c r="K59" s="330"/>
      <c r="L59" s="330">
        <v>4</v>
      </c>
      <c r="M59" s="401">
        <f>C59*L59</f>
        <v>20</v>
      </c>
      <c r="N59" s="349"/>
      <c r="O59" s="784"/>
      <c r="P59" s="398"/>
      <c r="Q59" s="779"/>
      <c r="R59" s="398"/>
      <c r="S59" s="398"/>
      <c r="T59" s="398"/>
      <c r="U59" s="738"/>
      <c r="V59" s="738"/>
      <c r="W59" s="738"/>
    </row>
    <row r="60" spans="1:23" s="399" customFormat="1" ht="15.75" customHeight="1">
      <c r="A60" s="350"/>
      <c r="B60" s="359"/>
      <c r="C60" s="330"/>
      <c r="D60" s="330"/>
      <c r="E60" s="330"/>
      <c r="F60" s="330"/>
      <c r="G60" s="330"/>
      <c r="H60" s="330"/>
      <c r="I60" s="330"/>
      <c r="J60" s="330"/>
      <c r="K60" s="330"/>
      <c r="L60" s="330"/>
      <c r="M60" s="401">
        <f>SUM(M58:M59)</f>
        <v>44</v>
      </c>
      <c r="N60" s="395" t="s">
        <v>117</v>
      </c>
      <c r="O60" s="784"/>
      <c r="P60" s="398"/>
      <c r="Q60" s="779"/>
      <c r="R60" s="398"/>
      <c r="S60" s="398"/>
      <c r="T60" s="398"/>
      <c r="U60" s="738"/>
      <c r="V60" s="738"/>
      <c r="W60" s="738"/>
    </row>
    <row r="61" spans="1:23" s="399" customFormat="1" ht="15.75" customHeight="1">
      <c r="A61" s="350"/>
      <c r="B61" s="567" t="s">
        <v>1131</v>
      </c>
      <c r="C61" s="330">
        <f>M60</f>
        <v>44</v>
      </c>
      <c r="D61" s="330">
        <v>0.5</v>
      </c>
      <c r="E61" s="330"/>
      <c r="F61" s="330"/>
      <c r="G61" s="330"/>
      <c r="H61" s="330"/>
      <c r="I61" s="330"/>
      <c r="J61" s="330"/>
      <c r="K61" s="330"/>
      <c r="L61" s="330"/>
      <c r="M61" s="401">
        <f>ROUNDDOWN((C61/D61),0.5)</f>
        <v>88</v>
      </c>
      <c r="N61" s="349" t="s">
        <v>124</v>
      </c>
      <c r="O61" s="784"/>
      <c r="P61" s="398"/>
      <c r="Q61" s="779"/>
      <c r="R61" s="398"/>
      <c r="S61" s="398"/>
      <c r="T61" s="398"/>
      <c r="U61" s="738"/>
      <c r="V61" s="738"/>
      <c r="W61" s="738"/>
    </row>
    <row r="62" spans="1:23" s="399" customFormat="1" ht="15.75" customHeight="1">
      <c r="A62" s="350"/>
      <c r="B62" s="567" t="s">
        <v>1132</v>
      </c>
      <c r="C62" s="330"/>
      <c r="D62" s="330"/>
      <c r="E62" s="330"/>
      <c r="F62" s="330">
        <f>M61</f>
        <v>88</v>
      </c>
      <c r="G62" s="330"/>
      <c r="H62" s="330"/>
      <c r="I62" s="330"/>
      <c r="J62" s="330"/>
      <c r="K62" s="330">
        <f>13*13*0.006165</f>
        <v>1.041885</v>
      </c>
      <c r="L62" s="330"/>
      <c r="M62" s="401">
        <f>F62*K62</f>
        <v>91.685879999999997</v>
      </c>
      <c r="N62" s="349" t="s">
        <v>100</v>
      </c>
      <c r="O62" s="784">
        <f>ROUND((M62),2)</f>
        <v>91.69</v>
      </c>
      <c r="P62" s="398"/>
      <c r="Q62" s="779"/>
      <c r="R62" s="398"/>
      <c r="S62" s="398"/>
      <c r="T62" s="398"/>
      <c r="U62" s="738"/>
      <c r="V62" s="738"/>
      <c r="W62" s="738"/>
    </row>
    <row r="63" spans="1:23" ht="15.75" customHeight="1">
      <c r="A63" s="478">
        <f>A31+1</f>
        <v>4</v>
      </c>
      <c r="B63" s="359" t="s">
        <v>1606</v>
      </c>
      <c r="C63" s="401"/>
      <c r="D63" s="401"/>
      <c r="E63" s="401"/>
      <c r="F63" s="401"/>
      <c r="G63" s="401"/>
      <c r="H63" s="401"/>
      <c r="I63" s="401"/>
      <c r="J63" s="401"/>
      <c r="K63" s="401"/>
      <c r="L63" s="401"/>
      <c r="M63" s="401"/>
      <c r="N63" s="805"/>
      <c r="O63" s="485"/>
      <c r="P63" s="779"/>
      <c r="Q63" s="485"/>
      <c r="R63" s="485"/>
      <c r="S63" s="485"/>
      <c r="T63" s="1172"/>
      <c r="U63" s="1172"/>
      <c r="V63" s="1172"/>
    </row>
    <row r="64" spans="1:23" ht="15.75" customHeight="1">
      <c r="A64" s="479" t="s">
        <v>95</v>
      </c>
      <c r="B64" s="417" t="s">
        <v>399</v>
      </c>
      <c r="C64" s="401"/>
      <c r="D64" s="401"/>
      <c r="E64" s="401"/>
      <c r="F64" s="401"/>
      <c r="G64" s="401"/>
      <c r="H64" s="401"/>
      <c r="I64" s="401"/>
      <c r="J64" s="401"/>
      <c r="K64" s="401"/>
      <c r="L64" s="401"/>
      <c r="M64" s="401"/>
      <c r="N64" s="805"/>
      <c r="O64" s="485"/>
      <c r="P64" s="779"/>
      <c r="Q64" s="485"/>
      <c r="R64" s="485"/>
      <c r="S64" s="485"/>
      <c r="T64" s="1172"/>
      <c r="U64" s="1172"/>
      <c r="V64" s="1172"/>
    </row>
    <row r="65" spans="1:22" ht="15.75" customHeight="1">
      <c r="A65" s="479"/>
      <c r="B65" s="1186" t="str">
        <f>B55</f>
        <v>horizontale</v>
      </c>
      <c r="C65" s="401">
        <f>C55</f>
        <v>5</v>
      </c>
      <c r="D65" s="401">
        <v>0.25</v>
      </c>
      <c r="E65" s="401">
        <v>7.0000000000000007E-2</v>
      </c>
      <c r="F65" s="401"/>
      <c r="G65" s="401"/>
      <c r="H65" s="401"/>
      <c r="I65" s="401"/>
      <c r="J65" s="401"/>
      <c r="K65" s="401"/>
      <c r="L65" s="401">
        <v>4</v>
      </c>
      <c r="M65" s="752">
        <f>C65*E65*L65</f>
        <v>1.4000000000000001</v>
      </c>
      <c r="N65" s="805"/>
      <c r="O65" s="485"/>
      <c r="P65" s="779"/>
      <c r="Q65" s="485"/>
      <c r="R65" s="485"/>
      <c r="S65" s="485"/>
      <c r="T65" s="1172"/>
      <c r="U65" s="1172"/>
      <c r="V65" s="1172"/>
    </row>
    <row r="66" spans="1:22" ht="15.75" customHeight="1">
      <c r="A66" s="479"/>
      <c r="B66" s="417"/>
      <c r="C66" s="401"/>
      <c r="D66" s="401"/>
      <c r="E66" s="401"/>
      <c r="F66" s="401"/>
      <c r="G66" s="401"/>
      <c r="H66" s="401"/>
      <c r="I66" s="401"/>
      <c r="J66" s="401"/>
      <c r="K66" s="401"/>
      <c r="L66" s="401"/>
      <c r="M66" s="474">
        <f>SUM(M65:M65)</f>
        <v>1.4000000000000001</v>
      </c>
      <c r="N66" s="802" t="s">
        <v>89</v>
      </c>
      <c r="O66" s="485"/>
      <c r="P66" s="779"/>
      <c r="Q66" s="485"/>
      <c r="R66" s="485"/>
      <c r="S66" s="485"/>
      <c r="T66" s="1172"/>
      <c r="U66" s="1172"/>
      <c r="V66" s="1172"/>
    </row>
    <row r="67" spans="1:22" ht="15.75" customHeight="1">
      <c r="A67" s="479" t="s">
        <v>98</v>
      </c>
      <c r="B67" s="417" t="s">
        <v>400</v>
      </c>
      <c r="C67" s="401"/>
      <c r="D67" s="401"/>
      <c r="E67" s="401"/>
      <c r="F67" s="401"/>
      <c r="G67" s="401"/>
      <c r="H67" s="401"/>
      <c r="I67" s="401"/>
      <c r="J67" s="401"/>
      <c r="K67" s="401"/>
      <c r="L67" s="401"/>
      <c r="M67" s="401"/>
      <c r="N67" s="805"/>
      <c r="O67" s="485"/>
      <c r="P67" s="779"/>
      <c r="Q67" s="485"/>
      <c r="R67" s="485"/>
      <c r="S67" s="485"/>
      <c r="T67" s="1172"/>
      <c r="U67" s="1172"/>
      <c r="V67" s="1172"/>
    </row>
    <row r="68" spans="1:22" ht="15.75" customHeight="1">
      <c r="A68" s="479"/>
      <c r="B68" s="803" t="str">
        <f>B65</f>
        <v>horizontale</v>
      </c>
      <c r="C68" s="401">
        <f>C65</f>
        <v>5</v>
      </c>
      <c r="D68" s="401">
        <f>D65</f>
        <v>0.25</v>
      </c>
      <c r="E68" s="401">
        <v>0.03</v>
      </c>
      <c r="F68" s="401"/>
      <c r="G68" s="401"/>
      <c r="H68" s="401"/>
      <c r="I68" s="401"/>
      <c r="J68" s="401"/>
      <c r="K68" s="401"/>
      <c r="L68" s="401">
        <f>L65</f>
        <v>4</v>
      </c>
      <c r="M68" s="752">
        <f>C68*E68*L68</f>
        <v>0.6</v>
      </c>
      <c r="N68" s="805"/>
      <c r="O68" s="485"/>
      <c r="P68" s="779"/>
      <c r="Q68" s="485"/>
      <c r="R68" s="485"/>
      <c r="S68" s="485"/>
      <c r="T68" s="1172"/>
      <c r="U68" s="1172"/>
      <c r="V68" s="1172"/>
    </row>
    <row r="69" spans="1:22" ht="15.75" customHeight="1">
      <c r="A69" s="479"/>
      <c r="B69" s="417"/>
      <c r="C69" s="401"/>
      <c r="D69" s="401"/>
      <c r="E69" s="401"/>
      <c r="F69" s="401"/>
      <c r="G69" s="401"/>
      <c r="H69" s="401"/>
      <c r="I69" s="401"/>
      <c r="J69" s="401"/>
      <c r="K69" s="401"/>
      <c r="L69" s="401"/>
      <c r="M69" s="474">
        <f>SUM(M68:M68)</f>
        <v>0.6</v>
      </c>
      <c r="N69" s="802" t="s">
        <v>89</v>
      </c>
      <c r="O69" s="485"/>
      <c r="P69" s="779"/>
      <c r="Q69" s="485"/>
      <c r="R69" s="485"/>
      <c r="S69" s="485"/>
      <c r="T69" s="1172"/>
      <c r="U69" s="1172"/>
      <c r="V69" s="1172"/>
    </row>
    <row r="70" spans="1:22" ht="15.75" customHeight="1">
      <c r="A70" s="479" t="s">
        <v>101</v>
      </c>
      <c r="B70" s="417" t="s">
        <v>1607</v>
      </c>
      <c r="C70" s="401"/>
      <c r="D70" s="401"/>
      <c r="E70" s="401"/>
      <c r="F70" s="401"/>
      <c r="G70" s="401"/>
      <c r="H70" s="401"/>
      <c r="I70" s="401"/>
      <c r="J70" s="401"/>
      <c r="K70" s="401"/>
      <c r="L70" s="401"/>
      <c r="M70" s="401"/>
      <c r="N70" s="805"/>
      <c r="O70" s="485"/>
      <c r="P70" s="779"/>
      <c r="Q70" s="485"/>
      <c r="R70" s="485"/>
      <c r="S70" s="485"/>
      <c r="T70" s="1172"/>
      <c r="U70" s="1172"/>
      <c r="V70" s="1172"/>
    </row>
    <row r="71" spans="1:22" ht="15.75" customHeight="1">
      <c r="A71" s="479"/>
      <c r="B71" s="1186" t="str">
        <f>B68</f>
        <v>horizontale</v>
      </c>
      <c r="C71" s="401">
        <f>C68</f>
        <v>5</v>
      </c>
      <c r="D71" s="401"/>
      <c r="E71" s="401">
        <v>0.3</v>
      </c>
      <c r="F71" s="401"/>
      <c r="G71" s="401"/>
      <c r="H71" s="401">
        <v>2</v>
      </c>
      <c r="I71" s="401"/>
      <c r="J71" s="401"/>
      <c r="K71" s="401"/>
      <c r="L71" s="401">
        <f>L68/2</f>
        <v>2</v>
      </c>
      <c r="M71" s="752">
        <f>C71*E71*H71*L71</f>
        <v>6</v>
      </c>
      <c r="N71" s="805"/>
      <c r="O71" s="485"/>
      <c r="P71" s="779"/>
      <c r="Q71" s="485"/>
      <c r="R71" s="485"/>
      <c r="S71" s="485"/>
      <c r="T71" s="1172"/>
      <c r="U71" s="1172"/>
      <c r="V71" s="1172"/>
    </row>
    <row r="72" spans="1:22" ht="15.75" customHeight="1">
      <c r="A72" s="479"/>
      <c r="B72" s="417"/>
      <c r="C72" s="401"/>
      <c r="D72" s="401"/>
      <c r="E72" s="401"/>
      <c r="F72" s="401"/>
      <c r="G72" s="401"/>
      <c r="H72" s="401"/>
      <c r="I72" s="401"/>
      <c r="J72" s="401"/>
      <c r="K72" s="401"/>
      <c r="L72" s="401"/>
      <c r="M72" s="474">
        <f>SUM(M71:M71)</f>
        <v>6</v>
      </c>
      <c r="N72" s="802" t="s">
        <v>89</v>
      </c>
      <c r="O72" s="485"/>
      <c r="P72" s="779"/>
      <c r="Q72" s="485"/>
      <c r="R72" s="485"/>
      <c r="S72" s="485"/>
      <c r="T72" s="1172"/>
      <c r="U72" s="1172"/>
      <c r="V72" s="1172"/>
    </row>
    <row r="73" spans="1:22" ht="15.75" customHeight="1">
      <c r="A73" s="479" t="s">
        <v>121</v>
      </c>
      <c r="B73" s="417" t="s">
        <v>898</v>
      </c>
      <c r="C73" s="401"/>
      <c r="D73" s="401"/>
      <c r="E73" s="401"/>
      <c r="F73" s="401"/>
      <c r="G73" s="401"/>
      <c r="H73" s="401"/>
      <c r="I73" s="401"/>
      <c r="J73" s="401"/>
      <c r="K73" s="401"/>
      <c r="L73" s="401"/>
      <c r="M73" s="401"/>
      <c r="N73" s="805"/>
      <c r="O73" s="485"/>
      <c r="P73" s="779"/>
      <c r="Q73" s="485"/>
      <c r="R73" s="485"/>
      <c r="S73" s="485"/>
      <c r="T73" s="1172"/>
      <c r="U73" s="1172"/>
      <c r="V73" s="1172"/>
    </row>
    <row r="74" spans="1:22" ht="15.75" customHeight="1">
      <c r="A74" s="479"/>
      <c r="B74" s="1186" t="str">
        <f>B71</f>
        <v>horizontale</v>
      </c>
      <c r="C74" s="401">
        <f>C71</f>
        <v>5</v>
      </c>
      <c r="D74" s="401"/>
      <c r="E74" s="401"/>
      <c r="F74" s="401">
        <f>13*13*0.006165</f>
        <v>1.041885</v>
      </c>
      <c r="G74" s="401"/>
      <c r="H74" s="401"/>
      <c r="I74" s="401"/>
      <c r="J74" s="401"/>
      <c r="K74" s="401">
        <v>5</v>
      </c>
      <c r="L74" s="401">
        <f>L68</f>
        <v>4</v>
      </c>
      <c r="M74" s="752">
        <f>C74*F74*K74*L74</f>
        <v>104.18849999999999</v>
      </c>
      <c r="N74" s="805"/>
      <c r="O74" s="485"/>
      <c r="P74" s="779"/>
      <c r="Q74" s="485"/>
      <c r="R74" s="485"/>
      <c r="S74" s="485"/>
      <c r="T74" s="1172"/>
      <c r="U74" s="1172"/>
      <c r="V74" s="1172"/>
    </row>
    <row r="75" spans="1:22" ht="15.75" customHeight="1">
      <c r="A75" s="479"/>
      <c r="B75" s="417"/>
      <c r="C75" s="401"/>
      <c r="D75" s="401"/>
      <c r="E75" s="401"/>
      <c r="F75" s="401"/>
      <c r="G75" s="401"/>
      <c r="H75" s="401"/>
      <c r="I75" s="401"/>
      <c r="J75" s="401"/>
      <c r="K75" s="401"/>
      <c r="L75" s="401"/>
      <c r="M75" s="474">
        <f>SUM(M74)</f>
        <v>104.18849999999999</v>
      </c>
      <c r="N75" s="802" t="s">
        <v>100</v>
      </c>
      <c r="O75" s="485"/>
      <c r="P75" s="779"/>
      <c r="Q75" s="485"/>
      <c r="R75" s="485"/>
      <c r="S75" s="485"/>
      <c r="T75" s="1172"/>
      <c r="U75" s="1172"/>
      <c r="V75" s="1172"/>
    </row>
    <row r="76" spans="1:22" ht="15.75" customHeight="1">
      <c r="A76" s="479" t="s">
        <v>142</v>
      </c>
      <c r="B76" s="351" t="s">
        <v>428</v>
      </c>
      <c r="C76" s="401"/>
      <c r="D76" s="401"/>
      <c r="E76" s="401"/>
      <c r="F76" s="401"/>
      <c r="G76" s="401"/>
      <c r="H76" s="401"/>
      <c r="I76" s="401"/>
      <c r="J76" s="401"/>
      <c r="K76" s="401"/>
      <c r="L76" s="401"/>
      <c r="M76" s="401"/>
      <c r="N76" s="805"/>
      <c r="O76" s="485"/>
      <c r="P76" s="779"/>
      <c r="Q76" s="485"/>
      <c r="R76" s="485"/>
      <c r="S76" s="485"/>
      <c r="T76" s="1172"/>
      <c r="U76" s="1172"/>
      <c r="V76" s="1172"/>
    </row>
    <row r="77" spans="1:22" ht="15.75" customHeight="1">
      <c r="A77" s="479"/>
      <c r="B77" s="1186" t="str">
        <f>B74</f>
        <v>horizontale</v>
      </c>
      <c r="C77" s="401">
        <f>(0.1+0.2)*2</f>
        <v>0.60000000000000009</v>
      </c>
      <c r="D77" s="401"/>
      <c r="E77" s="401"/>
      <c r="F77" s="401">
        <f>8*8*0.006165</f>
        <v>0.39456000000000002</v>
      </c>
      <c r="G77" s="401">
        <v>0.1</v>
      </c>
      <c r="H77" s="401"/>
      <c r="I77" s="401"/>
      <c r="J77" s="401"/>
      <c r="K77" s="401">
        <f>ROUNDUP((C74/0.125),0.5)</f>
        <v>40</v>
      </c>
      <c r="L77" s="401">
        <f>L74</f>
        <v>4</v>
      </c>
      <c r="M77" s="752">
        <f>C77*F77*K77*L77</f>
        <v>37.877760000000009</v>
      </c>
      <c r="N77" s="805"/>
      <c r="O77" s="485"/>
      <c r="P77" s="779"/>
      <c r="Q77" s="485"/>
      <c r="R77" s="485"/>
      <c r="S77" s="485"/>
      <c r="T77" s="1172"/>
      <c r="U77" s="1172"/>
      <c r="V77" s="1172"/>
    </row>
    <row r="78" spans="1:22" ht="15.75" customHeight="1">
      <c r="A78" s="479"/>
      <c r="B78" s="417"/>
      <c r="C78" s="401"/>
      <c r="D78" s="401"/>
      <c r="E78" s="401"/>
      <c r="F78" s="401"/>
      <c r="G78" s="401"/>
      <c r="H78" s="401"/>
      <c r="I78" s="401"/>
      <c r="J78" s="401"/>
      <c r="K78" s="401"/>
      <c r="L78" s="401"/>
      <c r="M78" s="474">
        <f>SUM(M77)</f>
        <v>37.877760000000009</v>
      </c>
      <c r="N78" s="802" t="s">
        <v>100</v>
      </c>
      <c r="O78" s="485"/>
      <c r="P78" s="779"/>
      <c r="Q78" s="485"/>
      <c r="R78" s="485"/>
      <c r="S78" s="485"/>
      <c r="T78" s="1172"/>
      <c r="U78" s="1172"/>
      <c r="V78" s="1172"/>
    </row>
    <row r="79" spans="1:22" ht="15.75" customHeight="1">
      <c r="A79" s="479" t="s">
        <v>217</v>
      </c>
      <c r="B79" s="417" t="s">
        <v>102</v>
      </c>
      <c r="C79" s="401"/>
      <c r="D79" s="401"/>
      <c r="E79" s="401"/>
      <c r="F79" s="401"/>
      <c r="G79" s="401"/>
      <c r="H79" s="401"/>
      <c r="I79" s="401"/>
      <c r="J79" s="401"/>
      <c r="K79" s="401"/>
      <c r="L79" s="401"/>
      <c r="M79" s="401"/>
      <c r="N79" s="805"/>
      <c r="O79" s="485"/>
      <c r="P79" s="779"/>
      <c r="Q79" s="485"/>
      <c r="R79" s="485"/>
      <c r="S79" s="485"/>
      <c r="T79" s="1172"/>
      <c r="U79" s="1172"/>
      <c r="V79" s="1172"/>
    </row>
    <row r="80" spans="1:22" ht="15.75" customHeight="1">
      <c r="A80" s="479"/>
      <c r="B80" s="1186" t="str">
        <f>B77</f>
        <v>horizontale</v>
      </c>
      <c r="C80" s="401">
        <f>C74</f>
        <v>5</v>
      </c>
      <c r="D80" s="401">
        <v>0.25</v>
      </c>
      <c r="E80" s="401">
        <v>0.35</v>
      </c>
      <c r="F80" s="401"/>
      <c r="G80" s="401"/>
      <c r="H80" s="401"/>
      <c r="I80" s="401"/>
      <c r="J80" s="401"/>
      <c r="K80" s="401"/>
      <c r="L80" s="401">
        <f>L77</f>
        <v>4</v>
      </c>
      <c r="M80" s="752">
        <f>C80*D80*E80*L80</f>
        <v>1.75</v>
      </c>
      <c r="N80" s="805"/>
      <c r="O80" s="485"/>
      <c r="P80" s="779"/>
      <c r="Q80" s="485"/>
      <c r="R80" s="485"/>
      <c r="S80" s="485"/>
      <c r="T80" s="1172"/>
      <c r="U80" s="1172"/>
      <c r="V80" s="1172"/>
    </row>
    <row r="81" spans="1:22" ht="15.75" customHeight="1">
      <c r="A81" s="479"/>
      <c r="B81" s="417"/>
      <c r="C81" s="401"/>
      <c r="D81" s="401"/>
      <c r="E81" s="401"/>
      <c r="F81" s="401"/>
      <c r="G81" s="401"/>
      <c r="H81" s="401"/>
      <c r="I81" s="401"/>
      <c r="J81" s="401"/>
      <c r="K81" s="401"/>
      <c r="L81" s="401"/>
      <c r="M81" s="474">
        <f>SUM(M80:M80)</f>
        <v>1.75</v>
      </c>
      <c r="N81" s="802" t="s">
        <v>103</v>
      </c>
      <c r="O81" s="485"/>
      <c r="P81" s="779"/>
      <c r="Q81" s="485"/>
      <c r="R81" s="485"/>
      <c r="S81" s="485"/>
      <c r="T81" s="1172"/>
      <c r="U81" s="1172"/>
      <c r="V81" s="1172"/>
    </row>
    <row r="82" spans="1:22" ht="15.75" customHeight="1">
      <c r="A82" s="478">
        <f>A63+1</f>
        <v>5</v>
      </c>
      <c r="B82" s="359" t="s">
        <v>943</v>
      </c>
      <c r="C82" s="401"/>
      <c r="D82" s="401"/>
      <c r="E82" s="401"/>
      <c r="F82" s="401"/>
      <c r="G82" s="401"/>
      <c r="H82" s="401"/>
      <c r="I82" s="401"/>
      <c r="J82" s="401"/>
      <c r="K82" s="401"/>
      <c r="L82" s="401"/>
      <c r="M82" s="474"/>
      <c r="N82" s="802"/>
      <c r="O82" s="485"/>
      <c r="P82" s="779"/>
      <c r="Q82" s="485"/>
      <c r="R82" s="485"/>
      <c r="S82" s="485"/>
      <c r="T82" s="1172"/>
      <c r="U82" s="1172"/>
      <c r="V82" s="1172"/>
    </row>
    <row r="83" spans="1:22" ht="15.75" customHeight="1">
      <c r="A83" s="479" t="s">
        <v>95</v>
      </c>
      <c r="B83" s="417" t="s">
        <v>399</v>
      </c>
      <c r="C83" s="401"/>
      <c r="D83" s="401"/>
      <c r="E83" s="401"/>
      <c r="F83" s="401"/>
      <c r="G83" s="401"/>
      <c r="H83" s="401"/>
      <c r="I83" s="401"/>
      <c r="J83" s="401"/>
      <c r="K83" s="401"/>
      <c r="L83" s="401"/>
      <c r="M83" s="474"/>
      <c r="N83" s="802"/>
      <c r="O83" s="485"/>
      <c r="P83" s="779"/>
      <c r="Q83" s="485"/>
      <c r="R83" s="485"/>
      <c r="S83" s="485"/>
      <c r="T83" s="1172"/>
      <c r="U83" s="1172"/>
      <c r="V83" s="1172"/>
    </row>
    <row r="84" spans="1:22" ht="15.75" customHeight="1">
      <c r="A84" s="479"/>
      <c r="B84" s="803" t="str">
        <f>B54</f>
        <v>vertikale</v>
      </c>
      <c r="C84" s="401">
        <f>C54</f>
        <v>12</v>
      </c>
      <c r="D84" s="401">
        <v>0.25</v>
      </c>
      <c r="E84" s="401">
        <v>7.0000000000000007E-2</v>
      </c>
      <c r="F84" s="401"/>
      <c r="G84" s="401"/>
      <c r="H84" s="401"/>
      <c r="I84" s="401"/>
      <c r="J84" s="401"/>
      <c r="K84" s="401"/>
      <c r="L84" s="401">
        <v>2</v>
      </c>
      <c r="M84" s="330">
        <f>C84*D84*E84*L84</f>
        <v>0.42000000000000004</v>
      </c>
      <c r="N84" s="802"/>
      <c r="O84" s="485"/>
      <c r="P84" s="779"/>
      <c r="Q84" s="485"/>
      <c r="R84" s="485"/>
      <c r="S84" s="485"/>
      <c r="T84" s="1172"/>
      <c r="U84" s="1172"/>
      <c r="V84" s="1172"/>
    </row>
    <row r="85" spans="1:22" ht="15.75" customHeight="1">
      <c r="A85" s="479"/>
      <c r="B85" s="417"/>
      <c r="C85" s="401"/>
      <c r="D85" s="401"/>
      <c r="E85" s="401"/>
      <c r="F85" s="401"/>
      <c r="G85" s="401"/>
      <c r="H85" s="401"/>
      <c r="I85" s="401"/>
      <c r="J85" s="401"/>
      <c r="K85" s="401"/>
      <c r="L85" s="401"/>
      <c r="M85" s="474">
        <f>SUM(M84:M84)</f>
        <v>0.42000000000000004</v>
      </c>
      <c r="N85" s="802" t="s">
        <v>103</v>
      </c>
      <c r="O85" s="485"/>
      <c r="P85" s="779"/>
      <c r="Q85" s="485"/>
      <c r="R85" s="485"/>
      <c r="S85" s="485"/>
      <c r="T85" s="1172"/>
      <c r="U85" s="1172"/>
      <c r="V85" s="1172"/>
    </row>
    <row r="86" spans="1:22" ht="15.75" customHeight="1">
      <c r="A86" s="479" t="s">
        <v>98</v>
      </c>
      <c r="B86" s="417" t="s">
        <v>400</v>
      </c>
      <c r="C86" s="401"/>
      <c r="D86" s="401"/>
      <c r="E86" s="401"/>
      <c r="F86" s="401"/>
      <c r="G86" s="401"/>
      <c r="H86" s="401"/>
      <c r="I86" s="401"/>
      <c r="J86" s="401"/>
      <c r="K86" s="401"/>
      <c r="L86" s="401"/>
      <c r="M86" s="474"/>
      <c r="N86" s="802"/>
      <c r="O86" s="485"/>
      <c r="P86" s="779"/>
      <c r="Q86" s="485"/>
      <c r="R86" s="485"/>
      <c r="S86" s="485"/>
      <c r="T86" s="1172"/>
      <c r="U86" s="1172"/>
      <c r="V86" s="1172"/>
    </row>
    <row r="87" spans="1:22" ht="15.75" customHeight="1">
      <c r="A87" s="479"/>
      <c r="B87" s="803" t="str">
        <f>B84</f>
        <v>vertikale</v>
      </c>
      <c r="C87" s="401">
        <f>C84</f>
        <v>12</v>
      </c>
      <c r="D87" s="401">
        <f>D84</f>
        <v>0.25</v>
      </c>
      <c r="E87" s="401">
        <v>0.03</v>
      </c>
      <c r="F87" s="401"/>
      <c r="G87" s="401"/>
      <c r="H87" s="401"/>
      <c r="I87" s="401"/>
      <c r="J87" s="401"/>
      <c r="K87" s="401"/>
      <c r="L87" s="401">
        <f>L84</f>
        <v>2</v>
      </c>
      <c r="M87" s="330">
        <f>C87*D87*E87*L87</f>
        <v>0.18</v>
      </c>
      <c r="N87" s="802"/>
      <c r="O87" s="485"/>
      <c r="P87" s="779"/>
      <c r="Q87" s="485"/>
      <c r="R87" s="485"/>
      <c r="S87" s="485"/>
      <c r="T87" s="1172"/>
      <c r="U87" s="1172"/>
      <c r="V87" s="1172"/>
    </row>
    <row r="88" spans="1:22" ht="15.75" customHeight="1">
      <c r="A88" s="479"/>
      <c r="B88" s="417"/>
      <c r="C88" s="401"/>
      <c r="D88" s="401"/>
      <c r="E88" s="401"/>
      <c r="F88" s="401"/>
      <c r="G88" s="401"/>
      <c r="H88" s="401"/>
      <c r="I88" s="401"/>
      <c r="J88" s="401"/>
      <c r="K88" s="401"/>
      <c r="L88" s="401"/>
      <c r="M88" s="474">
        <f>SUM(M87:M87)</f>
        <v>0.18</v>
      </c>
      <c r="N88" s="802" t="s">
        <v>103</v>
      </c>
      <c r="O88" s="485"/>
      <c r="P88" s="779"/>
      <c r="Q88" s="485"/>
      <c r="R88" s="485"/>
      <c r="S88" s="485"/>
      <c r="T88" s="1172"/>
      <c r="U88" s="1172"/>
      <c r="V88" s="1172"/>
    </row>
    <row r="89" spans="1:22" ht="15.75" customHeight="1">
      <c r="A89" s="479" t="s">
        <v>101</v>
      </c>
      <c r="B89" s="417" t="s">
        <v>1607</v>
      </c>
      <c r="C89" s="401"/>
      <c r="D89" s="401"/>
      <c r="E89" s="401"/>
      <c r="F89" s="401"/>
      <c r="G89" s="401"/>
      <c r="H89" s="401"/>
      <c r="I89" s="401"/>
      <c r="J89" s="401"/>
      <c r="K89" s="401"/>
      <c r="L89" s="401"/>
      <c r="M89" s="474"/>
      <c r="N89" s="802"/>
      <c r="O89" s="485"/>
      <c r="P89" s="779"/>
      <c r="Q89" s="485"/>
      <c r="R89" s="485"/>
      <c r="S89" s="485"/>
      <c r="T89" s="1172"/>
      <c r="U89" s="1172"/>
      <c r="V89" s="1172"/>
    </row>
    <row r="90" spans="1:22" ht="15.75" customHeight="1">
      <c r="A90" s="479"/>
      <c r="B90" s="803" t="str">
        <f>B87</f>
        <v>vertikale</v>
      </c>
      <c r="C90" s="401">
        <f>C87</f>
        <v>12</v>
      </c>
      <c r="D90" s="401"/>
      <c r="E90" s="401">
        <v>0.3</v>
      </c>
      <c r="F90" s="401"/>
      <c r="G90" s="401"/>
      <c r="H90" s="401">
        <v>2</v>
      </c>
      <c r="I90" s="401"/>
      <c r="J90" s="401"/>
      <c r="K90" s="401"/>
      <c r="L90" s="401">
        <f>L87/2</f>
        <v>1</v>
      </c>
      <c r="M90" s="330">
        <f>C90*E90*H90*L90</f>
        <v>7.1999999999999993</v>
      </c>
      <c r="N90" s="802"/>
      <c r="O90" s="485"/>
      <c r="P90" s="779"/>
      <c r="Q90" s="485"/>
      <c r="R90" s="485"/>
      <c r="S90" s="485"/>
      <c r="T90" s="1172"/>
      <c r="U90" s="1172"/>
      <c r="V90" s="1172"/>
    </row>
    <row r="91" spans="1:22" ht="15.75" customHeight="1">
      <c r="A91" s="479"/>
      <c r="B91" s="417"/>
      <c r="C91" s="401"/>
      <c r="D91" s="401"/>
      <c r="E91" s="401"/>
      <c r="F91" s="401"/>
      <c r="G91" s="401"/>
      <c r="H91" s="401"/>
      <c r="I91" s="401"/>
      <c r="J91" s="401"/>
      <c r="K91" s="401"/>
      <c r="L91" s="401"/>
      <c r="M91" s="474">
        <f>SUM(M90:M90)</f>
        <v>7.1999999999999993</v>
      </c>
      <c r="N91" s="802" t="s">
        <v>89</v>
      </c>
      <c r="O91" s="485"/>
      <c r="P91" s="779"/>
      <c r="Q91" s="485"/>
      <c r="R91" s="485"/>
      <c r="S91" s="485"/>
      <c r="T91" s="1172"/>
      <c r="U91" s="1172"/>
      <c r="V91" s="1172"/>
    </row>
    <row r="92" spans="1:22" ht="15.75" customHeight="1">
      <c r="A92" s="479" t="s">
        <v>121</v>
      </c>
      <c r="B92" s="417" t="s">
        <v>898</v>
      </c>
      <c r="C92" s="401"/>
      <c r="D92" s="401"/>
      <c r="E92" s="401"/>
      <c r="F92" s="401"/>
      <c r="G92" s="401"/>
      <c r="H92" s="401"/>
      <c r="I92" s="401"/>
      <c r="J92" s="401"/>
      <c r="K92" s="401"/>
      <c r="L92" s="401"/>
      <c r="M92" s="474"/>
      <c r="N92" s="802"/>
      <c r="O92" s="485"/>
      <c r="P92" s="779"/>
      <c r="Q92" s="485"/>
      <c r="R92" s="485"/>
      <c r="S92" s="485"/>
      <c r="T92" s="1172"/>
      <c r="U92" s="1172"/>
      <c r="V92" s="1172"/>
    </row>
    <row r="93" spans="1:22" ht="15.75" customHeight="1">
      <c r="A93" s="479"/>
      <c r="B93" s="803" t="str">
        <f>B90</f>
        <v>vertikale</v>
      </c>
      <c r="C93" s="401">
        <f>C90</f>
        <v>12</v>
      </c>
      <c r="D93" s="401"/>
      <c r="E93" s="401"/>
      <c r="F93" s="401">
        <f>13*13*0.006165</f>
        <v>1.041885</v>
      </c>
      <c r="G93" s="401"/>
      <c r="H93" s="401"/>
      <c r="I93" s="401"/>
      <c r="J93" s="401"/>
      <c r="K93" s="401">
        <v>5</v>
      </c>
      <c r="L93" s="401">
        <f>L87</f>
        <v>2</v>
      </c>
      <c r="M93" s="330">
        <f>C93*F93*K93*L93</f>
        <v>125.0262</v>
      </c>
      <c r="N93" s="802"/>
      <c r="O93" s="485"/>
      <c r="P93" s="779"/>
      <c r="Q93" s="485"/>
      <c r="R93" s="485"/>
      <c r="S93" s="485"/>
      <c r="T93" s="1172"/>
      <c r="U93" s="1172"/>
      <c r="V93" s="1172"/>
    </row>
    <row r="94" spans="1:22" ht="15.75" customHeight="1">
      <c r="A94" s="479"/>
      <c r="B94" s="417"/>
      <c r="C94" s="401"/>
      <c r="D94" s="401"/>
      <c r="E94" s="401"/>
      <c r="F94" s="401"/>
      <c r="G94" s="401"/>
      <c r="H94" s="401"/>
      <c r="I94" s="401"/>
      <c r="J94" s="401"/>
      <c r="K94" s="401"/>
      <c r="L94" s="401"/>
      <c r="M94" s="474">
        <f>SUM(M93:M93)</f>
        <v>125.0262</v>
      </c>
      <c r="N94" s="802" t="s">
        <v>100</v>
      </c>
      <c r="O94" s="485"/>
      <c r="P94" s="779"/>
      <c r="Q94" s="485"/>
      <c r="R94" s="485"/>
      <c r="S94" s="485"/>
      <c r="T94" s="1172"/>
      <c r="U94" s="1172"/>
      <c r="V94" s="1172"/>
    </row>
    <row r="95" spans="1:22" ht="15.75" customHeight="1">
      <c r="A95" s="479" t="s">
        <v>142</v>
      </c>
      <c r="B95" s="351" t="s">
        <v>428</v>
      </c>
      <c r="C95" s="401"/>
      <c r="D95" s="401"/>
      <c r="E95" s="401"/>
      <c r="F95" s="401"/>
      <c r="G95" s="401"/>
      <c r="H95" s="401"/>
      <c r="I95" s="401"/>
      <c r="J95" s="401"/>
      <c r="K95" s="401"/>
      <c r="L95" s="401"/>
      <c r="M95" s="474"/>
      <c r="N95" s="802"/>
      <c r="O95" s="485"/>
      <c r="P95" s="779"/>
      <c r="Q95" s="485"/>
      <c r="R95" s="485"/>
      <c r="S95" s="485"/>
      <c r="T95" s="1172"/>
      <c r="U95" s="1172"/>
      <c r="V95" s="1172"/>
    </row>
    <row r="96" spans="1:22" ht="15.75" customHeight="1">
      <c r="A96" s="479"/>
      <c r="B96" s="819" t="str">
        <f>B93</f>
        <v>vertikale</v>
      </c>
      <c r="C96" s="401">
        <f>(0.1+0.15)*2</f>
        <v>0.5</v>
      </c>
      <c r="D96" s="401"/>
      <c r="E96" s="401"/>
      <c r="F96" s="401">
        <f>8*8*0.006165</f>
        <v>0.39456000000000002</v>
      </c>
      <c r="G96" s="401">
        <f>0.05*2</f>
        <v>0.1</v>
      </c>
      <c r="H96" s="401"/>
      <c r="I96" s="401"/>
      <c r="J96" s="401"/>
      <c r="K96" s="401">
        <f>ROUNDDOWN((C93/0.125),0.5)</f>
        <v>96</v>
      </c>
      <c r="L96" s="401">
        <f>L93</f>
        <v>2</v>
      </c>
      <c r="M96" s="330">
        <f>(C96+G96)*F96*K96*L96</f>
        <v>45.453311999999997</v>
      </c>
      <c r="N96" s="802"/>
      <c r="O96" s="485"/>
      <c r="P96" s="779"/>
      <c r="Q96" s="485"/>
      <c r="R96" s="485"/>
      <c r="S96" s="485"/>
      <c r="T96" s="1172"/>
      <c r="U96" s="1172"/>
      <c r="V96" s="1172"/>
    </row>
    <row r="97" spans="1:22" ht="15.75" customHeight="1">
      <c r="A97" s="479"/>
      <c r="B97" s="356"/>
      <c r="C97" s="401"/>
      <c r="D97" s="401"/>
      <c r="E97" s="401"/>
      <c r="F97" s="401"/>
      <c r="G97" s="401"/>
      <c r="H97" s="401"/>
      <c r="I97" s="401"/>
      <c r="J97" s="401"/>
      <c r="K97" s="401"/>
      <c r="L97" s="401"/>
      <c r="M97" s="474">
        <f>SUM(M96:M96)</f>
        <v>45.453311999999997</v>
      </c>
      <c r="N97" s="802" t="s">
        <v>100</v>
      </c>
      <c r="O97" s="485"/>
      <c r="P97" s="779"/>
      <c r="Q97" s="485"/>
      <c r="R97" s="485"/>
      <c r="S97" s="485"/>
      <c r="T97" s="1172"/>
      <c r="U97" s="1172"/>
      <c r="V97" s="1172"/>
    </row>
    <row r="98" spans="1:22" ht="15.75" customHeight="1">
      <c r="A98" s="479" t="s">
        <v>217</v>
      </c>
      <c r="B98" s="356" t="s">
        <v>420</v>
      </c>
      <c r="C98" s="401"/>
      <c r="D98" s="401"/>
      <c r="E98" s="401"/>
      <c r="F98" s="401"/>
      <c r="G98" s="401"/>
      <c r="H98" s="401"/>
      <c r="I98" s="401"/>
      <c r="J98" s="401"/>
      <c r="K98" s="401"/>
      <c r="L98" s="401"/>
      <c r="M98" s="474"/>
      <c r="N98" s="802"/>
      <c r="O98" s="485"/>
      <c r="P98" s="779"/>
      <c r="Q98" s="485"/>
      <c r="R98" s="485"/>
      <c r="S98" s="485"/>
      <c r="T98" s="1172"/>
      <c r="U98" s="1172"/>
      <c r="V98" s="1172"/>
    </row>
    <row r="99" spans="1:22" ht="15.75" customHeight="1">
      <c r="A99" s="479"/>
      <c r="B99" s="803" t="str">
        <f>B96</f>
        <v>vertikale</v>
      </c>
      <c r="C99" s="401">
        <f>C93</f>
        <v>12</v>
      </c>
      <c r="D99" s="401">
        <v>0.25</v>
      </c>
      <c r="E99" s="401">
        <v>0.3</v>
      </c>
      <c r="F99" s="401"/>
      <c r="G99" s="401"/>
      <c r="H99" s="401"/>
      <c r="I99" s="401"/>
      <c r="J99" s="401"/>
      <c r="K99" s="401"/>
      <c r="L99" s="401">
        <f>L96</f>
        <v>2</v>
      </c>
      <c r="M99" s="330">
        <f>C99*D99*E99*L99</f>
        <v>1.7999999999999998</v>
      </c>
      <c r="N99" s="802"/>
      <c r="O99" s="485"/>
      <c r="P99" s="779"/>
      <c r="Q99" s="485"/>
      <c r="R99" s="485"/>
      <c r="S99" s="485"/>
      <c r="T99" s="1172"/>
      <c r="U99" s="1172"/>
      <c r="V99" s="1172"/>
    </row>
    <row r="100" spans="1:22" ht="15.75" customHeight="1">
      <c r="A100" s="479"/>
      <c r="B100" s="417"/>
      <c r="C100" s="401"/>
      <c r="D100" s="401"/>
      <c r="E100" s="401"/>
      <c r="F100" s="401"/>
      <c r="G100" s="401"/>
      <c r="H100" s="401"/>
      <c r="I100" s="401"/>
      <c r="J100" s="401"/>
      <c r="K100" s="401"/>
      <c r="L100" s="401"/>
      <c r="M100" s="474">
        <f>SUM(M99:M99)</f>
        <v>1.7999999999999998</v>
      </c>
      <c r="N100" s="802" t="s">
        <v>103</v>
      </c>
      <c r="O100" s="485"/>
      <c r="P100" s="779"/>
      <c r="Q100" s="485"/>
      <c r="R100" s="485"/>
      <c r="S100" s="485"/>
      <c r="T100" s="1172"/>
      <c r="U100" s="1172"/>
      <c r="V100" s="1172"/>
    </row>
    <row r="101" spans="1:22" ht="15.75" customHeight="1">
      <c r="A101" s="478">
        <f>A82+1</f>
        <v>6</v>
      </c>
      <c r="B101" s="417" t="s">
        <v>944</v>
      </c>
      <c r="C101" s="401"/>
      <c r="D101" s="401"/>
      <c r="E101" s="401"/>
      <c r="F101" s="401"/>
      <c r="G101" s="401"/>
      <c r="H101" s="401"/>
      <c r="I101" s="401"/>
      <c r="J101" s="401"/>
      <c r="K101" s="401"/>
      <c r="L101" s="401"/>
      <c r="M101" s="401"/>
      <c r="N101" s="805"/>
      <c r="O101" s="485"/>
      <c r="P101" s="779"/>
      <c r="Q101" s="485"/>
      <c r="R101" s="485"/>
      <c r="S101" s="485"/>
      <c r="T101" s="1172"/>
      <c r="U101" s="1172"/>
      <c r="V101" s="1172"/>
    </row>
    <row r="102" spans="1:22" ht="15.75" customHeight="1">
      <c r="A102" s="479" t="s">
        <v>95</v>
      </c>
      <c r="B102" s="417" t="s">
        <v>1607</v>
      </c>
      <c r="C102" s="401"/>
      <c r="D102" s="401"/>
      <c r="E102" s="401"/>
      <c r="F102" s="401"/>
      <c r="G102" s="401"/>
      <c r="H102" s="401"/>
      <c r="I102" s="401"/>
      <c r="J102" s="401"/>
      <c r="K102" s="401"/>
      <c r="L102" s="401"/>
      <c r="M102" s="401"/>
      <c r="N102" s="805"/>
      <c r="O102" s="485"/>
      <c r="P102" s="779"/>
      <c r="Q102" s="485"/>
      <c r="R102" s="485"/>
      <c r="S102" s="485"/>
      <c r="T102" s="1172"/>
      <c r="U102" s="1172"/>
      <c r="V102" s="1172"/>
    </row>
    <row r="103" spans="1:22" ht="15.75" customHeight="1">
      <c r="A103" s="479"/>
      <c r="B103" s="1186"/>
      <c r="C103" s="401">
        <f>C99+(1.125*2)</f>
        <v>14.25</v>
      </c>
      <c r="D103" s="401"/>
      <c r="E103" s="401">
        <v>0.2</v>
      </c>
      <c r="F103" s="401"/>
      <c r="G103" s="401"/>
      <c r="H103" s="401">
        <v>2</v>
      </c>
      <c r="I103" s="401"/>
      <c r="J103" s="401"/>
      <c r="K103" s="401">
        <v>2</v>
      </c>
      <c r="L103" s="401">
        <v>2</v>
      </c>
      <c r="M103" s="401">
        <f>C103*E103*H103*K103*L103</f>
        <v>22.8</v>
      </c>
      <c r="N103" s="805"/>
      <c r="O103" s="485"/>
      <c r="P103" s="779"/>
      <c r="Q103" s="485"/>
      <c r="R103" s="485"/>
      <c r="S103" s="485"/>
      <c r="T103" s="1172"/>
      <c r="U103" s="1172"/>
      <c r="V103" s="1172"/>
    </row>
    <row r="104" spans="1:22" ht="15.75" customHeight="1">
      <c r="A104" s="479"/>
      <c r="B104" s="417"/>
      <c r="C104" s="401"/>
      <c r="D104" s="401"/>
      <c r="E104" s="401"/>
      <c r="F104" s="401"/>
      <c r="G104" s="401"/>
      <c r="H104" s="401"/>
      <c r="I104" s="401"/>
      <c r="J104" s="401"/>
      <c r="K104" s="401"/>
      <c r="L104" s="401"/>
      <c r="M104" s="474">
        <f>SUM(M103:M103)</f>
        <v>22.8</v>
      </c>
      <c r="N104" s="802" t="s">
        <v>89</v>
      </c>
      <c r="O104" s="485"/>
      <c r="P104" s="779"/>
      <c r="Q104" s="485"/>
      <c r="R104" s="485"/>
      <c r="S104" s="485"/>
      <c r="T104" s="1172"/>
      <c r="U104" s="1172"/>
      <c r="V104" s="1172"/>
    </row>
    <row r="105" spans="1:22" ht="15.75" customHeight="1">
      <c r="A105" s="479" t="s">
        <v>98</v>
      </c>
      <c r="B105" s="417" t="s">
        <v>900</v>
      </c>
      <c r="C105" s="401"/>
      <c r="D105" s="401"/>
      <c r="E105" s="401"/>
      <c r="F105" s="401"/>
      <c r="G105" s="401"/>
      <c r="H105" s="401"/>
      <c r="I105" s="401"/>
      <c r="J105" s="401"/>
      <c r="K105" s="401"/>
      <c r="L105" s="401"/>
      <c r="M105" s="401"/>
      <c r="N105" s="805"/>
      <c r="O105" s="485"/>
      <c r="P105" s="779"/>
      <c r="Q105" s="485"/>
      <c r="R105" s="485"/>
      <c r="S105" s="485"/>
      <c r="T105" s="1172"/>
      <c r="U105" s="1172"/>
      <c r="V105" s="1172"/>
    </row>
    <row r="106" spans="1:22" ht="15.75" customHeight="1">
      <c r="A106" s="479"/>
      <c r="B106" s="1186"/>
      <c r="C106" s="401">
        <f>C103</f>
        <v>14.25</v>
      </c>
      <c r="D106" s="401"/>
      <c r="E106" s="401"/>
      <c r="F106" s="401">
        <f>13*13*0.006165</f>
        <v>1.041885</v>
      </c>
      <c r="G106" s="401"/>
      <c r="H106" s="401">
        <v>2</v>
      </c>
      <c r="I106" s="401"/>
      <c r="J106" s="401"/>
      <c r="K106" s="401">
        <v>4</v>
      </c>
      <c r="L106" s="401">
        <f>L103</f>
        <v>2</v>
      </c>
      <c r="M106" s="401">
        <f>C106*F106*H106*K106*L106</f>
        <v>237.54978</v>
      </c>
      <c r="N106" s="805"/>
      <c r="O106" s="485"/>
      <c r="P106" s="779"/>
      <c r="Q106" s="485"/>
      <c r="R106" s="485"/>
      <c r="S106" s="485"/>
      <c r="T106" s="1172"/>
      <c r="U106" s="1172"/>
      <c r="V106" s="1172"/>
    </row>
    <row r="107" spans="1:22" ht="15.75" customHeight="1">
      <c r="A107" s="479"/>
      <c r="B107" s="417"/>
      <c r="C107" s="401"/>
      <c r="D107" s="401"/>
      <c r="E107" s="401"/>
      <c r="F107" s="401"/>
      <c r="G107" s="401"/>
      <c r="H107" s="401"/>
      <c r="I107" s="401"/>
      <c r="J107" s="401"/>
      <c r="K107" s="401"/>
      <c r="L107" s="401"/>
      <c r="M107" s="474">
        <f>SUM(M106:M106)</f>
        <v>237.54978</v>
      </c>
      <c r="N107" s="802" t="s">
        <v>100</v>
      </c>
      <c r="O107" s="485"/>
      <c r="P107" s="779"/>
      <c r="Q107" s="485"/>
      <c r="R107" s="485"/>
      <c r="S107" s="485"/>
      <c r="T107" s="1172"/>
      <c r="U107" s="1172"/>
      <c r="V107" s="1172"/>
    </row>
    <row r="108" spans="1:22" ht="15.75" customHeight="1">
      <c r="A108" s="479" t="s">
        <v>101</v>
      </c>
      <c r="B108" s="351" t="s">
        <v>428</v>
      </c>
      <c r="C108" s="401"/>
      <c r="D108" s="401"/>
      <c r="E108" s="401"/>
      <c r="F108" s="401"/>
      <c r="G108" s="401"/>
      <c r="H108" s="401"/>
      <c r="I108" s="401"/>
      <c r="J108" s="401"/>
      <c r="K108" s="401"/>
      <c r="L108" s="401"/>
      <c r="M108" s="401"/>
      <c r="N108" s="805"/>
      <c r="O108" s="485"/>
      <c r="P108" s="779"/>
      <c r="Q108" s="485"/>
      <c r="R108" s="485"/>
      <c r="S108" s="485"/>
      <c r="T108" s="1172"/>
      <c r="U108" s="1172"/>
      <c r="V108" s="1172"/>
    </row>
    <row r="109" spans="1:22" ht="15.75" customHeight="1">
      <c r="A109" s="479"/>
      <c r="B109" s="1186"/>
      <c r="C109" s="401">
        <f>(0.07+0.12)*2</f>
        <v>0.38</v>
      </c>
      <c r="D109" s="401"/>
      <c r="E109" s="401"/>
      <c r="F109" s="401">
        <f>8*8*0.006165</f>
        <v>0.39456000000000002</v>
      </c>
      <c r="G109" s="401">
        <v>0.1</v>
      </c>
      <c r="H109" s="401">
        <f>H106</f>
        <v>2</v>
      </c>
      <c r="I109" s="401"/>
      <c r="J109" s="401"/>
      <c r="K109" s="401">
        <f>ROUNDUP((C106/0.125),0.5)</f>
        <v>114</v>
      </c>
      <c r="L109" s="401">
        <f>L106</f>
        <v>2</v>
      </c>
      <c r="M109" s="401">
        <f>(C109+G109)*F109*H109*K109*L109</f>
        <v>86.361292800000001</v>
      </c>
      <c r="N109" s="805"/>
      <c r="O109" s="485"/>
      <c r="P109" s="779"/>
      <c r="Q109" s="485"/>
      <c r="R109" s="485"/>
      <c r="S109" s="485"/>
      <c r="T109" s="1172"/>
      <c r="U109" s="1172"/>
      <c r="V109" s="1172"/>
    </row>
    <row r="110" spans="1:22" ht="15.75" customHeight="1">
      <c r="A110" s="479"/>
      <c r="B110" s="417"/>
      <c r="C110" s="401"/>
      <c r="D110" s="401"/>
      <c r="E110" s="401"/>
      <c r="F110" s="401"/>
      <c r="G110" s="401"/>
      <c r="H110" s="401"/>
      <c r="I110" s="401"/>
      <c r="J110" s="401"/>
      <c r="K110" s="401"/>
      <c r="L110" s="401"/>
      <c r="M110" s="474">
        <f>SUM(M109:M109)</f>
        <v>86.361292800000001</v>
      </c>
      <c r="N110" s="802" t="s">
        <v>100</v>
      </c>
      <c r="O110" s="485"/>
      <c r="P110" s="779"/>
      <c r="Q110" s="485"/>
      <c r="R110" s="485"/>
      <c r="S110" s="485"/>
      <c r="T110" s="1172"/>
      <c r="U110" s="1172"/>
      <c r="V110" s="1172"/>
    </row>
    <row r="111" spans="1:22" ht="15.75" customHeight="1">
      <c r="A111" s="479"/>
      <c r="B111" s="356" t="s">
        <v>945</v>
      </c>
      <c r="C111" s="330"/>
      <c r="D111" s="330"/>
      <c r="E111" s="330"/>
      <c r="F111" s="330"/>
      <c r="G111" s="330"/>
      <c r="H111" s="330"/>
      <c r="I111" s="330"/>
      <c r="J111" s="330"/>
      <c r="K111" s="330"/>
      <c r="L111" s="330"/>
      <c r="M111" s="401"/>
      <c r="N111" s="349"/>
      <c r="O111" s="784"/>
      <c r="P111" s="485"/>
      <c r="Q111" s="485"/>
      <c r="R111" s="485"/>
      <c r="S111" s="1172"/>
      <c r="T111" s="1172"/>
      <c r="U111" s="1172"/>
    </row>
    <row r="112" spans="1:22" ht="15.75" customHeight="1">
      <c r="A112" s="479"/>
      <c r="B112" s="567" t="s">
        <v>1111</v>
      </c>
      <c r="C112" s="330">
        <f>C103</f>
        <v>14.25</v>
      </c>
      <c r="D112" s="330"/>
      <c r="E112" s="330"/>
      <c r="F112" s="330"/>
      <c r="G112" s="330"/>
      <c r="H112" s="330"/>
      <c r="I112" s="330"/>
      <c r="J112" s="330"/>
      <c r="K112" s="330"/>
      <c r="L112" s="330">
        <f>L106</f>
        <v>2</v>
      </c>
      <c r="M112" s="401">
        <f>C112*L112</f>
        <v>28.5</v>
      </c>
      <c r="N112" s="349"/>
      <c r="O112" s="784"/>
      <c r="P112" s="485"/>
      <c r="Q112" s="485"/>
      <c r="R112" s="485"/>
      <c r="S112" s="1172"/>
      <c r="T112" s="1172"/>
      <c r="U112" s="1172"/>
    </row>
    <row r="113" spans="1:22" ht="15.75" customHeight="1">
      <c r="A113" s="479"/>
      <c r="B113" s="567"/>
      <c r="C113" s="330"/>
      <c r="D113" s="330"/>
      <c r="E113" s="330"/>
      <c r="F113" s="330"/>
      <c r="G113" s="330"/>
      <c r="H113" s="330"/>
      <c r="I113" s="330"/>
      <c r="J113" s="330"/>
      <c r="K113" s="330"/>
      <c r="L113" s="330"/>
      <c r="M113" s="401">
        <f>SUM(M112:M112)</f>
        <v>28.5</v>
      </c>
      <c r="N113" s="349" t="s">
        <v>117</v>
      </c>
      <c r="O113" s="784"/>
      <c r="P113" s="485"/>
      <c r="Q113" s="485"/>
      <c r="R113" s="485"/>
      <c r="S113" s="1172"/>
      <c r="T113" s="1172"/>
      <c r="U113" s="1172"/>
    </row>
    <row r="114" spans="1:22" ht="15.75" customHeight="1">
      <c r="A114" s="479"/>
      <c r="B114" s="567"/>
      <c r="C114" s="330">
        <f>M113</f>
        <v>28.5</v>
      </c>
      <c r="D114" s="330">
        <v>0.5</v>
      </c>
      <c r="E114" s="330"/>
      <c r="F114" s="330"/>
      <c r="G114" s="330"/>
      <c r="H114" s="330"/>
      <c r="I114" s="330"/>
      <c r="J114" s="330"/>
      <c r="K114" s="330"/>
      <c r="L114" s="330"/>
      <c r="M114" s="474">
        <f>ROUNDDOWN((C114/D114),0.5)</f>
        <v>57</v>
      </c>
      <c r="N114" s="416" t="s">
        <v>124</v>
      </c>
      <c r="O114" s="784">
        <f>ROUND((M114),2)</f>
        <v>57</v>
      </c>
      <c r="P114" s="485"/>
      <c r="Q114" s="485"/>
      <c r="R114" s="485"/>
      <c r="S114" s="1172"/>
      <c r="T114" s="1172"/>
      <c r="U114" s="1172"/>
    </row>
    <row r="115" spans="1:22" ht="15.75" customHeight="1">
      <c r="A115" s="479" t="s">
        <v>121</v>
      </c>
      <c r="B115" s="417" t="s">
        <v>102</v>
      </c>
      <c r="C115" s="401"/>
      <c r="D115" s="401"/>
      <c r="E115" s="401"/>
      <c r="F115" s="401"/>
      <c r="G115" s="401"/>
      <c r="H115" s="401"/>
      <c r="I115" s="401"/>
      <c r="J115" s="401"/>
      <c r="K115" s="401"/>
      <c r="L115" s="401"/>
      <c r="M115" s="401"/>
      <c r="N115" s="805"/>
      <c r="O115" s="485"/>
      <c r="P115" s="779"/>
      <c r="Q115" s="485"/>
      <c r="R115" s="485"/>
      <c r="S115" s="485"/>
      <c r="T115" s="1172"/>
      <c r="U115" s="1172"/>
      <c r="V115" s="1172"/>
    </row>
    <row r="116" spans="1:22" ht="15.75" customHeight="1">
      <c r="A116" s="479"/>
      <c r="B116" s="1186" t="s">
        <v>1044</v>
      </c>
      <c r="C116" s="401">
        <f>C106</f>
        <v>14.25</v>
      </c>
      <c r="D116" s="401">
        <v>0.15</v>
      </c>
      <c r="E116" s="401">
        <v>0.2</v>
      </c>
      <c r="F116" s="401"/>
      <c r="G116" s="401"/>
      <c r="H116" s="401">
        <f>H109</f>
        <v>2</v>
      </c>
      <c r="I116" s="401"/>
      <c r="J116" s="401"/>
      <c r="K116" s="401"/>
      <c r="L116" s="401">
        <f>L109</f>
        <v>2</v>
      </c>
      <c r="M116" s="401">
        <f>C116*D116*E116*H116*L116</f>
        <v>1.71</v>
      </c>
      <c r="N116" s="805"/>
      <c r="O116" s="485"/>
      <c r="P116" s="779"/>
      <c r="Q116" s="485"/>
      <c r="R116" s="485"/>
      <c r="S116" s="485"/>
      <c r="T116" s="1172"/>
      <c r="U116" s="1172"/>
      <c r="V116" s="1172"/>
    </row>
    <row r="117" spans="1:22" ht="15.75" customHeight="1">
      <c r="A117" s="479"/>
      <c r="B117" s="417"/>
      <c r="C117" s="401"/>
      <c r="D117" s="401"/>
      <c r="E117" s="401"/>
      <c r="F117" s="401"/>
      <c r="G117" s="401"/>
      <c r="H117" s="401"/>
      <c r="I117" s="401"/>
      <c r="J117" s="401"/>
      <c r="K117" s="401"/>
      <c r="L117" s="401"/>
      <c r="M117" s="474">
        <f>SUM(M116:M116)</f>
        <v>1.71</v>
      </c>
      <c r="N117" s="802" t="s">
        <v>103</v>
      </c>
      <c r="O117" s="485"/>
      <c r="P117" s="779"/>
      <c r="Q117" s="485"/>
      <c r="R117" s="485"/>
      <c r="S117" s="485"/>
      <c r="T117" s="1172"/>
      <c r="U117" s="1172"/>
      <c r="V117" s="1172"/>
    </row>
    <row r="118" spans="1:22" ht="15.75" customHeight="1">
      <c r="A118" s="478">
        <f>A101+1</f>
        <v>7</v>
      </c>
      <c r="B118" s="417" t="s">
        <v>1083</v>
      </c>
      <c r="C118" s="401"/>
      <c r="D118" s="401"/>
      <c r="E118" s="401"/>
      <c r="F118" s="401"/>
      <c r="G118" s="401"/>
      <c r="H118" s="401"/>
      <c r="I118" s="401"/>
      <c r="J118" s="401"/>
      <c r="K118" s="401"/>
      <c r="L118" s="401"/>
      <c r="M118" s="401"/>
      <c r="N118" s="805"/>
      <c r="O118" s="485"/>
      <c r="P118" s="779"/>
      <c r="Q118" s="485"/>
      <c r="R118" s="485"/>
      <c r="S118" s="485"/>
      <c r="T118" s="1172"/>
      <c r="U118" s="1172"/>
      <c r="V118" s="1172"/>
    </row>
    <row r="119" spans="1:22" ht="15.75" customHeight="1">
      <c r="A119" s="479" t="s">
        <v>95</v>
      </c>
      <c r="B119" s="417" t="s">
        <v>211</v>
      </c>
      <c r="C119" s="401"/>
      <c r="D119" s="401"/>
      <c r="E119" s="401"/>
      <c r="F119" s="401"/>
      <c r="G119" s="401"/>
      <c r="H119" s="401"/>
      <c r="I119" s="401"/>
      <c r="J119" s="401"/>
      <c r="K119" s="401"/>
      <c r="L119" s="401"/>
      <c r="M119" s="401"/>
      <c r="N119" s="805"/>
      <c r="O119" s="485"/>
      <c r="P119" s="779"/>
      <c r="Q119" s="485"/>
      <c r="R119" s="485"/>
      <c r="S119" s="485"/>
      <c r="T119" s="1172"/>
      <c r="U119" s="1172"/>
      <c r="V119" s="1172"/>
    </row>
    <row r="120" spans="1:22" ht="15.75" customHeight="1">
      <c r="A120" s="479"/>
      <c r="B120" s="1186" t="s">
        <v>1044</v>
      </c>
      <c r="C120" s="401">
        <f>C54</f>
        <v>12</v>
      </c>
      <c r="D120" s="401"/>
      <c r="E120" s="401">
        <v>0.15</v>
      </c>
      <c r="F120" s="401"/>
      <c r="G120" s="401"/>
      <c r="H120" s="401">
        <v>2</v>
      </c>
      <c r="I120" s="401"/>
      <c r="J120" s="401"/>
      <c r="K120" s="401"/>
      <c r="L120" s="401"/>
      <c r="M120" s="401">
        <f>C120*E120*H120</f>
        <v>3.5999999999999996</v>
      </c>
      <c r="N120" s="805"/>
      <c r="O120" s="485"/>
      <c r="P120" s="779"/>
      <c r="Q120" s="485"/>
      <c r="R120" s="485"/>
      <c r="S120" s="485"/>
      <c r="T120" s="1172"/>
      <c r="U120" s="1172"/>
      <c r="V120" s="1172"/>
    </row>
    <row r="121" spans="1:22" ht="15.75" customHeight="1">
      <c r="A121" s="479"/>
      <c r="B121" s="1186" t="s">
        <v>136</v>
      </c>
      <c r="C121" s="401">
        <f>C55</f>
        <v>5</v>
      </c>
      <c r="D121" s="401"/>
      <c r="E121" s="401">
        <f>E120</f>
        <v>0.15</v>
      </c>
      <c r="F121" s="401"/>
      <c r="G121" s="401"/>
      <c r="H121" s="401">
        <f>H120</f>
        <v>2</v>
      </c>
      <c r="I121" s="401"/>
      <c r="J121" s="401"/>
      <c r="K121" s="401"/>
      <c r="L121" s="401"/>
      <c r="M121" s="752">
        <f>C121*E121*H121</f>
        <v>1.5</v>
      </c>
      <c r="N121" s="805"/>
      <c r="O121" s="485"/>
      <c r="P121" s="779"/>
      <c r="Q121" s="485"/>
      <c r="R121" s="485"/>
      <c r="S121" s="485"/>
      <c r="T121" s="1172"/>
      <c r="U121" s="1172"/>
      <c r="V121" s="1172"/>
    </row>
    <row r="122" spans="1:22" ht="15.75" customHeight="1">
      <c r="A122" s="479"/>
      <c r="B122" s="417"/>
      <c r="C122" s="401"/>
      <c r="D122" s="401"/>
      <c r="E122" s="401"/>
      <c r="F122" s="401"/>
      <c r="G122" s="401"/>
      <c r="H122" s="401"/>
      <c r="I122" s="401"/>
      <c r="J122" s="401"/>
      <c r="K122" s="401"/>
      <c r="L122" s="401"/>
      <c r="M122" s="474">
        <f>SUM(M120:M121)</f>
        <v>5.0999999999999996</v>
      </c>
      <c r="N122" s="802" t="s">
        <v>89</v>
      </c>
      <c r="O122" s="485"/>
      <c r="P122" s="779"/>
      <c r="Q122" s="485"/>
      <c r="R122" s="485"/>
      <c r="S122" s="485"/>
      <c r="T122" s="1172"/>
      <c r="U122" s="1172"/>
      <c r="V122" s="1172"/>
    </row>
    <row r="123" spans="1:22" ht="15.75" customHeight="1">
      <c r="A123" s="479" t="s">
        <v>98</v>
      </c>
      <c r="B123" s="417" t="s">
        <v>947</v>
      </c>
      <c r="C123" s="401">
        <f>C120</f>
        <v>12</v>
      </c>
      <c r="D123" s="401">
        <f>C121</f>
        <v>5</v>
      </c>
      <c r="E123" s="401"/>
      <c r="F123" s="401"/>
      <c r="G123" s="401"/>
      <c r="H123" s="401">
        <v>1</v>
      </c>
      <c r="I123" s="401"/>
      <c r="J123" s="401"/>
      <c r="K123" s="401"/>
      <c r="L123" s="401"/>
      <c r="M123" s="401">
        <f>C123*D123*H123</f>
        <v>60</v>
      </c>
      <c r="N123" s="805" t="s">
        <v>89</v>
      </c>
      <c r="O123" s="485"/>
      <c r="P123" s="779"/>
      <c r="Q123" s="485"/>
      <c r="R123" s="485"/>
      <c r="S123" s="485"/>
      <c r="T123" s="1172"/>
      <c r="U123" s="1172"/>
      <c r="V123" s="1172"/>
    </row>
    <row r="124" spans="1:22" ht="15.75" customHeight="1">
      <c r="A124" s="479" t="s">
        <v>101</v>
      </c>
      <c r="B124" s="417" t="s">
        <v>102</v>
      </c>
      <c r="C124" s="401">
        <f>C123</f>
        <v>12</v>
      </c>
      <c r="D124" s="401">
        <f>D123</f>
        <v>5</v>
      </c>
      <c r="E124" s="401">
        <f>E121</f>
        <v>0.15</v>
      </c>
      <c r="F124" s="401"/>
      <c r="G124" s="401"/>
      <c r="H124" s="401"/>
      <c r="I124" s="401"/>
      <c r="J124" s="401"/>
      <c r="K124" s="401"/>
      <c r="L124" s="401"/>
      <c r="M124" s="401">
        <f>C124*D124*E124</f>
        <v>9</v>
      </c>
      <c r="N124" s="805" t="s">
        <v>103</v>
      </c>
      <c r="O124" s="485"/>
      <c r="P124" s="779"/>
      <c r="Q124" s="485"/>
      <c r="R124" s="485"/>
      <c r="S124" s="485"/>
      <c r="T124" s="1172"/>
      <c r="U124" s="1172"/>
      <c r="V124" s="1172"/>
    </row>
    <row r="125" spans="1:22" ht="15.75" customHeight="1">
      <c r="A125" s="478">
        <f>A118+1</f>
        <v>8</v>
      </c>
      <c r="B125" s="417" t="s">
        <v>949</v>
      </c>
      <c r="C125" s="474">
        <f>E126+I126</f>
        <v>4.4800000000000004</v>
      </c>
      <c r="D125" s="474" t="s">
        <v>1608</v>
      </c>
      <c r="E125" s="401"/>
      <c r="F125" s="401"/>
      <c r="G125" s="401"/>
      <c r="H125" s="401"/>
      <c r="I125" s="401"/>
      <c r="J125" s="401"/>
      <c r="K125" s="401"/>
      <c r="L125" s="401"/>
      <c r="M125" s="401"/>
      <c r="N125" s="805"/>
      <c r="O125" s="485"/>
      <c r="P125" s="779"/>
      <c r="Q125" s="485"/>
      <c r="R125" s="485"/>
      <c r="S125" s="485"/>
      <c r="T125" s="1172"/>
      <c r="U125" s="1172"/>
      <c r="V125" s="1172"/>
    </row>
    <row r="126" spans="1:22" ht="15.75" customHeight="1">
      <c r="A126" s="479" t="s">
        <v>95</v>
      </c>
      <c r="B126" s="417" t="s">
        <v>1522</v>
      </c>
      <c r="C126" s="431"/>
      <c r="D126" s="431">
        <v>0.25</v>
      </c>
      <c r="E126" s="431">
        <v>3.58</v>
      </c>
      <c r="F126" s="431"/>
      <c r="G126" s="431"/>
      <c r="H126" s="431">
        <v>4</v>
      </c>
      <c r="I126" s="431">
        <v>0.9</v>
      </c>
      <c r="J126" s="431"/>
      <c r="K126" s="431"/>
      <c r="L126" s="431">
        <v>12</v>
      </c>
      <c r="M126" s="401">
        <f>D126*(E126+I126)*H126*L126</f>
        <v>53.760000000000005</v>
      </c>
      <c r="N126" s="805" t="s">
        <v>89</v>
      </c>
      <c r="O126" s="485"/>
      <c r="P126" s="779"/>
      <c r="Q126" s="485"/>
      <c r="R126" s="485"/>
      <c r="S126" s="485"/>
      <c r="T126" s="1172"/>
      <c r="U126" s="1172"/>
      <c r="V126" s="1172"/>
    </row>
    <row r="127" spans="1:22" ht="15.75" customHeight="1">
      <c r="A127" s="479" t="s">
        <v>98</v>
      </c>
      <c r="B127" s="417" t="s">
        <v>902</v>
      </c>
      <c r="C127" s="431"/>
      <c r="D127" s="431"/>
      <c r="E127" s="431">
        <f>E126</f>
        <v>3.58</v>
      </c>
      <c r="F127" s="431">
        <f>13*13*0.006165</f>
        <v>1.041885</v>
      </c>
      <c r="G127" s="431">
        <v>0.25</v>
      </c>
      <c r="H127" s="431"/>
      <c r="I127" s="431">
        <f>I126</f>
        <v>0.9</v>
      </c>
      <c r="J127" s="431"/>
      <c r="K127" s="431">
        <v>8</v>
      </c>
      <c r="L127" s="431">
        <f>L126</f>
        <v>12</v>
      </c>
      <c r="M127" s="401">
        <f>(E127+G127+I127)*F127*K127*L127</f>
        <v>473.09914079999999</v>
      </c>
      <c r="N127" s="805" t="s">
        <v>100</v>
      </c>
      <c r="O127" s="485"/>
      <c r="P127" s="779"/>
      <c r="Q127" s="485"/>
      <c r="R127" s="485"/>
      <c r="S127" s="485"/>
      <c r="T127" s="1172"/>
      <c r="U127" s="1172"/>
      <c r="V127" s="1172"/>
    </row>
    <row r="128" spans="1:22" ht="15.75" customHeight="1">
      <c r="A128" s="479" t="s">
        <v>101</v>
      </c>
      <c r="B128" s="417" t="s">
        <v>899</v>
      </c>
      <c r="C128" s="431">
        <f>0.17*4</f>
        <v>0.68</v>
      </c>
      <c r="D128" s="431"/>
      <c r="E128" s="431"/>
      <c r="F128" s="431">
        <f>8*8*0.006165</f>
        <v>0.39456000000000002</v>
      </c>
      <c r="G128" s="431">
        <v>0.1</v>
      </c>
      <c r="H128" s="431"/>
      <c r="I128" s="431"/>
      <c r="J128" s="431"/>
      <c r="K128" s="431">
        <f>ROUNDUP((C125/0.125),0.5)+1</f>
        <v>37</v>
      </c>
      <c r="L128" s="431">
        <f>L127</f>
        <v>12</v>
      </c>
      <c r="M128" s="401">
        <f>(C128+G128)*F128*K128*L128</f>
        <v>136.6440192</v>
      </c>
      <c r="N128" s="805" t="s">
        <v>100</v>
      </c>
      <c r="O128" s="485"/>
      <c r="P128" s="779"/>
      <c r="Q128" s="485"/>
      <c r="R128" s="485"/>
      <c r="S128" s="485"/>
      <c r="T128" s="1172"/>
      <c r="U128" s="1172"/>
      <c r="V128" s="1172"/>
    </row>
    <row r="129" spans="1:22" ht="15.75" customHeight="1">
      <c r="A129" s="479" t="s">
        <v>121</v>
      </c>
      <c r="B129" s="417" t="s">
        <v>102</v>
      </c>
      <c r="C129" s="431">
        <v>0.25</v>
      </c>
      <c r="D129" s="431">
        <v>0.25</v>
      </c>
      <c r="E129" s="431">
        <f>E127</f>
        <v>3.58</v>
      </c>
      <c r="F129" s="431"/>
      <c r="G129" s="431"/>
      <c r="H129" s="431"/>
      <c r="I129" s="431">
        <f>I127</f>
        <v>0.9</v>
      </c>
      <c r="J129" s="431"/>
      <c r="K129" s="431"/>
      <c r="L129" s="431">
        <f>L128</f>
        <v>12</v>
      </c>
      <c r="M129" s="401">
        <f>C129*D129*(E129+I129)*L129</f>
        <v>3.3600000000000003</v>
      </c>
      <c r="N129" s="805" t="s">
        <v>103</v>
      </c>
      <c r="O129" s="485"/>
      <c r="P129" s="779"/>
      <c r="Q129" s="485"/>
      <c r="R129" s="485"/>
      <c r="S129" s="485"/>
      <c r="T129" s="1172"/>
      <c r="U129" s="1172"/>
      <c r="V129" s="1172"/>
    </row>
    <row r="130" spans="1:22" ht="15.75" customHeight="1">
      <c r="A130" s="478">
        <f>A125+1</f>
        <v>9</v>
      </c>
      <c r="B130" s="417" t="s">
        <v>422</v>
      </c>
      <c r="C130" s="401"/>
      <c r="D130" s="401"/>
      <c r="E130" s="401"/>
      <c r="F130" s="401"/>
      <c r="G130" s="401"/>
      <c r="H130" s="401"/>
      <c r="I130" s="401"/>
      <c r="J130" s="401"/>
      <c r="K130" s="401"/>
      <c r="L130" s="401"/>
      <c r="M130" s="401"/>
      <c r="N130" s="805"/>
      <c r="O130" s="485"/>
      <c r="P130" s="779"/>
      <c r="Q130" s="485"/>
      <c r="R130" s="485"/>
      <c r="S130" s="485"/>
      <c r="T130" s="1172"/>
      <c r="U130" s="1172"/>
      <c r="V130" s="1172"/>
    </row>
    <row r="131" spans="1:22" ht="15.75" customHeight="1">
      <c r="A131" s="479" t="s">
        <v>95</v>
      </c>
      <c r="B131" s="417" t="s">
        <v>1529</v>
      </c>
      <c r="C131" s="401"/>
      <c r="D131" s="401"/>
      <c r="E131" s="401"/>
      <c r="F131" s="401"/>
      <c r="G131" s="401"/>
      <c r="H131" s="401"/>
      <c r="I131" s="401"/>
      <c r="J131" s="401"/>
      <c r="K131" s="401"/>
      <c r="L131" s="401"/>
      <c r="M131" s="401"/>
      <c r="N131" s="805"/>
      <c r="O131" s="485"/>
      <c r="P131" s="779"/>
      <c r="Q131" s="485"/>
      <c r="R131" s="485"/>
      <c r="S131" s="485"/>
      <c r="T131" s="1172"/>
      <c r="U131" s="1172"/>
      <c r="V131" s="1172"/>
    </row>
    <row r="132" spans="1:22" ht="15.75" customHeight="1">
      <c r="A132" s="479"/>
      <c r="B132" s="1186" t="s">
        <v>1044</v>
      </c>
      <c r="C132" s="431">
        <v>12</v>
      </c>
      <c r="D132" s="431"/>
      <c r="E132" s="431">
        <v>0.35</v>
      </c>
      <c r="F132" s="431"/>
      <c r="G132" s="431"/>
      <c r="H132" s="431">
        <v>2</v>
      </c>
      <c r="I132" s="431"/>
      <c r="J132" s="431"/>
      <c r="K132" s="431"/>
      <c r="L132" s="431">
        <v>2</v>
      </c>
      <c r="M132" s="401">
        <f>C132*E132*H132*L132</f>
        <v>16.799999999999997</v>
      </c>
      <c r="N132" s="805"/>
      <c r="O132" s="485"/>
      <c r="P132" s="779"/>
      <c r="Q132" s="485"/>
      <c r="R132" s="485"/>
      <c r="S132" s="485"/>
      <c r="T132" s="1172"/>
      <c r="U132" s="1172"/>
      <c r="V132" s="1172"/>
    </row>
    <row r="133" spans="1:22" ht="15.75" customHeight="1">
      <c r="A133" s="479"/>
      <c r="B133" s="1186"/>
      <c r="C133" s="431">
        <v>12</v>
      </c>
      <c r="D133" s="431">
        <v>0.2</v>
      </c>
      <c r="E133" s="431"/>
      <c r="F133" s="431"/>
      <c r="G133" s="431"/>
      <c r="H133" s="431">
        <v>1</v>
      </c>
      <c r="I133" s="431"/>
      <c r="J133" s="431"/>
      <c r="K133" s="431"/>
      <c r="L133" s="431">
        <v>2</v>
      </c>
      <c r="M133" s="401">
        <f>C133*D133*H133*L133</f>
        <v>4.8000000000000007</v>
      </c>
      <c r="N133" s="805"/>
      <c r="O133" s="485"/>
      <c r="P133" s="779"/>
      <c r="Q133" s="485"/>
      <c r="R133" s="485"/>
      <c r="S133" s="485"/>
      <c r="T133" s="1172"/>
      <c r="U133" s="1172"/>
      <c r="V133" s="1172"/>
    </row>
    <row r="134" spans="1:22" ht="15.75" customHeight="1">
      <c r="A134" s="479"/>
      <c r="B134" s="1186" t="s">
        <v>136</v>
      </c>
      <c r="C134" s="431">
        <v>5</v>
      </c>
      <c r="D134" s="431"/>
      <c r="E134" s="431">
        <f>E132</f>
        <v>0.35</v>
      </c>
      <c r="F134" s="431"/>
      <c r="G134" s="431"/>
      <c r="H134" s="431">
        <f>H132</f>
        <v>2</v>
      </c>
      <c r="I134" s="431"/>
      <c r="J134" s="431"/>
      <c r="K134" s="431"/>
      <c r="L134" s="431">
        <v>2</v>
      </c>
      <c r="M134" s="401">
        <f>C134*E134*H134*L134</f>
        <v>7</v>
      </c>
      <c r="N134" s="805"/>
      <c r="O134" s="485"/>
      <c r="P134" s="779"/>
      <c r="Q134" s="485"/>
      <c r="R134" s="485"/>
      <c r="S134" s="485"/>
      <c r="T134" s="1172"/>
      <c r="U134" s="1172"/>
      <c r="V134" s="1172"/>
    </row>
    <row r="135" spans="1:22" ht="15.75" customHeight="1">
      <c r="A135" s="479"/>
      <c r="B135" s="1186"/>
      <c r="C135" s="431">
        <f>C134</f>
        <v>5</v>
      </c>
      <c r="D135" s="431">
        <f>D133</f>
        <v>0.2</v>
      </c>
      <c r="E135" s="431"/>
      <c r="F135" s="431"/>
      <c r="G135" s="431"/>
      <c r="H135" s="431">
        <v>1</v>
      </c>
      <c r="I135" s="431"/>
      <c r="J135" s="431"/>
      <c r="K135" s="431"/>
      <c r="L135" s="431">
        <f>L134</f>
        <v>2</v>
      </c>
      <c r="M135" s="752">
        <f>C135*D135*H135*L135</f>
        <v>2</v>
      </c>
      <c r="N135" s="805"/>
      <c r="O135" s="485"/>
      <c r="P135" s="779"/>
      <c r="Q135" s="485"/>
      <c r="R135" s="485"/>
      <c r="S135" s="485"/>
      <c r="T135" s="1172"/>
      <c r="U135" s="1172"/>
      <c r="V135" s="1172"/>
    </row>
    <row r="136" spans="1:22" ht="15.75" customHeight="1">
      <c r="A136" s="479"/>
      <c r="B136" s="417"/>
      <c r="C136" s="431"/>
      <c r="D136" s="431"/>
      <c r="E136" s="431"/>
      <c r="F136" s="431"/>
      <c r="G136" s="431"/>
      <c r="H136" s="431"/>
      <c r="I136" s="431"/>
      <c r="J136" s="431"/>
      <c r="K136" s="431"/>
      <c r="L136" s="431"/>
      <c r="M136" s="474">
        <f>SUM(M132:M135)</f>
        <v>30.599999999999998</v>
      </c>
      <c r="N136" s="802" t="s">
        <v>89</v>
      </c>
      <c r="O136" s="485"/>
      <c r="P136" s="779"/>
      <c r="Q136" s="485"/>
      <c r="R136" s="485"/>
      <c r="S136" s="485"/>
      <c r="T136" s="1172"/>
      <c r="U136" s="1172"/>
      <c r="V136" s="1172"/>
    </row>
    <row r="137" spans="1:22" ht="15.75" customHeight="1">
      <c r="A137" s="479" t="s">
        <v>98</v>
      </c>
      <c r="B137" s="417" t="s">
        <v>898</v>
      </c>
      <c r="C137" s="431"/>
      <c r="D137" s="431"/>
      <c r="E137" s="431"/>
      <c r="F137" s="431"/>
      <c r="G137" s="431"/>
      <c r="H137" s="431"/>
      <c r="I137" s="431"/>
      <c r="J137" s="431"/>
      <c r="K137" s="431"/>
      <c r="L137" s="431"/>
      <c r="M137" s="401"/>
      <c r="N137" s="805"/>
      <c r="O137" s="485"/>
      <c r="P137" s="779"/>
      <c r="Q137" s="485"/>
      <c r="R137" s="485"/>
      <c r="S137" s="485"/>
      <c r="T137" s="1172"/>
      <c r="U137" s="1172"/>
      <c r="V137" s="1172"/>
    </row>
    <row r="138" spans="1:22" ht="15.75" customHeight="1">
      <c r="A138" s="479"/>
      <c r="B138" s="1186" t="s">
        <v>1044</v>
      </c>
      <c r="C138" s="431">
        <f>C132</f>
        <v>12</v>
      </c>
      <c r="D138" s="431"/>
      <c r="E138" s="431"/>
      <c r="F138" s="431">
        <f>13*13*0.006165</f>
        <v>1.041885</v>
      </c>
      <c r="G138" s="431"/>
      <c r="H138" s="431"/>
      <c r="I138" s="431"/>
      <c r="J138" s="431"/>
      <c r="K138" s="431">
        <v>5</v>
      </c>
      <c r="L138" s="431">
        <f>L133</f>
        <v>2</v>
      </c>
      <c r="M138" s="401">
        <f>C138*F138*K138*L138</f>
        <v>125.0262</v>
      </c>
      <c r="N138" s="805"/>
      <c r="O138" s="485"/>
      <c r="P138" s="779"/>
      <c r="Q138" s="485"/>
      <c r="R138" s="485"/>
      <c r="S138" s="485"/>
      <c r="T138" s="1172"/>
      <c r="U138" s="1172"/>
      <c r="V138" s="1172"/>
    </row>
    <row r="139" spans="1:22" ht="15.75" customHeight="1">
      <c r="A139" s="479"/>
      <c r="B139" s="1186" t="s">
        <v>136</v>
      </c>
      <c r="C139" s="431">
        <f>C134</f>
        <v>5</v>
      </c>
      <c r="D139" s="431"/>
      <c r="E139" s="431"/>
      <c r="F139" s="431">
        <f>F138</f>
        <v>1.041885</v>
      </c>
      <c r="G139" s="431"/>
      <c r="H139" s="431"/>
      <c r="I139" s="431"/>
      <c r="J139" s="431"/>
      <c r="K139" s="431">
        <f>K138</f>
        <v>5</v>
      </c>
      <c r="L139" s="431">
        <f>L134</f>
        <v>2</v>
      </c>
      <c r="M139" s="752">
        <f>C139*F139*K139*L139</f>
        <v>52.094249999999995</v>
      </c>
      <c r="N139" s="805"/>
      <c r="O139" s="485"/>
      <c r="P139" s="779"/>
      <c r="Q139" s="485"/>
      <c r="R139" s="485"/>
      <c r="S139" s="485"/>
      <c r="T139" s="1172"/>
      <c r="U139" s="1172"/>
      <c r="V139" s="1172"/>
    </row>
    <row r="140" spans="1:22" ht="15.75" customHeight="1">
      <c r="A140" s="479"/>
      <c r="B140" s="417"/>
      <c r="C140" s="431"/>
      <c r="D140" s="431"/>
      <c r="E140" s="431"/>
      <c r="F140" s="431"/>
      <c r="G140" s="431"/>
      <c r="H140" s="431"/>
      <c r="I140" s="431"/>
      <c r="J140" s="431"/>
      <c r="K140" s="431"/>
      <c r="L140" s="431"/>
      <c r="M140" s="474">
        <f>TRUNC(M138+M139,2)</f>
        <v>177.12</v>
      </c>
      <c r="N140" s="802" t="s">
        <v>100</v>
      </c>
      <c r="O140" s="485"/>
      <c r="P140" s="779"/>
      <c r="Q140" s="485"/>
      <c r="R140" s="485"/>
      <c r="S140" s="485"/>
      <c r="T140" s="1172"/>
      <c r="U140" s="1172"/>
      <c r="V140" s="1172"/>
    </row>
    <row r="141" spans="1:22" ht="15.75" customHeight="1">
      <c r="A141" s="479" t="s">
        <v>101</v>
      </c>
      <c r="B141" s="351" t="s">
        <v>428</v>
      </c>
      <c r="C141" s="431"/>
      <c r="D141" s="431"/>
      <c r="E141" s="431"/>
      <c r="F141" s="431"/>
      <c r="G141" s="431"/>
      <c r="H141" s="431"/>
      <c r="I141" s="431"/>
      <c r="J141" s="431"/>
      <c r="K141" s="431"/>
      <c r="L141" s="431"/>
      <c r="M141" s="401"/>
      <c r="N141" s="805"/>
      <c r="O141" s="485"/>
      <c r="P141" s="779"/>
      <c r="Q141" s="485"/>
      <c r="R141" s="485"/>
      <c r="S141" s="485"/>
      <c r="T141" s="1172"/>
      <c r="U141" s="1172"/>
      <c r="V141" s="1172"/>
    </row>
    <row r="142" spans="1:22" ht="15.75" customHeight="1">
      <c r="A142" s="479"/>
      <c r="B142" s="1186" t="s">
        <v>1044</v>
      </c>
      <c r="C142" s="431">
        <f>(0.12+0.27)*2</f>
        <v>0.78</v>
      </c>
      <c r="D142" s="431"/>
      <c r="E142" s="431"/>
      <c r="F142" s="431">
        <f>8*8*0.006165</f>
        <v>0.39456000000000002</v>
      </c>
      <c r="G142" s="431">
        <v>0.1</v>
      </c>
      <c r="H142" s="431"/>
      <c r="I142" s="431"/>
      <c r="J142" s="431"/>
      <c r="K142" s="431">
        <f>ROUNDUP((C138/0.125),0.5)</f>
        <v>96</v>
      </c>
      <c r="L142" s="431">
        <f>L138</f>
        <v>2</v>
      </c>
      <c r="M142" s="401">
        <f>(C142+G142)*F142*K142*L142</f>
        <v>66.664857600000005</v>
      </c>
      <c r="N142" s="805"/>
      <c r="O142" s="485"/>
      <c r="P142" s="779"/>
      <c r="Q142" s="485"/>
      <c r="R142" s="485"/>
      <c r="S142" s="485"/>
      <c r="T142" s="1172"/>
      <c r="U142" s="1172"/>
      <c r="V142" s="1172"/>
    </row>
    <row r="143" spans="1:22" ht="15.75" customHeight="1">
      <c r="A143" s="479"/>
      <c r="B143" s="1186" t="s">
        <v>136</v>
      </c>
      <c r="C143" s="431">
        <f>C142</f>
        <v>0.78</v>
      </c>
      <c r="D143" s="431"/>
      <c r="E143" s="431"/>
      <c r="F143" s="431">
        <f>F142</f>
        <v>0.39456000000000002</v>
      </c>
      <c r="G143" s="431">
        <f>G142</f>
        <v>0.1</v>
      </c>
      <c r="H143" s="431"/>
      <c r="I143" s="431"/>
      <c r="J143" s="431"/>
      <c r="K143" s="431">
        <f>ROUNDUP((C139/0.125),0.5)</f>
        <v>40</v>
      </c>
      <c r="L143" s="431">
        <f>L139</f>
        <v>2</v>
      </c>
      <c r="M143" s="752">
        <f>(C143+G143)*F143*K143*L143</f>
        <v>27.777024000000004</v>
      </c>
      <c r="N143" s="805"/>
      <c r="O143" s="485"/>
      <c r="P143" s="779"/>
      <c r="Q143" s="485"/>
      <c r="R143" s="485"/>
      <c r="S143" s="485"/>
      <c r="T143" s="1172"/>
      <c r="U143" s="1172"/>
      <c r="V143" s="1172"/>
    </row>
    <row r="144" spans="1:22" ht="15.75" customHeight="1">
      <c r="A144" s="479"/>
      <c r="B144" s="417"/>
      <c r="C144" s="431"/>
      <c r="D144" s="431"/>
      <c r="E144" s="431"/>
      <c r="F144" s="431"/>
      <c r="G144" s="431"/>
      <c r="H144" s="431"/>
      <c r="I144" s="431"/>
      <c r="J144" s="431"/>
      <c r="K144" s="431"/>
      <c r="L144" s="431"/>
      <c r="M144" s="474">
        <f>TRUNC(M142+M143,2)</f>
        <v>94.44</v>
      </c>
      <c r="N144" s="802" t="s">
        <v>100</v>
      </c>
      <c r="O144" s="485"/>
      <c r="P144" s="779"/>
      <c r="Q144" s="485"/>
      <c r="R144" s="485"/>
      <c r="S144" s="485"/>
      <c r="T144" s="1172"/>
      <c r="U144" s="1172"/>
      <c r="V144" s="1172"/>
    </row>
    <row r="145" spans="1:22" ht="15.75" customHeight="1">
      <c r="A145" s="479" t="s">
        <v>121</v>
      </c>
      <c r="B145" s="417" t="s">
        <v>102</v>
      </c>
      <c r="C145" s="431"/>
      <c r="D145" s="431"/>
      <c r="E145" s="431"/>
      <c r="F145" s="431"/>
      <c r="G145" s="431"/>
      <c r="H145" s="431"/>
      <c r="I145" s="431"/>
      <c r="J145" s="431"/>
      <c r="K145" s="431"/>
      <c r="L145" s="431"/>
      <c r="M145" s="401"/>
      <c r="N145" s="805"/>
      <c r="O145" s="485"/>
      <c r="P145" s="779"/>
      <c r="Q145" s="485"/>
      <c r="R145" s="485"/>
      <c r="S145" s="485"/>
      <c r="T145" s="1172"/>
      <c r="U145" s="1172"/>
      <c r="V145" s="1172"/>
    </row>
    <row r="146" spans="1:22" ht="15.75" customHeight="1">
      <c r="A146" s="479"/>
      <c r="B146" s="1186" t="s">
        <v>1044</v>
      </c>
      <c r="C146" s="431">
        <f>C138</f>
        <v>12</v>
      </c>
      <c r="D146" s="431">
        <v>0.2</v>
      </c>
      <c r="E146" s="431">
        <v>0.3</v>
      </c>
      <c r="F146" s="431"/>
      <c r="G146" s="431"/>
      <c r="H146" s="431"/>
      <c r="I146" s="431"/>
      <c r="J146" s="431"/>
      <c r="K146" s="431"/>
      <c r="L146" s="431">
        <f>L142</f>
        <v>2</v>
      </c>
      <c r="M146" s="401">
        <f>C146*D146*E146*L146</f>
        <v>1.4400000000000002</v>
      </c>
      <c r="N146" s="805"/>
      <c r="O146" s="485"/>
      <c r="P146" s="779"/>
      <c r="Q146" s="485"/>
      <c r="R146" s="485"/>
      <c r="S146" s="485"/>
      <c r="T146" s="1172"/>
      <c r="U146" s="1172"/>
      <c r="V146" s="1172"/>
    </row>
    <row r="147" spans="1:22" ht="15.75" customHeight="1">
      <c r="A147" s="479"/>
      <c r="B147" s="1186" t="s">
        <v>136</v>
      </c>
      <c r="C147" s="431">
        <f>C139</f>
        <v>5</v>
      </c>
      <c r="D147" s="431">
        <f>D146</f>
        <v>0.2</v>
      </c>
      <c r="E147" s="431">
        <f>E146</f>
        <v>0.3</v>
      </c>
      <c r="F147" s="431"/>
      <c r="G147" s="431"/>
      <c r="H147" s="431"/>
      <c r="I147" s="431"/>
      <c r="J147" s="431"/>
      <c r="K147" s="431"/>
      <c r="L147" s="431">
        <f>L143</f>
        <v>2</v>
      </c>
      <c r="M147" s="752">
        <f>C147*D147*E147*L147</f>
        <v>0.6</v>
      </c>
      <c r="N147" s="805"/>
      <c r="O147" s="485"/>
      <c r="P147" s="779"/>
      <c r="Q147" s="485"/>
      <c r="R147" s="485"/>
      <c r="S147" s="485"/>
      <c r="T147" s="1172"/>
      <c r="U147" s="1172"/>
      <c r="V147" s="1172"/>
    </row>
    <row r="148" spans="1:22" ht="15" customHeight="1">
      <c r="A148" s="479"/>
      <c r="B148" s="417"/>
      <c r="C148" s="401"/>
      <c r="D148" s="401"/>
      <c r="E148" s="401"/>
      <c r="F148" s="401"/>
      <c r="G148" s="401"/>
      <c r="H148" s="401"/>
      <c r="I148" s="401"/>
      <c r="J148" s="401"/>
      <c r="K148" s="401"/>
      <c r="L148" s="401"/>
      <c r="M148" s="474">
        <f>SUM(M146:M147)</f>
        <v>2.04</v>
      </c>
      <c r="N148" s="802" t="s">
        <v>103</v>
      </c>
      <c r="O148" s="485"/>
      <c r="P148" s="779"/>
      <c r="Q148" s="485"/>
      <c r="R148" s="485"/>
      <c r="S148" s="485"/>
      <c r="T148" s="1172"/>
      <c r="U148" s="1172"/>
      <c r="V148" s="1172"/>
    </row>
    <row r="149" spans="1:22" ht="15" customHeight="1">
      <c r="A149" s="478">
        <f>A130+1</f>
        <v>10</v>
      </c>
      <c r="B149" s="417" t="s">
        <v>553</v>
      </c>
      <c r="C149" s="401"/>
      <c r="D149" s="401"/>
      <c r="E149" s="401"/>
      <c r="F149" s="401"/>
      <c r="G149" s="401"/>
      <c r="H149" s="401"/>
      <c r="I149" s="401"/>
      <c r="J149" s="401"/>
      <c r="K149" s="401"/>
      <c r="L149" s="401"/>
      <c r="M149" s="474"/>
      <c r="N149" s="802"/>
      <c r="O149" s="485"/>
      <c r="P149" s="779"/>
      <c r="Q149" s="485"/>
      <c r="R149" s="485"/>
      <c r="S149" s="485"/>
      <c r="T149" s="1172"/>
      <c r="U149" s="1172"/>
      <c r="V149" s="1172"/>
    </row>
    <row r="150" spans="1:22" ht="15.75" customHeight="1">
      <c r="A150" s="479" t="s">
        <v>95</v>
      </c>
      <c r="B150" s="417" t="s">
        <v>1529</v>
      </c>
      <c r="C150" s="401"/>
      <c r="D150" s="401"/>
      <c r="E150" s="401"/>
      <c r="F150" s="401"/>
      <c r="G150" s="401"/>
      <c r="H150" s="401"/>
      <c r="I150" s="401"/>
      <c r="J150" s="401"/>
      <c r="K150" s="401"/>
      <c r="L150" s="401"/>
      <c r="M150" s="474"/>
      <c r="N150" s="802"/>
      <c r="O150" s="485"/>
      <c r="P150" s="779"/>
      <c r="Q150" s="485"/>
      <c r="R150" s="485"/>
      <c r="S150" s="485"/>
      <c r="T150" s="1172"/>
      <c r="U150" s="1172"/>
      <c r="V150" s="1172"/>
    </row>
    <row r="151" spans="1:22" ht="15.75" customHeight="1">
      <c r="A151" s="479"/>
      <c r="B151" s="417"/>
      <c r="C151" s="401">
        <f>C134</f>
        <v>5</v>
      </c>
      <c r="D151" s="401"/>
      <c r="E151" s="401">
        <f>E134</f>
        <v>0.35</v>
      </c>
      <c r="F151" s="401"/>
      <c r="G151" s="401"/>
      <c r="H151" s="401">
        <f>H134</f>
        <v>2</v>
      </c>
      <c r="I151" s="401"/>
      <c r="J151" s="401"/>
      <c r="K151" s="401"/>
      <c r="L151" s="401">
        <f>L134</f>
        <v>2</v>
      </c>
      <c r="M151" s="401">
        <f>C151*E151*H151*L151</f>
        <v>7</v>
      </c>
      <c r="N151" s="805"/>
      <c r="O151" s="485"/>
      <c r="P151" s="779"/>
      <c r="Q151" s="485"/>
      <c r="R151" s="485"/>
      <c r="S151" s="485"/>
      <c r="T151" s="1172"/>
      <c r="U151" s="1172"/>
      <c r="V151" s="1172"/>
    </row>
    <row r="152" spans="1:22" ht="15.75" customHeight="1">
      <c r="A152" s="479"/>
      <c r="B152" s="417"/>
      <c r="C152" s="401">
        <f>C135</f>
        <v>5</v>
      </c>
      <c r="D152" s="401">
        <f>D135</f>
        <v>0.2</v>
      </c>
      <c r="E152" s="401"/>
      <c r="F152" s="401"/>
      <c r="G152" s="401"/>
      <c r="H152" s="401">
        <f>H135</f>
        <v>1</v>
      </c>
      <c r="I152" s="401"/>
      <c r="J152" s="401"/>
      <c r="K152" s="401"/>
      <c r="L152" s="401">
        <f>L135</f>
        <v>2</v>
      </c>
      <c r="M152" s="752">
        <f>C152*D152*H152*L152</f>
        <v>2</v>
      </c>
      <c r="N152" s="805"/>
      <c r="O152" s="485"/>
      <c r="P152" s="779"/>
      <c r="Q152" s="485"/>
      <c r="R152" s="485"/>
      <c r="S152" s="485"/>
      <c r="T152" s="1172"/>
      <c r="U152" s="1172"/>
      <c r="V152" s="1172"/>
    </row>
    <row r="153" spans="1:22" ht="15.75" customHeight="1">
      <c r="A153" s="479"/>
      <c r="B153" s="417"/>
      <c r="C153" s="401"/>
      <c r="D153" s="401"/>
      <c r="E153" s="401"/>
      <c r="F153" s="401"/>
      <c r="G153" s="401"/>
      <c r="H153" s="401"/>
      <c r="I153" s="401"/>
      <c r="J153" s="401"/>
      <c r="K153" s="401"/>
      <c r="L153" s="401"/>
      <c r="M153" s="474">
        <f>SUM(M149:M152)</f>
        <v>9</v>
      </c>
      <c r="N153" s="802" t="s">
        <v>89</v>
      </c>
      <c r="O153" s="485"/>
      <c r="P153" s="779"/>
      <c r="Q153" s="485"/>
      <c r="R153" s="485"/>
      <c r="S153" s="485"/>
      <c r="T153" s="1172"/>
      <c r="U153" s="1172"/>
      <c r="V153" s="1172"/>
    </row>
    <row r="154" spans="1:22" ht="15.75" customHeight="1">
      <c r="A154" s="479" t="s">
        <v>98</v>
      </c>
      <c r="B154" s="417" t="s">
        <v>898</v>
      </c>
      <c r="C154" s="401">
        <f>C139</f>
        <v>5</v>
      </c>
      <c r="D154" s="401"/>
      <c r="E154" s="401"/>
      <c r="F154" s="401">
        <f>F139</f>
        <v>1.041885</v>
      </c>
      <c r="G154" s="401"/>
      <c r="H154" s="401"/>
      <c r="I154" s="401"/>
      <c r="J154" s="401"/>
      <c r="K154" s="401">
        <f>K139</f>
        <v>5</v>
      </c>
      <c r="L154" s="401">
        <f>L139</f>
        <v>2</v>
      </c>
      <c r="M154" s="474">
        <v>52.094250000000002</v>
      </c>
      <c r="N154" s="802" t="s">
        <v>100</v>
      </c>
      <c r="O154" s="485"/>
      <c r="P154" s="779"/>
      <c r="Q154" s="485"/>
      <c r="R154" s="485"/>
      <c r="S154" s="485"/>
      <c r="T154" s="1172"/>
      <c r="U154" s="1172"/>
      <c r="V154" s="1172"/>
    </row>
    <row r="155" spans="1:22" ht="15.75" customHeight="1">
      <c r="A155" s="479" t="s">
        <v>101</v>
      </c>
      <c r="B155" s="351" t="s">
        <v>428</v>
      </c>
      <c r="C155" s="401">
        <f>C143</f>
        <v>0.78</v>
      </c>
      <c r="D155" s="401"/>
      <c r="E155" s="401"/>
      <c r="F155" s="401">
        <f>F143</f>
        <v>0.39456000000000002</v>
      </c>
      <c r="G155" s="401">
        <f>G143</f>
        <v>0.1</v>
      </c>
      <c r="H155" s="401"/>
      <c r="I155" s="401"/>
      <c r="J155" s="401"/>
      <c r="K155" s="401">
        <f>K143</f>
        <v>40</v>
      </c>
      <c r="L155" s="401">
        <f>L143</f>
        <v>2</v>
      </c>
      <c r="M155" s="474">
        <v>27.777024000000001</v>
      </c>
      <c r="N155" s="802" t="s">
        <v>100</v>
      </c>
      <c r="O155" s="485"/>
      <c r="P155" s="779"/>
      <c r="Q155" s="485"/>
      <c r="R155" s="485"/>
      <c r="S155" s="485"/>
      <c r="T155" s="1172"/>
      <c r="U155" s="1172"/>
      <c r="V155" s="1172"/>
    </row>
    <row r="156" spans="1:22" ht="15.75" customHeight="1">
      <c r="A156" s="479" t="s">
        <v>121</v>
      </c>
      <c r="B156" s="417" t="s">
        <v>102</v>
      </c>
      <c r="C156" s="401">
        <f>C147</f>
        <v>5</v>
      </c>
      <c r="D156" s="401">
        <f>D147</f>
        <v>0.2</v>
      </c>
      <c r="E156" s="401">
        <f>E147</f>
        <v>0.3</v>
      </c>
      <c r="F156" s="401"/>
      <c r="G156" s="401"/>
      <c r="H156" s="401"/>
      <c r="I156" s="401"/>
      <c r="J156" s="401"/>
      <c r="K156" s="401"/>
      <c r="L156" s="401">
        <f>L147</f>
        <v>2</v>
      </c>
      <c r="M156" s="474">
        <v>0.6</v>
      </c>
      <c r="N156" s="802" t="s">
        <v>103</v>
      </c>
      <c r="O156" s="485"/>
      <c r="P156" s="779"/>
      <c r="Q156" s="485"/>
      <c r="R156" s="485"/>
      <c r="S156" s="485"/>
      <c r="T156" s="1172"/>
      <c r="U156" s="1172"/>
      <c r="V156" s="1172"/>
    </row>
    <row r="157" spans="1:22" ht="15.75" customHeight="1">
      <c r="A157" s="478">
        <f>A149+1</f>
        <v>11</v>
      </c>
      <c r="B157" s="417" t="s">
        <v>927</v>
      </c>
      <c r="C157" s="401"/>
      <c r="D157" s="401"/>
      <c r="E157" s="401"/>
      <c r="F157" s="401"/>
      <c r="G157" s="401"/>
      <c r="H157" s="401"/>
      <c r="I157" s="401"/>
      <c r="J157" s="401"/>
      <c r="K157" s="401"/>
      <c r="L157" s="401"/>
      <c r="M157" s="474"/>
      <c r="N157" s="802"/>
      <c r="O157" s="485"/>
      <c r="P157" s="779"/>
      <c r="Q157" s="485"/>
      <c r="R157" s="485"/>
      <c r="S157" s="485"/>
      <c r="T157" s="1172"/>
      <c r="U157" s="1172"/>
      <c r="V157" s="1172"/>
    </row>
    <row r="158" spans="1:22" ht="15.75" customHeight="1">
      <c r="A158" s="479" t="s">
        <v>95</v>
      </c>
      <c r="B158" s="417" t="s">
        <v>1522</v>
      </c>
      <c r="C158" s="330">
        <v>4</v>
      </c>
      <c r="D158" s="330">
        <v>0.15</v>
      </c>
      <c r="E158" s="330"/>
      <c r="F158" s="330"/>
      <c r="G158" s="330"/>
      <c r="H158" s="330">
        <v>3</v>
      </c>
      <c r="I158" s="330"/>
      <c r="J158" s="330"/>
      <c r="K158" s="330"/>
      <c r="L158" s="330">
        <v>2</v>
      </c>
      <c r="M158" s="330">
        <f>C158*D158*H158*L158</f>
        <v>3.5999999999999996</v>
      </c>
      <c r="N158" s="802" t="s">
        <v>89</v>
      </c>
      <c r="O158" s="779"/>
      <c r="P158" s="485"/>
      <c r="Q158" s="485"/>
      <c r="R158" s="485"/>
      <c r="S158" s="1172"/>
      <c r="T158" s="1172"/>
      <c r="U158" s="1172"/>
    </row>
    <row r="159" spans="1:22" ht="15.75" customHeight="1">
      <c r="A159" s="479" t="s">
        <v>98</v>
      </c>
      <c r="B159" s="417" t="s">
        <v>950</v>
      </c>
      <c r="C159" s="330">
        <f>C158</f>
        <v>4</v>
      </c>
      <c r="D159" s="330"/>
      <c r="E159" s="330"/>
      <c r="F159" s="330">
        <v>4</v>
      </c>
      <c r="G159" s="330"/>
      <c r="H159" s="330"/>
      <c r="I159" s="330"/>
      <c r="J159" s="330"/>
      <c r="K159" s="330">
        <f>13*13*0.006165</f>
        <v>1.041885</v>
      </c>
      <c r="L159" s="330">
        <f>L158</f>
        <v>2</v>
      </c>
      <c r="M159" s="330">
        <f>C159*F159*K159*L159</f>
        <v>33.340319999999998</v>
      </c>
      <c r="N159" s="802" t="s">
        <v>100</v>
      </c>
      <c r="O159" s="779"/>
      <c r="P159" s="485"/>
      <c r="Q159" s="485"/>
      <c r="R159" s="485"/>
      <c r="S159" s="1172"/>
      <c r="T159" s="1172"/>
      <c r="U159" s="1172"/>
    </row>
    <row r="160" spans="1:22" ht="15.75" customHeight="1">
      <c r="A160" s="479" t="s">
        <v>101</v>
      </c>
      <c r="B160" s="351" t="s">
        <v>428</v>
      </c>
      <c r="C160" s="330">
        <f>0.1*4</f>
        <v>0.4</v>
      </c>
      <c r="D160" s="330"/>
      <c r="E160" s="330"/>
      <c r="F160" s="330">
        <f>ROUNDDOWN((C159/0.125),0.1)</f>
        <v>32</v>
      </c>
      <c r="G160" s="330"/>
      <c r="H160" s="330"/>
      <c r="I160" s="330">
        <f>0.05*2</f>
        <v>0.1</v>
      </c>
      <c r="J160" s="330"/>
      <c r="K160" s="330">
        <f>8*8*0.006165</f>
        <v>0.39456000000000002</v>
      </c>
      <c r="L160" s="330">
        <f>L159</f>
        <v>2</v>
      </c>
      <c r="M160" s="330">
        <f>(C160+I160)*F160*K160*L160</f>
        <v>12.625920000000001</v>
      </c>
      <c r="N160" s="802" t="s">
        <v>100</v>
      </c>
      <c r="O160" s="779"/>
      <c r="P160" s="485"/>
      <c r="Q160" s="485"/>
      <c r="R160" s="485"/>
      <c r="S160" s="1172"/>
      <c r="T160" s="1172"/>
      <c r="U160" s="1172"/>
    </row>
    <row r="161" spans="1:23" ht="15.75" customHeight="1">
      <c r="A161" s="479" t="s">
        <v>121</v>
      </c>
      <c r="B161" s="356" t="s">
        <v>948</v>
      </c>
      <c r="C161" s="330">
        <f>C158</f>
        <v>4</v>
      </c>
      <c r="D161" s="330">
        <v>0.15</v>
      </c>
      <c r="E161" s="330">
        <v>0.15</v>
      </c>
      <c r="F161" s="330"/>
      <c r="G161" s="330"/>
      <c r="H161" s="330"/>
      <c r="I161" s="330"/>
      <c r="J161" s="330"/>
      <c r="K161" s="330"/>
      <c r="L161" s="330">
        <f>L160</f>
        <v>2</v>
      </c>
      <c r="M161" s="330">
        <f>C161*D161*E161*L161</f>
        <v>0.18</v>
      </c>
      <c r="N161" s="802" t="s">
        <v>103</v>
      </c>
      <c r="O161" s="779"/>
      <c r="P161" s="485"/>
      <c r="Q161" s="485"/>
      <c r="R161" s="485"/>
      <c r="S161" s="1172"/>
      <c r="T161" s="1172"/>
      <c r="U161" s="1172"/>
    </row>
    <row r="162" spans="1:23" s="554" customFormat="1" ht="15.75" customHeight="1">
      <c r="A162" s="350">
        <f>A157+1</f>
        <v>12</v>
      </c>
      <c r="B162" s="359" t="s">
        <v>424</v>
      </c>
      <c r="C162" s="348"/>
      <c r="D162" s="348"/>
      <c r="E162" s="348"/>
      <c r="F162" s="348"/>
      <c r="G162" s="348"/>
      <c r="H162" s="348"/>
      <c r="I162" s="348"/>
      <c r="J162" s="348"/>
      <c r="K162" s="348"/>
      <c r="L162" s="348"/>
      <c r="M162" s="348"/>
      <c r="N162" s="349"/>
      <c r="O162" s="784"/>
      <c r="P162" s="398"/>
      <c r="Q162" s="564"/>
      <c r="R162" s="398"/>
      <c r="S162" s="398"/>
      <c r="T162" s="398"/>
      <c r="U162" s="555"/>
      <c r="V162" s="555"/>
      <c r="W162" s="555"/>
    </row>
    <row r="163" spans="1:23" s="554" customFormat="1" ht="15.75" customHeight="1">
      <c r="A163" s="350"/>
      <c r="B163" s="359" t="s">
        <v>1010</v>
      </c>
      <c r="C163" s="348"/>
      <c r="D163" s="348"/>
      <c r="E163" s="348"/>
      <c r="F163" s="348"/>
      <c r="G163" s="348"/>
      <c r="H163" s="348"/>
      <c r="I163" s="348"/>
      <c r="J163" s="348"/>
      <c r="K163" s="348"/>
      <c r="L163" s="348"/>
      <c r="M163" s="348"/>
      <c r="N163" s="349"/>
      <c r="O163" s="784"/>
      <c r="P163" s="398"/>
      <c r="Q163" s="564"/>
      <c r="R163" s="398"/>
      <c r="S163" s="398"/>
      <c r="T163" s="398"/>
      <c r="U163" s="555"/>
      <c r="V163" s="555"/>
      <c r="W163" s="555"/>
    </row>
    <row r="164" spans="1:23" s="554" customFormat="1" ht="15.75" customHeight="1">
      <c r="A164" s="355" t="s">
        <v>95</v>
      </c>
      <c r="B164" s="359" t="s">
        <v>423</v>
      </c>
      <c r="C164" s="348"/>
      <c r="D164" s="348"/>
      <c r="E164" s="348"/>
      <c r="F164" s="348"/>
      <c r="G164" s="348"/>
      <c r="H164" s="348"/>
      <c r="I164" s="348"/>
      <c r="J164" s="348"/>
      <c r="K164" s="348"/>
      <c r="L164" s="348"/>
      <c r="M164" s="348"/>
      <c r="N164" s="349"/>
      <c r="O164" s="784"/>
      <c r="P164" s="398"/>
      <c r="Q164" s="564"/>
      <c r="R164" s="398"/>
      <c r="S164" s="398"/>
      <c r="T164" s="398"/>
      <c r="U164" s="555"/>
      <c r="V164" s="555"/>
      <c r="W164" s="555"/>
    </row>
    <row r="165" spans="1:23" s="554" customFormat="1" ht="15.75" customHeight="1">
      <c r="A165" s="355"/>
      <c r="B165" s="567" t="s">
        <v>1010</v>
      </c>
      <c r="C165" s="348">
        <f>C267*2</f>
        <v>8.8060000000000009</v>
      </c>
      <c r="D165" s="348"/>
      <c r="E165" s="348">
        <v>0.2</v>
      </c>
      <c r="F165" s="348"/>
      <c r="G165" s="348"/>
      <c r="H165" s="348">
        <v>2</v>
      </c>
      <c r="I165" s="348"/>
      <c r="J165" s="348"/>
      <c r="K165" s="348"/>
      <c r="L165" s="348">
        <v>4</v>
      </c>
      <c r="M165" s="348">
        <f>C165*E165*H165*L165</f>
        <v>14.089600000000003</v>
      </c>
      <c r="N165" s="349"/>
      <c r="O165" s="784"/>
      <c r="P165" s="398"/>
      <c r="Q165" s="564"/>
      <c r="R165" s="398"/>
      <c r="S165" s="398"/>
      <c r="T165" s="398"/>
      <c r="U165" s="555"/>
      <c r="V165" s="555"/>
      <c r="W165" s="555"/>
    </row>
    <row r="166" spans="1:23" s="554" customFormat="1" ht="15.75" customHeight="1">
      <c r="A166" s="355"/>
      <c r="B166" s="359"/>
      <c r="C166" s="348">
        <f>C165</f>
        <v>8.8060000000000009</v>
      </c>
      <c r="D166" s="348">
        <v>0.15</v>
      </c>
      <c r="E166" s="348"/>
      <c r="F166" s="348"/>
      <c r="G166" s="348"/>
      <c r="H166" s="348">
        <v>1</v>
      </c>
      <c r="I166" s="348"/>
      <c r="J166" s="348"/>
      <c r="K166" s="348"/>
      <c r="L166" s="348">
        <f>L165</f>
        <v>4</v>
      </c>
      <c r="M166" s="348">
        <f>C166*D166*H166*L166</f>
        <v>5.2836000000000007</v>
      </c>
      <c r="N166" s="349"/>
      <c r="O166" s="784"/>
      <c r="P166" s="398"/>
      <c r="Q166" s="564"/>
      <c r="R166" s="398"/>
      <c r="S166" s="398"/>
      <c r="T166" s="398"/>
      <c r="U166" s="555"/>
      <c r="V166" s="555"/>
      <c r="W166" s="555"/>
    </row>
    <row r="167" spans="1:23" s="554" customFormat="1" ht="15.75" customHeight="1">
      <c r="A167" s="355"/>
      <c r="B167" s="567" t="s">
        <v>1011</v>
      </c>
      <c r="C167" s="348">
        <v>2</v>
      </c>
      <c r="D167" s="348"/>
      <c r="E167" s="348">
        <v>0.2</v>
      </c>
      <c r="F167" s="348"/>
      <c r="G167" s="348"/>
      <c r="H167" s="348">
        <v>2</v>
      </c>
      <c r="I167" s="348"/>
      <c r="J167" s="348"/>
      <c r="K167" s="348"/>
      <c r="L167" s="348">
        <v>4</v>
      </c>
      <c r="M167" s="348">
        <f>C167*E167*H167*L167</f>
        <v>3.2</v>
      </c>
      <c r="N167" s="349"/>
      <c r="O167" s="784"/>
      <c r="P167" s="398"/>
      <c r="Q167" s="564"/>
      <c r="R167" s="398"/>
      <c r="S167" s="398"/>
      <c r="T167" s="398"/>
      <c r="U167" s="555"/>
      <c r="V167" s="555"/>
      <c r="W167" s="555"/>
    </row>
    <row r="168" spans="1:23" s="554" customFormat="1" ht="15.75" customHeight="1">
      <c r="A168" s="355"/>
      <c r="B168" s="359"/>
      <c r="C168" s="348">
        <f>C167</f>
        <v>2</v>
      </c>
      <c r="D168" s="348">
        <f>D166</f>
        <v>0.15</v>
      </c>
      <c r="E168" s="348"/>
      <c r="F168" s="348"/>
      <c r="G168" s="348"/>
      <c r="H168" s="348">
        <v>1</v>
      </c>
      <c r="I168" s="348"/>
      <c r="J168" s="348"/>
      <c r="K168" s="348"/>
      <c r="L168" s="348">
        <f>L167</f>
        <v>4</v>
      </c>
      <c r="M168" s="565">
        <f>C168*D168*H168*L168</f>
        <v>1.2</v>
      </c>
      <c r="N168" s="349"/>
      <c r="O168" s="784"/>
      <c r="P168" s="398"/>
      <c r="Q168" s="564"/>
      <c r="R168" s="398"/>
      <c r="S168" s="398"/>
      <c r="T168" s="398"/>
      <c r="U168" s="555"/>
      <c r="V168" s="555"/>
      <c r="W168" s="555"/>
    </row>
    <row r="169" spans="1:23" s="554" customFormat="1" ht="15.75" customHeight="1">
      <c r="A169" s="355"/>
      <c r="B169" s="359"/>
      <c r="C169" s="348"/>
      <c r="D169" s="348"/>
      <c r="E169" s="348"/>
      <c r="F169" s="348"/>
      <c r="G169" s="348"/>
      <c r="H169" s="348"/>
      <c r="I169" s="348"/>
      <c r="J169" s="348"/>
      <c r="K169" s="348"/>
      <c r="L169" s="348"/>
      <c r="M169" s="343">
        <f>SUM(M165:M168)/2</f>
        <v>11.886600000000001</v>
      </c>
      <c r="N169" s="349" t="s">
        <v>89</v>
      </c>
      <c r="O169" s="784">
        <f>ROUND((M169),2)</f>
        <v>11.89</v>
      </c>
      <c r="P169" s="398"/>
      <c r="Q169" s="564"/>
      <c r="R169" s="398"/>
      <c r="S169" s="398"/>
      <c r="T169" s="398"/>
      <c r="U169" s="555"/>
      <c r="V169" s="555"/>
      <c r="W169" s="555"/>
    </row>
    <row r="170" spans="1:23" s="554" customFormat="1" ht="15.75" customHeight="1">
      <c r="A170" s="355" t="s">
        <v>98</v>
      </c>
      <c r="B170" s="359" t="s">
        <v>741</v>
      </c>
      <c r="C170" s="348"/>
      <c r="D170" s="348"/>
      <c r="E170" s="348"/>
      <c r="F170" s="348"/>
      <c r="G170" s="348"/>
      <c r="H170" s="348"/>
      <c r="I170" s="348"/>
      <c r="J170" s="348"/>
      <c r="K170" s="348"/>
      <c r="L170" s="348"/>
      <c r="M170" s="348"/>
      <c r="N170" s="349"/>
      <c r="O170" s="784"/>
      <c r="P170" s="398"/>
      <c r="Q170" s="564"/>
      <c r="R170" s="398"/>
      <c r="S170" s="398"/>
      <c r="T170" s="398"/>
      <c r="U170" s="555"/>
      <c r="V170" s="555"/>
      <c r="W170" s="555"/>
    </row>
    <row r="171" spans="1:23" s="554" customFormat="1" ht="15.75" customHeight="1">
      <c r="A171" s="355"/>
      <c r="B171" s="567" t="s">
        <v>1010</v>
      </c>
      <c r="C171" s="348">
        <f>C165</f>
        <v>8.8060000000000009</v>
      </c>
      <c r="D171" s="348"/>
      <c r="E171" s="348"/>
      <c r="F171" s="348">
        <v>5</v>
      </c>
      <c r="G171" s="348"/>
      <c r="H171" s="348"/>
      <c r="I171" s="348">
        <v>0.1</v>
      </c>
      <c r="J171" s="348"/>
      <c r="K171" s="348">
        <f>0.006165*10*10</f>
        <v>0.61650000000000005</v>
      </c>
      <c r="L171" s="348">
        <f>L165</f>
        <v>4</v>
      </c>
      <c r="M171" s="348">
        <f>(C171+I171)*F171*K171*L171</f>
        <v>109.81098000000001</v>
      </c>
      <c r="N171" s="349"/>
      <c r="O171" s="784"/>
      <c r="P171" s="398"/>
      <c r="Q171" s="564"/>
      <c r="R171" s="398"/>
      <c r="S171" s="398"/>
      <c r="T171" s="398"/>
      <c r="U171" s="555"/>
      <c r="V171" s="555"/>
      <c r="W171" s="555"/>
    </row>
    <row r="172" spans="1:23" s="554" customFormat="1" ht="15.75" customHeight="1">
      <c r="A172" s="355"/>
      <c r="B172" s="567" t="s">
        <v>1011</v>
      </c>
      <c r="C172" s="348">
        <f>C168</f>
        <v>2</v>
      </c>
      <c r="D172" s="348"/>
      <c r="E172" s="348"/>
      <c r="F172" s="348">
        <v>5</v>
      </c>
      <c r="G172" s="348"/>
      <c r="H172" s="348"/>
      <c r="I172" s="348">
        <f>I171</f>
        <v>0.1</v>
      </c>
      <c r="J172" s="348"/>
      <c r="K172" s="348">
        <f>K171</f>
        <v>0.61650000000000005</v>
      </c>
      <c r="L172" s="348">
        <f>L171</f>
        <v>4</v>
      </c>
      <c r="M172" s="565">
        <f>(C172+I172)*F172*K172*L172</f>
        <v>25.893000000000001</v>
      </c>
      <c r="N172" s="349"/>
      <c r="O172" s="784"/>
      <c r="P172" s="398"/>
      <c r="Q172" s="564"/>
      <c r="R172" s="398"/>
      <c r="S172" s="398"/>
      <c r="T172" s="398"/>
      <c r="U172" s="555"/>
      <c r="V172" s="555"/>
      <c r="W172" s="555"/>
    </row>
    <row r="173" spans="1:23" s="554" customFormat="1" ht="15.75" customHeight="1">
      <c r="A173" s="355"/>
      <c r="B173" s="359"/>
      <c r="C173" s="348"/>
      <c r="D173" s="348"/>
      <c r="E173" s="348"/>
      <c r="F173" s="348"/>
      <c r="G173" s="348"/>
      <c r="H173" s="348"/>
      <c r="I173" s="348"/>
      <c r="J173" s="348"/>
      <c r="K173" s="348"/>
      <c r="L173" s="348"/>
      <c r="M173" s="343">
        <f>SUM(M171:M172)</f>
        <v>135.70398</v>
      </c>
      <c r="N173" s="349" t="s">
        <v>100</v>
      </c>
      <c r="O173" s="784">
        <f>ROUND((M173),2)</f>
        <v>135.69999999999999</v>
      </c>
      <c r="P173" s="398"/>
      <c r="Q173" s="564"/>
      <c r="R173" s="398"/>
      <c r="S173" s="398"/>
      <c r="T173" s="398"/>
      <c r="U173" s="555"/>
      <c r="V173" s="555"/>
      <c r="W173" s="555"/>
    </row>
    <row r="174" spans="1:23" s="554" customFormat="1" ht="15.75" customHeight="1">
      <c r="A174" s="355" t="s">
        <v>101</v>
      </c>
      <c r="B174" s="359" t="s">
        <v>428</v>
      </c>
      <c r="C174" s="348"/>
      <c r="D174" s="348"/>
      <c r="E174" s="348"/>
      <c r="F174" s="348"/>
      <c r="G174" s="348"/>
      <c r="H174" s="348"/>
      <c r="I174" s="348"/>
      <c r="J174" s="348"/>
      <c r="K174" s="348"/>
      <c r="L174" s="348"/>
      <c r="M174" s="348"/>
      <c r="N174" s="349"/>
      <c r="O174" s="784"/>
      <c r="P174" s="398"/>
      <c r="Q174" s="564"/>
      <c r="R174" s="398"/>
      <c r="S174" s="398"/>
      <c r="T174" s="398"/>
      <c r="U174" s="555"/>
      <c r="V174" s="555"/>
      <c r="W174" s="555"/>
    </row>
    <row r="175" spans="1:23" s="554" customFormat="1" ht="15.75" customHeight="1">
      <c r="A175" s="355"/>
      <c r="B175" s="567" t="s">
        <v>1010</v>
      </c>
      <c r="C175" s="348">
        <f>(0.09+0.14)*2</f>
        <v>0.46</v>
      </c>
      <c r="D175" s="348"/>
      <c r="E175" s="348"/>
      <c r="F175" s="348">
        <f>ROUNDDOWN((C171/0.125),0.1)</f>
        <v>70</v>
      </c>
      <c r="G175" s="348"/>
      <c r="H175" s="348"/>
      <c r="I175" s="348">
        <v>0.1</v>
      </c>
      <c r="J175" s="348"/>
      <c r="K175" s="348">
        <f>0.006165*8*8</f>
        <v>0.39456000000000002</v>
      </c>
      <c r="L175" s="348">
        <f>L171</f>
        <v>4</v>
      </c>
      <c r="M175" s="348">
        <f>(C175+I175)*F175*K175*L175</f>
        <v>61.867008000000006</v>
      </c>
      <c r="N175" s="349"/>
      <c r="O175" s="784"/>
      <c r="P175" s="398"/>
      <c r="Q175" s="564"/>
      <c r="R175" s="398"/>
      <c r="S175" s="398"/>
      <c r="T175" s="398"/>
      <c r="U175" s="555"/>
      <c r="V175" s="555"/>
      <c r="W175" s="555"/>
    </row>
    <row r="176" spans="1:23" s="554" customFormat="1" ht="15.75" customHeight="1">
      <c r="A176" s="355"/>
      <c r="B176" s="567" t="s">
        <v>1011</v>
      </c>
      <c r="C176" s="348">
        <f>(0.09+0.14)*2</f>
        <v>0.46</v>
      </c>
      <c r="D176" s="348"/>
      <c r="E176" s="348"/>
      <c r="F176" s="348">
        <f>ROUNDDOWN((C172/0.125),0.1)</f>
        <v>16</v>
      </c>
      <c r="G176" s="348"/>
      <c r="H176" s="348"/>
      <c r="I176" s="348">
        <v>0.1</v>
      </c>
      <c r="J176" s="348"/>
      <c r="K176" s="348">
        <f>K175</f>
        <v>0.39456000000000002</v>
      </c>
      <c r="L176" s="348">
        <f>L172</f>
        <v>4</v>
      </c>
      <c r="M176" s="348">
        <f>(C176+I176)*F176*K176*L176</f>
        <v>14.141030400000002</v>
      </c>
      <c r="N176" s="349"/>
      <c r="O176" s="784"/>
      <c r="P176" s="398"/>
      <c r="Q176" s="564"/>
      <c r="R176" s="398"/>
      <c r="S176" s="398"/>
      <c r="T176" s="398"/>
      <c r="U176" s="555"/>
      <c r="V176" s="555"/>
      <c r="W176" s="555"/>
    </row>
    <row r="177" spans="1:23" s="554" customFormat="1" ht="15.75" customHeight="1">
      <c r="A177" s="355"/>
      <c r="B177" s="359"/>
      <c r="C177" s="348"/>
      <c r="D177" s="348"/>
      <c r="E177" s="348"/>
      <c r="F177" s="348"/>
      <c r="G177" s="348"/>
      <c r="H177" s="348"/>
      <c r="I177" s="348"/>
      <c r="J177" s="348"/>
      <c r="K177" s="348"/>
      <c r="L177" s="348"/>
      <c r="M177" s="343">
        <f>SUM(M175:M176)</f>
        <v>76.008038400000004</v>
      </c>
      <c r="N177" s="349" t="s">
        <v>100</v>
      </c>
      <c r="O177" s="784">
        <f>ROUND((M177),2)</f>
        <v>76.010000000000005</v>
      </c>
      <c r="P177" s="398"/>
      <c r="Q177" s="564"/>
      <c r="R177" s="398"/>
      <c r="S177" s="398"/>
      <c r="T177" s="398"/>
      <c r="U177" s="555"/>
      <c r="V177" s="555"/>
      <c r="W177" s="555"/>
    </row>
    <row r="178" spans="1:23" s="554" customFormat="1" ht="15.75" customHeight="1">
      <c r="A178" s="355" t="s">
        <v>121</v>
      </c>
      <c r="B178" s="359" t="s">
        <v>1043</v>
      </c>
      <c r="C178" s="348"/>
      <c r="D178" s="348"/>
      <c r="E178" s="348"/>
      <c r="F178" s="348"/>
      <c r="G178" s="348"/>
      <c r="H178" s="348"/>
      <c r="I178" s="348"/>
      <c r="J178" s="348"/>
      <c r="K178" s="348"/>
      <c r="L178" s="348"/>
      <c r="M178" s="348"/>
      <c r="N178" s="349"/>
      <c r="O178" s="784"/>
      <c r="P178" s="398"/>
      <c r="Q178" s="564"/>
      <c r="R178" s="398"/>
      <c r="S178" s="398"/>
      <c r="T178" s="398"/>
      <c r="U178" s="555"/>
      <c r="V178" s="555"/>
      <c r="W178" s="555"/>
    </row>
    <row r="179" spans="1:23" s="554" customFormat="1" ht="15.75" customHeight="1">
      <c r="A179" s="355"/>
      <c r="B179" s="567" t="s">
        <v>1010</v>
      </c>
      <c r="C179" s="348">
        <f>C171</f>
        <v>8.8060000000000009</v>
      </c>
      <c r="D179" s="348">
        <f>D166</f>
        <v>0.15</v>
      </c>
      <c r="E179" s="348">
        <f>E165</f>
        <v>0.2</v>
      </c>
      <c r="F179" s="348"/>
      <c r="G179" s="348"/>
      <c r="H179" s="348"/>
      <c r="I179" s="348"/>
      <c r="J179" s="348"/>
      <c r="K179" s="348"/>
      <c r="L179" s="348">
        <f>L175</f>
        <v>4</v>
      </c>
      <c r="M179" s="348">
        <f>C179*D179*E179*L179</f>
        <v>1.0567200000000001</v>
      </c>
      <c r="N179" s="349"/>
      <c r="O179" s="784"/>
      <c r="P179" s="398"/>
      <c r="Q179" s="564"/>
      <c r="R179" s="398"/>
      <c r="S179" s="398"/>
      <c r="T179" s="398"/>
      <c r="U179" s="555"/>
      <c r="V179" s="555"/>
      <c r="W179" s="555"/>
    </row>
    <row r="180" spans="1:23" s="554" customFormat="1" ht="15.75" customHeight="1">
      <c r="A180" s="355"/>
      <c r="B180" s="567" t="s">
        <v>1011</v>
      </c>
      <c r="C180" s="348">
        <f>C172</f>
        <v>2</v>
      </c>
      <c r="D180" s="348">
        <f>D179</f>
        <v>0.15</v>
      </c>
      <c r="E180" s="348">
        <f>E179</f>
        <v>0.2</v>
      </c>
      <c r="F180" s="348"/>
      <c r="G180" s="348"/>
      <c r="H180" s="348"/>
      <c r="I180" s="348"/>
      <c r="J180" s="348"/>
      <c r="K180" s="348"/>
      <c r="L180" s="348">
        <f>L176</f>
        <v>4</v>
      </c>
      <c r="M180" s="565">
        <f>C180*D180*E180*L180</f>
        <v>0.24</v>
      </c>
      <c r="N180" s="349"/>
      <c r="O180" s="784"/>
      <c r="P180" s="398"/>
      <c r="Q180" s="564"/>
      <c r="R180" s="398"/>
      <c r="S180" s="398"/>
      <c r="T180" s="398"/>
      <c r="U180" s="555"/>
      <c r="V180" s="555"/>
      <c r="W180" s="555"/>
    </row>
    <row r="181" spans="1:23" s="554" customFormat="1" ht="15.75" customHeight="1">
      <c r="A181" s="355"/>
      <c r="B181" s="359"/>
      <c r="C181" s="348"/>
      <c r="D181" s="348"/>
      <c r="E181" s="348"/>
      <c r="F181" s="348"/>
      <c r="G181" s="348"/>
      <c r="H181" s="348"/>
      <c r="I181" s="348"/>
      <c r="J181" s="348"/>
      <c r="K181" s="348"/>
      <c r="L181" s="348"/>
      <c r="M181" s="343">
        <f>SUM(M179:M180)</f>
        <v>1.2967200000000001</v>
      </c>
      <c r="N181" s="349" t="s">
        <v>103</v>
      </c>
      <c r="O181" s="784">
        <f>ROUND((M181),2)</f>
        <v>1.3</v>
      </c>
      <c r="P181" s="398"/>
      <c r="Q181" s="564"/>
      <c r="R181" s="398"/>
      <c r="S181" s="398"/>
      <c r="T181" s="398"/>
      <c r="U181" s="555"/>
      <c r="V181" s="555"/>
      <c r="W181" s="555"/>
    </row>
    <row r="182" spans="1:23" s="554" customFormat="1" ht="15.75" customHeight="1">
      <c r="A182" s="350"/>
      <c r="B182" s="359" t="s">
        <v>1166</v>
      </c>
      <c r="C182" s="348"/>
      <c r="D182" s="348"/>
      <c r="E182" s="348"/>
      <c r="F182" s="348"/>
      <c r="G182" s="348"/>
      <c r="H182" s="348"/>
      <c r="I182" s="348"/>
      <c r="J182" s="348"/>
      <c r="K182" s="348"/>
      <c r="L182" s="348"/>
      <c r="M182" s="348"/>
      <c r="N182" s="349"/>
      <c r="O182" s="784"/>
      <c r="P182" s="398"/>
      <c r="Q182" s="564"/>
      <c r="R182" s="398"/>
      <c r="S182" s="398"/>
      <c r="T182" s="398"/>
      <c r="U182" s="555"/>
      <c r="V182" s="555"/>
      <c r="W182" s="555"/>
    </row>
    <row r="183" spans="1:23" s="554" customFormat="1" ht="15.75" customHeight="1">
      <c r="A183" s="355" t="s">
        <v>95</v>
      </c>
      <c r="B183" s="359" t="s">
        <v>423</v>
      </c>
      <c r="C183" s="348"/>
      <c r="D183" s="348"/>
      <c r="E183" s="348"/>
      <c r="F183" s="348"/>
      <c r="G183" s="348"/>
      <c r="H183" s="348"/>
      <c r="I183" s="348"/>
      <c r="J183" s="348"/>
      <c r="K183" s="348"/>
      <c r="L183" s="348"/>
      <c r="M183" s="348"/>
      <c r="N183" s="349"/>
      <c r="O183" s="784"/>
      <c r="P183" s="398"/>
      <c r="Q183" s="564"/>
      <c r="R183" s="398"/>
      <c r="S183" s="398"/>
      <c r="T183" s="398"/>
      <c r="U183" s="555"/>
      <c r="V183" s="555"/>
      <c r="W183" s="555"/>
    </row>
    <row r="184" spans="1:23" s="554" customFormat="1" ht="15.75" customHeight="1">
      <c r="A184" s="355"/>
      <c r="B184" s="567"/>
      <c r="C184" s="348">
        <v>1</v>
      </c>
      <c r="D184" s="348">
        <v>0.15</v>
      </c>
      <c r="E184" s="348">
        <v>0.2</v>
      </c>
      <c r="F184" s="348">
        <v>2</v>
      </c>
      <c r="G184" s="348"/>
      <c r="H184" s="348"/>
      <c r="I184" s="348"/>
      <c r="J184" s="348"/>
      <c r="K184" s="348"/>
      <c r="L184" s="348">
        <v>4</v>
      </c>
      <c r="M184" s="348">
        <f>C184*((E184+D184)*2)*F184*L184</f>
        <v>5.6</v>
      </c>
      <c r="N184" s="349"/>
      <c r="O184" s="784"/>
      <c r="P184" s="398"/>
      <c r="Q184" s="564"/>
      <c r="R184" s="398"/>
      <c r="S184" s="398"/>
      <c r="T184" s="398"/>
      <c r="U184" s="555"/>
      <c r="V184" s="555"/>
      <c r="W184" s="555"/>
    </row>
    <row r="185" spans="1:23" s="554" customFormat="1" ht="15.75" customHeight="1">
      <c r="A185" s="355"/>
      <c r="B185" s="359"/>
      <c r="C185" s="348"/>
      <c r="D185" s="348"/>
      <c r="E185" s="348"/>
      <c r="F185" s="348"/>
      <c r="G185" s="348"/>
      <c r="H185" s="348"/>
      <c r="I185" s="348"/>
      <c r="J185" s="348"/>
      <c r="K185" s="348"/>
      <c r="L185" s="348"/>
      <c r="M185" s="343">
        <f>SUM(M184:M184)/2</f>
        <v>2.8</v>
      </c>
      <c r="N185" s="349" t="s">
        <v>89</v>
      </c>
      <c r="O185" s="784">
        <f>ROUND((M185),2)</f>
        <v>2.8</v>
      </c>
      <c r="P185" s="398"/>
      <c r="Q185" s="564"/>
      <c r="R185" s="398"/>
      <c r="S185" s="398"/>
      <c r="T185" s="398"/>
      <c r="U185" s="555"/>
      <c r="V185" s="555"/>
      <c r="W185" s="555"/>
    </row>
    <row r="186" spans="1:23" s="554" customFormat="1" ht="15.75" customHeight="1">
      <c r="A186" s="355" t="s">
        <v>98</v>
      </c>
      <c r="B186" s="359" t="s">
        <v>928</v>
      </c>
      <c r="C186" s="348"/>
      <c r="D186" s="348"/>
      <c r="E186" s="348"/>
      <c r="F186" s="348"/>
      <c r="G186" s="348"/>
      <c r="H186" s="348"/>
      <c r="I186" s="348"/>
      <c r="J186" s="348"/>
      <c r="K186" s="348"/>
      <c r="L186" s="348"/>
      <c r="M186" s="348"/>
      <c r="N186" s="349"/>
      <c r="O186" s="784"/>
      <c r="P186" s="398"/>
      <c r="Q186" s="564"/>
      <c r="R186" s="398"/>
      <c r="S186" s="398"/>
      <c r="T186" s="398"/>
      <c r="U186" s="555"/>
      <c r="V186" s="555"/>
      <c r="W186" s="555"/>
    </row>
    <row r="187" spans="1:23" s="554" customFormat="1" ht="15.75" customHeight="1">
      <c r="A187" s="355"/>
      <c r="B187" s="567"/>
      <c r="C187" s="348">
        <f>C184</f>
        <v>1</v>
      </c>
      <c r="D187" s="348"/>
      <c r="E187" s="348"/>
      <c r="F187" s="348">
        <v>4</v>
      </c>
      <c r="G187" s="348">
        <v>2</v>
      </c>
      <c r="H187" s="348"/>
      <c r="I187" s="348">
        <v>0.1</v>
      </c>
      <c r="J187" s="348"/>
      <c r="K187" s="348">
        <f>0.006165*13*13</f>
        <v>1.0418850000000002</v>
      </c>
      <c r="L187" s="348">
        <f>L184</f>
        <v>4</v>
      </c>
      <c r="M187" s="565">
        <f>(C187+I187)*F187*K187*L187*G187</f>
        <v>36.674352000000006</v>
      </c>
      <c r="N187" s="349"/>
      <c r="O187" s="784"/>
      <c r="P187" s="398"/>
      <c r="Q187" s="564"/>
      <c r="R187" s="398"/>
      <c r="S187" s="398"/>
      <c r="T187" s="398"/>
      <c r="U187" s="555"/>
      <c r="V187" s="555"/>
      <c r="W187" s="555"/>
    </row>
    <row r="188" spans="1:23" s="554" customFormat="1" ht="15.75" customHeight="1">
      <c r="A188" s="355"/>
      <c r="B188" s="359"/>
      <c r="C188" s="348"/>
      <c r="D188" s="348"/>
      <c r="E188" s="348"/>
      <c r="F188" s="348"/>
      <c r="G188" s="348"/>
      <c r="H188" s="348"/>
      <c r="I188" s="348"/>
      <c r="J188" s="348"/>
      <c r="K188" s="348"/>
      <c r="L188" s="348"/>
      <c r="M188" s="343">
        <f>SUM(M187:M187)</f>
        <v>36.674352000000006</v>
      </c>
      <c r="N188" s="349" t="s">
        <v>100</v>
      </c>
      <c r="O188" s="784">
        <f>ROUND((M188),2)</f>
        <v>36.67</v>
      </c>
      <c r="P188" s="398"/>
      <c r="Q188" s="564"/>
      <c r="R188" s="398"/>
      <c r="S188" s="398"/>
      <c r="T188" s="398"/>
      <c r="U188" s="555"/>
      <c r="V188" s="555"/>
      <c r="W188" s="555"/>
    </row>
    <row r="189" spans="1:23" s="554" customFormat="1" ht="15.75" customHeight="1">
      <c r="A189" s="355" t="s">
        <v>101</v>
      </c>
      <c r="B189" s="359" t="s">
        <v>428</v>
      </c>
      <c r="C189" s="348"/>
      <c r="D189" s="348"/>
      <c r="E189" s="348"/>
      <c r="F189" s="348"/>
      <c r="G189" s="348"/>
      <c r="H189" s="348"/>
      <c r="I189" s="348"/>
      <c r="J189" s="348"/>
      <c r="K189" s="348"/>
      <c r="L189" s="348"/>
      <c r="M189" s="348"/>
      <c r="N189" s="349"/>
      <c r="O189" s="784"/>
      <c r="P189" s="398"/>
      <c r="Q189" s="564"/>
      <c r="R189" s="398"/>
      <c r="S189" s="398"/>
      <c r="T189" s="398"/>
      <c r="U189" s="555"/>
      <c r="V189" s="555"/>
      <c r="W189" s="555"/>
    </row>
    <row r="190" spans="1:23" s="554" customFormat="1" ht="15.75" customHeight="1">
      <c r="A190" s="355"/>
      <c r="B190" s="567"/>
      <c r="C190" s="348">
        <f>(0.09+0.14)*2</f>
        <v>0.46</v>
      </c>
      <c r="D190" s="348"/>
      <c r="E190" s="348"/>
      <c r="F190" s="348">
        <f>ROUNDDOWN((C187/0.125),0.1)</f>
        <v>8</v>
      </c>
      <c r="G190" s="348">
        <v>2</v>
      </c>
      <c r="H190" s="348"/>
      <c r="I190" s="348">
        <v>0.1</v>
      </c>
      <c r="J190" s="348"/>
      <c r="K190" s="348">
        <f>K175</f>
        <v>0.39456000000000002</v>
      </c>
      <c r="L190" s="348">
        <f>L187</f>
        <v>4</v>
      </c>
      <c r="M190" s="565">
        <f>(C190+I190)*F190*K190*L190*G190</f>
        <v>14.141030400000002</v>
      </c>
      <c r="N190" s="349"/>
      <c r="O190" s="784"/>
      <c r="P190" s="398"/>
      <c r="Q190" s="564"/>
      <c r="R190" s="398"/>
      <c r="S190" s="398"/>
      <c r="T190" s="398"/>
      <c r="U190" s="555"/>
      <c r="V190" s="555"/>
      <c r="W190" s="555"/>
    </row>
    <row r="191" spans="1:23" s="554" customFormat="1" ht="15.75" customHeight="1">
      <c r="A191" s="355"/>
      <c r="B191" s="359"/>
      <c r="C191" s="348"/>
      <c r="D191" s="348"/>
      <c r="E191" s="348"/>
      <c r="F191" s="348"/>
      <c r="G191" s="348"/>
      <c r="H191" s="348"/>
      <c r="I191" s="348"/>
      <c r="J191" s="348"/>
      <c r="K191" s="348"/>
      <c r="L191" s="348"/>
      <c r="M191" s="343">
        <f>SUM(M190:M190)</f>
        <v>14.141030400000002</v>
      </c>
      <c r="N191" s="349" t="s">
        <v>100</v>
      </c>
      <c r="O191" s="784">
        <f>ROUND((M191),2)</f>
        <v>14.14</v>
      </c>
      <c r="P191" s="398"/>
      <c r="Q191" s="564"/>
      <c r="R191" s="398"/>
      <c r="S191" s="398"/>
      <c r="T191" s="398"/>
      <c r="U191" s="555"/>
      <c r="V191" s="555"/>
      <c r="W191" s="555"/>
    </row>
    <row r="192" spans="1:23" s="554" customFormat="1" ht="15.75" customHeight="1">
      <c r="A192" s="355" t="s">
        <v>121</v>
      </c>
      <c r="B192" s="359" t="s">
        <v>1043</v>
      </c>
      <c r="C192" s="348"/>
      <c r="D192" s="348"/>
      <c r="E192" s="348"/>
      <c r="F192" s="348"/>
      <c r="G192" s="348"/>
      <c r="H192" s="348"/>
      <c r="I192" s="348"/>
      <c r="J192" s="348"/>
      <c r="K192" s="348"/>
      <c r="L192" s="348"/>
      <c r="M192" s="348"/>
      <c r="N192" s="349"/>
      <c r="O192" s="784"/>
      <c r="P192" s="398"/>
      <c r="Q192" s="564"/>
      <c r="R192" s="398"/>
      <c r="S192" s="398"/>
      <c r="T192" s="398"/>
      <c r="U192" s="555"/>
      <c r="V192" s="555"/>
      <c r="W192" s="555"/>
    </row>
    <row r="193" spans="1:23" s="554" customFormat="1" ht="15.75" customHeight="1">
      <c r="A193" s="355"/>
      <c r="B193" s="567"/>
      <c r="C193" s="348">
        <f>C187</f>
        <v>1</v>
      </c>
      <c r="D193" s="348">
        <f>D179</f>
        <v>0.15</v>
      </c>
      <c r="E193" s="348">
        <f>E184</f>
        <v>0.2</v>
      </c>
      <c r="F193" s="348">
        <v>2</v>
      </c>
      <c r="G193" s="348"/>
      <c r="H193" s="348"/>
      <c r="I193" s="348"/>
      <c r="J193" s="348"/>
      <c r="K193" s="348"/>
      <c r="L193" s="348">
        <f>L190*F193</f>
        <v>8</v>
      </c>
      <c r="M193" s="565">
        <f>C193*D193*E193*L193</f>
        <v>0.24</v>
      </c>
      <c r="N193" s="349"/>
      <c r="O193" s="784"/>
      <c r="P193" s="398"/>
      <c r="Q193" s="564"/>
      <c r="R193" s="398"/>
      <c r="S193" s="398"/>
      <c r="T193" s="398"/>
      <c r="U193" s="555"/>
      <c r="V193" s="555"/>
      <c r="W193" s="555"/>
    </row>
    <row r="194" spans="1:23" s="554" customFormat="1" ht="15.75" customHeight="1">
      <c r="A194" s="355"/>
      <c r="B194" s="359"/>
      <c r="C194" s="348"/>
      <c r="D194" s="348"/>
      <c r="E194" s="348"/>
      <c r="F194" s="348"/>
      <c r="G194" s="348"/>
      <c r="H194" s="348"/>
      <c r="I194" s="348"/>
      <c r="J194" s="348"/>
      <c r="K194" s="348"/>
      <c r="L194" s="348"/>
      <c r="M194" s="343">
        <f>SUM(M193:M193)</f>
        <v>0.24</v>
      </c>
      <c r="N194" s="349" t="s">
        <v>103</v>
      </c>
      <c r="O194" s="784">
        <f>ROUND((M194),2)</f>
        <v>0.24</v>
      </c>
      <c r="P194" s="398"/>
      <c r="Q194" s="564"/>
      <c r="R194" s="398"/>
      <c r="S194" s="398"/>
      <c r="T194" s="398"/>
      <c r="U194" s="555"/>
      <c r="V194" s="555"/>
      <c r="W194" s="555"/>
    </row>
    <row r="195" spans="1:23" ht="15.75" customHeight="1">
      <c r="A195" s="478">
        <f>A162+1</f>
        <v>13</v>
      </c>
      <c r="B195" s="417" t="s">
        <v>951</v>
      </c>
      <c r="C195" s="401"/>
      <c r="D195" s="401"/>
      <c r="E195" s="401"/>
      <c r="F195" s="401"/>
      <c r="G195" s="401"/>
      <c r="H195" s="401"/>
      <c r="I195" s="401"/>
      <c r="J195" s="401"/>
      <c r="K195" s="401"/>
      <c r="L195" s="401"/>
      <c r="M195" s="401"/>
      <c r="N195" s="802"/>
      <c r="O195" s="485"/>
      <c r="P195" s="779"/>
      <c r="Q195" s="485"/>
      <c r="R195" s="485"/>
      <c r="S195" s="485"/>
      <c r="T195" s="1172"/>
      <c r="U195" s="1172"/>
      <c r="V195" s="1172"/>
    </row>
    <row r="196" spans="1:23" ht="15.75" customHeight="1">
      <c r="A196" s="479" t="s">
        <v>95</v>
      </c>
      <c r="B196" s="417" t="s">
        <v>952</v>
      </c>
      <c r="C196" s="401"/>
      <c r="D196" s="401"/>
      <c r="E196" s="401"/>
      <c r="F196" s="401"/>
      <c r="G196" s="401"/>
      <c r="H196" s="401"/>
      <c r="I196" s="401"/>
      <c r="J196" s="401"/>
      <c r="K196" s="401"/>
      <c r="L196" s="401"/>
      <c r="M196" s="401"/>
      <c r="N196" s="805"/>
      <c r="O196" s="485"/>
      <c r="P196" s="779"/>
      <c r="Q196" s="485"/>
      <c r="R196" s="485"/>
      <c r="S196" s="485"/>
      <c r="T196" s="1172"/>
      <c r="U196" s="1172"/>
      <c r="V196" s="1172"/>
    </row>
    <row r="197" spans="1:23" ht="15.75" customHeight="1">
      <c r="A197" s="479"/>
      <c r="B197" s="1186" t="s">
        <v>1044</v>
      </c>
      <c r="C197" s="401">
        <f>12+1.125*2</f>
        <v>14.25</v>
      </c>
      <c r="D197" s="401"/>
      <c r="E197" s="401">
        <v>0.2</v>
      </c>
      <c r="F197" s="401"/>
      <c r="G197" s="401"/>
      <c r="H197" s="401">
        <v>2</v>
      </c>
      <c r="I197" s="401"/>
      <c r="J197" s="401"/>
      <c r="K197" s="401"/>
      <c r="L197" s="401"/>
      <c r="M197" s="401">
        <f>C197*E197*H197</f>
        <v>5.7</v>
      </c>
      <c r="N197" s="805"/>
      <c r="O197" s="485"/>
      <c r="P197" s="779"/>
      <c r="Q197" s="485"/>
      <c r="R197" s="485"/>
      <c r="S197" s="485"/>
      <c r="T197" s="1172"/>
      <c r="U197" s="1172"/>
      <c r="V197" s="1172"/>
    </row>
    <row r="198" spans="1:23" ht="15.75" customHeight="1">
      <c r="A198" s="479"/>
      <c r="B198" s="1186" t="s">
        <v>136</v>
      </c>
      <c r="C198" s="401">
        <f>5+0.975*2</f>
        <v>6.95</v>
      </c>
      <c r="D198" s="401"/>
      <c r="E198" s="401">
        <f>E197</f>
        <v>0.2</v>
      </c>
      <c r="F198" s="401"/>
      <c r="G198" s="401"/>
      <c r="H198" s="401">
        <f>H197</f>
        <v>2</v>
      </c>
      <c r="I198" s="401"/>
      <c r="J198" s="401"/>
      <c r="K198" s="401"/>
      <c r="L198" s="401"/>
      <c r="M198" s="752">
        <f>C198*E198*H198</f>
        <v>2.7800000000000002</v>
      </c>
      <c r="N198" s="805"/>
      <c r="O198" s="485"/>
      <c r="P198" s="779"/>
      <c r="Q198" s="485"/>
      <c r="R198" s="485"/>
      <c r="S198" s="485"/>
      <c r="T198" s="1172"/>
      <c r="U198" s="1172"/>
      <c r="V198" s="1172"/>
    </row>
    <row r="199" spans="1:23" ht="15.75" customHeight="1">
      <c r="A199" s="479"/>
      <c r="B199" s="417"/>
      <c r="C199" s="401"/>
      <c r="D199" s="401"/>
      <c r="E199" s="401"/>
      <c r="F199" s="401"/>
      <c r="G199" s="401"/>
      <c r="H199" s="401"/>
      <c r="I199" s="401"/>
      <c r="J199" s="401"/>
      <c r="K199" s="401"/>
      <c r="L199" s="401"/>
      <c r="M199" s="474">
        <f>SUM(M197:M198)</f>
        <v>8.48</v>
      </c>
      <c r="N199" s="802" t="s">
        <v>89</v>
      </c>
      <c r="O199" s="485"/>
      <c r="P199" s="779"/>
      <c r="Q199" s="485"/>
      <c r="R199" s="485"/>
      <c r="S199" s="485"/>
      <c r="T199" s="1172"/>
      <c r="U199" s="1172"/>
      <c r="V199" s="1172"/>
    </row>
    <row r="200" spans="1:23" ht="15.75" customHeight="1">
      <c r="A200" s="479" t="s">
        <v>98</v>
      </c>
      <c r="B200" s="417" t="s">
        <v>953</v>
      </c>
      <c r="C200" s="401"/>
      <c r="D200" s="401"/>
      <c r="E200" s="401"/>
      <c r="F200" s="401"/>
      <c r="G200" s="401"/>
      <c r="H200" s="401"/>
      <c r="I200" s="401"/>
      <c r="J200" s="401"/>
      <c r="K200" s="401"/>
      <c r="L200" s="401"/>
      <c r="M200" s="401"/>
      <c r="N200" s="805"/>
      <c r="O200" s="485"/>
      <c r="P200" s="779"/>
      <c r="Q200" s="485"/>
      <c r="R200" s="485"/>
      <c r="S200" s="485"/>
      <c r="T200" s="1172"/>
      <c r="U200" s="1172"/>
      <c r="V200" s="1172"/>
    </row>
    <row r="201" spans="1:23" ht="15.75" customHeight="1">
      <c r="A201" s="479"/>
      <c r="B201" s="1186" t="s">
        <v>1044</v>
      </c>
      <c r="C201" s="401">
        <f>C197</f>
        <v>14.25</v>
      </c>
      <c r="D201" s="401">
        <v>1</v>
      </c>
      <c r="E201" s="401">
        <v>0.1</v>
      </c>
      <c r="F201" s="401"/>
      <c r="G201" s="401"/>
      <c r="H201" s="401">
        <f>H198</f>
        <v>2</v>
      </c>
      <c r="I201" s="401"/>
      <c r="J201" s="401"/>
      <c r="K201" s="401"/>
      <c r="L201" s="401"/>
      <c r="M201" s="401">
        <f>C201*D201*E201*H201</f>
        <v>2.85</v>
      </c>
      <c r="N201" s="805"/>
      <c r="O201" s="485"/>
      <c r="P201" s="779"/>
      <c r="Q201" s="485"/>
      <c r="R201" s="485"/>
      <c r="S201" s="485"/>
      <c r="T201" s="1172"/>
      <c r="U201" s="1172"/>
      <c r="V201" s="1172"/>
    </row>
    <row r="202" spans="1:23" ht="15.75" customHeight="1">
      <c r="A202" s="479"/>
      <c r="B202" s="1186" t="s">
        <v>136</v>
      </c>
      <c r="C202" s="401">
        <f>C198</f>
        <v>6.95</v>
      </c>
      <c r="D202" s="401">
        <f>D201</f>
        <v>1</v>
      </c>
      <c r="E202" s="401">
        <f>E201</f>
        <v>0.1</v>
      </c>
      <c r="F202" s="401"/>
      <c r="G202" s="401"/>
      <c r="H202" s="401">
        <f>H201</f>
        <v>2</v>
      </c>
      <c r="I202" s="401"/>
      <c r="J202" s="401"/>
      <c r="K202" s="401"/>
      <c r="L202" s="401"/>
      <c r="M202" s="752">
        <f>C202*D202*E202*H202</f>
        <v>1.3900000000000001</v>
      </c>
      <c r="N202" s="805"/>
      <c r="O202" s="485"/>
      <c r="P202" s="779"/>
      <c r="Q202" s="485"/>
      <c r="R202" s="485"/>
      <c r="S202" s="485"/>
      <c r="T202" s="1172"/>
      <c r="U202" s="1172"/>
      <c r="V202" s="1172"/>
    </row>
    <row r="203" spans="1:23" ht="15.75" customHeight="1">
      <c r="A203" s="479"/>
      <c r="B203" s="483"/>
      <c r="C203" s="401"/>
      <c r="D203" s="401"/>
      <c r="E203" s="401"/>
      <c r="F203" s="401"/>
      <c r="G203" s="401"/>
      <c r="H203" s="401"/>
      <c r="I203" s="401"/>
      <c r="J203" s="401"/>
      <c r="K203" s="401"/>
      <c r="L203" s="401"/>
      <c r="M203" s="474">
        <f>SUM(M201:M202)</f>
        <v>4.24</v>
      </c>
      <c r="N203" s="802" t="s">
        <v>103</v>
      </c>
      <c r="O203" s="485"/>
      <c r="P203" s="779"/>
      <c r="Q203" s="485"/>
      <c r="R203" s="485"/>
      <c r="S203" s="485"/>
      <c r="T203" s="1172"/>
      <c r="U203" s="1172"/>
      <c r="V203" s="1172"/>
    </row>
    <row r="204" spans="1:23" ht="15.75" customHeight="1">
      <c r="A204" s="479" t="s">
        <v>101</v>
      </c>
      <c r="B204" s="483" t="s">
        <v>192</v>
      </c>
      <c r="C204" s="401"/>
      <c r="D204" s="401"/>
      <c r="E204" s="401"/>
      <c r="F204" s="401"/>
      <c r="G204" s="401"/>
      <c r="H204" s="401"/>
      <c r="I204" s="401"/>
      <c r="J204" s="401"/>
      <c r="K204" s="401"/>
      <c r="L204" s="401"/>
      <c r="M204" s="401"/>
      <c r="N204" s="805"/>
      <c r="O204" s="485"/>
      <c r="P204" s="779"/>
      <c r="Q204" s="485"/>
      <c r="R204" s="485"/>
      <c r="S204" s="485"/>
      <c r="T204" s="1172"/>
      <c r="U204" s="1172"/>
      <c r="V204" s="1172"/>
    </row>
    <row r="205" spans="1:23" ht="15.75" customHeight="1">
      <c r="A205" s="479"/>
      <c r="B205" s="1186" t="s">
        <v>1044</v>
      </c>
      <c r="C205" s="401">
        <f>C201</f>
        <v>14.25</v>
      </c>
      <c r="D205" s="401">
        <f>D201</f>
        <v>1</v>
      </c>
      <c r="E205" s="401">
        <v>7.0000000000000007E-2</v>
      </c>
      <c r="F205" s="401"/>
      <c r="G205" s="401"/>
      <c r="H205" s="401">
        <f>H202</f>
        <v>2</v>
      </c>
      <c r="I205" s="401"/>
      <c r="J205" s="401"/>
      <c r="K205" s="401"/>
      <c r="L205" s="401"/>
      <c r="M205" s="401">
        <f>C205*D205*E205*H205</f>
        <v>1.9950000000000001</v>
      </c>
      <c r="N205" s="805"/>
      <c r="O205" s="485"/>
      <c r="P205" s="779"/>
      <c r="Q205" s="485"/>
      <c r="R205" s="485"/>
      <c r="S205" s="485"/>
      <c r="T205" s="1172"/>
      <c r="U205" s="1172"/>
      <c r="V205" s="1172"/>
    </row>
    <row r="206" spans="1:23" ht="15.75" customHeight="1">
      <c r="A206" s="479"/>
      <c r="B206" s="1186" t="s">
        <v>136</v>
      </c>
      <c r="C206" s="401">
        <f>C202</f>
        <v>6.95</v>
      </c>
      <c r="D206" s="401">
        <f>D205</f>
        <v>1</v>
      </c>
      <c r="E206" s="401">
        <f>E205</f>
        <v>7.0000000000000007E-2</v>
      </c>
      <c r="F206" s="401"/>
      <c r="G206" s="401"/>
      <c r="H206" s="401">
        <f>H205</f>
        <v>2</v>
      </c>
      <c r="I206" s="401"/>
      <c r="J206" s="401"/>
      <c r="K206" s="401"/>
      <c r="L206" s="401"/>
      <c r="M206" s="752">
        <f>C206*D206*E206*H206</f>
        <v>0.97300000000000009</v>
      </c>
      <c r="N206" s="805"/>
      <c r="O206" s="485"/>
      <c r="P206" s="779"/>
      <c r="Q206" s="485"/>
      <c r="R206" s="485"/>
      <c r="S206" s="485"/>
      <c r="T206" s="1172"/>
      <c r="U206" s="1172"/>
      <c r="V206" s="1172"/>
    </row>
    <row r="207" spans="1:23" ht="15.75" customHeight="1">
      <c r="A207" s="479"/>
      <c r="B207" s="483"/>
      <c r="C207" s="401"/>
      <c r="D207" s="401"/>
      <c r="E207" s="401"/>
      <c r="F207" s="401"/>
      <c r="G207" s="401"/>
      <c r="H207" s="401"/>
      <c r="I207" s="401"/>
      <c r="J207" s="401"/>
      <c r="K207" s="401"/>
      <c r="L207" s="401"/>
      <c r="M207" s="474">
        <f>SUM(M205:M206)</f>
        <v>2.968</v>
      </c>
      <c r="N207" s="802" t="s">
        <v>103</v>
      </c>
      <c r="O207" s="485"/>
      <c r="P207" s="779"/>
      <c r="Q207" s="485"/>
      <c r="R207" s="485"/>
      <c r="S207" s="485"/>
      <c r="T207" s="1172"/>
      <c r="U207" s="1172"/>
      <c r="V207" s="1172"/>
    </row>
    <row r="208" spans="1:23" ht="15.75" customHeight="1">
      <c r="A208" s="479" t="s">
        <v>121</v>
      </c>
      <c r="B208" s="483" t="s">
        <v>954</v>
      </c>
      <c r="C208" s="401"/>
      <c r="D208" s="401"/>
      <c r="E208" s="401"/>
      <c r="F208" s="401"/>
      <c r="G208" s="401"/>
      <c r="H208" s="401"/>
      <c r="I208" s="401"/>
      <c r="J208" s="401"/>
      <c r="K208" s="401"/>
      <c r="L208" s="401"/>
      <c r="M208" s="401"/>
      <c r="N208" s="805"/>
      <c r="O208" s="485"/>
      <c r="P208" s="779"/>
      <c r="Q208" s="485"/>
      <c r="R208" s="485"/>
      <c r="S208" s="485"/>
      <c r="T208" s="1172"/>
      <c r="U208" s="1172"/>
      <c r="V208" s="1172"/>
    </row>
    <row r="209" spans="1:22" ht="15.75" customHeight="1">
      <c r="A209" s="479"/>
      <c r="B209" s="1186" t="s">
        <v>1044</v>
      </c>
      <c r="C209" s="401">
        <f>C205</f>
        <v>14.25</v>
      </c>
      <c r="D209" s="401"/>
      <c r="E209" s="401">
        <f>E205</f>
        <v>7.0000000000000007E-2</v>
      </c>
      <c r="F209" s="401"/>
      <c r="G209" s="401"/>
      <c r="H209" s="401">
        <v>2</v>
      </c>
      <c r="I209" s="401"/>
      <c r="J209" s="401"/>
      <c r="K209" s="401"/>
      <c r="L209" s="401"/>
      <c r="M209" s="401">
        <f>C209*E209*H209</f>
        <v>1.9950000000000001</v>
      </c>
      <c r="N209" s="805"/>
      <c r="O209" s="485"/>
      <c r="P209" s="779"/>
      <c r="Q209" s="485"/>
      <c r="R209" s="485"/>
      <c r="S209" s="485"/>
      <c r="T209" s="1172"/>
      <c r="U209" s="1172"/>
      <c r="V209" s="1172"/>
    </row>
    <row r="210" spans="1:22" ht="15.75" customHeight="1">
      <c r="A210" s="479"/>
      <c r="B210" s="1186" t="s">
        <v>136</v>
      </c>
      <c r="C210" s="401">
        <f>C206</f>
        <v>6.95</v>
      </c>
      <c r="D210" s="401"/>
      <c r="E210" s="401">
        <f>E209</f>
        <v>7.0000000000000007E-2</v>
      </c>
      <c r="F210" s="401"/>
      <c r="G210" s="401"/>
      <c r="H210" s="401">
        <f>H209</f>
        <v>2</v>
      </c>
      <c r="I210" s="401"/>
      <c r="J210" s="401"/>
      <c r="K210" s="401"/>
      <c r="L210" s="401"/>
      <c r="M210" s="752">
        <f>C210*E210*H210</f>
        <v>0.97300000000000009</v>
      </c>
      <c r="N210" s="805"/>
      <c r="O210" s="485"/>
      <c r="P210" s="779"/>
      <c r="Q210" s="485"/>
      <c r="R210" s="485"/>
      <c r="S210" s="485"/>
      <c r="T210" s="1172"/>
      <c r="U210" s="1172"/>
      <c r="V210" s="1172"/>
    </row>
    <row r="211" spans="1:22" ht="15.75" customHeight="1">
      <c r="A211" s="479"/>
      <c r="B211" s="417"/>
      <c r="C211" s="401"/>
      <c r="D211" s="401"/>
      <c r="E211" s="401"/>
      <c r="F211" s="401"/>
      <c r="G211" s="401"/>
      <c r="H211" s="401"/>
      <c r="I211" s="401"/>
      <c r="J211" s="401"/>
      <c r="K211" s="401"/>
      <c r="L211" s="401"/>
      <c r="M211" s="474">
        <f>SUM(M209:M210)</f>
        <v>2.968</v>
      </c>
      <c r="N211" s="802" t="s">
        <v>89</v>
      </c>
      <c r="O211" s="485"/>
      <c r="P211" s="779"/>
      <c r="Q211" s="485"/>
      <c r="R211" s="485"/>
      <c r="S211" s="485"/>
      <c r="T211" s="1172"/>
      <c r="U211" s="1172"/>
      <c r="V211" s="1172"/>
    </row>
    <row r="212" spans="1:22" ht="15.75" customHeight="1">
      <c r="A212" s="480">
        <f>A195+1</f>
        <v>14</v>
      </c>
      <c r="B212" s="357" t="s">
        <v>837</v>
      </c>
      <c r="C212" s="401"/>
      <c r="D212" s="401"/>
      <c r="E212" s="401"/>
      <c r="F212" s="401"/>
      <c r="G212" s="401"/>
      <c r="H212" s="401"/>
      <c r="I212" s="401"/>
      <c r="J212" s="401"/>
      <c r="K212" s="401"/>
      <c r="L212" s="401"/>
      <c r="M212" s="474"/>
      <c r="N212" s="802"/>
      <c r="O212" s="485"/>
      <c r="P212" s="779"/>
      <c r="Q212" s="485"/>
      <c r="R212" s="485"/>
      <c r="S212" s="485"/>
      <c r="T212" s="1172"/>
      <c r="U212" s="1172"/>
      <c r="V212" s="1172"/>
    </row>
    <row r="213" spans="1:22" ht="15.75" customHeight="1">
      <c r="A213" s="481" t="s">
        <v>95</v>
      </c>
      <c r="B213" s="482" t="s">
        <v>946</v>
      </c>
      <c r="C213" s="401">
        <f>C209</f>
        <v>14.25</v>
      </c>
      <c r="D213" s="401">
        <f>D206</f>
        <v>1</v>
      </c>
      <c r="E213" s="401">
        <v>0.15</v>
      </c>
      <c r="F213" s="401"/>
      <c r="G213" s="401"/>
      <c r="H213" s="401">
        <f>H209</f>
        <v>2</v>
      </c>
      <c r="I213" s="401"/>
      <c r="J213" s="401"/>
      <c r="K213" s="401"/>
      <c r="L213" s="401"/>
      <c r="M213" s="401">
        <f>C213*D213*E213*H213</f>
        <v>4.2749999999999995</v>
      </c>
      <c r="N213" s="805" t="s">
        <v>103</v>
      </c>
      <c r="O213" s="485"/>
      <c r="P213" s="779"/>
      <c r="Q213" s="485"/>
      <c r="R213" s="485"/>
      <c r="S213" s="485"/>
      <c r="T213" s="1172"/>
      <c r="U213" s="1172"/>
      <c r="V213" s="1172"/>
    </row>
    <row r="214" spans="1:22" ht="15.75" customHeight="1">
      <c r="A214" s="481" t="s">
        <v>98</v>
      </c>
      <c r="B214" s="366" t="s">
        <v>414</v>
      </c>
      <c r="C214" s="401" t="s">
        <v>1609</v>
      </c>
      <c r="D214" s="401"/>
      <c r="E214" s="401"/>
      <c r="F214" s="401"/>
      <c r="G214" s="401"/>
      <c r="H214" s="401"/>
      <c r="I214" s="401"/>
      <c r="J214" s="401"/>
      <c r="K214" s="401"/>
      <c r="L214" s="401"/>
      <c r="M214" s="401">
        <f>M213</f>
        <v>4.2749999999999995</v>
      </c>
      <c r="N214" s="805" t="s">
        <v>103</v>
      </c>
      <c r="O214" s="485"/>
      <c r="P214" s="779"/>
      <c r="Q214" s="485"/>
      <c r="R214" s="485"/>
      <c r="S214" s="485"/>
      <c r="T214" s="1172"/>
      <c r="U214" s="1172"/>
      <c r="V214" s="1172"/>
    </row>
    <row r="215" spans="1:22" ht="15.75" customHeight="1">
      <c r="A215" s="481" t="s">
        <v>101</v>
      </c>
      <c r="B215" s="357" t="s">
        <v>955</v>
      </c>
      <c r="C215" s="401">
        <f>C213</f>
        <v>14.25</v>
      </c>
      <c r="D215" s="401">
        <f>D213</f>
        <v>1</v>
      </c>
      <c r="E215" s="401">
        <f>((0.16*0.55)/2)</f>
        <v>4.4000000000000004E-2</v>
      </c>
      <c r="F215" s="401"/>
      <c r="G215" s="401"/>
      <c r="H215" s="401">
        <v>2</v>
      </c>
      <c r="I215" s="401"/>
      <c r="J215" s="401"/>
      <c r="K215" s="401"/>
      <c r="L215" s="401"/>
      <c r="M215" s="401">
        <f>C215*D215*E215*H215</f>
        <v>1.2540000000000002</v>
      </c>
      <c r="N215" s="805" t="s">
        <v>103</v>
      </c>
      <c r="O215" s="485"/>
      <c r="P215" s="779"/>
      <c r="Q215" s="485"/>
      <c r="R215" s="485"/>
      <c r="S215" s="485"/>
      <c r="T215" s="1172"/>
      <c r="U215" s="1172"/>
      <c r="V215" s="1172"/>
    </row>
    <row r="216" spans="1:22" ht="15.75" customHeight="1">
      <c r="A216" s="481" t="s">
        <v>121</v>
      </c>
      <c r="B216" s="357" t="s">
        <v>956</v>
      </c>
      <c r="C216" s="401"/>
      <c r="D216" s="401"/>
      <c r="E216" s="401"/>
      <c r="F216" s="401"/>
      <c r="G216" s="401"/>
      <c r="H216" s="401"/>
      <c r="I216" s="401"/>
      <c r="J216" s="401"/>
      <c r="K216" s="401"/>
      <c r="L216" s="401"/>
      <c r="M216" s="401"/>
      <c r="N216" s="805"/>
      <c r="O216" s="485"/>
      <c r="P216" s="779"/>
      <c r="Q216" s="485"/>
      <c r="R216" s="485"/>
      <c r="S216" s="485"/>
      <c r="T216" s="1172"/>
      <c r="U216" s="1172"/>
      <c r="V216" s="1172"/>
    </row>
    <row r="217" spans="1:22" ht="15.75" customHeight="1">
      <c r="A217" s="481"/>
      <c r="B217" s="357"/>
      <c r="C217" s="401">
        <f>C215</f>
        <v>14.25</v>
      </c>
      <c r="D217" s="401">
        <f>D215</f>
        <v>1</v>
      </c>
      <c r="E217" s="401"/>
      <c r="F217" s="401"/>
      <c r="G217" s="401"/>
      <c r="H217" s="401"/>
      <c r="I217" s="401"/>
      <c r="J217" s="401"/>
      <c r="K217" s="401"/>
      <c r="L217" s="401"/>
      <c r="M217" s="401">
        <f>C217*D217</f>
        <v>14.25</v>
      </c>
      <c r="N217" s="805"/>
      <c r="O217" s="485"/>
      <c r="P217" s="779"/>
      <c r="Q217" s="485"/>
      <c r="R217" s="485"/>
      <c r="S217" s="485"/>
      <c r="T217" s="1172"/>
      <c r="U217" s="1172"/>
      <c r="V217" s="1172"/>
    </row>
    <row r="218" spans="1:22" ht="15.75" customHeight="1">
      <c r="A218" s="481"/>
      <c r="B218" s="357"/>
      <c r="C218" s="401">
        <f>C217</f>
        <v>14.25</v>
      </c>
      <c r="D218" s="401">
        <f>((0.16*0.55)/2)</f>
        <v>4.4000000000000004E-2</v>
      </c>
      <c r="E218" s="401"/>
      <c r="F218" s="401"/>
      <c r="G218" s="401"/>
      <c r="H218" s="401">
        <v>2</v>
      </c>
      <c r="I218" s="401"/>
      <c r="J218" s="401"/>
      <c r="K218" s="401"/>
      <c r="L218" s="401"/>
      <c r="M218" s="401">
        <f>C218*D218*H218</f>
        <v>1.2540000000000002</v>
      </c>
      <c r="N218" s="805"/>
      <c r="O218" s="485"/>
      <c r="P218" s="779"/>
      <c r="Q218" s="485"/>
      <c r="R218" s="485"/>
      <c r="S218" s="485"/>
      <c r="T218" s="1172"/>
      <c r="U218" s="1172"/>
      <c r="V218" s="1172"/>
    </row>
    <row r="219" spans="1:22" ht="15.75" customHeight="1">
      <c r="A219" s="481"/>
      <c r="B219" s="357"/>
      <c r="C219" s="401">
        <f>D217</f>
        <v>1</v>
      </c>
      <c r="D219" s="401">
        <f>((0.16*0.55)/2)</f>
        <v>4.4000000000000004E-2</v>
      </c>
      <c r="E219" s="401"/>
      <c r="F219" s="401"/>
      <c r="G219" s="401"/>
      <c r="H219" s="401">
        <v>2</v>
      </c>
      <c r="I219" s="401"/>
      <c r="J219" s="401"/>
      <c r="K219" s="401"/>
      <c r="L219" s="401"/>
      <c r="M219" s="752">
        <f>C219*D219*H219</f>
        <v>8.8000000000000009E-2</v>
      </c>
      <c r="N219" s="805"/>
      <c r="O219" s="485"/>
      <c r="P219" s="779"/>
      <c r="Q219" s="485"/>
      <c r="R219" s="485"/>
      <c r="S219" s="485"/>
      <c r="T219" s="1172"/>
      <c r="U219" s="1172"/>
      <c r="V219" s="1172"/>
    </row>
    <row r="220" spans="1:22" ht="15.75" customHeight="1">
      <c r="A220" s="481"/>
      <c r="B220" s="357"/>
      <c r="C220" s="401"/>
      <c r="D220" s="401"/>
      <c r="E220" s="401"/>
      <c r="F220" s="401"/>
      <c r="G220" s="401"/>
      <c r="H220" s="401"/>
      <c r="I220" s="401"/>
      <c r="J220" s="401"/>
      <c r="K220" s="401"/>
      <c r="L220" s="401"/>
      <c r="M220" s="401">
        <f>SUM(M217:M219)</f>
        <v>15.591999999999999</v>
      </c>
      <c r="N220" s="805" t="s">
        <v>89</v>
      </c>
      <c r="O220" s="485"/>
      <c r="P220" s="779"/>
      <c r="Q220" s="485"/>
      <c r="R220" s="485"/>
      <c r="S220" s="485"/>
      <c r="T220" s="1172"/>
      <c r="U220" s="1172"/>
      <c r="V220" s="1172"/>
    </row>
    <row r="221" spans="1:22" ht="15.75" customHeight="1">
      <c r="A221" s="481" t="s">
        <v>142</v>
      </c>
      <c r="B221" s="357" t="s">
        <v>947</v>
      </c>
      <c r="C221" s="401">
        <f>C217</f>
        <v>14.25</v>
      </c>
      <c r="D221" s="401">
        <f>D217</f>
        <v>1</v>
      </c>
      <c r="E221" s="401"/>
      <c r="F221" s="401"/>
      <c r="G221" s="401"/>
      <c r="H221" s="401">
        <v>2</v>
      </c>
      <c r="I221" s="401"/>
      <c r="J221" s="401"/>
      <c r="K221" s="401"/>
      <c r="L221" s="401"/>
      <c r="M221" s="401">
        <f>C221*D221*H221</f>
        <v>28.5</v>
      </c>
      <c r="N221" s="805" t="s">
        <v>89</v>
      </c>
      <c r="O221" s="485"/>
      <c r="P221" s="779"/>
      <c r="Q221" s="485"/>
      <c r="R221" s="485"/>
      <c r="S221" s="485"/>
      <c r="T221" s="1172"/>
      <c r="U221" s="1172"/>
      <c r="V221" s="1172"/>
    </row>
    <row r="222" spans="1:22" ht="15.75" customHeight="1">
      <c r="A222" s="481" t="s">
        <v>217</v>
      </c>
      <c r="B222" s="379" t="s">
        <v>948</v>
      </c>
      <c r="C222" s="401">
        <f>C221</f>
        <v>14.25</v>
      </c>
      <c r="D222" s="401">
        <f>D221</f>
        <v>1</v>
      </c>
      <c r="E222" s="401">
        <v>0.15</v>
      </c>
      <c r="F222" s="401"/>
      <c r="G222" s="401"/>
      <c r="H222" s="401">
        <v>2</v>
      </c>
      <c r="I222" s="401"/>
      <c r="J222" s="401"/>
      <c r="K222" s="401"/>
      <c r="L222" s="401"/>
      <c r="M222" s="401">
        <f>C222*D222*E222*H222</f>
        <v>4.2749999999999995</v>
      </c>
      <c r="N222" s="805" t="s">
        <v>103</v>
      </c>
      <c r="O222" s="485"/>
      <c r="P222" s="779"/>
      <c r="Q222" s="485"/>
      <c r="R222" s="485"/>
      <c r="S222" s="485"/>
      <c r="T222" s="1172"/>
      <c r="U222" s="1172"/>
      <c r="V222" s="1172"/>
    </row>
    <row r="223" spans="1:22" ht="15.75" customHeight="1">
      <c r="A223" s="1193"/>
      <c r="B223" s="417"/>
      <c r="C223" s="401"/>
      <c r="D223" s="401"/>
      <c r="E223" s="401"/>
      <c r="F223" s="401"/>
      <c r="G223" s="401"/>
      <c r="H223" s="401"/>
      <c r="I223" s="401"/>
      <c r="J223" s="401"/>
      <c r="K223" s="401"/>
      <c r="L223" s="401"/>
      <c r="M223" s="474"/>
      <c r="N223" s="802"/>
      <c r="O223" s="485"/>
      <c r="P223" s="779"/>
      <c r="Q223" s="485"/>
      <c r="R223" s="485"/>
      <c r="S223" s="485"/>
      <c r="T223" s="1172"/>
      <c r="U223" s="1172"/>
      <c r="V223" s="1172"/>
    </row>
    <row r="224" spans="1:22" ht="15.75" customHeight="1">
      <c r="A224" s="1184" t="s">
        <v>1610</v>
      </c>
      <c r="B224" s="1185" t="s">
        <v>434</v>
      </c>
      <c r="C224" s="401"/>
      <c r="D224" s="401"/>
      <c r="E224" s="401"/>
      <c r="F224" s="401"/>
      <c r="G224" s="401"/>
      <c r="H224" s="401"/>
      <c r="I224" s="401"/>
      <c r="J224" s="401"/>
      <c r="K224" s="401"/>
      <c r="L224" s="401"/>
      <c r="M224" s="401"/>
      <c r="N224" s="805"/>
      <c r="O224" s="485"/>
      <c r="P224" s="779"/>
      <c r="Q224" s="485"/>
      <c r="R224" s="485"/>
      <c r="S224" s="485"/>
      <c r="T224" s="1172"/>
      <c r="U224" s="1172"/>
      <c r="V224" s="1172"/>
    </row>
    <row r="225" spans="1:22" ht="15.75" customHeight="1">
      <c r="A225" s="350">
        <v>1</v>
      </c>
      <c r="B225" s="591" t="s">
        <v>536</v>
      </c>
      <c r="C225" s="401"/>
      <c r="D225" s="401"/>
      <c r="E225" s="401"/>
      <c r="F225" s="401"/>
      <c r="G225" s="401"/>
      <c r="H225" s="401"/>
      <c r="I225" s="401"/>
      <c r="J225" s="401"/>
      <c r="K225" s="401"/>
      <c r="L225" s="401"/>
      <c r="M225" s="401"/>
      <c r="N225" s="805"/>
      <c r="O225" s="485"/>
      <c r="P225" s="779"/>
      <c r="Q225" s="485"/>
      <c r="R225" s="485"/>
      <c r="S225" s="485"/>
      <c r="T225" s="1172"/>
      <c r="U225" s="1172"/>
      <c r="V225" s="1172"/>
    </row>
    <row r="226" spans="1:22" ht="15.75" customHeight="1">
      <c r="A226" s="350"/>
      <c r="B226" s="567" t="s">
        <v>1586</v>
      </c>
      <c r="C226" s="401">
        <v>4</v>
      </c>
      <c r="D226" s="401"/>
      <c r="E226" s="401">
        <v>0.33</v>
      </c>
      <c r="F226" s="401"/>
      <c r="G226" s="401"/>
      <c r="H226" s="401">
        <v>2</v>
      </c>
      <c r="I226" s="401"/>
      <c r="J226" s="401"/>
      <c r="K226" s="401"/>
      <c r="L226" s="401"/>
      <c r="M226" s="401">
        <f>C226*E226*H226</f>
        <v>2.64</v>
      </c>
      <c r="N226" s="805"/>
      <c r="O226" s="485"/>
      <c r="P226" s="779"/>
      <c r="Q226" s="485"/>
      <c r="R226" s="485"/>
      <c r="S226" s="485"/>
      <c r="T226" s="1172"/>
      <c r="U226" s="1172"/>
      <c r="V226" s="1172"/>
    </row>
    <row r="227" spans="1:22" ht="15.75" customHeight="1">
      <c r="A227" s="350"/>
      <c r="B227" s="567" t="s">
        <v>1539</v>
      </c>
      <c r="C227" s="401"/>
      <c r="D227" s="401">
        <v>2.2719999999999998</v>
      </c>
      <c r="E227" s="401">
        <v>0.65700000000000003</v>
      </c>
      <c r="F227" s="401"/>
      <c r="G227" s="401"/>
      <c r="H227" s="401">
        <v>2</v>
      </c>
      <c r="I227" s="401"/>
      <c r="J227" s="401"/>
      <c r="K227" s="401"/>
      <c r="L227" s="401"/>
      <c r="M227" s="401">
        <f>D227*E227*H227*O227</f>
        <v>0</v>
      </c>
      <c r="N227" s="805"/>
      <c r="O227" s="485"/>
      <c r="P227" s="779"/>
      <c r="Q227" s="485"/>
      <c r="R227" s="485"/>
      <c r="S227" s="485"/>
      <c r="T227" s="1172"/>
      <c r="U227" s="1172"/>
      <c r="V227" s="1172"/>
    </row>
    <row r="228" spans="1:22" ht="15.75" customHeight="1">
      <c r="A228" s="350"/>
      <c r="B228" s="591"/>
      <c r="C228" s="401"/>
      <c r="D228" s="401">
        <v>1.429</v>
      </c>
      <c r="E228" s="401">
        <f>E227</f>
        <v>0.65700000000000003</v>
      </c>
      <c r="F228" s="401"/>
      <c r="G228" s="401"/>
      <c r="H228" s="401">
        <f>H227</f>
        <v>2</v>
      </c>
      <c r="I228" s="401"/>
      <c r="J228" s="401"/>
      <c r="K228" s="401"/>
      <c r="L228" s="401"/>
      <c r="M228" s="401">
        <f>D228*E228*H228*O228</f>
        <v>0</v>
      </c>
      <c r="N228" s="805"/>
      <c r="O228" s="485"/>
      <c r="P228" s="779"/>
      <c r="Q228" s="485"/>
      <c r="R228" s="485"/>
      <c r="S228" s="485"/>
      <c r="T228" s="1172"/>
      <c r="U228" s="1172"/>
      <c r="V228" s="1172"/>
    </row>
    <row r="229" spans="1:22" ht="15.75" customHeight="1">
      <c r="A229" s="350"/>
      <c r="B229" s="591"/>
      <c r="C229" s="401"/>
      <c r="D229" s="401">
        <f>D227/2</f>
        <v>1.1359999999999999</v>
      </c>
      <c r="E229" s="401">
        <v>1.532</v>
      </c>
      <c r="F229" s="401"/>
      <c r="G229" s="401"/>
      <c r="H229" s="401">
        <f>H228</f>
        <v>2</v>
      </c>
      <c r="I229" s="401"/>
      <c r="J229" s="401"/>
      <c r="K229" s="401"/>
      <c r="L229" s="401"/>
      <c r="M229" s="401">
        <f>D229*E229*H229*O229</f>
        <v>0</v>
      </c>
      <c r="N229" s="805"/>
      <c r="O229" s="485"/>
      <c r="P229" s="779"/>
      <c r="Q229" s="485"/>
      <c r="R229" s="485"/>
      <c r="S229" s="485"/>
      <c r="T229" s="1172"/>
      <c r="U229" s="1172"/>
      <c r="V229" s="1172"/>
    </row>
    <row r="230" spans="1:22" ht="15.75" customHeight="1">
      <c r="A230" s="350"/>
      <c r="B230" s="591"/>
      <c r="C230" s="401"/>
      <c r="D230" s="401"/>
      <c r="E230" s="401"/>
      <c r="F230" s="401"/>
      <c r="G230" s="401"/>
      <c r="H230" s="401"/>
      <c r="I230" s="401"/>
      <c r="J230" s="401"/>
      <c r="K230" s="401"/>
      <c r="L230" s="401"/>
      <c r="M230" s="401">
        <f>SUM(M226:M229)</f>
        <v>2.64</v>
      </c>
      <c r="N230" s="805" t="s">
        <v>89</v>
      </c>
      <c r="O230" s="485"/>
      <c r="P230" s="779"/>
      <c r="Q230" s="485"/>
      <c r="R230" s="485"/>
      <c r="S230" s="485"/>
      <c r="T230" s="1172"/>
      <c r="U230" s="1172"/>
      <c r="V230" s="1172"/>
    </row>
    <row r="231" spans="1:22" ht="15.75" customHeight="1">
      <c r="A231" s="350">
        <f>A225+1</f>
        <v>2</v>
      </c>
      <c r="B231" s="591" t="s">
        <v>193</v>
      </c>
      <c r="C231" s="401" t="s">
        <v>1611</v>
      </c>
      <c r="D231" s="401"/>
      <c r="E231" s="401"/>
      <c r="F231" s="401"/>
      <c r="G231" s="401"/>
      <c r="H231" s="401"/>
      <c r="I231" s="401"/>
      <c r="J231" s="401"/>
      <c r="K231" s="401"/>
      <c r="L231" s="401"/>
      <c r="M231" s="401">
        <f>M230*2</f>
        <v>5.28</v>
      </c>
      <c r="N231" s="805" t="s">
        <v>89</v>
      </c>
      <c r="O231" s="485"/>
      <c r="P231" s="779"/>
      <c r="Q231" s="485"/>
      <c r="R231" s="485"/>
      <c r="S231" s="485"/>
      <c r="T231" s="1172"/>
      <c r="U231" s="1172"/>
      <c r="V231" s="1172"/>
    </row>
    <row r="232" spans="1:22" ht="15.75" customHeight="1">
      <c r="A232" s="350">
        <f>A231+1</f>
        <v>3</v>
      </c>
      <c r="B232" s="591" t="s">
        <v>194</v>
      </c>
      <c r="C232" s="401" t="s">
        <v>1022</v>
      </c>
      <c r="D232" s="401"/>
      <c r="E232" s="401"/>
      <c r="F232" s="401"/>
      <c r="G232" s="401"/>
      <c r="H232" s="401"/>
      <c r="I232" s="401"/>
      <c r="J232" s="401"/>
      <c r="K232" s="401"/>
      <c r="L232" s="401"/>
      <c r="M232" s="401">
        <f>M231</f>
        <v>5.28</v>
      </c>
      <c r="N232" s="805" t="s">
        <v>89</v>
      </c>
      <c r="O232" s="485"/>
      <c r="P232" s="779"/>
      <c r="Q232" s="485"/>
      <c r="R232" s="485"/>
      <c r="S232" s="485"/>
      <c r="T232" s="1172"/>
      <c r="U232" s="1172"/>
      <c r="V232" s="1172"/>
    </row>
    <row r="233" spans="1:22" ht="15.75" customHeight="1">
      <c r="A233" s="350">
        <f>A232+1</f>
        <v>4</v>
      </c>
      <c r="B233" s="591" t="s">
        <v>435</v>
      </c>
      <c r="C233" s="401"/>
      <c r="D233" s="401"/>
      <c r="E233" s="401"/>
      <c r="F233" s="401"/>
      <c r="G233" s="401"/>
      <c r="H233" s="401"/>
      <c r="I233" s="401"/>
      <c r="J233" s="401"/>
      <c r="K233" s="401"/>
      <c r="L233" s="401"/>
      <c r="M233" s="401"/>
      <c r="N233" s="805"/>
      <c r="O233" s="485"/>
      <c r="P233" s="779"/>
      <c r="Q233" s="485"/>
      <c r="R233" s="485"/>
      <c r="S233" s="485"/>
      <c r="T233" s="1172"/>
      <c r="U233" s="1172"/>
      <c r="V233" s="1172"/>
    </row>
    <row r="234" spans="1:22" ht="15.75" customHeight="1">
      <c r="A234" s="350"/>
      <c r="B234" s="567" t="s">
        <v>1087</v>
      </c>
      <c r="C234" s="348"/>
      <c r="D234" s="348">
        <v>0.25</v>
      </c>
      <c r="E234" s="348">
        <f>E126</f>
        <v>3.58</v>
      </c>
      <c r="F234" s="330"/>
      <c r="G234" s="330"/>
      <c r="H234" s="330">
        <v>4</v>
      </c>
      <c r="I234" s="330"/>
      <c r="J234" s="330"/>
      <c r="K234" s="330"/>
      <c r="L234" s="330">
        <v>8</v>
      </c>
      <c r="M234" s="330">
        <f>D234*E234*H234*L234</f>
        <v>28.64</v>
      </c>
      <c r="N234" s="805"/>
      <c r="O234" s="779"/>
      <c r="P234" s="485"/>
      <c r="Q234" s="485"/>
      <c r="R234" s="485"/>
      <c r="S234" s="1172"/>
      <c r="T234" s="1172"/>
      <c r="U234" s="1172"/>
    </row>
    <row r="235" spans="1:22" ht="15.75" customHeight="1">
      <c r="A235" s="350"/>
      <c r="B235" s="567" t="s">
        <v>1361</v>
      </c>
      <c r="C235" s="348">
        <v>5</v>
      </c>
      <c r="D235" s="348"/>
      <c r="E235" s="348">
        <v>0.35</v>
      </c>
      <c r="F235" s="330"/>
      <c r="G235" s="330"/>
      <c r="H235" s="330">
        <v>2</v>
      </c>
      <c r="I235" s="330"/>
      <c r="J235" s="330"/>
      <c r="K235" s="330"/>
      <c r="L235" s="330">
        <v>4</v>
      </c>
      <c r="M235" s="330">
        <f>C235*E235*H235*L235</f>
        <v>14</v>
      </c>
      <c r="N235" s="805"/>
      <c r="O235" s="779"/>
      <c r="P235" s="485"/>
      <c r="Q235" s="485"/>
      <c r="R235" s="485"/>
      <c r="S235" s="1172"/>
      <c r="T235" s="1172"/>
      <c r="U235" s="1172"/>
    </row>
    <row r="236" spans="1:22" ht="15.75" customHeight="1">
      <c r="A236" s="350"/>
      <c r="B236" s="567"/>
      <c r="C236" s="348">
        <f>C235</f>
        <v>5</v>
      </c>
      <c r="D236" s="348">
        <v>0.2</v>
      </c>
      <c r="E236" s="348"/>
      <c r="F236" s="330"/>
      <c r="G236" s="330"/>
      <c r="H236" s="330">
        <v>1</v>
      </c>
      <c r="I236" s="330"/>
      <c r="J236" s="330"/>
      <c r="K236" s="330"/>
      <c r="L236" s="330">
        <f>L235</f>
        <v>4</v>
      </c>
      <c r="M236" s="330">
        <f>C236*D236*H236*L236</f>
        <v>4</v>
      </c>
      <c r="N236" s="805"/>
      <c r="O236" s="779"/>
      <c r="P236" s="485"/>
      <c r="Q236" s="485"/>
      <c r="R236" s="485"/>
      <c r="S236" s="1172"/>
      <c r="T236" s="1172"/>
      <c r="U236" s="1172"/>
    </row>
    <row r="237" spans="1:22" ht="15.75" customHeight="1">
      <c r="A237" s="350"/>
      <c r="B237" s="591"/>
      <c r="C237" s="348">
        <v>12</v>
      </c>
      <c r="D237" s="348"/>
      <c r="E237" s="348">
        <f>E235</f>
        <v>0.35</v>
      </c>
      <c r="F237" s="330"/>
      <c r="G237" s="330"/>
      <c r="H237" s="330">
        <f>H235</f>
        <v>2</v>
      </c>
      <c r="I237" s="330"/>
      <c r="J237" s="330"/>
      <c r="K237" s="330"/>
      <c r="L237" s="330">
        <v>2</v>
      </c>
      <c r="M237" s="330">
        <f>C237*E237*H237*L237</f>
        <v>16.799999999999997</v>
      </c>
      <c r="N237" s="805"/>
      <c r="O237" s="779"/>
      <c r="P237" s="485"/>
      <c r="Q237" s="485"/>
      <c r="R237" s="485"/>
      <c r="S237" s="1172"/>
      <c r="T237" s="1172"/>
      <c r="U237" s="1172"/>
    </row>
    <row r="238" spans="1:22" ht="15.75" customHeight="1">
      <c r="A238" s="350"/>
      <c r="B238" s="591"/>
      <c r="C238" s="348">
        <f>C237</f>
        <v>12</v>
      </c>
      <c r="D238" s="348">
        <f>D236</f>
        <v>0.2</v>
      </c>
      <c r="E238" s="348"/>
      <c r="F238" s="330"/>
      <c r="G238" s="330"/>
      <c r="H238" s="330">
        <f>H236</f>
        <v>1</v>
      </c>
      <c r="I238" s="330"/>
      <c r="J238" s="330"/>
      <c r="K238" s="330"/>
      <c r="L238" s="330">
        <f>L237</f>
        <v>2</v>
      </c>
      <c r="M238" s="330">
        <f>C238*D238*H238*L238</f>
        <v>4.8000000000000007</v>
      </c>
      <c r="N238" s="805"/>
      <c r="O238" s="779"/>
      <c r="P238" s="485"/>
      <c r="Q238" s="485"/>
      <c r="R238" s="485"/>
      <c r="S238" s="1172"/>
      <c r="T238" s="1172"/>
      <c r="U238" s="1172"/>
    </row>
    <row r="239" spans="1:22" ht="15.75" customHeight="1">
      <c r="A239" s="350"/>
      <c r="B239" s="591"/>
      <c r="C239" s="348">
        <v>4</v>
      </c>
      <c r="D239" s="348"/>
      <c r="E239" s="348">
        <v>0.15</v>
      </c>
      <c r="F239" s="330"/>
      <c r="G239" s="330"/>
      <c r="H239" s="330">
        <v>3</v>
      </c>
      <c r="I239" s="330"/>
      <c r="J239" s="330"/>
      <c r="K239" s="330"/>
      <c r="L239" s="330">
        <v>2</v>
      </c>
      <c r="M239" s="752">
        <f>C239*E239*H239*L239</f>
        <v>3.5999999999999996</v>
      </c>
      <c r="N239" s="805"/>
      <c r="O239" s="779"/>
      <c r="P239" s="485"/>
      <c r="Q239" s="485"/>
      <c r="R239" s="485"/>
      <c r="S239" s="1172"/>
      <c r="T239" s="1172"/>
      <c r="U239" s="1172"/>
    </row>
    <row r="240" spans="1:22" ht="15.75" customHeight="1">
      <c r="A240" s="350"/>
      <c r="B240" s="591"/>
      <c r="C240" s="330"/>
      <c r="D240" s="330"/>
      <c r="E240" s="330"/>
      <c r="F240" s="330"/>
      <c r="G240" s="330"/>
      <c r="H240" s="330"/>
      <c r="I240" s="330"/>
      <c r="J240" s="330"/>
      <c r="K240" s="330"/>
      <c r="L240" s="330"/>
      <c r="M240" s="330">
        <f>SUM(M234:M239)</f>
        <v>71.839999999999989</v>
      </c>
      <c r="N240" s="805" t="s">
        <v>89</v>
      </c>
      <c r="O240" s="779"/>
      <c r="P240" s="485"/>
      <c r="Q240" s="485"/>
      <c r="R240" s="485"/>
      <c r="S240" s="1172"/>
      <c r="T240" s="1172"/>
      <c r="U240" s="1172"/>
    </row>
    <row r="241" spans="1:22" ht="15.75" customHeight="1">
      <c r="A241" s="350">
        <f>A233+1</f>
        <v>5</v>
      </c>
      <c r="B241" s="403" t="s">
        <v>1612</v>
      </c>
      <c r="C241" s="401"/>
      <c r="D241" s="401"/>
      <c r="E241" s="401"/>
      <c r="F241" s="401"/>
      <c r="G241" s="401"/>
      <c r="H241" s="401"/>
      <c r="I241" s="401"/>
      <c r="J241" s="401"/>
      <c r="K241" s="401"/>
      <c r="L241" s="401"/>
      <c r="M241" s="401"/>
      <c r="N241" s="805"/>
      <c r="O241" s="779"/>
      <c r="P241" s="485"/>
      <c r="Q241" s="485"/>
      <c r="R241" s="485"/>
      <c r="S241" s="1172"/>
      <c r="T241" s="1172"/>
      <c r="U241" s="1172"/>
    </row>
    <row r="242" spans="1:22" ht="15.75" customHeight="1">
      <c r="A242" s="350"/>
      <c r="B242" s="567" t="s">
        <v>1539</v>
      </c>
      <c r="C242" s="401"/>
      <c r="D242" s="401">
        <v>2.2719999999999998</v>
      </c>
      <c r="E242" s="401">
        <v>0.65700000000000003</v>
      </c>
      <c r="F242" s="401"/>
      <c r="G242" s="401"/>
      <c r="H242" s="401">
        <v>2</v>
      </c>
      <c r="I242" s="401"/>
      <c r="J242" s="401"/>
      <c r="K242" s="401"/>
      <c r="L242" s="401"/>
      <c r="M242" s="401">
        <f>D242*E242*H242</f>
        <v>2.9854080000000001</v>
      </c>
      <c r="N242" s="805"/>
      <c r="O242" s="779"/>
      <c r="P242" s="485"/>
      <c r="Q242" s="485"/>
      <c r="R242" s="485"/>
      <c r="S242" s="1172"/>
      <c r="T242" s="1172"/>
      <c r="U242" s="1172"/>
    </row>
    <row r="243" spans="1:22" ht="15.75" customHeight="1">
      <c r="A243" s="350"/>
      <c r="B243" s="591"/>
      <c r="C243" s="401"/>
      <c r="D243" s="401">
        <v>1.429</v>
      </c>
      <c r="E243" s="401">
        <f>E242</f>
        <v>0.65700000000000003</v>
      </c>
      <c r="F243" s="401"/>
      <c r="G243" s="401"/>
      <c r="H243" s="401">
        <f>H242</f>
        <v>2</v>
      </c>
      <c r="I243" s="401"/>
      <c r="J243" s="401"/>
      <c r="K243" s="401"/>
      <c r="L243" s="401"/>
      <c r="M243" s="401">
        <f>D243*E243*H243</f>
        <v>1.8777060000000001</v>
      </c>
      <c r="N243" s="805"/>
      <c r="O243" s="779"/>
      <c r="P243" s="485"/>
      <c r="Q243" s="485"/>
      <c r="R243" s="485"/>
      <c r="S243" s="1172"/>
      <c r="T243" s="1172"/>
      <c r="U243" s="1172"/>
    </row>
    <row r="244" spans="1:22" ht="15.75" customHeight="1">
      <c r="A244" s="350"/>
      <c r="B244" s="591"/>
      <c r="C244" s="401"/>
      <c r="D244" s="401">
        <f>D242/2</f>
        <v>1.1359999999999999</v>
      </c>
      <c r="E244" s="401">
        <v>1.532</v>
      </c>
      <c r="F244" s="401"/>
      <c r="G244" s="401"/>
      <c r="H244" s="401">
        <f>H243</f>
        <v>2</v>
      </c>
      <c r="I244" s="401"/>
      <c r="J244" s="401"/>
      <c r="K244" s="401"/>
      <c r="L244" s="401"/>
      <c r="M244" s="752">
        <f>D244*E244*H244</f>
        <v>3.4807039999999998</v>
      </c>
      <c r="N244" s="805"/>
      <c r="O244" s="779"/>
      <c r="P244" s="485"/>
      <c r="Q244" s="485"/>
      <c r="R244" s="485"/>
      <c r="S244" s="1172"/>
      <c r="T244" s="1172"/>
      <c r="U244" s="1172"/>
    </row>
    <row r="245" spans="1:22" ht="15.75" customHeight="1">
      <c r="A245" s="350"/>
      <c r="B245" s="403"/>
      <c r="C245" s="401"/>
      <c r="D245" s="401"/>
      <c r="E245" s="401"/>
      <c r="F245" s="401"/>
      <c r="G245" s="401"/>
      <c r="H245" s="401"/>
      <c r="I245" s="401"/>
      <c r="J245" s="401"/>
      <c r="K245" s="401"/>
      <c r="L245" s="401"/>
      <c r="M245" s="401">
        <f>SUM(M242:M244)</f>
        <v>8.3438180000000006</v>
      </c>
      <c r="N245" s="805" t="s">
        <v>89</v>
      </c>
      <c r="O245" s="779"/>
      <c r="P245" s="485"/>
      <c r="Q245" s="485"/>
      <c r="R245" s="485"/>
      <c r="S245" s="1172"/>
      <c r="T245" s="1172"/>
      <c r="U245" s="1172"/>
    </row>
    <row r="246" spans="1:22" ht="15.75" customHeight="1">
      <c r="A246" s="350">
        <f>A241+1</f>
        <v>6</v>
      </c>
      <c r="B246" s="417" t="s">
        <v>957</v>
      </c>
      <c r="C246" s="401">
        <f>12+1.125*2</f>
        <v>14.25</v>
      </c>
      <c r="D246" s="401">
        <f>5+0.975*2</f>
        <v>6.95</v>
      </c>
      <c r="E246" s="401"/>
      <c r="F246" s="401"/>
      <c r="G246" s="401"/>
      <c r="H246" s="401"/>
      <c r="I246" s="401"/>
      <c r="J246" s="401"/>
      <c r="K246" s="401"/>
      <c r="L246" s="401"/>
      <c r="M246" s="401">
        <f>C246*D246</f>
        <v>99.037500000000009</v>
      </c>
      <c r="N246" s="805" t="s">
        <v>89</v>
      </c>
      <c r="O246" s="485"/>
      <c r="P246" s="779"/>
      <c r="Q246" s="485"/>
      <c r="R246" s="485"/>
      <c r="S246" s="485"/>
      <c r="T246" s="1172"/>
      <c r="U246" s="1172"/>
      <c r="V246" s="1172"/>
    </row>
    <row r="247" spans="1:22" ht="15.75" customHeight="1">
      <c r="A247" s="350">
        <f>A246+1</f>
        <v>7</v>
      </c>
      <c r="B247" s="417" t="s">
        <v>958</v>
      </c>
      <c r="C247" s="401">
        <f>C246</f>
        <v>14.25</v>
      </c>
      <c r="D247" s="401"/>
      <c r="E247" s="401"/>
      <c r="F247" s="401"/>
      <c r="G247" s="401"/>
      <c r="H247" s="401">
        <v>2</v>
      </c>
      <c r="I247" s="401"/>
      <c r="J247" s="401"/>
      <c r="K247" s="401"/>
      <c r="L247" s="401"/>
      <c r="M247" s="401">
        <f>C247*H247</f>
        <v>28.5</v>
      </c>
      <c r="N247" s="805" t="s">
        <v>117</v>
      </c>
      <c r="O247" s="485"/>
      <c r="P247" s="779"/>
      <c r="Q247" s="485"/>
      <c r="R247" s="485"/>
      <c r="S247" s="485"/>
      <c r="T247" s="1172"/>
      <c r="U247" s="1172"/>
      <c r="V247" s="1172"/>
    </row>
    <row r="248" spans="1:22" ht="15.75" customHeight="1">
      <c r="A248" s="484">
        <f>A247+1</f>
        <v>8</v>
      </c>
      <c r="B248" s="417" t="s">
        <v>959</v>
      </c>
      <c r="C248" s="401"/>
      <c r="D248" s="401"/>
      <c r="E248" s="401"/>
      <c r="F248" s="401"/>
      <c r="G248" s="401"/>
      <c r="H248" s="401"/>
      <c r="I248" s="401"/>
      <c r="J248" s="401"/>
      <c r="K248" s="401"/>
      <c r="L248" s="401"/>
      <c r="M248" s="401"/>
      <c r="N248" s="805"/>
      <c r="O248" s="485"/>
      <c r="P248" s="779"/>
      <c r="Q248" s="485"/>
      <c r="R248" s="485"/>
      <c r="S248" s="485"/>
      <c r="T248" s="1172"/>
      <c r="U248" s="1172"/>
      <c r="V248" s="1172"/>
    </row>
    <row r="249" spans="1:22" ht="15.75" customHeight="1">
      <c r="A249" s="479" t="s">
        <v>95</v>
      </c>
      <c r="B249" s="417" t="s">
        <v>960</v>
      </c>
      <c r="C249" s="401"/>
      <c r="D249" s="401"/>
      <c r="E249" s="401">
        <v>1</v>
      </c>
      <c r="F249" s="401">
        <f>44.3/6</f>
        <v>7.3833333333333329</v>
      </c>
      <c r="G249" s="401"/>
      <c r="H249" s="401">
        <v>4</v>
      </c>
      <c r="I249" s="401"/>
      <c r="J249" s="401"/>
      <c r="K249" s="401"/>
      <c r="L249" s="401">
        <f>L30</f>
        <v>8</v>
      </c>
      <c r="M249" s="401">
        <f>E249*F249*H249*L249</f>
        <v>236.26666666666665</v>
      </c>
      <c r="N249" s="805" t="s">
        <v>100</v>
      </c>
      <c r="O249" s="485"/>
      <c r="P249" s="779"/>
      <c r="Q249" s="485"/>
      <c r="R249" s="485"/>
      <c r="S249" s="485"/>
      <c r="T249" s="1172"/>
      <c r="U249" s="1172"/>
      <c r="V249" s="1172"/>
    </row>
    <row r="250" spans="1:22" ht="15.75" customHeight="1">
      <c r="A250" s="479" t="s">
        <v>98</v>
      </c>
      <c r="B250" s="417" t="s">
        <v>961</v>
      </c>
      <c r="C250" s="401"/>
      <c r="D250" s="401">
        <v>7.0000000000000007E-2</v>
      </c>
      <c r="E250" s="401">
        <f>E249</f>
        <v>1</v>
      </c>
      <c r="F250" s="401"/>
      <c r="G250" s="401"/>
      <c r="H250" s="401">
        <v>2</v>
      </c>
      <c r="I250" s="401"/>
      <c r="J250" s="401"/>
      <c r="K250" s="401">
        <v>4</v>
      </c>
      <c r="L250" s="401">
        <f>L249</f>
        <v>8</v>
      </c>
      <c r="M250" s="401">
        <f>D250*E250*H250*K250*L250</f>
        <v>4.4800000000000004</v>
      </c>
      <c r="N250" s="805" t="s">
        <v>89</v>
      </c>
      <c r="O250" s="485"/>
      <c r="P250" s="779"/>
      <c r="Q250" s="485"/>
      <c r="R250" s="485"/>
      <c r="S250" s="485"/>
      <c r="T250" s="1172"/>
      <c r="U250" s="1172"/>
      <c r="V250" s="1172"/>
    </row>
    <row r="251" spans="1:22" ht="15.75" customHeight="1">
      <c r="A251" s="484">
        <f>A248+1</f>
        <v>9</v>
      </c>
      <c r="B251" s="417" t="s">
        <v>1613</v>
      </c>
      <c r="C251" s="401"/>
      <c r="D251" s="401"/>
      <c r="E251" s="401"/>
      <c r="F251" s="401"/>
      <c r="G251" s="401"/>
      <c r="H251" s="401"/>
      <c r="I251" s="401"/>
      <c r="J251" s="401"/>
      <c r="K251" s="401"/>
      <c r="L251" s="401"/>
      <c r="M251" s="401"/>
      <c r="N251" s="805"/>
      <c r="O251" s="485"/>
      <c r="P251" s="779"/>
      <c r="Q251" s="485"/>
      <c r="R251" s="485"/>
      <c r="S251" s="485"/>
      <c r="T251" s="1172"/>
      <c r="U251" s="1172"/>
      <c r="V251" s="1172"/>
    </row>
    <row r="252" spans="1:22" ht="15.75" customHeight="1">
      <c r="A252" s="484"/>
      <c r="B252" s="417"/>
      <c r="C252" s="401">
        <v>12</v>
      </c>
      <c r="D252" s="401">
        <v>5</v>
      </c>
      <c r="E252" s="401"/>
      <c r="F252" s="401"/>
      <c r="G252" s="401"/>
      <c r="H252" s="401"/>
      <c r="I252" s="401"/>
      <c r="J252" s="401"/>
      <c r="K252" s="401"/>
      <c r="L252" s="401"/>
      <c r="M252" s="401">
        <f>C252*D252</f>
        <v>60</v>
      </c>
      <c r="N252" s="805"/>
      <c r="O252" s="485"/>
      <c r="P252" s="779"/>
      <c r="Q252" s="485"/>
      <c r="R252" s="485"/>
      <c r="S252" s="485"/>
      <c r="T252" s="1172"/>
      <c r="U252" s="1172"/>
      <c r="V252" s="1172"/>
    </row>
    <row r="253" spans="1:22" ht="15.75" customHeight="1">
      <c r="A253" s="484"/>
      <c r="B253" s="417"/>
      <c r="C253" s="401">
        <f>C252</f>
        <v>12</v>
      </c>
      <c r="D253" s="401">
        <v>1.2</v>
      </c>
      <c r="E253" s="401"/>
      <c r="F253" s="401"/>
      <c r="G253" s="401"/>
      <c r="H253" s="401">
        <v>2</v>
      </c>
      <c r="I253" s="401"/>
      <c r="J253" s="401"/>
      <c r="K253" s="401"/>
      <c r="L253" s="401"/>
      <c r="M253" s="401">
        <f>C253*D253*H253</f>
        <v>28.799999999999997</v>
      </c>
      <c r="N253" s="805"/>
      <c r="O253" s="485"/>
      <c r="P253" s="779"/>
      <c r="Q253" s="485"/>
      <c r="R253" s="485"/>
      <c r="S253" s="485"/>
      <c r="T253" s="1172"/>
      <c r="U253" s="1172"/>
      <c r="V253" s="1172"/>
    </row>
    <row r="254" spans="1:22" ht="15.75" customHeight="1">
      <c r="A254" s="484"/>
      <c r="B254" s="417"/>
      <c r="C254" s="401">
        <f>D252</f>
        <v>5</v>
      </c>
      <c r="D254" s="401">
        <f>D253</f>
        <v>1.2</v>
      </c>
      <c r="E254" s="401"/>
      <c r="F254" s="401"/>
      <c r="G254" s="401"/>
      <c r="H254" s="401">
        <f>H253</f>
        <v>2</v>
      </c>
      <c r="I254" s="401"/>
      <c r="J254" s="401"/>
      <c r="K254" s="401"/>
      <c r="L254" s="401"/>
      <c r="M254" s="752">
        <f>C254*D254*H254</f>
        <v>12</v>
      </c>
      <c r="N254" s="805"/>
      <c r="O254" s="485"/>
      <c r="P254" s="779"/>
      <c r="Q254" s="485"/>
      <c r="R254" s="485"/>
      <c r="S254" s="485"/>
      <c r="T254" s="1172"/>
      <c r="U254" s="1172"/>
      <c r="V254" s="1172"/>
    </row>
    <row r="255" spans="1:22" ht="15.75" customHeight="1">
      <c r="A255" s="484"/>
      <c r="B255" s="417"/>
      <c r="C255" s="401"/>
      <c r="D255" s="401"/>
      <c r="E255" s="401"/>
      <c r="F255" s="401"/>
      <c r="G255" s="401"/>
      <c r="H255" s="401"/>
      <c r="I255" s="401"/>
      <c r="J255" s="401"/>
      <c r="K255" s="401"/>
      <c r="L255" s="401"/>
      <c r="M255" s="401">
        <f>SUM(M252:M254)</f>
        <v>100.8</v>
      </c>
      <c r="N255" s="805" t="s">
        <v>89</v>
      </c>
      <c r="O255" s="485"/>
      <c r="P255" s="779"/>
      <c r="Q255" s="485"/>
      <c r="R255" s="485"/>
      <c r="S255" s="485"/>
      <c r="T255" s="1172"/>
      <c r="U255" s="1172"/>
      <c r="V255" s="1172"/>
    </row>
    <row r="256" spans="1:22" ht="15.75" customHeight="1">
      <c r="A256" s="484">
        <f>A251+1</f>
        <v>10</v>
      </c>
      <c r="B256" s="417" t="s">
        <v>451</v>
      </c>
      <c r="C256" s="401"/>
      <c r="D256" s="401"/>
      <c r="E256" s="401"/>
      <c r="F256" s="401"/>
      <c r="G256" s="401"/>
      <c r="H256" s="401"/>
      <c r="I256" s="401"/>
      <c r="J256" s="401"/>
      <c r="K256" s="401"/>
      <c r="L256" s="401"/>
      <c r="M256" s="401">
        <f>M255</f>
        <v>100.8</v>
      </c>
      <c r="N256" s="805" t="s">
        <v>89</v>
      </c>
      <c r="O256" s="485"/>
      <c r="P256" s="779"/>
      <c r="Q256" s="485"/>
      <c r="R256" s="485"/>
      <c r="S256" s="485"/>
      <c r="T256" s="1172"/>
      <c r="U256" s="1172"/>
      <c r="V256" s="1172"/>
    </row>
    <row r="257" spans="1:23" s="554" customFormat="1" ht="15.75" customHeight="1">
      <c r="A257" s="350">
        <f>A256+1</f>
        <v>11</v>
      </c>
      <c r="B257" s="591" t="s">
        <v>443</v>
      </c>
      <c r="C257" s="348"/>
      <c r="D257" s="348"/>
      <c r="E257" s="348"/>
      <c r="F257" s="348"/>
      <c r="G257" s="348"/>
      <c r="H257" s="348"/>
      <c r="I257" s="348"/>
      <c r="J257" s="348"/>
      <c r="K257" s="348"/>
      <c r="L257" s="348"/>
      <c r="M257" s="343"/>
      <c r="N257" s="349"/>
      <c r="O257" s="784"/>
      <c r="P257" s="398"/>
      <c r="Q257" s="564"/>
      <c r="R257" s="398"/>
      <c r="S257" s="398"/>
      <c r="T257" s="398"/>
      <c r="U257" s="555"/>
      <c r="V257" s="555"/>
      <c r="W257" s="555"/>
    </row>
    <row r="258" spans="1:23" s="554" customFormat="1" ht="37.5" customHeight="1">
      <c r="A258" s="355" t="s">
        <v>95</v>
      </c>
      <c r="B258" s="593" t="s">
        <v>537</v>
      </c>
      <c r="C258" s="348">
        <v>7.79</v>
      </c>
      <c r="D258" s="493"/>
      <c r="E258" s="348"/>
      <c r="F258" s="348">
        <v>13</v>
      </c>
      <c r="G258" s="348"/>
      <c r="H258" s="348">
        <v>1</v>
      </c>
      <c r="I258" s="348"/>
      <c r="J258" s="348"/>
      <c r="K258" s="348"/>
      <c r="L258" s="348">
        <v>1</v>
      </c>
      <c r="M258" s="343">
        <f>L258*F258*C258*H258</f>
        <v>101.27</v>
      </c>
      <c r="N258" s="349" t="s">
        <v>89</v>
      </c>
      <c r="O258" s="784"/>
      <c r="P258" s="398"/>
      <c r="Q258" s="564"/>
      <c r="R258" s="398"/>
      <c r="S258" s="398"/>
      <c r="T258" s="398"/>
      <c r="U258" s="555"/>
      <c r="V258" s="555"/>
      <c r="W258" s="555"/>
    </row>
    <row r="259" spans="1:23" s="554" customFormat="1" ht="28.5" customHeight="1">
      <c r="A259" s="355" t="s">
        <v>98</v>
      </c>
      <c r="B259" s="593" t="s">
        <v>538</v>
      </c>
      <c r="C259" s="348">
        <v>13.75</v>
      </c>
      <c r="D259" s="493"/>
      <c r="E259" s="348"/>
      <c r="F259" s="348">
        <f>ROUNDUP((D263/0.5),0)</f>
        <v>9</v>
      </c>
      <c r="G259" s="348"/>
      <c r="H259" s="348">
        <v>2</v>
      </c>
      <c r="I259" s="348"/>
      <c r="J259" s="348"/>
      <c r="K259" s="348"/>
      <c r="L259" s="348"/>
      <c r="M259" s="343">
        <f>H259*F259*C259</f>
        <v>247.5</v>
      </c>
      <c r="N259" s="349" t="s">
        <v>1178</v>
      </c>
      <c r="O259" s="784"/>
      <c r="P259" s="398"/>
      <c r="Q259" s="564"/>
      <c r="R259" s="398"/>
      <c r="S259" s="398"/>
      <c r="T259" s="398"/>
      <c r="U259" s="555"/>
      <c r="V259" s="555"/>
      <c r="W259" s="555"/>
    </row>
    <row r="260" spans="1:23" s="554" customFormat="1" ht="15.75" customHeight="1">
      <c r="A260" s="355" t="s">
        <v>101</v>
      </c>
      <c r="B260" s="351" t="s">
        <v>823</v>
      </c>
      <c r="C260" s="348"/>
      <c r="D260" s="352"/>
      <c r="E260" s="348"/>
      <c r="F260" s="348"/>
      <c r="G260" s="348"/>
      <c r="H260" s="348"/>
      <c r="I260" s="348"/>
      <c r="J260" s="348"/>
      <c r="K260" s="348"/>
      <c r="L260" s="348"/>
      <c r="M260" s="565">
        <f>SUM(M261:M262)</f>
        <v>104</v>
      </c>
      <c r="N260" s="349" t="s">
        <v>824</v>
      </c>
      <c r="O260" s="784"/>
      <c r="P260" s="398"/>
      <c r="Q260" s="564"/>
      <c r="R260" s="398"/>
      <c r="S260" s="398"/>
      <c r="T260" s="398"/>
      <c r="U260" s="555"/>
      <c r="V260" s="555"/>
      <c r="W260" s="555"/>
    </row>
    <row r="261" spans="1:23" s="554" customFormat="1" ht="15.75" customHeight="1">
      <c r="A261" s="355"/>
      <c r="B261" s="589" t="s">
        <v>1024</v>
      </c>
      <c r="C261" s="348"/>
      <c r="D261" s="352"/>
      <c r="E261" s="348"/>
      <c r="F261" s="348">
        <v>2</v>
      </c>
      <c r="G261" s="348">
        <v>2</v>
      </c>
      <c r="H261" s="348">
        <v>2</v>
      </c>
      <c r="I261" s="348"/>
      <c r="J261" s="348"/>
      <c r="K261" s="348"/>
      <c r="L261" s="348">
        <f>F258</f>
        <v>13</v>
      </c>
      <c r="M261" s="343">
        <f>L261*H261*G261*F261</f>
        <v>104</v>
      </c>
      <c r="N261" s="349" t="s">
        <v>824</v>
      </c>
      <c r="O261" s="784"/>
      <c r="P261" s="398"/>
      <c r="Q261" s="564"/>
      <c r="R261" s="398"/>
      <c r="S261" s="398"/>
      <c r="T261" s="398"/>
      <c r="U261" s="555"/>
      <c r="V261" s="555"/>
      <c r="W261" s="555"/>
    </row>
    <row r="262" spans="1:23" s="554" customFormat="1" ht="15.75" customHeight="1">
      <c r="A262" s="355"/>
      <c r="B262" s="589" t="s">
        <v>1025</v>
      </c>
      <c r="C262" s="348"/>
      <c r="D262" s="352"/>
      <c r="E262" s="348"/>
      <c r="F262" s="348">
        <v>2</v>
      </c>
      <c r="G262" s="348">
        <v>5</v>
      </c>
      <c r="H262" s="348">
        <v>1</v>
      </c>
      <c r="I262" s="348"/>
      <c r="J262" s="348"/>
      <c r="K262" s="348"/>
      <c r="L262" s="348">
        <v>0</v>
      </c>
      <c r="M262" s="343">
        <f>L262*H262*G262*F262</f>
        <v>0</v>
      </c>
      <c r="N262" s="349" t="s">
        <v>824</v>
      </c>
      <c r="O262" s="784"/>
      <c r="P262" s="398"/>
      <c r="Q262" s="564"/>
      <c r="R262" s="398"/>
      <c r="S262" s="398"/>
      <c r="T262" s="398"/>
      <c r="U262" s="555"/>
      <c r="V262" s="555"/>
      <c r="W262" s="555"/>
    </row>
    <row r="263" spans="1:23" s="554" customFormat="1" ht="15.75" customHeight="1">
      <c r="A263" s="355" t="s">
        <v>121</v>
      </c>
      <c r="B263" s="351" t="s">
        <v>1179</v>
      </c>
      <c r="C263" s="348">
        <f>C259</f>
        <v>13.75</v>
      </c>
      <c r="D263" s="401">
        <f>2.158+2.245</f>
        <v>4.4030000000000005</v>
      </c>
      <c r="E263" s="348"/>
      <c r="F263" s="348"/>
      <c r="G263" s="348"/>
      <c r="H263" s="348"/>
      <c r="I263" s="348"/>
      <c r="J263" s="348"/>
      <c r="K263" s="348"/>
      <c r="L263" s="348">
        <v>2</v>
      </c>
      <c r="M263" s="343">
        <f>L263*D263*C263</f>
        <v>121.08250000000001</v>
      </c>
      <c r="N263" s="349" t="s">
        <v>89</v>
      </c>
      <c r="O263" s="784"/>
      <c r="P263" s="398"/>
      <c r="Q263" s="564"/>
      <c r="R263" s="398"/>
      <c r="S263" s="398"/>
      <c r="T263" s="398"/>
      <c r="U263" s="555"/>
      <c r="V263" s="555"/>
      <c r="W263" s="555"/>
    </row>
    <row r="264" spans="1:23" s="554" customFormat="1" ht="15.75" customHeight="1">
      <c r="A264" s="355" t="s">
        <v>142</v>
      </c>
      <c r="B264" s="351" t="s">
        <v>1180</v>
      </c>
      <c r="C264" s="348">
        <f>C263</f>
        <v>13.75</v>
      </c>
      <c r="D264" s="352"/>
      <c r="E264" s="348"/>
      <c r="F264" s="348"/>
      <c r="G264" s="348"/>
      <c r="H264" s="348"/>
      <c r="I264" s="348"/>
      <c r="J264" s="348"/>
      <c r="K264" s="348"/>
      <c r="L264" s="348"/>
      <c r="M264" s="343">
        <f>C264</f>
        <v>13.75</v>
      </c>
      <c r="N264" s="349" t="s">
        <v>1178</v>
      </c>
      <c r="O264" s="784"/>
      <c r="P264" s="398"/>
      <c r="Q264" s="564"/>
      <c r="R264" s="398"/>
      <c r="S264" s="398"/>
      <c r="T264" s="398"/>
      <c r="U264" s="555"/>
      <c r="V264" s="555"/>
      <c r="W264" s="555"/>
    </row>
    <row r="265" spans="1:23" ht="15.75" customHeight="1">
      <c r="A265" s="484">
        <f>A257+1</f>
        <v>12</v>
      </c>
      <c r="B265" s="417" t="s">
        <v>915</v>
      </c>
      <c r="C265" s="401"/>
      <c r="D265" s="401"/>
      <c r="E265" s="401"/>
      <c r="F265" s="401"/>
      <c r="G265" s="401"/>
      <c r="H265" s="401"/>
      <c r="I265" s="401"/>
      <c r="J265" s="401"/>
      <c r="K265" s="401"/>
      <c r="L265" s="401"/>
      <c r="M265" s="401"/>
      <c r="N265" s="805"/>
      <c r="O265" s="485"/>
      <c r="P265" s="779"/>
      <c r="Q265" s="485"/>
      <c r="R265" s="485"/>
      <c r="S265" s="485"/>
      <c r="T265" s="1172"/>
      <c r="U265" s="1172"/>
      <c r="V265" s="1172"/>
    </row>
    <row r="266" spans="1:23" ht="15.75" customHeight="1">
      <c r="A266" s="1181"/>
      <c r="B266" s="803"/>
      <c r="C266" s="401">
        <f>C264</f>
        <v>13.75</v>
      </c>
      <c r="D266" s="401"/>
      <c r="E266" s="401"/>
      <c r="F266" s="401"/>
      <c r="G266" s="401"/>
      <c r="H266" s="401">
        <v>1</v>
      </c>
      <c r="I266" s="401"/>
      <c r="J266" s="401"/>
      <c r="K266" s="401"/>
      <c r="L266" s="401">
        <v>2</v>
      </c>
      <c r="M266" s="401">
        <f>C266*H266*L266</f>
        <v>27.5</v>
      </c>
      <c r="N266" s="805"/>
      <c r="O266" s="485"/>
      <c r="P266" s="779"/>
      <c r="Q266" s="485"/>
      <c r="R266" s="485"/>
      <c r="S266" s="485"/>
      <c r="T266" s="1172"/>
      <c r="U266" s="1172"/>
      <c r="V266" s="1172"/>
    </row>
    <row r="267" spans="1:23" ht="15.75" customHeight="1">
      <c r="A267" s="1181"/>
      <c r="B267" s="417"/>
      <c r="C267" s="401">
        <f>2.158+2.245</f>
        <v>4.4030000000000005</v>
      </c>
      <c r="D267" s="401"/>
      <c r="E267" s="401"/>
      <c r="F267" s="401"/>
      <c r="G267" s="401"/>
      <c r="H267" s="401">
        <v>2</v>
      </c>
      <c r="I267" s="401"/>
      <c r="J267" s="401"/>
      <c r="K267" s="401"/>
      <c r="L267" s="401">
        <f>L266</f>
        <v>2</v>
      </c>
      <c r="M267" s="752">
        <f>C267*H267*L267</f>
        <v>17.612000000000002</v>
      </c>
      <c r="N267" s="805"/>
      <c r="O267" s="485"/>
      <c r="P267" s="779"/>
      <c r="Q267" s="485"/>
      <c r="R267" s="485"/>
      <c r="S267" s="485"/>
      <c r="T267" s="1172"/>
      <c r="U267" s="1172"/>
      <c r="V267" s="1172"/>
    </row>
    <row r="268" spans="1:23" ht="15.75" customHeight="1">
      <c r="A268" s="1181"/>
      <c r="B268" s="417"/>
      <c r="C268" s="401"/>
      <c r="D268" s="401"/>
      <c r="E268" s="401"/>
      <c r="F268" s="401"/>
      <c r="G268" s="401"/>
      <c r="H268" s="401"/>
      <c r="I268" s="401"/>
      <c r="J268" s="401"/>
      <c r="K268" s="401"/>
      <c r="L268" s="401"/>
      <c r="M268" s="474">
        <f>SUM(M266:M267)</f>
        <v>45.112000000000002</v>
      </c>
      <c r="N268" s="802" t="s">
        <v>117</v>
      </c>
      <c r="O268" s="485"/>
      <c r="P268" s="779"/>
      <c r="Q268" s="485"/>
      <c r="R268" s="485"/>
      <c r="S268" s="485"/>
      <c r="T268" s="1172"/>
      <c r="U268" s="1172"/>
      <c r="V268" s="1172"/>
    </row>
    <row r="269" spans="1:23" ht="15.75" customHeight="1">
      <c r="A269" s="1181">
        <f>A265+1</f>
        <v>13</v>
      </c>
      <c r="B269" s="351" t="s">
        <v>1030</v>
      </c>
      <c r="C269" s="330"/>
      <c r="D269" s="330"/>
      <c r="E269" s="330"/>
      <c r="F269" s="330"/>
      <c r="G269" s="330"/>
      <c r="H269" s="330"/>
      <c r="I269" s="330"/>
      <c r="J269" s="330"/>
      <c r="K269" s="330"/>
      <c r="L269" s="330"/>
      <c r="M269" s="330"/>
      <c r="N269" s="802"/>
      <c r="O269" s="779"/>
      <c r="P269" s="485"/>
      <c r="Q269" s="485"/>
      <c r="R269" s="485"/>
      <c r="S269" s="1172"/>
      <c r="T269" s="1172"/>
      <c r="U269" s="1172"/>
    </row>
    <row r="270" spans="1:23" ht="15.75" customHeight="1">
      <c r="A270" s="1181"/>
      <c r="B270" s="591"/>
      <c r="C270" s="330">
        <f>5-(0.3*2)</f>
        <v>4.4000000000000004</v>
      </c>
      <c r="D270" s="330"/>
      <c r="E270" s="330">
        <v>0.5</v>
      </c>
      <c r="F270" s="330"/>
      <c r="G270" s="330">
        <v>1</v>
      </c>
      <c r="H270" s="330"/>
      <c r="I270" s="330"/>
      <c r="J270" s="330"/>
      <c r="K270" s="330"/>
      <c r="L270" s="330">
        <v>2</v>
      </c>
      <c r="M270" s="330">
        <f>C270*E270*G270*L270</f>
        <v>4.4000000000000004</v>
      </c>
      <c r="N270" s="802"/>
      <c r="O270" s="779"/>
      <c r="P270" s="485"/>
      <c r="Q270" s="485"/>
      <c r="R270" s="485"/>
      <c r="S270" s="1172"/>
      <c r="T270" s="1172"/>
      <c r="U270" s="1172"/>
    </row>
    <row r="271" spans="1:23" ht="15.75" customHeight="1">
      <c r="A271" s="1181"/>
      <c r="B271" s="591"/>
      <c r="C271" s="330">
        <f>4-(0.3*2)</f>
        <v>3.4</v>
      </c>
      <c r="D271" s="330"/>
      <c r="E271" s="330">
        <f>E270</f>
        <v>0.5</v>
      </c>
      <c r="F271" s="330"/>
      <c r="G271" s="330">
        <v>2</v>
      </c>
      <c r="H271" s="330"/>
      <c r="I271" s="330"/>
      <c r="J271" s="330"/>
      <c r="K271" s="330"/>
      <c r="L271" s="330">
        <f>L270</f>
        <v>2</v>
      </c>
      <c r="M271" s="752">
        <f>C271*E271*G271*L271</f>
        <v>6.8</v>
      </c>
      <c r="N271" s="802"/>
      <c r="O271" s="779"/>
      <c r="P271" s="485"/>
      <c r="Q271" s="485"/>
      <c r="R271" s="485"/>
      <c r="S271" s="1172"/>
      <c r="T271" s="1172"/>
      <c r="U271" s="1172"/>
    </row>
    <row r="272" spans="1:23" ht="15.75" customHeight="1">
      <c r="A272" s="1181"/>
      <c r="B272" s="591"/>
      <c r="C272" s="330"/>
      <c r="D272" s="330"/>
      <c r="E272" s="330"/>
      <c r="F272" s="330"/>
      <c r="G272" s="330"/>
      <c r="H272" s="330"/>
      <c r="I272" s="330"/>
      <c r="J272" s="330"/>
      <c r="K272" s="330"/>
      <c r="L272" s="330"/>
      <c r="M272" s="415">
        <f>SUM(M270:M271)</f>
        <v>11.2</v>
      </c>
      <c r="N272" s="802" t="s">
        <v>89</v>
      </c>
      <c r="O272" s="779"/>
      <c r="P272" s="485"/>
      <c r="Q272" s="485"/>
      <c r="R272" s="485"/>
      <c r="S272" s="1172"/>
      <c r="T272" s="1172"/>
      <c r="U272" s="1172"/>
    </row>
    <row r="273" spans="1:22" ht="15.75" customHeight="1">
      <c r="A273" s="484">
        <f>A269+1</f>
        <v>14</v>
      </c>
      <c r="B273" s="417" t="s">
        <v>962</v>
      </c>
      <c r="C273" s="401"/>
      <c r="D273" s="401"/>
      <c r="E273" s="401"/>
      <c r="F273" s="401"/>
      <c r="G273" s="401"/>
      <c r="H273" s="401"/>
      <c r="I273" s="401"/>
      <c r="J273" s="401"/>
      <c r="K273" s="401"/>
      <c r="L273" s="401"/>
      <c r="M273" s="474"/>
      <c r="N273" s="802"/>
      <c r="O273" s="485"/>
      <c r="P273" s="779"/>
      <c r="Q273" s="485"/>
      <c r="R273" s="485"/>
      <c r="S273" s="485"/>
      <c r="T273" s="1172"/>
      <c r="U273" s="1172"/>
      <c r="V273" s="1172"/>
    </row>
    <row r="274" spans="1:22" ht="15.75" customHeight="1">
      <c r="A274" s="484"/>
      <c r="B274" s="803" t="s">
        <v>1614</v>
      </c>
      <c r="C274" s="401"/>
      <c r="D274" s="401"/>
      <c r="E274" s="401"/>
      <c r="F274" s="401"/>
      <c r="G274" s="401"/>
      <c r="H274" s="401"/>
      <c r="I274" s="401"/>
      <c r="J274" s="401"/>
      <c r="K274" s="401"/>
      <c r="L274" s="401"/>
      <c r="M274" s="401">
        <f>M230</f>
        <v>2.64</v>
      </c>
      <c r="N274" s="802"/>
      <c r="O274" s="485"/>
      <c r="P274" s="779"/>
      <c r="Q274" s="485"/>
      <c r="R274" s="485"/>
      <c r="S274" s="485"/>
      <c r="T274" s="1172"/>
      <c r="U274" s="1172"/>
      <c r="V274" s="1172"/>
    </row>
    <row r="275" spans="1:22" ht="15.75" customHeight="1">
      <c r="A275" s="484"/>
      <c r="B275" s="803" t="s">
        <v>1615</v>
      </c>
      <c r="C275" s="401"/>
      <c r="D275" s="401">
        <v>0.2</v>
      </c>
      <c r="E275" s="401">
        <v>3.6</v>
      </c>
      <c r="F275" s="401"/>
      <c r="G275" s="401"/>
      <c r="H275" s="401">
        <v>4</v>
      </c>
      <c r="I275" s="401"/>
      <c r="J275" s="401"/>
      <c r="K275" s="401"/>
      <c r="L275" s="401">
        <v>8</v>
      </c>
      <c r="M275" s="401">
        <f>D275*E275*H275*L275</f>
        <v>23.040000000000003</v>
      </c>
      <c r="N275" s="805"/>
      <c r="O275" s="485"/>
      <c r="P275" s="779"/>
      <c r="Q275" s="485"/>
      <c r="R275" s="485"/>
      <c r="S275" s="485"/>
      <c r="T275" s="1172"/>
      <c r="U275" s="1172"/>
      <c r="V275" s="1172"/>
    </row>
    <row r="276" spans="1:22" ht="15.75" customHeight="1">
      <c r="A276" s="484"/>
      <c r="B276" s="803"/>
      <c r="C276" s="401"/>
      <c r="D276" s="401"/>
      <c r="E276" s="401"/>
      <c r="F276" s="401"/>
      <c r="G276" s="401"/>
      <c r="H276" s="401"/>
      <c r="I276" s="401"/>
      <c r="J276" s="401"/>
      <c r="K276" s="401"/>
      <c r="L276" s="401"/>
      <c r="M276" s="415">
        <f>SUM(M274:M275)</f>
        <v>25.680000000000003</v>
      </c>
      <c r="N276" s="802" t="s">
        <v>89</v>
      </c>
      <c r="O276" s="485"/>
      <c r="P276" s="779"/>
      <c r="Q276" s="485"/>
      <c r="R276" s="485"/>
      <c r="S276" s="485"/>
      <c r="T276" s="1172"/>
      <c r="U276" s="1172"/>
      <c r="V276" s="1172"/>
    </row>
    <row r="277" spans="1:22" ht="15.75" customHeight="1">
      <c r="A277" s="484">
        <f>A273+1</f>
        <v>15</v>
      </c>
      <c r="B277" s="417" t="s">
        <v>708</v>
      </c>
      <c r="C277" s="401"/>
      <c r="D277" s="401"/>
      <c r="E277" s="401"/>
      <c r="F277" s="401"/>
      <c r="G277" s="401"/>
      <c r="H277" s="401"/>
      <c r="I277" s="401"/>
      <c r="J277" s="401"/>
      <c r="K277" s="401"/>
      <c r="L277" s="401"/>
      <c r="M277" s="474"/>
      <c r="N277" s="802"/>
      <c r="O277" s="485"/>
      <c r="P277" s="779"/>
      <c r="Q277" s="485"/>
      <c r="R277" s="485"/>
      <c r="S277" s="485"/>
      <c r="T277" s="1172"/>
      <c r="U277" s="1172"/>
      <c r="V277" s="1172"/>
    </row>
    <row r="278" spans="1:22" ht="15.75" customHeight="1">
      <c r="A278" s="476"/>
      <c r="B278" s="803" t="s">
        <v>1616</v>
      </c>
      <c r="C278" s="401">
        <f>M268</f>
        <v>45.112000000000002</v>
      </c>
      <c r="D278" s="401">
        <v>0.3</v>
      </c>
      <c r="E278" s="401"/>
      <c r="F278" s="401"/>
      <c r="G278" s="401"/>
      <c r="H278" s="401"/>
      <c r="I278" s="401"/>
      <c r="J278" s="401"/>
      <c r="K278" s="401"/>
      <c r="L278" s="401"/>
      <c r="M278" s="474">
        <f>C278*D278</f>
        <v>13.5336</v>
      </c>
      <c r="N278" s="802" t="s">
        <v>89</v>
      </c>
      <c r="O278" s="485"/>
      <c r="P278" s="779"/>
      <c r="Q278" s="485"/>
      <c r="R278" s="485"/>
      <c r="S278" s="485"/>
      <c r="T278" s="1172"/>
      <c r="U278" s="1172"/>
      <c r="V278" s="1172"/>
    </row>
    <row r="279" spans="1:22" ht="15.75" customHeight="1">
      <c r="A279" s="476"/>
      <c r="B279" s="803"/>
      <c r="C279" s="401"/>
      <c r="D279" s="401"/>
      <c r="E279" s="401"/>
      <c r="F279" s="401"/>
      <c r="G279" s="401"/>
      <c r="H279" s="401"/>
      <c r="I279" s="401"/>
      <c r="J279" s="401"/>
      <c r="K279" s="401"/>
      <c r="L279" s="401"/>
      <c r="M279" s="474"/>
      <c r="N279" s="802"/>
      <c r="O279" s="485"/>
      <c r="P279" s="779"/>
      <c r="Q279" s="485"/>
      <c r="R279" s="485"/>
      <c r="S279" s="485"/>
      <c r="T279" s="1172"/>
      <c r="U279" s="1172"/>
      <c r="V279" s="1172"/>
    </row>
    <row r="280" spans="1:22" ht="15.75" customHeight="1">
      <c r="A280" s="1184" t="s">
        <v>1617</v>
      </c>
      <c r="B280" s="1185" t="s">
        <v>585</v>
      </c>
      <c r="C280" s="401"/>
      <c r="D280" s="401"/>
      <c r="E280" s="401"/>
      <c r="F280" s="401"/>
      <c r="G280" s="401"/>
      <c r="H280" s="401"/>
      <c r="I280" s="401"/>
      <c r="J280" s="401"/>
      <c r="K280" s="401"/>
      <c r="L280" s="401"/>
      <c r="M280" s="401"/>
      <c r="N280" s="805"/>
      <c r="O280" s="485"/>
      <c r="P280" s="779"/>
      <c r="Q280" s="485"/>
      <c r="R280" s="485"/>
      <c r="S280" s="485"/>
      <c r="T280" s="1172"/>
      <c r="U280" s="1172"/>
      <c r="V280" s="1172"/>
    </row>
    <row r="281" spans="1:22" ht="15.75" customHeight="1">
      <c r="A281" s="476">
        <v>1</v>
      </c>
      <c r="B281" s="417" t="s">
        <v>458</v>
      </c>
      <c r="C281" s="401"/>
      <c r="D281" s="401"/>
      <c r="E281" s="401"/>
      <c r="F281" s="401"/>
      <c r="G281" s="401"/>
      <c r="H281" s="401"/>
      <c r="I281" s="401"/>
      <c r="J281" s="401"/>
      <c r="K281" s="401">
        <v>6</v>
      </c>
      <c r="L281" s="401"/>
      <c r="M281" s="401">
        <f>K281</f>
        <v>6</v>
      </c>
      <c r="N281" s="805" t="s">
        <v>357</v>
      </c>
      <c r="O281" s="485"/>
      <c r="P281" s="779"/>
      <c r="Q281" s="485"/>
      <c r="R281" s="485"/>
      <c r="S281" s="485"/>
      <c r="T281" s="1172"/>
      <c r="U281" s="1172"/>
      <c r="V281" s="1172"/>
    </row>
    <row r="282" spans="1:22" ht="15.75" customHeight="1">
      <c r="A282" s="484">
        <f>A281+1</f>
        <v>2</v>
      </c>
      <c r="B282" s="417" t="s">
        <v>682</v>
      </c>
      <c r="C282" s="401"/>
      <c r="D282" s="401"/>
      <c r="E282" s="401"/>
      <c r="F282" s="401"/>
      <c r="G282" s="401"/>
      <c r="H282" s="401"/>
      <c r="I282" s="401"/>
      <c r="J282" s="401"/>
      <c r="K282" s="401">
        <v>2</v>
      </c>
      <c r="L282" s="401"/>
      <c r="M282" s="401">
        <f>K282</f>
        <v>2</v>
      </c>
      <c r="N282" s="805" t="s">
        <v>124</v>
      </c>
      <c r="O282" s="485"/>
      <c r="P282" s="779"/>
      <c r="Q282" s="485"/>
      <c r="R282" s="485"/>
      <c r="S282" s="485"/>
      <c r="T282" s="1172"/>
      <c r="U282" s="1172"/>
      <c r="V282" s="1172"/>
    </row>
    <row r="283" spans="1:22" ht="15.75" customHeight="1">
      <c r="A283" s="484">
        <f>A282+1</f>
        <v>3</v>
      </c>
      <c r="B283" s="417" t="s">
        <v>963</v>
      </c>
      <c r="C283" s="401"/>
      <c r="D283" s="401"/>
      <c r="E283" s="401"/>
      <c r="F283" s="401"/>
      <c r="G283" s="401"/>
      <c r="H283" s="401"/>
      <c r="I283" s="401"/>
      <c r="J283" s="401"/>
      <c r="K283" s="401">
        <f>K281</f>
        <v>6</v>
      </c>
      <c r="L283" s="401"/>
      <c r="M283" s="401">
        <f>K283</f>
        <v>6</v>
      </c>
      <c r="N283" s="805" t="s">
        <v>124</v>
      </c>
      <c r="O283" s="485"/>
      <c r="P283" s="779"/>
      <c r="Q283" s="485"/>
      <c r="R283" s="485"/>
      <c r="S283" s="485"/>
      <c r="T283" s="1172"/>
      <c r="U283" s="1172"/>
      <c r="V283" s="1172"/>
    </row>
    <row r="284" spans="1:22" ht="15.75" customHeight="1">
      <c r="A284" s="484">
        <f>A283+1</f>
        <v>4</v>
      </c>
      <c r="B284" s="417" t="s">
        <v>687</v>
      </c>
      <c r="C284" s="803"/>
      <c r="D284" s="803"/>
      <c r="E284" s="401"/>
      <c r="F284" s="401"/>
      <c r="G284" s="401"/>
      <c r="H284" s="401"/>
      <c r="I284" s="401"/>
      <c r="J284" s="401"/>
      <c r="K284" s="401">
        <v>1</v>
      </c>
      <c r="L284" s="401"/>
      <c r="M284" s="401">
        <f>K284</f>
        <v>1</v>
      </c>
      <c r="N284" s="805" t="s">
        <v>360</v>
      </c>
      <c r="O284" s="485"/>
      <c r="P284" s="779"/>
      <c r="Q284" s="485"/>
      <c r="R284" s="485"/>
      <c r="S284" s="485"/>
      <c r="T284" s="1172"/>
      <c r="U284" s="1172"/>
      <c r="V284" s="1172"/>
    </row>
    <row r="285" spans="1:22" ht="15.75" customHeight="1">
      <c r="A285" s="476"/>
      <c r="B285" s="417"/>
      <c r="C285" s="401"/>
      <c r="D285" s="401"/>
      <c r="E285" s="401"/>
      <c r="F285" s="401"/>
      <c r="G285" s="401"/>
      <c r="H285" s="401"/>
      <c r="I285" s="401"/>
      <c r="J285" s="401"/>
      <c r="K285" s="401"/>
      <c r="L285" s="401"/>
      <c r="M285" s="401"/>
      <c r="N285" s="805"/>
      <c r="O285" s="485"/>
      <c r="P285" s="779"/>
      <c r="Q285" s="485"/>
      <c r="R285" s="485"/>
      <c r="S285" s="485"/>
      <c r="T285" s="1172"/>
      <c r="U285" s="1172"/>
      <c r="V285" s="1172"/>
    </row>
    <row r="286" spans="1:22" ht="15.75" customHeight="1">
      <c r="A286" s="476"/>
      <c r="B286" s="417"/>
      <c r="C286" s="401"/>
      <c r="D286" s="401"/>
      <c r="E286" s="401"/>
      <c r="F286" s="401"/>
      <c r="G286" s="401"/>
      <c r="H286" s="401"/>
      <c r="I286" s="401"/>
      <c r="J286" s="401"/>
      <c r="K286" s="401"/>
      <c r="L286" s="401"/>
      <c r="M286" s="401"/>
      <c r="N286" s="805"/>
      <c r="O286" s="485"/>
      <c r="P286" s="779"/>
      <c r="Q286" s="485"/>
      <c r="R286" s="485"/>
      <c r="S286" s="485"/>
      <c r="T286" s="1172"/>
      <c r="U286" s="1172"/>
      <c r="V286" s="1172"/>
    </row>
    <row r="287" spans="1:22" ht="15.75" customHeight="1">
      <c r="A287" s="476"/>
      <c r="B287" s="417"/>
      <c r="C287" s="401"/>
      <c r="D287" s="401"/>
      <c r="E287" s="401"/>
      <c r="F287" s="401"/>
      <c r="G287" s="401"/>
      <c r="H287" s="401"/>
      <c r="I287" s="401"/>
      <c r="J287" s="401"/>
      <c r="K287" s="401"/>
      <c r="L287" s="401"/>
      <c r="M287" s="401"/>
      <c r="N287" s="805"/>
      <c r="O287" s="485"/>
      <c r="P287" s="779"/>
      <c r="Q287" s="485"/>
      <c r="R287" s="485"/>
      <c r="S287" s="485"/>
      <c r="T287" s="1172"/>
      <c r="U287" s="1172"/>
      <c r="V287" s="1172"/>
    </row>
    <row r="288" spans="1:22" ht="15.75" customHeight="1">
      <c r="A288" s="476"/>
      <c r="B288" s="417"/>
      <c r="C288" s="401"/>
      <c r="D288" s="401"/>
      <c r="E288" s="401"/>
      <c r="F288" s="401"/>
      <c r="G288" s="401"/>
      <c r="H288" s="401"/>
      <c r="I288" s="401"/>
      <c r="J288" s="401"/>
      <c r="K288" s="401"/>
      <c r="L288" s="401"/>
      <c r="M288" s="401"/>
      <c r="N288" s="805"/>
      <c r="O288" s="485"/>
      <c r="P288" s="779"/>
      <c r="Q288" s="485"/>
      <c r="R288" s="485"/>
      <c r="S288" s="485"/>
      <c r="T288" s="1172"/>
      <c r="U288" s="1172"/>
      <c r="V288" s="1172"/>
    </row>
    <row r="289" spans="1:22" ht="15.75" customHeight="1">
      <c r="A289" s="476"/>
      <c r="B289" s="417"/>
      <c r="C289" s="401"/>
      <c r="D289" s="401"/>
      <c r="E289" s="401"/>
      <c r="F289" s="401"/>
      <c r="G289" s="401"/>
      <c r="H289" s="401"/>
      <c r="I289" s="401"/>
      <c r="J289" s="401"/>
      <c r="K289" s="401"/>
      <c r="L289" s="401"/>
      <c r="M289" s="401"/>
      <c r="N289" s="805"/>
      <c r="O289" s="485"/>
      <c r="P289" s="779"/>
      <c r="Q289" s="485"/>
      <c r="R289" s="485"/>
      <c r="S289" s="485"/>
      <c r="T289" s="1172"/>
      <c r="U289" s="1172"/>
      <c r="V289" s="1172"/>
    </row>
    <row r="290" spans="1:22" ht="15.75" customHeight="1">
      <c r="A290" s="476"/>
      <c r="B290" s="417"/>
      <c r="C290" s="401"/>
      <c r="D290" s="401"/>
      <c r="E290" s="401"/>
      <c r="F290" s="401"/>
      <c r="G290" s="401"/>
      <c r="H290" s="401"/>
      <c r="I290" s="401"/>
      <c r="J290" s="401"/>
      <c r="K290" s="401"/>
      <c r="L290" s="401"/>
      <c r="M290" s="401"/>
      <c r="N290" s="805"/>
      <c r="O290" s="485"/>
      <c r="P290" s="779"/>
      <c r="Q290" s="485"/>
      <c r="R290" s="485"/>
      <c r="S290" s="485"/>
      <c r="T290" s="1172"/>
      <c r="U290" s="1172"/>
      <c r="V290" s="1172"/>
    </row>
  </sheetData>
  <pageMargins left="0.7" right="0.7" top="0.75" bottom="0.75" header="0.511811023622047" footer="0.511811023622047"/>
  <pageSetup orientation="portrait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X777"/>
  <sheetViews>
    <sheetView topLeftCell="B3" zoomScale="85" zoomScaleNormal="85" workbookViewId="0">
      <pane ySplit="2" topLeftCell="A248" activePane="bottomLeft" state="frozen"/>
      <selection activeCell="B3" sqref="B3"/>
      <selection pane="bottomLeft" activeCell="B262" sqref="B262"/>
    </sheetView>
  </sheetViews>
  <sheetFormatPr baseColWidth="10" defaultColWidth="9.1640625" defaultRowHeight="15"/>
  <cols>
    <col min="1" max="1" width="9.1640625" style="399"/>
    <col min="2" max="2" width="53.1640625" style="399" customWidth="1"/>
    <col min="3" max="5" width="12.5" style="399" customWidth="1"/>
    <col min="6" max="12" width="10.5" style="399" customWidth="1"/>
    <col min="13" max="13" width="8.5" style="399" customWidth="1"/>
    <col min="14" max="14" width="14.5" style="399" customWidth="1"/>
    <col min="15" max="15" width="6.5" style="399" customWidth="1"/>
    <col min="16" max="16" width="15.5" style="399" customWidth="1"/>
    <col min="17" max="17" width="18.1640625" style="399" customWidth="1"/>
    <col min="18" max="18" width="11.83203125" style="399" customWidth="1"/>
    <col min="19" max="20" width="9.1640625" style="399"/>
    <col min="21" max="21" width="12.1640625" style="399" customWidth="1"/>
    <col min="22" max="24" width="9.1640625" style="399"/>
    <col min="25" max="25" width="12.5" style="399" customWidth="1"/>
    <col min="26" max="16384" width="9.1640625" style="399"/>
  </cols>
  <sheetData>
    <row r="1" spans="1:24" ht="24" customHeight="1">
      <c r="A1" s="739" t="s">
        <v>998</v>
      </c>
      <c r="B1" s="398"/>
      <c r="C1" s="398"/>
      <c r="D1" s="398"/>
      <c r="E1" s="398"/>
      <c r="F1" s="398"/>
      <c r="G1" s="398"/>
      <c r="H1" s="398"/>
      <c r="I1" s="398"/>
      <c r="J1" s="398"/>
      <c r="K1" s="398"/>
      <c r="L1" s="398"/>
      <c r="M1" s="398"/>
      <c r="N1" s="398"/>
      <c r="O1" s="398"/>
      <c r="P1" s="398"/>
      <c r="Q1" s="398"/>
      <c r="R1" s="398"/>
      <c r="S1" s="398"/>
      <c r="T1" s="398"/>
      <c r="U1" s="398"/>
      <c r="V1" s="738"/>
      <c r="W1" s="738"/>
      <c r="X1" s="738"/>
    </row>
    <row r="2" spans="1:24" ht="15.75" customHeight="1">
      <c r="A2" s="398"/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398"/>
      <c r="M2" s="398"/>
      <c r="N2" s="398"/>
      <c r="O2" s="398"/>
      <c r="P2" s="398"/>
      <c r="Q2" s="398"/>
      <c r="R2" s="398"/>
      <c r="S2" s="398"/>
      <c r="T2" s="398"/>
      <c r="U2" s="398"/>
      <c r="V2" s="738"/>
      <c r="W2" s="738"/>
      <c r="X2" s="738"/>
    </row>
    <row r="3" spans="1:24" ht="21.75" customHeight="1">
      <c r="A3" s="3245" t="s">
        <v>1</v>
      </c>
      <c r="B3" s="3246" t="s">
        <v>68</v>
      </c>
      <c r="C3" s="3246" t="s">
        <v>77</v>
      </c>
      <c r="D3" s="3246" t="s">
        <v>78</v>
      </c>
      <c r="E3" s="3246" t="s">
        <v>79</v>
      </c>
      <c r="F3" s="3246" t="s">
        <v>6</v>
      </c>
      <c r="G3" s="3246" t="s">
        <v>999</v>
      </c>
      <c r="H3" s="3246" t="s">
        <v>977</v>
      </c>
      <c r="I3" s="3246" t="s">
        <v>978</v>
      </c>
      <c r="J3" s="3246" t="s">
        <v>1000</v>
      </c>
      <c r="K3" s="3246"/>
      <c r="L3" s="3246" t="s">
        <v>213</v>
      </c>
      <c r="M3" s="3246" t="s">
        <v>80</v>
      </c>
      <c r="N3" s="3246" t="s">
        <v>81</v>
      </c>
      <c r="O3" s="3246" t="s">
        <v>82</v>
      </c>
      <c r="P3" s="3256" t="s">
        <v>83</v>
      </c>
      <c r="Q3" s="398"/>
      <c r="R3" s="398"/>
      <c r="S3" s="398"/>
      <c r="T3" s="398"/>
      <c r="U3" s="398"/>
      <c r="V3" s="738"/>
      <c r="W3" s="738"/>
      <c r="X3" s="738"/>
    </row>
    <row r="4" spans="1:24" ht="21.75" customHeight="1">
      <c r="A4" s="3245"/>
      <c r="B4" s="3246"/>
      <c r="C4" s="3246"/>
      <c r="D4" s="3246"/>
      <c r="E4" s="3246"/>
      <c r="F4" s="3246"/>
      <c r="G4" s="3246"/>
      <c r="H4" s="3246"/>
      <c r="I4" s="3246"/>
      <c r="J4" s="556" t="s">
        <v>1001</v>
      </c>
      <c r="K4" s="556" t="s">
        <v>1002</v>
      </c>
      <c r="L4" s="3246"/>
      <c r="M4" s="3246"/>
      <c r="N4" s="3246"/>
      <c r="O4" s="3246"/>
      <c r="P4" s="3256"/>
      <c r="Q4" s="398"/>
      <c r="R4" s="398"/>
      <c r="S4" s="398"/>
      <c r="T4" s="398"/>
      <c r="U4" s="398"/>
      <c r="V4" s="738"/>
      <c r="W4" s="738"/>
      <c r="X4" s="738"/>
    </row>
    <row r="5" spans="1:24" ht="7.5" customHeight="1">
      <c r="A5" s="398"/>
      <c r="B5" s="398"/>
      <c r="C5" s="398"/>
      <c r="D5" s="398"/>
      <c r="E5" s="398"/>
      <c r="F5" s="398"/>
      <c r="G5" s="398"/>
      <c r="H5" s="398"/>
      <c r="I5" s="398"/>
      <c r="J5" s="398"/>
      <c r="K5" s="398"/>
      <c r="L5" s="398"/>
      <c r="M5" s="398"/>
      <c r="N5" s="398"/>
      <c r="O5" s="398"/>
      <c r="P5" s="781"/>
      <c r="Q5" s="398"/>
      <c r="R5" s="398"/>
      <c r="S5" s="398"/>
      <c r="T5" s="398"/>
      <c r="U5" s="398"/>
      <c r="V5" s="738"/>
      <c r="W5" s="738"/>
      <c r="X5" s="738"/>
    </row>
    <row r="6" spans="1:24" ht="7.5" customHeight="1">
      <c r="A6" s="558"/>
      <c r="B6" s="559"/>
      <c r="C6" s="559"/>
      <c r="D6" s="559"/>
      <c r="E6" s="559"/>
      <c r="F6" s="559"/>
      <c r="G6" s="559"/>
      <c r="H6" s="559"/>
      <c r="I6" s="559"/>
      <c r="J6" s="559"/>
      <c r="K6" s="559"/>
      <c r="L6" s="559"/>
      <c r="M6" s="559"/>
      <c r="N6" s="559"/>
      <c r="O6" s="559"/>
      <c r="P6" s="782"/>
      <c r="Q6" s="398"/>
      <c r="R6" s="398"/>
      <c r="S6" s="398"/>
      <c r="T6" s="398"/>
      <c r="U6" s="398"/>
      <c r="V6" s="738"/>
      <c r="W6" s="738"/>
      <c r="X6" s="738"/>
    </row>
    <row r="7" spans="1:24" ht="15.75" customHeight="1">
      <c r="A7" s="346" t="s">
        <v>1162</v>
      </c>
      <c r="B7" s="561" t="s">
        <v>1618</v>
      </c>
      <c r="C7" s="330"/>
      <c r="D7" s="330"/>
      <c r="E7" s="330"/>
      <c r="F7" s="330"/>
      <c r="G7" s="330"/>
      <c r="H7" s="330"/>
      <c r="I7" s="330"/>
      <c r="J7" s="330"/>
      <c r="K7" s="330"/>
      <c r="L7" s="330"/>
      <c r="M7" s="330"/>
      <c r="N7" s="330"/>
      <c r="O7" s="349"/>
      <c r="P7" s="783"/>
      <c r="Q7" s="398"/>
      <c r="R7" s="398"/>
      <c r="S7" s="398"/>
      <c r="T7" s="398"/>
      <c r="U7" s="398"/>
      <c r="V7" s="738"/>
      <c r="W7" s="738"/>
      <c r="X7" s="738"/>
    </row>
    <row r="8" spans="1:24" ht="15.75" customHeight="1">
      <c r="A8" s="346" t="s">
        <v>1164</v>
      </c>
      <c r="B8" s="561" t="s">
        <v>395</v>
      </c>
      <c r="C8" s="330"/>
      <c r="D8" s="330"/>
      <c r="E8" s="330"/>
      <c r="F8" s="330"/>
      <c r="G8" s="330"/>
      <c r="H8" s="330"/>
      <c r="I8" s="330"/>
      <c r="J8" s="330"/>
      <c r="K8" s="330"/>
      <c r="L8" s="330"/>
      <c r="M8" s="330"/>
      <c r="N8" s="330"/>
      <c r="O8" s="349"/>
      <c r="P8" s="784"/>
      <c r="Q8" s="398"/>
      <c r="R8" s="779"/>
      <c r="S8" s="398"/>
      <c r="T8" s="398"/>
      <c r="U8" s="398"/>
      <c r="V8" s="738"/>
      <c r="W8" s="738"/>
      <c r="X8" s="738"/>
    </row>
    <row r="9" spans="1:24" ht="15.75" customHeight="1">
      <c r="A9" s="350">
        <v>1</v>
      </c>
      <c r="B9" s="359" t="s">
        <v>396</v>
      </c>
      <c r="C9" s="330" t="s">
        <v>1005</v>
      </c>
      <c r="D9" s="330"/>
      <c r="E9" s="330"/>
      <c r="F9" s="330"/>
      <c r="G9" s="330"/>
      <c r="H9" s="330"/>
      <c r="I9" s="330"/>
      <c r="J9" s="330"/>
      <c r="K9" s="330"/>
      <c r="L9" s="330"/>
      <c r="M9" s="330"/>
      <c r="N9" s="330"/>
      <c r="O9" s="349"/>
      <c r="P9" s="784"/>
      <c r="Q9" s="398"/>
      <c r="R9" s="779"/>
      <c r="S9" s="398"/>
      <c r="T9" s="398"/>
      <c r="U9" s="398"/>
      <c r="V9" s="738"/>
      <c r="W9" s="738"/>
      <c r="X9" s="738"/>
    </row>
    <row r="10" spans="1:24" ht="15.75" customHeight="1">
      <c r="A10" s="350"/>
      <c r="B10" s="359"/>
      <c r="C10" s="330">
        <f>12+1</f>
        <v>13</v>
      </c>
      <c r="D10" s="330"/>
      <c r="E10" s="330"/>
      <c r="F10" s="330"/>
      <c r="G10" s="330"/>
      <c r="H10" s="330">
        <v>2</v>
      </c>
      <c r="I10" s="330"/>
      <c r="J10" s="330"/>
      <c r="K10" s="330"/>
      <c r="L10" s="330"/>
      <c r="M10" s="330"/>
      <c r="N10" s="330">
        <f>C10*H10</f>
        <v>26</v>
      </c>
      <c r="O10" s="349"/>
      <c r="P10" s="784"/>
      <c r="Q10" s="398"/>
      <c r="R10" s="779"/>
      <c r="S10" s="398"/>
      <c r="T10" s="398"/>
      <c r="U10" s="398"/>
      <c r="V10" s="738"/>
      <c r="W10" s="738"/>
      <c r="X10" s="738"/>
    </row>
    <row r="11" spans="1:24" ht="15.75" customHeight="1">
      <c r="A11" s="350"/>
      <c r="B11" s="359"/>
      <c r="C11" s="330"/>
      <c r="D11" s="330">
        <f>6+1</f>
        <v>7</v>
      </c>
      <c r="E11" s="330"/>
      <c r="F11" s="330"/>
      <c r="G11" s="330"/>
      <c r="H11" s="330">
        <v>2</v>
      </c>
      <c r="I11" s="330"/>
      <c r="J11" s="330"/>
      <c r="K11" s="330"/>
      <c r="L11" s="330"/>
      <c r="M11" s="330"/>
      <c r="N11" s="752">
        <f>D11*H11</f>
        <v>14</v>
      </c>
      <c r="O11" s="349"/>
      <c r="P11" s="784"/>
      <c r="Q11" s="398"/>
      <c r="R11" s="779"/>
      <c r="S11" s="398"/>
      <c r="T11" s="398"/>
      <c r="U11" s="398"/>
      <c r="V11" s="738"/>
      <c r="W11" s="738"/>
      <c r="X11" s="738"/>
    </row>
    <row r="12" spans="1:24" ht="15.75" customHeight="1">
      <c r="A12" s="350"/>
      <c r="B12" s="359"/>
      <c r="C12" s="330"/>
      <c r="D12" s="330"/>
      <c r="E12" s="330"/>
      <c r="F12" s="330"/>
      <c r="G12" s="330"/>
      <c r="H12" s="330"/>
      <c r="I12" s="330"/>
      <c r="J12" s="330"/>
      <c r="K12" s="330"/>
      <c r="L12" s="330"/>
      <c r="M12" s="330"/>
      <c r="N12" s="401">
        <f>SUM(N10:N11)</f>
        <v>40</v>
      </c>
      <c r="O12" s="349" t="s">
        <v>89</v>
      </c>
      <c r="P12" s="784">
        <f>ROUND((N12),2)</f>
        <v>40</v>
      </c>
      <c r="Q12" s="398"/>
      <c r="R12" s="779"/>
      <c r="S12" s="398"/>
      <c r="T12" s="398"/>
      <c r="U12" s="398"/>
      <c r="V12" s="738"/>
      <c r="W12" s="738"/>
      <c r="X12" s="738"/>
    </row>
    <row r="13" spans="1:24" ht="15.75" customHeight="1">
      <c r="A13" s="751">
        <f>A9+1</f>
        <v>2</v>
      </c>
      <c r="B13" s="354" t="s">
        <v>397</v>
      </c>
      <c r="C13" s="330"/>
      <c r="D13" s="330"/>
      <c r="E13" s="330"/>
      <c r="F13" s="330"/>
      <c r="G13" s="330"/>
      <c r="H13" s="330"/>
      <c r="I13" s="330"/>
      <c r="J13" s="330"/>
      <c r="K13" s="330"/>
      <c r="L13" s="330"/>
      <c r="M13" s="330"/>
      <c r="N13" s="330"/>
      <c r="O13" s="349"/>
      <c r="P13" s="784"/>
      <c r="Q13" s="398"/>
      <c r="R13" s="779"/>
      <c r="S13" s="398"/>
      <c r="T13" s="398"/>
      <c r="U13" s="398"/>
      <c r="V13" s="738"/>
      <c r="W13" s="738"/>
      <c r="X13" s="738"/>
    </row>
    <row r="14" spans="1:24" ht="15.75" customHeight="1">
      <c r="A14" s="402" t="s">
        <v>95</v>
      </c>
      <c r="B14" s="354" t="s">
        <v>398</v>
      </c>
      <c r="C14" s="401">
        <v>1</v>
      </c>
      <c r="D14" s="401">
        <v>1</v>
      </c>
      <c r="E14" s="401">
        <f>0.8+0.07+0.3+0.03+0.07</f>
        <v>1.2700000000000002</v>
      </c>
      <c r="F14" s="401"/>
      <c r="G14" s="401"/>
      <c r="H14" s="401"/>
      <c r="I14" s="401"/>
      <c r="J14" s="401"/>
      <c r="K14" s="401"/>
      <c r="L14" s="401"/>
      <c r="M14" s="401">
        <v>8</v>
      </c>
      <c r="N14" s="401">
        <f>C14*D14*E14*M14</f>
        <v>10.160000000000002</v>
      </c>
      <c r="O14" s="349" t="s">
        <v>103</v>
      </c>
      <c r="P14" s="784">
        <f t="shared" ref="P14:P20" si="0">ROUND((N14),2)</f>
        <v>10.16</v>
      </c>
      <c r="Q14" s="398"/>
      <c r="R14" s="779"/>
      <c r="S14" s="398"/>
      <c r="T14" s="398"/>
      <c r="U14" s="398"/>
      <c r="V14" s="738"/>
      <c r="W14" s="738"/>
      <c r="X14" s="738"/>
    </row>
    <row r="15" spans="1:24" ht="15.75" customHeight="1">
      <c r="A15" s="402" t="s">
        <v>98</v>
      </c>
      <c r="B15" s="354" t="s">
        <v>399</v>
      </c>
      <c r="C15" s="401">
        <v>0.8</v>
      </c>
      <c r="D15" s="401">
        <v>0.8</v>
      </c>
      <c r="E15" s="401">
        <v>7.0000000000000007E-2</v>
      </c>
      <c r="F15" s="401"/>
      <c r="G15" s="401"/>
      <c r="H15" s="401"/>
      <c r="I15" s="401"/>
      <c r="J15" s="401"/>
      <c r="K15" s="401"/>
      <c r="L15" s="401"/>
      <c r="M15" s="401">
        <f t="shared" ref="M15:M20" si="1">M14</f>
        <v>8</v>
      </c>
      <c r="N15" s="401">
        <f>C15*D15*E15*M15</f>
        <v>0.35840000000000011</v>
      </c>
      <c r="O15" s="349" t="s">
        <v>103</v>
      </c>
      <c r="P15" s="784">
        <f t="shared" si="0"/>
        <v>0.36</v>
      </c>
      <c r="Q15" s="398"/>
      <c r="R15" s="779"/>
      <c r="S15" s="398"/>
      <c r="T15" s="398"/>
      <c r="U15" s="398"/>
      <c r="V15" s="738"/>
      <c r="W15" s="738"/>
      <c r="X15" s="738"/>
    </row>
    <row r="16" spans="1:24" ht="15.75" customHeight="1">
      <c r="A16" s="402" t="s">
        <v>101</v>
      </c>
      <c r="B16" s="354" t="s">
        <v>400</v>
      </c>
      <c r="C16" s="401">
        <f>C15</f>
        <v>0.8</v>
      </c>
      <c r="D16" s="401">
        <f>D15</f>
        <v>0.8</v>
      </c>
      <c r="E16" s="401">
        <v>0.03</v>
      </c>
      <c r="F16" s="401"/>
      <c r="G16" s="401"/>
      <c r="H16" s="401"/>
      <c r="I16" s="401"/>
      <c r="J16" s="401"/>
      <c r="K16" s="401"/>
      <c r="L16" s="401"/>
      <c r="M16" s="401">
        <f t="shared" si="1"/>
        <v>8</v>
      </c>
      <c r="N16" s="401">
        <f>C16*D16*E16*M16</f>
        <v>0.15360000000000001</v>
      </c>
      <c r="O16" s="349" t="s">
        <v>103</v>
      </c>
      <c r="P16" s="784">
        <f t="shared" si="0"/>
        <v>0.15</v>
      </c>
      <c r="Q16" s="398"/>
      <c r="R16" s="779"/>
      <c r="S16" s="398"/>
      <c r="T16" s="398"/>
      <c r="U16" s="398"/>
      <c r="V16" s="738"/>
      <c r="W16" s="738"/>
      <c r="X16" s="738"/>
    </row>
    <row r="17" spans="1:24" ht="15.75" customHeight="1">
      <c r="A17" s="402" t="s">
        <v>121</v>
      </c>
      <c r="B17" s="354" t="s">
        <v>401</v>
      </c>
      <c r="C17" s="401">
        <v>1</v>
      </c>
      <c r="D17" s="401"/>
      <c r="E17" s="401">
        <v>0.3</v>
      </c>
      <c r="F17" s="401"/>
      <c r="G17" s="401"/>
      <c r="H17" s="401">
        <v>4</v>
      </c>
      <c r="I17" s="401"/>
      <c r="J17" s="401"/>
      <c r="K17" s="401"/>
      <c r="L17" s="401"/>
      <c r="M17" s="401">
        <f t="shared" si="1"/>
        <v>8</v>
      </c>
      <c r="N17" s="401">
        <f>C17*E17*H17*M17</f>
        <v>9.6</v>
      </c>
      <c r="O17" s="349" t="s">
        <v>89</v>
      </c>
      <c r="P17" s="784">
        <f t="shared" si="0"/>
        <v>9.6</v>
      </c>
      <c r="Q17" s="398"/>
      <c r="R17" s="779"/>
      <c r="S17" s="398"/>
      <c r="T17" s="398"/>
      <c r="U17" s="398"/>
      <c r="V17" s="738"/>
      <c r="W17" s="738"/>
      <c r="X17" s="738"/>
    </row>
    <row r="18" spans="1:24" ht="15.75" customHeight="1">
      <c r="A18" s="402" t="s">
        <v>142</v>
      </c>
      <c r="B18" s="354" t="s">
        <v>895</v>
      </c>
      <c r="C18" s="401">
        <v>0.65</v>
      </c>
      <c r="D18" s="401"/>
      <c r="E18" s="401"/>
      <c r="F18" s="401">
        <f>13*13*0.006165</f>
        <v>1.041885</v>
      </c>
      <c r="G18" s="401">
        <f>0.15*2</f>
        <v>0.3</v>
      </c>
      <c r="H18" s="401">
        <v>4</v>
      </c>
      <c r="I18" s="401"/>
      <c r="J18" s="401"/>
      <c r="K18" s="401"/>
      <c r="L18" s="401">
        <f>ROUNDUP((C18/0.15),0.5)</f>
        <v>5</v>
      </c>
      <c r="M18" s="401">
        <f t="shared" si="1"/>
        <v>8</v>
      </c>
      <c r="N18" s="401">
        <f>(C18+G18)*F18*H18*L18*M18</f>
        <v>158.36651999999998</v>
      </c>
      <c r="O18" s="349" t="s">
        <v>100</v>
      </c>
      <c r="P18" s="784">
        <f t="shared" si="0"/>
        <v>158.37</v>
      </c>
      <c r="Q18" s="398"/>
      <c r="R18" s="779"/>
      <c r="S18" s="398"/>
      <c r="T18" s="398"/>
      <c r="U18" s="398"/>
      <c r="V18" s="738"/>
      <c r="W18" s="738"/>
      <c r="X18" s="738"/>
    </row>
    <row r="19" spans="1:24" ht="15.75" customHeight="1">
      <c r="A19" s="402" t="s">
        <v>217</v>
      </c>
      <c r="B19" s="356" t="s">
        <v>646</v>
      </c>
      <c r="C19" s="401">
        <f>C16</f>
        <v>0.8</v>
      </c>
      <c r="D19" s="401">
        <f>D16</f>
        <v>0.8</v>
      </c>
      <c r="E19" s="401">
        <f>E17</f>
        <v>0.3</v>
      </c>
      <c r="F19" s="401"/>
      <c r="G19" s="401"/>
      <c r="H19" s="401"/>
      <c r="I19" s="401"/>
      <c r="J19" s="401"/>
      <c r="K19" s="401"/>
      <c r="L19" s="401"/>
      <c r="M19" s="401">
        <f t="shared" si="1"/>
        <v>8</v>
      </c>
      <c r="N19" s="401">
        <f>C19*D19*E19*M19</f>
        <v>1.5360000000000003</v>
      </c>
      <c r="O19" s="349" t="s">
        <v>103</v>
      </c>
      <c r="P19" s="784">
        <f t="shared" si="0"/>
        <v>1.54</v>
      </c>
      <c r="Q19" s="398"/>
      <c r="R19" s="779"/>
      <c r="S19" s="398"/>
      <c r="T19" s="398"/>
      <c r="U19" s="398"/>
      <c r="V19" s="738"/>
      <c r="W19" s="738"/>
      <c r="X19" s="738"/>
    </row>
    <row r="20" spans="1:24" ht="15.75" customHeight="1">
      <c r="A20" s="402" t="s">
        <v>366</v>
      </c>
      <c r="B20" s="354" t="s">
        <v>383</v>
      </c>
      <c r="C20" s="401"/>
      <c r="D20" s="401"/>
      <c r="E20" s="401">
        <v>4</v>
      </c>
      <c r="F20" s="401"/>
      <c r="G20" s="401"/>
      <c r="H20" s="401"/>
      <c r="I20" s="401"/>
      <c r="J20" s="401"/>
      <c r="K20" s="401"/>
      <c r="L20" s="401">
        <v>8</v>
      </c>
      <c r="M20" s="401">
        <f t="shared" si="1"/>
        <v>8</v>
      </c>
      <c r="N20" s="401">
        <f>E20*L20*M20</f>
        <v>256</v>
      </c>
      <c r="O20" s="349" t="s">
        <v>117</v>
      </c>
      <c r="P20" s="784">
        <f t="shared" si="0"/>
        <v>256</v>
      </c>
      <c r="Q20" s="398"/>
      <c r="R20" s="779"/>
      <c r="S20" s="398"/>
      <c r="T20" s="398"/>
      <c r="U20" s="398"/>
      <c r="V20" s="738"/>
      <c r="W20" s="738"/>
      <c r="X20" s="738"/>
    </row>
    <row r="21" spans="1:24" ht="15.75" customHeight="1">
      <c r="A21" s="350">
        <f>A13+1</f>
        <v>3</v>
      </c>
      <c r="B21" s="359" t="s">
        <v>403</v>
      </c>
      <c r="C21" s="330"/>
      <c r="D21" s="330"/>
      <c r="E21" s="330"/>
      <c r="F21" s="330"/>
      <c r="G21" s="330"/>
      <c r="H21" s="330"/>
      <c r="I21" s="330"/>
      <c r="J21" s="330"/>
      <c r="K21" s="330"/>
      <c r="L21" s="330"/>
      <c r="M21" s="330"/>
      <c r="N21" s="330"/>
      <c r="O21" s="349"/>
      <c r="P21" s="784"/>
      <c r="Q21" s="398"/>
      <c r="R21" s="779"/>
      <c r="S21" s="398"/>
      <c r="T21" s="398"/>
      <c r="U21" s="398"/>
      <c r="V21" s="738"/>
      <c r="W21" s="738"/>
      <c r="X21" s="738"/>
    </row>
    <row r="22" spans="1:24" ht="15.75" customHeight="1">
      <c r="A22" s="355" t="s">
        <v>95</v>
      </c>
      <c r="B22" s="359" t="s">
        <v>930</v>
      </c>
      <c r="C22" s="330"/>
      <c r="D22" s="818"/>
      <c r="E22" s="330"/>
      <c r="F22" s="330"/>
      <c r="G22" s="330"/>
      <c r="H22" s="330"/>
      <c r="I22" s="330"/>
      <c r="J22" s="330"/>
      <c r="K22" s="330"/>
      <c r="L22" s="330"/>
      <c r="M22" s="330"/>
      <c r="N22" s="330"/>
      <c r="O22" s="349"/>
      <c r="P22" s="784"/>
      <c r="Q22" s="398"/>
      <c r="R22" s="779"/>
      <c r="S22" s="398"/>
      <c r="T22" s="398"/>
      <c r="U22" s="398"/>
      <c r="V22" s="738"/>
      <c r="W22" s="738"/>
      <c r="X22" s="738"/>
    </row>
    <row r="23" spans="1:24" ht="15.75" customHeight="1">
      <c r="A23" s="355"/>
      <c r="B23" s="567" t="s">
        <v>226</v>
      </c>
      <c r="C23" s="330">
        <v>12</v>
      </c>
      <c r="D23" s="330">
        <v>0.8</v>
      </c>
      <c r="E23" s="330">
        <f>0.8+0.07+0.03</f>
        <v>0.90000000000000013</v>
      </c>
      <c r="F23" s="330"/>
      <c r="G23" s="330"/>
      <c r="H23" s="330"/>
      <c r="I23" s="330"/>
      <c r="J23" s="330"/>
      <c r="K23" s="330"/>
      <c r="L23" s="330"/>
      <c r="M23" s="330">
        <v>3</v>
      </c>
      <c r="N23" s="330">
        <f>C23*D23*E23*M23</f>
        <v>25.920000000000009</v>
      </c>
      <c r="O23" s="349"/>
      <c r="P23" s="784"/>
      <c r="Q23" s="398"/>
      <c r="R23" s="779"/>
      <c r="S23" s="398"/>
      <c r="T23" s="398"/>
      <c r="U23" s="398"/>
      <c r="V23" s="738"/>
      <c r="W23" s="738"/>
      <c r="X23" s="738"/>
    </row>
    <row r="24" spans="1:24" ht="15.75" customHeight="1">
      <c r="A24" s="355"/>
      <c r="B24" s="567" t="s">
        <v>227</v>
      </c>
      <c r="C24" s="330">
        <v>6</v>
      </c>
      <c r="D24" s="330">
        <f>D23</f>
        <v>0.8</v>
      </c>
      <c r="E24" s="330">
        <f>E23</f>
        <v>0.90000000000000013</v>
      </c>
      <c r="F24" s="330"/>
      <c r="G24" s="330"/>
      <c r="H24" s="330"/>
      <c r="I24" s="330"/>
      <c r="J24" s="330"/>
      <c r="K24" s="330"/>
      <c r="L24" s="330"/>
      <c r="M24" s="330">
        <v>4</v>
      </c>
      <c r="N24" s="752">
        <f>C24*D24*E24*M24</f>
        <v>17.280000000000005</v>
      </c>
      <c r="O24" s="349"/>
      <c r="P24" s="784"/>
      <c r="Q24" s="398"/>
      <c r="R24" s="779"/>
      <c r="S24" s="398"/>
      <c r="T24" s="398"/>
      <c r="U24" s="398"/>
      <c r="V24" s="738"/>
      <c r="W24" s="738"/>
      <c r="X24" s="738"/>
    </row>
    <row r="25" spans="1:24" ht="15.75" customHeight="1">
      <c r="A25" s="355"/>
      <c r="B25" s="359"/>
      <c r="C25" s="330"/>
      <c r="D25" s="330"/>
      <c r="E25" s="330"/>
      <c r="F25" s="330"/>
      <c r="G25" s="330"/>
      <c r="H25" s="330"/>
      <c r="I25" s="330"/>
      <c r="J25" s="330"/>
      <c r="K25" s="330"/>
      <c r="L25" s="330"/>
      <c r="M25" s="330"/>
      <c r="N25" s="401">
        <f>SUM(N23:N24)</f>
        <v>43.200000000000017</v>
      </c>
      <c r="O25" s="349" t="s">
        <v>103</v>
      </c>
      <c r="P25" s="784">
        <f>ROUND((N25),2)</f>
        <v>43.2</v>
      </c>
      <c r="Q25" s="398"/>
      <c r="R25" s="779"/>
      <c r="S25" s="398"/>
      <c r="T25" s="398"/>
      <c r="U25" s="398"/>
      <c r="V25" s="738"/>
      <c r="W25" s="738"/>
      <c r="X25" s="738"/>
    </row>
    <row r="26" spans="1:24" ht="15.75" customHeight="1">
      <c r="A26" s="404" t="s">
        <v>98</v>
      </c>
      <c r="B26" s="417" t="s">
        <v>405</v>
      </c>
      <c r="C26" s="330"/>
      <c r="D26" s="330"/>
      <c r="E26" s="330"/>
      <c r="F26" s="401"/>
      <c r="G26" s="401"/>
      <c r="H26" s="330"/>
      <c r="I26" s="401"/>
      <c r="J26" s="401"/>
      <c r="K26" s="330"/>
      <c r="L26" s="330"/>
      <c r="M26" s="401"/>
      <c r="N26" s="330"/>
      <c r="O26" s="330"/>
      <c r="P26" s="784"/>
      <c r="Q26" s="398"/>
      <c r="R26" s="779"/>
      <c r="S26" s="398"/>
      <c r="T26" s="398"/>
      <c r="U26" s="398"/>
      <c r="V26" s="738"/>
      <c r="W26" s="738"/>
      <c r="X26" s="738"/>
    </row>
    <row r="27" spans="1:24" ht="15.75" customHeight="1">
      <c r="A27" s="404"/>
      <c r="B27" s="803" t="str">
        <f>B23</f>
        <v>horisontal</v>
      </c>
      <c r="C27" s="330">
        <f>C23</f>
        <v>12</v>
      </c>
      <c r="D27" s="330"/>
      <c r="E27" s="330"/>
      <c r="F27" s="401"/>
      <c r="G27" s="401"/>
      <c r="H27" s="330"/>
      <c r="I27" s="401"/>
      <c r="J27" s="401"/>
      <c r="K27" s="330"/>
      <c r="L27" s="330"/>
      <c r="M27" s="401">
        <f>M23</f>
        <v>3</v>
      </c>
      <c r="N27" s="570">
        <f>C27*M27</f>
        <v>36</v>
      </c>
      <c r="O27" s="395"/>
      <c r="P27" s="784"/>
      <c r="Q27" s="398"/>
      <c r="R27" s="779"/>
      <c r="S27" s="398"/>
      <c r="T27" s="398"/>
      <c r="U27" s="398"/>
      <c r="V27" s="738"/>
      <c r="W27" s="738"/>
      <c r="X27" s="738"/>
    </row>
    <row r="28" spans="1:24" ht="15.75" customHeight="1">
      <c r="A28" s="404"/>
      <c r="B28" s="803" t="str">
        <f>B24</f>
        <v>vertikal</v>
      </c>
      <c r="C28" s="330">
        <f>C24</f>
        <v>6</v>
      </c>
      <c r="D28" s="330"/>
      <c r="E28" s="330"/>
      <c r="F28" s="401"/>
      <c r="G28" s="401"/>
      <c r="H28" s="330"/>
      <c r="I28" s="401"/>
      <c r="J28" s="401"/>
      <c r="K28" s="330"/>
      <c r="L28" s="330"/>
      <c r="M28" s="401">
        <f>M24</f>
        <v>4</v>
      </c>
      <c r="N28" s="570">
        <f>C28*M28</f>
        <v>24</v>
      </c>
      <c r="O28" s="395"/>
      <c r="P28" s="784"/>
      <c r="Q28" s="398"/>
      <c r="R28" s="779"/>
      <c r="S28" s="398"/>
      <c r="T28" s="398"/>
      <c r="U28" s="398"/>
      <c r="V28" s="738"/>
      <c r="W28" s="738"/>
      <c r="X28" s="738"/>
    </row>
    <row r="29" spans="1:24" ht="15.75" customHeight="1">
      <c r="A29" s="404"/>
      <c r="B29" s="417"/>
      <c r="C29" s="401"/>
      <c r="D29" s="401"/>
      <c r="E29" s="401"/>
      <c r="F29" s="401"/>
      <c r="G29" s="401"/>
      <c r="H29" s="401"/>
      <c r="I29" s="401"/>
      <c r="J29" s="401"/>
      <c r="K29" s="401"/>
      <c r="L29" s="401"/>
      <c r="M29" s="401"/>
      <c r="N29" s="401">
        <f>SUM(N27:N28)</f>
        <v>60</v>
      </c>
      <c r="O29" s="395"/>
      <c r="P29" s="784"/>
      <c r="Q29" s="398"/>
      <c r="R29" s="779"/>
      <c r="S29" s="398"/>
      <c r="T29" s="398"/>
      <c r="U29" s="398"/>
      <c r="V29" s="738"/>
      <c r="W29" s="738"/>
      <c r="X29" s="738"/>
    </row>
    <row r="30" spans="1:24" ht="15.75" customHeight="1">
      <c r="A30" s="404"/>
      <c r="B30" s="803" t="s">
        <v>1006</v>
      </c>
      <c r="C30" s="401"/>
      <c r="D30" s="401"/>
      <c r="E30" s="401">
        <v>4</v>
      </c>
      <c r="F30" s="401">
        <f>N29/0.5</f>
        <v>120</v>
      </c>
      <c r="G30" s="401"/>
      <c r="H30" s="401">
        <v>2</v>
      </c>
      <c r="I30" s="401"/>
      <c r="J30" s="401"/>
      <c r="K30" s="554"/>
      <c r="L30" s="401"/>
      <c r="M30" s="401"/>
      <c r="N30" s="401">
        <f>E30*H30*F30</f>
        <v>960</v>
      </c>
      <c r="O30" s="395" t="s">
        <v>117</v>
      </c>
      <c r="P30" s="784">
        <f>ROUND((N30),2)</f>
        <v>960</v>
      </c>
      <c r="Q30" s="398"/>
      <c r="R30" s="779"/>
      <c r="S30" s="398"/>
      <c r="T30" s="398"/>
      <c r="U30" s="398"/>
      <c r="V30" s="738"/>
      <c r="W30" s="738"/>
      <c r="X30" s="738"/>
    </row>
    <row r="31" spans="1:24" ht="15.75" customHeight="1">
      <c r="A31" s="355" t="s">
        <v>101</v>
      </c>
      <c r="B31" s="359" t="s">
        <v>406</v>
      </c>
      <c r="C31" s="330"/>
      <c r="D31" s="330"/>
      <c r="E31" s="330"/>
      <c r="F31" s="330"/>
      <c r="G31" s="330"/>
      <c r="H31" s="330"/>
      <c r="I31" s="330"/>
      <c r="J31" s="330"/>
      <c r="K31" s="330"/>
      <c r="L31" s="330"/>
      <c r="M31" s="330"/>
      <c r="N31" s="401"/>
      <c r="O31" s="349"/>
      <c r="P31" s="784"/>
      <c r="Q31" s="398"/>
      <c r="R31" s="779"/>
      <c r="S31" s="398"/>
      <c r="T31" s="398"/>
      <c r="U31" s="398"/>
      <c r="V31" s="738"/>
      <c r="W31" s="738"/>
      <c r="X31" s="738"/>
    </row>
    <row r="32" spans="1:24" ht="15.75" customHeight="1">
      <c r="A32" s="355"/>
      <c r="B32" s="567" t="str">
        <f t="shared" ref="B32:D33" si="2">B23</f>
        <v>horisontal</v>
      </c>
      <c r="C32" s="330">
        <f t="shared" si="2"/>
        <v>12</v>
      </c>
      <c r="D32" s="330">
        <f t="shared" si="2"/>
        <v>0.8</v>
      </c>
      <c r="E32" s="330">
        <v>7.0000000000000007E-2</v>
      </c>
      <c r="F32" s="330"/>
      <c r="G32" s="330"/>
      <c r="H32" s="330"/>
      <c r="I32" s="330"/>
      <c r="J32" s="330"/>
      <c r="K32" s="330"/>
      <c r="L32" s="330"/>
      <c r="M32" s="330">
        <f>M23</f>
        <v>3</v>
      </c>
      <c r="N32" s="330">
        <f>C32*D32*E32*M32</f>
        <v>2.0160000000000005</v>
      </c>
      <c r="O32" s="349"/>
      <c r="P32" s="784"/>
      <c r="Q32" s="398"/>
      <c r="R32" s="779"/>
      <c r="S32" s="398"/>
      <c r="T32" s="398"/>
      <c r="U32" s="398"/>
      <c r="V32" s="738"/>
      <c r="W32" s="738"/>
      <c r="X32" s="738"/>
    </row>
    <row r="33" spans="1:24" ht="15.75" customHeight="1">
      <c r="A33" s="355"/>
      <c r="B33" s="567" t="str">
        <f t="shared" si="2"/>
        <v>vertikal</v>
      </c>
      <c r="C33" s="330">
        <f t="shared" si="2"/>
        <v>6</v>
      </c>
      <c r="D33" s="330">
        <f t="shared" si="2"/>
        <v>0.8</v>
      </c>
      <c r="E33" s="330">
        <f>E32</f>
        <v>7.0000000000000007E-2</v>
      </c>
      <c r="F33" s="330"/>
      <c r="G33" s="330"/>
      <c r="H33" s="330"/>
      <c r="I33" s="330"/>
      <c r="J33" s="330"/>
      <c r="K33" s="330"/>
      <c r="L33" s="330"/>
      <c r="M33" s="330">
        <f>M24</f>
        <v>4</v>
      </c>
      <c r="N33" s="752">
        <f>C33*D33*E33*M33</f>
        <v>1.3440000000000003</v>
      </c>
      <c r="O33" s="349"/>
      <c r="P33" s="784"/>
      <c r="Q33" s="398"/>
      <c r="R33" s="779"/>
      <c r="S33" s="398"/>
      <c r="T33" s="398"/>
      <c r="U33" s="398"/>
      <c r="V33" s="738"/>
      <c r="W33" s="738"/>
      <c r="X33" s="738"/>
    </row>
    <row r="34" spans="1:24" ht="15.75" customHeight="1">
      <c r="A34" s="355"/>
      <c r="B34" s="359"/>
      <c r="C34" s="330"/>
      <c r="D34" s="330"/>
      <c r="E34" s="330"/>
      <c r="F34" s="330"/>
      <c r="G34" s="330"/>
      <c r="H34" s="330"/>
      <c r="I34" s="330"/>
      <c r="J34" s="330"/>
      <c r="K34" s="330"/>
      <c r="L34" s="330"/>
      <c r="M34" s="330"/>
      <c r="N34" s="401">
        <f>SUM(N32:N33)</f>
        <v>3.3600000000000008</v>
      </c>
      <c r="O34" s="349" t="s">
        <v>103</v>
      </c>
      <c r="P34" s="784">
        <f>ROUND((N34),2)</f>
        <v>3.36</v>
      </c>
      <c r="Q34" s="398"/>
      <c r="R34" s="779"/>
      <c r="S34" s="398"/>
      <c r="T34" s="398"/>
      <c r="U34" s="398"/>
      <c r="V34" s="738"/>
      <c r="W34" s="738"/>
      <c r="X34" s="738"/>
    </row>
    <row r="35" spans="1:24" ht="15.75" customHeight="1">
      <c r="A35" s="355" t="s">
        <v>121</v>
      </c>
      <c r="B35" s="359" t="s">
        <v>406</v>
      </c>
      <c r="C35" s="330"/>
      <c r="D35" s="330"/>
      <c r="E35" s="330"/>
      <c r="F35" s="330"/>
      <c r="G35" s="330"/>
      <c r="H35" s="330"/>
      <c r="I35" s="330"/>
      <c r="J35" s="330"/>
      <c r="K35" s="330"/>
      <c r="L35" s="330"/>
      <c r="M35" s="330"/>
      <c r="N35" s="401"/>
      <c r="O35" s="349"/>
      <c r="P35" s="784"/>
      <c r="Q35" s="398"/>
      <c r="R35" s="779"/>
      <c r="S35" s="398"/>
      <c r="T35" s="398"/>
      <c r="U35" s="398"/>
      <c r="V35" s="738"/>
      <c r="W35" s="738"/>
      <c r="X35" s="738"/>
    </row>
    <row r="36" spans="1:24" ht="15.75" customHeight="1">
      <c r="A36" s="355"/>
      <c r="B36" s="567" t="str">
        <f t="shared" ref="B36:D37" si="3">B32</f>
        <v>horisontal</v>
      </c>
      <c r="C36" s="330">
        <f t="shared" si="3"/>
        <v>12</v>
      </c>
      <c r="D36" s="330">
        <f t="shared" si="3"/>
        <v>0.8</v>
      </c>
      <c r="E36" s="330">
        <v>0.03</v>
      </c>
      <c r="F36" s="330"/>
      <c r="G36" s="330"/>
      <c r="H36" s="330"/>
      <c r="I36" s="330"/>
      <c r="J36" s="330"/>
      <c r="K36" s="330"/>
      <c r="L36" s="330"/>
      <c r="M36" s="330">
        <f>M32</f>
        <v>3</v>
      </c>
      <c r="N36" s="330">
        <f>C36*D36*E36*M36</f>
        <v>0.8640000000000001</v>
      </c>
      <c r="O36" s="349"/>
      <c r="P36" s="784"/>
      <c r="Q36" s="398"/>
      <c r="R36" s="779"/>
      <c r="S36" s="398"/>
      <c r="T36" s="398"/>
      <c r="U36" s="398"/>
      <c r="V36" s="738"/>
      <c r="W36" s="738"/>
      <c r="X36" s="738"/>
    </row>
    <row r="37" spans="1:24" ht="15.75" customHeight="1">
      <c r="A37" s="355"/>
      <c r="B37" s="567" t="str">
        <f t="shared" si="3"/>
        <v>vertikal</v>
      </c>
      <c r="C37" s="330">
        <f t="shared" si="3"/>
        <v>6</v>
      </c>
      <c r="D37" s="330">
        <f t="shared" si="3"/>
        <v>0.8</v>
      </c>
      <c r="E37" s="330">
        <f>E36</f>
        <v>0.03</v>
      </c>
      <c r="F37" s="330"/>
      <c r="G37" s="330"/>
      <c r="H37" s="330"/>
      <c r="I37" s="330"/>
      <c r="J37" s="330"/>
      <c r="K37" s="330"/>
      <c r="L37" s="330"/>
      <c r="M37" s="330">
        <f>M33</f>
        <v>4</v>
      </c>
      <c r="N37" s="752">
        <f>C37*D37*E37*M37</f>
        <v>0.57600000000000007</v>
      </c>
      <c r="O37" s="349"/>
      <c r="P37" s="784"/>
      <c r="Q37" s="398"/>
      <c r="R37" s="779"/>
      <c r="S37" s="398"/>
      <c r="T37" s="398"/>
      <c r="U37" s="398"/>
      <c r="V37" s="738"/>
      <c r="W37" s="738"/>
      <c r="X37" s="738"/>
    </row>
    <row r="38" spans="1:24" ht="15.75" customHeight="1">
      <c r="A38" s="355"/>
      <c r="B38" s="359"/>
      <c r="C38" s="330"/>
      <c r="D38" s="330"/>
      <c r="E38" s="330"/>
      <c r="F38" s="330"/>
      <c r="G38" s="330"/>
      <c r="H38" s="330"/>
      <c r="I38" s="330"/>
      <c r="J38" s="330"/>
      <c r="K38" s="330"/>
      <c r="L38" s="330"/>
      <c r="M38" s="330"/>
      <c r="N38" s="401">
        <f>SUM(N36:N37)</f>
        <v>1.4400000000000002</v>
      </c>
      <c r="O38" s="349" t="s">
        <v>103</v>
      </c>
      <c r="P38" s="784">
        <f>ROUND((N38),2)</f>
        <v>1.44</v>
      </c>
      <c r="Q38" s="398"/>
      <c r="R38" s="779"/>
      <c r="S38" s="398"/>
      <c r="T38" s="398"/>
      <c r="U38" s="398"/>
      <c r="V38" s="738"/>
      <c r="W38" s="738"/>
      <c r="X38" s="738"/>
    </row>
    <row r="39" spans="1:24" ht="15.75" customHeight="1">
      <c r="A39" s="355" t="s">
        <v>142</v>
      </c>
      <c r="B39" s="359" t="s">
        <v>407</v>
      </c>
      <c r="C39" s="330"/>
      <c r="D39" s="330"/>
      <c r="E39" s="330"/>
      <c r="F39" s="330"/>
      <c r="G39" s="330"/>
      <c r="H39" s="330"/>
      <c r="I39" s="330"/>
      <c r="J39" s="330"/>
      <c r="K39" s="330"/>
      <c r="L39" s="330"/>
      <c r="M39" s="330"/>
      <c r="N39" s="330"/>
      <c r="O39" s="349"/>
      <c r="P39" s="784"/>
      <c r="Q39" s="398"/>
      <c r="R39" s="779"/>
      <c r="S39" s="398"/>
      <c r="T39" s="398"/>
      <c r="U39" s="398"/>
      <c r="V39" s="738"/>
      <c r="W39" s="738"/>
      <c r="X39" s="738"/>
    </row>
    <row r="40" spans="1:24" ht="15.75" customHeight="1">
      <c r="A40" s="355"/>
      <c r="B40" s="567"/>
      <c r="C40" s="330"/>
      <c r="D40" s="818" t="s">
        <v>1007</v>
      </c>
      <c r="E40" s="330"/>
      <c r="F40" s="330"/>
      <c r="G40" s="330"/>
      <c r="H40" s="330"/>
      <c r="I40" s="330"/>
      <c r="J40" s="330"/>
      <c r="K40" s="330"/>
      <c r="L40" s="330"/>
      <c r="M40" s="330"/>
      <c r="N40" s="330"/>
      <c r="O40" s="349"/>
      <c r="P40" s="784"/>
      <c r="Q40" s="398"/>
      <c r="R40" s="779"/>
      <c r="S40" s="398"/>
      <c r="T40" s="398"/>
      <c r="U40" s="398"/>
      <c r="V40" s="738"/>
      <c r="W40" s="738"/>
      <c r="X40" s="738"/>
    </row>
    <row r="41" spans="1:24" ht="15.75" customHeight="1">
      <c r="A41" s="355"/>
      <c r="B41" s="567" t="str">
        <f>B32</f>
        <v>horisontal</v>
      </c>
      <c r="C41" s="330">
        <f>C23</f>
        <v>12</v>
      </c>
      <c r="D41" s="330">
        <f>(0.3+0.8)/2</f>
        <v>0.55000000000000004</v>
      </c>
      <c r="E41" s="330">
        <v>0.8</v>
      </c>
      <c r="F41" s="330"/>
      <c r="G41" s="330"/>
      <c r="H41" s="330"/>
      <c r="I41" s="330"/>
      <c r="J41" s="330"/>
      <c r="K41" s="330"/>
      <c r="L41" s="330"/>
      <c r="M41" s="330">
        <f>M32</f>
        <v>3</v>
      </c>
      <c r="N41" s="330">
        <f>C41*D41*E41*M41</f>
        <v>15.840000000000003</v>
      </c>
      <c r="O41" s="349"/>
      <c r="P41" s="784"/>
      <c r="Q41" s="398"/>
      <c r="R41" s="779"/>
      <c r="S41" s="398"/>
      <c r="T41" s="398"/>
      <c r="U41" s="398"/>
      <c r="V41" s="738"/>
      <c r="W41" s="738"/>
      <c r="X41" s="738"/>
    </row>
    <row r="42" spans="1:24" ht="15.75" customHeight="1">
      <c r="A42" s="355"/>
      <c r="B42" s="567" t="str">
        <f>B33</f>
        <v>vertikal</v>
      </c>
      <c r="C42" s="330">
        <f>C24</f>
        <v>6</v>
      </c>
      <c r="D42" s="330">
        <f>D41</f>
        <v>0.55000000000000004</v>
      </c>
      <c r="E42" s="330">
        <f>E41</f>
        <v>0.8</v>
      </c>
      <c r="F42" s="330"/>
      <c r="G42" s="330"/>
      <c r="H42" s="330"/>
      <c r="I42" s="330"/>
      <c r="J42" s="330"/>
      <c r="K42" s="330"/>
      <c r="L42" s="330"/>
      <c r="M42" s="330">
        <f>M33</f>
        <v>4</v>
      </c>
      <c r="N42" s="752">
        <f>C42*D42*E42*M42</f>
        <v>10.560000000000002</v>
      </c>
      <c r="O42" s="349"/>
      <c r="P42" s="784"/>
      <c r="Q42" s="398"/>
      <c r="R42" s="779"/>
      <c r="S42" s="398"/>
      <c r="T42" s="398"/>
      <c r="U42" s="398"/>
      <c r="V42" s="738"/>
      <c r="W42" s="738"/>
      <c r="X42" s="738"/>
    </row>
    <row r="43" spans="1:24" ht="15.75" customHeight="1">
      <c r="A43" s="350"/>
      <c r="B43" s="359"/>
      <c r="C43" s="330"/>
      <c r="D43" s="330"/>
      <c r="E43" s="330"/>
      <c r="F43" s="330"/>
      <c r="G43" s="330"/>
      <c r="H43" s="330"/>
      <c r="I43" s="330"/>
      <c r="J43" s="330"/>
      <c r="K43" s="330"/>
      <c r="L43" s="330"/>
      <c r="M43" s="330"/>
      <c r="N43" s="401">
        <f>SUM(N41:N42)</f>
        <v>26.400000000000006</v>
      </c>
      <c r="O43" s="349" t="s">
        <v>103</v>
      </c>
      <c r="P43" s="784">
        <f>ROUND((N43),2)</f>
        <v>26.4</v>
      </c>
      <c r="Q43" s="398"/>
      <c r="R43" s="779"/>
      <c r="S43" s="398"/>
      <c r="T43" s="398"/>
      <c r="U43" s="398"/>
      <c r="V43" s="738"/>
      <c r="W43" s="738"/>
      <c r="X43" s="738"/>
    </row>
    <row r="44" spans="1:24" ht="15.75" customHeight="1">
      <c r="A44" s="350">
        <f>A21+1</f>
        <v>4</v>
      </c>
      <c r="B44" s="351" t="s">
        <v>1130</v>
      </c>
      <c r="C44" s="330"/>
      <c r="D44" s="330"/>
      <c r="E44" s="330"/>
      <c r="F44" s="330"/>
      <c r="G44" s="330"/>
      <c r="H44" s="330"/>
      <c r="I44" s="330"/>
      <c r="J44" s="330"/>
      <c r="K44" s="330"/>
      <c r="L44" s="330"/>
      <c r="M44" s="330"/>
      <c r="N44" s="401"/>
      <c r="O44" s="349"/>
      <c r="P44" s="784"/>
      <c r="Q44" s="398"/>
      <c r="R44" s="779"/>
      <c r="S44" s="398"/>
      <c r="T44" s="398"/>
      <c r="U44" s="398"/>
      <c r="V44" s="738"/>
      <c r="W44" s="738"/>
      <c r="X44" s="738"/>
    </row>
    <row r="45" spans="1:24" ht="15.75" customHeight="1">
      <c r="A45" s="350"/>
      <c r="B45" s="567" t="s">
        <v>1111</v>
      </c>
      <c r="C45" s="330">
        <f>C52</f>
        <v>12</v>
      </c>
      <c r="D45" s="330"/>
      <c r="E45" s="330"/>
      <c r="F45" s="330"/>
      <c r="G45" s="330"/>
      <c r="H45" s="330"/>
      <c r="I45" s="330"/>
      <c r="J45" s="330"/>
      <c r="K45" s="330"/>
      <c r="L45" s="330"/>
      <c r="M45" s="330">
        <f>M52</f>
        <v>3</v>
      </c>
      <c r="N45" s="401">
        <f>C45*M45</f>
        <v>36</v>
      </c>
      <c r="O45" s="349"/>
      <c r="P45" s="784"/>
      <c r="Q45" s="398"/>
      <c r="R45" s="779"/>
      <c r="S45" s="398"/>
      <c r="T45" s="398"/>
      <c r="U45" s="398"/>
      <c r="V45" s="738"/>
      <c r="W45" s="738"/>
      <c r="X45" s="738"/>
    </row>
    <row r="46" spans="1:24" ht="15.75" customHeight="1">
      <c r="A46" s="350"/>
      <c r="B46" s="359"/>
      <c r="C46" s="330">
        <f>C53</f>
        <v>6</v>
      </c>
      <c r="D46" s="330"/>
      <c r="E46" s="330"/>
      <c r="F46" s="330"/>
      <c r="G46" s="330"/>
      <c r="H46" s="330"/>
      <c r="I46" s="330"/>
      <c r="J46" s="330"/>
      <c r="K46" s="330"/>
      <c r="L46" s="330"/>
      <c r="M46" s="330">
        <f>M53</f>
        <v>4</v>
      </c>
      <c r="N46" s="401">
        <f>C46*M46</f>
        <v>24</v>
      </c>
      <c r="O46" s="349"/>
      <c r="P46" s="784"/>
      <c r="Q46" s="398"/>
      <c r="R46" s="779"/>
      <c r="S46" s="398"/>
      <c r="T46" s="398"/>
      <c r="U46" s="398"/>
      <c r="V46" s="738"/>
      <c r="W46" s="738"/>
      <c r="X46" s="738"/>
    </row>
    <row r="47" spans="1:24" ht="15.75" customHeight="1">
      <c r="A47" s="350"/>
      <c r="B47" s="359"/>
      <c r="C47" s="330"/>
      <c r="D47" s="330"/>
      <c r="E47" s="330"/>
      <c r="F47" s="330"/>
      <c r="G47" s="330"/>
      <c r="H47" s="330"/>
      <c r="I47" s="330"/>
      <c r="J47" s="330"/>
      <c r="K47" s="330"/>
      <c r="L47" s="330"/>
      <c r="M47" s="330"/>
      <c r="N47" s="401">
        <f>SUM(N45:N46)</f>
        <v>60</v>
      </c>
      <c r="O47" s="395" t="s">
        <v>117</v>
      </c>
      <c r="P47" s="784"/>
      <c r="Q47" s="398"/>
      <c r="R47" s="779"/>
      <c r="S47" s="398"/>
      <c r="T47" s="398"/>
      <c r="U47" s="398"/>
      <c r="V47" s="738"/>
      <c r="W47" s="738"/>
      <c r="X47" s="738"/>
    </row>
    <row r="48" spans="1:24" ht="15.75" customHeight="1">
      <c r="A48" s="350"/>
      <c r="B48" s="567" t="s">
        <v>1131</v>
      </c>
      <c r="C48" s="330">
        <f>N47</f>
        <v>60</v>
      </c>
      <c r="D48" s="330">
        <v>0.5</v>
      </c>
      <c r="E48" s="330"/>
      <c r="F48" s="330"/>
      <c r="G48" s="330"/>
      <c r="H48" s="330"/>
      <c r="I48" s="330"/>
      <c r="J48" s="330"/>
      <c r="K48" s="330"/>
      <c r="L48" s="330"/>
      <c r="M48" s="330"/>
      <c r="N48" s="401">
        <f>ROUNDDOWN((C48/D48),0.5)</f>
        <v>120</v>
      </c>
      <c r="O48" s="349" t="s">
        <v>124</v>
      </c>
      <c r="P48" s="784"/>
      <c r="Q48" s="398"/>
      <c r="R48" s="779"/>
      <c r="S48" s="398"/>
      <c r="T48" s="398"/>
      <c r="U48" s="398"/>
      <c r="V48" s="738"/>
      <c r="W48" s="738"/>
      <c r="X48" s="738"/>
    </row>
    <row r="49" spans="1:24" ht="15.75" customHeight="1">
      <c r="A49" s="350"/>
      <c r="B49" s="567" t="s">
        <v>1132</v>
      </c>
      <c r="C49" s="330"/>
      <c r="D49" s="330"/>
      <c r="E49" s="330"/>
      <c r="F49" s="330">
        <f>N48</f>
        <v>120</v>
      </c>
      <c r="G49" s="330"/>
      <c r="H49" s="330"/>
      <c r="I49" s="330"/>
      <c r="J49" s="330"/>
      <c r="K49" s="330"/>
      <c r="L49" s="330">
        <f>13*13*0.006165</f>
        <v>1.041885</v>
      </c>
      <c r="M49" s="330"/>
      <c r="N49" s="401">
        <f>F49*L49</f>
        <v>125.02619999999999</v>
      </c>
      <c r="O49" s="349" t="s">
        <v>100</v>
      </c>
      <c r="P49" s="784">
        <f>ROUND((N49),2)</f>
        <v>125.03</v>
      </c>
      <c r="Q49" s="398"/>
      <c r="R49" s="779"/>
      <c r="S49" s="398"/>
      <c r="T49" s="398"/>
      <c r="U49" s="398"/>
      <c r="V49" s="738"/>
      <c r="W49" s="738"/>
      <c r="X49" s="738"/>
    </row>
    <row r="50" spans="1:24" ht="15.75" customHeight="1">
      <c r="A50" s="350">
        <f>A44+1</f>
        <v>5</v>
      </c>
      <c r="B50" s="359" t="s">
        <v>409</v>
      </c>
      <c r="C50" s="330"/>
      <c r="D50" s="330"/>
      <c r="E50" s="330"/>
      <c r="F50" s="330"/>
      <c r="G50" s="330"/>
      <c r="H50" s="330"/>
      <c r="I50" s="330"/>
      <c r="J50" s="330"/>
      <c r="K50" s="330"/>
      <c r="L50" s="330"/>
      <c r="M50" s="330"/>
      <c r="N50" s="401"/>
      <c r="O50" s="349"/>
      <c r="P50" s="784"/>
      <c r="Q50" s="398"/>
      <c r="R50" s="779"/>
      <c r="S50" s="398"/>
      <c r="T50" s="398"/>
      <c r="U50" s="398"/>
      <c r="V50" s="738"/>
      <c r="W50" s="738"/>
      <c r="X50" s="738"/>
    </row>
    <row r="51" spans="1:24" ht="15.75" customHeight="1">
      <c r="A51" s="355" t="s">
        <v>95</v>
      </c>
      <c r="B51" s="359" t="s">
        <v>221</v>
      </c>
      <c r="C51" s="330"/>
      <c r="D51" s="330"/>
      <c r="E51" s="330"/>
      <c r="F51" s="330"/>
      <c r="G51" s="330"/>
      <c r="H51" s="330"/>
      <c r="I51" s="330"/>
      <c r="J51" s="330"/>
      <c r="K51" s="330"/>
      <c r="L51" s="330"/>
      <c r="M51" s="330"/>
      <c r="N51" s="330"/>
      <c r="O51" s="349"/>
      <c r="P51" s="784"/>
      <c r="Q51" s="398"/>
      <c r="R51" s="779"/>
      <c r="S51" s="398"/>
      <c r="T51" s="398"/>
      <c r="U51" s="398"/>
      <c r="V51" s="738"/>
      <c r="W51" s="738"/>
      <c r="X51" s="738"/>
    </row>
    <row r="52" spans="1:24" ht="15.75" customHeight="1">
      <c r="A52" s="355"/>
      <c r="B52" s="567" t="str">
        <f>B41</f>
        <v>horisontal</v>
      </c>
      <c r="C52" s="330">
        <f>C41</f>
        <v>12</v>
      </c>
      <c r="D52" s="330"/>
      <c r="E52" s="330">
        <v>0.3</v>
      </c>
      <c r="F52" s="330"/>
      <c r="G52" s="330"/>
      <c r="H52" s="330">
        <v>2</v>
      </c>
      <c r="I52" s="330"/>
      <c r="J52" s="330"/>
      <c r="K52" s="330"/>
      <c r="L52" s="330"/>
      <c r="M52" s="330">
        <f>M41</f>
        <v>3</v>
      </c>
      <c r="N52" s="330">
        <f>C52*E52*H52*M52</f>
        <v>21.599999999999998</v>
      </c>
      <c r="O52" s="349"/>
      <c r="P52" s="784"/>
      <c r="Q52" s="398"/>
      <c r="R52" s="779"/>
      <c r="S52" s="398"/>
      <c r="T52" s="398"/>
      <c r="U52" s="398"/>
      <c r="V52" s="738"/>
      <c r="W52" s="738"/>
      <c r="X52" s="738"/>
    </row>
    <row r="53" spans="1:24" ht="15.75" customHeight="1">
      <c r="A53" s="355"/>
      <c r="B53" s="567" t="str">
        <f>B42</f>
        <v>vertikal</v>
      </c>
      <c r="C53" s="330">
        <f>C42</f>
        <v>6</v>
      </c>
      <c r="D53" s="330"/>
      <c r="E53" s="330">
        <f>E52</f>
        <v>0.3</v>
      </c>
      <c r="F53" s="330"/>
      <c r="G53" s="330"/>
      <c r="H53" s="330">
        <f>H52</f>
        <v>2</v>
      </c>
      <c r="I53" s="330"/>
      <c r="J53" s="330"/>
      <c r="K53" s="330"/>
      <c r="L53" s="330"/>
      <c r="M53" s="330">
        <f>M42</f>
        <v>4</v>
      </c>
      <c r="N53" s="752">
        <f>C53*E53*H53*M53</f>
        <v>14.399999999999999</v>
      </c>
      <c r="O53" s="349"/>
      <c r="P53" s="784"/>
      <c r="Q53" s="398"/>
      <c r="R53" s="779"/>
      <c r="S53" s="398"/>
      <c r="T53" s="398"/>
      <c r="U53" s="398"/>
      <c r="V53" s="738"/>
      <c r="W53" s="738"/>
      <c r="X53" s="738"/>
    </row>
    <row r="54" spans="1:24" ht="15.75" customHeight="1">
      <c r="A54" s="355"/>
      <c r="B54" s="359"/>
      <c r="C54" s="330"/>
      <c r="D54" s="330"/>
      <c r="E54" s="330"/>
      <c r="F54" s="330"/>
      <c r="G54" s="330"/>
      <c r="H54" s="330"/>
      <c r="I54" s="330"/>
      <c r="J54" s="330"/>
      <c r="K54" s="330"/>
      <c r="L54" s="330"/>
      <c r="M54" s="330"/>
      <c r="N54" s="401">
        <f>SUM(N52:N53)</f>
        <v>36</v>
      </c>
      <c r="O54" s="349" t="s">
        <v>89</v>
      </c>
      <c r="P54" s="784">
        <f>ROUND((N54),2)</f>
        <v>36</v>
      </c>
      <c r="Q54" s="398"/>
      <c r="R54" s="779"/>
      <c r="S54" s="398"/>
      <c r="T54" s="398"/>
      <c r="U54" s="398"/>
      <c r="V54" s="738"/>
      <c r="W54" s="738"/>
      <c r="X54" s="738"/>
    </row>
    <row r="55" spans="1:24" ht="15.75" customHeight="1">
      <c r="A55" s="355" t="s">
        <v>98</v>
      </c>
      <c r="B55" s="351" t="s">
        <v>925</v>
      </c>
      <c r="C55" s="330"/>
      <c r="D55" s="330"/>
      <c r="E55" s="330"/>
      <c r="F55" s="330"/>
      <c r="G55" s="330"/>
      <c r="H55" s="330"/>
      <c r="I55" s="330"/>
      <c r="J55" s="330"/>
      <c r="K55" s="330"/>
      <c r="L55" s="330"/>
      <c r="M55" s="330"/>
      <c r="N55" s="330"/>
      <c r="O55" s="349"/>
      <c r="P55" s="784"/>
      <c r="Q55" s="398"/>
      <c r="R55" s="779"/>
      <c r="S55" s="398"/>
      <c r="T55" s="398"/>
      <c r="U55" s="398"/>
      <c r="V55" s="738"/>
      <c r="W55" s="738"/>
      <c r="X55" s="738"/>
    </row>
    <row r="56" spans="1:24" ht="15.75" customHeight="1">
      <c r="A56" s="355"/>
      <c r="B56" s="567" t="str">
        <f>B52</f>
        <v>horisontal</v>
      </c>
      <c r="C56" s="330">
        <f>C52</f>
        <v>12</v>
      </c>
      <c r="D56" s="330"/>
      <c r="E56" s="330"/>
      <c r="F56" s="330">
        <v>5</v>
      </c>
      <c r="G56" s="330"/>
      <c r="H56" s="330"/>
      <c r="I56" s="330"/>
      <c r="J56" s="330"/>
      <c r="K56" s="330"/>
      <c r="L56" s="330">
        <f>13*13*0.006165</f>
        <v>1.041885</v>
      </c>
      <c r="M56" s="330">
        <f>M52</f>
        <v>3</v>
      </c>
      <c r="N56" s="330">
        <f>C56*F56*L56*M56</f>
        <v>187.53929999999997</v>
      </c>
      <c r="O56" s="349"/>
      <c r="P56" s="784"/>
      <c r="Q56" s="398"/>
      <c r="R56" s="779"/>
      <c r="S56" s="398"/>
      <c r="T56" s="398"/>
      <c r="U56" s="398"/>
      <c r="V56" s="738"/>
      <c r="W56" s="738"/>
      <c r="X56" s="738"/>
    </row>
    <row r="57" spans="1:24" ht="15.75" customHeight="1">
      <c r="A57" s="355"/>
      <c r="B57" s="567" t="str">
        <f>B53</f>
        <v>vertikal</v>
      </c>
      <c r="C57" s="330">
        <f>C53</f>
        <v>6</v>
      </c>
      <c r="D57" s="330"/>
      <c r="E57" s="330"/>
      <c r="F57" s="330">
        <f>F56</f>
        <v>5</v>
      </c>
      <c r="G57" s="330"/>
      <c r="H57" s="330"/>
      <c r="I57" s="330"/>
      <c r="J57" s="330"/>
      <c r="K57" s="330"/>
      <c r="L57" s="330">
        <f>L56</f>
        <v>1.041885</v>
      </c>
      <c r="M57" s="330">
        <f>M53</f>
        <v>4</v>
      </c>
      <c r="N57" s="752">
        <f>C57*F57*L57*M57</f>
        <v>125.02619999999999</v>
      </c>
      <c r="O57" s="349"/>
      <c r="P57" s="784"/>
      <c r="Q57" s="398"/>
      <c r="R57" s="779"/>
      <c r="S57" s="398"/>
      <c r="T57" s="398"/>
      <c r="U57" s="398"/>
      <c r="V57" s="738"/>
      <c r="W57" s="738"/>
      <c r="X57" s="738"/>
    </row>
    <row r="58" spans="1:24" ht="15.75" customHeight="1">
      <c r="A58" s="355"/>
      <c r="B58" s="359"/>
      <c r="C58" s="330"/>
      <c r="D58" s="330"/>
      <c r="E58" s="330"/>
      <c r="F58" s="330"/>
      <c r="G58" s="330"/>
      <c r="H58" s="330"/>
      <c r="I58" s="330"/>
      <c r="J58" s="330"/>
      <c r="K58" s="330"/>
      <c r="L58" s="330"/>
      <c r="M58" s="330"/>
      <c r="N58" s="401">
        <f>SUM(N56:N57)</f>
        <v>312.56549999999993</v>
      </c>
      <c r="O58" s="349" t="s">
        <v>100</v>
      </c>
      <c r="P58" s="784">
        <f>ROUND((N58),2)</f>
        <v>312.57</v>
      </c>
      <c r="Q58" s="398"/>
      <c r="R58" s="779"/>
      <c r="S58" s="398"/>
      <c r="T58" s="398"/>
      <c r="U58" s="398"/>
      <c r="V58" s="738"/>
      <c r="W58" s="738"/>
      <c r="X58" s="738"/>
    </row>
    <row r="59" spans="1:24" ht="15.75" customHeight="1">
      <c r="A59" s="355" t="s">
        <v>101</v>
      </c>
      <c r="B59" s="351" t="s">
        <v>428</v>
      </c>
      <c r="C59" s="330"/>
      <c r="D59" s="330"/>
      <c r="E59" s="330"/>
      <c r="F59" s="330"/>
      <c r="G59" s="330"/>
      <c r="H59" s="330"/>
      <c r="I59" s="330"/>
      <c r="J59" s="330"/>
      <c r="K59" s="330"/>
      <c r="L59" s="330"/>
      <c r="M59" s="330"/>
      <c r="N59" s="330"/>
      <c r="O59" s="349"/>
      <c r="P59" s="784"/>
      <c r="Q59" s="398"/>
      <c r="R59" s="779"/>
      <c r="S59" s="398"/>
      <c r="T59" s="398"/>
      <c r="U59" s="398"/>
      <c r="V59" s="738"/>
      <c r="W59" s="738"/>
      <c r="X59" s="738"/>
    </row>
    <row r="60" spans="1:24" ht="15.75" customHeight="1">
      <c r="A60" s="355"/>
      <c r="B60" s="567" t="str">
        <f>B56</f>
        <v>horisontal</v>
      </c>
      <c r="C60" s="330">
        <f>(0.1+0.15)*2</f>
        <v>0.5</v>
      </c>
      <c r="D60" s="330"/>
      <c r="E60" s="330"/>
      <c r="F60" s="330">
        <f>ROUNDDOWN((C56/0.125),0.1)</f>
        <v>96</v>
      </c>
      <c r="G60" s="330"/>
      <c r="H60" s="330"/>
      <c r="I60" s="330">
        <f>0.05*2</f>
        <v>0.1</v>
      </c>
      <c r="J60" s="330"/>
      <c r="K60" s="330"/>
      <c r="L60" s="330">
        <f>8*8*0.006165</f>
        <v>0.39456000000000002</v>
      </c>
      <c r="M60" s="330">
        <f>M56</f>
        <v>3</v>
      </c>
      <c r="N60" s="330">
        <f>(C60+I60)*F60*L60*M60</f>
        <v>68.179968000000002</v>
      </c>
      <c r="O60" s="349"/>
      <c r="P60" s="784"/>
      <c r="Q60" s="398"/>
      <c r="R60" s="779"/>
      <c r="S60" s="398"/>
      <c r="T60" s="398"/>
      <c r="U60" s="398"/>
      <c r="V60" s="738"/>
      <c r="W60" s="738"/>
      <c r="X60" s="738"/>
    </row>
    <row r="61" spans="1:24" ht="15.75" customHeight="1">
      <c r="A61" s="355"/>
      <c r="B61" s="567" t="str">
        <f>B57</f>
        <v>vertikal</v>
      </c>
      <c r="C61" s="330">
        <f>C60</f>
        <v>0.5</v>
      </c>
      <c r="D61" s="330"/>
      <c r="E61" s="330"/>
      <c r="F61" s="330">
        <f>ROUNDDOWN((C57/0.125),0.1)</f>
        <v>48</v>
      </c>
      <c r="G61" s="330"/>
      <c r="H61" s="330"/>
      <c r="I61" s="330">
        <f>I60</f>
        <v>0.1</v>
      </c>
      <c r="J61" s="330"/>
      <c r="K61" s="330"/>
      <c r="L61" s="330">
        <f>L60</f>
        <v>0.39456000000000002</v>
      </c>
      <c r="M61" s="330">
        <f>M57</f>
        <v>4</v>
      </c>
      <c r="N61" s="752">
        <f>(C61+I61)*F61*L61*M61</f>
        <v>45.453311999999997</v>
      </c>
      <c r="O61" s="349"/>
      <c r="P61" s="784"/>
      <c r="Q61" s="398"/>
      <c r="R61" s="779"/>
      <c r="S61" s="398"/>
      <c r="T61" s="398"/>
      <c r="U61" s="398"/>
      <c r="V61" s="738"/>
      <c r="W61" s="738"/>
      <c r="X61" s="738"/>
    </row>
    <row r="62" spans="1:24" ht="15.75" customHeight="1">
      <c r="A62" s="355"/>
      <c r="B62" s="359"/>
      <c r="C62" s="330"/>
      <c r="D62" s="330"/>
      <c r="E62" s="330"/>
      <c r="F62" s="330"/>
      <c r="G62" s="330"/>
      <c r="H62" s="330"/>
      <c r="I62" s="330"/>
      <c r="J62" s="330"/>
      <c r="K62" s="330"/>
      <c r="L62" s="330"/>
      <c r="M62" s="330"/>
      <c r="N62" s="401">
        <f>SUM(N60:N61)</f>
        <v>113.63328</v>
      </c>
      <c r="O62" s="349" t="s">
        <v>100</v>
      </c>
      <c r="P62" s="784">
        <f>ROUND((N62),2)</f>
        <v>113.63</v>
      </c>
      <c r="Q62" s="398"/>
      <c r="R62" s="779"/>
      <c r="S62" s="398"/>
      <c r="T62" s="398"/>
      <c r="U62" s="398"/>
      <c r="V62" s="738"/>
      <c r="W62" s="738"/>
      <c r="X62" s="738"/>
    </row>
    <row r="63" spans="1:24" ht="15.75" customHeight="1">
      <c r="A63" s="355" t="s">
        <v>121</v>
      </c>
      <c r="B63" s="356" t="s">
        <v>646</v>
      </c>
      <c r="C63" s="330"/>
      <c r="D63" s="330"/>
      <c r="E63" s="330"/>
      <c r="F63" s="330"/>
      <c r="G63" s="330"/>
      <c r="H63" s="330"/>
      <c r="I63" s="330"/>
      <c r="J63" s="330"/>
      <c r="K63" s="330"/>
      <c r="L63" s="330"/>
      <c r="M63" s="330"/>
      <c r="N63" s="330"/>
      <c r="O63" s="349"/>
      <c r="P63" s="784"/>
      <c r="Q63" s="398"/>
      <c r="R63" s="779"/>
      <c r="S63" s="398"/>
      <c r="T63" s="398"/>
      <c r="U63" s="398"/>
      <c r="V63" s="738"/>
      <c r="W63" s="738"/>
      <c r="X63" s="738"/>
    </row>
    <row r="64" spans="1:24" ht="15.75" customHeight="1">
      <c r="A64" s="355"/>
      <c r="B64" s="567" t="str">
        <f>B60</f>
        <v>horisontal</v>
      </c>
      <c r="C64" s="330">
        <f>C56</f>
        <v>12</v>
      </c>
      <c r="D64" s="330">
        <v>0.25</v>
      </c>
      <c r="E64" s="330">
        <v>0.3</v>
      </c>
      <c r="F64" s="330"/>
      <c r="G64" s="330"/>
      <c r="H64" s="330"/>
      <c r="I64" s="330"/>
      <c r="J64" s="330"/>
      <c r="K64" s="330"/>
      <c r="L64" s="330"/>
      <c r="M64" s="330">
        <f>M60</f>
        <v>3</v>
      </c>
      <c r="N64" s="330">
        <f>C64*D64*E64*M64</f>
        <v>2.6999999999999997</v>
      </c>
      <c r="O64" s="349"/>
      <c r="P64" s="784"/>
      <c r="Q64" s="398"/>
      <c r="R64" s="779"/>
      <c r="S64" s="398"/>
      <c r="T64" s="398"/>
      <c r="U64" s="398"/>
      <c r="V64" s="738"/>
      <c r="W64" s="738"/>
      <c r="X64" s="738"/>
    </row>
    <row r="65" spans="1:24" ht="15.75" customHeight="1">
      <c r="A65" s="355"/>
      <c r="B65" s="567" t="str">
        <f>B61</f>
        <v>vertikal</v>
      </c>
      <c r="C65" s="330">
        <f>C57</f>
        <v>6</v>
      </c>
      <c r="D65" s="330">
        <f>D64</f>
        <v>0.25</v>
      </c>
      <c r="E65" s="330">
        <f>E64</f>
        <v>0.3</v>
      </c>
      <c r="F65" s="330"/>
      <c r="G65" s="330"/>
      <c r="H65" s="330"/>
      <c r="I65" s="330"/>
      <c r="J65" s="330"/>
      <c r="K65" s="330"/>
      <c r="L65" s="330"/>
      <c r="M65" s="330">
        <f>M61</f>
        <v>4</v>
      </c>
      <c r="N65" s="752">
        <f>C65*D65*E65*M65</f>
        <v>1.7999999999999998</v>
      </c>
      <c r="O65" s="349"/>
      <c r="P65" s="784"/>
      <c r="Q65" s="398"/>
      <c r="R65" s="779"/>
      <c r="S65" s="398"/>
      <c r="T65" s="398"/>
      <c r="U65" s="398"/>
      <c r="V65" s="738"/>
      <c r="W65" s="738"/>
      <c r="X65" s="738"/>
    </row>
    <row r="66" spans="1:24" ht="15.75" customHeight="1">
      <c r="A66" s="355"/>
      <c r="B66" s="359"/>
      <c r="C66" s="330"/>
      <c r="D66" s="330"/>
      <c r="E66" s="330"/>
      <c r="F66" s="330"/>
      <c r="G66" s="330"/>
      <c r="H66" s="330"/>
      <c r="I66" s="330"/>
      <c r="J66" s="330"/>
      <c r="K66" s="330"/>
      <c r="L66" s="330"/>
      <c r="M66" s="330"/>
      <c r="N66" s="401">
        <f>SUM(N64:N65)</f>
        <v>4.5</v>
      </c>
      <c r="O66" s="349" t="s">
        <v>103</v>
      </c>
      <c r="P66" s="784">
        <f>ROUND((N66),2)</f>
        <v>4.5</v>
      </c>
      <c r="Q66" s="398"/>
      <c r="R66" s="779"/>
      <c r="S66" s="398"/>
      <c r="T66" s="398"/>
      <c r="U66" s="398"/>
      <c r="V66" s="738"/>
      <c r="W66" s="738"/>
      <c r="X66" s="738"/>
    </row>
    <row r="67" spans="1:24" ht="15.75" customHeight="1">
      <c r="A67" s="350">
        <f>A50+1</f>
        <v>6</v>
      </c>
      <c r="B67" s="359" t="s">
        <v>412</v>
      </c>
      <c r="C67" s="330"/>
      <c r="D67" s="330"/>
      <c r="E67" s="330"/>
      <c r="F67" s="330"/>
      <c r="G67" s="330"/>
      <c r="H67" s="330"/>
      <c r="I67" s="330"/>
      <c r="J67" s="330"/>
      <c r="K67" s="330"/>
      <c r="L67" s="330"/>
      <c r="M67" s="330"/>
      <c r="N67" s="330"/>
      <c r="O67" s="349"/>
      <c r="P67" s="784"/>
      <c r="Q67" s="398"/>
      <c r="R67" s="779"/>
      <c r="S67" s="398"/>
      <c r="T67" s="398"/>
      <c r="U67" s="398"/>
      <c r="V67" s="738"/>
      <c r="W67" s="738"/>
      <c r="X67" s="738"/>
    </row>
    <row r="68" spans="1:24" ht="15.75" customHeight="1">
      <c r="A68" s="355" t="s">
        <v>95</v>
      </c>
      <c r="B68" s="351" t="s">
        <v>413</v>
      </c>
      <c r="C68" s="330">
        <f>C64-(0.2*2)</f>
        <v>11.6</v>
      </c>
      <c r="D68" s="330">
        <f>C65-(0.2*2)</f>
        <v>5.6</v>
      </c>
      <c r="E68" s="330">
        <f>0.3-0.1-0.05</f>
        <v>0.14999999999999997</v>
      </c>
      <c r="F68" s="330"/>
      <c r="G68" s="330"/>
      <c r="H68" s="330"/>
      <c r="I68" s="330"/>
      <c r="J68" s="330"/>
      <c r="K68" s="330"/>
      <c r="L68" s="330"/>
      <c r="M68" s="330"/>
      <c r="N68" s="330">
        <f>C68*D68*E68</f>
        <v>9.7439999999999962</v>
      </c>
      <c r="O68" s="349" t="s">
        <v>103</v>
      </c>
      <c r="P68" s="784">
        <f>ROUND((N68),2)</f>
        <v>9.74</v>
      </c>
      <c r="Q68" s="398"/>
      <c r="R68" s="779"/>
      <c r="S68" s="398"/>
      <c r="T68" s="398"/>
      <c r="U68" s="398"/>
      <c r="V68" s="738"/>
      <c r="W68" s="738"/>
      <c r="X68" s="738"/>
    </row>
    <row r="69" spans="1:24" ht="15.75" customHeight="1">
      <c r="A69" s="355" t="s">
        <v>98</v>
      </c>
      <c r="B69" s="351" t="s">
        <v>931</v>
      </c>
      <c r="C69" s="330">
        <f>C68</f>
        <v>11.6</v>
      </c>
      <c r="D69" s="330">
        <f>D68</f>
        <v>5.6</v>
      </c>
      <c r="E69" s="330">
        <f>E68</f>
        <v>0.14999999999999997</v>
      </c>
      <c r="F69" s="330"/>
      <c r="G69" s="330"/>
      <c r="H69" s="330"/>
      <c r="I69" s="330"/>
      <c r="J69" s="330"/>
      <c r="K69" s="330"/>
      <c r="L69" s="330"/>
      <c r="M69" s="330"/>
      <c r="N69" s="330">
        <f>C69*D69*E69</f>
        <v>9.7439999999999962</v>
      </c>
      <c r="O69" s="349" t="s">
        <v>103</v>
      </c>
      <c r="P69" s="784">
        <f>ROUND((N69),2)</f>
        <v>9.74</v>
      </c>
      <c r="Q69" s="398"/>
      <c r="R69" s="779"/>
      <c r="S69" s="398"/>
      <c r="T69" s="398"/>
      <c r="U69" s="398"/>
      <c r="V69" s="738"/>
      <c r="W69" s="738"/>
      <c r="X69" s="738"/>
    </row>
    <row r="70" spans="1:24" ht="15.75" customHeight="1">
      <c r="A70" s="355" t="s">
        <v>101</v>
      </c>
      <c r="B70" s="351" t="s">
        <v>415</v>
      </c>
      <c r="C70" s="330">
        <f>C69</f>
        <v>11.6</v>
      </c>
      <c r="D70" s="330">
        <f>D69</f>
        <v>5.6</v>
      </c>
      <c r="E70" s="330">
        <v>0.05</v>
      </c>
      <c r="F70" s="330"/>
      <c r="G70" s="330"/>
      <c r="H70" s="330"/>
      <c r="I70" s="330"/>
      <c r="J70" s="330"/>
      <c r="K70" s="330"/>
      <c r="L70" s="330"/>
      <c r="M70" s="330"/>
      <c r="N70" s="330">
        <f>C70*D70*E70</f>
        <v>3.2479999999999998</v>
      </c>
      <c r="O70" s="349" t="s">
        <v>103</v>
      </c>
      <c r="P70" s="784">
        <f>ROUND((N70),2)</f>
        <v>3.25</v>
      </c>
      <c r="Q70" s="398"/>
      <c r="R70" s="779"/>
      <c r="S70" s="398"/>
      <c r="T70" s="398"/>
      <c r="U70" s="398"/>
      <c r="V70" s="738"/>
      <c r="W70" s="738"/>
      <c r="X70" s="738"/>
    </row>
    <row r="71" spans="1:24" ht="15.75" customHeight="1">
      <c r="A71" s="355" t="s">
        <v>121</v>
      </c>
      <c r="B71" s="351" t="s">
        <v>496</v>
      </c>
      <c r="C71" s="330">
        <f>C70</f>
        <v>11.6</v>
      </c>
      <c r="D71" s="330">
        <f>D70</f>
        <v>5.6</v>
      </c>
      <c r="E71" s="330">
        <f>E70</f>
        <v>0.05</v>
      </c>
      <c r="F71" s="330"/>
      <c r="G71" s="330"/>
      <c r="H71" s="330"/>
      <c r="I71" s="330"/>
      <c r="J71" s="330"/>
      <c r="K71" s="330"/>
      <c r="L71" s="330"/>
      <c r="M71" s="330"/>
      <c r="N71" s="330">
        <f>C71*D71*E71</f>
        <v>3.2479999999999998</v>
      </c>
      <c r="O71" s="349" t="s">
        <v>103</v>
      </c>
      <c r="P71" s="784">
        <f>ROUND((N71),2)</f>
        <v>3.25</v>
      </c>
      <c r="Q71" s="398"/>
      <c r="R71" s="779"/>
      <c r="S71" s="398"/>
      <c r="T71" s="398"/>
      <c r="U71" s="398"/>
      <c r="V71" s="738"/>
      <c r="W71" s="738"/>
      <c r="X71" s="738"/>
    </row>
    <row r="72" spans="1:24" ht="15.75" customHeight="1">
      <c r="A72" s="350">
        <f>A67+1</f>
        <v>7</v>
      </c>
      <c r="B72" s="359" t="s">
        <v>416</v>
      </c>
      <c r="C72" s="330"/>
      <c r="D72" s="330"/>
      <c r="E72" s="330"/>
      <c r="F72" s="330"/>
      <c r="G72" s="330"/>
      <c r="H72" s="330"/>
      <c r="I72" s="330"/>
      <c r="J72" s="330"/>
      <c r="K72" s="330"/>
      <c r="L72" s="330"/>
      <c r="M72" s="330"/>
      <c r="N72" s="330"/>
      <c r="O72" s="349"/>
      <c r="P72" s="784"/>
      <c r="Q72" s="398"/>
      <c r="R72" s="779"/>
      <c r="S72" s="398"/>
      <c r="T72" s="398"/>
      <c r="U72" s="398"/>
      <c r="V72" s="738"/>
      <c r="W72" s="738"/>
      <c r="X72" s="738"/>
    </row>
    <row r="73" spans="1:24" ht="15.75" customHeight="1">
      <c r="A73" s="355" t="s">
        <v>95</v>
      </c>
      <c r="B73" s="359" t="s">
        <v>417</v>
      </c>
      <c r="C73" s="330"/>
      <c r="D73" s="330">
        <v>0.25</v>
      </c>
      <c r="E73" s="330">
        <v>0.9</v>
      </c>
      <c r="F73" s="330"/>
      <c r="G73" s="330"/>
      <c r="H73" s="330">
        <v>4</v>
      </c>
      <c r="I73" s="330"/>
      <c r="J73" s="330"/>
      <c r="K73" s="330"/>
      <c r="L73" s="330"/>
      <c r="M73" s="330">
        <f>M14</f>
        <v>8</v>
      </c>
      <c r="N73" s="330">
        <f>D73*(E73+K73)*H73*M73*0.5</f>
        <v>3.6</v>
      </c>
      <c r="O73" s="349" t="s">
        <v>89</v>
      </c>
      <c r="P73" s="784">
        <f>ROUND((N73),2)</f>
        <v>3.6</v>
      </c>
      <c r="Q73" s="398"/>
      <c r="R73" s="779"/>
      <c r="S73" s="398"/>
      <c r="T73" s="398"/>
      <c r="U73" s="398"/>
      <c r="V73" s="738"/>
      <c r="W73" s="738"/>
      <c r="X73" s="738"/>
    </row>
    <row r="74" spans="1:24" ht="15.75" customHeight="1">
      <c r="A74" s="355" t="s">
        <v>98</v>
      </c>
      <c r="B74" s="359" t="s">
        <v>1042</v>
      </c>
      <c r="C74" s="330"/>
      <c r="D74" s="330"/>
      <c r="E74" s="330">
        <v>1.4</v>
      </c>
      <c r="F74" s="330">
        <v>8</v>
      </c>
      <c r="G74" s="330"/>
      <c r="H74" s="330"/>
      <c r="I74" s="330"/>
      <c r="J74" s="330">
        <v>0.2</v>
      </c>
      <c r="K74" s="330"/>
      <c r="L74" s="330">
        <f>13*13*0.006165</f>
        <v>1.041885</v>
      </c>
      <c r="M74" s="330">
        <f>M73</f>
        <v>8</v>
      </c>
      <c r="N74" s="330">
        <f>(E74+J74)*F74*L74*M74</f>
        <v>106.68902399999999</v>
      </c>
      <c r="O74" s="349" t="s">
        <v>100</v>
      </c>
      <c r="P74" s="784">
        <f>ROUND((N74),2)</f>
        <v>106.69</v>
      </c>
      <c r="Q74" s="398"/>
      <c r="R74" s="779"/>
      <c r="S74" s="398"/>
      <c r="T74" s="398"/>
      <c r="U74" s="398"/>
      <c r="V74" s="738"/>
      <c r="W74" s="738"/>
      <c r="X74" s="738"/>
    </row>
    <row r="75" spans="1:24" ht="15.75" customHeight="1">
      <c r="A75" s="355" t="s">
        <v>101</v>
      </c>
      <c r="B75" s="359" t="s">
        <v>428</v>
      </c>
      <c r="C75" s="330">
        <f>0.17*4</f>
        <v>0.68</v>
      </c>
      <c r="D75" s="330"/>
      <c r="E75" s="330"/>
      <c r="F75" s="330">
        <f>ROUNDDOWN((E74/0.15),0.1)</f>
        <v>9</v>
      </c>
      <c r="G75" s="330"/>
      <c r="H75" s="330"/>
      <c r="I75" s="330">
        <f>0.05*2</f>
        <v>0.1</v>
      </c>
      <c r="J75" s="330"/>
      <c r="K75" s="330"/>
      <c r="L75" s="330">
        <f>8*8*0.006165</f>
        <v>0.39456000000000002</v>
      </c>
      <c r="M75" s="330">
        <f>M74</f>
        <v>8</v>
      </c>
      <c r="N75" s="330">
        <f>(C75+I75)*F75*L75*M75</f>
        <v>22.158489600000003</v>
      </c>
      <c r="O75" s="349" t="s">
        <v>100</v>
      </c>
      <c r="P75" s="784">
        <f>ROUND((N75),2)</f>
        <v>22.16</v>
      </c>
      <c r="Q75" s="398"/>
      <c r="R75" s="779"/>
      <c r="S75" s="398"/>
      <c r="T75" s="398"/>
      <c r="U75" s="398"/>
      <c r="V75" s="738"/>
      <c r="W75" s="738"/>
      <c r="X75" s="738"/>
    </row>
    <row r="76" spans="1:24" ht="15.75" customHeight="1">
      <c r="A76" s="355" t="s">
        <v>121</v>
      </c>
      <c r="B76" s="359" t="s">
        <v>1043</v>
      </c>
      <c r="C76" s="330">
        <v>0.25</v>
      </c>
      <c r="D76" s="330">
        <v>0.25</v>
      </c>
      <c r="E76" s="330">
        <f>E73</f>
        <v>0.9</v>
      </c>
      <c r="F76" s="330"/>
      <c r="G76" s="330"/>
      <c r="H76" s="330"/>
      <c r="I76" s="330"/>
      <c r="J76" s="330"/>
      <c r="K76" s="330"/>
      <c r="L76" s="330"/>
      <c r="M76" s="330">
        <f>M74</f>
        <v>8</v>
      </c>
      <c r="N76" s="330">
        <f>C76*D76*(E76+K76)*M76</f>
        <v>0.45</v>
      </c>
      <c r="O76" s="349" t="s">
        <v>103</v>
      </c>
      <c r="P76" s="784">
        <f>ROUND((N76),2)</f>
        <v>0.45</v>
      </c>
      <c r="Q76" s="398"/>
      <c r="R76" s="779"/>
      <c r="S76" s="398"/>
      <c r="T76" s="398"/>
      <c r="U76" s="398"/>
      <c r="V76" s="738"/>
      <c r="W76" s="738"/>
      <c r="X76" s="738"/>
    </row>
    <row r="77" spans="1:24" ht="15.75" customHeight="1">
      <c r="A77" s="350">
        <f>A72+1</f>
        <v>8</v>
      </c>
      <c r="B77" s="359" t="s">
        <v>421</v>
      </c>
      <c r="C77" s="330"/>
      <c r="D77" s="330"/>
      <c r="E77" s="330"/>
      <c r="F77" s="330"/>
      <c r="G77" s="330"/>
      <c r="H77" s="330"/>
      <c r="I77" s="330"/>
      <c r="J77" s="330"/>
      <c r="K77" s="330"/>
      <c r="L77" s="330"/>
      <c r="M77" s="330"/>
      <c r="N77" s="330"/>
      <c r="O77" s="349"/>
      <c r="P77" s="784"/>
      <c r="Q77" s="398"/>
      <c r="R77" s="779"/>
      <c r="S77" s="398"/>
      <c r="T77" s="398"/>
      <c r="U77" s="398"/>
      <c r="V77" s="738"/>
      <c r="W77" s="738"/>
      <c r="X77" s="738"/>
    </row>
    <row r="78" spans="1:24" ht="15.75" customHeight="1">
      <c r="A78" s="355" t="s">
        <v>95</v>
      </c>
      <c r="B78" s="359" t="s">
        <v>417</v>
      </c>
      <c r="C78" s="330"/>
      <c r="D78" s="330">
        <v>0.25</v>
      </c>
      <c r="E78" s="330">
        <v>3.58</v>
      </c>
      <c r="F78" s="330"/>
      <c r="G78" s="330"/>
      <c r="H78" s="330">
        <v>4</v>
      </c>
      <c r="I78" s="330"/>
      <c r="J78" s="330"/>
      <c r="K78" s="330"/>
      <c r="L78" s="330"/>
      <c r="M78" s="330">
        <f>M73</f>
        <v>8</v>
      </c>
      <c r="N78" s="330">
        <f>D78*E78*H78*M78*0.5</f>
        <v>14.32</v>
      </c>
      <c r="O78" s="349" t="s">
        <v>89</v>
      </c>
      <c r="P78" s="784">
        <f>ROUND((N78),2)</f>
        <v>14.32</v>
      </c>
      <c r="Q78" s="398"/>
      <c r="R78" s="779"/>
      <c r="S78" s="398"/>
      <c r="T78" s="398"/>
      <c r="U78" s="398"/>
      <c r="V78" s="738"/>
      <c r="W78" s="738"/>
      <c r="X78" s="738"/>
    </row>
    <row r="79" spans="1:24" ht="15.75" customHeight="1">
      <c r="A79" s="355" t="s">
        <v>98</v>
      </c>
      <c r="B79" s="359" t="s">
        <v>1042</v>
      </c>
      <c r="C79" s="330"/>
      <c r="D79" s="330"/>
      <c r="E79" s="330">
        <f>E78</f>
        <v>3.58</v>
      </c>
      <c r="F79" s="330">
        <v>8</v>
      </c>
      <c r="G79" s="330"/>
      <c r="H79" s="330"/>
      <c r="I79" s="330"/>
      <c r="J79" s="330">
        <v>0.2</v>
      </c>
      <c r="K79" s="330"/>
      <c r="L79" s="330">
        <f>13*13*0.006165</f>
        <v>1.041885</v>
      </c>
      <c r="M79" s="330">
        <f>M78</f>
        <v>8</v>
      </c>
      <c r="N79" s="330">
        <f>(E79+J79)*F79*L79*M79</f>
        <v>252.05281920000002</v>
      </c>
      <c r="O79" s="349" t="s">
        <v>100</v>
      </c>
      <c r="P79" s="784">
        <f>ROUND((N79),2)</f>
        <v>252.05</v>
      </c>
      <c r="Q79" s="398"/>
      <c r="R79" s="779"/>
      <c r="S79" s="398"/>
      <c r="T79" s="398"/>
      <c r="U79" s="398"/>
      <c r="V79" s="738"/>
      <c r="W79" s="738"/>
      <c r="X79" s="738"/>
    </row>
    <row r="80" spans="1:24" ht="15.75" customHeight="1">
      <c r="A80" s="355" t="s">
        <v>101</v>
      </c>
      <c r="B80" s="359" t="s">
        <v>428</v>
      </c>
      <c r="C80" s="330">
        <f>0.17*4</f>
        <v>0.68</v>
      </c>
      <c r="D80" s="330"/>
      <c r="E80" s="330"/>
      <c r="F80" s="330">
        <f>ROUNDDOWN((E79/0.125),0.5)</f>
        <v>28</v>
      </c>
      <c r="G80" s="330"/>
      <c r="H80" s="330"/>
      <c r="I80" s="330">
        <f>0.05*2</f>
        <v>0.1</v>
      </c>
      <c r="J80" s="330"/>
      <c r="K80" s="330"/>
      <c r="L80" s="330">
        <f>8*8*0.006165</f>
        <v>0.39456000000000002</v>
      </c>
      <c r="M80" s="330">
        <f>M79</f>
        <v>8</v>
      </c>
      <c r="N80" s="330">
        <f>(C80+I80)*F80*L80*M80</f>
        <v>68.937523200000001</v>
      </c>
      <c r="O80" s="349" t="s">
        <v>100</v>
      </c>
      <c r="P80" s="784">
        <f>ROUND((N80),2)</f>
        <v>68.94</v>
      </c>
      <c r="Q80" s="398"/>
      <c r="R80" s="779"/>
      <c r="S80" s="398"/>
      <c r="T80" s="398"/>
      <c r="U80" s="398"/>
      <c r="V80" s="738"/>
      <c r="W80" s="738"/>
      <c r="X80" s="738"/>
    </row>
    <row r="81" spans="1:24" ht="15.75" customHeight="1">
      <c r="A81" s="355" t="s">
        <v>121</v>
      </c>
      <c r="B81" s="359" t="s">
        <v>1043</v>
      </c>
      <c r="C81" s="330">
        <v>0.25</v>
      </c>
      <c r="D81" s="330">
        <v>0.25</v>
      </c>
      <c r="E81" s="330">
        <f>E79</f>
        <v>3.58</v>
      </c>
      <c r="F81" s="330"/>
      <c r="G81" s="330"/>
      <c r="H81" s="330"/>
      <c r="I81" s="330"/>
      <c r="J81" s="330"/>
      <c r="K81" s="330"/>
      <c r="L81" s="330"/>
      <c r="M81" s="330">
        <f>M79</f>
        <v>8</v>
      </c>
      <c r="N81" s="330">
        <f>C81*D81*E81*M81</f>
        <v>1.79</v>
      </c>
      <c r="O81" s="349" t="s">
        <v>103</v>
      </c>
      <c r="P81" s="784">
        <f>ROUND((N81),2)</f>
        <v>1.79</v>
      </c>
      <c r="Q81" s="398"/>
      <c r="R81" s="779"/>
      <c r="S81" s="398"/>
      <c r="T81" s="398"/>
      <c r="U81" s="398"/>
      <c r="V81" s="738"/>
      <c r="W81" s="738"/>
      <c r="X81" s="738"/>
    </row>
    <row r="82" spans="1:24" ht="15.75" customHeight="1">
      <c r="A82" s="408">
        <f>A77+1</f>
        <v>9</v>
      </c>
      <c r="B82" s="359" t="s">
        <v>1619</v>
      </c>
      <c r="C82" s="330"/>
      <c r="D82" s="330"/>
      <c r="E82" s="330"/>
      <c r="F82" s="330"/>
      <c r="G82" s="330"/>
      <c r="H82" s="330"/>
      <c r="I82" s="330"/>
      <c r="J82" s="330"/>
      <c r="K82" s="330"/>
      <c r="L82" s="330"/>
      <c r="M82" s="330"/>
      <c r="N82" s="330"/>
      <c r="O82" s="349"/>
      <c r="P82" s="784"/>
      <c r="Q82" s="398"/>
      <c r="R82" s="779"/>
      <c r="S82" s="398"/>
      <c r="T82" s="398"/>
      <c r="U82" s="398"/>
      <c r="V82" s="738"/>
      <c r="W82" s="738"/>
      <c r="X82" s="738"/>
    </row>
    <row r="83" spans="1:24" ht="15.75" customHeight="1">
      <c r="A83" s="407" t="s">
        <v>95</v>
      </c>
      <c r="B83" s="409" t="s">
        <v>1200</v>
      </c>
      <c r="C83" s="330"/>
      <c r="D83" s="330"/>
      <c r="E83" s="330"/>
      <c r="F83" s="330"/>
      <c r="G83" s="330"/>
      <c r="H83" s="330"/>
      <c r="I83" s="330"/>
      <c r="J83" s="330"/>
      <c r="K83" s="330"/>
      <c r="L83" s="330"/>
      <c r="M83" s="330"/>
      <c r="N83" s="330"/>
      <c r="O83" s="349"/>
      <c r="P83" s="784"/>
      <c r="Q83" s="398"/>
      <c r="R83" s="779"/>
      <c r="S83" s="398"/>
      <c r="T83" s="398"/>
      <c r="U83" s="398"/>
      <c r="V83" s="738"/>
      <c r="W83" s="738"/>
      <c r="X83" s="738"/>
    </row>
    <row r="84" spans="1:24" ht="15.75" customHeight="1">
      <c r="A84" s="407"/>
      <c r="B84" s="809"/>
      <c r="C84" s="330"/>
      <c r="D84" s="330">
        <v>0.15</v>
      </c>
      <c r="E84" s="330">
        <f>E81</f>
        <v>3.58</v>
      </c>
      <c r="F84" s="330"/>
      <c r="G84" s="330"/>
      <c r="H84" s="330">
        <v>2</v>
      </c>
      <c r="I84" s="330"/>
      <c r="J84" s="330"/>
      <c r="K84" s="330"/>
      <c r="L84" s="330"/>
      <c r="M84" s="330">
        <v>3</v>
      </c>
      <c r="N84" s="330">
        <f>D84*E84*H84*M84</f>
        <v>3.2220000000000004</v>
      </c>
      <c r="O84" s="349"/>
      <c r="P84" s="784"/>
      <c r="Q84" s="398"/>
      <c r="R84" s="779"/>
      <c r="S84" s="398"/>
      <c r="T84" s="398"/>
      <c r="U84" s="398"/>
      <c r="V84" s="738"/>
      <c r="W84" s="738"/>
      <c r="X84" s="738"/>
    </row>
    <row r="85" spans="1:24" ht="15.75" customHeight="1">
      <c r="A85" s="407"/>
      <c r="B85" s="809"/>
      <c r="C85" s="330"/>
      <c r="D85" s="330"/>
      <c r="E85" s="330"/>
      <c r="F85" s="330"/>
      <c r="G85" s="330"/>
      <c r="H85" s="330"/>
      <c r="I85" s="330"/>
      <c r="J85" s="330"/>
      <c r="K85" s="330"/>
      <c r="L85" s="330"/>
      <c r="M85" s="330"/>
      <c r="N85" s="401">
        <f>SUM(N84:N84)/2</f>
        <v>1.6110000000000002</v>
      </c>
      <c r="O85" s="349" t="s">
        <v>89</v>
      </c>
      <c r="P85" s="784">
        <f>ROUND((N85),2)</f>
        <v>1.61</v>
      </c>
      <c r="Q85" s="398"/>
      <c r="R85" s="779"/>
      <c r="S85" s="398"/>
      <c r="T85" s="398"/>
      <c r="U85" s="398"/>
      <c r="V85" s="738"/>
      <c r="W85" s="738"/>
      <c r="X85" s="738"/>
    </row>
    <row r="86" spans="1:24" ht="15.75" customHeight="1">
      <c r="A86" s="407" t="s">
        <v>98</v>
      </c>
      <c r="B86" s="351" t="s">
        <v>928</v>
      </c>
      <c r="C86" s="330"/>
      <c r="D86" s="330"/>
      <c r="E86" s="330"/>
      <c r="F86" s="330"/>
      <c r="G86" s="330"/>
      <c r="H86" s="330"/>
      <c r="I86" s="330"/>
      <c r="J86" s="330"/>
      <c r="K86" s="330"/>
      <c r="L86" s="330"/>
      <c r="M86" s="330"/>
      <c r="N86" s="330"/>
      <c r="O86" s="349"/>
      <c r="P86" s="784"/>
      <c r="Q86" s="398"/>
      <c r="R86" s="779"/>
      <c r="S86" s="398"/>
      <c r="T86" s="398"/>
      <c r="U86" s="398"/>
      <c r="V86" s="738"/>
      <c r="W86" s="738"/>
      <c r="X86" s="738"/>
    </row>
    <row r="87" spans="1:24" ht="15.75" customHeight="1">
      <c r="A87" s="407"/>
      <c r="B87" s="589"/>
      <c r="C87" s="330">
        <f>E84</f>
        <v>3.58</v>
      </c>
      <c r="D87" s="330"/>
      <c r="E87" s="330"/>
      <c r="F87" s="330">
        <v>4</v>
      </c>
      <c r="G87" s="330"/>
      <c r="H87" s="330"/>
      <c r="I87" s="330"/>
      <c r="J87" s="330">
        <v>0.2</v>
      </c>
      <c r="K87" s="330"/>
      <c r="L87" s="330">
        <f>13*13*0.006165</f>
        <v>1.041885</v>
      </c>
      <c r="M87" s="330">
        <f>M84</f>
        <v>3</v>
      </c>
      <c r="N87" s="330">
        <f>(C87+J87)*F87*L87*M87</f>
        <v>47.259903600000001</v>
      </c>
      <c r="O87" s="349"/>
      <c r="P87" s="784"/>
      <c r="Q87" s="398"/>
      <c r="R87" s="779"/>
      <c r="S87" s="398"/>
      <c r="T87" s="398"/>
      <c r="U87" s="398"/>
      <c r="V87" s="738"/>
      <c r="W87" s="738"/>
      <c r="X87" s="738"/>
    </row>
    <row r="88" spans="1:24" ht="15.75" customHeight="1">
      <c r="A88" s="407"/>
      <c r="B88" s="351"/>
      <c r="C88" s="330"/>
      <c r="D88" s="330"/>
      <c r="E88" s="330"/>
      <c r="F88" s="330"/>
      <c r="G88" s="330"/>
      <c r="H88" s="330"/>
      <c r="I88" s="330"/>
      <c r="J88" s="330"/>
      <c r="K88" s="330"/>
      <c r="L88" s="330"/>
      <c r="M88" s="330"/>
      <c r="N88" s="401">
        <f>SUM(N87:N87)</f>
        <v>47.259903600000001</v>
      </c>
      <c r="O88" s="349" t="s">
        <v>100</v>
      </c>
      <c r="P88" s="784">
        <f>ROUND((N88),2)</f>
        <v>47.26</v>
      </c>
      <c r="Q88" s="398"/>
      <c r="R88" s="779"/>
      <c r="S88" s="398"/>
      <c r="T88" s="398"/>
      <c r="U88" s="398"/>
      <c r="V88" s="738"/>
      <c r="W88" s="738"/>
      <c r="X88" s="738"/>
    </row>
    <row r="89" spans="1:24" ht="15.75" customHeight="1">
      <c r="A89" s="407" t="s">
        <v>101</v>
      </c>
      <c r="B89" s="351" t="s">
        <v>428</v>
      </c>
      <c r="C89" s="330"/>
      <c r="D89" s="330"/>
      <c r="E89" s="330"/>
      <c r="F89" s="330"/>
      <c r="G89" s="330"/>
      <c r="H89" s="330"/>
      <c r="I89" s="330"/>
      <c r="J89" s="330"/>
      <c r="K89" s="330"/>
      <c r="L89" s="330"/>
      <c r="M89" s="330"/>
      <c r="N89" s="330"/>
      <c r="O89" s="349"/>
      <c r="P89" s="784"/>
      <c r="Q89" s="398"/>
      <c r="R89" s="779"/>
      <c r="S89" s="398"/>
      <c r="T89" s="398"/>
      <c r="U89" s="398"/>
      <c r="V89" s="738"/>
      <c r="W89" s="738"/>
      <c r="X89" s="738"/>
    </row>
    <row r="90" spans="1:24" ht="15.75" customHeight="1">
      <c r="A90" s="407"/>
      <c r="B90" s="589"/>
      <c r="C90" s="330">
        <f>0.07*4</f>
        <v>0.28000000000000003</v>
      </c>
      <c r="D90" s="330"/>
      <c r="E90" s="330"/>
      <c r="F90" s="330">
        <f>ROUNDDOWN((C87/0.125),0.1)</f>
        <v>28</v>
      </c>
      <c r="G90" s="330"/>
      <c r="H90" s="330"/>
      <c r="I90" s="330">
        <f>0.05*2</f>
        <v>0.1</v>
      </c>
      <c r="J90" s="330"/>
      <c r="K90" s="330"/>
      <c r="L90" s="330">
        <f>8*8*0.006165</f>
        <v>0.39456000000000002</v>
      </c>
      <c r="M90" s="330">
        <f>M87</f>
        <v>3</v>
      </c>
      <c r="N90" s="330">
        <f>(C90+I90)*F90*L90*M90</f>
        <v>12.594355200000001</v>
      </c>
      <c r="O90" s="349"/>
      <c r="P90" s="784"/>
      <c r="Q90" s="398"/>
      <c r="R90" s="779"/>
      <c r="S90" s="398"/>
      <c r="T90" s="398"/>
      <c r="U90" s="398"/>
      <c r="V90" s="738"/>
      <c r="W90" s="738"/>
      <c r="X90" s="738"/>
    </row>
    <row r="91" spans="1:24" ht="15.75" customHeight="1">
      <c r="A91" s="407"/>
      <c r="B91" s="356"/>
      <c r="C91" s="330"/>
      <c r="D91" s="330"/>
      <c r="E91" s="330"/>
      <c r="F91" s="330"/>
      <c r="G91" s="330"/>
      <c r="H91" s="330"/>
      <c r="I91" s="330"/>
      <c r="J91" s="330"/>
      <c r="K91" s="330"/>
      <c r="L91" s="330"/>
      <c r="M91" s="330"/>
      <c r="N91" s="401">
        <f>SUM(N90:N90)</f>
        <v>12.594355200000001</v>
      </c>
      <c r="O91" s="349" t="s">
        <v>100</v>
      </c>
      <c r="P91" s="784">
        <f>ROUND((N91),2)</f>
        <v>12.59</v>
      </c>
      <c r="Q91" s="398"/>
      <c r="R91" s="779"/>
      <c r="S91" s="398"/>
      <c r="T91" s="398"/>
      <c r="U91" s="398"/>
      <c r="V91" s="738"/>
      <c r="W91" s="738"/>
      <c r="X91" s="738"/>
    </row>
    <row r="92" spans="1:24" ht="15.75" customHeight="1">
      <c r="A92" s="407" t="s">
        <v>121</v>
      </c>
      <c r="B92" s="356" t="s">
        <v>646</v>
      </c>
      <c r="C92" s="330"/>
      <c r="D92" s="330"/>
      <c r="E92" s="330"/>
      <c r="F92" s="330"/>
      <c r="G92" s="330"/>
      <c r="H92" s="330"/>
      <c r="I92" s="330"/>
      <c r="J92" s="330"/>
      <c r="K92" s="330"/>
      <c r="L92" s="330"/>
      <c r="M92" s="330"/>
      <c r="N92" s="330"/>
      <c r="O92" s="349"/>
      <c r="P92" s="784"/>
      <c r="Q92" s="398"/>
      <c r="R92" s="779"/>
      <c r="S92" s="398"/>
      <c r="T92" s="398"/>
      <c r="U92" s="398"/>
      <c r="V92" s="738"/>
      <c r="W92" s="738"/>
      <c r="X92" s="738"/>
    </row>
    <row r="93" spans="1:24" ht="15.75" customHeight="1">
      <c r="A93" s="407"/>
      <c r="B93" s="589"/>
      <c r="C93" s="330">
        <f>C87</f>
        <v>3.58</v>
      </c>
      <c r="D93" s="330">
        <v>0.15</v>
      </c>
      <c r="E93" s="330">
        <v>0.15</v>
      </c>
      <c r="F93" s="330"/>
      <c r="G93" s="330"/>
      <c r="H93" s="330"/>
      <c r="I93" s="330"/>
      <c r="J93" s="330"/>
      <c r="K93" s="330"/>
      <c r="L93" s="330"/>
      <c r="M93" s="330">
        <f>M90</f>
        <v>3</v>
      </c>
      <c r="N93" s="330">
        <f>C93*D93*E93*M93</f>
        <v>0.24164999999999998</v>
      </c>
      <c r="O93" s="349"/>
      <c r="P93" s="784"/>
      <c r="Q93" s="398"/>
      <c r="R93" s="779"/>
      <c r="S93" s="398"/>
      <c r="T93" s="398"/>
      <c r="U93" s="398"/>
      <c r="V93" s="738"/>
      <c r="W93" s="738"/>
      <c r="X93" s="738"/>
    </row>
    <row r="94" spans="1:24" ht="15.75" customHeight="1">
      <c r="A94" s="355"/>
      <c r="B94" s="359"/>
      <c r="C94" s="330"/>
      <c r="D94" s="330"/>
      <c r="E94" s="330"/>
      <c r="F94" s="330"/>
      <c r="G94" s="330"/>
      <c r="H94" s="330"/>
      <c r="I94" s="330"/>
      <c r="J94" s="330"/>
      <c r="K94" s="330"/>
      <c r="L94" s="330"/>
      <c r="M94" s="330"/>
      <c r="N94" s="401">
        <f>SUM(N93:N93)</f>
        <v>0.24164999999999998</v>
      </c>
      <c r="O94" s="349" t="s">
        <v>103</v>
      </c>
      <c r="P94" s="784">
        <f>ROUND((N94),2)</f>
        <v>0.24</v>
      </c>
      <c r="Q94" s="398"/>
      <c r="R94" s="779"/>
      <c r="S94" s="398"/>
      <c r="T94" s="398"/>
      <c r="U94" s="398"/>
      <c r="V94" s="738"/>
      <c r="W94" s="738"/>
      <c r="X94" s="738"/>
    </row>
    <row r="95" spans="1:24" ht="15.75" customHeight="1">
      <c r="A95" s="350">
        <f>A82+1</f>
        <v>10</v>
      </c>
      <c r="B95" s="351" t="s">
        <v>422</v>
      </c>
      <c r="C95" s="330"/>
      <c r="D95" s="330"/>
      <c r="E95" s="330"/>
      <c r="F95" s="330"/>
      <c r="G95" s="330"/>
      <c r="H95" s="330"/>
      <c r="I95" s="330"/>
      <c r="J95" s="330"/>
      <c r="K95" s="330"/>
      <c r="L95" s="330"/>
      <c r="M95" s="330"/>
      <c r="N95" s="330"/>
      <c r="O95" s="349"/>
      <c r="P95" s="784"/>
      <c r="Q95" s="398"/>
      <c r="R95" s="779"/>
      <c r="S95" s="398"/>
      <c r="T95" s="398"/>
      <c r="U95" s="398"/>
      <c r="V95" s="738"/>
      <c r="W95" s="738"/>
      <c r="X95" s="738"/>
    </row>
    <row r="96" spans="1:24" ht="15.75" customHeight="1">
      <c r="A96" s="355" t="s">
        <v>95</v>
      </c>
      <c r="B96" s="359" t="s">
        <v>423</v>
      </c>
      <c r="C96" s="330"/>
      <c r="D96" s="330"/>
      <c r="E96" s="330"/>
      <c r="F96" s="330"/>
      <c r="G96" s="330"/>
      <c r="H96" s="330"/>
      <c r="I96" s="330"/>
      <c r="J96" s="330"/>
      <c r="K96" s="330"/>
      <c r="L96" s="330"/>
      <c r="M96" s="330"/>
      <c r="N96" s="330"/>
      <c r="O96" s="349"/>
      <c r="P96" s="784"/>
      <c r="Q96" s="398"/>
      <c r="R96" s="779"/>
      <c r="S96" s="398"/>
      <c r="T96" s="398"/>
      <c r="U96" s="398"/>
      <c r="V96" s="738"/>
      <c r="W96" s="738"/>
      <c r="X96" s="738"/>
    </row>
    <row r="97" spans="1:24" ht="15.75" customHeight="1">
      <c r="A97" s="355"/>
      <c r="B97" s="567" t="s">
        <v>226</v>
      </c>
      <c r="C97" s="330">
        <f>C64</f>
        <v>12</v>
      </c>
      <c r="D97" s="330"/>
      <c r="E97" s="330">
        <v>0.35</v>
      </c>
      <c r="F97" s="330"/>
      <c r="G97" s="330"/>
      <c r="H97" s="330">
        <v>2</v>
      </c>
      <c r="I97" s="330"/>
      <c r="J97" s="330"/>
      <c r="K97" s="330"/>
      <c r="L97" s="330"/>
      <c r="M97" s="330">
        <v>2</v>
      </c>
      <c r="N97" s="330">
        <f>C97*E97*H97*M97</f>
        <v>16.799999999999997</v>
      </c>
      <c r="O97" s="349"/>
      <c r="P97" s="784"/>
      <c r="Q97" s="398"/>
      <c r="R97" s="779"/>
      <c r="S97" s="398"/>
      <c r="T97" s="398"/>
      <c r="U97" s="398"/>
      <c r="V97" s="738"/>
      <c r="W97" s="738"/>
      <c r="X97" s="738"/>
    </row>
    <row r="98" spans="1:24" ht="15.75" customHeight="1">
      <c r="A98" s="355"/>
      <c r="B98" s="567"/>
      <c r="C98" s="330">
        <f>C97</f>
        <v>12</v>
      </c>
      <c r="D98" s="330">
        <v>0.2</v>
      </c>
      <c r="E98" s="330"/>
      <c r="F98" s="330"/>
      <c r="G98" s="330"/>
      <c r="H98" s="330">
        <v>1</v>
      </c>
      <c r="I98" s="330"/>
      <c r="J98" s="330"/>
      <c r="K98" s="330"/>
      <c r="L98" s="330"/>
      <c r="M98" s="330">
        <f>M97</f>
        <v>2</v>
      </c>
      <c r="N98" s="424">
        <f>C98*D98*H98*M98</f>
        <v>4.8000000000000007</v>
      </c>
      <c r="O98" s="349"/>
      <c r="P98" s="784"/>
      <c r="Q98" s="398"/>
      <c r="R98" s="779"/>
      <c r="S98" s="398"/>
      <c r="T98" s="398"/>
      <c r="U98" s="398"/>
      <c r="V98" s="738"/>
      <c r="W98" s="738"/>
      <c r="X98" s="738"/>
    </row>
    <row r="99" spans="1:24" ht="15.75" customHeight="1">
      <c r="A99" s="355"/>
      <c r="B99" s="567" t="s">
        <v>227</v>
      </c>
      <c r="C99" s="330">
        <f>C65</f>
        <v>6</v>
      </c>
      <c r="D99" s="330"/>
      <c r="E99" s="330">
        <f>E97</f>
        <v>0.35</v>
      </c>
      <c r="F99" s="330"/>
      <c r="G99" s="330"/>
      <c r="H99" s="330">
        <f>H97</f>
        <v>2</v>
      </c>
      <c r="I99" s="330"/>
      <c r="J99" s="330"/>
      <c r="K99" s="330"/>
      <c r="L99" s="330"/>
      <c r="M99" s="330">
        <f>M97</f>
        <v>2</v>
      </c>
      <c r="N99" s="330">
        <f>C99*E99*H99*M99</f>
        <v>8.3999999999999986</v>
      </c>
      <c r="O99" s="349"/>
      <c r="P99" s="784"/>
      <c r="Q99" s="398"/>
      <c r="R99" s="779"/>
      <c r="S99" s="398"/>
      <c r="T99" s="398"/>
      <c r="U99" s="398"/>
      <c r="V99" s="738"/>
      <c r="W99" s="738"/>
      <c r="X99" s="738"/>
    </row>
    <row r="100" spans="1:24" ht="15.75" customHeight="1">
      <c r="A100" s="355"/>
      <c r="B100" s="567"/>
      <c r="C100" s="330">
        <f>C99</f>
        <v>6</v>
      </c>
      <c r="D100" s="330">
        <f>D98</f>
        <v>0.2</v>
      </c>
      <c r="E100" s="330"/>
      <c r="F100" s="330"/>
      <c r="G100" s="330"/>
      <c r="H100" s="330">
        <f>H98</f>
        <v>1</v>
      </c>
      <c r="I100" s="330"/>
      <c r="J100" s="330"/>
      <c r="K100" s="330"/>
      <c r="L100" s="330"/>
      <c r="M100" s="330">
        <f>M99</f>
        <v>2</v>
      </c>
      <c r="N100" s="330">
        <f>C100*D100*H100*M100</f>
        <v>2.4000000000000004</v>
      </c>
      <c r="O100" s="349"/>
      <c r="P100" s="784"/>
      <c r="Q100" s="398"/>
      <c r="R100" s="779"/>
      <c r="S100" s="398"/>
      <c r="T100" s="398"/>
      <c r="U100" s="398"/>
      <c r="V100" s="738"/>
      <c r="W100" s="738"/>
      <c r="X100" s="738"/>
    </row>
    <row r="101" spans="1:24" ht="15.75" customHeight="1">
      <c r="A101" s="355"/>
      <c r="B101" s="359"/>
      <c r="C101" s="330"/>
      <c r="D101" s="330"/>
      <c r="E101" s="330"/>
      <c r="F101" s="330"/>
      <c r="G101" s="330"/>
      <c r="H101" s="330"/>
      <c r="I101" s="330"/>
      <c r="J101" s="330"/>
      <c r="K101" s="330"/>
      <c r="L101" s="330"/>
      <c r="M101" s="330"/>
      <c r="N101" s="401">
        <f>SUM(N97:N100)/2</f>
        <v>16.2</v>
      </c>
      <c r="O101" s="349" t="s">
        <v>89</v>
      </c>
      <c r="P101" s="784">
        <f>ROUND((N101),2)</f>
        <v>16.2</v>
      </c>
      <c r="Q101" s="398"/>
      <c r="R101" s="779"/>
      <c r="S101" s="398"/>
      <c r="T101" s="398"/>
      <c r="U101" s="398"/>
      <c r="V101" s="738"/>
      <c r="W101" s="738"/>
      <c r="X101" s="738"/>
    </row>
    <row r="102" spans="1:24" ht="15.75" customHeight="1">
      <c r="A102" s="355" t="s">
        <v>98</v>
      </c>
      <c r="B102" s="351" t="s">
        <v>925</v>
      </c>
      <c r="C102" s="330"/>
      <c r="D102" s="330"/>
      <c r="E102" s="330"/>
      <c r="F102" s="330"/>
      <c r="G102" s="330"/>
      <c r="H102" s="330"/>
      <c r="I102" s="330"/>
      <c r="J102" s="330"/>
      <c r="K102" s="330"/>
      <c r="L102" s="330"/>
      <c r="M102" s="330"/>
      <c r="N102" s="330"/>
      <c r="O102" s="349"/>
      <c r="P102" s="784"/>
      <c r="Q102" s="398"/>
      <c r="R102" s="779"/>
      <c r="S102" s="398"/>
      <c r="T102" s="398"/>
      <c r="U102" s="398"/>
      <c r="V102" s="738"/>
      <c r="W102" s="738"/>
      <c r="X102" s="738"/>
    </row>
    <row r="103" spans="1:24" ht="15.75" customHeight="1">
      <c r="A103" s="355"/>
      <c r="B103" s="359"/>
      <c r="C103" s="330">
        <f>C97</f>
        <v>12</v>
      </c>
      <c r="D103" s="330"/>
      <c r="E103" s="330"/>
      <c r="F103" s="330">
        <v>5</v>
      </c>
      <c r="G103" s="330"/>
      <c r="H103" s="330"/>
      <c r="I103" s="330"/>
      <c r="J103" s="330"/>
      <c r="K103" s="330"/>
      <c r="L103" s="330">
        <f>13*13*0.006165</f>
        <v>1.041885</v>
      </c>
      <c r="M103" s="330">
        <f>M97</f>
        <v>2</v>
      </c>
      <c r="N103" s="330">
        <f>C103*F103*L103*M103</f>
        <v>125.02619999999999</v>
      </c>
      <c r="O103" s="349"/>
      <c r="P103" s="784"/>
      <c r="Q103" s="398"/>
      <c r="R103" s="779"/>
      <c r="S103" s="398"/>
      <c r="T103" s="398"/>
      <c r="U103" s="398"/>
      <c r="V103" s="738"/>
      <c r="W103" s="738"/>
      <c r="X103" s="738"/>
    </row>
    <row r="104" spans="1:24" ht="15.75" customHeight="1">
      <c r="A104" s="355"/>
      <c r="B104" s="359"/>
      <c r="C104" s="330">
        <f>C99</f>
        <v>6</v>
      </c>
      <c r="D104" s="330"/>
      <c r="E104" s="330"/>
      <c r="F104" s="330">
        <f>F103</f>
        <v>5</v>
      </c>
      <c r="G104" s="330"/>
      <c r="H104" s="330"/>
      <c r="I104" s="330"/>
      <c r="J104" s="330"/>
      <c r="K104" s="330"/>
      <c r="L104" s="330">
        <f>L103</f>
        <v>1.041885</v>
      </c>
      <c r="M104" s="330">
        <f>M99</f>
        <v>2</v>
      </c>
      <c r="N104" s="752">
        <f>C104*F104*L104*M104</f>
        <v>62.513099999999994</v>
      </c>
      <c r="O104" s="349"/>
      <c r="P104" s="784"/>
      <c r="Q104" s="398"/>
      <c r="R104" s="779"/>
      <c r="S104" s="398"/>
      <c r="T104" s="398"/>
      <c r="U104" s="398"/>
      <c r="V104" s="738"/>
      <c r="W104" s="738"/>
      <c r="X104" s="738"/>
    </row>
    <row r="105" spans="1:24" ht="15.75" customHeight="1">
      <c r="A105" s="355"/>
      <c r="B105" s="359"/>
      <c r="C105" s="330"/>
      <c r="D105" s="330"/>
      <c r="E105" s="330"/>
      <c r="F105" s="330"/>
      <c r="G105" s="330"/>
      <c r="H105" s="330"/>
      <c r="I105" s="330"/>
      <c r="J105" s="330"/>
      <c r="K105" s="330"/>
      <c r="L105" s="330"/>
      <c r="M105" s="330"/>
      <c r="N105" s="401">
        <f>SUM(N103:N104)</f>
        <v>187.53929999999997</v>
      </c>
      <c r="O105" s="349" t="s">
        <v>100</v>
      </c>
      <c r="P105" s="784">
        <f>ROUND((N105),2)</f>
        <v>187.54</v>
      </c>
      <c r="Q105" s="398"/>
      <c r="R105" s="779"/>
      <c r="S105" s="398"/>
      <c r="T105" s="398"/>
      <c r="U105" s="398"/>
      <c r="V105" s="738"/>
      <c r="W105" s="738"/>
      <c r="X105" s="738"/>
    </row>
    <row r="106" spans="1:24" ht="15.75" customHeight="1">
      <c r="A106" s="355" t="s">
        <v>101</v>
      </c>
      <c r="B106" s="351" t="s">
        <v>411</v>
      </c>
      <c r="C106" s="330"/>
      <c r="D106" s="330"/>
      <c r="E106" s="330"/>
      <c r="F106" s="330"/>
      <c r="G106" s="330"/>
      <c r="H106" s="330"/>
      <c r="I106" s="330"/>
      <c r="J106" s="330"/>
      <c r="K106" s="330"/>
      <c r="L106" s="330"/>
      <c r="M106" s="330"/>
      <c r="N106" s="330"/>
      <c r="O106" s="349"/>
      <c r="P106" s="784"/>
      <c r="Q106" s="398"/>
      <c r="R106" s="779"/>
      <c r="S106" s="398"/>
      <c r="T106" s="398"/>
      <c r="U106" s="398"/>
      <c r="V106" s="738"/>
      <c r="W106" s="738"/>
      <c r="X106" s="738"/>
    </row>
    <row r="107" spans="1:24" ht="15.75" customHeight="1">
      <c r="A107" s="355"/>
      <c r="B107" s="359"/>
      <c r="C107" s="330">
        <f>(0.12+0.27)*2</f>
        <v>0.78</v>
      </c>
      <c r="D107" s="330"/>
      <c r="E107" s="330"/>
      <c r="F107" s="330">
        <f>ROUNDDOWN((C103/0.125),0.1)</f>
        <v>96</v>
      </c>
      <c r="G107" s="330"/>
      <c r="H107" s="330"/>
      <c r="I107" s="330">
        <f>0.05*2</f>
        <v>0.1</v>
      </c>
      <c r="J107" s="330"/>
      <c r="K107" s="330"/>
      <c r="L107" s="330">
        <f>8*8*0.006165</f>
        <v>0.39456000000000002</v>
      </c>
      <c r="M107" s="330">
        <f>M103</f>
        <v>2</v>
      </c>
      <c r="N107" s="330">
        <f>(C107+I107)*F107*L107*M107</f>
        <v>66.664857600000005</v>
      </c>
      <c r="O107" s="349"/>
      <c r="P107" s="784"/>
      <c r="Q107" s="398"/>
      <c r="R107" s="779"/>
      <c r="S107" s="398"/>
      <c r="T107" s="398"/>
      <c r="U107" s="398"/>
      <c r="V107" s="738"/>
      <c r="W107" s="738"/>
      <c r="X107" s="738"/>
    </row>
    <row r="108" spans="1:24" ht="15.75" customHeight="1">
      <c r="A108" s="355"/>
      <c r="B108" s="359"/>
      <c r="C108" s="330">
        <f>C107</f>
        <v>0.78</v>
      </c>
      <c r="D108" s="330"/>
      <c r="E108" s="330"/>
      <c r="F108" s="330">
        <f>ROUNDDOWN((C104/0.125),0.1)</f>
        <v>48</v>
      </c>
      <c r="G108" s="330"/>
      <c r="H108" s="330"/>
      <c r="I108" s="330">
        <f>I107</f>
        <v>0.1</v>
      </c>
      <c r="J108" s="330"/>
      <c r="K108" s="330"/>
      <c r="L108" s="330">
        <f>L107</f>
        <v>0.39456000000000002</v>
      </c>
      <c r="M108" s="330">
        <f>M104</f>
        <v>2</v>
      </c>
      <c r="N108" s="752">
        <f>(C108+I108)*F108*L108*M108</f>
        <v>33.332428800000002</v>
      </c>
      <c r="O108" s="349"/>
      <c r="P108" s="784"/>
      <c r="Q108" s="398"/>
      <c r="R108" s="779"/>
      <c r="S108" s="398"/>
      <c r="T108" s="398"/>
      <c r="U108" s="398"/>
      <c r="V108" s="738"/>
      <c r="W108" s="738"/>
      <c r="X108" s="738"/>
    </row>
    <row r="109" spans="1:24" ht="15.75" customHeight="1">
      <c r="A109" s="355"/>
      <c r="B109" s="359"/>
      <c r="C109" s="330"/>
      <c r="D109" s="330"/>
      <c r="E109" s="330"/>
      <c r="F109" s="330"/>
      <c r="G109" s="330"/>
      <c r="H109" s="330"/>
      <c r="I109" s="330"/>
      <c r="J109" s="330"/>
      <c r="K109" s="330"/>
      <c r="L109" s="330"/>
      <c r="M109" s="330"/>
      <c r="N109" s="401">
        <f>SUM(N107:N108)</f>
        <v>99.997286400000007</v>
      </c>
      <c r="O109" s="349" t="s">
        <v>100</v>
      </c>
      <c r="P109" s="784">
        <f>ROUND((N109),2)</f>
        <v>100</v>
      </c>
      <c r="Q109" s="398"/>
      <c r="R109" s="779"/>
      <c r="S109" s="398"/>
      <c r="T109" s="398"/>
      <c r="U109" s="398"/>
      <c r="V109" s="738"/>
      <c r="W109" s="738"/>
      <c r="X109" s="738"/>
    </row>
    <row r="110" spans="1:24" ht="15.75" customHeight="1">
      <c r="A110" s="355" t="s">
        <v>121</v>
      </c>
      <c r="B110" s="359" t="s">
        <v>1043</v>
      </c>
      <c r="C110" s="330"/>
      <c r="D110" s="330"/>
      <c r="E110" s="330"/>
      <c r="F110" s="330"/>
      <c r="G110" s="330"/>
      <c r="H110" s="330"/>
      <c r="I110" s="330"/>
      <c r="J110" s="330"/>
      <c r="K110" s="330"/>
      <c r="L110" s="330"/>
      <c r="M110" s="330"/>
      <c r="N110" s="330"/>
      <c r="O110" s="349"/>
      <c r="P110" s="784"/>
      <c r="Q110" s="398"/>
      <c r="R110" s="779"/>
      <c r="S110" s="398"/>
      <c r="T110" s="398"/>
      <c r="U110" s="398"/>
      <c r="V110" s="738"/>
      <c r="W110" s="738"/>
      <c r="X110" s="738"/>
    </row>
    <row r="111" spans="1:24" ht="15.75" customHeight="1">
      <c r="A111" s="355"/>
      <c r="B111" s="359"/>
      <c r="C111" s="330">
        <f>C103</f>
        <v>12</v>
      </c>
      <c r="D111" s="330">
        <v>0.2</v>
      </c>
      <c r="E111" s="330">
        <v>0.35</v>
      </c>
      <c r="F111" s="330"/>
      <c r="G111" s="330"/>
      <c r="H111" s="330"/>
      <c r="I111" s="330"/>
      <c r="J111" s="330"/>
      <c r="K111" s="330"/>
      <c r="L111" s="330"/>
      <c r="M111" s="330">
        <f>M107</f>
        <v>2</v>
      </c>
      <c r="N111" s="330">
        <f>C111*D111*E111*M111</f>
        <v>1.6800000000000002</v>
      </c>
      <c r="O111" s="349"/>
      <c r="P111" s="784"/>
      <c r="Q111" s="398"/>
      <c r="R111" s="779"/>
      <c r="S111" s="398"/>
      <c r="T111" s="398"/>
      <c r="U111" s="398"/>
      <c r="V111" s="738"/>
      <c r="W111" s="738"/>
      <c r="X111" s="738"/>
    </row>
    <row r="112" spans="1:24" ht="15.75" customHeight="1">
      <c r="A112" s="355"/>
      <c r="B112" s="359"/>
      <c r="C112" s="330">
        <f>C104</f>
        <v>6</v>
      </c>
      <c r="D112" s="330">
        <f>D111</f>
        <v>0.2</v>
      </c>
      <c r="E112" s="330">
        <f>E111</f>
        <v>0.35</v>
      </c>
      <c r="F112" s="330"/>
      <c r="G112" s="330"/>
      <c r="H112" s="330"/>
      <c r="I112" s="330"/>
      <c r="J112" s="330"/>
      <c r="K112" s="330"/>
      <c r="L112" s="330"/>
      <c r="M112" s="330">
        <f>M108</f>
        <v>2</v>
      </c>
      <c r="N112" s="752">
        <f>C112*D112*E112*M112</f>
        <v>0.84000000000000008</v>
      </c>
      <c r="O112" s="349"/>
      <c r="P112" s="784"/>
      <c r="Q112" s="398"/>
      <c r="R112" s="779"/>
      <c r="S112" s="398"/>
      <c r="T112" s="398"/>
      <c r="U112" s="398"/>
      <c r="V112" s="738"/>
      <c r="W112" s="738"/>
      <c r="X112" s="738"/>
    </row>
    <row r="113" spans="1:24" ht="15.75" customHeight="1">
      <c r="A113" s="355"/>
      <c r="B113" s="359"/>
      <c r="C113" s="330"/>
      <c r="D113" s="330"/>
      <c r="E113" s="330"/>
      <c r="F113" s="330"/>
      <c r="G113" s="330"/>
      <c r="H113" s="330"/>
      <c r="I113" s="330"/>
      <c r="J113" s="330"/>
      <c r="K113" s="330"/>
      <c r="L113" s="330"/>
      <c r="M113" s="330"/>
      <c r="N113" s="401">
        <f>SUM(N111:N112)</f>
        <v>2.5200000000000005</v>
      </c>
      <c r="O113" s="349" t="s">
        <v>103</v>
      </c>
      <c r="P113" s="784">
        <f>ROUND((N113),2)</f>
        <v>2.52</v>
      </c>
      <c r="Q113" s="398"/>
      <c r="R113" s="779"/>
      <c r="S113" s="398"/>
      <c r="T113" s="398"/>
      <c r="U113" s="398"/>
      <c r="V113" s="738"/>
      <c r="W113" s="738"/>
      <c r="X113" s="738"/>
    </row>
    <row r="114" spans="1:24" ht="15.75" customHeight="1">
      <c r="A114" s="350">
        <f>A95+1</f>
        <v>11</v>
      </c>
      <c r="B114" s="351" t="s">
        <v>553</v>
      </c>
      <c r="C114" s="330"/>
      <c r="D114" s="330"/>
      <c r="E114" s="330"/>
      <c r="F114" s="330"/>
      <c r="G114" s="330"/>
      <c r="H114" s="330"/>
      <c r="I114" s="330"/>
      <c r="J114" s="330"/>
      <c r="K114" s="330"/>
      <c r="L114" s="330"/>
      <c r="M114" s="330"/>
      <c r="N114" s="401"/>
      <c r="O114" s="349"/>
      <c r="P114" s="784"/>
      <c r="Q114" s="398"/>
      <c r="R114" s="779"/>
      <c r="S114" s="398"/>
      <c r="T114" s="398"/>
      <c r="U114" s="398"/>
      <c r="V114" s="738"/>
      <c r="W114" s="738"/>
      <c r="X114" s="738"/>
    </row>
    <row r="115" spans="1:24" ht="15.75" customHeight="1">
      <c r="A115" s="355" t="s">
        <v>95</v>
      </c>
      <c r="B115" s="351" t="s">
        <v>1393</v>
      </c>
      <c r="C115" s="330"/>
      <c r="D115" s="330"/>
      <c r="E115" s="330"/>
      <c r="F115" s="330"/>
      <c r="G115" s="330"/>
      <c r="H115" s="330"/>
      <c r="I115" s="330"/>
      <c r="J115" s="330"/>
      <c r="K115" s="330"/>
      <c r="L115" s="330"/>
      <c r="M115" s="330"/>
      <c r="N115" s="401"/>
      <c r="O115" s="349"/>
      <c r="P115" s="784"/>
      <c r="Q115" s="398"/>
      <c r="R115" s="779"/>
      <c r="S115" s="398"/>
      <c r="T115" s="398"/>
      <c r="U115" s="398"/>
      <c r="V115" s="738"/>
      <c r="W115" s="738"/>
      <c r="X115" s="738"/>
    </row>
    <row r="116" spans="1:24" ht="15.75" customHeight="1">
      <c r="A116" s="355"/>
      <c r="B116" s="567" t="s">
        <v>226</v>
      </c>
      <c r="C116" s="330">
        <v>6</v>
      </c>
      <c r="D116" s="330"/>
      <c r="E116" s="330">
        <v>0.4</v>
      </c>
      <c r="F116" s="330"/>
      <c r="G116" s="330"/>
      <c r="H116" s="330">
        <v>2</v>
      </c>
      <c r="I116" s="330"/>
      <c r="J116" s="330"/>
      <c r="K116" s="330"/>
      <c r="L116" s="330"/>
      <c r="M116" s="330">
        <v>2</v>
      </c>
      <c r="N116" s="330">
        <f>C116*E116*H116*M116</f>
        <v>9.6000000000000014</v>
      </c>
      <c r="O116" s="349"/>
      <c r="P116" s="784"/>
      <c r="Q116" s="398"/>
      <c r="R116" s="779"/>
      <c r="S116" s="398"/>
      <c r="T116" s="398"/>
      <c r="U116" s="398"/>
      <c r="V116" s="738"/>
      <c r="W116" s="738"/>
      <c r="X116" s="738"/>
    </row>
    <row r="117" spans="1:24" ht="15.75" customHeight="1">
      <c r="A117" s="355"/>
      <c r="B117" s="567"/>
      <c r="C117" s="330">
        <f>C116</f>
        <v>6</v>
      </c>
      <c r="D117" s="330">
        <v>0.2</v>
      </c>
      <c r="E117" s="330"/>
      <c r="F117" s="330"/>
      <c r="G117" s="330"/>
      <c r="H117" s="330">
        <v>1</v>
      </c>
      <c r="I117" s="330"/>
      <c r="J117" s="330"/>
      <c r="K117" s="330"/>
      <c r="L117" s="330"/>
      <c r="M117" s="330">
        <f>M116</f>
        <v>2</v>
      </c>
      <c r="N117" s="752">
        <f>C117*D117*H117*M117</f>
        <v>2.4000000000000004</v>
      </c>
      <c r="O117" s="349"/>
      <c r="P117" s="784"/>
      <c r="Q117" s="398"/>
      <c r="R117" s="779"/>
      <c r="S117" s="398"/>
      <c r="T117" s="398"/>
      <c r="U117" s="398"/>
      <c r="V117" s="738"/>
      <c r="W117" s="738"/>
      <c r="X117" s="738"/>
    </row>
    <row r="118" spans="1:24" ht="15.75" customHeight="1">
      <c r="A118" s="355"/>
      <c r="B118" s="359"/>
      <c r="C118" s="330"/>
      <c r="D118" s="330"/>
      <c r="E118" s="330"/>
      <c r="F118" s="330"/>
      <c r="G118" s="330"/>
      <c r="H118" s="330"/>
      <c r="I118" s="330"/>
      <c r="J118" s="330"/>
      <c r="K118" s="330"/>
      <c r="L118" s="330"/>
      <c r="M118" s="330"/>
      <c r="N118" s="401">
        <f>SUM(N116:N117)/2</f>
        <v>6.0000000000000009</v>
      </c>
      <c r="O118" s="349" t="s">
        <v>89</v>
      </c>
      <c r="P118" s="784">
        <f>ROUND((N118),2)</f>
        <v>6</v>
      </c>
      <c r="Q118" s="398"/>
      <c r="R118" s="779"/>
      <c r="S118" s="398"/>
      <c r="T118" s="398"/>
      <c r="U118" s="398"/>
      <c r="V118" s="738"/>
      <c r="W118" s="738"/>
      <c r="X118" s="738"/>
    </row>
    <row r="119" spans="1:24" ht="15.75" customHeight="1">
      <c r="A119" s="355" t="s">
        <v>98</v>
      </c>
      <c r="B119" s="351" t="s">
        <v>932</v>
      </c>
      <c r="C119" s="330">
        <f>C116</f>
        <v>6</v>
      </c>
      <c r="D119" s="330"/>
      <c r="E119" s="330"/>
      <c r="F119" s="330">
        <v>6</v>
      </c>
      <c r="G119" s="330"/>
      <c r="H119" s="330"/>
      <c r="I119" s="330"/>
      <c r="J119" s="330"/>
      <c r="K119" s="330"/>
      <c r="L119" s="330">
        <f>13*13*0.006165</f>
        <v>1.041885</v>
      </c>
      <c r="M119" s="330">
        <f>M116</f>
        <v>2</v>
      </c>
      <c r="N119" s="330">
        <f>C119*F119*L119*M119</f>
        <v>75.015720000000002</v>
      </c>
      <c r="O119" s="349" t="s">
        <v>100</v>
      </c>
      <c r="P119" s="784">
        <f>ROUND((N119),2)</f>
        <v>75.02</v>
      </c>
      <c r="Q119" s="398"/>
      <c r="R119" s="779"/>
      <c r="S119" s="398"/>
      <c r="T119" s="398"/>
      <c r="U119" s="398"/>
      <c r="V119" s="738"/>
      <c r="W119" s="738"/>
      <c r="X119" s="738"/>
    </row>
    <row r="120" spans="1:24" ht="15.75" customHeight="1">
      <c r="A120" s="355" t="s">
        <v>101</v>
      </c>
      <c r="B120" s="351" t="s">
        <v>411</v>
      </c>
      <c r="C120" s="330">
        <f>(0.12+0.27)*2</f>
        <v>0.78</v>
      </c>
      <c r="D120" s="330"/>
      <c r="E120" s="330"/>
      <c r="F120" s="330">
        <f>ROUNDDOWN((C119/0.125),0.1)</f>
        <v>48</v>
      </c>
      <c r="G120" s="330"/>
      <c r="H120" s="330"/>
      <c r="I120" s="330">
        <f>0.05*2</f>
        <v>0.1</v>
      </c>
      <c r="J120" s="330"/>
      <c r="K120" s="330"/>
      <c r="L120" s="330">
        <f>8*8*0.006165</f>
        <v>0.39456000000000002</v>
      </c>
      <c r="M120" s="330">
        <f>M117</f>
        <v>2</v>
      </c>
      <c r="N120" s="330">
        <f>(C120+I120)*F120*L120*M120</f>
        <v>33.332428800000002</v>
      </c>
      <c r="O120" s="349" t="s">
        <v>100</v>
      </c>
      <c r="P120" s="784">
        <f>ROUND((N120),2)</f>
        <v>33.33</v>
      </c>
      <c r="Q120" s="398"/>
      <c r="R120" s="779"/>
      <c r="S120" s="398"/>
      <c r="T120" s="398"/>
      <c r="U120" s="398"/>
      <c r="V120" s="738"/>
      <c r="W120" s="738"/>
      <c r="X120" s="738"/>
    </row>
    <row r="121" spans="1:24" ht="15.75" customHeight="1">
      <c r="A121" s="355" t="s">
        <v>121</v>
      </c>
      <c r="B121" s="356" t="s">
        <v>646</v>
      </c>
      <c r="C121" s="330">
        <f>C119</f>
        <v>6</v>
      </c>
      <c r="D121" s="330">
        <f>D117</f>
        <v>0.2</v>
      </c>
      <c r="E121" s="330">
        <f>E116</f>
        <v>0.4</v>
      </c>
      <c r="F121" s="330"/>
      <c r="G121" s="330"/>
      <c r="H121" s="330"/>
      <c r="I121" s="330"/>
      <c r="J121" s="330"/>
      <c r="K121" s="330"/>
      <c r="L121" s="330"/>
      <c r="M121" s="330">
        <f>M120</f>
        <v>2</v>
      </c>
      <c r="N121" s="330">
        <f>C121*D121*E121*M121</f>
        <v>0.96000000000000019</v>
      </c>
      <c r="O121" s="349" t="s">
        <v>103</v>
      </c>
      <c r="P121" s="784">
        <f>ROUND((N121),2)</f>
        <v>0.96</v>
      </c>
      <c r="Q121" s="398"/>
      <c r="R121" s="779"/>
      <c r="S121" s="398"/>
      <c r="T121" s="398"/>
      <c r="U121" s="398"/>
      <c r="V121" s="738"/>
      <c r="W121" s="738"/>
      <c r="X121" s="738"/>
    </row>
    <row r="122" spans="1:24" ht="15.75" customHeight="1">
      <c r="A122" s="350">
        <f>A114+1</f>
        <v>12</v>
      </c>
      <c r="B122" s="351" t="s">
        <v>927</v>
      </c>
      <c r="C122" s="330"/>
      <c r="D122" s="330"/>
      <c r="E122" s="330"/>
      <c r="F122" s="330"/>
      <c r="G122" s="330"/>
      <c r="H122" s="330"/>
      <c r="I122" s="330"/>
      <c r="J122" s="330"/>
      <c r="K122" s="330"/>
      <c r="L122" s="330"/>
      <c r="M122" s="330"/>
      <c r="N122" s="330"/>
      <c r="O122" s="349"/>
      <c r="P122" s="784"/>
      <c r="Q122" s="398"/>
      <c r="R122" s="779"/>
      <c r="S122" s="398"/>
      <c r="T122" s="398"/>
      <c r="U122" s="398"/>
      <c r="V122" s="738"/>
      <c r="W122" s="738"/>
      <c r="X122" s="738"/>
    </row>
    <row r="123" spans="1:24" ht="15.75" customHeight="1">
      <c r="A123" s="355" t="s">
        <v>95</v>
      </c>
      <c r="B123" s="359" t="s">
        <v>423</v>
      </c>
      <c r="C123" s="330">
        <f>12*2+1.5*2</f>
        <v>27</v>
      </c>
      <c r="D123" s="330"/>
      <c r="E123" s="330">
        <v>0.15</v>
      </c>
      <c r="F123" s="330"/>
      <c r="G123" s="330"/>
      <c r="H123" s="330">
        <v>2</v>
      </c>
      <c r="I123" s="330"/>
      <c r="J123" s="330"/>
      <c r="K123" s="330"/>
      <c r="L123" s="330"/>
      <c r="M123" s="330">
        <v>1</v>
      </c>
      <c r="N123" s="330">
        <f>C123*E123*H123*M123*0.5</f>
        <v>4.05</v>
      </c>
      <c r="O123" s="349" t="s">
        <v>89</v>
      </c>
      <c r="P123" s="784">
        <f>ROUND((N123),2)</f>
        <v>4.05</v>
      </c>
      <c r="Q123" s="398"/>
      <c r="R123" s="779"/>
      <c r="S123" s="398"/>
      <c r="T123" s="398"/>
      <c r="U123" s="398"/>
      <c r="V123" s="738"/>
      <c r="W123" s="738"/>
      <c r="X123" s="738"/>
    </row>
    <row r="124" spans="1:24" ht="15.75" customHeight="1">
      <c r="A124" s="355" t="s">
        <v>98</v>
      </c>
      <c r="B124" s="351" t="s">
        <v>817</v>
      </c>
      <c r="C124" s="330">
        <f>C123</f>
        <v>27</v>
      </c>
      <c r="D124" s="330"/>
      <c r="E124" s="330"/>
      <c r="F124" s="330">
        <v>4</v>
      </c>
      <c r="G124" s="330"/>
      <c r="H124" s="330"/>
      <c r="I124" s="330"/>
      <c r="J124" s="330">
        <v>0.55000000000000004</v>
      </c>
      <c r="K124" s="330"/>
      <c r="L124" s="330">
        <f>13*13*0.006165</f>
        <v>1.041885</v>
      </c>
      <c r="M124" s="330">
        <f>M123</f>
        <v>1</v>
      </c>
      <c r="N124" s="330">
        <f>(C124+J124)*F124*L124*M124</f>
        <v>114.815727</v>
      </c>
      <c r="O124" s="349" t="s">
        <v>100</v>
      </c>
      <c r="P124" s="784">
        <f>ROUND((N124),2)</f>
        <v>114.82</v>
      </c>
      <c r="Q124" s="398"/>
      <c r="R124" s="779"/>
      <c r="S124" s="398"/>
      <c r="T124" s="398"/>
      <c r="U124" s="398"/>
      <c r="V124" s="738"/>
      <c r="W124" s="738"/>
      <c r="X124" s="738"/>
    </row>
    <row r="125" spans="1:24" ht="15.75" customHeight="1">
      <c r="A125" s="355" t="s">
        <v>101</v>
      </c>
      <c r="B125" s="351" t="s">
        <v>411</v>
      </c>
      <c r="C125" s="330">
        <f>(0.07+0.12)*2</f>
        <v>0.38</v>
      </c>
      <c r="D125" s="330"/>
      <c r="E125" s="330"/>
      <c r="F125" s="330">
        <f>ROUNDDOWN((C124/0.125),0.1)</f>
        <v>216</v>
      </c>
      <c r="G125" s="330"/>
      <c r="H125" s="330"/>
      <c r="I125" s="330">
        <f>0.05*2</f>
        <v>0.1</v>
      </c>
      <c r="J125" s="330"/>
      <c r="K125" s="330"/>
      <c r="L125" s="330">
        <f>8*8*0.006165</f>
        <v>0.39456000000000002</v>
      </c>
      <c r="M125" s="330">
        <f>M124</f>
        <v>1</v>
      </c>
      <c r="N125" s="330">
        <f>(C125+I125)*F125*L125*M125</f>
        <v>40.907980799999997</v>
      </c>
      <c r="O125" s="349" t="s">
        <v>100</v>
      </c>
      <c r="P125" s="784">
        <f>ROUND((N125),2)</f>
        <v>40.909999999999997</v>
      </c>
      <c r="Q125" s="398"/>
      <c r="R125" s="779"/>
      <c r="S125" s="398"/>
      <c r="T125" s="398"/>
      <c r="U125" s="398"/>
      <c r="V125" s="738"/>
      <c r="W125" s="738"/>
      <c r="X125" s="738"/>
    </row>
    <row r="126" spans="1:24" ht="15.75" customHeight="1">
      <c r="A126" s="355" t="s">
        <v>121</v>
      </c>
      <c r="B126" s="359" t="s">
        <v>1043</v>
      </c>
      <c r="C126" s="330">
        <f>C124</f>
        <v>27</v>
      </c>
      <c r="D126" s="330">
        <v>0.15</v>
      </c>
      <c r="E126" s="330">
        <v>0.2</v>
      </c>
      <c r="F126" s="330"/>
      <c r="G126" s="330"/>
      <c r="H126" s="330"/>
      <c r="I126" s="330"/>
      <c r="J126" s="330"/>
      <c r="K126" s="330"/>
      <c r="L126" s="330"/>
      <c r="M126" s="330">
        <f>M125</f>
        <v>1</v>
      </c>
      <c r="N126" s="330">
        <f>C126*D126*E126*M126</f>
        <v>0.81</v>
      </c>
      <c r="O126" s="349" t="s">
        <v>103</v>
      </c>
      <c r="P126" s="784">
        <f>ROUND((N126),2)</f>
        <v>0.81</v>
      </c>
      <c r="Q126" s="398"/>
      <c r="R126" s="779"/>
      <c r="S126" s="398"/>
      <c r="T126" s="398"/>
      <c r="U126" s="398"/>
      <c r="V126" s="738"/>
      <c r="W126" s="738"/>
      <c r="X126" s="738"/>
    </row>
    <row r="127" spans="1:24" ht="15.75" customHeight="1">
      <c r="A127" s="350">
        <f>A122+1</f>
        <v>13</v>
      </c>
      <c r="B127" s="351" t="s">
        <v>933</v>
      </c>
      <c r="C127" s="330"/>
      <c r="D127" s="330"/>
      <c r="E127" s="330"/>
      <c r="F127" s="330"/>
      <c r="G127" s="330"/>
      <c r="H127" s="330"/>
      <c r="I127" s="330"/>
      <c r="J127" s="330"/>
      <c r="K127" s="330"/>
      <c r="L127" s="330"/>
      <c r="M127" s="330"/>
      <c r="N127" s="401"/>
      <c r="O127" s="349"/>
      <c r="P127" s="784"/>
      <c r="Q127" s="398"/>
      <c r="R127" s="779"/>
      <c r="S127" s="398"/>
      <c r="T127" s="398"/>
      <c r="U127" s="398"/>
      <c r="V127" s="738"/>
      <c r="W127" s="738"/>
      <c r="X127" s="738"/>
    </row>
    <row r="128" spans="1:24" ht="15.75" customHeight="1">
      <c r="A128" s="355" t="s">
        <v>95</v>
      </c>
      <c r="B128" s="351" t="s">
        <v>1134</v>
      </c>
      <c r="C128" s="382"/>
      <c r="D128" s="330"/>
      <c r="E128" s="330"/>
      <c r="F128" s="330"/>
      <c r="G128" s="330"/>
      <c r="H128" s="330"/>
      <c r="I128" s="330"/>
      <c r="J128" s="330"/>
      <c r="K128" s="330"/>
      <c r="L128" s="330"/>
      <c r="M128" s="382"/>
      <c r="N128" s="401"/>
      <c r="O128" s="349"/>
      <c r="P128" s="784"/>
      <c r="Q128" s="398"/>
      <c r="R128" s="779"/>
      <c r="S128" s="398"/>
      <c r="T128" s="398"/>
      <c r="U128" s="398"/>
      <c r="V128" s="738"/>
      <c r="W128" s="738"/>
      <c r="X128" s="738"/>
    </row>
    <row r="129" spans="1:24" ht="15.75" customHeight="1">
      <c r="A129" s="355"/>
      <c r="B129" s="351"/>
      <c r="C129" s="382">
        <v>6</v>
      </c>
      <c r="D129" s="330"/>
      <c r="E129" s="330">
        <v>0.2</v>
      </c>
      <c r="F129" s="330"/>
      <c r="G129" s="330"/>
      <c r="H129" s="330"/>
      <c r="I129" s="330"/>
      <c r="J129" s="330"/>
      <c r="K129" s="330">
        <v>2</v>
      </c>
      <c r="L129" s="330"/>
      <c r="M129" s="382">
        <v>1</v>
      </c>
      <c r="N129" s="382">
        <f>C129*E129*K129*M129</f>
        <v>2.4000000000000004</v>
      </c>
      <c r="O129" s="349"/>
      <c r="P129" s="784"/>
      <c r="Q129" s="398"/>
      <c r="R129" s="779"/>
      <c r="S129" s="398"/>
      <c r="T129" s="398"/>
      <c r="U129" s="398"/>
      <c r="V129" s="738"/>
      <c r="W129" s="738"/>
      <c r="X129" s="738"/>
    </row>
    <row r="130" spans="1:24" ht="15.75" customHeight="1">
      <c r="A130" s="355"/>
      <c r="B130" s="351"/>
      <c r="C130" s="382">
        <f>C129</f>
        <v>6</v>
      </c>
      <c r="D130" s="330">
        <v>0.15</v>
      </c>
      <c r="E130" s="330"/>
      <c r="F130" s="330"/>
      <c r="G130" s="330"/>
      <c r="H130" s="330"/>
      <c r="I130" s="330"/>
      <c r="J130" s="330"/>
      <c r="K130" s="330">
        <v>1</v>
      </c>
      <c r="L130" s="330"/>
      <c r="M130" s="382">
        <f>M129</f>
        <v>1</v>
      </c>
      <c r="N130" s="624">
        <f>C130*D130*K130*M130</f>
        <v>0.89999999999999991</v>
      </c>
      <c r="O130" s="349"/>
      <c r="P130" s="784"/>
      <c r="Q130" s="398"/>
      <c r="R130" s="779"/>
      <c r="S130" s="398"/>
      <c r="T130" s="398"/>
      <c r="U130" s="398"/>
      <c r="V130" s="738"/>
      <c r="W130" s="738"/>
      <c r="X130" s="738"/>
    </row>
    <row r="131" spans="1:24" ht="15.75" customHeight="1">
      <c r="A131" s="355"/>
      <c r="B131" s="351"/>
      <c r="C131" s="382"/>
      <c r="D131" s="330"/>
      <c r="E131" s="330"/>
      <c r="F131" s="330"/>
      <c r="G131" s="330"/>
      <c r="H131" s="330"/>
      <c r="I131" s="330"/>
      <c r="J131" s="330"/>
      <c r="K131" s="330"/>
      <c r="L131" s="330"/>
      <c r="M131" s="382"/>
      <c r="N131" s="401">
        <f>SUM(N127:N130)/2</f>
        <v>1.6500000000000001</v>
      </c>
      <c r="O131" s="349" t="s">
        <v>89</v>
      </c>
      <c r="P131" s="784">
        <f>ROUND((N131),2)</f>
        <v>1.65</v>
      </c>
      <c r="Q131" s="398"/>
      <c r="R131" s="779"/>
      <c r="S131" s="398"/>
      <c r="T131" s="398"/>
      <c r="U131" s="398"/>
      <c r="V131" s="738"/>
      <c r="W131" s="738"/>
      <c r="X131" s="738"/>
    </row>
    <row r="132" spans="1:24" ht="15.75" customHeight="1">
      <c r="A132" s="355" t="s">
        <v>98</v>
      </c>
      <c r="B132" s="351" t="s">
        <v>928</v>
      </c>
      <c r="C132" s="382">
        <f>C129</f>
        <v>6</v>
      </c>
      <c r="D132" s="330"/>
      <c r="E132" s="330"/>
      <c r="F132" s="330"/>
      <c r="G132" s="330"/>
      <c r="H132" s="330"/>
      <c r="I132" s="330"/>
      <c r="J132" s="382">
        <f>13*13*0.006165</f>
        <v>1.041885</v>
      </c>
      <c r="K132" s="330"/>
      <c r="L132" s="330">
        <v>4</v>
      </c>
      <c r="M132" s="382">
        <f>M130</f>
        <v>1</v>
      </c>
      <c r="N132" s="401">
        <f>C132*J132*L132*M132</f>
        <v>25.005240000000001</v>
      </c>
      <c r="O132" s="349" t="s">
        <v>100</v>
      </c>
      <c r="P132" s="784">
        <f>ROUND((N132),2)</f>
        <v>25.01</v>
      </c>
      <c r="Q132" s="398"/>
      <c r="R132" s="779"/>
      <c r="S132" s="398"/>
      <c r="T132" s="398"/>
      <c r="U132" s="398"/>
      <c r="V132" s="738"/>
      <c r="W132" s="738"/>
      <c r="X132" s="738"/>
    </row>
    <row r="133" spans="1:24" ht="15.75" customHeight="1">
      <c r="A133" s="355" t="s">
        <v>101</v>
      </c>
      <c r="B133" s="351" t="s">
        <v>905</v>
      </c>
      <c r="C133" s="382">
        <f>0.1*4</f>
        <v>0.4</v>
      </c>
      <c r="D133" s="330"/>
      <c r="E133" s="330"/>
      <c r="F133" s="330">
        <v>0.1</v>
      </c>
      <c r="G133" s="330"/>
      <c r="H133" s="330"/>
      <c r="I133" s="330"/>
      <c r="J133" s="330">
        <f>8*8*0.006165</f>
        <v>0.39456000000000002</v>
      </c>
      <c r="K133" s="330"/>
      <c r="L133" s="382">
        <f>ROUNDUP((C132/0.125),0.5)</f>
        <v>48</v>
      </c>
      <c r="M133" s="382">
        <f>M132</f>
        <v>1</v>
      </c>
      <c r="N133" s="382">
        <f>(C133+F133)*J133*L133*M133</f>
        <v>9.4694400000000005</v>
      </c>
      <c r="O133" s="349" t="s">
        <v>100</v>
      </c>
      <c r="P133" s="784">
        <f>ROUND((N133),2)</f>
        <v>9.4700000000000006</v>
      </c>
      <c r="Q133" s="398"/>
      <c r="R133" s="779"/>
      <c r="S133" s="398"/>
      <c r="T133" s="398"/>
      <c r="U133" s="398"/>
      <c r="V133" s="738"/>
      <c r="W133" s="738"/>
      <c r="X133" s="738"/>
    </row>
    <row r="134" spans="1:24" ht="15.75" customHeight="1">
      <c r="A134" s="355" t="s">
        <v>121</v>
      </c>
      <c r="B134" s="356" t="s">
        <v>429</v>
      </c>
      <c r="C134" s="382">
        <f>C132</f>
        <v>6</v>
      </c>
      <c r="D134" s="330">
        <v>0.15</v>
      </c>
      <c r="E134" s="330">
        <v>0.2</v>
      </c>
      <c r="F134" s="330"/>
      <c r="G134" s="330"/>
      <c r="H134" s="330"/>
      <c r="I134" s="330"/>
      <c r="J134" s="330"/>
      <c r="K134" s="330"/>
      <c r="L134" s="330"/>
      <c r="M134" s="382">
        <f>M133</f>
        <v>1</v>
      </c>
      <c r="N134" s="330">
        <f>C134*D134*E134*M134</f>
        <v>0.18</v>
      </c>
      <c r="O134" s="349" t="s">
        <v>103</v>
      </c>
      <c r="P134" s="784">
        <f>ROUND((N134),2)</f>
        <v>0.18</v>
      </c>
      <c r="Q134" s="398"/>
      <c r="R134" s="779"/>
      <c r="S134" s="398"/>
      <c r="T134" s="398"/>
      <c r="U134" s="398"/>
      <c r="V134" s="738"/>
      <c r="W134" s="738"/>
      <c r="X134" s="738"/>
    </row>
    <row r="135" spans="1:24" s="554" customFormat="1" ht="15.75" customHeight="1">
      <c r="A135" s="350">
        <f>A127+1</f>
        <v>14</v>
      </c>
      <c r="B135" s="359" t="s">
        <v>424</v>
      </c>
      <c r="C135" s="348"/>
      <c r="D135" s="348"/>
      <c r="E135" s="348"/>
      <c r="F135" s="348"/>
      <c r="G135" s="348"/>
      <c r="H135" s="348"/>
      <c r="I135" s="348"/>
      <c r="J135" s="348"/>
      <c r="K135" s="348"/>
      <c r="L135" s="348"/>
      <c r="M135" s="348"/>
      <c r="N135" s="348"/>
      <c r="O135" s="349"/>
      <c r="P135" s="784"/>
      <c r="Q135" s="398"/>
      <c r="R135" s="564"/>
      <c r="S135" s="398"/>
      <c r="T135" s="398"/>
      <c r="U135" s="398"/>
      <c r="V135" s="555"/>
      <c r="W135" s="555"/>
      <c r="X135" s="555"/>
    </row>
    <row r="136" spans="1:24" s="554" customFormat="1" ht="15.75" customHeight="1">
      <c r="A136" s="350"/>
      <c r="B136" s="359" t="s">
        <v>1010</v>
      </c>
      <c r="C136" s="348"/>
      <c r="D136" s="348"/>
      <c r="E136" s="348"/>
      <c r="F136" s="348"/>
      <c r="G136" s="348"/>
      <c r="H136" s="348"/>
      <c r="I136" s="348"/>
      <c r="J136" s="348"/>
      <c r="K136" s="348"/>
      <c r="L136" s="348"/>
      <c r="M136" s="348"/>
      <c r="N136" s="348"/>
      <c r="O136" s="349"/>
      <c r="P136" s="784"/>
      <c r="Q136" s="398"/>
      <c r="R136" s="564"/>
      <c r="S136" s="398"/>
      <c r="T136" s="398"/>
      <c r="U136" s="398"/>
      <c r="V136" s="555"/>
      <c r="W136" s="555"/>
      <c r="X136" s="555"/>
    </row>
    <row r="137" spans="1:24" s="554" customFormat="1" ht="15.75" customHeight="1">
      <c r="A137" s="355" t="s">
        <v>95</v>
      </c>
      <c r="B137" s="359" t="s">
        <v>423</v>
      </c>
      <c r="C137" s="348"/>
      <c r="D137" s="348"/>
      <c r="E137" s="348"/>
      <c r="F137" s="348"/>
      <c r="G137" s="348"/>
      <c r="H137" s="348"/>
      <c r="I137" s="348"/>
      <c r="J137" s="348"/>
      <c r="K137" s="348"/>
      <c r="L137" s="348"/>
      <c r="M137" s="348"/>
      <c r="N137" s="348"/>
      <c r="O137" s="349"/>
      <c r="P137" s="784"/>
      <c r="Q137" s="398"/>
      <c r="R137" s="564"/>
      <c r="S137" s="398"/>
      <c r="T137" s="398"/>
      <c r="U137" s="398"/>
      <c r="V137" s="555"/>
      <c r="W137" s="555"/>
      <c r="X137" s="555"/>
    </row>
    <row r="138" spans="1:24" s="554" customFormat="1" ht="15.75" customHeight="1">
      <c r="A138" s="355"/>
      <c r="B138" s="567" t="s">
        <v>1010</v>
      </c>
      <c r="C138" s="348">
        <f>C258</f>
        <v>4.8339999999999996</v>
      </c>
      <c r="D138" s="348"/>
      <c r="E138" s="348">
        <v>0.2</v>
      </c>
      <c r="F138" s="348"/>
      <c r="G138" s="348"/>
      <c r="H138" s="348">
        <v>2</v>
      </c>
      <c r="I138" s="348"/>
      <c r="J138" s="348"/>
      <c r="K138" s="348"/>
      <c r="L138" s="348"/>
      <c r="M138" s="348">
        <v>4</v>
      </c>
      <c r="N138" s="348">
        <f>C138*E138*H138*M138</f>
        <v>7.7343999999999999</v>
      </c>
      <c r="O138" s="349"/>
      <c r="P138" s="784"/>
      <c r="Q138" s="398"/>
      <c r="R138" s="564"/>
      <c r="S138" s="398"/>
      <c r="T138" s="398"/>
      <c r="U138" s="398"/>
      <c r="V138" s="555"/>
      <c r="W138" s="555"/>
      <c r="X138" s="555"/>
    </row>
    <row r="139" spans="1:24" s="554" customFormat="1" ht="15.75" customHeight="1">
      <c r="A139" s="355"/>
      <c r="B139" s="359"/>
      <c r="C139" s="348">
        <f>C138</f>
        <v>4.8339999999999996</v>
      </c>
      <c r="D139" s="348">
        <v>0.15</v>
      </c>
      <c r="E139" s="348"/>
      <c r="F139" s="348"/>
      <c r="G139" s="348"/>
      <c r="H139" s="348">
        <v>1</v>
      </c>
      <c r="I139" s="348"/>
      <c r="J139" s="348"/>
      <c r="K139" s="348"/>
      <c r="L139" s="348"/>
      <c r="M139" s="348">
        <f>M138</f>
        <v>4</v>
      </c>
      <c r="N139" s="348">
        <f>C139*D139*H139*M139</f>
        <v>2.9003999999999999</v>
      </c>
      <c r="O139" s="349"/>
      <c r="P139" s="784"/>
      <c r="Q139" s="398"/>
      <c r="R139" s="564"/>
      <c r="S139" s="398"/>
      <c r="T139" s="398"/>
      <c r="U139" s="398"/>
      <c r="V139" s="555"/>
      <c r="W139" s="555"/>
      <c r="X139" s="555"/>
    </row>
    <row r="140" spans="1:24" s="554" customFormat="1" ht="15.75" customHeight="1">
      <c r="A140" s="355"/>
      <c r="B140" s="567" t="s">
        <v>1011</v>
      </c>
      <c r="C140" s="348">
        <v>2</v>
      </c>
      <c r="D140" s="348"/>
      <c r="E140" s="348">
        <v>0.2</v>
      </c>
      <c r="F140" s="348"/>
      <c r="G140" s="348"/>
      <c r="H140" s="348">
        <v>2</v>
      </c>
      <c r="I140" s="348"/>
      <c r="J140" s="348"/>
      <c r="K140" s="348"/>
      <c r="L140" s="348"/>
      <c r="M140" s="348">
        <v>4</v>
      </c>
      <c r="N140" s="348">
        <f>C140*E140*H140*M140</f>
        <v>3.2</v>
      </c>
      <c r="O140" s="349"/>
      <c r="P140" s="784"/>
      <c r="Q140" s="398"/>
      <c r="R140" s="564"/>
      <c r="S140" s="398"/>
      <c r="T140" s="398"/>
      <c r="U140" s="398"/>
      <c r="V140" s="555"/>
      <c r="W140" s="555"/>
      <c r="X140" s="555"/>
    </row>
    <row r="141" spans="1:24" s="554" customFormat="1" ht="15.75" customHeight="1">
      <c r="A141" s="355"/>
      <c r="B141" s="359"/>
      <c r="C141" s="348">
        <f>C140</f>
        <v>2</v>
      </c>
      <c r="D141" s="348">
        <f>D139</f>
        <v>0.15</v>
      </c>
      <c r="E141" s="348"/>
      <c r="F141" s="348"/>
      <c r="G141" s="348"/>
      <c r="H141" s="348">
        <v>1</v>
      </c>
      <c r="I141" s="348"/>
      <c r="J141" s="348"/>
      <c r="K141" s="348"/>
      <c r="L141" s="348"/>
      <c r="M141" s="348">
        <f>M140</f>
        <v>4</v>
      </c>
      <c r="N141" s="565">
        <f>C141*D141*H141*M141</f>
        <v>1.2</v>
      </c>
      <c r="O141" s="349"/>
      <c r="P141" s="784"/>
      <c r="Q141" s="398"/>
      <c r="R141" s="564"/>
      <c r="S141" s="398"/>
      <c r="T141" s="398"/>
      <c r="U141" s="398"/>
      <c r="V141" s="555"/>
      <c r="W141" s="555"/>
      <c r="X141" s="555"/>
    </row>
    <row r="142" spans="1:24" s="554" customFormat="1" ht="15.75" customHeight="1">
      <c r="A142" s="355"/>
      <c r="B142" s="359"/>
      <c r="C142" s="348"/>
      <c r="D142" s="348"/>
      <c r="E142" s="348"/>
      <c r="F142" s="348"/>
      <c r="G142" s="348"/>
      <c r="H142" s="348"/>
      <c r="I142" s="348"/>
      <c r="J142" s="348"/>
      <c r="K142" s="348"/>
      <c r="L142" s="348"/>
      <c r="M142" s="348"/>
      <c r="N142" s="343">
        <f>SUM(N138:N141)/2</f>
        <v>7.5174000000000003</v>
      </c>
      <c r="O142" s="349" t="s">
        <v>89</v>
      </c>
      <c r="P142" s="784">
        <f>ROUND((N142),2)</f>
        <v>7.52</v>
      </c>
      <c r="Q142" s="398"/>
      <c r="R142" s="564"/>
      <c r="S142" s="398"/>
      <c r="T142" s="398"/>
      <c r="U142" s="398"/>
      <c r="V142" s="555"/>
      <c r="W142" s="555"/>
      <c r="X142" s="555"/>
    </row>
    <row r="143" spans="1:24" s="554" customFormat="1" ht="15.75" customHeight="1">
      <c r="A143" s="355" t="s">
        <v>98</v>
      </c>
      <c r="B143" s="359" t="s">
        <v>741</v>
      </c>
      <c r="C143" s="348"/>
      <c r="D143" s="348"/>
      <c r="E143" s="348"/>
      <c r="F143" s="348"/>
      <c r="G143" s="348"/>
      <c r="H143" s="348"/>
      <c r="I143" s="348"/>
      <c r="J143" s="348"/>
      <c r="K143" s="348"/>
      <c r="L143" s="348"/>
      <c r="M143" s="348"/>
      <c r="N143" s="348"/>
      <c r="O143" s="349"/>
      <c r="P143" s="784"/>
      <c r="Q143" s="398"/>
      <c r="R143" s="564"/>
      <c r="S143" s="398"/>
      <c r="T143" s="398"/>
      <c r="U143" s="398"/>
      <c r="V143" s="555"/>
      <c r="W143" s="555"/>
      <c r="X143" s="555"/>
    </row>
    <row r="144" spans="1:24" s="554" customFormat="1" ht="15.75" customHeight="1">
      <c r="A144" s="355"/>
      <c r="B144" s="567" t="s">
        <v>1010</v>
      </c>
      <c r="C144" s="348">
        <f>C258</f>
        <v>4.8339999999999996</v>
      </c>
      <c r="D144" s="348"/>
      <c r="E144" s="348"/>
      <c r="F144" s="348">
        <v>5</v>
      </c>
      <c r="G144" s="348"/>
      <c r="H144" s="348"/>
      <c r="I144" s="348">
        <v>0.1</v>
      </c>
      <c r="J144" s="348"/>
      <c r="K144" s="348"/>
      <c r="L144" s="348">
        <f>0.006165*10*10</f>
        <v>0.61650000000000005</v>
      </c>
      <c r="M144" s="348">
        <f>M138</f>
        <v>4</v>
      </c>
      <c r="N144" s="348">
        <f>(C144+I144)*F144*L144*M144</f>
        <v>60.83621999999999</v>
      </c>
      <c r="O144" s="349"/>
      <c r="P144" s="784"/>
      <c r="Q144" s="398"/>
      <c r="R144" s="564"/>
      <c r="S144" s="398"/>
      <c r="T144" s="398"/>
      <c r="U144" s="398"/>
      <c r="V144" s="555"/>
      <c r="W144" s="555"/>
      <c r="X144" s="555"/>
    </row>
    <row r="145" spans="1:24" s="554" customFormat="1" ht="15.75" customHeight="1">
      <c r="A145" s="355"/>
      <c r="B145" s="567" t="s">
        <v>1011</v>
      </c>
      <c r="C145" s="348">
        <f>C141</f>
        <v>2</v>
      </c>
      <c r="D145" s="348"/>
      <c r="E145" s="348"/>
      <c r="F145" s="348">
        <v>5</v>
      </c>
      <c r="G145" s="348"/>
      <c r="H145" s="348"/>
      <c r="I145" s="348">
        <f>I144</f>
        <v>0.1</v>
      </c>
      <c r="J145" s="348"/>
      <c r="K145" s="348"/>
      <c r="L145" s="348">
        <f>L144</f>
        <v>0.61650000000000005</v>
      </c>
      <c r="M145" s="348">
        <f>M144</f>
        <v>4</v>
      </c>
      <c r="N145" s="565">
        <f>(C145+I145)*F145*L145*M145</f>
        <v>25.893000000000001</v>
      </c>
      <c r="O145" s="349"/>
      <c r="P145" s="784"/>
      <c r="Q145" s="398"/>
      <c r="R145" s="564"/>
      <c r="S145" s="398"/>
      <c r="T145" s="398"/>
      <c r="U145" s="398"/>
      <c r="V145" s="555"/>
      <c r="W145" s="555"/>
      <c r="X145" s="555"/>
    </row>
    <row r="146" spans="1:24" s="554" customFormat="1" ht="15.75" customHeight="1">
      <c r="A146" s="355"/>
      <c r="B146" s="359"/>
      <c r="C146" s="348"/>
      <c r="D146" s="348"/>
      <c r="E146" s="348"/>
      <c r="F146" s="348"/>
      <c r="G146" s="348"/>
      <c r="H146" s="348"/>
      <c r="I146" s="348"/>
      <c r="J146" s="348"/>
      <c r="K146" s="348"/>
      <c r="L146" s="348"/>
      <c r="M146" s="348"/>
      <c r="N146" s="343">
        <f>SUM(N144:N145)</f>
        <v>86.729219999999998</v>
      </c>
      <c r="O146" s="349" t="s">
        <v>100</v>
      </c>
      <c r="P146" s="784">
        <f>ROUND((N146),2)</f>
        <v>86.73</v>
      </c>
      <c r="Q146" s="398"/>
      <c r="R146" s="564"/>
      <c r="S146" s="398"/>
      <c r="T146" s="398"/>
      <c r="U146" s="398"/>
      <c r="V146" s="555"/>
      <c r="W146" s="555"/>
      <c r="X146" s="555"/>
    </row>
    <row r="147" spans="1:24" s="554" customFormat="1" ht="15.75" customHeight="1">
      <c r="A147" s="355" t="s">
        <v>101</v>
      </c>
      <c r="B147" s="359" t="s">
        <v>428</v>
      </c>
      <c r="C147" s="348"/>
      <c r="D147" s="348"/>
      <c r="E147" s="348"/>
      <c r="F147" s="348"/>
      <c r="G147" s="348"/>
      <c r="H147" s="348"/>
      <c r="I147" s="348"/>
      <c r="J147" s="348"/>
      <c r="K147" s="348"/>
      <c r="L147" s="348"/>
      <c r="M147" s="348"/>
      <c r="N147" s="348"/>
      <c r="O147" s="349"/>
      <c r="P147" s="784"/>
      <c r="Q147" s="398"/>
      <c r="R147" s="564"/>
      <c r="S147" s="398"/>
      <c r="T147" s="398"/>
      <c r="U147" s="398"/>
      <c r="V147" s="555"/>
      <c r="W147" s="555"/>
      <c r="X147" s="555"/>
    </row>
    <row r="148" spans="1:24" s="554" customFormat="1" ht="15.75" customHeight="1">
      <c r="A148" s="355"/>
      <c r="B148" s="567" t="s">
        <v>1010</v>
      </c>
      <c r="C148" s="348">
        <f>(0.09+0.14)*2</f>
        <v>0.46</v>
      </c>
      <c r="D148" s="348"/>
      <c r="E148" s="348"/>
      <c r="F148" s="348">
        <f>ROUNDDOWN((C144/0.125),0.1)</f>
        <v>38</v>
      </c>
      <c r="G148" s="348"/>
      <c r="H148" s="348"/>
      <c r="I148" s="348">
        <v>0.1</v>
      </c>
      <c r="J148" s="348"/>
      <c r="K148" s="348"/>
      <c r="L148" s="348">
        <f>0.00615*8*8</f>
        <v>0.39360000000000001</v>
      </c>
      <c r="M148" s="348">
        <f>M144</f>
        <v>4</v>
      </c>
      <c r="N148" s="348">
        <f>(C148+I148)*F148*L148*M148</f>
        <v>33.503232000000004</v>
      </c>
      <c r="O148" s="349"/>
      <c r="P148" s="784"/>
      <c r="Q148" s="398"/>
      <c r="R148" s="564"/>
      <c r="S148" s="398"/>
      <c r="T148" s="398"/>
      <c r="U148" s="398"/>
      <c r="V148" s="555"/>
      <c r="W148" s="555"/>
      <c r="X148" s="555"/>
    </row>
    <row r="149" spans="1:24" s="554" customFormat="1" ht="15.75" customHeight="1">
      <c r="A149" s="355"/>
      <c r="B149" s="567" t="s">
        <v>1011</v>
      </c>
      <c r="C149" s="348">
        <f>(0.09+0.14)*2</f>
        <v>0.46</v>
      </c>
      <c r="D149" s="348"/>
      <c r="E149" s="348"/>
      <c r="F149" s="348">
        <f>ROUNDDOWN((C145/0.125),0.1)</f>
        <v>16</v>
      </c>
      <c r="G149" s="348"/>
      <c r="H149" s="348"/>
      <c r="I149" s="348">
        <v>0.1</v>
      </c>
      <c r="J149" s="348"/>
      <c r="K149" s="348"/>
      <c r="L149" s="348">
        <f>L148</f>
        <v>0.39360000000000001</v>
      </c>
      <c r="M149" s="348">
        <f>M145</f>
        <v>4</v>
      </c>
      <c r="N149" s="348">
        <f>(C149+I149)*F149*L149*M149</f>
        <v>14.106624000000002</v>
      </c>
      <c r="O149" s="349"/>
      <c r="P149" s="784"/>
      <c r="Q149" s="398"/>
      <c r="R149" s="564"/>
      <c r="S149" s="398"/>
      <c r="T149" s="398"/>
      <c r="U149" s="398"/>
      <c r="V149" s="555"/>
      <c r="W149" s="555"/>
      <c r="X149" s="555"/>
    </row>
    <row r="150" spans="1:24" s="554" customFormat="1" ht="15.75" customHeight="1">
      <c r="A150" s="355"/>
      <c r="B150" s="359"/>
      <c r="C150" s="348"/>
      <c r="D150" s="348"/>
      <c r="E150" s="348"/>
      <c r="F150" s="348"/>
      <c r="G150" s="348"/>
      <c r="H150" s="348"/>
      <c r="I150" s="348"/>
      <c r="J150" s="348"/>
      <c r="K150" s="348"/>
      <c r="L150" s="348"/>
      <c r="M150" s="348"/>
      <c r="N150" s="343">
        <f>SUM(N148:N149)</f>
        <v>47.609856000000008</v>
      </c>
      <c r="O150" s="349" t="s">
        <v>100</v>
      </c>
      <c r="P150" s="784">
        <f>ROUND((N150),2)</f>
        <v>47.61</v>
      </c>
      <c r="Q150" s="398"/>
      <c r="R150" s="564"/>
      <c r="S150" s="398"/>
      <c r="T150" s="398"/>
      <c r="U150" s="398"/>
      <c r="V150" s="555"/>
      <c r="W150" s="555"/>
      <c r="X150" s="555"/>
    </row>
    <row r="151" spans="1:24" s="554" customFormat="1" ht="15.75" customHeight="1">
      <c r="A151" s="355" t="s">
        <v>121</v>
      </c>
      <c r="B151" s="359" t="s">
        <v>1043</v>
      </c>
      <c r="C151" s="348"/>
      <c r="D151" s="348"/>
      <c r="E151" s="348"/>
      <c r="F151" s="348"/>
      <c r="G151" s="348"/>
      <c r="H151" s="348"/>
      <c r="I151" s="348"/>
      <c r="J151" s="348"/>
      <c r="K151" s="348"/>
      <c r="L151" s="348"/>
      <c r="M151" s="348"/>
      <c r="N151" s="348"/>
      <c r="O151" s="349"/>
      <c r="P151" s="784"/>
      <c r="Q151" s="398"/>
      <c r="R151" s="564"/>
      <c r="S151" s="398"/>
      <c r="T151" s="398"/>
      <c r="U151" s="398"/>
      <c r="V151" s="555"/>
      <c r="W151" s="555"/>
      <c r="X151" s="555"/>
    </row>
    <row r="152" spans="1:24" s="554" customFormat="1" ht="15.75" customHeight="1">
      <c r="A152" s="355"/>
      <c r="B152" s="567" t="s">
        <v>1010</v>
      </c>
      <c r="C152" s="348">
        <f>C144</f>
        <v>4.8339999999999996</v>
      </c>
      <c r="D152" s="348">
        <f>D139</f>
        <v>0.15</v>
      </c>
      <c r="E152" s="348">
        <f>E138</f>
        <v>0.2</v>
      </c>
      <c r="F152" s="348"/>
      <c r="G152" s="348"/>
      <c r="H152" s="348"/>
      <c r="I152" s="348"/>
      <c r="J152" s="348"/>
      <c r="K152" s="348"/>
      <c r="L152" s="348"/>
      <c r="M152" s="348">
        <f>M148</f>
        <v>4</v>
      </c>
      <c r="N152" s="348">
        <f>C152*D152*E152*M152</f>
        <v>0.58008000000000004</v>
      </c>
      <c r="O152" s="349"/>
      <c r="P152" s="784"/>
      <c r="Q152" s="398"/>
      <c r="R152" s="564"/>
      <c r="S152" s="398"/>
      <c r="T152" s="398"/>
      <c r="U152" s="398"/>
      <c r="V152" s="555"/>
      <c r="W152" s="555"/>
      <c r="X152" s="555"/>
    </row>
    <row r="153" spans="1:24" s="554" customFormat="1" ht="15.75" customHeight="1">
      <c r="A153" s="355"/>
      <c r="B153" s="567" t="s">
        <v>1011</v>
      </c>
      <c r="C153" s="348">
        <f>C145</f>
        <v>2</v>
      </c>
      <c r="D153" s="348">
        <f>D152</f>
        <v>0.15</v>
      </c>
      <c r="E153" s="348">
        <f>E152</f>
        <v>0.2</v>
      </c>
      <c r="F153" s="348"/>
      <c r="G153" s="348"/>
      <c r="H153" s="348"/>
      <c r="I153" s="348"/>
      <c r="J153" s="348"/>
      <c r="K153" s="348"/>
      <c r="L153" s="348"/>
      <c r="M153" s="348">
        <f>M149</f>
        <v>4</v>
      </c>
      <c r="N153" s="565">
        <f>C153*D153*E153*M153</f>
        <v>0.24</v>
      </c>
      <c r="O153" s="349"/>
      <c r="P153" s="784"/>
      <c r="Q153" s="398"/>
      <c r="R153" s="564"/>
      <c r="S153" s="398"/>
      <c r="T153" s="398"/>
      <c r="U153" s="398"/>
      <c r="V153" s="555"/>
      <c r="W153" s="555"/>
      <c r="X153" s="555"/>
    </row>
    <row r="154" spans="1:24" s="554" customFormat="1" ht="15.75" customHeight="1">
      <c r="A154" s="355"/>
      <c r="B154" s="359"/>
      <c r="C154" s="348"/>
      <c r="D154" s="348"/>
      <c r="E154" s="348"/>
      <c r="F154" s="348"/>
      <c r="G154" s="348"/>
      <c r="H154" s="348"/>
      <c r="I154" s="348"/>
      <c r="J154" s="348"/>
      <c r="K154" s="348"/>
      <c r="L154" s="348"/>
      <c r="M154" s="348"/>
      <c r="N154" s="343">
        <f>SUM(N152:N153)</f>
        <v>0.82008000000000003</v>
      </c>
      <c r="O154" s="349" t="s">
        <v>103</v>
      </c>
      <c r="P154" s="784">
        <f>ROUND((N154),2)</f>
        <v>0.82</v>
      </c>
      <c r="Q154" s="398"/>
      <c r="R154" s="564"/>
      <c r="S154" s="398"/>
      <c r="T154" s="398"/>
      <c r="U154" s="398"/>
      <c r="V154" s="555"/>
      <c r="W154" s="555"/>
      <c r="X154" s="555"/>
    </row>
    <row r="155" spans="1:24" s="554" customFormat="1" ht="15.75" customHeight="1">
      <c r="A155" s="350"/>
      <c r="B155" s="359" t="s">
        <v>1166</v>
      </c>
      <c r="C155" s="348"/>
      <c r="D155" s="348"/>
      <c r="E155" s="348"/>
      <c r="F155" s="348"/>
      <c r="G155" s="348"/>
      <c r="H155" s="348"/>
      <c r="I155" s="348"/>
      <c r="J155" s="348"/>
      <c r="K155" s="348"/>
      <c r="L155" s="348"/>
      <c r="M155" s="348"/>
      <c r="N155" s="348"/>
      <c r="O155" s="349"/>
      <c r="P155" s="784"/>
      <c r="Q155" s="398"/>
      <c r="R155" s="564"/>
      <c r="S155" s="398"/>
      <c r="T155" s="398"/>
      <c r="U155" s="398"/>
      <c r="V155" s="555"/>
      <c r="W155" s="555"/>
      <c r="X155" s="555"/>
    </row>
    <row r="156" spans="1:24" s="554" customFormat="1" ht="15.75" customHeight="1">
      <c r="A156" s="355" t="s">
        <v>95</v>
      </c>
      <c r="B156" s="359" t="s">
        <v>423</v>
      </c>
      <c r="C156" s="348"/>
      <c r="D156" s="348"/>
      <c r="E156" s="348"/>
      <c r="F156" s="348"/>
      <c r="G156" s="348"/>
      <c r="H156" s="348"/>
      <c r="I156" s="348"/>
      <c r="J156" s="348"/>
      <c r="K156" s="348"/>
      <c r="L156" s="348"/>
      <c r="M156" s="348"/>
      <c r="N156" s="348"/>
      <c r="O156" s="349"/>
      <c r="P156" s="784"/>
      <c r="Q156" s="398"/>
      <c r="R156" s="564"/>
      <c r="S156" s="398"/>
      <c r="T156" s="398"/>
      <c r="U156" s="398"/>
      <c r="V156" s="555"/>
      <c r="W156" s="555"/>
      <c r="X156" s="555"/>
    </row>
    <row r="157" spans="1:24" s="554" customFormat="1" ht="15.75" customHeight="1">
      <c r="A157" s="355"/>
      <c r="B157" s="567"/>
      <c r="C157" s="348">
        <v>1</v>
      </c>
      <c r="D157" s="348">
        <v>0.15</v>
      </c>
      <c r="E157" s="348">
        <v>0.2</v>
      </c>
      <c r="F157" s="348">
        <v>2</v>
      </c>
      <c r="G157" s="348"/>
      <c r="H157" s="348"/>
      <c r="I157" s="348"/>
      <c r="J157" s="348"/>
      <c r="K157" s="348"/>
      <c r="L157" s="348"/>
      <c r="M157" s="348">
        <v>4</v>
      </c>
      <c r="N157" s="348">
        <f>C157*((E157+D157)*2)*F157*M157</f>
        <v>5.6</v>
      </c>
      <c r="O157" s="349"/>
      <c r="P157" s="784"/>
      <c r="Q157" s="398"/>
      <c r="R157" s="564"/>
      <c r="S157" s="398"/>
      <c r="T157" s="398"/>
      <c r="U157" s="398"/>
      <c r="V157" s="555"/>
      <c r="W157" s="555"/>
      <c r="X157" s="555"/>
    </row>
    <row r="158" spans="1:24" s="554" customFormat="1" ht="15.75" customHeight="1">
      <c r="A158" s="355"/>
      <c r="B158" s="359"/>
      <c r="C158" s="348"/>
      <c r="D158" s="348"/>
      <c r="E158" s="348"/>
      <c r="F158" s="348"/>
      <c r="G158" s="348"/>
      <c r="H158" s="348"/>
      <c r="I158" s="348"/>
      <c r="J158" s="348"/>
      <c r="K158" s="348"/>
      <c r="L158" s="348"/>
      <c r="M158" s="348"/>
      <c r="N158" s="343">
        <f>SUM(N157:N157)/2</f>
        <v>2.8</v>
      </c>
      <c r="O158" s="349" t="s">
        <v>89</v>
      </c>
      <c r="P158" s="784">
        <f>ROUND((N158),2)</f>
        <v>2.8</v>
      </c>
      <c r="Q158" s="398"/>
      <c r="R158" s="564"/>
      <c r="S158" s="398"/>
      <c r="T158" s="398"/>
      <c r="U158" s="398"/>
      <c r="V158" s="555"/>
      <c r="W158" s="555"/>
      <c r="X158" s="555"/>
    </row>
    <row r="159" spans="1:24" s="554" customFormat="1" ht="15.75" customHeight="1">
      <c r="A159" s="355" t="s">
        <v>98</v>
      </c>
      <c r="B159" s="359" t="s">
        <v>928</v>
      </c>
      <c r="C159" s="348"/>
      <c r="D159" s="348"/>
      <c r="E159" s="348"/>
      <c r="F159" s="348"/>
      <c r="G159" s="348"/>
      <c r="H159" s="348"/>
      <c r="I159" s="348"/>
      <c r="J159" s="348"/>
      <c r="K159" s="348"/>
      <c r="L159" s="348"/>
      <c r="M159" s="348"/>
      <c r="N159" s="348"/>
      <c r="O159" s="349"/>
      <c r="P159" s="784"/>
      <c r="Q159" s="398"/>
      <c r="R159" s="564"/>
      <c r="S159" s="398"/>
      <c r="T159" s="398"/>
      <c r="U159" s="398"/>
      <c r="V159" s="555"/>
      <c r="W159" s="555"/>
      <c r="X159" s="555"/>
    </row>
    <row r="160" spans="1:24" s="554" customFormat="1" ht="15.75" customHeight="1">
      <c r="A160" s="355"/>
      <c r="B160" s="567"/>
      <c r="C160" s="348">
        <f>C157</f>
        <v>1</v>
      </c>
      <c r="D160" s="348"/>
      <c r="E160" s="348"/>
      <c r="F160" s="348">
        <v>4</v>
      </c>
      <c r="G160" s="348">
        <v>2</v>
      </c>
      <c r="H160" s="348"/>
      <c r="I160" s="348">
        <v>0.1</v>
      </c>
      <c r="J160" s="348"/>
      <c r="K160" s="348"/>
      <c r="L160" s="348">
        <f>0.006165*13*13</f>
        <v>1.0418850000000002</v>
      </c>
      <c r="M160" s="348">
        <f>M157</f>
        <v>4</v>
      </c>
      <c r="N160" s="565">
        <f>(C160+I160)*F160*L160*M160*G160</f>
        <v>36.674352000000006</v>
      </c>
      <c r="O160" s="349"/>
      <c r="P160" s="784"/>
      <c r="Q160" s="398"/>
      <c r="R160" s="564"/>
      <c r="S160" s="398"/>
      <c r="T160" s="398"/>
      <c r="U160" s="398"/>
      <c r="V160" s="555"/>
      <c r="W160" s="555"/>
      <c r="X160" s="555"/>
    </row>
    <row r="161" spans="1:24" s="554" customFormat="1" ht="15.75" customHeight="1">
      <c r="A161" s="355"/>
      <c r="B161" s="359"/>
      <c r="C161" s="348"/>
      <c r="D161" s="348"/>
      <c r="E161" s="348"/>
      <c r="F161" s="348"/>
      <c r="G161" s="348"/>
      <c r="H161" s="348"/>
      <c r="I161" s="348"/>
      <c r="J161" s="348"/>
      <c r="K161" s="348"/>
      <c r="L161" s="348"/>
      <c r="M161" s="348"/>
      <c r="N161" s="343">
        <f>SUM(N160:N160)</f>
        <v>36.674352000000006</v>
      </c>
      <c r="O161" s="349" t="s">
        <v>100</v>
      </c>
      <c r="P161" s="784">
        <f>ROUND((N161),2)</f>
        <v>36.67</v>
      </c>
      <c r="Q161" s="398"/>
      <c r="R161" s="564"/>
      <c r="S161" s="398"/>
      <c r="T161" s="398"/>
      <c r="U161" s="398"/>
      <c r="V161" s="555"/>
      <c r="W161" s="555"/>
      <c r="X161" s="555"/>
    </row>
    <row r="162" spans="1:24" s="554" customFormat="1" ht="15.75" customHeight="1">
      <c r="A162" s="355" t="s">
        <v>101</v>
      </c>
      <c r="B162" s="359" t="s">
        <v>428</v>
      </c>
      <c r="C162" s="348"/>
      <c r="D162" s="348"/>
      <c r="E162" s="348"/>
      <c r="F162" s="348"/>
      <c r="G162" s="348"/>
      <c r="H162" s="348"/>
      <c r="I162" s="348"/>
      <c r="J162" s="348"/>
      <c r="K162" s="348"/>
      <c r="L162" s="348"/>
      <c r="M162" s="348"/>
      <c r="N162" s="348"/>
      <c r="O162" s="349"/>
      <c r="P162" s="784"/>
      <c r="Q162" s="398"/>
      <c r="R162" s="564"/>
      <c r="S162" s="398"/>
      <c r="T162" s="398"/>
      <c r="U162" s="398"/>
      <c r="V162" s="555"/>
      <c r="W162" s="555"/>
      <c r="X162" s="555"/>
    </row>
    <row r="163" spans="1:24" s="554" customFormat="1" ht="15.75" customHeight="1">
      <c r="A163" s="355"/>
      <c r="B163" s="567"/>
      <c r="C163" s="348">
        <f>(0.09+0.14)*2</f>
        <v>0.46</v>
      </c>
      <c r="D163" s="348"/>
      <c r="E163" s="348"/>
      <c r="F163" s="348">
        <f>ROUNDDOWN((C160/0.125),0.1)</f>
        <v>8</v>
      </c>
      <c r="G163" s="348">
        <v>2</v>
      </c>
      <c r="H163" s="348"/>
      <c r="I163" s="348">
        <v>0.1</v>
      </c>
      <c r="J163" s="348"/>
      <c r="K163" s="348"/>
      <c r="L163" s="348">
        <f>L148</f>
        <v>0.39360000000000001</v>
      </c>
      <c r="M163" s="348">
        <f>M160</f>
        <v>4</v>
      </c>
      <c r="N163" s="565">
        <f>(C163+I163)*F163*L163*M163*G163</f>
        <v>14.106624000000002</v>
      </c>
      <c r="O163" s="349"/>
      <c r="P163" s="784"/>
      <c r="Q163" s="398"/>
      <c r="R163" s="564"/>
      <c r="S163" s="398"/>
      <c r="T163" s="398"/>
      <c r="U163" s="398"/>
      <c r="V163" s="555"/>
      <c r="W163" s="555"/>
      <c r="X163" s="555"/>
    </row>
    <row r="164" spans="1:24" s="554" customFormat="1" ht="15.75" customHeight="1">
      <c r="A164" s="355"/>
      <c r="B164" s="359"/>
      <c r="C164" s="348"/>
      <c r="D164" s="348"/>
      <c r="E164" s="348"/>
      <c r="F164" s="348"/>
      <c r="G164" s="348"/>
      <c r="H164" s="348"/>
      <c r="I164" s="348"/>
      <c r="J164" s="348"/>
      <c r="K164" s="348"/>
      <c r="L164" s="348"/>
      <c r="M164" s="348"/>
      <c r="N164" s="343">
        <f>SUM(N163:N163)</f>
        <v>14.106624000000002</v>
      </c>
      <c r="O164" s="349" t="s">
        <v>100</v>
      </c>
      <c r="P164" s="784">
        <f>ROUND((N164),2)</f>
        <v>14.11</v>
      </c>
      <c r="Q164" s="398"/>
      <c r="R164" s="564"/>
      <c r="S164" s="398"/>
      <c r="T164" s="398"/>
      <c r="U164" s="398"/>
      <c r="V164" s="555"/>
      <c r="W164" s="555"/>
      <c r="X164" s="555"/>
    </row>
    <row r="165" spans="1:24" s="554" customFormat="1" ht="15.75" customHeight="1">
      <c r="A165" s="355" t="s">
        <v>121</v>
      </c>
      <c r="B165" s="359" t="s">
        <v>1043</v>
      </c>
      <c r="C165" s="348"/>
      <c r="D165" s="348"/>
      <c r="E165" s="348"/>
      <c r="F165" s="348"/>
      <c r="G165" s="348"/>
      <c r="H165" s="348"/>
      <c r="I165" s="348"/>
      <c r="J165" s="348"/>
      <c r="K165" s="348"/>
      <c r="L165" s="348"/>
      <c r="M165" s="348"/>
      <c r="N165" s="348"/>
      <c r="O165" s="349"/>
      <c r="P165" s="784"/>
      <c r="Q165" s="398"/>
      <c r="R165" s="564"/>
      <c r="S165" s="398"/>
      <c r="T165" s="398"/>
      <c r="U165" s="398"/>
      <c r="V165" s="555"/>
      <c r="W165" s="555"/>
      <c r="X165" s="555"/>
    </row>
    <row r="166" spans="1:24" s="554" customFormat="1" ht="15.75" customHeight="1">
      <c r="A166" s="355"/>
      <c r="B166" s="567"/>
      <c r="C166" s="348">
        <f>C160</f>
        <v>1</v>
      </c>
      <c r="D166" s="348">
        <f>D152</f>
        <v>0.15</v>
      </c>
      <c r="E166" s="348">
        <f>E157</f>
        <v>0.2</v>
      </c>
      <c r="F166" s="348">
        <v>2</v>
      </c>
      <c r="G166" s="348"/>
      <c r="H166" s="348"/>
      <c r="I166" s="348"/>
      <c r="J166" s="348"/>
      <c r="K166" s="348"/>
      <c r="L166" s="348"/>
      <c r="M166" s="348">
        <f>M163*F166</f>
        <v>8</v>
      </c>
      <c r="N166" s="565">
        <f>C166*D166*E166*M166</f>
        <v>0.24</v>
      </c>
      <c r="O166" s="349"/>
      <c r="P166" s="784"/>
      <c r="Q166" s="398"/>
      <c r="R166" s="564"/>
      <c r="S166" s="398"/>
      <c r="T166" s="398"/>
      <c r="U166" s="398"/>
      <c r="V166" s="555"/>
      <c r="W166" s="555"/>
      <c r="X166" s="555"/>
    </row>
    <row r="167" spans="1:24" s="554" customFormat="1" ht="15.75" customHeight="1">
      <c r="A167" s="355"/>
      <c r="B167" s="359"/>
      <c r="C167" s="348"/>
      <c r="D167" s="348"/>
      <c r="E167" s="348"/>
      <c r="F167" s="348"/>
      <c r="G167" s="348"/>
      <c r="H167" s="348"/>
      <c r="I167" s="348"/>
      <c r="J167" s="348"/>
      <c r="K167" s="348"/>
      <c r="L167" s="348"/>
      <c r="M167" s="348"/>
      <c r="N167" s="343">
        <f>SUM(N166:N166)</f>
        <v>0.24</v>
      </c>
      <c r="O167" s="349" t="s">
        <v>103</v>
      </c>
      <c r="P167" s="784">
        <f>ROUND((N167),2)</f>
        <v>0.24</v>
      </c>
      <c r="Q167" s="398"/>
      <c r="R167" s="564"/>
      <c r="S167" s="398"/>
      <c r="T167" s="398"/>
      <c r="U167" s="398"/>
      <c r="V167" s="555"/>
      <c r="W167" s="555"/>
      <c r="X167" s="555"/>
    </row>
    <row r="168" spans="1:24" ht="15.75" customHeight="1">
      <c r="A168" s="350">
        <f>A135+1</f>
        <v>15</v>
      </c>
      <c r="B168" s="351" t="s">
        <v>934</v>
      </c>
      <c r="C168" s="330"/>
      <c r="D168" s="330"/>
      <c r="E168" s="330"/>
      <c r="F168" s="330"/>
      <c r="G168" s="330"/>
      <c r="H168" s="330"/>
      <c r="I168" s="330"/>
      <c r="J168" s="330"/>
      <c r="K168" s="330"/>
      <c r="L168" s="330"/>
      <c r="M168" s="330"/>
      <c r="N168" s="401"/>
      <c r="O168" s="349"/>
      <c r="P168" s="784"/>
      <c r="Q168" s="398"/>
      <c r="R168" s="779"/>
      <c r="S168" s="398"/>
      <c r="T168" s="398"/>
      <c r="U168" s="398"/>
      <c r="V168" s="738"/>
      <c r="W168" s="738"/>
      <c r="X168" s="738"/>
    </row>
    <row r="169" spans="1:24" ht="15.75" customHeight="1">
      <c r="A169" s="355" t="s">
        <v>95</v>
      </c>
      <c r="B169" s="351" t="s">
        <v>148</v>
      </c>
      <c r="C169" s="330"/>
      <c r="D169" s="330"/>
      <c r="E169" s="330"/>
      <c r="F169" s="330"/>
      <c r="G169" s="330"/>
      <c r="H169" s="330"/>
      <c r="I169" s="330"/>
      <c r="J169" s="330"/>
      <c r="K169" s="330"/>
      <c r="L169" s="330"/>
      <c r="M169" s="330"/>
      <c r="N169" s="401"/>
      <c r="O169" s="349"/>
      <c r="P169" s="784"/>
      <c r="Q169" s="398"/>
      <c r="R169" s="779"/>
      <c r="S169" s="398"/>
      <c r="T169" s="398"/>
      <c r="U169" s="398"/>
      <c r="V169" s="738"/>
      <c r="W169" s="738"/>
      <c r="X169" s="738"/>
    </row>
    <row r="170" spans="1:24" ht="15.75" customHeight="1">
      <c r="A170" s="355"/>
      <c r="B170" s="589" t="s">
        <v>1135</v>
      </c>
      <c r="C170" s="330">
        <v>6</v>
      </c>
      <c r="D170" s="330">
        <v>0.95</v>
      </c>
      <c r="E170" s="330"/>
      <c r="F170" s="330"/>
      <c r="G170" s="330"/>
      <c r="H170" s="330"/>
      <c r="I170" s="330"/>
      <c r="J170" s="330"/>
      <c r="K170" s="330"/>
      <c r="L170" s="330"/>
      <c r="M170" s="330"/>
      <c r="N170" s="401">
        <f>C170*D170</f>
        <v>5.6999999999999993</v>
      </c>
      <c r="O170" s="349"/>
      <c r="P170" s="784"/>
      <c r="Q170" s="398"/>
      <c r="R170" s="779"/>
      <c r="S170" s="398"/>
      <c r="T170" s="398"/>
      <c r="U170" s="398"/>
      <c r="V170" s="738"/>
      <c r="W170" s="738"/>
      <c r="X170" s="738"/>
    </row>
    <row r="171" spans="1:24" ht="15.75" customHeight="1">
      <c r="A171" s="355"/>
      <c r="B171" s="589" t="s">
        <v>1136</v>
      </c>
      <c r="C171" s="330">
        <f>C170</f>
        <v>6</v>
      </c>
      <c r="D171" s="330"/>
      <c r="E171" s="330">
        <v>0.1</v>
      </c>
      <c r="F171" s="330"/>
      <c r="G171" s="330"/>
      <c r="H171" s="330">
        <v>1</v>
      </c>
      <c r="I171" s="330"/>
      <c r="J171" s="330"/>
      <c r="K171" s="330"/>
      <c r="L171" s="330"/>
      <c r="M171" s="330"/>
      <c r="N171" s="401">
        <f>C171*E171*H171</f>
        <v>0.60000000000000009</v>
      </c>
      <c r="O171" s="349"/>
      <c r="P171" s="784"/>
      <c r="Q171" s="398"/>
      <c r="R171" s="779"/>
      <c r="S171" s="398"/>
      <c r="T171" s="398"/>
      <c r="U171" s="398"/>
      <c r="V171" s="738"/>
      <c r="W171" s="738"/>
      <c r="X171" s="738"/>
    </row>
    <row r="172" spans="1:24" ht="15.75" customHeight="1">
      <c r="A172" s="355"/>
      <c r="B172" s="589" t="s">
        <v>1137</v>
      </c>
      <c r="C172" s="330">
        <f>D170</f>
        <v>0.95</v>
      </c>
      <c r="D172" s="330"/>
      <c r="E172" s="330">
        <f>E171</f>
        <v>0.1</v>
      </c>
      <c r="F172" s="330"/>
      <c r="G172" s="330"/>
      <c r="H172" s="330">
        <v>2</v>
      </c>
      <c r="I172" s="330"/>
      <c r="J172" s="330"/>
      <c r="K172" s="330"/>
      <c r="L172" s="330"/>
      <c r="M172" s="330"/>
      <c r="N172" s="752">
        <f>C172*E172*H172</f>
        <v>0.19</v>
      </c>
      <c r="O172" s="349"/>
      <c r="P172" s="784"/>
      <c r="Q172" s="398"/>
      <c r="R172" s="779"/>
      <c r="S172" s="398"/>
      <c r="T172" s="398"/>
      <c r="U172" s="398"/>
      <c r="V172" s="738"/>
      <c r="W172" s="738"/>
      <c r="X172" s="738"/>
    </row>
    <row r="173" spans="1:24" ht="15.75" customHeight="1">
      <c r="A173" s="355"/>
      <c r="B173" s="351"/>
      <c r="C173" s="330"/>
      <c r="D173" s="330"/>
      <c r="E173" s="330"/>
      <c r="F173" s="330"/>
      <c r="G173" s="330"/>
      <c r="H173" s="330"/>
      <c r="I173" s="330"/>
      <c r="J173" s="330"/>
      <c r="K173" s="330"/>
      <c r="L173" s="330"/>
      <c r="M173" s="330"/>
      <c r="N173" s="401">
        <f>SUM(N170:N172)</f>
        <v>6.4899999999999993</v>
      </c>
      <c r="O173" s="349" t="s">
        <v>89</v>
      </c>
      <c r="P173" s="784">
        <f>ROUND((N173),2)</f>
        <v>6.49</v>
      </c>
      <c r="Q173" s="398"/>
      <c r="R173" s="779"/>
      <c r="S173" s="398"/>
      <c r="T173" s="398"/>
      <c r="U173" s="398"/>
      <c r="V173" s="738"/>
      <c r="W173" s="738"/>
      <c r="X173" s="738"/>
    </row>
    <row r="174" spans="1:24" ht="15.75" customHeight="1">
      <c r="A174" s="355" t="s">
        <v>98</v>
      </c>
      <c r="B174" s="351" t="s">
        <v>419</v>
      </c>
      <c r="C174" s="330"/>
      <c r="D174" s="330"/>
      <c r="E174" s="330"/>
      <c r="F174" s="330"/>
      <c r="G174" s="330"/>
      <c r="H174" s="330"/>
      <c r="I174" s="330"/>
      <c r="J174" s="330"/>
      <c r="K174" s="330"/>
      <c r="L174" s="330"/>
      <c r="M174" s="330"/>
      <c r="N174" s="401"/>
      <c r="O174" s="349"/>
      <c r="P174" s="784"/>
      <c r="Q174" s="398"/>
      <c r="R174" s="779"/>
      <c r="S174" s="398"/>
      <c r="T174" s="398"/>
      <c r="U174" s="398"/>
      <c r="V174" s="738"/>
      <c r="W174" s="738"/>
      <c r="X174" s="738"/>
    </row>
    <row r="175" spans="1:24" ht="15.75" customHeight="1">
      <c r="A175" s="355"/>
      <c r="B175" s="356"/>
      <c r="C175" s="330">
        <f>D170</f>
        <v>0.95</v>
      </c>
      <c r="D175" s="330"/>
      <c r="E175" s="330"/>
      <c r="F175" s="330">
        <f>ROUNDUP((C170/0.15),0.1)+1</f>
        <v>41</v>
      </c>
      <c r="G175" s="330"/>
      <c r="H175" s="330"/>
      <c r="I175" s="330"/>
      <c r="J175" s="330"/>
      <c r="K175" s="330"/>
      <c r="L175" s="330">
        <f>8*8*0.006165</f>
        <v>0.39456000000000002</v>
      </c>
      <c r="M175" s="330"/>
      <c r="N175" s="401">
        <f>C175*F175*L175</f>
        <v>15.368112</v>
      </c>
      <c r="O175" s="349"/>
      <c r="P175" s="784"/>
      <c r="Q175" s="398"/>
      <c r="R175" s="779"/>
      <c r="S175" s="398"/>
      <c r="T175" s="398"/>
      <c r="U175" s="398"/>
      <c r="V175" s="738"/>
      <c r="W175" s="738"/>
      <c r="X175" s="738"/>
    </row>
    <row r="176" spans="1:24" ht="15.75" customHeight="1">
      <c r="A176" s="355"/>
      <c r="B176" s="356"/>
      <c r="C176" s="330">
        <f>C170</f>
        <v>6</v>
      </c>
      <c r="D176" s="330"/>
      <c r="E176" s="330"/>
      <c r="F176" s="330">
        <f>ROUNDUP((D170/0.15),0.1)+1</f>
        <v>8</v>
      </c>
      <c r="G176" s="330"/>
      <c r="H176" s="330"/>
      <c r="I176" s="330"/>
      <c r="J176" s="330"/>
      <c r="K176" s="330"/>
      <c r="L176" s="330">
        <f>L175</f>
        <v>0.39456000000000002</v>
      </c>
      <c r="M176" s="330"/>
      <c r="N176" s="752">
        <f>C176*F176*L176</f>
        <v>18.938880000000001</v>
      </c>
      <c r="O176" s="349"/>
      <c r="P176" s="784"/>
      <c r="Q176" s="398"/>
      <c r="R176" s="779"/>
      <c r="S176" s="398"/>
      <c r="T176" s="398"/>
      <c r="U176" s="398"/>
      <c r="V176" s="738"/>
      <c r="W176" s="738"/>
      <c r="X176" s="738"/>
    </row>
    <row r="177" spans="1:24" ht="15.75" customHeight="1">
      <c r="A177" s="355"/>
      <c r="B177" s="356"/>
      <c r="C177" s="330"/>
      <c r="D177" s="330"/>
      <c r="E177" s="330"/>
      <c r="F177" s="330"/>
      <c r="G177" s="330"/>
      <c r="H177" s="330"/>
      <c r="I177" s="330"/>
      <c r="J177" s="330"/>
      <c r="K177" s="330"/>
      <c r="L177" s="330"/>
      <c r="M177" s="330"/>
      <c r="N177" s="401">
        <f>SUM(N175:N176)</f>
        <v>34.306992000000001</v>
      </c>
      <c r="O177" s="349" t="s">
        <v>100</v>
      </c>
      <c r="P177" s="784">
        <f>ROUND((N177),2)</f>
        <v>34.31</v>
      </c>
      <c r="Q177" s="398"/>
      <c r="R177" s="779"/>
      <c r="S177" s="398"/>
      <c r="T177" s="398"/>
      <c r="U177" s="398"/>
      <c r="V177" s="738"/>
      <c r="W177" s="738"/>
      <c r="X177" s="738"/>
    </row>
    <row r="178" spans="1:24" ht="15.75" customHeight="1">
      <c r="A178" s="355" t="s">
        <v>101</v>
      </c>
      <c r="B178" s="356" t="s">
        <v>420</v>
      </c>
      <c r="C178" s="330">
        <f>C176</f>
        <v>6</v>
      </c>
      <c r="D178" s="330">
        <f>C175</f>
        <v>0.95</v>
      </c>
      <c r="E178" s="330">
        <v>0.1</v>
      </c>
      <c r="F178" s="330"/>
      <c r="G178" s="330"/>
      <c r="H178" s="330"/>
      <c r="I178" s="330"/>
      <c r="J178" s="330"/>
      <c r="K178" s="330"/>
      <c r="L178" s="330"/>
      <c r="M178" s="330"/>
      <c r="N178" s="401">
        <f>C178*D178*E178</f>
        <v>0.56999999999999995</v>
      </c>
      <c r="O178" s="349" t="s">
        <v>103</v>
      </c>
      <c r="P178" s="784">
        <f>ROUND((N178),2)</f>
        <v>0.56999999999999995</v>
      </c>
      <c r="Q178" s="398"/>
      <c r="R178" s="779"/>
      <c r="S178" s="398"/>
      <c r="T178" s="398"/>
      <c r="U178" s="398"/>
      <c r="V178" s="738"/>
      <c r="W178" s="738"/>
      <c r="X178" s="738"/>
    </row>
    <row r="179" spans="1:24" ht="15.75" customHeight="1">
      <c r="A179" s="355" t="s">
        <v>121</v>
      </c>
      <c r="B179" s="351" t="s">
        <v>489</v>
      </c>
      <c r="C179" s="330" t="s">
        <v>1620</v>
      </c>
      <c r="D179" s="330"/>
      <c r="E179" s="330"/>
      <c r="F179" s="330"/>
      <c r="G179" s="330"/>
      <c r="H179" s="330"/>
      <c r="I179" s="330"/>
      <c r="J179" s="330"/>
      <c r="K179" s="330"/>
      <c r="L179" s="330"/>
      <c r="M179" s="330"/>
      <c r="N179" s="401">
        <f>N173</f>
        <v>6.4899999999999993</v>
      </c>
      <c r="O179" s="349" t="s">
        <v>89</v>
      </c>
      <c r="P179" s="784">
        <f>ROUND((N179),2)</f>
        <v>6.49</v>
      </c>
      <c r="Q179" s="398"/>
      <c r="R179" s="779"/>
      <c r="S179" s="398"/>
      <c r="T179" s="398"/>
      <c r="U179" s="398"/>
      <c r="V179" s="738"/>
      <c r="W179" s="738"/>
      <c r="X179" s="738"/>
    </row>
    <row r="180" spans="1:24" ht="15.75" customHeight="1">
      <c r="A180" s="355" t="s">
        <v>142</v>
      </c>
      <c r="B180" s="351" t="s">
        <v>650</v>
      </c>
      <c r="C180" s="330" t="s">
        <v>1141</v>
      </c>
      <c r="D180" s="330">
        <f>D178</f>
        <v>0.95</v>
      </c>
      <c r="E180" s="330"/>
      <c r="F180" s="330"/>
      <c r="G180" s="330"/>
      <c r="H180" s="330"/>
      <c r="I180" s="330"/>
      <c r="J180" s="330"/>
      <c r="K180" s="330"/>
      <c r="L180" s="330"/>
      <c r="M180" s="330"/>
      <c r="N180" s="401">
        <f>N179</f>
        <v>6.4899999999999993</v>
      </c>
      <c r="O180" s="349" t="s">
        <v>89</v>
      </c>
      <c r="P180" s="784">
        <f>ROUND((N180),2)</f>
        <v>6.49</v>
      </c>
      <c r="Q180" s="398"/>
      <c r="R180" s="779"/>
      <c r="S180" s="398"/>
      <c r="T180" s="398"/>
      <c r="U180" s="398"/>
      <c r="V180" s="738"/>
      <c r="W180" s="738"/>
      <c r="X180" s="738"/>
    </row>
    <row r="181" spans="1:24" ht="15.75" customHeight="1">
      <c r="A181" s="355"/>
      <c r="B181" s="359"/>
      <c r="C181" s="330"/>
      <c r="D181" s="330"/>
      <c r="E181" s="330"/>
      <c r="F181" s="330"/>
      <c r="G181" s="330"/>
      <c r="H181" s="330"/>
      <c r="I181" s="330"/>
      <c r="J181" s="330"/>
      <c r="K181" s="330"/>
      <c r="L181" s="330"/>
      <c r="M181" s="330"/>
      <c r="N181" s="401"/>
      <c r="O181" s="349"/>
      <c r="P181" s="784"/>
      <c r="Q181" s="398"/>
      <c r="R181" s="779"/>
      <c r="S181" s="398"/>
      <c r="T181" s="398"/>
      <c r="U181" s="398"/>
      <c r="V181" s="738"/>
      <c r="W181" s="738"/>
      <c r="X181" s="738"/>
    </row>
    <row r="182" spans="1:24" ht="15.75" customHeight="1">
      <c r="A182" s="355"/>
      <c r="B182" s="359"/>
      <c r="C182" s="330"/>
      <c r="D182" s="330"/>
      <c r="E182" s="330"/>
      <c r="F182" s="330"/>
      <c r="G182" s="330"/>
      <c r="H182" s="330"/>
      <c r="I182" s="330"/>
      <c r="J182" s="330"/>
      <c r="K182" s="330"/>
      <c r="L182" s="330"/>
      <c r="M182" s="330"/>
      <c r="N182" s="401"/>
      <c r="O182" s="349"/>
      <c r="P182" s="784"/>
      <c r="Q182" s="398"/>
      <c r="R182" s="779"/>
      <c r="S182" s="398"/>
      <c r="T182" s="398"/>
      <c r="U182" s="398"/>
      <c r="V182" s="738"/>
      <c r="W182" s="738"/>
      <c r="X182" s="738"/>
    </row>
    <row r="183" spans="1:24" ht="15.75" customHeight="1">
      <c r="A183" s="350">
        <f>A168+1</f>
        <v>16</v>
      </c>
      <c r="B183" s="359" t="s">
        <v>1012</v>
      </c>
      <c r="C183" s="330">
        <v>9</v>
      </c>
      <c r="D183" s="330">
        <v>5</v>
      </c>
      <c r="E183" s="330"/>
      <c r="F183" s="330"/>
      <c r="G183" s="330"/>
      <c r="H183" s="330">
        <v>2</v>
      </c>
      <c r="I183" s="330"/>
      <c r="J183" s="330"/>
      <c r="K183" s="330"/>
      <c r="L183" s="330"/>
      <c r="M183" s="330"/>
      <c r="N183" s="330">
        <f>C183*D183*H183</f>
        <v>90</v>
      </c>
      <c r="O183" s="349" t="s">
        <v>89</v>
      </c>
      <c r="P183" s="784">
        <f>ROUND((N183),2)</f>
        <v>90</v>
      </c>
      <c r="Q183" s="398"/>
      <c r="R183" s="779"/>
      <c r="S183" s="398"/>
      <c r="T183" s="398"/>
      <c r="U183" s="398"/>
      <c r="V183" s="738"/>
      <c r="W183" s="738"/>
      <c r="X183" s="738"/>
    </row>
    <row r="184" spans="1:24" ht="15.75" customHeight="1">
      <c r="A184" s="350">
        <f>A183+1</f>
        <v>17</v>
      </c>
      <c r="B184" s="359" t="s">
        <v>1013</v>
      </c>
      <c r="C184" s="330">
        <f>C183</f>
        <v>9</v>
      </c>
      <c r="D184" s="330">
        <f>D183</f>
        <v>5</v>
      </c>
      <c r="E184" s="330"/>
      <c r="F184" s="330"/>
      <c r="G184" s="330"/>
      <c r="H184" s="330">
        <v>2</v>
      </c>
      <c r="I184" s="330"/>
      <c r="J184" s="330"/>
      <c r="K184" s="330"/>
      <c r="L184" s="330"/>
      <c r="M184" s="330"/>
      <c r="N184" s="330">
        <f>C184*D184*H184</f>
        <v>90</v>
      </c>
      <c r="O184" s="349" t="s">
        <v>89</v>
      </c>
      <c r="P184" s="784">
        <f>ROUND((N184),2)</f>
        <v>90</v>
      </c>
      <c r="Q184" s="398"/>
      <c r="R184" s="779"/>
      <c r="S184" s="398"/>
      <c r="T184" s="398"/>
      <c r="U184" s="398"/>
      <c r="V184" s="738"/>
      <c r="W184" s="738"/>
      <c r="X184" s="738"/>
    </row>
    <row r="185" spans="1:24" ht="15.75" customHeight="1">
      <c r="A185" s="350">
        <f>A184+1</f>
        <v>18</v>
      </c>
      <c r="B185" s="359" t="s">
        <v>1014</v>
      </c>
      <c r="C185" s="330">
        <f>C184</f>
        <v>9</v>
      </c>
      <c r="D185" s="330"/>
      <c r="E185" s="330"/>
      <c r="F185" s="330"/>
      <c r="G185" s="330"/>
      <c r="H185" s="330"/>
      <c r="I185" s="330"/>
      <c r="J185" s="330"/>
      <c r="K185" s="330"/>
      <c r="L185" s="330"/>
      <c r="M185" s="330"/>
      <c r="N185" s="330">
        <f>C185</f>
        <v>9</v>
      </c>
      <c r="O185" s="349" t="s">
        <v>117</v>
      </c>
      <c r="P185" s="784">
        <f>ROUND((N185),2)</f>
        <v>9</v>
      </c>
      <c r="Q185" s="398"/>
      <c r="R185" s="779"/>
      <c r="S185" s="398"/>
      <c r="T185" s="398"/>
      <c r="U185" s="398"/>
      <c r="V185" s="738"/>
      <c r="W185" s="738"/>
      <c r="X185" s="738"/>
    </row>
    <row r="186" spans="1:24" ht="15.75" customHeight="1">
      <c r="A186" s="350">
        <f>A185+1</f>
        <v>19</v>
      </c>
      <c r="B186" s="359" t="s">
        <v>1037</v>
      </c>
      <c r="C186" s="330"/>
      <c r="D186" s="330"/>
      <c r="E186" s="330"/>
      <c r="F186" s="330"/>
      <c r="G186" s="330"/>
      <c r="H186" s="330"/>
      <c r="I186" s="330"/>
      <c r="J186" s="330"/>
      <c r="K186" s="330"/>
      <c r="L186" s="330"/>
      <c r="M186" s="330"/>
      <c r="N186" s="330"/>
      <c r="O186" s="349"/>
      <c r="P186" s="784"/>
      <c r="Q186" s="398"/>
      <c r="R186" s="779"/>
      <c r="S186" s="398"/>
      <c r="T186" s="398"/>
      <c r="U186" s="398"/>
      <c r="V186" s="738"/>
      <c r="W186" s="738"/>
      <c r="X186" s="738"/>
    </row>
    <row r="187" spans="1:24" ht="15.75" customHeight="1">
      <c r="A187" s="350"/>
      <c r="B187" s="596" t="s">
        <v>1185</v>
      </c>
      <c r="C187" s="330">
        <v>1</v>
      </c>
      <c r="D187" s="330"/>
      <c r="E187" s="330"/>
      <c r="F187" s="330"/>
      <c r="G187" s="330"/>
      <c r="H187" s="330">
        <v>2</v>
      </c>
      <c r="I187" s="330"/>
      <c r="J187" s="330"/>
      <c r="K187" s="330"/>
      <c r="L187" s="330"/>
      <c r="M187" s="330">
        <v>1</v>
      </c>
      <c r="N187" s="330">
        <f>C187*H187*M187</f>
        <v>2</v>
      </c>
      <c r="O187" s="349"/>
      <c r="P187" s="784"/>
      <c r="Q187" s="398"/>
      <c r="R187" s="779"/>
      <c r="S187" s="398"/>
      <c r="T187" s="398"/>
      <c r="U187" s="398"/>
      <c r="V187" s="738"/>
      <c r="W187" s="738"/>
      <c r="X187" s="738"/>
    </row>
    <row r="188" spans="1:24" ht="15.75" customHeight="1">
      <c r="A188" s="350"/>
      <c r="B188" s="596" t="s">
        <v>1621</v>
      </c>
      <c r="C188" s="330">
        <f>D184</f>
        <v>5</v>
      </c>
      <c r="D188" s="330"/>
      <c r="E188" s="330"/>
      <c r="F188" s="330"/>
      <c r="G188" s="330"/>
      <c r="H188" s="330"/>
      <c r="I188" s="330"/>
      <c r="J188" s="330"/>
      <c r="K188" s="330"/>
      <c r="L188" s="330"/>
      <c r="M188" s="330">
        <v>1</v>
      </c>
      <c r="N188" s="752">
        <f>C188*M188</f>
        <v>5</v>
      </c>
      <c r="O188" s="349"/>
      <c r="P188" s="784"/>
      <c r="Q188" s="398"/>
      <c r="R188" s="779"/>
      <c r="S188" s="398"/>
      <c r="T188" s="398"/>
      <c r="U188" s="398"/>
      <c r="V188" s="738"/>
      <c r="W188" s="738"/>
      <c r="X188" s="738"/>
    </row>
    <row r="189" spans="1:24" ht="15.75" customHeight="1">
      <c r="A189" s="350"/>
      <c r="B189" s="597"/>
      <c r="C189" s="330"/>
      <c r="D189" s="330"/>
      <c r="E189" s="330"/>
      <c r="F189" s="330"/>
      <c r="G189" s="330"/>
      <c r="H189" s="330"/>
      <c r="I189" s="330"/>
      <c r="J189" s="330"/>
      <c r="K189" s="330"/>
      <c r="L189" s="330"/>
      <c r="M189" s="330"/>
      <c r="N189" s="401">
        <f>SUM(N187:N188)</f>
        <v>7</v>
      </c>
      <c r="O189" s="349" t="s">
        <v>117</v>
      </c>
      <c r="P189" s="784">
        <f>ROUND((N189),2)</f>
        <v>7</v>
      </c>
      <c r="Q189" s="398"/>
      <c r="R189" s="779"/>
      <c r="S189" s="398"/>
      <c r="T189" s="398"/>
      <c r="U189" s="398"/>
      <c r="V189" s="738"/>
      <c r="W189" s="738"/>
      <c r="X189" s="738"/>
    </row>
    <row r="190" spans="1:24" ht="15.75" customHeight="1">
      <c r="A190" s="350">
        <f>A186+1</f>
        <v>20</v>
      </c>
      <c r="B190" s="597" t="s">
        <v>968</v>
      </c>
      <c r="C190" s="330">
        <f>N189</f>
        <v>7</v>
      </c>
      <c r="D190" s="330">
        <v>0.3</v>
      </c>
      <c r="E190" s="330"/>
      <c r="F190" s="330"/>
      <c r="G190" s="330"/>
      <c r="H190" s="330"/>
      <c r="I190" s="330"/>
      <c r="J190" s="330"/>
      <c r="K190" s="330"/>
      <c r="L190" s="330"/>
      <c r="M190" s="330"/>
      <c r="N190" s="752">
        <f>C190*D190</f>
        <v>2.1</v>
      </c>
      <c r="O190" s="349"/>
      <c r="P190" s="784"/>
      <c r="Q190" s="398"/>
      <c r="R190" s="779"/>
      <c r="S190" s="398"/>
      <c r="T190" s="398"/>
      <c r="U190" s="398"/>
      <c r="V190" s="738"/>
      <c r="W190" s="738"/>
      <c r="X190" s="738"/>
    </row>
    <row r="191" spans="1:24" ht="15.75" customHeight="1">
      <c r="A191" s="350"/>
      <c r="B191" s="359"/>
      <c r="C191" s="330"/>
      <c r="D191" s="330"/>
      <c r="E191" s="330"/>
      <c r="F191" s="330"/>
      <c r="G191" s="330"/>
      <c r="H191" s="330"/>
      <c r="I191" s="330"/>
      <c r="J191" s="330"/>
      <c r="K191" s="330"/>
      <c r="L191" s="330"/>
      <c r="M191" s="330"/>
      <c r="N191" s="401">
        <f>SUM(N190)</f>
        <v>2.1</v>
      </c>
      <c r="O191" s="349" t="s">
        <v>89</v>
      </c>
      <c r="P191" s="784">
        <f>ROUND((N191),2)</f>
        <v>2.1</v>
      </c>
      <c r="Q191" s="398"/>
      <c r="R191" s="779"/>
      <c r="S191" s="398"/>
      <c r="T191" s="398"/>
      <c r="U191" s="398"/>
      <c r="V191" s="738"/>
      <c r="W191" s="738"/>
      <c r="X191" s="738"/>
    </row>
    <row r="192" spans="1:24" ht="15.75" customHeight="1">
      <c r="A192" s="346" t="s">
        <v>1168</v>
      </c>
      <c r="B192" s="586" t="s">
        <v>434</v>
      </c>
      <c r="C192" s="330"/>
      <c r="D192" s="330"/>
      <c r="E192" s="330"/>
      <c r="F192" s="330"/>
      <c r="G192" s="330"/>
      <c r="H192" s="330"/>
      <c r="I192" s="330"/>
      <c r="J192" s="330"/>
      <c r="K192" s="330"/>
      <c r="L192" s="330"/>
      <c r="M192" s="330"/>
      <c r="N192" s="330"/>
      <c r="O192" s="349"/>
      <c r="P192" s="784"/>
      <c r="Q192" s="398"/>
      <c r="R192" s="779"/>
      <c r="S192" s="398"/>
      <c r="T192" s="398"/>
      <c r="U192" s="398"/>
      <c r="V192" s="738"/>
      <c r="W192" s="738"/>
      <c r="X192" s="738"/>
    </row>
    <row r="193" spans="1:24" ht="15.75" customHeight="1">
      <c r="A193" s="350">
        <v>1</v>
      </c>
      <c r="B193" s="591" t="s">
        <v>536</v>
      </c>
      <c r="C193" s="1194"/>
      <c r="D193" s="1194"/>
      <c r="E193" s="330"/>
      <c r="F193" s="330"/>
      <c r="G193" s="330"/>
      <c r="H193" s="330"/>
      <c r="I193" s="330"/>
      <c r="J193" s="330"/>
      <c r="K193" s="330"/>
      <c r="L193" s="330"/>
      <c r="M193" s="330"/>
      <c r="N193" s="330"/>
      <c r="O193" s="349"/>
      <c r="P193" s="784"/>
      <c r="Q193" s="398"/>
      <c r="R193" s="779"/>
      <c r="S193" s="398"/>
      <c r="T193" s="398"/>
      <c r="U193" s="398"/>
      <c r="V193" s="738"/>
      <c r="W193" s="738"/>
      <c r="X193" s="738"/>
    </row>
    <row r="194" spans="1:24" ht="15.75" customHeight="1">
      <c r="A194" s="350"/>
      <c r="B194" s="567" t="s">
        <v>1587</v>
      </c>
      <c r="C194" s="1194">
        <v>6</v>
      </c>
      <c r="D194" s="1194"/>
      <c r="E194" s="330">
        <f>3.88-0.3</f>
        <v>3.58</v>
      </c>
      <c r="F194" s="330"/>
      <c r="G194" s="330"/>
      <c r="H194" s="330"/>
      <c r="I194" s="330"/>
      <c r="J194" s="330"/>
      <c r="K194" s="330"/>
      <c r="L194" s="330"/>
      <c r="M194" s="330"/>
      <c r="N194" s="330">
        <f>C194*E194</f>
        <v>21.48</v>
      </c>
      <c r="O194" s="349"/>
      <c r="P194" s="784"/>
      <c r="Q194" s="398"/>
      <c r="R194" s="779"/>
      <c r="S194" s="398"/>
      <c r="T194" s="398"/>
      <c r="U194" s="398"/>
      <c r="V194" s="738"/>
      <c r="W194" s="738"/>
      <c r="X194" s="738"/>
    </row>
    <row r="195" spans="1:24" ht="15.75" customHeight="1">
      <c r="A195" s="350"/>
      <c r="B195" s="567" t="s">
        <v>1622</v>
      </c>
      <c r="C195" s="1194">
        <f>C194</f>
        <v>6</v>
      </c>
      <c r="D195" s="1194"/>
      <c r="E195" s="330">
        <v>0.53</v>
      </c>
      <c r="F195" s="330"/>
      <c r="G195" s="330"/>
      <c r="H195" s="330"/>
      <c r="I195" s="330"/>
      <c r="J195" s="330"/>
      <c r="K195" s="330"/>
      <c r="L195" s="330"/>
      <c r="M195" s="330"/>
      <c r="N195" s="330">
        <f>C195*E195</f>
        <v>3.18</v>
      </c>
      <c r="O195" s="349"/>
      <c r="P195" s="784"/>
      <c r="Q195" s="398"/>
      <c r="R195" s="779"/>
      <c r="S195" s="398"/>
      <c r="T195" s="398"/>
      <c r="U195" s="398"/>
      <c r="V195" s="738"/>
      <c r="W195" s="738"/>
      <c r="X195" s="738"/>
    </row>
    <row r="196" spans="1:24" ht="15.75" customHeight="1">
      <c r="A196" s="350"/>
      <c r="B196" s="567" t="s">
        <v>1623</v>
      </c>
      <c r="C196" s="1194"/>
      <c r="D196" s="1194">
        <v>2.6680000000000001</v>
      </c>
      <c r="E196" s="330">
        <v>0.91800000000000004</v>
      </c>
      <c r="F196" s="330"/>
      <c r="G196" s="330"/>
      <c r="H196" s="330"/>
      <c r="I196" s="330"/>
      <c r="J196" s="330"/>
      <c r="K196" s="330"/>
      <c r="L196" s="330"/>
      <c r="M196" s="330"/>
      <c r="N196" s="330">
        <f>D196*E196</f>
        <v>2.4492240000000001</v>
      </c>
      <c r="O196" s="349"/>
      <c r="P196" s="784"/>
      <c r="Q196" s="398"/>
      <c r="R196" s="779"/>
      <c r="S196" s="398"/>
      <c r="T196" s="398"/>
      <c r="U196" s="398"/>
      <c r="V196" s="738"/>
      <c r="W196" s="738"/>
      <c r="X196" s="738"/>
    </row>
    <row r="197" spans="1:24" ht="15.75" customHeight="1">
      <c r="A197" s="350"/>
      <c r="B197" s="567"/>
      <c r="C197" s="1194"/>
      <c r="D197" s="1194">
        <v>1.9179999999999999</v>
      </c>
      <c r="E197" s="330">
        <f>E196</f>
        <v>0.91800000000000004</v>
      </c>
      <c r="F197" s="330"/>
      <c r="G197" s="330"/>
      <c r="H197" s="330"/>
      <c r="I197" s="330"/>
      <c r="J197" s="330"/>
      <c r="K197" s="330"/>
      <c r="L197" s="330"/>
      <c r="M197" s="330"/>
      <c r="N197" s="330">
        <f>D197*E197</f>
        <v>1.760724</v>
      </c>
      <c r="O197" s="349"/>
      <c r="P197" s="784"/>
      <c r="Q197" s="398"/>
      <c r="R197" s="779"/>
      <c r="S197" s="398"/>
      <c r="T197" s="398"/>
      <c r="U197" s="398"/>
      <c r="V197" s="738"/>
      <c r="W197" s="738"/>
      <c r="X197" s="738"/>
    </row>
    <row r="198" spans="1:24" ht="15.75" customHeight="1">
      <c r="A198" s="350"/>
      <c r="B198" s="567"/>
      <c r="C198" s="1194"/>
      <c r="D198" s="1194">
        <f>D196/2</f>
        <v>1.3340000000000001</v>
      </c>
      <c r="E198" s="330">
        <v>1.3779999999999999</v>
      </c>
      <c r="F198" s="330"/>
      <c r="G198" s="330"/>
      <c r="H198" s="330"/>
      <c r="I198" s="330"/>
      <c r="J198" s="330"/>
      <c r="K198" s="330"/>
      <c r="L198" s="330"/>
      <c r="M198" s="330"/>
      <c r="N198" s="330">
        <f>D198*E198</f>
        <v>1.838252</v>
      </c>
      <c r="O198" s="349"/>
      <c r="P198" s="784"/>
      <c r="Q198" s="398"/>
      <c r="R198" s="779"/>
      <c r="S198" s="398"/>
      <c r="T198" s="398"/>
      <c r="U198" s="398"/>
      <c r="V198" s="738"/>
      <c r="W198" s="738"/>
      <c r="X198" s="738"/>
    </row>
    <row r="199" spans="1:24" ht="15.75" customHeight="1">
      <c r="A199" s="350"/>
      <c r="B199" s="567" t="s">
        <v>1624</v>
      </c>
      <c r="C199" s="1194">
        <v>1.5</v>
      </c>
      <c r="D199" s="1194"/>
      <c r="E199" s="330">
        <v>0.35</v>
      </c>
      <c r="F199" s="330"/>
      <c r="G199" s="330"/>
      <c r="H199" s="330">
        <v>2</v>
      </c>
      <c r="I199" s="330"/>
      <c r="J199" s="330"/>
      <c r="K199" s="330"/>
      <c r="L199" s="330"/>
      <c r="M199" s="330"/>
      <c r="N199" s="330">
        <f>C199*E199*H199</f>
        <v>1.0499999999999998</v>
      </c>
      <c r="O199" s="349"/>
      <c r="P199" s="784"/>
      <c r="Q199" s="398"/>
      <c r="R199" s="779"/>
      <c r="S199" s="398"/>
      <c r="T199" s="398"/>
      <c r="U199" s="398"/>
      <c r="V199" s="738"/>
      <c r="W199" s="738"/>
      <c r="X199" s="738"/>
    </row>
    <row r="200" spans="1:24" ht="15.75" customHeight="1">
      <c r="A200" s="350"/>
      <c r="B200" s="591"/>
      <c r="C200" s="1194">
        <v>12</v>
      </c>
      <c r="D200" s="1194"/>
      <c r="E200" s="330">
        <f>E199</f>
        <v>0.35</v>
      </c>
      <c r="F200" s="330"/>
      <c r="G200" s="330"/>
      <c r="H200" s="330">
        <v>2</v>
      </c>
      <c r="I200" s="330"/>
      <c r="J200" s="330"/>
      <c r="K200" s="330"/>
      <c r="L200" s="330"/>
      <c r="M200" s="330"/>
      <c r="N200" s="752">
        <f>C200*E200*H200</f>
        <v>8.3999999999999986</v>
      </c>
      <c r="O200" s="349"/>
      <c r="P200" s="784"/>
      <c r="Q200" s="398"/>
      <c r="R200" s="779"/>
      <c r="S200" s="398"/>
      <c r="T200" s="398"/>
      <c r="U200" s="398"/>
      <c r="V200" s="738"/>
      <c r="W200" s="738"/>
      <c r="X200" s="738"/>
    </row>
    <row r="201" spans="1:24" ht="15.75" customHeight="1">
      <c r="A201" s="350"/>
      <c r="B201" s="591"/>
      <c r="C201" s="1194"/>
      <c r="D201" s="1194"/>
      <c r="E201" s="330"/>
      <c r="F201" s="330"/>
      <c r="G201" s="330"/>
      <c r="H201" s="330"/>
      <c r="I201" s="330"/>
      <c r="J201" s="330"/>
      <c r="K201" s="330"/>
      <c r="L201" s="330"/>
      <c r="M201" s="330"/>
      <c r="N201" s="330">
        <f>SUM(N194:N200)</f>
        <v>40.158200000000001</v>
      </c>
      <c r="O201" s="349" t="s">
        <v>89</v>
      </c>
      <c r="P201" s="784">
        <f>ROUND((N201),2)</f>
        <v>40.159999999999997</v>
      </c>
      <c r="Q201" s="398"/>
      <c r="R201" s="779"/>
      <c r="S201" s="398"/>
      <c r="T201" s="398"/>
      <c r="U201" s="398"/>
      <c r="V201" s="738"/>
      <c r="W201" s="738"/>
      <c r="X201" s="738"/>
    </row>
    <row r="202" spans="1:24" ht="15.75" customHeight="1">
      <c r="A202" s="350">
        <f>A193+1</f>
        <v>2</v>
      </c>
      <c r="B202" s="591" t="s">
        <v>193</v>
      </c>
      <c r="C202" s="1194" t="s">
        <v>1625</v>
      </c>
      <c r="D202" s="1194"/>
      <c r="E202" s="330"/>
      <c r="F202" s="330"/>
      <c r="G202" s="330"/>
      <c r="H202" s="330"/>
      <c r="I202" s="330"/>
      <c r="J202" s="330"/>
      <c r="K202" s="330"/>
      <c r="L202" s="330"/>
      <c r="M202" s="330"/>
      <c r="N202" s="330">
        <f>N201*2</f>
        <v>80.316400000000002</v>
      </c>
      <c r="O202" s="349" t="s">
        <v>89</v>
      </c>
      <c r="P202" s="784">
        <f>ROUND((N202),2)</f>
        <v>80.319999999999993</v>
      </c>
      <c r="Q202" s="398"/>
      <c r="R202" s="779"/>
      <c r="S202" s="398"/>
      <c r="T202" s="398"/>
      <c r="U202" s="398"/>
      <c r="V202" s="738"/>
      <c r="W202" s="738"/>
      <c r="X202" s="738"/>
    </row>
    <row r="203" spans="1:24" ht="15.75" customHeight="1">
      <c r="A203" s="350">
        <f>A202+1</f>
        <v>3</v>
      </c>
      <c r="B203" s="591" t="s">
        <v>194</v>
      </c>
      <c r="C203" s="1194"/>
      <c r="D203" s="1194"/>
      <c r="E203" s="330"/>
      <c r="F203" s="330"/>
      <c r="G203" s="330"/>
      <c r="H203" s="330"/>
      <c r="I203" s="330"/>
      <c r="J203" s="330"/>
      <c r="K203" s="330"/>
      <c r="L203" s="330"/>
      <c r="M203" s="330"/>
      <c r="N203" s="330">
        <f>N202</f>
        <v>80.316400000000002</v>
      </c>
      <c r="O203" s="349" t="s">
        <v>89</v>
      </c>
      <c r="P203" s="784">
        <f>ROUND((N203),2)</f>
        <v>80.319999999999993</v>
      </c>
      <c r="Q203" s="398"/>
      <c r="R203" s="779"/>
      <c r="S203" s="398"/>
      <c r="T203" s="398"/>
      <c r="U203" s="398"/>
      <c r="V203" s="738"/>
      <c r="W203" s="738"/>
      <c r="X203" s="738"/>
    </row>
    <row r="204" spans="1:24" ht="15.75" customHeight="1">
      <c r="A204" s="350">
        <f>A203+1</f>
        <v>4</v>
      </c>
      <c r="B204" s="591" t="s">
        <v>435</v>
      </c>
      <c r="C204" s="1194"/>
      <c r="D204" s="1194"/>
      <c r="E204" s="330"/>
      <c r="F204" s="330"/>
      <c r="G204" s="330"/>
      <c r="H204" s="330"/>
      <c r="I204" s="330"/>
      <c r="J204" s="330"/>
      <c r="K204" s="330"/>
      <c r="L204" s="330"/>
      <c r="M204" s="330"/>
      <c r="N204" s="330"/>
      <c r="O204" s="349"/>
      <c r="P204" s="784"/>
      <c r="Q204" s="398"/>
      <c r="R204" s="779"/>
      <c r="S204" s="398"/>
      <c r="T204" s="398"/>
      <c r="U204" s="398"/>
      <c r="V204" s="738"/>
      <c r="W204" s="738"/>
      <c r="X204" s="738"/>
    </row>
    <row r="205" spans="1:24" ht="15.75" customHeight="1">
      <c r="A205" s="350"/>
      <c r="B205" s="567" t="s">
        <v>1017</v>
      </c>
      <c r="C205" s="330"/>
      <c r="D205" s="330">
        <v>0.25</v>
      </c>
      <c r="E205" s="330">
        <f>E81</f>
        <v>3.58</v>
      </c>
      <c r="F205" s="330"/>
      <c r="G205" s="330"/>
      <c r="H205" s="330">
        <v>4</v>
      </c>
      <c r="I205" s="330"/>
      <c r="J205" s="330"/>
      <c r="K205" s="330"/>
      <c r="L205" s="330"/>
      <c r="M205" s="330">
        <v>8</v>
      </c>
      <c r="N205" s="330">
        <f>D205*E205*H205*M205</f>
        <v>28.64</v>
      </c>
      <c r="O205" s="349"/>
      <c r="P205" s="784"/>
      <c r="Q205" s="398"/>
      <c r="R205" s="779"/>
      <c r="S205" s="398"/>
      <c r="T205" s="398"/>
      <c r="U205" s="398"/>
      <c r="V205" s="738"/>
      <c r="W205" s="738"/>
      <c r="X205" s="738"/>
    </row>
    <row r="206" spans="1:24" ht="15.75" customHeight="1">
      <c r="A206" s="350"/>
      <c r="B206" s="567" t="s">
        <v>1018</v>
      </c>
      <c r="C206" s="330">
        <f>12-(0.2*4)</f>
        <v>11.2</v>
      </c>
      <c r="D206" s="330"/>
      <c r="E206" s="330">
        <f>E116</f>
        <v>0.4</v>
      </c>
      <c r="F206" s="330"/>
      <c r="G206" s="330"/>
      <c r="H206" s="330">
        <v>2</v>
      </c>
      <c r="I206" s="330"/>
      <c r="J206" s="330"/>
      <c r="K206" s="330"/>
      <c r="L206" s="330"/>
      <c r="M206" s="330">
        <v>2</v>
      </c>
      <c r="N206" s="330">
        <f>C206*E206*H206*M206</f>
        <v>17.919999999999998</v>
      </c>
      <c r="O206" s="349"/>
      <c r="P206" s="784"/>
      <c r="Q206" s="398"/>
      <c r="R206" s="779"/>
      <c r="S206" s="398"/>
      <c r="T206" s="398"/>
      <c r="U206" s="398"/>
      <c r="V206" s="738"/>
      <c r="W206" s="738"/>
      <c r="X206" s="738"/>
    </row>
    <row r="207" spans="1:24" ht="15.75" customHeight="1">
      <c r="A207" s="350"/>
      <c r="B207" s="567"/>
      <c r="C207" s="330">
        <f>C206</f>
        <v>11.2</v>
      </c>
      <c r="D207" s="330"/>
      <c r="E207" s="330">
        <f>D117</f>
        <v>0.2</v>
      </c>
      <c r="F207" s="330"/>
      <c r="G207" s="330"/>
      <c r="H207" s="330">
        <v>1</v>
      </c>
      <c r="I207" s="330"/>
      <c r="J207" s="330"/>
      <c r="K207" s="330"/>
      <c r="L207" s="330"/>
      <c r="M207" s="330">
        <f>M206</f>
        <v>2</v>
      </c>
      <c r="N207" s="330">
        <f>C207*E207*H207*M207</f>
        <v>4.4799999999999995</v>
      </c>
      <c r="O207" s="349"/>
      <c r="P207" s="784"/>
      <c r="Q207" s="398"/>
      <c r="R207" s="779"/>
      <c r="S207" s="398"/>
      <c r="T207" s="398"/>
      <c r="U207" s="398"/>
      <c r="V207" s="738"/>
      <c r="W207" s="738"/>
      <c r="X207" s="738"/>
    </row>
    <row r="208" spans="1:24" ht="15.75" customHeight="1">
      <c r="A208" s="350"/>
      <c r="B208" s="567"/>
      <c r="C208" s="330">
        <f>6-(0.2*2)</f>
        <v>5.6</v>
      </c>
      <c r="D208" s="330"/>
      <c r="E208" s="330">
        <f>E206</f>
        <v>0.4</v>
      </c>
      <c r="F208" s="330"/>
      <c r="G208" s="330"/>
      <c r="H208" s="330">
        <v>2</v>
      </c>
      <c r="I208" s="330"/>
      <c r="J208" s="330"/>
      <c r="K208" s="330">
        <v>1.2</v>
      </c>
      <c r="L208" s="330"/>
      <c r="M208" s="330">
        <v>2</v>
      </c>
      <c r="N208" s="330">
        <f>C208*(E208*H208+K208*2)*M208</f>
        <v>35.839999999999996</v>
      </c>
      <c r="O208" s="349"/>
      <c r="P208" s="784"/>
      <c r="Q208" s="398"/>
      <c r="R208" s="779"/>
      <c r="S208" s="398"/>
      <c r="T208" s="398"/>
      <c r="U208" s="398"/>
      <c r="V208" s="738"/>
      <c r="W208" s="738"/>
      <c r="X208" s="738"/>
    </row>
    <row r="209" spans="1:24" ht="15.75" customHeight="1">
      <c r="A209" s="350"/>
      <c r="B209" s="567"/>
      <c r="C209" s="330">
        <f>C208</f>
        <v>5.6</v>
      </c>
      <c r="D209" s="330"/>
      <c r="E209" s="330">
        <f>E207</f>
        <v>0.2</v>
      </c>
      <c r="F209" s="330"/>
      <c r="G209" s="330"/>
      <c r="H209" s="330">
        <v>1</v>
      </c>
      <c r="I209" s="330"/>
      <c r="J209" s="330">
        <v>1.2</v>
      </c>
      <c r="K209" s="330"/>
      <c r="L209" s="330"/>
      <c r="M209" s="330">
        <f>M208</f>
        <v>2</v>
      </c>
      <c r="N209" s="330">
        <f>C209*(E209*H209+J209)*M209</f>
        <v>15.679999999999998</v>
      </c>
      <c r="O209" s="349"/>
      <c r="P209" s="784"/>
      <c r="Q209" s="398"/>
      <c r="R209" s="779"/>
      <c r="S209" s="398"/>
      <c r="T209" s="398"/>
      <c r="U209" s="398"/>
      <c r="V209" s="738"/>
      <c r="W209" s="738"/>
      <c r="X209" s="738"/>
    </row>
    <row r="210" spans="1:24" ht="15.75" customHeight="1">
      <c r="A210" s="350"/>
      <c r="B210" s="567" t="s">
        <v>1019</v>
      </c>
      <c r="C210" s="330">
        <f>6-(0.2*2)</f>
        <v>5.6</v>
      </c>
      <c r="D210" s="330"/>
      <c r="E210" s="330">
        <v>0.15</v>
      </c>
      <c r="F210" s="330"/>
      <c r="G210" s="330"/>
      <c r="H210" s="330">
        <v>1</v>
      </c>
      <c r="I210" s="330"/>
      <c r="J210" s="330"/>
      <c r="K210" s="330"/>
      <c r="L210" s="330"/>
      <c r="M210" s="330">
        <v>1</v>
      </c>
      <c r="N210" s="330">
        <f>C210*E210*H210*M210</f>
        <v>0.84</v>
      </c>
      <c r="O210" s="349"/>
      <c r="P210" s="784"/>
      <c r="Q210" s="398"/>
      <c r="R210" s="779"/>
      <c r="S210" s="398"/>
      <c r="T210" s="398"/>
      <c r="U210" s="398"/>
      <c r="V210" s="738"/>
      <c r="W210" s="738"/>
      <c r="X210" s="738"/>
    </row>
    <row r="211" spans="1:24" ht="15.75" customHeight="1">
      <c r="A211" s="350"/>
      <c r="B211" s="567"/>
      <c r="C211" s="330">
        <f>C210</f>
        <v>5.6</v>
      </c>
      <c r="D211" s="330"/>
      <c r="E211" s="330">
        <v>0.2</v>
      </c>
      <c r="F211" s="330"/>
      <c r="G211" s="330"/>
      <c r="H211" s="330">
        <v>2</v>
      </c>
      <c r="I211" s="330"/>
      <c r="J211" s="330"/>
      <c r="K211" s="330"/>
      <c r="L211" s="330"/>
      <c r="M211" s="330">
        <v>1</v>
      </c>
      <c r="N211" s="752">
        <f>C211*E211*H211*M211</f>
        <v>2.2399999999999998</v>
      </c>
      <c r="O211" s="349"/>
      <c r="P211" s="784"/>
      <c r="Q211" s="398"/>
      <c r="R211" s="779"/>
      <c r="S211" s="398"/>
      <c r="T211" s="398"/>
      <c r="U211" s="398"/>
      <c r="V211" s="738"/>
      <c r="W211" s="738"/>
      <c r="X211" s="738"/>
    </row>
    <row r="212" spans="1:24" ht="15.75" customHeight="1">
      <c r="A212" s="350"/>
      <c r="B212" s="567"/>
      <c r="C212" s="330"/>
      <c r="D212" s="330"/>
      <c r="E212" s="330"/>
      <c r="F212" s="330"/>
      <c r="G212" s="330"/>
      <c r="H212" s="330"/>
      <c r="I212" s="330"/>
      <c r="J212" s="330"/>
      <c r="K212" s="330"/>
      <c r="L212" s="330"/>
      <c r="M212" s="330"/>
      <c r="N212" s="401">
        <f>SUM(N205:N211)</f>
        <v>105.63999999999999</v>
      </c>
      <c r="O212" s="349" t="s">
        <v>89</v>
      </c>
      <c r="P212" s="784">
        <f>ROUND((N212),2)</f>
        <v>105.64</v>
      </c>
      <c r="Q212" s="398"/>
      <c r="R212" s="779"/>
      <c r="S212" s="398"/>
      <c r="T212" s="398"/>
      <c r="U212" s="398"/>
      <c r="V212" s="738"/>
      <c r="W212" s="738"/>
      <c r="X212" s="738"/>
    </row>
    <row r="213" spans="1:24" ht="15.75" customHeight="1">
      <c r="A213" s="350">
        <f>A204+1</f>
        <v>5</v>
      </c>
      <c r="B213" s="591" t="s">
        <v>937</v>
      </c>
      <c r="C213" s="1194"/>
      <c r="D213" s="1194"/>
      <c r="E213" s="330"/>
      <c r="F213" s="330"/>
      <c r="G213" s="330"/>
      <c r="H213" s="330"/>
      <c r="I213" s="330"/>
      <c r="J213" s="330"/>
      <c r="K213" s="330"/>
      <c r="L213" s="330"/>
      <c r="M213" s="330"/>
      <c r="N213" s="330"/>
      <c r="O213" s="349"/>
      <c r="P213" s="784"/>
      <c r="Q213" s="398"/>
      <c r="R213" s="779"/>
      <c r="S213" s="398"/>
      <c r="T213" s="398"/>
      <c r="U213" s="398"/>
      <c r="V213" s="738"/>
      <c r="W213" s="738"/>
      <c r="X213" s="738"/>
    </row>
    <row r="214" spans="1:24" ht="15.75" customHeight="1">
      <c r="A214" s="350"/>
      <c r="B214" s="567" t="s">
        <v>1183</v>
      </c>
      <c r="C214" s="330">
        <v>12</v>
      </c>
      <c r="D214" s="330">
        <v>6</v>
      </c>
      <c r="E214" s="330"/>
      <c r="F214" s="330"/>
      <c r="G214" s="330"/>
      <c r="H214" s="330"/>
      <c r="I214" s="330"/>
      <c r="J214" s="330"/>
      <c r="K214" s="330"/>
      <c r="L214" s="330"/>
      <c r="M214" s="330"/>
      <c r="N214" s="330">
        <f>C214*D214</f>
        <v>72</v>
      </c>
      <c r="O214" s="349"/>
      <c r="P214" s="784"/>
      <c r="Q214" s="398"/>
      <c r="R214" s="779"/>
      <c r="S214" s="398"/>
      <c r="T214" s="398"/>
      <c r="U214" s="398"/>
      <c r="V214" s="738"/>
      <c r="W214" s="738"/>
      <c r="X214" s="738"/>
    </row>
    <row r="215" spans="1:24" ht="15.75" customHeight="1">
      <c r="A215" s="350"/>
      <c r="B215" s="567" t="s">
        <v>1029</v>
      </c>
      <c r="C215" s="330">
        <f>C214</f>
        <v>12</v>
      </c>
      <c r="D215" s="330">
        <v>0.55000000000000004</v>
      </c>
      <c r="E215" s="330"/>
      <c r="F215" s="330"/>
      <c r="G215" s="330"/>
      <c r="H215" s="330">
        <v>2</v>
      </c>
      <c r="I215" s="330"/>
      <c r="J215" s="330"/>
      <c r="K215" s="330"/>
      <c r="L215" s="330"/>
      <c r="M215" s="330"/>
      <c r="N215" s="330">
        <f>C215*D215*H215</f>
        <v>13.200000000000001</v>
      </c>
      <c r="O215" s="349"/>
      <c r="P215" s="784"/>
      <c r="Q215" s="398"/>
      <c r="R215" s="779"/>
      <c r="S215" s="398"/>
      <c r="T215" s="398"/>
      <c r="U215" s="398"/>
      <c r="V215" s="738"/>
      <c r="W215" s="738"/>
      <c r="X215" s="738"/>
    </row>
    <row r="216" spans="1:24" ht="15.75" customHeight="1">
      <c r="A216" s="350"/>
      <c r="B216" s="567"/>
      <c r="C216" s="330">
        <f>D214</f>
        <v>6</v>
      </c>
      <c r="D216" s="330">
        <f>D215</f>
        <v>0.55000000000000004</v>
      </c>
      <c r="E216" s="330"/>
      <c r="F216" s="330"/>
      <c r="G216" s="330"/>
      <c r="H216" s="330">
        <f>H215</f>
        <v>2</v>
      </c>
      <c r="I216" s="330"/>
      <c r="J216" s="330"/>
      <c r="K216" s="330"/>
      <c r="L216" s="330"/>
      <c r="M216" s="330"/>
      <c r="N216" s="752">
        <f>C216*D216*H216</f>
        <v>6.6000000000000005</v>
      </c>
      <c r="O216" s="349"/>
      <c r="P216" s="784"/>
      <c r="Q216" s="398"/>
      <c r="R216" s="779"/>
      <c r="S216" s="398"/>
      <c r="T216" s="398"/>
      <c r="U216" s="398"/>
      <c r="V216" s="738"/>
      <c r="W216" s="738"/>
      <c r="X216" s="738"/>
    </row>
    <row r="217" spans="1:24" ht="15.75" customHeight="1">
      <c r="A217" s="350"/>
      <c r="B217" s="567"/>
      <c r="C217" s="330"/>
      <c r="D217" s="330"/>
      <c r="E217" s="330"/>
      <c r="F217" s="330"/>
      <c r="G217" s="330"/>
      <c r="H217" s="330"/>
      <c r="I217" s="330"/>
      <c r="J217" s="330"/>
      <c r="K217" s="330"/>
      <c r="L217" s="330"/>
      <c r="M217" s="330"/>
      <c r="N217" s="401">
        <f>SUM(N214:N216)</f>
        <v>91.8</v>
      </c>
      <c r="O217" s="349" t="s">
        <v>89</v>
      </c>
      <c r="P217" s="784">
        <f>ROUND((N217),2)</f>
        <v>91.8</v>
      </c>
      <c r="Q217" s="398"/>
      <c r="R217" s="779"/>
      <c r="S217" s="398"/>
      <c r="T217" s="398"/>
      <c r="U217" s="398"/>
      <c r="V217" s="738"/>
      <c r="W217" s="738"/>
      <c r="X217" s="738"/>
    </row>
    <row r="218" spans="1:24" ht="15.75" customHeight="1">
      <c r="A218" s="350">
        <f>A213+1</f>
        <v>6</v>
      </c>
      <c r="B218" s="591" t="s">
        <v>437</v>
      </c>
      <c r="C218" s="1194"/>
      <c r="D218" s="1194"/>
      <c r="E218" s="330"/>
      <c r="F218" s="330"/>
      <c r="G218" s="330"/>
      <c r="H218" s="330"/>
      <c r="I218" s="330"/>
      <c r="J218" s="330"/>
      <c r="K218" s="330"/>
      <c r="L218" s="330"/>
      <c r="M218" s="330"/>
      <c r="N218" s="330"/>
      <c r="O218" s="349"/>
      <c r="P218" s="784"/>
      <c r="Q218" s="398"/>
      <c r="R218" s="779"/>
      <c r="S218" s="398"/>
      <c r="T218" s="398"/>
      <c r="U218" s="398"/>
      <c r="V218" s="738"/>
      <c r="W218" s="738"/>
      <c r="X218" s="738"/>
    </row>
    <row r="219" spans="1:24" ht="15.75" customHeight="1">
      <c r="A219" s="355" t="s">
        <v>95</v>
      </c>
      <c r="B219" s="591" t="s">
        <v>438</v>
      </c>
      <c r="C219" s="1194"/>
      <c r="D219" s="1194"/>
      <c r="E219" s="330"/>
      <c r="F219" s="330"/>
      <c r="G219" s="330"/>
      <c r="H219" s="330"/>
      <c r="I219" s="330"/>
      <c r="J219" s="330"/>
      <c r="K219" s="330"/>
      <c r="L219" s="330"/>
      <c r="M219" s="330"/>
      <c r="N219" s="330"/>
      <c r="O219" s="349"/>
      <c r="P219" s="784"/>
      <c r="Q219" s="398"/>
      <c r="R219" s="779"/>
      <c r="S219" s="398"/>
      <c r="T219" s="398"/>
      <c r="U219" s="398"/>
      <c r="V219" s="738"/>
      <c r="W219" s="738"/>
      <c r="X219" s="738"/>
    </row>
    <row r="220" spans="1:24" ht="15.75" customHeight="1">
      <c r="A220" s="355"/>
      <c r="B220" s="567" t="s">
        <v>1626</v>
      </c>
      <c r="C220" s="1194">
        <f>6.15+(0.3*2)</f>
        <v>6.75</v>
      </c>
      <c r="D220" s="1194">
        <v>0.1</v>
      </c>
      <c r="E220" s="330">
        <v>0.2</v>
      </c>
      <c r="F220" s="330"/>
      <c r="G220" s="330"/>
      <c r="H220" s="330"/>
      <c r="I220" s="330"/>
      <c r="J220" s="330"/>
      <c r="K220" s="330"/>
      <c r="L220" s="330"/>
      <c r="M220" s="330"/>
      <c r="N220" s="330">
        <f>C220*D220*E220</f>
        <v>0.13500000000000001</v>
      </c>
      <c r="O220" s="349"/>
      <c r="P220" s="784"/>
      <c r="Q220" s="398"/>
      <c r="R220" s="779"/>
      <c r="S220" s="398"/>
      <c r="T220" s="398"/>
      <c r="U220" s="398"/>
      <c r="V220" s="738"/>
      <c r="W220" s="738"/>
      <c r="X220" s="738"/>
    </row>
    <row r="221" spans="1:24" ht="15.75" customHeight="1">
      <c r="A221" s="355"/>
      <c r="B221" s="567" t="s">
        <v>1627</v>
      </c>
      <c r="C221" s="1194">
        <f>C220</f>
        <v>6.75</v>
      </c>
      <c r="D221" s="1194">
        <f>D220</f>
        <v>0.1</v>
      </c>
      <c r="E221" s="330">
        <v>0.2</v>
      </c>
      <c r="F221" s="330"/>
      <c r="G221" s="330"/>
      <c r="H221" s="330"/>
      <c r="I221" s="330"/>
      <c r="J221" s="330"/>
      <c r="K221" s="330"/>
      <c r="L221" s="330"/>
      <c r="M221" s="330"/>
      <c r="N221" s="752">
        <f>C221*D221*E221</f>
        <v>0.13500000000000001</v>
      </c>
      <c r="O221" s="349"/>
      <c r="P221" s="784"/>
      <c r="Q221" s="398"/>
      <c r="R221" s="779"/>
      <c r="S221" s="398"/>
      <c r="T221" s="398"/>
      <c r="U221" s="398"/>
      <c r="V221" s="738"/>
      <c r="W221" s="738"/>
      <c r="X221" s="738"/>
    </row>
    <row r="222" spans="1:24" ht="15.75" customHeight="1">
      <c r="A222" s="355"/>
      <c r="B222" s="591"/>
      <c r="C222" s="1194"/>
      <c r="D222" s="1194"/>
      <c r="E222" s="330"/>
      <c r="F222" s="330"/>
      <c r="G222" s="330"/>
      <c r="H222" s="330"/>
      <c r="I222" s="330"/>
      <c r="J222" s="330"/>
      <c r="K222" s="330"/>
      <c r="L222" s="330"/>
      <c r="M222" s="330"/>
      <c r="N222" s="330">
        <f>SUM(N220:N221)</f>
        <v>0.27</v>
      </c>
      <c r="O222" s="349" t="s">
        <v>103</v>
      </c>
      <c r="P222" s="784">
        <f>ROUND((N222),2)</f>
        <v>0.27</v>
      </c>
      <c r="Q222" s="398"/>
      <c r="R222" s="779"/>
      <c r="S222" s="398"/>
      <c r="T222" s="398"/>
      <c r="U222" s="398"/>
      <c r="V222" s="738"/>
      <c r="W222" s="738"/>
      <c r="X222" s="738"/>
    </row>
    <row r="223" spans="1:24" ht="15.75" customHeight="1">
      <c r="A223" s="355" t="s">
        <v>98</v>
      </c>
      <c r="B223" s="591" t="s">
        <v>439</v>
      </c>
      <c r="C223" s="1194"/>
      <c r="D223" s="1194"/>
      <c r="E223" s="330"/>
      <c r="F223" s="330"/>
      <c r="G223" s="330"/>
      <c r="H223" s="330"/>
      <c r="I223" s="330"/>
      <c r="J223" s="330"/>
      <c r="K223" s="330"/>
      <c r="L223" s="330"/>
      <c r="M223" s="330"/>
      <c r="N223" s="330"/>
      <c r="O223" s="349"/>
      <c r="P223" s="784"/>
      <c r="Q223" s="398"/>
      <c r="R223" s="779"/>
      <c r="S223" s="398"/>
      <c r="T223" s="398"/>
      <c r="U223" s="398"/>
      <c r="V223" s="738"/>
      <c r="W223" s="738"/>
      <c r="X223" s="738"/>
    </row>
    <row r="224" spans="1:24" ht="15.75" customHeight="1">
      <c r="A224" s="355"/>
      <c r="B224" s="567" t="str">
        <f>B220</f>
        <v>trap1</v>
      </c>
      <c r="C224" s="1194">
        <f>C220</f>
        <v>6.75</v>
      </c>
      <c r="D224" s="1194"/>
      <c r="E224" s="330">
        <f>0.1+E220</f>
        <v>0.30000000000000004</v>
      </c>
      <c r="F224" s="330"/>
      <c r="G224" s="330"/>
      <c r="H224" s="330"/>
      <c r="I224" s="330"/>
      <c r="J224" s="330"/>
      <c r="K224" s="330"/>
      <c r="L224" s="330"/>
      <c r="M224" s="330"/>
      <c r="N224" s="330">
        <f>C224*E224</f>
        <v>2.0250000000000004</v>
      </c>
      <c r="O224" s="349"/>
      <c r="P224" s="784"/>
      <c r="Q224" s="398"/>
      <c r="R224" s="779"/>
      <c r="S224" s="398"/>
      <c r="T224" s="398"/>
      <c r="U224" s="398"/>
      <c r="V224" s="738"/>
      <c r="W224" s="738"/>
      <c r="X224" s="738"/>
    </row>
    <row r="225" spans="1:24" ht="15.75" customHeight="1">
      <c r="A225" s="355"/>
      <c r="B225" s="567" t="str">
        <f>B221</f>
        <v>trap2</v>
      </c>
      <c r="C225" s="1194">
        <f>C221</f>
        <v>6.75</v>
      </c>
      <c r="D225" s="1194"/>
      <c r="E225" s="330">
        <f>0.2+E221</f>
        <v>0.4</v>
      </c>
      <c r="F225" s="330"/>
      <c r="G225" s="330"/>
      <c r="H225" s="330"/>
      <c r="I225" s="330"/>
      <c r="J225" s="330"/>
      <c r="K225" s="330"/>
      <c r="L225" s="330"/>
      <c r="M225" s="330"/>
      <c r="N225" s="752">
        <f>C225*E225</f>
        <v>2.7</v>
      </c>
      <c r="O225" s="349"/>
      <c r="P225" s="784"/>
      <c r="Q225" s="398"/>
      <c r="R225" s="779"/>
      <c r="S225" s="398"/>
      <c r="T225" s="398"/>
      <c r="U225" s="398"/>
      <c r="V225" s="738"/>
      <c r="W225" s="738"/>
      <c r="X225" s="738"/>
    </row>
    <row r="226" spans="1:24" ht="15.75" customHeight="1">
      <c r="A226" s="355"/>
      <c r="B226" s="591"/>
      <c r="C226" s="1194"/>
      <c r="D226" s="1194"/>
      <c r="E226" s="330"/>
      <c r="F226" s="330"/>
      <c r="G226" s="330"/>
      <c r="H226" s="330"/>
      <c r="I226" s="330"/>
      <c r="J226" s="330"/>
      <c r="K226" s="330"/>
      <c r="L226" s="330"/>
      <c r="M226" s="330"/>
      <c r="N226" s="330">
        <f>SUM(N224:N225)</f>
        <v>4.7250000000000005</v>
      </c>
      <c r="O226" s="349" t="s">
        <v>89</v>
      </c>
      <c r="P226" s="784">
        <f>ROUND((N226),2)</f>
        <v>4.7300000000000004</v>
      </c>
      <c r="Q226" s="398"/>
      <c r="R226" s="779"/>
      <c r="S226" s="398"/>
      <c r="T226" s="398"/>
      <c r="U226" s="398"/>
      <c r="V226" s="738"/>
      <c r="W226" s="738"/>
      <c r="X226" s="738"/>
    </row>
    <row r="227" spans="1:24" ht="15.75" customHeight="1">
      <c r="A227" s="355" t="s">
        <v>101</v>
      </c>
      <c r="B227" s="591" t="s">
        <v>916</v>
      </c>
      <c r="C227" s="1194"/>
      <c r="D227" s="1194"/>
      <c r="E227" s="330"/>
      <c r="F227" s="330"/>
      <c r="G227" s="330"/>
      <c r="H227" s="330"/>
      <c r="I227" s="330"/>
      <c r="J227" s="330"/>
      <c r="K227" s="330"/>
      <c r="L227" s="330"/>
      <c r="M227" s="330"/>
      <c r="N227" s="330"/>
      <c r="O227" s="349"/>
      <c r="P227" s="784"/>
      <c r="Q227" s="398"/>
      <c r="R227" s="779"/>
      <c r="S227" s="398"/>
      <c r="T227" s="398"/>
      <c r="U227" s="398"/>
      <c r="V227" s="738"/>
      <c r="W227" s="738"/>
      <c r="X227" s="738"/>
    </row>
    <row r="228" spans="1:24" ht="15.75" customHeight="1">
      <c r="A228" s="355"/>
      <c r="B228" s="567" t="str">
        <f>B224</f>
        <v>trap1</v>
      </c>
      <c r="C228" s="1194">
        <v>6.15</v>
      </c>
      <c r="D228" s="1194">
        <v>0.3</v>
      </c>
      <c r="E228" s="330">
        <f>0.1-0.06</f>
        <v>4.0000000000000008E-2</v>
      </c>
      <c r="F228" s="330"/>
      <c r="G228" s="330"/>
      <c r="H228" s="330"/>
      <c r="I228" s="330"/>
      <c r="J228" s="330"/>
      <c r="K228" s="330"/>
      <c r="L228" s="330"/>
      <c r="M228" s="330"/>
      <c r="N228" s="330">
        <f>C228*D228*E228</f>
        <v>7.3800000000000018E-2</v>
      </c>
      <c r="O228" s="349"/>
      <c r="P228" s="784"/>
      <c r="Q228" s="398"/>
      <c r="R228" s="779"/>
      <c r="S228" s="398"/>
      <c r="T228" s="398"/>
      <c r="U228" s="398"/>
      <c r="V228" s="738"/>
      <c r="W228" s="738"/>
      <c r="X228" s="738"/>
    </row>
    <row r="229" spans="1:24" ht="15.75" customHeight="1">
      <c r="A229" s="355"/>
      <c r="B229" s="567" t="str">
        <f>B225</f>
        <v>trap2</v>
      </c>
      <c r="C229" s="1194">
        <f>C228</f>
        <v>6.15</v>
      </c>
      <c r="D229" s="1194">
        <f>D228</f>
        <v>0.3</v>
      </c>
      <c r="E229" s="330">
        <f>0.2-0.06</f>
        <v>0.14000000000000001</v>
      </c>
      <c r="F229" s="330"/>
      <c r="G229" s="330"/>
      <c r="H229" s="330"/>
      <c r="I229" s="330"/>
      <c r="J229" s="330"/>
      <c r="K229" s="330"/>
      <c r="L229" s="330"/>
      <c r="M229" s="330"/>
      <c r="N229" s="752">
        <f>C229*D229*E229</f>
        <v>0.25830000000000003</v>
      </c>
      <c r="O229" s="349"/>
      <c r="P229" s="784"/>
      <c r="Q229" s="398"/>
      <c r="R229" s="779"/>
      <c r="S229" s="398"/>
      <c r="T229" s="398"/>
      <c r="U229" s="398"/>
      <c r="V229" s="738"/>
      <c r="W229" s="738"/>
      <c r="X229" s="738"/>
    </row>
    <row r="230" spans="1:24" ht="15.75" customHeight="1">
      <c r="A230" s="355"/>
      <c r="B230" s="591"/>
      <c r="C230" s="1194"/>
      <c r="D230" s="1194"/>
      <c r="E230" s="330"/>
      <c r="F230" s="330"/>
      <c r="G230" s="330"/>
      <c r="H230" s="330"/>
      <c r="I230" s="330"/>
      <c r="J230" s="330"/>
      <c r="K230" s="330"/>
      <c r="L230" s="330"/>
      <c r="M230" s="330"/>
      <c r="N230" s="330">
        <f>SUM(N228:N229)</f>
        <v>0.33210000000000006</v>
      </c>
      <c r="O230" s="349" t="s">
        <v>103</v>
      </c>
      <c r="P230" s="784">
        <f>ROUND((N230),2)</f>
        <v>0.33</v>
      </c>
      <c r="Q230" s="398"/>
      <c r="R230" s="779"/>
      <c r="S230" s="398"/>
      <c r="T230" s="398"/>
      <c r="U230" s="398"/>
      <c r="V230" s="738"/>
      <c r="W230" s="738"/>
      <c r="X230" s="738"/>
    </row>
    <row r="231" spans="1:24" ht="15.75" customHeight="1">
      <c r="A231" s="355" t="s">
        <v>121</v>
      </c>
      <c r="B231" s="591" t="s">
        <v>935</v>
      </c>
      <c r="C231" s="1194"/>
      <c r="D231" s="1194"/>
      <c r="E231" s="330"/>
      <c r="F231" s="330"/>
      <c r="G231" s="330"/>
      <c r="H231" s="330"/>
      <c r="I231" s="330"/>
      <c r="J231" s="330"/>
      <c r="K231" s="330"/>
      <c r="L231" s="330"/>
      <c r="M231" s="330"/>
      <c r="N231" s="330"/>
      <c r="O231" s="349"/>
      <c r="P231" s="784"/>
      <c r="Q231" s="398"/>
      <c r="R231" s="779"/>
      <c r="S231" s="398"/>
      <c r="T231" s="398"/>
      <c r="U231" s="398"/>
      <c r="V231" s="738"/>
      <c r="W231" s="738"/>
      <c r="X231" s="738"/>
    </row>
    <row r="232" spans="1:24" ht="15.75" customHeight="1">
      <c r="A232" s="355"/>
      <c r="B232" s="567" t="str">
        <f t="shared" ref="B232:D233" si="4">B228</f>
        <v>trap1</v>
      </c>
      <c r="C232" s="1194">
        <f t="shared" si="4"/>
        <v>6.15</v>
      </c>
      <c r="D232" s="1194">
        <f t="shared" si="4"/>
        <v>0.3</v>
      </c>
      <c r="E232" s="1194">
        <v>0.06</v>
      </c>
      <c r="F232" s="330"/>
      <c r="G232" s="330"/>
      <c r="H232" s="330"/>
      <c r="I232" s="330"/>
      <c r="J232" s="330"/>
      <c r="K232" s="330"/>
      <c r="L232" s="330"/>
      <c r="M232" s="330"/>
      <c r="N232" s="330">
        <f>C232*D232*E232</f>
        <v>0.11069999999999999</v>
      </c>
      <c r="O232" s="349"/>
      <c r="P232" s="784"/>
      <c r="Q232" s="398"/>
      <c r="R232" s="779"/>
      <c r="S232" s="398"/>
      <c r="T232" s="398"/>
      <c r="U232" s="398"/>
      <c r="V232" s="738"/>
      <c r="W232" s="738"/>
      <c r="X232" s="738"/>
    </row>
    <row r="233" spans="1:24" ht="15.75" customHeight="1">
      <c r="A233" s="355"/>
      <c r="B233" s="567" t="str">
        <f t="shared" si="4"/>
        <v>trap2</v>
      </c>
      <c r="C233" s="1194">
        <f t="shared" si="4"/>
        <v>6.15</v>
      </c>
      <c r="D233" s="1194">
        <f t="shared" si="4"/>
        <v>0.3</v>
      </c>
      <c r="E233" s="1194">
        <f>E232</f>
        <v>0.06</v>
      </c>
      <c r="F233" s="330"/>
      <c r="G233" s="330"/>
      <c r="H233" s="330"/>
      <c r="I233" s="330"/>
      <c r="J233" s="330"/>
      <c r="K233" s="330"/>
      <c r="L233" s="330"/>
      <c r="M233" s="330"/>
      <c r="N233" s="752">
        <f>C233*D233*E233</f>
        <v>0.11069999999999999</v>
      </c>
      <c r="O233" s="349"/>
      <c r="P233" s="784"/>
      <c r="Q233" s="398"/>
      <c r="R233" s="779"/>
      <c r="S233" s="398"/>
      <c r="T233" s="398"/>
      <c r="U233" s="398"/>
      <c r="V233" s="738"/>
      <c r="W233" s="738"/>
      <c r="X233" s="738"/>
    </row>
    <row r="234" spans="1:24" ht="15.75" customHeight="1">
      <c r="A234" s="355"/>
      <c r="B234" s="591"/>
      <c r="C234" s="1194"/>
      <c r="D234" s="1194"/>
      <c r="E234" s="330"/>
      <c r="F234" s="330"/>
      <c r="G234" s="330"/>
      <c r="H234" s="330"/>
      <c r="I234" s="330"/>
      <c r="J234" s="330"/>
      <c r="K234" s="330"/>
      <c r="L234" s="330"/>
      <c r="M234" s="330"/>
      <c r="N234" s="330">
        <f>SUM(N232:N233)</f>
        <v>0.22139999999999999</v>
      </c>
      <c r="O234" s="349" t="s">
        <v>103</v>
      </c>
      <c r="P234" s="784">
        <f>ROUND((N234),2)</f>
        <v>0.22</v>
      </c>
      <c r="Q234" s="398"/>
      <c r="R234" s="779"/>
      <c r="S234" s="398"/>
      <c r="T234" s="398"/>
      <c r="U234" s="398"/>
      <c r="V234" s="738"/>
      <c r="W234" s="738"/>
      <c r="X234" s="738"/>
    </row>
    <row r="235" spans="1:24" ht="15.75" customHeight="1">
      <c r="A235" s="355" t="s">
        <v>142</v>
      </c>
      <c r="B235" s="591" t="s">
        <v>912</v>
      </c>
      <c r="C235" s="1194"/>
      <c r="D235" s="1194"/>
      <c r="E235" s="330"/>
      <c r="F235" s="330"/>
      <c r="G235" s="330"/>
      <c r="H235" s="330"/>
      <c r="I235" s="330"/>
      <c r="J235" s="330"/>
      <c r="K235" s="330"/>
      <c r="L235" s="330"/>
      <c r="M235" s="330"/>
      <c r="N235" s="330"/>
      <c r="O235" s="349"/>
      <c r="P235" s="784"/>
      <c r="Q235" s="398"/>
      <c r="R235" s="779"/>
      <c r="S235" s="398"/>
      <c r="T235" s="398"/>
      <c r="U235" s="398"/>
      <c r="V235" s="738"/>
      <c r="W235" s="738"/>
      <c r="X235" s="738"/>
    </row>
    <row r="236" spans="1:24" ht="15.75" customHeight="1">
      <c r="A236" s="355"/>
      <c r="B236" s="567" t="str">
        <f t="shared" ref="B236:D237" si="5">B232</f>
        <v>trap1</v>
      </c>
      <c r="C236" s="1194">
        <f t="shared" si="5"/>
        <v>6.15</v>
      </c>
      <c r="D236" s="1194">
        <f t="shared" si="5"/>
        <v>0.3</v>
      </c>
      <c r="E236" s="330"/>
      <c r="F236" s="330"/>
      <c r="G236" s="330"/>
      <c r="H236" s="330"/>
      <c r="I236" s="330"/>
      <c r="J236" s="330"/>
      <c r="K236" s="330"/>
      <c r="L236" s="330"/>
      <c r="M236" s="330"/>
      <c r="N236" s="330">
        <f>C236*D236</f>
        <v>1.845</v>
      </c>
      <c r="O236" s="349"/>
      <c r="P236" s="784"/>
      <c r="Q236" s="398"/>
      <c r="R236" s="779"/>
      <c r="S236" s="398"/>
      <c r="T236" s="398"/>
      <c r="U236" s="398"/>
      <c r="V236" s="738"/>
      <c r="W236" s="738"/>
      <c r="X236" s="738"/>
    </row>
    <row r="237" spans="1:24" ht="15.75" customHeight="1">
      <c r="A237" s="355"/>
      <c r="B237" s="567" t="str">
        <f t="shared" si="5"/>
        <v>trap2</v>
      </c>
      <c r="C237" s="1194">
        <f t="shared" si="5"/>
        <v>6.15</v>
      </c>
      <c r="D237" s="1194">
        <f t="shared" si="5"/>
        <v>0.3</v>
      </c>
      <c r="E237" s="330"/>
      <c r="F237" s="330"/>
      <c r="G237" s="330"/>
      <c r="H237" s="330"/>
      <c r="I237" s="330"/>
      <c r="J237" s="330"/>
      <c r="K237" s="330"/>
      <c r="L237" s="330"/>
      <c r="M237" s="330"/>
      <c r="N237" s="752">
        <f>C237*D237</f>
        <v>1.845</v>
      </c>
      <c r="O237" s="349"/>
      <c r="P237" s="784"/>
      <c r="Q237" s="398"/>
      <c r="R237" s="779"/>
      <c r="S237" s="398"/>
      <c r="T237" s="398"/>
      <c r="U237" s="398"/>
      <c r="V237" s="738"/>
      <c r="W237" s="738"/>
      <c r="X237" s="738"/>
    </row>
    <row r="238" spans="1:24" ht="15.75" customHeight="1">
      <c r="A238" s="355"/>
      <c r="B238" s="591"/>
      <c r="C238" s="1194"/>
      <c r="D238" s="1194"/>
      <c r="E238" s="330"/>
      <c r="F238" s="330"/>
      <c r="G238" s="330"/>
      <c r="H238" s="330"/>
      <c r="I238" s="330"/>
      <c r="J238" s="330"/>
      <c r="K238" s="330"/>
      <c r="L238" s="330"/>
      <c r="M238" s="330"/>
      <c r="N238" s="330">
        <f>SUM(N236:N237)</f>
        <v>3.69</v>
      </c>
      <c r="O238" s="349" t="s">
        <v>89</v>
      </c>
      <c r="P238" s="784">
        <f>ROUND((N238),2)</f>
        <v>3.69</v>
      </c>
      <c r="Q238" s="398"/>
      <c r="R238" s="779"/>
      <c r="S238" s="398"/>
      <c r="T238" s="398"/>
      <c r="U238" s="398"/>
      <c r="V238" s="738"/>
      <c r="W238" s="738"/>
      <c r="X238" s="738"/>
    </row>
    <row r="239" spans="1:24" ht="15.75" customHeight="1">
      <c r="A239" s="350">
        <f>A218+1</f>
        <v>7</v>
      </c>
      <c r="B239" s="591" t="s">
        <v>936</v>
      </c>
      <c r="C239" s="1194">
        <v>12</v>
      </c>
      <c r="D239" s="1194">
        <v>6</v>
      </c>
      <c r="E239" s="330"/>
      <c r="F239" s="330"/>
      <c r="G239" s="330"/>
      <c r="H239" s="330"/>
      <c r="I239" s="330"/>
      <c r="J239" s="330"/>
      <c r="K239" s="330"/>
      <c r="L239" s="330"/>
      <c r="M239" s="330"/>
      <c r="N239" s="330">
        <f>C239*D239</f>
        <v>72</v>
      </c>
      <c r="O239" s="349" t="s">
        <v>89</v>
      </c>
      <c r="P239" s="784">
        <f>ROUND((N239),2)</f>
        <v>72</v>
      </c>
      <c r="Q239" s="398"/>
      <c r="R239" s="779"/>
      <c r="S239" s="398"/>
      <c r="T239" s="398"/>
      <c r="U239" s="398"/>
      <c r="V239" s="738"/>
      <c r="W239" s="738"/>
      <c r="X239" s="738"/>
    </row>
    <row r="240" spans="1:24" ht="15.75" customHeight="1">
      <c r="A240" s="350">
        <f>A239+1</f>
        <v>8</v>
      </c>
      <c r="B240" s="591" t="s">
        <v>450</v>
      </c>
      <c r="C240" s="1194"/>
      <c r="D240" s="1194"/>
      <c r="E240" s="330"/>
      <c r="F240" s="330"/>
      <c r="G240" s="330"/>
      <c r="H240" s="330"/>
      <c r="I240" s="330"/>
      <c r="J240" s="330"/>
      <c r="K240" s="330"/>
      <c r="L240" s="330"/>
      <c r="M240" s="330"/>
      <c r="N240" s="330"/>
      <c r="O240" s="349"/>
      <c r="P240" s="784"/>
      <c r="Q240" s="398"/>
      <c r="R240" s="779"/>
      <c r="S240" s="398"/>
      <c r="T240" s="398"/>
      <c r="U240" s="398"/>
      <c r="V240" s="738"/>
      <c r="W240" s="738"/>
      <c r="X240" s="738"/>
    </row>
    <row r="241" spans="1:24" ht="15.75" customHeight="1">
      <c r="A241" s="350"/>
      <c r="B241" s="567" t="s">
        <v>1628</v>
      </c>
      <c r="C241" s="1194"/>
      <c r="D241" s="1194"/>
      <c r="E241" s="330"/>
      <c r="F241" s="330"/>
      <c r="G241" s="330"/>
      <c r="H241" s="330"/>
      <c r="I241" s="330"/>
      <c r="J241" s="330"/>
      <c r="K241" s="330"/>
      <c r="L241" s="330"/>
      <c r="M241" s="330"/>
      <c r="N241" s="330">
        <f>N203</f>
        <v>80.316400000000002</v>
      </c>
      <c r="O241" s="349"/>
      <c r="P241" s="784"/>
      <c r="Q241" s="398"/>
      <c r="R241" s="779"/>
      <c r="S241" s="398"/>
      <c r="T241" s="398"/>
      <c r="U241" s="398"/>
      <c r="V241" s="738"/>
      <c r="W241" s="738"/>
      <c r="X241" s="738"/>
    </row>
    <row r="242" spans="1:24" ht="15.75" customHeight="1">
      <c r="A242" s="350"/>
      <c r="B242" s="567" t="s">
        <v>1629</v>
      </c>
      <c r="C242" s="1194"/>
      <c r="D242" s="1194"/>
      <c r="E242" s="330"/>
      <c r="F242" s="330"/>
      <c r="G242" s="330"/>
      <c r="H242" s="330"/>
      <c r="I242" s="330"/>
      <c r="J242" s="330"/>
      <c r="K242" s="330"/>
      <c r="L242" s="330"/>
      <c r="M242" s="330"/>
      <c r="N242" s="752">
        <f>N212</f>
        <v>105.63999999999999</v>
      </c>
      <c r="O242" s="349"/>
      <c r="P242" s="784"/>
      <c r="Q242" s="398"/>
      <c r="R242" s="779"/>
      <c r="S242" s="398"/>
      <c r="T242" s="398"/>
      <c r="U242" s="398"/>
      <c r="V242" s="738"/>
      <c r="W242" s="738"/>
      <c r="X242" s="738"/>
    </row>
    <row r="243" spans="1:24" ht="15.75" customHeight="1">
      <c r="A243" s="350"/>
      <c r="B243" s="591"/>
      <c r="C243" s="1194"/>
      <c r="D243" s="1194"/>
      <c r="E243" s="330"/>
      <c r="F243" s="330"/>
      <c r="G243" s="330"/>
      <c r="H243" s="330"/>
      <c r="I243" s="330"/>
      <c r="J243" s="330"/>
      <c r="K243" s="330"/>
      <c r="L243" s="330"/>
      <c r="M243" s="330"/>
      <c r="N243" s="330">
        <f>SUM(N241:N242)</f>
        <v>185.95639999999997</v>
      </c>
      <c r="O243" s="349" t="s">
        <v>89</v>
      </c>
      <c r="P243" s="784">
        <f>ROUND((N243),2)</f>
        <v>185.96</v>
      </c>
      <c r="Q243" s="398"/>
      <c r="R243" s="779"/>
      <c r="S243" s="398"/>
      <c r="T243" s="398"/>
      <c r="U243" s="398"/>
      <c r="V243" s="738"/>
      <c r="W243" s="738"/>
      <c r="X243" s="738"/>
    </row>
    <row r="244" spans="1:24" ht="15.75" customHeight="1">
      <c r="A244" s="350">
        <f>A240+1</f>
        <v>9</v>
      </c>
      <c r="B244" s="591" t="s">
        <v>451</v>
      </c>
      <c r="C244" s="1194" t="s">
        <v>1630</v>
      </c>
      <c r="D244" s="1194"/>
      <c r="E244" s="330"/>
      <c r="F244" s="330"/>
      <c r="G244" s="330"/>
      <c r="H244" s="330"/>
      <c r="I244" s="330"/>
      <c r="J244" s="330"/>
      <c r="K244" s="330"/>
      <c r="L244" s="330"/>
      <c r="M244" s="330"/>
      <c r="N244" s="330">
        <f>N217</f>
        <v>91.8</v>
      </c>
      <c r="O244" s="349" t="s">
        <v>89</v>
      </c>
      <c r="P244" s="784">
        <f>ROUND((N244),2)</f>
        <v>91.8</v>
      </c>
      <c r="Q244" s="398"/>
      <c r="R244" s="779"/>
      <c r="S244" s="398"/>
      <c r="T244" s="398"/>
      <c r="U244" s="398"/>
      <c r="V244" s="738"/>
      <c r="W244" s="738"/>
      <c r="X244" s="738"/>
    </row>
    <row r="245" spans="1:24" ht="15.75" customHeight="1">
      <c r="A245" s="350">
        <f>A244+1</f>
        <v>10</v>
      </c>
      <c r="B245" s="591" t="s">
        <v>454</v>
      </c>
      <c r="C245" s="1194"/>
      <c r="D245" s="1194"/>
      <c r="E245" s="330"/>
      <c r="F245" s="330"/>
      <c r="G245" s="330"/>
      <c r="H245" s="330"/>
      <c r="I245" s="330"/>
      <c r="J245" s="330"/>
      <c r="K245" s="330"/>
      <c r="L245" s="330"/>
      <c r="M245" s="330">
        <v>1</v>
      </c>
      <c r="N245" s="330">
        <f>M245</f>
        <v>1</v>
      </c>
      <c r="O245" s="349" t="s">
        <v>360</v>
      </c>
      <c r="P245" s="784">
        <f>ROUND((N245),2)</f>
        <v>1</v>
      </c>
      <c r="Q245" s="398"/>
      <c r="R245" s="779"/>
      <c r="S245" s="398"/>
      <c r="T245" s="398"/>
      <c r="U245" s="398"/>
      <c r="V245" s="738"/>
      <c r="W245" s="738"/>
      <c r="X245" s="738"/>
    </row>
    <row r="246" spans="1:24" ht="15.75" customHeight="1">
      <c r="A246" s="350">
        <f>A245+1</f>
        <v>11</v>
      </c>
      <c r="B246" s="591" t="s">
        <v>938</v>
      </c>
      <c r="C246" s="1194"/>
      <c r="D246" s="1194"/>
      <c r="E246" s="330"/>
      <c r="F246" s="330"/>
      <c r="G246" s="330"/>
      <c r="H246" s="330"/>
      <c r="I246" s="330"/>
      <c r="J246" s="330"/>
      <c r="K246" s="330"/>
      <c r="L246" s="330"/>
      <c r="M246" s="330">
        <v>12</v>
      </c>
      <c r="N246" s="330">
        <f>M246</f>
        <v>12</v>
      </c>
      <c r="O246" s="349" t="s">
        <v>124</v>
      </c>
      <c r="P246" s="784">
        <f>ROUND((N246),2)</f>
        <v>12</v>
      </c>
      <c r="Q246" s="398"/>
      <c r="R246" s="779"/>
      <c r="S246" s="398"/>
      <c r="T246" s="398"/>
      <c r="U246" s="398"/>
      <c r="V246" s="738"/>
      <c r="W246" s="738"/>
      <c r="X246" s="738"/>
    </row>
    <row r="247" spans="1:24" s="554" customFormat="1" ht="15.75" customHeight="1">
      <c r="A247" s="350">
        <f>A246+1</f>
        <v>12</v>
      </c>
      <c r="B247" s="591" t="s">
        <v>443</v>
      </c>
      <c r="C247" s="348"/>
      <c r="D247" s="348"/>
      <c r="E247" s="348"/>
      <c r="F247" s="348"/>
      <c r="G247" s="348"/>
      <c r="H247" s="348"/>
      <c r="I247" s="348"/>
      <c r="J247" s="348"/>
      <c r="K247" s="348"/>
      <c r="L247" s="348"/>
      <c r="M247" s="348"/>
      <c r="N247" s="343"/>
      <c r="O247" s="349"/>
      <c r="P247" s="784"/>
      <c r="Q247" s="398"/>
      <c r="R247" s="564"/>
      <c r="S247" s="398"/>
      <c r="T247" s="398"/>
      <c r="U247" s="398"/>
      <c r="V247" s="555"/>
      <c r="W247" s="555"/>
      <c r="X247" s="555"/>
    </row>
    <row r="248" spans="1:24" s="554" customFormat="1" ht="24.75" customHeight="1">
      <c r="A248" s="355" t="s">
        <v>95</v>
      </c>
      <c r="B248" s="593" t="s">
        <v>537</v>
      </c>
      <c r="C248" s="348">
        <v>8.0779999999999994</v>
      </c>
      <c r="D248" s="493"/>
      <c r="E248" s="348"/>
      <c r="F248" s="348">
        <v>9</v>
      </c>
      <c r="G248" s="348"/>
      <c r="H248" s="348">
        <v>1</v>
      </c>
      <c r="I248" s="348"/>
      <c r="J248" s="348"/>
      <c r="K248" s="348"/>
      <c r="L248" s="348"/>
      <c r="M248" s="348">
        <v>3</v>
      </c>
      <c r="N248" s="343">
        <f>M248*F248*C248*H248</f>
        <v>218.10599999999999</v>
      </c>
      <c r="O248" s="349" t="s">
        <v>89</v>
      </c>
      <c r="P248" s="784"/>
      <c r="Q248" s="398"/>
      <c r="R248" s="564"/>
      <c r="S248" s="398"/>
      <c r="T248" s="398"/>
      <c r="U248" s="398"/>
      <c r="V248" s="555"/>
      <c r="W248" s="555"/>
      <c r="X248" s="555"/>
    </row>
    <row r="249" spans="1:24" s="554" customFormat="1" ht="28.5" customHeight="1">
      <c r="A249" s="355" t="s">
        <v>98</v>
      </c>
      <c r="B249" s="593" t="s">
        <v>538</v>
      </c>
      <c r="C249" s="348">
        <f>C257</f>
        <v>13.75</v>
      </c>
      <c r="D249" s="493"/>
      <c r="E249" s="348"/>
      <c r="F249" s="348">
        <f>ROUNDUP((D253/0.5),0)</f>
        <v>10</v>
      </c>
      <c r="G249" s="348"/>
      <c r="H249" s="348">
        <v>2</v>
      </c>
      <c r="I249" s="348"/>
      <c r="J249" s="348"/>
      <c r="K249" s="348"/>
      <c r="L249" s="348"/>
      <c r="M249" s="348"/>
      <c r="N249" s="343">
        <f>H249*F249*C249</f>
        <v>275</v>
      </c>
      <c r="O249" s="349" t="s">
        <v>1178</v>
      </c>
      <c r="P249" s="784"/>
      <c r="Q249" s="398"/>
      <c r="R249" s="564"/>
      <c r="S249" s="398"/>
      <c r="T249" s="398"/>
      <c r="U249" s="398"/>
      <c r="V249" s="555"/>
      <c r="W249" s="555"/>
      <c r="X249" s="555"/>
    </row>
    <row r="250" spans="1:24" s="554" customFormat="1" ht="15.75" customHeight="1">
      <c r="A250" s="355" t="s">
        <v>101</v>
      </c>
      <c r="B250" s="351" t="s">
        <v>823</v>
      </c>
      <c r="C250" s="348"/>
      <c r="D250" s="352"/>
      <c r="E250" s="348"/>
      <c r="F250" s="348"/>
      <c r="G250" s="348"/>
      <c r="H250" s="348"/>
      <c r="I250" s="348"/>
      <c r="J250" s="348"/>
      <c r="K250" s="348"/>
      <c r="L250" s="348"/>
      <c r="M250" s="348"/>
      <c r="N250" s="565">
        <f>SUM(N251:N252)</f>
        <v>72</v>
      </c>
      <c r="O250" s="349" t="s">
        <v>824</v>
      </c>
      <c r="P250" s="784"/>
      <c r="Q250" s="398"/>
      <c r="R250" s="564"/>
      <c r="S250" s="398"/>
      <c r="T250" s="398"/>
      <c r="U250" s="398"/>
      <c r="V250" s="555"/>
      <c r="W250" s="555"/>
      <c r="X250" s="555"/>
    </row>
    <row r="251" spans="1:24" s="554" customFormat="1" ht="15.75" customHeight="1">
      <c r="A251" s="355"/>
      <c r="B251" s="589" t="s">
        <v>1024</v>
      </c>
      <c r="C251" s="348"/>
      <c r="D251" s="352"/>
      <c r="E251" s="348"/>
      <c r="F251" s="348">
        <v>2</v>
      </c>
      <c r="G251" s="348">
        <v>2</v>
      </c>
      <c r="H251" s="348">
        <v>2</v>
      </c>
      <c r="I251" s="348"/>
      <c r="J251" s="348"/>
      <c r="K251" s="348"/>
      <c r="L251" s="348"/>
      <c r="M251" s="348">
        <f>M248*3</f>
        <v>9</v>
      </c>
      <c r="N251" s="343">
        <f>M251*H251*G251*F251</f>
        <v>72</v>
      </c>
      <c r="O251" s="349" t="s">
        <v>824</v>
      </c>
      <c r="P251" s="784"/>
      <c r="Q251" s="398"/>
      <c r="R251" s="564"/>
      <c r="S251" s="398"/>
      <c r="T251" s="398"/>
      <c r="U251" s="398"/>
      <c r="V251" s="555"/>
      <c r="W251" s="555"/>
      <c r="X251" s="555"/>
    </row>
    <row r="252" spans="1:24" s="554" customFormat="1" ht="15.75" customHeight="1">
      <c r="A252" s="355"/>
      <c r="B252" s="589" t="s">
        <v>1025</v>
      </c>
      <c r="C252" s="348"/>
      <c r="D252" s="352"/>
      <c r="E252" s="348"/>
      <c r="F252" s="348">
        <v>2</v>
      </c>
      <c r="G252" s="348">
        <v>5</v>
      </c>
      <c r="H252" s="348">
        <v>1</v>
      </c>
      <c r="I252" s="348"/>
      <c r="J252" s="348"/>
      <c r="K252" s="348"/>
      <c r="L252" s="348"/>
      <c r="M252" s="348">
        <v>0</v>
      </c>
      <c r="N252" s="343">
        <f>M252*H252*G252*F252</f>
        <v>0</v>
      </c>
      <c r="O252" s="349" t="s">
        <v>824</v>
      </c>
      <c r="P252" s="784"/>
      <c r="Q252" s="398"/>
      <c r="R252" s="564"/>
      <c r="S252" s="398"/>
      <c r="T252" s="398"/>
      <c r="U252" s="398"/>
      <c r="V252" s="555"/>
      <c r="W252" s="555"/>
      <c r="X252" s="555"/>
    </row>
    <row r="253" spans="1:24" s="554" customFormat="1" ht="15.75" customHeight="1">
      <c r="A253" s="355" t="s">
        <v>121</v>
      </c>
      <c r="B253" s="351" t="s">
        <v>1179</v>
      </c>
      <c r="C253" s="348">
        <f>C249</f>
        <v>13.75</v>
      </c>
      <c r="D253" s="594">
        <f>C258</f>
        <v>4.8339999999999996</v>
      </c>
      <c r="E253" s="348"/>
      <c r="F253" s="348"/>
      <c r="G253" s="348"/>
      <c r="H253" s="348"/>
      <c r="I253" s="348"/>
      <c r="J253" s="348"/>
      <c r="K253" s="348"/>
      <c r="L253" s="348"/>
      <c r="M253" s="348">
        <v>2</v>
      </c>
      <c r="N253" s="343">
        <f>M253*D253*C253</f>
        <v>132.935</v>
      </c>
      <c r="O253" s="349" t="s">
        <v>89</v>
      </c>
      <c r="P253" s="784"/>
      <c r="Q253" s="398"/>
      <c r="R253" s="564"/>
      <c r="S253" s="398"/>
      <c r="T253" s="398"/>
      <c r="U253" s="398"/>
      <c r="V253" s="555"/>
      <c r="W253" s="555"/>
      <c r="X253" s="555"/>
    </row>
    <row r="254" spans="1:24" s="554" customFormat="1" ht="15.75" customHeight="1">
      <c r="A254" s="355" t="s">
        <v>142</v>
      </c>
      <c r="B254" s="351" t="s">
        <v>1180</v>
      </c>
      <c r="C254" s="348">
        <f>C253</f>
        <v>13.75</v>
      </c>
      <c r="D254" s="352"/>
      <c r="E254" s="348"/>
      <c r="F254" s="348"/>
      <c r="G254" s="348"/>
      <c r="H254" s="348"/>
      <c r="I254" s="348"/>
      <c r="J254" s="348"/>
      <c r="K254" s="348"/>
      <c r="L254" s="348"/>
      <c r="M254" s="348"/>
      <c r="N254" s="343">
        <f>C254</f>
        <v>13.75</v>
      </c>
      <c r="O254" s="349" t="s">
        <v>1178</v>
      </c>
      <c r="P254" s="784"/>
      <c r="Q254" s="398"/>
      <c r="R254" s="564"/>
      <c r="S254" s="398"/>
      <c r="T254" s="398"/>
      <c r="U254" s="398"/>
      <c r="V254" s="555"/>
      <c r="W254" s="555"/>
      <c r="X254" s="555"/>
    </row>
    <row r="255" spans="1:24" s="554" customFormat="1" ht="15.75" customHeight="1">
      <c r="A255" s="350"/>
      <c r="B255" s="567"/>
      <c r="C255" s="348"/>
      <c r="D255" s="348"/>
      <c r="E255" s="348"/>
      <c r="F255" s="348"/>
      <c r="G255" s="348"/>
      <c r="H255" s="348"/>
      <c r="I255" s="348"/>
      <c r="J255" s="348"/>
      <c r="K255" s="348"/>
      <c r="L255" s="348"/>
      <c r="M255" s="348"/>
      <c r="N255" s="343"/>
      <c r="O255" s="349"/>
      <c r="P255" s="784"/>
      <c r="Q255" s="398"/>
      <c r="R255" s="564"/>
      <c r="S255" s="398"/>
      <c r="T255" s="398"/>
      <c r="U255" s="398"/>
      <c r="V255" s="555"/>
      <c r="W255" s="555"/>
      <c r="X255" s="555"/>
    </row>
    <row r="256" spans="1:24" ht="15.75" customHeight="1">
      <c r="A256" s="350">
        <f>A247+1</f>
        <v>13</v>
      </c>
      <c r="B256" s="591" t="s">
        <v>452</v>
      </c>
      <c r="C256" s="1194"/>
      <c r="D256" s="1194"/>
      <c r="E256" s="330"/>
      <c r="F256" s="330"/>
      <c r="G256" s="330"/>
      <c r="H256" s="330"/>
      <c r="I256" s="330"/>
      <c r="J256" s="330"/>
      <c r="K256" s="330"/>
      <c r="L256" s="330"/>
      <c r="M256" s="330"/>
      <c r="N256" s="330"/>
      <c r="O256" s="349"/>
      <c r="P256" s="784"/>
      <c r="Q256" s="398"/>
      <c r="R256" s="779"/>
      <c r="S256" s="398"/>
      <c r="T256" s="398"/>
      <c r="U256" s="398"/>
      <c r="V256" s="738"/>
      <c r="W256" s="738"/>
      <c r="X256" s="738"/>
    </row>
    <row r="257" spans="1:24" ht="15.75" customHeight="1">
      <c r="A257" s="350"/>
      <c r="B257" s="591"/>
      <c r="C257" s="330">
        <v>13.75</v>
      </c>
      <c r="D257" s="330"/>
      <c r="E257" s="330"/>
      <c r="F257" s="330"/>
      <c r="G257" s="330"/>
      <c r="H257" s="330"/>
      <c r="I257" s="330"/>
      <c r="J257" s="330"/>
      <c r="K257" s="330"/>
      <c r="L257" s="330"/>
      <c r="M257" s="330">
        <v>2</v>
      </c>
      <c r="N257" s="330">
        <f>C257*M257</f>
        <v>27.5</v>
      </c>
      <c r="O257" s="349"/>
      <c r="P257" s="784"/>
      <c r="Q257" s="398"/>
      <c r="R257" s="779"/>
      <c r="S257" s="398"/>
      <c r="T257" s="398"/>
      <c r="U257" s="398"/>
      <c r="V257" s="738"/>
      <c r="W257" s="738"/>
      <c r="X257" s="738"/>
    </row>
    <row r="258" spans="1:24" ht="15.75" customHeight="1">
      <c r="A258" s="350"/>
      <c r="B258" s="591"/>
      <c r="C258" s="330">
        <f>2.544+2.29</f>
        <v>4.8339999999999996</v>
      </c>
      <c r="D258" s="330"/>
      <c r="E258" s="330"/>
      <c r="F258" s="330"/>
      <c r="G258" s="330"/>
      <c r="H258" s="330">
        <v>2</v>
      </c>
      <c r="I258" s="330"/>
      <c r="J258" s="330"/>
      <c r="K258" s="330"/>
      <c r="L258" s="330"/>
      <c r="M258" s="330">
        <v>2</v>
      </c>
      <c r="N258" s="752">
        <f>C258*M258*H258</f>
        <v>19.335999999999999</v>
      </c>
      <c r="O258" s="349"/>
      <c r="P258" s="784"/>
      <c r="Q258" s="398"/>
      <c r="R258" s="779"/>
      <c r="S258" s="398"/>
      <c r="T258" s="398"/>
      <c r="U258" s="398"/>
      <c r="V258" s="738"/>
      <c r="W258" s="738"/>
      <c r="X258" s="738"/>
    </row>
    <row r="259" spans="1:24" ht="15.75" customHeight="1">
      <c r="A259" s="350"/>
      <c r="B259" s="591"/>
      <c r="C259" s="330"/>
      <c r="D259" s="330"/>
      <c r="E259" s="330"/>
      <c r="F259" s="330"/>
      <c r="G259" s="330"/>
      <c r="H259" s="330"/>
      <c r="I259" s="330"/>
      <c r="J259" s="330"/>
      <c r="K259" s="330"/>
      <c r="L259" s="330"/>
      <c r="M259" s="330"/>
      <c r="N259" s="401">
        <f>SUM(N257:N258)</f>
        <v>46.835999999999999</v>
      </c>
      <c r="O259" s="349" t="s">
        <v>117</v>
      </c>
      <c r="P259" s="784">
        <f>ROUND((N259),2)</f>
        <v>46.84</v>
      </c>
      <c r="Q259" s="398"/>
      <c r="R259" s="779"/>
      <c r="S259" s="398"/>
      <c r="T259" s="398"/>
      <c r="U259" s="398"/>
      <c r="V259" s="738"/>
      <c r="W259" s="738"/>
      <c r="X259" s="738"/>
    </row>
    <row r="260" spans="1:24" ht="15.75" customHeight="1">
      <c r="A260" s="350">
        <f>A262+1</f>
        <v>16</v>
      </c>
      <c r="B260" s="591" t="s">
        <v>453</v>
      </c>
      <c r="C260" s="1194">
        <f>N259</f>
        <v>46.835999999999999</v>
      </c>
      <c r="D260" s="1194">
        <v>0.3</v>
      </c>
      <c r="E260" s="330"/>
      <c r="F260" s="330"/>
      <c r="G260" s="330"/>
      <c r="H260" s="330"/>
      <c r="I260" s="330"/>
      <c r="J260" s="330"/>
      <c r="K260" s="330"/>
      <c r="L260" s="330"/>
      <c r="M260" s="330"/>
      <c r="N260" s="330">
        <f>C260*D260</f>
        <v>14.050799999999999</v>
      </c>
      <c r="O260" s="349" t="s">
        <v>89</v>
      </c>
      <c r="P260" s="784">
        <f>ROUND((N260),2)</f>
        <v>14.05</v>
      </c>
      <c r="Q260" s="398"/>
      <c r="R260" s="779"/>
      <c r="S260" s="398"/>
      <c r="T260" s="398"/>
      <c r="U260" s="398"/>
      <c r="V260" s="738"/>
      <c r="W260" s="738"/>
      <c r="X260" s="738"/>
    </row>
    <row r="261" spans="1:24" ht="15.75" customHeight="1">
      <c r="A261" s="350">
        <f>A256+1</f>
        <v>14</v>
      </c>
      <c r="B261" s="591" t="s">
        <v>1030</v>
      </c>
      <c r="C261" s="1194">
        <f>4-(0.125*2)</f>
        <v>3.75</v>
      </c>
      <c r="D261" s="1194"/>
      <c r="E261" s="330">
        <v>0.5</v>
      </c>
      <c r="F261" s="330">
        <v>3</v>
      </c>
      <c r="G261" s="330"/>
      <c r="H261" s="330">
        <v>2</v>
      </c>
      <c r="I261" s="330"/>
      <c r="J261" s="330"/>
      <c r="K261" s="330"/>
      <c r="L261" s="330"/>
      <c r="M261" s="330"/>
      <c r="N261" s="330">
        <f>C261*E261*F261*H261</f>
        <v>11.25</v>
      </c>
      <c r="O261" s="470" t="s">
        <v>89</v>
      </c>
      <c r="P261" s="784">
        <f>ROUND((N261),2)</f>
        <v>11.25</v>
      </c>
      <c r="Q261" s="398"/>
      <c r="R261" s="779"/>
      <c r="S261" s="398"/>
      <c r="T261" s="398"/>
      <c r="U261" s="398"/>
      <c r="V261" s="738"/>
      <c r="W261" s="738"/>
      <c r="X261" s="738"/>
    </row>
    <row r="262" spans="1:24" ht="15.75" customHeight="1">
      <c r="A262" s="350">
        <f>A261+1</f>
        <v>15</v>
      </c>
      <c r="B262" s="591" t="s">
        <v>939</v>
      </c>
      <c r="C262" s="1194"/>
      <c r="D262" s="1194"/>
      <c r="E262" s="330"/>
      <c r="F262" s="330"/>
      <c r="G262" s="330"/>
      <c r="H262" s="330"/>
      <c r="I262" s="330"/>
      <c r="J262" s="330"/>
      <c r="K262" s="330"/>
      <c r="L262" s="330"/>
      <c r="M262" s="330"/>
      <c r="N262" s="330"/>
      <c r="O262" s="470"/>
      <c r="P262" s="784"/>
      <c r="Q262" s="398"/>
      <c r="R262" s="779"/>
      <c r="S262" s="398"/>
      <c r="T262" s="398"/>
      <c r="U262" s="398"/>
      <c r="V262" s="738"/>
      <c r="W262" s="738"/>
      <c r="X262" s="738"/>
    </row>
    <row r="263" spans="1:24" ht="15.75" customHeight="1">
      <c r="A263" s="350"/>
      <c r="B263" s="591"/>
      <c r="C263" s="1194">
        <f>C261</f>
        <v>3.75</v>
      </c>
      <c r="D263" s="1194"/>
      <c r="E263" s="330">
        <v>0.85</v>
      </c>
      <c r="F263" s="330">
        <f>F261</f>
        <v>3</v>
      </c>
      <c r="G263" s="330"/>
      <c r="H263" s="330">
        <v>2</v>
      </c>
      <c r="I263" s="330"/>
      <c r="J263" s="330"/>
      <c r="K263" s="330"/>
      <c r="L263" s="330"/>
      <c r="M263" s="330"/>
      <c r="N263" s="330">
        <f>C263*E263*F263*H263</f>
        <v>19.125</v>
      </c>
      <c r="O263" s="470"/>
      <c r="P263" s="784"/>
      <c r="Q263" s="398"/>
      <c r="R263" s="779"/>
      <c r="S263" s="398"/>
      <c r="T263" s="398"/>
      <c r="U263" s="398"/>
      <c r="V263" s="738"/>
      <c r="W263" s="738"/>
      <c r="X263" s="738"/>
    </row>
    <row r="264" spans="1:24" ht="15.75" customHeight="1">
      <c r="A264" s="350"/>
      <c r="B264" s="567"/>
      <c r="C264" s="1194">
        <f>1.5-(0.125*2)</f>
        <v>1.25</v>
      </c>
      <c r="D264" s="330"/>
      <c r="E264" s="330">
        <f>E263</f>
        <v>0.85</v>
      </c>
      <c r="F264" s="330">
        <v>2</v>
      </c>
      <c r="G264" s="330"/>
      <c r="H264" s="330">
        <v>1</v>
      </c>
      <c r="I264" s="330"/>
      <c r="J264" s="330"/>
      <c r="K264" s="330"/>
      <c r="L264" s="330"/>
      <c r="M264" s="330"/>
      <c r="N264" s="752">
        <f>C264*E264*F264*H264</f>
        <v>2.125</v>
      </c>
      <c r="O264" s="349"/>
      <c r="P264" s="784"/>
      <c r="Q264" s="398"/>
      <c r="R264" s="779"/>
      <c r="S264" s="398"/>
      <c r="T264" s="398"/>
      <c r="U264" s="398"/>
      <c r="V264" s="738"/>
      <c r="W264" s="738"/>
      <c r="X264" s="738"/>
    </row>
    <row r="265" spans="1:24" ht="15.75" customHeight="1">
      <c r="A265" s="350"/>
      <c r="B265" s="567"/>
      <c r="C265" s="330"/>
      <c r="D265" s="330"/>
      <c r="E265" s="330"/>
      <c r="F265" s="330"/>
      <c r="G265" s="330"/>
      <c r="H265" s="330"/>
      <c r="I265" s="330"/>
      <c r="J265" s="330"/>
      <c r="K265" s="330"/>
      <c r="L265" s="330"/>
      <c r="M265" s="330"/>
      <c r="N265" s="330">
        <f>SUM(N263:N264)</f>
        <v>21.25</v>
      </c>
      <c r="O265" s="470" t="s">
        <v>117</v>
      </c>
      <c r="P265" s="784">
        <f>ROUND((N265),2)</f>
        <v>21.25</v>
      </c>
      <c r="Q265" s="398"/>
      <c r="R265" s="779"/>
      <c r="S265" s="398"/>
      <c r="T265" s="398"/>
      <c r="U265" s="398"/>
      <c r="V265" s="738"/>
      <c r="W265" s="738"/>
      <c r="X265" s="738"/>
    </row>
    <row r="266" spans="1:24" ht="15.75" customHeight="1">
      <c r="A266" s="350"/>
      <c r="B266" s="567"/>
      <c r="C266" s="330"/>
      <c r="D266" s="330"/>
      <c r="E266" s="330"/>
      <c r="F266" s="330"/>
      <c r="G266" s="330"/>
      <c r="H266" s="330"/>
      <c r="I266" s="330"/>
      <c r="J266" s="330"/>
      <c r="K266" s="330"/>
      <c r="L266" s="330"/>
      <c r="M266" s="330"/>
      <c r="N266" s="330"/>
      <c r="O266" s="349"/>
      <c r="P266" s="784"/>
      <c r="Q266" s="398"/>
      <c r="R266" s="779"/>
      <c r="S266" s="398"/>
      <c r="T266" s="398"/>
      <c r="U266" s="398"/>
      <c r="V266" s="738"/>
      <c r="W266" s="738"/>
      <c r="X266" s="738"/>
    </row>
    <row r="267" spans="1:24" ht="15.75" customHeight="1">
      <c r="A267" s="346" t="s">
        <v>1190</v>
      </c>
      <c r="B267" s="1195" t="s">
        <v>457</v>
      </c>
      <c r="C267" s="424"/>
      <c r="D267" s="424"/>
      <c r="E267" s="424"/>
      <c r="F267" s="424"/>
      <c r="G267" s="424"/>
      <c r="H267" s="424"/>
      <c r="I267" s="424"/>
      <c r="J267" s="424"/>
      <c r="K267" s="424"/>
      <c r="L267" s="424"/>
      <c r="M267" s="424"/>
      <c r="N267" s="424"/>
      <c r="O267" s="599"/>
      <c r="P267" s="793"/>
      <c r="Q267" s="398"/>
      <c r="R267" s="779"/>
      <c r="S267" s="398"/>
      <c r="T267" s="398"/>
      <c r="U267" s="398"/>
      <c r="V267" s="738"/>
      <c r="W267" s="738"/>
      <c r="X267" s="738"/>
    </row>
    <row r="268" spans="1:24" ht="15.75" customHeight="1">
      <c r="A268" s="350">
        <v>1</v>
      </c>
      <c r="B268" s="417" t="s">
        <v>458</v>
      </c>
      <c r="C268" s="424"/>
      <c r="D268" s="424"/>
      <c r="E268" s="424"/>
      <c r="F268" s="330">
        <v>6</v>
      </c>
      <c r="G268" s="424"/>
      <c r="H268" s="424"/>
      <c r="I268" s="424"/>
      <c r="J268" s="424"/>
      <c r="K268" s="424"/>
      <c r="L268" s="424"/>
      <c r="M268" s="424"/>
      <c r="N268" s="424">
        <f t="shared" ref="N268:N273" si="6">F268</f>
        <v>6</v>
      </c>
      <c r="O268" s="420" t="s">
        <v>357</v>
      </c>
      <c r="P268" s="784">
        <f t="shared" ref="P268:P273" si="7">ROUND((N268),2)</f>
        <v>6</v>
      </c>
      <c r="Q268" s="398"/>
      <c r="R268" s="779"/>
      <c r="S268" s="398"/>
      <c r="T268" s="398"/>
      <c r="U268" s="398"/>
      <c r="V268" s="738"/>
      <c r="W268" s="738"/>
      <c r="X268" s="738"/>
    </row>
    <row r="269" spans="1:24" ht="15.75" customHeight="1">
      <c r="A269" s="350">
        <f>A268+1</f>
        <v>2</v>
      </c>
      <c r="B269" s="366" t="s">
        <v>638</v>
      </c>
      <c r="C269" s="424"/>
      <c r="D269" s="424"/>
      <c r="E269" s="424"/>
      <c r="F269" s="330">
        <v>4</v>
      </c>
      <c r="G269" s="424"/>
      <c r="H269" s="424"/>
      <c r="I269" s="424"/>
      <c r="J269" s="424"/>
      <c r="K269" s="424"/>
      <c r="L269" s="424"/>
      <c r="M269" s="424"/>
      <c r="N269" s="424">
        <f t="shared" si="6"/>
        <v>4</v>
      </c>
      <c r="O269" s="420" t="s">
        <v>357</v>
      </c>
      <c r="P269" s="784">
        <f t="shared" si="7"/>
        <v>4</v>
      </c>
      <c r="Q269" s="398"/>
      <c r="R269" s="779"/>
      <c r="S269" s="398"/>
      <c r="T269" s="398"/>
      <c r="U269" s="398"/>
      <c r="V269" s="738"/>
      <c r="W269" s="738"/>
      <c r="X269" s="738"/>
    </row>
    <row r="270" spans="1:24" ht="15.75" customHeight="1">
      <c r="A270" s="350">
        <f>A269+1</f>
        <v>3</v>
      </c>
      <c r="B270" s="351" t="s">
        <v>639</v>
      </c>
      <c r="C270" s="424"/>
      <c r="D270" s="424"/>
      <c r="E270" s="424"/>
      <c r="F270" s="466">
        <v>1</v>
      </c>
      <c r="G270" s="424"/>
      <c r="H270" s="424"/>
      <c r="I270" s="424"/>
      <c r="J270" s="424"/>
      <c r="K270" s="424"/>
      <c r="L270" s="424"/>
      <c r="M270" s="424"/>
      <c r="N270" s="424">
        <f t="shared" si="6"/>
        <v>1</v>
      </c>
      <c r="O270" s="349" t="s">
        <v>357</v>
      </c>
      <c r="P270" s="784">
        <f t="shared" si="7"/>
        <v>1</v>
      </c>
      <c r="Q270" s="398"/>
      <c r="R270" s="779"/>
      <c r="S270" s="398"/>
      <c r="T270" s="398"/>
      <c r="U270" s="398"/>
      <c r="V270" s="738"/>
      <c r="W270" s="738"/>
      <c r="X270" s="738"/>
    </row>
    <row r="271" spans="1:24" ht="15.75" customHeight="1">
      <c r="A271" s="350">
        <f>A270+1</f>
        <v>4</v>
      </c>
      <c r="B271" s="351" t="s">
        <v>615</v>
      </c>
      <c r="C271" s="424"/>
      <c r="D271" s="424"/>
      <c r="E271" s="424"/>
      <c r="F271" s="466">
        <f>F269</f>
        <v>4</v>
      </c>
      <c r="G271" s="424"/>
      <c r="H271" s="424"/>
      <c r="I271" s="424"/>
      <c r="J271" s="424"/>
      <c r="K271" s="424"/>
      <c r="L271" s="424"/>
      <c r="M271" s="424"/>
      <c r="N271" s="424">
        <f t="shared" si="6"/>
        <v>4</v>
      </c>
      <c r="O271" s="349" t="s">
        <v>357</v>
      </c>
      <c r="P271" s="784">
        <f t="shared" si="7"/>
        <v>4</v>
      </c>
      <c r="Q271" s="398"/>
      <c r="R271" s="779"/>
      <c r="S271" s="398"/>
      <c r="T271" s="398"/>
      <c r="U271" s="398"/>
      <c r="V271" s="738"/>
      <c r="W271" s="738"/>
      <c r="X271" s="738"/>
    </row>
    <row r="272" spans="1:24" ht="15.75" customHeight="1">
      <c r="A272" s="350">
        <f>A271+1</f>
        <v>5</v>
      </c>
      <c r="B272" s="403" t="s">
        <v>929</v>
      </c>
      <c r="C272" s="424"/>
      <c r="D272" s="424"/>
      <c r="E272" s="424"/>
      <c r="F272" s="330">
        <f>F268</f>
        <v>6</v>
      </c>
      <c r="G272" s="424"/>
      <c r="H272" s="424"/>
      <c r="I272" s="424"/>
      <c r="J272" s="424"/>
      <c r="K272" s="424"/>
      <c r="L272" s="424"/>
      <c r="M272" s="424"/>
      <c r="N272" s="424">
        <f t="shared" si="6"/>
        <v>6</v>
      </c>
      <c r="O272" s="420" t="s">
        <v>124</v>
      </c>
      <c r="P272" s="784">
        <f t="shared" si="7"/>
        <v>6</v>
      </c>
      <c r="Q272" s="398"/>
      <c r="R272" s="779"/>
      <c r="S272" s="398"/>
      <c r="T272" s="398"/>
      <c r="U272" s="398"/>
      <c r="V272" s="738"/>
      <c r="W272" s="738"/>
      <c r="X272" s="738"/>
    </row>
    <row r="273" spans="1:24" ht="15.75" customHeight="1">
      <c r="A273" s="350">
        <f>A272+1</f>
        <v>6</v>
      </c>
      <c r="B273" s="457" t="s">
        <v>847</v>
      </c>
      <c r="C273" s="424"/>
      <c r="D273" s="424"/>
      <c r="E273" s="424"/>
      <c r="F273" s="466">
        <v>3</v>
      </c>
      <c r="G273" s="424"/>
      <c r="H273" s="424"/>
      <c r="I273" s="424"/>
      <c r="J273" s="424"/>
      <c r="K273" s="424"/>
      <c r="L273" s="424"/>
      <c r="M273" s="424"/>
      <c r="N273" s="424">
        <f t="shared" si="6"/>
        <v>3</v>
      </c>
      <c r="O273" s="349" t="s">
        <v>124</v>
      </c>
      <c r="P273" s="784">
        <f t="shared" si="7"/>
        <v>3</v>
      </c>
      <c r="Q273" s="398"/>
      <c r="R273" s="779"/>
      <c r="S273" s="398"/>
      <c r="T273" s="398"/>
      <c r="U273" s="398"/>
      <c r="V273" s="738"/>
      <c r="W273" s="738"/>
      <c r="X273" s="738"/>
    </row>
    <row r="274" spans="1:24" ht="7.5" customHeight="1">
      <c r="A274" s="601"/>
      <c r="B274" s="602"/>
      <c r="C274" s="778"/>
      <c r="D274" s="778"/>
      <c r="E274" s="778"/>
      <c r="F274" s="778"/>
      <c r="G274" s="778"/>
      <c r="H274" s="778"/>
      <c r="I274" s="778"/>
      <c r="J274" s="778"/>
      <c r="K274" s="778"/>
      <c r="L274" s="778"/>
      <c r="M274" s="778"/>
      <c r="N274" s="778"/>
      <c r="O274" s="604"/>
      <c r="P274" s="605"/>
      <c r="Q274" s="398"/>
      <c r="R274" s="398"/>
      <c r="S274" s="398"/>
      <c r="T274" s="398"/>
      <c r="U274" s="398"/>
      <c r="V274" s="738"/>
      <c r="W274" s="738"/>
      <c r="X274" s="738"/>
    </row>
    <row r="275" spans="1:24" ht="15.75" customHeight="1">
      <c r="A275" s="606"/>
      <c r="B275" s="398"/>
      <c r="C275" s="779"/>
      <c r="D275" s="779"/>
      <c r="E275" s="779"/>
      <c r="F275" s="779"/>
      <c r="G275" s="779"/>
      <c r="H275" s="779"/>
      <c r="I275" s="779"/>
      <c r="J275" s="779"/>
      <c r="K275" s="779"/>
      <c r="L275" s="779"/>
      <c r="M275" s="779"/>
      <c r="N275" s="779"/>
      <c r="O275" s="606"/>
      <c r="P275" s="606"/>
      <c r="Q275" s="398"/>
      <c r="R275" s="398"/>
      <c r="S275" s="398"/>
      <c r="T275" s="398"/>
      <c r="U275" s="398"/>
      <c r="V275" s="738"/>
      <c r="W275" s="738"/>
      <c r="X275" s="738"/>
    </row>
    <row r="276" spans="1:24" ht="15.75" customHeight="1">
      <c r="A276" s="606"/>
      <c r="B276" s="398"/>
      <c r="C276" s="779"/>
      <c r="D276" s="779"/>
      <c r="E276" s="779"/>
      <c r="F276" s="779"/>
      <c r="G276" s="779"/>
      <c r="H276" s="779"/>
      <c r="I276" s="779"/>
      <c r="J276" s="779"/>
      <c r="K276" s="779"/>
      <c r="L276" s="779"/>
      <c r="M276" s="779"/>
      <c r="N276" s="779"/>
      <c r="O276" s="606"/>
      <c r="P276" s="606"/>
      <c r="Q276" s="398"/>
      <c r="R276" s="398"/>
      <c r="S276" s="398"/>
      <c r="T276" s="398"/>
      <c r="U276" s="398"/>
      <c r="V276" s="738"/>
      <c r="W276" s="738"/>
      <c r="X276" s="738"/>
    </row>
    <row r="277" spans="1:24" ht="15.75" customHeight="1">
      <c r="A277" s="606"/>
      <c r="B277" s="398"/>
      <c r="C277" s="779"/>
      <c r="D277" s="779"/>
      <c r="E277" s="779"/>
      <c r="F277" s="779"/>
      <c r="G277" s="779"/>
      <c r="H277" s="779"/>
      <c r="I277" s="779"/>
      <c r="J277" s="779"/>
      <c r="K277" s="779"/>
      <c r="L277" s="779"/>
      <c r="M277" s="779"/>
      <c r="N277" s="779"/>
      <c r="O277" s="606"/>
      <c r="P277" s="606"/>
      <c r="Q277" s="398"/>
      <c r="R277" s="398"/>
      <c r="S277" s="398"/>
      <c r="T277" s="398"/>
      <c r="U277" s="398"/>
      <c r="V277" s="738"/>
      <c r="W277" s="738"/>
      <c r="X277" s="738"/>
    </row>
    <row r="278" spans="1:24" ht="15.75" customHeight="1">
      <c r="A278" s="606"/>
      <c r="B278" s="398"/>
      <c r="C278" s="779"/>
      <c r="D278" s="779"/>
      <c r="E278" s="779"/>
      <c r="F278" s="779"/>
      <c r="G278" s="779"/>
      <c r="H278" s="779"/>
      <c r="I278" s="779"/>
      <c r="J278" s="779"/>
      <c r="K278" s="779"/>
      <c r="L278" s="779"/>
      <c r="M278" s="779"/>
      <c r="N278" s="779"/>
      <c r="O278" s="606"/>
      <c r="P278" s="606"/>
      <c r="Q278" s="398"/>
      <c r="R278" s="398"/>
      <c r="S278" s="398"/>
      <c r="T278" s="398"/>
      <c r="U278" s="398"/>
      <c r="V278" s="738"/>
      <c r="W278" s="738"/>
      <c r="X278" s="738"/>
    </row>
    <row r="279" spans="1:24" ht="15.75" customHeight="1">
      <c r="A279" s="398"/>
      <c r="B279" s="398"/>
      <c r="C279" s="779"/>
      <c r="D279" s="779"/>
      <c r="E279" s="779"/>
      <c r="F279" s="779"/>
      <c r="G279" s="779"/>
      <c r="H279" s="779"/>
      <c r="I279" s="779"/>
      <c r="J279" s="779"/>
      <c r="K279" s="779"/>
      <c r="L279" s="779"/>
      <c r="M279" s="779"/>
      <c r="N279" s="779"/>
      <c r="O279" s="606"/>
      <c r="P279" s="606"/>
      <c r="Q279" s="398"/>
      <c r="R279" s="398"/>
      <c r="S279" s="398"/>
      <c r="T279" s="398"/>
      <c r="U279" s="398"/>
      <c r="V279" s="738"/>
      <c r="W279" s="738"/>
      <c r="X279" s="738"/>
    </row>
    <row r="280" spans="1:24" ht="15.75" customHeight="1">
      <c r="A280" s="398"/>
      <c r="B280" s="398"/>
      <c r="C280" s="779"/>
      <c r="D280" s="779"/>
      <c r="E280" s="779"/>
      <c r="F280" s="779"/>
      <c r="G280" s="779"/>
      <c r="H280" s="779"/>
      <c r="I280" s="779"/>
      <c r="J280" s="779"/>
      <c r="K280" s="779"/>
      <c r="L280" s="779"/>
      <c r="M280" s="779"/>
      <c r="N280" s="779"/>
      <c r="O280" s="606"/>
      <c r="P280" s="606"/>
      <c r="Q280" s="398"/>
      <c r="R280" s="398"/>
      <c r="S280" s="398"/>
      <c r="T280" s="398"/>
      <c r="U280" s="398"/>
      <c r="V280" s="738"/>
      <c r="W280" s="738"/>
      <c r="X280" s="738"/>
    </row>
    <row r="281" spans="1:24" ht="15.75" customHeight="1">
      <c r="A281" s="398"/>
      <c r="B281" s="398"/>
      <c r="C281" s="779"/>
      <c r="D281" s="779"/>
      <c r="E281" s="779"/>
      <c r="F281" s="779"/>
      <c r="G281" s="779"/>
      <c r="H281" s="779"/>
      <c r="I281" s="779"/>
      <c r="J281" s="779"/>
      <c r="K281" s="779"/>
      <c r="L281" s="779"/>
      <c r="M281" s="779"/>
      <c r="N281" s="779"/>
      <c r="O281" s="606"/>
      <c r="P281" s="606"/>
      <c r="Q281" s="398"/>
      <c r="R281" s="398"/>
      <c r="S281" s="398"/>
      <c r="T281" s="398"/>
      <c r="U281" s="398"/>
      <c r="V281" s="738"/>
      <c r="W281" s="738"/>
      <c r="X281" s="738"/>
    </row>
    <row r="282" spans="1:24" ht="15.75" customHeight="1">
      <c r="A282" s="398"/>
      <c r="B282" s="398"/>
      <c r="C282" s="779"/>
      <c r="D282" s="779"/>
      <c r="E282" s="779"/>
      <c r="F282" s="779"/>
      <c r="G282" s="779"/>
      <c r="H282" s="779"/>
      <c r="I282" s="779"/>
      <c r="J282" s="779"/>
      <c r="K282" s="779"/>
      <c r="L282" s="779"/>
      <c r="M282" s="779"/>
      <c r="N282" s="779"/>
      <c r="O282" s="606"/>
      <c r="P282" s="606"/>
      <c r="Q282" s="398"/>
      <c r="R282" s="398"/>
      <c r="S282" s="398"/>
      <c r="T282" s="398"/>
      <c r="U282" s="398"/>
      <c r="V282" s="738"/>
      <c r="W282" s="738"/>
      <c r="X282" s="738"/>
    </row>
    <row r="283" spans="1:24" ht="15.75" customHeight="1">
      <c r="A283" s="398"/>
      <c r="B283" s="398"/>
      <c r="C283" s="779"/>
      <c r="D283" s="779"/>
      <c r="E283" s="779"/>
      <c r="F283" s="779"/>
      <c r="G283" s="779"/>
      <c r="H283" s="779"/>
      <c r="I283" s="779"/>
      <c r="J283" s="779"/>
      <c r="K283" s="779"/>
      <c r="L283" s="779"/>
      <c r="M283" s="779"/>
      <c r="N283" s="779"/>
      <c r="O283" s="606"/>
      <c r="P283" s="606"/>
      <c r="Q283" s="398"/>
      <c r="R283" s="398"/>
      <c r="S283" s="398"/>
      <c r="T283" s="398"/>
      <c r="U283" s="398"/>
      <c r="V283" s="738"/>
      <c r="W283" s="738"/>
      <c r="X283" s="738"/>
    </row>
    <row r="284" spans="1:24" ht="15.75" customHeight="1">
      <c r="A284" s="398"/>
      <c r="B284" s="398"/>
      <c r="C284" s="779"/>
      <c r="D284" s="779"/>
      <c r="E284" s="779"/>
      <c r="F284" s="779"/>
      <c r="G284" s="779"/>
      <c r="H284" s="779"/>
      <c r="I284" s="779"/>
      <c r="J284" s="779"/>
      <c r="K284" s="779"/>
      <c r="L284" s="779"/>
      <c r="M284" s="779"/>
      <c r="N284" s="779"/>
      <c r="O284" s="606"/>
      <c r="P284" s="606"/>
      <c r="Q284" s="398"/>
      <c r="R284" s="398"/>
      <c r="S284" s="398"/>
      <c r="T284" s="398"/>
      <c r="U284" s="398"/>
      <c r="V284" s="738"/>
      <c r="W284" s="738"/>
      <c r="X284" s="738"/>
    </row>
    <row r="285" spans="1:24" ht="15.75" customHeight="1">
      <c r="A285" s="398"/>
      <c r="B285" s="398"/>
      <c r="C285" s="779"/>
      <c r="D285" s="779"/>
      <c r="E285" s="779"/>
      <c r="F285" s="779"/>
      <c r="G285" s="779"/>
      <c r="H285" s="779"/>
      <c r="I285" s="779"/>
      <c r="J285" s="779"/>
      <c r="K285" s="779"/>
      <c r="L285" s="779"/>
      <c r="M285" s="779"/>
      <c r="N285" s="779"/>
      <c r="O285" s="606"/>
      <c r="P285" s="606"/>
      <c r="Q285" s="398"/>
      <c r="R285" s="398"/>
      <c r="S285" s="398"/>
      <c r="T285" s="398"/>
      <c r="U285" s="398"/>
      <c r="V285" s="738"/>
      <c r="W285" s="738"/>
      <c r="X285" s="738"/>
    </row>
    <row r="286" spans="1:24" ht="15.75" customHeight="1">
      <c r="A286" s="398"/>
      <c r="B286" s="398"/>
      <c r="C286" s="779"/>
      <c r="D286" s="779"/>
      <c r="E286" s="779"/>
      <c r="F286" s="779"/>
      <c r="G286" s="779"/>
      <c r="H286" s="779"/>
      <c r="I286" s="779"/>
      <c r="J286" s="779"/>
      <c r="K286" s="779"/>
      <c r="L286" s="779"/>
      <c r="M286" s="779"/>
      <c r="N286" s="779"/>
      <c r="O286" s="606"/>
      <c r="P286" s="606"/>
      <c r="Q286" s="398"/>
      <c r="R286" s="398"/>
      <c r="S286" s="398"/>
      <c r="T286" s="398"/>
      <c r="U286" s="398"/>
      <c r="V286" s="738"/>
      <c r="W286" s="738"/>
      <c r="X286" s="738"/>
    </row>
    <row r="287" spans="1:24" ht="15.75" customHeight="1">
      <c r="A287" s="398"/>
      <c r="B287" s="398"/>
      <c r="C287" s="779"/>
      <c r="D287" s="779"/>
      <c r="E287" s="779"/>
      <c r="F287" s="779"/>
      <c r="G287" s="779"/>
      <c r="H287" s="779"/>
      <c r="I287" s="779"/>
      <c r="J287" s="779"/>
      <c r="K287" s="779"/>
      <c r="L287" s="779"/>
      <c r="M287" s="779"/>
      <c r="N287" s="779"/>
      <c r="O287" s="606"/>
      <c r="P287" s="606"/>
      <c r="Q287" s="398"/>
      <c r="R287" s="398"/>
      <c r="S287" s="398"/>
      <c r="T287" s="398"/>
      <c r="U287" s="398"/>
      <c r="V287" s="738"/>
      <c r="W287" s="738"/>
      <c r="X287" s="738"/>
    </row>
    <row r="288" spans="1:24" ht="15.75" customHeight="1">
      <c r="A288" s="398"/>
      <c r="B288" s="398"/>
      <c r="C288" s="779"/>
      <c r="D288" s="779"/>
      <c r="E288" s="779"/>
      <c r="F288" s="779"/>
      <c r="G288" s="779"/>
      <c r="H288" s="779"/>
      <c r="I288" s="779"/>
      <c r="J288" s="779"/>
      <c r="K288" s="779"/>
      <c r="L288" s="779"/>
      <c r="M288" s="779"/>
      <c r="N288" s="779"/>
      <c r="O288" s="606"/>
      <c r="P288" s="606"/>
      <c r="Q288" s="398"/>
      <c r="R288" s="398"/>
      <c r="S288" s="398"/>
      <c r="T288" s="398"/>
      <c r="U288" s="398"/>
      <c r="V288" s="738"/>
      <c r="W288" s="738"/>
      <c r="X288" s="738"/>
    </row>
    <row r="289" spans="1:24" ht="15.75" customHeight="1">
      <c r="A289" s="398"/>
      <c r="B289" s="398"/>
      <c r="C289" s="779"/>
      <c r="D289" s="779"/>
      <c r="E289" s="779"/>
      <c r="F289" s="779"/>
      <c r="G289" s="779"/>
      <c r="H289" s="779"/>
      <c r="I289" s="779"/>
      <c r="J289" s="779"/>
      <c r="K289" s="779"/>
      <c r="L289" s="779"/>
      <c r="M289" s="779"/>
      <c r="N289" s="779"/>
      <c r="O289" s="606"/>
      <c r="P289" s="606"/>
      <c r="Q289" s="398"/>
      <c r="R289" s="398"/>
      <c r="S289" s="398"/>
      <c r="T289" s="398"/>
      <c r="U289" s="398"/>
      <c r="V289" s="738"/>
      <c r="W289" s="738"/>
      <c r="X289" s="738"/>
    </row>
    <row r="290" spans="1:24" ht="15.75" customHeight="1">
      <c r="A290" s="398"/>
      <c r="B290" s="398"/>
      <c r="C290" s="779"/>
      <c r="D290" s="779"/>
      <c r="E290" s="779"/>
      <c r="F290" s="779"/>
      <c r="G290" s="779"/>
      <c r="H290" s="779"/>
      <c r="I290" s="779"/>
      <c r="J290" s="779"/>
      <c r="K290" s="779"/>
      <c r="L290" s="779"/>
      <c r="M290" s="779"/>
      <c r="N290" s="779"/>
      <c r="O290" s="606"/>
      <c r="P290" s="606"/>
      <c r="Q290" s="398"/>
      <c r="R290" s="398"/>
      <c r="S290" s="398"/>
      <c r="T290" s="398"/>
      <c r="U290" s="398"/>
      <c r="V290" s="738"/>
      <c r="W290" s="738"/>
      <c r="X290" s="738"/>
    </row>
    <row r="291" spans="1:24" ht="15.75" customHeight="1">
      <c r="A291" s="398"/>
      <c r="B291" s="398"/>
      <c r="C291" s="779"/>
      <c r="D291" s="779"/>
      <c r="E291" s="779"/>
      <c r="F291" s="779"/>
      <c r="G291" s="779"/>
      <c r="H291" s="779"/>
      <c r="I291" s="779"/>
      <c r="J291" s="779"/>
      <c r="K291" s="779"/>
      <c r="L291" s="779"/>
      <c r="M291" s="779"/>
      <c r="N291" s="779"/>
      <c r="O291" s="606"/>
      <c r="P291" s="606"/>
      <c r="Q291" s="398"/>
      <c r="R291" s="398"/>
      <c r="S291" s="398"/>
      <c r="T291" s="398"/>
      <c r="U291" s="398"/>
      <c r="V291" s="738"/>
      <c r="W291" s="738"/>
      <c r="X291" s="738"/>
    </row>
    <row r="292" spans="1:24" ht="15.75" customHeight="1">
      <c r="A292" s="398"/>
      <c r="B292" s="398"/>
      <c r="C292" s="779"/>
      <c r="D292" s="779"/>
      <c r="E292" s="779"/>
      <c r="F292" s="779"/>
      <c r="G292" s="779"/>
      <c r="H292" s="779"/>
      <c r="I292" s="779"/>
      <c r="J292" s="779"/>
      <c r="K292" s="779"/>
      <c r="L292" s="779"/>
      <c r="M292" s="779"/>
      <c r="N292" s="779"/>
      <c r="O292" s="606"/>
      <c r="P292" s="606"/>
      <c r="Q292" s="398"/>
      <c r="R292" s="398"/>
      <c r="S292" s="398"/>
      <c r="T292" s="398"/>
      <c r="U292" s="398"/>
      <c r="V292" s="738"/>
      <c r="W292" s="738"/>
      <c r="X292" s="738"/>
    </row>
    <row r="293" spans="1:24" ht="15.75" customHeight="1">
      <c r="A293" s="398"/>
      <c r="B293" s="398"/>
      <c r="C293" s="779"/>
      <c r="D293" s="779"/>
      <c r="E293" s="779"/>
      <c r="F293" s="779"/>
      <c r="G293" s="779"/>
      <c r="H293" s="779"/>
      <c r="I293" s="779"/>
      <c r="J293" s="779"/>
      <c r="K293" s="779"/>
      <c r="L293" s="779"/>
      <c r="M293" s="779"/>
      <c r="N293" s="779"/>
      <c r="O293" s="606"/>
      <c r="P293" s="606"/>
      <c r="Q293" s="398"/>
      <c r="R293" s="398"/>
      <c r="S293" s="398"/>
      <c r="T293" s="398"/>
      <c r="U293" s="398"/>
      <c r="V293" s="738"/>
      <c r="W293" s="738"/>
      <c r="X293" s="738"/>
    </row>
    <row r="294" spans="1:24" ht="15.75" customHeight="1">
      <c r="A294" s="398"/>
      <c r="B294" s="398"/>
      <c r="C294" s="779"/>
      <c r="D294" s="779"/>
      <c r="E294" s="779"/>
      <c r="F294" s="779"/>
      <c r="G294" s="779"/>
      <c r="H294" s="779"/>
      <c r="I294" s="779"/>
      <c r="J294" s="779"/>
      <c r="K294" s="779"/>
      <c r="L294" s="779"/>
      <c r="M294" s="779"/>
      <c r="N294" s="779"/>
      <c r="O294" s="606"/>
      <c r="P294" s="606"/>
      <c r="Q294" s="398"/>
      <c r="R294" s="398"/>
      <c r="S294" s="398"/>
      <c r="T294" s="398"/>
      <c r="U294" s="398"/>
      <c r="V294" s="738"/>
      <c r="W294" s="738"/>
      <c r="X294" s="738"/>
    </row>
    <row r="295" spans="1:24" ht="15.75" customHeight="1">
      <c r="A295" s="398"/>
      <c r="B295" s="398"/>
      <c r="C295" s="779"/>
      <c r="D295" s="779"/>
      <c r="E295" s="779"/>
      <c r="F295" s="779"/>
      <c r="G295" s="779"/>
      <c r="H295" s="779"/>
      <c r="I295" s="779"/>
      <c r="J295" s="779"/>
      <c r="K295" s="779"/>
      <c r="L295" s="779"/>
      <c r="M295" s="779"/>
      <c r="N295" s="779"/>
      <c r="O295" s="606"/>
      <c r="P295" s="606"/>
      <c r="Q295" s="398"/>
      <c r="R295" s="398"/>
      <c r="S295" s="398"/>
      <c r="T295" s="398"/>
      <c r="U295" s="398"/>
      <c r="V295" s="738"/>
      <c r="W295" s="738"/>
      <c r="X295" s="738"/>
    </row>
    <row r="296" spans="1:24" ht="15.75" customHeight="1">
      <c r="A296" s="398"/>
      <c r="B296" s="398"/>
      <c r="C296" s="779"/>
      <c r="D296" s="779"/>
      <c r="E296" s="779"/>
      <c r="F296" s="779"/>
      <c r="G296" s="779"/>
      <c r="H296" s="779"/>
      <c r="I296" s="779"/>
      <c r="J296" s="779"/>
      <c r="K296" s="779"/>
      <c r="L296" s="779"/>
      <c r="M296" s="779"/>
      <c r="N296" s="779"/>
      <c r="O296" s="606"/>
      <c r="P296" s="606"/>
      <c r="Q296" s="398"/>
      <c r="R296" s="398"/>
      <c r="S296" s="398"/>
      <c r="T296" s="398"/>
      <c r="U296" s="398"/>
      <c r="V296" s="738"/>
      <c r="W296" s="738"/>
      <c r="X296" s="738"/>
    </row>
    <row r="297" spans="1:24" ht="15.75" customHeight="1">
      <c r="A297" s="398"/>
      <c r="B297" s="398"/>
      <c r="C297" s="779"/>
      <c r="D297" s="779"/>
      <c r="E297" s="779"/>
      <c r="F297" s="779"/>
      <c r="G297" s="779"/>
      <c r="H297" s="779"/>
      <c r="I297" s="779"/>
      <c r="J297" s="779"/>
      <c r="K297" s="779"/>
      <c r="L297" s="779"/>
      <c r="M297" s="779"/>
      <c r="N297" s="779"/>
      <c r="O297" s="606"/>
      <c r="P297" s="606"/>
      <c r="Q297" s="398"/>
      <c r="R297" s="398"/>
      <c r="S297" s="398"/>
      <c r="T297" s="398"/>
      <c r="U297" s="398"/>
      <c r="V297" s="738"/>
      <c r="W297" s="738"/>
      <c r="X297" s="738"/>
    </row>
    <row r="298" spans="1:24" ht="15.75" customHeight="1">
      <c r="A298" s="398"/>
      <c r="B298" s="398"/>
      <c r="C298" s="779"/>
      <c r="D298" s="779"/>
      <c r="E298" s="779"/>
      <c r="F298" s="779"/>
      <c r="G298" s="779"/>
      <c r="H298" s="779"/>
      <c r="I298" s="779"/>
      <c r="J298" s="779"/>
      <c r="K298" s="779"/>
      <c r="L298" s="779"/>
      <c r="M298" s="779"/>
      <c r="N298" s="779"/>
      <c r="O298" s="606"/>
      <c r="P298" s="606"/>
      <c r="Q298" s="398"/>
      <c r="R298" s="398"/>
      <c r="S298" s="398"/>
      <c r="T298" s="398"/>
      <c r="U298" s="398"/>
      <c r="V298" s="738"/>
      <c r="W298" s="738"/>
      <c r="X298" s="738"/>
    </row>
    <row r="299" spans="1:24" ht="15.75" customHeight="1">
      <c r="A299" s="398"/>
      <c r="B299" s="398"/>
      <c r="C299" s="779"/>
      <c r="D299" s="779"/>
      <c r="E299" s="779"/>
      <c r="F299" s="779"/>
      <c r="G299" s="779"/>
      <c r="H299" s="779"/>
      <c r="I299" s="779"/>
      <c r="J299" s="779"/>
      <c r="K299" s="779"/>
      <c r="L299" s="779"/>
      <c r="M299" s="779"/>
      <c r="N299" s="779"/>
      <c r="O299" s="606"/>
      <c r="P299" s="606"/>
      <c r="Q299" s="398"/>
      <c r="R299" s="398"/>
      <c r="S299" s="398"/>
      <c r="T299" s="398"/>
      <c r="U299" s="398"/>
      <c r="V299" s="738"/>
      <c r="W299" s="738"/>
      <c r="X299" s="738"/>
    </row>
    <row r="300" spans="1:24" ht="15.75" customHeight="1">
      <c r="A300" s="398"/>
      <c r="B300" s="398"/>
      <c r="C300" s="779"/>
      <c r="D300" s="779"/>
      <c r="E300" s="779"/>
      <c r="F300" s="779"/>
      <c r="G300" s="779"/>
      <c r="H300" s="779"/>
      <c r="I300" s="779"/>
      <c r="J300" s="779"/>
      <c r="K300" s="779"/>
      <c r="L300" s="779"/>
      <c r="M300" s="779"/>
      <c r="N300" s="779"/>
      <c r="O300" s="606"/>
      <c r="P300" s="606"/>
      <c r="Q300" s="398"/>
      <c r="R300" s="398"/>
      <c r="S300" s="398"/>
      <c r="T300" s="398"/>
      <c r="U300" s="398"/>
      <c r="V300" s="738"/>
      <c r="W300" s="738"/>
      <c r="X300" s="738"/>
    </row>
    <row r="301" spans="1:24" ht="15.75" customHeight="1">
      <c r="A301" s="398"/>
      <c r="B301" s="398"/>
      <c r="C301" s="779"/>
      <c r="D301" s="779"/>
      <c r="E301" s="779"/>
      <c r="F301" s="779"/>
      <c r="G301" s="779"/>
      <c r="H301" s="779"/>
      <c r="I301" s="779"/>
      <c r="J301" s="779"/>
      <c r="K301" s="779"/>
      <c r="L301" s="779"/>
      <c r="M301" s="779"/>
      <c r="N301" s="779"/>
      <c r="O301" s="606"/>
      <c r="P301" s="606"/>
      <c r="Q301" s="398"/>
      <c r="R301" s="398"/>
      <c r="S301" s="398"/>
      <c r="T301" s="398"/>
      <c r="U301" s="398"/>
      <c r="V301" s="738"/>
      <c r="W301" s="738"/>
      <c r="X301" s="738"/>
    </row>
    <row r="302" spans="1:24" ht="15.75" customHeight="1">
      <c r="A302" s="398"/>
      <c r="B302" s="398"/>
      <c r="C302" s="779"/>
      <c r="D302" s="779"/>
      <c r="E302" s="779"/>
      <c r="F302" s="779"/>
      <c r="G302" s="779"/>
      <c r="H302" s="779"/>
      <c r="I302" s="779"/>
      <c r="J302" s="779"/>
      <c r="K302" s="779"/>
      <c r="L302" s="779"/>
      <c r="M302" s="779"/>
      <c r="N302" s="779"/>
      <c r="O302" s="606"/>
      <c r="P302" s="606"/>
      <c r="Q302" s="398"/>
      <c r="R302" s="398"/>
      <c r="S302" s="398"/>
      <c r="T302" s="398"/>
      <c r="U302" s="398"/>
      <c r="V302" s="738"/>
      <c r="W302" s="738"/>
      <c r="X302" s="738"/>
    </row>
    <row r="303" spans="1:24" ht="15.75" customHeight="1">
      <c r="A303" s="398"/>
      <c r="B303" s="398"/>
      <c r="C303" s="779"/>
      <c r="D303" s="779"/>
      <c r="E303" s="779"/>
      <c r="F303" s="779"/>
      <c r="G303" s="779"/>
      <c r="H303" s="779"/>
      <c r="I303" s="779"/>
      <c r="J303" s="779"/>
      <c r="K303" s="779"/>
      <c r="L303" s="779"/>
      <c r="M303" s="779"/>
      <c r="N303" s="779"/>
      <c r="O303" s="606"/>
      <c r="P303" s="606"/>
      <c r="Q303" s="398"/>
      <c r="R303" s="398"/>
      <c r="S303" s="398"/>
      <c r="T303" s="398"/>
      <c r="U303" s="398"/>
      <c r="V303" s="738"/>
      <c r="W303" s="738"/>
      <c r="X303" s="738"/>
    </row>
    <row r="304" spans="1:24" ht="15.75" customHeight="1">
      <c r="A304" s="398"/>
      <c r="B304" s="398"/>
      <c r="C304" s="779"/>
      <c r="D304" s="779"/>
      <c r="E304" s="779"/>
      <c r="F304" s="779"/>
      <c r="G304" s="779"/>
      <c r="H304" s="779"/>
      <c r="I304" s="779"/>
      <c r="J304" s="779"/>
      <c r="K304" s="779"/>
      <c r="L304" s="779"/>
      <c r="M304" s="779"/>
      <c r="N304" s="779"/>
      <c r="O304" s="606"/>
      <c r="P304" s="606"/>
      <c r="Q304" s="398"/>
      <c r="R304" s="398"/>
      <c r="S304" s="398"/>
      <c r="T304" s="398"/>
      <c r="U304" s="398"/>
      <c r="V304" s="738"/>
      <c r="W304" s="738"/>
      <c r="X304" s="738"/>
    </row>
    <row r="305" spans="1:24" ht="15.75" customHeight="1">
      <c r="A305" s="398"/>
      <c r="B305" s="398"/>
      <c r="C305" s="779"/>
      <c r="D305" s="779"/>
      <c r="E305" s="779"/>
      <c r="F305" s="779"/>
      <c r="G305" s="779"/>
      <c r="H305" s="779"/>
      <c r="I305" s="779"/>
      <c r="J305" s="779"/>
      <c r="K305" s="779"/>
      <c r="L305" s="779"/>
      <c r="M305" s="779"/>
      <c r="N305" s="779"/>
      <c r="O305" s="606"/>
      <c r="P305" s="606"/>
      <c r="Q305" s="398"/>
      <c r="R305" s="398"/>
      <c r="S305" s="398"/>
      <c r="T305" s="398"/>
      <c r="U305" s="398"/>
      <c r="V305" s="738"/>
      <c r="W305" s="738"/>
      <c r="X305" s="738"/>
    </row>
    <row r="306" spans="1:24" ht="15.75" customHeight="1">
      <c r="A306" s="398"/>
      <c r="B306" s="398"/>
      <c r="C306" s="779"/>
      <c r="D306" s="779"/>
      <c r="E306" s="779"/>
      <c r="F306" s="779"/>
      <c r="G306" s="779"/>
      <c r="H306" s="779"/>
      <c r="I306" s="779"/>
      <c r="J306" s="779"/>
      <c r="K306" s="779"/>
      <c r="L306" s="779"/>
      <c r="M306" s="779"/>
      <c r="N306" s="779"/>
      <c r="O306" s="606"/>
      <c r="P306" s="606"/>
      <c r="Q306" s="398"/>
      <c r="R306" s="398"/>
      <c r="S306" s="398"/>
      <c r="T306" s="398"/>
      <c r="U306" s="398"/>
      <c r="V306" s="738"/>
      <c r="W306" s="738"/>
      <c r="X306" s="738"/>
    </row>
    <row r="307" spans="1:24" ht="15.75" customHeight="1">
      <c r="A307" s="398"/>
      <c r="B307" s="398"/>
      <c r="C307" s="779"/>
      <c r="D307" s="779"/>
      <c r="E307" s="779"/>
      <c r="F307" s="779"/>
      <c r="G307" s="779"/>
      <c r="H307" s="779"/>
      <c r="I307" s="779"/>
      <c r="J307" s="779"/>
      <c r="K307" s="779"/>
      <c r="L307" s="779"/>
      <c r="M307" s="779"/>
      <c r="N307" s="779"/>
      <c r="O307" s="606"/>
      <c r="P307" s="606"/>
      <c r="Q307" s="398"/>
      <c r="R307" s="398"/>
      <c r="S307" s="398"/>
      <c r="T307" s="398"/>
      <c r="U307" s="398"/>
      <c r="V307" s="738"/>
      <c r="W307" s="738"/>
      <c r="X307" s="738"/>
    </row>
    <row r="308" spans="1:24" ht="15.75" customHeight="1">
      <c r="A308" s="398"/>
      <c r="B308" s="398"/>
      <c r="C308" s="779"/>
      <c r="D308" s="779"/>
      <c r="E308" s="779"/>
      <c r="F308" s="779"/>
      <c r="G308" s="779"/>
      <c r="H308" s="779"/>
      <c r="I308" s="779"/>
      <c r="J308" s="779"/>
      <c r="K308" s="779"/>
      <c r="L308" s="779"/>
      <c r="M308" s="779"/>
      <c r="N308" s="779"/>
      <c r="O308" s="606"/>
      <c r="P308" s="606"/>
      <c r="Q308" s="398"/>
      <c r="R308" s="398"/>
      <c r="S308" s="398"/>
      <c r="T308" s="398"/>
      <c r="U308" s="398"/>
      <c r="V308" s="738"/>
      <c r="W308" s="738"/>
      <c r="X308" s="738"/>
    </row>
    <row r="309" spans="1:24" ht="15.75" customHeight="1">
      <c r="A309" s="398"/>
      <c r="B309" s="398"/>
      <c r="C309" s="779"/>
      <c r="D309" s="779"/>
      <c r="E309" s="779"/>
      <c r="F309" s="779"/>
      <c r="G309" s="779"/>
      <c r="H309" s="779"/>
      <c r="I309" s="779"/>
      <c r="J309" s="779"/>
      <c r="K309" s="779"/>
      <c r="L309" s="779"/>
      <c r="M309" s="779"/>
      <c r="N309" s="779"/>
      <c r="O309" s="606"/>
      <c r="P309" s="606"/>
      <c r="Q309" s="398"/>
      <c r="R309" s="398"/>
      <c r="S309" s="398"/>
      <c r="T309" s="398"/>
      <c r="U309" s="398"/>
      <c r="V309" s="738"/>
      <c r="W309" s="738"/>
      <c r="X309" s="738"/>
    </row>
    <row r="310" spans="1:24" ht="15.75" customHeight="1">
      <c r="A310" s="398"/>
      <c r="B310" s="398"/>
      <c r="C310" s="779"/>
      <c r="D310" s="779"/>
      <c r="E310" s="779"/>
      <c r="F310" s="779"/>
      <c r="G310" s="779"/>
      <c r="H310" s="779"/>
      <c r="I310" s="779"/>
      <c r="J310" s="779"/>
      <c r="K310" s="779"/>
      <c r="L310" s="779"/>
      <c r="M310" s="779"/>
      <c r="N310" s="779"/>
      <c r="O310" s="606"/>
      <c r="P310" s="606"/>
      <c r="Q310" s="398"/>
      <c r="R310" s="398"/>
      <c r="S310" s="398"/>
      <c r="T310" s="398"/>
      <c r="U310" s="398"/>
      <c r="V310" s="738"/>
      <c r="W310" s="738"/>
      <c r="X310" s="738"/>
    </row>
    <row r="311" spans="1:24" ht="15.75" customHeight="1">
      <c r="A311" s="398"/>
      <c r="B311" s="398"/>
      <c r="C311" s="779"/>
      <c r="D311" s="779"/>
      <c r="E311" s="779"/>
      <c r="F311" s="779"/>
      <c r="G311" s="779"/>
      <c r="H311" s="779"/>
      <c r="I311" s="779"/>
      <c r="J311" s="779"/>
      <c r="K311" s="779"/>
      <c r="L311" s="779"/>
      <c r="M311" s="779"/>
      <c r="N311" s="779"/>
      <c r="O311" s="606"/>
      <c r="P311" s="606"/>
      <c r="Q311" s="398"/>
      <c r="R311" s="398"/>
      <c r="S311" s="398"/>
      <c r="T311" s="398"/>
      <c r="U311" s="398"/>
      <c r="V311" s="738"/>
      <c r="W311" s="738"/>
      <c r="X311" s="738"/>
    </row>
    <row r="312" spans="1:24" ht="15.75" customHeight="1">
      <c r="A312" s="398"/>
      <c r="B312" s="398"/>
      <c r="C312" s="779"/>
      <c r="D312" s="779"/>
      <c r="E312" s="779"/>
      <c r="F312" s="779"/>
      <c r="G312" s="779"/>
      <c r="H312" s="779"/>
      <c r="I312" s="779"/>
      <c r="J312" s="779"/>
      <c r="K312" s="779"/>
      <c r="L312" s="779"/>
      <c r="M312" s="779"/>
      <c r="N312" s="779"/>
      <c r="O312" s="606"/>
      <c r="P312" s="606"/>
      <c r="Q312" s="398"/>
      <c r="R312" s="398"/>
      <c r="S312" s="398"/>
      <c r="T312" s="398"/>
      <c r="U312" s="398"/>
      <c r="V312" s="738"/>
      <c r="W312" s="738"/>
      <c r="X312" s="738"/>
    </row>
    <row r="313" spans="1:24" ht="15.75" customHeight="1">
      <c r="A313" s="398"/>
      <c r="B313" s="398"/>
      <c r="C313" s="779"/>
      <c r="D313" s="779"/>
      <c r="E313" s="779"/>
      <c r="F313" s="779"/>
      <c r="G313" s="779"/>
      <c r="H313" s="779"/>
      <c r="I313" s="779"/>
      <c r="J313" s="779"/>
      <c r="K313" s="779"/>
      <c r="L313" s="779"/>
      <c r="M313" s="779"/>
      <c r="N313" s="779"/>
      <c r="O313" s="606"/>
      <c r="P313" s="606"/>
      <c r="Q313" s="398"/>
      <c r="R313" s="398"/>
      <c r="S313" s="398"/>
      <c r="T313" s="398"/>
      <c r="U313" s="398"/>
      <c r="V313" s="738"/>
      <c r="W313" s="738"/>
      <c r="X313" s="738"/>
    </row>
    <row r="314" spans="1:24" ht="15.75" customHeight="1">
      <c r="A314" s="398"/>
      <c r="B314" s="398"/>
      <c r="C314" s="779"/>
      <c r="D314" s="779"/>
      <c r="E314" s="779"/>
      <c r="F314" s="779"/>
      <c r="G314" s="779"/>
      <c r="H314" s="779"/>
      <c r="I314" s="779"/>
      <c r="J314" s="779"/>
      <c r="K314" s="779"/>
      <c r="L314" s="779"/>
      <c r="M314" s="779"/>
      <c r="N314" s="779"/>
      <c r="O314" s="606"/>
      <c r="P314" s="606"/>
      <c r="Q314" s="398"/>
      <c r="R314" s="398"/>
      <c r="S314" s="398"/>
      <c r="T314" s="398"/>
      <c r="U314" s="398"/>
      <c r="V314" s="738"/>
      <c r="W314" s="738"/>
      <c r="X314" s="738"/>
    </row>
    <row r="315" spans="1:24" ht="15.75" customHeight="1">
      <c r="A315" s="398"/>
      <c r="B315" s="398"/>
      <c r="C315" s="779"/>
      <c r="D315" s="779"/>
      <c r="E315" s="779"/>
      <c r="F315" s="779"/>
      <c r="G315" s="779"/>
      <c r="H315" s="779"/>
      <c r="I315" s="779"/>
      <c r="J315" s="779"/>
      <c r="K315" s="779"/>
      <c r="L315" s="779"/>
      <c r="M315" s="779"/>
      <c r="N315" s="779"/>
      <c r="O315" s="606"/>
      <c r="P315" s="606"/>
      <c r="Q315" s="398"/>
      <c r="R315" s="398"/>
      <c r="S315" s="398"/>
      <c r="T315" s="398"/>
      <c r="U315" s="398"/>
      <c r="V315" s="738"/>
      <c r="W315" s="738"/>
      <c r="X315" s="738"/>
    </row>
    <row r="316" spans="1:24" ht="15.75" customHeight="1">
      <c r="A316" s="398"/>
      <c r="B316" s="398"/>
      <c r="C316" s="779"/>
      <c r="D316" s="779"/>
      <c r="E316" s="779"/>
      <c r="F316" s="779"/>
      <c r="G316" s="779"/>
      <c r="H316" s="779"/>
      <c r="I316" s="779"/>
      <c r="J316" s="779"/>
      <c r="K316" s="779"/>
      <c r="L316" s="779"/>
      <c r="M316" s="779"/>
      <c r="N316" s="779"/>
      <c r="O316" s="606"/>
      <c r="P316" s="606"/>
      <c r="Q316" s="398"/>
      <c r="R316" s="398"/>
      <c r="S316" s="398"/>
      <c r="T316" s="398"/>
      <c r="U316" s="398"/>
      <c r="V316" s="738"/>
      <c r="W316" s="738"/>
      <c r="X316" s="738"/>
    </row>
    <row r="317" spans="1:24" ht="15.75" customHeight="1">
      <c r="A317" s="398"/>
      <c r="B317" s="398"/>
      <c r="C317" s="779"/>
      <c r="D317" s="779"/>
      <c r="E317" s="779"/>
      <c r="F317" s="779"/>
      <c r="G317" s="779"/>
      <c r="H317" s="779"/>
      <c r="I317" s="779"/>
      <c r="J317" s="779"/>
      <c r="K317" s="779"/>
      <c r="L317" s="779"/>
      <c r="M317" s="779"/>
      <c r="N317" s="779"/>
      <c r="O317" s="606"/>
      <c r="P317" s="606"/>
      <c r="Q317" s="398"/>
      <c r="R317" s="398"/>
      <c r="S317" s="398"/>
      <c r="T317" s="398"/>
      <c r="U317" s="398"/>
      <c r="V317" s="738"/>
      <c r="W317" s="738"/>
      <c r="X317" s="738"/>
    </row>
    <row r="318" spans="1:24" ht="15.75" customHeight="1">
      <c r="A318" s="398"/>
      <c r="B318" s="398"/>
      <c r="C318" s="779"/>
      <c r="D318" s="779"/>
      <c r="E318" s="779"/>
      <c r="F318" s="779"/>
      <c r="G318" s="779"/>
      <c r="H318" s="779"/>
      <c r="I318" s="779"/>
      <c r="J318" s="779"/>
      <c r="K318" s="779"/>
      <c r="L318" s="779"/>
      <c r="M318" s="779"/>
      <c r="N318" s="779"/>
      <c r="O318" s="606"/>
      <c r="P318" s="606"/>
      <c r="Q318" s="398"/>
      <c r="R318" s="398"/>
      <c r="S318" s="398"/>
      <c r="T318" s="398"/>
      <c r="U318" s="398"/>
      <c r="V318" s="738"/>
      <c r="W318" s="738"/>
      <c r="X318" s="738"/>
    </row>
    <row r="319" spans="1:24" ht="15.75" customHeight="1">
      <c r="A319" s="398"/>
      <c r="B319" s="398"/>
      <c r="C319" s="779"/>
      <c r="D319" s="779"/>
      <c r="E319" s="779"/>
      <c r="F319" s="779"/>
      <c r="G319" s="779"/>
      <c r="H319" s="779"/>
      <c r="I319" s="779"/>
      <c r="J319" s="779"/>
      <c r="K319" s="779"/>
      <c r="L319" s="779"/>
      <c r="M319" s="779"/>
      <c r="N319" s="779"/>
      <c r="O319" s="606"/>
      <c r="P319" s="606"/>
      <c r="Q319" s="398"/>
      <c r="R319" s="398"/>
      <c r="S319" s="398"/>
      <c r="T319" s="398"/>
      <c r="U319" s="398"/>
      <c r="V319" s="738"/>
      <c r="W319" s="738"/>
      <c r="X319" s="738"/>
    </row>
    <row r="320" spans="1:24" ht="15.75" customHeight="1">
      <c r="A320" s="398"/>
      <c r="B320" s="398"/>
      <c r="C320" s="779"/>
      <c r="D320" s="779"/>
      <c r="E320" s="779"/>
      <c r="F320" s="779"/>
      <c r="G320" s="779"/>
      <c r="H320" s="779"/>
      <c r="I320" s="779"/>
      <c r="J320" s="779"/>
      <c r="K320" s="779"/>
      <c r="L320" s="779"/>
      <c r="M320" s="779"/>
      <c r="N320" s="779"/>
      <c r="O320" s="606"/>
      <c r="P320" s="606"/>
      <c r="Q320" s="398"/>
      <c r="R320" s="398"/>
      <c r="S320" s="398"/>
      <c r="T320" s="398"/>
      <c r="U320" s="398"/>
      <c r="V320" s="738"/>
      <c r="W320" s="738"/>
      <c r="X320" s="738"/>
    </row>
    <row r="321" spans="1:24" ht="15.75" customHeight="1">
      <c r="A321" s="398"/>
      <c r="B321" s="398"/>
      <c r="C321" s="779"/>
      <c r="D321" s="779"/>
      <c r="E321" s="779"/>
      <c r="F321" s="779"/>
      <c r="G321" s="779"/>
      <c r="H321" s="779"/>
      <c r="I321" s="779"/>
      <c r="J321" s="779"/>
      <c r="K321" s="779"/>
      <c r="L321" s="779"/>
      <c r="M321" s="779"/>
      <c r="N321" s="779"/>
      <c r="O321" s="606"/>
      <c r="P321" s="606"/>
      <c r="Q321" s="398"/>
      <c r="R321" s="398"/>
      <c r="S321" s="398"/>
      <c r="T321" s="398"/>
      <c r="U321" s="398"/>
      <c r="V321" s="738"/>
      <c r="W321" s="738"/>
      <c r="X321" s="738"/>
    </row>
    <row r="322" spans="1:24" ht="15.75" customHeight="1">
      <c r="A322" s="398"/>
      <c r="B322" s="398"/>
      <c r="C322" s="779"/>
      <c r="D322" s="779"/>
      <c r="E322" s="779"/>
      <c r="F322" s="779"/>
      <c r="G322" s="779"/>
      <c r="H322" s="779"/>
      <c r="I322" s="779"/>
      <c r="J322" s="779"/>
      <c r="K322" s="779"/>
      <c r="L322" s="779"/>
      <c r="M322" s="779"/>
      <c r="N322" s="779"/>
      <c r="O322" s="606"/>
      <c r="P322" s="606"/>
      <c r="Q322" s="398"/>
      <c r="R322" s="398"/>
      <c r="S322" s="398"/>
      <c r="T322" s="398"/>
      <c r="U322" s="398"/>
      <c r="V322" s="738"/>
      <c r="W322" s="738"/>
      <c r="X322" s="738"/>
    </row>
    <row r="323" spans="1:24" ht="15.75" customHeight="1">
      <c r="A323" s="398"/>
      <c r="B323" s="398"/>
      <c r="C323" s="779"/>
      <c r="D323" s="779"/>
      <c r="E323" s="779"/>
      <c r="F323" s="779"/>
      <c r="G323" s="779"/>
      <c r="H323" s="779"/>
      <c r="I323" s="779"/>
      <c r="J323" s="779"/>
      <c r="K323" s="779"/>
      <c r="L323" s="779"/>
      <c r="M323" s="779"/>
      <c r="N323" s="779"/>
      <c r="O323" s="606"/>
      <c r="P323" s="606"/>
      <c r="Q323" s="398"/>
      <c r="R323" s="398"/>
      <c r="S323" s="398"/>
      <c r="T323" s="398"/>
      <c r="U323" s="398"/>
      <c r="V323" s="738"/>
      <c r="W323" s="738"/>
      <c r="X323" s="738"/>
    </row>
    <row r="324" spans="1:24" ht="15.75" customHeight="1">
      <c r="A324" s="398"/>
      <c r="B324" s="398"/>
      <c r="C324" s="779"/>
      <c r="D324" s="779"/>
      <c r="E324" s="779"/>
      <c r="F324" s="779"/>
      <c r="G324" s="779"/>
      <c r="H324" s="779"/>
      <c r="I324" s="779"/>
      <c r="J324" s="779"/>
      <c r="K324" s="779"/>
      <c r="L324" s="779"/>
      <c r="M324" s="779"/>
      <c r="N324" s="779"/>
      <c r="O324" s="606"/>
      <c r="P324" s="606"/>
      <c r="Q324" s="398"/>
      <c r="R324" s="398"/>
      <c r="S324" s="398"/>
      <c r="T324" s="398"/>
      <c r="U324" s="398"/>
      <c r="V324" s="738"/>
      <c r="W324" s="738"/>
      <c r="X324" s="738"/>
    </row>
    <row r="325" spans="1:24" ht="15.75" customHeight="1">
      <c r="A325" s="398"/>
      <c r="B325" s="398"/>
      <c r="C325" s="779"/>
      <c r="D325" s="779"/>
      <c r="E325" s="779"/>
      <c r="F325" s="779"/>
      <c r="G325" s="779"/>
      <c r="H325" s="779"/>
      <c r="I325" s="779"/>
      <c r="J325" s="779"/>
      <c r="K325" s="779"/>
      <c r="L325" s="779"/>
      <c r="M325" s="779"/>
      <c r="N325" s="779"/>
      <c r="O325" s="606"/>
      <c r="P325" s="606"/>
      <c r="Q325" s="398"/>
      <c r="R325" s="398"/>
      <c r="S325" s="398"/>
      <c r="T325" s="398"/>
      <c r="U325" s="398"/>
      <c r="V325" s="738"/>
      <c r="W325" s="738"/>
      <c r="X325" s="738"/>
    </row>
    <row r="326" spans="1:24" ht="15.75" customHeight="1">
      <c r="A326" s="398"/>
      <c r="B326" s="398"/>
      <c r="C326" s="779"/>
      <c r="D326" s="779"/>
      <c r="E326" s="779"/>
      <c r="F326" s="779"/>
      <c r="G326" s="779"/>
      <c r="H326" s="779"/>
      <c r="I326" s="779"/>
      <c r="J326" s="779"/>
      <c r="K326" s="779"/>
      <c r="L326" s="779"/>
      <c r="M326" s="779"/>
      <c r="N326" s="779"/>
      <c r="O326" s="606"/>
      <c r="P326" s="606"/>
      <c r="Q326" s="398"/>
      <c r="R326" s="398"/>
      <c r="S326" s="398"/>
      <c r="T326" s="398"/>
      <c r="U326" s="398"/>
      <c r="V326" s="738"/>
      <c r="W326" s="738"/>
      <c r="X326" s="738"/>
    </row>
    <row r="327" spans="1:24" ht="15.75" customHeight="1">
      <c r="A327" s="398"/>
      <c r="B327" s="398"/>
      <c r="C327" s="779"/>
      <c r="D327" s="779"/>
      <c r="E327" s="779"/>
      <c r="F327" s="779"/>
      <c r="G327" s="779"/>
      <c r="H327" s="779"/>
      <c r="I327" s="779"/>
      <c r="J327" s="779"/>
      <c r="K327" s="779"/>
      <c r="L327" s="779"/>
      <c r="M327" s="779"/>
      <c r="N327" s="779"/>
      <c r="O327" s="606"/>
      <c r="P327" s="606"/>
      <c r="Q327" s="398"/>
      <c r="R327" s="398"/>
      <c r="S327" s="398"/>
      <c r="T327" s="398"/>
      <c r="U327" s="398"/>
      <c r="V327" s="738"/>
      <c r="W327" s="738"/>
      <c r="X327" s="738"/>
    </row>
    <row r="328" spans="1:24" ht="15.75" customHeight="1">
      <c r="A328" s="398"/>
      <c r="B328" s="398"/>
      <c r="C328" s="779"/>
      <c r="D328" s="779"/>
      <c r="E328" s="779"/>
      <c r="F328" s="779"/>
      <c r="G328" s="779"/>
      <c r="H328" s="779"/>
      <c r="I328" s="779"/>
      <c r="J328" s="779"/>
      <c r="K328" s="779"/>
      <c r="L328" s="779"/>
      <c r="M328" s="779"/>
      <c r="N328" s="779"/>
      <c r="O328" s="606"/>
      <c r="P328" s="606"/>
      <c r="Q328" s="398"/>
      <c r="R328" s="398"/>
      <c r="S328" s="398"/>
      <c r="T328" s="398"/>
      <c r="U328" s="398"/>
      <c r="V328" s="738"/>
      <c r="W328" s="738"/>
      <c r="X328" s="738"/>
    </row>
    <row r="329" spans="1:24" ht="15.75" customHeight="1">
      <c r="A329" s="398"/>
      <c r="B329" s="398"/>
      <c r="C329" s="779"/>
      <c r="D329" s="779"/>
      <c r="E329" s="779"/>
      <c r="F329" s="779"/>
      <c r="G329" s="779"/>
      <c r="H329" s="779"/>
      <c r="I329" s="779"/>
      <c r="J329" s="779"/>
      <c r="K329" s="779"/>
      <c r="L329" s="779"/>
      <c r="M329" s="779"/>
      <c r="N329" s="779"/>
      <c r="O329" s="606"/>
      <c r="P329" s="606"/>
      <c r="Q329" s="398"/>
      <c r="R329" s="398"/>
      <c r="S329" s="398"/>
      <c r="T329" s="398"/>
      <c r="U329" s="398"/>
      <c r="V329" s="738"/>
      <c r="W329" s="738"/>
      <c r="X329" s="738"/>
    </row>
    <row r="330" spans="1:24" ht="15.75" customHeight="1">
      <c r="A330" s="398"/>
      <c r="B330" s="398"/>
      <c r="C330" s="779"/>
      <c r="D330" s="779"/>
      <c r="E330" s="779"/>
      <c r="F330" s="779"/>
      <c r="G330" s="779"/>
      <c r="H330" s="779"/>
      <c r="I330" s="779"/>
      <c r="J330" s="779"/>
      <c r="K330" s="779"/>
      <c r="L330" s="779"/>
      <c r="M330" s="779"/>
      <c r="N330" s="779"/>
      <c r="O330" s="606"/>
      <c r="P330" s="606"/>
      <c r="Q330" s="398"/>
      <c r="R330" s="398"/>
      <c r="S330" s="398"/>
      <c r="T330" s="398"/>
      <c r="U330" s="398"/>
      <c r="V330" s="738"/>
      <c r="W330" s="738"/>
      <c r="X330" s="738"/>
    </row>
    <row r="331" spans="1:24" ht="15.75" customHeight="1">
      <c r="A331" s="398"/>
      <c r="B331" s="398"/>
      <c r="C331" s="779"/>
      <c r="D331" s="779"/>
      <c r="E331" s="779"/>
      <c r="F331" s="779"/>
      <c r="G331" s="779"/>
      <c r="H331" s="779"/>
      <c r="I331" s="779"/>
      <c r="J331" s="779"/>
      <c r="K331" s="779"/>
      <c r="L331" s="779"/>
      <c r="M331" s="779"/>
      <c r="N331" s="779"/>
      <c r="O331" s="606"/>
      <c r="P331" s="606"/>
      <c r="Q331" s="398"/>
      <c r="R331" s="398"/>
      <c r="S331" s="398"/>
      <c r="T331" s="398"/>
      <c r="U331" s="398"/>
      <c r="V331" s="738"/>
      <c r="W331" s="738"/>
      <c r="X331" s="738"/>
    </row>
    <row r="332" spans="1:24" ht="15.75" customHeight="1">
      <c r="A332" s="398"/>
      <c r="B332" s="398"/>
      <c r="C332" s="779"/>
      <c r="D332" s="779"/>
      <c r="E332" s="779"/>
      <c r="F332" s="779"/>
      <c r="G332" s="779"/>
      <c r="H332" s="779"/>
      <c r="I332" s="779"/>
      <c r="J332" s="779"/>
      <c r="K332" s="779"/>
      <c r="L332" s="779"/>
      <c r="M332" s="779"/>
      <c r="N332" s="779"/>
      <c r="O332" s="606"/>
      <c r="P332" s="606"/>
      <c r="Q332" s="398"/>
      <c r="R332" s="398"/>
      <c r="S332" s="398"/>
      <c r="T332" s="398"/>
      <c r="U332" s="398"/>
      <c r="V332" s="738"/>
      <c r="W332" s="738"/>
      <c r="X332" s="738"/>
    </row>
    <row r="333" spans="1:24" ht="15.75" customHeight="1">
      <c r="A333" s="398"/>
      <c r="B333" s="398"/>
      <c r="C333" s="779"/>
      <c r="D333" s="779"/>
      <c r="E333" s="779"/>
      <c r="F333" s="779"/>
      <c r="G333" s="779"/>
      <c r="H333" s="779"/>
      <c r="I333" s="779"/>
      <c r="J333" s="779"/>
      <c r="K333" s="779"/>
      <c r="L333" s="779"/>
      <c r="M333" s="779"/>
      <c r="N333" s="779"/>
      <c r="O333" s="606"/>
      <c r="P333" s="606"/>
      <c r="Q333" s="398"/>
      <c r="R333" s="398"/>
      <c r="S333" s="398"/>
      <c r="T333" s="398"/>
      <c r="U333" s="398"/>
      <c r="V333" s="738"/>
      <c r="W333" s="738"/>
      <c r="X333" s="738"/>
    </row>
    <row r="334" spans="1:24" ht="15.75" customHeight="1">
      <c r="A334" s="398"/>
      <c r="B334" s="398"/>
      <c r="C334" s="779"/>
      <c r="D334" s="779"/>
      <c r="E334" s="779"/>
      <c r="F334" s="779"/>
      <c r="G334" s="779"/>
      <c r="H334" s="779"/>
      <c r="I334" s="779"/>
      <c r="J334" s="779"/>
      <c r="K334" s="779"/>
      <c r="L334" s="779"/>
      <c r="M334" s="779"/>
      <c r="N334" s="779"/>
      <c r="O334" s="606"/>
      <c r="P334" s="606"/>
      <c r="Q334" s="398"/>
      <c r="R334" s="398"/>
      <c r="S334" s="398"/>
      <c r="T334" s="398"/>
      <c r="U334" s="398"/>
      <c r="V334" s="738"/>
      <c r="W334" s="738"/>
      <c r="X334" s="738"/>
    </row>
    <row r="335" spans="1:24" ht="15.75" customHeight="1">
      <c r="A335" s="398"/>
      <c r="B335" s="398"/>
      <c r="C335" s="779"/>
      <c r="D335" s="779"/>
      <c r="E335" s="779"/>
      <c r="F335" s="779"/>
      <c r="G335" s="779"/>
      <c r="H335" s="779"/>
      <c r="I335" s="779"/>
      <c r="J335" s="779"/>
      <c r="K335" s="779"/>
      <c r="L335" s="779"/>
      <c r="M335" s="779"/>
      <c r="N335" s="779"/>
      <c r="O335" s="606"/>
      <c r="P335" s="606"/>
      <c r="Q335" s="398"/>
      <c r="R335" s="398"/>
      <c r="S335" s="398"/>
      <c r="T335" s="398"/>
      <c r="U335" s="398"/>
      <c r="V335" s="738"/>
      <c r="W335" s="738"/>
      <c r="X335" s="738"/>
    </row>
    <row r="336" spans="1:24" ht="15.75" customHeight="1">
      <c r="A336" s="398"/>
      <c r="B336" s="398"/>
      <c r="C336" s="779"/>
      <c r="D336" s="779"/>
      <c r="E336" s="779"/>
      <c r="F336" s="779"/>
      <c r="G336" s="779"/>
      <c r="H336" s="779"/>
      <c r="I336" s="779"/>
      <c r="J336" s="779"/>
      <c r="K336" s="779"/>
      <c r="L336" s="779"/>
      <c r="M336" s="779"/>
      <c r="N336" s="779"/>
      <c r="O336" s="606"/>
      <c r="P336" s="606"/>
      <c r="Q336" s="398"/>
      <c r="R336" s="398"/>
      <c r="S336" s="398"/>
      <c r="T336" s="398"/>
      <c r="U336" s="398"/>
      <c r="V336" s="738"/>
      <c r="W336" s="738"/>
      <c r="X336" s="738"/>
    </row>
    <row r="337" spans="1:24" ht="15.75" customHeight="1">
      <c r="A337" s="398"/>
      <c r="B337" s="398"/>
      <c r="C337" s="779"/>
      <c r="D337" s="779"/>
      <c r="E337" s="779"/>
      <c r="F337" s="779"/>
      <c r="G337" s="779"/>
      <c r="H337" s="779"/>
      <c r="I337" s="779"/>
      <c r="J337" s="779"/>
      <c r="K337" s="779"/>
      <c r="L337" s="779"/>
      <c r="M337" s="779"/>
      <c r="N337" s="779"/>
      <c r="O337" s="606"/>
      <c r="P337" s="606"/>
      <c r="Q337" s="398"/>
      <c r="R337" s="398"/>
      <c r="S337" s="398"/>
      <c r="T337" s="398"/>
      <c r="U337" s="398"/>
      <c r="V337" s="738"/>
      <c r="W337" s="738"/>
      <c r="X337" s="738"/>
    </row>
    <row r="338" spans="1:24" ht="15.75" customHeight="1">
      <c r="A338" s="398"/>
      <c r="B338" s="398"/>
      <c r="C338" s="779"/>
      <c r="D338" s="779"/>
      <c r="E338" s="779"/>
      <c r="F338" s="779"/>
      <c r="G338" s="779"/>
      <c r="H338" s="779"/>
      <c r="I338" s="779"/>
      <c r="J338" s="779"/>
      <c r="K338" s="779"/>
      <c r="L338" s="779"/>
      <c r="M338" s="779"/>
      <c r="N338" s="779"/>
      <c r="O338" s="606"/>
      <c r="P338" s="606"/>
      <c r="Q338" s="398"/>
      <c r="R338" s="398"/>
      <c r="S338" s="398"/>
      <c r="T338" s="398"/>
      <c r="U338" s="398"/>
      <c r="V338" s="738"/>
      <c r="W338" s="738"/>
      <c r="X338" s="738"/>
    </row>
    <row r="339" spans="1:24" ht="15.75" customHeight="1">
      <c r="A339" s="398"/>
      <c r="B339" s="398"/>
      <c r="C339" s="779"/>
      <c r="D339" s="779"/>
      <c r="E339" s="779"/>
      <c r="F339" s="779"/>
      <c r="G339" s="779"/>
      <c r="H339" s="779"/>
      <c r="I339" s="779"/>
      <c r="J339" s="779"/>
      <c r="K339" s="779"/>
      <c r="L339" s="779"/>
      <c r="M339" s="779"/>
      <c r="N339" s="779"/>
      <c r="O339" s="606"/>
      <c r="P339" s="606"/>
      <c r="Q339" s="398"/>
      <c r="R339" s="398"/>
      <c r="S339" s="398"/>
      <c r="T339" s="398"/>
      <c r="U339" s="398"/>
      <c r="V339" s="738"/>
      <c r="W339" s="738"/>
      <c r="X339" s="738"/>
    </row>
    <row r="340" spans="1:24" ht="15.75" customHeight="1">
      <c r="A340" s="398"/>
      <c r="B340" s="398"/>
      <c r="C340" s="779"/>
      <c r="D340" s="779"/>
      <c r="E340" s="779"/>
      <c r="F340" s="779"/>
      <c r="G340" s="779"/>
      <c r="H340" s="779"/>
      <c r="I340" s="779"/>
      <c r="J340" s="779"/>
      <c r="K340" s="779"/>
      <c r="L340" s="779"/>
      <c r="M340" s="779"/>
      <c r="N340" s="779"/>
      <c r="O340" s="606"/>
      <c r="P340" s="606"/>
      <c r="Q340" s="398"/>
      <c r="R340" s="398"/>
      <c r="S340" s="398"/>
      <c r="T340" s="398"/>
      <c r="U340" s="398"/>
      <c r="V340" s="738"/>
      <c r="W340" s="738"/>
      <c r="X340" s="738"/>
    </row>
    <row r="341" spans="1:24" ht="15.75" customHeight="1">
      <c r="A341" s="398"/>
      <c r="B341" s="398"/>
      <c r="C341" s="779"/>
      <c r="D341" s="779"/>
      <c r="E341" s="779"/>
      <c r="F341" s="779"/>
      <c r="G341" s="779"/>
      <c r="H341" s="779"/>
      <c r="I341" s="779"/>
      <c r="J341" s="779"/>
      <c r="K341" s="779"/>
      <c r="L341" s="779"/>
      <c r="M341" s="779"/>
      <c r="N341" s="779"/>
      <c r="O341" s="606"/>
      <c r="P341" s="606"/>
      <c r="Q341" s="398"/>
      <c r="R341" s="398"/>
      <c r="S341" s="398"/>
      <c r="T341" s="398"/>
      <c r="U341" s="398"/>
      <c r="V341" s="738"/>
      <c r="W341" s="738"/>
      <c r="X341" s="738"/>
    </row>
    <row r="342" spans="1:24" ht="15.75" customHeight="1">
      <c r="A342" s="398"/>
      <c r="B342" s="398"/>
      <c r="C342" s="779"/>
      <c r="D342" s="779"/>
      <c r="E342" s="779"/>
      <c r="F342" s="779"/>
      <c r="G342" s="779"/>
      <c r="H342" s="779"/>
      <c r="I342" s="779"/>
      <c r="J342" s="779"/>
      <c r="K342" s="779"/>
      <c r="L342" s="779"/>
      <c r="M342" s="779"/>
      <c r="N342" s="779"/>
      <c r="O342" s="606"/>
      <c r="P342" s="606"/>
      <c r="Q342" s="398"/>
      <c r="R342" s="398"/>
      <c r="S342" s="398"/>
      <c r="T342" s="398"/>
      <c r="U342" s="398"/>
      <c r="V342" s="738"/>
      <c r="W342" s="738"/>
      <c r="X342" s="738"/>
    </row>
    <row r="343" spans="1:24" ht="15.75" customHeight="1">
      <c r="A343" s="398"/>
      <c r="B343" s="398"/>
      <c r="C343" s="779"/>
      <c r="D343" s="779"/>
      <c r="E343" s="779"/>
      <c r="F343" s="779"/>
      <c r="G343" s="779"/>
      <c r="H343" s="779"/>
      <c r="I343" s="779"/>
      <c r="J343" s="779"/>
      <c r="K343" s="779"/>
      <c r="L343" s="779"/>
      <c r="M343" s="779"/>
      <c r="N343" s="779"/>
      <c r="O343" s="606"/>
      <c r="P343" s="606"/>
      <c r="Q343" s="398"/>
      <c r="R343" s="398"/>
      <c r="S343" s="398"/>
      <c r="T343" s="398"/>
      <c r="U343" s="398"/>
      <c r="V343" s="738"/>
      <c r="W343" s="738"/>
      <c r="X343" s="738"/>
    </row>
    <row r="344" spans="1:24" ht="15.75" customHeight="1">
      <c r="A344" s="398"/>
      <c r="B344" s="398"/>
      <c r="C344" s="779"/>
      <c r="D344" s="779"/>
      <c r="E344" s="779"/>
      <c r="F344" s="779"/>
      <c r="G344" s="779"/>
      <c r="H344" s="779"/>
      <c r="I344" s="779"/>
      <c r="J344" s="779"/>
      <c r="K344" s="779"/>
      <c r="L344" s="779"/>
      <c r="M344" s="779"/>
      <c r="N344" s="779"/>
      <c r="O344" s="606"/>
      <c r="P344" s="606"/>
      <c r="Q344" s="398"/>
      <c r="R344" s="398"/>
      <c r="S344" s="398"/>
      <c r="T344" s="398"/>
      <c r="U344" s="398"/>
      <c r="V344" s="738"/>
      <c r="W344" s="738"/>
      <c r="X344" s="738"/>
    </row>
    <row r="345" spans="1:24" ht="15.75" customHeight="1">
      <c r="A345" s="398"/>
      <c r="B345" s="398"/>
      <c r="C345" s="779"/>
      <c r="D345" s="779"/>
      <c r="E345" s="779"/>
      <c r="F345" s="779"/>
      <c r="G345" s="779"/>
      <c r="H345" s="779"/>
      <c r="I345" s="779"/>
      <c r="J345" s="779"/>
      <c r="K345" s="779"/>
      <c r="L345" s="779"/>
      <c r="M345" s="779"/>
      <c r="N345" s="779"/>
      <c r="O345" s="606"/>
      <c r="P345" s="606"/>
      <c r="Q345" s="398"/>
      <c r="R345" s="398"/>
      <c r="S345" s="398"/>
      <c r="T345" s="398"/>
      <c r="U345" s="398"/>
      <c r="V345" s="738"/>
      <c r="W345" s="738"/>
      <c r="X345" s="738"/>
    </row>
    <row r="346" spans="1:24" ht="15.75" customHeight="1">
      <c r="A346" s="398"/>
      <c r="B346" s="398"/>
      <c r="C346" s="779"/>
      <c r="D346" s="779"/>
      <c r="E346" s="779"/>
      <c r="F346" s="779"/>
      <c r="G346" s="779"/>
      <c r="H346" s="779"/>
      <c r="I346" s="779"/>
      <c r="J346" s="779"/>
      <c r="K346" s="779"/>
      <c r="L346" s="779"/>
      <c r="M346" s="779"/>
      <c r="N346" s="779"/>
      <c r="O346" s="606"/>
      <c r="P346" s="606"/>
      <c r="Q346" s="398"/>
      <c r="R346" s="398"/>
      <c r="S346" s="398"/>
      <c r="T346" s="398"/>
      <c r="U346" s="398"/>
      <c r="V346" s="738"/>
      <c r="W346" s="738"/>
      <c r="X346" s="738"/>
    </row>
    <row r="347" spans="1:24" ht="15.75" customHeight="1">
      <c r="A347" s="398"/>
      <c r="B347" s="398"/>
      <c r="C347" s="779"/>
      <c r="D347" s="779"/>
      <c r="E347" s="779"/>
      <c r="F347" s="779"/>
      <c r="G347" s="779"/>
      <c r="H347" s="779"/>
      <c r="I347" s="779"/>
      <c r="J347" s="779"/>
      <c r="K347" s="779"/>
      <c r="L347" s="779"/>
      <c r="M347" s="779"/>
      <c r="N347" s="779"/>
      <c r="O347" s="606"/>
      <c r="P347" s="606"/>
      <c r="Q347" s="398"/>
      <c r="R347" s="398"/>
      <c r="S347" s="398"/>
      <c r="T347" s="398"/>
      <c r="U347" s="398"/>
      <c r="V347" s="738"/>
      <c r="W347" s="738"/>
      <c r="X347" s="738"/>
    </row>
    <row r="348" spans="1:24" ht="15.75" customHeight="1">
      <c r="A348" s="398"/>
      <c r="B348" s="398"/>
      <c r="C348" s="779"/>
      <c r="D348" s="779"/>
      <c r="E348" s="779"/>
      <c r="F348" s="779"/>
      <c r="G348" s="779"/>
      <c r="H348" s="779"/>
      <c r="I348" s="779"/>
      <c r="J348" s="779"/>
      <c r="K348" s="779"/>
      <c r="L348" s="779"/>
      <c r="M348" s="779"/>
      <c r="N348" s="779"/>
      <c r="O348" s="606"/>
      <c r="P348" s="606"/>
      <c r="Q348" s="398"/>
      <c r="R348" s="398"/>
      <c r="S348" s="398"/>
      <c r="T348" s="398"/>
      <c r="U348" s="398"/>
      <c r="V348" s="738"/>
      <c r="W348" s="738"/>
      <c r="X348" s="738"/>
    </row>
    <row r="349" spans="1:24" ht="15.75" customHeight="1">
      <c r="A349" s="398"/>
      <c r="B349" s="398"/>
      <c r="C349" s="779"/>
      <c r="D349" s="779"/>
      <c r="E349" s="779"/>
      <c r="F349" s="779"/>
      <c r="G349" s="779"/>
      <c r="H349" s="779"/>
      <c r="I349" s="779"/>
      <c r="J349" s="779"/>
      <c r="K349" s="779"/>
      <c r="L349" s="779"/>
      <c r="M349" s="779"/>
      <c r="N349" s="779"/>
      <c r="O349" s="606"/>
      <c r="P349" s="606"/>
      <c r="Q349" s="398"/>
      <c r="R349" s="398"/>
      <c r="S349" s="398"/>
      <c r="T349" s="398"/>
      <c r="U349" s="398"/>
      <c r="V349" s="738"/>
      <c r="W349" s="738"/>
      <c r="X349" s="738"/>
    </row>
    <row r="350" spans="1:24" ht="15.75" customHeight="1">
      <c r="A350" s="398"/>
      <c r="B350" s="398"/>
      <c r="C350" s="779"/>
      <c r="D350" s="779"/>
      <c r="E350" s="779"/>
      <c r="F350" s="779"/>
      <c r="G350" s="779"/>
      <c r="H350" s="779"/>
      <c r="I350" s="779"/>
      <c r="J350" s="779"/>
      <c r="K350" s="779"/>
      <c r="L350" s="779"/>
      <c r="M350" s="779"/>
      <c r="N350" s="779"/>
      <c r="O350" s="606"/>
      <c r="P350" s="606"/>
      <c r="Q350" s="398"/>
      <c r="R350" s="398"/>
      <c r="S350" s="398"/>
      <c r="T350" s="398"/>
      <c r="U350" s="398"/>
      <c r="V350" s="738"/>
      <c r="W350" s="738"/>
      <c r="X350" s="738"/>
    </row>
    <row r="351" spans="1:24" ht="15.75" customHeight="1">
      <c r="A351" s="398"/>
      <c r="B351" s="398"/>
      <c r="C351" s="779"/>
      <c r="D351" s="779"/>
      <c r="E351" s="779"/>
      <c r="F351" s="779"/>
      <c r="G351" s="779"/>
      <c r="H351" s="779"/>
      <c r="I351" s="779"/>
      <c r="J351" s="779"/>
      <c r="K351" s="779"/>
      <c r="L351" s="779"/>
      <c r="M351" s="779"/>
      <c r="N351" s="779"/>
      <c r="O351" s="606"/>
      <c r="P351" s="606"/>
      <c r="Q351" s="398"/>
      <c r="R351" s="398"/>
      <c r="S351" s="398"/>
      <c r="T351" s="398"/>
      <c r="U351" s="398"/>
      <c r="V351" s="738"/>
      <c r="W351" s="738"/>
      <c r="X351" s="738"/>
    </row>
    <row r="352" spans="1:24" ht="15.75" customHeight="1">
      <c r="A352" s="398"/>
      <c r="B352" s="398"/>
      <c r="C352" s="779"/>
      <c r="D352" s="779"/>
      <c r="E352" s="779"/>
      <c r="F352" s="779"/>
      <c r="G352" s="779"/>
      <c r="H352" s="779"/>
      <c r="I352" s="779"/>
      <c r="J352" s="779"/>
      <c r="K352" s="779"/>
      <c r="L352" s="779"/>
      <c r="M352" s="779"/>
      <c r="N352" s="779"/>
      <c r="O352" s="398"/>
      <c r="P352" s="398"/>
      <c r="Q352" s="398"/>
      <c r="R352" s="398"/>
      <c r="S352" s="398"/>
      <c r="T352" s="398"/>
      <c r="U352" s="398"/>
      <c r="V352" s="738"/>
      <c r="W352" s="738"/>
      <c r="X352" s="738"/>
    </row>
    <row r="353" spans="1:24" ht="15.75" customHeight="1">
      <c r="A353" s="398"/>
      <c r="B353" s="398"/>
      <c r="C353" s="779"/>
      <c r="D353" s="779"/>
      <c r="E353" s="779"/>
      <c r="F353" s="779"/>
      <c r="G353" s="779"/>
      <c r="H353" s="779"/>
      <c r="I353" s="779"/>
      <c r="J353" s="779"/>
      <c r="K353" s="779"/>
      <c r="L353" s="779"/>
      <c r="M353" s="779"/>
      <c r="N353" s="779"/>
      <c r="O353" s="398"/>
      <c r="P353" s="398"/>
      <c r="Q353" s="398"/>
      <c r="R353" s="398"/>
      <c r="S353" s="398"/>
      <c r="T353" s="398"/>
      <c r="U353" s="398"/>
      <c r="V353" s="738"/>
      <c r="W353" s="738"/>
      <c r="X353" s="738"/>
    </row>
    <row r="354" spans="1:24" ht="15.75" customHeight="1">
      <c r="A354" s="398"/>
      <c r="B354" s="398"/>
      <c r="C354" s="779"/>
      <c r="D354" s="779"/>
      <c r="E354" s="779"/>
      <c r="F354" s="779"/>
      <c r="G354" s="779"/>
      <c r="H354" s="779"/>
      <c r="I354" s="779"/>
      <c r="J354" s="779"/>
      <c r="K354" s="779"/>
      <c r="L354" s="779"/>
      <c r="M354" s="779"/>
      <c r="N354" s="779"/>
      <c r="O354" s="398"/>
      <c r="P354" s="398"/>
      <c r="Q354" s="398"/>
      <c r="R354" s="398"/>
      <c r="S354" s="398"/>
      <c r="T354" s="398"/>
      <c r="U354" s="398"/>
      <c r="V354" s="738"/>
      <c r="W354" s="738"/>
      <c r="X354" s="738"/>
    </row>
    <row r="355" spans="1:24" ht="15.75" customHeight="1">
      <c r="A355" s="398"/>
      <c r="B355" s="398"/>
      <c r="C355" s="779"/>
      <c r="D355" s="779"/>
      <c r="E355" s="779"/>
      <c r="F355" s="779"/>
      <c r="G355" s="779"/>
      <c r="H355" s="779"/>
      <c r="I355" s="779"/>
      <c r="J355" s="779"/>
      <c r="K355" s="779"/>
      <c r="L355" s="779"/>
      <c r="M355" s="779"/>
      <c r="N355" s="779"/>
      <c r="O355" s="398"/>
      <c r="P355" s="398"/>
      <c r="Q355" s="398"/>
      <c r="R355" s="398"/>
      <c r="S355" s="398"/>
      <c r="T355" s="398"/>
      <c r="U355" s="398"/>
      <c r="V355" s="738"/>
      <c r="W355" s="738"/>
      <c r="X355" s="738"/>
    </row>
    <row r="356" spans="1:24" ht="15.75" customHeight="1">
      <c r="A356" s="398"/>
      <c r="B356" s="398"/>
      <c r="C356" s="779"/>
      <c r="D356" s="779"/>
      <c r="E356" s="779"/>
      <c r="F356" s="779"/>
      <c r="G356" s="779"/>
      <c r="H356" s="779"/>
      <c r="I356" s="779"/>
      <c r="J356" s="779"/>
      <c r="K356" s="779"/>
      <c r="L356" s="779"/>
      <c r="M356" s="779"/>
      <c r="N356" s="779"/>
      <c r="O356" s="398"/>
      <c r="P356" s="398"/>
      <c r="Q356" s="398"/>
      <c r="R356" s="398"/>
      <c r="S356" s="398"/>
      <c r="T356" s="398"/>
      <c r="U356" s="398"/>
      <c r="V356" s="738"/>
      <c r="W356" s="738"/>
      <c r="X356" s="738"/>
    </row>
    <row r="357" spans="1:24" ht="15.75" customHeight="1">
      <c r="A357" s="398"/>
      <c r="B357" s="398"/>
      <c r="C357" s="779"/>
      <c r="D357" s="779"/>
      <c r="E357" s="779"/>
      <c r="F357" s="779"/>
      <c r="G357" s="779"/>
      <c r="H357" s="779"/>
      <c r="I357" s="779"/>
      <c r="J357" s="779"/>
      <c r="K357" s="779"/>
      <c r="L357" s="779"/>
      <c r="M357" s="779"/>
      <c r="N357" s="779"/>
      <c r="O357" s="398"/>
      <c r="P357" s="398"/>
      <c r="Q357" s="398"/>
      <c r="R357" s="398"/>
      <c r="S357" s="398"/>
      <c r="T357" s="398"/>
      <c r="U357" s="398"/>
      <c r="V357" s="738"/>
      <c r="W357" s="738"/>
      <c r="X357" s="738"/>
    </row>
    <row r="358" spans="1:24" ht="15.75" customHeight="1">
      <c r="A358" s="398"/>
      <c r="B358" s="398"/>
      <c r="C358" s="779"/>
      <c r="D358" s="779"/>
      <c r="E358" s="779"/>
      <c r="F358" s="779"/>
      <c r="G358" s="779"/>
      <c r="H358" s="779"/>
      <c r="I358" s="779"/>
      <c r="J358" s="779"/>
      <c r="K358" s="779"/>
      <c r="L358" s="779"/>
      <c r="M358" s="779"/>
      <c r="N358" s="779"/>
      <c r="O358" s="398"/>
      <c r="P358" s="398"/>
      <c r="Q358" s="398"/>
      <c r="R358" s="398"/>
      <c r="S358" s="398"/>
      <c r="T358" s="398"/>
      <c r="U358" s="398"/>
      <c r="V358" s="738"/>
      <c r="W358" s="738"/>
      <c r="X358" s="738"/>
    </row>
    <row r="359" spans="1:24" ht="15.75" customHeight="1">
      <c r="A359" s="398"/>
      <c r="B359" s="398"/>
      <c r="C359" s="779"/>
      <c r="D359" s="779"/>
      <c r="E359" s="779"/>
      <c r="F359" s="779"/>
      <c r="G359" s="779"/>
      <c r="H359" s="779"/>
      <c r="I359" s="779"/>
      <c r="J359" s="779"/>
      <c r="K359" s="779"/>
      <c r="L359" s="779"/>
      <c r="M359" s="779"/>
      <c r="N359" s="779"/>
      <c r="O359" s="398"/>
      <c r="P359" s="398"/>
      <c r="Q359" s="398"/>
      <c r="R359" s="398"/>
      <c r="S359" s="398"/>
      <c r="T359" s="398"/>
      <c r="U359" s="398"/>
      <c r="V359" s="738"/>
      <c r="W359" s="738"/>
      <c r="X359" s="738"/>
    </row>
    <row r="360" spans="1:24" ht="15.75" customHeight="1">
      <c r="A360" s="398"/>
      <c r="B360" s="398"/>
      <c r="C360" s="779"/>
      <c r="D360" s="779"/>
      <c r="E360" s="779"/>
      <c r="F360" s="779"/>
      <c r="G360" s="779"/>
      <c r="H360" s="779"/>
      <c r="I360" s="779"/>
      <c r="J360" s="779"/>
      <c r="K360" s="779"/>
      <c r="L360" s="779"/>
      <c r="M360" s="779"/>
      <c r="N360" s="779"/>
      <c r="O360" s="398"/>
      <c r="P360" s="398"/>
      <c r="Q360" s="398"/>
      <c r="R360" s="398"/>
      <c r="S360" s="398"/>
      <c r="T360" s="398"/>
      <c r="U360" s="398"/>
      <c r="V360" s="738"/>
      <c r="W360" s="738"/>
      <c r="X360" s="738"/>
    </row>
    <row r="361" spans="1:24" ht="15.75" customHeight="1">
      <c r="A361" s="398"/>
      <c r="B361" s="398"/>
      <c r="C361" s="779"/>
      <c r="D361" s="779"/>
      <c r="E361" s="779"/>
      <c r="F361" s="779"/>
      <c r="G361" s="779"/>
      <c r="H361" s="779"/>
      <c r="I361" s="779"/>
      <c r="J361" s="779"/>
      <c r="K361" s="779"/>
      <c r="L361" s="779"/>
      <c r="M361" s="779"/>
      <c r="N361" s="779"/>
      <c r="O361" s="398"/>
      <c r="P361" s="398"/>
      <c r="Q361" s="398"/>
      <c r="R361" s="398"/>
      <c r="S361" s="398"/>
      <c r="T361" s="398"/>
      <c r="U361" s="398"/>
      <c r="V361" s="738"/>
      <c r="W361" s="738"/>
      <c r="X361" s="738"/>
    </row>
    <row r="362" spans="1:24" ht="15.75" customHeight="1">
      <c r="A362" s="398"/>
      <c r="B362" s="398"/>
      <c r="C362" s="779"/>
      <c r="D362" s="779"/>
      <c r="E362" s="779"/>
      <c r="F362" s="779"/>
      <c r="G362" s="779"/>
      <c r="H362" s="779"/>
      <c r="I362" s="779"/>
      <c r="J362" s="779"/>
      <c r="K362" s="779"/>
      <c r="L362" s="779"/>
      <c r="M362" s="779"/>
      <c r="N362" s="779"/>
      <c r="O362" s="398"/>
      <c r="P362" s="398"/>
      <c r="Q362" s="398"/>
      <c r="R362" s="398"/>
      <c r="S362" s="398"/>
      <c r="T362" s="398"/>
      <c r="U362" s="398"/>
      <c r="V362" s="738"/>
      <c r="W362" s="738"/>
      <c r="X362" s="738"/>
    </row>
    <row r="363" spans="1:24" ht="15.75" customHeight="1">
      <c r="A363" s="398"/>
      <c r="B363" s="398"/>
      <c r="C363" s="779"/>
      <c r="D363" s="779"/>
      <c r="E363" s="779"/>
      <c r="F363" s="779"/>
      <c r="G363" s="779"/>
      <c r="H363" s="779"/>
      <c r="I363" s="779"/>
      <c r="J363" s="779"/>
      <c r="K363" s="779"/>
      <c r="L363" s="779"/>
      <c r="M363" s="779"/>
      <c r="N363" s="779"/>
      <c r="O363" s="398"/>
      <c r="P363" s="398"/>
      <c r="Q363" s="398"/>
      <c r="R363" s="398"/>
      <c r="S363" s="398"/>
      <c r="T363" s="398"/>
      <c r="U363" s="398"/>
      <c r="V363" s="738"/>
      <c r="W363" s="738"/>
      <c r="X363" s="738"/>
    </row>
    <row r="364" spans="1:24" ht="15.75" customHeight="1">
      <c r="A364" s="398"/>
      <c r="B364" s="398"/>
      <c r="C364" s="779"/>
      <c r="D364" s="779"/>
      <c r="E364" s="779"/>
      <c r="F364" s="779"/>
      <c r="G364" s="779"/>
      <c r="H364" s="779"/>
      <c r="I364" s="779"/>
      <c r="J364" s="779"/>
      <c r="K364" s="779"/>
      <c r="L364" s="779"/>
      <c r="M364" s="779"/>
      <c r="N364" s="779"/>
      <c r="O364" s="398"/>
      <c r="P364" s="398"/>
      <c r="Q364" s="398"/>
      <c r="R364" s="398"/>
      <c r="S364" s="398"/>
      <c r="T364" s="398"/>
      <c r="U364" s="398"/>
      <c r="V364" s="738"/>
      <c r="W364" s="738"/>
      <c r="X364" s="738"/>
    </row>
    <row r="365" spans="1:24" ht="15.75" customHeight="1">
      <c r="A365" s="398"/>
      <c r="B365" s="398"/>
      <c r="C365" s="779"/>
      <c r="D365" s="779"/>
      <c r="E365" s="779"/>
      <c r="F365" s="779"/>
      <c r="G365" s="779"/>
      <c r="H365" s="779"/>
      <c r="I365" s="779"/>
      <c r="J365" s="779"/>
      <c r="K365" s="779"/>
      <c r="L365" s="779"/>
      <c r="M365" s="779"/>
      <c r="N365" s="779"/>
      <c r="O365" s="398"/>
      <c r="P365" s="398"/>
      <c r="Q365" s="398"/>
      <c r="R365" s="398"/>
      <c r="S365" s="398"/>
      <c r="T365" s="398"/>
      <c r="U365" s="398"/>
      <c r="V365" s="738"/>
      <c r="W365" s="738"/>
      <c r="X365" s="738"/>
    </row>
    <row r="366" spans="1:24" ht="15.75" customHeight="1">
      <c r="A366" s="398"/>
      <c r="B366" s="398"/>
      <c r="C366" s="779"/>
      <c r="D366" s="779"/>
      <c r="E366" s="779"/>
      <c r="F366" s="779"/>
      <c r="G366" s="779"/>
      <c r="H366" s="779"/>
      <c r="I366" s="779"/>
      <c r="J366" s="779"/>
      <c r="K366" s="779"/>
      <c r="L366" s="779"/>
      <c r="M366" s="779"/>
      <c r="N366" s="779"/>
      <c r="O366" s="398"/>
      <c r="P366" s="398"/>
      <c r="Q366" s="398"/>
      <c r="R366" s="398"/>
      <c r="S366" s="398"/>
      <c r="T366" s="398"/>
      <c r="U366" s="398"/>
      <c r="V366" s="738"/>
      <c r="W366" s="738"/>
      <c r="X366" s="738"/>
    </row>
    <row r="367" spans="1:24" ht="15.75" customHeight="1">
      <c r="A367" s="398"/>
      <c r="B367" s="398"/>
      <c r="C367" s="779"/>
      <c r="D367" s="779"/>
      <c r="E367" s="779"/>
      <c r="F367" s="779"/>
      <c r="G367" s="779"/>
      <c r="H367" s="779"/>
      <c r="I367" s="779"/>
      <c r="J367" s="779"/>
      <c r="K367" s="779"/>
      <c r="L367" s="779"/>
      <c r="M367" s="779"/>
      <c r="N367" s="779"/>
      <c r="O367" s="398"/>
      <c r="P367" s="398"/>
      <c r="Q367" s="398"/>
      <c r="R367" s="398"/>
      <c r="S367" s="398"/>
      <c r="T367" s="398"/>
      <c r="U367" s="398"/>
      <c r="V367" s="738"/>
      <c r="W367" s="738"/>
      <c r="X367" s="738"/>
    </row>
    <row r="368" spans="1:24" ht="15.75" customHeight="1">
      <c r="A368" s="398"/>
      <c r="B368" s="398"/>
      <c r="C368" s="779"/>
      <c r="D368" s="779"/>
      <c r="E368" s="779"/>
      <c r="F368" s="779"/>
      <c r="G368" s="779"/>
      <c r="H368" s="779"/>
      <c r="I368" s="779"/>
      <c r="J368" s="779"/>
      <c r="K368" s="779"/>
      <c r="L368" s="779"/>
      <c r="M368" s="779"/>
      <c r="N368" s="779"/>
      <c r="O368" s="398"/>
      <c r="P368" s="398"/>
      <c r="Q368" s="398"/>
      <c r="R368" s="398"/>
      <c r="S368" s="398"/>
      <c r="T368" s="398"/>
      <c r="U368" s="398"/>
      <c r="V368" s="738"/>
      <c r="W368" s="738"/>
      <c r="X368" s="738"/>
    </row>
    <row r="369" spans="1:24" ht="15.75" customHeight="1">
      <c r="A369" s="398"/>
      <c r="B369" s="398"/>
      <c r="C369" s="779"/>
      <c r="D369" s="779"/>
      <c r="E369" s="779"/>
      <c r="F369" s="779"/>
      <c r="G369" s="779"/>
      <c r="H369" s="779"/>
      <c r="I369" s="779"/>
      <c r="J369" s="779"/>
      <c r="K369" s="779"/>
      <c r="L369" s="779"/>
      <c r="M369" s="779"/>
      <c r="N369" s="779"/>
      <c r="O369" s="398"/>
      <c r="P369" s="398"/>
      <c r="Q369" s="398"/>
      <c r="R369" s="398"/>
      <c r="S369" s="398"/>
      <c r="T369" s="398"/>
      <c r="U369" s="398"/>
      <c r="V369" s="738"/>
      <c r="W369" s="738"/>
      <c r="X369" s="738"/>
    </row>
    <row r="370" spans="1:24" ht="15.75" customHeight="1">
      <c r="A370" s="398"/>
      <c r="B370" s="398"/>
      <c r="C370" s="779"/>
      <c r="D370" s="779"/>
      <c r="E370" s="779"/>
      <c r="F370" s="779"/>
      <c r="G370" s="779"/>
      <c r="H370" s="779"/>
      <c r="I370" s="779"/>
      <c r="J370" s="779"/>
      <c r="K370" s="779"/>
      <c r="L370" s="779"/>
      <c r="M370" s="779"/>
      <c r="N370" s="779"/>
      <c r="O370" s="398"/>
      <c r="P370" s="398"/>
      <c r="Q370" s="398"/>
      <c r="R370" s="398"/>
      <c r="S370" s="398"/>
      <c r="T370" s="398"/>
      <c r="U370" s="398"/>
      <c r="V370" s="738"/>
      <c r="W370" s="738"/>
      <c r="X370" s="738"/>
    </row>
    <row r="371" spans="1:24" ht="15.75" customHeight="1">
      <c r="A371" s="398"/>
      <c r="B371" s="398"/>
      <c r="C371" s="779"/>
      <c r="D371" s="779"/>
      <c r="E371" s="779"/>
      <c r="F371" s="779"/>
      <c r="G371" s="779"/>
      <c r="H371" s="779"/>
      <c r="I371" s="779"/>
      <c r="J371" s="779"/>
      <c r="K371" s="779"/>
      <c r="L371" s="779"/>
      <c r="M371" s="779"/>
      <c r="N371" s="779"/>
      <c r="O371" s="398"/>
      <c r="P371" s="398"/>
      <c r="Q371" s="398"/>
      <c r="R371" s="398"/>
      <c r="S371" s="398"/>
      <c r="T371" s="398"/>
      <c r="U371" s="398"/>
      <c r="V371" s="738"/>
      <c r="W371" s="738"/>
      <c r="X371" s="738"/>
    </row>
    <row r="372" spans="1:24" ht="15.75" customHeight="1">
      <c r="A372" s="398"/>
      <c r="B372" s="398"/>
      <c r="C372" s="779"/>
      <c r="D372" s="779"/>
      <c r="E372" s="779"/>
      <c r="F372" s="779"/>
      <c r="G372" s="779"/>
      <c r="H372" s="779"/>
      <c r="I372" s="779"/>
      <c r="J372" s="779"/>
      <c r="K372" s="779"/>
      <c r="L372" s="779"/>
      <c r="M372" s="779"/>
      <c r="N372" s="779"/>
      <c r="O372" s="398"/>
      <c r="P372" s="398"/>
      <c r="Q372" s="398"/>
      <c r="R372" s="398"/>
      <c r="S372" s="398"/>
      <c r="T372" s="398"/>
      <c r="U372" s="398"/>
      <c r="V372" s="738"/>
      <c r="W372" s="738"/>
      <c r="X372" s="738"/>
    </row>
    <row r="373" spans="1:24" ht="15.75" customHeight="1">
      <c r="A373" s="398"/>
      <c r="B373" s="398"/>
      <c r="C373" s="779"/>
      <c r="D373" s="779"/>
      <c r="E373" s="779"/>
      <c r="F373" s="779"/>
      <c r="G373" s="779"/>
      <c r="H373" s="779"/>
      <c r="I373" s="779"/>
      <c r="J373" s="779"/>
      <c r="K373" s="779"/>
      <c r="L373" s="779"/>
      <c r="M373" s="779"/>
      <c r="N373" s="779"/>
      <c r="O373" s="398"/>
      <c r="P373" s="398"/>
      <c r="Q373" s="398"/>
      <c r="R373" s="398"/>
      <c r="S373" s="398"/>
      <c r="T373" s="398"/>
      <c r="U373" s="398"/>
      <c r="V373" s="738"/>
      <c r="W373" s="738"/>
      <c r="X373" s="738"/>
    </row>
    <row r="374" spans="1:24" ht="15.75" customHeight="1">
      <c r="A374" s="398"/>
      <c r="B374" s="398"/>
      <c r="C374" s="779"/>
      <c r="D374" s="779"/>
      <c r="E374" s="779"/>
      <c r="F374" s="779"/>
      <c r="G374" s="779"/>
      <c r="H374" s="779"/>
      <c r="I374" s="779"/>
      <c r="J374" s="779"/>
      <c r="K374" s="779"/>
      <c r="L374" s="779"/>
      <c r="M374" s="779"/>
      <c r="N374" s="779"/>
      <c r="O374" s="398"/>
      <c r="P374" s="398"/>
      <c r="Q374" s="398"/>
      <c r="R374" s="398"/>
      <c r="S374" s="398"/>
      <c r="T374" s="398"/>
      <c r="U374" s="398"/>
      <c r="V374" s="738"/>
      <c r="W374" s="738"/>
      <c r="X374" s="738"/>
    </row>
    <row r="375" spans="1:24" ht="15.75" customHeight="1">
      <c r="A375" s="398"/>
      <c r="B375" s="398"/>
      <c r="C375" s="779"/>
      <c r="D375" s="779"/>
      <c r="E375" s="779"/>
      <c r="F375" s="779"/>
      <c r="G375" s="779"/>
      <c r="H375" s="779"/>
      <c r="I375" s="779"/>
      <c r="J375" s="779"/>
      <c r="K375" s="779"/>
      <c r="L375" s="779"/>
      <c r="M375" s="779"/>
      <c r="N375" s="779"/>
      <c r="O375" s="398"/>
      <c r="P375" s="398"/>
      <c r="Q375" s="398"/>
      <c r="R375" s="398"/>
      <c r="S375" s="398"/>
      <c r="T375" s="398"/>
      <c r="U375" s="398"/>
      <c r="V375" s="738"/>
      <c r="W375" s="738"/>
      <c r="X375" s="738"/>
    </row>
    <row r="376" spans="1:24" ht="15.75" customHeight="1">
      <c r="A376" s="398"/>
      <c r="B376" s="398"/>
      <c r="C376" s="779"/>
      <c r="D376" s="779"/>
      <c r="E376" s="779"/>
      <c r="F376" s="779"/>
      <c r="G376" s="779"/>
      <c r="H376" s="779"/>
      <c r="I376" s="779"/>
      <c r="J376" s="779"/>
      <c r="K376" s="779"/>
      <c r="L376" s="779"/>
      <c r="M376" s="779"/>
      <c r="N376" s="779"/>
      <c r="O376" s="398"/>
      <c r="P376" s="398"/>
      <c r="Q376" s="398"/>
      <c r="R376" s="398"/>
      <c r="S376" s="398"/>
      <c r="T376" s="398"/>
      <c r="U376" s="398"/>
      <c r="V376" s="738"/>
      <c r="W376" s="738"/>
      <c r="X376" s="738"/>
    </row>
    <row r="377" spans="1:24" ht="15.75" customHeight="1">
      <c r="A377" s="398"/>
      <c r="B377" s="398"/>
      <c r="C377" s="779"/>
      <c r="D377" s="779"/>
      <c r="E377" s="779"/>
      <c r="F377" s="779"/>
      <c r="G377" s="779"/>
      <c r="H377" s="779"/>
      <c r="I377" s="779"/>
      <c r="J377" s="779"/>
      <c r="K377" s="779"/>
      <c r="L377" s="779"/>
      <c r="M377" s="779"/>
      <c r="N377" s="779"/>
      <c r="O377" s="398"/>
      <c r="P377" s="398"/>
      <c r="Q377" s="398"/>
      <c r="R377" s="398"/>
      <c r="S377" s="398"/>
      <c r="T377" s="398"/>
      <c r="U377" s="398"/>
      <c r="V377" s="738"/>
      <c r="W377" s="738"/>
      <c r="X377" s="738"/>
    </row>
    <row r="378" spans="1:24" ht="15.75" customHeight="1">
      <c r="A378" s="398"/>
      <c r="B378" s="398"/>
      <c r="C378" s="779"/>
      <c r="D378" s="779"/>
      <c r="E378" s="779"/>
      <c r="F378" s="779"/>
      <c r="G378" s="779"/>
      <c r="H378" s="779"/>
      <c r="I378" s="779"/>
      <c r="J378" s="779"/>
      <c r="K378" s="779"/>
      <c r="L378" s="779"/>
      <c r="M378" s="779"/>
      <c r="N378" s="779"/>
      <c r="O378" s="398"/>
      <c r="P378" s="398"/>
      <c r="Q378" s="398"/>
      <c r="R378" s="398"/>
      <c r="S378" s="398"/>
      <c r="T378" s="398"/>
      <c r="U378" s="398"/>
      <c r="V378" s="738"/>
      <c r="W378" s="738"/>
      <c r="X378" s="738"/>
    </row>
    <row r="379" spans="1:24" ht="15.75" customHeight="1">
      <c r="A379" s="398"/>
      <c r="B379" s="398"/>
      <c r="C379" s="779"/>
      <c r="D379" s="779"/>
      <c r="E379" s="779"/>
      <c r="F379" s="779"/>
      <c r="G379" s="779"/>
      <c r="H379" s="779"/>
      <c r="I379" s="779"/>
      <c r="J379" s="779"/>
      <c r="K379" s="779"/>
      <c r="L379" s="779"/>
      <c r="M379" s="779"/>
      <c r="N379" s="779"/>
      <c r="O379" s="398"/>
      <c r="P379" s="398"/>
      <c r="Q379" s="398"/>
      <c r="R379" s="398"/>
      <c r="S379" s="398"/>
      <c r="T379" s="398"/>
      <c r="U379" s="398"/>
      <c r="V379" s="738"/>
      <c r="W379" s="738"/>
      <c r="X379" s="738"/>
    </row>
    <row r="380" spans="1:24" ht="15.75" customHeight="1">
      <c r="A380" s="398"/>
      <c r="B380" s="398"/>
      <c r="C380" s="779"/>
      <c r="D380" s="779"/>
      <c r="E380" s="779"/>
      <c r="F380" s="779"/>
      <c r="G380" s="779"/>
      <c r="H380" s="779"/>
      <c r="I380" s="779"/>
      <c r="J380" s="779"/>
      <c r="K380" s="779"/>
      <c r="L380" s="779"/>
      <c r="M380" s="779"/>
      <c r="N380" s="779"/>
      <c r="O380" s="398"/>
      <c r="P380" s="398"/>
      <c r="Q380" s="398"/>
      <c r="R380" s="398"/>
      <c r="S380" s="398"/>
      <c r="T380" s="398"/>
      <c r="U380" s="398"/>
      <c r="V380" s="738"/>
      <c r="W380" s="738"/>
      <c r="X380" s="738"/>
    </row>
    <row r="381" spans="1:24" ht="15.75" customHeight="1">
      <c r="A381" s="398"/>
      <c r="B381" s="398"/>
      <c r="C381" s="779"/>
      <c r="D381" s="779"/>
      <c r="E381" s="779"/>
      <c r="F381" s="779"/>
      <c r="G381" s="779"/>
      <c r="H381" s="779"/>
      <c r="I381" s="779"/>
      <c r="J381" s="779"/>
      <c r="K381" s="779"/>
      <c r="L381" s="779"/>
      <c r="M381" s="779"/>
      <c r="N381" s="779"/>
      <c r="O381" s="398"/>
      <c r="P381" s="398"/>
      <c r="Q381" s="398"/>
      <c r="R381" s="398"/>
      <c r="S381" s="398"/>
      <c r="T381" s="398"/>
      <c r="U381" s="398"/>
      <c r="V381" s="738"/>
      <c r="W381" s="738"/>
      <c r="X381" s="738"/>
    </row>
    <row r="382" spans="1:24" ht="15.75" customHeight="1">
      <c r="A382" s="398"/>
      <c r="B382" s="398"/>
      <c r="C382" s="779"/>
      <c r="D382" s="779"/>
      <c r="E382" s="779"/>
      <c r="F382" s="779"/>
      <c r="G382" s="779"/>
      <c r="H382" s="779"/>
      <c r="I382" s="779"/>
      <c r="J382" s="779"/>
      <c r="K382" s="779"/>
      <c r="L382" s="779"/>
      <c r="M382" s="779"/>
      <c r="N382" s="779"/>
      <c r="O382" s="398"/>
      <c r="P382" s="398"/>
      <c r="Q382" s="398"/>
      <c r="R382" s="398"/>
      <c r="S382" s="398"/>
      <c r="T382" s="398"/>
      <c r="U382" s="398"/>
      <c r="V382" s="738"/>
      <c r="W382" s="738"/>
      <c r="X382" s="738"/>
    </row>
    <row r="383" spans="1:24" ht="15.75" customHeight="1">
      <c r="A383" s="398"/>
      <c r="B383" s="398"/>
      <c r="C383" s="779"/>
      <c r="D383" s="779"/>
      <c r="E383" s="779"/>
      <c r="F383" s="779"/>
      <c r="G383" s="779"/>
      <c r="H383" s="779"/>
      <c r="I383" s="779"/>
      <c r="J383" s="779"/>
      <c r="K383" s="779"/>
      <c r="L383" s="779"/>
      <c r="M383" s="779"/>
      <c r="N383" s="779"/>
      <c r="O383" s="398"/>
      <c r="P383" s="398"/>
      <c r="Q383" s="398"/>
      <c r="R383" s="398"/>
      <c r="S383" s="398"/>
      <c r="T383" s="398"/>
      <c r="U383" s="398"/>
      <c r="V383" s="738"/>
      <c r="W383" s="738"/>
      <c r="X383" s="738"/>
    </row>
    <row r="384" spans="1:24" ht="15.75" customHeight="1">
      <c r="A384" s="398"/>
      <c r="B384" s="398"/>
      <c r="C384" s="779"/>
      <c r="D384" s="779"/>
      <c r="E384" s="779"/>
      <c r="F384" s="779"/>
      <c r="G384" s="779"/>
      <c r="H384" s="779"/>
      <c r="I384" s="779"/>
      <c r="J384" s="779"/>
      <c r="K384" s="779"/>
      <c r="L384" s="779"/>
      <c r="M384" s="779"/>
      <c r="N384" s="779"/>
      <c r="O384" s="398"/>
      <c r="P384" s="398"/>
      <c r="Q384" s="398"/>
      <c r="R384" s="398"/>
      <c r="S384" s="398"/>
      <c r="T384" s="398"/>
      <c r="U384" s="398"/>
      <c r="V384" s="738"/>
      <c r="W384" s="738"/>
      <c r="X384" s="738"/>
    </row>
    <row r="385" spans="1:24" ht="15.75" customHeight="1">
      <c r="A385" s="398"/>
      <c r="B385" s="398"/>
      <c r="C385" s="779"/>
      <c r="D385" s="779"/>
      <c r="E385" s="779"/>
      <c r="F385" s="779"/>
      <c r="G385" s="779"/>
      <c r="H385" s="779"/>
      <c r="I385" s="779"/>
      <c r="J385" s="779"/>
      <c r="K385" s="779"/>
      <c r="L385" s="779"/>
      <c r="M385" s="779"/>
      <c r="N385" s="779"/>
      <c r="O385" s="398"/>
      <c r="P385" s="398"/>
      <c r="Q385" s="398"/>
      <c r="R385" s="398"/>
      <c r="S385" s="398"/>
      <c r="T385" s="398"/>
      <c r="U385" s="398"/>
      <c r="V385" s="738"/>
      <c r="W385" s="738"/>
      <c r="X385" s="738"/>
    </row>
    <row r="386" spans="1:24" ht="15.75" customHeight="1">
      <c r="A386" s="398"/>
      <c r="B386" s="398"/>
      <c r="C386" s="779"/>
      <c r="D386" s="779"/>
      <c r="E386" s="779"/>
      <c r="F386" s="779"/>
      <c r="G386" s="779"/>
      <c r="H386" s="779"/>
      <c r="I386" s="779"/>
      <c r="J386" s="779"/>
      <c r="K386" s="779"/>
      <c r="L386" s="779"/>
      <c r="M386" s="779"/>
      <c r="N386" s="779"/>
      <c r="O386" s="398"/>
      <c r="P386" s="398"/>
      <c r="Q386" s="398"/>
      <c r="R386" s="398"/>
      <c r="S386" s="398"/>
      <c r="T386" s="398"/>
      <c r="U386" s="398"/>
      <c r="V386" s="738"/>
      <c r="W386" s="738"/>
      <c r="X386" s="738"/>
    </row>
    <row r="387" spans="1:24" ht="15.75" customHeight="1">
      <c r="A387" s="398"/>
      <c r="B387" s="398"/>
      <c r="C387" s="779"/>
      <c r="D387" s="779"/>
      <c r="E387" s="779"/>
      <c r="F387" s="779"/>
      <c r="G387" s="779"/>
      <c r="H387" s="779"/>
      <c r="I387" s="779"/>
      <c r="J387" s="779"/>
      <c r="K387" s="779"/>
      <c r="L387" s="779"/>
      <c r="M387" s="779"/>
      <c r="N387" s="779"/>
      <c r="O387" s="398"/>
      <c r="P387" s="398"/>
      <c r="Q387" s="398"/>
      <c r="R387" s="398"/>
      <c r="S387" s="398"/>
      <c r="T387" s="398"/>
      <c r="U387" s="398"/>
      <c r="V387" s="738"/>
      <c r="W387" s="738"/>
      <c r="X387" s="738"/>
    </row>
    <row r="388" spans="1:24" ht="15.75" customHeight="1">
      <c r="A388" s="398"/>
      <c r="B388" s="398"/>
      <c r="C388" s="779"/>
      <c r="D388" s="779"/>
      <c r="E388" s="779"/>
      <c r="F388" s="779"/>
      <c r="G388" s="779"/>
      <c r="H388" s="779"/>
      <c r="I388" s="779"/>
      <c r="J388" s="779"/>
      <c r="K388" s="779"/>
      <c r="L388" s="779"/>
      <c r="M388" s="779"/>
      <c r="N388" s="779"/>
      <c r="O388" s="398"/>
      <c r="P388" s="398"/>
      <c r="Q388" s="398"/>
      <c r="R388" s="398"/>
      <c r="S388" s="398"/>
      <c r="T388" s="398"/>
      <c r="U388" s="398"/>
      <c r="V388" s="738"/>
      <c r="W388" s="738"/>
      <c r="X388" s="738"/>
    </row>
    <row r="389" spans="1:24" ht="15.75" customHeight="1">
      <c r="A389" s="398"/>
      <c r="B389" s="398"/>
      <c r="C389" s="779"/>
      <c r="D389" s="779"/>
      <c r="E389" s="779"/>
      <c r="F389" s="779"/>
      <c r="G389" s="779"/>
      <c r="H389" s="779"/>
      <c r="I389" s="779"/>
      <c r="J389" s="779"/>
      <c r="K389" s="779"/>
      <c r="L389" s="779"/>
      <c r="M389" s="779"/>
      <c r="N389" s="779"/>
      <c r="O389" s="398"/>
      <c r="P389" s="398"/>
      <c r="Q389" s="398"/>
      <c r="R389" s="398"/>
      <c r="S389" s="398"/>
      <c r="T389" s="398"/>
      <c r="U389" s="398"/>
      <c r="V389" s="738"/>
      <c r="W389" s="738"/>
      <c r="X389" s="738"/>
    </row>
    <row r="390" spans="1:24" ht="15.75" customHeight="1">
      <c r="A390" s="398"/>
      <c r="B390" s="398"/>
      <c r="C390" s="779"/>
      <c r="D390" s="779"/>
      <c r="E390" s="779"/>
      <c r="F390" s="779"/>
      <c r="G390" s="779"/>
      <c r="H390" s="779"/>
      <c r="I390" s="779"/>
      <c r="J390" s="779"/>
      <c r="K390" s="779"/>
      <c r="L390" s="779"/>
      <c r="M390" s="779"/>
      <c r="N390" s="779"/>
      <c r="O390" s="398"/>
      <c r="P390" s="398"/>
      <c r="Q390" s="398"/>
      <c r="R390" s="398"/>
      <c r="S390" s="398"/>
      <c r="T390" s="398"/>
      <c r="U390" s="398"/>
      <c r="V390" s="738"/>
      <c r="W390" s="738"/>
      <c r="X390" s="738"/>
    </row>
    <row r="391" spans="1:24" ht="15.75" customHeight="1">
      <c r="A391" s="398"/>
      <c r="B391" s="398"/>
      <c r="C391" s="779"/>
      <c r="D391" s="779"/>
      <c r="E391" s="779"/>
      <c r="F391" s="779"/>
      <c r="G391" s="779"/>
      <c r="H391" s="779"/>
      <c r="I391" s="779"/>
      <c r="J391" s="779"/>
      <c r="K391" s="779"/>
      <c r="L391" s="779"/>
      <c r="M391" s="779"/>
      <c r="N391" s="779"/>
      <c r="O391" s="398"/>
      <c r="P391" s="398"/>
      <c r="Q391" s="398"/>
      <c r="R391" s="398"/>
      <c r="S391" s="398"/>
      <c r="T391" s="398"/>
      <c r="U391" s="398"/>
      <c r="V391" s="738"/>
      <c r="W391" s="738"/>
      <c r="X391" s="738"/>
    </row>
    <row r="392" spans="1:24" ht="15.75" customHeight="1">
      <c r="A392" s="398"/>
      <c r="B392" s="398"/>
      <c r="C392" s="779"/>
      <c r="D392" s="779"/>
      <c r="E392" s="779"/>
      <c r="F392" s="779"/>
      <c r="G392" s="779"/>
      <c r="H392" s="779"/>
      <c r="I392" s="779"/>
      <c r="J392" s="779"/>
      <c r="K392" s="779"/>
      <c r="L392" s="779"/>
      <c r="M392" s="779"/>
      <c r="N392" s="779"/>
      <c r="O392" s="398"/>
      <c r="P392" s="398"/>
      <c r="Q392" s="398"/>
      <c r="R392" s="398"/>
      <c r="S392" s="398"/>
      <c r="T392" s="398"/>
      <c r="U392" s="398"/>
      <c r="V392" s="738"/>
      <c r="W392" s="738"/>
      <c r="X392" s="738"/>
    </row>
    <row r="393" spans="1:24" ht="15.75" customHeight="1">
      <c r="A393" s="398"/>
      <c r="B393" s="398"/>
      <c r="C393" s="779"/>
      <c r="D393" s="779"/>
      <c r="E393" s="779"/>
      <c r="F393" s="779"/>
      <c r="G393" s="779"/>
      <c r="H393" s="779"/>
      <c r="I393" s="779"/>
      <c r="J393" s="779"/>
      <c r="K393" s="779"/>
      <c r="L393" s="779"/>
      <c r="M393" s="779"/>
      <c r="N393" s="779"/>
      <c r="O393" s="398"/>
      <c r="P393" s="398"/>
      <c r="Q393" s="398"/>
      <c r="R393" s="398"/>
      <c r="S393" s="398"/>
      <c r="T393" s="398"/>
      <c r="U393" s="398"/>
      <c r="V393" s="738"/>
      <c r="W393" s="738"/>
      <c r="X393" s="738"/>
    </row>
    <row r="394" spans="1:24" ht="15.75" customHeight="1">
      <c r="A394" s="398"/>
      <c r="B394" s="398"/>
      <c r="C394" s="779"/>
      <c r="D394" s="779"/>
      <c r="E394" s="779"/>
      <c r="F394" s="779"/>
      <c r="G394" s="779"/>
      <c r="H394" s="779"/>
      <c r="I394" s="779"/>
      <c r="J394" s="779"/>
      <c r="K394" s="779"/>
      <c r="L394" s="779"/>
      <c r="M394" s="779"/>
      <c r="N394" s="779"/>
      <c r="O394" s="398"/>
      <c r="P394" s="398"/>
      <c r="Q394" s="398"/>
      <c r="R394" s="398"/>
      <c r="S394" s="398"/>
      <c r="T394" s="398"/>
      <c r="U394" s="398"/>
      <c r="V394" s="738"/>
      <c r="W394" s="738"/>
      <c r="X394" s="738"/>
    </row>
    <row r="395" spans="1:24" ht="15.75" customHeight="1">
      <c r="A395" s="398"/>
      <c r="B395" s="398"/>
      <c r="C395" s="779"/>
      <c r="D395" s="779"/>
      <c r="E395" s="779"/>
      <c r="F395" s="779"/>
      <c r="G395" s="779"/>
      <c r="H395" s="779"/>
      <c r="I395" s="779"/>
      <c r="J395" s="779"/>
      <c r="K395" s="779"/>
      <c r="L395" s="779"/>
      <c r="M395" s="779"/>
      <c r="N395" s="779"/>
      <c r="O395" s="398"/>
      <c r="P395" s="398"/>
      <c r="Q395" s="398"/>
      <c r="R395" s="398"/>
      <c r="S395" s="398"/>
      <c r="T395" s="398"/>
      <c r="U395" s="398"/>
      <c r="V395" s="738"/>
      <c r="W395" s="738"/>
      <c r="X395" s="738"/>
    </row>
    <row r="396" spans="1:24" ht="15.75" customHeight="1">
      <c r="A396" s="398"/>
      <c r="B396" s="398"/>
      <c r="C396" s="779"/>
      <c r="D396" s="779"/>
      <c r="E396" s="779"/>
      <c r="F396" s="779"/>
      <c r="G396" s="779"/>
      <c r="H396" s="779"/>
      <c r="I396" s="779"/>
      <c r="J396" s="779"/>
      <c r="K396" s="779"/>
      <c r="L396" s="779"/>
      <c r="M396" s="779"/>
      <c r="N396" s="779"/>
      <c r="O396" s="398"/>
      <c r="P396" s="398"/>
      <c r="Q396" s="398"/>
      <c r="R396" s="398"/>
      <c r="S396" s="398"/>
      <c r="T396" s="398"/>
      <c r="U396" s="398"/>
      <c r="V396" s="738"/>
      <c r="W396" s="738"/>
      <c r="X396" s="738"/>
    </row>
    <row r="397" spans="1:24" ht="15.75" customHeight="1">
      <c r="A397" s="398"/>
      <c r="B397" s="398"/>
      <c r="C397" s="779"/>
      <c r="D397" s="779"/>
      <c r="E397" s="779"/>
      <c r="F397" s="779"/>
      <c r="G397" s="779"/>
      <c r="H397" s="779"/>
      <c r="I397" s="779"/>
      <c r="J397" s="779"/>
      <c r="K397" s="779"/>
      <c r="L397" s="779"/>
      <c r="M397" s="779"/>
      <c r="N397" s="779"/>
      <c r="O397" s="398"/>
      <c r="P397" s="398"/>
      <c r="Q397" s="398"/>
      <c r="R397" s="398"/>
      <c r="S397" s="398"/>
      <c r="T397" s="398"/>
      <c r="U397" s="398"/>
      <c r="V397" s="738"/>
      <c r="W397" s="738"/>
      <c r="X397" s="738"/>
    </row>
    <row r="398" spans="1:24" ht="15.75" customHeight="1">
      <c r="A398" s="398"/>
      <c r="B398" s="398"/>
      <c r="C398" s="779"/>
      <c r="D398" s="779"/>
      <c r="E398" s="779"/>
      <c r="F398" s="779"/>
      <c r="G398" s="779"/>
      <c r="H398" s="779"/>
      <c r="I398" s="779"/>
      <c r="J398" s="779"/>
      <c r="K398" s="779"/>
      <c r="L398" s="779"/>
      <c r="M398" s="779"/>
      <c r="N398" s="779"/>
      <c r="O398" s="398"/>
      <c r="P398" s="398"/>
      <c r="Q398" s="398"/>
      <c r="R398" s="398"/>
      <c r="S398" s="398"/>
      <c r="T398" s="398"/>
      <c r="U398" s="398"/>
      <c r="V398" s="738"/>
      <c r="W398" s="738"/>
      <c r="X398" s="738"/>
    </row>
    <row r="399" spans="1:24" ht="15.75" customHeight="1">
      <c r="A399" s="398"/>
      <c r="B399" s="398"/>
      <c r="C399" s="779"/>
      <c r="D399" s="779"/>
      <c r="E399" s="779"/>
      <c r="F399" s="779"/>
      <c r="G399" s="779"/>
      <c r="H399" s="779"/>
      <c r="I399" s="779"/>
      <c r="J399" s="779"/>
      <c r="K399" s="779"/>
      <c r="L399" s="779"/>
      <c r="M399" s="779"/>
      <c r="N399" s="779"/>
      <c r="O399" s="398"/>
      <c r="P399" s="398"/>
      <c r="Q399" s="398"/>
      <c r="R399" s="398"/>
      <c r="S399" s="398"/>
      <c r="T399" s="398"/>
      <c r="U399" s="398"/>
      <c r="V399" s="738"/>
      <c r="W399" s="738"/>
      <c r="X399" s="738"/>
    </row>
    <row r="400" spans="1:24" ht="15.75" customHeight="1">
      <c r="A400" s="398"/>
      <c r="B400" s="398"/>
      <c r="C400" s="779"/>
      <c r="D400" s="779"/>
      <c r="E400" s="779"/>
      <c r="F400" s="779"/>
      <c r="G400" s="779"/>
      <c r="H400" s="779"/>
      <c r="I400" s="779"/>
      <c r="J400" s="779"/>
      <c r="K400" s="779"/>
      <c r="L400" s="779"/>
      <c r="M400" s="779"/>
      <c r="N400" s="779"/>
      <c r="O400" s="398"/>
      <c r="P400" s="398"/>
      <c r="Q400" s="398"/>
      <c r="R400" s="398"/>
      <c r="S400" s="398"/>
      <c r="T400" s="398"/>
      <c r="U400" s="398"/>
      <c r="V400" s="738"/>
      <c r="W400" s="738"/>
      <c r="X400" s="738"/>
    </row>
    <row r="401" spans="1:24" ht="15.75" customHeight="1">
      <c r="A401" s="398"/>
      <c r="B401" s="398"/>
      <c r="C401" s="779"/>
      <c r="D401" s="779"/>
      <c r="E401" s="779"/>
      <c r="F401" s="779"/>
      <c r="G401" s="779"/>
      <c r="H401" s="779"/>
      <c r="I401" s="779"/>
      <c r="J401" s="779"/>
      <c r="K401" s="779"/>
      <c r="L401" s="779"/>
      <c r="M401" s="779"/>
      <c r="N401" s="779"/>
      <c r="O401" s="398"/>
      <c r="P401" s="398"/>
      <c r="Q401" s="398"/>
      <c r="R401" s="398"/>
      <c r="S401" s="398"/>
      <c r="T401" s="398"/>
      <c r="U401" s="398"/>
      <c r="V401" s="738"/>
      <c r="W401" s="738"/>
      <c r="X401" s="738"/>
    </row>
    <row r="402" spans="1:24" ht="15.75" customHeight="1">
      <c r="A402" s="398"/>
      <c r="B402" s="398"/>
      <c r="C402" s="779"/>
      <c r="D402" s="779"/>
      <c r="E402" s="779"/>
      <c r="F402" s="779"/>
      <c r="G402" s="779"/>
      <c r="H402" s="779"/>
      <c r="I402" s="779"/>
      <c r="J402" s="779"/>
      <c r="K402" s="779"/>
      <c r="L402" s="779"/>
      <c r="M402" s="779"/>
      <c r="N402" s="779"/>
      <c r="O402" s="398"/>
      <c r="P402" s="398"/>
      <c r="Q402" s="398"/>
      <c r="R402" s="398"/>
      <c r="S402" s="398"/>
      <c r="T402" s="398"/>
      <c r="U402" s="398"/>
      <c r="V402" s="738"/>
      <c r="W402" s="738"/>
      <c r="X402" s="738"/>
    </row>
    <row r="403" spans="1:24" ht="15.75" customHeight="1">
      <c r="A403" s="398"/>
      <c r="B403" s="398"/>
      <c r="C403" s="779"/>
      <c r="D403" s="779"/>
      <c r="E403" s="779"/>
      <c r="F403" s="779"/>
      <c r="G403" s="779"/>
      <c r="H403" s="779"/>
      <c r="I403" s="779"/>
      <c r="J403" s="779"/>
      <c r="K403" s="779"/>
      <c r="L403" s="779"/>
      <c r="M403" s="779"/>
      <c r="N403" s="779"/>
      <c r="O403" s="398"/>
      <c r="P403" s="398"/>
      <c r="Q403" s="398"/>
      <c r="R403" s="398"/>
      <c r="S403" s="398"/>
      <c r="T403" s="398"/>
      <c r="U403" s="398"/>
      <c r="V403" s="738"/>
      <c r="W403" s="738"/>
      <c r="X403" s="738"/>
    </row>
    <row r="404" spans="1:24" ht="15.75" customHeight="1">
      <c r="A404" s="398"/>
      <c r="B404" s="398"/>
      <c r="C404" s="779"/>
      <c r="D404" s="779"/>
      <c r="E404" s="779"/>
      <c r="F404" s="779"/>
      <c r="G404" s="779"/>
      <c r="H404" s="779"/>
      <c r="I404" s="779"/>
      <c r="J404" s="779"/>
      <c r="K404" s="779"/>
      <c r="L404" s="779"/>
      <c r="M404" s="779"/>
      <c r="N404" s="779"/>
      <c r="O404" s="398"/>
      <c r="P404" s="398"/>
      <c r="Q404" s="398"/>
      <c r="R404" s="398"/>
      <c r="S404" s="398"/>
      <c r="T404" s="398"/>
      <c r="U404" s="398"/>
      <c r="V404" s="738"/>
      <c r="W404" s="738"/>
      <c r="X404" s="738"/>
    </row>
    <row r="405" spans="1:24" ht="15.75" customHeight="1">
      <c r="A405" s="398"/>
      <c r="B405" s="398"/>
      <c r="C405" s="779"/>
      <c r="D405" s="779"/>
      <c r="E405" s="779"/>
      <c r="F405" s="779"/>
      <c r="G405" s="779"/>
      <c r="H405" s="779"/>
      <c r="I405" s="779"/>
      <c r="J405" s="779"/>
      <c r="K405" s="779"/>
      <c r="L405" s="779"/>
      <c r="M405" s="779"/>
      <c r="N405" s="779"/>
      <c r="O405" s="398"/>
      <c r="P405" s="398"/>
      <c r="Q405" s="398"/>
      <c r="R405" s="398"/>
      <c r="S405" s="398"/>
      <c r="T405" s="398"/>
      <c r="U405" s="398"/>
      <c r="V405" s="738"/>
      <c r="W405" s="738"/>
      <c r="X405" s="738"/>
    </row>
    <row r="406" spans="1:24" ht="15.75" customHeight="1">
      <c r="A406" s="398"/>
      <c r="B406" s="398"/>
      <c r="C406" s="779"/>
      <c r="D406" s="779"/>
      <c r="E406" s="779"/>
      <c r="F406" s="779"/>
      <c r="G406" s="779"/>
      <c r="H406" s="779"/>
      <c r="I406" s="779"/>
      <c r="J406" s="779"/>
      <c r="K406" s="779"/>
      <c r="L406" s="779"/>
      <c r="M406" s="779"/>
      <c r="N406" s="779"/>
      <c r="O406" s="398"/>
      <c r="P406" s="398"/>
      <c r="Q406" s="398"/>
      <c r="R406" s="398"/>
      <c r="S406" s="398"/>
      <c r="T406" s="398"/>
      <c r="U406" s="398"/>
      <c r="V406" s="738"/>
      <c r="W406" s="738"/>
      <c r="X406" s="738"/>
    </row>
    <row r="407" spans="1:24" ht="15.75" customHeight="1">
      <c r="A407" s="398"/>
      <c r="B407" s="398"/>
      <c r="C407" s="779"/>
      <c r="D407" s="779"/>
      <c r="E407" s="779"/>
      <c r="F407" s="779"/>
      <c r="G407" s="779"/>
      <c r="H407" s="779"/>
      <c r="I407" s="779"/>
      <c r="J407" s="779"/>
      <c r="K407" s="779"/>
      <c r="L407" s="779"/>
      <c r="M407" s="779"/>
      <c r="N407" s="779"/>
      <c r="O407" s="398"/>
      <c r="P407" s="398"/>
      <c r="Q407" s="398"/>
      <c r="R407" s="398"/>
      <c r="S407" s="398"/>
      <c r="T407" s="398"/>
      <c r="U407" s="398"/>
      <c r="V407" s="738"/>
      <c r="W407" s="738"/>
      <c r="X407" s="738"/>
    </row>
    <row r="408" spans="1:24" ht="15.75" customHeight="1">
      <c r="A408" s="398"/>
      <c r="B408" s="398"/>
      <c r="C408" s="779"/>
      <c r="D408" s="779"/>
      <c r="E408" s="779"/>
      <c r="F408" s="779"/>
      <c r="G408" s="779"/>
      <c r="H408" s="779"/>
      <c r="I408" s="779"/>
      <c r="J408" s="779"/>
      <c r="K408" s="779"/>
      <c r="L408" s="779"/>
      <c r="M408" s="779"/>
      <c r="N408" s="779"/>
      <c r="O408" s="398"/>
      <c r="P408" s="398"/>
      <c r="Q408" s="398"/>
      <c r="R408" s="398"/>
      <c r="S408" s="398"/>
      <c r="T408" s="398"/>
      <c r="U408" s="398"/>
      <c r="V408" s="738"/>
      <c r="W408" s="738"/>
      <c r="X408" s="738"/>
    </row>
    <row r="409" spans="1:24" ht="15.75" customHeight="1">
      <c r="A409" s="398"/>
      <c r="B409" s="398"/>
      <c r="C409" s="779"/>
      <c r="D409" s="779"/>
      <c r="E409" s="779"/>
      <c r="F409" s="779"/>
      <c r="G409" s="779"/>
      <c r="H409" s="779"/>
      <c r="I409" s="779"/>
      <c r="J409" s="779"/>
      <c r="K409" s="779"/>
      <c r="L409" s="779"/>
      <c r="M409" s="779"/>
      <c r="N409" s="779"/>
      <c r="O409" s="398"/>
      <c r="P409" s="398"/>
      <c r="Q409" s="398"/>
      <c r="R409" s="398"/>
      <c r="S409" s="398"/>
      <c r="T409" s="398"/>
      <c r="U409" s="398"/>
      <c r="V409" s="738"/>
      <c r="W409" s="738"/>
      <c r="X409" s="738"/>
    </row>
    <row r="410" spans="1:24" ht="15.75" customHeight="1">
      <c r="A410" s="398"/>
      <c r="B410" s="398"/>
      <c r="C410" s="779"/>
      <c r="D410" s="779"/>
      <c r="E410" s="779"/>
      <c r="F410" s="779"/>
      <c r="G410" s="779"/>
      <c r="H410" s="779"/>
      <c r="I410" s="779"/>
      <c r="J410" s="779"/>
      <c r="K410" s="779"/>
      <c r="L410" s="779"/>
      <c r="M410" s="779"/>
      <c r="N410" s="779"/>
      <c r="O410" s="398"/>
      <c r="P410" s="398"/>
      <c r="Q410" s="398"/>
      <c r="R410" s="398"/>
      <c r="S410" s="398"/>
      <c r="T410" s="398"/>
      <c r="U410" s="398"/>
      <c r="V410" s="738"/>
      <c r="W410" s="738"/>
      <c r="X410" s="738"/>
    </row>
    <row r="411" spans="1:24" ht="15.75" customHeight="1">
      <c r="A411" s="398"/>
      <c r="B411" s="398"/>
      <c r="C411" s="779"/>
      <c r="D411" s="779"/>
      <c r="E411" s="779"/>
      <c r="F411" s="779"/>
      <c r="G411" s="779"/>
      <c r="H411" s="779"/>
      <c r="I411" s="779"/>
      <c r="J411" s="779"/>
      <c r="K411" s="779"/>
      <c r="L411" s="779"/>
      <c r="M411" s="779"/>
      <c r="N411" s="779"/>
      <c r="O411" s="398"/>
      <c r="P411" s="398"/>
      <c r="Q411" s="398"/>
      <c r="R411" s="398"/>
      <c r="S411" s="398"/>
      <c r="T411" s="398"/>
      <c r="U411" s="398"/>
      <c r="V411" s="738"/>
      <c r="W411" s="738"/>
      <c r="X411" s="738"/>
    </row>
    <row r="412" spans="1:24" ht="15.75" customHeight="1">
      <c r="A412" s="398"/>
      <c r="B412" s="398"/>
      <c r="C412" s="779"/>
      <c r="D412" s="779"/>
      <c r="E412" s="779"/>
      <c r="F412" s="779"/>
      <c r="G412" s="779"/>
      <c r="H412" s="779"/>
      <c r="I412" s="779"/>
      <c r="J412" s="779"/>
      <c r="K412" s="779"/>
      <c r="L412" s="779"/>
      <c r="M412" s="779"/>
      <c r="N412" s="779"/>
      <c r="O412" s="398"/>
      <c r="P412" s="398"/>
      <c r="Q412" s="398"/>
      <c r="R412" s="398"/>
      <c r="S412" s="398"/>
      <c r="T412" s="398"/>
      <c r="U412" s="398"/>
      <c r="V412" s="738"/>
      <c r="W412" s="738"/>
      <c r="X412" s="738"/>
    </row>
    <row r="413" spans="1:24" ht="15.75" customHeight="1">
      <c r="A413" s="398"/>
      <c r="B413" s="398"/>
      <c r="C413" s="779"/>
      <c r="D413" s="779"/>
      <c r="E413" s="779"/>
      <c r="F413" s="779"/>
      <c r="G413" s="779"/>
      <c r="H413" s="779"/>
      <c r="I413" s="779"/>
      <c r="J413" s="779"/>
      <c r="K413" s="779"/>
      <c r="L413" s="779"/>
      <c r="M413" s="779"/>
      <c r="N413" s="779"/>
      <c r="O413" s="398"/>
      <c r="P413" s="398"/>
      <c r="Q413" s="398"/>
      <c r="R413" s="398"/>
      <c r="S413" s="398"/>
      <c r="T413" s="398"/>
      <c r="U413" s="398"/>
      <c r="V413" s="738"/>
      <c r="W413" s="738"/>
      <c r="X413" s="738"/>
    </row>
    <row r="414" spans="1:24" ht="15.75" customHeight="1">
      <c r="A414" s="398"/>
      <c r="B414" s="398"/>
      <c r="C414" s="779"/>
      <c r="D414" s="779"/>
      <c r="E414" s="779"/>
      <c r="F414" s="779"/>
      <c r="G414" s="779"/>
      <c r="H414" s="779"/>
      <c r="I414" s="779"/>
      <c r="J414" s="779"/>
      <c r="K414" s="779"/>
      <c r="L414" s="779"/>
      <c r="M414" s="779"/>
      <c r="N414" s="779"/>
      <c r="O414" s="398"/>
      <c r="P414" s="398"/>
      <c r="Q414" s="398"/>
      <c r="R414" s="398"/>
      <c r="S414" s="398"/>
      <c r="T414" s="398"/>
      <c r="U414" s="398"/>
      <c r="V414" s="738"/>
      <c r="W414" s="738"/>
      <c r="X414" s="738"/>
    </row>
    <row r="415" spans="1:24" ht="15.75" customHeight="1">
      <c r="A415" s="398"/>
      <c r="B415" s="398"/>
      <c r="C415" s="779"/>
      <c r="D415" s="779"/>
      <c r="E415" s="779"/>
      <c r="F415" s="779"/>
      <c r="G415" s="779"/>
      <c r="H415" s="779"/>
      <c r="I415" s="779"/>
      <c r="J415" s="779"/>
      <c r="K415" s="779"/>
      <c r="L415" s="779"/>
      <c r="M415" s="779"/>
      <c r="N415" s="779"/>
      <c r="O415" s="398"/>
      <c r="P415" s="398"/>
      <c r="Q415" s="398"/>
      <c r="R415" s="398"/>
      <c r="S415" s="398"/>
      <c r="T415" s="398"/>
      <c r="U415" s="398"/>
      <c r="V415" s="738"/>
      <c r="W415" s="738"/>
      <c r="X415" s="738"/>
    </row>
    <row r="416" spans="1:24" ht="15.75" customHeight="1">
      <c r="A416" s="398"/>
      <c r="B416" s="398"/>
      <c r="C416" s="779"/>
      <c r="D416" s="779"/>
      <c r="E416" s="779"/>
      <c r="F416" s="779"/>
      <c r="G416" s="779"/>
      <c r="H416" s="779"/>
      <c r="I416" s="779"/>
      <c r="J416" s="779"/>
      <c r="K416" s="779"/>
      <c r="L416" s="779"/>
      <c r="M416" s="779"/>
      <c r="N416" s="779"/>
      <c r="O416" s="398"/>
      <c r="P416" s="398"/>
      <c r="Q416" s="398"/>
      <c r="R416" s="398"/>
      <c r="S416" s="398"/>
      <c r="T416" s="398"/>
      <c r="U416" s="398"/>
      <c r="V416" s="738"/>
      <c r="W416" s="738"/>
      <c r="X416" s="738"/>
    </row>
    <row r="417" spans="1:24" ht="15.75" customHeight="1">
      <c r="A417" s="398"/>
      <c r="B417" s="398"/>
      <c r="C417" s="779"/>
      <c r="D417" s="779"/>
      <c r="E417" s="779"/>
      <c r="F417" s="779"/>
      <c r="G417" s="779"/>
      <c r="H417" s="779"/>
      <c r="I417" s="779"/>
      <c r="J417" s="779"/>
      <c r="K417" s="779"/>
      <c r="L417" s="779"/>
      <c r="M417" s="779"/>
      <c r="N417" s="779"/>
      <c r="O417" s="398"/>
      <c r="P417" s="398"/>
      <c r="Q417" s="398"/>
      <c r="R417" s="398"/>
      <c r="S417" s="398"/>
      <c r="T417" s="398"/>
      <c r="U417" s="398"/>
      <c r="V417" s="738"/>
      <c r="W417" s="738"/>
      <c r="X417" s="738"/>
    </row>
    <row r="418" spans="1:24" ht="15.75" customHeight="1">
      <c r="A418" s="398"/>
      <c r="B418" s="398"/>
      <c r="C418" s="779"/>
      <c r="D418" s="779"/>
      <c r="E418" s="779"/>
      <c r="F418" s="779"/>
      <c r="G418" s="779"/>
      <c r="H418" s="779"/>
      <c r="I418" s="779"/>
      <c r="J418" s="779"/>
      <c r="K418" s="779"/>
      <c r="L418" s="779"/>
      <c r="M418" s="779"/>
      <c r="N418" s="779"/>
      <c r="O418" s="398"/>
      <c r="P418" s="398"/>
      <c r="Q418" s="398"/>
      <c r="R418" s="398"/>
      <c r="S418" s="398"/>
      <c r="T418" s="398"/>
      <c r="U418" s="398"/>
      <c r="V418" s="738"/>
      <c r="W418" s="738"/>
      <c r="X418" s="738"/>
    </row>
    <row r="419" spans="1:24" ht="15.75" customHeight="1">
      <c r="A419" s="398"/>
      <c r="B419" s="398"/>
      <c r="C419" s="779"/>
      <c r="D419" s="779"/>
      <c r="E419" s="779"/>
      <c r="F419" s="779"/>
      <c r="G419" s="779"/>
      <c r="H419" s="779"/>
      <c r="I419" s="779"/>
      <c r="J419" s="779"/>
      <c r="K419" s="779"/>
      <c r="L419" s="779"/>
      <c r="M419" s="779"/>
      <c r="N419" s="779"/>
      <c r="O419" s="398"/>
      <c r="P419" s="398"/>
      <c r="Q419" s="398"/>
      <c r="R419" s="398"/>
      <c r="S419" s="398"/>
      <c r="T419" s="398"/>
      <c r="U419" s="398"/>
      <c r="V419" s="738"/>
      <c r="W419" s="738"/>
      <c r="X419" s="738"/>
    </row>
    <row r="420" spans="1:24" ht="15.75" customHeight="1">
      <c r="A420" s="398"/>
      <c r="B420" s="398"/>
      <c r="C420" s="779"/>
      <c r="D420" s="779"/>
      <c r="E420" s="779"/>
      <c r="F420" s="779"/>
      <c r="G420" s="779"/>
      <c r="H420" s="779"/>
      <c r="I420" s="779"/>
      <c r="J420" s="779"/>
      <c r="K420" s="779"/>
      <c r="L420" s="779"/>
      <c r="M420" s="779"/>
      <c r="N420" s="779"/>
      <c r="O420" s="398"/>
      <c r="P420" s="398"/>
      <c r="Q420" s="398"/>
      <c r="R420" s="398"/>
      <c r="S420" s="398"/>
      <c r="T420" s="398"/>
      <c r="U420" s="398"/>
      <c r="V420" s="738"/>
      <c r="W420" s="738"/>
      <c r="X420" s="738"/>
    </row>
    <row r="421" spans="1:24" ht="15.75" customHeight="1">
      <c r="A421" s="398"/>
      <c r="B421" s="398"/>
      <c r="C421" s="779"/>
      <c r="D421" s="779"/>
      <c r="E421" s="779"/>
      <c r="F421" s="779"/>
      <c r="G421" s="779"/>
      <c r="H421" s="779"/>
      <c r="I421" s="779"/>
      <c r="J421" s="779"/>
      <c r="K421" s="779"/>
      <c r="L421" s="779"/>
      <c r="M421" s="779"/>
      <c r="N421" s="779"/>
      <c r="O421" s="398"/>
      <c r="P421" s="398"/>
      <c r="Q421" s="398"/>
      <c r="R421" s="398"/>
      <c r="S421" s="398"/>
      <c r="T421" s="398"/>
      <c r="U421" s="398"/>
      <c r="V421" s="738"/>
      <c r="W421" s="738"/>
      <c r="X421" s="738"/>
    </row>
    <row r="422" spans="1:24" ht="15.75" customHeight="1">
      <c r="A422" s="398"/>
      <c r="B422" s="398"/>
      <c r="C422" s="779"/>
      <c r="D422" s="779"/>
      <c r="E422" s="779"/>
      <c r="F422" s="779"/>
      <c r="G422" s="779"/>
      <c r="H422" s="779"/>
      <c r="I422" s="779"/>
      <c r="J422" s="779"/>
      <c r="K422" s="779"/>
      <c r="L422" s="779"/>
      <c r="M422" s="779"/>
      <c r="N422" s="779"/>
      <c r="O422" s="398"/>
      <c r="P422" s="398"/>
      <c r="Q422" s="398"/>
      <c r="R422" s="398"/>
      <c r="S422" s="398"/>
      <c r="T422" s="398"/>
      <c r="U422" s="398"/>
      <c r="V422" s="738"/>
      <c r="W422" s="738"/>
      <c r="X422" s="738"/>
    </row>
    <row r="423" spans="1:24" ht="15.75" customHeight="1">
      <c r="A423" s="398"/>
      <c r="B423" s="398"/>
      <c r="C423" s="779"/>
      <c r="D423" s="779"/>
      <c r="E423" s="779"/>
      <c r="F423" s="779"/>
      <c r="G423" s="779"/>
      <c r="H423" s="779"/>
      <c r="I423" s="779"/>
      <c r="J423" s="779"/>
      <c r="K423" s="779"/>
      <c r="L423" s="779"/>
      <c r="M423" s="779"/>
      <c r="N423" s="779"/>
      <c r="O423" s="398"/>
      <c r="P423" s="398"/>
      <c r="Q423" s="398"/>
      <c r="R423" s="398"/>
      <c r="S423" s="398"/>
      <c r="T423" s="398"/>
      <c r="U423" s="398"/>
      <c r="V423" s="738"/>
      <c r="W423" s="738"/>
      <c r="X423" s="738"/>
    </row>
    <row r="424" spans="1:24" ht="15.75" customHeight="1">
      <c r="A424" s="398"/>
      <c r="B424" s="398"/>
      <c r="C424" s="779"/>
      <c r="D424" s="779"/>
      <c r="E424" s="779"/>
      <c r="F424" s="779"/>
      <c r="G424" s="779"/>
      <c r="H424" s="779"/>
      <c r="I424" s="779"/>
      <c r="J424" s="779"/>
      <c r="K424" s="779"/>
      <c r="L424" s="779"/>
      <c r="M424" s="779"/>
      <c r="N424" s="779"/>
      <c r="O424" s="398"/>
      <c r="P424" s="398"/>
      <c r="Q424" s="398"/>
      <c r="R424" s="398"/>
      <c r="S424" s="398"/>
      <c r="T424" s="398"/>
      <c r="U424" s="398"/>
      <c r="V424" s="738"/>
      <c r="W424" s="738"/>
      <c r="X424" s="738"/>
    </row>
    <row r="425" spans="1:24" ht="15.75" customHeight="1">
      <c r="A425" s="398"/>
      <c r="B425" s="398"/>
      <c r="C425" s="779"/>
      <c r="D425" s="779"/>
      <c r="E425" s="779"/>
      <c r="F425" s="779"/>
      <c r="G425" s="779"/>
      <c r="H425" s="779"/>
      <c r="I425" s="779"/>
      <c r="J425" s="779"/>
      <c r="K425" s="779"/>
      <c r="L425" s="779"/>
      <c r="M425" s="779"/>
      <c r="N425" s="779"/>
      <c r="O425" s="398"/>
      <c r="P425" s="398"/>
      <c r="Q425" s="398"/>
      <c r="R425" s="398"/>
      <c r="S425" s="398"/>
      <c r="T425" s="398"/>
      <c r="U425" s="398"/>
      <c r="V425" s="738"/>
      <c r="W425" s="738"/>
      <c r="X425" s="738"/>
    </row>
    <row r="426" spans="1:24" ht="15.75" customHeight="1">
      <c r="A426" s="398"/>
      <c r="B426" s="398"/>
      <c r="C426" s="779"/>
      <c r="D426" s="779"/>
      <c r="E426" s="779"/>
      <c r="F426" s="779"/>
      <c r="G426" s="779"/>
      <c r="H426" s="779"/>
      <c r="I426" s="779"/>
      <c r="J426" s="779"/>
      <c r="K426" s="779"/>
      <c r="L426" s="779"/>
      <c r="M426" s="779"/>
      <c r="N426" s="779"/>
      <c r="O426" s="398"/>
      <c r="P426" s="398"/>
      <c r="Q426" s="398"/>
      <c r="R426" s="398"/>
      <c r="S426" s="398"/>
      <c r="T426" s="398"/>
      <c r="U426" s="398"/>
      <c r="V426" s="738"/>
      <c r="W426" s="738"/>
      <c r="X426" s="738"/>
    </row>
    <row r="427" spans="1:24" ht="15.75" customHeight="1">
      <c r="A427" s="398"/>
      <c r="B427" s="398"/>
      <c r="C427" s="779"/>
      <c r="D427" s="779"/>
      <c r="E427" s="779"/>
      <c r="F427" s="779"/>
      <c r="G427" s="779"/>
      <c r="H427" s="779"/>
      <c r="I427" s="779"/>
      <c r="J427" s="779"/>
      <c r="K427" s="779"/>
      <c r="L427" s="779"/>
      <c r="M427" s="779"/>
      <c r="N427" s="779"/>
      <c r="O427" s="398"/>
      <c r="P427" s="398"/>
      <c r="Q427" s="398"/>
      <c r="R427" s="398"/>
      <c r="S427" s="398"/>
      <c r="T427" s="398"/>
      <c r="U427" s="398"/>
      <c r="V427" s="738"/>
      <c r="W427" s="738"/>
      <c r="X427" s="738"/>
    </row>
    <row r="428" spans="1:24" ht="15.75" customHeight="1">
      <c r="A428" s="398"/>
      <c r="B428" s="398"/>
      <c r="C428" s="779"/>
      <c r="D428" s="779"/>
      <c r="E428" s="779"/>
      <c r="F428" s="779"/>
      <c r="G428" s="779"/>
      <c r="H428" s="779"/>
      <c r="I428" s="779"/>
      <c r="J428" s="779"/>
      <c r="K428" s="779"/>
      <c r="L428" s="779"/>
      <c r="M428" s="779"/>
      <c r="N428" s="779"/>
      <c r="O428" s="398"/>
      <c r="P428" s="398"/>
      <c r="Q428" s="398"/>
      <c r="R428" s="398"/>
      <c r="S428" s="398"/>
      <c r="T428" s="398"/>
      <c r="U428" s="398"/>
      <c r="V428" s="738"/>
      <c r="W428" s="738"/>
      <c r="X428" s="738"/>
    </row>
    <row r="429" spans="1:24" ht="15.75" customHeight="1">
      <c r="A429" s="398"/>
      <c r="B429" s="398"/>
      <c r="C429" s="779"/>
      <c r="D429" s="779"/>
      <c r="E429" s="779"/>
      <c r="F429" s="779"/>
      <c r="G429" s="779"/>
      <c r="H429" s="779"/>
      <c r="I429" s="779"/>
      <c r="J429" s="779"/>
      <c r="K429" s="779"/>
      <c r="L429" s="779"/>
      <c r="M429" s="779"/>
      <c r="N429" s="779"/>
      <c r="O429" s="398"/>
      <c r="P429" s="398"/>
      <c r="Q429" s="398"/>
      <c r="R429" s="398"/>
      <c r="S429" s="398"/>
      <c r="T429" s="398"/>
      <c r="U429" s="398"/>
      <c r="V429" s="738"/>
      <c r="W429" s="738"/>
      <c r="X429" s="738"/>
    </row>
    <row r="430" spans="1:24" ht="15.75" customHeight="1">
      <c r="A430" s="398"/>
      <c r="B430" s="398"/>
      <c r="C430" s="779"/>
      <c r="D430" s="779"/>
      <c r="E430" s="779"/>
      <c r="F430" s="779"/>
      <c r="G430" s="779"/>
      <c r="H430" s="779"/>
      <c r="I430" s="779"/>
      <c r="J430" s="779"/>
      <c r="K430" s="779"/>
      <c r="L430" s="779"/>
      <c r="M430" s="779"/>
      <c r="N430" s="779"/>
      <c r="O430" s="398"/>
      <c r="P430" s="398"/>
      <c r="Q430" s="398"/>
      <c r="R430" s="398"/>
      <c r="S430" s="398"/>
      <c r="T430" s="398"/>
      <c r="U430" s="398"/>
      <c r="V430" s="738"/>
      <c r="W430" s="738"/>
      <c r="X430" s="738"/>
    </row>
    <row r="431" spans="1:24" ht="15.75" customHeight="1">
      <c r="A431" s="398"/>
      <c r="B431" s="398"/>
      <c r="C431" s="779"/>
      <c r="D431" s="779"/>
      <c r="E431" s="779"/>
      <c r="F431" s="779"/>
      <c r="G431" s="779"/>
      <c r="H431" s="779"/>
      <c r="I431" s="779"/>
      <c r="J431" s="779"/>
      <c r="K431" s="779"/>
      <c r="L431" s="779"/>
      <c r="M431" s="779"/>
      <c r="N431" s="779"/>
      <c r="O431" s="398"/>
      <c r="P431" s="398"/>
      <c r="Q431" s="398"/>
      <c r="R431" s="398"/>
      <c r="S431" s="398"/>
      <c r="T431" s="398"/>
      <c r="U431" s="398"/>
      <c r="V431" s="738"/>
      <c r="W431" s="738"/>
      <c r="X431" s="738"/>
    </row>
    <row r="432" spans="1:24" ht="15.75" customHeight="1">
      <c r="A432" s="398"/>
      <c r="B432" s="398"/>
      <c r="C432" s="779"/>
      <c r="D432" s="779"/>
      <c r="E432" s="779"/>
      <c r="F432" s="779"/>
      <c r="G432" s="779"/>
      <c r="H432" s="779"/>
      <c r="I432" s="779"/>
      <c r="J432" s="779"/>
      <c r="K432" s="779"/>
      <c r="L432" s="779"/>
      <c r="M432" s="779"/>
      <c r="N432" s="779"/>
      <c r="O432" s="398"/>
      <c r="P432" s="398"/>
      <c r="Q432" s="398"/>
      <c r="R432" s="398"/>
      <c r="S432" s="398"/>
      <c r="T432" s="398"/>
      <c r="U432" s="398"/>
      <c r="V432" s="738"/>
      <c r="W432" s="738"/>
      <c r="X432" s="738"/>
    </row>
    <row r="433" spans="1:24" ht="15.75" customHeight="1">
      <c r="A433" s="398"/>
      <c r="B433" s="398"/>
      <c r="C433" s="779"/>
      <c r="D433" s="779"/>
      <c r="E433" s="779"/>
      <c r="F433" s="779"/>
      <c r="G433" s="779"/>
      <c r="H433" s="779"/>
      <c r="I433" s="779"/>
      <c r="J433" s="779"/>
      <c r="K433" s="779"/>
      <c r="L433" s="779"/>
      <c r="M433" s="779"/>
      <c r="N433" s="779"/>
      <c r="O433" s="398"/>
      <c r="P433" s="398"/>
      <c r="Q433" s="398"/>
      <c r="R433" s="398"/>
      <c r="S433" s="398"/>
      <c r="T433" s="398"/>
      <c r="U433" s="398"/>
      <c r="V433" s="738"/>
      <c r="W433" s="738"/>
      <c r="X433" s="738"/>
    </row>
    <row r="434" spans="1:24" ht="15.75" customHeight="1">
      <c r="A434" s="398"/>
      <c r="B434" s="398"/>
      <c r="C434" s="779"/>
      <c r="D434" s="779"/>
      <c r="E434" s="779"/>
      <c r="F434" s="779"/>
      <c r="G434" s="779"/>
      <c r="H434" s="779"/>
      <c r="I434" s="779"/>
      <c r="J434" s="779"/>
      <c r="K434" s="779"/>
      <c r="L434" s="779"/>
      <c r="M434" s="779"/>
      <c r="N434" s="779"/>
      <c r="O434" s="398"/>
      <c r="P434" s="398"/>
      <c r="Q434" s="398"/>
      <c r="R434" s="398"/>
      <c r="S434" s="398"/>
      <c r="T434" s="398"/>
      <c r="U434" s="398"/>
      <c r="V434" s="738"/>
      <c r="W434" s="738"/>
      <c r="X434" s="738"/>
    </row>
    <row r="435" spans="1:24" ht="15.75" customHeight="1">
      <c r="A435" s="398"/>
      <c r="B435" s="398"/>
      <c r="C435" s="779"/>
      <c r="D435" s="779"/>
      <c r="E435" s="779"/>
      <c r="F435" s="779"/>
      <c r="G435" s="779"/>
      <c r="H435" s="779"/>
      <c r="I435" s="779"/>
      <c r="J435" s="779"/>
      <c r="K435" s="779"/>
      <c r="L435" s="779"/>
      <c r="M435" s="779"/>
      <c r="N435" s="779"/>
      <c r="O435" s="398"/>
      <c r="P435" s="398"/>
      <c r="Q435" s="398"/>
      <c r="R435" s="398"/>
      <c r="S435" s="398"/>
      <c r="T435" s="398"/>
      <c r="U435" s="398"/>
      <c r="V435" s="738"/>
      <c r="W435" s="738"/>
      <c r="X435" s="738"/>
    </row>
    <row r="436" spans="1:24" ht="15.75" customHeight="1">
      <c r="A436" s="398"/>
      <c r="B436" s="398"/>
      <c r="C436" s="779"/>
      <c r="D436" s="779"/>
      <c r="E436" s="779"/>
      <c r="F436" s="779"/>
      <c r="G436" s="779"/>
      <c r="H436" s="779"/>
      <c r="I436" s="779"/>
      <c r="J436" s="779"/>
      <c r="K436" s="779"/>
      <c r="L436" s="779"/>
      <c r="M436" s="779"/>
      <c r="N436" s="779"/>
      <c r="O436" s="398"/>
      <c r="P436" s="398"/>
      <c r="Q436" s="398"/>
      <c r="R436" s="398"/>
      <c r="S436" s="398"/>
      <c r="T436" s="398"/>
      <c r="U436" s="398"/>
      <c r="V436" s="738"/>
      <c r="W436" s="738"/>
      <c r="X436" s="738"/>
    </row>
    <row r="437" spans="1:24" ht="15.75" customHeight="1">
      <c r="A437" s="398"/>
      <c r="B437" s="398"/>
      <c r="C437" s="779"/>
      <c r="D437" s="779"/>
      <c r="E437" s="779"/>
      <c r="F437" s="779"/>
      <c r="G437" s="779"/>
      <c r="H437" s="779"/>
      <c r="I437" s="779"/>
      <c r="J437" s="779"/>
      <c r="K437" s="779"/>
      <c r="L437" s="779"/>
      <c r="M437" s="779"/>
      <c r="N437" s="779"/>
      <c r="O437" s="398"/>
      <c r="P437" s="398"/>
      <c r="Q437" s="398"/>
      <c r="R437" s="398"/>
      <c r="S437" s="398"/>
      <c r="T437" s="398"/>
      <c r="U437" s="398"/>
      <c r="V437" s="738"/>
      <c r="W437" s="738"/>
      <c r="X437" s="738"/>
    </row>
    <row r="438" spans="1:24" ht="15.75" customHeight="1">
      <c r="A438" s="398"/>
      <c r="B438" s="398"/>
      <c r="C438" s="779"/>
      <c r="D438" s="779"/>
      <c r="E438" s="779"/>
      <c r="F438" s="779"/>
      <c r="G438" s="779"/>
      <c r="H438" s="779"/>
      <c r="I438" s="779"/>
      <c r="J438" s="779"/>
      <c r="K438" s="779"/>
      <c r="L438" s="779"/>
      <c r="M438" s="779"/>
      <c r="N438" s="779"/>
      <c r="O438" s="398"/>
      <c r="P438" s="398"/>
      <c r="Q438" s="398"/>
      <c r="R438" s="398"/>
      <c r="S438" s="398"/>
      <c r="T438" s="398"/>
      <c r="U438" s="398"/>
      <c r="V438" s="738"/>
      <c r="W438" s="738"/>
      <c r="X438" s="738"/>
    </row>
    <row r="439" spans="1:24" ht="15.75" customHeight="1">
      <c r="A439" s="398"/>
      <c r="B439" s="398"/>
      <c r="C439" s="779"/>
      <c r="D439" s="779"/>
      <c r="E439" s="779"/>
      <c r="F439" s="779"/>
      <c r="G439" s="779"/>
      <c r="H439" s="779"/>
      <c r="I439" s="779"/>
      <c r="J439" s="779"/>
      <c r="K439" s="779"/>
      <c r="L439" s="779"/>
      <c r="M439" s="779"/>
      <c r="N439" s="779"/>
      <c r="O439" s="398"/>
      <c r="P439" s="398"/>
      <c r="Q439" s="398"/>
      <c r="R439" s="398"/>
      <c r="S439" s="398"/>
      <c r="T439" s="398"/>
      <c r="U439" s="398"/>
      <c r="V439" s="738"/>
      <c r="W439" s="738"/>
      <c r="X439" s="738"/>
    </row>
    <row r="440" spans="1:24" ht="15.75" customHeight="1">
      <c r="A440" s="398"/>
      <c r="B440" s="398"/>
      <c r="C440" s="779"/>
      <c r="D440" s="779"/>
      <c r="E440" s="779"/>
      <c r="F440" s="779"/>
      <c r="G440" s="779"/>
      <c r="H440" s="779"/>
      <c r="I440" s="779"/>
      <c r="J440" s="779"/>
      <c r="K440" s="779"/>
      <c r="L440" s="779"/>
      <c r="M440" s="779"/>
      <c r="N440" s="779"/>
      <c r="O440" s="398"/>
      <c r="P440" s="398"/>
      <c r="Q440" s="398"/>
      <c r="R440" s="398"/>
      <c r="S440" s="398"/>
      <c r="T440" s="398"/>
      <c r="U440" s="398"/>
      <c r="V440" s="738"/>
      <c r="W440" s="738"/>
      <c r="X440" s="738"/>
    </row>
    <row r="441" spans="1:24" ht="15.75" customHeight="1">
      <c r="A441" s="398"/>
      <c r="B441" s="398"/>
      <c r="C441" s="779"/>
      <c r="D441" s="779"/>
      <c r="E441" s="779"/>
      <c r="F441" s="779"/>
      <c r="G441" s="779"/>
      <c r="H441" s="779"/>
      <c r="I441" s="779"/>
      <c r="J441" s="779"/>
      <c r="K441" s="779"/>
      <c r="L441" s="779"/>
      <c r="M441" s="779"/>
      <c r="N441" s="779"/>
      <c r="O441" s="398"/>
      <c r="P441" s="398"/>
      <c r="Q441" s="398"/>
      <c r="R441" s="398"/>
      <c r="S441" s="398"/>
      <c r="T441" s="398"/>
      <c r="U441" s="398"/>
      <c r="V441" s="738"/>
      <c r="W441" s="738"/>
      <c r="X441" s="738"/>
    </row>
    <row r="442" spans="1:24" ht="15.75" customHeight="1">
      <c r="A442" s="398"/>
      <c r="B442" s="398"/>
      <c r="C442" s="779"/>
      <c r="D442" s="779"/>
      <c r="E442" s="779"/>
      <c r="F442" s="779"/>
      <c r="G442" s="779"/>
      <c r="H442" s="779"/>
      <c r="I442" s="779"/>
      <c r="J442" s="779"/>
      <c r="K442" s="779"/>
      <c r="L442" s="779"/>
      <c r="M442" s="779"/>
      <c r="N442" s="779"/>
      <c r="O442" s="398"/>
      <c r="P442" s="398"/>
      <c r="Q442" s="398"/>
      <c r="R442" s="398"/>
      <c r="S442" s="398"/>
      <c r="T442" s="398"/>
      <c r="U442" s="398"/>
      <c r="V442" s="738"/>
      <c r="W442" s="738"/>
      <c r="X442" s="738"/>
    </row>
    <row r="443" spans="1:24" ht="15.75" customHeight="1">
      <c r="A443" s="398"/>
      <c r="B443" s="398"/>
      <c r="C443" s="779"/>
      <c r="D443" s="779"/>
      <c r="E443" s="779"/>
      <c r="F443" s="779"/>
      <c r="G443" s="779"/>
      <c r="H443" s="779"/>
      <c r="I443" s="779"/>
      <c r="J443" s="779"/>
      <c r="K443" s="779"/>
      <c r="L443" s="779"/>
      <c r="M443" s="779"/>
      <c r="N443" s="779"/>
      <c r="O443" s="398"/>
      <c r="P443" s="398"/>
      <c r="Q443" s="398"/>
      <c r="R443" s="398"/>
      <c r="S443" s="398"/>
      <c r="T443" s="398"/>
      <c r="U443" s="398"/>
      <c r="V443" s="738"/>
      <c r="W443" s="738"/>
      <c r="X443" s="738"/>
    </row>
    <row r="444" spans="1:24" ht="15.75" customHeight="1">
      <c r="A444" s="398"/>
      <c r="B444" s="398"/>
      <c r="C444" s="779"/>
      <c r="D444" s="779"/>
      <c r="E444" s="779"/>
      <c r="F444" s="779"/>
      <c r="G444" s="779"/>
      <c r="H444" s="779"/>
      <c r="I444" s="779"/>
      <c r="J444" s="779"/>
      <c r="K444" s="779"/>
      <c r="L444" s="779"/>
      <c r="M444" s="779"/>
      <c r="N444" s="779"/>
      <c r="O444" s="398"/>
      <c r="P444" s="398"/>
      <c r="Q444" s="398"/>
      <c r="R444" s="398"/>
      <c r="S444" s="398"/>
      <c r="T444" s="398"/>
      <c r="U444" s="398"/>
      <c r="V444" s="738"/>
      <c r="W444" s="738"/>
      <c r="X444" s="738"/>
    </row>
    <row r="445" spans="1:24" ht="15.75" customHeight="1">
      <c r="A445" s="398"/>
      <c r="B445" s="398"/>
      <c r="C445" s="779"/>
      <c r="D445" s="779"/>
      <c r="E445" s="779"/>
      <c r="F445" s="779"/>
      <c r="G445" s="779"/>
      <c r="H445" s="779"/>
      <c r="I445" s="779"/>
      <c r="J445" s="779"/>
      <c r="K445" s="779"/>
      <c r="L445" s="779"/>
      <c r="M445" s="779"/>
      <c r="N445" s="779"/>
      <c r="O445" s="398"/>
      <c r="P445" s="398"/>
      <c r="Q445" s="398"/>
      <c r="R445" s="398"/>
      <c r="S445" s="398"/>
      <c r="T445" s="398"/>
      <c r="U445" s="398"/>
      <c r="V445" s="738"/>
      <c r="W445" s="738"/>
      <c r="X445" s="738"/>
    </row>
    <row r="446" spans="1:24" ht="15.75" customHeight="1">
      <c r="A446" s="398"/>
      <c r="B446" s="398"/>
      <c r="C446" s="779"/>
      <c r="D446" s="779"/>
      <c r="E446" s="779"/>
      <c r="F446" s="779"/>
      <c r="G446" s="779"/>
      <c r="H446" s="779"/>
      <c r="I446" s="779"/>
      <c r="J446" s="779"/>
      <c r="K446" s="779"/>
      <c r="L446" s="779"/>
      <c r="M446" s="779"/>
      <c r="N446" s="779"/>
      <c r="O446" s="398"/>
      <c r="P446" s="398"/>
      <c r="Q446" s="398"/>
      <c r="R446" s="398"/>
      <c r="S446" s="398"/>
      <c r="T446" s="398"/>
      <c r="U446" s="398"/>
      <c r="V446" s="738"/>
      <c r="W446" s="738"/>
      <c r="X446" s="738"/>
    </row>
    <row r="447" spans="1:24" ht="15.75" customHeight="1">
      <c r="A447" s="398"/>
      <c r="B447" s="398"/>
      <c r="C447" s="779"/>
      <c r="D447" s="779"/>
      <c r="E447" s="779"/>
      <c r="F447" s="779"/>
      <c r="G447" s="779"/>
      <c r="H447" s="779"/>
      <c r="I447" s="779"/>
      <c r="J447" s="779"/>
      <c r="K447" s="779"/>
      <c r="L447" s="779"/>
      <c r="M447" s="779"/>
      <c r="N447" s="779"/>
      <c r="O447" s="398"/>
      <c r="P447" s="398"/>
      <c r="Q447" s="398"/>
      <c r="R447" s="398"/>
      <c r="S447" s="398"/>
      <c r="T447" s="398"/>
      <c r="U447" s="398"/>
      <c r="V447" s="738"/>
      <c r="W447" s="738"/>
      <c r="X447" s="738"/>
    </row>
    <row r="448" spans="1:24" ht="15.75" customHeight="1">
      <c r="A448" s="487"/>
      <c r="B448" s="487"/>
      <c r="C448" s="850"/>
      <c r="D448" s="850"/>
      <c r="E448" s="850"/>
      <c r="F448" s="850"/>
      <c r="G448" s="850"/>
      <c r="H448" s="850"/>
      <c r="I448" s="850"/>
      <c r="J448" s="850"/>
      <c r="K448" s="850"/>
      <c r="L448" s="850"/>
      <c r="M448" s="850"/>
      <c r="N448" s="850"/>
      <c r="O448" s="487"/>
      <c r="P448" s="487"/>
      <c r="Q448" s="487"/>
      <c r="R448" s="487"/>
      <c r="S448" s="487"/>
      <c r="T448" s="487"/>
      <c r="U448" s="487"/>
    </row>
    <row r="449" spans="1:21" ht="15.75" customHeight="1">
      <c r="A449" s="487"/>
      <c r="B449" s="487"/>
      <c r="C449" s="850"/>
      <c r="D449" s="850"/>
      <c r="E449" s="850"/>
      <c r="F449" s="850"/>
      <c r="G449" s="850"/>
      <c r="H449" s="850"/>
      <c r="I449" s="850"/>
      <c r="J449" s="850"/>
      <c r="K449" s="850"/>
      <c r="L449" s="850"/>
      <c r="M449" s="850"/>
      <c r="N449" s="850"/>
      <c r="O449" s="487"/>
      <c r="P449" s="487"/>
      <c r="Q449" s="487"/>
      <c r="R449" s="487"/>
      <c r="S449" s="487"/>
      <c r="T449" s="487"/>
      <c r="U449" s="487"/>
    </row>
    <row r="450" spans="1:21" ht="15.75" customHeight="1">
      <c r="A450" s="487"/>
      <c r="B450" s="487"/>
      <c r="C450" s="850"/>
      <c r="D450" s="850"/>
      <c r="E450" s="850"/>
      <c r="F450" s="850"/>
      <c r="G450" s="850"/>
      <c r="H450" s="850"/>
      <c r="I450" s="850"/>
      <c r="J450" s="850"/>
      <c r="K450" s="850"/>
      <c r="L450" s="850"/>
      <c r="M450" s="850"/>
      <c r="N450" s="850"/>
      <c r="O450" s="487"/>
      <c r="P450" s="487"/>
      <c r="Q450" s="487"/>
      <c r="R450" s="487"/>
      <c r="S450" s="487"/>
      <c r="T450" s="487"/>
      <c r="U450" s="487"/>
    </row>
    <row r="451" spans="1:21" ht="15.75" customHeight="1">
      <c r="A451" s="487"/>
      <c r="B451" s="487"/>
      <c r="C451" s="850"/>
      <c r="D451" s="850"/>
      <c r="E451" s="850"/>
      <c r="F451" s="850"/>
      <c r="G451" s="850"/>
      <c r="H451" s="850"/>
      <c r="I451" s="850"/>
      <c r="J451" s="850"/>
      <c r="K451" s="850"/>
      <c r="L451" s="850"/>
      <c r="M451" s="850"/>
      <c r="N451" s="850"/>
      <c r="O451" s="487"/>
      <c r="P451" s="487"/>
      <c r="Q451" s="487"/>
      <c r="R451" s="487"/>
      <c r="S451" s="487"/>
      <c r="T451" s="487"/>
      <c r="U451" s="487"/>
    </row>
    <row r="452" spans="1:21" ht="15.75" customHeight="1">
      <c r="A452" s="487"/>
      <c r="B452" s="487"/>
      <c r="C452" s="850"/>
      <c r="D452" s="850"/>
      <c r="E452" s="850"/>
      <c r="F452" s="850"/>
      <c r="G452" s="850"/>
      <c r="H452" s="850"/>
      <c r="I452" s="850"/>
      <c r="J452" s="850"/>
      <c r="K452" s="850"/>
      <c r="L452" s="850"/>
      <c r="M452" s="850"/>
      <c r="N452" s="850"/>
      <c r="O452" s="487"/>
      <c r="P452" s="487"/>
      <c r="Q452" s="487"/>
      <c r="R452" s="487"/>
      <c r="S452" s="487"/>
      <c r="T452" s="487"/>
      <c r="U452" s="487"/>
    </row>
    <row r="453" spans="1:21" ht="15.75" customHeight="1">
      <c r="A453" s="487"/>
      <c r="B453" s="487"/>
      <c r="C453" s="850"/>
      <c r="D453" s="850"/>
      <c r="E453" s="850"/>
      <c r="F453" s="850"/>
      <c r="G453" s="850"/>
      <c r="H453" s="850"/>
      <c r="I453" s="850"/>
      <c r="J453" s="850"/>
      <c r="K453" s="850"/>
      <c r="L453" s="850"/>
      <c r="M453" s="850"/>
      <c r="N453" s="850"/>
      <c r="O453" s="487"/>
      <c r="P453" s="487"/>
      <c r="Q453" s="487"/>
      <c r="R453" s="487"/>
      <c r="S453" s="487"/>
      <c r="T453" s="487"/>
      <c r="U453" s="487"/>
    </row>
    <row r="454" spans="1:21" ht="15.75" customHeight="1">
      <c r="A454" s="487"/>
      <c r="B454" s="487"/>
      <c r="C454" s="850"/>
      <c r="D454" s="850"/>
      <c r="E454" s="850"/>
      <c r="F454" s="850"/>
      <c r="G454" s="850"/>
      <c r="H454" s="850"/>
      <c r="I454" s="850"/>
      <c r="J454" s="850"/>
      <c r="K454" s="850"/>
      <c r="L454" s="850"/>
      <c r="M454" s="850"/>
      <c r="N454" s="850"/>
      <c r="O454" s="487"/>
      <c r="P454" s="487"/>
      <c r="Q454" s="487"/>
      <c r="R454" s="487"/>
      <c r="S454" s="487"/>
      <c r="T454" s="487"/>
      <c r="U454" s="487"/>
    </row>
    <row r="455" spans="1:21" ht="15.75" customHeight="1">
      <c r="A455" s="487"/>
      <c r="B455" s="487"/>
      <c r="C455" s="850"/>
      <c r="D455" s="850"/>
      <c r="E455" s="850"/>
      <c r="F455" s="850"/>
      <c r="G455" s="850"/>
      <c r="H455" s="850"/>
      <c r="I455" s="850"/>
      <c r="J455" s="850"/>
      <c r="K455" s="850"/>
      <c r="L455" s="850"/>
      <c r="M455" s="850"/>
      <c r="N455" s="850"/>
      <c r="O455" s="487"/>
      <c r="P455" s="487"/>
      <c r="Q455" s="487"/>
      <c r="R455" s="487"/>
      <c r="S455" s="487"/>
      <c r="T455" s="487"/>
      <c r="U455" s="487"/>
    </row>
    <row r="456" spans="1:21" ht="15.75" customHeight="1">
      <c r="A456" s="487"/>
      <c r="B456" s="487"/>
      <c r="C456" s="850"/>
      <c r="D456" s="850"/>
      <c r="E456" s="850"/>
      <c r="F456" s="850"/>
      <c r="G456" s="850"/>
      <c r="H456" s="850"/>
      <c r="I456" s="850"/>
      <c r="J456" s="850"/>
      <c r="K456" s="850"/>
      <c r="L456" s="850"/>
      <c r="M456" s="850"/>
      <c r="N456" s="850"/>
      <c r="O456" s="487"/>
      <c r="P456" s="487"/>
      <c r="Q456" s="487"/>
      <c r="R456" s="487"/>
      <c r="S456" s="487"/>
      <c r="T456" s="487"/>
      <c r="U456" s="487"/>
    </row>
    <row r="457" spans="1:21" ht="15.75" customHeight="1">
      <c r="A457" s="487"/>
      <c r="B457" s="487"/>
      <c r="C457" s="850"/>
      <c r="D457" s="850"/>
      <c r="E457" s="850"/>
      <c r="F457" s="850"/>
      <c r="G457" s="850"/>
      <c r="H457" s="850"/>
      <c r="I457" s="850"/>
      <c r="J457" s="850"/>
      <c r="K457" s="850"/>
      <c r="L457" s="850"/>
      <c r="M457" s="850"/>
      <c r="N457" s="850"/>
      <c r="O457" s="487"/>
      <c r="P457" s="487"/>
      <c r="Q457" s="487"/>
      <c r="R457" s="487"/>
      <c r="S457" s="487"/>
      <c r="T457" s="487"/>
      <c r="U457" s="487"/>
    </row>
    <row r="458" spans="1:21" ht="15.75" customHeight="1">
      <c r="A458" s="487"/>
      <c r="B458" s="487"/>
      <c r="C458" s="850"/>
      <c r="D458" s="850"/>
      <c r="E458" s="850"/>
      <c r="F458" s="850"/>
      <c r="G458" s="850"/>
      <c r="H458" s="850"/>
      <c r="I458" s="850"/>
      <c r="J458" s="850"/>
      <c r="K458" s="850"/>
      <c r="L458" s="850"/>
      <c r="M458" s="850"/>
      <c r="N458" s="850"/>
      <c r="O458" s="487"/>
      <c r="P458" s="487"/>
      <c r="Q458" s="487"/>
      <c r="R458" s="487"/>
      <c r="S458" s="487"/>
      <c r="T458" s="487"/>
      <c r="U458" s="487"/>
    </row>
    <row r="459" spans="1:21" ht="15.75" customHeight="1">
      <c r="A459" s="487"/>
      <c r="B459" s="487"/>
      <c r="C459" s="850"/>
      <c r="D459" s="850"/>
      <c r="E459" s="850"/>
      <c r="F459" s="850"/>
      <c r="G459" s="850"/>
      <c r="H459" s="850"/>
      <c r="I459" s="850"/>
      <c r="J459" s="850"/>
      <c r="K459" s="850"/>
      <c r="L459" s="850"/>
      <c r="M459" s="850"/>
      <c r="N459" s="850"/>
      <c r="O459" s="487"/>
      <c r="P459" s="487"/>
      <c r="Q459" s="487"/>
      <c r="R459" s="487"/>
      <c r="S459" s="487"/>
      <c r="T459" s="487"/>
      <c r="U459" s="487"/>
    </row>
    <row r="460" spans="1:21" ht="15.75" customHeight="1">
      <c r="A460" s="487"/>
      <c r="B460" s="487"/>
      <c r="C460" s="850"/>
      <c r="D460" s="850"/>
      <c r="E460" s="850"/>
      <c r="F460" s="850"/>
      <c r="G460" s="850"/>
      <c r="H460" s="850"/>
      <c r="I460" s="850"/>
      <c r="J460" s="850"/>
      <c r="K460" s="850"/>
      <c r="L460" s="850"/>
      <c r="M460" s="850"/>
      <c r="N460" s="850"/>
      <c r="O460" s="487"/>
      <c r="P460" s="487"/>
      <c r="Q460" s="487"/>
      <c r="R460" s="487"/>
      <c r="S460" s="487"/>
      <c r="T460" s="487"/>
      <c r="U460" s="487"/>
    </row>
    <row r="461" spans="1:21" ht="15.75" customHeight="1">
      <c r="A461" s="487"/>
      <c r="B461" s="487"/>
      <c r="C461" s="850"/>
      <c r="D461" s="850"/>
      <c r="E461" s="850"/>
      <c r="F461" s="850"/>
      <c r="G461" s="850"/>
      <c r="H461" s="850"/>
      <c r="I461" s="850"/>
      <c r="J461" s="850"/>
      <c r="K461" s="850"/>
      <c r="L461" s="850"/>
      <c r="M461" s="850"/>
      <c r="N461" s="850"/>
      <c r="O461" s="487"/>
      <c r="P461" s="487"/>
      <c r="Q461" s="487"/>
      <c r="R461" s="487"/>
      <c r="S461" s="487"/>
      <c r="T461" s="487"/>
      <c r="U461" s="487"/>
    </row>
    <row r="462" spans="1:21" ht="15.75" customHeight="1">
      <c r="C462" s="851"/>
      <c r="D462" s="851"/>
      <c r="E462" s="851"/>
      <c r="F462" s="851"/>
      <c r="G462" s="851"/>
      <c r="H462" s="851"/>
      <c r="I462" s="851"/>
      <c r="J462" s="851"/>
      <c r="K462" s="851"/>
      <c r="L462" s="851"/>
      <c r="M462" s="851"/>
      <c r="N462" s="851"/>
    </row>
    <row r="463" spans="1:21" ht="15.75" customHeight="1">
      <c r="C463" s="851"/>
      <c r="D463" s="851"/>
      <c r="E463" s="851"/>
      <c r="F463" s="851"/>
      <c r="G463" s="851"/>
      <c r="H463" s="851"/>
      <c r="I463" s="851"/>
      <c r="J463" s="851"/>
      <c r="K463" s="851"/>
      <c r="L463" s="851"/>
      <c r="M463" s="851"/>
      <c r="N463" s="851"/>
    </row>
    <row r="464" spans="1:21" ht="15.75" customHeight="1">
      <c r="C464" s="851"/>
      <c r="D464" s="851"/>
      <c r="E464" s="851"/>
      <c r="F464" s="851"/>
      <c r="G464" s="851"/>
      <c r="H464" s="851"/>
      <c r="I464" s="851"/>
      <c r="J464" s="851"/>
      <c r="K464" s="851"/>
      <c r="L464" s="851"/>
      <c r="M464" s="851"/>
      <c r="N464" s="851"/>
    </row>
    <row r="465" spans="3:14" ht="15.75" customHeight="1">
      <c r="C465" s="851"/>
      <c r="D465" s="851"/>
      <c r="E465" s="851"/>
      <c r="F465" s="851"/>
      <c r="G465" s="851"/>
      <c r="H465" s="851"/>
      <c r="I465" s="851"/>
      <c r="J465" s="851"/>
      <c r="K465" s="851"/>
      <c r="L465" s="851"/>
      <c r="M465" s="851"/>
      <c r="N465" s="851"/>
    </row>
    <row r="466" spans="3:14" ht="15.75" customHeight="1">
      <c r="C466" s="851"/>
      <c r="D466" s="851"/>
      <c r="E466" s="851"/>
      <c r="F466" s="851"/>
      <c r="G466" s="851"/>
      <c r="H466" s="851"/>
      <c r="I466" s="851"/>
      <c r="J466" s="851"/>
      <c r="K466" s="851"/>
      <c r="L466" s="851"/>
      <c r="M466" s="851"/>
      <c r="N466" s="851"/>
    </row>
    <row r="467" spans="3:14" ht="15.75" customHeight="1">
      <c r="C467" s="851"/>
      <c r="D467" s="851"/>
      <c r="E467" s="851"/>
      <c r="F467" s="851"/>
      <c r="G467" s="851"/>
      <c r="H467" s="851"/>
      <c r="I467" s="851"/>
      <c r="J467" s="851"/>
      <c r="K467" s="851"/>
      <c r="L467" s="851"/>
      <c r="M467" s="851"/>
      <c r="N467" s="851"/>
    </row>
    <row r="468" spans="3:14" ht="15.75" customHeight="1">
      <c r="C468" s="851"/>
      <c r="D468" s="851"/>
      <c r="E468" s="851"/>
      <c r="F468" s="851"/>
      <c r="G468" s="851"/>
      <c r="H468" s="851"/>
      <c r="I468" s="851"/>
      <c r="J468" s="851"/>
      <c r="K468" s="851"/>
      <c r="L468" s="851"/>
      <c r="M468" s="851"/>
      <c r="N468" s="851"/>
    </row>
    <row r="469" spans="3:14" ht="15.75" customHeight="1">
      <c r="C469" s="851"/>
      <c r="D469" s="851"/>
      <c r="E469" s="851"/>
      <c r="F469" s="851"/>
      <c r="G469" s="851"/>
      <c r="H469" s="851"/>
      <c r="I469" s="851"/>
      <c r="J469" s="851"/>
      <c r="K469" s="851"/>
      <c r="L469" s="851"/>
      <c r="M469" s="851"/>
      <c r="N469" s="851"/>
    </row>
    <row r="470" spans="3:14" ht="15.75" customHeight="1">
      <c r="C470" s="851"/>
      <c r="D470" s="851"/>
      <c r="E470" s="851"/>
      <c r="F470" s="851"/>
      <c r="G470" s="851"/>
      <c r="H470" s="851"/>
      <c r="I470" s="851"/>
      <c r="J470" s="851"/>
      <c r="K470" s="851"/>
      <c r="L470" s="851"/>
      <c r="M470" s="851"/>
      <c r="N470" s="851"/>
    </row>
    <row r="471" spans="3:14" ht="15.75" customHeight="1">
      <c r="C471" s="851"/>
      <c r="D471" s="851"/>
      <c r="E471" s="851"/>
      <c r="F471" s="851"/>
      <c r="G471" s="851"/>
      <c r="H471" s="851"/>
      <c r="I471" s="851"/>
      <c r="J471" s="851"/>
      <c r="K471" s="851"/>
      <c r="L471" s="851"/>
      <c r="M471" s="851"/>
      <c r="N471" s="851"/>
    </row>
    <row r="472" spans="3:14" ht="15.75" customHeight="1">
      <c r="C472" s="851"/>
      <c r="D472" s="851"/>
      <c r="E472" s="851"/>
      <c r="F472" s="851"/>
      <c r="G472" s="851"/>
      <c r="H472" s="851"/>
      <c r="I472" s="851"/>
      <c r="J472" s="851"/>
      <c r="K472" s="851"/>
      <c r="L472" s="851"/>
      <c r="M472" s="851"/>
      <c r="N472" s="851"/>
    </row>
    <row r="473" spans="3:14" ht="15.75" customHeight="1">
      <c r="C473" s="851"/>
      <c r="D473" s="851"/>
      <c r="E473" s="851"/>
      <c r="F473" s="851"/>
      <c r="G473" s="851"/>
      <c r="H473" s="851"/>
      <c r="I473" s="851"/>
      <c r="J473" s="851"/>
      <c r="K473" s="851"/>
      <c r="L473" s="851"/>
      <c r="M473" s="851"/>
      <c r="N473" s="851"/>
    </row>
    <row r="474" spans="3:14" ht="15.75" customHeight="1">
      <c r="C474" s="851"/>
      <c r="D474" s="851"/>
      <c r="E474" s="851"/>
      <c r="F474" s="851"/>
      <c r="G474" s="851"/>
      <c r="H474" s="851"/>
      <c r="I474" s="851"/>
      <c r="J474" s="851"/>
      <c r="K474" s="851"/>
      <c r="L474" s="851"/>
      <c r="M474" s="851"/>
      <c r="N474" s="851"/>
    </row>
    <row r="475" spans="3:14" ht="15.75" customHeight="1">
      <c r="C475" s="851"/>
      <c r="D475" s="851"/>
      <c r="E475" s="851"/>
      <c r="F475" s="851"/>
      <c r="G475" s="851"/>
      <c r="H475" s="851"/>
      <c r="I475" s="851"/>
      <c r="J475" s="851"/>
      <c r="K475" s="851"/>
      <c r="L475" s="851"/>
      <c r="M475" s="851"/>
      <c r="N475" s="851"/>
    </row>
    <row r="476" spans="3:14" ht="15.75" customHeight="1">
      <c r="C476" s="851"/>
      <c r="D476" s="851"/>
      <c r="E476" s="851"/>
      <c r="F476" s="851"/>
      <c r="G476" s="851"/>
      <c r="H476" s="851"/>
      <c r="I476" s="851"/>
      <c r="J476" s="851"/>
      <c r="K476" s="851"/>
      <c r="L476" s="851"/>
      <c r="M476" s="851"/>
      <c r="N476" s="851"/>
    </row>
    <row r="477" spans="3:14" ht="15.75" customHeight="1">
      <c r="C477" s="851"/>
      <c r="D477" s="851"/>
      <c r="E477" s="851"/>
      <c r="F477" s="851"/>
      <c r="G477" s="851"/>
      <c r="H477" s="851"/>
      <c r="I477" s="851"/>
      <c r="J477" s="851"/>
      <c r="K477" s="851"/>
      <c r="L477" s="851"/>
      <c r="M477" s="851"/>
      <c r="N477" s="851"/>
    </row>
    <row r="478" spans="3:14" ht="15.75" customHeight="1">
      <c r="C478" s="851"/>
      <c r="D478" s="851"/>
      <c r="E478" s="851"/>
      <c r="F478" s="851"/>
      <c r="G478" s="851"/>
      <c r="H478" s="851"/>
      <c r="I478" s="851"/>
      <c r="J478" s="851"/>
      <c r="K478" s="851"/>
      <c r="L478" s="851"/>
      <c r="M478" s="851"/>
      <c r="N478" s="851"/>
    </row>
    <row r="479" spans="3:14" ht="15.75" customHeight="1">
      <c r="C479" s="851"/>
      <c r="D479" s="851"/>
      <c r="E479" s="851"/>
      <c r="F479" s="851"/>
      <c r="G479" s="851"/>
      <c r="H479" s="851"/>
      <c r="I479" s="851"/>
      <c r="J479" s="851"/>
      <c r="K479" s="851"/>
      <c r="L479" s="851"/>
      <c r="M479" s="851"/>
      <c r="N479" s="851"/>
    </row>
    <row r="480" spans="3:14" ht="15.75" customHeight="1">
      <c r="C480" s="851"/>
      <c r="D480" s="851"/>
      <c r="E480" s="851"/>
      <c r="F480" s="851"/>
      <c r="G480" s="851"/>
      <c r="H480" s="851"/>
      <c r="I480" s="851"/>
      <c r="J480" s="851"/>
      <c r="K480" s="851"/>
      <c r="L480" s="851"/>
      <c r="M480" s="851"/>
      <c r="N480" s="851"/>
    </row>
    <row r="481" spans="3:14" ht="15.75" customHeight="1">
      <c r="C481" s="851"/>
      <c r="D481" s="851"/>
      <c r="E481" s="851"/>
      <c r="F481" s="851"/>
      <c r="G481" s="851"/>
      <c r="H481" s="851"/>
      <c r="I481" s="851"/>
      <c r="J481" s="851"/>
      <c r="K481" s="851"/>
      <c r="L481" s="851"/>
      <c r="M481" s="851"/>
      <c r="N481" s="851"/>
    </row>
    <row r="482" spans="3:14" ht="15.75" customHeight="1">
      <c r="C482" s="851"/>
      <c r="D482" s="851"/>
      <c r="E482" s="851"/>
      <c r="F482" s="851"/>
      <c r="G482" s="851"/>
      <c r="H482" s="851"/>
      <c r="I482" s="851"/>
      <c r="J482" s="851"/>
      <c r="K482" s="851"/>
      <c r="L482" s="851"/>
      <c r="M482" s="851"/>
      <c r="N482" s="851"/>
    </row>
    <row r="483" spans="3:14" ht="15.75" customHeight="1">
      <c r="C483" s="851"/>
      <c r="D483" s="851"/>
      <c r="E483" s="851"/>
      <c r="F483" s="851"/>
      <c r="G483" s="851"/>
      <c r="H483" s="851"/>
      <c r="I483" s="851"/>
      <c r="J483" s="851"/>
      <c r="K483" s="851"/>
      <c r="L483" s="851"/>
      <c r="M483" s="851"/>
      <c r="N483" s="851"/>
    </row>
    <row r="484" spans="3:14" ht="15.75" customHeight="1">
      <c r="C484" s="851"/>
      <c r="D484" s="851"/>
      <c r="E484" s="851"/>
      <c r="F484" s="851"/>
      <c r="G484" s="851"/>
      <c r="H484" s="851"/>
      <c r="I484" s="851"/>
      <c r="J484" s="851"/>
      <c r="K484" s="851"/>
      <c r="L484" s="851"/>
      <c r="M484" s="851"/>
      <c r="N484" s="851"/>
    </row>
    <row r="485" spans="3:14" ht="15.75" customHeight="1">
      <c r="C485" s="851"/>
      <c r="D485" s="851"/>
      <c r="E485" s="851"/>
      <c r="F485" s="851"/>
      <c r="G485" s="851"/>
      <c r="H485" s="851"/>
      <c r="I485" s="851"/>
      <c r="J485" s="851"/>
      <c r="K485" s="851"/>
      <c r="L485" s="851"/>
      <c r="M485" s="851"/>
      <c r="N485" s="851"/>
    </row>
    <row r="486" spans="3:14" ht="15.75" customHeight="1">
      <c r="C486" s="851"/>
      <c r="D486" s="851"/>
      <c r="E486" s="851"/>
      <c r="F486" s="851"/>
      <c r="G486" s="851"/>
      <c r="H486" s="851"/>
      <c r="I486" s="851"/>
      <c r="J486" s="851"/>
      <c r="K486" s="851"/>
      <c r="L486" s="851"/>
      <c r="M486" s="851"/>
      <c r="N486" s="851"/>
    </row>
    <row r="487" spans="3:14" ht="15.75" customHeight="1">
      <c r="C487" s="851"/>
      <c r="D487" s="851"/>
      <c r="E487" s="851"/>
      <c r="F487" s="851"/>
      <c r="G487" s="851"/>
      <c r="H487" s="851"/>
      <c r="I487" s="851"/>
      <c r="J487" s="851"/>
      <c r="K487" s="851"/>
      <c r="L487" s="851"/>
      <c r="M487" s="851"/>
      <c r="N487" s="851"/>
    </row>
    <row r="488" spans="3:14" ht="15.75" customHeight="1">
      <c r="C488" s="851"/>
      <c r="D488" s="851"/>
      <c r="E488" s="851"/>
      <c r="F488" s="851"/>
      <c r="G488" s="851"/>
      <c r="H488" s="851"/>
      <c r="I488" s="851"/>
      <c r="J488" s="851"/>
      <c r="K488" s="851"/>
      <c r="L488" s="851"/>
      <c r="M488" s="851"/>
      <c r="N488" s="851"/>
    </row>
    <row r="489" spans="3:14" ht="14.25" customHeight="1">
      <c r="C489" s="851"/>
      <c r="D489" s="851"/>
      <c r="E489" s="851"/>
      <c r="F489" s="851"/>
      <c r="G489" s="851"/>
      <c r="H489" s="851"/>
      <c r="I489" s="851"/>
      <c r="J489" s="851"/>
      <c r="K489" s="851"/>
      <c r="L489" s="851"/>
      <c r="M489" s="851"/>
      <c r="N489" s="851"/>
    </row>
    <row r="490" spans="3:14" ht="14.25" customHeight="1">
      <c r="C490" s="851"/>
      <c r="D490" s="851"/>
      <c r="E490" s="851"/>
      <c r="F490" s="851"/>
      <c r="G490" s="851"/>
      <c r="H490" s="851"/>
      <c r="I490" s="851"/>
      <c r="J490" s="851"/>
      <c r="K490" s="851"/>
      <c r="L490" s="851"/>
      <c r="M490" s="851"/>
      <c r="N490" s="851"/>
    </row>
    <row r="491" spans="3:14" ht="14.25" customHeight="1">
      <c r="C491" s="851"/>
      <c r="D491" s="851"/>
      <c r="E491" s="851"/>
      <c r="F491" s="851"/>
      <c r="G491" s="851"/>
      <c r="H491" s="851"/>
      <c r="I491" s="851"/>
      <c r="J491" s="851"/>
      <c r="K491" s="851"/>
      <c r="L491" s="851"/>
      <c r="M491" s="851"/>
      <c r="N491" s="851"/>
    </row>
    <row r="492" spans="3:14" ht="14.25" customHeight="1">
      <c r="C492" s="851"/>
      <c r="D492" s="851"/>
      <c r="E492" s="851"/>
      <c r="F492" s="851"/>
      <c r="G492" s="851"/>
      <c r="H492" s="851"/>
      <c r="I492" s="851"/>
      <c r="J492" s="851"/>
      <c r="K492" s="851"/>
      <c r="L492" s="851"/>
      <c r="M492" s="851"/>
      <c r="N492" s="851"/>
    </row>
    <row r="493" spans="3:14" ht="14.25" customHeight="1">
      <c r="C493" s="851"/>
      <c r="D493" s="851"/>
      <c r="E493" s="851"/>
      <c r="F493" s="851"/>
      <c r="G493" s="851"/>
      <c r="H493" s="851"/>
      <c r="I493" s="851"/>
      <c r="J493" s="851"/>
      <c r="K493" s="851"/>
      <c r="L493" s="851"/>
      <c r="M493" s="851"/>
      <c r="N493" s="851"/>
    </row>
    <row r="494" spans="3:14" ht="14.25" customHeight="1">
      <c r="C494" s="851"/>
      <c r="D494" s="851"/>
      <c r="E494" s="851"/>
      <c r="F494" s="851"/>
      <c r="G494" s="851"/>
      <c r="H494" s="851"/>
      <c r="I494" s="851"/>
      <c r="J494" s="851"/>
      <c r="K494" s="851"/>
      <c r="L494" s="851"/>
      <c r="M494" s="851"/>
      <c r="N494" s="851"/>
    </row>
    <row r="495" spans="3:14" ht="14.25" customHeight="1">
      <c r="C495" s="851"/>
      <c r="D495" s="851"/>
      <c r="E495" s="851"/>
      <c r="F495" s="851"/>
      <c r="G495" s="851"/>
      <c r="H495" s="851"/>
      <c r="I495" s="851"/>
      <c r="J495" s="851"/>
      <c r="K495" s="851"/>
      <c r="L495" s="851"/>
      <c r="M495" s="851"/>
      <c r="N495" s="851"/>
    </row>
    <row r="496" spans="3:14" ht="14.25" customHeight="1">
      <c r="C496" s="851"/>
      <c r="D496" s="851"/>
      <c r="E496" s="851"/>
      <c r="F496" s="851"/>
      <c r="G496" s="851"/>
      <c r="H496" s="851"/>
      <c r="I496" s="851"/>
      <c r="J496" s="851"/>
      <c r="K496" s="851"/>
      <c r="L496" s="851"/>
      <c r="M496" s="851"/>
      <c r="N496" s="851"/>
    </row>
    <row r="497" spans="3:14" ht="14.25" customHeight="1">
      <c r="C497" s="851"/>
      <c r="D497" s="851"/>
      <c r="E497" s="851"/>
      <c r="F497" s="851"/>
      <c r="G497" s="851"/>
      <c r="H497" s="851"/>
      <c r="I497" s="851"/>
      <c r="J497" s="851"/>
      <c r="K497" s="851"/>
      <c r="L497" s="851"/>
      <c r="M497" s="851"/>
      <c r="N497" s="851"/>
    </row>
    <row r="498" spans="3:14" ht="14.25" customHeight="1">
      <c r="C498" s="851"/>
      <c r="D498" s="851"/>
      <c r="E498" s="851"/>
      <c r="F498" s="851"/>
      <c r="G498" s="851"/>
      <c r="H498" s="851"/>
      <c r="I498" s="851"/>
      <c r="J498" s="851"/>
      <c r="K498" s="851"/>
      <c r="L498" s="851"/>
      <c r="M498" s="851"/>
      <c r="N498" s="851"/>
    </row>
    <row r="499" spans="3:14" ht="14.25" customHeight="1">
      <c r="C499" s="851"/>
      <c r="D499" s="851"/>
      <c r="E499" s="851"/>
      <c r="F499" s="851"/>
      <c r="G499" s="851"/>
      <c r="H499" s="851"/>
      <c r="I499" s="851"/>
      <c r="J499" s="851"/>
      <c r="K499" s="851"/>
      <c r="L499" s="851"/>
      <c r="M499" s="851"/>
      <c r="N499" s="851"/>
    </row>
    <row r="500" spans="3:14" ht="14.25" customHeight="1">
      <c r="C500" s="851"/>
      <c r="D500" s="851"/>
      <c r="E500" s="851"/>
      <c r="F500" s="851"/>
      <c r="G500" s="851"/>
      <c r="H500" s="851"/>
      <c r="I500" s="851"/>
      <c r="J500" s="851"/>
      <c r="K500" s="851"/>
      <c r="L500" s="851"/>
      <c r="M500" s="851"/>
      <c r="N500" s="851"/>
    </row>
    <row r="501" spans="3:14" ht="14.25" customHeight="1">
      <c r="C501" s="851"/>
      <c r="D501" s="851"/>
      <c r="E501" s="851"/>
      <c r="F501" s="851"/>
      <c r="G501" s="851"/>
      <c r="H501" s="851"/>
      <c r="I501" s="851"/>
      <c r="J501" s="851"/>
      <c r="K501" s="851"/>
      <c r="L501" s="851"/>
      <c r="M501" s="851"/>
      <c r="N501" s="851"/>
    </row>
    <row r="502" spans="3:14" ht="14.25" customHeight="1">
      <c r="C502" s="851"/>
      <c r="D502" s="851"/>
      <c r="E502" s="851"/>
      <c r="F502" s="851"/>
      <c r="G502" s="851"/>
      <c r="H502" s="851"/>
      <c r="I502" s="851"/>
      <c r="J502" s="851"/>
      <c r="K502" s="851"/>
      <c r="L502" s="851"/>
      <c r="M502" s="851"/>
      <c r="N502" s="851"/>
    </row>
    <row r="503" spans="3:14" ht="14.25" customHeight="1">
      <c r="C503" s="851"/>
      <c r="D503" s="851"/>
      <c r="E503" s="851"/>
      <c r="F503" s="851"/>
      <c r="G503" s="851"/>
      <c r="H503" s="851"/>
      <c r="I503" s="851"/>
      <c r="J503" s="851"/>
      <c r="K503" s="851"/>
      <c r="L503" s="851"/>
      <c r="M503" s="851"/>
      <c r="N503" s="851"/>
    </row>
    <row r="504" spans="3:14" ht="14.25" customHeight="1">
      <c r="C504" s="851"/>
      <c r="D504" s="851"/>
      <c r="E504" s="851"/>
      <c r="F504" s="851"/>
      <c r="G504" s="851"/>
      <c r="H504" s="851"/>
      <c r="I504" s="851"/>
      <c r="J504" s="851"/>
      <c r="K504" s="851"/>
      <c r="L504" s="851"/>
      <c r="M504" s="851"/>
      <c r="N504" s="851"/>
    </row>
    <row r="505" spans="3:14" ht="14.25" customHeight="1">
      <c r="C505" s="851"/>
      <c r="D505" s="851"/>
      <c r="E505" s="851"/>
      <c r="F505" s="851"/>
      <c r="G505" s="851"/>
      <c r="H505" s="851"/>
      <c r="I505" s="851"/>
      <c r="J505" s="851"/>
      <c r="K505" s="851"/>
      <c r="L505" s="851"/>
      <c r="M505" s="851"/>
      <c r="N505" s="851"/>
    </row>
    <row r="506" spans="3:14" ht="14.25" customHeight="1">
      <c r="C506" s="851"/>
      <c r="D506" s="851"/>
      <c r="E506" s="851"/>
      <c r="F506" s="851"/>
      <c r="G506" s="851"/>
      <c r="H506" s="851"/>
      <c r="I506" s="851"/>
      <c r="J506" s="851"/>
      <c r="K506" s="851"/>
      <c r="L506" s="851"/>
      <c r="M506" s="851"/>
      <c r="N506" s="851"/>
    </row>
    <row r="507" spans="3:14" ht="14.25" customHeight="1">
      <c r="C507" s="851"/>
      <c r="D507" s="851"/>
      <c r="E507" s="851"/>
      <c r="F507" s="851"/>
      <c r="G507" s="851"/>
      <c r="H507" s="851"/>
      <c r="I507" s="851"/>
      <c r="J507" s="851"/>
      <c r="K507" s="851"/>
      <c r="L507" s="851"/>
      <c r="M507" s="851"/>
      <c r="N507" s="851"/>
    </row>
    <row r="508" spans="3:14" ht="14.25" customHeight="1">
      <c r="C508" s="851"/>
      <c r="D508" s="851"/>
      <c r="E508" s="851"/>
      <c r="F508" s="851"/>
      <c r="G508" s="851"/>
      <c r="H508" s="851"/>
      <c r="I508" s="851"/>
      <c r="J508" s="851"/>
      <c r="K508" s="851"/>
      <c r="L508" s="851"/>
      <c r="M508" s="851"/>
      <c r="N508" s="851"/>
    </row>
    <row r="509" spans="3:14" ht="14.25" customHeight="1">
      <c r="C509" s="851"/>
      <c r="D509" s="851"/>
      <c r="E509" s="851"/>
      <c r="F509" s="851"/>
      <c r="G509" s="851"/>
      <c r="H509" s="851"/>
      <c r="I509" s="851"/>
      <c r="J509" s="851"/>
      <c r="K509" s="851"/>
      <c r="L509" s="851"/>
      <c r="M509" s="851"/>
      <c r="N509" s="851"/>
    </row>
    <row r="510" spans="3:14" ht="14.25" customHeight="1">
      <c r="C510" s="851"/>
      <c r="D510" s="851"/>
      <c r="E510" s="851"/>
      <c r="F510" s="851"/>
      <c r="G510" s="851"/>
      <c r="H510" s="851"/>
      <c r="I510" s="851"/>
      <c r="J510" s="851"/>
      <c r="K510" s="851"/>
      <c r="L510" s="851"/>
      <c r="M510" s="851"/>
      <c r="N510" s="851"/>
    </row>
    <row r="511" spans="3:14" ht="14.25" customHeight="1">
      <c r="C511" s="851"/>
      <c r="D511" s="851"/>
      <c r="E511" s="851"/>
      <c r="F511" s="851"/>
      <c r="G511" s="851"/>
      <c r="H511" s="851"/>
      <c r="I511" s="851"/>
      <c r="J511" s="851"/>
      <c r="K511" s="851"/>
      <c r="L511" s="851"/>
      <c r="M511" s="851"/>
      <c r="N511" s="851"/>
    </row>
    <row r="512" spans="3:14" ht="14.25" customHeight="1">
      <c r="C512" s="851"/>
      <c r="D512" s="851"/>
      <c r="E512" s="851"/>
      <c r="F512" s="851"/>
      <c r="G512" s="851"/>
      <c r="H512" s="851"/>
      <c r="I512" s="851"/>
      <c r="J512" s="851"/>
      <c r="K512" s="851"/>
      <c r="L512" s="851"/>
      <c r="M512" s="851"/>
      <c r="N512" s="851"/>
    </row>
    <row r="513" spans="3:14" ht="14.25" customHeight="1">
      <c r="C513" s="851"/>
      <c r="D513" s="851"/>
      <c r="E513" s="851"/>
      <c r="F513" s="851"/>
      <c r="G513" s="851"/>
      <c r="H513" s="851"/>
      <c r="I513" s="851"/>
      <c r="J513" s="851"/>
      <c r="K513" s="851"/>
      <c r="L513" s="851"/>
      <c r="M513" s="851"/>
      <c r="N513" s="851"/>
    </row>
    <row r="514" spans="3:14" ht="14.25" customHeight="1">
      <c r="C514" s="851"/>
      <c r="D514" s="851"/>
      <c r="E514" s="851"/>
      <c r="F514" s="851"/>
      <c r="G514" s="851"/>
      <c r="H514" s="851"/>
      <c r="I514" s="851"/>
      <c r="J514" s="851"/>
      <c r="K514" s="851"/>
      <c r="L514" s="851"/>
      <c r="M514" s="851"/>
      <c r="N514" s="851"/>
    </row>
    <row r="515" spans="3:14" ht="14.25" customHeight="1">
      <c r="C515" s="851"/>
      <c r="D515" s="851"/>
      <c r="E515" s="851"/>
      <c r="F515" s="851"/>
      <c r="G515" s="851"/>
      <c r="H515" s="851"/>
      <c r="I515" s="851"/>
      <c r="J515" s="851"/>
      <c r="K515" s="851"/>
      <c r="L515" s="851"/>
      <c r="M515" s="851"/>
      <c r="N515" s="851"/>
    </row>
    <row r="516" spans="3:14" ht="14.25" customHeight="1">
      <c r="C516" s="851"/>
      <c r="D516" s="851"/>
      <c r="E516" s="851"/>
      <c r="F516" s="851"/>
      <c r="G516" s="851"/>
      <c r="H516" s="851"/>
      <c r="I516" s="851"/>
      <c r="J516" s="851"/>
      <c r="K516" s="851"/>
      <c r="L516" s="851"/>
      <c r="M516" s="851"/>
      <c r="N516" s="851"/>
    </row>
    <row r="517" spans="3:14" ht="14.25" customHeight="1">
      <c r="C517" s="851"/>
      <c r="D517" s="851"/>
      <c r="E517" s="851"/>
      <c r="F517" s="851"/>
      <c r="G517" s="851"/>
      <c r="H517" s="851"/>
      <c r="I517" s="851"/>
      <c r="J517" s="851"/>
      <c r="K517" s="851"/>
      <c r="L517" s="851"/>
      <c r="M517" s="851"/>
      <c r="N517" s="851"/>
    </row>
    <row r="518" spans="3:14" ht="14.25" customHeight="1">
      <c r="C518" s="851"/>
      <c r="D518" s="851"/>
      <c r="E518" s="851"/>
      <c r="F518" s="851"/>
      <c r="G518" s="851"/>
      <c r="H518" s="851"/>
      <c r="I518" s="851"/>
      <c r="J518" s="851"/>
      <c r="K518" s="851"/>
      <c r="L518" s="851"/>
      <c r="M518" s="851"/>
      <c r="N518" s="851"/>
    </row>
    <row r="519" spans="3:14" ht="14.25" customHeight="1">
      <c r="C519" s="851"/>
      <c r="D519" s="851"/>
      <c r="E519" s="851"/>
      <c r="F519" s="851"/>
      <c r="G519" s="851"/>
      <c r="H519" s="851"/>
      <c r="I519" s="851"/>
      <c r="J519" s="851"/>
      <c r="K519" s="851"/>
      <c r="L519" s="851"/>
      <c r="M519" s="851"/>
      <c r="N519" s="851"/>
    </row>
    <row r="520" spans="3:14" ht="14.25" customHeight="1">
      <c r="C520" s="851"/>
      <c r="D520" s="851"/>
      <c r="E520" s="851"/>
      <c r="F520" s="851"/>
      <c r="G520" s="851"/>
      <c r="H520" s="851"/>
      <c r="I520" s="851"/>
      <c r="J520" s="851"/>
      <c r="K520" s="851"/>
      <c r="L520" s="851"/>
      <c r="M520" s="851"/>
      <c r="N520" s="851"/>
    </row>
    <row r="521" spans="3:14" ht="14.25" customHeight="1">
      <c r="C521" s="851"/>
      <c r="D521" s="851"/>
      <c r="E521" s="851"/>
      <c r="F521" s="851"/>
      <c r="G521" s="851"/>
      <c r="H521" s="851"/>
      <c r="I521" s="851"/>
      <c r="J521" s="851"/>
      <c r="K521" s="851"/>
      <c r="L521" s="851"/>
      <c r="M521" s="851"/>
      <c r="N521" s="851"/>
    </row>
    <row r="522" spans="3:14" ht="14.25" customHeight="1">
      <c r="C522" s="851"/>
      <c r="D522" s="851"/>
      <c r="E522" s="851"/>
      <c r="F522" s="851"/>
      <c r="G522" s="851"/>
      <c r="H522" s="851"/>
      <c r="I522" s="851"/>
      <c r="J522" s="851"/>
      <c r="K522" s="851"/>
      <c r="L522" s="851"/>
      <c r="M522" s="851"/>
      <c r="N522" s="851"/>
    </row>
    <row r="523" spans="3:14" ht="14.25" customHeight="1">
      <c r="C523" s="851"/>
      <c r="D523" s="851"/>
      <c r="E523" s="851"/>
      <c r="F523" s="851"/>
      <c r="G523" s="851"/>
      <c r="H523" s="851"/>
      <c r="I523" s="851"/>
      <c r="J523" s="851"/>
      <c r="K523" s="851"/>
      <c r="L523" s="851"/>
      <c r="M523" s="851"/>
      <c r="N523" s="851"/>
    </row>
    <row r="524" spans="3:14" ht="14.25" customHeight="1">
      <c r="C524" s="851"/>
      <c r="D524" s="851"/>
      <c r="E524" s="851"/>
      <c r="F524" s="851"/>
      <c r="G524" s="851"/>
      <c r="H524" s="851"/>
      <c r="I524" s="851"/>
      <c r="J524" s="851"/>
      <c r="K524" s="851"/>
      <c r="L524" s="851"/>
      <c r="M524" s="851"/>
      <c r="N524" s="851"/>
    </row>
    <row r="525" spans="3:14" ht="14.25" customHeight="1">
      <c r="C525" s="851"/>
      <c r="D525" s="851"/>
      <c r="E525" s="851"/>
      <c r="F525" s="851"/>
      <c r="G525" s="851"/>
      <c r="H525" s="851"/>
      <c r="I525" s="851"/>
      <c r="J525" s="851"/>
      <c r="K525" s="851"/>
      <c r="L525" s="851"/>
      <c r="M525" s="851"/>
      <c r="N525" s="851"/>
    </row>
    <row r="526" spans="3:14" ht="14.25" customHeight="1">
      <c r="C526" s="851"/>
      <c r="D526" s="851"/>
      <c r="E526" s="851"/>
      <c r="F526" s="851"/>
      <c r="G526" s="851"/>
      <c r="H526" s="851"/>
      <c r="I526" s="851"/>
      <c r="J526" s="851"/>
      <c r="K526" s="851"/>
      <c r="L526" s="851"/>
      <c r="M526" s="851"/>
      <c r="N526" s="851"/>
    </row>
    <row r="527" spans="3:14" ht="14.25" customHeight="1">
      <c r="C527" s="851"/>
      <c r="D527" s="851"/>
      <c r="E527" s="851"/>
      <c r="F527" s="851"/>
      <c r="G527" s="851"/>
      <c r="H527" s="851"/>
      <c r="I527" s="851"/>
      <c r="J527" s="851"/>
      <c r="K527" s="851"/>
      <c r="L527" s="851"/>
      <c r="M527" s="851"/>
      <c r="N527" s="851"/>
    </row>
    <row r="528" spans="3:14" ht="14.25" customHeight="1">
      <c r="C528" s="851"/>
      <c r="D528" s="851"/>
      <c r="E528" s="851"/>
      <c r="F528" s="851"/>
      <c r="G528" s="851"/>
      <c r="H528" s="851"/>
      <c r="I528" s="851"/>
      <c r="J528" s="851"/>
      <c r="K528" s="851"/>
      <c r="L528" s="851"/>
      <c r="M528" s="851"/>
      <c r="N528" s="851"/>
    </row>
    <row r="529" spans="3:14" ht="14.25" customHeight="1">
      <c r="C529" s="851"/>
      <c r="D529" s="851"/>
      <c r="E529" s="851"/>
      <c r="F529" s="851"/>
      <c r="G529" s="851"/>
      <c r="H529" s="851"/>
      <c r="I529" s="851"/>
      <c r="J529" s="851"/>
      <c r="K529" s="851"/>
      <c r="L529" s="851"/>
      <c r="M529" s="851"/>
      <c r="N529" s="851"/>
    </row>
    <row r="530" spans="3:14" ht="14.25" customHeight="1">
      <c r="C530" s="851"/>
      <c r="D530" s="851"/>
      <c r="E530" s="851"/>
      <c r="F530" s="851"/>
      <c r="G530" s="851"/>
      <c r="H530" s="851"/>
      <c r="I530" s="851"/>
      <c r="J530" s="851"/>
      <c r="K530" s="851"/>
      <c r="L530" s="851"/>
      <c r="M530" s="851"/>
      <c r="N530" s="851"/>
    </row>
    <row r="531" spans="3:14" ht="14.25" customHeight="1">
      <c r="C531" s="851"/>
      <c r="D531" s="851"/>
      <c r="E531" s="851"/>
      <c r="F531" s="851"/>
      <c r="G531" s="851"/>
      <c r="H531" s="851"/>
      <c r="I531" s="851"/>
      <c r="J531" s="851"/>
      <c r="K531" s="851"/>
      <c r="L531" s="851"/>
      <c r="M531" s="851"/>
      <c r="N531" s="851"/>
    </row>
    <row r="532" spans="3:14" ht="14.25" customHeight="1">
      <c r="C532" s="851"/>
      <c r="D532" s="851"/>
      <c r="E532" s="851"/>
      <c r="F532" s="851"/>
      <c r="G532" s="851"/>
      <c r="H532" s="851"/>
      <c r="I532" s="851"/>
      <c r="J532" s="851"/>
      <c r="K532" s="851"/>
      <c r="L532" s="851"/>
      <c r="M532" s="851"/>
      <c r="N532" s="851"/>
    </row>
    <row r="533" spans="3:14" ht="14.25" customHeight="1">
      <c r="C533" s="851"/>
      <c r="D533" s="851"/>
      <c r="E533" s="851"/>
      <c r="F533" s="851"/>
      <c r="G533" s="851"/>
      <c r="H533" s="851"/>
      <c r="I533" s="851"/>
      <c r="J533" s="851"/>
      <c r="K533" s="851"/>
      <c r="L533" s="851"/>
      <c r="M533" s="851"/>
      <c r="N533" s="851"/>
    </row>
    <row r="534" spans="3:14" ht="14.25" customHeight="1">
      <c r="C534" s="851"/>
      <c r="D534" s="851"/>
      <c r="E534" s="851"/>
      <c r="F534" s="851"/>
      <c r="G534" s="851"/>
      <c r="H534" s="851"/>
      <c r="I534" s="851"/>
      <c r="J534" s="851"/>
      <c r="K534" s="851"/>
      <c r="L534" s="851"/>
      <c r="M534" s="851"/>
      <c r="N534" s="851"/>
    </row>
    <row r="535" spans="3:14" ht="14.25" customHeight="1">
      <c r="C535" s="851"/>
      <c r="D535" s="851"/>
      <c r="E535" s="851"/>
      <c r="F535" s="851"/>
      <c r="G535" s="851"/>
      <c r="H535" s="851"/>
      <c r="I535" s="851"/>
      <c r="J535" s="851"/>
      <c r="K535" s="851"/>
      <c r="L535" s="851"/>
      <c r="M535" s="851"/>
      <c r="N535" s="851"/>
    </row>
    <row r="536" spans="3:14" ht="14.25" customHeight="1">
      <c r="C536" s="851"/>
      <c r="D536" s="851"/>
      <c r="E536" s="851"/>
      <c r="F536" s="851"/>
      <c r="G536" s="851"/>
      <c r="H536" s="851"/>
      <c r="I536" s="851"/>
      <c r="J536" s="851"/>
      <c r="K536" s="851"/>
      <c r="L536" s="851"/>
      <c r="M536" s="851"/>
      <c r="N536" s="851"/>
    </row>
    <row r="537" spans="3:14" ht="14.25" customHeight="1">
      <c r="C537" s="851"/>
      <c r="D537" s="851"/>
      <c r="E537" s="851"/>
      <c r="F537" s="851"/>
      <c r="G537" s="851"/>
      <c r="H537" s="851"/>
      <c r="I537" s="851"/>
      <c r="J537" s="851"/>
      <c r="K537" s="851"/>
      <c r="L537" s="851"/>
      <c r="M537" s="851"/>
      <c r="N537" s="851"/>
    </row>
    <row r="538" spans="3:14" ht="14.25" customHeight="1">
      <c r="C538" s="851"/>
      <c r="D538" s="851"/>
      <c r="E538" s="851"/>
      <c r="F538" s="851"/>
      <c r="G538" s="851"/>
      <c r="H538" s="851"/>
      <c r="I538" s="851"/>
      <c r="J538" s="851"/>
      <c r="K538" s="851"/>
      <c r="L538" s="851"/>
      <c r="M538" s="851"/>
      <c r="N538" s="851"/>
    </row>
    <row r="539" spans="3:14" ht="14.25" customHeight="1">
      <c r="C539" s="851"/>
      <c r="D539" s="851"/>
      <c r="E539" s="851"/>
      <c r="F539" s="851"/>
      <c r="G539" s="851"/>
      <c r="H539" s="851"/>
      <c r="I539" s="851"/>
      <c r="J539" s="851"/>
      <c r="K539" s="851"/>
      <c r="L539" s="851"/>
      <c r="M539" s="851"/>
      <c r="N539" s="851"/>
    </row>
    <row r="540" spans="3:14" ht="14.25" customHeight="1">
      <c r="C540" s="851"/>
      <c r="D540" s="851"/>
      <c r="E540" s="851"/>
      <c r="F540" s="851"/>
      <c r="G540" s="851"/>
      <c r="H540" s="851"/>
      <c r="I540" s="851"/>
      <c r="J540" s="851"/>
      <c r="K540" s="851"/>
      <c r="L540" s="851"/>
      <c r="M540" s="851"/>
      <c r="N540" s="851"/>
    </row>
    <row r="541" spans="3:14" ht="14.25" customHeight="1">
      <c r="C541" s="851"/>
      <c r="D541" s="851"/>
      <c r="E541" s="851"/>
      <c r="F541" s="851"/>
      <c r="G541" s="851"/>
      <c r="H541" s="851"/>
      <c r="I541" s="851"/>
      <c r="J541" s="851"/>
      <c r="K541" s="851"/>
      <c r="L541" s="851"/>
      <c r="M541" s="851"/>
      <c r="N541" s="851"/>
    </row>
    <row r="542" spans="3:14" ht="14.25" customHeight="1">
      <c r="C542" s="851"/>
      <c r="D542" s="851"/>
      <c r="E542" s="851"/>
      <c r="F542" s="851"/>
      <c r="G542" s="851"/>
      <c r="H542" s="851"/>
      <c r="I542" s="851"/>
      <c r="J542" s="851"/>
      <c r="K542" s="851"/>
      <c r="L542" s="851"/>
      <c r="M542" s="851"/>
      <c r="N542" s="851"/>
    </row>
    <row r="543" spans="3:14" ht="14.25" customHeight="1">
      <c r="C543" s="851"/>
      <c r="D543" s="851"/>
      <c r="E543" s="851"/>
      <c r="F543" s="851"/>
      <c r="G543" s="851"/>
      <c r="H543" s="851"/>
      <c r="I543" s="851"/>
      <c r="J543" s="851"/>
      <c r="K543" s="851"/>
      <c r="L543" s="851"/>
      <c r="M543" s="851"/>
      <c r="N543" s="851"/>
    </row>
    <row r="544" spans="3:14" ht="14.25" customHeight="1">
      <c r="C544" s="851"/>
      <c r="D544" s="851"/>
      <c r="E544" s="851"/>
      <c r="F544" s="851"/>
      <c r="G544" s="851"/>
      <c r="H544" s="851"/>
      <c r="I544" s="851"/>
      <c r="J544" s="851"/>
      <c r="K544" s="851"/>
      <c r="L544" s="851"/>
      <c r="M544" s="851"/>
      <c r="N544" s="851"/>
    </row>
    <row r="545" spans="3:14" ht="14.25" customHeight="1">
      <c r="C545" s="851"/>
      <c r="D545" s="851"/>
      <c r="E545" s="851"/>
      <c r="F545" s="851"/>
      <c r="G545" s="851"/>
      <c r="H545" s="851"/>
      <c r="I545" s="851"/>
      <c r="J545" s="851"/>
      <c r="K545" s="851"/>
      <c r="L545" s="851"/>
      <c r="M545" s="851"/>
      <c r="N545" s="851"/>
    </row>
    <row r="546" spans="3:14" ht="14.25" customHeight="1">
      <c r="C546" s="851"/>
      <c r="D546" s="851"/>
      <c r="E546" s="851"/>
      <c r="F546" s="851"/>
      <c r="G546" s="851"/>
      <c r="H546" s="851"/>
      <c r="I546" s="851"/>
      <c r="J546" s="851"/>
      <c r="K546" s="851"/>
      <c r="L546" s="851"/>
      <c r="M546" s="851"/>
      <c r="N546" s="851"/>
    </row>
    <row r="547" spans="3:14" ht="14.25" customHeight="1">
      <c r="C547" s="851"/>
      <c r="D547" s="851"/>
      <c r="E547" s="851"/>
      <c r="F547" s="851"/>
      <c r="G547" s="851"/>
      <c r="H547" s="851"/>
      <c r="I547" s="851"/>
      <c r="J547" s="851"/>
      <c r="K547" s="851"/>
      <c r="L547" s="851"/>
      <c r="M547" s="851"/>
      <c r="N547" s="851"/>
    </row>
    <row r="548" spans="3:14" ht="14.25" customHeight="1">
      <c r="C548" s="851"/>
      <c r="D548" s="851"/>
      <c r="E548" s="851"/>
      <c r="F548" s="851"/>
      <c r="G548" s="851"/>
      <c r="H548" s="851"/>
      <c r="I548" s="851"/>
      <c r="J548" s="851"/>
      <c r="K548" s="851"/>
      <c r="L548" s="851"/>
      <c r="M548" s="851"/>
      <c r="N548" s="851"/>
    </row>
    <row r="549" spans="3:14" ht="14.25" customHeight="1">
      <c r="C549" s="851"/>
      <c r="D549" s="851"/>
      <c r="E549" s="851"/>
      <c r="F549" s="851"/>
      <c r="G549" s="851"/>
      <c r="H549" s="851"/>
      <c r="I549" s="851"/>
      <c r="J549" s="851"/>
      <c r="K549" s="851"/>
      <c r="L549" s="851"/>
      <c r="M549" s="851"/>
      <c r="N549" s="851"/>
    </row>
    <row r="550" spans="3:14" ht="14.25" customHeight="1">
      <c r="C550" s="851"/>
      <c r="D550" s="851"/>
      <c r="E550" s="851"/>
      <c r="F550" s="851"/>
      <c r="G550" s="851"/>
      <c r="H550" s="851"/>
      <c r="I550" s="851"/>
      <c r="J550" s="851"/>
      <c r="K550" s="851"/>
      <c r="L550" s="851"/>
      <c r="M550" s="851"/>
      <c r="N550" s="851"/>
    </row>
    <row r="551" spans="3:14" ht="14.25" customHeight="1">
      <c r="C551" s="851"/>
      <c r="D551" s="851"/>
      <c r="E551" s="851"/>
      <c r="F551" s="851"/>
      <c r="G551" s="851"/>
      <c r="H551" s="851"/>
      <c r="I551" s="851"/>
      <c r="J551" s="851"/>
      <c r="K551" s="851"/>
      <c r="L551" s="851"/>
      <c r="M551" s="851"/>
      <c r="N551" s="851"/>
    </row>
    <row r="552" spans="3:14" ht="14.25" customHeight="1">
      <c r="C552" s="851"/>
      <c r="D552" s="851"/>
      <c r="E552" s="851"/>
      <c r="F552" s="851"/>
      <c r="G552" s="851"/>
      <c r="H552" s="851"/>
      <c r="I552" s="851"/>
      <c r="J552" s="851"/>
      <c r="K552" s="851"/>
      <c r="L552" s="851"/>
      <c r="M552" s="851"/>
      <c r="N552" s="851"/>
    </row>
    <row r="553" spans="3:14" ht="14.25" customHeight="1">
      <c r="C553" s="851"/>
      <c r="D553" s="851"/>
      <c r="E553" s="851"/>
      <c r="F553" s="851"/>
      <c r="G553" s="851"/>
      <c r="H553" s="851"/>
      <c r="I553" s="851"/>
      <c r="J553" s="851"/>
      <c r="K553" s="851"/>
      <c r="L553" s="851"/>
      <c r="M553" s="851"/>
      <c r="N553" s="851"/>
    </row>
    <row r="554" spans="3:14" ht="14.25" customHeight="1">
      <c r="C554" s="851"/>
      <c r="D554" s="851"/>
      <c r="E554" s="851"/>
      <c r="F554" s="851"/>
      <c r="G554" s="851"/>
      <c r="H554" s="851"/>
      <c r="I554" s="851"/>
      <c r="J554" s="851"/>
      <c r="K554" s="851"/>
      <c r="L554" s="851"/>
      <c r="M554" s="851"/>
      <c r="N554" s="851"/>
    </row>
    <row r="555" spans="3:14" ht="14.25" customHeight="1">
      <c r="C555" s="851"/>
      <c r="D555" s="851"/>
      <c r="E555" s="851"/>
      <c r="F555" s="851"/>
      <c r="G555" s="851"/>
      <c r="H555" s="851"/>
      <c r="I555" s="851"/>
      <c r="J555" s="851"/>
      <c r="K555" s="851"/>
      <c r="L555" s="851"/>
      <c r="M555" s="851"/>
      <c r="N555" s="851"/>
    </row>
    <row r="556" spans="3:14" ht="14.25" customHeight="1">
      <c r="C556" s="851"/>
      <c r="D556" s="851"/>
      <c r="E556" s="851"/>
      <c r="F556" s="851"/>
      <c r="G556" s="851"/>
      <c r="H556" s="851"/>
      <c r="I556" s="851"/>
      <c r="J556" s="851"/>
      <c r="K556" s="851"/>
      <c r="L556" s="851"/>
      <c r="M556" s="851"/>
      <c r="N556" s="851"/>
    </row>
    <row r="557" spans="3:14" ht="14.25" customHeight="1">
      <c r="C557" s="851"/>
      <c r="D557" s="851"/>
      <c r="E557" s="851"/>
      <c r="F557" s="851"/>
      <c r="G557" s="851"/>
      <c r="H557" s="851"/>
      <c r="I557" s="851"/>
      <c r="J557" s="851"/>
      <c r="K557" s="851"/>
      <c r="L557" s="851"/>
      <c r="M557" s="851"/>
      <c r="N557" s="851"/>
    </row>
    <row r="558" spans="3:14" ht="14.25" customHeight="1">
      <c r="C558" s="851"/>
      <c r="D558" s="851"/>
      <c r="E558" s="851"/>
      <c r="F558" s="851"/>
      <c r="G558" s="851"/>
      <c r="H558" s="851"/>
      <c r="I558" s="851"/>
      <c r="J558" s="851"/>
      <c r="K558" s="851"/>
      <c r="L558" s="851"/>
      <c r="M558" s="851"/>
      <c r="N558" s="851"/>
    </row>
    <row r="559" spans="3:14" ht="14.25" customHeight="1">
      <c r="C559" s="851"/>
      <c r="D559" s="851"/>
      <c r="E559" s="851"/>
      <c r="F559" s="851"/>
      <c r="G559" s="851"/>
      <c r="H559" s="851"/>
      <c r="I559" s="851"/>
      <c r="J559" s="851"/>
      <c r="K559" s="851"/>
      <c r="L559" s="851"/>
      <c r="M559" s="851"/>
      <c r="N559" s="851"/>
    </row>
    <row r="560" spans="3:14" ht="14.25" customHeight="1">
      <c r="C560" s="851"/>
      <c r="D560" s="851"/>
      <c r="E560" s="851"/>
      <c r="F560" s="851"/>
      <c r="G560" s="851"/>
      <c r="H560" s="851"/>
      <c r="I560" s="851"/>
      <c r="J560" s="851"/>
      <c r="K560" s="851"/>
      <c r="L560" s="851"/>
      <c r="M560" s="851"/>
      <c r="N560" s="851"/>
    </row>
    <row r="561" spans="3:14" ht="14.25" customHeight="1">
      <c r="C561" s="851"/>
      <c r="D561" s="851"/>
      <c r="E561" s="851"/>
      <c r="F561" s="851"/>
      <c r="G561" s="851"/>
      <c r="H561" s="851"/>
      <c r="I561" s="851"/>
      <c r="J561" s="851"/>
      <c r="K561" s="851"/>
      <c r="L561" s="851"/>
      <c r="M561" s="851"/>
      <c r="N561" s="851"/>
    </row>
    <row r="562" spans="3:14" ht="14.25" customHeight="1">
      <c r="C562" s="851"/>
      <c r="D562" s="851"/>
      <c r="E562" s="851"/>
      <c r="F562" s="851"/>
      <c r="G562" s="851"/>
      <c r="H562" s="851"/>
      <c r="I562" s="851"/>
      <c r="J562" s="851"/>
      <c r="K562" s="851"/>
      <c r="L562" s="851"/>
      <c r="M562" s="851"/>
      <c r="N562" s="851"/>
    </row>
    <row r="563" spans="3:14" ht="14.25" customHeight="1">
      <c r="C563" s="851"/>
      <c r="D563" s="851"/>
      <c r="E563" s="851"/>
      <c r="F563" s="851"/>
      <c r="G563" s="851"/>
      <c r="H563" s="851"/>
      <c r="I563" s="851"/>
      <c r="J563" s="851"/>
      <c r="K563" s="851"/>
      <c r="L563" s="851"/>
      <c r="M563" s="851"/>
      <c r="N563" s="851"/>
    </row>
    <row r="564" spans="3:14" ht="14.25" customHeight="1">
      <c r="C564" s="851"/>
      <c r="D564" s="851"/>
      <c r="E564" s="851"/>
      <c r="F564" s="851"/>
      <c r="G564" s="851"/>
      <c r="H564" s="851"/>
      <c r="I564" s="851"/>
      <c r="J564" s="851"/>
      <c r="K564" s="851"/>
      <c r="L564" s="851"/>
      <c r="M564" s="851"/>
      <c r="N564" s="851"/>
    </row>
    <row r="565" spans="3:14" ht="14.25" customHeight="1">
      <c r="C565" s="851"/>
      <c r="D565" s="851"/>
      <c r="E565" s="851"/>
      <c r="F565" s="851"/>
      <c r="G565" s="851"/>
      <c r="H565" s="851"/>
      <c r="I565" s="851"/>
      <c r="J565" s="851"/>
      <c r="K565" s="851"/>
      <c r="L565" s="851"/>
      <c r="M565" s="851"/>
      <c r="N565" s="851"/>
    </row>
    <row r="566" spans="3:14" ht="14.25" customHeight="1">
      <c r="C566" s="851"/>
      <c r="D566" s="851"/>
      <c r="E566" s="851"/>
      <c r="F566" s="851"/>
      <c r="G566" s="851"/>
      <c r="H566" s="851"/>
      <c r="I566" s="851"/>
      <c r="J566" s="851"/>
      <c r="K566" s="851"/>
      <c r="L566" s="851"/>
      <c r="M566" s="851"/>
      <c r="N566" s="851"/>
    </row>
    <row r="567" spans="3:14" ht="14.25" customHeight="1">
      <c r="C567" s="851"/>
      <c r="D567" s="851"/>
      <c r="E567" s="851"/>
      <c r="F567" s="851"/>
      <c r="G567" s="851"/>
      <c r="H567" s="851"/>
      <c r="I567" s="851"/>
      <c r="J567" s="851"/>
      <c r="K567" s="851"/>
      <c r="L567" s="851"/>
      <c r="M567" s="851"/>
      <c r="N567" s="851"/>
    </row>
    <row r="568" spans="3:14" ht="14.25" customHeight="1">
      <c r="C568" s="851"/>
      <c r="D568" s="851"/>
      <c r="E568" s="851"/>
      <c r="F568" s="851"/>
      <c r="G568" s="851"/>
      <c r="H568" s="851"/>
      <c r="I568" s="851"/>
      <c r="J568" s="851"/>
      <c r="K568" s="851"/>
      <c r="L568" s="851"/>
      <c r="M568" s="851"/>
      <c r="N568" s="851"/>
    </row>
    <row r="569" spans="3:14" ht="14.25" customHeight="1">
      <c r="C569" s="851"/>
      <c r="D569" s="851"/>
      <c r="E569" s="851"/>
      <c r="F569" s="851"/>
      <c r="G569" s="851"/>
      <c r="H569" s="851"/>
      <c r="I569" s="851"/>
      <c r="J569" s="851"/>
      <c r="K569" s="851"/>
      <c r="L569" s="851"/>
      <c r="M569" s="851"/>
      <c r="N569" s="851"/>
    </row>
    <row r="570" spans="3:14" ht="14.25" customHeight="1">
      <c r="C570" s="851"/>
      <c r="D570" s="851"/>
      <c r="E570" s="851"/>
      <c r="F570" s="851"/>
      <c r="G570" s="851"/>
      <c r="H570" s="851"/>
      <c r="I570" s="851"/>
      <c r="J570" s="851"/>
      <c r="K570" s="851"/>
      <c r="L570" s="851"/>
      <c r="M570" s="851"/>
      <c r="N570" s="851"/>
    </row>
    <row r="571" spans="3:14" ht="14.25" customHeight="1">
      <c r="C571" s="851"/>
      <c r="D571" s="851"/>
      <c r="E571" s="851"/>
      <c r="F571" s="851"/>
      <c r="G571" s="851"/>
      <c r="H571" s="851"/>
      <c r="I571" s="851"/>
      <c r="J571" s="851"/>
      <c r="K571" s="851"/>
      <c r="L571" s="851"/>
      <c r="M571" s="851"/>
      <c r="N571" s="851"/>
    </row>
    <row r="572" spans="3:14" ht="14.25" customHeight="1">
      <c r="C572" s="851"/>
      <c r="D572" s="851"/>
      <c r="E572" s="851"/>
      <c r="F572" s="851"/>
      <c r="G572" s="851"/>
      <c r="H572" s="851"/>
      <c r="I572" s="851"/>
      <c r="J572" s="851"/>
      <c r="K572" s="851"/>
      <c r="L572" s="851"/>
      <c r="M572" s="851"/>
      <c r="N572" s="851"/>
    </row>
    <row r="573" spans="3:14" ht="14.25" customHeight="1">
      <c r="C573" s="851"/>
      <c r="D573" s="851"/>
      <c r="E573" s="851"/>
      <c r="F573" s="851"/>
      <c r="G573" s="851"/>
      <c r="H573" s="851"/>
      <c r="I573" s="851"/>
      <c r="J573" s="851"/>
      <c r="K573" s="851"/>
      <c r="L573" s="851"/>
      <c r="M573" s="851"/>
      <c r="N573" s="851"/>
    </row>
    <row r="574" spans="3:14" ht="14.25" customHeight="1">
      <c r="C574" s="851"/>
      <c r="D574" s="851"/>
      <c r="E574" s="851"/>
      <c r="F574" s="851"/>
      <c r="G574" s="851"/>
      <c r="H574" s="851"/>
      <c r="I574" s="851"/>
      <c r="J574" s="851"/>
      <c r="K574" s="851"/>
      <c r="L574" s="851"/>
      <c r="M574" s="851"/>
      <c r="N574" s="851"/>
    </row>
    <row r="575" spans="3:14" ht="14.25" customHeight="1">
      <c r="C575" s="851"/>
      <c r="D575" s="851"/>
      <c r="E575" s="851"/>
      <c r="F575" s="851"/>
      <c r="G575" s="851"/>
      <c r="H575" s="851"/>
      <c r="I575" s="851"/>
      <c r="J575" s="851"/>
      <c r="K575" s="851"/>
      <c r="L575" s="851"/>
      <c r="M575" s="851"/>
      <c r="N575" s="851"/>
    </row>
    <row r="576" spans="3:14" ht="14.25" customHeight="1">
      <c r="C576" s="851"/>
      <c r="D576" s="851"/>
      <c r="E576" s="851"/>
      <c r="F576" s="851"/>
      <c r="G576" s="851"/>
      <c r="H576" s="851"/>
      <c r="I576" s="851"/>
      <c r="J576" s="851"/>
      <c r="K576" s="851"/>
      <c r="L576" s="851"/>
      <c r="M576" s="851"/>
      <c r="N576" s="851"/>
    </row>
    <row r="577" spans="3:14" ht="14.25" customHeight="1">
      <c r="C577" s="851"/>
      <c r="D577" s="851"/>
      <c r="E577" s="851"/>
      <c r="F577" s="851"/>
      <c r="G577" s="851"/>
      <c r="H577" s="851"/>
      <c r="I577" s="851"/>
      <c r="J577" s="851"/>
      <c r="K577" s="851"/>
      <c r="L577" s="851"/>
      <c r="M577" s="851"/>
      <c r="N577" s="851"/>
    </row>
    <row r="578" spans="3:14" ht="14.25" customHeight="1">
      <c r="C578" s="851"/>
      <c r="D578" s="851"/>
      <c r="E578" s="851"/>
      <c r="F578" s="851"/>
      <c r="G578" s="851"/>
      <c r="H578" s="851"/>
      <c r="I578" s="851"/>
      <c r="J578" s="851"/>
      <c r="K578" s="851"/>
      <c r="L578" s="851"/>
      <c r="M578" s="851"/>
      <c r="N578" s="851"/>
    </row>
    <row r="579" spans="3:14" ht="14.25" customHeight="1">
      <c r="C579" s="851"/>
      <c r="D579" s="851"/>
      <c r="E579" s="851"/>
      <c r="F579" s="851"/>
      <c r="G579" s="851"/>
      <c r="H579" s="851"/>
      <c r="I579" s="851"/>
      <c r="J579" s="851"/>
      <c r="K579" s="851"/>
      <c r="L579" s="851"/>
      <c r="M579" s="851"/>
      <c r="N579" s="851"/>
    </row>
    <row r="580" spans="3:14" ht="14.25" customHeight="1">
      <c r="C580" s="851"/>
      <c r="D580" s="851"/>
      <c r="E580" s="851"/>
      <c r="F580" s="851"/>
      <c r="G580" s="851"/>
      <c r="H580" s="851"/>
      <c r="I580" s="851"/>
      <c r="J580" s="851"/>
      <c r="K580" s="851"/>
      <c r="L580" s="851"/>
      <c r="M580" s="851"/>
      <c r="N580" s="851"/>
    </row>
    <row r="581" spans="3:14" ht="14.25" customHeight="1">
      <c r="C581" s="851"/>
      <c r="D581" s="851"/>
      <c r="E581" s="851"/>
      <c r="F581" s="851"/>
      <c r="G581" s="851"/>
      <c r="H581" s="851"/>
      <c r="I581" s="851"/>
      <c r="J581" s="851"/>
      <c r="K581" s="851"/>
      <c r="L581" s="851"/>
      <c r="M581" s="851"/>
      <c r="N581" s="851"/>
    </row>
    <row r="582" spans="3:14" ht="14.25" customHeight="1">
      <c r="C582" s="851"/>
      <c r="D582" s="851"/>
      <c r="E582" s="851"/>
      <c r="F582" s="851"/>
      <c r="G582" s="851"/>
      <c r="H582" s="851"/>
      <c r="I582" s="851"/>
      <c r="J582" s="851"/>
      <c r="K582" s="851"/>
      <c r="L582" s="851"/>
      <c r="M582" s="851"/>
      <c r="N582" s="851"/>
    </row>
    <row r="583" spans="3:14" ht="14.25" customHeight="1">
      <c r="C583" s="851"/>
      <c r="D583" s="851"/>
      <c r="E583" s="851"/>
      <c r="F583" s="851"/>
      <c r="G583" s="851"/>
      <c r="H583" s="851"/>
      <c r="I583" s="851"/>
      <c r="J583" s="851"/>
      <c r="K583" s="851"/>
      <c r="L583" s="851"/>
      <c r="M583" s="851"/>
      <c r="N583" s="851"/>
    </row>
    <row r="584" spans="3:14" ht="14.25" customHeight="1">
      <c r="C584" s="851"/>
      <c r="D584" s="851"/>
      <c r="E584" s="851"/>
      <c r="F584" s="851"/>
      <c r="G584" s="851"/>
      <c r="H584" s="851"/>
      <c r="I584" s="851"/>
      <c r="J584" s="851"/>
      <c r="K584" s="851"/>
      <c r="L584" s="851"/>
      <c r="M584" s="851"/>
      <c r="N584" s="851"/>
    </row>
    <row r="585" spans="3:14" ht="14.25" customHeight="1">
      <c r="C585" s="851"/>
      <c r="D585" s="851"/>
      <c r="E585" s="851"/>
      <c r="F585" s="851"/>
      <c r="G585" s="851"/>
      <c r="H585" s="851"/>
      <c r="I585" s="851"/>
      <c r="J585" s="851"/>
      <c r="K585" s="851"/>
      <c r="L585" s="851"/>
      <c r="M585" s="851"/>
      <c r="N585" s="851"/>
    </row>
    <row r="586" spans="3:14" ht="14.25" customHeight="1">
      <c r="C586" s="851"/>
      <c r="D586" s="851"/>
      <c r="E586" s="851"/>
      <c r="F586" s="851"/>
      <c r="G586" s="851"/>
      <c r="H586" s="851"/>
      <c r="I586" s="851"/>
      <c r="J586" s="851"/>
      <c r="K586" s="851"/>
      <c r="L586" s="851"/>
      <c r="M586" s="851"/>
      <c r="N586" s="851"/>
    </row>
    <row r="587" spans="3:14" ht="14.25" customHeight="1">
      <c r="C587" s="851"/>
      <c r="D587" s="851"/>
      <c r="E587" s="851"/>
      <c r="F587" s="851"/>
      <c r="G587" s="851"/>
      <c r="H587" s="851"/>
      <c r="I587" s="851"/>
      <c r="J587" s="851"/>
      <c r="K587" s="851"/>
      <c r="L587" s="851"/>
      <c r="M587" s="851"/>
      <c r="N587" s="851"/>
    </row>
    <row r="588" spans="3:14" ht="14.25" customHeight="1">
      <c r="C588" s="851"/>
      <c r="D588" s="851"/>
      <c r="E588" s="851"/>
      <c r="F588" s="851"/>
      <c r="G588" s="851"/>
      <c r="H588" s="851"/>
      <c r="I588" s="851"/>
      <c r="J588" s="851"/>
      <c r="K588" s="851"/>
      <c r="L588" s="851"/>
      <c r="M588" s="851"/>
      <c r="N588" s="851"/>
    </row>
    <row r="589" spans="3:14" ht="14.25" customHeight="1">
      <c r="C589" s="851"/>
      <c r="D589" s="851"/>
      <c r="E589" s="851"/>
      <c r="F589" s="851"/>
      <c r="G589" s="851"/>
      <c r="H589" s="851"/>
      <c r="I589" s="851"/>
      <c r="J589" s="851"/>
      <c r="K589" s="851"/>
      <c r="L589" s="851"/>
      <c r="M589" s="851"/>
      <c r="N589" s="851"/>
    </row>
    <row r="590" spans="3:14" ht="14.25" customHeight="1">
      <c r="C590" s="851"/>
      <c r="D590" s="851"/>
      <c r="E590" s="851"/>
      <c r="F590" s="851"/>
      <c r="G590" s="851"/>
      <c r="H590" s="851"/>
      <c r="I590" s="851"/>
      <c r="J590" s="851"/>
      <c r="K590" s="851"/>
      <c r="L590" s="851"/>
      <c r="M590" s="851"/>
      <c r="N590" s="851"/>
    </row>
    <row r="591" spans="3:14" ht="14.25" customHeight="1">
      <c r="C591" s="851"/>
      <c r="D591" s="851"/>
      <c r="E591" s="851"/>
      <c r="F591" s="851"/>
      <c r="G591" s="851"/>
      <c r="H591" s="851"/>
      <c r="I591" s="851"/>
      <c r="J591" s="851"/>
      <c r="K591" s="851"/>
      <c r="L591" s="851"/>
      <c r="M591" s="851"/>
      <c r="N591" s="851"/>
    </row>
    <row r="592" spans="3:14" ht="14.25" customHeight="1">
      <c r="C592" s="851"/>
      <c r="D592" s="851"/>
      <c r="E592" s="851"/>
      <c r="F592" s="851"/>
      <c r="G592" s="851"/>
      <c r="H592" s="851"/>
      <c r="I592" s="851"/>
      <c r="J592" s="851"/>
      <c r="K592" s="851"/>
      <c r="L592" s="851"/>
      <c r="M592" s="851"/>
      <c r="N592" s="851"/>
    </row>
    <row r="593" spans="3:14" ht="14.25" customHeight="1">
      <c r="C593" s="851"/>
      <c r="D593" s="851"/>
      <c r="E593" s="851"/>
      <c r="F593" s="851"/>
      <c r="G593" s="851"/>
      <c r="H593" s="851"/>
      <c r="I593" s="851"/>
      <c r="J593" s="851"/>
      <c r="K593" s="851"/>
      <c r="L593" s="851"/>
      <c r="M593" s="851"/>
      <c r="N593" s="851"/>
    </row>
    <row r="594" spans="3:14" ht="14.25" customHeight="1">
      <c r="C594" s="851"/>
      <c r="D594" s="851"/>
      <c r="E594" s="851"/>
      <c r="F594" s="851"/>
      <c r="G594" s="851"/>
      <c r="H594" s="851"/>
      <c r="I594" s="851"/>
      <c r="J594" s="851"/>
      <c r="K594" s="851"/>
      <c r="L594" s="851"/>
      <c r="M594" s="851"/>
      <c r="N594" s="851"/>
    </row>
    <row r="595" spans="3:14" ht="14.25" customHeight="1">
      <c r="C595" s="851"/>
      <c r="D595" s="851"/>
      <c r="E595" s="851"/>
      <c r="F595" s="851"/>
      <c r="G595" s="851"/>
      <c r="H595" s="851"/>
      <c r="I595" s="851"/>
      <c r="J595" s="851"/>
      <c r="K595" s="851"/>
      <c r="L595" s="851"/>
      <c r="M595" s="851"/>
      <c r="N595" s="851"/>
    </row>
    <row r="596" spans="3:14" ht="14.25" customHeight="1">
      <c r="C596" s="851"/>
      <c r="D596" s="851"/>
      <c r="E596" s="851"/>
      <c r="F596" s="851"/>
      <c r="G596" s="851"/>
      <c r="H596" s="851"/>
      <c r="I596" s="851"/>
      <c r="J596" s="851"/>
      <c r="K596" s="851"/>
      <c r="L596" s="851"/>
      <c r="M596" s="851"/>
      <c r="N596" s="851"/>
    </row>
    <row r="597" spans="3:14" ht="14.25" customHeight="1">
      <c r="C597" s="851"/>
      <c r="D597" s="851"/>
      <c r="E597" s="851"/>
      <c r="F597" s="851"/>
      <c r="G597" s="851"/>
      <c r="H597" s="851"/>
      <c r="I597" s="851"/>
      <c r="J597" s="851"/>
      <c r="K597" s="851"/>
      <c r="L597" s="851"/>
      <c r="M597" s="851"/>
      <c r="N597" s="851"/>
    </row>
    <row r="598" spans="3:14" ht="14.25" customHeight="1">
      <c r="C598" s="851"/>
      <c r="D598" s="851"/>
      <c r="E598" s="851"/>
      <c r="F598" s="851"/>
      <c r="G598" s="851"/>
      <c r="H598" s="851"/>
      <c r="I598" s="851"/>
      <c r="J598" s="851"/>
      <c r="K598" s="851"/>
      <c r="L598" s="851"/>
      <c r="M598" s="851"/>
      <c r="N598" s="851"/>
    </row>
    <row r="599" spans="3:14" ht="14.25" customHeight="1">
      <c r="C599" s="851"/>
      <c r="D599" s="851"/>
      <c r="E599" s="851"/>
      <c r="F599" s="851"/>
      <c r="G599" s="851"/>
      <c r="H599" s="851"/>
      <c r="I599" s="851"/>
      <c r="J599" s="851"/>
      <c r="K599" s="851"/>
      <c r="L599" s="851"/>
      <c r="M599" s="851"/>
      <c r="N599" s="851"/>
    </row>
    <row r="600" spans="3:14" ht="14.25" customHeight="1">
      <c r="C600" s="851"/>
      <c r="D600" s="851"/>
      <c r="E600" s="851"/>
      <c r="F600" s="851"/>
      <c r="G600" s="851"/>
      <c r="H600" s="851"/>
      <c r="I600" s="851"/>
      <c r="J600" s="851"/>
      <c r="K600" s="851"/>
      <c r="L600" s="851"/>
      <c r="M600" s="851"/>
      <c r="N600" s="851"/>
    </row>
    <row r="601" spans="3:14" ht="14.25" customHeight="1">
      <c r="C601" s="851"/>
      <c r="D601" s="851"/>
      <c r="E601" s="851"/>
      <c r="F601" s="851"/>
      <c r="G601" s="851"/>
      <c r="H601" s="851"/>
      <c r="I601" s="851"/>
      <c r="J601" s="851"/>
      <c r="K601" s="851"/>
      <c r="L601" s="851"/>
      <c r="M601" s="851"/>
      <c r="N601" s="851"/>
    </row>
    <row r="602" spans="3:14" ht="14.25" customHeight="1">
      <c r="C602" s="851"/>
      <c r="D602" s="851"/>
      <c r="E602" s="851"/>
      <c r="F602" s="851"/>
      <c r="G602" s="851"/>
      <c r="H602" s="851"/>
      <c r="I602" s="851"/>
      <c r="J602" s="851"/>
      <c r="K602" s="851"/>
      <c r="L602" s="851"/>
      <c r="M602" s="851"/>
      <c r="N602" s="851"/>
    </row>
    <row r="603" spans="3:14" ht="14.25" customHeight="1">
      <c r="C603" s="851"/>
      <c r="D603" s="851"/>
      <c r="E603" s="851"/>
      <c r="F603" s="851"/>
      <c r="G603" s="851"/>
      <c r="H603" s="851"/>
      <c r="I603" s="851"/>
      <c r="J603" s="851"/>
      <c r="K603" s="851"/>
      <c r="L603" s="851"/>
      <c r="M603" s="851"/>
      <c r="N603" s="851"/>
    </row>
    <row r="604" spans="3:14" ht="14.25" customHeight="1">
      <c r="C604" s="851"/>
      <c r="D604" s="851"/>
      <c r="E604" s="851"/>
      <c r="F604" s="851"/>
      <c r="G604" s="851"/>
      <c r="H604" s="851"/>
      <c r="I604" s="851"/>
      <c r="J604" s="851"/>
      <c r="K604" s="851"/>
      <c r="L604" s="851"/>
      <c r="M604" s="851"/>
      <c r="N604" s="851"/>
    </row>
    <row r="605" spans="3:14" ht="14.25" customHeight="1">
      <c r="C605" s="851"/>
      <c r="D605" s="851"/>
      <c r="E605" s="851"/>
      <c r="F605" s="851"/>
      <c r="G605" s="851"/>
      <c r="H605" s="851"/>
      <c r="I605" s="851"/>
      <c r="J605" s="851"/>
      <c r="K605" s="851"/>
      <c r="L605" s="851"/>
      <c r="M605" s="851"/>
      <c r="N605" s="851"/>
    </row>
    <row r="606" spans="3:14" ht="14.25" customHeight="1">
      <c r="C606" s="851"/>
      <c r="D606" s="851"/>
      <c r="E606" s="851"/>
      <c r="F606" s="851"/>
      <c r="G606" s="851"/>
      <c r="H606" s="851"/>
      <c r="I606" s="851"/>
      <c r="J606" s="851"/>
      <c r="K606" s="851"/>
      <c r="L606" s="851"/>
      <c r="M606" s="851"/>
      <c r="N606" s="851"/>
    </row>
    <row r="607" spans="3:14" ht="14.25" customHeight="1">
      <c r="C607" s="851"/>
      <c r="D607" s="851"/>
      <c r="E607" s="851"/>
      <c r="F607" s="851"/>
      <c r="G607" s="851"/>
      <c r="H607" s="851"/>
      <c r="I607" s="851"/>
      <c r="J607" s="851"/>
      <c r="K607" s="851"/>
      <c r="L607" s="851"/>
      <c r="M607" s="851"/>
      <c r="N607" s="851"/>
    </row>
    <row r="608" spans="3:14" ht="14.25" customHeight="1">
      <c r="C608" s="851"/>
      <c r="D608" s="851"/>
      <c r="E608" s="851"/>
      <c r="F608" s="851"/>
      <c r="G608" s="851"/>
      <c r="H608" s="851"/>
      <c r="I608" s="851"/>
      <c r="J608" s="851"/>
      <c r="K608" s="851"/>
      <c r="L608" s="851"/>
      <c r="M608" s="851"/>
      <c r="N608" s="851"/>
    </row>
    <row r="609" spans="3:14" ht="14.25" customHeight="1">
      <c r="C609" s="851"/>
      <c r="D609" s="851"/>
      <c r="E609" s="851"/>
      <c r="F609" s="851"/>
      <c r="G609" s="851"/>
      <c r="H609" s="851"/>
      <c r="I609" s="851"/>
      <c r="J609" s="851"/>
      <c r="K609" s="851"/>
      <c r="L609" s="851"/>
      <c r="M609" s="851"/>
      <c r="N609" s="851"/>
    </row>
    <row r="610" spans="3:14" ht="14.25" customHeight="1">
      <c r="C610" s="851"/>
      <c r="D610" s="851"/>
      <c r="E610" s="851"/>
      <c r="F610" s="851"/>
      <c r="G610" s="851"/>
      <c r="H610" s="851"/>
      <c r="I610" s="851"/>
      <c r="J610" s="851"/>
      <c r="K610" s="851"/>
      <c r="L610" s="851"/>
      <c r="M610" s="851"/>
      <c r="N610" s="851"/>
    </row>
    <row r="611" spans="3:14" ht="14.25" customHeight="1">
      <c r="C611" s="851"/>
      <c r="D611" s="851"/>
      <c r="E611" s="851"/>
      <c r="F611" s="851"/>
      <c r="G611" s="851"/>
      <c r="H611" s="851"/>
      <c r="I611" s="851"/>
      <c r="J611" s="851"/>
      <c r="K611" s="851"/>
      <c r="L611" s="851"/>
      <c r="M611" s="851"/>
      <c r="N611" s="851"/>
    </row>
    <row r="612" spans="3:14" ht="14.25" customHeight="1">
      <c r="C612" s="851"/>
      <c r="D612" s="851"/>
      <c r="E612" s="851"/>
      <c r="F612" s="851"/>
      <c r="G612" s="851"/>
      <c r="H612" s="851"/>
      <c r="I612" s="851"/>
      <c r="J612" s="851"/>
      <c r="K612" s="851"/>
      <c r="L612" s="851"/>
      <c r="M612" s="851"/>
      <c r="N612" s="851"/>
    </row>
    <row r="613" spans="3:14" ht="14.25" customHeight="1">
      <c r="C613" s="851"/>
      <c r="D613" s="851"/>
      <c r="E613" s="851"/>
      <c r="F613" s="851"/>
      <c r="G613" s="851"/>
      <c r="H613" s="851"/>
      <c r="I613" s="851"/>
      <c r="J613" s="851"/>
      <c r="K613" s="851"/>
      <c r="L613" s="851"/>
      <c r="M613" s="851"/>
      <c r="N613" s="851"/>
    </row>
    <row r="614" spans="3:14" ht="14.25" customHeight="1">
      <c r="C614" s="851"/>
      <c r="D614" s="851"/>
      <c r="E614" s="851"/>
      <c r="F614" s="851"/>
      <c r="G614" s="851"/>
      <c r="H614" s="851"/>
      <c r="I614" s="851"/>
      <c r="J614" s="851"/>
      <c r="K614" s="851"/>
      <c r="L614" s="851"/>
      <c r="M614" s="851"/>
      <c r="N614" s="851"/>
    </row>
    <row r="615" spans="3:14" ht="14.25" customHeight="1">
      <c r="C615" s="851"/>
      <c r="D615" s="851"/>
      <c r="E615" s="851"/>
      <c r="F615" s="851"/>
      <c r="G615" s="851"/>
      <c r="H615" s="851"/>
      <c r="I615" s="851"/>
      <c r="J615" s="851"/>
      <c r="K615" s="851"/>
      <c r="L615" s="851"/>
      <c r="M615" s="851"/>
      <c r="N615" s="851"/>
    </row>
    <row r="616" spans="3:14" ht="14.25" customHeight="1">
      <c r="C616" s="851"/>
      <c r="D616" s="851"/>
      <c r="E616" s="851"/>
      <c r="F616" s="851"/>
      <c r="G616" s="851"/>
      <c r="H616" s="851"/>
      <c r="I616" s="851"/>
      <c r="J616" s="851"/>
      <c r="K616" s="851"/>
      <c r="L616" s="851"/>
      <c r="M616" s="851"/>
      <c r="N616" s="851"/>
    </row>
    <row r="617" spans="3:14" ht="14.25" customHeight="1">
      <c r="C617" s="851"/>
      <c r="D617" s="851"/>
      <c r="E617" s="851"/>
      <c r="F617" s="851"/>
      <c r="G617" s="851"/>
      <c r="H617" s="851"/>
      <c r="I617" s="851"/>
      <c r="J617" s="851"/>
      <c r="K617" s="851"/>
      <c r="L617" s="851"/>
      <c r="M617" s="851"/>
      <c r="N617" s="851"/>
    </row>
    <row r="618" spans="3:14" ht="14.25" customHeight="1">
      <c r="C618" s="851"/>
      <c r="D618" s="851"/>
      <c r="E618" s="851"/>
      <c r="F618" s="851"/>
      <c r="G618" s="851"/>
      <c r="H618" s="851"/>
      <c r="I618" s="851"/>
      <c r="J618" s="851"/>
      <c r="K618" s="851"/>
      <c r="L618" s="851"/>
      <c r="M618" s="851"/>
      <c r="N618" s="851"/>
    </row>
    <row r="619" spans="3:14" ht="14.25" customHeight="1">
      <c r="C619" s="851"/>
      <c r="D619" s="851"/>
      <c r="E619" s="851"/>
      <c r="F619" s="851"/>
      <c r="G619" s="851"/>
      <c r="H619" s="851"/>
      <c r="I619" s="851"/>
      <c r="J619" s="851"/>
      <c r="K619" s="851"/>
      <c r="L619" s="851"/>
      <c r="M619" s="851"/>
      <c r="N619" s="851"/>
    </row>
    <row r="620" spans="3:14" ht="14.25" customHeight="1">
      <c r="C620" s="851"/>
      <c r="D620" s="851"/>
      <c r="E620" s="851"/>
      <c r="F620" s="851"/>
      <c r="G620" s="851"/>
      <c r="H620" s="851"/>
      <c r="I620" s="851"/>
      <c r="J620" s="851"/>
      <c r="K620" s="851"/>
      <c r="L620" s="851"/>
      <c r="M620" s="851"/>
      <c r="N620" s="851"/>
    </row>
    <row r="621" spans="3:14" ht="14.25" customHeight="1">
      <c r="C621" s="851"/>
      <c r="D621" s="851"/>
      <c r="E621" s="851"/>
      <c r="F621" s="851"/>
      <c r="G621" s="851"/>
      <c r="H621" s="851"/>
      <c r="I621" s="851"/>
      <c r="J621" s="851"/>
      <c r="K621" s="851"/>
      <c r="L621" s="851"/>
      <c r="M621" s="851"/>
      <c r="N621" s="851"/>
    </row>
    <row r="622" spans="3:14" ht="14.25" customHeight="1">
      <c r="C622" s="851"/>
      <c r="D622" s="851"/>
      <c r="E622" s="851"/>
      <c r="F622" s="851"/>
      <c r="G622" s="851"/>
      <c r="H622" s="851"/>
      <c r="I622" s="851"/>
      <c r="J622" s="851"/>
      <c r="K622" s="851"/>
      <c r="L622" s="851"/>
      <c r="M622" s="851"/>
      <c r="N622" s="851"/>
    </row>
    <row r="623" spans="3:14" ht="14.25" customHeight="1">
      <c r="C623" s="851"/>
      <c r="D623" s="851"/>
      <c r="E623" s="851"/>
      <c r="F623" s="851"/>
      <c r="G623" s="851"/>
      <c r="H623" s="851"/>
      <c r="I623" s="851"/>
      <c r="J623" s="851"/>
      <c r="K623" s="851"/>
      <c r="L623" s="851"/>
      <c r="M623" s="851"/>
      <c r="N623" s="851"/>
    </row>
    <row r="624" spans="3:14" ht="14.25" customHeight="1">
      <c r="C624" s="851"/>
      <c r="D624" s="851"/>
      <c r="E624" s="851"/>
      <c r="F624" s="851"/>
      <c r="G624" s="851"/>
      <c r="H624" s="851"/>
      <c r="I624" s="851"/>
      <c r="J624" s="851"/>
      <c r="K624" s="851"/>
      <c r="L624" s="851"/>
      <c r="M624" s="851"/>
      <c r="N624" s="851"/>
    </row>
    <row r="625" spans="3:14" ht="14.25" customHeight="1">
      <c r="C625" s="851"/>
      <c r="D625" s="851"/>
      <c r="E625" s="851"/>
      <c r="F625" s="851"/>
      <c r="G625" s="851"/>
      <c r="H625" s="851"/>
      <c r="I625" s="851"/>
      <c r="J625" s="851"/>
      <c r="K625" s="851"/>
      <c r="L625" s="851"/>
      <c r="M625" s="851"/>
      <c r="N625" s="851"/>
    </row>
    <row r="626" spans="3:14" ht="14.25" customHeight="1">
      <c r="C626" s="851"/>
      <c r="D626" s="851"/>
      <c r="E626" s="851"/>
      <c r="F626" s="851"/>
      <c r="G626" s="851"/>
      <c r="H626" s="851"/>
      <c r="I626" s="851"/>
      <c r="J626" s="851"/>
      <c r="K626" s="851"/>
      <c r="L626" s="851"/>
      <c r="M626" s="851"/>
      <c r="N626" s="851"/>
    </row>
    <row r="627" spans="3:14" ht="14.25" customHeight="1">
      <c r="C627" s="851"/>
      <c r="D627" s="851"/>
      <c r="E627" s="851"/>
      <c r="F627" s="851"/>
      <c r="G627" s="851"/>
      <c r="H627" s="851"/>
      <c r="I627" s="851"/>
      <c r="J627" s="851"/>
      <c r="K627" s="851"/>
      <c r="L627" s="851"/>
      <c r="M627" s="851"/>
      <c r="N627" s="851"/>
    </row>
    <row r="628" spans="3:14" ht="14.25" customHeight="1">
      <c r="C628" s="851"/>
      <c r="D628" s="851"/>
      <c r="E628" s="851"/>
      <c r="F628" s="851"/>
      <c r="G628" s="851"/>
      <c r="H628" s="851"/>
      <c r="I628" s="851"/>
      <c r="J628" s="851"/>
      <c r="K628" s="851"/>
      <c r="L628" s="851"/>
      <c r="M628" s="851"/>
      <c r="N628" s="851"/>
    </row>
    <row r="629" spans="3:14" ht="14.25" customHeight="1">
      <c r="C629" s="851"/>
      <c r="D629" s="851"/>
      <c r="E629" s="851"/>
      <c r="F629" s="851"/>
      <c r="G629" s="851"/>
      <c r="H629" s="851"/>
      <c r="I629" s="851"/>
      <c r="J629" s="851"/>
      <c r="K629" s="851"/>
      <c r="L629" s="851"/>
      <c r="M629" s="851"/>
      <c r="N629" s="851"/>
    </row>
    <row r="630" spans="3:14" ht="14.25" customHeight="1">
      <c r="C630" s="851"/>
      <c r="D630" s="851"/>
      <c r="E630" s="851"/>
      <c r="F630" s="851"/>
      <c r="G630" s="851"/>
      <c r="H630" s="851"/>
      <c r="I630" s="851"/>
      <c r="J630" s="851"/>
      <c r="K630" s="851"/>
      <c r="L630" s="851"/>
      <c r="M630" s="851"/>
      <c r="N630" s="851"/>
    </row>
    <row r="631" spans="3:14" ht="14.25" customHeight="1">
      <c r="C631" s="851"/>
      <c r="D631" s="851"/>
      <c r="E631" s="851"/>
      <c r="F631" s="851"/>
      <c r="G631" s="851"/>
      <c r="H631" s="851"/>
      <c r="I631" s="851"/>
      <c r="J631" s="851"/>
      <c r="K631" s="851"/>
      <c r="L631" s="851"/>
      <c r="M631" s="851"/>
      <c r="N631" s="851"/>
    </row>
    <row r="632" spans="3:14" ht="14.25" customHeight="1">
      <c r="C632" s="851"/>
      <c r="D632" s="851"/>
      <c r="E632" s="851"/>
      <c r="F632" s="851"/>
      <c r="G632" s="851"/>
      <c r="H632" s="851"/>
      <c r="I632" s="851"/>
      <c r="J632" s="851"/>
      <c r="K632" s="851"/>
      <c r="L632" s="851"/>
      <c r="M632" s="851"/>
      <c r="N632" s="851"/>
    </row>
    <row r="633" spans="3:14" ht="14.25" customHeight="1">
      <c r="C633" s="851"/>
      <c r="D633" s="851"/>
      <c r="E633" s="851"/>
      <c r="F633" s="851"/>
      <c r="G633" s="851"/>
      <c r="H633" s="851"/>
      <c r="I633" s="851"/>
      <c r="J633" s="851"/>
      <c r="K633" s="851"/>
      <c r="L633" s="851"/>
      <c r="M633" s="851"/>
      <c r="N633" s="851"/>
    </row>
    <row r="634" spans="3:14" ht="14.25" customHeight="1">
      <c r="C634" s="851"/>
      <c r="D634" s="851"/>
      <c r="E634" s="851"/>
      <c r="F634" s="851"/>
      <c r="G634" s="851"/>
      <c r="H634" s="851"/>
      <c r="I634" s="851"/>
      <c r="J634" s="851"/>
      <c r="K634" s="851"/>
      <c r="L634" s="851"/>
      <c r="M634" s="851"/>
      <c r="N634" s="851"/>
    </row>
    <row r="635" spans="3:14" ht="14.25" customHeight="1">
      <c r="C635" s="851"/>
      <c r="D635" s="851"/>
      <c r="E635" s="851"/>
      <c r="F635" s="851"/>
      <c r="G635" s="851"/>
      <c r="H635" s="851"/>
      <c r="I635" s="851"/>
      <c r="J635" s="851"/>
      <c r="K635" s="851"/>
      <c r="L635" s="851"/>
      <c r="M635" s="851"/>
      <c r="N635" s="851"/>
    </row>
    <row r="636" spans="3:14" ht="14.25" customHeight="1">
      <c r="C636" s="851"/>
      <c r="D636" s="851"/>
      <c r="E636" s="851"/>
      <c r="F636" s="851"/>
      <c r="G636" s="851"/>
      <c r="H636" s="851"/>
      <c r="I636" s="851"/>
      <c r="J636" s="851"/>
      <c r="K636" s="851"/>
      <c r="L636" s="851"/>
      <c r="M636" s="851"/>
      <c r="N636" s="851"/>
    </row>
    <row r="637" spans="3:14" ht="14.25" customHeight="1">
      <c r="C637" s="851"/>
      <c r="D637" s="851"/>
      <c r="E637" s="851"/>
      <c r="F637" s="851"/>
      <c r="G637" s="851"/>
      <c r="H637" s="851"/>
      <c r="I637" s="851"/>
      <c r="J637" s="851"/>
      <c r="K637" s="851"/>
      <c r="L637" s="851"/>
      <c r="M637" s="851"/>
      <c r="N637" s="851"/>
    </row>
    <row r="638" spans="3:14" ht="14.25" customHeight="1">
      <c r="C638" s="851"/>
      <c r="D638" s="851"/>
      <c r="E638" s="851"/>
      <c r="F638" s="851"/>
      <c r="G638" s="851"/>
      <c r="H638" s="851"/>
      <c r="I638" s="851"/>
      <c r="J638" s="851"/>
      <c r="K638" s="851"/>
      <c r="L638" s="851"/>
      <c r="M638" s="851"/>
      <c r="N638" s="851"/>
    </row>
    <row r="639" spans="3:14" ht="14.25" customHeight="1">
      <c r="C639" s="851"/>
      <c r="D639" s="851"/>
      <c r="E639" s="851"/>
      <c r="F639" s="851"/>
      <c r="G639" s="851"/>
      <c r="H639" s="851"/>
      <c r="I639" s="851"/>
      <c r="J639" s="851"/>
      <c r="K639" s="851"/>
      <c r="L639" s="851"/>
      <c r="M639" s="851"/>
      <c r="N639" s="851"/>
    </row>
    <row r="640" spans="3:14" ht="14.25" customHeight="1">
      <c r="C640" s="851"/>
      <c r="D640" s="851"/>
      <c r="E640" s="851"/>
      <c r="F640" s="851"/>
      <c r="G640" s="851"/>
      <c r="H640" s="851"/>
      <c r="I640" s="851"/>
      <c r="J640" s="851"/>
      <c r="K640" s="851"/>
      <c r="L640" s="851"/>
      <c r="M640" s="851"/>
      <c r="N640" s="851"/>
    </row>
    <row r="641" spans="3:14" ht="14.25" customHeight="1">
      <c r="C641" s="851"/>
      <c r="D641" s="851"/>
      <c r="E641" s="851"/>
      <c r="F641" s="851"/>
      <c r="G641" s="851"/>
      <c r="H641" s="851"/>
      <c r="I641" s="851"/>
      <c r="J641" s="851"/>
      <c r="K641" s="851"/>
      <c r="L641" s="851"/>
      <c r="M641" s="851"/>
      <c r="N641" s="851"/>
    </row>
    <row r="642" spans="3:14" ht="14.25" customHeight="1">
      <c r="C642" s="851"/>
      <c r="D642" s="851"/>
      <c r="E642" s="851"/>
      <c r="F642" s="851"/>
      <c r="G642" s="851"/>
      <c r="H642" s="851"/>
      <c r="I642" s="851"/>
      <c r="J642" s="851"/>
      <c r="K642" s="851"/>
      <c r="L642" s="851"/>
      <c r="M642" s="851"/>
      <c r="N642" s="851"/>
    </row>
    <row r="643" spans="3:14" ht="14.25" customHeight="1">
      <c r="C643" s="851"/>
      <c r="D643" s="851"/>
      <c r="E643" s="851"/>
      <c r="F643" s="851"/>
      <c r="G643" s="851"/>
      <c r="H643" s="851"/>
      <c r="I643" s="851"/>
      <c r="J643" s="851"/>
      <c r="K643" s="851"/>
      <c r="L643" s="851"/>
      <c r="M643" s="851"/>
      <c r="N643" s="851"/>
    </row>
    <row r="644" spans="3:14" ht="14.25" customHeight="1">
      <c r="C644" s="851"/>
      <c r="D644" s="851"/>
      <c r="E644" s="851"/>
      <c r="F644" s="851"/>
      <c r="G644" s="851"/>
      <c r="H644" s="851"/>
      <c r="I644" s="851"/>
      <c r="J644" s="851"/>
      <c r="K644" s="851"/>
      <c r="L644" s="851"/>
      <c r="M644" s="851"/>
      <c r="N644" s="851"/>
    </row>
    <row r="645" spans="3:14" ht="14.25" customHeight="1">
      <c r="C645" s="851"/>
      <c r="D645" s="851"/>
      <c r="E645" s="851"/>
      <c r="F645" s="851"/>
      <c r="G645" s="851"/>
      <c r="H645" s="851"/>
      <c r="I645" s="851"/>
      <c r="J645" s="851"/>
      <c r="K645" s="851"/>
      <c r="L645" s="851"/>
      <c r="M645" s="851"/>
      <c r="N645" s="851"/>
    </row>
    <row r="646" spans="3:14" ht="14.25" customHeight="1">
      <c r="C646" s="851"/>
      <c r="D646" s="851"/>
      <c r="E646" s="851"/>
      <c r="F646" s="851"/>
      <c r="G646" s="851"/>
      <c r="H646" s="851"/>
      <c r="I646" s="851"/>
      <c r="J646" s="851"/>
      <c r="K646" s="851"/>
      <c r="L646" s="851"/>
      <c r="M646" s="851"/>
      <c r="N646" s="851"/>
    </row>
    <row r="647" spans="3:14" ht="14.25" customHeight="1">
      <c r="C647" s="851"/>
      <c r="D647" s="851"/>
      <c r="E647" s="851"/>
      <c r="F647" s="851"/>
      <c r="G647" s="851"/>
      <c r="H647" s="851"/>
      <c r="I647" s="851"/>
      <c r="J647" s="851"/>
      <c r="K647" s="851"/>
      <c r="L647" s="851"/>
      <c r="M647" s="851"/>
      <c r="N647" s="851"/>
    </row>
    <row r="648" spans="3:14" ht="14.25" customHeight="1">
      <c r="C648" s="851"/>
      <c r="D648" s="851"/>
      <c r="E648" s="851"/>
      <c r="F648" s="851"/>
      <c r="G648" s="851"/>
      <c r="H648" s="851"/>
      <c r="I648" s="851"/>
      <c r="J648" s="851"/>
      <c r="K648" s="851"/>
      <c r="L648" s="851"/>
      <c r="M648" s="851"/>
      <c r="N648" s="851"/>
    </row>
    <row r="649" spans="3:14" ht="14.25" customHeight="1">
      <c r="C649" s="851"/>
      <c r="D649" s="851"/>
      <c r="E649" s="851"/>
      <c r="F649" s="851"/>
      <c r="G649" s="851"/>
      <c r="H649" s="851"/>
      <c r="I649" s="851"/>
      <c r="J649" s="851"/>
      <c r="K649" s="851"/>
      <c r="L649" s="851"/>
      <c r="M649" s="851"/>
      <c r="N649" s="851"/>
    </row>
    <row r="650" spans="3:14" ht="14.25" customHeight="1">
      <c r="C650" s="851"/>
      <c r="D650" s="851"/>
      <c r="E650" s="851"/>
      <c r="F650" s="851"/>
      <c r="G650" s="851"/>
      <c r="H650" s="851"/>
      <c r="I650" s="851"/>
      <c r="J650" s="851"/>
      <c r="K650" s="851"/>
      <c r="L650" s="851"/>
      <c r="M650" s="851"/>
      <c r="N650" s="851"/>
    </row>
    <row r="651" spans="3:14" ht="14.25" customHeight="1">
      <c r="C651" s="851"/>
      <c r="D651" s="851"/>
      <c r="E651" s="851"/>
      <c r="F651" s="851"/>
      <c r="G651" s="851"/>
      <c r="H651" s="851"/>
      <c r="I651" s="851"/>
      <c r="J651" s="851"/>
      <c r="K651" s="851"/>
      <c r="L651" s="851"/>
      <c r="M651" s="851"/>
      <c r="N651" s="851"/>
    </row>
    <row r="652" spans="3:14" ht="14.25" customHeight="1">
      <c r="C652" s="851"/>
      <c r="D652" s="851"/>
      <c r="E652" s="851"/>
      <c r="F652" s="851"/>
      <c r="G652" s="851"/>
      <c r="H652" s="851"/>
      <c r="I652" s="851"/>
      <c r="J652" s="851"/>
      <c r="K652" s="851"/>
      <c r="L652" s="851"/>
      <c r="M652" s="851"/>
      <c r="N652" s="851"/>
    </row>
    <row r="653" spans="3:14" ht="14.25" customHeight="1">
      <c r="C653" s="851"/>
      <c r="D653" s="851"/>
      <c r="E653" s="851"/>
      <c r="F653" s="851"/>
      <c r="G653" s="851"/>
      <c r="H653" s="851"/>
      <c r="I653" s="851"/>
      <c r="J653" s="851"/>
      <c r="K653" s="851"/>
      <c r="L653" s="851"/>
      <c r="M653" s="851"/>
      <c r="N653" s="851"/>
    </row>
    <row r="654" spans="3:14" ht="14.25" customHeight="1">
      <c r="C654" s="851"/>
      <c r="D654" s="851"/>
      <c r="E654" s="851"/>
      <c r="F654" s="851"/>
      <c r="G654" s="851"/>
      <c r="H654" s="851"/>
      <c r="I654" s="851"/>
      <c r="J654" s="851"/>
      <c r="K654" s="851"/>
      <c r="L654" s="851"/>
      <c r="M654" s="851"/>
      <c r="N654" s="851"/>
    </row>
    <row r="655" spans="3:14" ht="14.25" customHeight="1">
      <c r="C655" s="851"/>
      <c r="D655" s="851"/>
      <c r="E655" s="851"/>
      <c r="F655" s="851"/>
      <c r="G655" s="851"/>
      <c r="H655" s="851"/>
      <c r="I655" s="851"/>
      <c r="J655" s="851"/>
      <c r="K655" s="851"/>
      <c r="L655" s="851"/>
      <c r="M655" s="851"/>
      <c r="N655" s="851"/>
    </row>
    <row r="656" spans="3:14" ht="14.25" customHeight="1">
      <c r="C656" s="851"/>
      <c r="D656" s="851"/>
      <c r="E656" s="851"/>
      <c r="F656" s="851"/>
      <c r="G656" s="851"/>
      <c r="H656" s="851"/>
      <c r="I656" s="851"/>
      <c r="J656" s="851"/>
      <c r="K656" s="851"/>
      <c r="L656" s="851"/>
      <c r="M656" s="851"/>
      <c r="N656" s="851"/>
    </row>
    <row r="657" spans="3:14" ht="14.25" customHeight="1">
      <c r="C657" s="851"/>
      <c r="D657" s="851"/>
      <c r="E657" s="851"/>
      <c r="F657" s="851"/>
      <c r="G657" s="851"/>
      <c r="H657" s="851"/>
      <c r="I657" s="851"/>
      <c r="J657" s="851"/>
      <c r="K657" s="851"/>
      <c r="L657" s="851"/>
      <c r="M657" s="851"/>
      <c r="N657" s="851"/>
    </row>
    <row r="658" spans="3:14" ht="14.25" customHeight="1">
      <c r="C658" s="851"/>
      <c r="D658" s="851"/>
      <c r="E658" s="851"/>
      <c r="F658" s="851"/>
      <c r="G658" s="851"/>
      <c r="H658" s="851"/>
      <c r="I658" s="851"/>
      <c r="J658" s="851"/>
      <c r="K658" s="851"/>
      <c r="L658" s="851"/>
      <c r="M658" s="851"/>
      <c r="N658" s="851"/>
    </row>
    <row r="659" spans="3:14" ht="14.25" customHeight="1">
      <c r="C659" s="851"/>
      <c r="D659" s="851"/>
      <c r="E659" s="851"/>
      <c r="F659" s="851"/>
      <c r="G659" s="851"/>
      <c r="H659" s="851"/>
      <c r="I659" s="851"/>
      <c r="J659" s="851"/>
      <c r="K659" s="851"/>
      <c r="L659" s="851"/>
      <c r="M659" s="851"/>
      <c r="N659" s="851"/>
    </row>
    <row r="660" spans="3:14" ht="14.25" customHeight="1">
      <c r="C660" s="851"/>
      <c r="D660" s="851"/>
      <c r="E660" s="851"/>
      <c r="F660" s="851"/>
      <c r="G660" s="851"/>
      <c r="H660" s="851"/>
      <c r="I660" s="851"/>
      <c r="J660" s="851"/>
      <c r="K660" s="851"/>
      <c r="L660" s="851"/>
      <c r="M660" s="851"/>
      <c r="N660" s="851"/>
    </row>
    <row r="661" spans="3:14" ht="14.25" customHeight="1">
      <c r="C661" s="851"/>
      <c r="D661" s="851"/>
      <c r="E661" s="851"/>
      <c r="F661" s="851"/>
      <c r="G661" s="851"/>
      <c r="H661" s="851"/>
      <c r="I661" s="851"/>
      <c r="J661" s="851"/>
      <c r="K661" s="851"/>
      <c r="L661" s="851"/>
      <c r="M661" s="851"/>
      <c r="N661" s="851"/>
    </row>
    <row r="662" spans="3:14" ht="14.25" customHeight="1">
      <c r="C662" s="851"/>
      <c r="D662" s="851"/>
      <c r="E662" s="851"/>
      <c r="F662" s="851"/>
      <c r="G662" s="851"/>
      <c r="H662" s="851"/>
      <c r="I662" s="851"/>
      <c r="J662" s="851"/>
      <c r="K662" s="851"/>
      <c r="L662" s="851"/>
      <c r="M662" s="851"/>
      <c r="N662" s="851"/>
    </row>
    <row r="663" spans="3:14" ht="14.25" customHeight="1">
      <c r="C663" s="851"/>
      <c r="D663" s="851"/>
      <c r="E663" s="851"/>
      <c r="F663" s="851"/>
      <c r="G663" s="851"/>
      <c r="H663" s="851"/>
      <c r="I663" s="851"/>
      <c r="J663" s="851"/>
      <c r="K663" s="851"/>
      <c r="L663" s="851"/>
      <c r="M663" s="851"/>
      <c r="N663" s="851"/>
    </row>
    <row r="664" spans="3:14" ht="14.25" customHeight="1">
      <c r="C664" s="851"/>
      <c r="D664" s="851"/>
      <c r="E664" s="851"/>
      <c r="F664" s="851"/>
      <c r="G664" s="851"/>
      <c r="H664" s="851"/>
      <c r="I664" s="851"/>
      <c r="J664" s="851"/>
      <c r="K664" s="851"/>
      <c r="L664" s="851"/>
      <c r="M664" s="851"/>
      <c r="N664" s="851"/>
    </row>
    <row r="665" spans="3:14" ht="14.25" customHeight="1">
      <c r="C665" s="851"/>
      <c r="D665" s="851"/>
      <c r="E665" s="851"/>
      <c r="F665" s="851"/>
      <c r="G665" s="851"/>
      <c r="H665" s="851"/>
      <c r="I665" s="851"/>
      <c r="J665" s="851"/>
      <c r="K665" s="851"/>
      <c r="L665" s="851"/>
      <c r="M665" s="851"/>
      <c r="N665" s="851"/>
    </row>
    <row r="666" spans="3:14" ht="14.25" customHeight="1">
      <c r="C666" s="851"/>
      <c r="D666" s="851"/>
      <c r="E666" s="851"/>
      <c r="F666" s="851"/>
      <c r="G666" s="851"/>
      <c r="H666" s="851"/>
      <c r="I666" s="851"/>
      <c r="J666" s="851"/>
      <c r="K666" s="851"/>
      <c r="L666" s="851"/>
      <c r="M666" s="851"/>
      <c r="N666" s="851"/>
    </row>
    <row r="667" spans="3:14" ht="14.25" customHeight="1">
      <c r="C667" s="851"/>
      <c r="D667" s="851"/>
      <c r="E667" s="851"/>
      <c r="F667" s="851"/>
      <c r="G667" s="851"/>
      <c r="H667" s="851"/>
      <c r="I667" s="851"/>
      <c r="J667" s="851"/>
      <c r="K667" s="851"/>
      <c r="L667" s="851"/>
      <c r="M667" s="851"/>
      <c r="N667" s="851"/>
    </row>
    <row r="668" spans="3:14" ht="14.25" customHeight="1">
      <c r="C668" s="851"/>
      <c r="D668" s="851"/>
      <c r="E668" s="851"/>
      <c r="F668" s="851"/>
      <c r="G668" s="851"/>
      <c r="H668" s="851"/>
      <c r="I668" s="851"/>
      <c r="J668" s="851"/>
      <c r="K668" s="851"/>
      <c r="L668" s="851"/>
      <c r="M668" s="851"/>
      <c r="N668" s="851"/>
    </row>
    <row r="669" spans="3:14" ht="14.25" customHeight="1">
      <c r="C669" s="851"/>
      <c r="D669" s="851"/>
      <c r="E669" s="851"/>
      <c r="F669" s="851"/>
      <c r="G669" s="851"/>
      <c r="H669" s="851"/>
      <c r="I669" s="851"/>
      <c r="J669" s="851"/>
      <c r="K669" s="851"/>
      <c r="L669" s="851"/>
      <c r="M669" s="851"/>
      <c r="N669" s="851"/>
    </row>
    <row r="670" spans="3:14" ht="14.25" customHeight="1">
      <c r="C670" s="851"/>
      <c r="D670" s="851"/>
      <c r="E670" s="851"/>
      <c r="F670" s="851"/>
      <c r="G670" s="851"/>
      <c r="H670" s="851"/>
      <c r="I670" s="851"/>
      <c r="J670" s="851"/>
      <c r="K670" s="851"/>
      <c r="L670" s="851"/>
      <c r="M670" s="851"/>
      <c r="N670" s="851"/>
    </row>
    <row r="671" spans="3:14" ht="14.25" customHeight="1">
      <c r="C671" s="851"/>
      <c r="D671" s="851"/>
      <c r="E671" s="851"/>
      <c r="F671" s="851"/>
      <c r="G671" s="851"/>
      <c r="H671" s="851"/>
      <c r="I671" s="851"/>
      <c r="J671" s="851"/>
      <c r="K671" s="851"/>
      <c r="L671" s="851"/>
      <c r="M671" s="851"/>
      <c r="N671" s="851"/>
    </row>
    <row r="672" spans="3:14" ht="14.25" customHeight="1">
      <c r="C672" s="851"/>
      <c r="D672" s="851"/>
      <c r="E672" s="851"/>
      <c r="F672" s="851"/>
      <c r="G672" s="851"/>
      <c r="H672" s="851"/>
      <c r="I672" s="851"/>
      <c r="J672" s="851"/>
      <c r="K672" s="851"/>
      <c r="L672" s="851"/>
      <c r="M672" s="851"/>
      <c r="N672" s="851"/>
    </row>
    <row r="673" spans="3:14" ht="14.25" customHeight="1">
      <c r="C673" s="851"/>
      <c r="D673" s="851"/>
      <c r="E673" s="851"/>
      <c r="F673" s="851"/>
      <c r="G673" s="851"/>
      <c r="H673" s="851"/>
      <c r="I673" s="851"/>
      <c r="J673" s="851"/>
      <c r="K673" s="851"/>
      <c r="L673" s="851"/>
      <c r="M673" s="851"/>
      <c r="N673" s="851"/>
    </row>
    <row r="674" spans="3:14" ht="14.25" customHeight="1">
      <c r="C674" s="851"/>
      <c r="D674" s="851"/>
      <c r="E674" s="851"/>
      <c r="F674" s="851"/>
      <c r="G674" s="851"/>
      <c r="H674" s="851"/>
      <c r="I674" s="851"/>
      <c r="J674" s="851"/>
      <c r="K674" s="851"/>
      <c r="L674" s="851"/>
      <c r="M674" s="851"/>
      <c r="N674" s="851"/>
    </row>
    <row r="675" spans="3:14" ht="14.25" customHeight="1">
      <c r="C675" s="851"/>
      <c r="D675" s="851"/>
      <c r="E675" s="851"/>
      <c r="F675" s="851"/>
      <c r="G675" s="851"/>
      <c r="H675" s="851"/>
      <c r="I675" s="851"/>
      <c r="J675" s="851"/>
      <c r="K675" s="851"/>
      <c r="L675" s="851"/>
      <c r="M675" s="851"/>
      <c r="N675" s="851"/>
    </row>
    <row r="676" spans="3:14" ht="14.25" customHeight="1">
      <c r="C676" s="851"/>
      <c r="D676" s="851"/>
      <c r="E676" s="851"/>
      <c r="F676" s="851"/>
      <c r="G676" s="851"/>
      <c r="H676" s="851"/>
      <c r="I676" s="851"/>
      <c r="J676" s="851"/>
      <c r="K676" s="851"/>
      <c r="L676" s="851"/>
      <c r="M676" s="851"/>
      <c r="N676" s="851"/>
    </row>
    <row r="677" spans="3:14" ht="14.25" customHeight="1">
      <c r="C677" s="851"/>
      <c r="D677" s="851"/>
      <c r="E677" s="851"/>
      <c r="F677" s="851"/>
      <c r="G677" s="851"/>
      <c r="H677" s="851"/>
      <c r="I677" s="851"/>
      <c r="J677" s="851"/>
      <c r="K677" s="851"/>
      <c r="L677" s="851"/>
      <c r="M677" s="851"/>
      <c r="N677" s="851"/>
    </row>
    <row r="678" spans="3:14" ht="14.25" customHeight="1">
      <c r="C678" s="851"/>
      <c r="D678" s="851"/>
      <c r="E678" s="851"/>
      <c r="F678" s="851"/>
      <c r="G678" s="851"/>
      <c r="H678" s="851"/>
      <c r="I678" s="851"/>
      <c r="J678" s="851"/>
      <c r="K678" s="851"/>
      <c r="L678" s="851"/>
      <c r="M678" s="851"/>
      <c r="N678" s="851"/>
    </row>
    <row r="679" spans="3:14" ht="14.25" customHeight="1">
      <c r="C679" s="851"/>
      <c r="D679" s="851"/>
      <c r="E679" s="851"/>
      <c r="F679" s="851"/>
      <c r="G679" s="851"/>
      <c r="H679" s="851"/>
      <c r="I679" s="851"/>
      <c r="J679" s="851"/>
      <c r="K679" s="851"/>
      <c r="L679" s="851"/>
      <c r="M679" s="851"/>
      <c r="N679" s="851"/>
    </row>
    <row r="680" spans="3:14" ht="14.25" customHeight="1">
      <c r="C680" s="851"/>
      <c r="D680" s="851"/>
      <c r="E680" s="851"/>
      <c r="F680" s="851"/>
      <c r="G680" s="851"/>
      <c r="H680" s="851"/>
      <c r="I680" s="851"/>
      <c r="J680" s="851"/>
      <c r="K680" s="851"/>
      <c r="L680" s="851"/>
      <c r="M680" s="851"/>
      <c r="N680" s="851"/>
    </row>
    <row r="681" spans="3:14" ht="14.25" customHeight="1">
      <c r="C681" s="851"/>
      <c r="D681" s="851"/>
      <c r="E681" s="851"/>
      <c r="F681" s="851"/>
      <c r="G681" s="851"/>
      <c r="H681" s="851"/>
      <c r="I681" s="851"/>
      <c r="J681" s="851"/>
      <c r="K681" s="851"/>
      <c r="L681" s="851"/>
      <c r="M681" s="851"/>
      <c r="N681" s="851"/>
    </row>
    <row r="682" spans="3:14" ht="14.25" customHeight="1">
      <c r="C682" s="851"/>
      <c r="D682" s="851"/>
      <c r="E682" s="851"/>
      <c r="F682" s="851"/>
      <c r="G682" s="851"/>
      <c r="H682" s="851"/>
      <c r="I682" s="851"/>
      <c r="J682" s="851"/>
      <c r="K682" s="851"/>
      <c r="L682" s="851"/>
      <c r="M682" s="851"/>
      <c r="N682" s="851"/>
    </row>
    <row r="683" spans="3:14" ht="14.25" customHeight="1">
      <c r="C683" s="851"/>
      <c r="D683" s="851"/>
      <c r="E683" s="851"/>
      <c r="F683" s="851"/>
      <c r="G683" s="851"/>
      <c r="H683" s="851"/>
      <c r="I683" s="851"/>
      <c r="J683" s="851"/>
      <c r="K683" s="851"/>
      <c r="L683" s="851"/>
      <c r="M683" s="851"/>
      <c r="N683" s="851"/>
    </row>
    <row r="684" spans="3:14" ht="14.25" customHeight="1">
      <c r="C684" s="851"/>
      <c r="D684" s="851"/>
      <c r="E684" s="851"/>
      <c r="F684" s="851"/>
      <c r="G684" s="851"/>
      <c r="H684" s="851"/>
      <c r="I684" s="851"/>
      <c r="J684" s="851"/>
      <c r="K684" s="851"/>
      <c r="L684" s="851"/>
      <c r="M684" s="851"/>
      <c r="N684" s="851"/>
    </row>
    <row r="685" spans="3:14" ht="14.25" customHeight="1">
      <c r="C685" s="851"/>
      <c r="D685" s="851"/>
      <c r="E685" s="851"/>
      <c r="F685" s="851"/>
      <c r="G685" s="851"/>
      <c r="H685" s="851"/>
      <c r="I685" s="851"/>
      <c r="J685" s="851"/>
      <c r="K685" s="851"/>
      <c r="L685" s="851"/>
      <c r="M685" s="851"/>
      <c r="N685" s="851"/>
    </row>
    <row r="686" spans="3:14" ht="14.25" customHeight="1">
      <c r="C686" s="851"/>
      <c r="D686" s="851"/>
      <c r="E686" s="851"/>
      <c r="F686" s="851"/>
      <c r="G686" s="851"/>
      <c r="H686" s="851"/>
      <c r="I686" s="851"/>
      <c r="J686" s="851"/>
      <c r="K686" s="851"/>
      <c r="L686" s="851"/>
      <c r="M686" s="851"/>
      <c r="N686" s="851"/>
    </row>
    <row r="687" spans="3:14" ht="14.25" customHeight="1">
      <c r="C687" s="851"/>
      <c r="D687" s="851"/>
      <c r="E687" s="851"/>
      <c r="F687" s="851"/>
      <c r="G687" s="851"/>
      <c r="H687" s="851"/>
      <c r="I687" s="851"/>
      <c r="J687" s="851"/>
      <c r="K687" s="851"/>
      <c r="L687" s="851"/>
      <c r="M687" s="851"/>
      <c r="N687" s="851"/>
    </row>
    <row r="688" spans="3:14" ht="14.25" customHeight="1">
      <c r="C688" s="851"/>
      <c r="D688" s="851"/>
      <c r="E688" s="851"/>
      <c r="F688" s="851"/>
      <c r="G688" s="851"/>
      <c r="H688" s="851"/>
      <c r="I688" s="851"/>
      <c r="J688" s="851"/>
      <c r="K688" s="851"/>
      <c r="L688" s="851"/>
      <c r="M688" s="851"/>
      <c r="N688" s="851"/>
    </row>
    <row r="689" spans="3:14" ht="14.25" customHeight="1">
      <c r="C689" s="851"/>
      <c r="D689" s="851"/>
      <c r="E689" s="851"/>
      <c r="F689" s="851"/>
      <c r="G689" s="851"/>
      <c r="H689" s="851"/>
      <c r="I689" s="851"/>
      <c r="J689" s="851"/>
      <c r="K689" s="851"/>
      <c r="L689" s="851"/>
      <c r="M689" s="851"/>
      <c r="N689" s="851"/>
    </row>
    <row r="690" spans="3:14" ht="14.25" customHeight="1">
      <c r="C690" s="851"/>
      <c r="D690" s="851"/>
      <c r="E690" s="851"/>
      <c r="F690" s="851"/>
      <c r="G690" s="851"/>
      <c r="H690" s="851"/>
      <c r="I690" s="851"/>
      <c r="J690" s="851"/>
      <c r="K690" s="851"/>
      <c r="L690" s="851"/>
      <c r="M690" s="851"/>
      <c r="N690" s="851"/>
    </row>
    <row r="691" spans="3:14" ht="14.25" customHeight="1">
      <c r="C691" s="851"/>
      <c r="D691" s="851"/>
      <c r="E691" s="851"/>
      <c r="F691" s="851"/>
      <c r="G691" s="851"/>
      <c r="H691" s="851"/>
      <c r="I691" s="851"/>
      <c r="J691" s="851"/>
      <c r="K691" s="851"/>
      <c r="L691" s="851"/>
      <c r="M691" s="851"/>
      <c r="N691" s="851"/>
    </row>
    <row r="692" spans="3:14" ht="14.25" customHeight="1">
      <c r="C692" s="851"/>
      <c r="D692" s="851"/>
      <c r="E692" s="851"/>
      <c r="F692" s="851"/>
      <c r="G692" s="851"/>
      <c r="H692" s="851"/>
      <c r="I692" s="851"/>
      <c r="J692" s="851"/>
      <c r="K692" s="851"/>
      <c r="L692" s="851"/>
      <c r="M692" s="851"/>
      <c r="N692" s="851"/>
    </row>
    <row r="693" spans="3:14" ht="14.25" customHeight="1">
      <c r="C693" s="851"/>
      <c r="D693" s="851"/>
      <c r="E693" s="851"/>
      <c r="F693" s="851"/>
      <c r="G693" s="851"/>
      <c r="H693" s="851"/>
      <c r="I693" s="851"/>
      <c r="J693" s="851"/>
      <c r="K693" s="851"/>
      <c r="L693" s="851"/>
      <c r="M693" s="851"/>
      <c r="N693" s="851"/>
    </row>
    <row r="694" spans="3:14" ht="14.25" customHeight="1">
      <c r="C694" s="851"/>
      <c r="D694" s="851"/>
      <c r="E694" s="851"/>
      <c r="F694" s="851"/>
      <c r="G694" s="851"/>
      <c r="H694" s="851"/>
      <c r="I694" s="851"/>
      <c r="J694" s="851"/>
      <c r="K694" s="851"/>
      <c r="L694" s="851"/>
      <c r="M694" s="851"/>
      <c r="N694" s="851"/>
    </row>
    <row r="695" spans="3:14" ht="14.25" customHeight="1">
      <c r="C695" s="851"/>
      <c r="D695" s="851"/>
      <c r="E695" s="851"/>
      <c r="F695" s="851"/>
      <c r="G695" s="851"/>
      <c r="H695" s="851"/>
      <c r="I695" s="851"/>
      <c r="J695" s="851"/>
      <c r="K695" s="851"/>
      <c r="L695" s="851"/>
      <c r="M695" s="851"/>
      <c r="N695" s="851"/>
    </row>
    <row r="696" spans="3:14" ht="14.25" customHeight="1">
      <c r="C696" s="851"/>
      <c r="D696" s="851"/>
      <c r="E696" s="851"/>
      <c r="F696" s="851"/>
      <c r="G696" s="851"/>
      <c r="H696" s="851"/>
      <c r="I696" s="851"/>
      <c r="J696" s="851"/>
      <c r="K696" s="851"/>
      <c r="L696" s="851"/>
      <c r="M696" s="851"/>
      <c r="N696" s="851"/>
    </row>
    <row r="697" spans="3:14" ht="14.25" customHeight="1">
      <c r="C697" s="851"/>
      <c r="D697" s="851"/>
      <c r="E697" s="851"/>
      <c r="F697" s="851"/>
      <c r="G697" s="851"/>
      <c r="H697" s="851"/>
      <c r="I697" s="851"/>
      <c r="J697" s="851"/>
      <c r="K697" s="851"/>
      <c r="L697" s="851"/>
      <c r="M697" s="851"/>
      <c r="N697" s="851"/>
    </row>
    <row r="698" spans="3:14" ht="14.25" customHeight="1">
      <c r="C698" s="851"/>
      <c r="D698" s="851"/>
      <c r="E698" s="851"/>
      <c r="F698" s="851"/>
      <c r="G698" s="851"/>
      <c r="H698" s="851"/>
      <c r="I698" s="851"/>
      <c r="J698" s="851"/>
      <c r="K698" s="851"/>
      <c r="L698" s="851"/>
      <c r="M698" s="851"/>
      <c r="N698" s="851"/>
    </row>
    <row r="699" spans="3:14" ht="14.25" customHeight="1">
      <c r="C699" s="851"/>
      <c r="D699" s="851"/>
      <c r="E699" s="851"/>
      <c r="F699" s="851"/>
      <c r="G699" s="851"/>
      <c r="H699" s="851"/>
      <c r="I699" s="851"/>
      <c r="J699" s="851"/>
      <c r="K699" s="851"/>
      <c r="L699" s="851"/>
      <c r="M699" s="851"/>
      <c r="N699" s="851"/>
    </row>
    <row r="700" spans="3:14" ht="14.25" customHeight="1">
      <c r="C700" s="851"/>
      <c r="D700" s="851"/>
      <c r="E700" s="851"/>
      <c r="F700" s="851"/>
      <c r="G700" s="851"/>
      <c r="H700" s="851"/>
      <c r="I700" s="851"/>
      <c r="J700" s="851"/>
      <c r="K700" s="851"/>
      <c r="L700" s="851"/>
      <c r="M700" s="851"/>
      <c r="N700" s="851"/>
    </row>
    <row r="701" spans="3:14" ht="14.25" customHeight="1">
      <c r="C701" s="851"/>
      <c r="D701" s="851"/>
      <c r="E701" s="851"/>
      <c r="F701" s="851"/>
      <c r="G701" s="851"/>
      <c r="H701" s="851"/>
      <c r="I701" s="851"/>
      <c r="J701" s="851"/>
      <c r="K701" s="851"/>
      <c r="L701" s="851"/>
      <c r="M701" s="851"/>
      <c r="N701" s="851"/>
    </row>
    <row r="702" spans="3:14" ht="14.25" customHeight="1">
      <c r="C702" s="851"/>
      <c r="D702" s="851"/>
      <c r="E702" s="851"/>
      <c r="F702" s="851"/>
      <c r="G702" s="851"/>
      <c r="H702" s="851"/>
      <c r="I702" s="851"/>
      <c r="J702" s="851"/>
      <c r="K702" s="851"/>
      <c r="L702" s="851"/>
      <c r="M702" s="851"/>
      <c r="N702" s="851"/>
    </row>
    <row r="703" spans="3:14" ht="14.25" customHeight="1">
      <c r="C703" s="851"/>
      <c r="D703" s="851"/>
      <c r="E703" s="851"/>
      <c r="F703" s="851"/>
      <c r="G703" s="851"/>
      <c r="H703" s="851"/>
      <c r="I703" s="851"/>
      <c r="J703" s="851"/>
      <c r="K703" s="851"/>
      <c r="L703" s="851"/>
      <c r="M703" s="851"/>
      <c r="N703" s="851"/>
    </row>
    <row r="704" spans="3:14" ht="14.25" customHeight="1">
      <c r="C704" s="851"/>
      <c r="D704" s="851"/>
      <c r="E704" s="851"/>
      <c r="F704" s="851"/>
      <c r="G704" s="851"/>
      <c r="H704" s="851"/>
      <c r="I704" s="851"/>
      <c r="J704" s="851"/>
      <c r="K704" s="851"/>
      <c r="L704" s="851"/>
      <c r="M704" s="851"/>
      <c r="N704" s="851"/>
    </row>
    <row r="705" spans="3:14" ht="14.25" customHeight="1">
      <c r="C705" s="851"/>
      <c r="D705" s="851"/>
      <c r="E705" s="851"/>
      <c r="F705" s="851"/>
      <c r="G705" s="851"/>
      <c r="H705" s="851"/>
      <c r="I705" s="851"/>
      <c r="J705" s="851"/>
      <c r="K705" s="851"/>
      <c r="L705" s="851"/>
      <c r="M705" s="851"/>
      <c r="N705" s="851"/>
    </row>
    <row r="706" spans="3:14" ht="14.25" customHeight="1">
      <c r="C706" s="851"/>
      <c r="D706" s="851"/>
      <c r="E706" s="851"/>
      <c r="F706" s="851"/>
      <c r="G706" s="851"/>
      <c r="H706" s="851"/>
      <c r="I706" s="851"/>
      <c r="J706" s="851"/>
      <c r="K706" s="851"/>
      <c r="L706" s="851"/>
      <c r="M706" s="851"/>
      <c r="N706" s="851"/>
    </row>
    <row r="707" spans="3:14" ht="14.25" customHeight="1">
      <c r="C707" s="851"/>
      <c r="D707" s="851"/>
      <c r="E707" s="851"/>
      <c r="F707" s="851"/>
      <c r="G707" s="851"/>
      <c r="H707" s="851"/>
      <c r="I707" s="851"/>
      <c r="J707" s="851"/>
      <c r="K707" s="851"/>
      <c r="L707" s="851"/>
      <c r="M707" s="851"/>
      <c r="N707" s="851"/>
    </row>
    <row r="708" spans="3:14" ht="14.25" customHeight="1">
      <c r="C708" s="851"/>
      <c r="D708" s="851"/>
      <c r="E708" s="851"/>
      <c r="F708" s="851"/>
      <c r="G708" s="851"/>
      <c r="H708" s="851"/>
      <c r="I708" s="851"/>
      <c r="J708" s="851"/>
      <c r="K708" s="851"/>
      <c r="L708" s="851"/>
      <c r="M708" s="851"/>
      <c r="N708" s="851"/>
    </row>
    <row r="709" spans="3:14" ht="14.25" customHeight="1">
      <c r="C709" s="851"/>
      <c r="D709" s="851"/>
      <c r="E709" s="851"/>
      <c r="F709" s="851"/>
      <c r="G709" s="851"/>
      <c r="H709" s="851"/>
      <c r="I709" s="851"/>
      <c r="J709" s="851"/>
      <c r="K709" s="851"/>
      <c r="L709" s="851"/>
      <c r="M709" s="851"/>
      <c r="N709" s="851"/>
    </row>
    <row r="710" spans="3:14" ht="14.25" customHeight="1">
      <c r="C710" s="851"/>
      <c r="D710" s="851"/>
      <c r="E710" s="851"/>
      <c r="F710" s="851"/>
      <c r="G710" s="851"/>
      <c r="H710" s="851"/>
      <c r="I710" s="851"/>
      <c r="J710" s="851"/>
      <c r="K710" s="851"/>
      <c r="L710" s="851"/>
      <c r="M710" s="851"/>
      <c r="N710" s="851"/>
    </row>
    <row r="711" spans="3:14" ht="14.25" customHeight="1">
      <c r="C711" s="851"/>
      <c r="D711" s="851"/>
      <c r="E711" s="851"/>
      <c r="F711" s="851"/>
      <c r="G711" s="851"/>
      <c r="H711" s="851"/>
      <c r="I711" s="851"/>
      <c r="J711" s="851"/>
      <c r="K711" s="851"/>
      <c r="L711" s="851"/>
      <c r="M711" s="851"/>
      <c r="N711" s="851"/>
    </row>
    <row r="712" spans="3:14" ht="14.25" customHeight="1">
      <c r="C712" s="851"/>
      <c r="D712" s="851"/>
      <c r="E712" s="851"/>
      <c r="F712" s="851"/>
      <c r="G712" s="851"/>
      <c r="H712" s="851"/>
      <c r="I712" s="851"/>
      <c r="J712" s="851"/>
      <c r="K712" s="851"/>
      <c r="L712" s="851"/>
      <c r="M712" s="851"/>
      <c r="N712" s="851"/>
    </row>
    <row r="713" spans="3:14" ht="14.25" customHeight="1">
      <c r="C713" s="851"/>
      <c r="D713" s="851"/>
      <c r="E713" s="851"/>
      <c r="F713" s="851"/>
      <c r="G713" s="851"/>
      <c r="H713" s="851"/>
      <c r="I713" s="851"/>
      <c r="J713" s="851"/>
      <c r="K713" s="851"/>
      <c r="L713" s="851"/>
      <c r="M713" s="851"/>
      <c r="N713" s="851"/>
    </row>
    <row r="714" spans="3:14" ht="14.25" customHeight="1">
      <c r="C714" s="851"/>
      <c r="D714" s="851"/>
      <c r="E714" s="851"/>
      <c r="F714" s="851"/>
      <c r="G714" s="851"/>
      <c r="H714" s="851"/>
      <c r="I714" s="851"/>
      <c r="J714" s="851"/>
      <c r="K714" s="851"/>
      <c r="L714" s="851"/>
      <c r="M714" s="851"/>
      <c r="N714" s="851"/>
    </row>
    <row r="715" spans="3:14" ht="14.25" customHeight="1">
      <c r="C715" s="851"/>
      <c r="D715" s="851"/>
      <c r="E715" s="851"/>
      <c r="F715" s="851"/>
      <c r="G715" s="851"/>
      <c r="H715" s="851"/>
      <c r="I715" s="851"/>
      <c r="J715" s="851"/>
      <c r="K715" s="851"/>
      <c r="L715" s="851"/>
      <c r="M715" s="851"/>
      <c r="N715" s="851"/>
    </row>
    <row r="716" spans="3:14" ht="14.25" customHeight="1">
      <c r="C716" s="851"/>
      <c r="D716" s="851"/>
      <c r="E716" s="851"/>
      <c r="F716" s="851"/>
      <c r="G716" s="851"/>
      <c r="H716" s="851"/>
      <c r="I716" s="851"/>
      <c r="J716" s="851"/>
      <c r="K716" s="851"/>
      <c r="L716" s="851"/>
      <c r="M716" s="851"/>
      <c r="N716" s="851"/>
    </row>
    <row r="717" spans="3:14" ht="14.25" customHeight="1">
      <c r="C717" s="851"/>
      <c r="D717" s="851"/>
      <c r="E717" s="851"/>
      <c r="F717" s="851"/>
      <c r="G717" s="851"/>
      <c r="H717" s="851"/>
      <c r="I717" s="851"/>
      <c r="J717" s="851"/>
      <c r="K717" s="851"/>
      <c r="L717" s="851"/>
      <c r="M717" s="851"/>
      <c r="N717" s="851"/>
    </row>
    <row r="718" spans="3:14" ht="14.25" customHeight="1">
      <c r="C718" s="851"/>
      <c r="D718" s="851"/>
      <c r="E718" s="851"/>
      <c r="F718" s="851"/>
      <c r="G718" s="851"/>
      <c r="H718" s="851"/>
      <c r="I718" s="851"/>
      <c r="J718" s="851"/>
      <c r="K718" s="851"/>
      <c r="L718" s="851"/>
      <c r="M718" s="851"/>
      <c r="N718" s="851"/>
    </row>
    <row r="719" spans="3:14" ht="14.25" customHeight="1">
      <c r="C719" s="851"/>
      <c r="D719" s="851"/>
      <c r="E719" s="851"/>
      <c r="F719" s="851"/>
      <c r="G719" s="851"/>
      <c r="H719" s="851"/>
      <c r="I719" s="851"/>
      <c r="J719" s="851"/>
      <c r="K719" s="851"/>
      <c r="L719" s="851"/>
      <c r="M719" s="851"/>
      <c r="N719" s="851"/>
    </row>
    <row r="720" spans="3:14" ht="14.25" customHeight="1">
      <c r="C720" s="851"/>
      <c r="D720" s="851"/>
      <c r="E720" s="851"/>
      <c r="F720" s="851"/>
      <c r="G720" s="851"/>
      <c r="H720" s="851"/>
      <c r="I720" s="851"/>
      <c r="J720" s="851"/>
      <c r="K720" s="851"/>
      <c r="L720" s="851"/>
      <c r="M720" s="851"/>
      <c r="N720" s="851"/>
    </row>
    <row r="721" spans="3:14" ht="14.25" customHeight="1">
      <c r="C721" s="851"/>
      <c r="D721" s="851"/>
      <c r="E721" s="851"/>
      <c r="F721" s="851"/>
      <c r="G721" s="851"/>
      <c r="H721" s="851"/>
      <c r="I721" s="851"/>
      <c r="J721" s="851"/>
      <c r="K721" s="851"/>
      <c r="L721" s="851"/>
      <c r="M721" s="851"/>
      <c r="N721" s="851"/>
    </row>
    <row r="722" spans="3:14" ht="14.25" customHeight="1">
      <c r="C722" s="851"/>
      <c r="D722" s="851"/>
      <c r="E722" s="851"/>
      <c r="F722" s="851"/>
      <c r="G722" s="851"/>
      <c r="H722" s="851"/>
      <c r="I722" s="851"/>
      <c r="J722" s="851"/>
      <c r="K722" s="851"/>
      <c r="L722" s="851"/>
      <c r="M722" s="851"/>
      <c r="N722" s="851"/>
    </row>
    <row r="723" spans="3:14" ht="14.25" customHeight="1">
      <c r="C723" s="851"/>
      <c r="D723" s="851"/>
      <c r="E723" s="851"/>
      <c r="F723" s="851"/>
      <c r="G723" s="851"/>
      <c r="H723" s="851"/>
      <c r="I723" s="851"/>
      <c r="J723" s="851"/>
      <c r="K723" s="851"/>
      <c r="L723" s="851"/>
      <c r="M723" s="851"/>
      <c r="N723" s="851"/>
    </row>
    <row r="724" spans="3:14" ht="14.25" customHeight="1">
      <c r="C724" s="851"/>
      <c r="D724" s="851"/>
      <c r="E724" s="851"/>
      <c r="F724" s="851"/>
      <c r="G724" s="851"/>
      <c r="H724" s="851"/>
      <c r="I724" s="851"/>
      <c r="J724" s="851"/>
      <c r="K724" s="851"/>
      <c r="L724" s="851"/>
      <c r="M724" s="851"/>
      <c r="N724" s="851"/>
    </row>
    <row r="725" spans="3:14" ht="14.25" customHeight="1">
      <c r="C725" s="851"/>
      <c r="D725" s="851"/>
      <c r="E725" s="851"/>
      <c r="F725" s="851"/>
      <c r="G725" s="851"/>
      <c r="H725" s="851"/>
      <c r="I725" s="851"/>
      <c r="J725" s="851"/>
      <c r="K725" s="851"/>
      <c r="L725" s="851"/>
      <c r="M725" s="851"/>
      <c r="N725" s="851"/>
    </row>
    <row r="726" spans="3:14" ht="14.25" customHeight="1">
      <c r="C726" s="851"/>
      <c r="D726" s="851"/>
      <c r="E726" s="851"/>
      <c r="F726" s="851"/>
      <c r="G726" s="851"/>
      <c r="H726" s="851"/>
      <c r="I726" s="851"/>
      <c r="J726" s="851"/>
      <c r="K726" s="851"/>
      <c r="L726" s="851"/>
      <c r="M726" s="851"/>
      <c r="N726" s="851"/>
    </row>
    <row r="727" spans="3:14" ht="14.25" customHeight="1">
      <c r="C727" s="851"/>
      <c r="D727" s="851"/>
      <c r="E727" s="851"/>
      <c r="F727" s="851"/>
      <c r="G727" s="851"/>
      <c r="H727" s="851"/>
      <c r="I727" s="851"/>
      <c r="J727" s="851"/>
      <c r="K727" s="851"/>
      <c r="L727" s="851"/>
      <c r="M727" s="851"/>
      <c r="N727" s="851"/>
    </row>
    <row r="728" spans="3:14" ht="14.25" customHeight="1">
      <c r="C728" s="851"/>
      <c r="D728" s="851"/>
      <c r="E728" s="851"/>
      <c r="F728" s="851"/>
      <c r="G728" s="851"/>
      <c r="H728" s="851"/>
      <c r="I728" s="851"/>
      <c r="J728" s="851"/>
      <c r="K728" s="851"/>
      <c r="L728" s="851"/>
      <c r="M728" s="851"/>
      <c r="N728" s="851"/>
    </row>
    <row r="729" spans="3:14" ht="14.25" customHeight="1">
      <c r="C729" s="851"/>
      <c r="D729" s="851"/>
      <c r="E729" s="851"/>
      <c r="F729" s="851"/>
      <c r="G729" s="851"/>
      <c r="H729" s="851"/>
      <c r="I729" s="851"/>
      <c r="J729" s="851"/>
      <c r="K729" s="851"/>
      <c r="L729" s="851"/>
      <c r="M729" s="851"/>
      <c r="N729" s="851"/>
    </row>
    <row r="730" spans="3:14" ht="14.25" customHeight="1">
      <c r="C730" s="851"/>
      <c r="D730" s="851"/>
      <c r="E730" s="851"/>
      <c r="F730" s="851"/>
      <c r="G730" s="851"/>
      <c r="H730" s="851"/>
      <c r="I730" s="851"/>
      <c r="J730" s="851"/>
      <c r="K730" s="851"/>
      <c r="L730" s="851"/>
      <c r="M730" s="851"/>
      <c r="N730" s="851"/>
    </row>
    <row r="731" spans="3:14" ht="14.25" customHeight="1">
      <c r="C731" s="851"/>
      <c r="D731" s="851"/>
      <c r="E731" s="851"/>
      <c r="F731" s="851"/>
      <c r="G731" s="851"/>
      <c r="H731" s="851"/>
      <c r="I731" s="851"/>
      <c r="J731" s="851"/>
      <c r="K731" s="851"/>
      <c r="L731" s="851"/>
      <c r="M731" s="851"/>
      <c r="N731" s="851"/>
    </row>
    <row r="732" spans="3:14" ht="14.25" customHeight="1">
      <c r="C732" s="851"/>
      <c r="D732" s="851"/>
      <c r="E732" s="851"/>
      <c r="F732" s="851"/>
      <c r="G732" s="851"/>
      <c r="H732" s="851"/>
      <c r="I732" s="851"/>
      <c r="J732" s="851"/>
      <c r="K732" s="851"/>
      <c r="L732" s="851"/>
      <c r="M732" s="851"/>
      <c r="N732" s="851"/>
    </row>
    <row r="733" spans="3:14" ht="14.25" customHeight="1">
      <c r="C733" s="851"/>
      <c r="D733" s="851"/>
      <c r="E733" s="851"/>
      <c r="F733" s="851"/>
      <c r="G733" s="851"/>
      <c r="H733" s="851"/>
      <c r="I733" s="851"/>
      <c r="J733" s="851"/>
      <c r="K733" s="851"/>
      <c r="L733" s="851"/>
      <c r="M733" s="851"/>
      <c r="N733" s="851"/>
    </row>
    <row r="734" spans="3:14" ht="14.25" customHeight="1">
      <c r="C734" s="851"/>
      <c r="D734" s="851"/>
      <c r="E734" s="851"/>
      <c r="F734" s="851"/>
      <c r="G734" s="851"/>
      <c r="H734" s="851"/>
      <c r="I734" s="851"/>
      <c r="J734" s="851"/>
      <c r="K734" s="851"/>
      <c r="L734" s="851"/>
      <c r="M734" s="851"/>
      <c r="N734" s="851"/>
    </row>
    <row r="735" spans="3:14" ht="14.25" customHeight="1">
      <c r="C735" s="851"/>
      <c r="D735" s="851"/>
      <c r="E735" s="851"/>
      <c r="F735" s="851"/>
      <c r="G735" s="851"/>
      <c r="H735" s="851"/>
      <c r="I735" s="851"/>
      <c r="J735" s="851"/>
      <c r="K735" s="851"/>
      <c r="L735" s="851"/>
      <c r="M735" s="851"/>
      <c r="N735" s="851"/>
    </row>
    <row r="736" spans="3:14" ht="14.25" customHeight="1">
      <c r="C736" s="851"/>
      <c r="D736" s="851"/>
      <c r="E736" s="851"/>
      <c r="F736" s="851"/>
      <c r="G736" s="851"/>
      <c r="H736" s="851"/>
      <c r="I736" s="851"/>
      <c r="J736" s="851"/>
      <c r="K736" s="851"/>
      <c r="L736" s="851"/>
      <c r="M736" s="851"/>
      <c r="N736" s="851"/>
    </row>
    <row r="737" spans="3:14" ht="14.25" customHeight="1">
      <c r="C737" s="851"/>
      <c r="D737" s="851"/>
      <c r="E737" s="851"/>
      <c r="F737" s="851"/>
      <c r="G737" s="851"/>
      <c r="H737" s="851"/>
      <c r="I737" s="851"/>
      <c r="J737" s="851"/>
      <c r="K737" s="851"/>
      <c r="L737" s="851"/>
      <c r="M737" s="851"/>
      <c r="N737" s="851"/>
    </row>
    <row r="738" spans="3:14" ht="14.25" customHeight="1">
      <c r="C738" s="851"/>
      <c r="D738" s="851"/>
      <c r="E738" s="851"/>
      <c r="F738" s="851"/>
      <c r="G738" s="851"/>
      <c r="H738" s="851"/>
      <c r="I738" s="851"/>
      <c r="J738" s="851"/>
      <c r="K738" s="851"/>
      <c r="L738" s="851"/>
      <c r="M738" s="851"/>
      <c r="N738" s="851"/>
    </row>
    <row r="739" spans="3:14" ht="14.25" customHeight="1">
      <c r="C739" s="851"/>
      <c r="D739" s="851"/>
      <c r="E739" s="851"/>
      <c r="F739" s="851"/>
      <c r="G739" s="851"/>
      <c r="H739" s="851"/>
      <c r="I739" s="851"/>
      <c r="J739" s="851"/>
      <c r="K739" s="851"/>
      <c r="L739" s="851"/>
      <c r="M739" s="851"/>
      <c r="N739" s="851"/>
    </row>
    <row r="740" spans="3:14" ht="14.25" customHeight="1">
      <c r="C740" s="851"/>
      <c r="D740" s="851"/>
      <c r="E740" s="851"/>
      <c r="F740" s="851"/>
      <c r="G740" s="851"/>
      <c r="H740" s="851"/>
      <c r="I740" s="851"/>
      <c r="J740" s="851"/>
      <c r="K740" s="851"/>
      <c r="L740" s="851"/>
      <c r="M740" s="851"/>
      <c r="N740" s="851"/>
    </row>
    <row r="741" spans="3:14" ht="14.25" customHeight="1">
      <c r="C741" s="851"/>
      <c r="D741" s="851"/>
      <c r="E741" s="851"/>
      <c r="F741" s="851"/>
      <c r="G741" s="851"/>
      <c r="H741" s="851"/>
      <c r="I741" s="851"/>
      <c r="J741" s="851"/>
      <c r="K741" s="851"/>
      <c r="L741" s="851"/>
      <c r="M741" s="851"/>
      <c r="N741" s="851"/>
    </row>
    <row r="742" spans="3:14" ht="14.25" customHeight="1">
      <c r="C742" s="851"/>
      <c r="D742" s="851"/>
      <c r="E742" s="851"/>
      <c r="F742" s="851"/>
      <c r="G742" s="851"/>
      <c r="H742" s="851"/>
      <c r="I742" s="851"/>
      <c r="J742" s="851"/>
      <c r="K742" s="851"/>
      <c r="L742" s="851"/>
      <c r="M742" s="851"/>
      <c r="N742" s="851"/>
    </row>
    <row r="743" spans="3:14" ht="14.25" customHeight="1">
      <c r="C743" s="851"/>
      <c r="D743" s="851"/>
      <c r="E743" s="851"/>
      <c r="F743" s="851"/>
      <c r="G743" s="851"/>
      <c r="H743" s="851"/>
      <c r="I743" s="851"/>
      <c r="J743" s="851"/>
      <c r="K743" s="851"/>
      <c r="L743" s="851"/>
      <c r="M743" s="851"/>
      <c r="N743" s="851"/>
    </row>
    <row r="744" spans="3:14" ht="14.25" customHeight="1">
      <c r="C744" s="851"/>
      <c r="D744" s="851"/>
      <c r="E744" s="851"/>
      <c r="F744" s="851"/>
      <c r="G744" s="851"/>
      <c r="H744" s="851"/>
      <c r="I744" s="851"/>
      <c r="J744" s="851"/>
      <c r="K744" s="851"/>
      <c r="L744" s="851"/>
      <c r="M744" s="851"/>
      <c r="N744" s="851"/>
    </row>
    <row r="745" spans="3:14" ht="14.25" customHeight="1">
      <c r="C745" s="851"/>
      <c r="D745" s="851"/>
      <c r="E745" s="851"/>
      <c r="F745" s="851"/>
      <c r="G745" s="851"/>
      <c r="H745" s="851"/>
      <c r="I745" s="851"/>
      <c r="J745" s="851"/>
      <c r="K745" s="851"/>
      <c r="L745" s="851"/>
      <c r="M745" s="851"/>
      <c r="N745" s="851"/>
    </row>
    <row r="746" spans="3:14" ht="14.25" customHeight="1">
      <c r="C746" s="851"/>
      <c r="D746" s="851"/>
      <c r="E746" s="851"/>
      <c r="F746" s="851"/>
      <c r="G746" s="851"/>
      <c r="H746" s="851"/>
      <c r="I746" s="851"/>
      <c r="J746" s="851"/>
      <c r="K746" s="851"/>
      <c r="L746" s="851"/>
      <c r="M746" s="851"/>
      <c r="N746" s="851"/>
    </row>
    <row r="747" spans="3:14" ht="14.25" customHeight="1">
      <c r="C747" s="851"/>
      <c r="D747" s="851"/>
      <c r="E747" s="851"/>
      <c r="F747" s="851"/>
      <c r="G747" s="851"/>
      <c r="H747" s="851"/>
      <c r="I747" s="851"/>
      <c r="J747" s="851"/>
      <c r="K747" s="851"/>
      <c r="L747" s="851"/>
      <c r="M747" s="851"/>
      <c r="N747" s="851"/>
    </row>
    <row r="748" spans="3:14" ht="14.25" customHeight="1">
      <c r="C748" s="851"/>
      <c r="D748" s="851"/>
      <c r="E748" s="851"/>
      <c r="F748" s="851"/>
      <c r="G748" s="851"/>
      <c r="H748" s="851"/>
      <c r="I748" s="851"/>
      <c r="J748" s="851"/>
      <c r="K748" s="851"/>
      <c r="L748" s="851"/>
      <c r="M748" s="851"/>
      <c r="N748" s="851"/>
    </row>
    <row r="749" spans="3:14" ht="14.25" customHeight="1">
      <c r="C749" s="851"/>
      <c r="D749" s="851"/>
      <c r="E749" s="851"/>
      <c r="F749" s="851"/>
      <c r="G749" s="851"/>
      <c r="H749" s="851"/>
      <c r="I749" s="851"/>
      <c r="J749" s="851"/>
      <c r="K749" s="851"/>
      <c r="L749" s="851"/>
      <c r="M749" s="851"/>
      <c r="N749" s="851"/>
    </row>
    <row r="750" spans="3:14" ht="14.25" customHeight="1">
      <c r="C750" s="851"/>
      <c r="D750" s="851"/>
      <c r="E750" s="851"/>
      <c r="F750" s="851"/>
      <c r="G750" s="851"/>
      <c r="H750" s="851"/>
      <c r="I750" s="851"/>
      <c r="J750" s="851"/>
      <c r="K750" s="851"/>
      <c r="L750" s="851"/>
      <c r="M750" s="851"/>
      <c r="N750" s="851"/>
    </row>
    <row r="751" spans="3:14" ht="14.25" customHeight="1">
      <c r="C751" s="851"/>
      <c r="D751" s="851"/>
      <c r="E751" s="851"/>
      <c r="F751" s="851"/>
      <c r="G751" s="851"/>
      <c r="H751" s="851"/>
      <c r="I751" s="851"/>
      <c r="J751" s="851"/>
      <c r="K751" s="851"/>
      <c r="L751" s="851"/>
      <c r="M751" s="851"/>
      <c r="N751" s="851"/>
    </row>
    <row r="752" spans="3:14" ht="14.25" customHeight="1">
      <c r="C752" s="851"/>
      <c r="D752" s="851"/>
      <c r="E752" s="851"/>
      <c r="F752" s="851"/>
      <c r="G752" s="851"/>
      <c r="H752" s="851"/>
      <c r="I752" s="851"/>
      <c r="J752" s="851"/>
      <c r="K752" s="851"/>
      <c r="L752" s="851"/>
      <c r="M752" s="851"/>
      <c r="N752" s="851"/>
    </row>
    <row r="753" spans="3:14" ht="14.25" customHeight="1">
      <c r="C753" s="851"/>
      <c r="D753" s="851"/>
      <c r="E753" s="851"/>
      <c r="F753" s="851"/>
      <c r="G753" s="851"/>
      <c r="H753" s="851"/>
      <c r="I753" s="851"/>
      <c r="J753" s="851"/>
      <c r="K753" s="851"/>
      <c r="L753" s="851"/>
      <c r="M753" s="851"/>
      <c r="N753" s="851"/>
    </row>
    <row r="754" spans="3:14" ht="14.25" customHeight="1">
      <c r="C754" s="851"/>
      <c r="D754" s="851"/>
      <c r="E754" s="851"/>
      <c r="F754" s="851"/>
      <c r="G754" s="851"/>
      <c r="H754" s="851"/>
      <c r="I754" s="851"/>
      <c r="J754" s="851"/>
      <c r="K754" s="851"/>
      <c r="L754" s="851"/>
      <c r="M754" s="851"/>
      <c r="N754" s="851"/>
    </row>
    <row r="755" spans="3:14" ht="14.25" customHeight="1">
      <c r="C755" s="851"/>
      <c r="D755" s="851"/>
      <c r="E755" s="851"/>
      <c r="F755" s="851"/>
      <c r="G755" s="851"/>
      <c r="H755" s="851"/>
      <c r="I755" s="851"/>
      <c r="J755" s="851"/>
      <c r="K755" s="851"/>
      <c r="L755" s="851"/>
      <c r="M755" s="851"/>
      <c r="N755" s="851"/>
    </row>
    <row r="756" spans="3:14" ht="14.25" customHeight="1">
      <c r="C756" s="851"/>
      <c r="D756" s="851"/>
      <c r="E756" s="851"/>
      <c r="F756" s="851"/>
      <c r="G756" s="851"/>
      <c r="H756" s="851"/>
      <c r="I756" s="851"/>
      <c r="J756" s="851"/>
      <c r="K756" s="851"/>
      <c r="L756" s="851"/>
      <c r="M756" s="851"/>
      <c r="N756" s="851"/>
    </row>
    <row r="757" spans="3:14" ht="14.25" customHeight="1">
      <c r="C757" s="851"/>
      <c r="D757" s="851"/>
      <c r="E757" s="851"/>
      <c r="F757" s="851"/>
      <c r="G757" s="851"/>
      <c r="H757" s="851"/>
      <c r="I757" s="851"/>
      <c r="J757" s="851"/>
      <c r="K757" s="851"/>
      <c r="L757" s="851"/>
      <c r="M757" s="851"/>
      <c r="N757" s="851"/>
    </row>
    <row r="758" spans="3:14" ht="14.25" customHeight="1">
      <c r="C758" s="851"/>
      <c r="D758" s="851"/>
      <c r="E758" s="851"/>
      <c r="F758" s="851"/>
      <c r="G758" s="851"/>
      <c r="H758" s="851"/>
      <c r="I758" s="851"/>
      <c r="J758" s="851"/>
      <c r="K758" s="851"/>
      <c r="L758" s="851"/>
      <c r="M758" s="851"/>
      <c r="N758" s="851"/>
    </row>
    <row r="759" spans="3:14" ht="14.25" customHeight="1">
      <c r="C759" s="851"/>
      <c r="D759" s="851"/>
      <c r="E759" s="851"/>
      <c r="F759" s="851"/>
      <c r="G759" s="851"/>
      <c r="H759" s="851"/>
      <c r="I759" s="851"/>
      <c r="J759" s="851"/>
      <c r="K759" s="851"/>
      <c r="L759" s="851"/>
      <c r="M759" s="851"/>
      <c r="N759" s="851"/>
    </row>
    <row r="760" spans="3:14" ht="14.25" customHeight="1">
      <c r="C760" s="851"/>
      <c r="D760" s="851"/>
      <c r="E760" s="851"/>
      <c r="F760" s="851"/>
      <c r="G760" s="851"/>
      <c r="H760" s="851"/>
      <c r="I760" s="851"/>
      <c r="J760" s="851"/>
      <c r="K760" s="851"/>
      <c r="L760" s="851"/>
      <c r="M760" s="851"/>
      <c r="N760" s="851"/>
    </row>
    <row r="761" spans="3:14" ht="14.25" customHeight="1">
      <c r="C761" s="851"/>
      <c r="D761" s="851"/>
      <c r="E761" s="851"/>
      <c r="F761" s="851"/>
      <c r="G761" s="851"/>
      <c r="H761" s="851"/>
      <c r="I761" s="851"/>
      <c r="J761" s="851"/>
      <c r="K761" s="851"/>
      <c r="L761" s="851"/>
      <c r="M761" s="851"/>
      <c r="N761" s="851"/>
    </row>
    <row r="762" spans="3:14" ht="14.25" customHeight="1">
      <c r="C762" s="851"/>
      <c r="D762" s="851"/>
      <c r="E762" s="851"/>
      <c r="F762" s="851"/>
      <c r="G762" s="851"/>
      <c r="H762" s="851"/>
      <c r="I762" s="851"/>
      <c r="J762" s="851"/>
      <c r="K762" s="851"/>
      <c r="L762" s="851"/>
      <c r="M762" s="851"/>
      <c r="N762" s="851"/>
    </row>
    <row r="763" spans="3:14" ht="14.25" customHeight="1">
      <c r="C763" s="851"/>
      <c r="D763" s="851"/>
      <c r="E763" s="851"/>
      <c r="F763" s="851"/>
      <c r="G763" s="851"/>
      <c r="H763" s="851"/>
      <c r="I763" s="851"/>
      <c r="J763" s="851"/>
      <c r="K763" s="851"/>
      <c r="L763" s="851"/>
      <c r="M763" s="851"/>
      <c r="N763" s="851"/>
    </row>
    <row r="764" spans="3:14" ht="14.25" customHeight="1">
      <c r="C764" s="851"/>
      <c r="D764" s="851"/>
      <c r="E764" s="851"/>
      <c r="F764" s="851"/>
      <c r="G764" s="851"/>
      <c r="H764" s="851"/>
      <c r="I764" s="851"/>
      <c r="J764" s="851"/>
      <c r="K764" s="851"/>
      <c r="L764" s="851"/>
      <c r="M764" s="851"/>
      <c r="N764" s="851"/>
    </row>
    <row r="765" spans="3:14" ht="14.25" customHeight="1">
      <c r="C765" s="851"/>
      <c r="D765" s="851"/>
      <c r="E765" s="851"/>
      <c r="F765" s="851"/>
      <c r="G765" s="851"/>
      <c r="H765" s="851"/>
      <c r="I765" s="851"/>
      <c r="J765" s="851"/>
      <c r="K765" s="851"/>
      <c r="L765" s="851"/>
      <c r="M765" s="851"/>
      <c r="N765" s="851"/>
    </row>
    <row r="766" spans="3:14" ht="14.25" customHeight="1">
      <c r="C766" s="851"/>
      <c r="D766" s="851"/>
      <c r="E766" s="851"/>
      <c r="F766" s="851"/>
      <c r="G766" s="851"/>
      <c r="H766" s="851"/>
      <c r="I766" s="851"/>
      <c r="J766" s="851"/>
      <c r="K766" s="851"/>
      <c r="L766" s="851"/>
      <c r="M766" s="851"/>
      <c r="N766" s="851"/>
    </row>
    <row r="767" spans="3:14" ht="14.25" customHeight="1">
      <c r="C767" s="851"/>
      <c r="D767" s="851"/>
      <c r="E767" s="851"/>
      <c r="F767" s="851"/>
      <c r="G767" s="851"/>
      <c r="H767" s="851"/>
      <c r="I767" s="851"/>
      <c r="J767" s="851"/>
      <c r="K767" s="851"/>
      <c r="L767" s="851"/>
      <c r="M767" s="851"/>
      <c r="N767" s="851"/>
    </row>
    <row r="768" spans="3:14" ht="14.25" customHeight="1">
      <c r="C768" s="851"/>
      <c r="D768" s="851"/>
      <c r="E768" s="851"/>
      <c r="F768" s="851"/>
      <c r="G768" s="851"/>
      <c r="H768" s="851"/>
      <c r="I768" s="851"/>
      <c r="J768" s="851"/>
      <c r="K768" s="851"/>
      <c r="L768" s="851"/>
      <c r="M768" s="851"/>
      <c r="N768" s="851"/>
    </row>
    <row r="769" spans="3:14" ht="14.25" customHeight="1">
      <c r="C769" s="851"/>
      <c r="D769" s="851"/>
      <c r="E769" s="851"/>
      <c r="F769" s="851"/>
      <c r="G769" s="851"/>
      <c r="H769" s="851"/>
      <c r="I769" s="851"/>
      <c r="J769" s="851"/>
      <c r="K769" s="851"/>
      <c r="L769" s="851"/>
      <c r="M769" s="851"/>
      <c r="N769" s="851"/>
    </row>
    <row r="770" spans="3:14" ht="14.25" customHeight="1">
      <c r="C770" s="851"/>
      <c r="D770" s="851"/>
      <c r="E770" s="851"/>
      <c r="F770" s="851"/>
      <c r="G770" s="851"/>
      <c r="H770" s="851"/>
      <c r="I770" s="851"/>
      <c r="J770" s="851"/>
      <c r="K770" s="851"/>
      <c r="L770" s="851"/>
      <c r="M770" s="851"/>
      <c r="N770" s="851"/>
    </row>
    <row r="771" spans="3:14" ht="14.25" customHeight="1">
      <c r="C771" s="851"/>
      <c r="D771" s="851"/>
      <c r="E771" s="851"/>
      <c r="F771" s="851"/>
      <c r="G771" s="851"/>
      <c r="H771" s="851"/>
      <c r="I771" s="851"/>
      <c r="J771" s="851"/>
      <c r="K771" s="851"/>
      <c r="L771" s="851"/>
      <c r="M771" s="851"/>
      <c r="N771" s="851"/>
    </row>
    <row r="772" spans="3:14" ht="14.25" customHeight="1">
      <c r="C772" s="851"/>
      <c r="D772" s="851"/>
      <c r="E772" s="851"/>
      <c r="F772" s="851"/>
      <c r="G772" s="851"/>
      <c r="H772" s="851"/>
      <c r="I772" s="851"/>
      <c r="J772" s="851"/>
      <c r="K772" s="851"/>
      <c r="L772" s="851"/>
      <c r="M772" s="851"/>
      <c r="N772" s="851"/>
    </row>
    <row r="773" spans="3:14" ht="14.25" customHeight="1">
      <c r="C773" s="851"/>
      <c r="D773" s="851"/>
      <c r="E773" s="851"/>
      <c r="F773" s="851"/>
      <c r="G773" s="851"/>
      <c r="H773" s="851"/>
      <c r="I773" s="851"/>
      <c r="J773" s="851"/>
      <c r="K773" s="851"/>
      <c r="L773" s="851"/>
      <c r="M773" s="851"/>
      <c r="N773" s="851"/>
    </row>
    <row r="774" spans="3:14" ht="14.25" customHeight="1">
      <c r="C774" s="851"/>
      <c r="D774" s="851"/>
      <c r="E774" s="851"/>
      <c r="F774" s="851"/>
      <c r="G774" s="851"/>
      <c r="H774" s="851"/>
      <c r="I774" s="851"/>
      <c r="J774" s="851"/>
      <c r="K774" s="851"/>
      <c r="L774" s="851"/>
      <c r="M774" s="851"/>
      <c r="N774" s="851"/>
    </row>
    <row r="775" spans="3:14" ht="14.25" customHeight="1">
      <c r="C775" s="851"/>
      <c r="D775" s="851"/>
      <c r="E775" s="851"/>
      <c r="F775" s="851"/>
      <c r="G775" s="851"/>
      <c r="H775" s="851"/>
      <c r="I775" s="851"/>
      <c r="J775" s="851"/>
      <c r="K775" s="851"/>
      <c r="L775" s="851"/>
      <c r="M775" s="851"/>
      <c r="N775" s="851"/>
    </row>
    <row r="776" spans="3:14" ht="14.25" customHeight="1">
      <c r="C776" s="851"/>
      <c r="D776" s="851"/>
      <c r="E776" s="851"/>
      <c r="F776" s="851"/>
      <c r="G776" s="851"/>
      <c r="H776" s="851"/>
      <c r="I776" s="851"/>
      <c r="J776" s="851"/>
      <c r="K776" s="851"/>
      <c r="L776" s="851"/>
      <c r="M776" s="851"/>
      <c r="N776" s="851"/>
    </row>
    <row r="777" spans="3:14" ht="14.25" customHeight="1">
      <c r="C777" s="851"/>
      <c r="D777" s="851"/>
      <c r="E777" s="851"/>
      <c r="F777" s="851"/>
      <c r="G777" s="851"/>
      <c r="H777" s="851"/>
      <c r="I777" s="851"/>
      <c r="J777" s="851"/>
      <c r="K777" s="851"/>
      <c r="L777" s="851"/>
      <c r="M777" s="851"/>
      <c r="N777" s="851"/>
    </row>
  </sheetData>
  <mergeCells count="15">
    <mergeCell ref="L3:L4"/>
    <mergeCell ref="M3:M4"/>
    <mergeCell ref="N3:N4"/>
    <mergeCell ref="O3:O4"/>
    <mergeCell ref="P3:P4"/>
    <mergeCell ref="F3:F4"/>
    <mergeCell ref="G3:G4"/>
    <mergeCell ref="H3:H4"/>
    <mergeCell ref="I3:I4"/>
    <mergeCell ref="J3:K3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X724"/>
  <sheetViews>
    <sheetView topLeftCell="A3" zoomScale="85" zoomScaleNormal="85" workbookViewId="0">
      <pane ySplit="2" topLeftCell="A110" activePane="bottomLeft" state="frozen"/>
      <selection activeCell="A3" sqref="A3"/>
      <selection pane="bottomLeft" activeCell="B7" sqref="B7"/>
    </sheetView>
  </sheetViews>
  <sheetFormatPr baseColWidth="10" defaultColWidth="9.1640625" defaultRowHeight="15"/>
  <cols>
    <col min="1" max="1" width="9.1640625" style="399"/>
    <col min="2" max="2" width="50.5" style="399" customWidth="1"/>
    <col min="3" max="5" width="12.5" style="399" customWidth="1"/>
    <col min="6" max="12" width="10.5" style="399" customWidth="1"/>
    <col min="13" max="13" width="8.5" style="399" customWidth="1"/>
    <col min="14" max="14" width="14.5" style="399" customWidth="1"/>
    <col min="15" max="15" width="6.5" style="399" customWidth="1"/>
    <col min="16" max="16" width="15.5" style="399" customWidth="1"/>
    <col min="17" max="17" width="18.1640625" style="399" customWidth="1"/>
    <col min="18" max="18" width="11.83203125" style="399" customWidth="1"/>
    <col min="19" max="20" width="9.1640625" style="399"/>
    <col min="21" max="21" width="12.1640625" style="399" customWidth="1"/>
    <col min="22" max="24" width="9.1640625" style="399"/>
    <col min="25" max="25" width="12.5" style="399" customWidth="1"/>
    <col min="26" max="16384" width="9.1640625" style="399"/>
  </cols>
  <sheetData>
    <row r="1" spans="1:24" ht="24" customHeight="1">
      <c r="A1" s="739" t="s">
        <v>998</v>
      </c>
      <c r="B1" s="398"/>
      <c r="C1" s="398"/>
      <c r="D1" s="398"/>
      <c r="E1" s="398"/>
      <c r="F1" s="398"/>
      <c r="G1" s="398"/>
      <c r="H1" s="398"/>
      <c r="I1" s="398"/>
      <c r="J1" s="398"/>
      <c r="K1" s="398"/>
      <c r="L1" s="398"/>
      <c r="M1" s="398"/>
      <c r="N1" s="398"/>
      <c r="O1" s="398"/>
      <c r="P1" s="398"/>
      <c r="Q1" s="398"/>
      <c r="R1" s="398"/>
      <c r="S1" s="398"/>
      <c r="T1" s="398"/>
      <c r="U1" s="398"/>
      <c r="V1" s="738"/>
      <c r="W1" s="738"/>
      <c r="X1" s="738"/>
    </row>
    <row r="2" spans="1:24" ht="15.75" customHeight="1">
      <c r="A2" s="398"/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398"/>
      <c r="M2" s="398"/>
      <c r="N2" s="398"/>
      <c r="O2" s="398"/>
      <c r="P2" s="398"/>
      <c r="Q2" s="398"/>
      <c r="R2" s="398"/>
      <c r="S2" s="398"/>
      <c r="T2" s="398"/>
      <c r="U2" s="398"/>
      <c r="V2" s="738"/>
      <c r="W2" s="738"/>
      <c r="X2" s="738"/>
    </row>
    <row r="3" spans="1:24" ht="21.75" customHeight="1">
      <c r="A3" s="3245" t="s">
        <v>1</v>
      </c>
      <c r="B3" s="3246" t="s">
        <v>68</v>
      </c>
      <c r="C3" s="3246" t="s">
        <v>77</v>
      </c>
      <c r="D3" s="3246" t="s">
        <v>78</v>
      </c>
      <c r="E3" s="3246" t="s">
        <v>79</v>
      </c>
      <c r="F3" s="3246" t="s">
        <v>6</v>
      </c>
      <c r="G3" s="3246" t="s">
        <v>999</v>
      </c>
      <c r="H3" s="3246" t="s">
        <v>977</v>
      </c>
      <c r="I3" s="3246" t="s">
        <v>978</v>
      </c>
      <c r="J3" s="3246" t="s">
        <v>1000</v>
      </c>
      <c r="K3" s="3246"/>
      <c r="L3" s="3246" t="s">
        <v>213</v>
      </c>
      <c r="M3" s="3246" t="s">
        <v>80</v>
      </c>
      <c r="N3" s="3246" t="s">
        <v>81</v>
      </c>
      <c r="O3" s="3246" t="s">
        <v>82</v>
      </c>
      <c r="P3" s="3256" t="s">
        <v>83</v>
      </c>
      <c r="Q3" s="398"/>
      <c r="R3" s="398"/>
      <c r="S3" s="398"/>
      <c r="T3" s="398"/>
      <c r="U3" s="398"/>
      <c r="V3" s="738"/>
      <c r="W3" s="738"/>
      <c r="X3" s="738"/>
    </row>
    <row r="4" spans="1:24" ht="21.75" customHeight="1">
      <c r="A4" s="3245"/>
      <c r="B4" s="3246"/>
      <c r="C4" s="3246"/>
      <c r="D4" s="3246"/>
      <c r="E4" s="3246"/>
      <c r="F4" s="3246"/>
      <c r="G4" s="3246"/>
      <c r="H4" s="3246"/>
      <c r="I4" s="3246"/>
      <c r="J4" s="556" t="s">
        <v>1001</v>
      </c>
      <c r="K4" s="556" t="s">
        <v>1002</v>
      </c>
      <c r="L4" s="3246"/>
      <c r="M4" s="3246"/>
      <c r="N4" s="3246"/>
      <c r="O4" s="3246"/>
      <c r="P4" s="3256"/>
      <c r="Q4" s="398"/>
      <c r="R4" s="398"/>
      <c r="S4" s="398"/>
      <c r="T4" s="398"/>
      <c r="U4" s="398"/>
      <c r="V4" s="738"/>
      <c r="W4" s="738"/>
      <c r="X4" s="738"/>
    </row>
    <row r="5" spans="1:24" ht="7.5" customHeight="1">
      <c r="A5" s="398"/>
      <c r="B5" s="398"/>
      <c r="C5" s="398"/>
      <c r="D5" s="398"/>
      <c r="E5" s="398"/>
      <c r="F5" s="398"/>
      <c r="G5" s="398"/>
      <c r="H5" s="398"/>
      <c r="I5" s="398"/>
      <c r="J5" s="398"/>
      <c r="K5" s="398"/>
      <c r="L5" s="398"/>
      <c r="M5" s="398"/>
      <c r="N5" s="398"/>
      <c r="O5" s="398"/>
      <c r="P5" s="781"/>
      <c r="Q5" s="398"/>
      <c r="R5" s="398"/>
      <c r="S5" s="398"/>
      <c r="T5" s="398"/>
      <c r="U5" s="398"/>
      <c r="V5" s="738"/>
      <c r="W5" s="738"/>
      <c r="X5" s="738"/>
    </row>
    <row r="6" spans="1:24" ht="7.5" customHeight="1">
      <c r="A6" s="558"/>
      <c r="B6" s="559"/>
      <c r="C6" s="559"/>
      <c r="D6" s="559"/>
      <c r="E6" s="559"/>
      <c r="F6" s="559"/>
      <c r="G6" s="559"/>
      <c r="H6" s="559"/>
      <c r="I6" s="559"/>
      <c r="J6" s="559"/>
      <c r="K6" s="559"/>
      <c r="L6" s="559"/>
      <c r="M6" s="559"/>
      <c r="N6" s="559"/>
      <c r="O6" s="559"/>
      <c r="P6" s="782"/>
      <c r="Q6" s="398"/>
      <c r="R6" s="398"/>
      <c r="S6" s="398"/>
      <c r="T6" s="398"/>
      <c r="U6" s="398"/>
      <c r="V6" s="738"/>
      <c r="W6" s="738"/>
      <c r="X6" s="738"/>
    </row>
    <row r="7" spans="1:24" ht="15.75" customHeight="1">
      <c r="A7" s="346">
        <v>24</v>
      </c>
      <c r="B7" s="561" t="s">
        <v>1631</v>
      </c>
      <c r="C7" s="330"/>
      <c r="D7" s="330"/>
      <c r="E7" s="330"/>
      <c r="F7" s="330"/>
      <c r="G7" s="330"/>
      <c r="H7" s="330"/>
      <c r="I7" s="330"/>
      <c r="J7" s="330"/>
      <c r="K7" s="330"/>
      <c r="L7" s="330"/>
      <c r="M7" s="330"/>
      <c r="N7" s="330"/>
      <c r="O7" s="349"/>
      <c r="P7" s="783"/>
      <c r="Q7" s="398"/>
      <c r="R7" s="398"/>
      <c r="S7" s="398"/>
      <c r="T7" s="398"/>
      <c r="U7" s="398"/>
      <c r="V7" s="738"/>
      <c r="W7" s="738"/>
      <c r="X7" s="738"/>
    </row>
    <row r="8" spans="1:24" ht="15.75" customHeight="1">
      <c r="A8" s="346" t="s">
        <v>1632</v>
      </c>
      <c r="B8" s="561" t="s">
        <v>395</v>
      </c>
      <c r="C8" s="330"/>
      <c r="D8" s="330"/>
      <c r="E8" s="330"/>
      <c r="F8" s="330"/>
      <c r="G8" s="330"/>
      <c r="H8" s="330"/>
      <c r="I8" s="330"/>
      <c r="J8" s="330"/>
      <c r="K8" s="330"/>
      <c r="L8" s="330"/>
      <c r="M8" s="330"/>
      <c r="N8" s="330"/>
      <c r="O8" s="349"/>
      <c r="P8" s="784"/>
      <c r="Q8" s="398"/>
      <c r="R8" s="779"/>
      <c r="S8" s="398"/>
      <c r="T8" s="398"/>
      <c r="U8" s="398"/>
      <c r="V8" s="738"/>
      <c r="W8" s="738"/>
      <c r="X8" s="738"/>
    </row>
    <row r="9" spans="1:24" ht="15.75" customHeight="1">
      <c r="A9" s="350">
        <v>1</v>
      </c>
      <c r="B9" s="359" t="s">
        <v>396</v>
      </c>
      <c r="C9" s="330" t="s">
        <v>1005</v>
      </c>
      <c r="D9" s="330"/>
      <c r="E9" s="330"/>
      <c r="F9" s="330"/>
      <c r="G9" s="330"/>
      <c r="H9" s="330"/>
      <c r="I9" s="330"/>
      <c r="J9" s="330"/>
      <c r="K9" s="330"/>
      <c r="L9" s="330"/>
      <c r="M9" s="330"/>
      <c r="N9" s="330"/>
      <c r="O9" s="349"/>
      <c r="P9" s="784"/>
      <c r="Q9" s="398"/>
      <c r="R9" s="779"/>
      <c r="S9" s="398"/>
      <c r="T9" s="398"/>
      <c r="U9" s="398"/>
      <c r="V9" s="738"/>
      <c r="W9" s="738"/>
      <c r="X9" s="738"/>
    </row>
    <row r="10" spans="1:24" ht="15.75" customHeight="1">
      <c r="A10" s="350"/>
      <c r="B10" s="359"/>
      <c r="C10" s="330">
        <f>15.225+1</f>
        <v>16.225000000000001</v>
      </c>
      <c r="D10" s="330"/>
      <c r="E10" s="330"/>
      <c r="F10" s="330"/>
      <c r="G10" s="330"/>
      <c r="H10" s="330">
        <v>2</v>
      </c>
      <c r="I10" s="330"/>
      <c r="J10" s="330"/>
      <c r="K10" s="330"/>
      <c r="L10" s="330"/>
      <c r="M10" s="330"/>
      <c r="N10" s="330">
        <f>C10*H10</f>
        <v>32.450000000000003</v>
      </c>
      <c r="O10" s="349"/>
      <c r="P10" s="784"/>
      <c r="Q10" s="398"/>
      <c r="R10" s="779"/>
      <c r="S10" s="398"/>
      <c r="T10" s="398"/>
      <c r="U10" s="398"/>
      <c r="V10" s="738"/>
      <c r="W10" s="738"/>
      <c r="X10" s="738"/>
    </row>
    <row r="11" spans="1:24" ht="15.75" customHeight="1">
      <c r="A11" s="350"/>
      <c r="B11" s="359"/>
      <c r="C11" s="330"/>
      <c r="D11" s="330">
        <f>6+1</f>
        <v>7</v>
      </c>
      <c r="E11" s="330"/>
      <c r="F11" s="330"/>
      <c r="G11" s="330"/>
      <c r="H11" s="330">
        <v>2</v>
      </c>
      <c r="I11" s="330"/>
      <c r="J11" s="330"/>
      <c r="K11" s="330"/>
      <c r="L11" s="330"/>
      <c r="M11" s="330"/>
      <c r="N11" s="752">
        <f>D11*H11</f>
        <v>14</v>
      </c>
      <c r="O11" s="349"/>
      <c r="P11" s="784"/>
      <c r="Q11" s="398"/>
      <c r="R11" s="779"/>
      <c r="S11" s="398"/>
      <c r="T11" s="398"/>
      <c r="U11" s="398"/>
      <c r="V11" s="738"/>
      <c r="W11" s="738"/>
      <c r="X11" s="738"/>
    </row>
    <row r="12" spans="1:24" ht="15.75" customHeight="1">
      <c r="A12" s="350"/>
      <c r="B12" s="359"/>
      <c r="C12" s="330"/>
      <c r="D12" s="330"/>
      <c r="E12" s="330"/>
      <c r="F12" s="330"/>
      <c r="G12" s="330"/>
      <c r="H12" s="330"/>
      <c r="I12" s="330"/>
      <c r="J12" s="330"/>
      <c r="K12" s="330"/>
      <c r="L12" s="330"/>
      <c r="M12" s="330"/>
      <c r="N12" s="401">
        <f>SUM(N10:N11)</f>
        <v>46.45</v>
      </c>
      <c r="O12" s="349" t="s">
        <v>89</v>
      </c>
      <c r="P12" s="784">
        <f>ROUND((N12),2)</f>
        <v>46.45</v>
      </c>
      <c r="Q12" s="398"/>
      <c r="R12" s="779"/>
      <c r="S12" s="398"/>
      <c r="T12" s="398"/>
      <c r="U12" s="398"/>
      <c r="V12" s="738"/>
      <c r="W12" s="738"/>
      <c r="X12" s="738"/>
    </row>
    <row r="13" spans="1:24" ht="15.75" customHeight="1">
      <c r="A13" s="751">
        <f>A9+1</f>
        <v>2</v>
      </c>
      <c r="B13" s="354" t="s">
        <v>397</v>
      </c>
      <c r="C13" s="330"/>
      <c r="D13" s="330"/>
      <c r="E13" s="330"/>
      <c r="F13" s="330"/>
      <c r="G13" s="330"/>
      <c r="H13" s="330"/>
      <c r="I13" s="330"/>
      <c r="J13" s="330"/>
      <c r="K13" s="330"/>
      <c r="L13" s="330"/>
      <c r="M13" s="330"/>
      <c r="N13" s="330"/>
      <c r="O13" s="349"/>
      <c r="P13" s="784"/>
      <c r="Q13" s="398"/>
      <c r="R13" s="779"/>
      <c r="S13" s="398"/>
      <c r="T13" s="398"/>
      <c r="U13" s="398"/>
      <c r="V13" s="738"/>
      <c r="W13" s="738"/>
      <c r="X13" s="738"/>
    </row>
    <row r="14" spans="1:24" ht="15.75" customHeight="1">
      <c r="A14" s="402" t="s">
        <v>95</v>
      </c>
      <c r="B14" s="354" t="s">
        <v>398</v>
      </c>
      <c r="C14" s="401">
        <v>1</v>
      </c>
      <c r="D14" s="401">
        <v>1</v>
      </c>
      <c r="E14" s="401">
        <f>0.8+0.07+0.3+0.03+0.07</f>
        <v>1.2700000000000002</v>
      </c>
      <c r="F14" s="401"/>
      <c r="G14" s="401"/>
      <c r="H14" s="401"/>
      <c r="I14" s="401"/>
      <c r="J14" s="401"/>
      <c r="K14" s="401"/>
      <c r="L14" s="401"/>
      <c r="M14" s="401">
        <v>8</v>
      </c>
      <c r="N14" s="401">
        <f>C14*D14*E14*M14</f>
        <v>10.160000000000002</v>
      </c>
      <c r="O14" s="349" t="s">
        <v>103</v>
      </c>
      <c r="P14" s="784">
        <f t="shared" ref="P14:P20" si="0">ROUND((N14),2)</f>
        <v>10.16</v>
      </c>
      <c r="Q14" s="398"/>
      <c r="R14" s="779"/>
      <c r="S14" s="398"/>
      <c r="T14" s="398"/>
      <c r="U14" s="398"/>
      <c r="V14" s="738"/>
      <c r="W14" s="738"/>
      <c r="X14" s="738"/>
    </row>
    <row r="15" spans="1:24" ht="15.75" customHeight="1">
      <c r="A15" s="402" t="s">
        <v>98</v>
      </c>
      <c r="B15" s="354" t="s">
        <v>399</v>
      </c>
      <c r="C15" s="401">
        <v>0.8</v>
      </c>
      <c r="D15" s="401">
        <v>0.8</v>
      </c>
      <c r="E15" s="401">
        <v>7.0000000000000007E-2</v>
      </c>
      <c r="F15" s="401"/>
      <c r="G15" s="401"/>
      <c r="H15" s="401"/>
      <c r="I15" s="401"/>
      <c r="J15" s="401"/>
      <c r="K15" s="401"/>
      <c r="L15" s="401"/>
      <c r="M15" s="401">
        <f t="shared" ref="M15:M20" si="1">M14</f>
        <v>8</v>
      </c>
      <c r="N15" s="401">
        <f>C15*D15*E15*M15</f>
        <v>0.35840000000000011</v>
      </c>
      <c r="O15" s="349" t="s">
        <v>103</v>
      </c>
      <c r="P15" s="784">
        <f t="shared" si="0"/>
        <v>0.36</v>
      </c>
      <c r="Q15" s="398"/>
      <c r="R15" s="779"/>
      <c r="S15" s="398"/>
      <c r="T15" s="398"/>
      <c r="U15" s="398"/>
      <c r="V15" s="738"/>
      <c r="W15" s="738"/>
      <c r="X15" s="738"/>
    </row>
    <row r="16" spans="1:24" ht="15.75" customHeight="1">
      <c r="A16" s="402" t="s">
        <v>101</v>
      </c>
      <c r="B16" s="354" t="s">
        <v>400</v>
      </c>
      <c r="C16" s="401">
        <f>C15</f>
        <v>0.8</v>
      </c>
      <c r="D16" s="401">
        <f>D15</f>
        <v>0.8</v>
      </c>
      <c r="E16" s="401">
        <v>0.03</v>
      </c>
      <c r="F16" s="401"/>
      <c r="G16" s="401"/>
      <c r="H16" s="401"/>
      <c r="I16" s="401"/>
      <c r="J16" s="401"/>
      <c r="K16" s="401"/>
      <c r="L16" s="401"/>
      <c r="M16" s="401">
        <f t="shared" si="1"/>
        <v>8</v>
      </c>
      <c r="N16" s="401">
        <f>C16*D16*E16*M16</f>
        <v>0.15360000000000001</v>
      </c>
      <c r="O16" s="349" t="s">
        <v>103</v>
      </c>
      <c r="P16" s="784">
        <f t="shared" si="0"/>
        <v>0.15</v>
      </c>
      <c r="Q16" s="398"/>
      <c r="R16" s="779"/>
      <c r="S16" s="398"/>
      <c r="T16" s="398"/>
      <c r="U16" s="398"/>
      <c r="V16" s="738"/>
      <c r="W16" s="738"/>
      <c r="X16" s="738"/>
    </row>
    <row r="17" spans="1:24" ht="15.75" customHeight="1">
      <c r="A17" s="402" t="s">
        <v>121</v>
      </c>
      <c r="B17" s="354" t="s">
        <v>401</v>
      </c>
      <c r="C17" s="401">
        <v>1</v>
      </c>
      <c r="D17" s="401"/>
      <c r="E17" s="401">
        <v>0.3</v>
      </c>
      <c r="F17" s="401"/>
      <c r="G17" s="401"/>
      <c r="H17" s="401">
        <v>4</v>
      </c>
      <c r="I17" s="401"/>
      <c r="J17" s="401"/>
      <c r="K17" s="401"/>
      <c r="L17" s="401"/>
      <c r="M17" s="401">
        <f t="shared" si="1"/>
        <v>8</v>
      </c>
      <c r="N17" s="401">
        <f>C17*E17*H17*M17</f>
        <v>9.6</v>
      </c>
      <c r="O17" s="349" t="s">
        <v>89</v>
      </c>
      <c r="P17" s="784">
        <f t="shared" si="0"/>
        <v>9.6</v>
      </c>
      <c r="Q17" s="398"/>
      <c r="R17" s="779"/>
      <c r="S17" s="398"/>
      <c r="T17" s="398"/>
      <c r="U17" s="398"/>
      <c r="V17" s="738"/>
      <c r="W17" s="738"/>
      <c r="X17" s="738"/>
    </row>
    <row r="18" spans="1:24" ht="15.75" customHeight="1">
      <c r="A18" s="402" t="s">
        <v>142</v>
      </c>
      <c r="B18" s="354" t="s">
        <v>895</v>
      </c>
      <c r="C18" s="401">
        <v>0.65</v>
      </c>
      <c r="D18" s="401"/>
      <c r="E18" s="401"/>
      <c r="F18" s="401">
        <f>13*13*0.006165</f>
        <v>1.041885</v>
      </c>
      <c r="G18" s="401">
        <f>0.15*2</f>
        <v>0.3</v>
      </c>
      <c r="H18" s="401">
        <v>4</v>
      </c>
      <c r="I18" s="401"/>
      <c r="J18" s="401"/>
      <c r="K18" s="401"/>
      <c r="L18" s="401">
        <f>ROUNDUP((C18/0.15),0.5)</f>
        <v>5</v>
      </c>
      <c r="M18" s="401">
        <f t="shared" si="1"/>
        <v>8</v>
      </c>
      <c r="N18" s="401">
        <f>(C18+G18)*F18*H18*L18*M18</f>
        <v>158.36651999999998</v>
      </c>
      <c r="O18" s="349" t="s">
        <v>100</v>
      </c>
      <c r="P18" s="784">
        <f t="shared" si="0"/>
        <v>158.37</v>
      </c>
      <c r="Q18" s="398"/>
      <c r="R18" s="779"/>
      <c r="S18" s="398"/>
      <c r="T18" s="398"/>
      <c r="U18" s="398"/>
      <c r="V18" s="738"/>
      <c r="W18" s="738"/>
      <c r="X18" s="738"/>
    </row>
    <row r="19" spans="1:24" ht="15.75" customHeight="1">
      <c r="A19" s="402" t="s">
        <v>217</v>
      </c>
      <c r="B19" s="356" t="s">
        <v>646</v>
      </c>
      <c r="C19" s="401">
        <f>C16</f>
        <v>0.8</v>
      </c>
      <c r="D19" s="401">
        <f>D16</f>
        <v>0.8</v>
      </c>
      <c r="E19" s="401">
        <f>E17</f>
        <v>0.3</v>
      </c>
      <c r="F19" s="401"/>
      <c r="G19" s="401"/>
      <c r="H19" s="401"/>
      <c r="I19" s="401"/>
      <c r="J19" s="401"/>
      <c r="K19" s="401"/>
      <c r="L19" s="401"/>
      <c r="M19" s="401">
        <f t="shared" si="1"/>
        <v>8</v>
      </c>
      <c r="N19" s="401">
        <f>C19*D19*E19*M19</f>
        <v>1.5360000000000003</v>
      </c>
      <c r="O19" s="349" t="s">
        <v>103</v>
      </c>
      <c r="P19" s="784">
        <f t="shared" si="0"/>
        <v>1.54</v>
      </c>
      <c r="Q19" s="398"/>
      <c r="R19" s="779"/>
      <c r="S19" s="398"/>
      <c r="T19" s="398"/>
      <c r="U19" s="398"/>
      <c r="V19" s="738"/>
      <c r="W19" s="738"/>
      <c r="X19" s="738"/>
    </row>
    <row r="20" spans="1:24" ht="15.75" customHeight="1">
      <c r="A20" s="402" t="s">
        <v>366</v>
      </c>
      <c r="B20" s="354" t="s">
        <v>383</v>
      </c>
      <c r="C20" s="401"/>
      <c r="D20" s="401"/>
      <c r="E20" s="401">
        <v>4</v>
      </c>
      <c r="F20" s="401"/>
      <c r="G20" s="401"/>
      <c r="H20" s="401"/>
      <c r="I20" s="401"/>
      <c r="J20" s="401"/>
      <c r="K20" s="401"/>
      <c r="L20" s="401">
        <v>8</v>
      </c>
      <c r="M20" s="401">
        <f t="shared" si="1"/>
        <v>8</v>
      </c>
      <c r="N20" s="401">
        <f>E20*L20*M20</f>
        <v>256</v>
      </c>
      <c r="O20" s="349" t="s">
        <v>117</v>
      </c>
      <c r="P20" s="784">
        <f t="shared" si="0"/>
        <v>256</v>
      </c>
      <c r="Q20" s="398"/>
      <c r="R20" s="779"/>
      <c r="S20" s="398"/>
      <c r="T20" s="398"/>
      <c r="U20" s="398"/>
      <c r="V20" s="738"/>
      <c r="W20" s="738"/>
      <c r="X20" s="738"/>
    </row>
    <row r="21" spans="1:24" ht="15.75" customHeight="1">
      <c r="A21" s="350">
        <f>A13+1</f>
        <v>3</v>
      </c>
      <c r="B21" s="359" t="s">
        <v>403</v>
      </c>
      <c r="C21" s="330"/>
      <c r="D21" s="330"/>
      <c r="E21" s="330"/>
      <c r="F21" s="330"/>
      <c r="G21" s="330"/>
      <c r="H21" s="330"/>
      <c r="I21" s="330"/>
      <c r="J21" s="330"/>
      <c r="K21" s="330"/>
      <c r="L21" s="330"/>
      <c r="M21" s="330"/>
      <c r="N21" s="330"/>
      <c r="O21" s="349"/>
      <c r="P21" s="784"/>
      <c r="Q21" s="398"/>
      <c r="R21" s="779"/>
      <c r="S21" s="398"/>
      <c r="T21" s="398"/>
      <c r="U21" s="398"/>
      <c r="V21" s="738"/>
      <c r="W21" s="738"/>
      <c r="X21" s="738"/>
    </row>
    <row r="22" spans="1:24" ht="15.75" customHeight="1">
      <c r="A22" s="355" t="s">
        <v>95</v>
      </c>
      <c r="B22" s="359" t="s">
        <v>930</v>
      </c>
      <c r="C22" s="330"/>
      <c r="D22" s="818"/>
      <c r="E22" s="330"/>
      <c r="F22" s="330"/>
      <c r="G22" s="330"/>
      <c r="H22" s="330"/>
      <c r="I22" s="330"/>
      <c r="J22" s="330"/>
      <c r="K22" s="330"/>
      <c r="L22" s="330"/>
      <c r="M22" s="330"/>
      <c r="N22" s="330"/>
      <c r="O22" s="349"/>
      <c r="P22" s="784"/>
      <c r="Q22" s="398"/>
      <c r="R22" s="779"/>
      <c r="S22" s="398"/>
      <c r="T22" s="398"/>
      <c r="U22" s="398"/>
      <c r="V22" s="738"/>
      <c r="W22" s="738"/>
      <c r="X22" s="738"/>
    </row>
    <row r="23" spans="1:24" ht="15.75" customHeight="1">
      <c r="A23" s="355"/>
      <c r="B23" s="567" t="s">
        <v>226</v>
      </c>
      <c r="C23" s="330">
        <v>12</v>
      </c>
      <c r="D23" s="330">
        <v>0.8</v>
      </c>
      <c r="E23" s="330">
        <v>0.9</v>
      </c>
      <c r="F23" s="330"/>
      <c r="G23" s="330"/>
      <c r="H23" s="330"/>
      <c r="I23" s="330"/>
      <c r="J23" s="330"/>
      <c r="K23" s="330"/>
      <c r="L23" s="330"/>
      <c r="M23" s="330">
        <v>2</v>
      </c>
      <c r="N23" s="330">
        <f>C23*D23*E23*M23</f>
        <v>17.280000000000005</v>
      </c>
      <c r="O23" s="349"/>
      <c r="P23" s="784"/>
      <c r="Q23" s="398"/>
      <c r="R23" s="779"/>
      <c r="S23" s="398"/>
      <c r="T23" s="398"/>
      <c r="U23" s="398"/>
      <c r="V23" s="738"/>
      <c r="W23" s="738"/>
      <c r="X23" s="738"/>
    </row>
    <row r="24" spans="1:24" ht="15.75" customHeight="1">
      <c r="A24" s="355"/>
      <c r="B24" s="567" t="s">
        <v>227</v>
      </c>
      <c r="C24" s="330">
        <v>6</v>
      </c>
      <c r="D24" s="330">
        <f>D23</f>
        <v>0.8</v>
      </c>
      <c r="E24" s="330">
        <f>E23</f>
        <v>0.9</v>
      </c>
      <c r="F24" s="330"/>
      <c r="G24" s="330"/>
      <c r="H24" s="330"/>
      <c r="I24" s="330"/>
      <c r="J24" s="330"/>
      <c r="K24" s="330"/>
      <c r="L24" s="330"/>
      <c r="M24" s="330">
        <v>4</v>
      </c>
      <c r="N24" s="752">
        <f>C24*D24*E24*M24</f>
        <v>17.280000000000005</v>
      </c>
      <c r="O24" s="349"/>
      <c r="P24" s="784"/>
      <c r="Q24" s="398"/>
      <c r="R24" s="779"/>
      <c r="S24" s="398"/>
      <c r="T24" s="398"/>
      <c r="U24" s="398"/>
      <c r="V24" s="738"/>
      <c r="W24" s="738"/>
      <c r="X24" s="738"/>
    </row>
    <row r="25" spans="1:24" ht="15.75" customHeight="1">
      <c r="A25" s="355"/>
      <c r="B25" s="359"/>
      <c r="C25" s="330"/>
      <c r="D25" s="330"/>
      <c r="E25" s="330"/>
      <c r="F25" s="330"/>
      <c r="G25" s="330"/>
      <c r="H25" s="330"/>
      <c r="I25" s="330"/>
      <c r="J25" s="330"/>
      <c r="K25" s="330"/>
      <c r="L25" s="330"/>
      <c r="M25" s="330"/>
      <c r="N25" s="401">
        <f>SUM(N23:N24)</f>
        <v>34.560000000000009</v>
      </c>
      <c r="O25" s="349" t="s">
        <v>103</v>
      </c>
      <c r="P25" s="784">
        <f>ROUND((N25),2)</f>
        <v>34.56</v>
      </c>
      <c r="Q25" s="398"/>
      <c r="R25" s="779"/>
      <c r="S25" s="398"/>
      <c r="T25" s="398"/>
      <c r="U25" s="398"/>
      <c r="V25" s="738"/>
      <c r="W25" s="738"/>
      <c r="X25" s="738"/>
    </row>
    <row r="26" spans="1:24" ht="15.75" customHeight="1">
      <c r="A26" s="404" t="s">
        <v>98</v>
      </c>
      <c r="B26" s="417" t="s">
        <v>405</v>
      </c>
      <c r="C26" s="330"/>
      <c r="D26" s="330"/>
      <c r="E26" s="330"/>
      <c r="F26" s="401"/>
      <c r="G26" s="401"/>
      <c r="H26" s="330"/>
      <c r="I26" s="401"/>
      <c r="J26" s="401"/>
      <c r="K26" s="330"/>
      <c r="L26" s="330"/>
      <c r="M26" s="401"/>
      <c r="N26" s="330"/>
      <c r="O26" s="330"/>
      <c r="P26" s="784"/>
      <c r="Q26" s="398"/>
      <c r="R26" s="779"/>
      <c r="S26" s="398"/>
      <c r="T26" s="398"/>
      <c r="U26" s="398"/>
      <c r="V26" s="738"/>
      <c r="W26" s="738"/>
      <c r="X26" s="738"/>
    </row>
    <row r="27" spans="1:24" ht="15.75" customHeight="1">
      <c r="A27" s="404"/>
      <c r="B27" s="803" t="str">
        <f>B23</f>
        <v>horisontal</v>
      </c>
      <c r="C27" s="330">
        <f>C23</f>
        <v>12</v>
      </c>
      <c r="D27" s="330"/>
      <c r="E27" s="330"/>
      <c r="F27" s="401"/>
      <c r="G27" s="401"/>
      <c r="H27" s="330"/>
      <c r="I27" s="401"/>
      <c r="J27" s="401"/>
      <c r="K27" s="330"/>
      <c r="L27" s="330"/>
      <c r="M27" s="401">
        <f>M23</f>
        <v>2</v>
      </c>
      <c r="N27" s="570">
        <f>C27*M27</f>
        <v>24</v>
      </c>
      <c r="O27" s="395"/>
      <c r="P27" s="784"/>
      <c r="Q27" s="398"/>
      <c r="R27" s="779"/>
      <c r="S27" s="398"/>
      <c r="T27" s="398"/>
      <c r="U27" s="398"/>
      <c r="V27" s="738"/>
      <c r="W27" s="738"/>
      <c r="X27" s="738"/>
    </row>
    <row r="28" spans="1:24" ht="15.75" customHeight="1">
      <c r="A28" s="404"/>
      <c r="B28" s="803" t="str">
        <f>B24</f>
        <v>vertikal</v>
      </c>
      <c r="C28" s="330">
        <f>C24</f>
        <v>6</v>
      </c>
      <c r="D28" s="330"/>
      <c r="E28" s="330"/>
      <c r="F28" s="401"/>
      <c r="G28" s="401"/>
      <c r="H28" s="330"/>
      <c r="I28" s="401"/>
      <c r="J28" s="401"/>
      <c r="K28" s="330"/>
      <c r="L28" s="330"/>
      <c r="M28" s="401">
        <f>M24</f>
        <v>4</v>
      </c>
      <c r="N28" s="570">
        <f>C28*M28</f>
        <v>24</v>
      </c>
      <c r="O28" s="395"/>
      <c r="P28" s="784"/>
      <c r="Q28" s="398"/>
      <c r="R28" s="779"/>
      <c r="S28" s="398"/>
      <c r="T28" s="398"/>
      <c r="U28" s="398"/>
      <c r="V28" s="738"/>
      <c r="W28" s="738"/>
      <c r="X28" s="738"/>
    </row>
    <row r="29" spans="1:24" ht="15.75" customHeight="1">
      <c r="A29" s="404"/>
      <c r="B29" s="417"/>
      <c r="C29" s="401"/>
      <c r="D29" s="401"/>
      <c r="E29" s="401"/>
      <c r="F29" s="401"/>
      <c r="G29" s="401"/>
      <c r="H29" s="401"/>
      <c r="I29" s="401"/>
      <c r="J29" s="401"/>
      <c r="K29" s="401"/>
      <c r="L29" s="401"/>
      <c r="M29" s="401"/>
      <c r="N29" s="401">
        <f>SUM(N27:N28)</f>
        <v>48</v>
      </c>
      <c r="O29" s="395"/>
      <c r="P29" s="784"/>
      <c r="Q29" s="398"/>
      <c r="R29" s="779"/>
      <c r="S29" s="398"/>
      <c r="T29" s="398"/>
      <c r="U29" s="398"/>
      <c r="V29" s="738"/>
      <c r="W29" s="738"/>
      <c r="X29" s="738"/>
    </row>
    <row r="30" spans="1:24" ht="15.75" customHeight="1">
      <c r="A30" s="404"/>
      <c r="B30" s="803" t="s">
        <v>1006</v>
      </c>
      <c r="C30" s="401"/>
      <c r="D30" s="401"/>
      <c r="E30" s="401">
        <v>4</v>
      </c>
      <c r="F30" s="401">
        <f>N29/0.5</f>
        <v>96</v>
      </c>
      <c r="G30" s="401"/>
      <c r="H30" s="401">
        <v>2</v>
      </c>
      <c r="I30" s="401"/>
      <c r="J30" s="401"/>
      <c r="K30" s="554"/>
      <c r="L30" s="401"/>
      <c r="M30" s="401"/>
      <c r="N30" s="401">
        <f>E30*H30*F30</f>
        <v>768</v>
      </c>
      <c r="O30" s="395" t="s">
        <v>117</v>
      </c>
      <c r="P30" s="784">
        <f>ROUND((N30),2)</f>
        <v>768</v>
      </c>
      <c r="Q30" s="398"/>
      <c r="R30" s="779"/>
      <c r="S30" s="398"/>
      <c r="T30" s="398"/>
      <c r="U30" s="398"/>
      <c r="V30" s="738"/>
      <c r="W30" s="738"/>
      <c r="X30" s="738"/>
    </row>
    <row r="31" spans="1:24" ht="15.75" customHeight="1">
      <c r="A31" s="355" t="s">
        <v>101</v>
      </c>
      <c r="B31" s="359" t="s">
        <v>406</v>
      </c>
      <c r="C31" s="330"/>
      <c r="D31" s="330"/>
      <c r="E31" s="330"/>
      <c r="F31" s="330"/>
      <c r="G31" s="330"/>
      <c r="H31" s="330"/>
      <c r="I31" s="330"/>
      <c r="J31" s="330"/>
      <c r="K31" s="330"/>
      <c r="L31" s="330"/>
      <c r="M31" s="330"/>
      <c r="N31" s="401"/>
      <c r="O31" s="349"/>
      <c r="P31" s="784"/>
      <c r="Q31" s="398"/>
      <c r="R31" s="779"/>
      <c r="S31" s="398"/>
      <c r="T31" s="398"/>
      <c r="U31" s="398"/>
      <c r="V31" s="738"/>
      <c r="W31" s="738"/>
      <c r="X31" s="738"/>
    </row>
    <row r="32" spans="1:24" ht="15.75" customHeight="1">
      <c r="A32" s="355"/>
      <c r="B32" s="567" t="str">
        <f t="shared" ref="B32:D33" si="2">B23</f>
        <v>horisontal</v>
      </c>
      <c r="C32" s="330">
        <f t="shared" si="2"/>
        <v>12</v>
      </c>
      <c r="D32" s="330">
        <f t="shared" si="2"/>
        <v>0.8</v>
      </c>
      <c r="E32" s="330">
        <v>7.0000000000000007E-2</v>
      </c>
      <c r="F32" s="330"/>
      <c r="G32" s="330"/>
      <c r="H32" s="330"/>
      <c r="I32" s="330"/>
      <c r="J32" s="330"/>
      <c r="K32" s="330"/>
      <c r="L32" s="330"/>
      <c r="M32" s="330">
        <f>M23</f>
        <v>2</v>
      </c>
      <c r="N32" s="330">
        <f>C32*D32*E32*M32</f>
        <v>1.3440000000000003</v>
      </c>
      <c r="O32" s="349"/>
      <c r="P32" s="784"/>
      <c r="Q32" s="398"/>
      <c r="R32" s="779"/>
      <c r="S32" s="398"/>
      <c r="T32" s="398"/>
      <c r="U32" s="398"/>
      <c r="V32" s="738"/>
      <c r="W32" s="738"/>
      <c r="X32" s="738"/>
    </row>
    <row r="33" spans="1:24" ht="15.75" customHeight="1">
      <c r="A33" s="355"/>
      <c r="B33" s="567" t="str">
        <f t="shared" si="2"/>
        <v>vertikal</v>
      </c>
      <c r="C33" s="330">
        <f t="shared" si="2"/>
        <v>6</v>
      </c>
      <c r="D33" s="330">
        <f t="shared" si="2"/>
        <v>0.8</v>
      </c>
      <c r="E33" s="330">
        <f>E32</f>
        <v>7.0000000000000007E-2</v>
      </c>
      <c r="F33" s="330"/>
      <c r="G33" s="330"/>
      <c r="H33" s="330"/>
      <c r="I33" s="330"/>
      <c r="J33" s="330"/>
      <c r="K33" s="330"/>
      <c r="L33" s="330"/>
      <c r="M33" s="330">
        <f>M24</f>
        <v>4</v>
      </c>
      <c r="N33" s="752">
        <f>C33*D33*E33*M33</f>
        <v>1.3440000000000003</v>
      </c>
      <c r="O33" s="349"/>
      <c r="P33" s="784"/>
      <c r="Q33" s="398"/>
      <c r="R33" s="779"/>
      <c r="S33" s="398"/>
      <c r="T33" s="398"/>
      <c r="U33" s="398"/>
      <c r="V33" s="738"/>
      <c r="W33" s="738"/>
      <c r="X33" s="738"/>
    </row>
    <row r="34" spans="1:24" ht="15.75" customHeight="1">
      <c r="A34" s="355"/>
      <c r="B34" s="359"/>
      <c r="C34" s="330"/>
      <c r="D34" s="330"/>
      <c r="E34" s="330"/>
      <c r="F34" s="330"/>
      <c r="G34" s="330"/>
      <c r="H34" s="330"/>
      <c r="I34" s="330"/>
      <c r="J34" s="330"/>
      <c r="K34" s="330"/>
      <c r="L34" s="330"/>
      <c r="M34" s="330"/>
      <c r="N34" s="401">
        <f>SUM(N32:N33)</f>
        <v>2.6880000000000006</v>
      </c>
      <c r="O34" s="349" t="s">
        <v>103</v>
      </c>
      <c r="P34" s="784">
        <f>ROUND((N34),2)</f>
        <v>2.69</v>
      </c>
      <c r="Q34" s="398"/>
      <c r="R34" s="779"/>
      <c r="S34" s="398"/>
      <c r="T34" s="398"/>
      <c r="U34" s="398"/>
      <c r="V34" s="738"/>
      <c r="W34" s="738"/>
      <c r="X34" s="738"/>
    </row>
    <row r="35" spans="1:24" ht="15.75" customHeight="1">
      <c r="A35" s="355" t="s">
        <v>121</v>
      </c>
      <c r="B35" s="351" t="s">
        <v>400</v>
      </c>
      <c r="C35" s="330"/>
      <c r="D35" s="330"/>
      <c r="E35" s="330"/>
      <c r="F35" s="330"/>
      <c r="G35" s="330"/>
      <c r="H35" s="330"/>
      <c r="I35" s="330"/>
      <c r="J35" s="330"/>
      <c r="K35" s="330"/>
      <c r="L35" s="330"/>
      <c r="M35" s="330"/>
      <c r="N35" s="401"/>
      <c r="O35" s="349"/>
      <c r="P35" s="784"/>
      <c r="Q35" s="398"/>
      <c r="R35" s="779"/>
      <c r="S35" s="398"/>
      <c r="T35" s="398"/>
      <c r="U35" s="398"/>
      <c r="V35" s="738"/>
      <c r="W35" s="738"/>
      <c r="X35" s="738"/>
    </row>
    <row r="36" spans="1:24" ht="15.75" customHeight="1">
      <c r="A36" s="355"/>
      <c r="B36" s="567" t="str">
        <f t="shared" ref="B36:D37" si="3">B32</f>
        <v>horisontal</v>
      </c>
      <c r="C36" s="330">
        <f t="shared" si="3"/>
        <v>12</v>
      </c>
      <c r="D36" s="330">
        <f t="shared" si="3"/>
        <v>0.8</v>
      </c>
      <c r="E36" s="330">
        <f>E23-0.8-E32</f>
        <v>2.9999999999999971E-2</v>
      </c>
      <c r="F36" s="330"/>
      <c r="G36" s="330"/>
      <c r="H36" s="330"/>
      <c r="I36" s="330"/>
      <c r="J36" s="330"/>
      <c r="K36" s="330"/>
      <c r="L36" s="330"/>
      <c r="M36" s="330">
        <f>M32</f>
        <v>2</v>
      </c>
      <c r="N36" s="330">
        <f>C36*D36*E36*M36</f>
        <v>0.57599999999999951</v>
      </c>
      <c r="O36" s="349"/>
      <c r="P36" s="784"/>
      <c r="Q36" s="398"/>
      <c r="R36" s="779"/>
      <c r="S36" s="398"/>
      <c r="T36" s="398"/>
      <c r="U36" s="398"/>
      <c r="V36" s="738"/>
      <c r="W36" s="738"/>
      <c r="X36" s="738"/>
    </row>
    <row r="37" spans="1:24" ht="15.75" customHeight="1">
      <c r="A37" s="355"/>
      <c r="B37" s="567" t="str">
        <f t="shared" si="3"/>
        <v>vertikal</v>
      </c>
      <c r="C37" s="330">
        <f t="shared" si="3"/>
        <v>6</v>
      </c>
      <c r="D37" s="330">
        <f t="shared" si="3"/>
        <v>0.8</v>
      </c>
      <c r="E37" s="330">
        <f>E36</f>
        <v>2.9999999999999971E-2</v>
      </c>
      <c r="F37" s="330"/>
      <c r="G37" s="330"/>
      <c r="H37" s="330"/>
      <c r="I37" s="330"/>
      <c r="J37" s="330"/>
      <c r="K37" s="330"/>
      <c r="L37" s="330"/>
      <c r="M37" s="330">
        <f>M33</f>
        <v>4</v>
      </c>
      <c r="N37" s="752">
        <f>C37*D37*E37*M37</f>
        <v>0.57599999999999951</v>
      </c>
      <c r="O37" s="349"/>
      <c r="P37" s="784"/>
      <c r="Q37" s="398"/>
      <c r="R37" s="779"/>
      <c r="S37" s="398"/>
      <c r="T37" s="398"/>
      <c r="U37" s="398"/>
      <c r="V37" s="738"/>
      <c r="W37" s="738"/>
      <c r="X37" s="738"/>
    </row>
    <row r="38" spans="1:24" ht="15.75" customHeight="1">
      <c r="A38" s="355"/>
      <c r="B38" s="359"/>
      <c r="C38" s="330"/>
      <c r="D38" s="330"/>
      <c r="E38" s="330"/>
      <c r="F38" s="330"/>
      <c r="G38" s="330"/>
      <c r="H38" s="330"/>
      <c r="I38" s="330"/>
      <c r="J38" s="330"/>
      <c r="K38" s="330"/>
      <c r="L38" s="330"/>
      <c r="M38" s="330"/>
      <c r="N38" s="401">
        <f>SUM(N36:N37)</f>
        <v>1.151999999999999</v>
      </c>
      <c r="O38" s="349" t="s">
        <v>103</v>
      </c>
      <c r="P38" s="784">
        <f>ROUND((N38),2)</f>
        <v>1.1499999999999999</v>
      </c>
      <c r="Q38" s="398"/>
      <c r="R38" s="779"/>
      <c r="S38" s="398"/>
      <c r="T38" s="398"/>
      <c r="U38" s="398"/>
      <c r="V38" s="738"/>
      <c r="W38" s="738"/>
      <c r="X38" s="738"/>
    </row>
    <row r="39" spans="1:24" ht="15.75" customHeight="1">
      <c r="A39" s="355" t="s">
        <v>142</v>
      </c>
      <c r="B39" s="359" t="s">
        <v>407</v>
      </c>
      <c r="C39" s="330"/>
      <c r="D39" s="330"/>
      <c r="E39" s="330"/>
      <c r="F39" s="330"/>
      <c r="G39" s="330"/>
      <c r="H39" s="330"/>
      <c r="I39" s="330"/>
      <c r="J39" s="330"/>
      <c r="K39" s="330"/>
      <c r="L39" s="330"/>
      <c r="M39" s="330"/>
      <c r="N39" s="330"/>
      <c r="O39" s="349"/>
      <c r="P39" s="784"/>
      <c r="Q39" s="398"/>
      <c r="R39" s="779"/>
      <c r="S39" s="398"/>
      <c r="T39" s="398"/>
      <c r="U39" s="398"/>
      <c r="V39" s="738"/>
      <c r="W39" s="738"/>
      <c r="X39" s="738"/>
    </row>
    <row r="40" spans="1:24" ht="15.75" customHeight="1">
      <c r="A40" s="355"/>
      <c r="B40" s="567"/>
      <c r="C40" s="330"/>
      <c r="D40" s="818" t="s">
        <v>1007</v>
      </c>
      <c r="E40" s="330"/>
      <c r="F40" s="330"/>
      <c r="G40" s="330"/>
      <c r="H40" s="330"/>
      <c r="I40" s="330"/>
      <c r="J40" s="330"/>
      <c r="K40" s="330"/>
      <c r="L40" s="330"/>
      <c r="M40" s="330"/>
      <c r="N40" s="330"/>
      <c r="O40" s="349"/>
      <c r="P40" s="784"/>
      <c r="Q40" s="398"/>
      <c r="R40" s="779"/>
      <c r="S40" s="398"/>
      <c r="T40" s="398"/>
      <c r="U40" s="398"/>
      <c r="V40" s="738"/>
      <c r="W40" s="738"/>
      <c r="X40" s="738"/>
    </row>
    <row r="41" spans="1:24" ht="15.75" customHeight="1">
      <c r="A41" s="355"/>
      <c r="B41" s="567" t="str">
        <f>B32</f>
        <v>horisontal</v>
      </c>
      <c r="C41" s="330">
        <f>C23</f>
        <v>12</v>
      </c>
      <c r="D41" s="330">
        <f>(0.3+0.8)/2</f>
        <v>0.55000000000000004</v>
      </c>
      <c r="E41" s="330">
        <f>E23-E32-E36</f>
        <v>0.8</v>
      </c>
      <c r="F41" s="330"/>
      <c r="G41" s="330"/>
      <c r="H41" s="330"/>
      <c r="I41" s="330"/>
      <c r="J41" s="330"/>
      <c r="K41" s="330"/>
      <c r="L41" s="330"/>
      <c r="M41" s="330">
        <f>M32</f>
        <v>2</v>
      </c>
      <c r="N41" s="330">
        <f>C41*D41*E41*M41</f>
        <v>10.560000000000002</v>
      </c>
      <c r="O41" s="349"/>
      <c r="P41" s="784"/>
      <c r="Q41" s="398"/>
      <c r="R41" s="779"/>
      <c r="S41" s="398"/>
      <c r="T41" s="398"/>
      <c r="U41" s="398"/>
      <c r="V41" s="738"/>
      <c r="W41" s="738"/>
      <c r="X41" s="738"/>
    </row>
    <row r="42" spans="1:24" ht="15.75" customHeight="1">
      <c r="A42" s="355"/>
      <c r="B42" s="567" t="str">
        <f>B33</f>
        <v>vertikal</v>
      </c>
      <c r="C42" s="330">
        <f>C33</f>
        <v>6</v>
      </c>
      <c r="D42" s="330">
        <f>D41</f>
        <v>0.55000000000000004</v>
      </c>
      <c r="E42" s="330">
        <f>E41</f>
        <v>0.8</v>
      </c>
      <c r="F42" s="330"/>
      <c r="G42" s="330"/>
      <c r="H42" s="330"/>
      <c r="I42" s="330"/>
      <c r="J42" s="330"/>
      <c r="K42" s="330"/>
      <c r="L42" s="330"/>
      <c r="M42" s="330">
        <f>M33</f>
        <v>4</v>
      </c>
      <c r="N42" s="752">
        <f>C42*D42*E42*M42</f>
        <v>10.560000000000002</v>
      </c>
      <c r="O42" s="349"/>
      <c r="P42" s="784"/>
      <c r="Q42" s="398"/>
      <c r="R42" s="779"/>
      <c r="S42" s="398"/>
      <c r="T42" s="398"/>
      <c r="U42" s="398"/>
      <c r="V42" s="738"/>
      <c r="W42" s="738"/>
      <c r="X42" s="738"/>
    </row>
    <row r="43" spans="1:24" ht="15.75" customHeight="1">
      <c r="A43" s="350"/>
      <c r="B43" s="359"/>
      <c r="C43" s="330"/>
      <c r="D43" s="330"/>
      <c r="E43" s="330"/>
      <c r="F43" s="330"/>
      <c r="G43" s="330"/>
      <c r="H43" s="330"/>
      <c r="I43" s="330"/>
      <c r="J43" s="330"/>
      <c r="K43" s="330"/>
      <c r="L43" s="330"/>
      <c r="M43" s="330"/>
      <c r="N43" s="401">
        <f>SUM(N41:N42)</f>
        <v>21.120000000000005</v>
      </c>
      <c r="O43" s="349" t="s">
        <v>103</v>
      </c>
      <c r="P43" s="784">
        <f>ROUND((N43),2)</f>
        <v>21.12</v>
      </c>
      <c r="Q43" s="398"/>
      <c r="R43" s="779"/>
      <c r="S43" s="398"/>
      <c r="T43" s="398"/>
      <c r="U43" s="398"/>
      <c r="V43" s="738"/>
      <c r="W43" s="738"/>
      <c r="X43" s="738"/>
    </row>
    <row r="44" spans="1:24" ht="15.75" customHeight="1">
      <c r="A44" s="350">
        <f>A21+1</f>
        <v>4</v>
      </c>
      <c r="B44" s="351" t="s">
        <v>1130</v>
      </c>
      <c r="C44" s="330"/>
      <c r="D44" s="330"/>
      <c r="E44" s="330"/>
      <c r="F44" s="330"/>
      <c r="G44" s="330"/>
      <c r="H44" s="330"/>
      <c r="I44" s="330"/>
      <c r="J44" s="330"/>
      <c r="K44" s="330"/>
      <c r="L44" s="330"/>
      <c r="M44" s="330"/>
      <c r="N44" s="401"/>
      <c r="O44" s="349"/>
      <c r="P44" s="784"/>
      <c r="Q44" s="398"/>
      <c r="R44" s="779"/>
      <c r="S44" s="398"/>
      <c r="T44" s="398"/>
      <c r="U44" s="398"/>
      <c r="V44" s="738"/>
      <c r="W44" s="738"/>
      <c r="X44" s="738"/>
    </row>
    <row r="45" spans="1:24" ht="15.75" customHeight="1">
      <c r="A45" s="350"/>
      <c r="B45" s="567" t="s">
        <v>1111</v>
      </c>
      <c r="C45" s="330">
        <f>C52</f>
        <v>12</v>
      </c>
      <c r="D45" s="330"/>
      <c r="E45" s="330"/>
      <c r="F45" s="330"/>
      <c r="G45" s="330"/>
      <c r="H45" s="330"/>
      <c r="I45" s="330"/>
      <c r="J45" s="330"/>
      <c r="K45" s="330"/>
      <c r="L45" s="330"/>
      <c r="M45" s="330">
        <f>M52</f>
        <v>2</v>
      </c>
      <c r="N45" s="401">
        <f>C45*M45</f>
        <v>24</v>
      </c>
      <c r="O45" s="349"/>
      <c r="P45" s="784"/>
      <c r="Q45" s="398"/>
      <c r="R45" s="779"/>
      <c r="S45" s="398"/>
      <c r="T45" s="398"/>
      <c r="U45" s="398"/>
      <c r="V45" s="738"/>
      <c r="W45" s="738"/>
      <c r="X45" s="738"/>
    </row>
    <row r="46" spans="1:24" ht="15.75" customHeight="1">
      <c r="A46" s="350"/>
      <c r="B46" s="359"/>
      <c r="C46" s="330">
        <f>C53</f>
        <v>6</v>
      </c>
      <c r="D46" s="330"/>
      <c r="E46" s="330"/>
      <c r="F46" s="330"/>
      <c r="G46" s="330"/>
      <c r="H46" s="330"/>
      <c r="I46" s="330"/>
      <c r="J46" s="330"/>
      <c r="K46" s="330"/>
      <c r="L46" s="330"/>
      <c r="M46" s="330">
        <f>M53</f>
        <v>4</v>
      </c>
      <c r="N46" s="401">
        <f>C46*M46</f>
        <v>24</v>
      </c>
      <c r="O46" s="349"/>
      <c r="P46" s="784"/>
      <c r="Q46" s="398"/>
      <c r="R46" s="779"/>
      <c r="S46" s="398"/>
      <c r="T46" s="398"/>
      <c r="U46" s="398"/>
      <c r="V46" s="738"/>
      <c r="W46" s="738"/>
      <c r="X46" s="738"/>
    </row>
    <row r="47" spans="1:24" ht="15.75" customHeight="1">
      <c r="A47" s="350"/>
      <c r="B47" s="359"/>
      <c r="C47" s="330"/>
      <c r="D47" s="330"/>
      <c r="E47" s="330"/>
      <c r="F47" s="330"/>
      <c r="G47" s="330"/>
      <c r="H47" s="330"/>
      <c r="I47" s="330"/>
      <c r="J47" s="330"/>
      <c r="K47" s="330"/>
      <c r="L47" s="330"/>
      <c r="M47" s="330"/>
      <c r="N47" s="401">
        <f>SUM(N45:N46)</f>
        <v>48</v>
      </c>
      <c r="O47" s="395" t="s">
        <v>117</v>
      </c>
      <c r="P47" s="784"/>
      <c r="Q47" s="398"/>
      <c r="R47" s="779"/>
      <c r="S47" s="398"/>
      <c r="T47" s="398"/>
      <c r="U47" s="398"/>
      <c r="V47" s="738"/>
      <c r="W47" s="738"/>
      <c r="X47" s="738"/>
    </row>
    <row r="48" spans="1:24" ht="15.75" customHeight="1">
      <c r="A48" s="350"/>
      <c r="B48" s="567" t="s">
        <v>1131</v>
      </c>
      <c r="C48" s="330">
        <f>N47</f>
        <v>48</v>
      </c>
      <c r="D48" s="330">
        <v>0.5</v>
      </c>
      <c r="E48" s="330"/>
      <c r="F48" s="330"/>
      <c r="G48" s="330"/>
      <c r="H48" s="330"/>
      <c r="I48" s="330"/>
      <c r="J48" s="330"/>
      <c r="K48" s="330"/>
      <c r="L48" s="330"/>
      <c r="M48" s="330"/>
      <c r="N48" s="401">
        <f>ROUNDDOWN((C48/D48),0.5)</f>
        <v>96</v>
      </c>
      <c r="O48" s="349" t="s">
        <v>124</v>
      </c>
      <c r="P48" s="784"/>
      <c r="Q48" s="398"/>
      <c r="R48" s="779"/>
      <c r="S48" s="398"/>
      <c r="T48" s="398"/>
      <c r="U48" s="398"/>
      <c r="V48" s="738"/>
      <c r="W48" s="738"/>
      <c r="X48" s="738"/>
    </row>
    <row r="49" spans="1:24" ht="15.75" customHeight="1">
      <c r="A49" s="350"/>
      <c r="B49" s="567" t="s">
        <v>1132</v>
      </c>
      <c r="C49" s="330"/>
      <c r="D49" s="330"/>
      <c r="E49" s="330"/>
      <c r="F49" s="330">
        <f>N48</f>
        <v>96</v>
      </c>
      <c r="G49" s="330"/>
      <c r="H49" s="330"/>
      <c r="I49" s="330"/>
      <c r="J49" s="330"/>
      <c r="K49" s="330"/>
      <c r="L49" s="330">
        <f>13*13*0.006165</f>
        <v>1.041885</v>
      </c>
      <c r="M49" s="330"/>
      <c r="N49" s="401">
        <f>F49*L49</f>
        <v>100.02096</v>
      </c>
      <c r="O49" s="349" t="s">
        <v>100</v>
      </c>
      <c r="P49" s="784">
        <f>ROUND((N49),2)</f>
        <v>100.02</v>
      </c>
      <c r="Q49" s="398"/>
      <c r="R49" s="779"/>
      <c r="S49" s="398"/>
      <c r="T49" s="398"/>
      <c r="U49" s="398"/>
      <c r="V49" s="738"/>
      <c r="W49" s="738"/>
      <c r="X49" s="738"/>
    </row>
    <row r="50" spans="1:24" ht="15.75" customHeight="1">
      <c r="A50" s="350">
        <f>A44+1</f>
        <v>5</v>
      </c>
      <c r="B50" s="359" t="s">
        <v>409</v>
      </c>
      <c r="C50" s="330"/>
      <c r="D50" s="330"/>
      <c r="E50" s="330"/>
      <c r="F50" s="330"/>
      <c r="G50" s="330"/>
      <c r="H50" s="330"/>
      <c r="I50" s="330"/>
      <c r="J50" s="330"/>
      <c r="K50" s="330"/>
      <c r="L50" s="330"/>
      <c r="M50" s="330"/>
      <c r="N50" s="401"/>
      <c r="O50" s="349"/>
      <c r="P50" s="784"/>
      <c r="Q50" s="398"/>
      <c r="R50" s="779"/>
      <c r="S50" s="398"/>
      <c r="T50" s="398"/>
      <c r="U50" s="398"/>
      <c r="V50" s="738"/>
      <c r="W50" s="738"/>
      <c r="X50" s="738"/>
    </row>
    <row r="51" spans="1:24" ht="15.75" customHeight="1">
      <c r="A51" s="355" t="s">
        <v>95</v>
      </c>
      <c r="B51" s="359" t="s">
        <v>221</v>
      </c>
      <c r="C51" s="330"/>
      <c r="D51" s="330"/>
      <c r="E51" s="330"/>
      <c r="F51" s="330"/>
      <c r="G51" s="330"/>
      <c r="H51" s="330"/>
      <c r="I51" s="330"/>
      <c r="J51" s="330"/>
      <c r="K51" s="330"/>
      <c r="L51" s="330"/>
      <c r="M51" s="330"/>
      <c r="N51" s="330"/>
      <c r="O51" s="349"/>
      <c r="P51" s="784"/>
      <c r="Q51" s="398"/>
      <c r="R51" s="779"/>
      <c r="S51" s="398"/>
      <c r="T51" s="398"/>
      <c r="U51" s="398"/>
      <c r="V51" s="738"/>
      <c r="W51" s="738"/>
      <c r="X51" s="738"/>
    </row>
    <row r="52" spans="1:24" ht="15.75" customHeight="1">
      <c r="A52" s="355"/>
      <c r="B52" s="567" t="str">
        <f>B41</f>
        <v>horisontal</v>
      </c>
      <c r="C52" s="330">
        <f>C41</f>
        <v>12</v>
      </c>
      <c r="D52" s="330"/>
      <c r="E52" s="330">
        <v>0.3</v>
      </c>
      <c r="F52" s="330"/>
      <c r="G52" s="330"/>
      <c r="H52" s="330">
        <v>2</v>
      </c>
      <c r="I52" s="330"/>
      <c r="J52" s="330"/>
      <c r="K52" s="330"/>
      <c r="L52" s="330"/>
      <c r="M52" s="330">
        <f>M41</f>
        <v>2</v>
      </c>
      <c r="N52" s="330">
        <f>C52*E52*H52*M52</f>
        <v>14.399999999999999</v>
      </c>
      <c r="O52" s="349"/>
      <c r="P52" s="784"/>
      <c r="Q52" s="398"/>
      <c r="R52" s="779"/>
      <c r="S52" s="398"/>
      <c r="T52" s="398"/>
      <c r="U52" s="398"/>
      <c r="V52" s="738"/>
      <c r="W52" s="738"/>
      <c r="X52" s="738"/>
    </row>
    <row r="53" spans="1:24" ht="15.75" customHeight="1">
      <c r="A53" s="355"/>
      <c r="B53" s="567" t="str">
        <f>B42</f>
        <v>vertikal</v>
      </c>
      <c r="C53" s="330">
        <f>C42</f>
        <v>6</v>
      </c>
      <c r="D53" s="330"/>
      <c r="E53" s="330">
        <f>E52</f>
        <v>0.3</v>
      </c>
      <c r="F53" s="330"/>
      <c r="G53" s="330"/>
      <c r="H53" s="330">
        <f>H52</f>
        <v>2</v>
      </c>
      <c r="I53" s="330"/>
      <c r="J53" s="330"/>
      <c r="K53" s="330"/>
      <c r="L53" s="330"/>
      <c r="M53" s="330">
        <f>M42</f>
        <v>4</v>
      </c>
      <c r="N53" s="752">
        <f>C53*E53*H53*M53</f>
        <v>14.399999999999999</v>
      </c>
      <c r="O53" s="349"/>
      <c r="P53" s="784"/>
      <c r="Q53" s="398"/>
      <c r="R53" s="779"/>
      <c r="S53" s="398"/>
      <c r="T53" s="398"/>
      <c r="U53" s="398"/>
      <c r="V53" s="738"/>
      <c r="W53" s="738"/>
      <c r="X53" s="738"/>
    </row>
    <row r="54" spans="1:24" ht="15.75" customHeight="1">
      <c r="A54" s="355"/>
      <c r="B54" s="359"/>
      <c r="C54" s="330"/>
      <c r="D54" s="330"/>
      <c r="E54" s="330"/>
      <c r="F54" s="330"/>
      <c r="G54" s="330"/>
      <c r="H54" s="330"/>
      <c r="I54" s="330"/>
      <c r="J54" s="330"/>
      <c r="K54" s="330"/>
      <c r="L54" s="330"/>
      <c r="M54" s="330"/>
      <c r="N54" s="401">
        <f>SUM(N52:N53)</f>
        <v>28.799999999999997</v>
      </c>
      <c r="O54" s="349" t="s">
        <v>89</v>
      </c>
      <c r="P54" s="784">
        <f>ROUND((N54),2)</f>
        <v>28.8</v>
      </c>
      <c r="Q54" s="398"/>
      <c r="R54" s="779"/>
      <c r="S54" s="398"/>
      <c r="T54" s="398"/>
      <c r="U54" s="398"/>
      <c r="V54" s="738"/>
      <c r="W54" s="738"/>
      <c r="X54" s="738"/>
    </row>
    <row r="55" spans="1:24" ht="15.75" customHeight="1">
      <c r="A55" s="355" t="s">
        <v>98</v>
      </c>
      <c r="B55" s="351" t="s">
        <v>925</v>
      </c>
      <c r="C55" s="330"/>
      <c r="D55" s="330"/>
      <c r="E55" s="330"/>
      <c r="F55" s="330"/>
      <c r="G55" s="330"/>
      <c r="H55" s="330"/>
      <c r="I55" s="330"/>
      <c r="J55" s="330"/>
      <c r="K55" s="330"/>
      <c r="L55" s="330"/>
      <c r="M55" s="330"/>
      <c r="N55" s="330"/>
      <c r="O55" s="349"/>
      <c r="P55" s="784"/>
      <c r="Q55" s="398"/>
      <c r="R55" s="779"/>
      <c r="S55" s="398"/>
      <c r="T55" s="398"/>
      <c r="U55" s="398"/>
      <c r="V55" s="738"/>
      <c r="W55" s="738"/>
      <c r="X55" s="738"/>
    </row>
    <row r="56" spans="1:24" ht="15.75" customHeight="1">
      <c r="A56" s="355"/>
      <c r="B56" s="567" t="str">
        <f>B52</f>
        <v>horisontal</v>
      </c>
      <c r="C56" s="330">
        <f>C52</f>
        <v>12</v>
      </c>
      <c r="D56" s="330"/>
      <c r="E56" s="330"/>
      <c r="F56" s="330">
        <v>5</v>
      </c>
      <c r="G56" s="330"/>
      <c r="H56" s="330"/>
      <c r="I56" s="330"/>
      <c r="J56" s="330"/>
      <c r="K56" s="330"/>
      <c r="L56" s="330">
        <f>13*13*0.006165</f>
        <v>1.041885</v>
      </c>
      <c r="M56" s="330">
        <f>M52</f>
        <v>2</v>
      </c>
      <c r="N56" s="330">
        <f>C56*F56*L56*M56</f>
        <v>125.02619999999999</v>
      </c>
      <c r="O56" s="349"/>
      <c r="P56" s="784"/>
      <c r="Q56" s="398"/>
      <c r="R56" s="779"/>
      <c r="S56" s="398"/>
      <c r="T56" s="398"/>
      <c r="U56" s="398"/>
      <c r="V56" s="738"/>
      <c r="W56" s="738"/>
      <c r="X56" s="738"/>
    </row>
    <row r="57" spans="1:24" ht="15.75" customHeight="1">
      <c r="A57" s="355"/>
      <c r="B57" s="567" t="str">
        <f>B53</f>
        <v>vertikal</v>
      </c>
      <c r="C57" s="330">
        <f>C53</f>
        <v>6</v>
      </c>
      <c r="D57" s="330"/>
      <c r="E57" s="330"/>
      <c r="F57" s="330">
        <f>F56</f>
        <v>5</v>
      </c>
      <c r="G57" s="330"/>
      <c r="H57" s="330"/>
      <c r="I57" s="330"/>
      <c r="J57" s="330"/>
      <c r="K57" s="330"/>
      <c r="L57" s="330">
        <f>L56</f>
        <v>1.041885</v>
      </c>
      <c r="M57" s="330">
        <f>M53</f>
        <v>4</v>
      </c>
      <c r="N57" s="752">
        <f>C57*F57*L57*M57</f>
        <v>125.02619999999999</v>
      </c>
      <c r="O57" s="349"/>
      <c r="P57" s="784"/>
      <c r="Q57" s="398"/>
      <c r="R57" s="779"/>
      <c r="S57" s="398"/>
      <c r="T57" s="398"/>
      <c r="U57" s="398"/>
      <c r="V57" s="738"/>
      <c r="W57" s="738"/>
      <c r="X57" s="738"/>
    </row>
    <row r="58" spans="1:24" ht="15.75" customHeight="1">
      <c r="A58" s="355"/>
      <c r="B58" s="359"/>
      <c r="C58" s="330"/>
      <c r="D58" s="330"/>
      <c r="E58" s="330"/>
      <c r="F58" s="330"/>
      <c r="G58" s="330"/>
      <c r="H58" s="330"/>
      <c r="I58" s="330"/>
      <c r="J58" s="330"/>
      <c r="K58" s="330"/>
      <c r="L58" s="330"/>
      <c r="M58" s="330"/>
      <c r="N58" s="401">
        <f>SUM(N56:N57)</f>
        <v>250.05239999999998</v>
      </c>
      <c r="O58" s="349" t="s">
        <v>100</v>
      </c>
      <c r="P58" s="784">
        <f>ROUND((N58),2)</f>
        <v>250.05</v>
      </c>
      <c r="Q58" s="398"/>
      <c r="R58" s="779"/>
      <c r="S58" s="398"/>
      <c r="T58" s="398"/>
      <c r="U58" s="398"/>
      <c r="V58" s="738"/>
      <c r="W58" s="738"/>
      <c r="X58" s="738"/>
    </row>
    <row r="59" spans="1:24" ht="15.75" customHeight="1">
      <c r="A59" s="355" t="s">
        <v>101</v>
      </c>
      <c r="B59" s="351" t="s">
        <v>428</v>
      </c>
      <c r="C59" s="330"/>
      <c r="D59" s="330"/>
      <c r="E59" s="330"/>
      <c r="F59" s="330"/>
      <c r="G59" s="330"/>
      <c r="H59" s="330"/>
      <c r="I59" s="330"/>
      <c r="J59" s="330"/>
      <c r="K59" s="330"/>
      <c r="L59" s="330"/>
      <c r="M59" s="330"/>
      <c r="N59" s="330"/>
      <c r="O59" s="349"/>
      <c r="P59" s="784"/>
      <c r="Q59" s="398"/>
      <c r="R59" s="779"/>
      <c r="S59" s="398"/>
      <c r="T59" s="398"/>
      <c r="U59" s="398"/>
      <c r="V59" s="738"/>
      <c r="W59" s="738"/>
      <c r="X59" s="738"/>
    </row>
    <row r="60" spans="1:24" ht="15.75" customHeight="1">
      <c r="A60" s="355"/>
      <c r="B60" s="567" t="str">
        <f>B56</f>
        <v>horisontal</v>
      </c>
      <c r="C60" s="330">
        <f>(0.1+0.15)*2</f>
        <v>0.5</v>
      </c>
      <c r="D60" s="330"/>
      <c r="E60" s="330"/>
      <c r="F60" s="330">
        <f>ROUNDDOWN((C56/0.125),0.1)</f>
        <v>96</v>
      </c>
      <c r="G60" s="330"/>
      <c r="H60" s="330"/>
      <c r="I60" s="330">
        <f>0.05*2</f>
        <v>0.1</v>
      </c>
      <c r="J60" s="330"/>
      <c r="K60" s="330"/>
      <c r="L60" s="330">
        <f>8*8*0.006165</f>
        <v>0.39456000000000002</v>
      </c>
      <c r="M60" s="330">
        <f>M56</f>
        <v>2</v>
      </c>
      <c r="N60" s="330">
        <f>(C60+I60)*F60*L60*M60</f>
        <v>45.453311999999997</v>
      </c>
      <c r="O60" s="349"/>
      <c r="P60" s="784"/>
      <c r="Q60" s="398"/>
      <c r="R60" s="779"/>
      <c r="S60" s="398"/>
      <c r="T60" s="398"/>
      <c r="U60" s="398"/>
      <c r="V60" s="738"/>
      <c r="W60" s="738"/>
      <c r="X60" s="738"/>
    </row>
    <row r="61" spans="1:24" ht="15.75" customHeight="1">
      <c r="A61" s="355"/>
      <c r="B61" s="567" t="str">
        <f>B57</f>
        <v>vertikal</v>
      </c>
      <c r="C61" s="330">
        <f>C60</f>
        <v>0.5</v>
      </c>
      <c r="D61" s="330"/>
      <c r="E61" s="330"/>
      <c r="F61" s="330">
        <f>ROUNDDOWN((C57/0.125),0.1)</f>
        <v>48</v>
      </c>
      <c r="G61" s="330"/>
      <c r="H61" s="330"/>
      <c r="I61" s="330">
        <f>I60</f>
        <v>0.1</v>
      </c>
      <c r="J61" s="330"/>
      <c r="K61" s="330"/>
      <c r="L61" s="330">
        <f>L60</f>
        <v>0.39456000000000002</v>
      </c>
      <c r="M61" s="330">
        <f>M57</f>
        <v>4</v>
      </c>
      <c r="N61" s="752">
        <f>(C61+I61)*F61*L61*M61</f>
        <v>45.453311999999997</v>
      </c>
      <c r="O61" s="349"/>
      <c r="P61" s="784"/>
      <c r="Q61" s="398"/>
      <c r="R61" s="779"/>
      <c r="S61" s="398"/>
      <c r="T61" s="398"/>
      <c r="U61" s="398"/>
      <c r="V61" s="738"/>
      <c r="W61" s="738"/>
      <c r="X61" s="738"/>
    </row>
    <row r="62" spans="1:24" ht="15.75" customHeight="1">
      <c r="A62" s="355"/>
      <c r="B62" s="359"/>
      <c r="C62" s="330"/>
      <c r="D62" s="330"/>
      <c r="E62" s="330"/>
      <c r="F62" s="330"/>
      <c r="G62" s="330"/>
      <c r="H62" s="330"/>
      <c r="I62" s="330"/>
      <c r="J62" s="330"/>
      <c r="K62" s="330"/>
      <c r="L62" s="330"/>
      <c r="M62" s="330"/>
      <c r="N62" s="401">
        <f>SUM(N60:N61)</f>
        <v>90.906623999999994</v>
      </c>
      <c r="O62" s="349" t="s">
        <v>100</v>
      </c>
      <c r="P62" s="784">
        <f>ROUND((N62),2)</f>
        <v>90.91</v>
      </c>
      <c r="Q62" s="398"/>
      <c r="R62" s="779"/>
      <c r="S62" s="398"/>
      <c r="T62" s="398"/>
      <c r="U62" s="398"/>
      <c r="V62" s="738"/>
      <c r="W62" s="738"/>
      <c r="X62" s="738"/>
    </row>
    <row r="63" spans="1:24" ht="15.75" customHeight="1">
      <c r="A63" s="355" t="s">
        <v>121</v>
      </c>
      <c r="B63" s="356" t="s">
        <v>646</v>
      </c>
      <c r="C63" s="330"/>
      <c r="D63" s="330"/>
      <c r="E63" s="330"/>
      <c r="F63" s="330"/>
      <c r="G63" s="330"/>
      <c r="H63" s="330"/>
      <c r="I63" s="330"/>
      <c r="J63" s="330"/>
      <c r="K63" s="330"/>
      <c r="L63" s="330"/>
      <c r="M63" s="330"/>
      <c r="N63" s="330"/>
      <c r="O63" s="349"/>
      <c r="P63" s="784"/>
      <c r="Q63" s="398"/>
      <c r="R63" s="779"/>
      <c r="S63" s="398"/>
      <c r="T63" s="398"/>
      <c r="U63" s="398"/>
      <c r="V63" s="738"/>
      <c r="W63" s="738"/>
      <c r="X63" s="738"/>
    </row>
    <row r="64" spans="1:24" ht="15.75" customHeight="1">
      <c r="A64" s="355"/>
      <c r="B64" s="567" t="str">
        <f>B60</f>
        <v>horisontal</v>
      </c>
      <c r="C64" s="330">
        <f>C56</f>
        <v>12</v>
      </c>
      <c r="D64" s="330">
        <v>0.25</v>
      </c>
      <c r="E64" s="330">
        <v>0.3</v>
      </c>
      <c r="F64" s="330"/>
      <c r="G64" s="330"/>
      <c r="H64" s="330"/>
      <c r="I64" s="330"/>
      <c r="J64" s="330"/>
      <c r="K64" s="330"/>
      <c r="L64" s="330"/>
      <c r="M64" s="330">
        <f>M60</f>
        <v>2</v>
      </c>
      <c r="N64" s="330">
        <f>C64*D64*E64*M64</f>
        <v>1.7999999999999998</v>
      </c>
      <c r="O64" s="349"/>
      <c r="P64" s="784"/>
      <c r="Q64" s="398"/>
      <c r="R64" s="779"/>
      <c r="S64" s="398"/>
      <c r="T64" s="398"/>
      <c r="U64" s="398"/>
      <c r="V64" s="738"/>
      <c r="W64" s="738"/>
      <c r="X64" s="738"/>
    </row>
    <row r="65" spans="1:24" ht="15.75" customHeight="1">
      <c r="A65" s="355"/>
      <c r="B65" s="567" t="str">
        <f>B61</f>
        <v>vertikal</v>
      </c>
      <c r="C65" s="330">
        <f>C57</f>
        <v>6</v>
      </c>
      <c r="D65" s="330">
        <f>D64</f>
        <v>0.25</v>
      </c>
      <c r="E65" s="330">
        <f>E64</f>
        <v>0.3</v>
      </c>
      <c r="F65" s="330"/>
      <c r="G65" s="330"/>
      <c r="H65" s="330"/>
      <c r="I65" s="330"/>
      <c r="J65" s="330"/>
      <c r="K65" s="330"/>
      <c r="L65" s="330"/>
      <c r="M65" s="330">
        <f>M61</f>
        <v>4</v>
      </c>
      <c r="N65" s="752">
        <f>C65*D65*E65*M65</f>
        <v>1.7999999999999998</v>
      </c>
      <c r="O65" s="349"/>
      <c r="P65" s="784"/>
      <c r="Q65" s="398"/>
      <c r="R65" s="779"/>
      <c r="S65" s="398"/>
      <c r="T65" s="398"/>
      <c r="U65" s="398"/>
      <c r="V65" s="738"/>
      <c r="W65" s="738"/>
      <c r="X65" s="738"/>
    </row>
    <row r="66" spans="1:24" ht="15.75" customHeight="1">
      <c r="A66" s="355"/>
      <c r="B66" s="359"/>
      <c r="C66" s="330"/>
      <c r="D66" s="330"/>
      <c r="E66" s="330"/>
      <c r="F66" s="330"/>
      <c r="G66" s="330"/>
      <c r="H66" s="330"/>
      <c r="I66" s="330"/>
      <c r="J66" s="330"/>
      <c r="K66" s="330"/>
      <c r="L66" s="330"/>
      <c r="M66" s="330"/>
      <c r="N66" s="401">
        <f>SUM(N64:N65)</f>
        <v>3.5999999999999996</v>
      </c>
      <c r="O66" s="349" t="s">
        <v>103</v>
      </c>
      <c r="P66" s="784">
        <f>ROUND((N66),2)</f>
        <v>3.6</v>
      </c>
      <c r="Q66" s="398"/>
      <c r="R66" s="779"/>
      <c r="S66" s="398"/>
      <c r="T66" s="398"/>
      <c r="U66" s="398"/>
      <c r="V66" s="738"/>
      <c r="W66" s="738"/>
      <c r="X66" s="738"/>
    </row>
    <row r="67" spans="1:24" ht="15.75" customHeight="1">
      <c r="A67" s="350">
        <f>A50+1</f>
        <v>6</v>
      </c>
      <c r="B67" s="359" t="s">
        <v>483</v>
      </c>
      <c r="C67" s="330"/>
      <c r="D67" s="330"/>
      <c r="E67" s="330"/>
      <c r="F67" s="330"/>
      <c r="G67" s="330"/>
      <c r="H67" s="330"/>
      <c r="I67" s="330"/>
      <c r="J67" s="330"/>
      <c r="K67" s="330"/>
      <c r="L67" s="330"/>
      <c r="M67" s="330"/>
      <c r="N67" s="330"/>
      <c r="O67" s="349"/>
      <c r="P67" s="784"/>
      <c r="Q67" s="398"/>
      <c r="R67" s="779"/>
      <c r="S67" s="398"/>
      <c r="T67" s="398"/>
      <c r="U67" s="398"/>
      <c r="V67" s="738"/>
      <c r="W67" s="738"/>
      <c r="X67" s="738"/>
    </row>
    <row r="68" spans="1:24" ht="15.75" customHeight="1">
      <c r="A68" s="350"/>
      <c r="B68" s="351"/>
      <c r="C68" s="330"/>
      <c r="D68" s="330"/>
      <c r="E68" s="330"/>
      <c r="F68" s="330"/>
      <c r="G68" s="330"/>
      <c r="H68" s="330"/>
      <c r="I68" s="330"/>
      <c r="J68" s="330"/>
      <c r="K68" s="330"/>
      <c r="L68" s="330"/>
      <c r="M68" s="330"/>
      <c r="N68" s="330"/>
      <c r="O68" s="349"/>
      <c r="P68" s="784"/>
      <c r="Q68" s="398"/>
      <c r="R68" s="779"/>
      <c r="S68" s="398"/>
      <c r="T68" s="398"/>
      <c r="U68" s="398"/>
      <c r="V68" s="738"/>
      <c r="W68" s="738"/>
      <c r="X68" s="738"/>
    </row>
    <row r="69" spans="1:24" ht="15.75" customHeight="1">
      <c r="A69" s="355" t="s">
        <v>95</v>
      </c>
      <c r="B69" s="351" t="s">
        <v>1633</v>
      </c>
      <c r="C69" s="330">
        <f>C70</f>
        <v>11.6</v>
      </c>
      <c r="D69" s="330">
        <f>D70</f>
        <v>5.6</v>
      </c>
      <c r="E69" s="330">
        <v>0.25</v>
      </c>
      <c r="F69" s="330"/>
      <c r="G69" s="330"/>
      <c r="H69" s="330"/>
      <c r="I69" s="330"/>
      <c r="J69" s="330"/>
      <c r="K69" s="330"/>
      <c r="L69" s="330"/>
      <c r="M69" s="330"/>
      <c r="N69" s="330">
        <f>C69*D69*E69</f>
        <v>16.239999999999998</v>
      </c>
      <c r="O69" s="349" t="s">
        <v>103</v>
      </c>
      <c r="P69" s="784"/>
      <c r="Q69" s="398"/>
      <c r="R69" s="779"/>
      <c r="S69" s="398"/>
      <c r="T69" s="398"/>
      <c r="U69" s="398"/>
      <c r="V69" s="738"/>
      <c r="W69" s="738"/>
      <c r="X69" s="738"/>
    </row>
    <row r="70" spans="1:24" ht="15.75" customHeight="1">
      <c r="A70" s="355" t="s">
        <v>98</v>
      </c>
      <c r="B70" s="351" t="s">
        <v>1633</v>
      </c>
      <c r="C70" s="330">
        <f>C64-(0.2*2)</f>
        <v>11.6</v>
      </c>
      <c r="D70" s="330">
        <f>C65-(0.2*2)</f>
        <v>5.6</v>
      </c>
      <c r="E70" s="330">
        <v>0.15</v>
      </c>
      <c r="F70" s="330"/>
      <c r="G70" s="330"/>
      <c r="H70" s="330"/>
      <c r="I70" s="330"/>
      <c r="J70" s="330"/>
      <c r="K70" s="330"/>
      <c r="L70" s="330"/>
      <c r="M70" s="330"/>
      <c r="N70" s="330">
        <f>C70*D70*E70</f>
        <v>9.743999999999998</v>
      </c>
      <c r="O70" s="349" t="s">
        <v>103</v>
      </c>
      <c r="P70" s="784">
        <f>ROUND((N70),2)</f>
        <v>9.74</v>
      </c>
      <c r="Q70" s="398"/>
      <c r="R70" s="779"/>
      <c r="S70" s="398"/>
      <c r="T70" s="398"/>
      <c r="U70" s="398"/>
      <c r="V70" s="738"/>
      <c r="W70" s="738"/>
      <c r="X70" s="738"/>
    </row>
    <row r="71" spans="1:24" ht="15.75" customHeight="1">
      <c r="A71" s="355" t="s">
        <v>101</v>
      </c>
      <c r="B71" s="351" t="s">
        <v>415</v>
      </c>
      <c r="C71" s="330">
        <f t="shared" ref="C71:D74" si="4">C70</f>
        <v>11.6</v>
      </c>
      <c r="D71" s="330">
        <f t="shared" si="4"/>
        <v>5.6</v>
      </c>
      <c r="E71" s="330">
        <v>0.05</v>
      </c>
      <c r="F71" s="330"/>
      <c r="G71" s="330"/>
      <c r="H71" s="330"/>
      <c r="I71" s="330"/>
      <c r="J71" s="330"/>
      <c r="K71" s="330"/>
      <c r="L71" s="330"/>
      <c r="M71" s="330"/>
      <c r="N71" s="330">
        <f>C71*D71*E71</f>
        <v>3.2479999999999998</v>
      </c>
      <c r="O71" s="349" t="s">
        <v>103</v>
      </c>
      <c r="P71" s="784">
        <f>ROUND((N71),2)</f>
        <v>3.25</v>
      </c>
      <c r="Q71" s="398"/>
      <c r="R71" s="779"/>
      <c r="S71" s="398"/>
      <c r="T71" s="398"/>
      <c r="U71" s="398"/>
      <c r="V71" s="738"/>
      <c r="W71" s="738"/>
      <c r="X71" s="738"/>
    </row>
    <row r="72" spans="1:24" ht="15.75" customHeight="1">
      <c r="A72" s="355" t="s">
        <v>121</v>
      </c>
      <c r="B72" s="351" t="s">
        <v>496</v>
      </c>
      <c r="C72" s="330">
        <f t="shared" si="4"/>
        <v>11.6</v>
      </c>
      <c r="D72" s="330">
        <f t="shared" si="4"/>
        <v>5.6</v>
      </c>
      <c r="E72" s="330">
        <v>0.05</v>
      </c>
      <c r="F72" s="330"/>
      <c r="G72" s="330"/>
      <c r="H72" s="330"/>
      <c r="I72" s="330"/>
      <c r="J72" s="330"/>
      <c r="K72" s="330"/>
      <c r="L72" s="330"/>
      <c r="M72" s="330"/>
      <c r="N72" s="330">
        <f>C72*D72*E72</f>
        <v>3.2479999999999998</v>
      </c>
      <c r="O72" s="349" t="s">
        <v>103</v>
      </c>
      <c r="P72" s="784">
        <f>ROUND((N72),2)</f>
        <v>3.25</v>
      </c>
      <c r="Q72" s="398"/>
      <c r="R72" s="779"/>
      <c r="S72" s="398"/>
      <c r="T72" s="398"/>
      <c r="U72" s="398"/>
      <c r="V72" s="738"/>
      <c r="W72" s="738"/>
      <c r="X72" s="738"/>
    </row>
    <row r="73" spans="1:24" ht="15.75" customHeight="1">
      <c r="A73" s="355" t="s">
        <v>142</v>
      </c>
      <c r="B73" s="398" t="s">
        <v>626</v>
      </c>
      <c r="C73" s="330">
        <f t="shared" si="4"/>
        <v>11.6</v>
      </c>
      <c r="D73" s="330">
        <f t="shared" si="4"/>
        <v>5.6</v>
      </c>
      <c r="E73" s="330"/>
      <c r="F73" s="330"/>
      <c r="G73" s="330"/>
      <c r="H73" s="330">
        <v>2</v>
      </c>
      <c r="I73" s="330"/>
      <c r="J73" s="330"/>
      <c r="K73" s="330"/>
      <c r="L73" s="330"/>
      <c r="M73" s="330"/>
      <c r="N73" s="330">
        <f>C73*D73*H73</f>
        <v>129.91999999999999</v>
      </c>
      <c r="O73" s="349" t="s">
        <v>89</v>
      </c>
      <c r="P73" s="784">
        <f>ROUND((N73),2)</f>
        <v>129.91999999999999</v>
      </c>
      <c r="Q73" s="398"/>
      <c r="R73" s="779"/>
      <c r="S73" s="398"/>
      <c r="T73" s="398"/>
      <c r="U73" s="398"/>
      <c r="V73" s="738"/>
      <c r="W73" s="738"/>
      <c r="X73" s="738"/>
    </row>
    <row r="74" spans="1:24" ht="15.75" customHeight="1">
      <c r="A74" s="355" t="s">
        <v>217</v>
      </c>
      <c r="B74" s="398" t="s">
        <v>429</v>
      </c>
      <c r="C74" s="330">
        <f t="shared" si="4"/>
        <v>11.6</v>
      </c>
      <c r="D74" s="330">
        <f t="shared" si="4"/>
        <v>5.6</v>
      </c>
      <c r="E74" s="330">
        <f>E70</f>
        <v>0.15</v>
      </c>
      <c r="F74" s="330"/>
      <c r="G74" s="330"/>
      <c r="H74" s="330"/>
      <c r="I74" s="330"/>
      <c r="J74" s="330"/>
      <c r="K74" s="330"/>
      <c r="L74" s="330"/>
      <c r="M74" s="330"/>
      <c r="N74" s="330">
        <f>C74*D74*E74</f>
        <v>9.743999999999998</v>
      </c>
      <c r="O74" s="349" t="s">
        <v>103</v>
      </c>
      <c r="P74" s="784">
        <f>ROUND((N74),2)</f>
        <v>9.74</v>
      </c>
      <c r="Q74" s="398"/>
      <c r="R74" s="779"/>
      <c r="S74" s="398"/>
      <c r="T74" s="398"/>
      <c r="U74" s="398"/>
      <c r="V74" s="738"/>
      <c r="W74" s="738"/>
      <c r="X74" s="738"/>
    </row>
    <row r="75" spans="1:24" ht="15.75" customHeight="1">
      <c r="A75" s="350">
        <f>A67+1</f>
        <v>7</v>
      </c>
      <c r="B75" s="359" t="s">
        <v>416</v>
      </c>
      <c r="C75" s="330"/>
      <c r="D75" s="330"/>
      <c r="E75" s="330"/>
      <c r="F75" s="330"/>
      <c r="G75" s="330"/>
      <c r="H75" s="330"/>
      <c r="I75" s="330"/>
      <c r="J75" s="330"/>
      <c r="K75" s="330"/>
      <c r="L75" s="330"/>
      <c r="M75" s="330"/>
      <c r="N75" s="330"/>
      <c r="O75" s="349"/>
      <c r="P75" s="784"/>
      <c r="Q75" s="398"/>
      <c r="R75" s="779"/>
      <c r="S75" s="398"/>
      <c r="T75" s="398"/>
      <c r="U75" s="398"/>
      <c r="V75" s="738"/>
      <c r="W75" s="738"/>
      <c r="X75" s="738"/>
    </row>
    <row r="76" spans="1:24" ht="15.75" customHeight="1">
      <c r="A76" s="355" t="s">
        <v>95</v>
      </c>
      <c r="B76" s="359" t="s">
        <v>417</v>
      </c>
      <c r="C76" s="330"/>
      <c r="D76" s="330">
        <v>0.25</v>
      </c>
      <c r="E76" s="330">
        <v>0.9</v>
      </c>
      <c r="F76" s="330"/>
      <c r="G76" s="330"/>
      <c r="H76" s="330">
        <v>4</v>
      </c>
      <c r="I76" s="330"/>
      <c r="J76" s="330"/>
      <c r="K76" s="330"/>
      <c r="L76" s="330"/>
      <c r="M76" s="330">
        <f>M14</f>
        <v>8</v>
      </c>
      <c r="N76" s="330">
        <f>D76*(E76+K76)*H76*M76</f>
        <v>7.2</v>
      </c>
      <c r="O76" s="349" t="s">
        <v>89</v>
      </c>
      <c r="P76" s="784">
        <f>ROUND((N76),2)</f>
        <v>7.2</v>
      </c>
      <c r="Q76" s="398"/>
      <c r="R76" s="779"/>
      <c r="S76" s="398"/>
      <c r="T76" s="398"/>
      <c r="U76" s="398"/>
      <c r="V76" s="738"/>
      <c r="W76" s="738"/>
      <c r="X76" s="738"/>
    </row>
    <row r="77" spans="1:24" ht="15.75" customHeight="1">
      <c r="A77" s="355" t="s">
        <v>98</v>
      </c>
      <c r="B77" s="359" t="s">
        <v>1042</v>
      </c>
      <c r="C77" s="330"/>
      <c r="D77" s="330"/>
      <c r="E77" s="330">
        <v>1.4</v>
      </c>
      <c r="F77" s="330">
        <v>8</v>
      </c>
      <c r="G77" s="330"/>
      <c r="H77" s="330"/>
      <c r="I77" s="330"/>
      <c r="J77" s="330">
        <v>0.2</v>
      </c>
      <c r="K77" s="330"/>
      <c r="L77" s="330">
        <f>13*13*0.006165</f>
        <v>1.041885</v>
      </c>
      <c r="M77" s="330">
        <f>M76</f>
        <v>8</v>
      </c>
      <c r="N77" s="330">
        <f>(E77+J77)*F77*L77*M77</f>
        <v>106.68902399999999</v>
      </c>
      <c r="O77" s="349" t="s">
        <v>100</v>
      </c>
      <c r="P77" s="784">
        <f>ROUND((N77),2)</f>
        <v>106.69</v>
      </c>
      <c r="Q77" s="398"/>
      <c r="R77" s="779"/>
      <c r="S77" s="398"/>
      <c r="T77" s="398"/>
      <c r="U77" s="398"/>
      <c r="V77" s="738"/>
      <c r="W77" s="738"/>
      <c r="X77" s="738"/>
    </row>
    <row r="78" spans="1:24" ht="15.75" customHeight="1">
      <c r="A78" s="355" t="s">
        <v>101</v>
      </c>
      <c r="B78" s="359" t="s">
        <v>428</v>
      </c>
      <c r="C78" s="330">
        <f>0.17*4</f>
        <v>0.68</v>
      </c>
      <c r="D78" s="330"/>
      <c r="E78" s="330"/>
      <c r="F78" s="330">
        <f>ROUNDDOWN((E77/0.15),0.1)</f>
        <v>9</v>
      </c>
      <c r="G78" s="330"/>
      <c r="H78" s="330"/>
      <c r="I78" s="330">
        <f>0.05*2</f>
        <v>0.1</v>
      </c>
      <c r="J78" s="330"/>
      <c r="K78" s="330"/>
      <c r="L78" s="330">
        <f>8*8*0.006165</f>
        <v>0.39456000000000002</v>
      </c>
      <c r="M78" s="330">
        <f>M77</f>
        <v>8</v>
      </c>
      <c r="N78" s="330">
        <f>(C78+I78)*F78*L78*M78</f>
        <v>22.158489600000003</v>
      </c>
      <c r="O78" s="349" t="s">
        <v>100</v>
      </c>
      <c r="P78" s="784">
        <f>ROUND((N78),2)</f>
        <v>22.16</v>
      </c>
      <c r="Q78" s="398"/>
      <c r="R78" s="779"/>
      <c r="S78" s="398"/>
      <c r="T78" s="398"/>
      <c r="U78" s="398"/>
      <c r="V78" s="738"/>
      <c r="W78" s="738"/>
      <c r="X78" s="738"/>
    </row>
    <row r="79" spans="1:24" ht="15.75" customHeight="1">
      <c r="A79" s="355" t="s">
        <v>121</v>
      </c>
      <c r="B79" s="359" t="s">
        <v>1043</v>
      </c>
      <c r="C79" s="330">
        <v>0.25</v>
      </c>
      <c r="D79" s="330">
        <v>0.25</v>
      </c>
      <c r="E79" s="330">
        <f>E76</f>
        <v>0.9</v>
      </c>
      <c r="F79" s="330"/>
      <c r="G79" s="330"/>
      <c r="H79" s="330"/>
      <c r="I79" s="330"/>
      <c r="J79" s="330"/>
      <c r="K79" s="330"/>
      <c r="L79" s="330"/>
      <c r="M79" s="330">
        <f>M77</f>
        <v>8</v>
      </c>
      <c r="N79" s="330">
        <f>C79*D79*(E79+K79)*M79</f>
        <v>0.45</v>
      </c>
      <c r="O79" s="349" t="s">
        <v>103</v>
      </c>
      <c r="P79" s="784">
        <f>ROUND((N79),2)</f>
        <v>0.45</v>
      </c>
      <c r="Q79" s="398"/>
      <c r="R79" s="779"/>
      <c r="S79" s="398"/>
      <c r="T79" s="398"/>
      <c r="U79" s="398"/>
      <c r="V79" s="738"/>
      <c r="W79" s="738"/>
      <c r="X79" s="738"/>
    </row>
    <row r="80" spans="1:24" ht="15.75" customHeight="1">
      <c r="A80" s="350">
        <f>A75+1</f>
        <v>8</v>
      </c>
      <c r="B80" s="359" t="s">
        <v>421</v>
      </c>
      <c r="C80" s="330"/>
      <c r="D80" s="330"/>
      <c r="E80" s="330"/>
      <c r="F80" s="330"/>
      <c r="G80" s="330"/>
      <c r="H80" s="330"/>
      <c r="I80" s="330"/>
      <c r="J80" s="330"/>
      <c r="K80" s="330"/>
      <c r="L80" s="330"/>
      <c r="M80" s="330"/>
      <c r="N80" s="330"/>
      <c r="O80" s="349"/>
      <c r="P80" s="784"/>
      <c r="Q80" s="398"/>
      <c r="R80" s="779"/>
      <c r="S80" s="398"/>
      <c r="T80" s="398"/>
      <c r="U80" s="398"/>
      <c r="V80" s="738"/>
      <c r="W80" s="738"/>
      <c r="X80" s="738"/>
    </row>
    <row r="81" spans="1:24" ht="15.75" customHeight="1">
      <c r="A81" s="355" t="s">
        <v>95</v>
      </c>
      <c r="B81" s="359" t="s">
        <v>417</v>
      </c>
      <c r="C81" s="330"/>
      <c r="D81" s="330">
        <v>0.25</v>
      </c>
      <c r="E81" s="330">
        <v>3.58</v>
      </c>
      <c r="F81" s="330"/>
      <c r="G81" s="330"/>
      <c r="H81" s="330">
        <v>4</v>
      </c>
      <c r="I81" s="330"/>
      <c r="J81" s="330"/>
      <c r="K81" s="330"/>
      <c r="L81" s="330"/>
      <c r="M81" s="330">
        <f>M76</f>
        <v>8</v>
      </c>
      <c r="N81" s="330">
        <f>D81*E81*H81*M81</f>
        <v>28.64</v>
      </c>
      <c r="O81" s="349" t="s">
        <v>89</v>
      </c>
      <c r="P81" s="784">
        <f>ROUND((N81),2)</f>
        <v>28.64</v>
      </c>
      <c r="Q81" s="398"/>
      <c r="R81" s="779"/>
      <c r="S81" s="398"/>
      <c r="T81" s="398"/>
      <c r="U81" s="398"/>
      <c r="V81" s="738"/>
      <c r="W81" s="738"/>
      <c r="X81" s="738"/>
    </row>
    <row r="82" spans="1:24" ht="15.75" customHeight="1">
      <c r="A82" s="355" t="s">
        <v>98</v>
      </c>
      <c r="B82" s="359" t="s">
        <v>1042</v>
      </c>
      <c r="C82" s="330"/>
      <c r="D82" s="330"/>
      <c r="E82" s="330">
        <f>E81</f>
        <v>3.58</v>
      </c>
      <c r="F82" s="330">
        <v>8</v>
      </c>
      <c r="G82" s="330"/>
      <c r="H82" s="330"/>
      <c r="I82" s="330"/>
      <c r="J82" s="330">
        <v>0.2</v>
      </c>
      <c r="K82" s="330"/>
      <c r="L82" s="330">
        <f>13*13*0.006165</f>
        <v>1.041885</v>
      </c>
      <c r="M82" s="330">
        <f>M81</f>
        <v>8</v>
      </c>
      <c r="N82" s="330">
        <f>(E82+J82)*F82*L82*M82</f>
        <v>252.05281920000002</v>
      </c>
      <c r="O82" s="349" t="s">
        <v>100</v>
      </c>
      <c r="P82" s="784">
        <f>ROUND((N82),2)</f>
        <v>252.05</v>
      </c>
      <c r="Q82" s="398"/>
      <c r="R82" s="779"/>
      <c r="S82" s="398"/>
      <c r="T82" s="398"/>
      <c r="U82" s="398"/>
      <c r="V82" s="738"/>
      <c r="W82" s="738"/>
      <c r="X82" s="738"/>
    </row>
    <row r="83" spans="1:24" ht="15.75" customHeight="1">
      <c r="A83" s="355" t="s">
        <v>101</v>
      </c>
      <c r="B83" s="359" t="s">
        <v>428</v>
      </c>
      <c r="C83" s="330">
        <f>0.17*4</f>
        <v>0.68</v>
      </c>
      <c r="D83" s="330"/>
      <c r="E83" s="330"/>
      <c r="F83" s="330">
        <f>ROUNDDOWN((E82/0.125),0.5)</f>
        <v>28</v>
      </c>
      <c r="G83" s="330"/>
      <c r="H83" s="330"/>
      <c r="I83" s="330">
        <f>0.05*2</f>
        <v>0.1</v>
      </c>
      <c r="J83" s="330"/>
      <c r="K83" s="330"/>
      <c r="L83" s="330">
        <f>8*8*0.006165</f>
        <v>0.39456000000000002</v>
      </c>
      <c r="M83" s="330">
        <f>M82</f>
        <v>8</v>
      </c>
      <c r="N83" s="330">
        <f>(C83+I83)*F83*L83*M83</f>
        <v>68.937523200000001</v>
      </c>
      <c r="O83" s="349" t="s">
        <v>100</v>
      </c>
      <c r="P83" s="784">
        <f>ROUND((N83),2)</f>
        <v>68.94</v>
      </c>
      <c r="Q83" s="398"/>
      <c r="R83" s="779"/>
      <c r="S83" s="398"/>
      <c r="T83" s="398"/>
      <c r="U83" s="398"/>
      <c r="V83" s="738"/>
      <c r="W83" s="738"/>
      <c r="X83" s="738"/>
    </row>
    <row r="84" spans="1:24" ht="15.75" customHeight="1">
      <c r="A84" s="355" t="s">
        <v>121</v>
      </c>
      <c r="B84" s="359" t="s">
        <v>1043</v>
      </c>
      <c r="C84" s="330">
        <v>0.25</v>
      </c>
      <c r="D84" s="330">
        <v>0.25</v>
      </c>
      <c r="E84" s="330">
        <f>E82</f>
        <v>3.58</v>
      </c>
      <c r="F84" s="330"/>
      <c r="G84" s="330"/>
      <c r="H84" s="330"/>
      <c r="I84" s="330"/>
      <c r="J84" s="330"/>
      <c r="K84" s="330"/>
      <c r="L84" s="330"/>
      <c r="M84" s="330">
        <f>M82</f>
        <v>8</v>
      </c>
      <c r="N84" s="330">
        <f>C84*D84*E84*M84</f>
        <v>1.79</v>
      </c>
      <c r="O84" s="349" t="s">
        <v>103</v>
      </c>
      <c r="P84" s="784">
        <f>ROUND((N84),2)</f>
        <v>1.79</v>
      </c>
      <c r="Q84" s="398"/>
      <c r="R84" s="779"/>
      <c r="S84" s="398"/>
      <c r="T84" s="398"/>
      <c r="U84" s="398"/>
      <c r="V84" s="738"/>
      <c r="W84" s="738"/>
      <c r="X84" s="738"/>
    </row>
    <row r="85" spans="1:24" ht="15.75" customHeight="1">
      <c r="A85" s="350">
        <f>A80+1</f>
        <v>9</v>
      </c>
      <c r="B85" s="351" t="s">
        <v>422</v>
      </c>
      <c r="C85" s="330"/>
      <c r="D85" s="330"/>
      <c r="E85" s="330"/>
      <c r="F85" s="330"/>
      <c r="G85" s="330"/>
      <c r="H85" s="330"/>
      <c r="I85" s="330"/>
      <c r="J85" s="330"/>
      <c r="K85" s="330"/>
      <c r="L85" s="330"/>
      <c r="M85" s="330"/>
      <c r="N85" s="330"/>
      <c r="O85" s="349"/>
      <c r="P85" s="784"/>
      <c r="Q85" s="398"/>
      <c r="R85" s="779"/>
      <c r="S85" s="398"/>
      <c r="T85" s="398"/>
      <c r="U85" s="398"/>
      <c r="V85" s="738"/>
      <c r="W85" s="738"/>
      <c r="X85" s="738"/>
    </row>
    <row r="86" spans="1:24" ht="15.75" customHeight="1">
      <c r="A86" s="355" t="s">
        <v>95</v>
      </c>
      <c r="B86" s="359" t="s">
        <v>423</v>
      </c>
      <c r="C86" s="330"/>
      <c r="D86" s="330"/>
      <c r="E86" s="330"/>
      <c r="F86" s="330"/>
      <c r="G86" s="330"/>
      <c r="H86" s="330"/>
      <c r="I86" s="330"/>
      <c r="J86" s="330"/>
      <c r="K86" s="330"/>
      <c r="L86" s="330"/>
      <c r="M86" s="330"/>
      <c r="N86" s="330"/>
      <c r="O86" s="349"/>
      <c r="P86" s="784"/>
      <c r="Q86" s="398"/>
      <c r="R86" s="779"/>
      <c r="S86" s="398"/>
      <c r="T86" s="398"/>
      <c r="U86" s="398"/>
      <c r="V86" s="738"/>
      <c r="W86" s="738"/>
      <c r="X86" s="738"/>
    </row>
    <row r="87" spans="1:24" ht="15.75" customHeight="1">
      <c r="A87" s="355"/>
      <c r="B87" s="567" t="s">
        <v>226</v>
      </c>
      <c r="C87" s="330">
        <f>C64</f>
        <v>12</v>
      </c>
      <c r="D87" s="330"/>
      <c r="E87" s="330">
        <v>0.35</v>
      </c>
      <c r="F87" s="330"/>
      <c r="G87" s="330"/>
      <c r="H87" s="330">
        <v>2</v>
      </c>
      <c r="I87" s="330"/>
      <c r="J87" s="330"/>
      <c r="K87" s="330"/>
      <c r="L87" s="330"/>
      <c r="M87" s="330">
        <v>2</v>
      </c>
      <c r="N87" s="330">
        <f>C87*E87*H87*M87</f>
        <v>16.799999999999997</v>
      </c>
      <c r="O87" s="349"/>
      <c r="P87" s="784"/>
      <c r="Q87" s="398"/>
      <c r="R87" s="779"/>
      <c r="S87" s="398"/>
      <c r="T87" s="398"/>
      <c r="U87" s="398"/>
      <c r="V87" s="738"/>
      <c r="W87" s="738"/>
      <c r="X87" s="738"/>
    </row>
    <row r="88" spans="1:24" ht="15.75" customHeight="1">
      <c r="A88" s="355"/>
      <c r="B88" s="567"/>
      <c r="C88" s="330">
        <f>C87</f>
        <v>12</v>
      </c>
      <c r="D88" s="330">
        <v>0.2</v>
      </c>
      <c r="E88" s="330"/>
      <c r="F88" s="330"/>
      <c r="G88" s="330"/>
      <c r="H88" s="330">
        <v>1</v>
      </c>
      <c r="I88" s="330"/>
      <c r="J88" s="330"/>
      <c r="K88" s="330"/>
      <c r="L88" s="330"/>
      <c r="M88" s="330">
        <f>M87</f>
        <v>2</v>
      </c>
      <c r="N88" s="330">
        <f>C88*D88*H88*M88</f>
        <v>4.8000000000000007</v>
      </c>
      <c r="O88" s="349"/>
      <c r="P88" s="784"/>
      <c r="Q88" s="398"/>
      <c r="R88" s="779"/>
      <c r="S88" s="398"/>
      <c r="T88" s="398"/>
      <c r="U88" s="398"/>
      <c r="V88" s="738"/>
      <c r="W88" s="738"/>
      <c r="X88" s="738"/>
    </row>
    <row r="89" spans="1:24" ht="15.75" customHeight="1">
      <c r="A89" s="355"/>
      <c r="B89" s="567" t="s">
        <v>227</v>
      </c>
      <c r="C89" s="330">
        <f>C65</f>
        <v>6</v>
      </c>
      <c r="D89" s="330"/>
      <c r="E89" s="330">
        <f>E87</f>
        <v>0.35</v>
      </c>
      <c r="F89" s="330"/>
      <c r="G89" s="330"/>
      <c r="H89" s="330">
        <f>H87</f>
        <v>2</v>
      </c>
      <c r="I89" s="330"/>
      <c r="J89" s="330"/>
      <c r="K89" s="330"/>
      <c r="L89" s="330"/>
      <c r="M89" s="330">
        <v>2</v>
      </c>
      <c r="N89" s="330">
        <f>C89*E89*H89*M89</f>
        <v>8.3999999999999986</v>
      </c>
      <c r="O89" s="349"/>
      <c r="P89" s="784"/>
      <c r="Q89" s="398"/>
      <c r="R89" s="779"/>
      <c r="S89" s="398"/>
      <c r="T89" s="398"/>
      <c r="U89" s="398"/>
      <c r="V89" s="738"/>
      <c r="W89" s="738"/>
      <c r="X89" s="738"/>
    </row>
    <row r="90" spans="1:24" ht="15.75" customHeight="1">
      <c r="A90" s="355"/>
      <c r="B90" s="567"/>
      <c r="C90" s="330">
        <f>C89</f>
        <v>6</v>
      </c>
      <c r="D90" s="330">
        <f>D88</f>
        <v>0.2</v>
      </c>
      <c r="E90" s="330"/>
      <c r="F90" s="330"/>
      <c r="G90" s="330"/>
      <c r="H90" s="330">
        <f>H88</f>
        <v>1</v>
      </c>
      <c r="I90" s="330"/>
      <c r="J90" s="330"/>
      <c r="K90" s="330"/>
      <c r="L90" s="330"/>
      <c r="M90" s="330">
        <f>M89</f>
        <v>2</v>
      </c>
      <c r="N90" s="752">
        <f>C90*D90*H90*M90</f>
        <v>2.4000000000000004</v>
      </c>
      <c r="O90" s="349"/>
      <c r="P90" s="784"/>
      <c r="Q90" s="398"/>
      <c r="R90" s="779"/>
      <c r="S90" s="398"/>
      <c r="T90" s="398"/>
      <c r="U90" s="398"/>
      <c r="V90" s="738"/>
      <c r="W90" s="738"/>
      <c r="X90" s="738"/>
    </row>
    <row r="91" spans="1:24" ht="15.75" customHeight="1">
      <c r="A91" s="355"/>
      <c r="B91" s="359"/>
      <c r="C91" s="330"/>
      <c r="D91" s="330"/>
      <c r="E91" s="330"/>
      <c r="F91" s="330"/>
      <c r="G91" s="330"/>
      <c r="H91" s="330"/>
      <c r="I91" s="330"/>
      <c r="J91" s="330"/>
      <c r="K91" s="330"/>
      <c r="L91" s="330"/>
      <c r="M91" s="330"/>
      <c r="N91" s="330">
        <f>SUM(N87:N90)</f>
        <v>32.4</v>
      </c>
      <c r="O91" s="349" t="s">
        <v>89</v>
      </c>
      <c r="P91" s="784">
        <f>ROUND((N91),2)</f>
        <v>32.4</v>
      </c>
      <c r="Q91" s="398"/>
      <c r="R91" s="779"/>
      <c r="S91" s="398"/>
      <c r="T91" s="398"/>
      <c r="U91" s="398"/>
      <c r="V91" s="738"/>
      <c r="W91" s="738"/>
      <c r="X91" s="738"/>
    </row>
    <row r="92" spans="1:24" ht="15.75" customHeight="1">
      <c r="A92" s="355" t="s">
        <v>98</v>
      </c>
      <c r="B92" s="351" t="s">
        <v>925</v>
      </c>
      <c r="C92" s="330"/>
      <c r="D92" s="330"/>
      <c r="E92" s="330"/>
      <c r="F92" s="330"/>
      <c r="G92" s="330"/>
      <c r="H92" s="330"/>
      <c r="I92" s="330"/>
      <c r="J92" s="330"/>
      <c r="K92" s="330"/>
      <c r="L92" s="330"/>
      <c r="M92" s="330"/>
      <c r="N92" s="330"/>
      <c r="O92" s="349"/>
      <c r="P92" s="784"/>
      <c r="Q92" s="398"/>
      <c r="R92" s="779"/>
      <c r="S92" s="398"/>
      <c r="T92" s="398"/>
      <c r="U92" s="398"/>
      <c r="V92" s="738"/>
      <c r="W92" s="738"/>
      <c r="X92" s="738"/>
    </row>
    <row r="93" spans="1:24" ht="15.75" customHeight="1">
      <c r="A93" s="355"/>
      <c r="B93" s="359"/>
      <c r="C93" s="330">
        <f>C87</f>
        <v>12</v>
      </c>
      <c r="D93" s="330"/>
      <c r="E93" s="330"/>
      <c r="F93" s="330">
        <v>5</v>
      </c>
      <c r="G93" s="330"/>
      <c r="H93" s="330"/>
      <c r="I93" s="330"/>
      <c r="J93" s="330"/>
      <c r="K93" s="330"/>
      <c r="L93" s="330">
        <f>13*13*0.006165</f>
        <v>1.041885</v>
      </c>
      <c r="M93" s="330">
        <f>M87</f>
        <v>2</v>
      </c>
      <c r="N93" s="330">
        <f>C93*F93*L93*M93</f>
        <v>125.02619999999999</v>
      </c>
      <c r="O93" s="349"/>
      <c r="P93" s="784"/>
      <c r="Q93" s="398"/>
      <c r="R93" s="779"/>
      <c r="S93" s="398"/>
      <c r="T93" s="398"/>
      <c r="U93" s="398"/>
      <c r="V93" s="738"/>
      <c r="W93" s="738"/>
      <c r="X93" s="738"/>
    </row>
    <row r="94" spans="1:24" ht="15.75" customHeight="1">
      <c r="A94" s="355"/>
      <c r="B94" s="359"/>
      <c r="C94" s="330">
        <f>C89</f>
        <v>6</v>
      </c>
      <c r="D94" s="330"/>
      <c r="E94" s="330"/>
      <c r="F94" s="330">
        <f>F93</f>
        <v>5</v>
      </c>
      <c r="G94" s="330"/>
      <c r="H94" s="330"/>
      <c r="I94" s="330"/>
      <c r="J94" s="330"/>
      <c r="K94" s="330"/>
      <c r="L94" s="330">
        <f>L93</f>
        <v>1.041885</v>
      </c>
      <c r="M94" s="330">
        <f>M89</f>
        <v>2</v>
      </c>
      <c r="N94" s="752">
        <f>C94*F94*L94*M94</f>
        <v>62.513099999999994</v>
      </c>
      <c r="O94" s="349"/>
      <c r="P94" s="784"/>
      <c r="Q94" s="398"/>
      <c r="R94" s="779"/>
      <c r="S94" s="398"/>
      <c r="T94" s="398"/>
      <c r="U94" s="398"/>
      <c r="V94" s="738"/>
      <c r="W94" s="738"/>
      <c r="X94" s="738"/>
    </row>
    <row r="95" spans="1:24" ht="15.75" customHeight="1">
      <c r="A95" s="355"/>
      <c r="B95" s="359"/>
      <c r="C95" s="330"/>
      <c r="D95" s="330"/>
      <c r="E95" s="330"/>
      <c r="F95" s="330"/>
      <c r="G95" s="330"/>
      <c r="H95" s="330"/>
      <c r="I95" s="330"/>
      <c r="J95" s="330"/>
      <c r="K95" s="330"/>
      <c r="L95" s="330"/>
      <c r="M95" s="330"/>
      <c r="N95" s="401">
        <f>SUM(N93:N94)</f>
        <v>187.53929999999997</v>
      </c>
      <c r="O95" s="349" t="s">
        <v>100</v>
      </c>
      <c r="P95" s="784">
        <f>ROUND((N95),2)</f>
        <v>187.54</v>
      </c>
      <c r="Q95" s="398"/>
      <c r="R95" s="779"/>
      <c r="S95" s="398"/>
      <c r="T95" s="398"/>
      <c r="U95" s="398"/>
      <c r="V95" s="738"/>
      <c r="W95" s="738"/>
      <c r="X95" s="738"/>
    </row>
    <row r="96" spans="1:24" ht="15.75" customHeight="1">
      <c r="A96" s="355" t="s">
        <v>101</v>
      </c>
      <c r="B96" s="351" t="s">
        <v>411</v>
      </c>
      <c r="C96" s="330"/>
      <c r="D96" s="330"/>
      <c r="E96" s="330"/>
      <c r="F96" s="330"/>
      <c r="G96" s="330"/>
      <c r="H96" s="330"/>
      <c r="I96" s="330"/>
      <c r="J96" s="330"/>
      <c r="K96" s="330"/>
      <c r="L96" s="330"/>
      <c r="M96" s="330"/>
      <c r="N96" s="330"/>
      <c r="O96" s="349"/>
      <c r="P96" s="784"/>
      <c r="Q96" s="398"/>
      <c r="R96" s="779"/>
      <c r="S96" s="398"/>
      <c r="T96" s="398"/>
      <c r="U96" s="398"/>
      <c r="V96" s="738"/>
      <c r="W96" s="738"/>
      <c r="X96" s="738"/>
    </row>
    <row r="97" spans="1:24" ht="15.75" customHeight="1">
      <c r="A97" s="355"/>
      <c r="B97" s="359"/>
      <c r="C97" s="330">
        <f>(0.17+0.22)*2</f>
        <v>0.78</v>
      </c>
      <c r="D97" s="330"/>
      <c r="E97" s="330"/>
      <c r="F97" s="330">
        <f>ROUNDDOWN((C93/0.125),0.1)</f>
        <v>96</v>
      </c>
      <c r="G97" s="330"/>
      <c r="H97" s="330"/>
      <c r="I97" s="330">
        <f>0.05*2</f>
        <v>0.1</v>
      </c>
      <c r="J97" s="330"/>
      <c r="K97" s="330"/>
      <c r="L97" s="330">
        <f>8*8*0.006165</f>
        <v>0.39456000000000002</v>
      </c>
      <c r="M97" s="330">
        <f>M93</f>
        <v>2</v>
      </c>
      <c r="N97" s="330">
        <f>(C97+I97)*F97*L97*M97</f>
        <v>66.664857600000005</v>
      </c>
      <c r="O97" s="349"/>
      <c r="P97" s="784"/>
      <c r="Q97" s="398"/>
      <c r="R97" s="779"/>
      <c r="S97" s="398"/>
      <c r="T97" s="398"/>
      <c r="U97" s="398"/>
      <c r="V97" s="738"/>
      <c r="W97" s="738"/>
      <c r="X97" s="738"/>
    </row>
    <row r="98" spans="1:24" ht="15.75" customHeight="1">
      <c r="A98" s="355"/>
      <c r="B98" s="359"/>
      <c r="C98" s="330">
        <f>C97</f>
        <v>0.78</v>
      </c>
      <c r="D98" s="330"/>
      <c r="E98" s="330"/>
      <c r="F98" s="330">
        <f>ROUNDDOWN((C94/0.125),0.1)</f>
        <v>48</v>
      </c>
      <c r="G98" s="330"/>
      <c r="H98" s="330"/>
      <c r="I98" s="330">
        <f>I97</f>
        <v>0.1</v>
      </c>
      <c r="J98" s="330"/>
      <c r="K98" s="330"/>
      <c r="L98" s="330">
        <f>L97</f>
        <v>0.39456000000000002</v>
      </c>
      <c r="M98" s="330">
        <f>M94</f>
        <v>2</v>
      </c>
      <c r="N98" s="752">
        <f>(C98+I98)*F98*L98*M98</f>
        <v>33.332428800000002</v>
      </c>
      <c r="O98" s="349"/>
      <c r="P98" s="784"/>
      <c r="Q98" s="398"/>
      <c r="R98" s="779"/>
      <c r="S98" s="398"/>
      <c r="T98" s="398"/>
      <c r="U98" s="398"/>
      <c r="V98" s="738"/>
      <c r="W98" s="738"/>
      <c r="X98" s="738"/>
    </row>
    <row r="99" spans="1:24" ht="15.75" customHeight="1">
      <c r="A99" s="355"/>
      <c r="B99" s="359"/>
      <c r="C99" s="330"/>
      <c r="D99" s="330"/>
      <c r="E99" s="330"/>
      <c r="F99" s="330"/>
      <c r="G99" s="330"/>
      <c r="H99" s="330"/>
      <c r="I99" s="330"/>
      <c r="J99" s="330"/>
      <c r="K99" s="330"/>
      <c r="L99" s="330"/>
      <c r="M99" s="330"/>
      <c r="N99" s="401">
        <f>SUM(N97:N98)</f>
        <v>99.997286400000007</v>
      </c>
      <c r="O99" s="349" t="s">
        <v>100</v>
      </c>
      <c r="P99" s="784">
        <f>ROUND((N99),2)</f>
        <v>100</v>
      </c>
      <c r="Q99" s="398"/>
      <c r="R99" s="779"/>
      <c r="S99" s="398"/>
      <c r="T99" s="398"/>
      <c r="U99" s="398"/>
      <c r="V99" s="738"/>
      <c r="W99" s="738"/>
      <c r="X99" s="738"/>
    </row>
    <row r="100" spans="1:24" ht="15.75" customHeight="1">
      <c r="A100" s="355" t="s">
        <v>121</v>
      </c>
      <c r="B100" s="359" t="s">
        <v>1043</v>
      </c>
      <c r="C100" s="330"/>
      <c r="D100" s="330"/>
      <c r="E100" s="330"/>
      <c r="F100" s="330"/>
      <c r="G100" s="330"/>
      <c r="H100" s="330"/>
      <c r="I100" s="330"/>
      <c r="J100" s="330"/>
      <c r="K100" s="330"/>
      <c r="L100" s="330"/>
      <c r="M100" s="330"/>
      <c r="N100" s="330"/>
      <c r="O100" s="349"/>
      <c r="P100" s="784"/>
      <c r="Q100" s="398"/>
      <c r="R100" s="779"/>
      <c r="S100" s="398"/>
      <c r="T100" s="398"/>
      <c r="U100" s="398"/>
      <c r="V100" s="738"/>
      <c r="W100" s="738"/>
      <c r="X100" s="738"/>
    </row>
    <row r="101" spans="1:24" ht="15.75" customHeight="1">
      <c r="A101" s="355"/>
      <c r="B101" s="359"/>
      <c r="C101" s="330">
        <f>C93</f>
        <v>12</v>
      </c>
      <c r="D101" s="330">
        <v>0.2</v>
      </c>
      <c r="E101" s="330">
        <v>0.35</v>
      </c>
      <c r="F101" s="330"/>
      <c r="G101" s="330"/>
      <c r="H101" s="330"/>
      <c r="I101" s="330"/>
      <c r="J101" s="330"/>
      <c r="K101" s="330"/>
      <c r="L101" s="330"/>
      <c r="M101" s="330">
        <f>M97</f>
        <v>2</v>
      </c>
      <c r="N101" s="330">
        <f>C101*D101*E101*M101</f>
        <v>1.6800000000000002</v>
      </c>
      <c r="O101" s="349"/>
      <c r="P101" s="784"/>
      <c r="Q101" s="398"/>
      <c r="R101" s="779"/>
      <c r="S101" s="398"/>
      <c r="T101" s="398"/>
      <c r="U101" s="398"/>
      <c r="V101" s="738"/>
      <c r="W101" s="738"/>
      <c r="X101" s="738"/>
    </row>
    <row r="102" spans="1:24" ht="15.75" customHeight="1">
      <c r="A102" s="355"/>
      <c r="B102" s="359"/>
      <c r="C102" s="330">
        <f>C94</f>
        <v>6</v>
      </c>
      <c r="D102" s="330">
        <f>D101</f>
        <v>0.2</v>
      </c>
      <c r="E102" s="330">
        <f>E101</f>
        <v>0.35</v>
      </c>
      <c r="F102" s="330"/>
      <c r="G102" s="330"/>
      <c r="H102" s="330"/>
      <c r="I102" s="330"/>
      <c r="J102" s="330"/>
      <c r="K102" s="330"/>
      <c r="L102" s="330"/>
      <c r="M102" s="330">
        <f>M98</f>
        <v>2</v>
      </c>
      <c r="N102" s="752">
        <f>C102*D102*E102*M102</f>
        <v>0.84000000000000008</v>
      </c>
      <c r="O102" s="349"/>
      <c r="P102" s="784"/>
      <c r="Q102" s="398"/>
      <c r="R102" s="779"/>
      <c r="S102" s="398"/>
      <c r="T102" s="398"/>
      <c r="U102" s="398"/>
      <c r="V102" s="738"/>
      <c r="W102" s="738"/>
      <c r="X102" s="738"/>
    </row>
    <row r="103" spans="1:24" ht="15.75" customHeight="1">
      <c r="A103" s="355"/>
      <c r="B103" s="359"/>
      <c r="C103" s="330"/>
      <c r="D103" s="330"/>
      <c r="E103" s="330"/>
      <c r="F103" s="330"/>
      <c r="G103" s="330"/>
      <c r="H103" s="330"/>
      <c r="I103" s="330"/>
      <c r="J103" s="330"/>
      <c r="K103" s="330"/>
      <c r="L103" s="330"/>
      <c r="M103" s="330"/>
      <c r="N103" s="401">
        <f>SUM(N101:N102)</f>
        <v>2.5200000000000005</v>
      </c>
      <c r="O103" s="349" t="s">
        <v>103</v>
      </c>
      <c r="P103" s="784">
        <f>ROUND((N103),2)</f>
        <v>2.52</v>
      </c>
      <c r="Q103" s="398"/>
      <c r="R103" s="779"/>
      <c r="S103" s="398"/>
      <c r="T103" s="398"/>
      <c r="U103" s="398"/>
      <c r="V103" s="738"/>
      <c r="W103" s="738"/>
      <c r="X103" s="738"/>
    </row>
    <row r="104" spans="1:24" ht="15.75" customHeight="1">
      <c r="A104" s="350">
        <f>A85+1</f>
        <v>10</v>
      </c>
      <c r="B104" s="359" t="s">
        <v>738</v>
      </c>
      <c r="C104" s="330"/>
      <c r="D104" s="330"/>
      <c r="E104" s="330"/>
      <c r="F104" s="330"/>
      <c r="G104" s="330"/>
      <c r="H104" s="330"/>
      <c r="I104" s="330"/>
      <c r="J104" s="330"/>
      <c r="K104" s="330"/>
      <c r="L104" s="330"/>
      <c r="M104" s="330"/>
      <c r="N104" s="401"/>
      <c r="O104" s="349"/>
      <c r="P104" s="784"/>
      <c r="Q104" s="398"/>
      <c r="R104" s="779"/>
      <c r="S104" s="398"/>
      <c r="T104" s="398"/>
      <c r="U104" s="398"/>
      <c r="V104" s="738"/>
      <c r="W104" s="738"/>
      <c r="X104" s="738"/>
    </row>
    <row r="105" spans="1:24" ht="15.75" customHeight="1">
      <c r="A105" s="355" t="s">
        <v>95</v>
      </c>
      <c r="B105" s="351" t="s">
        <v>423</v>
      </c>
      <c r="C105" s="330"/>
      <c r="D105" s="330"/>
      <c r="E105" s="330"/>
      <c r="F105" s="330"/>
      <c r="G105" s="330"/>
      <c r="H105" s="330"/>
      <c r="I105" s="330"/>
      <c r="J105" s="330"/>
      <c r="K105" s="330"/>
      <c r="L105" s="330"/>
      <c r="M105" s="330"/>
      <c r="N105" s="401"/>
      <c r="O105" s="349"/>
      <c r="P105" s="784"/>
      <c r="Q105" s="398"/>
      <c r="R105" s="779"/>
      <c r="S105" s="398"/>
      <c r="T105" s="398"/>
      <c r="U105" s="398"/>
      <c r="V105" s="738"/>
      <c r="W105" s="738"/>
      <c r="X105" s="738"/>
    </row>
    <row r="106" spans="1:24" ht="15.75" customHeight="1">
      <c r="A106" s="355"/>
      <c r="B106" s="351"/>
      <c r="C106" s="330">
        <f>C90</f>
        <v>6</v>
      </c>
      <c r="D106" s="330"/>
      <c r="E106" s="330">
        <v>0.4</v>
      </c>
      <c r="F106" s="330"/>
      <c r="G106" s="330"/>
      <c r="H106" s="330">
        <f>H89</f>
        <v>2</v>
      </c>
      <c r="I106" s="330"/>
      <c r="J106" s="330"/>
      <c r="K106" s="330"/>
      <c r="L106" s="330"/>
      <c r="M106" s="330">
        <v>2</v>
      </c>
      <c r="N106" s="330">
        <f>C106*E106*H106*M106</f>
        <v>9.6000000000000014</v>
      </c>
      <c r="O106" s="349"/>
      <c r="P106" s="784"/>
      <c r="Q106" s="398"/>
      <c r="R106" s="779"/>
      <c r="S106" s="398"/>
      <c r="T106" s="398"/>
      <c r="U106" s="398"/>
      <c r="V106" s="738"/>
      <c r="W106" s="738"/>
      <c r="X106" s="738"/>
    </row>
    <row r="107" spans="1:24" ht="15.75" customHeight="1">
      <c r="A107" s="355"/>
      <c r="B107" s="351"/>
      <c r="C107" s="330">
        <f>C106</f>
        <v>6</v>
      </c>
      <c r="D107" s="330">
        <f>D90</f>
        <v>0.2</v>
      </c>
      <c r="E107" s="330"/>
      <c r="F107" s="330"/>
      <c r="G107" s="330"/>
      <c r="H107" s="330">
        <f>H90</f>
        <v>1</v>
      </c>
      <c r="I107" s="330"/>
      <c r="J107" s="330"/>
      <c r="K107" s="330"/>
      <c r="L107" s="330"/>
      <c r="M107" s="330">
        <f>M106</f>
        <v>2</v>
      </c>
      <c r="N107" s="752">
        <f>C107*D107*H107*M107</f>
        <v>2.4000000000000004</v>
      </c>
      <c r="O107" s="349"/>
      <c r="P107" s="784"/>
      <c r="Q107" s="398"/>
      <c r="R107" s="779"/>
      <c r="S107" s="398"/>
      <c r="T107" s="398"/>
      <c r="U107" s="398"/>
      <c r="V107" s="738"/>
      <c r="W107" s="738"/>
      <c r="X107" s="738"/>
    </row>
    <row r="108" spans="1:24" ht="15.75" customHeight="1">
      <c r="A108" s="355"/>
      <c r="B108" s="351"/>
      <c r="C108" s="330"/>
      <c r="D108" s="330"/>
      <c r="E108" s="330"/>
      <c r="F108" s="330"/>
      <c r="G108" s="330"/>
      <c r="H108" s="330"/>
      <c r="I108" s="330"/>
      <c r="J108" s="330"/>
      <c r="K108" s="330"/>
      <c r="L108" s="330"/>
      <c r="M108" s="330"/>
      <c r="N108" s="401">
        <f>SUM(N106:N107)</f>
        <v>12.000000000000002</v>
      </c>
      <c r="O108" s="349" t="s">
        <v>89</v>
      </c>
      <c r="P108" s="784">
        <f>ROUND((N108),2)</f>
        <v>12</v>
      </c>
      <c r="Q108" s="398"/>
      <c r="R108" s="779"/>
      <c r="S108" s="398"/>
      <c r="T108" s="398"/>
      <c r="U108" s="398"/>
      <c r="V108" s="738"/>
      <c r="W108" s="738"/>
      <c r="X108" s="738"/>
    </row>
    <row r="109" spans="1:24" ht="15.75" customHeight="1">
      <c r="A109" s="355" t="s">
        <v>98</v>
      </c>
      <c r="B109" s="351" t="s">
        <v>739</v>
      </c>
      <c r="C109" s="330">
        <f>C106</f>
        <v>6</v>
      </c>
      <c r="D109" s="330"/>
      <c r="E109" s="330"/>
      <c r="F109" s="330">
        <v>6</v>
      </c>
      <c r="G109" s="330"/>
      <c r="H109" s="330"/>
      <c r="I109" s="330"/>
      <c r="J109" s="330"/>
      <c r="K109" s="330"/>
      <c r="L109" s="330">
        <f>13*13*0.006165</f>
        <v>1.041885</v>
      </c>
      <c r="M109" s="330">
        <f>M107</f>
        <v>2</v>
      </c>
      <c r="N109" s="330">
        <f>C109*F109*L109*M109</f>
        <v>75.015720000000002</v>
      </c>
      <c r="O109" s="349" t="s">
        <v>100</v>
      </c>
      <c r="P109" s="784">
        <f>ROUND((N109),2)</f>
        <v>75.02</v>
      </c>
      <c r="Q109" s="398"/>
      <c r="R109" s="779"/>
      <c r="S109" s="398"/>
      <c r="T109" s="398"/>
      <c r="U109" s="398"/>
      <c r="V109" s="738"/>
      <c r="W109" s="738"/>
      <c r="X109" s="738"/>
    </row>
    <row r="110" spans="1:24" ht="15.75" customHeight="1">
      <c r="A110" s="355" t="s">
        <v>101</v>
      </c>
      <c r="B110" s="351" t="s">
        <v>428</v>
      </c>
      <c r="C110" s="330">
        <f>(0.17+0.22)*2</f>
        <v>0.78</v>
      </c>
      <c r="D110" s="330"/>
      <c r="E110" s="330"/>
      <c r="F110" s="330">
        <f>ROUNDDOWN((C106/0.125),0.1)</f>
        <v>48</v>
      </c>
      <c r="G110" s="330"/>
      <c r="H110" s="330"/>
      <c r="I110" s="330">
        <f>0.05*2</f>
        <v>0.1</v>
      </c>
      <c r="J110" s="330"/>
      <c r="K110" s="330"/>
      <c r="L110" s="330">
        <f>8*8*0.006165</f>
        <v>0.39456000000000002</v>
      </c>
      <c r="M110" s="330">
        <f>M109</f>
        <v>2</v>
      </c>
      <c r="N110" s="330">
        <f>(C110+I110)*F110*L110*M110</f>
        <v>33.332428800000002</v>
      </c>
      <c r="O110" s="349" t="s">
        <v>100</v>
      </c>
      <c r="P110" s="784">
        <f>ROUND((N110),2)</f>
        <v>33.33</v>
      </c>
      <c r="Q110" s="398"/>
      <c r="R110" s="779"/>
      <c r="S110" s="398"/>
      <c r="T110" s="398"/>
      <c r="U110" s="398"/>
      <c r="V110" s="738"/>
      <c r="W110" s="738"/>
      <c r="X110" s="738"/>
    </row>
    <row r="111" spans="1:24" ht="15.75" customHeight="1">
      <c r="A111" s="355" t="s">
        <v>121</v>
      </c>
      <c r="B111" s="356" t="s">
        <v>169</v>
      </c>
      <c r="C111" s="330">
        <f>C106</f>
        <v>6</v>
      </c>
      <c r="D111" s="330">
        <f>D107</f>
        <v>0.2</v>
      </c>
      <c r="E111" s="330">
        <f>E106</f>
        <v>0.4</v>
      </c>
      <c r="F111" s="330"/>
      <c r="G111" s="330"/>
      <c r="H111" s="330"/>
      <c r="I111" s="330"/>
      <c r="J111" s="330"/>
      <c r="K111" s="330"/>
      <c r="L111" s="330"/>
      <c r="M111" s="330">
        <f>M110</f>
        <v>2</v>
      </c>
      <c r="N111" s="330">
        <f>C111*D111*E111*M111</f>
        <v>0.96000000000000019</v>
      </c>
      <c r="O111" s="349" t="s">
        <v>103</v>
      </c>
      <c r="P111" s="784">
        <f>ROUND((N111),2)</f>
        <v>0.96</v>
      </c>
      <c r="Q111" s="398"/>
      <c r="R111" s="779"/>
      <c r="S111" s="398"/>
      <c r="T111" s="398"/>
      <c r="U111" s="398"/>
      <c r="V111" s="738"/>
      <c r="W111" s="738"/>
      <c r="X111" s="738"/>
    </row>
    <row r="112" spans="1:24" ht="15.75" customHeight="1">
      <c r="A112" s="350">
        <f>A104+1</f>
        <v>11</v>
      </c>
      <c r="B112" s="351" t="s">
        <v>927</v>
      </c>
      <c r="C112" s="330"/>
      <c r="D112" s="330"/>
      <c r="E112" s="330"/>
      <c r="F112" s="330"/>
      <c r="G112" s="330"/>
      <c r="H112" s="330"/>
      <c r="I112" s="330"/>
      <c r="J112" s="330"/>
      <c r="K112" s="330"/>
      <c r="L112" s="330"/>
      <c r="M112" s="330"/>
      <c r="N112" s="330"/>
      <c r="O112" s="349"/>
      <c r="P112" s="784"/>
      <c r="Q112" s="398"/>
      <c r="R112" s="779"/>
      <c r="S112" s="398"/>
      <c r="T112" s="398"/>
      <c r="U112" s="398"/>
      <c r="V112" s="738"/>
      <c r="W112" s="738"/>
      <c r="X112" s="738"/>
    </row>
    <row r="113" spans="1:24" ht="15.75" customHeight="1">
      <c r="A113" s="355" t="s">
        <v>95</v>
      </c>
      <c r="B113" s="351" t="s">
        <v>1393</v>
      </c>
      <c r="C113" s="330">
        <v>4</v>
      </c>
      <c r="D113" s="330">
        <v>0.15</v>
      </c>
      <c r="E113" s="330"/>
      <c r="F113" s="330"/>
      <c r="G113" s="330"/>
      <c r="H113" s="330">
        <v>3</v>
      </c>
      <c r="I113" s="330"/>
      <c r="J113" s="330"/>
      <c r="K113" s="330"/>
      <c r="L113" s="330"/>
      <c r="M113" s="330">
        <v>2</v>
      </c>
      <c r="N113" s="330">
        <f>C113*D113*H113*M113</f>
        <v>3.5999999999999996</v>
      </c>
      <c r="O113" s="349" t="s">
        <v>89</v>
      </c>
      <c r="P113" s="784">
        <f>ROUND((N113),2)</f>
        <v>3.6</v>
      </c>
      <c r="Q113" s="398"/>
      <c r="R113" s="779"/>
      <c r="S113" s="398"/>
      <c r="T113" s="398"/>
      <c r="U113" s="398"/>
      <c r="V113" s="738"/>
      <c r="W113" s="738"/>
      <c r="X113" s="738"/>
    </row>
    <row r="114" spans="1:24" ht="15.75" customHeight="1">
      <c r="A114" s="355" t="s">
        <v>98</v>
      </c>
      <c r="B114" s="351" t="s">
        <v>817</v>
      </c>
      <c r="C114" s="330">
        <f>C113</f>
        <v>4</v>
      </c>
      <c r="D114" s="330"/>
      <c r="E114" s="330"/>
      <c r="F114" s="330">
        <v>4</v>
      </c>
      <c r="G114" s="330"/>
      <c r="H114" s="330"/>
      <c r="I114" s="330"/>
      <c r="J114" s="330"/>
      <c r="K114" s="330"/>
      <c r="L114" s="330">
        <f>13*13*0.006165</f>
        <v>1.041885</v>
      </c>
      <c r="M114" s="330">
        <f>M113</f>
        <v>2</v>
      </c>
      <c r="N114" s="330">
        <f>C114*F114*L114*M114</f>
        <v>33.340319999999998</v>
      </c>
      <c r="O114" s="349" t="s">
        <v>100</v>
      </c>
      <c r="P114" s="784">
        <f>ROUND((N114),2)</f>
        <v>33.340000000000003</v>
      </c>
      <c r="Q114" s="398"/>
      <c r="R114" s="779"/>
      <c r="S114" s="398"/>
      <c r="T114" s="398"/>
      <c r="U114" s="398"/>
      <c r="V114" s="738"/>
      <c r="W114" s="738"/>
      <c r="X114" s="738"/>
    </row>
    <row r="115" spans="1:24" ht="15.75" customHeight="1">
      <c r="A115" s="355" t="s">
        <v>101</v>
      </c>
      <c r="B115" s="351" t="s">
        <v>411</v>
      </c>
      <c r="C115" s="330">
        <f>0.1*4</f>
        <v>0.4</v>
      </c>
      <c r="D115" s="330"/>
      <c r="E115" s="330"/>
      <c r="F115" s="330">
        <f>ROUNDDOWN((C114/0.15),0.1)</f>
        <v>26</v>
      </c>
      <c r="G115" s="330"/>
      <c r="H115" s="330"/>
      <c r="I115" s="330">
        <f>0.05*2</f>
        <v>0.1</v>
      </c>
      <c r="J115" s="330"/>
      <c r="K115" s="330"/>
      <c r="L115" s="330">
        <f>8*8*0.006165</f>
        <v>0.39456000000000002</v>
      </c>
      <c r="M115" s="330">
        <f>M114</f>
        <v>2</v>
      </c>
      <c r="N115" s="330">
        <f>(C115+I115)*F115*L115*M115</f>
        <v>10.258560000000001</v>
      </c>
      <c r="O115" s="349" t="s">
        <v>100</v>
      </c>
      <c r="P115" s="784">
        <f>ROUND((N115),2)</f>
        <v>10.26</v>
      </c>
      <c r="Q115" s="398"/>
      <c r="R115" s="779"/>
      <c r="S115" s="398"/>
      <c r="T115" s="398"/>
      <c r="U115" s="398"/>
      <c r="V115" s="738"/>
      <c r="W115" s="738"/>
      <c r="X115" s="738"/>
    </row>
    <row r="116" spans="1:24" ht="15.75" customHeight="1">
      <c r="A116" s="355" t="s">
        <v>121</v>
      </c>
      <c r="B116" s="356" t="s">
        <v>429</v>
      </c>
      <c r="C116" s="330">
        <f>C113</f>
        <v>4</v>
      </c>
      <c r="D116" s="330">
        <v>0.15</v>
      </c>
      <c r="E116" s="330">
        <v>0.15</v>
      </c>
      <c r="F116" s="330"/>
      <c r="G116" s="330"/>
      <c r="H116" s="330"/>
      <c r="I116" s="330"/>
      <c r="J116" s="330"/>
      <c r="K116" s="330"/>
      <c r="L116" s="330"/>
      <c r="M116" s="330">
        <f>M115</f>
        <v>2</v>
      </c>
      <c r="N116" s="330">
        <f>C116*D116*E116*M116</f>
        <v>0.18</v>
      </c>
      <c r="O116" s="349" t="s">
        <v>103</v>
      </c>
      <c r="P116" s="784">
        <f>ROUND((N116),2)</f>
        <v>0.18</v>
      </c>
      <c r="Q116" s="398"/>
      <c r="R116" s="779"/>
      <c r="S116" s="398"/>
      <c r="T116" s="398"/>
      <c r="U116" s="398"/>
      <c r="V116" s="738"/>
      <c r="W116" s="738"/>
      <c r="X116" s="738"/>
    </row>
    <row r="117" spans="1:24" s="554" customFormat="1" ht="15.75" customHeight="1">
      <c r="A117" s="350">
        <f>A112+1</f>
        <v>12</v>
      </c>
      <c r="B117" s="359" t="s">
        <v>424</v>
      </c>
      <c r="C117" s="348"/>
      <c r="D117" s="348"/>
      <c r="E117" s="348"/>
      <c r="F117" s="348"/>
      <c r="G117" s="348"/>
      <c r="H117" s="348"/>
      <c r="I117" s="348"/>
      <c r="J117" s="348"/>
      <c r="K117" s="348"/>
      <c r="L117" s="348"/>
      <c r="M117" s="348"/>
      <c r="N117" s="348"/>
      <c r="O117" s="349"/>
      <c r="P117" s="784"/>
      <c r="Q117" s="398"/>
      <c r="R117" s="564"/>
      <c r="S117" s="398"/>
      <c r="T117" s="398"/>
      <c r="U117" s="398"/>
      <c r="V117" s="555"/>
      <c r="W117" s="555"/>
      <c r="X117" s="555"/>
    </row>
    <row r="118" spans="1:24" s="554" customFormat="1" ht="15.75" customHeight="1">
      <c r="A118" s="350"/>
      <c r="B118" s="359" t="s">
        <v>1010</v>
      </c>
      <c r="C118" s="348"/>
      <c r="D118" s="348"/>
      <c r="E118" s="348"/>
      <c r="F118" s="348"/>
      <c r="G118" s="348"/>
      <c r="H118" s="348"/>
      <c r="I118" s="348"/>
      <c r="J118" s="348"/>
      <c r="K118" s="348"/>
      <c r="L118" s="348"/>
      <c r="M118" s="348"/>
      <c r="N118" s="348"/>
      <c r="O118" s="349"/>
      <c r="P118" s="784"/>
      <c r="Q118" s="398"/>
      <c r="R118" s="564"/>
      <c r="S118" s="398"/>
      <c r="T118" s="398"/>
      <c r="U118" s="398"/>
      <c r="V118" s="555"/>
      <c r="W118" s="555"/>
      <c r="X118" s="555"/>
    </row>
    <row r="119" spans="1:24" s="554" customFormat="1" ht="15.75" customHeight="1">
      <c r="A119" s="355" t="s">
        <v>95</v>
      </c>
      <c r="B119" s="359" t="s">
        <v>423</v>
      </c>
      <c r="C119" s="348"/>
      <c r="D119" s="348"/>
      <c r="E119" s="348"/>
      <c r="F119" s="348"/>
      <c r="G119" s="348"/>
      <c r="H119" s="348"/>
      <c r="I119" s="348"/>
      <c r="J119" s="348"/>
      <c r="K119" s="348"/>
      <c r="L119" s="348"/>
      <c r="M119" s="348"/>
      <c r="N119" s="348"/>
      <c r="O119" s="349"/>
      <c r="P119" s="784"/>
      <c r="Q119" s="398"/>
      <c r="R119" s="564"/>
      <c r="S119" s="398"/>
      <c r="T119" s="398"/>
      <c r="U119" s="398"/>
      <c r="V119" s="555"/>
      <c r="W119" s="555"/>
      <c r="X119" s="555"/>
    </row>
    <row r="120" spans="1:24" s="554" customFormat="1" ht="15.75" customHeight="1">
      <c r="A120" s="355"/>
      <c r="B120" s="567" t="s">
        <v>1010</v>
      </c>
      <c r="C120" s="348">
        <f>C204*2</f>
        <v>9.6679999999999993</v>
      </c>
      <c r="D120" s="348"/>
      <c r="E120" s="348">
        <v>0.2</v>
      </c>
      <c r="F120" s="348"/>
      <c r="G120" s="348"/>
      <c r="H120" s="348">
        <v>2</v>
      </c>
      <c r="I120" s="348"/>
      <c r="J120" s="348"/>
      <c r="K120" s="348"/>
      <c r="L120" s="348"/>
      <c r="M120" s="348">
        <v>4</v>
      </c>
      <c r="N120" s="348">
        <f>C120*E120*H120*M120</f>
        <v>15.4688</v>
      </c>
      <c r="O120" s="349"/>
      <c r="P120" s="784"/>
      <c r="Q120" s="398"/>
      <c r="R120" s="564"/>
      <c r="S120" s="398"/>
      <c r="T120" s="398"/>
      <c r="U120" s="398"/>
      <c r="V120" s="555"/>
      <c r="W120" s="555"/>
      <c r="X120" s="555"/>
    </row>
    <row r="121" spans="1:24" s="554" customFormat="1" ht="15.75" customHeight="1">
      <c r="A121" s="355"/>
      <c r="B121" s="359"/>
      <c r="C121" s="348">
        <f>C120</f>
        <v>9.6679999999999993</v>
      </c>
      <c r="D121" s="348">
        <v>0.15</v>
      </c>
      <c r="E121" s="348"/>
      <c r="F121" s="348"/>
      <c r="G121" s="348"/>
      <c r="H121" s="348">
        <v>1</v>
      </c>
      <c r="I121" s="348"/>
      <c r="J121" s="348"/>
      <c r="K121" s="348"/>
      <c r="L121" s="348"/>
      <c r="M121" s="348">
        <f>M120</f>
        <v>4</v>
      </c>
      <c r="N121" s="348">
        <f>C121*D121*H121*M121</f>
        <v>5.8007999999999997</v>
      </c>
      <c r="O121" s="349"/>
      <c r="P121" s="784"/>
      <c r="Q121" s="398"/>
      <c r="R121" s="564"/>
      <c r="S121" s="398"/>
      <c r="T121" s="398"/>
      <c r="U121" s="398"/>
      <c r="V121" s="555"/>
      <c r="W121" s="555"/>
      <c r="X121" s="555"/>
    </row>
    <row r="122" spans="1:24" s="554" customFormat="1" ht="15.75" customHeight="1">
      <c r="A122" s="355"/>
      <c r="B122" s="567" t="s">
        <v>1011</v>
      </c>
      <c r="C122" s="348">
        <v>2</v>
      </c>
      <c r="D122" s="348"/>
      <c r="E122" s="348">
        <v>0.2</v>
      </c>
      <c r="F122" s="348"/>
      <c r="G122" s="348"/>
      <c r="H122" s="348">
        <v>2</v>
      </c>
      <c r="I122" s="348"/>
      <c r="J122" s="348"/>
      <c r="K122" s="348"/>
      <c r="L122" s="348"/>
      <c r="M122" s="348">
        <v>4</v>
      </c>
      <c r="N122" s="348">
        <f>C122*E122*H122*M122</f>
        <v>3.2</v>
      </c>
      <c r="O122" s="349"/>
      <c r="P122" s="784"/>
      <c r="Q122" s="398"/>
      <c r="R122" s="564"/>
      <c r="S122" s="398"/>
      <c r="T122" s="398"/>
      <c r="U122" s="398"/>
      <c r="V122" s="555"/>
      <c r="W122" s="555"/>
      <c r="X122" s="555"/>
    </row>
    <row r="123" spans="1:24" s="554" customFormat="1" ht="15.75" customHeight="1">
      <c r="A123" s="355"/>
      <c r="B123" s="359"/>
      <c r="C123" s="348">
        <f>C122</f>
        <v>2</v>
      </c>
      <c r="D123" s="348">
        <f>D121</f>
        <v>0.15</v>
      </c>
      <c r="E123" s="348"/>
      <c r="F123" s="348"/>
      <c r="G123" s="348"/>
      <c r="H123" s="348">
        <v>1</v>
      </c>
      <c r="I123" s="348"/>
      <c r="J123" s="348"/>
      <c r="K123" s="348"/>
      <c r="L123" s="348"/>
      <c r="M123" s="348">
        <f>M122</f>
        <v>4</v>
      </c>
      <c r="N123" s="565">
        <f>C123*D123*H123*M123</f>
        <v>1.2</v>
      </c>
      <c r="O123" s="349"/>
      <c r="P123" s="784"/>
      <c r="Q123" s="398"/>
      <c r="R123" s="564"/>
      <c r="S123" s="398"/>
      <c r="T123" s="398"/>
      <c r="U123" s="398"/>
      <c r="V123" s="555"/>
      <c r="W123" s="555"/>
      <c r="X123" s="555"/>
    </row>
    <row r="124" spans="1:24" s="554" customFormat="1" ht="15.75" customHeight="1">
      <c r="A124" s="355"/>
      <c r="B124" s="359"/>
      <c r="C124" s="348"/>
      <c r="D124" s="348"/>
      <c r="E124" s="348"/>
      <c r="F124" s="348"/>
      <c r="G124" s="348"/>
      <c r="H124" s="348"/>
      <c r="I124" s="348"/>
      <c r="J124" s="348"/>
      <c r="K124" s="348"/>
      <c r="L124" s="348"/>
      <c r="M124" s="348"/>
      <c r="N124" s="343">
        <f>SUM(N120:N123)/2</f>
        <v>12.8348</v>
      </c>
      <c r="O124" s="349" t="s">
        <v>89</v>
      </c>
      <c r="P124" s="784">
        <f>ROUND((N124),2)</f>
        <v>12.83</v>
      </c>
      <c r="Q124" s="398"/>
      <c r="R124" s="564"/>
      <c r="S124" s="398"/>
      <c r="T124" s="398"/>
      <c r="U124" s="398"/>
      <c r="V124" s="555"/>
      <c r="W124" s="555"/>
      <c r="X124" s="555"/>
    </row>
    <row r="125" spans="1:24" s="554" customFormat="1" ht="15.75" customHeight="1">
      <c r="A125" s="355" t="s">
        <v>98</v>
      </c>
      <c r="B125" s="359" t="s">
        <v>741</v>
      </c>
      <c r="C125" s="348"/>
      <c r="D125" s="348"/>
      <c r="E125" s="348"/>
      <c r="F125" s="348"/>
      <c r="G125" s="348"/>
      <c r="H125" s="348"/>
      <c r="I125" s="348"/>
      <c r="J125" s="348"/>
      <c r="K125" s="348"/>
      <c r="L125" s="348"/>
      <c r="M125" s="348"/>
      <c r="N125" s="348"/>
      <c r="O125" s="349"/>
      <c r="P125" s="784"/>
      <c r="Q125" s="398"/>
      <c r="R125" s="564"/>
      <c r="S125" s="398"/>
      <c r="T125" s="398"/>
      <c r="U125" s="398"/>
      <c r="V125" s="555"/>
      <c r="W125" s="555"/>
      <c r="X125" s="555"/>
    </row>
    <row r="126" spans="1:24" s="554" customFormat="1" ht="15.75" customHeight="1">
      <c r="A126" s="355"/>
      <c r="B126" s="567" t="s">
        <v>1010</v>
      </c>
      <c r="C126" s="348">
        <f>C120</f>
        <v>9.6679999999999993</v>
      </c>
      <c r="D126" s="348"/>
      <c r="E126" s="348"/>
      <c r="F126" s="348">
        <v>5</v>
      </c>
      <c r="G126" s="348"/>
      <c r="H126" s="348"/>
      <c r="I126" s="348">
        <v>0.1</v>
      </c>
      <c r="J126" s="348"/>
      <c r="K126" s="348"/>
      <c r="L126" s="348">
        <f>0.006165*10*10</f>
        <v>0.61650000000000005</v>
      </c>
      <c r="M126" s="348">
        <f>M120</f>
        <v>4</v>
      </c>
      <c r="N126" s="348">
        <f>(C126+I126)*F126*L126*M126</f>
        <v>120.43944</v>
      </c>
      <c r="O126" s="349"/>
      <c r="P126" s="784"/>
      <c r="Q126" s="398"/>
      <c r="R126" s="564"/>
      <c r="S126" s="398"/>
      <c r="T126" s="398"/>
      <c r="U126" s="398"/>
      <c r="V126" s="555"/>
      <c r="W126" s="555"/>
      <c r="X126" s="555"/>
    </row>
    <row r="127" spans="1:24" s="554" customFormat="1" ht="15.75" customHeight="1">
      <c r="A127" s="355"/>
      <c r="B127" s="567" t="s">
        <v>1011</v>
      </c>
      <c r="C127" s="348">
        <f>C123</f>
        <v>2</v>
      </c>
      <c r="D127" s="348"/>
      <c r="E127" s="348"/>
      <c r="F127" s="348">
        <v>5</v>
      </c>
      <c r="G127" s="348"/>
      <c r="H127" s="348"/>
      <c r="I127" s="348">
        <f>I126</f>
        <v>0.1</v>
      </c>
      <c r="J127" s="348"/>
      <c r="K127" s="348"/>
      <c r="L127" s="348">
        <f>L126</f>
        <v>0.61650000000000005</v>
      </c>
      <c r="M127" s="348">
        <f>M126</f>
        <v>4</v>
      </c>
      <c r="N127" s="565">
        <f>(C127+I127)*F127*L127*M127</f>
        <v>25.893000000000001</v>
      </c>
      <c r="O127" s="349"/>
      <c r="P127" s="784"/>
      <c r="Q127" s="398"/>
      <c r="R127" s="564"/>
      <c r="S127" s="398"/>
      <c r="T127" s="398"/>
      <c r="U127" s="398"/>
      <c r="V127" s="555"/>
      <c r="W127" s="555"/>
      <c r="X127" s="555"/>
    </row>
    <row r="128" spans="1:24" s="554" customFormat="1" ht="15.75" customHeight="1">
      <c r="A128" s="355"/>
      <c r="B128" s="359"/>
      <c r="C128" s="348"/>
      <c r="D128" s="348"/>
      <c r="E128" s="348"/>
      <c r="F128" s="348"/>
      <c r="G128" s="348"/>
      <c r="H128" s="348"/>
      <c r="I128" s="348"/>
      <c r="J128" s="348"/>
      <c r="K128" s="348"/>
      <c r="L128" s="348"/>
      <c r="M128" s="348"/>
      <c r="N128" s="343">
        <f>SUM(N126:N127)</f>
        <v>146.33244000000002</v>
      </c>
      <c r="O128" s="349" t="s">
        <v>100</v>
      </c>
      <c r="P128" s="784">
        <f>ROUND((N128),2)</f>
        <v>146.33000000000001</v>
      </c>
      <c r="Q128" s="398"/>
      <c r="R128" s="564"/>
      <c r="S128" s="398"/>
      <c r="T128" s="398"/>
      <c r="U128" s="398"/>
      <c r="V128" s="555"/>
      <c r="W128" s="555"/>
      <c r="X128" s="555"/>
    </row>
    <row r="129" spans="1:24" s="554" customFormat="1" ht="15.75" customHeight="1">
      <c r="A129" s="355" t="s">
        <v>101</v>
      </c>
      <c r="B129" s="359" t="s">
        <v>428</v>
      </c>
      <c r="C129" s="348"/>
      <c r="D129" s="348"/>
      <c r="E129" s="348"/>
      <c r="F129" s="348"/>
      <c r="G129" s="348"/>
      <c r="H129" s="348"/>
      <c r="I129" s="348"/>
      <c r="J129" s="348"/>
      <c r="K129" s="348"/>
      <c r="L129" s="348"/>
      <c r="M129" s="348"/>
      <c r="N129" s="348"/>
      <c r="O129" s="349"/>
      <c r="P129" s="784"/>
      <c r="Q129" s="398"/>
      <c r="R129" s="564"/>
      <c r="S129" s="398"/>
      <c r="T129" s="398"/>
      <c r="U129" s="398"/>
      <c r="V129" s="555"/>
      <c r="W129" s="555"/>
      <c r="X129" s="555"/>
    </row>
    <row r="130" spans="1:24" s="554" customFormat="1" ht="15.75" customHeight="1">
      <c r="A130" s="355"/>
      <c r="B130" s="567" t="s">
        <v>1010</v>
      </c>
      <c r="C130" s="348">
        <f>(0.09+0.14)*2</f>
        <v>0.46</v>
      </c>
      <c r="D130" s="348"/>
      <c r="E130" s="348"/>
      <c r="F130" s="348">
        <f>ROUNDDOWN((C126/0.125),0.1)</f>
        <v>77</v>
      </c>
      <c r="G130" s="348"/>
      <c r="H130" s="348"/>
      <c r="I130" s="348">
        <v>0.1</v>
      </c>
      <c r="J130" s="348"/>
      <c r="K130" s="348"/>
      <c r="L130" s="348">
        <f>L110</f>
        <v>0.39456000000000002</v>
      </c>
      <c r="M130" s="348">
        <f>M126</f>
        <v>4</v>
      </c>
      <c r="N130" s="348">
        <f>(C130+I130)*F130*L130*M130</f>
        <v>68.05370880000001</v>
      </c>
      <c r="O130" s="349"/>
      <c r="P130" s="784"/>
      <c r="Q130" s="398"/>
      <c r="R130" s="564"/>
      <c r="S130" s="398"/>
      <c r="T130" s="398"/>
      <c r="U130" s="398"/>
      <c r="V130" s="555"/>
      <c r="W130" s="555"/>
      <c r="X130" s="555"/>
    </row>
    <row r="131" spans="1:24" s="554" customFormat="1" ht="15.75" customHeight="1">
      <c r="A131" s="355"/>
      <c r="B131" s="567" t="s">
        <v>1011</v>
      </c>
      <c r="C131" s="348">
        <f>(0.09+0.14)*2</f>
        <v>0.46</v>
      </c>
      <c r="D131" s="348"/>
      <c r="E131" s="348"/>
      <c r="F131" s="348">
        <f>ROUNDDOWN((C127/0.125),0.1)</f>
        <v>16</v>
      </c>
      <c r="G131" s="348"/>
      <c r="H131" s="348"/>
      <c r="I131" s="348">
        <v>0.1</v>
      </c>
      <c r="J131" s="348"/>
      <c r="K131" s="348"/>
      <c r="L131" s="348">
        <f>L130</f>
        <v>0.39456000000000002</v>
      </c>
      <c r="M131" s="348">
        <f>M127</f>
        <v>4</v>
      </c>
      <c r="N131" s="348">
        <f>(C131+I131)*F131*L131*M131</f>
        <v>14.141030400000002</v>
      </c>
      <c r="O131" s="349"/>
      <c r="P131" s="784"/>
      <c r="Q131" s="398"/>
      <c r="R131" s="564"/>
      <c r="S131" s="398"/>
      <c r="T131" s="398"/>
      <c r="U131" s="398"/>
      <c r="V131" s="555"/>
      <c r="W131" s="555"/>
      <c r="X131" s="555"/>
    </row>
    <row r="132" spans="1:24" s="554" customFormat="1" ht="15.75" customHeight="1">
      <c r="A132" s="355"/>
      <c r="B132" s="359"/>
      <c r="C132" s="348"/>
      <c r="D132" s="348"/>
      <c r="E132" s="348"/>
      <c r="F132" s="348"/>
      <c r="G132" s="348"/>
      <c r="H132" s="348"/>
      <c r="I132" s="348"/>
      <c r="J132" s="348"/>
      <c r="K132" s="348"/>
      <c r="L132" s="348"/>
      <c r="M132" s="348"/>
      <c r="N132" s="343">
        <f>SUM(N130:N131)</f>
        <v>82.194739200000015</v>
      </c>
      <c r="O132" s="349" t="s">
        <v>100</v>
      </c>
      <c r="P132" s="784">
        <f>ROUND((N132),2)</f>
        <v>82.19</v>
      </c>
      <c r="Q132" s="398"/>
      <c r="R132" s="564"/>
      <c r="S132" s="398"/>
      <c r="T132" s="398"/>
      <c r="U132" s="398"/>
      <c r="V132" s="555"/>
      <c r="W132" s="555"/>
      <c r="X132" s="555"/>
    </row>
    <row r="133" spans="1:24" s="554" customFormat="1" ht="15.75" customHeight="1">
      <c r="A133" s="355" t="s">
        <v>121</v>
      </c>
      <c r="B133" s="359" t="s">
        <v>1043</v>
      </c>
      <c r="C133" s="348"/>
      <c r="D133" s="348"/>
      <c r="E133" s="348"/>
      <c r="F133" s="348"/>
      <c r="G133" s="348"/>
      <c r="H133" s="348"/>
      <c r="I133" s="348"/>
      <c r="J133" s="348"/>
      <c r="K133" s="348"/>
      <c r="L133" s="348"/>
      <c r="M133" s="348"/>
      <c r="N133" s="348"/>
      <c r="O133" s="349"/>
      <c r="P133" s="784"/>
      <c r="Q133" s="398"/>
      <c r="R133" s="564"/>
      <c r="S133" s="398"/>
      <c r="T133" s="398"/>
      <c r="U133" s="398"/>
      <c r="V133" s="555"/>
      <c r="W133" s="555"/>
      <c r="X133" s="555"/>
    </row>
    <row r="134" spans="1:24" s="554" customFormat="1" ht="15.75" customHeight="1">
      <c r="A134" s="355"/>
      <c r="B134" s="567" t="s">
        <v>1010</v>
      </c>
      <c r="C134" s="348">
        <f>C126</f>
        <v>9.6679999999999993</v>
      </c>
      <c r="D134" s="348">
        <f>D121</f>
        <v>0.15</v>
      </c>
      <c r="E134" s="348">
        <f>E120</f>
        <v>0.2</v>
      </c>
      <c r="F134" s="348"/>
      <c r="G134" s="348"/>
      <c r="H134" s="348"/>
      <c r="I134" s="348"/>
      <c r="J134" s="348"/>
      <c r="K134" s="348"/>
      <c r="L134" s="348"/>
      <c r="M134" s="348">
        <f>M130</f>
        <v>4</v>
      </c>
      <c r="N134" s="348">
        <f>C134*D134*E134*M134</f>
        <v>1.1601600000000001</v>
      </c>
      <c r="O134" s="349"/>
      <c r="P134" s="784"/>
      <c r="Q134" s="398"/>
      <c r="R134" s="564"/>
      <c r="S134" s="398"/>
      <c r="T134" s="398"/>
      <c r="U134" s="398"/>
      <c r="V134" s="555"/>
      <c r="W134" s="555"/>
      <c r="X134" s="555"/>
    </row>
    <row r="135" spans="1:24" s="554" customFormat="1" ht="15.75" customHeight="1">
      <c r="A135" s="355"/>
      <c r="B135" s="567" t="s">
        <v>1011</v>
      </c>
      <c r="C135" s="348">
        <f>C127</f>
        <v>2</v>
      </c>
      <c r="D135" s="348">
        <f>D134</f>
        <v>0.15</v>
      </c>
      <c r="E135" s="348">
        <f>E134</f>
        <v>0.2</v>
      </c>
      <c r="F135" s="348"/>
      <c r="G135" s="348"/>
      <c r="H135" s="348"/>
      <c r="I135" s="348"/>
      <c r="J135" s="348"/>
      <c r="K135" s="348"/>
      <c r="L135" s="348"/>
      <c r="M135" s="348">
        <f>M131</f>
        <v>4</v>
      </c>
      <c r="N135" s="565">
        <f>C135*D135*E135*M135</f>
        <v>0.24</v>
      </c>
      <c r="O135" s="349"/>
      <c r="P135" s="784"/>
      <c r="Q135" s="398"/>
      <c r="R135" s="564"/>
      <c r="S135" s="398"/>
      <c r="T135" s="398"/>
      <c r="U135" s="398"/>
      <c r="V135" s="555"/>
      <c r="W135" s="555"/>
      <c r="X135" s="555"/>
    </row>
    <row r="136" spans="1:24" s="554" customFormat="1" ht="15.75" customHeight="1">
      <c r="A136" s="355"/>
      <c r="B136" s="359"/>
      <c r="C136" s="348"/>
      <c r="D136" s="348"/>
      <c r="E136" s="348"/>
      <c r="F136" s="348"/>
      <c r="G136" s="348"/>
      <c r="H136" s="348"/>
      <c r="I136" s="348"/>
      <c r="J136" s="348"/>
      <c r="K136" s="348"/>
      <c r="L136" s="348"/>
      <c r="M136" s="348"/>
      <c r="N136" s="343">
        <f>SUM(N134:N135)</f>
        <v>1.4001600000000001</v>
      </c>
      <c r="O136" s="349" t="s">
        <v>103</v>
      </c>
      <c r="P136" s="784">
        <f>ROUND((N136),2)</f>
        <v>1.4</v>
      </c>
      <c r="Q136" s="398"/>
      <c r="R136" s="564"/>
      <c r="S136" s="398"/>
      <c r="T136" s="398"/>
      <c r="U136" s="398"/>
      <c r="V136" s="555"/>
      <c r="W136" s="555"/>
      <c r="X136" s="555"/>
    </row>
    <row r="137" spans="1:24" s="554" customFormat="1" ht="15.75" customHeight="1">
      <c r="A137" s="350"/>
      <c r="B137" s="359" t="s">
        <v>1166</v>
      </c>
      <c r="C137" s="348"/>
      <c r="D137" s="348"/>
      <c r="E137" s="348"/>
      <c r="F137" s="348"/>
      <c r="G137" s="348"/>
      <c r="H137" s="348"/>
      <c r="I137" s="348"/>
      <c r="J137" s="348"/>
      <c r="K137" s="348"/>
      <c r="L137" s="348"/>
      <c r="M137" s="348"/>
      <c r="N137" s="348"/>
      <c r="O137" s="349"/>
      <c r="P137" s="784"/>
      <c r="Q137" s="398"/>
      <c r="R137" s="564"/>
      <c r="S137" s="398"/>
      <c r="T137" s="398"/>
      <c r="U137" s="398"/>
      <c r="V137" s="555"/>
      <c r="W137" s="555"/>
      <c r="X137" s="555"/>
    </row>
    <row r="138" spans="1:24" s="554" customFormat="1" ht="15.75" customHeight="1">
      <c r="A138" s="355" t="s">
        <v>95</v>
      </c>
      <c r="B138" s="359" t="s">
        <v>423</v>
      </c>
      <c r="C138" s="348"/>
      <c r="D138" s="348"/>
      <c r="E138" s="348"/>
      <c r="F138" s="348"/>
      <c r="G138" s="348"/>
      <c r="H138" s="348"/>
      <c r="I138" s="348"/>
      <c r="J138" s="348"/>
      <c r="K138" s="348"/>
      <c r="L138" s="348"/>
      <c r="M138" s="348"/>
      <c r="N138" s="348"/>
      <c r="O138" s="349"/>
      <c r="P138" s="784"/>
      <c r="Q138" s="398"/>
      <c r="R138" s="564"/>
      <c r="S138" s="398"/>
      <c r="T138" s="398"/>
      <c r="U138" s="398"/>
      <c r="V138" s="555"/>
      <c r="W138" s="555"/>
      <c r="X138" s="555"/>
    </row>
    <row r="139" spans="1:24" s="554" customFormat="1" ht="15.75" customHeight="1">
      <c r="A139" s="355"/>
      <c r="B139" s="567"/>
      <c r="C139" s="348">
        <v>1</v>
      </c>
      <c r="D139" s="348">
        <v>0.15</v>
      </c>
      <c r="E139" s="348">
        <v>0.2</v>
      </c>
      <c r="F139" s="348">
        <v>2</v>
      </c>
      <c r="G139" s="348"/>
      <c r="H139" s="348"/>
      <c r="I139" s="348"/>
      <c r="J139" s="348"/>
      <c r="K139" s="348"/>
      <c r="L139" s="348"/>
      <c r="M139" s="348">
        <v>4</v>
      </c>
      <c r="N139" s="348">
        <f>C139*((E139+D139)*2)*F139*M139</f>
        <v>5.6</v>
      </c>
      <c r="O139" s="349"/>
      <c r="P139" s="784"/>
      <c r="Q139" s="398"/>
      <c r="R139" s="564"/>
      <c r="S139" s="398"/>
      <c r="T139" s="398"/>
      <c r="U139" s="398"/>
      <c r="V139" s="555"/>
      <c r="W139" s="555"/>
      <c r="X139" s="555"/>
    </row>
    <row r="140" spans="1:24" s="554" customFormat="1" ht="15.75" customHeight="1">
      <c r="A140" s="355"/>
      <c r="B140" s="359"/>
      <c r="C140" s="348"/>
      <c r="D140" s="348"/>
      <c r="E140" s="348"/>
      <c r="F140" s="348"/>
      <c r="G140" s="348"/>
      <c r="H140" s="348"/>
      <c r="I140" s="348"/>
      <c r="J140" s="348"/>
      <c r="K140" s="348"/>
      <c r="L140" s="348"/>
      <c r="M140" s="348"/>
      <c r="N140" s="343">
        <f>SUM(N139:N139)/2</f>
        <v>2.8</v>
      </c>
      <c r="O140" s="349" t="s">
        <v>89</v>
      </c>
      <c r="P140" s="784">
        <f>ROUND((N140),2)</f>
        <v>2.8</v>
      </c>
      <c r="Q140" s="398"/>
      <c r="R140" s="564"/>
      <c r="S140" s="398"/>
      <c r="T140" s="398"/>
      <c r="U140" s="398"/>
      <c r="V140" s="555"/>
      <c r="W140" s="555"/>
      <c r="X140" s="555"/>
    </row>
    <row r="141" spans="1:24" s="554" customFormat="1" ht="15.75" customHeight="1">
      <c r="A141" s="355" t="s">
        <v>98</v>
      </c>
      <c r="B141" s="359" t="s">
        <v>928</v>
      </c>
      <c r="C141" s="348"/>
      <c r="D141" s="348"/>
      <c r="E141" s="348"/>
      <c r="F141" s="348"/>
      <c r="G141" s="348"/>
      <c r="H141" s="348"/>
      <c r="I141" s="348"/>
      <c r="J141" s="348"/>
      <c r="K141" s="348"/>
      <c r="L141" s="348"/>
      <c r="M141" s="348"/>
      <c r="N141" s="348"/>
      <c r="O141" s="349"/>
      <c r="P141" s="784"/>
      <c r="Q141" s="398"/>
      <c r="R141" s="564"/>
      <c r="S141" s="398"/>
      <c r="T141" s="398"/>
      <c r="U141" s="398"/>
      <c r="V141" s="555"/>
      <c r="W141" s="555"/>
      <c r="X141" s="555"/>
    </row>
    <row r="142" spans="1:24" s="554" customFormat="1" ht="15.75" customHeight="1">
      <c r="A142" s="355"/>
      <c r="B142" s="567"/>
      <c r="C142" s="348">
        <f>C139</f>
        <v>1</v>
      </c>
      <c r="D142" s="348"/>
      <c r="E142" s="348"/>
      <c r="F142" s="348">
        <v>4</v>
      </c>
      <c r="G142" s="348">
        <v>2</v>
      </c>
      <c r="H142" s="348"/>
      <c r="I142" s="348">
        <v>0.1</v>
      </c>
      <c r="J142" s="348"/>
      <c r="K142" s="348"/>
      <c r="L142" s="348">
        <f>0.006165*13*13</f>
        <v>1.0418850000000002</v>
      </c>
      <c r="M142" s="348">
        <f>M139</f>
        <v>4</v>
      </c>
      <c r="N142" s="565">
        <f>(C142+I142)*F142*L142*M142*G142</f>
        <v>36.674352000000006</v>
      </c>
      <c r="O142" s="349"/>
      <c r="P142" s="784"/>
      <c r="Q142" s="398"/>
      <c r="R142" s="564"/>
      <c r="S142" s="398"/>
      <c r="T142" s="398"/>
      <c r="U142" s="398"/>
      <c r="V142" s="555"/>
      <c r="W142" s="555"/>
      <c r="X142" s="555"/>
    </row>
    <row r="143" spans="1:24" s="554" customFormat="1" ht="15.75" customHeight="1">
      <c r="A143" s="355"/>
      <c r="B143" s="359"/>
      <c r="C143" s="348"/>
      <c r="D143" s="348"/>
      <c r="E143" s="348"/>
      <c r="F143" s="348"/>
      <c r="G143" s="348"/>
      <c r="H143" s="348"/>
      <c r="I143" s="348"/>
      <c r="J143" s="348"/>
      <c r="K143" s="348"/>
      <c r="L143" s="348"/>
      <c r="M143" s="348"/>
      <c r="N143" s="343">
        <f>SUM(N142:N142)</f>
        <v>36.674352000000006</v>
      </c>
      <c r="O143" s="349" t="s">
        <v>100</v>
      </c>
      <c r="P143" s="784">
        <f>ROUND((N143),2)</f>
        <v>36.67</v>
      </c>
      <c r="Q143" s="398"/>
      <c r="R143" s="564"/>
      <c r="S143" s="398"/>
      <c r="T143" s="398"/>
      <c r="U143" s="398"/>
      <c r="V143" s="555"/>
      <c r="W143" s="555"/>
      <c r="X143" s="555"/>
    </row>
    <row r="144" spans="1:24" s="554" customFormat="1" ht="15.75" customHeight="1">
      <c r="A144" s="355" t="s">
        <v>101</v>
      </c>
      <c r="B144" s="359" t="s">
        <v>428</v>
      </c>
      <c r="C144" s="348"/>
      <c r="D144" s="348"/>
      <c r="E144" s="348"/>
      <c r="F144" s="348"/>
      <c r="G144" s="348"/>
      <c r="H144" s="348"/>
      <c r="I144" s="348"/>
      <c r="J144" s="348"/>
      <c r="K144" s="348"/>
      <c r="L144" s="348"/>
      <c r="M144" s="348"/>
      <c r="N144" s="348"/>
      <c r="O144" s="349"/>
      <c r="P144" s="784"/>
      <c r="Q144" s="398"/>
      <c r="R144" s="564"/>
      <c r="S144" s="398"/>
      <c r="T144" s="398"/>
      <c r="U144" s="398"/>
      <c r="V144" s="555"/>
      <c r="W144" s="555"/>
      <c r="X144" s="555"/>
    </row>
    <row r="145" spans="1:24" s="554" customFormat="1" ht="15.75" customHeight="1">
      <c r="A145" s="355"/>
      <c r="B145" s="567"/>
      <c r="C145" s="348">
        <f>(0.09+0.14)*2</f>
        <v>0.46</v>
      </c>
      <c r="D145" s="348"/>
      <c r="E145" s="348"/>
      <c r="F145" s="348">
        <f>ROUNDDOWN((C142/0.125),0.1)</f>
        <v>8</v>
      </c>
      <c r="G145" s="348">
        <v>2</v>
      </c>
      <c r="H145" s="348"/>
      <c r="I145" s="348">
        <v>0.1</v>
      </c>
      <c r="J145" s="348"/>
      <c r="K145" s="348"/>
      <c r="L145" s="348">
        <f>L130</f>
        <v>0.39456000000000002</v>
      </c>
      <c r="M145" s="348">
        <f>M142</f>
        <v>4</v>
      </c>
      <c r="N145" s="565">
        <f>(C145+I145)*F145*L145*M145*G145</f>
        <v>14.141030400000002</v>
      </c>
      <c r="O145" s="349"/>
      <c r="P145" s="784"/>
      <c r="Q145" s="398"/>
      <c r="R145" s="564"/>
      <c r="S145" s="398"/>
      <c r="T145" s="398"/>
      <c r="U145" s="398"/>
      <c r="V145" s="555"/>
      <c r="W145" s="555"/>
      <c r="X145" s="555"/>
    </row>
    <row r="146" spans="1:24" s="554" customFormat="1" ht="15.75" customHeight="1">
      <c r="A146" s="355"/>
      <c r="B146" s="359"/>
      <c r="C146" s="348"/>
      <c r="D146" s="348"/>
      <c r="E146" s="348"/>
      <c r="F146" s="348"/>
      <c r="G146" s="348"/>
      <c r="H146" s="348"/>
      <c r="I146" s="348"/>
      <c r="J146" s="348"/>
      <c r="K146" s="348"/>
      <c r="L146" s="348"/>
      <c r="M146" s="348"/>
      <c r="N146" s="343">
        <f>SUM(N145:N145)</f>
        <v>14.141030400000002</v>
      </c>
      <c r="O146" s="349" t="s">
        <v>100</v>
      </c>
      <c r="P146" s="784">
        <f>ROUND((N146),2)</f>
        <v>14.14</v>
      </c>
      <c r="Q146" s="398"/>
      <c r="R146" s="564"/>
      <c r="S146" s="398"/>
      <c r="T146" s="398"/>
      <c r="U146" s="398"/>
      <c r="V146" s="555"/>
      <c r="W146" s="555"/>
      <c r="X146" s="555"/>
    </row>
    <row r="147" spans="1:24" s="554" customFormat="1" ht="15.75" customHeight="1">
      <c r="A147" s="355" t="s">
        <v>121</v>
      </c>
      <c r="B147" s="359" t="s">
        <v>1043</v>
      </c>
      <c r="C147" s="348"/>
      <c r="D147" s="348"/>
      <c r="E147" s="348"/>
      <c r="F147" s="348"/>
      <c r="G147" s="348"/>
      <c r="H147" s="348"/>
      <c r="I147" s="348"/>
      <c r="J147" s="348"/>
      <c r="K147" s="348"/>
      <c r="L147" s="348"/>
      <c r="M147" s="348"/>
      <c r="N147" s="348"/>
      <c r="O147" s="349"/>
      <c r="P147" s="784"/>
      <c r="Q147" s="398"/>
      <c r="R147" s="564"/>
      <c r="S147" s="398"/>
      <c r="T147" s="398"/>
      <c r="U147" s="398"/>
      <c r="V147" s="555"/>
      <c r="W147" s="555"/>
      <c r="X147" s="555"/>
    </row>
    <row r="148" spans="1:24" s="554" customFormat="1" ht="15.75" customHeight="1">
      <c r="A148" s="355"/>
      <c r="B148" s="567"/>
      <c r="C148" s="348">
        <f>C142</f>
        <v>1</v>
      </c>
      <c r="D148" s="348">
        <f>D134</f>
        <v>0.15</v>
      </c>
      <c r="E148" s="348">
        <f>E139</f>
        <v>0.2</v>
      </c>
      <c r="F148" s="348">
        <v>2</v>
      </c>
      <c r="G148" s="348"/>
      <c r="H148" s="348"/>
      <c r="I148" s="348"/>
      <c r="J148" s="348"/>
      <c r="K148" s="348"/>
      <c r="L148" s="348"/>
      <c r="M148" s="348">
        <f>M145*F148</f>
        <v>8</v>
      </c>
      <c r="N148" s="565">
        <f>C148*D148*E148*M148</f>
        <v>0.24</v>
      </c>
      <c r="O148" s="349"/>
      <c r="P148" s="784"/>
      <c r="Q148" s="398"/>
      <c r="R148" s="564"/>
      <c r="S148" s="398"/>
      <c r="T148" s="398"/>
      <c r="U148" s="398"/>
      <c r="V148" s="555"/>
      <c r="W148" s="555"/>
      <c r="X148" s="555"/>
    </row>
    <row r="149" spans="1:24" s="554" customFormat="1" ht="15.75" customHeight="1">
      <c r="A149" s="355"/>
      <c r="B149" s="359"/>
      <c r="C149" s="348"/>
      <c r="D149" s="348"/>
      <c r="E149" s="348"/>
      <c r="F149" s="348"/>
      <c r="G149" s="348"/>
      <c r="H149" s="348"/>
      <c r="I149" s="348"/>
      <c r="J149" s="348"/>
      <c r="K149" s="348"/>
      <c r="L149" s="348"/>
      <c r="M149" s="348"/>
      <c r="N149" s="343">
        <f>SUM(N148:N148)</f>
        <v>0.24</v>
      </c>
      <c r="O149" s="349" t="s">
        <v>103</v>
      </c>
      <c r="P149" s="784">
        <f>ROUND((N149),2)</f>
        <v>0.24</v>
      </c>
      <c r="Q149" s="398"/>
      <c r="R149" s="564"/>
      <c r="S149" s="398"/>
      <c r="T149" s="398"/>
      <c r="U149" s="398"/>
      <c r="V149" s="555"/>
      <c r="W149" s="555"/>
      <c r="X149" s="555"/>
    </row>
    <row r="150" spans="1:24" s="1200" customFormat="1" ht="15.75" customHeight="1">
      <c r="A150" s="489">
        <f>A117+1</f>
        <v>13</v>
      </c>
      <c r="B150" s="456" t="s">
        <v>837</v>
      </c>
      <c r="C150" s="466"/>
      <c r="D150" s="466"/>
      <c r="E150" s="466"/>
      <c r="F150" s="466"/>
      <c r="G150" s="466"/>
      <c r="H150" s="466"/>
      <c r="I150" s="466"/>
      <c r="J150" s="466"/>
      <c r="K150" s="466"/>
      <c r="L150" s="466"/>
      <c r="M150" s="466"/>
      <c r="N150" s="1192"/>
      <c r="O150" s="1196"/>
      <c r="P150" s="1197"/>
      <c r="Q150" s="1198"/>
      <c r="R150" s="1198"/>
      <c r="S150" s="1198"/>
      <c r="T150" s="1198"/>
      <c r="U150" s="1199"/>
      <c r="V150" s="1199"/>
      <c r="W150" s="1199"/>
    </row>
    <row r="151" spans="1:24" s="1200" customFormat="1" ht="15.75" customHeight="1">
      <c r="A151" s="491" t="s">
        <v>95</v>
      </c>
      <c r="B151" s="455" t="s">
        <v>1634</v>
      </c>
      <c r="C151" s="466">
        <v>3.35</v>
      </c>
      <c r="D151" s="466">
        <v>3</v>
      </c>
      <c r="E151" s="466">
        <v>0.25</v>
      </c>
      <c r="F151" s="466"/>
      <c r="G151" s="466"/>
      <c r="H151" s="466"/>
      <c r="I151" s="466"/>
      <c r="J151" s="466"/>
      <c r="K151" s="466"/>
      <c r="L151" s="466"/>
      <c r="M151" s="466"/>
      <c r="N151" s="466">
        <f>C151*D151*E151</f>
        <v>2.5125000000000002</v>
      </c>
      <c r="O151" s="1201" t="s">
        <v>103</v>
      </c>
      <c r="P151" s="1197"/>
      <c r="Q151" s="1198"/>
      <c r="R151" s="1198"/>
      <c r="S151" s="1198"/>
      <c r="T151" s="1198"/>
      <c r="U151" s="1199"/>
      <c r="V151" s="1199"/>
      <c r="W151" s="1199"/>
    </row>
    <row r="152" spans="1:24" s="1200" customFormat="1" ht="15.75" customHeight="1">
      <c r="A152" s="491" t="s">
        <v>98</v>
      </c>
      <c r="B152" s="455" t="s">
        <v>966</v>
      </c>
      <c r="C152" s="466">
        <f>C151</f>
        <v>3.35</v>
      </c>
      <c r="D152" s="466">
        <f>D151</f>
        <v>3</v>
      </c>
      <c r="E152" s="466">
        <v>0.15</v>
      </c>
      <c r="F152" s="466"/>
      <c r="G152" s="466"/>
      <c r="H152" s="466"/>
      <c r="I152" s="466"/>
      <c r="J152" s="466"/>
      <c r="K152" s="466"/>
      <c r="L152" s="466"/>
      <c r="M152" s="466"/>
      <c r="N152" s="466">
        <f>C152*D152*E152</f>
        <v>1.5075000000000001</v>
      </c>
      <c r="O152" s="1201" t="s">
        <v>103</v>
      </c>
      <c r="P152" s="1197"/>
      <c r="Q152" s="1198"/>
      <c r="R152" s="1198"/>
      <c r="S152" s="1198"/>
      <c r="T152" s="1198"/>
      <c r="U152" s="1199"/>
      <c r="V152" s="1199"/>
      <c r="W152" s="1199"/>
    </row>
    <row r="153" spans="1:24" s="1200" customFormat="1" ht="15.75" customHeight="1">
      <c r="A153" s="491" t="s">
        <v>101</v>
      </c>
      <c r="B153" s="455" t="s">
        <v>496</v>
      </c>
      <c r="C153" s="466">
        <f>C152</f>
        <v>3.35</v>
      </c>
      <c r="D153" s="466">
        <f>D152</f>
        <v>3</v>
      </c>
      <c r="E153" s="466">
        <v>0.05</v>
      </c>
      <c r="F153" s="466"/>
      <c r="G153" s="466"/>
      <c r="H153" s="466"/>
      <c r="I153" s="466"/>
      <c r="J153" s="466"/>
      <c r="K153" s="466"/>
      <c r="L153" s="466"/>
      <c r="M153" s="466"/>
      <c r="N153" s="466">
        <f>C153*D153*E153</f>
        <v>0.50250000000000006</v>
      </c>
      <c r="O153" s="1201" t="s">
        <v>103</v>
      </c>
      <c r="P153" s="1197"/>
      <c r="Q153" s="1198"/>
      <c r="R153" s="1198"/>
      <c r="S153" s="1198"/>
      <c r="T153" s="1198"/>
      <c r="U153" s="1199"/>
      <c r="V153" s="1199"/>
      <c r="W153" s="1199"/>
    </row>
    <row r="154" spans="1:24" s="1200" customFormat="1" ht="15.75" customHeight="1">
      <c r="A154" s="491" t="s">
        <v>121</v>
      </c>
      <c r="B154" s="456" t="s">
        <v>838</v>
      </c>
      <c r="C154" s="466">
        <v>3</v>
      </c>
      <c r="D154" s="466"/>
      <c r="E154" s="466">
        <f>0.3/2</f>
        <v>0.15</v>
      </c>
      <c r="F154" s="466">
        <v>2</v>
      </c>
      <c r="G154" s="466"/>
      <c r="H154" s="466"/>
      <c r="I154" s="466"/>
      <c r="J154" s="466"/>
      <c r="K154" s="466"/>
      <c r="L154" s="466"/>
      <c r="M154" s="466"/>
      <c r="N154" s="1192">
        <f>C154*E154*F154</f>
        <v>0.89999999999999991</v>
      </c>
      <c r="O154" s="1196" t="s">
        <v>89</v>
      </c>
      <c r="P154" s="1197"/>
      <c r="Q154" s="1198"/>
      <c r="R154" s="1198"/>
      <c r="S154" s="1198"/>
      <c r="T154" s="1198"/>
      <c r="U154" s="1199"/>
      <c r="V154" s="1199"/>
      <c r="W154" s="1199"/>
    </row>
    <row r="155" spans="1:24" s="1200" customFormat="1" ht="15.75" customHeight="1">
      <c r="A155" s="491" t="s">
        <v>142</v>
      </c>
      <c r="B155" s="455" t="s">
        <v>1635</v>
      </c>
      <c r="C155" s="466">
        <f>C154</f>
        <v>3</v>
      </c>
      <c r="D155" s="466">
        <v>5</v>
      </c>
      <c r="E155" s="466"/>
      <c r="F155" s="466"/>
      <c r="G155" s="466"/>
      <c r="H155" s="466"/>
      <c r="I155" s="466"/>
      <c r="J155" s="466"/>
      <c r="K155" s="466"/>
      <c r="L155" s="466"/>
      <c r="M155" s="466"/>
      <c r="N155" s="1192">
        <f>C155*D155</f>
        <v>15</v>
      </c>
      <c r="O155" s="1196" t="s">
        <v>89</v>
      </c>
      <c r="P155" s="1197"/>
      <c r="Q155" s="1198"/>
      <c r="R155" s="1198"/>
      <c r="S155" s="1198"/>
      <c r="T155" s="1198"/>
      <c r="U155" s="1199"/>
      <c r="V155" s="1199"/>
      <c r="W155" s="1199"/>
    </row>
    <row r="156" spans="1:24" s="1200" customFormat="1" ht="15.75" customHeight="1">
      <c r="A156" s="491" t="s">
        <v>217</v>
      </c>
      <c r="B156" s="456" t="s">
        <v>420</v>
      </c>
      <c r="C156" s="466">
        <f>C155</f>
        <v>3</v>
      </c>
      <c r="D156" s="466">
        <f>D155</f>
        <v>5</v>
      </c>
      <c r="E156" s="466">
        <v>0.1</v>
      </c>
      <c r="F156" s="466"/>
      <c r="G156" s="466"/>
      <c r="H156" s="466"/>
      <c r="I156" s="466"/>
      <c r="J156" s="466"/>
      <c r="K156" s="466"/>
      <c r="L156" s="466"/>
      <c r="M156" s="466"/>
      <c r="N156" s="1192">
        <f>C156*D156*E156</f>
        <v>1.5</v>
      </c>
      <c r="O156" s="1196" t="s">
        <v>103</v>
      </c>
      <c r="P156" s="1197"/>
      <c r="Q156" s="1198"/>
      <c r="R156" s="1198"/>
      <c r="S156" s="1198"/>
      <c r="T156" s="1198"/>
      <c r="U156" s="1199"/>
      <c r="V156" s="1199"/>
      <c r="W156" s="1199"/>
    </row>
    <row r="157" spans="1:24" s="1200" customFormat="1" ht="15.75" customHeight="1">
      <c r="A157" s="491" t="s">
        <v>366</v>
      </c>
      <c r="B157" s="455" t="s">
        <v>194</v>
      </c>
      <c r="C157" s="466"/>
      <c r="D157" s="466"/>
      <c r="E157" s="466"/>
      <c r="F157" s="466"/>
      <c r="G157" s="466"/>
      <c r="H157" s="466"/>
      <c r="I157" s="466"/>
      <c r="J157" s="466"/>
      <c r="K157" s="466"/>
      <c r="L157" s="466"/>
      <c r="M157" s="466"/>
      <c r="N157" s="1192">
        <f>SUM(N158:N159)</f>
        <v>15.9</v>
      </c>
      <c r="O157" s="1196" t="s">
        <v>89</v>
      </c>
      <c r="P157" s="1197"/>
      <c r="Q157" s="1198"/>
      <c r="R157" s="1198"/>
      <c r="S157" s="1198"/>
      <c r="T157" s="1198"/>
      <c r="U157" s="1199"/>
      <c r="V157" s="1199"/>
      <c r="W157" s="1199"/>
    </row>
    <row r="158" spans="1:24" ht="15.75" customHeight="1">
      <c r="A158" s="355"/>
      <c r="B158" s="1202" t="s">
        <v>1092</v>
      </c>
      <c r="C158" s="466">
        <f>C154</f>
        <v>3</v>
      </c>
      <c r="D158" s="466"/>
      <c r="E158" s="466">
        <f>E154</f>
        <v>0.15</v>
      </c>
      <c r="F158" s="466">
        <f>F154</f>
        <v>2</v>
      </c>
      <c r="G158" s="330"/>
      <c r="H158" s="330"/>
      <c r="I158" s="330"/>
      <c r="J158" s="330"/>
      <c r="K158" s="330"/>
      <c r="L158" s="330"/>
      <c r="M158" s="330"/>
      <c r="N158" s="1188">
        <f>F158*E158*C158</f>
        <v>0.89999999999999991</v>
      </c>
      <c r="O158" s="349" t="s">
        <v>89</v>
      </c>
      <c r="P158" s="784">
        <f>ROUND((N158),2)</f>
        <v>0.9</v>
      </c>
      <c r="Q158" s="398"/>
      <c r="R158" s="779"/>
      <c r="S158" s="398"/>
      <c r="T158" s="398"/>
      <c r="U158" s="398"/>
      <c r="V158" s="738"/>
      <c r="W158" s="738"/>
      <c r="X158" s="738"/>
    </row>
    <row r="159" spans="1:24" ht="15.75" customHeight="1">
      <c r="A159" s="355"/>
      <c r="B159" s="1202" t="s">
        <v>1089</v>
      </c>
      <c r="C159" s="466">
        <f>C156</f>
        <v>3</v>
      </c>
      <c r="D159" s="466">
        <f>D156</f>
        <v>5</v>
      </c>
      <c r="E159" s="466"/>
      <c r="F159" s="466"/>
      <c r="G159" s="330"/>
      <c r="H159" s="330"/>
      <c r="I159" s="330"/>
      <c r="J159" s="330"/>
      <c r="K159" s="330"/>
      <c r="L159" s="330"/>
      <c r="M159" s="330"/>
      <c r="N159" s="1188">
        <f>C159*D159</f>
        <v>15</v>
      </c>
      <c r="O159" s="349"/>
      <c r="P159" s="784"/>
      <c r="Q159" s="398"/>
      <c r="R159" s="779"/>
      <c r="S159" s="398"/>
      <c r="T159" s="398"/>
      <c r="U159" s="398"/>
      <c r="V159" s="738"/>
      <c r="W159" s="738"/>
      <c r="X159" s="738"/>
    </row>
    <row r="160" spans="1:24" ht="15.75" customHeight="1">
      <c r="A160" s="346" t="s">
        <v>1168</v>
      </c>
      <c r="B160" s="586" t="s">
        <v>434</v>
      </c>
      <c r="C160" s="330"/>
      <c r="D160" s="330"/>
      <c r="E160" s="330"/>
      <c r="F160" s="330"/>
      <c r="G160" s="330"/>
      <c r="H160" s="330"/>
      <c r="I160" s="330"/>
      <c r="J160" s="330"/>
      <c r="K160" s="330"/>
      <c r="L160" s="330"/>
      <c r="M160" s="330"/>
      <c r="N160" s="1192"/>
      <c r="O160" s="349"/>
      <c r="P160" s="784"/>
      <c r="Q160" s="398"/>
      <c r="R160" s="779"/>
      <c r="S160" s="398"/>
      <c r="T160" s="398"/>
      <c r="U160" s="398"/>
      <c r="V160" s="738"/>
      <c r="W160" s="738"/>
      <c r="X160" s="738"/>
    </row>
    <row r="161" spans="1:24" ht="15.75" customHeight="1">
      <c r="A161" s="350">
        <v>1</v>
      </c>
      <c r="B161" s="591" t="s">
        <v>536</v>
      </c>
      <c r="C161" s="330"/>
      <c r="D161" s="330"/>
      <c r="E161" s="330"/>
      <c r="F161" s="330"/>
      <c r="G161" s="330"/>
      <c r="H161" s="330"/>
      <c r="I161" s="330"/>
      <c r="J161" s="330"/>
      <c r="K161" s="330"/>
      <c r="L161" s="330"/>
      <c r="M161" s="330"/>
      <c r="N161" s="330"/>
      <c r="O161" s="349"/>
      <c r="P161" s="784"/>
      <c r="Q161" s="398"/>
      <c r="R161" s="779"/>
      <c r="S161" s="398"/>
      <c r="T161" s="398"/>
      <c r="U161" s="398"/>
      <c r="V161" s="738"/>
      <c r="W161" s="738"/>
      <c r="X161" s="738"/>
    </row>
    <row r="162" spans="1:24" ht="15.75" customHeight="1">
      <c r="A162" s="350"/>
      <c r="B162" s="567" t="s">
        <v>1586</v>
      </c>
      <c r="C162" s="330">
        <v>4</v>
      </c>
      <c r="D162" s="330"/>
      <c r="E162" s="330">
        <v>0.28999999999999998</v>
      </c>
      <c r="F162" s="330"/>
      <c r="G162" s="330"/>
      <c r="H162" s="330">
        <v>2</v>
      </c>
      <c r="I162" s="330"/>
      <c r="J162" s="330"/>
      <c r="K162" s="330"/>
      <c r="L162" s="330"/>
      <c r="M162" s="330"/>
      <c r="N162" s="330">
        <f>C162*E162*H162</f>
        <v>2.3199999999999998</v>
      </c>
      <c r="O162" s="349"/>
      <c r="P162" s="784"/>
      <c r="Q162" s="398"/>
      <c r="R162" s="779"/>
      <c r="S162" s="398"/>
      <c r="T162" s="398"/>
      <c r="U162" s="398"/>
      <c r="V162" s="738"/>
      <c r="W162" s="738"/>
      <c r="X162" s="738"/>
    </row>
    <row r="163" spans="1:24" ht="15.75" customHeight="1">
      <c r="A163" s="350"/>
      <c r="B163" s="567" t="s">
        <v>1539</v>
      </c>
      <c r="C163" s="330"/>
      <c r="D163" s="330">
        <v>2.9740000000000002</v>
      </c>
      <c r="E163" s="330">
        <v>0.85299999999999998</v>
      </c>
      <c r="F163" s="330"/>
      <c r="G163" s="330"/>
      <c r="H163" s="330"/>
      <c r="I163" s="330"/>
      <c r="J163" s="330"/>
      <c r="K163" s="330"/>
      <c r="L163" s="330"/>
      <c r="M163" s="330"/>
      <c r="N163" s="330">
        <f>D163*E163</f>
        <v>2.5368219999999999</v>
      </c>
      <c r="O163" s="349"/>
      <c r="P163" s="784"/>
      <c r="Q163" s="398"/>
      <c r="R163" s="779"/>
      <c r="S163" s="398"/>
      <c r="T163" s="398"/>
      <c r="U163" s="398"/>
      <c r="V163" s="738"/>
      <c r="W163" s="738"/>
      <c r="X163" s="738"/>
    </row>
    <row r="164" spans="1:24" ht="15.75" customHeight="1">
      <c r="A164" s="350"/>
      <c r="B164" s="567"/>
      <c r="C164" s="330"/>
      <c r="D164" s="330">
        <v>1.7829999999999999</v>
      </c>
      <c r="E164" s="330">
        <f>E163</f>
        <v>0.85299999999999998</v>
      </c>
      <c r="F164" s="330"/>
      <c r="G164" s="330"/>
      <c r="H164" s="330"/>
      <c r="I164" s="330"/>
      <c r="J164" s="330"/>
      <c r="K164" s="330"/>
      <c r="L164" s="330"/>
      <c r="M164" s="330"/>
      <c r="N164" s="330">
        <f>D164*E164</f>
        <v>1.520899</v>
      </c>
      <c r="O164" s="349"/>
      <c r="P164" s="784"/>
      <c r="Q164" s="398"/>
      <c r="R164" s="779"/>
      <c r="S164" s="398"/>
      <c r="T164" s="398"/>
      <c r="U164" s="398"/>
      <c r="V164" s="738"/>
      <c r="W164" s="738"/>
      <c r="X164" s="738"/>
    </row>
    <row r="165" spans="1:24" ht="15.75" customHeight="1">
      <c r="A165" s="350"/>
      <c r="B165" s="567"/>
      <c r="C165" s="330"/>
      <c r="D165" s="330">
        <f>D163/2</f>
        <v>1.4870000000000001</v>
      </c>
      <c r="E165" s="330">
        <v>1.196</v>
      </c>
      <c r="F165" s="330"/>
      <c r="G165" s="330"/>
      <c r="H165" s="330"/>
      <c r="I165" s="330"/>
      <c r="J165" s="330"/>
      <c r="K165" s="330"/>
      <c r="L165" s="330"/>
      <c r="M165" s="330"/>
      <c r="N165" s="752">
        <f>D165*E165</f>
        <v>1.7784520000000001</v>
      </c>
      <c r="O165" s="349"/>
      <c r="P165" s="784"/>
      <c r="Q165" s="398"/>
      <c r="R165" s="779"/>
      <c r="S165" s="398"/>
      <c r="T165" s="398"/>
      <c r="U165" s="398"/>
      <c r="V165" s="738"/>
      <c r="W165" s="738"/>
      <c r="X165" s="738"/>
    </row>
    <row r="166" spans="1:24" ht="15.75" customHeight="1">
      <c r="A166" s="350"/>
      <c r="B166" s="567"/>
      <c r="C166" s="330"/>
      <c r="D166" s="330"/>
      <c r="E166" s="330"/>
      <c r="F166" s="330"/>
      <c r="G166" s="330"/>
      <c r="H166" s="330"/>
      <c r="I166" s="330"/>
      <c r="J166" s="330"/>
      <c r="K166" s="330"/>
      <c r="L166" s="330"/>
      <c r="M166" s="330"/>
      <c r="N166" s="401">
        <f>SUM(N162:N165)</f>
        <v>8.156172999999999</v>
      </c>
      <c r="O166" s="349" t="s">
        <v>89</v>
      </c>
      <c r="P166" s="784">
        <f>ROUND((N166),2)</f>
        <v>8.16</v>
      </c>
      <c r="Q166" s="398"/>
      <c r="R166" s="779"/>
      <c r="S166" s="398"/>
      <c r="T166" s="398"/>
      <c r="U166" s="398"/>
      <c r="V166" s="738"/>
      <c r="W166" s="738"/>
      <c r="X166" s="738"/>
    </row>
    <row r="167" spans="1:24" ht="15.75" customHeight="1">
      <c r="A167" s="350">
        <f>A161+1</f>
        <v>2</v>
      </c>
      <c r="B167" s="591" t="s">
        <v>193</v>
      </c>
      <c r="C167" s="330" t="s">
        <v>1625</v>
      </c>
      <c r="D167" s="330"/>
      <c r="E167" s="330"/>
      <c r="F167" s="330"/>
      <c r="G167" s="330"/>
      <c r="H167" s="330"/>
      <c r="I167" s="330"/>
      <c r="J167" s="330"/>
      <c r="K167" s="330"/>
      <c r="L167" s="330"/>
      <c r="M167" s="330"/>
      <c r="N167" s="330">
        <f>N166*2</f>
        <v>16.312345999999998</v>
      </c>
      <c r="O167" s="349" t="s">
        <v>89</v>
      </c>
      <c r="P167" s="784">
        <f>ROUND((N167),2)</f>
        <v>16.309999999999999</v>
      </c>
      <c r="Q167" s="398"/>
      <c r="R167" s="779"/>
      <c r="S167" s="398"/>
      <c r="T167" s="398"/>
      <c r="U167" s="398"/>
      <c r="V167" s="738"/>
      <c r="W167" s="738"/>
      <c r="X167" s="738"/>
    </row>
    <row r="168" spans="1:24" ht="15.75" customHeight="1">
      <c r="A168" s="350">
        <f>A167+1</f>
        <v>3</v>
      </c>
      <c r="B168" s="591" t="s">
        <v>194</v>
      </c>
      <c r="C168" s="330" t="s">
        <v>1022</v>
      </c>
      <c r="D168" s="330"/>
      <c r="E168" s="330"/>
      <c r="F168" s="330"/>
      <c r="G168" s="330"/>
      <c r="H168" s="330"/>
      <c r="I168" s="330"/>
      <c r="J168" s="330"/>
      <c r="K168" s="330"/>
      <c r="L168" s="330"/>
      <c r="M168" s="330"/>
      <c r="N168" s="330">
        <f>N167</f>
        <v>16.312345999999998</v>
      </c>
      <c r="O168" s="349" t="s">
        <v>89</v>
      </c>
      <c r="P168" s="784">
        <f>ROUND((N168),2)</f>
        <v>16.309999999999999</v>
      </c>
      <c r="Q168" s="398"/>
      <c r="R168" s="779"/>
      <c r="S168" s="398"/>
      <c r="T168" s="398"/>
      <c r="U168" s="398"/>
      <c r="V168" s="738"/>
      <c r="W168" s="738"/>
      <c r="X168" s="738"/>
    </row>
    <row r="169" spans="1:24" ht="15.75" customHeight="1">
      <c r="A169" s="350">
        <f>A168+1</f>
        <v>4</v>
      </c>
      <c r="B169" s="591" t="s">
        <v>435</v>
      </c>
      <c r="C169" s="330"/>
      <c r="D169" s="330"/>
      <c r="E169" s="330"/>
      <c r="F169" s="330"/>
      <c r="G169" s="330"/>
      <c r="H169" s="330"/>
      <c r="I169" s="330"/>
      <c r="J169" s="330"/>
      <c r="K169" s="330"/>
      <c r="L169" s="330"/>
      <c r="M169" s="330"/>
      <c r="N169" s="330"/>
      <c r="O169" s="349"/>
      <c r="P169" s="784"/>
      <c r="Q169" s="398"/>
      <c r="R169" s="779"/>
      <c r="S169" s="398"/>
      <c r="T169" s="398"/>
      <c r="U169" s="398"/>
      <c r="V169" s="738"/>
      <c r="W169" s="738"/>
      <c r="X169" s="738"/>
    </row>
    <row r="170" spans="1:24" ht="15.75" customHeight="1">
      <c r="A170" s="350"/>
      <c r="B170" s="567" t="s">
        <v>1087</v>
      </c>
      <c r="C170" s="348"/>
      <c r="D170" s="348">
        <v>0.25</v>
      </c>
      <c r="E170" s="348">
        <f>E81</f>
        <v>3.58</v>
      </c>
      <c r="F170" s="330"/>
      <c r="G170" s="330"/>
      <c r="H170" s="330">
        <v>4</v>
      </c>
      <c r="I170" s="330"/>
      <c r="J170" s="330"/>
      <c r="K170" s="330"/>
      <c r="L170" s="330"/>
      <c r="M170" s="330">
        <v>8</v>
      </c>
      <c r="N170" s="330">
        <f>D170*E170*H170*M170</f>
        <v>28.64</v>
      </c>
      <c r="O170" s="349"/>
      <c r="P170" s="784"/>
      <c r="Q170" s="398"/>
      <c r="R170" s="779"/>
      <c r="S170" s="398"/>
      <c r="T170" s="398"/>
      <c r="U170" s="398"/>
      <c r="V170" s="738"/>
      <c r="W170" s="738"/>
      <c r="X170" s="738"/>
    </row>
    <row r="171" spans="1:24" ht="15.75" customHeight="1">
      <c r="A171" s="350"/>
      <c r="B171" s="567" t="s">
        <v>1361</v>
      </c>
      <c r="C171" s="348">
        <v>6</v>
      </c>
      <c r="D171" s="348"/>
      <c r="E171" s="348">
        <v>0.35</v>
      </c>
      <c r="F171" s="330"/>
      <c r="G171" s="330"/>
      <c r="H171" s="330">
        <v>2</v>
      </c>
      <c r="I171" s="330"/>
      <c r="J171" s="330"/>
      <c r="K171" s="330"/>
      <c r="L171" s="330"/>
      <c r="M171" s="330">
        <v>4</v>
      </c>
      <c r="N171" s="330">
        <f>C171*E171*H171*M171</f>
        <v>16.799999999999997</v>
      </c>
      <c r="O171" s="349"/>
      <c r="P171" s="784"/>
      <c r="Q171" s="398"/>
      <c r="R171" s="779"/>
      <c r="S171" s="398"/>
      <c r="T171" s="398"/>
      <c r="U171" s="398"/>
      <c r="V171" s="738"/>
      <c r="W171" s="738"/>
      <c r="X171" s="738"/>
    </row>
    <row r="172" spans="1:24" ht="15.75" customHeight="1">
      <c r="A172" s="350"/>
      <c r="B172" s="567"/>
      <c r="C172" s="348">
        <f>C171</f>
        <v>6</v>
      </c>
      <c r="D172" s="348">
        <v>0.2</v>
      </c>
      <c r="E172" s="348"/>
      <c r="F172" s="330"/>
      <c r="G172" s="330"/>
      <c r="H172" s="330">
        <v>1</v>
      </c>
      <c r="I172" s="330"/>
      <c r="J172" s="330"/>
      <c r="K172" s="330"/>
      <c r="L172" s="330"/>
      <c r="M172" s="330">
        <f>M171</f>
        <v>4</v>
      </c>
      <c r="N172" s="330">
        <f>C172*D172*H172*M172</f>
        <v>4.8000000000000007</v>
      </c>
      <c r="O172" s="349"/>
      <c r="P172" s="784"/>
      <c r="Q172" s="398"/>
      <c r="R172" s="779"/>
      <c r="S172" s="398"/>
      <c r="T172" s="398"/>
      <c r="U172" s="398"/>
      <c r="V172" s="738"/>
      <c r="W172" s="738"/>
      <c r="X172" s="738"/>
    </row>
    <row r="173" spans="1:24" ht="15.75" customHeight="1">
      <c r="A173" s="350"/>
      <c r="B173" s="591"/>
      <c r="C173" s="348">
        <v>12</v>
      </c>
      <c r="D173" s="348"/>
      <c r="E173" s="348">
        <f>E171</f>
        <v>0.35</v>
      </c>
      <c r="F173" s="330"/>
      <c r="G173" s="330"/>
      <c r="H173" s="330">
        <f>H171</f>
        <v>2</v>
      </c>
      <c r="I173" s="330"/>
      <c r="J173" s="330"/>
      <c r="K173" s="330"/>
      <c r="L173" s="330"/>
      <c r="M173" s="330">
        <v>2</v>
      </c>
      <c r="N173" s="330">
        <f>C173*E173*H173*M173</f>
        <v>16.799999999999997</v>
      </c>
      <c r="O173" s="349"/>
      <c r="P173" s="784"/>
      <c r="Q173" s="398"/>
      <c r="R173" s="779"/>
      <c r="S173" s="398"/>
      <c r="T173" s="398"/>
      <c r="U173" s="398"/>
      <c r="V173" s="738"/>
      <c r="W173" s="738"/>
      <c r="X173" s="738"/>
    </row>
    <row r="174" spans="1:24" ht="15.75" customHeight="1">
      <c r="A174" s="350"/>
      <c r="B174" s="591"/>
      <c r="C174" s="348">
        <f>C173</f>
        <v>12</v>
      </c>
      <c r="D174" s="348">
        <f>D172</f>
        <v>0.2</v>
      </c>
      <c r="E174" s="348"/>
      <c r="F174" s="330"/>
      <c r="G174" s="330"/>
      <c r="H174" s="330">
        <f>H172</f>
        <v>1</v>
      </c>
      <c r="I174" s="330"/>
      <c r="J174" s="330"/>
      <c r="K174" s="330"/>
      <c r="L174" s="330"/>
      <c r="M174" s="330">
        <f>M173</f>
        <v>2</v>
      </c>
      <c r="N174" s="330">
        <f>C174*D174*H174*M174</f>
        <v>4.8000000000000007</v>
      </c>
      <c r="O174" s="349"/>
      <c r="P174" s="784"/>
      <c r="Q174" s="398"/>
      <c r="R174" s="779"/>
      <c r="S174" s="398"/>
      <c r="T174" s="398"/>
      <c r="U174" s="398"/>
      <c r="V174" s="738"/>
      <c r="W174" s="738"/>
      <c r="X174" s="738"/>
    </row>
    <row r="175" spans="1:24" ht="15.75" customHeight="1">
      <c r="A175" s="350"/>
      <c r="B175" s="591"/>
      <c r="C175" s="348">
        <v>4</v>
      </c>
      <c r="D175" s="348"/>
      <c r="E175" s="348">
        <v>0.15</v>
      </c>
      <c r="F175" s="330"/>
      <c r="G175" s="330"/>
      <c r="H175" s="330">
        <v>3</v>
      </c>
      <c r="I175" s="330"/>
      <c r="J175" s="330"/>
      <c r="K175" s="330"/>
      <c r="L175" s="330"/>
      <c r="M175" s="330">
        <v>2</v>
      </c>
      <c r="N175" s="752">
        <f>C175*E175*H175*M175</f>
        <v>3.5999999999999996</v>
      </c>
      <c r="O175" s="349"/>
      <c r="P175" s="784"/>
      <c r="Q175" s="398"/>
      <c r="R175" s="779"/>
      <c r="S175" s="398"/>
      <c r="T175" s="398"/>
      <c r="U175" s="398"/>
      <c r="V175" s="738"/>
      <c r="W175" s="738"/>
      <c r="X175" s="738"/>
    </row>
    <row r="176" spans="1:24" ht="15.75" customHeight="1">
      <c r="A176" s="350"/>
      <c r="B176" s="591"/>
      <c r="C176" s="330"/>
      <c r="D176" s="330"/>
      <c r="E176" s="330"/>
      <c r="F176" s="330"/>
      <c r="G176" s="330"/>
      <c r="H176" s="330"/>
      <c r="I176" s="330"/>
      <c r="J176" s="330"/>
      <c r="K176" s="330"/>
      <c r="L176" s="330"/>
      <c r="M176" s="330"/>
      <c r="N176" s="330">
        <f>SUM(N170:N175)</f>
        <v>75.439999999999984</v>
      </c>
      <c r="O176" s="349" t="s">
        <v>89</v>
      </c>
      <c r="P176" s="784">
        <f>ROUND((N176),2)</f>
        <v>75.44</v>
      </c>
      <c r="Q176" s="398"/>
      <c r="R176" s="779"/>
      <c r="S176" s="398"/>
      <c r="T176" s="398"/>
      <c r="U176" s="398"/>
      <c r="V176" s="738"/>
      <c r="W176" s="738"/>
      <c r="X176" s="738"/>
    </row>
    <row r="177" spans="1:24" ht="15.75" customHeight="1">
      <c r="A177" s="350">
        <f>A169+1</f>
        <v>5</v>
      </c>
      <c r="B177" s="591" t="s">
        <v>967</v>
      </c>
      <c r="C177" s="330">
        <v>12</v>
      </c>
      <c r="D177" s="330">
        <v>6</v>
      </c>
      <c r="E177" s="330"/>
      <c r="F177" s="330"/>
      <c r="G177" s="330"/>
      <c r="H177" s="330"/>
      <c r="I177" s="330"/>
      <c r="J177" s="330"/>
      <c r="K177" s="330"/>
      <c r="L177" s="330"/>
      <c r="M177" s="330"/>
      <c r="N177" s="330">
        <f>C177*D177</f>
        <v>72</v>
      </c>
      <c r="O177" s="494" t="s">
        <v>89</v>
      </c>
      <c r="P177" s="784">
        <f>ROUND((N177),2)</f>
        <v>72</v>
      </c>
      <c r="Q177" s="398"/>
      <c r="R177" s="779"/>
      <c r="S177" s="398"/>
      <c r="T177" s="398"/>
      <c r="U177" s="398"/>
      <c r="V177" s="738"/>
      <c r="W177" s="738"/>
      <c r="X177" s="738"/>
    </row>
    <row r="178" spans="1:24" ht="15.75" customHeight="1">
      <c r="A178" s="350">
        <f>A177+1</f>
        <v>6</v>
      </c>
      <c r="B178" s="591" t="s">
        <v>580</v>
      </c>
      <c r="C178" s="330"/>
      <c r="D178" s="330"/>
      <c r="E178" s="330"/>
      <c r="F178" s="330"/>
      <c r="G178" s="330"/>
      <c r="H178" s="330"/>
      <c r="I178" s="330"/>
      <c r="J178" s="330"/>
      <c r="K178" s="330"/>
      <c r="L178" s="330"/>
      <c r="M178" s="330"/>
      <c r="N178" s="330"/>
      <c r="O178" s="349"/>
      <c r="P178" s="784"/>
      <c r="Q178" s="398"/>
      <c r="R178" s="779"/>
      <c r="S178" s="398"/>
      <c r="T178" s="398"/>
      <c r="U178" s="398"/>
      <c r="V178" s="738"/>
      <c r="W178" s="738"/>
      <c r="X178" s="738"/>
    </row>
    <row r="179" spans="1:24" ht="15.75" customHeight="1">
      <c r="A179" s="350"/>
      <c r="B179" s="567" t="s">
        <v>1636</v>
      </c>
      <c r="C179" s="330"/>
      <c r="D179" s="330"/>
      <c r="E179" s="330"/>
      <c r="F179" s="330"/>
      <c r="G179" s="330"/>
      <c r="H179" s="330"/>
      <c r="I179" s="330"/>
      <c r="J179" s="330"/>
      <c r="K179" s="330"/>
      <c r="L179" s="330"/>
      <c r="M179" s="330"/>
      <c r="N179" s="330">
        <f>N166</f>
        <v>8.156172999999999</v>
      </c>
      <c r="O179" s="349"/>
      <c r="P179" s="784"/>
      <c r="Q179" s="398"/>
      <c r="R179" s="779"/>
      <c r="S179" s="398"/>
      <c r="T179" s="398"/>
      <c r="U179" s="398"/>
      <c r="V179" s="738"/>
      <c r="W179" s="738"/>
      <c r="X179" s="738"/>
    </row>
    <row r="180" spans="1:24" ht="15.75" customHeight="1">
      <c r="A180" s="350"/>
      <c r="B180" s="567" t="s">
        <v>1629</v>
      </c>
      <c r="C180" s="330"/>
      <c r="D180" s="330"/>
      <c r="E180" s="330"/>
      <c r="F180" s="330"/>
      <c r="G180" s="330"/>
      <c r="H180" s="330"/>
      <c r="I180" s="330"/>
      <c r="J180" s="330"/>
      <c r="K180" s="330"/>
      <c r="L180" s="330"/>
      <c r="M180" s="330"/>
      <c r="N180" s="752">
        <f>N176</f>
        <v>75.439999999999984</v>
      </c>
      <c r="O180" s="349"/>
      <c r="P180" s="784"/>
      <c r="Q180" s="398"/>
      <c r="R180" s="779"/>
      <c r="S180" s="398"/>
      <c r="T180" s="398"/>
      <c r="U180" s="398"/>
      <c r="V180" s="738"/>
      <c r="W180" s="738"/>
      <c r="X180" s="738"/>
    </row>
    <row r="181" spans="1:24" ht="15.75" customHeight="1">
      <c r="A181" s="350"/>
      <c r="B181" s="567"/>
      <c r="C181" s="330"/>
      <c r="D181" s="330"/>
      <c r="E181" s="330"/>
      <c r="F181" s="330"/>
      <c r="G181" s="330"/>
      <c r="H181" s="330"/>
      <c r="I181" s="330"/>
      <c r="J181" s="330"/>
      <c r="K181" s="330"/>
      <c r="L181" s="330"/>
      <c r="M181" s="330"/>
      <c r="N181" s="330">
        <f>SUM(N179:N180)</f>
        <v>83.596172999999979</v>
      </c>
      <c r="O181" s="349" t="s">
        <v>89</v>
      </c>
      <c r="P181" s="784">
        <f>ROUND((N181),2)</f>
        <v>83.6</v>
      </c>
      <c r="Q181" s="398"/>
      <c r="R181" s="779"/>
      <c r="S181" s="398"/>
      <c r="T181" s="398"/>
      <c r="U181" s="398"/>
      <c r="V181" s="738"/>
      <c r="W181" s="738"/>
      <c r="X181" s="738"/>
    </row>
    <row r="182" spans="1:24" ht="31.5" customHeight="1">
      <c r="A182" s="350">
        <f>A178+1</f>
        <v>7</v>
      </c>
      <c r="B182" s="1" t="s">
        <v>1213</v>
      </c>
      <c r="C182" s="330"/>
      <c r="D182" s="330"/>
      <c r="E182" s="330"/>
      <c r="F182" s="330"/>
      <c r="G182" s="330"/>
      <c r="H182" s="330"/>
      <c r="I182" s="330"/>
      <c r="J182" s="330"/>
      <c r="K182" s="330"/>
      <c r="L182" s="330"/>
      <c r="M182" s="330"/>
      <c r="N182" s="330"/>
      <c r="O182" s="349"/>
      <c r="P182" s="784"/>
      <c r="Q182" s="398"/>
      <c r="R182" s="779"/>
      <c r="S182" s="398"/>
      <c r="T182" s="398"/>
      <c r="U182" s="398"/>
      <c r="V182" s="738"/>
      <c r="W182" s="738"/>
      <c r="X182" s="738"/>
    </row>
    <row r="183" spans="1:24" ht="15.75" customHeight="1">
      <c r="A183" s="350"/>
      <c r="B183" s="567" t="s">
        <v>1637</v>
      </c>
      <c r="C183" s="330">
        <f>C177</f>
        <v>12</v>
      </c>
      <c r="D183" s="330">
        <f>D177</f>
        <v>6</v>
      </c>
      <c r="E183" s="330"/>
      <c r="F183" s="330"/>
      <c r="G183" s="330"/>
      <c r="H183" s="330"/>
      <c r="I183" s="330"/>
      <c r="J183" s="330"/>
      <c r="K183" s="330"/>
      <c r="L183" s="330"/>
      <c r="M183" s="330"/>
      <c r="N183" s="330">
        <f>C183*D183</f>
        <v>72</v>
      </c>
      <c r="O183" s="349"/>
      <c r="P183" s="784"/>
      <c r="Q183" s="398"/>
      <c r="R183" s="779"/>
      <c r="S183" s="398"/>
      <c r="T183" s="398"/>
      <c r="U183" s="398"/>
      <c r="V183" s="738"/>
      <c r="W183" s="738"/>
      <c r="X183" s="738"/>
    </row>
    <row r="184" spans="1:24" ht="15.75" customHeight="1">
      <c r="A184" s="350"/>
      <c r="B184" s="567" t="s">
        <v>1638</v>
      </c>
      <c r="C184" s="330">
        <f>C183</f>
        <v>12</v>
      </c>
      <c r="D184" s="330">
        <v>0.55000000000000004</v>
      </c>
      <c r="E184" s="330"/>
      <c r="F184" s="330"/>
      <c r="G184" s="330"/>
      <c r="H184" s="330">
        <v>2</v>
      </c>
      <c r="I184" s="330"/>
      <c r="J184" s="330"/>
      <c r="K184" s="330"/>
      <c r="L184" s="330"/>
      <c r="M184" s="330"/>
      <c r="N184" s="330">
        <f>C184*D184*H184</f>
        <v>13.200000000000001</v>
      </c>
      <c r="O184" s="349"/>
      <c r="P184" s="784"/>
      <c r="Q184" s="398"/>
      <c r="R184" s="779"/>
      <c r="S184" s="398"/>
      <c r="T184" s="398"/>
      <c r="U184" s="398"/>
      <c r="V184" s="738"/>
      <c r="W184" s="738"/>
      <c r="X184" s="738"/>
    </row>
    <row r="185" spans="1:24" ht="15.75" customHeight="1">
      <c r="A185" s="350"/>
      <c r="B185" s="567"/>
      <c r="C185" s="330">
        <f>D183</f>
        <v>6</v>
      </c>
      <c r="D185" s="330">
        <f>D184</f>
        <v>0.55000000000000004</v>
      </c>
      <c r="E185" s="330"/>
      <c r="F185" s="330"/>
      <c r="G185" s="330"/>
      <c r="H185" s="330">
        <v>2</v>
      </c>
      <c r="I185" s="330"/>
      <c r="J185" s="330"/>
      <c r="K185" s="330"/>
      <c r="L185" s="330"/>
      <c r="M185" s="330"/>
      <c r="N185" s="752">
        <f>C185*D185*H185</f>
        <v>6.6000000000000005</v>
      </c>
      <c r="O185" s="349"/>
      <c r="P185" s="784"/>
      <c r="Q185" s="398"/>
      <c r="R185" s="779"/>
      <c r="S185" s="398"/>
      <c r="T185" s="398"/>
      <c r="U185" s="398"/>
      <c r="V185" s="738"/>
      <c r="W185" s="738"/>
      <c r="X185" s="738"/>
    </row>
    <row r="186" spans="1:24" ht="15.75" customHeight="1">
      <c r="A186" s="350"/>
      <c r="B186" s="567"/>
      <c r="C186" s="330"/>
      <c r="D186" s="330"/>
      <c r="E186" s="330"/>
      <c r="F186" s="330"/>
      <c r="G186" s="330"/>
      <c r="H186" s="330"/>
      <c r="I186" s="330"/>
      <c r="J186" s="330"/>
      <c r="K186" s="330"/>
      <c r="L186" s="330"/>
      <c r="M186" s="330"/>
      <c r="N186" s="330">
        <f>SUM(N183:N185)</f>
        <v>91.8</v>
      </c>
      <c r="O186" s="349" t="s">
        <v>89</v>
      </c>
      <c r="P186" s="784">
        <f>ROUND((N186),2)</f>
        <v>91.8</v>
      </c>
      <c r="Q186" s="398"/>
      <c r="R186" s="779"/>
      <c r="S186" s="398"/>
      <c r="T186" s="398"/>
      <c r="U186" s="398"/>
      <c r="V186" s="738"/>
      <c r="W186" s="738"/>
      <c r="X186" s="738"/>
    </row>
    <row r="187" spans="1:24" ht="15.75" customHeight="1">
      <c r="A187" s="350">
        <f>A182+1</f>
        <v>8</v>
      </c>
      <c r="B187" s="591" t="s">
        <v>451</v>
      </c>
      <c r="C187" s="330" t="s">
        <v>1639</v>
      </c>
      <c r="D187" s="330"/>
      <c r="E187" s="330"/>
      <c r="F187" s="330"/>
      <c r="G187" s="330"/>
      <c r="H187" s="330"/>
      <c r="I187" s="330"/>
      <c r="J187" s="330"/>
      <c r="K187" s="330"/>
      <c r="L187" s="330"/>
      <c r="M187" s="330"/>
      <c r="N187" s="330">
        <f>N186</f>
        <v>91.8</v>
      </c>
      <c r="O187" s="349" t="s">
        <v>89</v>
      </c>
      <c r="P187" s="784">
        <f>ROUND((N187),2)</f>
        <v>91.8</v>
      </c>
      <c r="Q187" s="398"/>
      <c r="R187" s="779"/>
      <c r="S187" s="398"/>
      <c r="T187" s="398"/>
      <c r="U187" s="398"/>
      <c r="V187" s="738"/>
      <c r="W187" s="738"/>
      <c r="X187" s="738"/>
    </row>
    <row r="188" spans="1:24" ht="15.75" customHeight="1">
      <c r="A188" s="350">
        <f>A187+1</f>
        <v>9</v>
      </c>
      <c r="B188" s="351" t="s">
        <v>1640</v>
      </c>
      <c r="C188" s="330"/>
      <c r="D188" s="330"/>
      <c r="E188" s="330"/>
      <c r="F188" s="330"/>
      <c r="G188" s="330"/>
      <c r="H188" s="330"/>
      <c r="I188" s="330"/>
      <c r="J188" s="330"/>
      <c r="K188" s="330"/>
      <c r="L188" s="330"/>
      <c r="M188" s="330"/>
      <c r="N188" s="330"/>
      <c r="O188" s="349"/>
      <c r="P188" s="784"/>
      <c r="Q188" s="398"/>
      <c r="R188" s="779"/>
      <c r="S188" s="398"/>
      <c r="T188" s="398"/>
      <c r="U188" s="398"/>
      <c r="V188" s="738"/>
      <c r="W188" s="738"/>
      <c r="X188" s="738"/>
    </row>
    <row r="189" spans="1:24" ht="15.75" customHeight="1">
      <c r="A189" s="355" t="s">
        <v>95</v>
      </c>
      <c r="B189" s="351" t="s">
        <v>438</v>
      </c>
      <c r="C189" s="330">
        <v>1.2</v>
      </c>
      <c r="D189" s="330">
        <v>0.15</v>
      </c>
      <c r="E189" s="330">
        <v>0.1</v>
      </c>
      <c r="F189" s="330"/>
      <c r="G189" s="330"/>
      <c r="H189" s="330"/>
      <c r="I189" s="330"/>
      <c r="J189" s="330"/>
      <c r="K189" s="330"/>
      <c r="L189" s="330"/>
      <c r="M189" s="330">
        <v>9</v>
      </c>
      <c r="N189" s="330">
        <f>C189*D189*E189*M189</f>
        <v>0.16199999999999998</v>
      </c>
      <c r="O189" s="349" t="s">
        <v>103</v>
      </c>
      <c r="P189" s="784">
        <f>ROUND((N189),2)</f>
        <v>0.16</v>
      </c>
      <c r="Q189" s="398"/>
      <c r="R189" s="779"/>
      <c r="S189" s="398"/>
      <c r="T189" s="398"/>
      <c r="U189" s="398"/>
      <c r="V189" s="738"/>
      <c r="W189" s="738"/>
      <c r="X189" s="738"/>
    </row>
    <row r="190" spans="1:24" ht="15.75" customHeight="1">
      <c r="A190" s="355" t="s">
        <v>98</v>
      </c>
      <c r="B190" s="351" t="s">
        <v>439</v>
      </c>
      <c r="C190" s="330">
        <f>C189+(0.3*2)</f>
        <v>1.7999999999999998</v>
      </c>
      <c r="D190" s="330"/>
      <c r="E190" s="330">
        <v>0.15</v>
      </c>
      <c r="F190" s="330"/>
      <c r="G190" s="330"/>
      <c r="H190" s="330"/>
      <c r="I190" s="330"/>
      <c r="J190" s="330"/>
      <c r="K190" s="330"/>
      <c r="L190" s="330"/>
      <c r="M190" s="330">
        <f>M189</f>
        <v>9</v>
      </c>
      <c r="N190" s="330">
        <f>C190*E190*M190</f>
        <v>2.4299999999999997</v>
      </c>
      <c r="O190" s="349" t="s">
        <v>89</v>
      </c>
      <c r="P190" s="784">
        <f>ROUND((N190),2)</f>
        <v>2.4300000000000002</v>
      </c>
      <c r="Q190" s="398"/>
      <c r="R190" s="779"/>
      <c r="S190" s="398"/>
      <c r="T190" s="398"/>
      <c r="U190" s="398"/>
      <c r="V190" s="738"/>
      <c r="W190" s="738"/>
      <c r="X190" s="738"/>
    </row>
    <row r="191" spans="1:24" ht="15.75" customHeight="1">
      <c r="A191" s="355" t="s">
        <v>101</v>
      </c>
      <c r="B191" s="351" t="s">
        <v>916</v>
      </c>
      <c r="C191" s="330">
        <f>C189</f>
        <v>1.2</v>
      </c>
      <c r="D191" s="330">
        <v>0.3</v>
      </c>
      <c r="E191" s="330">
        <f>E190-E192</f>
        <v>0.09</v>
      </c>
      <c r="F191" s="330"/>
      <c r="G191" s="330"/>
      <c r="H191" s="330"/>
      <c r="I191" s="330"/>
      <c r="J191" s="330"/>
      <c r="K191" s="330"/>
      <c r="L191" s="330"/>
      <c r="M191" s="330">
        <f>M190</f>
        <v>9</v>
      </c>
      <c r="N191" s="330">
        <f>C191*D191*E191*M191</f>
        <v>0.29159999999999997</v>
      </c>
      <c r="O191" s="349" t="s">
        <v>103</v>
      </c>
      <c r="P191" s="784">
        <f>ROUND((N191),2)</f>
        <v>0.28999999999999998</v>
      </c>
      <c r="Q191" s="398"/>
      <c r="R191" s="779"/>
      <c r="S191" s="398"/>
      <c r="T191" s="398"/>
      <c r="U191" s="398"/>
      <c r="V191" s="738"/>
      <c r="W191" s="738"/>
      <c r="X191" s="738"/>
    </row>
    <row r="192" spans="1:24" ht="15.75" customHeight="1">
      <c r="A192" s="355" t="s">
        <v>121</v>
      </c>
      <c r="B192" s="351" t="s">
        <v>935</v>
      </c>
      <c r="C192" s="330">
        <f>C191</f>
        <v>1.2</v>
      </c>
      <c r="D192" s="330">
        <f>D191</f>
        <v>0.3</v>
      </c>
      <c r="E192" s="330">
        <v>0.06</v>
      </c>
      <c r="F192" s="330"/>
      <c r="G192" s="330"/>
      <c r="H192" s="330"/>
      <c r="I192" s="330"/>
      <c r="J192" s="330"/>
      <c r="K192" s="330"/>
      <c r="L192" s="330"/>
      <c r="M192" s="330">
        <f>M191</f>
        <v>9</v>
      </c>
      <c r="N192" s="330">
        <f>C192*D192*E192*M192</f>
        <v>0.19439999999999999</v>
      </c>
      <c r="O192" s="349" t="s">
        <v>103</v>
      </c>
      <c r="P192" s="784">
        <f>ROUND((N192),2)</f>
        <v>0.19</v>
      </c>
      <c r="Q192" s="398"/>
      <c r="R192" s="779"/>
      <c r="S192" s="398"/>
      <c r="T192" s="398"/>
      <c r="U192" s="398"/>
      <c r="V192" s="738"/>
      <c r="W192" s="738"/>
      <c r="X192" s="738"/>
    </row>
    <row r="193" spans="1:24" s="554" customFormat="1" ht="15.75" customHeight="1">
      <c r="A193" s="350">
        <f>A188+1</f>
        <v>10</v>
      </c>
      <c r="B193" s="591" t="s">
        <v>443</v>
      </c>
      <c r="C193" s="348"/>
      <c r="D193" s="348"/>
      <c r="E193" s="348"/>
      <c r="F193" s="348"/>
      <c r="G193" s="348"/>
      <c r="H193" s="348"/>
      <c r="I193" s="348"/>
      <c r="J193" s="348"/>
      <c r="K193" s="348"/>
      <c r="L193" s="348"/>
      <c r="M193" s="348"/>
      <c r="N193" s="343"/>
      <c r="O193" s="349"/>
      <c r="P193" s="784"/>
      <c r="Q193" s="398"/>
      <c r="R193" s="564"/>
      <c r="S193" s="398"/>
      <c r="T193" s="398"/>
      <c r="U193" s="398"/>
      <c r="V193" s="555"/>
      <c r="W193" s="555"/>
      <c r="X193" s="555"/>
    </row>
    <row r="194" spans="1:24" s="554" customFormat="1" ht="37.5" customHeight="1">
      <c r="A194" s="355" t="s">
        <v>95</v>
      </c>
      <c r="B194" s="593" t="s">
        <v>537</v>
      </c>
      <c r="C194" s="348">
        <v>8.0779999999999994</v>
      </c>
      <c r="D194" s="493"/>
      <c r="E194" s="348"/>
      <c r="F194" s="348">
        <v>13</v>
      </c>
      <c r="G194" s="348"/>
      <c r="H194" s="348">
        <v>1</v>
      </c>
      <c r="I194" s="348"/>
      <c r="J194" s="348"/>
      <c r="K194" s="348"/>
      <c r="L194" s="348"/>
      <c r="M194" s="348">
        <v>1</v>
      </c>
      <c r="N194" s="343">
        <f>M194*F194*C194*H194</f>
        <v>105.014</v>
      </c>
      <c r="O194" s="349" t="s">
        <v>89</v>
      </c>
      <c r="P194" s="784"/>
      <c r="Q194" s="398"/>
      <c r="R194" s="564"/>
      <c r="S194" s="398"/>
      <c r="T194" s="398"/>
      <c r="U194" s="398"/>
      <c r="V194" s="555"/>
      <c r="W194" s="555"/>
      <c r="X194" s="555"/>
    </row>
    <row r="195" spans="1:24" s="554" customFormat="1" ht="28.5" customHeight="1">
      <c r="A195" s="355" t="s">
        <v>98</v>
      </c>
      <c r="B195" s="593" t="s">
        <v>538</v>
      </c>
      <c r="C195" s="348">
        <f>C203</f>
        <v>13.75</v>
      </c>
      <c r="D195" s="493"/>
      <c r="E195" s="348"/>
      <c r="F195" s="348">
        <f>ROUNDUP((D199/0.5),0)</f>
        <v>10</v>
      </c>
      <c r="G195" s="348"/>
      <c r="H195" s="348">
        <v>2</v>
      </c>
      <c r="I195" s="348"/>
      <c r="J195" s="348"/>
      <c r="K195" s="348"/>
      <c r="L195" s="348"/>
      <c r="M195" s="348"/>
      <c r="N195" s="343">
        <f>H195*F195*C195</f>
        <v>275</v>
      </c>
      <c r="O195" s="349" t="s">
        <v>1178</v>
      </c>
      <c r="P195" s="784"/>
      <c r="Q195" s="398"/>
      <c r="R195" s="564"/>
      <c r="S195" s="398"/>
      <c r="T195" s="398"/>
      <c r="U195" s="398"/>
      <c r="V195" s="555"/>
      <c r="W195" s="555"/>
      <c r="X195" s="555"/>
    </row>
    <row r="196" spans="1:24" s="554" customFormat="1" ht="15.75" customHeight="1">
      <c r="A196" s="355" t="s">
        <v>101</v>
      </c>
      <c r="B196" s="351" t="s">
        <v>823</v>
      </c>
      <c r="C196" s="348"/>
      <c r="D196" s="352"/>
      <c r="E196" s="348"/>
      <c r="F196" s="348"/>
      <c r="G196" s="348"/>
      <c r="H196" s="348"/>
      <c r="I196" s="348"/>
      <c r="J196" s="348"/>
      <c r="K196" s="348"/>
      <c r="L196" s="348"/>
      <c r="M196" s="348"/>
      <c r="N196" s="565">
        <f>SUM(N197:N198)</f>
        <v>80</v>
      </c>
      <c r="O196" s="349" t="s">
        <v>824</v>
      </c>
      <c r="P196" s="784"/>
      <c r="Q196" s="398"/>
      <c r="R196" s="564"/>
      <c r="S196" s="398"/>
      <c r="T196" s="398"/>
      <c r="U196" s="398"/>
      <c r="V196" s="555"/>
      <c r="W196" s="555"/>
      <c r="X196" s="555"/>
    </row>
    <row r="197" spans="1:24" s="554" customFormat="1" ht="15.75" customHeight="1">
      <c r="A197" s="355"/>
      <c r="B197" s="589" t="s">
        <v>1024</v>
      </c>
      <c r="C197" s="348"/>
      <c r="D197" s="352"/>
      <c r="E197" s="348"/>
      <c r="F197" s="348">
        <v>2</v>
      </c>
      <c r="G197" s="348">
        <v>2</v>
      </c>
      <c r="H197" s="348">
        <v>2</v>
      </c>
      <c r="I197" s="348"/>
      <c r="J197" s="348"/>
      <c r="K197" s="348"/>
      <c r="L197" s="348"/>
      <c r="M197" s="348">
        <f>F195</f>
        <v>10</v>
      </c>
      <c r="N197" s="343">
        <f>M197*H197*G197*F197</f>
        <v>80</v>
      </c>
      <c r="O197" s="349" t="s">
        <v>824</v>
      </c>
      <c r="P197" s="784"/>
      <c r="Q197" s="398"/>
      <c r="R197" s="564"/>
      <c r="S197" s="398"/>
      <c r="T197" s="398"/>
      <c r="U197" s="398"/>
      <c r="V197" s="555"/>
      <c r="W197" s="555"/>
      <c r="X197" s="555"/>
    </row>
    <row r="198" spans="1:24" s="554" customFormat="1" ht="15.75" customHeight="1">
      <c r="A198" s="355"/>
      <c r="B198" s="589" t="s">
        <v>1025</v>
      </c>
      <c r="C198" s="348"/>
      <c r="D198" s="352"/>
      <c r="E198" s="348"/>
      <c r="F198" s="348">
        <v>2</v>
      </c>
      <c r="G198" s="348">
        <v>5</v>
      </c>
      <c r="H198" s="348">
        <v>1</v>
      </c>
      <c r="I198" s="348"/>
      <c r="J198" s="348"/>
      <c r="K198" s="348"/>
      <c r="L198" s="348"/>
      <c r="M198" s="348">
        <v>0</v>
      </c>
      <c r="N198" s="343">
        <f>M198*H198*G198*F198</f>
        <v>0</v>
      </c>
      <c r="O198" s="349" t="s">
        <v>824</v>
      </c>
      <c r="P198" s="784"/>
      <c r="Q198" s="398"/>
      <c r="R198" s="564"/>
      <c r="S198" s="398"/>
      <c r="T198" s="398"/>
      <c r="U198" s="398"/>
      <c r="V198" s="555"/>
      <c r="W198" s="555"/>
      <c r="X198" s="555"/>
    </row>
    <row r="199" spans="1:24" s="554" customFormat="1" ht="15.75" customHeight="1">
      <c r="A199" s="355" t="s">
        <v>121</v>
      </c>
      <c r="B199" s="351" t="s">
        <v>1179</v>
      </c>
      <c r="C199" s="348">
        <f>C195</f>
        <v>13.75</v>
      </c>
      <c r="D199" s="594">
        <f>C204</f>
        <v>4.8339999999999996</v>
      </c>
      <c r="E199" s="348"/>
      <c r="F199" s="348"/>
      <c r="G199" s="348"/>
      <c r="H199" s="348"/>
      <c r="I199" s="348"/>
      <c r="J199" s="348"/>
      <c r="K199" s="348"/>
      <c r="L199" s="348"/>
      <c r="M199" s="348">
        <v>2</v>
      </c>
      <c r="N199" s="343">
        <f>M199*D199*C199</f>
        <v>132.935</v>
      </c>
      <c r="O199" s="349" t="s">
        <v>89</v>
      </c>
      <c r="P199" s="784"/>
      <c r="Q199" s="398"/>
      <c r="R199" s="564"/>
      <c r="S199" s="398"/>
      <c r="T199" s="398"/>
      <c r="U199" s="398"/>
      <c r="V199" s="555"/>
      <c r="W199" s="555"/>
      <c r="X199" s="555"/>
    </row>
    <row r="200" spans="1:24" s="554" customFormat="1" ht="15.75" customHeight="1">
      <c r="A200" s="355" t="s">
        <v>142</v>
      </c>
      <c r="B200" s="351" t="s">
        <v>1180</v>
      </c>
      <c r="C200" s="348">
        <f>C199</f>
        <v>13.75</v>
      </c>
      <c r="D200" s="352"/>
      <c r="E200" s="348"/>
      <c r="F200" s="348"/>
      <c r="G200" s="348"/>
      <c r="H200" s="348"/>
      <c r="I200" s="348"/>
      <c r="J200" s="348"/>
      <c r="K200" s="348"/>
      <c r="L200" s="348"/>
      <c r="M200" s="348"/>
      <c r="N200" s="343">
        <f>C200</f>
        <v>13.75</v>
      </c>
      <c r="O200" s="349" t="s">
        <v>1178</v>
      </c>
      <c r="P200" s="784"/>
      <c r="Q200" s="398"/>
      <c r="R200" s="564"/>
      <c r="S200" s="398"/>
      <c r="T200" s="398"/>
      <c r="U200" s="398"/>
      <c r="V200" s="555"/>
      <c r="W200" s="555"/>
      <c r="X200" s="555"/>
    </row>
    <row r="201" spans="1:24" s="554" customFormat="1" ht="15.75" customHeight="1">
      <c r="A201" s="350"/>
      <c r="B201" s="567"/>
      <c r="C201" s="348"/>
      <c r="D201" s="348"/>
      <c r="E201" s="348"/>
      <c r="F201" s="348"/>
      <c r="G201" s="348"/>
      <c r="H201" s="348"/>
      <c r="I201" s="348"/>
      <c r="J201" s="348"/>
      <c r="K201" s="348"/>
      <c r="L201" s="348"/>
      <c r="M201" s="348"/>
      <c r="N201" s="343"/>
      <c r="O201" s="349"/>
      <c r="P201" s="784"/>
      <c r="Q201" s="398"/>
      <c r="R201" s="564"/>
      <c r="S201" s="398"/>
      <c r="T201" s="398"/>
      <c r="U201" s="398"/>
      <c r="V201" s="555"/>
      <c r="W201" s="555"/>
      <c r="X201" s="555"/>
    </row>
    <row r="202" spans="1:24" ht="15.75" customHeight="1">
      <c r="A202" s="350">
        <f>A193+1</f>
        <v>11</v>
      </c>
      <c r="B202" s="591" t="s">
        <v>452</v>
      </c>
      <c r="C202" s="330"/>
      <c r="D202" s="330"/>
      <c r="E202" s="330"/>
      <c r="F202" s="330"/>
      <c r="G202" s="330"/>
      <c r="H202" s="330"/>
      <c r="I202" s="330"/>
      <c r="J202" s="330"/>
      <c r="K202" s="330"/>
      <c r="L202" s="330"/>
      <c r="M202" s="330"/>
      <c r="N202" s="330"/>
      <c r="O202" s="349"/>
      <c r="P202" s="784"/>
      <c r="Q202" s="398"/>
      <c r="R202" s="779"/>
      <c r="S202" s="398"/>
      <c r="T202" s="398"/>
      <c r="U202" s="398"/>
      <c r="V202" s="738"/>
      <c r="W202" s="738"/>
      <c r="X202" s="738"/>
    </row>
    <row r="203" spans="1:24" ht="15.75" customHeight="1">
      <c r="A203" s="350"/>
      <c r="B203" s="591"/>
      <c r="C203" s="330">
        <v>13.75</v>
      </c>
      <c r="D203" s="330"/>
      <c r="E203" s="330"/>
      <c r="F203" s="330"/>
      <c r="G203" s="330"/>
      <c r="H203" s="330"/>
      <c r="I203" s="330"/>
      <c r="J203" s="330"/>
      <c r="K203" s="330"/>
      <c r="L203" s="330"/>
      <c r="M203" s="330">
        <v>2</v>
      </c>
      <c r="N203" s="330">
        <f>C203*M203</f>
        <v>27.5</v>
      </c>
      <c r="O203" s="349"/>
      <c r="P203" s="784"/>
      <c r="Q203" s="398"/>
      <c r="R203" s="779"/>
      <c r="S203" s="398"/>
      <c r="T203" s="398"/>
      <c r="U203" s="398"/>
      <c r="V203" s="738"/>
      <c r="W203" s="738"/>
      <c r="X203" s="738"/>
    </row>
    <row r="204" spans="1:24" ht="15.75" customHeight="1">
      <c r="A204" s="350"/>
      <c r="B204" s="591"/>
      <c r="C204" s="330">
        <f>2.544+2.29</f>
        <v>4.8339999999999996</v>
      </c>
      <c r="D204" s="330"/>
      <c r="E204" s="330"/>
      <c r="F204" s="330"/>
      <c r="G204" s="330"/>
      <c r="H204" s="330">
        <v>2</v>
      </c>
      <c r="I204" s="330"/>
      <c r="J204" s="330"/>
      <c r="K204" s="330"/>
      <c r="L204" s="330"/>
      <c r="M204" s="330">
        <v>2</v>
      </c>
      <c r="N204" s="752">
        <f>C204*H204*M204</f>
        <v>19.335999999999999</v>
      </c>
      <c r="O204" s="349"/>
      <c r="P204" s="784"/>
      <c r="Q204" s="398"/>
      <c r="R204" s="779"/>
      <c r="S204" s="398"/>
      <c r="T204" s="398"/>
      <c r="U204" s="398"/>
      <c r="V204" s="738"/>
      <c r="W204" s="738"/>
      <c r="X204" s="738"/>
    </row>
    <row r="205" spans="1:24" ht="15.75" customHeight="1">
      <c r="A205" s="350"/>
      <c r="B205" s="591"/>
      <c r="C205" s="330"/>
      <c r="D205" s="330"/>
      <c r="E205" s="330"/>
      <c r="F205" s="330"/>
      <c r="G205" s="330"/>
      <c r="H205" s="330"/>
      <c r="I205" s="330"/>
      <c r="J205" s="330"/>
      <c r="K205" s="330"/>
      <c r="L205" s="330"/>
      <c r="M205" s="330"/>
      <c r="N205" s="330">
        <f>SUM(N203:N204)</f>
        <v>46.835999999999999</v>
      </c>
      <c r="O205" s="349" t="s">
        <v>117</v>
      </c>
      <c r="P205" s="784">
        <f>ROUND((N205),2)</f>
        <v>46.84</v>
      </c>
      <c r="Q205" s="398"/>
      <c r="R205" s="779"/>
      <c r="S205" s="398"/>
      <c r="T205" s="398"/>
      <c r="U205" s="398"/>
      <c r="V205" s="738"/>
      <c r="W205" s="738"/>
      <c r="X205" s="738"/>
    </row>
    <row r="206" spans="1:24" ht="15.75" customHeight="1">
      <c r="A206" s="350">
        <f>A202+1</f>
        <v>12</v>
      </c>
      <c r="B206" s="591" t="s">
        <v>968</v>
      </c>
      <c r="C206" s="330">
        <f>N205</f>
        <v>46.835999999999999</v>
      </c>
      <c r="D206" s="330">
        <v>0.3</v>
      </c>
      <c r="E206" s="330"/>
      <c r="F206" s="330"/>
      <c r="G206" s="330"/>
      <c r="H206" s="330"/>
      <c r="I206" s="330"/>
      <c r="J206" s="330"/>
      <c r="K206" s="330"/>
      <c r="L206" s="330"/>
      <c r="M206" s="330"/>
      <c r="N206" s="330">
        <f>C206*D206</f>
        <v>14.050799999999999</v>
      </c>
      <c r="O206" s="349" t="s">
        <v>89</v>
      </c>
      <c r="P206" s="784">
        <f>ROUND((N206),2)</f>
        <v>14.05</v>
      </c>
      <c r="Q206" s="398"/>
      <c r="R206" s="779"/>
      <c r="S206" s="398"/>
      <c r="T206" s="398"/>
      <c r="U206" s="398"/>
      <c r="V206" s="738"/>
      <c r="W206" s="738"/>
      <c r="X206" s="738"/>
    </row>
    <row r="207" spans="1:24" ht="15.75" customHeight="1">
      <c r="A207" s="350">
        <f>A206+1</f>
        <v>13</v>
      </c>
      <c r="B207" s="351" t="s">
        <v>1030</v>
      </c>
      <c r="C207" s="330"/>
      <c r="D207" s="330"/>
      <c r="E207" s="330"/>
      <c r="F207" s="330"/>
      <c r="G207" s="330"/>
      <c r="H207" s="330"/>
      <c r="I207" s="330"/>
      <c r="J207" s="330"/>
      <c r="K207" s="330"/>
      <c r="L207" s="330"/>
      <c r="M207" s="330"/>
      <c r="N207" s="330"/>
      <c r="O207" s="349"/>
      <c r="P207" s="784"/>
      <c r="Q207" s="398"/>
      <c r="R207" s="779"/>
      <c r="S207" s="398"/>
      <c r="T207" s="398"/>
      <c r="U207" s="398"/>
      <c r="V207" s="738"/>
      <c r="W207" s="738"/>
      <c r="X207" s="738"/>
    </row>
    <row r="208" spans="1:24" ht="15.75" customHeight="1">
      <c r="A208" s="350"/>
      <c r="B208" s="591"/>
      <c r="C208" s="330">
        <f>6-(0.3*2)</f>
        <v>5.4</v>
      </c>
      <c r="D208" s="330"/>
      <c r="E208" s="330">
        <v>0.5</v>
      </c>
      <c r="F208" s="330"/>
      <c r="G208" s="330">
        <v>1</v>
      </c>
      <c r="H208" s="330"/>
      <c r="I208" s="330"/>
      <c r="J208" s="330"/>
      <c r="K208" s="330"/>
      <c r="L208" s="330"/>
      <c r="M208" s="330">
        <v>2</v>
      </c>
      <c r="N208" s="330">
        <f>C208*E208*G208*M208</f>
        <v>5.4</v>
      </c>
      <c r="O208" s="349"/>
      <c r="P208" s="784"/>
      <c r="Q208" s="398"/>
      <c r="R208" s="779"/>
      <c r="S208" s="398"/>
      <c r="T208" s="398"/>
      <c r="U208" s="398"/>
      <c r="V208" s="738"/>
      <c r="W208" s="738"/>
      <c r="X208" s="738"/>
    </row>
    <row r="209" spans="1:24" ht="15.75" customHeight="1">
      <c r="A209" s="350"/>
      <c r="B209" s="591"/>
      <c r="C209" s="330">
        <f>4-(0.3*2)</f>
        <v>3.4</v>
      </c>
      <c r="D209" s="330"/>
      <c r="E209" s="330">
        <f>E208</f>
        <v>0.5</v>
      </c>
      <c r="F209" s="330"/>
      <c r="G209" s="330">
        <v>2</v>
      </c>
      <c r="H209" s="330"/>
      <c r="I209" s="330"/>
      <c r="J209" s="330"/>
      <c r="K209" s="330"/>
      <c r="L209" s="330"/>
      <c r="M209" s="330">
        <f>M208</f>
        <v>2</v>
      </c>
      <c r="N209" s="752">
        <f>C209*E209*G209*M209</f>
        <v>6.8</v>
      </c>
      <c r="O209" s="349"/>
      <c r="P209" s="784"/>
      <c r="Q209" s="398"/>
      <c r="R209" s="779"/>
      <c r="S209" s="398"/>
      <c r="T209" s="398"/>
      <c r="U209" s="398"/>
      <c r="V209" s="738"/>
      <c r="W209" s="738"/>
      <c r="X209" s="738"/>
    </row>
    <row r="210" spans="1:24" ht="15.75" customHeight="1">
      <c r="A210" s="350"/>
      <c r="B210" s="591"/>
      <c r="C210" s="330"/>
      <c r="D210" s="330"/>
      <c r="E210" s="330"/>
      <c r="F210" s="330"/>
      <c r="G210" s="330"/>
      <c r="H210" s="330"/>
      <c r="I210" s="330"/>
      <c r="J210" s="330"/>
      <c r="K210" s="330"/>
      <c r="L210" s="330"/>
      <c r="M210" s="330"/>
      <c r="N210" s="330">
        <f>SUM(N208:N209)</f>
        <v>12.2</v>
      </c>
      <c r="O210" s="349" t="s">
        <v>89</v>
      </c>
      <c r="P210" s="784">
        <f>ROUND((N210),2)</f>
        <v>12.2</v>
      </c>
      <c r="Q210" s="398"/>
      <c r="R210" s="779"/>
      <c r="S210" s="398"/>
      <c r="T210" s="398"/>
      <c r="U210" s="398"/>
      <c r="V210" s="738"/>
      <c r="W210" s="738"/>
      <c r="X210" s="738"/>
    </row>
    <row r="211" spans="1:24" ht="15.75" customHeight="1">
      <c r="A211" s="350">
        <f>A207+1</f>
        <v>14</v>
      </c>
      <c r="B211" s="591" t="s">
        <v>582</v>
      </c>
      <c r="C211" s="330"/>
      <c r="D211" s="330"/>
      <c r="E211" s="330"/>
      <c r="F211" s="330"/>
      <c r="G211" s="330"/>
      <c r="H211" s="330"/>
      <c r="I211" s="330"/>
      <c r="J211" s="330"/>
      <c r="K211" s="330"/>
      <c r="L211" s="330"/>
      <c r="M211" s="330">
        <v>1</v>
      </c>
      <c r="N211" s="330">
        <f>M211</f>
        <v>1</v>
      </c>
      <c r="O211" s="349" t="s">
        <v>360</v>
      </c>
      <c r="P211" s="784">
        <f>ROUND((N211),2)</f>
        <v>1</v>
      </c>
      <c r="Q211" s="398"/>
      <c r="R211" s="779"/>
      <c r="S211" s="398"/>
      <c r="T211" s="398"/>
      <c r="U211" s="398"/>
      <c r="V211" s="738"/>
      <c r="W211" s="738"/>
      <c r="X211" s="738"/>
    </row>
    <row r="212" spans="1:24" ht="25.5" customHeight="1">
      <c r="A212" s="350">
        <f>A211+1</f>
        <v>15</v>
      </c>
      <c r="B212" s="1" t="s">
        <v>969</v>
      </c>
      <c r="C212" s="330"/>
      <c r="D212" s="330"/>
      <c r="E212" s="330"/>
      <c r="F212" s="330"/>
      <c r="G212" s="330"/>
      <c r="H212" s="330"/>
      <c r="I212" s="330"/>
      <c r="J212" s="330"/>
      <c r="K212" s="330"/>
      <c r="L212" s="330"/>
      <c r="M212" s="330">
        <v>12</v>
      </c>
      <c r="N212" s="330">
        <f>M212</f>
        <v>12</v>
      </c>
      <c r="O212" s="365" t="s">
        <v>124</v>
      </c>
      <c r="P212" s="784">
        <f>ROUND((N212),2)</f>
        <v>12</v>
      </c>
      <c r="Q212" s="398"/>
      <c r="R212" s="779"/>
      <c r="S212" s="398"/>
      <c r="T212" s="398"/>
      <c r="U212" s="398"/>
      <c r="V212" s="738"/>
      <c r="W212" s="738"/>
      <c r="X212" s="738"/>
    </row>
    <row r="213" spans="1:24" ht="15.75" customHeight="1">
      <c r="A213" s="350"/>
      <c r="B213" s="359"/>
      <c r="C213" s="330"/>
      <c r="D213" s="330"/>
      <c r="E213" s="330"/>
      <c r="F213" s="330"/>
      <c r="G213" s="330"/>
      <c r="H213" s="330"/>
      <c r="I213" s="330"/>
      <c r="J213" s="330"/>
      <c r="K213" s="330"/>
      <c r="L213" s="330"/>
      <c r="M213" s="330"/>
      <c r="N213" s="330"/>
      <c r="O213" s="349"/>
      <c r="P213" s="784"/>
      <c r="Q213" s="398"/>
      <c r="R213" s="779"/>
      <c r="S213" s="398"/>
      <c r="T213" s="398"/>
      <c r="U213" s="398"/>
      <c r="V213" s="738"/>
      <c r="W213" s="738"/>
      <c r="X213" s="738"/>
    </row>
    <row r="214" spans="1:24" ht="15.75" customHeight="1">
      <c r="A214" s="346" t="s">
        <v>1190</v>
      </c>
      <c r="B214" s="342" t="s">
        <v>457</v>
      </c>
      <c r="C214" s="424"/>
      <c r="D214" s="424"/>
      <c r="E214" s="424"/>
      <c r="F214" s="424"/>
      <c r="G214" s="424"/>
      <c r="H214" s="424"/>
      <c r="I214" s="424"/>
      <c r="J214" s="424"/>
      <c r="K214" s="424"/>
      <c r="L214" s="424"/>
      <c r="M214" s="424"/>
      <c r="N214" s="424"/>
      <c r="O214" s="599"/>
      <c r="P214" s="793"/>
      <c r="Q214" s="398"/>
      <c r="R214" s="779"/>
      <c r="S214" s="398"/>
      <c r="T214" s="398"/>
      <c r="U214" s="398"/>
      <c r="V214" s="738"/>
      <c r="W214" s="738"/>
      <c r="X214" s="738"/>
    </row>
    <row r="215" spans="1:24" ht="15.75" customHeight="1">
      <c r="A215" s="350">
        <v>1</v>
      </c>
      <c r="B215" s="351" t="s">
        <v>681</v>
      </c>
      <c r="C215" s="424"/>
      <c r="D215" s="424"/>
      <c r="E215" s="424"/>
      <c r="F215" s="348">
        <v>9</v>
      </c>
      <c r="G215" s="424"/>
      <c r="H215" s="424"/>
      <c r="I215" s="424"/>
      <c r="J215" s="424"/>
      <c r="K215" s="424"/>
      <c r="L215" s="424"/>
      <c r="M215" s="424"/>
      <c r="N215" s="424">
        <f t="shared" ref="N215:N220" si="5">F215</f>
        <v>9</v>
      </c>
      <c r="O215" s="349" t="s">
        <v>357</v>
      </c>
      <c r="P215" s="784">
        <f t="shared" ref="P215:P220" si="6">ROUND((N215),2)</f>
        <v>9</v>
      </c>
      <c r="Q215" s="398"/>
      <c r="R215" s="779"/>
      <c r="S215" s="398"/>
      <c r="T215" s="398"/>
      <c r="U215" s="398"/>
      <c r="V215" s="738"/>
      <c r="W215" s="738"/>
      <c r="X215" s="738"/>
    </row>
    <row r="216" spans="1:24" ht="15.75" customHeight="1">
      <c r="A216" s="350">
        <f>A215+1</f>
        <v>2</v>
      </c>
      <c r="B216" s="351" t="s">
        <v>682</v>
      </c>
      <c r="C216" s="424"/>
      <c r="D216" s="424"/>
      <c r="E216" s="424"/>
      <c r="F216" s="348">
        <v>6</v>
      </c>
      <c r="G216" s="424"/>
      <c r="H216" s="424"/>
      <c r="I216" s="424"/>
      <c r="J216" s="424"/>
      <c r="K216" s="424"/>
      <c r="L216" s="424"/>
      <c r="M216" s="424"/>
      <c r="N216" s="424">
        <f t="shared" si="5"/>
        <v>6</v>
      </c>
      <c r="O216" s="349" t="s">
        <v>357</v>
      </c>
      <c r="P216" s="784">
        <f t="shared" si="6"/>
        <v>6</v>
      </c>
      <c r="Q216" s="398"/>
      <c r="R216" s="779"/>
      <c r="S216" s="398"/>
      <c r="T216" s="398"/>
      <c r="U216" s="398"/>
      <c r="V216" s="738"/>
      <c r="W216" s="738"/>
      <c r="X216" s="738"/>
    </row>
    <row r="217" spans="1:24" ht="15.75" customHeight="1">
      <c r="A217" s="350">
        <f>A216+1</f>
        <v>3</v>
      </c>
      <c r="B217" s="351" t="s">
        <v>639</v>
      </c>
      <c r="C217" s="424"/>
      <c r="D217" s="424"/>
      <c r="E217" s="424"/>
      <c r="F217" s="343">
        <v>1</v>
      </c>
      <c r="G217" s="424"/>
      <c r="H217" s="424"/>
      <c r="I217" s="424"/>
      <c r="J217" s="424"/>
      <c r="K217" s="424"/>
      <c r="L217" s="424"/>
      <c r="M217" s="424"/>
      <c r="N217" s="424">
        <f t="shared" si="5"/>
        <v>1</v>
      </c>
      <c r="O217" s="349" t="s">
        <v>124</v>
      </c>
      <c r="P217" s="784">
        <f t="shared" si="6"/>
        <v>1</v>
      </c>
      <c r="Q217" s="398"/>
      <c r="R217" s="779"/>
      <c r="S217" s="398"/>
      <c r="T217" s="398"/>
      <c r="U217" s="398"/>
      <c r="V217" s="738"/>
      <c r="W217" s="738"/>
      <c r="X217" s="738"/>
    </row>
    <row r="218" spans="1:24" ht="15.75" customHeight="1">
      <c r="A218" s="350">
        <f>A217+1</f>
        <v>4</v>
      </c>
      <c r="B218" s="351" t="s">
        <v>615</v>
      </c>
      <c r="C218" s="424"/>
      <c r="D218" s="424"/>
      <c r="E218" s="424"/>
      <c r="F218" s="343">
        <f>F216</f>
        <v>6</v>
      </c>
      <c r="G218" s="424"/>
      <c r="H218" s="424"/>
      <c r="I218" s="424"/>
      <c r="J218" s="424"/>
      <c r="K218" s="424"/>
      <c r="L218" s="424"/>
      <c r="M218" s="424"/>
      <c r="N218" s="424">
        <f t="shared" si="5"/>
        <v>6</v>
      </c>
      <c r="O218" s="349" t="s">
        <v>124</v>
      </c>
      <c r="P218" s="784">
        <f t="shared" si="6"/>
        <v>6</v>
      </c>
      <c r="Q218" s="398"/>
      <c r="R218" s="779"/>
      <c r="S218" s="398"/>
      <c r="T218" s="398"/>
      <c r="U218" s="398"/>
      <c r="V218" s="738"/>
      <c r="W218" s="738"/>
      <c r="X218" s="738"/>
    </row>
    <row r="219" spans="1:24" ht="15.75" customHeight="1">
      <c r="A219" s="350">
        <f>A218+1</f>
        <v>5</v>
      </c>
      <c r="B219" s="351" t="s">
        <v>547</v>
      </c>
      <c r="C219" s="424"/>
      <c r="D219" s="424"/>
      <c r="E219" s="424"/>
      <c r="F219" s="343">
        <f>F215</f>
        <v>9</v>
      </c>
      <c r="G219" s="424"/>
      <c r="H219" s="424"/>
      <c r="I219" s="424"/>
      <c r="J219" s="424"/>
      <c r="K219" s="424"/>
      <c r="L219" s="424"/>
      <c r="M219" s="424"/>
      <c r="N219" s="424">
        <f t="shared" si="5"/>
        <v>9</v>
      </c>
      <c r="O219" s="349" t="s">
        <v>124</v>
      </c>
      <c r="P219" s="784">
        <f t="shared" si="6"/>
        <v>9</v>
      </c>
      <c r="Q219" s="398"/>
      <c r="R219" s="779"/>
      <c r="S219" s="398"/>
      <c r="T219" s="398"/>
      <c r="U219" s="398"/>
      <c r="V219" s="738"/>
      <c r="W219" s="738"/>
      <c r="X219" s="738"/>
    </row>
    <row r="220" spans="1:24" ht="15.75" customHeight="1">
      <c r="A220" s="350">
        <f>A219+1</f>
        <v>6</v>
      </c>
      <c r="B220" s="409" t="s">
        <v>1598</v>
      </c>
      <c r="C220" s="424"/>
      <c r="D220" s="424"/>
      <c r="E220" s="424"/>
      <c r="F220" s="343">
        <v>1</v>
      </c>
      <c r="G220" s="424"/>
      <c r="H220" s="424"/>
      <c r="I220" s="424"/>
      <c r="J220" s="424"/>
      <c r="K220" s="424"/>
      <c r="L220" s="424"/>
      <c r="M220" s="424"/>
      <c r="N220" s="424">
        <f t="shared" si="5"/>
        <v>1</v>
      </c>
      <c r="O220" s="349" t="s">
        <v>124</v>
      </c>
      <c r="P220" s="793">
        <f t="shared" si="6"/>
        <v>1</v>
      </c>
      <c r="Q220" s="398"/>
      <c r="R220" s="779"/>
      <c r="S220" s="398"/>
      <c r="T220" s="398"/>
      <c r="U220" s="398"/>
      <c r="V220" s="738"/>
      <c r="W220" s="738"/>
      <c r="X220" s="738"/>
    </row>
    <row r="221" spans="1:24" ht="7.5" customHeight="1">
      <c r="A221" s="601"/>
      <c r="B221" s="602"/>
      <c r="C221" s="778"/>
      <c r="D221" s="778"/>
      <c r="E221" s="778"/>
      <c r="F221" s="778"/>
      <c r="G221" s="778"/>
      <c r="H221" s="778"/>
      <c r="I221" s="778"/>
      <c r="J221" s="778"/>
      <c r="K221" s="778"/>
      <c r="L221" s="778"/>
      <c r="M221" s="778"/>
      <c r="N221" s="778"/>
      <c r="O221" s="604"/>
      <c r="P221" s="605"/>
      <c r="Q221" s="398"/>
      <c r="R221" s="398"/>
      <c r="S221" s="398"/>
      <c r="T221" s="398"/>
      <c r="U221" s="398"/>
      <c r="V221" s="738"/>
      <c r="W221" s="738"/>
      <c r="X221" s="738"/>
    </row>
    <row r="222" spans="1:24" ht="15.75" customHeight="1">
      <c r="A222" s="606"/>
      <c r="B222" s="398"/>
      <c r="C222" s="779"/>
      <c r="D222" s="779"/>
      <c r="E222" s="779"/>
      <c r="F222" s="779"/>
      <c r="G222" s="779"/>
      <c r="H222" s="779"/>
      <c r="I222" s="779"/>
      <c r="J222" s="779"/>
      <c r="K222" s="779"/>
      <c r="L222" s="779"/>
      <c r="M222" s="779"/>
      <c r="N222" s="779"/>
      <c r="O222" s="606"/>
      <c r="P222" s="606"/>
      <c r="Q222" s="398"/>
      <c r="R222" s="398"/>
      <c r="S222" s="398"/>
      <c r="T222" s="398"/>
      <c r="U222" s="398"/>
      <c r="V222" s="738"/>
      <c r="W222" s="738"/>
      <c r="X222" s="738"/>
    </row>
    <row r="223" spans="1:24" ht="15.75" customHeight="1">
      <c r="A223" s="606"/>
      <c r="B223" s="398"/>
      <c r="C223" s="779"/>
      <c r="D223" s="779"/>
      <c r="E223" s="779"/>
      <c r="F223" s="779"/>
      <c r="G223" s="779"/>
      <c r="H223" s="779"/>
      <c r="I223" s="779"/>
      <c r="J223" s="779"/>
      <c r="K223" s="779"/>
      <c r="L223" s="779"/>
      <c r="M223" s="779"/>
      <c r="N223" s="779"/>
      <c r="O223" s="606"/>
      <c r="P223" s="606"/>
      <c r="Q223" s="398"/>
      <c r="R223" s="398"/>
      <c r="S223" s="398"/>
      <c r="T223" s="398"/>
      <c r="U223" s="398"/>
      <c r="V223" s="738"/>
      <c r="W223" s="738"/>
      <c r="X223" s="738"/>
    </row>
    <row r="224" spans="1:24" ht="15.75" customHeight="1">
      <c r="A224" s="606"/>
      <c r="B224" s="398"/>
      <c r="C224" s="779"/>
      <c r="D224" s="779"/>
      <c r="E224" s="779"/>
      <c r="F224" s="779"/>
      <c r="G224" s="779"/>
      <c r="H224" s="779"/>
      <c r="I224" s="779"/>
      <c r="J224" s="779"/>
      <c r="K224" s="779"/>
      <c r="L224" s="779"/>
      <c r="M224" s="779"/>
      <c r="N224" s="779"/>
      <c r="O224" s="606"/>
      <c r="P224" s="606"/>
      <c r="Q224" s="398"/>
      <c r="R224" s="398"/>
      <c r="S224" s="398"/>
      <c r="T224" s="398"/>
      <c r="U224" s="398"/>
      <c r="V224" s="738"/>
      <c r="W224" s="738"/>
      <c r="X224" s="738"/>
    </row>
    <row r="225" spans="1:24" ht="15.75" customHeight="1">
      <c r="A225" s="606"/>
      <c r="B225" s="398"/>
      <c r="C225" s="779"/>
      <c r="D225" s="779"/>
      <c r="E225" s="779"/>
      <c r="F225" s="779"/>
      <c r="G225" s="779"/>
      <c r="H225" s="779"/>
      <c r="I225" s="779"/>
      <c r="J225" s="779"/>
      <c r="K225" s="779"/>
      <c r="L225" s="779"/>
      <c r="M225" s="779"/>
      <c r="N225" s="779"/>
      <c r="O225" s="606"/>
      <c r="P225" s="606"/>
      <c r="Q225" s="398"/>
      <c r="R225" s="398"/>
      <c r="S225" s="398"/>
      <c r="T225" s="398"/>
      <c r="U225" s="398"/>
      <c r="V225" s="738"/>
      <c r="W225" s="738"/>
      <c r="X225" s="738"/>
    </row>
    <row r="226" spans="1:24" ht="15.75" customHeight="1">
      <c r="A226" s="398"/>
      <c r="B226" s="398"/>
      <c r="C226" s="779"/>
      <c r="D226" s="779"/>
      <c r="E226" s="779"/>
      <c r="F226" s="779"/>
      <c r="G226" s="779"/>
      <c r="H226" s="779"/>
      <c r="I226" s="779"/>
      <c r="J226" s="779"/>
      <c r="K226" s="779"/>
      <c r="L226" s="779"/>
      <c r="M226" s="779"/>
      <c r="N226" s="779"/>
      <c r="O226" s="606"/>
      <c r="P226" s="606"/>
      <c r="Q226" s="398"/>
      <c r="R226" s="398"/>
      <c r="S226" s="398"/>
      <c r="T226" s="398"/>
      <c r="U226" s="398"/>
      <c r="V226" s="738"/>
      <c r="W226" s="738"/>
      <c r="X226" s="738"/>
    </row>
    <row r="227" spans="1:24" ht="15.75" customHeight="1">
      <c r="A227" s="398"/>
      <c r="B227" s="398"/>
      <c r="C227" s="779"/>
      <c r="D227" s="779"/>
      <c r="E227" s="779"/>
      <c r="F227" s="779"/>
      <c r="G227" s="779"/>
      <c r="H227" s="779"/>
      <c r="I227" s="779"/>
      <c r="J227" s="779"/>
      <c r="K227" s="779"/>
      <c r="L227" s="779"/>
      <c r="M227" s="779"/>
      <c r="N227" s="779"/>
      <c r="O227" s="606"/>
      <c r="P227" s="606"/>
      <c r="Q227" s="398"/>
      <c r="R227" s="398"/>
      <c r="S227" s="398"/>
      <c r="T227" s="398"/>
      <c r="U227" s="398"/>
      <c r="V227" s="738"/>
      <c r="W227" s="738"/>
      <c r="X227" s="738"/>
    </row>
    <row r="228" spans="1:24" ht="15.75" customHeight="1">
      <c r="A228" s="398"/>
      <c r="B228" s="398"/>
      <c r="C228" s="779"/>
      <c r="D228" s="779"/>
      <c r="E228" s="779"/>
      <c r="F228" s="779"/>
      <c r="G228" s="779"/>
      <c r="H228" s="779"/>
      <c r="I228" s="779"/>
      <c r="J228" s="779"/>
      <c r="K228" s="779"/>
      <c r="L228" s="779"/>
      <c r="M228" s="779"/>
      <c r="N228" s="779"/>
      <c r="O228" s="606"/>
      <c r="P228" s="606"/>
      <c r="Q228" s="398"/>
      <c r="R228" s="398"/>
      <c r="S228" s="398"/>
      <c r="T228" s="398"/>
      <c r="U228" s="398"/>
      <c r="V228" s="738"/>
      <c r="W228" s="738"/>
      <c r="X228" s="738"/>
    </row>
    <row r="229" spans="1:24" ht="15.75" customHeight="1">
      <c r="A229" s="398"/>
      <c r="B229" s="398"/>
      <c r="C229" s="779"/>
      <c r="D229" s="779"/>
      <c r="E229" s="779"/>
      <c r="F229" s="779"/>
      <c r="G229" s="779"/>
      <c r="H229" s="779"/>
      <c r="I229" s="779"/>
      <c r="J229" s="779"/>
      <c r="K229" s="779"/>
      <c r="L229" s="779"/>
      <c r="M229" s="779"/>
      <c r="N229" s="779"/>
      <c r="O229" s="606"/>
      <c r="P229" s="606"/>
      <c r="Q229" s="398"/>
      <c r="R229" s="398"/>
      <c r="S229" s="398"/>
      <c r="T229" s="398"/>
      <c r="U229" s="398"/>
      <c r="V229" s="738"/>
      <c r="W229" s="738"/>
      <c r="X229" s="738"/>
    </row>
    <row r="230" spans="1:24" ht="15.75" customHeight="1">
      <c r="A230" s="398"/>
      <c r="B230" s="398"/>
      <c r="C230" s="779"/>
      <c r="D230" s="779"/>
      <c r="E230" s="779"/>
      <c r="F230" s="779"/>
      <c r="G230" s="779"/>
      <c r="H230" s="779"/>
      <c r="I230" s="779"/>
      <c r="J230" s="779"/>
      <c r="K230" s="779"/>
      <c r="L230" s="779"/>
      <c r="M230" s="779"/>
      <c r="N230" s="779"/>
      <c r="O230" s="606"/>
      <c r="P230" s="606"/>
      <c r="Q230" s="398"/>
      <c r="R230" s="398"/>
      <c r="S230" s="398"/>
      <c r="T230" s="398"/>
      <c r="U230" s="398"/>
      <c r="V230" s="738"/>
      <c r="W230" s="738"/>
      <c r="X230" s="738"/>
    </row>
    <row r="231" spans="1:24" ht="15.75" customHeight="1">
      <c r="A231" s="398"/>
      <c r="B231" s="398"/>
      <c r="C231" s="779"/>
      <c r="D231" s="779"/>
      <c r="E231" s="779"/>
      <c r="F231" s="779"/>
      <c r="G231" s="779"/>
      <c r="H231" s="779"/>
      <c r="I231" s="779"/>
      <c r="J231" s="779"/>
      <c r="K231" s="779"/>
      <c r="L231" s="779"/>
      <c r="M231" s="779"/>
      <c r="N231" s="779"/>
      <c r="O231" s="606"/>
      <c r="P231" s="606"/>
      <c r="Q231" s="398"/>
      <c r="R231" s="398"/>
      <c r="S231" s="398"/>
      <c r="T231" s="398"/>
      <c r="U231" s="398"/>
      <c r="V231" s="738"/>
      <c r="W231" s="738"/>
      <c r="X231" s="738"/>
    </row>
    <row r="232" spans="1:24" ht="15.75" customHeight="1">
      <c r="A232" s="398"/>
      <c r="B232" s="398"/>
      <c r="C232" s="779"/>
      <c r="D232" s="779"/>
      <c r="E232" s="779"/>
      <c r="F232" s="779"/>
      <c r="G232" s="779"/>
      <c r="H232" s="779"/>
      <c r="I232" s="779"/>
      <c r="J232" s="779"/>
      <c r="K232" s="779"/>
      <c r="L232" s="779"/>
      <c r="M232" s="779"/>
      <c r="N232" s="779"/>
      <c r="O232" s="606"/>
      <c r="P232" s="606"/>
      <c r="Q232" s="398"/>
      <c r="R232" s="398"/>
      <c r="S232" s="398"/>
      <c r="T232" s="398"/>
      <c r="U232" s="398"/>
      <c r="V232" s="738"/>
      <c r="W232" s="738"/>
      <c r="X232" s="738"/>
    </row>
    <row r="233" spans="1:24" ht="15.75" customHeight="1">
      <c r="A233" s="398"/>
      <c r="B233" s="398"/>
      <c r="C233" s="779"/>
      <c r="D233" s="779"/>
      <c r="E233" s="779"/>
      <c r="F233" s="779"/>
      <c r="G233" s="779"/>
      <c r="H233" s="779"/>
      <c r="I233" s="779"/>
      <c r="J233" s="779"/>
      <c r="K233" s="779"/>
      <c r="L233" s="779"/>
      <c r="M233" s="779"/>
      <c r="N233" s="779"/>
      <c r="O233" s="606"/>
      <c r="P233" s="606"/>
      <c r="Q233" s="398"/>
      <c r="R233" s="398"/>
      <c r="S233" s="398"/>
      <c r="T233" s="398"/>
      <c r="U233" s="398"/>
      <c r="V233" s="738"/>
      <c r="W233" s="738"/>
      <c r="X233" s="738"/>
    </row>
    <row r="234" spans="1:24" ht="15.75" customHeight="1">
      <c r="A234" s="398"/>
      <c r="B234" s="398"/>
      <c r="C234" s="779"/>
      <c r="D234" s="779"/>
      <c r="E234" s="779"/>
      <c r="F234" s="779"/>
      <c r="G234" s="779"/>
      <c r="H234" s="779"/>
      <c r="I234" s="779"/>
      <c r="J234" s="779"/>
      <c r="K234" s="779"/>
      <c r="L234" s="779"/>
      <c r="M234" s="779"/>
      <c r="N234" s="779"/>
      <c r="O234" s="606"/>
      <c r="P234" s="606"/>
      <c r="Q234" s="398"/>
      <c r="R234" s="398"/>
      <c r="S234" s="398"/>
      <c r="T234" s="398"/>
      <c r="U234" s="398"/>
      <c r="V234" s="738"/>
      <c r="W234" s="738"/>
      <c r="X234" s="738"/>
    </row>
    <row r="235" spans="1:24" ht="15.75" customHeight="1">
      <c r="A235" s="398"/>
      <c r="B235" s="398"/>
      <c r="C235" s="779"/>
      <c r="D235" s="779"/>
      <c r="E235" s="779"/>
      <c r="F235" s="779"/>
      <c r="G235" s="779"/>
      <c r="H235" s="779"/>
      <c r="I235" s="779"/>
      <c r="J235" s="779"/>
      <c r="K235" s="779"/>
      <c r="L235" s="779"/>
      <c r="M235" s="779"/>
      <c r="N235" s="779"/>
      <c r="O235" s="606"/>
      <c r="P235" s="606"/>
      <c r="Q235" s="398"/>
      <c r="R235" s="398"/>
      <c r="S235" s="398"/>
      <c r="T235" s="398"/>
      <c r="U235" s="398"/>
      <c r="V235" s="738"/>
      <c r="W235" s="738"/>
      <c r="X235" s="738"/>
    </row>
    <row r="236" spans="1:24" ht="15.75" customHeight="1">
      <c r="A236" s="398"/>
      <c r="B236" s="398"/>
      <c r="C236" s="779"/>
      <c r="D236" s="779"/>
      <c r="E236" s="779"/>
      <c r="F236" s="779"/>
      <c r="G236" s="779"/>
      <c r="H236" s="779"/>
      <c r="I236" s="779"/>
      <c r="J236" s="779"/>
      <c r="K236" s="779"/>
      <c r="L236" s="779"/>
      <c r="M236" s="779"/>
      <c r="N236" s="779"/>
      <c r="O236" s="606"/>
      <c r="P236" s="606"/>
      <c r="Q236" s="398"/>
      <c r="R236" s="398"/>
      <c r="S236" s="398"/>
      <c r="T236" s="398"/>
      <c r="U236" s="398"/>
      <c r="V236" s="738"/>
      <c r="W236" s="738"/>
      <c r="X236" s="738"/>
    </row>
    <row r="237" spans="1:24" ht="15.75" customHeight="1">
      <c r="A237" s="398"/>
      <c r="B237" s="398"/>
      <c r="C237" s="779"/>
      <c r="D237" s="779"/>
      <c r="E237" s="779"/>
      <c r="F237" s="779"/>
      <c r="G237" s="779"/>
      <c r="H237" s="779"/>
      <c r="I237" s="779"/>
      <c r="J237" s="779"/>
      <c r="K237" s="779"/>
      <c r="L237" s="779"/>
      <c r="M237" s="779"/>
      <c r="N237" s="779"/>
      <c r="O237" s="606"/>
      <c r="P237" s="606"/>
      <c r="Q237" s="398"/>
      <c r="R237" s="398"/>
      <c r="S237" s="398"/>
      <c r="T237" s="398"/>
      <c r="U237" s="398"/>
      <c r="V237" s="738"/>
      <c r="W237" s="738"/>
      <c r="X237" s="738"/>
    </row>
    <row r="238" spans="1:24" ht="15.75" customHeight="1">
      <c r="A238" s="398"/>
      <c r="B238" s="398"/>
      <c r="C238" s="779"/>
      <c r="D238" s="779"/>
      <c r="E238" s="779"/>
      <c r="F238" s="779"/>
      <c r="G238" s="779"/>
      <c r="H238" s="779"/>
      <c r="I238" s="779"/>
      <c r="J238" s="779"/>
      <c r="K238" s="779"/>
      <c r="L238" s="779"/>
      <c r="M238" s="779"/>
      <c r="N238" s="779"/>
      <c r="O238" s="606"/>
      <c r="P238" s="606"/>
      <c r="Q238" s="398"/>
      <c r="R238" s="398"/>
      <c r="S238" s="398"/>
      <c r="T238" s="398"/>
      <c r="U238" s="398"/>
      <c r="V238" s="738"/>
      <c r="W238" s="738"/>
      <c r="X238" s="738"/>
    </row>
    <row r="239" spans="1:24" ht="15.75" customHeight="1">
      <c r="A239" s="398"/>
      <c r="B239" s="398"/>
      <c r="C239" s="779"/>
      <c r="D239" s="779"/>
      <c r="E239" s="779"/>
      <c r="F239" s="779"/>
      <c r="G239" s="779"/>
      <c r="H239" s="779"/>
      <c r="I239" s="779"/>
      <c r="J239" s="779"/>
      <c r="K239" s="779"/>
      <c r="L239" s="779"/>
      <c r="M239" s="779"/>
      <c r="N239" s="779"/>
      <c r="O239" s="606"/>
      <c r="P239" s="606"/>
      <c r="Q239" s="398"/>
      <c r="R239" s="398"/>
      <c r="S239" s="398"/>
      <c r="T239" s="398"/>
      <c r="U239" s="398"/>
      <c r="V239" s="738"/>
      <c r="W239" s="738"/>
      <c r="X239" s="738"/>
    </row>
    <row r="240" spans="1:24" ht="15.75" customHeight="1">
      <c r="A240" s="398"/>
      <c r="B240" s="398"/>
      <c r="C240" s="779"/>
      <c r="D240" s="779"/>
      <c r="E240" s="779"/>
      <c r="F240" s="779"/>
      <c r="G240" s="779"/>
      <c r="H240" s="779"/>
      <c r="I240" s="779"/>
      <c r="J240" s="779"/>
      <c r="K240" s="779"/>
      <c r="L240" s="779"/>
      <c r="M240" s="779"/>
      <c r="N240" s="779"/>
      <c r="O240" s="606"/>
      <c r="P240" s="606"/>
      <c r="Q240" s="398"/>
      <c r="R240" s="398"/>
      <c r="S240" s="398"/>
      <c r="T240" s="398"/>
      <c r="U240" s="398"/>
      <c r="V240" s="738"/>
      <c r="W240" s="738"/>
      <c r="X240" s="738"/>
    </row>
    <row r="241" spans="1:24" ht="15.75" customHeight="1">
      <c r="A241" s="398"/>
      <c r="B241" s="398"/>
      <c r="C241" s="779"/>
      <c r="D241" s="779"/>
      <c r="E241" s="779"/>
      <c r="F241" s="779"/>
      <c r="G241" s="779"/>
      <c r="H241" s="779"/>
      <c r="I241" s="779"/>
      <c r="J241" s="779"/>
      <c r="K241" s="779"/>
      <c r="L241" s="779"/>
      <c r="M241" s="779"/>
      <c r="N241" s="779"/>
      <c r="O241" s="606"/>
      <c r="P241" s="606"/>
      <c r="Q241" s="398"/>
      <c r="R241" s="398"/>
      <c r="S241" s="398"/>
      <c r="T241" s="398"/>
      <c r="U241" s="398"/>
      <c r="V241" s="738"/>
      <c r="W241" s="738"/>
      <c r="X241" s="738"/>
    </row>
    <row r="242" spans="1:24" ht="15.75" customHeight="1">
      <c r="A242" s="398"/>
      <c r="B242" s="398"/>
      <c r="C242" s="779"/>
      <c r="D242" s="779"/>
      <c r="E242" s="779"/>
      <c r="F242" s="779"/>
      <c r="G242" s="779"/>
      <c r="H242" s="779"/>
      <c r="I242" s="779"/>
      <c r="J242" s="779"/>
      <c r="K242" s="779"/>
      <c r="L242" s="779"/>
      <c r="M242" s="779"/>
      <c r="N242" s="779"/>
      <c r="O242" s="606"/>
      <c r="P242" s="606"/>
      <c r="Q242" s="398"/>
      <c r="R242" s="398"/>
      <c r="S242" s="398"/>
      <c r="T242" s="398"/>
      <c r="U242" s="398"/>
      <c r="V242" s="738"/>
      <c r="W242" s="738"/>
      <c r="X242" s="738"/>
    </row>
    <row r="243" spans="1:24" ht="15.75" customHeight="1">
      <c r="A243" s="398"/>
      <c r="B243" s="398"/>
      <c r="C243" s="779"/>
      <c r="D243" s="779"/>
      <c r="E243" s="779"/>
      <c r="F243" s="779"/>
      <c r="G243" s="779"/>
      <c r="H243" s="779"/>
      <c r="I243" s="779"/>
      <c r="J243" s="779"/>
      <c r="K243" s="779"/>
      <c r="L243" s="779"/>
      <c r="M243" s="779"/>
      <c r="N243" s="779"/>
      <c r="O243" s="606"/>
      <c r="P243" s="606"/>
      <c r="Q243" s="398"/>
      <c r="R243" s="398"/>
      <c r="S243" s="398"/>
      <c r="T243" s="398"/>
      <c r="U243" s="398"/>
      <c r="V243" s="738"/>
      <c r="W243" s="738"/>
      <c r="X243" s="738"/>
    </row>
    <row r="244" spans="1:24" ht="15.75" customHeight="1">
      <c r="A244" s="398"/>
      <c r="B244" s="398"/>
      <c r="C244" s="779"/>
      <c r="D244" s="779"/>
      <c r="E244" s="779"/>
      <c r="F244" s="779"/>
      <c r="G244" s="779"/>
      <c r="H244" s="779"/>
      <c r="I244" s="779"/>
      <c r="J244" s="779"/>
      <c r="K244" s="779"/>
      <c r="L244" s="779"/>
      <c r="M244" s="779"/>
      <c r="N244" s="779"/>
      <c r="O244" s="606"/>
      <c r="P244" s="606"/>
      <c r="Q244" s="398"/>
      <c r="R244" s="398"/>
      <c r="S244" s="398"/>
      <c r="T244" s="398"/>
      <c r="U244" s="398"/>
      <c r="V244" s="738"/>
      <c r="W244" s="738"/>
      <c r="X244" s="738"/>
    </row>
    <row r="245" spans="1:24" ht="15.75" customHeight="1">
      <c r="A245" s="398"/>
      <c r="B245" s="398"/>
      <c r="C245" s="779"/>
      <c r="D245" s="779"/>
      <c r="E245" s="779"/>
      <c r="F245" s="779"/>
      <c r="G245" s="779"/>
      <c r="H245" s="779"/>
      <c r="I245" s="779"/>
      <c r="J245" s="779"/>
      <c r="K245" s="779"/>
      <c r="L245" s="779"/>
      <c r="M245" s="779"/>
      <c r="N245" s="779"/>
      <c r="O245" s="606"/>
      <c r="P245" s="606"/>
      <c r="Q245" s="398"/>
      <c r="R245" s="398"/>
      <c r="S245" s="398"/>
      <c r="T245" s="398"/>
      <c r="U245" s="398"/>
      <c r="V245" s="738"/>
      <c r="W245" s="738"/>
      <c r="X245" s="738"/>
    </row>
    <row r="246" spans="1:24" ht="15.75" customHeight="1">
      <c r="A246" s="398"/>
      <c r="B246" s="398"/>
      <c r="C246" s="779"/>
      <c r="D246" s="779"/>
      <c r="E246" s="779"/>
      <c r="F246" s="779"/>
      <c r="G246" s="779"/>
      <c r="H246" s="779"/>
      <c r="I246" s="779"/>
      <c r="J246" s="779"/>
      <c r="K246" s="779"/>
      <c r="L246" s="779"/>
      <c r="M246" s="779"/>
      <c r="N246" s="779"/>
      <c r="O246" s="606"/>
      <c r="P246" s="606"/>
      <c r="Q246" s="398"/>
      <c r="R246" s="398"/>
      <c r="S246" s="398"/>
      <c r="T246" s="398"/>
      <c r="U246" s="398"/>
      <c r="V246" s="738"/>
      <c r="W246" s="738"/>
      <c r="X246" s="738"/>
    </row>
    <row r="247" spans="1:24" ht="15.75" customHeight="1">
      <c r="A247" s="398"/>
      <c r="B247" s="398"/>
      <c r="C247" s="779"/>
      <c r="D247" s="779"/>
      <c r="E247" s="779"/>
      <c r="F247" s="779"/>
      <c r="G247" s="779"/>
      <c r="H247" s="779"/>
      <c r="I247" s="779"/>
      <c r="J247" s="779"/>
      <c r="K247" s="779"/>
      <c r="L247" s="779"/>
      <c r="M247" s="779"/>
      <c r="N247" s="779"/>
      <c r="O247" s="606"/>
      <c r="P247" s="606"/>
      <c r="Q247" s="398"/>
      <c r="R247" s="398"/>
      <c r="S247" s="398"/>
      <c r="T247" s="398"/>
      <c r="U247" s="398"/>
      <c r="V247" s="738"/>
      <c r="W247" s="738"/>
      <c r="X247" s="738"/>
    </row>
    <row r="248" spans="1:24" ht="15.75" customHeight="1">
      <c r="A248" s="398"/>
      <c r="B248" s="398"/>
      <c r="C248" s="779"/>
      <c r="D248" s="779"/>
      <c r="E248" s="779"/>
      <c r="F248" s="779"/>
      <c r="G248" s="779"/>
      <c r="H248" s="779"/>
      <c r="I248" s="779"/>
      <c r="J248" s="779"/>
      <c r="K248" s="779"/>
      <c r="L248" s="779"/>
      <c r="M248" s="779"/>
      <c r="N248" s="779"/>
      <c r="O248" s="606"/>
      <c r="P248" s="606"/>
      <c r="Q248" s="398"/>
      <c r="R248" s="398"/>
      <c r="S248" s="398"/>
      <c r="T248" s="398"/>
      <c r="U248" s="398"/>
      <c r="V248" s="738"/>
      <c r="W248" s="738"/>
      <c r="X248" s="738"/>
    </row>
    <row r="249" spans="1:24" ht="15.75" customHeight="1">
      <c r="A249" s="398"/>
      <c r="B249" s="398"/>
      <c r="C249" s="779"/>
      <c r="D249" s="779"/>
      <c r="E249" s="779"/>
      <c r="F249" s="779"/>
      <c r="G249" s="779"/>
      <c r="H249" s="779"/>
      <c r="I249" s="779"/>
      <c r="J249" s="779"/>
      <c r="K249" s="779"/>
      <c r="L249" s="779"/>
      <c r="M249" s="779"/>
      <c r="N249" s="779"/>
      <c r="O249" s="606"/>
      <c r="P249" s="606"/>
      <c r="Q249" s="398"/>
      <c r="R249" s="398"/>
      <c r="S249" s="398"/>
      <c r="T249" s="398"/>
      <c r="U249" s="398"/>
      <c r="V249" s="738"/>
      <c r="W249" s="738"/>
      <c r="X249" s="738"/>
    </row>
    <row r="250" spans="1:24" ht="15.75" customHeight="1">
      <c r="A250" s="398"/>
      <c r="B250" s="398"/>
      <c r="C250" s="779"/>
      <c r="D250" s="779"/>
      <c r="E250" s="779"/>
      <c r="F250" s="779"/>
      <c r="G250" s="779"/>
      <c r="H250" s="779"/>
      <c r="I250" s="779"/>
      <c r="J250" s="779"/>
      <c r="K250" s="779"/>
      <c r="L250" s="779"/>
      <c r="M250" s="779"/>
      <c r="N250" s="779"/>
      <c r="O250" s="606"/>
      <c r="P250" s="606"/>
      <c r="Q250" s="398"/>
      <c r="R250" s="398"/>
      <c r="S250" s="398"/>
      <c r="T250" s="398"/>
      <c r="U250" s="398"/>
      <c r="V250" s="738"/>
      <c r="W250" s="738"/>
      <c r="X250" s="738"/>
    </row>
    <row r="251" spans="1:24" ht="15.75" customHeight="1">
      <c r="A251" s="398"/>
      <c r="B251" s="398"/>
      <c r="C251" s="779"/>
      <c r="D251" s="779"/>
      <c r="E251" s="779"/>
      <c r="F251" s="779"/>
      <c r="G251" s="779"/>
      <c r="H251" s="779"/>
      <c r="I251" s="779"/>
      <c r="J251" s="779"/>
      <c r="K251" s="779"/>
      <c r="L251" s="779"/>
      <c r="M251" s="779"/>
      <c r="N251" s="779"/>
      <c r="O251" s="606"/>
      <c r="P251" s="606"/>
      <c r="Q251" s="398"/>
      <c r="R251" s="398"/>
      <c r="S251" s="398"/>
      <c r="T251" s="398"/>
      <c r="U251" s="398"/>
      <c r="V251" s="738"/>
      <c r="W251" s="738"/>
      <c r="X251" s="738"/>
    </row>
    <row r="252" spans="1:24" ht="15.75" customHeight="1">
      <c r="A252" s="398"/>
      <c r="B252" s="398"/>
      <c r="C252" s="779"/>
      <c r="D252" s="779"/>
      <c r="E252" s="779"/>
      <c r="F252" s="779"/>
      <c r="G252" s="779"/>
      <c r="H252" s="779"/>
      <c r="I252" s="779"/>
      <c r="J252" s="779"/>
      <c r="K252" s="779"/>
      <c r="L252" s="779"/>
      <c r="M252" s="779"/>
      <c r="N252" s="779"/>
      <c r="O252" s="606"/>
      <c r="P252" s="606"/>
      <c r="Q252" s="398"/>
      <c r="R252" s="398"/>
      <c r="S252" s="398"/>
      <c r="T252" s="398"/>
      <c r="U252" s="398"/>
      <c r="V252" s="738"/>
      <c r="W252" s="738"/>
      <c r="X252" s="738"/>
    </row>
    <row r="253" spans="1:24" ht="15.75" customHeight="1">
      <c r="A253" s="398"/>
      <c r="B253" s="398"/>
      <c r="C253" s="779"/>
      <c r="D253" s="779"/>
      <c r="E253" s="779"/>
      <c r="F253" s="779"/>
      <c r="G253" s="779"/>
      <c r="H253" s="779"/>
      <c r="I253" s="779"/>
      <c r="J253" s="779"/>
      <c r="K253" s="779"/>
      <c r="L253" s="779"/>
      <c r="M253" s="779"/>
      <c r="N253" s="779"/>
      <c r="O253" s="606"/>
      <c r="P253" s="606"/>
      <c r="Q253" s="398"/>
      <c r="R253" s="398"/>
      <c r="S253" s="398"/>
      <c r="T253" s="398"/>
      <c r="U253" s="398"/>
      <c r="V253" s="738"/>
      <c r="W253" s="738"/>
      <c r="X253" s="738"/>
    </row>
    <row r="254" spans="1:24" ht="15.75" customHeight="1">
      <c r="A254" s="398"/>
      <c r="B254" s="398"/>
      <c r="C254" s="779"/>
      <c r="D254" s="779"/>
      <c r="E254" s="779"/>
      <c r="F254" s="779"/>
      <c r="G254" s="779"/>
      <c r="H254" s="779"/>
      <c r="I254" s="779"/>
      <c r="J254" s="779"/>
      <c r="K254" s="779"/>
      <c r="L254" s="779"/>
      <c r="M254" s="779"/>
      <c r="N254" s="779"/>
      <c r="O254" s="606"/>
      <c r="P254" s="606"/>
      <c r="Q254" s="398"/>
      <c r="R254" s="398"/>
      <c r="S254" s="398"/>
      <c r="T254" s="398"/>
      <c r="U254" s="398"/>
      <c r="V254" s="738"/>
      <c r="W254" s="738"/>
      <c r="X254" s="738"/>
    </row>
    <row r="255" spans="1:24" ht="15.75" customHeight="1">
      <c r="A255" s="398"/>
      <c r="B255" s="398"/>
      <c r="C255" s="779"/>
      <c r="D255" s="779"/>
      <c r="E255" s="779"/>
      <c r="F255" s="779"/>
      <c r="G255" s="779"/>
      <c r="H255" s="779"/>
      <c r="I255" s="779"/>
      <c r="J255" s="779"/>
      <c r="K255" s="779"/>
      <c r="L255" s="779"/>
      <c r="M255" s="779"/>
      <c r="N255" s="779"/>
      <c r="O255" s="606"/>
      <c r="P255" s="606"/>
      <c r="Q255" s="398"/>
      <c r="R255" s="398"/>
      <c r="S255" s="398"/>
      <c r="T255" s="398"/>
      <c r="U255" s="398"/>
      <c r="V255" s="738"/>
      <c r="W255" s="738"/>
      <c r="X255" s="738"/>
    </row>
    <row r="256" spans="1:24" ht="15.75" customHeight="1">
      <c r="A256" s="398"/>
      <c r="B256" s="398"/>
      <c r="C256" s="779"/>
      <c r="D256" s="779"/>
      <c r="E256" s="779"/>
      <c r="F256" s="779"/>
      <c r="G256" s="779"/>
      <c r="H256" s="779"/>
      <c r="I256" s="779"/>
      <c r="J256" s="779"/>
      <c r="K256" s="779"/>
      <c r="L256" s="779"/>
      <c r="M256" s="779"/>
      <c r="N256" s="779"/>
      <c r="O256" s="606"/>
      <c r="P256" s="606"/>
      <c r="Q256" s="398"/>
      <c r="R256" s="398"/>
      <c r="S256" s="398"/>
      <c r="T256" s="398"/>
      <c r="U256" s="398"/>
      <c r="V256" s="738"/>
      <c r="W256" s="738"/>
      <c r="X256" s="738"/>
    </row>
    <row r="257" spans="1:24" ht="15.75" customHeight="1">
      <c r="A257" s="398"/>
      <c r="B257" s="398"/>
      <c r="C257" s="779"/>
      <c r="D257" s="779"/>
      <c r="E257" s="779"/>
      <c r="F257" s="779"/>
      <c r="G257" s="779"/>
      <c r="H257" s="779"/>
      <c r="I257" s="779"/>
      <c r="J257" s="779"/>
      <c r="K257" s="779"/>
      <c r="L257" s="779"/>
      <c r="M257" s="779"/>
      <c r="N257" s="779"/>
      <c r="O257" s="606"/>
      <c r="P257" s="606"/>
      <c r="Q257" s="398"/>
      <c r="R257" s="398"/>
      <c r="S257" s="398"/>
      <c r="T257" s="398"/>
      <c r="U257" s="398"/>
      <c r="V257" s="738"/>
      <c r="W257" s="738"/>
      <c r="X257" s="738"/>
    </row>
    <row r="258" spans="1:24" ht="15.75" customHeight="1">
      <c r="A258" s="398"/>
      <c r="B258" s="398"/>
      <c r="C258" s="779"/>
      <c r="D258" s="779"/>
      <c r="E258" s="779"/>
      <c r="F258" s="779"/>
      <c r="G258" s="779"/>
      <c r="H258" s="779"/>
      <c r="I258" s="779"/>
      <c r="J258" s="779"/>
      <c r="K258" s="779"/>
      <c r="L258" s="779"/>
      <c r="M258" s="779"/>
      <c r="N258" s="779"/>
      <c r="O258" s="606"/>
      <c r="P258" s="606"/>
      <c r="Q258" s="398"/>
      <c r="R258" s="398"/>
      <c r="S258" s="398"/>
      <c r="T258" s="398"/>
      <c r="U258" s="398"/>
      <c r="V258" s="738"/>
      <c r="W258" s="738"/>
      <c r="X258" s="738"/>
    </row>
    <row r="259" spans="1:24" ht="15.75" customHeight="1">
      <c r="A259" s="398"/>
      <c r="B259" s="398"/>
      <c r="C259" s="779"/>
      <c r="D259" s="779"/>
      <c r="E259" s="779"/>
      <c r="F259" s="779"/>
      <c r="G259" s="779"/>
      <c r="H259" s="779"/>
      <c r="I259" s="779"/>
      <c r="J259" s="779"/>
      <c r="K259" s="779"/>
      <c r="L259" s="779"/>
      <c r="M259" s="779"/>
      <c r="N259" s="779"/>
      <c r="O259" s="606"/>
      <c r="P259" s="606"/>
      <c r="Q259" s="398"/>
      <c r="R259" s="398"/>
      <c r="S259" s="398"/>
      <c r="T259" s="398"/>
      <c r="U259" s="398"/>
      <c r="V259" s="738"/>
      <c r="W259" s="738"/>
      <c r="X259" s="738"/>
    </row>
    <row r="260" spans="1:24" ht="15.75" customHeight="1">
      <c r="A260" s="398"/>
      <c r="B260" s="398"/>
      <c r="C260" s="779"/>
      <c r="D260" s="779"/>
      <c r="E260" s="779"/>
      <c r="F260" s="779"/>
      <c r="G260" s="779"/>
      <c r="H260" s="779"/>
      <c r="I260" s="779"/>
      <c r="J260" s="779"/>
      <c r="K260" s="779"/>
      <c r="L260" s="779"/>
      <c r="M260" s="779"/>
      <c r="N260" s="779"/>
      <c r="O260" s="606"/>
      <c r="P260" s="606"/>
      <c r="Q260" s="398"/>
      <c r="R260" s="398"/>
      <c r="S260" s="398"/>
      <c r="T260" s="398"/>
      <c r="U260" s="398"/>
      <c r="V260" s="738"/>
      <c r="W260" s="738"/>
      <c r="X260" s="738"/>
    </row>
    <row r="261" spans="1:24" ht="15.75" customHeight="1">
      <c r="A261" s="398"/>
      <c r="B261" s="398"/>
      <c r="C261" s="779"/>
      <c r="D261" s="779"/>
      <c r="E261" s="779"/>
      <c r="F261" s="779"/>
      <c r="G261" s="779"/>
      <c r="H261" s="779"/>
      <c r="I261" s="779"/>
      <c r="J261" s="779"/>
      <c r="K261" s="779"/>
      <c r="L261" s="779"/>
      <c r="M261" s="779"/>
      <c r="N261" s="779"/>
      <c r="O261" s="606"/>
      <c r="P261" s="606"/>
      <c r="Q261" s="398"/>
      <c r="R261" s="398"/>
      <c r="S261" s="398"/>
      <c r="T261" s="398"/>
      <c r="U261" s="398"/>
      <c r="V261" s="738"/>
      <c r="W261" s="738"/>
      <c r="X261" s="738"/>
    </row>
    <row r="262" spans="1:24" ht="15.75" customHeight="1">
      <c r="A262" s="398"/>
      <c r="B262" s="398"/>
      <c r="C262" s="779"/>
      <c r="D262" s="779"/>
      <c r="E262" s="779"/>
      <c r="F262" s="779"/>
      <c r="G262" s="779"/>
      <c r="H262" s="779"/>
      <c r="I262" s="779"/>
      <c r="J262" s="779"/>
      <c r="K262" s="779"/>
      <c r="L262" s="779"/>
      <c r="M262" s="779"/>
      <c r="N262" s="779"/>
      <c r="O262" s="606"/>
      <c r="P262" s="606"/>
      <c r="Q262" s="398"/>
      <c r="R262" s="398"/>
      <c r="S262" s="398"/>
      <c r="T262" s="398"/>
      <c r="U262" s="398"/>
      <c r="V262" s="738"/>
      <c r="W262" s="738"/>
      <c r="X262" s="738"/>
    </row>
    <row r="263" spans="1:24" ht="15.75" customHeight="1">
      <c r="A263" s="398"/>
      <c r="B263" s="398"/>
      <c r="C263" s="779"/>
      <c r="D263" s="779"/>
      <c r="E263" s="779"/>
      <c r="F263" s="779"/>
      <c r="G263" s="779"/>
      <c r="H263" s="779"/>
      <c r="I263" s="779"/>
      <c r="J263" s="779"/>
      <c r="K263" s="779"/>
      <c r="L263" s="779"/>
      <c r="M263" s="779"/>
      <c r="N263" s="779"/>
      <c r="O263" s="606"/>
      <c r="P263" s="606"/>
      <c r="Q263" s="398"/>
      <c r="R263" s="398"/>
      <c r="S263" s="398"/>
      <c r="T263" s="398"/>
      <c r="U263" s="398"/>
      <c r="V263" s="738"/>
      <c r="W263" s="738"/>
      <c r="X263" s="738"/>
    </row>
    <row r="264" spans="1:24" ht="15.75" customHeight="1">
      <c r="A264" s="398"/>
      <c r="B264" s="398"/>
      <c r="C264" s="779"/>
      <c r="D264" s="779"/>
      <c r="E264" s="779"/>
      <c r="F264" s="779"/>
      <c r="G264" s="779"/>
      <c r="H264" s="779"/>
      <c r="I264" s="779"/>
      <c r="J264" s="779"/>
      <c r="K264" s="779"/>
      <c r="L264" s="779"/>
      <c r="M264" s="779"/>
      <c r="N264" s="779"/>
      <c r="O264" s="606"/>
      <c r="P264" s="606"/>
      <c r="Q264" s="398"/>
      <c r="R264" s="398"/>
      <c r="S264" s="398"/>
      <c r="T264" s="398"/>
      <c r="U264" s="398"/>
      <c r="V264" s="738"/>
      <c r="W264" s="738"/>
      <c r="X264" s="738"/>
    </row>
    <row r="265" spans="1:24" ht="15.75" customHeight="1">
      <c r="A265" s="398"/>
      <c r="B265" s="398"/>
      <c r="C265" s="779"/>
      <c r="D265" s="779"/>
      <c r="E265" s="779"/>
      <c r="F265" s="779"/>
      <c r="G265" s="779"/>
      <c r="H265" s="779"/>
      <c r="I265" s="779"/>
      <c r="J265" s="779"/>
      <c r="K265" s="779"/>
      <c r="L265" s="779"/>
      <c r="M265" s="779"/>
      <c r="N265" s="779"/>
      <c r="O265" s="606"/>
      <c r="P265" s="606"/>
      <c r="Q265" s="398"/>
      <c r="R265" s="398"/>
      <c r="S265" s="398"/>
      <c r="T265" s="398"/>
      <c r="U265" s="398"/>
      <c r="V265" s="738"/>
      <c r="W265" s="738"/>
      <c r="X265" s="738"/>
    </row>
    <row r="266" spans="1:24" ht="15.75" customHeight="1">
      <c r="A266" s="398"/>
      <c r="B266" s="398"/>
      <c r="C266" s="779"/>
      <c r="D266" s="779"/>
      <c r="E266" s="779"/>
      <c r="F266" s="779"/>
      <c r="G266" s="779"/>
      <c r="H266" s="779"/>
      <c r="I266" s="779"/>
      <c r="J266" s="779"/>
      <c r="K266" s="779"/>
      <c r="L266" s="779"/>
      <c r="M266" s="779"/>
      <c r="N266" s="779"/>
      <c r="O266" s="606"/>
      <c r="P266" s="606"/>
      <c r="Q266" s="398"/>
      <c r="R266" s="398"/>
      <c r="S266" s="398"/>
      <c r="T266" s="398"/>
      <c r="U266" s="398"/>
      <c r="V266" s="738"/>
      <c r="W266" s="738"/>
      <c r="X266" s="738"/>
    </row>
    <row r="267" spans="1:24" ht="15.75" customHeight="1">
      <c r="A267" s="398"/>
      <c r="B267" s="398"/>
      <c r="C267" s="779"/>
      <c r="D267" s="779"/>
      <c r="E267" s="779"/>
      <c r="F267" s="779"/>
      <c r="G267" s="779"/>
      <c r="H267" s="779"/>
      <c r="I267" s="779"/>
      <c r="J267" s="779"/>
      <c r="K267" s="779"/>
      <c r="L267" s="779"/>
      <c r="M267" s="779"/>
      <c r="N267" s="779"/>
      <c r="O267" s="606"/>
      <c r="P267" s="606"/>
      <c r="Q267" s="398"/>
      <c r="R267" s="398"/>
      <c r="S267" s="398"/>
      <c r="T267" s="398"/>
      <c r="U267" s="398"/>
      <c r="V267" s="738"/>
      <c r="W267" s="738"/>
      <c r="X267" s="738"/>
    </row>
    <row r="268" spans="1:24" ht="15.75" customHeight="1">
      <c r="A268" s="398"/>
      <c r="B268" s="398"/>
      <c r="C268" s="779"/>
      <c r="D268" s="779"/>
      <c r="E268" s="779"/>
      <c r="F268" s="779"/>
      <c r="G268" s="779"/>
      <c r="H268" s="779"/>
      <c r="I268" s="779"/>
      <c r="J268" s="779"/>
      <c r="K268" s="779"/>
      <c r="L268" s="779"/>
      <c r="M268" s="779"/>
      <c r="N268" s="779"/>
      <c r="O268" s="606"/>
      <c r="P268" s="606"/>
      <c r="Q268" s="398"/>
      <c r="R268" s="398"/>
      <c r="S268" s="398"/>
      <c r="T268" s="398"/>
      <c r="U268" s="398"/>
      <c r="V268" s="738"/>
      <c r="W268" s="738"/>
      <c r="X268" s="738"/>
    </row>
    <row r="269" spans="1:24" ht="15.75" customHeight="1">
      <c r="A269" s="398"/>
      <c r="B269" s="398"/>
      <c r="C269" s="779"/>
      <c r="D269" s="779"/>
      <c r="E269" s="779"/>
      <c r="F269" s="779"/>
      <c r="G269" s="779"/>
      <c r="H269" s="779"/>
      <c r="I269" s="779"/>
      <c r="J269" s="779"/>
      <c r="K269" s="779"/>
      <c r="L269" s="779"/>
      <c r="M269" s="779"/>
      <c r="N269" s="779"/>
      <c r="O269" s="606"/>
      <c r="P269" s="606"/>
      <c r="Q269" s="398"/>
      <c r="R269" s="398"/>
      <c r="S269" s="398"/>
      <c r="T269" s="398"/>
      <c r="U269" s="398"/>
      <c r="V269" s="738"/>
      <c r="W269" s="738"/>
      <c r="X269" s="738"/>
    </row>
    <row r="270" spans="1:24" ht="15.75" customHeight="1">
      <c r="A270" s="398"/>
      <c r="B270" s="398"/>
      <c r="C270" s="779"/>
      <c r="D270" s="779"/>
      <c r="E270" s="779"/>
      <c r="F270" s="779"/>
      <c r="G270" s="779"/>
      <c r="H270" s="779"/>
      <c r="I270" s="779"/>
      <c r="J270" s="779"/>
      <c r="K270" s="779"/>
      <c r="L270" s="779"/>
      <c r="M270" s="779"/>
      <c r="N270" s="779"/>
      <c r="O270" s="606"/>
      <c r="P270" s="606"/>
      <c r="Q270" s="398"/>
      <c r="R270" s="398"/>
      <c r="S270" s="398"/>
      <c r="T270" s="398"/>
      <c r="U270" s="398"/>
      <c r="V270" s="738"/>
      <c r="W270" s="738"/>
      <c r="X270" s="738"/>
    </row>
    <row r="271" spans="1:24" ht="15.75" customHeight="1">
      <c r="A271" s="398"/>
      <c r="B271" s="398"/>
      <c r="C271" s="779"/>
      <c r="D271" s="779"/>
      <c r="E271" s="779"/>
      <c r="F271" s="779"/>
      <c r="G271" s="779"/>
      <c r="H271" s="779"/>
      <c r="I271" s="779"/>
      <c r="J271" s="779"/>
      <c r="K271" s="779"/>
      <c r="L271" s="779"/>
      <c r="M271" s="779"/>
      <c r="N271" s="779"/>
      <c r="O271" s="606"/>
      <c r="P271" s="606"/>
      <c r="Q271" s="398"/>
      <c r="R271" s="398"/>
      <c r="S271" s="398"/>
      <c r="T271" s="398"/>
      <c r="U271" s="398"/>
      <c r="V271" s="738"/>
      <c r="W271" s="738"/>
      <c r="X271" s="738"/>
    </row>
    <row r="272" spans="1:24" ht="15.75" customHeight="1">
      <c r="A272" s="398"/>
      <c r="B272" s="398"/>
      <c r="C272" s="779"/>
      <c r="D272" s="779"/>
      <c r="E272" s="779"/>
      <c r="F272" s="779"/>
      <c r="G272" s="779"/>
      <c r="H272" s="779"/>
      <c r="I272" s="779"/>
      <c r="J272" s="779"/>
      <c r="K272" s="779"/>
      <c r="L272" s="779"/>
      <c r="M272" s="779"/>
      <c r="N272" s="779"/>
      <c r="O272" s="606"/>
      <c r="P272" s="606"/>
      <c r="Q272" s="398"/>
      <c r="R272" s="398"/>
      <c r="S272" s="398"/>
      <c r="T272" s="398"/>
      <c r="U272" s="398"/>
      <c r="V272" s="738"/>
      <c r="W272" s="738"/>
      <c r="X272" s="738"/>
    </row>
    <row r="273" spans="1:24" ht="15.75" customHeight="1">
      <c r="A273" s="398"/>
      <c r="B273" s="398"/>
      <c r="C273" s="779"/>
      <c r="D273" s="779"/>
      <c r="E273" s="779"/>
      <c r="F273" s="779"/>
      <c r="G273" s="779"/>
      <c r="H273" s="779"/>
      <c r="I273" s="779"/>
      <c r="J273" s="779"/>
      <c r="K273" s="779"/>
      <c r="L273" s="779"/>
      <c r="M273" s="779"/>
      <c r="N273" s="779"/>
      <c r="O273" s="606"/>
      <c r="P273" s="606"/>
      <c r="Q273" s="398"/>
      <c r="R273" s="398"/>
      <c r="S273" s="398"/>
      <c r="T273" s="398"/>
      <c r="U273" s="398"/>
      <c r="V273" s="738"/>
      <c r="W273" s="738"/>
      <c r="X273" s="738"/>
    </row>
    <row r="274" spans="1:24" ht="15.75" customHeight="1">
      <c r="A274" s="398"/>
      <c r="B274" s="398"/>
      <c r="C274" s="779"/>
      <c r="D274" s="779"/>
      <c r="E274" s="779"/>
      <c r="F274" s="779"/>
      <c r="G274" s="779"/>
      <c r="H274" s="779"/>
      <c r="I274" s="779"/>
      <c r="J274" s="779"/>
      <c r="K274" s="779"/>
      <c r="L274" s="779"/>
      <c r="M274" s="779"/>
      <c r="N274" s="779"/>
      <c r="O274" s="606"/>
      <c r="P274" s="606"/>
      <c r="Q274" s="398"/>
      <c r="R274" s="398"/>
      <c r="S274" s="398"/>
      <c r="T274" s="398"/>
      <c r="U274" s="398"/>
      <c r="V274" s="738"/>
      <c r="W274" s="738"/>
      <c r="X274" s="738"/>
    </row>
    <row r="275" spans="1:24" ht="15.75" customHeight="1">
      <c r="A275" s="398"/>
      <c r="B275" s="398"/>
      <c r="C275" s="779"/>
      <c r="D275" s="779"/>
      <c r="E275" s="779"/>
      <c r="F275" s="779"/>
      <c r="G275" s="779"/>
      <c r="H275" s="779"/>
      <c r="I275" s="779"/>
      <c r="J275" s="779"/>
      <c r="K275" s="779"/>
      <c r="L275" s="779"/>
      <c r="M275" s="779"/>
      <c r="N275" s="779"/>
      <c r="O275" s="606"/>
      <c r="P275" s="606"/>
      <c r="Q275" s="398"/>
      <c r="R275" s="398"/>
      <c r="S275" s="398"/>
      <c r="T275" s="398"/>
      <c r="U275" s="398"/>
      <c r="V275" s="738"/>
      <c r="W275" s="738"/>
      <c r="X275" s="738"/>
    </row>
    <row r="276" spans="1:24" ht="15.75" customHeight="1">
      <c r="A276" s="398"/>
      <c r="B276" s="398"/>
      <c r="C276" s="779"/>
      <c r="D276" s="779"/>
      <c r="E276" s="779"/>
      <c r="F276" s="779"/>
      <c r="G276" s="779"/>
      <c r="H276" s="779"/>
      <c r="I276" s="779"/>
      <c r="J276" s="779"/>
      <c r="K276" s="779"/>
      <c r="L276" s="779"/>
      <c r="M276" s="779"/>
      <c r="N276" s="779"/>
      <c r="O276" s="606"/>
      <c r="P276" s="606"/>
      <c r="Q276" s="398"/>
      <c r="R276" s="398"/>
      <c r="S276" s="398"/>
      <c r="T276" s="398"/>
      <c r="U276" s="398"/>
      <c r="V276" s="738"/>
      <c r="W276" s="738"/>
      <c r="X276" s="738"/>
    </row>
    <row r="277" spans="1:24" ht="15.75" customHeight="1">
      <c r="A277" s="398"/>
      <c r="B277" s="398"/>
      <c r="C277" s="779"/>
      <c r="D277" s="779"/>
      <c r="E277" s="779"/>
      <c r="F277" s="779"/>
      <c r="G277" s="779"/>
      <c r="H277" s="779"/>
      <c r="I277" s="779"/>
      <c r="J277" s="779"/>
      <c r="K277" s="779"/>
      <c r="L277" s="779"/>
      <c r="M277" s="779"/>
      <c r="N277" s="779"/>
      <c r="O277" s="606"/>
      <c r="P277" s="606"/>
      <c r="Q277" s="398"/>
      <c r="R277" s="398"/>
      <c r="S277" s="398"/>
      <c r="T277" s="398"/>
      <c r="U277" s="398"/>
      <c r="V277" s="738"/>
      <c r="W277" s="738"/>
      <c r="X277" s="738"/>
    </row>
    <row r="278" spans="1:24" ht="15.75" customHeight="1">
      <c r="A278" s="398"/>
      <c r="B278" s="398"/>
      <c r="C278" s="779"/>
      <c r="D278" s="779"/>
      <c r="E278" s="779"/>
      <c r="F278" s="779"/>
      <c r="G278" s="779"/>
      <c r="H278" s="779"/>
      <c r="I278" s="779"/>
      <c r="J278" s="779"/>
      <c r="K278" s="779"/>
      <c r="L278" s="779"/>
      <c r="M278" s="779"/>
      <c r="N278" s="779"/>
      <c r="O278" s="606"/>
      <c r="P278" s="606"/>
      <c r="Q278" s="398"/>
      <c r="R278" s="398"/>
      <c r="S278" s="398"/>
      <c r="T278" s="398"/>
      <c r="U278" s="398"/>
      <c r="V278" s="738"/>
      <c r="W278" s="738"/>
      <c r="X278" s="738"/>
    </row>
    <row r="279" spans="1:24" ht="15.75" customHeight="1">
      <c r="A279" s="398"/>
      <c r="B279" s="398"/>
      <c r="C279" s="779"/>
      <c r="D279" s="779"/>
      <c r="E279" s="779"/>
      <c r="F279" s="779"/>
      <c r="G279" s="779"/>
      <c r="H279" s="779"/>
      <c r="I279" s="779"/>
      <c r="J279" s="779"/>
      <c r="K279" s="779"/>
      <c r="L279" s="779"/>
      <c r="M279" s="779"/>
      <c r="N279" s="779"/>
      <c r="O279" s="606"/>
      <c r="P279" s="606"/>
      <c r="Q279" s="398"/>
      <c r="R279" s="398"/>
      <c r="S279" s="398"/>
      <c r="T279" s="398"/>
      <c r="U279" s="398"/>
      <c r="V279" s="738"/>
      <c r="W279" s="738"/>
      <c r="X279" s="738"/>
    </row>
    <row r="280" spans="1:24" ht="15.75" customHeight="1">
      <c r="A280" s="398"/>
      <c r="B280" s="398"/>
      <c r="C280" s="779"/>
      <c r="D280" s="779"/>
      <c r="E280" s="779"/>
      <c r="F280" s="779"/>
      <c r="G280" s="779"/>
      <c r="H280" s="779"/>
      <c r="I280" s="779"/>
      <c r="J280" s="779"/>
      <c r="K280" s="779"/>
      <c r="L280" s="779"/>
      <c r="M280" s="779"/>
      <c r="N280" s="779"/>
      <c r="O280" s="606"/>
      <c r="P280" s="606"/>
      <c r="Q280" s="398"/>
      <c r="R280" s="398"/>
      <c r="S280" s="398"/>
      <c r="T280" s="398"/>
      <c r="U280" s="398"/>
      <c r="V280" s="738"/>
      <c r="W280" s="738"/>
      <c r="X280" s="738"/>
    </row>
    <row r="281" spans="1:24" ht="15.75" customHeight="1">
      <c r="A281" s="398"/>
      <c r="B281" s="398"/>
      <c r="C281" s="779"/>
      <c r="D281" s="779"/>
      <c r="E281" s="779"/>
      <c r="F281" s="779"/>
      <c r="G281" s="779"/>
      <c r="H281" s="779"/>
      <c r="I281" s="779"/>
      <c r="J281" s="779"/>
      <c r="K281" s="779"/>
      <c r="L281" s="779"/>
      <c r="M281" s="779"/>
      <c r="N281" s="779"/>
      <c r="O281" s="606"/>
      <c r="P281" s="606"/>
      <c r="Q281" s="398"/>
      <c r="R281" s="398"/>
      <c r="S281" s="398"/>
      <c r="T281" s="398"/>
      <c r="U281" s="398"/>
      <c r="V281" s="738"/>
      <c r="W281" s="738"/>
      <c r="X281" s="738"/>
    </row>
    <row r="282" spans="1:24" ht="15.75" customHeight="1">
      <c r="A282" s="398"/>
      <c r="B282" s="398"/>
      <c r="C282" s="779"/>
      <c r="D282" s="779"/>
      <c r="E282" s="779"/>
      <c r="F282" s="779"/>
      <c r="G282" s="779"/>
      <c r="H282" s="779"/>
      <c r="I282" s="779"/>
      <c r="J282" s="779"/>
      <c r="K282" s="779"/>
      <c r="L282" s="779"/>
      <c r="M282" s="779"/>
      <c r="N282" s="779"/>
      <c r="O282" s="606"/>
      <c r="P282" s="606"/>
      <c r="Q282" s="398"/>
      <c r="R282" s="398"/>
      <c r="S282" s="398"/>
      <c r="T282" s="398"/>
      <c r="U282" s="398"/>
      <c r="V282" s="738"/>
      <c r="W282" s="738"/>
      <c r="X282" s="738"/>
    </row>
    <row r="283" spans="1:24" ht="15.75" customHeight="1">
      <c r="A283" s="398"/>
      <c r="B283" s="398"/>
      <c r="C283" s="779"/>
      <c r="D283" s="779"/>
      <c r="E283" s="779"/>
      <c r="F283" s="779"/>
      <c r="G283" s="779"/>
      <c r="H283" s="779"/>
      <c r="I283" s="779"/>
      <c r="J283" s="779"/>
      <c r="K283" s="779"/>
      <c r="L283" s="779"/>
      <c r="M283" s="779"/>
      <c r="N283" s="779"/>
      <c r="O283" s="606"/>
      <c r="P283" s="606"/>
      <c r="Q283" s="398"/>
      <c r="R283" s="398"/>
      <c r="S283" s="398"/>
      <c r="T283" s="398"/>
      <c r="U283" s="398"/>
      <c r="V283" s="738"/>
      <c r="W283" s="738"/>
      <c r="X283" s="738"/>
    </row>
    <row r="284" spans="1:24" ht="15.75" customHeight="1">
      <c r="A284" s="398"/>
      <c r="B284" s="398"/>
      <c r="C284" s="779"/>
      <c r="D284" s="779"/>
      <c r="E284" s="779"/>
      <c r="F284" s="779"/>
      <c r="G284" s="779"/>
      <c r="H284" s="779"/>
      <c r="I284" s="779"/>
      <c r="J284" s="779"/>
      <c r="K284" s="779"/>
      <c r="L284" s="779"/>
      <c r="M284" s="779"/>
      <c r="N284" s="779"/>
      <c r="O284" s="606"/>
      <c r="P284" s="606"/>
      <c r="Q284" s="398"/>
      <c r="R284" s="398"/>
      <c r="S284" s="398"/>
      <c r="T284" s="398"/>
      <c r="U284" s="398"/>
      <c r="V284" s="738"/>
      <c r="W284" s="738"/>
      <c r="X284" s="738"/>
    </row>
    <row r="285" spans="1:24" ht="15.75" customHeight="1">
      <c r="A285" s="398"/>
      <c r="B285" s="398"/>
      <c r="C285" s="779"/>
      <c r="D285" s="779"/>
      <c r="E285" s="779"/>
      <c r="F285" s="779"/>
      <c r="G285" s="779"/>
      <c r="H285" s="779"/>
      <c r="I285" s="779"/>
      <c r="J285" s="779"/>
      <c r="K285" s="779"/>
      <c r="L285" s="779"/>
      <c r="M285" s="779"/>
      <c r="N285" s="779"/>
      <c r="O285" s="606"/>
      <c r="P285" s="606"/>
      <c r="Q285" s="398"/>
      <c r="R285" s="398"/>
      <c r="S285" s="398"/>
      <c r="T285" s="398"/>
      <c r="U285" s="398"/>
      <c r="V285" s="738"/>
      <c r="W285" s="738"/>
      <c r="X285" s="738"/>
    </row>
    <row r="286" spans="1:24" ht="15.75" customHeight="1">
      <c r="A286" s="398"/>
      <c r="B286" s="398"/>
      <c r="C286" s="779"/>
      <c r="D286" s="779"/>
      <c r="E286" s="779"/>
      <c r="F286" s="779"/>
      <c r="G286" s="779"/>
      <c r="H286" s="779"/>
      <c r="I286" s="779"/>
      <c r="J286" s="779"/>
      <c r="K286" s="779"/>
      <c r="L286" s="779"/>
      <c r="M286" s="779"/>
      <c r="N286" s="779"/>
      <c r="O286" s="606"/>
      <c r="P286" s="606"/>
      <c r="Q286" s="398"/>
      <c r="R286" s="398"/>
      <c r="S286" s="398"/>
      <c r="T286" s="398"/>
      <c r="U286" s="398"/>
      <c r="V286" s="738"/>
      <c r="W286" s="738"/>
      <c r="X286" s="738"/>
    </row>
    <row r="287" spans="1:24" ht="15.75" customHeight="1">
      <c r="A287" s="398"/>
      <c r="B287" s="398"/>
      <c r="C287" s="779"/>
      <c r="D287" s="779"/>
      <c r="E287" s="779"/>
      <c r="F287" s="779"/>
      <c r="G287" s="779"/>
      <c r="H287" s="779"/>
      <c r="I287" s="779"/>
      <c r="J287" s="779"/>
      <c r="K287" s="779"/>
      <c r="L287" s="779"/>
      <c r="M287" s="779"/>
      <c r="N287" s="779"/>
      <c r="O287" s="606"/>
      <c r="P287" s="606"/>
      <c r="Q287" s="398"/>
      <c r="R287" s="398"/>
      <c r="S287" s="398"/>
      <c r="T287" s="398"/>
      <c r="U287" s="398"/>
      <c r="V287" s="738"/>
      <c r="W287" s="738"/>
      <c r="X287" s="738"/>
    </row>
    <row r="288" spans="1:24" ht="15.75" customHeight="1">
      <c r="A288" s="398"/>
      <c r="B288" s="398"/>
      <c r="C288" s="779"/>
      <c r="D288" s="779"/>
      <c r="E288" s="779"/>
      <c r="F288" s="779"/>
      <c r="G288" s="779"/>
      <c r="H288" s="779"/>
      <c r="I288" s="779"/>
      <c r="J288" s="779"/>
      <c r="K288" s="779"/>
      <c r="L288" s="779"/>
      <c r="M288" s="779"/>
      <c r="N288" s="779"/>
      <c r="O288" s="606"/>
      <c r="P288" s="606"/>
      <c r="Q288" s="398"/>
      <c r="R288" s="398"/>
      <c r="S288" s="398"/>
      <c r="T288" s="398"/>
      <c r="U288" s="398"/>
      <c r="V288" s="738"/>
      <c r="W288" s="738"/>
      <c r="X288" s="738"/>
    </row>
    <row r="289" spans="1:24" ht="15.75" customHeight="1">
      <c r="A289" s="398"/>
      <c r="B289" s="398"/>
      <c r="C289" s="779"/>
      <c r="D289" s="779"/>
      <c r="E289" s="779"/>
      <c r="F289" s="779"/>
      <c r="G289" s="779"/>
      <c r="H289" s="779"/>
      <c r="I289" s="779"/>
      <c r="J289" s="779"/>
      <c r="K289" s="779"/>
      <c r="L289" s="779"/>
      <c r="M289" s="779"/>
      <c r="N289" s="779"/>
      <c r="O289" s="606"/>
      <c r="P289" s="606"/>
      <c r="Q289" s="398"/>
      <c r="R289" s="398"/>
      <c r="S289" s="398"/>
      <c r="T289" s="398"/>
      <c r="U289" s="398"/>
      <c r="V289" s="738"/>
      <c r="W289" s="738"/>
      <c r="X289" s="738"/>
    </row>
    <row r="290" spans="1:24" ht="15.75" customHeight="1">
      <c r="A290" s="398"/>
      <c r="B290" s="398"/>
      <c r="C290" s="779"/>
      <c r="D290" s="779"/>
      <c r="E290" s="779"/>
      <c r="F290" s="779"/>
      <c r="G290" s="779"/>
      <c r="H290" s="779"/>
      <c r="I290" s="779"/>
      <c r="J290" s="779"/>
      <c r="K290" s="779"/>
      <c r="L290" s="779"/>
      <c r="M290" s="779"/>
      <c r="N290" s="779"/>
      <c r="O290" s="606"/>
      <c r="P290" s="606"/>
      <c r="Q290" s="398"/>
      <c r="R290" s="398"/>
      <c r="S290" s="398"/>
      <c r="T290" s="398"/>
      <c r="U290" s="398"/>
      <c r="V290" s="738"/>
      <c r="W290" s="738"/>
      <c r="X290" s="738"/>
    </row>
    <row r="291" spans="1:24" ht="15.75" customHeight="1">
      <c r="A291" s="398"/>
      <c r="B291" s="398"/>
      <c r="C291" s="779"/>
      <c r="D291" s="779"/>
      <c r="E291" s="779"/>
      <c r="F291" s="779"/>
      <c r="G291" s="779"/>
      <c r="H291" s="779"/>
      <c r="I291" s="779"/>
      <c r="J291" s="779"/>
      <c r="K291" s="779"/>
      <c r="L291" s="779"/>
      <c r="M291" s="779"/>
      <c r="N291" s="779"/>
      <c r="O291" s="606"/>
      <c r="P291" s="606"/>
      <c r="Q291" s="398"/>
      <c r="R291" s="398"/>
      <c r="S291" s="398"/>
      <c r="T291" s="398"/>
      <c r="U291" s="398"/>
      <c r="V291" s="738"/>
      <c r="W291" s="738"/>
      <c r="X291" s="738"/>
    </row>
    <row r="292" spans="1:24" ht="15.75" customHeight="1">
      <c r="A292" s="398"/>
      <c r="B292" s="398"/>
      <c r="C292" s="779"/>
      <c r="D292" s="779"/>
      <c r="E292" s="779"/>
      <c r="F292" s="779"/>
      <c r="G292" s="779"/>
      <c r="H292" s="779"/>
      <c r="I292" s="779"/>
      <c r="J292" s="779"/>
      <c r="K292" s="779"/>
      <c r="L292" s="779"/>
      <c r="M292" s="779"/>
      <c r="N292" s="779"/>
      <c r="O292" s="606"/>
      <c r="P292" s="606"/>
      <c r="Q292" s="398"/>
      <c r="R292" s="398"/>
      <c r="S292" s="398"/>
      <c r="T292" s="398"/>
      <c r="U292" s="398"/>
      <c r="V292" s="738"/>
      <c r="W292" s="738"/>
      <c r="X292" s="738"/>
    </row>
    <row r="293" spans="1:24" ht="15.75" customHeight="1">
      <c r="A293" s="398"/>
      <c r="B293" s="398"/>
      <c r="C293" s="779"/>
      <c r="D293" s="779"/>
      <c r="E293" s="779"/>
      <c r="F293" s="779"/>
      <c r="G293" s="779"/>
      <c r="H293" s="779"/>
      <c r="I293" s="779"/>
      <c r="J293" s="779"/>
      <c r="K293" s="779"/>
      <c r="L293" s="779"/>
      <c r="M293" s="779"/>
      <c r="N293" s="779"/>
      <c r="O293" s="606"/>
      <c r="P293" s="606"/>
      <c r="Q293" s="398"/>
      <c r="R293" s="398"/>
      <c r="S293" s="398"/>
      <c r="T293" s="398"/>
      <c r="U293" s="398"/>
      <c r="V293" s="738"/>
      <c r="W293" s="738"/>
      <c r="X293" s="738"/>
    </row>
    <row r="294" spans="1:24" ht="15.75" customHeight="1">
      <c r="A294" s="398"/>
      <c r="B294" s="398"/>
      <c r="C294" s="779"/>
      <c r="D294" s="779"/>
      <c r="E294" s="779"/>
      <c r="F294" s="779"/>
      <c r="G294" s="779"/>
      <c r="H294" s="779"/>
      <c r="I294" s="779"/>
      <c r="J294" s="779"/>
      <c r="K294" s="779"/>
      <c r="L294" s="779"/>
      <c r="M294" s="779"/>
      <c r="N294" s="779"/>
      <c r="O294" s="606"/>
      <c r="P294" s="606"/>
      <c r="Q294" s="398"/>
      <c r="R294" s="398"/>
      <c r="S294" s="398"/>
      <c r="T294" s="398"/>
      <c r="U294" s="398"/>
      <c r="V294" s="738"/>
      <c r="W294" s="738"/>
      <c r="X294" s="738"/>
    </row>
    <row r="295" spans="1:24" ht="15.75" customHeight="1">
      <c r="A295" s="398"/>
      <c r="B295" s="398"/>
      <c r="C295" s="779"/>
      <c r="D295" s="779"/>
      <c r="E295" s="779"/>
      <c r="F295" s="779"/>
      <c r="G295" s="779"/>
      <c r="H295" s="779"/>
      <c r="I295" s="779"/>
      <c r="J295" s="779"/>
      <c r="K295" s="779"/>
      <c r="L295" s="779"/>
      <c r="M295" s="779"/>
      <c r="N295" s="779"/>
      <c r="O295" s="606"/>
      <c r="P295" s="606"/>
      <c r="Q295" s="398"/>
      <c r="R295" s="398"/>
      <c r="S295" s="398"/>
      <c r="T295" s="398"/>
      <c r="U295" s="398"/>
      <c r="V295" s="738"/>
      <c r="W295" s="738"/>
      <c r="X295" s="738"/>
    </row>
    <row r="296" spans="1:24" ht="15.75" customHeight="1">
      <c r="A296" s="398"/>
      <c r="B296" s="398"/>
      <c r="C296" s="779"/>
      <c r="D296" s="779"/>
      <c r="E296" s="779"/>
      <c r="F296" s="779"/>
      <c r="G296" s="779"/>
      <c r="H296" s="779"/>
      <c r="I296" s="779"/>
      <c r="J296" s="779"/>
      <c r="K296" s="779"/>
      <c r="L296" s="779"/>
      <c r="M296" s="779"/>
      <c r="N296" s="779"/>
      <c r="O296" s="606"/>
      <c r="P296" s="606"/>
      <c r="Q296" s="398"/>
      <c r="R296" s="398"/>
      <c r="S296" s="398"/>
      <c r="T296" s="398"/>
      <c r="U296" s="398"/>
      <c r="V296" s="738"/>
      <c r="W296" s="738"/>
      <c r="X296" s="738"/>
    </row>
    <row r="297" spans="1:24" ht="15.75" customHeight="1">
      <c r="A297" s="398"/>
      <c r="B297" s="398"/>
      <c r="C297" s="779"/>
      <c r="D297" s="779"/>
      <c r="E297" s="779"/>
      <c r="F297" s="779"/>
      <c r="G297" s="779"/>
      <c r="H297" s="779"/>
      <c r="I297" s="779"/>
      <c r="J297" s="779"/>
      <c r="K297" s="779"/>
      <c r="L297" s="779"/>
      <c r="M297" s="779"/>
      <c r="N297" s="779"/>
      <c r="O297" s="606"/>
      <c r="P297" s="606"/>
      <c r="Q297" s="398"/>
      <c r="R297" s="398"/>
      <c r="S297" s="398"/>
      <c r="T297" s="398"/>
      <c r="U297" s="398"/>
      <c r="V297" s="738"/>
      <c r="W297" s="738"/>
      <c r="X297" s="738"/>
    </row>
    <row r="298" spans="1:24" ht="15.75" customHeight="1">
      <c r="A298" s="398"/>
      <c r="B298" s="398"/>
      <c r="C298" s="779"/>
      <c r="D298" s="779"/>
      <c r="E298" s="779"/>
      <c r="F298" s="779"/>
      <c r="G298" s="779"/>
      <c r="H298" s="779"/>
      <c r="I298" s="779"/>
      <c r="J298" s="779"/>
      <c r="K298" s="779"/>
      <c r="L298" s="779"/>
      <c r="M298" s="779"/>
      <c r="N298" s="779"/>
      <c r="O298" s="606"/>
      <c r="P298" s="606"/>
      <c r="Q298" s="398"/>
      <c r="R298" s="398"/>
      <c r="S298" s="398"/>
      <c r="T298" s="398"/>
      <c r="U298" s="398"/>
      <c r="V298" s="738"/>
      <c r="W298" s="738"/>
      <c r="X298" s="738"/>
    </row>
    <row r="299" spans="1:24" ht="15.75" customHeight="1">
      <c r="A299" s="398"/>
      <c r="B299" s="398"/>
      <c r="C299" s="779"/>
      <c r="D299" s="779"/>
      <c r="E299" s="779"/>
      <c r="F299" s="779"/>
      <c r="G299" s="779"/>
      <c r="H299" s="779"/>
      <c r="I299" s="779"/>
      <c r="J299" s="779"/>
      <c r="K299" s="779"/>
      <c r="L299" s="779"/>
      <c r="M299" s="779"/>
      <c r="N299" s="779"/>
      <c r="O299" s="398"/>
      <c r="P299" s="398"/>
      <c r="Q299" s="398"/>
      <c r="R299" s="398"/>
      <c r="S299" s="398"/>
      <c r="T299" s="398"/>
      <c r="U299" s="398"/>
      <c r="V299" s="738"/>
      <c r="W299" s="738"/>
      <c r="X299" s="738"/>
    </row>
    <row r="300" spans="1:24" ht="15.75" customHeight="1">
      <c r="A300" s="398"/>
      <c r="B300" s="398"/>
      <c r="C300" s="779"/>
      <c r="D300" s="779"/>
      <c r="E300" s="779"/>
      <c r="F300" s="779"/>
      <c r="G300" s="779"/>
      <c r="H300" s="779"/>
      <c r="I300" s="779"/>
      <c r="J300" s="779"/>
      <c r="K300" s="779"/>
      <c r="L300" s="779"/>
      <c r="M300" s="779"/>
      <c r="N300" s="779"/>
      <c r="O300" s="398"/>
      <c r="P300" s="398"/>
      <c r="Q300" s="398"/>
      <c r="R300" s="398"/>
      <c r="S300" s="398"/>
      <c r="T300" s="398"/>
      <c r="U300" s="398"/>
      <c r="V300" s="738"/>
      <c r="W300" s="738"/>
      <c r="X300" s="738"/>
    </row>
    <row r="301" spans="1:24" ht="15.75" customHeight="1">
      <c r="A301" s="398"/>
      <c r="B301" s="398"/>
      <c r="C301" s="779"/>
      <c r="D301" s="779"/>
      <c r="E301" s="779"/>
      <c r="F301" s="779"/>
      <c r="G301" s="779"/>
      <c r="H301" s="779"/>
      <c r="I301" s="779"/>
      <c r="J301" s="779"/>
      <c r="K301" s="779"/>
      <c r="L301" s="779"/>
      <c r="M301" s="779"/>
      <c r="N301" s="779"/>
      <c r="O301" s="398"/>
      <c r="P301" s="398"/>
      <c r="Q301" s="398"/>
      <c r="R301" s="398"/>
      <c r="S301" s="398"/>
      <c r="T301" s="398"/>
      <c r="U301" s="398"/>
      <c r="V301" s="738"/>
      <c r="W301" s="738"/>
      <c r="X301" s="738"/>
    </row>
    <row r="302" spans="1:24" ht="15.75" customHeight="1">
      <c r="A302" s="398"/>
      <c r="B302" s="398"/>
      <c r="C302" s="779"/>
      <c r="D302" s="779"/>
      <c r="E302" s="779"/>
      <c r="F302" s="779"/>
      <c r="G302" s="779"/>
      <c r="H302" s="779"/>
      <c r="I302" s="779"/>
      <c r="J302" s="779"/>
      <c r="K302" s="779"/>
      <c r="L302" s="779"/>
      <c r="M302" s="779"/>
      <c r="N302" s="779"/>
      <c r="O302" s="398"/>
      <c r="P302" s="398"/>
      <c r="Q302" s="398"/>
      <c r="R302" s="398"/>
      <c r="S302" s="398"/>
      <c r="T302" s="398"/>
      <c r="U302" s="398"/>
      <c r="V302" s="738"/>
      <c r="W302" s="738"/>
      <c r="X302" s="738"/>
    </row>
    <row r="303" spans="1:24" ht="15.75" customHeight="1">
      <c r="A303" s="398"/>
      <c r="B303" s="398"/>
      <c r="C303" s="779"/>
      <c r="D303" s="779"/>
      <c r="E303" s="779"/>
      <c r="F303" s="779"/>
      <c r="G303" s="779"/>
      <c r="H303" s="779"/>
      <c r="I303" s="779"/>
      <c r="J303" s="779"/>
      <c r="K303" s="779"/>
      <c r="L303" s="779"/>
      <c r="M303" s="779"/>
      <c r="N303" s="779"/>
      <c r="O303" s="398"/>
      <c r="P303" s="398"/>
      <c r="Q303" s="398"/>
      <c r="R303" s="398"/>
      <c r="S303" s="398"/>
      <c r="T303" s="398"/>
      <c r="U303" s="398"/>
      <c r="V303" s="738"/>
      <c r="W303" s="738"/>
      <c r="X303" s="738"/>
    </row>
    <row r="304" spans="1:24" ht="15.75" customHeight="1">
      <c r="A304" s="398"/>
      <c r="B304" s="398"/>
      <c r="C304" s="779"/>
      <c r="D304" s="779"/>
      <c r="E304" s="779"/>
      <c r="F304" s="779"/>
      <c r="G304" s="779"/>
      <c r="H304" s="779"/>
      <c r="I304" s="779"/>
      <c r="J304" s="779"/>
      <c r="K304" s="779"/>
      <c r="L304" s="779"/>
      <c r="M304" s="779"/>
      <c r="N304" s="779"/>
      <c r="O304" s="398"/>
      <c r="P304" s="398"/>
      <c r="Q304" s="398"/>
      <c r="R304" s="398"/>
      <c r="S304" s="398"/>
      <c r="T304" s="398"/>
      <c r="U304" s="398"/>
      <c r="V304" s="738"/>
      <c r="W304" s="738"/>
      <c r="X304" s="738"/>
    </row>
    <row r="305" spans="1:24" ht="15.75" customHeight="1">
      <c r="A305" s="398"/>
      <c r="B305" s="398"/>
      <c r="C305" s="779"/>
      <c r="D305" s="779"/>
      <c r="E305" s="779"/>
      <c r="F305" s="779"/>
      <c r="G305" s="779"/>
      <c r="H305" s="779"/>
      <c r="I305" s="779"/>
      <c r="J305" s="779"/>
      <c r="K305" s="779"/>
      <c r="L305" s="779"/>
      <c r="M305" s="779"/>
      <c r="N305" s="779"/>
      <c r="O305" s="398"/>
      <c r="P305" s="398"/>
      <c r="Q305" s="398"/>
      <c r="R305" s="398"/>
      <c r="S305" s="398"/>
      <c r="T305" s="398"/>
      <c r="U305" s="398"/>
      <c r="V305" s="738"/>
      <c r="W305" s="738"/>
      <c r="X305" s="738"/>
    </row>
    <row r="306" spans="1:24" ht="15.75" customHeight="1">
      <c r="A306" s="398"/>
      <c r="B306" s="398"/>
      <c r="C306" s="779"/>
      <c r="D306" s="779"/>
      <c r="E306" s="779"/>
      <c r="F306" s="779"/>
      <c r="G306" s="779"/>
      <c r="H306" s="779"/>
      <c r="I306" s="779"/>
      <c r="J306" s="779"/>
      <c r="K306" s="779"/>
      <c r="L306" s="779"/>
      <c r="M306" s="779"/>
      <c r="N306" s="779"/>
      <c r="O306" s="398"/>
      <c r="P306" s="398"/>
      <c r="Q306" s="398"/>
      <c r="R306" s="398"/>
      <c r="S306" s="398"/>
      <c r="T306" s="398"/>
      <c r="U306" s="398"/>
      <c r="V306" s="738"/>
      <c r="W306" s="738"/>
      <c r="X306" s="738"/>
    </row>
    <row r="307" spans="1:24" ht="15.75" customHeight="1">
      <c r="A307" s="398"/>
      <c r="B307" s="398"/>
      <c r="C307" s="779"/>
      <c r="D307" s="779"/>
      <c r="E307" s="779"/>
      <c r="F307" s="779"/>
      <c r="G307" s="779"/>
      <c r="H307" s="779"/>
      <c r="I307" s="779"/>
      <c r="J307" s="779"/>
      <c r="K307" s="779"/>
      <c r="L307" s="779"/>
      <c r="M307" s="779"/>
      <c r="N307" s="779"/>
      <c r="O307" s="398"/>
      <c r="P307" s="398"/>
      <c r="Q307" s="398"/>
      <c r="R307" s="398"/>
      <c r="S307" s="398"/>
      <c r="T307" s="398"/>
      <c r="U307" s="398"/>
      <c r="V307" s="738"/>
      <c r="W307" s="738"/>
      <c r="X307" s="738"/>
    </row>
    <row r="308" spans="1:24" ht="15.75" customHeight="1">
      <c r="A308" s="398"/>
      <c r="B308" s="398"/>
      <c r="C308" s="779"/>
      <c r="D308" s="779"/>
      <c r="E308" s="779"/>
      <c r="F308" s="779"/>
      <c r="G308" s="779"/>
      <c r="H308" s="779"/>
      <c r="I308" s="779"/>
      <c r="J308" s="779"/>
      <c r="K308" s="779"/>
      <c r="L308" s="779"/>
      <c r="M308" s="779"/>
      <c r="N308" s="779"/>
      <c r="O308" s="398"/>
      <c r="P308" s="398"/>
      <c r="Q308" s="398"/>
      <c r="R308" s="398"/>
      <c r="S308" s="398"/>
      <c r="T308" s="398"/>
      <c r="U308" s="398"/>
      <c r="V308" s="738"/>
      <c r="W308" s="738"/>
      <c r="X308" s="738"/>
    </row>
    <row r="309" spans="1:24" ht="15.75" customHeight="1">
      <c r="A309" s="398"/>
      <c r="B309" s="398"/>
      <c r="C309" s="779"/>
      <c r="D309" s="779"/>
      <c r="E309" s="779"/>
      <c r="F309" s="779"/>
      <c r="G309" s="779"/>
      <c r="H309" s="779"/>
      <c r="I309" s="779"/>
      <c r="J309" s="779"/>
      <c r="K309" s="779"/>
      <c r="L309" s="779"/>
      <c r="M309" s="779"/>
      <c r="N309" s="779"/>
      <c r="O309" s="398"/>
      <c r="P309" s="398"/>
      <c r="Q309" s="398"/>
      <c r="R309" s="398"/>
      <c r="S309" s="398"/>
      <c r="T309" s="398"/>
      <c r="U309" s="398"/>
      <c r="V309" s="738"/>
      <c r="W309" s="738"/>
      <c r="X309" s="738"/>
    </row>
    <row r="310" spans="1:24" ht="15.75" customHeight="1">
      <c r="A310" s="398"/>
      <c r="B310" s="398"/>
      <c r="C310" s="779"/>
      <c r="D310" s="779"/>
      <c r="E310" s="779"/>
      <c r="F310" s="779"/>
      <c r="G310" s="779"/>
      <c r="H310" s="779"/>
      <c r="I310" s="779"/>
      <c r="J310" s="779"/>
      <c r="K310" s="779"/>
      <c r="L310" s="779"/>
      <c r="M310" s="779"/>
      <c r="N310" s="779"/>
      <c r="O310" s="398"/>
      <c r="P310" s="398"/>
      <c r="Q310" s="398"/>
      <c r="R310" s="398"/>
      <c r="S310" s="398"/>
      <c r="T310" s="398"/>
      <c r="U310" s="398"/>
      <c r="V310" s="738"/>
      <c r="W310" s="738"/>
      <c r="X310" s="738"/>
    </row>
    <row r="311" spans="1:24" ht="15.75" customHeight="1">
      <c r="A311" s="398"/>
      <c r="B311" s="398"/>
      <c r="C311" s="779"/>
      <c r="D311" s="779"/>
      <c r="E311" s="779"/>
      <c r="F311" s="779"/>
      <c r="G311" s="779"/>
      <c r="H311" s="779"/>
      <c r="I311" s="779"/>
      <c r="J311" s="779"/>
      <c r="K311" s="779"/>
      <c r="L311" s="779"/>
      <c r="M311" s="779"/>
      <c r="N311" s="779"/>
      <c r="O311" s="398"/>
      <c r="P311" s="398"/>
      <c r="Q311" s="398"/>
      <c r="R311" s="398"/>
      <c r="S311" s="398"/>
      <c r="T311" s="398"/>
      <c r="U311" s="398"/>
      <c r="V311" s="738"/>
      <c r="W311" s="738"/>
      <c r="X311" s="738"/>
    </row>
    <row r="312" spans="1:24" ht="15.75" customHeight="1">
      <c r="A312" s="398"/>
      <c r="B312" s="398"/>
      <c r="C312" s="779"/>
      <c r="D312" s="779"/>
      <c r="E312" s="779"/>
      <c r="F312" s="779"/>
      <c r="G312" s="779"/>
      <c r="H312" s="779"/>
      <c r="I312" s="779"/>
      <c r="J312" s="779"/>
      <c r="K312" s="779"/>
      <c r="L312" s="779"/>
      <c r="M312" s="779"/>
      <c r="N312" s="779"/>
      <c r="O312" s="398"/>
      <c r="P312" s="398"/>
      <c r="Q312" s="398"/>
      <c r="R312" s="398"/>
      <c r="S312" s="398"/>
      <c r="T312" s="398"/>
      <c r="U312" s="398"/>
      <c r="V312" s="738"/>
      <c r="W312" s="738"/>
      <c r="X312" s="738"/>
    </row>
    <row r="313" spans="1:24" ht="15.75" customHeight="1">
      <c r="A313" s="398"/>
      <c r="B313" s="398"/>
      <c r="C313" s="779"/>
      <c r="D313" s="779"/>
      <c r="E313" s="779"/>
      <c r="F313" s="779"/>
      <c r="G313" s="779"/>
      <c r="H313" s="779"/>
      <c r="I313" s="779"/>
      <c r="J313" s="779"/>
      <c r="K313" s="779"/>
      <c r="L313" s="779"/>
      <c r="M313" s="779"/>
      <c r="N313" s="779"/>
      <c r="O313" s="398"/>
      <c r="P313" s="398"/>
      <c r="Q313" s="398"/>
      <c r="R313" s="398"/>
      <c r="S313" s="398"/>
      <c r="T313" s="398"/>
      <c r="U313" s="398"/>
      <c r="V313" s="738"/>
      <c r="W313" s="738"/>
      <c r="X313" s="738"/>
    </row>
    <row r="314" spans="1:24" ht="15.75" customHeight="1">
      <c r="A314" s="398"/>
      <c r="B314" s="398"/>
      <c r="C314" s="779"/>
      <c r="D314" s="779"/>
      <c r="E314" s="779"/>
      <c r="F314" s="779"/>
      <c r="G314" s="779"/>
      <c r="H314" s="779"/>
      <c r="I314" s="779"/>
      <c r="J314" s="779"/>
      <c r="K314" s="779"/>
      <c r="L314" s="779"/>
      <c r="M314" s="779"/>
      <c r="N314" s="779"/>
      <c r="O314" s="398"/>
      <c r="P314" s="398"/>
      <c r="Q314" s="398"/>
      <c r="R314" s="398"/>
      <c r="S314" s="398"/>
      <c r="T314" s="398"/>
      <c r="U314" s="398"/>
      <c r="V314" s="738"/>
      <c r="W314" s="738"/>
      <c r="X314" s="738"/>
    </row>
    <row r="315" spans="1:24" ht="15.75" customHeight="1">
      <c r="A315" s="398"/>
      <c r="B315" s="398"/>
      <c r="C315" s="779"/>
      <c r="D315" s="779"/>
      <c r="E315" s="779"/>
      <c r="F315" s="779"/>
      <c r="G315" s="779"/>
      <c r="H315" s="779"/>
      <c r="I315" s="779"/>
      <c r="J315" s="779"/>
      <c r="K315" s="779"/>
      <c r="L315" s="779"/>
      <c r="M315" s="779"/>
      <c r="N315" s="779"/>
      <c r="O315" s="398"/>
      <c r="P315" s="398"/>
      <c r="Q315" s="398"/>
      <c r="R315" s="398"/>
      <c r="S315" s="398"/>
      <c r="T315" s="398"/>
      <c r="U315" s="398"/>
      <c r="V315" s="738"/>
      <c r="W315" s="738"/>
      <c r="X315" s="738"/>
    </row>
    <row r="316" spans="1:24" ht="15.75" customHeight="1">
      <c r="A316" s="398"/>
      <c r="B316" s="398"/>
      <c r="C316" s="779"/>
      <c r="D316" s="779"/>
      <c r="E316" s="779"/>
      <c r="F316" s="779"/>
      <c r="G316" s="779"/>
      <c r="H316" s="779"/>
      <c r="I316" s="779"/>
      <c r="J316" s="779"/>
      <c r="K316" s="779"/>
      <c r="L316" s="779"/>
      <c r="M316" s="779"/>
      <c r="N316" s="779"/>
      <c r="O316" s="398"/>
      <c r="P316" s="398"/>
      <c r="Q316" s="398"/>
      <c r="R316" s="398"/>
      <c r="S316" s="398"/>
      <c r="T316" s="398"/>
      <c r="U316" s="398"/>
      <c r="V316" s="738"/>
      <c r="W316" s="738"/>
      <c r="X316" s="738"/>
    </row>
    <row r="317" spans="1:24" ht="15.75" customHeight="1">
      <c r="A317" s="398"/>
      <c r="B317" s="398"/>
      <c r="C317" s="779"/>
      <c r="D317" s="779"/>
      <c r="E317" s="779"/>
      <c r="F317" s="779"/>
      <c r="G317" s="779"/>
      <c r="H317" s="779"/>
      <c r="I317" s="779"/>
      <c r="J317" s="779"/>
      <c r="K317" s="779"/>
      <c r="L317" s="779"/>
      <c r="M317" s="779"/>
      <c r="N317" s="779"/>
      <c r="O317" s="398"/>
      <c r="P317" s="398"/>
      <c r="Q317" s="398"/>
      <c r="R317" s="398"/>
      <c r="S317" s="398"/>
      <c r="T317" s="398"/>
      <c r="U317" s="398"/>
      <c r="V317" s="738"/>
      <c r="W317" s="738"/>
      <c r="X317" s="738"/>
    </row>
    <row r="318" spans="1:24" ht="15.75" customHeight="1">
      <c r="A318" s="398"/>
      <c r="B318" s="398"/>
      <c r="C318" s="779"/>
      <c r="D318" s="779"/>
      <c r="E318" s="779"/>
      <c r="F318" s="779"/>
      <c r="G318" s="779"/>
      <c r="H318" s="779"/>
      <c r="I318" s="779"/>
      <c r="J318" s="779"/>
      <c r="K318" s="779"/>
      <c r="L318" s="779"/>
      <c r="M318" s="779"/>
      <c r="N318" s="779"/>
      <c r="O318" s="398"/>
      <c r="P318" s="398"/>
      <c r="Q318" s="398"/>
      <c r="R318" s="398"/>
      <c r="S318" s="398"/>
      <c r="T318" s="398"/>
      <c r="U318" s="398"/>
      <c r="V318" s="738"/>
      <c r="W318" s="738"/>
      <c r="X318" s="738"/>
    </row>
    <row r="319" spans="1:24" ht="15.75" customHeight="1">
      <c r="A319" s="398"/>
      <c r="B319" s="398"/>
      <c r="C319" s="779"/>
      <c r="D319" s="779"/>
      <c r="E319" s="779"/>
      <c r="F319" s="779"/>
      <c r="G319" s="779"/>
      <c r="H319" s="779"/>
      <c r="I319" s="779"/>
      <c r="J319" s="779"/>
      <c r="K319" s="779"/>
      <c r="L319" s="779"/>
      <c r="M319" s="779"/>
      <c r="N319" s="779"/>
      <c r="O319" s="398"/>
      <c r="P319" s="398"/>
      <c r="Q319" s="398"/>
      <c r="R319" s="398"/>
      <c r="S319" s="398"/>
      <c r="T319" s="398"/>
      <c r="U319" s="398"/>
      <c r="V319" s="738"/>
      <c r="W319" s="738"/>
      <c r="X319" s="738"/>
    </row>
    <row r="320" spans="1:24" ht="15.75" customHeight="1">
      <c r="A320" s="398"/>
      <c r="B320" s="398"/>
      <c r="C320" s="779"/>
      <c r="D320" s="779"/>
      <c r="E320" s="779"/>
      <c r="F320" s="779"/>
      <c r="G320" s="779"/>
      <c r="H320" s="779"/>
      <c r="I320" s="779"/>
      <c r="J320" s="779"/>
      <c r="K320" s="779"/>
      <c r="L320" s="779"/>
      <c r="M320" s="779"/>
      <c r="N320" s="779"/>
      <c r="O320" s="398"/>
      <c r="P320" s="398"/>
      <c r="Q320" s="398"/>
      <c r="R320" s="398"/>
      <c r="S320" s="398"/>
      <c r="T320" s="398"/>
      <c r="U320" s="398"/>
      <c r="V320" s="738"/>
      <c r="W320" s="738"/>
      <c r="X320" s="738"/>
    </row>
    <row r="321" spans="1:24" ht="15.75" customHeight="1">
      <c r="A321" s="398"/>
      <c r="B321" s="398"/>
      <c r="C321" s="779"/>
      <c r="D321" s="779"/>
      <c r="E321" s="779"/>
      <c r="F321" s="779"/>
      <c r="G321" s="779"/>
      <c r="H321" s="779"/>
      <c r="I321" s="779"/>
      <c r="J321" s="779"/>
      <c r="K321" s="779"/>
      <c r="L321" s="779"/>
      <c r="M321" s="779"/>
      <c r="N321" s="779"/>
      <c r="O321" s="398"/>
      <c r="P321" s="398"/>
      <c r="Q321" s="398"/>
      <c r="R321" s="398"/>
      <c r="S321" s="398"/>
      <c r="T321" s="398"/>
      <c r="U321" s="398"/>
      <c r="V321" s="738"/>
      <c r="W321" s="738"/>
      <c r="X321" s="738"/>
    </row>
    <row r="322" spans="1:24" ht="15.75" customHeight="1">
      <c r="A322" s="398"/>
      <c r="B322" s="398"/>
      <c r="C322" s="779"/>
      <c r="D322" s="779"/>
      <c r="E322" s="779"/>
      <c r="F322" s="779"/>
      <c r="G322" s="779"/>
      <c r="H322" s="779"/>
      <c r="I322" s="779"/>
      <c r="J322" s="779"/>
      <c r="K322" s="779"/>
      <c r="L322" s="779"/>
      <c r="M322" s="779"/>
      <c r="N322" s="779"/>
      <c r="O322" s="398"/>
      <c r="P322" s="398"/>
      <c r="Q322" s="398"/>
      <c r="R322" s="398"/>
      <c r="S322" s="398"/>
      <c r="T322" s="398"/>
      <c r="U322" s="398"/>
      <c r="V322" s="738"/>
      <c r="W322" s="738"/>
      <c r="X322" s="738"/>
    </row>
    <row r="323" spans="1:24" ht="15.75" customHeight="1">
      <c r="A323" s="398"/>
      <c r="B323" s="398"/>
      <c r="C323" s="779"/>
      <c r="D323" s="779"/>
      <c r="E323" s="779"/>
      <c r="F323" s="779"/>
      <c r="G323" s="779"/>
      <c r="H323" s="779"/>
      <c r="I323" s="779"/>
      <c r="J323" s="779"/>
      <c r="K323" s="779"/>
      <c r="L323" s="779"/>
      <c r="M323" s="779"/>
      <c r="N323" s="779"/>
      <c r="O323" s="398"/>
      <c r="P323" s="398"/>
      <c r="Q323" s="398"/>
      <c r="R323" s="398"/>
      <c r="S323" s="398"/>
      <c r="T323" s="398"/>
      <c r="U323" s="398"/>
      <c r="V323" s="738"/>
      <c r="W323" s="738"/>
      <c r="X323" s="738"/>
    </row>
    <row r="324" spans="1:24" ht="15.75" customHeight="1">
      <c r="A324" s="398"/>
      <c r="B324" s="398"/>
      <c r="C324" s="779"/>
      <c r="D324" s="779"/>
      <c r="E324" s="779"/>
      <c r="F324" s="779"/>
      <c r="G324" s="779"/>
      <c r="H324" s="779"/>
      <c r="I324" s="779"/>
      <c r="J324" s="779"/>
      <c r="K324" s="779"/>
      <c r="L324" s="779"/>
      <c r="M324" s="779"/>
      <c r="N324" s="779"/>
      <c r="O324" s="398"/>
      <c r="P324" s="398"/>
      <c r="Q324" s="398"/>
      <c r="R324" s="398"/>
      <c r="S324" s="398"/>
      <c r="T324" s="398"/>
      <c r="U324" s="398"/>
      <c r="V324" s="738"/>
      <c r="W324" s="738"/>
      <c r="X324" s="738"/>
    </row>
    <row r="325" spans="1:24" ht="15.75" customHeight="1">
      <c r="A325" s="398"/>
      <c r="B325" s="398"/>
      <c r="C325" s="779"/>
      <c r="D325" s="779"/>
      <c r="E325" s="779"/>
      <c r="F325" s="779"/>
      <c r="G325" s="779"/>
      <c r="H325" s="779"/>
      <c r="I325" s="779"/>
      <c r="J325" s="779"/>
      <c r="K325" s="779"/>
      <c r="L325" s="779"/>
      <c r="M325" s="779"/>
      <c r="N325" s="779"/>
      <c r="O325" s="398"/>
      <c r="P325" s="398"/>
      <c r="Q325" s="398"/>
      <c r="R325" s="398"/>
      <c r="S325" s="398"/>
      <c r="T325" s="398"/>
      <c r="U325" s="398"/>
      <c r="V325" s="738"/>
      <c r="W325" s="738"/>
      <c r="X325" s="738"/>
    </row>
    <row r="326" spans="1:24" ht="15.75" customHeight="1">
      <c r="A326" s="398"/>
      <c r="B326" s="398"/>
      <c r="C326" s="779"/>
      <c r="D326" s="779"/>
      <c r="E326" s="779"/>
      <c r="F326" s="779"/>
      <c r="G326" s="779"/>
      <c r="H326" s="779"/>
      <c r="I326" s="779"/>
      <c r="J326" s="779"/>
      <c r="K326" s="779"/>
      <c r="L326" s="779"/>
      <c r="M326" s="779"/>
      <c r="N326" s="779"/>
      <c r="O326" s="398"/>
      <c r="P326" s="398"/>
      <c r="Q326" s="398"/>
      <c r="R326" s="398"/>
      <c r="S326" s="398"/>
      <c r="T326" s="398"/>
      <c r="U326" s="398"/>
      <c r="V326" s="738"/>
      <c r="W326" s="738"/>
      <c r="X326" s="738"/>
    </row>
    <row r="327" spans="1:24" ht="15.75" customHeight="1">
      <c r="A327" s="398"/>
      <c r="B327" s="398"/>
      <c r="C327" s="779"/>
      <c r="D327" s="779"/>
      <c r="E327" s="779"/>
      <c r="F327" s="779"/>
      <c r="G327" s="779"/>
      <c r="H327" s="779"/>
      <c r="I327" s="779"/>
      <c r="J327" s="779"/>
      <c r="K327" s="779"/>
      <c r="L327" s="779"/>
      <c r="M327" s="779"/>
      <c r="N327" s="779"/>
      <c r="O327" s="398"/>
      <c r="P327" s="398"/>
      <c r="Q327" s="398"/>
      <c r="R327" s="398"/>
      <c r="S327" s="398"/>
      <c r="T327" s="398"/>
      <c r="U327" s="398"/>
      <c r="V327" s="738"/>
      <c r="W327" s="738"/>
      <c r="X327" s="738"/>
    </row>
    <row r="328" spans="1:24" ht="15.75" customHeight="1">
      <c r="A328" s="398"/>
      <c r="B328" s="398"/>
      <c r="C328" s="779"/>
      <c r="D328" s="779"/>
      <c r="E328" s="779"/>
      <c r="F328" s="779"/>
      <c r="G328" s="779"/>
      <c r="H328" s="779"/>
      <c r="I328" s="779"/>
      <c r="J328" s="779"/>
      <c r="K328" s="779"/>
      <c r="L328" s="779"/>
      <c r="M328" s="779"/>
      <c r="N328" s="779"/>
      <c r="O328" s="398"/>
      <c r="P328" s="398"/>
      <c r="Q328" s="398"/>
      <c r="R328" s="398"/>
      <c r="S328" s="398"/>
      <c r="T328" s="398"/>
      <c r="U328" s="398"/>
      <c r="V328" s="738"/>
      <c r="W328" s="738"/>
      <c r="X328" s="738"/>
    </row>
    <row r="329" spans="1:24" ht="15.75" customHeight="1">
      <c r="A329" s="398"/>
      <c r="B329" s="398"/>
      <c r="C329" s="779"/>
      <c r="D329" s="779"/>
      <c r="E329" s="779"/>
      <c r="F329" s="779"/>
      <c r="G329" s="779"/>
      <c r="H329" s="779"/>
      <c r="I329" s="779"/>
      <c r="J329" s="779"/>
      <c r="K329" s="779"/>
      <c r="L329" s="779"/>
      <c r="M329" s="779"/>
      <c r="N329" s="779"/>
      <c r="O329" s="398"/>
      <c r="P329" s="398"/>
      <c r="Q329" s="398"/>
      <c r="R329" s="398"/>
      <c r="S329" s="398"/>
      <c r="T329" s="398"/>
      <c r="U329" s="398"/>
      <c r="V329" s="738"/>
      <c r="W329" s="738"/>
      <c r="X329" s="738"/>
    </row>
    <row r="330" spans="1:24" ht="15.75" customHeight="1">
      <c r="A330" s="398"/>
      <c r="B330" s="398"/>
      <c r="C330" s="779"/>
      <c r="D330" s="779"/>
      <c r="E330" s="779"/>
      <c r="F330" s="779"/>
      <c r="G330" s="779"/>
      <c r="H330" s="779"/>
      <c r="I330" s="779"/>
      <c r="J330" s="779"/>
      <c r="K330" s="779"/>
      <c r="L330" s="779"/>
      <c r="M330" s="779"/>
      <c r="N330" s="779"/>
      <c r="O330" s="398"/>
      <c r="P330" s="398"/>
      <c r="Q330" s="398"/>
      <c r="R330" s="398"/>
      <c r="S330" s="398"/>
      <c r="T330" s="398"/>
      <c r="U330" s="398"/>
      <c r="V330" s="738"/>
      <c r="W330" s="738"/>
      <c r="X330" s="738"/>
    </row>
    <row r="331" spans="1:24" ht="15.75" customHeight="1">
      <c r="A331" s="398"/>
      <c r="B331" s="398"/>
      <c r="C331" s="779"/>
      <c r="D331" s="779"/>
      <c r="E331" s="779"/>
      <c r="F331" s="779"/>
      <c r="G331" s="779"/>
      <c r="H331" s="779"/>
      <c r="I331" s="779"/>
      <c r="J331" s="779"/>
      <c r="K331" s="779"/>
      <c r="L331" s="779"/>
      <c r="M331" s="779"/>
      <c r="N331" s="779"/>
      <c r="O331" s="398"/>
      <c r="P331" s="398"/>
      <c r="Q331" s="398"/>
      <c r="R331" s="398"/>
      <c r="S331" s="398"/>
      <c r="T331" s="398"/>
      <c r="U331" s="398"/>
      <c r="V331" s="738"/>
      <c r="W331" s="738"/>
      <c r="X331" s="738"/>
    </row>
    <row r="332" spans="1:24" ht="15.75" customHeight="1">
      <c r="A332" s="398"/>
      <c r="B332" s="398"/>
      <c r="C332" s="779"/>
      <c r="D332" s="779"/>
      <c r="E332" s="779"/>
      <c r="F332" s="779"/>
      <c r="G332" s="779"/>
      <c r="H332" s="779"/>
      <c r="I332" s="779"/>
      <c r="J332" s="779"/>
      <c r="K332" s="779"/>
      <c r="L332" s="779"/>
      <c r="M332" s="779"/>
      <c r="N332" s="779"/>
      <c r="O332" s="398"/>
      <c r="P332" s="398"/>
      <c r="Q332" s="398"/>
      <c r="R332" s="398"/>
      <c r="S332" s="398"/>
      <c r="T332" s="398"/>
      <c r="U332" s="398"/>
      <c r="V332" s="738"/>
      <c r="W332" s="738"/>
      <c r="X332" s="738"/>
    </row>
    <row r="333" spans="1:24" ht="15.75" customHeight="1">
      <c r="A333" s="398"/>
      <c r="B333" s="398"/>
      <c r="C333" s="779"/>
      <c r="D333" s="779"/>
      <c r="E333" s="779"/>
      <c r="F333" s="779"/>
      <c r="G333" s="779"/>
      <c r="H333" s="779"/>
      <c r="I333" s="779"/>
      <c r="J333" s="779"/>
      <c r="K333" s="779"/>
      <c r="L333" s="779"/>
      <c r="M333" s="779"/>
      <c r="N333" s="779"/>
      <c r="O333" s="398"/>
      <c r="P333" s="398"/>
      <c r="Q333" s="398"/>
      <c r="R333" s="398"/>
      <c r="S333" s="398"/>
      <c r="T333" s="398"/>
      <c r="U333" s="398"/>
      <c r="V333" s="738"/>
      <c r="W333" s="738"/>
      <c r="X333" s="738"/>
    </row>
    <row r="334" spans="1:24" ht="15.75" customHeight="1">
      <c r="A334" s="398"/>
      <c r="B334" s="398"/>
      <c r="C334" s="779"/>
      <c r="D334" s="779"/>
      <c r="E334" s="779"/>
      <c r="F334" s="779"/>
      <c r="G334" s="779"/>
      <c r="H334" s="779"/>
      <c r="I334" s="779"/>
      <c r="J334" s="779"/>
      <c r="K334" s="779"/>
      <c r="L334" s="779"/>
      <c r="M334" s="779"/>
      <c r="N334" s="779"/>
      <c r="O334" s="398"/>
      <c r="P334" s="398"/>
      <c r="Q334" s="398"/>
      <c r="R334" s="398"/>
      <c r="S334" s="398"/>
      <c r="T334" s="398"/>
      <c r="U334" s="398"/>
      <c r="V334" s="738"/>
      <c r="W334" s="738"/>
      <c r="X334" s="738"/>
    </row>
    <row r="335" spans="1:24" ht="15.75" customHeight="1">
      <c r="A335" s="398"/>
      <c r="B335" s="398"/>
      <c r="C335" s="779"/>
      <c r="D335" s="779"/>
      <c r="E335" s="779"/>
      <c r="F335" s="779"/>
      <c r="G335" s="779"/>
      <c r="H335" s="779"/>
      <c r="I335" s="779"/>
      <c r="J335" s="779"/>
      <c r="K335" s="779"/>
      <c r="L335" s="779"/>
      <c r="M335" s="779"/>
      <c r="N335" s="779"/>
      <c r="O335" s="398"/>
      <c r="P335" s="398"/>
      <c r="Q335" s="398"/>
      <c r="R335" s="398"/>
      <c r="S335" s="398"/>
      <c r="T335" s="398"/>
      <c r="U335" s="398"/>
      <c r="V335" s="738"/>
      <c r="W335" s="738"/>
      <c r="X335" s="738"/>
    </row>
    <row r="336" spans="1:24" ht="15.75" customHeight="1">
      <c r="A336" s="398"/>
      <c r="B336" s="398"/>
      <c r="C336" s="779"/>
      <c r="D336" s="779"/>
      <c r="E336" s="779"/>
      <c r="F336" s="779"/>
      <c r="G336" s="779"/>
      <c r="H336" s="779"/>
      <c r="I336" s="779"/>
      <c r="J336" s="779"/>
      <c r="K336" s="779"/>
      <c r="L336" s="779"/>
      <c r="M336" s="779"/>
      <c r="N336" s="779"/>
      <c r="O336" s="398"/>
      <c r="P336" s="398"/>
      <c r="Q336" s="398"/>
      <c r="R336" s="398"/>
      <c r="S336" s="398"/>
      <c r="T336" s="398"/>
      <c r="U336" s="398"/>
      <c r="V336" s="738"/>
      <c r="W336" s="738"/>
      <c r="X336" s="738"/>
    </row>
    <row r="337" spans="1:24" ht="15.75" customHeight="1">
      <c r="A337" s="398"/>
      <c r="B337" s="398"/>
      <c r="C337" s="779"/>
      <c r="D337" s="779"/>
      <c r="E337" s="779"/>
      <c r="F337" s="779"/>
      <c r="G337" s="779"/>
      <c r="H337" s="779"/>
      <c r="I337" s="779"/>
      <c r="J337" s="779"/>
      <c r="K337" s="779"/>
      <c r="L337" s="779"/>
      <c r="M337" s="779"/>
      <c r="N337" s="779"/>
      <c r="O337" s="398"/>
      <c r="P337" s="398"/>
      <c r="Q337" s="398"/>
      <c r="R337" s="398"/>
      <c r="S337" s="398"/>
      <c r="T337" s="398"/>
      <c r="U337" s="398"/>
      <c r="V337" s="738"/>
      <c r="W337" s="738"/>
      <c r="X337" s="738"/>
    </row>
    <row r="338" spans="1:24" ht="15.75" customHeight="1">
      <c r="A338" s="398"/>
      <c r="B338" s="398"/>
      <c r="C338" s="779"/>
      <c r="D338" s="779"/>
      <c r="E338" s="779"/>
      <c r="F338" s="779"/>
      <c r="G338" s="779"/>
      <c r="H338" s="779"/>
      <c r="I338" s="779"/>
      <c r="J338" s="779"/>
      <c r="K338" s="779"/>
      <c r="L338" s="779"/>
      <c r="M338" s="779"/>
      <c r="N338" s="779"/>
      <c r="O338" s="398"/>
      <c r="P338" s="398"/>
      <c r="Q338" s="398"/>
      <c r="R338" s="398"/>
      <c r="S338" s="398"/>
      <c r="T338" s="398"/>
      <c r="U338" s="398"/>
      <c r="V338" s="738"/>
      <c r="W338" s="738"/>
      <c r="X338" s="738"/>
    </row>
    <row r="339" spans="1:24" ht="15.75" customHeight="1">
      <c r="A339" s="398"/>
      <c r="B339" s="398"/>
      <c r="C339" s="779"/>
      <c r="D339" s="779"/>
      <c r="E339" s="779"/>
      <c r="F339" s="779"/>
      <c r="G339" s="779"/>
      <c r="H339" s="779"/>
      <c r="I339" s="779"/>
      <c r="J339" s="779"/>
      <c r="K339" s="779"/>
      <c r="L339" s="779"/>
      <c r="M339" s="779"/>
      <c r="N339" s="779"/>
      <c r="O339" s="398"/>
      <c r="P339" s="398"/>
      <c r="Q339" s="398"/>
      <c r="R339" s="398"/>
      <c r="S339" s="398"/>
      <c r="T339" s="398"/>
      <c r="U339" s="398"/>
      <c r="V339" s="738"/>
      <c r="W339" s="738"/>
      <c r="X339" s="738"/>
    </row>
    <row r="340" spans="1:24" ht="15.75" customHeight="1">
      <c r="A340" s="398"/>
      <c r="B340" s="398"/>
      <c r="C340" s="779"/>
      <c r="D340" s="779"/>
      <c r="E340" s="779"/>
      <c r="F340" s="779"/>
      <c r="G340" s="779"/>
      <c r="H340" s="779"/>
      <c r="I340" s="779"/>
      <c r="J340" s="779"/>
      <c r="K340" s="779"/>
      <c r="L340" s="779"/>
      <c r="M340" s="779"/>
      <c r="N340" s="779"/>
      <c r="O340" s="398"/>
      <c r="P340" s="398"/>
      <c r="Q340" s="398"/>
      <c r="R340" s="398"/>
      <c r="S340" s="398"/>
      <c r="T340" s="398"/>
      <c r="U340" s="398"/>
      <c r="V340" s="738"/>
      <c r="W340" s="738"/>
      <c r="X340" s="738"/>
    </row>
    <row r="341" spans="1:24" ht="15.75" customHeight="1">
      <c r="A341" s="398"/>
      <c r="B341" s="398"/>
      <c r="C341" s="779"/>
      <c r="D341" s="779"/>
      <c r="E341" s="779"/>
      <c r="F341" s="779"/>
      <c r="G341" s="779"/>
      <c r="H341" s="779"/>
      <c r="I341" s="779"/>
      <c r="J341" s="779"/>
      <c r="K341" s="779"/>
      <c r="L341" s="779"/>
      <c r="M341" s="779"/>
      <c r="N341" s="779"/>
      <c r="O341" s="398"/>
      <c r="P341" s="398"/>
      <c r="Q341" s="398"/>
      <c r="R341" s="398"/>
      <c r="S341" s="398"/>
      <c r="T341" s="398"/>
      <c r="U341" s="398"/>
      <c r="V341" s="738"/>
      <c r="W341" s="738"/>
      <c r="X341" s="738"/>
    </row>
    <row r="342" spans="1:24" ht="15.75" customHeight="1">
      <c r="A342" s="398"/>
      <c r="B342" s="398"/>
      <c r="C342" s="779"/>
      <c r="D342" s="779"/>
      <c r="E342" s="779"/>
      <c r="F342" s="779"/>
      <c r="G342" s="779"/>
      <c r="H342" s="779"/>
      <c r="I342" s="779"/>
      <c r="J342" s="779"/>
      <c r="K342" s="779"/>
      <c r="L342" s="779"/>
      <c r="M342" s="779"/>
      <c r="N342" s="779"/>
      <c r="O342" s="398"/>
      <c r="P342" s="398"/>
      <c r="Q342" s="398"/>
      <c r="R342" s="398"/>
      <c r="S342" s="398"/>
      <c r="T342" s="398"/>
      <c r="U342" s="398"/>
      <c r="V342" s="738"/>
      <c r="W342" s="738"/>
      <c r="X342" s="738"/>
    </row>
    <row r="343" spans="1:24" ht="15.75" customHeight="1">
      <c r="A343" s="398"/>
      <c r="B343" s="398"/>
      <c r="C343" s="779"/>
      <c r="D343" s="779"/>
      <c r="E343" s="779"/>
      <c r="F343" s="779"/>
      <c r="G343" s="779"/>
      <c r="H343" s="779"/>
      <c r="I343" s="779"/>
      <c r="J343" s="779"/>
      <c r="K343" s="779"/>
      <c r="L343" s="779"/>
      <c r="M343" s="779"/>
      <c r="N343" s="779"/>
      <c r="O343" s="398"/>
      <c r="P343" s="398"/>
      <c r="Q343" s="398"/>
      <c r="R343" s="398"/>
      <c r="S343" s="398"/>
      <c r="T343" s="398"/>
      <c r="U343" s="398"/>
      <c r="V343" s="738"/>
      <c r="W343" s="738"/>
      <c r="X343" s="738"/>
    </row>
    <row r="344" spans="1:24" ht="15.75" customHeight="1">
      <c r="A344" s="398"/>
      <c r="B344" s="398"/>
      <c r="C344" s="779"/>
      <c r="D344" s="779"/>
      <c r="E344" s="779"/>
      <c r="F344" s="779"/>
      <c r="G344" s="779"/>
      <c r="H344" s="779"/>
      <c r="I344" s="779"/>
      <c r="J344" s="779"/>
      <c r="K344" s="779"/>
      <c r="L344" s="779"/>
      <c r="M344" s="779"/>
      <c r="N344" s="779"/>
      <c r="O344" s="398"/>
      <c r="P344" s="398"/>
      <c r="Q344" s="398"/>
      <c r="R344" s="398"/>
      <c r="S344" s="398"/>
      <c r="T344" s="398"/>
      <c r="U344" s="398"/>
      <c r="V344" s="738"/>
      <c r="W344" s="738"/>
      <c r="X344" s="738"/>
    </row>
    <row r="345" spans="1:24" ht="15.75" customHeight="1">
      <c r="A345" s="398"/>
      <c r="B345" s="398"/>
      <c r="C345" s="779"/>
      <c r="D345" s="779"/>
      <c r="E345" s="779"/>
      <c r="F345" s="779"/>
      <c r="G345" s="779"/>
      <c r="H345" s="779"/>
      <c r="I345" s="779"/>
      <c r="J345" s="779"/>
      <c r="K345" s="779"/>
      <c r="L345" s="779"/>
      <c r="M345" s="779"/>
      <c r="N345" s="779"/>
      <c r="O345" s="398"/>
      <c r="P345" s="398"/>
      <c r="Q345" s="398"/>
      <c r="R345" s="398"/>
      <c r="S345" s="398"/>
      <c r="T345" s="398"/>
      <c r="U345" s="398"/>
      <c r="V345" s="738"/>
      <c r="W345" s="738"/>
      <c r="X345" s="738"/>
    </row>
    <row r="346" spans="1:24" ht="15.75" customHeight="1">
      <c r="A346" s="398"/>
      <c r="B346" s="398"/>
      <c r="C346" s="779"/>
      <c r="D346" s="779"/>
      <c r="E346" s="779"/>
      <c r="F346" s="779"/>
      <c r="G346" s="779"/>
      <c r="H346" s="779"/>
      <c r="I346" s="779"/>
      <c r="J346" s="779"/>
      <c r="K346" s="779"/>
      <c r="L346" s="779"/>
      <c r="M346" s="779"/>
      <c r="N346" s="779"/>
      <c r="O346" s="398"/>
      <c r="P346" s="398"/>
      <c r="Q346" s="398"/>
      <c r="R346" s="398"/>
      <c r="S346" s="398"/>
      <c r="T346" s="398"/>
      <c r="U346" s="398"/>
      <c r="V346" s="738"/>
      <c r="W346" s="738"/>
      <c r="X346" s="738"/>
    </row>
    <row r="347" spans="1:24" ht="15.75" customHeight="1">
      <c r="A347" s="398"/>
      <c r="B347" s="398"/>
      <c r="C347" s="779"/>
      <c r="D347" s="779"/>
      <c r="E347" s="779"/>
      <c r="F347" s="779"/>
      <c r="G347" s="779"/>
      <c r="H347" s="779"/>
      <c r="I347" s="779"/>
      <c r="J347" s="779"/>
      <c r="K347" s="779"/>
      <c r="L347" s="779"/>
      <c r="M347" s="779"/>
      <c r="N347" s="779"/>
      <c r="O347" s="398"/>
      <c r="P347" s="398"/>
      <c r="Q347" s="398"/>
      <c r="R347" s="398"/>
      <c r="S347" s="398"/>
      <c r="T347" s="398"/>
      <c r="U347" s="398"/>
      <c r="V347" s="738"/>
      <c r="W347" s="738"/>
      <c r="X347" s="738"/>
    </row>
    <row r="348" spans="1:24" ht="15.75" customHeight="1">
      <c r="A348" s="398"/>
      <c r="B348" s="398"/>
      <c r="C348" s="779"/>
      <c r="D348" s="779"/>
      <c r="E348" s="779"/>
      <c r="F348" s="779"/>
      <c r="G348" s="779"/>
      <c r="H348" s="779"/>
      <c r="I348" s="779"/>
      <c r="J348" s="779"/>
      <c r="K348" s="779"/>
      <c r="L348" s="779"/>
      <c r="M348" s="779"/>
      <c r="N348" s="779"/>
      <c r="O348" s="398"/>
      <c r="P348" s="398"/>
      <c r="Q348" s="398"/>
      <c r="R348" s="398"/>
      <c r="S348" s="398"/>
      <c r="T348" s="398"/>
      <c r="U348" s="398"/>
      <c r="V348" s="738"/>
      <c r="W348" s="738"/>
      <c r="X348" s="738"/>
    </row>
    <row r="349" spans="1:24" ht="15.75" customHeight="1">
      <c r="A349" s="398"/>
      <c r="B349" s="398"/>
      <c r="C349" s="779"/>
      <c r="D349" s="779"/>
      <c r="E349" s="779"/>
      <c r="F349" s="779"/>
      <c r="G349" s="779"/>
      <c r="H349" s="779"/>
      <c r="I349" s="779"/>
      <c r="J349" s="779"/>
      <c r="K349" s="779"/>
      <c r="L349" s="779"/>
      <c r="M349" s="779"/>
      <c r="N349" s="779"/>
      <c r="O349" s="398"/>
      <c r="P349" s="398"/>
      <c r="Q349" s="398"/>
      <c r="R349" s="398"/>
      <c r="S349" s="398"/>
      <c r="T349" s="398"/>
      <c r="U349" s="398"/>
      <c r="V349" s="738"/>
      <c r="W349" s="738"/>
      <c r="X349" s="738"/>
    </row>
    <row r="350" spans="1:24" ht="15.75" customHeight="1">
      <c r="A350" s="398"/>
      <c r="B350" s="398"/>
      <c r="C350" s="779"/>
      <c r="D350" s="779"/>
      <c r="E350" s="779"/>
      <c r="F350" s="779"/>
      <c r="G350" s="779"/>
      <c r="H350" s="779"/>
      <c r="I350" s="779"/>
      <c r="J350" s="779"/>
      <c r="K350" s="779"/>
      <c r="L350" s="779"/>
      <c r="M350" s="779"/>
      <c r="N350" s="779"/>
      <c r="O350" s="398"/>
      <c r="P350" s="398"/>
      <c r="Q350" s="398"/>
      <c r="R350" s="398"/>
      <c r="S350" s="398"/>
      <c r="T350" s="398"/>
      <c r="U350" s="398"/>
      <c r="V350" s="738"/>
      <c r="W350" s="738"/>
      <c r="X350" s="738"/>
    </row>
    <row r="351" spans="1:24" ht="15.75" customHeight="1">
      <c r="A351" s="398"/>
      <c r="B351" s="398"/>
      <c r="C351" s="779"/>
      <c r="D351" s="779"/>
      <c r="E351" s="779"/>
      <c r="F351" s="779"/>
      <c r="G351" s="779"/>
      <c r="H351" s="779"/>
      <c r="I351" s="779"/>
      <c r="J351" s="779"/>
      <c r="K351" s="779"/>
      <c r="L351" s="779"/>
      <c r="M351" s="779"/>
      <c r="N351" s="779"/>
      <c r="O351" s="398"/>
      <c r="P351" s="398"/>
      <c r="Q351" s="398"/>
      <c r="R351" s="398"/>
      <c r="S351" s="398"/>
      <c r="T351" s="398"/>
      <c r="U351" s="398"/>
      <c r="V351" s="738"/>
      <c r="W351" s="738"/>
      <c r="X351" s="738"/>
    </row>
    <row r="352" spans="1:24" ht="15.75" customHeight="1">
      <c r="A352" s="398"/>
      <c r="B352" s="398"/>
      <c r="C352" s="779"/>
      <c r="D352" s="779"/>
      <c r="E352" s="779"/>
      <c r="F352" s="779"/>
      <c r="G352" s="779"/>
      <c r="H352" s="779"/>
      <c r="I352" s="779"/>
      <c r="J352" s="779"/>
      <c r="K352" s="779"/>
      <c r="L352" s="779"/>
      <c r="M352" s="779"/>
      <c r="N352" s="779"/>
      <c r="O352" s="398"/>
      <c r="P352" s="398"/>
      <c r="Q352" s="398"/>
      <c r="R352" s="398"/>
      <c r="S352" s="398"/>
      <c r="T352" s="398"/>
      <c r="U352" s="398"/>
      <c r="V352" s="738"/>
      <c r="W352" s="738"/>
      <c r="X352" s="738"/>
    </row>
    <row r="353" spans="1:24" ht="15.75" customHeight="1">
      <c r="A353" s="398"/>
      <c r="B353" s="398"/>
      <c r="C353" s="779"/>
      <c r="D353" s="779"/>
      <c r="E353" s="779"/>
      <c r="F353" s="779"/>
      <c r="G353" s="779"/>
      <c r="H353" s="779"/>
      <c r="I353" s="779"/>
      <c r="J353" s="779"/>
      <c r="K353" s="779"/>
      <c r="L353" s="779"/>
      <c r="M353" s="779"/>
      <c r="N353" s="779"/>
      <c r="O353" s="398"/>
      <c r="P353" s="398"/>
      <c r="Q353" s="398"/>
      <c r="R353" s="398"/>
      <c r="S353" s="398"/>
      <c r="T353" s="398"/>
      <c r="U353" s="398"/>
      <c r="V353" s="738"/>
      <c r="W353" s="738"/>
      <c r="X353" s="738"/>
    </row>
    <row r="354" spans="1:24" ht="15.75" customHeight="1">
      <c r="A354" s="398"/>
      <c r="B354" s="398"/>
      <c r="C354" s="779"/>
      <c r="D354" s="779"/>
      <c r="E354" s="779"/>
      <c r="F354" s="779"/>
      <c r="G354" s="779"/>
      <c r="H354" s="779"/>
      <c r="I354" s="779"/>
      <c r="J354" s="779"/>
      <c r="K354" s="779"/>
      <c r="L354" s="779"/>
      <c r="M354" s="779"/>
      <c r="N354" s="779"/>
      <c r="O354" s="398"/>
      <c r="P354" s="398"/>
      <c r="Q354" s="398"/>
      <c r="R354" s="398"/>
      <c r="S354" s="398"/>
      <c r="T354" s="398"/>
      <c r="U354" s="398"/>
      <c r="V354" s="738"/>
      <c r="W354" s="738"/>
      <c r="X354" s="738"/>
    </row>
    <row r="355" spans="1:24" ht="15.75" customHeight="1">
      <c r="A355" s="398"/>
      <c r="B355" s="398"/>
      <c r="C355" s="779"/>
      <c r="D355" s="779"/>
      <c r="E355" s="779"/>
      <c r="F355" s="779"/>
      <c r="G355" s="779"/>
      <c r="H355" s="779"/>
      <c r="I355" s="779"/>
      <c r="J355" s="779"/>
      <c r="K355" s="779"/>
      <c r="L355" s="779"/>
      <c r="M355" s="779"/>
      <c r="N355" s="779"/>
      <c r="O355" s="398"/>
      <c r="P355" s="398"/>
      <c r="Q355" s="398"/>
      <c r="R355" s="398"/>
      <c r="S355" s="398"/>
      <c r="T355" s="398"/>
      <c r="U355" s="398"/>
      <c r="V355" s="738"/>
      <c r="W355" s="738"/>
      <c r="X355" s="738"/>
    </row>
    <row r="356" spans="1:24" ht="15.75" customHeight="1">
      <c r="A356" s="398"/>
      <c r="B356" s="398"/>
      <c r="C356" s="779"/>
      <c r="D356" s="779"/>
      <c r="E356" s="779"/>
      <c r="F356" s="779"/>
      <c r="G356" s="779"/>
      <c r="H356" s="779"/>
      <c r="I356" s="779"/>
      <c r="J356" s="779"/>
      <c r="K356" s="779"/>
      <c r="L356" s="779"/>
      <c r="M356" s="779"/>
      <c r="N356" s="779"/>
      <c r="O356" s="398"/>
      <c r="P356" s="398"/>
      <c r="Q356" s="398"/>
      <c r="R356" s="398"/>
      <c r="S356" s="398"/>
      <c r="T356" s="398"/>
      <c r="U356" s="398"/>
      <c r="V356" s="738"/>
      <c r="W356" s="738"/>
      <c r="X356" s="738"/>
    </row>
    <row r="357" spans="1:24" ht="15.75" customHeight="1">
      <c r="A357" s="398"/>
      <c r="B357" s="398"/>
      <c r="C357" s="779"/>
      <c r="D357" s="779"/>
      <c r="E357" s="779"/>
      <c r="F357" s="779"/>
      <c r="G357" s="779"/>
      <c r="H357" s="779"/>
      <c r="I357" s="779"/>
      <c r="J357" s="779"/>
      <c r="K357" s="779"/>
      <c r="L357" s="779"/>
      <c r="M357" s="779"/>
      <c r="N357" s="779"/>
      <c r="O357" s="398"/>
      <c r="P357" s="398"/>
      <c r="Q357" s="398"/>
      <c r="R357" s="398"/>
      <c r="S357" s="398"/>
      <c r="T357" s="398"/>
      <c r="U357" s="398"/>
      <c r="V357" s="738"/>
      <c r="W357" s="738"/>
      <c r="X357" s="738"/>
    </row>
    <row r="358" spans="1:24" ht="15.75" customHeight="1">
      <c r="A358" s="398"/>
      <c r="B358" s="398"/>
      <c r="C358" s="779"/>
      <c r="D358" s="779"/>
      <c r="E358" s="779"/>
      <c r="F358" s="779"/>
      <c r="G358" s="779"/>
      <c r="H358" s="779"/>
      <c r="I358" s="779"/>
      <c r="J358" s="779"/>
      <c r="K358" s="779"/>
      <c r="L358" s="779"/>
      <c r="M358" s="779"/>
      <c r="N358" s="779"/>
      <c r="O358" s="398"/>
      <c r="P358" s="398"/>
      <c r="Q358" s="398"/>
      <c r="R358" s="398"/>
      <c r="S358" s="398"/>
      <c r="T358" s="398"/>
      <c r="U358" s="398"/>
      <c r="V358" s="738"/>
      <c r="W358" s="738"/>
      <c r="X358" s="738"/>
    </row>
    <row r="359" spans="1:24" ht="15.75" customHeight="1">
      <c r="A359" s="398"/>
      <c r="B359" s="398"/>
      <c r="C359" s="779"/>
      <c r="D359" s="779"/>
      <c r="E359" s="779"/>
      <c r="F359" s="779"/>
      <c r="G359" s="779"/>
      <c r="H359" s="779"/>
      <c r="I359" s="779"/>
      <c r="J359" s="779"/>
      <c r="K359" s="779"/>
      <c r="L359" s="779"/>
      <c r="M359" s="779"/>
      <c r="N359" s="779"/>
      <c r="O359" s="398"/>
      <c r="P359" s="398"/>
      <c r="Q359" s="398"/>
      <c r="R359" s="398"/>
      <c r="S359" s="398"/>
      <c r="T359" s="398"/>
      <c r="U359" s="398"/>
      <c r="V359" s="738"/>
      <c r="W359" s="738"/>
      <c r="X359" s="738"/>
    </row>
    <row r="360" spans="1:24" ht="15.75" customHeight="1">
      <c r="A360" s="398"/>
      <c r="B360" s="398"/>
      <c r="C360" s="779"/>
      <c r="D360" s="779"/>
      <c r="E360" s="779"/>
      <c r="F360" s="779"/>
      <c r="G360" s="779"/>
      <c r="H360" s="779"/>
      <c r="I360" s="779"/>
      <c r="J360" s="779"/>
      <c r="K360" s="779"/>
      <c r="L360" s="779"/>
      <c r="M360" s="779"/>
      <c r="N360" s="779"/>
      <c r="O360" s="398"/>
      <c r="P360" s="398"/>
      <c r="Q360" s="398"/>
      <c r="R360" s="398"/>
      <c r="S360" s="398"/>
      <c r="T360" s="398"/>
      <c r="U360" s="398"/>
      <c r="V360" s="738"/>
      <c r="W360" s="738"/>
      <c r="X360" s="738"/>
    </row>
    <row r="361" spans="1:24" ht="15.75" customHeight="1">
      <c r="A361" s="398"/>
      <c r="B361" s="398"/>
      <c r="C361" s="779"/>
      <c r="D361" s="779"/>
      <c r="E361" s="779"/>
      <c r="F361" s="779"/>
      <c r="G361" s="779"/>
      <c r="H361" s="779"/>
      <c r="I361" s="779"/>
      <c r="J361" s="779"/>
      <c r="K361" s="779"/>
      <c r="L361" s="779"/>
      <c r="M361" s="779"/>
      <c r="N361" s="779"/>
      <c r="O361" s="398"/>
      <c r="P361" s="398"/>
      <c r="Q361" s="398"/>
      <c r="R361" s="398"/>
      <c r="S361" s="398"/>
      <c r="T361" s="398"/>
      <c r="U361" s="398"/>
      <c r="V361" s="738"/>
      <c r="W361" s="738"/>
      <c r="X361" s="738"/>
    </row>
    <row r="362" spans="1:24" ht="15.75" customHeight="1">
      <c r="A362" s="398"/>
      <c r="B362" s="398"/>
      <c r="C362" s="779"/>
      <c r="D362" s="779"/>
      <c r="E362" s="779"/>
      <c r="F362" s="779"/>
      <c r="G362" s="779"/>
      <c r="H362" s="779"/>
      <c r="I362" s="779"/>
      <c r="J362" s="779"/>
      <c r="K362" s="779"/>
      <c r="L362" s="779"/>
      <c r="M362" s="779"/>
      <c r="N362" s="779"/>
      <c r="O362" s="398"/>
      <c r="P362" s="398"/>
      <c r="Q362" s="398"/>
      <c r="R362" s="398"/>
      <c r="S362" s="398"/>
      <c r="T362" s="398"/>
      <c r="U362" s="398"/>
      <c r="V362" s="738"/>
      <c r="W362" s="738"/>
      <c r="X362" s="738"/>
    </row>
    <row r="363" spans="1:24" ht="15.75" customHeight="1">
      <c r="A363" s="398"/>
      <c r="B363" s="398"/>
      <c r="C363" s="779"/>
      <c r="D363" s="779"/>
      <c r="E363" s="779"/>
      <c r="F363" s="779"/>
      <c r="G363" s="779"/>
      <c r="H363" s="779"/>
      <c r="I363" s="779"/>
      <c r="J363" s="779"/>
      <c r="K363" s="779"/>
      <c r="L363" s="779"/>
      <c r="M363" s="779"/>
      <c r="N363" s="779"/>
      <c r="O363" s="398"/>
      <c r="P363" s="398"/>
      <c r="Q363" s="398"/>
      <c r="R363" s="398"/>
      <c r="S363" s="398"/>
      <c r="T363" s="398"/>
      <c r="U363" s="398"/>
      <c r="V363" s="738"/>
      <c r="W363" s="738"/>
      <c r="X363" s="738"/>
    </row>
    <row r="364" spans="1:24" ht="15.75" customHeight="1">
      <c r="A364" s="398"/>
      <c r="B364" s="398"/>
      <c r="C364" s="779"/>
      <c r="D364" s="779"/>
      <c r="E364" s="779"/>
      <c r="F364" s="779"/>
      <c r="G364" s="779"/>
      <c r="H364" s="779"/>
      <c r="I364" s="779"/>
      <c r="J364" s="779"/>
      <c r="K364" s="779"/>
      <c r="L364" s="779"/>
      <c r="M364" s="779"/>
      <c r="N364" s="779"/>
      <c r="O364" s="398"/>
      <c r="P364" s="398"/>
      <c r="Q364" s="398"/>
      <c r="R364" s="398"/>
      <c r="S364" s="398"/>
      <c r="T364" s="398"/>
      <c r="U364" s="398"/>
      <c r="V364" s="738"/>
      <c r="W364" s="738"/>
      <c r="X364" s="738"/>
    </row>
    <row r="365" spans="1:24" ht="15.75" customHeight="1">
      <c r="A365" s="398"/>
      <c r="B365" s="398"/>
      <c r="C365" s="779"/>
      <c r="D365" s="779"/>
      <c r="E365" s="779"/>
      <c r="F365" s="779"/>
      <c r="G365" s="779"/>
      <c r="H365" s="779"/>
      <c r="I365" s="779"/>
      <c r="J365" s="779"/>
      <c r="K365" s="779"/>
      <c r="L365" s="779"/>
      <c r="M365" s="779"/>
      <c r="N365" s="779"/>
      <c r="O365" s="398"/>
      <c r="P365" s="398"/>
      <c r="Q365" s="398"/>
      <c r="R365" s="398"/>
      <c r="S365" s="398"/>
      <c r="T365" s="398"/>
      <c r="U365" s="398"/>
      <c r="V365" s="738"/>
      <c r="W365" s="738"/>
      <c r="X365" s="738"/>
    </row>
    <row r="366" spans="1:24" ht="15.75" customHeight="1">
      <c r="A366" s="398"/>
      <c r="B366" s="398"/>
      <c r="C366" s="779"/>
      <c r="D366" s="779"/>
      <c r="E366" s="779"/>
      <c r="F366" s="779"/>
      <c r="G366" s="779"/>
      <c r="H366" s="779"/>
      <c r="I366" s="779"/>
      <c r="J366" s="779"/>
      <c r="K366" s="779"/>
      <c r="L366" s="779"/>
      <c r="M366" s="779"/>
      <c r="N366" s="779"/>
      <c r="O366" s="398"/>
      <c r="P366" s="398"/>
      <c r="Q366" s="398"/>
      <c r="R366" s="398"/>
      <c r="S366" s="398"/>
      <c r="T366" s="398"/>
      <c r="U366" s="398"/>
      <c r="V366" s="738"/>
      <c r="W366" s="738"/>
      <c r="X366" s="738"/>
    </row>
    <row r="367" spans="1:24" ht="15.75" customHeight="1">
      <c r="A367" s="398"/>
      <c r="B367" s="398"/>
      <c r="C367" s="779"/>
      <c r="D367" s="779"/>
      <c r="E367" s="779"/>
      <c r="F367" s="779"/>
      <c r="G367" s="779"/>
      <c r="H367" s="779"/>
      <c r="I367" s="779"/>
      <c r="J367" s="779"/>
      <c r="K367" s="779"/>
      <c r="L367" s="779"/>
      <c r="M367" s="779"/>
      <c r="N367" s="779"/>
      <c r="O367" s="398"/>
      <c r="P367" s="398"/>
      <c r="Q367" s="398"/>
      <c r="R367" s="398"/>
      <c r="S367" s="398"/>
      <c r="T367" s="398"/>
      <c r="U367" s="398"/>
      <c r="V367" s="738"/>
      <c r="W367" s="738"/>
      <c r="X367" s="738"/>
    </row>
    <row r="368" spans="1:24" ht="15.75" customHeight="1">
      <c r="A368" s="398"/>
      <c r="B368" s="398"/>
      <c r="C368" s="779"/>
      <c r="D368" s="779"/>
      <c r="E368" s="779"/>
      <c r="F368" s="779"/>
      <c r="G368" s="779"/>
      <c r="H368" s="779"/>
      <c r="I368" s="779"/>
      <c r="J368" s="779"/>
      <c r="K368" s="779"/>
      <c r="L368" s="779"/>
      <c r="M368" s="779"/>
      <c r="N368" s="779"/>
      <c r="O368" s="398"/>
      <c r="P368" s="398"/>
      <c r="Q368" s="398"/>
      <c r="R368" s="398"/>
      <c r="S368" s="398"/>
      <c r="T368" s="398"/>
      <c r="U368" s="398"/>
      <c r="V368" s="738"/>
      <c r="W368" s="738"/>
      <c r="X368" s="738"/>
    </row>
    <row r="369" spans="1:24" ht="15.75" customHeight="1">
      <c r="A369" s="398"/>
      <c r="B369" s="398"/>
      <c r="C369" s="779"/>
      <c r="D369" s="779"/>
      <c r="E369" s="779"/>
      <c r="F369" s="779"/>
      <c r="G369" s="779"/>
      <c r="H369" s="779"/>
      <c r="I369" s="779"/>
      <c r="J369" s="779"/>
      <c r="K369" s="779"/>
      <c r="L369" s="779"/>
      <c r="M369" s="779"/>
      <c r="N369" s="779"/>
      <c r="O369" s="398"/>
      <c r="P369" s="398"/>
      <c r="Q369" s="398"/>
      <c r="R369" s="398"/>
      <c r="S369" s="398"/>
      <c r="T369" s="398"/>
      <c r="U369" s="398"/>
      <c r="V369" s="738"/>
      <c r="W369" s="738"/>
      <c r="X369" s="738"/>
    </row>
    <row r="370" spans="1:24" ht="15.75" customHeight="1">
      <c r="A370" s="398"/>
      <c r="B370" s="398"/>
      <c r="C370" s="779"/>
      <c r="D370" s="779"/>
      <c r="E370" s="779"/>
      <c r="F370" s="779"/>
      <c r="G370" s="779"/>
      <c r="H370" s="779"/>
      <c r="I370" s="779"/>
      <c r="J370" s="779"/>
      <c r="K370" s="779"/>
      <c r="L370" s="779"/>
      <c r="M370" s="779"/>
      <c r="N370" s="779"/>
      <c r="O370" s="398"/>
      <c r="P370" s="398"/>
      <c r="Q370" s="398"/>
      <c r="R370" s="398"/>
      <c r="S370" s="398"/>
      <c r="T370" s="398"/>
      <c r="U370" s="398"/>
      <c r="V370" s="738"/>
      <c r="W370" s="738"/>
      <c r="X370" s="738"/>
    </row>
    <row r="371" spans="1:24" ht="15.75" customHeight="1">
      <c r="A371" s="398"/>
      <c r="B371" s="398"/>
      <c r="C371" s="779"/>
      <c r="D371" s="779"/>
      <c r="E371" s="779"/>
      <c r="F371" s="779"/>
      <c r="G371" s="779"/>
      <c r="H371" s="779"/>
      <c r="I371" s="779"/>
      <c r="J371" s="779"/>
      <c r="K371" s="779"/>
      <c r="L371" s="779"/>
      <c r="M371" s="779"/>
      <c r="N371" s="779"/>
      <c r="O371" s="398"/>
      <c r="P371" s="398"/>
      <c r="Q371" s="398"/>
      <c r="R371" s="398"/>
      <c r="S371" s="398"/>
      <c r="T371" s="398"/>
      <c r="U371" s="398"/>
      <c r="V371" s="738"/>
      <c r="W371" s="738"/>
      <c r="X371" s="738"/>
    </row>
    <row r="372" spans="1:24" ht="15.75" customHeight="1">
      <c r="A372" s="398"/>
      <c r="B372" s="398"/>
      <c r="C372" s="779"/>
      <c r="D372" s="779"/>
      <c r="E372" s="779"/>
      <c r="F372" s="779"/>
      <c r="G372" s="779"/>
      <c r="H372" s="779"/>
      <c r="I372" s="779"/>
      <c r="J372" s="779"/>
      <c r="K372" s="779"/>
      <c r="L372" s="779"/>
      <c r="M372" s="779"/>
      <c r="N372" s="779"/>
      <c r="O372" s="398"/>
      <c r="P372" s="398"/>
      <c r="Q372" s="398"/>
      <c r="R372" s="398"/>
      <c r="S372" s="398"/>
      <c r="T372" s="398"/>
      <c r="U372" s="398"/>
      <c r="V372" s="738"/>
      <c r="W372" s="738"/>
      <c r="X372" s="738"/>
    </row>
    <row r="373" spans="1:24" ht="15.75" customHeight="1">
      <c r="A373" s="398"/>
      <c r="B373" s="398"/>
      <c r="C373" s="779"/>
      <c r="D373" s="779"/>
      <c r="E373" s="779"/>
      <c r="F373" s="779"/>
      <c r="G373" s="779"/>
      <c r="H373" s="779"/>
      <c r="I373" s="779"/>
      <c r="J373" s="779"/>
      <c r="K373" s="779"/>
      <c r="L373" s="779"/>
      <c r="M373" s="779"/>
      <c r="N373" s="779"/>
      <c r="O373" s="398"/>
      <c r="P373" s="398"/>
      <c r="Q373" s="398"/>
      <c r="R373" s="398"/>
      <c r="S373" s="398"/>
      <c r="T373" s="398"/>
      <c r="U373" s="398"/>
      <c r="V373" s="738"/>
      <c r="W373" s="738"/>
      <c r="X373" s="738"/>
    </row>
    <row r="374" spans="1:24" ht="15.75" customHeight="1">
      <c r="A374" s="398"/>
      <c r="B374" s="398"/>
      <c r="C374" s="779"/>
      <c r="D374" s="779"/>
      <c r="E374" s="779"/>
      <c r="F374" s="779"/>
      <c r="G374" s="779"/>
      <c r="H374" s="779"/>
      <c r="I374" s="779"/>
      <c r="J374" s="779"/>
      <c r="K374" s="779"/>
      <c r="L374" s="779"/>
      <c r="M374" s="779"/>
      <c r="N374" s="779"/>
      <c r="O374" s="398"/>
      <c r="P374" s="398"/>
      <c r="Q374" s="398"/>
      <c r="R374" s="398"/>
      <c r="S374" s="398"/>
      <c r="T374" s="398"/>
      <c r="U374" s="398"/>
      <c r="V374" s="738"/>
      <c r="W374" s="738"/>
      <c r="X374" s="738"/>
    </row>
    <row r="375" spans="1:24" ht="15.75" customHeight="1">
      <c r="A375" s="398"/>
      <c r="B375" s="398"/>
      <c r="C375" s="779"/>
      <c r="D375" s="779"/>
      <c r="E375" s="779"/>
      <c r="F375" s="779"/>
      <c r="G375" s="779"/>
      <c r="H375" s="779"/>
      <c r="I375" s="779"/>
      <c r="J375" s="779"/>
      <c r="K375" s="779"/>
      <c r="L375" s="779"/>
      <c r="M375" s="779"/>
      <c r="N375" s="779"/>
      <c r="O375" s="398"/>
      <c r="P375" s="398"/>
      <c r="Q375" s="398"/>
      <c r="R375" s="398"/>
      <c r="S375" s="398"/>
      <c r="T375" s="398"/>
      <c r="U375" s="398"/>
      <c r="V375" s="738"/>
      <c r="W375" s="738"/>
      <c r="X375" s="738"/>
    </row>
    <row r="376" spans="1:24" ht="15.75" customHeight="1">
      <c r="A376" s="398"/>
      <c r="B376" s="398"/>
      <c r="C376" s="779"/>
      <c r="D376" s="779"/>
      <c r="E376" s="779"/>
      <c r="F376" s="779"/>
      <c r="G376" s="779"/>
      <c r="H376" s="779"/>
      <c r="I376" s="779"/>
      <c r="J376" s="779"/>
      <c r="K376" s="779"/>
      <c r="L376" s="779"/>
      <c r="M376" s="779"/>
      <c r="N376" s="779"/>
      <c r="O376" s="398"/>
      <c r="P376" s="398"/>
      <c r="Q376" s="398"/>
      <c r="R376" s="398"/>
      <c r="S376" s="398"/>
      <c r="T376" s="398"/>
      <c r="U376" s="398"/>
      <c r="V376" s="738"/>
      <c r="W376" s="738"/>
      <c r="X376" s="738"/>
    </row>
    <row r="377" spans="1:24" ht="15.75" customHeight="1">
      <c r="A377" s="398"/>
      <c r="B377" s="398"/>
      <c r="C377" s="779"/>
      <c r="D377" s="779"/>
      <c r="E377" s="779"/>
      <c r="F377" s="779"/>
      <c r="G377" s="779"/>
      <c r="H377" s="779"/>
      <c r="I377" s="779"/>
      <c r="J377" s="779"/>
      <c r="K377" s="779"/>
      <c r="L377" s="779"/>
      <c r="M377" s="779"/>
      <c r="N377" s="779"/>
      <c r="O377" s="398"/>
      <c r="P377" s="398"/>
      <c r="Q377" s="398"/>
      <c r="R377" s="398"/>
      <c r="S377" s="398"/>
      <c r="T377" s="398"/>
      <c r="U377" s="398"/>
      <c r="V377" s="738"/>
      <c r="W377" s="738"/>
      <c r="X377" s="738"/>
    </row>
    <row r="378" spans="1:24" ht="15.75" customHeight="1">
      <c r="A378" s="398"/>
      <c r="B378" s="398"/>
      <c r="C378" s="779"/>
      <c r="D378" s="779"/>
      <c r="E378" s="779"/>
      <c r="F378" s="779"/>
      <c r="G378" s="779"/>
      <c r="H378" s="779"/>
      <c r="I378" s="779"/>
      <c r="J378" s="779"/>
      <c r="K378" s="779"/>
      <c r="L378" s="779"/>
      <c r="M378" s="779"/>
      <c r="N378" s="779"/>
      <c r="O378" s="398"/>
      <c r="P378" s="398"/>
      <c r="Q378" s="398"/>
      <c r="R378" s="398"/>
      <c r="S378" s="398"/>
      <c r="T378" s="398"/>
      <c r="U378" s="398"/>
      <c r="V378" s="738"/>
      <c r="W378" s="738"/>
      <c r="X378" s="738"/>
    </row>
    <row r="379" spans="1:24" ht="15.75" customHeight="1">
      <c r="A379" s="398"/>
      <c r="B379" s="398"/>
      <c r="C379" s="779"/>
      <c r="D379" s="779"/>
      <c r="E379" s="779"/>
      <c r="F379" s="779"/>
      <c r="G379" s="779"/>
      <c r="H379" s="779"/>
      <c r="I379" s="779"/>
      <c r="J379" s="779"/>
      <c r="K379" s="779"/>
      <c r="L379" s="779"/>
      <c r="M379" s="779"/>
      <c r="N379" s="779"/>
      <c r="O379" s="398"/>
      <c r="P379" s="398"/>
      <c r="Q379" s="398"/>
      <c r="R379" s="398"/>
      <c r="S379" s="398"/>
      <c r="T379" s="398"/>
      <c r="U379" s="398"/>
      <c r="V379" s="738"/>
      <c r="W379" s="738"/>
      <c r="X379" s="738"/>
    </row>
    <row r="380" spans="1:24" ht="15.75" customHeight="1">
      <c r="A380" s="398"/>
      <c r="B380" s="398"/>
      <c r="C380" s="779"/>
      <c r="D380" s="779"/>
      <c r="E380" s="779"/>
      <c r="F380" s="779"/>
      <c r="G380" s="779"/>
      <c r="H380" s="779"/>
      <c r="I380" s="779"/>
      <c r="J380" s="779"/>
      <c r="K380" s="779"/>
      <c r="L380" s="779"/>
      <c r="M380" s="779"/>
      <c r="N380" s="779"/>
      <c r="O380" s="398"/>
      <c r="P380" s="398"/>
      <c r="Q380" s="398"/>
      <c r="R380" s="398"/>
      <c r="S380" s="398"/>
      <c r="T380" s="398"/>
      <c r="U380" s="398"/>
      <c r="V380" s="738"/>
      <c r="W380" s="738"/>
      <c r="X380" s="738"/>
    </row>
    <row r="381" spans="1:24" ht="15.75" customHeight="1">
      <c r="A381" s="398"/>
      <c r="B381" s="398"/>
      <c r="C381" s="779"/>
      <c r="D381" s="779"/>
      <c r="E381" s="779"/>
      <c r="F381" s="779"/>
      <c r="G381" s="779"/>
      <c r="H381" s="779"/>
      <c r="I381" s="779"/>
      <c r="J381" s="779"/>
      <c r="K381" s="779"/>
      <c r="L381" s="779"/>
      <c r="M381" s="779"/>
      <c r="N381" s="779"/>
      <c r="O381" s="398"/>
      <c r="P381" s="398"/>
      <c r="Q381" s="398"/>
      <c r="R381" s="398"/>
      <c r="S381" s="398"/>
      <c r="T381" s="398"/>
      <c r="U381" s="398"/>
      <c r="V381" s="738"/>
      <c r="W381" s="738"/>
      <c r="X381" s="738"/>
    </row>
    <row r="382" spans="1:24" ht="15.75" customHeight="1">
      <c r="A382" s="398"/>
      <c r="B382" s="398"/>
      <c r="C382" s="779"/>
      <c r="D382" s="779"/>
      <c r="E382" s="779"/>
      <c r="F382" s="779"/>
      <c r="G382" s="779"/>
      <c r="H382" s="779"/>
      <c r="I382" s="779"/>
      <c r="J382" s="779"/>
      <c r="K382" s="779"/>
      <c r="L382" s="779"/>
      <c r="M382" s="779"/>
      <c r="N382" s="779"/>
      <c r="O382" s="398"/>
      <c r="P382" s="398"/>
      <c r="Q382" s="398"/>
      <c r="R382" s="398"/>
      <c r="S382" s="398"/>
      <c r="T382" s="398"/>
      <c r="U382" s="398"/>
      <c r="V382" s="738"/>
      <c r="W382" s="738"/>
      <c r="X382" s="738"/>
    </row>
    <row r="383" spans="1:24" ht="15.75" customHeight="1">
      <c r="A383" s="398"/>
      <c r="B383" s="398"/>
      <c r="C383" s="779"/>
      <c r="D383" s="779"/>
      <c r="E383" s="779"/>
      <c r="F383" s="779"/>
      <c r="G383" s="779"/>
      <c r="H383" s="779"/>
      <c r="I383" s="779"/>
      <c r="J383" s="779"/>
      <c r="K383" s="779"/>
      <c r="L383" s="779"/>
      <c r="M383" s="779"/>
      <c r="N383" s="779"/>
      <c r="O383" s="398"/>
      <c r="P383" s="398"/>
      <c r="Q383" s="398"/>
      <c r="R383" s="398"/>
      <c r="S383" s="398"/>
      <c r="T383" s="398"/>
      <c r="U383" s="398"/>
      <c r="V383" s="738"/>
      <c r="W383" s="738"/>
      <c r="X383" s="738"/>
    </row>
    <row r="384" spans="1:24" ht="15.75" customHeight="1">
      <c r="A384" s="398"/>
      <c r="B384" s="398"/>
      <c r="C384" s="779"/>
      <c r="D384" s="779"/>
      <c r="E384" s="779"/>
      <c r="F384" s="779"/>
      <c r="G384" s="779"/>
      <c r="H384" s="779"/>
      <c r="I384" s="779"/>
      <c r="J384" s="779"/>
      <c r="K384" s="779"/>
      <c r="L384" s="779"/>
      <c r="M384" s="779"/>
      <c r="N384" s="779"/>
      <c r="O384" s="398"/>
      <c r="P384" s="398"/>
      <c r="Q384" s="398"/>
      <c r="R384" s="398"/>
      <c r="S384" s="398"/>
      <c r="T384" s="398"/>
      <c r="U384" s="398"/>
      <c r="V384" s="738"/>
      <c r="W384" s="738"/>
      <c r="X384" s="738"/>
    </row>
    <row r="385" spans="1:24" ht="15.75" customHeight="1">
      <c r="A385" s="398"/>
      <c r="B385" s="398"/>
      <c r="C385" s="779"/>
      <c r="D385" s="779"/>
      <c r="E385" s="779"/>
      <c r="F385" s="779"/>
      <c r="G385" s="779"/>
      <c r="H385" s="779"/>
      <c r="I385" s="779"/>
      <c r="J385" s="779"/>
      <c r="K385" s="779"/>
      <c r="L385" s="779"/>
      <c r="M385" s="779"/>
      <c r="N385" s="779"/>
      <c r="O385" s="398"/>
      <c r="P385" s="398"/>
      <c r="Q385" s="398"/>
      <c r="R385" s="398"/>
      <c r="S385" s="398"/>
      <c r="T385" s="398"/>
      <c r="U385" s="398"/>
      <c r="V385" s="738"/>
      <c r="W385" s="738"/>
      <c r="X385" s="738"/>
    </row>
    <row r="386" spans="1:24" ht="15.75" customHeight="1">
      <c r="A386" s="398"/>
      <c r="B386" s="398"/>
      <c r="C386" s="779"/>
      <c r="D386" s="779"/>
      <c r="E386" s="779"/>
      <c r="F386" s="779"/>
      <c r="G386" s="779"/>
      <c r="H386" s="779"/>
      <c r="I386" s="779"/>
      <c r="J386" s="779"/>
      <c r="K386" s="779"/>
      <c r="L386" s="779"/>
      <c r="M386" s="779"/>
      <c r="N386" s="779"/>
      <c r="O386" s="398"/>
      <c r="P386" s="398"/>
      <c r="Q386" s="398"/>
      <c r="R386" s="398"/>
      <c r="S386" s="398"/>
      <c r="T386" s="398"/>
      <c r="U386" s="398"/>
      <c r="V386" s="738"/>
      <c r="W386" s="738"/>
      <c r="X386" s="738"/>
    </row>
    <row r="387" spans="1:24" ht="15.75" customHeight="1">
      <c r="A387" s="398"/>
      <c r="B387" s="398"/>
      <c r="C387" s="779"/>
      <c r="D387" s="779"/>
      <c r="E387" s="779"/>
      <c r="F387" s="779"/>
      <c r="G387" s="779"/>
      <c r="H387" s="779"/>
      <c r="I387" s="779"/>
      <c r="J387" s="779"/>
      <c r="K387" s="779"/>
      <c r="L387" s="779"/>
      <c r="M387" s="779"/>
      <c r="N387" s="779"/>
      <c r="O387" s="398"/>
      <c r="P387" s="398"/>
      <c r="Q387" s="398"/>
      <c r="R387" s="398"/>
      <c r="S387" s="398"/>
      <c r="T387" s="398"/>
      <c r="U387" s="398"/>
      <c r="V387" s="738"/>
      <c r="W387" s="738"/>
      <c r="X387" s="738"/>
    </row>
    <row r="388" spans="1:24" ht="15.75" customHeight="1">
      <c r="A388" s="398"/>
      <c r="B388" s="398"/>
      <c r="C388" s="779"/>
      <c r="D388" s="779"/>
      <c r="E388" s="779"/>
      <c r="F388" s="779"/>
      <c r="G388" s="779"/>
      <c r="H388" s="779"/>
      <c r="I388" s="779"/>
      <c r="J388" s="779"/>
      <c r="K388" s="779"/>
      <c r="L388" s="779"/>
      <c r="M388" s="779"/>
      <c r="N388" s="779"/>
      <c r="O388" s="398"/>
      <c r="P388" s="398"/>
      <c r="Q388" s="398"/>
      <c r="R388" s="398"/>
      <c r="S388" s="398"/>
      <c r="T388" s="398"/>
      <c r="U388" s="398"/>
      <c r="V388" s="738"/>
      <c r="W388" s="738"/>
      <c r="X388" s="738"/>
    </row>
    <row r="389" spans="1:24" ht="15.75" customHeight="1">
      <c r="A389" s="398"/>
      <c r="B389" s="398"/>
      <c r="C389" s="779"/>
      <c r="D389" s="779"/>
      <c r="E389" s="779"/>
      <c r="F389" s="779"/>
      <c r="G389" s="779"/>
      <c r="H389" s="779"/>
      <c r="I389" s="779"/>
      <c r="J389" s="779"/>
      <c r="K389" s="779"/>
      <c r="L389" s="779"/>
      <c r="M389" s="779"/>
      <c r="N389" s="779"/>
      <c r="O389" s="398"/>
      <c r="P389" s="398"/>
      <c r="Q389" s="398"/>
      <c r="R389" s="398"/>
      <c r="S389" s="398"/>
      <c r="T389" s="398"/>
      <c r="U389" s="398"/>
      <c r="V389" s="738"/>
      <c r="W389" s="738"/>
      <c r="X389" s="738"/>
    </row>
    <row r="390" spans="1:24" ht="15.75" customHeight="1">
      <c r="A390" s="398"/>
      <c r="B390" s="398"/>
      <c r="C390" s="779"/>
      <c r="D390" s="779"/>
      <c r="E390" s="779"/>
      <c r="F390" s="779"/>
      <c r="G390" s="779"/>
      <c r="H390" s="779"/>
      <c r="I390" s="779"/>
      <c r="J390" s="779"/>
      <c r="K390" s="779"/>
      <c r="L390" s="779"/>
      <c r="M390" s="779"/>
      <c r="N390" s="779"/>
      <c r="O390" s="398"/>
      <c r="P390" s="398"/>
      <c r="Q390" s="398"/>
      <c r="R390" s="398"/>
      <c r="S390" s="398"/>
      <c r="T390" s="398"/>
      <c r="U390" s="398"/>
      <c r="V390" s="738"/>
      <c r="W390" s="738"/>
      <c r="X390" s="738"/>
    </row>
    <row r="391" spans="1:24" ht="15.75" customHeight="1">
      <c r="A391" s="398"/>
      <c r="B391" s="398"/>
      <c r="C391" s="779"/>
      <c r="D391" s="779"/>
      <c r="E391" s="779"/>
      <c r="F391" s="779"/>
      <c r="G391" s="779"/>
      <c r="H391" s="779"/>
      <c r="I391" s="779"/>
      <c r="J391" s="779"/>
      <c r="K391" s="779"/>
      <c r="L391" s="779"/>
      <c r="M391" s="779"/>
      <c r="N391" s="779"/>
      <c r="O391" s="398"/>
      <c r="P391" s="398"/>
      <c r="Q391" s="398"/>
      <c r="R391" s="398"/>
      <c r="S391" s="398"/>
      <c r="T391" s="398"/>
      <c r="U391" s="398"/>
      <c r="V391" s="738"/>
      <c r="W391" s="738"/>
      <c r="X391" s="738"/>
    </row>
    <row r="392" spans="1:24" ht="15.75" customHeight="1">
      <c r="A392" s="398"/>
      <c r="B392" s="398"/>
      <c r="C392" s="779"/>
      <c r="D392" s="779"/>
      <c r="E392" s="779"/>
      <c r="F392" s="779"/>
      <c r="G392" s="779"/>
      <c r="H392" s="779"/>
      <c r="I392" s="779"/>
      <c r="J392" s="779"/>
      <c r="K392" s="779"/>
      <c r="L392" s="779"/>
      <c r="M392" s="779"/>
      <c r="N392" s="779"/>
      <c r="O392" s="398"/>
      <c r="P392" s="398"/>
      <c r="Q392" s="398"/>
      <c r="R392" s="398"/>
      <c r="S392" s="398"/>
      <c r="T392" s="398"/>
      <c r="U392" s="398"/>
      <c r="V392" s="738"/>
      <c r="W392" s="738"/>
      <c r="X392" s="738"/>
    </row>
    <row r="393" spans="1:24" ht="15.75" customHeight="1">
      <c r="A393" s="398"/>
      <c r="B393" s="398"/>
      <c r="C393" s="779"/>
      <c r="D393" s="779"/>
      <c r="E393" s="779"/>
      <c r="F393" s="779"/>
      <c r="G393" s="779"/>
      <c r="H393" s="779"/>
      <c r="I393" s="779"/>
      <c r="J393" s="779"/>
      <c r="K393" s="779"/>
      <c r="L393" s="779"/>
      <c r="M393" s="779"/>
      <c r="N393" s="779"/>
      <c r="O393" s="398"/>
      <c r="P393" s="398"/>
      <c r="Q393" s="398"/>
      <c r="R393" s="398"/>
      <c r="S393" s="398"/>
      <c r="T393" s="398"/>
      <c r="U393" s="398"/>
      <c r="V393" s="738"/>
      <c r="W393" s="738"/>
      <c r="X393" s="738"/>
    </row>
    <row r="394" spans="1:24" ht="15.75" customHeight="1">
      <c r="A394" s="398"/>
      <c r="B394" s="398"/>
      <c r="C394" s="779"/>
      <c r="D394" s="779"/>
      <c r="E394" s="779"/>
      <c r="F394" s="779"/>
      <c r="G394" s="779"/>
      <c r="H394" s="779"/>
      <c r="I394" s="779"/>
      <c r="J394" s="779"/>
      <c r="K394" s="779"/>
      <c r="L394" s="779"/>
      <c r="M394" s="779"/>
      <c r="N394" s="779"/>
      <c r="O394" s="398"/>
      <c r="P394" s="398"/>
      <c r="Q394" s="398"/>
      <c r="R394" s="398"/>
      <c r="S394" s="398"/>
      <c r="T394" s="398"/>
      <c r="U394" s="398"/>
      <c r="V394" s="738"/>
      <c r="W394" s="738"/>
      <c r="X394" s="738"/>
    </row>
    <row r="395" spans="1:24" ht="15.75" customHeight="1">
      <c r="A395" s="487"/>
      <c r="B395" s="487"/>
      <c r="C395" s="850"/>
      <c r="D395" s="850"/>
      <c r="E395" s="850"/>
      <c r="F395" s="850"/>
      <c r="G395" s="850"/>
      <c r="H395" s="850"/>
      <c r="I395" s="850"/>
      <c r="J395" s="850"/>
      <c r="K395" s="850"/>
      <c r="L395" s="850"/>
      <c r="M395" s="850"/>
      <c r="N395" s="850"/>
      <c r="O395" s="487"/>
      <c r="P395" s="487"/>
      <c r="Q395" s="487"/>
      <c r="R395" s="487"/>
      <c r="S395" s="487"/>
      <c r="T395" s="487"/>
      <c r="U395" s="487"/>
    </row>
    <row r="396" spans="1:24" ht="15.75" customHeight="1">
      <c r="A396" s="487"/>
      <c r="B396" s="487"/>
      <c r="C396" s="850"/>
      <c r="D396" s="850"/>
      <c r="E396" s="850"/>
      <c r="F396" s="850"/>
      <c r="G396" s="850"/>
      <c r="H396" s="850"/>
      <c r="I396" s="850"/>
      <c r="J396" s="850"/>
      <c r="K396" s="850"/>
      <c r="L396" s="850"/>
      <c r="M396" s="850"/>
      <c r="N396" s="850"/>
      <c r="O396" s="487"/>
      <c r="P396" s="487"/>
      <c r="Q396" s="487"/>
      <c r="R396" s="487"/>
      <c r="S396" s="487"/>
      <c r="T396" s="487"/>
      <c r="U396" s="487"/>
    </row>
    <row r="397" spans="1:24" ht="15.75" customHeight="1">
      <c r="A397" s="487"/>
      <c r="B397" s="487"/>
      <c r="C397" s="850"/>
      <c r="D397" s="850"/>
      <c r="E397" s="850"/>
      <c r="F397" s="850"/>
      <c r="G397" s="850"/>
      <c r="H397" s="850"/>
      <c r="I397" s="850"/>
      <c r="J397" s="850"/>
      <c r="K397" s="850"/>
      <c r="L397" s="850"/>
      <c r="M397" s="850"/>
      <c r="N397" s="850"/>
      <c r="O397" s="487"/>
      <c r="P397" s="487"/>
      <c r="Q397" s="487"/>
      <c r="R397" s="487"/>
      <c r="S397" s="487"/>
      <c r="T397" s="487"/>
      <c r="U397" s="487"/>
    </row>
    <row r="398" spans="1:24" ht="15.75" customHeight="1">
      <c r="A398" s="487"/>
      <c r="B398" s="487"/>
      <c r="C398" s="850"/>
      <c r="D398" s="850"/>
      <c r="E398" s="850"/>
      <c r="F398" s="850"/>
      <c r="G398" s="850"/>
      <c r="H398" s="850"/>
      <c r="I398" s="850"/>
      <c r="J398" s="850"/>
      <c r="K398" s="850"/>
      <c r="L398" s="850"/>
      <c r="M398" s="850"/>
      <c r="N398" s="850"/>
      <c r="O398" s="487"/>
      <c r="P398" s="487"/>
      <c r="Q398" s="487"/>
      <c r="R398" s="487"/>
      <c r="S398" s="487"/>
      <c r="T398" s="487"/>
      <c r="U398" s="487"/>
    </row>
    <row r="399" spans="1:24" ht="15.75" customHeight="1">
      <c r="A399" s="487"/>
      <c r="B399" s="487"/>
      <c r="C399" s="850"/>
      <c r="D399" s="850"/>
      <c r="E399" s="850"/>
      <c r="F399" s="850"/>
      <c r="G399" s="850"/>
      <c r="H399" s="850"/>
      <c r="I399" s="850"/>
      <c r="J399" s="850"/>
      <c r="K399" s="850"/>
      <c r="L399" s="850"/>
      <c r="M399" s="850"/>
      <c r="N399" s="850"/>
      <c r="O399" s="487"/>
      <c r="P399" s="487"/>
      <c r="Q399" s="487"/>
      <c r="R399" s="487"/>
      <c r="S399" s="487"/>
      <c r="T399" s="487"/>
      <c r="U399" s="487"/>
    </row>
    <row r="400" spans="1:24" ht="15.75" customHeight="1">
      <c r="A400" s="487"/>
      <c r="B400" s="487"/>
      <c r="C400" s="850"/>
      <c r="D400" s="850"/>
      <c r="E400" s="850"/>
      <c r="F400" s="850"/>
      <c r="G400" s="850"/>
      <c r="H400" s="850"/>
      <c r="I400" s="850"/>
      <c r="J400" s="850"/>
      <c r="K400" s="850"/>
      <c r="L400" s="850"/>
      <c r="M400" s="850"/>
      <c r="N400" s="850"/>
      <c r="O400" s="487"/>
      <c r="P400" s="487"/>
      <c r="Q400" s="487"/>
      <c r="R400" s="487"/>
      <c r="S400" s="487"/>
      <c r="T400" s="487"/>
      <c r="U400" s="487"/>
    </row>
    <row r="401" spans="1:21" ht="15.75" customHeight="1">
      <c r="A401" s="487"/>
      <c r="B401" s="487"/>
      <c r="C401" s="850"/>
      <c r="D401" s="850"/>
      <c r="E401" s="850"/>
      <c r="F401" s="850"/>
      <c r="G401" s="850"/>
      <c r="H401" s="850"/>
      <c r="I401" s="850"/>
      <c r="J401" s="850"/>
      <c r="K401" s="850"/>
      <c r="L401" s="850"/>
      <c r="M401" s="850"/>
      <c r="N401" s="850"/>
      <c r="O401" s="487"/>
      <c r="P401" s="487"/>
      <c r="Q401" s="487"/>
      <c r="R401" s="487"/>
      <c r="S401" s="487"/>
      <c r="T401" s="487"/>
      <c r="U401" s="487"/>
    </row>
    <row r="402" spans="1:21" ht="15.75" customHeight="1">
      <c r="A402" s="487"/>
      <c r="B402" s="487"/>
      <c r="C402" s="850"/>
      <c r="D402" s="850"/>
      <c r="E402" s="850"/>
      <c r="F402" s="850"/>
      <c r="G402" s="850"/>
      <c r="H402" s="850"/>
      <c r="I402" s="850"/>
      <c r="J402" s="850"/>
      <c r="K402" s="850"/>
      <c r="L402" s="850"/>
      <c r="M402" s="850"/>
      <c r="N402" s="850"/>
      <c r="O402" s="487"/>
      <c r="P402" s="487"/>
      <c r="Q402" s="487"/>
      <c r="R402" s="487"/>
      <c r="S402" s="487"/>
      <c r="T402" s="487"/>
      <c r="U402" s="487"/>
    </row>
    <row r="403" spans="1:21" ht="15.75" customHeight="1">
      <c r="A403" s="487"/>
      <c r="B403" s="487"/>
      <c r="C403" s="850"/>
      <c r="D403" s="850"/>
      <c r="E403" s="850"/>
      <c r="F403" s="850"/>
      <c r="G403" s="850"/>
      <c r="H403" s="850"/>
      <c r="I403" s="850"/>
      <c r="J403" s="850"/>
      <c r="K403" s="850"/>
      <c r="L403" s="850"/>
      <c r="M403" s="850"/>
      <c r="N403" s="850"/>
      <c r="O403" s="487"/>
      <c r="P403" s="487"/>
      <c r="Q403" s="487"/>
      <c r="R403" s="487"/>
      <c r="S403" s="487"/>
      <c r="T403" s="487"/>
      <c r="U403" s="487"/>
    </row>
    <row r="404" spans="1:21" ht="15.75" customHeight="1">
      <c r="A404" s="487"/>
      <c r="B404" s="487"/>
      <c r="C404" s="850"/>
      <c r="D404" s="850"/>
      <c r="E404" s="850"/>
      <c r="F404" s="850"/>
      <c r="G404" s="850"/>
      <c r="H404" s="850"/>
      <c r="I404" s="850"/>
      <c r="J404" s="850"/>
      <c r="K404" s="850"/>
      <c r="L404" s="850"/>
      <c r="M404" s="850"/>
      <c r="N404" s="850"/>
      <c r="O404" s="487"/>
      <c r="P404" s="487"/>
      <c r="Q404" s="487"/>
      <c r="R404" s="487"/>
      <c r="S404" s="487"/>
      <c r="T404" s="487"/>
      <c r="U404" s="487"/>
    </row>
    <row r="405" spans="1:21" ht="15.75" customHeight="1">
      <c r="A405" s="487"/>
      <c r="B405" s="487"/>
      <c r="C405" s="850"/>
      <c r="D405" s="850"/>
      <c r="E405" s="850"/>
      <c r="F405" s="850"/>
      <c r="G405" s="850"/>
      <c r="H405" s="850"/>
      <c r="I405" s="850"/>
      <c r="J405" s="850"/>
      <c r="K405" s="850"/>
      <c r="L405" s="850"/>
      <c r="M405" s="850"/>
      <c r="N405" s="850"/>
      <c r="O405" s="487"/>
      <c r="P405" s="487"/>
      <c r="Q405" s="487"/>
      <c r="R405" s="487"/>
      <c r="S405" s="487"/>
      <c r="T405" s="487"/>
      <c r="U405" s="487"/>
    </row>
    <row r="406" spans="1:21" ht="15.75" customHeight="1">
      <c r="A406" s="487"/>
      <c r="B406" s="487"/>
      <c r="C406" s="850"/>
      <c r="D406" s="850"/>
      <c r="E406" s="850"/>
      <c r="F406" s="850"/>
      <c r="G406" s="850"/>
      <c r="H406" s="850"/>
      <c r="I406" s="850"/>
      <c r="J406" s="850"/>
      <c r="K406" s="850"/>
      <c r="L406" s="850"/>
      <c r="M406" s="850"/>
      <c r="N406" s="850"/>
      <c r="O406" s="487"/>
      <c r="P406" s="487"/>
      <c r="Q406" s="487"/>
      <c r="R406" s="487"/>
      <c r="S406" s="487"/>
      <c r="T406" s="487"/>
      <c r="U406" s="487"/>
    </row>
    <row r="407" spans="1:21" ht="15.75" customHeight="1">
      <c r="A407" s="487"/>
      <c r="B407" s="487"/>
      <c r="C407" s="850"/>
      <c r="D407" s="850"/>
      <c r="E407" s="850"/>
      <c r="F407" s="850"/>
      <c r="G407" s="850"/>
      <c r="H407" s="850"/>
      <c r="I407" s="850"/>
      <c r="J407" s="850"/>
      <c r="K407" s="850"/>
      <c r="L407" s="850"/>
      <c r="M407" s="850"/>
      <c r="N407" s="850"/>
      <c r="O407" s="487"/>
      <c r="P407" s="487"/>
      <c r="Q407" s="487"/>
      <c r="R407" s="487"/>
      <c r="S407" s="487"/>
      <c r="T407" s="487"/>
      <c r="U407" s="487"/>
    </row>
    <row r="408" spans="1:21" ht="15.75" customHeight="1">
      <c r="A408" s="487"/>
      <c r="B408" s="487"/>
      <c r="C408" s="850"/>
      <c r="D408" s="850"/>
      <c r="E408" s="850"/>
      <c r="F408" s="850"/>
      <c r="G408" s="850"/>
      <c r="H408" s="850"/>
      <c r="I408" s="850"/>
      <c r="J408" s="850"/>
      <c r="K408" s="850"/>
      <c r="L408" s="850"/>
      <c r="M408" s="850"/>
      <c r="N408" s="850"/>
      <c r="O408" s="487"/>
      <c r="P408" s="487"/>
      <c r="Q408" s="487"/>
      <c r="R408" s="487"/>
      <c r="S408" s="487"/>
      <c r="T408" s="487"/>
      <c r="U408" s="487"/>
    </row>
    <row r="409" spans="1:21" ht="15.75" customHeight="1">
      <c r="C409" s="851"/>
      <c r="D409" s="851"/>
      <c r="E409" s="851"/>
      <c r="F409" s="851"/>
      <c r="G409" s="851"/>
      <c r="H409" s="851"/>
      <c r="I409" s="851"/>
      <c r="J409" s="851"/>
      <c r="K409" s="851"/>
      <c r="L409" s="851"/>
      <c r="M409" s="851"/>
      <c r="N409" s="851"/>
    </row>
    <row r="410" spans="1:21" ht="15.75" customHeight="1">
      <c r="C410" s="851"/>
      <c r="D410" s="851"/>
      <c r="E410" s="851"/>
      <c r="F410" s="851"/>
      <c r="G410" s="851"/>
      <c r="H410" s="851"/>
      <c r="I410" s="851"/>
      <c r="J410" s="851"/>
      <c r="K410" s="851"/>
      <c r="L410" s="851"/>
      <c r="M410" s="851"/>
      <c r="N410" s="851"/>
    </row>
    <row r="411" spans="1:21" ht="15.75" customHeight="1">
      <c r="C411" s="851"/>
      <c r="D411" s="851"/>
      <c r="E411" s="851"/>
      <c r="F411" s="851"/>
      <c r="G411" s="851"/>
      <c r="H411" s="851"/>
      <c r="I411" s="851"/>
      <c r="J411" s="851"/>
      <c r="K411" s="851"/>
      <c r="L411" s="851"/>
      <c r="M411" s="851"/>
      <c r="N411" s="851"/>
    </row>
    <row r="412" spans="1:21" ht="15.75" customHeight="1">
      <c r="C412" s="851"/>
      <c r="D412" s="851"/>
      <c r="E412" s="851"/>
      <c r="F412" s="851"/>
      <c r="G412" s="851"/>
      <c r="H412" s="851"/>
      <c r="I412" s="851"/>
      <c r="J412" s="851"/>
      <c r="K412" s="851"/>
      <c r="L412" s="851"/>
      <c r="M412" s="851"/>
      <c r="N412" s="851"/>
    </row>
    <row r="413" spans="1:21" ht="15.75" customHeight="1">
      <c r="C413" s="851"/>
      <c r="D413" s="851"/>
      <c r="E413" s="851"/>
      <c r="F413" s="851"/>
      <c r="G413" s="851"/>
      <c r="H413" s="851"/>
      <c r="I413" s="851"/>
      <c r="J413" s="851"/>
      <c r="K413" s="851"/>
      <c r="L413" s="851"/>
      <c r="M413" s="851"/>
      <c r="N413" s="851"/>
    </row>
    <row r="414" spans="1:21" ht="15.75" customHeight="1">
      <c r="C414" s="851"/>
      <c r="D414" s="851"/>
      <c r="E414" s="851"/>
      <c r="F414" s="851"/>
      <c r="G414" s="851"/>
      <c r="H414" s="851"/>
      <c r="I414" s="851"/>
      <c r="J414" s="851"/>
      <c r="K414" s="851"/>
      <c r="L414" s="851"/>
      <c r="M414" s="851"/>
      <c r="N414" s="851"/>
    </row>
    <row r="415" spans="1:21" ht="15.75" customHeight="1">
      <c r="C415" s="851"/>
      <c r="D415" s="851"/>
      <c r="E415" s="851"/>
      <c r="F415" s="851"/>
      <c r="G415" s="851"/>
      <c r="H415" s="851"/>
      <c r="I415" s="851"/>
      <c r="J415" s="851"/>
      <c r="K415" s="851"/>
      <c r="L415" s="851"/>
      <c r="M415" s="851"/>
      <c r="N415" s="851"/>
    </row>
    <row r="416" spans="1:21" ht="15.75" customHeight="1">
      <c r="C416" s="851"/>
      <c r="D416" s="851"/>
      <c r="E416" s="851"/>
      <c r="F416" s="851"/>
      <c r="G416" s="851"/>
      <c r="H416" s="851"/>
      <c r="I416" s="851"/>
      <c r="J416" s="851"/>
      <c r="K416" s="851"/>
      <c r="L416" s="851"/>
      <c r="M416" s="851"/>
      <c r="N416" s="851"/>
    </row>
    <row r="417" spans="3:14" ht="15.75" customHeight="1">
      <c r="C417" s="851"/>
      <c r="D417" s="851"/>
      <c r="E417" s="851"/>
      <c r="F417" s="851"/>
      <c r="G417" s="851"/>
      <c r="H417" s="851"/>
      <c r="I417" s="851"/>
      <c r="J417" s="851"/>
      <c r="K417" s="851"/>
      <c r="L417" s="851"/>
      <c r="M417" s="851"/>
      <c r="N417" s="851"/>
    </row>
    <row r="418" spans="3:14" ht="15.75" customHeight="1">
      <c r="C418" s="851"/>
      <c r="D418" s="851"/>
      <c r="E418" s="851"/>
      <c r="F418" s="851"/>
      <c r="G418" s="851"/>
      <c r="H418" s="851"/>
      <c r="I418" s="851"/>
      <c r="J418" s="851"/>
      <c r="K418" s="851"/>
      <c r="L418" s="851"/>
      <c r="M418" s="851"/>
      <c r="N418" s="851"/>
    </row>
    <row r="419" spans="3:14" ht="15.75" customHeight="1">
      <c r="C419" s="851"/>
      <c r="D419" s="851"/>
      <c r="E419" s="851"/>
      <c r="F419" s="851"/>
      <c r="G419" s="851"/>
      <c r="H419" s="851"/>
      <c r="I419" s="851"/>
      <c r="J419" s="851"/>
      <c r="K419" s="851"/>
      <c r="L419" s="851"/>
      <c r="M419" s="851"/>
      <c r="N419" s="851"/>
    </row>
    <row r="420" spans="3:14" ht="15.75" customHeight="1">
      <c r="C420" s="851"/>
      <c r="D420" s="851"/>
      <c r="E420" s="851"/>
      <c r="F420" s="851"/>
      <c r="G420" s="851"/>
      <c r="H420" s="851"/>
      <c r="I420" s="851"/>
      <c r="J420" s="851"/>
      <c r="K420" s="851"/>
      <c r="L420" s="851"/>
      <c r="M420" s="851"/>
      <c r="N420" s="851"/>
    </row>
    <row r="421" spans="3:14" ht="15.75" customHeight="1">
      <c r="C421" s="851"/>
      <c r="D421" s="851"/>
      <c r="E421" s="851"/>
      <c r="F421" s="851"/>
      <c r="G421" s="851"/>
      <c r="H421" s="851"/>
      <c r="I421" s="851"/>
      <c r="J421" s="851"/>
      <c r="K421" s="851"/>
      <c r="L421" s="851"/>
      <c r="M421" s="851"/>
      <c r="N421" s="851"/>
    </row>
    <row r="422" spans="3:14" ht="15.75" customHeight="1">
      <c r="C422" s="851"/>
      <c r="D422" s="851"/>
      <c r="E422" s="851"/>
      <c r="F422" s="851"/>
      <c r="G422" s="851"/>
      <c r="H422" s="851"/>
      <c r="I422" s="851"/>
      <c r="J422" s="851"/>
      <c r="K422" s="851"/>
      <c r="L422" s="851"/>
      <c r="M422" s="851"/>
      <c r="N422" s="851"/>
    </row>
    <row r="423" spans="3:14" ht="15.75" customHeight="1">
      <c r="C423" s="851"/>
      <c r="D423" s="851"/>
      <c r="E423" s="851"/>
      <c r="F423" s="851"/>
      <c r="G423" s="851"/>
      <c r="H423" s="851"/>
      <c r="I423" s="851"/>
      <c r="J423" s="851"/>
      <c r="K423" s="851"/>
      <c r="L423" s="851"/>
      <c r="M423" s="851"/>
      <c r="N423" s="851"/>
    </row>
    <row r="424" spans="3:14" ht="15.75" customHeight="1">
      <c r="C424" s="851"/>
      <c r="D424" s="851"/>
      <c r="E424" s="851"/>
      <c r="F424" s="851"/>
      <c r="G424" s="851"/>
      <c r="H424" s="851"/>
      <c r="I424" s="851"/>
      <c r="J424" s="851"/>
      <c r="K424" s="851"/>
      <c r="L424" s="851"/>
      <c r="M424" s="851"/>
      <c r="N424" s="851"/>
    </row>
    <row r="425" spans="3:14" ht="15.75" customHeight="1">
      <c r="C425" s="851"/>
      <c r="D425" s="851"/>
      <c r="E425" s="851"/>
      <c r="F425" s="851"/>
      <c r="G425" s="851"/>
      <c r="H425" s="851"/>
      <c r="I425" s="851"/>
      <c r="J425" s="851"/>
      <c r="K425" s="851"/>
      <c r="L425" s="851"/>
      <c r="M425" s="851"/>
      <c r="N425" s="851"/>
    </row>
    <row r="426" spans="3:14" ht="15.75" customHeight="1">
      <c r="C426" s="851"/>
      <c r="D426" s="851"/>
      <c r="E426" s="851"/>
      <c r="F426" s="851"/>
      <c r="G426" s="851"/>
      <c r="H426" s="851"/>
      <c r="I426" s="851"/>
      <c r="J426" s="851"/>
      <c r="K426" s="851"/>
      <c r="L426" s="851"/>
      <c r="M426" s="851"/>
      <c r="N426" s="851"/>
    </row>
    <row r="427" spans="3:14" ht="15.75" customHeight="1">
      <c r="C427" s="851"/>
      <c r="D427" s="851"/>
      <c r="E427" s="851"/>
      <c r="F427" s="851"/>
      <c r="G427" s="851"/>
      <c r="H427" s="851"/>
      <c r="I427" s="851"/>
      <c r="J427" s="851"/>
      <c r="K427" s="851"/>
      <c r="L427" s="851"/>
      <c r="M427" s="851"/>
      <c r="N427" s="851"/>
    </row>
    <row r="428" spans="3:14" ht="15.75" customHeight="1">
      <c r="C428" s="851"/>
      <c r="D428" s="851"/>
      <c r="E428" s="851"/>
      <c r="F428" s="851"/>
      <c r="G428" s="851"/>
      <c r="H428" s="851"/>
      <c r="I428" s="851"/>
      <c r="J428" s="851"/>
      <c r="K428" s="851"/>
      <c r="L428" s="851"/>
      <c r="M428" s="851"/>
      <c r="N428" s="851"/>
    </row>
    <row r="429" spans="3:14" ht="15.75" customHeight="1">
      <c r="C429" s="851"/>
      <c r="D429" s="851"/>
      <c r="E429" s="851"/>
      <c r="F429" s="851"/>
      <c r="G429" s="851"/>
      <c r="H429" s="851"/>
      <c r="I429" s="851"/>
      <c r="J429" s="851"/>
      <c r="K429" s="851"/>
      <c r="L429" s="851"/>
      <c r="M429" s="851"/>
      <c r="N429" s="851"/>
    </row>
    <row r="430" spans="3:14" ht="15.75" customHeight="1">
      <c r="C430" s="851"/>
      <c r="D430" s="851"/>
      <c r="E430" s="851"/>
      <c r="F430" s="851"/>
      <c r="G430" s="851"/>
      <c r="H430" s="851"/>
      <c r="I430" s="851"/>
      <c r="J430" s="851"/>
      <c r="K430" s="851"/>
      <c r="L430" s="851"/>
      <c r="M430" s="851"/>
      <c r="N430" s="851"/>
    </row>
    <row r="431" spans="3:14" ht="15.75" customHeight="1">
      <c r="C431" s="851"/>
      <c r="D431" s="851"/>
      <c r="E431" s="851"/>
      <c r="F431" s="851"/>
      <c r="G431" s="851"/>
      <c r="H431" s="851"/>
      <c r="I431" s="851"/>
      <c r="J431" s="851"/>
      <c r="K431" s="851"/>
      <c r="L431" s="851"/>
      <c r="M431" s="851"/>
      <c r="N431" s="851"/>
    </row>
    <row r="432" spans="3:14" ht="15.75" customHeight="1">
      <c r="C432" s="851"/>
      <c r="D432" s="851"/>
      <c r="E432" s="851"/>
      <c r="F432" s="851"/>
      <c r="G432" s="851"/>
      <c r="H432" s="851"/>
      <c r="I432" s="851"/>
      <c r="J432" s="851"/>
      <c r="K432" s="851"/>
      <c r="L432" s="851"/>
      <c r="M432" s="851"/>
      <c r="N432" s="851"/>
    </row>
    <row r="433" spans="3:14" ht="15.75" customHeight="1">
      <c r="C433" s="851"/>
      <c r="D433" s="851"/>
      <c r="E433" s="851"/>
      <c r="F433" s="851"/>
      <c r="G433" s="851"/>
      <c r="H433" s="851"/>
      <c r="I433" s="851"/>
      <c r="J433" s="851"/>
      <c r="K433" s="851"/>
      <c r="L433" s="851"/>
      <c r="M433" s="851"/>
      <c r="N433" s="851"/>
    </row>
    <row r="434" spans="3:14" ht="15.75" customHeight="1">
      <c r="C434" s="851"/>
      <c r="D434" s="851"/>
      <c r="E434" s="851"/>
      <c r="F434" s="851"/>
      <c r="G434" s="851"/>
      <c r="H434" s="851"/>
      <c r="I434" s="851"/>
      <c r="J434" s="851"/>
      <c r="K434" s="851"/>
      <c r="L434" s="851"/>
      <c r="M434" s="851"/>
      <c r="N434" s="851"/>
    </row>
    <row r="435" spans="3:14" ht="15.75" customHeight="1">
      <c r="C435" s="851"/>
      <c r="D435" s="851"/>
      <c r="E435" s="851"/>
      <c r="F435" s="851"/>
      <c r="G435" s="851"/>
      <c r="H435" s="851"/>
      <c r="I435" s="851"/>
      <c r="J435" s="851"/>
      <c r="K435" s="851"/>
      <c r="L435" s="851"/>
      <c r="M435" s="851"/>
      <c r="N435" s="851"/>
    </row>
    <row r="436" spans="3:14" ht="14.25" customHeight="1">
      <c r="C436" s="851"/>
      <c r="D436" s="851"/>
      <c r="E436" s="851"/>
      <c r="F436" s="851"/>
      <c r="G436" s="851"/>
      <c r="H436" s="851"/>
      <c r="I436" s="851"/>
      <c r="J436" s="851"/>
      <c r="K436" s="851"/>
      <c r="L436" s="851"/>
      <c r="M436" s="851"/>
      <c r="N436" s="851"/>
    </row>
    <row r="437" spans="3:14" ht="14.25" customHeight="1">
      <c r="C437" s="851"/>
      <c r="D437" s="851"/>
      <c r="E437" s="851"/>
      <c r="F437" s="851"/>
      <c r="G437" s="851"/>
      <c r="H437" s="851"/>
      <c r="I437" s="851"/>
      <c r="J437" s="851"/>
      <c r="K437" s="851"/>
      <c r="L437" s="851"/>
      <c r="M437" s="851"/>
      <c r="N437" s="851"/>
    </row>
    <row r="438" spans="3:14" ht="14.25" customHeight="1">
      <c r="C438" s="851"/>
      <c r="D438" s="851"/>
      <c r="E438" s="851"/>
      <c r="F438" s="851"/>
      <c r="G438" s="851"/>
      <c r="H438" s="851"/>
      <c r="I438" s="851"/>
      <c r="J438" s="851"/>
      <c r="K438" s="851"/>
      <c r="L438" s="851"/>
      <c r="M438" s="851"/>
      <c r="N438" s="851"/>
    </row>
    <row r="439" spans="3:14" ht="14.25" customHeight="1">
      <c r="C439" s="851"/>
      <c r="D439" s="851"/>
      <c r="E439" s="851"/>
      <c r="F439" s="851"/>
      <c r="G439" s="851"/>
      <c r="H439" s="851"/>
      <c r="I439" s="851"/>
      <c r="J439" s="851"/>
      <c r="K439" s="851"/>
      <c r="L439" s="851"/>
      <c r="M439" s="851"/>
      <c r="N439" s="851"/>
    </row>
    <row r="440" spans="3:14" ht="14.25" customHeight="1">
      <c r="C440" s="851"/>
      <c r="D440" s="851"/>
      <c r="E440" s="851"/>
      <c r="F440" s="851"/>
      <c r="G440" s="851"/>
      <c r="H440" s="851"/>
      <c r="I440" s="851"/>
      <c r="J440" s="851"/>
      <c r="K440" s="851"/>
      <c r="L440" s="851"/>
      <c r="M440" s="851"/>
      <c r="N440" s="851"/>
    </row>
    <row r="441" spans="3:14" ht="14.25" customHeight="1">
      <c r="C441" s="851"/>
      <c r="D441" s="851"/>
      <c r="E441" s="851"/>
      <c r="F441" s="851"/>
      <c r="G441" s="851"/>
      <c r="H441" s="851"/>
      <c r="I441" s="851"/>
      <c r="J441" s="851"/>
      <c r="K441" s="851"/>
      <c r="L441" s="851"/>
      <c r="M441" s="851"/>
      <c r="N441" s="851"/>
    </row>
    <row r="442" spans="3:14" ht="14.25" customHeight="1">
      <c r="C442" s="851"/>
      <c r="D442" s="851"/>
      <c r="E442" s="851"/>
      <c r="F442" s="851"/>
      <c r="G442" s="851"/>
      <c r="H442" s="851"/>
      <c r="I442" s="851"/>
      <c r="J442" s="851"/>
      <c r="K442" s="851"/>
      <c r="L442" s="851"/>
      <c r="M442" s="851"/>
      <c r="N442" s="851"/>
    </row>
    <row r="443" spans="3:14" ht="14.25" customHeight="1">
      <c r="C443" s="851"/>
      <c r="D443" s="851"/>
      <c r="E443" s="851"/>
      <c r="F443" s="851"/>
      <c r="G443" s="851"/>
      <c r="H443" s="851"/>
      <c r="I443" s="851"/>
      <c r="J443" s="851"/>
      <c r="K443" s="851"/>
      <c r="L443" s="851"/>
      <c r="M443" s="851"/>
      <c r="N443" s="851"/>
    </row>
    <row r="444" spans="3:14" ht="14.25" customHeight="1">
      <c r="C444" s="851"/>
      <c r="D444" s="851"/>
      <c r="E444" s="851"/>
      <c r="F444" s="851"/>
      <c r="G444" s="851"/>
      <c r="H444" s="851"/>
      <c r="I444" s="851"/>
      <c r="J444" s="851"/>
      <c r="K444" s="851"/>
      <c r="L444" s="851"/>
      <c r="M444" s="851"/>
      <c r="N444" s="851"/>
    </row>
    <row r="445" spans="3:14" ht="14.25" customHeight="1">
      <c r="C445" s="851"/>
      <c r="D445" s="851"/>
      <c r="E445" s="851"/>
      <c r="F445" s="851"/>
      <c r="G445" s="851"/>
      <c r="H445" s="851"/>
      <c r="I445" s="851"/>
      <c r="J445" s="851"/>
      <c r="K445" s="851"/>
      <c r="L445" s="851"/>
      <c r="M445" s="851"/>
      <c r="N445" s="851"/>
    </row>
    <row r="446" spans="3:14" ht="14.25" customHeight="1">
      <c r="C446" s="851"/>
      <c r="D446" s="851"/>
      <c r="E446" s="851"/>
      <c r="F446" s="851"/>
      <c r="G446" s="851"/>
      <c r="H446" s="851"/>
      <c r="I446" s="851"/>
      <c r="J446" s="851"/>
      <c r="K446" s="851"/>
      <c r="L446" s="851"/>
      <c r="M446" s="851"/>
      <c r="N446" s="851"/>
    </row>
    <row r="447" spans="3:14" ht="14.25" customHeight="1">
      <c r="C447" s="851"/>
      <c r="D447" s="851"/>
      <c r="E447" s="851"/>
      <c r="F447" s="851"/>
      <c r="G447" s="851"/>
      <c r="H447" s="851"/>
      <c r="I447" s="851"/>
      <c r="J447" s="851"/>
      <c r="K447" s="851"/>
      <c r="L447" s="851"/>
      <c r="M447" s="851"/>
      <c r="N447" s="851"/>
    </row>
    <row r="448" spans="3:14" ht="14.25" customHeight="1">
      <c r="C448" s="851"/>
      <c r="D448" s="851"/>
      <c r="E448" s="851"/>
      <c r="F448" s="851"/>
      <c r="G448" s="851"/>
      <c r="H448" s="851"/>
      <c r="I448" s="851"/>
      <c r="J448" s="851"/>
      <c r="K448" s="851"/>
      <c r="L448" s="851"/>
      <c r="M448" s="851"/>
      <c r="N448" s="851"/>
    </row>
    <row r="449" spans="3:14" ht="14.25" customHeight="1">
      <c r="C449" s="851"/>
      <c r="D449" s="851"/>
      <c r="E449" s="851"/>
      <c r="F449" s="851"/>
      <c r="G449" s="851"/>
      <c r="H449" s="851"/>
      <c r="I449" s="851"/>
      <c r="J449" s="851"/>
      <c r="K449" s="851"/>
      <c r="L449" s="851"/>
      <c r="M449" s="851"/>
      <c r="N449" s="851"/>
    </row>
    <row r="450" spans="3:14" ht="14.25" customHeight="1">
      <c r="C450" s="851"/>
      <c r="D450" s="851"/>
      <c r="E450" s="851"/>
      <c r="F450" s="851"/>
      <c r="G450" s="851"/>
      <c r="H450" s="851"/>
      <c r="I450" s="851"/>
      <c r="J450" s="851"/>
      <c r="K450" s="851"/>
      <c r="L450" s="851"/>
      <c r="M450" s="851"/>
      <c r="N450" s="851"/>
    </row>
    <row r="451" spans="3:14" ht="14.25" customHeight="1">
      <c r="C451" s="851"/>
      <c r="D451" s="851"/>
      <c r="E451" s="851"/>
      <c r="F451" s="851"/>
      <c r="G451" s="851"/>
      <c r="H451" s="851"/>
      <c r="I451" s="851"/>
      <c r="J451" s="851"/>
      <c r="K451" s="851"/>
      <c r="L451" s="851"/>
      <c r="M451" s="851"/>
      <c r="N451" s="851"/>
    </row>
    <row r="452" spans="3:14" ht="14.25" customHeight="1">
      <c r="C452" s="851"/>
      <c r="D452" s="851"/>
      <c r="E452" s="851"/>
      <c r="F452" s="851"/>
      <c r="G452" s="851"/>
      <c r="H452" s="851"/>
      <c r="I452" s="851"/>
      <c r="J452" s="851"/>
      <c r="K452" s="851"/>
      <c r="L452" s="851"/>
      <c r="M452" s="851"/>
      <c r="N452" s="851"/>
    </row>
    <row r="453" spans="3:14" ht="14.25" customHeight="1">
      <c r="C453" s="851"/>
      <c r="D453" s="851"/>
      <c r="E453" s="851"/>
      <c r="F453" s="851"/>
      <c r="G453" s="851"/>
      <c r="H453" s="851"/>
      <c r="I453" s="851"/>
      <c r="J453" s="851"/>
      <c r="K453" s="851"/>
      <c r="L453" s="851"/>
      <c r="M453" s="851"/>
      <c r="N453" s="851"/>
    </row>
    <row r="454" spans="3:14" ht="14.25" customHeight="1">
      <c r="C454" s="851"/>
      <c r="D454" s="851"/>
      <c r="E454" s="851"/>
      <c r="F454" s="851"/>
      <c r="G454" s="851"/>
      <c r="H454" s="851"/>
      <c r="I454" s="851"/>
      <c r="J454" s="851"/>
      <c r="K454" s="851"/>
      <c r="L454" s="851"/>
      <c r="M454" s="851"/>
      <c r="N454" s="851"/>
    </row>
    <row r="455" spans="3:14" ht="14.25" customHeight="1">
      <c r="C455" s="851"/>
      <c r="D455" s="851"/>
      <c r="E455" s="851"/>
      <c r="F455" s="851"/>
      <c r="G455" s="851"/>
      <c r="H455" s="851"/>
      <c r="I455" s="851"/>
      <c r="J455" s="851"/>
      <c r="K455" s="851"/>
      <c r="L455" s="851"/>
      <c r="M455" s="851"/>
      <c r="N455" s="851"/>
    </row>
    <row r="456" spans="3:14" ht="14.25" customHeight="1">
      <c r="C456" s="851"/>
      <c r="D456" s="851"/>
      <c r="E456" s="851"/>
      <c r="F456" s="851"/>
      <c r="G456" s="851"/>
      <c r="H456" s="851"/>
      <c r="I456" s="851"/>
      <c r="J456" s="851"/>
      <c r="K456" s="851"/>
      <c r="L456" s="851"/>
      <c r="M456" s="851"/>
      <c r="N456" s="851"/>
    </row>
    <row r="457" spans="3:14" ht="14.25" customHeight="1">
      <c r="C457" s="851"/>
      <c r="D457" s="851"/>
      <c r="E457" s="851"/>
      <c r="F457" s="851"/>
      <c r="G457" s="851"/>
      <c r="H457" s="851"/>
      <c r="I457" s="851"/>
      <c r="J457" s="851"/>
      <c r="K457" s="851"/>
      <c r="L457" s="851"/>
      <c r="M457" s="851"/>
      <c r="N457" s="851"/>
    </row>
    <row r="458" spans="3:14" ht="14.25" customHeight="1">
      <c r="C458" s="851"/>
      <c r="D458" s="851"/>
      <c r="E458" s="851"/>
      <c r="F458" s="851"/>
      <c r="G458" s="851"/>
      <c r="H458" s="851"/>
      <c r="I458" s="851"/>
      <c r="J458" s="851"/>
      <c r="K458" s="851"/>
      <c r="L458" s="851"/>
      <c r="M458" s="851"/>
      <c r="N458" s="851"/>
    </row>
    <row r="459" spans="3:14" ht="14.25" customHeight="1">
      <c r="C459" s="851"/>
      <c r="D459" s="851"/>
      <c r="E459" s="851"/>
      <c r="F459" s="851"/>
      <c r="G459" s="851"/>
      <c r="H459" s="851"/>
      <c r="I459" s="851"/>
      <c r="J459" s="851"/>
      <c r="K459" s="851"/>
      <c r="L459" s="851"/>
      <c r="M459" s="851"/>
      <c r="N459" s="851"/>
    </row>
    <row r="460" spans="3:14" ht="14.25" customHeight="1">
      <c r="C460" s="851"/>
      <c r="D460" s="851"/>
      <c r="E460" s="851"/>
      <c r="F460" s="851"/>
      <c r="G460" s="851"/>
      <c r="H460" s="851"/>
      <c r="I460" s="851"/>
      <c r="J460" s="851"/>
      <c r="K460" s="851"/>
      <c r="L460" s="851"/>
      <c r="M460" s="851"/>
      <c r="N460" s="851"/>
    </row>
    <row r="461" spans="3:14" ht="14.25" customHeight="1">
      <c r="C461" s="851"/>
      <c r="D461" s="851"/>
      <c r="E461" s="851"/>
      <c r="F461" s="851"/>
      <c r="G461" s="851"/>
      <c r="H461" s="851"/>
      <c r="I461" s="851"/>
      <c r="J461" s="851"/>
      <c r="K461" s="851"/>
      <c r="L461" s="851"/>
      <c r="M461" s="851"/>
      <c r="N461" s="851"/>
    </row>
    <row r="462" spans="3:14" ht="14.25" customHeight="1">
      <c r="C462" s="851"/>
      <c r="D462" s="851"/>
      <c r="E462" s="851"/>
      <c r="F462" s="851"/>
      <c r="G462" s="851"/>
      <c r="H462" s="851"/>
      <c r="I462" s="851"/>
      <c r="J462" s="851"/>
      <c r="K462" s="851"/>
      <c r="L462" s="851"/>
      <c r="M462" s="851"/>
      <c r="N462" s="851"/>
    </row>
    <row r="463" spans="3:14" ht="14.25" customHeight="1">
      <c r="C463" s="851"/>
      <c r="D463" s="851"/>
      <c r="E463" s="851"/>
      <c r="F463" s="851"/>
      <c r="G463" s="851"/>
      <c r="H463" s="851"/>
      <c r="I463" s="851"/>
      <c r="J463" s="851"/>
      <c r="K463" s="851"/>
      <c r="L463" s="851"/>
      <c r="M463" s="851"/>
      <c r="N463" s="851"/>
    </row>
    <row r="464" spans="3:14" ht="14.25" customHeight="1">
      <c r="C464" s="851"/>
      <c r="D464" s="851"/>
      <c r="E464" s="851"/>
      <c r="F464" s="851"/>
      <c r="G464" s="851"/>
      <c r="H464" s="851"/>
      <c r="I464" s="851"/>
      <c r="J464" s="851"/>
      <c r="K464" s="851"/>
      <c r="L464" s="851"/>
      <c r="M464" s="851"/>
      <c r="N464" s="851"/>
    </row>
    <row r="465" spans="3:14" ht="14.25" customHeight="1">
      <c r="C465" s="851"/>
      <c r="D465" s="851"/>
      <c r="E465" s="851"/>
      <c r="F465" s="851"/>
      <c r="G465" s="851"/>
      <c r="H465" s="851"/>
      <c r="I465" s="851"/>
      <c r="J465" s="851"/>
      <c r="K465" s="851"/>
      <c r="L465" s="851"/>
      <c r="M465" s="851"/>
      <c r="N465" s="851"/>
    </row>
    <row r="466" spans="3:14" ht="14.25" customHeight="1">
      <c r="C466" s="851"/>
      <c r="D466" s="851"/>
      <c r="E466" s="851"/>
      <c r="F466" s="851"/>
      <c r="G466" s="851"/>
      <c r="H466" s="851"/>
      <c r="I466" s="851"/>
      <c r="J466" s="851"/>
      <c r="K466" s="851"/>
      <c r="L466" s="851"/>
      <c r="M466" s="851"/>
      <c r="N466" s="851"/>
    </row>
    <row r="467" spans="3:14" ht="14.25" customHeight="1">
      <c r="C467" s="851"/>
      <c r="D467" s="851"/>
      <c r="E467" s="851"/>
      <c r="F467" s="851"/>
      <c r="G467" s="851"/>
      <c r="H467" s="851"/>
      <c r="I467" s="851"/>
      <c r="J467" s="851"/>
      <c r="K467" s="851"/>
      <c r="L467" s="851"/>
      <c r="M467" s="851"/>
      <c r="N467" s="851"/>
    </row>
    <row r="468" spans="3:14" ht="14.25" customHeight="1">
      <c r="C468" s="851"/>
      <c r="D468" s="851"/>
      <c r="E468" s="851"/>
      <c r="F468" s="851"/>
      <c r="G468" s="851"/>
      <c r="H468" s="851"/>
      <c r="I468" s="851"/>
      <c r="J468" s="851"/>
      <c r="K468" s="851"/>
      <c r="L468" s="851"/>
      <c r="M468" s="851"/>
      <c r="N468" s="851"/>
    </row>
    <row r="469" spans="3:14" ht="14.25" customHeight="1">
      <c r="C469" s="851"/>
      <c r="D469" s="851"/>
      <c r="E469" s="851"/>
      <c r="F469" s="851"/>
      <c r="G469" s="851"/>
      <c r="H469" s="851"/>
      <c r="I469" s="851"/>
      <c r="J469" s="851"/>
      <c r="K469" s="851"/>
      <c r="L469" s="851"/>
      <c r="M469" s="851"/>
      <c r="N469" s="851"/>
    </row>
    <row r="470" spans="3:14" ht="14.25" customHeight="1">
      <c r="C470" s="851"/>
      <c r="D470" s="851"/>
      <c r="E470" s="851"/>
      <c r="F470" s="851"/>
      <c r="G470" s="851"/>
      <c r="H470" s="851"/>
      <c r="I470" s="851"/>
      <c r="J470" s="851"/>
      <c r="K470" s="851"/>
      <c r="L470" s="851"/>
      <c r="M470" s="851"/>
      <c r="N470" s="851"/>
    </row>
    <row r="471" spans="3:14" ht="14.25" customHeight="1">
      <c r="C471" s="851"/>
      <c r="D471" s="851"/>
      <c r="E471" s="851"/>
      <c r="F471" s="851"/>
      <c r="G471" s="851"/>
      <c r="H471" s="851"/>
      <c r="I471" s="851"/>
      <c r="J471" s="851"/>
      <c r="K471" s="851"/>
      <c r="L471" s="851"/>
      <c r="M471" s="851"/>
      <c r="N471" s="851"/>
    </row>
    <row r="472" spans="3:14" ht="14.25" customHeight="1">
      <c r="C472" s="851"/>
      <c r="D472" s="851"/>
      <c r="E472" s="851"/>
      <c r="F472" s="851"/>
      <c r="G472" s="851"/>
      <c r="H472" s="851"/>
      <c r="I472" s="851"/>
      <c r="J472" s="851"/>
      <c r="K472" s="851"/>
      <c r="L472" s="851"/>
      <c r="M472" s="851"/>
      <c r="N472" s="851"/>
    </row>
    <row r="473" spans="3:14" ht="14.25" customHeight="1">
      <c r="C473" s="851"/>
      <c r="D473" s="851"/>
      <c r="E473" s="851"/>
      <c r="F473" s="851"/>
      <c r="G473" s="851"/>
      <c r="H473" s="851"/>
      <c r="I473" s="851"/>
      <c r="J473" s="851"/>
      <c r="K473" s="851"/>
      <c r="L473" s="851"/>
      <c r="M473" s="851"/>
      <c r="N473" s="851"/>
    </row>
    <row r="474" spans="3:14" ht="14.25" customHeight="1">
      <c r="C474" s="851"/>
      <c r="D474" s="851"/>
      <c r="E474" s="851"/>
      <c r="F474" s="851"/>
      <c r="G474" s="851"/>
      <c r="H474" s="851"/>
      <c r="I474" s="851"/>
      <c r="J474" s="851"/>
      <c r="K474" s="851"/>
      <c r="L474" s="851"/>
      <c r="M474" s="851"/>
      <c r="N474" s="851"/>
    </row>
    <row r="475" spans="3:14" ht="14.25" customHeight="1">
      <c r="C475" s="851"/>
      <c r="D475" s="851"/>
      <c r="E475" s="851"/>
      <c r="F475" s="851"/>
      <c r="G475" s="851"/>
      <c r="H475" s="851"/>
      <c r="I475" s="851"/>
      <c r="J475" s="851"/>
      <c r="K475" s="851"/>
      <c r="L475" s="851"/>
      <c r="M475" s="851"/>
      <c r="N475" s="851"/>
    </row>
    <row r="476" spans="3:14" ht="14.25" customHeight="1">
      <c r="C476" s="851"/>
      <c r="D476" s="851"/>
      <c r="E476" s="851"/>
      <c r="F476" s="851"/>
      <c r="G476" s="851"/>
      <c r="H476" s="851"/>
      <c r="I476" s="851"/>
      <c r="J476" s="851"/>
      <c r="K476" s="851"/>
      <c r="L476" s="851"/>
      <c r="M476" s="851"/>
      <c r="N476" s="851"/>
    </row>
    <row r="477" spans="3:14" ht="14.25" customHeight="1">
      <c r="C477" s="851"/>
      <c r="D477" s="851"/>
      <c r="E477" s="851"/>
      <c r="F477" s="851"/>
      <c r="G477" s="851"/>
      <c r="H477" s="851"/>
      <c r="I477" s="851"/>
      <c r="J477" s="851"/>
      <c r="K477" s="851"/>
      <c r="L477" s="851"/>
      <c r="M477" s="851"/>
      <c r="N477" s="851"/>
    </row>
    <row r="478" spans="3:14" ht="14.25" customHeight="1">
      <c r="C478" s="851"/>
      <c r="D478" s="851"/>
      <c r="E478" s="851"/>
      <c r="F478" s="851"/>
      <c r="G478" s="851"/>
      <c r="H478" s="851"/>
      <c r="I478" s="851"/>
      <c r="J478" s="851"/>
      <c r="K478" s="851"/>
      <c r="L478" s="851"/>
      <c r="M478" s="851"/>
      <c r="N478" s="851"/>
    </row>
    <row r="479" spans="3:14" ht="14.25" customHeight="1">
      <c r="C479" s="851"/>
      <c r="D479" s="851"/>
      <c r="E479" s="851"/>
      <c r="F479" s="851"/>
      <c r="G479" s="851"/>
      <c r="H479" s="851"/>
      <c r="I479" s="851"/>
      <c r="J479" s="851"/>
      <c r="K479" s="851"/>
      <c r="L479" s="851"/>
      <c r="M479" s="851"/>
      <c r="N479" s="851"/>
    </row>
    <row r="480" spans="3:14" ht="14.25" customHeight="1">
      <c r="C480" s="851"/>
      <c r="D480" s="851"/>
      <c r="E480" s="851"/>
      <c r="F480" s="851"/>
      <c r="G480" s="851"/>
      <c r="H480" s="851"/>
      <c r="I480" s="851"/>
      <c r="J480" s="851"/>
      <c r="K480" s="851"/>
      <c r="L480" s="851"/>
      <c r="M480" s="851"/>
      <c r="N480" s="851"/>
    </row>
    <row r="481" spans="3:14" ht="14.25" customHeight="1">
      <c r="C481" s="851"/>
      <c r="D481" s="851"/>
      <c r="E481" s="851"/>
      <c r="F481" s="851"/>
      <c r="G481" s="851"/>
      <c r="H481" s="851"/>
      <c r="I481" s="851"/>
      <c r="J481" s="851"/>
      <c r="K481" s="851"/>
      <c r="L481" s="851"/>
      <c r="M481" s="851"/>
      <c r="N481" s="851"/>
    </row>
    <row r="482" spans="3:14" ht="14.25" customHeight="1">
      <c r="C482" s="851"/>
      <c r="D482" s="851"/>
      <c r="E482" s="851"/>
      <c r="F482" s="851"/>
      <c r="G482" s="851"/>
      <c r="H482" s="851"/>
      <c r="I482" s="851"/>
      <c r="J482" s="851"/>
      <c r="K482" s="851"/>
      <c r="L482" s="851"/>
      <c r="M482" s="851"/>
      <c r="N482" s="851"/>
    </row>
    <row r="483" spans="3:14" ht="14.25" customHeight="1">
      <c r="C483" s="851"/>
      <c r="D483" s="851"/>
      <c r="E483" s="851"/>
      <c r="F483" s="851"/>
      <c r="G483" s="851"/>
      <c r="H483" s="851"/>
      <c r="I483" s="851"/>
      <c r="J483" s="851"/>
      <c r="K483" s="851"/>
      <c r="L483" s="851"/>
      <c r="M483" s="851"/>
      <c r="N483" s="851"/>
    </row>
    <row r="484" spans="3:14" ht="14.25" customHeight="1">
      <c r="C484" s="851"/>
      <c r="D484" s="851"/>
      <c r="E484" s="851"/>
      <c r="F484" s="851"/>
      <c r="G484" s="851"/>
      <c r="H484" s="851"/>
      <c r="I484" s="851"/>
      <c r="J484" s="851"/>
      <c r="K484" s="851"/>
      <c r="L484" s="851"/>
      <c r="M484" s="851"/>
      <c r="N484" s="851"/>
    </row>
    <row r="485" spans="3:14" ht="14.25" customHeight="1">
      <c r="C485" s="851"/>
      <c r="D485" s="851"/>
      <c r="E485" s="851"/>
      <c r="F485" s="851"/>
      <c r="G485" s="851"/>
      <c r="H485" s="851"/>
      <c r="I485" s="851"/>
      <c r="J485" s="851"/>
      <c r="K485" s="851"/>
      <c r="L485" s="851"/>
      <c r="M485" s="851"/>
      <c r="N485" s="851"/>
    </row>
    <row r="486" spans="3:14" ht="14.25" customHeight="1">
      <c r="C486" s="851"/>
      <c r="D486" s="851"/>
      <c r="E486" s="851"/>
      <c r="F486" s="851"/>
      <c r="G486" s="851"/>
      <c r="H486" s="851"/>
      <c r="I486" s="851"/>
      <c r="J486" s="851"/>
      <c r="K486" s="851"/>
      <c r="L486" s="851"/>
      <c r="M486" s="851"/>
      <c r="N486" s="851"/>
    </row>
    <row r="487" spans="3:14" ht="14.25" customHeight="1">
      <c r="C487" s="851"/>
      <c r="D487" s="851"/>
      <c r="E487" s="851"/>
      <c r="F487" s="851"/>
      <c r="G487" s="851"/>
      <c r="H487" s="851"/>
      <c r="I487" s="851"/>
      <c r="J487" s="851"/>
      <c r="K487" s="851"/>
      <c r="L487" s="851"/>
      <c r="M487" s="851"/>
      <c r="N487" s="851"/>
    </row>
    <row r="488" spans="3:14" ht="14.25" customHeight="1">
      <c r="C488" s="851"/>
      <c r="D488" s="851"/>
      <c r="E488" s="851"/>
      <c r="F488" s="851"/>
      <c r="G488" s="851"/>
      <c r="H488" s="851"/>
      <c r="I488" s="851"/>
      <c r="J488" s="851"/>
      <c r="K488" s="851"/>
      <c r="L488" s="851"/>
      <c r="M488" s="851"/>
      <c r="N488" s="851"/>
    </row>
    <row r="489" spans="3:14" ht="14.25" customHeight="1">
      <c r="C489" s="851"/>
      <c r="D489" s="851"/>
      <c r="E489" s="851"/>
      <c r="F489" s="851"/>
      <c r="G489" s="851"/>
      <c r="H489" s="851"/>
      <c r="I489" s="851"/>
      <c r="J489" s="851"/>
      <c r="K489" s="851"/>
      <c r="L489" s="851"/>
      <c r="M489" s="851"/>
      <c r="N489" s="851"/>
    </row>
    <row r="490" spans="3:14" ht="14.25" customHeight="1">
      <c r="C490" s="851"/>
      <c r="D490" s="851"/>
      <c r="E490" s="851"/>
      <c r="F490" s="851"/>
      <c r="G490" s="851"/>
      <c r="H490" s="851"/>
      <c r="I490" s="851"/>
      <c r="J490" s="851"/>
      <c r="K490" s="851"/>
      <c r="L490" s="851"/>
      <c r="M490" s="851"/>
      <c r="N490" s="851"/>
    </row>
    <row r="491" spans="3:14" ht="14.25" customHeight="1">
      <c r="C491" s="851"/>
      <c r="D491" s="851"/>
      <c r="E491" s="851"/>
      <c r="F491" s="851"/>
      <c r="G491" s="851"/>
      <c r="H491" s="851"/>
      <c r="I491" s="851"/>
      <c r="J491" s="851"/>
      <c r="K491" s="851"/>
      <c r="L491" s="851"/>
      <c r="M491" s="851"/>
      <c r="N491" s="851"/>
    </row>
    <row r="492" spans="3:14" ht="14.25" customHeight="1">
      <c r="C492" s="851"/>
      <c r="D492" s="851"/>
      <c r="E492" s="851"/>
      <c r="F492" s="851"/>
      <c r="G492" s="851"/>
      <c r="H492" s="851"/>
      <c r="I492" s="851"/>
      <c r="J492" s="851"/>
      <c r="K492" s="851"/>
      <c r="L492" s="851"/>
      <c r="M492" s="851"/>
      <c r="N492" s="851"/>
    </row>
    <row r="493" spans="3:14" ht="14.25" customHeight="1">
      <c r="C493" s="851"/>
      <c r="D493" s="851"/>
      <c r="E493" s="851"/>
      <c r="F493" s="851"/>
      <c r="G493" s="851"/>
      <c r="H493" s="851"/>
      <c r="I493" s="851"/>
      <c r="J493" s="851"/>
      <c r="K493" s="851"/>
      <c r="L493" s="851"/>
      <c r="M493" s="851"/>
      <c r="N493" s="851"/>
    </row>
    <row r="494" spans="3:14" ht="14.25" customHeight="1">
      <c r="C494" s="851"/>
      <c r="D494" s="851"/>
      <c r="E494" s="851"/>
      <c r="F494" s="851"/>
      <c r="G494" s="851"/>
      <c r="H494" s="851"/>
      <c r="I494" s="851"/>
      <c r="J494" s="851"/>
      <c r="K494" s="851"/>
      <c r="L494" s="851"/>
      <c r="M494" s="851"/>
      <c r="N494" s="851"/>
    </row>
    <row r="495" spans="3:14" ht="14.25" customHeight="1">
      <c r="C495" s="851"/>
      <c r="D495" s="851"/>
      <c r="E495" s="851"/>
      <c r="F495" s="851"/>
      <c r="G495" s="851"/>
      <c r="H495" s="851"/>
      <c r="I495" s="851"/>
      <c r="J495" s="851"/>
      <c r="K495" s="851"/>
      <c r="L495" s="851"/>
      <c r="M495" s="851"/>
      <c r="N495" s="851"/>
    </row>
    <row r="496" spans="3:14" ht="14.25" customHeight="1">
      <c r="C496" s="851"/>
      <c r="D496" s="851"/>
      <c r="E496" s="851"/>
      <c r="F496" s="851"/>
      <c r="G496" s="851"/>
      <c r="H496" s="851"/>
      <c r="I496" s="851"/>
      <c r="J496" s="851"/>
      <c r="K496" s="851"/>
      <c r="L496" s="851"/>
      <c r="M496" s="851"/>
      <c r="N496" s="851"/>
    </row>
    <row r="497" spans="3:14" ht="14.25" customHeight="1">
      <c r="C497" s="851"/>
      <c r="D497" s="851"/>
      <c r="E497" s="851"/>
      <c r="F497" s="851"/>
      <c r="G497" s="851"/>
      <c r="H497" s="851"/>
      <c r="I497" s="851"/>
      <c r="J497" s="851"/>
      <c r="K497" s="851"/>
      <c r="L497" s="851"/>
      <c r="M497" s="851"/>
      <c r="N497" s="851"/>
    </row>
    <row r="498" spans="3:14" ht="14.25" customHeight="1">
      <c r="C498" s="851"/>
      <c r="D498" s="851"/>
      <c r="E498" s="851"/>
      <c r="F498" s="851"/>
      <c r="G498" s="851"/>
      <c r="H498" s="851"/>
      <c r="I498" s="851"/>
      <c r="J498" s="851"/>
      <c r="K498" s="851"/>
      <c r="L498" s="851"/>
      <c r="M498" s="851"/>
      <c r="N498" s="851"/>
    </row>
    <row r="499" spans="3:14" ht="14.25" customHeight="1">
      <c r="C499" s="851"/>
      <c r="D499" s="851"/>
      <c r="E499" s="851"/>
      <c r="F499" s="851"/>
      <c r="G499" s="851"/>
      <c r="H499" s="851"/>
      <c r="I499" s="851"/>
      <c r="J499" s="851"/>
      <c r="K499" s="851"/>
      <c r="L499" s="851"/>
      <c r="M499" s="851"/>
      <c r="N499" s="851"/>
    </row>
    <row r="500" spans="3:14" ht="14.25" customHeight="1">
      <c r="C500" s="851"/>
      <c r="D500" s="851"/>
      <c r="E500" s="851"/>
      <c r="F500" s="851"/>
      <c r="G500" s="851"/>
      <c r="H500" s="851"/>
      <c r="I500" s="851"/>
      <c r="J500" s="851"/>
      <c r="K500" s="851"/>
      <c r="L500" s="851"/>
      <c r="M500" s="851"/>
      <c r="N500" s="851"/>
    </row>
    <row r="501" spans="3:14" ht="14.25" customHeight="1">
      <c r="C501" s="851"/>
      <c r="D501" s="851"/>
      <c r="E501" s="851"/>
      <c r="F501" s="851"/>
      <c r="G501" s="851"/>
      <c r="H501" s="851"/>
      <c r="I501" s="851"/>
      <c r="J501" s="851"/>
      <c r="K501" s="851"/>
      <c r="L501" s="851"/>
      <c r="M501" s="851"/>
      <c r="N501" s="851"/>
    </row>
    <row r="502" spans="3:14" ht="14.25" customHeight="1">
      <c r="C502" s="851"/>
      <c r="D502" s="851"/>
      <c r="E502" s="851"/>
      <c r="F502" s="851"/>
      <c r="G502" s="851"/>
      <c r="H502" s="851"/>
      <c r="I502" s="851"/>
      <c r="J502" s="851"/>
      <c r="K502" s="851"/>
      <c r="L502" s="851"/>
      <c r="M502" s="851"/>
      <c r="N502" s="851"/>
    </row>
    <row r="503" spans="3:14" ht="14.25" customHeight="1">
      <c r="C503" s="851"/>
      <c r="D503" s="851"/>
      <c r="E503" s="851"/>
      <c r="F503" s="851"/>
      <c r="G503" s="851"/>
      <c r="H503" s="851"/>
      <c r="I503" s="851"/>
      <c r="J503" s="851"/>
      <c r="K503" s="851"/>
      <c r="L503" s="851"/>
      <c r="M503" s="851"/>
      <c r="N503" s="851"/>
    </row>
    <row r="504" spans="3:14" ht="14.25" customHeight="1">
      <c r="C504" s="851"/>
      <c r="D504" s="851"/>
      <c r="E504" s="851"/>
      <c r="F504" s="851"/>
      <c r="G504" s="851"/>
      <c r="H504" s="851"/>
      <c r="I504" s="851"/>
      <c r="J504" s="851"/>
      <c r="K504" s="851"/>
      <c r="L504" s="851"/>
      <c r="M504" s="851"/>
      <c r="N504" s="851"/>
    </row>
    <row r="505" spans="3:14" ht="14.25" customHeight="1">
      <c r="C505" s="851"/>
      <c r="D505" s="851"/>
      <c r="E505" s="851"/>
      <c r="F505" s="851"/>
      <c r="G505" s="851"/>
      <c r="H505" s="851"/>
      <c r="I505" s="851"/>
      <c r="J505" s="851"/>
      <c r="K505" s="851"/>
      <c r="L505" s="851"/>
      <c r="M505" s="851"/>
      <c r="N505" s="851"/>
    </row>
    <row r="506" spans="3:14" ht="14.25" customHeight="1">
      <c r="C506" s="851"/>
      <c r="D506" s="851"/>
      <c r="E506" s="851"/>
      <c r="F506" s="851"/>
      <c r="G506" s="851"/>
      <c r="H506" s="851"/>
      <c r="I506" s="851"/>
      <c r="J506" s="851"/>
      <c r="K506" s="851"/>
      <c r="L506" s="851"/>
      <c r="M506" s="851"/>
      <c r="N506" s="851"/>
    </row>
    <row r="507" spans="3:14" ht="14.25" customHeight="1">
      <c r="C507" s="851"/>
      <c r="D507" s="851"/>
      <c r="E507" s="851"/>
      <c r="F507" s="851"/>
      <c r="G507" s="851"/>
      <c r="H507" s="851"/>
      <c r="I507" s="851"/>
      <c r="J507" s="851"/>
      <c r="K507" s="851"/>
      <c r="L507" s="851"/>
      <c r="M507" s="851"/>
      <c r="N507" s="851"/>
    </row>
    <row r="508" spans="3:14" ht="14.25" customHeight="1">
      <c r="C508" s="851"/>
      <c r="D508" s="851"/>
      <c r="E508" s="851"/>
      <c r="F508" s="851"/>
      <c r="G508" s="851"/>
      <c r="H508" s="851"/>
      <c r="I508" s="851"/>
      <c r="J508" s="851"/>
      <c r="K508" s="851"/>
      <c r="L508" s="851"/>
      <c r="M508" s="851"/>
      <c r="N508" s="851"/>
    </row>
    <row r="509" spans="3:14" ht="14.25" customHeight="1">
      <c r="C509" s="851"/>
      <c r="D509" s="851"/>
      <c r="E509" s="851"/>
      <c r="F509" s="851"/>
      <c r="G509" s="851"/>
      <c r="H509" s="851"/>
      <c r="I509" s="851"/>
      <c r="J509" s="851"/>
      <c r="K509" s="851"/>
      <c r="L509" s="851"/>
      <c r="M509" s="851"/>
      <c r="N509" s="851"/>
    </row>
    <row r="510" spans="3:14" ht="14.25" customHeight="1">
      <c r="C510" s="851"/>
      <c r="D510" s="851"/>
      <c r="E510" s="851"/>
      <c r="F510" s="851"/>
      <c r="G510" s="851"/>
      <c r="H510" s="851"/>
      <c r="I510" s="851"/>
      <c r="J510" s="851"/>
      <c r="K510" s="851"/>
      <c r="L510" s="851"/>
      <c r="M510" s="851"/>
      <c r="N510" s="851"/>
    </row>
    <row r="511" spans="3:14" ht="14.25" customHeight="1">
      <c r="C511" s="851"/>
      <c r="D511" s="851"/>
      <c r="E511" s="851"/>
      <c r="F511" s="851"/>
      <c r="G511" s="851"/>
      <c r="H511" s="851"/>
      <c r="I511" s="851"/>
      <c r="J511" s="851"/>
      <c r="K511" s="851"/>
      <c r="L511" s="851"/>
      <c r="M511" s="851"/>
      <c r="N511" s="851"/>
    </row>
    <row r="512" spans="3:14" ht="14.25" customHeight="1">
      <c r="C512" s="851"/>
      <c r="D512" s="851"/>
      <c r="E512" s="851"/>
      <c r="F512" s="851"/>
      <c r="G512" s="851"/>
      <c r="H512" s="851"/>
      <c r="I512" s="851"/>
      <c r="J512" s="851"/>
      <c r="K512" s="851"/>
      <c r="L512" s="851"/>
      <c r="M512" s="851"/>
      <c r="N512" s="851"/>
    </row>
    <row r="513" spans="3:14" ht="14.25" customHeight="1">
      <c r="C513" s="851"/>
      <c r="D513" s="851"/>
      <c r="E513" s="851"/>
      <c r="F513" s="851"/>
      <c r="G513" s="851"/>
      <c r="H513" s="851"/>
      <c r="I513" s="851"/>
      <c r="J513" s="851"/>
      <c r="K513" s="851"/>
      <c r="L513" s="851"/>
      <c r="M513" s="851"/>
      <c r="N513" s="851"/>
    </row>
    <row r="514" spans="3:14" ht="14.25" customHeight="1">
      <c r="C514" s="851"/>
      <c r="D514" s="851"/>
      <c r="E514" s="851"/>
      <c r="F514" s="851"/>
      <c r="G514" s="851"/>
      <c r="H514" s="851"/>
      <c r="I514" s="851"/>
      <c r="J514" s="851"/>
      <c r="K514" s="851"/>
      <c r="L514" s="851"/>
      <c r="M514" s="851"/>
      <c r="N514" s="851"/>
    </row>
    <row r="515" spans="3:14" ht="14.25" customHeight="1">
      <c r="C515" s="851"/>
      <c r="D515" s="851"/>
      <c r="E515" s="851"/>
      <c r="F515" s="851"/>
      <c r="G515" s="851"/>
      <c r="H515" s="851"/>
      <c r="I515" s="851"/>
      <c r="J515" s="851"/>
      <c r="K515" s="851"/>
      <c r="L515" s="851"/>
      <c r="M515" s="851"/>
      <c r="N515" s="851"/>
    </row>
    <row r="516" spans="3:14" ht="14.25" customHeight="1">
      <c r="C516" s="851"/>
      <c r="D516" s="851"/>
      <c r="E516" s="851"/>
      <c r="F516" s="851"/>
      <c r="G516" s="851"/>
      <c r="H516" s="851"/>
      <c r="I516" s="851"/>
      <c r="J516" s="851"/>
      <c r="K516" s="851"/>
      <c r="L516" s="851"/>
      <c r="M516" s="851"/>
      <c r="N516" s="851"/>
    </row>
    <row r="517" spans="3:14" ht="14.25" customHeight="1">
      <c r="C517" s="851"/>
      <c r="D517" s="851"/>
      <c r="E517" s="851"/>
      <c r="F517" s="851"/>
      <c r="G517" s="851"/>
      <c r="H517" s="851"/>
      <c r="I517" s="851"/>
      <c r="J517" s="851"/>
      <c r="K517" s="851"/>
      <c r="L517" s="851"/>
      <c r="M517" s="851"/>
      <c r="N517" s="851"/>
    </row>
    <row r="518" spans="3:14" ht="14.25" customHeight="1">
      <c r="C518" s="851"/>
      <c r="D518" s="851"/>
      <c r="E518" s="851"/>
      <c r="F518" s="851"/>
      <c r="G518" s="851"/>
      <c r="H518" s="851"/>
      <c r="I518" s="851"/>
      <c r="J518" s="851"/>
      <c r="K518" s="851"/>
      <c r="L518" s="851"/>
      <c r="M518" s="851"/>
      <c r="N518" s="851"/>
    </row>
    <row r="519" spans="3:14" ht="14.25" customHeight="1">
      <c r="C519" s="851"/>
      <c r="D519" s="851"/>
      <c r="E519" s="851"/>
      <c r="F519" s="851"/>
      <c r="G519" s="851"/>
      <c r="H519" s="851"/>
      <c r="I519" s="851"/>
      <c r="J519" s="851"/>
      <c r="K519" s="851"/>
      <c r="L519" s="851"/>
      <c r="M519" s="851"/>
      <c r="N519" s="851"/>
    </row>
    <row r="520" spans="3:14" ht="14.25" customHeight="1">
      <c r="C520" s="851"/>
      <c r="D520" s="851"/>
      <c r="E520" s="851"/>
      <c r="F520" s="851"/>
      <c r="G520" s="851"/>
      <c r="H520" s="851"/>
      <c r="I520" s="851"/>
      <c r="J520" s="851"/>
      <c r="K520" s="851"/>
      <c r="L520" s="851"/>
      <c r="M520" s="851"/>
      <c r="N520" s="851"/>
    </row>
    <row r="521" spans="3:14" ht="14.25" customHeight="1">
      <c r="C521" s="851"/>
      <c r="D521" s="851"/>
      <c r="E521" s="851"/>
      <c r="F521" s="851"/>
      <c r="G521" s="851"/>
      <c r="H521" s="851"/>
      <c r="I521" s="851"/>
      <c r="J521" s="851"/>
      <c r="K521" s="851"/>
      <c r="L521" s="851"/>
      <c r="M521" s="851"/>
      <c r="N521" s="851"/>
    </row>
    <row r="522" spans="3:14" ht="14.25" customHeight="1">
      <c r="C522" s="851"/>
      <c r="D522" s="851"/>
      <c r="E522" s="851"/>
      <c r="F522" s="851"/>
      <c r="G522" s="851"/>
      <c r="H522" s="851"/>
      <c r="I522" s="851"/>
      <c r="J522" s="851"/>
      <c r="K522" s="851"/>
      <c r="L522" s="851"/>
      <c r="M522" s="851"/>
      <c r="N522" s="851"/>
    </row>
    <row r="523" spans="3:14" ht="14.25" customHeight="1">
      <c r="C523" s="851"/>
      <c r="D523" s="851"/>
      <c r="E523" s="851"/>
      <c r="F523" s="851"/>
      <c r="G523" s="851"/>
      <c r="H523" s="851"/>
      <c r="I523" s="851"/>
      <c r="J523" s="851"/>
      <c r="K523" s="851"/>
      <c r="L523" s="851"/>
      <c r="M523" s="851"/>
      <c r="N523" s="851"/>
    </row>
    <row r="524" spans="3:14" ht="14.25" customHeight="1">
      <c r="C524" s="851"/>
      <c r="D524" s="851"/>
      <c r="E524" s="851"/>
      <c r="F524" s="851"/>
      <c r="G524" s="851"/>
      <c r="H524" s="851"/>
      <c r="I524" s="851"/>
      <c r="J524" s="851"/>
      <c r="K524" s="851"/>
      <c r="L524" s="851"/>
      <c r="M524" s="851"/>
      <c r="N524" s="851"/>
    </row>
    <row r="525" spans="3:14" ht="14.25" customHeight="1">
      <c r="C525" s="851"/>
      <c r="D525" s="851"/>
      <c r="E525" s="851"/>
      <c r="F525" s="851"/>
      <c r="G525" s="851"/>
      <c r="H525" s="851"/>
      <c r="I525" s="851"/>
      <c r="J525" s="851"/>
      <c r="K525" s="851"/>
      <c r="L525" s="851"/>
      <c r="M525" s="851"/>
      <c r="N525" s="851"/>
    </row>
    <row r="526" spans="3:14" ht="14.25" customHeight="1">
      <c r="C526" s="851"/>
      <c r="D526" s="851"/>
      <c r="E526" s="851"/>
      <c r="F526" s="851"/>
      <c r="G526" s="851"/>
      <c r="H526" s="851"/>
      <c r="I526" s="851"/>
      <c r="J526" s="851"/>
      <c r="K526" s="851"/>
      <c r="L526" s="851"/>
      <c r="M526" s="851"/>
      <c r="N526" s="851"/>
    </row>
    <row r="527" spans="3:14" ht="14.25" customHeight="1">
      <c r="C527" s="851"/>
      <c r="D527" s="851"/>
      <c r="E527" s="851"/>
      <c r="F527" s="851"/>
      <c r="G527" s="851"/>
      <c r="H527" s="851"/>
      <c r="I527" s="851"/>
      <c r="J527" s="851"/>
      <c r="K527" s="851"/>
      <c r="L527" s="851"/>
      <c r="M527" s="851"/>
      <c r="N527" s="851"/>
    </row>
    <row r="528" spans="3:14" ht="14.25" customHeight="1">
      <c r="C528" s="851"/>
      <c r="D528" s="851"/>
      <c r="E528" s="851"/>
      <c r="F528" s="851"/>
      <c r="G528" s="851"/>
      <c r="H528" s="851"/>
      <c r="I528" s="851"/>
      <c r="J528" s="851"/>
      <c r="K528" s="851"/>
      <c r="L528" s="851"/>
      <c r="M528" s="851"/>
      <c r="N528" s="851"/>
    </row>
    <row r="529" spans="3:14" ht="14.25" customHeight="1">
      <c r="C529" s="851"/>
      <c r="D529" s="851"/>
      <c r="E529" s="851"/>
      <c r="F529" s="851"/>
      <c r="G529" s="851"/>
      <c r="H529" s="851"/>
      <c r="I529" s="851"/>
      <c r="J529" s="851"/>
      <c r="K529" s="851"/>
      <c r="L529" s="851"/>
      <c r="M529" s="851"/>
      <c r="N529" s="851"/>
    </row>
    <row r="530" spans="3:14" ht="14.25" customHeight="1">
      <c r="C530" s="851"/>
      <c r="D530" s="851"/>
      <c r="E530" s="851"/>
      <c r="F530" s="851"/>
      <c r="G530" s="851"/>
      <c r="H530" s="851"/>
      <c r="I530" s="851"/>
      <c r="J530" s="851"/>
      <c r="K530" s="851"/>
      <c r="L530" s="851"/>
      <c r="M530" s="851"/>
      <c r="N530" s="851"/>
    </row>
    <row r="531" spans="3:14" ht="14.25" customHeight="1">
      <c r="C531" s="851"/>
      <c r="D531" s="851"/>
      <c r="E531" s="851"/>
      <c r="F531" s="851"/>
      <c r="G531" s="851"/>
      <c r="H531" s="851"/>
      <c r="I531" s="851"/>
      <c r="J531" s="851"/>
      <c r="K531" s="851"/>
      <c r="L531" s="851"/>
      <c r="M531" s="851"/>
      <c r="N531" s="851"/>
    </row>
    <row r="532" spans="3:14" ht="14.25" customHeight="1">
      <c r="C532" s="851"/>
      <c r="D532" s="851"/>
      <c r="E532" s="851"/>
      <c r="F532" s="851"/>
      <c r="G532" s="851"/>
      <c r="H532" s="851"/>
      <c r="I532" s="851"/>
      <c r="J532" s="851"/>
      <c r="K532" s="851"/>
      <c r="L532" s="851"/>
      <c r="M532" s="851"/>
      <c r="N532" s="851"/>
    </row>
    <row r="533" spans="3:14" ht="14.25" customHeight="1">
      <c r="C533" s="851"/>
      <c r="D533" s="851"/>
      <c r="E533" s="851"/>
      <c r="F533" s="851"/>
      <c r="G533" s="851"/>
      <c r="H533" s="851"/>
      <c r="I533" s="851"/>
      <c r="J533" s="851"/>
      <c r="K533" s="851"/>
      <c r="L533" s="851"/>
      <c r="M533" s="851"/>
      <c r="N533" s="851"/>
    </row>
    <row r="534" spans="3:14" ht="14.25" customHeight="1">
      <c r="C534" s="851"/>
      <c r="D534" s="851"/>
      <c r="E534" s="851"/>
      <c r="F534" s="851"/>
      <c r="G534" s="851"/>
      <c r="H534" s="851"/>
      <c r="I534" s="851"/>
      <c r="J534" s="851"/>
      <c r="K534" s="851"/>
      <c r="L534" s="851"/>
      <c r="M534" s="851"/>
      <c r="N534" s="851"/>
    </row>
    <row r="535" spans="3:14" ht="14.25" customHeight="1">
      <c r="C535" s="851"/>
      <c r="D535" s="851"/>
      <c r="E535" s="851"/>
      <c r="F535" s="851"/>
      <c r="G535" s="851"/>
      <c r="H535" s="851"/>
      <c r="I535" s="851"/>
      <c r="J535" s="851"/>
      <c r="K535" s="851"/>
      <c r="L535" s="851"/>
      <c r="M535" s="851"/>
      <c r="N535" s="851"/>
    </row>
    <row r="536" spans="3:14" ht="14.25" customHeight="1">
      <c r="C536" s="851"/>
      <c r="D536" s="851"/>
      <c r="E536" s="851"/>
      <c r="F536" s="851"/>
      <c r="G536" s="851"/>
      <c r="H536" s="851"/>
      <c r="I536" s="851"/>
      <c r="J536" s="851"/>
      <c r="K536" s="851"/>
      <c r="L536" s="851"/>
      <c r="M536" s="851"/>
      <c r="N536" s="851"/>
    </row>
    <row r="537" spans="3:14" ht="14.25" customHeight="1">
      <c r="C537" s="851"/>
      <c r="D537" s="851"/>
      <c r="E537" s="851"/>
      <c r="F537" s="851"/>
      <c r="G537" s="851"/>
      <c r="H537" s="851"/>
      <c r="I537" s="851"/>
      <c r="J537" s="851"/>
      <c r="K537" s="851"/>
      <c r="L537" s="851"/>
      <c r="M537" s="851"/>
      <c r="N537" s="851"/>
    </row>
    <row r="538" spans="3:14" ht="14.25" customHeight="1">
      <c r="C538" s="851"/>
      <c r="D538" s="851"/>
      <c r="E538" s="851"/>
      <c r="F538" s="851"/>
      <c r="G538" s="851"/>
      <c r="H538" s="851"/>
      <c r="I538" s="851"/>
      <c r="J538" s="851"/>
      <c r="K538" s="851"/>
      <c r="L538" s="851"/>
      <c r="M538" s="851"/>
      <c r="N538" s="851"/>
    </row>
    <row r="539" spans="3:14" ht="14.25" customHeight="1">
      <c r="C539" s="851"/>
      <c r="D539" s="851"/>
      <c r="E539" s="851"/>
      <c r="F539" s="851"/>
      <c r="G539" s="851"/>
      <c r="H539" s="851"/>
      <c r="I539" s="851"/>
      <c r="J539" s="851"/>
      <c r="K539" s="851"/>
      <c r="L539" s="851"/>
      <c r="M539" s="851"/>
      <c r="N539" s="851"/>
    </row>
    <row r="540" spans="3:14" ht="14.25" customHeight="1">
      <c r="C540" s="851"/>
      <c r="D540" s="851"/>
      <c r="E540" s="851"/>
      <c r="F540" s="851"/>
      <c r="G540" s="851"/>
      <c r="H540" s="851"/>
      <c r="I540" s="851"/>
      <c r="J540" s="851"/>
      <c r="K540" s="851"/>
      <c r="L540" s="851"/>
      <c r="M540" s="851"/>
      <c r="N540" s="851"/>
    </row>
    <row r="541" spans="3:14" ht="14.25" customHeight="1">
      <c r="C541" s="851"/>
      <c r="D541" s="851"/>
      <c r="E541" s="851"/>
      <c r="F541" s="851"/>
      <c r="G541" s="851"/>
      <c r="H541" s="851"/>
      <c r="I541" s="851"/>
      <c r="J541" s="851"/>
      <c r="K541" s="851"/>
      <c r="L541" s="851"/>
      <c r="M541" s="851"/>
      <c r="N541" s="851"/>
    </row>
    <row r="542" spans="3:14" ht="14.25" customHeight="1">
      <c r="C542" s="851"/>
      <c r="D542" s="851"/>
      <c r="E542" s="851"/>
      <c r="F542" s="851"/>
      <c r="G542" s="851"/>
      <c r="H542" s="851"/>
      <c r="I542" s="851"/>
      <c r="J542" s="851"/>
      <c r="K542" s="851"/>
      <c r="L542" s="851"/>
      <c r="M542" s="851"/>
      <c r="N542" s="851"/>
    </row>
    <row r="543" spans="3:14" ht="14.25" customHeight="1">
      <c r="C543" s="851"/>
      <c r="D543" s="851"/>
      <c r="E543" s="851"/>
      <c r="F543" s="851"/>
      <c r="G543" s="851"/>
      <c r="H543" s="851"/>
      <c r="I543" s="851"/>
      <c r="J543" s="851"/>
      <c r="K543" s="851"/>
      <c r="L543" s="851"/>
      <c r="M543" s="851"/>
      <c r="N543" s="851"/>
    </row>
    <row r="544" spans="3:14" ht="14.25" customHeight="1">
      <c r="C544" s="851"/>
      <c r="D544" s="851"/>
      <c r="E544" s="851"/>
      <c r="F544" s="851"/>
      <c r="G544" s="851"/>
      <c r="H544" s="851"/>
      <c r="I544" s="851"/>
      <c r="J544" s="851"/>
      <c r="K544" s="851"/>
      <c r="L544" s="851"/>
      <c r="M544" s="851"/>
      <c r="N544" s="851"/>
    </row>
    <row r="545" spans="3:14" ht="14.25" customHeight="1">
      <c r="C545" s="851"/>
      <c r="D545" s="851"/>
      <c r="E545" s="851"/>
      <c r="F545" s="851"/>
      <c r="G545" s="851"/>
      <c r="H545" s="851"/>
      <c r="I545" s="851"/>
      <c r="J545" s="851"/>
      <c r="K545" s="851"/>
      <c r="L545" s="851"/>
      <c r="M545" s="851"/>
      <c r="N545" s="851"/>
    </row>
    <row r="546" spans="3:14" ht="14.25" customHeight="1">
      <c r="C546" s="851"/>
      <c r="D546" s="851"/>
      <c r="E546" s="851"/>
      <c r="F546" s="851"/>
      <c r="G546" s="851"/>
      <c r="H546" s="851"/>
      <c r="I546" s="851"/>
      <c r="J546" s="851"/>
      <c r="K546" s="851"/>
      <c r="L546" s="851"/>
      <c r="M546" s="851"/>
      <c r="N546" s="851"/>
    </row>
    <row r="547" spans="3:14" ht="14.25" customHeight="1">
      <c r="C547" s="851"/>
      <c r="D547" s="851"/>
      <c r="E547" s="851"/>
      <c r="F547" s="851"/>
      <c r="G547" s="851"/>
      <c r="H547" s="851"/>
      <c r="I547" s="851"/>
      <c r="J547" s="851"/>
      <c r="K547" s="851"/>
      <c r="L547" s="851"/>
      <c r="M547" s="851"/>
      <c r="N547" s="851"/>
    </row>
    <row r="548" spans="3:14" ht="14.25" customHeight="1">
      <c r="C548" s="851"/>
      <c r="D548" s="851"/>
      <c r="E548" s="851"/>
      <c r="F548" s="851"/>
      <c r="G548" s="851"/>
      <c r="H548" s="851"/>
      <c r="I548" s="851"/>
      <c r="J548" s="851"/>
      <c r="K548" s="851"/>
      <c r="L548" s="851"/>
      <c r="M548" s="851"/>
      <c r="N548" s="851"/>
    </row>
    <row r="549" spans="3:14" ht="14.25" customHeight="1">
      <c r="C549" s="851"/>
      <c r="D549" s="851"/>
      <c r="E549" s="851"/>
      <c r="F549" s="851"/>
      <c r="G549" s="851"/>
      <c r="H549" s="851"/>
      <c r="I549" s="851"/>
      <c r="J549" s="851"/>
      <c r="K549" s="851"/>
      <c r="L549" s="851"/>
      <c r="M549" s="851"/>
      <c r="N549" s="851"/>
    </row>
    <row r="550" spans="3:14" ht="14.25" customHeight="1">
      <c r="C550" s="851"/>
      <c r="D550" s="851"/>
      <c r="E550" s="851"/>
      <c r="F550" s="851"/>
      <c r="G550" s="851"/>
      <c r="H550" s="851"/>
      <c r="I550" s="851"/>
      <c r="J550" s="851"/>
      <c r="K550" s="851"/>
      <c r="L550" s="851"/>
      <c r="M550" s="851"/>
      <c r="N550" s="851"/>
    </row>
    <row r="551" spans="3:14" ht="14.25" customHeight="1">
      <c r="C551" s="851"/>
      <c r="D551" s="851"/>
      <c r="E551" s="851"/>
      <c r="F551" s="851"/>
      <c r="G551" s="851"/>
      <c r="H551" s="851"/>
      <c r="I551" s="851"/>
      <c r="J551" s="851"/>
      <c r="K551" s="851"/>
      <c r="L551" s="851"/>
      <c r="M551" s="851"/>
      <c r="N551" s="851"/>
    </row>
    <row r="552" spans="3:14" ht="14.25" customHeight="1">
      <c r="C552" s="851"/>
      <c r="D552" s="851"/>
      <c r="E552" s="851"/>
      <c r="F552" s="851"/>
      <c r="G552" s="851"/>
      <c r="H552" s="851"/>
      <c r="I552" s="851"/>
      <c r="J552" s="851"/>
      <c r="K552" s="851"/>
      <c r="L552" s="851"/>
      <c r="M552" s="851"/>
      <c r="N552" s="851"/>
    </row>
    <row r="553" spans="3:14" ht="14.25" customHeight="1">
      <c r="C553" s="851"/>
      <c r="D553" s="851"/>
      <c r="E553" s="851"/>
      <c r="F553" s="851"/>
      <c r="G553" s="851"/>
      <c r="H553" s="851"/>
      <c r="I553" s="851"/>
      <c r="J553" s="851"/>
      <c r="K553" s="851"/>
      <c r="L553" s="851"/>
      <c r="M553" s="851"/>
      <c r="N553" s="851"/>
    </row>
    <row r="554" spans="3:14" ht="14.25" customHeight="1">
      <c r="C554" s="851"/>
      <c r="D554" s="851"/>
      <c r="E554" s="851"/>
      <c r="F554" s="851"/>
      <c r="G554" s="851"/>
      <c r="H554" s="851"/>
      <c r="I554" s="851"/>
      <c r="J554" s="851"/>
      <c r="K554" s="851"/>
      <c r="L554" s="851"/>
      <c r="M554" s="851"/>
      <c r="N554" s="851"/>
    </row>
    <row r="555" spans="3:14" ht="14.25" customHeight="1">
      <c r="C555" s="851"/>
      <c r="D555" s="851"/>
      <c r="E555" s="851"/>
      <c r="F555" s="851"/>
      <c r="G555" s="851"/>
      <c r="H555" s="851"/>
      <c r="I555" s="851"/>
      <c r="J555" s="851"/>
      <c r="K555" s="851"/>
      <c r="L555" s="851"/>
      <c r="M555" s="851"/>
      <c r="N555" s="851"/>
    </row>
    <row r="556" spans="3:14" ht="14.25" customHeight="1">
      <c r="C556" s="851"/>
      <c r="D556" s="851"/>
      <c r="E556" s="851"/>
      <c r="F556" s="851"/>
      <c r="G556" s="851"/>
      <c r="H556" s="851"/>
      <c r="I556" s="851"/>
      <c r="J556" s="851"/>
      <c r="K556" s="851"/>
      <c r="L556" s="851"/>
      <c r="M556" s="851"/>
      <c r="N556" s="851"/>
    </row>
    <row r="557" spans="3:14" ht="14.25" customHeight="1">
      <c r="C557" s="851"/>
      <c r="D557" s="851"/>
      <c r="E557" s="851"/>
      <c r="F557" s="851"/>
      <c r="G557" s="851"/>
      <c r="H557" s="851"/>
      <c r="I557" s="851"/>
      <c r="J557" s="851"/>
      <c r="K557" s="851"/>
      <c r="L557" s="851"/>
      <c r="M557" s="851"/>
      <c r="N557" s="851"/>
    </row>
    <row r="558" spans="3:14" ht="14.25" customHeight="1">
      <c r="C558" s="851"/>
      <c r="D558" s="851"/>
      <c r="E558" s="851"/>
      <c r="F558" s="851"/>
      <c r="G558" s="851"/>
      <c r="H558" s="851"/>
      <c r="I558" s="851"/>
      <c r="J558" s="851"/>
      <c r="K558" s="851"/>
      <c r="L558" s="851"/>
      <c r="M558" s="851"/>
      <c r="N558" s="851"/>
    </row>
    <row r="559" spans="3:14" ht="14.25" customHeight="1">
      <c r="C559" s="851"/>
      <c r="D559" s="851"/>
      <c r="E559" s="851"/>
      <c r="F559" s="851"/>
      <c r="G559" s="851"/>
      <c r="H559" s="851"/>
      <c r="I559" s="851"/>
      <c r="J559" s="851"/>
      <c r="K559" s="851"/>
      <c r="L559" s="851"/>
      <c r="M559" s="851"/>
      <c r="N559" s="851"/>
    </row>
    <row r="560" spans="3:14" ht="14.25" customHeight="1">
      <c r="C560" s="851"/>
      <c r="D560" s="851"/>
      <c r="E560" s="851"/>
      <c r="F560" s="851"/>
      <c r="G560" s="851"/>
      <c r="H560" s="851"/>
      <c r="I560" s="851"/>
      <c r="J560" s="851"/>
      <c r="K560" s="851"/>
      <c r="L560" s="851"/>
      <c r="M560" s="851"/>
      <c r="N560" s="851"/>
    </row>
    <row r="561" spans="3:14" ht="14.25" customHeight="1">
      <c r="C561" s="851"/>
      <c r="D561" s="851"/>
      <c r="E561" s="851"/>
      <c r="F561" s="851"/>
      <c r="G561" s="851"/>
      <c r="H561" s="851"/>
      <c r="I561" s="851"/>
      <c r="J561" s="851"/>
      <c r="K561" s="851"/>
      <c r="L561" s="851"/>
      <c r="M561" s="851"/>
      <c r="N561" s="851"/>
    </row>
    <row r="562" spans="3:14" ht="14.25" customHeight="1">
      <c r="C562" s="851"/>
      <c r="D562" s="851"/>
      <c r="E562" s="851"/>
      <c r="F562" s="851"/>
      <c r="G562" s="851"/>
      <c r="H562" s="851"/>
      <c r="I562" s="851"/>
      <c r="J562" s="851"/>
      <c r="K562" s="851"/>
      <c r="L562" s="851"/>
      <c r="M562" s="851"/>
      <c r="N562" s="851"/>
    </row>
    <row r="563" spans="3:14" ht="14.25" customHeight="1">
      <c r="C563" s="851"/>
      <c r="D563" s="851"/>
      <c r="E563" s="851"/>
      <c r="F563" s="851"/>
      <c r="G563" s="851"/>
      <c r="H563" s="851"/>
      <c r="I563" s="851"/>
      <c r="J563" s="851"/>
      <c r="K563" s="851"/>
      <c r="L563" s="851"/>
      <c r="M563" s="851"/>
      <c r="N563" s="851"/>
    </row>
    <row r="564" spans="3:14" ht="14.25" customHeight="1">
      <c r="C564" s="851"/>
      <c r="D564" s="851"/>
      <c r="E564" s="851"/>
      <c r="F564" s="851"/>
      <c r="G564" s="851"/>
      <c r="H564" s="851"/>
      <c r="I564" s="851"/>
      <c r="J564" s="851"/>
      <c r="K564" s="851"/>
      <c r="L564" s="851"/>
      <c r="M564" s="851"/>
      <c r="N564" s="851"/>
    </row>
    <row r="565" spans="3:14" ht="14.25" customHeight="1">
      <c r="C565" s="851"/>
      <c r="D565" s="851"/>
      <c r="E565" s="851"/>
      <c r="F565" s="851"/>
      <c r="G565" s="851"/>
      <c r="H565" s="851"/>
      <c r="I565" s="851"/>
      <c r="J565" s="851"/>
      <c r="K565" s="851"/>
      <c r="L565" s="851"/>
      <c r="M565" s="851"/>
      <c r="N565" s="851"/>
    </row>
    <row r="566" spans="3:14" ht="14.25" customHeight="1">
      <c r="C566" s="851"/>
      <c r="D566" s="851"/>
      <c r="E566" s="851"/>
      <c r="F566" s="851"/>
      <c r="G566" s="851"/>
      <c r="H566" s="851"/>
      <c r="I566" s="851"/>
      <c r="J566" s="851"/>
      <c r="K566" s="851"/>
      <c r="L566" s="851"/>
      <c r="M566" s="851"/>
      <c r="N566" s="851"/>
    </row>
    <row r="567" spans="3:14" ht="14.25" customHeight="1">
      <c r="C567" s="851"/>
      <c r="D567" s="851"/>
      <c r="E567" s="851"/>
      <c r="F567" s="851"/>
      <c r="G567" s="851"/>
      <c r="H567" s="851"/>
      <c r="I567" s="851"/>
      <c r="J567" s="851"/>
      <c r="K567" s="851"/>
      <c r="L567" s="851"/>
      <c r="M567" s="851"/>
      <c r="N567" s="851"/>
    </row>
    <row r="568" spans="3:14" ht="14.25" customHeight="1">
      <c r="C568" s="851"/>
      <c r="D568" s="851"/>
      <c r="E568" s="851"/>
      <c r="F568" s="851"/>
      <c r="G568" s="851"/>
      <c r="H568" s="851"/>
      <c r="I568" s="851"/>
      <c r="J568" s="851"/>
      <c r="K568" s="851"/>
      <c r="L568" s="851"/>
      <c r="M568" s="851"/>
      <c r="N568" s="851"/>
    </row>
    <row r="569" spans="3:14" ht="14.25" customHeight="1">
      <c r="C569" s="851"/>
      <c r="D569" s="851"/>
      <c r="E569" s="851"/>
      <c r="F569" s="851"/>
      <c r="G569" s="851"/>
      <c r="H569" s="851"/>
      <c r="I569" s="851"/>
      <c r="J569" s="851"/>
      <c r="K569" s="851"/>
      <c r="L569" s="851"/>
      <c r="M569" s="851"/>
      <c r="N569" s="851"/>
    </row>
    <row r="570" spans="3:14" ht="14.25" customHeight="1">
      <c r="C570" s="851"/>
      <c r="D570" s="851"/>
      <c r="E570" s="851"/>
      <c r="F570" s="851"/>
      <c r="G570" s="851"/>
      <c r="H570" s="851"/>
      <c r="I570" s="851"/>
      <c r="J570" s="851"/>
      <c r="K570" s="851"/>
      <c r="L570" s="851"/>
      <c r="M570" s="851"/>
      <c r="N570" s="851"/>
    </row>
    <row r="571" spans="3:14" ht="14.25" customHeight="1">
      <c r="C571" s="851"/>
      <c r="D571" s="851"/>
      <c r="E571" s="851"/>
      <c r="F571" s="851"/>
      <c r="G571" s="851"/>
      <c r="H571" s="851"/>
      <c r="I571" s="851"/>
      <c r="J571" s="851"/>
      <c r="K571" s="851"/>
      <c r="L571" s="851"/>
      <c r="M571" s="851"/>
      <c r="N571" s="851"/>
    </row>
    <row r="572" spans="3:14" ht="14.25" customHeight="1">
      <c r="C572" s="851"/>
      <c r="D572" s="851"/>
      <c r="E572" s="851"/>
      <c r="F572" s="851"/>
      <c r="G572" s="851"/>
      <c r="H572" s="851"/>
      <c r="I572" s="851"/>
      <c r="J572" s="851"/>
      <c r="K572" s="851"/>
      <c r="L572" s="851"/>
      <c r="M572" s="851"/>
      <c r="N572" s="851"/>
    </row>
    <row r="573" spans="3:14" ht="14.25" customHeight="1">
      <c r="C573" s="851"/>
      <c r="D573" s="851"/>
      <c r="E573" s="851"/>
      <c r="F573" s="851"/>
      <c r="G573" s="851"/>
      <c r="H573" s="851"/>
      <c r="I573" s="851"/>
      <c r="J573" s="851"/>
      <c r="K573" s="851"/>
      <c r="L573" s="851"/>
      <c r="M573" s="851"/>
      <c r="N573" s="851"/>
    </row>
    <row r="574" spans="3:14" ht="14.25" customHeight="1">
      <c r="C574" s="851"/>
      <c r="D574" s="851"/>
      <c r="E574" s="851"/>
      <c r="F574" s="851"/>
      <c r="G574" s="851"/>
      <c r="H574" s="851"/>
      <c r="I574" s="851"/>
      <c r="J574" s="851"/>
      <c r="K574" s="851"/>
      <c r="L574" s="851"/>
      <c r="M574" s="851"/>
      <c r="N574" s="851"/>
    </row>
    <row r="575" spans="3:14" ht="14.25" customHeight="1">
      <c r="C575" s="851"/>
      <c r="D575" s="851"/>
      <c r="E575" s="851"/>
      <c r="F575" s="851"/>
      <c r="G575" s="851"/>
      <c r="H575" s="851"/>
      <c r="I575" s="851"/>
      <c r="J575" s="851"/>
      <c r="K575" s="851"/>
      <c r="L575" s="851"/>
      <c r="M575" s="851"/>
      <c r="N575" s="851"/>
    </row>
    <row r="576" spans="3:14" ht="14.25" customHeight="1">
      <c r="C576" s="851"/>
      <c r="D576" s="851"/>
      <c r="E576" s="851"/>
      <c r="F576" s="851"/>
      <c r="G576" s="851"/>
      <c r="H576" s="851"/>
      <c r="I576" s="851"/>
      <c r="J576" s="851"/>
      <c r="K576" s="851"/>
      <c r="L576" s="851"/>
      <c r="M576" s="851"/>
      <c r="N576" s="851"/>
    </row>
    <row r="577" spans="3:14" ht="14.25" customHeight="1">
      <c r="C577" s="851"/>
      <c r="D577" s="851"/>
      <c r="E577" s="851"/>
      <c r="F577" s="851"/>
      <c r="G577" s="851"/>
      <c r="H577" s="851"/>
      <c r="I577" s="851"/>
      <c r="J577" s="851"/>
      <c r="K577" s="851"/>
      <c r="L577" s="851"/>
      <c r="M577" s="851"/>
      <c r="N577" s="851"/>
    </row>
    <row r="578" spans="3:14" ht="14.25" customHeight="1">
      <c r="C578" s="851"/>
      <c r="D578" s="851"/>
      <c r="E578" s="851"/>
      <c r="F578" s="851"/>
      <c r="G578" s="851"/>
      <c r="H578" s="851"/>
      <c r="I578" s="851"/>
      <c r="J578" s="851"/>
      <c r="K578" s="851"/>
      <c r="L578" s="851"/>
      <c r="M578" s="851"/>
      <c r="N578" s="851"/>
    </row>
    <row r="579" spans="3:14" ht="14.25" customHeight="1">
      <c r="C579" s="851"/>
      <c r="D579" s="851"/>
      <c r="E579" s="851"/>
      <c r="F579" s="851"/>
      <c r="G579" s="851"/>
      <c r="H579" s="851"/>
      <c r="I579" s="851"/>
      <c r="J579" s="851"/>
      <c r="K579" s="851"/>
      <c r="L579" s="851"/>
      <c r="M579" s="851"/>
      <c r="N579" s="851"/>
    </row>
    <row r="580" spans="3:14" ht="14.25" customHeight="1">
      <c r="C580" s="851"/>
      <c r="D580" s="851"/>
      <c r="E580" s="851"/>
      <c r="F580" s="851"/>
      <c r="G580" s="851"/>
      <c r="H580" s="851"/>
      <c r="I580" s="851"/>
      <c r="J580" s="851"/>
      <c r="K580" s="851"/>
      <c r="L580" s="851"/>
      <c r="M580" s="851"/>
      <c r="N580" s="851"/>
    </row>
    <row r="581" spans="3:14" ht="14.25" customHeight="1">
      <c r="C581" s="851"/>
      <c r="D581" s="851"/>
      <c r="E581" s="851"/>
      <c r="F581" s="851"/>
      <c r="G581" s="851"/>
      <c r="H581" s="851"/>
      <c r="I581" s="851"/>
      <c r="J581" s="851"/>
      <c r="K581" s="851"/>
      <c r="L581" s="851"/>
      <c r="M581" s="851"/>
      <c r="N581" s="851"/>
    </row>
    <row r="582" spans="3:14" ht="14.25" customHeight="1">
      <c r="C582" s="851"/>
      <c r="D582" s="851"/>
      <c r="E582" s="851"/>
      <c r="F582" s="851"/>
      <c r="G582" s="851"/>
      <c r="H582" s="851"/>
      <c r="I582" s="851"/>
      <c r="J582" s="851"/>
      <c r="K582" s="851"/>
      <c r="L582" s="851"/>
      <c r="M582" s="851"/>
      <c r="N582" s="851"/>
    </row>
    <row r="583" spans="3:14" ht="14.25" customHeight="1">
      <c r="C583" s="851"/>
      <c r="D583" s="851"/>
      <c r="E583" s="851"/>
      <c r="F583" s="851"/>
      <c r="G583" s="851"/>
      <c r="H583" s="851"/>
      <c r="I583" s="851"/>
      <c r="J583" s="851"/>
      <c r="K583" s="851"/>
      <c r="L583" s="851"/>
      <c r="M583" s="851"/>
      <c r="N583" s="851"/>
    </row>
    <row r="584" spans="3:14" ht="14.25" customHeight="1">
      <c r="C584" s="851"/>
      <c r="D584" s="851"/>
      <c r="E584" s="851"/>
      <c r="F584" s="851"/>
      <c r="G584" s="851"/>
      <c r="H584" s="851"/>
      <c r="I584" s="851"/>
      <c r="J584" s="851"/>
      <c r="K584" s="851"/>
      <c r="L584" s="851"/>
      <c r="M584" s="851"/>
      <c r="N584" s="851"/>
    </row>
    <row r="585" spans="3:14" ht="14.25" customHeight="1">
      <c r="C585" s="851"/>
      <c r="D585" s="851"/>
      <c r="E585" s="851"/>
      <c r="F585" s="851"/>
      <c r="G585" s="851"/>
      <c r="H585" s="851"/>
      <c r="I585" s="851"/>
      <c r="J585" s="851"/>
      <c r="K585" s="851"/>
      <c r="L585" s="851"/>
      <c r="M585" s="851"/>
      <c r="N585" s="851"/>
    </row>
    <row r="586" spans="3:14" ht="14.25" customHeight="1">
      <c r="C586" s="851"/>
      <c r="D586" s="851"/>
      <c r="E586" s="851"/>
      <c r="F586" s="851"/>
      <c r="G586" s="851"/>
      <c r="H586" s="851"/>
      <c r="I586" s="851"/>
      <c r="J586" s="851"/>
      <c r="K586" s="851"/>
      <c r="L586" s="851"/>
      <c r="M586" s="851"/>
      <c r="N586" s="851"/>
    </row>
    <row r="587" spans="3:14" ht="14.25" customHeight="1">
      <c r="C587" s="851"/>
      <c r="D587" s="851"/>
      <c r="E587" s="851"/>
      <c r="F587" s="851"/>
      <c r="G587" s="851"/>
      <c r="H587" s="851"/>
      <c r="I587" s="851"/>
      <c r="J587" s="851"/>
      <c r="K587" s="851"/>
      <c r="L587" s="851"/>
      <c r="M587" s="851"/>
      <c r="N587" s="851"/>
    </row>
    <row r="588" spans="3:14" ht="14.25" customHeight="1">
      <c r="C588" s="851"/>
      <c r="D588" s="851"/>
      <c r="E588" s="851"/>
      <c r="F588" s="851"/>
      <c r="G588" s="851"/>
      <c r="H588" s="851"/>
      <c r="I588" s="851"/>
      <c r="J588" s="851"/>
      <c r="K588" s="851"/>
      <c r="L588" s="851"/>
      <c r="M588" s="851"/>
      <c r="N588" s="851"/>
    </row>
    <row r="589" spans="3:14" ht="14.25" customHeight="1">
      <c r="C589" s="851"/>
      <c r="D589" s="851"/>
      <c r="E589" s="851"/>
      <c r="F589" s="851"/>
      <c r="G589" s="851"/>
      <c r="H589" s="851"/>
      <c r="I589" s="851"/>
      <c r="J589" s="851"/>
      <c r="K589" s="851"/>
      <c r="L589" s="851"/>
      <c r="M589" s="851"/>
      <c r="N589" s="851"/>
    </row>
    <row r="590" spans="3:14" ht="14.25" customHeight="1">
      <c r="C590" s="851"/>
      <c r="D590" s="851"/>
      <c r="E590" s="851"/>
      <c r="F590" s="851"/>
      <c r="G590" s="851"/>
      <c r="H590" s="851"/>
      <c r="I590" s="851"/>
      <c r="J590" s="851"/>
      <c r="K590" s="851"/>
      <c r="L590" s="851"/>
      <c r="M590" s="851"/>
      <c r="N590" s="851"/>
    </row>
    <row r="591" spans="3:14" ht="14.25" customHeight="1">
      <c r="C591" s="851"/>
      <c r="D591" s="851"/>
      <c r="E591" s="851"/>
      <c r="F591" s="851"/>
      <c r="G591" s="851"/>
      <c r="H591" s="851"/>
      <c r="I591" s="851"/>
      <c r="J591" s="851"/>
      <c r="K591" s="851"/>
      <c r="L591" s="851"/>
      <c r="M591" s="851"/>
      <c r="N591" s="851"/>
    </row>
    <row r="592" spans="3:14" ht="14.25" customHeight="1">
      <c r="C592" s="851"/>
      <c r="D592" s="851"/>
      <c r="E592" s="851"/>
      <c r="F592" s="851"/>
      <c r="G592" s="851"/>
      <c r="H592" s="851"/>
      <c r="I592" s="851"/>
      <c r="J592" s="851"/>
      <c r="K592" s="851"/>
      <c r="L592" s="851"/>
      <c r="M592" s="851"/>
      <c r="N592" s="851"/>
    </row>
    <row r="593" spans="3:14" ht="14.25" customHeight="1">
      <c r="C593" s="851"/>
      <c r="D593" s="851"/>
      <c r="E593" s="851"/>
      <c r="F593" s="851"/>
      <c r="G593" s="851"/>
      <c r="H593" s="851"/>
      <c r="I593" s="851"/>
      <c r="J593" s="851"/>
      <c r="K593" s="851"/>
      <c r="L593" s="851"/>
      <c r="M593" s="851"/>
      <c r="N593" s="851"/>
    </row>
    <row r="594" spans="3:14" ht="14.25" customHeight="1">
      <c r="C594" s="851"/>
      <c r="D594" s="851"/>
      <c r="E594" s="851"/>
      <c r="F594" s="851"/>
      <c r="G594" s="851"/>
      <c r="H594" s="851"/>
      <c r="I594" s="851"/>
      <c r="J594" s="851"/>
      <c r="K594" s="851"/>
      <c r="L594" s="851"/>
      <c r="M594" s="851"/>
      <c r="N594" s="851"/>
    </row>
    <row r="595" spans="3:14" ht="14.25" customHeight="1">
      <c r="C595" s="851"/>
      <c r="D595" s="851"/>
      <c r="E595" s="851"/>
      <c r="F595" s="851"/>
      <c r="G595" s="851"/>
      <c r="H595" s="851"/>
      <c r="I595" s="851"/>
      <c r="J595" s="851"/>
      <c r="K595" s="851"/>
      <c r="L595" s="851"/>
      <c r="M595" s="851"/>
      <c r="N595" s="851"/>
    </row>
    <row r="596" spans="3:14" ht="14.25" customHeight="1">
      <c r="C596" s="851"/>
      <c r="D596" s="851"/>
      <c r="E596" s="851"/>
      <c r="F596" s="851"/>
      <c r="G596" s="851"/>
      <c r="H596" s="851"/>
      <c r="I596" s="851"/>
      <c r="J596" s="851"/>
      <c r="K596" s="851"/>
      <c r="L596" s="851"/>
      <c r="M596" s="851"/>
      <c r="N596" s="851"/>
    </row>
    <row r="597" spans="3:14" ht="14.25" customHeight="1">
      <c r="C597" s="851"/>
      <c r="D597" s="851"/>
      <c r="E597" s="851"/>
      <c r="F597" s="851"/>
      <c r="G597" s="851"/>
      <c r="H597" s="851"/>
      <c r="I597" s="851"/>
      <c r="J597" s="851"/>
      <c r="K597" s="851"/>
      <c r="L597" s="851"/>
      <c r="M597" s="851"/>
      <c r="N597" s="851"/>
    </row>
    <row r="598" spans="3:14" ht="14.25" customHeight="1">
      <c r="C598" s="851"/>
      <c r="D598" s="851"/>
      <c r="E598" s="851"/>
      <c r="F598" s="851"/>
      <c r="G598" s="851"/>
      <c r="H598" s="851"/>
      <c r="I598" s="851"/>
      <c r="J598" s="851"/>
      <c r="K598" s="851"/>
      <c r="L598" s="851"/>
      <c r="M598" s="851"/>
      <c r="N598" s="851"/>
    </row>
    <row r="599" spans="3:14" ht="14.25" customHeight="1">
      <c r="C599" s="851"/>
      <c r="D599" s="851"/>
      <c r="E599" s="851"/>
      <c r="F599" s="851"/>
      <c r="G599" s="851"/>
      <c r="H599" s="851"/>
      <c r="I599" s="851"/>
      <c r="J599" s="851"/>
      <c r="K599" s="851"/>
      <c r="L599" s="851"/>
      <c r="M599" s="851"/>
      <c r="N599" s="851"/>
    </row>
    <row r="600" spans="3:14" ht="14.25" customHeight="1">
      <c r="C600" s="851"/>
      <c r="D600" s="851"/>
      <c r="E600" s="851"/>
      <c r="F600" s="851"/>
      <c r="G600" s="851"/>
      <c r="H600" s="851"/>
      <c r="I600" s="851"/>
      <c r="J600" s="851"/>
      <c r="K600" s="851"/>
      <c r="L600" s="851"/>
      <c r="M600" s="851"/>
      <c r="N600" s="851"/>
    </row>
    <row r="601" spans="3:14" ht="14.25" customHeight="1">
      <c r="C601" s="851"/>
      <c r="D601" s="851"/>
      <c r="E601" s="851"/>
      <c r="F601" s="851"/>
      <c r="G601" s="851"/>
      <c r="H601" s="851"/>
      <c r="I601" s="851"/>
      <c r="J601" s="851"/>
      <c r="K601" s="851"/>
      <c r="L601" s="851"/>
      <c r="M601" s="851"/>
      <c r="N601" s="851"/>
    </row>
    <row r="602" spans="3:14" ht="14.25" customHeight="1">
      <c r="C602" s="851"/>
      <c r="D602" s="851"/>
      <c r="E602" s="851"/>
      <c r="F602" s="851"/>
      <c r="G602" s="851"/>
      <c r="H602" s="851"/>
      <c r="I602" s="851"/>
      <c r="J602" s="851"/>
      <c r="K602" s="851"/>
      <c r="L602" s="851"/>
      <c r="M602" s="851"/>
      <c r="N602" s="851"/>
    </row>
    <row r="603" spans="3:14" ht="14.25" customHeight="1">
      <c r="C603" s="851"/>
      <c r="D603" s="851"/>
      <c r="E603" s="851"/>
      <c r="F603" s="851"/>
      <c r="G603" s="851"/>
      <c r="H603" s="851"/>
      <c r="I603" s="851"/>
      <c r="J603" s="851"/>
      <c r="K603" s="851"/>
      <c r="L603" s="851"/>
      <c r="M603" s="851"/>
      <c r="N603" s="851"/>
    </row>
    <row r="604" spans="3:14" ht="14.25" customHeight="1">
      <c r="C604" s="851"/>
      <c r="D604" s="851"/>
      <c r="E604" s="851"/>
      <c r="F604" s="851"/>
      <c r="G604" s="851"/>
      <c r="H604" s="851"/>
      <c r="I604" s="851"/>
      <c r="J604" s="851"/>
      <c r="K604" s="851"/>
      <c r="L604" s="851"/>
      <c r="M604" s="851"/>
      <c r="N604" s="851"/>
    </row>
    <row r="605" spans="3:14" ht="14.25" customHeight="1">
      <c r="C605" s="851"/>
      <c r="D605" s="851"/>
      <c r="E605" s="851"/>
      <c r="F605" s="851"/>
      <c r="G605" s="851"/>
      <c r="H605" s="851"/>
      <c r="I605" s="851"/>
      <c r="J605" s="851"/>
      <c r="K605" s="851"/>
      <c r="L605" s="851"/>
      <c r="M605" s="851"/>
      <c r="N605" s="851"/>
    </row>
    <row r="606" spans="3:14" ht="14.25" customHeight="1">
      <c r="C606" s="851"/>
      <c r="D606" s="851"/>
      <c r="E606" s="851"/>
      <c r="F606" s="851"/>
      <c r="G606" s="851"/>
      <c r="H606" s="851"/>
      <c r="I606" s="851"/>
      <c r="J606" s="851"/>
      <c r="K606" s="851"/>
      <c r="L606" s="851"/>
      <c r="M606" s="851"/>
      <c r="N606" s="851"/>
    </row>
    <row r="607" spans="3:14" ht="14.25" customHeight="1">
      <c r="C607" s="851"/>
      <c r="D607" s="851"/>
      <c r="E607" s="851"/>
      <c r="F607" s="851"/>
      <c r="G607" s="851"/>
      <c r="H607" s="851"/>
      <c r="I607" s="851"/>
      <c r="J607" s="851"/>
      <c r="K607" s="851"/>
      <c r="L607" s="851"/>
      <c r="M607" s="851"/>
      <c r="N607" s="851"/>
    </row>
    <row r="608" spans="3:14" ht="14.25" customHeight="1">
      <c r="C608" s="851"/>
      <c r="D608" s="851"/>
      <c r="E608" s="851"/>
      <c r="F608" s="851"/>
      <c r="G608" s="851"/>
      <c r="H608" s="851"/>
      <c r="I608" s="851"/>
      <c r="J608" s="851"/>
      <c r="K608" s="851"/>
      <c r="L608" s="851"/>
      <c r="M608" s="851"/>
      <c r="N608" s="851"/>
    </row>
    <row r="609" spans="3:14" ht="14.25" customHeight="1">
      <c r="C609" s="851"/>
      <c r="D609" s="851"/>
      <c r="E609" s="851"/>
      <c r="F609" s="851"/>
      <c r="G609" s="851"/>
      <c r="H609" s="851"/>
      <c r="I609" s="851"/>
      <c r="J609" s="851"/>
      <c r="K609" s="851"/>
      <c r="L609" s="851"/>
      <c r="M609" s="851"/>
      <c r="N609" s="851"/>
    </row>
    <row r="610" spans="3:14" ht="14.25" customHeight="1">
      <c r="C610" s="851"/>
      <c r="D610" s="851"/>
      <c r="E610" s="851"/>
      <c r="F610" s="851"/>
      <c r="G610" s="851"/>
      <c r="H610" s="851"/>
      <c r="I610" s="851"/>
      <c r="J610" s="851"/>
      <c r="K610" s="851"/>
      <c r="L610" s="851"/>
      <c r="M610" s="851"/>
      <c r="N610" s="851"/>
    </row>
    <row r="611" spans="3:14" ht="14.25" customHeight="1">
      <c r="C611" s="851"/>
      <c r="D611" s="851"/>
      <c r="E611" s="851"/>
      <c r="F611" s="851"/>
      <c r="G611" s="851"/>
      <c r="H611" s="851"/>
      <c r="I611" s="851"/>
      <c r="J611" s="851"/>
      <c r="K611" s="851"/>
      <c r="L611" s="851"/>
      <c r="M611" s="851"/>
      <c r="N611" s="851"/>
    </row>
    <row r="612" spans="3:14" ht="14.25" customHeight="1">
      <c r="C612" s="851"/>
      <c r="D612" s="851"/>
      <c r="E612" s="851"/>
      <c r="F612" s="851"/>
      <c r="G612" s="851"/>
      <c r="H612" s="851"/>
      <c r="I612" s="851"/>
      <c r="J612" s="851"/>
      <c r="K612" s="851"/>
      <c r="L612" s="851"/>
      <c r="M612" s="851"/>
      <c r="N612" s="851"/>
    </row>
    <row r="613" spans="3:14" ht="14.25" customHeight="1">
      <c r="C613" s="851"/>
      <c r="D613" s="851"/>
      <c r="E613" s="851"/>
      <c r="F613" s="851"/>
      <c r="G613" s="851"/>
      <c r="H613" s="851"/>
      <c r="I613" s="851"/>
      <c r="J613" s="851"/>
      <c r="K613" s="851"/>
      <c r="L613" s="851"/>
      <c r="M613" s="851"/>
      <c r="N613" s="851"/>
    </row>
    <row r="614" spans="3:14" ht="14.25" customHeight="1">
      <c r="C614" s="851"/>
      <c r="D614" s="851"/>
      <c r="E614" s="851"/>
      <c r="F614" s="851"/>
      <c r="G614" s="851"/>
      <c r="H614" s="851"/>
      <c r="I614" s="851"/>
      <c r="J614" s="851"/>
      <c r="K614" s="851"/>
      <c r="L614" s="851"/>
      <c r="M614" s="851"/>
      <c r="N614" s="851"/>
    </row>
    <row r="615" spans="3:14" ht="14.25" customHeight="1">
      <c r="C615" s="851"/>
      <c r="D615" s="851"/>
      <c r="E615" s="851"/>
      <c r="F615" s="851"/>
      <c r="G615" s="851"/>
      <c r="H615" s="851"/>
      <c r="I615" s="851"/>
      <c r="J615" s="851"/>
      <c r="K615" s="851"/>
      <c r="L615" s="851"/>
      <c r="M615" s="851"/>
      <c r="N615" s="851"/>
    </row>
    <row r="616" spans="3:14" ht="14.25" customHeight="1">
      <c r="C616" s="851"/>
      <c r="D616" s="851"/>
      <c r="E616" s="851"/>
      <c r="F616" s="851"/>
      <c r="G616" s="851"/>
      <c r="H616" s="851"/>
      <c r="I616" s="851"/>
      <c r="J616" s="851"/>
      <c r="K616" s="851"/>
      <c r="L616" s="851"/>
      <c r="M616" s="851"/>
      <c r="N616" s="851"/>
    </row>
    <row r="617" spans="3:14" ht="14.25" customHeight="1">
      <c r="C617" s="851"/>
      <c r="D617" s="851"/>
      <c r="E617" s="851"/>
      <c r="F617" s="851"/>
      <c r="G617" s="851"/>
      <c r="H617" s="851"/>
      <c r="I617" s="851"/>
      <c r="J617" s="851"/>
      <c r="K617" s="851"/>
      <c r="L617" s="851"/>
      <c r="M617" s="851"/>
      <c r="N617" s="851"/>
    </row>
    <row r="618" spans="3:14" ht="14.25" customHeight="1">
      <c r="C618" s="851"/>
      <c r="D618" s="851"/>
      <c r="E618" s="851"/>
      <c r="F618" s="851"/>
      <c r="G618" s="851"/>
      <c r="H618" s="851"/>
      <c r="I618" s="851"/>
      <c r="J618" s="851"/>
      <c r="K618" s="851"/>
      <c r="L618" s="851"/>
      <c r="M618" s="851"/>
      <c r="N618" s="851"/>
    </row>
    <row r="619" spans="3:14" ht="14.25" customHeight="1">
      <c r="C619" s="851"/>
      <c r="D619" s="851"/>
      <c r="E619" s="851"/>
      <c r="F619" s="851"/>
      <c r="G619" s="851"/>
      <c r="H619" s="851"/>
      <c r="I619" s="851"/>
      <c r="J619" s="851"/>
      <c r="K619" s="851"/>
      <c r="L619" s="851"/>
      <c r="M619" s="851"/>
      <c r="N619" s="851"/>
    </row>
    <row r="620" spans="3:14" ht="14.25" customHeight="1">
      <c r="C620" s="851"/>
      <c r="D620" s="851"/>
      <c r="E620" s="851"/>
      <c r="F620" s="851"/>
      <c r="G620" s="851"/>
      <c r="H620" s="851"/>
      <c r="I620" s="851"/>
      <c r="J620" s="851"/>
      <c r="K620" s="851"/>
      <c r="L620" s="851"/>
      <c r="M620" s="851"/>
      <c r="N620" s="851"/>
    </row>
    <row r="621" spans="3:14" ht="14.25" customHeight="1">
      <c r="C621" s="851"/>
      <c r="D621" s="851"/>
      <c r="E621" s="851"/>
      <c r="F621" s="851"/>
      <c r="G621" s="851"/>
      <c r="H621" s="851"/>
      <c r="I621" s="851"/>
      <c r="J621" s="851"/>
      <c r="K621" s="851"/>
      <c r="L621" s="851"/>
      <c r="M621" s="851"/>
      <c r="N621" s="851"/>
    </row>
    <row r="622" spans="3:14" ht="14.25" customHeight="1">
      <c r="C622" s="851"/>
      <c r="D622" s="851"/>
      <c r="E622" s="851"/>
      <c r="F622" s="851"/>
      <c r="G622" s="851"/>
      <c r="H622" s="851"/>
      <c r="I622" s="851"/>
      <c r="J622" s="851"/>
      <c r="K622" s="851"/>
      <c r="L622" s="851"/>
      <c r="M622" s="851"/>
      <c r="N622" s="851"/>
    </row>
    <row r="623" spans="3:14" ht="14.25" customHeight="1">
      <c r="C623" s="851"/>
      <c r="D623" s="851"/>
      <c r="E623" s="851"/>
      <c r="F623" s="851"/>
      <c r="G623" s="851"/>
      <c r="H623" s="851"/>
      <c r="I623" s="851"/>
      <c r="J623" s="851"/>
      <c r="K623" s="851"/>
      <c r="L623" s="851"/>
      <c r="M623" s="851"/>
      <c r="N623" s="851"/>
    </row>
    <row r="624" spans="3:14" ht="14.25" customHeight="1">
      <c r="C624" s="851"/>
      <c r="D624" s="851"/>
      <c r="E624" s="851"/>
      <c r="F624" s="851"/>
      <c r="G624" s="851"/>
      <c r="H624" s="851"/>
      <c r="I624" s="851"/>
      <c r="J624" s="851"/>
      <c r="K624" s="851"/>
      <c r="L624" s="851"/>
      <c r="M624" s="851"/>
      <c r="N624" s="851"/>
    </row>
    <row r="625" spans="3:14" ht="14.25" customHeight="1">
      <c r="C625" s="851"/>
      <c r="D625" s="851"/>
      <c r="E625" s="851"/>
      <c r="F625" s="851"/>
      <c r="G625" s="851"/>
      <c r="H625" s="851"/>
      <c r="I625" s="851"/>
      <c r="J625" s="851"/>
      <c r="K625" s="851"/>
      <c r="L625" s="851"/>
      <c r="M625" s="851"/>
      <c r="N625" s="851"/>
    </row>
    <row r="626" spans="3:14" ht="14.25" customHeight="1">
      <c r="C626" s="851"/>
      <c r="D626" s="851"/>
      <c r="E626" s="851"/>
      <c r="F626" s="851"/>
      <c r="G626" s="851"/>
      <c r="H626" s="851"/>
      <c r="I626" s="851"/>
      <c r="J626" s="851"/>
      <c r="K626" s="851"/>
      <c r="L626" s="851"/>
      <c r="M626" s="851"/>
      <c r="N626" s="851"/>
    </row>
    <row r="627" spans="3:14" ht="14.25" customHeight="1">
      <c r="C627" s="851"/>
      <c r="D627" s="851"/>
      <c r="E627" s="851"/>
      <c r="F627" s="851"/>
      <c r="G627" s="851"/>
      <c r="H627" s="851"/>
      <c r="I627" s="851"/>
      <c r="J627" s="851"/>
      <c r="K627" s="851"/>
      <c r="L627" s="851"/>
      <c r="M627" s="851"/>
      <c r="N627" s="851"/>
    </row>
    <row r="628" spans="3:14" ht="14.25" customHeight="1">
      <c r="C628" s="851"/>
      <c r="D628" s="851"/>
      <c r="E628" s="851"/>
      <c r="F628" s="851"/>
      <c r="G628" s="851"/>
      <c r="H628" s="851"/>
      <c r="I628" s="851"/>
      <c r="J628" s="851"/>
      <c r="K628" s="851"/>
      <c r="L628" s="851"/>
      <c r="M628" s="851"/>
      <c r="N628" s="851"/>
    </row>
    <row r="629" spans="3:14" ht="14.25" customHeight="1">
      <c r="C629" s="851"/>
      <c r="D629" s="851"/>
      <c r="E629" s="851"/>
      <c r="F629" s="851"/>
      <c r="G629" s="851"/>
      <c r="H629" s="851"/>
      <c r="I629" s="851"/>
      <c r="J629" s="851"/>
      <c r="K629" s="851"/>
      <c r="L629" s="851"/>
      <c r="M629" s="851"/>
      <c r="N629" s="851"/>
    </row>
    <row r="630" spans="3:14" ht="14.25" customHeight="1">
      <c r="C630" s="851"/>
      <c r="D630" s="851"/>
      <c r="E630" s="851"/>
      <c r="F630" s="851"/>
      <c r="G630" s="851"/>
      <c r="H630" s="851"/>
      <c r="I630" s="851"/>
      <c r="J630" s="851"/>
      <c r="K630" s="851"/>
      <c r="L630" s="851"/>
      <c r="M630" s="851"/>
      <c r="N630" s="851"/>
    </row>
    <row r="631" spans="3:14" ht="14.25" customHeight="1">
      <c r="C631" s="851"/>
      <c r="D631" s="851"/>
      <c r="E631" s="851"/>
      <c r="F631" s="851"/>
      <c r="G631" s="851"/>
      <c r="H631" s="851"/>
      <c r="I631" s="851"/>
      <c r="J631" s="851"/>
      <c r="K631" s="851"/>
      <c r="L631" s="851"/>
      <c r="M631" s="851"/>
      <c r="N631" s="851"/>
    </row>
    <row r="632" spans="3:14" ht="14.25" customHeight="1">
      <c r="C632" s="851"/>
      <c r="D632" s="851"/>
      <c r="E632" s="851"/>
      <c r="F632" s="851"/>
      <c r="G632" s="851"/>
      <c r="H632" s="851"/>
      <c r="I632" s="851"/>
      <c r="J632" s="851"/>
      <c r="K632" s="851"/>
      <c r="L632" s="851"/>
      <c r="M632" s="851"/>
      <c r="N632" s="851"/>
    </row>
    <row r="633" spans="3:14" ht="14.25" customHeight="1">
      <c r="C633" s="851"/>
      <c r="D633" s="851"/>
      <c r="E633" s="851"/>
      <c r="F633" s="851"/>
      <c r="G633" s="851"/>
      <c r="H633" s="851"/>
      <c r="I633" s="851"/>
      <c r="J633" s="851"/>
      <c r="K633" s="851"/>
      <c r="L633" s="851"/>
      <c r="M633" s="851"/>
      <c r="N633" s="851"/>
    </row>
    <row r="634" spans="3:14" ht="14.25" customHeight="1">
      <c r="C634" s="851"/>
      <c r="D634" s="851"/>
      <c r="E634" s="851"/>
      <c r="F634" s="851"/>
      <c r="G634" s="851"/>
      <c r="H634" s="851"/>
      <c r="I634" s="851"/>
      <c r="J634" s="851"/>
      <c r="K634" s="851"/>
      <c r="L634" s="851"/>
      <c r="M634" s="851"/>
      <c r="N634" s="851"/>
    </row>
    <row r="635" spans="3:14" ht="14.25" customHeight="1">
      <c r="C635" s="851"/>
      <c r="D635" s="851"/>
      <c r="E635" s="851"/>
      <c r="F635" s="851"/>
      <c r="G635" s="851"/>
      <c r="H635" s="851"/>
      <c r="I635" s="851"/>
      <c r="J635" s="851"/>
      <c r="K635" s="851"/>
      <c r="L635" s="851"/>
      <c r="M635" s="851"/>
      <c r="N635" s="851"/>
    </row>
    <row r="636" spans="3:14" ht="14.25" customHeight="1">
      <c r="C636" s="851"/>
      <c r="D636" s="851"/>
      <c r="E636" s="851"/>
      <c r="F636" s="851"/>
      <c r="G636" s="851"/>
      <c r="H636" s="851"/>
      <c r="I636" s="851"/>
      <c r="J636" s="851"/>
      <c r="K636" s="851"/>
      <c r="L636" s="851"/>
      <c r="M636" s="851"/>
      <c r="N636" s="851"/>
    </row>
    <row r="637" spans="3:14" ht="14.25" customHeight="1">
      <c r="C637" s="851"/>
      <c r="D637" s="851"/>
      <c r="E637" s="851"/>
      <c r="F637" s="851"/>
      <c r="G637" s="851"/>
      <c r="H637" s="851"/>
      <c r="I637" s="851"/>
      <c r="J637" s="851"/>
      <c r="K637" s="851"/>
      <c r="L637" s="851"/>
      <c r="M637" s="851"/>
      <c r="N637" s="851"/>
    </row>
    <row r="638" spans="3:14" ht="14.25" customHeight="1">
      <c r="C638" s="851"/>
      <c r="D638" s="851"/>
      <c r="E638" s="851"/>
      <c r="F638" s="851"/>
      <c r="G638" s="851"/>
      <c r="H638" s="851"/>
      <c r="I638" s="851"/>
      <c r="J638" s="851"/>
      <c r="K638" s="851"/>
      <c r="L638" s="851"/>
      <c r="M638" s="851"/>
      <c r="N638" s="851"/>
    </row>
    <row r="639" spans="3:14" ht="14.25" customHeight="1">
      <c r="C639" s="851"/>
      <c r="D639" s="851"/>
      <c r="E639" s="851"/>
      <c r="F639" s="851"/>
      <c r="G639" s="851"/>
      <c r="H639" s="851"/>
      <c r="I639" s="851"/>
      <c r="J639" s="851"/>
      <c r="K639" s="851"/>
      <c r="L639" s="851"/>
      <c r="M639" s="851"/>
      <c r="N639" s="851"/>
    </row>
    <row r="640" spans="3:14" ht="14.25" customHeight="1">
      <c r="C640" s="851"/>
      <c r="D640" s="851"/>
      <c r="E640" s="851"/>
      <c r="F640" s="851"/>
      <c r="G640" s="851"/>
      <c r="H640" s="851"/>
      <c r="I640" s="851"/>
      <c r="J640" s="851"/>
      <c r="K640" s="851"/>
      <c r="L640" s="851"/>
      <c r="M640" s="851"/>
      <c r="N640" s="851"/>
    </row>
    <row r="641" spans="3:14" ht="14.25" customHeight="1">
      <c r="C641" s="851"/>
      <c r="D641" s="851"/>
      <c r="E641" s="851"/>
      <c r="F641" s="851"/>
      <c r="G641" s="851"/>
      <c r="H641" s="851"/>
      <c r="I641" s="851"/>
      <c r="J641" s="851"/>
      <c r="K641" s="851"/>
      <c r="L641" s="851"/>
      <c r="M641" s="851"/>
      <c r="N641" s="851"/>
    </row>
    <row r="642" spans="3:14" ht="14.25" customHeight="1">
      <c r="C642" s="851"/>
      <c r="D642" s="851"/>
      <c r="E642" s="851"/>
      <c r="F642" s="851"/>
      <c r="G642" s="851"/>
      <c r="H642" s="851"/>
      <c r="I642" s="851"/>
      <c r="J642" s="851"/>
      <c r="K642" s="851"/>
      <c r="L642" s="851"/>
      <c r="M642" s="851"/>
      <c r="N642" s="851"/>
    </row>
    <row r="643" spans="3:14" ht="14.25" customHeight="1">
      <c r="C643" s="851"/>
      <c r="D643" s="851"/>
      <c r="E643" s="851"/>
      <c r="F643" s="851"/>
      <c r="G643" s="851"/>
      <c r="H643" s="851"/>
      <c r="I643" s="851"/>
      <c r="J643" s="851"/>
      <c r="K643" s="851"/>
      <c r="L643" s="851"/>
      <c r="M643" s="851"/>
      <c r="N643" s="851"/>
    </row>
    <row r="644" spans="3:14" ht="14.25" customHeight="1">
      <c r="C644" s="851"/>
      <c r="D644" s="851"/>
      <c r="E644" s="851"/>
      <c r="F644" s="851"/>
      <c r="G644" s="851"/>
      <c r="H644" s="851"/>
      <c r="I644" s="851"/>
      <c r="J644" s="851"/>
      <c r="K644" s="851"/>
      <c r="L644" s="851"/>
      <c r="M644" s="851"/>
      <c r="N644" s="851"/>
    </row>
    <row r="645" spans="3:14" ht="14.25" customHeight="1">
      <c r="C645" s="851"/>
      <c r="D645" s="851"/>
      <c r="E645" s="851"/>
      <c r="F645" s="851"/>
      <c r="G645" s="851"/>
      <c r="H645" s="851"/>
      <c r="I645" s="851"/>
      <c r="J645" s="851"/>
      <c r="K645" s="851"/>
      <c r="L645" s="851"/>
      <c r="M645" s="851"/>
      <c r="N645" s="851"/>
    </row>
    <row r="646" spans="3:14" ht="14.25" customHeight="1">
      <c r="C646" s="851"/>
      <c r="D646" s="851"/>
      <c r="E646" s="851"/>
      <c r="F646" s="851"/>
      <c r="G646" s="851"/>
      <c r="H646" s="851"/>
      <c r="I646" s="851"/>
      <c r="J646" s="851"/>
      <c r="K646" s="851"/>
      <c r="L646" s="851"/>
      <c r="M646" s="851"/>
      <c r="N646" s="851"/>
    </row>
    <row r="647" spans="3:14" ht="14.25" customHeight="1">
      <c r="C647" s="851"/>
      <c r="D647" s="851"/>
      <c r="E647" s="851"/>
      <c r="F647" s="851"/>
      <c r="G647" s="851"/>
      <c r="H647" s="851"/>
      <c r="I647" s="851"/>
      <c r="J647" s="851"/>
      <c r="K647" s="851"/>
      <c r="L647" s="851"/>
      <c r="M647" s="851"/>
      <c r="N647" s="851"/>
    </row>
    <row r="648" spans="3:14" ht="14.25" customHeight="1">
      <c r="C648" s="851"/>
      <c r="D648" s="851"/>
      <c r="E648" s="851"/>
      <c r="F648" s="851"/>
      <c r="G648" s="851"/>
      <c r="H648" s="851"/>
      <c r="I648" s="851"/>
      <c r="J648" s="851"/>
      <c r="K648" s="851"/>
      <c r="L648" s="851"/>
      <c r="M648" s="851"/>
      <c r="N648" s="851"/>
    </row>
    <row r="649" spans="3:14" ht="14.25" customHeight="1">
      <c r="C649" s="851"/>
      <c r="D649" s="851"/>
      <c r="E649" s="851"/>
      <c r="F649" s="851"/>
      <c r="G649" s="851"/>
      <c r="H649" s="851"/>
      <c r="I649" s="851"/>
      <c r="J649" s="851"/>
      <c r="K649" s="851"/>
      <c r="L649" s="851"/>
      <c r="M649" s="851"/>
      <c r="N649" s="851"/>
    </row>
    <row r="650" spans="3:14" ht="14.25" customHeight="1">
      <c r="C650" s="851"/>
      <c r="D650" s="851"/>
      <c r="E650" s="851"/>
      <c r="F650" s="851"/>
      <c r="G650" s="851"/>
      <c r="H650" s="851"/>
      <c r="I650" s="851"/>
      <c r="J650" s="851"/>
      <c r="K650" s="851"/>
      <c r="L650" s="851"/>
      <c r="M650" s="851"/>
      <c r="N650" s="851"/>
    </row>
    <row r="651" spans="3:14" ht="14.25" customHeight="1">
      <c r="C651" s="851"/>
      <c r="D651" s="851"/>
      <c r="E651" s="851"/>
      <c r="F651" s="851"/>
      <c r="G651" s="851"/>
      <c r="H651" s="851"/>
      <c r="I651" s="851"/>
      <c r="J651" s="851"/>
      <c r="K651" s="851"/>
      <c r="L651" s="851"/>
      <c r="M651" s="851"/>
      <c r="N651" s="851"/>
    </row>
    <row r="652" spans="3:14" ht="14.25" customHeight="1">
      <c r="C652" s="851"/>
      <c r="D652" s="851"/>
      <c r="E652" s="851"/>
      <c r="F652" s="851"/>
      <c r="G652" s="851"/>
      <c r="H652" s="851"/>
      <c r="I652" s="851"/>
      <c r="J652" s="851"/>
      <c r="K652" s="851"/>
      <c r="L652" s="851"/>
      <c r="M652" s="851"/>
      <c r="N652" s="851"/>
    </row>
    <row r="653" spans="3:14" ht="14.25" customHeight="1">
      <c r="C653" s="851"/>
      <c r="D653" s="851"/>
      <c r="E653" s="851"/>
      <c r="F653" s="851"/>
      <c r="G653" s="851"/>
      <c r="H653" s="851"/>
      <c r="I653" s="851"/>
      <c r="J653" s="851"/>
      <c r="K653" s="851"/>
      <c r="L653" s="851"/>
      <c r="M653" s="851"/>
      <c r="N653" s="851"/>
    </row>
    <row r="654" spans="3:14" ht="14.25" customHeight="1">
      <c r="C654" s="851"/>
      <c r="D654" s="851"/>
      <c r="E654" s="851"/>
      <c r="F654" s="851"/>
      <c r="G654" s="851"/>
      <c r="H654" s="851"/>
      <c r="I654" s="851"/>
      <c r="J654" s="851"/>
      <c r="K654" s="851"/>
      <c r="L654" s="851"/>
      <c r="M654" s="851"/>
      <c r="N654" s="851"/>
    </row>
    <row r="655" spans="3:14" ht="14.25" customHeight="1">
      <c r="C655" s="851"/>
      <c r="D655" s="851"/>
      <c r="E655" s="851"/>
      <c r="F655" s="851"/>
      <c r="G655" s="851"/>
      <c r="H655" s="851"/>
      <c r="I655" s="851"/>
      <c r="J655" s="851"/>
      <c r="K655" s="851"/>
      <c r="L655" s="851"/>
      <c r="M655" s="851"/>
      <c r="N655" s="851"/>
    </row>
    <row r="656" spans="3:14" ht="14.25" customHeight="1">
      <c r="C656" s="851"/>
      <c r="D656" s="851"/>
      <c r="E656" s="851"/>
      <c r="F656" s="851"/>
      <c r="G656" s="851"/>
      <c r="H656" s="851"/>
      <c r="I656" s="851"/>
      <c r="J656" s="851"/>
      <c r="K656" s="851"/>
      <c r="L656" s="851"/>
      <c r="M656" s="851"/>
      <c r="N656" s="851"/>
    </row>
    <row r="657" spans="3:14" ht="14.25" customHeight="1">
      <c r="C657" s="851"/>
      <c r="D657" s="851"/>
      <c r="E657" s="851"/>
      <c r="F657" s="851"/>
      <c r="G657" s="851"/>
      <c r="H657" s="851"/>
      <c r="I657" s="851"/>
      <c r="J657" s="851"/>
      <c r="K657" s="851"/>
      <c r="L657" s="851"/>
      <c r="M657" s="851"/>
      <c r="N657" s="851"/>
    </row>
    <row r="658" spans="3:14" ht="14.25" customHeight="1">
      <c r="C658" s="851"/>
      <c r="D658" s="851"/>
      <c r="E658" s="851"/>
      <c r="F658" s="851"/>
      <c r="G658" s="851"/>
      <c r="H658" s="851"/>
      <c r="I658" s="851"/>
      <c r="J658" s="851"/>
      <c r="K658" s="851"/>
      <c r="L658" s="851"/>
      <c r="M658" s="851"/>
      <c r="N658" s="851"/>
    </row>
    <row r="659" spans="3:14" ht="14.25" customHeight="1">
      <c r="C659" s="851"/>
      <c r="D659" s="851"/>
      <c r="E659" s="851"/>
      <c r="F659" s="851"/>
      <c r="G659" s="851"/>
      <c r="H659" s="851"/>
      <c r="I659" s="851"/>
      <c r="J659" s="851"/>
      <c r="K659" s="851"/>
      <c r="L659" s="851"/>
      <c r="M659" s="851"/>
      <c r="N659" s="851"/>
    </row>
    <row r="660" spans="3:14" ht="14.25" customHeight="1">
      <c r="C660" s="851"/>
      <c r="D660" s="851"/>
      <c r="E660" s="851"/>
      <c r="F660" s="851"/>
      <c r="G660" s="851"/>
      <c r="H660" s="851"/>
      <c r="I660" s="851"/>
      <c r="J660" s="851"/>
      <c r="K660" s="851"/>
      <c r="L660" s="851"/>
      <c r="M660" s="851"/>
      <c r="N660" s="851"/>
    </row>
    <row r="661" spans="3:14" ht="14.25" customHeight="1">
      <c r="C661" s="851"/>
      <c r="D661" s="851"/>
      <c r="E661" s="851"/>
      <c r="F661" s="851"/>
      <c r="G661" s="851"/>
      <c r="H661" s="851"/>
      <c r="I661" s="851"/>
      <c r="J661" s="851"/>
      <c r="K661" s="851"/>
      <c r="L661" s="851"/>
      <c r="M661" s="851"/>
      <c r="N661" s="851"/>
    </row>
    <row r="662" spans="3:14" ht="14.25" customHeight="1">
      <c r="C662" s="851"/>
      <c r="D662" s="851"/>
      <c r="E662" s="851"/>
      <c r="F662" s="851"/>
      <c r="G662" s="851"/>
      <c r="H662" s="851"/>
      <c r="I662" s="851"/>
      <c r="J662" s="851"/>
      <c r="K662" s="851"/>
      <c r="L662" s="851"/>
      <c r="M662" s="851"/>
      <c r="N662" s="851"/>
    </row>
    <row r="663" spans="3:14" ht="14.25" customHeight="1">
      <c r="C663" s="851"/>
      <c r="D663" s="851"/>
      <c r="E663" s="851"/>
      <c r="F663" s="851"/>
      <c r="G663" s="851"/>
      <c r="H663" s="851"/>
      <c r="I663" s="851"/>
      <c r="J663" s="851"/>
      <c r="K663" s="851"/>
      <c r="L663" s="851"/>
      <c r="M663" s="851"/>
      <c r="N663" s="851"/>
    </row>
    <row r="664" spans="3:14" ht="14.25" customHeight="1">
      <c r="C664" s="851"/>
      <c r="D664" s="851"/>
      <c r="E664" s="851"/>
      <c r="F664" s="851"/>
      <c r="G664" s="851"/>
      <c r="H664" s="851"/>
      <c r="I664" s="851"/>
      <c r="J664" s="851"/>
      <c r="K664" s="851"/>
      <c r="L664" s="851"/>
      <c r="M664" s="851"/>
      <c r="N664" s="851"/>
    </row>
    <row r="665" spans="3:14" ht="14.25" customHeight="1">
      <c r="C665" s="851"/>
      <c r="D665" s="851"/>
      <c r="E665" s="851"/>
      <c r="F665" s="851"/>
      <c r="G665" s="851"/>
      <c r="H665" s="851"/>
      <c r="I665" s="851"/>
      <c r="J665" s="851"/>
      <c r="K665" s="851"/>
      <c r="L665" s="851"/>
      <c r="M665" s="851"/>
      <c r="N665" s="851"/>
    </row>
    <row r="666" spans="3:14" ht="14.25" customHeight="1">
      <c r="C666" s="851"/>
      <c r="D666" s="851"/>
      <c r="E666" s="851"/>
      <c r="F666" s="851"/>
      <c r="G666" s="851"/>
      <c r="H666" s="851"/>
      <c r="I666" s="851"/>
      <c r="J666" s="851"/>
      <c r="K666" s="851"/>
      <c r="L666" s="851"/>
      <c r="M666" s="851"/>
      <c r="N666" s="851"/>
    </row>
    <row r="667" spans="3:14" ht="14.25" customHeight="1">
      <c r="C667" s="851"/>
      <c r="D667" s="851"/>
      <c r="E667" s="851"/>
      <c r="F667" s="851"/>
      <c r="G667" s="851"/>
      <c r="H667" s="851"/>
      <c r="I667" s="851"/>
      <c r="J667" s="851"/>
      <c r="K667" s="851"/>
      <c r="L667" s="851"/>
      <c r="M667" s="851"/>
      <c r="N667" s="851"/>
    </row>
    <row r="668" spans="3:14" ht="14.25" customHeight="1">
      <c r="C668" s="851"/>
      <c r="D668" s="851"/>
      <c r="E668" s="851"/>
      <c r="F668" s="851"/>
      <c r="G668" s="851"/>
      <c r="H668" s="851"/>
      <c r="I668" s="851"/>
      <c r="J668" s="851"/>
      <c r="K668" s="851"/>
      <c r="L668" s="851"/>
      <c r="M668" s="851"/>
      <c r="N668" s="851"/>
    </row>
    <row r="669" spans="3:14" ht="14.25" customHeight="1">
      <c r="C669" s="851"/>
      <c r="D669" s="851"/>
      <c r="E669" s="851"/>
      <c r="F669" s="851"/>
      <c r="G669" s="851"/>
      <c r="H669" s="851"/>
      <c r="I669" s="851"/>
      <c r="J669" s="851"/>
      <c r="K669" s="851"/>
      <c r="L669" s="851"/>
      <c r="M669" s="851"/>
      <c r="N669" s="851"/>
    </row>
    <row r="670" spans="3:14" ht="14.25" customHeight="1">
      <c r="C670" s="851"/>
      <c r="D670" s="851"/>
      <c r="E670" s="851"/>
      <c r="F670" s="851"/>
      <c r="G670" s="851"/>
      <c r="H670" s="851"/>
      <c r="I670" s="851"/>
      <c r="J670" s="851"/>
      <c r="K670" s="851"/>
      <c r="L670" s="851"/>
      <c r="M670" s="851"/>
      <c r="N670" s="851"/>
    </row>
    <row r="671" spans="3:14" ht="14.25" customHeight="1">
      <c r="C671" s="851"/>
      <c r="D671" s="851"/>
      <c r="E671" s="851"/>
      <c r="F671" s="851"/>
      <c r="G671" s="851"/>
      <c r="H671" s="851"/>
      <c r="I671" s="851"/>
      <c r="J671" s="851"/>
      <c r="K671" s="851"/>
      <c r="L671" s="851"/>
      <c r="M671" s="851"/>
      <c r="N671" s="851"/>
    </row>
    <row r="672" spans="3:14" ht="14.25" customHeight="1">
      <c r="C672" s="851"/>
      <c r="D672" s="851"/>
      <c r="E672" s="851"/>
      <c r="F672" s="851"/>
      <c r="G672" s="851"/>
      <c r="H672" s="851"/>
      <c r="I672" s="851"/>
      <c r="J672" s="851"/>
      <c r="K672" s="851"/>
      <c r="L672" s="851"/>
      <c r="M672" s="851"/>
      <c r="N672" s="851"/>
    </row>
    <row r="673" spans="3:14" ht="14.25" customHeight="1">
      <c r="C673" s="851"/>
      <c r="D673" s="851"/>
      <c r="E673" s="851"/>
      <c r="F673" s="851"/>
      <c r="G673" s="851"/>
      <c r="H673" s="851"/>
      <c r="I673" s="851"/>
      <c r="J673" s="851"/>
      <c r="K673" s="851"/>
      <c r="L673" s="851"/>
      <c r="M673" s="851"/>
      <c r="N673" s="851"/>
    </row>
    <row r="674" spans="3:14" ht="14.25" customHeight="1">
      <c r="C674" s="851"/>
      <c r="D674" s="851"/>
      <c r="E674" s="851"/>
      <c r="F674" s="851"/>
      <c r="G674" s="851"/>
      <c r="H674" s="851"/>
      <c r="I674" s="851"/>
      <c r="J674" s="851"/>
      <c r="K674" s="851"/>
      <c r="L674" s="851"/>
      <c r="M674" s="851"/>
      <c r="N674" s="851"/>
    </row>
    <row r="675" spans="3:14" ht="14.25" customHeight="1">
      <c r="C675" s="851"/>
      <c r="D675" s="851"/>
      <c r="E675" s="851"/>
      <c r="F675" s="851"/>
      <c r="G675" s="851"/>
      <c r="H675" s="851"/>
      <c r="I675" s="851"/>
      <c r="J675" s="851"/>
      <c r="K675" s="851"/>
      <c r="L675" s="851"/>
      <c r="M675" s="851"/>
      <c r="N675" s="851"/>
    </row>
    <row r="676" spans="3:14" ht="14.25" customHeight="1">
      <c r="C676" s="851"/>
      <c r="D676" s="851"/>
      <c r="E676" s="851"/>
      <c r="F676" s="851"/>
      <c r="G676" s="851"/>
      <c r="H676" s="851"/>
      <c r="I676" s="851"/>
      <c r="J676" s="851"/>
      <c r="K676" s="851"/>
      <c r="L676" s="851"/>
      <c r="M676" s="851"/>
      <c r="N676" s="851"/>
    </row>
    <row r="677" spans="3:14" ht="14.25" customHeight="1">
      <c r="C677" s="851"/>
      <c r="D677" s="851"/>
      <c r="E677" s="851"/>
      <c r="F677" s="851"/>
      <c r="G677" s="851"/>
      <c r="H677" s="851"/>
      <c r="I677" s="851"/>
      <c r="J677" s="851"/>
      <c r="K677" s="851"/>
      <c r="L677" s="851"/>
      <c r="M677" s="851"/>
      <c r="N677" s="851"/>
    </row>
    <row r="678" spans="3:14" ht="14.25" customHeight="1">
      <c r="C678" s="851"/>
      <c r="D678" s="851"/>
      <c r="E678" s="851"/>
      <c r="F678" s="851"/>
      <c r="G678" s="851"/>
      <c r="H678" s="851"/>
      <c r="I678" s="851"/>
      <c r="J678" s="851"/>
      <c r="K678" s="851"/>
      <c r="L678" s="851"/>
      <c r="M678" s="851"/>
      <c r="N678" s="851"/>
    </row>
    <row r="679" spans="3:14" ht="14.25" customHeight="1">
      <c r="C679" s="851"/>
      <c r="D679" s="851"/>
      <c r="E679" s="851"/>
      <c r="F679" s="851"/>
      <c r="G679" s="851"/>
      <c r="H679" s="851"/>
      <c r="I679" s="851"/>
      <c r="J679" s="851"/>
      <c r="K679" s="851"/>
      <c r="L679" s="851"/>
      <c r="M679" s="851"/>
      <c r="N679" s="851"/>
    </row>
    <row r="680" spans="3:14" ht="14.25" customHeight="1">
      <c r="C680" s="851"/>
      <c r="D680" s="851"/>
      <c r="E680" s="851"/>
      <c r="F680" s="851"/>
      <c r="G680" s="851"/>
      <c r="H680" s="851"/>
      <c r="I680" s="851"/>
      <c r="J680" s="851"/>
      <c r="K680" s="851"/>
      <c r="L680" s="851"/>
      <c r="M680" s="851"/>
      <c r="N680" s="851"/>
    </row>
    <row r="681" spans="3:14" ht="14.25" customHeight="1">
      <c r="C681" s="851"/>
      <c r="D681" s="851"/>
      <c r="E681" s="851"/>
      <c r="F681" s="851"/>
      <c r="G681" s="851"/>
      <c r="H681" s="851"/>
      <c r="I681" s="851"/>
      <c r="J681" s="851"/>
      <c r="K681" s="851"/>
      <c r="L681" s="851"/>
      <c r="M681" s="851"/>
      <c r="N681" s="851"/>
    </row>
    <row r="682" spans="3:14" ht="14.25" customHeight="1">
      <c r="C682" s="851"/>
      <c r="D682" s="851"/>
      <c r="E682" s="851"/>
      <c r="F682" s="851"/>
      <c r="G682" s="851"/>
      <c r="H682" s="851"/>
      <c r="I682" s="851"/>
      <c r="J682" s="851"/>
      <c r="K682" s="851"/>
      <c r="L682" s="851"/>
      <c r="M682" s="851"/>
      <c r="N682" s="851"/>
    </row>
    <row r="683" spans="3:14" ht="14.25" customHeight="1">
      <c r="C683" s="851"/>
      <c r="D683" s="851"/>
      <c r="E683" s="851"/>
      <c r="F683" s="851"/>
      <c r="G683" s="851"/>
      <c r="H683" s="851"/>
      <c r="I683" s="851"/>
      <c r="J683" s="851"/>
      <c r="K683" s="851"/>
      <c r="L683" s="851"/>
      <c r="M683" s="851"/>
      <c r="N683" s="851"/>
    </row>
    <row r="684" spans="3:14" ht="14.25" customHeight="1">
      <c r="C684" s="851"/>
      <c r="D684" s="851"/>
      <c r="E684" s="851"/>
      <c r="F684" s="851"/>
      <c r="G684" s="851"/>
      <c r="H684" s="851"/>
      <c r="I684" s="851"/>
      <c r="J684" s="851"/>
      <c r="K684" s="851"/>
      <c r="L684" s="851"/>
      <c r="M684" s="851"/>
      <c r="N684" s="851"/>
    </row>
    <row r="685" spans="3:14" ht="14.25" customHeight="1">
      <c r="C685" s="851"/>
      <c r="D685" s="851"/>
      <c r="E685" s="851"/>
      <c r="F685" s="851"/>
      <c r="G685" s="851"/>
      <c r="H685" s="851"/>
      <c r="I685" s="851"/>
      <c r="J685" s="851"/>
      <c r="K685" s="851"/>
      <c r="L685" s="851"/>
      <c r="M685" s="851"/>
      <c r="N685" s="851"/>
    </row>
    <row r="686" spans="3:14" ht="14.25" customHeight="1">
      <c r="C686" s="851"/>
      <c r="D686" s="851"/>
      <c r="E686" s="851"/>
      <c r="F686" s="851"/>
      <c r="G686" s="851"/>
      <c r="H686" s="851"/>
      <c r="I686" s="851"/>
      <c r="J686" s="851"/>
      <c r="K686" s="851"/>
      <c r="L686" s="851"/>
      <c r="M686" s="851"/>
      <c r="N686" s="851"/>
    </row>
    <row r="687" spans="3:14" ht="14.25" customHeight="1">
      <c r="C687" s="851"/>
      <c r="D687" s="851"/>
      <c r="E687" s="851"/>
      <c r="F687" s="851"/>
      <c r="G687" s="851"/>
      <c r="H687" s="851"/>
      <c r="I687" s="851"/>
      <c r="J687" s="851"/>
      <c r="K687" s="851"/>
      <c r="L687" s="851"/>
      <c r="M687" s="851"/>
      <c r="N687" s="851"/>
    </row>
    <row r="688" spans="3:14" ht="14.25" customHeight="1">
      <c r="C688" s="851"/>
      <c r="D688" s="851"/>
      <c r="E688" s="851"/>
      <c r="F688" s="851"/>
      <c r="G688" s="851"/>
      <c r="H688" s="851"/>
      <c r="I688" s="851"/>
      <c r="J688" s="851"/>
      <c r="K688" s="851"/>
      <c r="L688" s="851"/>
      <c r="M688" s="851"/>
      <c r="N688" s="851"/>
    </row>
    <row r="689" spans="3:14" ht="14.25" customHeight="1">
      <c r="C689" s="851"/>
      <c r="D689" s="851"/>
      <c r="E689" s="851"/>
      <c r="F689" s="851"/>
      <c r="G689" s="851"/>
      <c r="H689" s="851"/>
      <c r="I689" s="851"/>
      <c r="J689" s="851"/>
      <c r="K689" s="851"/>
      <c r="L689" s="851"/>
      <c r="M689" s="851"/>
      <c r="N689" s="851"/>
    </row>
    <row r="690" spans="3:14" ht="14.25" customHeight="1">
      <c r="C690" s="851"/>
      <c r="D690" s="851"/>
      <c r="E690" s="851"/>
      <c r="F690" s="851"/>
      <c r="G690" s="851"/>
      <c r="H690" s="851"/>
      <c r="I690" s="851"/>
      <c r="J690" s="851"/>
      <c r="K690" s="851"/>
      <c r="L690" s="851"/>
      <c r="M690" s="851"/>
      <c r="N690" s="851"/>
    </row>
    <row r="691" spans="3:14" ht="14.25" customHeight="1">
      <c r="C691" s="851"/>
      <c r="D691" s="851"/>
      <c r="E691" s="851"/>
      <c r="F691" s="851"/>
      <c r="G691" s="851"/>
      <c r="H691" s="851"/>
      <c r="I691" s="851"/>
      <c r="J691" s="851"/>
      <c r="K691" s="851"/>
      <c r="L691" s="851"/>
      <c r="M691" s="851"/>
      <c r="N691" s="851"/>
    </row>
    <row r="692" spans="3:14" ht="14.25" customHeight="1">
      <c r="C692" s="851"/>
      <c r="D692" s="851"/>
      <c r="E692" s="851"/>
      <c r="F692" s="851"/>
      <c r="G692" s="851"/>
      <c r="H692" s="851"/>
      <c r="I692" s="851"/>
      <c r="J692" s="851"/>
      <c r="K692" s="851"/>
      <c r="L692" s="851"/>
      <c r="M692" s="851"/>
      <c r="N692" s="851"/>
    </row>
    <row r="693" spans="3:14" ht="14.25" customHeight="1">
      <c r="C693" s="851"/>
      <c r="D693" s="851"/>
      <c r="E693" s="851"/>
      <c r="F693" s="851"/>
      <c r="G693" s="851"/>
      <c r="H693" s="851"/>
      <c r="I693" s="851"/>
      <c r="J693" s="851"/>
      <c r="K693" s="851"/>
      <c r="L693" s="851"/>
      <c r="M693" s="851"/>
      <c r="N693" s="851"/>
    </row>
    <row r="694" spans="3:14" ht="14.25" customHeight="1">
      <c r="C694" s="851"/>
      <c r="D694" s="851"/>
      <c r="E694" s="851"/>
      <c r="F694" s="851"/>
      <c r="G694" s="851"/>
      <c r="H694" s="851"/>
      <c r="I694" s="851"/>
      <c r="J694" s="851"/>
      <c r="K694" s="851"/>
      <c r="L694" s="851"/>
      <c r="M694" s="851"/>
      <c r="N694" s="851"/>
    </row>
    <row r="695" spans="3:14" ht="14.25" customHeight="1">
      <c r="C695" s="851"/>
      <c r="D695" s="851"/>
      <c r="E695" s="851"/>
      <c r="F695" s="851"/>
      <c r="G695" s="851"/>
      <c r="H695" s="851"/>
      <c r="I695" s="851"/>
      <c r="J695" s="851"/>
      <c r="K695" s="851"/>
      <c r="L695" s="851"/>
      <c r="M695" s="851"/>
      <c r="N695" s="851"/>
    </row>
    <row r="696" spans="3:14" ht="14.25" customHeight="1">
      <c r="C696" s="851"/>
      <c r="D696" s="851"/>
      <c r="E696" s="851"/>
      <c r="F696" s="851"/>
      <c r="G696" s="851"/>
      <c r="H696" s="851"/>
      <c r="I696" s="851"/>
      <c r="J696" s="851"/>
      <c r="K696" s="851"/>
      <c r="L696" s="851"/>
      <c r="M696" s="851"/>
      <c r="N696" s="851"/>
    </row>
    <row r="697" spans="3:14" ht="14.25" customHeight="1">
      <c r="C697" s="851"/>
      <c r="D697" s="851"/>
      <c r="E697" s="851"/>
      <c r="F697" s="851"/>
      <c r="G697" s="851"/>
      <c r="H697" s="851"/>
      <c r="I697" s="851"/>
      <c r="J697" s="851"/>
      <c r="K697" s="851"/>
      <c r="L697" s="851"/>
      <c r="M697" s="851"/>
      <c r="N697" s="851"/>
    </row>
    <row r="698" spans="3:14" ht="14.25" customHeight="1">
      <c r="C698" s="851"/>
      <c r="D698" s="851"/>
      <c r="E698" s="851"/>
      <c r="F698" s="851"/>
      <c r="G698" s="851"/>
      <c r="H698" s="851"/>
      <c r="I698" s="851"/>
      <c r="J698" s="851"/>
      <c r="K698" s="851"/>
      <c r="L698" s="851"/>
      <c r="M698" s="851"/>
      <c r="N698" s="851"/>
    </row>
    <row r="699" spans="3:14" ht="14.25" customHeight="1">
      <c r="C699" s="851"/>
      <c r="D699" s="851"/>
      <c r="E699" s="851"/>
      <c r="F699" s="851"/>
      <c r="G699" s="851"/>
      <c r="H699" s="851"/>
      <c r="I699" s="851"/>
      <c r="J699" s="851"/>
      <c r="K699" s="851"/>
      <c r="L699" s="851"/>
      <c r="M699" s="851"/>
      <c r="N699" s="851"/>
    </row>
    <row r="700" spans="3:14" ht="14.25" customHeight="1">
      <c r="C700" s="851"/>
      <c r="D700" s="851"/>
      <c r="E700" s="851"/>
      <c r="F700" s="851"/>
      <c r="G700" s="851"/>
      <c r="H700" s="851"/>
      <c r="I700" s="851"/>
      <c r="J700" s="851"/>
      <c r="K700" s="851"/>
      <c r="L700" s="851"/>
      <c r="M700" s="851"/>
      <c r="N700" s="851"/>
    </row>
    <row r="701" spans="3:14" ht="14.25" customHeight="1">
      <c r="C701" s="851"/>
      <c r="D701" s="851"/>
      <c r="E701" s="851"/>
      <c r="F701" s="851"/>
      <c r="G701" s="851"/>
      <c r="H701" s="851"/>
      <c r="I701" s="851"/>
      <c r="J701" s="851"/>
      <c r="K701" s="851"/>
      <c r="L701" s="851"/>
      <c r="M701" s="851"/>
      <c r="N701" s="851"/>
    </row>
    <row r="702" spans="3:14" ht="14.25" customHeight="1">
      <c r="C702" s="851"/>
      <c r="D702" s="851"/>
      <c r="E702" s="851"/>
      <c r="F702" s="851"/>
      <c r="G702" s="851"/>
      <c r="H702" s="851"/>
      <c r="I702" s="851"/>
      <c r="J702" s="851"/>
      <c r="K702" s="851"/>
      <c r="L702" s="851"/>
      <c r="M702" s="851"/>
      <c r="N702" s="851"/>
    </row>
    <row r="703" spans="3:14" ht="14.25" customHeight="1">
      <c r="C703" s="851"/>
      <c r="D703" s="851"/>
      <c r="E703" s="851"/>
      <c r="F703" s="851"/>
      <c r="G703" s="851"/>
      <c r="H703" s="851"/>
      <c r="I703" s="851"/>
      <c r="J703" s="851"/>
      <c r="K703" s="851"/>
      <c r="L703" s="851"/>
      <c r="M703" s="851"/>
      <c r="N703" s="851"/>
    </row>
    <row r="704" spans="3:14" ht="14.25" customHeight="1">
      <c r="C704" s="851"/>
      <c r="D704" s="851"/>
      <c r="E704" s="851"/>
      <c r="F704" s="851"/>
      <c r="G704" s="851"/>
      <c r="H704" s="851"/>
      <c r="I704" s="851"/>
      <c r="J704" s="851"/>
      <c r="K704" s="851"/>
      <c r="L704" s="851"/>
      <c r="M704" s="851"/>
      <c r="N704" s="851"/>
    </row>
    <row r="705" spans="3:14" ht="14.25" customHeight="1">
      <c r="C705" s="851"/>
      <c r="D705" s="851"/>
      <c r="E705" s="851"/>
      <c r="F705" s="851"/>
      <c r="G705" s="851"/>
      <c r="H705" s="851"/>
      <c r="I705" s="851"/>
      <c r="J705" s="851"/>
      <c r="K705" s="851"/>
      <c r="L705" s="851"/>
      <c r="M705" s="851"/>
      <c r="N705" s="851"/>
    </row>
    <row r="706" spans="3:14" ht="14.25" customHeight="1">
      <c r="C706" s="851"/>
      <c r="D706" s="851"/>
      <c r="E706" s="851"/>
      <c r="F706" s="851"/>
      <c r="G706" s="851"/>
      <c r="H706" s="851"/>
      <c r="I706" s="851"/>
      <c r="J706" s="851"/>
      <c r="K706" s="851"/>
      <c r="L706" s="851"/>
      <c r="M706" s="851"/>
      <c r="N706" s="851"/>
    </row>
    <row r="707" spans="3:14" ht="14.25" customHeight="1">
      <c r="C707" s="851"/>
      <c r="D707" s="851"/>
      <c r="E707" s="851"/>
      <c r="F707" s="851"/>
      <c r="G707" s="851"/>
      <c r="H707" s="851"/>
      <c r="I707" s="851"/>
      <c r="J707" s="851"/>
      <c r="K707" s="851"/>
      <c r="L707" s="851"/>
      <c r="M707" s="851"/>
      <c r="N707" s="851"/>
    </row>
    <row r="708" spans="3:14" ht="14.25" customHeight="1">
      <c r="C708" s="851"/>
      <c r="D708" s="851"/>
      <c r="E708" s="851"/>
      <c r="F708" s="851"/>
      <c r="G708" s="851"/>
      <c r="H708" s="851"/>
      <c r="I708" s="851"/>
      <c r="J708" s="851"/>
      <c r="K708" s="851"/>
      <c r="L708" s="851"/>
      <c r="M708" s="851"/>
      <c r="N708" s="851"/>
    </row>
    <row r="709" spans="3:14" ht="14.25" customHeight="1">
      <c r="C709" s="851"/>
      <c r="D709" s="851"/>
      <c r="E709" s="851"/>
      <c r="F709" s="851"/>
      <c r="G709" s="851"/>
      <c r="H709" s="851"/>
      <c r="I709" s="851"/>
      <c r="J709" s="851"/>
      <c r="K709" s="851"/>
      <c r="L709" s="851"/>
      <c r="M709" s="851"/>
      <c r="N709" s="851"/>
    </row>
    <row r="710" spans="3:14" ht="14.25" customHeight="1">
      <c r="C710" s="851"/>
      <c r="D710" s="851"/>
      <c r="E710" s="851"/>
      <c r="F710" s="851"/>
      <c r="G710" s="851"/>
      <c r="H710" s="851"/>
      <c r="I710" s="851"/>
      <c r="J710" s="851"/>
      <c r="K710" s="851"/>
      <c r="L710" s="851"/>
      <c r="M710" s="851"/>
      <c r="N710" s="851"/>
    </row>
    <row r="711" spans="3:14" ht="14.25" customHeight="1">
      <c r="C711" s="851"/>
      <c r="D711" s="851"/>
      <c r="E711" s="851"/>
      <c r="F711" s="851"/>
      <c r="G711" s="851"/>
      <c r="H711" s="851"/>
      <c r="I711" s="851"/>
      <c r="J711" s="851"/>
      <c r="K711" s="851"/>
      <c r="L711" s="851"/>
      <c r="M711" s="851"/>
      <c r="N711" s="851"/>
    </row>
    <row r="712" spans="3:14" ht="14.25" customHeight="1">
      <c r="C712" s="851"/>
      <c r="D712" s="851"/>
      <c r="E712" s="851"/>
      <c r="F712" s="851"/>
      <c r="G712" s="851"/>
      <c r="H712" s="851"/>
      <c r="I712" s="851"/>
      <c r="J712" s="851"/>
      <c r="K712" s="851"/>
      <c r="L712" s="851"/>
      <c r="M712" s="851"/>
      <c r="N712" s="851"/>
    </row>
    <row r="713" spans="3:14" ht="14.25" customHeight="1">
      <c r="C713" s="851"/>
      <c r="D713" s="851"/>
      <c r="E713" s="851"/>
      <c r="F713" s="851"/>
      <c r="G713" s="851"/>
      <c r="H713" s="851"/>
      <c r="I713" s="851"/>
      <c r="J713" s="851"/>
      <c r="K713" s="851"/>
      <c r="L713" s="851"/>
      <c r="M713" s="851"/>
      <c r="N713" s="851"/>
    </row>
    <row r="714" spans="3:14" ht="14.25" customHeight="1">
      <c r="C714" s="851"/>
      <c r="D714" s="851"/>
      <c r="E714" s="851"/>
      <c r="F714" s="851"/>
      <c r="G714" s="851"/>
      <c r="H714" s="851"/>
      <c r="I714" s="851"/>
      <c r="J714" s="851"/>
      <c r="K714" s="851"/>
      <c r="L714" s="851"/>
      <c r="M714" s="851"/>
      <c r="N714" s="851"/>
    </row>
    <row r="715" spans="3:14" ht="14.25" customHeight="1">
      <c r="C715" s="851"/>
      <c r="D715" s="851"/>
      <c r="E715" s="851"/>
      <c r="F715" s="851"/>
      <c r="G715" s="851"/>
      <c r="H715" s="851"/>
      <c r="I715" s="851"/>
      <c r="J715" s="851"/>
      <c r="K715" s="851"/>
      <c r="L715" s="851"/>
      <c r="M715" s="851"/>
      <c r="N715" s="851"/>
    </row>
    <row r="716" spans="3:14" ht="14.25" customHeight="1">
      <c r="C716" s="851"/>
      <c r="D716" s="851"/>
      <c r="E716" s="851"/>
      <c r="F716" s="851"/>
      <c r="G716" s="851"/>
      <c r="H716" s="851"/>
      <c r="I716" s="851"/>
      <c r="J716" s="851"/>
      <c r="K716" s="851"/>
      <c r="L716" s="851"/>
      <c r="M716" s="851"/>
      <c r="N716" s="851"/>
    </row>
    <row r="717" spans="3:14" ht="14.25" customHeight="1">
      <c r="C717" s="851"/>
      <c r="D717" s="851"/>
      <c r="E717" s="851"/>
      <c r="F717" s="851"/>
      <c r="G717" s="851"/>
      <c r="H717" s="851"/>
      <c r="I717" s="851"/>
      <c r="J717" s="851"/>
      <c r="K717" s="851"/>
      <c r="L717" s="851"/>
      <c r="M717" s="851"/>
      <c r="N717" s="851"/>
    </row>
    <row r="718" spans="3:14" ht="14.25" customHeight="1">
      <c r="C718" s="851"/>
      <c r="D718" s="851"/>
      <c r="E718" s="851"/>
      <c r="F718" s="851"/>
      <c r="G718" s="851"/>
      <c r="H718" s="851"/>
      <c r="I718" s="851"/>
      <c r="J718" s="851"/>
      <c r="K718" s="851"/>
      <c r="L718" s="851"/>
      <c r="M718" s="851"/>
      <c r="N718" s="851"/>
    </row>
    <row r="719" spans="3:14" ht="14.25" customHeight="1">
      <c r="C719" s="851"/>
      <c r="D719" s="851"/>
      <c r="E719" s="851"/>
      <c r="F719" s="851"/>
      <c r="G719" s="851"/>
      <c r="H719" s="851"/>
      <c r="I719" s="851"/>
      <c r="J719" s="851"/>
      <c r="K719" s="851"/>
      <c r="L719" s="851"/>
      <c r="M719" s="851"/>
      <c r="N719" s="851"/>
    </row>
    <row r="720" spans="3:14" ht="14.25" customHeight="1">
      <c r="C720" s="851"/>
      <c r="D720" s="851"/>
      <c r="E720" s="851"/>
      <c r="F720" s="851"/>
      <c r="G720" s="851"/>
      <c r="H720" s="851"/>
      <c r="I720" s="851"/>
      <c r="J720" s="851"/>
      <c r="K720" s="851"/>
      <c r="L720" s="851"/>
      <c r="M720" s="851"/>
      <c r="N720" s="851"/>
    </row>
    <row r="721" spans="3:14" ht="14.25" customHeight="1">
      <c r="C721" s="851"/>
      <c r="D721" s="851"/>
      <c r="E721" s="851"/>
      <c r="F721" s="851"/>
      <c r="G721" s="851"/>
      <c r="H721" s="851"/>
      <c r="I721" s="851"/>
      <c r="J721" s="851"/>
      <c r="K721" s="851"/>
      <c r="L721" s="851"/>
      <c r="M721" s="851"/>
      <c r="N721" s="851"/>
    </row>
    <row r="722" spans="3:14" ht="14.25" customHeight="1">
      <c r="C722" s="851"/>
      <c r="D722" s="851"/>
      <c r="E722" s="851"/>
      <c r="F722" s="851"/>
      <c r="G722" s="851"/>
      <c r="H722" s="851"/>
      <c r="I722" s="851"/>
      <c r="J722" s="851"/>
      <c r="K722" s="851"/>
      <c r="L722" s="851"/>
      <c r="M722" s="851"/>
      <c r="N722" s="851"/>
    </row>
    <row r="723" spans="3:14" ht="14.25" customHeight="1">
      <c r="C723" s="851"/>
      <c r="D723" s="851"/>
      <c r="E723" s="851"/>
      <c r="F723" s="851"/>
      <c r="G723" s="851"/>
      <c r="H723" s="851"/>
      <c r="I723" s="851"/>
      <c r="J723" s="851"/>
      <c r="K723" s="851"/>
      <c r="L723" s="851"/>
      <c r="M723" s="851"/>
      <c r="N723" s="851"/>
    </row>
    <row r="724" spans="3:14" ht="14.25" customHeight="1">
      <c r="C724" s="851"/>
      <c r="D724" s="851"/>
      <c r="E724" s="851"/>
      <c r="F724" s="851"/>
      <c r="G724" s="851"/>
      <c r="H724" s="851"/>
      <c r="I724" s="851"/>
      <c r="J724" s="851"/>
      <c r="K724" s="851"/>
      <c r="L724" s="851"/>
      <c r="M724" s="851"/>
      <c r="N724" s="851"/>
    </row>
  </sheetData>
  <mergeCells count="15">
    <mergeCell ref="L3:L4"/>
    <mergeCell ref="M3:M4"/>
    <mergeCell ref="N3:N4"/>
    <mergeCell ref="O3:O4"/>
    <mergeCell ref="P3:P4"/>
    <mergeCell ref="F3:F4"/>
    <mergeCell ref="G3:G4"/>
    <mergeCell ref="H3:H4"/>
    <mergeCell ref="I3:I4"/>
    <mergeCell ref="J3:K3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orientation="portrait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X785"/>
  <sheetViews>
    <sheetView topLeftCell="A3" zoomScale="85" zoomScaleNormal="85" workbookViewId="0">
      <pane ySplit="2" topLeftCell="A5" activePane="bottomLeft" state="frozen"/>
      <selection activeCell="A3" sqref="A3"/>
      <selection pane="bottomLeft" activeCell="B262" sqref="B262"/>
    </sheetView>
  </sheetViews>
  <sheetFormatPr baseColWidth="10" defaultColWidth="9.1640625" defaultRowHeight="15"/>
  <cols>
    <col min="1" max="1" width="9.1640625" style="1203"/>
    <col min="2" max="2" width="50.5" style="1203" customWidth="1"/>
    <col min="3" max="5" width="12.5" style="1203" customWidth="1"/>
    <col min="6" max="12" width="10.5" style="1203" customWidth="1"/>
    <col min="13" max="13" width="8.5" style="1203" customWidth="1"/>
    <col min="14" max="14" width="14.5" style="1203" customWidth="1"/>
    <col min="15" max="15" width="6.5" style="1203" customWidth="1"/>
    <col min="16" max="16" width="15.5" style="1203" customWidth="1"/>
    <col min="17" max="17" width="18.1640625" style="1203" customWidth="1"/>
    <col min="18" max="18" width="11.83203125" style="1203" customWidth="1"/>
    <col min="19" max="20" width="9.1640625" style="1203"/>
    <col min="21" max="21" width="12.1640625" style="1203" customWidth="1"/>
    <col min="22" max="24" width="9.1640625" style="1203"/>
    <col min="25" max="25" width="12.5" style="1203" customWidth="1"/>
    <col min="26" max="16384" width="9.1640625" style="1203"/>
  </cols>
  <sheetData>
    <row r="1" spans="1:24" ht="24" customHeight="1">
      <c r="A1" s="1204" t="s">
        <v>998</v>
      </c>
      <c r="B1" s="1205"/>
      <c r="C1" s="1205"/>
      <c r="D1" s="1205"/>
      <c r="E1" s="1205"/>
      <c r="F1" s="1205"/>
      <c r="G1" s="1205"/>
      <c r="H1" s="1205"/>
      <c r="I1" s="1205"/>
      <c r="J1" s="1205"/>
      <c r="K1" s="1205"/>
      <c r="L1" s="1205"/>
      <c r="M1" s="1205"/>
      <c r="N1" s="1205"/>
      <c r="O1" s="1205"/>
      <c r="P1" s="1205"/>
      <c r="Q1" s="1205"/>
      <c r="R1" s="1205"/>
      <c r="S1" s="1205"/>
      <c r="T1" s="1205"/>
      <c r="U1" s="1205"/>
      <c r="V1" s="1206"/>
      <c r="W1" s="1206"/>
      <c r="X1" s="1206"/>
    </row>
    <row r="2" spans="1:24" ht="15.75" customHeight="1">
      <c r="A2" s="1205"/>
      <c r="B2" s="1205"/>
      <c r="C2" s="1205"/>
      <c r="D2" s="1205"/>
      <c r="E2" s="1205"/>
      <c r="F2" s="1205"/>
      <c r="G2" s="1205"/>
      <c r="H2" s="1205"/>
      <c r="I2" s="1205"/>
      <c r="J2" s="1205"/>
      <c r="K2" s="1205"/>
      <c r="L2" s="1205"/>
      <c r="M2" s="1205"/>
      <c r="N2" s="1205"/>
      <c r="O2" s="1205"/>
      <c r="P2" s="1205"/>
      <c r="Q2" s="1205"/>
      <c r="R2" s="1205"/>
      <c r="S2" s="1205"/>
      <c r="T2" s="1205"/>
      <c r="U2" s="1205"/>
      <c r="V2" s="1206"/>
      <c r="W2" s="1206"/>
      <c r="X2" s="1206"/>
    </row>
    <row r="3" spans="1:24" ht="21.75" customHeight="1">
      <c r="A3" s="3261" t="s">
        <v>1</v>
      </c>
      <c r="B3" s="3262" t="s">
        <v>68</v>
      </c>
      <c r="C3" s="3262" t="s">
        <v>77</v>
      </c>
      <c r="D3" s="3262" t="s">
        <v>78</v>
      </c>
      <c r="E3" s="3262" t="s">
        <v>79</v>
      </c>
      <c r="F3" s="3262" t="s">
        <v>6</v>
      </c>
      <c r="G3" s="3262" t="s">
        <v>999</v>
      </c>
      <c r="H3" s="3262" t="s">
        <v>977</v>
      </c>
      <c r="I3" s="3262" t="s">
        <v>978</v>
      </c>
      <c r="J3" s="3262" t="s">
        <v>1000</v>
      </c>
      <c r="K3" s="3262"/>
      <c r="L3" s="3262" t="s">
        <v>213</v>
      </c>
      <c r="M3" s="3262" t="s">
        <v>80</v>
      </c>
      <c r="N3" s="3262" t="s">
        <v>81</v>
      </c>
      <c r="O3" s="3262" t="s">
        <v>82</v>
      </c>
      <c r="P3" s="3263" t="s">
        <v>83</v>
      </c>
      <c r="Q3" s="1205"/>
      <c r="R3" s="1205"/>
      <c r="S3" s="1205"/>
      <c r="T3" s="1205"/>
      <c r="U3" s="1205"/>
      <c r="V3" s="1206"/>
      <c r="W3" s="1206"/>
      <c r="X3" s="1206"/>
    </row>
    <row r="4" spans="1:24" ht="21.75" customHeight="1">
      <c r="A4" s="3261"/>
      <c r="B4" s="3262"/>
      <c r="C4" s="3262"/>
      <c r="D4" s="3262"/>
      <c r="E4" s="3262"/>
      <c r="F4" s="3262"/>
      <c r="G4" s="3262"/>
      <c r="H4" s="3262"/>
      <c r="I4" s="3262"/>
      <c r="J4" s="1207" t="s">
        <v>1001</v>
      </c>
      <c r="K4" s="1207" t="s">
        <v>1002</v>
      </c>
      <c r="L4" s="3262"/>
      <c r="M4" s="3262"/>
      <c r="N4" s="3262"/>
      <c r="O4" s="3262"/>
      <c r="P4" s="3263"/>
      <c r="Q4" s="1205"/>
      <c r="R4" s="1205"/>
      <c r="S4" s="1205"/>
      <c r="T4" s="1205"/>
      <c r="U4" s="1205"/>
      <c r="V4" s="1206"/>
      <c r="W4" s="1206"/>
      <c r="X4" s="1206"/>
    </row>
    <row r="5" spans="1:24" ht="7.5" customHeight="1">
      <c r="A5" s="1205"/>
      <c r="B5" s="1205"/>
      <c r="C5" s="1205"/>
      <c r="D5" s="1205"/>
      <c r="E5" s="1205"/>
      <c r="F5" s="1205"/>
      <c r="G5" s="1205"/>
      <c r="H5" s="1205"/>
      <c r="I5" s="1205"/>
      <c r="J5" s="1205"/>
      <c r="K5" s="1205"/>
      <c r="L5" s="1205"/>
      <c r="M5" s="1205"/>
      <c r="N5" s="1205"/>
      <c r="O5" s="1205"/>
      <c r="P5" s="1208"/>
      <c r="Q5" s="1205"/>
      <c r="R5" s="1205"/>
      <c r="S5" s="1205"/>
      <c r="T5" s="1205"/>
      <c r="U5" s="1205"/>
      <c r="V5" s="1206"/>
      <c r="W5" s="1206"/>
      <c r="X5" s="1206"/>
    </row>
    <row r="6" spans="1:24" ht="7.5" customHeight="1">
      <c r="A6" s="1209"/>
      <c r="B6" s="1210"/>
      <c r="C6" s="1210"/>
      <c r="D6" s="1210"/>
      <c r="E6" s="1210"/>
      <c r="F6" s="1210"/>
      <c r="G6" s="1210"/>
      <c r="H6" s="1210"/>
      <c r="I6" s="1210"/>
      <c r="J6" s="1210"/>
      <c r="K6" s="1210"/>
      <c r="L6" s="1210"/>
      <c r="M6" s="1210"/>
      <c r="N6" s="1210"/>
      <c r="O6" s="1210"/>
      <c r="P6" s="1211"/>
      <c r="Q6" s="1205"/>
      <c r="R6" s="1205"/>
      <c r="S6" s="1205"/>
      <c r="T6" s="1205"/>
      <c r="U6" s="1205"/>
      <c r="V6" s="1206"/>
      <c r="W6" s="1206"/>
      <c r="X6" s="1206"/>
    </row>
    <row r="7" spans="1:24" ht="15.75" customHeight="1">
      <c r="A7" s="1212">
        <v>24</v>
      </c>
      <c r="B7" s="1213" t="s">
        <v>1631</v>
      </c>
      <c r="C7" s="1214"/>
      <c r="D7" s="1214"/>
      <c r="E7" s="1214"/>
      <c r="F7" s="1214"/>
      <c r="G7" s="1214"/>
      <c r="H7" s="1214"/>
      <c r="I7" s="1214"/>
      <c r="J7" s="1214"/>
      <c r="K7" s="1214"/>
      <c r="L7" s="1214"/>
      <c r="M7" s="1214"/>
      <c r="N7" s="1214"/>
      <c r="O7" s="1215"/>
      <c r="P7" s="1216"/>
      <c r="Q7" s="1205"/>
      <c r="R7" s="1205"/>
      <c r="S7" s="1205"/>
      <c r="T7" s="1205"/>
      <c r="U7" s="1205"/>
      <c r="V7" s="1206"/>
      <c r="W7" s="1206"/>
      <c r="X7" s="1206"/>
    </row>
    <row r="8" spans="1:24" ht="15.75" customHeight="1">
      <c r="A8" s="1212" t="s">
        <v>1632</v>
      </c>
      <c r="B8" s="1213" t="s">
        <v>395</v>
      </c>
      <c r="C8" s="1214"/>
      <c r="D8" s="1214"/>
      <c r="E8" s="1214"/>
      <c r="F8" s="1214"/>
      <c r="G8" s="1214"/>
      <c r="H8" s="1214"/>
      <c r="I8" s="1214"/>
      <c r="J8" s="1214"/>
      <c r="K8" s="1214"/>
      <c r="L8" s="1214"/>
      <c r="M8" s="1214"/>
      <c r="N8" s="1214"/>
      <c r="O8" s="1215"/>
      <c r="P8" s="1099"/>
      <c r="Q8" s="1205"/>
      <c r="R8" s="1217"/>
      <c r="S8" s="1205"/>
      <c r="T8" s="1205"/>
      <c r="U8" s="1205"/>
      <c r="V8" s="1206"/>
      <c r="W8" s="1206"/>
      <c r="X8" s="1206"/>
    </row>
    <row r="9" spans="1:24" ht="15.75" customHeight="1">
      <c r="A9" s="1218">
        <v>1</v>
      </c>
      <c r="B9" s="492" t="s">
        <v>396</v>
      </c>
      <c r="C9" s="1214" t="s">
        <v>1005</v>
      </c>
      <c r="D9" s="1214"/>
      <c r="E9" s="1214"/>
      <c r="F9" s="1214"/>
      <c r="G9" s="1214"/>
      <c r="H9" s="1214"/>
      <c r="I9" s="1214"/>
      <c r="J9" s="1214"/>
      <c r="K9" s="1214"/>
      <c r="L9" s="1214"/>
      <c r="M9" s="1214"/>
      <c r="N9" s="1214"/>
      <c r="O9" s="1215"/>
      <c r="P9" s="1099"/>
      <c r="Q9" s="1205"/>
      <c r="R9" s="1217"/>
      <c r="S9" s="1205"/>
      <c r="T9" s="1205"/>
      <c r="U9" s="1205"/>
      <c r="V9" s="1206"/>
      <c r="W9" s="1206"/>
      <c r="X9" s="1206"/>
    </row>
    <row r="10" spans="1:24" ht="15.75" customHeight="1">
      <c r="A10" s="1218"/>
      <c r="B10" s="492"/>
      <c r="C10" s="1214">
        <f>16.1+1</f>
        <v>17.100000000000001</v>
      </c>
      <c r="D10" s="1214"/>
      <c r="E10" s="1214"/>
      <c r="F10" s="1214"/>
      <c r="G10" s="1214"/>
      <c r="H10" s="1214">
        <v>2</v>
      </c>
      <c r="I10" s="1214"/>
      <c r="J10" s="1214"/>
      <c r="K10" s="1214"/>
      <c r="L10" s="1214"/>
      <c r="M10" s="1214"/>
      <c r="N10" s="1214">
        <f>C10*H10</f>
        <v>34.200000000000003</v>
      </c>
      <c r="O10" s="1215"/>
      <c r="P10" s="1099"/>
      <c r="Q10" s="1205"/>
      <c r="R10" s="1217"/>
      <c r="S10" s="1205"/>
      <c r="T10" s="1205"/>
      <c r="U10" s="1205"/>
      <c r="V10" s="1206"/>
      <c r="W10" s="1206"/>
      <c r="X10" s="1206"/>
    </row>
    <row r="11" spans="1:24" ht="15.75" customHeight="1">
      <c r="A11" s="1218"/>
      <c r="B11" s="492"/>
      <c r="C11" s="1214"/>
      <c r="D11" s="1214">
        <f>6+1</f>
        <v>7</v>
      </c>
      <c r="E11" s="1214"/>
      <c r="F11" s="1214"/>
      <c r="G11" s="1214"/>
      <c r="H11" s="1214">
        <v>2</v>
      </c>
      <c r="I11" s="1214"/>
      <c r="J11" s="1214"/>
      <c r="K11" s="1214"/>
      <c r="L11" s="1214"/>
      <c r="M11" s="1214"/>
      <c r="N11" s="1219">
        <f>D11*H11</f>
        <v>14</v>
      </c>
      <c r="O11" s="1215"/>
      <c r="P11" s="1099"/>
      <c r="Q11" s="1205"/>
      <c r="R11" s="1217"/>
      <c r="S11" s="1205"/>
      <c r="T11" s="1205"/>
      <c r="U11" s="1205"/>
      <c r="V11" s="1206"/>
      <c r="W11" s="1206"/>
      <c r="X11" s="1206"/>
    </row>
    <row r="12" spans="1:24" ht="15.75" customHeight="1">
      <c r="A12" s="1218"/>
      <c r="B12" s="492"/>
      <c r="C12" s="1214"/>
      <c r="D12" s="1214"/>
      <c r="E12" s="1214"/>
      <c r="F12" s="1214"/>
      <c r="G12" s="1214"/>
      <c r="H12" s="1214"/>
      <c r="I12" s="1214"/>
      <c r="J12" s="1214"/>
      <c r="K12" s="1214"/>
      <c r="L12" s="1214"/>
      <c r="M12" s="1214"/>
      <c r="N12" s="1220">
        <f>SUM(N10:N11)</f>
        <v>48.2</v>
      </c>
      <c r="O12" s="1215" t="s">
        <v>89</v>
      </c>
      <c r="P12" s="1099">
        <f>ROUND((N12),2)</f>
        <v>48.2</v>
      </c>
      <c r="Q12" s="1205"/>
      <c r="R12" s="1217"/>
      <c r="S12" s="1205"/>
      <c r="T12" s="1205"/>
      <c r="U12" s="1205"/>
      <c r="V12" s="1206"/>
      <c r="W12" s="1206"/>
      <c r="X12" s="1206"/>
    </row>
    <row r="13" spans="1:24" ht="15.75" customHeight="1">
      <c r="A13" s="1221">
        <f>A9+1</f>
        <v>2</v>
      </c>
      <c r="B13" s="1222" t="s">
        <v>523</v>
      </c>
      <c r="C13" s="1214"/>
      <c r="D13" s="1214"/>
      <c r="E13" s="1214"/>
      <c r="F13" s="1214"/>
      <c r="G13" s="1214"/>
      <c r="H13" s="1214"/>
      <c r="I13" s="1214"/>
      <c r="J13" s="1214"/>
      <c r="K13" s="1214"/>
      <c r="L13" s="1214"/>
      <c r="M13" s="1214"/>
      <c r="N13" s="1214"/>
      <c r="O13" s="1215"/>
      <c r="P13" s="1099"/>
      <c r="Q13" s="1205"/>
      <c r="R13" s="1217"/>
      <c r="S13" s="1205"/>
      <c r="T13" s="1205"/>
      <c r="U13" s="1205"/>
      <c r="V13" s="1206"/>
      <c r="W13" s="1206"/>
      <c r="X13" s="1206"/>
    </row>
    <row r="14" spans="1:24" ht="15.75" customHeight="1">
      <c r="A14" s="1223" t="s">
        <v>95</v>
      </c>
      <c r="B14" s="1222" t="s">
        <v>398</v>
      </c>
      <c r="C14" s="1220">
        <f>0.8+0.1+0.1</f>
        <v>1</v>
      </c>
      <c r="D14" s="1220">
        <f>0.8+0.1+0.1</f>
        <v>1</v>
      </c>
      <c r="E14" s="1220">
        <f>0.8+0.3+0.03+0.07</f>
        <v>1.2000000000000002</v>
      </c>
      <c r="F14" s="1220"/>
      <c r="G14" s="1220"/>
      <c r="H14" s="1220"/>
      <c r="I14" s="1220"/>
      <c r="J14" s="1220"/>
      <c r="K14" s="1220"/>
      <c r="L14" s="1220"/>
      <c r="M14" s="1220">
        <v>8</v>
      </c>
      <c r="N14" s="1220">
        <f>C14*D14*E14*M14</f>
        <v>9.6000000000000014</v>
      </c>
      <c r="O14" s="1215" t="s">
        <v>103</v>
      </c>
      <c r="P14" s="1099">
        <f t="shared" ref="P14:P20" si="0">ROUND((N14),2)</f>
        <v>9.6</v>
      </c>
      <c r="Q14" s="1205"/>
      <c r="R14" s="1217"/>
      <c r="S14" s="1205"/>
      <c r="T14" s="1205"/>
      <c r="U14" s="1205"/>
      <c r="V14" s="1206"/>
      <c r="W14" s="1206"/>
      <c r="X14" s="1206"/>
    </row>
    <row r="15" spans="1:24" ht="15.75" customHeight="1">
      <c r="A15" s="1223" t="s">
        <v>98</v>
      </c>
      <c r="B15" s="1222" t="s">
        <v>399</v>
      </c>
      <c r="C15" s="1220">
        <f>C14</f>
        <v>1</v>
      </c>
      <c r="D15" s="1220">
        <f>D14</f>
        <v>1</v>
      </c>
      <c r="E15" s="1220">
        <v>7.0000000000000007E-2</v>
      </c>
      <c r="F15" s="1220"/>
      <c r="G15" s="1220"/>
      <c r="H15" s="1220"/>
      <c r="I15" s="1220"/>
      <c r="J15" s="1220"/>
      <c r="K15" s="1220"/>
      <c r="L15" s="1220"/>
      <c r="M15" s="1220">
        <f t="shared" ref="M15:M20" si="1">M14</f>
        <v>8</v>
      </c>
      <c r="N15" s="1220">
        <f>C15*D15*E15*M15</f>
        <v>0.56000000000000005</v>
      </c>
      <c r="O15" s="1215" t="s">
        <v>103</v>
      </c>
      <c r="P15" s="1099">
        <f t="shared" si="0"/>
        <v>0.56000000000000005</v>
      </c>
      <c r="Q15" s="1205"/>
      <c r="R15" s="1217"/>
      <c r="S15" s="1205"/>
      <c r="T15" s="1205"/>
      <c r="U15" s="1205"/>
      <c r="V15" s="1206"/>
      <c r="W15" s="1206"/>
      <c r="X15" s="1206"/>
    </row>
    <row r="16" spans="1:24" ht="15.75" customHeight="1">
      <c r="A16" s="1223" t="s">
        <v>101</v>
      </c>
      <c r="B16" s="1222" t="s">
        <v>400</v>
      </c>
      <c r="C16" s="1220">
        <f>C15</f>
        <v>1</v>
      </c>
      <c r="D16" s="1220">
        <f>D15</f>
        <v>1</v>
      </c>
      <c r="E16" s="1220">
        <v>0.03</v>
      </c>
      <c r="F16" s="1220"/>
      <c r="G16" s="1220"/>
      <c r="H16" s="1220"/>
      <c r="I16" s="1220"/>
      <c r="J16" s="1220"/>
      <c r="K16" s="1220"/>
      <c r="L16" s="1220"/>
      <c r="M16" s="1220">
        <f t="shared" si="1"/>
        <v>8</v>
      </c>
      <c r="N16" s="1220">
        <f>C16*D16*E16*M16</f>
        <v>0.24</v>
      </c>
      <c r="O16" s="1215" t="s">
        <v>103</v>
      </c>
      <c r="P16" s="1099">
        <f t="shared" si="0"/>
        <v>0.24</v>
      </c>
      <c r="Q16" s="1205"/>
      <c r="R16" s="1217"/>
      <c r="S16" s="1205"/>
      <c r="T16" s="1205"/>
      <c r="U16" s="1205"/>
      <c r="V16" s="1206"/>
      <c r="W16" s="1206"/>
      <c r="X16" s="1206"/>
    </row>
    <row r="17" spans="1:24" ht="15.75" customHeight="1">
      <c r="A17" s="1223" t="s">
        <v>121</v>
      </c>
      <c r="B17" s="1222" t="s">
        <v>401</v>
      </c>
      <c r="C17" s="1220">
        <f>C16</f>
        <v>1</v>
      </c>
      <c r="D17" s="1220"/>
      <c r="E17" s="1220">
        <f>E14-0.8-E15-E16</f>
        <v>0.30000000000000016</v>
      </c>
      <c r="F17" s="1220"/>
      <c r="G17" s="1220"/>
      <c r="H17" s="1220">
        <v>4</v>
      </c>
      <c r="I17" s="1220"/>
      <c r="J17" s="1220"/>
      <c r="K17" s="1220"/>
      <c r="L17" s="1220"/>
      <c r="M17" s="1220">
        <f t="shared" si="1"/>
        <v>8</v>
      </c>
      <c r="N17" s="1220">
        <f>C17*E17*H17*M17</f>
        <v>9.600000000000005</v>
      </c>
      <c r="O17" s="1215" t="s">
        <v>89</v>
      </c>
      <c r="P17" s="1099">
        <f t="shared" si="0"/>
        <v>9.6</v>
      </c>
      <c r="Q17" s="1205"/>
      <c r="R17" s="1217"/>
      <c r="S17" s="1205"/>
      <c r="T17" s="1205"/>
      <c r="U17" s="1205"/>
      <c r="V17" s="1206"/>
      <c r="W17" s="1206"/>
      <c r="X17" s="1206"/>
    </row>
    <row r="18" spans="1:24" ht="15.75" customHeight="1">
      <c r="A18" s="1223" t="s">
        <v>142</v>
      </c>
      <c r="B18" s="1222" t="s">
        <v>504</v>
      </c>
      <c r="C18" s="1220">
        <v>0.45</v>
      </c>
      <c r="D18" s="1220"/>
      <c r="E18" s="1220"/>
      <c r="F18" s="1220">
        <f>10*10*0.006165</f>
        <v>0.61650000000000005</v>
      </c>
      <c r="G18" s="1220">
        <f>0.15*2</f>
        <v>0.3</v>
      </c>
      <c r="H18" s="1220">
        <v>4</v>
      </c>
      <c r="I18" s="1220"/>
      <c r="J18" s="1220"/>
      <c r="K18" s="1220"/>
      <c r="L18" s="1220">
        <f>ROUNDUP((C18/0.15),0.5)</f>
        <v>3</v>
      </c>
      <c r="M18" s="1220">
        <f t="shared" si="1"/>
        <v>8</v>
      </c>
      <c r="N18" s="1220">
        <f>(C18+G18)*F18*H18*L18*M18</f>
        <v>44.388000000000005</v>
      </c>
      <c r="O18" s="1215" t="s">
        <v>100</v>
      </c>
      <c r="P18" s="1099">
        <f t="shared" si="0"/>
        <v>44.39</v>
      </c>
      <c r="Q18" s="1205"/>
      <c r="R18" s="1217"/>
      <c r="S18" s="1205"/>
      <c r="T18" s="1205"/>
      <c r="U18" s="1205"/>
      <c r="V18" s="1206"/>
      <c r="W18" s="1206"/>
      <c r="X18" s="1206"/>
    </row>
    <row r="19" spans="1:24" ht="15.75" customHeight="1">
      <c r="A19" s="1223" t="s">
        <v>217</v>
      </c>
      <c r="B19" s="1224" t="s">
        <v>646</v>
      </c>
      <c r="C19" s="1220">
        <f>C14-0.2</f>
        <v>0.8</v>
      </c>
      <c r="D19" s="1220">
        <f>D14-0.2</f>
        <v>0.8</v>
      </c>
      <c r="E19" s="1220">
        <f>E17</f>
        <v>0.30000000000000016</v>
      </c>
      <c r="F19" s="1220"/>
      <c r="G19" s="1220"/>
      <c r="H19" s="1220"/>
      <c r="I19" s="1220"/>
      <c r="J19" s="1220"/>
      <c r="K19" s="1220"/>
      <c r="L19" s="1220"/>
      <c r="M19" s="1220">
        <f t="shared" si="1"/>
        <v>8</v>
      </c>
      <c r="N19" s="1220">
        <f>C19*D19*E19*M19</f>
        <v>1.5360000000000011</v>
      </c>
      <c r="O19" s="1215" t="s">
        <v>103</v>
      </c>
      <c r="P19" s="1099">
        <f t="shared" si="0"/>
        <v>1.54</v>
      </c>
      <c r="Q19" s="1205"/>
      <c r="R19" s="1217"/>
      <c r="S19" s="1205"/>
      <c r="T19" s="1205"/>
      <c r="U19" s="1205"/>
      <c r="V19" s="1206"/>
      <c r="W19" s="1206"/>
      <c r="X19" s="1206"/>
    </row>
    <row r="20" spans="1:24" ht="15.75" customHeight="1">
      <c r="A20" s="1223" t="s">
        <v>366</v>
      </c>
      <c r="B20" s="1222" t="s">
        <v>383</v>
      </c>
      <c r="C20" s="1220"/>
      <c r="D20" s="1220"/>
      <c r="E20" s="1220">
        <v>4</v>
      </c>
      <c r="F20" s="1220"/>
      <c r="G20" s="1220"/>
      <c r="H20" s="1220"/>
      <c r="I20" s="1220"/>
      <c r="J20" s="1220"/>
      <c r="K20" s="1220"/>
      <c r="L20" s="1220">
        <v>5</v>
      </c>
      <c r="M20" s="1220">
        <f t="shared" si="1"/>
        <v>8</v>
      </c>
      <c r="N20" s="1220">
        <f>E20*L20*M20</f>
        <v>160</v>
      </c>
      <c r="O20" s="1215" t="s">
        <v>117</v>
      </c>
      <c r="P20" s="1099">
        <f t="shared" si="0"/>
        <v>160</v>
      </c>
      <c r="Q20" s="1205"/>
      <c r="R20" s="1217"/>
      <c r="S20" s="1205"/>
      <c r="T20" s="1205"/>
      <c r="U20" s="1205"/>
      <c r="V20" s="1206"/>
      <c r="W20" s="1206"/>
      <c r="X20" s="1206"/>
    </row>
    <row r="21" spans="1:24" ht="15.75" customHeight="1">
      <c r="A21" s="1218">
        <f>A13+1</f>
        <v>3</v>
      </c>
      <c r="B21" s="492" t="s">
        <v>403</v>
      </c>
      <c r="C21" s="1214"/>
      <c r="D21" s="1214"/>
      <c r="E21" s="1214"/>
      <c r="F21" s="1214"/>
      <c r="G21" s="1214"/>
      <c r="H21" s="1214"/>
      <c r="I21" s="1214"/>
      <c r="J21" s="1214"/>
      <c r="K21" s="1214"/>
      <c r="L21" s="1214"/>
      <c r="M21" s="1214"/>
      <c r="N21" s="1214"/>
      <c r="O21" s="1215"/>
      <c r="P21" s="1099"/>
      <c r="Q21" s="1205"/>
      <c r="R21" s="1217"/>
      <c r="S21" s="1205"/>
      <c r="T21" s="1205"/>
      <c r="U21" s="1205"/>
      <c r="V21" s="1206"/>
      <c r="W21" s="1206"/>
      <c r="X21" s="1206"/>
    </row>
    <row r="22" spans="1:24" ht="15.75" customHeight="1">
      <c r="A22" s="1225" t="s">
        <v>95</v>
      </c>
      <c r="B22" s="492" t="s">
        <v>930</v>
      </c>
      <c r="C22" s="1214"/>
      <c r="D22" s="1226"/>
      <c r="E22" s="1214"/>
      <c r="F22" s="1214"/>
      <c r="G22" s="1214"/>
      <c r="H22" s="1214"/>
      <c r="I22" s="1214"/>
      <c r="J22" s="1214"/>
      <c r="K22" s="1214"/>
      <c r="L22" s="1214"/>
      <c r="M22" s="1214"/>
      <c r="N22" s="1214"/>
      <c r="O22" s="1215"/>
      <c r="P22" s="1099"/>
      <c r="Q22" s="1205"/>
      <c r="R22" s="1217"/>
      <c r="S22" s="1205"/>
      <c r="T22" s="1205"/>
      <c r="U22" s="1205"/>
      <c r="V22" s="1206"/>
      <c r="W22" s="1206"/>
      <c r="X22" s="1206"/>
    </row>
    <row r="23" spans="1:24" ht="15.75" customHeight="1">
      <c r="A23" s="1225"/>
      <c r="B23" s="1227" t="s">
        <v>226</v>
      </c>
      <c r="C23" s="1214">
        <f>4+4+1.5+2.5</f>
        <v>12</v>
      </c>
      <c r="D23" s="1214">
        <v>0.8</v>
      </c>
      <c r="E23" s="1214">
        <f>0.8+0.07</f>
        <v>0.87000000000000011</v>
      </c>
      <c r="F23" s="1214"/>
      <c r="G23" s="1214"/>
      <c r="H23" s="1214"/>
      <c r="I23" s="1214"/>
      <c r="J23" s="1214"/>
      <c r="K23" s="1214"/>
      <c r="L23" s="1214"/>
      <c r="M23" s="1214">
        <v>2</v>
      </c>
      <c r="N23" s="1214">
        <f>C23*D23*E23*M23</f>
        <v>16.704000000000004</v>
      </c>
      <c r="O23" s="1215"/>
      <c r="P23" s="1099"/>
      <c r="Q23" s="1205"/>
      <c r="R23" s="1217"/>
      <c r="S23" s="1205"/>
      <c r="T23" s="1205"/>
      <c r="U23" s="1205"/>
      <c r="V23" s="1206"/>
      <c r="W23" s="1206"/>
      <c r="X23" s="1206"/>
    </row>
    <row r="24" spans="1:24" ht="15.75" customHeight="1">
      <c r="A24" s="1225"/>
      <c r="B24" s="1227" t="s">
        <v>227</v>
      </c>
      <c r="C24" s="1214">
        <v>6</v>
      </c>
      <c r="D24" s="1214">
        <f>D23</f>
        <v>0.8</v>
      </c>
      <c r="E24" s="1214">
        <f>E23</f>
        <v>0.87000000000000011</v>
      </c>
      <c r="F24" s="1214"/>
      <c r="G24" s="1214"/>
      <c r="H24" s="1214"/>
      <c r="I24" s="1214"/>
      <c r="J24" s="1214"/>
      <c r="K24" s="1214"/>
      <c r="L24" s="1214"/>
      <c r="M24" s="1214">
        <v>5</v>
      </c>
      <c r="N24" s="1219">
        <f>C24*D24*E24*M24</f>
        <v>20.880000000000006</v>
      </c>
      <c r="O24" s="1215"/>
      <c r="P24" s="1099"/>
      <c r="Q24" s="1205"/>
      <c r="R24" s="1217"/>
      <c r="S24" s="1205"/>
      <c r="T24" s="1205"/>
      <c r="U24" s="1205"/>
      <c r="V24" s="1206"/>
      <c r="W24" s="1206"/>
      <c r="X24" s="1206"/>
    </row>
    <row r="25" spans="1:24" ht="15.75" customHeight="1">
      <c r="A25" s="1225"/>
      <c r="B25" s="492"/>
      <c r="C25" s="1214"/>
      <c r="D25" s="1214"/>
      <c r="E25" s="1214"/>
      <c r="F25" s="1214"/>
      <c r="G25" s="1214"/>
      <c r="H25" s="1214"/>
      <c r="I25" s="1214"/>
      <c r="J25" s="1214"/>
      <c r="K25" s="1214"/>
      <c r="L25" s="1214"/>
      <c r="M25" s="1214"/>
      <c r="N25" s="1220">
        <f>SUM(N23:N24)</f>
        <v>37.58400000000001</v>
      </c>
      <c r="O25" s="1215" t="s">
        <v>103</v>
      </c>
      <c r="P25" s="1099">
        <f>ROUND((N25),2)</f>
        <v>37.58</v>
      </c>
      <c r="Q25" s="1205"/>
      <c r="R25" s="1217"/>
      <c r="S25" s="1205"/>
      <c r="T25" s="1205"/>
      <c r="U25" s="1205"/>
      <c r="V25" s="1206"/>
      <c r="W25" s="1206"/>
      <c r="X25" s="1206"/>
    </row>
    <row r="26" spans="1:24" ht="15.75" customHeight="1">
      <c r="A26" s="1228" t="s">
        <v>98</v>
      </c>
      <c r="B26" s="1229" t="s">
        <v>405</v>
      </c>
      <c r="C26" s="1214"/>
      <c r="D26" s="1214"/>
      <c r="E26" s="1214"/>
      <c r="F26" s="1220"/>
      <c r="G26" s="1220"/>
      <c r="H26" s="1214"/>
      <c r="I26" s="1220"/>
      <c r="J26" s="1220"/>
      <c r="K26" s="1214"/>
      <c r="L26" s="1214"/>
      <c r="M26" s="1220"/>
      <c r="N26" s="1214"/>
      <c r="O26" s="1214"/>
      <c r="P26" s="1099"/>
      <c r="Q26" s="1205"/>
      <c r="R26" s="1217"/>
      <c r="S26" s="1205"/>
      <c r="T26" s="1205"/>
      <c r="U26" s="1205"/>
      <c r="V26" s="1206"/>
      <c r="W26" s="1206"/>
      <c r="X26" s="1206"/>
    </row>
    <row r="27" spans="1:24" ht="15.75" customHeight="1">
      <c r="A27" s="1228"/>
      <c r="B27" s="1230" t="str">
        <f>B23</f>
        <v>horisontal</v>
      </c>
      <c r="C27" s="1214">
        <f>C23</f>
        <v>12</v>
      </c>
      <c r="D27" s="1214"/>
      <c r="E27" s="1214"/>
      <c r="F27" s="1220"/>
      <c r="G27" s="1220"/>
      <c r="H27" s="1214"/>
      <c r="I27" s="1220"/>
      <c r="J27" s="1220"/>
      <c r="K27" s="1214"/>
      <c r="L27" s="1214"/>
      <c r="M27" s="1220">
        <f>M23</f>
        <v>2</v>
      </c>
      <c r="N27" s="1231">
        <f>C27*M27</f>
        <v>24</v>
      </c>
      <c r="O27" s="1232"/>
      <c r="P27" s="1099"/>
      <c r="Q27" s="1205"/>
      <c r="R27" s="1217"/>
      <c r="S27" s="1205"/>
      <c r="T27" s="1205"/>
      <c r="U27" s="1205"/>
      <c r="V27" s="1206"/>
      <c r="W27" s="1206"/>
      <c r="X27" s="1206"/>
    </row>
    <row r="28" spans="1:24" ht="15.75" customHeight="1">
      <c r="A28" s="1228"/>
      <c r="B28" s="1230" t="str">
        <f>B24</f>
        <v>vertikal</v>
      </c>
      <c r="C28" s="1214">
        <f>C24</f>
        <v>6</v>
      </c>
      <c r="D28" s="1214"/>
      <c r="E28" s="1214"/>
      <c r="F28" s="1220"/>
      <c r="G28" s="1220"/>
      <c r="H28" s="1214"/>
      <c r="I28" s="1220"/>
      <c r="J28" s="1220"/>
      <c r="K28" s="1214"/>
      <c r="L28" s="1214"/>
      <c r="M28" s="1220">
        <f>M24</f>
        <v>5</v>
      </c>
      <c r="N28" s="1231">
        <f>C28*M28</f>
        <v>30</v>
      </c>
      <c r="O28" s="1232"/>
      <c r="P28" s="1099"/>
      <c r="Q28" s="1205"/>
      <c r="R28" s="1217"/>
      <c r="S28" s="1205"/>
      <c r="T28" s="1205"/>
      <c r="U28" s="1205"/>
      <c r="V28" s="1206"/>
      <c r="W28" s="1206"/>
      <c r="X28" s="1206"/>
    </row>
    <row r="29" spans="1:24" ht="15.75" customHeight="1">
      <c r="A29" s="1228"/>
      <c r="B29" s="1229"/>
      <c r="C29" s="1220"/>
      <c r="D29" s="1220"/>
      <c r="E29" s="1220"/>
      <c r="F29" s="1220"/>
      <c r="G29" s="1220"/>
      <c r="H29" s="1220"/>
      <c r="I29" s="1220"/>
      <c r="J29" s="1220"/>
      <c r="K29" s="1220"/>
      <c r="L29" s="1220"/>
      <c r="M29" s="1220"/>
      <c r="N29" s="1220">
        <f>SUM(N27:N28)</f>
        <v>54</v>
      </c>
      <c r="O29" s="1232"/>
      <c r="P29" s="1099"/>
      <c r="Q29" s="1205"/>
      <c r="R29" s="1217"/>
      <c r="S29" s="1205"/>
      <c r="T29" s="1205"/>
      <c r="U29" s="1205"/>
      <c r="V29" s="1206"/>
      <c r="W29" s="1206"/>
      <c r="X29" s="1206"/>
    </row>
    <row r="30" spans="1:24" ht="15.75" customHeight="1">
      <c r="A30" s="1228"/>
      <c r="B30" s="1230" t="s">
        <v>1006</v>
      </c>
      <c r="C30" s="1220"/>
      <c r="D30" s="1220"/>
      <c r="E30" s="1220">
        <v>4</v>
      </c>
      <c r="F30" s="1220">
        <f>N29/0.5</f>
        <v>108</v>
      </c>
      <c r="G30" s="1220"/>
      <c r="H30" s="1220">
        <v>2</v>
      </c>
      <c r="I30" s="1220"/>
      <c r="J30" s="1220"/>
      <c r="K30" s="1233"/>
      <c r="L30" s="1220"/>
      <c r="M30" s="1220"/>
      <c r="N30" s="1220">
        <f>E30*H30*F30</f>
        <v>864</v>
      </c>
      <c r="O30" s="1232" t="s">
        <v>117</v>
      </c>
      <c r="P30" s="1099">
        <f>ROUND((N30),2)</f>
        <v>864</v>
      </c>
      <c r="Q30" s="1205"/>
      <c r="R30" s="1217"/>
      <c r="S30" s="1205"/>
      <c r="T30" s="1205"/>
      <c r="U30" s="1205"/>
      <c r="V30" s="1206"/>
      <c r="W30" s="1206"/>
      <c r="X30" s="1206"/>
    </row>
    <row r="31" spans="1:24" ht="15.75" customHeight="1">
      <c r="A31" s="1225" t="s">
        <v>101</v>
      </c>
      <c r="B31" s="492" t="s">
        <v>406</v>
      </c>
      <c r="C31" s="1214"/>
      <c r="D31" s="1214"/>
      <c r="E31" s="1214"/>
      <c r="F31" s="1214"/>
      <c r="G31" s="1214"/>
      <c r="H31" s="1214"/>
      <c r="I31" s="1214"/>
      <c r="J31" s="1214"/>
      <c r="K31" s="1214"/>
      <c r="L31" s="1214"/>
      <c r="M31" s="1214"/>
      <c r="N31" s="1220"/>
      <c r="O31" s="1215"/>
      <c r="P31" s="1099"/>
      <c r="Q31" s="1205"/>
      <c r="R31" s="1217"/>
      <c r="S31" s="1205"/>
      <c r="T31" s="1205"/>
      <c r="U31" s="1205"/>
      <c r="V31" s="1206"/>
      <c r="W31" s="1206"/>
      <c r="X31" s="1206"/>
    </row>
    <row r="32" spans="1:24" ht="15.75" customHeight="1">
      <c r="A32" s="1225"/>
      <c r="B32" s="1227" t="str">
        <f t="shared" ref="B32:D33" si="2">B23</f>
        <v>horisontal</v>
      </c>
      <c r="C32" s="1214">
        <f t="shared" si="2"/>
        <v>12</v>
      </c>
      <c r="D32" s="1214">
        <f t="shared" si="2"/>
        <v>0.8</v>
      </c>
      <c r="E32" s="1214">
        <v>7.0000000000000007E-2</v>
      </c>
      <c r="F32" s="1214"/>
      <c r="G32" s="1214"/>
      <c r="H32" s="1214"/>
      <c r="I32" s="1214"/>
      <c r="J32" s="1214"/>
      <c r="K32" s="1214"/>
      <c r="L32" s="1214"/>
      <c r="M32" s="1214">
        <f>M23</f>
        <v>2</v>
      </c>
      <c r="N32" s="1214">
        <f>C32*D32*E32*M32</f>
        <v>1.3440000000000003</v>
      </c>
      <c r="O32" s="1215"/>
      <c r="P32" s="1099"/>
      <c r="Q32" s="1205"/>
      <c r="R32" s="1217"/>
      <c r="S32" s="1205"/>
      <c r="T32" s="1205"/>
      <c r="U32" s="1205"/>
      <c r="V32" s="1206"/>
      <c r="W32" s="1206"/>
      <c r="X32" s="1206"/>
    </row>
    <row r="33" spans="1:24" ht="15.75" customHeight="1">
      <c r="A33" s="1225"/>
      <c r="B33" s="1227" t="str">
        <f t="shared" si="2"/>
        <v>vertikal</v>
      </c>
      <c r="C33" s="1214">
        <f t="shared" si="2"/>
        <v>6</v>
      </c>
      <c r="D33" s="1214">
        <f t="shared" si="2"/>
        <v>0.8</v>
      </c>
      <c r="E33" s="1214">
        <f>E32</f>
        <v>7.0000000000000007E-2</v>
      </c>
      <c r="F33" s="1214"/>
      <c r="G33" s="1214"/>
      <c r="H33" s="1214"/>
      <c r="I33" s="1214"/>
      <c r="J33" s="1214"/>
      <c r="K33" s="1214"/>
      <c r="L33" s="1214"/>
      <c r="M33" s="1214">
        <f>M24</f>
        <v>5</v>
      </c>
      <c r="N33" s="1219">
        <f>C33*D33*E33*M33</f>
        <v>1.6800000000000004</v>
      </c>
      <c r="O33" s="1215"/>
      <c r="P33" s="1099"/>
      <c r="Q33" s="1205"/>
      <c r="R33" s="1217"/>
      <c r="S33" s="1205"/>
      <c r="T33" s="1205"/>
      <c r="U33" s="1205"/>
      <c r="V33" s="1206"/>
      <c r="W33" s="1206"/>
      <c r="X33" s="1206"/>
    </row>
    <row r="34" spans="1:24" ht="15.75" customHeight="1">
      <c r="A34" s="1225"/>
      <c r="B34" s="492"/>
      <c r="C34" s="1214"/>
      <c r="D34" s="1214"/>
      <c r="E34" s="1214"/>
      <c r="F34" s="1214"/>
      <c r="G34" s="1214"/>
      <c r="H34" s="1214"/>
      <c r="I34" s="1214"/>
      <c r="J34" s="1214"/>
      <c r="K34" s="1214"/>
      <c r="L34" s="1214"/>
      <c r="M34" s="1214"/>
      <c r="N34" s="1220">
        <f>SUM(N32:N33)</f>
        <v>3.0240000000000009</v>
      </c>
      <c r="O34" s="1215" t="s">
        <v>103</v>
      </c>
      <c r="P34" s="1099">
        <f>ROUND((N34),2)</f>
        <v>3.02</v>
      </c>
      <c r="Q34" s="1205"/>
      <c r="R34" s="1217"/>
      <c r="S34" s="1205"/>
      <c r="T34" s="1205"/>
      <c r="U34" s="1205"/>
      <c r="V34" s="1206"/>
      <c r="W34" s="1206"/>
      <c r="X34" s="1206"/>
    </row>
    <row r="35" spans="1:24" s="1243" customFormat="1" ht="15.75" hidden="1" customHeight="1">
      <c r="A35" s="1234" t="s">
        <v>121</v>
      </c>
      <c r="B35" s="1235" t="s">
        <v>400</v>
      </c>
      <c r="C35" s="1236"/>
      <c r="D35" s="1236"/>
      <c r="E35" s="1236"/>
      <c r="F35" s="1236"/>
      <c r="G35" s="1236"/>
      <c r="H35" s="1236"/>
      <c r="I35" s="1236"/>
      <c r="J35" s="1236"/>
      <c r="K35" s="1236"/>
      <c r="L35" s="1236"/>
      <c r="M35" s="1236"/>
      <c r="N35" s="1237"/>
      <c r="O35" s="1238"/>
      <c r="P35" s="1239"/>
      <c r="Q35" s="1240"/>
      <c r="R35" s="1241"/>
      <c r="S35" s="1240"/>
      <c r="T35" s="1240"/>
      <c r="U35" s="1240"/>
      <c r="V35" s="1242"/>
      <c r="W35" s="1242"/>
      <c r="X35" s="1242"/>
    </row>
    <row r="36" spans="1:24" s="1243" customFormat="1" ht="15.75" hidden="1" customHeight="1">
      <c r="A36" s="1234"/>
      <c r="B36" s="1244" t="str">
        <f t="shared" ref="B36:D37" si="3">B32</f>
        <v>horisontal</v>
      </c>
      <c r="C36" s="1236">
        <f t="shared" si="3"/>
        <v>12</v>
      </c>
      <c r="D36" s="1236">
        <f t="shared" si="3"/>
        <v>0.8</v>
      </c>
      <c r="E36" s="1236">
        <v>0</v>
      </c>
      <c r="F36" s="1236"/>
      <c r="G36" s="1236"/>
      <c r="H36" s="1236"/>
      <c r="I36" s="1236"/>
      <c r="J36" s="1236"/>
      <c r="K36" s="1236"/>
      <c r="L36" s="1236"/>
      <c r="M36" s="1236">
        <f>M32</f>
        <v>2</v>
      </c>
      <c r="N36" s="1236">
        <f>C36*D36*E36*M36</f>
        <v>0</v>
      </c>
      <c r="O36" s="1238"/>
      <c r="P36" s="1239"/>
      <c r="Q36" s="1240"/>
      <c r="R36" s="1241"/>
      <c r="S36" s="1240"/>
      <c r="T36" s="1240"/>
      <c r="U36" s="1240"/>
      <c r="V36" s="1242"/>
      <c r="W36" s="1242"/>
      <c r="X36" s="1242"/>
    </row>
    <row r="37" spans="1:24" s="1243" customFormat="1" ht="15.75" hidden="1" customHeight="1">
      <c r="A37" s="1234"/>
      <c r="B37" s="1244" t="str">
        <f t="shared" si="3"/>
        <v>vertikal</v>
      </c>
      <c r="C37" s="1236">
        <f t="shared" si="3"/>
        <v>6</v>
      </c>
      <c r="D37" s="1236">
        <f t="shared" si="3"/>
        <v>0.8</v>
      </c>
      <c r="E37" s="1236">
        <f>E36</f>
        <v>0</v>
      </c>
      <c r="F37" s="1236"/>
      <c r="G37" s="1236"/>
      <c r="H37" s="1236"/>
      <c r="I37" s="1236"/>
      <c r="J37" s="1236"/>
      <c r="K37" s="1236"/>
      <c r="L37" s="1236"/>
      <c r="M37" s="1236">
        <f>M33</f>
        <v>5</v>
      </c>
      <c r="N37" s="1245">
        <f>C37*D37*E37*M37</f>
        <v>0</v>
      </c>
      <c r="O37" s="1238"/>
      <c r="P37" s="1239"/>
      <c r="Q37" s="1240"/>
      <c r="R37" s="1241"/>
      <c r="S37" s="1240"/>
      <c r="T37" s="1240"/>
      <c r="U37" s="1240"/>
      <c r="V37" s="1242"/>
      <c r="W37" s="1242"/>
      <c r="X37" s="1242"/>
    </row>
    <row r="38" spans="1:24" s="1243" customFormat="1" ht="15.75" hidden="1" customHeight="1">
      <c r="A38" s="1234"/>
      <c r="B38" s="1246"/>
      <c r="C38" s="1236"/>
      <c r="D38" s="1236"/>
      <c r="E38" s="1236"/>
      <c r="F38" s="1236"/>
      <c r="G38" s="1236"/>
      <c r="H38" s="1236"/>
      <c r="I38" s="1236"/>
      <c r="J38" s="1236"/>
      <c r="K38" s="1236"/>
      <c r="L38" s="1236"/>
      <c r="M38" s="1236"/>
      <c r="N38" s="1237">
        <f>SUM(N36:N37)</f>
        <v>0</v>
      </c>
      <c r="O38" s="1238" t="s">
        <v>103</v>
      </c>
      <c r="P38" s="1239">
        <f>ROUND((N38),2)</f>
        <v>0</v>
      </c>
      <c r="Q38" s="1240"/>
      <c r="R38" s="1241"/>
      <c r="S38" s="1240"/>
      <c r="T38" s="1240"/>
      <c r="U38" s="1240"/>
      <c r="V38" s="1242"/>
      <c r="W38" s="1242"/>
      <c r="X38" s="1242"/>
    </row>
    <row r="39" spans="1:24" ht="15.75" customHeight="1">
      <c r="A39" s="1225" t="s">
        <v>121</v>
      </c>
      <c r="B39" s="492" t="s">
        <v>407</v>
      </c>
      <c r="C39" s="1214"/>
      <c r="D39" s="1214"/>
      <c r="E39" s="1214"/>
      <c r="F39" s="1214"/>
      <c r="G39" s="1214"/>
      <c r="H39" s="1214"/>
      <c r="I39" s="1214"/>
      <c r="J39" s="1214"/>
      <c r="K39" s="1214"/>
      <c r="L39" s="1214"/>
      <c r="M39" s="1214"/>
      <c r="N39" s="1214"/>
      <c r="O39" s="1215"/>
      <c r="P39" s="1099"/>
      <c r="Q39" s="1205"/>
      <c r="R39" s="1217"/>
      <c r="S39" s="1205"/>
      <c r="T39" s="1205"/>
      <c r="U39" s="1205"/>
      <c r="V39" s="1206"/>
      <c r="W39" s="1206"/>
      <c r="X39" s="1206"/>
    </row>
    <row r="40" spans="1:24" ht="15.75" customHeight="1">
      <c r="A40" s="1225"/>
      <c r="B40" s="1227"/>
      <c r="C40" s="1214"/>
      <c r="D40" s="1226" t="s">
        <v>1007</v>
      </c>
      <c r="E40" s="1214"/>
      <c r="F40" s="1214"/>
      <c r="G40" s="1214"/>
      <c r="H40" s="1214"/>
      <c r="I40" s="1214"/>
      <c r="J40" s="1214"/>
      <c r="K40" s="1214"/>
      <c r="L40" s="1214"/>
      <c r="M40" s="1214"/>
      <c r="N40" s="1214"/>
      <c r="O40" s="1215"/>
      <c r="P40" s="1099"/>
      <c r="Q40" s="1205"/>
      <c r="R40" s="1217"/>
      <c r="S40" s="1205"/>
      <c r="T40" s="1205"/>
      <c r="U40" s="1205"/>
      <c r="V40" s="1206"/>
      <c r="W40" s="1206"/>
      <c r="X40" s="1206"/>
    </row>
    <row r="41" spans="1:24" ht="15.75" customHeight="1">
      <c r="A41" s="1225"/>
      <c r="B41" s="1227" t="str">
        <f>B32</f>
        <v>horisontal</v>
      </c>
      <c r="C41" s="1214">
        <f>C23</f>
        <v>12</v>
      </c>
      <c r="D41" s="1214">
        <f>(0.3+D24)/2</f>
        <v>0.55000000000000004</v>
      </c>
      <c r="E41" s="1214">
        <f>E23-E32</f>
        <v>0.8</v>
      </c>
      <c r="F41" s="1214"/>
      <c r="G41" s="1214"/>
      <c r="H41" s="1214"/>
      <c r="I41" s="1214"/>
      <c r="J41" s="1214"/>
      <c r="K41" s="1214"/>
      <c r="L41" s="1214"/>
      <c r="M41" s="1214">
        <f>M32</f>
        <v>2</v>
      </c>
      <c r="N41" s="1214">
        <f>C41*D41*E41*M41</f>
        <v>10.560000000000002</v>
      </c>
      <c r="O41" s="1215"/>
      <c r="P41" s="1099"/>
      <c r="Q41" s="1205"/>
      <c r="R41" s="1217"/>
      <c r="S41" s="1205"/>
      <c r="T41" s="1205"/>
      <c r="U41" s="1205"/>
      <c r="V41" s="1206"/>
      <c r="W41" s="1206"/>
      <c r="X41" s="1206"/>
    </row>
    <row r="42" spans="1:24" ht="15.75" customHeight="1">
      <c r="A42" s="1225"/>
      <c r="B42" s="1227" t="str">
        <f>B33</f>
        <v>vertikal</v>
      </c>
      <c r="C42" s="1214">
        <f>C33</f>
        <v>6</v>
      </c>
      <c r="D42" s="1214">
        <f>D41</f>
        <v>0.55000000000000004</v>
      </c>
      <c r="E42" s="1214">
        <f>E41</f>
        <v>0.8</v>
      </c>
      <c r="F42" s="1214"/>
      <c r="G42" s="1214"/>
      <c r="H42" s="1214"/>
      <c r="I42" s="1214"/>
      <c r="J42" s="1214"/>
      <c r="K42" s="1214"/>
      <c r="L42" s="1214"/>
      <c r="M42" s="1214">
        <f>M33</f>
        <v>5</v>
      </c>
      <c r="N42" s="1219">
        <f>C42*D42*E42*M42</f>
        <v>13.200000000000003</v>
      </c>
      <c r="O42" s="1215"/>
      <c r="P42" s="1099"/>
      <c r="Q42" s="1205"/>
      <c r="R42" s="1217"/>
      <c r="S42" s="1205"/>
      <c r="T42" s="1205"/>
      <c r="U42" s="1205"/>
      <c r="V42" s="1206"/>
      <c r="W42" s="1206"/>
      <c r="X42" s="1206"/>
    </row>
    <row r="43" spans="1:24" ht="15.75" customHeight="1">
      <c r="A43" s="1218"/>
      <c r="B43" s="492"/>
      <c r="C43" s="1214"/>
      <c r="D43" s="1214"/>
      <c r="E43" s="1214"/>
      <c r="F43" s="1214"/>
      <c r="G43" s="1214"/>
      <c r="H43" s="1214"/>
      <c r="I43" s="1214"/>
      <c r="J43" s="1214"/>
      <c r="K43" s="1214"/>
      <c r="L43" s="1214"/>
      <c r="M43" s="1214"/>
      <c r="N43" s="1220">
        <f>SUM(N41:N42)</f>
        <v>23.760000000000005</v>
      </c>
      <c r="O43" s="1215" t="s">
        <v>103</v>
      </c>
      <c r="P43" s="1099">
        <f>ROUND((N43),2)</f>
        <v>23.76</v>
      </c>
      <c r="Q43" s="1205"/>
      <c r="R43" s="1217"/>
      <c r="S43" s="1205"/>
      <c r="T43" s="1205"/>
      <c r="U43" s="1205"/>
      <c r="V43" s="1206"/>
      <c r="W43" s="1206"/>
      <c r="X43" s="1206"/>
    </row>
    <row r="44" spans="1:24" ht="15.75" customHeight="1">
      <c r="A44" s="1218">
        <f>A21+1</f>
        <v>4</v>
      </c>
      <c r="B44" s="495" t="s">
        <v>1641</v>
      </c>
      <c r="C44" s="1214"/>
      <c r="D44" s="1214"/>
      <c r="E44" s="1214"/>
      <c r="F44" s="1214"/>
      <c r="G44" s="1214"/>
      <c r="H44" s="1214"/>
      <c r="I44" s="1214"/>
      <c r="J44" s="1214"/>
      <c r="K44" s="1214"/>
      <c r="L44" s="1214"/>
      <c r="M44" s="1214"/>
      <c r="N44" s="1220"/>
      <c r="O44" s="1215"/>
      <c r="P44" s="1099"/>
      <c r="Q44" s="1205"/>
      <c r="R44" s="1217"/>
      <c r="S44" s="1205"/>
      <c r="T44" s="1205"/>
      <c r="U44" s="1205"/>
      <c r="V44" s="1206"/>
      <c r="W44" s="1206"/>
      <c r="X44" s="1206"/>
    </row>
    <row r="45" spans="1:24" ht="15.75" customHeight="1">
      <c r="A45" s="1218"/>
      <c r="B45" s="1227" t="s">
        <v>1111</v>
      </c>
      <c r="C45" s="1214">
        <f>C51</f>
        <v>12</v>
      </c>
      <c r="D45" s="1214"/>
      <c r="E45" s="1214"/>
      <c r="F45" s="1214"/>
      <c r="G45" s="1214"/>
      <c r="H45" s="1214"/>
      <c r="I45" s="1214"/>
      <c r="J45" s="1214"/>
      <c r="K45" s="1214"/>
      <c r="L45" s="1214"/>
      <c r="M45" s="1214">
        <f>M51</f>
        <v>2</v>
      </c>
      <c r="N45" s="1220">
        <f>C45*M45</f>
        <v>24</v>
      </c>
      <c r="O45" s="1215"/>
      <c r="P45" s="1099"/>
      <c r="Q45" s="1205"/>
      <c r="R45" s="1217"/>
      <c r="S45" s="1205"/>
      <c r="T45" s="1205"/>
      <c r="U45" s="1205"/>
      <c r="V45" s="1206"/>
      <c r="W45" s="1206"/>
      <c r="X45" s="1206"/>
    </row>
    <row r="46" spans="1:24" ht="15.75" customHeight="1">
      <c r="A46" s="1218"/>
      <c r="B46" s="492"/>
      <c r="C46" s="1214">
        <f>C52</f>
        <v>6</v>
      </c>
      <c r="D46" s="1214"/>
      <c r="E46" s="1214"/>
      <c r="F46" s="1214"/>
      <c r="G46" s="1214"/>
      <c r="H46" s="1214"/>
      <c r="I46" s="1214"/>
      <c r="J46" s="1214"/>
      <c r="K46" s="1214"/>
      <c r="L46" s="1214"/>
      <c r="M46" s="1214">
        <f>M52</f>
        <v>5</v>
      </c>
      <c r="N46" s="1220">
        <f>C46*M46</f>
        <v>30</v>
      </c>
      <c r="O46" s="1215"/>
      <c r="P46" s="1099"/>
      <c r="Q46" s="1205"/>
      <c r="R46" s="1217"/>
      <c r="S46" s="1205"/>
      <c r="T46" s="1205"/>
      <c r="U46" s="1205"/>
      <c r="V46" s="1206"/>
      <c r="W46" s="1206"/>
      <c r="X46" s="1206"/>
    </row>
    <row r="47" spans="1:24" ht="15.75" customHeight="1">
      <c r="A47" s="1218"/>
      <c r="B47" s="492"/>
      <c r="C47" s="1214"/>
      <c r="D47" s="1214"/>
      <c r="E47" s="1214"/>
      <c r="F47" s="1214"/>
      <c r="G47" s="1214"/>
      <c r="H47" s="1214"/>
      <c r="I47" s="1214"/>
      <c r="J47" s="1214"/>
      <c r="K47" s="1214"/>
      <c r="L47" s="1214"/>
      <c r="M47" s="1214"/>
      <c r="N47" s="1220">
        <f>SUM(N45:N46)</f>
        <v>54</v>
      </c>
      <c r="O47" s="1232" t="s">
        <v>117</v>
      </c>
      <c r="P47" s="1099"/>
      <c r="Q47" s="1205"/>
      <c r="R47" s="1217"/>
      <c r="S47" s="1205"/>
      <c r="T47" s="1205"/>
      <c r="U47" s="1205"/>
      <c r="V47" s="1206"/>
      <c r="W47" s="1206"/>
      <c r="X47" s="1206"/>
    </row>
    <row r="48" spans="1:24" ht="15.75" customHeight="1">
      <c r="A48" s="1218"/>
      <c r="B48" s="1227" t="s">
        <v>1132</v>
      </c>
      <c r="C48" s="1214">
        <v>0.5</v>
      </c>
      <c r="D48" s="1214"/>
      <c r="E48" s="1214"/>
      <c r="F48" s="1214">
        <f>N47/1</f>
        <v>54</v>
      </c>
      <c r="G48" s="1214"/>
      <c r="H48" s="1214"/>
      <c r="I48" s="1214"/>
      <c r="J48" s="1214"/>
      <c r="K48" s="1214"/>
      <c r="L48" s="1214">
        <f>10*10*0.006165</f>
        <v>0.61650000000000005</v>
      </c>
      <c r="M48" s="1214"/>
      <c r="N48" s="1220">
        <f>F48*L48*C48</f>
        <v>16.645500000000002</v>
      </c>
      <c r="O48" s="1215" t="s">
        <v>100</v>
      </c>
      <c r="P48" s="1099">
        <f>ROUND((N48),2)</f>
        <v>16.649999999999999</v>
      </c>
      <c r="Q48" s="1205"/>
      <c r="R48" s="1217"/>
      <c r="S48" s="1205"/>
      <c r="T48" s="1205"/>
      <c r="U48" s="1205"/>
      <c r="V48" s="1206"/>
      <c r="W48" s="1206"/>
      <c r="X48" s="1206"/>
    </row>
    <row r="49" spans="1:24" ht="15.75" customHeight="1">
      <c r="A49" s="1218">
        <f>A44+1</f>
        <v>5</v>
      </c>
      <c r="B49" s="492" t="s">
        <v>409</v>
      </c>
      <c r="C49" s="1214"/>
      <c r="D49" s="1214"/>
      <c r="E49" s="1214"/>
      <c r="F49" s="1214"/>
      <c r="G49" s="1214"/>
      <c r="H49" s="1214"/>
      <c r="I49" s="1214"/>
      <c r="J49" s="1214"/>
      <c r="K49" s="1214"/>
      <c r="L49" s="1214"/>
      <c r="M49" s="1214"/>
      <c r="N49" s="1220"/>
      <c r="O49" s="1215"/>
      <c r="P49" s="1099"/>
      <c r="Q49" s="1205"/>
      <c r="R49" s="1217"/>
      <c r="S49" s="1205"/>
      <c r="T49" s="1205"/>
      <c r="U49" s="1205"/>
      <c r="V49" s="1206"/>
      <c r="W49" s="1206"/>
      <c r="X49" s="1206"/>
    </row>
    <row r="50" spans="1:24" ht="15.75" customHeight="1">
      <c r="A50" s="1225" t="s">
        <v>95</v>
      </c>
      <c r="B50" s="492" t="s">
        <v>221</v>
      </c>
      <c r="C50" s="1214"/>
      <c r="D50" s="1214"/>
      <c r="E50" s="1214"/>
      <c r="F50" s="1214"/>
      <c r="G50" s="1214"/>
      <c r="H50" s="1214"/>
      <c r="I50" s="1214"/>
      <c r="J50" s="1214"/>
      <c r="K50" s="1214"/>
      <c r="L50" s="1214"/>
      <c r="M50" s="1214"/>
      <c r="N50" s="1214"/>
      <c r="O50" s="1215"/>
      <c r="P50" s="1099"/>
      <c r="Q50" s="1205"/>
      <c r="R50" s="1217"/>
      <c r="S50" s="1205"/>
      <c r="T50" s="1205"/>
      <c r="U50" s="1205"/>
      <c r="V50" s="1206"/>
      <c r="W50" s="1206"/>
      <c r="X50" s="1206"/>
    </row>
    <row r="51" spans="1:24" ht="15.75" customHeight="1">
      <c r="A51" s="1225"/>
      <c r="B51" s="1227" t="str">
        <f>B41</f>
        <v>horisontal</v>
      </c>
      <c r="C51" s="1214">
        <f>C41</f>
        <v>12</v>
      </c>
      <c r="D51" s="1214"/>
      <c r="E51" s="1214">
        <v>0.3</v>
      </c>
      <c r="F51" s="1214"/>
      <c r="G51" s="1214"/>
      <c r="H51" s="1214">
        <v>2</v>
      </c>
      <c r="I51" s="1214"/>
      <c r="J51" s="1214"/>
      <c r="K51" s="1214"/>
      <c r="L51" s="1214"/>
      <c r="M51" s="1214">
        <f>M41</f>
        <v>2</v>
      </c>
      <c r="N51" s="1214">
        <f>C51*E51*H51*M51</f>
        <v>14.399999999999999</v>
      </c>
      <c r="O51" s="1215"/>
      <c r="P51" s="1099"/>
      <c r="Q51" s="1205"/>
      <c r="R51" s="1217"/>
      <c r="S51" s="1205"/>
      <c r="T51" s="1205"/>
      <c r="U51" s="1205"/>
      <c r="V51" s="1206"/>
      <c r="W51" s="1206"/>
      <c r="X51" s="1206"/>
    </row>
    <row r="52" spans="1:24" ht="15.75" customHeight="1">
      <c r="A52" s="1225"/>
      <c r="B52" s="1227" t="str">
        <f>B42</f>
        <v>vertikal</v>
      </c>
      <c r="C52" s="1214">
        <f>C42</f>
        <v>6</v>
      </c>
      <c r="D52" s="1214"/>
      <c r="E52" s="1214">
        <f>E51</f>
        <v>0.3</v>
      </c>
      <c r="F52" s="1214"/>
      <c r="G52" s="1214"/>
      <c r="H52" s="1214">
        <f>H51</f>
        <v>2</v>
      </c>
      <c r="I52" s="1214"/>
      <c r="J52" s="1214"/>
      <c r="K52" s="1214"/>
      <c r="L52" s="1214"/>
      <c r="M52" s="1214">
        <f>M42</f>
        <v>5</v>
      </c>
      <c r="N52" s="1219">
        <f>C52*E52*H52*M52</f>
        <v>18</v>
      </c>
      <c r="O52" s="1215"/>
      <c r="P52" s="1099"/>
      <c r="Q52" s="1205"/>
      <c r="R52" s="1217"/>
      <c r="S52" s="1205"/>
      <c r="T52" s="1205"/>
      <c r="U52" s="1205"/>
      <c r="V52" s="1206"/>
      <c r="W52" s="1206"/>
      <c r="X52" s="1206"/>
    </row>
    <row r="53" spans="1:24" ht="15.75" customHeight="1">
      <c r="A53" s="1225"/>
      <c r="B53" s="492"/>
      <c r="C53" s="1214"/>
      <c r="D53" s="1214"/>
      <c r="E53" s="1214"/>
      <c r="F53" s="1214"/>
      <c r="G53" s="1214"/>
      <c r="H53" s="1214"/>
      <c r="I53" s="1214"/>
      <c r="J53" s="1214"/>
      <c r="K53" s="1214"/>
      <c r="L53" s="1214"/>
      <c r="M53" s="1214"/>
      <c r="N53" s="1220">
        <f>SUM(N51:N52)</f>
        <v>32.4</v>
      </c>
      <c r="O53" s="1215" t="s">
        <v>89</v>
      </c>
      <c r="P53" s="1099">
        <f>ROUND((N53),2)</f>
        <v>32.4</v>
      </c>
      <c r="Q53" s="1205"/>
      <c r="R53" s="1217"/>
      <c r="S53" s="1205"/>
      <c r="T53" s="1205"/>
      <c r="U53" s="1205"/>
      <c r="V53" s="1206"/>
      <c r="W53" s="1206"/>
      <c r="X53" s="1206"/>
    </row>
    <row r="54" spans="1:24" ht="15.75" customHeight="1">
      <c r="A54" s="1225" t="s">
        <v>98</v>
      </c>
      <c r="B54" s="495" t="s">
        <v>925</v>
      </c>
      <c r="C54" s="1214"/>
      <c r="D54" s="1214"/>
      <c r="E54" s="1214"/>
      <c r="F54" s="1214"/>
      <c r="G54" s="1214"/>
      <c r="H54" s="1214"/>
      <c r="I54" s="1214"/>
      <c r="J54" s="1214"/>
      <c r="K54" s="1214"/>
      <c r="L54" s="1214"/>
      <c r="M54" s="1214"/>
      <c r="N54" s="1214"/>
      <c r="O54" s="1215"/>
      <c r="P54" s="1099"/>
      <c r="Q54" s="1205"/>
      <c r="R54" s="1217"/>
      <c r="S54" s="1205"/>
      <c r="T54" s="1205"/>
      <c r="U54" s="1205"/>
      <c r="V54" s="1206"/>
      <c r="W54" s="1206"/>
      <c r="X54" s="1206"/>
    </row>
    <row r="55" spans="1:24" ht="15.75" customHeight="1">
      <c r="A55" s="1225"/>
      <c r="B55" s="1227" t="str">
        <f>B51</f>
        <v>horisontal</v>
      </c>
      <c r="C55" s="1214">
        <f>C51</f>
        <v>12</v>
      </c>
      <c r="D55" s="1214"/>
      <c r="E55" s="1214"/>
      <c r="F55" s="1214">
        <v>5</v>
      </c>
      <c r="G55" s="1214"/>
      <c r="H55" s="1214"/>
      <c r="I55" s="1214"/>
      <c r="J55" s="1214"/>
      <c r="K55" s="1214"/>
      <c r="L55" s="1214">
        <f>10*10*0.006165</f>
        <v>0.61650000000000005</v>
      </c>
      <c r="M55" s="1214">
        <f>M51</f>
        <v>2</v>
      </c>
      <c r="N55" s="1214">
        <f>C55*F55*L55*M55</f>
        <v>73.98</v>
      </c>
      <c r="O55" s="1215"/>
      <c r="P55" s="1099"/>
      <c r="Q55" s="1205"/>
      <c r="R55" s="1217"/>
      <c r="S55" s="1205"/>
      <c r="T55" s="1205"/>
      <c r="U55" s="1205"/>
      <c r="V55" s="1206"/>
      <c r="W55" s="1206"/>
      <c r="X55" s="1206"/>
    </row>
    <row r="56" spans="1:24" ht="15.75" customHeight="1">
      <c r="A56" s="1225"/>
      <c r="B56" s="1227" t="str">
        <f>B52</f>
        <v>vertikal</v>
      </c>
      <c r="C56" s="1214">
        <f>C52</f>
        <v>6</v>
      </c>
      <c r="D56" s="1214"/>
      <c r="E56" s="1214"/>
      <c r="F56" s="1214">
        <f>F55</f>
        <v>5</v>
      </c>
      <c r="G56" s="1214"/>
      <c r="H56" s="1214"/>
      <c r="I56" s="1214"/>
      <c r="J56" s="1214"/>
      <c r="K56" s="1214"/>
      <c r="L56" s="1214">
        <f>L55</f>
        <v>0.61650000000000005</v>
      </c>
      <c r="M56" s="1214">
        <f>M52</f>
        <v>5</v>
      </c>
      <c r="N56" s="1219">
        <f>C56*F56*L56*M56</f>
        <v>92.475000000000009</v>
      </c>
      <c r="O56" s="1215"/>
      <c r="P56" s="1099"/>
      <c r="Q56" s="1205"/>
      <c r="R56" s="1217"/>
      <c r="S56" s="1205"/>
      <c r="T56" s="1205"/>
      <c r="U56" s="1205"/>
      <c r="V56" s="1206"/>
      <c r="W56" s="1206"/>
      <c r="X56" s="1206"/>
    </row>
    <row r="57" spans="1:24" ht="15.75" customHeight="1">
      <c r="A57" s="1225"/>
      <c r="B57" s="492"/>
      <c r="C57" s="1214"/>
      <c r="D57" s="1214"/>
      <c r="E57" s="1214"/>
      <c r="F57" s="1214"/>
      <c r="G57" s="1214"/>
      <c r="H57" s="1214"/>
      <c r="I57" s="1214"/>
      <c r="J57" s="1214"/>
      <c r="K57" s="1214"/>
      <c r="L57" s="1214"/>
      <c r="M57" s="1214"/>
      <c r="N57" s="1220">
        <f>SUM(N55:N56)</f>
        <v>166.45500000000001</v>
      </c>
      <c r="O57" s="1215" t="s">
        <v>100</v>
      </c>
      <c r="P57" s="1099">
        <f>ROUND((N57),2)</f>
        <v>166.46</v>
      </c>
      <c r="Q57" s="1205"/>
      <c r="R57" s="1217"/>
      <c r="S57" s="1205"/>
      <c r="T57" s="1205"/>
      <c r="U57" s="1205"/>
      <c r="V57" s="1206"/>
      <c r="W57" s="1206"/>
      <c r="X57" s="1206"/>
    </row>
    <row r="58" spans="1:24" ht="15.75" customHeight="1">
      <c r="A58" s="1225" t="s">
        <v>101</v>
      </c>
      <c r="B58" s="495" t="s">
        <v>428</v>
      </c>
      <c r="C58" s="1214"/>
      <c r="D58" s="1214"/>
      <c r="E58" s="1214"/>
      <c r="F58" s="1214"/>
      <c r="G58" s="1214"/>
      <c r="H58" s="1214"/>
      <c r="I58" s="1214"/>
      <c r="J58" s="1214"/>
      <c r="K58" s="1214"/>
      <c r="L58" s="1214"/>
      <c r="M58" s="1214"/>
      <c r="N58" s="1214"/>
      <c r="O58" s="1215"/>
      <c r="P58" s="1099"/>
      <c r="Q58" s="1205"/>
      <c r="R58" s="1217"/>
      <c r="S58" s="1205"/>
      <c r="T58" s="1205"/>
      <c r="U58" s="1205"/>
      <c r="V58" s="1206"/>
      <c r="W58" s="1206"/>
      <c r="X58" s="1206"/>
    </row>
    <row r="59" spans="1:24" ht="15.75" customHeight="1">
      <c r="A59" s="1225"/>
      <c r="B59" s="1227" t="str">
        <f>B55</f>
        <v>horisontal</v>
      </c>
      <c r="C59" s="1214">
        <f>(0.17+0.22)*2</f>
        <v>0.78</v>
      </c>
      <c r="D59" s="1214"/>
      <c r="E59" s="1214"/>
      <c r="F59" s="1214">
        <f>ROUNDDOWN((C55/0.125),0.1)</f>
        <v>96</v>
      </c>
      <c r="G59" s="1214"/>
      <c r="H59" s="1214"/>
      <c r="I59" s="1214">
        <f>0.05*2</f>
        <v>0.1</v>
      </c>
      <c r="J59" s="1214"/>
      <c r="K59" s="1214"/>
      <c r="L59" s="1214">
        <f>8*8*0.006165</f>
        <v>0.39456000000000002</v>
      </c>
      <c r="M59" s="1214">
        <f>M55</f>
        <v>2</v>
      </c>
      <c r="N59" s="1214">
        <f>(C59+I59)*F59*L59*M59</f>
        <v>66.664857600000005</v>
      </c>
      <c r="O59" s="1215"/>
      <c r="P59" s="1099"/>
      <c r="Q59" s="1205"/>
      <c r="R59" s="1217"/>
      <c r="S59" s="1205"/>
      <c r="T59" s="1205"/>
      <c r="U59" s="1205"/>
      <c r="V59" s="1206"/>
      <c r="W59" s="1206"/>
      <c r="X59" s="1206"/>
    </row>
    <row r="60" spans="1:24" ht="15.75" customHeight="1">
      <c r="A60" s="1225"/>
      <c r="B60" s="1227" t="str">
        <f>B56</f>
        <v>vertikal</v>
      </c>
      <c r="C60" s="1214">
        <f>C59</f>
        <v>0.78</v>
      </c>
      <c r="D60" s="1214"/>
      <c r="E60" s="1214"/>
      <c r="F60" s="1214">
        <f>ROUNDDOWN((C56/0.125),0.1)</f>
        <v>48</v>
      </c>
      <c r="G60" s="1214"/>
      <c r="H60" s="1214"/>
      <c r="I60" s="1214">
        <f>I59</f>
        <v>0.1</v>
      </c>
      <c r="J60" s="1214"/>
      <c r="K60" s="1214"/>
      <c r="L60" s="1214">
        <f>L59</f>
        <v>0.39456000000000002</v>
      </c>
      <c r="M60" s="1214">
        <f>M56</f>
        <v>5</v>
      </c>
      <c r="N60" s="1219">
        <f>(C60+I60)*F60*L60*M60</f>
        <v>83.331072000000006</v>
      </c>
      <c r="O60" s="1215"/>
      <c r="P60" s="1099"/>
      <c r="Q60" s="1205"/>
      <c r="R60" s="1217"/>
      <c r="S60" s="1205"/>
      <c r="T60" s="1205"/>
      <c r="U60" s="1205"/>
      <c r="V60" s="1206"/>
      <c r="W60" s="1206"/>
      <c r="X60" s="1206"/>
    </row>
    <row r="61" spans="1:24" ht="15.75" customHeight="1">
      <c r="A61" s="1225"/>
      <c r="B61" s="492"/>
      <c r="C61" s="1214"/>
      <c r="D61" s="1214"/>
      <c r="E61" s="1214"/>
      <c r="F61" s="1214"/>
      <c r="G61" s="1214"/>
      <c r="H61" s="1214"/>
      <c r="I61" s="1214"/>
      <c r="J61" s="1214"/>
      <c r="K61" s="1214"/>
      <c r="L61" s="1214"/>
      <c r="M61" s="1214"/>
      <c r="N61" s="1220">
        <f>SUM(N59:N60)</f>
        <v>149.99592960000001</v>
      </c>
      <c r="O61" s="1215" t="s">
        <v>100</v>
      </c>
      <c r="P61" s="1099">
        <f>ROUND((N61),2)</f>
        <v>150</v>
      </c>
      <c r="Q61" s="1205"/>
      <c r="R61" s="1217"/>
      <c r="S61" s="1205"/>
      <c r="T61" s="1205"/>
      <c r="U61" s="1205"/>
      <c r="V61" s="1206"/>
      <c r="W61" s="1206"/>
      <c r="X61" s="1206"/>
    </row>
    <row r="62" spans="1:24" ht="15.75" customHeight="1">
      <c r="A62" s="1225" t="s">
        <v>121</v>
      </c>
      <c r="B62" s="1224" t="s">
        <v>646</v>
      </c>
      <c r="C62" s="1214"/>
      <c r="D62" s="1214"/>
      <c r="E62" s="1214"/>
      <c r="F62" s="1214"/>
      <c r="G62" s="1214"/>
      <c r="H62" s="1214"/>
      <c r="I62" s="1214"/>
      <c r="J62" s="1214"/>
      <c r="K62" s="1214"/>
      <c r="L62" s="1214"/>
      <c r="M62" s="1214"/>
      <c r="N62" s="1214"/>
      <c r="O62" s="1215"/>
      <c r="P62" s="1099"/>
      <c r="Q62" s="1205"/>
      <c r="R62" s="1217"/>
      <c r="S62" s="1205"/>
      <c r="T62" s="1205"/>
      <c r="U62" s="1205"/>
      <c r="V62" s="1206"/>
      <c r="W62" s="1206"/>
      <c r="X62" s="1206"/>
    </row>
    <row r="63" spans="1:24" ht="15.75" customHeight="1">
      <c r="A63" s="1225"/>
      <c r="B63" s="1227" t="str">
        <f>B59</f>
        <v>horisontal</v>
      </c>
      <c r="C63" s="1214">
        <f>C55</f>
        <v>12</v>
      </c>
      <c r="D63" s="1214">
        <v>0.25</v>
      </c>
      <c r="E63" s="1214">
        <v>0.3</v>
      </c>
      <c r="F63" s="1214"/>
      <c r="G63" s="1214"/>
      <c r="H63" s="1214"/>
      <c r="I63" s="1214"/>
      <c r="J63" s="1214"/>
      <c r="K63" s="1214"/>
      <c r="L63" s="1214"/>
      <c r="M63" s="1214">
        <f>M59</f>
        <v>2</v>
      </c>
      <c r="N63" s="1214">
        <f>C63*D63*E63*M63</f>
        <v>1.7999999999999998</v>
      </c>
      <c r="O63" s="1215"/>
      <c r="P63" s="1099"/>
      <c r="Q63" s="1205"/>
      <c r="R63" s="1217"/>
      <c r="S63" s="1205"/>
      <c r="T63" s="1205"/>
      <c r="U63" s="1205"/>
      <c r="V63" s="1206"/>
      <c r="W63" s="1206"/>
      <c r="X63" s="1206"/>
    </row>
    <row r="64" spans="1:24" ht="15.75" customHeight="1">
      <c r="A64" s="1225"/>
      <c r="B64" s="1227" t="str">
        <f>B60</f>
        <v>vertikal</v>
      </c>
      <c r="C64" s="1214">
        <f>C56</f>
        <v>6</v>
      </c>
      <c r="D64" s="1214">
        <f>D63</f>
        <v>0.25</v>
      </c>
      <c r="E64" s="1214">
        <f>E63</f>
        <v>0.3</v>
      </c>
      <c r="F64" s="1214"/>
      <c r="G64" s="1214"/>
      <c r="H64" s="1214"/>
      <c r="I64" s="1214"/>
      <c r="J64" s="1214"/>
      <c r="K64" s="1214"/>
      <c r="L64" s="1214"/>
      <c r="M64" s="1214">
        <f>M60</f>
        <v>5</v>
      </c>
      <c r="N64" s="1219">
        <f>C64*D64*E64*M64</f>
        <v>2.25</v>
      </c>
      <c r="O64" s="1215"/>
      <c r="P64" s="1099"/>
      <c r="Q64" s="1205"/>
      <c r="R64" s="1217"/>
      <c r="S64" s="1205"/>
      <c r="T64" s="1205"/>
      <c r="U64" s="1205"/>
      <c r="V64" s="1206"/>
      <c r="W64" s="1206"/>
      <c r="X64" s="1206"/>
    </row>
    <row r="65" spans="1:24" ht="15.75" customHeight="1">
      <c r="A65" s="1225"/>
      <c r="B65" s="492"/>
      <c r="C65" s="1214"/>
      <c r="D65" s="1214"/>
      <c r="E65" s="1214"/>
      <c r="F65" s="1214"/>
      <c r="G65" s="1214"/>
      <c r="H65" s="1214"/>
      <c r="I65" s="1214"/>
      <c r="J65" s="1214"/>
      <c r="K65" s="1214"/>
      <c r="L65" s="1214"/>
      <c r="M65" s="1214"/>
      <c r="N65" s="1220">
        <f>SUM(N63:N64)</f>
        <v>4.05</v>
      </c>
      <c r="O65" s="1215" t="s">
        <v>103</v>
      </c>
      <c r="P65" s="1099">
        <f>ROUND((N65),2)</f>
        <v>4.05</v>
      </c>
      <c r="Q65" s="1205"/>
      <c r="R65" s="1217"/>
      <c r="S65" s="1205"/>
      <c r="T65" s="1205"/>
      <c r="U65" s="1205"/>
      <c r="V65" s="1206"/>
      <c r="W65" s="1206"/>
      <c r="X65" s="1206"/>
    </row>
    <row r="66" spans="1:24" s="986" customFormat="1" ht="15.75" customHeight="1">
      <c r="A66" s="1003">
        <f>A49+1</f>
        <v>6</v>
      </c>
      <c r="B66" s="993" t="s">
        <v>831</v>
      </c>
      <c r="C66" s="994"/>
      <c r="D66" s="994"/>
      <c r="E66" s="994"/>
      <c r="F66" s="994"/>
      <c r="G66" s="994"/>
      <c r="H66" s="994"/>
      <c r="I66" s="994"/>
      <c r="J66" s="994"/>
      <c r="K66" s="994"/>
      <c r="L66" s="994"/>
      <c r="M66" s="994"/>
      <c r="N66" s="994"/>
      <c r="O66" s="1215"/>
      <c r="P66" s="1099"/>
    </row>
    <row r="67" spans="1:24" s="986" customFormat="1" ht="15.75" customHeight="1">
      <c r="A67" s="1009" t="s">
        <v>95</v>
      </c>
      <c r="B67" s="1013" t="s">
        <v>694</v>
      </c>
      <c r="C67" s="994">
        <v>5.35</v>
      </c>
      <c r="D67" s="994">
        <v>0.15</v>
      </c>
      <c r="E67" s="994">
        <v>0.2</v>
      </c>
      <c r="F67" s="994"/>
      <c r="G67" s="994"/>
      <c r="H67" s="994"/>
      <c r="I67" s="994"/>
      <c r="J67" s="994"/>
      <c r="K67" s="994"/>
      <c r="L67" s="994"/>
      <c r="M67" s="994"/>
      <c r="N67" s="994">
        <f>C67*D67*E67</f>
        <v>0.16049999999999998</v>
      </c>
      <c r="O67" s="1215" t="s">
        <v>103</v>
      </c>
      <c r="P67" s="1099">
        <f>ROUND((N67),2)</f>
        <v>0.16</v>
      </c>
    </row>
    <row r="68" spans="1:24" s="986" customFormat="1" ht="15.75" customHeight="1">
      <c r="A68" s="1019" t="s">
        <v>98</v>
      </c>
      <c r="B68" s="993" t="s">
        <v>1410</v>
      </c>
      <c r="C68" s="994">
        <f>C67</f>
        <v>5.35</v>
      </c>
      <c r="D68" s="994"/>
      <c r="E68" s="994">
        <f>E67</f>
        <v>0.2</v>
      </c>
      <c r="F68" s="994"/>
      <c r="G68" s="994"/>
      <c r="H68" s="994">
        <v>2</v>
      </c>
      <c r="I68" s="994"/>
      <c r="J68" s="994"/>
      <c r="K68" s="994"/>
      <c r="L68" s="994"/>
      <c r="M68" s="994"/>
      <c r="N68" s="994">
        <f>C68*E68*H68</f>
        <v>2.14</v>
      </c>
      <c r="O68" s="1215" t="s">
        <v>89</v>
      </c>
      <c r="P68" s="1099">
        <f>ROUND((N68),2)</f>
        <v>2.14</v>
      </c>
    </row>
    <row r="69" spans="1:24" s="986" customFormat="1" ht="15.75" customHeight="1">
      <c r="A69" s="1019" t="s">
        <v>101</v>
      </c>
      <c r="B69" s="993" t="s">
        <v>432</v>
      </c>
      <c r="C69" s="994">
        <f>C68</f>
        <v>5.35</v>
      </c>
      <c r="D69" s="994"/>
      <c r="E69" s="994"/>
      <c r="F69" s="994">
        <v>4</v>
      </c>
      <c r="G69" s="994"/>
      <c r="H69" s="994"/>
      <c r="I69" s="994"/>
      <c r="J69" s="994"/>
      <c r="K69" s="994"/>
      <c r="L69" s="994">
        <f>10*10*0.006165</f>
        <v>0.61650000000000005</v>
      </c>
      <c r="M69" s="994"/>
      <c r="N69" s="994">
        <f>C69*L69*F69</f>
        <v>13.193099999999999</v>
      </c>
      <c r="O69" s="1215" t="s">
        <v>100</v>
      </c>
      <c r="P69" s="1099">
        <f>ROUND((N69),2)</f>
        <v>13.19</v>
      </c>
    </row>
    <row r="70" spans="1:24" s="986" customFormat="1" ht="15.75" customHeight="1">
      <c r="A70" s="1019" t="s">
        <v>121</v>
      </c>
      <c r="B70" s="993" t="s">
        <v>411</v>
      </c>
      <c r="C70" s="994">
        <f>(0.1+0.15)*2</f>
        <v>0.5</v>
      </c>
      <c r="D70" s="994"/>
      <c r="E70" s="994"/>
      <c r="F70" s="994">
        <f>ROUNDUP((C69/0.125),0.5)</f>
        <v>43</v>
      </c>
      <c r="G70" s="994"/>
      <c r="H70" s="994"/>
      <c r="I70" s="994">
        <v>0.1</v>
      </c>
      <c r="J70" s="994"/>
      <c r="K70" s="994"/>
      <c r="L70" s="994">
        <f>8*8*0.006165</f>
        <v>0.39456000000000002</v>
      </c>
      <c r="M70" s="994"/>
      <c r="N70" s="994">
        <f>(C70+I70)*L70*F70</f>
        <v>10.179648</v>
      </c>
      <c r="O70" s="1215" t="s">
        <v>100</v>
      </c>
      <c r="P70" s="1099">
        <f>ROUND((N70),2)</f>
        <v>10.18</v>
      </c>
    </row>
    <row r="71" spans="1:24" s="986" customFormat="1" ht="15.75" customHeight="1">
      <c r="A71" s="1019" t="s">
        <v>142</v>
      </c>
      <c r="B71" s="1004" t="s">
        <v>420</v>
      </c>
      <c r="C71" s="994">
        <f>C67</f>
        <v>5.35</v>
      </c>
      <c r="D71" s="994">
        <f>D67</f>
        <v>0.15</v>
      </c>
      <c r="E71" s="994">
        <f>E67</f>
        <v>0.2</v>
      </c>
      <c r="F71" s="994"/>
      <c r="G71" s="994"/>
      <c r="H71" s="994"/>
      <c r="I71" s="994"/>
      <c r="J71" s="994"/>
      <c r="K71" s="994"/>
      <c r="L71" s="994"/>
      <c r="M71" s="994"/>
      <c r="N71" s="994">
        <f>C71*D71*E71</f>
        <v>0.16049999999999998</v>
      </c>
      <c r="O71" s="1215" t="s">
        <v>103</v>
      </c>
      <c r="P71" s="1099">
        <f>ROUND((N71),2)</f>
        <v>0.16</v>
      </c>
    </row>
    <row r="72" spans="1:24" ht="15.75" customHeight="1">
      <c r="A72" s="1218">
        <f>A66+1</f>
        <v>7</v>
      </c>
      <c r="B72" s="492" t="s">
        <v>483</v>
      </c>
      <c r="C72" s="1214"/>
      <c r="D72" s="1214"/>
      <c r="E72" s="1214"/>
      <c r="F72" s="1214"/>
      <c r="G72" s="1214"/>
      <c r="H72" s="1214"/>
      <c r="I72" s="1214"/>
      <c r="J72" s="1214"/>
      <c r="K72" s="1214"/>
      <c r="L72" s="1214"/>
      <c r="M72" s="1214"/>
      <c r="N72" s="1214"/>
      <c r="O72" s="1215"/>
      <c r="P72" s="1099"/>
      <c r="Q72" s="1205"/>
      <c r="R72" s="1217"/>
      <c r="S72" s="1205"/>
      <c r="T72" s="1205"/>
      <c r="U72" s="1205"/>
      <c r="V72" s="1206"/>
      <c r="W72" s="1206"/>
      <c r="X72" s="1206"/>
    </row>
    <row r="73" spans="1:24" ht="15.75" customHeight="1">
      <c r="A73" s="1225" t="s">
        <v>95</v>
      </c>
      <c r="B73" s="359" t="s">
        <v>413</v>
      </c>
      <c r="C73" s="1214">
        <f>C63</f>
        <v>12</v>
      </c>
      <c r="D73" s="1214">
        <f>C64</f>
        <v>6</v>
      </c>
      <c r="E73" s="1214">
        <f>0.3-E75-E76-E78</f>
        <v>5.0000000000000017E-2</v>
      </c>
      <c r="F73" s="1214"/>
      <c r="G73" s="1214"/>
      <c r="H73" s="1214"/>
      <c r="I73" s="1214"/>
      <c r="J73" s="1214"/>
      <c r="K73" s="1214"/>
      <c r="L73" s="1214"/>
      <c r="M73" s="1214"/>
      <c r="N73" s="1214">
        <f>C73*D73*E73</f>
        <v>3.6000000000000014</v>
      </c>
      <c r="O73" s="1215" t="s">
        <v>103</v>
      </c>
      <c r="P73" s="1099">
        <f t="shared" ref="P73:P78" si="4">ROUND((N73),2)</f>
        <v>3.6</v>
      </c>
      <c r="Q73" s="1205"/>
      <c r="R73" s="1217"/>
      <c r="S73" s="1205"/>
      <c r="T73" s="1205"/>
      <c r="U73" s="1205"/>
      <c r="V73" s="1206"/>
      <c r="W73" s="1206"/>
      <c r="X73" s="1206"/>
    </row>
    <row r="74" spans="1:24" ht="15.75" customHeight="1">
      <c r="A74" s="1225" t="s">
        <v>98</v>
      </c>
      <c r="B74" s="351" t="s">
        <v>414</v>
      </c>
      <c r="C74" s="1214"/>
      <c r="D74" s="1214"/>
      <c r="E74" s="1214"/>
      <c r="F74" s="1214"/>
      <c r="G74" s="1214"/>
      <c r="H74" s="1214"/>
      <c r="I74" s="1214"/>
      <c r="J74" s="1214"/>
      <c r="K74" s="1214"/>
      <c r="L74" s="1214"/>
      <c r="M74" s="1214"/>
      <c r="N74" s="1214">
        <f>N73</f>
        <v>3.6000000000000014</v>
      </c>
      <c r="O74" s="1215" t="s">
        <v>103</v>
      </c>
      <c r="P74" s="1099">
        <f t="shared" si="4"/>
        <v>3.6</v>
      </c>
      <c r="Q74" s="1205"/>
      <c r="R74" s="1217"/>
      <c r="S74" s="1205"/>
      <c r="T74" s="1205"/>
      <c r="U74" s="1205"/>
      <c r="V74" s="1206"/>
      <c r="W74" s="1206"/>
      <c r="X74" s="1206"/>
    </row>
    <row r="75" spans="1:24" ht="15.75" customHeight="1">
      <c r="A75" s="1225" t="s">
        <v>101</v>
      </c>
      <c r="B75" s="351" t="s">
        <v>415</v>
      </c>
      <c r="C75" s="1214">
        <f>C73</f>
        <v>12</v>
      </c>
      <c r="D75" s="1214">
        <f>D73</f>
        <v>6</v>
      </c>
      <c r="E75" s="1214">
        <v>0.05</v>
      </c>
      <c r="F75" s="1214"/>
      <c r="G75" s="1214"/>
      <c r="H75" s="1214"/>
      <c r="I75" s="1214"/>
      <c r="J75" s="1214"/>
      <c r="K75" s="1214"/>
      <c r="L75" s="1214"/>
      <c r="M75" s="1214"/>
      <c r="N75" s="1214">
        <f>C75*D75*E75</f>
        <v>3.6</v>
      </c>
      <c r="O75" s="1215" t="s">
        <v>103</v>
      </c>
      <c r="P75" s="1099">
        <f t="shared" si="4"/>
        <v>3.6</v>
      </c>
      <c r="Q75" s="1205"/>
      <c r="R75" s="1217"/>
      <c r="S75" s="1205"/>
      <c r="T75" s="1205"/>
      <c r="U75" s="1205"/>
      <c r="V75" s="1206"/>
      <c r="W75" s="1206"/>
      <c r="X75" s="1206"/>
    </row>
    <row r="76" spans="1:24" ht="15.75" customHeight="1">
      <c r="A76" s="1225" t="s">
        <v>121</v>
      </c>
      <c r="B76" s="351" t="s">
        <v>496</v>
      </c>
      <c r="C76" s="1214">
        <f t="shared" ref="C76:D78" si="5">C75</f>
        <v>12</v>
      </c>
      <c r="D76" s="1214">
        <f t="shared" si="5"/>
        <v>6</v>
      </c>
      <c r="E76" s="1214">
        <v>0.05</v>
      </c>
      <c r="F76" s="1214"/>
      <c r="G76" s="1214"/>
      <c r="H76" s="1214"/>
      <c r="I76" s="1214"/>
      <c r="J76" s="1214"/>
      <c r="K76" s="1214"/>
      <c r="L76" s="1214"/>
      <c r="M76" s="1214"/>
      <c r="N76" s="1214">
        <f>C76*D76*E76</f>
        <v>3.6</v>
      </c>
      <c r="O76" s="1215" t="s">
        <v>103</v>
      </c>
      <c r="P76" s="1099">
        <f t="shared" si="4"/>
        <v>3.6</v>
      </c>
      <c r="Q76" s="1205"/>
      <c r="R76" s="1217"/>
      <c r="S76" s="1205"/>
      <c r="T76" s="1205"/>
      <c r="U76" s="1205"/>
      <c r="V76" s="1206"/>
      <c r="W76" s="1206"/>
      <c r="X76" s="1206"/>
    </row>
    <row r="77" spans="1:24" ht="15.75" customHeight="1">
      <c r="A77" s="1225" t="s">
        <v>142</v>
      </c>
      <c r="B77" s="455" t="s">
        <v>836</v>
      </c>
      <c r="C77" s="1214">
        <f t="shared" si="5"/>
        <v>12</v>
      </c>
      <c r="D77" s="1214">
        <f t="shared" si="5"/>
        <v>6</v>
      </c>
      <c r="E77" s="1214"/>
      <c r="F77" s="1214"/>
      <c r="G77" s="1214"/>
      <c r="H77" s="1214">
        <v>2</v>
      </c>
      <c r="I77" s="1214"/>
      <c r="J77" s="1214"/>
      <c r="K77" s="1214"/>
      <c r="L77" s="1214"/>
      <c r="M77" s="1214"/>
      <c r="N77" s="1214">
        <f>C77*D77*H77</f>
        <v>144</v>
      </c>
      <c r="O77" s="1215" t="s">
        <v>89</v>
      </c>
      <c r="P77" s="1099">
        <f t="shared" si="4"/>
        <v>144</v>
      </c>
      <c r="Q77" s="1205"/>
      <c r="R77" s="1217"/>
      <c r="S77" s="1205"/>
      <c r="T77" s="1205"/>
      <c r="U77" s="1205"/>
      <c r="V77" s="1206"/>
      <c r="W77" s="1206"/>
      <c r="X77" s="1206"/>
    </row>
    <row r="78" spans="1:24" ht="15.75" customHeight="1">
      <c r="A78" s="1225" t="s">
        <v>217</v>
      </c>
      <c r="B78" s="456" t="s">
        <v>429</v>
      </c>
      <c r="C78" s="1214">
        <f t="shared" si="5"/>
        <v>12</v>
      </c>
      <c r="D78" s="1214">
        <f t="shared" si="5"/>
        <v>6</v>
      </c>
      <c r="E78" s="1214">
        <v>0.15</v>
      </c>
      <c r="F78" s="1214"/>
      <c r="G78" s="1214"/>
      <c r="H78" s="1214"/>
      <c r="I78" s="1214"/>
      <c r="J78" s="1214"/>
      <c r="K78" s="1214"/>
      <c r="L78" s="1214"/>
      <c r="M78" s="1214"/>
      <c r="N78" s="1214">
        <f>C78*D78*E78</f>
        <v>10.799999999999999</v>
      </c>
      <c r="O78" s="1215" t="s">
        <v>103</v>
      </c>
      <c r="P78" s="1099">
        <f t="shared" si="4"/>
        <v>10.8</v>
      </c>
      <c r="Q78" s="1205"/>
      <c r="R78" s="1217"/>
      <c r="S78" s="1205"/>
      <c r="T78" s="1205"/>
      <c r="U78" s="1205"/>
      <c r="V78" s="1206"/>
      <c r="W78" s="1206"/>
      <c r="X78" s="1206"/>
    </row>
    <row r="79" spans="1:24" ht="15.75" customHeight="1">
      <c r="A79" s="350">
        <f>A72+1</f>
        <v>8</v>
      </c>
      <c r="B79" s="351" t="s">
        <v>647</v>
      </c>
      <c r="C79" s="1214"/>
      <c r="D79" s="1214"/>
      <c r="E79" s="1214"/>
      <c r="F79" s="1214"/>
      <c r="G79" s="1214"/>
      <c r="H79" s="1214"/>
      <c r="I79" s="1214"/>
      <c r="J79" s="1214"/>
      <c r="K79" s="1214"/>
      <c r="L79" s="1214"/>
      <c r="M79" s="1214"/>
      <c r="N79" s="1214"/>
      <c r="O79" s="1215"/>
      <c r="P79" s="1099"/>
      <c r="Q79" s="1205"/>
      <c r="R79" s="1217"/>
      <c r="S79" s="1205"/>
      <c r="T79" s="1205"/>
      <c r="U79" s="1205"/>
      <c r="V79" s="1206"/>
      <c r="W79" s="1206"/>
      <c r="X79" s="1206"/>
    </row>
    <row r="80" spans="1:24" ht="15.75" customHeight="1">
      <c r="A80" s="355" t="s">
        <v>95</v>
      </c>
      <c r="B80" s="351" t="s">
        <v>438</v>
      </c>
      <c r="C80" s="1214"/>
      <c r="D80" s="1214"/>
      <c r="E80" s="1214"/>
      <c r="F80" s="1214"/>
      <c r="G80" s="1214"/>
      <c r="H80" s="1214"/>
      <c r="I80" s="1214"/>
      <c r="J80" s="1214"/>
      <c r="K80" s="1214"/>
      <c r="L80" s="1214"/>
      <c r="M80" s="1214"/>
      <c r="N80" s="1214"/>
      <c r="O80" s="1215"/>
      <c r="P80" s="1099"/>
      <c r="Q80" s="1205"/>
      <c r="R80" s="1217"/>
      <c r="S80" s="1205"/>
      <c r="T80" s="1205"/>
      <c r="U80" s="1205"/>
      <c r="V80" s="1206"/>
      <c r="W80" s="1206"/>
      <c r="X80" s="1206"/>
    </row>
    <row r="81" spans="1:24" ht="15.75" customHeight="1">
      <c r="A81" s="355"/>
      <c r="B81" s="1227" t="s">
        <v>226</v>
      </c>
      <c r="C81" s="1214">
        <f>6+(0.875*2)</f>
        <v>7.75</v>
      </c>
      <c r="D81" s="1214">
        <v>0.12</v>
      </c>
      <c r="E81" s="1214">
        <v>0.2</v>
      </c>
      <c r="F81" s="1214"/>
      <c r="G81" s="1214"/>
      <c r="H81" s="1214"/>
      <c r="I81" s="1214"/>
      <c r="J81" s="1214"/>
      <c r="K81" s="1214"/>
      <c r="L81" s="1214"/>
      <c r="M81" s="1214">
        <v>1</v>
      </c>
      <c r="N81" s="1214">
        <f>C81*D81*E81*M81</f>
        <v>0.186</v>
      </c>
      <c r="O81" s="1215"/>
      <c r="P81" s="1099"/>
      <c r="Q81" s="1205"/>
      <c r="R81" s="1217"/>
      <c r="S81" s="1205"/>
      <c r="T81" s="1205"/>
      <c r="U81" s="1205"/>
      <c r="V81" s="1206"/>
      <c r="W81" s="1206"/>
      <c r="X81" s="1206"/>
    </row>
    <row r="82" spans="1:24" ht="15.75" customHeight="1">
      <c r="A82" s="355"/>
      <c r="B82" s="1227"/>
      <c r="C82" s="1214">
        <f>1.2*2</f>
        <v>2.4</v>
      </c>
      <c r="D82" s="1214">
        <f>D81</f>
        <v>0.12</v>
      </c>
      <c r="E82" s="1214">
        <f>E81</f>
        <v>0.2</v>
      </c>
      <c r="F82" s="1214"/>
      <c r="G82" s="1214"/>
      <c r="H82" s="1214"/>
      <c r="I82" s="1214"/>
      <c r="J82" s="1214"/>
      <c r="K82" s="1214"/>
      <c r="L82" s="1214"/>
      <c r="M82" s="1214">
        <v>1</v>
      </c>
      <c r="N82" s="1214">
        <f>C82*D82*E82*M82</f>
        <v>5.7599999999999998E-2</v>
      </c>
      <c r="O82" s="1215"/>
      <c r="P82" s="1099"/>
      <c r="Q82" s="1205"/>
      <c r="R82" s="1217"/>
      <c r="S82" s="1205"/>
      <c r="T82" s="1205"/>
      <c r="U82" s="1205"/>
      <c r="V82" s="1206"/>
      <c r="W82" s="1206"/>
      <c r="X82" s="1206"/>
    </row>
    <row r="83" spans="1:24" ht="15.75" customHeight="1">
      <c r="A83" s="355"/>
      <c r="B83" s="1227" t="s">
        <v>227</v>
      </c>
      <c r="C83" s="1214">
        <f>(0.875*2)+2.5+1.5+4+4</f>
        <v>13.75</v>
      </c>
      <c r="D83" s="1214">
        <f>D82</f>
        <v>0.12</v>
      </c>
      <c r="E83" s="1214">
        <f>E82</f>
        <v>0.2</v>
      </c>
      <c r="F83" s="1214"/>
      <c r="G83" s="1214"/>
      <c r="H83" s="1214"/>
      <c r="I83" s="1214"/>
      <c r="J83" s="1214"/>
      <c r="K83" s="1214"/>
      <c r="L83" s="1214"/>
      <c r="M83" s="1214">
        <v>2</v>
      </c>
      <c r="N83" s="1219">
        <f>C83*D83*E83*M83</f>
        <v>0.66</v>
      </c>
      <c r="O83" s="1215"/>
      <c r="P83" s="1099"/>
      <c r="Q83" s="1205"/>
      <c r="R83" s="1217"/>
      <c r="S83" s="1205"/>
      <c r="T83" s="1205"/>
      <c r="U83" s="1205"/>
      <c r="V83" s="1206"/>
      <c r="W83" s="1206"/>
      <c r="X83" s="1206"/>
    </row>
    <row r="84" spans="1:24" ht="15.75" customHeight="1">
      <c r="A84" s="355"/>
      <c r="B84" s="351"/>
      <c r="C84" s="1214"/>
      <c r="D84" s="1214"/>
      <c r="E84" s="1214"/>
      <c r="F84" s="1214"/>
      <c r="G84" s="1214"/>
      <c r="H84" s="1214"/>
      <c r="I84" s="1214"/>
      <c r="J84" s="1214"/>
      <c r="K84" s="1214"/>
      <c r="L84" s="1214"/>
      <c r="M84" s="1214"/>
      <c r="N84" s="1247">
        <f>SUM(N81:N83)</f>
        <v>0.90359999999999996</v>
      </c>
      <c r="O84" s="1248" t="s">
        <v>103</v>
      </c>
      <c r="P84" s="1099">
        <f>ROUND((N84),2)</f>
        <v>0.9</v>
      </c>
      <c r="Q84" s="1205"/>
      <c r="R84" s="1217"/>
      <c r="S84" s="1205"/>
      <c r="T84" s="1205"/>
      <c r="U84" s="1205"/>
      <c r="V84" s="1206"/>
      <c r="W84" s="1206"/>
      <c r="X84" s="1206"/>
    </row>
    <row r="85" spans="1:24" ht="15.75" customHeight="1">
      <c r="A85" s="355" t="s">
        <v>98</v>
      </c>
      <c r="B85" s="351" t="s">
        <v>439</v>
      </c>
      <c r="C85" s="1214"/>
      <c r="D85" s="1214"/>
      <c r="E85" s="1214"/>
      <c r="F85" s="1214"/>
      <c r="G85" s="1214"/>
      <c r="H85" s="1214"/>
      <c r="I85" s="1214"/>
      <c r="J85" s="1214"/>
      <c r="K85" s="1214"/>
      <c r="L85" s="1214"/>
      <c r="M85" s="1214"/>
      <c r="N85" s="1214"/>
      <c r="O85" s="1215"/>
      <c r="P85" s="1099"/>
      <c r="Q85" s="1205"/>
      <c r="R85" s="1217"/>
      <c r="S85" s="1205"/>
      <c r="T85" s="1205"/>
      <c r="U85" s="1205"/>
      <c r="V85" s="1206"/>
      <c r="W85" s="1206"/>
      <c r="X85" s="1206"/>
    </row>
    <row r="86" spans="1:24" ht="15.75" customHeight="1">
      <c r="A86" s="355"/>
      <c r="B86" s="589" t="str">
        <f>B81</f>
        <v>horisontal</v>
      </c>
      <c r="C86" s="1214">
        <f>C81</f>
        <v>7.75</v>
      </c>
      <c r="D86" s="1214"/>
      <c r="E86" s="1214">
        <f>E81+0.15</f>
        <v>0.35</v>
      </c>
      <c r="F86" s="1214"/>
      <c r="G86" s="1214"/>
      <c r="H86" s="1214"/>
      <c r="I86" s="1214"/>
      <c r="J86" s="1214"/>
      <c r="K86" s="1214"/>
      <c r="L86" s="1214"/>
      <c r="M86" s="1214">
        <f>M81</f>
        <v>1</v>
      </c>
      <c r="N86" s="1214">
        <f>C86*E86*M86</f>
        <v>2.7124999999999999</v>
      </c>
      <c r="O86" s="1215"/>
      <c r="P86" s="1099"/>
      <c r="Q86" s="1205"/>
      <c r="R86" s="1217"/>
      <c r="S86" s="1205"/>
      <c r="T86" s="1205"/>
      <c r="U86" s="1205"/>
      <c r="V86" s="1206"/>
      <c r="W86" s="1206"/>
      <c r="X86" s="1206"/>
    </row>
    <row r="87" spans="1:24" ht="15.75" customHeight="1">
      <c r="A87" s="355"/>
      <c r="B87" s="589"/>
      <c r="C87" s="1214">
        <f>C82</f>
        <v>2.4</v>
      </c>
      <c r="D87" s="1214"/>
      <c r="E87" s="1214">
        <f>E86</f>
        <v>0.35</v>
      </c>
      <c r="F87" s="1214"/>
      <c r="G87" s="1214"/>
      <c r="H87" s="1214"/>
      <c r="I87" s="1214"/>
      <c r="J87" s="1214"/>
      <c r="K87" s="1214"/>
      <c r="L87" s="1214"/>
      <c r="M87" s="1214">
        <f>M82</f>
        <v>1</v>
      </c>
      <c r="N87" s="1214">
        <f>C87*E87*M87</f>
        <v>0.84</v>
      </c>
      <c r="O87" s="1215"/>
      <c r="P87" s="1099"/>
      <c r="Q87" s="1205"/>
      <c r="R87" s="1217"/>
      <c r="S87" s="1205"/>
      <c r="T87" s="1205"/>
      <c r="U87" s="1205"/>
      <c r="V87" s="1206"/>
      <c r="W87" s="1206"/>
      <c r="X87" s="1206"/>
    </row>
    <row r="88" spans="1:24" ht="15.75" customHeight="1">
      <c r="A88" s="355"/>
      <c r="B88" s="589" t="str">
        <f>B83</f>
        <v>vertikal</v>
      </c>
      <c r="C88" s="1214">
        <f>C83</f>
        <v>13.75</v>
      </c>
      <c r="D88" s="1214"/>
      <c r="E88" s="1214">
        <f>E87</f>
        <v>0.35</v>
      </c>
      <c r="F88" s="1214"/>
      <c r="G88" s="1214"/>
      <c r="H88" s="1214"/>
      <c r="I88" s="1214"/>
      <c r="J88" s="1214"/>
      <c r="K88" s="1214"/>
      <c r="L88" s="1214"/>
      <c r="M88" s="1214">
        <f>M83</f>
        <v>2</v>
      </c>
      <c r="N88" s="1219">
        <f>C88*E88*M88</f>
        <v>9.625</v>
      </c>
      <c r="O88" s="1215"/>
      <c r="P88" s="1099"/>
      <c r="Q88" s="1205"/>
      <c r="R88" s="1217"/>
      <c r="S88" s="1205"/>
      <c r="T88" s="1205"/>
      <c r="U88" s="1205"/>
      <c r="V88" s="1206"/>
      <c r="W88" s="1206"/>
      <c r="X88" s="1206"/>
    </row>
    <row r="89" spans="1:24" ht="15.75" customHeight="1">
      <c r="A89" s="355"/>
      <c r="B89" s="351"/>
      <c r="C89" s="1214"/>
      <c r="D89" s="1214"/>
      <c r="E89" s="1214"/>
      <c r="F89" s="1214"/>
      <c r="G89" s="1214"/>
      <c r="H89" s="1214"/>
      <c r="I89" s="1214"/>
      <c r="J89" s="1214"/>
      <c r="K89" s="1214"/>
      <c r="L89" s="1214"/>
      <c r="M89" s="1214"/>
      <c r="N89" s="1247">
        <f>SUM(N86:N88)</f>
        <v>13.1775</v>
      </c>
      <c r="O89" s="1248" t="s">
        <v>89</v>
      </c>
      <c r="P89" s="1099">
        <f>ROUND((N89),2)</f>
        <v>13.18</v>
      </c>
      <c r="Q89" s="1205"/>
      <c r="R89" s="1217"/>
      <c r="S89" s="1205"/>
      <c r="T89" s="1205"/>
      <c r="U89" s="1205"/>
      <c r="V89" s="1206"/>
      <c r="W89" s="1206"/>
      <c r="X89" s="1206"/>
    </row>
    <row r="90" spans="1:24" ht="15.75" customHeight="1">
      <c r="A90" s="355" t="s">
        <v>101</v>
      </c>
      <c r="B90" s="359" t="s">
        <v>413</v>
      </c>
      <c r="C90" s="1214"/>
      <c r="D90" s="1214"/>
      <c r="E90" s="1214"/>
      <c r="F90" s="1214"/>
      <c r="G90" s="1214"/>
      <c r="H90" s="1214"/>
      <c r="I90" s="1214"/>
      <c r="J90" s="1214"/>
      <c r="K90" s="1214"/>
      <c r="L90" s="1214"/>
      <c r="M90" s="1214"/>
      <c r="N90" s="1214"/>
      <c r="O90" s="1215"/>
      <c r="P90" s="1099"/>
      <c r="Q90" s="1205"/>
      <c r="R90" s="1217"/>
      <c r="S90" s="1205"/>
      <c r="T90" s="1205"/>
      <c r="U90" s="1205"/>
      <c r="V90" s="1206"/>
      <c r="W90" s="1206"/>
      <c r="X90" s="1206"/>
    </row>
    <row r="91" spans="1:24" ht="15.75" customHeight="1">
      <c r="A91" s="355"/>
      <c r="B91" s="589" t="str">
        <f>B86</f>
        <v>horisontal</v>
      </c>
      <c r="C91" s="1214">
        <f>C81</f>
        <v>7.75</v>
      </c>
      <c r="D91" s="1214">
        <v>0.875</v>
      </c>
      <c r="E91" s="1214">
        <f>0.15-0.03-0.07</f>
        <v>4.9999999999999989E-2</v>
      </c>
      <c r="F91" s="1214"/>
      <c r="G91" s="1214"/>
      <c r="H91" s="1214"/>
      <c r="I91" s="1214"/>
      <c r="J91" s="1214"/>
      <c r="K91" s="1214"/>
      <c r="L91" s="1214"/>
      <c r="M91" s="1214">
        <f>M81</f>
        <v>1</v>
      </c>
      <c r="N91" s="1214">
        <f>C91*D91*E91*M91</f>
        <v>0.33906249999999993</v>
      </c>
      <c r="O91" s="1215"/>
      <c r="P91" s="1099"/>
      <c r="Q91" s="1205"/>
      <c r="R91" s="1217"/>
      <c r="S91" s="1205"/>
      <c r="T91" s="1205"/>
      <c r="U91" s="1205"/>
      <c r="V91" s="1206"/>
      <c r="W91" s="1206"/>
      <c r="X91" s="1206"/>
    </row>
    <row r="92" spans="1:24" ht="15.75" customHeight="1">
      <c r="A92" s="355"/>
      <c r="B92" s="351"/>
      <c r="C92" s="1214">
        <f>C82/2</f>
        <v>1.2</v>
      </c>
      <c r="D92" s="1214">
        <f>D91</f>
        <v>0.875</v>
      </c>
      <c r="E92" s="1214">
        <f>E91</f>
        <v>4.9999999999999989E-2</v>
      </c>
      <c r="F92" s="1214"/>
      <c r="G92" s="1214"/>
      <c r="H92" s="1214"/>
      <c r="I92" s="1214"/>
      <c r="J92" s="1214"/>
      <c r="K92" s="1214"/>
      <c r="L92" s="1214"/>
      <c r="M92" s="1214">
        <f>M82</f>
        <v>1</v>
      </c>
      <c r="N92" s="1214">
        <f>C92*D92*E92*M92</f>
        <v>5.2499999999999991E-2</v>
      </c>
      <c r="O92" s="1215"/>
      <c r="P92" s="1099"/>
      <c r="Q92" s="1205"/>
      <c r="R92" s="1217"/>
      <c r="S92" s="1205"/>
      <c r="T92" s="1205"/>
      <c r="U92" s="1205"/>
      <c r="V92" s="1206"/>
      <c r="W92" s="1206"/>
      <c r="X92" s="1206"/>
    </row>
    <row r="93" spans="1:24" ht="15.75" customHeight="1">
      <c r="A93" s="355"/>
      <c r="B93" s="589" t="str">
        <f>B88</f>
        <v>vertikal</v>
      </c>
      <c r="C93" s="1214">
        <f>C83-(0.875*2)</f>
        <v>12</v>
      </c>
      <c r="D93" s="1214">
        <f>D92</f>
        <v>0.875</v>
      </c>
      <c r="E93" s="1214">
        <f>E92</f>
        <v>4.9999999999999989E-2</v>
      </c>
      <c r="F93" s="1214"/>
      <c r="G93" s="1214"/>
      <c r="H93" s="1214"/>
      <c r="I93" s="1214"/>
      <c r="J93" s="1214"/>
      <c r="K93" s="1214"/>
      <c r="L93" s="1214"/>
      <c r="M93" s="1214">
        <f>M83</f>
        <v>2</v>
      </c>
      <c r="N93" s="1219">
        <f>C93*D93*E93*M93</f>
        <v>1.0499999999999998</v>
      </c>
      <c r="O93" s="1215"/>
      <c r="P93" s="1099"/>
      <c r="Q93" s="1205"/>
      <c r="R93" s="1217"/>
      <c r="S93" s="1205"/>
      <c r="T93" s="1205"/>
      <c r="U93" s="1205"/>
      <c r="V93" s="1206"/>
      <c r="W93" s="1206"/>
      <c r="X93" s="1206"/>
    </row>
    <row r="94" spans="1:24" ht="15.75" customHeight="1">
      <c r="A94" s="355"/>
      <c r="B94" s="351"/>
      <c r="C94" s="1214"/>
      <c r="D94" s="1214"/>
      <c r="E94" s="1214"/>
      <c r="F94" s="1214"/>
      <c r="G94" s="1214"/>
      <c r="H94" s="1214"/>
      <c r="I94" s="1214"/>
      <c r="J94" s="1214"/>
      <c r="K94" s="1214"/>
      <c r="L94" s="1214"/>
      <c r="M94" s="1214"/>
      <c r="N94" s="1247">
        <f>SUM(N91:N93)</f>
        <v>1.4415624999999999</v>
      </c>
      <c r="O94" s="1248" t="s">
        <v>103</v>
      </c>
      <c r="P94" s="1099">
        <f>ROUND((N94),2)</f>
        <v>1.44</v>
      </c>
      <c r="Q94" s="1205"/>
      <c r="R94" s="1217"/>
      <c r="S94" s="1205"/>
      <c r="T94" s="1205"/>
      <c r="U94" s="1205"/>
      <c r="V94" s="1206"/>
      <c r="W94" s="1206"/>
      <c r="X94" s="1206"/>
    </row>
    <row r="95" spans="1:24" ht="15.75" customHeight="1">
      <c r="A95" s="355" t="s">
        <v>121</v>
      </c>
      <c r="B95" s="351" t="s">
        <v>414</v>
      </c>
      <c r="C95" s="1214"/>
      <c r="D95" s="1214"/>
      <c r="E95" s="1214"/>
      <c r="F95" s="1214"/>
      <c r="G95" s="1214"/>
      <c r="H95" s="1214"/>
      <c r="I95" s="1214"/>
      <c r="J95" s="1214"/>
      <c r="K95" s="1214"/>
      <c r="L95" s="1214"/>
      <c r="M95" s="1214"/>
      <c r="N95" s="1214">
        <f>N94</f>
        <v>1.4415624999999999</v>
      </c>
      <c r="O95" s="1215" t="s">
        <v>103</v>
      </c>
      <c r="P95" s="1099">
        <f>ROUND((N95),2)</f>
        <v>1.44</v>
      </c>
      <c r="Q95" s="1205"/>
      <c r="R95" s="1217"/>
      <c r="S95" s="1205"/>
      <c r="T95" s="1205"/>
      <c r="U95" s="1205"/>
      <c r="V95" s="1206"/>
      <c r="W95" s="1206"/>
      <c r="X95" s="1206"/>
    </row>
    <row r="96" spans="1:24" ht="15.75" customHeight="1">
      <c r="A96" s="355" t="s">
        <v>142</v>
      </c>
      <c r="B96" s="351" t="s">
        <v>441</v>
      </c>
      <c r="C96" s="1214"/>
      <c r="D96" s="1214"/>
      <c r="E96" s="1214"/>
      <c r="F96" s="1214"/>
      <c r="G96" s="1214"/>
      <c r="H96" s="1214"/>
      <c r="I96" s="1214"/>
      <c r="J96" s="1214"/>
      <c r="K96" s="1214"/>
      <c r="L96" s="1214"/>
      <c r="M96" s="1214"/>
      <c r="N96" s="1214"/>
      <c r="O96" s="1215"/>
      <c r="P96" s="1099"/>
      <c r="Q96" s="1205"/>
      <c r="R96" s="1217"/>
      <c r="S96" s="1205"/>
      <c r="T96" s="1205"/>
      <c r="U96" s="1205"/>
      <c r="V96" s="1206"/>
      <c r="W96" s="1206"/>
      <c r="X96" s="1206"/>
    </row>
    <row r="97" spans="1:24" ht="15.75" customHeight="1">
      <c r="A97" s="355"/>
      <c r="B97" s="589" t="str">
        <f>B91</f>
        <v>horisontal</v>
      </c>
      <c r="C97" s="1214">
        <f>C91</f>
        <v>7.75</v>
      </c>
      <c r="D97" s="1214">
        <f>D91</f>
        <v>0.875</v>
      </c>
      <c r="E97" s="1214">
        <v>0.03</v>
      </c>
      <c r="F97" s="1214"/>
      <c r="G97" s="1214"/>
      <c r="H97" s="1214"/>
      <c r="I97" s="1214"/>
      <c r="J97" s="1214"/>
      <c r="K97" s="1214"/>
      <c r="L97" s="1214"/>
      <c r="M97" s="1214">
        <f>M91</f>
        <v>1</v>
      </c>
      <c r="N97" s="1214">
        <f>C97*D97*E97*M97</f>
        <v>0.20343749999999999</v>
      </c>
      <c r="O97" s="1215"/>
      <c r="P97" s="1099"/>
      <c r="Q97" s="1205"/>
      <c r="R97" s="1217"/>
      <c r="S97" s="1205"/>
      <c r="T97" s="1205"/>
      <c r="U97" s="1205"/>
      <c r="V97" s="1206"/>
      <c r="W97" s="1206"/>
      <c r="X97" s="1206"/>
    </row>
    <row r="98" spans="1:24" ht="15.75" customHeight="1">
      <c r="A98" s="355"/>
      <c r="B98" s="351"/>
      <c r="C98" s="1214">
        <f>C92</f>
        <v>1.2</v>
      </c>
      <c r="D98" s="1214">
        <f>D92</f>
        <v>0.875</v>
      </c>
      <c r="E98" s="1214">
        <f>E97</f>
        <v>0.03</v>
      </c>
      <c r="F98" s="1214"/>
      <c r="G98" s="1214"/>
      <c r="H98" s="1214"/>
      <c r="I98" s="1214"/>
      <c r="J98" s="1214"/>
      <c r="K98" s="1214"/>
      <c r="L98" s="1214"/>
      <c r="M98" s="1214">
        <f>M92</f>
        <v>1</v>
      </c>
      <c r="N98" s="1214">
        <f>C98*D98*E98*M98</f>
        <v>3.15E-2</v>
      </c>
      <c r="O98" s="1215"/>
      <c r="P98" s="1099"/>
      <c r="Q98" s="1205"/>
      <c r="R98" s="1217"/>
      <c r="S98" s="1205"/>
      <c r="T98" s="1205"/>
      <c r="U98" s="1205"/>
      <c r="V98" s="1206"/>
      <c r="W98" s="1206"/>
      <c r="X98" s="1206"/>
    </row>
    <row r="99" spans="1:24" ht="15.75" customHeight="1">
      <c r="A99" s="355"/>
      <c r="B99" s="589" t="str">
        <f>B93</f>
        <v>vertikal</v>
      </c>
      <c r="C99" s="1214">
        <f>C93</f>
        <v>12</v>
      </c>
      <c r="D99" s="1214">
        <f>D93</f>
        <v>0.875</v>
      </c>
      <c r="E99" s="1214">
        <f>E98</f>
        <v>0.03</v>
      </c>
      <c r="F99" s="1214"/>
      <c r="G99" s="1214"/>
      <c r="H99" s="1214"/>
      <c r="I99" s="1214"/>
      <c r="J99" s="1214"/>
      <c r="K99" s="1214"/>
      <c r="L99" s="1214"/>
      <c r="M99" s="1214">
        <f>M93</f>
        <v>2</v>
      </c>
      <c r="N99" s="1219">
        <f>C99*D99*E99*M99</f>
        <v>0.63</v>
      </c>
      <c r="O99" s="1215"/>
      <c r="P99" s="1099"/>
      <c r="Q99" s="1205"/>
      <c r="R99" s="1217"/>
      <c r="S99" s="1205"/>
      <c r="T99" s="1205"/>
      <c r="U99" s="1205"/>
      <c r="V99" s="1206"/>
      <c r="W99" s="1206"/>
      <c r="X99" s="1206"/>
    </row>
    <row r="100" spans="1:24" ht="15.75" customHeight="1">
      <c r="A100" s="355"/>
      <c r="B100" s="351"/>
      <c r="C100" s="1214"/>
      <c r="D100" s="1214"/>
      <c r="E100" s="1214"/>
      <c r="F100" s="1214"/>
      <c r="G100" s="1214"/>
      <c r="H100" s="1214"/>
      <c r="I100" s="1214"/>
      <c r="J100" s="1214"/>
      <c r="K100" s="1214"/>
      <c r="L100" s="1214"/>
      <c r="M100" s="1214"/>
      <c r="N100" s="1247">
        <f>SUM(N97:N99)</f>
        <v>0.86493750000000003</v>
      </c>
      <c r="O100" s="1248" t="s">
        <v>103</v>
      </c>
      <c r="P100" s="1099">
        <f>ROUND((N100),2)</f>
        <v>0.86</v>
      </c>
      <c r="Q100" s="1205"/>
      <c r="R100" s="1217"/>
      <c r="S100" s="1205"/>
      <c r="T100" s="1205"/>
      <c r="U100" s="1205"/>
      <c r="V100" s="1206"/>
      <c r="W100" s="1206"/>
      <c r="X100" s="1206"/>
    </row>
    <row r="101" spans="1:24" ht="15.75" customHeight="1">
      <c r="A101" s="355" t="s">
        <v>217</v>
      </c>
      <c r="B101" s="351" t="s">
        <v>648</v>
      </c>
      <c r="C101" s="1214"/>
      <c r="D101" s="1214"/>
      <c r="E101" s="1214"/>
      <c r="F101" s="1214"/>
      <c r="G101" s="1214"/>
      <c r="H101" s="1214"/>
      <c r="I101" s="1214"/>
      <c r="J101" s="1214"/>
      <c r="K101" s="1214"/>
      <c r="L101" s="1214"/>
      <c r="M101" s="1214"/>
      <c r="N101" s="1214"/>
      <c r="O101" s="1215"/>
      <c r="P101" s="1099"/>
      <c r="Q101" s="1205"/>
      <c r="R101" s="1217"/>
      <c r="S101" s="1205"/>
      <c r="T101" s="1205"/>
      <c r="U101" s="1205"/>
      <c r="V101" s="1206"/>
      <c r="W101" s="1206"/>
      <c r="X101" s="1206"/>
    </row>
    <row r="102" spans="1:24" ht="15.75" customHeight="1">
      <c r="A102" s="355"/>
      <c r="B102" s="589" t="str">
        <f>B97</f>
        <v>horisontal</v>
      </c>
      <c r="C102" s="1214">
        <f>C97</f>
        <v>7.75</v>
      </c>
      <c r="D102" s="1214">
        <f>D97</f>
        <v>0.875</v>
      </c>
      <c r="E102" s="1214">
        <v>7.0000000000000007E-2</v>
      </c>
      <c r="F102" s="1214"/>
      <c r="G102" s="1214"/>
      <c r="H102" s="1214"/>
      <c r="I102" s="1214"/>
      <c r="J102" s="1214"/>
      <c r="K102" s="1214"/>
      <c r="L102" s="1214"/>
      <c r="M102" s="1214">
        <f>M97</f>
        <v>1</v>
      </c>
      <c r="N102" s="1214">
        <f>C102*D102*E102*M102</f>
        <v>0.47468750000000004</v>
      </c>
      <c r="O102" s="1215"/>
      <c r="P102" s="1099"/>
      <c r="Q102" s="1205"/>
      <c r="R102" s="1217"/>
      <c r="S102" s="1205"/>
      <c r="T102" s="1205"/>
      <c r="U102" s="1205"/>
      <c r="V102" s="1206"/>
      <c r="W102" s="1206"/>
      <c r="X102" s="1206"/>
    </row>
    <row r="103" spans="1:24" ht="15.75" customHeight="1">
      <c r="A103" s="355"/>
      <c r="B103" s="351"/>
      <c r="C103" s="1214">
        <f>C98</f>
        <v>1.2</v>
      </c>
      <c r="D103" s="1214">
        <f>D98</f>
        <v>0.875</v>
      </c>
      <c r="E103" s="1214">
        <f>E102</f>
        <v>7.0000000000000007E-2</v>
      </c>
      <c r="F103" s="1214"/>
      <c r="G103" s="1214"/>
      <c r="H103" s="1214"/>
      <c r="I103" s="1214"/>
      <c r="J103" s="1214"/>
      <c r="K103" s="1214"/>
      <c r="L103" s="1214"/>
      <c r="M103" s="1214">
        <f>M98</f>
        <v>1</v>
      </c>
      <c r="N103" s="1214">
        <f>C103*D103*E103*M103</f>
        <v>7.350000000000001E-2</v>
      </c>
      <c r="O103" s="1215"/>
      <c r="P103" s="1099"/>
      <c r="Q103" s="1205"/>
      <c r="R103" s="1217"/>
      <c r="S103" s="1205"/>
      <c r="T103" s="1205"/>
      <c r="U103" s="1205"/>
      <c r="V103" s="1206"/>
      <c r="W103" s="1206"/>
      <c r="X103" s="1206"/>
    </row>
    <row r="104" spans="1:24" ht="15.75" customHeight="1">
      <c r="A104" s="355"/>
      <c r="B104" s="589" t="str">
        <f>B99</f>
        <v>vertikal</v>
      </c>
      <c r="C104" s="1214">
        <f>C99</f>
        <v>12</v>
      </c>
      <c r="D104" s="1214">
        <f>D99</f>
        <v>0.875</v>
      </c>
      <c r="E104" s="1214">
        <f>E103</f>
        <v>7.0000000000000007E-2</v>
      </c>
      <c r="F104" s="1214"/>
      <c r="G104" s="1214"/>
      <c r="H104" s="1214"/>
      <c r="I104" s="1214"/>
      <c r="J104" s="1214"/>
      <c r="K104" s="1214"/>
      <c r="L104" s="1214"/>
      <c r="M104" s="1214">
        <f>M99</f>
        <v>2</v>
      </c>
      <c r="N104" s="1219">
        <f>C104*D104*E104*M104</f>
        <v>1.4700000000000002</v>
      </c>
      <c r="O104" s="1215"/>
      <c r="P104" s="1099"/>
      <c r="Q104" s="1205"/>
      <c r="R104" s="1217"/>
      <c r="S104" s="1205"/>
      <c r="T104" s="1205"/>
      <c r="U104" s="1205"/>
      <c r="V104" s="1206"/>
      <c r="W104" s="1206"/>
      <c r="X104" s="1206"/>
    </row>
    <row r="105" spans="1:24" ht="15.75" customHeight="1">
      <c r="A105" s="355"/>
      <c r="B105" s="351"/>
      <c r="C105" s="1214"/>
      <c r="D105" s="1214"/>
      <c r="E105" s="1214"/>
      <c r="F105" s="1214"/>
      <c r="G105" s="1214"/>
      <c r="H105" s="1214"/>
      <c r="I105" s="1214"/>
      <c r="J105" s="1214"/>
      <c r="K105" s="1214"/>
      <c r="L105" s="1214"/>
      <c r="M105" s="1214"/>
      <c r="N105" s="1247">
        <f>SUM(N102:N104)</f>
        <v>2.0181875000000002</v>
      </c>
      <c r="O105" s="1248" t="s">
        <v>103</v>
      </c>
      <c r="P105" s="1099">
        <f>ROUND((N105),2)</f>
        <v>2.02</v>
      </c>
      <c r="Q105" s="1205"/>
      <c r="R105" s="1217"/>
      <c r="S105" s="1205"/>
      <c r="T105" s="1205"/>
      <c r="U105" s="1205"/>
      <c r="V105" s="1206"/>
      <c r="W105" s="1206"/>
      <c r="X105" s="1206"/>
    </row>
    <row r="106" spans="1:24" ht="15.75" customHeight="1">
      <c r="A106" s="1218">
        <f>A79+1</f>
        <v>9</v>
      </c>
      <c r="B106" s="492" t="s">
        <v>416</v>
      </c>
      <c r="C106" s="1214"/>
      <c r="D106" s="1214"/>
      <c r="E106" s="1214"/>
      <c r="F106" s="1214"/>
      <c r="G106" s="1214"/>
      <c r="H106" s="1214"/>
      <c r="I106" s="1214"/>
      <c r="J106" s="1214"/>
      <c r="K106" s="1214"/>
      <c r="L106" s="1214"/>
      <c r="M106" s="1214"/>
      <c r="N106" s="1214"/>
      <c r="O106" s="1215"/>
      <c r="P106" s="1099"/>
      <c r="Q106" s="1205"/>
      <c r="R106" s="1217"/>
      <c r="S106" s="1205"/>
      <c r="T106" s="1205"/>
      <c r="U106" s="1205"/>
      <c r="V106" s="1206"/>
      <c r="W106" s="1206"/>
      <c r="X106" s="1206"/>
    </row>
    <row r="107" spans="1:24" ht="15.75" customHeight="1">
      <c r="A107" s="1225" t="s">
        <v>95</v>
      </c>
      <c r="B107" s="492" t="s">
        <v>417</v>
      </c>
      <c r="C107" s="1214"/>
      <c r="D107" s="1214">
        <v>0.25</v>
      </c>
      <c r="E107" s="1214">
        <v>0.8</v>
      </c>
      <c r="F107" s="1214"/>
      <c r="G107" s="1214"/>
      <c r="H107" s="1214">
        <v>4</v>
      </c>
      <c r="I107" s="1214"/>
      <c r="J107" s="1214"/>
      <c r="K107" s="1214"/>
      <c r="L107" s="1214"/>
      <c r="M107" s="1214">
        <f>M14</f>
        <v>8</v>
      </c>
      <c r="N107" s="1214">
        <f>D107*(E107+K107)*H107*M107</f>
        <v>6.4</v>
      </c>
      <c r="O107" s="1215" t="s">
        <v>89</v>
      </c>
      <c r="P107" s="1099">
        <f>ROUND((N107),2)</f>
        <v>6.4</v>
      </c>
      <c r="Q107" s="1205"/>
      <c r="R107" s="1217"/>
      <c r="S107" s="1205"/>
      <c r="T107" s="1205"/>
      <c r="U107" s="1205"/>
      <c r="V107" s="1206"/>
      <c r="W107" s="1206"/>
      <c r="X107" s="1206"/>
    </row>
    <row r="108" spans="1:24" ht="15.75" customHeight="1">
      <c r="A108" s="1225" t="s">
        <v>98</v>
      </c>
      <c r="B108" s="492" t="s">
        <v>793</v>
      </c>
      <c r="C108" s="1214"/>
      <c r="D108" s="1214"/>
      <c r="E108" s="1214">
        <v>0.8</v>
      </c>
      <c r="F108" s="1214">
        <v>8</v>
      </c>
      <c r="G108" s="1214"/>
      <c r="H108" s="1214"/>
      <c r="I108" s="1214"/>
      <c r="J108" s="1214">
        <v>0.25</v>
      </c>
      <c r="K108" s="1214"/>
      <c r="L108" s="1214">
        <f>10*10*0.006165</f>
        <v>0.61650000000000005</v>
      </c>
      <c r="M108" s="1214">
        <f>M107</f>
        <v>8</v>
      </c>
      <c r="N108" s="1214">
        <f>(E108+J108)*F108*L108*M108</f>
        <v>41.428800000000003</v>
      </c>
      <c r="O108" s="1215" t="s">
        <v>100</v>
      </c>
      <c r="P108" s="1099">
        <f>ROUND((N108),2)</f>
        <v>41.43</v>
      </c>
      <c r="Q108" s="1205"/>
      <c r="R108" s="1217"/>
      <c r="S108" s="1205"/>
      <c r="T108" s="1205"/>
      <c r="U108" s="1205"/>
      <c r="V108" s="1206"/>
      <c r="W108" s="1206"/>
      <c r="X108" s="1206"/>
    </row>
    <row r="109" spans="1:24" ht="15.75" customHeight="1">
      <c r="A109" s="1225" t="s">
        <v>101</v>
      </c>
      <c r="B109" s="492" t="s">
        <v>905</v>
      </c>
      <c r="C109" s="1214">
        <f>0.17*4</f>
        <v>0.68</v>
      </c>
      <c r="D109" s="1214"/>
      <c r="E109" s="1214"/>
      <c r="F109" s="1214">
        <f>ROUNDDOWN((E108/0.15),0.1)</f>
        <v>5</v>
      </c>
      <c r="G109" s="1214"/>
      <c r="H109" s="1214"/>
      <c r="I109" s="1214">
        <f>0.05*2</f>
        <v>0.1</v>
      </c>
      <c r="J109" s="1214"/>
      <c r="K109" s="1214"/>
      <c r="L109" s="1214">
        <f>8*8*0.006165</f>
        <v>0.39456000000000002</v>
      </c>
      <c r="M109" s="1214">
        <f>M108</f>
        <v>8</v>
      </c>
      <c r="N109" s="1214">
        <f>(C109+I109)*F109*L109*M109</f>
        <v>12.310272000000001</v>
      </c>
      <c r="O109" s="1215" t="s">
        <v>100</v>
      </c>
      <c r="P109" s="1099">
        <f>ROUND((N109),2)</f>
        <v>12.31</v>
      </c>
      <c r="Q109" s="1205"/>
      <c r="R109" s="1217"/>
      <c r="S109" s="1205"/>
      <c r="T109" s="1205"/>
      <c r="U109" s="1205"/>
      <c r="V109" s="1206"/>
      <c r="W109" s="1206"/>
      <c r="X109" s="1206"/>
    </row>
    <row r="110" spans="1:24" ht="15.75" customHeight="1">
      <c r="A110" s="1225" t="s">
        <v>121</v>
      </c>
      <c r="B110" s="492" t="s">
        <v>1043</v>
      </c>
      <c r="C110" s="1214">
        <f>D107</f>
        <v>0.25</v>
      </c>
      <c r="D110" s="1214">
        <f>D107</f>
        <v>0.25</v>
      </c>
      <c r="E110" s="1214">
        <f>E107</f>
        <v>0.8</v>
      </c>
      <c r="F110" s="1214"/>
      <c r="G110" s="1214"/>
      <c r="H110" s="1214"/>
      <c r="I110" s="1214"/>
      <c r="J110" s="1214"/>
      <c r="K110" s="1214"/>
      <c r="L110" s="1214"/>
      <c r="M110" s="1214">
        <f>M108</f>
        <v>8</v>
      </c>
      <c r="N110" s="1214">
        <f>C110*D110*(E110+K110)*M110</f>
        <v>0.4</v>
      </c>
      <c r="O110" s="1215" t="s">
        <v>103</v>
      </c>
      <c r="P110" s="1099">
        <f>ROUND((N110),2)</f>
        <v>0.4</v>
      </c>
      <c r="Q110" s="1205"/>
      <c r="R110" s="1217"/>
      <c r="S110" s="1205"/>
      <c r="T110" s="1205"/>
      <c r="U110" s="1205"/>
      <c r="V110" s="1206"/>
      <c r="W110" s="1206"/>
      <c r="X110" s="1206"/>
    </row>
    <row r="111" spans="1:24" ht="15.75" customHeight="1">
      <c r="A111" s="1218">
        <f>A106+1</f>
        <v>10</v>
      </c>
      <c r="B111" s="492" t="s">
        <v>421</v>
      </c>
      <c r="C111" s="1214"/>
      <c r="D111" s="1214"/>
      <c r="E111" s="1214"/>
      <c r="F111" s="1214"/>
      <c r="G111" s="1214"/>
      <c r="H111" s="1214"/>
      <c r="I111" s="1214"/>
      <c r="J111" s="1214"/>
      <c r="K111" s="1214"/>
      <c r="L111" s="1214"/>
      <c r="M111" s="1214"/>
      <c r="N111" s="1214"/>
      <c r="O111" s="1215"/>
      <c r="P111" s="1099"/>
      <c r="Q111" s="1205"/>
      <c r="R111" s="1217"/>
      <c r="S111" s="1205"/>
      <c r="T111" s="1205"/>
      <c r="U111" s="1205"/>
      <c r="V111" s="1206"/>
      <c r="W111" s="1206"/>
      <c r="X111" s="1206"/>
    </row>
    <row r="112" spans="1:24" ht="15.75" customHeight="1">
      <c r="A112" s="1225" t="s">
        <v>95</v>
      </c>
      <c r="B112" s="492" t="s">
        <v>417</v>
      </c>
      <c r="C112" s="1214"/>
      <c r="D112" s="1214">
        <f>D107</f>
        <v>0.25</v>
      </c>
      <c r="E112" s="1214">
        <f>4.18-0.3</f>
        <v>3.88</v>
      </c>
      <c r="F112" s="1214"/>
      <c r="G112" s="1214"/>
      <c r="H112" s="1214">
        <f>H107</f>
        <v>4</v>
      </c>
      <c r="I112" s="1214"/>
      <c r="J112" s="1214"/>
      <c r="K112" s="1214"/>
      <c r="L112" s="1214"/>
      <c r="M112" s="1214">
        <f>M107</f>
        <v>8</v>
      </c>
      <c r="N112" s="1214">
        <f>D112*E112*H112*M112</f>
        <v>31.04</v>
      </c>
      <c r="O112" s="1215" t="s">
        <v>89</v>
      </c>
      <c r="P112" s="1099">
        <f>ROUND((N112),2)</f>
        <v>31.04</v>
      </c>
      <c r="Q112" s="1205"/>
      <c r="R112" s="1217"/>
      <c r="S112" s="1205"/>
      <c r="T112" s="1205"/>
      <c r="U112" s="1205"/>
      <c r="V112" s="1206"/>
      <c r="W112" s="1206"/>
      <c r="X112" s="1206"/>
    </row>
    <row r="113" spans="1:24" ht="15.75" customHeight="1">
      <c r="A113" s="1225" t="s">
        <v>98</v>
      </c>
      <c r="B113" s="492" t="s">
        <v>793</v>
      </c>
      <c r="C113" s="1214"/>
      <c r="D113" s="1214"/>
      <c r="E113" s="1214">
        <f>E112</f>
        <v>3.88</v>
      </c>
      <c r="F113" s="1214">
        <v>8</v>
      </c>
      <c r="G113" s="1214"/>
      <c r="H113" s="1214"/>
      <c r="I113" s="1214"/>
      <c r="J113" s="1214">
        <f>J108</f>
        <v>0.25</v>
      </c>
      <c r="K113" s="1214"/>
      <c r="L113" s="1214">
        <f>L108</f>
        <v>0.61650000000000005</v>
      </c>
      <c r="M113" s="1214">
        <f>M112</f>
        <v>8</v>
      </c>
      <c r="N113" s="1214">
        <f>(E113+J113)*F113*L113*M113</f>
        <v>162.95328000000001</v>
      </c>
      <c r="O113" s="1215" t="s">
        <v>100</v>
      </c>
      <c r="P113" s="1099">
        <f>ROUND((N113),2)</f>
        <v>162.94999999999999</v>
      </c>
      <c r="Q113" s="1205"/>
      <c r="R113" s="1217"/>
      <c r="S113" s="1205"/>
      <c r="T113" s="1205"/>
      <c r="U113" s="1205"/>
      <c r="V113" s="1206"/>
      <c r="W113" s="1206"/>
      <c r="X113" s="1206"/>
    </row>
    <row r="114" spans="1:24" ht="15.75" customHeight="1">
      <c r="A114" s="1225" t="s">
        <v>101</v>
      </c>
      <c r="B114" s="492" t="s">
        <v>905</v>
      </c>
      <c r="C114" s="1214">
        <f>C109</f>
        <v>0.68</v>
      </c>
      <c r="D114" s="1214"/>
      <c r="E114" s="1214"/>
      <c r="F114" s="1214">
        <f>ROUNDDOWN((E113/0.15),0.5)</f>
        <v>25</v>
      </c>
      <c r="G114" s="1214"/>
      <c r="H114" s="1214"/>
      <c r="I114" s="1214">
        <f>I109</f>
        <v>0.1</v>
      </c>
      <c r="J114" s="1214"/>
      <c r="K114" s="1214"/>
      <c r="L114" s="1214">
        <f>L109</f>
        <v>0.39456000000000002</v>
      </c>
      <c r="M114" s="1214">
        <f>M113</f>
        <v>8</v>
      </c>
      <c r="N114" s="1214">
        <f>(C114+I114)*F114*L114*M114</f>
        <v>61.551360000000003</v>
      </c>
      <c r="O114" s="1215" t="s">
        <v>100</v>
      </c>
      <c r="P114" s="1099">
        <f>ROUND((N114),2)</f>
        <v>61.55</v>
      </c>
      <c r="Q114" s="1205"/>
      <c r="R114" s="1217"/>
      <c r="S114" s="1205"/>
      <c r="T114" s="1205"/>
      <c r="U114" s="1205"/>
      <c r="V114" s="1206"/>
      <c r="W114" s="1206"/>
      <c r="X114" s="1206"/>
    </row>
    <row r="115" spans="1:24" ht="15.75" customHeight="1">
      <c r="A115" s="1225" t="s">
        <v>121</v>
      </c>
      <c r="B115" s="492" t="s">
        <v>1043</v>
      </c>
      <c r="C115" s="1214">
        <f>D112</f>
        <v>0.25</v>
      </c>
      <c r="D115" s="1214">
        <f>D112</f>
        <v>0.25</v>
      </c>
      <c r="E115" s="1214">
        <f>E113</f>
        <v>3.88</v>
      </c>
      <c r="F115" s="1214"/>
      <c r="G115" s="1214"/>
      <c r="H115" s="1214"/>
      <c r="I115" s="1214"/>
      <c r="J115" s="1214"/>
      <c r="K115" s="1214"/>
      <c r="L115" s="1214"/>
      <c r="M115" s="1214">
        <f>M113</f>
        <v>8</v>
      </c>
      <c r="N115" s="1214">
        <f>C115*D115*E115*M115</f>
        <v>1.94</v>
      </c>
      <c r="O115" s="1215" t="s">
        <v>103</v>
      </c>
      <c r="P115" s="1099">
        <f>ROUND((N115),2)</f>
        <v>1.94</v>
      </c>
      <c r="Q115" s="1205"/>
      <c r="R115" s="1217"/>
      <c r="S115" s="1205"/>
      <c r="T115" s="1205"/>
      <c r="U115" s="1205"/>
      <c r="V115" s="1206"/>
      <c r="W115" s="1206"/>
      <c r="X115" s="1206"/>
    </row>
    <row r="116" spans="1:24" ht="15.75" customHeight="1">
      <c r="A116" s="1218">
        <f>A111+1</f>
        <v>11</v>
      </c>
      <c r="B116" s="492" t="s">
        <v>552</v>
      </c>
      <c r="C116" s="1214"/>
      <c r="D116" s="1214"/>
      <c r="E116" s="1214"/>
      <c r="F116" s="1214"/>
      <c r="G116" s="1214"/>
      <c r="H116" s="1214"/>
      <c r="I116" s="1214"/>
      <c r="J116" s="1214"/>
      <c r="K116" s="1214"/>
      <c r="L116" s="1214"/>
      <c r="M116" s="1214"/>
      <c r="N116" s="1214"/>
      <c r="O116" s="1215"/>
      <c r="P116" s="1099"/>
      <c r="Q116" s="1205"/>
      <c r="R116" s="1217"/>
      <c r="S116" s="1205"/>
      <c r="T116" s="1205"/>
      <c r="U116" s="1205"/>
      <c r="V116" s="1206"/>
      <c r="W116" s="1206"/>
      <c r="X116" s="1206"/>
    </row>
    <row r="117" spans="1:24" ht="15.75" customHeight="1">
      <c r="A117" s="1225" t="s">
        <v>95</v>
      </c>
      <c r="B117" s="492" t="s">
        <v>417</v>
      </c>
      <c r="C117" s="1214"/>
      <c r="D117" s="1214">
        <v>0.15</v>
      </c>
      <c r="E117" s="1214">
        <f>4.18-0.3</f>
        <v>3.88</v>
      </c>
      <c r="F117" s="1214"/>
      <c r="G117" s="1214"/>
      <c r="H117" s="1214">
        <f>H112</f>
        <v>4</v>
      </c>
      <c r="I117" s="1214"/>
      <c r="J117" s="1214"/>
      <c r="K117" s="1214"/>
      <c r="L117" s="1214"/>
      <c r="M117" s="1214">
        <v>5</v>
      </c>
      <c r="N117" s="1214">
        <f>D117*E117*H117*M117</f>
        <v>11.639999999999999</v>
      </c>
      <c r="O117" s="1215" t="s">
        <v>89</v>
      </c>
      <c r="P117" s="1099">
        <f>ROUND((N117),2)</f>
        <v>11.64</v>
      </c>
      <c r="Q117" s="1205"/>
      <c r="R117" s="1217"/>
      <c r="S117" s="1205"/>
      <c r="T117" s="1205"/>
      <c r="U117" s="1205"/>
      <c r="V117" s="1206"/>
      <c r="W117" s="1206"/>
      <c r="X117" s="1206"/>
    </row>
    <row r="118" spans="1:24" ht="15.75" customHeight="1">
      <c r="A118" s="1225" t="s">
        <v>98</v>
      </c>
      <c r="B118" s="492" t="s">
        <v>427</v>
      </c>
      <c r="C118" s="1214"/>
      <c r="D118" s="1214"/>
      <c r="E118" s="1214">
        <f>E117</f>
        <v>3.88</v>
      </c>
      <c r="F118" s="1214">
        <v>4</v>
      </c>
      <c r="G118" s="1214"/>
      <c r="H118" s="1214"/>
      <c r="I118" s="1214"/>
      <c r="J118" s="1214">
        <f>J113</f>
        <v>0.25</v>
      </c>
      <c r="K118" s="1214"/>
      <c r="L118" s="1214">
        <f>L113</f>
        <v>0.61650000000000005</v>
      </c>
      <c r="M118" s="1214">
        <f>M117</f>
        <v>5</v>
      </c>
      <c r="N118" s="1214">
        <f>(E118+J118)*F118*L118*M118</f>
        <v>50.922899999999998</v>
      </c>
      <c r="O118" s="1215" t="s">
        <v>100</v>
      </c>
      <c r="P118" s="1099">
        <f>ROUND((N118),2)</f>
        <v>50.92</v>
      </c>
      <c r="Q118" s="1205"/>
      <c r="R118" s="1217"/>
      <c r="S118" s="1205"/>
      <c r="T118" s="1205"/>
      <c r="U118" s="1205"/>
      <c r="V118" s="1206"/>
      <c r="W118" s="1206"/>
      <c r="X118" s="1206"/>
    </row>
    <row r="119" spans="1:24" ht="15.75" customHeight="1">
      <c r="A119" s="1225" t="s">
        <v>101</v>
      </c>
      <c r="B119" s="492" t="s">
        <v>428</v>
      </c>
      <c r="C119" s="1214">
        <f>C114</f>
        <v>0.68</v>
      </c>
      <c r="D119" s="1214"/>
      <c r="E119" s="1214"/>
      <c r="F119" s="1214">
        <f>ROUNDDOWN((E118/0.125),0.5)</f>
        <v>31</v>
      </c>
      <c r="G119" s="1214"/>
      <c r="H119" s="1214"/>
      <c r="I119" s="1214">
        <f>I114</f>
        <v>0.1</v>
      </c>
      <c r="J119" s="1214"/>
      <c r="K119" s="1214"/>
      <c r="L119" s="1214">
        <f>L114</f>
        <v>0.39456000000000002</v>
      </c>
      <c r="M119" s="1214">
        <f>M118</f>
        <v>5</v>
      </c>
      <c r="N119" s="1214">
        <f>(C119+I119)*F119*L119*M119</f>
        <v>47.702303999999998</v>
      </c>
      <c r="O119" s="1215" t="s">
        <v>100</v>
      </c>
      <c r="P119" s="1099">
        <f>ROUND((N119),2)</f>
        <v>47.7</v>
      </c>
      <c r="Q119" s="1205"/>
      <c r="R119" s="1217"/>
      <c r="S119" s="1205"/>
      <c r="T119" s="1205"/>
      <c r="U119" s="1205"/>
      <c r="V119" s="1206"/>
      <c r="W119" s="1206"/>
      <c r="X119" s="1206"/>
    </row>
    <row r="120" spans="1:24" ht="15.75" customHeight="1">
      <c r="A120" s="1225" t="s">
        <v>121</v>
      </c>
      <c r="B120" s="492" t="s">
        <v>1043</v>
      </c>
      <c r="C120" s="1214">
        <f>D117</f>
        <v>0.15</v>
      </c>
      <c r="D120" s="1214">
        <f>D117</f>
        <v>0.15</v>
      </c>
      <c r="E120" s="1214">
        <f>E118</f>
        <v>3.88</v>
      </c>
      <c r="F120" s="1214"/>
      <c r="G120" s="1214"/>
      <c r="H120" s="1214"/>
      <c r="I120" s="1214"/>
      <c r="J120" s="1214"/>
      <c r="K120" s="1214"/>
      <c r="L120" s="1214"/>
      <c r="M120" s="1214">
        <f>M118</f>
        <v>5</v>
      </c>
      <c r="N120" s="1214">
        <f>C120*D120*E120*M120</f>
        <v>0.43649999999999994</v>
      </c>
      <c r="O120" s="1215" t="s">
        <v>103</v>
      </c>
      <c r="P120" s="1099">
        <f>ROUND((N120),2)</f>
        <v>0.44</v>
      </c>
      <c r="Q120" s="1205"/>
      <c r="R120" s="1217"/>
      <c r="S120" s="1205"/>
      <c r="T120" s="1205"/>
      <c r="U120" s="1205"/>
      <c r="V120" s="1206"/>
      <c r="W120" s="1206"/>
      <c r="X120" s="1206"/>
    </row>
    <row r="121" spans="1:24" ht="15.75" customHeight="1">
      <c r="A121" s="1218">
        <f>A116+1</f>
        <v>12</v>
      </c>
      <c r="B121" s="495" t="s">
        <v>422</v>
      </c>
      <c r="C121" s="1214"/>
      <c r="D121" s="1214"/>
      <c r="E121" s="1214"/>
      <c r="F121" s="1214"/>
      <c r="G121" s="1214"/>
      <c r="H121" s="1214"/>
      <c r="I121" s="1214"/>
      <c r="J121" s="1214"/>
      <c r="K121" s="1214"/>
      <c r="L121" s="1214"/>
      <c r="M121" s="1214"/>
      <c r="N121" s="1214"/>
      <c r="O121" s="1215"/>
      <c r="P121" s="1099"/>
      <c r="Q121" s="1205"/>
      <c r="R121" s="1217"/>
      <c r="S121" s="1205"/>
      <c r="T121" s="1205"/>
      <c r="U121" s="1205"/>
      <c r="V121" s="1206"/>
      <c r="W121" s="1206"/>
      <c r="X121" s="1206"/>
    </row>
    <row r="122" spans="1:24" ht="15.75" customHeight="1">
      <c r="A122" s="1225" t="s">
        <v>95</v>
      </c>
      <c r="B122" s="492" t="s">
        <v>423</v>
      </c>
      <c r="C122" s="1214"/>
      <c r="D122" s="1214"/>
      <c r="E122" s="1214"/>
      <c r="F122" s="1214"/>
      <c r="G122" s="1214"/>
      <c r="H122" s="1214"/>
      <c r="I122" s="1214"/>
      <c r="J122" s="1214"/>
      <c r="K122" s="1214"/>
      <c r="L122" s="1214"/>
      <c r="M122" s="1214"/>
      <c r="N122" s="1214"/>
      <c r="O122" s="1215"/>
      <c r="P122" s="1099"/>
      <c r="Q122" s="1205"/>
      <c r="R122" s="1217"/>
      <c r="S122" s="1205"/>
      <c r="T122" s="1205"/>
      <c r="U122" s="1205"/>
      <c r="V122" s="1206"/>
      <c r="W122" s="1206"/>
      <c r="X122" s="1206"/>
    </row>
    <row r="123" spans="1:24" ht="15.75" customHeight="1">
      <c r="A123" s="1225"/>
      <c r="B123" s="1227" t="s">
        <v>226</v>
      </c>
      <c r="C123" s="1214">
        <v>6</v>
      </c>
      <c r="D123" s="1214"/>
      <c r="E123" s="1214">
        <v>0.35</v>
      </c>
      <c r="F123" s="1214"/>
      <c r="G123" s="1214"/>
      <c r="H123" s="1214">
        <v>2</v>
      </c>
      <c r="I123" s="1214"/>
      <c r="J123" s="1214"/>
      <c r="K123" s="1214"/>
      <c r="L123" s="1214"/>
      <c r="M123" s="1214">
        <v>2</v>
      </c>
      <c r="N123" s="1214">
        <f>C123*E123*H123*M123</f>
        <v>8.3999999999999986</v>
      </c>
      <c r="O123" s="1215"/>
      <c r="P123" s="1099"/>
      <c r="Q123" s="1205"/>
      <c r="R123" s="1217"/>
      <c r="S123" s="1205"/>
      <c r="T123" s="1205"/>
      <c r="U123" s="1205"/>
      <c r="V123" s="1206"/>
      <c r="W123" s="1206"/>
      <c r="X123" s="1206"/>
    </row>
    <row r="124" spans="1:24" ht="15.75" customHeight="1">
      <c r="A124" s="1225"/>
      <c r="B124" s="1227"/>
      <c r="C124" s="1214">
        <f>C123</f>
        <v>6</v>
      </c>
      <c r="D124" s="1214">
        <v>0.2</v>
      </c>
      <c r="E124" s="1214"/>
      <c r="F124" s="1214"/>
      <c r="G124" s="1214"/>
      <c r="H124" s="1214">
        <v>1</v>
      </c>
      <c r="I124" s="1214"/>
      <c r="J124" s="1214"/>
      <c r="K124" s="1214"/>
      <c r="L124" s="1214"/>
      <c r="M124" s="1214">
        <f>M123</f>
        <v>2</v>
      </c>
      <c r="N124" s="1214">
        <f>C124*D124*H124*M124</f>
        <v>2.4000000000000004</v>
      </c>
      <c r="O124" s="1215"/>
      <c r="P124" s="1099"/>
      <c r="Q124" s="1205"/>
      <c r="R124" s="1217"/>
      <c r="S124" s="1205"/>
      <c r="T124" s="1205"/>
      <c r="U124" s="1205"/>
      <c r="V124" s="1206"/>
      <c r="W124" s="1206"/>
      <c r="X124" s="1206"/>
    </row>
    <row r="125" spans="1:24" ht="15.75" customHeight="1">
      <c r="A125" s="1225"/>
      <c r="B125" s="1227" t="s">
        <v>227</v>
      </c>
      <c r="C125" s="1214">
        <v>12</v>
      </c>
      <c r="D125" s="1214"/>
      <c r="E125" s="1214">
        <f>E123</f>
        <v>0.35</v>
      </c>
      <c r="F125" s="1214"/>
      <c r="G125" s="1214"/>
      <c r="H125" s="1214">
        <f>H123</f>
        <v>2</v>
      </c>
      <c r="I125" s="1214"/>
      <c r="J125" s="1214"/>
      <c r="K125" s="1214"/>
      <c r="L125" s="1214"/>
      <c r="M125" s="1214">
        <v>2</v>
      </c>
      <c r="N125" s="1214">
        <f>C125*E125*H125*M125</f>
        <v>16.799999999999997</v>
      </c>
      <c r="O125" s="1215"/>
      <c r="P125" s="1099"/>
      <c r="Q125" s="1205"/>
      <c r="R125" s="1217"/>
      <c r="S125" s="1205"/>
      <c r="T125" s="1205"/>
      <c r="U125" s="1205"/>
      <c r="V125" s="1206"/>
      <c r="W125" s="1206"/>
      <c r="X125" s="1206"/>
    </row>
    <row r="126" spans="1:24" ht="15.75" customHeight="1">
      <c r="A126" s="1225"/>
      <c r="B126" s="1227"/>
      <c r="C126" s="1214">
        <f>C125</f>
        <v>12</v>
      </c>
      <c r="D126" s="1214">
        <f>D124</f>
        <v>0.2</v>
      </c>
      <c r="E126" s="1214"/>
      <c r="F126" s="1214"/>
      <c r="G126" s="1214"/>
      <c r="H126" s="1214">
        <f>H124</f>
        <v>1</v>
      </c>
      <c r="I126" s="1214"/>
      <c r="J126" s="1214"/>
      <c r="K126" s="1214"/>
      <c r="L126" s="1214"/>
      <c r="M126" s="1214">
        <f>M125</f>
        <v>2</v>
      </c>
      <c r="N126" s="1219">
        <f>C126*D126*H126*M126</f>
        <v>4.8000000000000007</v>
      </c>
      <c r="O126" s="1215"/>
      <c r="P126" s="1099"/>
      <c r="Q126" s="1205"/>
      <c r="R126" s="1217"/>
      <c r="S126" s="1205"/>
      <c r="T126" s="1205"/>
      <c r="U126" s="1205"/>
      <c r="V126" s="1206"/>
      <c r="W126" s="1206"/>
      <c r="X126" s="1206"/>
    </row>
    <row r="127" spans="1:24" ht="15.75" customHeight="1">
      <c r="A127" s="1225"/>
      <c r="B127" s="492"/>
      <c r="C127" s="1214"/>
      <c r="D127" s="1214"/>
      <c r="E127" s="1214"/>
      <c r="F127" s="1214"/>
      <c r="G127" s="1214"/>
      <c r="H127" s="1214"/>
      <c r="I127" s="1214"/>
      <c r="J127" s="1214"/>
      <c r="K127" s="1214"/>
      <c r="L127" s="1214"/>
      <c r="M127" s="1214"/>
      <c r="N127" s="1249">
        <f>SUM(N123:N126)</f>
        <v>32.399999999999991</v>
      </c>
      <c r="O127" s="1248" t="s">
        <v>89</v>
      </c>
      <c r="P127" s="1099">
        <f>ROUND((N127),2)</f>
        <v>32.4</v>
      </c>
      <c r="Q127" s="1205"/>
      <c r="R127" s="1217"/>
      <c r="S127" s="1205"/>
      <c r="T127" s="1205"/>
      <c r="U127" s="1205"/>
      <c r="V127" s="1206"/>
      <c r="W127" s="1206"/>
      <c r="X127" s="1206"/>
    </row>
    <row r="128" spans="1:24" ht="15.75" customHeight="1">
      <c r="A128" s="1225" t="s">
        <v>98</v>
      </c>
      <c r="B128" s="492" t="s">
        <v>741</v>
      </c>
      <c r="C128" s="1214"/>
      <c r="D128" s="1214"/>
      <c r="E128" s="1214"/>
      <c r="F128" s="1214"/>
      <c r="G128" s="1214"/>
      <c r="H128" s="1214"/>
      <c r="I128" s="1214"/>
      <c r="J128" s="1214"/>
      <c r="K128" s="1214"/>
      <c r="L128" s="1214"/>
      <c r="M128" s="1214"/>
      <c r="N128" s="1214"/>
      <c r="O128" s="1215"/>
      <c r="P128" s="1099"/>
      <c r="Q128" s="1205"/>
      <c r="R128" s="1217"/>
      <c r="S128" s="1205"/>
      <c r="T128" s="1205"/>
      <c r="U128" s="1205"/>
      <c r="V128" s="1206"/>
      <c r="W128" s="1206"/>
      <c r="X128" s="1206"/>
    </row>
    <row r="129" spans="1:24" ht="15.75" customHeight="1">
      <c r="A129" s="1225"/>
      <c r="B129" s="1227" t="str">
        <f>B123</f>
        <v>horisontal</v>
      </c>
      <c r="C129" s="1214">
        <f>C123</f>
        <v>6</v>
      </c>
      <c r="D129" s="1214"/>
      <c r="E129" s="1214"/>
      <c r="F129" s="1214">
        <v>5</v>
      </c>
      <c r="G129" s="1214"/>
      <c r="H129" s="1214"/>
      <c r="I129" s="1214"/>
      <c r="J129" s="1214"/>
      <c r="K129" s="1214"/>
      <c r="L129" s="1214">
        <f>L108</f>
        <v>0.61650000000000005</v>
      </c>
      <c r="M129" s="1214">
        <f>M123</f>
        <v>2</v>
      </c>
      <c r="N129" s="1214">
        <f>C129*F129*L129*M129</f>
        <v>36.99</v>
      </c>
      <c r="O129" s="1215"/>
      <c r="P129" s="1099"/>
      <c r="Q129" s="1205"/>
      <c r="R129" s="1217"/>
      <c r="S129" s="1205"/>
      <c r="T129" s="1205"/>
      <c r="U129" s="1205"/>
      <c r="V129" s="1206"/>
      <c r="W129" s="1206"/>
      <c r="X129" s="1206"/>
    </row>
    <row r="130" spans="1:24" ht="15.75" customHeight="1">
      <c r="A130" s="1225"/>
      <c r="B130" s="1227" t="str">
        <f>B125</f>
        <v>vertikal</v>
      </c>
      <c r="C130" s="1214">
        <f>C125</f>
        <v>12</v>
      </c>
      <c r="D130" s="1214"/>
      <c r="E130" s="1214"/>
      <c r="F130" s="1214">
        <f>F129</f>
        <v>5</v>
      </c>
      <c r="G130" s="1214"/>
      <c r="H130" s="1214"/>
      <c r="I130" s="1214"/>
      <c r="J130" s="1214"/>
      <c r="K130" s="1214"/>
      <c r="L130" s="1214">
        <f>L129</f>
        <v>0.61650000000000005</v>
      </c>
      <c r="M130" s="1214">
        <f>M125</f>
        <v>2</v>
      </c>
      <c r="N130" s="1219">
        <f>C130*F130*L130*M130</f>
        <v>73.98</v>
      </c>
      <c r="O130" s="1215"/>
      <c r="P130" s="1099"/>
      <c r="Q130" s="1205"/>
      <c r="R130" s="1217"/>
      <c r="S130" s="1205"/>
      <c r="T130" s="1205"/>
      <c r="U130" s="1205"/>
      <c r="V130" s="1206"/>
      <c r="W130" s="1206"/>
      <c r="X130" s="1206"/>
    </row>
    <row r="131" spans="1:24" ht="15.75" customHeight="1">
      <c r="A131" s="1225"/>
      <c r="B131" s="492"/>
      <c r="C131" s="1214"/>
      <c r="D131" s="1214"/>
      <c r="E131" s="1214"/>
      <c r="F131" s="1214"/>
      <c r="G131" s="1214"/>
      <c r="H131" s="1214"/>
      <c r="I131" s="1214"/>
      <c r="J131" s="1214"/>
      <c r="K131" s="1214"/>
      <c r="L131" s="1214"/>
      <c r="M131" s="1214"/>
      <c r="N131" s="1247">
        <f>SUM(N129:N130)</f>
        <v>110.97</v>
      </c>
      <c r="O131" s="1248" t="s">
        <v>100</v>
      </c>
      <c r="P131" s="1099">
        <f>ROUND((N131),2)</f>
        <v>110.97</v>
      </c>
      <c r="Q131" s="1205"/>
      <c r="R131" s="1217"/>
      <c r="S131" s="1205"/>
      <c r="T131" s="1205"/>
      <c r="U131" s="1205"/>
      <c r="V131" s="1206"/>
      <c r="W131" s="1206"/>
      <c r="X131" s="1206"/>
    </row>
    <row r="132" spans="1:24" ht="15.75" customHeight="1">
      <c r="A132" s="1225" t="s">
        <v>101</v>
      </c>
      <c r="B132" s="492" t="s">
        <v>428</v>
      </c>
      <c r="C132" s="1214"/>
      <c r="D132" s="1214"/>
      <c r="E132" s="1214"/>
      <c r="F132" s="1214"/>
      <c r="G132" s="1214"/>
      <c r="H132" s="1214"/>
      <c r="I132" s="1214"/>
      <c r="J132" s="1214"/>
      <c r="K132" s="1214"/>
      <c r="L132" s="1214"/>
      <c r="M132" s="1214"/>
      <c r="N132" s="1214"/>
      <c r="O132" s="1215"/>
      <c r="P132" s="1099"/>
      <c r="Q132" s="1205"/>
      <c r="R132" s="1217"/>
      <c r="S132" s="1205"/>
      <c r="T132" s="1205"/>
      <c r="U132" s="1205"/>
      <c r="V132" s="1206"/>
      <c r="W132" s="1206"/>
      <c r="X132" s="1206"/>
    </row>
    <row r="133" spans="1:24" ht="15.75" customHeight="1">
      <c r="A133" s="1225"/>
      <c r="B133" s="1227" t="str">
        <f>B129</f>
        <v>horisontal</v>
      </c>
      <c r="C133" s="1214">
        <f>(0.17+0.22)*2</f>
        <v>0.78</v>
      </c>
      <c r="D133" s="1214"/>
      <c r="E133" s="1214"/>
      <c r="F133" s="1214">
        <f>ROUNDDOWN((C129/0.125),0.1)</f>
        <v>48</v>
      </c>
      <c r="G133" s="1214"/>
      <c r="H133" s="1214"/>
      <c r="I133" s="1214">
        <f>0.05*2</f>
        <v>0.1</v>
      </c>
      <c r="J133" s="1214"/>
      <c r="K133" s="1214"/>
      <c r="L133" s="1214">
        <f>L114</f>
        <v>0.39456000000000002</v>
      </c>
      <c r="M133" s="1214">
        <f>M129</f>
        <v>2</v>
      </c>
      <c r="N133" s="1214">
        <f>(C133+I133)*F133*L133*M133</f>
        <v>33.332428800000002</v>
      </c>
      <c r="O133" s="1215"/>
      <c r="P133" s="1099"/>
      <c r="Q133" s="1205"/>
      <c r="R133" s="1217"/>
      <c r="S133" s="1205"/>
      <c r="T133" s="1205"/>
      <c r="U133" s="1205"/>
      <c r="V133" s="1206"/>
      <c r="W133" s="1206"/>
      <c r="X133" s="1206"/>
    </row>
    <row r="134" spans="1:24" ht="15.75" customHeight="1">
      <c r="A134" s="1225"/>
      <c r="B134" s="1227" t="str">
        <f>B130</f>
        <v>vertikal</v>
      </c>
      <c r="C134" s="1214">
        <f>C133</f>
        <v>0.78</v>
      </c>
      <c r="D134" s="1214"/>
      <c r="E134" s="1214"/>
      <c r="F134" s="1214">
        <f>ROUNDDOWN((C130/0.125),0.1)</f>
        <v>96</v>
      </c>
      <c r="G134" s="1214"/>
      <c r="H134" s="1214"/>
      <c r="I134" s="1214">
        <f>I133</f>
        <v>0.1</v>
      </c>
      <c r="J134" s="1214"/>
      <c r="K134" s="1214"/>
      <c r="L134" s="1214">
        <f>L133</f>
        <v>0.39456000000000002</v>
      </c>
      <c r="M134" s="1214">
        <f>M130</f>
        <v>2</v>
      </c>
      <c r="N134" s="1219">
        <f>(C134+I134)*F134*L134*M134</f>
        <v>66.664857600000005</v>
      </c>
      <c r="O134" s="1215"/>
      <c r="P134" s="1099"/>
      <c r="Q134" s="1205"/>
      <c r="R134" s="1217"/>
      <c r="S134" s="1205"/>
      <c r="T134" s="1205"/>
      <c r="U134" s="1205"/>
      <c r="V134" s="1206"/>
      <c r="W134" s="1206"/>
      <c r="X134" s="1206"/>
    </row>
    <row r="135" spans="1:24" ht="15.75" customHeight="1">
      <c r="A135" s="1225"/>
      <c r="B135" s="492"/>
      <c r="C135" s="1214"/>
      <c r="D135" s="1214"/>
      <c r="E135" s="1214"/>
      <c r="F135" s="1214"/>
      <c r="G135" s="1214"/>
      <c r="H135" s="1214"/>
      <c r="I135" s="1214"/>
      <c r="J135" s="1214"/>
      <c r="K135" s="1214"/>
      <c r="L135" s="1214"/>
      <c r="M135" s="1214"/>
      <c r="N135" s="1247">
        <f>SUM(N133:N134)</f>
        <v>99.997286400000007</v>
      </c>
      <c r="O135" s="1248" t="s">
        <v>100</v>
      </c>
      <c r="P135" s="1099">
        <f>ROUND((N135),2)</f>
        <v>100</v>
      </c>
      <c r="Q135" s="1205"/>
      <c r="R135" s="1217"/>
      <c r="S135" s="1205"/>
      <c r="T135" s="1205"/>
      <c r="U135" s="1205"/>
      <c r="V135" s="1206"/>
      <c r="W135" s="1206"/>
      <c r="X135" s="1206"/>
    </row>
    <row r="136" spans="1:24" ht="15.75" customHeight="1">
      <c r="A136" s="1225" t="s">
        <v>121</v>
      </c>
      <c r="B136" s="492" t="s">
        <v>1043</v>
      </c>
      <c r="C136" s="1214"/>
      <c r="D136" s="1214"/>
      <c r="E136" s="1214"/>
      <c r="F136" s="1214"/>
      <c r="G136" s="1214"/>
      <c r="H136" s="1214"/>
      <c r="I136" s="1214"/>
      <c r="J136" s="1214"/>
      <c r="K136" s="1214"/>
      <c r="L136" s="1214"/>
      <c r="M136" s="1214"/>
      <c r="N136" s="1214"/>
      <c r="O136" s="1215"/>
      <c r="P136" s="1099"/>
      <c r="Q136" s="1205"/>
      <c r="R136" s="1217"/>
      <c r="S136" s="1205"/>
      <c r="T136" s="1205"/>
      <c r="U136" s="1205"/>
      <c r="V136" s="1206"/>
      <c r="W136" s="1206"/>
      <c r="X136" s="1206"/>
    </row>
    <row r="137" spans="1:24" ht="15.75" customHeight="1">
      <c r="A137" s="1225"/>
      <c r="B137" s="1227" t="str">
        <f>B133</f>
        <v>horisontal</v>
      </c>
      <c r="C137" s="1214">
        <f>C129</f>
        <v>6</v>
      </c>
      <c r="D137" s="1214">
        <v>0.2</v>
      </c>
      <c r="E137" s="1214">
        <v>0.35</v>
      </c>
      <c r="F137" s="1214"/>
      <c r="G137" s="1214"/>
      <c r="H137" s="1214"/>
      <c r="I137" s="1214"/>
      <c r="J137" s="1214"/>
      <c r="K137" s="1214"/>
      <c r="L137" s="1214"/>
      <c r="M137" s="1214">
        <f>M133</f>
        <v>2</v>
      </c>
      <c r="N137" s="1214">
        <f>C137*D137*E137*M137</f>
        <v>0.84000000000000008</v>
      </c>
      <c r="O137" s="1215"/>
      <c r="P137" s="1099"/>
      <c r="Q137" s="1205"/>
      <c r="R137" s="1217"/>
      <c r="S137" s="1205"/>
      <c r="T137" s="1205"/>
      <c r="U137" s="1205"/>
      <c r="V137" s="1206"/>
      <c r="W137" s="1206"/>
      <c r="X137" s="1206"/>
    </row>
    <row r="138" spans="1:24" ht="15.75" customHeight="1">
      <c r="A138" s="1225"/>
      <c r="B138" s="1227" t="str">
        <f>B134</f>
        <v>vertikal</v>
      </c>
      <c r="C138" s="1214">
        <f>C130</f>
        <v>12</v>
      </c>
      <c r="D138" s="1214">
        <f>D137</f>
        <v>0.2</v>
      </c>
      <c r="E138" s="1214">
        <f>E137</f>
        <v>0.35</v>
      </c>
      <c r="F138" s="1214"/>
      <c r="G138" s="1214"/>
      <c r="H138" s="1214"/>
      <c r="I138" s="1214"/>
      <c r="J138" s="1214"/>
      <c r="K138" s="1214"/>
      <c r="L138" s="1214"/>
      <c r="M138" s="1214">
        <f>M134</f>
        <v>2</v>
      </c>
      <c r="N138" s="1219">
        <f>C138*D138*E138*M138</f>
        <v>1.6800000000000002</v>
      </c>
      <c r="O138" s="1215"/>
      <c r="P138" s="1099"/>
      <c r="Q138" s="1205"/>
      <c r="R138" s="1217"/>
      <c r="S138" s="1205"/>
      <c r="T138" s="1205"/>
      <c r="U138" s="1205"/>
      <c r="V138" s="1206"/>
      <c r="W138" s="1206"/>
      <c r="X138" s="1206"/>
    </row>
    <row r="139" spans="1:24" ht="15.75" customHeight="1">
      <c r="A139" s="1225"/>
      <c r="B139" s="492"/>
      <c r="C139" s="1214"/>
      <c r="D139" s="1214"/>
      <c r="E139" s="1214"/>
      <c r="F139" s="1214"/>
      <c r="G139" s="1214"/>
      <c r="H139" s="1214"/>
      <c r="I139" s="1214"/>
      <c r="J139" s="1214"/>
      <c r="K139" s="1214"/>
      <c r="L139" s="1214"/>
      <c r="M139" s="1214"/>
      <c r="N139" s="1247">
        <f>SUM(N137:N138)</f>
        <v>2.5200000000000005</v>
      </c>
      <c r="O139" s="1248" t="s">
        <v>103</v>
      </c>
      <c r="P139" s="1099">
        <f>ROUND((N139),2)</f>
        <v>2.52</v>
      </c>
      <c r="Q139" s="1205"/>
      <c r="R139" s="1217"/>
      <c r="S139" s="1205"/>
      <c r="T139" s="1205"/>
      <c r="U139" s="1205"/>
      <c r="V139" s="1206"/>
      <c r="W139" s="1206"/>
      <c r="X139" s="1206"/>
    </row>
    <row r="140" spans="1:24" ht="15.75" customHeight="1">
      <c r="A140" s="1218">
        <f>A121+1</f>
        <v>13</v>
      </c>
      <c r="B140" s="492" t="s">
        <v>553</v>
      </c>
      <c r="C140" s="1214"/>
      <c r="D140" s="1214"/>
      <c r="E140" s="1214"/>
      <c r="F140" s="1214"/>
      <c r="G140" s="1214"/>
      <c r="H140" s="1214"/>
      <c r="I140" s="1214"/>
      <c r="J140" s="1214"/>
      <c r="K140" s="1214"/>
      <c r="L140" s="1214"/>
      <c r="M140" s="1214"/>
      <c r="N140" s="1220"/>
      <c r="O140" s="1215"/>
      <c r="P140" s="1099"/>
      <c r="Q140" s="1205"/>
      <c r="R140" s="1217"/>
      <c r="S140" s="1205"/>
      <c r="T140" s="1205"/>
      <c r="U140" s="1205"/>
      <c r="V140" s="1206"/>
      <c r="W140" s="1206"/>
      <c r="X140" s="1206"/>
    </row>
    <row r="141" spans="1:24" ht="15.75" customHeight="1">
      <c r="A141" s="1225" t="s">
        <v>95</v>
      </c>
      <c r="B141" s="495" t="s">
        <v>423</v>
      </c>
      <c r="C141" s="1214"/>
      <c r="D141" s="1214"/>
      <c r="E141" s="1214"/>
      <c r="F141" s="1214"/>
      <c r="G141" s="1214"/>
      <c r="H141" s="1214"/>
      <c r="I141" s="1214"/>
      <c r="J141" s="1214"/>
      <c r="K141" s="1214"/>
      <c r="L141" s="1214"/>
      <c r="M141" s="1214"/>
      <c r="N141" s="1220"/>
      <c r="O141" s="1215"/>
      <c r="P141" s="1099"/>
      <c r="Q141" s="1205"/>
      <c r="R141" s="1217"/>
      <c r="S141" s="1205"/>
      <c r="T141" s="1205"/>
      <c r="U141" s="1205"/>
      <c r="V141" s="1206"/>
      <c r="W141" s="1206"/>
      <c r="X141" s="1206"/>
    </row>
    <row r="142" spans="1:24" ht="15.75" customHeight="1">
      <c r="A142" s="1225"/>
      <c r="B142" s="1227" t="s">
        <v>226</v>
      </c>
      <c r="C142" s="1214">
        <f>C123</f>
        <v>6</v>
      </c>
      <c r="D142" s="1214"/>
      <c r="E142" s="1214">
        <v>0.35</v>
      </c>
      <c r="F142" s="1214"/>
      <c r="G142" s="1214"/>
      <c r="H142" s="1214">
        <f>H125</f>
        <v>2</v>
      </c>
      <c r="I142" s="1214"/>
      <c r="J142" s="1214"/>
      <c r="K142" s="1214"/>
      <c r="L142" s="1214"/>
      <c r="M142" s="1214">
        <v>2</v>
      </c>
      <c r="N142" s="1214">
        <f>C142*E142*H142*M142</f>
        <v>8.3999999999999986</v>
      </c>
      <c r="O142" s="1215"/>
      <c r="P142" s="1099"/>
      <c r="Q142" s="1205"/>
      <c r="R142" s="1217"/>
      <c r="S142" s="1205"/>
      <c r="T142" s="1205"/>
      <c r="U142" s="1205"/>
      <c r="V142" s="1206"/>
      <c r="W142" s="1206"/>
      <c r="X142" s="1206"/>
    </row>
    <row r="143" spans="1:24" ht="15.75" customHeight="1">
      <c r="A143" s="1225"/>
      <c r="B143" s="1227"/>
      <c r="C143" s="1214">
        <f>C142</f>
        <v>6</v>
      </c>
      <c r="D143" s="1214">
        <v>0.2</v>
      </c>
      <c r="E143" s="1214"/>
      <c r="F143" s="1214"/>
      <c r="G143" s="1214"/>
      <c r="H143" s="1214">
        <v>1</v>
      </c>
      <c r="I143" s="1214"/>
      <c r="J143" s="1214"/>
      <c r="K143" s="1214"/>
      <c r="L143" s="1214"/>
      <c r="M143" s="1214">
        <f>M142</f>
        <v>2</v>
      </c>
      <c r="N143" s="1250">
        <f>C143*D143*H143*M143</f>
        <v>2.4000000000000004</v>
      </c>
      <c r="O143" s="1215"/>
      <c r="P143" s="1099"/>
      <c r="Q143" s="1205"/>
      <c r="R143" s="1217"/>
      <c r="S143" s="1205"/>
      <c r="T143" s="1205"/>
      <c r="U143" s="1205"/>
      <c r="V143" s="1206"/>
      <c r="W143" s="1206"/>
      <c r="X143" s="1206"/>
    </row>
    <row r="144" spans="1:24" ht="15.75" customHeight="1">
      <c r="A144" s="1225"/>
      <c r="B144" s="1227" t="s">
        <v>227</v>
      </c>
      <c r="C144" s="1214">
        <f>C125</f>
        <v>12</v>
      </c>
      <c r="D144" s="1214"/>
      <c r="E144" s="1214">
        <f>E142</f>
        <v>0.35</v>
      </c>
      <c r="F144" s="1214"/>
      <c r="G144" s="1214"/>
      <c r="H144" s="1214">
        <f>H142</f>
        <v>2</v>
      </c>
      <c r="I144" s="1214"/>
      <c r="J144" s="1214"/>
      <c r="K144" s="1214"/>
      <c r="L144" s="1214"/>
      <c r="M144" s="1214">
        <v>1</v>
      </c>
      <c r="N144" s="1214">
        <f>C144*E144*H144*M144</f>
        <v>8.3999999999999986</v>
      </c>
      <c r="O144" s="1215"/>
      <c r="P144" s="1099"/>
      <c r="Q144" s="1205"/>
      <c r="R144" s="1217"/>
      <c r="S144" s="1205"/>
      <c r="T144" s="1205"/>
      <c r="U144" s="1205"/>
      <c r="V144" s="1206"/>
      <c r="W144" s="1206"/>
      <c r="X144" s="1206"/>
    </row>
    <row r="145" spans="1:24" ht="15.75" customHeight="1">
      <c r="A145" s="1225"/>
      <c r="B145" s="495"/>
      <c r="C145" s="1214">
        <f>C144</f>
        <v>12</v>
      </c>
      <c r="D145" s="1214">
        <f>D143</f>
        <v>0.2</v>
      </c>
      <c r="E145" s="1214"/>
      <c r="F145" s="1214"/>
      <c r="G145" s="1214"/>
      <c r="H145" s="1214">
        <f>H143</f>
        <v>1</v>
      </c>
      <c r="I145" s="1214"/>
      <c r="J145" s="1214"/>
      <c r="K145" s="1214"/>
      <c r="L145" s="1214"/>
      <c r="M145" s="1214">
        <f>M144</f>
        <v>1</v>
      </c>
      <c r="N145" s="1219">
        <f>C145*D145*H145*M145</f>
        <v>2.4000000000000004</v>
      </c>
      <c r="O145" s="1215"/>
      <c r="P145" s="1099"/>
      <c r="Q145" s="1205"/>
      <c r="R145" s="1217"/>
      <c r="S145" s="1205"/>
      <c r="T145" s="1205"/>
      <c r="U145" s="1205"/>
      <c r="V145" s="1206"/>
      <c r="W145" s="1206"/>
      <c r="X145" s="1206"/>
    </row>
    <row r="146" spans="1:24" ht="15.75" customHeight="1">
      <c r="A146" s="1225"/>
      <c r="B146" s="495"/>
      <c r="C146" s="1214"/>
      <c r="D146" s="1214"/>
      <c r="E146" s="1214"/>
      <c r="F146" s="1214"/>
      <c r="G146" s="1214"/>
      <c r="H146" s="1214"/>
      <c r="I146" s="1214"/>
      <c r="J146" s="1214"/>
      <c r="K146" s="1214"/>
      <c r="L146" s="1214"/>
      <c r="M146" s="1214"/>
      <c r="N146" s="1247">
        <f>SUM(N142:N145)</f>
        <v>21.599999999999994</v>
      </c>
      <c r="O146" s="1248" t="s">
        <v>89</v>
      </c>
      <c r="P146" s="1099">
        <f>ROUND((N146),2)</f>
        <v>21.6</v>
      </c>
      <c r="Q146" s="1205"/>
      <c r="R146" s="1217"/>
      <c r="S146" s="1205"/>
      <c r="T146" s="1205"/>
      <c r="U146" s="1205"/>
      <c r="V146" s="1206"/>
      <c r="W146" s="1206"/>
      <c r="X146" s="1206"/>
    </row>
    <row r="147" spans="1:24" ht="15.75" customHeight="1">
      <c r="A147" s="1225" t="s">
        <v>98</v>
      </c>
      <c r="B147" s="492" t="s">
        <v>741</v>
      </c>
      <c r="C147" s="1214"/>
      <c r="D147" s="1214"/>
      <c r="E147" s="1214"/>
      <c r="F147" s="1214"/>
      <c r="G147" s="1214"/>
      <c r="H147" s="1214"/>
      <c r="I147" s="1214"/>
      <c r="J147" s="1214"/>
      <c r="K147" s="1214"/>
      <c r="L147" s="1214"/>
      <c r="M147" s="1214"/>
      <c r="N147" s="1214"/>
      <c r="O147" s="1215"/>
      <c r="P147" s="1099"/>
      <c r="Q147" s="1205"/>
      <c r="R147" s="1217"/>
      <c r="S147" s="1205"/>
      <c r="T147" s="1205"/>
      <c r="U147" s="1205"/>
      <c r="V147" s="1206"/>
      <c r="W147" s="1206"/>
      <c r="X147" s="1206"/>
    </row>
    <row r="148" spans="1:24" ht="15.75" customHeight="1">
      <c r="A148" s="1225"/>
      <c r="B148" s="1227" t="str">
        <f>B142</f>
        <v>horisontal</v>
      </c>
      <c r="C148" s="1214">
        <f>C142</f>
        <v>6</v>
      </c>
      <c r="D148" s="1214"/>
      <c r="E148" s="1214"/>
      <c r="F148" s="1214">
        <f>F129</f>
        <v>5</v>
      </c>
      <c r="G148" s="1214"/>
      <c r="H148" s="1214"/>
      <c r="I148" s="1214"/>
      <c r="J148" s="1214"/>
      <c r="K148" s="1214"/>
      <c r="L148" s="1214">
        <f>L129</f>
        <v>0.61650000000000005</v>
      </c>
      <c r="M148" s="1214">
        <f>M142</f>
        <v>2</v>
      </c>
      <c r="N148" s="1214">
        <f>C148*F148*L148*M148</f>
        <v>36.99</v>
      </c>
      <c r="O148" s="1215"/>
      <c r="P148" s="1099"/>
      <c r="Q148" s="1205"/>
      <c r="R148" s="1217"/>
      <c r="S148" s="1205"/>
      <c r="T148" s="1205"/>
      <c r="U148" s="1205"/>
      <c r="V148" s="1206"/>
      <c r="W148" s="1206"/>
      <c r="X148" s="1206"/>
    </row>
    <row r="149" spans="1:24" ht="15.75" customHeight="1">
      <c r="A149" s="1225"/>
      <c r="B149" s="1227" t="str">
        <f>B144</f>
        <v>vertikal</v>
      </c>
      <c r="C149" s="1214">
        <f>C144</f>
        <v>12</v>
      </c>
      <c r="D149" s="1214"/>
      <c r="E149" s="1214"/>
      <c r="F149" s="1214">
        <f>F148</f>
        <v>5</v>
      </c>
      <c r="G149" s="1214"/>
      <c r="H149" s="1214"/>
      <c r="I149" s="1214"/>
      <c r="J149" s="1214"/>
      <c r="K149" s="1214"/>
      <c r="L149" s="1214">
        <f>L130</f>
        <v>0.61650000000000005</v>
      </c>
      <c r="M149" s="1214">
        <f>M144</f>
        <v>1</v>
      </c>
      <c r="N149" s="1219">
        <f>C149*F149*L149*M149</f>
        <v>36.99</v>
      </c>
      <c r="O149" s="1215"/>
      <c r="P149" s="1099"/>
      <c r="Q149" s="1205"/>
      <c r="R149" s="1217"/>
      <c r="S149" s="1205"/>
      <c r="T149" s="1205"/>
      <c r="U149" s="1205"/>
      <c r="V149" s="1206"/>
      <c r="W149" s="1206"/>
      <c r="X149" s="1206"/>
    </row>
    <row r="150" spans="1:24" ht="15.75" customHeight="1">
      <c r="A150" s="1225"/>
      <c r="B150" s="492"/>
      <c r="C150" s="1214"/>
      <c r="D150" s="1214"/>
      <c r="E150" s="1214"/>
      <c r="F150" s="1214"/>
      <c r="G150" s="1214"/>
      <c r="H150" s="1214"/>
      <c r="I150" s="1214"/>
      <c r="J150" s="1214"/>
      <c r="K150" s="1214"/>
      <c r="L150" s="1214"/>
      <c r="M150" s="1214"/>
      <c r="N150" s="1247">
        <f>SUM(N148:N149)</f>
        <v>73.98</v>
      </c>
      <c r="O150" s="1248" t="s">
        <v>100</v>
      </c>
      <c r="P150" s="1099">
        <f>ROUND((N150),2)</f>
        <v>73.98</v>
      </c>
      <c r="Q150" s="1205"/>
      <c r="R150" s="1217"/>
      <c r="S150" s="1205"/>
      <c r="T150" s="1205"/>
      <c r="U150" s="1205"/>
      <c r="V150" s="1206"/>
      <c r="W150" s="1206"/>
      <c r="X150" s="1206"/>
    </row>
    <row r="151" spans="1:24" ht="15.75" customHeight="1">
      <c r="A151" s="1225" t="s">
        <v>101</v>
      </c>
      <c r="B151" s="492" t="s">
        <v>428</v>
      </c>
      <c r="C151" s="1214"/>
      <c r="D151" s="1214"/>
      <c r="E151" s="1214"/>
      <c r="F151" s="1214"/>
      <c r="G151" s="1214"/>
      <c r="H151" s="1214"/>
      <c r="I151" s="1214"/>
      <c r="J151" s="1214"/>
      <c r="K151" s="1214"/>
      <c r="L151" s="1214"/>
      <c r="M151" s="1214"/>
      <c r="N151" s="1214"/>
      <c r="O151" s="1215"/>
      <c r="P151" s="1099"/>
      <c r="Q151" s="1205"/>
      <c r="R151" s="1217"/>
      <c r="S151" s="1205"/>
      <c r="T151" s="1205"/>
      <c r="U151" s="1205"/>
      <c r="V151" s="1206"/>
      <c r="W151" s="1206"/>
      <c r="X151" s="1206"/>
    </row>
    <row r="152" spans="1:24" ht="15.75" customHeight="1">
      <c r="A152" s="1225"/>
      <c r="B152" s="1227" t="str">
        <f>B148</f>
        <v>horisontal</v>
      </c>
      <c r="C152" s="1214">
        <f>C133</f>
        <v>0.78</v>
      </c>
      <c r="D152" s="1214"/>
      <c r="E152" s="1214"/>
      <c r="F152" s="1214">
        <f>ROUNDDOWN((C148/0.125),0.1)</f>
        <v>48</v>
      </c>
      <c r="G152" s="1214"/>
      <c r="H152" s="1214"/>
      <c r="I152" s="1214">
        <f>I133</f>
        <v>0.1</v>
      </c>
      <c r="J152" s="1214"/>
      <c r="K152" s="1214"/>
      <c r="L152" s="1214">
        <f>L133</f>
        <v>0.39456000000000002</v>
      </c>
      <c r="M152" s="1214">
        <f>M148</f>
        <v>2</v>
      </c>
      <c r="N152" s="1214">
        <f>(C152+I152)*F152*L152*M152</f>
        <v>33.332428800000002</v>
      </c>
      <c r="O152" s="1215"/>
      <c r="P152" s="1099"/>
      <c r="Q152" s="1205"/>
      <c r="R152" s="1217"/>
      <c r="S152" s="1205"/>
      <c r="T152" s="1205"/>
      <c r="U152" s="1205"/>
      <c r="V152" s="1206"/>
      <c r="W152" s="1206"/>
      <c r="X152" s="1206"/>
    </row>
    <row r="153" spans="1:24" ht="15.75" customHeight="1">
      <c r="A153" s="1225"/>
      <c r="B153" s="1227" t="str">
        <f>B149</f>
        <v>vertikal</v>
      </c>
      <c r="C153" s="1214">
        <f>C134</f>
        <v>0.78</v>
      </c>
      <c r="D153" s="1214"/>
      <c r="E153" s="1214"/>
      <c r="F153" s="1214">
        <f>ROUNDDOWN((C149/0.125),0.1)</f>
        <v>96</v>
      </c>
      <c r="G153" s="1214"/>
      <c r="H153" s="1214"/>
      <c r="I153" s="1214">
        <f>I152</f>
        <v>0.1</v>
      </c>
      <c r="J153" s="1214"/>
      <c r="K153" s="1214"/>
      <c r="L153" s="1214">
        <f>L134</f>
        <v>0.39456000000000002</v>
      </c>
      <c r="M153" s="1214">
        <f>M149</f>
        <v>1</v>
      </c>
      <c r="N153" s="1219">
        <f>(C153+I153)*F153*L153*M153</f>
        <v>33.332428800000002</v>
      </c>
      <c r="O153" s="1215"/>
      <c r="P153" s="1099"/>
      <c r="Q153" s="1205"/>
      <c r="R153" s="1217"/>
      <c r="S153" s="1205"/>
      <c r="T153" s="1205"/>
      <c r="U153" s="1205"/>
      <c r="V153" s="1206"/>
      <c r="W153" s="1206"/>
      <c r="X153" s="1206"/>
    </row>
    <row r="154" spans="1:24" ht="15.75" customHeight="1">
      <c r="A154" s="1225"/>
      <c r="B154" s="1224"/>
      <c r="C154" s="1214"/>
      <c r="D154" s="1214"/>
      <c r="E154" s="1214"/>
      <c r="F154" s="1214"/>
      <c r="G154" s="1214"/>
      <c r="H154" s="1214"/>
      <c r="I154" s="1214"/>
      <c r="J154" s="1214"/>
      <c r="K154" s="1214"/>
      <c r="L154" s="1214"/>
      <c r="M154" s="1214"/>
      <c r="N154" s="1247">
        <f>SUM(N152:N153)</f>
        <v>66.664857600000005</v>
      </c>
      <c r="O154" s="1248" t="s">
        <v>100</v>
      </c>
      <c r="P154" s="1099">
        <f>ROUND((N154),2)</f>
        <v>66.66</v>
      </c>
      <c r="Q154" s="1205"/>
      <c r="R154" s="1217"/>
      <c r="S154" s="1205"/>
      <c r="T154" s="1205"/>
      <c r="U154" s="1205"/>
      <c r="V154" s="1206"/>
      <c r="W154" s="1206"/>
      <c r="X154" s="1206"/>
    </row>
    <row r="155" spans="1:24" ht="15.75" customHeight="1">
      <c r="A155" s="1225" t="s">
        <v>121</v>
      </c>
      <c r="B155" s="1224" t="s">
        <v>169</v>
      </c>
      <c r="C155" s="1214"/>
      <c r="D155" s="1214"/>
      <c r="E155" s="1214"/>
      <c r="F155" s="1214"/>
      <c r="G155" s="1214"/>
      <c r="H155" s="1214"/>
      <c r="I155" s="1214"/>
      <c r="J155" s="1214"/>
      <c r="K155" s="1214"/>
      <c r="L155" s="1214"/>
      <c r="M155" s="1214"/>
      <c r="N155" s="1214"/>
      <c r="O155" s="1215"/>
      <c r="P155" s="1099"/>
      <c r="Q155" s="1205"/>
      <c r="R155" s="1217"/>
      <c r="S155" s="1205"/>
      <c r="T155" s="1205"/>
      <c r="U155" s="1205"/>
      <c r="V155" s="1206"/>
      <c r="W155" s="1206"/>
      <c r="X155" s="1206"/>
    </row>
    <row r="156" spans="1:24" ht="15.75" customHeight="1">
      <c r="A156" s="1225"/>
      <c r="B156" s="1227" t="str">
        <f>B152</f>
        <v>horisontal</v>
      </c>
      <c r="C156" s="1214">
        <f>C148</f>
        <v>6</v>
      </c>
      <c r="D156" s="1214">
        <f>D143</f>
        <v>0.2</v>
      </c>
      <c r="E156" s="1214">
        <f>E142</f>
        <v>0.35</v>
      </c>
      <c r="F156" s="1214"/>
      <c r="G156" s="1214"/>
      <c r="H156" s="1214"/>
      <c r="I156" s="1214"/>
      <c r="J156" s="1214"/>
      <c r="K156" s="1214"/>
      <c r="L156" s="1214"/>
      <c r="M156" s="1214">
        <f>M152</f>
        <v>2</v>
      </c>
      <c r="N156" s="1214">
        <f>C156*D156*E156*M156</f>
        <v>0.84000000000000008</v>
      </c>
      <c r="O156" s="1215"/>
      <c r="P156" s="1099"/>
      <c r="Q156" s="1205"/>
      <c r="R156" s="1217"/>
      <c r="S156" s="1205"/>
      <c r="T156" s="1205"/>
      <c r="U156" s="1205"/>
      <c r="V156" s="1206"/>
      <c r="W156" s="1206"/>
      <c r="X156" s="1206"/>
    </row>
    <row r="157" spans="1:24" ht="15.75" customHeight="1">
      <c r="A157" s="1225"/>
      <c r="B157" s="1227" t="str">
        <f>B153</f>
        <v>vertikal</v>
      </c>
      <c r="C157" s="1214">
        <f>C149</f>
        <v>12</v>
      </c>
      <c r="D157" s="1214">
        <f>D156</f>
        <v>0.2</v>
      </c>
      <c r="E157" s="1214">
        <f>E156</f>
        <v>0.35</v>
      </c>
      <c r="F157" s="1214"/>
      <c r="G157" s="1214"/>
      <c r="H157" s="1214"/>
      <c r="I157" s="1214"/>
      <c r="J157" s="1214"/>
      <c r="K157" s="1214"/>
      <c r="L157" s="1214"/>
      <c r="M157" s="1214">
        <f>M153</f>
        <v>1</v>
      </c>
      <c r="N157" s="1219">
        <f>C157*D157*E157*M157</f>
        <v>0.84000000000000008</v>
      </c>
      <c r="O157" s="1215"/>
      <c r="P157" s="1099"/>
      <c r="Q157" s="1205"/>
      <c r="R157" s="1217"/>
      <c r="S157" s="1205"/>
      <c r="T157" s="1205"/>
      <c r="U157" s="1205"/>
      <c r="V157" s="1206"/>
      <c r="W157" s="1206"/>
      <c r="X157" s="1206"/>
    </row>
    <row r="158" spans="1:24" ht="15.75" customHeight="1">
      <c r="A158" s="1225"/>
      <c r="B158" s="1224"/>
      <c r="C158" s="1214"/>
      <c r="D158" s="1214"/>
      <c r="E158" s="1214"/>
      <c r="F158" s="1214"/>
      <c r="G158" s="1214"/>
      <c r="H158" s="1214"/>
      <c r="I158" s="1214"/>
      <c r="J158" s="1214"/>
      <c r="K158" s="1214"/>
      <c r="L158" s="1214"/>
      <c r="M158" s="1214"/>
      <c r="N158" s="1247">
        <f>SUM(N156:N157)</f>
        <v>1.6800000000000002</v>
      </c>
      <c r="O158" s="1248" t="s">
        <v>103</v>
      </c>
      <c r="P158" s="1099">
        <f>ROUND((N158),2)</f>
        <v>1.68</v>
      </c>
      <c r="Q158" s="1205"/>
      <c r="R158" s="1217"/>
      <c r="S158" s="1205"/>
      <c r="T158" s="1205"/>
      <c r="U158" s="1205"/>
      <c r="V158" s="1206"/>
      <c r="W158" s="1206"/>
      <c r="X158" s="1206"/>
    </row>
    <row r="159" spans="1:24" ht="15.75" customHeight="1">
      <c r="A159" s="1218">
        <f>A140+1</f>
        <v>14</v>
      </c>
      <c r="B159" s="495" t="s">
        <v>819</v>
      </c>
      <c r="C159" s="1214"/>
      <c r="D159" s="1214"/>
      <c r="E159" s="1214"/>
      <c r="F159" s="1214"/>
      <c r="G159" s="1214"/>
      <c r="H159" s="1214"/>
      <c r="I159" s="1214"/>
      <c r="J159" s="1214"/>
      <c r="K159" s="1214"/>
      <c r="L159" s="1214"/>
      <c r="M159" s="1214"/>
      <c r="N159" s="1214"/>
      <c r="O159" s="1215"/>
      <c r="P159" s="1099"/>
      <c r="Q159" s="1205"/>
      <c r="R159" s="1217"/>
      <c r="S159" s="1205"/>
      <c r="T159" s="1205"/>
      <c r="U159" s="1205"/>
      <c r="V159" s="1206"/>
      <c r="W159" s="1206"/>
      <c r="X159" s="1206"/>
    </row>
    <row r="160" spans="1:24" ht="15.75" customHeight="1">
      <c r="A160" s="1225" t="s">
        <v>95</v>
      </c>
      <c r="B160" s="495" t="s">
        <v>1393</v>
      </c>
      <c r="C160" s="1214">
        <v>6</v>
      </c>
      <c r="D160" s="1214"/>
      <c r="E160" s="1214">
        <v>0.2</v>
      </c>
      <c r="F160" s="1214"/>
      <c r="G160" s="1214"/>
      <c r="H160" s="1214">
        <v>2</v>
      </c>
      <c r="I160" s="1214"/>
      <c r="J160" s="1214"/>
      <c r="K160" s="1214"/>
      <c r="L160" s="1214"/>
      <c r="M160" s="1214">
        <v>1</v>
      </c>
      <c r="N160" s="1214">
        <f>C160*E160*H160*M160+N161</f>
        <v>3.3000000000000003</v>
      </c>
      <c r="O160" s="1215" t="s">
        <v>89</v>
      </c>
      <c r="P160" s="1099">
        <f>ROUND((N160),2)</f>
        <v>3.3</v>
      </c>
      <c r="Q160" s="1205"/>
      <c r="R160" s="1217"/>
      <c r="S160" s="1205"/>
      <c r="T160" s="1205"/>
      <c r="U160" s="1205"/>
      <c r="V160" s="1206"/>
      <c r="W160" s="1206"/>
      <c r="X160" s="1206"/>
    </row>
    <row r="161" spans="1:24" ht="15.75" customHeight="1">
      <c r="A161" s="1225"/>
      <c r="B161" s="495"/>
      <c r="C161" s="1214">
        <v>6</v>
      </c>
      <c r="D161" s="1214">
        <v>0.15</v>
      </c>
      <c r="E161" s="1214"/>
      <c r="F161" s="1214"/>
      <c r="G161" s="1214"/>
      <c r="H161" s="1214">
        <v>1</v>
      </c>
      <c r="I161" s="1214"/>
      <c r="J161" s="1214"/>
      <c r="K161" s="1214"/>
      <c r="L161" s="1214"/>
      <c r="M161" s="1214">
        <f>M160</f>
        <v>1</v>
      </c>
      <c r="N161" s="1214">
        <f>C161*D161*H161*M161</f>
        <v>0.89999999999999991</v>
      </c>
      <c r="O161" s="1215"/>
      <c r="P161" s="1099"/>
      <c r="Q161" s="1205"/>
      <c r="R161" s="1217"/>
      <c r="S161" s="1205"/>
      <c r="T161" s="1205"/>
      <c r="U161" s="1205"/>
      <c r="V161" s="1206"/>
      <c r="W161" s="1206"/>
      <c r="X161" s="1206"/>
    </row>
    <row r="162" spans="1:24" ht="15.75" customHeight="1">
      <c r="A162" s="1225" t="s">
        <v>98</v>
      </c>
      <c r="B162" s="492" t="s">
        <v>410</v>
      </c>
      <c r="C162" s="1214">
        <f>C160</f>
        <v>6</v>
      </c>
      <c r="D162" s="1214"/>
      <c r="E162" s="1214"/>
      <c r="F162" s="1214">
        <v>4</v>
      </c>
      <c r="G162" s="1214"/>
      <c r="H162" s="1214"/>
      <c r="I162" s="1214"/>
      <c r="J162" s="1214"/>
      <c r="K162" s="1214"/>
      <c r="L162" s="1214">
        <f>L148</f>
        <v>0.61650000000000005</v>
      </c>
      <c r="M162" s="1214">
        <f>M161</f>
        <v>1</v>
      </c>
      <c r="N162" s="1214">
        <f>C162*F162*L162*M162</f>
        <v>14.796000000000001</v>
      </c>
      <c r="O162" s="1215" t="s">
        <v>100</v>
      </c>
      <c r="P162" s="1099">
        <f>ROUND((N162),2)</f>
        <v>14.8</v>
      </c>
      <c r="Q162" s="1205"/>
      <c r="R162" s="1217"/>
      <c r="S162" s="1205"/>
      <c r="T162" s="1205"/>
      <c r="U162" s="1205"/>
      <c r="V162" s="1206"/>
      <c r="W162" s="1206"/>
      <c r="X162" s="1206"/>
    </row>
    <row r="163" spans="1:24" ht="15.75" customHeight="1">
      <c r="A163" s="1225" t="s">
        <v>101</v>
      </c>
      <c r="B163" s="492" t="s">
        <v>411</v>
      </c>
      <c r="C163" s="1214">
        <f>(0.1+0.15)*2</f>
        <v>0.5</v>
      </c>
      <c r="D163" s="1214"/>
      <c r="E163" s="1214"/>
      <c r="F163" s="1214">
        <f>ROUNDDOWN((C162/0.15),0.1)</f>
        <v>40</v>
      </c>
      <c r="G163" s="1214"/>
      <c r="H163" s="1214"/>
      <c r="I163" s="1214">
        <f>0.05*2</f>
        <v>0.1</v>
      </c>
      <c r="J163" s="1214"/>
      <c r="K163" s="1214"/>
      <c r="L163" s="1214">
        <f>L152</f>
        <v>0.39456000000000002</v>
      </c>
      <c r="M163" s="1214">
        <f>M162</f>
        <v>1</v>
      </c>
      <c r="N163" s="1214">
        <f>(C163+I163)*F163*L163*M163</f>
        <v>9.4694400000000005</v>
      </c>
      <c r="O163" s="1215" t="s">
        <v>100</v>
      </c>
      <c r="P163" s="1099">
        <f>ROUND((N163),2)</f>
        <v>9.4700000000000006</v>
      </c>
      <c r="Q163" s="1205"/>
      <c r="R163" s="1217"/>
      <c r="S163" s="1205"/>
      <c r="T163" s="1205"/>
      <c r="U163" s="1205"/>
      <c r="V163" s="1206"/>
      <c r="W163" s="1206"/>
      <c r="X163" s="1206"/>
    </row>
    <row r="164" spans="1:24" ht="15.75" customHeight="1">
      <c r="A164" s="1225" t="s">
        <v>121</v>
      </c>
      <c r="B164" s="1224" t="s">
        <v>429</v>
      </c>
      <c r="C164" s="1214">
        <f>C160</f>
        <v>6</v>
      </c>
      <c r="D164" s="1214">
        <f>D161</f>
        <v>0.15</v>
      </c>
      <c r="E164" s="1214">
        <f>E160</f>
        <v>0.2</v>
      </c>
      <c r="F164" s="1214"/>
      <c r="G164" s="1214"/>
      <c r="H164" s="1214"/>
      <c r="I164" s="1214"/>
      <c r="J164" s="1214"/>
      <c r="K164" s="1214"/>
      <c r="L164" s="1214"/>
      <c r="M164" s="1214">
        <f>M163</f>
        <v>1</v>
      </c>
      <c r="N164" s="1214">
        <f>C164*D164*E164*M164</f>
        <v>0.18</v>
      </c>
      <c r="O164" s="1215" t="s">
        <v>103</v>
      </c>
      <c r="P164" s="1099">
        <f>ROUND((N164),2)</f>
        <v>0.18</v>
      </c>
      <c r="Q164" s="1205"/>
      <c r="R164" s="1217"/>
      <c r="S164" s="1205"/>
      <c r="T164" s="1205"/>
      <c r="U164" s="1205"/>
      <c r="V164" s="1206"/>
      <c r="W164" s="1206"/>
      <c r="X164" s="1206"/>
    </row>
    <row r="165" spans="1:24" s="1233" customFormat="1" ht="15.75" customHeight="1">
      <c r="A165" s="1218">
        <f>A159+1</f>
        <v>15</v>
      </c>
      <c r="B165" s="492" t="s">
        <v>424</v>
      </c>
      <c r="C165" s="1251"/>
      <c r="D165" s="1251"/>
      <c r="E165" s="1251"/>
      <c r="F165" s="1251"/>
      <c r="G165" s="1251"/>
      <c r="H165" s="1251"/>
      <c r="I165" s="1251"/>
      <c r="J165" s="1251"/>
      <c r="K165" s="1251"/>
      <c r="L165" s="1251"/>
      <c r="M165" s="1214"/>
      <c r="N165" s="1251"/>
      <c r="O165" s="1215"/>
      <c r="P165" s="1099"/>
      <c r="Q165" s="1205"/>
      <c r="R165" s="1252"/>
      <c r="S165" s="1205"/>
      <c r="T165" s="1205"/>
      <c r="U165" s="1205"/>
      <c r="V165" s="1253"/>
      <c r="W165" s="1253"/>
      <c r="X165" s="1253"/>
    </row>
    <row r="166" spans="1:24" s="1233" customFormat="1" ht="15.75" customHeight="1">
      <c r="A166" s="1218"/>
      <c r="B166" s="351" t="s">
        <v>964</v>
      </c>
      <c r="C166" s="1251"/>
      <c r="D166" s="1251"/>
      <c r="E166" s="1251"/>
      <c r="F166" s="1251"/>
      <c r="G166" s="1251"/>
      <c r="H166" s="1251"/>
      <c r="I166" s="1251"/>
      <c r="J166" s="1251"/>
      <c r="K166" s="1251"/>
      <c r="L166" s="1251"/>
      <c r="M166" s="1251"/>
      <c r="N166" s="1251"/>
      <c r="O166" s="1215"/>
      <c r="P166" s="1099"/>
      <c r="Q166" s="1205"/>
      <c r="R166" s="1252"/>
      <c r="S166" s="1205"/>
      <c r="T166" s="1205"/>
      <c r="U166" s="1205"/>
      <c r="V166" s="1253"/>
      <c r="W166" s="1253"/>
      <c r="X166" s="1253"/>
    </row>
    <row r="167" spans="1:24" s="1233" customFormat="1" ht="15.75" customHeight="1">
      <c r="A167" s="1225" t="s">
        <v>95</v>
      </c>
      <c r="B167" s="492" t="s">
        <v>423</v>
      </c>
      <c r="C167" s="1251"/>
      <c r="D167" s="1251"/>
      <c r="E167" s="1251"/>
      <c r="F167" s="1251"/>
      <c r="G167" s="1251"/>
      <c r="H167" s="1251"/>
      <c r="I167" s="1251"/>
      <c r="J167" s="1251"/>
      <c r="K167" s="1251"/>
      <c r="L167" s="1251"/>
      <c r="M167" s="1251"/>
      <c r="N167" s="1251"/>
      <c r="O167" s="1215"/>
      <c r="P167" s="1099"/>
      <c r="Q167" s="1205"/>
      <c r="R167" s="1252"/>
      <c r="S167" s="1205"/>
      <c r="T167" s="1205"/>
      <c r="U167" s="1205"/>
      <c r="V167" s="1253"/>
      <c r="W167" s="1253"/>
      <c r="X167" s="1253"/>
    </row>
    <row r="168" spans="1:24" s="1233" customFormat="1" ht="15.75" customHeight="1">
      <c r="A168" s="1225"/>
      <c r="B168" s="1227" t="s">
        <v>1010</v>
      </c>
      <c r="C168" s="1251">
        <f>D259*2</f>
        <v>9.734</v>
      </c>
      <c r="D168" s="1251"/>
      <c r="E168" s="1251">
        <v>0.2</v>
      </c>
      <c r="F168" s="1251">
        <v>1</v>
      </c>
      <c r="G168" s="1251"/>
      <c r="H168" s="1251">
        <v>2</v>
      </c>
      <c r="I168" s="1251"/>
      <c r="J168" s="1251"/>
      <c r="K168" s="1251"/>
      <c r="L168" s="1251"/>
      <c r="M168" s="1251">
        <v>2</v>
      </c>
      <c r="N168" s="1251">
        <f>C168*E168*H168*M168</f>
        <v>7.7872000000000003</v>
      </c>
      <c r="O168" s="1215"/>
      <c r="P168" s="1099"/>
      <c r="Q168" s="1205"/>
      <c r="R168" s="1252"/>
      <c r="S168" s="1205"/>
      <c r="T168" s="1205"/>
      <c r="U168" s="1205"/>
      <c r="V168" s="1253"/>
      <c r="W168" s="1253"/>
      <c r="X168" s="1253"/>
    </row>
    <row r="169" spans="1:24" s="1233" customFormat="1" ht="15.75" customHeight="1">
      <c r="A169" s="1225"/>
      <c r="B169" s="492"/>
      <c r="C169" s="1251">
        <f>C168</f>
        <v>9.734</v>
      </c>
      <c r="D169" s="1251">
        <v>0.15</v>
      </c>
      <c r="E169" s="1251"/>
      <c r="F169" s="1251">
        <f>F168</f>
        <v>1</v>
      </c>
      <c r="G169" s="1251"/>
      <c r="H169" s="1251">
        <v>1</v>
      </c>
      <c r="I169" s="1251"/>
      <c r="J169" s="1251"/>
      <c r="K169" s="1251"/>
      <c r="L169" s="1251"/>
      <c r="M169" s="1251">
        <f>M168</f>
        <v>2</v>
      </c>
      <c r="N169" s="1251">
        <f>C169*D169*H169*M169</f>
        <v>2.9201999999999999</v>
      </c>
      <c r="O169" s="1215"/>
      <c r="P169" s="1099"/>
      <c r="Q169" s="1205"/>
      <c r="R169" s="1252"/>
      <c r="S169" s="1205"/>
      <c r="T169" s="1205"/>
      <c r="U169" s="1205"/>
      <c r="V169" s="1253"/>
      <c r="W169" s="1253"/>
      <c r="X169" s="1253"/>
    </row>
    <row r="170" spans="1:24" s="1233" customFormat="1" ht="15.75" customHeight="1">
      <c r="A170" s="1225"/>
      <c r="B170" s="1227" t="s">
        <v>1011</v>
      </c>
      <c r="C170" s="1251">
        <v>1.5</v>
      </c>
      <c r="D170" s="1251"/>
      <c r="E170" s="1251">
        <v>0.2</v>
      </c>
      <c r="F170" s="1251">
        <v>2</v>
      </c>
      <c r="G170" s="1251"/>
      <c r="H170" s="1251">
        <v>2</v>
      </c>
      <c r="I170" s="1251"/>
      <c r="J170" s="1251"/>
      <c r="K170" s="1251"/>
      <c r="L170" s="1251"/>
      <c r="M170" s="1251">
        <f>M169</f>
        <v>2</v>
      </c>
      <c r="N170" s="1251">
        <f>C170*E170*H170*M170</f>
        <v>1.2000000000000002</v>
      </c>
      <c r="O170" s="1215"/>
      <c r="P170" s="1099"/>
      <c r="Q170" s="1205"/>
      <c r="R170" s="1252"/>
      <c r="S170" s="1205"/>
      <c r="T170" s="1205"/>
      <c r="U170" s="1205"/>
      <c r="V170" s="1253"/>
      <c r="W170" s="1253"/>
      <c r="X170" s="1253"/>
    </row>
    <row r="171" spans="1:24" s="1233" customFormat="1" ht="15.75" customHeight="1">
      <c r="A171" s="1225"/>
      <c r="B171" s="492"/>
      <c r="C171" s="1251">
        <f>C170</f>
        <v>1.5</v>
      </c>
      <c r="D171" s="1251">
        <f>D169</f>
        <v>0.15</v>
      </c>
      <c r="E171" s="1251"/>
      <c r="F171" s="1251">
        <f>F170</f>
        <v>2</v>
      </c>
      <c r="G171" s="1251"/>
      <c r="H171" s="1251">
        <v>1</v>
      </c>
      <c r="I171" s="1251"/>
      <c r="J171" s="1251"/>
      <c r="K171" s="1251"/>
      <c r="L171" s="1251"/>
      <c r="M171" s="1251">
        <f>M170</f>
        <v>2</v>
      </c>
      <c r="N171" s="1254">
        <f>C171*D171*H171*M171</f>
        <v>0.44999999999999996</v>
      </c>
      <c r="O171" s="1215"/>
      <c r="P171" s="1099"/>
      <c r="Q171" s="1205"/>
      <c r="R171" s="1252"/>
      <c r="S171" s="1205"/>
      <c r="T171" s="1205"/>
      <c r="U171" s="1205"/>
      <c r="V171" s="1253"/>
      <c r="W171" s="1253"/>
      <c r="X171" s="1253"/>
    </row>
    <row r="172" spans="1:24" s="1233" customFormat="1" ht="15.75" customHeight="1">
      <c r="A172" s="1225"/>
      <c r="B172" s="492"/>
      <c r="C172" s="1251"/>
      <c r="D172" s="1251"/>
      <c r="E172" s="1251"/>
      <c r="F172" s="1251"/>
      <c r="G172" s="1251"/>
      <c r="H172" s="1251"/>
      <c r="I172" s="1251"/>
      <c r="J172" s="1251"/>
      <c r="K172" s="1251"/>
      <c r="L172" s="1251"/>
      <c r="M172" s="1251"/>
      <c r="N172" s="1255">
        <f>SUM(N168:N171)/2</f>
        <v>6.1786999999999992</v>
      </c>
      <c r="O172" s="1215" t="s">
        <v>89</v>
      </c>
      <c r="P172" s="1099">
        <f>ROUND((N172),2)</f>
        <v>6.18</v>
      </c>
      <c r="Q172" s="1205"/>
      <c r="R172" s="1252"/>
      <c r="S172" s="1205"/>
      <c r="T172" s="1205"/>
      <c r="U172" s="1205"/>
      <c r="V172" s="1253"/>
      <c r="W172" s="1253"/>
      <c r="X172" s="1253"/>
    </row>
    <row r="173" spans="1:24" s="1233" customFormat="1" ht="15.75" customHeight="1">
      <c r="A173" s="1225" t="s">
        <v>98</v>
      </c>
      <c r="B173" s="492" t="s">
        <v>427</v>
      </c>
      <c r="C173" s="1251"/>
      <c r="D173" s="1251"/>
      <c r="E173" s="1251"/>
      <c r="F173" s="1251"/>
      <c r="G173" s="1251"/>
      <c r="H173" s="1251"/>
      <c r="I173" s="1251"/>
      <c r="J173" s="1251"/>
      <c r="K173" s="1251"/>
      <c r="L173" s="1251"/>
      <c r="M173" s="1251"/>
      <c r="N173" s="1251"/>
      <c r="O173" s="1215"/>
      <c r="P173" s="1099"/>
      <c r="Q173" s="1205"/>
      <c r="R173" s="1252"/>
      <c r="S173" s="1205"/>
      <c r="T173" s="1205"/>
      <c r="U173" s="1205"/>
      <c r="V173" s="1253"/>
      <c r="W173" s="1253"/>
      <c r="X173" s="1253"/>
    </row>
    <row r="174" spans="1:24" s="1233" customFormat="1" ht="15.75" customHeight="1">
      <c r="A174" s="1225"/>
      <c r="B174" s="1227" t="s">
        <v>1010</v>
      </c>
      <c r="C174" s="1251">
        <f>C168</f>
        <v>9.734</v>
      </c>
      <c r="D174" s="1251"/>
      <c r="E174" s="1251"/>
      <c r="F174" s="1251">
        <v>4</v>
      </c>
      <c r="G174" s="1251"/>
      <c r="H174" s="1251"/>
      <c r="I174" s="1251">
        <v>0.1</v>
      </c>
      <c r="J174" s="1251"/>
      <c r="K174" s="1251"/>
      <c r="L174" s="1251">
        <f>0.006165*10*10</f>
        <v>0.61650000000000005</v>
      </c>
      <c r="M174" s="1251">
        <f>M168*F168</f>
        <v>2</v>
      </c>
      <c r="N174" s="1251">
        <f>(C174+I174)*F174*L174*M174</f>
        <v>48.501288000000002</v>
      </c>
      <c r="O174" s="1215"/>
      <c r="P174" s="1099"/>
      <c r="Q174" s="1205"/>
      <c r="R174" s="1252"/>
      <c r="S174" s="1205"/>
      <c r="T174" s="1205"/>
      <c r="U174" s="1205"/>
      <c r="V174" s="1253"/>
      <c r="W174" s="1253"/>
      <c r="X174" s="1253"/>
    </row>
    <row r="175" spans="1:24" s="1233" customFormat="1" ht="15.75" customHeight="1">
      <c r="A175" s="1225"/>
      <c r="B175" s="1227" t="s">
        <v>1011</v>
      </c>
      <c r="C175" s="1251">
        <f>C171</f>
        <v>1.5</v>
      </c>
      <c r="D175" s="1251"/>
      <c r="E175" s="1251"/>
      <c r="F175" s="1251">
        <f>F174</f>
        <v>4</v>
      </c>
      <c r="G175" s="1251"/>
      <c r="H175" s="1251"/>
      <c r="I175" s="1251">
        <f>I174</f>
        <v>0.1</v>
      </c>
      <c r="J175" s="1251"/>
      <c r="K175" s="1251"/>
      <c r="L175" s="1251">
        <f>L174</f>
        <v>0.61650000000000005</v>
      </c>
      <c r="M175" s="1251">
        <f>M170*F170</f>
        <v>4</v>
      </c>
      <c r="N175" s="1254">
        <f>(C175+I175)*F175*L175*M175</f>
        <v>15.782400000000003</v>
      </c>
      <c r="O175" s="1215"/>
      <c r="P175" s="1099"/>
      <c r="Q175" s="1205"/>
      <c r="R175" s="1252"/>
      <c r="S175" s="1205"/>
      <c r="T175" s="1205"/>
      <c r="U175" s="1205"/>
      <c r="V175" s="1253"/>
      <c r="W175" s="1253"/>
      <c r="X175" s="1253"/>
    </row>
    <row r="176" spans="1:24" s="1233" customFormat="1" ht="15.75" customHeight="1">
      <c r="A176" s="1225"/>
      <c r="B176" s="492"/>
      <c r="C176" s="1251"/>
      <c r="D176" s="1251"/>
      <c r="E176" s="1251"/>
      <c r="F176" s="1251"/>
      <c r="G176" s="1251"/>
      <c r="H176" s="1251"/>
      <c r="I176" s="1251"/>
      <c r="J176" s="1251"/>
      <c r="K176" s="1251"/>
      <c r="L176" s="1251"/>
      <c r="M176" s="1251"/>
      <c r="N176" s="1255">
        <f>SUM(N174:N175)</f>
        <v>64.283688000000012</v>
      </c>
      <c r="O176" s="1215" t="s">
        <v>100</v>
      </c>
      <c r="P176" s="1099">
        <f>ROUND((N176),2)</f>
        <v>64.28</v>
      </c>
      <c r="Q176" s="1205"/>
      <c r="R176" s="1252"/>
      <c r="S176" s="1205"/>
      <c r="T176" s="1205"/>
      <c r="U176" s="1205"/>
      <c r="V176" s="1253"/>
      <c r="W176" s="1253"/>
      <c r="X176" s="1253"/>
    </row>
    <row r="177" spans="1:24" s="1233" customFormat="1" ht="15.75" customHeight="1">
      <c r="A177" s="1225" t="s">
        <v>101</v>
      </c>
      <c r="B177" s="492" t="s">
        <v>428</v>
      </c>
      <c r="C177" s="1251"/>
      <c r="D177" s="1251"/>
      <c r="E177" s="1251"/>
      <c r="F177" s="1251"/>
      <c r="G177" s="1251"/>
      <c r="H177" s="1251"/>
      <c r="I177" s="1251"/>
      <c r="J177" s="1251"/>
      <c r="K177" s="1251"/>
      <c r="L177" s="1251"/>
      <c r="M177" s="1251"/>
      <c r="N177" s="1251"/>
      <c r="O177" s="1215"/>
      <c r="P177" s="1099"/>
      <c r="Q177" s="1205"/>
      <c r="R177" s="1252"/>
      <c r="S177" s="1205"/>
      <c r="T177" s="1205"/>
      <c r="U177" s="1205"/>
      <c r="V177" s="1253"/>
      <c r="W177" s="1253"/>
      <c r="X177" s="1253"/>
    </row>
    <row r="178" spans="1:24" s="1233" customFormat="1" ht="15.75" customHeight="1">
      <c r="A178" s="1225"/>
      <c r="B178" s="1227" t="s">
        <v>1010</v>
      </c>
      <c r="C178" s="1251">
        <f>(0.1+0.15)*2</f>
        <v>0.5</v>
      </c>
      <c r="D178" s="1251"/>
      <c r="E178" s="1251"/>
      <c r="F178" s="1251">
        <f>ROUNDDOWN((C174/0.125),0.1)</f>
        <v>77</v>
      </c>
      <c r="G178" s="1251"/>
      <c r="H178" s="1251"/>
      <c r="I178" s="1251">
        <v>0.1</v>
      </c>
      <c r="J178" s="1251"/>
      <c r="K178" s="1251"/>
      <c r="L178" s="1251">
        <f>L152</f>
        <v>0.39456000000000002</v>
      </c>
      <c r="M178" s="1251">
        <f>M174</f>
        <v>2</v>
      </c>
      <c r="N178" s="1251">
        <f>(C178+I178)*F178*L178*M178</f>
        <v>36.457343999999999</v>
      </c>
      <c r="O178" s="1215"/>
      <c r="P178" s="1099"/>
      <c r="Q178" s="1205"/>
      <c r="R178" s="1252"/>
      <c r="S178" s="1205"/>
      <c r="T178" s="1205"/>
      <c r="U178" s="1205"/>
      <c r="V178" s="1253"/>
      <c r="W178" s="1253"/>
      <c r="X178" s="1253"/>
    </row>
    <row r="179" spans="1:24" s="1233" customFormat="1" ht="15.75" customHeight="1">
      <c r="A179" s="1225"/>
      <c r="B179" s="1227" t="s">
        <v>1011</v>
      </c>
      <c r="C179" s="1251">
        <f>C178</f>
        <v>0.5</v>
      </c>
      <c r="D179" s="1251"/>
      <c r="E179" s="1251"/>
      <c r="F179" s="1251">
        <f>ROUNDDOWN((C175/0.125),0.1)</f>
        <v>12</v>
      </c>
      <c r="G179" s="1251"/>
      <c r="H179" s="1251"/>
      <c r="I179" s="1251">
        <v>0.1</v>
      </c>
      <c r="J179" s="1251"/>
      <c r="K179" s="1251"/>
      <c r="L179" s="1251">
        <f>L178</f>
        <v>0.39456000000000002</v>
      </c>
      <c r="M179" s="1251">
        <f>M175</f>
        <v>4</v>
      </c>
      <c r="N179" s="1254">
        <f>(C179+I179)*F179*L179*M179</f>
        <v>11.363327999999999</v>
      </c>
      <c r="O179" s="1215"/>
      <c r="P179" s="1099"/>
      <c r="Q179" s="1205"/>
      <c r="R179" s="1252"/>
      <c r="S179" s="1205"/>
      <c r="T179" s="1205"/>
      <c r="U179" s="1205"/>
      <c r="V179" s="1253"/>
      <c r="W179" s="1253"/>
      <c r="X179" s="1253"/>
    </row>
    <row r="180" spans="1:24" s="1233" customFormat="1" ht="15.75" customHeight="1">
      <c r="A180" s="1225"/>
      <c r="B180" s="492"/>
      <c r="C180" s="1251"/>
      <c r="D180" s="1251"/>
      <c r="E180" s="1251"/>
      <c r="F180" s="1251"/>
      <c r="G180" s="1251"/>
      <c r="H180" s="1251"/>
      <c r="I180" s="1251"/>
      <c r="J180" s="1251"/>
      <c r="K180" s="1251"/>
      <c r="L180" s="1251"/>
      <c r="M180" s="1251"/>
      <c r="N180" s="1255">
        <f>SUM(N178:N179)</f>
        <v>47.820672000000002</v>
      </c>
      <c r="O180" s="1215" t="s">
        <v>100</v>
      </c>
      <c r="P180" s="1099">
        <f>ROUND((N180),2)</f>
        <v>47.82</v>
      </c>
      <c r="Q180" s="1205"/>
      <c r="R180" s="1252"/>
      <c r="S180" s="1205"/>
      <c r="T180" s="1205"/>
      <c r="U180" s="1205"/>
      <c r="V180" s="1253"/>
      <c r="W180" s="1253"/>
      <c r="X180" s="1253"/>
    </row>
    <row r="181" spans="1:24" s="1233" customFormat="1" ht="15.75" customHeight="1">
      <c r="A181" s="1225" t="s">
        <v>121</v>
      </c>
      <c r="B181" s="492" t="s">
        <v>1043</v>
      </c>
      <c r="C181" s="1251"/>
      <c r="D181" s="1251"/>
      <c r="E181" s="1251"/>
      <c r="F181" s="1251"/>
      <c r="G181" s="1251"/>
      <c r="H181" s="1251"/>
      <c r="I181" s="1251"/>
      <c r="J181" s="1251"/>
      <c r="K181" s="1251"/>
      <c r="L181" s="1251"/>
      <c r="M181" s="1251"/>
      <c r="N181" s="1251"/>
      <c r="O181" s="1215"/>
      <c r="P181" s="1099"/>
      <c r="Q181" s="1205"/>
      <c r="R181" s="1252"/>
      <c r="S181" s="1205"/>
      <c r="T181" s="1205"/>
      <c r="U181" s="1205"/>
      <c r="V181" s="1253"/>
      <c r="W181" s="1253"/>
      <c r="X181" s="1253"/>
    </row>
    <row r="182" spans="1:24" s="1233" customFormat="1" ht="15.75" customHeight="1">
      <c r="A182" s="1225"/>
      <c r="B182" s="1227" t="s">
        <v>1010</v>
      </c>
      <c r="C182" s="1251">
        <f>C174</f>
        <v>9.734</v>
      </c>
      <c r="D182" s="1251">
        <f>D169</f>
        <v>0.15</v>
      </c>
      <c r="E182" s="1251">
        <f>E168</f>
        <v>0.2</v>
      </c>
      <c r="F182" s="1251">
        <f>F168</f>
        <v>1</v>
      </c>
      <c r="G182" s="1251"/>
      <c r="H182" s="1251"/>
      <c r="I182" s="1251"/>
      <c r="J182" s="1251"/>
      <c r="K182" s="1251"/>
      <c r="L182" s="1251"/>
      <c r="M182" s="1251">
        <f>M168</f>
        <v>2</v>
      </c>
      <c r="N182" s="1251">
        <f>C182*D182*E182*F182*M182</f>
        <v>0.58404</v>
      </c>
      <c r="O182" s="1215"/>
      <c r="P182" s="1099"/>
      <c r="Q182" s="1205"/>
      <c r="R182" s="1252"/>
      <c r="S182" s="1205"/>
      <c r="T182" s="1205"/>
      <c r="U182" s="1205"/>
      <c r="V182" s="1253"/>
      <c r="W182" s="1253"/>
      <c r="X182" s="1253"/>
    </row>
    <row r="183" spans="1:24" s="1233" customFormat="1" ht="15.75" customHeight="1">
      <c r="A183" s="1225"/>
      <c r="B183" s="1227" t="s">
        <v>1011</v>
      </c>
      <c r="C183" s="1251">
        <f>C175</f>
        <v>1.5</v>
      </c>
      <c r="D183" s="1251">
        <f>D182</f>
        <v>0.15</v>
      </c>
      <c r="E183" s="1251">
        <f>E182</f>
        <v>0.2</v>
      </c>
      <c r="F183" s="1251">
        <f>F170</f>
        <v>2</v>
      </c>
      <c r="G183" s="1251"/>
      <c r="H183" s="1251"/>
      <c r="I183" s="1251"/>
      <c r="J183" s="1251"/>
      <c r="K183" s="1251"/>
      <c r="L183" s="1251"/>
      <c r="M183" s="1251">
        <f>M170</f>
        <v>2</v>
      </c>
      <c r="N183" s="1254">
        <f>C183*D183*E183*F183*M183</f>
        <v>0.18</v>
      </c>
      <c r="O183" s="1215"/>
      <c r="P183" s="1099"/>
      <c r="Q183" s="1205"/>
      <c r="R183" s="1252"/>
      <c r="S183" s="1205"/>
      <c r="T183" s="1205"/>
      <c r="U183" s="1205"/>
      <c r="V183" s="1253"/>
      <c r="W183" s="1253"/>
      <c r="X183" s="1253"/>
    </row>
    <row r="184" spans="1:24" s="1233" customFormat="1" ht="15.75" customHeight="1">
      <c r="A184" s="1225"/>
      <c r="B184" s="492"/>
      <c r="C184" s="1251"/>
      <c r="D184" s="1251"/>
      <c r="E184" s="1251"/>
      <c r="F184" s="1251"/>
      <c r="G184" s="1251"/>
      <c r="H184" s="1251"/>
      <c r="I184" s="1251"/>
      <c r="J184" s="1251"/>
      <c r="K184" s="1251"/>
      <c r="L184" s="1251"/>
      <c r="M184" s="1251"/>
      <c r="N184" s="1255">
        <f>SUM(N182:N183)</f>
        <v>0.76404000000000005</v>
      </c>
      <c r="O184" s="1215" t="s">
        <v>103</v>
      </c>
      <c r="P184" s="1099">
        <f>ROUND((N184),2)</f>
        <v>0.76</v>
      </c>
      <c r="Q184" s="1205"/>
      <c r="R184" s="1252"/>
      <c r="S184" s="1205"/>
      <c r="T184" s="1205"/>
      <c r="U184" s="1205"/>
      <c r="V184" s="1253"/>
      <c r="W184" s="1253"/>
      <c r="X184" s="1253"/>
    </row>
    <row r="185" spans="1:24" s="1233" customFormat="1" ht="15.75" customHeight="1">
      <c r="A185" s="1218"/>
      <c r="B185" s="351" t="s">
        <v>965</v>
      </c>
      <c r="C185" s="1251"/>
      <c r="D185" s="1251"/>
      <c r="E185" s="1251"/>
      <c r="F185" s="1251"/>
      <c r="G185" s="1251"/>
      <c r="H185" s="1251"/>
      <c r="I185" s="1251"/>
      <c r="J185" s="1251"/>
      <c r="K185" s="1251"/>
      <c r="L185" s="1251"/>
      <c r="M185" s="1251"/>
      <c r="N185" s="1251"/>
      <c r="O185" s="1215"/>
      <c r="P185" s="1099"/>
      <c r="Q185" s="1205"/>
      <c r="R185" s="1252"/>
      <c r="S185" s="1205"/>
      <c r="T185" s="1205"/>
      <c r="U185" s="1205"/>
      <c r="V185" s="1253"/>
      <c r="W185" s="1253"/>
      <c r="X185" s="1253"/>
    </row>
    <row r="186" spans="1:24" s="1233" customFormat="1" ht="15.75" customHeight="1">
      <c r="A186" s="1225" t="s">
        <v>95</v>
      </c>
      <c r="B186" s="492" t="s">
        <v>423</v>
      </c>
      <c r="C186" s="1251"/>
      <c r="D186" s="1251"/>
      <c r="E186" s="1251"/>
      <c r="F186" s="1251"/>
      <c r="G186" s="1251"/>
      <c r="H186" s="1251"/>
      <c r="I186" s="1251"/>
      <c r="J186" s="1251"/>
      <c r="K186" s="1251"/>
      <c r="L186" s="1251"/>
      <c r="M186" s="1251"/>
      <c r="N186" s="1251"/>
      <c r="O186" s="1215"/>
      <c r="P186" s="1099"/>
      <c r="Q186" s="1205"/>
      <c r="R186" s="1252"/>
      <c r="S186" s="1205"/>
      <c r="T186" s="1205"/>
      <c r="U186" s="1205"/>
      <c r="V186" s="1253"/>
      <c r="W186" s="1253"/>
      <c r="X186" s="1253"/>
    </row>
    <row r="187" spans="1:24" s="1233" customFormat="1" ht="15.75" customHeight="1">
      <c r="A187" s="1225"/>
      <c r="B187" s="1227"/>
      <c r="C187" s="1251">
        <v>1</v>
      </c>
      <c r="D187" s="1251">
        <v>0.15</v>
      </c>
      <c r="E187" s="1251">
        <v>0.2</v>
      </c>
      <c r="F187" s="1251">
        <v>2</v>
      </c>
      <c r="G187" s="1251"/>
      <c r="H187" s="1251"/>
      <c r="I187" s="1251"/>
      <c r="J187" s="1251"/>
      <c r="K187" s="1251"/>
      <c r="L187" s="1251"/>
      <c r="M187" s="1251">
        <v>4</v>
      </c>
      <c r="N187" s="1251">
        <f>C187*((E187+D187)*2)*F187*M187</f>
        <v>5.6</v>
      </c>
      <c r="O187" s="1215"/>
      <c r="P187" s="1099"/>
      <c r="Q187" s="1205"/>
      <c r="R187" s="1252"/>
      <c r="S187" s="1205"/>
      <c r="T187" s="1205"/>
      <c r="U187" s="1205"/>
      <c r="V187" s="1253"/>
      <c r="W187" s="1253"/>
      <c r="X187" s="1253"/>
    </row>
    <row r="188" spans="1:24" s="1233" customFormat="1" ht="15.75" customHeight="1">
      <c r="A188" s="1225"/>
      <c r="B188" s="492"/>
      <c r="C188" s="1251"/>
      <c r="D188" s="1251"/>
      <c r="E188" s="1251"/>
      <c r="F188" s="1251"/>
      <c r="G188" s="1251"/>
      <c r="H188" s="1251"/>
      <c r="I188" s="1251"/>
      <c r="J188" s="1251"/>
      <c r="K188" s="1251"/>
      <c r="L188" s="1251"/>
      <c r="M188" s="1251"/>
      <c r="N188" s="1255">
        <f>SUM(N187:N187)/2</f>
        <v>2.8</v>
      </c>
      <c r="O188" s="1215" t="s">
        <v>89</v>
      </c>
      <c r="P188" s="1099">
        <f>ROUND((N188),2)</f>
        <v>2.8</v>
      </c>
      <c r="Q188" s="1205"/>
      <c r="R188" s="1252"/>
      <c r="S188" s="1205"/>
      <c r="T188" s="1205"/>
      <c r="U188" s="1205"/>
      <c r="V188" s="1253"/>
      <c r="W188" s="1253"/>
      <c r="X188" s="1253"/>
    </row>
    <row r="189" spans="1:24" s="1233" customFormat="1" ht="15.75" customHeight="1">
      <c r="A189" s="1225" t="s">
        <v>98</v>
      </c>
      <c r="B189" s="492" t="s">
        <v>427</v>
      </c>
      <c r="C189" s="1251"/>
      <c r="D189" s="1251"/>
      <c r="E189" s="1251"/>
      <c r="F189" s="1251"/>
      <c r="G189" s="1251"/>
      <c r="H189" s="1251"/>
      <c r="I189" s="1251"/>
      <c r="J189" s="1251"/>
      <c r="K189" s="1251"/>
      <c r="L189" s="1251"/>
      <c r="M189" s="1251"/>
      <c r="N189" s="1251"/>
      <c r="O189" s="1215"/>
      <c r="P189" s="1099"/>
      <c r="Q189" s="1205"/>
      <c r="R189" s="1252"/>
      <c r="S189" s="1205"/>
      <c r="T189" s="1205"/>
      <c r="U189" s="1205"/>
      <c r="V189" s="1253"/>
      <c r="W189" s="1253"/>
      <c r="X189" s="1253"/>
    </row>
    <row r="190" spans="1:24" s="1233" customFormat="1" ht="15.75" customHeight="1">
      <c r="A190" s="1225"/>
      <c r="B190" s="1227"/>
      <c r="C190" s="1251">
        <f>C187</f>
        <v>1</v>
      </c>
      <c r="D190" s="1251"/>
      <c r="E190" s="1251"/>
      <c r="F190" s="1251">
        <v>4</v>
      </c>
      <c r="G190" s="1251">
        <v>2</v>
      </c>
      <c r="H190" s="1251"/>
      <c r="I190" s="1251">
        <v>0.1</v>
      </c>
      <c r="J190" s="1251"/>
      <c r="K190" s="1251"/>
      <c r="L190" s="1251">
        <f>L174</f>
        <v>0.61650000000000005</v>
      </c>
      <c r="M190" s="1251">
        <f>M187</f>
        <v>4</v>
      </c>
      <c r="N190" s="1254">
        <f>(C190+I190)*F190*L190*M190*G190</f>
        <v>21.700800000000005</v>
      </c>
      <c r="O190" s="1215"/>
      <c r="P190" s="1099"/>
      <c r="Q190" s="1205"/>
      <c r="R190" s="1252"/>
      <c r="S190" s="1205"/>
      <c r="T190" s="1205"/>
      <c r="U190" s="1205"/>
      <c r="V190" s="1253"/>
      <c r="W190" s="1253"/>
      <c r="X190" s="1253"/>
    </row>
    <row r="191" spans="1:24" s="1233" customFormat="1" ht="15.75" customHeight="1">
      <c r="A191" s="1225"/>
      <c r="B191" s="492"/>
      <c r="C191" s="1251"/>
      <c r="D191" s="1251"/>
      <c r="E191" s="1251"/>
      <c r="F191" s="1251"/>
      <c r="G191" s="1251"/>
      <c r="H191" s="1251"/>
      <c r="I191" s="1251"/>
      <c r="J191" s="1251"/>
      <c r="K191" s="1251"/>
      <c r="L191" s="1251"/>
      <c r="M191" s="1251"/>
      <c r="N191" s="1255">
        <f>SUM(N190:N190)</f>
        <v>21.700800000000005</v>
      </c>
      <c r="O191" s="1215" t="s">
        <v>100</v>
      </c>
      <c r="P191" s="1099">
        <f>ROUND((N191),2)</f>
        <v>21.7</v>
      </c>
      <c r="Q191" s="1205"/>
      <c r="R191" s="1252"/>
      <c r="S191" s="1205"/>
      <c r="T191" s="1205"/>
      <c r="U191" s="1205"/>
      <c r="V191" s="1253"/>
      <c r="W191" s="1253"/>
      <c r="X191" s="1253"/>
    </row>
    <row r="192" spans="1:24" s="1233" customFormat="1" ht="15.75" customHeight="1">
      <c r="A192" s="1225" t="s">
        <v>101</v>
      </c>
      <c r="B192" s="492" t="s">
        <v>525</v>
      </c>
      <c r="C192" s="1251"/>
      <c r="D192" s="1251"/>
      <c r="E192" s="1251"/>
      <c r="F192" s="1251"/>
      <c r="G192" s="1251"/>
      <c r="H192" s="1251"/>
      <c r="I192" s="1251"/>
      <c r="J192" s="1251"/>
      <c r="K192" s="1251"/>
      <c r="L192" s="1251"/>
      <c r="M192" s="1251"/>
      <c r="N192" s="1251"/>
      <c r="O192" s="1215"/>
      <c r="P192" s="1099"/>
      <c r="Q192" s="1205"/>
      <c r="R192" s="1252"/>
      <c r="S192" s="1205"/>
      <c r="T192" s="1205"/>
      <c r="U192" s="1205"/>
      <c r="V192" s="1253"/>
      <c r="W192" s="1253"/>
      <c r="X192" s="1253"/>
    </row>
    <row r="193" spans="1:24" s="1233" customFormat="1" ht="15.75" customHeight="1">
      <c r="A193" s="1225"/>
      <c r="B193" s="1227"/>
      <c r="C193" s="1251">
        <f>(0.09+0.14)*2</f>
        <v>0.46</v>
      </c>
      <c r="D193" s="1251"/>
      <c r="E193" s="1251"/>
      <c r="F193" s="1251">
        <f>ROUNDDOWN((C190/0.125),0.1)</f>
        <v>8</v>
      </c>
      <c r="G193" s="1251">
        <v>2</v>
      </c>
      <c r="H193" s="1251"/>
      <c r="I193" s="1251">
        <v>0.1</v>
      </c>
      <c r="J193" s="1251"/>
      <c r="K193" s="1251"/>
      <c r="L193" s="1251">
        <f>L178</f>
        <v>0.39456000000000002</v>
      </c>
      <c r="M193" s="1251">
        <f>M190</f>
        <v>4</v>
      </c>
      <c r="N193" s="1254">
        <f>(C193+I193)*F193*L193*M193*G193</f>
        <v>14.141030400000002</v>
      </c>
      <c r="O193" s="1215"/>
      <c r="P193" s="1099"/>
      <c r="Q193" s="1205"/>
      <c r="R193" s="1252"/>
      <c r="S193" s="1205"/>
      <c r="T193" s="1205"/>
      <c r="U193" s="1205"/>
      <c r="V193" s="1253"/>
      <c r="W193" s="1253"/>
      <c r="X193" s="1253"/>
    </row>
    <row r="194" spans="1:24" s="1233" customFormat="1" ht="15.75" customHeight="1">
      <c r="A194" s="1225"/>
      <c r="B194" s="492"/>
      <c r="C194" s="1251"/>
      <c r="D194" s="1251"/>
      <c r="E194" s="1251"/>
      <c r="F194" s="1251"/>
      <c r="G194" s="1251"/>
      <c r="H194" s="1251"/>
      <c r="I194" s="1251"/>
      <c r="J194" s="1251"/>
      <c r="K194" s="1251"/>
      <c r="L194" s="1251"/>
      <c r="M194" s="1251"/>
      <c r="N194" s="1255">
        <f>SUM(N193:N193)</f>
        <v>14.141030400000002</v>
      </c>
      <c r="O194" s="1215" t="s">
        <v>100</v>
      </c>
      <c r="P194" s="1099">
        <f>ROUND((N194),2)</f>
        <v>14.14</v>
      </c>
      <c r="Q194" s="1205"/>
      <c r="R194" s="1252"/>
      <c r="S194" s="1205"/>
      <c r="T194" s="1205"/>
      <c r="U194" s="1205"/>
      <c r="V194" s="1253"/>
      <c r="W194" s="1253"/>
      <c r="X194" s="1253"/>
    </row>
    <row r="195" spans="1:24" s="1233" customFormat="1" ht="15.75" customHeight="1">
      <c r="A195" s="1225" t="s">
        <v>121</v>
      </c>
      <c r="B195" s="492" t="s">
        <v>1043</v>
      </c>
      <c r="C195" s="1251"/>
      <c r="D195" s="1251"/>
      <c r="E195" s="1251"/>
      <c r="F195" s="1251"/>
      <c r="G195" s="1251"/>
      <c r="H195" s="1251"/>
      <c r="I195" s="1251"/>
      <c r="J195" s="1251"/>
      <c r="K195" s="1251"/>
      <c r="L195" s="1251"/>
      <c r="M195" s="1251"/>
      <c r="N195" s="1251"/>
      <c r="O195" s="1215"/>
      <c r="P195" s="1099"/>
      <c r="Q195" s="1205"/>
      <c r="R195" s="1252"/>
      <c r="S195" s="1205"/>
      <c r="T195" s="1205"/>
      <c r="U195" s="1205"/>
      <c r="V195" s="1253"/>
      <c r="W195" s="1253"/>
      <c r="X195" s="1253"/>
    </row>
    <row r="196" spans="1:24" s="1233" customFormat="1" ht="15.75" customHeight="1">
      <c r="A196" s="1225"/>
      <c r="B196" s="1227"/>
      <c r="C196" s="1251">
        <f>C190</f>
        <v>1</v>
      </c>
      <c r="D196" s="1251">
        <f>D182</f>
        <v>0.15</v>
      </c>
      <c r="E196" s="1251">
        <f>E187</f>
        <v>0.2</v>
      </c>
      <c r="F196" s="1251">
        <v>2</v>
      </c>
      <c r="G196" s="1251"/>
      <c r="H196" s="1251"/>
      <c r="I196" s="1251"/>
      <c r="J196" s="1251"/>
      <c r="K196" s="1251"/>
      <c r="L196" s="1251"/>
      <c r="M196" s="1251">
        <f>M193*F196</f>
        <v>8</v>
      </c>
      <c r="N196" s="1254">
        <f>C196*D196*E196*M196</f>
        <v>0.24</v>
      </c>
      <c r="O196" s="1215"/>
      <c r="P196" s="1099"/>
      <c r="Q196" s="1205"/>
      <c r="R196" s="1252"/>
      <c r="S196" s="1205"/>
      <c r="T196" s="1205"/>
      <c r="U196" s="1205"/>
      <c r="V196" s="1253"/>
      <c r="W196" s="1253"/>
      <c r="X196" s="1253"/>
    </row>
    <row r="197" spans="1:24" s="1233" customFormat="1" ht="15.75" customHeight="1">
      <c r="A197" s="1225"/>
      <c r="B197" s="492"/>
      <c r="C197" s="1251"/>
      <c r="D197" s="1251"/>
      <c r="E197" s="1251"/>
      <c r="F197" s="1251"/>
      <c r="G197" s="1251"/>
      <c r="H197" s="1251"/>
      <c r="I197" s="1251"/>
      <c r="J197" s="1251"/>
      <c r="K197" s="1251"/>
      <c r="L197" s="1251"/>
      <c r="M197" s="1251"/>
      <c r="N197" s="1255">
        <f>SUM(N196:N196)</f>
        <v>0.24</v>
      </c>
      <c r="O197" s="1215" t="s">
        <v>103</v>
      </c>
      <c r="P197" s="1099">
        <f>ROUND((N197),2)</f>
        <v>0.24</v>
      </c>
      <c r="Q197" s="1205"/>
      <c r="R197" s="1252"/>
      <c r="S197" s="1205"/>
      <c r="T197" s="1205"/>
      <c r="U197" s="1205"/>
      <c r="V197" s="1253"/>
      <c r="W197" s="1253"/>
      <c r="X197" s="1253"/>
    </row>
    <row r="198" spans="1:24" s="1262" customFormat="1" ht="15.75" customHeight="1">
      <c r="A198" s="1256">
        <f>A165+1</f>
        <v>16</v>
      </c>
      <c r="B198" s="1257" t="s">
        <v>837</v>
      </c>
      <c r="C198" s="1258"/>
      <c r="D198" s="1258"/>
      <c r="E198" s="1258"/>
      <c r="F198" s="1258"/>
      <c r="G198" s="1258"/>
      <c r="H198" s="1258"/>
      <c r="I198" s="1258"/>
      <c r="J198" s="1258"/>
      <c r="K198" s="1258"/>
      <c r="L198" s="1258"/>
      <c r="M198" s="1258"/>
      <c r="N198" s="1259"/>
      <c r="O198" s="1215"/>
      <c r="P198" s="1099"/>
      <c r="Q198" s="1260"/>
      <c r="R198" s="1260"/>
      <c r="S198" s="1260"/>
      <c r="T198" s="1260"/>
      <c r="U198" s="1261"/>
      <c r="V198" s="1261"/>
      <c r="W198" s="1261"/>
    </row>
    <row r="199" spans="1:24" s="1262" customFormat="1" ht="15.75" customHeight="1">
      <c r="A199" s="1263" t="s">
        <v>95</v>
      </c>
      <c r="B199" s="1264" t="s">
        <v>1634</v>
      </c>
      <c r="C199" s="1258">
        <v>5.35</v>
      </c>
      <c r="D199" s="1258">
        <v>3</v>
      </c>
      <c r="E199" s="1258">
        <v>0.25</v>
      </c>
      <c r="F199" s="1258"/>
      <c r="G199" s="1258"/>
      <c r="H199" s="1258"/>
      <c r="I199" s="1258"/>
      <c r="J199" s="1258"/>
      <c r="K199" s="1258"/>
      <c r="L199" s="1258"/>
      <c r="M199" s="1258"/>
      <c r="N199" s="1258">
        <f>C199*D199*E199</f>
        <v>4.0124999999999993</v>
      </c>
      <c r="O199" s="1215" t="s">
        <v>103</v>
      </c>
      <c r="P199" s="1099">
        <f t="shared" ref="P199:P206" si="6">ROUND((N199),2)</f>
        <v>4.01</v>
      </c>
      <c r="Q199" s="1260"/>
      <c r="R199" s="1260" t="s">
        <v>837</v>
      </c>
      <c r="S199" s="1260"/>
      <c r="T199" s="1260"/>
      <c r="U199" s="1261"/>
      <c r="V199" s="1261"/>
      <c r="W199" s="1261"/>
    </row>
    <row r="200" spans="1:24" s="1262" customFormat="1" ht="15.75" customHeight="1">
      <c r="A200" s="1263"/>
      <c r="B200" s="1264" t="s">
        <v>1642</v>
      </c>
      <c r="C200" s="1258"/>
      <c r="D200" s="1258"/>
      <c r="E200" s="1258"/>
      <c r="F200" s="1258"/>
      <c r="G200" s="1258"/>
      <c r="H200" s="1258"/>
      <c r="I200" s="1258"/>
      <c r="J200" s="1258"/>
      <c r="K200" s="1258"/>
      <c r="L200" s="1258"/>
      <c r="M200" s="1258"/>
      <c r="N200" s="1258">
        <f>N199</f>
        <v>4.0124999999999993</v>
      </c>
      <c r="O200" s="1215" t="s">
        <v>103</v>
      </c>
      <c r="P200" s="1099">
        <f t="shared" si="6"/>
        <v>4.01</v>
      </c>
      <c r="Q200" s="1260"/>
      <c r="R200" s="1260" t="s">
        <v>413</v>
      </c>
      <c r="S200" s="1260"/>
      <c r="T200" s="1260"/>
      <c r="U200" s="1261"/>
      <c r="V200" s="1261"/>
      <c r="W200" s="1261"/>
    </row>
    <row r="201" spans="1:24" s="1262" customFormat="1" ht="15.75" customHeight="1">
      <c r="A201" s="1263" t="s">
        <v>98</v>
      </c>
      <c r="B201" s="1264" t="s">
        <v>966</v>
      </c>
      <c r="C201" s="1258">
        <f>C199</f>
        <v>5.35</v>
      </c>
      <c r="D201" s="1258">
        <f>D199</f>
        <v>3</v>
      </c>
      <c r="E201" s="1258">
        <v>0.15</v>
      </c>
      <c r="F201" s="1258"/>
      <c r="G201" s="1258"/>
      <c r="H201" s="1258"/>
      <c r="I201" s="1258"/>
      <c r="J201" s="1258"/>
      <c r="K201" s="1258"/>
      <c r="L201" s="1258"/>
      <c r="M201" s="1258"/>
      <c r="N201" s="1258">
        <f>C201*D201*E201</f>
        <v>2.4074999999999993</v>
      </c>
      <c r="O201" s="1215" t="s">
        <v>103</v>
      </c>
      <c r="P201" s="1099">
        <f t="shared" si="6"/>
        <v>2.41</v>
      </c>
      <c r="Q201" s="1260"/>
      <c r="R201" s="1260" t="s">
        <v>414</v>
      </c>
      <c r="S201" s="1260"/>
      <c r="T201" s="1260"/>
      <c r="U201" s="1261"/>
      <c r="V201" s="1261"/>
      <c r="W201" s="1261"/>
    </row>
    <row r="202" spans="1:24" s="1262" customFormat="1" ht="15.75" customHeight="1">
      <c r="A202" s="1263" t="s">
        <v>101</v>
      </c>
      <c r="B202" s="1264" t="s">
        <v>496</v>
      </c>
      <c r="C202" s="1258">
        <f>C201</f>
        <v>5.35</v>
      </c>
      <c r="D202" s="1258">
        <f>D201</f>
        <v>3</v>
      </c>
      <c r="E202" s="1258">
        <v>0.05</v>
      </c>
      <c r="F202" s="1258"/>
      <c r="G202" s="1258"/>
      <c r="H202" s="1258"/>
      <c r="I202" s="1258"/>
      <c r="J202" s="1258"/>
      <c r="K202" s="1258"/>
      <c r="L202" s="1258"/>
      <c r="M202" s="1258"/>
      <c r="N202" s="1258">
        <f>C202*D202*E202</f>
        <v>0.80249999999999988</v>
      </c>
      <c r="O202" s="1215" t="s">
        <v>103</v>
      </c>
      <c r="P202" s="1099">
        <f t="shared" si="6"/>
        <v>0.8</v>
      </c>
      <c r="Q202" s="1260"/>
      <c r="R202" s="1260" t="s">
        <v>415</v>
      </c>
      <c r="S202" s="1260"/>
      <c r="T202" s="1260"/>
      <c r="U202" s="1261"/>
      <c r="V202" s="1261"/>
      <c r="W202" s="1261"/>
    </row>
    <row r="203" spans="1:24" s="1262" customFormat="1" ht="15.75" customHeight="1">
      <c r="A203" s="1263" t="s">
        <v>121</v>
      </c>
      <c r="B203" s="1257" t="s">
        <v>838</v>
      </c>
      <c r="C203" s="1258">
        <f>D202</f>
        <v>3</v>
      </c>
      <c r="D203" s="1258"/>
      <c r="E203" s="1258">
        <f>0.3/2</f>
        <v>0.15</v>
      </c>
      <c r="F203" s="1258">
        <v>2</v>
      </c>
      <c r="G203" s="1258"/>
      <c r="H203" s="1258"/>
      <c r="I203" s="1258"/>
      <c r="J203" s="1258"/>
      <c r="K203" s="1258"/>
      <c r="L203" s="1258"/>
      <c r="M203" s="1258"/>
      <c r="N203" s="1265">
        <f>C203*E203*F203</f>
        <v>0.89999999999999991</v>
      </c>
      <c r="O203" s="1215" t="s">
        <v>89</v>
      </c>
      <c r="P203" s="1099">
        <f t="shared" si="6"/>
        <v>0.9</v>
      </c>
      <c r="Q203" s="1260"/>
      <c r="R203" s="1260" t="s">
        <v>496</v>
      </c>
      <c r="S203" s="1260"/>
      <c r="T203" s="1260"/>
      <c r="U203" s="1261"/>
      <c r="V203" s="1261"/>
      <c r="W203" s="1261"/>
    </row>
    <row r="204" spans="1:24" s="1262" customFormat="1" ht="15.75" customHeight="1">
      <c r="A204" s="1263" t="s">
        <v>142</v>
      </c>
      <c r="B204" s="1264" t="s">
        <v>1635</v>
      </c>
      <c r="C204" s="1258">
        <f>C202</f>
        <v>5.35</v>
      </c>
      <c r="D204" s="1258">
        <f>D202</f>
        <v>3</v>
      </c>
      <c r="E204" s="1258"/>
      <c r="F204" s="1258"/>
      <c r="G204" s="1258"/>
      <c r="H204" s="1258"/>
      <c r="I204" s="1258"/>
      <c r="J204" s="1258"/>
      <c r="K204" s="1258"/>
      <c r="L204" s="1258"/>
      <c r="M204" s="1258"/>
      <c r="N204" s="1265">
        <f>C204*D204</f>
        <v>16.049999999999997</v>
      </c>
      <c r="O204" s="1215" t="s">
        <v>89</v>
      </c>
      <c r="P204" s="1099">
        <f t="shared" si="6"/>
        <v>16.05</v>
      </c>
      <c r="Q204" s="1260"/>
      <c r="R204" s="1260" t="s">
        <v>838</v>
      </c>
      <c r="S204" s="1260"/>
      <c r="T204" s="1260"/>
      <c r="U204" s="1261"/>
      <c r="V204" s="1261"/>
      <c r="W204" s="1261"/>
    </row>
    <row r="205" spans="1:24" s="1262" customFormat="1" ht="15.75" customHeight="1">
      <c r="A205" s="1263" t="s">
        <v>217</v>
      </c>
      <c r="B205" s="1257" t="s">
        <v>420</v>
      </c>
      <c r="C205" s="1258">
        <f>C204</f>
        <v>5.35</v>
      </c>
      <c r="D205" s="1258">
        <f>D204</f>
        <v>3</v>
      </c>
      <c r="E205" s="1258">
        <v>0.1</v>
      </c>
      <c r="F205" s="1258"/>
      <c r="G205" s="1258"/>
      <c r="H205" s="1258"/>
      <c r="I205" s="1258"/>
      <c r="J205" s="1258"/>
      <c r="K205" s="1258"/>
      <c r="L205" s="1258"/>
      <c r="M205" s="1258"/>
      <c r="N205" s="1265">
        <f>C205*D205*E205</f>
        <v>1.6049999999999998</v>
      </c>
      <c r="O205" s="1215" t="s">
        <v>103</v>
      </c>
      <c r="P205" s="1099">
        <f t="shared" si="6"/>
        <v>1.61</v>
      </c>
      <c r="Q205" s="1260"/>
      <c r="R205" s="1260" t="s">
        <v>839</v>
      </c>
      <c r="S205" s="1260"/>
      <c r="T205" s="1260"/>
      <c r="U205" s="1261"/>
      <c r="V205" s="1261"/>
      <c r="W205" s="1261"/>
    </row>
    <row r="206" spans="1:24" s="1262" customFormat="1" ht="15.75" customHeight="1">
      <c r="A206" s="1263" t="s">
        <v>366</v>
      </c>
      <c r="B206" s="1264" t="s">
        <v>194</v>
      </c>
      <c r="C206" s="1258"/>
      <c r="D206" s="1258"/>
      <c r="E206" s="1258"/>
      <c r="F206" s="1258"/>
      <c r="G206" s="1258"/>
      <c r="H206" s="1258"/>
      <c r="I206" s="1258"/>
      <c r="J206" s="1258"/>
      <c r="K206" s="1258"/>
      <c r="L206" s="1258"/>
      <c r="M206" s="1258"/>
      <c r="N206" s="1266">
        <f>SUM(N207:N208)</f>
        <v>16.949999999999996</v>
      </c>
      <c r="O206" s="1248" t="s">
        <v>89</v>
      </c>
      <c r="P206" s="1099">
        <f t="shared" si="6"/>
        <v>16.95</v>
      </c>
      <c r="Q206" s="1260"/>
      <c r="R206" s="1260" t="s">
        <v>420</v>
      </c>
      <c r="S206" s="1260"/>
      <c r="T206" s="1260"/>
      <c r="U206" s="1261"/>
      <c r="V206" s="1261"/>
      <c r="W206" s="1261"/>
    </row>
    <row r="207" spans="1:24" ht="15.75" customHeight="1">
      <c r="A207" s="1225"/>
      <c r="B207" s="1267" t="s">
        <v>1092</v>
      </c>
      <c r="C207" s="1258">
        <f>C203</f>
        <v>3</v>
      </c>
      <c r="D207" s="1258"/>
      <c r="E207" s="1258">
        <f>E203</f>
        <v>0.15</v>
      </c>
      <c r="F207" s="1258">
        <f>F203</f>
        <v>2</v>
      </c>
      <c r="G207" s="1214"/>
      <c r="H207" s="1214"/>
      <c r="I207" s="1214"/>
      <c r="J207" s="1214"/>
      <c r="K207" s="1214"/>
      <c r="L207" s="1214"/>
      <c r="M207" s="1214"/>
      <c r="N207" s="1265">
        <f>F207*E207*C207</f>
        <v>0.89999999999999991</v>
      </c>
      <c r="O207" s="1215"/>
      <c r="P207" s="1099"/>
      <c r="Q207" s="1205"/>
      <c r="R207" s="1260" t="s">
        <v>193</v>
      </c>
      <c r="S207" s="1205"/>
      <c r="T207" s="1205"/>
      <c r="U207" s="1205"/>
      <c r="V207" s="1206"/>
      <c r="W207" s="1206"/>
      <c r="X207" s="1206"/>
    </row>
    <row r="208" spans="1:24" ht="15.75" customHeight="1">
      <c r="A208" s="1225"/>
      <c r="B208" s="1267" t="s">
        <v>1089</v>
      </c>
      <c r="C208" s="1258">
        <f>C205</f>
        <v>5.35</v>
      </c>
      <c r="D208" s="1258">
        <f>D205</f>
        <v>3</v>
      </c>
      <c r="E208" s="1258"/>
      <c r="F208" s="1258"/>
      <c r="G208" s="1214"/>
      <c r="H208" s="1214"/>
      <c r="I208" s="1214"/>
      <c r="J208" s="1214"/>
      <c r="K208" s="1214"/>
      <c r="L208" s="1214"/>
      <c r="M208" s="1214"/>
      <c r="N208" s="1265">
        <f>C208*D208</f>
        <v>16.049999999999997</v>
      </c>
      <c r="O208" s="1215"/>
      <c r="P208" s="1099"/>
      <c r="Q208" s="1205"/>
      <c r="R208" s="1260" t="s">
        <v>194</v>
      </c>
      <c r="S208" s="1205"/>
      <c r="T208" s="1205"/>
      <c r="U208" s="1205"/>
      <c r="V208" s="1206"/>
      <c r="W208" s="1206"/>
      <c r="X208" s="1206"/>
    </row>
    <row r="209" spans="1:24" ht="15.75" customHeight="1">
      <c r="A209" s="1212" t="s">
        <v>1168</v>
      </c>
      <c r="B209" s="1268" t="s">
        <v>434</v>
      </c>
      <c r="C209" s="1214"/>
      <c r="D209" s="1214"/>
      <c r="E209" s="1214"/>
      <c r="F209" s="1214"/>
      <c r="G209" s="1214"/>
      <c r="H209" s="1214"/>
      <c r="I209" s="1214"/>
      <c r="J209" s="1214"/>
      <c r="K209" s="1214"/>
      <c r="L209" s="1214"/>
      <c r="M209" s="1214"/>
      <c r="N209" s="1259"/>
      <c r="O209" s="1215"/>
      <c r="P209" s="1099"/>
      <c r="Q209" s="1205"/>
      <c r="R209" s="1217"/>
      <c r="S209" s="1205"/>
      <c r="T209" s="1205"/>
      <c r="U209" s="1205"/>
      <c r="V209" s="1206"/>
      <c r="W209" s="1206"/>
      <c r="X209" s="1206"/>
    </row>
    <row r="210" spans="1:24" ht="15.75" customHeight="1">
      <c r="A210" s="1218">
        <v>1</v>
      </c>
      <c r="B210" s="1269" t="s">
        <v>536</v>
      </c>
      <c r="C210" s="1214"/>
      <c r="D210" s="1214"/>
      <c r="E210" s="1214"/>
      <c r="F210" s="1214"/>
      <c r="G210" s="1214"/>
      <c r="H210" s="1214"/>
      <c r="I210" s="1214"/>
      <c r="J210" s="1214"/>
      <c r="K210" s="1214"/>
      <c r="L210" s="1214"/>
      <c r="M210" s="1214"/>
      <c r="N210" s="1214"/>
      <c r="O210" s="1215"/>
      <c r="P210" s="1099"/>
      <c r="Q210" s="1205"/>
      <c r="R210" s="1217"/>
      <c r="S210" s="1205"/>
      <c r="T210" s="1205"/>
      <c r="U210" s="1205"/>
      <c r="V210" s="1206"/>
      <c r="W210" s="1206"/>
      <c r="X210" s="1206"/>
    </row>
    <row r="211" spans="1:24" ht="15.75" customHeight="1">
      <c r="A211" s="1218"/>
      <c r="B211" s="1244" t="s">
        <v>1586</v>
      </c>
      <c r="C211" s="1214">
        <v>4</v>
      </c>
      <c r="D211" s="1214"/>
      <c r="E211" s="1214">
        <v>0.28999999999999998</v>
      </c>
      <c r="F211" s="1214"/>
      <c r="G211" s="1214"/>
      <c r="H211" s="1214">
        <v>2</v>
      </c>
      <c r="I211" s="1214"/>
      <c r="J211" s="1214"/>
      <c r="K211" s="1214"/>
      <c r="L211" s="1214"/>
      <c r="M211" s="1214"/>
      <c r="N211" s="1214">
        <f>C211*E211*H211*0</f>
        <v>0</v>
      </c>
      <c r="O211" s="1215"/>
      <c r="P211" s="1099"/>
      <c r="Q211" s="1205"/>
      <c r="R211" s="1217"/>
      <c r="S211" s="1205"/>
      <c r="T211" s="1205"/>
      <c r="U211" s="1205"/>
      <c r="V211" s="1206"/>
      <c r="W211" s="1206"/>
      <c r="X211" s="1206"/>
    </row>
    <row r="212" spans="1:24" ht="15.75" customHeight="1">
      <c r="A212" s="1218"/>
      <c r="B212" s="1244" t="s">
        <v>1539</v>
      </c>
      <c r="C212" s="1214"/>
      <c r="D212" s="1214">
        <v>2.9740000000000002</v>
      </c>
      <c r="E212" s="1214">
        <v>0.85299999999999998</v>
      </c>
      <c r="F212" s="1214"/>
      <c r="G212" s="1214"/>
      <c r="H212" s="1214"/>
      <c r="I212" s="1214"/>
      <c r="J212" s="1214"/>
      <c r="K212" s="1214"/>
      <c r="L212" s="1214"/>
      <c r="M212" s="1214"/>
      <c r="N212" s="1214">
        <f>D212*E212*0</f>
        <v>0</v>
      </c>
      <c r="O212" s="1215"/>
      <c r="P212" s="1099"/>
      <c r="Q212" s="1205"/>
      <c r="R212" s="1217"/>
      <c r="S212" s="1205"/>
      <c r="T212" s="1205"/>
      <c r="U212" s="1205"/>
      <c r="V212" s="1206"/>
      <c r="W212" s="1206"/>
      <c r="X212" s="1206"/>
    </row>
    <row r="213" spans="1:24" ht="15.75" customHeight="1">
      <c r="A213" s="1218"/>
      <c r="B213" s="1227"/>
      <c r="C213" s="1214"/>
      <c r="D213" s="1214">
        <v>1.7829999999999999</v>
      </c>
      <c r="E213" s="1214">
        <f>E212</f>
        <v>0.85299999999999998</v>
      </c>
      <c r="F213" s="1214"/>
      <c r="G213" s="1214"/>
      <c r="H213" s="1214"/>
      <c r="I213" s="1214"/>
      <c r="J213" s="1214"/>
      <c r="K213" s="1214"/>
      <c r="L213" s="1214"/>
      <c r="M213" s="1214"/>
      <c r="N213" s="1214">
        <f>D213*E213*0</f>
        <v>0</v>
      </c>
      <c r="O213" s="1215"/>
      <c r="P213" s="1099"/>
      <c r="Q213" s="1205"/>
      <c r="R213" s="1217"/>
      <c r="S213" s="1205"/>
      <c r="T213" s="1205"/>
      <c r="U213" s="1205"/>
      <c r="V213" s="1206"/>
      <c r="W213" s="1206"/>
      <c r="X213" s="1206"/>
    </row>
    <row r="214" spans="1:24" ht="15.75" customHeight="1">
      <c r="A214" s="1218"/>
      <c r="B214" s="1227"/>
      <c r="C214" s="1214"/>
      <c r="D214" s="1214">
        <f>D212/2</f>
        <v>1.4870000000000001</v>
      </c>
      <c r="E214" s="1214">
        <v>1.196</v>
      </c>
      <c r="F214" s="1214"/>
      <c r="G214" s="1214"/>
      <c r="H214" s="1214"/>
      <c r="I214" s="1214"/>
      <c r="J214" s="1214"/>
      <c r="K214" s="1214"/>
      <c r="L214" s="1214"/>
      <c r="M214" s="1214"/>
      <c r="N214" s="1214">
        <f>D214*E214*0</f>
        <v>0</v>
      </c>
      <c r="O214" s="1215"/>
      <c r="P214" s="1099"/>
      <c r="Q214" s="1205"/>
      <c r="R214" s="1217"/>
      <c r="S214" s="1205"/>
      <c r="T214" s="1205"/>
      <c r="U214" s="1205"/>
      <c r="V214" s="1206"/>
      <c r="W214" s="1206"/>
      <c r="X214" s="1206"/>
    </row>
    <row r="215" spans="1:24" ht="15.75" customHeight="1">
      <c r="A215" s="1218"/>
      <c r="B215" s="1227" t="s">
        <v>1643</v>
      </c>
      <c r="C215" s="1214">
        <v>6</v>
      </c>
      <c r="D215" s="1214"/>
      <c r="E215" s="1214">
        <f>E120</f>
        <v>3.88</v>
      </c>
      <c r="F215" s="1214"/>
      <c r="G215" s="1214"/>
      <c r="H215" s="1214">
        <v>2</v>
      </c>
      <c r="I215" s="1214"/>
      <c r="J215" s="1214"/>
      <c r="K215" s="1214"/>
      <c r="L215" s="1214"/>
      <c r="M215" s="1214"/>
      <c r="N215" s="1214">
        <f>C215*E215*H215</f>
        <v>46.56</v>
      </c>
      <c r="O215" s="1215"/>
      <c r="P215" s="1099"/>
      <c r="Q215" s="1205"/>
      <c r="R215" s="1217"/>
      <c r="S215" s="1205"/>
      <c r="T215" s="1205"/>
      <c r="U215" s="1205"/>
      <c r="V215" s="1206"/>
      <c r="W215" s="1206"/>
      <c r="X215" s="1206"/>
    </row>
    <row r="216" spans="1:24" ht="15.75" customHeight="1">
      <c r="A216" s="1218"/>
      <c r="B216" s="1227"/>
      <c r="C216" s="1214">
        <v>3.5</v>
      </c>
      <c r="D216" s="1214"/>
      <c r="E216" s="1214">
        <f>E215</f>
        <v>3.88</v>
      </c>
      <c r="F216" s="1214"/>
      <c r="G216" s="1214"/>
      <c r="H216" s="1214">
        <f>H215</f>
        <v>2</v>
      </c>
      <c r="I216" s="1214"/>
      <c r="J216" s="1214"/>
      <c r="K216" s="1214"/>
      <c r="L216" s="1214"/>
      <c r="M216" s="1214"/>
      <c r="N216" s="1214">
        <f>C216*E216*H216</f>
        <v>27.16</v>
      </c>
      <c r="O216" s="1215"/>
      <c r="P216" s="1099"/>
      <c r="Q216" s="1205"/>
      <c r="R216" s="1217"/>
      <c r="S216" s="1205"/>
      <c r="T216" s="1205"/>
      <c r="U216" s="1205"/>
      <c r="V216" s="1206"/>
      <c r="W216" s="1206"/>
      <c r="X216" s="1206"/>
    </row>
    <row r="217" spans="1:24" ht="15.75" customHeight="1">
      <c r="A217" s="1218"/>
      <c r="B217" s="1227" t="s">
        <v>1201</v>
      </c>
      <c r="C217" s="1214"/>
      <c r="D217" s="1214">
        <v>2</v>
      </c>
      <c r="E217" s="1214">
        <v>2.5</v>
      </c>
      <c r="F217" s="1214"/>
      <c r="G217" s="1214"/>
      <c r="H217" s="1214"/>
      <c r="I217" s="1214"/>
      <c r="J217" s="1214"/>
      <c r="K217" s="1214"/>
      <c r="L217" s="1214"/>
      <c r="M217" s="1214"/>
      <c r="N217" s="1214">
        <f>-D217*E217</f>
        <v>-5</v>
      </c>
      <c r="O217" s="1215"/>
      <c r="P217" s="1099"/>
      <c r="Q217" s="1205"/>
      <c r="R217" s="1217"/>
      <c r="S217" s="1205"/>
      <c r="T217" s="1205"/>
      <c r="U217" s="1205"/>
      <c r="V217" s="1206"/>
      <c r="W217" s="1206"/>
      <c r="X217" s="1206"/>
    </row>
    <row r="218" spans="1:24" ht="15.75" customHeight="1">
      <c r="A218" s="1218"/>
      <c r="B218" s="1227" t="s">
        <v>1644</v>
      </c>
      <c r="C218" s="1214"/>
      <c r="D218" s="1214">
        <v>0.2</v>
      </c>
      <c r="E218" s="1214">
        <v>0.2</v>
      </c>
      <c r="F218" s="1214"/>
      <c r="G218" s="1214"/>
      <c r="H218" s="1214">
        <f>11+(4*2)</f>
        <v>19</v>
      </c>
      <c r="I218" s="1214"/>
      <c r="J218" s="1214"/>
      <c r="K218" s="1214"/>
      <c r="L218" s="1214"/>
      <c r="M218" s="1214"/>
      <c r="N218" s="1219">
        <f>-D218*E218*H218</f>
        <v>-0.76000000000000012</v>
      </c>
      <c r="O218" s="1215"/>
      <c r="P218" s="1099"/>
      <c r="Q218" s="1205"/>
      <c r="R218" s="1217"/>
      <c r="S218" s="1205"/>
      <c r="T218" s="1205"/>
      <c r="U218" s="1205"/>
      <c r="V218" s="1206"/>
      <c r="W218" s="1206"/>
      <c r="X218" s="1206"/>
    </row>
    <row r="219" spans="1:24" ht="15.75" customHeight="1">
      <c r="A219" s="1218"/>
      <c r="B219" s="1227"/>
      <c r="C219" s="1214"/>
      <c r="D219" s="1214"/>
      <c r="E219" s="1214"/>
      <c r="F219" s="1214"/>
      <c r="G219" s="1214"/>
      <c r="H219" s="1214"/>
      <c r="I219" s="1214"/>
      <c r="J219" s="1214"/>
      <c r="K219" s="1214"/>
      <c r="L219" s="1214"/>
      <c r="M219" s="1214"/>
      <c r="N219" s="1247">
        <f>SUM(N211:N218)</f>
        <v>67.959999999999994</v>
      </c>
      <c r="O219" s="1248" t="s">
        <v>89</v>
      </c>
      <c r="P219" s="1099">
        <f>ROUND((N219),2)</f>
        <v>67.959999999999994</v>
      </c>
      <c r="Q219" s="1205"/>
      <c r="R219" s="1217"/>
      <c r="S219" s="1205"/>
      <c r="T219" s="1205"/>
      <c r="U219" s="1205"/>
      <c r="V219" s="1206"/>
      <c r="W219" s="1206"/>
      <c r="X219" s="1206"/>
    </row>
    <row r="220" spans="1:24" ht="15.75" customHeight="1">
      <c r="A220" s="1218">
        <f>A210+1</f>
        <v>2</v>
      </c>
      <c r="B220" s="1269" t="s">
        <v>193</v>
      </c>
      <c r="C220" s="1214" t="s">
        <v>1625</v>
      </c>
      <c r="D220" s="1214"/>
      <c r="E220" s="1214"/>
      <c r="F220" s="1214"/>
      <c r="G220" s="1214"/>
      <c r="H220" s="1214"/>
      <c r="I220" s="1214"/>
      <c r="J220" s="1214"/>
      <c r="K220" s="1214"/>
      <c r="L220" s="1214"/>
      <c r="M220" s="1214"/>
      <c r="N220" s="1214">
        <f>N219*2</f>
        <v>135.91999999999999</v>
      </c>
      <c r="O220" s="1215" t="s">
        <v>89</v>
      </c>
      <c r="P220" s="1099">
        <f>ROUND((N220),2)</f>
        <v>135.91999999999999</v>
      </c>
      <c r="Q220" s="1205"/>
      <c r="R220" s="1217"/>
      <c r="S220" s="1205"/>
      <c r="T220" s="1205"/>
      <c r="U220" s="1205"/>
      <c r="V220" s="1206"/>
      <c r="W220" s="1206"/>
      <c r="X220" s="1206"/>
    </row>
    <row r="221" spans="1:24" ht="15.75" customHeight="1">
      <c r="A221" s="1218">
        <f>A220+1</f>
        <v>3</v>
      </c>
      <c r="B221" s="1269" t="s">
        <v>194</v>
      </c>
      <c r="C221" s="1214" t="s">
        <v>1022</v>
      </c>
      <c r="D221" s="1214"/>
      <c r="E221" s="1214"/>
      <c r="F221" s="1214"/>
      <c r="G221" s="1214"/>
      <c r="H221" s="1214"/>
      <c r="I221" s="1214"/>
      <c r="J221" s="1214"/>
      <c r="K221" s="1214"/>
      <c r="L221" s="1214"/>
      <c r="M221" s="1214"/>
      <c r="N221" s="1214">
        <f>N220</f>
        <v>135.91999999999999</v>
      </c>
      <c r="O221" s="1215" t="s">
        <v>89</v>
      </c>
      <c r="P221" s="1099">
        <f>ROUND((N221),2)</f>
        <v>135.91999999999999</v>
      </c>
      <c r="Q221" s="1205"/>
      <c r="R221" s="1217"/>
      <c r="S221" s="1205"/>
      <c r="T221" s="1205"/>
      <c r="U221" s="1205"/>
      <c r="V221" s="1206"/>
      <c r="W221" s="1206"/>
      <c r="X221" s="1206"/>
    </row>
    <row r="222" spans="1:24" ht="15.75" customHeight="1">
      <c r="A222" s="1218">
        <f>A221+1</f>
        <v>4</v>
      </c>
      <c r="B222" s="1269" t="s">
        <v>435</v>
      </c>
      <c r="C222" s="1214"/>
      <c r="D222" s="1214"/>
      <c r="E222" s="1214"/>
      <c r="F222" s="1214"/>
      <c r="G222" s="1214"/>
      <c r="H222" s="1214"/>
      <c r="I222" s="1214"/>
      <c r="J222" s="1214"/>
      <c r="K222" s="1214"/>
      <c r="L222" s="1214"/>
      <c r="M222" s="1214"/>
      <c r="N222" s="1214"/>
      <c r="O222" s="1215"/>
      <c r="P222" s="1099"/>
      <c r="Q222" s="1205"/>
      <c r="R222" s="1217"/>
      <c r="S222" s="1205"/>
      <c r="T222" s="1205"/>
      <c r="U222" s="1205"/>
      <c r="V222" s="1206"/>
      <c r="W222" s="1206"/>
      <c r="X222" s="1206"/>
    </row>
    <row r="223" spans="1:24" ht="15.75" customHeight="1">
      <c r="A223" s="1218"/>
      <c r="B223" s="1227" t="s">
        <v>1087</v>
      </c>
      <c r="C223" s="1251"/>
      <c r="D223" s="1251">
        <v>0.25</v>
      </c>
      <c r="E223" s="1251">
        <f>E112</f>
        <v>3.88</v>
      </c>
      <c r="F223" s="1214"/>
      <c r="G223" s="1214"/>
      <c r="H223" s="1214">
        <v>4</v>
      </c>
      <c r="I223" s="1214"/>
      <c r="J223" s="1214"/>
      <c r="K223" s="1214"/>
      <c r="L223" s="1214"/>
      <c r="M223" s="1214">
        <v>8</v>
      </c>
      <c r="N223" s="1214">
        <f>D223*E223*H223*M223</f>
        <v>31.04</v>
      </c>
      <c r="O223" s="1215"/>
      <c r="P223" s="1099"/>
      <c r="Q223" s="1205"/>
      <c r="R223" s="1217"/>
      <c r="S223" s="1205"/>
      <c r="T223" s="1205"/>
      <c r="U223" s="1205"/>
      <c r="V223" s="1206"/>
      <c r="W223" s="1206"/>
      <c r="X223" s="1206"/>
    </row>
    <row r="224" spans="1:24" ht="15.75" customHeight="1">
      <c r="A224" s="1218"/>
      <c r="B224" s="1227" t="s">
        <v>1361</v>
      </c>
      <c r="C224" s="1251">
        <v>6</v>
      </c>
      <c r="D224" s="1251"/>
      <c r="E224" s="1251">
        <v>0.35</v>
      </c>
      <c r="F224" s="1214"/>
      <c r="G224" s="1214"/>
      <c r="H224" s="1214">
        <v>2</v>
      </c>
      <c r="I224" s="1214"/>
      <c r="J224" s="1214"/>
      <c r="K224" s="1214"/>
      <c r="L224" s="1214"/>
      <c r="M224" s="1214">
        <v>4</v>
      </c>
      <c r="N224" s="1214">
        <f>C224*E224*H224*M224</f>
        <v>16.799999999999997</v>
      </c>
      <c r="O224" s="1215"/>
      <c r="P224" s="1099"/>
      <c r="Q224" s="1205"/>
      <c r="R224" s="1217"/>
      <c r="S224" s="1205"/>
      <c r="T224" s="1205"/>
      <c r="U224" s="1205"/>
      <c r="V224" s="1206"/>
      <c r="W224" s="1206"/>
      <c r="X224" s="1206"/>
    </row>
    <row r="225" spans="1:24" ht="15.75" customHeight="1">
      <c r="A225" s="1218"/>
      <c r="B225" s="1227"/>
      <c r="C225" s="1251">
        <f>C224</f>
        <v>6</v>
      </c>
      <c r="D225" s="1251">
        <v>0.2</v>
      </c>
      <c r="E225" s="1251"/>
      <c r="F225" s="1214"/>
      <c r="G225" s="1214"/>
      <c r="H225" s="1214">
        <v>1</v>
      </c>
      <c r="I225" s="1214"/>
      <c r="J225" s="1214"/>
      <c r="K225" s="1214"/>
      <c r="L225" s="1214"/>
      <c r="M225" s="1214">
        <f>M224</f>
        <v>4</v>
      </c>
      <c r="N225" s="1214">
        <f>C225*D225*H225*M225</f>
        <v>4.8000000000000007</v>
      </c>
      <c r="O225" s="1215"/>
      <c r="P225" s="1099"/>
      <c r="Q225" s="1205"/>
      <c r="R225" s="1217"/>
      <c r="S225" s="1205"/>
      <c r="T225" s="1205"/>
      <c r="U225" s="1205"/>
      <c r="V225" s="1206"/>
      <c r="W225" s="1206"/>
      <c r="X225" s="1206"/>
    </row>
    <row r="226" spans="1:24" ht="15.75" customHeight="1">
      <c r="A226" s="1218"/>
      <c r="B226" s="1269"/>
      <c r="C226" s="1251">
        <v>12</v>
      </c>
      <c r="D226" s="1251"/>
      <c r="E226" s="1251">
        <f>E224</f>
        <v>0.35</v>
      </c>
      <c r="F226" s="1214"/>
      <c r="G226" s="1214"/>
      <c r="H226" s="1214">
        <f>H224</f>
        <v>2</v>
      </c>
      <c r="I226" s="1214"/>
      <c r="J226" s="1214"/>
      <c r="K226" s="1214"/>
      <c r="L226" s="1214"/>
      <c r="M226" s="1214">
        <v>2</v>
      </c>
      <c r="N226" s="1214">
        <f>C226*E226*H226*M226</f>
        <v>16.799999999999997</v>
      </c>
      <c r="O226" s="1215"/>
      <c r="P226" s="1099"/>
      <c r="Q226" s="1205"/>
      <c r="R226" s="1217"/>
      <c r="S226" s="1205"/>
      <c r="T226" s="1205"/>
      <c r="U226" s="1205"/>
      <c r="V226" s="1206"/>
      <c r="W226" s="1206"/>
      <c r="X226" s="1206"/>
    </row>
    <row r="227" spans="1:24" ht="15.75" customHeight="1">
      <c r="A227" s="1218"/>
      <c r="B227" s="1269"/>
      <c r="C227" s="1251">
        <f>C226</f>
        <v>12</v>
      </c>
      <c r="D227" s="1251">
        <f>D225</f>
        <v>0.2</v>
      </c>
      <c r="E227" s="1251"/>
      <c r="F227" s="1214"/>
      <c r="G227" s="1214"/>
      <c r="H227" s="1214">
        <f>H225</f>
        <v>1</v>
      </c>
      <c r="I227" s="1214"/>
      <c r="J227" s="1214"/>
      <c r="K227" s="1214"/>
      <c r="L227" s="1214"/>
      <c r="M227" s="1214">
        <f>M226</f>
        <v>2</v>
      </c>
      <c r="N227" s="1214">
        <f>C227*D227*H227*M227</f>
        <v>4.8000000000000007</v>
      </c>
      <c r="O227" s="1215"/>
      <c r="P227" s="1099"/>
      <c r="Q227" s="1205"/>
      <c r="R227" s="1217"/>
      <c r="S227" s="1205"/>
      <c r="T227" s="1205"/>
      <c r="U227" s="1205"/>
      <c r="V227" s="1206"/>
      <c r="W227" s="1206"/>
      <c r="X227" s="1206"/>
    </row>
    <row r="228" spans="1:24" ht="15.75" customHeight="1">
      <c r="A228" s="1218"/>
      <c r="B228" s="1269"/>
      <c r="C228" s="1251">
        <v>4</v>
      </c>
      <c r="D228" s="1251"/>
      <c r="E228" s="1251">
        <v>0.15</v>
      </c>
      <c r="F228" s="1214"/>
      <c r="G228" s="1214"/>
      <c r="H228" s="1214">
        <v>3</v>
      </c>
      <c r="I228" s="1214"/>
      <c r="J228" s="1214"/>
      <c r="K228" s="1214"/>
      <c r="L228" s="1214"/>
      <c r="M228" s="1214">
        <v>2</v>
      </c>
      <c r="N228" s="1219">
        <f>C228*E228*H228*M228</f>
        <v>3.5999999999999996</v>
      </c>
      <c r="O228" s="1215"/>
      <c r="P228" s="1099"/>
      <c r="Q228" s="1205"/>
      <c r="R228" s="1217"/>
      <c r="S228" s="1205"/>
      <c r="T228" s="1205"/>
      <c r="U228" s="1205"/>
      <c r="V228" s="1206"/>
      <c r="W228" s="1206"/>
      <c r="X228" s="1206"/>
    </row>
    <row r="229" spans="1:24" ht="15.75" customHeight="1">
      <c r="A229" s="1218"/>
      <c r="B229" s="1269"/>
      <c r="C229" s="1214"/>
      <c r="D229" s="1214"/>
      <c r="E229" s="1214"/>
      <c r="F229" s="1214"/>
      <c r="G229" s="1214"/>
      <c r="H229" s="1214"/>
      <c r="I229" s="1214"/>
      <c r="J229" s="1214"/>
      <c r="K229" s="1214"/>
      <c r="L229" s="1214"/>
      <c r="M229" s="1214"/>
      <c r="N229" s="1249">
        <f>SUM(N223:N228)</f>
        <v>77.839999999999989</v>
      </c>
      <c r="O229" s="1248" t="s">
        <v>89</v>
      </c>
      <c r="P229" s="1099">
        <f>ROUND((N229),2)</f>
        <v>77.84</v>
      </c>
      <c r="Q229" s="1205"/>
      <c r="R229" s="1217"/>
      <c r="S229" s="1205"/>
      <c r="T229" s="1205"/>
      <c r="U229" s="1205"/>
      <c r="V229" s="1206"/>
      <c r="W229" s="1206"/>
      <c r="X229" s="1206"/>
    </row>
    <row r="230" spans="1:24" ht="15.75" customHeight="1">
      <c r="A230" s="1218">
        <f>A222+1</f>
        <v>5</v>
      </c>
      <c r="B230" s="351" t="s">
        <v>436</v>
      </c>
      <c r="C230" s="1214"/>
      <c r="D230" s="1214"/>
      <c r="E230" s="1214"/>
      <c r="F230" s="1214"/>
      <c r="G230" s="1214"/>
      <c r="H230" s="1214"/>
      <c r="I230" s="1214"/>
      <c r="J230" s="1214"/>
      <c r="K230" s="1214"/>
      <c r="L230" s="1214"/>
      <c r="M230" s="1214"/>
      <c r="N230" s="1214"/>
      <c r="O230" s="1215"/>
      <c r="P230" s="1099"/>
      <c r="Q230" s="1205"/>
      <c r="R230" s="1217"/>
      <c r="S230" s="1205"/>
      <c r="T230" s="1205"/>
      <c r="U230" s="1205"/>
      <c r="V230" s="1206"/>
      <c r="W230" s="1206"/>
      <c r="X230" s="1206"/>
    </row>
    <row r="231" spans="1:24" ht="15.75" customHeight="1">
      <c r="A231" s="1218"/>
      <c r="B231" s="1227" t="s">
        <v>1539</v>
      </c>
      <c r="C231" s="1214"/>
      <c r="D231" s="1214">
        <v>2.9740000000000002</v>
      </c>
      <c r="E231" s="1214">
        <v>0.85299999999999998</v>
      </c>
      <c r="F231" s="1214"/>
      <c r="G231" s="1214"/>
      <c r="H231" s="1214"/>
      <c r="I231" s="1214"/>
      <c r="J231" s="1214"/>
      <c r="K231" s="1214"/>
      <c r="L231" s="1214"/>
      <c r="M231" s="1214"/>
      <c r="N231" s="1214">
        <f>D231*E231</f>
        <v>2.5368219999999999</v>
      </c>
      <c r="O231" s="1215"/>
      <c r="P231" s="1099"/>
      <c r="Q231" s="1205"/>
      <c r="R231" s="1217"/>
      <c r="S231" s="1205"/>
      <c r="T231" s="1205"/>
      <c r="U231" s="1205"/>
      <c r="V231" s="1206"/>
      <c r="W231" s="1206"/>
      <c r="X231" s="1206"/>
    </row>
    <row r="232" spans="1:24" ht="15.75" customHeight="1">
      <c r="A232" s="1218"/>
      <c r="B232" s="1227"/>
      <c r="C232" s="1214"/>
      <c r="D232" s="1214">
        <v>1.7829999999999999</v>
      </c>
      <c r="E232" s="1214">
        <f>E231</f>
        <v>0.85299999999999998</v>
      </c>
      <c r="F232" s="1214"/>
      <c r="G232" s="1214"/>
      <c r="H232" s="1214"/>
      <c r="I232" s="1214"/>
      <c r="J232" s="1214"/>
      <c r="K232" s="1214"/>
      <c r="L232" s="1214"/>
      <c r="M232" s="1214"/>
      <c r="N232" s="1214">
        <f>D232*E232</f>
        <v>1.520899</v>
      </c>
      <c r="O232" s="1215"/>
      <c r="P232" s="1099"/>
      <c r="Q232" s="1205"/>
      <c r="R232" s="1217"/>
      <c r="S232" s="1205"/>
      <c r="T232" s="1205"/>
      <c r="U232" s="1205"/>
      <c r="V232" s="1206"/>
      <c r="W232" s="1206"/>
      <c r="X232" s="1206"/>
    </row>
    <row r="233" spans="1:24" ht="15.75" customHeight="1">
      <c r="A233" s="1218"/>
      <c r="B233" s="1227"/>
      <c r="C233" s="1214"/>
      <c r="D233" s="1214">
        <f>D231/2</f>
        <v>1.4870000000000001</v>
      </c>
      <c r="E233" s="1214">
        <v>1.196</v>
      </c>
      <c r="F233" s="1214"/>
      <c r="G233" s="1214"/>
      <c r="H233" s="1214"/>
      <c r="I233" s="1214"/>
      <c r="J233" s="1214"/>
      <c r="K233" s="1214"/>
      <c r="L233" s="1214"/>
      <c r="M233" s="1214"/>
      <c r="N233" s="1219">
        <f>D233*E233</f>
        <v>1.7784520000000001</v>
      </c>
      <c r="O233" s="1215"/>
      <c r="P233" s="1099"/>
      <c r="Q233" s="1205"/>
      <c r="R233" s="1217"/>
      <c r="S233" s="1205"/>
      <c r="T233" s="1205"/>
      <c r="U233" s="1205"/>
      <c r="V233" s="1206"/>
      <c r="W233" s="1206"/>
      <c r="X233" s="1206"/>
    </row>
    <row r="234" spans="1:24" ht="15.75" customHeight="1">
      <c r="A234" s="1218"/>
      <c r="B234" s="1270"/>
      <c r="C234" s="1214"/>
      <c r="D234" s="1214"/>
      <c r="E234" s="1214"/>
      <c r="F234" s="1214"/>
      <c r="G234" s="1214"/>
      <c r="H234" s="1214"/>
      <c r="I234" s="1214"/>
      <c r="J234" s="1214"/>
      <c r="K234" s="1214"/>
      <c r="L234" s="1214"/>
      <c r="M234" s="1214"/>
      <c r="N234" s="1220">
        <f>SUM(N231:N233)</f>
        <v>5.8361730000000005</v>
      </c>
      <c r="O234" s="1248" t="s">
        <v>89</v>
      </c>
      <c r="P234" s="1099">
        <f>ROUND((N234),2)</f>
        <v>5.84</v>
      </c>
      <c r="Q234" s="1205"/>
      <c r="R234" s="1217"/>
      <c r="S234" s="1205"/>
      <c r="T234" s="1205"/>
      <c r="U234" s="1205"/>
      <c r="V234" s="1206"/>
      <c r="W234" s="1206"/>
      <c r="X234" s="1206"/>
    </row>
    <row r="235" spans="1:24" ht="15.75" customHeight="1">
      <c r="A235" s="1218">
        <f>A230+1</f>
        <v>6</v>
      </c>
      <c r="B235" s="409" t="s">
        <v>632</v>
      </c>
      <c r="C235" s="1214"/>
      <c r="D235" s="1214">
        <v>0.2</v>
      </c>
      <c r="E235" s="1214">
        <v>0.2</v>
      </c>
      <c r="F235" s="1214"/>
      <c r="G235" s="1214"/>
      <c r="H235" s="1214">
        <f>11+(4*2)</f>
        <v>19</v>
      </c>
      <c r="I235" s="1214"/>
      <c r="J235" s="1214"/>
      <c r="K235" s="1214"/>
      <c r="L235" s="1214"/>
      <c r="M235" s="1214"/>
      <c r="N235" s="1214">
        <f>D235*E235*H235</f>
        <v>0.76000000000000012</v>
      </c>
      <c r="O235" s="1215" t="s">
        <v>89</v>
      </c>
      <c r="P235" s="1099">
        <f>ROUND((N235),2)</f>
        <v>0.76</v>
      </c>
      <c r="Q235" s="1205"/>
      <c r="R235" s="1217"/>
      <c r="S235" s="1205"/>
      <c r="T235" s="1205"/>
      <c r="U235" s="1205"/>
      <c r="V235" s="1206"/>
      <c r="W235" s="1206"/>
      <c r="X235" s="1206"/>
    </row>
    <row r="236" spans="1:24" s="1243" customFormat="1" ht="15.75" hidden="1" customHeight="1">
      <c r="A236" s="1271">
        <f>A230+1</f>
        <v>6</v>
      </c>
      <c r="B236" s="1235" t="s">
        <v>1640</v>
      </c>
      <c r="C236" s="1236"/>
      <c r="D236" s="1236"/>
      <c r="E236" s="1236"/>
      <c r="F236" s="1236"/>
      <c r="G236" s="1236"/>
      <c r="H236" s="1236"/>
      <c r="I236" s="1236"/>
      <c r="J236" s="1236"/>
      <c r="K236" s="1236"/>
      <c r="L236" s="1236"/>
      <c r="M236" s="1236"/>
      <c r="N236" s="1236"/>
      <c r="O236" s="1238"/>
      <c r="P236" s="1239"/>
      <c r="Q236" s="1240"/>
      <c r="R236" s="1241"/>
      <c r="S236" s="1240"/>
      <c r="T236" s="1240"/>
      <c r="U236" s="1240"/>
      <c r="V236" s="1242"/>
      <c r="W236" s="1242"/>
      <c r="X236" s="1242"/>
    </row>
    <row r="237" spans="1:24" s="1243" customFormat="1" ht="15.75" hidden="1" customHeight="1">
      <c r="A237" s="1234" t="s">
        <v>95</v>
      </c>
      <c r="B237" s="1235" t="s">
        <v>438</v>
      </c>
      <c r="C237" s="1236">
        <v>1.2</v>
      </c>
      <c r="D237" s="1236">
        <v>0.15</v>
      </c>
      <c r="E237" s="1236">
        <v>0.1</v>
      </c>
      <c r="F237" s="1236"/>
      <c r="G237" s="1236"/>
      <c r="H237" s="1236"/>
      <c r="I237" s="1236"/>
      <c r="J237" s="1236"/>
      <c r="K237" s="1236"/>
      <c r="L237" s="1236"/>
      <c r="M237" s="1236">
        <f>9*0</f>
        <v>0</v>
      </c>
      <c r="N237" s="1236">
        <f>C237*D237*E237*M237</f>
        <v>0</v>
      </c>
      <c r="O237" s="1238" t="s">
        <v>103</v>
      </c>
      <c r="P237" s="1239">
        <f>ROUND((N237),2)</f>
        <v>0</v>
      </c>
      <c r="Q237" s="1240"/>
      <c r="R237" s="1241"/>
      <c r="S237" s="1240"/>
      <c r="T237" s="1240"/>
      <c r="U237" s="1240"/>
      <c r="V237" s="1242"/>
      <c r="W237" s="1242"/>
      <c r="X237" s="1242"/>
    </row>
    <row r="238" spans="1:24" s="1243" customFormat="1" ht="15.75" hidden="1" customHeight="1">
      <c r="A238" s="1234" t="s">
        <v>98</v>
      </c>
      <c r="B238" s="1235" t="s">
        <v>439</v>
      </c>
      <c r="C238" s="1236">
        <f>C237+(0.3*2)</f>
        <v>1.7999999999999998</v>
      </c>
      <c r="D238" s="1236"/>
      <c r="E238" s="1236">
        <v>0.15</v>
      </c>
      <c r="F238" s="1236"/>
      <c r="G238" s="1236"/>
      <c r="H238" s="1236"/>
      <c r="I238" s="1236"/>
      <c r="J238" s="1236"/>
      <c r="K238" s="1236"/>
      <c r="L238" s="1236"/>
      <c r="M238" s="1236">
        <f>M237</f>
        <v>0</v>
      </c>
      <c r="N238" s="1236">
        <f>C238*E238*M238</f>
        <v>0</v>
      </c>
      <c r="O238" s="1238" t="s">
        <v>89</v>
      </c>
      <c r="P238" s="1239">
        <f>ROUND((N238),2)</f>
        <v>0</v>
      </c>
      <c r="Q238" s="1240"/>
      <c r="R238" s="1241"/>
      <c r="S238" s="1240"/>
      <c r="T238" s="1240"/>
      <c r="U238" s="1240"/>
      <c r="V238" s="1242"/>
      <c r="W238" s="1242"/>
      <c r="X238" s="1242"/>
    </row>
    <row r="239" spans="1:24" s="1243" customFormat="1" ht="15.75" hidden="1" customHeight="1">
      <c r="A239" s="1234" t="s">
        <v>101</v>
      </c>
      <c r="B239" s="1235" t="s">
        <v>916</v>
      </c>
      <c r="C239" s="1236">
        <f>C237</f>
        <v>1.2</v>
      </c>
      <c r="D239" s="1236">
        <v>0.3</v>
      </c>
      <c r="E239" s="1236">
        <f>E238-E240</f>
        <v>0.09</v>
      </c>
      <c r="F239" s="1236"/>
      <c r="G239" s="1236"/>
      <c r="H239" s="1236"/>
      <c r="I239" s="1236"/>
      <c r="J239" s="1236"/>
      <c r="K239" s="1236"/>
      <c r="L239" s="1236"/>
      <c r="M239" s="1236">
        <f>M238</f>
        <v>0</v>
      </c>
      <c r="N239" s="1236">
        <f>C239*D239*E239*M239</f>
        <v>0</v>
      </c>
      <c r="O239" s="1238" t="s">
        <v>103</v>
      </c>
      <c r="P239" s="1239">
        <f>ROUND((N239),2)</f>
        <v>0</v>
      </c>
      <c r="Q239" s="1240"/>
      <c r="R239" s="1241"/>
      <c r="S239" s="1240"/>
      <c r="T239" s="1240"/>
      <c r="U239" s="1240"/>
      <c r="V239" s="1242"/>
      <c r="W239" s="1242"/>
      <c r="X239" s="1242"/>
    </row>
    <row r="240" spans="1:24" s="1243" customFormat="1" ht="15.75" hidden="1" customHeight="1">
      <c r="A240" s="1234" t="s">
        <v>121</v>
      </c>
      <c r="B240" s="1235" t="s">
        <v>935</v>
      </c>
      <c r="C240" s="1236">
        <f>C239</f>
        <v>1.2</v>
      </c>
      <c r="D240" s="1236">
        <f>D239</f>
        <v>0.3</v>
      </c>
      <c r="E240" s="1236">
        <v>0.06</v>
      </c>
      <c r="F240" s="1236"/>
      <c r="G240" s="1236"/>
      <c r="H240" s="1236"/>
      <c r="I240" s="1236"/>
      <c r="J240" s="1236"/>
      <c r="K240" s="1236"/>
      <c r="L240" s="1236"/>
      <c r="M240" s="1236">
        <f>M239</f>
        <v>0</v>
      </c>
      <c r="N240" s="1236">
        <f>C240*D240*E240*M240</f>
        <v>0</v>
      </c>
      <c r="O240" s="1238" t="s">
        <v>103</v>
      </c>
      <c r="P240" s="1239">
        <f>ROUND((N240),2)</f>
        <v>0</v>
      </c>
      <c r="Q240" s="1240"/>
      <c r="R240" s="1241"/>
      <c r="S240" s="1240"/>
      <c r="T240" s="1240"/>
      <c r="U240" s="1240"/>
      <c r="V240" s="1242"/>
      <c r="W240" s="1242"/>
      <c r="X240" s="1242"/>
    </row>
    <row r="241" spans="1:24" s="1280" customFormat="1" ht="15.75" customHeight="1">
      <c r="A241" s="1272">
        <f>A235+1</f>
        <v>7</v>
      </c>
      <c r="B241" s="1273" t="s">
        <v>967</v>
      </c>
      <c r="C241" s="1274">
        <v>12</v>
      </c>
      <c r="D241" s="1274">
        <v>6</v>
      </c>
      <c r="E241" s="1274"/>
      <c r="F241" s="1274"/>
      <c r="G241" s="1274"/>
      <c r="H241" s="1274"/>
      <c r="I241" s="1274"/>
      <c r="J241" s="1274"/>
      <c r="K241" s="1274"/>
      <c r="L241" s="1274"/>
      <c r="M241" s="1274"/>
      <c r="N241" s="1274">
        <f>C241*D241+N242</f>
        <v>88.05</v>
      </c>
      <c r="O241" s="1275" t="s">
        <v>89</v>
      </c>
      <c r="P241" s="1276">
        <f>ROUND((N241),2)</f>
        <v>88.05</v>
      </c>
      <c r="Q241" s="1277"/>
      <c r="R241" s="1278"/>
      <c r="S241" s="1277"/>
      <c r="T241" s="1277"/>
      <c r="U241" s="1277"/>
      <c r="V241" s="1279"/>
      <c r="W241" s="1279"/>
      <c r="X241" s="1279"/>
    </row>
    <row r="242" spans="1:24" s="1280" customFormat="1" ht="15.75" customHeight="1">
      <c r="A242" s="1272"/>
      <c r="B242" s="1273"/>
      <c r="C242" s="1274">
        <v>5.35</v>
      </c>
      <c r="D242" s="1274">
        <v>3</v>
      </c>
      <c r="E242" s="1274"/>
      <c r="F242" s="1274"/>
      <c r="G242" s="1274"/>
      <c r="H242" s="1274"/>
      <c r="I242" s="1274"/>
      <c r="J242" s="1274"/>
      <c r="K242" s="1274"/>
      <c r="L242" s="1274"/>
      <c r="M242" s="1274"/>
      <c r="N242" s="1274">
        <f>C242*D242</f>
        <v>16.049999999999997</v>
      </c>
      <c r="O242" s="1275"/>
      <c r="P242" s="1276"/>
      <c r="Q242" s="1277"/>
      <c r="R242" s="1278"/>
      <c r="S242" s="1277"/>
      <c r="T242" s="1277"/>
      <c r="U242" s="1277"/>
      <c r="V242" s="1279"/>
      <c r="W242" s="1279"/>
      <c r="X242" s="1279"/>
    </row>
    <row r="243" spans="1:24" ht="15.75" customHeight="1">
      <c r="A243" s="1218">
        <f>A241+1</f>
        <v>8</v>
      </c>
      <c r="B243" s="1269" t="s">
        <v>580</v>
      </c>
      <c r="C243" s="1214"/>
      <c r="D243" s="1214"/>
      <c r="E243" s="1214"/>
      <c r="F243" s="1214"/>
      <c r="G243" s="1214"/>
      <c r="H243" s="1214"/>
      <c r="I243" s="1214"/>
      <c r="J243" s="1214"/>
      <c r="K243" s="1214"/>
      <c r="L243" s="1214"/>
      <c r="M243" s="1214"/>
      <c r="N243" s="1214"/>
      <c r="O243" s="1215"/>
      <c r="P243" s="1099"/>
      <c r="Q243" s="1205"/>
      <c r="R243" s="1217"/>
      <c r="S243" s="1205"/>
      <c r="T243" s="1205"/>
      <c r="U243" s="1205"/>
      <c r="V243" s="1206"/>
      <c r="W243" s="1206"/>
      <c r="X243" s="1206"/>
    </row>
    <row r="244" spans="1:24" ht="15.75" customHeight="1">
      <c r="A244" s="1218"/>
      <c r="B244" s="1227" t="s">
        <v>1636</v>
      </c>
      <c r="C244" s="1214"/>
      <c r="D244" s="1214"/>
      <c r="E244" s="1214"/>
      <c r="F244" s="1214"/>
      <c r="G244" s="1214"/>
      <c r="H244" s="1214"/>
      <c r="I244" s="1214"/>
      <c r="J244" s="1214"/>
      <c r="K244" s="1214"/>
      <c r="L244" s="1214"/>
      <c r="M244" s="1214"/>
      <c r="N244" s="1214">
        <f>N219</f>
        <v>67.959999999999994</v>
      </c>
      <c r="O244" s="1215"/>
      <c r="P244" s="1099"/>
      <c r="Q244" s="1205"/>
      <c r="R244" s="1217"/>
      <c r="S244" s="1205"/>
      <c r="T244" s="1205"/>
      <c r="U244" s="1205"/>
      <c r="V244" s="1206"/>
      <c r="W244" s="1206"/>
      <c r="X244" s="1206"/>
    </row>
    <row r="245" spans="1:24" ht="15.75" customHeight="1">
      <c r="A245" s="1218"/>
      <c r="B245" s="1227" t="s">
        <v>1629</v>
      </c>
      <c r="C245" s="1214"/>
      <c r="D245" s="1214"/>
      <c r="E245" s="1214"/>
      <c r="F245" s="1214"/>
      <c r="G245" s="1214"/>
      <c r="H245" s="1214"/>
      <c r="I245" s="1214"/>
      <c r="J245" s="1214"/>
      <c r="K245" s="1214"/>
      <c r="L245" s="1214"/>
      <c r="M245" s="1214"/>
      <c r="N245" s="1219">
        <f>N229</f>
        <v>77.839999999999989</v>
      </c>
      <c r="O245" s="1215"/>
      <c r="P245" s="1099"/>
      <c r="Q245" s="1205"/>
      <c r="R245" s="1217"/>
      <c r="S245" s="1205"/>
      <c r="T245" s="1205"/>
      <c r="U245" s="1205"/>
      <c r="V245" s="1206"/>
      <c r="W245" s="1206"/>
      <c r="X245" s="1206"/>
    </row>
    <row r="246" spans="1:24" ht="15.75" customHeight="1">
      <c r="A246" s="1218"/>
      <c r="B246" s="1227"/>
      <c r="C246" s="1214"/>
      <c r="D246" s="1214"/>
      <c r="E246" s="1214"/>
      <c r="F246" s="1214"/>
      <c r="G246" s="1214"/>
      <c r="H246" s="1214"/>
      <c r="I246" s="1214"/>
      <c r="J246" s="1214"/>
      <c r="K246" s="1214"/>
      <c r="L246" s="1214"/>
      <c r="M246" s="1214"/>
      <c r="N246" s="1214">
        <f>SUM(N244:N245)</f>
        <v>145.79999999999998</v>
      </c>
      <c r="O246" s="1215" t="s">
        <v>89</v>
      </c>
      <c r="P246" s="1099">
        <f>ROUND((N246),2)</f>
        <v>145.80000000000001</v>
      </c>
      <c r="Q246" s="1205"/>
      <c r="R246" s="1217"/>
      <c r="S246" s="1205"/>
      <c r="T246" s="1205"/>
      <c r="U246" s="1205"/>
      <c r="V246" s="1206"/>
      <c r="W246" s="1206"/>
      <c r="X246" s="1206"/>
    </row>
    <row r="247" spans="1:24" ht="31.5" customHeight="1">
      <c r="A247" s="1218">
        <f>A243+1</f>
        <v>9</v>
      </c>
      <c r="B247" s="1281" t="s">
        <v>1213</v>
      </c>
      <c r="C247" s="1214"/>
      <c r="D247" s="1214"/>
      <c r="E247" s="1214"/>
      <c r="F247" s="1214"/>
      <c r="G247" s="1214"/>
      <c r="H247" s="1214"/>
      <c r="I247" s="1214"/>
      <c r="J247" s="1214"/>
      <c r="K247" s="1214"/>
      <c r="L247" s="1214"/>
      <c r="M247" s="1214"/>
      <c r="N247" s="1214"/>
      <c r="O247" s="1215"/>
      <c r="P247" s="1099"/>
      <c r="Q247" s="1205"/>
      <c r="R247" s="1217"/>
      <c r="S247" s="1205"/>
      <c r="T247" s="1205"/>
      <c r="U247" s="1205"/>
      <c r="V247" s="1206"/>
      <c r="W247" s="1206"/>
      <c r="X247" s="1206"/>
    </row>
    <row r="248" spans="1:24" ht="15.75" customHeight="1">
      <c r="A248" s="1218"/>
      <c r="B248" s="1227" t="s">
        <v>1637</v>
      </c>
      <c r="C248" s="1214">
        <f>C241</f>
        <v>12</v>
      </c>
      <c r="D248" s="1214">
        <f>D241</f>
        <v>6</v>
      </c>
      <c r="E248" s="1214"/>
      <c r="F248" s="1214"/>
      <c r="G248" s="1214"/>
      <c r="H248" s="1214"/>
      <c r="I248" s="1214"/>
      <c r="J248" s="1214"/>
      <c r="K248" s="1214"/>
      <c r="L248" s="1214"/>
      <c r="M248" s="1214"/>
      <c r="N248" s="1214">
        <f>C248*D248</f>
        <v>72</v>
      </c>
      <c r="O248" s="1215"/>
      <c r="P248" s="1099"/>
      <c r="Q248" s="1205"/>
      <c r="R248" s="1217"/>
      <c r="S248" s="1205"/>
      <c r="T248" s="1205"/>
      <c r="U248" s="1205"/>
      <c r="V248" s="1206"/>
      <c r="W248" s="1206"/>
      <c r="X248" s="1206"/>
    </row>
    <row r="249" spans="1:24" ht="15.75" customHeight="1">
      <c r="A249" s="1218"/>
      <c r="B249" s="1227" t="s">
        <v>1638</v>
      </c>
      <c r="C249" s="1214">
        <f>C263</f>
        <v>14.15</v>
      </c>
      <c r="D249" s="1214">
        <v>1</v>
      </c>
      <c r="E249" s="1214"/>
      <c r="F249" s="1214"/>
      <c r="G249" s="1214"/>
      <c r="H249" s="1214">
        <v>2</v>
      </c>
      <c r="I249" s="1214"/>
      <c r="J249" s="1214"/>
      <c r="K249" s="1214"/>
      <c r="L249" s="1214"/>
      <c r="M249" s="1214"/>
      <c r="N249" s="1214">
        <f>C249*D249*H249</f>
        <v>28.3</v>
      </c>
      <c r="O249" s="1215"/>
      <c r="P249" s="1099"/>
      <c r="Q249" s="1205"/>
      <c r="R249" s="1217"/>
      <c r="S249" s="1205"/>
      <c r="T249" s="1205"/>
      <c r="U249" s="1205"/>
      <c r="V249" s="1206"/>
      <c r="W249" s="1206"/>
      <c r="X249" s="1206"/>
    </row>
    <row r="250" spans="1:24" ht="15.75" customHeight="1">
      <c r="A250" s="1218"/>
      <c r="B250" s="1227"/>
      <c r="C250" s="1214">
        <f>D248</f>
        <v>6</v>
      </c>
      <c r="D250" s="1214">
        <v>1</v>
      </c>
      <c r="E250" s="1214"/>
      <c r="F250" s="1214"/>
      <c r="G250" s="1214"/>
      <c r="H250" s="1214">
        <v>2</v>
      </c>
      <c r="I250" s="1214"/>
      <c r="J250" s="1214"/>
      <c r="K250" s="1214"/>
      <c r="L250" s="1214"/>
      <c r="M250" s="1214"/>
      <c r="N250" s="1219">
        <f>C250*D250*H250</f>
        <v>12</v>
      </c>
      <c r="O250" s="1215"/>
      <c r="P250" s="1099"/>
      <c r="Q250" s="1205"/>
      <c r="R250" s="1217"/>
      <c r="S250" s="1205"/>
      <c r="T250" s="1205"/>
      <c r="U250" s="1205"/>
      <c r="V250" s="1206"/>
      <c r="W250" s="1206"/>
      <c r="X250" s="1206"/>
    </row>
    <row r="251" spans="1:24" ht="15.75" customHeight="1">
      <c r="A251" s="1218"/>
      <c r="B251" s="1227"/>
      <c r="C251" s="1214"/>
      <c r="D251" s="1214"/>
      <c r="E251" s="1214"/>
      <c r="F251" s="1214"/>
      <c r="G251" s="1214"/>
      <c r="H251" s="1214"/>
      <c r="I251" s="1214"/>
      <c r="J251" s="1214"/>
      <c r="K251" s="1214"/>
      <c r="L251" s="1214"/>
      <c r="M251" s="1214"/>
      <c r="N251" s="1214">
        <f>SUM(N248:N250)</f>
        <v>112.3</v>
      </c>
      <c r="O251" s="1215" t="s">
        <v>89</v>
      </c>
      <c r="P251" s="1099">
        <f>ROUND((N251),2)</f>
        <v>112.3</v>
      </c>
      <c r="Q251" s="1205"/>
      <c r="R251" s="1217"/>
      <c r="S251" s="1205"/>
      <c r="T251" s="1205"/>
      <c r="U251" s="1205"/>
      <c r="V251" s="1206"/>
      <c r="W251" s="1206"/>
      <c r="X251" s="1206"/>
    </row>
    <row r="252" spans="1:24" ht="15.75" customHeight="1">
      <c r="A252" s="1218">
        <f>A247+1</f>
        <v>10</v>
      </c>
      <c r="B252" s="1269" t="s">
        <v>451</v>
      </c>
      <c r="C252" s="1214" t="s">
        <v>1639</v>
      </c>
      <c r="D252" s="1214"/>
      <c r="E252" s="1214"/>
      <c r="F252" s="1214"/>
      <c r="G252" s="1214"/>
      <c r="H252" s="1214"/>
      <c r="I252" s="1214"/>
      <c r="J252" s="1214"/>
      <c r="K252" s="1214"/>
      <c r="L252" s="1214"/>
      <c r="M252" s="1214"/>
      <c r="N252" s="1214">
        <f>N251</f>
        <v>112.3</v>
      </c>
      <c r="O252" s="1215" t="s">
        <v>89</v>
      </c>
      <c r="P252" s="1099">
        <f>ROUND((N252),2)</f>
        <v>112.3</v>
      </c>
      <c r="Q252" s="1205"/>
      <c r="R252" s="1217"/>
      <c r="S252" s="1205"/>
      <c r="T252" s="1205"/>
      <c r="U252" s="1205"/>
      <c r="V252" s="1206"/>
      <c r="W252" s="1206"/>
      <c r="X252" s="1206"/>
    </row>
    <row r="253" spans="1:24" s="1233" customFormat="1" ht="15.75" customHeight="1">
      <c r="A253" s="1218">
        <f>A252+1</f>
        <v>11</v>
      </c>
      <c r="B253" s="1269" t="s">
        <v>443</v>
      </c>
      <c r="C253" s="1282" t="s">
        <v>1023</v>
      </c>
      <c r="D253" s="1251"/>
      <c r="E253" s="1251"/>
      <c r="F253" s="1251"/>
      <c r="G253" s="1251"/>
      <c r="H253" s="1251"/>
      <c r="I253" s="1251"/>
      <c r="J253" s="1251"/>
      <c r="K253" s="1251"/>
      <c r="L253" s="1251"/>
      <c r="M253" s="1251"/>
      <c r="N253" s="1255"/>
      <c r="O253" s="1215"/>
      <c r="P253" s="1099"/>
      <c r="Q253" s="1205"/>
      <c r="R253" s="1252"/>
      <c r="S253" s="1205"/>
      <c r="T253" s="1205"/>
      <c r="U253" s="1205"/>
      <c r="V253" s="1253"/>
      <c r="W253" s="1253"/>
      <c r="X253" s="1253"/>
    </row>
    <row r="254" spans="1:24" s="1233" customFormat="1" ht="37.5" customHeight="1">
      <c r="A254" s="1225" t="s">
        <v>95</v>
      </c>
      <c r="B254" s="1283" t="s">
        <v>537</v>
      </c>
      <c r="C254" s="1282">
        <v>7.71</v>
      </c>
      <c r="D254" s="1284"/>
      <c r="E254" s="1251"/>
      <c r="F254" s="1251">
        <v>13</v>
      </c>
      <c r="G254" s="1251"/>
      <c r="H254" s="1251">
        <v>1</v>
      </c>
      <c r="I254" s="1251"/>
      <c r="J254" s="1251"/>
      <c r="K254" s="1251"/>
      <c r="L254" s="1251"/>
      <c r="M254" s="1251">
        <v>1</v>
      </c>
      <c r="N254" s="1255">
        <f>M254*F254*C254*H254</f>
        <v>100.23</v>
      </c>
      <c r="O254" s="1215" t="s">
        <v>89</v>
      </c>
      <c r="P254" s="1099"/>
      <c r="Q254" s="1205"/>
      <c r="R254" s="1252"/>
      <c r="S254" s="1205"/>
      <c r="T254" s="1205"/>
      <c r="U254" s="1205"/>
      <c r="V254" s="1253"/>
      <c r="W254" s="1253"/>
      <c r="X254" s="1253"/>
    </row>
    <row r="255" spans="1:24" s="1233" customFormat="1" ht="28.5" customHeight="1">
      <c r="A255" s="1225" t="s">
        <v>98</v>
      </c>
      <c r="B255" s="1283" t="s">
        <v>538</v>
      </c>
      <c r="C255" s="1251">
        <f>C263</f>
        <v>14.15</v>
      </c>
      <c r="D255" s="1284"/>
      <c r="E255" s="1251"/>
      <c r="F255" s="1251">
        <f>ROUNDUP((D259/0.5),0)</f>
        <v>10</v>
      </c>
      <c r="G255" s="1251"/>
      <c r="H255" s="1251">
        <v>2</v>
      </c>
      <c r="I255" s="1251"/>
      <c r="J255" s="1251"/>
      <c r="K255" s="1251"/>
      <c r="L255" s="1251"/>
      <c r="M255" s="1251"/>
      <c r="N255" s="1255">
        <f>H255*F255*C255</f>
        <v>283</v>
      </c>
      <c r="O255" s="1215" t="s">
        <v>1178</v>
      </c>
      <c r="P255" s="1099"/>
      <c r="Q255" s="1205"/>
      <c r="R255" s="1252"/>
      <c r="S255" s="1205"/>
      <c r="T255" s="1205"/>
      <c r="U255" s="1205"/>
      <c r="V255" s="1253"/>
      <c r="W255" s="1253"/>
      <c r="X255" s="1253"/>
    </row>
    <row r="256" spans="1:24" s="1233" customFormat="1" ht="15.75" customHeight="1">
      <c r="A256" s="1225" t="s">
        <v>101</v>
      </c>
      <c r="B256" s="495" t="s">
        <v>823</v>
      </c>
      <c r="C256" s="1251"/>
      <c r="D256" s="1285"/>
      <c r="E256" s="1251"/>
      <c r="F256" s="1251"/>
      <c r="G256" s="1251"/>
      <c r="H256" s="1251"/>
      <c r="I256" s="1251"/>
      <c r="J256" s="1251"/>
      <c r="K256" s="1251"/>
      <c r="L256" s="1251"/>
      <c r="M256" s="1251"/>
      <c r="N256" s="1254">
        <f>SUM(N257:N258)</f>
        <v>80</v>
      </c>
      <c r="O256" s="1215" t="s">
        <v>824</v>
      </c>
      <c r="P256" s="1099"/>
      <c r="Q256" s="1205"/>
      <c r="R256" s="1252"/>
      <c r="S256" s="1205"/>
      <c r="T256" s="1205"/>
      <c r="U256" s="1205"/>
      <c r="V256" s="1253"/>
      <c r="W256" s="1253"/>
      <c r="X256" s="1253"/>
    </row>
    <row r="257" spans="1:24" s="1233" customFormat="1" ht="15.75" customHeight="1">
      <c r="A257" s="1225"/>
      <c r="B257" s="1270" t="s">
        <v>1024</v>
      </c>
      <c r="C257" s="1251"/>
      <c r="D257" s="1285"/>
      <c r="E257" s="1251"/>
      <c r="F257" s="1251">
        <v>2</v>
      </c>
      <c r="G257" s="1251">
        <v>2</v>
      </c>
      <c r="H257" s="1251">
        <v>2</v>
      </c>
      <c r="I257" s="1251"/>
      <c r="J257" s="1251"/>
      <c r="K257" s="1251"/>
      <c r="L257" s="1251"/>
      <c r="M257" s="1251">
        <f>F255</f>
        <v>10</v>
      </c>
      <c r="N257" s="1255">
        <f>M257*H257*G257*F257</f>
        <v>80</v>
      </c>
      <c r="O257" s="1215" t="s">
        <v>824</v>
      </c>
      <c r="P257" s="1099"/>
      <c r="Q257" s="1205"/>
      <c r="R257" s="1252"/>
      <c r="S257" s="1205"/>
      <c r="T257" s="1205"/>
      <c r="U257" s="1205"/>
      <c r="V257" s="1253"/>
      <c r="W257" s="1253"/>
      <c r="X257" s="1253"/>
    </row>
    <row r="258" spans="1:24" s="1233" customFormat="1" ht="15.75" customHeight="1">
      <c r="A258" s="1225"/>
      <c r="B258" s="1270" t="s">
        <v>1025</v>
      </c>
      <c r="C258" s="1251"/>
      <c r="D258" s="1285"/>
      <c r="E258" s="1251"/>
      <c r="F258" s="1251">
        <v>2</v>
      </c>
      <c r="G258" s="1251">
        <v>5</v>
      </c>
      <c r="H258" s="1251">
        <v>1</v>
      </c>
      <c r="I258" s="1251"/>
      <c r="J258" s="1251"/>
      <c r="K258" s="1251"/>
      <c r="L258" s="1251"/>
      <c r="M258" s="1251">
        <v>0</v>
      </c>
      <c r="N258" s="1255">
        <f>M258*H258*G258*F258</f>
        <v>0</v>
      </c>
      <c r="O258" s="1215" t="s">
        <v>824</v>
      </c>
      <c r="P258" s="1099"/>
      <c r="Q258" s="1205"/>
      <c r="R258" s="1252"/>
      <c r="S258" s="1205"/>
      <c r="T258" s="1205"/>
      <c r="U258" s="1205"/>
      <c r="V258" s="1253"/>
      <c r="W258" s="1253"/>
      <c r="X258" s="1253"/>
    </row>
    <row r="259" spans="1:24" s="1233" customFormat="1" ht="15.75" customHeight="1">
      <c r="A259" s="1225" t="s">
        <v>121</v>
      </c>
      <c r="B259" s="351" t="s">
        <v>571</v>
      </c>
      <c r="C259" s="1251">
        <v>14.25</v>
      </c>
      <c r="D259" s="1286">
        <f>2.81+2.057</f>
        <v>4.867</v>
      </c>
      <c r="E259" s="1251"/>
      <c r="F259" s="1251"/>
      <c r="G259" s="1251"/>
      <c r="H259" s="1251"/>
      <c r="I259" s="1251"/>
      <c r="J259" s="1251"/>
      <c r="K259" s="1251"/>
      <c r="L259" s="1251"/>
      <c r="M259" s="1251">
        <v>2</v>
      </c>
      <c r="N259" s="1255">
        <f>M259*D259*C259</f>
        <v>138.70949999999999</v>
      </c>
      <c r="O259" s="1215" t="s">
        <v>89</v>
      </c>
      <c r="P259" s="1099"/>
      <c r="Q259" s="1205"/>
      <c r="R259" s="1252"/>
      <c r="S259" s="1205"/>
      <c r="T259" s="1205"/>
      <c r="U259" s="1205"/>
      <c r="V259" s="1253"/>
      <c r="W259" s="1253"/>
      <c r="X259" s="1253"/>
    </row>
    <row r="260" spans="1:24" s="1233" customFormat="1" ht="15.75" customHeight="1">
      <c r="A260" s="1225" t="s">
        <v>142</v>
      </c>
      <c r="B260" s="351" t="s">
        <v>447</v>
      </c>
      <c r="C260" s="1251">
        <f>C259</f>
        <v>14.25</v>
      </c>
      <c r="D260" s="1285"/>
      <c r="E260" s="1251"/>
      <c r="F260" s="1251"/>
      <c r="G260" s="1251"/>
      <c r="H260" s="1251"/>
      <c r="I260" s="1251"/>
      <c r="J260" s="1251"/>
      <c r="K260" s="1251"/>
      <c r="L260" s="1251"/>
      <c r="M260" s="1251"/>
      <c r="N260" s="1255">
        <f>C260</f>
        <v>14.25</v>
      </c>
      <c r="O260" s="1215" t="s">
        <v>1178</v>
      </c>
      <c r="P260" s="1099"/>
      <c r="Q260" s="1205"/>
      <c r="R260" s="1252"/>
      <c r="S260" s="1205"/>
      <c r="T260" s="1205"/>
      <c r="U260" s="1205"/>
      <c r="V260" s="1253"/>
      <c r="W260" s="1253"/>
      <c r="X260" s="1253"/>
    </row>
    <row r="261" spans="1:24" s="1233" customFormat="1" ht="15.75" customHeight="1">
      <c r="A261" s="1218"/>
      <c r="B261" s="1227"/>
      <c r="C261" s="1251"/>
      <c r="D261" s="1251"/>
      <c r="E261" s="1251"/>
      <c r="F261" s="1251"/>
      <c r="G261" s="1251"/>
      <c r="H261" s="1251"/>
      <c r="I261" s="1251"/>
      <c r="J261" s="1251"/>
      <c r="K261" s="1251"/>
      <c r="L261" s="1251"/>
      <c r="M261" s="1251"/>
      <c r="N261" s="1255"/>
      <c r="O261" s="1215"/>
      <c r="P261" s="1099"/>
      <c r="Q261" s="1205"/>
      <c r="R261" s="1252"/>
      <c r="S261" s="1205"/>
      <c r="T261" s="1205"/>
      <c r="U261" s="1205"/>
      <c r="V261" s="1253"/>
      <c r="W261" s="1253"/>
      <c r="X261" s="1253"/>
    </row>
    <row r="262" spans="1:24" ht="15.75" customHeight="1">
      <c r="A262" s="1218">
        <f>A253+1</f>
        <v>12</v>
      </c>
      <c r="B262" s="1269" t="s">
        <v>452</v>
      </c>
      <c r="C262" s="1214"/>
      <c r="D262" s="1214"/>
      <c r="E262" s="1214"/>
      <c r="F262" s="1214"/>
      <c r="G262" s="1214"/>
      <c r="H262" s="1214"/>
      <c r="I262" s="1214"/>
      <c r="J262" s="1214"/>
      <c r="K262" s="1214"/>
      <c r="L262" s="1214"/>
      <c r="M262" s="1214"/>
      <c r="N262" s="1214"/>
      <c r="O262" s="1215"/>
      <c r="P262" s="1099"/>
      <c r="Q262" s="1205"/>
      <c r="R262" s="1217"/>
      <c r="S262" s="1205"/>
      <c r="T262" s="1205"/>
      <c r="U262" s="1205"/>
      <c r="V262" s="1206"/>
      <c r="W262" s="1206"/>
      <c r="X262" s="1206"/>
    </row>
    <row r="263" spans="1:24" ht="15.75" customHeight="1">
      <c r="A263" s="1218"/>
      <c r="B263" s="1269"/>
      <c r="C263" s="1214">
        <f>C259-0.1</f>
        <v>14.15</v>
      </c>
      <c r="D263" s="1214"/>
      <c r="E263" s="1214"/>
      <c r="F263" s="1214"/>
      <c r="G263" s="1214"/>
      <c r="H263" s="1214"/>
      <c r="I263" s="1214"/>
      <c r="J263" s="1214"/>
      <c r="K263" s="1214"/>
      <c r="L263" s="1214"/>
      <c r="M263" s="1214">
        <v>2</v>
      </c>
      <c r="N263" s="1214">
        <f>C263*M263</f>
        <v>28.3</v>
      </c>
      <c r="O263" s="1215"/>
      <c r="P263" s="1099"/>
      <c r="Q263" s="1205"/>
      <c r="R263" s="1217"/>
      <c r="S263" s="1205"/>
      <c r="T263" s="1205"/>
      <c r="U263" s="1205"/>
      <c r="V263" s="1206"/>
      <c r="W263" s="1206"/>
      <c r="X263" s="1206"/>
    </row>
    <row r="264" spans="1:24" ht="15.75" customHeight="1">
      <c r="A264" s="1218"/>
      <c r="B264" s="1269"/>
      <c r="C264" s="1214">
        <f>D259-0.1</f>
        <v>4.7670000000000003</v>
      </c>
      <c r="D264" s="1214"/>
      <c r="E264" s="1214"/>
      <c r="F264" s="1214"/>
      <c r="G264" s="1214"/>
      <c r="H264" s="1214">
        <v>2</v>
      </c>
      <c r="I264" s="1214"/>
      <c r="J264" s="1214"/>
      <c r="K264" s="1214"/>
      <c r="L264" s="1214"/>
      <c r="M264" s="1214">
        <v>2</v>
      </c>
      <c r="N264" s="1219">
        <f>C264*H264*M264</f>
        <v>19.068000000000001</v>
      </c>
      <c r="O264" s="1215"/>
      <c r="P264" s="1099"/>
      <c r="Q264" s="1205"/>
      <c r="R264" s="1217"/>
      <c r="S264" s="1205"/>
      <c r="T264" s="1205"/>
      <c r="U264" s="1205"/>
      <c r="V264" s="1206"/>
      <c r="W264" s="1206"/>
      <c r="X264" s="1206"/>
    </row>
    <row r="265" spans="1:24" ht="15.75" customHeight="1">
      <c r="A265" s="1218"/>
      <c r="B265" s="1269"/>
      <c r="C265" s="1214"/>
      <c r="D265" s="1214"/>
      <c r="E265" s="1214"/>
      <c r="F265" s="1214"/>
      <c r="G265" s="1214"/>
      <c r="H265" s="1214"/>
      <c r="I265" s="1214"/>
      <c r="J265" s="1214"/>
      <c r="K265" s="1214"/>
      <c r="L265" s="1214"/>
      <c r="M265" s="1214"/>
      <c r="N265" s="1214">
        <f>SUM(N263:N264)</f>
        <v>47.368000000000002</v>
      </c>
      <c r="O265" s="1215" t="s">
        <v>117</v>
      </c>
      <c r="P265" s="1099">
        <f>ROUND((N265),2)</f>
        <v>47.37</v>
      </c>
      <c r="Q265" s="1205"/>
      <c r="R265" s="1217"/>
      <c r="S265" s="1205"/>
      <c r="T265" s="1205"/>
      <c r="U265" s="1205"/>
      <c r="V265" s="1206"/>
      <c r="W265" s="1206"/>
      <c r="X265" s="1206"/>
    </row>
    <row r="266" spans="1:24" ht="15.75" customHeight="1">
      <c r="A266" s="1218">
        <f>A262+1</f>
        <v>13</v>
      </c>
      <c r="B266" s="1269" t="s">
        <v>968</v>
      </c>
      <c r="C266" s="1214">
        <f>N265</f>
        <v>47.368000000000002</v>
      </c>
      <c r="D266" s="1214">
        <v>0.3</v>
      </c>
      <c r="E266" s="1214"/>
      <c r="F266" s="1214"/>
      <c r="G266" s="1214"/>
      <c r="H266" s="1214"/>
      <c r="I266" s="1214"/>
      <c r="J266" s="1214"/>
      <c r="K266" s="1214"/>
      <c r="L266" s="1214"/>
      <c r="M266" s="1214"/>
      <c r="N266" s="1214">
        <f>C266*D266</f>
        <v>14.2104</v>
      </c>
      <c r="O266" s="1215" t="s">
        <v>89</v>
      </c>
      <c r="P266" s="1099">
        <f>ROUND((N266),2)</f>
        <v>14.21</v>
      </c>
      <c r="Q266" s="1205"/>
      <c r="R266" s="1217"/>
      <c r="S266" s="1205"/>
      <c r="T266" s="1205"/>
      <c r="U266" s="1205"/>
      <c r="V266" s="1206"/>
      <c r="W266" s="1206"/>
      <c r="X266" s="1206"/>
    </row>
    <row r="267" spans="1:24" ht="15.75" customHeight="1">
      <c r="A267" s="1218">
        <f>A266+1</f>
        <v>14</v>
      </c>
      <c r="B267" s="495" t="s">
        <v>1030</v>
      </c>
      <c r="C267" s="1214"/>
      <c r="D267" s="1214"/>
      <c r="E267" s="1214"/>
      <c r="F267" s="1214"/>
      <c r="G267" s="1214"/>
      <c r="H267" s="1214"/>
      <c r="I267" s="1214"/>
      <c r="J267" s="1214"/>
      <c r="K267" s="1214"/>
      <c r="L267" s="1214"/>
      <c r="M267" s="1214"/>
      <c r="N267" s="1214"/>
      <c r="O267" s="1215"/>
      <c r="P267" s="1099"/>
      <c r="Q267" s="1205"/>
      <c r="R267" s="1217"/>
      <c r="S267" s="1205"/>
      <c r="T267" s="1205"/>
      <c r="U267" s="1205"/>
      <c r="V267" s="1206"/>
      <c r="W267" s="1206"/>
      <c r="X267" s="1206"/>
    </row>
    <row r="268" spans="1:24" ht="15.75" customHeight="1">
      <c r="A268" s="1218"/>
      <c r="B268" s="1227" t="s">
        <v>1645</v>
      </c>
      <c r="C268" s="1214">
        <f>6-(0.25*2)</f>
        <v>5.5</v>
      </c>
      <c r="D268" s="1214"/>
      <c r="E268" s="1214">
        <v>0.5</v>
      </c>
      <c r="F268" s="1214"/>
      <c r="G268" s="1214">
        <v>1</v>
      </c>
      <c r="H268" s="1214"/>
      <c r="I268" s="1214"/>
      <c r="J268" s="1214"/>
      <c r="K268" s="1214"/>
      <c r="L268" s="1214"/>
      <c r="M268" s="1214">
        <v>1</v>
      </c>
      <c r="N268" s="1214">
        <f>C268*E268*G268*M268</f>
        <v>2.75</v>
      </c>
      <c r="O268" s="1215"/>
      <c r="P268" s="1099"/>
      <c r="Q268" s="1205"/>
      <c r="R268" s="1217"/>
      <c r="S268" s="1205"/>
      <c r="T268" s="1205"/>
      <c r="U268" s="1205"/>
      <c r="V268" s="1206"/>
      <c r="W268" s="1206"/>
      <c r="X268" s="1206"/>
    </row>
    <row r="269" spans="1:24" ht="15.75" customHeight="1">
      <c r="A269" s="1218"/>
      <c r="B269" s="1227" t="s">
        <v>1185</v>
      </c>
      <c r="C269" s="1214">
        <f>4-(0.25*2)</f>
        <v>3.5</v>
      </c>
      <c r="D269" s="1214"/>
      <c r="E269" s="1214">
        <f>E268</f>
        <v>0.5</v>
      </c>
      <c r="F269" s="1214"/>
      <c r="G269" s="1214">
        <v>1</v>
      </c>
      <c r="H269" s="1214"/>
      <c r="I269" s="1214"/>
      <c r="J269" s="1214"/>
      <c r="K269" s="1214"/>
      <c r="L269" s="1214"/>
      <c r="M269" s="1214">
        <v>2</v>
      </c>
      <c r="N269" s="1214">
        <f>C269*E269*G269*M269</f>
        <v>3.5</v>
      </c>
      <c r="O269" s="1215"/>
      <c r="P269" s="1099"/>
      <c r="Q269" s="1205"/>
      <c r="R269" s="1217"/>
      <c r="S269" s="1205"/>
      <c r="T269" s="1205"/>
      <c r="U269" s="1205"/>
      <c r="V269" s="1206"/>
      <c r="W269" s="1206"/>
      <c r="X269" s="1206"/>
    </row>
    <row r="270" spans="1:24" ht="15.75" customHeight="1">
      <c r="A270" s="1218"/>
      <c r="B270" s="1269"/>
      <c r="C270" s="1214">
        <f>1.5-(0.25*2)</f>
        <v>1</v>
      </c>
      <c r="D270" s="1214"/>
      <c r="E270" s="1214">
        <f>E269</f>
        <v>0.5</v>
      </c>
      <c r="F270" s="1214"/>
      <c r="G270" s="1214">
        <v>1</v>
      </c>
      <c r="H270" s="1214"/>
      <c r="I270" s="1214"/>
      <c r="J270" s="1214"/>
      <c r="K270" s="1214"/>
      <c r="L270" s="1214"/>
      <c r="M270" s="1214">
        <v>2</v>
      </c>
      <c r="N270" s="1219">
        <f>C270*E270*G270*M270</f>
        <v>1</v>
      </c>
      <c r="O270" s="1215"/>
      <c r="P270" s="1099"/>
      <c r="Q270" s="1205"/>
      <c r="R270" s="1217"/>
      <c r="S270" s="1205"/>
      <c r="T270" s="1205"/>
      <c r="U270" s="1205"/>
      <c r="V270" s="1206"/>
      <c r="W270" s="1206"/>
      <c r="X270" s="1206"/>
    </row>
    <row r="271" spans="1:24" ht="15.75" customHeight="1">
      <c r="A271" s="1218"/>
      <c r="B271" s="1269"/>
      <c r="C271" s="1214"/>
      <c r="D271" s="1214"/>
      <c r="E271" s="1214"/>
      <c r="F271" s="1214"/>
      <c r="G271" s="1214"/>
      <c r="H271" s="1214"/>
      <c r="I271" s="1214"/>
      <c r="J271" s="1214"/>
      <c r="K271" s="1214"/>
      <c r="L271" s="1214"/>
      <c r="M271" s="1214"/>
      <c r="N271" s="1214">
        <f>SUM(N268:N270)</f>
        <v>7.25</v>
      </c>
      <c r="O271" s="1215" t="s">
        <v>89</v>
      </c>
      <c r="P271" s="1099">
        <f>ROUND((N271),2)</f>
        <v>7.25</v>
      </c>
      <c r="Q271" s="1205"/>
      <c r="R271" s="1217"/>
      <c r="S271" s="1205"/>
      <c r="T271" s="1205"/>
      <c r="U271" s="1205"/>
      <c r="V271" s="1206"/>
      <c r="W271" s="1206"/>
      <c r="X271" s="1206"/>
    </row>
    <row r="272" spans="1:24" ht="15.75" customHeight="1">
      <c r="A272" s="1218">
        <f>A267+1</f>
        <v>15</v>
      </c>
      <c r="B272" s="1269" t="s">
        <v>582</v>
      </c>
      <c r="C272" s="1214"/>
      <c r="D272" s="1214"/>
      <c r="E272" s="1214"/>
      <c r="F272" s="1214"/>
      <c r="G272" s="1214"/>
      <c r="H272" s="1214"/>
      <c r="I272" s="1214"/>
      <c r="J272" s="1214"/>
      <c r="K272" s="1214"/>
      <c r="L272" s="1214"/>
      <c r="M272" s="1214">
        <v>1</v>
      </c>
      <c r="N272" s="1214">
        <f>M272</f>
        <v>1</v>
      </c>
      <c r="O272" s="1215" t="s">
        <v>360</v>
      </c>
      <c r="P272" s="1099">
        <f>ROUND((N272),2)</f>
        <v>1</v>
      </c>
      <c r="Q272" s="1205"/>
      <c r="R272" s="1217"/>
      <c r="S272" s="1205"/>
      <c r="T272" s="1205"/>
      <c r="U272" s="1205"/>
      <c r="V272" s="1206"/>
      <c r="W272" s="1206"/>
      <c r="X272" s="1206"/>
    </row>
    <row r="273" spans="1:24" ht="25.5" customHeight="1">
      <c r="A273" s="1218">
        <f>A272+1</f>
        <v>16</v>
      </c>
      <c r="B273" s="1281" t="s">
        <v>969</v>
      </c>
      <c r="C273" s="1214"/>
      <c r="D273" s="1214"/>
      <c r="E273" s="1214"/>
      <c r="F273" s="1214"/>
      <c r="G273" s="1214"/>
      <c r="H273" s="1214"/>
      <c r="I273" s="1214"/>
      <c r="J273" s="1214"/>
      <c r="K273" s="1214"/>
      <c r="L273" s="1214"/>
      <c r="M273" s="1214">
        <v>12</v>
      </c>
      <c r="N273" s="1214">
        <f>M273</f>
        <v>12</v>
      </c>
      <c r="O273" s="1287" t="s">
        <v>124</v>
      </c>
      <c r="P273" s="1099">
        <f>ROUND((N273),2)</f>
        <v>12</v>
      </c>
      <c r="Q273" s="1205"/>
      <c r="R273" s="1217"/>
      <c r="S273" s="1205"/>
      <c r="T273" s="1205"/>
      <c r="U273" s="1205"/>
      <c r="V273" s="1206"/>
      <c r="W273" s="1206"/>
      <c r="X273" s="1206"/>
    </row>
    <row r="274" spans="1:24" ht="15.75" customHeight="1">
      <c r="A274" s="1218"/>
      <c r="B274" s="492"/>
      <c r="C274" s="1214"/>
      <c r="D274" s="1214"/>
      <c r="E274" s="1214"/>
      <c r="F274" s="1214"/>
      <c r="G274" s="1214"/>
      <c r="H274" s="1214"/>
      <c r="I274" s="1214"/>
      <c r="J274" s="1214"/>
      <c r="K274" s="1214"/>
      <c r="L274" s="1214"/>
      <c r="M274" s="1214"/>
      <c r="N274" s="1214"/>
      <c r="O274" s="1215"/>
      <c r="P274" s="1099"/>
      <c r="Q274" s="1205"/>
      <c r="R274" s="1217"/>
      <c r="S274" s="1205"/>
      <c r="T274" s="1205"/>
      <c r="U274" s="1205"/>
      <c r="V274" s="1206"/>
      <c r="W274" s="1206"/>
      <c r="X274" s="1206"/>
    </row>
    <row r="275" spans="1:24" ht="15.75" customHeight="1">
      <c r="A275" s="1212" t="s">
        <v>1190</v>
      </c>
      <c r="B275" s="1288" t="s">
        <v>457</v>
      </c>
      <c r="C275" s="1250"/>
      <c r="D275" s="1250"/>
      <c r="E275" s="1250"/>
      <c r="F275" s="1250"/>
      <c r="G275" s="1250"/>
      <c r="H275" s="1250"/>
      <c r="I275" s="1250"/>
      <c r="J275" s="1250"/>
      <c r="K275" s="1250"/>
      <c r="L275" s="1250"/>
      <c r="M275" s="1250"/>
      <c r="N275" s="1250"/>
      <c r="O275" s="1289"/>
      <c r="P275" s="1290"/>
      <c r="Q275" s="1205"/>
      <c r="R275" s="1217"/>
      <c r="S275" s="1205"/>
      <c r="T275" s="1205"/>
      <c r="U275" s="1205"/>
      <c r="V275" s="1206"/>
      <c r="W275" s="1206"/>
      <c r="X275" s="1206"/>
    </row>
    <row r="276" spans="1:24" ht="15.75" customHeight="1">
      <c r="A276" s="1218">
        <v>1</v>
      </c>
      <c r="B276" s="495" t="s">
        <v>681</v>
      </c>
      <c r="C276" s="1250"/>
      <c r="D276" s="1250"/>
      <c r="E276" s="1250"/>
      <c r="F276" s="1251">
        <f>15+3</f>
        <v>18</v>
      </c>
      <c r="G276" s="1250"/>
      <c r="H276" s="1250"/>
      <c r="I276" s="1250"/>
      <c r="J276" s="1250"/>
      <c r="K276" s="1250"/>
      <c r="L276" s="1250"/>
      <c r="M276" s="1250"/>
      <c r="N276" s="1250">
        <f t="shared" ref="N276:N281" si="7">F276</f>
        <v>18</v>
      </c>
      <c r="O276" s="1215" t="s">
        <v>357</v>
      </c>
      <c r="P276" s="1099">
        <f t="shared" ref="P276:P281" si="8">ROUND((N276),2)</f>
        <v>18</v>
      </c>
      <c r="Q276" s="1205"/>
      <c r="R276" s="1217"/>
      <c r="S276" s="1205"/>
      <c r="T276" s="1205"/>
      <c r="U276" s="1205"/>
      <c r="V276" s="1206"/>
      <c r="W276" s="1206"/>
      <c r="X276" s="1206"/>
    </row>
    <row r="277" spans="1:24" ht="15.75" customHeight="1">
      <c r="A277" s="1218">
        <f>A276+1</f>
        <v>2</v>
      </c>
      <c r="B277" s="495" t="s">
        <v>682</v>
      </c>
      <c r="C277" s="1250"/>
      <c r="D277" s="1250"/>
      <c r="E277" s="1250"/>
      <c r="F277" s="1251">
        <v>6</v>
      </c>
      <c r="G277" s="1250"/>
      <c r="H277" s="1250"/>
      <c r="I277" s="1250"/>
      <c r="J277" s="1250"/>
      <c r="K277" s="1250"/>
      <c r="L277" s="1250"/>
      <c r="M277" s="1250"/>
      <c r="N277" s="1250">
        <f t="shared" si="7"/>
        <v>6</v>
      </c>
      <c r="O277" s="1215" t="s">
        <v>357</v>
      </c>
      <c r="P277" s="1099">
        <f t="shared" si="8"/>
        <v>6</v>
      </c>
      <c r="Q277" s="1205"/>
      <c r="R277" s="1217"/>
      <c r="S277" s="1205"/>
      <c r="T277" s="1205"/>
      <c r="U277" s="1205"/>
      <c r="V277" s="1206"/>
      <c r="W277" s="1206"/>
      <c r="X277" s="1206"/>
    </row>
    <row r="278" spans="1:24" ht="15.75" customHeight="1">
      <c r="A278" s="1218">
        <f>A277+1</f>
        <v>3</v>
      </c>
      <c r="B278" s="495" t="s">
        <v>614</v>
      </c>
      <c r="C278" s="1250"/>
      <c r="D278" s="1250"/>
      <c r="E278" s="1250"/>
      <c r="F278" s="1255">
        <v>2</v>
      </c>
      <c r="G278" s="1250"/>
      <c r="H278" s="1250"/>
      <c r="I278" s="1250"/>
      <c r="J278" s="1250"/>
      <c r="K278" s="1250"/>
      <c r="L278" s="1250"/>
      <c r="M278" s="1250"/>
      <c r="N278" s="1250">
        <f t="shared" si="7"/>
        <v>2</v>
      </c>
      <c r="O278" s="1215" t="s">
        <v>124</v>
      </c>
      <c r="P278" s="1099">
        <f t="shared" si="8"/>
        <v>2</v>
      </c>
      <c r="Q278" s="1205"/>
      <c r="R278" s="1217"/>
      <c r="S278" s="1205"/>
      <c r="T278" s="1205"/>
      <c r="U278" s="1205"/>
      <c r="V278" s="1206"/>
      <c r="W278" s="1206"/>
      <c r="X278" s="1206"/>
    </row>
    <row r="279" spans="1:24" ht="15.75" customHeight="1">
      <c r="A279" s="1218">
        <f>A278+1</f>
        <v>4</v>
      </c>
      <c r="B279" s="495" t="s">
        <v>615</v>
      </c>
      <c r="C279" s="1250"/>
      <c r="D279" s="1250"/>
      <c r="E279" s="1250"/>
      <c r="F279" s="1255">
        <f>F277</f>
        <v>6</v>
      </c>
      <c r="G279" s="1250"/>
      <c r="H279" s="1250"/>
      <c r="I279" s="1250"/>
      <c r="J279" s="1250"/>
      <c r="K279" s="1250"/>
      <c r="L279" s="1250"/>
      <c r="M279" s="1250"/>
      <c r="N279" s="1250">
        <f t="shared" si="7"/>
        <v>6</v>
      </c>
      <c r="O279" s="1215" t="s">
        <v>124</v>
      </c>
      <c r="P279" s="1099">
        <f t="shared" si="8"/>
        <v>6</v>
      </c>
      <c r="Q279" s="1205"/>
      <c r="R279" s="1217"/>
      <c r="S279" s="1205"/>
      <c r="T279" s="1205"/>
      <c r="U279" s="1205"/>
      <c r="V279" s="1206"/>
      <c r="W279" s="1206"/>
      <c r="X279" s="1206"/>
    </row>
    <row r="280" spans="1:24" ht="15.75" customHeight="1">
      <c r="A280" s="1218">
        <f>A279+1</f>
        <v>5</v>
      </c>
      <c r="B280" s="495" t="s">
        <v>547</v>
      </c>
      <c r="C280" s="1250"/>
      <c r="D280" s="1250"/>
      <c r="E280" s="1250"/>
      <c r="F280" s="1255">
        <f>F276</f>
        <v>18</v>
      </c>
      <c r="G280" s="1250"/>
      <c r="H280" s="1250"/>
      <c r="I280" s="1250"/>
      <c r="J280" s="1250"/>
      <c r="K280" s="1250"/>
      <c r="L280" s="1250"/>
      <c r="M280" s="1250"/>
      <c r="N280" s="1250">
        <f t="shared" si="7"/>
        <v>18</v>
      </c>
      <c r="O280" s="1215" t="s">
        <v>124</v>
      </c>
      <c r="P280" s="1099">
        <f t="shared" si="8"/>
        <v>18</v>
      </c>
      <c r="Q280" s="1205"/>
      <c r="R280" s="1217"/>
      <c r="S280" s="1205"/>
      <c r="T280" s="1205"/>
      <c r="U280" s="1205"/>
      <c r="V280" s="1206"/>
      <c r="W280" s="1206"/>
      <c r="X280" s="1206"/>
    </row>
    <row r="281" spans="1:24" ht="15.75" customHeight="1">
      <c r="A281" s="1218">
        <f>A280+1</f>
        <v>6</v>
      </c>
      <c r="B281" s="1291" t="s">
        <v>847</v>
      </c>
      <c r="C281" s="1250"/>
      <c r="D281" s="1250"/>
      <c r="E281" s="1250"/>
      <c r="F281" s="1255">
        <v>1</v>
      </c>
      <c r="G281" s="1250"/>
      <c r="H281" s="1250"/>
      <c r="I281" s="1250"/>
      <c r="J281" s="1250"/>
      <c r="K281" s="1250"/>
      <c r="L281" s="1250"/>
      <c r="M281" s="1250"/>
      <c r="N281" s="1250">
        <f t="shared" si="7"/>
        <v>1</v>
      </c>
      <c r="O281" s="1215" t="s">
        <v>124</v>
      </c>
      <c r="P281" s="1290">
        <f t="shared" si="8"/>
        <v>1</v>
      </c>
      <c r="Q281" s="1205"/>
      <c r="R281" s="1217"/>
      <c r="S281" s="1205"/>
      <c r="T281" s="1205"/>
      <c r="U281" s="1205"/>
      <c r="V281" s="1206"/>
      <c r="W281" s="1206"/>
      <c r="X281" s="1206"/>
    </row>
    <row r="282" spans="1:24" ht="7.5" customHeight="1">
      <c r="A282" s="1292"/>
      <c r="B282" s="1293"/>
      <c r="C282" s="1294"/>
      <c r="D282" s="1294"/>
      <c r="E282" s="1294"/>
      <c r="F282" s="1294"/>
      <c r="G282" s="1294"/>
      <c r="H282" s="1294"/>
      <c r="I282" s="1294"/>
      <c r="J282" s="1294"/>
      <c r="K282" s="1294"/>
      <c r="L282" s="1294"/>
      <c r="M282" s="1294"/>
      <c r="N282" s="1294"/>
      <c r="O282" s="1295"/>
      <c r="P282" s="1296"/>
      <c r="Q282" s="1205"/>
      <c r="R282" s="1205"/>
      <c r="S282" s="1205"/>
      <c r="T282" s="1205"/>
      <c r="U282" s="1205"/>
      <c r="V282" s="1206"/>
      <c r="W282" s="1206"/>
      <c r="X282" s="1206"/>
    </row>
    <row r="283" spans="1:24" ht="15.75" customHeight="1">
      <c r="A283" s="1297"/>
      <c r="B283" s="1205"/>
      <c r="C283" s="1217"/>
      <c r="D283" s="1217"/>
      <c r="E283" s="1217"/>
      <c r="F283" s="1217"/>
      <c r="G283" s="1217"/>
      <c r="H283" s="1217"/>
      <c r="I283" s="1217"/>
      <c r="J283" s="1217"/>
      <c r="K283" s="1217"/>
      <c r="L283" s="1217"/>
      <c r="M283" s="1217"/>
      <c r="N283" s="1217"/>
      <c r="O283" s="1297"/>
      <c r="P283" s="1297"/>
      <c r="Q283" s="1205"/>
      <c r="R283" s="1205"/>
      <c r="S283" s="1205"/>
      <c r="T283" s="1205"/>
      <c r="U283" s="1205"/>
      <c r="V283" s="1206"/>
      <c r="W283" s="1206"/>
      <c r="X283" s="1206"/>
    </row>
    <row r="284" spans="1:24" ht="15.75" customHeight="1">
      <c r="A284" s="1297"/>
      <c r="B284" s="1205"/>
      <c r="C284" s="1217"/>
      <c r="D284" s="1217"/>
      <c r="E284" s="1217"/>
      <c r="F284" s="1217"/>
      <c r="G284" s="1217"/>
      <c r="H284" s="1217"/>
      <c r="I284" s="1217"/>
      <c r="J284" s="1217"/>
      <c r="K284" s="1217"/>
      <c r="L284" s="1217"/>
      <c r="M284" s="1217"/>
      <c r="N284" s="1217"/>
      <c r="O284" s="1297"/>
      <c r="P284" s="1297"/>
      <c r="Q284" s="1205"/>
      <c r="R284" s="1205"/>
      <c r="S284" s="1205"/>
      <c r="T284" s="1205"/>
      <c r="U284" s="1205"/>
      <c r="V284" s="1206"/>
      <c r="W284" s="1206"/>
      <c r="X284" s="1206"/>
    </row>
    <row r="285" spans="1:24" ht="15.75" customHeight="1">
      <c r="A285" s="1297"/>
      <c r="B285" s="1205"/>
      <c r="C285" s="1217"/>
      <c r="D285" s="1217"/>
      <c r="E285" s="1217"/>
      <c r="F285" s="1217"/>
      <c r="G285" s="1217"/>
      <c r="H285" s="1217"/>
      <c r="I285" s="1217"/>
      <c r="J285" s="1217"/>
      <c r="K285" s="1217"/>
      <c r="L285" s="1217"/>
      <c r="M285" s="1217"/>
      <c r="N285" s="1217"/>
      <c r="O285" s="1297"/>
      <c r="P285" s="1297"/>
      <c r="Q285" s="1205"/>
      <c r="R285" s="1205"/>
      <c r="S285" s="1205"/>
      <c r="T285" s="1205"/>
      <c r="U285" s="1205"/>
      <c r="V285" s="1206"/>
      <c r="W285" s="1206"/>
      <c r="X285" s="1206"/>
    </row>
    <row r="286" spans="1:24" ht="15.75" customHeight="1">
      <c r="A286" s="1297"/>
      <c r="B286" s="1205"/>
      <c r="C286" s="1217"/>
      <c r="D286" s="1217"/>
      <c r="E286" s="1217"/>
      <c r="F286" s="1217"/>
      <c r="G286" s="1217"/>
      <c r="H286" s="1217"/>
      <c r="I286" s="1217"/>
      <c r="J286" s="1217"/>
      <c r="K286" s="1217"/>
      <c r="L286" s="1217"/>
      <c r="M286" s="1217"/>
      <c r="N286" s="1217"/>
      <c r="O286" s="1297"/>
      <c r="P286" s="1297"/>
      <c r="Q286" s="1205"/>
      <c r="R286" s="1205"/>
      <c r="S286" s="1205"/>
      <c r="T286" s="1205"/>
      <c r="U286" s="1205"/>
      <c r="V286" s="1206"/>
      <c r="W286" s="1206"/>
      <c r="X286" s="1206"/>
    </row>
    <row r="287" spans="1:24" ht="15.75" customHeight="1">
      <c r="A287" s="1205"/>
      <c r="B287" s="1205"/>
      <c r="C287" s="1217"/>
      <c r="D287" s="1217"/>
      <c r="E287" s="1217"/>
      <c r="F287" s="1217"/>
      <c r="G287" s="1217"/>
      <c r="H287" s="1217"/>
      <c r="I287" s="1217"/>
      <c r="J287" s="1217"/>
      <c r="K287" s="1217"/>
      <c r="L287" s="1217"/>
      <c r="M287" s="1217"/>
      <c r="N287" s="1217"/>
      <c r="O287" s="1297"/>
      <c r="P287" s="1297"/>
      <c r="Q287" s="1205"/>
      <c r="R287" s="1205"/>
      <c r="S287" s="1205"/>
      <c r="T287" s="1205"/>
      <c r="U287" s="1205"/>
      <c r="V287" s="1206"/>
      <c r="W287" s="1206"/>
      <c r="X287" s="1206"/>
    </row>
    <row r="288" spans="1:24" ht="15.75" customHeight="1">
      <c r="A288" s="1205"/>
      <c r="B288" s="1205"/>
      <c r="C288" s="1217"/>
      <c r="D288" s="1217"/>
      <c r="E288" s="1217"/>
      <c r="F288" s="1217"/>
      <c r="G288" s="1217"/>
      <c r="H288" s="1217"/>
      <c r="I288" s="1217"/>
      <c r="J288" s="1217"/>
      <c r="K288" s="1217"/>
      <c r="L288" s="1217"/>
      <c r="M288" s="1217"/>
      <c r="N288" s="1217"/>
      <c r="O288" s="1297"/>
      <c r="P288" s="1297"/>
      <c r="Q288" s="1205"/>
      <c r="R288" s="1205"/>
      <c r="S288" s="1205"/>
      <c r="T288" s="1205"/>
      <c r="U288" s="1205"/>
      <c r="V288" s="1206"/>
      <c r="W288" s="1206"/>
      <c r="X288" s="1206"/>
    </row>
    <row r="289" spans="1:24" ht="15.75" customHeight="1">
      <c r="A289" s="1205"/>
      <c r="B289" s="1205"/>
      <c r="C289" s="1217"/>
      <c r="D289" s="1217"/>
      <c r="E289" s="1217"/>
      <c r="F289" s="1217"/>
      <c r="G289" s="1217"/>
      <c r="H289" s="1217"/>
      <c r="I289" s="1217"/>
      <c r="J289" s="1217"/>
      <c r="K289" s="1217"/>
      <c r="L289" s="1217"/>
      <c r="M289" s="1217"/>
      <c r="N289" s="1217"/>
      <c r="O289" s="1297"/>
      <c r="P289" s="1297"/>
      <c r="Q289" s="1205"/>
      <c r="R289" s="1205"/>
      <c r="S289" s="1205"/>
      <c r="T289" s="1205"/>
      <c r="U289" s="1205"/>
      <c r="V289" s="1206"/>
      <c r="W289" s="1206"/>
      <c r="X289" s="1206"/>
    </row>
    <row r="290" spans="1:24" ht="15.75" customHeight="1">
      <c r="A290" s="1205"/>
      <c r="B290" s="1205"/>
      <c r="C290" s="1217"/>
      <c r="D290" s="1217"/>
      <c r="E290" s="1217"/>
      <c r="F290" s="1217"/>
      <c r="G290" s="1217"/>
      <c r="H290" s="1217"/>
      <c r="I290" s="1217"/>
      <c r="J290" s="1217"/>
      <c r="K290" s="1217"/>
      <c r="L290" s="1217"/>
      <c r="M290" s="1217"/>
      <c r="N290" s="1217"/>
      <c r="O290" s="1297"/>
      <c r="P290" s="1297"/>
      <c r="Q290" s="1205"/>
      <c r="R290" s="1205"/>
      <c r="S290" s="1205"/>
      <c r="T290" s="1205"/>
      <c r="U290" s="1205"/>
      <c r="V290" s="1206"/>
      <c r="W290" s="1206"/>
      <c r="X290" s="1206"/>
    </row>
    <row r="291" spans="1:24" ht="15.75" customHeight="1">
      <c r="A291" s="1205"/>
      <c r="B291" s="1205"/>
      <c r="C291" s="1217"/>
      <c r="D291" s="1217"/>
      <c r="E291" s="1217"/>
      <c r="F291" s="1217"/>
      <c r="G291" s="1217"/>
      <c r="H291" s="1217"/>
      <c r="I291" s="1217"/>
      <c r="J291" s="1217"/>
      <c r="K291" s="1217"/>
      <c r="L291" s="1217"/>
      <c r="M291" s="1217"/>
      <c r="N291" s="1217"/>
      <c r="O291" s="1297"/>
      <c r="P291" s="1297"/>
      <c r="Q291" s="1205"/>
      <c r="R291" s="1205"/>
      <c r="S291" s="1205"/>
      <c r="T291" s="1205"/>
      <c r="U291" s="1205"/>
      <c r="V291" s="1206"/>
      <c r="W291" s="1206"/>
      <c r="X291" s="1206"/>
    </row>
    <row r="292" spans="1:24" ht="15.75" customHeight="1">
      <c r="A292" s="1205"/>
      <c r="B292" s="1205"/>
      <c r="C292" s="1217"/>
      <c r="D292" s="1217"/>
      <c r="E292" s="1217"/>
      <c r="F292" s="1217"/>
      <c r="G292" s="1217"/>
      <c r="H292" s="1217"/>
      <c r="I292" s="1217"/>
      <c r="J292" s="1217"/>
      <c r="K292" s="1217"/>
      <c r="L292" s="1217"/>
      <c r="M292" s="1217"/>
      <c r="N292" s="1217"/>
      <c r="O292" s="1297"/>
      <c r="P292" s="1297"/>
      <c r="Q292" s="1205"/>
      <c r="R292" s="1205"/>
      <c r="S292" s="1205"/>
      <c r="T292" s="1205"/>
      <c r="U292" s="1205"/>
      <c r="V292" s="1206"/>
      <c r="W292" s="1206"/>
      <c r="X292" s="1206"/>
    </row>
    <row r="293" spans="1:24" ht="15.75" customHeight="1">
      <c r="A293" s="1205"/>
      <c r="B293" s="1205"/>
      <c r="C293" s="1217"/>
      <c r="D293" s="1217"/>
      <c r="E293" s="1217"/>
      <c r="F293" s="1217"/>
      <c r="G293" s="1217"/>
      <c r="H293" s="1217"/>
      <c r="I293" s="1217"/>
      <c r="J293" s="1217"/>
      <c r="K293" s="1217"/>
      <c r="L293" s="1217"/>
      <c r="M293" s="1217"/>
      <c r="N293" s="1217"/>
      <c r="O293" s="1297"/>
      <c r="P293" s="1297"/>
      <c r="Q293" s="1205"/>
      <c r="R293" s="1205"/>
      <c r="S293" s="1205"/>
      <c r="T293" s="1205"/>
      <c r="U293" s="1205"/>
      <c r="V293" s="1206"/>
      <c r="W293" s="1206"/>
      <c r="X293" s="1206"/>
    </row>
    <row r="294" spans="1:24" ht="15.75" customHeight="1">
      <c r="A294" s="1205"/>
      <c r="B294" s="1205"/>
      <c r="C294" s="1217"/>
      <c r="D294" s="1217"/>
      <c r="E294" s="1217"/>
      <c r="F294" s="1217"/>
      <c r="G294" s="1217"/>
      <c r="H294" s="1217"/>
      <c r="I294" s="1217"/>
      <c r="J294" s="1217"/>
      <c r="K294" s="1217"/>
      <c r="L294" s="1217"/>
      <c r="M294" s="1217"/>
      <c r="N294" s="1217"/>
      <c r="O294" s="1297"/>
      <c r="P294" s="1297"/>
      <c r="Q294" s="1205"/>
      <c r="R294" s="1205"/>
      <c r="S294" s="1205"/>
      <c r="T294" s="1205"/>
      <c r="U294" s="1205"/>
      <c r="V294" s="1206"/>
      <c r="W294" s="1206"/>
      <c r="X294" s="1206"/>
    </row>
    <row r="295" spans="1:24" ht="15.75" customHeight="1">
      <c r="A295" s="1205"/>
      <c r="B295" s="1205"/>
      <c r="C295" s="1217"/>
      <c r="D295" s="1217"/>
      <c r="E295" s="1217"/>
      <c r="F295" s="1217"/>
      <c r="G295" s="1217"/>
      <c r="H295" s="1217"/>
      <c r="I295" s="1217"/>
      <c r="J295" s="1217"/>
      <c r="K295" s="1217"/>
      <c r="L295" s="1217"/>
      <c r="M295" s="1217"/>
      <c r="N295" s="1217"/>
      <c r="O295" s="1297"/>
      <c r="P295" s="1297"/>
      <c r="Q295" s="1205"/>
      <c r="R295" s="1205"/>
      <c r="S295" s="1205"/>
      <c r="T295" s="1205"/>
      <c r="U295" s="1205"/>
      <c r="V295" s="1206"/>
      <c r="W295" s="1206"/>
      <c r="X295" s="1206"/>
    </row>
    <row r="296" spans="1:24" ht="15.75" customHeight="1">
      <c r="A296" s="1205"/>
      <c r="B296" s="1205"/>
      <c r="C296" s="1217"/>
      <c r="D296" s="1217"/>
      <c r="E296" s="1217"/>
      <c r="F296" s="1217"/>
      <c r="G296" s="1217"/>
      <c r="H296" s="1217"/>
      <c r="I296" s="1217"/>
      <c r="J296" s="1217"/>
      <c r="K296" s="1217"/>
      <c r="L296" s="1217"/>
      <c r="M296" s="1217"/>
      <c r="N296" s="1217"/>
      <c r="O296" s="1297"/>
      <c r="P296" s="1297"/>
      <c r="Q296" s="1205"/>
      <c r="R296" s="1205"/>
      <c r="S296" s="1205"/>
      <c r="T296" s="1205"/>
      <c r="U296" s="1205"/>
      <c r="V296" s="1206"/>
      <c r="W296" s="1206"/>
      <c r="X296" s="1206"/>
    </row>
    <row r="297" spans="1:24" ht="15.75" customHeight="1">
      <c r="A297" s="1205"/>
      <c r="B297" s="1205"/>
      <c r="C297" s="1217"/>
      <c r="D297" s="1217"/>
      <c r="E297" s="1217"/>
      <c r="F297" s="1217"/>
      <c r="G297" s="1217"/>
      <c r="H297" s="1217"/>
      <c r="I297" s="1217"/>
      <c r="J297" s="1217"/>
      <c r="K297" s="1217"/>
      <c r="L297" s="1217"/>
      <c r="M297" s="1217"/>
      <c r="N297" s="1217"/>
      <c r="O297" s="1297"/>
      <c r="P297" s="1297"/>
      <c r="Q297" s="1205"/>
      <c r="R297" s="1205"/>
      <c r="S297" s="1205"/>
      <c r="T297" s="1205"/>
      <c r="U297" s="1205"/>
      <c r="V297" s="1206"/>
      <c r="W297" s="1206"/>
      <c r="X297" s="1206"/>
    </row>
    <row r="298" spans="1:24" ht="15.75" customHeight="1">
      <c r="A298" s="1205"/>
      <c r="B298" s="1205"/>
      <c r="C298" s="1217"/>
      <c r="D298" s="1217"/>
      <c r="E298" s="1217"/>
      <c r="F298" s="1217"/>
      <c r="G298" s="1217"/>
      <c r="H298" s="1217"/>
      <c r="I298" s="1217"/>
      <c r="J298" s="1217"/>
      <c r="K298" s="1217"/>
      <c r="L298" s="1217"/>
      <c r="M298" s="1217"/>
      <c r="N298" s="1217"/>
      <c r="O298" s="1297"/>
      <c r="P298" s="1297"/>
      <c r="Q298" s="1205"/>
      <c r="R298" s="1205"/>
      <c r="S298" s="1205"/>
      <c r="T298" s="1205"/>
      <c r="U298" s="1205"/>
      <c r="V298" s="1206"/>
      <c r="W298" s="1206"/>
      <c r="X298" s="1206"/>
    </row>
    <row r="299" spans="1:24" ht="15.75" customHeight="1">
      <c r="A299" s="1205"/>
      <c r="B299" s="1205"/>
      <c r="C299" s="1217"/>
      <c r="D299" s="1217"/>
      <c r="E299" s="1217"/>
      <c r="F299" s="1217"/>
      <c r="G299" s="1217"/>
      <c r="H299" s="1217"/>
      <c r="I299" s="1217"/>
      <c r="J299" s="1217"/>
      <c r="K299" s="1217"/>
      <c r="L299" s="1217"/>
      <c r="M299" s="1217"/>
      <c r="N299" s="1217"/>
      <c r="O299" s="1297"/>
      <c r="P299" s="1297"/>
      <c r="Q299" s="1205"/>
      <c r="R299" s="1205"/>
      <c r="S299" s="1205"/>
      <c r="T299" s="1205"/>
      <c r="U299" s="1205"/>
      <c r="V299" s="1206"/>
      <c r="W299" s="1206"/>
      <c r="X299" s="1206"/>
    </row>
    <row r="300" spans="1:24" ht="15.75" customHeight="1">
      <c r="A300" s="1205"/>
      <c r="B300" s="1205"/>
      <c r="C300" s="1217"/>
      <c r="D300" s="1217"/>
      <c r="E300" s="1217"/>
      <c r="F300" s="1217"/>
      <c r="G300" s="1217"/>
      <c r="H300" s="1217"/>
      <c r="I300" s="1217"/>
      <c r="J300" s="1217"/>
      <c r="K300" s="1217"/>
      <c r="L300" s="1217"/>
      <c r="M300" s="1217"/>
      <c r="N300" s="1217"/>
      <c r="O300" s="1297"/>
      <c r="P300" s="1297"/>
      <c r="Q300" s="1205"/>
      <c r="R300" s="1205"/>
      <c r="S300" s="1205"/>
      <c r="T300" s="1205"/>
      <c r="U300" s="1205"/>
      <c r="V300" s="1206"/>
      <c r="W300" s="1206"/>
      <c r="X300" s="1206"/>
    </row>
    <row r="301" spans="1:24" ht="15.75" customHeight="1">
      <c r="A301" s="1205"/>
      <c r="B301" s="1205"/>
      <c r="C301" s="1217"/>
      <c r="D301" s="1217"/>
      <c r="E301" s="1217"/>
      <c r="F301" s="1217"/>
      <c r="G301" s="1217"/>
      <c r="H301" s="1217"/>
      <c r="I301" s="1217"/>
      <c r="J301" s="1217"/>
      <c r="K301" s="1217"/>
      <c r="L301" s="1217"/>
      <c r="M301" s="1217"/>
      <c r="N301" s="1217"/>
      <c r="O301" s="1297"/>
      <c r="P301" s="1297"/>
      <c r="Q301" s="1205"/>
      <c r="R301" s="1205"/>
      <c r="S301" s="1205"/>
      <c r="T301" s="1205"/>
      <c r="U301" s="1205"/>
      <c r="V301" s="1206"/>
      <c r="W301" s="1206"/>
      <c r="X301" s="1206"/>
    </row>
    <row r="302" spans="1:24" ht="15.75" customHeight="1">
      <c r="A302" s="1205"/>
      <c r="B302" s="1205"/>
      <c r="C302" s="1217"/>
      <c r="D302" s="1217"/>
      <c r="E302" s="1217"/>
      <c r="F302" s="1217"/>
      <c r="G302" s="1217"/>
      <c r="H302" s="1217"/>
      <c r="I302" s="1217"/>
      <c r="J302" s="1217"/>
      <c r="K302" s="1217"/>
      <c r="L302" s="1217"/>
      <c r="M302" s="1217"/>
      <c r="N302" s="1217"/>
      <c r="O302" s="1297"/>
      <c r="P302" s="1297"/>
      <c r="Q302" s="1205"/>
      <c r="R302" s="1205"/>
      <c r="S302" s="1205"/>
      <c r="T302" s="1205"/>
      <c r="U302" s="1205"/>
      <c r="V302" s="1206"/>
      <c r="W302" s="1206"/>
      <c r="X302" s="1206"/>
    </row>
    <row r="303" spans="1:24" ht="15.75" customHeight="1">
      <c r="A303" s="1205"/>
      <c r="B303" s="1205"/>
      <c r="C303" s="1217"/>
      <c r="D303" s="1217"/>
      <c r="E303" s="1217"/>
      <c r="F303" s="1217"/>
      <c r="G303" s="1217"/>
      <c r="H303" s="1217"/>
      <c r="I303" s="1217"/>
      <c r="J303" s="1217"/>
      <c r="K303" s="1217"/>
      <c r="L303" s="1217"/>
      <c r="M303" s="1217"/>
      <c r="N303" s="1217"/>
      <c r="O303" s="1297"/>
      <c r="P303" s="1297"/>
      <c r="Q303" s="1205"/>
      <c r="R303" s="1205"/>
      <c r="S303" s="1205"/>
      <c r="T303" s="1205"/>
      <c r="U303" s="1205"/>
      <c r="V303" s="1206"/>
      <c r="W303" s="1206"/>
      <c r="X303" s="1206"/>
    </row>
    <row r="304" spans="1:24" ht="15.75" customHeight="1">
      <c r="A304" s="1205"/>
      <c r="B304" s="1205"/>
      <c r="C304" s="1217"/>
      <c r="D304" s="1217"/>
      <c r="E304" s="1217"/>
      <c r="F304" s="1217"/>
      <c r="G304" s="1217"/>
      <c r="H304" s="1217"/>
      <c r="I304" s="1217"/>
      <c r="J304" s="1217"/>
      <c r="K304" s="1217"/>
      <c r="L304" s="1217"/>
      <c r="M304" s="1217"/>
      <c r="N304" s="1217"/>
      <c r="O304" s="1297"/>
      <c r="P304" s="1297"/>
      <c r="Q304" s="1205"/>
      <c r="R304" s="1205"/>
      <c r="S304" s="1205"/>
      <c r="T304" s="1205"/>
      <c r="U304" s="1205"/>
      <c r="V304" s="1206"/>
      <c r="W304" s="1206"/>
      <c r="X304" s="1206"/>
    </row>
    <row r="305" spans="1:24" ht="15.75" customHeight="1">
      <c r="A305" s="1205"/>
      <c r="B305" s="1205"/>
      <c r="C305" s="1217"/>
      <c r="D305" s="1217"/>
      <c r="E305" s="1217"/>
      <c r="F305" s="1217"/>
      <c r="G305" s="1217"/>
      <c r="H305" s="1217"/>
      <c r="I305" s="1217"/>
      <c r="J305" s="1217"/>
      <c r="K305" s="1217"/>
      <c r="L305" s="1217"/>
      <c r="M305" s="1217"/>
      <c r="N305" s="1217"/>
      <c r="O305" s="1297"/>
      <c r="P305" s="1297"/>
      <c r="Q305" s="1205"/>
      <c r="R305" s="1205"/>
      <c r="S305" s="1205"/>
      <c r="T305" s="1205"/>
      <c r="U305" s="1205"/>
      <c r="V305" s="1206"/>
      <c r="W305" s="1206"/>
      <c r="X305" s="1206"/>
    </row>
    <row r="306" spans="1:24" ht="15.75" customHeight="1">
      <c r="A306" s="1205"/>
      <c r="B306" s="1205"/>
      <c r="C306" s="1217"/>
      <c r="D306" s="1217"/>
      <c r="E306" s="1217"/>
      <c r="F306" s="1217"/>
      <c r="G306" s="1217"/>
      <c r="H306" s="1217"/>
      <c r="I306" s="1217"/>
      <c r="J306" s="1217"/>
      <c r="K306" s="1217"/>
      <c r="L306" s="1217"/>
      <c r="M306" s="1217"/>
      <c r="N306" s="1217"/>
      <c r="O306" s="1297"/>
      <c r="P306" s="1297"/>
      <c r="Q306" s="1205"/>
      <c r="R306" s="1205"/>
      <c r="S306" s="1205"/>
      <c r="T306" s="1205"/>
      <c r="U306" s="1205"/>
      <c r="V306" s="1206"/>
      <c r="W306" s="1206"/>
      <c r="X306" s="1206"/>
    </row>
    <row r="307" spans="1:24" ht="15.75" customHeight="1">
      <c r="A307" s="1205"/>
      <c r="B307" s="1205"/>
      <c r="C307" s="1217"/>
      <c r="D307" s="1217"/>
      <c r="E307" s="1217"/>
      <c r="F307" s="1217"/>
      <c r="G307" s="1217"/>
      <c r="H307" s="1217"/>
      <c r="I307" s="1217"/>
      <c r="J307" s="1217"/>
      <c r="K307" s="1217"/>
      <c r="L307" s="1217"/>
      <c r="M307" s="1217"/>
      <c r="N307" s="1217"/>
      <c r="O307" s="1297"/>
      <c r="P307" s="1297"/>
      <c r="Q307" s="1205"/>
      <c r="R307" s="1205"/>
      <c r="S307" s="1205"/>
      <c r="T307" s="1205"/>
      <c r="U307" s="1205"/>
      <c r="V307" s="1206"/>
      <c r="W307" s="1206"/>
      <c r="X307" s="1206"/>
    </row>
    <row r="308" spans="1:24" ht="15.75" customHeight="1">
      <c r="A308" s="1205"/>
      <c r="B308" s="1205"/>
      <c r="C308" s="1217"/>
      <c r="D308" s="1217"/>
      <c r="E308" s="1217"/>
      <c r="F308" s="1217"/>
      <c r="G308" s="1217"/>
      <c r="H308" s="1217"/>
      <c r="I308" s="1217"/>
      <c r="J308" s="1217"/>
      <c r="K308" s="1217"/>
      <c r="L308" s="1217"/>
      <c r="M308" s="1217"/>
      <c r="N308" s="1217"/>
      <c r="O308" s="1297"/>
      <c r="P308" s="1297"/>
      <c r="Q308" s="1205"/>
      <c r="R308" s="1205"/>
      <c r="S308" s="1205"/>
      <c r="T308" s="1205"/>
      <c r="U308" s="1205"/>
      <c r="V308" s="1206"/>
      <c r="W308" s="1206"/>
      <c r="X308" s="1206"/>
    </row>
    <row r="309" spans="1:24" ht="15.75" customHeight="1">
      <c r="A309" s="1205"/>
      <c r="B309" s="1205"/>
      <c r="C309" s="1217"/>
      <c r="D309" s="1217"/>
      <c r="E309" s="1217"/>
      <c r="F309" s="1217"/>
      <c r="G309" s="1217"/>
      <c r="H309" s="1217"/>
      <c r="I309" s="1217"/>
      <c r="J309" s="1217"/>
      <c r="K309" s="1217"/>
      <c r="L309" s="1217"/>
      <c r="M309" s="1217"/>
      <c r="N309" s="1217"/>
      <c r="O309" s="1297"/>
      <c r="P309" s="1297"/>
      <c r="Q309" s="1205"/>
      <c r="R309" s="1205"/>
      <c r="S309" s="1205"/>
      <c r="T309" s="1205"/>
      <c r="U309" s="1205"/>
      <c r="V309" s="1206"/>
      <c r="W309" s="1206"/>
      <c r="X309" s="1206"/>
    </row>
    <row r="310" spans="1:24" ht="15.75" customHeight="1">
      <c r="A310" s="1205"/>
      <c r="B310" s="1205"/>
      <c r="C310" s="1217"/>
      <c r="D310" s="1217"/>
      <c r="E310" s="1217"/>
      <c r="F310" s="1217"/>
      <c r="G310" s="1217"/>
      <c r="H310" s="1217"/>
      <c r="I310" s="1217"/>
      <c r="J310" s="1217"/>
      <c r="K310" s="1217"/>
      <c r="L310" s="1217"/>
      <c r="M310" s="1217"/>
      <c r="N310" s="1217"/>
      <c r="O310" s="1297"/>
      <c r="P310" s="1297"/>
      <c r="Q310" s="1205"/>
      <c r="R310" s="1205"/>
      <c r="S310" s="1205"/>
      <c r="T310" s="1205"/>
      <c r="U310" s="1205"/>
      <c r="V310" s="1206"/>
      <c r="W310" s="1206"/>
      <c r="X310" s="1206"/>
    </row>
    <row r="311" spans="1:24" ht="15.75" customHeight="1">
      <c r="A311" s="1205"/>
      <c r="B311" s="1205"/>
      <c r="C311" s="1217"/>
      <c r="D311" s="1217"/>
      <c r="E311" s="1217"/>
      <c r="F311" s="1217"/>
      <c r="G311" s="1217"/>
      <c r="H311" s="1217"/>
      <c r="I311" s="1217"/>
      <c r="J311" s="1217"/>
      <c r="K311" s="1217"/>
      <c r="L311" s="1217"/>
      <c r="M311" s="1217"/>
      <c r="N311" s="1217"/>
      <c r="O311" s="1297"/>
      <c r="P311" s="1297"/>
      <c r="Q311" s="1205"/>
      <c r="R311" s="1205"/>
      <c r="S311" s="1205"/>
      <c r="T311" s="1205"/>
      <c r="U311" s="1205"/>
      <c r="V311" s="1206"/>
      <c r="W311" s="1206"/>
      <c r="X311" s="1206"/>
    </row>
    <row r="312" spans="1:24" ht="15.75" customHeight="1">
      <c r="A312" s="1205"/>
      <c r="B312" s="1205"/>
      <c r="C312" s="1217"/>
      <c r="D312" s="1217"/>
      <c r="E312" s="1217"/>
      <c r="F312" s="1217"/>
      <c r="G312" s="1217"/>
      <c r="H312" s="1217"/>
      <c r="I312" s="1217"/>
      <c r="J312" s="1217"/>
      <c r="K312" s="1217"/>
      <c r="L312" s="1217"/>
      <c r="M312" s="1217"/>
      <c r="N312" s="1217"/>
      <c r="O312" s="1297"/>
      <c r="P312" s="1297"/>
      <c r="Q312" s="1205"/>
      <c r="R312" s="1205"/>
      <c r="S312" s="1205"/>
      <c r="T312" s="1205"/>
      <c r="U312" s="1205"/>
      <c r="V312" s="1206"/>
      <c r="W312" s="1206"/>
      <c r="X312" s="1206"/>
    </row>
    <row r="313" spans="1:24" ht="15.75" customHeight="1">
      <c r="A313" s="1205"/>
      <c r="B313" s="1205"/>
      <c r="C313" s="1217"/>
      <c r="D313" s="1217"/>
      <c r="E313" s="1217"/>
      <c r="F313" s="1217"/>
      <c r="G313" s="1217"/>
      <c r="H313" s="1217"/>
      <c r="I313" s="1217"/>
      <c r="J313" s="1217"/>
      <c r="K313" s="1217"/>
      <c r="L313" s="1217"/>
      <c r="M313" s="1217"/>
      <c r="N313" s="1217"/>
      <c r="O313" s="1297"/>
      <c r="P313" s="1297"/>
      <c r="Q313" s="1205"/>
      <c r="R313" s="1205"/>
      <c r="S313" s="1205"/>
      <c r="T313" s="1205"/>
      <c r="U313" s="1205"/>
      <c r="V313" s="1206"/>
      <c r="W313" s="1206"/>
      <c r="X313" s="1206"/>
    </row>
    <row r="314" spans="1:24" ht="15.75" customHeight="1">
      <c r="A314" s="1205"/>
      <c r="B314" s="1205"/>
      <c r="C314" s="1217"/>
      <c r="D314" s="1217"/>
      <c r="E314" s="1217"/>
      <c r="F314" s="1217"/>
      <c r="G314" s="1217"/>
      <c r="H314" s="1217"/>
      <c r="I314" s="1217"/>
      <c r="J314" s="1217"/>
      <c r="K314" s="1217"/>
      <c r="L314" s="1217"/>
      <c r="M314" s="1217"/>
      <c r="N314" s="1217"/>
      <c r="O314" s="1297"/>
      <c r="P314" s="1297"/>
      <c r="Q314" s="1205"/>
      <c r="R314" s="1205"/>
      <c r="S314" s="1205"/>
      <c r="T314" s="1205"/>
      <c r="U314" s="1205"/>
      <c r="V314" s="1206"/>
      <c r="W314" s="1206"/>
      <c r="X314" s="1206"/>
    </row>
    <row r="315" spans="1:24" ht="15.75" customHeight="1">
      <c r="A315" s="1205"/>
      <c r="B315" s="1205"/>
      <c r="C315" s="1217"/>
      <c r="D315" s="1217"/>
      <c r="E315" s="1217"/>
      <c r="F315" s="1217"/>
      <c r="G315" s="1217"/>
      <c r="H315" s="1217"/>
      <c r="I315" s="1217"/>
      <c r="J315" s="1217"/>
      <c r="K315" s="1217"/>
      <c r="L315" s="1217"/>
      <c r="M315" s="1217"/>
      <c r="N315" s="1217"/>
      <c r="O315" s="1297"/>
      <c r="P315" s="1297"/>
      <c r="Q315" s="1205"/>
      <c r="R315" s="1205"/>
      <c r="S315" s="1205"/>
      <c r="T315" s="1205"/>
      <c r="U315" s="1205"/>
      <c r="V315" s="1206"/>
      <c r="W315" s="1206"/>
      <c r="X315" s="1206"/>
    </row>
    <row r="316" spans="1:24" ht="15.75" customHeight="1">
      <c r="A316" s="1205"/>
      <c r="B316" s="1205"/>
      <c r="C316" s="1217"/>
      <c r="D316" s="1217"/>
      <c r="E316" s="1217"/>
      <c r="F316" s="1217"/>
      <c r="G316" s="1217"/>
      <c r="H316" s="1217"/>
      <c r="I316" s="1217"/>
      <c r="J316" s="1217"/>
      <c r="K316" s="1217"/>
      <c r="L316" s="1217"/>
      <c r="M316" s="1217"/>
      <c r="N316" s="1217"/>
      <c r="O316" s="1297"/>
      <c r="P316" s="1297"/>
      <c r="Q316" s="1205"/>
      <c r="R316" s="1205"/>
      <c r="S316" s="1205"/>
      <c r="T316" s="1205"/>
      <c r="U316" s="1205"/>
      <c r="V316" s="1206"/>
      <c r="W316" s="1206"/>
      <c r="X316" s="1206"/>
    </row>
    <row r="317" spans="1:24" ht="15.75" customHeight="1">
      <c r="A317" s="1205"/>
      <c r="B317" s="1205"/>
      <c r="C317" s="1217"/>
      <c r="D317" s="1217"/>
      <c r="E317" s="1217"/>
      <c r="F317" s="1217"/>
      <c r="G317" s="1217"/>
      <c r="H317" s="1217"/>
      <c r="I317" s="1217"/>
      <c r="J317" s="1217"/>
      <c r="K317" s="1217"/>
      <c r="L317" s="1217"/>
      <c r="M317" s="1217"/>
      <c r="N317" s="1217"/>
      <c r="O317" s="1297"/>
      <c r="P317" s="1297"/>
      <c r="Q317" s="1205"/>
      <c r="R317" s="1205"/>
      <c r="S317" s="1205"/>
      <c r="T317" s="1205"/>
      <c r="U317" s="1205"/>
      <c r="V317" s="1206"/>
      <c r="W317" s="1206"/>
      <c r="X317" s="1206"/>
    </row>
    <row r="318" spans="1:24" ht="15.75" customHeight="1">
      <c r="A318" s="1205"/>
      <c r="B318" s="1205"/>
      <c r="C318" s="1217"/>
      <c r="D318" s="1217"/>
      <c r="E318" s="1217"/>
      <c r="F318" s="1217"/>
      <c r="G318" s="1217"/>
      <c r="H318" s="1217"/>
      <c r="I318" s="1217"/>
      <c r="J318" s="1217"/>
      <c r="K318" s="1217"/>
      <c r="L318" s="1217"/>
      <c r="M318" s="1217"/>
      <c r="N318" s="1217"/>
      <c r="O318" s="1297"/>
      <c r="P318" s="1297"/>
      <c r="Q318" s="1205"/>
      <c r="R318" s="1205"/>
      <c r="S318" s="1205"/>
      <c r="T318" s="1205"/>
      <c r="U318" s="1205"/>
      <c r="V318" s="1206"/>
      <c r="W318" s="1206"/>
      <c r="X318" s="1206"/>
    </row>
    <row r="319" spans="1:24" ht="15.75" customHeight="1">
      <c r="A319" s="1205"/>
      <c r="B319" s="1205"/>
      <c r="C319" s="1217"/>
      <c r="D319" s="1217"/>
      <c r="E319" s="1217"/>
      <c r="F319" s="1217"/>
      <c r="G319" s="1217"/>
      <c r="H319" s="1217"/>
      <c r="I319" s="1217"/>
      <c r="J319" s="1217"/>
      <c r="K319" s="1217"/>
      <c r="L319" s="1217"/>
      <c r="M319" s="1217"/>
      <c r="N319" s="1217"/>
      <c r="O319" s="1297"/>
      <c r="P319" s="1297"/>
      <c r="Q319" s="1205"/>
      <c r="R319" s="1205"/>
      <c r="S319" s="1205"/>
      <c r="T319" s="1205"/>
      <c r="U319" s="1205"/>
      <c r="V319" s="1206"/>
      <c r="W319" s="1206"/>
      <c r="X319" s="1206"/>
    </row>
    <row r="320" spans="1:24" ht="15.75" customHeight="1">
      <c r="A320" s="1205"/>
      <c r="B320" s="1205"/>
      <c r="C320" s="1217"/>
      <c r="D320" s="1217"/>
      <c r="E320" s="1217"/>
      <c r="F320" s="1217"/>
      <c r="G320" s="1217"/>
      <c r="H320" s="1217"/>
      <c r="I320" s="1217"/>
      <c r="J320" s="1217"/>
      <c r="K320" s="1217"/>
      <c r="L320" s="1217"/>
      <c r="M320" s="1217"/>
      <c r="N320" s="1217"/>
      <c r="O320" s="1297"/>
      <c r="P320" s="1297"/>
      <c r="Q320" s="1205"/>
      <c r="R320" s="1205"/>
      <c r="S320" s="1205"/>
      <c r="T320" s="1205"/>
      <c r="U320" s="1205"/>
      <c r="V320" s="1206"/>
      <c r="W320" s="1206"/>
      <c r="X320" s="1206"/>
    </row>
    <row r="321" spans="1:24" ht="15.75" customHeight="1">
      <c r="A321" s="1205"/>
      <c r="B321" s="1205"/>
      <c r="C321" s="1217"/>
      <c r="D321" s="1217"/>
      <c r="E321" s="1217"/>
      <c r="F321" s="1217"/>
      <c r="G321" s="1217"/>
      <c r="H321" s="1217"/>
      <c r="I321" s="1217"/>
      <c r="J321" s="1217"/>
      <c r="K321" s="1217"/>
      <c r="L321" s="1217"/>
      <c r="M321" s="1217"/>
      <c r="N321" s="1217"/>
      <c r="O321" s="1297"/>
      <c r="P321" s="1297"/>
      <c r="Q321" s="1205"/>
      <c r="R321" s="1205"/>
      <c r="S321" s="1205"/>
      <c r="T321" s="1205"/>
      <c r="U321" s="1205"/>
      <c r="V321" s="1206"/>
      <c r="W321" s="1206"/>
      <c r="X321" s="1206"/>
    </row>
    <row r="322" spans="1:24" ht="15.75" customHeight="1">
      <c r="A322" s="1205"/>
      <c r="B322" s="1205"/>
      <c r="C322" s="1217"/>
      <c r="D322" s="1217"/>
      <c r="E322" s="1217"/>
      <c r="F322" s="1217"/>
      <c r="G322" s="1217"/>
      <c r="H322" s="1217"/>
      <c r="I322" s="1217"/>
      <c r="J322" s="1217"/>
      <c r="K322" s="1217"/>
      <c r="L322" s="1217"/>
      <c r="M322" s="1217"/>
      <c r="N322" s="1217"/>
      <c r="O322" s="1297"/>
      <c r="P322" s="1297"/>
      <c r="Q322" s="1205"/>
      <c r="R322" s="1205"/>
      <c r="S322" s="1205"/>
      <c r="T322" s="1205"/>
      <c r="U322" s="1205"/>
      <c r="V322" s="1206"/>
      <c r="W322" s="1206"/>
      <c r="X322" s="1206"/>
    </row>
    <row r="323" spans="1:24" ht="15.75" customHeight="1">
      <c r="A323" s="1205"/>
      <c r="B323" s="1205"/>
      <c r="C323" s="1217"/>
      <c r="D323" s="1217"/>
      <c r="E323" s="1217"/>
      <c r="F323" s="1217"/>
      <c r="G323" s="1217"/>
      <c r="H323" s="1217"/>
      <c r="I323" s="1217"/>
      <c r="J323" s="1217"/>
      <c r="K323" s="1217"/>
      <c r="L323" s="1217"/>
      <c r="M323" s="1217"/>
      <c r="N323" s="1217"/>
      <c r="O323" s="1297"/>
      <c r="P323" s="1297"/>
      <c r="Q323" s="1205"/>
      <c r="R323" s="1205"/>
      <c r="S323" s="1205"/>
      <c r="T323" s="1205"/>
      <c r="U323" s="1205"/>
      <c r="V323" s="1206"/>
      <c r="W323" s="1206"/>
      <c r="X323" s="1206"/>
    </row>
    <row r="324" spans="1:24" ht="15.75" customHeight="1">
      <c r="A324" s="1205"/>
      <c r="B324" s="1205"/>
      <c r="C324" s="1217"/>
      <c r="D324" s="1217"/>
      <c r="E324" s="1217"/>
      <c r="F324" s="1217"/>
      <c r="G324" s="1217"/>
      <c r="H324" s="1217"/>
      <c r="I324" s="1217"/>
      <c r="J324" s="1217"/>
      <c r="K324" s="1217"/>
      <c r="L324" s="1217"/>
      <c r="M324" s="1217"/>
      <c r="N324" s="1217"/>
      <c r="O324" s="1297"/>
      <c r="P324" s="1297"/>
      <c r="Q324" s="1205"/>
      <c r="R324" s="1205"/>
      <c r="S324" s="1205"/>
      <c r="T324" s="1205"/>
      <c r="U324" s="1205"/>
      <c r="V324" s="1206"/>
      <c r="W324" s="1206"/>
      <c r="X324" s="1206"/>
    </row>
    <row r="325" spans="1:24" ht="15.75" customHeight="1">
      <c r="A325" s="1205"/>
      <c r="B325" s="1205"/>
      <c r="C325" s="1217"/>
      <c r="D325" s="1217"/>
      <c r="E325" s="1217"/>
      <c r="F325" s="1217"/>
      <c r="G325" s="1217"/>
      <c r="H325" s="1217"/>
      <c r="I325" s="1217"/>
      <c r="J325" s="1217"/>
      <c r="K325" s="1217"/>
      <c r="L325" s="1217"/>
      <c r="M325" s="1217"/>
      <c r="N325" s="1217"/>
      <c r="O325" s="1297"/>
      <c r="P325" s="1297"/>
      <c r="Q325" s="1205"/>
      <c r="R325" s="1205"/>
      <c r="S325" s="1205"/>
      <c r="T325" s="1205"/>
      <c r="U325" s="1205"/>
      <c r="V325" s="1206"/>
      <c r="W325" s="1206"/>
      <c r="X325" s="1206"/>
    </row>
    <row r="326" spans="1:24" ht="15.75" customHeight="1">
      <c r="A326" s="1205"/>
      <c r="B326" s="1205"/>
      <c r="C326" s="1217"/>
      <c r="D326" s="1217"/>
      <c r="E326" s="1217"/>
      <c r="F326" s="1217"/>
      <c r="G326" s="1217"/>
      <c r="H326" s="1217"/>
      <c r="I326" s="1217"/>
      <c r="J326" s="1217"/>
      <c r="K326" s="1217"/>
      <c r="L326" s="1217"/>
      <c r="M326" s="1217"/>
      <c r="N326" s="1217"/>
      <c r="O326" s="1297"/>
      <c r="P326" s="1297"/>
      <c r="Q326" s="1205"/>
      <c r="R326" s="1205"/>
      <c r="S326" s="1205"/>
      <c r="T326" s="1205"/>
      <c r="U326" s="1205"/>
      <c r="V326" s="1206"/>
      <c r="W326" s="1206"/>
      <c r="X326" s="1206"/>
    </row>
    <row r="327" spans="1:24" ht="15.75" customHeight="1">
      <c r="A327" s="1205"/>
      <c r="B327" s="1205"/>
      <c r="C327" s="1217"/>
      <c r="D327" s="1217"/>
      <c r="E327" s="1217"/>
      <c r="F327" s="1217"/>
      <c r="G327" s="1217"/>
      <c r="H327" s="1217"/>
      <c r="I327" s="1217"/>
      <c r="J327" s="1217"/>
      <c r="K327" s="1217"/>
      <c r="L327" s="1217"/>
      <c r="M327" s="1217"/>
      <c r="N327" s="1217"/>
      <c r="O327" s="1297"/>
      <c r="P327" s="1297"/>
      <c r="Q327" s="1205"/>
      <c r="R327" s="1205"/>
      <c r="S327" s="1205"/>
      <c r="T327" s="1205"/>
      <c r="U327" s="1205"/>
      <c r="V327" s="1206"/>
      <c r="W327" s="1206"/>
      <c r="X327" s="1206"/>
    </row>
    <row r="328" spans="1:24" ht="15.75" customHeight="1">
      <c r="A328" s="1205"/>
      <c r="B328" s="1205"/>
      <c r="C328" s="1217"/>
      <c r="D328" s="1217"/>
      <c r="E328" s="1217"/>
      <c r="F328" s="1217"/>
      <c r="G328" s="1217"/>
      <c r="H328" s="1217"/>
      <c r="I328" s="1217"/>
      <c r="J328" s="1217"/>
      <c r="K328" s="1217"/>
      <c r="L328" s="1217"/>
      <c r="M328" s="1217"/>
      <c r="N328" s="1217"/>
      <c r="O328" s="1297"/>
      <c r="P328" s="1297"/>
      <c r="Q328" s="1205"/>
      <c r="R328" s="1205"/>
      <c r="S328" s="1205"/>
      <c r="T328" s="1205"/>
      <c r="U328" s="1205"/>
      <c r="V328" s="1206"/>
      <c r="W328" s="1206"/>
      <c r="X328" s="1206"/>
    </row>
    <row r="329" spans="1:24" ht="15.75" customHeight="1">
      <c r="A329" s="1205"/>
      <c r="B329" s="1205"/>
      <c r="C329" s="1217"/>
      <c r="D329" s="1217"/>
      <c r="E329" s="1217"/>
      <c r="F329" s="1217"/>
      <c r="G329" s="1217"/>
      <c r="H329" s="1217"/>
      <c r="I329" s="1217"/>
      <c r="J329" s="1217"/>
      <c r="K329" s="1217"/>
      <c r="L329" s="1217"/>
      <c r="M329" s="1217"/>
      <c r="N329" s="1217"/>
      <c r="O329" s="1297"/>
      <c r="P329" s="1297"/>
      <c r="Q329" s="1205"/>
      <c r="R329" s="1205"/>
      <c r="S329" s="1205"/>
      <c r="T329" s="1205"/>
      <c r="U329" s="1205"/>
      <c r="V329" s="1206"/>
      <c r="W329" s="1206"/>
      <c r="X329" s="1206"/>
    </row>
    <row r="330" spans="1:24" ht="15.75" customHeight="1">
      <c r="A330" s="1205"/>
      <c r="B330" s="1205"/>
      <c r="C330" s="1217"/>
      <c r="D330" s="1217"/>
      <c r="E330" s="1217"/>
      <c r="F330" s="1217"/>
      <c r="G330" s="1217"/>
      <c r="H330" s="1217"/>
      <c r="I330" s="1217"/>
      <c r="J330" s="1217"/>
      <c r="K330" s="1217"/>
      <c r="L330" s="1217"/>
      <c r="M330" s="1217"/>
      <c r="N330" s="1217"/>
      <c r="O330" s="1297"/>
      <c r="P330" s="1297"/>
      <c r="Q330" s="1205"/>
      <c r="R330" s="1205"/>
      <c r="S330" s="1205"/>
      <c r="T330" s="1205"/>
      <c r="U330" s="1205"/>
      <c r="V330" s="1206"/>
      <c r="W330" s="1206"/>
      <c r="X330" s="1206"/>
    </row>
    <row r="331" spans="1:24" ht="15.75" customHeight="1">
      <c r="A331" s="1205"/>
      <c r="B331" s="1205"/>
      <c r="C331" s="1217"/>
      <c r="D331" s="1217"/>
      <c r="E331" s="1217"/>
      <c r="F331" s="1217"/>
      <c r="G331" s="1217"/>
      <c r="H331" s="1217"/>
      <c r="I331" s="1217"/>
      <c r="J331" s="1217"/>
      <c r="K331" s="1217"/>
      <c r="L331" s="1217"/>
      <c r="M331" s="1217"/>
      <c r="N331" s="1217"/>
      <c r="O331" s="1297"/>
      <c r="P331" s="1297"/>
      <c r="Q331" s="1205"/>
      <c r="R331" s="1205"/>
      <c r="S331" s="1205"/>
      <c r="T331" s="1205"/>
      <c r="U331" s="1205"/>
      <c r="V331" s="1206"/>
      <c r="W331" s="1206"/>
      <c r="X331" s="1206"/>
    </row>
    <row r="332" spans="1:24" ht="15.75" customHeight="1">
      <c r="A332" s="1205"/>
      <c r="B332" s="1205"/>
      <c r="C332" s="1217"/>
      <c r="D332" s="1217"/>
      <c r="E332" s="1217"/>
      <c r="F332" s="1217"/>
      <c r="G332" s="1217"/>
      <c r="H332" s="1217"/>
      <c r="I332" s="1217"/>
      <c r="J332" s="1217"/>
      <c r="K332" s="1217"/>
      <c r="L332" s="1217"/>
      <c r="M332" s="1217"/>
      <c r="N332" s="1217"/>
      <c r="O332" s="1297"/>
      <c r="P332" s="1297"/>
      <c r="Q332" s="1205"/>
      <c r="R332" s="1205"/>
      <c r="S332" s="1205"/>
      <c r="T332" s="1205"/>
      <c r="U332" s="1205"/>
      <c r="V332" s="1206"/>
      <c r="W332" s="1206"/>
      <c r="X332" s="1206"/>
    </row>
    <row r="333" spans="1:24" ht="15.75" customHeight="1">
      <c r="A333" s="1205"/>
      <c r="B333" s="1205"/>
      <c r="C333" s="1217"/>
      <c r="D333" s="1217"/>
      <c r="E333" s="1217"/>
      <c r="F333" s="1217"/>
      <c r="G333" s="1217"/>
      <c r="H333" s="1217"/>
      <c r="I333" s="1217"/>
      <c r="J333" s="1217"/>
      <c r="K333" s="1217"/>
      <c r="L333" s="1217"/>
      <c r="M333" s="1217"/>
      <c r="N333" s="1217"/>
      <c r="O333" s="1297"/>
      <c r="P333" s="1297"/>
      <c r="Q333" s="1205"/>
      <c r="R333" s="1205"/>
      <c r="S333" s="1205"/>
      <c r="T333" s="1205"/>
      <c r="U333" s="1205"/>
      <c r="V333" s="1206"/>
      <c r="W333" s="1206"/>
      <c r="X333" s="1206"/>
    </row>
    <row r="334" spans="1:24" ht="15.75" customHeight="1">
      <c r="A334" s="1205"/>
      <c r="B334" s="1205"/>
      <c r="C334" s="1217"/>
      <c r="D334" s="1217"/>
      <c r="E334" s="1217"/>
      <c r="F334" s="1217"/>
      <c r="G334" s="1217"/>
      <c r="H334" s="1217"/>
      <c r="I334" s="1217"/>
      <c r="J334" s="1217"/>
      <c r="K334" s="1217"/>
      <c r="L334" s="1217"/>
      <c r="M334" s="1217"/>
      <c r="N334" s="1217"/>
      <c r="O334" s="1297"/>
      <c r="P334" s="1297"/>
      <c r="Q334" s="1205"/>
      <c r="R334" s="1205"/>
      <c r="S334" s="1205"/>
      <c r="T334" s="1205"/>
      <c r="U334" s="1205"/>
      <c r="V334" s="1206"/>
      <c r="W334" s="1206"/>
      <c r="X334" s="1206"/>
    </row>
    <row r="335" spans="1:24" ht="15.75" customHeight="1">
      <c r="A335" s="1205"/>
      <c r="B335" s="1205"/>
      <c r="C335" s="1217"/>
      <c r="D335" s="1217"/>
      <c r="E335" s="1217"/>
      <c r="F335" s="1217"/>
      <c r="G335" s="1217"/>
      <c r="H335" s="1217"/>
      <c r="I335" s="1217"/>
      <c r="J335" s="1217"/>
      <c r="K335" s="1217"/>
      <c r="L335" s="1217"/>
      <c r="M335" s="1217"/>
      <c r="N335" s="1217"/>
      <c r="O335" s="1297"/>
      <c r="P335" s="1297"/>
      <c r="Q335" s="1205"/>
      <c r="R335" s="1205"/>
      <c r="S335" s="1205"/>
      <c r="T335" s="1205"/>
      <c r="U335" s="1205"/>
      <c r="V335" s="1206"/>
      <c r="W335" s="1206"/>
      <c r="X335" s="1206"/>
    </row>
    <row r="336" spans="1:24" ht="15.75" customHeight="1">
      <c r="A336" s="1205"/>
      <c r="B336" s="1205"/>
      <c r="C336" s="1217"/>
      <c r="D336" s="1217"/>
      <c r="E336" s="1217"/>
      <c r="F336" s="1217"/>
      <c r="G336" s="1217"/>
      <c r="H336" s="1217"/>
      <c r="I336" s="1217"/>
      <c r="J336" s="1217"/>
      <c r="K336" s="1217"/>
      <c r="L336" s="1217"/>
      <c r="M336" s="1217"/>
      <c r="N336" s="1217"/>
      <c r="O336" s="1297"/>
      <c r="P336" s="1297"/>
      <c r="Q336" s="1205"/>
      <c r="R336" s="1205"/>
      <c r="S336" s="1205"/>
      <c r="T336" s="1205"/>
      <c r="U336" s="1205"/>
      <c r="V336" s="1206"/>
      <c r="W336" s="1206"/>
      <c r="X336" s="1206"/>
    </row>
    <row r="337" spans="1:24" ht="15.75" customHeight="1">
      <c r="A337" s="1205"/>
      <c r="B337" s="1205"/>
      <c r="C337" s="1217"/>
      <c r="D337" s="1217"/>
      <c r="E337" s="1217"/>
      <c r="F337" s="1217"/>
      <c r="G337" s="1217"/>
      <c r="H337" s="1217"/>
      <c r="I337" s="1217"/>
      <c r="J337" s="1217"/>
      <c r="K337" s="1217"/>
      <c r="L337" s="1217"/>
      <c r="M337" s="1217"/>
      <c r="N337" s="1217"/>
      <c r="O337" s="1297"/>
      <c r="P337" s="1297"/>
      <c r="Q337" s="1205"/>
      <c r="R337" s="1205"/>
      <c r="S337" s="1205"/>
      <c r="T337" s="1205"/>
      <c r="U337" s="1205"/>
      <c r="V337" s="1206"/>
      <c r="W337" s="1206"/>
      <c r="X337" s="1206"/>
    </row>
    <row r="338" spans="1:24" ht="15.75" customHeight="1">
      <c r="A338" s="1205"/>
      <c r="B338" s="1205"/>
      <c r="C338" s="1217"/>
      <c r="D338" s="1217"/>
      <c r="E338" s="1217"/>
      <c r="F338" s="1217"/>
      <c r="G338" s="1217"/>
      <c r="H338" s="1217"/>
      <c r="I338" s="1217"/>
      <c r="J338" s="1217"/>
      <c r="K338" s="1217"/>
      <c r="L338" s="1217"/>
      <c r="M338" s="1217"/>
      <c r="N338" s="1217"/>
      <c r="O338" s="1297"/>
      <c r="P338" s="1297"/>
      <c r="Q338" s="1205"/>
      <c r="R338" s="1205"/>
      <c r="S338" s="1205"/>
      <c r="T338" s="1205"/>
      <c r="U338" s="1205"/>
      <c r="V338" s="1206"/>
      <c r="W338" s="1206"/>
      <c r="X338" s="1206"/>
    </row>
    <row r="339" spans="1:24" ht="15.75" customHeight="1">
      <c r="A339" s="1205"/>
      <c r="B339" s="1205"/>
      <c r="C339" s="1217"/>
      <c r="D339" s="1217"/>
      <c r="E339" s="1217"/>
      <c r="F339" s="1217"/>
      <c r="G339" s="1217"/>
      <c r="H339" s="1217"/>
      <c r="I339" s="1217"/>
      <c r="J339" s="1217"/>
      <c r="K339" s="1217"/>
      <c r="L339" s="1217"/>
      <c r="M339" s="1217"/>
      <c r="N339" s="1217"/>
      <c r="O339" s="1297"/>
      <c r="P339" s="1297"/>
      <c r="Q339" s="1205"/>
      <c r="R339" s="1205"/>
      <c r="S339" s="1205"/>
      <c r="T339" s="1205"/>
      <c r="U339" s="1205"/>
      <c r="V339" s="1206"/>
      <c r="W339" s="1206"/>
      <c r="X339" s="1206"/>
    </row>
    <row r="340" spans="1:24" ht="15.75" customHeight="1">
      <c r="A340" s="1205"/>
      <c r="B340" s="1205"/>
      <c r="C340" s="1217"/>
      <c r="D340" s="1217"/>
      <c r="E340" s="1217"/>
      <c r="F340" s="1217"/>
      <c r="G340" s="1217"/>
      <c r="H340" s="1217"/>
      <c r="I340" s="1217"/>
      <c r="J340" s="1217"/>
      <c r="K340" s="1217"/>
      <c r="L340" s="1217"/>
      <c r="M340" s="1217"/>
      <c r="N340" s="1217"/>
      <c r="O340" s="1297"/>
      <c r="P340" s="1297"/>
      <c r="Q340" s="1205"/>
      <c r="R340" s="1205"/>
      <c r="S340" s="1205"/>
      <c r="T340" s="1205"/>
      <c r="U340" s="1205"/>
      <c r="V340" s="1206"/>
      <c r="W340" s="1206"/>
      <c r="X340" s="1206"/>
    </row>
    <row r="341" spans="1:24" ht="15.75" customHeight="1">
      <c r="A341" s="1205"/>
      <c r="B341" s="1205"/>
      <c r="C341" s="1217"/>
      <c r="D341" s="1217"/>
      <c r="E341" s="1217"/>
      <c r="F341" s="1217"/>
      <c r="G341" s="1217"/>
      <c r="H341" s="1217"/>
      <c r="I341" s="1217"/>
      <c r="J341" s="1217"/>
      <c r="K341" s="1217"/>
      <c r="L341" s="1217"/>
      <c r="M341" s="1217"/>
      <c r="N341" s="1217"/>
      <c r="O341" s="1297"/>
      <c r="P341" s="1297"/>
      <c r="Q341" s="1205"/>
      <c r="R341" s="1205"/>
      <c r="S341" s="1205"/>
      <c r="T341" s="1205"/>
      <c r="U341" s="1205"/>
      <c r="V341" s="1206"/>
      <c r="W341" s="1206"/>
      <c r="X341" s="1206"/>
    </row>
    <row r="342" spans="1:24" ht="15.75" customHeight="1">
      <c r="A342" s="1205"/>
      <c r="B342" s="1205"/>
      <c r="C342" s="1217"/>
      <c r="D342" s="1217"/>
      <c r="E342" s="1217"/>
      <c r="F342" s="1217"/>
      <c r="G342" s="1217"/>
      <c r="H342" s="1217"/>
      <c r="I342" s="1217"/>
      <c r="J342" s="1217"/>
      <c r="K342" s="1217"/>
      <c r="L342" s="1217"/>
      <c r="M342" s="1217"/>
      <c r="N342" s="1217"/>
      <c r="O342" s="1297"/>
      <c r="P342" s="1297"/>
      <c r="Q342" s="1205"/>
      <c r="R342" s="1205"/>
      <c r="S342" s="1205"/>
      <c r="T342" s="1205"/>
      <c r="U342" s="1205"/>
      <c r="V342" s="1206"/>
      <c r="W342" s="1206"/>
      <c r="X342" s="1206"/>
    </row>
    <row r="343" spans="1:24" ht="15.75" customHeight="1">
      <c r="A343" s="1205"/>
      <c r="B343" s="1205"/>
      <c r="C343" s="1217"/>
      <c r="D343" s="1217"/>
      <c r="E343" s="1217"/>
      <c r="F343" s="1217"/>
      <c r="G343" s="1217"/>
      <c r="H343" s="1217"/>
      <c r="I343" s="1217"/>
      <c r="J343" s="1217"/>
      <c r="K343" s="1217"/>
      <c r="L343" s="1217"/>
      <c r="M343" s="1217"/>
      <c r="N343" s="1217"/>
      <c r="O343" s="1297"/>
      <c r="P343" s="1297"/>
      <c r="Q343" s="1205"/>
      <c r="R343" s="1205"/>
      <c r="S343" s="1205"/>
      <c r="T343" s="1205"/>
      <c r="U343" s="1205"/>
      <c r="V343" s="1206"/>
      <c r="W343" s="1206"/>
      <c r="X343" s="1206"/>
    </row>
    <row r="344" spans="1:24" ht="15.75" customHeight="1">
      <c r="A344" s="1205"/>
      <c r="B344" s="1205"/>
      <c r="C344" s="1217"/>
      <c r="D344" s="1217"/>
      <c r="E344" s="1217"/>
      <c r="F344" s="1217"/>
      <c r="G344" s="1217"/>
      <c r="H344" s="1217"/>
      <c r="I344" s="1217"/>
      <c r="J344" s="1217"/>
      <c r="K344" s="1217"/>
      <c r="L344" s="1217"/>
      <c r="M344" s="1217"/>
      <c r="N344" s="1217"/>
      <c r="O344" s="1297"/>
      <c r="P344" s="1297"/>
      <c r="Q344" s="1205"/>
      <c r="R344" s="1205"/>
      <c r="S344" s="1205"/>
      <c r="T344" s="1205"/>
      <c r="U344" s="1205"/>
      <c r="V344" s="1206"/>
      <c r="W344" s="1206"/>
      <c r="X344" s="1206"/>
    </row>
    <row r="345" spans="1:24" ht="15.75" customHeight="1">
      <c r="A345" s="1205"/>
      <c r="B345" s="1205"/>
      <c r="C345" s="1217"/>
      <c r="D345" s="1217"/>
      <c r="E345" s="1217"/>
      <c r="F345" s="1217"/>
      <c r="G345" s="1217"/>
      <c r="H345" s="1217"/>
      <c r="I345" s="1217"/>
      <c r="J345" s="1217"/>
      <c r="K345" s="1217"/>
      <c r="L345" s="1217"/>
      <c r="M345" s="1217"/>
      <c r="N345" s="1217"/>
      <c r="O345" s="1297"/>
      <c r="P345" s="1297"/>
      <c r="Q345" s="1205"/>
      <c r="R345" s="1205"/>
      <c r="S345" s="1205"/>
      <c r="T345" s="1205"/>
      <c r="U345" s="1205"/>
      <c r="V345" s="1206"/>
      <c r="W345" s="1206"/>
      <c r="X345" s="1206"/>
    </row>
    <row r="346" spans="1:24" ht="15.75" customHeight="1">
      <c r="A346" s="1205"/>
      <c r="B346" s="1205"/>
      <c r="C346" s="1217"/>
      <c r="D346" s="1217"/>
      <c r="E346" s="1217"/>
      <c r="F346" s="1217"/>
      <c r="G346" s="1217"/>
      <c r="H346" s="1217"/>
      <c r="I346" s="1217"/>
      <c r="J346" s="1217"/>
      <c r="K346" s="1217"/>
      <c r="L346" s="1217"/>
      <c r="M346" s="1217"/>
      <c r="N346" s="1217"/>
      <c r="O346" s="1297"/>
      <c r="P346" s="1297"/>
      <c r="Q346" s="1205"/>
      <c r="R346" s="1205"/>
      <c r="S346" s="1205"/>
      <c r="T346" s="1205"/>
      <c r="U346" s="1205"/>
      <c r="V346" s="1206"/>
      <c r="W346" s="1206"/>
      <c r="X346" s="1206"/>
    </row>
    <row r="347" spans="1:24" ht="15.75" customHeight="1">
      <c r="A347" s="1205"/>
      <c r="B347" s="1205"/>
      <c r="C347" s="1217"/>
      <c r="D347" s="1217"/>
      <c r="E347" s="1217"/>
      <c r="F347" s="1217"/>
      <c r="G347" s="1217"/>
      <c r="H347" s="1217"/>
      <c r="I347" s="1217"/>
      <c r="J347" s="1217"/>
      <c r="K347" s="1217"/>
      <c r="L347" s="1217"/>
      <c r="M347" s="1217"/>
      <c r="N347" s="1217"/>
      <c r="O347" s="1297"/>
      <c r="P347" s="1297"/>
      <c r="Q347" s="1205"/>
      <c r="R347" s="1205"/>
      <c r="S347" s="1205"/>
      <c r="T347" s="1205"/>
      <c r="U347" s="1205"/>
      <c r="V347" s="1206"/>
      <c r="W347" s="1206"/>
      <c r="X347" s="1206"/>
    </row>
    <row r="348" spans="1:24" ht="15.75" customHeight="1">
      <c r="A348" s="1205"/>
      <c r="B348" s="1205"/>
      <c r="C348" s="1217"/>
      <c r="D348" s="1217"/>
      <c r="E348" s="1217"/>
      <c r="F348" s="1217"/>
      <c r="G348" s="1217"/>
      <c r="H348" s="1217"/>
      <c r="I348" s="1217"/>
      <c r="J348" s="1217"/>
      <c r="K348" s="1217"/>
      <c r="L348" s="1217"/>
      <c r="M348" s="1217"/>
      <c r="N348" s="1217"/>
      <c r="O348" s="1297"/>
      <c r="P348" s="1297"/>
      <c r="Q348" s="1205"/>
      <c r="R348" s="1205"/>
      <c r="S348" s="1205"/>
      <c r="T348" s="1205"/>
      <c r="U348" s="1205"/>
      <c r="V348" s="1206"/>
      <c r="W348" s="1206"/>
      <c r="X348" s="1206"/>
    </row>
    <row r="349" spans="1:24" ht="15.75" customHeight="1">
      <c r="A349" s="1205"/>
      <c r="B349" s="1205"/>
      <c r="C349" s="1217"/>
      <c r="D349" s="1217"/>
      <c r="E349" s="1217"/>
      <c r="F349" s="1217"/>
      <c r="G349" s="1217"/>
      <c r="H349" s="1217"/>
      <c r="I349" s="1217"/>
      <c r="J349" s="1217"/>
      <c r="K349" s="1217"/>
      <c r="L349" s="1217"/>
      <c r="M349" s="1217"/>
      <c r="N349" s="1217"/>
      <c r="O349" s="1297"/>
      <c r="P349" s="1297"/>
      <c r="Q349" s="1205"/>
      <c r="R349" s="1205"/>
      <c r="S349" s="1205"/>
      <c r="T349" s="1205"/>
      <c r="U349" s="1205"/>
      <c r="V349" s="1206"/>
      <c r="W349" s="1206"/>
      <c r="X349" s="1206"/>
    </row>
    <row r="350" spans="1:24" ht="15.75" customHeight="1">
      <c r="A350" s="1205"/>
      <c r="B350" s="1205"/>
      <c r="C350" s="1217"/>
      <c r="D350" s="1217"/>
      <c r="E350" s="1217"/>
      <c r="F350" s="1217"/>
      <c r="G350" s="1217"/>
      <c r="H350" s="1217"/>
      <c r="I350" s="1217"/>
      <c r="J350" s="1217"/>
      <c r="K350" s="1217"/>
      <c r="L350" s="1217"/>
      <c r="M350" s="1217"/>
      <c r="N350" s="1217"/>
      <c r="O350" s="1297"/>
      <c r="P350" s="1297"/>
      <c r="Q350" s="1205"/>
      <c r="R350" s="1205"/>
      <c r="S350" s="1205"/>
      <c r="T350" s="1205"/>
      <c r="U350" s="1205"/>
      <c r="V350" s="1206"/>
      <c r="W350" s="1206"/>
      <c r="X350" s="1206"/>
    </row>
    <row r="351" spans="1:24" ht="15.75" customHeight="1">
      <c r="A351" s="1205"/>
      <c r="B351" s="1205"/>
      <c r="C351" s="1217"/>
      <c r="D351" s="1217"/>
      <c r="E351" s="1217"/>
      <c r="F351" s="1217"/>
      <c r="G351" s="1217"/>
      <c r="H351" s="1217"/>
      <c r="I351" s="1217"/>
      <c r="J351" s="1217"/>
      <c r="K351" s="1217"/>
      <c r="L351" s="1217"/>
      <c r="M351" s="1217"/>
      <c r="N351" s="1217"/>
      <c r="O351" s="1297"/>
      <c r="P351" s="1297"/>
      <c r="Q351" s="1205"/>
      <c r="R351" s="1205"/>
      <c r="S351" s="1205"/>
      <c r="T351" s="1205"/>
      <c r="U351" s="1205"/>
      <c r="V351" s="1206"/>
      <c r="W351" s="1206"/>
      <c r="X351" s="1206"/>
    </row>
    <row r="352" spans="1:24" ht="15.75" customHeight="1">
      <c r="A352" s="1205"/>
      <c r="B352" s="1205"/>
      <c r="C352" s="1217"/>
      <c r="D352" s="1217"/>
      <c r="E352" s="1217"/>
      <c r="F352" s="1217"/>
      <c r="G352" s="1217"/>
      <c r="H352" s="1217"/>
      <c r="I352" s="1217"/>
      <c r="J352" s="1217"/>
      <c r="K352" s="1217"/>
      <c r="L352" s="1217"/>
      <c r="M352" s="1217"/>
      <c r="N352" s="1217"/>
      <c r="O352" s="1297"/>
      <c r="P352" s="1297"/>
      <c r="Q352" s="1205"/>
      <c r="R352" s="1205"/>
      <c r="S352" s="1205"/>
      <c r="T352" s="1205"/>
      <c r="U352" s="1205"/>
      <c r="V352" s="1206"/>
      <c r="W352" s="1206"/>
      <c r="X352" s="1206"/>
    </row>
    <row r="353" spans="1:24" ht="15.75" customHeight="1">
      <c r="A353" s="1205"/>
      <c r="B353" s="1205"/>
      <c r="C353" s="1217"/>
      <c r="D353" s="1217"/>
      <c r="E353" s="1217"/>
      <c r="F353" s="1217"/>
      <c r="G353" s="1217"/>
      <c r="H353" s="1217"/>
      <c r="I353" s="1217"/>
      <c r="J353" s="1217"/>
      <c r="K353" s="1217"/>
      <c r="L353" s="1217"/>
      <c r="M353" s="1217"/>
      <c r="N353" s="1217"/>
      <c r="O353" s="1297"/>
      <c r="P353" s="1297"/>
      <c r="Q353" s="1205"/>
      <c r="R353" s="1205"/>
      <c r="S353" s="1205"/>
      <c r="T353" s="1205"/>
      <c r="U353" s="1205"/>
      <c r="V353" s="1206"/>
      <c r="W353" s="1206"/>
      <c r="X353" s="1206"/>
    </row>
    <row r="354" spans="1:24" ht="15.75" customHeight="1">
      <c r="A354" s="1205"/>
      <c r="B354" s="1205"/>
      <c r="C354" s="1217"/>
      <c r="D354" s="1217"/>
      <c r="E354" s="1217"/>
      <c r="F354" s="1217"/>
      <c r="G354" s="1217"/>
      <c r="H354" s="1217"/>
      <c r="I354" s="1217"/>
      <c r="J354" s="1217"/>
      <c r="K354" s="1217"/>
      <c r="L354" s="1217"/>
      <c r="M354" s="1217"/>
      <c r="N354" s="1217"/>
      <c r="O354" s="1297"/>
      <c r="P354" s="1297"/>
      <c r="Q354" s="1205"/>
      <c r="R354" s="1205"/>
      <c r="S354" s="1205"/>
      <c r="T354" s="1205"/>
      <c r="U354" s="1205"/>
      <c r="V354" s="1206"/>
      <c r="W354" s="1206"/>
      <c r="X354" s="1206"/>
    </row>
    <row r="355" spans="1:24" ht="15.75" customHeight="1">
      <c r="A355" s="1205"/>
      <c r="B355" s="1205"/>
      <c r="C355" s="1217"/>
      <c r="D355" s="1217"/>
      <c r="E355" s="1217"/>
      <c r="F355" s="1217"/>
      <c r="G355" s="1217"/>
      <c r="H355" s="1217"/>
      <c r="I355" s="1217"/>
      <c r="J355" s="1217"/>
      <c r="K355" s="1217"/>
      <c r="L355" s="1217"/>
      <c r="M355" s="1217"/>
      <c r="N355" s="1217"/>
      <c r="O355" s="1297"/>
      <c r="P355" s="1297"/>
      <c r="Q355" s="1205"/>
      <c r="R355" s="1205"/>
      <c r="S355" s="1205"/>
      <c r="T355" s="1205"/>
      <c r="U355" s="1205"/>
      <c r="V355" s="1206"/>
      <c r="W355" s="1206"/>
      <c r="X355" s="1206"/>
    </row>
    <row r="356" spans="1:24" ht="15.75" customHeight="1">
      <c r="A356" s="1205"/>
      <c r="B356" s="1205"/>
      <c r="C356" s="1217"/>
      <c r="D356" s="1217"/>
      <c r="E356" s="1217"/>
      <c r="F356" s="1217"/>
      <c r="G356" s="1217"/>
      <c r="H356" s="1217"/>
      <c r="I356" s="1217"/>
      <c r="J356" s="1217"/>
      <c r="K356" s="1217"/>
      <c r="L356" s="1217"/>
      <c r="M356" s="1217"/>
      <c r="N356" s="1217"/>
      <c r="O356" s="1297"/>
      <c r="P356" s="1297"/>
      <c r="Q356" s="1205"/>
      <c r="R356" s="1205"/>
      <c r="S356" s="1205"/>
      <c r="T356" s="1205"/>
      <c r="U356" s="1205"/>
      <c r="V356" s="1206"/>
      <c r="W356" s="1206"/>
      <c r="X356" s="1206"/>
    </row>
    <row r="357" spans="1:24" ht="15.75" customHeight="1">
      <c r="A357" s="1205"/>
      <c r="B357" s="1205"/>
      <c r="C357" s="1217"/>
      <c r="D357" s="1217"/>
      <c r="E357" s="1217"/>
      <c r="F357" s="1217"/>
      <c r="G357" s="1217"/>
      <c r="H357" s="1217"/>
      <c r="I357" s="1217"/>
      <c r="J357" s="1217"/>
      <c r="K357" s="1217"/>
      <c r="L357" s="1217"/>
      <c r="M357" s="1217"/>
      <c r="N357" s="1217"/>
      <c r="O357" s="1297"/>
      <c r="P357" s="1297"/>
      <c r="Q357" s="1205"/>
      <c r="R357" s="1205"/>
      <c r="S357" s="1205"/>
      <c r="T357" s="1205"/>
      <c r="U357" s="1205"/>
      <c r="V357" s="1206"/>
      <c r="W357" s="1206"/>
      <c r="X357" s="1206"/>
    </row>
    <row r="358" spans="1:24" ht="15.75" customHeight="1">
      <c r="A358" s="1205"/>
      <c r="B358" s="1205"/>
      <c r="C358" s="1217"/>
      <c r="D358" s="1217"/>
      <c r="E358" s="1217"/>
      <c r="F358" s="1217"/>
      <c r="G358" s="1217"/>
      <c r="H358" s="1217"/>
      <c r="I358" s="1217"/>
      <c r="J358" s="1217"/>
      <c r="K358" s="1217"/>
      <c r="L358" s="1217"/>
      <c r="M358" s="1217"/>
      <c r="N358" s="1217"/>
      <c r="O358" s="1297"/>
      <c r="P358" s="1297"/>
      <c r="Q358" s="1205"/>
      <c r="R358" s="1205"/>
      <c r="S358" s="1205"/>
      <c r="T358" s="1205"/>
      <c r="U358" s="1205"/>
      <c r="V358" s="1206"/>
      <c r="W358" s="1206"/>
      <c r="X358" s="1206"/>
    </row>
    <row r="359" spans="1:24" ht="15.75" customHeight="1">
      <c r="A359" s="1205"/>
      <c r="B359" s="1205"/>
      <c r="C359" s="1217"/>
      <c r="D359" s="1217"/>
      <c r="E359" s="1217"/>
      <c r="F359" s="1217"/>
      <c r="G359" s="1217"/>
      <c r="H359" s="1217"/>
      <c r="I359" s="1217"/>
      <c r="J359" s="1217"/>
      <c r="K359" s="1217"/>
      <c r="L359" s="1217"/>
      <c r="M359" s="1217"/>
      <c r="N359" s="1217"/>
      <c r="O359" s="1297"/>
      <c r="P359" s="1297"/>
      <c r="Q359" s="1205"/>
      <c r="R359" s="1205"/>
      <c r="S359" s="1205"/>
      <c r="T359" s="1205"/>
      <c r="U359" s="1205"/>
      <c r="V359" s="1206"/>
      <c r="W359" s="1206"/>
      <c r="X359" s="1206"/>
    </row>
    <row r="360" spans="1:24" ht="15.75" customHeight="1">
      <c r="A360" s="1205"/>
      <c r="B360" s="1205"/>
      <c r="C360" s="1217"/>
      <c r="D360" s="1217"/>
      <c r="E360" s="1217"/>
      <c r="F360" s="1217"/>
      <c r="G360" s="1217"/>
      <c r="H360" s="1217"/>
      <c r="I360" s="1217"/>
      <c r="J360" s="1217"/>
      <c r="K360" s="1217"/>
      <c r="L360" s="1217"/>
      <c r="M360" s="1217"/>
      <c r="N360" s="1217"/>
      <c r="O360" s="1205"/>
      <c r="P360" s="1205"/>
      <c r="Q360" s="1205"/>
      <c r="R360" s="1205"/>
      <c r="S360" s="1205"/>
      <c r="T360" s="1205"/>
      <c r="U360" s="1205"/>
      <c r="V360" s="1206"/>
      <c r="W360" s="1206"/>
      <c r="X360" s="1206"/>
    </row>
    <row r="361" spans="1:24" ht="15.75" customHeight="1">
      <c r="A361" s="1205"/>
      <c r="B361" s="1205"/>
      <c r="C361" s="1217"/>
      <c r="D361" s="1217"/>
      <c r="E361" s="1217"/>
      <c r="F361" s="1217"/>
      <c r="G361" s="1217"/>
      <c r="H361" s="1217"/>
      <c r="I361" s="1217"/>
      <c r="J361" s="1217"/>
      <c r="K361" s="1217"/>
      <c r="L361" s="1217"/>
      <c r="M361" s="1217"/>
      <c r="N361" s="1217"/>
      <c r="O361" s="1205"/>
      <c r="P361" s="1205"/>
      <c r="Q361" s="1205"/>
      <c r="R361" s="1205"/>
      <c r="S361" s="1205"/>
      <c r="T361" s="1205"/>
      <c r="U361" s="1205"/>
      <c r="V361" s="1206"/>
      <c r="W361" s="1206"/>
      <c r="X361" s="1206"/>
    </row>
    <row r="362" spans="1:24" ht="15.75" customHeight="1">
      <c r="A362" s="1205"/>
      <c r="B362" s="1205"/>
      <c r="C362" s="1217"/>
      <c r="D362" s="1217"/>
      <c r="E362" s="1217"/>
      <c r="F362" s="1217"/>
      <c r="G362" s="1217"/>
      <c r="H362" s="1217"/>
      <c r="I362" s="1217"/>
      <c r="J362" s="1217"/>
      <c r="K362" s="1217"/>
      <c r="L362" s="1217"/>
      <c r="M362" s="1217"/>
      <c r="N362" s="1217"/>
      <c r="O362" s="1205"/>
      <c r="P362" s="1205"/>
      <c r="Q362" s="1205"/>
      <c r="R362" s="1205"/>
      <c r="S362" s="1205"/>
      <c r="T362" s="1205"/>
      <c r="U362" s="1205"/>
      <c r="V362" s="1206"/>
      <c r="W362" s="1206"/>
      <c r="X362" s="1206"/>
    </row>
    <row r="363" spans="1:24" ht="15.75" customHeight="1">
      <c r="A363" s="1205"/>
      <c r="B363" s="1205"/>
      <c r="C363" s="1217"/>
      <c r="D363" s="1217"/>
      <c r="E363" s="1217"/>
      <c r="F363" s="1217"/>
      <c r="G363" s="1217"/>
      <c r="H363" s="1217"/>
      <c r="I363" s="1217"/>
      <c r="J363" s="1217"/>
      <c r="K363" s="1217"/>
      <c r="L363" s="1217"/>
      <c r="M363" s="1217"/>
      <c r="N363" s="1217"/>
      <c r="O363" s="1205"/>
      <c r="P363" s="1205"/>
      <c r="Q363" s="1205"/>
      <c r="R363" s="1205"/>
      <c r="S363" s="1205"/>
      <c r="T363" s="1205"/>
      <c r="U363" s="1205"/>
      <c r="V363" s="1206"/>
      <c r="W363" s="1206"/>
      <c r="X363" s="1206"/>
    </row>
    <row r="364" spans="1:24" ht="15.75" customHeight="1">
      <c r="A364" s="1205"/>
      <c r="B364" s="1205"/>
      <c r="C364" s="1217"/>
      <c r="D364" s="1217"/>
      <c r="E364" s="1217"/>
      <c r="F364" s="1217"/>
      <c r="G364" s="1217"/>
      <c r="H364" s="1217"/>
      <c r="I364" s="1217"/>
      <c r="J364" s="1217"/>
      <c r="K364" s="1217"/>
      <c r="L364" s="1217"/>
      <c r="M364" s="1217"/>
      <c r="N364" s="1217"/>
      <c r="O364" s="1205"/>
      <c r="P364" s="1205"/>
      <c r="Q364" s="1205"/>
      <c r="R364" s="1205"/>
      <c r="S364" s="1205"/>
      <c r="T364" s="1205"/>
      <c r="U364" s="1205"/>
      <c r="V364" s="1206"/>
      <c r="W364" s="1206"/>
      <c r="X364" s="1206"/>
    </row>
    <row r="365" spans="1:24" ht="15.75" customHeight="1">
      <c r="A365" s="1205"/>
      <c r="B365" s="1205"/>
      <c r="C365" s="1217"/>
      <c r="D365" s="1217"/>
      <c r="E365" s="1217"/>
      <c r="F365" s="1217"/>
      <c r="G365" s="1217"/>
      <c r="H365" s="1217"/>
      <c r="I365" s="1217"/>
      <c r="J365" s="1217"/>
      <c r="K365" s="1217"/>
      <c r="L365" s="1217"/>
      <c r="M365" s="1217"/>
      <c r="N365" s="1217"/>
      <c r="O365" s="1205"/>
      <c r="P365" s="1205"/>
      <c r="Q365" s="1205"/>
      <c r="R365" s="1205"/>
      <c r="S365" s="1205"/>
      <c r="T365" s="1205"/>
      <c r="U365" s="1205"/>
      <c r="V365" s="1206"/>
      <c r="W365" s="1206"/>
      <c r="X365" s="1206"/>
    </row>
    <row r="366" spans="1:24" ht="15.75" customHeight="1">
      <c r="A366" s="1205"/>
      <c r="B366" s="1205"/>
      <c r="C366" s="1217"/>
      <c r="D366" s="1217"/>
      <c r="E366" s="1217"/>
      <c r="F366" s="1217"/>
      <c r="G366" s="1217"/>
      <c r="H366" s="1217"/>
      <c r="I366" s="1217"/>
      <c r="J366" s="1217"/>
      <c r="K366" s="1217"/>
      <c r="L366" s="1217"/>
      <c r="M366" s="1217"/>
      <c r="N366" s="1217"/>
      <c r="O366" s="1205"/>
      <c r="P366" s="1205"/>
      <c r="Q366" s="1205"/>
      <c r="R366" s="1205"/>
      <c r="S366" s="1205"/>
      <c r="T366" s="1205"/>
      <c r="U366" s="1205"/>
      <c r="V366" s="1206"/>
      <c r="W366" s="1206"/>
      <c r="X366" s="1206"/>
    </row>
    <row r="367" spans="1:24" ht="15.75" customHeight="1">
      <c r="A367" s="1205"/>
      <c r="B367" s="1205"/>
      <c r="C367" s="1217"/>
      <c r="D367" s="1217"/>
      <c r="E367" s="1217"/>
      <c r="F367" s="1217"/>
      <c r="G367" s="1217"/>
      <c r="H367" s="1217"/>
      <c r="I367" s="1217"/>
      <c r="J367" s="1217"/>
      <c r="K367" s="1217"/>
      <c r="L367" s="1217"/>
      <c r="M367" s="1217"/>
      <c r="N367" s="1217"/>
      <c r="O367" s="1205"/>
      <c r="P367" s="1205"/>
      <c r="Q367" s="1205"/>
      <c r="R367" s="1205"/>
      <c r="S367" s="1205"/>
      <c r="T367" s="1205"/>
      <c r="U367" s="1205"/>
      <c r="V367" s="1206"/>
      <c r="W367" s="1206"/>
      <c r="X367" s="1206"/>
    </row>
    <row r="368" spans="1:24" ht="15.75" customHeight="1">
      <c r="A368" s="1205"/>
      <c r="B368" s="1205"/>
      <c r="C368" s="1217"/>
      <c r="D368" s="1217"/>
      <c r="E368" s="1217"/>
      <c r="F368" s="1217"/>
      <c r="G368" s="1217"/>
      <c r="H368" s="1217"/>
      <c r="I368" s="1217"/>
      <c r="J368" s="1217"/>
      <c r="K368" s="1217"/>
      <c r="L368" s="1217"/>
      <c r="M368" s="1217"/>
      <c r="N368" s="1217"/>
      <c r="O368" s="1205"/>
      <c r="P368" s="1205"/>
      <c r="Q368" s="1205"/>
      <c r="R368" s="1205"/>
      <c r="S368" s="1205"/>
      <c r="T368" s="1205"/>
      <c r="U368" s="1205"/>
      <c r="V368" s="1206"/>
      <c r="W368" s="1206"/>
      <c r="X368" s="1206"/>
    </row>
    <row r="369" spans="1:24" ht="15.75" customHeight="1">
      <c r="A369" s="1205"/>
      <c r="B369" s="1205"/>
      <c r="C369" s="1217"/>
      <c r="D369" s="1217"/>
      <c r="E369" s="1217"/>
      <c r="F369" s="1217"/>
      <c r="G369" s="1217"/>
      <c r="H369" s="1217"/>
      <c r="I369" s="1217"/>
      <c r="J369" s="1217"/>
      <c r="K369" s="1217"/>
      <c r="L369" s="1217"/>
      <c r="M369" s="1217"/>
      <c r="N369" s="1217"/>
      <c r="O369" s="1205"/>
      <c r="P369" s="1205"/>
      <c r="Q369" s="1205"/>
      <c r="R369" s="1205"/>
      <c r="S369" s="1205"/>
      <c r="T369" s="1205"/>
      <c r="U369" s="1205"/>
      <c r="V369" s="1206"/>
      <c r="W369" s="1206"/>
      <c r="X369" s="1206"/>
    </row>
    <row r="370" spans="1:24" ht="15.75" customHeight="1">
      <c r="A370" s="1205"/>
      <c r="B370" s="1205"/>
      <c r="C370" s="1217"/>
      <c r="D370" s="1217"/>
      <c r="E370" s="1217"/>
      <c r="F370" s="1217"/>
      <c r="G370" s="1217"/>
      <c r="H370" s="1217"/>
      <c r="I370" s="1217"/>
      <c r="J370" s="1217"/>
      <c r="K370" s="1217"/>
      <c r="L370" s="1217"/>
      <c r="M370" s="1217"/>
      <c r="N370" s="1217"/>
      <c r="O370" s="1205"/>
      <c r="P370" s="1205"/>
      <c r="Q370" s="1205"/>
      <c r="R370" s="1205"/>
      <c r="S370" s="1205"/>
      <c r="T370" s="1205"/>
      <c r="U370" s="1205"/>
      <c r="V370" s="1206"/>
      <c r="W370" s="1206"/>
      <c r="X370" s="1206"/>
    </row>
    <row r="371" spans="1:24" ht="15.75" customHeight="1">
      <c r="A371" s="1205"/>
      <c r="B371" s="1205"/>
      <c r="C371" s="1217"/>
      <c r="D371" s="1217"/>
      <c r="E371" s="1217"/>
      <c r="F371" s="1217"/>
      <c r="G371" s="1217"/>
      <c r="H371" s="1217"/>
      <c r="I371" s="1217"/>
      <c r="J371" s="1217"/>
      <c r="K371" s="1217"/>
      <c r="L371" s="1217"/>
      <c r="M371" s="1217"/>
      <c r="N371" s="1217"/>
      <c r="O371" s="1205"/>
      <c r="P371" s="1205"/>
      <c r="Q371" s="1205"/>
      <c r="R371" s="1205"/>
      <c r="S371" s="1205"/>
      <c r="T371" s="1205"/>
      <c r="U371" s="1205"/>
      <c r="V371" s="1206"/>
      <c r="W371" s="1206"/>
      <c r="X371" s="1206"/>
    </row>
    <row r="372" spans="1:24" ht="15.75" customHeight="1">
      <c r="A372" s="1205"/>
      <c r="B372" s="1205"/>
      <c r="C372" s="1217"/>
      <c r="D372" s="1217"/>
      <c r="E372" s="1217"/>
      <c r="F372" s="1217"/>
      <c r="G372" s="1217"/>
      <c r="H372" s="1217"/>
      <c r="I372" s="1217"/>
      <c r="J372" s="1217"/>
      <c r="K372" s="1217"/>
      <c r="L372" s="1217"/>
      <c r="M372" s="1217"/>
      <c r="N372" s="1217"/>
      <c r="O372" s="1205"/>
      <c r="P372" s="1205"/>
      <c r="Q372" s="1205"/>
      <c r="R372" s="1205"/>
      <c r="S372" s="1205"/>
      <c r="T372" s="1205"/>
      <c r="U372" s="1205"/>
      <c r="V372" s="1206"/>
      <c r="W372" s="1206"/>
      <c r="X372" s="1206"/>
    </row>
    <row r="373" spans="1:24" ht="15.75" customHeight="1">
      <c r="A373" s="1205"/>
      <c r="B373" s="1205"/>
      <c r="C373" s="1217"/>
      <c r="D373" s="1217"/>
      <c r="E373" s="1217"/>
      <c r="F373" s="1217"/>
      <c r="G373" s="1217"/>
      <c r="H373" s="1217"/>
      <c r="I373" s="1217"/>
      <c r="J373" s="1217"/>
      <c r="K373" s="1217"/>
      <c r="L373" s="1217"/>
      <c r="M373" s="1217"/>
      <c r="N373" s="1217"/>
      <c r="O373" s="1205"/>
      <c r="P373" s="1205"/>
      <c r="Q373" s="1205"/>
      <c r="R373" s="1205"/>
      <c r="S373" s="1205"/>
      <c r="T373" s="1205"/>
      <c r="U373" s="1205"/>
      <c r="V373" s="1206"/>
      <c r="W373" s="1206"/>
      <c r="X373" s="1206"/>
    </row>
    <row r="374" spans="1:24" ht="15.75" customHeight="1">
      <c r="A374" s="1205"/>
      <c r="B374" s="1205"/>
      <c r="C374" s="1217"/>
      <c r="D374" s="1217"/>
      <c r="E374" s="1217"/>
      <c r="F374" s="1217"/>
      <c r="G374" s="1217"/>
      <c r="H374" s="1217"/>
      <c r="I374" s="1217"/>
      <c r="J374" s="1217"/>
      <c r="K374" s="1217"/>
      <c r="L374" s="1217"/>
      <c r="M374" s="1217"/>
      <c r="N374" s="1217"/>
      <c r="O374" s="1205"/>
      <c r="P374" s="1205"/>
      <c r="Q374" s="1205"/>
      <c r="R374" s="1205"/>
      <c r="S374" s="1205"/>
      <c r="T374" s="1205"/>
      <c r="U374" s="1205"/>
      <c r="V374" s="1206"/>
      <c r="W374" s="1206"/>
      <c r="X374" s="1206"/>
    </row>
    <row r="375" spans="1:24" ht="15.75" customHeight="1">
      <c r="A375" s="1205"/>
      <c r="B375" s="1205"/>
      <c r="C375" s="1217"/>
      <c r="D375" s="1217"/>
      <c r="E375" s="1217"/>
      <c r="F375" s="1217"/>
      <c r="G375" s="1217"/>
      <c r="H375" s="1217"/>
      <c r="I375" s="1217"/>
      <c r="J375" s="1217"/>
      <c r="K375" s="1217"/>
      <c r="L375" s="1217"/>
      <c r="M375" s="1217"/>
      <c r="N375" s="1217"/>
      <c r="O375" s="1205"/>
      <c r="P375" s="1205"/>
      <c r="Q375" s="1205"/>
      <c r="R375" s="1205"/>
      <c r="S375" s="1205"/>
      <c r="T375" s="1205"/>
      <c r="U375" s="1205"/>
      <c r="V375" s="1206"/>
      <c r="W375" s="1206"/>
      <c r="X375" s="1206"/>
    </row>
    <row r="376" spans="1:24" ht="15.75" customHeight="1">
      <c r="A376" s="1205"/>
      <c r="B376" s="1205"/>
      <c r="C376" s="1217"/>
      <c r="D376" s="1217"/>
      <c r="E376" s="1217"/>
      <c r="F376" s="1217"/>
      <c r="G376" s="1217"/>
      <c r="H376" s="1217"/>
      <c r="I376" s="1217"/>
      <c r="J376" s="1217"/>
      <c r="K376" s="1217"/>
      <c r="L376" s="1217"/>
      <c r="M376" s="1217"/>
      <c r="N376" s="1217"/>
      <c r="O376" s="1205"/>
      <c r="P376" s="1205"/>
      <c r="Q376" s="1205"/>
      <c r="R376" s="1205"/>
      <c r="S376" s="1205"/>
      <c r="T376" s="1205"/>
      <c r="U376" s="1205"/>
      <c r="V376" s="1206"/>
      <c r="W376" s="1206"/>
      <c r="X376" s="1206"/>
    </row>
    <row r="377" spans="1:24" ht="15.75" customHeight="1">
      <c r="A377" s="1205"/>
      <c r="B377" s="1205"/>
      <c r="C377" s="1217"/>
      <c r="D377" s="1217"/>
      <c r="E377" s="1217"/>
      <c r="F377" s="1217"/>
      <c r="G377" s="1217"/>
      <c r="H377" s="1217"/>
      <c r="I377" s="1217"/>
      <c r="J377" s="1217"/>
      <c r="K377" s="1217"/>
      <c r="L377" s="1217"/>
      <c r="M377" s="1217"/>
      <c r="N377" s="1217"/>
      <c r="O377" s="1205"/>
      <c r="P377" s="1205"/>
      <c r="Q377" s="1205"/>
      <c r="R377" s="1205"/>
      <c r="S377" s="1205"/>
      <c r="T377" s="1205"/>
      <c r="U377" s="1205"/>
      <c r="V377" s="1206"/>
      <c r="W377" s="1206"/>
      <c r="X377" s="1206"/>
    </row>
    <row r="378" spans="1:24" ht="15.75" customHeight="1">
      <c r="A378" s="1205"/>
      <c r="B378" s="1205"/>
      <c r="C378" s="1217"/>
      <c r="D378" s="1217"/>
      <c r="E378" s="1217"/>
      <c r="F378" s="1217"/>
      <c r="G378" s="1217"/>
      <c r="H378" s="1217"/>
      <c r="I378" s="1217"/>
      <c r="J378" s="1217"/>
      <c r="K378" s="1217"/>
      <c r="L378" s="1217"/>
      <c r="M378" s="1217"/>
      <c r="N378" s="1217"/>
      <c r="O378" s="1205"/>
      <c r="P378" s="1205"/>
      <c r="Q378" s="1205"/>
      <c r="R378" s="1205"/>
      <c r="S378" s="1205"/>
      <c r="T378" s="1205"/>
      <c r="U378" s="1205"/>
      <c r="V378" s="1206"/>
      <c r="W378" s="1206"/>
      <c r="X378" s="1206"/>
    </row>
    <row r="379" spans="1:24" ht="15.75" customHeight="1">
      <c r="A379" s="1205"/>
      <c r="B379" s="1205"/>
      <c r="C379" s="1217"/>
      <c r="D379" s="1217"/>
      <c r="E379" s="1217"/>
      <c r="F379" s="1217"/>
      <c r="G379" s="1217"/>
      <c r="H379" s="1217"/>
      <c r="I379" s="1217"/>
      <c r="J379" s="1217"/>
      <c r="K379" s="1217"/>
      <c r="L379" s="1217"/>
      <c r="M379" s="1217"/>
      <c r="N379" s="1217"/>
      <c r="O379" s="1205"/>
      <c r="P379" s="1205"/>
      <c r="Q379" s="1205"/>
      <c r="R379" s="1205"/>
      <c r="S379" s="1205"/>
      <c r="T379" s="1205"/>
      <c r="U379" s="1205"/>
      <c r="V379" s="1206"/>
      <c r="W379" s="1206"/>
      <c r="X379" s="1206"/>
    </row>
    <row r="380" spans="1:24" ht="15.75" customHeight="1">
      <c r="A380" s="1205"/>
      <c r="B380" s="1205"/>
      <c r="C380" s="1217"/>
      <c r="D380" s="1217"/>
      <c r="E380" s="1217"/>
      <c r="F380" s="1217"/>
      <c r="G380" s="1217"/>
      <c r="H380" s="1217"/>
      <c r="I380" s="1217"/>
      <c r="J380" s="1217"/>
      <c r="K380" s="1217"/>
      <c r="L380" s="1217"/>
      <c r="M380" s="1217"/>
      <c r="N380" s="1217"/>
      <c r="O380" s="1205"/>
      <c r="P380" s="1205"/>
      <c r="Q380" s="1205"/>
      <c r="R380" s="1205"/>
      <c r="S380" s="1205"/>
      <c r="T380" s="1205"/>
      <c r="U380" s="1205"/>
      <c r="V380" s="1206"/>
      <c r="W380" s="1206"/>
      <c r="X380" s="1206"/>
    </row>
    <row r="381" spans="1:24" ht="15.75" customHeight="1">
      <c r="A381" s="1205"/>
      <c r="B381" s="1205"/>
      <c r="C381" s="1217"/>
      <c r="D381" s="1217"/>
      <c r="E381" s="1217"/>
      <c r="F381" s="1217"/>
      <c r="G381" s="1217"/>
      <c r="H381" s="1217"/>
      <c r="I381" s="1217"/>
      <c r="J381" s="1217"/>
      <c r="K381" s="1217"/>
      <c r="L381" s="1217"/>
      <c r="M381" s="1217"/>
      <c r="N381" s="1217"/>
      <c r="O381" s="1205"/>
      <c r="P381" s="1205"/>
      <c r="Q381" s="1205"/>
      <c r="R381" s="1205"/>
      <c r="S381" s="1205"/>
      <c r="T381" s="1205"/>
      <c r="U381" s="1205"/>
      <c r="V381" s="1206"/>
      <c r="W381" s="1206"/>
      <c r="X381" s="1206"/>
    </row>
    <row r="382" spans="1:24" ht="15.75" customHeight="1">
      <c r="A382" s="1205"/>
      <c r="B382" s="1205"/>
      <c r="C382" s="1217"/>
      <c r="D382" s="1217"/>
      <c r="E382" s="1217"/>
      <c r="F382" s="1217"/>
      <c r="G382" s="1217"/>
      <c r="H382" s="1217"/>
      <c r="I382" s="1217"/>
      <c r="J382" s="1217"/>
      <c r="K382" s="1217"/>
      <c r="L382" s="1217"/>
      <c r="M382" s="1217"/>
      <c r="N382" s="1217"/>
      <c r="O382" s="1205"/>
      <c r="P382" s="1205"/>
      <c r="Q382" s="1205"/>
      <c r="R382" s="1205"/>
      <c r="S382" s="1205"/>
      <c r="T382" s="1205"/>
      <c r="U382" s="1205"/>
      <c r="V382" s="1206"/>
      <c r="W382" s="1206"/>
      <c r="X382" s="1206"/>
    </row>
    <row r="383" spans="1:24" ht="15.75" customHeight="1">
      <c r="A383" s="1205"/>
      <c r="B383" s="1205"/>
      <c r="C383" s="1217"/>
      <c r="D383" s="1217"/>
      <c r="E383" s="1217"/>
      <c r="F383" s="1217"/>
      <c r="G383" s="1217"/>
      <c r="H383" s="1217"/>
      <c r="I383" s="1217"/>
      <c r="J383" s="1217"/>
      <c r="K383" s="1217"/>
      <c r="L383" s="1217"/>
      <c r="M383" s="1217"/>
      <c r="N383" s="1217"/>
      <c r="O383" s="1205"/>
      <c r="P383" s="1205"/>
      <c r="Q383" s="1205"/>
      <c r="R383" s="1205"/>
      <c r="S383" s="1205"/>
      <c r="T383" s="1205"/>
      <c r="U383" s="1205"/>
      <c r="V383" s="1206"/>
      <c r="W383" s="1206"/>
      <c r="X383" s="1206"/>
    </row>
    <row r="384" spans="1:24" ht="15.75" customHeight="1">
      <c r="A384" s="1205"/>
      <c r="B384" s="1205"/>
      <c r="C384" s="1217"/>
      <c r="D384" s="1217"/>
      <c r="E384" s="1217"/>
      <c r="F384" s="1217"/>
      <c r="G384" s="1217"/>
      <c r="H384" s="1217"/>
      <c r="I384" s="1217"/>
      <c r="J384" s="1217"/>
      <c r="K384" s="1217"/>
      <c r="L384" s="1217"/>
      <c r="M384" s="1217"/>
      <c r="N384" s="1217"/>
      <c r="O384" s="1205"/>
      <c r="P384" s="1205"/>
      <c r="Q384" s="1205"/>
      <c r="R384" s="1205"/>
      <c r="S384" s="1205"/>
      <c r="T384" s="1205"/>
      <c r="U384" s="1205"/>
      <c r="V384" s="1206"/>
      <c r="W384" s="1206"/>
      <c r="X384" s="1206"/>
    </row>
    <row r="385" spans="1:24" ht="15.75" customHeight="1">
      <c r="A385" s="1205"/>
      <c r="B385" s="1205"/>
      <c r="C385" s="1217"/>
      <c r="D385" s="1217"/>
      <c r="E385" s="1217"/>
      <c r="F385" s="1217"/>
      <c r="G385" s="1217"/>
      <c r="H385" s="1217"/>
      <c r="I385" s="1217"/>
      <c r="J385" s="1217"/>
      <c r="K385" s="1217"/>
      <c r="L385" s="1217"/>
      <c r="M385" s="1217"/>
      <c r="N385" s="1217"/>
      <c r="O385" s="1205"/>
      <c r="P385" s="1205"/>
      <c r="Q385" s="1205"/>
      <c r="R385" s="1205"/>
      <c r="S385" s="1205"/>
      <c r="T385" s="1205"/>
      <c r="U385" s="1205"/>
      <c r="V385" s="1206"/>
      <c r="W385" s="1206"/>
      <c r="X385" s="1206"/>
    </row>
    <row r="386" spans="1:24" ht="15.75" customHeight="1">
      <c r="A386" s="1205"/>
      <c r="B386" s="1205"/>
      <c r="C386" s="1217"/>
      <c r="D386" s="1217"/>
      <c r="E386" s="1217"/>
      <c r="F386" s="1217"/>
      <c r="G386" s="1217"/>
      <c r="H386" s="1217"/>
      <c r="I386" s="1217"/>
      <c r="J386" s="1217"/>
      <c r="K386" s="1217"/>
      <c r="L386" s="1217"/>
      <c r="M386" s="1217"/>
      <c r="N386" s="1217"/>
      <c r="O386" s="1205"/>
      <c r="P386" s="1205"/>
      <c r="Q386" s="1205"/>
      <c r="R386" s="1205"/>
      <c r="S386" s="1205"/>
      <c r="T386" s="1205"/>
      <c r="U386" s="1205"/>
      <c r="V386" s="1206"/>
      <c r="W386" s="1206"/>
      <c r="X386" s="1206"/>
    </row>
    <row r="387" spans="1:24" ht="15.75" customHeight="1">
      <c r="A387" s="1205"/>
      <c r="B387" s="1205"/>
      <c r="C387" s="1217"/>
      <c r="D387" s="1217"/>
      <c r="E387" s="1217"/>
      <c r="F387" s="1217"/>
      <c r="G387" s="1217"/>
      <c r="H387" s="1217"/>
      <c r="I387" s="1217"/>
      <c r="J387" s="1217"/>
      <c r="K387" s="1217"/>
      <c r="L387" s="1217"/>
      <c r="M387" s="1217"/>
      <c r="N387" s="1217"/>
      <c r="O387" s="1205"/>
      <c r="P387" s="1205"/>
      <c r="Q387" s="1205"/>
      <c r="R387" s="1205"/>
      <c r="S387" s="1205"/>
      <c r="T387" s="1205"/>
      <c r="U387" s="1205"/>
      <c r="V387" s="1206"/>
      <c r="W387" s="1206"/>
      <c r="X387" s="1206"/>
    </row>
    <row r="388" spans="1:24" ht="15.75" customHeight="1">
      <c r="A388" s="1205"/>
      <c r="B388" s="1205"/>
      <c r="C388" s="1217"/>
      <c r="D388" s="1217"/>
      <c r="E388" s="1217"/>
      <c r="F388" s="1217"/>
      <c r="G388" s="1217"/>
      <c r="H388" s="1217"/>
      <c r="I388" s="1217"/>
      <c r="J388" s="1217"/>
      <c r="K388" s="1217"/>
      <c r="L388" s="1217"/>
      <c r="M388" s="1217"/>
      <c r="N388" s="1217"/>
      <c r="O388" s="1205"/>
      <c r="P388" s="1205"/>
      <c r="Q388" s="1205"/>
      <c r="R388" s="1205"/>
      <c r="S388" s="1205"/>
      <c r="T388" s="1205"/>
      <c r="U388" s="1205"/>
      <c r="V388" s="1206"/>
      <c r="W388" s="1206"/>
      <c r="X388" s="1206"/>
    </row>
    <row r="389" spans="1:24" ht="15.75" customHeight="1">
      <c r="A389" s="1205"/>
      <c r="B389" s="1205"/>
      <c r="C389" s="1217"/>
      <c r="D389" s="1217"/>
      <c r="E389" s="1217"/>
      <c r="F389" s="1217"/>
      <c r="G389" s="1217"/>
      <c r="H389" s="1217"/>
      <c r="I389" s="1217"/>
      <c r="J389" s="1217"/>
      <c r="K389" s="1217"/>
      <c r="L389" s="1217"/>
      <c r="M389" s="1217"/>
      <c r="N389" s="1217"/>
      <c r="O389" s="1205"/>
      <c r="P389" s="1205"/>
      <c r="Q389" s="1205"/>
      <c r="R389" s="1205"/>
      <c r="S389" s="1205"/>
      <c r="T389" s="1205"/>
      <c r="U389" s="1205"/>
      <c r="V389" s="1206"/>
      <c r="W389" s="1206"/>
      <c r="X389" s="1206"/>
    </row>
    <row r="390" spans="1:24" ht="15.75" customHeight="1">
      <c r="A390" s="1205"/>
      <c r="B390" s="1205"/>
      <c r="C390" s="1217"/>
      <c r="D390" s="1217"/>
      <c r="E390" s="1217"/>
      <c r="F390" s="1217"/>
      <c r="G390" s="1217"/>
      <c r="H390" s="1217"/>
      <c r="I390" s="1217"/>
      <c r="J390" s="1217"/>
      <c r="K390" s="1217"/>
      <c r="L390" s="1217"/>
      <c r="M390" s="1217"/>
      <c r="N390" s="1217"/>
      <c r="O390" s="1205"/>
      <c r="P390" s="1205"/>
      <c r="Q390" s="1205"/>
      <c r="R390" s="1205"/>
      <c r="S390" s="1205"/>
      <c r="T390" s="1205"/>
      <c r="U390" s="1205"/>
      <c r="V390" s="1206"/>
      <c r="W390" s="1206"/>
      <c r="X390" s="1206"/>
    </row>
    <row r="391" spans="1:24" ht="15.75" customHeight="1">
      <c r="A391" s="1205"/>
      <c r="B391" s="1205"/>
      <c r="C391" s="1217"/>
      <c r="D391" s="1217"/>
      <c r="E391" s="1217"/>
      <c r="F391" s="1217"/>
      <c r="G391" s="1217"/>
      <c r="H391" s="1217"/>
      <c r="I391" s="1217"/>
      <c r="J391" s="1217"/>
      <c r="K391" s="1217"/>
      <c r="L391" s="1217"/>
      <c r="M391" s="1217"/>
      <c r="N391" s="1217"/>
      <c r="O391" s="1205"/>
      <c r="P391" s="1205"/>
      <c r="Q391" s="1205"/>
      <c r="R391" s="1205"/>
      <c r="S391" s="1205"/>
      <c r="T391" s="1205"/>
      <c r="U391" s="1205"/>
      <c r="V391" s="1206"/>
      <c r="W391" s="1206"/>
      <c r="X391" s="1206"/>
    </row>
    <row r="392" spans="1:24" ht="15.75" customHeight="1">
      <c r="A392" s="1205"/>
      <c r="B392" s="1205"/>
      <c r="C392" s="1217"/>
      <c r="D392" s="1217"/>
      <c r="E392" s="1217"/>
      <c r="F392" s="1217"/>
      <c r="G392" s="1217"/>
      <c r="H392" s="1217"/>
      <c r="I392" s="1217"/>
      <c r="J392" s="1217"/>
      <c r="K392" s="1217"/>
      <c r="L392" s="1217"/>
      <c r="M392" s="1217"/>
      <c r="N392" s="1217"/>
      <c r="O392" s="1205"/>
      <c r="P392" s="1205"/>
      <c r="Q392" s="1205"/>
      <c r="R392" s="1205"/>
      <c r="S392" s="1205"/>
      <c r="T392" s="1205"/>
      <c r="U392" s="1205"/>
      <c r="V392" s="1206"/>
      <c r="W392" s="1206"/>
      <c r="X392" s="1206"/>
    </row>
    <row r="393" spans="1:24" ht="15.75" customHeight="1">
      <c r="A393" s="1205"/>
      <c r="B393" s="1205"/>
      <c r="C393" s="1217"/>
      <c r="D393" s="1217"/>
      <c r="E393" s="1217"/>
      <c r="F393" s="1217"/>
      <c r="G393" s="1217"/>
      <c r="H393" s="1217"/>
      <c r="I393" s="1217"/>
      <c r="J393" s="1217"/>
      <c r="K393" s="1217"/>
      <c r="L393" s="1217"/>
      <c r="M393" s="1217"/>
      <c r="N393" s="1217"/>
      <c r="O393" s="1205"/>
      <c r="P393" s="1205"/>
      <c r="Q393" s="1205"/>
      <c r="R393" s="1205"/>
      <c r="S393" s="1205"/>
      <c r="T393" s="1205"/>
      <c r="U393" s="1205"/>
      <c r="V393" s="1206"/>
      <c r="W393" s="1206"/>
      <c r="X393" s="1206"/>
    </row>
    <row r="394" spans="1:24" ht="15.75" customHeight="1">
      <c r="A394" s="1205"/>
      <c r="B394" s="1205"/>
      <c r="C394" s="1217"/>
      <c r="D394" s="1217"/>
      <c r="E394" s="1217"/>
      <c r="F394" s="1217"/>
      <c r="G394" s="1217"/>
      <c r="H394" s="1217"/>
      <c r="I394" s="1217"/>
      <c r="J394" s="1217"/>
      <c r="K394" s="1217"/>
      <c r="L394" s="1217"/>
      <c r="M394" s="1217"/>
      <c r="N394" s="1217"/>
      <c r="O394" s="1205"/>
      <c r="P394" s="1205"/>
      <c r="Q394" s="1205"/>
      <c r="R394" s="1205"/>
      <c r="S394" s="1205"/>
      <c r="T394" s="1205"/>
      <c r="U394" s="1205"/>
      <c r="V394" s="1206"/>
      <c r="W394" s="1206"/>
      <c r="X394" s="1206"/>
    </row>
    <row r="395" spans="1:24" ht="15.75" customHeight="1">
      <c r="A395" s="1205"/>
      <c r="B395" s="1205"/>
      <c r="C395" s="1217"/>
      <c r="D395" s="1217"/>
      <c r="E395" s="1217"/>
      <c r="F395" s="1217"/>
      <c r="G395" s="1217"/>
      <c r="H395" s="1217"/>
      <c r="I395" s="1217"/>
      <c r="J395" s="1217"/>
      <c r="K395" s="1217"/>
      <c r="L395" s="1217"/>
      <c r="M395" s="1217"/>
      <c r="N395" s="1217"/>
      <c r="O395" s="1205"/>
      <c r="P395" s="1205"/>
      <c r="Q395" s="1205"/>
      <c r="R395" s="1205"/>
      <c r="S395" s="1205"/>
      <c r="T395" s="1205"/>
      <c r="U395" s="1205"/>
      <c r="V395" s="1206"/>
      <c r="W395" s="1206"/>
      <c r="X395" s="1206"/>
    </row>
    <row r="396" spans="1:24" ht="15.75" customHeight="1">
      <c r="A396" s="1205"/>
      <c r="B396" s="1205"/>
      <c r="C396" s="1217"/>
      <c r="D396" s="1217"/>
      <c r="E396" s="1217"/>
      <c r="F396" s="1217"/>
      <c r="G396" s="1217"/>
      <c r="H396" s="1217"/>
      <c r="I396" s="1217"/>
      <c r="J396" s="1217"/>
      <c r="K396" s="1217"/>
      <c r="L396" s="1217"/>
      <c r="M396" s="1217"/>
      <c r="N396" s="1217"/>
      <c r="O396" s="1205"/>
      <c r="P396" s="1205"/>
      <c r="Q396" s="1205"/>
      <c r="R396" s="1205"/>
      <c r="S396" s="1205"/>
      <c r="T396" s="1205"/>
      <c r="U396" s="1205"/>
      <c r="V396" s="1206"/>
      <c r="W396" s="1206"/>
      <c r="X396" s="1206"/>
    </row>
    <row r="397" spans="1:24" ht="15.75" customHeight="1">
      <c r="A397" s="1205"/>
      <c r="B397" s="1205"/>
      <c r="C397" s="1217"/>
      <c r="D397" s="1217"/>
      <c r="E397" s="1217"/>
      <c r="F397" s="1217"/>
      <c r="G397" s="1217"/>
      <c r="H397" s="1217"/>
      <c r="I397" s="1217"/>
      <c r="J397" s="1217"/>
      <c r="K397" s="1217"/>
      <c r="L397" s="1217"/>
      <c r="M397" s="1217"/>
      <c r="N397" s="1217"/>
      <c r="O397" s="1205"/>
      <c r="P397" s="1205"/>
      <c r="Q397" s="1205"/>
      <c r="R397" s="1205"/>
      <c r="S397" s="1205"/>
      <c r="T397" s="1205"/>
      <c r="U397" s="1205"/>
      <c r="V397" s="1206"/>
      <c r="W397" s="1206"/>
      <c r="X397" s="1206"/>
    </row>
    <row r="398" spans="1:24" ht="15.75" customHeight="1">
      <c r="A398" s="1205"/>
      <c r="B398" s="1205"/>
      <c r="C398" s="1217"/>
      <c r="D398" s="1217"/>
      <c r="E398" s="1217"/>
      <c r="F398" s="1217"/>
      <c r="G398" s="1217"/>
      <c r="H398" s="1217"/>
      <c r="I398" s="1217"/>
      <c r="J398" s="1217"/>
      <c r="K398" s="1217"/>
      <c r="L398" s="1217"/>
      <c r="M398" s="1217"/>
      <c r="N398" s="1217"/>
      <c r="O398" s="1205"/>
      <c r="P398" s="1205"/>
      <c r="Q398" s="1205"/>
      <c r="R398" s="1205"/>
      <c r="S398" s="1205"/>
      <c r="T398" s="1205"/>
      <c r="U398" s="1205"/>
      <c r="V398" s="1206"/>
      <c r="W398" s="1206"/>
      <c r="X398" s="1206"/>
    </row>
    <row r="399" spans="1:24" ht="15.75" customHeight="1">
      <c r="A399" s="1205"/>
      <c r="B399" s="1205"/>
      <c r="C399" s="1217"/>
      <c r="D399" s="1217"/>
      <c r="E399" s="1217"/>
      <c r="F399" s="1217"/>
      <c r="G399" s="1217"/>
      <c r="H399" s="1217"/>
      <c r="I399" s="1217"/>
      <c r="J399" s="1217"/>
      <c r="K399" s="1217"/>
      <c r="L399" s="1217"/>
      <c r="M399" s="1217"/>
      <c r="N399" s="1217"/>
      <c r="O399" s="1205"/>
      <c r="P399" s="1205"/>
      <c r="Q399" s="1205"/>
      <c r="R399" s="1205"/>
      <c r="S399" s="1205"/>
      <c r="T399" s="1205"/>
      <c r="U399" s="1205"/>
      <c r="V399" s="1206"/>
      <c r="W399" s="1206"/>
      <c r="X399" s="1206"/>
    </row>
    <row r="400" spans="1:24" ht="15.75" customHeight="1">
      <c r="A400" s="1205"/>
      <c r="B400" s="1205"/>
      <c r="C400" s="1217"/>
      <c r="D400" s="1217"/>
      <c r="E400" s="1217"/>
      <c r="F400" s="1217"/>
      <c r="G400" s="1217"/>
      <c r="H400" s="1217"/>
      <c r="I400" s="1217"/>
      <c r="J400" s="1217"/>
      <c r="K400" s="1217"/>
      <c r="L400" s="1217"/>
      <c r="M400" s="1217"/>
      <c r="N400" s="1217"/>
      <c r="O400" s="1205"/>
      <c r="P400" s="1205"/>
      <c r="Q400" s="1205"/>
      <c r="R400" s="1205"/>
      <c r="S400" s="1205"/>
      <c r="T400" s="1205"/>
      <c r="U400" s="1205"/>
      <c r="V400" s="1206"/>
      <c r="W400" s="1206"/>
      <c r="X400" s="1206"/>
    </row>
    <row r="401" spans="1:24" ht="15.75" customHeight="1">
      <c r="A401" s="1205"/>
      <c r="B401" s="1205"/>
      <c r="C401" s="1217"/>
      <c r="D401" s="1217"/>
      <c r="E401" s="1217"/>
      <c r="F401" s="1217"/>
      <c r="G401" s="1217"/>
      <c r="H401" s="1217"/>
      <c r="I401" s="1217"/>
      <c r="J401" s="1217"/>
      <c r="K401" s="1217"/>
      <c r="L401" s="1217"/>
      <c r="M401" s="1217"/>
      <c r="N401" s="1217"/>
      <c r="O401" s="1205"/>
      <c r="P401" s="1205"/>
      <c r="Q401" s="1205"/>
      <c r="R401" s="1205"/>
      <c r="S401" s="1205"/>
      <c r="T401" s="1205"/>
      <c r="U401" s="1205"/>
      <c r="V401" s="1206"/>
      <c r="W401" s="1206"/>
      <c r="X401" s="1206"/>
    </row>
    <row r="402" spans="1:24" ht="15.75" customHeight="1">
      <c r="A402" s="1205"/>
      <c r="B402" s="1205"/>
      <c r="C402" s="1217"/>
      <c r="D402" s="1217"/>
      <c r="E402" s="1217"/>
      <c r="F402" s="1217"/>
      <c r="G402" s="1217"/>
      <c r="H402" s="1217"/>
      <c r="I402" s="1217"/>
      <c r="J402" s="1217"/>
      <c r="K402" s="1217"/>
      <c r="L402" s="1217"/>
      <c r="M402" s="1217"/>
      <c r="N402" s="1217"/>
      <c r="O402" s="1205"/>
      <c r="P402" s="1205"/>
      <c r="Q402" s="1205"/>
      <c r="R402" s="1205"/>
      <c r="S402" s="1205"/>
      <c r="T402" s="1205"/>
      <c r="U402" s="1205"/>
      <c r="V402" s="1206"/>
      <c r="W402" s="1206"/>
      <c r="X402" s="1206"/>
    </row>
    <row r="403" spans="1:24" ht="15.75" customHeight="1">
      <c r="A403" s="1205"/>
      <c r="B403" s="1205"/>
      <c r="C403" s="1217"/>
      <c r="D403" s="1217"/>
      <c r="E403" s="1217"/>
      <c r="F403" s="1217"/>
      <c r="G403" s="1217"/>
      <c r="H403" s="1217"/>
      <c r="I403" s="1217"/>
      <c r="J403" s="1217"/>
      <c r="K403" s="1217"/>
      <c r="L403" s="1217"/>
      <c r="M403" s="1217"/>
      <c r="N403" s="1217"/>
      <c r="O403" s="1205"/>
      <c r="P403" s="1205"/>
      <c r="Q403" s="1205"/>
      <c r="R403" s="1205"/>
      <c r="S403" s="1205"/>
      <c r="T403" s="1205"/>
      <c r="U403" s="1205"/>
      <c r="V403" s="1206"/>
      <c r="W403" s="1206"/>
      <c r="X403" s="1206"/>
    </row>
    <row r="404" spans="1:24" ht="15.75" customHeight="1">
      <c r="A404" s="1205"/>
      <c r="B404" s="1205"/>
      <c r="C404" s="1217"/>
      <c r="D404" s="1217"/>
      <c r="E404" s="1217"/>
      <c r="F404" s="1217"/>
      <c r="G404" s="1217"/>
      <c r="H404" s="1217"/>
      <c r="I404" s="1217"/>
      <c r="J404" s="1217"/>
      <c r="K404" s="1217"/>
      <c r="L404" s="1217"/>
      <c r="M404" s="1217"/>
      <c r="N404" s="1217"/>
      <c r="O404" s="1205"/>
      <c r="P404" s="1205"/>
      <c r="Q404" s="1205"/>
      <c r="R404" s="1205"/>
      <c r="S404" s="1205"/>
      <c r="T404" s="1205"/>
      <c r="U404" s="1205"/>
      <c r="V404" s="1206"/>
      <c r="W404" s="1206"/>
      <c r="X404" s="1206"/>
    </row>
    <row r="405" spans="1:24" ht="15.75" customHeight="1">
      <c r="A405" s="1205"/>
      <c r="B405" s="1205"/>
      <c r="C405" s="1217"/>
      <c r="D405" s="1217"/>
      <c r="E405" s="1217"/>
      <c r="F405" s="1217"/>
      <c r="G405" s="1217"/>
      <c r="H405" s="1217"/>
      <c r="I405" s="1217"/>
      <c r="J405" s="1217"/>
      <c r="K405" s="1217"/>
      <c r="L405" s="1217"/>
      <c r="M405" s="1217"/>
      <c r="N405" s="1217"/>
      <c r="O405" s="1205"/>
      <c r="P405" s="1205"/>
      <c r="Q405" s="1205"/>
      <c r="R405" s="1205"/>
      <c r="S405" s="1205"/>
      <c r="T405" s="1205"/>
      <c r="U405" s="1205"/>
      <c r="V405" s="1206"/>
      <c r="W405" s="1206"/>
      <c r="X405" s="1206"/>
    </row>
    <row r="406" spans="1:24" ht="15.75" customHeight="1">
      <c r="A406" s="1205"/>
      <c r="B406" s="1205"/>
      <c r="C406" s="1217"/>
      <c r="D406" s="1217"/>
      <c r="E406" s="1217"/>
      <c r="F406" s="1217"/>
      <c r="G406" s="1217"/>
      <c r="H406" s="1217"/>
      <c r="I406" s="1217"/>
      <c r="J406" s="1217"/>
      <c r="K406" s="1217"/>
      <c r="L406" s="1217"/>
      <c r="M406" s="1217"/>
      <c r="N406" s="1217"/>
      <c r="O406" s="1205"/>
      <c r="P406" s="1205"/>
      <c r="Q406" s="1205"/>
      <c r="R406" s="1205"/>
      <c r="S406" s="1205"/>
      <c r="T406" s="1205"/>
      <c r="U406" s="1205"/>
      <c r="V406" s="1206"/>
      <c r="W406" s="1206"/>
      <c r="X406" s="1206"/>
    </row>
    <row r="407" spans="1:24" ht="15.75" customHeight="1">
      <c r="A407" s="1205"/>
      <c r="B407" s="1205"/>
      <c r="C407" s="1217"/>
      <c r="D407" s="1217"/>
      <c r="E407" s="1217"/>
      <c r="F407" s="1217"/>
      <c r="G407" s="1217"/>
      <c r="H407" s="1217"/>
      <c r="I407" s="1217"/>
      <c r="J407" s="1217"/>
      <c r="K407" s="1217"/>
      <c r="L407" s="1217"/>
      <c r="M407" s="1217"/>
      <c r="N407" s="1217"/>
      <c r="O407" s="1205"/>
      <c r="P407" s="1205"/>
      <c r="Q407" s="1205"/>
      <c r="R407" s="1205"/>
      <c r="S407" s="1205"/>
      <c r="T407" s="1205"/>
      <c r="U407" s="1205"/>
      <c r="V407" s="1206"/>
      <c r="W407" s="1206"/>
      <c r="X407" s="1206"/>
    </row>
    <row r="408" spans="1:24" ht="15.75" customHeight="1">
      <c r="A408" s="1205"/>
      <c r="B408" s="1205"/>
      <c r="C408" s="1217"/>
      <c r="D408" s="1217"/>
      <c r="E408" s="1217"/>
      <c r="F408" s="1217"/>
      <c r="G408" s="1217"/>
      <c r="H408" s="1217"/>
      <c r="I408" s="1217"/>
      <c r="J408" s="1217"/>
      <c r="K408" s="1217"/>
      <c r="L408" s="1217"/>
      <c r="M408" s="1217"/>
      <c r="N408" s="1217"/>
      <c r="O408" s="1205"/>
      <c r="P408" s="1205"/>
      <c r="Q408" s="1205"/>
      <c r="R408" s="1205"/>
      <c r="S408" s="1205"/>
      <c r="T408" s="1205"/>
      <c r="U408" s="1205"/>
      <c r="V408" s="1206"/>
      <c r="W408" s="1206"/>
      <c r="X408" s="1206"/>
    </row>
    <row r="409" spans="1:24" ht="15.75" customHeight="1">
      <c r="A409" s="1205"/>
      <c r="B409" s="1205"/>
      <c r="C409" s="1217"/>
      <c r="D409" s="1217"/>
      <c r="E409" s="1217"/>
      <c r="F409" s="1217"/>
      <c r="G409" s="1217"/>
      <c r="H409" s="1217"/>
      <c r="I409" s="1217"/>
      <c r="J409" s="1217"/>
      <c r="K409" s="1217"/>
      <c r="L409" s="1217"/>
      <c r="M409" s="1217"/>
      <c r="N409" s="1217"/>
      <c r="O409" s="1205"/>
      <c r="P409" s="1205"/>
      <c r="Q409" s="1205"/>
      <c r="R409" s="1205"/>
      <c r="S409" s="1205"/>
      <c r="T409" s="1205"/>
      <c r="U409" s="1205"/>
      <c r="V409" s="1206"/>
      <c r="W409" s="1206"/>
      <c r="X409" s="1206"/>
    </row>
    <row r="410" spans="1:24" ht="15.75" customHeight="1">
      <c r="A410" s="1205"/>
      <c r="B410" s="1205"/>
      <c r="C410" s="1217"/>
      <c r="D410" s="1217"/>
      <c r="E410" s="1217"/>
      <c r="F410" s="1217"/>
      <c r="G410" s="1217"/>
      <c r="H410" s="1217"/>
      <c r="I410" s="1217"/>
      <c r="J410" s="1217"/>
      <c r="K410" s="1217"/>
      <c r="L410" s="1217"/>
      <c r="M410" s="1217"/>
      <c r="N410" s="1217"/>
      <c r="O410" s="1205"/>
      <c r="P410" s="1205"/>
      <c r="Q410" s="1205"/>
      <c r="R410" s="1205"/>
      <c r="S410" s="1205"/>
      <c r="T410" s="1205"/>
      <c r="U410" s="1205"/>
      <c r="V410" s="1206"/>
      <c r="W410" s="1206"/>
      <c r="X410" s="1206"/>
    </row>
    <row r="411" spans="1:24" ht="15.75" customHeight="1">
      <c r="A411" s="1205"/>
      <c r="B411" s="1205"/>
      <c r="C411" s="1217"/>
      <c r="D411" s="1217"/>
      <c r="E411" s="1217"/>
      <c r="F411" s="1217"/>
      <c r="G411" s="1217"/>
      <c r="H411" s="1217"/>
      <c r="I411" s="1217"/>
      <c r="J411" s="1217"/>
      <c r="K411" s="1217"/>
      <c r="L411" s="1217"/>
      <c r="M411" s="1217"/>
      <c r="N411" s="1217"/>
      <c r="O411" s="1205"/>
      <c r="P411" s="1205"/>
      <c r="Q411" s="1205"/>
      <c r="R411" s="1205"/>
      <c r="S411" s="1205"/>
      <c r="T411" s="1205"/>
      <c r="U411" s="1205"/>
      <c r="V411" s="1206"/>
      <c r="W411" s="1206"/>
      <c r="X411" s="1206"/>
    </row>
    <row r="412" spans="1:24" ht="15.75" customHeight="1">
      <c r="A412" s="1205"/>
      <c r="B412" s="1205"/>
      <c r="C412" s="1217"/>
      <c r="D412" s="1217"/>
      <c r="E412" s="1217"/>
      <c r="F412" s="1217"/>
      <c r="G412" s="1217"/>
      <c r="H412" s="1217"/>
      <c r="I412" s="1217"/>
      <c r="J412" s="1217"/>
      <c r="K412" s="1217"/>
      <c r="L412" s="1217"/>
      <c r="M412" s="1217"/>
      <c r="N412" s="1217"/>
      <c r="O412" s="1205"/>
      <c r="P412" s="1205"/>
      <c r="Q412" s="1205"/>
      <c r="R412" s="1205"/>
      <c r="S412" s="1205"/>
      <c r="T412" s="1205"/>
      <c r="U412" s="1205"/>
      <c r="V412" s="1206"/>
      <c r="W412" s="1206"/>
      <c r="X412" s="1206"/>
    </row>
    <row r="413" spans="1:24" ht="15.75" customHeight="1">
      <c r="A413" s="1205"/>
      <c r="B413" s="1205"/>
      <c r="C413" s="1217"/>
      <c r="D413" s="1217"/>
      <c r="E413" s="1217"/>
      <c r="F413" s="1217"/>
      <c r="G413" s="1217"/>
      <c r="H413" s="1217"/>
      <c r="I413" s="1217"/>
      <c r="J413" s="1217"/>
      <c r="K413" s="1217"/>
      <c r="L413" s="1217"/>
      <c r="M413" s="1217"/>
      <c r="N413" s="1217"/>
      <c r="O413" s="1205"/>
      <c r="P413" s="1205"/>
      <c r="Q413" s="1205"/>
      <c r="R413" s="1205"/>
      <c r="S413" s="1205"/>
      <c r="T413" s="1205"/>
      <c r="U413" s="1205"/>
      <c r="V413" s="1206"/>
      <c r="W413" s="1206"/>
      <c r="X413" s="1206"/>
    </row>
    <row r="414" spans="1:24" ht="15.75" customHeight="1">
      <c r="A414" s="1205"/>
      <c r="B414" s="1205"/>
      <c r="C414" s="1217"/>
      <c r="D414" s="1217"/>
      <c r="E414" s="1217"/>
      <c r="F414" s="1217"/>
      <c r="G414" s="1217"/>
      <c r="H414" s="1217"/>
      <c r="I414" s="1217"/>
      <c r="J414" s="1217"/>
      <c r="K414" s="1217"/>
      <c r="L414" s="1217"/>
      <c r="M414" s="1217"/>
      <c r="N414" s="1217"/>
      <c r="O414" s="1205"/>
      <c r="P414" s="1205"/>
      <c r="Q414" s="1205"/>
      <c r="R414" s="1205"/>
      <c r="S414" s="1205"/>
      <c r="T414" s="1205"/>
      <c r="U414" s="1205"/>
      <c r="V414" s="1206"/>
      <c r="W414" s="1206"/>
      <c r="X414" s="1206"/>
    </row>
    <row r="415" spans="1:24" ht="15.75" customHeight="1">
      <c r="A415" s="1205"/>
      <c r="B415" s="1205"/>
      <c r="C415" s="1217"/>
      <c r="D415" s="1217"/>
      <c r="E415" s="1217"/>
      <c r="F415" s="1217"/>
      <c r="G415" s="1217"/>
      <c r="H415" s="1217"/>
      <c r="I415" s="1217"/>
      <c r="J415" s="1217"/>
      <c r="K415" s="1217"/>
      <c r="L415" s="1217"/>
      <c r="M415" s="1217"/>
      <c r="N415" s="1217"/>
      <c r="O415" s="1205"/>
      <c r="P415" s="1205"/>
      <c r="Q415" s="1205"/>
      <c r="R415" s="1205"/>
      <c r="S415" s="1205"/>
      <c r="T415" s="1205"/>
      <c r="U415" s="1205"/>
      <c r="V415" s="1206"/>
      <c r="W415" s="1206"/>
      <c r="X415" s="1206"/>
    </row>
    <row r="416" spans="1:24" ht="15.75" customHeight="1">
      <c r="A416" s="1205"/>
      <c r="B416" s="1205"/>
      <c r="C416" s="1217"/>
      <c r="D416" s="1217"/>
      <c r="E416" s="1217"/>
      <c r="F416" s="1217"/>
      <c r="G416" s="1217"/>
      <c r="H416" s="1217"/>
      <c r="I416" s="1217"/>
      <c r="J416" s="1217"/>
      <c r="K416" s="1217"/>
      <c r="L416" s="1217"/>
      <c r="M416" s="1217"/>
      <c r="N416" s="1217"/>
      <c r="O416" s="1205"/>
      <c r="P416" s="1205"/>
      <c r="Q416" s="1205"/>
      <c r="R416" s="1205"/>
      <c r="S416" s="1205"/>
      <c r="T416" s="1205"/>
      <c r="U416" s="1205"/>
      <c r="V416" s="1206"/>
      <c r="W416" s="1206"/>
      <c r="X416" s="1206"/>
    </row>
    <row r="417" spans="1:24" ht="15.75" customHeight="1">
      <c r="A417" s="1205"/>
      <c r="B417" s="1205"/>
      <c r="C417" s="1217"/>
      <c r="D417" s="1217"/>
      <c r="E417" s="1217"/>
      <c r="F417" s="1217"/>
      <c r="G417" s="1217"/>
      <c r="H417" s="1217"/>
      <c r="I417" s="1217"/>
      <c r="J417" s="1217"/>
      <c r="K417" s="1217"/>
      <c r="L417" s="1217"/>
      <c r="M417" s="1217"/>
      <c r="N417" s="1217"/>
      <c r="O417" s="1205"/>
      <c r="P417" s="1205"/>
      <c r="Q417" s="1205"/>
      <c r="R417" s="1205"/>
      <c r="S417" s="1205"/>
      <c r="T417" s="1205"/>
      <c r="U417" s="1205"/>
      <c r="V417" s="1206"/>
      <c r="W417" s="1206"/>
      <c r="X417" s="1206"/>
    </row>
    <row r="418" spans="1:24" ht="15.75" customHeight="1">
      <c r="A418" s="1205"/>
      <c r="B418" s="1205"/>
      <c r="C418" s="1217"/>
      <c r="D418" s="1217"/>
      <c r="E418" s="1217"/>
      <c r="F418" s="1217"/>
      <c r="G418" s="1217"/>
      <c r="H418" s="1217"/>
      <c r="I418" s="1217"/>
      <c r="J418" s="1217"/>
      <c r="K418" s="1217"/>
      <c r="L418" s="1217"/>
      <c r="M418" s="1217"/>
      <c r="N418" s="1217"/>
      <c r="O418" s="1205"/>
      <c r="P418" s="1205"/>
      <c r="Q418" s="1205"/>
      <c r="R418" s="1205"/>
      <c r="S418" s="1205"/>
      <c r="T418" s="1205"/>
      <c r="U418" s="1205"/>
      <c r="V418" s="1206"/>
      <c r="W418" s="1206"/>
      <c r="X418" s="1206"/>
    </row>
    <row r="419" spans="1:24" ht="15.75" customHeight="1">
      <c r="A419" s="1205"/>
      <c r="B419" s="1205"/>
      <c r="C419" s="1217"/>
      <c r="D419" s="1217"/>
      <c r="E419" s="1217"/>
      <c r="F419" s="1217"/>
      <c r="G419" s="1217"/>
      <c r="H419" s="1217"/>
      <c r="I419" s="1217"/>
      <c r="J419" s="1217"/>
      <c r="K419" s="1217"/>
      <c r="L419" s="1217"/>
      <c r="M419" s="1217"/>
      <c r="N419" s="1217"/>
      <c r="O419" s="1205"/>
      <c r="P419" s="1205"/>
      <c r="Q419" s="1205"/>
      <c r="R419" s="1205"/>
      <c r="S419" s="1205"/>
      <c r="T419" s="1205"/>
      <c r="U419" s="1205"/>
      <c r="V419" s="1206"/>
      <c r="W419" s="1206"/>
      <c r="X419" s="1206"/>
    </row>
    <row r="420" spans="1:24" ht="15.75" customHeight="1">
      <c r="A420" s="1205"/>
      <c r="B420" s="1205"/>
      <c r="C420" s="1217"/>
      <c r="D420" s="1217"/>
      <c r="E420" s="1217"/>
      <c r="F420" s="1217"/>
      <c r="G420" s="1217"/>
      <c r="H420" s="1217"/>
      <c r="I420" s="1217"/>
      <c r="J420" s="1217"/>
      <c r="K420" s="1217"/>
      <c r="L420" s="1217"/>
      <c r="M420" s="1217"/>
      <c r="N420" s="1217"/>
      <c r="O420" s="1205"/>
      <c r="P420" s="1205"/>
      <c r="Q420" s="1205"/>
      <c r="R420" s="1205"/>
      <c r="S420" s="1205"/>
      <c r="T420" s="1205"/>
      <c r="U420" s="1205"/>
      <c r="V420" s="1206"/>
      <c r="W420" s="1206"/>
      <c r="X420" s="1206"/>
    </row>
    <row r="421" spans="1:24" ht="15.75" customHeight="1">
      <c r="A421" s="1205"/>
      <c r="B421" s="1205"/>
      <c r="C421" s="1217"/>
      <c r="D421" s="1217"/>
      <c r="E421" s="1217"/>
      <c r="F421" s="1217"/>
      <c r="G421" s="1217"/>
      <c r="H421" s="1217"/>
      <c r="I421" s="1217"/>
      <c r="J421" s="1217"/>
      <c r="K421" s="1217"/>
      <c r="L421" s="1217"/>
      <c r="M421" s="1217"/>
      <c r="N421" s="1217"/>
      <c r="O421" s="1205"/>
      <c r="P421" s="1205"/>
      <c r="Q421" s="1205"/>
      <c r="R421" s="1205"/>
      <c r="S421" s="1205"/>
      <c r="T421" s="1205"/>
      <c r="U421" s="1205"/>
      <c r="V421" s="1206"/>
      <c r="W421" s="1206"/>
      <c r="X421" s="1206"/>
    </row>
    <row r="422" spans="1:24" ht="15.75" customHeight="1">
      <c r="A422" s="1205"/>
      <c r="B422" s="1205"/>
      <c r="C422" s="1217"/>
      <c r="D422" s="1217"/>
      <c r="E422" s="1217"/>
      <c r="F422" s="1217"/>
      <c r="G422" s="1217"/>
      <c r="H422" s="1217"/>
      <c r="I422" s="1217"/>
      <c r="J422" s="1217"/>
      <c r="K422" s="1217"/>
      <c r="L422" s="1217"/>
      <c r="M422" s="1217"/>
      <c r="N422" s="1217"/>
      <c r="O422" s="1205"/>
      <c r="P422" s="1205"/>
      <c r="Q422" s="1205"/>
      <c r="R422" s="1205"/>
      <c r="S422" s="1205"/>
      <c r="T422" s="1205"/>
      <c r="U422" s="1205"/>
      <c r="V422" s="1206"/>
      <c r="W422" s="1206"/>
      <c r="X422" s="1206"/>
    </row>
    <row r="423" spans="1:24" ht="15.75" customHeight="1">
      <c r="A423" s="1205"/>
      <c r="B423" s="1205"/>
      <c r="C423" s="1217"/>
      <c r="D423" s="1217"/>
      <c r="E423" s="1217"/>
      <c r="F423" s="1217"/>
      <c r="G423" s="1217"/>
      <c r="H423" s="1217"/>
      <c r="I423" s="1217"/>
      <c r="J423" s="1217"/>
      <c r="K423" s="1217"/>
      <c r="L423" s="1217"/>
      <c r="M423" s="1217"/>
      <c r="N423" s="1217"/>
      <c r="O423" s="1205"/>
      <c r="P423" s="1205"/>
      <c r="Q423" s="1205"/>
      <c r="R423" s="1205"/>
      <c r="S423" s="1205"/>
      <c r="T423" s="1205"/>
      <c r="U423" s="1205"/>
      <c r="V423" s="1206"/>
      <c r="W423" s="1206"/>
      <c r="X423" s="1206"/>
    </row>
    <row r="424" spans="1:24" ht="15.75" customHeight="1">
      <c r="A424" s="1205"/>
      <c r="B424" s="1205"/>
      <c r="C424" s="1217"/>
      <c r="D424" s="1217"/>
      <c r="E424" s="1217"/>
      <c r="F424" s="1217"/>
      <c r="G424" s="1217"/>
      <c r="H424" s="1217"/>
      <c r="I424" s="1217"/>
      <c r="J424" s="1217"/>
      <c r="K424" s="1217"/>
      <c r="L424" s="1217"/>
      <c r="M424" s="1217"/>
      <c r="N424" s="1217"/>
      <c r="O424" s="1205"/>
      <c r="P424" s="1205"/>
      <c r="Q424" s="1205"/>
      <c r="R424" s="1205"/>
      <c r="S424" s="1205"/>
      <c r="T424" s="1205"/>
      <c r="U424" s="1205"/>
      <c r="V424" s="1206"/>
      <c r="W424" s="1206"/>
      <c r="X424" s="1206"/>
    </row>
    <row r="425" spans="1:24" ht="15.75" customHeight="1">
      <c r="A425" s="1205"/>
      <c r="B425" s="1205"/>
      <c r="C425" s="1217"/>
      <c r="D425" s="1217"/>
      <c r="E425" s="1217"/>
      <c r="F425" s="1217"/>
      <c r="G425" s="1217"/>
      <c r="H425" s="1217"/>
      <c r="I425" s="1217"/>
      <c r="J425" s="1217"/>
      <c r="K425" s="1217"/>
      <c r="L425" s="1217"/>
      <c r="M425" s="1217"/>
      <c r="N425" s="1217"/>
      <c r="O425" s="1205"/>
      <c r="P425" s="1205"/>
      <c r="Q425" s="1205"/>
      <c r="R425" s="1205"/>
      <c r="S425" s="1205"/>
      <c r="T425" s="1205"/>
      <c r="U425" s="1205"/>
      <c r="V425" s="1206"/>
      <c r="W425" s="1206"/>
      <c r="X425" s="1206"/>
    </row>
    <row r="426" spans="1:24" ht="15.75" customHeight="1">
      <c r="A426" s="1205"/>
      <c r="B426" s="1205"/>
      <c r="C426" s="1217"/>
      <c r="D426" s="1217"/>
      <c r="E426" s="1217"/>
      <c r="F426" s="1217"/>
      <c r="G426" s="1217"/>
      <c r="H426" s="1217"/>
      <c r="I426" s="1217"/>
      <c r="J426" s="1217"/>
      <c r="K426" s="1217"/>
      <c r="L426" s="1217"/>
      <c r="M426" s="1217"/>
      <c r="N426" s="1217"/>
      <c r="O426" s="1205"/>
      <c r="P426" s="1205"/>
      <c r="Q426" s="1205"/>
      <c r="R426" s="1205"/>
      <c r="S426" s="1205"/>
      <c r="T426" s="1205"/>
      <c r="U426" s="1205"/>
      <c r="V426" s="1206"/>
      <c r="W426" s="1206"/>
      <c r="X426" s="1206"/>
    </row>
    <row r="427" spans="1:24" ht="15.75" customHeight="1">
      <c r="A427" s="1205"/>
      <c r="B427" s="1205"/>
      <c r="C427" s="1217"/>
      <c r="D427" s="1217"/>
      <c r="E427" s="1217"/>
      <c r="F427" s="1217"/>
      <c r="G427" s="1217"/>
      <c r="H427" s="1217"/>
      <c r="I427" s="1217"/>
      <c r="J427" s="1217"/>
      <c r="K427" s="1217"/>
      <c r="L427" s="1217"/>
      <c r="M427" s="1217"/>
      <c r="N427" s="1217"/>
      <c r="O427" s="1205"/>
      <c r="P427" s="1205"/>
      <c r="Q427" s="1205"/>
      <c r="R427" s="1205"/>
      <c r="S427" s="1205"/>
      <c r="T427" s="1205"/>
      <c r="U427" s="1205"/>
      <c r="V427" s="1206"/>
      <c r="W427" s="1206"/>
      <c r="X427" s="1206"/>
    </row>
    <row r="428" spans="1:24" ht="15.75" customHeight="1">
      <c r="A428" s="1205"/>
      <c r="B428" s="1205"/>
      <c r="C428" s="1217"/>
      <c r="D428" s="1217"/>
      <c r="E428" s="1217"/>
      <c r="F428" s="1217"/>
      <c r="G428" s="1217"/>
      <c r="H428" s="1217"/>
      <c r="I428" s="1217"/>
      <c r="J428" s="1217"/>
      <c r="K428" s="1217"/>
      <c r="L428" s="1217"/>
      <c r="M428" s="1217"/>
      <c r="N428" s="1217"/>
      <c r="O428" s="1205"/>
      <c r="P428" s="1205"/>
      <c r="Q428" s="1205"/>
      <c r="R428" s="1205"/>
      <c r="S428" s="1205"/>
      <c r="T428" s="1205"/>
      <c r="U428" s="1205"/>
      <c r="V428" s="1206"/>
      <c r="W428" s="1206"/>
      <c r="X428" s="1206"/>
    </row>
    <row r="429" spans="1:24" ht="15.75" customHeight="1">
      <c r="A429" s="1205"/>
      <c r="B429" s="1205"/>
      <c r="C429" s="1217"/>
      <c r="D429" s="1217"/>
      <c r="E429" s="1217"/>
      <c r="F429" s="1217"/>
      <c r="G429" s="1217"/>
      <c r="H429" s="1217"/>
      <c r="I429" s="1217"/>
      <c r="J429" s="1217"/>
      <c r="K429" s="1217"/>
      <c r="L429" s="1217"/>
      <c r="M429" s="1217"/>
      <c r="N429" s="1217"/>
      <c r="O429" s="1205"/>
      <c r="P429" s="1205"/>
      <c r="Q429" s="1205"/>
      <c r="R429" s="1205"/>
      <c r="S429" s="1205"/>
      <c r="T429" s="1205"/>
      <c r="U429" s="1205"/>
      <c r="V429" s="1206"/>
      <c r="W429" s="1206"/>
      <c r="X429" s="1206"/>
    </row>
    <row r="430" spans="1:24" ht="15.75" customHeight="1">
      <c r="A430" s="1205"/>
      <c r="B430" s="1205"/>
      <c r="C430" s="1217"/>
      <c r="D430" s="1217"/>
      <c r="E430" s="1217"/>
      <c r="F430" s="1217"/>
      <c r="G430" s="1217"/>
      <c r="H430" s="1217"/>
      <c r="I430" s="1217"/>
      <c r="J430" s="1217"/>
      <c r="K430" s="1217"/>
      <c r="L430" s="1217"/>
      <c r="M430" s="1217"/>
      <c r="N430" s="1217"/>
      <c r="O430" s="1205"/>
      <c r="P430" s="1205"/>
      <c r="Q430" s="1205"/>
      <c r="R430" s="1205"/>
      <c r="S430" s="1205"/>
      <c r="T430" s="1205"/>
      <c r="U430" s="1205"/>
      <c r="V430" s="1206"/>
      <c r="W430" s="1206"/>
      <c r="X430" s="1206"/>
    </row>
    <row r="431" spans="1:24" ht="15.75" customHeight="1">
      <c r="A431" s="1205"/>
      <c r="B431" s="1205"/>
      <c r="C431" s="1217"/>
      <c r="D431" s="1217"/>
      <c r="E431" s="1217"/>
      <c r="F431" s="1217"/>
      <c r="G431" s="1217"/>
      <c r="H431" s="1217"/>
      <c r="I431" s="1217"/>
      <c r="J431" s="1217"/>
      <c r="K431" s="1217"/>
      <c r="L431" s="1217"/>
      <c r="M431" s="1217"/>
      <c r="N431" s="1217"/>
      <c r="O431" s="1205"/>
      <c r="P431" s="1205"/>
      <c r="Q431" s="1205"/>
      <c r="R431" s="1205"/>
      <c r="S431" s="1205"/>
      <c r="T431" s="1205"/>
      <c r="U431" s="1205"/>
      <c r="V431" s="1206"/>
      <c r="W431" s="1206"/>
      <c r="X431" s="1206"/>
    </row>
    <row r="432" spans="1:24" ht="15.75" customHeight="1">
      <c r="A432" s="1205"/>
      <c r="B432" s="1205"/>
      <c r="C432" s="1217"/>
      <c r="D432" s="1217"/>
      <c r="E432" s="1217"/>
      <c r="F432" s="1217"/>
      <c r="G432" s="1217"/>
      <c r="H432" s="1217"/>
      <c r="I432" s="1217"/>
      <c r="J432" s="1217"/>
      <c r="K432" s="1217"/>
      <c r="L432" s="1217"/>
      <c r="M432" s="1217"/>
      <c r="N432" s="1217"/>
      <c r="O432" s="1205"/>
      <c r="P432" s="1205"/>
      <c r="Q432" s="1205"/>
      <c r="R432" s="1205"/>
      <c r="S432" s="1205"/>
      <c r="T432" s="1205"/>
      <c r="U432" s="1205"/>
      <c r="V432" s="1206"/>
      <c r="W432" s="1206"/>
      <c r="X432" s="1206"/>
    </row>
    <row r="433" spans="1:24" ht="15.75" customHeight="1">
      <c r="A433" s="1205"/>
      <c r="B433" s="1205"/>
      <c r="C433" s="1217"/>
      <c r="D433" s="1217"/>
      <c r="E433" s="1217"/>
      <c r="F433" s="1217"/>
      <c r="G433" s="1217"/>
      <c r="H433" s="1217"/>
      <c r="I433" s="1217"/>
      <c r="J433" s="1217"/>
      <c r="K433" s="1217"/>
      <c r="L433" s="1217"/>
      <c r="M433" s="1217"/>
      <c r="N433" s="1217"/>
      <c r="O433" s="1205"/>
      <c r="P433" s="1205"/>
      <c r="Q433" s="1205"/>
      <c r="R433" s="1205"/>
      <c r="S433" s="1205"/>
      <c r="T433" s="1205"/>
      <c r="U433" s="1205"/>
      <c r="V433" s="1206"/>
      <c r="W433" s="1206"/>
      <c r="X433" s="1206"/>
    </row>
    <row r="434" spans="1:24" ht="15.75" customHeight="1">
      <c r="A434" s="1205"/>
      <c r="B434" s="1205"/>
      <c r="C434" s="1217"/>
      <c r="D434" s="1217"/>
      <c r="E434" s="1217"/>
      <c r="F434" s="1217"/>
      <c r="G434" s="1217"/>
      <c r="H434" s="1217"/>
      <c r="I434" s="1217"/>
      <c r="J434" s="1217"/>
      <c r="K434" s="1217"/>
      <c r="L434" s="1217"/>
      <c r="M434" s="1217"/>
      <c r="N434" s="1217"/>
      <c r="O434" s="1205"/>
      <c r="P434" s="1205"/>
      <c r="Q434" s="1205"/>
      <c r="R434" s="1205"/>
      <c r="S434" s="1205"/>
      <c r="T434" s="1205"/>
      <c r="U434" s="1205"/>
      <c r="V434" s="1206"/>
      <c r="W434" s="1206"/>
      <c r="X434" s="1206"/>
    </row>
    <row r="435" spans="1:24" ht="15.75" customHeight="1">
      <c r="A435" s="1205"/>
      <c r="B435" s="1205"/>
      <c r="C435" s="1217"/>
      <c r="D435" s="1217"/>
      <c r="E435" s="1217"/>
      <c r="F435" s="1217"/>
      <c r="G435" s="1217"/>
      <c r="H435" s="1217"/>
      <c r="I435" s="1217"/>
      <c r="J435" s="1217"/>
      <c r="K435" s="1217"/>
      <c r="L435" s="1217"/>
      <c r="M435" s="1217"/>
      <c r="N435" s="1217"/>
      <c r="O435" s="1205"/>
      <c r="P435" s="1205"/>
      <c r="Q435" s="1205"/>
      <c r="R435" s="1205"/>
      <c r="S435" s="1205"/>
      <c r="T435" s="1205"/>
      <c r="U435" s="1205"/>
      <c r="V435" s="1206"/>
      <c r="W435" s="1206"/>
      <c r="X435" s="1206"/>
    </row>
    <row r="436" spans="1:24" ht="15.75" customHeight="1">
      <c r="A436" s="1205"/>
      <c r="B436" s="1205"/>
      <c r="C436" s="1217"/>
      <c r="D436" s="1217"/>
      <c r="E436" s="1217"/>
      <c r="F436" s="1217"/>
      <c r="G436" s="1217"/>
      <c r="H436" s="1217"/>
      <c r="I436" s="1217"/>
      <c r="J436" s="1217"/>
      <c r="K436" s="1217"/>
      <c r="L436" s="1217"/>
      <c r="M436" s="1217"/>
      <c r="N436" s="1217"/>
      <c r="O436" s="1205"/>
      <c r="P436" s="1205"/>
      <c r="Q436" s="1205"/>
      <c r="R436" s="1205"/>
      <c r="S436" s="1205"/>
      <c r="T436" s="1205"/>
      <c r="U436" s="1205"/>
      <c r="V436" s="1206"/>
      <c r="W436" s="1206"/>
      <c r="X436" s="1206"/>
    </row>
    <row r="437" spans="1:24" ht="15.75" customHeight="1">
      <c r="A437" s="1205"/>
      <c r="B437" s="1205"/>
      <c r="C437" s="1217"/>
      <c r="D437" s="1217"/>
      <c r="E437" s="1217"/>
      <c r="F437" s="1217"/>
      <c r="G437" s="1217"/>
      <c r="H437" s="1217"/>
      <c r="I437" s="1217"/>
      <c r="J437" s="1217"/>
      <c r="K437" s="1217"/>
      <c r="L437" s="1217"/>
      <c r="M437" s="1217"/>
      <c r="N437" s="1217"/>
      <c r="O437" s="1205"/>
      <c r="P437" s="1205"/>
      <c r="Q437" s="1205"/>
      <c r="R437" s="1205"/>
      <c r="S437" s="1205"/>
      <c r="T437" s="1205"/>
      <c r="U437" s="1205"/>
      <c r="V437" s="1206"/>
      <c r="W437" s="1206"/>
      <c r="X437" s="1206"/>
    </row>
    <row r="438" spans="1:24" ht="15.75" customHeight="1">
      <c r="A438" s="1205"/>
      <c r="B438" s="1205"/>
      <c r="C438" s="1217"/>
      <c r="D438" s="1217"/>
      <c r="E438" s="1217"/>
      <c r="F438" s="1217"/>
      <c r="G438" s="1217"/>
      <c r="H438" s="1217"/>
      <c r="I438" s="1217"/>
      <c r="J438" s="1217"/>
      <c r="K438" s="1217"/>
      <c r="L438" s="1217"/>
      <c r="M438" s="1217"/>
      <c r="N438" s="1217"/>
      <c r="O438" s="1205"/>
      <c r="P438" s="1205"/>
      <c r="Q438" s="1205"/>
      <c r="R438" s="1205"/>
      <c r="S438" s="1205"/>
      <c r="T438" s="1205"/>
      <c r="U438" s="1205"/>
      <c r="V438" s="1206"/>
      <c r="W438" s="1206"/>
      <c r="X438" s="1206"/>
    </row>
    <row r="439" spans="1:24" ht="15.75" customHeight="1">
      <c r="A439" s="1205"/>
      <c r="B439" s="1205"/>
      <c r="C439" s="1217"/>
      <c r="D439" s="1217"/>
      <c r="E439" s="1217"/>
      <c r="F439" s="1217"/>
      <c r="G439" s="1217"/>
      <c r="H439" s="1217"/>
      <c r="I439" s="1217"/>
      <c r="J439" s="1217"/>
      <c r="K439" s="1217"/>
      <c r="L439" s="1217"/>
      <c r="M439" s="1217"/>
      <c r="N439" s="1217"/>
      <c r="O439" s="1205"/>
      <c r="P439" s="1205"/>
      <c r="Q439" s="1205"/>
      <c r="R439" s="1205"/>
      <c r="S439" s="1205"/>
      <c r="T439" s="1205"/>
      <c r="U439" s="1205"/>
      <c r="V439" s="1206"/>
      <c r="W439" s="1206"/>
      <c r="X439" s="1206"/>
    </row>
    <row r="440" spans="1:24" ht="15.75" customHeight="1">
      <c r="A440" s="1205"/>
      <c r="B440" s="1205"/>
      <c r="C440" s="1217"/>
      <c r="D440" s="1217"/>
      <c r="E440" s="1217"/>
      <c r="F440" s="1217"/>
      <c r="G440" s="1217"/>
      <c r="H440" s="1217"/>
      <c r="I440" s="1217"/>
      <c r="J440" s="1217"/>
      <c r="K440" s="1217"/>
      <c r="L440" s="1217"/>
      <c r="M440" s="1217"/>
      <c r="N440" s="1217"/>
      <c r="O440" s="1205"/>
      <c r="P440" s="1205"/>
      <c r="Q440" s="1205"/>
      <c r="R440" s="1205"/>
      <c r="S440" s="1205"/>
      <c r="T440" s="1205"/>
      <c r="U440" s="1205"/>
      <c r="V440" s="1206"/>
      <c r="W440" s="1206"/>
      <c r="X440" s="1206"/>
    </row>
    <row r="441" spans="1:24" ht="15.75" customHeight="1">
      <c r="A441" s="1205"/>
      <c r="B441" s="1205"/>
      <c r="C441" s="1217"/>
      <c r="D441" s="1217"/>
      <c r="E441" s="1217"/>
      <c r="F441" s="1217"/>
      <c r="G441" s="1217"/>
      <c r="H441" s="1217"/>
      <c r="I441" s="1217"/>
      <c r="J441" s="1217"/>
      <c r="K441" s="1217"/>
      <c r="L441" s="1217"/>
      <c r="M441" s="1217"/>
      <c r="N441" s="1217"/>
      <c r="O441" s="1205"/>
      <c r="P441" s="1205"/>
      <c r="Q441" s="1205"/>
      <c r="R441" s="1205"/>
      <c r="S441" s="1205"/>
      <c r="T441" s="1205"/>
      <c r="U441" s="1205"/>
      <c r="V441" s="1206"/>
      <c r="W441" s="1206"/>
      <c r="X441" s="1206"/>
    </row>
    <row r="442" spans="1:24" ht="15.75" customHeight="1">
      <c r="A442" s="1205"/>
      <c r="B442" s="1205"/>
      <c r="C442" s="1217"/>
      <c r="D442" s="1217"/>
      <c r="E442" s="1217"/>
      <c r="F442" s="1217"/>
      <c r="G442" s="1217"/>
      <c r="H442" s="1217"/>
      <c r="I442" s="1217"/>
      <c r="J442" s="1217"/>
      <c r="K442" s="1217"/>
      <c r="L442" s="1217"/>
      <c r="M442" s="1217"/>
      <c r="N442" s="1217"/>
      <c r="O442" s="1205"/>
      <c r="P442" s="1205"/>
      <c r="Q442" s="1205"/>
      <c r="R442" s="1205"/>
      <c r="S442" s="1205"/>
      <c r="T442" s="1205"/>
      <c r="U442" s="1205"/>
      <c r="V442" s="1206"/>
      <c r="W442" s="1206"/>
      <c r="X442" s="1206"/>
    </row>
    <row r="443" spans="1:24" ht="15.75" customHeight="1">
      <c r="A443" s="1205"/>
      <c r="B443" s="1205"/>
      <c r="C443" s="1217"/>
      <c r="D443" s="1217"/>
      <c r="E443" s="1217"/>
      <c r="F443" s="1217"/>
      <c r="G443" s="1217"/>
      <c r="H443" s="1217"/>
      <c r="I443" s="1217"/>
      <c r="J443" s="1217"/>
      <c r="K443" s="1217"/>
      <c r="L443" s="1217"/>
      <c r="M443" s="1217"/>
      <c r="N443" s="1217"/>
      <c r="O443" s="1205"/>
      <c r="P443" s="1205"/>
      <c r="Q443" s="1205"/>
      <c r="R443" s="1205"/>
      <c r="S443" s="1205"/>
      <c r="T443" s="1205"/>
      <c r="U443" s="1205"/>
      <c r="V443" s="1206"/>
      <c r="W443" s="1206"/>
      <c r="X443" s="1206"/>
    </row>
    <row r="444" spans="1:24" ht="15.75" customHeight="1">
      <c r="A444" s="1205"/>
      <c r="B444" s="1205"/>
      <c r="C444" s="1217"/>
      <c r="D444" s="1217"/>
      <c r="E444" s="1217"/>
      <c r="F444" s="1217"/>
      <c r="G444" s="1217"/>
      <c r="H444" s="1217"/>
      <c r="I444" s="1217"/>
      <c r="J444" s="1217"/>
      <c r="K444" s="1217"/>
      <c r="L444" s="1217"/>
      <c r="M444" s="1217"/>
      <c r="N444" s="1217"/>
      <c r="O444" s="1205"/>
      <c r="P444" s="1205"/>
      <c r="Q444" s="1205"/>
      <c r="R444" s="1205"/>
      <c r="S444" s="1205"/>
      <c r="T444" s="1205"/>
      <c r="U444" s="1205"/>
      <c r="V444" s="1206"/>
      <c r="W444" s="1206"/>
      <c r="X444" s="1206"/>
    </row>
    <row r="445" spans="1:24" ht="15.75" customHeight="1">
      <c r="A445" s="1205"/>
      <c r="B445" s="1205"/>
      <c r="C445" s="1217"/>
      <c r="D445" s="1217"/>
      <c r="E445" s="1217"/>
      <c r="F445" s="1217"/>
      <c r="G445" s="1217"/>
      <c r="H445" s="1217"/>
      <c r="I445" s="1217"/>
      <c r="J445" s="1217"/>
      <c r="K445" s="1217"/>
      <c r="L445" s="1217"/>
      <c r="M445" s="1217"/>
      <c r="N445" s="1217"/>
      <c r="O445" s="1205"/>
      <c r="P445" s="1205"/>
      <c r="Q445" s="1205"/>
      <c r="R445" s="1205"/>
      <c r="S445" s="1205"/>
      <c r="T445" s="1205"/>
      <c r="U445" s="1205"/>
      <c r="V445" s="1206"/>
      <c r="W445" s="1206"/>
      <c r="X445" s="1206"/>
    </row>
    <row r="446" spans="1:24" ht="15.75" customHeight="1">
      <c r="A446" s="1205"/>
      <c r="B446" s="1205"/>
      <c r="C446" s="1217"/>
      <c r="D446" s="1217"/>
      <c r="E446" s="1217"/>
      <c r="F446" s="1217"/>
      <c r="G446" s="1217"/>
      <c r="H446" s="1217"/>
      <c r="I446" s="1217"/>
      <c r="J446" s="1217"/>
      <c r="K446" s="1217"/>
      <c r="L446" s="1217"/>
      <c r="M446" s="1217"/>
      <c r="N446" s="1217"/>
      <c r="O446" s="1205"/>
      <c r="P446" s="1205"/>
      <c r="Q446" s="1205"/>
      <c r="R446" s="1205"/>
      <c r="S446" s="1205"/>
      <c r="T446" s="1205"/>
      <c r="U446" s="1205"/>
      <c r="V446" s="1206"/>
      <c r="W446" s="1206"/>
      <c r="X446" s="1206"/>
    </row>
    <row r="447" spans="1:24" ht="15.75" customHeight="1">
      <c r="A447" s="1205"/>
      <c r="B447" s="1205"/>
      <c r="C447" s="1217"/>
      <c r="D447" s="1217"/>
      <c r="E447" s="1217"/>
      <c r="F447" s="1217"/>
      <c r="G447" s="1217"/>
      <c r="H447" s="1217"/>
      <c r="I447" s="1217"/>
      <c r="J447" s="1217"/>
      <c r="K447" s="1217"/>
      <c r="L447" s="1217"/>
      <c r="M447" s="1217"/>
      <c r="N447" s="1217"/>
      <c r="O447" s="1205"/>
      <c r="P447" s="1205"/>
      <c r="Q447" s="1205"/>
      <c r="R447" s="1205"/>
      <c r="S447" s="1205"/>
      <c r="T447" s="1205"/>
      <c r="U447" s="1205"/>
      <c r="V447" s="1206"/>
      <c r="W447" s="1206"/>
      <c r="X447" s="1206"/>
    </row>
    <row r="448" spans="1:24" ht="15.75" customHeight="1">
      <c r="A448" s="1205"/>
      <c r="B448" s="1205"/>
      <c r="C448" s="1217"/>
      <c r="D448" s="1217"/>
      <c r="E448" s="1217"/>
      <c r="F448" s="1217"/>
      <c r="G448" s="1217"/>
      <c r="H448" s="1217"/>
      <c r="I448" s="1217"/>
      <c r="J448" s="1217"/>
      <c r="K448" s="1217"/>
      <c r="L448" s="1217"/>
      <c r="M448" s="1217"/>
      <c r="N448" s="1217"/>
      <c r="O448" s="1205"/>
      <c r="P448" s="1205"/>
      <c r="Q448" s="1205"/>
      <c r="R448" s="1205"/>
      <c r="S448" s="1205"/>
      <c r="T448" s="1205"/>
      <c r="U448" s="1205"/>
      <c r="V448" s="1206"/>
      <c r="W448" s="1206"/>
      <c r="X448" s="1206"/>
    </row>
    <row r="449" spans="1:24" ht="15.75" customHeight="1">
      <c r="A449" s="1205"/>
      <c r="B449" s="1205"/>
      <c r="C449" s="1217"/>
      <c r="D449" s="1217"/>
      <c r="E449" s="1217"/>
      <c r="F449" s="1217"/>
      <c r="G449" s="1217"/>
      <c r="H449" s="1217"/>
      <c r="I449" s="1217"/>
      <c r="J449" s="1217"/>
      <c r="K449" s="1217"/>
      <c r="L449" s="1217"/>
      <c r="M449" s="1217"/>
      <c r="N449" s="1217"/>
      <c r="O449" s="1205"/>
      <c r="P449" s="1205"/>
      <c r="Q449" s="1205"/>
      <c r="R449" s="1205"/>
      <c r="S449" s="1205"/>
      <c r="T449" s="1205"/>
      <c r="U449" s="1205"/>
      <c r="V449" s="1206"/>
      <c r="W449" s="1206"/>
      <c r="X449" s="1206"/>
    </row>
    <row r="450" spans="1:24" ht="15.75" customHeight="1">
      <c r="A450" s="1205"/>
      <c r="B450" s="1205"/>
      <c r="C450" s="1217"/>
      <c r="D450" s="1217"/>
      <c r="E450" s="1217"/>
      <c r="F450" s="1217"/>
      <c r="G450" s="1217"/>
      <c r="H450" s="1217"/>
      <c r="I450" s="1217"/>
      <c r="J450" s="1217"/>
      <c r="K450" s="1217"/>
      <c r="L450" s="1217"/>
      <c r="M450" s="1217"/>
      <c r="N450" s="1217"/>
      <c r="O450" s="1205"/>
      <c r="P450" s="1205"/>
      <c r="Q450" s="1205"/>
      <c r="R450" s="1205"/>
      <c r="S450" s="1205"/>
      <c r="T450" s="1205"/>
      <c r="U450" s="1205"/>
      <c r="V450" s="1206"/>
      <c r="W450" s="1206"/>
      <c r="X450" s="1206"/>
    </row>
    <row r="451" spans="1:24" ht="15.75" customHeight="1">
      <c r="A451" s="1205"/>
      <c r="B451" s="1205"/>
      <c r="C451" s="1217"/>
      <c r="D451" s="1217"/>
      <c r="E451" s="1217"/>
      <c r="F451" s="1217"/>
      <c r="G451" s="1217"/>
      <c r="H451" s="1217"/>
      <c r="I451" s="1217"/>
      <c r="J451" s="1217"/>
      <c r="K451" s="1217"/>
      <c r="L451" s="1217"/>
      <c r="M451" s="1217"/>
      <c r="N451" s="1217"/>
      <c r="O451" s="1205"/>
      <c r="P451" s="1205"/>
      <c r="Q451" s="1205"/>
      <c r="R451" s="1205"/>
      <c r="S451" s="1205"/>
      <c r="T451" s="1205"/>
      <c r="U451" s="1205"/>
      <c r="V451" s="1206"/>
      <c r="W451" s="1206"/>
      <c r="X451" s="1206"/>
    </row>
    <row r="452" spans="1:24" ht="15.75" customHeight="1">
      <c r="A452" s="1205"/>
      <c r="B452" s="1205"/>
      <c r="C452" s="1217"/>
      <c r="D452" s="1217"/>
      <c r="E452" s="1217"/>
      <c r="F452" s="1217"/>
      <c r="G452" s="1217"/>
      <c r="H452" s="1217"/>
      <c r="I452" s="1217"/>
      <c r="J452" s="1217"/>
      <c r="K452" s="1217"/>
      <c r="L452" s="1217"/>
      <c r="M452" s="1217"/>
      <c r="N452" s="1217"/>
      <c r="O452" s="1205"/>
      <c r="P452" s="1205"/>
      <c r="Q452" s="1205"/>
      <c r="R452" s="1205"/>
      <c r="S452" s="1205"/>
      <c r="T452" s="1205"/>
      <c r="U452" s="1205"/>
      <c r="V452" s="1206"/>
      <c r="W452" s="1206"/>
      <c r="X452" s="1206"/>
    </row>
    <row r="453" spans="1:24" ht="15.75" customHeight="1">
      <c r="A453" s="1205"/>
      <c r="B453" s="1205"/>
      <c r="C453" s="1217"/>
      <c r="D453" s="1217"/>
      <c r="E453" s="1217"/>
      <c r="F453" s="1217"/>
      <c r="G453" s="1217"/>
      <c r="H453" s="1217"/>
      <c r="I453" s="1217"/>
      <c r="J453" s="1217"/>
      <c r="K453" s="1217"/>
      <c r="L453" s="1217"/>
      <c r="M453" s="1217"/>
      <c r="N453" s="1217"/>
      <c r="O453" s="1205"/>
      <c r="P453" s="1205"/>
      <c r="Q453" s="1205"/>
      <c r="R453" s="1205"/>
      <c r="S453" s="1205"/>
      <c r="T453" s="1205"/>
      <c r="U453" s="1205"/>
      <c r="V453" s="1206"/>
      <c r="W453" s="1206"/>
      <c r="X453" s="1206"/>
    </row>
    <row r="454" spans="1:24" ht="15.75" customHeight="1">
      <c r="A454" s="1205"/>
      <c r="B454" s="1205"/>
      <c r="C454" s="1217"/>
      <c r="D454" s="1217"/>
      <c r="E454" s="1217"/>
      <c r="F454" s="1217"/>
      <c r="G454" s="1217"/>
      <c r="H454" s="1217"/>
      <c r="I454" s="1217"/>
      <c r="J454" s="1217"/>
      <c r="K454" s="1217"/>
      <c r="L454" s="1217"/>
      <c r="M454" s="1217"/>
      <c r="N454" s="1217"/>
      <c r="O454" s="1205"/>
      <c r="P454" s="1205"/>
      <c r="Q454" s="1205"/>
      <c r="R454" s="1205"/>
      <c r="S454" s="1205"/>
      <c r="T454" s="1205"/>
      <c r="U454" s="1205"/>
      <c r="V454" s="1206"/>
      <c r="W454" s="1206"/>
      <c r="X454" s="1206"/>
    </row>
    <row r="455" spans="1:24" ht="15.75" customHeight="1">
      <c r="A455" s="1205"/>
      <c r="B455" s="1205"/>
      <c r="C455" s="1217"/>
      <c r="D455" s="1217"/>
      <c r="E455" s="1217"/>
      <c r="F455" s="1217"/>
      <c r="G455" s="1217"/>
      <c r="H455" s="1217"/>
      <c r="I455" s="1217"/>
      <c r="J455" s="1217"/>
      <c r="K455" s="1217"/>
      <c r="L455" s="1217"/>
      <c r="M455" s="1217"/>
      <c r="N455" s="1217"/>
      <c r="O455" s="1205"/>
      <c r="P455" s="1205"/>
      <c r="Q455" s="1205"/>
      <c r="R455" s="1205"/>
      <c r="S455" s="1205"/>
      <c r="T455" s="1205"/>
      <c r="U455" s="1205"/>
      <c r="V455" s="1206"/>
      <c r="W455" s="1206"/>
      <c r="X455" s="1206"/>
    </row>
    <row r="456" spans="1:24" ht="15.75" customHeight="1">
      <c r="A456" s="1298"/>
      <c r="B456" s="1298"/>
      <c r="C456" s="1299"/>
      <c r="D456" s="1299"/>
      <c r="E456" s="1299"/>
      <c r="F456" s="1299"/>
      <c r="G456" s="1299"/>
      <c r="H456" s="1299"/>
      <c r="I456" s="1299"/>
      <c r="J456" s="1299"/>
      <c r="K456" s="1299"/>
      <c r="L456" s="1299"/>
      <c r="M456" s="1299"/>
      <c r="N456" s="1299"/>
      <c r="O456" s="1298"/>
      <c r="P456" s="1298"/>
      <c r="Q456" s="1298"/>
      <c r="R456" s="1298"/>
      <c r="S456" s="1298"/>
      <c r="T456" s="1298"/>
      <c r="U456" s="1298"/>
    </row>
    <row r="457" spans="1:24" ht="15.75" customHeight="1">
      <c r="A457" s="1298"/>
      <c r="B457" s="1298"/>
      <c r="C457" s="1299"/>
      <c r="D457" s="1299"/>
      <c r="E457" s="1299"/>
      <c r="F457" s="1299"/>
      <c r="G457" s="1299"/>
      <c r="H457" s="1299"/>
      <c r="I457" s="1299"/>
      <c r="J457" s="1299"/>
      <c r="K457" s="1299"/>
      <c r="L457" s="1299"/>
      <c r="M457" s="1299"/>
      <c r="N457" s="1299"/>
      <c r="O457" s="1298"/>
      <c r="P457" s="1298"/>
      <c r="Q457" s="1298"/>
      <c r="R457" s="1298"/>
      <c r="S457" s="1298"/>
      <c r="T457" s="1298"/>
      <c r="U457" s="1298"/>
    </row>
    <row r="458" spans="1:24" ht="15.75" customHeight="1">
      <c r="A458" s="1298"/>
      <c r="B458" s="1298"/>
      <c r="C458" s="1299"/>
      <c r="D458" s="1299"/>
      <c r="E458" s="1299"/>
      <c r="F458" s="1299"/>
      <c r="G458" s="1299"/>
      <c r="H458" s="1299"/>
      <c r="I458" s="1299"/>
      <c r="J458" s="1299"/>
      <c r="K458" s="1299"/>
      <c r="L458" s="1299"/>
      <c r="M458" s="1299"/>
      <c r="N458" s="1299"/>
      <c r="O458" s="1298"/>
      <c r="P458" s="1298"/>
      <c r="Q458" s="1298"/>
      <c r="R458" s="1298"/>
      <c r="S458" s="1298"/>
      <c r="T458" s="1298"/>
      <c r="U458" s="1298"/>
    </row>
    <row r="459" spans="1:24" ht="15.75" customHeight="1">
      <c r="A459" s="1298"/>
      <c r="B459" s="1298"/>
      <c r="C459" s="1299"/>
      <c r="D459" s="1299"/>
      <c r="E459" s="1299"/>
      <c r="F459" s="1299"/>
      <c r="G459" s="1299"/>
      <c r="H459" s="1299"/>
      <c r="I459" s="1299"/>
      <c r="J459" s="1299"/>
      <c r="K459" s="1299"/>
      <c r="L459" s="1299"/>
      <c r="M459" s="1299"/>
      <c r="N459" s="1299"/>
      <c r="O459" s="1298"/>
      <c r="P459" s="1298"/>
      <c r="Q459" s="1298"/>
      <c r="R459" s="1298"/>
      <c r="S459" s="1298"/>
      <c r="T459" s="1298"/>
      <c r="U459" s="1298"/>
    </row>
    <row r="460" spans="1:24" ht="15.75" customHeight="1">
      <c r="A460" s="1298"/>
      <c r="B460" s="1298"/>
      <c r="C460" s="1299"/>
      <c r="D460" s="1299"/>
      <c r="E460" s="1299"/>
      <c r="F460" s="1299"/>
      <c r="G460" s="1299"/>
      <c r="H460" s="1299"/>
      <c r="I460" s="1299"/>
      <c r="J460" s="1299"/>
      <c r="K460" s="1299"/>
      <c r="L460" s="1299"/>
      <c r="M460" s="1299"/>
      <c r="N460" s="1299"/>
      <c r="O460" s="1298"/>
      <c r="P460" s="1298"/>
      <c r="Q460" s="1298"/>
      <c r="R460" s="1298"/>
      <c r="S460" s="1298"/>
      <c r="T460" s="1298"/>
      <c r="U460" s="1298"/>
    </row>
    <row r="461" spans="1:24" ht="15.75" customHeight="1">
      <c r="A461" s="1298"/>
      <c r="B461" s="1298"/>
      <c r="C461" s="1299"/>
      <c r="D461" s="1299"/>
      <c r="E461" s="1299"/>
      <c r="F461" s="1299"/>
      <c r="G461" s="1299"/>
      <c r="H461" s="1299"/>
      <c r="I461" s="1299"/>
      <c r="J461" s="1299"/>
      <c r="K461" s="1299"/>
      <c r="L461" s="1299"/>
      <c r="M461" s="1299"/>
      <c r="N461" s="1299"/>
      <c r="O461" s="1298"/>
      <c r="P461" s="1298"/>
      <c r="Q461" s="1298"/>
      <c r="R461" s="1298"/>
      <c r="S461" s="1298"/>
      <c r="T461" s="1298"/>
      <c r="U461" s="1298"/>
    </row>
    <row r="462" spans="1:24" ht="15.75" customHeight="1">
      <c r="A462" s="1298"/>
      <c r="B462" s="1298"/>
      <c r="C462" s="1299"/>
      <c r="D462" s="1299"/>
      <c r="E462" s="1299"/>
      <c r="F462" s="1299"/>
      <c r="G462" s="1299"/>
      <c r="H462" s="1299"/>
      <c r="I462" s="1299"/>
      <c r="J462" s="1299"/>
      <c r="K462" s="1299"/>
      <c r="L462" s="1299"/>
      <c r="M462" s="1299"/>
      <c r="N462" s="1299"/>
      <c r="O462" s="1298"/>
      <c r="P462" s="1298"/>
      <c r="Q462" s="1298"/>
      <c r="R462" s="1298"/>
      <c r="S462" s="1298"/>
      <c r="T462" s="1298"/>
      <c r="U462" s="1298"/>
    </row>
    <row r="463" spans="1:24" ht="15.75" customHeight="1">
      <c r="A463" s="1298"/>
      <c r="B463" s="1298"/>
      <c r="C463" s="1299"/>
      <c r="D463" s="1299"/>
      <c r="E463" s="1299"/>
      <c r="F463" s="1299"/>
      <c r="G463" s="1299"/>
      <c r="H463" s="1299"/>
      <c r="I463" s="1299"/>
      <c r="J463" s="1299"/>
      <c r="K463" s="1299"/>
      <c r="L463" s="1299"/>
      <c r="M463" s="1299"/>
      <c r="N463" s="1299"/>
      <c r="O463" s="1298"/>
      <c r="P463" s="1298"/>
      <c r="Q463" s="1298"/>
      <c r="R463" s="1298"/>
      <c r="S463" s="1298"/>
      <c r="T463" s="1298"/>
      <c r="U463" s="1298"/>
    </row>
    <row r="464" spans="1:24" ht="15.75" customHeight="1">
      <c r="A464" s="1298"/>
      <c r="B464" s="1298"/>
      <c r="C464" s="1299"/>
      <c r="D464" s="1299"/>
      <c r="E464" s="1299"/>
      <c r="F464" s="1299"/>
      <c r="G464" s="1299"/>
      <c r="H464" s="1299"/>
      <c r="I464" s="1299"/>
      <c r="J464" s="1299"/>
      <c r="K464" s="1299"/>
      <c r="L464" s="1299"/>
      <c r="M464" s="1299"/>
      <c r="N464" s="1299"/>
      <c r="O464" s="1298"/>
      <c r="P464" s="1298"/>
      <c r="Q464" s="1298"/>
      <c r="R464" s="1298"/>
      <c r="S464" s="1298"/>
      <c r="T464" s="1298"/>
      <c r="U464" s="1298"/>
    </row>
    <row r="465" spans="1:21" ht="15.75" customHeight="1">
      <c r="A465" s="1298"/>
      <c r="B465" s="1298"/>
      <c r="C465" s="1299"/>
      <c r="D465" s="1299"/>
      <c r="E465" s="1299"/>
      <c r="F465" s="1299"/>
      <c r="G465" s="1299"/>
      <c r="H465" s="1299"/>
      <c r="I465" s="1299"/>
      <c r="J465" s="1299"/>
      <c r="K465" s="1299"/>
      <c r="L465" s="1299"/>
      <c r="M465" s="1299"/>
      <c r="N465" s="1299"/>
      <c r="O465" s="1298"/>
      <c r="P465" s="1298"/>
      <c r="Q465" s="1298"/>
      <c r="R465" s="1298"/>
      <c r="S465" s="1298"/>
      <c r="T465" s="1298"/>
      <c r="U465" s="1298"/>
    </row>
    <row r="466" spans="1:21" ht="15.75" customHeight="1">
      <c r="A466" s="1298"/>
      <c r="B466" s="1298"/>
      <c r="C466" s="1299"/>
      <c r="D466" s="1299"/>
      <c r="E466" s="1299"/>
      <c r="F466" s="1299"/>
      <c r="G466" s="1299"/>
      <c r="H466" s="1299"/>
      <c r="I466" s="1299"/>
      <c r="J466" s="1299"/>
      <c r="K466" s="1299"/>
      <c r="L466" s="1299"/>
      <c r="M466" s="1299"/>
      <c r="N466" s="1299"/>
      <c r="O466" s="1298"/>
      <c r="P466" s="1298"/>
      <c r="Q466" s="1298"/>
      <c r="R466" s="1298"/>
      <c r="S466" s="1298"/>
      <c r="T466" s="1298"/>
      <c r="U466" s="1298"/>
    </row>
    <row r="467" spans="1:21" ht="15.75" customHeight="1">
      <c r="A467" s="1298"/>
      <c r="B467" s="1298"/>
      <c r="C467" s="1299"/>
      <c r="D467" s="1299"/>
      <c r="E467" s="1299"/>
      <c r="F467" s="1299"/>
      <c r="G467" s="1299"/>
      <c r="H467" s="1299"/>
      <c r="I467" s="1299"/>
      <c r="J467" s="1299"/>
      <c r="K467" s="1299"/>
      <c r="L467" s="1299"/>
      <c r="M467" s="1299"/>
      <c r="N467" s="1299"/>
      <c r="O467" s="1298"/>
      <c r="P467" s="1298"/>
      <c r="Q467" s="1298"/>
      <c r="R467" s="1298"/>
      <c r="S467" s="1298"/>
      <c r="T467" s="1298"/>
      <c r="U467" s="1298"/>
    </row>
    <row r="468" spans="1:21" ht="15.75" customHeight="1">
      <c r="A468" s="1298"/>
      <c r="B468" s="1298"/>
      <c r="C468" s="1299"/>
      <c r="D468" s="1299"/>
      <c r="E468" s="1299"/>
      <c r="F468" s="1299"/>
      <c r="G468" s="1299"/>
      <c r="H468" s="1299"/>
      <c r="I468" s="1299"/>
      <c r="J468" s="1299"/>
      <c r="K468" s="1299"/>
      <c r="L468" s="1299"/>
      <c r="M468" s="1299"/>
      <c r="N468" s="1299"/>
      <c r="O468" s="1298"/>
      <c r="P468" s="1298"/>
      <c r="Q468" s="1298"/>
      <c r="R468" s="1298"/>
      <c r="S468" s="1298"/>
      <c r="T468" s="1298"/>
      <c r="U468" s="1298"/>
    </row>
    <row r="469" spans="1:21" ht="15.75" customHeight="1">
      <c r="A469" s="1298"/>
      <c r="B469" s="1298"/>
      <c r="C469" s="1299"/>
      <c r="D469" s="1299"/>
      <c r="E469" s="1299"/>
      <c r="F469" s="1299"/>
      <c r="G469" s="1299"/>
      <c r="H469" s="1299"/>
      <c r="I469" s="1299"/>
      <c r="J469" s="1299"/>
      <c r="K469" s="1299"/>
      <c r="L469" s="1299"/>
      <c r="M469" s="1299"/>
      <c r="N469" s="1299"/>
      <c r="O469" s="1298"/>
      <c r="P469" s="1298"/>
      <c r="Q469" s="1298"/>
      <c r="R469" s="1298"/>
      <c r="S469" s="1298"/>
      <c r="T469" s="1298"/>
      <c r="U469" s="1298"/>
    </row>
    <row r="470" spans="1:21" ht="15.75" customHeight="1">
      <c r="C470" s="1300"/>
      <c r="D470" s="1300"/>
      <c r="E470" s="1300"/>
      <c r="F470" s="1300"/>
      <c r="G470" s="1300"/>
      <c r="H470" s="1300"/>
      <c r="I470" s="1300"/>
      <c r="J470" s="1300"/>
      <c r="K470" s="1300"/>
      <c r="L470" s="1300"/>
      <c r="M470" s="1300"/>
      <c r="N470" s="1300"/>
    </row>
    <row r="471" spans="1:21" ht="15.75" customHeight="1">
      <c r="C471" s="1300"/>
      <c r="D471" s="1300"/>
      <c r="E471" s="1300"/>
      <c r="F471" s="1300"/>
      <c r="G471" s="1300"/>
      <c r="H471" s="1300"/>
      <c r="I471" s="1300"/>
      <c r="J471" s="1300"/>
      <c r="K471" s="1300"/>
      <c r="L471" s="1300"/>
      <c r="M471" s="1300"/>
      <c r="N471" s="1300"/>
    </row>
    <row r="472" spans="1:21" ht="15.75" customHeight="1">
      <c r="C472" s="1300"/>
      <c r="D472" s="1300"/>
      <c r="E472" s="1300"/>
      <c r="F472" s="1300"/>
      <c r="G472" s="1300"/>
      <c r="H472" s="1300"/>
      <c r="I472" s="1300"/>
      <c r="J472" s="1300"/>
      <c r="K472" s="1300"/>
      <c r="L472" s="1300"/>
      <c r="M472" s="1300"/>
      <c r="N472" s="1300"/>
    </row>
    <row r="473" spans="1:21" ht="15.75" customHeight="1">
      <c r="C473" s="1300"/>
      <c r="D473" s="1300"/>
      <c r="E473" s="1300"/>
      <c r="F473" s="1300"/>
      <c r="G473" s="1300"/>
      <c r="H473" s="1300"/>
      <c r="I473" s="1300"/>
      <c r="J473" s="1300"/>
      <c r="K473" s="1300"/>
      <c r="L473" s="1300"/>
      <c r="M473" s="1300"/>
      <c r="N473" s="1300"/>
    </row>
    <row r="474" spans="1:21" ht="15.75" customHeight="1">
      <c r="C474" s="1300"/>
      <c r="D474" s="1300"/>
      <c r="E474" s="1300"/>
      <c r="F474" s="1300"/>
      <c r="G474" s="1300"/>
      <c r="H474" s="1300"/>
      <c r="I474" s="1300"/>
      <c r="J474" s="1300"/>
      <c r="K474" s="1300"/>
      <c r="L474" s="1300"/>
      <c r="M474" s="1300"/>
      <c r="N474" s="1300"/>
    </row>
    <row r="475" spans="1:21" ht="15.75" customHeight="1">
      <c r="C475" s="1300"/>
      <c r="D475" s="1300"/>
      <c r="E475" s="1300"/>
      <c r="F475" s="1300"/>
      <c r="G475" s="1300"/>
      <c r="H475" s="1300"/>
      <c r="I475" s="1300"/>
      <c r="J475" s="1300"/>
      <c r="K475" s="1300"/>
      <c r="L475" s="1300"/>
      <c r="M475" s="1300"/>
      <c r="N475" s="1300"/>
    </row>
    <row r="476" spans="1:21" ht="15.75" customHeight="1">
      <c r="C476" s="1300"/>
      <c r="D476" s="1300"/>
      <c r="E476" s="1300"/>
      <c r="F476" s="1300"/>
      <c r="G476" s="1300"/>
      <c r="H476" s="1300"/>
      <c r="I476" s="1300"/>
      <c r="J476" s="1300"/>
      <c r="K476" s="1300"/>
      <c r="L476" s="1300"/>
      <c r="M476" s="1300"/>
      <c r="N476" s="1300"/>
    </row>
    <row r="477" spans="1:21" ht="15.75" customHeight="1">
      <c r="C477" s="1300"/>
      <c r="D477" s="1300"/>
      <c r="E477" s="1300"/>
      <c r="F477" s="1300"/>
      <c r="G477" s="1300"/>
      <c r="H477" s="1300"/>
      <c r="I477" s="1300"/>
      <c r="J477" s="1300"/>
      <c r="K477" s="1300"/>
      <c r="L477" s="1300"/>
      <c r="M477" s="1300"/>
      <c r="N477" s="1300"/>
    </row>
    <row r="478" spans="1:21" ht="15.75" customHeight="1">
      <c r="C478" s="1300"/>
      <c r="D478" s="1300"/>
      <c r="E478" s="1300"/>
      <c r="F478" s="1300"/>
      <c r="G478" s="1300"/>
      <c r="H478" s="1300"/>
      <c r="I478" s="1300"/>
      <c r="J478" s="1300"/>
      <c r="K478" s="1300"/>
      <c r="L478" s="1300"/>
      <c r="M478" s="1300"/>
      <c r="N478" s="1300"/>
    </row>
    <row r="479" spans="1:21" ht="15.75" customHeight="1">
      <c r="C479" s="1300"/>
      <c r="D479" s="1300"/>
      <c r="E479" s="1300"/>
      <c r="F479" s="1300"/>
      <c r="G479" s="1300"/>
      <c r="H479" s="1300"/>
      <c r="I479" s="1300"/>
      <c r="J479" s="1300"/>
      <c r="K479" s="1300"/>
      <c r="L479" s="1300"/>
      <c r="M479" s="1300"/>
      <c r="N479" s="1300"/>
    </row>
    <row r="480" spans="1:21" ht="15.75" customHeight="1">
      <c r="C480" s="1300"/>
      <c r="D480" s="1300"/>
      <c r="E480" s="1300"/>
      <c r="F480" s="1300"/>
      <c r="G480" s="1300"/>
      <c r="H480" s="1300"/>
      <c r="I480" s="1300"/>
      <c r="J480" s="1300"/>
      <c r="K480" s="1300"/>
      <c r="L480" s="1300"/>
      <c r="M480" s="1300"/>
      <c r="N480" s="1300"/>
    </row>
    <row r="481" spans="3:14" ht="15.75" customHeight="1">
      <c r="C481" s="1300"/>
      <c r="D481" s="1300"/>
      <c r="E481" s="1300"/>
      <c r="F481" s="1300"/>
      <c r="G481" s="1300"/>
      <c r="H481" s="1300"/>
      <c r="I481" s="1300"/>
      <c r="J481" s="1300"/>
      <c r="K481" s="1300"/>
      <c r="L481" s="1300"/>
      <c r="M481" s="1300"/>
      <c r="N481" s="1300"/>
    </row>
    <row r="482" spans="3:14" ht="15.75" customHeight="1">
      <c r="C482" s="1300"/>
      <c r="D482" s="1300"/>
      <c r="E482" s="1300"/>
      <c r="F482" s="1300"/>
      <c r="G482" s="1300"/>
      <c r="H482" s="1300"/>
      <c r="I482" s="1300"/>
      <c r="J482" s="1300"/>
      <c r="K482" s="1300"/>
      <c r="L482" s="1300"/>
      <c r="M482" s="1300"/>
      <c r="N482" s="1300"/>
    </row>
    <row r="483" spans="3:14" ht="15.75" customHeight="1">
      <c r="C483" s="1300"/>
      <c r="D483" s="1300"/>
      <c r="E483" s="1300"/>
      <c r="F483" s="1300"/>
      <c r="G483" s="1300"/>
      <c r="H483" s="1300"/>
      <c r="I483" s="1300"/>
      <c r="J483" s="1300"/>
      <c r="K483" s="1300"/>
      <c r="L483" s="1300"/>
      <c r="M483" s="1300"/>
      <c r="N483" s="1300"/>
    </row>
    <row r="484" spans="3:14" ht="15.75" customHeight="1">
      <c r="C484" s="1300"/>
      <c r="D484" s="1300"/>
      <c r="E484" s="1300"/>
      <c r="F484" s="1300"/>
      <c r="G484" s="1300"/>
      <c r="H484" s="1300"/>
      <c r="I484" s="1300"/>
      <c r="J484" s="1300"/>
      <c r="K484" s="1300"/>
      <c r="L484" s="1300"/>
      <c r="M484" s="1300"/>
      <c r="N484" s="1300"/>
    </row>
    <row r="485" spans="3:14" ht="15.75" customHeight="1">
      <c r="C485" s="1300"/>
      <c r="D485" s="1300"/>
      <c r="E485" s="1300"/>
      <c r="F485" s="1300"/>
      <c r="G485" s="1300"/>
      <c r="H485" s="1300"/>
      <c r="I485" s="1300"/>
      <c r="J485" s="1300"/>
      <c r="K485" s="1300"/>
      <c r="L485" s="1300"/>
      <c r="M485" s="1300"/>
      <c r="N485" s="1300"/>
    </row>
    <row r="486" spans="3:14" ht="15.75" customHeight="1">
      <c r="C486" s="1300"/>
      <c r="D486" s="1300"/>
      <c r="E486" s="1300"/>
      <c r="F486" s="1300"/>
      <c r="G486" s="1300"/>
      <c r="H486" s="1300"/>
      <c r="I486" s="1300"/>
      <c r="J486" s="1300"/>
      <c r="K486" s="1300"/>
      <c r="L486" s="1300"/>
      <c r="M486" s="1300"/>
      <c r="N486" s="1300"/>
    </row>
    <row r="487" spans="3:14" ht="15.75" customHeight="1">
      <c r="C487" s="1300"/>
      <c r="D487" s="1300"/>
      <c r="E487" s="1300"/>
      <c r="F487" s="1300"/>
      <c r="G487" s="1300"/>
      <c r="H487" s="1300"/>
      <c r="I487" s="1300"/>
      <c r="J487" s="1300"/>
      <c r="K487" s="1300"/>
      <c r="L487" s="1300"/>
      <c r="M487" s="1300"/>
      <c r="N487" s="1300"/>
    </row>
    <row r="488" spans="3:14" ht="15.75" customHeight="1">
      <c r="C488" s="1300"/>
      <c r="D488" s="1300"/>
      <c r="E488" s="1300"/>
      <c r="F488" s="1300"/>
      <c r="G488" s="1300"/>
      <c r="H488" s="1300"/>
      <c r="I488" s="1300"/>
      <c r="J488" s="1300"/>
      <c r="K488" s="1300"/>
      <c r="L488" s="1300"/>
      <c r="M488" s="1300"/>
      <c r="N488" s="1300"/>
    </row>
    <row r="489" spans="3:14" ht="15.75" customHeight="1">
      <c r="C489" s="1300"/>
      <c r="D489" s="1300"/>
      <c r="E489" s="1300"/>
      <c r="F489" s="1300"/>
      <c r="G489" s="1300"/>
      <c r="H489" s="1300"/>
      <c r="I489" s="1300"/>
      <c r="J489" s="1300"/>
      <c r="K489" s="1300"/>
      <c r="L489" s="1300"/>
      <c r="M489" s="1300"/>
      <c r="N489" s="1300"/>
    </row>
    <row r="490" spans="3:14" ht="15.75" customHeight="1">
      <c r="C490" s="1300"/>
      <c r="D490" s="1300"/>
      <c r="E490" s="1300"/>
      <c r="F490" s="1300"/>
      <c r="G490" s="1300"/>
      <c r="H490" s="1300"/>
      <c r="I490" s="1300"/>
      <c r="J490" s="1300"/>
      <c r="K490" s="1300"/>
      <c r="L490" s="1300"/>
      <c r="M490" s="1300"/>
      <c r="N490" s="1300"/>
    </row>
    <row r="491" spans="3:14" ht="15.75" customHeight="1">
      <c r="C491" s="1300"/>
      <c r="D491" s="1300"/>
      <c r="E491" s="1300"/>
      <c r="F491" s="1300"/>
      <c r="G491" s="1300"/>
      <c r="H491" s="1300"/>
      <c r="I491" s="1300"/>
      <c r="J491" s="1300"/>
      <c r="K491" s="1300"/>
      <c r="L491" s="1300"/>
      <c r="M491" s="1300"/>
      <c r="N491" s="1300"/>
    </row>
    <row r="492" spans="3:14" ht="15.75" customHeight="1">
      <c r="C492" s="1300"/>
      <c r="D492" s="1300"/>
      <c r="E492" s="1300"/>
      <c r="F492" s="1300"/>
      <c r="G492" s="1300"/>
      <c r="H492" s="1300"/>
      <c r="I492" s="1300"/>
      <c r="J492" s="1300"/>
      <c r="K492" s="1300"/>
      <c r="L492" s="1300"/>
      <c r="M492" s="1300"/>
      <c r="N492" s="1300"/>
    </row>
    <row r="493" spans="3:14" ht="15.75" customHeight="1">
      <c r="C493" s="1300"/>
      <c r="D493" s="1300"/>
      <c r="E493" s="1300"/>
      <c r="F493" s="1300"/>
      <c r="G493" s="1300"/>
      <c r="H493" s="1300"/>
      <c r="I493" s="1300"/>
      <c r="J493" s="1300"/>
      <c r="K493" s="1300"/>
      <c r="L493" s="1300"/>
      <c r="M493" s="1300"/>
      <c r="N493" s="1300"/>
    </row>
    <row r="494" spans="3:14" ht="15.75" customHeight="1">
      <c r="C494" s="1300"/>
      <c r="D494" s="1300"/>
      <c r="E494" s="1300"/>
      <c r="F494" s="1300"/>
      <c r="G494" s="1300"/>
      <c r="H494" s="1300"/>
      <c r="I494" s="1300"/>
      <c r="J494" s="1300"/>
      <c r="K494" s="1300"/>
      <c r="L494" s="1300"/>
      <c r="M494" s="1300"/>
      <c r="N494" s="1300"/>
    </row>
    <row r="495" spans="3:14" ht="15.75" customHeight="1">
      <c r="C495" s="1300"/>
      <c r="D495" s="1300"/>
      <c r="E495" s="1300"/>
      <c r="F495" s="1300"/>
      <c r="G495" s="1300"/>
      <c r="H495" s="1300"/>
      <c r="I495" s="1300"/>
      <c r="J495" s="1300"/>
      <c r="K495" s="1300"/>
      <c r="L495" s="1300"/>
      <c r="M495" s="1300"/>
      <c r="N495" s="1300"/>
    </row>
    <row r="496" spans="3:14" ht="15.75" customHeight="1">
      <c r="C496" s="1300"/>
      <c r="D496" s="1300"/>
      <c r="E496" s="1300"/>
      <c r="F496" s="1300"/>
      <c r="G496" s="1300"/>
      <c r="H496" s="1300"/>
      <c r="I496" s="1300"/>
      <c r="J496" s="1300"/>
      <c r="K496" s="1300"/>
      <c r="L496" s="1300"/>
      <c r="M496" s="1300"/>
      <c r="N496" s="1300"/>
    </row>
    <row r="497" spans="3:14" ht="14.25" customHeight="1">
      <c r="C497" s="1300"/>
      <c r="D497" s="1300"/>
      <c r="E497" s="1300"/>
      <c r="F497" s="1300"/>
      <c r="G497" s="1300"/>
      <c r="H497" s="1300"/>
      <c r="I497" s="1300"/>
      <c r="J497" s="1300"/>
      <c r="K497" s="1300"/>
      <c r="L497" s="1300"/>
      <c r="M497" s="1300"/>
      <c r="N497" s="1300"/>
    </row>
    <row r="498" spans="3:14" ht="14.25" customHeight="1">
      <c r="C498" s="1300"/>
      <c r="D498" s="1300"/>
      <c r="E498" s="1300"/>
      <c r="F498" s="1300"/>
      <c r="G498" s="1300"/>
      <c r="H498" s="1300"/>
      <c r="I498" s="1300"/>
      <c r="J498" s="1300"/>
      <c r="K498" s="1300"/>
      <c r="L498" s="1300"/>
      <c r="M498" s="1300"/>
      <c r="N498" s="1300"/>
    </row>
    <row r="499" spans="3:14" ht="14.25" customHeight="1">
      <c r="C499" s="1300"/>
      <c r="D499" s="1300"/>
      <c r="E499" s="1300"/>
      <c r="F499" s="1300"/>
      <c r="G499" s="1300"/>
      <c r="H499" s="1300"/>
      <c r="I499" s="1300"/>
      <c r="J499" s="1300"/>
      <c r="K499" s="1300"/>
      <c r="L499" s="1300"/>
      <c r="M499" s="1300"/>
      <c r="N499" s="1300"/>
    </row>
    <row r="500" spans="3:14" ht="14.25" customHeight="1">
      <c r="C500" s="1300"/>
      <c r="D500" s="1300"/>
      <c r="E500" s="1300"/>
      <c r="F500" s="1300"/>
      <c r="G500" s="1300"/>
      <c r="H500" s="1300"/>
      <c r="I500" s="1300"/>
      <c r="J500" s="1300"/>
      <c r="K500" s="1300"/>
      <c r="L500" s="1300"/>
      <c r="M500" s="1300"/>
      <c r="N500" s="1300"/>
    </row>
    <row r="501" spans="3:14" ht="14.25" customHeight="1">
      <c r="C501" s="1300"/>
      <c r="D501" s="1300"/>
      <c r="E501" s="1300"/>
      <c r="F501" s="1300"/>
      <c r="G501" s="1300"/>
      <c r="H501" s="1300"/>
      <c r="I501" s="1300"/>
      <c r="J501" s="1300"/>
      <c r="K501" s="1300"/>
      <c r="L501" s="1300"/>
      <c r="M501" s="1300"/>
      <c r="N501" s="1300"/>
    </row>
    <row r="502" spans="3:14" ht="14.25" customHeight="1">
      <c r="C502" s="1300"/>
      <c r="D502" s="1300"/>
      <c r="E502" s="1300"/>
      <c r="F502" s="1300"/>
      <c r="G502" s="1300"/>
      <c r="H502" s="1300"/>
      <c r="I502" s="1300"/>
      <c r="J502" s="1300"/>
      <c r="K502" s="1300"/>
      <c r="L502" s="1300"/>
      <c r="M502" s="1300"/>
      <c r="N502" s="1300"/>
    </row>
    <row r="503" spans="3:14" ht="14.25" customHeight="1">
      <c r="C503" s="1300"/>
      <c r="D503" s="1300"/>
      <c r="E503" s="1300"/>
      <c r="F503" s="1300"/>
      <c r="G503" s="1300"/>
      <c r="H503" s="1300"/>
      <c r="I503" s="1300"/>
      <c r="J503" s="1300"/>
      <c r="K503" s="1300"/>
      <c r="L503" s="1300"/>
      <c r="M503" s="1300"/>
      <c r="N503" s="1300"/>
    </row>
    <row r="504" spans="3:14" ht="14.25" customHeight="1">
      <c r="C504" s="1300"/>
      <c r="D504" s="1300"/>
      <c r="E504" s="1300"/>
      <c r="F504" s="1300"/>
      <c r="G504" s="1300"/>
      <c r="H504" s="1300"/>
      <c r="I504" s="1300"/>
      <c r="J504" s="1300"/>
      <c r="K504" s="1300"/>
      <c r="L504" s="1300"/>
      <c r="M504" s="1300"/>
      <c r="N504" s="1300"/>
    </row>
    <row r="505" spans="3:14" ht="14.25" customHeight="1">
      <c r="C505" s="1300"/>
      <c r="D505" s="1300"/>
      <c r="E505" s="1300"/>
      <c r="F505" s="1300"/>
      <c r="G505" s="1300"/>
      <c r="H505" s="1300"/>
      <c r="I505" s="1300"/>
      <c r="J505" s="1300"/>
      <c r="K505" s="1300"/>
      <c r="L505" s="1300"/>
      <c r="M505" s="1300"/>
      <c r="N505" s="1300"/>
    </row>
    <row r="506" spans="3:14" ht="14.25" customHeight="1">
      <c r="C506" s="1300"/>
      <c r="D506" s="1300"/>
      <c r="E506" s="1300"/>
      <c r="F506" s="1300"/>
      <c r="G506" s="1300"/>
      <c r="H506" s="1300"/>
      <c r="I506" s="1300"/>
      <c r="J506" s="1300"/>
      <c r="K506" s="1300"/>
      <c r="L506" s="1300"/>
      <c r="M506" s="1300"/>
      <c r="N506" s="1300"/>
    </row>
    <row r="507" spans="3:14" ht="14.25" customHeight="1">
      <c r="C507" s="1300"/>
      <c r="D507" s="1300"/>
      <c r="E507" s="1300"/>
      <c r="F507" s="1300"/>
      <c r="G507" s="1300"/>
      <c r="H507" s="1300"/>
      <c r="I507" s="1300"/>
      <c r="J507" s="1300"/>
      <c r="K507" s="1300"/>
      <c r="L507" s="1300"/>
      <c r="M507" s="1300"/>
      <c r="N507" s="1300"/>
    </row>
    <row r="508" spans="3:14" ht="14.25" customHeight="1">
      <c r="C508" s="1300"/>
      <c r="D508" s="1300"/>
      <c r="E508" s="1300"/>
      <c r="F508" s="1300"/>
      <c r="G508" s="1300"/>
      <c r="H508" s="1300"/>
      <c r="I508" s="1300"/>
      <c r="J508" s="1300"/>
      <c r="K508" s="1300"/>
      <c r="L508" s="1300"/>
      <c r="M508" s="1300"/>
      <c r="N508" s="1300"/>
    </row>
    <row r="509" spans="3:14" ht="14.25" customHeight="1">
      <c r="C509" s="1300"/>
      <c r="D509" s="1300"/>
      <c r="E509" s="1300"/>
      <c r="F509" s="1300"/>
      <c r="G509" s="1300"/>
      <c r="H509" s="1300"/>
      <c r="I509" s="1300"/>
      <c r="J509" s="1300"/>
      <c r="K509" s="1300"/>
      <c r="L509" s="1300"/>
      <c r="M509" s="1300"/>
      <c r="N509" s="1300"/>
    </row>
    <row r="510" spans="3:14" ht="14.25" customHeight="1">
      <c r="C510" s="1300"/>
      <c r="D510" s="1300"/>
      <c r="E510" s="1300"/>
      <c r="F510" s="1300"/>
      <c r="G510" s="1300"/>
      <c r="H510" s="1300"/>
      <c r="I510" s="1300"/>
      <c r="J510" s="1300"/>
      <c r="K510" s="1300"/>
      <c r="L510" s="1300"/>
      <c r="M510" s="1300"/>
      <c r="N510" s="1300"/>
    </row>
    <row r="511" spans="3:14" ht="14.25" customHeight="1">
      <c r="C511" s="1300"/>
      <c r="D511" s="1300"/>
      <c r="E511" s="1300"/>
      <c r="F511" s="1300"/>
      <c r="G511" s="1300"/>
      <c r="H511" s="1300"/>
      <c r="I511" s="1300"/>
      <c r="J511" s="1300"/>
      <c r="K511" s="1300"/>
      <c r="L511" s="1300"/>
      <c r="M511" s="1300"/>
      <c r="N511" s="1300"/>
    </row>
    <row r="512" spans="3:14" ht="14.25" customHeight="1">
      <c r="C512" s="1300"/>
      <c r="D512" s="1300"/>
      <c r="E512" s="1300"/>
      <c r="F512" s="1300"/>
      <c r="G512" s="1300"/>
      <c r="H512" s="1300"/>
      <c r="I512" s="1300"/>
      <c r="J512" s="1300"/>
      <c r="K512" s="1300"/>
      <c r="L512" s="1300"/>
      <c r="M512" s="1300"/>
      <c r="N512" s="1300"/>
    </row>
    <row r="513" spans="3:14" ht="14.25" customHeight="1">
      <c r="C513" s="1300"/>
      <c r="D513" s="1300"/>
      <c r="E513" s="1300"/>
      <c r="F513" s="1300"/>
      <c r="G513" s="1300"/>
      <c r="H513" s="1300"/>
      <c r="I513" s="1300"/>
      <c r="J513" s="1300"/>
      <c r="K513" s="1300"/>
      <c r="L513" s="1300"/>
      <c r="M513" s="1300"/>
      <c r="N513" s="1300"/>
    </row>
    <row r="514" spans="3:14" ht="14.25" customHeight="1">
      <c r="C514" s="1300"/>
      <c r="D514" s="1300"/>
      <c r="E514" s="1300"/>
      <c r="F514" s="1300"/>
      <c r="G514" s="1300"/>
      <c r="H514" s="1300"/>
      <c r="I514" s="1300"/>
      <c r="J514" s="1300"/>
      <c r="K514" s="1300"/>
      <c r="L514" s="1300"/>
      <c r="M514" s="1300"/>
      <c r="N514" s="1300"/>
    </row>
    <row r="515" spans="3:14" ht="14.25" customHeight="1">
      <c r="C515" s="1300"/>
      <c r="D515" s="1300"/>
      <c r="E515" s="1300"/>
      <c r="F515" s="1300"/>
      <c r="G515" s="1300"/>
      <c r="H515" s="1300"/>
      <c r="I515" s="1300"/>
      <c r="J515" s="1300"/>
      <c r="K515" s="1300"/>
      <c r="L515" s="1300"/>
      <c r="M515" s="1300"/>
      <c r="N515" s="1300"/>
    </row>
    <row r="516" spans="3:14" ht="14.25" customHeight="1">
      <c r="C516" s="1300"/>
      <c r="D516" s="1300"/>
      <c r="E516" s="1300"/>
      <c r="F516" s="1300"/>
      <c r="G516" s="1300"/>
      <c r="H516" s="1300"/>
      <c r="I516" s="1300"/>
      <c r="J516" s="1300"/>
      <c r="K516" s="1300"/>
      <c r="L516" s="1300"/>
      <c r="M516" s="1300"/>
      <c r="N516" s="1300"/>
    </row>
    <row r="517" spans="3:14" ht="14.25" customHeight="1">
      <c r="C517" s="1300"/>
      <c r="D517" s="1300"/>
      <c r="E517" s="1300"/>
      <c r="F517" s="1300"/>
      <c r="G517" s="1300"/>
      <c r="H517" s="1300"/>
      <c r="I517" s="1300"/>
      <c r="J517" s="1300"/>
      <c r="K517" s="1300"/>
      <c r="L517" s="1300"/>
      <c r="M517" s="1300"/>
      <c r="N517" s="1300"/>
    </row>
    <row r="518" spans="3:14" ht="14.25" customHeight="1">
      <c r="C518" s="1300"/>
      <c r="D518" s="1300"/>
      <c r="E518" s="1300"/>
      <c r="F518" s="1300"/>
      <c r="G518" s="1300"/>
      <c r="H518" s="1300"/>
      <c r="I518" s="1300"/>
      <c r="J518" s="1300"/>
      <c r="K518" s="1300"/>
      <c r="L518" s="1300"/>
      <c r="M518" s="1300"/>
      <c r="N518" s="1300"/>
    </row>
    <row r="519" spans="3:14" ht="14.25" customHeight="1">
      <c r="C519" s="1300"/>
      <c r="D519" s="1300"/>
      <c r="E519" s="1300"/>
      <c r="F519" s="1300"/>
      <c r="G519" s="1300"/>
      <c r="H519" s="1300"/>
      <c r="I519" s="1300"/>
      <c r="J519" s="1300"/>
      <c r="K519" s="1300"/>
      <c r="L519" s="1300"/>
      <c r="M519" s="1300"/>
      <c r="N519" s="1300"/>
    </row>
    <row r="520" spans="3:14" ht="14.25" customHeight="1">
      <c r="C520" s="1300"/>
      <c r="D520" s="1300"/>
      <c r="E520" s="1300"/>
      <c r="F520" s="1300"/>
      <c r="G520" s="1300"/>
      <c r="H520" s="1300"/>
      <c r="I520" s="1300"/>
      <c r="J520" s="1300"/>
      <c r="K520" s="1300"/>
      <c r="L520" s="1300"/>
      <c r="M520" s="1300"/>
      <c r="N520" s="1300"/>
    </row>
    <row r="521" spans="3:14" ht="14.25" customHeight="1">
      <c r="C521" s="1300"/>
      <c r="D521" s="1300"/>
      <c r="E521" s="1300"/>
      <c r="F521" s="1300"/>
      <c r="G521" s="1300"/>
      <c r="H521" s="1300"/>
      <c r="I521" s="1300"/>
      <c r="J521" s="1300"/>
      <c r="K521" s="1300"/>
      <c r="L521" s="1300"/>
      <c r="M521" s="1300"/>
      <c r="N521" s="1300"/>
    </row>
    <row r="522" spans="3:14" ht="14.25" customHeight="1">
      <c r="C522" s="1300"/>
      <c r="D522" s="1300"/>
      <c r="E522" s="1300"/>
      <c r="F522" s="1300"/>
      <c r="G522" s="1300"/>
      <c r="H522" s="1300"/>
      <c r="I522" s="1300"/>
      <c r="J522" s="1300"/>
      <c r="K522" s="1300"/>
      <c r="L522" s="1300"/>
      <c r="M522" s="1300"/>
      <c r="N522" s="1300"/>
    </row>
    <row r="523" spans="3:14" ht="14.25" customHeight="1">
      <c r="C523" s="1300"/>
      <c r="D523" s="1300"/>
      <c r="E523" s="1300"/>
      <c r="F523" s="1300"/>
      <c r="G523" s="1300"/>
      <c r="H523" s="1300"/>
      <c r="I523" s="1300"/>
      <c r="J523" s="1300"/>
      <c r="K523" s="1300"/>
      <c r="L523" s="1300"/>
      <c r="M523" s="1300"/>
      <c r="N523" s="1300"/>
    </row>
    <row r="524" spans="3:14" ht="14.25" customHeight="1">
      <c r="C524" s="1300"/>
      <c r="D524" s="1300"/>
      <c r="E524" s="1300"/>
      <c r="F524" s="1300"/>
      <c r="G524" s="1300"/>
      <c r="H524" s="1300"/>
      <c r="I524" s="1300"/>
      <c r="J524" s="1300"/>
      <c r="K524" s="1300"/>
      <c r="L524" s="1300"/>
      <c r="M524" s="1300"/>
      <c r="N524" s="1300"/>
    </row>
    <row r="525" spans="3:14" ht="14.25" customHeight="1">
      <c r="C525" s="1300"/>
      <c r="D525" s="1300"/>
      <c r="E525" s="1300"/>
      <c r="F525" s="1300"/>
      <c r="G525" s="1300"/>
      <c r="H525" s="1300"/>
      <c r="I525" s="1300"/>
      <c r="J525" s="1300"/>
      <c r="K525" s="1300"/>
      <c r="L525" s="1300"/>
      <c r="M525" s="1300"/>
      <c r="N525" s="1300"/>
    </row>
    <row r="526" spans="3:14" ht="14.25" customHeight="1">
      <c r="C526" s="1300"/>
      <c r="D526" s="1300"/>
      <c r="E526" s="1300"/>
      <c r="F526" s="1300"/>
      <c r="G526" s="1300"/>
      <c r="H526" s="1300"/>
      <c r="I526" s="1300"/>
      <c r="J526" s="1300"/>
      <c r="K526" s="1300"/>
      <c r="L526" s="1300"/>
      <c r="M526" s="1300"/>
      <c r="N526" s="1300"/>
    </row>
    <row r="527" spans="3:14" ht="14.25" customHeight="1">
      <c r="C527" s="1300"/>
      <c r="D527" s="1300"/>
      <c r="E527" s="1300"/>
      <c r="F527" s="1300"/>
      <c r="G527" s="1300"/>
      <c r="H527" s="1300"/>
      <c r="I527" s="1300"/>
      <c r="J527" s="1300"/>
      <c r="K527" s="1300"/>
      <c r="L527" s="1300"/>
      <c r="M527" s="1300"/>
      <c r="N527" s="1300"/>
    </row>
    <row r="528" spans="3:14" ht="14.25" customHeight="1">
      <c r="C528" s="1300"/>
      <c r="D528" s="1300"/>
      <c r="E528" s="1300"/>
      <c r="F528" s="1300"/>
      <c r="G528" s="1300"/>
      <c r="H528" s="1300"/>
      <c r="I528" s="1300"/>
      <c r="J528" s="1300"/>
      <c r="K528" s="1300"/>
      <c r="L528" s="1300"/>
      <c r="M528" s="1300"/>
      <c r="N528" s="1300"/>
    </row>
    <row r="529" spans="3:14" ht="14.25" customHeight="1">
      <c r="C529" s="1300"/>
      <c r="D529" s="1300"/>
      <c r="E529" s="1300"/>
      <c r="F529" s="1300"/>
      <c r="G529" s="1300"/>
      <c r="H529" s="1300"/>
      <c r="I529" s="1300"/>
      <c r="J529" s="1300"/>
      <c r="K529" s="1300"/>
      <c r="L529" s="1300"/>
      <c r="M529" s="1300"/>
      <c r="N529" s="1300"/>
    </row>
    <row r="530" spans="3:14" ht="14.25" customHeight="1">
      <c r="C530" s="1300"/>
      <c r="D530" s="1300"/>
      <c r="E530" s="1300"/>
      <c r="F530" s="1300"/>
      <c r="G530" s="1300"/>
      <c r="H530" s="1300"/>
      <c r="I530" s="1300"/>
      <c r="J530" s="1300"/>
      <c r="K530" s="1300"/>
      <c r="L530" s="1300"/>
      <c r="M530" s="1300"/>
      <c r="N530" s="1300"/>
    </row>
    <row r="531" spans="3:14" ht="14.25" customHeight="1">
      <c r="C531" s="1300"/>
      <c r="D531" s="1300"/>
      <c r="E531" s="1300"/>
      <c r="F531" s="1300"/>
      <c r="G531" s="1300"/>
      <c r="H531" s="1300"/>
      <c r="I531" s="1300"/>
      <c r="J531" s="1300"/>
      <c r="K531" s="1300"/>
      <c r="L531" s="1300"/>
      <c r="M531" s="1300"/>
      <c r="N531" s="1300"/>
    </row>
    <row r="532" spans="3:14" ht="14.25" customHeight="1">
      <c r="C532" s="1300"/>
      <c r="D532" s="1300"/>
      <c r="E532" s="1300"/>
      <c r="F532" s="1300"/>
      <c r="G532" s="1300"/>
      <c r="H532" s="1300"/>
      <c r="I532" s="1300"/>
      <c r="J532" s="1300"/>
      <c r="K532" s="1300"/>
      <c r="L532" s="1300"/>
      <c r="M532" s="1300"/>
      <c r="N532" s="1300"/>
    </row>
    <row r="533" spans="3:14" ht="14.25" customHeight="1">
      <c r="C533" s="1300"/>
      <c r="D533" s="1300"/>
      <c r="E533" s="1300"/>
      <c r="F533" s="1300"/>
      <c r="G533" s="1300"/>
      <c r="H533" s="1300"/>
      <c r="I533" s="1300"/>
      <c r="J533" s="1300"/>
      <c r="K533" s="1300"/>
      <c r="L533" s="1300"/>
      <c r="M533" s="1300"/>
      <c r="N533" s="1300"/>
    </row>
    <row r="534" spans="3:14" ht="14.25" customHeight="1">
      <c r="C534" s="1300"/>
      <c r="D534" s="1300"/>
      <c r="E534" s="1300"/>
      <c r="F534" s="1300"/>
      <c r="G534" s="1300"/>
      <c r="H534" s="1300"/>
      <c r="I534" s="1300"/>
      <c r="J534" s="1300"/>
      <c r="K534" s="1300"/>
      <c r="L534" s="1300"/>
      <c r="M534" s="1300"/>
      <c r="N534" s="1300"/>
    </row>
    <row r="535" spans="3:14" ht="14.25" customHeight="1">
      <c r="C535" s="1300"/>
      <c r="D535" s="1300"/>
      <c r="E535" s="1300"/>
      <c r="F535" s="1300"/>
      <c r="G535" s="1300"/>
      <c r="H535" s="1300"/>
      <c r="I535" s="1300"/>
      <c r="J535" s="1300"/>
      <c r="K535" s="1300"/>
      <c r="L535" s="1300"/>
      <c r="M535" s="1300"/>
      <c r="N535" s="1300"/>
    </row>
    <row r="536" spans="3:14" ht="14.25" customHeight="1">
      <c r="C536" s="1300"/>
      <c r="D536" s="1300"/>
      <c r="E536" s="1300"/>
      <c r="F536" s="1300"/>
      <c r="G536" s="1300"/>
      <c r="H536" s="1300"/>
      <c r="I536" s="1300"/>
      <c r="J536" s="1300"/>
      <c r="K536" s="1300"/>
      <c r="L536" s="1300"/>
      <c r="M536" s="1300"/>
      <c r="N536" s="1300"/>
    </row>
    <row r="537" spans="3:14" ht="14.25" customHeight="1">
      <c r="C537" s="1300"/>
      <c r="D537" s="1300"/>
      <c r="E537" s="1300"/>
      <c r="F537" s="1300"/>
      <c r="G537" s="1300"/>
      <c r="H537" s="1300"/>
      <c r="I537" s="1300"/>
      <c r="J537" s="1300"/>
      <c r="K537" s="1300"/>
      <c r="L537" s="1300"/>
      <c r="M537" s="1300"/>
      <c r="N537" s="1300"/>
    </row>
    <row r="538" spans="3:14" ht="14.25" customHeight="1">
      <c r="C538" s="1300"/>
      <c r="D538" s="1300"/>
      <c r="E538" s="1300"/>
      <c r="F538" s="1300"/>
      <c r="G538" s="1300"/>
      <c r="H538" s="1300"/>
      <c r="I538" s="1300"/>
      <c r="J538" s="1300"/>
      <c r="K538" s="1300"/>
      <c r="L538" s="1300"/>
      <c r="M538" s="1300"/>
      <c r="N538" s="1300"/>
    </row>
    <row r="539" spans="3:14" ht="14.25" customHeight="1">
      <c r="C539" s="1300"/>
      <c r="D539" s="1300"/>
      <c r="E539" s="1300"/>
      <c r="F539" s="1300"/>
      <c r="G539" s="1300"/>
      <c r="H539" s="1300"/>
      <c r="I539" s="1300"/>
      <c r="J539" s="1300"/>
      <c r="K539" s="1300"/>
      <c r="L539" s="1300"/>
      <c r="M539" s="1300"/>
      <c r="N539" s="1300"/>
    </row>
    <row r="540" spans="3:14" ht="14.25" customHeight="1">
      <c r="C540" s="1300"/>
      <c r="D540" s="1300"/>
      <c r="E540" s="1300"/>
      <c r="F540" s="1300"/>
      <c r="G540" s="1300"/>
      <c r="H540" s="1300"/>
      <c r="I540" s="1300"/>
      <c r="J540" s="1300"/>
      <c r="K540" s="1300"/>
      <c r="L540" s="1300"/>
      <c r="M540" s="1300"/>
      <c r="N540" s="1300"/>
    </row>
    <row r="541" spans="3:14" ht="14.25" customHeight="1">
      <c r="C541" s="1300"/>
      <c r="D541" s="1300"/>
      <c r="E541" s="1300"/>
      <c r="F541" s="1300"/>
      <c r="G541" s="1300"/>
      <c r="H541" s="1300"/>
      <c r="I541" s="1300"/>
      <c r="J541" s="1300"/>
      <c r="K541" s="1300"/>
      <c r="L541" s="1300"/>
      <c r="M541" s="1300"/>
      <c r="N541" s="1300"/>
    </row>
    <row r="542" spans="3:14" ht="14.25" customHeight="1">
      <c r="C542" s="1300"/>
      <c r="D542" s="1300"/>
      <c r="E542" s="1300"/>
      <c r="F542" s="1300"/>
      <c r="G542" s="1300"/>
      <c r="H542" s="1300"/>
      <c r="I542" s="1300"/>
      <c r="J542" s="1300"/>
      <c r="K542" s="1300"/>
      <c r="L542" s="1300"/>
      <c r="M542" s="1300"/>
      <c r="N542" s="1300"/>
    </row>
    <row r="543" spans="3:14" ht="14.25" customHeight="1">
      <c r="C543" s="1300"/>
      <c r="D543" s="1300"/>
      <c r="E543" s="1300"/>
      <c r="F543" s="1300"/>
      <c r="G543" s="1300"/>
      <c r="H543" s="1300"/>
      <c r="I543" s="1300"/>
      <c r="J543" s="1300"/>
      <c r="K543" s="1300"/>
      <c r="L543" s="1300"/>
      <c r="M543" s="1300"/>
      <c r="N543" s="1300"/>
    </row>
    <row r="544" spans="3:14" ht="14.25" customHeight="1">
      <c r="C544" s="1300"/>
      <c r="D544" s="1300"/>
      <c r="E544" s="1300"/>
      <c r="F544" s="1300"/>
      <c r="G544" s="1300"/>
      <c r="H544" s="1300"/>
      <c r="I544" s="1300"/>
      <c r="J544" s="1300"/>
      <c r="K544" s="1300"/>
      <c r="L544" s="1300"/>
      <c r="M544" s="1300"/>
      <c r="N544" s="1300"/>
    </row>
    <row r="545" spans="3:14" ht="14.25" customHeight="1">
      <c r="C545" s="1300"/>
      <c r="D545" s="1300"/>
      <c r="E545" s="1300"/>
      <c r="F545" s="1300"/>
      <c r="G545" s="1300"/>
      <c r="H545" s="1300"/>
      <c r="I545" s="1300"/>
      <c r="J545" s="1300"/>
      <c r="K545" s="1300"/>
      <c r="L545" s="1300"/>
      <c r="M545" s="1300"/>
      <c r="N545" s="1300"/>
    </row>
    <row r="546" spans="3:14" ht="14.25" customHeight="1">
      <c r="C546" s="1300"/>
      <c r="D546" s="1300"/>
      <c r="E546" s="1300"/>
      <c r="F546" s="1300"/>
      <c r="G546" s="1300"/>
      <c r="H546" s="1300"/>
      <c r="I546" s="1300"/>
      <c r="J546" s="1300"/>
      <c r="K546" s="1300"/>
      <c r="L546" s="1300"/>
      <c r="M546" s="1300"/>
      <c r="N546" s="1300"/>
    </row>
    <row r="547" spans="3:14" ht="14.25" customHeight="1">
      <c r="C547" s="1300"/>
      <c r="D547" s="1300"/>
      <c r="E547" s="1300"/>
      <c r="F547" s="1300"/>
      <c r="G547" s="1300"/>
      <c r="H547" s="1300"/>
      <c r="I547" s="1300"/>
      <c r="J547" s="1300"/>
      <c r="K547" s="1300"/>
      <c r="L547" s="1300"/>
      <c r="M547" s="1300"/>
      <c r="N547" s="1300"/>
    </row>
    <row r="548" spans="3:14" ht="14.25" customHeight="1">
      <c r="C548" s="1300"/>
      <c r="D548" s="1300"/>
      <c r="E548" s="1300"/>
      <c r="F548" s="1300"/>
      <c r="G548" s="1300"/>
      <c r="H548" s="1300"/>
      <c r="I548" s="1300"/>
      <c r="J548" s="1300"/>
      <c r="K548" s="1300"/>
      <c r="L548" s="1300"/>
      <c r="M548" s="1300"/>
      <c r="N548" s="1300"/>
    </row>
    <row r="549" spans="3:14" ht="14.25" customHeight="1">
      <c r="C549" s="1300"/>
      <c r="D549" s="1300"/>
      <c r="E549" s="1300"/>
      <c r="F549" s="1300"/>
      <c r="G549" s="1300"/>
      <c r="H549" s="1300"/>
      <c r="I549" s="1300"/>
      <c r="J549" s="1300"/>
      <c r="K549" s="1300"/>
      <c r="L549" s="1300"/>
      <c r="M549" s="1300"/>
      <c r="N549" s="1300"/>
    </row>
    <row r="550" spans="3:14" ht="14.25" customHeight="1">
      <c r="C550" s="1300"/>
      <c r="D550" s="1300"/>
      <c r="E550" s="1300"/>
      <c r="F550" s="1300"/>
      <c r="G550" s="1300"/>
      <c r="H550" s="1300"/>
      <c r="I550" s="1300"/>
      <c r="J550" s="1300"/>
      <c r="K550" s="1300"/>
      <c r="L550" s="1300"/>
      <c r="M550" s="1300"/>
      <c r="N550" s="1300"/>
    </row>
    <row r="551" spans="3:14" ht="14.25" customHeight="1">
      <c r="C551" s="1300"/>
      <c r="D551" s="1300"/>
      <c r="E551" s="1300"/>
      <c r="F551" s="1300"/>
      <c r="G551" s="1300"/>
      <c r="H551" s="1300"/>
      <c r="I551" s="1300"/>
      <c r="J551" s="1300"/>
      <c r="K551" s="1300"/>
      <c r="L551" s="1300"/>
      <c r="M551" s="1300"/>
      <c r="N551" s="1300"/>
    </row>
    <row r="552" spans="3:14" ht="14.25" customHeight="1">
      <c r="C552" s="1300"/>
      <c r="D552" s="1300"/>
      <c r="E552" s="1300"/>
      <c r="F552" s="1300"/>
      <c r="G552" s="1300"/>
      <c r="H552" s="1300"/>
      <c r="I552" s="1300"/>
      <c r="J552" s="1300"/>
      <c r="K552" s="1300"/>
      <c r="L552" s="1300"/>
      <c r="M552" s="1300"/>
      <c r="N552" s="1300"/>
    </row>
    <row r="553" spans="3:14" ht="14.25" customHeight="1">
      <c r="C553" s="1300"/>
      <c r="D553" s="1300"/>
      <c r="E553" s="1300"/>
      <c r="F553" s="1300"/>
      <c r="G553" s="1300"/>
      <c r="H553" s="1300"/>
      <c r="I553" s="1300"/>
      <c r="J553" s="1300"/>
      <c r="K553" s="1300"/>
      <c r="L553" s="1300"/>
      <c r="M553" s="1300"/>
      <c r="N553" s="1300"/>
    </row>
    <row r="554" spans="3:14" ht="14.25" customHeight="1">
      <c r="C554" s="1300"/>
      <c r="D554" s="1300"/>
      <c r="E554" s="1300"/>
      <c r="F554" s="1300"/>
      <c r="G554" s="1300"/>
      <c r="H554" s="1300"/>
      <c r="I554" s="1300"/>
      <c r="J554" s="1300"/>
      <c r="K554" s="1300"/>
      <c r="L554" s="1300"/>
      <c r="M554" s="1300"/>
      <c r="N554" s="1300"/>
    </row>
    <row r="555" spans="3:14" ht="14.25" customHeight="1">
      <c r="C555" s="1300"/>
      <c r="D555" s="1300"/>
      <c r="E555" s="1300"/>
      <c r="F555" s="1300"/>
      <c r="G555" s="1300"/>
      <c r="H555" s="1300"/>
      <c r="I555" s="1300"/>
      <c r="J555" s="1300"/>
      <c r="K555" s="1300"/>
      <c r="L555" s="1300"/>
      <c r="M555" s="1300"/>
      <c r="N555" s="1300"/>
    </row>
    <row r="556" spans="3:14" ht="14.25" customHeight="1">
      <c r="C556" s="1300"/>
      <c r="D556" s="1300"/>
      <c r="E556" s="1300"/>
      <c r="F556" s="1300"/>
      <c r="G556" s="1300"/>
      <c r="H556" s="1300"/>
      <c r="I556" s="1300"/>
      <c r="J556" s="1300"/>
      <c r="K556" s="1300"/>
      <c r="L556" s="1300"/>
      <c r="M556" s="1300"/>
      <c r="N556" s="1300"/>
    </row>
    <row r="557" spans="3:14" ht="14.25" customHeight="1">
      <c r="C557" s="1300"/>
      <c r="D557" s="1300"/>
      <c r="E557" s="1300"/>
      <c r="F557" s="1300"/>
      <c r="G557" s="1300"/>
      <c r="H557" s="1300"/>
      <c r="I557" s="1300"/>
      <c r="J557" s="1300"/>
      <c r="K557" s="1300"/>
      <c r="L557" s="1300"/>
      <c r="M557" s="1300"/>
      <c r="N557" s="1300"/>
    </row>
    <row r="558" spans="3:14" ht="14.25" customHeight="1">
      <c r="C558" s="1300"/>
      <c r="D558" s="1300"/>
      <c r="E558" s="1300"/>
      <c r="F558" s="1300"/>
      <c r="G558" s="1300"/>
      <c r="H558" s="1300"/>
      <c r="I558" s="1300"/>
      <c r="J558" s="1300"/>
      <c r="K558" s="1300"/>
      <c r="L558" s="1300"/>
      <c r="M558" s="1300"/>
      <c r="N558" s="1300"/>
    </row>
    <row r="559" spans="3:14" ht="14.25" customHeight="1">
      <c r="C559" s="1300"/>
      <c r="D559" s="1300"/>
      <c r="E559" s="1300"/>
      <c r="F559" s="1300"/>
      <c r="G559" s="1300"/>
      <c r="H559" s="1300"/>
      <c r="I559" s="1300"/>
      <c r="J559" s="1300"/>
      <c r="K559" s="1300"/>
      <c r="L559" s="1300"/>
      <c r="M559" s="1300"/>
      <c r="N559" s="1300"/>
    </row>
    <row r="560" spans="3:14" ht="14.25" customHeight="1">
      <c r="C560" s="1300"/>
      <c r="D560" s="1300"/>
      <c r="E560" s="1300"/>
      <c r="F560" s="1300"/>
      <c r="G560" s="1300"/>
      <c r="H560" s="1300"/>
      <c r="I560" s="1300"/>
      <c r="J560" s="1300"/>
      <c r="K560" s="1300"/>
      <c r="L560" s="1300"/>
      <c r="M560" s="1300"/>
      <c r="N560" s="1300"/>
    </row>
    <row r="561" spans="3:14" ht="14.25" customHeight="1">
      <c r="C561" s="1300"/>
      <c r="D561" s="1300"/>
      <c r="E561" s="1300"/>
      <c r="F561" s="1300"/>
      <c r="G561" s="1300"/>
      <c r="H561" s="1300"/>
      <c r="I561" s="1300"/>
      <c r="J561" s="1300"/>
      <c r="K561" s="1300"/>
      <c r="L561" s="1300"/>
      <c r="M561" s="1300"/>
      <c r="N561" s="1300"/>
    </row>
    <row r="562" spans="3:14" ht="14.25" customHeight="1">
      <c r="C562" s="1300"/>
      <c r="D562" s="1300"/>
      <c r="E562" s="1300"/>
      <c r="F562" s="1300"/>
      <c r="G562" s="1300"/>
      <c r="H562" s="1300"/>
      <c r="I562" s="1300"/>
      <c r="J562" s="1300"/>
      <c r="K562" s="1300"/>
      <c r="L562" s="1300"/>
      <c r="M562" s="1300"/>
      <c r="N562" s="1300"/>
    </row>
    <row r="563" spans="3:14" ht="14.25" customHeight="1">
      <c r="C563" s="1300"/>
      <c r="D563" s="1300"/>
      <c r="E563" s="1300"/>
      <c r="F563" s="1300"/>
      <c r="G563" s="1300"/>
      <c r="H563" s="1300"/>
      <c r="I563" s="1300"/>
      <c r="J563" s="1300"/>
      <c r="K563" s="1300"/>
      <c r="L563" s="1300"/>
      <c r="M563" s="1300"/>
      <c r="N563" s="1300"/>
    </row>
    <row r="564" spans="3:14" ht="14.25" customHeight="1">
      <c r="C564" s="1300"/>
      <c r="D564" s="1300"/>
      <c r="E564" s="1300"/>
      <c r="F564" s="1300"/>
      <c r="G564" s="1300"/>
      <c r="H564" s="1300"/>
      <c r="I564" s="1300"/>
      <c r="J564" s="1300"/>
      <c r="K564" s="1300"/>
      <c r="L564" s="1300"/>
      <c r="M564" s="1300"/>
      <c r="N564" s="1300"/>
    </row>
    <row r="565" spans="3:14" ht="14.25" customHeight="1">
      <c r="C565" s="1300"/>
      <c r="D565" s="1300"/>
      <c r="E565" s="1300"/>
      <c r="F565" s="1300"/>
      <c r="G565" s="1300"/>
      <c r="H565" s="1300"/>
      <c r="I565" s="1300"/>
      <c r="J565" s="1300"/>
      <c r="K565" s="1300"/>
      <c r="L565" s="1300"/>
      <c r="M565" s="1300"/>
      <c r="N565" s="1300"/>
    </row>
    <row r="566" spans="3:14" ht="14.25" customHeight="1">
      <c r="C566" s="1300"/>
      <c r="D566" s="1300"/>
      <c r="E566" s="1300"/>
      <c r="F566" s="1300"/>
      <c r="G566" s="1300"/>
      <c r="H566" s="1300"/>
      <c r="I566" s="1300"/>
      <c r="J566" s="1300"/>
      <c r="K566" s="1300"/>
      <c r="L566" s="1300"/>
      <c r="M566" s="1300"/>
      <c r="N566" s="1300"/>
    </row>
    <row r="567" spans="3:14" ht="14.25" customHeight="1">
      <c r="C567" s="1300"/>
      <c r="D567" s="1300"/>
      <c r="E567" s="1300"/>
      <c r="F567" s="1300"/>
      <c r="G567" s="1300"/>
      <c r="H567" s="1300"/>
      <c r="I567" s="1300"/>
      <c r="J567" s="1300"/>
      <c r="K567" s="1300"/>
      <c r="L567" s="1300"/>
      <c r="M567" s="1300"/>
      <c r="N567" s="1300"/>
    </row>
    <row r="568" spans="3:14" ht="14.25" customHeight="1">
      <c r="C568" s="1300"/>
      <c r="D568" s="1300"/>
      <c r="E568" s="1300"/>
      <c r="F568" s="1300"/>
      <c r="G568" s="1300"/>
      <c r="H568" s="1300"/>
      <c r="I568" s="1300"/>
      <c r="J568" s="1300"/>
      <c r="K568" s="1300"/>
      <c r="L568" s="1300"/>
      <c r="M568" s="1300"/>
      <c r="N568" s="1300"/>
    </row>
    <row r="569" spans="3:14" ht="14.25" customHeight="1">
      <c r="C569" s="1300"/>
      <c r="D569" s="1300"/>
      <c r="E569" s="1300"/>
      <c r="F569" s="1300"/>
      <c r="G569" s="1300"/>
      <c r="H569" s="1300"/>
      <c r="I569" s="1300"/>
      <c r="J569" s="1300"/>
      <c r="K569" s="1300"/>
      <c r="L569" s="1300"/>
      <c r="M569" s="1300"/>
      <c r="N569" s="1300"/>
    </row>
    <row r="570" spans="3:14" ht="14.25" customHeight="1">
      <c r="C570" s="1300"/>
      <c r="D570" s="1300"/>
      <c r="E570" s="1300"/>
      <c r="F570" s="1300"/>
      <c r="G570" s="1300"/>
      <c r="H570" s="1300"/>
      <c r="I570" s="1300"/>
      <c r="J570" s="1300"/>
      <c r="K570" s="1300"/>
      <c r="L570" s="1300"/>
      <c r="M570" s="1300"/>
      <c r="N570" s="1300"/>
    </row>
    <row r="571" spans="3:14" ht="14.25" customHeight="1">
      <c r="C571" s="1300"/>
      <c r="D571" s="1300"/>
      <c r="E571" s="1300"/>
      <c r="F571" s="1300"/>
      <c r="G571" s="1300"/>
      <c r="H571" s="1300"/>
      <c r="I571" s="1300"/>
      <c r="J571" s="1300"/>
      <c r="K571" s="1300"/>
      <c r="L571" s="1300"/>
      <c r="M571" s="1300"/>
      <c r="N571" s="1300"/>
    </row>
    <row r="572" spans="3:14" ht="14.25" customHeight="1">
      <c r="C572" s="1300"/>
      <c r="D572" s="1300"/>
      <c r="E572" s="1300"/>
      <c r="F572" s="1300"/>
      <c r="G572" s="1300"/>
      <c r="H572" s="1300"/>
      <c r="I572" s="1300"/>
      <c r="J572" s="1300"/>
      <c r="K572" s="1300"/>
      <c r="L572" s="1300"/>
      <c r="M572" s="1300"/>
      <c r="N572" s="1300"/>
    </row>
    <row r="573" spans="3:14" ht="14.25" customHeight="1">
      <c r="C573" s="1300"/>
      <c r="D573" s="1300"/>
      <c r="E573" s="1300"/>
      <c r="F573" s="1300"/>
      <c r="G573" s="1300"/>
      <c r="H573" s="1300"/>
      <c r="I573" s="1300"/>
      <c r="J573" s="1300"/>
      <c r="K573" s="1300"/>
      <c r="L573" s="1300"/>
      <c r="M573" s="1300"/>
      <c r="N573" s="1300"/>
    </row>
    <row r="574" spans="3:14" ht="14.25" customHeight="1">
      <c r="C574" s="1300"/>
      <c r="D574" s="1300"/>
      <c r="E574" s="1300"/>
      <c r="F574" s="1300"/>
      <c r="G574" s="1300"/>
      <c r="H574" s="1300"/>
      <c r="I574" s="1300"/>
      <c r="J574" s="1300"/>
      <c r="K574" s="1300"/>
      <c r="L574" s="1300"/>
      <c r="M574" s="1300"/>
      <c r="N574" s="1300"/>
    </row>
    <row r="575" spans="3:14" ht="14.25" customHeight="1">
      <c r="C575" s="1300"/>
      <c r="D575" s="1300"/>
      <c r="E575" s="1300"/>
      <c r="F575" s="1300"/>
      <c r="G575" s="1300"/>
      <c r="H575" s="1300"/>
      <c r="I575" s="1300"/>
      <c r="J575" s="1300"/>
      <c r="K575" s="1300"/>
      <c r="L575" s="1300"/>
      <c r="M575" s="1300"/>
      <c r="N575" s="1300"/>
    </row>
    <row r="576" spans="3:14" ht="14.25" customHeight="1">
      <c r="C576" s="1300"/>
      <c r="D576" s="1300"/>
      <c r="E576" s="1300"/>
      <c r="F576" s="1300"/>
      <c r="G576" s="1300"/>
      <c r="H576" s="1300"/>
      <c r="I576" s="1300"/>
      <c r="J576" s="1300"/>
      <c r="K576" s="1300"/>
      <c r="L576" s="1300"/>
      <c r="M576" s="1300"/>
      <c r="N576" s="1300"/>
    </row>
    <row r="577" spans="3:14" ht="14.25" customHeight="1">
      <c r="C577" s="1300"/>
      <c r="D577" s="1300"/>
      <c r="E577" s="1300"/>
      <c r="F577" s="1300"/>
      <c r="G577" s="1300"/>
      <c r="H577" s="1300"/>
      <c r="I577" s="1300"/>
      <c r="J577" s="1300"/>
      <c r="K577" s="1300"/>
      <c r="L577" s="1300"/>
      <c r="M577" s="1300"/>
      <c r="N577" s="1300"/>
    </row>
    <row r="578" spans="3:14" ht="14.25" customHeight="1">
      <c r="C578" s="1300"/>
      <c r="D578" s="1300"/>
      <c r="E578" s="1300"/>
      <c r="F578" s="1300"/>
      <c r="G578" s="1300"/>
      <c r="H578" s="1300"/>
      <c r="I578" s="1300"/>
      <c r="J578" s="1300"/>
      <c r="K578" s="1300"/>
      <c r="L578" s="1300"/>
      <c r="M578" s="1300"/>
      <c r="N578" s="1300"/>
    </row>
    <row r="579" spans="3:14" ht="14.25" customHeight="1">
      <c r="C579" s="1300"/>
      <c r="D579" s="1300"/>
      <c r="E579" s="1300"/>
      <c r="F579" s="1300"/>
      <c r="G579" s="1300"/>
      <c r="H579" s="1300"/>
      <c r="I579" s="1300"/>
      <c r="J579" s="1300"/>
      <c r="K579" s="1300"/>
      <c r="L579" s="1300"/>
      <c r="M579" s="1300"/>
      <c r="N579" s="1300"/>
    </row>
    <row r="580" spans="3:14" ht="14.25" customHeight="1">
      <c r="C580" s="1300"/>
      <c r="D580" s="1300"/>
      <c r="E580" s="1300"/>
      <c r="F580" s="1300"/>
      <c r="G580" s="1300"/>
      <c r="H580" s="1300"/>
      <c r="I580" s="1300"/>
      <c r="J580" s="1300"/>
      <c r="K580" s="1300"/>
      <c r="L580" s="1300"/>
      <c r="M580" s="1300"/>
      <c r="N580" s="1300"/>
    </row>
    <row r="581" spans="3:14" ht="14.25" customHeight="1">
      <c r="C581" s="1300"/>
      <c r="D581" s="1300"/>
      <c r="E581" s="1300"/>
      <c r="F581" s="1300"/>
      <c r="G581" s="1300"/>
      <c r="H581" s="1300"/>
      <c r="I581" s="1300"/>
      <c r="J581" s="1300"/>
      <c r="K581" s="1300"/>
      <c r="L581" s="1300"/>
      <c r="M581" s="1300"/>
      <c r="N581" s="1300"/>
    </row>
    <row r="582" spans="3:14" ht="14.25" customHeight="1">
      <c r="C582" s="1300"/>
      <c r="D582" s="1300"/>
      <c r="E582" s="1300"/>
      <c r="F582" s="1300"/>
      <c r="G582" s="1300"/>
      <c r="H582" s="1300"/>
      <c r="I582" s="1300"/>
      <c r="J582" s="1300"/>
      <c r="K582" s="1300"/>
      <c r="L582" s="1300"/>
      <c r="M582" s="1300"/>
      <c r="N582" s="1300"/>
    </row>
    <row r="583" spans="3:14" ht="14.25" customHeight="1">
      <c r="C583" s="1300"/>
      <c r="D583" s="1300"/>
      <c r="E583" s="1300"/>
      <c r="F583" s="1300"/>
      <c r="G583" s="1300"/>
      <c r="H583" s="1300"/>
      <c r="I583" s="1300"/>
      <c r="J583" s="1300"/>
      <c r="K583" s="1300"/>
      <c r="L583" s="1300"/>
      <c r="M583" s="1300"/>
      <c r="N583" s="1300"/>
    </row>
    <row r="584" spans="3:14" ht="14.25" customHeight="1">
      <c r="C584" s="1300"/>
      <c r="D584" s="1300"/>
      <c r="E584" s="1300"/>
      <c r="F584" s="1300"/>
      <c r="G584" s="1300"/>
      <c r="H584" s="1300"/>
      <c r="I584" s="1300"/>
      <c r="J584" s="1300"/>
      <c r="K584" s="1300"/>
      <c r="L584" s="1300"/>
      <c r="M584" s="1300"/>
      <c r="N584" s="1300"/>
    </row>
    <row r="585" spans="3:14" ht="14.25" customHeight="1">
      <c r="C585" s="1300"/>
      <c r="D585" s="1300"/>
      <c r="E585" s="1300"/>
      <c r="F585" s="1300"/>
      <c r="G585" s="1300"/>
      <c r="H585" s="1300"/>
      <c r="I585" s="1300"/>
      <c r="J585" s="1300"/>
      <c r="K585" s="1300"/>
      <c r="L585" s="1300"/>
      <c r="M585" s="1300"/>
      <c r="N585" s="1300"/>
    </row>
    <row r="586" spans="3:14" ht="14.25" customHeight="1">
      <c r="C586" s="1300"/>
      <c r="D586" s="1300"/>
      <c r="E586" s="1300"/>
      <c r="F586" s="1300"/>
      <c r="G586" s="1300"/>
      <c r="H586" s="1300"/>
      <c r="I586" s="1300"/>
      <c r="J586" s="1300"/>
      <c r="K586" s="1300"/>
      <c r="L586" s="1300"/>
      <c r="M586" s="1300"/>
      <c r="N586" s="1300"/>
    </row>
    <row r="587" spans="3:14" ht="14.25" customHeight="1">
      <c r="C587" s="1300"/>
      <c r="D587" s="1300"/>
      <c r="E587" s="1300"/>
      <c r="F587" s="1300"/>
      <c r="G587" s="1300"/>
      <c r="H587" s="1300"/>
      <c r="I587" s="1300"/>
      <c r="J587" s="1300"/>
      <c r="K587" s="1300"/>
      <c r="L587" s="1300"/>
      <c r="M587" s="1300"/>
      <c r="N587" s="1300"/>
    </row>
    <row r="588" spans="3:14" ht="14.25" customHeight="1">
      <c r="C588" s="1300"/>
      <c r="D588" s="1300"/>
      <c r="E588" s="1300"/>
      <c r="F588" s="1300"/>
      <c r="G588" s="1300"/>
      <c r="H588" s="1300"/>
      <c r="I588" s="1300"/>
      <c r="J588" s="1300"/>
      <c r="K588" s="1300"/>
      <c r="L588" s="1300"/>
      <c r="M588" s="1300"/>
      <c r="N588" s="1300"/>
    </row>
    <row r="589" spans="3:14" ht="14.25" customHeight="1">
      <c r="C589" s="1300"/>
      <c r="D589" s="1300"/>
      <c r="E589" s="1300"/>
      <c r="F589" s="1300"/>
      <c r="G589" s="1300"/>
      <c r="H589" s="1300"/>
      <c r="I589" s="1300"/>
      <c r="J589" s="1300"/>
      <c r="K589" s="1300"/>
      <c r="L589" s="1300"/>
      <c r="M589" s="1300"/>
      <c r="N589" s="1300"/>
    </row>
    <row r="590" spans="3:14" ht="14.25" customHeight="1">
      <c r="C590" s="1300"/>
      <c r="D590" s="1300"/>
      <c r="E590" s="1300"/>
      <c r="F590" s="1300"/>
      <c r="G590" s="1300"/>
      <c r="H590" s="1300"/>
      <c r="I590" s="1300"/>
      <c r="J590" s="1300"/>
      <c r="K590" s="1300"/>
      <c r="L590" s="1300"/>
      <c r="M590" s="1300"/>
      <c r="N590" s="1300"/>
    </row>
    <row r="591" spans="3:14" ht="14.25" customHeight="1">
      <c r="C591" s="1300"/>
      <c r="D591" s="1300"/>
      <c r="E591" s="1300"/>
      <c r="F591" s="1300"/>
      <c r="G591" s="1300"/>
      <c r="H591" s="1300"/>
      <c r="I591" s="1300"/>
      <c r="J591" s="1300"/>
      <c r="K591" s="1300"/>
      <c r="L591" s="1300"/>
      <c r="M591" s="1300"/>
      <c r="N591" s="1300"/>
    </row>
    <row r="592" spans="3:14" ht="14.25" customHeight="1">
      <c r="C592" s="1300"/>
      <c r="D592" s="1300"/>
      <c r="E592" s="1300"/>
      <c r="F592" s="1300"/>
      <c r="G592" s="1300"/>
      <c r="H592" s="1300"/>
      <c r="I592" s="1300"/>
      <c r="J592" s="1300"/>
      <c r="K592" s="1300"/>
      <c r="L592" s="1300"/>
      <c r="M592" s="1300"/>
      <c r="N592" s="1300"/>
    </row>
    <row r="593" spans="3:14" ht="14.25" customHeight="1">
      <c r="C593" s="1300"/>
      <c r="D593" s="1300"/>
      <c r="E593" s="1300"/>
      <c r="F593" s="1300"/>
      <c r="G593" s="1300"/>
      <c r="H593" s="1300"/>
      <c r="I593" s="1300"/>
      <c r="J593" s="1300"/>
      <c r="K593" s="1300"/>
      <c r="L593" s="1300"/>
      <c r="M593" s="1300"/>
      <c r="N593" s="1300"/>
    </row>
    <row r="594" spans="3:14" ht="14.25" customHeight="1">
      <c r="C594" s="1300"/>
      <c r="D594" s="1300"/>
      <c r="E594" s="1300"/>
      <c r="F594" s="1300"/>
      <c r="G594" s="1300"/>
      <c r="H594" s="1300"/>
      <c r="I594" s="1300"/>
      <c r="J594" s="1300"/>
      <c r="K594" s="1300"/>
      <c r="L594" s="1300"/>
      <c r="M594" s="1300"/>
      <c r="N594" s="1300"/>
    </row>
    <row r="595" spans="3:14" ht="14.25" customHeight="1">
      <c r="C595" s="1300"/>
      <c r="D595" s="1300"/>
      <c r="E595" s="1300"/>
      <c r="F595" s="1300"/>
      <c r="G595" s="1300"/>
      <c r="H595" s="1300"/>
      <c r="I595" s="1300"/>
      <c r="J595" s="1300"/>
      <c r="K595" s="1300"/>
      <c r="L595" s="1300"/>
      <c r="M595" s="1300"/>
      <c r="N595" s="1300"/>
    </row>
    <row r="596" spans="3:14" ht="14.25" customHeight="1">
      <c r="C596" s="1300"/>
      <c r="D596" s="1300"/>
      <c r="E596" s="1300"/>
      <c r="F596" s="1300"/>
      <c r="G596" s="1300"/>
      <c r="H596" s="1300"/>
      <c r="I596" s="1300"/>
      <c r="J596" s="1300"/>
      <c r="K596" s="1300"/>
      <c r="L596" s="1300"/>
      <c r="M596" s="1300"/>
      <c r="N596" s="1300"/>
    </row>
    <row r="597" spans="3:14" ht="14.25" customHeight="1">
      <c r="C597" s="1300"/>
      <c r="D597" s="1300"/>
      <c r="E597" s="1300"/>
      <c r="F597" s="1300"/>
      <c r="G597" s="1300"/>
      <c r="H597" s="1300"/>
      <c r="I597" s="1300"/>
      <c r="J597" s="1300"/>
      <c r="K597" s="1300"/>
      <c r="L597" s="1300"/>
      <c r="M597" s="1300"/>
      <c r="N597" s="1300"/>
    </row>
    <row r="598" spans="3:14" ht="14.25" customHeight="1">
      <c r="C598" s="1300"/>
      <c r="D598" s="1300"/>
      <c r="E598" s="1300"/>
      <c r="F598" s="1300"/>
      <c r="G598" s="1300"/>
      <c r="H598" s="1300"/>
      <c r="I598" s="1300"/>
      <c r="J598" s="1300"/>
      <c r="K598" s="1300"/>
      <c r="L598" s="1300"/>
      <c r="M598" s="1300"/>
      <c r="N598" s="1300"/>
    </row>
    <row r="599" spans="3:14" ht="14.25" customHeight="1">
      <c r="C599" s="1300"/>
      <c r="D599" s="1300"/>
      <c r="E599" s="1300"/>
      <c r="F599" s="1300"/>
      <c r="G599" s="1300"/>
      <c r="H599" s="1300"/>
      <c r="I599" s="1300"/>
      <c r="J599" s="1300"/>
      <c r="K599" s="1300"/>
      <c r="L599" s="1300"/>
      <c r="M599" s="1300"/>
      <c r="N599" s="1300"/>
    </row>
    <row r="600" spans="3:14" ht="14.25" customHeight="1">
      <c r="C600" s="1300"/>
      <c r="D600" s="1300"/>
      <c r="E600" s="1300"/>
      <c r="F600" s="1300"/>
      <c r="G600" s="1300"/>
      <c r="H600" s="1300"/>
      <c r="I600" s="1300"/>
      <c r="J600" s="1300"/>
      <c r="K600" s="1300"/>
      <c r="L600" s="1300"/>
      <c r="M600" s="1300"/>
      <c r="N600" s="1300"/>
    </row>
    <row r="601" spans="3:14" ht="14.25" customHeight="1">
      <c r="C601" s="1300"/>
      <c r="D601" s="1300"/>
      <c r="E601" s="1300"/>
      <c r="F601" s="1300"/>
      <c r="G601" s="1300"/>
      <c r="H601" s="1300"/>
      <c r="I601" s="1300"/>
      <c r="J601" s="1300"/>
      <c r="K601" s="1300"/>
      <c r="L601" s="1300"/>
      <c r="M601" s="1300"/>
      <c r="N601" s="1300"/>
    </row>
    <row r="602" spans="3:14" ht="14.25" customHeight="1">
      <c r="C602" s="1300"/>
      <c r="D602" s="1300"/>
      <c r="E602" s="1300"/>
      <c r="F602" s="1300"/>
      <c r="G602" s="1300"/>
      <c r="H602" s="1300"/>
      <c r="I602" s="1300"/>
      <c r="J602" s="1300"/>
      <c r="K602" s="1300"/>
      <c r="L602" s="1300"/>
      <c r="M602" s="1300"/>
      <c r="N602" s="1300"/>
    </row>
    <row r="603" spans="3:14" ht="14.25" customHeight="1">
      <c r="C603" s="1300"/>
      <c r="D603" s="1300"/>
      <c r="E603" s="1300"/>
      <c r="F603" s="1300"/>
      <c r="G603" s="1300"/>
      <c r="H603" s="1300"/>
      <c r="I603" s="1300"/>
      <c r="J603" s="1300"/>
      <c r="K603" s="1300"/>
      <c r="L603" s="1300"/>
      <c r="M603" s="1300"/>
      <c r="N603" s="1300"/>
    </row>
    <row r="604" spans="3:14" ht="14.25" customHeight="1">
      <c r="C604" s="1300"/>
      <c r="D604" s="1300"/>
      <c r="E604" s="1300"/>
      <c r="F604" s="1300"/>
      <c r="G604" s="1300"/>
      <c r="H604" s="1300"/>
      <c r="I604" s="1300"/>
      <c r="J604" s="1300"/>
      <c r="K604" s="1300"/>
      <c r="L604" s="1300"/>
      <c r="M604" s="1300"/>
      <c r="N604" s="1300"/>
    </row>
    <row r="605" spans="3:14" ht="14.25" customHeight="1">
      <c r="C605" s="1300"/>
      <c r="D605" s="1300"/>
      <c r="E605" s="1300"/>
      <c r="F605" s="1300"/>
      <c r="G605" s="1300"/>
      <c r="H605" s="1300"/>
      <c r="I605" s="1300"/>
      <c r="J605" s="1300"/>
      <c r="K605" s="1300"/>
      <c r="L605" s="1300"/>
      <c r="M605" s="1300"/>
      <c r="N605" s="1300"/>
    </row>
    <row r="606" spans="3:14" ht="14.25" customHeight="1">
      <c r="C606" s="1300"/>
      <c r="D606" s="1300"/>
      <c r="E606" s="1300"/>
      <c r="F606" s="1300"/>
      <c r="G606" s="1300"/>
      <c r="H606" s="1300"/>
      <c r="I606" s="1300"/>
      <c r="J606" s="1300"/>
      <c r="K606" s="1300"/>
      <c r="L606" s="1300"/>
      <c r="M606" s="1300"/>
      <c r="N606" s="1300"/>
    </row>
    <row r="607" spans="3:14" ht="14.25" customHeight="1">
      <c r="C607" s="1300"/>
      <c r="D607" s="1300"/>
      <c r="E607" s="1300"/>
      <c r="F607" s="1300"/>
      <c r="G607" s="1300"/>
      <c r="H607" s="1300"/>
      <c r="I607" s="1300"/>
      <c r="J607" s="1300"/>
      <c r="K607" s="1300"/>
      <c r="L607" s="1300"/>
      <c r="M607" s="1300"/>
      <c r="N607" s="1300"/>
    </row>
    <row r="608" spans="3:14" ht="14.25" customHeight="1">
      <c r="C608" s="1300"/>
      <c r="D608" s="1300"/>
      <c r="E608" s="1300"/>
      <c r="F608" s="1300"/>
      <c r="G608" s="1300"/>
      <c r="H608" s="1300"/>
      <c r="I608" s="1300"/>
      <c r="J608" s="1300"/>
      <c r="K608" s="1300"/>
      <c r="L608" s="1300"/>
      <c r="M608" s="1300"/>
      <c r="N608" s="1300"/>
    </row>
    <row r="609" spans="3:14" ht="14.25" customHeight="1">
      <c r="C609" s="1300"/>
      <c r="D609" s="1300"/>
      <c r="E609" s="1300"/>
      <c r="F609" s="1300"/>
      <c r="G609" s="1300"/>
      <c r="H609" s="1300"/>
      <c r="I609" s="1300"/>
      <c r="J609" s="1300"/>
      <c r="K609" s="1300"/>
      <c r="L609" s="1300"/>
      <c r="M609" s="1300"/>
      <c r="N609" s="1300"/>
    </row>
    <row r="610" spans="3:14" ht="14.25" customHeight="1">
      <c r="C610" s="1300"/>
      <c r="D610" s="1300"/>
      <c r="E610" s="1300"/>
      <c r="F610" s="1300"/>
      <c r="G610" s="1300"/>
      <c r="H610" s="1300"/>
      <c r="I610" s="1300"/>
      <c r="J610" s="1300"/>
      <c r="K610" s="1300"/>
      <c r="L610" s="1300"/>
      <c r="M610" s="1300"/>
      <c r="N610" s="1300"/>
    </row>
    <row r="611" spans="3:14" ht="14.25" customHeight="1">
      <c r="C611" s="1300"/>
      <c r="D611" s="1300"/>
      <c r="E611" s="1300"/>
      <c r="F611" s="1300"/>
      <c r="G611" s="1300"/>
      <c r="H611" s="1300"/>
      <c r="I611" s="1300"/>
      <c r="J611" s="1300"/>
      <c r="K611" s="1300"/>
      <c r="L611" s="1300"/>
      <c r="M611" s="1300"/>
      <c r="N611" s="1300"/>
    </row>
    <row r="612" spans="3:14" ht="14.25" customHeight="1">
      <c r="C612" s="1300"/>
      <c r="D612" s="1300"/>
      <c r="E612" s="1300"/>
      <c r="F612" s="1300"/>
      <c r="G612" s="1300"/>
      <c r="H612" s="1300"/>
      <c r="I612" s="1300"/>
      <c r="J612" s="1300"/>
      <c r="K612" s="1300"/>
      <c r="L612" s="1300"/>
      <c r="M612" s="1300"/>
      <c r="N612" s="1300"/>
    </row>
    <row r="613" spans="3:14" ht="14.25" customHeight="1">
      <c r="C613" s="1300"/>
      <c r="D613" s="1300"/>
      <c r="E613" s="1300"/>
      <c r="F613" s="1300"/>
      <c r="G613" s="1300"/>
      <c r="H613" s="1300"/>
      <c r="I613" s="1300"/>
      <c r="J613" s="1300"/>
      <c r="K613" s="1300"/>
      <c r="L613" s="1300"/>
      <c r="M613" s="1300"/>
      <c r="N613" s="1300"/>
    </row>
    <row r="614" spans="3:14" ht="14.25" customHeight="1">
      <c r="C614" s="1300"/>
      <c r="D614" s="1300"/>
      <c r="E614" s="1300"/>
      <c r="F614" s="1300"/>
      <c r="G614" s="1300"/>
      <c r="H614" s="1300"/>
      <c r="I614" s="1300"/>
      <c r="J614" s="1300"/>
      <c r="K614" s="1300"/>
      <c r="L614" s="1300"/>
      <c r="M614" s="1300"/>
      <c r="N614" s="1300"/>
    </row>
    <row r="615" spans="3:14" ht="14.25" customHeight="1">
      <c r="C615" s="1300"/>
      <c r="D615" s="1300"/>
      <c r="E615" s="1300"/>
      <c r="F615" s="1300"/>
      <c r="G615" s="1300"/>
      <c r="H615" s="1300"/>
      <c r="I615" s="1300"/>
      <c r="J615" s="1300"/>
      <c r="K615" s="1300"/>
      <c r="L615" s="1300"/>
      <c r="M615" s="1300"/>
      <c r="N615" s="1300"/>
    </row>
    <row r="616" spans="3:14" ht="14.25" customHeight="1">
      <c r="C616" s="1300"/>
      <c r="D616" s="1300"/>
      <c r="E616" s="1300"/>
      <c r="F616" s="1300"/>
      <c r="G616" s="1300"/>
      <c r="H616" s="1300"/>
      <c r="I616" s="1300"/>
      <c r="J616" s="1300"/>
      <c r="K616" s="1300"/>
      <c r="L616" s="1300"/>
      <c r="M616" s="1300"/>
      <c r="N616" s="1300"/>
    </row>
    <row r="617" spans="3:14" ht="14.25" customHeight="1">
      <c r="C617" s="1300"/>
      <c r="D617" s="1300"/>
      <c r="E617" s="1300"/>
      <c r="F617" s="1300"/>
      <c r="G617" s="1300"/>
      <c r="H617" s="1300"/>
      <c r="I617" s="1300"/>
      <c r="J617" s="1300"/>
      <c r="K617" s="1300"/>
      <c r="L617" s="1300"/>
      <c r="M617" s="1300"/>
      <c r="N617" s="1300"/>
    </row>
    <row r="618" spans="3:14" ht="14.25" customHeight="1">
      <c r="C618" s="1300"/>
      <c r="D618" s="1300"/>
      <c r="E618" s="1300"/>
      <c r="F618" s="1300"/>
      <c r="G618" s="1300"/>
      <c r="H618" s="1300"/>
      <c r="I618" s="1300"/>
      <c r="J618" s="1300"/>
      <c r="K618" s="1300"/>
      <c r="L618" s="1300"/>
      <c r="M618" s="1300"/>
      <c r="N618" s="1300"/>
    </row>
    <row r="619" spans="3:14" ht="14.25" customHeight="1">
      <c r="C619" s="1300"/>
      <c r="D619" s="1300"/>
      <c r="E619" s="1300"/>
      <c r="F619" s="1300"/>
      <c r="G619" s="1300"/>
      <c r="H619" s="1300"/>
      <c r="I619" s="1300"/>
      <c r="J619" s="1300"/>
      <c r="K619" s="1300"/>
      <c r="L619" s="1300"/>
      <c r="M619" s="1300"/>
      <c r="N619" s="1300"/>
    </row>
    <row r="620" spans="3:14" ht="14.25" customHeight="1">
      <c r="C620" s="1300"/>
      <c r="D620" s="1300"/>
      <c r="E620" s="1300"/>
      <c r="F620" s="1300"/>
      <c r="G620" s="1300"/>
      <c r="H620" s="1300"/>
      <c r="I620" s="1300"/>
      <c r="J620" s="1300"/>
      <c r="K620" s="1300"/>
      <c r="L620" s="1300"/>
      <c r="M620" s="1300"/>
      <c r="N620" s="1300"/>
    </row>
    <row r="621" spans="3:14" ht="14.25" customHeight="1">
      <c r="C621" s="1300"/>
      <c r="D621" s="1300"/>
      <c r="E621" s="1300"/>
      <c r="F621" s="1300"/>
      <c r="G621" s="1300"/>
      <c r="H621" s="1300"/>
      <c r="I621" s="1300"/>
      <c r="J621" s="1300"/>
      <c r="K621" s="1300"/>
      <c r="L621" s="1300"/>
      <c r="M621" s="1300"/>
      <c r="N621" s="1300"/>
    </row>
    <row r="622" spans="3:14" ht="14.25" customHeight="1">
      <c r="C622" s="1300"/>
      <c r="D622" s="1300"/>
      <c r="E622" s="1300"/>
      <c r="F622" s="1300"/>
      <c r="G622" s="1300"/>
      <c r="H622" s="1300"/>
      <c r="I622" s="1300"/>
      <c r="J622" s="1300"/>
      <c r="K622" s="1300"/>
      <c r="L622" s="1300"/>
      <c r="M622" s="1300"/>
      <c r="N622" s="1300"/>
    </row>
    <row r="623" spans="3:14" ht="14.25" customHeight="1">
      <c r="C623" s="1300"/>
      <c r="D623" s="1300"/>
      <c r="E623" s="1300"/>
      <c r="F623" s="1300"/>
      <c r="G623" s="1300"/>
      <c r="H623" s="1300"/>
      <c r="I623" s="1300"/>
      <c r="J623" s="1300"/>
      <c r="K623" s="1300"/>
      <c r="L623" s="1300"/>
      <c r="M623" s="1300"/>
      <c r="N623" s="1300"/>
    </row>
    <row r="624" spans="3:14" ht="14.25" customHeight="1">
      <c r="C624" s="1300"/>
      <c r="D624" s="1300"/>
      <c r="E624" s="1300"/>
      <c r="F624" s="1300"/>
      <c r="G624" s="1300"/>
      <c r="H624" s="1300"/>
      <c r="I624" s="1300"/>
      <c r="J624" s="1300"/>
      <c r="K624" s="1300"/>
      <c r="L624" s="1300"/>
      <c r="M624" s="1300"/>
      <c r="N624" s="1300"/>
    </row>
    <row r="625" spans="3:14" ht="14.25" customHeight="1">
      <c r="C625" s="1300"/>
      <c r="D625" s="1300"/>
      <c r="E625" s="1300"/>
      <c r="F625" s="1300"/>
      <c r="G625" s="1300"/>
      <c r="H625" s="1300"/>
      <c r="I625" s="1300"/>
      <c r="J625" s="1300"/>
      <c r="K625" s="1300"/>
      <c r="L625" s="1300"/>
      <c r="M625" s="1300"/>
      <c r="N625" s="1300"/>
    </row>
    <row r="626" spans="3:14" ht="14.25" customHeight="1">
      <c r="C626" s="1300"/>
      <c r="D626" s="1300"/>
      <c r="E626" s="1300"/>
      <c r="F626" s="1300"/>
      <c r="G626" s="1300"/>
      <c r="H626" s="1300"/>
      <c r="I626" s="1300"/>
      <c r="J626" s="1300"/>
      <c r="K626" s="1300"/>
      <c r="L626" s="1300"/>
      <c r="M626" s="1300"/>
      <c r="N626" s="1300"/>
    </row>
    <row r="627" spans="3:14" ht="14.25" customHeight="1">
      <c r="C627" s="1300"/>
      <c r="D627" s="1300"/>
      <c r="E627" s="1300"/>
      <c r="F627" s="1300"/>
      <c r="G627" s="1300"/>
      <c r="H627" s="1300"/>
      <c r="I627" s="1300"/>
      <c r="J627" s="1300"/>
      <c r="K627" s="1300"/>
      <c r="L627" s="1300"/>
      <c r="M627" s="1300"/>
      <c r="N627" s="1300"/>
    </row>
    <row r="628" spans="3:14" ht="14.25" customHeight="1">
      <c r="C628" s="1300"/>
      <c r="D628" s="1300"/>
      <c r="E628" s="1300"/>
      <c r="F628" s="1300"/>
      <c r="G628" s="1300"/>
      <c r="H628" s="1300"/>
      <c r="I628" s="1300"/>
      <c r="J628" s="1300"/>
      <c r="K628" s="1300"/>
      <c r="L628" s="1300"/>
      <c r="M628" s="1300"/>
      <c r="N628" s="1300"/>
    </row>
    <row r="629" spans="3:14" ht="14.25" customHeight="1">
      <c r="C629" s="1300"/>
      <c r="D629" s="1300"/>
      <c r="E629" s="1300"/>
      <c r="F629" s="1300"/>
      <c r="G629" s="1300"/>
      <c r="H629" s="1300"/>
      <c r="I629" s="1300"/>
      <c r="J629" s="1300"/>
      <c r="K629" s="1300"/>
      <c r="L629" s="1300"/>
      <c r="M629" s="1300"/>
      <c r="N629" s="1300"/>
    </row>
    <row r="630" spans="3:14" ht="14.25" customHeight="1">
      <c r="C630" s="1300"/>
      <c r="D630" s="1300"/>
      <c r="E630" s="1300"/>
      <c r="F630" s="1300"/>
      <c r="G630" s="1300"/>
      <c r="H630" s="1300"/>
      <c r="I630" s="1300"/>
      <c r="J630" s="1300"/>
      <c r="K630" s="1300"/>
      <c r="L630" s="1300"/>
      <c r="M630" s="1300"/>
      <c r="N630" s="1300"/>
    </row>
    <row r="631" spans="3:14" ht="14.25" customHeight="1">
      <c r="C631" s="1300"/>
      <c r="D631" s="1300"/>
      <c r="E631" s="1300"/>
      <c r="F631" s="1300"/>
      <c r="G631" s="1300"/>
      <c r="H631" s="1300"/>
      <c r="I631" s="1300"/>
      <c r="J631" s="1300"/>
      <c r="K631" s="1300"/>
      <c r="L631" s="1300"/>
      <c r="M631" s="1300"/>
      <c r="N631" s="1300"/>
    </row>
    <row r="632" spans="3:14" ht="14.25" customHeight="1">
      <c r="C632" s="1300"/>
      <c r="D632" s="1300"/>
      <c r="E632" s="1300"/>
      <c r="F632" s="1300"/>
      <c r="G632" s="1300"/>
      <c r="H632" s="1300"/>
      <c r="I632" s="1300"/>
      <c r="J632" s="1300"/>
      <c r="K632" s="1300"/>
      <c r="L632" s="1300"/>
      <c r="M632" s="1300"/>
      <c r="N632" s="1300"/>
    </row>
    <row r="633" spans="3:14" ht="14.25" customHeight="1">
      <c r="C633" s="1300"/>
      <c r="D633" s="1300"/>
      <c r="E633" s="1300"/>
      <c r="F633" s="1300"/>
      <c r="G633" s="1300"/>
      <c r="H633" s="1300"/>
      <c r="I633" s="1300"/>
      <c r="J633" s="1300"/>
      <c r="K633" s="1300"/>
      <c r="L633" s="1300"/>
      <c r="M633" s="1300"/>
      <c r="N633" s="1300"/>
    </row>
    <row r="634" spans="3:14" ht="14.25" customHeight="1">
      <c r="C634" s="1300"/>
      <c r="D634" s="1300"/>
      <c r="E634" s="1300"/>
      <c r="F634" s="1300"/>
      <c r="G634" s="1300"/>
      <c r="H634" s="1300"/>
      <c r="I634" s="1300"/>
      <c r="J634" s="1300"/>
      <c r="K634" s="1300"/>
      <c r="L634" s="1300"/>
      <c r="M634" s="1300"/>
      <c r="N634" s="1300"/>
    </row>
    <row r="635" spans="3:14" ht="14.25" customHeight="1">
      <c r="C635" s="1300"/>
      <c r="D635" s="1300"/>
      <c r="E635" s="1300"/>
      <c r="F635" s="1300"/>
      <c r="G635" s="1300"/>
      <c r="H635" s="1300"/>
      <c r="I635" s="1300"/>
      <c r="J635" s="1300"/>
      <c r="K635" s="1300"/>
      <c r="L635" s="1300"/>
      <c r="M635" s="1300"/>
      <c r="N635" s="1300"/>
    </row>
    <row r="636" spans="3:14" ht="14.25" customHeight="1">
      <c r="C636" s="1300"/>
      <c r="D636" s="1300"/>
      <c r="E636" s="1300"/>
      <c r="F636" s="1300"/>
      <c r="G636" s="1300"/>
      <c r="H636" s="1300"/>
      <c r="I636" s="1300"/>
      <c r="J636" s="1300"/>
      <c r="K636" s="1300"/>
      <c r="L636" s="1300"/>
      <c r="M636" s="1300"/>
      <c r="N636" s="1300"/>
    </row>
    <row r="637" spans="3:14" ht="14.25" customHeight="1">
      <c r="C637" s="1300"/>
      <c r="D637" s="1300"/>
      <c r="E637" s="1300"/>
      <c r="F637" s="1300"/>
      <c r="G637" s="1300"/>
      <c r="H637" s="1300"/>
      <c r="I637" s="1300"/>
      <c r="J637" s="1300"/>
      <c r="K637" s="1300"/>
      <c r="L637" s="1300"/>
      <c r="M637" s="1300"/>
      <c r="N637" s="1300"/>
    </row>
    <row r="638" spans="3:14" ht="14.25" customHeight="1">
      <c r="C638" s="1300"/>
      <c r="D638" s="1300"/>
      <c r="E638" s="1300"/>
      <c r="F638" s="1300"/>
      <c r="G638" s="1300"/>
      <c r="H638" s="1300"/>
      <c r="I638" s="1300"/>
      <c r="J638" s="1300"/>
      <c r="K638" s="1300"/>
      <c r="L638" s="1300"/>
      <c r="M638" s="1300"/>
      <c r="N638" s="1300"/>
    </row>
    <row r="639" spans="3:14" ht="14.25" customHeight="1">
      <c r="C639" s="1300"/>
      <c r="D639" s="1300"/>
      <c r="E639" s="1300"/>
      <c r="F639" s="1300"/>
      <c r="G639" s="1300"/>
      <c r="H639" s="1300"/>
      <c r="I639" s="1300"/>
      <c r="J639" s="1300"/>
      <c r="K639" s="1300"/>
      <c r="L639" s="1300"/>
      <c r="M639" s="1300"/>
      <c r="N639" s="1300"/>
    </row>
    <row r="640" spans="3:14" ht="14.25" customHeight="1">
      <c r="C640" s="1300"/>
      <c r="D640" s="1300"/>
      <c r="E640" s="1300"/>
      <c r="F640" s="1300"/>
      <c r="G640" s="1300"/>
      <c r="H640" s="1300"/>
      <c r="I640" s="1300"/>
      <c r="J640" s="1300"/>
      <c r="K640" s="1300"/>
      <c r="L640" s="1300"/>
      <c r="M640" s="1300"/>
      <c r="N640" s="1300"/>
    </row>
    <row r="641" spans="3:14" ht="14.25" customHeight="1">
      <c r="C641" s="1300"/>
      <c r="D641" s="1300"/>
      <c r="E641" s="1300"/>
      <c r="F641" s="1300"/>
      <c r="G641" s="1300"/>
      <c r="H641" s="1300"/>
      <c r="I641" s="1300"/>
      <c r="J641" s="1300"/>
      <c r="K641" s="1300"/>
      <c r="L641" s="1300"/>
      <c r="M641" s="1300"/>
      <c r="N641" s="1300"/>
    </row>
    <row r="642" spans="3:14" ht="14.25" customHeight="1">
      <c r="C642" s="1300"/>
      <c r="D642" s="1300"/>
      <c r="E642" s="1300"/>
      <c r="F642" s="1300"/>
      <c r="G642" s="1300"/>
      <c r="H642" s="1300"/>
      <c r="I642" s="1300"/>
      <c r="J642" s="1300"/>
      <c r="K642" s="1300"/>
      <c r="L642" s="1300"/>
      <c r="M642" s="1300"/>
      <c r="N642" s="1300"/>
    </row>
    <row r="643" spans="3:14" ht="14.25" customHeight="1">
      <c r="C643" s="1300"/>
      <c r="D643" s="1300"/>
      <c r="E643" s="1300"/>
      <c r="F643" s="1300"/>
      <c r="G643" s="1300"/>
      <c r="H643" s="1300"/>
      <c r="I643" s="1300"/>
      <c r="J643" s="1300"/>
      <c r="K643" s="1300"/>
      <c r="L643" s="1300"/>
      <c r="M643" s="1300"/>
      <c r="N643" s="1300"/>
    </row>
    <row r="644" spans="3:14" ht="14.25" customHeight="1">
      <c r="C644" s="1300"/>
      <c r="D644" s="1300"/>
      <c r="E644" s="1300"/>
      <c r="F644" s="1300"/>
      <c r="G644" s="1300"/>
      <c r="H644" s="1300"/>
      <c r="I644" s="1300"/>
      <c r="J644" s="1300"/>
      <c r="K644" s="1300"/>
      <c r="L644" s="1300"/>
      <c r="M644" s="1300"/>
      <c r="N644" s="1300"/>
    </row>
    <row r="645" spans="3:14" ht="14.25" customHeight="1">
      <c r="C645" s="1300"/>
      <c r="D645" s="1300"/>
      <c r="E645" s="1300"/>
      <c r="F645" s="1300"/>
      <c r="G645" s="1300"/>
      <c r="H645" s="1300"/>
      <c r="I645" s="1300"/>
      <c r="J645" s="1300"/>
      <c r="K645" s="1300"/>
      <c r="L645" s="1300"/>
      <c r="M645" s="1300"/>
      <c r="N645" s="1300"/>
    </row>
    <row r="646" spans="3:14" ht="14.25" customHeight="1">
      <c r="C646" s="1300"/>
      <c r="D646" s="1300"/>
      <c r="E646" s="1300"/>
      <c r="F646" s="1300"/>
      <c r="G646" s="1300"/>
      <c r="H646" s="1300"/>
      <c r="I646" s="1300"/>
      <c r="J646" s="1300"/>
      <c r="K646" s="1300"/>
      <c r="L646" s="1300"/>
      <c r="M646" s="1300"/>
      <c r="N646" s="1300"/>
    </row>
    <row r="647" spans="3:14" ht="14.25" customHeight="1">
      <c r="C647" s="1300"/>
      <c r="D647" s="1300"/>
      <c r="E647" s="1300"/>
      <c r="F647" s="1300"/>
      <c r="G647" s="1300"/>
      <c r="H647" s="1300"/>
      <c r="I647" s="1300"/>
      <c r="J647" s="1300"/>
      <c r="K647" s="1300"/>
      <c r="L647" s="1300"/>
      <c r="M647" s="1300"/>
      <c r="N647" s="1300"/>
    </row>
    <row r="648" spans="3:14" ht="14.25" customHeight="1">
      <c r="C648" s="1300"/>
      <c r="D648" s="1300"/>
      <c r="E648" s="1300"/>
      <c r="F648" s="1300"/>
      <c r="G648" s="1300"/>
      <c r="H648" s="1300"/>
      <c r="I648" s="1300"/>
      <c r="J648" s="1300"/>
      <c r="K648" s="1300"/>
      <c r="L648" s="1300"/>
      <c r="M648" s="1300"/>
      <c r="N648" s="1300"/>
    </row>
    <row r="649" spans="3:14" ht="14.25" customHeight="1">
      <c r="C649" s="1300"/>
      <c r="D649" s="1300"/>
      <c r="E649" s="1300"/>
      <c r="F649" s="1300"/>
      <c r="G649" s="1300"/>
      <c r="H649" s="1300"/>
      <c r="I649" s="1300"/>
      <c r="J649" s="1300"/>
      <c r="K649" s="1300"/>
      <c r="L649" s="1300"/>
      <c r="M649" s="1300"/>
      <c r="N649" s="1300"/>
    </row>
    <row r="650" spans="3:14" ht="14.25" customHeight="1">
      <c r="C650" s="1300"/>
      <c r="D650" s="1300"/>
      <c r="E650" s="1300"/>
      <c r="F650" s="1300"/>
      <c r="G650" s="1300"/>
      <c r="H650" s="1300"/>
      <c r="I650" s="1300"/>
      <c r="J650" s="1300"/>
      <c r="K650" s="1300"/>
      <c r="L650" s="1300"/>
      <c r="M650" s="1300"/>
      <c r="N650" s="1300"/>
    </row>
    <row r="651" spans="3:14" ht="14.25" customHeight="1">
      <c r="C651" s="1300"/>
      <c r="D651" s="1300"/>
      <c r="E651" s="1300"/>
      <c r="F651" s="1300"/>
      <c r="G651" s="1300"/>
      <c r="H651" s="1300"/>
      <c r="I651" s="1300"/>
      <c r="J651" s="1300"/>
      <c r="K651" s="1300"/>
      <c r="L651" s="1300"/>
      <c r="M651" s="1300"/>
      <c r="N651" s="1300"/>
    </row>
    <row r="652" spans="3:14" ht="14.25" customHeight="1">
      <c r="C652" s="1300"/>
      <c r="D652" s="1300"/>
      <c r="E652" s="1300"/>
      <c r="F652" s="1300"/>
      <c r="G652" s="1300"/>
      <c r="H652" s="1300"/>
      <c r="I652" s="1300"/>
      <c r="J652" s="1300"/>
      <c r="K652" s="1300"/>
      <c r="L652" s="1300"/>
      <c r="M652" s="1300"/>
      <c r="N652" s="1300"/>
    </row>
    <row r="653" spans="3:14" ht="14.25" customHeight="1">
      <c r="C653" s="1300"/>
      <c r="D653" s="1300"/>
      <c r="E653" s="1300"/>
      <c r="F653" s="1300"/>
      <c r="G653" s="1300"/>
      <c r="H653" s="1300"/>
      <c r="I653" s="1300"/>
      <c r="J653" s="1300"/>
      <c r="K653" s="1300"/>
      <c r="L653" s="1300"/>
      <c r="M653" s="1300"/>
      <c r="N653" s="1300"/>
    </row>
    <row r="654" spans="3:14" ht="14.25" customHeight="1">
      <c r="C654" s="1300"/>
      <c r="D654" s="1300"/>
      <c r="E654" s="1300"/>
      <c r="F654" s="1300"/>
      <c r="G654" s="1300"/>
      <c r="H654" s="1300"/>
      <c r="I654" s="1300"/>
      <c r="J654" s="1300"/>
      <c r="K654" s="1300"/>
      <c r="L654" s="1300"/>
      <c r="M654" s="1300"/>
      <c r="N654" s="1300"/>
    </row>
    <row r="655" spans="3:14" ht="14.25" customHeight="1">
      <c r="C655" s="1300"/>
      <c r="D655" s="1300"/>
      <c r="E655" s="1300"/>
      <c r="F655" s="1300"/>
      <c r="G655" s="1300"/>
      <c r="H655" s="1300"/>
      <c r="I655" s="1300"/>
      <c r="J655" s="1300"/>
      <c r="K655" s="1300"/>
      <c r="L655" s="1300"/>
      <c r="M655" s="1300"/>
      <c r="N655" s="1300"/>
    </row>
    <row r="656" spans="3:14" ht="14.25" customHeight="1">
      <c r="C656" s="1300"/>
      <c r="D656" s="1300"/>
      <c r="E656" s="1300"/>
      <c r="F656" s="1300"/>
      <c r="G656" s="1300"/>
      <c r="H656" s="1300"/>
      <c r="I656" s="1300"/>
      <c r="J656" s="1300"/>
      <c r="K656" s="1300"/>
      <c r="L656" s="1300"/>
      <c r="M656" s="1300"/>
      <c r="N656" s="1300"/>
    </row>
    <row r="657" spans="3:14" ht="14.25" customHeight="1">
      <c r="C657" s="1300"/>
      <c r="D657" s="1300"/>
      <c r="E657" s="1300"/>
      <c r="F657" s="1300"/>
      <c r="G657" s="1300"/>
      <c r="H657" s="1300"/>
      <c r="I657" s="1300"/>
      <c r="J657" s="1300"/>
      <c r="K657" s="1300"/>
      <c r="L657" s="1300"/>
      <c r="M657" s="1300"/>
      <c r="N657" s="1300"/>
    </row>
    <row r="658" spans="3:14" ht="14.25" customHeight="1">
      <c r="C658" s="1300"/>
      <c r="D658" s="1300"/>
      <c r="E658" s="1300"/>
      <c r="F658" s="1300"/>
      <c r="G658" s="1300"/>
      <c r="H658" s="1300"/>
      <c r="I658" s="1300"/>
      <c r="J658" s="1300"/>
      <c r="K658" s="1300"/>
      <c r="L658" s="1300"/>
      <c r="M658" s="1300"/>
      <c r="N658" s="1300"/>
    </row>
    <row r="659" spans="3:14" ht="14.25" customHeight="1">
      <c r="C659" s="1300"/>
      <c r="D659" s="1300"/>
      <c r="E659" s="1300"/>
      <c r="F659" s="1300"/>
      <c r="G659" s="1300"/>
      <c r="H659" s="1300"/>
      <c r="I659" s="1300"/>
      <c r="J659" s="1300"/>
      <c r="K659" s="1300"/>
      <c r="L659" s="1300"/>
      <c r="M659" s="1300"/>
      <c r="N659" s="1300"/>
    </row>
    <row r="660" spans="3:14" ht="14.25" customHeight="1">
      <c r="C660" s="1300"/>
      <c r="D660" s="1300"/>
      <c r="E660" s="1300"/>
      <c r="F660" s="1300"/>
      <c r="G660" s="1300"/>
      <c r="H660" s="1300"/>
      <c r="I660" s="1300"/>
      <c r="J660" s="1300"/>
      <c r="K660" s="1300"/>
      <c r="L660" s="1300"/>
      <c r="M660" s="1300"/>
      <c r="N660" s="1300"/>
    </row>
    <row r="661" spans="3:14" ht="14.25" customHeight="1">
      <c r="C661" s="1300"/>
      <c r="D661" s="1300"/>
      <c r="E661" s="1300"/>
      <c r="F661" s="1300"/>
      <c r="G661" s="1300"/>
      <c r="H661" s="1300"/>
      <c r="I661" s="1300"/>
      <c r="J661" s="1300"/>
      <c r="K661" s="1300"/>
      <c r="L661" s="1300"/>
      <c r="M661" s="1300"/>
      <c r="N661" s="1300"/>
    </row>
    <row r="662" spans="3:14" ht="14.25" customHeight="1">
      <c r="C662" s="1300"/>
      <c r="D662" s="1300"/>
      <c r="E662" s="1300"/>
      <c r="F662" s="1300"/>
      <c r="G662" s="1300"/>
      <c r="H662" s="1300"/>
      <c r="I662" s="1300"/>
      <c r="J662" s="1300"/>
      <c r="K662" s="1300"/>
      <c r="L662" s="1300"/>
      <c r="M662" s="1300"/>
      <c r="N662" s="1300"/>
    </row>
    <row r="663" spans="3:14" ht="14.25" customHeight="1">
      <c r="C663" s="1300"/>
      <c r="D663" s="1300"/>
      <c r="E663" s="1300"/>
      <c r="F663" s="1300"/>
      <c r="G663" s="1300"/>
      <c r="H663" s="1300"/>
      <c r="I663" s="1300"/>
      <c r="J663" s="1300"/>
      <c r="K663" s="1300"/>
      <c r="L663" s="1300"/>
      <c r="M663" s="1300"/>
      <c r="N663" s="1300"/>
    </row>
    <row r="664" spans="3:14" ht="14.25" customHeight="1">
      <c r="C664" s="1300"/>
      <c r="D664" s="1300"/>
      <c r="E664" s="1300"/>
      <c r="F664" s="1300"/>
      <c r="G664" s="1300"/>
      <c r="H664" s="1300"/>
      <c r="I664" s="1300"/>
      <c r="J664" s="1300"/>
      <c r="K664" s="1300"/>
      <c r="L664" s="1300"/>
      <c r="M664" s="1300"/>
      <c r="N664" s="1300"/>
    </row>
    <row r="665" spans="3:14" ht="14.25" customHeight="1">
      <c r="C665" s="1300"/>
      <c r="D665" s="1300"/>
      <c r="E665" s="1300"/>
      <c r="F665" s="1300"/>
      <c r="G665" s="1300"/>
      <c r="H665" s="1300"/>
      <c r="I665" s="1300"/>
      <c r="J665" s="1300"/>
      <c r="K665" s="1300"/>
      <c r="L665" s="1300"/>
      <c r="M665" s="1300"/>
      <c r="N665" s="1300"/>
    </row>
    <row r="666" spans="3:14" ht="14.25" customHeight="1">
      <c r="C666" s="1300"/>
      <c r="D666" s="1300"/>
      <c r="E666" s="1300"/>
      <c r="F666" s="1300"/>
      <c r="G666" s="1300"/>
      <c r="H666" s="1300"/>
      <c r="I666" s="1300"/>
      <c r="J666" s="1300"/>
      <c r="K666" s="1300"/>
      <c r="L666" s="1300"/>
      <c r="M666" s="1300"/>
      <c r="N666" s="1300"/>
    </row>
    <row r="667" spans="3:14" ht="14.25" customHeight="1">
      <c r="C667" s="1300"/>
      <c r="D667" s="1300"/>
      <c r="E667" s="1300"/>
      <c r="F667" s="1300"/>
      <c r="G667" s="1300"/>
      <c r="H667" s="1300"/>
      <c r="I667" s="1300"/>
      <c r="J667" s="1300"/>
      <c r="K667" s="1300"/>
      <c r="L667" s="1300"/>
      <c r="M667" s="1300"/>
      <c r="N667" s="1300"/>
    </row>
    <row r="668" spans="3:14" ht="14.25" customHeight="1">
      <c r="C668" s="1300"/>
      <c r="D668" s="1300"/>
      <c r="E668" s="1300"/>
      <c r="F668" s="1300"/>
      <c r="G668" s="1300"/>
      <c r="H668" s="1300"/>
      <c r="I668" s="1300"/>
      <c r="J668" s="1300"/>
      <c r="K668" s="1300"/>
      <c r="L668" s="1300"/>
      <c r="M668" s="1300"/>
      <c r="N668" s="1300"/>
    </row>
    <row r="669" spans="3:14" ht="14.25" customHeight="1">
      <c r="C669" s="1300"/>
      <c r="D669" s="1300"/>
      <c r="E669" s="1300"/>
      <c r="F669" s="1300"/>
      <c r="G669" s="1300"/>
      <c r="H669" s="1300"/>
      <c r="I669" s="1300"/>
      <c r="J669" s="1300"/>
      <c r="K669" s="1300"/>
      <c r="L669" s="1300"/>
      <c r="M669" s="1300"/>
      <c r="N669" s="1300"/>
    </row>
    <row r="670" spans="3:14" ht="14.25" customHeight="1">
      <c r="C670" s="1300"/>
      <c r="D670" s="1300"/>
      <c r="E670" s="1300"/>
      <c r="F670" s="1300"/>
      <c r="G670" s="1300"/>
      <c r="H670" s="1300"/>
      <c r="I670" s="1300"/>
      <c r="J670" s="1300"/>
      <c r="K670" s="1300"/>
      <c r="L670" s="1300"/>
      <c r="M670" s="1300"/>
      <c r="N670" s="1300"/>
    </row>
    <row r="671" spans="3:14" ht="14.25" customHeight="1">
      <c r="C671" s="1300"/>
      <c r="D671" s="1300"/>
      <c r="E671" s="1300"/>
      <c r="F671" s="1300"/>
      <c r="G671" s="1300"/>
      <c r="H671" s="1300"/>
      <c r="I671" s="1300"/>
      <c r="J671" s="1300"/>
      <c r="K671" s="1300"/>
      <c r="L671" s="1300"/>
      <c r="M671" s="1300"/>
      <c r="N671" s="1300"/>
    </row>
    <row r="672" spans="3:14" ht="14.25" customHeight="1">
      <c r="C672" s="1300"/>
      <c r="D672" s="1300"/>
      <c r="E672" s="1300"/>
      <c r="F672" s="1300"/>
      <c r="G672" s="1300"/>
      <c r="H672" s="1300"/>
      <c r="I672" s="1300"/>
      <c r="J672" s="1300"/>
      <c r="K672" s="1300"/>
      <c r="L672" s="1300"/>
      <c r="M672" s="1300"/>
      <c r="N672" s="1300"/>
    </row>
    <row r="673" spans="3:14" ht="14.25" customHeight="1">
      <c r="C673" s="1300"/>
      <c r="D673" s="1300"/>
      <c r="E673" s="1300"/>
      <c r="F673" s="1300"/>
      <c r="G673" s="1300"/>
      <c r="H673" s="1300"/>
      <c r="I673" s="1300"/>
      <c r="J673" s="1300"/>
      <c r="K673" s="1300"/>
      <c r="L673" s="1300"/>
      <c r="M673" s="1300"/>
      <c r="N673" s="1300"/>
    </row>
    <row r="674" spans="3:14" ht="14.25" customHeight="1">
      <c r="C674" s="1300"/>
      <c r="D674" s="1300"/>
      <c r="E674" s="1300"/>
      <c r="F674" s="1300"/>
      <c r="G674" s="1300"/>
      <c r="H674" s="1300"/>
      <c r="I674" s="1300"/>
      <c r="J674" s="1300"/>
      <c r="K674" s="1300"/>
      <c r="L674" s="1300"/>
      <c r="M674" s="1300"/>
      <c r="N674" s="1300"/>
    </row>
    <row r="675" spans="3:14" ht="14.25" customHeight="1">
      <c r="C675" s="1300"/>
      <c r="D675" s="1300"/>
      <c r="E675" s="1300"/>
      <c r="F675" s="1300"/>
      <c r="G675" s="1300"/>
      <c r="H675" s="1300"/>
      <c r="I675" s="1300"/>
      <c r="J675" s="1300"/>
      <c r="K675" s="1300"/>
      <c r="L675" s="1300"/>
      <c r="M675" s="1300"/>
      <c r="N675" s="1300"/>
    </row>
    <row r="676" spans="3:14" ht="14.25" customHeight="1">
      <c r="C676" s="1300"/>
      <c r="D676" s="1300"/>
      <c r="E676" s="1300"/>
      <c r="F676" s="1300"/>
      <c r="G676" s="1300"/>
      <c r="H676" s="1300"/>
      <c r="I676" s="1300"/>
      <c r="J676" s="1300"/>
      <c r="K676" s="1300"/>
      <c r="L676" s="1300"/>
      <c r="M676" s="1300"/>
      <c r="N676" s="1300"/>
    </row>
    <row r="677" spans="3:14" ht="14.25" customHeight="1">
      <c r="C677" s="1300"/>
      <c r="D677" s="1300"/>
      <c r="E677" s="1300"/>
      <c r="F677" s="1300"/>
      <c r="G677" s="1300"/>
      <c r="H677" s="1300"/>
      <c r="I677" s="1300"/>
      <c r="J677" s="1300"/>
      <c r="K677" s="1300"/>
      <c r="L677" s="1300"/>
      <c r="M677" s="1300"/>
      <c r="N677" s="1300"/>
    </row>
    <row r="678" spans="3:14" ht="14.25" customHeight="1">
      <c r="C678" s="1300"/>
      <c r="D678" s="1300"/>
      <c r="E678" s="1300"/>
      <c r="F678" s="1300"/>
      <c r="G678" s="1300"/>
      <c r="H678" s="1300"/>
      <c r="I678" s="1300"/>
      <c r="J678" s="1300"/>
      <c r="K678" s="1300"/>
      <c r="L678" s="1300"/>
      <c r="M678" s="1300"/>
      <c r="N678" s="1300"/>
    </row>
    <row r="679" spans="3:14" ht="14.25" customHeight="1">
      <c r="C679" s="1300"/>
      <c r="D679" s="1300"/>
      <c r="E679" s="1300"/>
      <c r="F679" s="1300"/>
      <c r="G679" s="1300"/>
      <c r="H679" s="1300"/>
      <c r="I679" s="1300"/>
      <c r="J679" s="1300"/>
      <c r="K679" s="1300"/>
      <c r="L679" s="1300"/>
      <c r="M679" s="1300"/>
      <c r="N679" s="1300"/>
    </row>
    <row r="680" spans="3:14" ht="14.25" customHeight="1">
      <c r="C680" s="1300"/>
      <c r="D680" s="1300"/>
      <c r="E680" s="1300"/>
      <c r="F680" s="1300"/>
      <c r="G680" s="1300"/>
      <c r="H680" s="1300"/>
      <c r="I680" s="1300"/>
      <c r="J680" s="1300"/>
      <c r="K680" s="1300"/>
      <c r="L680" s="1300"/>
      <c r="M680" s="1300"/>
      <c r="N680" s="1300"/>
    </row>
    <row r="681" spans="3:14" ht="14.25" customHeight="1">
      <c r="C681" s="1300"/>
      <c r="D681" s="1300"/>
      <c r="E681" s="1300"/>
      <c r="F681" s="1300"/>
      <c r="G681" s="1300"/>
      <c r="H681" s="1300"/>
      <c r="I681" s="1300"/>
      <c r="J681" s="1300"/>
      <c r="K681" s="1300"/>
      <c r="L681" s="1300"/>
      <c r="M681" s="1300"/>
      <c r="N681" s="1300"/>
    </row>
    <row r="682" spans="3:14" ht="14.25" customHeight="1">
      <c r="C682" s="1300"/>
      <c r="D682" s="1300"/>
      <c r="E682" s="1300"/>
      <c r="F682" s="1300"/>
      <c r="G682" s="1300"/>
      <c r="H682" s="1300"/>
      <c r="I682" s="1300"/>
      <c r="J682" s="1300"/>
      <c r="K682" s="1300"/>
      <c r="L682" s="1300"/>
      <c r="M682" s="1300"/>
      <c r="N682" s="1300"/>
    </row>
    <row r="683" spans="3:14" ht="14.25" customHeight="1">
      <c r="C683" s="1300"/>
      <c r="D683" s="1300"/>
      <c r="E683" s="1300"/>
      <c r="F683" s="1300"/>
      <c r="G683" s="1300"/>
      <c r="H683" s="1300"/>
      <c r="I683" s="1300"/>
      <c r="J683" s="1300"/>
      <c r="K683" s="1300"/>
      <c r="L683" s="1300"/>
      <c r="M683" s="1300"/>
      <c r="N683" s="1300"/>
    </row>
    <row r="684" spans="3:14" ht="14.25" customHeight="1">
      <c r="C684" s="1300"/>
      <c r="D684" s="1300"/>
      <c r="E684" s="1300"/>
      <c r="F684" s="1300"/>
      <c r="G684" s="1300"/>
      <c r="H684" s="1300"/>
      <c r="I684" s="1300"/>
      <c r="J684" s="1300"/>
      <c r="K684" s="1300"/>
      <c r="L684" s="1300"/>
      <c r="M684" s="1300"/>
      <c r="N684" s="1300"/>
    </row>
    <row r="685" spans="3:14" ht="14.25" customHeight="1">
      <c r="C685" s="1300"/>
      <c r="D685" s="1300"/>
      <c r="E685" s="1300"/>
      <c r="F685" s="1300"/>
      <c r="G685" s="1300"/>
      <c r="H685" s="1300"/>
      <c r="I685" s="1300"/>
      <c r="J685" s="1300"/>
      <c r="K685" s="1300"/>
      <c r="L685" s="1300"/>
      <c r="M685" s="1300"/>
      <c r="N685" s="1300"/>
    </row>
    <row r="686" spans="3:14" ht="14.25" customHeight="1">
      <c r="C686" s="1300"/>
      <c r="D686" s="1300"/>
      <c r="E686" s="1300"/>
      <c r="F686" s="1300"/>
      <c r="G686" s="1300"/>
      <c r="H686" s="1300"/>
      <c r="I686" s="1300"/>
      <c r="J686" s="1300"/>
      <c r="K686" s="1300"/>
      <c r="L686" s="1300"/>
      <c r="M686" s="1300"/>
      <c r="N686" s="1300"/>
    </row>
    <row r="687" spans="3:14" ht="14.25" customHeight="1">
      <c r="C687" s="1300"/>
      <c r="D687" s="1300"/>
      <c r="E687" s="1300"/>
      <c r="F687" s="1300"/>
      <c r="G687" s="1300"/>
      <c r="H687" s="1300"/>
      <c r="I687" s="1300"/>
      <c r="J687" s="1300"/>
      <c r="K687" s="1300"/>
      <c r="L687" s="1300"/>
      <c r="M687" s="1300"/>
      <c r="N687" s="1300"/>
    </row>
    <row r="688" spans="3:14" ht="14.25" customHeight="1">
      <c r="C688" s="1300"/>
      <c r="D688" s="1300"/>
      <c r="E688" s="1300"/>
      <c r="F688" s="1300"/>
      <c r="G688" s="1300"/>
      <c r="H688" s="1300"/>
      <c r="I688" s="1300"/>
      <c r="J688" s="1300"/>
      <c r="K688" s="1300"/>
      <c r="L688" s="1300"/>
      <c r="M688" s="1300"/>
      <c r="N688" s="1300"/>
    </row>
    <row r="689" spans="3:14" ht="14.25" customHeight="1">
      <c r="C689" s="1300"/>
      <c r="D689" s="1300"/>
      <c r="E689" s="1300"/>
      <c r="F689" s="1300"/>
      <c r="G689" s="1300"/>
      <c r="H689" s="1300"/>
      <c r="I689" s="1300"/>
      <c r="J689" s="1300"/>
      <c r="K689" s="1300"/>
      <c r="L689" s="1300"/>
      <c r="M689" s="1300"/>
      <c r="N689" s="1300"/>
    </row>
    <row r="690" spans="3:14" ht="14.25" customHeight="1">
      <c r="C690" s="1300"/>
      <c r="D690" s="1300"/>
      <c r="E690" s="1300"/>
      <c r="F690" s="1300"/>
      <c r="G690" s="1300"/>
      <c r="H690" s="1300"/>
      <c r="I690" s="1300"/>
      <c r="J690" s="1300"/>
      <c r="K690" s="1300"/>
      <c r="L690" s="1300"/>
      <c r="M690" s="1300"/>
      <c r="N690" s="1300"/>
    </row>
    <row r="691" spans="3:14" ht="14.25" customHeight="1">
      <c r="C691" s="1300"/>
      <c r="D691" s="1300"/>
      <c r="E691" s="1300"/>
      <c r="F691" s="1300"/>
      <c r="G691" s="1300"/>
      <c r="H691" s="1300"/>
      <c r="I691" s="1300"/>
      <c r="J691" s="1300"/>
      <c r="K691" s="1300"/>
      <c r="L691" s="1300"/>
      <c r="M691" s="1300"/>
      <c r="N691" s="1300"/>
    </row>
    <row r="692" spans="3:14" ht="14.25" customHeight="1">
      <c r="C692" s="1300"/>
      <c r="D692" s="1300"/>
      <c r="E692" s="1300"/>
      <c r="F692" s="1300"/>
      <c r="G692" s="1300"/>
      <c r="H692" s="1300"/>
      <c r="I692" s="1300"/>
      <c r="J692" s="1300"/>
      <c r="K692" s="1300"/>
      <c r="L692" s="1300"/>
      <c r="M692" s="1300"/>
      <c r="N692" s="1300"/>
    </row>
    <row r="693" spans="3:14" ht="14.25" customHeight="1">
      <c r="C693" s="1300"/>
      <c r="D693" s="1300"/>
      <c r="E693" s="1300"/>
      <c r="F693" s="1300"/>
      <c r="G693" s="1300"/>
      <c r="H693" s="1300"/>
      <c r="I693" s="1300"/>
      <c r="J693" s="1300"/>
      <c r="K693" s="1300"/>
      <c r="L693" s="1300"/>
      <c r="M693" s="1300"/>
      <c r="N693" s="1300"/>
    </row>
    <row r="694" spans="3:14" ht="14.25" customHeight="1">
      <c r="C694" s="1300"/>
      <c r="D694" s="1300"/>
      <c r="E694" s="1300"/>
      <c r="F694" s="1300"/>
      <c r="G694" s="1300"/>
      <c r="H694" s="1300"/>
      <c r="I694" s="1300"/>
      <c r="J694" s="1300"/>
      <c r="K694" s="1300"/>
      <c r="L694" s="1300"/>
      <c r="M694" s="1300"/>
      <c r="N694" s="1300"/>
    </row>
    <row r="695" spans="3:14" ht="14.25" customHeight="1">
      <c r="C695" s="1300"/>
      <c r="D695" s="1300"/>
      <c r="E695" s="1300"/>
      <c r="F695" s="1300"/>
      <c r="G695" s="1300"/>
      <c r="H695" s="1300"/>
      <c r="I695" s="1300"/>
      <c r="J695" s="1300"/>
      <c r="K695" s="1300"/>
      <c r="L695" s="1300"/>
      <c r="M695" s="1300"/>
      <c r="N695" s="1300"/>
    </row>
    <row r="696" spans="3:14" ht="14.25" customHeight="1">
      <c r="C696" s="1300"/>
      <c r="D696" s="1300"/>
      <c r="E696" s="1300"/>
      <c r="F696" s="1300"/>
      <c r="G696" s="1300"/>
      <c r="H696" s="1300"/>
      <c r="I696" s="1300"/>
      <c r="J696" s="1300"/>
      <c r="K696" s="1300"/>
      <c r="L696" s="1300"/>
      <c r="M696" s="1300"/>
      <c r="N696" s="1300"/>
    </row>
    <row r="697" spans="3:14" ht="14.25" customHeight="1">
      <c r="C697" s="1300"/>
      <c r="D697" s="1300"/>
      <c r="E697" s="1300"/>
      <c r="F697" s="1300"/>
      <c r="G697" s="1300"/>
      <c r="H697" s="1300"/>
      <c r="I697" s="1300"/>
      <c r="J697" s="1300"/>
      <c r="K697" s="1300"/>
      <c r="L697" s="1300"/>
      <c r="M697" s="1300"/>
      <c r="N697" s="1300"/>
    </row>
    <row r="698" spans="3:14" ht="14.25" customHeight="1">
      <c r="C698" s="1300"/>
      <c r="D698" s="1300"/>
      <c r="E698" s="1300"/>
      <c r="F698" s="1300"/>
      <c r="G698" s="1300"/>
      <c r="H698" s="1300"/>
      <c r="I698" s="1300"/>
      <c r="J698" s="1300"/>
      <c r="K698" s="1300"/>
      <c r="L698" s="1300"/>
      <c r="M698" s="1300"/>
      <c r="N698" s="1300"/>
    </row>
    <row r="699" spans="3:14" ht="14.25" customHeight="1">
      <c r="C699" s="1300"/>
      <c r="D699" s="1300"/>
      <c r="E699" s="1300"/>
      <c r="F699" s="1300"/>
      <c r="G699" s="1300"/>
      <c r="H699" s="1300"/>
      <c r="I699" s="1300"/>
      <c r="J699" s="1300"/>
      <c r="K699" s="1300"/>
      <c r="L699" s="1300"/>
      <c r="M699" s="1300"/>
      <c r="N699" s="1300"/>
    </row>
    <row r="700" spans="3:14" ht="14.25" customHeight="1">
      <c r="C700" s="1300"/>
      <c r="D700" s="1300"/>
      <c r="E700" s="1300"/>
      <c r="F700" s="1300"/>
      <c r="G700" s="1300"/>
      <c r="H700" s="1300"/>
      <c r="I700" s="1300"/>
      <c r="J700" s="1300"/>
      <c r="K700" s="1300"/>
      <c r="L700" s="1300"/>
      <c r="M700" s="1300"/>
      <c r="N700" s="1300"/>
    </row>
    <row r="701" spans="3:14" ht="14.25" customHeight="1">
      <c r="C701" s="1300"/>
      <c r="D701" s="1300"/>
      <c r="E701" s="1300"/>
      <c r="F701" s="1300"/>
      <c r="G701" s="1300"/>
      <c r="H701" s="1300"/>
      <c r="I701" s="1300"/>
      <c r="J701" s="1300"/>
      <c r="K701" s="1300"/>
      <c r="L701" s="1300"/>
      <c r="M701" s="1300"/>
      <c r="N701" s="1300"/>
    </row>
    <row r="702" spans="3:14" ht="14.25" customHeight="1">
      <c r="C702" s="1300"/>
      <c r="D702" s="1300"/>
      <c r="E702" s="1300"/>
      <c r="F702" s="1300"/>
      <c r="G702" s="1300"/>
      <c r="H702" s="1300"/>
      <c r="I702" s="1300"/>
      <c r="J702" s="1300"/>
      <c r="K702" s="1300"/>
      <c r="L702" s="1300"/>
      <c r="M702" s="1300"/>
      <c r="N702" s="1300"/>
    </row>
    <row r="703" spans="3:14" ht="14.25" customHeight="1">
      <c r="C703" s="1300"/>
      <c r="D703" s="1300"/>
      <c r="E703" s="1300"/>
      <c r="F703" s="1300"/>
      <c r="G703" s="1300"/>
      <c r="H703" s="1300"/>
      <c r="I703" s="1300"/>
      <c r="J703" s="1300"/>
      <c r="K703" s="1300"/>
      <c r="L703" s="1300"/>
      <c r="M703" s="1300"/>
      <c r="N703" s="1300"/>
    </row>
    <row r="704" spans="3:14" ht="14.25" customHeight="1">
      <c r="C704" s="1300"/>
      <c r="D704" s="1300"/>
      <c r="E704" s="1300"/>
      <c r="F704" s="1300"/>
      <c r="G704" s="1300"/>
      <c r="H704" s="1300"/>
      <c r="I704" s="1300"/>
      <c r="J704" s="1300"/>
      <c r="K704" s="1300"/>
      <c r="L704" s="1300"/>
      <c r="M704" s="1300"/>
      <c r="N704" s="1300"/>
    </row>
    <row r="705" spans="3:14" ht="14.25" customHeight="1">
      <c r="C705" s="1300"/>
      <c r="D705" s="1300"/>
      <c r="E705" s="1300"/>
      <c r="F705" s="1300"/>
      <c r="G705" s="1300"/>
      <c r="H705" s="1300"/>
      <c r="I705" s="1300"/>
      <c r="J705" s="1300"/>
      <c r="K705" s="1300"/>
      <c r="L705" s="1300"/>
      <c r="M705" s="1300"/>
      <c r="N705" s="1300"/>
    </row>
    <row r="706" spans="3:14" ht="14.25" customHeight="1">
      <c r="C706" s="1300"/>
      <c r="D706" s="1300"/>
      <c r="E706" s="1300"/>
      <c r="F706" s="1300"/>
      <c r="G706" s="1300"/>
      <c r="H706" s="1300"/>
      <c r="I706" s="1300"/>
      <c r="J706" s="1300"/>
      <c r="K706" s="1300"/>
      <c r="L706" s="1300"/>
      <c r="M706" s="1300"/>
      <c r="N706" s="1300"/>
    </row>
    <row r="707" spans="3:14" ht="14.25" customHeight="1">
      <c r="C707" s="1300"/>
      <c r="D707" s="1300"/>
      <c r="E707" s="1300"/>
      <c r="F707" s="1300"/>
      <c r="G707" s="1300"/>
      <c r="H707" s="1300"/>
      <c r="I707" s="1300"/>
      <c r="J707" s="1300"/>
      <c r="K707" s="1300"/>
      <c r="L707" s="1300"/>
      <c r="M707" s="1300"/>
      <c r="N707" s="1300"/>
    </row>
    <row r="708" spans="3:14" ht="14.25" customHeight="1">
      <c r="C708" s="1300"/>
      <c r="D708" s="1300"/>
      <c r="E708" s="1300"/>
      <c r="F708" s="1300"/>
      <c r="G708" s="1300"/>
      <c r="H708" s="1300"/>
      <c r="I708" s="1300"/>
      <c r="J708" s="1300"/>
      <c r="K708" s="1300"/>
      <c r="L708" s="1300"/>
      <c r="M708" s="1300"/>
      <c r="N708" s="1300"/>
    </row>
    <row r="709" spans="3:14" ht="14.25" customHeight="1">
      <c r="C709" s="1300"/>
      <c r="D709" s="1300"/>
      <c r="E709" s="1300"/>
      <c r="F709" s="1300"/>
      <c r="G709" s="1300"/>
      <c r="H709" s="1300"/>
      <c r="I709" s="1300"/>
      <c r="J709" s="1300"/>
      <c r="K709" s="1300"/>
      <c r="L709" s="1300"/>
      <c r="M709" s="1300"/>
      <c r="N709" s="1300"/>
    </row>
    <row r="710" spans="3:14" ht="14.25" customHeight="1">
      <c r="C710" s="1300"/>
      <c r="D710" s="1300"/>
      <c r="E710" s="1300"/>
      <c r="F710" s="1300"/>
      <c r="G710" s="1300"/>
      <c r="H710" s="1300"/>
      <c r="I710" s="1300"/>
      <c r="J710" s="1300"/>
      <c r="K710" s="1300"/>
      <c r="L710" s="1300"/>
      <c r="M710" s="1300"/>
      <c r="N710" s="1300"/>
    </row>
    <row r="711" spans="3:14" ht="14.25" customHeight="1">
      <c r="C711" s="1300"/>
      <c r="D711" s="1300"/>
      <c r="E711" s="1300"/>
      <c r="F711" s="1300"/>
      <c r="G711" s="1300"/>
      <c r="H711" s="1300"/>
      <c r="I711" s="1300"/>
      <c r="J711" s="1300"/>
      <c r="K711" s="1300"/>
      <c r="L711" s="1300"/>
      <c r="M711" s="1300"/>
      <c r="N711" s="1300"/>
    </row>
    <row r="712" spans="3:14" ht="14.25" customHeight="1">
      <c r="C712" s="1300"/>
      <c r="D712" s="1300"/>
      <c r="E712" s="1300"/>
      <c r="F712" s="1300"/>
      <c r="G712" s="1300"/>
      <c r="H712" s="1300"/>
      <c r="I712" s="1300"/>
      <c r="J712" s="1300"/>
      <c r="K712" s="1300"/>
      <c r="L712" s="1300"/>
      <c r="M712" s="1300"/>
      <c r="N712" s="1300"/>
    </row>
    <row r="713" spans="3:14" ht="14.25" customHeight="1">
      <c r="C713" s="1300"/>
      <c r="D713" s="1300"/>
      <c r="E713" s="1300"/>
      <c r="F713" s="1300"/>
      <c r="G713" s="1300"/>
      <c r="H713" s="1300"/>
      <c r="I713" s="1300"/>
      <c r="J713" s="1300"/>
      <c r="K713" s="1300"/>
      <c r="L713" s="1300"/>
      <c r="M713" s="1300"/>
      <c r="N713" s="1300"/>
    </row>
    <row r="714" spans="3:14" ht="14.25" customHeight="1">
      <c r="C714" s="1300"/>
      <c r="D714" s="1300"/>
      <c r="E714" s="1300"/>
      <c r="F714" s="1300"/>
      <c r="G714" s="1300"/>
      <c r="H714" s="1300"/>
      <c r="I714" s="1300"/>
      <c r="J714" s="1300"/>
      <c r="K714" s="1300"/>
      <c r="L714" s="1300"/>
      <c r="M714" s="1300"/>
      <c r="N714" s="1300"/>
    </row>
    <row r="715" spans="3:14" ht="14.25" customHeight="1">
      <c r="C715" s="1300"/>
      <c r="D715" s="1300"/>
      <c r="E715" s="1300"/>
      <c r="F715" s="1300"/>
      <c r="G715" s="1300"/>
      <c r="H715" s="1300"/>
      <c r="I715" s="1300"/>
      <c r="J715" s="1300"/>
      <c r="K715" s="1300"/>
      <c r="L715" s="1300"/>
      <c r="M715" s="1300"/>
      <c r="N715" s="1300"/>
    </row>
    <row r="716" spans="3:14" ht="14.25" customHeight="1">
      <c r="C716" s="1300"/>
      <c r="D716" s="1300"/>
      <c r="E716" s="1300"/>
      <c r="F716" s="1300"/>
      <c r="G716" s="1300"/>
      <c r="H716" s="1300"/>
      <c r="I716" s="1300"/>
      <c r="J716" s="1300"/>
      <c r="K716" s="1300"/>
      <c r="L716" s="1300"/>
      <c r="M716" s="1300"/>
      <c r="N716" s="1300"/>
    </row>
    <row r="717" spans="3:14" ht="14.25" customHeight="1">
      <c r="C717" s="1300"/>
      <c r="D717" s="1300"/>
      <c r="E717" s="1300"/>
      <c r="F717" s="1300"/>
      <c r="G717" s="1300"/>
      <c r="H717" s="1300"/>
      <c r="I717" s="1300"/>
      <c r="J717" s="1300"/>
      <c r="K717" s="1300"/>
      <c r="L717" s="1300"/>
      <c r="M717" s="1300"/>
      <c r="N717" s="1300"/>
    </row>
    <row r="718" spans="3:14" ht="14.25" customHeight="1">
      <c r="C718" s="1300"/>
      <c r="D718" s="1300"/>
      <c r="E718" s="1300"/>
      <c r="F718" s="1300"/>
      <c r="G718" s="1300"/>
      <c r="H718" s="1300"/>
      <c r="I718" s="1300"/>
      <c r="J718" s="1300"/>
      <c r="K718" s="1300"/>
      <c r="L718" s="1300"/>
      <c r="M718" s="1300"/>
      <c r="N718" s="1300"/>
    </row>
    <row r="719" spans="3:14" ht="14.25" customHeight="1">
      <c r="C719" s="1300"/>
      <c r="D719" s="1300"/>
      <c r="E719" s="1300"/>
      <c r="F719" s="1300"/>
      <c r="G719" s="1300"/>
      <c r="H719" s="1300"/>
      <c r="I719" s="1300"/>
      <c r="J719" s="1300"/>
      <c r="K719" s="1300"/>
      <c r="L719" s="1300"/>
      <c r="M719" s="1300"/>
      <c r="N719" s="1300"/>
    </row>
    <row r="720" spans="3:14" ht="14.25" customHeight="1">
      <c r="C720" s="1300"/>
      <c r="D720" s="1300"/>
      <c r="E720" s="1300"/>
      <c r="F720" s="1300"/>
      <c r="G720" s="1300"/>
      <c r="H720" s="1300"/>
      <c r="I720" s="1300"/>
      <c r="J720" s="1300"/>
      <c r="K720" s="1300"/>
      <c r="L720" s="1300"/>
      <c r="M720" s="1300"/>
      <c r="N720" s="1300"/>
    </row>
    <row r="721" spans="3:14" ht="14.25" customHeight="1">
      <c r="C721" s="1300"/>
      <c r="D721" s="1300"/>
      <c r="E721" s="1300"/>
      <c r="F721" s="1300"/>
      <c r="G721" s="1300"/>
      <c r="H721" s="1300"/>
      <c r="I721" s="1300"/>
      <c r="J721" s="1300"/>
      <c r="K721" s="1300"/>
      <c r="L721" s="1300"/>
      <c r="M721" s="1300"/>
      <c r="N721" s="1300"/>
    </row>
    <row r="722" spans="3:14" ht="14.25" customHeight="1">
      <c r="C722" s="1300"/>
      <c r="D722" s="1300"/>
      <c r="E722" s="1300"/>
      <c r="F722" s="1300"/>
      <c r="G722" s="1300"/>
      <c r="H722" s="1300"/>
      <c r="I722" s="1300"/>
      <c r="J722" s="1300"/>
      <c r="K722" s="1300"/>
      <c r="L722" s="1300"/>
      <c r="M722" s="1300"/>
      <c r="N722" s="1300"/>
    </row>
    <row r="723" spans="3:14" ht="14.25" customHeight="1">
      <c r="C723" s="1300"/>
      <c r="D723" s="1300"/>
      <c r="E723" s="1300"/>
      <c r="F723" s="1300"/>
      <c r="G723" s="1300"/>
      <c r="H723" s="1300"/>
      <c r="I723" s="1300"/>
      <c r="J723" s="1300"/>
      <c r="K723" s="1300"/>
      <c r="L723" s="1300"/>
      <c r="M723" s="1300"/>
      <c r="N723" s="1300"/>
    </row>
    <row r="724" spans="3:14" ht="14.25" customHeight="1">
      <c r="C724" s="1300"/>
      <c r="D724" s="1300"/>
      <c r="E724" s="1300"/>
      <c r="F724" s="1300"/>
      <c r="G724" s="1300"/>
      <c r="H724" s="1300"/>
      <c r="I724" s="1300"/>
      <c r="J724" s="1300"/>
      <c r="K724" s="1300"/>
      <c r="L724" s="1300"/>
      <c r="M724" s="1300"/>
      <c r="N724" s="1300"/>
    </row>
    <row r="725" spans="3:14" ht="14.25" customHeight="1">
      <c r="C725" s="1300"/>
      <c r="D725" s="1300"/>
      <c r="E725" s="1300"/>
      <c r="F725" s="1300"/>
      <c r="G725" s="1300"/>
      <c r="H725" s="1300"/>
      <c r="I725" s="1300"/>
      <c r="J725" s="1300"/>
      <c r="K725" s="1300"/>
      <c r="L725" s="1300"/>
      <c r="M725" s="1300"/>
      <c r="N725" s="1300"/>
    </row>
    <row r="726" spans="3:14" ht="14.25" customHeight="1">
      <c r="C726" s="1300"/>
      <c r="D726" s="1300"/>
      <c r="E726" s="1300"/>
      <c r="F726" s="1300"/>
      <c r="G726" s="1300"/>
      <c r="H726" s="1300"/>
      <c r="I726" s="1300"/>
      <c r="J726" s="1300"/>
      <c r="K726" s="1300"/>
      <c r="L726" s="1300"/>
      <c r="M726" s="1300"/>
      <c r="N726" s="1300"/>
    </row>
    <row r="727" spans="3:14" ht="14.25" customHeight="1">
      <c r="C727" s="1300"/>
      <c r="D727" s="1300"/>
      <c r="E727" s="1300"/>
      <c r="F727" s="1300"/>
      <c r="G727" s="1300"/>
      <c r="H727" s="1300"/>
      <c r="I727" s="1300"/>
      <c r="J727" s="1300"/>
      <c r="K727" s="1300"/>
      <c r="L727" s="1300"/>
      <c r="M727" s="1300"/>
      <c r="N727" s="1300"/>
    </row>
    <row r="728" spans="3:14" ht="14.25" customHeight="1">
      <c r="C728" s="1300"/>
      <c r="D728" s="1300"/>
      <c r="E728" s="1300"/>
      <c r="F728" s="1300"/>
      <c r="G728" s="1300"/>
      <c r="H728" s="1300"/>
      <c r="I728" s="1300"/>
      <c r="J728" s="1300"/>
      <c r="K728" s="1300"/>
      <c r="L728" s="1300"/>
      <c r="M728" s="1300"/>
      <c r="N728" s="1300"/>
    </row>
    <row r="729" spans="3:14" ht="14.25" customHeight="1">
      <c r="C729" s="1300"/>
      <c r="D729" s="1300"/>
      <c r="E729" s="1300"/>
      <c r="F729" s="1300"/>
      <c r="G729" s="1300"/>
      <c r="H729" s="1300"/>
      <c r="I729" s="1300"/>
      <c r="J729" s="1300"/>
      <c r="K729" s="1300"/>
      <c r="L729" s="1300"/>
      <c r="M729" s="1300"/>
      <c r="N729" s="1300"/>
    </row>
    <row r="730" spans="3:14" ht="14.25" customHeight="1">
      <c r="C730" s="1300"/>
      <c r="D730" s="1300"/>
      <c r="E730" s="1300"/>
      <c r="F730" s="1300"/>
      <c r="G730" s="1300"/>
      <c r="H730" s="1300"/>
      <c r="I730" s="1300"/>
      <c r="J730" s="1300"/>
      <c r="K730" s="1300"/>
      <c r="L730" s="1300"/>
      <c r="M730" s="1300"/>
      <c r="N730" s="1300"/>
    </row>
    <row r="731" spans="3:14" ht="14.25" customHeight="1">
      <c r="C731" s="1300"/>
      <c r="D731" s="1300"/>
      <c r="E731" s="1300"/>
      <c r="F731" s="1300"/>
      <c r="G731" s="1300"/>
      <c r="H731" s="1300"/>
      <c r="I731" s="1300"/>
      <c r="J731" s="1300"/>
      <c r="K731" s="1300"/>
      <c r="L731" s="1300"/>
      <c r="M731" s="1300"/>
      <c r="N731" s="1300"/>
    </row>
    <row r="732" spans="3:14" ht="14.25" customHeight="1">
      <c r="C732" s="1300"/>
      <c r="D732" s="1300"/>
      <c r="E732" s="1300"/>
      <c r="F732" s="1300"/>
      <c r="G732" s="1300"/>
      <c r="H732" s="1300"/>
      <c r="I732" s="1300"/>
      <c r="J732" s="1300"/>
      <c r="K732" s="1300"/>
      <c r="L732" s="1300"/>
      <c r="M732" s="1300"/>
      <c r="N732" s="1300"/>
    </row>
    <row r="733" spans="3:14" ht="14.25" customHeight="1">
      <c r="C733" s="1300"/>
      <c r="D733" s="1300"/>
      <c r="E733" s="1300"/>
      <c r="F733" s="1300"/>
      <c r="G733" s="1300"/>
      <c r="H733" s="1300"/>
      <c r="I733" s="1300"/>
      <c r="J733" s="1300"/>
      <c r="K733" s="1300"/>
      <c r="L733" s="1300"/>
      <c r="M733" s="1300"/>
      <c r="N733" s="1300"/>
    </row>
    <row r="734" spans="3:14" ht="14.25" customHeight="1">
      <c r="C734" s="1300"/>
      <c r="D734" s="1300"/>
      <c r="E734" s="1300"/>
      <c r="F734" s="1300"/>
      <c r="G734" s="1300"/>
      <c r="H734" s="1300"/>
      <c r="I734" s="1300"/>
      <c r="J734" s="1300"/>
      <c r="K734" s="1300"/>
      <c r="L734" s="1300"/>
      <c r="M734" s="1300"/>
      <c r="N734" s="1300"/>
    </row>
    <row r="735" spans="3:14" ht="14.25" customHeight="1">
      <c r="C735" s="1300"/>
      <c r="D735" s="1300"/>
      <c r="E735" s="1300"/>
      <c r="F735" s="1300"/>
      <c r="G735" s="1300"/>
      <c r="H735" s="1300"/>
      <c r="I735" s="1300"/>
      <c r="J735" s="1300"/>
      <c r="K735" s="1300"/>
      <c r="L735" s="1300"/>
      <c r="M735" s="1300"/>
      <c r="N735" s="1300"/>
    </row>
    <row r="736" spans="3:14" ht="14.25" customHeight="1">
      <c r="C736" s="1300"/>
      <c r="D736" s="1300"/>
      <c r="E736" s="1300"/>
      <c r="F736" s="1300"/>
      <c r="G736" s="1300"/>
      <c r="H736" s="1300"/>
      <c r="I736" s="1300"/>
      <c r="J736" s="1300"/>
      <c r="K736" s="1300"/>
      <c r="L736" s="1300"/>
      <c r="M736" s="1300"/>
      <c r="N736" s="1300"/>
    </row>
    <row r="737" spans="3:14" ht="14.25" customHeight="1">
      <c r="C737" s="1300"/>
      <c r="D737" s="1300"/>
      <c r="E737" s="1300"/>
      <c r="F737" s="1300"/>
      <c r="G737" s="1300"/>
      <c r="H737" s="1300"/>
      <c r="I737" s="1300"/>
      <c r="J737" s="1300"/>
      <c r="K737" s="1300"/>
      <c r="L737" s="1300"/>
      <c r="M737" s="1300"/>
      <c r="N737" s="1300"/>
    </row>
    <row r="738" spans="3:14" ht="14.25" customHeight="1">
      <c r="C738" s="1300"/>
      <c r="D738" s="1300"/>
      <c r="E738" s="1300"/>
      <c r="F738" s="1300"/>
      <c r="G738" s="1300"/>
      <c r="H738" s="1300"/>
      <c r="I738" s="1300"/>
      <c r="J738" s="1300"/>
      <c r="K738" s="1300"/>
      <c r="L738" s="1300"/>
      <c r="M738" s="1300"/>
      <c r="N738" s="1300"/>
    </row>
    <row r="739" spans="3:14" ht="14.25" customHeight="1">
      <c r="C739" s="1300"/>
      <c r="D739" s="1300"/>
      <c r="E739" s="1300"/>
      <c r="F739" s="1300"/>
      <c r="G739" s="1300"/>
      <c r="H739" s="1300"/>
      <c r="I739" s="1300"/>
      <c r="J739" s="1300"/>
      <c r="K739" s="1300"/>
      <c r="L739" s="1300"/>
      <c r="M739" s="1300"/>
      <c r="N739" s="1300"/>
    </row>
    <row r="740" spans="3:14" ht="14.25" customHeight="1">
      <c r="C740" s="1300"/>
      <c r="D740" s="1300"/>
      <c r="E740" s="1300"/>
      <c r="F740" s="1300"/>
      <c r="G740" s="1300"/>
      <c r="H740" s="1300"/>
      <c r="I740" s="1300"/>
      <c r="J740" s="1300"/>
      <c r="K740" s="1300"/>
      <c r="L740" s="1300"/>
      <c r="M740" s="1300"/>
      <c r="N740" s="1300"/>
    </row>
    <row r="741" spans="3:14" ht="14.25" customHeight="1">
      <c r="C741" s="1300"/>
      <c r="D741" s="1300"/>
      <c r="E741" s="1300"/>
      <c r="F741" s="1300"/>
      <c r="G741" s="1300"/>
      <c r="H741" s="1300"/>
      <c r="I741" s="1300"/>
      <c r="J741" s="1300"/>
      <c r="K741" s="1300"/>
      <c r="L741" s="1300"/>
      <c r="M741" s="1300"/>
      <c r="N741" s="1300"/>
    </row>
    <row r="742" spans="3:14" ht="14.25" customHeight="1">
      <c r="C742" s="1300"/>
      <c r="D742" s="1300"/>
      <c r="E742" s="1300"/>
      <c r="F742" s="1300"/>
      <c r="G742" s="1300"/>
      <c r="H742" s="1300"/>
      <c r="I742" s="1300"/>
      <c r="J742" s="1300"/>
      <c r="K742" s="1300"/>
      <c r="L742" s="1300"/>
      <c r="M742" s="1300"/>
      <c r="N742" s="1300"/>
    </row>
    <row r="743" spans="3:14" ht="14.25" customHeight="1">
      <c r="C743" s="1300"/>
      <c r="D743" s="1300"/>
      <c r="E743" s="1300"/>
      <c r="F743" s="1300"/>
      <c r="G743" s="1300"/>
      <c r="H743" s="1300"/>
      <c r="I743" s="1300"/>
      <c r="J743" s="1300"/>
      <c r="K743" s="1300"/>
      <c r="L743" s="1300"/>
      <c r="M743" s="1300"/>
      <c r="N743" s="1300"/>
    </row>
    <row r="744" spans="3:14" ht="14.25" customHeight="1">
      <c r="C744" s="1300"/>
      <c r="D744" s="1300"/>
      <c r="E744" s="1300"/>
      <c r="F744" s="1300"/>
      <c r="G744" s="1300"/>
      <c r="H744" s="1300"/>
      <c r="I744" s="1300"/>
      <c r="J744" s="1300"/>
      <c r="K744" s="1300"/>
      <c r="L744" s="1300"/>
      <c r="M744" s="1300"/>
      <c r="N744" s="1300"/>
    </row>
    <row r="745" spans="3:14" ht="14.25" customHeight="1">
      <c r="C745" s="1300"/>
      <c r="D745" s="1300"/>
      <c r="E745" s="1300"/>
      <c r="F745" s="1300"/>
      <c r="G745" s="1300"/>
      <c r="H745" s="1300"/>
      <c r="I745" s="1300"/>
      <c r="J745" s="1300"/>
      <c r="K745" s="1300"/>
      <c r="L745" s="1300"/>
      <c r="M745" s="1300"/>
      <c r="N745" s="1300"/>
    </row>
    <row r="746" spans="3:14" ht="14.25" customHeight="1">
      <c r="C746" s="1300"/>
      <c r="D746" s="1300"/>
      <c r="E746" s="1300"/>
      <c r="F746" s="1300"/>
      <c r="G746" s="1300"/>
      <c r="H746" s="1300"/>
      <c r="I746" s="1300"/>
      <c r="J746" s="1300"/>
      <c r="K746" s="1300"/>
      <c r="L746" s="1300"/>
      <c r="M746" s="1300"/>
      <c r="N746" s="1300"/>
    </row>
    <row r="747" spans="3:14" ht="14.25" customHeight="1">
      <c r="C747" s="1300"/>
      <c r="D747" s="1300"/>
      <c r="E747" s="1300"/>
      <c r="F747" s="1300"/>
      <c r="G747" s="1300"/>
      <c r="H747" s="1300"/>
      <c r="I747" s="1300"/>
      <c r="J747" s="1300"/>
      <c r="K747" s="1300"/>
      <c r="L747" s="1300"/>
      <c r="M747" s="1300"/>
      <c r="N747" s="1300"/>
    </row>
    <row r="748" spans="3:14" ht="14.25" customHeight="1">
      <c r="C748" s="1300"/>
      <c r="D748" s="1300"/>
      <c r="E748" s="1300"/>
      <c r="F748" s="1300"/>
      <c r="G748" s="1300"/>
      <c r="H748" s="1300"/>
      <c r="I748" s="1300"/>
      <c r="J748" s="1300"/>
      <c r="K748" s="1300"/>
      <c r="L748" s="1300"/>
      <c r="M748" s="1300"/>
      <c r="N748" s="1300"/>
    </row>
    <row r="749" spans="3:14" ht="14.25" customHeight="1">
      <c r="C749" s="1300"/>
      <c r="D749" s="1300"/>
      <c r="E749" s="1300"/>
      <c r="F749" s="1300"/>
      <c r="G749" s="1300"/>
      <c r="H749" s="1300"/>
      <c r="I749" s="1300"/>
      <c r="J749" s="1300"/>
      <c r="K749" s="1300"/>
      <c r="L749" s="1300"/>
      <c r="M749" s="1300"/>
      <c r="N749" s="1300"/>
    </row>
    <row r="750" spans="3:14" ht="14.25" customHeight="1">
      <c r="C750" s="1300"/>
      <c r="D750" s="1300"/>
      <c r="E750" s="1300"/>
      <c r="F750" s="1300"/>
      <c r="G750" s="1300"/>
      <c r="H750" s="1300"/>
      <c r="I750" s="1300"/>
      <c r="J750" s="1300"/>
      <c r="K750" s="1300"/>
      <c r="L750" s="1300"/>
      <c r="M750" s="1300"/>
      <c r="N750" s="1300"/>
    </row>
    <row r="751" spans="3:14" ht="14.25" customHeight="1">
      <c r="C751" s="1300"/>
      <c r="D751" s="1300"/>
      <c r="E751" s="1300"/>
      <c r="F751" s="1300"/>
      <c r="G751" s="1300"/>
      <c r="H751" s="1300"/>
      <c r="I751" s="1300"/>
      <c r="J751" s="1300"/>
      <c r="K751" s="1300"/>
      <c r="L751" s="1300"/>
      <c r="M751" s="1300"/>
      <c r="N751" s="1300"/>
    </row>
    <row r="752" spans="3:14" ht="14.25" customHeight="1">
      <c r="C752" s="1300"/>
      <c r="D752" s="1300"/>
      <c r="E752" s="1300"/>
      <c r="F752" s="1300"/>
      <c r="G752" s="1300"/>
      <c r="H752" s="1300"/>
      <c r="I752" s="1300"/>
      <c r="J752" s="1300"/>
      <c r="K752" s="1300"/>
      <c r="L752" s="1300"/>
      <c r="M752" s="1300"/>
      <c r="N752" s="1300"/>
    </row>
    <row r="753" spans="3:14" ht="14.25" customHeight="1">
      <c r="C753" s="1300"/>
      <c r="D753" s="1300"/>
      <c r="E753" s="1300"/>
      <c r="F753" s="1300"/>
      <c r="G753" s="1300"/>
      <c r="H753" s="1300"/>
      <c r="I753" s="1300"/>
      <c r="J753" s="1300"/>
      <c r="K753" s="1300"/>
      <c r="L753" s="1300"/>
      <c r="M753" s="1300"/>
      <c r="N753" s="1300"/>
    </row>
    <row r="754" spans="3:14" ht="14.25" customHeight="1">
      <c r="C754" s="1300"/>
      <c r="D754" s="1300"/>
      <c r="E754" s="1300"/>
      <c r="F754" s="1300"/>
      <c r="G754" s="1300"/>
      <c r="H754" s="1300"/>
      <c r="I754" s="1300"/>
      <c r="J754" s="1300"/>
      <c r="K754" s="1300"/>
      <c r="L754" s="1300"/>
      <c r="M754" s="1300"/>
      <c r="N754" s="1300"/>
    </row>
    <row r="755" spans="3:14" ht="14.25" customHeight="1">
      <c r="C755" s="1300"/>
      <c r="D755" s="1300"/>
      <c r="E755" s="1300"/>
      <c r="F755" s="1300"/>
      <c r="G755" s="1300"/>
      <c r="H755" s="1300"/>
      <c r="I755" s="1300"/>
      <c r="J755" s="1300"/>
      <c r="K755" s="1300"/>
      <c r="L755" s="1300"/>
      <c r="M755" s="1300"/>
      <c r="N755" s="1300"/>
    </row>
    <row r="756" spans="3:14" ht="14.25" customHeight="1">
      <c r="C756" s="1300"/>
      <c r="D756" s="1300"/>
      <c r="E756" s="1300"/>
      <c r="F756" s="1300"/>
      <c r="G756" s="1300"/>
      <c r="H756" s="1300"/>
      <c r="I756" s="1300"/>
      <c r="J756" s="1300"/>
      <c r="K756" s="1300"/>
      <c r="L756" s="1300"/>
      <c r="M756" s="1300"/>
      <c r="N756" s="1300"/>
    </row>
    <row r="757" spans="3:14" ht="14.25" customHeight="1">
      <c r="C757" s="1300"/>
      <c r="D757" s="1300"/>
      <c r="E757" s="1300"/>
      <c r="F757" s="1300"/>
      <c r="G757" s="1300"/>
      <c r="H757" s="1300"/>
      <c r="I757" s="1300"/>
      <c r="J757" s="1300"/>
      <c r="K757" s="1300"/>
      <c r="L757" s="1300"/>
      <c r="M757" s="1300"/>
      <c r="N757" s="1300"/>
    </row>
    <row r="758" spans="3:14" ht="14.25" customHeight="1">
      <c r="C758" s="1300"/>
      <c r="D758" s="1300"/>
      <c r="E758" s="1300"/>
      <c r="F758" s="1300"/>
      <c r="G758" s="1300"/>
      <c r="H758" s="1300"/>
      <c r="I758" s="1300"/>
      <c r="J758" s="1300"/>
      <c r="K758" s="1300"/>
      <c r="L758" s="1300"/>
      <c r="M758" s="1300"/>
      <c r="N758" s="1300"/>
    </row>
    <row r="759" spans="3:14" ht="14.25" customHeight="1">
      <c r="C759" s="1300"/>
      <c r="D759" s="1300"/>
      <c r="E759" s="1300"/>
      <c r="F759" s="1300"/>
      <c r="G759" s="1300"/>
      <c r="H759" s="1300"/>
      <c r="I759" s="1300"/>
      <c r="J759" s="1300"/>
      <c r="K759" s="1300"/>
      <c r="L759" s="1300"/>
      <c r="M759" s="1300"/>
      <c r="N759" s="1300"/>
    </row>
    <row r="760" spans="3:14" ht="14.25" customHeight="1">
      <c r="C760" s="1300"/>
      <c r="D760" s="1300"/>
      <c r="E760" s="1300"/>
      <c r="F760" s="1300"/>
      <c r="G760" s="1300"/>
      <c r="H760" s="1300"/>
      <c r="I760" s="1300"/>
      <c r="J760" s="1300"/>
      <c r="K760" s="1300"/>
      <c r="L760" s="1300"/>
      <c r="M760" s="1300"/>
      <c r="N760" s="1300"/>
    </row>
    <row r="761" spans="3:14" ht="14.25" customHeight="1">
      <c r="C761" s="1300"/>
      <c r="D761" s="1300"/>
      <c r="E761" s="1300"/>
      <c r="F761" s="1300"/>
      <c r="G761" s="1300"/>
      <c r="H761" s="1300"/>
      <c r="I761" s="1300"/>
      <c r="J761" s="1300"/>
      <c r="K761" s="1300"/>
      <c r="L761" s="1300"/>
      <c r="M761" s="1300"/>
      <c r="N761" s="1300"/>
    </row>
    <row r="762" spans="3:14" ht="14.25" customHeight="1">
      <c r="C762" s="1300"/>
      <c r="D762" s="1300"/>
      <c r="E762" s="1300"/>
      <c r="F762" s="1300"/>
      <c r="G762" s="1300"/>
      <c r="H762" s="1300"/>
      <c r="I762" s="1300"/>
      <c r="J762" s="1300"/>
      <c r="K762" s="1300"/>
      <c r="L762" s="1300"/>
      <c r="M762" s="1300"/>
      <c r="N762" s="1300"/>
    </row>
    <row r="763" spans="3:14" ht="14.25" customHeight="1">
      <c r="C763" s="1300"/>
      <c r="D763" s="1300"/>
      <c r="E763" s="1300"/>
      <c r="F763" s="1300"/>
      <c r="G763" s="1300"/>
      <c r="H763" s="1300"/>
      <c r="I763" s="1300"/>
      <c r="J763" s="1300"/>
      <c r="K763" s="1300"/>
      <c r="L763" s="1300"/>
      <c r="M763" s="1300"/>
      <c r="N763" s="1300"/>
    </row>
    <row r="764" spans="3:14" ht="14.25" customHeight="1">
      <c r="C764" s="1300"/>
      <c r="D764" s="1300"/>
      <c r="E764" s="1300"/>
      <c r="F764" s="1300"/>
      <c r="G764" s="1300"/>
      <c r="H764" s="1300"/>
      <c r="I764" s="1300"/>
      <c r="J764" s="1300"/>
      <c r="K764" s="1300"/>
      <c r="L764" s="1300"/>
      <c r="M764" s="1300"/>
      <c r="N764" s="1300"/>
    </row>
    <row r="765" spans="3:14" ht="14.25" customHeight="1">
      <c r="C765" s="1300"/>
      <c r="D765" s="1300"/>
      <c r="E765" s="1300"/>
      <c r="F765" s="1300"/>
      <c r="G765" s="1300"/>
      <c r="H765" s="1300"/>
      <c r="I765" s="1300"/>
      <c r="J765" s="1300"/>
      <c r="K765" s="1300"/>
      <c r="L765" s="1300"/>
      <c r="M765" s="1300"/>
      <c r="N765" s="1300"/>
    </row>
    <row r="766" spans="3:14" ht="14.25" customHeight="1">
      <c r="C766" s="1300"/>
      <c r="D766" s="1300"/>
      <c r="E766" s="1300"/>
      <c r="F766" s="1300"/>
      <c r="G766" s="1300"/>
      <c r="H766" s="1300"/>
      <c r="I766" s="1300"/>
      <c r="J766" s="1300"/>
      <c r="K766" s="1300"/>
      <c r="L766" s="1300"/>
      <c r="M766" s="1300"/>
      <c r="N766" s="1300"/>
    </row>
    <row r="767" spans="3:14" ht="14.25" customHeight="1">
      <c r="C767" s="1300"/>
      <c r="D767" s="1300"/>
      <c r="E767" s="1300"/>
      <c r="F767" s="1300"/>
      <c r="G767" s="1300"/>
      <c r="H767" s="1300"/>
      <c r="I767" s="1300"/>
      <c r="J767" s="1300"/>
      <c r="K767" s="1300"/>
      <c r="L767" s="1300"/>
      <c r="M767" s="1300"/>
      <c r="N767" s="1300"/>
    </row>
    <row r="768" spans="3:14" ht="14.25" customHeight="1">
      <c r="C768" s="1300"/>
      <c r="D768" s="1300"/>
      <c r="E768" s="1300"/>
      <c r="F768" s="1300"/>
      <c r="G768" s="1300"/>
      <c r="H768" s="1300"/>
      <c r="I768" s="1300"/>
      <c r="J768" s="1300"/>
      <c r="K768" s="1300"/>
      <c r="L768" s="1300"/>
      <c r="M768" s="1300"/>
      <c r="N768" s="1300"/>
    </row>
    <row r="769" spans="3:14" ht="14.25" customHeight="1">
      <c r="C769" s="1300"/>
      <c r="D769" s="1300"/>
      <c r="E769" s="1300"/>
      <c r="F769" s="1300"/>
      <c r="G769" s="1300"/>
      <c r="H769" s="1300"/>
      <c r="I769" s="1300"/>
      <c r="J769" s="1300"/>
      <c r="K769" s="1300"/>
      <c r="L769" s="1300"/>
      <c r="M769" s="1300"/>
      <c r="N769" s="1300"/>
    </row>
    <row r="770" spans="3:14" ht="14.25" customHeight="1">
      <c r="C770" s="1300"/>
      <c r="D770" s="1300"/>
      <c r="E770" s="1300"/>
      <c r="F770" s="1300"/>
      <c r="G770" s="1300"/>
      <c r="H770" s="1300"/>
      <c r="I770" s="1300"/>
      <c r="J770" s="1300"/>
      <c r="K770" s="1300"/>
      <c r="L770" s="1300"/>
      <c r="M770" s="1300"/>
      <c r="N770" s="1300"/>
    </row>
    <row r="771" spans="3:14" ht="14.25" customHeight="1">
      <c r="C771" s="1300"/>
      <c r="D771" s="1300"/>
      <c r="E771" s="1300"/>
      <c r="F771" s="1300"/>
      <c r="G771" s="1300"/>
      <c r="H771" s="1300"/>
      <c r="I771" s="1300"/>
      <c r="J771" s="1300"/>
      <c r="K771" s="1300"/>
      <c r="L771" s="1300"/>
      <c r="M771" s="1300"/>
      <c r="N771" s="1300"/>
    </row>
    <row r="772" spans="3:14" ht="14.25" customHeight="1">
      <c r="C772" s="1300"/>
      <c r="D772" s="1300"/>
      <c r="E772" s="1300"/>
      <c r="F772" s="1300"/>
      <c r="G772" s="1300"/>
      <c r="H772" s="1300"/>
      <c r="I772" s="1300"/>
      <c r="J772" s="1300"/>
      <c r="K772" s="1300"/>
      <c r="L772" s="1300"/>
      <c r="M772" s="1300"/>
      <c r="N772" s="1300"/>
    </row>
    <row r="773" spans="3:14" ht="14.25" customHeight="1">
      <c r="C773" s="1300"/>
      <c r="D773" s="1300"/>
      <c r="E773" s="1300"/>
      <c r="F773" s="1300"/>
      <c r="G773" s="1300"/>
      <c r="H773" s="1300"/>
      <c r="I773" s="1300"/>
      <c r="J773" s="1300"/>
      <c r="K773" s="1300"/>
      <c r="L773" s="1300"/>
      <c r="M773" s="1300"/>
      <c r="N773" s="1300"/>
    </row>
    <row r="774" spans="3:14" ht="14.25" customHeight="1">
      <c r="C774" s="1300"/>
      <c r="D774" s="1300"/>
      <c r="E774" s="1300"/>
      <c r="F774" s="1300"/>
      <c r="G774" s="1300"/>
      <c r="H774" s="1300"/>
      <c r="I774" s="1300"/>
      <c r="J774" s="1300"/>
      <c r="K774" s="1300"/>
      <c r="L774" s="1300"/>
      <c r="M774" s="1300"/>
      <c r="N774" s="1300"/>
    </row>
    <row r="775" spans="3:14" ht="14.25" customHeight="1">
      <c r="C775" s="1300"/>
      <c r="D775" s="1300"/>
      <c r="E775" s="1300"/>
      <c r="F775" s="1300"/>
      <c r="G775" s="1300"/>
      <c r="H775" s="1300"/>
      <c r="I775" s="1300"/>
      <c r="J775" s="1300"/>
      <c r="K775" s="1300"/>
      <c r="L775" s="1300"/>
      <c r="M775" s="1300"/>
      <c r="N775" s="1300"/>
    </row>
    <row r="776" spans="3:14" ht="14.25" customHeight="1">
      <c r="C776" s="1300"/>
      <c r="D776" s="1300"/>
      <c r="E776" s="1300"/>
      <c r="F776" s="1300"/>
      <c r="G776" s="1300"/>
      <c r="H776" s="1300"/>
      <c r="I776" s="1300"/>
      <c r="J776" s="1300"/>
      <c r="K776" s="1300"/>
      <c r="L776" s="1300"/>
      <c r="M776" s="1300"/>
      <c r="N776" s="1300"/>
    </row>
    <row r="777" spans="3:14" ht="14.25" customHeight="1">
      <c r="C777" s="1300"/>
      <c r="D777" s="1300"/>
      <c r="E777" s="1300"/>
      <c r="F777" s="1300"/>
      <c r="G777" s="1300"/>
      <c r="H777" s="1300"/>
      <c r="I777" s="1300"/>
      <c r="J777" s="1300"/>
      <c r="K777" s="1300"/>
      <c r="L777" s="1300"/>
      <c r="M777" s="1300"/>
      <c r="N777" s="1300"/>
    </row>
    <row r="778" spans="3:14" ht="14.25" customHeight="1">
      <c r="C778" s="1300"/>
      <c r="D778" s="1300"/>
      <c r="E778" s="1300"/>
      <c r="F778" s="1300"/>
      <c r="G778" s="1300"/>
      <c r="H778" s="1300"/>
      <c r="I778" s="1300"/>
      <c r="J778" s="1300"/>
      <c r="K778" s="1300"/>
      <c r="L778" s="1300"/>
      <c r="M778" s="1300"/>
      <c r="N778" s="1300"/>
    </row>
    <row r="779" spans="3:14" ht="14.25" customHeight="1">
      <c r="C779" s="1300"/>
      <c r="D779" s="1300"/>
      <c r="E779" s="1300"/>
      <c r="F779" s="1300"/>
      <c r="G779" s="1300"/>
      <c r="H779" s="1300"/>
      <c r="I779" s="1300"/>
      <c r="J779" s="1300"/>
      <c r="K779" s="1300"/>
      <c r="L779" s="1300"/>
      <c r="M779" s="1300"/>
      <c r="N779" s="1300"/>
    </row>
    <row r="780" spans="3:14" ht="14.25" customHeight="1">
      <c r="C780" s="1300"/>
      <c r="D780" s="1300"/>
      <c r="E780" s="1300"/>
      <c r="F780" s="1300"/>
      <c r="G780" s="1300"/>
      <c r="H780" s="1300"/>
      <c r="I780" s="1300"/>
      <c r="J780" s="1300"/>
      <c r="K780" s="1300"/>
      <c r="L780" s="1300"/>
      <c r="M780" s="1300"/>
      <c r="N780" s="1300"/>
    </row>
    <row r="781" spans="3:14" ht="14.25" customHeight="1">
      <c r="C781" s="1300"/>
      <c r="D781" s="1300"/>
      <c r="E781" s="1300"/>
      <c r="F781" s="1300"/>
      <c r="G781" s="1300"/>
      <c r="H781" s="1300"/>
      <c r="I781" s="1300"/>
      <c r="J781" s="1300"/>
      <c r="K781" s="1300"/>
      <c r="L781" s="1300"/>
      <c r="M781" s="1300"/>
      <c r="N781" s="1300"/>
    </row>
    <row r="782" spans="3:14" ht="14.25" customHeight="1">
      <c r="C782" s="1300"/>
      <c r="D782" s="1300"/>
      <c r="E782" s="1300"/>
      <c r="F782" s="1300"/>
      <c r="G782" s="1300"/>
      <c r="H782" s="1300"/>
      <c r="I782" s="1300"/>
      <c r="J782" s="1300"/>
      <c r="K782" s="1300"/>
      <c r="L782" s="1300"/>
      <c r="M782" s="1300"/>
      <c r="N782" s="1300"/>
    </row>
    <row r="783" spans="3:14" ht="14.25" customHeight="1">
      <c r="C783" s="1300"/>
      <c r="D783" s="1300"/>
      <c r="E783" s="1300"/>
      <c r="F783" s="1300"/>
      <c r="G783" s="1300"/>
      <c r="H783" s="1300"/>
      <c r="I783" s="1300"/>
      <c r="J783" s="1300"/>
      <c r="K783" s="1300"/>
      <c r="L783" s="1300"/>
      <c r="M783" s="1300"/>
      <c r="N783" s="1300"/>
    </row>
    <row r="784" spans="3:14" ht="14.25" customHeight="1">
      <c r="C784" s="1300"/>
      <c r="D784" s="1300"/>
      <c r="E784" s="1300"/>
      <c r="F784" s="1300"/>
      <c r="G784" s="1300"/>
      <c r="H784" s="1300"/>
      <c r="I784" s="1300"/>
      <c r="J784" s="1300"/>
      <c r="K784" s="1300"/>
      <c r="L784" s="1300"/>
      <c r="M784" s="1300"/>
      <c r="N784" s="1300"/>
    </row>
    <row r="785" spans="3:14" ht="14.25" customHeight="1">
      <c r="C785" s="1300"/>
      <c r="D785" s="1300"/>
      <c r="E785" s="1300"/>
      <c r="F785" s="1300"/>
      <c r="G785" s="1300"/>
      <c r="H785" s="1300"/>
      <c r="I785" s="1300"/>
      <c r="J785" s="1300"/>
      <c r="K785" s="1300"/>
      <c r="L785" s="1300"/>
      <c r="M785" s="1300"/>
      <c r="N785" s="1300"/>
    </row>
  </sheetData>
  <mergeCells count="15">
    <mergeCell ref="L3:L4"/>
    <mergeCell ref="M3:M4"/>
    <mergeCell ref="N3:N4"/>
    <mergeCell ref="O3:O4"/>
    <mergeCell ref="P3:P4"/>
    <mergeCell ref="F3:F4"/>
    <mergeCell ref="G3:G4"/>
    <mergeCell ref="H3:H4"/>
    <mergeCell ref="I3:I4"/>
    <mergeCell ref="J3:K3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P760"/>
  <sheetViews>
    <sheetView zoomScale="80" zoomScaleNormal="80" workbookViewId="0">
      <selection activeCell="D14" sqref="D14"/>
    </sheetView>
  </sheetViews>
  <sheetFormatPr baseColWidth="10" defaultColWidth="8.83203125" defaultRowHeight="13"/>
  <cols>
    <col min="2" max="2" width="61.83203125" customWidth="1"/>
    <col min="3" max="15" width="10.5" customWidth="1"/>
    <col min="16" max="16" width="20.5" customWidth="1"/>
  </cols>
  <sheetData>
    <row r="1" spans="1:16" ht="19.5" customHeight="1">
      <c r="A1" s="3239" t="s">
        <v>1</v>
      </c>
      <c r="B1" s="3240" t="s">
        <v>68</v>
      </c>
      <c r="C1" s="3240" t="s">
        <v>77</v>
      </c>
      <c r="D1" s="3240" t="s">
        <v>78</v>
      </c>
      <c r="E1" s="3240" t="s">
        <v>79</v>
      </c>
      <c r="F1" s="3240" t="s">
        <v>6</v>
      </c>
      <c r="G1" s="3240" t="s">
        <v>999</v>
      </c>
      <c r="H1" s="3240" t="s">
        <v>977</v>
      </c>
      <c r="I1" s="3240" t="s">
        <v>978</v>
      </c>
      <c r="J1" s="3240" t="s">
        <v>1000</v>
      </c>
      <c r="K1" s="3240"/>
      <c r="L1" s="3240" t="s">
        <v>213</v>
      </c>
      <c r="M1" s="3240" t="s">
        <v>80</v>
      </c>
      <c r="N1" s="3240" t="s">
        <v>81</v>
      </c>
      <c r="O1" s="3240" t="s">
        <v>82</v>
      </c>
      <c r="P1" s="3260" t="s">
        <v>83</v>
      </c>
    </row>
    <row r="2" spans="1:16" ht="19.5" customHeight="1">
      <c r="A2" s="3239"/>
      <c r="B2" s="3240"/>
      <c r="C2" s="3240"/>
      <c r="D2" s="3240"/>
      <c r="E2" s="3240"/>
      <c r="F2" s="3240"/>
      <c r="G2" s="3240"/>
      <c r="H2" s="3240"/>
      <c r="I2" s="3240"/>
      <c r="J2" s="921" t="s">
        <v>1001</v>
      </c>
      <c r="K2" s="921" t="s">
        <v>1002</v>
      </c>
      <c r="L2" s="3240"/>
      <c r="M2" s="3240"/>
      <c r="N2" s="3240"/>
      <c r="O2" s="3240"/>
      <c r="P2" s="3260"/>
    </row>
    <row r="3" spans="1:16" ht="7.5" customHeight="1">
      <c r="A3" s="442"/>
      <c r="B3" s="442"/>
      <c r="C3" s="442"/>
      <c r="D3" s="442"/>
      <c r="E3" s="442"/>
      <c r="F3" s="442"/>
      <c r="G3" s="442"/>
      <c r="H3" s="442"/>
      <c r="I3" s="442"/>
      <c r="J3" s="442"/>
      <c r="K3" s="442"/>
      <c r="L3" s="442"/>
      <c r="M3" s="442"/>
      <c r="N3" s="442"/>
      <c r="O3" s="442"/>
      <c r="P3" s="1096"/>
    </row>
    <row r="4" spans="1:16" ht="7.5" customHeight="1">
      <c r="A4" s="857"/>
      <c r="B4" s="858"/>
      <c r="C4" s="858"/>
      <c r="D4" s="858"/>
      <c r="E4" s="858"/>
      <c r="F4" s="858"/>
      <c r="G4" s="858"/>
      <c r="H4" s="858"/>
      <c r="I4" s="858"/>
      <c r="J4" s="858"/>
      <c r="K4" s="858"/>
      <c r="L4" s="858"/>
      <c r="M4" s="858"/>
      <c r="N4" s="858"/>
      <c r="O4" s="858"/>
      <c r="P4" s="1097"/>
    </row>
    <row r="5" spans="1:16" ht="15.75" customHeight="1">
      <c r="A5" s="425" t="s">
        <v>1646</v>
      </c>
      <c r="B5" s="426" t="s">
        <v>1647</v>
      </c>
      <c r="C5" s="428"/>
      <c r="D5" s="428"/>
      <c r="E5" s="428"/>
      <c r="F5" s="428"/>
      <c r="G5" s="428"/>
      <c r="H5" s="428"/>
      <c r="I5" s="428"/>
      <c r="J5" s="428"/>
      <c r="K5" s="428"/>
      <c r="L5" s="428"/>
      <c r="M5" s="428"/>
      <c r="N5" s="428"/>
      <c r="O5" s="362"/>
      <c r="P5" s="1098"/>
    </row>
    <row r="6" spans="1:16" ht="15.75" customHeight="1">
      <c r="A6" s="394">
        <v>1</v>
      </c>
      <c r="B6" s="427" t="s">
        <v>396</v>
      </c>
      <c r="C6" s="428"/>
      <c r="D6" s="428"/>
      <c r="E6" s="428"/>
      <c r="F6" s="428"/>
      <c r="G6" s="428"/>
      <c r="H6" s="428"/>
      <c r="I6" s="428"/>
      <c r="J6" s="428"/>
      <c r="K6" s="428"/>
      <c r="L6" s="428"/>
      <c r="M6" s="428"/>
      <c r="N6" s="428"/>
      <c r="O6" s="362"/>
      <c r="P6" s="962"/>
    </row>
    <row r="7" spans="1:16" ht="15.75" customHeight="1">
      <c r="A7" s="394"/>
      <c r="B7" s="427"/>
      <c r="C7" s="428">
        <v>3</v>
      </c>
      <c r="D7" s="428"/>
      <c r="E7" s="428"/>
      <c r="F7" s="428"/>
      <c r="G7" s="428"/>
      <c r="H7" s="428">
        <v>2</v>
      </c>
      <c r="I7" s="428"/>
      <c r="J7" s="428"/>
      <c r="K7" s="428"/>
      <c r="L7" s="428"/>
      <c r="M7" s="428"/>
      <c r="N7" s="428">
        <f>C7*H7</f>
        <v>6</v>
      </c>
      <c r="O7" s="362"/>
      <c r="P7" s="962"/>
    </row>
    <row r="8" spans="1:16" ht="15.75" customHeight="1">
      <c r="A8" s="394"/>
      <c r="B8" s="427"/>
      <c r="C8" s="428"/>
      <c r="D8" s="428">
        <v>2.5</v>
      </c>
      <c r="E8" s="428"/>
      <c r="F8" s="428"/>
      <c r="G8" s="428"/>
      <c r="H8" s="428">
        <f>H7</f>
        <v>2</v>
      </c>
      <c r="I8" s="428"/>
      <c r="J8" s="428"/>
      <c r="K8" s="428"/>
      <c r="L8" s="428"/>
      <c r="M8" s="428"/>
      <c r="N8" s="590">
        <f>D8*H8</f>
        <v>5</v>
      </c>
      <c r="O8" s="362"/>
      <c r="P8" s="962"/>
    </row>
    <row r="9" spans="1:16" ht="15.75" customHeight="1">
      <c r="A9" s="394"/>
      <c r="B9" s="427"/>
      <c r="C9" s="428"/>
      <c r="D9" s="428"/>
      <c r="E9" s="428"/>
      <c r="F9" s="428"/>
      <c r="G9" s="428"/>
      <c r="H9" s="428"/>
      <c r="I9" s="428"/>
      <c r="J9" s="428"/>
      <c r="K9" s="428"/>
      <c r="L9" s="428"/>
      <c r="M9" s="428"/>
      <c r="N9" s="390">
        <f>SUM(N7:N8)</f>
        <v>11</v>
      </c>
      <c r="O9" s="362" t="s">
        <v>117</v>
      </c>
      <c r="P9" s="962">
        <f>ROUND((N9),2)</f>
        <v>11</v>
      </c>
    </row>
    <row r="10" spans="1:16" ht="15.75" customHeight="1">
      <c r="A10" s="394">
        <f>A6+1</f>
        <v>2</v>
      </c>
      <c r="B10" s="389" t="s">
        <v>970</v>
      </c>
      <c r="C10" s="428">
        <v>2.5</v>
      </c>
      <c r="D10" s="428">
        <v>2</v>
      </c>
      <c r="E10" s="428">
        <v>2</v>
      </c>
      <c r="F10" s="428"/>
      <c r="G10" s="428"/>
      <c r="H10" s="428"/>
      <c r="I10" s="428"/>
      <c r="J10" s="428"/>
      <c r="K10" s="428"/>
      <c r="L10" s="428"/>
      <c r="M10" s="428"/>
      <c r="N10" s="428">
        <f>C10*D10*E10</f>
        <v>10</v>
      </c>
      <c r="O10" s="362" t="s">
        <v>103</v>
      </c>
      <c r="P10" s="962">
        <f>ROUND((N10),2)</f>
        <v>10</v>
      </c>
    </row>
    <row r="11" spans="1:16" ht="15.75" customHeight="1">
      <c r="A11" s="394">
        <f>A10+1</f>
        <v>3</v>
      </c>
      <c r="B11" s="427" t="s">
        <v>971</v>
      </c>
      <c r="C11" s="428"/>
      <c r="D11" s="428"/>
      <c r="E11" s="428"/>
      <c r="F11" s="428"/>
      <c r="G11" s="428"/>
      <c r="H11" s="428"/>
      <c r="I11" s="428"/>
      <c r="J11" s="428"/>
      <c r="K11" s="428"/>
      <c r="L11" s="428"/>
      <c r="M11" s="428"/>
      <c r="N11" s="428">
        <f>N10</f>
        <v>10</v>
      </c>
      <c r="O11" s="362" t="s">
        <v>103</v>
      </c>
      <c r="P11" s="962">
        <f>ROUND((N11),2)</f>
        <v>10</v>
      </c>
    </row>
    <row r="12" spans="1:16" ht="15.75" customHeight="1">
      <c r="A12" s="394">
        <f>A11+1</f>
        <v>4</v>
      </c>
      <c r="B12" s="427" t="s">
        <v>501</v>
      </c>
      <c r="C12" s="428"/>
      <c r="D12" s="428"/>
      <c r="E12" s="428"/>
      <c r="F12" s="428"/>
      <c r="G12" s="428"/>
      <c r="H12" s="428"/>
      <c r="I12" s="428"/>
      <c r="J12" s="428"/>
      <c r="K12" s="428"/>
      <c r="L12" s="428"/>
      <c r="M12" s="428"/>
      <c r="N12" s="428"/>
      <c r="O12" s="362"/>
      <c r="P12" s="962"/>
    </row>
    <row r="13" spans="1:16" ht="15.75" customHeight="1">
      <c r="A13" s="451" t="s">
        <v>95</v>
      </c>
      <c r="B13" s="427" t="s">
        <v>399</v>
      </c>
      <c r="C13" s="428">
        <f>C10-0.3</f>
        <v>2.2000000000000002</v>
      </c>
      <c r="D13" s="428">
        <f>D10-0.3</f>
        <v>1.7</v>
      </c>
      <c r="E13" s="428">
        <v>7.0000000000000007E-2</v>
      </c>
      <c r="F13" s="428"/>
      <c r="G13" s="428"/>
      <c r="H13" s="428"/>
      <c r="I13" s="428"/>
      <c r="J13" s="428"/>
      <c r="K13" s="428"/>
      <c r="L13" s="428"/>
      <c r="M13" s="428"/>
      <c r="N13" s="428">
        <f>C13*D13*E13</f>
        <v>0.26180000000000003</v>
      </c>
      <c r="O13" s="362" t="s">
        <v>103</v>
      </c>
      <c r="P13" s="962">
        <f>ROUND((N13),2)</f>
        <v>0.26</v>
      </c>
    </row>
    <row r="14" spans="1:16" ht="15.75" customHeight="1">
      <c r="A14" s="451" t="s">
        <v>98</v>
      </c>
      <c r="B14" s="427" t="s">
        <v>400</v>
      </c>
      <c r="C14" s="428">
        <f>C10-0.3</f>
        <v>2.2000000000000002</v>
      </c>
      <c r="D14" s="428">
        <f>D10-0.3</f>
        <v>1.7</v>
      </c>
      <c r="E14" s="428">
        <v>0.03</v>
      </c>
      <c r="F14" s="428"/>
      <c r="G14" s="428"/>
      <c r="H14" s="428"/>
      <c r="I14" s="428"/>
      <c r="J14" s="428"/>
      <c r="K14" s="428"/>
      <c r="L14" s="428"/>
      <c r="M14" s="428"/>
      <c r="N14" s="428">
        <f>C14*D14*E14</f>
        <v>0.11220000000000001</v>
      </c>
      <c r="O14" s="362" t="s">
        <v>103</v>
      </c>
      <c r="P14" s="962">
        <f>ROUND((N14),2)</f>
        <v>0.11</v>
      </c>
    </row>
    <row r="15" spans="1:16" ht="15.75" customHeight="1">
      <c r="A15" s="451" t="s">
        <v>101</v>
      </c>
      <c r="B15" s="427" t="s">
        <v>972</v>
      </c>
      <c r="C15" s="428">
        <f>D14-0.1</f>
        <v>1.5999999999999999</v>
      </c>
      <c r="D15" s="1064"/>
      <c r="E15" s="428"/>
      <c r="F15" s="428">
        <f>ROUNDUP((C16/0.15),0.1)+1</f>
        <v>15</v>
      </c>
      <c r="G15" s="428"/>
      <c r="H15" s="428">
        <v>2</v>
      </c>
      <c r="I15" s="428"/>
      <c r="J15" s="428"/>
      <c r="K15" s="428"/>
      <c r="L15" s="428">
        <f>13*13*0.006165</f>
        <v>1.041885</v>
      </c>
      <c r="M15" s="428"/>
      <c r="N15" s="428">
        <f>C15*F15*H15*L15</f>
        <v>50.010479999999987</v>
      </c>
      <c r="O15" s="362" t="s">
        <v>100</v>
      </c>
      <c r="P15" s="962">
        <f>ROUND((N15),2)</f>
        <v>50.01</v>
      </c>
    </row>
    <row r="16" spans="1:16" ht="15.75" customHeight="1">
      <c r="A16" s="451" t="s">
        <v>121</v>
      </c>
      <c r="B16" s="427" t="s">
        <v>973</v>
      </c>
      <c r="C16" s="428">
        <f>C14-0.1</f>
        <v>2.1</v>
      </c>
      <c r="D16" s="428"/>
      <c r="E16" s="428"/>
      <c r="F16" s="428">
        <f>ROUNDUP((C15/0.15),0.1)+1</f>
        <v>12</v>
      </c>
      <c r="G16" s="428"/>
      <c r="H16" s="428">
        <f>H15</f>
        <v>2</v>
      </c>
      <c r="I16" s="428"/>
      <c r="J16" s="428"/>
      <c r="K16" s="428"/>
      <c r="L16" s="428">
        <f>10*10*0.006165</f>
        <v>0.61650000000000005</v>
      </c>
      <c r="M16" s="428"/>
      <c r="N16" s="428">
        <f>C16*F16*H16*L16</f>
        <v>31.071600000000007</v>
      </c>
      <c r="O16" s="362" t="s">
        <v>100</v>
      </c>
      <c r="P16" s="962">
        <f>ROUND((N16),2)</f>
        <v>31.07</v>
      </c>
    </row>
    <row r="17" spans="1:16" ht="15.75" customHeight="1">
      <c r="A17" s="451" t="s">
        <v>142</v>
      </c>
      <c r="B17" s="389" t="s">
        <v>1648</v>
      </c>
      <c r="C17" s="428">
        <f>C14</f>
        <v>2.2000000000000002</v>
      </c>
      <c r="D17" s="428">
        <f>D14</f>
        <v>1.7</v>
      </c>
      <c r="E17" s="428">
        <v>0.2</v>
      </c>
      <c r="F17" s="428"/>
      <c r="G17" s="428"/>
      <c r="H17" s="428"/>
      <c r="I17" s="428"/>
      <c r="J17" s="428"/>
      <c r="K17" s="428"/>
      <c r="L17" s="428"/>
      <c r="M17" s="428"/>
      <c r="N17" s="428">
        <f>C17*D17*E17</f>
        <v>0.74800000000000011</v>
      </c>
      <c r="O17" s="362" t="s">
        <v>103</v>
      </c>
      <c r="P17" s="962">
        <f>ROUND((N17),2)</f>
        <v>0.75</v>
      </c>
    </row>
    <row r="18" spans="1:16" ht="15.75" customHeight="1">
      <c r="A18" s="394">
        <f>A12+1</f>
        <v>5</v>
      </c>
      <c r="B18" s="427" t="s">
        <v>974</v>
      </c>
      <c r="C18" s="428"/>
      <c r="D18" s="428"/>
      <c r="E18" s="428"/>
      <c r="F18" s="428"/>
      <c r="G18" s="428"/>
      <c r="H18" s="428"/>
      <c r="I18" s="428"/>
      <c r="J18" s="428"/>
      <c r="K18" s="428"/>
      <c r="L18" s="428"/>
      <c r="M18" s="428"/>
      <c r="N18" s="390"/>
      <c r="O18" s="362"/>
      <c r="P18" s="962"/>
    </row>
    <row r="19" spans="1:16" ht="15.75" customHeight="1">
      <c r="A19" s="394"/>
      <c r="B19" s="843" t="s">
        <v>226</v>
      </c>
      <c r="C19" s="428">
        <f>C10</f>
        <v>2.5</v>
      </c>
      <c r="D19" s="428"/>
      <c r="E19" s="428">
        <f>E10</f>
        <v>2</v>
      </c>
      <c r="F19" s="428"/>
      <c r="G19" s="428"/>
      <c r="H19" s="428">
        <v>2</v>
      </c>
      <c r="I19" s="428"/>
      <c r="J19" s="428"/>
      <c r="K19" s="428"/>
      <c r="L19" s="428"/>
      <c r="M19" s="428"/>
      <c r="N19" s="390">
        <f>C19*E19*H19</f>
        <v>10</v>
      </c>
      <c r="O19" s="362"/>
      <c r="P19" s="962"/>
    </row>
    <row r="20" spans="1:16" ht="15.75" customHeight="1">
      <c r="A20" s="394"/>
      <c r="B20" s="843" t="s">
        <v>227</v>
      </c>
      <c r="C20" s="428">
        <f>D10</f>
        <v>2</v>
      </c>
      <c r="D20" s="428"/>
      <c r="E20" s="428">
        <f>E19</f>
        <v>2</v>
      </c>
      <c r="F20" s="428"/>
      <c r="G20" s="428"/>
      <c r="H20" s="428">
        <f>H19</f>
        <v>2</v>
      </c>
      <c r="I20" s="428"/>
      <c r="J20" s="428"/>
      <c r="K20" s="428"/>
      <c r="L20" s="428"/>
      <c r="M20" s="428"/>
      <c r="N20" s="590">
        <f>C20*E20*H20</f>
        <v>8</v>
      </c>
      <c r="O20" s="362"/>
      <c r="P20" s="962"/>
    </row>
    <row r="21" spans="1:16" ht="15.75" customHeight="1">
      <c r="A21" s="394"/>
      <c r="B21" s="427"/>
      <c r="C21" s="428"/>
      <c r="D21" s="428"/>
      <c r="E21" s="428"/>
      <c r="F21" s="428"/>
      <c r="G21" s="428"/>
      <c r="H21" s="428"/>
      <c r="I21" s="428"/>
      <c r="J21" s="428"/>
      <c r="K21" s="428"/>
      <c r="L21" s="428"/>
      <c r="M21" s="428"/>
      <c r="N21" s="390">
        <f>SUM(N19:N20)</f>
        <v>18</v>
      </c>
      <c r="O21" s="362" t="s">
        <v>89</v>
      </c>
      <c r="P21" s="962">
        <f>ROUND((N21),2)</f>
        <v>18</v>
      </c>
    </row>
    <row r="22" spans="1:16" ht="15.75" customHeight="1">
      <c r="A22" s="394">
        <f>A18+1</f>
        <v>6</v>
      </c>
      <c r="B22" s="427" t="s">
        <v>193</v>
      </c>
      <c r="C22" s="428"/>
      <c r="D22" s="428"/>
      <c r="E22" s="428"/>
      <c r="F22" s="428"/>
      <c r="G22" s="428"/>
      <c r="H22" s="428"/>
      <c r="I22" s="428"/>
      <c r="J22" s="428"/>
      <c r="K22" s="428"/>
      <c r="L22" s="428"/>
      <c r="M22" s="428"/>
      <c r="N22" s="390">
        <f>N21</f>
        <v>18</v>
      </c>
      <c r="O22" s="362" t="s">
        <v>89</v>
      </c>
      <c r="P22" s="962">
        <f>ROUND((N22),2)</f>
        <v>18</v>
      </c>
    </row>
    <row r="23" spans="1:16" ht="15.75" customHeight="1">
      <c r="A23" s="394">
        <f>A22+1</f>
        <v>7</v>
      </c>
      <c r="B23" s="427" t="s">
        <v>975</v>
      </c>
      <c r="C23" s="428"/>
      <c r="D23" s="428"/>
      <c r="E23" s="428"/>
      <c r="F23" s="428"/>
      <c r="G23" s="428"/>
      <c r="H23" s="428"/>
      <c r="I23" s="428"/>
      <c r="J23" s="428"/>
      <c r="K23" s="428"/>
      <c r="L23" s="428"/>
      <c r="M23" s="428"/>
      <c r="N23" s="390">
        <v>1</v>
      </c>
      <c r="O23" s="362" t="s">
        <v>360</v>
      </c>
      <c r="P23" s="962">
        <f>ROUND((N23),2)</f>
        <v>1</v>
      </c>
    </row>
    <row r="24" spans="1:16" ht="15.75" customHeight="1">
      <c r="A24" s="394">
        <f>A23+1</f>
        <v>8</v>
      </c>
      <c r="B24" s="427" t="s">
        <v>976</v>
      </c>
      <c r="C24" s="428"/>
      <c r="D24" s="428"/>
      <c r="E24" s="428"/>
      <c r="F24" s="428"/>
      <c r="G24" s="428"/>
      <c r="H24" s="428"/>
      <c r="I24" s="428"/>
      <c r="J24" s="428"/>
      <c r="K24" s="428"/>
      <c r="L24" s="428"/>
      <c r="M24" s="428"/>
      <c r="N24" s="390"/>
      <c r="O24" s="362"/>
      <c r="P24" s="962"/>
    </row>
    <row r="25" spans="1:16" ht="15.75" customHeight="1">
      <c r="A25" s="1102"/>
      <c r="B25" s="427"/>
      <c r="C25" s="428" t="s">
        <v>1649</v>
      </c>
      <c r="D25" s="428"/>
      <c r="E25" s="428"/>
      <c r="F25" s="428"/>
      <c r="G25" s="428"/>
      <c r="H25" s="428"/>
      <c r="I25" s="428"/>
      <c r="J25" s="428"/>
      <c r="K25" s="428"/>
      <c r="L25" s="428"/>
      <c r="M25" s="428"/>
      <c r="N25" s="390">
        <f>N10</f>
        <v>10</v>
      </c>
      <c r="O25" s="362"/>
      <c r="P25" s="962"/>
    </row>
    <row r="26" spans="1:16" ht="15.75" customHeight="1">
      <c r="A26" s="1102"/>
      <c r="B26" s="843" t="s">
        <v>1650</v>
      </c>
      <c r="C26" s="428">
        <v>2</v>
      </c>
      <c r="D26" s="428">
        <f>3.14*(0.6^2)</f>
        <v>1.1304000000000001</v>
      </c>
      <c r="E26" s="428">
        <v>1.35</v>
      </c>
      <c r="F26" s="428"/>
      <c r="G26" s="428"/>
      <c r="H26" s="428"/>
      <c r="I26" s="428"/>
      <c r="J26" s="428"/>
      <c r="K26" s="428"/>
      <c r="L26" s="428"/>
      <c r="M26" s="428"/>
      <c r="N26" s="590">
        <f>-C26*D26*E26</f>
        <v>-3.0520800000000006</v>
      </c>
      <c r="O26" s="362"/>
      <c r="P26" s="962"/>
    </row>
    <row r="27" spans="1:16" ht="15.75" customHeight="1">
      <c r="A27" s="1102"/>
      <c r="B27" s="427"/>
      <c r="C27" s="1064"/>
      <c r="D27" s="1064" t="s">
        <v>1651</v>
      </c>
      <c r="E27" s="428"/>
      <c r="F27" s="428"/>
      <c r="G27" s="428"/>
      <c r="H27" s="428"/>
      <c r="I27" s="428"/>
      <c r="J27" s="428"/>
      <c r="K27" s="428"/>
      <c r="L27" s="428"/>
      <c r="M27" s="428"/>
      <c r="N27" s="390">
        <f>SUM(N25:N26)</f>
        <v>6.9479199999999999</v>
      </c>
      <c r="O27" s="362" t="s">
        <v>103</v>
      </c>
      <c r="P27" s="962">
        <f>ROUND((N27),2)</f>
        <v>6.95</v>
      </c>
    </row>
    <row r="28" spans="1:16" ht="15.75" customHeight="1">
      <c r="A28" s="1102"/>
      <c r="B28" s="1103"/>
      <c r="C28" s="428"/>
      <c r="D28" s="428"/>
      <c r="E28" s="428"/>
      <c r="F28" s="428"/>
      <c r="G28" s="428"/>
      <c r="H28" s="428"/>
      <c r="I28" s="428"/>
      <c r="J28" s="428"/>
      <c r="K28" s="428"/>
      <c r="L28" s="428"/>
      <c r="M28" s="428"/>
      <c r="N28" s="390"/>
      <c r="O28" s="362"/>
      <c r="P28" s="962"/>
    </row>
    <row r="29" spans="1:16" ht="15.75" customHeight="1">
      <c r="A29" s="1102"/>
      <c r="B29" s="1103"/>
      <c r="C29" s="428"/>
      <c r="D29" s="428"/>
      <c r="E29" s="428"/>
      <c r="F29" s="428"/>
      <c r="G29" s="428"/>
      <c r="H29" s="428"/>
      <c r="I29" s="428"/>
      <c r="J29" s="428"/>
      <c r="K29" s="428"/>
      <c r="L29" s="428"/>
      <c r="M29" s="428"/>
      <c r="N29" s="390"/>
      <c r="O29" s="362"/>
      <c r="P29" s="962"/>
    </row>
    <row r="30" spans="1:16" ht="15.75" customHeight="1"/>
    <row r="31" spans="1:16" ht="15.75" customHeight="1"/>
    <row r="32" spans="1:1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</sheetData>
  <mergeCells count="15">
    <mergeCell ref="L1:L2"/>
    <mergeCell ref="M1:M2"/>
    <mergeCell ref="N1:N2"/>
    <mergeCell ref="O1:O2"/>
    <mergeCell ref="P1:P2"/>
    <mergeCell ref="F1:F2"/>
    <mergeCell ref="G1:G2"/>
    <mergeCell ref="H1:H2"/>
    <mergeCell ref="I1:I2"/>
    <mergeCell ref="J1:K1"/>
    <mergeCell ref="A1:A2"/>
    <mergeCell ref="B1:B2"/>
    <mergeCell ref="C1:C2"/>
    <mergeCell ref="D1:D2"/>
    <mergeCell ref="E1:E2"/>
  </mergeCells>
  <pageMargins left="0.7" right="0.7" top="0.75" bottom="0.75" header="0.511811023622047" footer="0.511811023622047"/>
  <pageSetup paperSize="9" orientation="portrait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S361"/>
  <sheetViews>
    <sheetView topLeftCell="A6" zoomScale="80" zoomScaleNormal="80" workbookViewId="0">
      <pane ySplit="1" topLeftCell="A7" activePane="bottomLeft" state="frozen"/>
      <selection activeCell="A6" sqref="A6"/>
      <selection pane="bottomLeft" activeCell="J14" sqref="J14"/>
    </sheetView>
  </sheetViews>
  <sheetFormatPr baseColWidth="10" defaultColWidth="9.1640625" defaultRowHeight="15"/>
  <cols>
    <col min="1" max="1" width="9.1640625" style="497"/>
    <col min="2" max="2" width="50.5" style="497" customWidth="1"/>
    <col min="3" max="3" width="14.1640625" style="497" customWidth="1"/>
    <col min="4" max="4" width="12.1640625" style="497" customWidth="1"/>
    <col min="5" max="5" width="12.5" style="497" customWidth="1"/>
    <col min="6" max="6" width="13.83203125" style="497" customWidth="1"/>
    <col min="7" max="7" width="10.5" style="497" customWidth="1"/>
    <col min="8" max="8" width="14.5" style="497" customWidth="1"/>
    <col min="9" max="9" width="6.5" style="497" customWidth="1"/>
    <col min="10" max="10" width="15.5" style="498" customWidth="1"/>
    <col min="11" max="11" width="11.83203125" style="497" customWidth="1"/>
    <col min="12" max="13" width="9.1640625" style="497"/>
    <col min="14" max="14" width="12.1640625" style="497" customWidth="1"/>
    <col min="15" max="16384" width="9.1640625" style="497"/>
  </cols>
  <sheetData>
    <row r="1" spans="1:17" ht="15.75" customHeight="1">
      <c r="A1" s="499"/>
      <c r="B1" s="499"/>
      <c r="C1" s="499"/>
      <c r="D1" s="499"/>
      <c r="E1" s="499"/>
      <c r="F1" s="499"/>
      <c r="G1" s="499"/>
      <c r="H1" s="499"/>
      <c r="I1" s="499"/>
      <c r="J1" s="500"/>
      <c r="K1" s="499"/>
      <c r="L1" s="499"/>
      <c r="M1" s="499"/>
      <c r="N1" s="499"/>
      <c r="O1" s="501"/>
      <c r="P1" s="501"/>
      <c r="Q1" s="501"/>
    </row>
    <row r="2" spans="1:17" ht="15.75" customHeight="1">
      <c r="A2" s="499"/>
      <c r="B2" s="499"/>
      <c r="C2" s="499"/>
      <c r="D2" s="499"/>
      <c r="E2" s="499"/>
      <c r="F2" s="499"/>
      <c r="G2" s="499"/>
      <c r="H2" s="499"/>
      <c r="I2" s="499"/>
      <c r="J2" s="500"/>
      <c r="K2" s="499"/>
      <c r="L2" s="499"/>
      <c r="M2" s="499"/>
      <c r="N2" s="499"/>
      <c r="O2" s="501"/>
      <c r="P2" s="501"/>
      <c r="Q2" s="501"/>
    </row>
    <row r="3" spans="1:17" ht="15.75" customHeight="1">
      <c r="A3" s="499"/>
      <c r="B3" s="499"/>
      <c r="C3" s="499"/>
      <c r="D3" s="499"/>
      <c r="E3" s="499"/>
      <c r="F3" s="499"/>
      <c r="G3" s="499"/>
      <c r="H3" s="499"/>
      <c r="I3" s="499"/>
      <c r="J3" s="500"/>
      <c r="K3" s="499"/>
      <c r="L3" s="499"/>
      <c r="M3" s="499"/>
      <c r="N3" s="499"/>
      <c r="O3" s="501"/>
      <c r="P3" s="501"/>
      <c r="Q3" s="501"/>
    </row>
    <row r="4" spans="1:17" ht="24" customHeight="1">
      <c r="A4" s="502" t="s">
        <v>76</v>
      </c>
      <c r="B4" s="499"/>
      <c r="C4" s="499"/>
      <c r="D4" s="499"/>
      <c r="E4" s="499"/>
      <c r="F4" s="499"/>
      <c r="G4" s="499"/>
      <c r="H4" s="499"/>
      <c r="I4" s="499"/>
      <c r="J4" s="500"/>
      <c r="K4" s="499"/>
      <c r="L4" s="499"/>
      <c r="M4" s="499"/>
      <c r="N4" s="499"/>
      <c r="O4" s="501"/>
      <c r="P4" s="501"/>
      <c r="Q4" s="501"/>
    </row>
    <row r="5" spans="1:17" ht="15.75" customHeight="1">
      <c r="A5" s="499"/>
      <c r="B5" s="499"/>
      <c r="C5" s="499"/>
      <c r="D5" s="499"/>
      <c r="E5" s="499"/>
      <c r="F5" s="499"/>
      <c r="G5" s="499"/>
      <c r="H5" s="499"/>
      <c r="I5" s="499"/>
      <c r="J5" s="500"/>
      <c r="K5" s="499"/>
      <c r="L5" s="499"/>
      <c r="M5" s="499"/>
      <c r="N5" s="499"/>
      <c r="O5" s="501"/>
      <c r="P5" s="501"/>
      <c r="Q5" s="501"/>
    </row>
    <row r="6" spans="1:17" ht="21.75" customHeight="1">
      <c r="A6" s="1301" t="s">
        <v>1</v>
      </c>
      <c r="B6" s="1302" t="s">
        <v>68</v>
      </c>
      <c r="C6" s="1302" t="s">
        <v>77</v>
      </c>
      <c r="D6" s="1302" t="s">
        <v>78</v>
      </c>
      <c r="E6" s="1302" t="s">
        <v>79</v>
      </c>
      <c r="F6" s="1302" t="s">
        <v>6</v>
      </c>
      <c r="G6" s="1302" t="s">
        <v>80</v>
      </c>
      <c r="H6" s="1302" t="s">
        <v>81</v>
      </c>
      <c r="I6" s="1303" t="s">
        <v>82</v>
      </c>
      <c r="J6" s="1304" t="s">
        <v>83</v>
      </c>
      <c r="K6" s="499" t="e">
        <f>#VALUE!</f>
        <v>#VALUE!</v>
      </c>
      <c r="L6" s="499"/>
      <c r="M6" s="499"/>
      <c r="N6" s="499"/>
      <c r="O6" s="501"/>
      <c r="P6" s="501"/>
      <c r="Q6" s="501"/>
    </row>
    <row r="7" spans="1:17" ht="7.5" customHeight="1">
      <c r="A7" s="499"/>
      <c r="B7" s="499"/>
      <c r="C7" s="499"/>
      <c r="D7" s="499"/>
      <c r="E7" s="499"/>
      <c r="F7" s="499"/>
      <c r="G7" s="499"/>
      <c r="H7" s="499"/>
      <c r="I7" s="499"/>
      <c r="J7" s="500"/>
      <c r="K7" s="499"/>
      <c r="L7" s="499"/>
      <c r="M7" s="499"/>
      <c r="N7" s="499"/>
      <c r="O7" s="501"/>
      <c r="P7" s="501"/>
      <c r="Q7" s="501"/>
    </row>
    <row r="8" spans="1:17" ht="7.5" customHeight="1">
      <c r="A8" s="508"/>
      <c r="B8" s="509"/>
      <c r="C8" s="509"/>
      <c r="D8" s="509"/>
      <c r="E8" s="509"/>
      <c r="F8" s="509"/>
      <c r="G8" s="509"/>
      <c r="H8" s="509"/>
      <c r="I8" s="510"/>
      <c r="J8" s="500"/>
      <c r="K8" s="499"/>
      <c r="L8" s="499"/>
      <c r="M8" s="499"/>
      <c r="N8" s="499"/>
      <c r="O8" s="501"/>
      <c r="P8" s="501"/>
      <c r="Q8" s="501"/>
    </row>
    <row r="9" spans="1:17" ht="15.75" customHeight="1">
      <c r="A9" s="1305" t="s">
        <v>84</v>
      </c>
      <c r="B9" s="1306" t="s">
        <v>276</v>
      </c>
      <c r="C9" s="1307"/>
      <c r="D9" s="1307"/>
      <c r="E9" s="1308"/>
      <c r="F9" s="1308"/>
      <c r="G9" s="1308"/>
      <c r="H9" s="1308"/>
      <c r="I9" s="515"/>
      <c r="J9" s="500"/>
      <c r="K9" s="499"/>
      <c r="L9" s="499"/>
      <c r="M9" s="499"/>
      <c r="N9" s="499"/>
      <c r="O9" s="501"/>
      <c r="P9" s="501"/>
      <c r="Q9" s="501"/>
    </row>
    <row r="10" spans="1:17" ht="27.75" customHeight="1">
      <c r="A10" s="518">
        <v>1</v>
      </c>
      <c r="B10" s="1309" t="s">
        <v>86</v>
      </c>
      <c r="C10" s="514">
        <v>25.5</v>
      </c>
      <c r="D10" s="514">
        <v>1.5</v>
      </c>
      <c r="E10" s="514"/>
      <c r="F10" s="514"/>
      <c r="G10" s="514"/>
      <c r="H10" s="513">
        <f>ROUNDUP((C10*D10),0.5)</f>
        <v>39</v>
      </c>
      <c r="I10" s="515"/>
      <c r="J10" s="516"/>
      <c r="K10" s="499"/>
      <c r="L10" s="499"/>
      <c r="M10" s="499"/>
      <c r="N10" s="499"/>
      <c r="O10" s="501"/>
      <c r="P10" s="501"/>
      <c r="Q10" s="501"/>
    </row>
    <row r="11" spans="1:17" ht="15.75" customHeight="1">
      <c r="A11" s="518"/>
      <c r="B11" s="1310" t="s">
        <v>87</v>
      </c>
      <c r="C11" s="514">
        <v>5</v>
      </c>
      <c r="D11" s="514">
        <v>1.5</v>
      </c>
      <c r="E11" s="514"/>
      <c r="F11" s="514"/>
      <c r="G11" s="514">
        <v>2</v>
      </c>
      <c r="H11" s="513">
        <f>ROUNDUP((C11*D11*G11),0.5)</f>
        <v>15</v>
      </c>
      <c r="I11" s="1311"/>
      <c r="J11" s="516"/>
      <c r="K11" s="499"/>
      <c r="L11" s="499"/>
      <c r="M11" s="499"/>
      <c r="N11" s="499"/>
      <c r="O11" s="501"/>
      <c r="P11" s="501"/>
      <c r="Q11" s="501"/>
    </row>
    <row r="12" spans="1:17" ht="15.75" customHeight="1">
      <c r="A12" s="518"/>
      <c r="B12" s="1310" t="s">
        <v>88</v>
      </c>
      <c r="C12" s="514">
        <v>4.5</v>
      </c>
      <c r="D12" s="514">
        <v>3</v>
      </c>
      <c r="E12" s="514"/>
      <c r="F12" s="514"/>
      <c r="G12" s="514"/>
      <c r="H12" s="514">
        <f>ROUNDUP((C12*D12),0.5)</f>
        <v>14</v>
      </c>
      <c r="I12" s="1311"/>
      <c r="J12" s="516"/>
      <c r="K12" s="499"/>
      <c r="L12" s="499"/>
      <c r="M12" s="499"/>
      <c r="N12" s="499"/>
      <c r="O12" s="501"/>
      <c r="P12" s="501"/>
      <c r="Q12" s="501"/>
    </row>
    <row r="13" spans="1:17" ht="15.75" customHeight="1">
      <c r="A13" s="518"/>
      <c r="B13" s="1310" t="s">
        <v>88</v>
      </c>
      <c r="C13" s="1312">
        <v>6</v>
      </c>
      <c r="D13" s="1312">
        <v>3</v>
      </c>
      <c r="E13" s="514"/>
      <c r="F13" s="514"/>
      <c r="G13" s="514">
        <v>2</v>
      </c>
      <c r="H13" s="1313">
        <f>ROUNDUP((C13*D13*G13),0.5)</f>
        <v>36</v>
      </c>
      <c r="I13" s="1314"/>
      <c r="J13" s="516"/>
      <c r="K13" s="499"/>
      <c r="L13" s="499"/>
      <c r="M13" s="499"/>
      <c r="N13" s="499"/>
      <c r="O13" s="501"/>
      <c r="P13" s="501"/>
      <c r="Q13" s="501"/>
    </row>
    <row r="14" spans="1:17" ht="15.75" customHeight="1">
      <c r="A14" s="518"/>
      <c r="B14" s="1309"/>
      <c r="C14" s="1312"/>
      <c r="D14" s="1312"/>
      <c r="E14" s="514"/>
      <c r="F14" s="514"/>
      <c r="G14" s="514"/>
      <c r="H14" s="527">
        <f>ROUNDUP((SUM(H10:H13)),5)</f>
        <v>104</v>
      </c>
      <c r="I14" s="523" t="s">
        <v>89</v>
      </c>
      <c r="J14" s="1315">
        <f t="shared" ref="J14:J21" si="0">ROUND((H14),2)</f>
        <v>104</v>
      </c>
      <c r="K14" s="499"/>
      <c r="L14" s="499"/>
      <c r="M14" s="499"/>
      <c r="N14" s="499"/>
      <c r="O14" s="501"/>
      <c r="P14" s="501"/>
      <c r="Q14" s="501"/>
    </row>
    <row r="15" spans="1:17" ht="15.75" customHeight="1">
      <c r="A15" s="518">
        <f>A10+1</f>
        <v>2</v>
      </c>
      <c r="B15" s="336" t="s">
        <v>90</v>
      </c>
      <c r="C15" s="513"/>
      <c r="D15" s="513"/>
      <c r="E15" s="514"/>
      <c r="F15" s="514"/>
      <c r="G15" s="514"/>
      <c r="H15" s="1308"/>
      <c r="I15" s="515"/>
      <c r="J15" s="1315">
        <f t="shared" si="0"/>
        <v>0</v>
      </c>
      <c r="K15" s="499"/>
      <c r="L15" s="499"/>
      <c r="M15" s="499"/>
      <c r="N15" s="499"/>
      <c r="O15" s="501"/>
      <c r="P15" s="501"/>
      <c r="Q15" s="501"/>
    </row>
    <row r="16" spans="1:17" ht="15.75" customHeight="1">
      <c r="A16" s="1316" t="s">
        <v>91</v>
      </c>
      <c r="B16" s="1309" t="s">
        <v>1652</v>
      </c>
      <c r="C16" s="513"/>
      <c r="D16" s="513"/>
      <c r="E16" s="514"/>
      <c r="F16" s="514"/>
      <c r="G16" s="514"/>
      <c r="H16" s="1308"/>
      <c r="I16" s="515"/>
      <c r="J16" s="1315">
        <f t="shared" si="0"/>
        <v>0</v>
      </c>
      <c r="K16" s="499"/>
      <c r="L16" s="499"/>
      <c r="M16" s="499"/>
      <c r="N16" s="499"/>
      <c r="O16" s="501"/>
      <c r="P16" s="501"/>
      <c r="Q16" s="501"/>
    </row>
    <row r="17" spans="1:18" ht="15.75" customHeight="1">
      <c r="A17" s="522" t="s">
        <v>95</v>
      </c>
      <c r="B17" s="336" t="s">
        <v>96</v>
      </c>
      <c r="C17" s="513">
        <v>0.6</v>
      </c>
      <c r="D17" s="514">
        <v>0.15</v>
      </c>
      <c r="E17" s="514"/>
      <c r="F17" s="514">
        <v>4</v>
      </c>
      <c r="G17" s="514">
        <v>28</v>
      </c>
      <c r="H17" s="513">
        <f>ROUNDUP((C17*D17*F17*G17),5)</f>
        <v>10.08</v>
      </c>
      <c r="I17" s="515" t="s">
        <v>89</v>
      </c>
      <c r="J17" s="1315">
        <f t="shared" si="0"/>
        <v>10.08</v>
      </c>
      <c r="K17" s="499"/>
      <c r="L17" s="499"/>
      <c r="M17" s="499"/>
      <c r="N17" s="499"/>
      <c r="O17" s="501"/>
      <c r="P17" s="501"/>
      <c r="Q17" s="501"/>
    </row>
    <row r="18" spans="1:18" ht="15.75" customHeight="1">
      <c r="A18" s="522" t="s">
        <v>98</v>
      </c>
      <c r="B18" s="336" t="s">
        <v>99</v>
      </c>
      <c r="C18" s="1317">
        <f>((0.52+0.07)*2)+0.05</f>
        <v>1.2300000000000002</v>
      </c>
      <c r="D18" s="514">
        <v>1.04</v>
      </c>
      <c r="E18" s="514">
        <v>4</v>
      </c>
      <c r="F18" s="514">
        <v>2</v>
      </c>
      <c r="G18" s="514">
        <f>G17</f>
        <v>28</v>
      </c>
      <c r="H18" s="513">
        <f>C18*D18*E18*F18*G18</f>
        <v>286.5408000000001</v>
      </c>
      <c r="I18" s="515" t="s">
        <v>100</v>
      </c>
      <c r="J18" s="1315">
        <f t="shared" si="0"/>
        <v>286.54000000000002</v>
      </c>
      <c r="K18" s="499"/>
      <c r="L18" s="499"/>
      <c r="M18" s="499"/>
      <c r="N18" s="499"/>
      <c r="O18" s="501"/>
      <c r="P18" s="501"/>
      <c r="Q18" s="501"/>
    </row>
    <row r="19" spans="1:18" ht="15.75" customHeight="1">
      <c r="A19" s="522" t="s">
        <v>101</v>
      </c>
      <c r="B19" s="336" t="s">
        <v>102</v>
      </c>
      <c r="C19" s="513">
        <v>0.6</v>
      </c>
      <c r="D19" s="513">
        <v>0.6</v>
      </c>
      <c r="E19" s="514">
        <v>0.15</v>
      </c>
      <c r="F19" s="514"/>
      <c r="G19" s="514">
        <f>G18</f>
        <v>28</v>
      </c>
      <c r="H19" s="513">
        <f>ROUNDUP((C19*D19*E19*G19),5)</f>
        <v>1.512</v>
      </c>
      <c r="I19" s="515" t="s">
        <v>103</v>
      </c>
      <c r="J19" s="1315">
        <f t="shared" si="0"/>
        <v>1.51</v>
      </c>
      <c r="K19" s="499"/>
      <c r="L19" s="499"/>
      <c r="M19" s="499"/>
      <c r="N19" s="499"/>
      <c r="O19" s="501"/>
      <c r="P19" s="501"/>
      <c r="Q19" s="501"/>
    </row>
    <row r="20" spans="1:18" ht="15.75" customHeight="1">
      <c r="A20" s="1316" t="s">
        <v>104</v>
      </c>
      <c r="B20" s="336" t="s">
        <v>105</v>
      </c>
      <c r="C20" s="513"/>
      <c r="D20" s="513"/>
      <c r="E20" s="514"/>
      <c r="F20" s="514"/>
      <c r="G20" s="514"/>
      <c r="H20" s="1308"/>
      <c r="I20" s="515"/>
      <c r="J20" s="1315">
        <f t="shared" si="0"/>
        <v>0</v>
      </c>
      <c r="K20" s="499"/>
      <c r="L20" s="499"/>
      <c r="M20" s="499"/>
      <c r="N20" s="499"/>
      <c r="O20" s="501"/>
      <c r="P20" s="501"/>
      <c r="Q20" s="501"/>
    </row>
    <row r="21" spans="1:18" ht="15.75" customHeight="1">
      <c r="A21" s="522" t="s">
        <v>95</v>
      </c>
      <c r="B21" s="336" t="s">
        <v>106</v>
      </c>
      <c r="C21" s="513"/>
      <c r="D21" s="513"/>
      <c r="E21" s="514"/>
      <c r="F21" s="524" t="s">
        <v>107</v>
      </c>
      <c r="G21" s="524"/>
      <c r="H21" s="1308"/>
      <c r="I21" s="515"/>
      <c r="J21" s="1315">
        <f t="shared" si="0"/>
        <v>0</v>
      </c>
      <c r="K21" s="499" t="s">
        <v>108</v>
      </c>
      <c r="L21" s="499" t="s">
        <v>109</v>
      </c>
      <c r="M21" s="499" t="s">
        <v>110</v>
      </c>
      <c r="N21" s="499"/>
      <c r="O21" s="501"/>
      <c r="P21" s="501"/>
      <c r="Q21" s="501"/>
    </row>
    <row r="22" spans="1:18" ht="15.75" customHeight="1">
      <c r="A22" s="522"/>
      <c r="B22" s="525">
        <v>1</v>
      </c>
      <c r="C22" s="513"/>
      <c r="D22" s="513">
        <v>0.15</v>
      </c>
      <c r="E22" s="1318">
        <v>4.2830000000000004</v>
      </c>
      <c r="F22" s="514">
        <v>4</v>
      </c>
      <c r="G22" s="514">
        <v>2</v>
      </c>
      <c r="H22" s="1317">
        <f t="shared" ref="H22:H35" si="1">D22*E22*F22*G22</f>
        <v>5.1396000000000006</v>
      </c>
      <c r="I22" s="515"/>
      <c r="J22" s="1315"/>
      <c r="K22" s="1319">
        <v>4.1609999999999996</v>
      </c>
      <c r="L22" s="1319">
        <v>4.1609999999999996</v>
      </c>
      <c r="M22" s="1319">
        <v>4.1609999999999996</v>
      </c>
      <c r="N22" s="531"/>
      <c r="O22" s="501"/>
      <c r="P22" s="501"/>
      <c r="Q22" s="501"/>
      <c r="R22" s="498">
        <v>5</v>
      </c>
    </row>
    <row r="23" spans="1:18" ht="15.75" customHeight="1">
      <c r="A23" s="522"/>
      <c r="B23" s="336">
        <v>2</v>
      </c>
      <c r="C23" s="513"/>
      <c r="D23" s="513">
        <f t="shared" ref="D23:D35" si="2">D22</f>
        <v>0.15</v>
      </c>
      <c r="E23" s="1318">
        <v>4.2039999999999997</v>
      </c>
      <c r="F23" s="514">
        <f t="shared" ref="F23:G26" si="3">F22</f>
        <v>4</v>
      </c>
      <c r="G23" s="514">
        <f t="shared" si="3"/>
        <v>2</v>
      </c>
      <c r="H23" s="1317">
        <f t="shared" si="1"/>
        <v>5.0447999999999995</v>
      </c>
      <c r="I23" s="515"/>
      <c r="J23" s="1315"/>
      <c r="K23" s="1319">
        <v>4.0709999999999997</v>
      </c>
      <c r="L23" s="1319">
        <v>4.0709999999999997</v>
      </c>
      <c r="M23" s="1319">
        <v>4.0709999999999997</v>
      </c>
      <c r="N23" s="531"/>
      <c r="O23" s="501"/>
      <c r="P23" s="501"/>
      <c r="Q23" s="501"/>
    </row>
    <row r="24" spans="1:18" ht="15.75" customHeight="1">
      <c r="A24" s="522"/>
      <c r="B24" s="336">
        <v>3</v>
      </c>
      <c r="C24" s="513"/>
      <c r="D24" s="513">
        <f t="shared" si="2"/>
        <v>0.15</v>
      </c>
      <c r="E24" s="1318">
        <v>4.1189999999999998</v>
      </c>
      <c r="F24" s="514">
        <f t="shared" si="3"/>
        <v>4</v>
      </c>
      <c r="G24" s="514">
        <f t="shared" si="3"/>
        <v>2</v>
      </c>
      <c r="H24" s="1317">
        <f t="shared" si="1"/>
        <v>4.9427999999999992</v>
      </c>
      <c r="I24" s="515"/>
      <c r="J24" s="1315"/>
      <c r="K24" s="1319">
        <v>3.98</v>
      </c>
      <c r="L24" s="1319">
        <v>3.98</v>
      </c>
      <c r="M24" s="1319">
        <v>3.98</v>
      </c>
      <c r="N24" s="531"/>
      <c r="O24" s="501"/>
      <c r="P24" s="501"/>
      <c r="Q24" s="501"/>
    </row>
    <row r="25" spans="1:18" ht="15.75" customHeight="1">
      <c r="A25" s="522"/>
      <c r="B25" s="336">
        <f>B24+1</f>
        <v>4</v>
      </c>
      <c r="C25" s="513"/>
      <c r="D25" s="513">
        <f t="shared" si="2"/>
        <v>0.15</v>
      </c>
      <c r="E25" s="1318">
        <v>4.0279999999999996</v>
      </c>
      <c r="F25" s="514">
        <f t="shared" si="3"/>
        <v>4</v>
      </c>
      <c r="G25" s="514">
        <f t="shared" si="3"/>
        <v>2</v>
      </c>
      <c r="H25" s="1317">
        <f t="shared" si="1"/>
        <v>4.8335999999999997</v>
      </c>
      <c r="I25" s="515"/>
      <c r="J25" s="1315"/>
      <c r="K25" s="1319">
        <v>3.8730000000000002</v>
      </c>
      <c r="L25" s="1319">
        <v>3.8730000000000002</v>
      </c>
      <c r="M25" s="1319">
        <v>3.8730000000000002</v>
      </c>
      <c r="N25" s="531"/>
      <c r="O25" s="501"/>
      <c r="P25" s="501"/>
      <c r="Q25" s="501"/>
    </row>
    <row r="26" spans="1:18" ht="15.75" customHeight="1">
      <c r="A26" s="1320" t="s">
        <v>1653</v>
      </c>
      <c r="B26" s="336">
        <f>B25+1</f>
        <v>5</v>
      </c>
      <c r="C26" s="513"/>
      <c r="D26" s="513">
        <f t="shared" si="2"/>
        <v>0.15</v>
      </c>
      <c r="E26" s="1318">
        <v>3.9380000000000002</v>
      </c>
      <c r="F26" s="514">
        <f t="shared" si="3"/>
        <v>4</v>
      </c>
      <c r="G26" s="514">
        <f t="shared" si="3"/>
        <v>2</v>
      </c>
      <c r="H26" s="1317">
        <f t="shared" si="1"/>
        <v>4.7256</v>
      </c>
      <c r="I26" s="515"/>
      <c r="J26" s="1315"/>
      <c r="K26" s="1319">
        <v>3.7549999999999999</v>
      </c>
      <c r="L26" s="1319">
        <v>3.7549999999999999</v>
      </c>
      <c r="M26" s="1319">
        <v>3.7549999999999999</v>
      </c>
      <c r="N26" s="531"/>
      <c r="O26" s="501"/>
      <c r="P26" s="501"/>
      <c r="Q26" s="501"/>
      <c r="R26" s="497">
        <v>4.75</v>
      </c>
    </row>
    <row r="27" spans="1:18" ht="15.75" customHeight="1">
      <c r="A27" s="522"/>
      <c r="B27" s="1321">
        <v>8</v>
      </c>
      <c r="C27" s="513"/>
      <c r="D27" s="513">
        <f t="shared" si="2"/>
        <v>0.15</v>
      </c>
      <c r="E27" s="1318">
        <v>0.95299999999999996</v>
      </c>
      <c r="F27" s="514">
        <f t="shared" ref="F27:F35" si="4">F26</f>
        <v>4</v>
      </c>
      <c r="G27" s="514">
        <v>2</v>
      </c>
      <c r="H27" s="1317">
        <f t="shared" si="1"/>
        <v>1.1435999999999999</v>
      </c>
      <c r="I27" s="515"/>
      <c r="J27" s="1315"/>
      <c r="K27" s="1319">
        <v>0.872</v>
      </c>
      <c r="L27" s="1319">
        <v>0.872</v>
      </c>
      <c r="M27" s="1319">
        <v>0.872</v>
      </c>
      <c r="N27" s="531"/>
      <c r="O27" s="501"/>
      <c r="P27" s="501"/>
      <c r="Q27" s="501"/>
    </row>
    <row r="28" spans="1:18" ht="15.75" customHeight="1">
      <c r="A28" s="522"/>
      <c r="B28" s="1321">
        <f>B27+1</f>
        <v>9</v>
      </c>
      <c r="C28" s="513"/>
      <c r="D28" s="513">
        <f t="shared" si="2"/>
        <v>0.15</v>
      </c>
      <c r="E28" s="1318">
        <v>0.89</v>
      </c>
      <c r="F28" s="514">
        <f t="shared" si="4"/>
        <v>4</v>
      </c>
      <c r="G28" s="514">
        <f t="shared" ref="G28:G34" si="5">G27</f>
        <v>2</v>
      </c>
      <c r="H28" s="1317">
        <f t="shared" si="1"/>
        <v>1.0680000000000001</v>
      </c>
      <c r="I28" s="515"/>
      <c r="J28" s="1315"/>
      <c r="K28" s="1319">
        <v>0.82</v>
      </c>
      <c r="L28" s="1319">
        <v>0.82</v>
      </c>
      <c r="M28" s="1319">
        <v>0.82</v>
      </c>
      <c r="N28" s="531"/>
      <c r="O28" s="501"/>
      <c r="P28" s="501"/>
      <c r="Q28" s="501"/>
    </row>
    <row r="29" spans="1:18" ht="15.75" customHeight="1">
      <c r="A29" s="522"/>
      <c r="B29" s="1321">
        <f>B28+1</f>
        <v>10</v>
      </c>
      <c r="C29" s="513"/>
      <c r="D29" s="513">
        <f t="shared" si="2"/>
        <v>0.15</v>
      </c>
      <c r="E29" s="1318">
        <v>0.84</v>
      </c>
      <c r="F29" s="514">
        <f t="shared" si="4"/>
        <v>4</v>
      </c>
      <c r="G29" s="514">
        <f t="shared" si="5"/>
        <v>2</v>
      </c>
      <c r="H29" s="1317">
        <f t="shared" si="1"/>
        <v>1.008</v>
      </c>
      <c r="I29" s="515"/>
      <c r="J29" s="1315"/>
      <c r="K29" s="1319">
        <v>0.75</v>
      </c>
      <c r="L29" s="1319">
        <v>0.75</v>
      </c>
      <c r="M29" s="1319">
        <v>0.75</v>
      </c>
      <c r="N29" s="531"/>
      <c r="O29" s="501"/>
      <c r="P29" s="501"/>
      <c r="Q29" s="501"/>
    </row>
    <row r="30" spans="1:18" ht="15.75" customHeight="1">
      <c r="A30" s="522"/>
      <c r="B30" s="1321">
        <f>B29+1</f>
        <v>11</v>
      </c>
      <c r="C30" s="513"/>
      <c r="D30" s="513">
        <f t="shared" si="2"/>
        <v>0.15</v>
      </c>
      <c r="E30" s="1318">
        <v>0.79600000000000004</v>
      </c>
      <c r="F30" s="514">
        <f t="shared" si="4"/>
        <v>4</v>
      </c>
      <c r="G30" s="514">
        <f t="shared" si="5"/>
        <v>2</v>
      </c>
      <c r="H30" s="1317">
        <f t="shared" si="1"/>
        <v>0.95520000000000005</v>
      </c>
      <c r="I30" s="515"/>
      <c r="J30" s="1315"/>
      <c r="K30" s="1319">
        <v>0.71499999999999997</v>
      </c>
      <c r="L30" s="1319">
        <v>0.71499999999999997</v>
      </c>
      <c r="M30" s="1319">
        <v>0.71499999999999997</v>
      </c>
      <c r="N30" s="531"/>
      <c r="O30" s="501"/>
      <c r="P30" s="501"/>
      <c r="Q30" s="501"/>
    </row>
    <row r="31" spans="1:18" ht="15.75" customHeight="1">
      <c r="A31" s="522"/>
      <c r="B31" s="336">
        <v>14</v>
      </c>
      <c r="C31" s="513"/>
      <c r="D31" s="513">
        <f t="shared" si="2"/>
        <v>0.15</v>
      </c>
      <c r="E31" s="1318">
        <v>3.407</v>
      </c>
      <c r="F31" s="514">
        <f t="shared" si="4"/>
        <v>4</v>
      </c>
      <c r="G31" s="514">
        <f t="shared" si="5"/>
        <v>2</v>
      </c>
      <c r="H31" s="1317">
        <f t="shared" si="1"/>
        <v>4.0884</v>
      </c>
      <c r="I31" s="515"/>
      <c r="J31" s="1315"/>
      <c r="K31" s="1319">
        <v>3.403</v>
      </c>
      <c r="L31" s="1319">
        <v>3.403</v>
      </c>
      <c r="M31" s="1319">
        <v>3.403</v>
      </c>
      <c r="N31" s="531"/>
      <c r="O31" s="501"/>
      <c r="P31" s="501"/>
      <c r="Q31" s="501"/>
      <c r="R31" s="497">
        <v>4.5</v>
      </c>
    </row>
    <row r="32" spans="1:18" ht="15.75" customHeight="1">
      <c r="A32" s="522"/>
      <c r="B32" s="336">
        <f>B31+1</f>
        <v>15</v>
      </c>
      <c r="C32" s="513"/>
      <c r="D32" s="513">
        <f t="shared" si="2"/>
        <v>0.15</v>
      </c>
      <c r="E32" s="1318">
        <v>3.407</v>
      </c>
      <c r="F32" s="514">
        <f t="shared" si="4"/>
        <v>4</v>
      </c>
      <c r="G32" s="514">
        <f t="shared" si="5"/>
        <v>2</v>
      </c>
      <c r="H32" s="1317">
        <f t="shared" si="1"/>
        <v>4.0884</v>
      </c>
      <c r="I32" s="515"/>
      <c r="J32" s="1315"/>
      <c r="K32" s="1319">
        <v>3.3959999999999999</v>
      </c>
      <c r="L32" s="1319">
        <v>3.3959999999999999</v>
      </c>
      <c r="M32" s="1319">
        <v>3.3959999999999999</v>
      </c>
      <c r="N32" s="531"/>
      <c r="O32" s="501"/>
      <c r="P32" s="501"/>
      <c r="Q32" s="501"/>
    </row>
    <row r="33" spans="1:17" ht="15.75" customHeight="1">
      <c r="A33" s="522"/>
      <c r="B33" s="336">
        <f>B32+1</f>
        <v>16</v>
      </c>
      <c r="C33" s="513"/>
      <c r="D33" s="513">
        <f t="shared" si="2"/>
        <v>0.15</v>
      </c>
      <c r="E33" s="1318">
        <v>3.4</v>
      </c>
      <c r="F33" s="514">
        <f t="shared" si="4"/>
        <v>4</v>
      </c>
      <c r="G33" s="514">
        <f t="shared" si="5"/>
        <v>2</v>
      </c>
      <c r="H33" s="1317">
        <f t="shared" si="1"/>
        <v>4.08</v>
      </c>
      <c r="I33" s="515"/>
      <c r="J33" s="1315"/>
      <c r="K33" s="1319">
        <v>3.3889999999999998</v>
      </c>
      <c r="L33" s="1319">
        <v>3.3889999999999998</v>
      </c>
      <c r="M33" s="1319">
        <v>3.3889999999999998</v>
      </c>
      <c r="N33" s="531"/>
      <c r="O33" s="501"/>
      <c r="P33" s="501"/>
      <c r="Q33" s="501"/>
    </row>
    <row r="34" spans="1:17" ht="15.75" customHeight="1">
      <c r="A34" s="522"/>
      <c r="B34" s="336">
        <f>B33+1</f>
        <v>17</v>
      </c>
      <c r="C34" s="513"/>
      <c r="D34" s="513">
        <f t="shared" si="2"/>
        <v>0.15</v>
      </c>
      <c r="E34" s="1318">
        <v>3.3929999999999998</v>
      </c>
      <c r="F34" s="514">
        <f t="shared" si="4"/>
        <v>4</v>
      </c>
      <c r="G34" s="514">
        <f t="shared" si="5"/>
        <v>2</v>
      </c>
      <c r="H34" s="1317">
        <f t="shared" si="1"/>
        <v>4.0715999999999992</v>
      </c>
      <c r="I34" s="515"/>
      <c r="J34" s="1315"/>
      <c r="K34" s="1319">
        <v>3.391</v>
      </c>
      <c r="L34" s="1319">
        <v>3.391</v>
      </c>
      <c r="M34" s="1319">
        <v>3.391</v>
      </c>
      <c r="N34" s="531"/>
      <c r="O34" s="501"/>
      <c r="P34" s="501"/>
      <c r="Q34" s="501"/>
    </row>
    <row r="35" spans="1:17" ht="15.75" customHeight="1">
      <c r="A35" s="522"/>
      <c r="B35" s="336">
        <f>B34+1</f>
        <v>18</v>
      </c>
      <c r="C35" s="513"/>
      <c r="D35" s="513">
        <f t="shared" si="2"/>
        <v>0.15</v>
      </c>
      <c r="E35" s="1318">
        <v>3.3860000000000001</v>
      </c>
      <c r="F35" s="514">
        <f t="shared" si="4"/>
        <v>4</v>
      </c>
      <c r="G35" s="514">
        <v>2</v>
      </c>
      <c r="H35" s="1317">
        <f t="shared" si="1"/>
        <v>4.0632000000000001</v>
      </c>
      <c r="I35" s="515"/>
      <c r="J35" s="1315"/>
      <c r="K35" s="1319">
        <v>3.4020000000000001</v>
      </c>
      <c r="L35" s="1319">
        <v>3.4020000000000001</v>
      </c>
      <c r="M35" s="1319">
        <v>3.4020000000000001</v>
      </c>
      <c r="N35" s="531"/>
      <c r="O35" s="501"/>
      <c r="P35" s="501"/>
      <c r="Q35" s="501"/>
    </row>
    <row r="36" spans="1:17" ht="15.75" customHeight="1">
      <c r="A36" s="1322"/>
      <c r="B36" s="340"/>
      <c r="C36" s="514"/>
      <c r="D36" s="514"/>
      <c r="E36" s="514"/>
      <c r="F36" s="514"/>
      <c r="G36" s="514"/>
      <c r="H36" s="1323">
        <f>ROUNDUP((SUM(H22:H35)),5)</f>
        <v>49.252800000000001</v>
      </c>
      <c r="I36" s="523" t="s">
        <v>89</v>
      </c>
      <c r="J36" s="1315">
        <f>ROUND((H36),2)</f>
        <v>49.25</v>
      </c>
      <c r="K36" s="499"/>
      <c r="L36" s="499"/>
      <c r="M36" s="499"/>
      <c r="N36" s="499"/>
      <c r="O36" s="501"/>
      <c r="P36" s="501"/>
      <c r="Q36" s="501"/>
    </row>
    <row r="37" spans="1:17" ht="15.75" customHeight="1">
      <c r="A37" s="522" t="s">
        <v>98</v>
      </c>
      <c r="B37" s="336" t="s">
        <v>112</v>
      </c>
      <c r="C37" s="513"/>
      <c r="D37" s="513"/>
      <c r="E37" s="514"/>
      <c r="F37" s="514"/>
      <c r="G37" s="514"/>
      <c r="H37" s="1308"/>
      <c r="I37" s="515"/>
      <c r="J37" s="1315"/>
      <c r="K37" s="499"/>
      <c r="L37" s="499"/>
      <c r="M37" s="499"/>
      <c r="N37" s="499"/>
      <c r="O37" s="501"/>
      <c r="P37" s="501"/>
      <c r="Q37" s="501"/>
    </row>
    <row r="38" spans="1:17" ht="15.75" customHeight="1">
      <c r="A38" s="522"/>
      <c r="B38" s="525" t="s">
        <v>113</v>
      </c>
      <c r="C38" s="514">
        <v>0.2</v>
      </c>
      <c r="D38" s="513"/>
      <c r="E38" s="514"/>
      <c r="F38" s="514"/>
      <c r="G38" s="514"/>
      <c r="H38" s="520">
        <f>C38</f>
        <v>0.2</v>
      </c>
      <c r="I38" s="515"/>
      <c r="J38" s="1315"/>
      <c r="K38" s="499"/>
      <c r="L38" s="499"/>
      <c r="M38" s="499"/>
      <c r="N38" s="499"/>
      <c r="O38" s="501"/>
      <c r="P38" s="501"/>
      <c r="Q38" s="501"/>
    </row>
    <row r="39" spans="1:17" ht="15.75" customHeight="1">
      <c r="A39" s="522"/>
      <c r="B39" s="525" t="s">
        <v>114</v>
      </c>
      <c r="C39" s="514">
        <v>0.5</v>
      </c>
      <c r="D39" s="513"/>
      <c r="E39" s="514"/>
      <c r="F39" s="514"/>
      <c r="G39" s="514"/>
      <c r="H39" s="1324">
        <f>C39</f>
        <v>0.5</v>
      </c>
      <c r="I39" s="515"/>
      <c r="J39" s="1315"/>
      <c r="K39" s="499"/>
      <c r="L39" s="499"/>
      <c r="M39" s="499"/>
      <c r="N39" s="499"/>
      <c r="O39" s="501"/>
      <c r="P39" s="501"/>
      <c r="Q39" s="501"/>
    </row>
    <row r="40" spans="1:17" ht="15.75" customHeight="1">
      <c r="A40" s="522"/>
      <c r="B40" s="525"/>
      <c r="C40" s="514"/>
      <c r="D40" s="1325" t="s">
        <v>115</v>
      </c>
      <c r="E40" s="514"/>
      <c r="F40" s="514"/>
      <c r="G40" s="1326" t="s">
        <v>116</v>
      </c>
      <c r="H40" s="1323">
        <f>SUM(H38:H39)</f>
        <v>0.7</v>
      </c>
      <c r="I40" s="523" t="s">
        <v>117</v>
      </c>
      <c r="J40" s="1315">
        <f>ROUND((H40),2)</f>
        <v>0.7</v>
      </c>
      <c r="K40" s="499"/>
      <c r="L40" s="499"/>
      <c r="M40" s="499"/>
      <c r="N40" s="499"/>
      <c r="O40" s="501"/>
      <c r="P40" s="501"/>
      <c r="Q40" s="501"/>
    </row>
    <row r="41" spans="1:17" ht="15.75" customHeight="1">
      <c r="A41" s="522"/>
      <c r="B41" s="525">
        <f t="shared" ref="B41:B54" si="6">B22</f>
        <v>1</v>
      </c>
      <c r="C41" s="1327">
        <f t="shared" ref="C41:C54" si="7">E22</f>
        <v>4.2830000000000004</v>
      </c>
      <c r="D41" s="1328">
        <f t="shared" ref="D41:D54" si="8">H$40</f>
        <v>0.7</v>
      </c>
      <c r="E41" s="514">
        <v>1.04</v>
      </c>
      <c r="F41" s="514">
        <v>4</v>
      </c>
      <c r="G41" s="514">
        <v>2</v>
      </c>
      <c r="H41" s="520">
        <f t="shared" ref="H41:H54" si="9">(C41+D41)*E41*F41*G41</f>
        <v>41.458560000000006</v>
      </c>
      <c r="I41" s="515"/>
      <c r="J41" s="1315"/>
      <c r="K41" s="499"/>
      <c r="L41" s="499"/>
      <c r="M41" s="499"/>
      <c r="N41" s="499"/>
      <c r="O41" s="501"/>
      <c r="P41" s="501"/>
      <c r="Q41" s="501"/>
    </row>
    <row r="42" spans="1:17" ht="15.75" customHeight="1">
      <c r="A42" s="522"/>
      <c r="B42" s="525">
        <f t="shared" si="6"/>
        <v>2</v>
      </c>
      <c r="C42" s="1327">
        <f t="shared" si="7"/>
        <v>4.2039999999999997</v>
      </c>
      <c r="D42" s="1328">
        <f t="shared" si="8"/>
        <v>0.7</v>
      </c>
      <c r="E42" s="514">
        <f t="shared" ref="E42:E54" si="10">E41</f>
        <v>1.04</v>
      </c>
      <c r="F42" s="514">
        <f t="shared" ref="F42:F54" si="11">F41</f>
        <v>4</v>
      </c>
      <c r="G42" s="514">
        <f t="shared" ref="G42:G54" si="12">G41</f>
        <v>2</v>
      </c>
      <c r="H42" s="520">
        <f t="shared" si="9"/>
        <v>40.801279999999998</v>
      </c>
      <c r="I42" s="515"/>
      <c r="J42" s="1315"/>
      <c r="K42" s="499"/>
      <c r="L42" s="499"/>
      <c r="M42" s="499"/>
      <c r="N42" s="499"/>
      <c r="O42" s="501"/>
      <c r="P42" s="501"/>
      <c r="Q42" s="501"/>
    </row>
    <row r="43" spans="1:17" ht="15.75" customHeight="1">
      <c r="A43" s="522"/>
      <c r="B43" s="525">
        <f t="shared" si="6"/>
        <v>3</v>
      </c>
      <c r="C43" s="1327">
        <f t="shared" si="7"/>
        <v>4.1189999999999998</v>
      </c>
      <c r="D43" s="1328">
        <f t="shared" si="8"/>
        <v>0.7</v>
      </c>
      <c r="E43" s="514">
        <f t="shared" si="10"/>
        <v>1.04</v>
      </c>
      <c r="F43" s="514">
        <f t="shared" si="11"/>
        <v>4</v>
      </c>
      <c r="G43" s="514">
        <f t="shared" si="12"/>
        <v>2</v>
      </c>
      <c r="H43" s="520">
        <f t="shared" si="9"/>
        <v>40.094079999999998</v>
      </c>
      <c r="I43" s="515"/>
      <c r="J43" s="1315"/>
      <c r="K43" s="499"/>
      <c r="L43" s="499"/>
      <c r="M43" s="499"/>
      <c r="N43" s="499"/>
      <c r="O43" s="501"/>
      <c r="P43" s="501"/>
      <c r="Q43" s="501"/>
    </row>
    <row r="44" spans="1:17" ht="15.75" customHeight="1">
      <c r="A44" s="522"/>
      <c r="B44" s="525">
        <f t="shared" si="6"/>
        <v>4</v>
      </c>
      <c r="C44" s="1327">
        <f t="shared" si="7"/>
        <v>4.0279999999999996</v>
      </c>
      <c r="D44" s="1328">
        <f t="shared" si="8"/>
        <v>0.7</v>
      </c>
      <c r="E44" s="514">
        <f t="shared" si="10"/>
        <v>1.04</v>
      </c>
      <c r="F44" s="514">
        <f t="shared" si="11"/>
        <v>4</v>
      </c>
      <c r="G44" s="514">
        <f t="shared" si="12"/>
        <v>2</v>
      </c>
      <c r="H44" s="520">
        <f t="shared" si="9"/>
        <v>39.336959999999998</v>
      </c>
      <c r="I44" s="515"/>
      <c r="J44" s="1315"/>
      <c r="K44" s="499"/>
      <c r="L44" s="499"/>
      <c r="M44" s="499"/>
      <c r="N44" s="499"/>
      <c r="O44" s="501"/>
      <c r="P44" s="501"/>
      <c r="Q44" s="501"/>
    </row>
    <row r="45" spans="1:17" ht="15.75" customHeight="1">
      <c r="A45" s="522"/>
      <c r="B45" s="525">
        <f t="shared" si="6"/>
        <v>5</v>
      </c>
      <c r="C45" s="1327">
        <f t="shared" si="7"/>
        <v>3.9380000000000002</v>
      </c>
      <c r="D45" s="1328">
        <f t="shared" si="8"/>
        <v>0.7</v>
      </c>
      <c r="E45" s="514">
        <f t="shared" si="10"/>
        <v>1.04</v>
      </c>
      <c r="F45" s="514">
        <f t="shared" si="11"/>
        <v>4</v>
      </c>
      <c r="G45" s="514">
        <f t="shared" si="12"/>
        <v>2</v>
      </c>
      <c r="H45" s="520">
        <f t="shared" si="9"/>
        <v>38.588160000000002</v>
      </c>
      <c r="I45" s="515"/>
      <c r="J45" s="1315"/>
      <c r="K45" s="499"/>
      <c r="L45" s="499"/>
      <c r="M45" s="499"/>
      <c r="N45" s="499"/>
      <c r="O45" s="501"/>
      <c r="P45" s="501"/>
      <c r="Q45" s="501"/>
    </row>
    <row r="46" spans="1:17" ht="15.75" customHeight="1">
      <c r="A46" s="522"/>
      <c r="B46" s="525">
        <f t="shared" si="6"/>
        <v>8</v>
      </c>
      <c r="C46" s="1327">
        <f t="shared" si="7"/>
        <v>0.95299999999999996</v>
      </c>
      <c r="D46" s="1328">
        <f t="shared" si="8"/>
        <v>0.7</v>
      </c>
      <c r="E46" s="514">
        <f t="shared" si="10"/>
        <v>1.04</v>
      </c>
      <c r="F46" s="514">
        <f t="shared" si="11"/>
        <v>4</v>
      </c>
      <c r="G46" s="514">
        <f t="shared" si="12"/>
        <v>2</v>
      </c>
      <c r="H46" s="520">
        <f t="shared" si="9"/>
        <v>13.75296</v>
      </c>
      <c r="I46" s="515"/>
      <c r="J46" s="1315"/>
      <c r="K46" s="499"/>
      <c r="L46" s="499"/>
      <c r="M46" s="499"/>
      <c r="N46" s="499"/>
      <c r="O46" s="501"/>
      <c r="P46" s="501"/>
      <c r="Q46" s="501"/>
    </row>
    <row r="47" spans="1:17" ht="15.75" customHeight="1">
      <c r="A47" s="522"/>
      <c r="B47" s="525">
        <f t="shared" si="6"/>
        <v>9</v>
      </c>
      <c r="C47" s="1327">
        <f t="shared" si="7"/>
        <v>0.89</v>
      </c>
      <c r="D47" s="1328">
        <f t="shared" si="8"/>
        <v>0.7</v>
      </c>
      <c r="E47" s="514">
        <f t="shared" si="10"/>
        <v>1.04</v>
      </c>
      <c r="F47" s="514">
        <f t="shared" si="11"/>
        <v>4</v>
      </c>
      <c r="G47" s="514">
        <f t="shared" si="12"/>
        <v>2</v>
      </c>
      <c r="H47" s="520">
        <f t="shared" si="9"/>
        <v>13.2288</v>
      </c>
      <c r="I47" s="515"/>
      <c r="J47" s="1315"/>
      <c r="K47" s="499"/>
      <c r="L47" s="499"/>
      <c r="M47" s="499"/>
      <c r="N47" s="499"/>
      <c r="O47" s="501"/>
      <c r="P47" s="501"/>
      <c r="Q47" s="501"/>
    </row>
    <row r="48" spans="1:17" ht="15.75" customHeight="1">
      <c r="A48" s="522"/>
      <c r="B48" s="525">
        <f t="shared" si="6"/>
        <v>10</v>
      </c>
      <c r="C48" s="1327">
        <f t="shared" si="7"/>
        <v>0.84</v>
      </c>
      <c r="D48" s="1328">
        <f t="shared" si="8"/>
        <v>0.7</v>
      </c>
      <c r="E48" s="514">
        <f t="shared" si="10"/>
        <v>1.04</v>
      </c>
      <c r="F48" s="514">
        <f t="shared" si="11"/>
        <v>4</v>
      </c>
      <c r="G48" s="514">
        <f t="shared" si="12"/>
        <v>2</v>
      </c>
      <c r="H48" s="520">
        <f t="shared" si="9"/>
        <v>12.812800000000001</v>
      </c>
      <c r="I48" s="515"/>
      <c r="J48" s="1315"/>
      <c r="K48" s="499"/>
      <c r="L48" s="499"/>
      <c r="M48" s="499"/>
      <c r="N48" s="499"/>
      <c r="O48" s="501"/>
      <c r="P48" s="501"/>
      <c r="Q48" s="501"/>
    </row>
    <row r="49" spans="1:17" ht="15.75" customHeight="1">
      <c r="A49" s="522"/>
      <c r="B49" s="525">
        <f t="shared" si="6"/>
        <v>11</v>
      </c>
      <c r="C49" s="1327">
        <f t="shared" si="7"/>
        <v>0.79600000000000004</v>
      </c>
      <c r="D49" s="1328">
        <f t="shared" si="8"/>
        <v>0.7</v>
      </c>
      <c r="E49" s="514">
        <f t="shared" si="10"/>
        <v>1.04</v>
      </c>
      <c r="F49" s="514">
        <f t="shared" si="11"/>
        <v>4</v>
      </c>
      <c r="G49" s="514">
        <f t="shared" si="12"/>
        <v>2</v>
      </c>
      <c r="H49" s="520">
        <f t="shared" si="9"/>
        <v>12.446720000000001</v>
      </c>
      <c r="I49" s="515"/>
      <c r="J49" s="1315"/>
      <c r="K49" s="499"/>
      <c r="L49" s="499"/>
      <c r="M49" s="499"/>
      <c r="N49" s="499"/>
      <c r="O49" s="501"/>
      <c r="P49" s="501"/>
      <c r="Q49" s="501"/>
    </row>
    <row r="50" spans="1:17" ht="15.75" customHeight="1">
      <c r="A50" s="522"/>
      <c r="B50" s="525">
        <f t="shared" si="6"/>
        <v>14</v>
      </c>
      <c r="C50" s="1327">
        <f t="shared" si="7"/>
        <v>3.407</v>
      </c>
      <c r="D50" s="1328">
        <f t="shared" si="8"/>
        <v>0.7</v>
      </c>
      <c r="E50" s="514">
        <f t="shared" si="10"/>
        <v>1.04</v>
      </c>
      <c r="F50" s="514">
        <f t="shared" si="11"/>
        <v>4</v>
      </c>
      <c r="G50" s="514">
        <f t="shared" si="12"/>
        <v>2</v>
      </c>
      <c r="H50" s="520">
        <f t="shared" si="9"/>
        <v>34.17024</v>
      </c>
      <c r="I50" s="515"/>
      <c r="J50" s="1315"/>
      <c r="K50" s="499"/>
      <c r="L50" s="499"/>
      <c r="M50" s="499"/>
      <c r="N50" s="499"/>
      <c r="O50" s="501"/>
      <c r="P50" s="501"/>
      <c r="Q50" s="501"/>
    </row>
    <row r="51" spans="1:17" ht="15.75" customHeight="1">
      <c r="A51" s="522"/>
      <c r="B51" s="525">
        <f t="shared" si="6"/>
        <v>15</v>
      </c>
      <c r="C51" s="1327">
        <f t="shared" si="7"/>
        <v>3.407</v>
      </c>
      <c r="D51" s="1328">
        <f t="shared" si="8"/>
        <v>0.7</v>
      </c>
      <c r="E51" s="514">
        <f t="shared" si="10"/>
        <v>1.04</v>
      </c>
      <c r="F51" s="514">
        <f t="shared" si="11"/>
        <v>4</v>
      </c>
      <c r="G51" s="514">
        <f t="shared" si="12"/>
        <v>2</v>
      </c>
      <c r="H51" s="520">
        <f t="shared" si="9"/>
        <v>34.17024</v>
      </c>
      <c r="I51" s="515"/>
      <c r="J51" s="1315"/>
      <c r="K51" s="499"/>
      <c r="L51" s="499"/>
      <c r="M51" s="499"/>
      <c r="N51" s="499"/>
      <c r="O51" s="501"/>
      <c r="P51" s="501"/>
      <c r="Q51" s="501"/>
    </row>
    <row r="52" spans="1:17" ht="15.75" customHeight="1">
      <c r="A52" s="522"/>
      <c r="B52" s="525">
        <f t="shared" si="6"/>
        <v>16</v>
      </c>
      <c r="C52" s="1327">
        <f t="shared" si="7"/>
        <v>3.4</v>
      </c>
      <c r="D52" s="1328">
        <f t="shared" si="8"/>
        <v>0.7</v>
      </c>
      <c r="E52" s="514">
        <f t="shared" si="10"/>
        <v>1.04</v>
      </c>
      <c r="F52" s="514">
        <f t="shared" si="11"/>
        <v>4</v>
      </c>
      <c r="G52" s="514">
        <f t="shared" si="12"/>
        <v>2</v>
      </c>
      <c r="H52" s="520">
        <f t="shared" si="9"/>
        <v>34.111999999999995</v>
      </c>
      <c r="I52" s="515"/>
      <c r="J52" s="1315"/>
      <c r="K52" s="499"/>
      <c r="L52" s="499"/>
      <c r="M52" s="499"/>
      <c r="N52" s="499"/>
      <c r="O52" s="501"/>
      <c r="P52" s="501"/>
      <c r="Q52" s="501"/>
    </row>
    <row r="53" spans="1:17" ht="15.75" customHeight="1">
      <c r="A53" s="522"/>
      <c r="B53" s="525">
        <f t="shared" si="6"/>
        <v>17</v>
      </c>
      <c r="C53" s="1327">
        <f t="shared" si="7"/>
        <v>3.3929999999999998</v>
      </c>
      <c r="D53" s="1328">
        <f t="shared" si="8"/>
        <v>0.7</v>
      </c>
      <c r="E53" s="514">
        <f t="shared" si="10"/>
        <v>1.04</v>
      </c>
      <c r="F53" s="514">
        <f t="shared" si="11"/>
        <v>4</v>
      </c>
      <c r="G53" s="514">
        <f t="shared" si="12"/>
        <v>2</v>
      </c>
      <c r="H53" s="520">
        <f t="shared" si="9"/>
        <v>34.053760000000004</v>
      </c>
      <c r="I53" s="515"/>
      <c r="J53" s="1315"/>
      <c r="K53" s="499"/>
      <c r="L53" s="499"/>
      <c r="M53" s="499"/>
      <c r="N53" s="499"/>
      <c r="O53" s="501"/>
      <c r="P53" s="501"/>
      <c r="Q53" s="501"/>
    </row>
    <row r="54" spans="1:17" ht="15.75" customHeight="1">
      <c r="A54" s="522"/>
      <c r="B54" s="525">
        <f t="shared" si="6"/>
        <v>18</v>
      </c>
      <c r="C54" s="1327">
        <f t="shared" si="7"/>
        <v>3.3860000000000001</v>
      </c>
      <c r="D54" s="1328">
        <f t="shared" si="8"/>
        <v>0.7</v>
      </c>
      <c r="E54" s="514">
        <f t="shared" si="10"/>
        <v>1.04</v>
      </c>
      <c r="F54" s="514">
        <f t="shared" si="11"/>
        <v>4</v>
      </c>
      <c r="G54" s="514">
        <f t="shared" si="12"/>
        <v>2</v>
      </c>
      <c r="H54" s="520">
        <f t="shared" si="9"/>
        <v>33.995520000000006</v>
      </c>
      <c r="I54" s="515"/>
      <c r="J54" s="1315"/>
      <c r="K54" s="499"/>
      <c r="L54" s="499"/>
      <c r="M54" s="499"/>
      <c r="N54" s="499"/>
      <c r="O54" s="501"/>
      <c r="P54" s="501"/>
      <c r="Q54" s="501"/>
    </row>
    <row r="55" spans="1:17" ht="15.75" customHeight="1">
      <c r="A55" s="522"/>
      <c r="B55" s="336"/>
      <c r="C55" s="513"/>
      <c r="D55" s="513"/>
      <c r="E55" s="514"/>
      <c r="F55" s="514"/>
      <c r="G55" s="514"/>
      <c r="H55" s="1323">
        <f>ROUNDUP((SUM(H41:H54)),5)</f>
        <v>423.02208000000002</v>
      </c>
      <c r="I55" s="523" t="s">
        <v>100</v>
      </c>
      <c r="J55" s="1315">
        <f>ROUND((H55),2)</f>
        <v>423.02</v>
      </c>
      <c r="K55" s="499"/>
      <c r="L55" s="499"/>
      <c r="M55" s="499"/>
      <c r="N55" s="499"/>
      <c r="O55" s="501"/>
      <c r="P55" s="501"/>
      <c r="Q55" s="501"/>
    </row>
    <row r="56" spans="1:17" ht="15.75" customHeight="1">
      <c r="A56" s="522" t="s">
        <v>101</v>
      </c>
      <c r="B56" s="336" t="s">
        <v>118</v>
      </c>
      <c r="C56" s="513"/>
      <c r="D56" s="1329" t="s">
        <v>119</v>
      </c>
      <c r="E56" s="1330" t="s">
        <v>120</v>
      </c>
      <c r="F56" s="514"/>
      <c r="G56" s="514"/>
      <c r="H56" s="1308"/>
      <c r="I56" s="515"/>
      <c r="J56" s="1315"/>
      <c r="K56" s="499"/>
      <c r="L56" s="499"/>
      <c r="M56" s="499"/>
      <c r="N56" s="499"/>
      <c r="O56" s="501"/>
      <c r="P56" s="501"/>
      <c r="Q56" s="501"/>
    </row>
    <row r="57" spans="1:17" ht="15.75" customHeight="1">
      <c r="A57" s="522"/>
      <c r="B57" s="525">
        <f t="shared" ref="B57:B70" si="13">B41</f>
        <v>1</v>
      </c>
      <c r="C57" s="1317">
        <f>(0.09*4)+0.05</f>
        <v>0.41</v>
      </c>
      <c r="D57" s="514">
        <v>0.22</v>
      </c>
      <c r="E57" s="514"/>
      <c r="F57" s="520">
        <f t="shared" ref="F57:F70" si="14">ROUNDUP(E22/0.125,0.5)</f>
        <v>35</v>
      </c>
      <c r="G57" s="514">
        <v>2</v>
      </c>
      <c r="H57" s="514">
        <f t="shared" ref="H57:H70" si="15">C57*D57*(E57+F57)*G57</f>
        <v>6.3139999999999992</v>
      </c>
      <c r="I57" s="515"/>
      <c r="J57" s="1315"/>
      <c r="K57" s="499"/>
      <c r="L57" s="499"/>
      <c r="M57" s="499"/>
      <c r="N57" s="531"/>
      <c r="O57" s="501"/>
      <c r="P57" s="501"/>
      <c r="Q57" s="501"/>
    </row>
    <row r="58" spans="1:17" ht="15.75" customHeight="1">
      <c r="A58" s="522"/>
      <c r="B58" s="525">
        <f t="shared" si="13"/>
        <v>2</v>
      </c>
      <c r="C58" s="1317">
        <f t="shared" ref="C58:C70" si="16">C57</f>
        <v>0.41</v>
      </c>
      <c r="D58" s="514">
        <f t="shared" ref="D58:D70" si="17">D57</f>
        <v>0.22</v>
      </c>
      <c r="E58" s="514"/>
      <c r="F58" s="520">
        <f t="shared" si="14"/>
        <v>34</v>
      </c>
      <c r="G58" s="514">
        <f t="shared" ref="G58:G70" si="18">G57</f>
        <v>2</v>
      </c>
      <c r="H58" s="513">
        <f t="shared" si="15"/>
        <v>6.1335999999999995</v>
      </c>
      <c r="I58" s="515"/>
      <c r="J58" s="1315"/>
      <c r="K58" s="499"/>
      <c r="L58" s="499"/>
      <c r="M58" s="499"/>
      <c r="N58" s="531"/>
      <c r="O58" s="501"/>
      <c r="P58" s="501"/>
      <c r="Q58" s="501"/>
    </row>
    <row r="59" spans="1:17" ht="15.75" customHeight="1">
      <c r="A59" s="522"/>
      <c r="B59" s="525">
        <f t="shared" si="13"/>
        <v>3</v>
      </c>
      <c r="C59" s="1317">
        <f t="shared" si="16"/>
        <v>0.41</v>
      </c>
      <c r="D59" s="514">
        <f t="shared" si="17"/>
        <v>0.22</v>
      </c>
      <c r="E59" s="514"/>
      <c r="F59" s="520">
        <f t="shared" si="14"/>
        <v>33</v>
      </c>
      <c r="G59" s="514">
        <f t="shared" si="18"/>
        <v>2</v>
      </c>
      <c r="H59" s="514">
        <f t="shared" si="15"/>
        <v>5.9531999999999989</v>
      </c>
      <c r="I59" s="515"/>
      <c r="J59" s="1315"/>
      <c r="K59" s="499"/>
      <c r="L59" s="499"/>
      <c r="M59" s="499"/>
      <c r="N59" s="531"/>
      <c r="O59" s="501"/>
      <c r="P59" s="501"/>
      <c r="Q59" s="501"/>
    </row>
    <row r="60" spans="1:17" ht="15.75" customHeight="1">
      <c r="A60" s="522"/>
      <c r="B60" s="525">
        <f t="shared" si="13"/>
        <v>4</v>
      </c>
      <c r="C60" s="1317">
        <f t="shared" si="16"/>
        <v>0.41</v>
      </c>
      <c r="D60" s="514">
        <f t="shared" si="17"/>
        <v>0.22</v>
      </c>
      <c r="E60" s="514"/>
      <c r="F60" s="520">
        <f t="shared" si="14"/>
        <v>33</v>
      </c>
      <c r="G60" s="514">
        <f t="shared" si="18"/>
        <v>2</v>
      </c>
      <c r="H60" s="514">
        <f t="shared" si="15"/>
        <v>5.9531999999999989</v>
      </c>
      <c r="I60" s="515"/>
      <c r="J60" s="1315"/>
      <c r="K60" s="499"/>
      <c r="L60" s="499"/>
      <c r="M60" s="499"/>
      <c r="N60" s="531"/>
      <c r="O60" s="501"/>
      <c r="P60" s="501"/>
      <c r="Q60" s="501"/>
    </row>
    <row r="61" spans="1:17" ht="15.75" customHeight="1">
      <c r="A61" s="522"/>
      <c r="B61" s="525">
        <f t="shared" si="13"/>
        <v>5</v>
      </c>
      <c r="C61" s="1317">
        <f t="shared" si="16"/>
        <v>0.41</v>
      </c>
      <c r="D61" s="514">
        <f t="shared" si="17"/>
        <v>0.22</v>
      </c>
      <c r="E61" s="514"/>
      <c r="F61" s="520">
        <f t="shared" si="14"/>
        <v>32</v>
      </c>
      <c r="G61" s="514">
        <f t="shared" si="18"/>
        <v>2</v>
      </c>
      <c r="H61" s="514">
        <f t="shared" si="15"/>
        <v>5.7727999999999993</v>
      </c>
      <c r="I61" s="515"/>
      <c r="J61" s="1315"/>
      <c r="K61" s="499"/>
      <c r="L61" s="499"/>
      <c r="M61" s="499"/>
      <c r="N61" s="531"/>
      <c r="O61" s="501"/>
      <c r="P61" s="501"/>
      <c r="Q61" s="501"/>
    </row>
    <row r="62" spans="1:17" ht="15.75" customHeight="1">
      <c r="A62" s="522"/>
      <c r="B62" s="525">
        <f t="shared" si="13"/>
        <v>8</v>
      </c>
      <c r="C62" s="1317">
        <f t="shared" si="16"/>
        <v>0.41</v>
      </c>
      <c r="D62" s="514">
        <f t="shared" si="17"/>
        <v>0.22</v>
      </c>
      <c r="E62" s="514"/>
      <c r="F62" s="520">
        <f t="shared" si="14"/>
        <v>8</v>
      </c>
      <c r="G62" s="514">
        <f t="shared" si="18"/>
        <v>2</v>
      </c>
      <c r="H62" s="514">
        <f t="shared" si="15"/>
        <v>1.4431999999999998</v>
      </c>
      <c r="I62" s="515"/>
      <c r="J62" s="1315"/>
      <c r="K62" s="499"/>
      <c r="L62" s="499"/>
      <c r="M62" s="499"/>
      <c r="N62" s="531"/>
      <c r="O62" s="501"/>
      <c r="P62" s="501"/>
      <c r="Q62" s="501"/>
    </row>
    <row r="63" spans="1:17" ht="15.75" customHeight="1">
      <c r="A63" s="522"/>
      <c r="B63" s="525">
        <f t="shared" si="13"/>
        <v>9</v>
      </c>
      <c r="C63" s="1317">
        <f t="shared" si="16"/>
        <v>0.41</v>
      </c>
      <c r="D63" s="514">
        <f t="shared" si="17"/>
        <v>0.22</v>
      </c>
      <c r="E63" s="514"/>
      <c r="F63" s="520">
        <f t="shared" si="14"/>
        <v>8</v>
      </c>
      <c r="G63" s="514">
        <f t="shared" si="18"/>
        <v>2</v>
      </c>
      <c r="H63" s="514">
        <f t="shared" si="15"/>
        <v>1.4431999999999998</v>
      </c>
      <c r="I63" s="515"/>
      <c r="J63" s="1315"/>
      <c r="K63" s="499"/>
      <c r="L63" s="499"/>
      <c r="M63" s="499"/>
      <c r="N63" s="531"/>
      <c r="O63" s="501"/>
      <c r="P63" s="501"/>
      <c r="Q63" s="501"/>
    </row>
    <row r="64" spans="1:17" ht="15.75" customHeight="1">
      <c r="A64" s="522"/>
      <c r="B64" s="525">
        <f t="shared" si="13"/>
        <v>10</v>
      </c>
      <c r="C64" s="1317">
        <f t="shared" si="16"/>
        <v>0.41</v>
      </c>
      <c r="D64" s="514">
        <f t="shared" si="17"/>
        <v>0.22</v>
      </c>
      <c r="E64" s="514"/>
      <c r="F64" s="520">
        <f t="shared" si="14"/>
        <v>7</v>
      </c>
      <c r="G64" s="514">
        <f t="shared" si="18"/>
        <v>2</v>
      </c>
      <c r="H64" s="514">
        <f t="shared" si="15"/>
        <v>1.2627999999999999</v>
      </c>
      <c r="I64" s="515"/>
      <c r="J64" s="1315"/>
      <c r="K64" s="499"/>
      <c r="L64" s="499"/>
      <c r="M64" s="499"/>
      <c r="N64" s="531"/>
      <c r="O64" s="501"/>
      <c r="P64" s="501"/>
      <c r="Q64" s="501"/>
    </row>
    <row r="65" spans="1:17" ht="15.75" customHeight="1">
      <c r="A65" s="522"/>
      <c r="B65" s="525">
        <f t="shared" si="13"/>
        <v>11</v>
      </c>
      <c r="C65" s="1317">
        <f t="shared" si="16"/>
        <v>0.41</v>
      </c>
      <c r="D65" s="514">
        <f t="shared" si="17"/>
        <v>0.22</v>
      </c>
      <c r="E65" s="514"/>
      <c r="F65" s="520">
        <f t="shared" si="14"/>
        <v>7</v>
      </c>
      <c r="G65" s="514">
        <f t="shared" si="18"/>
        <v>2</v>
      </c>
      <c r="H65" s="514">
        <f t="shared" si="15"/>
        <v>1.2627999999999999</v>
      </c>
      <c r="I65" s="515"/>
      <c r="J65" s="1315"/>
      <c r="K65" s="499"/>
      <c r="L65" s="499"/>
      <c r="M65" s="499"/>
      <c r="N65" s="531"/>
      <c r="O65" s="501"/>
      <c r="P65" s="501"/>
      <c r="Q65" s="501"/>
    </row>
    <row r="66" spans="1:17" ht="15.75" customHeight="1">
      <c r="A66" s="522"/>
      <c r="B66" s="525">
        <f t="shared" si="13"/>
        <v>14</v>
      </c>
      <c r="C66" s="1317">
        <f t="shared" si="16"/>
        <v>0.41</v>
      </c>
      <c r="D66" s="514">
        <f t="shared" si="17"/>
        <v>0.22</v>
      </c>
      <c r="E66" s="514"/>
      <c r="F66" s="520">
        <f t="shared" si="14"/>
        <v>28</v>
      </c>
      <c r="G66" s="514">
        <f t="shared" si="18"/>
        <v>2</v>
      </c>
      <c r="H66" s="514">
        <f t="shared" si="15"/>
        <v>5.0511999999999997</v>
      </c>
      <c r="I66" s="515"/>
      <c r="J66" s="1315"/>
      <c r="K66" s="499"/>
      <c r="L66" s="499"/>
      <c r="M66" s="499"/>
      <c r="N66" s="531"/>
      <c r="O66" s="501"/>
      <c r="P66" s="501"/>
      <c r="Q66" s="501"/>
    </row>
    <row r="67" spans="1:17" ht="15.75" customHeight="1">
      <c r="A67" s="522"/>
      <c r="B67" s="525">
        <f t="shared" si="13"/>
        <v>15</v>
      </c>
      <c r="C67" s="1317">
        <f t="shared" si="16"/>
        <v>0.41</v>
      </c>
      <c r="D67" s="514">
        <f t="shared" si="17"/>
        <v>0.22</v>
      </c>
      <c r="E67" s="514"/>
      <c r="F67" s="520">
        <f t="shared" si="14"/>
        <v>28</v>
      </c>
      <c r="G67" s="514">
        <f t="shared" si="18"/>
        <v>2</v>
      </c>
      <c r="H67" s="514">
        <f t="shared" si="15"/>
        <v>5.0511999999999997</v>
      </c>
      <c r="I67" s="515"/>
      <c r="J67" s="1315"/>
      <c r="K67" s="499"/>
      <c r="L67" s="499"/>
      <c r="M67" s="499"/>
      <c r="N67" s="531"/>
      <c r="O67" s="501"/>
      <c r="P67" s="501"/>
      <c r="Q67" s="501"/>
    </row>
    <row r="68" spans="1:17" ht="15.75" customHeight="1">
      <c r="A68" s="522"/>
      <c r="B68" s="525">
        <f t="shared" si="13"/>
        <v>16</v>
      </c>
      <c r="C68" s="1317">
        <f t="shared" si="16"/>
        <v>0.41</v>
      </c>
      <c r="D68" s="514">
        <f t="shared" si="17"/>
        <v>0.22</v>
      </c>
      <c r="E68" s="514"/>
      <c r="F68" s="520">
        <f t="shared" si="14"/>
        <v>28</v>
      </c>
      <c r="G68" s="514">
        <f t="shared" si="18"/>
        <v>2</v>
      </c>
      <c r="H68" s="514">
        <f t="shared" si="15"/>
        <v>5.0511999999999997</v>
      </c>
      <c r="I68" s="515"/>
      <c r="J68" s="1315"/>
      <c r="K68" s="499"/>
      <c r="L68" s="499"/>
      <c r="M68" s="499"/>
      <c r="N68" s="531"/>
      <c r="O68" s="501"/>
      <c r="P68" s="501"/>
      <c r="Q68" s="501"/>
    </row>
    <row r="69" spans="1:17" ht="15.75" customHeight="1">
      <c r="A69" s="522"/>
      <c r="B69" s="525">
        <f t="shared" si="13"/>
        <v>17</v>
      </c>
      <c r="C69" s="1317">
        <f t="shared" si="16"/>
        <v>0.41</v>
      </c>
      <c r="D69" s="514">
        <f t="shared" si="17"/>
        <v>0.22</v>
      </c>
      <c r="E69" s="514"/>
      <c r="F69" s="520">
        <f t="shared" si="14"/>
        <v>28</v>
      </c>
      <c r="G69" s="514">
        <f t="shared" si="18"/>
        <v>2</v>
      </c>
      <c r="H69" s="514">
        <f t="shared" si="15"/>
        <v>5.0511999999999997</v>
      </c>
      <c r="I69" s="515"/>
      <c r="J69" s="1315"/>
      <c r="K69" s="499"/>
      <c r="L69" s="499"/>
      <c r="M69" s="499"/>
      <c r="N69" s="531"/>
      <c r="O69" s="501"/>
      <c r="P69" s="501"/>
      <c r="Q69" s="501"/>
    </row>
    <row r="70" spans="1:17" ht="15.75" customHeight="1">
      <c r="A70" s="522"/>
      <c r="B70" s="525">
        <f t="shared" si="13"/>
        <v>18</v>
      </c>
      <c r="C70" s="1317">
        <f t="shared" si="16"/>
        <v>0.41</v>
      </c>
      <c r="D70" s="514">
        <f t="shared" si="17"/>
        <v>0.22</v>
      </c>
      <c r="E70" s="514"/>
      <c r="F70" s="520">
        <f t="shared" si="14"/>
        <v>28</v>
      </c>
      <c r="G70" s="514">
        <f t="shared" si="18"/>
        <v>2</v>
      </c>
      <c r="H70" s="514">
        <f t="shared" si="15"/>
        <v>5.0511999999999997</v>
      </c>
      <c r="I70" s="515"/>
      <c r="J70" s="1315"/>
      <c r="K70" s="499"/>
      <c r="L70" s="499"/>
      <c r="M70" s="499"/>
      <c r="N70" s="531"/>
      <c r="O70" s="501"/>
      <c r="P70" s="501"/>
      <c r="Q70" s="501"/>
    </row>
    <row r="71" spans="1:17" ht="15.75" customHeight="1">
      <c r="A71" s="522"/>
      <c r="B71" s="336"/>
      <c r="C71" s="513"/>
      <c r="D71" s="513"/>
      <c r="E71" s="514"/>
      <c r="F71" s="514"/>
      <c r="G71" s="514"/>
      <c r="H71" s="527">
        <f>ROUNDUP((SUM(H57:H70)),5)</f>
        <v>60.794800000000002</v>
      </c>
      <c r="I71" s="523" t="s">
        <v>100</v>
      </c>
      <c r="J71" s="1315">
        <f>ROUND((H71),2)</f>
        <v>60.79</v>
      </c>
      <c r="K71" s="499"/>
      <c r="L71" s="499"/>
      <c r="M71" s="499"/>
      <c r="N71" s="499"/>
      <c r="O71" s="501"/>
      <c r="P71" s="501"/>
      <c r="Q71" s="501"/>
    </row>
    <row r="72" spans="1:17" ht="15.75" customHeight="1">
      <c r="A72" s="522" t="s">
        <v>121</v>
      </c>
      <c r="B72" s="336" t="s">
        <v>102</v>
      </c>
      <c r="C72" s="513"/>
      <c r="D72" s="513"/>
      <c r="E72" s="514"/>
      <c r="F72" s="514"/>
      <c r="G72" s="514"/>
      <c r="H72" s="514"/>
      <c r="I72" s="515"/>
      <c r="J72" s="1315"/>
      <c r="K72" s="499"/>
      <c r="L72" s="499"/>
      <c r="M72" s="499"/>
      <c r="N72" s="499"/>
      <c r="O72" s="501"/>
      <c r="P72" s="501"/>
      <c r="Q72" s="501"/>
    </row>
    <row r="73" spans="1:17" ht="15.75" customHeight="1">
      <c r="A73" s="522"/>
      <c r="B73" s="525">
        <f t="shared" ref="B73:B86" si="19">B57</f>
        <v>1</v>
      </c>
      <c r="C73" s="513">
        <v>0.15</v>
      </c>
      <c r="D73" s="513">
        <v>0.15</v>
      </c>
      <c r="E73" s="514">
        <f t="shared" ref="E73:E86" si="20">E22</f>
        <v>4.2830000000000004</v>
      </c>
      <c r="F73" s="514"/>
      <c r="G73" s="514">
        <v>2</v>
      </c>
      <c r="H73" s="520">
        <f t="shared" ref="H73:H86" si="21">C73*D73*E73*G73</f>
        <v>0.19273500000000002</v>
      </c>
      <c r="I73" s="515"/>
      <c r="J73" s="1315"/>
      <c r="K73" s="499"/>
      <c r="L73" s="499"/>
      <c r="M73" s="499"/>
      <c r="N73" s="499"/>
      <c r="O73" s="501"/>
      <c r="P73" s="501"/>
      <c r="Q73" s="501"/>
    </row>
    <row r="74" spans="1:17" ht="15.75" customHeight="1">
      <c r="A74" s="522"/>
      <c r="B74" s="525">
        <f t="shared" si="19"/>
        <v>2</v>
      </c>
      <c r="C74" s="513">
        <f t="shared" ref="C74:C86" si="22">C73</f>
        <v>0.15</v>
      </c>
      <c r="D74" s="513">
        <f t="shared" ref="D74:D86" si="23">D73</f>
        <v>0.15</v>
      </c>
      <c r="E74" s="514">
        <f t="shared" si="20"/>
        <v>4.2039999999999997</v>
      </c>
      <c r="F74" s="514"/>
      <c r="G74" s="514">
        <f t="shared" ref="G74:G86" si="24">G73</f>
        <v>2</v>
      </c>
      <c r="H74" s="1317">
        <f t="shared" si="21"/>
        <v>0.18917999999999999</v>
      </c>
      <c r="I74" s="515"/>
      <c r="J74" s="1315"/>
      <c r="K74" s="499"/>
      <c r="L74" s="499"/>
      <c r="M74" s="499"/>
      <c r="N74" s="499"/>
      <c r="O74" s="501"/>
      <c r="P74" s="501"/>
      <c r="Q74" s="501"/>
    </row>
    <row r="75" spans="1:17" ht="15.75" customHeight="1">
      <c r="A75" s="522"/>
      <c r="B75" s="525">
        <f t="shared" si="19"/>
        <v>3</v>
      </c>
      <c r="C75" s="513">
        <f t="shared" si="22"/>
        <v>0.15</v>
      </c>
      <c r="D75" s="513">
        <f t="shared" si="23"/>
        <v>0.15</v>
      </c>
      <c r="E75" s="514">
        <f t="shared" si="20"/>
        <v>4.1189999999999998</v>
      </c>
      <c r="F75" s="514"/>
      <c r="G75" s="514">
        <f t="shared" si="24"/>
        <v>2</v>
      </c>
      <c r="H75" s="520">
        <f t="shared" si="21"/>
        <v>0.18535499999999999</v>
      </c>
      <c r="I75" s="515"/>
      <c r="J75" s="1315"/>
      <c r="K75" s="499"/>
      <c r="L75" s="499"/>
      <c r="M75" s="499"/>
      <c r="N75" s="499"/>
      <c r="O75" s="501"/>
      <c r="P75" s="501"/>
      <c r="Q75" s="501"/>
    </row>
    <row r="76" spans="1:17" ht="15.75" customHeight="1">
      <c r="A76" s="522"/>
      <c r="B76" s="525">
        <f t="shared" si="19"/>
        <v>4</v>
      </c>
      <c r="C76" s="513">
        <f t="shared" si="22"/>
        <v>0.15</v>
      </c>
      <c r="D76" s="513">
        <f t="shared" si="23"/>
        <v>0.15</v>
      </c>
      <c r="E76" s="514">
        <f t="shared" si="20"/>
        <v>4.0279999999999996</v>
      </c>
      <c r="F76" s="514"/>
      <c r="G76" s="514">
        <f t="shared" si="24"/>
        <v>2</v>
      </c>
      <c r="H76" s="520">
        <f t="shared" si="21"/>
        <v>0.18125999999999998</v>
      </c>
      <c r="I76" s="515"/>
      <c r="J76" s="1315"/>
      <c r="K76" s="499"/>
      <c r="L76" s="499"/>
      <c r="M76" s="499"/>
      <c r="N76" s="499"/>
      <c r="O76" s="501"/>
      <c r="P76" s="501"/>
      <c r="Q76" s="501"/>
    </row>
    <row r="77" spans="1:17" ht="15.75" customHeight="1">
      <c r="A77" s="522"/>
      <c r="B77" s="525">
        <f t="shared" si="19"/>
        <v>5</v>
      </c>
      <c r="C77" s="513">
        <f t="shared" si="22"/>
        <v>0.15</v>
      </c>
      <c r="D77" s="513">
        <f t="shared" si="23"/>
        <v>0.15</v>
      </c>
      <c r="E77" s="514">
        <f t="shared" si="20"/>
        <v>3.9380000000000002</v>
      </c>
      <c r="F77" s="514"/>
      <c r="G77" s="514">
        <f t="shared" si="24"/>
        <v>2</v>
      </c>
      <c r="H77" s="520">
        <f t="shared" si="21"/>
        <v>0.17721000000000001</v>
      </c>
      <c r="I77" s="515"/>
      <c r="J77" s="1315"/>
      <c r="K77" s="499"/>
      <c r="L77" s="499"/>
      <c r="M77" s="499"/>
      <c r="N77" s="499"/>
      <c r="O77" s="501"/>
      <c r="P77" s="501"/>
      <c r="Q77" s="501"/>
    </row>
    <row r="78" spans="1:17" ht="15.75" customHeight="1">
      <c r="A78" s="522"/>
      <c r="B78" s="525">
        <f t="shared" si="19"/>
        <v>8</v>
      </c>
      <c r="C78" s="513">
        <f t="shared" si="22"/>
        <v>0.15</v>
      </c>
      <c r="D78" s="513">
        <f t="shared" si="23"/>
        <v>0.15</v>
      </c>
      <c r="E78" s="514">
        <f t="shared" si="20"/>
        <v>0.95299999999999996</v>
      </c>
      <c r="F78" s="514"/>
      <c r="G78" s="514">
        <f t="shared" si="24"/>
        <v>2</v>
      </c>
      <c r="H78" s="520">
        <f t="shared" si="21"/>
        <v>4.2885E-2</v>
      </c>
      <c r="I78" s="515"/>
      <c r="J78" s="1315"/>
      <c r="K78" s="499"/>
      <c r="L78" s="499"/>
      <c r="M78" s="499"/>
      <c r="N78" s="499"/>
      <c r="O78" s="501"/>
      <c r="P78" s="501"/>
      <c r="Q78" s="501"/>
    </row>
    <row r="79" spans="1:17" ht="15.75" customHeight="1">
      <c r="A79" s="522"/>
      <c r="B79" s="525">
        <f t="shared" si="19"/>
        <v>9</v>
      </c>
      <c r="C79" s="513">
        <f t="shared" si="22"/>
        <v>0.15</v>
      </c>
      <c r="D79" s="513">
        <f t="shared" si="23"/>
        <v>0.15</v>
      </c>
      <c r="E79" s="514">
        <f t="shared" si="20"/>
        <v>0.89</v>
      </c>
      <c r="F79" s="514"/>
      <c r="G79" s="514">
        <f t="shared" si="24"/>
        <v>2</v>
      </c>
      <c r="H79" s="520">
        <f t="shared" si="21"/>
        <v>4.0050000000000002E-2</v>
      </c>
      <c r="I79" s="515"/>
      <c r="J79" s="1315"/>
      <c r="K79" s="499"/>
      <c r="L79" s="499"/>
      <c r="M79" s="499"/>
      <c r="N79" s="499"/>
      <c r="O79" s="501"/>
      <c r="P79" s="501"/>
      <c r="Q79" s="501"/>
    </row>
    <row r="80" spans="1:17" ht="15.75" customHeight="1">
      <c r="A80" s="522"/>
      <c r="B80" s="525">
        <f t="shared" si="19"/>
        <v>10</v>
      </c>
      <c r="C80" s="513">
        <f t="shared" si="22"/>
        <v>0.15</v>
      </c>
      <c r="D80" s="513">
        <f t="shared" si="23"/>
        <v>0.15</v>
      </c>
      <c r="E80" s="514">
        <f t="shared" si="20"/>
        <v>0.84</v>
      </c>
      <c r="F80" s="514"/>
      <c r="G80" s="514">
        <f t="shared" si="24"/>
        <v>2</v>
      </c>
      <c r="H80" s="520">
        <f t="shared" si="21"/>
        <v>3.78E-2</v>
      </c>
      <c r="I80" s="515"/>
      <c r="J80" s="1315"/>
      <c r="K80" s="499"/>
      <c r="L80" s="499"/>
      <c r="M80" s="499"/>
      <c r="N80" s="499"/>
      <c r="O80" s="501"/>
      <c r="P80" s="501"/>
      <c r="Q80" s="501"/>
    </row>
    <row r="81" spans="1:17" ht="15.75" customHeight="1">
      <c r="A81" s="522"/>
      <c r="B81" s="525">
        <f t="shared" si="19"/>
        <v>11</v>
      </c>
      <c r="C81" s="513">
        <f t="shared" si="22"/>
        <v>0.15</v>
      </c>
      <c r="D81" s="513">
        <f t="shared" si="23"/>
        <v>0.15</v>
      </c>
      <c r="E81" s="514">
        <f t="shared" si="20"/>
        <v>0.79600000000000004</v>
      </c>
      <c r="F81" s="514"/>
      <c r="G81" s="514">
        <f t="shared" si="24"/>
        <v>2</v>
      </c>
      <c r="H81" s="520">
        <f t="shared" si="21"/>
        <v>3.5819999999999998E-2</v>
      </c>
      <c r="I81" s="515"/>
      <c r="J81" s="1315"/>
      <c r="K81" s="499"/>
      <c r="L81" s="499"/>
      <c r="M81" s="499"/>
      <c r="N81" s="499"/>
      <c r="O81" s="501"/>
      <c r="P81" s="501"/>
      <c r="Q81" s="501"/>
    </row>
    <row r="82" spans="1:17" ht="15.75" customHeight="1">
      <c r="A82" s="522"/>
      <c r="B82" s="525">
        <f t="shared" si="19"/>
        <v>14</v>
      </c>
      <c r="C82" s="513">
        <f t="shared" si="22"/>
        <v>0.15</v>
      </c>
      <c r="D82" s="513">
        <f t="shared" si="23"/>
        <v>0.15</v>
      </c>
      <c r="E82" s="514">
        <f t="shared" si="20"/>
        <v>3.407</v>
      </c>
      <c r="F82" s="514"/>
      <c r="G82" s="514">
        <f t="shared" si="24"/>
        <v>2</v>
      </c>
      <c r="H82" s="520">
        <f t="shared" si="21"/>
        <v>0.15331500000000001</v>
      </c>
      <c r="I82" s="515"/>
      <c r="J82" s="1315"/>
      <c r="K82" s="499"/>
      <c r="L82" s="499"/>
      <c r="M82" s="499"/>
      <c r="N82" s="499"/>
      <c r="O82" s="501"/>
      <c r="P82" s="501"/>
      <c r="Q82" s="501"/>
    </row>
    <row r="83" spans="1:17" ht="15.75" customHeight="1">
      <c r="A83" s="522"/>
      <c r="B83" s="525">
        <f t="shared" si="19"/>
        <v>15</v>
      </c>
      <c r="C83" s="513">
        <f t="shared" si="22"/>
        <v>0.15</v>
      </c>
      <c r="D83" s="513">
        <f t="shared" si="23"/>
        <v>0.15</v>
      </c>
      <c r="E83" s="514">
        <f t="shared" si="20"/>
        <v>3.407</v>
      </c>
      <c r="F83" s="514"/>
      <c r="G83" s="514">
        <f t="shared" si="24"/>
        <v>2</v>
      </c>
      <c r="H83" s="520">
        <f t="shared" si="21"/>
        <v>0.15331500000000001</v>
      </c>
      <c r="I83" s="515"/>
      <c r="J83" s="1315"/>
      <c r="K83" s="499"/>
      <c r="L83" s="499"/>
      <c r="M83" s="499"/>
      <c r="N83" s="499"/>
      <c r="O83" s="501"/>
      <c r="P83" s="501"/>
      <c r="Q83" s="501"/>
    </row>
    <row r="84" spans="1:17" ht="15.75" customHeight="1">
      <c r="A84" s="522"/>
      <c r="B84" s="525">
        <f t="shared" si="19"/>
        <v>16</v>
      </c>
      <c r="C84" s="513">
        <f t="shared" si="22"/>
        <v>0.15</v>
      </c>
      <c r="D84" s="513">
        <f t="shared" si="23"/>
        <v>0.15</v>
      </c>
      <c r="E84" s="514">
        <f t="shared" si="20"/>
        <v>3.4</v>
      </c>
      <c r="F84" s="514"/>
      <c r="G84" s="514">
        <f t="shared" si="24"/>
        <v>2</v>
      </c>
      <c r="H84" s="520">
        <f t="shared" si="21"/>
        <v>0.153</v>
      </c>
      <c r="I84" s="515"/>
      <c r="J84" s="1315"/>
      <c r="K84" s="499"/>
      <c r="L84" s="499"/>
      <c r="M84" s="499"/>
      <c r="N84" s="499"/>
      <c r="O84" s="501"/>
      <c r="P84" s="501"/>
      <c r="Q84" s="501"/>
    </row>
    <row r="85" spans="1:17" ht="15.75" customHeight="1">
      <c r="A85" s="522"/>
      <c r="B85" s="525">
        <f t="shared" si="19"/>
        <v>17</v>
      </c>
      <c r="C85" s="513">
        <f t="shared" si="22"/>
        <v>0.15</v>
      </c>
      <c r="D85" s="513">
        <f t="shared" si="23"/>
        <v>0.15</v>
      </c>
      <c r="E85" s="514">
        <f t="shared" si="20"/>
        <v>3.3929999999999998</v>
      </c>
      <c r="F85" s="514"/>
      <c r="G85" s="514">
        <f t="shared" si="24"/>
        <v>2</v>
      </c>
      <c r="H85" s="520">
        <f t="shared" si="21"/>
        <v>0.15268499999999999</v>
      </c>
      <c r="I85" s="515"/>
      <c r="J85" s="1315"/>
      <c r="K85" s="499"/>
      <c r="L85" s="499"/>
      <c r="M85" s="499"/>
      <c r="N85" s="499"/>
      <c r="O85" s="501"/>
      <c r="P85" s="501"/>
      <c r="Q85" s="501"/>
    </row>
    <row r="86" spans="1:17" ht="15.75" customHeight="1">
      <c r="A86" s="522"/>
      <c r="B86" s="525">
        <f t="shared" si="19"/>
        <v>18</v>
      </c>
      <c r="C86" s="513">
        <f t="shared" si="22"/>
        <v>0.15</v>
      </c>
      <c r="D86" s="513">
        <f t="shared" si="23"/>
        <v>0.15</v>
      </c>
      <c r="E86" s="514">
        <f t="shared" si="20"/>
        <v>3.3860000000000001</v>
      </c>
      <c r="F86" s="514"/>
      <c r="G86" s="514">
        <f t="shared" si="24"/>
        <v>2</v>
      </c>
      <c r="H86" s="520">
        <f t="shared" si="21"/>
        <v>0.15237000000000001</v>
      </c>
      <c r="I86" s="515"/>
      <c r="J86" s="1315"/>
      <c r="K86" s="499"/>
      <c r="L86" s="499"/>
      <c r="M86" s="499"/>
      <c r="N86" s="499"/>
      <c r="O86" s="501"/>
      <c r="P86" s="501"/>
      <c r="Q86" s="501"/>
    </row>
    <row r="87" spans="1:17" ht="15.75" customHeight="1">
      <c r="A87" s="522"/>
      <c r="B87" s="336"/>
      <c r="C87" s="513"/>
      <c r="D87" s="513"/>
      <c r="E87" s="514"/>
      <c r="F87" s="514"/>
      <c r="G87" s="514"/>
      <c r="H87" s="1323">
        <f>ROUNDUP((SUM(H73:H86)),5)</f>
        <v>1.8469800000000001</v>
      </c>
      <c r="I87" s="523" t="s">
        <v>89</v>
      </c>
      <c r="J87" s="1315">
        <f>ROUND((H87),2)</f>
        <v>1.85</v>
      </c>
      <c r="K87" s="499"/>
      <c r="L87" s="499"/>
      <c r="M87" s="499"/>
      <c r="N87" s="499"/>
      <c r="O87" s="501"/>
      <c r="P87" s="501"/>
      <c r="Q87" s="501"/>
    </row>
    <row r="88" spans="1:17" ht="27.75" customHeight="1">
      <c r="A88" s="518" t="s">
        <v>122</v>
      </c>
      <c r="B88" s="1309" t="s">
        <v>123</v>
      </c>
      <c r="C88" s="1312"/>
      <c r="D88" s="1312"/>
      <c r="E88" s="514"/>
      <c r="F88" s="514"/>
      <c r="G88" s="514"/>
      <c r="H88" s="514">
        <v>28</v>
      </c>
      <c r="I88" s="515" t="s">
        <v>124</v>
      </c>
      <c r="J88" s="1315">
        <f>ROUND((H88),2)</f>
        <v>28</v>
      </c>
      <c r="K88" s="499"/>
      <c r="L88" s="499"/>
      <c r="M88" s="499"/>
      <c r="N88" s="499"/>
      <c r="O88" s="501"/>
      <c r="P88" s="501"/>
      <c r="Q88" s="501"/>
    </row>
    <row r="89" spans="1:17" ht="15.75" customHeight="1">
      <c r="A89" s="518">
        <f>A15+1</f>
        <v>3</v>
      </c>
      <c r="B89" s="336" t="s">
        <v>125</v>
      </c>
      <c r="C89" s="513"/>
      <c r="D89" s="513"/>
      <c r="E89" s="514"/>
      <c r="F89" s="514"/>
      <c r="G89" s="514"/>
      <c r="H89" s="514"/>
      <c r="I89" s="515"/>
      <c r="J89" s="1315">
        <f>ROUND((H89),2)</f>
        <v>0</v>
      </c>
      <c r="K89" s="499"/>
      <c r="L89" s="499"/>
      <c r="M89" s="499"/>
      <c r="N89" s="499"/>
      <c r="O89" s="501"/>
      <c r="P89" s="501"/>
      <c r="Q89" s="501"/>
    </row>
    <row r="90" spans="1:17" ht="15.75" customHeight="1">
      <c r="A90" s="522" t="s">
        <v>95</v>
      </c>
      <c r="B90" s="336" t="s">
        <v>126</v>
      </c>
      <c r="C90" s="513"/>
      <c r="D90" s="513"/>
      <c r="E90" s="514"/>
      <c r="F90" s="514"/>
      <c r="G90" s="514" t="s">
        <v>1654</v>
      </c>
      <c r="H90" s="514"/>
      <c r="I90" s="515"/>
      <c r="J90" s="1315">
        <f>ROUND((H90),2)</f>
        <v>0</v>
      </c>
      <c r="K90" s="499"/>
      <c r="L90" s="499"/>
      <c r="M90" s="499"/>
      <c r="N90" s="499"/>
      <c r="O90" s="501"/>
      <c r="P90" s="501"/>
      <c r="Q90" s="501"/>
    </row>
    <row r="91" spans="1:17" ht="15.75" customHeight="1">
      <c r="A91" s="522"/>
      <c r="B91" s="525" t="s">
        <v>284</v>
      </c>
      <c r="C91" s="513">
        <v>1.35</v>
      </c>
      <c r="D91" s="513">
        <f>0.15*2</f>
        <v>0.3</v>
      </c>
      <c r="E91" s="514"/>
      <c r="F91" s="514">
        <v>10</v>
      </c>
      <c r="G91" s="514">
        <v>2</v>
      </c>
      <c r="H91" s="514">
        <f>C91*D91*F91*G91</f>
        <v>8.1000000000000014</v>
      </c>
      <c r="I91" s="515"/>
      <c r="J91" s="1315"/>
      <c r="K91" s="499"/>
      <c r="L91" s="499"/>
      <c r="M91" s="499"/>
      <c r="N91" s="499"/>
      <c r="O91" s="501"/>
      <c r="P91" s="501"/>
      <c r="Q91" s="501"/>
    </row>
    <row r="92" spans="1:17" ht="15.75" customHeight="1">
      <c r="A92" s="522"/>
      <c r="B92" s="525" t="s">
        <v>285</v>
      </c>
      <c r="C92" s="513">
        <v>1.35</v>
      </c>
      <c r="D92" s="513">
        <v>0.15</v>
      </c>
      <c r="E92" s="514"/>
      <c r="F92" s="514">
        <f>F91</f>
        <v>10</v>
      </c>
      <c r="G92" s="514">
        <v>2</v>
      </c>
      <c r="H92" s="514">
        <f>C92*D92*F92*G92</f>
        <v>4.0500000000000007</v>
      </c>
      <c r="I92" s="515"/>
      <c r="J92" s="1315"/>
      <c r="K92" s="499"/>
      <c r="L92" s="499"/>
      <c r="M92" s="499"/>
      <c r="N92" s="499"/>
      <c r="O92" s="501"/>
      <c r="P92" s="501"/>
      <c r="Q92" s="501"/>
    </row>
    <row r="93" spans="1:17" ht="15.75" customHeight="1">
      <c r="A93" s="522"/>
      <c r="B93" s="525" t="s">
        <v>286</v>
      </c>
      <c r="C93" s="513">
        <v>1.35</v>
      </c>
      <c r="D93" s="513">
        <f>0.15*2</f>
        <v>0.3</v>
      </c>
      <c r="E93" s="514"/>
      <c r="F93" s="514">
        <v>8</v>
      </c>
      <c r="G93" s="514">
        <v>1</v>
      </c>
      <c r="H93" s="514">
        <f>C93*D93*F93*G93</f>
        <v>3.24</v>
      </c>
      <c r="I93" s="515"/>
      <c r="J93" s="1315"/>
      <c r="K93" s="499"/>
      <c r="L93" s="499"/>
      <c r="M93" s="499"/>
      <c r="N93" s="499"/>
      <c r="O93" s="501"/>
      <c r="P93" s="501"/>
      <c r="Q93" s="501"/>
    </row>
    <row r="94" spans="1:17" ht="15.75" customHeight="1">
      <c r="A94" s="522"/>
      <c r="B94" s="525" t="s">
        <v>287</v>
      </c>
      <c r="C94" s="513">
        <v>1.35</v>
      </c>
      <c r="D94" s="513">
        <v>0.15</v>
      </c>
      <c r="E94" s="514"/>
      <c r="F94" s="514">
        <f>F93</f>
        <v>8</v>
      </c>
      <c r="G94" s="514">
        <v>1</v>
      </c>
      <c r="H94" s="514">
        <f>C94*D94*F94*G94</f>
        <v>1.62</v>
      </c>
      <c r="I94" s="515"/>
      <c r="J94" s="1315"/>
      <c r="K94" s="499"/>
      <c r="L94" s="499"/>
      <c r="M94" s="499"/>
      <c r="N94" s="499"/>
      <c r="O94" s="501"/>
      <c r="P94" s="501"/>
      <c r="Q94" s="501"/>
    </row>
    <row r="95" spans="1:17" ht="15.75" customHeight="1">
      <c r="A95" s="522"/>
      <c r="B95" s="336"/>
      <c r="C95" s="513"/>
      <c r="D95" s="513"/>
      <c r="E95" s="514"/>
      <c r="F95" s="514"/>
      <c r="G95" s="514"/>
      <c r="H95" s="527">
        <f>ROUNDUP((SUM(H91:H94)),5)</f>
        <v>17.010000000000002</v>
      </c>
      <c r="I95" s="523" t="s">
        <v>89</v>
      </c>
      <c r="J95" s="1315">
        <f>ROUND((H95),2)</f>
        <v>17.010000000000002</v>
      </c>
      <c r="K95" s="499"/>
      <c r="L95" s="499"/>
      <c r="M95" s="499"/>
      <c r="N95" s="499"/>
      <c r="O95" s="501"/>
      <c r="P95" s="501"/>
      <c r="Q95" s="501"/>
    </row>
    <row r="96" spans="1:17" ht="15.75" customHeight="1">
      <c r="A96" s="522" t="s">
        <v>98</v>
      </c>
      <c r="B96" s="336" t="s">
        <v>1655</v>
      </c>
      <c r="C96" s="1331" t="s">
        <v>132</v>
      </c>
      <c r="D96" s="1331" t="s">
        <v>133</v>
      </c>
      <c r="E96" s="1332" t="s">
        <v>134</v>
      </c>
      <c r="F96" s="527" t="s">
        <v>135</v>
      </c>
      <c r="G96" s="527"/>
      <c r="H96" s="514"/>
      <c r="I96" s="542"/>
      <c r="J96" s="1333"/>
      <c r="K96" s="537"/>
      <c r="L96" s="499"/>
      <c r="M96" s="499"/>
      <c r="N96" s="499"/>
      <c r="O96" s="501"/>
      <c r="P96" s="501"/>
      <c r="Q96" s="501"/>
    </row>
    <row r="97" spans="1:17" ht="15.75" customHeight="1">
      <c r="A97" s="522"/>
      <c r="B97" s="525" t="s">
        <v>154</v>
      </c>
      <c r="C97" s="513">
        <v>3</v>
      </c>
      <c r="D97" s="514">
        <v>0.62</v>
      </c>
      <c r="E97" s="514">
        <v>4</v>
      </c>
      <c r="F97" s="514">
        <v>10</v>
      </c>
      <c r="G97" s="514"/>
      <c r="H97" s="513">
        <f>C97*D97*E97*F97</f>
        <v>74.399999999999991</v>
      </c>
      <c r="I97" s="542"/>
      <c r="J97" s="1333"/>
      <c r="K97" s="537"/>
      <c r="L97" s="499"/>
      <c r="M97" s="499"/>
      <c r="N97" s="499"/>
      <c r="O97" s="501"/>
      <c r="P97" s="501"/>
      <c r="Q97" s="501"/>
    </row>
    <row r="98" spans="1:17" ht="15.75" customHeight="1">
      <c r="A98" s="522"/>
      <c r="B98" s="525" t="s">
        <v>288</v>
      </c>
      <c r="C98" s="513">
        <f>7+1</f>
        <v>8</v>
      </c>
      <c r="D98" s="514">
        <v>0.62</v>
      </c>
      <c r="E98" s="514">
        <v>4</v>
      </c>
      <c r="F98" s="514">
        <v>2</v>
      </c>
      <c r="G98" s="514">
        <v>2</v>
      </c>
      <c r="H98" s="1313">
        <f>C98*D98*E98*F98*G98</f>
        <v>79.36</v>
      </c>
      <c r="I98" s="542"/>
      <c r="J98" s="1333"/>
      <c r="K98" s="499" t="s">
        <v>138</v>
      </c>
      <c r="L98" s="499"/>
      <c r="M98" s="499"/>
      <c r="N98" s="499"/>
      <c r="O98" s="501"/>
      <c r="P98" s="501"/>
      <c r="Q98" s="501"/>
    </row>
    <row r="99" spans="1:17" ht="15.75" customHeight="1">
      <c r="A99" s="522"/>
      <c r="B99" s="525"/>
      <c r="C99" s="513"/>
      <c r="D99" s="513"/>
      <c r="E99" s="514"/>
      <c r="F99" s="514"/>
      <c r="G99" s="514"/>
      <c r="H99" s="527">
        <f>ROUNDUP((SUM(H97:H98)),5)</f>
        <v>153.76</v>
      </c>
      <c r="I99" s="523" t="s">
        <v>100</v>
      </c>
      <c r="J99" s="1315">
        <f>ROUND((H99),2)</f>
        <v>153.76</v>
      </c>
      <c r="K99" s="1334">
        <v>1416.16</v>
      </c>
      <c r="L99" s="499"/>
      <c r="M99" s="499"/>
      <c r="N99" s="499"/>
      <c r="O99" s="501"/>
      <c r="P99" s="501"/>
      <c r="Q99" s="501"/>
    </row>
    <row r="100" spans="1:17" ht="15.75" customHeight="1">
      <c r="A100" s="522" t="s">
        <v>101</v>
      </c>
      <c r="B100" s="336" t="s">
        <v>1526</v>
      </c>
      <c r="C100" s="1331" t="s">
        <v>132</v>
      </c>
      <c r="D100" s="1331" t="s">
        <v>133</v>
      </c>
      <c r="E100" s="514"/>
      <c r="F100" s="514"/>
      <c r="G100" s="514" t="s">
        <v>139</v>
      </c>
      <c r="H100" s="514"/>
      <c r="I100" s="515"/>
      <c r="J100" s="1315"/>
      <c r="K100" s="499"/>
      <c r="L100" s="499"/>
      <c r="M100" s="499"/>
      <c r="N100" s="499"/>
      <c r="O100" s="501"/>
      <c r="P100" s="501"/>
      <c r="Q100" s="501"/>
    </row>
    <row r="101" spans="1:17" ht="15.75" customHeight="1">
      <c r="A101" s="522"/>
      <c r="B101" s="525" t="s">
        <v>154</v>
      </c>
      <c r="C101" s="1317">
        <f>(0.09*4)+0.05</f>
        <v>0.41</v>
      </c>
      <c r="D101" s="514">
        <f>8*8*0.006165</f>
        <v>0.39456000000000002</v>
      </c>
      <c r="E101" s="514"/>
      <c r="F101" s="514">
        <f>F97</f>
        <v>10</v>
      </c>
      <c r="G101" s="514">
        <f>C97/0.1</f>
        <v>30</v>
      </c>
      <c r="H101" s="514">
        <f>C101*D101*F101*G101</f>
        <v>48.530879999999996</v>
      </c>
      <c r="I101" s="515"/>
      <c r="J101" s="1315"/>
      <c r="K101" s="537"/>
      <c r="L101" s="499"/>
      <c r="M101" s="499"/>
      <c r="N101" s="499"/>
      <c r="O101" s="501"/>
      <c r="P101" s="501"/>
      <c r="Q101" s="501"/>
    </row>
    <row r="102" spans="1:17" ht="15.75" customHeight="1">
      <c r="A102" s="522"/>
      <c r="B102" s="525" t="s">
        <v>155</v>
      </c>
      <c r="C102" s="1317">
        <f>(0.09*4)+0.05</f>
        <v>0.41</v>
      </c>
      <c r="D102" s="514">
        <f>8*8*0.006165</f>
        <v>0.39456000000000002</v>
      </c>
      <c r="E102" s="514"/>
      <c r="F102" s="514">
        <f>F98*G98</f>
        <v>4</v>
      </c>
      <c r="G102" s="514">
        <f>C98/0.1</f>
        <v>80</v>
      </c>
      <c r="H102" s="521">
        <f>C102*D102*F102*G102</f>
        <v>51.766271999999994</v>
      </c>
      <c r="I102" s="515"/>
      <c r="J102" s="1315"/>
      <c r="K102" s="537"/>
      <c r="L102" s="499"/>
      <c r="M102" s="499"/>
      <c r="N102" s="499"/>
      <c r="O102" s="501"/>
      <c r="P102" s="501"/>
      <c r="Q102" s="501"/>
    </row>
    <row r="103" spans="1:17" ht="15.75" customHeight="1">
      <c r="A103" s="522"/>
      <c r="B103" s="336"/>
      <c r="C103" s="513"/>
      <c r="D103" s="513"/>
      <c r="E103" s="514"/>
      <c r="F103" s="514"/>
      <c r="G103" s="514"/>
      <c r="H103" s="527">
        <f>ROUNDUP((SUM(H101:H102)),5)</f>
        <v>100.29716000000001</v>
      </c>
      <c r="I103" s="523" t="s">
        <v>100</v>
      </c>
      <c r="J103" s="1315">
        <f>ROUND((H103),2)</f>
        <v>100.3</v>
      </c>
      <c r="K103" s="1334">
        <v>16.0152</v>
      </c>
      <c r="L103" s="499"/>
      <c r="M103" s="499"/>
      <c r="N103" s="499"/>
      <c r="O103" s="501"/>
      <c r="P103" s="501"/>
      <c r="Q103" s="501"/>
    </row>
    <row r="104" spans="1:17" ht="15.75" customHeight="1">
      <c r="A104" s="522" t="s">
        <v>121</v>
      </c>
      <c r="B104" s="336" t="s">
        <v>102</v>
      </c>
      <c r="C104" s="513"/>
      <c r="D104" s="513"/>
      <c r="E104" s="514"/>
      <c r="F104" s="514"/>
      <c r="G104" s="514"/>
      <c r="H104" s="514"/>
      <c r="I104" s="515"/>
      <c r="J104" s="1315"/>
      <c r="K104" s="1335"/>
      <c r="L104" s="499"/>
      <c r="M104" s="499"/>
      <c r="N104" s="499"/>
      <c r="O104" s="501"/>
      <c r="P104" s="501"/>
      <c r="Q104" s="501"/>
    </row>
    <row r="105" spans="1:17" ht="15.75" customHeight="1">
      <c r="A105" s="522"/>
      <c r="B105" s="525" t="s">
        <v>154</v>
      </c>
      <c r="C105" s="513">
        <f>C97</f>
        <v>3</v>
      </c>
      <c r="D105" s="513">
        <v>0.15</v>
      </c>
      <c r="E105" s="513">
        <v>0.15</v>
      </c>
      <c r="F105" s="514">
        <f>F101</f>
        <v>10</v>
      </c>
      <c r="G105" s="514"/>
      <c r="H105" s="514">
        <f>C105*D105*E105*F105</f>
        <v>0.67499999999999993</v>
      </c>
      <c r="I105" s="515"/>
      <c r="J105" s="1315"/>
      <c r="K105" s="526"/>
      <c r="L105" s="499"/>
      <c r="M105" s="499"/>
      <c r="N105" s="499"/>
      <c r="O105" s="501"/>
      <c r="P105" s="501"/>
      <c r="Q105" s="501"/>
    </row>
    <row r="106" spans="1:17" ht="15.75" customHeight="1">
      <c r="A106" s="522"/>
      <c r="B106" s="525" t="s">
        <v>155</v>
      </c>
      <c r="C106" s="513">
        <f>C98</f>
        <v>8</v>
      </c>
      <c r="D106" s="513">
        <v>0.15</v>
      </c>
      <c r="E106" s="513">
        <v>0.15</v>
      </c>
      <c r="F106" s="514"/>
      <c r="G106" s="514">
        <f>F102</f>
        <v>4</v>
      </c>
      <c r="H106" s="1336">
        <f>C106*D106*E106*G106</f>
        <v>0.72</v>
      </c>
      <c r="I106" s="515"/>
      <c r="J106" s="1315"/>
      <c r="K106" s="499"/>
      <c r="L106" s="499"/>
      <c r="M106" s="499"/>
      <c r="N106" s="499"/>
      <c r="O106" s="501"/>
      <c r="P106" s="501"/>
      <c r="Q106" s="501"/>
    </row>
    <row r="107" spans="1:17" ht="15.75" customHeight="1">
      <c r="A107" s="522"/>
      <c r="B107" s="525" t="s">
        <v>141</v>
      </c>
      <c r="C107" s="513">
        <v>0.15</v>
      </c>
      <c r="D107" s="513">
        <v>0.15</v>
      </c>
      <c r="E107" s="513">
        <v>0.15</v>
      </c>
      <c r="F107" s="514"/>
      <c r="G107" s="514">
        <f>H88</f>
        <v>28</v>
      </c>
      <c r="H107" s="1336">
        <f>-C107*D107*E107*G107</f>
        <v>-9.4500000000000001E-2</v>
      </c>
      <c r="I107" s="515"/>
      <c r="J107" s="1315"/>
      <c r="K107" s="499"/>
      <c r="L107" s="499"/>
      <c r="M107" s="499"/>
      <c r="N107" s="499"/>
      <c r="O107" s="501"/>
      <c r="P107" s="501"/>
      <c r="Q107" s="501"/>
    </row>
    <row r="108" spans="1:17" ht="15.75" customHeight="1">
      <c r="A108" s="522"/>
      <c r="B108" s="336"/>
      <c r="C108" s="513"/>
      <c r="D108" s="513"/>
      <c r="E108" s="514"/>
      <c r="F108" s="514"/>
      <c r="G108" s="514"/>
      <c r="H108" s="527">
        <f>ROUNDUP((SUM(H105:H107)),5)</f>
        <v>1.3005</v>
      </c>
      <c r="I108" s="523" t="s">
        <v>103</v>
      </c>
      <c r="J108" s="1315">
        <f>ROUND((H108),2)</f>
        <v>1.3</v>
      </c>
      <c r="K108" s="499"/>
      <c r="L108" s="499"/>
      <c r="M108" s="499"/>
      <c r="N108" s="499"/>
      <c r="O108" s="501"/>
      <c r="P108" s="501"/>
      <c r="Q108" s="501"/>
    </row>
    <row r="109" spans="1:17" ht="15.75" customHeight="1">
      <c r="A109" s="522" t="s">
        <v>142</v>
      </c>
      <c r="B109" s="336" t="s">
        <v>143</v>
      </c>
      <c r="C109" s="513"/>
      <c r="D109" s="513"/>
      <c r="E109" s="514"/>
      <c r="F109" s="514"/>
      <c r="G109" s="514"/>
      <c r="H109" s="514">
        <f>H108</f>
        <v>1.3005</v>
      </c>
      <c r="I109" s="515" t="s">
        <v>103</v>
      </c>
      <c r="J109" s="1315">
        <f>ROUND((H109),2)</f>
        <v>1.3</v>
      </c>
      <c r="K109" s="499"/>
      <c r="L109" s="499"/>
      <c r="M109" s="499"/>
      <c r="N109" s="499"/>
      <c r="O109" s="501"/>
      <c r="P109" s="501"/>
      <c r="Q109" s="501"/>
    </row>
    <row r="110" spans="1:17" ht="15.75" customHeight="1">
      <c r="A110" s="518">
        <f>A89+1</f>
        <v>4</v>
      </c>
      <c r="B110" s="336" t="s">
        <v>1656</v>
      </c>
      <c r="C110" s="513"/>
      <c r="D110" s="513"/>
      <c r="E110" s="514"/>
      <c r="F110" s="514"/>
      <c r="G110" s="514"/>
      <c r="H110" s="514"/>
      <c r="I110" s="515"/>
      <c r="J110" s="1315"/>
      <c r="K110" s="499"/>
      <c r="L110" s="499"/>
      <c r="M110" s="499"/>
      <c r="N110" s="499"/>
      <c r="O110" s="501"/>
      <c r="P110" s="501"/>
      <c r="Q110" s="501"/>
    </row>
    <row r="111" spans="1:17" ht="15.75" customHeight="1">
      <c r="A111" s="522" t="s">
        <v>95</v>
      </c>
      <c r="B111" s="336" t="s">
        <v>126</v>
      </c>
      <c r="C111" s="513">
        <f>1.35+(0.5-(0.5*0.15))</f>
        <v>1.7750000000000001</v>
      </c>
      <c r="D111" s="1317">
        <f>0.15+0.05*2</f>
        <v>0.25</v>
      </c>
      <c r="E111" s="514"/>
      <c r="F111" s="514">
        <v>10</v>
      </c>
      <c r="G111" s="514">
        <v>2</v>
      </c>
      <c r="H111" s="514">
        <f>ROUNDUP((C111*D111*F111*G111),5)</f>
        <v>8.875</v>
      </c>
      <c r="I111" s="515" t="s">
        <v>89</v>
      </c>
      <c r="J111" s="1315">
        <f>ROUND((H111),2)</f>
        <v>8.8800000000000008</v>
      </c>
      <c r="K111" s="499">
        <f>1.35+(0.5-0.075)</f>
        <v>1.7750000000000001</v>
      </c>
      <c r="L111" s="499"/>
      <c r="M111" s="499"/>
      <c r="N111" s="499"/>
      <c r="O111" s="501"/>
      <c r="P111" s="501"/>
      <c r="Q111" s="501"/>
    </row>
    <row r="112" spans="1:17" ht="15.75" customHeight="1">
      <c r="A112" s="522" t="s">
        <v>98</v>
      </c>
      <c r="B112" s="336" t="s">
        <v>131</v>
      </c>
      <c r="C112" s="1317">
        <v>4</v>
      </c>
      <c r="D112" s="1317">
        <v>4</v>
      </c>
      <c r="E112" s="1318">
        <v>1.04</v>
      </c>
      <c r="F112" s="514">
        <f>F111</f>
        <v>10</v>
      </c>
      <c r="G112" s="514">
        <v>1</v>
      </c>
      <c r="H112" s="514">
        <f>ROUNDUP((C112*D112*E112*F112*G112),5)</f>
        <v>166.4</v>
      </c>
      <c r="I112" s="515" t="s">
        <v>100</v>
      </c>
      <c r="J112" s="1315">
        <f>ROUND((H112),2)</f>
        <v>166.4</v>
      </c>
      <c r="K112" s="499"/>
      <c r="L112" s="499"/>
      <c r="M112" s="499"/>
      <c r="N112" s="499"/>
      <c r="O112" s="501"/>
      <c r="P112" s="501"/>
      <c r="Q112" s="501"/>
    </row>
    <row r="113" spans="1:17" ht="15.75" customHeight="1">
      <c r="A113" s="522" t="s">
        <v>101</v>
      </c>
      <c r="B113" s="336" t="s">
        <v>1526</v>
      </c>
      <c r="C113" s="1317">
        <f>(0.09*4)+0.05</f>
        <v>0.41</v>
      </c>
      <c r="D113" s="1317">
        <f>ROUNDUP(C111/0.15,0.5)</f>
        <v>12</v>
      </c>
      <c r="E113" s="1318">
        <v>0.39500000000000002</v>
      </c>
      <c r="F113" s="514">
        <f>F112</f>
        <v>10</v>
      </c>
      <c r="G113" s="514">
        <v>2</v>
      </c>
      <c r="H113" s="514">
        <f>ROUNDUP((C113*D113*E113*F113*G113),5)</f>
        <v>38.868000000000002</v>
      </c>
      <c r="I113" s="515" t="s">
        <v>100</v>
      </c>
      <c r="J113" s="1315">
        <f>ROUND((H113),2)</f>
        <v>38.869999999999997</v>
      </c>
      <c r="K113" s="499"/>
      <c r="L113" s="499"/>
      <c r="M113" s="499"/>
      <c r="N113" s="499"/>
      <c r="O113" s="501"/>
      <c r="P113" s="501"/>
      <c r="Q113" s="501"/>
    </row>
    <row r="114" spans="1:17" ht="15.75" customHeight="1">
      <c r="A114" s="522" t="s">
        <v>121</v>
      </c>
      <c r="B114" s="336" t="s">
        <v>102</v>
      </c>
      <c r="C114" s="1317">
        <f>C111</f>
        <v>1.7750000000000001</v>
      </c>
      <c r="D114" s="1317">
        <v>0.15</v>
      </c>
      <c r="E114" s="1317">
        <v>0.05</v>
      </c>
      <c r="F114" s="514">
        <f>F113</f>
        <v>10</v>
      </c>
      <c r="G114" s="514">
        <v>2</v>
      </c>
      <c r="H114" s="514">
        <f>ROUNDUP((C114*D114*E114*F114*G114),5)</f>
        <v>0.26624999999999999</v>
      </c>
      <c r="I114" s="515" t="s">
        <v>103</v>
      </c>
      <c r="J114" s="1315">
        <f>ROUND((H114),2)</f>
        <v>0.27</v>
      </c>
      <c r="K114" s="499"/>
      <c r="L114" s="499"/>
      <c r="M114" s="499"/>
      <c r="N114" s="499"/>
      <c r="O114" s="501"/>
      <c r="P114" s="501"/>
      <c r="Q114" s="501"/>
    </row>
    <row r="115" spans="1:17" ht="15.75" customHeight="1">
      <c r="A115" s="522" t="s">
        <v>142</v>
      </c>
      <c r="B115" s="336" t="s">
        <v>145</v>
      </c>
      <c r="C115" s="513"/>
      <c r="D115" s="513"/>
      <c r="E115" s="514"/>
      <c r="F115" s="514"/>
      <c r="G115" s="514"/>
      <c r="H115" s="514">
        <f>H114</f>
        <v>0.26624999999999999</v>
      </c>
      <c r="I115" s="515" t="s">
        <v>103</v>
      </c>
      <c r="J115" s="1315">
        <f>ROUND((H115),2)</f>
        <v>0.27</v>
      </c>
      <c r="K115" s="499"/>
      <c r="L115" s="499"/>
      <c r="M115" s="499"/>
      <c r="N115" s="499"/>
      <c r="O115" s="501"/>
      <c r="P115" s="501"/>
      <c r="Q115" s="501"/>
    </row>
    <row r="116" spans="1:17" ht="15.75" customHeight="1">
      <c r="A116" s="518">
        <f>A110+1</f>
        <v>5</v>
      </c>
      <c r="B116" s="336" t="s">
        <v>1657</v>
      </c>
      <c r="C116" s="513"/>
      <c r="D116" s="513"/>
      <c r="E116" s="514"/>
      <c r="F116" s="514"/>
      <c r="G116" s="514"/>
      <c r="H116" s="514"/>
      <c r="I116" s="515"/>
      <c r="J116" s="1315"/>
      <c r="K116" s="499"/>
      <c r="L116" s="499"/>
      <c r="M116" s="499"/>
      <c r="N116" s="499"/>
      <c r="O116" s="501"/>
      <c r="P116" s="501"/>
      <c r="Q116" s="501"/>
    </row>
    <row r="117" spans="1:17" ht="15.75" customHeight="1">
      <c r="A117" s="522" t="s">
        <v>95</v>
      </c>
      <c r="B117" s="336" t="s">
        <v>126</v>
      </c>
      <c r="C117" s="1317">
        <v>1.35</v>
      </c>
      <c r="D117" s="1317">
        <f>0.15+0.05*2</f>
        <v>0.25</v>
      </c>
      <c r="E117" s="520"/>
      <c r="F117" s="520">
        <v>8</v>
      </c>
      <c r="G117" s="520">
        <v>2</v>
      </c>
      <c r="H117" s="520">
        <f>ROUNDUP((C117*D117*F117*G117),5)</f>
        <v>5.4</v>
      </c>
      <c r="I117" s="515" t="s">
        <v>89</v>
      </c>
      <c r="J117" s="1315">
        <f>ROUND((H117),2)</f>
        <v>5.4</v>
      </c>
      <c r="K117" s="499"/>
      <c r="L117" s="499"/>
      <c r="M117" s="499"/>
      <c r="N117" s="499"/>
      <c r="O117" s="501"/>
      <c r="P117" s="501"/>
      <c r="Q117" s="501"/>
    </row>
    <row r="118" spans="1:17" ht="15.75" customHeight="1">
      <c r="A118" s="522" t="s">
        <v>98</v>
      </c>
      <c r="B118" s="336" t="s">
        <v>131</v>
      </c>
      <c r="C118" s="1317">
        <v>1.5</v>
      </c>
      <c r="D118" s="1317">
        <v>4</v>
      </c>
      <c r="E118" s="520">
        <v>1.04</v>
      </c>
      <c r="F118" s="520">
        <f t="shared" ref="F118:G120" si="25">F117</f>
        <v>8</v>
      </c>
      <c r="G118" s="520">
        <f t="shared" si="25"/>
        <v>2</v>
      </c>
      <c r="H118" s="520">
        <f>ROUNDUP((C118*D118*E118*F118*G118),5)</f>
        <v>99.84</v>
      </c>
      <c r="I118" s="515" t="s">
        <v>100</v>
      </c>
      <c r="J118" s="1315">
        <f>ROUND((H118),2)</f>
        <v>99.84</v>
      </c>
      <c r="K118" s="499"/>
      <c r="L118" s="499"/>
      <c r="M118" s="499"/>
      <c r="N118" s="499"/>
      <c r="O118" s="501"/>
      <c r="P118" s="501"/>
      <c r="Q118" s="501"/>
    </row>
    <row r="119" spans="1:17" ht="15.75" customHeight="1">
      <c r="A119" s="522" t="s">
        <v>101</v>
      </c>
      <c r="B119" s="336" t="s">
        <v>1526</v>
      </c>
      <c r="C119" s="1317">
        <f>(0.09*4)+0.05</f>
        <v>0.41</v>
      </c>
      <c r="D119" s="1317">
        <f>ROUNDUP(C117/0.15,0.5)</f>
        <v>9</v>
      </c>
      <c r="E119" s="520">
        <v>0.39500000000000002</v>
      </c>
      <c r="F119" s="520">
        <f t="shared" si="25"/>
        <v>8</v>
      </c>
      <c r="G119" s="520">
        <f t="shared" si="25"/>
        <v>2</v>
      </c>
      <c r="H119" s="520">
        <f>C119*D119*E119*F119*G119</f>
        <v>23.320800000000002</v>
      </c>
      <c r="I119" s="515" t="s">
        <v>100</v>
      </c>
      <c r="J119" s="1315">
        <f>ROUND((H119),2)</f>
        <v>23.32</v>
      </c>
      <c r="K119" s="499"/>
      <c r="L119" s="499"/>
      <c r="M119" s="499"/>
      <c r="N119" s="499"/>
      <c r="O119" s="501"/>
      <c r="P119" s="501"/>
      <c r="Q119" s="501"/>
    </row>
    <row r="120" spans="1:17" ht="15.75" customHeight="1">
      <c r="A120" s="522" t="s">
        <v>121</v>
      </c>
      <c r="B120" s="336" t="s">
        <v>102</v>
      </c>
      <c r="C120" s="1317">
        <v>1.5</v>
      </c>
      <c r="D120" s="1317">
        <v>0.15</v>
      </c>
      <c r="E120" s="1317">
        <v>0.05</v>
      </c>
      <c r="F120" s="520">
        <f t="shared" si="25"/>
        <v>8</v>
      </c>
      <c r="G120" s="520">
        <f t="shared" si="25"/>
        <v>2</v>
      </c>
      <c r="H120" s="520">
        <f>C120*D120*E120*F120*G120</f>
        <v>0.18</v>
      </c>
      <c r="I120" s="515" t="s">
        <v>103</v>
      </c>
      <c r="J120" s="1315">
        <f>ROUND((H120),2)</f>
        <v>0.18</v>
      </c>
      <c r="K120" s="499"/>
      <c r="L120" s="499"/>
      <c r="M120" s="499"/>
      <c r="N120" s="499"/>
      <c r="O120" s="501"/>
      <c r="P120" s="501"/>
      <c r="Q120" s="501"/>
    </row>
    <row r="121" spans="1:17" ht="15.75" customHeight="1">
      <c r="A121" s="522" t="s">
        <v>142</v>
      </c>
      <c r="B121" s="336" t="s">
        <v>145</v>
      </c>
      <c r="C121" s="1317"/>
      <c r="D121" s="1317"/>
      <c r="E121" s="520"/>
      <c r="F121" s="520"/>
      <c r="G121" s="520"/>
      <c r="H121" s="520">
        <f>H120</f>
        <v>0.18</v>
      </c>
      <c r="I121" s="515" t="s">
        <v>103</v>
      </c>
      <c r="J121" s="1315">
        <f>ROUND((H121),2)</f>
        <v>0.18</v>
      </c>
      <c r="K121" s="499"/>
      <c r="L121" s="499"/>
      <c r="M121" s="499"/>
      <c r="N121" s="499"/>
      <c r="O121" s="501"/>
      <c r="P121" s="501"/>
      <c r="Q121" s="501"/>
    </row>
    <row r="122" spans="1:17" ht="15.75" customHeight="1">
      <c r="A122" s="518">
        <f>A116+1</f>
        <v>6</v>
      </c>
      <c r="B122" s="336" t="s">
        <v>147</v>
      </c>
      <c r="C122" s="513"/>
      <c r="D122" s="513"/>
      <c r="E122" s="514"/>
      <c r="F122" s="514"/>
      <c r="G122" s="514"/>
      <c r="H122" s="514"/>
      <c r="I122" s="515"/>
      <c r="J122" s="1315"/>
      <c r="K122" s="499"/>
      <c r="L122" s="499"/>
      <c r="M122" s="499"/>
      <c r="N122" s="499"/>
      <c r="O122" s="501"/>
      <c r="P122" s="501"/>
      <c r="Q122" s="501"/>
    </row>
    <row r="123" spans="1:17" ht="15.75" customHeight="1">
      <c r="A123" s="522" t="s">
        <v>95</v>
      </c>
      <c r="B123" s="336" t="s">
        <v>148</v>
      </c>
      <c r="C123" s="513"/>
      <c r="D123" s="513"/>
      <c r="E123" s="514"/>
      <c r="F123" s="514"/>
      <c r="G123" s="514"/>
      <c r="H123" s="514"/>
      <c r="I123" s="515"/>
      <c r="J123" s="1315"/>
      <c r="K123" s="499"/>
      <c r="L123" s="499"/>
      <c r="M123" s="499"/>
      <c r="N123" s="499"/>
      <c r="O123" s="501"/>
      <c r="P123" s="501"/>
      <c r="Q123" s="501"/>
    </row>
    <row r="124" spans="1:17" ht="15.75" customHeight="1">
      <c r="A124" s="522"/>
      <c r="B124" s="525" t="s">
        <v>149</v>
      </c>
      <c r="C124" s="1317">
        <f>7*2</f>
        <v>14</v>
      </c>
      <c r="D124" s="1317">
        <v>3</v>
      </c>
      <c r="E124" s="520"/>
      <c r="F124" s="520"/>
      <c r="G124" s="520"/>
      <c r="H124" s="520">
        <f>ROUNDUP((C124*D124),5)</f>
        <v>42</v>
      </c>
      <c r="I124" s="515"/>
      <c r="J124" s="1315"/>
      <c r="K124" s="499"/>
      <c r="L124" s="499"/>
      <c r="M124" s="499"/>
      <c r="N124" s="499"/>
      <c r="O124" s="501"/>
      <c r="P124" s="501"/>
      <c r="Q124" s="501"/>
    </row>
    <row r="125" spans="1:17" ht="15.75" customHeight="1">
      <c r="A125" s="522"/>
      <c r="B125" s="525" t="s">
        <v>150</v>
      </c>
      <c r="C125" s="1317">
        <v>4.6500000000000004</v>
      </c>
      <c r="D125" s="1317">
        <v>1.65</v>
      </c>
      <c r="E125" s="520"/>
      <c r="F125" s="520"/>
      <c r="G125" s="520"/>
      <c r="H125" s="520">
        <f>ROUNDUP((C125*D125),5)</f>
        <v>7.6725000000000003</v>
      </c>
      <c r="I125" s="515"/>
      <c r="J125" s="1315"/>
      <c r="K125" s="499"/>
      <c r="L125" s="499"/>
      <c r="M125" s="499"/>
      <c r="N125" s="499"/>
      <c r="O125" s="501"/>
      <c r="P125" s="501"/>
      <c r="Q125" s="501"/>
    </row>
    <row r="126" spans="1:17" ht="15.75" customHeight="1">
      <c r="A126" s="522"/>
      <c r="B126" s="336"/>
      <c r="C126" s="1317">
        <f>C111</f>
        <v>1.7750000000000001</v>
      </c>
      <c r="D126" s="1317">
        <f>0.15</f>
        <v>0.15</v>
      </c>
      <c r="E126" s="1317"/>
      <c r="F126" s="1317">
        <f>F111</f>
        <v>10</v>
      </c>
      <c r="G126" s="1317">
        <f>G111</f>
        <v>2</v>
      </c>
      <c r="H126" s="520">
        <f>-C126*D126*F126*G126</f>
        <v>-5.3249999999999993</v>
      </c>
      <c r="I126" s="515"/>
      <c r="J126" s="1315"/>
      <c r="K126" s="499"/>
      <c r="L126" s="499"/>
      <c r="M126" s="499"/>
      <c r="N126" s="499"/>
      <c r="O126" s="501"/>
      <c r="P126" s="501"/>
      <c r="Q126" s="501"/>
    </row>
    <row r="127" spans="1:17" ht="15.75" customHeight="1">
      <c r="A127" s="522"/>
      <c r="B127" s="336"/>
      <c r="C127" s="1317">
        <f>C117</f>
        <v>1.35</v>
      </c>
      <c r="D127" s="1317">
        <f>0.15</f>
        <v>0.15</v>
      </c>
      <c r="E127" s="520"/>
      <c r="F127" s="520">
        <f>F120</f>
        <v>8</v>
      </c>
      <c r="G127" s="520">
        <f>G120</f>
        <v>2</v>
      </c>
      <c r="H127" s="520">
        <f>-C127*D127*F127*G127</f>
        <v>-3.24</v>
      </c>
      <c r="I127" s="515"/>
      <c r="J127" s="1315"/>
      <c r="K127" s="499"/>
      <c r="L127" s="499"/>
      <c r="M127" s="499"/>
      <c r="N127" s="499"/>
      <c r="O127" s="501"/>
      <c r="P127" s="501"/>
      <c r="Q127" s="501"/>
    </row>
    <row r="128" spans="1:17" ht="15.75" customHeight="1">
      <c r="A128" s="522"/>
      <c r="B128" s="336"/>
      <c r="C128" s="1317">
        <f>C124</f>
        <v>14</v>
      </c>
      <c r="D128" s="1317"/>
      <c r="E128" s="520">
        <v>0.1</v>
      </c>
      <c r="F128" s="520">
        <v>2</v>
      </c>
      <c r="G128" s="520">
        <v>2</v>
      </c>
      <c r="H128" s="1324">
        <f>ROUNDUP((C128*E128*F128*G128),5)</f>
        <v>5.6</v>
      </c>
      <c r="I128" s="515"/>
      <c r="J128" s="1315"/>
      <c r="K128" s="499"/>
      <c r="L128" s="499"/>
      <c r="M128" s="499"/>
      <c r="N128" s="499"/>
      <c r="O128" s="501"/>
      <c r="P128" s="501"/>
      <c r="Q128" s="501"/>
    </row>
    <row r="129" spans="1:17" ht="15.75" customHeight="1">
      <c r="A129" s="522"/>
      <c r="B129" s="336"/>
      <c r="C129" s="1317">
        <f>D124</f>
        <v>3</v>
      </c>
      <c r="D129" s="1317"/>
      <c r="E129" s="520">
        <v>0.1</v>
      </c>
      <c r="F129" s="520">
        <v>2</v>
      </c>
      <c r="G129" s="520">
        <v>2</v>
      </c>
      <c r="H129" s="1324">
        <f>ROUNDUP((C129*E129*F129*G129),5)</f>
        <v>1.2</v>
      </c>
      <c r="I129" s="523"/>
      <c r="J129" s="1315"/>
      <c r="K129" s="499"/>
      <c r="L129" s="499"/>
      <c r="M129" s="499"/>
      <c r="N129" s="499"/>
      <c r="O129" s="501"/>
      <c r="P129" s="501"/>
      <c r="Q129" s="501"/>
    </row>
    <row r="130" spans="1:17" ht="15.75" customHeight="1">
      <c r="A130" s="522"/>
      <c r="B130" s="336"/>
      <c r="C130" s="1317"/>
      <c r="D130" s="1317"/>
      <c r="E130" s="520"/>
      <c r="F130" s="520"/>
      <c r="G130" s="520"/>
      <c r="H130" s="1323">
        <f>SUM(H124:H129)</f>
        <v>47.907499999999999</v>
      </c>
      <c r="I130" s="523" t="s">
        <v>89</v>
      </c>
      <c r="J130" s="1315">
        <f>ROUND((H130),2)</f>
        <v>47.91</v>
      </c>
      <c r="K130" s="499"/>
      <c r="L130" s="499"/>
      <c r="M130" s="499"/>
      <c r="N130" s="499"/>
      <c r="O130" s="501"/>
      <c r="P130" s="501"/>
      <c r="Q130" s="501"/>
    </row>
    <row r="131" spans="1:17" ht="15.75" customHeight="1">
      <c r="A131" s="522" t="s">
        <v>98</v>
      </c>
      <c r="B131" s="336" t="s">
        <v>152</v>
      </c>
      <c r="C131" s="531"/>
      <c r="D131" s="531"/>
      <c r="E131" s="531"/>
      <c r="F131" s="531"/>
      <c r="G131" s="531"/>
      <c r="H131" s="1337"/>
      <c r="I131" s="500"/>
      <c r="J131" s="1315"/>
      <c r="K131" s="499"/>
      <c r="L131" s="499"/>
      <c r="M131" s="499"/>
      <c r="N131" s="499"/>
      <c r="O131" s="501"/>
      <c r="P131" s="501"/>
      <c r="Q131" s="501"/>
    </row>
    <row r="132" spans="1:17" ht="15.75" customHeight="1">
      <c r="A132" s="522"/>
      <c r="B132" s="525" t="str">
        <f t="shared" ref="B132:D133" si="26">B124</f>
        <v>Bordes atas</v>
      </c>
      <c r="C132" s="531">
        <f t="shared" si="26"/>
        <v>14</v>
      </c>
      <c r="D132" s="531">
        <f t="shared" si="26"/>
        <v>3</v>
      </c>
      <c r="E132" s="531"/>
      <c r="F132" s="531"/>
      <c r="G132" s="531"/>
      <c r="H132" s="514">
        <f>ROUNDUP((C132*D132),5)</f>
        <v>42</v>
      </c>
      <c r="I132" s="500"/>
      <c r="J132" s="1315"/>
      <c r="K132" s="499"/>
      <c r="L132" s="499"/>
      <c r="M132" s="499"/>
      <c r="N132" s="499"/>
      <c r="O132" s="501"/>
      <c r="P132" s="501"/>
      <c r="Q132" s="501"/>
    </row>
    <row r="133" spans="1:17" ht="15.75" customHeight="1">
      <c r="A133" s="522"/>
      <c r="B133" s="525" t="str">
        <f t="shared" si="26"/>
        <v>Bordes bawah</v>
      </c>
      <c r="C133" s="531">
        <f t="shared" si="26"/>
        <v>4.6500000000000004</v>
      </c>
      <c r="D133" s="531">
        <f t="shared" si="26"/>
        <v>1.65</v>
      </c>
      <c r="E133" s="531"/>
      <c r="F133" s="531"/>
      <c r="G133" s="531"/>
      <c r="H133" s="1338">
        <f>ROUNDUP((C133*D133),5)</f>
        <v>7.6725000000000003</v>
      </c>
      <c r="I133" s="500"/>
      <c r="J133" s="1315"/>
      <c r="K133" s="499"/>
      <c r="L133" s="499"/>
      <c r="M133" s="499"/>
      <c r="N133" s="499"/>
      <c r="O133" s="501"/>
      <c r="P133" s="501"/>
      <c r="Q133" s="501"/>
    </row>
    <row r="134" spans="1:17" ht="15.75" customHeight="1">
      <c r="A134" s="522"/>
      <c r="B134" s="336"/>
      <c r="C134" s="513"/>
      <c r="D134" s="513"/>
      <c r="E134" s="514"/>
      <c r="F134" s="514"/>
      <c r="G134" s="514"/>
      <c r="H134" s="527">
        <f>SUM(H132:H133)</f>
        <v>49.672499999999999</v>
      </c>
      <c r="I134" s="523" t="s">
        <v>89</v>
      </c>
      <c r="J134" s="1315">
        <f>ROUND((H134),2)</f>
        <v>49.67</v>
      </c>
      <c r="K134" s="499"/>
      <c r="L134" s="499"/>
      <c r="M134" s="499"/>
      <c r="N134" s="499"/>
      <c r="O134" s="501"/>
      <c r="P134" s="501"/>
      <c r="Q134" s="501"/>
    </row>
    <row r="135" spans="1:17" ht="15.75" customHeight="1">
      <c r="A135" s="522" t="s">
        <v>101</v>
      </c>
      <c r="B135" s="336" t="s">
        <v>102</v>
      </c>
      <c r="C135" s="513"/>
      <c r="D135" s="513"/>
      <c r="E135" s="514"/>
      <c r="F135" s="514"/>
      <c r="G135" s="514"/>
      <c r="H135" s="514"/>
      <c r="I135" s="515"/>
      <c r="J135" s="1315"/>
      <c r="K135" s="499"/>
      <c r="L135" s="499"/>
      <c r="M135" s="499"/>
      <c r="N135" s="499"/>
      <c r="O135" s="501"/>
      <c r="P135" s="501"/>
      <c r="Q135" s="501"/>
    </row>
    <row r="136" spans="1:17" ht="15.75" customHeight="1">
      <c r="A136" s="522"/>
      <c r="B136" s="525" t="str">
        <f t="shared" ref="B136:D137" si="27">B132</f>
        <v>Bordes atas</v>
      </c>
      <c r="C136" s="513">
        <f t="shared" si="27"/>
        <v>14</v>
      </c>
      <c r="D136" s="513">
        <f t="shared" si="27"/>
        <v>3</v>
      </c>
      <c r="E136" s="514">
        <v>0.1</v>
      </c>
      <c r="F136" s="514"/>
      <c r="G136" s="514"/>
      <c r="H136" s="514">
        <f>C136*D136*E136</f>
        <v>4.2</v>
      </c>
      <c r="I136" s="515"/>
      <c r="J136" s="1315"/>
      <c r="K136" s="499"/>
      <c r="L136" s="499"/>
      <c r="M136" s="499"/>
      <c r="N136" s="499"/>
      <c r="O136" s="501"/>
      <c r="P136" s="501"/>
      <c r="Q136" s="501"/>
    </row>
    <row r="137" spans="1:17" ht="15.75" customHeight="1">
      <c r="A137" s="522"/>
      <c r="B137" s="525" t="str">
        <f t="shared" si="27"/>
        <v>Bordes bawah</v>
      </c>
      <c r="C137" s="513">
        <f t="shared" si="27"/>
        <v>4.6500000000000004</v>
      </c>
      <c r="D137" s="513">
        <f t="shared" si="27"/>
        <v>1.65</v>
      </c>
      <c r="E137" s="514">
        <f>E136</f>
        <v>0.1</v>
      </c>
      <c r="F137" s="514"/>
      <c r="G137" s="514"/>
      <c r="H137" s="521">
        <f>C137*D137*E137</f>
        <v>0.7672500000000001</v>
      </c>
      <c r="I137" s="515"/>
      <c r="J137" s="1315"/>
      <c r="K137" s="499"/>
      <c r="L137" s="499"/>
      <c r="M137" s="499"/>
      <c r="N137" s="499"/>
      <c r="O137" s="501"/>
      <c r="P137" s="501"/>
      <c r="Q137" s="501"/>
    </row>
    <row r="138" spans="1:17" ht="15.75" customHeight="1">
      <c r="A138" s="522"/>
      <c r="B138" s="336"/>
      <c r="C138" s="513"/>
      <c r="D138" s="513"/>
      <c r="E138" s="514"/>
      <c r="F138" s="514"/>
      <c r="G138" s="514"/>
      <c r="H138" s="527">
        <f>SUM(H136:H137)</f>
        <v>4.9672499999999999</v>
      </c>
      <c r="I138" s="523" t="s">
        <v>103</v>
      </c>
      <c r="J138" s="1315">
        <f>ROUND((H138),2)</f>
        <v>4.97</v>
      </c>
      <c r="K138" s="499"/>
      <c r="L138" s="499"/>
      <c r="M138" s="499"/>
      <c r="N138" s="499"/>
      <c r="O138" s="501"/>
      <c r="P138" s="501"/>
      <c r="Q138" s="501"/>
    </row>
    <row r="139" spans="1:17" ht="15.75" customHeight="1">
      <c r="A139" s="522" t="s">
        <v>121</v>
      </c>
      <c r="B139" s="336" t="s">
        <v>145</v>
      </c>
      <c r="C139" s="513"/>
      <c r="D139" s="513"/>
      <c r="E139" s="514"/>
      <c r="F139" s="514"/>
      <c r="G139" s="514"/>
      <c r="H139" s="514"/>
      <c r="I139" s="515"/>
      <c r="J139" s="1315">
        <f>J138</f>
        <v>4.97</v>
      </c>
      <c r="K139" s="499"/>
      <c r="L139" s="499"/>
      <c r="M139" s="499"/>
      <c r="N139" s="499"/>
      <c r="O139" s="501"/>
      <c r="P139" s="501"/>
      <c r="Q139" s="501"/>
    </row>
    <row r="140" spans="1:17" ht="15.75" customHeight="1">
      <c r="A140" s="518">
        <f>A122+1</f>
        <v>7</v>
      </c>
      <c r="B140" s="336" t="s">
        <v>156</v>
      </c>
      <c r="C140" s="1312"/>
      <c r="D140" s="1312"/>
      <c r="E140" s="514"/>
      <c r="F140" s="514"/>
      <c r="G140" s="514"/>
      <c r="H140" s="514"/>
      <c r="I140" s="515"/>
      <c r="J140" s="1315"/>
      <c r="K140" s="499"/>
      <c r="L140" s="499">
        <f>147/6</f>
        <v>24.5</v>
      </c>
      <c r="M140" s="499"/>
      <c r="N140" s="499"/>
      <c r="O140" s="501"/>
      <c r="P140" s="501"/>
      <c r="Q140" s="501"/>
    </row>
    <row r="141" spans="1:17" ht="15.75" customHeight="1">
      <c r="A141" s="522" t="s">
        <v>95</v>
      </c>
      <c r="B141" s="336" t="s">
        <v>106</v>
      </c>
      <c r="C141" s="1339"/>
      <c r="D141" s="1339"/>
      <c r="E141" s="514"/>
      <c r="F141" s="514"/>
      <c r="G141" s="514"/>
      <c r="H141" s="527">
        <f>SUM(H142:H145)</f>
        <v>1.6</v>
      </c>
      <c r="I141" s="523" t="s">
        <v>89</v>
      </c>
      <c r="J141" s="1315">
        <f>ROUND((H141),2)</f>
        <v>1.6</v>
      </c>
      <c r="K141" s="499"/>
      <c r="L141" s="499"/>
      <c r="M141" s="499"/>
      <c r="N141" s="499"/>
      <c r="O141" s="501"/>
      <c r="P141" s="501"/>
      <c r="Q141" s="501"/>
    </row>
    <row r="142" spans="1:17" ht="15.75" customHeight="1">
      <c r="A142" s="522"/>
      <c r="B142" s="525" t="s">
        <v>157</v>
      </c>
      <c r="C142" s="1339">
        <v>0.6</v>
      </c>
      <c r="D142" s="1340">
        <v>0.05</v>
      </c>
      <c r="E142" s="514"/>
      <c r="F142" s="514">
        <v>4</v>
      </c>
      <c r="G142" s="514">
        <v>2</v>
      </c>
      <c r="H142" s="520">
        <f>C142*D142*F142*G142</f>
        <v>0.24</v>
      </c>
      <c r="I142" s="515"/>
      <c r="J142" s="1315"/>
      <c r="K142" s="499"/>
      <c r="L142" s="499"/>
      <c r="M142" s="499"/>
      <c r="N142" s="499"/>
      <c r="O142" s="501"/>
      <c r="P142" s="501"/>
      <c r="Q142" s="501"/>
    </row>
    <row r="143" spans="1:17" ht="15.75" customHeight="1">
      <c r="A143" s="522"/>
      <c r="B143" s="525" t="s">
        <v>158</v>
      </c>
      <c r="C143" s="1339">
        <v>0.6</v>
      </c>
      <c r="D143" s="1340">
        <v>0.05</v>
      </c>
      <c r="E143" s="514"/>
      <c r="F143" s="514">
        <v>4</v>
      </c>
      <c r="G143" s="514">
        <f>G142</f>
        <v>2</v>
      </c>
      <c r="H143" s="520">
        <f>C143*D143*F143*G143</f>
        <v>0.24</v>
      </c>
      <c r="I143" s="515"/>
      <c r="J143" s="1315"/>
      <c r="K143" s="499"/>
      <c r="L143" s="499"/>
      <c r="M143" s="499"/>
      <c r="N143" s="499"/>
      <c r="O143" s="501"/>
      <c r="P143" s="501"/>
      <c r="Q143" s="501"/>
    </row>
    <row r="144" spans="1:17" ht="15.75" customHeight="1">
      <c r="A144" s="522"/>
      <c r="B144" s="525" t="s">
        <v>159</v>
      </c>
      <c r="C144" s="1339">
        <v>0.4</v>
      </c>
      <c r="D144" s="514">
        <v>0.2</v>
      </c>
      <c r="E144" s="514"/>
      <c r="F144" s="514">
        <v>4</v>
      </c>
      <c r="G144" s="514">
        <f>G143</f>
        <v>2</v>
      </c>
      <c r="H144" s="520">
        <f>C144*D144*F144*G144</f>
        <v>0.64000000000000012</v>
      </c>
      <c r="I144" s="515"/>
      <c r="J144" s="1315"/>
      <c r="K144" s="499"/>
      <c r="L144" s="499"/>
      <c r="M144" s="499"/>
      <c r="N144" s="499"/>
      <c r="O144" s="501"/>
      <c r="P144" s="501"/>
      <c r="Q144" s="501"/>
    </row>
    <row r="145" spans="1:17" ht="15.75" customHeight="1">
      <c r="A145" s="522"/>
      <c r="B145" s="525" t="s">
        <v>160</v>
      </c>
      <c r="C145" s="1339">
        <v>0.6</v>
      </c>
      <c r="D145" s="1339">
        <v>0.1</v>
      </c>
      <c r="E145" s="1341"/>
      <c r="F145" s="1341">
        <v>4</v>
      </c>
      <c r="G145" s="514">
        <f>G144</f>
        <v>2</v>
      </c>
      <c r="H145" s="1342">
        <f>C145*D145*F145*G145</f>
        <v>0.48</v>
      </c>
      <c r="I145" s="1311"/>
      <c r="J145" s="1315"/>
      <c r="K145" s="499"/>
      <c r="L145" s="499"/>
      <c r="M145" s="499"/>
      <c r="N145" s="499"/>
      <c r="O145" s="501"/>
      <c r="P145" s="501"/>
      <c r="Q145" s="501"/>
    </row>
    <row r="146" spans="1:17" ht="15.75" customHeight="1">
      <c r="A146" s="522" t="s">
        <v>98</v>
      </c>
      <c r="B146" s="336" t="s">
        <v>99</v>
      </c>
      <c r="C146" s="1317">
        <f>(D142+D144+D145)+0.3</f>
        <v>0.64999999999999991</v>
      </c>
      <c r="D146" s="1317"/>
      <c r="E146" s="1317">
        <v>1.04</v>
      </c>
      <c r="F146" s="1317">
        <v>8</v>
      </c>
      <c r="G146" s="514">
        <f>G145</f>
        <v>2</v>
      </c>
      <c r="H146" s="1343">
        <f>ROUNDUP((C146*E146*F146*G146),5)</f>
        <v>10.816000000000001</v>
      </c>
      <c r="I146" s="1344" t="s">
        <v>100</v>
      </c>
      <c r="J146" s="1315">
        <f>ROUND((H146),2)</f>
        <v>10.82</v>
      </c>
      <c r="K146" s="499"/>
      <c r="L146" s="499"/>
      <c r="M146" s="499"/>
      <c r="N146" s="499"/>
      <c r="O146" s="501"/>
      <c r="P146" s="501"/>
      <c r="Q146" s="501"/>
    </row>
    <row r="147" spans="1:17" ht="15.75" customHeight="1">
      <c r="A147" s="522" t="s">
        <v>101</v>
      </c>
      <c r="B147" s="336" t="s">
        <v>161</v>
      </c>
      <c r="C147" s="1317">
        <f>0.3*4+0.05</f>
        <v>1.25</v>
      </c>
      <c r="D147" s="1317"/>
      <c r="E147" s="1317">
        <v>0.22</v>
      </c>
      <c r="F147" s="1317">
        <v>5</v>
      </c>
      <c r="G147" s="514">
        <f>G146</f>
        <v>2</v>
      </c>
      <c r="H147" s="1343">
        <f>ROUNDUP((C147*E147*F147*G147),5)</f>
        <v>2.75</v>
      </c>
      <c r="I147" s="1344" t="s">
        <v>100</v>
      </c>
      <c r="J147" s="1315">
        <f>ROUND((H147),2)</f>
        <v>2.75</v>
      </c>
      <c r="K147" s="499"/>
      <c r="L147" s="499"/>
      <c r="M147" s="499"/>
      <c r="N147" s="499"/>
      <c r="O147" s="501"/>
      <c r="P147" s="501"/>
      <c r="Q147" s="501"/>
    </row>
    <row r="148" spans="1:17" ht="15.75" customHeight="1">
      <c r="A148" s="522" t="s">
        <v>121</v>
      </c>
      <c r="B148" s="336" t="s">
        <v>102</v>
      </c>
      <c r="C148" s="1336"/>
      <c r="D148" s="1336"/>
      <c r="E148" s="1341"/>
      <c r="F148" s="1341"/>
      <c r="G148" s="1341"/>
      <c r="H148" s="1345">
        <f>SUM(H149:H151)</f>
        <v>0.17199999999999999</v>
      </c>
      <c r="I148" s="515" t="s">
        <v>103</v>
      </c>
      <c r="J148" s="1315">
        <f>ROUND((H148),2)</f>
        <v>0.17</v>
      </c>
      <c r="K148" s="499"/>
      <c r="L148" s="499"/>
      <c r="M148" s="499"/>
      <c r="N148" s="499"/>
      <c r="O148" s="501"/>
      <c r="P148" s="501"/>
      <c r="Q148" s="501"/>
    </row>
    <row r="149" spans="1:17" ht="15.75" customHeight="1">
      <c r="A149" s="522"/>
      <c r="B149" s="525" t="s">
        <v>162</v>
      </c>
      <c r="C149" s="1340">
        <v>0.6</v>
      </c>
      <c r="D149" s="1340">
        <v>0.6</v>
      </c>
      <c r="E149" s="1340">
        <f>D142</f>
        <v>0.05</v>
      </c>
      <c r="F149" s="1317"/>
      <c r="G149" s="1317">
        <f>G147</f>
        <v>2</v>
      </c>
      <c r="H149" s="1317">
        <f>C149*D149*E149*G149</f>
        <v>3.5999999999999997E-2</v>
      </c>
      <c r="I149" s="515"/>
      <c r="J149" s="1315"/>
      <c r="K149" s="499"/>
      <c r="L149" s="499"/>
      <c r="M149" s="499"/>
      <c r="N149" s="499"/>
      <c r="O149" s="501"/>
      <c r="P149" s="501"/>
      <c r="Q149" s="501"/>
    </row>
    <row r="150" spans="1:17" ht="15.75" customHeight="1">
      <c r="A150" s="522"/>
      <c r="B150" s="525" t="s">
        <v>159</v>
      </c>
      <c r="C150" s="1340">
        <v>0.4</v>
      </c>
      <c r="D150" s="1340">
        <v>0.4</v>
      </c>
      <c r="E150" s="1340">
        <v>0.2</v>
      </c>
      <c r="F150" s="1317"/>
      <c r="G150" s="1317">
        <f>G149</f>
        <v>2</v>
      </c>
      <c r="H150" s="1317">
        <f>C150*D150*E150*G150</f>
        <v>6.4000000000000015E-2</v>
      </c>
      <c r="I150" s="515"/>
      <c r="J150" s="1315"/>
      <c r="K150" s="499"/>
      <c r="L150" s="499"/>
      <c r="M150" s="499"/>
      <c r="N150" s="499"/>
      <c r="O150" s="501"/>
      <c r="P150" s="501"/>
      <c r="Q150" s="501"/>
    </row>
    <row r="151" spans="1:17" ht="15.75" customHeight="1">
      <c r="A151" s="522"/>
      <c r="B151" s="525" t="s">
        <v>160</v>
      </c>
      <c r="C151" s="1340">
        <v>0.6</v>
      </c>
      <c r="D151" s="1340">
        <v>0.6</v>
      </c>
      <c r="E151" s="1340">
        <f>D145</f>
        <v>0.1</v>
      </c>
      <c r="F151" s="1317"/>
      <c r="G151" s="1317">
        <f>G150</f>
        <v>2</v>
      </c>
      <c r="H151" s="1317">
        <f>C151*D151*E151*G151</f>
        <v>7.1999999999999995E-2</v>
      </c>
      <c r="I151" s="515"/>
      <c r="J151" s="1315"/>
      <c r="K151" s="499"/>
      <c r="L151" s="499"/>
      <c r="M151" s="499"/>
      <c r="N151" s="499"/>
      <c r="O151" s="501"/>
      <c r="P151" s="501"/>
      <c r="Q151" s="501"/>
    </row>
    <row r="152" spans="1:17" ht="15.75" customHeight="1">
      <c r="A152" s="522" t="s">
        <v>142</v>
      </c>
      <c r="B152" s="336" t="s">
        <v>145</v>
      </c>
      <c r="C152" s="513"/>
      <c r="D152" s="513"/>
      <c r="E152" s="514"/>
      <c r="F152" s="514"/>
      <c r="G152" s="514"/>
      <c r="H152" s="527">
        <f>H148</f>
        <v>0.17199999999999999</v>
      </c>
      <c r="I152" s="515" t="s">
        <v>103</v>
      </c>
      <c r="J152" s="1315">
        <f>ROUND((H152),2)</f>
        <v>0.17</v>
      </c>
      <c r="K152" s="499"/>
      <c r="L152" s="499"/>
      <c r="M152" s="499"/>
      <c r="N152" s="499"/>
      <c r="O152" s="501"/>
      <c r="P152" s="501"/>
      <c r="Q152" s="501"/>
    </row>
    <row r="153" spans="1:17" ht="15.75" customHeight="1">
      <c r="A153" s="518">
        <f>A140+1</f>
        <v>8</v>
      </c>
      <c r="B153" s="1346" t="s">
        <v>1658</v>
      </c>
      <c r="C153" s="1336"/>
      <c r="D153" s="1336"/>
      <c r="E153" s="514"/>
      <c r="F153" s="514"/>
      <c r="G153" s="514"/>
      <c r="H153" s="514"/>
      <c r="I153" s="515"/>
      <c r="J153" s="1315">
        <f>ROUND((H153),2)</f>
        <v>0</v>
      </c>
      <c r="K153" s="499"/>
      <c r="L153" s="499"/>
      <c r="M153" s="499"/>
      <c r="N153" s="499"/>
      <c r="O153" s="501"/>
      <c r="P153" s="501"/>
      <c r="Q153" s="501"/>
    </row>
    <row r="154" spans="1:17" ht="15.75" customHeight="1">
      <c r="A154" s="522" t="s">
        <v>95</v>
      </c>
      <c r="B154" s="336" t="s">
        <v>1659</v>
      </c>
      <c r="C154" s="1336" t="s">
        <v>164</v>
      </c>
      <c r="D154" s="1347"/>
      <c r="E154" s="1347"/>
      <c r="F154" s="514"/>
      <c r="G154" s="514"/>
      <c r="H154" s="527">
        <f>SUM(H155:H158)</f>
        <v>6.7321600000000013</v>
      </c>
      <c r="I154" s="515" t="s">
        <v>89</v>
      </c>
      <c r="J154" s="1315">
        <f>ROUND((H154),2)</f>
        <v>6.73</v>
      </c>
      <c r="K154" s="499"/>
      <c r="L154" s="499"/>
      <c r="M154" s="499"/>
      <c r="N154" s="499"/>
      <c r="O154" s="501"/>
      <c r="P154" s="501"/>
      <c r="Q154" s="501"/>
    </row>
    <row r="155" spans="1:17" ht="15.75" customHeight="1">
      <c r="A155" s="522"/>
      <c r="B155" s="1348" t="s">
        <v>1660</v>
      </c>
      <c r="C155" s="1349">
        <f>2*(3.14)*(0.72/2)</f>
        <v>2.2608000000000001</v>
      </c>
      <c r="D155" s="1350"/>
      <c r="E155" s="1350">
        <v>0.1</v>
      </c>
      <c r="F155" s="1350"/>
      <c r="G155" s="1350">
        <v>4</v>
      </c>
      <c r="H155" s="1350">
        <f>C155*E155*G155</f>
        <v>0.90432000000000012</v>
      </c>
      <c r="I155" s="515"/>
      <c r="J155" s="1315"/>
      <c r="K155" s="499"/>
      <c r="L155" s="499"/>
      <c r="M155" s="499"/>
      <c r="N155" s="499"/>
      <c r="O155" s="501"/>
      <c r="P155" s="501"/>
      <c r="Q155" s="501"/>
    </row>
    <row r="156" spans="1:17" ht="15.75" customHeight="1">
      <c r="A156" s="522"/>
      <c r="B156" s="1348" t="s">
        <v>166</v>
      </c>
      <c r="C156" s="1349">
        <f>2*(3.14)*(0.72/2)</f>
        <v>2.2608000000000001</v>
      </c>
      <c r="D156" s="1350">
        <v>0.1</v>
      </c>
      <c r="E156" s="1350"/>
      <c r="F156" s="1350"/>
      <c r="G156" s="1350">
        <f>G155</f>
        <v>4</v>
      </c>
      <c r="H156" s="1350">
        <f>C156*D156*G156</f>
        <v>0.90432000000000012</v>
      </c>
      <c r="I156" s="515"/>
      <c r="J156" s="1315"/>
      <c r="K156" s="499"/>
      <c r="L156" s="499"/>
      <c r="M156" s="499"/>
      <c r="N156" s="499"/>
      <c r="O156" s="501"/>
      <c r="P156" s="501"/>
      <c r="Q156" s="501"/>
    </row>
    <row r="157" spans="1:17" ht="15.75" customHeight="1">
      <c r="A157" s="522"/>
      <c r="B157" s="1348" t="s">
        <v>1661</v>
      </c>
      <c r="C157" s="1349">
        <f>2*(3.14)*(0.62/2)</f>
        <v>1.9468000000000001</v>
      </c>
      <c r="D157" s="1350"/>
      <c r="E157" s="1350">
        <v>0.4</v>
      </c>
      <c r="F157" s="1350"/>
      <c r="G157" s="1350">
        <f>G156</f>
        <v>4</v>
      </c>
      <c r="H157" s="1350">
        <f>C157*E157*G157</f>
        <v>3.1148800000000003</v>
      </c>
      <c r="I157" s="515"/>
      <c r="J157" s="1315"/>
      <c r="K157" s="499"/>
      <c r="L157" s="499"/>
      <c r="M157" s="499"/>
      <c r="N157" s="499"/>
      <c r="O157" s="501"/>
      <c r="P157" s="501"/>
      <c r="Q157" s="501"/>
    </row>
    <row r="158" spans="1:17" ht="15.75" customHeight="1">
      <c r="A158" s="522"/>
      <c r="B158" s="1348" t="s">
        <v>1662</v>
      </c>
      <c r="C158" s="1349">
        <f>2*(3.14)*(0.72/2)</f>
        <v>2.2608000000000001</v>
      </c>
      <c r="D158" s="1350"/>
      <c r="E158" s="1350">
        <v>0.2</v>
      </c>
      <c r="F158" s="1350"/>
      <c r="G158" s="1350">
        <f>G157</f>
        <v>4</v>
      </c>
      <c r="H158" s="1350">
        <f>C158*E158*G158</f>
        <v>1.8086400000000002</v>
      </c>
      <c r="I158" s="515"/>
      <c r="J158" s="1315"/>
      <c r="K158" s="499"/>
      <c r="L158" s="499"/>
      <c r="M158" s="499"/>
      <c r="N158" s="499"/>
      <c r="O158" s="501"/>
      <c r="P158" s="501"/>
      <c r="Q158" s="501"/>
    </row>
    <row r="159" spans="1:17" ht="15.75" customHeight="1">
      <c r="A159" s="522" t="s">
        <v>98</v>
      </c>
      <c r="B159" s="336" t="s">
        <v>902</v>
      </c>
      <c r="C159" s="513">
        <f>0.65+0.2</f>
        <v>0.85000000000000009</v>
      </c>
      <c r="D159" s="513"/>
      <c r="E159" s="513">
        <v>1.04</v>
      </c>
      <c r="F159" s="514">
        <v>8</v>
      </c>
      <c r="G159" s="514">
        <f>G158</f>
        <v>4</v>
      </c>
      <c r="H159" s="527">
        <f>ROUNDUP((C159*E159*F159*G159),5)</f>
        <v>28.288</v>
      </c>
      <c r="I159" s="515" t="s">
        <v>100</v>
      </c>
      <c r="J159" s="1315">
        <f>ROUND((H159),2)</f>
        <v>28.29</v>
      </c>
      <c r="K159" s="499"/>
      <c r="L159" s="499"/>
      <c r="M159" s="499"/>
      <c r="N159" s="499"/>
      <c r="O159" s="501"/>
      <c r="P159" s="501"/>
      <c r="Q159" s="501"/>
    </row>
    <row r="160" spans="1:17" ht="15.75" customHeight="1">
      <c r="A160" s="338" t="s">
        <v>101</v>
      </c>
      <c r="B160" s="336" t="s">
        <v>1663</v>
      </c>
      <c r="C160" s="1349">
        <f>2*(3.14)*(0.55/2)</f>
        <v>1.7270000000000003</v>
      </c>
      <c r="D160" s="513"/>
      <c r="E160" s="513">
        <v>0.4</v>
      </c>
      <c r="F160" s="514">
        <v>5</v>
      </c>
      <c r="G160" s="514">
        <f>G159</f>
        <v>4</v>
      </c>
      <c r="H160" s="527">
        <f>ROUNDUP((C160*E160*F160*G160),5)</f>
        <v>13.816000000000001</v>
      </c>
      <c r="I160" s="515" t="s">
        <v>100</v>
      </c>
      <c r="J160" s="1315">
        <f>ROUND((H160),2)</f>
        <v>13.82</v>
      </c>
      <c r="K160" s="499"/>
      <c r="L160" s="499"/>
      <c r="M160" s="499"/>
      <c r="N160" s="499"/>
      <c r="O160" s="501"/>
      <c r="P160" s="501"/>
      <c r="Q160" s="501"/>
    </row>
    <row r="161" spans="1:17" s="1358" customFormat="1" ht="15.75" customHeight="1">
      <c r="A161" s="1351" t="s">
        <v>121</v>
      </c>
      <c r="B161" s="1352" t="s">
        <v>102</v>
      </c>
      <c r="C161" s="1353" t="s">
        <v>170</v>
      </c>
      <c r="D161" s="3265" t="s">
        <v>171</v>
      </c>
      <c r="E161" s="3265"/>
      <c r="F161" s="3265"/>
      <c r="G161" s="3265"/>
      <c r="H161" s="1354">
        <f>SUM(H162:H164)</f>
        <v>0.97113920000000009</v>
      </c>
      <c r="I161" s="1355" t="s">
        <v>103</v>
      </c>
      <c r="J161" s="1315">
        <f>ROUND((H161),2)</f>
        <v>0.97</v>
      </c>
      <c r="K161" s="1356"/>
      <c r="L161" s="1356"/>
      <c r="M161" s="1356"/>
      <c r="N161" s="1356"/>
      <c r="O161" s="1357"/>
      <c r="P161" s="1357"/>
      <c r="Q161" s="1357"/>
    </row>
    <row r="162" spans="1:17" s="1358" customFormat="1" ht="15.75" customHeight="1">
      <c r="A162" s="1351"/>
      <c r="B162" s="1348" t="s">
        <v>1660</v>
      </c>
      <c r="C162" s="1359">
        <v>3.14</v>
      </c>
      <c r="D162" s="1360">
        <f>(0.72/2)^2</f>
        <v>0.12959999999999999</v>
      </c>
      <c r="E162" s="1359">
        <v>0.1</v>
      </c>
      <c r="F162" s="1361"/>
      <c r="G162" s="1361">
        <f>G160</f>
        <v>4</v>
      </c>
      <c r="H162" s="1361">
        <f>C162*D162*E162*G162</f>
        <v>0.16277759999999999</v>
      </c>
      <c r="I162" s="1355"/>
      <c r="J162" s="1315"/>
      <c r="K162" s="1356"/>
      <c r="L162" s="1356"/>
      <c r="M162" s="1356"/>
      <c r="N162" s="1356"/>
      <c r="O162" s="1357"/>
      <c r="P162" s="1357"/>
      <c r="Q162" s="1357"/>
    </row>
    <row r="163" spans="1:17" s="1358" customFormat="1" ht="15.75" customHeight="1">
      <c r="A163" s="1351"/>
      <c r="B163" s="1348" t="s">
        <v>1661</v>
      </c>
      <c r="C163" s="1359">
        <v>3.14</v>
      </c>
      <c r="D163" s="1360">
        <f>(0.62/2)^2</f>
        <v>9.6100000000000005E-2</v>
      </c>
      <c r="E163" s="1359">
        <v>0.4</v>
      </c>
      <c r="F163" s="1361"/>
      <c r="G163" s="1361">
        <f>G162</f>
        <v>4</v>
      </c>
      <c r="H163" s="1361">
        <f>C163*D163*E163*G163</f>
        <v>0.48280640000000008</v>
      </c>
      <c r="I163" s="1355"/>
      <c r="J163" s="1315"/>
      <c r="K163" s="1356"/>
      <c r="L163" s="1356"/>
      <c r="M163" s="1356"/>
      <c r="N163" s="1356"/>
      <c r="O163" s="1357"/>
      <c r="P163" s="1357"/>
      <c r="Q163" s="1357"/>
    </row>
    <row r="164" spans="1:17" s="1358" customFormat="1" ht="15.75" customHeight="1">
      <c r="A164" s="1351"/>
      <c r="B164" s="1348" t="s">
        <v>1662</v>
      </c>
      <c r="C164" s="1359">
        <v>3.14</v>
      </c>
      <c r="D164" s="1360">
        <f>(0.72/2)^2</f>
        <v>0.12959999999999999</v>
      </c>
      <c r="E164" s="1359">
        <v>0.2</v>
      </c>
      <c r="F164" s="1361"/>
      <c r="G164" s="1361">
        <f>G163</f>
        <v>4</v>
      </c>
      <c r="H164" s="1361">
        <f>C164*D164*E164*G164</f>
        <v>0.32555519999999999</v>
      </c>
      <c r="I164" s="1355"/>
      <c r="J164" s="1315"/>
      <c r="K164" s="1356"/>
      <c r="L164" s="1356"/>
      <c r="M164" s="1356"/>
      <c r="N164" s="1356"/>
      <c r="O164" s="1357"/>
      <c r="P164" s="1357"/>
      <c r="Q164" s="1357"/>
    </row>
    <row r="165" spans="1:17" s="1358" customFormat="1" ht="15.75" customHeight="1">
      <c r="A165" s="1351" t="s">
        <v>142</v>
      </c>
      <c r="B165" s="1362" t="s">
        <v>145</v>
      </c>
      <c r="C165" s="1363"/>
      <c r="D165" s="1363"/>
      <c r="E165" s="1363"/>
      <c r="F165" s="1364"/>
      <c r="G165" s="1364"/>
      <c r="H165" s="1365">
        <f>H161</f>
        <v>0.97113920000000009</v>
      </c>
      <c r="I165" s="1355" t="s">
        <v>103</v>
      </c>
      <c r="J165" s="1315">
        <f>ROUND((H165),2)</f>
        <v>0.97</v>
      </c>
      <c r="K165" s="1356"/>
      <c r="L165" s="1356"/>
      <c r="M165" s="1356"/>
      <c r="N165" s="1356"/>
      <c r="O165" s="1357"/>
      <c r="P165" s="1357"/>
      <c r="Q165" s="1357"/>
    </row>
    <row r="166" spans="1:17" s="1358" customFormat="1" ht="15.75" customHeight="1">
      <c r="A166" s="1366"/>
      <c r="B166" s="1362"/>
      <c r="C166" s="1363"/>
      <c r="D166" s="1363"/>
      <c r="E166" s="1363"/>
      <c r="F166" s="1364"/>
      <c r="G166" s="1364"/>
      <c r="H166" s="1365"/>
      <c r="I166" s="1355"/>
      <c r="J166" s="1315"/>
      <c r="K166" s="1356"/>
      <c r="L166" s="1356"/>
      <c r="M166" s="1356"/>
      <c r="N166" s="1356"/>
      <c r="O166" s="1357"/>
      <c r="P166" s="1357"/>
      <c r="Q166" s="1357"/>
    </row>
    <row r="167" spans="1:17" s="1358" customFormat="1" ht="15.75" customHeight="1">
      <c r="A167" s="518">
        <f>A153+1</f>
        <v>9</v>
      </c>
      <c r="B167" s="336" t="s">
        <v>172</v>
      </c>
      <c r="C167" s="1312"/>
      <c r="D167" s="1312"/>
      <c r="E167" s="514"/>
      <c r="F167" s="514"/>
      <c r="G167" s="514"/>
      <c r="H167" s="514"/>
      <c r="I167" s="515"/>
      <c r="J167" s="1315">
        <f>ROUND((H167),2)</f>
        <v>0</v>
      </c>
      <c r="K167" s="1356"/>
      <c r="L167" s="1356"/>
      <c r="M167" s="1356"/>
      <c r="N167" s="1356"/>
      <c r="O167" s="1357"/>
      <c r="P167" s="1357"/>
      <c r="Q167" s="1357"/>
    </row>
    <row r="168" spans="1:17" s="1358" customFormat="1" ht="15.75" customHeight="1">
      <c r="A168" s="522" t="s">
        <v>95</v>
      </c>
      <c r="B168" s="336" t="s">
        <v>173</v>
      </c>
      <c r="C168" s="1339"/>
      <c r="D168" s="1339"/>
      <c r="E168" s="514"/>
      <c r="F168" s="514"/>
      <c r="G168" s="514"/>
      <c r="H168" s="527">
        <f>SUM(H169:H173)</f>
        <v>1.84</v>
      </c>
      <c r="I168" s="523" t="s">
        <v>89</v>
      </c>
      <c r="J168" s="1315">
        <f>ROUND((H168),2)</f>
        <v>1.84</v>
      </c>
      <c r="K168" s="1356"/>
      <c r="L168" s="1356"/>
      <c r="M168" s="1356"/>
      <c r="N168" s="1356"/>
      <c r="O168" s="1357"/>
      <c r="P168" s="1357"/>
      <c r="Q168" s="1357"/>
    </row>
    <row r="169" spans="1:17" s="1358" customFormat="1" ht="15.75" customHeight="1">
      <c r="A169" s="522"/>
      <c r="B169" s="525" t="s">
        <v>174</v>
      </c>
      <c r="C169" s="1339">
        <v>0.6</v>
      </c>
      <c r="D169" s="1339">
        <v>0.05</v>
      </c>
      <c r="E169" s="514"/>
      <c r="F169" s="514">
        <v>4</v>
      </c>
      <c r="G169" s="514">
        <v>2</v>
      </c>
      <c r="H169" s="520">
        <f>C169*D169*F169*G169</f>
        <v>0.24</v>
      </c>
      <c r="I169" s="523"/>
      <c r="J169" s="1315"/>
      <c r="K169" s="1356"/>
      <c r="L169" s="1356"/>
      <c r="M169" s="1356"/>
      <c r="N169" s="1356"/>
      <c r="O169" s="1357"/>
      <c r="P169" s="1357"/>
      <c r="Q169" s="1357"/>
    </row>
    <row r="170" spans="1:17" s="1358" customFormat="1" ht="15.75" customHeight="1">
      <c r="A170" s="522"/>
      <c r="B170" s="525" t="s">
        <v>175</v>
      </c>
      <c r="C170" s="1339">
        <v>0.6</v>
      </c>
      <c r="D170" s="1339">
        <v>0.05</v>
      </c>
      <c r="E170" s="514"/>
      <c r="F170" s="514">
        <v>4</v>
      </c>
      <c r="G170" s="514">
        <f>G169</f>
        <v>2</v>
      </c>
      <c r="H170" s="520">
        <f>C170*D170*F170*G170</f>
        <v>0.24</v>
      </c>
      <c r="I170" s="515"/>
      <c r="J170" s="1315"/>
      <c r="K170" s="1356"/>
      <c r="L170" s="1356"/>
      <c r="M170" s="1356"/>
      <c r="N170" s="1356"/>
      <c r="O170" s="1357"/>
      <c r="P170" s="1357"/>
      <c r="Q170" s="1357"/>
    </row>
    <row r="171" spans="1:17" s="1358" customFormat="1" ht="15.75" customHeight="1">
      <c r="A171" s="522"/>
      <c r="B171" s="525" t="s">
        <v>159</v>
      </c>
      <c r="C171" s="1339">
        <v>0.4</v>
      </c>
      <c r="D171" s="1339"/>
      <c r="E171" s="514">
        <v>0.2</v>
      </c>
      <c r="F171" s="514">
        <v>4</v>
      </c>
      <c r="G171" s="514">
        <f>G170</f>
        <v>2</v>
      </c>
      <c r="H171" s="520">
        <f>C171*E171*F171*G171</f>
        <v>0.64000000000000012</v>
      </c>
      <c r="I171" s="515"/>
      <c r="J171" s="1315"/>
      <c r="K171" s="1356"/>
      <c r="L171" s="1356"/>
      <c r="M171" s="1356"/>
      <c r="N171" s="1356"/>
      <c r="O171" s="1357"/>
      <c r="P171" s="1357"/>
      <c r="Q171" s="1357"/>
    </row>
    <row r="172" spans="1:17" s="1358" customFormat="1" ht="15.75" customHeight="1">
      <c r="A172" s="522"/>
      <c r="B172" s="525" t="s">
        <v>176</v>
      </c>
      <c r="C172" s="1339">
        <v>0.6</v>
      </c>
      <c r="D172" s="1339">
        <v>0.05</v>
      </c>
      <c r="E172" s="1341"/>
      <c r="F172" s="1341">
        <v>4</v>
      </c>
      <c r="G172" s="514">
        <f>G171</f>
        <v>2</v>
      </c>
      <c r="H172" s="1342">
        <f>C172*D172*F172*G172</f>
        <v>0.24</v>
      </c>
      <c r="I172" s="1311"/>
      <c r="J172" s="1315"/>
      <c r="K172" s="1356"/>
      <c r="L172" s="1356"/>
      <c r="M172" s="1356"/>
      <c r="N172" s="1356"/>
      <c r="O172" s="1357"/>
      <c r="P172" s="1357"/>
      <c r="Q172" s="1357"/>
    </row>
    <row r="173" spans="1:17" s="1358" customFormat="1" ht="15.75" customHeight="1">
      <c r="A173" s="522"/>
      <c r="B173" s="525" t="s">
        <v>160</v>
      </c>
      <c r="C173" s="1339">
        <v>0.6</v>
      </c>
      <c r="D173" s="1339">
        <v>0.1</v>
      </c>
      <c r="E173" s="1341"/>
      <c r="F173" s="1341">
        <v>4</v>
      </c>
      <c r="G173" s="514">
        <f>G172</f>
        <v>2</v>
      </c>
      <c r="H173" s="1342">
        <f>C173*D173*F173*G173</f>
        <v>0.48</v>
      </c>
      <c r="I173" s="1311"/>
      <c r="J173" s="1315"/>
      <c r="K173" s="1356"/>
      <c r="L173" s="1356"/>
      <c r="M173" s="1356"/>
      <c r="N173" s="1356"/>
      <c r="O173" s="1357"/>
      <c r="P173" s="1357"/>
      <c r="Q173" s="1357"/>
    </row>
    <row r="174" spans="1:17" s="1358" customFormat="1" ht="15.75" customHeight="1">
      <c r="A174" s="518">
        <f>A167+1</f>
        <v>10</v>
      </c>
      <c r="B174" s="1346" t="s">
        <v>1664</v>
      </c>
      <c r="C174" s="1336"/>
      <c r="D174" s="1336"/>
      <c r="E174" s="514"/>
      <c r="F174" s="514"/>
      <c r="G174" s="514"/>
      <c r="H174" s="514"/>
      <c r="I174" s="515"/>
      <c r="J174" s="1315">
        <f>ROUND((H174),2)</f>
        <v>0</v>
      </c>
      <c r="K174" s="1356"/>
      <c r="L174" s="1356"/>
      <c r="M174" s="1356"/>
      <c r="N174" s="1356"/>
      <c r="O174" s="1357"/>
      <c r="P174" s="1357"/>
      <c r="Q174" s="1357"/>
    </row>
    <row r="175" spans="1:17" s="1358" customFormat="1" ht="15.75" customHeight="1">
      <c r="A175" s="522" t="s">
        <v>95</v>
      </c>
      <c r="B175" s="336" t="s">
        <v>178</v>
      </c>
      <c r="C175" s="1336" t="s">
        <v>179</v>
      </c>
      <c r="D175" s="1347"/>
      <c r="E175" s="1347"/>
      <c r="F175" s="514"/>
      <c r="G175" s="514"/>
      <c r="H175" s="527">
        <f>SUM(H176:H180)</f>
        <v>7.907776000000001</v>
      </c>
      <c r="I175" s="515" t="s">
        <v>89</v>
      </c>
      <c r="J175" s="1315">
        <f>ROUND((H175),2)</f>
        <v>7.91</v>
      </c>
      <c r="K175" s="1356"/>
      <c r="L175" s="1356"/>
      <c r="M175" s="1356"/>
      <c r="N175" s="1356"/>
      <c r="O175" s="1357"/>
      <c r="P175" s="1357"/>
      <c r="Q175" s="1357"/>
    </row>
    <row r="176" spans="1:17" s="1358" customFormat="1" ht="15.75" customHeight="1">
      <c r="A176" s="522"/>
      <c r="B176" s="1348" t="s">
        <v>180</v>
      </c>
      <c r="C176" s="1349">
        <v>3.14</v>
      </c>
      <c r="D176" s="1367">
        <f>(0.72/2)^2</f>
        <v>0.12959999999999999</v>
      </c>
      <c r="E176" s="1350"/>
      <c r="F176" s="1350"/>
      <c r="G176" s="1350">
        <v>4</v>
      </c>
      <c r="H176" s="1350">
        <f>C176*D176*G176</f>
        <v>1.6277759999999999</v>
      </c>
      <c r="I176" s="515"/>
      <c r="J176" s="1315"/>
      <c r="K176" s="1356"/>
      <c r="L176" s="1356"/>
      <c r="M176" s="1356"/>
      <c r="N176" s="1356"/>
      <c r="O176" s="1357"/>
      <c r="P176" s="1357"/>
      <c r="Q176" s="1357"/>
    </row>
    <row r="177" spans="1:17" s="1358" customFormat="1" ht="15.75" customHeight="1">
      <c r="A177" s="522"/>
      <c r="B177" s="1348" t="s">
        <v>181</v>
      </c>
      <c r="C177" s="1349">
        <f>2*(3.14)*(0.72/2)</f>
        <v>2.2608000000000001</v>
      </c>
      <c r="D177" s="1350"/>
      <c r="E177" s="1350">
        <v>0.1</v>
      </c>
      <c r="F177" s="1350"/>
      <c r="G177" s="1350">
        <f>G176</f>
        <v>4</v>
      </c>
      <c r="H177" s="1350">
        <f>C177*E177*G177</f>
        <v>0.90432000000000012</v>
      </c>
      <c r="I177" s="515"/>
      <c r="J177" s="1315"/>
      <c r="K177" s="1356"/>
      <c r="L177" s="1356"/>
      <c r="M177" s="1356"/>
      <c r="N177" s="1356"/>
      <c r="O177" s="1357"/>
      <c r="P177" s="1357"/>
      <c r="Q177" s="1357"/>
    </row>
    <row r="178" spans="1:17" s="1358" customFormat="1" ht="15.75" customHeight="1">
      <c r="A178" s="522"/>
      <c r="B178" s="1348" t="s">
        <v>182</v>
      </c>
      <c r="C178" s="1349">
        <f>2*(3.14)*(0.62/2)</f>
        <v>1.9468000000000001</v>
      </c>
      <c r="D178" s="1350"/>
      <c r="E178" s="1350">
        <v>0.4</v>
      </c>
      <c r="F178" s="1350"/>
      <c r="G178" s="1350">
        <f>G177</f>
        <v>4</v>
      </c>
      <c r="H178" s="1350">
        <f>C178*E178*G178</f>
        <v>3.1148800000000003</v>
      </c>
      <c r="I178" s="515"/>
      <c r="J178" s="1315"/>
      <c r="K178" s="1356"/>
      <c r="L178" s="1356"/>
      <c r="M178" s="1356"/>
      <c r="N178" s="1356"/>
      <c r="O178" s="1357"/>
      <c r="P178" s="1357"/>
      <c r="Q178" s="1357"/>
    </row>
    <row r="179" spans="1:17" s="1358" customFormat="1" ht="15.75" customHeight="1">
      <c r="A179" s="522"/>
      <c r="B179" s="1348" t="s">
        <v>183</v>
      </c>
      <c r="C179" s="1349">
        <f>2*(3.14)*(0.72/2)</f>
        <v>2.2608000000000001</v>
      </c>
      <c r="D179" s="1350">
        <v>0.05</v>
      </c>
      <c r="E179" s="1350"/>
      <c r="F179" s="1350"/>
      <c r="G179" s="1350">
        <f>G178</f>
        <v>4</v>
      </c>
      <c r="H179" s="1350">
        <f>C179*D179*G179</f>
        <v>0.45216000000000006</v>
      </c>
      <c r="I179" s="515"/>
      <c r="J179" s="1315"/>
      <c r="K179" s="1356"/>
      <c r="L179" s="1356"/>
      <c r="M179" s="1356"/>
      <c r="N179" s="1356"/>
      <c r="O179" s="1357"/>
      <c r="P179" s="1357"/>
      <c r="Q179" s="1357"/>
    </row>
    <row r="180" spans="1:17" s="1358" customFormat="1" ht="15.75" customHeight="1">
      <c r="A180" s="522"/>
      <c r="B180" s="1348" t="s">
        <v>184</v>
      </c>
      <c r="C180" s="1349">
        <f>2*(3.14)*(0.72/2)</f>
        <v>2.2608000000000001</v>
      </c>
      <c r="D180" s="1350"/>
      <c r="E180" s="1350">
        <v>0.2</v>
      </c>
      <c r="F180" s="1350"/>
      <c r="G180" s="1350">
        <f>G179</f>
        <v>4</v>
      </c>
      <c r="H180" s="1350">
        <f>C180*E180*G180</f>
        <v>1.8086400000000002</v>
      </c>
      <c r="I180" s="515"/>
      <c r="J180" s="1315"/>
      <c r="K180" s="1356"/>
      <c r="L180" s="1356"/>
      <c r="M180" s="1356"/>
      <c r="N180" s="1356"/>
      <c r="O180" s="1357"/>
      <c r="P180" s="1357"/>
      <c r="Q180" s="1357"/>
    </row>
    <row r="181" spans="1:17" s="1358" customFormat="1" ht="15.75" customHeight="1">
      <c r="A181" s="1366"/>
      <c r="B181" s="1362"/>
      <c r="C181" s="1363"/>
      <c r="D181" s="1363"/>
      <c r="E181" s="1363"/>
      <c r="F181" s="1364"/>
      <c r="G181" s="1364"/>
      <c r="H181" s="1365"/>
      <c r="I181" s="1355"/>
      <c r="J181" s="1315"/>
      <c r="K181" s="1356"/>
      <c r="L181" s="1356"/>
      <c r="M181" s="1356"/>
      <c r="N181" s="1356"/>
      <c r="O181" s="1357"/>
      <c r="P181" s="1357"/>
      <c r="Q181" s="1357"/>
    </row>
    <row r="182" spans="1:17" s="1358" customFormat="1" ht="27.75" customHeight="1">
      <c r="A182" s="1368">
        <f>A153+1</f>
        <v>9</v>
      </c>
      <c r="B182" s="1362" t="s">
        <v>185</v>
      </c>
      <c r="C182" s="1363"/>
      <c r="D182" s="1363"/>
      <c r="E182" s="1363"/>
      <c r="F182" s="1364"/>
      <c r="G182" s="1364"/>
      <c r="H182" s="1364"/>
      <c r="I182" s="1355"/>
      <c r="J182" s="1315">
        <f>ROUND((H182),2)</f>
        <v>0</v>
      </c>
      <c r="K182" s="1356"/>
      <c r="L182" s="1356"/>
      <c r="M182" s="1356"/>
      <c r="N182" s="1356"/>
      <c r="O182" s="1357"/>
      <c r="P182" s="1357"/>
      <c r="Q182" s="1357"/>
    </row>
    <row r="183" spans="1:17" ht="15.75" customHeight="1">
      <c r="A183" s="522" t="s">
        <v>95</v>
      </c>
      <c r="B183" s="336" t="s">
        <v>186</v>
      </c>
      <c r="C183" s="513"/>
      <c r="D183" s="513"/>
      <c r="E183" s="513" t="s">
        <v>187</v>
      </c>
      <c r="F183" s="514"/>
      <c r="G183" s="514"/>
      <c r="H183" s="514"/>
      <c r="I183" s="515"/>
      <c r="J183" s="1315">
        <f>ROUND((H183),2)</f>
        <v>0</v>
      </c>
      <c r="K183" s="499"/>
      <c r="L183" s="499"/>
      <c r="M183" s="499"/>
      <c r="N183" s="499"/>
      <c r="O183" s="501"/>
      <c r="P183" s="501"/>
      <c r="Q183" s="501"/>
    </row>
    <row r="184" spans="1:17" ht="15.75" customHeight="1">
      <c r="A184" s="522"/>
      <c r="B184" s="525" t="s">
        <v>188</v>
      </c>
      <c r="C184" s="513">
        <v>14.6</v>
      </c>
      <c r="D184" s="513"/>
      <c r="E184" s="513">
        <f>(0.35+0.4)/2</f>
        <v>0.375</v>
      </c>
      <c r="F184" s="514"/>
      <c r="G184" s="514"/>
      <c r="H184" s="514">
        <f>C184*E184</f>
        <v>5.4749999999999996</v>
      </c>
      <c r="I184" s="515"/>
      <c r="J184" s="1315"/>
      <c r="K184" s="499"/>
      <c r="L184" s="499"/>
      <c r="M184" s="499"/>
      <c r="N184" s="499"/>
      <c r="O184" s="501"/>
      <c r="P184" s="501"/>
      <c r="Q184" s="501"/>
    </row>
    <row r="185" spans="1:17" ht="15.75" customHeight="1">
      <c r="A185" s="522"/>
      <c r="B185" s="525" t="s">
        <v>189</v>
      </c>
      <c r="C185" s="513">
        <v>20.399999999999999</v>
      </c>
      <c r="D185" s="513"/>
      <c r="E185" s="513">
        <f>(0.35+0.4)/2</f>
        <v>0.375</v>
      </c>
      <c r="F185" s="514"/>
      <c r="G185" s="514"/>
      <c r="H185" s="521">
        <f>C185*E185</f>
        <v>7.6499999999999995</v>
      </c>
      <c r="I185" s="515"/>
      <c r="J185" s="1315"/>
      <c r="K185" s="499"/>
      <c r="L185" s="499"/>
      <c r="M185" s="499"/>
      <c r="N185" s="499"/>
      <c r="O185" s="501"/>
      <c r="P185" s="501"/>
      <c r="Q185" s="501"/>
    </row>
    <row r="186" spans="1:17" ht="15.75" customHeight="1">
      <c r="A186" s="522"/>
      <c r="B186" s="336"/>
      <c r="C186" s="513"/>
      <c r="D186" s="513"/>
      <c r="E186" s="513"/>
      <c r="F186" s="514"/>
      <c r="G186" s="514"/>
      <c r="H186" s="527">
        <f>SUM(H184:H185)</f>
        <v>13.125</v>
      </c>
      <c r="I186" s="523" t="s">
        <v>89</v>
      </c>
      <c r="J186" s="1315">
        <f>ROUND((H186),2)</f>
        <v>13.13</v>
      </c>
      <c r="K186" s="499"/>
      <c r="L186" s="499"/>
      <c r="M186" s="499"/>
      <c r="N186" s="499"/>
      <c r="O186" s="501"/>
      <c r="P186" s="501"/>
      <c r="Q186" s="501"/>
    </row>
    <row r="187" spans="1:17" ht="15.75" customHeight="1">
      <c r="A187" s="522" t="s">
        <v>98</v>
      </c>
      <c r="B187" s="336" t="s">
        <v>190</v>
      </c>
      <c r="C187" s="513"/>
      <c r="D187" s="513" t="s">
        <v>191</v>
      </c>
      <c r="E187" s="513" t="s">
        <v>187</v>
      </c>
      <c r="F187" s="514"/>
      <c r="G187" s="514"/>
      <c r="H187" s="514"/>
      <c r="I187" s="515"/>
      <c r="J187" s="1315">
        <f>ROUND((H187),2)</f>
        <v>0</v>
      </c>
      <c r="K187" s="499"/>
      <c r="L187" s="499"/>
      <c r="M187" s="499"/>
      <c r="N187" s="499"/>
      <c r="O187" s="501"/>
      <c r="P187" s="501"/>
      <c r="Q187" s="501"/>
    </row>
    <row r="188" spans="1:17" ht="15.75" customHeight="1">
      <c r="A188" s="522"/>
      <c r="B188" s="525" t="s">
        <v>188</v>
      </c>
      <c r="C188" s="513">
        <v>14.6</v>
      </c>
      <c r="D188" s="513">
        <f>(0.52+0.56)/2</f>
        <v>0.54</v>
      </c>
      <c r="E188" s="513">
        <f>(0.35+0.4)/2-0.1</f>
        <v>0.27500000000000002</v>
      </c>
      <c r="F188" s="514"/>
      <c r="G188" s="514"/>
      <c r="H188" s="514">
        <f>C188*D188*E188</f>
        <v>2.1681000000000004</v>
      </c>
      <c r="I188" s="515"/>
      <c r="J188" s="1315"/>
      <c r="K188" s="499"/>
      <c r="L188" s="499"/>
      <c r="M188" s="499"/>
      <c r="N188" s="499"/>
      <c r="O188" s="501"/>
      <c r="P188" s="501"/>
      <c r="Q188" s="501"/>
    </row>
    <row r="189" spans="1:17" ht="15.75" customHeight="1">
      <c r="A189" s="522"/>
      <c r="B189" s="525" t="s">
        <v>189</v>
      </c>
      <c r="C189" s="513">
        <v>20.399999999999999</v>
      </c>
      <c r="D189" s="513">
        <f>(0.52+0.56)/2</f>
        <v>0.54</v>
      </c>
      <c r="E189" s="513">
        <f>E188</f>
        <v>0.27500000000000002</v>
      </c>
      <c r="F189" s="514"/>
      <c r="G189" s="514"/>
      <c r="H189" s="521">
        <f>C189*D189*E189</f>
        <v>3.0294000000000003</v>
      </c>
      <c r="I189" s="515"/>
      <c r="J189" s="1315"/>
      <c r="K189" s="499"/>
      <c r="L189" s="499"/>
      <c r="M189" s="499"/>
      <c r="N189" s="499"/>
      <c r="O189" s="501"/>
      <c r="P189" s="501"/>
      <c r="Q189" s="501"/>
    </row>
    <row r="190" spans="1:17" ht="15.75" customHeight="1">
      <c r="A190" s="522"/>
      <c r="B190" s="336"/>
      <c r="C190" s="513"/>
      <c r="D190" s="513"/>
      <c r="E190" s="513"/>
      <c r="F190" s="514"/>
      <c r="G190" s="514"/>
      <c r="H190" s="527">
        <f>SUM(H188:H189)</f>
        <v>5.1975000000000007</v>
      </c>
      <c r="I190" s="523" t="s">
        <v>103</v>
      </c>
      <c r="J190" s="1315">
        <f>ROUND((H190),2)</f>
        <v>5.2</v>
      </c>
      <c r="K190" s="499"/>
      <c r="L190" s="499"/>
      <c r="M190" s="499"/>
      <c r="N190" s="499"/>
      <c r="O190" s="501"/>
      <c r="P190" s="501"/>
      <c r="Q190" s="501"/>
    </row>
    <row r="191" spans="1:17" ht="15.75" customHeight="1">
      <c r="A191" s="522" t="s">
        <v>101</v>
      </c>
      <c r="B191" s="336" t="s">
        <v>192</v>
      </c>
      <c r="C191" s="513"/>
      <c r="D191" s="513" t="s">
        <v>191</v>
      </c>
      <c r="E191" s="513"/>
      <c r="F191" s="514"/>
      <c r="G191" s="514"/>
      <c r="H191" s="514"/>
      <c r="I191" s="515"/>
      <c r="J191" s="1315">
        <f>ROUND((H191),2)</f>
        <v>0</v>
      </c>
      <c r="K191" s="499"/>
      <c r="L191" s="499"/>
      <c r="M191" s="499"/>
      <c r="N191" s="499"/>
      <c r="O191" s="501"/>
      <c r="P191" s="501"/>
      <c r="Q191" s="501"/>
    </row>
    <row r="192" spans="1:17" ht="15.75" customHeight="1">
      <c r="A192" s="522"/>
      <c r="B192" s="525" t="s">
        <v>188</v>
      </c>
      <c r="C192" s="513">
        <v>14.6</v>
      </c>
      <c r="D192" s="513">
        <f>(0.52+0.56)/2</f>
        <v>0.54</v>
      </c>
      <c r="E192" s="513">
        <v>7.0000000000000007E-2</v>
      </c>
      <c r="F192" s="514"/>
      <c r="G192" s="514"/>
      <c r="H192" s="514">
        <f>C192*D192*E192</f>
        <v>0.55188000000000004</v>
      </c>
      <c r="I192" s="515"/>
      <c r="J192" s="1315"/>
      <c r="K192" s="499"/>
      <c r="L192" s="499"/>
      <c r="M192" s="499"/>
      <c r="N192" s="499"/>
      <c r="O192" s="501"/>
      <c r="P192" s="501"/>
      <c r="Q192" s="501"/>
    </row>
    <row r="193" spans="1:17" ht="15.75" customHeight="1">
      <c r="A193" s="522"/>
      <c r="B193" s="525" t="s">
        <v>189</v>
      </c>
      <c r="C193" s="513">
        <v>20.399999999999999</v>
      </c>
      <c r="D193" s="513">
        <f>(0.52+0.56)/2</f>
        <v>0.54</v>
      </c>
      <c r="E193" s="513">
        <v>7.0000000000000007E-2</v>
      </c>
      <c r="F193" s="514"/>
      <c r="G193" s="514"/>
      <c r="H193" s="521">
        <f>C193*D193*E193</f>
        <v>0.77112000000000003</v>
      </c>
      <c r="I193" s="515"/>
      <c r="J193" s="1315"/>
      <c r="K193" s="499"/>
      <c r="L193" s="499"/>
      <c r="M193" s="499"/>
      <c r="N193" s="499"/>
      <c r="O193" s="501"/>
      <c r="P193" s="501"/>
      <c r="Q193" s="501"/>
    </row>
    <row r="194" spans="1:17" ht="15.75" customHeight="1">
      <c r="A194" s="522"/>
      <c r="B194" s="336"/>
      <c r="C194" s="513"/>
      <c r="D194" s="513"/>
      <c r="E194" s="513"/>
      <c r="F194" s="514"/>
      <c r="G194" s="514"/>
      <c r="H194" s="527">
        <f>SUM(H192:H193)</f>
        <v>1.323</v>
      </c>
      <c r="I194" s="523" t="s">
        <v>103</v>
      </c>
      <c r="J194" s="1315">
        <f>ROUND((H194),2)</f>
        <v>1.32</v>
      </c>
      <c r="K194" s="499"/>
      <c r="L194" s="499"/>
      <c r="M194" s="499"/>
      <c r="N194" s="499"/>
      <c r="O194" s="501"/>
      <c r="P194" s="501"/>
      <c r="Q194" s="501"/>
    </row>
    <row r="195" spans="1:17" ht="15.75" customHeight="1">
      <c r="A195" s="522" t="s">
        <v>121</v>
      </c>
      <c r="B195" s="336" t="s">
        <v>193</v>
      </c>
      <c r="C195" s="513"/>
      <c r="D195" s="513"/>
      <c r="E195" s="513"/>
      <c r="F195" s="514"/>
      <c r="G195" s="514"/>
      <c r="H195" s="514"/>
      <c r="I195" s="515"/>
      <c r="J195" s="1315">
        <f>ROUND((H195),2)</f>
        <v>0</v>
      </c>
      <c r="K195" s="499"/>
      <c r="L195" s="499"/>
      <c r="M195" s="499"/>
      <c r="N195" s="499"/>
      <c r="O195" s="501"/>
      <c r="P195" s="501"/>
      <c r="Q195" s="501"/>
    </row>
    <row r="196" spans="1:17" ht="15.75" customHeight="1">
      <c r="A196" s="522"/>
      <c r="B196" s="525"/>
      <c r="C196" s="513"/>
      <c r="D196" s="513"/>
      <c r="E196" s="513" t="s">
        <v>187</v>
      </c>
      <c r="F196" s="514"/>
      <c r="G196" s="514"/>
      <c r="H196" s="514"/>
      <c r="I196" s="515"/>
      <c r="J196" s="1315">
        <f>ROUND((H196),2)</f>
        <v>0</v>
      </c>
      <c r="K196" s="499"/>
      <c r="L196" s="499"/>
      <c r="M196" s="499"/>
      <c r="N196" s="499"/>
      <c r="O196" s="501"/>
      <c r="P196" s="501"/>
      <c r="Q196" s="501"/>
    </row>
    <row r="197" spans="1:17" ht="15.75" customHeight="1">
      <c r="A197" s="522"/>
      <c r="B197" s="525" t="s">
        <v>188</v>
      </c>
      <c r="C197" s="513">
        <v>14.6</v>
      </c>
      <c r="D197" s="513"/>
      <c r="E197" s="513">
        <f>(0.35+0.4)/2</f>
        <v>0.375</v>
      </c>
      <c r="F197" s="514"/>
      <c r="G197" s="514"/>
      <c r="H197" s="514">
        <f>C197*E197</f>
        <v>5.4749999999999996</v>
      </c>
      <c r="I197" s="515"/>
      <c r="J197" s="1315"/>
      <c r="K197" s="499"/>
      <c r="L197" s="499"/>
      <c r="M197" s="499"/>
      <c r="N197" s="499"/>
      <c r="O197" s="501"/>
      <c r="P197" s="501"/>
      <c r="Q197" s="501"/>
    </row>
    <row r="198" spans="1:17" ht="15.75" customHeight="1">
      <c r="A198" s="522"/>
      <c r="B198" s="525" t="s">
        <v>189</v>
      </c>
      <c r="C198" s="513">
        <v>20.399999999999999</v>
      </c>
      <c r="D198" s="513"/>
      <c r="E198" s="513">
        <f>(0.35+0.4)/2</f>
        <v>0.375</v>
      </c>
      <c r="F198" s="514"/>
      <c r="G198" s="514"/>
      <c r="H198" s="521">
        <f>C198*E198</f>
        <v>7.6499999999999995</v>
      </c>
      <c r="I198" s="515"/>
      <c r="J198" s="1315"/>
      <c r="K198" s="499"/>
      <c r="L198" s="499"/>
      <c r="M198" s="499"/>
      <c r="N198" s="499"/>
      <c r="O198" s="501"/>
      <c r="P198" s="501"/>
      <c r="Q198" s="501"/>
    </row>
    <row r="199" spans="1:17" ht="15.75" customHeight="1">
      <c r="A199" s="522"/>
      <c r="B199" s="336"/>
      <c r="C199" s="513"/>
      <c r="D199" s="513"/>
      <c r="E199" s="513"/>
      <c r="F199" s="513"/>
      <c r="G199" s="514"/>
      <c r="H199" s="527">
        <f>SUM(H197:H198)</f>
        <v>13.125</v>
      </c>
      <c r="I199" s="523" t="s">
        <v>89</v>
      </c>
      <c r="J199" s="1315">
        <f>ROUND((H199),2)</f>
        <v>13.13</v>
      </c>
      <c r="K199" s="529"/>
      <c r="L199" s="499"/>
      <c r="M199" s="499"/>
      <c r="N199" s="499"/>
      <c r="O199" s="501"/>
      <c r="P199" s="501"/>
      <c r="Q199" s="501"/>
    </row>
    <row r="200" spans="1:17" ht="15.75" customHeight="1">
      <c r="A200" s="522" t="s">
        <v>142</v>
      </c>
      <c r="B200" s="336" t="s">
        <v>194</v>
      </c>
      <c r="C200" s="513"/>
      <c r="D200" s="513"/>
      <c r="E200" s="513"/>
      <c r="F200" s="513"/>
      <c r="G200" s="514"/>
      <c r="H200" s="527">
        <f>H199</f>
        <v>13.125</v>
      </c>
      <c r="I200" s="523" t="s">
        <v>89</v>
      </c>
      <c r="J200" s="1315">
        <f>ROUND((H200),2)</f>
        <v>13.13</v>
      </c>
      <c r="K200" s="529"/>
      <c r="L200" s="499"/>
      <c r="M200" s="499"/>
      <c r="N200" s="499"/>
      <c r="O200" s="501"/>
      <c r="P200" s="501"/>
      <c r="Q200" s="501"/>
    </row>
    <row r="201" spans="1:17" ht="15.75" customHeight="1">
      <c r="A201" s="518">
        <f>A182+1</f>
        <v>10</v>
      </c>
      <c r="B201" s="336" t="s">
        <v>195</v>
      </c>
      <c r="C201" s="513"/>
      <c r="D201" s="513"/>
      <c r="E201" s="513"/>
      <c r="F201" s="513"/>
      <c r="G201" s="514"/>
      <c r="H201" s="527"/>
      <c r="I201" s="523"/>
      <c r="J201" s="1315"/>
      <c r="K201" s="529"/>
      <c r="L201" s="499"/>
      <c r="M201" s="499"/>
      <c r="N201" s="499"/>
      <c r="O201" s="501"/>
      <c r="P201" s="501"/>
      <c r="Q201" s="501"/>
    </row>
    <row r="202" spans="1:17" ht="15.75" customHeight="1">
      <c r="A202" s="522"/>
      <c r="B202" s="525" t="s">
        <v>1665</v>
      </c>
      <c r="C202" s="513">
        <v>7</v>
      </c>
      <c r="D202" s="513">
        <v>3.5</v>
      </c>
      <c r="E202" s="513"/>
      <c r="F202" s="513"/>
      <c r="G202" s="514">
        <v>2</v>
      </c>
      <c r="H202" s="514">
        <f>C202*D202*G202</f>
        <v>49</v>
      </c>
      <c r="I202" s="523"/>
      <c r="J202" s="1315"/>
      <c r="K202" s="529"/>
      <c r="L202" s="499"/>
      <c r="M202" s="499"/>
      <c r="N202" s="499"/>
      <c r="O202" s="501"/>
      <c r="P202" s="501"/>
      <c r="Q202" s="501"/>
    </row>
    <row r="203" spans="1:17" ht="15.75" customHeight="1">
      <c r="A203" s="522"/>
      <c r="B203" s="525" t="s">
        <v>1666</v>
      </c>
      <c r="C203" s="513">
        <v>4.6500000000000004</v>
      </c>
      <c r="D203" s="513">
        <v>1.65</v>
      </c>
      <c r="E203" s="513"/>
      <c r="F203" s="513"/>
      <c r="G203" s="514">
        <v>1</v>
      </c>
      <c r="H203" s="514">
        <f>C203*D203*G203</f>
        <v>7.6725000000000003</v>
      </c>
      <c r="I203" s="523"/>
      <c r="J203" s="1315"/>
      <c r="K203" s="529"/>
      <c r="L203" s="499"/>
      <c r="M203" s="499"/>
      <c r="N203" s="499"/>
      <c r="O203" s="501"/>
      <c r="P203" s="501"/>
      <c r="Q203" s="501"/>
    </row>
    <row r="204" spans="1:17" ht="15.75" customHeight="1">
      <c r="A204" s="518"/>
      <c r="B204" s="336" t="s">
        <v>198</v>
      </c>
      <c r="C204" s="1339">
        <v>0.6</v>
      </c>
      <c r="D204" s="1339">
        <v>0.6</v>
      </c>
      <c r="E204" s="1341"/>
      <c r="F204" s="1341"/>
      <c r="G204" s="1341">
        <v>2</v>
      </c>
      <c r="H204" s="1342">
        <f>-C204*D204*G204</f>
        <v>-0.72</v>
      </c>
      <c r="I204" s="499"/>
      <c r="J204" s="1315"/>
      <c r="K204" s="529"/>
      <c r="L204" s="499"/>
      <c r="M204" s="499"/>
      <c r="N204" s="499"/>
      <c r="O204" s="501"/>
      <c r="P204" s="501"/>
      <c r="Q204" s="501"/>
    </row>
    <row r="205" spans="1:17" ht="15.75" customHeight="1">
      <c r="A205" s="518"/>
      <c r="B205" s="336" t="s">
        <v>199</v>
      </c>
      <c r="C205" s="1349">
        <f>(3.14)*(0.72/2)^2</f>
        <v>0.40694399999999997</v>
      </c>
      <c r="D205" s="1369" t="s">
        <v>179</v>
      </c>
      <c r="E205" s="529"/>
      <c r="F205" s="529"/>
      <c r="G205" s="1341">
        <f>G204</f>
        <v>2</v>
      </c>
      <c r="H205" s="1342">
        <f>-C205*G205</f>
        <v>-0.81388799999999994</v>
      </c>
      <c r="I205" s="499"/>
      <c r="J205" s="1315"/>
      <c r="K205" s="529"/>
      <c r="L205" s="499"/>
      <c r="M205" s="499"/>
      <c r="N205" s="499"/>
      <c r="O205" s="501"/>
      <c r="P205" s="501"/>
      <c r="Q205" s="501"/>
    </row>
    <row r="206" spans="1:17" ht="15.75" customHeight="1">
      <c r="A206" s="518"/>
      <c r="B206" s="1370"/>
      <c r="C206" s="529"/>
      <c r="D206" s="529"/>
      <c r="E206" s="529"/>
      <c r="F206" s="529"/>
      <c r="G206" s="529"/>
      <c r="H206" s="1371">
        <f>SUM(H202:H205)</f>
        <v>55.138612000000002</v>
      </c>
      <c r="I206" s="515" t="s">
        <v>89</v>
      </c>
      <c r="J206" s="1315">
        <f>ROUND((H206),2)</f>
        <v>55.14</v>
      </c>
      <c r="K206" s="529"/>
      <c r="L206" s="499"/>
      <c r="M206" s="499"/>
      <c r="N206" s="499"/>
      <c r="O206" s="501"/>
      <c r="P206" s="501"/>
      <c r="Q206" s="501"/>
    </row>
    <row r="207" spans="1:17" ht="15.75" customHeight="1">
      <c r="A207" s="518">
        <f>A201+1</f>
        <v>11</v>
      </c>
      <c r="B207" s="336" t="s">
        <v>200</v>
      </c>
      <c r="K207" s="529"/>
      <c r="L207" s="499"/>
      <c r="M207" s="499"/>
      <c r="N207" s="499"/>
      <c r="O207" s="501"/>
      <c r="P207" s="501"/>
      <c r="Q207" s="501"/>
    </row>
    <row r="208" spans="1:17" ht="15.75" customHeight="1">
      <c r="A208" s="518"/>
      <c r="B208" s="525" t="s">
        <v>1665</v>
      </c>
      <c r="C208" s="497">
        <v>3.5</v>
      </c>
      <c r="G208" s="497">
        <v>4</v>
      </c>
      <c r="H208" s="497">
        <f>C208*G208</f>
        <v>14</v>
      </c>
      <c r="K208" s="529"/>
      <c r="L208" s="499"/>
      <c r="M208" s="499"/>
      <c r="N208" s="499"/>
      <c r="O208" s="501"/>
      <c r="P208" s="501"/>
      <c r="Q208" s="501"/>
    </row>
    <row r="209" spans="1:17" ht="15.75" customHeight="1">
      <c r="A209" s="518"/>
      <c r="B209" s="525" t="s">
        <v>223</v>
      </c>
      <c r="C209" s="497">
        <v>7</v>
      </c>
      <c r="G209" s="497">
        <v>1</v>
      </c>
      <c r="H209" s="1372">
        <f>C209*G209</f>
        <v>7</v>
      </c>
      <c r="K209" s="529"/>
      <c r="L209" s="499"/>
      <c r="M209" s="499"/>
      <c r="N209" s="499"/>
      <c r="O209" s="501"/>
      <c r="P209" s="501"/>
      <c r="Q209" s="501"/>
    </row>
    <row r="210" spans="1:17" ht="15.75" customHeight="1">
      <c r="A210" s="518"/>
      <c r="B210" s="336"/>
      <c r="H210" s="497">
        <f>SUM(H208:H209)</f>
        <v>21</v>
      </c>
      <c r="J210" s="1315">
        <f>ROUND((H210),2)</f>
        <v>21</v>
      </c>
      <c r="K210" s="529"/>
      <c r="L210" s="499"/>
      <c r="M210" s="499"/>
      <c r="N210" s="499"/>
      <c r="O210" s="501"/>
      <c r="P210" s="501"/>
      <c r="Q210" s="501"/>
    </row>
    <row r="211" spans="1:17" ht="15.75" customHeight="1">
      <c r="A211" s="518"/>
      <c r="B211" s="336" t="s">
        <v>203</v>
      </c>
      <c r="C211" s="513">
        <f>J210</f>
        <v>21</v>
      </c>
      <c r="D211" s="513">
        <f>0.1+0.12</f>
        <v>0.22</v>
      </c>
      <c r="E211" s="513"/>
      <c r="F211" s="513"/>
      <c r="G211" s="514">
        <v>2</v>
      </c>
      <c r="H211" s="514">
        <f>G211*D211*C211</f>
        <v>9.24</v>
      </c>
      <c r="I211" s="515" t="s">
        <v>89</v>
      </c>
      <c r="J211" s="1315">
        <f>ROUND((H211),2)</f>
        <v>9.24</v>
      </c>
      <c r="K211" s="529"/>
      <c r="L211" s="499"/>
      <c r="M211" s="499"/>
      <c r="N211" s="499"/>
      <c r="O211" s="501"/>
      <c r="P211" s="501"/>
      <c r="Q211" s="501"/>
    </row>
    <row r="212" spans="1:17" ht="15.75" customHeight="1">
      <c r="A212" s="518"/>
      <c r="B212" s="336"/>
      <c r="C212" s="513"/>
      <c r="D212" s="513"/>
      <c r="E212" s="514" t="s">
        <v>133</v>
      </c>
      <c r="F212" s="513"/>
      <c r="G212" s="514"/>
      <c r="H212" s="514"/>
      <c r="I212" s="515"/>
      <c r="J212" s="1315"/>
      <c r="K212" s="529"/>
      <c r="L212" s="499"/>
      <c r="M212" s="499"/>
      <c r="N212" s="499"/>
      <c r="O212" s="501"/>
      <c r="P212" s="501"/>
      <c r="Q212" s="501"/>
    </row>
    <row r="213" spans="1:17" ht="15.75" customHeight="1">
      <c r="A213" s="518"/>
      <c r="B213" s="336" t="s">
        <v>1667</v>
      </c>
      <c r="C213" s="513">
        <f>C211</f>
        <v>21</v>
      </c>
      <c r="D213" s="513"/>
      <c r="E213" s="1373">
        <v>0.62</v>
      </c>
      <c r="F213" s="513">
        <v>4</v>
      </c>
      <c r="G213" s="514">
        <v>2</v>
      </c>
      <c r="H213" s="514">
        <f>C213*E213*F213*G213</f>
        <v>104.16</v>
      </c>
      <c r="I213" s="515" t="s">
        <v>100</v>
      </c>
      <c r="J213" s="1315">
        <f>ROUND((H213),2)</f>
        <v>104.16</v>
      </c>
      <c r="K213" s="529"/>
      <c r="L213" s="499"/>
      <c r="M213" s="499"/>
      <c r="N213" s="499"/>
      <c r="O213" s="501"/>
      <c r="P213" s="501"/>
      <c r="Q213" s="501"/>
    </row>
    <row r="214" spans="1:17" ht="15.75" customHeight="1">
      <c r="A214" s="518"/>
      <c r="B214" s="336" t="s">
        <v>205</v>
      </c>
      <c r="C214" s="497">
        <f>0.08*4+0.05</f>
        <v>0.37</v>
      </c>
      <c r="E214" s="1317">
        <v>0.22</v>
      </c>
      <c r="F214" s="1374">
        <f>C213/0.1</f>
        <v>210</v>
      </c>
      <c r="G214" s="497">
        <v>2</v>
      </c>
      <c r="H214" s="514">
        <f>C214*E214*F214*G214</f>
        <v>34.188000000000002</v>
      </c>
      <c r="I214" s="515" t="s">
        <v>100</v>
      </c>
      <c r="J214" s="1315">
        <f>ROUND((H214),2)</f>
        <v>34.19</v>
      </c>
      <c r="K214" s="529"/>
      <c r="L214" s="499"/>
      <c r="M214" s="499"/>
      <c r="N214" s="499"/>
      <c r="O214" s="501"/>
      <c r="P214" s="501"/>
      <c r="Q214" s="501"/>
    </row>
    <row r="215" spans="1:17" ht="15.75" customHeight="1">
      <c r="A215" s="518"/>
      <c r="B215" s="336"/>
      <c r="F215" s="1374"/>
      <c r="H215" s="1375">
        <f>SUM(H213:H214)</f>
        <v>138.34800000000001</v>
      </c>
      <c r="I215" s="499" t="s">
        <v>100</v>
      </c>
      <c r="J215" s="1315"/>
      <c r="K215" s="529"/>
      <c r="L215" s="499"/>
      <c r="M215" s="499"/>
      <c r="N215" s="499"/>
      <c r="O215" s="501"/>
      <c r="P215" s="501"/>
      <c r="Q215" s="501"/>
    </row>
    <row r="216" spans="1:17" ht="15.75" customHeight="1">
      <c r="A216" s="518"/>
      <c r="B216" s="336" t="s">
        <v>206</v>
      </c>
      <c r="C216" s="513">
        <f>C211</f>
        <v>21</v>
      </c>
      <c r="D216" s="513">
        <f>(0.2+0.125)/2</f>
        <v>0.16250000000000001</v>
      </c>
      <c r="E216" s="513">
        <v>0.1</v>
      </c>
      <c r="F216" s="513"/>
      <c r="G216" s="514">
        <v>2</v>
      </c>
      <c r="H216" s="514">
        <f>C216*D216*E216*G216</f>
        <v>0.68250000000000011</v>
      </c>
      <c r="I216" s="523" t="s">
        <v>103</v>
      </c>
      <c r="J216" s="1315">
        <f>ROUND((H216),2)</f>
        <v>0.68</v>
      </c>
      <c r="K216" s="529"/>
      <c r="L216" s="499"/>
      <c r="M216" s="499"/>
      <c r="N216" s="499"/>
      <c r="O216" s="501"/>
      <c r="P216" s="501"/>
      <c r="Q216" s="501"/>
    </row>
    <row r="217" spans="1:17" ht="15.75" customHeight="1">
      <c r="A217" s="518">
        <f>A207+1</f>
        <v>12</v>
      </c>
      <c r="B217" s="336" t="s">
        <v>207</v>
      </c>
      <c r="C217" s="513">
        <f>C216</f>
        <v>21</v>
      </c>
      <c r="D217" s="513">
        <f>0.2+0.125+0.12</f>
        <v>0.44500000000000001</v>
      </c>
      <c r="E217" s="513"/>
      <c r="F217" s="513"/>
      <c r="G217" s="514">
        <v>2</v>
      </c>
      <c r="H217" s="514">
        <f>C217*D217*G217</f>
        <v>18.690000000000001</v>
      </c>
      <c r="I217" s="515" t="s">
        <v>89</v>
      </c>
      <c r="J217" s="1315">
        <f>ROUND((H217),2)</f>
        <v>18.690000000000001</v>
      </c>
      <c r="K217" s="529"/>
      <c r="L217" s="499"/>
      <c r="M217" s="499"/>
      <c r="N217" s="499"/>
      <c r="O217" s="501"/>
      <c r="P217" s="501"/>
      <c r="Q217" s="501"/>
    </row>
    <row r="218" spans="1:17" ht="15.75" customHeight="1">
      <c r="A218" s="1376">
        <v>9</v>
      </c>
      <c r="B218" s="1377" t="s">
        <v>208</v>
      </c>
      <c r="C218" s="513"/>
      <c r="D218" s="513"/>
      <c r="E218" s="513"/>
      <c r="F218" s="513"/>
      <c r="G218" s="514"/>
      <c r="H218" s="514"/>
      <c r="I218" s="515"/>
      <c r="J218" s="1315"/>
      <c r="K218" s="529"/>
      <c r="L218" s="499"/>
      <c r="M218" s="499"/>
      <c r="N218" s="499"/>
      <c r="O218" s="501"/>
      <c r="P218" s="501"/>
      <c r="Q218" s="501"/>
    </row>
    <row r="219" spans="1:17" ht="15.75" customHeight="1">
      <c r="A219" s="1316" t="s">
        <v>209</v>
      </c>
      <c r="B219" s="1377" t="s">
        <v>210</v>
      </c>
      <c r="C219" s="513"/>
      <c r="D219" s="513"/>
      <c r="E219" s="513"/>
      <c r="F219" s="513"/>
      <c r="G219" s="514"/>
      <c r="H219" s="514"/>
      <c r="I219" s="515"/>
      <c r="J219" s="1315"/>
      <c r="K219" s="529"/>
      <c r="L219" s="499"/>
      <c r="M219" s="499"/>
      <c r="N219" s="499"/>
      <c r="O219" s="501"/>
      <c r="P219" s="501"/>
      <c r="Q219" s="501"/>
    </row>
    <row r="220" spans="1:17" ht="15.75" customHeight="1">
      <c r="A220" s="1378" t="s">
        <v>95</v>
      </c>
      <c r="B220" s="1377" t="s">
        <v>211</v>
      </c>
      <c r="C220" s="513">
        <v>4.75</v>
      </c>
      <c r="D220" s="513">
        <v>1.65</v>
      </c>
      <c r="E220" s="513"/>
      <c r="F220" s="513"/>
      <c r="G220" s="514">
        <v>2</v>
      </c>
      <c r="H220" s="514">
        <f>C220*D220*G220</f>
        <v>15.674999999999999</v>
      </c>
      <c r="I220" s="515" t="s">
        <v>89</v>
      </c>
      <c r="J220" s="1315">
        <f>ROUND((H220),2)</f>
        <v>15.68</v>
      </c>
      <c r="K220" s="529"/>
      <c r="L220" s="499"/>
      <c r="M220" s="499"/>
      <c r="N220" s="499"/>
      <c r="O220" s="501"/>
      <c r="P220" s="501"/>
      <c r="Q220" s="501"/>
    </row>
    <row r="221" spans="1:17" ht="15.75" customHeight="1">
      <c r="A221" s="1378"/>
      <c r="B221" s="1377"/>
      <c r="C221" s="1325" t="s">
        <v>212</v>
      </c>
      <c r="D221" s="1325" t="s">
        <v>213</v>
      </c>
      <c r="E221" s="1325" t="s">
        <v>214</v>
      </c>
      <c r="F221" s="513"/>
      <c r="G221" s="514"/>
      <c r="H221" s="514"/>
      <c r="I221" s="515"/>
      <c r="J221" s="1315"/>
      <c r="K221" s="529"/>
      <c r="L221" s="499"/>
      <c r="M221" s="499"/>
      <c r="N221" s="499"/>
      <c r="O221" s="501"/>
      <c r="P221" s="501"/>
      <c r="Q221" s="501"/>
    </row>
    <row r="222" spans="1:17" ht="15.75" customHeight="1">
      <c r="A222" s="1378" t="s">
        <v>98</v>
      </c>
      <c r="B222" s="1377" t="s">
        <v>215</v>
      </c>
      <c r="C222" s="513">
        <f>1.55+0.05*2</f>
        <v>1.6500000000000001</v>
      </c>
      <c r="D222" s="513">
        <v>1.58</v>
      </c>
      <c r="E222" s="513">
        <v>2</v>
      </c>
      <c r="F222" s="513">
        <f>ROUNDUP((C220/0.15),0.1)+1</f>
        <v>33</v>
      </c>
      <c r="G222" s="514">
        <f>G220</f>
        <v>2</v>
      </c>
      <c r="H222" s="514">
        <f>C222*D222*E222*F222*G222</f>
        <v>344.12400000000002</v>
      </c>
      <c r="I222" s="515" t="s">
        <v>100</v>
      </c>
      <c r="J222" s="1315">
        <f>ROUND((H222),2)</f>
        <v>344.12</v>
      </c>
      <c r="K222" s="529"/>
      <c r="L222" s="499"/>
      <c r="M222" s="499"/>
      <c r="N222" s="499"/>
      <c r="O222" s="501"/>
      <c r="P222" s="501"/>
      <c r="Q222" s="501"/>
    </row>
    <row r="223" spans="1:17" ht="15.75" customHeight="1">
      <c r="A223" s="1378" t="s">
        <v>101</v>
      </c>
      <c r="B223" s="1377" t="s">
        <v>216</v>
      </c>
      <c r="C223" s="513">
        <f>C220</f>
        <v>4.75</v>
      </c>
      <c r="D223" s="513">
        <v>1.04</v>
      </c>
      <c r="E223" s="513">
        <v>2</v>
      </c>
      <c r="F223" s="513">
        <f>ROUNDUP((D220/0.15),0.1)+1</f>
        <v>12</v>
      </c>
      <c r="G223" s="514">
        <f>G222</f>
        <v>2</v>
      </c>
      <c r="H223" s="514">
        <f>C223*D223*E223*F223*G223</f>
        <v>237.12</v>
      </c>
      <c r="I223" s="515" t="s">
        <v>100</v>
      </c>
      <c r="J223" s="1315">
        <f>ROUND((H223),2)</f>
        <v>237.12</v>
      </c>
      <c r="K223" s="529"/>
      <c r="L223" s="499"/>
      <c r="M223" s="499"/>
      <c r="N223" s="499"/>
      <c r="O223" s="501"/>
      <c r="P223" s="501"/>
      <c r="Q223" s="501"/>
    </row>
    <row r="224" spans="1:17" ht="15.75" customHeight="1">
      <c r="A224" s="1378" t="s">
        <v>121</v>
      </c>
      <c r="B224" s="1377" t="s">
        <v>102</v>
      </c>
      <c r="C224" s="513">
        <f>C223</f>
        <v>4.75</v>
      </c>
      <c r="D224" s="513">
        <f>C222</f>
        <v>1.6500000000000001</v>
      </c>
      <c r="E224" s="513">
        <v>0.15</v>
      </c>
      <c r="F224" s="513"/>
      <c r="G224" s="514">
        <f>G223</f>
        <v>2</v>
      </c>
      <c r="H224" s="514">
        <f>C224*D224*E224*G224</f>
        <v>2.3512499999999998</v>
      </c>
      <c r="I224" s="515" t="s">
        <v>103</v>
      </c>
      <c r="J224" s="1315">
        <f>ROUND((H224),2)</f>
        <v>2.35</v>
      </c>
      <c r="K224" s="529"/>
      <c r="L224" s="499"/>
      <c r="M224" s="499"/>
      <c r="N224" s="499"/>
      <c r="O224" s="501"/>
      <c r="P224" s="501"/>
      <c r="Q224" s="501"/>
    </row>
    <row r="225" spans="1:17" ht="15.75" customHeight="1">
      <c r="A225" s="1378" t="s">
        <v>142</v>
      </c>
      <c r="B225" s="1377" t="s">
        <v>143</v>
      </c>
      <c r="C225" s="513"/>
      <c r="D225" s="513"/>
      <c r="E225" s="513"/>
      <c r="F225" s="513"/>
      <c r="G225" s="514"/>
      <c r="H225" s="514">
        <f>H224</f>
        <v>2.3512499999999998</v>
      </c>
      <c r="I225" s="515" t="s">
        <v>103</v>
      </c>
      <c r="J225" s="1315">
        <f>ROUND((H225),2)</f>
        <v>2.35</v>
      </c>
      <c r="K225" s="529"/>
      <c r="L225" s="499"/>
      <c r="M225" s="499"/>
      <c r="N225" s="499"/>
      <c r="O225" s="501"/>
      <c r="P225" s="501"/>
      <c r="Q225" s="501"/>
    </row>
    <row r="226" spans="1:17" ht="15.75" customHeight="1">
      <c r="A226" s="1378" t="s">
        <v>217</v>
      </c>
      <c r="B226" s="1377" t="s">
        <v>218</v>
      </c>
      <c r="C226" s="513"/>
      <c r="D226" s="513"/>
      <c r="E226" s="513"/>
      <c r="F226" s="513"/>
      <c r="G226" s="514"/>
      <c r="H226" s="514">
        <f>H225</f>
        <v>2.3512499999999998</v>
      </c>
      <c r="I226" s="515" t="s">
        <v>103</v>
      </c>
      <c r="J226" s="1315">
        <f>ROUND((H226),2)</f>
        <v>2.35</v>
      </c>
      <c r="K226" s="529"/>
      <c r="L226" s="499"/>
      <c r="M226" s="499"/>
      <c r="N226" s="499"/>
      <c r="O226" s="501"/>
      <c r="P226" s="501"/>
      <c r="Q226" s="501"/>
    </row>
    <row r="227" spans="1:17" ht="15.75" customHeight="1">
      <c r="A227" s="1316" t="s">
        <v>219</v>
      </c>
      <c r="B227" s="1377" t="s">
        <v>220</v>
      </c>
      <c r="C227" s="513"/>
      <c r="D227" s="513"/>
      <c r="E227" s="513"/>
      <c r="F227" s="513"/>
      <c r="G227" s="514"/>
      <c r="H227" s="514"/>
      <c r="I227" s="515"/>
      <c r="J227" s="1315"/>
      <c r="K227" s="529"/>
      <c r="L227" s="499"/>
      <c r="M227" s="499"/>
      <c r="N227" s="499"/>
      <c r="O227" s="501"/>
      <c r="P227" s="501"/>
      <c r="Q227" s="501"/>
    </row>
    <row r="228" spans="1:17" ht="15.75" customHeight="1">
      <c r="A228" s="1378" t="s">
        <v>95</v>
      </c>
      <c r="B228" s="1377" t="s">
        <v>221</v>
      </c>
      <c r="C228" s="513" t="s">
        <v>222</v>
      </c>
      <c r="D228" s="513"/>
      <c r="E228" s="513"/>
      <c r="F228" s="1325" t="s">
        <v>107</v>
      </c>
      <c r="G228" s="514"/>
      <c r="H228" s="514"/>
      <c r="I228" s="515"/>
      <c r="J228" s="1315"/>
      <c r="K228" s="529"/>
      <c r="L228" s="499"/>
      <c r="M228" s="499"/>
      <c r="N228" s="499"/>
      <c r="O228" s="501"/>
      <c r="P228" s="501"/>
      <c r="Q228" s="501"/>
    </row>
    <row r="229" spans="1:17" ht="15.75" customHeight="1">
      <c r="A229" s="1378"/>
      <c r="B229" s="1379" t="s">
        <v>223</v>
      </c>
      <c r="C229" s="513">
        <v>0.5</v>
      </c>
      <c r="D229" s="513">
        <v>0.3</v>
      </c>
      <c r="E229" s="513">
        <v>0.18</v>
      </c>
      <c r="F229" s="513">
        <v>2</v>
      </c>
      <c r="G229" s="514">
        <f>14*2</f>
        <v>28</v>
      </c>
      <c r="H229" s="514">
        <f>C229*D229*E229*F229*G229</f>
        <v>1.512</v>
      </c>
      <c r="I229" s="515"/>
      <c r="J229" s="1315"/>
      <c r="K229" s="529"/>
      <c r="L229" s="499"/>
      <c r="M229" s="499"/>
      <c r="N229" s="499"/>
      <c r="O229" s="501"/>
      <c r="P229" s="501"/>
      <c r="Q229" s="501"/>
    </row>
    <row r="230" spans="1:17" ht="15.75" customHeight="1">
      <c r="A230" s="1378"/>
      <c r="B230" s="1379" t="s">
        <v>224</v>
      </c>
      <c r="C230" s="513">
        <v>1.65</v>
      </c>
      <c r="D230" s="513"/>
      <c r="E230" s="513">
        <f>E229</f>
        <v>0.18</v>
      </c>
      <c r="F230" s="513"/>
      <c r="G230" s="514">
        <f>G229</f>
        <v>28</v>
      </c>
      <c r="H230" s="521">
        <f>C230*E230*G230</f>
        <v>8.3159999999999989</v>
      </c>
      <c r="I230" s="515"/>
      <c r="J230" s="1315"/>
      <c r="K230" s="529"/>
      <c r="L230" s="499"/>
      <c r="M230" s="499"/>
      <c r="N230" s="499"/>
      <c r="O230" s="501"/>
      <c r="P230" s="501"/>
      <c r="Q230" s="501"/>
    </row>
    <row r="231" spans="1:17" ht="15.75" customHeight="1">
      <c r="A231" s="1378"/>
      <c r="B231" s="1377"/>
      <c r="C231" s="513"/>
      <c r="D231" s="513"/>
      <c r="E231" s="513"/>
      <c r="F231" s="513"/>
      <c r="G231" s="514"/>
      <c r="H231" s="514">
        <f>SUM(H229:H230)</f>
        <v>9.8279999999999994</v>
      </c>
      <c r="I231" s="515" t="s">
        <v>89</v>
      </c>
      <c r="J231" s="1315">
        <f>ROUND((H231),2)</f>
        <v>9.83</v>
      </c>
      <c r="K231" s="529"/>
      <c r="L231" s="499"/>
      <c r="M231" s="499"/>
      <c r="N231" s="499"/>
      <c r="O231" s="501"/>
      <c r="P231" s="501"/>
      <c r="Q231" s="501"/>
    </row>
    <row r="232" spans="1:17" ht="15.75" customHeight="1">
      <c r="A232" s="1378" t="s">
        <v>98</v>
      </c>
      <c r="B232" s="1377" t="s">
        <v>225</v>
      </c>
      <c r="C232" s="513"/>
      <c r="D232" s="513"/>
      <c r="E232" s="513"/>
      <c r="F232" s="1325" t="s">
        <v>213</v>
      </c>
      <c r="G232" s="514"/>
      <c r="H232" s="514"/>
      <c r="I232" s="515"/>
      <c r="J232" s="1315"/>
      <c r="K232" s="529"/>
      <c r="L232" s="499"/>
      <c r="M232" s="499"/>
      <c r="N232" s="499"/>
      <c r="O232" s="501"/>
      <c r="P232" s="501"/>
      <c r="Q232" s="501"/>
    </row>
    <row r="233" spans="1:17" ht="15.75" customHeight="1">
      <c r="A233" s="1378"/>
      <c r="B233" s="1379" t="s">
        <v>226</v>
      </c>
      <c r="C233" s="513">
        <v>1.55</v>
      </c>
      <c r="D233" s="513"/>
      <c r="E233" s="513"/>
      <c r="F233" s="513">
        <f>8*8*0.006165</f>
        <v>0.39456000000000002</v>
      </c>
      <c r="G233" s="514">
        <f>G230</f>
        <v>28</v>
      </c>
      <c r="H233" s="514">
        <f>C233*F233*G233</f>
        <v>17.123904</v>
      </c>
      <c r="I233" s="515"/>
      <c r="J233" s="1315"/>
      <c r="K233" s="529"/>
      <c r="L233" s="499"/>
      <c r="M233" s="499"/>
      <c r="N233" s="499"/>
      <c r="O233" s="501"/>
      <c r="P233" s="501"/>
      <c r="Q233" s="501"/>
    </row>
    <row r="234" spans="1:17" ht="15.75" customHeight="1">
      <c r="A234" s="1378"/>
      <c r="B234" s="1379" t="s">
        <v>227</v>
      </c>
      <c r="C234" s="513">
        <v>0.35</v>
      </c>
      <c r="D234" s="513">
        <v>0.5</v>
      </c>
      <c r="E234" s="513">
        <v>11</v>
      </c>
      <c r="F234" s="513">
        <f>F233</f>
        <v>0.39456000000000002</v>
      </c>
      <c r="G234" s="514">
        <f>G233</f>
        <v>28</v>
      </c>
      <c r="H234" s="521">
        <f>(C234+D234)*E234*F234*G234</f>
        <v>103.29580799999999</v>
      </c>
      <c r="I234" s="515"/>
      <c r="J234" s="1315"/>
      <c r="K234" s="529"/>
      <c r="L234" s="499"/>
      <c r="M234" s="499"/>
      <c r="N234" s="499"/>
      <c r="O234" s="501"/>
      <c r="P234" s="501"/>
      <c r="Q234" s="501"/>
    </row>
    <row r="235" spans="1:17" ht="15.75" customHeight="1">
      <c r="A235" s="1378"/>
      <c r="B235" s="1377"/>
      <c r="C235" s="513" t="s">
        <v>226</v>
      </c>
      <c r="D235" s="513" t="s">
        <v>227</v>
      </c>
      <c r="E235" s="513" t="s">
        <v>228</v>
      </c>
      <c r="F235" s="513"/>
      <c r="G235" s="514"/>
      <c r="H235" s="514">
        <f>SUM(H233:H234)</f>
        <v>120.41971199999999</v>
      </c>
      <c r="I235" s="515" t="s">
        <v>100</v>
      </c>
      <c r="J235" s="1315">
        <f>ROUND((H235),2)</f>
        <v>120.42</v>
      </c>
      <c r="K235" s="529"/>
      <c r="L235" s="499"/>
      <c r="M235" s="499"/>
      <c r="N235" s="499"/>
      <c r="O235" s="501"/>
      <c r="P235" s="501"/>
      <c r="Q235" s="501"/>
    </row>
    <row r="236" spans="1:17" ht="15.75" customHeight="1">
      <c r="A236" s="1378" t="s">
        <v>101</v>
      </c>
      <c r="B236" s="1377" t="s">
        <v>102</v>
      </c>
      <c r="C236" s="513">
        <f>C230</f>
        <v>1.65</v>
      </c>
      <c r="D236" s="513">
        <f>D229</f>
        <v>0.3</v>
      </c>
      <c r="E236" s="513">
        <f>E229</f>
        <v>0.18</v>
      </c>
      <c r="F236" s="513">
        <v>0.5</v>
      </c>
      <c r="G236" s="514">
        <f>G234</f>
        <v>28</v>
      </c>
      <c r="H236" s="514">
        <f>C236*D236*E236*F236*G236</f>
        <v>1.2473999999999998</v>
      </c>
      <c r="I236" s="515" t="s">
        <v>103</v>
      </c>
      <c r="J236" s="1315">
        <f>ROUND((H236),2)</f>
        <v>1.25</v>
      </c>
      <c r="K236" s="529"/>
      <c r="L236" s="499"/>
      <c r="M236" s="499"/>
      <c r="N236" s="499"/>
      <c r="O236" s="501"/>
      <c r="P236" s="501"/>
      <c r="Q236" s="501"/>
    </row>
    <row r="237" spans="1:17" ht="15.75" customHeight="1">
      <c r="A237" s="1378" t="s">
        <v>121</v>
      </c>
      <c r="B237" s="1377" t="s">
        <v>143</v>
      </c>
      <c r="C237" s="513"/>
      <c r="D237" s="513"/>
      <c r="E237" s="513"/>
      <c r="F237" s="513" t="s">
        <v>222</v>
      </c>
      <c r="G237" s="514"/>
      <c r="H237" s="514">
        <f>H236</f>
        <v>1.2473999999999998</v>
      </c>
      <c r="I237" s="515" t="s">
        <v>103</v>
      </c>
      <c r="J237" s="1315">
        <f>ROUND((H237),2)</f>
        <v>1.25</v>
      </c>
      <c r="K237" s="529"/>
      <c r="L237" s="499"/>
      <c r="M237" s="499"/>
      <c r="N237" s="499"/>
      <c r="O237" s="501"/>
      <c r="P237" s="501"/>
      <c r="Q237" s="501"/>
    </row>
    <row r="238" spans="1:17" ht="15.75" customHeight="1">
      <c r="A238" s="1378" t="s">
        <v>142</v>
      </c>
      <c r="B238" s="1377" t="s">
        <v>218</v>
      </c>
      <c r="C238" s="513"/>
      <c r="D238" s="513"/>
      <c r="E238" s="513"/>
      <c r="F238" s="513"/>
      <c r="G238" s="514"/>
      <c r="H238" s="514">
        <f>H237</f>
        <v>1.2473999999999998</v>
      </c>
      <c r="I238" s="515" t="s">
        <v>103</v>
      </c>
      <c r="J238" s="1315">
        <f>ROUND((H238),2)</f>
        <v>1.25</v>
      </c>
      <c r="K238" s="529"/>
      <c r="L238" s="499"/>
      <c r="M238" s="499"/>
      <c r="N238" s="499"/>
      <c r="O238" s="501"/>
      <c r="P238" s="501"/>
      <c r="Q238" s="501"/>
    </row>
    <row r="239" spans="1:17" ht="15.75" customHeight="1">
      <c r="A239" s="518"/>
      <c r="B239" s="336"/>
      <c r="C239" s="513"/>
      <c r="D239" s="513"/>
      <c r="E239" s="513"/>
      <c r="F239" s="513"/>
      <c r="G239" s="514"/>
      <c r="H239" s="514"/>
      <c r="I239" s="515"/>
      <c r="J239" s="1315"/>
      <c r="K239" s="529"/>
      <c r="L239" s="499"/>
      <c r="M239" s="499"/>
      <c r="N239" s="499"/>
      <c r="O239" s="501"/>
      <c r="P239" s="501"/>
      <c r="Q239" s="501"/>
    </row>
    <row r="240" spans="1:17" ht="15.75" customHeight="1">
      <c r="A240" s="518"/>
      <c r="B240" s="336"/>
      <c r="C240" s="513"/>
      <c r="D240" s="513"/>
      <c r="E240" s="513"/>
      <c r="F240" s="513"/>
      <c r="G240" s="514"/>
      <c r="H240" s="514"/>
      <c r="I240" s="515"/>
      <c r="J240" s="1315"/>
      <c r="K240" s="529"/>
      <c r="L240" s="499"/>
      <c r="M240" s="499"/>
      <c r="N240" s="499"/>
      <c r="O240" s="501"/>
      <c r="P240" s="501"/>
      <c r="Q240" s="501"/>
    </row>
    <row r="241" spans="1:17" ht="15.75" customHeight="1">
      <c r="A241" s="518"/>
      <c r="B241" s="336"/>
      <c r="C241" s="513"/>
      <c r="D241" s="513"/>
      <c r="E241" s="513"/>
      <c r="F241" s="513"/>
      <c r="G241" s="514"/>
      <c r="H241" s="514"/>
      <c r="I241" s="515"/>
      <c r="J241" s="1315"/>
      <c r="K241" s="529"/>
      <c r="L241" s="499"/>
      <c r="M241" s="499"/>
      <c r="N241" s="499"/>
      <c r="O241" s="501"/>
      <c r="P241" s="501"/>
      <c r="Q241" s="501"/>
    </row>
    <row r="242" spans="1:17" ht="15.75" customHeight="1">
      <c r="A242" s="518"/>
      <c r="B242" s="336"/>
      <c r="C242" s="513"/>
      <c r="D242" s="513"/>
      <c r="E242" s="513"/>
      <c r="F242" s="513"/>
      <c r="G242" s="514"/>
      <c r="H242" s="514"/>
      <c r="I242" s="515"/>
      <c r="J242" s="1315"/>
      <c r="K242" s="529"/>
      <c r="L242" s="499"/>
      <c r="M242" s="499"/>
      <c r="N242" s="499"/>
      <c r="O242" s="501"/>
      <c r="P242" s="501"/>
      <c r="Q242" s="501"/>
    </row>
    <row r="243" spans="1:17" ht="15.75" customHeight="1">
      <c r="A243" s="518"/>
      <c r="B243" s="336"/>
      <c r="C243" s="513"/>
      <c r="D243" s="513"/>
      <c r="E243" s="513"/>
      <c r="F243" s="513"/>
      <c r="G243" s="514"/>
      <c r="H243" s="514"/>
      <c r="I243" s="515"/>
      <c r="J243" s="1315"/>
      <c r="K243" s="529"/>
      <c r="L243" s="499"/>
      <c r="M243" s="499"/>
      <c r="N243" s="499"/>
      <c r="O243" s="501"/>
      <c r="P243" s="501"/>
      <c r="Q243" s="501"/>
    </row>
    <row r="244" spans="1:17" ht="15.75" customHeight="1">
      <c r="A244" s="518"/>
      <c r="B244" s="336"/>
      <c r="C244" s="513"/>
      <c r="D244" s="513"/>
      <c r="E244" s="513"/>
      <c r="F244" s="513"/>
      <c r="G244" s="514"/>
      <c r="H244" s="514"/>
      <c r="I244" s="515"/>
      <c r="J244" s="1315"/>
      <c r="K244" s="529"/>
      <c r="L244" s="499"/>
      <c r="M244" s="499"/>
      <c r="N244" s="499"/>
      <c r="O244" s="501"/>
      <c r="P244" s="501"/>
      <c r="Q244" s="501"/>
    </row>
    <row r="245" spans="1:17" ht="15.75" customHeight="1">
      <c r="A245" s="518"/>
      <c r="B245" s="336"/>
      <c r="C245" s="513"/>
      <c r="D245" s="513"/>
      <c r="E245" s="513"/>
      <c r="F245" s="513"/>
      <c r="G245" s="514"/>
      <c r="H245" s="514"/>
      <c r="I245" s="515"/>
      <c r="J245" s="1315"/>
      <c r="K245" s="529"/>
      <c r="L245" s="499"/>
      <c r="M245" s="499"/>
      <c r="N245" s="499"/>
      <c r="O245" s="501"/>
      <c r="P245" s="501"/>
      <c r="Q245" s="501"/>
    </row>
    <row r="246" spans="1:17" ht="15.75" customHeight="1">
      <c r="A246" s="518"/>
      <c r="B246" s="336"/>
      <c r="C246" s="513"/>
      <c r="D246" s="513"/>
      <c r="E246" s="513"/>
      <c r="F246" s="513"/>
      <c r="G246" s="514"/>
      <c r="H246" s="514"/>
      <c r="I246" s="515"/>
      <c r="J246" s="1315"/>
      <c r="K246" s="529"/>
      <c r="L246" s="499"/>
      <c r="M246" s="499"/>
      <c r="N246" s="499"/>
      <c r="O246" s="501"/>
      <c r="P246" s="501"/>
      <c r="Q246" s="501"/>
    </row>
    <row r="247" spans="1:17" ht="15.75" customHeight="1">
      <c r="A247" s="518"/>
      <c r="B247" s="336"/>
      <c r="C247" s="513"/>
      <c r="D247" s="513"/>
      <c r="E247" s="513"/>
      <c r="F247" s="513"/>
      <c r="G247" s="514"/>
      <c r="H247" s="514"/>
      <c r="I247" s="515"/>
      <c r="J247" s="1315"/>
      <c r="K247" s="529"/>
      <c r="L247" s="499"/>
      <c r="M247" s="499"/>
      <c r="N247" s="499"/>
      <c r="O247" s="501"/>
      <c r="P247" s="501"/>
      <c r="Q247" s="501"/>
    </row>
    <row r="248" spans="1:17" ht="15.75" customHeight="1">
      <c r="A248" s="518"/>
      <c r="B248" s="336"/>
      <c r="C248" s="513"/>
      <c r="D248" s="513"/>
      <c r="E248" s="513"/>
      <c r="F248" s="513"/>
      <c r="G248" s="514"/>
      <c r="H248" s="514"/>
      <c r="I248" s="515"/>
      <c r="J248" s="1315"/>
      <c r="K248" s="529"/>
      <c r="L248" s="499"/>
      <c r="M248" s="499"/>
      <c r="N248" s="499"/>
      <c r="O248" s="501"/>
      <c r="P248" s="501"/>
      <c r="Q248" s="501"/>
    </row>
    <row r="249" spans="1:17" ht="15.75" customHeight="1">
      <c r="A249" s="518"/>
      <c r="B249" s="336"/>
      <c r="C249" s="513"/>
      <c r="D249" s="513"/>
      <c r="E249" s="513"/>
      <c r="F249" s="513"/>
      <c r="G249" s="514"/>
      <c r="H249" s="514"/>
      <c r="I249" s="515"/>
      <c r="J249" s="1315"/>
      <c r="K249" s="529"/>
      <c r="L249" s="499"/>
      <c r="M249" s="499"/>
      <c r="N249" s="499"/>
      <c r="O249" s="501"/>
      <c r="P249" s="501"/>
      <c r="Q249" s="501"/>
    </row>
    <row r="250" spans="1:17" ht="15.75" customHeight="1">
      <c r="A250" s="518"/>
      <c r="B250" s="336"/>
      <c r="C250" s="513"/>
      <c r="D250" s="513"/>
      <c r="E250" s="513"/>
      <c r="F250" s="513"/>
      <c r="G250" s="514"/>
      <c r="H250" s="514"/>
      <c r="I250" s="515"/>
      <c r="J250" s="1315"/>
      <c r="K250" s="529"/>
      <c r="L250" s="499"/>
      <c r="M250" s="499"/>
      <c r="N250" s="499"/>
      <c r="O250" s="501"/>
      <c r="P250" s="501"/>
      <c r="Q250" s="501"/>
    </row>
    <row r="251" spans="1:17" ht="15.75" customHeight="1">
      <c r="A251" s="518"/>
      <c r="B251" s="336"/>
      <c r="C251" s="513"/>
      <c r="D251" s="513"/>
      <c r="E251" s="513"/>
      <c r="F251" s="513"/>
      <c r="G251" s="514"/>
      <c r="H251" s="514"/>
      <c r="I251" s="515"/>
      <c r="J251" s="1315"/>
      <c r="K251" s="529"/>
      <c r="L251" s="499"/>
      <c r="M251" s="499"/>
      <c r="N251" s="499"/>
      <c r="O251" s="501"/>
      <c r="P251" s="501"/>
      <c r="Q251" s="501"/>
    </row>
    <row r="252" spans="1:17" ht="15.75" customHeight="1">
      <c r="A252" s="518"/>
      <c r="B252" s="336"/>
      <c r="C252" s="513"/>
      <c r="D252" s="513"/>
      <c r="E252" s="513"/>
      <c r="F252" s="513"/>
      <c r="G252" s="514"/>
      <c r="H252" s="514"/>
      <c r="I252" s="515"/>
      <c r="J252" s="1315"/>
      <c r="K252" s="529"/>
      <c r="L252" s="499"/>
      <c r="M252" s="499"/>
      <c r="N252" s="499"/>
      <c r="O252" s="501"/>
      <c r="P252" s="501"/>
      <c r="Q252" s="501"/>
    </row>
    <row r="253" spans="1:17" ht="15.75" customHeight="1">
      <c r="A253" s="518"/>
      <c r="B253" s="336"/>
      <c r="C253" s="513"/>
      <c r="D253" s="513"/>
      <c r="E253" s="513"/>
      <c r="F253" s="513"/>
      <c r="G253" s="514"/>
      <c r="H253" s="514"/>
      <c r="I253" s="515"/>
      <c r="J253" s="1315"/>
      <c r="K253" s="529"/>
      <c r="L253" s="499"/>
      <c r="M253" s="499"/>
      <c r="N253" s="499"/>
      <c r="O253" s="501"/>
      <c r="P253" s="501"/>
      <c r="Q253" s="501"/>
    </row>
    <row r="254" spans="1:17" ht="15.75" customHeight="1">
      <c r="A254" s="518"/>
      <c r="B254" s="336"/>
      <c r="C254" s="513"/>
      <c r="D254" s="513"/>
      <c r="E254" s="513"/>
      <c r="F254" s="513"/>
      <c r="G254" s="514"/>
      <c r="H254" s="514"/>
      <c r="I254" s="515"/>
      <c r="J254" s="1315"/>
      <c r="K254" s="529"/>
      <c r="L254" s="499"/>
      <c r="M254" s="499"/>
      <c r="N254" s="499"/>
      <c r="O254" s="501"/>
      <c r="P254" s="501"/>
      <c r="Q254" s="501"/>
    </row>
    <row r="255" spans="1:17" ht="15.75" customHeight="1">
      <c r="A255" s="518"/>
      <c r="B255" s="336"/>
      <c r="C255" s="513"/>
      <c r="D255" s="513"/>
      <c r="E255" s="513"/>
      <c r="F255" s="513"/>
      <c r="G255" s="514"/>
      <c r="H255" s="514"/>
      <c r="I255" s="515"/>
      <c r="J255" s="1315"/>
      <c r="K255" s="529"/>
      <c r="L255" s="499"/>
      <c r="M255" s="499"/>
      <c r="N255" s="499"/>
      <c r="O255" s="501"/>
      <c r="P255" s="501"/>
      <c r="Q255" s="501"/>
    </row>
    <row r="256" spans="1:17" ht="29.25" customHeight="1">
      <c r="A256" s="518">
        <f>A217+1</f>
        <v>13</v>
      </c>
      <c r="B256" s="1380" t="s">
        <v>229</v>
      </c>
      <c r="C256" s="513"/>
      <c r="D256" s="513"/>
      <c r="E256" s="513"/>
      <c r="F256" s="513"/>
      <c r="G256" s="514"/>
      <c r="H256" s="514"/>
      <c r="I256" s="515"/>
      <c r="J256" s="1315">
        <f>ROUND((H256),2)</f>
        <v>0</v>
      </c>
      <c r="K256" s="529"/>
      <c r="L256" s="499"/>
      <c r="M256" s="499"/>
      <c r="N256" s="499"/>
      <c r="O256" s="501"/>
      <c r="P256" s="501"/>
      <c r="Q256" s="501"/>
    </row>
    <row r="257" spans="1:19" ht="15.75" customHeight="1">
      <c r="A257" s="1381" t="s">
        <v>95</v>
      </c>
      <c r="B257" s="1382" t="s">
        <v>230</v>
      </c>
      <c r="C257" s="1383"/>
      <c r="D257" s="1383"/>
      <c r="E257" s="1383"/>
      <c r="F257" s="1383"/>
      <c r="G257" s="1384"/>
      <c r="H257" s="1384"/>
      <c r="I257" s="1385"/>
      <c r="J257" s="1315">
        <f>ROUND((H257),2)</f>
        <v>0</v>
      </c>
      <c r="K257" s="529"/>
      <c r="L257" s="499"/>
      <c r="M257" s="499"/>
      <c r="N257" s="499"/>
      <c r="O257" s="501"/>
      <c r="P257" s="501"/>
      <c r="Q257" s="501"/>
    </row>
    <row r="258" spans="1:19" ht="15.75" customHeight="1">
      <c r="A258" s="1381"/>
      <c r="B258" s="1382" t="s">
        <v>231</v>
      </c>
      <c r="C258" s="1386">
        <f>R273</f>
        <v>15.185</v>
      </c>
      <c r="D258" s="1386">
        <f>R266</f>
        <v>0.26500000000000001</v>
      </c>
      <c r="E258" s="1386">
        <f>P277</f>
        <v>0.25</v>
      </c>
      <c r="F258" s="1383" t="s">
        <v>232</v>
      </c>
      <c r="G258" s="1384"/>
      <c r="H258" s="1387">
        <f t="shared" ref="H258:H263" si="28">C258*D258*E258</f>
        <v>1.00600625</v>
      </c>
      <c r="I258" s="1385"/>
      <c r="J258" s="1315"/>
      <c r="K258" s="529"/>
      <c r="L258" s="499"/>
      <c r="M258" s="499"/>
      <c r="N258" s="499"/>
      <c r="O258" s="501"/>
      <c r="P258" s="501"/>
      <c r="Q258" s="501"/>
    </row>
    <row r="259" spans="1:19" ht="15.75" customHeight="1">
      <c r="A259" s="1381"/>
      <c r="B259" s="1382"/>
      <c r="C259" s="1386">
        <f>C258</f>
        <v>15.185</v>
      </c>
      <c r="D259" s="1386">
        <f>Q265</f>
        <v>0.26500000000000001</v>
      </c>
      <c r="E259" s="1386">
        <f>O276</f>
        <v>0.55000000000000004</v>
      </c>
      <c r="F259" s="1383" t="s">
        <v>233</v>
      </c>
      <c r="G259" s="1384"/>
      <c r="H259" s="1387">
        <f t="shared" si="28"/>
        <v>2.21321375</v>
      </c>
      <c r="I259" s="1385"/>
      <c r="J259" s="1315"/>
      <c r="K259" s="529"/>
      <c r="L259" s="499"/>
      <c r="M259" s="499"/>
      <c r="N259" s="499"/>
      <c r="O259" s="501"/>
      <c r="P259" s="501"/>
      <c r="Q259" s="501"/>
    </row>
    <row r="260" spans="1:19" ht="15.75" customHeight="1">
      <c r="A260" s="1381"/>
      <c r="B260" s="1382"/>
      <c r="C260" s="1386">
        <f>C259</f>
        <v>15.185</v>
      </c>
      <c r="D260" s="1386">
        <f>P264</f>
        <v>0.26500000000000001</v>
      </c>
      <c r="E260" s="1386">
        <f>N275</f>
        <v>0.85000000000000009</v>
      </c>
      <c r="F260" s="1383" t="s">
        <v>234</v>
      </c>
      <c r="G260" s="1384"/>
      <c r="H260" s="1387">
        <f t="shared" si="28"/>
        <v>3.4204212500000004</v>
      </c>
      <c r="I260" s="1385"/>
      <c r="J260" s="1315"/>
      <c r="K260" s="529"/>
      <c r="L260" s="499"/>
      <c r="M260" s="499"/>
      <c r="N260" s="499"/>
      <c r="O260" s="501"/>
      <c r="P260" s="501"/>
      <c r="Q260" s="501"/>
    </row>
    <row r="261" spans="1:19" ht="15.75" customHeight="1">
      <c r="A261" s="1381"/>
      <c r="B261" s="1382"/>
      <c r="C261" s="1386">
        <f>C260</f>
        <v>15.185</v>
      </c>
      <c r="D261" s="1386">
        <f>O263</f>
        <v>0.26500000000000001</v>
      </c>
      <c r="E261" s="1386">
        <f>M274</f>
        <v>1.1500000000000001</v>
      </c>
      <c r="F261" s="1383" t="s">
        <v>235</v>
      </c>
      <c r="G261" s="1384"/>
      <c r="H261" s="1387">
        <f t="shared" si="28"/>
        <v>4.6276287500000004</v>
      </c>
      <c r="I261" s="1385"/>
      <c r="J261" s="1388"/>
      <c r="K261" s="529"/>
      <c r="L261" s="499"/>
      <c r="M261" s="549">
        <f>N262</f>
        <v>0.26500000000000001</v>
      </c>
      <c r="N261" s="549"/>
      <c r="O261" s="1389"/>
      <c r="P261" s="1389"/>
      <c r="Q261" s="1389"/>
      <c r="R261" s="1390"/>
      <c r="S261" s="1390"/>
    </row>
    <row r="262" spans="1:19" ht="15.75" customHeight="1">
      <c r="A262" s="1381"/>
      <c r="B262" s="1382"/>
      <c r="C262" s="1386">
        <f>C261</f>
        <v>15.185</v>
      </c>
      <c r="D262" s="1386">
        <f>N262</f>
        <v>0.26500000000000001</v>
      </c>
      <c r="E262" s="1386">
        <f>L273</f>
        <v>1.4500000000000002</v>
      </c>
      <c r="F262" s="1383" t="s">
        <v>236</v>
      </c>
      <c r="G262" s="1384"/>
      <c r="H262" s="1387">
        <f t="shared" si="28"/>
        <v>5.8348362500000004</v>
      </c>
      <c r="I262" s="1385"/>
      <c r="J262" s="1315"/>
      <c r="K262" s="529"/>
      <c r="L262" s="499"/>
      <c r="M262" s="1391"/>
      <c r="N262" s="1392">
        <f>O263</f>
        <v>0.26500000000000001</v>
      </c>
      <c r="O262" s="549"/>
      <c r="P262" s="1389"/>
      <c r="Q262" s="1389"/>
      <c r="R262" s="1389"/>
      <c r="S262" s="1390"/>
    </row>
    <row r="263" spans="1:19" ht="15.75" customHeight="1">
      <c r="A263" s="1381"/>
      <c r="B263" s="1382"/>
      <c r="C263" s="1386">
        <f>C262</f>
        <v>15.185</v>
      </c>
      <c r="D263" s="1386">
        <f>M261</f>
        <v>0.26500000000000001</v>
      </c>
      <c r="E263" s="1386">
        <f>K272</f>
        <v>1.7500000000000002</v>
      </c>
      <c r="F263" s="1383" t="s">
        <v>237</v>
      </c>
      <c r="G263" s="1384"/>
      <c r="H263" s="1387">
        <f t="shared" si="28"/>
        <v>7.0420437500000013</v>
      </c>
      <c r="I263" s="1385"/>
      <c r="J263" s="1315"/>
      <c r="K263" s="529"/>
      <c r="L263" s="499"/>
      <c r="M263" s="549"/>
      <c r="N263" s="1391"/>
      <c r="O263" s="1392">
        <f>P264</f>
        <v>0.26500000000000001</v>
      </c>
      <c r="P263" s="1389"/>
      <c r="Q263" s="1389"/>
      <c r="R263" s="1389"/>
      <c r="S263" s="1390"/>
    </row>
    <row r="264" spans="1:19" ht="15.75" customHeight="1">
      <c r="A264" s="1381"/>
      <c r="B264" s="1382" t="s">
        <v>238</v>
      </c>
      <c r="C264" s="1383"/>
      <c r="D264" s="1386"/>
      <c r="E264" s="1386"/>
      <c r="F264" s="1383"/>
      <c r="G264" s="1384"/>
      <c r="H264" s="1387"/>
      <c r="I264" s="1385"/>
      <c r="J264" s="1315"/>
      <c r="K264" s="529"/>
      <c r="L264" s="499"/>
      <c r="M264" s="549"/>
      <c r="N264" s="549"/>
      <c r="O264" s="1391"/>
      <c r="P264" s="1392">
        <f>Q265</f>
        <v>0.26500000000000001</v>
      </c>
      <c r="Q264" s="1389"/>
      <c r="R264" s="1389"/>
      <c r="S264" s="1390"/>
    </row>
    <row r="265" spans="1:19" ht="15.75" customHeight="1">
      <c r="A265" s="1381"/>
      <c r="B265" s="1382"/>
      <c r="C265" s="1383">
        <f>1.5-0.05</f>
        <v>1.45</v>
      </c>
      <c r="D265" s="1386">
        <f>D263</f>
        <v>0.26500000000000001</v>
      </c>
      <c r="E265" s="1386">
        <f>0.3-0.05</f>
        <v>0.25</v>
      </c>
      <c r="F265" s="1383"/>
      <c r="G265" s="1384"/>
      <c r="H265" s="1387">
        <f>C265*D265*E265</f>
        <v>9.6062499999999995E-2</v>
      </c>
      <c r="I265" s="1385"/>
      <c r="J265" s="1315"/>
      <c r="K265" s="529"/>
      <c r="L265" s="499"/>
      <c r="M265" s="549"/>
      <c r="N265" s="549"/>
      <c r="O265" s="549"/>
      <c r="P265" s="1391"/>
      <c r="Q265" s="1393">
        <f>R266</f>
        <v>0.26500000000000001</v>
      </c>
      <c r="R265" s="1389"/>
      <c r="S265" s="1390"/>
    </row>
    <row r="266" spans="1:19" ht="15.75" customHeight="1">
      <c r="A266" s="1381"/>
      <c r="B266" s="1382"/>
      <c r="C266" s="1383">
        <f t="shared" ref="C266:D268" si="29">C265</f>
        <v>1.45</v>
      </c>
      <c r="D266" s="1386">
        <f t="shared" si="29"/>
        <v>0.26500000000000001</v>
      </c>
      <c r="E266" s="1386">
        <f>0.6-0.05</f>
        <v>0.54999999999999993</v>
      </c>
      <c r="F266" s="1383"/>
      <c r="G266" s="1384"/>
      <c r="H266" s="1387">
        <f>C266*D266*E266</f>
        <v>0.21133749999999996</v>
      </c>
      <c r="I266" s="1385"/>
      <c r="J266" s="1315"/>
      <c r="K266" s="529"/>
      <c r="L266" s="499"/>
      <c r="M266" s="549"/>
      <c r="N266" s="549"/>
      <c r="O266" s="549"/>
      <c r="P266" s="1389"/>
      <c r="Q266" s="1391"/>
      <c r="R266" s="1392">
        <v>0.26500000000000001</v>
      </c>
      <c r="S266" s="1390"/>
    </row>
    <row r="267" spans="1:19" ht="15.75" customHeight="1">
      <c r="A267" s="1381"/>
      <c r="B267" s="1382"/>
      <c r="C267" s="1383">
        <f t="shared" si="29"/>
        <v>1.45</v>
      </c>
      <c r="D267" s="1386">
        <f t="shared" si="29"/>
        <v>0.26500000000000001</v>
      </c>
      <c r="E267" s="1386">
        <f>0.9-0.05</f>
        <v>0.85</v>
      </c>
      <c r="F267" s="1383"/>
      <c r="G267" s="1384"/>
      <c r="H267" s="1387">
        <f>C267*D267*E267</f>
        <v>0.32661249999999997</v>
      </c>
      <c r="I267" s="1385"/>
      <c r="J267" s="1315"/>
      <c r="K267" s="529"/>
      <c r="L267" s="499"/>
      <c r="M267" s="549"/>
      <c r="N267" s="549"/>
      <c r="O267" s="549"/>
      <c r="P267" s="1389"/>
      <c r="Q267" s="549"/>
      <c r="R267" s="1394"/>
      <c r="S267" s="1395"/>
    </row>
    <row r="268" spans="1:19" ht="15.75" customHeight="1">
      <c r="A268" s="1381"/>
      <c r="B268" s="1382"/>
      <c r="C268" s="1383">
        <f t="shared" si="29"/>
        <v>1.45</v>
      </c>
      <c r="D268" s="1386">
        <f t="shared" si="29"/>
        <v>0.26500000000000001</v>
      </c>
      <c r="E268" s="1386">
        <f>1.2-0.05</f>
        <v>1.1499999999999999</v>
      </c>
      <c r="F268" s="1383"/>
      <c r="G268" s="1384"/>
      <c r="H268" s="1396">
        <f>C268*D268*E268</f>
        <v>0.44188749999999993</v>
      </c>
      <c r="I268" s="1385"/>
      <c r="J268" s="1315"/>
      <c r="K268" s="529"/>
      <c r="L268" s="499"/>
      <c r="M268" s="499"/>
      <c r="N268" s="499"/>
      <c r="O268" s="501"/>
      <c r="P268" s="501"/>
      <c r="Q268" s="501"/>
    </row>
    <row r="269" spans="1:19" ht="15.75" customHeight="1">
      <c r="A269" s="1381"/>
      <c r="B269" s="1382"/>
      <c r="C269" s="1383"/>
      <c r="D269" s="1386"/>
      <c r="E269" s="1386"/>
      <c r="F269" s="1383"/>
      <c r="G269" s="1384"/>
      <c r="H269" s="1397">
        <f>SUM(H258:H268)</f>
        <v>25.220049999999997</v>
      </c>
      <c r="I269" s="1398" t="s">
        <v>103</v>
      </c>
      <c r="J269" s="1315">
        <f>ROUND((H269),2)</f>
        <v>25.22</v>
      </c>
      <c r="K269" s="529"/>
      <c r="L269" s="499"/>
      <c r="M269" s="499"/>
      <c r="N269" s="499"/>
      <c r="O269" s="501"/>
      <c r="P269" s="501"/>
      <c r="Q269" s="501"/>
    </row>
    <row r="270" spans="1:19" ht="15.75" customHeight="1">
      <c r="A270" s="1399" t="s">
        <v>98</v>
      </c>
      <c r="B270" s="1400" t="s">
        <v>102</v>
      </c>
      <c r="C270" s="1401"/>
      <c r="D270" s="1402"/>
      <c r="E270" s="1402"/>
      <c r="F270" s="1401"/>
      <c r="G270" s="1403"/>
      <c r="H270" s="1403"/>
      <c r="I270" s="1404"/>
      <c r="J270" s="1405"/>
      <c r="K270" s="529"/>
      <c r="L270" s="499"/>
      <c r="M270" s="499"/>
      <c r="N270" s="499"/>
      <c r="O270" s="501"/>
      <c r="P270" s="501"/>
      <c r="Q270" s="501"/>
    </row>
    <row r="271" spans="1:19" ht="15.75" customHeight="1">
      <c r="A271" s="1406"/>
      <c r="B271" s="1400" t="s">
        <v>239</v>
      </c>
      <c r="C271" s="1401"/>
      <c r="D271" s="1402"/>
      <c r="E271" s="1402"/>
      <c r="F271" s="1407" t="s">
        <v>107</v>
      </c>
      <c r="G271" s="1408" t="s">
        <v>240</v>
      </c>
      <c r="H271" s="1403"/>
      <c r="I271" s="1404"/>
      <c r="J271" s="1405"/>
      <c r="K271" s="1409"/>
      <c r="L271" s="499"/>
      <c r="M271" s="499"/>
      <c r="N271" s="499"/>
      <c r="O271" s="501"/>
      <c r="P271" s="501"/>
      <c r="Q271" s="501"/>
    </row>
    <row r="272" spans="1:19" ht="15.75" customHeight="1">
      <c r="A272" s="1406"/>
      <c r="B272" s="1410" t="s">
        <v>241</v>
      </c>
      <c r="C272" s="1401" t="s">
        <v>232</v>
      </c>
      <c r="D272" s="1402">
        <f>D268</f>
        <v>0.26500000000000001</v>
      </c>
      <c r="E272" s="1402">
        <f t="shared" ref="E272:E277" si="30">E258</f>
        <v>0.25</v>
      </c>
      <c r="F272" s="1401">
        <v>2</v>
      </c>
      <c r="G272" s="1411">
        <v>3.5000000000000003E-2</v>
      </c>
      <c r="H272" s="1412">
        <f t="shared" ref="H272:H277" si="31">D272*E272*F272*G272</f>
        <v>4.637500000000001E-3</v>
      </c>
      <c r="I272" s="1404"/>
      <c r="J272" s="1405"/>
      <c r="K272" s="3264">
        <f>L273+0.3</f>
        <v>1.7500000000000002</v>
      </c>
      <c r="L272" s="549"/>
      <c r="M272" s="549"/>
      <c r="N272" s="1389"/>
      <c r="O272" s="1389"/>
      <c r="P272" s="1389"/>
    </row>
    <row r="273" spans="1:18" ht="15.75" customHeight="1">
      <c r="A273" s="1406"/>
      <c r="B273" s="1400"/>
      <c r="C273" s="1401" t="s">
        <v>233</v>
      </c>
      <c r="D273" s="1402">
        <f t="shared" ref="D273:D279" si="32">D272</f>
        <v>0.26500000000000001</v>
      </c>
      <c r="E273" s="1402">
        <f t="shared" si="30"/>
        <v>0.55000000000000004</v>
      </c>
      <c r="F273" s="1401">
        <v>2</v>
      </c>
      <c r="G273" s="1411">
        <f t="shared" ref="G273:G279" si="33">G272</f>
        <v>3.5000000000000003E-2</v>
      </c>
      <c r="H273" s="1412">
        <f t="shared" si="31"/>
        <v>1.0202500000000001E-2</v>
      </c>
      <c r="I273" s="1404"/>
      <c r="J273" s="1405"/>
      <c r="K273" s="3264"/>
      <c r="L273" s="3264">
        <f>M274+0.3</f>
        <v>1.4500000000000002</v>
      </c>
      <c r="M273" s="549"/>
      <c r="N273" s="1389"/>
      <c r="O273" s="1389"/>
      <c r="P273" s="1389"/>
      <c r="R273" s="498">
        <v>15.185</v>
      </c>
    </row>
    <row r="274" spans="1:18" ht="15.75" customHeight="1">
      <c r="A274" s="1406"/>
      <c r="B274" s="1400"/>
      <c r="C274" s="1401" t="s">
        <v>234</v>
      </c>
      <c r="D274" s="1402">
        <f t="shared" si="32"/>
        <v>0.26500000000000001</v>
      </c>
      <c r="E274" s="1402">
        <f t="shared" si="30"/>
        <v>0.85000000000000009</v>
      </c>
      <c r="F274" s="1401">
        <v>2</v>
      </c>
      <c r="G274" s="1411">
        <f t="shared" si="33"/>
        <v>3.5000000000000003E-2</v>
      </c>
      <c r="H274" s="1412">
        <f t="shared" si="31"/>
        <v>1.5767500000000004E-2</v>
      </c>
      <c r="I274" s="1404"/>
      <c r="J274" s="1405"/>
      <c r="K274" s="3264"/>
      <c r="L274" s="3264"/>
      <c r="M274" s="3264">
        <f>N275+0.3</f>
        <v>1.1500000000000001</v>
      </c>
      <c r="N274" s="549"/>
      <c r="O274" s="1389"/>
      <c r="P274" s="1389"/>
    </row>
    <row r="275" spans="1:18" ht="15.75" customHeight="1">
      <c r="A275" s="1406"/>
      <c r="B275" s="1400"/>
      <c r="C275" s="1401" t="s">
        <v>235</v>
      </c>
      <c r="D275" s="1402">
        <f t="shared" si="32"/>
        <v>0.26500000000000001</v>
      </c>
      <c r="E275" s="1402">
        <f t="shared" si="30"/>
        <v>1.1500000000000001</v>
      </c>
      <c r="F275" s="1401">
        <v>2</v>
      </c>
      <c r="G275" s="1411">
        <f t="shared" si="33"/>
        <v>3.5000000000000003E-2</v>
      </c>
      <c r="H275" s="1412">
        <f t="shared" si="31"/>
        <v>2.1332500000000008E-2</v>
      </c>
      <c r="I275" s="1404"/>
      <c r="J275" s="1405"/>
      <c r="K275" s="3264"/>
      <c r="L275" s="3264"/>
      <c r="M275" s="3264"/>
      <c r="N275" s="3264">
        <f>O276+0.3</f>
        <v>0.85000000000000009</v>
      </c>
      <c r="O275" s="1389"/>
      <c r="P275" s="1389"/>
    </row>
    <row r="276" spans="1:18" ht="15.75" customHeight="1">
      <c r="A276" s="1406"/>
      <c r="B276" s="1400"/>
      <c r="C276" s="1401" t="s">
        <v>236</v>
      </c>
      <c r="D276" s="1402">
        <f t="shared" si="32"/>
        <v>0.26500000000000001</v>
      </c>
      <c r="E276" s="1402">
        <f t="shared" si="30"/>
        <v>1.4500000000000002</v>
      </c>
      <c r="F276" s="1401">
        <v>2</v>
      </c>
      <c r="G276" s="1411">
        <f t="shared" si="33"/>
        <v>3.5000000000000003E-2</v>
      </c>
      <c r="H276" s="1412">
        <f t="shared" si="31"/>
        <v>2.6897500000000008E-2</v>
      </c>
      <c r="I276" s="1404"/>
      <c r="J276" s="1405"/>
      <c r="K276" s="3264"/>
      <c r="L276" s="3264"/>
      <c r="M276" s="3264"/>
      <c r="N276" s="3264"/>
      <c r="O276" s="3264">
        <f>P277+0.3</f>
        <v>0.55000000000000004</v>
      </c>
      <c r="P276" s="549"/>
    </row>
    <row r="277" spans="1:18" ht="15.75" customHeight="1">
      <c r="A277" s="1406"/>
      <c r="B277" s="1400"/>
      <c r="C277" s="1401" t="s">
        <v>237</v>
      </c>
      <c r="D277" s="1402">
        <f t="shared" si="32"/>
        <v>0.26500000000000001</v>
      </c>
      <c r="E277" s="1402">
        <f t="shared" si="30"/>
        <v>1.7500000000000002</v>
      </c>
      <c r="F277" s="1401">
        <v>2</v>
      </c>
      <c r="G277" s="1411">
        <f t="shared" si="33"/>
        <v>3.5000000000000003E-2</v>
      </c>
      <c r="H277" s="1412">
        <f t="shared" si="31"/>
        <v>3.2462500000000012E-2</v>
      </c>
      <c r="I277" s="1404"/>
      <c r="J277" s="1405"/>
      <c r="K277" s="3264"/>
      <c r="L277" s="3264"/>
      <c r="M277" s="3264"/>
      <c r="N277" s="3264"/>
      <c r="O277" s="3264"/>
      <c r="P277" s="1413">
        <v>0.25</v>
      </c>
    </row>
    <row r="278" spans="1:18" ht="15.75" customHeight="1">
      <c r="A278" s="1406"/>
      <c r="B278" s="1410" t="s">
        <v>242</v>
      </c>
      <c r="C278" s="1402">
        <f>C263</f>
        <v>15.185</v>
      </c>
      <c r="D278" s="1402">
        <f t="shared" si="32"/>
        <v>0.26500000000000001</v>
      </c>
      <c r="E278" s="1402"/>
      <c r="F278" s="1401">
        <v>6</v>
      </c>
      <c r="G278" s="1411">
        <f t="shared" si="33"/>
        <v>3.5000000000000003E-2</v>
      </c>
      <c r="H278" s="1403">
        <f>C278*D278*F278*G278</f>
        <v>0.84504525000000008</v>
      </c>
      <c r="I278" s="1404"/>
      <c r="J278" s="1405"/>
      <c r="K278" s="1414"/>
      <c r="L278" s="549"/>
      <c r="M278" s="549"/>
      <c r="N278" s="549"/>
      <c r="O278" s="1389"/>
      <c r="P278" s="1389"/>
      <c r="Q278" s="501"/>
    </row>
    <row r="279" spans="1:18" ht="15.75" customHeight="1">
      <c r="A279" s="1406"/>
      <c r="B279" s="1410" t="s">
        <v>243</v>
      </c>
      <c r="C279" s="1402">
        <f>C278</f>
        <v>15.185</v>
      </c>
      <c r="D279" s="1402">
        <f t="shared" si="32"/>
        <v>0.26500000000000001</v>
      </c>
      <c r="E279" s="1402"/>
      <c r="F279" s="1401">
        <v>6</v>
      </c>
      <c r="G279" s="1411">
        <f t="shared" si="33"/>
        <v>3.5000000000000003E-2</v>
      </c>
      <c r="H279" s="1403">
        <f>C279*D279*F279*G279</f>
        <v>0.84504525000000008</v>
      </c>
      <c r="I279" s="1404"/>
      <c r="J279" s="1405"/>
      <c r="K279" s="529"/>
      <c r="L279" s="499"/>
      <c r="M279" s="499"/>
      <c r="N279" s="499"/>
      <c r="O279" s="501"/>
      <c r="P279" s="501"/>
      <c r="Q279" s="501"/>
    </row>
    <row r="280" spans="1:18" ht="15.75" customHeight="1">
      <c r="A280" s="1406"/>
      <c r="B280" s="1400" t="s">
        <v>244</v>
      </c>
      <c r="C280" s="1401"/>
      <c r="D280" s="1402"/>
      <c r="E280" s="1402"/>
      <c r="F280" s="1401"/>
      <c r="G280" s="1411"/>
      <c r="H280" s="1403"/>
      <c r="I280" s="1404"/>
      <c r="J280" s="1405"/>
      <c r="K280" s="529"/>
      <c r="L280" s="499"/>
      <c r="M280" s="499"/>
      <c r="N280" s="499"/>
      <c r="O280" s="501"/>
      <c r="P280" s="501"/>
      <c r="Q280" s="501"/>
    </row>
    <row r="281" spans="1:18" ht="15.75" customHeight="1">
      <c r="A281" s="1406"/>
      <c r="B281" s="1410" t="s">
        <v>241</v>
      </c>
      <c r="C281" s="1401"/>
      <c r="D281" s="1402">
        <f>D279</f>
        <v>0.26500000000000001</v>
      </c>
      <c r="E281" s="1402">
        <f>E265</f>
        <v>0.25</v>
      </c>
      <c r="F281" s="1401">
        <v>2</v>
      </c>
      <c r="G281" s="1411">
        <f>G279</f>
        <v>3.5000000000000003E-2</v>
      </c>
      <c r="H281" s="1412">
        <f>D281*E281*F281*G281</f>
        <v>4.637500000000001E-3</v>
      </c>
      <c r="I281" s="1404"/>
      <c r="J281" s="1405"/>
      <c r="K281" s="529"/>
      <c r="L281" s="499"/>
      <c r="M281" s="499"/>
      <c r="N281" s="499"/>
      <c r="O281" s="501"/>
      <c r="P281" s="501"/>
      <c r="Q281" s="501"/>
    </row>
    <row r="282" spans="1:18" ht="15.75" customHeight="1">
      <c r="A282" s="1406"/>
      <c r="B282" s="1400"/>
      <c r="C282" s="1401"/>
      <c r="D282" s="1402">
        <f>D281</f>
        <v>0.26500000000000001</v>
      </c>
      <c r="E282" s="1402">
        <f>E266</f>
        <v>0.54999999999999993</v>
      </c>
      <c r="F282" s="1401">
        <v>2</v>
      </c>
      <c r="G282" s="1411">
        <f>G281</f>
        <v>3.5000000000000003E-2</v>
      </c>
      <c r="H282" s="1412">
        <f>D282*E282*F282*G282</f>
        <v>1.02025E-2</v>
      </c>
      <c r="I282" s="1404"/>
      <c r="J282" s="1405"/>
      <c r="K282" s="529"/>
      <c r="L282" s="499"/>
      <c r="M282" s="499"/>
      <c r="N282" s="499"/>
      <c r="O282" s="501"/>
      <c r="P282" s="501"/>
      <c r="Q282" s="501"/>
    </row>
    <row r="283" spans="1:18" ht="15.75" customHeight="1">
      <c r="A283" s="1406"/>
      <c r="B283" s="1400"/>
      <c r="C283" s="1401"/>
      <c r="D283" s="1402">
        <f>D282</f>
        <v>0.26500000000000001</v>
      </c>
      <c r="E283" s="1402">
        <f>E267</f>
        <v>0.85</v>
      </c>
      <c r="F283" s="1401">
        <v>2</v>
      </c>
      <c r="G283" s="1411">
        <f>G282</f>
        <v>3.5000000000000003E-2</v>
      </c>
      <c r="H283" s="1412">
        <f>D283*E283*F283*G283</f>
        <v>1.57675E-2</v>
      </c>
      <c r="I283" s="1404"/>
      <c r="J283" s="1415" t="e">
        <f>#VALUE!</f>
        <v>#VALUE!</v>
      </c>
      <c r="K283" s="529"/>
      <c r="L283" s="499"/>
      <c r="M283" s="499"/>
      <c r="N283" s="499"/>
      <c r="O283" s="501"/>
      <c r="P283" s="501"/>
      <c r="Q283" s="501"/>
    </row>
    <row r="284" spans="1:18" ht="15.75" customHeight="1">
      <c r="A284" s="1406"/>
      <c r="B284" s="1400"/>
      <c r="C284" s="1401"/>
      <c r="D284" s="1402">
        <f>D283</f>
        <v>0.26500000000000001</v>
      </c>
      <c r="E284" s="1402">
        <f>E268</f>
        <v>1.1499999999999999</v>
      </c>
      <c r="F284" s="1401">
        <v>2</v>
      </c>
      <c r="G284" s="1411">
        <f>G283</f>
        <v>3.5000000000000003E-2</v>
      </c>
      <c r="H284" s="1412">
        <f>D284*E284*F284*G284</f>
        <v>2.1332500000000001E-2</v>
      </c>
      <c r="I284" s="1404"/>
      <c r="J284" s="1405"/>
      <c r="K284" s="529"/>
      <c r="L284" s="499"/>
      <c r="M284" s="499"/>
      <c r="N284" s="499"/>
      <c r="O284" s="501"/>
      <c r="P284" s="501"/>
      <c r="Q284" s="501"/>
    </row>
    <row r="285" spans="1:18" ht="15.75" customHeight="1">
      <c r="A285" s="1406"/>
      <c r="B285" s="1410" t="s">
        <v>245</v>
      </c>
      <c r="C285" s="1401">
        <f>1.5-0.05</f>
        <v>1.45</v>
      </c>
      <c r="D285" s="1402">
        <f>D284</f>
        <v>0.26500000000000001</v>
      </c>
      <c r="E285" s="1402"/>
      <c r="F285" s="1401">
        <f>4</f>
        <v>4</v>
      </c>
      <c r="G285" s="1411">
        <f>G284</f>
        <v>3.5000000000000003E-2</v>
      </c>
      <c r="H285" s="1416">
        <f>C285*D285*F285*G285</f>
        <v>5.3795000000000003E-2</v>
      </c>
      <c r="I285" s="1404"/>
      <c r="J285" s="1405"/>
      <c r="K285" s="529"/>
      <c r="L285" s="499"/>
      <c r="M285" s="499"/>
      <c r="N285" s="499"/>
      <c r="O285" s="501"/>
      <c r="P285" s="501"/>
      <c r="Q285" s="501"/>
    </row>
    <row r="286" spans="1:18" ht="15.75" customHeight="1">
      <c r="A286" s="1406"/>
      <c r="B286" s="1410" t="s">
        <v>246</v>
      </c>
      <c r="C286" s="1401">
        <f>1.5-0.05</f>
        <v>1.45</v>
      </c>
      <c r="D286" s="1402">
        <f>D285</f>
        <v>0.26500000000000001</v>
      </c>
      <c r="E286" s="1402"/>
      <c r="F286" s="1401">
        <f>4</f>
        <v>4</v>
      </c>
      <c r="G286" s="1411">
        <f>G285</f>
        <v>3.5000000000000003E-2</v>
      </c>
      <c r="H286" s="1417">
        <f>C286*D286*F286*G286</f>
        <v>5.3795000000000003E-2</v>
      </c>
      <c r="I286" s="1404"/>
      <c r="J286" s="1405"/>
      <c r="K286" s="529"/>
      <c r="L286" s="499"/>
      <c r="M286" s="499"/>
      <c r="N286" s="499"/>
      <c r="O286" s="501"/>
      <c r="P286" s="501"/>
      <c r="Q286" s="501"/>
    </row>
    <row r="287" spans="1:18" ht="15.75" customHeight="1">
      <c r="A287" s="1406"/>
      <c r="B287" s="1400"/>
      <c r="C287" s="1401"/>
      <c r="D287" s="1402"/>
      <c r="E287" s="1402"/>
      <c r="F287" s="1401"/>
      <c r="G287" s="1403"/>
      <c r="H287" s="1418">
        <f>SUM(H272:H286)</f>
        <v>1.9609205000000001</v>
      </c>
      <c r="I287" s="1419" t="s">
        <v>103</v>
      </c>
      <c r="J287" s="1415">
        <f>ROUND((H287),2)</f>
        <v>1.96</v>
      </c>
      <c r="K287" s="529"/>
      <c r="L287" s="499"/>
      <c r="M287" s="499"/>
      <c r="N287" s="499"/>
      <c r="O287" s="501"/>
      <c r="P287" s="501"/>
      <c r="Q287" s="501"/>
    </row>
    <row r="288" spans="1:18" ht="15.75" customHeight="1">
      <c r="A288" s="518"/>
      <c r="B288" s="336"/>
      <c r="C288" s="513"/>
      <c r="D288" s="1328"/>
      <c r="E288" s="1328"/>
      <c r="F288" s="513"/>
      <c r="G288" s="514"/>
      <c r="H288" s="527"/>
      <c r="I288" s="523"/>
      <c r="J288" s="516"/>
      <c r="K288" s="529"/>
      <c r="L288" s="499"/>
      <c r="M288" s="499"/>
      <c r="N288" s="499"/>
      <c r="O288" s="501"/>
      <c r="P288" s="501"/>
      <c r="Q288" s="501"/>
    </row>
    <row r="289" spans="1:17" ht="15.75" customHeight="1">
      <c r="A289" s="1420" t="s">
        <v>98</v>
      </c>
      <c r="B289" s="1421" t="s">
        <v>247</v>
      </c>
      <c r="C289" s="1422"/>
      <c r="D289" s="1423"/>
      <c r="E289" s="1423"/>
      <c r="F289" s="1422"/>
      <c r="G289" s="1424"/>
      <c r="H289" s="1424"/>
      <c r="I289" s="1425"/>
      <c r="J289" s="1426"/>
      <c r="K289" s="529"/>
      <c r="L289" s="499"/>
      <c r="M289" s="499"/>
      <c r="N289" s="499"/>
      <c r="O289" s="501"/>
      <c r="P289" s="501"/>
      <c r="Q289" s="501"/>
    </row>
    <row r="290" spans="1:17" ht="15.75" customHeight="1">
      <c r="A290" s="1427"/>
      <c r="B290" s="1421" t="s">
        <v>239</v>
      </c>
      <c r="C290" s="1422"/>
      <c r="D290" s="1423"/>
      <c r="E290" s="1423"/>
      <c r="F290" s="1428" t="s">
        <v>107</v>
      </c>
      <c r="G290" s="1429" t="s">
        <v>240</v>
      </c>
      <c r="H290" s="1424"/>
      <c r="I290" s="1425"/>
      <c r="J290" s="1426"/>
      <c r="K290" s="529"/>
      <c r="L290" s="499"/>
      <c r="M290" s="499"/>
      <c r="N290" s="499"/>
      <c r="O290" s="501"/>
      <c r="P290" s="501"/>
      <c r="Q290" s="501"/>
    </row>
    <row r="291" spans="1:17" ht="15.75" customHeight="1">
      <c r="A291" s="1427"/>
      <c r="B291" s="1430" t="s">
        <v>241</v>
      </c>
      <c r="C291" s="1422" t="s">
        <v>232</v>
      </c>
      <c r="D291" s="1423">
        <f>D286</f>
        <v>0.26500000000000001</v>
      </c>
      <c r="E291" s="1423">
        <f t="shared" ref="E291:E296" si="34">E272</f>
        <v>0.25</v>
      </c>
      <c r="F291" s="1422">
        <v>2</v>
      </c>
      <c r="G291" s="1424"/>
      <c r="H291" s="1431">
        <f t="shared" ref="H291:H296" si="35">D291*E291*F291</f>
        <v>0.13250000000000001</v>
      </c>
      <c r="I291" s="1425"/>
      <c r="J291" s="1426"/>
      <c r="K291" s="1432"/>
      <c r="L291" s="499"/>
      <c r="M291" s="499"/>
      <c r="N291" s="501"/>
      <c r="O291" s="501"/>
      <c r="P291" s="501"/>
    </row>
    <row r="292" spans="1:17" ht="15.75" customHeight="1">
      <c r="A292" s="1427"/>
      <c r="B292" s="1421"/>
      <c r="C292" s="1422" t="s">
        <v>233</v>
      </c>
      <c r="D292" s="1423">
        <f t="shared" ref="D292:D297" si="36">D291</f>
        <v>0.26500000000000001</v>
      </c>
      <c r="E292" s="1423">
        <f t="shared" si="34"/>
        <v>0.55000000000000004</v>
      </c>
      <c r="F292" s="1422">
        <v>2</v>
      </c>
      <c r="G292" s="1424"/>
      <c r="H292" s="1431">
        <f t="shared" si="35"/>
        <v>0.29150000000000004</v>
      </c>
      <c r="I292" s="1425"/>
      <c r="J292" s="1426"/>
      <c r="K292" s="1433"/>
      <c r="L292" s="1434"/>
      <c r="M292" s="499"/>
      <c r="N292" s="501"/>
      <c r="O292" s="501"/>
      <c r="P292" s="501"/>
    </row>
    <row r="293" spans="1:17" ht="15.75" customHeight="1">
      <c r="A293" s="1427"/>
      <c r="B293" s="1421"/>
      <c r="C293" s="1422" t="s">
        <v>234</v>
      </c>
      <c r="D293" s="1423">
        <f t="shared" si="36"/>
        <v>0.26500000000000001</v>
      </c>
      <c r="E293" s="1423">
        <f t="shared" si="34"/>
        <v>0.85000000000000009</v>
      </c>
      <c r="F293" s="1422">
        <v>2</v>
      </c>
      <c r="G293" s="1424"/>
      <c r="H293" s="1431">
        <f t="shared" si="35"/>
        <v>0.45050000000000007</v>
      </c>
      <c r="I293" s="1425"/>
      <c r="J293" s="1426"/>
      <c r="K293" s="1433"/>
      <c r="L293" s="499"/>
      <c r="M293" s="1434"/>
      <c r="N293" s="499"/>
      <c r="O293" s="501"/>
      <c r="P293" s="501"/>
    </row>
    <row r="294" spans="1:17" ht="15.75" customHeight="1">
      <c r="A294" s="1427"/>
      <c r="B294" s="1421"/>
      <c r="C294" s="1422" t="s">
        <v>235</v>
      </c>
      <c r="D294" s="1423">
        <f t="shared" si="36"/>
        <v>0.26500000000000001</v>
      </c>
      <c r="E294" s="1423">
        <f t="shared" si="34"/>
        <v>1.1500000000000001</v>
      </c>
      <c r="F294" s="1422">
        <v>2</v>
      </c>
      <c r="G294" s="1424"/>
      <c r="H294" s="1431">
        <f t="shared" si="35"/>
        <v>0.60950000000000015</v>
      </c>
      <c r="I294" s="1425"/>
      <c r="J294" s="1426"/>
      <c r="K294" s="1433"/>
      <c r="L294" s="499"/>
      <c r="M294" s="499"/>
      <c r="N294" s="1434"/>
      <c r="O294" s="501"/>
      <c r="P294" s="501"/>
    </row>
    <row r="295" spans="1:17" ht="15.75" customHeight="1">
      <c r="A295" s="1427"/>
      <c r="B295" s="1421"/>
      <c r="C295" s="1422" t="s">
        <v>236</v>
      </c>
      <c r="D295" s="1423">
        <f t="shared" si="36"/>
        <v>0.26500000000000001</v>
      </c>
      <c r="E295" s="1423">
        <f t="shared" si="34"/>
        <v>1.4500000000000002</v>
      </c>
      <c r="F295" s="1422">
        <v>2</v>
      </c>
      <c r="G295" s="1424"/>
      <c r="H295" s="1431">
        <f t="shared" si="35"/>
        <v>0.76850000000000018</v>
      </c>
      <c r="I295" s="1425"/>
      <c r="J295" s="1426"/>
      <c r="K295" s="1433"/>
      <c r="L295" s="499"/>
      <c r="M295" s="499"/>
      <c r="N295" s="501"/>
      <c r="O295" s="1434"/>
      <c r="P295" s="499"/>
    </row>
    <row r="296" spans="1:17" ht="15.75" customHeight="1">
      <c r="A296" s="1427"/>
      <c r="B296" s="1421"/>
      <c r="C296" s="1422" t="s">
        <v>237</v>
      </c>
      <c r="D296" s="1423">
        <f t="shared" si="36"/>
        <v>0.26500000000000001</v>
      </c>
      <c r="E296" s="1423">
        <f t="shared" si="34"/>
        <v>1.7500000000000002</v>
      </c>
      <c r="F296" s="1422">
        <v>2</v>
      </c>
      <c r="G296" s="1424"/>
      <c r="H296" s="1431">
        <f t="shared" si="35"/>
        <v>0.92750000000000021</v>
      </c>
      <c r="I296" s="1425"/>
      <c r="J296" s="1426"/>
      <c r="K296" s="1435"/>
      <c r="L296" s="1436"/>
      <c r="M296" s="1436"/>
      <c r="N296" s="1437"/>
      <c r="O296" s="1436"/>
      <c r="P296" s="1438"/>
    </row>
    <row r="297" spans="1:17" ht="15.75" customHeight="1">
      <c r="A297" s="1427"/>
      <c r="B297" s="1430" t="s">
        <v>242</v>
      </c>
      <c r="C297" s="1423">
        <f>C278</f>
        <v>15.185</v>
      </c>
      <c r="D297" s="1423">
        <f t="shared" si="36"/>
        <v>0.26500000000000001</v>
      </c>
      <c r="E297" s="1423"/>
      <c r="F297" s="1422">
        <v>6</v>
      </c>
      <c r="G297" s="1424"/>
      <c r="H297" s="1431">
        <f>C297*D297*F297</f>
        <v>24.14415</v>
      </c>
      <c r="I297" s="1425"/>
      <c r="J297" s="1426"/>
      <c r="K297" s="529"/>
      <c r="L297" s="499"/>
      <c r="M297" s="499"/>
      <c r="N297" s="499"/>
      <c r="O297" s="501"/>
      <c r="P297" s="501"/>
      <c r="Q297" s="501"/>
    </row>
    <row r="298" spans="1:17" ht="15.75" customHeight="1">
      <c r="A298" s="1427"/>
      <c r="B298" s="1421" t="s">
        <v>244</v>
      </c>
      <c r="C298" s="1422"/>
      <c r="D298" s="1423"/>
      <c r="E298" s="1423"/>
      <c r="F298" s="1422"/>
      <c r="G298" s="1424"/>
      <c r="H298" s="1424"/>
      <c r="I298" s="1425"/>
      <c r="J298" s="1426"/>
      <c r="K298" s="529"/>
      <c r="L298" s="499"/>
      <c r="M298" s="499"/>
      <c r="N298" s="499"/>
      <c r="O298" s="501"/>
      <c r="P298" s="501"/>
      <c r="Q298" s="501"/>
    </row>
    <row r="299" spans="1:17" ht="15.75" customHeight="1">
      <c r="A299" s="1427"/>
      <c r="B299" s="1430" t="s">
        <v>241</v>
      </c>
      <c r="C299" s="1422"/>
      <c r="D299" s="1423">
        <f>D297</f>
        <v>0.26500000000000001</v>
      </c>
      <c r="E299" s="1423">
        <f>E281</f>
        <v>0.25</v>
      </c>
      <c r="F299" s="1422">
        <v>2</v>
      </c>
      <c r="G299" s="1424"/>
      <c r="H299" s="1431">
        <f>D299*E299*F299</f>
        <v>0.13250000000000001</v>
      </c>
      <c r="I299" s="1425"/>
      <c r="J299" s="1426"/>
      <c r="K299" s="529"/>
      <c r="L299" s="499"/>
      <c r="M299" s="499"/>
      <c r="N299" s="499"/>
      <c r="O299" s="501"/>
      <c r="P299" s="501"/>
      <c r="Q299" s="501"/>
    </row>
    <row r="300" spans="1:17" ht="15.75" customHeight="1">
      <c r="A300" s="1427"/>
      <c r="B300" s="1421"/>
      <c r="C300" s="1422"/>
      <c r="D300" s="1423">
        <f>D299</f>
        <v>0.26500000000000001</v>
      </c>
      <c r="E300" s="1423">
        <f>E282</f>
        <v>0.54999999999999993</v>
      </c>
      <c r="F300" s="1422">
        <v>2</v>
      </c>
      <c r="G300" s="1424"/>
      <c r="H300" s="1431">
        <f>D300*E300*F300</f>
        <v>0.29149999999999998</v>
      </c>
      <c r="I300" s="1425"/>
      <c r="J300" s="1426"/>
      <c r="K300" s="529"/>
      <c r="L300" s="499"/>
      <c r="M300" s="499"/>
      <c r="N300" s="499"/>
      <c r="O300" s="501"/>
      <c r="P300" s="501"/>
      <c r="Q300" s="501"/>
    </row>
    <row r="301" spans="1:17" ht="15.75" customHeight="1">
      <c r="A301" s="1427"/>
      <c r="B301" s="1421"/>
      <c r="C301" s="1422"/>
      <c r="D301" s="1423">
        <f>D300</f>
        <v>0.26500000000000001</v>
      </c>
      <c r="E301" s="1423">
        <f>E283</f>
        <v>0.85</v>
      </c>
      <c r="F301" s="1422">
        <v>2</v>
      </c>
      <c r="G301" s="1424"/>
      <c r="H301" s="1431">
        <f>D301*E301*F301</f>
        <v>0.45050000000000001</v>
      </c>
      <c r="I301" s="1425"/>
      <c r="J301" s="1426"/>
      <c r="K301" s="529"/>
      <c r="L301" s="499"/>
      <c r="M301" s="499"/>
      <c r="N301" s="499"/>
      <c r="O301" s="501"/>
      <c r="P301" s="501"/>
      <c r="Q301" s="501"/>
    </row>
    <row r="302" spans="1:17" ht="15.75" customHeight="1">
      <c r="A302" s="1427"/>
      <c r="B302" s="1421"/>
      <c r="C302" s="1422"/>
      <c r="D302" s="1423">
        <f>D301</f>
        <v>0.26500000000000001</v>
      </c>
      <c r="E302" s="1423">
        <f>E284</f>
        <v>1.1499999999999999</v>
      </c>
      <c r="F302" s="1422">
        <v>2</v>
      </c>
      <c r="G302" s="1424"/>
      <c r="H302" s="1431">
        <f>D302*E302*F302</f>
        <v>0.60949999999999993</v>
      </c>
      <c r="I302" s="1425"/>
      <c r="J302" s="1426"/>
      <c r="K302" s="529"/>
      <c r="L302" s="499"/>
      <c r="M302" s="499"/>
      <c r="N302" s="499"/>
      <c r="O302" s="501"/>
      <c r="P302" s="501"/>
      <c r="Q302" s="501"/>
    </row>
    <row r="303" spans="1:17" ht="15.75" customHeight="1">
      <c r="A303" s="1427"/>
      <c r="B303" s="1430" t="s">
        <v>245</v>
      </c>
      <c r="C303" s="1422">
        <f>1.5-0.05</f>
        <v>1.45</v>
      </c>
      <c r="D303" s="1423">
        <f>D302</f>
        <v>0.26500000000000001</v>
      </c>
      <c r="E303" s="1423"/>
      <c r="F303" s="1422">
        <f>4</f>
        <v>4</v>
      </c>
      <c r="G303" s="1424"/>
      <c r="H303" s="1431">
        <f>C303*D303*F303</f>
        <v>1.5369999999999999</v>
      </c>
      <c r="I303" s="1425"/>
      <c r="J303" s="1426"/>
      <c r="K303" s="529"/>
      <c r="L303" s="499"/>
      <c r="M303" s="499"/>
      <c r="N303" s="499"/>
      <c r="O303" s="501"/>
      <c r="P303" s="501"/>
      <c r="Q303" s="501"/>
    </row>
    <row r="304" spans="1:17" ht="15.75" customHeight="1">
      <c r="A304" s="1427"/>
      <c r="B304" s="1421"/>
      <c r="C304" s="1422"/>
      <c r="D304" s="1423"/>
      <c r="E304" s="1423"/>
      <c r="F304" s="1422"/>
      <c r="G304" s="1424"/>
      <c r="H304" s="1439">
        <f>SUM(H291:H303)</f>
        <v>30.34515</v>
      </c>
      <c r="I304" s="1440" t="s">
        <v>103</v>
      </c>
      <c r="J304" s="1441">
        <f>ROUND((H304),2)</f>
        <v>30.35</v>
      </c>
      <c r="K304" s="529"/>
      <c r="L304" s="499"/>
      <c r="M304" s="499"/>
      <c r="N304" s="499"/>
      <c r="O304" s="501"/>
      <c r="P304" s="501"/>
      <c r="Q304" s="501"/>
    </row>
    <row r="305" spans="1:17" ht="15.75" customHeight="1">
      <c r="A305" s="1427"/>
      <c r="B305" s="1421"/>
      <c r="C305" s="1422"/>
      <c r="D305" s="1423"/>
      <c r="E305" s="1423"/>
      <c r="F305" s="1422"/>
      <c r="G305" s="1424"/>
      <c r="H305" s="1439"/>
      <c r="I305" s="1440"/>
      <c r="J305" s="1441"/>
      <c r="K305" s="529"/>
      <c r="L305" s="499"/>
      <c r="M305" s="499"/>
      <c r="N305" s="499"/>
      <c r="O305" s="501"/>
      <c r="P305" s="501"/>
      <c r="Q305" s="501"/>
    </row>
    <row r="306" spans="1:17" ht="30" customHeight="1">
      <c r="A306" s="518">
        <f>A256+1</f>
        <v>14</v>
      </c>
      <c r="B306" s="1380" t="s">
        <v>248</v>
      </c>
      <c r="K306" s="529"/>
      <c r="L306" s="499"/>
      <c r="M306" s="499"/>
      <c r="N306" s="499"/>
      <c r="O306" s="501"/>
      <c r="P306" s="501"/>
      <c r="Q306" s="501"/>
    </row>
    <row r="307" spans="1:17" ht="15.75" customHeight="1">
      <c r="A307" s="518"/>
      <c r="B307" s="525" t="s">
        <v>249</v>
      </c>
      <c r="C307" s="513">
        <v>1</v>
      </c>
      <c r="D307" s="513">
        <v>0.3</v>
      </c>
      <c r="E307" s="513"/>
      <c r="F307" s="513">
        <v>11</v>
      </c>
      <c r="G307" s="514">
        <v>2</v>
      </c>
      <c r="H307" s="514">
        <f>C307*D307*F307*G307</f>
        <v>6.6</v>
      </c>
      <c r="I307" s="515" t="s">
        <v>89</v>
      </c>
      <c r="J307" s="1315"/>
      <c r="K307" s="529"/>
      <c r="L307" s="499"/>
      <c r="M307" s="499"/>
      <c r="N307" s="499"/>
      <c r="O307" s="501"/>
      <c r="P307" s="501"/>
      <c r="Q307" s="501"/>
    </row>
    <row r="308" spans="1:17" ht="15.75" customHeight="1">
      <c r="A308" s="518"/>
      <c r="B308" s="525" t="s">
        <v>250</v>
      </c>
      <c r="C308" s="513">
        <f>C307*2</f>
        <v>2</v>
      </c>
      <c r="D308" s="513">
        <f>D307*2</f>
        <v>0.6</v>
      </c>
      <c r="E308" s="514">
        <v>0.05</v>
      </c>
      <c r="F308" s="513">
        <v>11</v>
      </c>
      <c r="G308" s="514">
        <f>G307</f>
        <v>2</v>
      </c>
      <c r="H308" s="514">
        <f>(C308+D308)*E308*F308*G308</f>
        <v>2.8600000000000003</v>
      </c>
      <c r="I308" s="515" t="s">
        <v>89</v>
      </c>
      <c r="J308" s="1315"/>
      <c r="K308" s="529"/>
      <c r="L308" s="499"/>
      <c r="M308" s="499"/>
      <c r="N308" s="499"/>
      <c r="O308" s="501"/>
      <c r="P308" s="501"/>
      <c r="Q308" s="501"/>
    </row>
    <row r="309" spans="1:17" ht="15.75" customHeight="1">
      <c r="A309" s="518"/>
      <c r="B309" s="525" t="s">
        <v>251</v>
      </c>
      <c r="C309" s="513">
        <f>3</f>
        <v>3</v>
      </c>
      <c r="D309" s="513">
        <v>0.05</v>
      </c>
      <c r="E309" s="514"/>
      <c r="F309" s="513"/>
      <c r="G309" s="514">
        <f>G308</f>
        <v>2</v>
      </c>
      <c r="H309" s="514">
        <f>C309*D309*G309</f>
        <v>0.30000000000000004</v>
      </c>
      <c r="I309" s="515" t="s">
        <v>89</v>
      </c>
      <c r="J309" s="1315"/>
      <c r="K309" s="529"/>
      <c r="L309" s="499"/>
      <c r="M309" s="499"/>
      <c r="N309" s="499"/>
      <c r="O309" s="501"/>
      <c r="P309" s="501"/>
      <c r="Q309" s="501"/>
    </row>
    <row r="310" spans="1:17" ht="15.75" customHeight="1">
      <c r="A310" s="518"/>
      <c r="B310" s="525" t="s">
        <v>252</v>
      </c>
      <c r="C310" s="513">
        <f>C309</f>
        <v>3</v>
      </c>
      <c r="D310" s="513">
        <v>0.25</v>
      </c>
      <c r="E310" s="514"/>
      <c r="F310" s="513">
        <v>2</v>
      </c>
      <c r="G310" s="514">
        <f>G309</f>
        <v>2</v>
      </c>
      <c r="H310" s="514">
        <f>C310*D310*F310*G310</f>
        <v>3</v>
      </c>
      <c r="I310" s="515" t="s">
        <v>89</v>
      </c>
      <c r="J310" s="1315"/>
      <c r="K310" s="529"/>
      <c r="L310" s="499"/>
      <c r="M310" s="499"/>
      <c r="N310" s="499"/>
      <c r="O310" s="501"/>
      <c r="P310" s="501"/>
      <c r="Q310" s="501"/>
    </row>
    <row r="311" spans="1:17" ht="15.75" customHeight="1">
      <c r="A311" s="518"/>
      <c r="B311" s="525" t="s">
        <v>253</v>
      </c>
      <c r="C311" s="513">
        <f>D310</f>
        <v>0.25</v>
      </c>
      <c r="D311" s="513">
        <f>D309</f>
        <v>0.05</v>
      </c>
      <c r="E311" s="514"/>
      <c r="F311" s="513"/>
      <c r="G311" s="514">
        <f>G310</f>
        <v>2</v>
      </c>
      <c r="H311" s="514">
        <f>C311*D311*G311</f>
        <v>2.5000000000000001E-2</v>
      </c>
      <c r="I311" s="515" t="s">
        <v>89</v>
      </c>
      <c r="J311" s="1315"/>
      <c r="K311" s="529"/>
      <c r="L311" s="499"/>
      <c r="M311" s="499"/>
      <c r="N311" s="499"/>
      <c r="O311" s="501"/>
      <c r="P311" s="501"/>
      <c r="Q311" s="501"/>
    </row>
    <row r="312" spans="1:17" ht="15.75" customHeight="1">
      <c r="A312" s="518"/>
      <c r="B312" s="525" t="s">
        <v>254</v>
      </c>
      <c r="C312" s="513">
        <f>1.4*2+1*2</f>
        <v>4.8</v>
      </c>
      <c r="D312" s="513">
        <v>0.15</v>
      </c>
      <c r="E312" s="514"/>
      <c r="F312" s="513">
        <v>2</v>
      </c>
      <c r="G312" s="514">
        <v>2</v>
      </c>
      <c r="H312" s="514">
        <f>C312*D312*F312*G312</f>
        <v>2.88</v>
      </c>
      <c r="I312" s="515" t="s">
        <v>89</v>
      </c>
      <c r="J312" s="1315"/>
      <c r="K312" s="529"/>
      <c r="L312" s="499"/>
      <c r="M312" s="499"/>
      <c r="N312" s="499"/>
      <c r="O312" s="501"/>
      <c r="P312" s="501"/>
      <c r="Q312" s="501"/>
    </row>
    <row r="313" spans="1:17" ht="15.75" customHeight="1">
      <c r="A313" s="518"/>
      <c r="B313" s="525" t="s">
        <v>255</v>
      </c>
      <c r="C313" s="513">
        <v>1.5</v>
      </c>
      <c r="D313" s="513">
        <v>0.2</v>
      </c>
      <c r="E313" s="514"/>
      <c r="F313" s="513"/>
      <c r="G313" s="514">
        <v>2</v>
      </c>
      <c r="H313" s="1341">
        <f>C313*D313*G313</f>
        <v>0.60000000000000009</v>
      </c>
      <c r="I313" s="515" t="s">
        <v>89</v>
      </c>
      <c r="J313" s="1315"/>
      <c r="K313" s="529"/>
      <c r="L313" s="499"/>
      <c r="M313" s="499"/>
      <c r="N313" s="499"/>
      <c r="O313" s="501"/>
      <c r="P313" s="501"/>
      <c r="Q313" s="501"/>
    </row>
    <row r="314" spans="1:17" ht="15.75" customHeight="1">
      <c r="A314" s="518"/>
      <c r="B314" s="336"/>
      <c r="C314" s="513"/>
      <c r="D314" s="513"/>
      <c r="E314" s="514"/>
      <c r="F314" s="513"/>
      <c r="G314" s="514"/>
      <c r="H314" s="1442">
        <f>SUM(H307:H313)</f>
        <v>16.265000000000004</v>
      </c>
      <c r="I314" s="515" t="s">
        <v>89</v>
      </c>
      <c r="J314" s="1315">
        <f>ROUND((H314),2)</f>
        <v>16.27</v>
      </c>
      <c r="K314" s="529"/>
      <c r="L314" s="499"/>
      <c r="M314" s="499"/>
      <c r="N314" s="499"/>
      <c r="O314" s="501"/>
      <c r="P314" s="501"/>
      <c r="Q314" s="501"/>
    </row>
    <row r="315" spans="1:17" ht="15.75" customHeight="1">
      <c r="A315" s="518"/>
      <c r="B315" s="1307"/>
      <c r="C315" s="513"/>
      <c r="D315" s="1325" t="s">
        <v>256</v>
      </c>
      <c r="E315" s="1325" t="s">
        <v>133</v>
      </c>
      <c r="F315" s="513"/>
      <c r="G315" s="513"/>
      <c r="H315" s="513"/>
      <c r="I315" s="1307"/>
      <c r="J315" s="1315"/>
      <c r="K315" s="529"/>
      <c r="L315" s="499"/>
      <c r="M315" s="499"/>
      <c r="N315" s="499"/>
      <c r="O315" s="501"/>
      <c r="P315" s="501"/>
      <c r="Q315" s="501"/>
    </row>
    <row r="316" spans="1:17" ht="15.75" customHeight="1">
      <c r="A316" s="518"/>
      <c r="B316" s="1443" t="s">
        <v>257</v>
      </c>
      <c r="C316" s="513">
        <f>C307+0.05*2</f>
        <v>1.1000000000000001</v>
      </c>
      <c r="D316" s="513">
        <f>(0.3/0.15)+1</f>
        <v>3</v>
      </c>
      <c r="E316" s="1444">
        <v>0.4</v>
      </c>
      <c r="F316" s="513">
        <v>11</v>
      </c>
      <c r="G316" s="513">
        <v>2</v>
      </c>
      <c r="H316" s="513">
        <f>C316*D316*E316*F316*G316</f>
        <v>29.040000000000006</v>
      </c>
      <c r="I316" s="1307" t="s">
        <v>100</v>
      </c>
      <c r="J316" s="1315"/>
      <c r="K316" s="529"/>
      <c r="L316" s="499"/>
      <c r="M316" s="499"/>
      <c r="N316" s="499"/>
      <c r="O316" s="501"/>
      <c r="P316" s="501"/>
      <c r="Q316" s="501"/>
    </row>
    <row r="317" spans="1:17" ht="15.75" customHeight="1">
      <c r="A317" s="518"/>
      <c r="B317" s="1443" t="s">
        <v>258</v>
      </c>
      <c r="C317" s="513">
        <f>D307-0.05</f>
        <v>0.25</v>
      </c>
      <c r="D317" s="513">
        <f>(1/0.1)+1</f>
        <v>11</v>
      </c>
      <c r="E317" s="1444">
        <v>0.4</v>
      </c>
      <c r="F317" s="513">
        <f>(1/0.1)+1</f>
        <v>11</v>
      </c>
      <c r="G317" s="513">
        <v>2</v>
      </c>
      <c r="H317" s="513">
        <f>C317*D317*E317*F317*G317</f>
        <v>24.200000000000003</v>
      </c>
      <c r="I317" s="1307" t="s">
        <v>100</v>
      </c>
      <c r="J317" s="1315"/>
      <c r="K317" s="529"/>
      <c r="L317" s="499"/>
      <c r="M317" s="499"/>
      <c r="N317" s="499"/>
      <c r="O317" s="501"/>
      <c r="P317" s="501"/>
      <c r="Q317" s="501"/>
    </row>
    <row r="318" spans="1:17" ht="15.75" customHeight="1">
      <c r="A318" s="518"/>
      <c r="B318" s="1443" t="s">
        <v>259</v>
      </c>
      <c r="C318" s="1445">
        <f>C310</f>
        <v>3</v>
      </c>
      <c r="D318" s="1446">
        <f>(D310/0.125)+1</f>
        <v>3</v>
      </c>
      <c r="E318" s="1444">
        <v>0.4</v>
      </c>
      <c r="F318" s="1447">
        <v>2</v>
      </c>
      <c r="G318" s="1448">
        <v>2</v>
      </c>
      <c r="H318" s="513">
        <f>C318*D318*E318*F318*G318</f>
        <v>14.4</v>
      </c>
      <c r="I318" s="1307" t="s">
        <v>100</v>
      </c>
      <c r="J318" s="1315"/>
      <c r="K318" s="529"/>
      <c r="L318" s="499"/>
      <c r="M318" s="499"/>
      <c r="N318" s="499"/>
      <c r="O318" s="501"/>
      <c r="P318" s="501"/>
      <c r="Q318" s="501"/>
    </row>
    <row r="319" spans="1:17" ht="15.75" customHeight="1">
      <c r="A319" s="518"/>
      <c r="B319" s="1443" t="s">
        <v>260</v>
      </c>
      <c r="C319" s="1447">
        <f>D310-0.05</f>
        <v>0.2</v>
      </c>
      <c r="D319" s="1449">
        <f>(C318/0.15)+1</f>
        <v>21</v>
      </c>
      <c r="E319" s="1444">
        <v>0.4</v>
      </c>
      <c r="F319" s="1447">
        <v>2</v>
      </c>
      <c r="G319" s="513">
        <v>2</v>
      </c>
      <c r="H319" s="513">
        <f>C319*D319*E319*F319*G319</f>
        <v>6.7200000000000006</v>
      </c>
      <c r="I319" s="1307" t="s">
        <v>100</v>
      </c>
      <c r="J319" s="1315"/>
      <c r="K319" s="529"/>
      <c r="L319" s="499"/>
      <c r="M319" s="499"/>
      <c r="N319" s="499"/>
      <c r="O319" s="501"/>
      <c r="P319" s="501"/>
      <c r="Q319" s="501"/>
    </row>
    <row r="320" spans="1:17" ht="15.75" customHeight="1">
      <c r="A320" s="518"/>
      <c r="B320" s="1443" t="s">
        <v>261</v>
      </c>
      <c r="C320" s="1447">
        <f>(1.2*2)+(0.8*2)+0.05</f>
        <v>4.05</v>
      </c>
      <c r="D320" s="1449"/>
      <c r="E320" s="1444">
        <v>0.4</v>
      </c>
      <c r="F320" s="1447">
        <f>(7+5)</f>
        <v>12</v>
      </c>
      <c r="G320" s="513">
        <v>2</v>
      </c>
      <c r="H320" s="513">
        <f>C320*E320*F320*G320</f>
        <v>38.880000000000003</v>
      </c>
      <c r="I320" s="1307" t="s">
        <v>100</v>
      </c>
      <c r="J320" s="1315"/>
      <c r="K320" s="529"/>
      <c r="L320" s="499"/>
      <c r="M320" s="499"/>
      <c r="N320" s="499"/>
      <c r="O320" s="501"/>
      <c r="P320" s="501"/>
      <c r="Q320" s="501"/>
    </row>
    <row r="321" spans="1:17" ht="15.75" customHeight="1">
      <c r="A321" s="518"/>
      <c r="B321" s="1443" t="s">
        <v>262</v>
      </c>
      <c r="C321" s="513">
        <f>C313</f>
        <v>1.5</v>
      </c>
      <c r="D321" s="513"/>
      <c r="E321" s="1444">
        <v>0.4</v>
      </c>
      <c r="F321" s="513">
        <v>4</v>
      </c>
      <c r="G321" s="513">
        <v>2</v>
      </c>
      <c r="H321" s="513">
        <f>C321*E321*F321*G321</f>
        <v>4.8000000000000007</v>
      </c>
      <c r="I321" s="1307" t="s">
        <v>100</v>
      </c>
      <c r="J321" s="1315"/>
      <c r="K321" s="529"/>
      <c r="L321" s="499"/>
      <c r="M321" s="499"/>
      <c r="N321" s="499"/>
      <c r="O321" s="501"/>
      <c r="P321" s="501"/>
      <c r="Q321" s="501"/>
    </row>
    <row r="322" spans="1:17" ht="15.75" customHeight="1">
      <c r="A322" s="518"/>
      <c r="B322" s="1443"/>
      <c r="C322" s="513"/>
      <c r="D322" s="513"/>
      <c r="E322" s="1317"/>
      <c r="F322" s="513"/>
      <c r="G322" s="513"/>
      <c r="H322" s="1450">
        <f>SUM(H317:H321)</f>
        <v>89</v>
      </c>
      <c r="I322" s="1307"/>
      <c r="J322" s="1315">
        <f>ROUND((H322),2)</f>
        <v>89</v>
      </c>
      <c r="K322" s="529"/>
      <c r="L322" s="499"/>
      <c r="M322" s="499"/>
      <c r="N322" s="499"/>
      <c r="O322" s="501"/>
      <c r="P322" s="501"/>
      <c r="Q322" s="501"/>
    </row>
    <row r="323" spans="1:17" ht="15.75" customHeight="1">
      <c r="A323" s="518"/>
      <c r="B323" s="1443"/>
      <c r="C323" s="513"/>
      <c r="D323" s="513"/>
      <c r="E323" s="1317"/>
      <c r="F323" s="513"/>
      <c r="G323" s="513"/>
      <c r="H323" s="1336"/>
      <c r="I323" s="1307"/>
      <c r="J323" s="1315"/>
      <c r="K323" s="529"/>
      <c r="L323" s="499"/>
      <c r="M323" s="499"/>
      <c r="N323" s="499"/>
      <c r="O323" s="501"/>
      <c r="P323" s="501"/>
      <c r="Q323" s="501"/>
    </row>
    <row r="324" spans="1:17" ht="15.75" customHeight="1">
      <c r="A324" s="518"/>
      <c r="B324" s="1443" t="s">
        <v>263</v>
      </c>
      <c r="C324" s="513">
        <f>(0.12+0.075)*2+0.05</f>
        <v>0.44</v>
      </c>
      <c r="D324" s="513"/>
      <c r="E324" s="1317">
        <v>0.22</v>
      </c>
      <c r="F324" s="513">
        <f>(C313/0.15)+1</f>
        <v>11</v>
      </c>
      <c r="G324" s="513">
        <v>2</v>
      </c>
      <c r="H324" s="1336">
        <f>C324*E324*F324*G324</f>
        <v>2.1295999999999999</v>
      </c>
      <c r="I324" s="1307" t="s">
        <v>100</v>
      </c>
      <c r="J324" s="1315"/>
      <c r="K324" s="529"/>
      <c r="L324" s="499"/>
      <c r="M324" s="499"/>
      <c r="N324" s="499"/>
      <c r="O324" s="501"/>
      <c r="P324" s="501"/>
      <c r="Q324" s="501"/>
    </row>
    <row r="325" spans="1:17" ht="15.75" customHeight="1">
      <c r="A325" s="1427"/>
      <c r="B325" s="1421"/>
      <c r="C325" s="1422"/>
      <c r="D325" s="1423"/>
      <c r="E325" s="1423"/>
      <c r="F325" s="1422"/>
      <c r="G325" s="1424"/>
      <c r="H325" s="1450">
        <f>H324</f>
        <v>2.1295999999999999</v>
      </c>
      <c r="I325" s="1307" t="s">
        <v>100</v>
      </c>
      <c r="J325" s="1315">
        <f>ROUND((H325),2)</f>
        <v>2.13</v>
      </c>
      <c r="K325" s="529"/>
      <c r="L325" s="499"/>
      <c r="M325" s="499"/>
      <c r="N325" s="499"/>
      <c r="O325" s="501"/>
      <c r="P325" s="501"/>
      <c r="Q325" s="501"/>
    </row>
    <row r="326" spans="1:17" ht="15.75" customHeight="1">
      <c r="A326" s="1427"/>
      <c r="B326" s="1421" t="s">
        <v>264</v>
      </c>
      <c r="C326" s="1422"/>
      <c r="D326" s="1423"/>
      <c r="E326" s="1423"/>
      <c r="F326" s="1422"/>
      <c r="G326" s="1424"/>
      <c r="H326" s="1439"/>
      <c r="I326" s="1440"/>
      <c r="J326" s="1441"/>
      <c r="K326" s="529"/>
      <c r="L326" s="499"/>
      <c r="M326" s="499"/>
      <c r="N326" s="499"/>
      <c r="O326" s="501"/>
      <c r="P326" s="501"/>
      <c r="Q326" s="501"/>
    </row>
    <row r="327" spans="1:17" ht="15.75" customHeight="1">
      <c r="A327" s="1427"/>
      <c r="B327" s="525" t="s">
        <v>265</v>
      </c>
      <c r="C327" s="513">
        <v>1</v>
      </c>
      <c r="D327" s="513">
        <v>0.3</v>
      </c>
      <c r="E327" s="514">
        <v>0.05</v>
      </c>
      <c r="F327" s="513">
        <v>11</v>
      </c>
      <c r="G327" s="514">
        <v>2</v>
      </c>
      <c r="H327" s="514">
        <f>C327*D327*E327*F327*G327</f>
        <v>0.32999999999999996</v>
      </c>
      <c r="I327" s="515" t="s">
        <v>266</v>
      </c>
      <c r="J327" s="1315"/>
      <c r="K327" s="529"/>
      <c r="L327" s="499"/>
      <c r="M327" s="499"/>
      <c r="N327" s="499"/>
      <c r="O327" s="501"/>
      <c r="P327" s="501"/>
      <c r="Q327" s="501"/>
    </row>
    <row r="328" spans="1:17" ht="15.75" customHeight="1">
      <c r="A328" s="1427"/>
      <c r="B328" s="525" t="s">
        <v>267</v>
      </c>
      <c r="C328" s="513">
        <f>3</f>
        <v>3</v>
      </c>
      <c r="D328" s="513">
        <v>0.25</v>
      </c>
      <c r="E328" s="514">
        <v>0.05</v>
      </c>
      <c r="F328" s="513">
        <v>2</v>
      </c>
      <c r="G328" s="514">
        <f>G327</f>
        <v>2</v>
      </c>
      <c r="H328" s="514">
        <f>C328*D328*E328*F328*G328</f>
        <v>0.15000000000000002</v>
      </c>
      <c r="I328" s="515" t="s">
        <v>266</v>
      </c>
      <c r="J328" s="1315"/>
      <c r="K328" s="529"/>
      <c r="L328" s="499"/>
      <c r="M328" s="499"/>
      <c r="N328" s="499"/>
      <c r="O328" s="501"/>
      <c r="P328" s="501"/>
      <c r="Q328" s="501"/>
    </row>
    <row r="329" spans="1:17" ht="15.75" customHeight="1">
      <c r="A329" s="1427"/>
      <c r="B329" s="525" t="s">
        <v>268</v>
      </c>
      <c r="C329" s="513">
        <f>1.4</f>
        <v>1.4</v>
      </c>
      <c r="D329" s="513">
        <v>1</v>
      </c>
      <c r="E329" s="514">
        <v>0.15</v>
      </c>
      <c r="F329" s="513">
        <v>2</v>
      </c>
      <c r="G329" s="514">
        <v>2</v>
      </c>
      <c r="H329" s="514">
        <f>C329*D329*E329*F329*G329</f>
        <v>0.84</v>
      </c>
      <c r="I329" s="515" t="s">
        <v>266</v>
      </c>
      <c r="J329" s="1315"/>
      <c r="K329" s="529"/>
      <c r="L329" s="499"/>
      <c r="M329" s="499"/>
      <c r="N329" s="499"/>
      <c r="O329" s="501"/>
      <c r="P329" s="501"/>
      <c r="Q329" s="501"/>
    </row>
    <row r="330" spans="1:17" ht="15.75" customHeight="1">
      <c r="A330" s="1427"/>
      <c r="B330" s="525" t="s">
        <v>255</v>
      </c>
      <c r="C330" s="513">
        <v>1.5</v>
      </c>
      <c r="D330" s="513">
        <v>0.2</v>
      </c>
      <c r="E330" s="514">
        <v>0.1</v>
      </c>
      <c r="F330" s="513">
        <v>1</v>
      </c>
      <c r="G330" s="514">
        <v>2</v>
      </c>
      <c r="H330" s="514">
        <f>C330*D330*E330*F330*G330</f>
        <v>6.0000000000000012E-2</v>
      </c>
      <c r="I330" s="515" t="s">
        <v>266</v>
      </c>
      <c r="J330" s="1315"/>
      <c r="K330" s="529"/>
      <c r="L330" s="499"/>
      <c r="M330" s="499"/>
      <c r="N330" s="499"/>
      <c r="O330" s="501"/>
      <c r="P330" s="501"/>
      <c r="Q330" s="501"/>
    </row>
    <row r="331" spans="1:17" ht="15.75" customHeight="1">
      <c r="A331" s="1427"/>
      <c r="B331" s="336"/>
      <c r="C331" s="513"/>
      <c r="D331" s="513"/>
      <c r="E331" s="514"/>
      <c r="F331" s="513"/>
      <c r="G331" s="514"/>
      <c r="H331" s="1442">
        <f>SUM(H327:H330)</f>
        <v>1.38</v>
      </c>
      <c r="I331" s="515" t="s">
        <v>266</v>
      </c>
      <c r="J331" s="1315">
        <f>ROUND((H331),2)</f>
        <v>1.38</v>
      </c>
      <c r="K331" s="529"/>
      <c r="L331" s="499"/>
      <c r="M331" s="499"/>
      <c r="N331" s="499"/>
      <c r="O331" s="501"/>
      <c r="P331" s="501"/>
      <c r="Q331" s="501"/>
    </row>
    <row r="332" spans="1:17" ht="15.75" customHeight="1">
      <c r="A332" s="1427"/>
      <c r="B332" s="1421"/>
      <c r="C332" s="1422"/>
      <c r="D332" s="1423"/>
      <c r="E332" s="1423"/>
      <c r="F332" s="1422"/>
      <c r="G332" s="1424"/>
      <c r="H332" s="1439"/>
      <c r="I332" s="1440"/>
      <c r="J332" s="1441"/>
      <c r="K332" s="529"/>
      <c r="L332" s="499"/>
      <c r="M332" s="499"/>
      <c r="N332" s="499"/>
      <c r="O332" s="501"/>
      <c r="P332" s="501"/>
      <c r="Q332" s="501"/>
    </row>
    <row r="333" spans="1:17" ht="15.75" customHeight="1">
      <c r="A333" s="1427"/>
      <c r="B333" s="1421"/>
      <c r="C333" s="1422"/>
      <c r="D333" s="1423"/>
      <c r="E333" s="1423"/>
      <c r="F333" s="1422"/>
      <c r="G333" s="1424"/>
      <c r="H333" s="1439"/>
      <c r="I333" s="1440"/>
      <c r="J333" s="1441"/>
      <c r="K333" s="529"/>
      <c r="L333" s="499"/>
      <c r="M333" s="499"/>
      <c r="N333" s="499"/>
      <c r="O333" s="501"/>
      <c r="P333" s="501"/>
      <c r="Q333" s="501"/>
    </row>
    <row r="334" spans="1:17" ht="15.75" customHeight="1">
      <c r="A334" s="1427"/>
      <c r="B334" s="1421"/>
      <c r="C334" s="1422"/>
      <c r="D334" s="1423"/>
      <c r="E334" s="1423"/>
      <c r="F334" s="1422"/>
      <c r="G334" s="1424"/>
      <c r="H334" s="1439"/>
      <c r="I334" s="1440"/>
      <c r="J334" s="1441"/>
      <c r="K334" s="529"/>
      <c r="L334" s="499"/>
      <c r="M334" s="499"/>
      <c r="N334" s="499"/>
      <c r="O334" s="501"/>
      <c r="P334" s="501"/>
      <c r="Q334" s="501"/>
    </row>
    <row r="335" spans="1:17" ht="15.75" customHeight="1">
      <c r="A335" s="1427"/>
      <c r="B335" s="1421"/>
      <c r="C335" s="1422"/>
      <c r="D335" s="1423"/>
      <c r="E335" s="1423"/>
      <c r="F335" s="1422"/>
      <c r="G335" s="1424"/>
      <c r="H335" s="1439"/>
      <c r="I335" s="1440"/>
      <c r="J335" s="1441"/>
      <c r="K335" s="529"/>
      <c r="L335" s="499"/>
      <c r="M335" s="499"/>
      <c r="N335" s="499"/>
      <c r="O335" s="501"/>
      <c r="P335" s="501"/>
      <c r="Q335" s="501"/>
    </row>
    <row r="336" spans="1:17" ht="15.75" customHeight="1">
      <c r="A336" s="1427"/>
      <c r="B336" s="1421"/>
      <c r="C336" s="1422"/>
      <c r="D336" s="1423"/>
      <c r="E336" s="1423"/>
      <c r="F336" s="1422"/>
      <c r="G336" s="1424"/>
      <c r="H336" s="1439"/>
      <c r="I336" s="1440"/>
      <c r="J336" s="1441"/>
      <c r="K336" s="529"/>
      <c r="L336" s="499"/>
      <c r="M336" s="499"/>
      <c r="N336" s="499"/>
      <c r="O336" s="501"/>
      <c r="P336" s="501"/>
      <c r="Q336" s="501"/>
    </row>
    <row r="337" spans="1:17" ht="15.75" customHeight="1">
      <c r="A337" s="1427"/>
      <c r="B337" s="1421"/>
      <c r="C337" s="1422"/>
      <c r="D337" s="1423"/>
      <c r="E337" s="1423"/>
      <c r="F337" s="1422"/>
      <c r="G337" s="1424"/>
      <c r="H337" s="1439"/>
      <c r="I337" s="1440"/>
      <c r="J337" s="1441"/>
      <c r="K337" s="529"/>
      <c r="L337" s="499"/>
      <c r="M337" s="499"/>
      <c r="N337" s="499"/>
      <c r="O337" s="501"/>
      <c r="P337" s="501"/>
      <c r="Q337" s="501"/>
    </row>
    <row r="338" spans="1:17" ht="15.75" customHeight="1">
      <c r="A338" s="522" t="s">
        <v>98</v>
      </c>
      <c r="B338" s="336" t="s">
        <v>193</v>
      </c>
      <c r="C338" s="513"/>
      <c r="D338" s="513"/>
      <c r="E338" s="513"/>
      <c r="F338" s="513"/>
      <c r="G338" s="514"/>
      <c r="H338" s="514"/>
      <c r="I338" s="515"/>
      <c r="J338" s="1315">
        <f>ROUND((H338),2)</f>
        <v>0</v>
      </c>
      <c r="K338" s="529"/>
      <c r="L338" s="499"/>
      <c r="M338" s="499"/>
      <c r="N338" s="499"/>
      <c r="O338" s="501"/>
      <c r="P338" s="501"/>
      <c r="Q338" s="501"/>
    </row>
    <row r="339" spans="1:17" ht="15.75" customHeight="1">
      <c r="A339" s="518"/>
      <c r="B339" s="336" t="s">
        <v>269</v>
      </c>
      <c r="C339" s="513"/>
      <c r="D339" s="513"/>
      <c r="E339" s="513"/>
      <c r="F339" s="513"/>
      <c r="G339" s="514"/>
      <c r="H339" s="514"/>
      <c r="I339" s="515"/>
      <c r="J339" s="1315">
        <f>ROUND((H339),2)</f>
        <v>0</v>
      </c>
      <c r="K339" s="529"/>
      <c r="L339" s="499"/>
      <c r="M339" s="499"/>
      <c r="N339" s="499"/>
      <c r="O339" s="501"/>
      <c r="P339" s="501"/>
      <c r="Q339" s="501"/>
    </row>
    <row r="340" spans="1:17" ht="15.75" customHeight="1">
      <c r="A340" s="518"/>
      <c r="B340" s="525" t="s">
        <v>241</v>
      </c>
      <c r="C340" s="513"/>
      <c r="D340" s="513">
        <v>0.3</v>
      </c>
      <c r="E340" s="513">
        <v>0.3</v>
      </c>
      <c r="F340" s="513">
        <v>2</v>
      </c>
      <c r="G340" s="514"/>
      <c r="H340" s="514">
        <f t="shared" ref="H340:H345" si="37">D340*E340*F340</f>
        <v>0.18</v>
      </c>
      <c r="I340" s="515"/>
      <c r="J340" s="1315"/>
      <c r="K340" s="529"/>
      <c r="L340" s="499"/>
      <c r="M340" s="499"/>
      <c r="N340" s="499"/>
      <c r="O340" s="501"/>
      <c r="P340" s="501"/>
      <c r="Q340" s="501"/>
    </row>
    <row r="341" spans="1:17" ht="15.75" customHeight="1">
      <c r="A341" s="518"/>
      <c r="B341" s="336"/>
      <c r="C341" s="513"/>
      <c r="D341" s="513">
        <v>0.3</v>
      </c>
      <c r="E341" s="513">
        <v>0.6</v>
      </c>
      <c r="F341" s="513">
        <v>2</v>
      </c>
      <c r="G341" s="514"/>
      <c r="H341" s="514">
        <f t="shared" si="37"/>
        <v>0.36</v>
      </c>
      <c r="I341" s="515"/>
      <c r="J341" s="1315"/>
      <c r="K341" s="529"/>
      <c r="L341" s="499"/>
      <c r="M341" s="499"/>
      <c r="N341" s="499"/>
      <c r="O341" s="501"/>
      <c r="P341" s="501"/>
      <c r="Q341" s="501"/>
    </row>
    <row r="342" spans="1:17" ht="15.75" customHeight="1">
      <c r="A342" s="518"/>
      <c r="B342" s="336"/>
      <c r="C342" s="513"/>
      <c r="D342" s="513">
        <v>0.3</v>
      </c>
      <c r="E342" s="513">
        <v>0.9</v>
      </c>
      <c r="F342" s="513">
        <v>2</v>
      </c>
      <c r="G342" s="514"/>
      <c r="H342" s="514">
        <f t="shared" si="37"/>
        <v>0.54</v>
      </c>
      <c r="I342" s="515"/>
      <c r="J342" s="1315"/>
      <c r="K342" s="529"/>
      <c r="L342" s="499"/>
      <c r="M342" s="499"/>
      <c r="N342" s="499"/>
      <c r="O342" s="501"/>
      <c r="P342" s="501"/>
      <c r="Q342" s="501"/>
    </row>
    <row r="343" spans="1:17" ht="15.75" customHeight="1">
      <c r="A343" s="518"/>
      <c r="B343" s="336"/>
      <c r="C343" s="513"/>
      <c r="D343" s="513">
        <v>0.3</v>
      </c>
      <c r="E343" s="513">
        <v>1.2</v>
      </c>
      <c r="F343" s="513">
        <v>2</v>
      </c>
      <c r="G343" s="514"/>
      <c r="H343" s="514">
        <f t="shared" si="37"/>
        <v>0.72</v>
      </c>
      <c r="I343" s="515"/>
      <c r="J343" s="1315"/>
      <c r="K343" s="529"/>
      <c r="L343" s="499"/>
      <c r="M343" s="499"/>
      <c r="N343" s="499"/>
      <c r="O343" s="501"/>
      <c r="P343" s="501"/>
      <c r="Q343" s="501"/>
    </row>
    <row r="344" spans="1:17" ht="15.75" customHeight="1">
      <c r="A344" s="518"/>
      <c r="B344" s="336"/>
      <c r="C344" s="513"/>
      <c r="D344" s="513">
        <v>0.3</v>
      </c>
      <c r="E344" s="513">
        <v>1.5</v>
      </c>
      <c r="F344" s="513">
        <v>2</v>
      </c>
      <c r="G344" s="514"/>
      <c r="H344" s="514">
        <f t="shared" si="37"/>
        <v>0.89999999999999991</v>
      </c>
      <c r="I344" s="515"/>
      <c r="J344" s="1315"/>
      <c r="K344" s="529"/>
      <c r="L344" s="499"/>
      <c r="M344" s="499"/>
      <c r="N344" s="499"/>
      <c r="O344" s="501"/>
      <c r="P344" s="501"/>
      <c r="Q344" s="501"/>
    </row>
    <row r="345" spans="1:17" ht="15.75" customHeight="1">
      <c r="A345" s="518"/>
      <c r="B345" s="336"/>
      <c r="C345" s="513"/>
      <c r="D345" s="513">
        <v>0.3</v>
      </c>
      <c r="E345" s="513">
        <v>1.8</v>
      </c>
      <c r="F345" s="513">
        <v>2</v>
      </c>
      <c r="G345" s="514"/>
      <c r="H345" s="514">
        <f t="shared" si="37"/>
        <v>1.08</v>
      </c>
      <c r="I345" s="515"/>
      <c r="J345" s="1315"/>
      <c r="K345" s="529"/>
      <c r="L345" s="499"/>
      <c r="M345" s="499"/>
      <c r="N345" s="499"/>
      <c r="O345" s="501"/>
      <c r="P345" s="501"/>
      <c r="Q345" s="501"/>
    </row>
    <row r="346" spans="1:17" ht="15.75" customHeight="1">
      <c r="A346" s="518"/>
      <c r="B346" s="525" t="s">
        <v>270</v>
      </c>
      <c r="C346" s="513">
        <v>1</v>
      </c>
      <c r="D346" s="513">
        <v>0.3</v>
      </c>
      <c r="E346" s="513">
        <v>0.3</v>
      </c>
      <c r="F346" s="513">
        <v>6</v>
      </c>
      <c r="G346" s="514"/>
      <c r="H346" s="514">
        <f>C346*(D346+E346)*F346</f>
        <v>3.5999999999999996</v>
      </c>
      <c r="I346" s="515"/>
      <c r="J346" s="1315"/>
      <c r="K346" s="529"/>
      <c r="L346" s="499"/>
      <c r="M346" s="499"/>
      <c r="N346" s="499"/>
      <c r="O346" s="501"/>
      <c r="P346" s="501"/>
      <c r="Q346" s="501"/>
    </row>
    <row r="347" spans="1:17" ht="15.75" customHeight="1">
      <c r="A347" s="518"/>
      <c r="B347" s="336" t="s">
        <v>244</v>
      </c>
      <c r="C347" s="513"/>
      <c r="D347" s="513"/>
      <c r="E347" s="513"/>
      <c r="F347" s="513"/>
      <c r="G347" s="514"/>
      <c r="H347" s="514"/>
      <c r="I347" s="515"/>
      <c r="J347" s="1315"/>
      <c r="K347" s="529"/>
      <c r="L347" s="499"/>
      <c r="M347" s="499"/>
      <c r="N347" s="499"/>
      <c r="O347" s="501"/>
      <c r="P347" s="501"/>
      <c r="Q347" s="501"/>
    </row>
    <row r="348" spans="1:17" ht="15.75" customHeight="1">
      <c r="A348" s="518"/>
      <c r="B348" s="525" t="s">
        <v>241</v>
      </c>
      <c r="C348" s="513"/>
      <c r="D348" s="513">
        <v>0.3</v>
      </c>
      <c r="E348" s="513">
        <v>0.3</v>
      </c>
      <c r="F348" s="513">
        <v>2</v>
      </c>
      <c r="G348" s="514"/>
      <c r="H348" s="514">
        <f>D348*E348*F348</f>
        <v>0.18</v>
      </c>
      <c r="I348" s="515"/>
      <c r="J348" s="1315"/>
      <c r="K348" s="529"/>
      <c r="L348" s="499"/>
      <c r="M348" s="499"/>
      <c r="N348" s="499"/>
      <c r="O348" s="501"/>
      <c r="P348" s="501"/>
      <c r="Q348" s="501"/>
    </row>
    <row r="349" spans="1:17" ht="15.75" customHeight="1">
      <c r="A349" s="518"/>
      <c r="B349" s="336"/>
      <c r="C349" s="513"/>
      <c r="D349" s="513">
        <v>0.3</v>
      </c>
      <c r="E349" s="513">
        <v>0.6</v>
      </c>
      <c r="F349" s="513">
        <v>2</v>
      </c>
      <c r="G349" s="514"/>
      <c r="H349" s="514">
        <f>D349*E349*F349</f>
        <v>0.36</v>
      </c>
      <c r="I349" s="515"/>
      <c r="J349" s="1315"/>
      <c r="K349" s="529"/>
      <c r="L349" s="499"/>
      <c r="M349" s="499"/>
      <c r="N349" s="499"/>
      <c r="O349" s="501"/>
      <c r="P349" s="501"/>
      <c r="Q349" s="501"/>
    </row>
    <row r="350" spans="1:17" ht="15.75" customHeight="1">
      <c r="A350" s="518"/>
      <c r="B350" s="336"/>
      <c r="C350" s="513"/>
      <c r="D350" s="513">
        <v>0.3</v>
      </c>
      <c r="E350" s="513">
        <v>0.9</v>
      </c>
      <c r="F350" s="513">
        <v>2</v>
      </c>
      <c r="G350" s="514"/>
      <c r="H350" s="514">
        <f>D350*E350*F350</f>
        <v>0.54</v>
      </c>
      <c r="I350" s="515"/>
      <c r="J350" s="1315"/>
      <c r="K350" s="529"/>
      <c r="L350" s="499"/>
      <c r="M350" s="499"/>
      <c r="N350" s="499"/>
      <c r="O350" s="501"/>
      <c r="P350" s="501"/>
      <c r="Q350" s="501"/>
    </row>
    <row r="351" spans="1:17" ht="15.75" customHeight="1">
      <c r="A351" s="518"/>
      <c r="B351" s="336"/>
      <c r="C351" s="513"/>
      <c r="D351" s="513">
        <v>0.3</v>
      </c>
      <c r="E351" s="513">
        <v>1.2</v>
      </c>
      <c r="F351" s="513">
        <v>2</v>
      </c>
      <c r="G351" s="514"/>
      <c r="H351" s="514">
        <f>D351*E351*F351</f>
        <v>0.72</v>
      </c>
      <c r="I351" s="515"/>
      <c r="J351" s="1315"/>
      <c r="K351" s="529"/>
      <c r="L351" s="499"/>
      <c r="M351" s="499"/>
      <c r="N351" s="499"/>
      <c r="O351" s="501"/>
      <c r="P351" s="501"/>
      <c r="Q351" s="501"/>
    </row>
    <row r="352" spans="1:17" ht="15.75" customHeight="1">
      <c r="A352" s="518"/>
      <c r="B352" s="525" t="s">
        <v>270</v>
      </c>
      <c r="C352" s="513">
        <v>1.5</v>
      </c>
      <c r="D352" s="513">
        <v>0.3</v>
      </c>
      <c r="E352" s="513">
        <v>0.3</v>
      </c>
      <c r="F352" s="513">
        <v>4</v>
      </c>
      <c r="G352" s="514"/>
      <c r="H352" s="521">
        <f>C352*(D352+E352)*F352</f>
        <v>3.5999999999999996</v>
      </c>
      <c r="I352" s="515"/>
      <c r="J352" s="1315"/>
      <c r="K352" s="529"/>
      <c r="L352" s="499"/>
      <c r="M352" s="499"/>
      <c r="N352" s="499"/>
      <c r="O352" s="501"/>
      <c r="P352" s="501"/>
      <c r="Q352" s="501"/>
    </row>
    <row r="353" spans="1:17" ht="15.75" customHeight="1">
      <c r="A353" s="518"/>
      <c r="B353" s="336"/>
      <c r="C353" s="513"/>
      <c r="D353" s="513"/>
      <c r="E353" s="513"/>
      <c r="F353" s="513"/>
      <c r="G353" s="514"/>
      <c r="H353" s="527">
        <f>SUM(H340:H352)</f>
        <v>12.780000000000001</v>
      </c>
      <c r="I353" s="523" t="s">
        <v>89</v>
      </c>
      <c r="J353" s="1315">
        <f t="shared" ref="J353:J360" si="38">ROUND((H353),2)</f>
        <v>12.78</v>
      </c>
      <c r="K353" s="529"/>
      <c r="L353" s="499"/>
      <c r="M353" s="499"/>
      <c r="N353" s="499"/>
      <c r="O353" s="501"/>
      <c r="P353" s="501"/>
      <c r="Q353" s="501"/>
    </row>
    <row r="354" spans="1:17" ht="15.75" customHeight="1">
      <c r="A354" s="518">
        <f>A256+1</f>
        <v>14</v>
      </c>
      <c r="B354" s="336" t="s">
        <v>271</v>
      </c>
      <c r="C354" s="513"/>
      <c r="D354" s="513"/>
      <c r="E354" s="513"/>
      <c r="F354" s="513"/>
      <c r="G354" s="514"/>
      <c r="H354" s="514"/>
      <c r="I354" s="515"/>
      <c r="J354" s="1315">
        <f t="shared" si="38"/>
        <v>0</v>
      </c>
      <c r="K354" s="529"/>
      <c r="L354" s="499"/>
      <c r="M354" s="499"/>
      <c r="N354" s="499"/>
      <c r="O354" s="501"/>
      <c r="P354" s="501"/>
      <c r="Q354" s="501"/>
    </row>
    <row r="355" spans="1:17" ht="15.75" customHeight="1">
      <c r="A355" s="522" t="s">
        <v>95</v>
      </c>
      <c r="B355" s="336" t="s">
        <v>272</v>
      </c>
      <c r="C355" s="513">
        <v>16.600000000000001</v>
      </c>
      <c r="D355" s="513">
        <v>3.25</v>
      </c>
      <c r="E355" s="513">
        <v>0.9</v>
      </c>
      <c r="F355" s="513"/>
      <c r="G355" s="514"/>
      <c r="H355" s="514">
        <f>C355*D355*E355</f>
        <v>48.555000000000007</v>
      </c>
      <c r="I355" s="515" t="s">
        <v>103</v>
      </c>
      <c r="J355" s="1315">
        <f t="shared" si="38"/>
        <v>48.56</v>
      </c>
      <c r="K355" s="529"/>
      <c r="L355" s="499"/>
      <c r="M355" s="499"/>
      <c r="N355" s="499"/>
      <c r="O355" s="501"/>
      <c r="P355" s="501"/>
      <c r="Q355" s="501"/>
    </row>
    <row r="356" spans="1:17" ht="15.75" customHeight="1">
      <c r="A356" s="522" t="s">
        <v>98</v>
      </c>
      <c r="B356" s="336" t="s">
        <v>273</v>
      </c>
      <c r="C356" s="513">
        <v>20.399999999999999</v>
      </c>
      <c r="D356" s="513">
        <v>3.25</v>
      </c>
      <c r="E356" s="513">
        <v>0.9</v>
      </c>
      <c r="F356" s="513"/>
      <c r="G356" s="514"/>
      <c r="H356" s="514">
        <f>C356*D356*E356</f>
        <v>59.67</v>
      </c>
      <c r="I356" s="515" t="s">
        <v>103</v>
      </c>
      <c r="J356" s="1315">
        <f t="shared" si="38"/>
        <v>59.67</v>
      </c>
      <c r="K356" s="529"/>
      <c r="L356" s="499"/>
      <c r="M356" s="499"/>
      <c r="N356" s="499"/>
      <c r="O356" s="501"/>
      <c r="P356" s="501"/>
      <c r="Q356" s="501"/>
    </row>
    <row r="357" spans="1:17" ht="15.75" customHeight="1">
      <c r="A357" s="518">
        <f>A354+1</f>
        <v>15</v>
      </c>
      <c r="B357" s="336" t="s">
        <v>274</v>
      </c>
      <c r="C357" s="513"/>
      <c r="D357" s="513"/>
      <c r="E357" s="513"/>
      <c r="F357" s="513"/>
      <c r="G357" s="514"/>
      <c r="H357" s="514"/>
      <c r="I357" s="515"/>
      <c r="J357" s="1315">
        <f t="shared" si="38"/>
        <v>0</v>
      </c>
      <c r="K357" s="529"/>
      <c r="L357" s="499"/>
      <c r="M357" s="499"/>
      <c r="N357" s="499"/>
      <c r="O357" s="501"/>
      <c r="P357" s="501"/>
      <c r="Q357" s="501"/>
    </row>
    <row r="358" spans="1:17" ht="15.75" customHeight="1">
      <c r="A358" s="522" t="s">
        <v>95</v>
      </c>
      <c r="B358" s="336" t="s">
        <v>272</v>
      </c>
      <c r="C358" s="513">
        <v>16.600000000000001</v>
      </c>
      <c r="D358" s="513">
        <v>3.25</v>
      </c>
      <c r="E358" s="513">
        <v>0.2</v>
      </c>
      <c r="F358" s="513"/>
      <c r="G358" s="514"/>
      <c r="H358" s="514">
        <f>C358*D358*E358</f>
        <v>10.790000000000001</v>
      </c>
      <c r="I358" s="515" t="s">
        <v>103</v>
      </c>
      <c r="J358" s="1315">
        <f t="shared" si="38"/>
        <v>10.79</v>
      </c>
      <c r="K358" s="529"/>
      <c r="L358" s="499"/>
      <c r="M358" s="499"/>
      <c r="N358" s="499"/>
      <c r="O358" s="501"/>
      <c r="P358" s="501"/>
      <c r="Q358" s="501"/>
    </row>
    <row r="359" spans="1:17" ht="15.75" customHeight="1">
      <c r="A359" s="522" t="s">
        <v>98</v>
      </c>
      <c r="B359" s="336" t="s">
        <v>273</v>
      </c>
      <c r="C359" s="513">
        <v>20.399999999999999</v>
      </c>
      <c r="D359" s="513">
        <v>3.25</v>
      </c>
      <c r="E359" s="513">
        <v>0.2</v>
      </c>
      <c r="F359" s="513"/>
      <c r="G359" s="514"/>
      <c r="H359" s="514">
        <f>C359*D359*E359</f>
        <v>13.26</v>
      </c>
      <c r="I359" s="515" t="s">
        <v>103</v>
      </c>
      <c r="J359" s="1315">
        <f t="shared" si="38"/>
        <v>13.26</v>
      </c>
      <c r="K359" s="529"/>
      <c r="L359" s="499"/>
      <c r="M359" s="499"/>
      <c r="N359" s="499"/>
      <c r="O359" s="501"/>
      <c r="P359" s="501"/>
      <c r="Q359" s="501"/>
    </row>
    <row r="360" spans="1:17" ht="27.75" customHeight="1">
      <c r="A360" s="1451">
        <f>A357+1</f>
        <v>16</v>
      </c>
      <c r="B360" s="1452" t="s">
        <v>275</v>
      </c>
      <c r="C360" s="1341">
        <v>3.2</v>
      </c>
      <c r="D360" s="1341">
        <v>4.2</v>
      </c>
      <c r="E360" s="1341">
        <v>7.0000000000000007E-2</v>
      </c>
      <c r="F360" s="1341"/>
      <c r="G360" s="1341"/>
      <c r="H360" s="1341">
        <f>C360*D360*E360</f>
        <v>0.94080000000000019</v>
      </c>
      <c r="I360" s="515" t="s">
        <v>103</v>
      </c>
      <c r="J360" s="1315">
        <f t="shared" si="38"/>
        <v>0.94</v>
      </c>
      <c r="K360" s="529"/>
      <c r="L360" s="499"/>
      <c r="M360" s="499"/>
      <c r="N360" s="499"/>
      <c r="O360" s="501"/>
      <c r="P360" s="501"/>
      <c r="Q360" s="501"/>
    </row>
    <row r="361" spans="1:17" ht="15.75" customHeight="1">
      <c r="A361" s="1453"/>
      <c r="B361" s="1454"/>
      <c r="C361" s="1455"/>
      <c r="D361" s="1455"/>
      <c r="E361" s="1455"/>
      <c r="F361" s="1455"/>
      <c r="G361" s="1455"/>
      <c r="H361" s="1455"/>
      <c r="I361" s="1456"/>
      <c r="J361" s="500"/>
      <c r="K361" s="529"/>
      <c r="L361" s="499"/>
      <c r="M361" s="499"/>
      <c r="N361" s="499"/>
      <c r="O361" s="501"/>
      <c r="P361" s="501"/>
      <c r="Q361" s="501"/>
    </row>
  </sheetData>
  <mergeCells count="6">
    <mergeCell ref="O276:O277"/>
    <mergeCell ref="D161:G161"/>
    <mergeCell ref="K272:K277"/>
    <mergeCell ref="L273:L277"/>
    <mergeCell ref="M274:M277"/>
    <mergeCell ref="N275:N277"/>
  </mergeCells>
  <pageMargins left="0.7" right="0.7" top="0.75" bottom="0.75" header="0.511811023622047" footer="0.511811023622047"/>
  <pageSetup orientation="portrait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V2046"/>
  <sheetViews>
    <sheetView topLeftCell="B1" zoomScale="80" zoomScaleNormal="80" workbookViewId="0">
      <pane ySplit="4" topLeftCell="A41" activePane="bottomLeft" state="frozen"/>
      <selection activeCell="B1" sqref="B1"/>
      <selection pane="bottomLeft" activeCell="E18" sqref="E18"/>
    </sheetView>
  </sheetViews>
  <sheetFormatPr baseColWidth="10" defaultColWidth="9.1640625" defaultRowHeight="15"/>
  <cols>
    <col min="1" max="1" width="9.1640625" style="838"/>
    <col min="2" max="2" width="50.5" style="838" customWidth="1"/>
    <col min="3" max="10" width="12.5" style="838" customWidth="1"/>
    <col min="11" max="11" width="10.5" style="838" customWidth="1"/>
    <col min="12" max="12" width="8.5" style="838" customWidth="1"/>
    <col min="13" max="13" width="14.5" style="838" customWidth="1"/>
    <col min="14" max="14" width="10.5" style="838" customWidth="1"/>
    <col min="15" max="15" width="6.5" style="838" customWidth="1"/>
    <col min="16" max="16" width="15.5" style="838" customWidth="1"/>
    <col min="17" max="18" width="9.1640625" style="838"/>
    <col min="19" max="19" width="12.1640625" style="838" customWidth="1"/>
    <col min="20" max="16384" width="9.1640625" style="838"/>
  </cols>
  <sheetData>
    <row r="1" spans="1:22" ht="24" customHeight="1">
      <c r="A1" s="852" t="s">
        <v>1668</v>
      </c>
      <c r="B1" s="442"/>
      <c r="C1" s="442"/>
      <c r="D1" s="442"/>
      <c r="E1" s="442"/>
      <c r="F1" s="442"/>
      <c r="G1" s="442"/>
      <c r="H1" s="442"/>
      <c r="I1" s="442"/>
      <c r="J1" s="442"/>
      <c r="K1" s="442"/>
      <c r="L1" s="442"/>
      <c r="M1" s="442"/>
      <c r="N1" s="442"/>
      <c r="O1" s="442"/>
      <c r="P1" s="442"/>
      <c r="Q1" s="442"/>
      <c r="R1" s="442"/>
      <c r="S1" s="442"/>
      <c r="T1" s="837"/>
      <c r="U1" s="837"/>
      <c r="V1" s="837"/>
    </row>
    <row r="2" spans="1:22" ht="7.5" customHeight="1">
      <c r="A2" s="442"/>
      <c r="B2" s="442"/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837"/>
      <c r="U2" s="837"/>
      <c r="V2" s="837"/>
    </row>
    <row r="3" spans="1:22" s="942" customFormat="1" ht="27.75" customHeight="1">
      <c r="A3" s="3266" t="s">
        <v>1</v>
      </c>
      <c r="B3" s="3267" t="s">
        <v>68</v>
      </c>
      <c r="C3" s="3267" t="s">
        <v>77</v>
      </c>
      <c r="D3" s="3267" t="s">
        <v>78</v>
      </c>
      <c r="E3" s="3267" t="s">
        <v>79</v>
      </c>
      <c r="F3" s="3267" t="s">
        <v>6</v>
      </c>
      <c r="G3" s="3267" t="s">
        <v>999</v>
      </c>
      <c r="H3" s="3267" t="s">
        <v>977</v>
      </c>
      <c r="I3" s="3267" t="s">
        <v>978</v>
      </c>
      <c r="J3" s="3240" t="s">
        <v>1000</v>
      </c>
      <c r="K3" s="3240"/>
      <c r="L3" s="3267" t="s">
        <v>213</v>
      </c>
      <c r="M3" s="3267" t="s">
        <v>80</v>
      </c>
      <c r="N3" s="3267" t="s">
        <v>81</v>
      </c>
      <c r="O3" s="3267" t="s">
        <v>82</v>
      </c>
      <c r="P3" s="3268" t="s">
        <v>83</v>
      </c>
      <c r="Q3" s="442"/>
      <c r="R3" s="442"/>
      <c r="S3" s="442"/>
      <c r="T3" s="442"/>
      <c r="U3" s="442"/>
      <c r="V3" s="442"/>
    </row>
    <row r="4" spans="1:22" s="942" customFormat="1" ht="15.75" customHeight="1">
      <c r="A4" s="3266"/>
      <c r="B4" s="3267"/>
      <c r="C4" s="3267"/>
      <c r="D4" s="3267"/>
      <c r="E4" s="3267"/>
      <c r="F4" s="3267"/>
      <c r="G4" s="3267"/>
      <c r="H4" s="3267"/>
      <c r="I4" s="3267"/>
      <c r="J4" s="921" t="s">
        <v>1001</v>
      </c>
      <c r="K4" s="921" t="s">
        <v>1002</v>
      </c>
      <c r="L4" s="3267"/>
      <c r="M4" s="3267"/>
      <c r="N4" s="3267"/>
      <c r="O4" s="3267"/>
      <c r="P4" s="3268"/>
      <c r="Q4" s="442"/>
      <c r="R4" s="442"/>
      <c r="S4" s="442"/>
      <c r="T4" s="442"/>
      <c r="U4" s="442"/>
      <c r="V4" s="442"/>
    </row>
    <row r="5" spans="1:22" s="942" customFormat="1" ht="15.75" customHeight="1">
      <c r="A5" s="1457"/>
      <c r="B5" s="1457"/>
      <c r="C5" s="1457"/>
      <c r="D5" s="1457"/>
      <c r="E5" s="1457"/>
      <c r="F5" s="1457"/>
      <c r="G5" s="1457"/>
      <c r="H5" s="1457"/>
      <c r="I5" s="1457"/>
      <c r="J5" s="1458"/>
      <c r="K5" s="1458"/>
      <c r="L5" s="1457"/>
      <c r="M5" s="1457"/>
      <c r="N5" s="1457"/>
      <c r="O5" s="1457"/>
      <c r="P5" s="1459"/>
      <c r="Q5" s="442"/>
      <c r="R5" s="442"/>
      <c r="S5" s="442"/>
      <c r="T5" s="442"/>
      <c r="U5" s="442"/>
      <c r="V5" s="442"/>
    </row>
    <row r="6" spans="1:22" s="942" customFormat="1" ht="7.5" customHeight="1">
      <c r="A6" s="857"/>
      <c r="B6" s="858"/>
      <c r="C6" s="858"/>
      <c r="D6" s="858"/>
      <c r="E6" s="858"/>
      <c r="F6" s="858"/>
      <c r="G6" s="858"/>
      <c r="H6" s="858"/>
      <c r="I6" s="858"/>
      <c r="J6" s="858"/>
      <c r="K6" s="858"/>
      <c r="L6" s="858"/>
      <c r="M6" s="858"/>
      <c r="N6" s="1460"/>
      <c r="O6" s="858"/>
      <c r="P6" s="859"/>
      <c r="Q6" s="442"/>
      <c r="R6" s="442"/>
      <c r="S6" s="442"/>
      <c r="T6" s="442"/>
      <c r="U6" s="442"/>
      <c r="V6" s="442"/>
    </row>
    <row r="7" spans="1:22" s="942" customFormat="1" ht="15.75" customHeight="1">
      <c r="A7" s="425" t="s">
        <v>1669</v>
      </c>
      <c r="B7" s="426" t="s">
        <v>1670</v>
      </c>
      <c r="C7" s="428"/>
      <c r="D7" s="428"/>
      <c r="E7" s="428"/>
      <c r="F7" s="428"/>
      <c r="G7" s="428"/>
      <c r="H7" s="428"/>
      <c r="I7" s="428"/>
      <c r="J7" s="428"/>
      <c r="K7" s="428"/>
      <c r="L7" s="428"/>
      <c r="M7" s="428"/>
      <c r="N7" s="389"/>
      <c r="O7" s="1461"/>
      <c r="P7" s="1462"/>
    </row>
    <row r="8" spans="1:22" s="942" customFormat="1" ht="15.75" customHeight="1">
      <c r="A8" s="971" t="s">
        <v>1671</v>
      </c>
      <c r="B8" s="446" t="s">
        <v>1672</v>
      </c>
      <c r="C8" s="428"/>
      <c r="D8" s="428"/>
      <c r="E8" s="428"/>
      <c r="F8" s="428"/>
      <c r="G8" s="428"/>
      <c r="H8" s="428"/>
      <c r="I8" s="428"/>
      <c r="J8" s="428"/>
      <c r="K8" s="428"/>
      <c r="L8" s="428"/>
      <c r="M8" s="428"/>
      <c r="N8" s="389"/>
      <c r="O8" s="1461"/>
      <c r="P8" s="1462"/>
    </row>
    <row r="9" spans="1:22" s="942" customFormat="1" ht="15.75" customHeight="1">
      <c r="A9" s="971" t="s">
        <v>1673</v>
      </c>
      <c r="B9" s="446" t="s">
        <v>395</v>
      </c>
      <c r="C9" s="428"/>
      <c r="D9" s="428"/>
      <c r="E9" s="428"/>
      <c r="F9" s="428"/>
      <c r="G9" s="428"/>
      <c r="H9" s="428"/>
      <c r="I9" s="428"/>
      <c r="J9" s="428"/>
      <c r="K9" s="428"/>
      <c r="L9" s="428"/>
      <c r="M9" s="428"/>
      <c r="N9" s="389"/>
      <c r="O9" s="1461"/>
      <c r="P9" s="1462"/>
    </row>
    <row r="10" spans="1:22" s="942" customFormat="1" ht="15.75" customHeight="1">
      <c r="A10" s="394">
        <v>1</v>
      </c>
      <c r="B10" s="389" t="s">
        <v>396</v>
      </c>
      <c r="C10" s="428"/>
      <c r="D10" s="428"/>
      <c r="E10" s="428"/>
      <c r="F10" s="428"/>
      <c r="G10" s="428"/>
      <c r="H10" s="428"/>
      <c r="I10" s="428"/>
      <c r="J10" s="428"/>
      <c r="K10" s="428"/>
      <c r="L10" s="428"/>
      <c r="M10" s="428"/>
      <c r="N10" s="389"/>
      <c r="O10" s="1461"/>
      <c r="P10" s="1462"/>
    </row>
    <row r="11" spans="1:22" s="942" customFormat="1" ht="15.75" customHeight="1">
      <c r="A11" s="394"/>
      <c r="B11" s="389"/>
      <c r="C11" s="428">
        <f>(12+1.9*2+0.5*2)+2</f>
        <v>18.8</v>
      </c>
      <c r="D11" s="428"/>
      <c r="E11" s="428"/>
      <c r="F11" s="428"/>
      <c r="G11" s="428">
        <v>2</v>
      </c>
      <c r="H11" s="428"/>
      <c r="I11" s="428"/>
      <c r="J11" s="428"/>
      <c r="K11" s="428"/>
      <c r="L11" s="428"/>
      <c r="M11" s="428"/>
      <c r="N11" s="428">
        <f>C11*G11</f>
        <v>37.6</v>
      </c>
      <c r="O11" s="389"/>
      <c r="P11" s="1462"/>
    </row>
    <row r="12" spans="1:22" s="942" customFormat="1" ht="15.75" customHeight="1">
      <c r="A12" s="394"/>
      <c r="B12" s="389"/>
      <c r="C12" s="428"/>
      <c r="D12" s="428">
        <v>3.5</v>
      </c>
      <c r="E12" s="428"/>
      <c r="F12" s="428"/>
      <c r="G12" s="428">
        <v>2</v>
      </c>
      <c r="H12" s="428"/>
      <c r="I12" s="428"/>
      <c r="J12" s="428"/>
      <c r="K12" s="428"/>
      <c r="L12" s="428"/>
      <c r="M12" s="428"/>
      <c r="N12" s="590">
        <f>D12*G12</f>
        <v>7</v>
      </c>
      <c r="O12" s="389"/>
      <c r="P12" s="1462"/>
    </row>
    <row r="13" spans="1:22" s="942" customFormat="1" ht="15.75" customHeight="1">
      <c r="A13" s="394"/>
      <c r="B13" s="389"/>
      <c r="C13" s="428"/>
      <c r="D13" s="428"/>
      <c r="E13" s="428"/>
      <c r="F13" s="428"/>
      <c r="G13" s="428"/>
      <c r="H13" s="428"/>
      <c r="I13" s="428"/>
      <c r="J13" s="428"/>
      <c r="K13" s="428"/>
      <c r="L13" s="428"/>
      <c r="M13" s="428"/>
      <c r="N13" s="390">
        <f>SUM(N11:N12)</f>
        <v>44.6</v>
      </c>
      <c r="O13" s="389" t="s">
        <v>117</v>
      </c>
      <c r="P13" s="1463">
        <f>ROUND((N13),2)</f>
        <v>44.6</v>
      </c>
    </row>
    <row r="14" spans="1:22" s="942" customFormat="1" ht="15.75" customHeight="1">
      <c r="A14" s="394">
        <f>A10+1</f>
        <v>2</v>
      </c>
      <c r="B14" s="890" t="s">
        <v>1674</v>
      </c>
      <c r="C14" s="428"/>
      <c r="D14" s="428"/>
      <c r="E14" s="428"/>
      <c r="F14" s="428"/>
      <c r="G14" s="428"/>
      <c r="H14" s="428"/>
      <c r="I14" s="428"/>
      <c r="J14" s="428"/>
      <c r="K14" s="428"/>
      <c r="L14" s="428"/>
      <c r="M14" s="428"/>
      <c r="N14" s="390"/>
      <c r="O14" s="389"/>
      <c r="P14" s="1463"/>
    </row>
    <row r="15" spans="1:22" s="942" customFormat="1" ht="15.75" customHeight="1">
      <c r="A15" s="891" t="s">
        <v>95</v>
      </c>
      <c r="B15" s="890" t="s">
        <v>398</v>
      </c>
      <c r="C15" s="428">
        <v>1.8</v>
      </c>
      <c r="D15" s="428">
        <v>0.8</v>
      </c>
      <c r="E15" s="428">
        <v>0.9</v>
      </c>
      <c r="F15" s="428"/>
      <c r="G15" s="428"/>
      <c r="H15" s="428"/>
      <c r="I15" s="428"/>
      <c r="J15" s="428"/>
      <c r="K15" s="428"/>
      <c r="L15" s="428"/>
      <c r="M15" s="428">
        <v>2</v>
      </c>
      <c r="N15" s="390">
        <f>C15*D15*E15</f>
        <v>1.2960000000000003</v>
      </c>
      <c r="O15" s="389" t="s">
        <v>103</v>
      </c>
      <c r="P15" s="1463">
        <f>ROUND((N15),2)</f>
        <v>1.3</v>
      </c>
    </row>
    <row r="16" spans="1:22" s="942" customFormat="1" ht="15.75" customHeight="1">
      <c r="A16" s="891" t="s">
        <v>98</v>
      </c>
      <c r="B16" s="890" t="s">
        <v>399</v>
      </c>
      <c r="C16" s="428">
        <v>1.6</v>
      </c>
      <c r="D16" s="428">
        <v>0.6</v>
      </c>
      <c r="E16" s="428">
        <v>0.05</v>
      </c>
      <c r="F16" s="428"/>
      <c r="G16" s="428"/>
      <c r="H16" s="428"/>
      <c r="I16" s="428"/>
      <c r="J16" s="428"/>
      <c r="K16" s="428"/>
      <c r="L16" s="428"/>
      <c r="M16" s="428">
        <f>M15</f>
        <v>2</v>
      </c>
      <c r="N16" s="390">
        <f>C16*D16*E16</f>
        <v>4.8000000000000001E-2</v>
      </c>
      <c r="O16" s="389" t="s">
        <v>103</v>
      </c>
      <c r="P16" s="1463">
        <f>ROUND((N16),2)</f>
        <v>0.05</v>
      </c>
    </row>
    <row r="17" spans="1:16" s="942" customFormat="1" ht="15.75" customHeight="1">
      <c r="A17" s="891" t="s">
        <v>101</v>
      </c>
      <c r="B17" s="890" t="s">
        <v>400</v>
      </c>
      <c r="C17" s="428">
        <f>C16</f>
        <v>1.6</v>
      </c>
      <c r="D17" s="428">
        <f>D16</f>
        <v>0.6</v>
      </c>
      <c r="E17" s="428">
        <v>0.05</v>
      </c>
      <c r="F17" s="428"/>
      <c r="G17" s="428"/>
      <c r="H17" s="428"/>
      <c r="I17" s="428"/>
      <c r="J17" s="428"/>
      <c r="K17" s="428"/>
      <c r="L17" s="428"/>
      <c r="M17" s="428">
        <f>M16</f>
        <v>2</v>
      </c>
      <c r="N17" s="390">
        <f>C17*D17*E17</f>
        <v>4.8000000000000001E-2</v>
      </c>
      <c r="O17" s="389" t="s">
        <v>103</v>
      </c>
      <c r="P17" s="1463">
        <f>ROUND((N17),2)</f>
        <v>0.05</v>
      </c>
    </row>
    <row r="18" spans="1:16" s="942" customFormat="1" ht="15.75" customHeight="1">
      <c r="A18" s="891" t="s">
        <v>121</v>
      </c>
      <c r="B18" s="890" t="s">
        <v>401</v>
      </c>
      <c r="C18" s="428"/>
      <c r="D18" s="428"/>
      <c r="E18" s="428"/>
      <c r="F18" s="428"/>
      <c r="G18" s="428"/>
      <c r="H18" s="428"/>
      <c r="I18" s="428"/>
      <c r="J18" s="428"/>
      <c r="K18" s="428"/>
      <c r="L18" s="428"/>
      <c r="M18" s="428"/>
      <c r="N18" s="390"/>
      <c r="O18" s="389"/>
      <c r="P18" s="1463"/>
    </row>
    <row r="19" spans="1:16" s="942" customFormat="1" ht="15.75" customHeight="1">
      <c r="A19" s="891"/>
      <c r="B19" s="890"/>
      <c r="C19" s="428">
        <f>C15</f>
        <v>1.8</v>
      </c>
      <c r="D19" s="428"/>
      <c r="E19" s="428">
        <v>0.3</v>
      </c>
      <c r="F19" s="428"/>
      <c r="G19" s="428"/>
      <c r="H19" s="428">
        <v>2</v>
      </c>
      <c r="I19" s="428"/>
      <c r="J19" s="428"/>
      <c r="K19" s="428"/>
      <c r="L19" s="428"/>
      <c r="M19" s="428">
        <f>M17</f>
        <v>2</v>
      </c>
      <c r="N19" s="390">
        <f>C19*E19*H19*M19</f>
        <v>2.16</v>
      </c>
      <c r="O19" s="389"/>
      <c r="P19" s="1463"/>
    </row>
    <row r="20" spans="1:16" s="942" customFormat="1" ht="15.75" customHeight="1">
      <c r="A20" s="891"/>
      <c r="B20" s="890"/>
      <c r="C20" s="428">
        <f>D15</f>
        <v>0.8</v>
      </c>
      <c r="D20" s="428"/>
      <c r="E20" s="428">
        <f>E19</f>
        <v>0.3</v>
      </c>
      <c r="F20" s="428"/>
      <c r="G20" s="428"/>
      <c r="H20" s="428">
        <f>H19</f>
        <v>2</v>
      </c>
      <c r="I20" s="428"/>
      <c r="J20" s="428"/>
      <c r="K20" s="428"/>
      <c r="L20" s="428"/>
      <c r="M20" s="428">
        <f>M19</f>
        <v>2</v>
      </c>
      <c r="N20" s="590">
        <f>C20*E20*H20*M20</f>
        <v>0.96</v>
      </c>
      <c r="O20" s="389"/>
      <c r="P20" s="1463"/>
    </row>
    <row r="21" spans="1:16" s="942" customFormat="1" ht="15.75" customHeight="1">
      <c r="A21" s="891"/>
      <c r="B21" s="890"/>
      <c r="C21" s="428"/>
      <c r="D21" s="428"/>
      <c r="E21" s="428"/>
      <c r="F21" s="428"/>
      <c r="G21" s="428"/>
      <c r="H21" s="428"/>
      <c r="I21" s="428"/>
      <c r="J21" s="428"/>
      <c r="K21" s="428"/>
      <c r="L21" s="428"/>
      <c r="M21" s="428"/>
      <c r="N21" s="390">
        <f>SUM(N19:N20)</f>
        <v>3.12</v>
      </c>
      <c r="O21" s="389" t="s">
        <v>89</v>
      </c>
      <c r="P21" s="1463">
        <f>ROUND((N21),2)</f>
        <v>3.12</v>
      </c>
    </row>
    <row r="22" spans="1:16" s="942" customFormat="1" ht="15.75" customHeight="1">
      <c r="A22" s="891" t="s">
        <v>142</v>
      </c>
      <c r="B22" s="890" t="s">
        <v>895</v>
      </c>
      <c r="C22" s="428"/>
      <c r="D22" s="428"/>
      <c r="E22" s="428"/>
      <c r="F22" s="428"/>
      <c r="G22" s="428"/>
      <c r="H22" s="428"/>
      <c r="I22" s="428"/>
      <c r="J22" s="428"/>
      <c r="K22" s="428"/>
      <c r="L22" s="428"/>
      <c r="M22" s="428"/>
      <c r="N22" s="390"/>
      <c r="O22" s="389"/>
      <c r="P22" s="1463"/>
    </row>
    <row r="23" spans="1:16" s="942" customFormat="1" ht="15.75" customHeight="1">
      <c r="A23" s="891"/>
      <c r="B23" s="1464"/>
      <c r="C23" s="428">
        <f>C17-0.15</f>
        <v>1.4500000000000002</v>
      </c>
      <c r="D23" s="428"/>
      <c r="E23" s="428"/>
      <c r="F23" s="428"/>
      <c r="G23" s="428"/>
      <c r="H23" s="428">
        <v>4</v>
      </c>
      <c r="I23" s="428">
        <f>0.15*2</f>
        <v>0.3</v>
      </c>
      <c r="J23" s="428"/>
      <c r="K23" s="428"/>
      <c r="L23" s="428">
        <f>13*13*0.006165</f>
        <v>1.041885</v>
      </c>
      <c r="M23" s="428">
        <f>M20</f>
        <v>2</v>
      </c>
      <c r="N23" s="390">
        <f>(C23*I23)*H23*L23*M23</f>
        <v>3.6257598000000004</v>
      </c>
      <c r="O23" s="389"/>
      <c r="P23" s="1463"/>
    </row>
    <row r="24" spans="1:16" s="942" customFormat="1" ht="15.75" customHeight="1">
      <c r="A24" s="891"/>
      <c r="B24" s="1464"/>
      <c r="C24" s="428">
        <f>D17-0.15</f>
        <v>0.44999999999999996</v>
      </c>
      <c r="D24" s="428"/>
      <c r="E24" s="428"/>
      <c r="F24" s="428"/>
      <c r="G24" s="428"/>
      <c r="H24" s="428">
        <f>H23</f>
        <v>4</v>
      </c>
      <c r="I24" s="428">
        <f>I23</f>
        <v>0.3</v>
      </c>
      <c r="J24" s="428"/>
      <c r="K24" s="428"/>
      <c r="L24" s="428">
        <f>L23</f>
        <v>1.041885</v>
      </c>
      <c r="M24" s="428">
        <f>M23</f>
        <v>2</v>
      </c>
      <c r="N24" s="590">
        <f>(C24*I24)*H24*L24*M24</f>
        <v>1.1252357999999998</v>
      </c>
      <c r="O24" s="389"/>
      <c r="P24" s="1463"/>
    </row>
    <row r="25" spans="1:16" s="942" customFormat="1" ht="15.75" customHeight="1">
      <c r="A25" s="891"/>
      <c r="B25" s="1464"/>
      <c r="C25" s="428"/>
      <c r="D25" s="428"/>
      <c r="E25" s="428"/>
      <c r="F25" s="428"/>
      <c r="G25" s="428"/>
      <c r="H25" s="428"/>
      <c r="I25" s="428"/>
      <c r="J25" s="428"/>
      <c r="K25" s="428"/>
      <c r="L25" s="428"/>
      <c r="M25" s="428"/>
      <c r="N25" s="390">
        <f>SUM(N23:N24)</f>
        <v>4.7509956000000004</v>
      </c>
      <c r="O25" s="389" t="s">
        <v>100</v>
      </c>
      <c r="P25" s="1463">
        <f>ROUND((N25),2)</f>
        <v>4.75</v>
      </c>
    </row>
    <row r="26" spans="1:16" s="942" customFormat="1" ht="15.75" customHeight="1">
      <c r="A26" s="891" t="s">
        <v>217</v>
      </c>
      <c r="B26" s="427" t="s">
        <v>420</v>
      </c>
      <c r="C26" s="428">
        <f>C17</f>
        <v>1.6</v>
      </c>
      <c r="D26" s="428">
        <f>D17</f>
        <v>0.6</v>
      </c>
      <c r="E26" s="428">
        <f>E20</f>
        <v>0.3</v>
      </c>
      <c r="F26" s="428"/>
      <c r="G26" s="428"/>
      <c r="H26" s="428"/>
      <c r="I26" s="428"/>
      <c r="J26" s="428"/>
      <c r="K26" s="428"/>
      <c r="L26" s="428"/>
      <c r="M26" s="428">
        <f>M24</f>
        <v>2</v>
      </c>
      <c r="N26" s="390">
        <f>C26*D26*E26*M26</f>
        <v>0.57599999999999996</v>
      </c>
      <c r="O26" s="389" t="s">
        <v>103</v>
      </c>
      <c r="P26" s="1463">
        <f>ROUND((N26),2)</f>
        <v>0.57999999999999996</v>
      </c>
    </row>
    <row r="27" spans="1:16" s="942" customFormat="1" ht="15.75" customHeight="1">
      <c r="A27" s="891" t="s">
        <v>366</v>
      </c>
      <c r="B27" s="890" t="s">
        <v>383</v>
      </c>
      <c r="C27" s="428"/>
      <c r="D27" s="428"/>
      <c r="E27" s="428">
        <v>4</v>
      </c>
      <c r="F27" s="428">
        <v>10</v>
      </c>
      <c r="G27" s="428"/>
      <c r="H27" s="428"/>
      <c r="I27" s="428"/>
      <c r="J27" s="428"/>
      <c r="K27" s="428"/>
      <c r="L27" s="428"/>
      <c r="M27" s="428">
        <f>M26</f>
        <v>2</v>
      </c>
      <c r="N27" s="390">
        <f>E27*F27*M27</f>
        <v>80</v>
      </c>
      <c r="O27" s="389" t="s">
        <v>117</v>
      </c>
      <c r="P27" s="1463">
        <f>ROUND((N27),2)</f>
        <v>80</v>
      </c>
    </row>
    <row r="28" spans="1:16" s="942" customFormat="1" ht="15.75" customHeight="1">
      <c r="A28" s="394">
        <f>A14+1</f>
        <v>3</v>
      </c>
      <c r="B28" s="890" t="s">
        <v>1675</v>
      </c>
      <c r="C28" s="428"/>
      <c r="D28" s="428"/>
      <c r="E28" s="428"/>
      <c r="F28" s="428"/>
      <c r="G28" s="428"/>
      <c r="H28" s="428"/>
      <c r="I28" s="428"/>
      <c r="J28" s="428"/>
      <c r="K28" s="428"/>
      <c r="L28" s="428"/>
      <c r="M28" s="428"/>
      <c r="N28" s="390"/>
      <c r="O28" s="389"/>
      <c r="P28" s="1463"/>
    </row>
    <row r="29" spans="1:16" s="942" customFormat="1" ht="15.75" customHeight="1">
      <c r="A29" s="891" t="s">
        <v>95</v>
      </c>
      <c r="B29" s="890" t="s">
        <v>398</v>
      </c>
      <c r="C29" s="428">
        <v>1.8</v>
      </c>
      <c r="D29" s="428">
        <v>1.2</v>
      </c>
      <c r="E29" s="428">
        <v>0.9</v>
      </c>
      <c r="F29" s="428"/>
      <c r="G29" s="428"/>
      <c r="H29" s="428"/>
      <c r="I29" s="428"/>
      <c r="J29" s="428"/>
      <c r="K29" s="428"/>
      <c r="L29" s="428"/>
      <c r="M29" s="428">
        <v>2</v>
      </c>
      <c r="N29" s="390">
        <f>C29*D29*E29</f>
        <v>1.9440000000000002</v>
      </c>
      <c r="O29" s="389" t="s">
        <v>103</v>
      </c>
      <c r="P29" s="1463">
        <f>ROUND((N29),2)</f>
        <v>1.94</v>
      </c>
    </row>
    <row r="30" spans="1:16" s="942" customFormat="1" ht="15.75" customHeight="1">
      <c r="A30" s="891" t="s">
        <v>98</v>
      </c>
      <c r="B30" s="890" t="s">
        <v>399</v>
      </c>
      <c r="C30" s="428">
        <v>1.6</v>
      </c>
      <c r="D30" s="428">
        <v>1</v>
      </c>
      <c r="E30" s="428">
        <v>7.0000000000000007E-2</v>
      </c>
      <c r="F30" s="428"/>
      <c r="G30" s="428"/>
      <c r="H30" s="428"/>
      <c r="I30" s="428"/>
      <c r="J30" s="428"/>
      <c r="K30" s="428"/>
      <c r="L30" s="428"/>
      <c r="M30" s="428">
        <f>M29</f>
        <v>2</v>
      </c>
      <c r="N30" s="390">
        <f>C30*D30*E30</f>
        <v>0.11200000000000002</v>
      </c>
      <c r="O30" s="389" t="s">
        <v>103</v>
      </c>
      <c r="P30" s="1463">
        <f>ROUND((N30),2)</f>
        <v>0.11</v>
      </c>
    </row>
    <row r="31" spans="1:16" s="942" customFormat="1" ht="15.75" customHeight="1">
      <c r="A31" s="891" t="s">
        <v>101</v>
      </c>
      <c r="B31" s="890" t="s">
        <v>400</v>
      </c>
      <c r="C31" s="428">
        <f>C30</f>
        <v>1.6</v>
      </c>
      <c r="D31" s="428">
        <f>D30</f>
        <v>1</v>
      </c>
      <c r="E31" s="428">
        <v>0.03</v>
      </c>
      <c r="F31" s="428"/>
      <c r="G31" s="428"/>
      <c r="H31" s="428"/>
      <c r="I31" s="428"/>
      <c r="J31" s="428"/>
      <c r="K31" s="428"/>
      <c r="L31" s="428"/>
      <c r="M31" s="428">
        <f>M30</f>
        <v>2</v>
      </c>
      <c r="N31" s="390">
        <f>C31*D31*E31</f>
        <v>4.8000000000000001E-2</v>
      </c>
      <c r="O31" s="389" t="s">
        <v>103</v>
      </c>
      <c r="P31" s="1463">
        <f>ROUND((N31),2)</f>
        <v>0.05</v>
      </c>
    </row>
    <row r="32" spans="1:16" s="942" customFormat="1" ht="15.75" customHeight="1">
      <c r="A32" s="891" t="s">
        <v>121</v>
      </c>
      <c r="B32" s="890" t="s">
        <v>401</v>
      </c>
      <c r="C32" s="428"/>
      <c r="D32" s="428"/>
      <c r="E32" s="428"/>
      <c r="F32" s="428"/>
      <c r="G32" s="428"/>
      <c r="H32" s="428"/>
      <c r="I32" s="428"/>
      <c r="J32" s="428"/>
      <c r="K32" s="428"/>
      <c r="L32" s="428"/>
      <c r="M32" s="428"/>
      <c r="N32" s="390"/>
      <c r="O32" s="389"/>
      <c r="P32" s="1463"/>
    </row>
    <row r="33" spans="1:20" s="942" customFormat="1" ht="15.75" customHeight="1">
      <c r="A33" s="891"/>
      <c r="B33" s="890"/>
      <c r="C33" s="428">
        <f>C29</f>
        <v>1.8</v>
      </c>
      <c r="D33" s="428"/>
      <c r="E33" s="428">
        <v>0.3</v>
      </c>
      <c r="F33" s="428"/>
      <c r="G33" s="428"/>
      <c r="H33" s="428">
        <v>2</v>
      </c>
      <c r="I33" s="428"/>
      <c r="J33" s="428"/>
      <c r="K33" s="428"/>
      <c r="L33" s="428"/>
      <c r="M33" s="428">
        <f>M31</f>
        <v>2</v>
      </c>
      <c r="N33" s="390">
        <f>C33*E33*H33*M33</f>
        <v>2.16</v>
      </c>
      <c r="O33" s="389"/>
      <c r="P33" s="1463"/>
    </row>
    <row r="34" spans="1:20" s="942" customFormat="1" ht="15.75" customHeight="1">
      <c r="A34" s="891"/>
      <c r="B34" s="890"/>
      <c r="C34" s="428">
        <f>D29</f>
        <v>1.2</v>
      </c>
      <c r="D34" s="428"/>
      <c r="E34" s="428">
        <f>E33</f>
        <v>0.3</v>
      </c>
      <c r="F34" s="428"/>
      <c r="G34" s="428"/>
      <c r="H34" s="428">
        <f>H33</f>
        <v>2</v>
      </c>
      <c r="I34" s="428"/>
      <c r="J34" s="428"/>
      <c r="K34" s="428"/>
      <c r="L34" s="428"/>
      <c r="M34" s="428">
        <f>M33</f>
        <v>2</v>
      </c>
      <c r="N34" s="590">
        <f>C34*E34*H34*M34</f>
        <v>1.44</v>
      </c>
      <c r="O34" s="389"/>
      <c r="P34" s="1463"/>
    </row>
    <row r="35" spans="1:20" s="942" customFormat="1" ht="15.75" customHeight="1">
      <c r="A35" s="891"/>
      <c r="B35" s="890"/>
      <c r="C35" s="428"/>
      <c r="D35" s="428"/>
      <c r="E35" s="428"/>
      <c r="F35" s="428"/>
      <c r="G35" s="428"/>
      <c r="H35" s="428"/>
      <c r="I35" s="428"/>
      <c r="J35" s="428"/>
      <c r="K35" s="428"/>
      <c r="L35" s="428"/>
      <c r="M35" s="428"/>
      <c r="N35" s="390">
        <f>SUM(N33:N34)</f>
        <v>3.6</v>
      </c>
      <c r="O35" s="389" t="s">
        <v>89</v>
      </c>
      <c r="P35" s="1463">
        <f>ROUND((N35),2)</f>
        <v>3.6</v>
      </c>
    </row>
    <row r="36" spans="1:20" s="942" customFormat="1" ht="15.75" customHeight="1">
      <c r="A36" s="891" t="s">
        <v>142</v>
      </c>
      <c r="B36" s="890" t="s">
        <v>895</v>
      </c>
      <c r="C36" s="428"/>
      <c r="D36" s="428"/>
      <c r="E36" s="428"/>
      <c r="F36" s="428"/>
      <c r="G36" s="428"/>
      <c r="H36" s="428"/>
      <c r="I36" s="428"/>
      <c r="J36" s="428"/>
      <c r="K36" s="428"/>
      <c r="L36" s="428"/>
      <c r="M36" s="428"/>
      <c r="N36" s="390"/>
      <c r="O36" s="389"/>
      <c r="P36" s="1463"/>
    </row>
    <row r="37" spans="1:20" s="942" customFormat="1" ht="15.75" customHeight="1">
      <c r="A37" s="891"/>
      <c r="B37" s="1464"/>
      <c r="C37" s="428">
        <f>C31-0.15</f>
        <v>1.4500000000000002</v>
      </c>
      <c r="D37" s="428"/>
      <c r="E37" s="428"/>
      <c r="F37" s="428"/>
      <c r="G37" s="428"/>
      <c r="H37" s="428">
        <v>4</v>
      </c>
      <c r="I37" s="428">
        <f>0.15*2</f>
        <v>0.3</v>
      </c>
      <c r="J37" s="428"/>
      <c r="K37" s="428"/>
      <c r="L37" s="428">
        <f>13*13*0.006165</f>
        <v>1.041885</v>
      </c>
      <c r="M37" s="428">
        <f>M34</f>
        <v>2</v>
      </c>
      <c r="N37" s="390">
        <f>(C37*I37)*H37*L37*M37</f>
        <v>3.6257598000000004</v>
      </c>
      <c r="O37" s="389"/>
      <c r="P37" s="1463"/>
    </row>
    <row r="38" spans="1:20" s="942" customFormat="1" ht="15.75" customHeight="1">
      <c r="A38" s="891"/>
      <c r="B38" s="1464"/>
      <c r="C38" s="428">
        <f>D31-0.15</f>
        <v>0.85</v>
      </c>
      <c r="D38" s="428"/>
      <c r="E38" s="428"/>
      <c r="F38" s="428"/>
      <c r="G38" s="428"/>
      <c r="H38" s="428">
        <f>H37</f>
        <v>4</v>
      </c>
      <c r="I38" s="428">
        <f>I37</f>
        <v>0.3</v>
      </c>
      <c r="J38" s="428"/>
      <c r="K38" s="428"/>
      <c r="L38" s="428">
        <f>L37</f>
        <v>1.041885</v>
      </c>
      <c r="M38" s="428">
        <f>M37</f>
        <v>2</v>
      </c>
      <c r="N38" s="590">
        <f>(C38*I38)*H38*L38*M38</f>
        <v>2.1254453999999998</v>
      </c>
      <c r="O38" s="389"/>
      <c r="P38" s="1463"/>
    </row>
    <row r="39" spans="1:20" s="942" customFormat="1" ht="15.75" customHeight="1">
      <c r="A39" s="891"/>
      <c r="B39" s="1464"/>
      <c r="C39" s="428"/>
      <c r="D39" s="428"/>
      <c r="E39" s="428"/>
      <c r="F39" s="428"/>
      <c r="G39" s="428"/>
      <c r="H39" s="428"/>
      <c r="I39" s="428"/>
      <c r="J39" s="428"/>
      <c r="K39" s="428"/>
      <c r="L39" s="428"/>
      <c r="M39" s="428"/>
      <c r="N39" s="390">
        <f>SUM(N37:N38)</f>
        <v>5.7512052000000002</v>
      </c>
      <c r="O39" s="389" t="s">
        <v>100</v>
      </c>
      <c r="P39" s="1463">
        <f>ROUND((N39),2)</f>
        <v>5.75</v>
      </c>
    </row>
    <row r="40" spans="1:20" s="942" customFormat="1" ht="15.75" customHeight="1">
      <c r="A40" s="891" t="s">
        <v>217</v>
      </c>
      <c r="B40" s="427" t="s">
        <v>420</v>
      </c>
      <c r="C40" s="428">
        <f>C31</f>
        <v>1.6</v>
      </c>
      <c r="D40" s="428">
        <f>D31</f>
        <v>1</v>
      </c>
      <c r="E40" s="428">
        <f>E34</f>
        <v>0.3</v>
      </c>
      <c r="F40" s="428"/>
      <c r="G40" s="428"/>
      <c r="H40" s="428"/>
      <c r="I40" s="428"/>
      <c r="J40" s="428"/>
      <c r="K40" s="428"/>
      <c r="L40" s="428"/>
      <c r="M40" s="428">
        <f>M38</f>
        <v>2</v>
      </c>
      <c r="N40" s="390">
        <f>C40*D40*E40*M40</f>
        <v>0.96</v>
      </c>
      <c r="O40" s="389" t="s">
        <v>103</v>
      </c>
      <c r="P40" s="1463">
        <f>ROUND((N40),2)</f>
        <v>0.96</v>
      </c>
    </row>
    <row r="41" spans="1:20" s="942" customFormat="1" ht="15.75" customHeight="1">
      <c r="A41" s="891" t="s">
        <v>366</v>
      </c>
      <c r="B41" s="890" t="s">
        <v>383</v>
      </c>
      <c r="C41" s="428"/>
      <c r="D41" s="428"/>
      <c r="E41" s="428">
        <v>4</v>
      </c>
      <c r="F41" s="428">
        <v>15</v>
      </c>
      <c r="G41" s="428"/>
      <c r="H41" s="428"/>
      <c r="I41" s="428"/>
      <c r="J41" s="428"/>
      <c r="K41" s="428"/>
      <c r="L41" s="428"/>
      <c r="M41" s="428">
        <f>M40</f>
        <v>2</v>
      </c>
      <c r="N41" s="390">
        <f>E41*F41*M41</f>
        <v>120</v>
      </c>
      <c r="O41" s="389" t="s">
        <v>117</v>
      </c>
      <c r="P41" s="1463">
        <f>ROUND((N41),2)</f>
        <v>120</v>
      </c>
    </row>
    <row r="42" spans="1:20" s="942" customFormat="1" ht="15.75" customHeight="1">
      <c r="A42" s="394">
        <f>A28+1</f>
        <v>4</v>
      </c>
      <c r="B42" s="389" t="s">
        <v>403</v>
      </c>
      <c r="C42" s="428"/>
      <c r="D42" s="428"/>
      <c r="E42" s="428"/>
      <c r="F42" s="428"/>
      <c r="G42" s="428"/>
      <c r="H42" s="428"/>
      <c r="I42" s="428"/>
      <c r="J42" s="428"/>
      <c r="K42" s="428"/>
      <c r="L42" s="428"/>
      <c r="M42" s="428"/>
      <c r="N42" s="428"/>
      <c r="O42" s="389"/>
      <c r="P42" s="1462"/>
    </row>
    <row r="43" spans="1:20" s="942" customFormat="1" ht="15.75" customHeight="1">
      <c r="A43" s="451" t="s">
        <v>95</v>
      </c>
      <c r="B43" s="389" t="s">
        <v>491</v>
      </c>
      <c r="C43" s="428"/>
      <c r="D43" s="428"/>
      <c r="E43" s="428"/>
      <c r="F43" s="428"/>
      <c r="G43" s="428"/>
      <c r="H43" s="428"/>
      <c r="I43" s="428"/>
      <c r="J43" s="428"/>
      <c r="K43" s="428"/>
      <c r="L43" s="428"/>
      <c r="M43" s="428"/>
      <c r="N43" s="428"/>
      <c r="O43" s="446"/>
      <c r="P43" s="1462"/>
    </row>
    <row r="44" spans="1:20" s="942" customFormat="1" ht="15.75" customHeight="1">
      <c r="A44" s="451"/>
      <c r="B44" s="682" t="s">
        <v>223</v>
      </c>
      <c r="C44" s="428">
        <v>1.925</v>
      </c>
      <c r="D44" s="428">
        <v>0.7</v>
      </c>
      <c r="E44" s="428">
        <v>0.85</v>
      </c>
      <c r="F44" s="428"/>
      <c r="G44" s="428">
        <v>1</v>
      </c>
      <c r="H44" s="428"/>
      <c r="I44" s="428"/>
      <c r="J44" s="428"/>
      <c r="K44" s="428"/>
      <c r="L44" s="428"/>
      <c r="M44" s="428">
        <v>2</v>
      </c>
      <c r="N44" s="428">
        <f>C44*D44*E44*G44*M44</f>
        <v>2.2907499999999996</v>
      </c>
      <c r="O44" s="446"/>
      <c r="P44" s="1462"/>
    </row>
    <row r="45" spans="1:20" s="942" customFormat="1" ht="15.75" customHeight="1">
      <c r="A45" s="451"/>
      <c r="B45" s="682" t="s">
        <v>1676</v>
      </c>
      <c r="C45" s="428">
        <v>0.5</v>
      </c>
      <c r="D45" s="428">
        <f>D44</f>
        <v>0.7</v>
      </c>
      <c r="E45" s="428">
        <f>E44</f>
        <v>0.85</v>
      </c>
      <c r="F45" s="428"/>
      <c r="G45" s="428">
        <v>2</v>
      </c>
      <c r="H45" s="428"/>
      <c r="I45" s="428"/>
      <c r="J45" s="428"/>
      <c r="K45" s="428"/>
      <c r="L45" s="428"/>
      <c r="M45" s="428">
        <v>2</v>
      </c>
      <c r="N45" s="428">
        <f>C45*D45*E45*G45*M45</f>
        <v>1.19</v>
      </c>
      <c r="O45" s="446"/>
      <c r="P45" s="1462"/>
    </row>
    <row r="46" spans="1:20" s="942" customFormat="1" ht="15.75" customHeight="1">
      <c r="A46" s="451"/>
      <c r="B46" s="682"/>
      <c r="C46" s="428">
        <v>1.95</v>
      </c>
      <c r="D46" s="428">
        <f>D45</f>
        <v>0.7</v>
      </c>
      <c r="E46" s="428">
        <f>E45</f>
        <v>0.85</v>
      </c>
      <c r="F46" s="428"/>
      <c r="G46" s="428">
        <v>1</v>
      </c>
      <c r="H46" s="428"/>
      <c r="I46" s="428"/>
      <c r="J46" s="428"/>
      <c r="K46" s="428"/>
      <c r="L46" s="428"/>
      <c r="M46" s="428">
        <v>2</v>
      </c>
      <c r="N46" s="590">
        <f>C46*D46*E46*G46*M46</f>
        <v>2.3205</v>
      </c>
      <c r="O46" s="446"/>
      <c r="P46" s="1462"/>
    </row>
    <row r="47" spans="1:20" s="942" customFormat="1" ht="15.75" customHeight="1">
      <c r="A47" s="451"/>
      <c r="B47" s="389"/>
      <c r="C47" s="428"/>
      <c r="D47" s="428"/>
      <c r="E47" s="428"/>
      <c r="F47" s="428"/>
      <c r="G47" s="428"/>
      <c r="H47" s="428"/>
      <c r="I47" s="428"/>
      <c r="J47" s="428"/>
      <c r="K47" s="428"/>
      <c r="L47" s="428"/>
      <c r="M47" s="428"/>
      <c r="N47" s="390">
        <f>SUM(N44:N46)</f>
        <v>5.8012499999999996</v>
      </c>
      <c r="O47" s="389" t="s">
        <v>103</v>
      </c>
      <c r="P47" s="1463">
        <f>ROUND((N47),2)</f>
        <v>5.8</v>
      </c>
    </row>
    <row r="48" spans="1:20" s="942" customFormat="1" ht="15.75" customHeight="1">
      <c r="A48" s="451" t="s">
        <v>98</v>
      </c>
      <c r="B48" s="861" t="s">
        <v>405</v>
      </c>
      <c r="C48" s="1465">
        <f>T48</f>
        <v>15</v>
      </c>
      <c r="D48" s="1465">
        <f>T49</f>
        <v>15</v>
      </c>
      <c r="E48" s="927">
        <v>4</v>
      </c>
      <c r="F48" s="927"/>
      <c r="G48" s="927"/>
      <c r="H48" s="927"/>
      <c r="I48" s="927"/>
      <c r="J48" s="928"/>
      <c r="K48" s="928"/>
      <c r="L48" s="929"/>
      <c r="M48" s="927"/>
      <c r="N48" s="930">
        <f>C48*D48*E48</f>
        <v>900</v>
      </c>
      <c r="O48" s="927" t="s">
        <v>117</v>
      </c>
      <c r="P48" s="1466">
        <f>ROUND((N48),2)</f>
        <v>900</v>
      </c>
      <c r="Q48" s="442" t="s">
        <v>1677</v>
      </c>
      <c r="R48" s="932">
        <f>2*3</f>
        <v>6</v>
      </c>
      <c r="S48" s="932">
        <f>R48/0.4</f>
        <v>15</v>
      </c>
      <c r="T48" s="932">
        <f>ROUNDUP(S48,-0.5)</f>
        <v>15</v>
      </c>
    </row>
    <row r="49" spans="1:20" s="942" customFormat="1" ht="15.75" customHeight="1">
      <c r="A49" s="451" t="s">
        <v>101</v>
      </c>
      <c r="B49" s="389" t="s">
        <v>1678</v>
      </c>
      <c r="C49" s="428"/>
      <c r="D49" s="428"/>
      <c r="E49" s="428"/>
      <c r="F49" s="428"/>
      <c r="G49" s="428"/>
      <c r="H49" s="428"/>
      <c r="I49" s="428"/>
      <c r="J49" s="428"/>
      <c r="K49" s="428"/>
      <c r="L49" s="428"/>
      <c r="M49" s="428"/>
      <c r="N49" s="428"/>
      <c r="O49" s="389"/>
      <c r="P49" s="1462"/>
      <c r="Q49" s="442"/>
      <c r="R49" s="932">
        <f>2*3</f>
        <v>6</v>
      </c>
      <c r="S49" s="932">
        <f>R49/0.4</f>
        <v>15</v>
      </c>
      <c r="T49" s="932">
        <f>ROUNDUP(S49,-0.5)</f>
        <v>15</v>
      </c>
    </row>
    <row r="50" spans="1:20" s="942" customFormat="1" ht="15.75" customHeight="1">
      <c r="A50" s="451"/>
      <c r="B50" s="682" t="str">
        <f>B44</f>
        <v>sisi samping</v>
      </c>
      <c r="C50" s="428">
        <f>C44</f>
        <v>1.925</v>
      </c>
      <c r="D50" s="428">
        <f>D46</f>
        <v>0.7</v>
      </c>
      <c r="E50" s="428">
        <v>0.05</v>
      </c>
      <c r="F50" s="428"/>
      <c r="G50" s="428">
        <f>G44</f>
        <v>1</v>
      </c>
      <c r="H50" s="428"/>
      <c r="I50" s="428"/>
      <c r="J50" s="428"/>
      <c r="K50" s="428"/>
      <c r="L50" s="428"/>
      <c r="M50" s="428">
        <f>M44</f>
        <v>2</v>
      </c>
      <c r="N50" s="428">
        <f>C50*D50*E50*G50*M50</f>
        <v>0.13475000000000001</v>
      </c>
      <c r="O50" s="446"/>
      <c r="P50" s="1462"/>
    </row>
    <row r="51" spans="1:20" s="942" customFormat="1" ht="15.75" customHeight="1">
      <c r="A51" s="451"/>
      <c r="B51" s="682" t="str">
        <f>B45</f>
        <v>area pilar</v>
      </c>
      <c r="C51" s="428">
        <f>C45</f>
        <v>0.5</v>
      </c>
      <c r="D51" s="428">
        <f>D50</f>
        <v>0.7</v>
      </c>
      <c r="E51" s="428">
        <f>E50</f>
        <v>0.05</v>
      </c>
      <c r="F51" s="428"/>
      <c r="G51" s="428">
        <f>G45</f>
        <v>2</v>
      </c>
      <c r="H51" s="428"/>
      <c r="I51" s="428"/>
      <c r="J51" s="428"/>
      <c r="K51" s="428"/>
      <c r="L51" s="428"/>
      <c r="M51" s="428">
        <f>M45</f>
        <v>2</v>
      </c>
      <c r="N51" s="428">
        <f>C51*D51*E51*G51*M51</f>
        <v>6.9999999999999993E-2</v>
      </c>
      <c r="O51" s="446"/>
      <c r="P51" s="1462"/>
    </row>
    <row r="52" spans="1:20" s="942" customFormat="1" ht="15.75" customHeight="1">
      <c r="A52" s="451"/>
      <c r="B52" s="682"/>
      <c r="C52" s="428">
        <f>C46</f>
        <v>1.95</v>
      </c>
      <c r="D52" s="428">
        <f>D51</f>
        <v>0.7</v>
      </c>
      <c r="E52" s="428">
        <f>E51</f>
        <v>0.05</v>
      </c>
      <c r="F52" s="428"/>
      <c r="G52" s="428">
        <f>G46</f>
        <v>1</v>
      </c>
      <c r="H52" s="428"/>
      <c r="I52" s="428"/>
      <c r="J52" s="428"/>
      <c r="K52" s="428"/>
      <c r="L52" s="428"/>
      <c r="M52" s="428">
        <f>M46</f>
        <v>2</v>
      </c>
      <c r="N52" s="590">
        <f>C52*D52*E52*G52*M52</f>
        <v>0.13650000000000001</v>
      </c>
      <c r="O52" s="446"/>
      <c r="P52" s="1462"/>
    </row>
    <row r="53" spans="1:20" s="942" customFormat="1" ht="15.75" customHeight="1">
      <c r="A53" s="451"/>
      <c r="B53" s="682"/>
      <c r="C53" s="428"/>
      <c r="D53" s="428"/>
      <c r="E53" s="428"/>
      <c r="F53" s="428"/>
      <c r="G53" s="428"/>
      <c r="H53" s="428"/>
      <c r="I53" s="428"/>
      <c r="J53" s="428"/>
      <c r="K53" s="428"/>
      <c r="L53" s="428"/>
      <c r="M53" s="428"/>
      <c r="N53" s="390">
        <f>SUM(N50:N52)</f>
        <v>0.34125</v>
      </c>
      <c r="O53" s="389" t="s">
        <v>103</v>
      </c>
      <c r="P53" s="1463">
        <f>ROUND((N53),2)</f>
        <v>0.34</v>
      </c>
    </row>
    <row r="54" spans="1:20" s="942" customFormat="1" ht="15.75" customHeight="1">
      <c r="A54" s="451" t="s">
        <v>101</v>
      </c>
      <c r="B54" s="389" t="s">
        <v>407</v>
      </c>
      <c r="C54" s="428"/>
      <c r="D54" s="1467" t="s">
        <v>1679</v>
      </c>
      <c r="E54" s="428"/>
      <c r="F54" s="428"/>
      <c r="G54" s="428"/>
      <c r="H54" s="428"/>
      <c r="I54" s="428"/>
      <c r="J54" s="428"/>
      <c r="K54" s="428"/>
      <c r="L54" s="428"/>
      <c r="M54" s="428"/>
      <c r="N54" s="428"/>
      <c r="O54" s="389"/>
      <c r="P54" s="1462"/>
    </row>
    <row r="55" spans="1:20" s="942" customFormat="1" ht="15.75" customHeight="1">
      <c r="A55" s="451"/>
      <c r="B55" s="682" t="str">
        <f>B50</f>
        <v>sisi samping</v>
      </c>
      <c r="C55" s="428">
        <f>C50</f>
        <v>1.925</v>
      </c>
      <c r="D55" s="428">
        <f>(0.3+0.6)/2</f>
        <v>0.44999999999999996</v>
      </c>
      <c r="E55" s="428">
        <v>0.6</v>
      </c>
      <c r="F55" s="428"/>
      <c r="G55" s="428">
        <f>G50</f>
        <v>1</v>
      </c>
      <c r="H55" s="428"/>
      <c r="I55" s="428"/>
      <c r="J55" s="428"/>
      <c r="K55" s="428"/>
      <c r="L55" s="428"/>
      <c r="M55" s="428">
        <f>M50</f>
        <v>2</v>
      </c>
      <c r="N55" s="428">
        <f>C55*D55*E55*G55*M55</f>
        <v>1.0394999999999999</v>
      </c>
      <c r="O55" s="446"/>
      <c r="P55" s="1462"/>
    </row>
    <row r="56" spans="1:20" s="942" customFormat="1" ht="15.75" customHeight="1">
      <c r="A56" s="451"/>
      <c r="B56" s="682" t="str">
        <f>B51</f>
        <v>area pilar</v>
      </c>
      <c r="C56" s="428">
        <f>C51</f>
        <v>0.5</v>
      </c>
      <c r="D56" s="428">
        <f>D55</f>
        <v>0.44999999999999996</v>
      </c>
      <c r="E56" s="428">
        <f>E55</f>
        <v>0.6</v>
      </c>
      <c r="F56" s="428"/>
      <c r="G56" s="428">
        <f>G51</f>
        <v>2</v>
      </c>
      <c r="H56" s="428"/>
      <c r="I56" s="428"/>
      <c r="J56" s="428"/>
      <c r="K56" s="428"/>
      <c r="L56" s="428"/>
      <c r="M56" s="428">
        <f>M51</f>
        <v>2</v>
      </c>
      <c r="N56" s="428">
        <f>C56*D56*E56*G56*M56</f>
        <v>0.53999999999999992</v>
      </c>
      <c r="O56" s="446"/>
      <c r="P56" s="1462"/>
    </row>
    <row r="57" spans="1:20" s="942" customFormat="1" ht="15.75" customHeight="1">
      <c r="A57" s="451"/>
      <c r="B57" s="389"/>
      <c r="C57" s="428">
        <f>C52</f>
        <v>1.95</v>
      </c>
      <c r="D57" s="428">
        <f>D56</f>
        <v>0.44999999999999996</v>
      </c>
      <c r="E57" s="428">
        <f>E56</f>
        <v>0.6</v>
      </c>
      <c r="F57" s="428"/>
      <c r="G57" s="428">
        <f>G52</f>
        <v>1</v>
      </c>
      <c r="H57" s="428"/>
      <c r="I57" s="428"/>
      <c r="J57" s="428"/>
      <c r="K57" s="428"/>
      <c r="L57" s="428"/>
      <c r="M57" s="428">
        <f>M52</f>
        <v>2</v>
      </c>
      <c r="N57" s="590">
        <f>C57*D57*E57*G57*M57</f>
        <v>1.0529999999999999</v>
      </c>
      <c r="O57" s="446"/>
      <c r="P57" s="1462"/>
    </row>
    <row r="58" spans="1:20" s="942" customFormat="1" ht="15.75" customHeight="1">
      <c r="A58" s="451"/>
      <c r="B58" s="389"/>
      <c r="C58" s="428"/>
      <c r="D58" s="428"/>
      <c r="E58" s="428"/>
      <c r="F58" s="428"/>
      <c r="G58" s="428"/>
      <c r="H58" s="428"/>
      <c r="I58" s="428"/>
      <c r="J58" s="428"/>
      <c r="K58" s="428"/>
      <c r="L58" s="428"/>
      <c r="M58" s="428"/>
      <c r="N58" s="390">
        <f>SUM(N55:N57)</f>
        <v>2.6324999999999998</v>
      </c>
      <c r="O58" s="389" t="s">
        <v>103</v>
      </c>
      <c r="P58" s="1463">
        <f>ROUND((N58),2)</f>
        <v>2.63</v>
      </c>
    </row>
    <row r="59" spans="1:20" s="942" customFormat="1" ht="15.75" customHeight="1">
      <c r="A59" s="394">
        <f>A42+1</f>
        <v>5</v>
      </c>
      <c r="B59" s="450" t="s">
        <v>409</v>
      </c>
      <c r="C59" s="428"/>
      <c r="D59" s="428"/>
      <c r="E59" s="428"/>
      <c r="F59" s="428"/>
      <c r="G59" s="428"/>
      <c r="H59" s="428"/>
      <c r="I59" s="428"/>
      <c r="J59" s="428"/>
      <c r="K59" s="428"/>
      <c r="L59" s="428"/>
      <c r="M59" s="428"/>
      <c r="N59" s="428"/>
      <c r="O59" s="389"/>
      <c r="P59" s="1462"/>
    </row>
    <row r="60" spans="1:20" s="942" customFormat="1" ht="15.75" customHeight="1">
      <c r="A60" s="451" t="s">
        <v>95</v>
      </c>
      <c r="B60" s="389" t="s">
        <v>221</v>
      </c>
      <c r="C60" s="428"/>
      <c r="D60" s="428"/>
      <c r="E60" s="428"/>
      <c r="F60" s="428"/>
      <c r="G60" s="428"/>
      <c r="H60" s="428"/>
      <c r="I60" s="428"/>
      <c r="J60" s="428"/>
      <c r="K60" s="428"/>
      <c r="L60" s="428"/>
      <c r="M60" s="428"/>
      <c r="N60" s="428"/>
      <c r="O60" s="389"/>
      <c r="P60" s="1462"/>
    </row>
    <row r="61" spans="1:20" s="942" customFormat="1" ht="15.75" customHeight="1">
      <c r="A61" s="451"/>
      <c r="B61" s="682" t="str">
        <f>B55</f>
        <v>sisi samping</v>
      </c>
      <c r="C61" s="428">
        <f>C55</f>
        <v>1.925</v>
      </c>
      <c r="D61" s="428"/>
      <c r="E61" s="428">
        <v>0.3</v>
      </c>
      <c r="F61" s="428"/>
      <c r="G61" s="428">
        <f>G55</f>
        <v>1</v>
      </c>
      <c r="H61" s="428">
        <v>2</v>
      </c>
      <c r="I61" s="428"/>
      <c r="J61" s="428"/>
      <c r="K61" s="428"/>
      <c r="L61" s="428"/>
      <c r="M61" s="428">
        <f>M55</f>
        <v>2</v>
      </c>
      <c r="N61" s="428">
        <f>C61*E61*G61*H61*M61</f>
        <v>2.31</v>
      </c>
      <c r="O61" s="389"/>
      <c r="P61" s="1462"/>
    </row>
    <row r="62" spans="1:20" s="942" customFormat="1" ht="15.75" customHeight="1">
      <c r="A62" s="451"/>
      <c r="B62" s="682" t="str">
        <f>B56</f>
        <v>area pilar</v>
      </c>
      <c r="C62" s="428">
        <f>C56</f>
        <v>0.5</v>
      </c>
      <c r="D62" s="428"/>
      <c r="E62" s="428">
        <f>E61</f>
        <v>0.3</v>
      </c>
      <c r="F62" s="428"/>
      <c r="G62" s="428">
        <f>G56</f>
        <v>2</v>
      </c>
      <c r="H62" s="428">
        <f>H61</f>
        <v>2</v>
      </c>
      <c r="I62" s="428"/>
      <c r="J62" s="428"/>
      <c r="K62" s="428"/>
      <c r="L62" s="428"/>
      <c r="M62" s="428">
        <f>M56</f>
        <v>2</v>
      </c>
      <c r="N62" s="428">
        <f>C62*E62*G62*H62*M62</f>
        <v>1.2</v>
      </c>
      <c r="O62" s="389"/>
      <c r="P62" s="1462"/>
    </row>
    <row r="63" spans="1:20" s="942" customFormat="1" ht="15.75" customHeight="1">
      <c r="A63" s="451"/>
      <c r="B63" s="389"/>
      <c r="C63" s="428">
        <f>C57</f>
        <v>1.95</v>
      </c>
      <c r="D63" s="428"/>
      <c r="E63" s="428">
        <f>E62</f>
        <v>0.3</v>
      </c>
      <c r="F63" s="428"/>
      <c r="G63" s="428">
        <f>G57</f>
        <v>1</v>
      </c>
      <c r="H63" s="428">
        <f>H62</f>
        <v>2</v>
      </c>
      <c r="I63" s="428"/>
      <c r="J63" s="428"/>
      <c r="K63" s="428"/>
      <c r="L63" s="428"/>
      <c r="M63" s="428">
        <f>M57</f>
        <v>2</v>
      </c>
      <c r="N63" s="590">
        <f>C63*E63*G63*H63*M63</f>
        <v>2.34</v>
      </c>
      <c r="O63" s="389"/>
      <c r="P63" s="1462"/>
    </row>
    <row r="64" spans="1:20" s="942" customFormat="1" ht="15.75" customHeight="1">
      <c r="A64" s="451"/>
      <c r="B64" s="389"/>
      <c r="C64" s="428"/>
      <c r="D64" s="428"/>
      <c r="E64" s="428"/>
      <c r="F64" s="428"/>
      <c r="G64" s="428"/>
      <c r="H64" s="428"/>
      <c r="I64" s="428"/>
      <c r="J64" s="428"/>
      <c r="K64" s="428"/>
      <c r="L64" s="428"/>
      <c r="M64" s="428"/>
      <c r="N64" s="390">
        <f>SUM(N61:N63)</f>
        <v>5.85</v>
      </c>
      <c r="O64" s="389" t="s">
        <v>89</v>
      </c>
      <c r="P64" s="1463">
        <f>ROUND((N64),2)</f>
        <v>5.85</v>
      </c>
    </row>
    <row r="65" spans="1:16" s="942" customFormat="1" ht="15.75" customHeight="1">
      <c r="A65" s="451" t="s">
        <v>98</v>
      </c>
      <c r="B65" s="389" t="s">
        <v>925</v>
      </c>
      <c r="C65" s="428"/>
      <c r="D65" s="428"/>
      <c r="E65" s="428"/>
      <c r="F65" s="428"/>
      <c r="G65" s="428"/>
      <c r="H65" s="428"/>
      <c r="I65" s="428"/>
      <c r="J65" s="428"/>
      <c r="K65" s="428"/>
      <c r="L65" s="428"/>
      <c r="M65" s="428"/>
      <c r="N65" s="428"/>
      <c r="O65" s="453"/>
      <c r="P65" s="1462"/>
    </row>
    <row r="66" spans="1:16" s="942" customFormat="1" ht="15.75" customHeight="1">
      <c r="A66" s="451"/>
      <c r="B66" s="682" t="str">
        <f>B61</f>
        <v>sisi samping</v>
      </c>
      <c r="C66" s="428">
        <f>C61</f>
        <v>1.925</v>
      </c>
      <c r="D66" s="428"/>
      <c r="E66" s="428"/>
      <c r="F66" s="428">
        <v>5</v>
      </c>
      <c r="G66" s="428">
        <f>G61</f>
        <v>1</v>
      </c>
      <c r="H66" s="428"/>
      <c r="I66" s="428"/>
      <c r="J66" s="428"/>
      <c r="K66" s="428"/>
      <c r="L66" s="428">
        <f>13*13*0.006165</f>
        <v>1.041885</v>
      </c>
      <c r="M66" s="428">
        <f>M61</f>
        <v>2</v>
      </c>
      <c r="N66" s="428">
        <f>C66*F66*G66*L66*M66</f>
        <v>20.056286249999999</v>
      </c>
      <c r="O66" s="389"/>
      <c r="P66" s="1462"/>
    </row>
    <row r="67" spans="1:16" s="942" customFormat="1" ht="15.75" customHeight="1">
      <c r="A67" s="451"/>
      <c r="B67" s="682" t="str">
        <f>B62</f>
        <v>area pilar</v>
      </c>
      <c r="C67" s="428">
        <f>C62</f>
        <v>0.5</v>
      </c>
      <c r="D67" s="428"/>
      <c r="E67" s="428"/>
      <c r="F67" s="428">
        <f>F66</f>
        <v>5</v>
      </c>
      <c r="G67" s="428">
        <f>G62</f>
        <v>2</v>
      </c>
      <c r="H67" s="428"/>
      <c r="I67" s="428"/>
      <c r="J67" s="428"/>
      <c r="K67" s="428"/>
      <c r="L67" s="428">
        <f>L66</f>
        <v>1.041885</v>
      </c>
      <c r="M67" s="428">
        <f>M62</f>
        <v>2</v>
      </c>
      <c r="N67" s="428">
        <f>C67*F67*G67*L67*M67</f>
        <v>10.418849999999999</v>
      </c>
      <c r="O67" s="389"/>
      <c r="P67" s="1462"/>
    </row>
    <row r="68" spans="1:16" s="942" customFormat="1" ht="15.75" customHeight="1">
      <c r="A68" s="451"/>
      <c r="B68" s="389"/>
      <c r="C68" s="428">
        <f>C63</f>
        <v>1.95</v>
      </c>
      <c r="D68" s="428"/>
      <c r="E68" s="428"/>
      <c r="F68" s="428">
        <f>F67</f>
        <v>5</v>
      </c>
      <c r="G68" s="428">
        <f>G63</f>
        <v>1</v>
      </c>
      <c r="H68" s="428"/>
      <c r="I68" s="428"/>
      <c r="J68" s="428"/>
      <c r="K68" s="428"/>
      <c r="L68" s="428">
        <f>L67</f>
        <v>1.041885</v>
      </c>
      <c r="M68" s="428">
        <f>M63</f>
        <v>2</v>
      </c>
      <c r="N68" s="590">
        <f>C68*F68*G68*L68*M68</f>
        <v>20.316757499999998</v>
      </c>
      <c r="O68" s="389"/>
      <c r="P68" s="1462"/>
    </row>
    <row r="69" spans="1:16" s="942" customFormat="1" ht="15.75" customHeight="1">
      <c r="A69" s="451"/>
      <c r="B69" s="389"/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390">
        <f>SUM(N66:N68)</f>
        <v>50.79189375</v>
      </c>
      <c r="O69" s="389" t="s">
        <v>100</v>
      </c>
      <c r="P69" s="1463">
        <f>ROUND((N69),2)</f>
        <v>50.79</v>
      </c>
    </row>
    <row r="70" spans="1:16" s="942" customFormat="1" ht="15.75" customHeight="1">
      <c r="A70" s="451" t="s">
        <v>101</v>
      </c>
      <c r="B70" s="389" t="s">
        <v>428</v>
      </c>
      <c r="C70" s="428"/>
      <c r="D70" s="428"/>
      <c r="E70" s="428"/>
      <c r="F70" s="428"/>
      <c r="G70" s="428"/>
      <c r="H70" s="428"/>
      <c r="I70" s="428"/>
      <c r="J70" s="428"/>
      <c r="K70" s="428"/>
      <c r="L70" s="428"/>
      <c r="M70" s="428"/>
      <c r="N70" s="453"/>
      <c r="O70" s="450"/>
      <c r="P70" s="1462"/>
    </row>
    <row r="71" spans="1:16" s="942" customFormat="1" ht="15.75" customHeight="1">
      <c r="A71" s="451"/>
      <c r="B71" s="682" t="str">
        <f>B66</f>
        <v>sisi samping</v>
      </c>
      <c r="C71" s="428">
        <f>(0.1+0.15)*2</f>
        <v>0.5</v>
      </c>
      <c r="D71" s="428"/>
      <c r="E71" s="428"/>
      <c r="F71" s="428">
        <f>ROUNDDOWN((C66/0.125),0.1)+1</f>
        <v>16</v>
      </c>
      <c r="G71" s="428">
        <f>G66</f>
        <v>1</v>
      </c>
      <c r="H71" s="428"/>
      <c r="I71" s="428">
        <f>0.05*2</f>
        <v>0.1</v>
      </c>
      <c r="J71" s="428"/>
      <c r="K71" s="428"/>
      <c r="L71" s="428">
        <f>8*8*0.006165</f>
        <v>0.39456000000000002</v>
      </c>
      <c r="M71" s="428">
        <f>M66</f>
        <v>2</v>
      </c>
      <c r="N71" s="1468">
        <f>(C71+I71)*F71*G71*L71*M71</f>
        <v>7.5755520000000001</v>
      </c>
      <c r="O71" s="450"/>
      <c r="P71" s="1462"/>
    </row>
    <row r="72" spans="1:16" s="942" customFormat="1" ht="15.75" customHeight="1">
      <c r="A72" s="451"/>
      <c r="B72" s="682" t="str">
        <f>B67</f>
        <v>area pilar</v>
      </c>
      <c r="C72" s="428">
        <f>C71</f>
        <v>0.5</v>
      </c>
      <c r="D72" s="428"/>
      <c r="E72" s="428"/>
      <c r="F72" s="428">
        <f>ROUNDDOWN((C67/0.125),0.1)+1</f>
        <v>5</v>
      </c>
      <c r="G72" s="428">
        <f>G67</f>
        <v>2</v>
      </c>
      <c r="H72" s="428"/>
      <c r="I72" s="428">
        <f>I71</f>
        <v>0.1</v>
      </c>
      <c r="J72" s="428"/>
      <c r="K72" s="428"/>
      <c r="L72" s="428">
        <f>L71</f>
        <v>0.39456000000000002</v>
      </c>
      <c r="M72" s="428">
        <f>M67</f>
        <v>2</v>
      </c>
      <c r="N72" s="1469">
        <f>(C72+I72)*F72*G72*L72*M72</f>
        <v>4.7347200000000003</v>
      </c>
      <c r="O72" s="450"/>
      <c r="P72" s="1462"/>
    </row>
    <row r="73" spans="1:16" s="942" customFormat="1" ht="15.75" customHeight="1">
      <c r="A73" s="451"/>
      <c r="B73" s="389"/>
      <c r="C73" s="428">
        <f>C72</f>
        <v>0.5</v>
      </c>
      <c r="D73" s="428"/>
      <c r="E73" s="428"/>
      <c r="F73" s="428">
        <f>ROUNDDOWN((C68/0.125),0.1)+1</f>
        <v>16</v>
      </c>
      <c r="G73" s="428">
        <f>G68</f>
        <v>1</v>
      </c>
      <c r="H73" s="428"/>
      <c r="I73" s="428">
        <f>I72</f>
        <v>0.1</v>
      </c>
      <c r="J73" s="428"/>
      <c r="K73" s="428"/>
      <c r="L73" s="428">
        <f>L72</f>
        <v>0.39456000000000002</v>
      </c>
      <c r="M73" s="428">
        <f>M68</f>
        <v>2</v>
      </c>
      <c r="N73" s="1470">
        <f>(C73+I73)*F73*G73*L73*M73</f>
        <v>7.5755520000000001</v>
      </c>
      <c r="O73" s="450"/>
      <c r="P73" s="1462"/>
    </row>
    <row r="74" spans="1:16" s="942" customFormat="1" ht="15.75" customHeight="1">
      <c r="A74" s="451"/>
      <c r="B74" s="389"/>
      <c r="C74" s="428"/>
      <c r="D74" s="428"/>
      <c r="E74" s="428"/>
      <c r="F74" s="428"/>
      <c r="G74" s="428"/>
      <c r="H74" s="428"/>
      <c r="I74" s="428"/>
      <c r="J74" s="428"/>
      <c r="K74" s="428"/>
      <c r="L74" s="428"/>
      <c r="M74" s="428"/>
      <c r="N74" s="1471">
        <f>SUM(N71:N73)</f>
        <v>19.885824</v>
      </c>
      <c r="O74" s="389" t="s">
        <v>100</v>
      </c>
      <c r="P74" s="1463">
        <f>ROUND((N74),2)</f>
        <v>19.89</v>
      </c>
    </row>
    <row r="75" spans="1:16" s="942" customFormat="1" ht="15.75" customHeight="1">
      <c r="A75" s="451" t="s">
        <v>121</v>
      </c>
      <c r="B75" s="389" t="s">
        <v>1043</v>
      </c>
      <c r="C75" s="428"/>
      <c r="D75" s="428"/>
      <c r="E75" s="428"/>
      <c r="F75" s="428"/>
      <c r="G75" s="428"/>
      <c r="H75" s="428"/>
      <c r="I75" s="428"/>
      <c r="J75" s="428"/>
      <c r="K75" s="428"/>
      <c r="L75" s="428"/>
      <c r="M75" s="428"/>
      <c r="N75" s="453"/>
      <c r="O75" s="450"/>
      <c r="P75" s="1462"/>
    </row>
    <row r="76" spans="1:16" s="942" customFormat="1" ht="15.75" customHeight="1">
      <c r="A76" s="451"/>
      <c r="B76" s="682" t="str">
        <f>B71</f>
        <v>sisi samping</v>
      </c>
      <c r="C76" s="428">
        <f>C66</f>
        <v>1.925</v>
      </c>
      <c r="D76" s="428">
        <v>0.25</v>
      </c>
      <c r="E76" s="428">
        <v>0.3</v>
      </c>
      <c r="F76" s="428"/>
      <c r="G76" s="428">
        <f>G71</f>
        <v>1</v>
      </c>
      <c r="H76" s="428"/>
      <c r="I76" s="428"/>
      <c r="J76" s="428"/>
      <c r="K76" s="428"/>
      <c r="L76" s="428"/>
      <c r="M76" s="428">
        <f>M71</f>
        <v>2</v>
      </c>
      <c r="N76" s="1468">
        <f>C76*D76*E76*G76*M76</f>
        <v>0.28875000000000001</v>
      </c>
      <c r="O76" s="450"/>
      <c r="P76" s="1462"/>
    </row>
    <row r="77" spans="1:16" s="942" customFormat="1" ht="15.75" customHeight="1">
      <c r="A77" s="451"/>
      <c r="B77" s="682" t="str">
        <f>B72</f>
        <v>area pilar</v>
      </c>
      <c r="C77" s="428">
        <f>C67</f>
        <v>0.5</v>
      </c>
      <c r="D77" s="428">
        <f>D76</f>
        <v>0.25</v>
      </c>
      <c r="E77" s="428">
        <f>E76</f>
        <v>0.3</v>
      </c>
      <c r="F77" s="428"/>
      <c r="G77" s="428">
        <f>G72</f>
        <v>2</v>
      </c>
      <c r="H77" s="428"/>
      <c r="I77" s="428"/>
      <c r="J77" s="428"/>
      <c r="K77" s="428"/>
      <c r="L77" s="428"/>
      <c r="M77" s="428">
        <f>M72</f>
        <v>2</v>
      </c>
      <c r="N77" s="1469">
        <f>C77*D77*E77*G77*M77</f>
        <v>0.15</v>
      </c>
      <c r="O77" s="450"/>
      <c r="P77" s="1462"/>
    </row>
    <row r="78" spans="1:16" s="942" customFormat="1" ht="15.75" customHeight="1">
      <c r="A78" s="451"/>
      <c r="B78" s="389"/>
      <c r="C78" s="428">
        <f>C68</f>
        <v>1.95</v>
      </c>
      <c r="D78" s="428">
        <f>D77</f>
        <v>0.25</v>
      </c>
      <c r="E78" s="428">
        <f>E77</f>
        <v>0.3</v>
      </c>
      <c r="F78" s="428"/>
      <c r="G78" s="428">
        <f>G73</f>
        <v>1</v>
      </c>
      <c r="H78" s="428"/>
      <c r="I78" s="428"/>
      <c r="J78" s="428"/>
      <c r="K78" s="428"/>
      <c r="L78" s="428"/>
      <c r="M78" s="428">
        <f>M73</f>
        <v>2</v>
      </c>
      <c r="N78" s="1470">
        <f>C78*D78*E78*G78*M78</f>
        <v>0.29249999999999998</v>
      </c>
      <c r="O78" s="450"/>
      <c r="P78" s="1462"/>
    </row>
    <row r="79" spans="1:16" s="942" customFormat="1" ht="15.75" customHeight="1">
      <c r="A79" s="451"/>
      <c r="B79" s="389"/>
      <c r="C79" s="428"/>
      <c r="D79" s="428"/>
      <c r="E79" s="428"/>
      <c r="F79" s="428"/>
      <c r="G79" s="428"/>
      <c r="H79" s="428"/>
      <c r="I79" s="428"/>
      <c r="J79" s="428"/>
      <c r="K79" s="428"/>
      <c r="L79" s="428"/>
      <c r="M79" s="428"/>
      <c r="N79" s="1471">
        <f>SUM(N76:N78)</f>
        <v>0.73124999999999996</v>
      </c>
      <c r="O79" s="450" t="s">
        <v>103</v>
      </c>
      <c r="P79" s="1463">
        <f>ROUND((N79),2)</f>
        <v>0.73</v>
      </c>
    </row>
    <row r="80" spans="1:16" s="942" customFormat="1" ht="15.75" customHeight="1">
      <c r="A80" s="394">
        <f>A59+1</f>
        <v>6</v>
      </c>
      <c r="B80" s="389" t="s">
        <v>1680</v>
      </c>
      <c r="C80" s="428"/>
      <c r="D80" s="428"/>
      <c r="E80" s="428"/>
      <c r="F80" s="428"/>
      <c r="G80" s="428"/>
      <c r="H80" s="428"/>
      <c r="I80" s="428"/>
      <c r="J80" s="428"/>
      <c r="K80" s="428"/>
      <c r="L80" s="428"/>
      <c r="M80" s="428"/>
      <c r="N80" s="453"/>
      <c r="O80" s="450"/>
      <c r="P80" s="1462"/>
    </row>
    <row r="81" spans="1:16" s="942" customFormat="1" ht="15.75" customHeight="1">
      <c r="A81" s="451" t="s">
        <v>95</v>
      </c>
      <c r="B81" s="389" t="s">
        <v>1678</v>
      </c>
      <c r="C81" s="428"/>
      <c r="D81" s="428"/>
      <c r="E81" s="428"/>
      <c r="F81" s="428"/>
      <c r="G81" s="428"/>
      <c r="H81" s="428"/>
      <c r="I81" s="428"/>
      <c r="J81" s="428"/>
      <c r="K81" s="428"/>
      <c r="L81" s="428"/>
      <c r="M81" s="428"/>
      <c r="N81" s="453"/>
      <c r="O81" s="450"/>
      <c r="P81" s="1462"/>
    </row>
    <row r="82" spans="1:16" s="942" customFormat="1" ht="15.75" customHeight="1">
      <c r="A82" s="451"/>
      <c r="B82" s="682" t="str">
        <f>B76</f>
        <v>sisi samping</v>
      </c>
      <c r="C82" s="936">
        <v>1.925</v>
      </c>
      <c r="D82" s="428">
        <v>0.5</v>
      </c>
      <c r="E82" s="428">
        <v>0.05</v>
      </c>
      <c r="F82" s="428"/>
      <c r="G82" s="428"/>
      <c r="H82" s="428"/>
      <c r="I82" s="428"/>
      <c r="J82" s="428"/>
      <c r="K82" s="428"/>
      <c r="L82" s="428"/>
      <c r="M82" s="428">
        <v>2</v>
      </c>
      <c r="N82" s="1472">
        <f>C82*D82*E82*M82</f>
        <v>9.6250000000000002E-2</v>
      </c>
      <c r="O82" s="450"/>
      <c r="P82" s="1462"/>
    </row>
    <row r="83" spans="1:16" s="942" customFormat="1" ht="15.75" customHeight="1">
      <c r="A83" s="451"/>
      <c r="B83" s="682" t="str">
        <f>B77</f>
        <v>area pilar</v>
      </c>
      <c r="C83" s="428">
        <v>1.95</v>
      </c>
      <c r="D83" s="428">
        <v>0.95</v>
      </c>
      <c r="E83" s="428">
        <f>E82</f>
        <v>0.05</v>
      </c>
      <c r="F83" s="428"/>
      <c r="G83" s="428"/>
      <c r="H83" s="428"/>
      <c r="I83" s="428"/>
      <c r="J83" s="428"/>
      <c r="K83" s="428"/>
      <c r="L83" s="428"/>
      <c r="M83" s="428">
        <f>M82</f>
        <v>2</v>
      </c>
      <c r="N83" s="1473">
        <f>C83*D83*E83*M83</f>
        <v>0.18525</v>
      </c>
      <c r="O83" s="450"/>
      <c r="P83" s="1462"/>
    </row>
    <row r="84" spans="1:16" s="942" customFormat="1" ht="15.75" customHeight="1">
      <c r="A84" s="451"/>
      <c r="B84" s="389"/>
      <c r="C84" s="428"/>
      <c r="D84" s="428"/>
      <c r="E84" s="428"/>
      <c r="F84" s="428"/>
      <c r="G84" s="428"/>
      <c r="H84" s="428"/>
      <c r="I84" s="428"/>
      <c r="J84" s="428"/>
      <c r="K84" s="428"/>
      <c r="L84" s="428"/>
      <c r="M84" s="428"/>
      <c r="N84" s="1474">
        <f>SUM(N82:N83)</f>
        <v>0.28149999999999997</v>
      </c>
      <c r="O84" s="450" t="s">
        <v>103</v>
      </c>
      <c r="P84" s="1463">
        <f>ROUND((N84),2)</f>
        <v>0.28000000000000003</v>
      </c>
    </row>
    <row r="85" spans="1:16" s="942" customFormat="1" ht="15.75" customHeight="1">
      <c r="A85" s="451" t="s">
        <v>98</v>
      </c>
      <c r="B85" s="389" t="s">
        <v>496</v>
      </c>
      <c r="C85" s="428"/>
      <c r="D85" s="428"/>
      <c r="E85" s="428"/>
      <c r="F85" s="428"/>
      <c r="G85" s="428"/>
      <c r="H85" s="428"/>
      <c r="I85" s="428"/>
      <c r="J85" s="428"/>
      <c r="K85" s="428"/>
      <c r="L85" s="428"/>
      <c r="M85" s="428"/>
      <c r="N85" s="1475"/>
      <c r="O85" s="450"/>
      <c r="P85" s="1462"/>
    </row>
    <row r="86" spans="1:16" s="942" customFormat="1" ht="15.75" customHeight="1">
      <c r="A86" s="451"/>
      <c r="B86" s="682" t="str">
        <f t="shared" ref="B86:D87" si="0">B82</f>
        <v>sisi samping</v>
      </c>
      <c r="C86" s="936">
        <f t="shared" si="0"/>
        <v>1.925</v>
      </c>
      <c r="D86" s="936">
        <f t="shared" si="0"/>
        <v>0.5</v>
      </c>
      <c r="E86" s="428">
        <v>0.05</v>
      </c>
      <c r="F86" s="428"/>
      <c r="G86" s="428"/>
      <c r="H86" s="428"/>
      <c r="I86" s="428"/>
      <c r="J86" s="428"/>
      <c r="K86" s="428"/>
      <c r="L86" s="428"/>
      <c r="M86" s="428">
        <f>M82</f>
        <v>2</v>
      </c>
      <c r="N86" s="1472">
        <f>C86*D86*E86*M86</f>
        <v>9.6250000000000002E-2</v>
      </c>
      <c r="O86" s="450"/>
      <c r="P86" s="1462"/>
    </row>
    <row r="87" spans="1:16" s="942" customFormat="1" ht="15.75" customHeight="1">
      <c r="A87" s="451"/>
      <c r="B87" s="682" t="str">
        <f t="shared" si="0"/>
        <v>area pilar</v>
      </c>
      <c r="C87" s="322">
        <f t="shared" si="0"/>
        <v>1.95</v>
      </c>
      <c r="D87" s="936">
        <f t="shared" si="0"/>
        <v>0.95</v>
      </c>
      <c r="E87" s="428">
        <f>E86</f>
        <v>0.05</v>
      </c>
      <c r="F87" s="428"/>
      <c r="G87" s="428"/>
      <c r="H87" s="428"/>
      <c r="I87" s="428"/>
      <c r="J87" s="428"/>
      <c r="K87" s="428"/>
      <c r="L87" s="428"/>
      <c r="M87" s="428">
        <f>M83</f>
        <v>2</v>
      </c>
      <c r="N87" s="1473">
        <f>C87*D87*E87*M87</f>
        <v>0.18525</v>
      </c>
      <c r="O87" s="450"/>
      <c r="P87" s="1462"/>
    </row>
    <row r="88" spans="1:16" s="942" customFormat="1" ht="15.75" customHeight="1">
      <c r="A88" s="451"/>
      <c r="B88" s="389"/>
      <c r="C88" s="428"/>
      <c r="D88" s="428"/>
      <c r="E88" s="428"/>
      <c r="F88" s="428"/>
      <c r="G88" s="428"/>
      <c r="H88" s="428"/>
      <c r="I88" s="428"/>
      <c r="J88" s="428"/>
      <c r="K88" s="428"/>
      <c r="L88" s="428"/>
      <c r="M88" s="428"/>
      <c r="N88" s="1476">
        <f>SUM(N86:N87)</f>
        <v>0.28149999999999997</v>
      </c>
      <c r="O88" s="450" t="s">
        <v>103</v>
      </c>
      <c r="P88" s="1463">
        <f>ROUND((N88),2)</f>
        <v>0.28000000000000003</v>
      </c>
    </row>
    <row r="89" spans="1:16" s="942" customFormat="1" ht="15.75" customHeight="1">
      <c r="A89" s="451" t="s">
        <v>101</v>
      </c>
      <c r="B89" s="389" t="s">
        <v>791</v>
      </c>
      <c r="C89" s="428"/>
      <c r="D89" s="428"/>
      <c r="E89" s="428"/>
      <c r="F89" s="428"/>
      <c r="G89" s="428"/>
      <c r="H89" s="428"/>
      <c r="I89" s="428"/>
      <c r="J89" s="428"/>
      <c r="K89" s="428"/>
      <c r="L89" s="428"/>
      <c r="M89" s="428"/>
      <c r="N89" s="1475"/>
      <c r="O89" s="450"/>
      <c r="P89" s="1462"/>
    </row>
    <row r="90" spans="1:16" s="942" customFormat="1" ht="15.75" customHeight="1">
      <c r="A90" s="451"/>
      <c r="B90" s="926" t="str">
        <f>B86</f>
        <v>sisi samping</v>
      </c>
      <c r="C90" s="1064" t="s">
        <v>1681</v>
      </c>
      <c r="D90" s="428"/>
      <c r="E90" s="428"/>
      <c r="F90" s="428"/>
      <c r="G90" s="428"/>
      <c r="H90" s="428"/>
      <c r="I90" s="428"/>
      <c r="J90" s="428"/>
      <c r="K90" s="428"/>
      <c r="L90" s="428"/>
      <c r="M90" s="428"/>
      <c r="N90" s="1475"/>
      <c r="O90" s="450"/>
      <c r="P90" s="1462"/>
    </row>
    <row r="91" spans="1:16" s="942" customFormat="1" ht="15.75" customHeight="1">
      <c r="A91" s="451"/>
      <c r="B91" s="682" t="s">
        <v>226</v>
      </c>
      <c r="C91" s="1477">
        <f>2.125-0.08</f>
        <v>2.0449999999999999</v>
      </c>
      <c r="D91" s="428"/>
      <c r="E91" s="428"/>
      <c r="F91" s="428">
        <f>ROUNDDOWN((C92/0.15),0.1)+1</f>
        <v>6</v>
      </c>
      <c r="G91" s="428"/>
      <c r="H91" s="428"/>
      <c r="I91" s="428"/>
      <c r="J91" s="428"/>
      <c r="K91" s="428"/>
      <c r="L91" s="428">
        <f>10*10*0.006165</f>
        <v>0.61650000000000005</v>
      </c>
      <c r="M91" s="428">
        <f>M86</f>
        <v>2</v>
      </c>
      <c r="N91" s="1475">
        <f>C91*F91*L91*M91</f>
        <v>15.128910000000001</v>
      </c>
      <c r="O91" s="450"/>
      <c r="P91" s="1462"/>
    </row>
    <row r="92" spans="1:16" s="942" customFormat="1" ht="15.75" customHeight="1">
      <c r="A92" s="451"/>
      <c r="B92" s="682" t="s">
        <v>227</v>
      </c>
      <c r="C92" s="1477">
        <f>0.95-0.08</f>
        <v>0.87</v>
      </c>
      <c r="D92" s="428"/>
      <c r="E92" s="428"/>
      <c r="F92" s="428">
        <f>ROUNDDOWN((C91/0.15),0.1)+1</f>
        <v>14</v>
      </c>
      <c r="G92" s="428"/>
      <c r="H92" s="428"/>
      <c r="I92" s="428"/>
      <c r="J92" s="428"/>
      <c r="K92" s="428"/>
      <c r="L92" s="428">
        <f>L91</f>
        <v>0.61650000000000005</v>
      </c>
      <c r="M92" s="428">
        <f>M91</f>
        <v>2</v>
      </c>
      <c r="N92" s="1475">
        <f>C92*F92*L92*M92</f>
        <v>15.017940000000001</v>
      </c>
      <c r="O92" s="450"/>
      <c r="P92" s="1462"/>
    </row>
    <row r="93" spans="1:16" s="942" customFormat="1" ht="15.75" customHeight="1">
      <c r="A93" s="451"/>
      <c r="B93" s="926" t="str">
        <f>B87</f>
        <v>area pilar</v>
      </c>
      <c r="C93" s="1477"/>
      <c r="D93" s="428"/>
      <c r="E93" s="428"/>
      <c r="F93" s="428"/>
      <c r="G93" s="428"/>
      <c r="H93" s="428"/>
      <c r="I93" s="428"/>
      <c r="J93" s="428"/>
      <c r="K93" s="428"/>
      <c r="L93" s="428"/>
      <c r="M93" s="428"/>
      <c r="N93" s="1475"/>
      <c r="O93" s="450"/>
      <c r="P93" s="1462"/>
    </row>
    <row r="94" spans="1:16" s="942" customFormat="1" ht="15.75" customHeight="1">
      <c r="A94" s="451"/>
      <c r="B94" s="682" t="s">
        <v>226</v>
      </c>
      <c r="C94" s="1477">
        <f>C86-0.08</f>
        <v>1.845</v>
      </c>
      <c r="D94" s="428"/>
      <c r="E94" s="428"/>
      <c r="F94" s="428">
        <f>ROUNDDOWN((C95/0.15),0.1)+1</f>
        <v>3</v>
      </c>
      <c r="G94" s="428"/>
      <c r="H94" s="428"/>
      <c r="I94" s="428"/>
      <c r="J94" s="428"/>
      <c r="K94" s="428"/>
      <c r="L94" s="428">
        <f>L92</f>
        <v>0.61650000000000005</v>
      </c>
      <c r="M94" s="428">
        <f>M87</f>
        <v>2</v>
      </c>
      <c r="N94" s="1475">
        <f>C94*F94*L94*M94</f>
        <v>6.8246550000000008</v>
      </c>
      <c r="O94" s="450"/>
      <c r="P94" s="1462"/>
    </row>
    <row r="95" spans="1:16" s="942" customFormat="1" ht="15.75" customHeight="1">
      <c r="A95" s="451"/>
      <c r="B95" s="682" t="s">
        <v>227</v>
      </c>
      <c r="C95" s="1477">
        <f>0.5-0.08</f>
        <v>0.42</v>
      </c>
      <c r="D95" s="428"/>
      <c r="E95" s="428"/>
      <c r="F95" s="428">
        <f>ROUNDDOWN((C94/0.15),0.1)+1</f>
        <v>13</v>
      </c>
      <c r="G95" s="428"/>
      <c r="H95" s="428"/>
      <c r="I95" s="428"/>
      <c r="J95" s="428"/>
      <c r="K95" s="428"/>
      <c r="L95" s="428">
        <f>L94</f>
        <v>0.61650000000000005</v>
      </c>
      <c r="M95" s="428">
        <f>M94</f>
        <v>2</v>
      </c>
      <c r="N95" s="912">
        <f>C95*F95*L95*M95</f>
        <v>6.7321800000000005</v>
      </c>
      <c r="O95" s="450"/>
      <c r="P95" s="1462"/>
    </row>
    <row r="96" spans="1:16" s="942" customFormat="1" ht="15.75" customHeight="1">
      <c r="A96" s="451"/>
      <c r="B96" s="389"/>
      <c r="C96" s="428"/>
      <c r="D96" s="428"/>
      <c r="E96" s="428"/>
      <c r="F96" s="428"/>
      <c r="G96" s="428"/>
      <c r="H96" s="428"/>
      <c r="I96" s="428"/>
      <c r="J96" s="428"/>
      <c r="K96" s="428"/>
      <c r="L96" s="428"/>
      <c r="M96" s="428"/>
      <c r="N96" s="1476">
        <f>SUM(N91:N95)</f>
        <v>43.703685</v>
      </c>
      <c r="O96" s="450" t="s">
        <v>100</v>
      </c>
      <c r="P96" s="1463">
        <f>ROUND((N96),2)</f>
        <v>43.7</v>
      </c>
    </row>
    <row r="97" spans="1:16" s="942" customFormat="1" ht="15.75" customHeight="1">
      <c r="A97" s="451" t="s">
        <v>121</v>
      </c>
      <c r="B97" s="389" t="s">
        <v>1043</v>
      </c>
      <c r="C97" s="428"/>
      <c r="D97" s="428"/>
      <c r="E97" s="428"/>
      <c r="F97" s="428"/>
      <c r="G97" s="428"/>
      <c r="H97" s="428"/>
      <c r="I97" s="428"/>
      <c r="J97" s="428"/>
      <c r="K97" s="428"/>
      <c r="L97" s="428"/>
      <c r="M97" s="428"/>
      <c r="N97" s="1475"/>
      <c r="O97" s="450"/>
      <c r="P97" s="1462"/>
    </row>
    <row r="98" spans="1:16" s="942" customFormat="1" ht="15.75" customHeight="1">
      <c r="A98" s="451"/>
      <c r="B98" s="682" t="str">
        <f>B86</f>
        <v>sisi samping</v>
      </c>
      <c r="C98" s="428">
        <f>C82</f>
        <v>1.925</v>
      </c>
      <c r="D98" s="428">
        <f>D82</f>
        <v>0.5</v>
      </c>
      <c r="E98" s="428">
        <v>0.1</v>
      </c>
      <c r="F98" s="428"/>
      <c r="G98" s="428"/>
      <c r="H98" s="428"/>
      <c r="I98" s="428"/>
      <c r="J98" s="428"/>
      <c r="K98" s="428"/>
      <c r="L98" s="428"/>
      <c r="M98" s="428">
        <f>M92</f>
        <v>2</v>
      </c>
      <c r="N98" s="1475">
        <f>C98*D98*E98*M98</f>
        <v>0.1925</v>
      </c>
      <c r="O98" s="450"/>
      <c r="P98" s="1462"/>
    </row>
    <row r="99" spans="1:16" s="942" customFormat="1" ht="15.75" customHeight="1">
      <c r="A99" s="451"/>
      <c r="B99" s="682" t="str">
        <f>B87</f>
        <v>area pilar</v>
      </c>
      <c r="C99" s="428">
        <f>C83</f>
        <v>1.95</v>
      </c>
      <c r="D99" s="428">
        <f>D83</f>
        <v>0.95</v>
      </c>
      <c r="E99" s="428">
        <f>E98</f>
        <v>0.1</v>
      </c>
      <c r="F99" s="428"/>
      <c r="G99" s="428"/>
      <c r="H99" s="428"/>
      <c r="I99" s="428"/>
      <c r="J99" s="428"/>
      <c r="K99" s="428"/>
      <c r="L99" s="428"/>
      <c r="M99" s="428">
        <f>M95</f>
        <v>2</v>
      </c>
      <c r="N99" s="912">
        <f>C99*D99*E99*M99</f>
        <v>0.3705</v>
      </c>
      <c r="O99" s="450"/>
      <c r="P99" s="1462"/>
    </row>
    <row r="100" spans="1:16" s="942" customFormat="1" ht="15.75" customHeight="1">
      <c r="A100" s="451"/>
      <c r="B100" s="389"/>
      <c r="C100" s="428"/>
      <c r="D100" s="428"/>
      <c r="E100" s="428"/>
      <c r="F100" s="428"/>
      <c r="G100" s="428"/>
      <c r="H100" s="428"/>
      <c r="I100" s="428"/>
      <c r="J100" s="428"/>
      <c r="K100" s="428"/>
      <c r="L100" s="428"/>
      <c r="M100" s="428"/>
      <c r="N100" s="1476">
        <f>SUM(N98:N99)</f>
        <v>0.56299999999999994</v>
      </c>
      <c r="O100" s="450" t="s">
        <v>103</v>
      </c>
      <c r="P100" s="1463">
        <f>ROUND((N100),2)</f>
        <v>0.56000000000000005</v>
      </c>
    </row>
    <row r="101" spans="1:16" s="942" customFormat="1" ht="27.75" customHeight="1">
      <c r="A101" s="394">
        <f>A80+1</f>
        <v>7</v>
      </c>
      <c r="B101" s="872" t="s">
        <v>1682</v>
      </c>
      <c r="C101" s="428" t="s">
        <v>1683</v>
      </c>
      <c r="D101" s="428">
        <f>ROUNDUP((13/1.8),0.1)</f>
        <v>8</v>
      </c>
      <c r="E101" s="428" t="s">
        <v>1684</v>
      </c>
      <c r="F101" s="428" t="s">
        <v>1685</v>
      </c>
      <c r="G101" s="428"/>
      <c r="H101" s="428" t="s">
        <v>1686</v>
      </c>
      <c r="I101" s="428"/>
      <c r="J101" s="428"/>
      <c r="K101" s="428"/>
      <c r="L101" s="428"/>
      <c r="M101" s="428"/>
      <c r="N101" s="1476"/>
      <c r="O101" s="450"/>
      <c r="P101" s="1462"/>
    </row>
    <row r="102" spans="1:16" s="942" customFormat="1" ht="15.75" customHeight="1">
      <c r="A102" s="451"/>
      <c r="B102" s="389"/>
      <c r="C102" s="428"/>
      <c r="D102" s="428"/>
      <c r="E102" s="428"/>
      <c r="F102" s="428">
        <f>D101*1.8</f>
        <v>14.4</v>
      </c>
      <c r="G102" s="428"/>
      <c r="H102" s="428">
        <v>4</v>
      </c>
      <c r="I102" s="428"/>
      <c r="J102" s="428"/>
      <c r="K102" s="428"/>
      <c r="L102" s="428"/>
      <c r="M102" s="428"/>
      <c r="N102" s="1476">
        <f>F102*H102</f>
        <v>57.6</v>
      </c>
      <c r="O102" s="450" t="s">
        <v>89</v>
      </c>
      <c r="P102" s="1463">
        <f>ROUND((N102),2)</f>
        <v>57.6</v>
      </c>
    </row>
    <row r="103" spans="1:16" s="942" customFormat="1" ht="15.75" customHeight="1">
      <c r="A103" s="394">
        <f>A101+1</f>
        <v>8</v>
      </c>
      <c r="B103" s="450" t="s">
        <v>416</v>
      </c>
      <c r="C103" s="428"/>
      <c r="D103" s="428"/>
      <c r="E103" s="428"/>
      <c r="F103" s="428"/>
      <c r="G103" s="428"/>
      <c r="H103" s="428"/>
      <c r="I103" s="428"/>
      <c r="J103" s="428"/>
      <c r="K103" s="428"/>
      <c r="L103" s="428"/>
      <c r="M103" s="428"/>
      <c r="N103" s="1475"/>
      <c r="O103" s="450"/>
      <c r="P103" s="1462"/>
    </row>
    <row r="104" spans="1:16" s="942" customFormat="1" ht="15.75" customHeight="1">
      <c r="A104" s="451" t="s">
        <v>95</v>
      </c>
      <c r="B104" s="389" t="s">
        <v>417</v>
      </c>
      <c r="C104" s="428"/>
      <c r="D104" s="428">
        <v>0.25</v>
      </c>
      <c r="E104" s="428">
        <v>1.2</v>
      </c>
      <c r="F104" s="428">
        <v>4</v>
      </c>
      <c r="G104" s="428"/>
      <c r="H104" s="428">
        <v>4</v>
      </c>
      <c r="I104" s="428"/>
      <c r="J104" s="428"/>
      <c r="K104" s="428"/>
      <c r="L104" s="428"/>
      <c r="M104" s="428">
        <v>2</v>
      </c>
      <c r="N104" s="1475">
        <f>D104*E104*F104*H104*M104</f>
        <v>9.6</v>
      </c>
      <c r="O104" s="450" t="s">
        <v>89</v>
      </c>
      <c r="P104" s="1463">
        <f>ROUND((N104),2)</f>
        <v>9.6</v>
      </c>
    </row>
    <row r="105" spans="1:16" s="942" customFormat="1" ht="15.75" customHeight="1">
      <c r="A105" s="451" t="s">
        <v>98</v>
      </c>
      <c r="B105" s="389" t="s">
        <v>1042</v>
      </c>
      <c r="C105" s="428"/>
      <c r="D105" s="428"/>
      <c r="E105" s="428">
        <f>E104</f>
        <v>1.2</v>
      </c>
      <c r="F105" s="428">
        <v>4</v>
      </c>
      <c r="G105" s="428"/>
      <c r="H105" s="428">
        <f>H104</f>
        <v>4</v>
      </c>
      <c r="I105" s="428"/>
      <c r="J105" s="428">
        <v>0.3</v>
      </c>
      <c r="K105" s="428"/>
      <c r="L105" s="428">
        <f>13*13*0.006165</f>
        <v>1.041885</v>
      </c>
      <c r="M105" s="428">
        <f>M104</f>
        <v>2</v>
      </c>
      <c r="N105" s="1475">
        <f>(E105+J105)*F105*H105*L105*M105</f>
        <v>50.010480000000001</v>
      </c>
      <c r="O105" s="450" t="s">
        <v>100</v>
      </c>
      <c r="P105" s="1463">
        <f>ROUND((N105),2)</f>
        <v>50.01</v>
      </c>
    </row>
    <row r="106" spans="1:16" s="942" customFormat="1" ht="15.75" customHeight="1">
      <c r="A106" s="451" t="s">
        <v>101</v>
      </c>
      <c r="B106" s="389" t="s">
        <v>428</v>
      </c>
      <c r="C106" s="428">
        <f>0.12*4</f>
        <v>0.48</v>
      </c>
      <c r="D106" s="428"/>
      <c r="E106" s="428"/>
      <c r="F106" s="428">
        <f>ROUNDDOWN((E105/0.125),0.1)+1</f>
        <v>10</v>
      </c>
      <c r="G106" s="428"/>
      <c r="H106" s="428">
        <f>H105</f>
        <v>4</v>
      </c>
      <c r="I106" s="428">
        <f>0.05*2</f>
        <v>0.1</v>
      </c>
      <c r="J106" s="428"/>
      <c r="K106" s="428"/>
      <c r="L106" s="428">
        <f>8*8*0.006165</f>
        <v>0.39456000000000002</v>
      </c>
      <c r="M106" s="428">
        <f>M105</f>
        <v>2</v>
      </c>
      <c r="N106" s="1475">
        <f>(C106+I106)*F106*H106*L106*M106</f>
        <v>18.307584000000002</v>
      </c>
      <c r="O106" s="450" t="s">
        <v>100</v>
      </c>
      <c r="P106" s="1463">
        <f>ROUND((N106),2)</f>
        <v>18.309999999999999</v>
      </c>
    </row>
    <row r="107" spans="1:16" s="942" customFormat="1" ht="15.75" customHeight="1">
      <c r="A107" s="451" t="s">
        <v>121</v>
      </c>
      <c r="B107" s="389" t="s">
        <v>1043</v>
      </c>
      <c r="C107" s="428">
        <v>0.25</v>
      </c>
      <c r="D107" s="428">
        <v>0.25</v>
      </c>
      <c r="E107" s="428">
        <f>E105</f>
        <v>1.2</v>
      </c>
      <c r="F107" s="428"/>
      <c r="G107" s="428"/>
      <c r="H107" s="428">
        <f>H106</f>
        <v>4</v>
      </c>
      <c r="I107" s="428"/>
      <c r="J107" s="428"/>
      <c r="K107" s="428"/>
      <c r="L107" s="428"/>
      <c r="M107" s="428">
        <f>M106</f>
        <v>2</v>
      </c>
      <c r="N107" s="1475">
        <f>C107*D107*E107*H107*M107</f>
        <v>0.6</v>
      </c>
      <c r="O107" s="450" t="s">
        <v>103</v>
      </c>
      <c r="P107" s="1463">
        <f>ROUND((N107),2)</f>
        <v>0.6</v>
      </c>
    </row>
    <row r="108" spans="1:16" s="942" customFormat="1" ht="15.75" customHeight="1">
      <c r="A108" s="394">
        <f>A103+1</f>
        <v>9</v>
      </c>
      <c r="B108" s="450" t="s">
        <v>421</v>
      </c>
      <c r="C108" s="428"/>
      <c r="D108" s="428"/>
      <c r="E108" s="428"/>
      <c r="F108" s="428"/>
      <c r="G108" s="428"/>
      <c r="H108" s="428"/>
      <c r="I108" s="428"/>
      <c r="J108" s="428"/>
      <c r="K108" s="428"/>
      <c r="L108" s="428"/>
      <c r="M108" s="428"/>
      <c r="N108" s="1475"/>
      <c r="O108" s="450"/>
      <c r="P108" s="1462"/>
    </row>
    <row r="109" spans="1:16" s="942" customFormat="1" ht="15.75" customHeight="1">
      <c r="A109" s="451" t="s">
        <v>95</v>
      </c>
      <c r="B109" s="389" t="s">
        <v>417</v>
      </c>
      <c r="C109" s="428"/>
      <c r="D109" s="428">
        <v>0.25</v>
      </c>
      <c r="E109" s="428">
        <f>8.825-4.1</f>
        <v>4.7249999999999996</v>
      </c>
      <c r="F109" s="428">
        <v>4</v>
      </c>
      <c r="G109" s="428"/>
      <c r="H109" s="428">
        <v>4</v>
      </c>
      <c r="I109" s="428"/>
      <c r="J109" s="428"/>
      <c r="K109" s="428"/>
      <c r="L109" s="428"/>
      <c r="M109" s="428">
        <v>2</v>
      </c>
      <c r="N109" s="1475">
        <f>D109*E109*F109*H109*M109</f>
        <v>37.799999999999997</v>
      </c>
      <c r="O109" s="450" t="s">
        <v>89</v>
      </c>
      <c r="P109" s="1463">
        <f>ROUND((N109),2)</f>
        <v>37.799999999999997</v>
      </c>
    </row>
    <row r="110" spans="1:16" s="942" customFormat="1" ht="15.75" customHeight="1">
      <c r="A110" s="451" t="s">
        <v>98</v>
      </c>
      <c r="B110" s="389" t="s">
        <v>1042</v>
      </c>
      <c r="C110" s="428"/>
      <c r="D110" s="428"/>
      <c r="E110" s="428">
        <f>E109</f>
        <v>4.7249999999999996</v>
      </c>
      <c r="F110" s="428">
        <v>4</v>
      </c>
      <c r="G110" s="428"/>
      <c r="H110" s="428">
        <f>H109</f>
        <v>4</v>
      </c>
      <c r="I110" s="428"/>
      <c r="J110" s="428">
        <v>0.3</v>
      </c>
      <c r="K110" s="428"/>
      <c r="L110" s="428">
        <f>13*13*0.006165</f>
        <v>1.041885</v>
      </c>
      <c r="M110" s="428">
        <f>M109</f>
        <v>2</v>
      </c>
      <c r="N110" s="1475">
        <f>(E110+J110)*F110*H110*L110*M110</f>
        <v>167.53510799999998</v>
      </c>
      <c r="O110" s="450" t="s">
        <v>100</v>
      </c>
      <c r="P110" s="1463">
        <f>ROUND((N110),2)</f>
        <v>167.54</v>
      </c>
    </row>
    <row r="111" spans="1:16" s="942" customFormat="1" ht="15.75" customHeight="1">
      <c r="A111" s="451" t="s">
        <v>101</v>
      </c>
      <c r="B111" s="389" t="s">
        <v>428</v>
      </c>
      <c r="C111" s="428">
        <f>0.12*4</f>
        <v>0.48</v>
      </c>
      <c r="D111" s="428"/>
      <c r="E111" s="428"/>
      <c r="F111" s="428">
        <f>ROUNDDOWN((E110/0.125),0.1)+1</f>
        <v>38</v>
      </c>
      <c r="G111" s="428"/>
      <c r="H111" s="428">
        <f>H110</f>
        <v>4</v>
      </c>
      <c r="I111" s="428">
        <f>0.05*2</f>
        <v>0.1</v>
      </c>
      <c r="J111" s="428"/>
      <c r="K111" s="428"/>
      <c r="L111" s="428">
        <f>8*8*0.006165</f>
        <v>0.39456000000000002</v>
      </c>
      <c r="M111" s="428">
        <f>M110</f>
        <v>2</v>
      </c>
      <c r="N111" s="1475">
        <f>(C111+I111)*F111*H111*L111*M111</f>
        <v>69.568819200000007</v>
      </c>
      <c r="O111" s="450" t="s">
        <v>100</v>
      </c>
      <c r="P111" s="1463">
        <f>ROUND((N111),2)</f>
        <v>69.569999999999993</v>
      </c>
    </row>
    <row r="112" spans="1:16" s="942" customFormat="1" ht="15.75" customHeight="1">
      <c r="A112" s="451" t="s">
        <v>121</v>
      </c>
      <c r="B112" s="389" t="s">
        <v>1043</v>
      </c>
      <c r="C112" s="428">
        <v>0.25</v>
      </c>
      <c r="D112" s="428">
        <v>0.25</v>
      </c>
      <c r="E112" s="428">
        <f>E110</f>
        <v>4.7249999999999996</v>
      </c>
      <c r="F112" s="428"/>
      <c r="G112" s="428"/>
      <c r="H112" s="428">
        <f>H111</f>
        <v>4</v>
      </c>
      <c r="I112" s="428"/>
      <c r="J112" s="428"/>
      <c r="K112" s="428"/>
      <c r="L112" s="428"/>
      <c r="M112" s="428">
        <f>M111</f>
        <v>2</v>
      </c>
      <c r="N112" s="1475">
        <f>C112*D112*E112*H112*M112</f>
        <v>2.3624999999999998</v>
      </c>
      <c r="O112" s="450" t="s">
        <v>103</v>
      </c>
      <c r="P112" s="1463">
        <f>ROUND((N112),2)</f>
        <v>2.36</v>
      </c>
    </row>
    <row r="113" spans="1:16" s="942" customFormat="1" ht="15.75" customHeight="1">
      <c r="A113" s="394">
        <f>A108+1</f>
        <v>10</v>
      </c>
      <c r="B113" s="389" t="s">
        <v>1687</v>
      </c>
      <c r="C113" s="428"/>
      <c r="D113" s="428"/>
      <c r="E113" s="428"/>
      <c r="F113" s="428"/>
      <c r="G113" s="428"/>
      <c r="H113" s="428"/>
      <c r="I113" s="428"/>
      <c r="J113" s="428"/>
      <c r="K113" s="428"/>
      <c r="L113" s="428"/>
      <c r="M113" s="428"/>
      <c r="N113" s="1475"/>
      <c r="O113" s="450"/>
      <c r="P113" s="1462"/>
    </row>
    <row r="114" spans="1:16" s="942" customFormat="1" ht="15.75" customHeight="1">
      <c r="A114" s="451" t="s">
        <v>95</v>
      </c>
      <c r="B114" s="389" t="s">
        <v>211</v>
      </c>
      <c r="C114" s="428"/>
      <c r="D114" s="428"/>
      <c r="E114" s="428"/>
      <c r="F114" s="428"/>
      <c r="G114" s="428"/>
      <c r="H114" s="428"/>
      <c r="I114" s="428"/>
      <c r="J114" s="428"/>
      <c r="K114" s="428"/>
      <c r="L114" s="428"/>
      <c r="M114" s="428"/>
      <c r="N114" s="1475"/>
      <c r="O114" s="450"/>
      <c r="P114" s="1462"/>
    </row>
    <row r="115" spans="1:16" s="942" customFormat="1" ht="15.75" customHeight="1">
      <c r="A115" s="451"/>
      <c r="B115" s="682" t="s">
        <v>1089</v>
      </c>
      <c r="C115" s="428">
        <v>1.55</v>
      </c>
      <c r="D115" s="428">
        <v>0.75</v>
      </c>
      <c r="E115" s="428"/>
      <c r="F115" s="428"/>
      <c r="G115" s="428"/>
      <c r="H115" s="428">
        <v>1</v>
      </c>
      <c r="I115" s="428"/>
      <c r="J115" s="428"/>
      <c r="K115" s="428"/>
      <c r="L115" s="428"/>
      <c r="M115" s="428">
        <f>M112</f>
        <v>2</v>
      </c>
      <c r="N115" s="1475">
        <f>C115*D115*H115*M115</f>
        <v>2.3250000000000002</v>
      </c>
      <c r="O115" s="450"/>
      <c r="P115" s="1462"/>
    </row>
    <row r="116" spans="1:16" s="942" customFormat="1" ht="15.75" customHeight="1">
      <c r="A116" s="451"/>
      <c r="B116" s="682" t="s">
        <v>223</v>
      </c>
      <c r="C116" s="428">
        <f>C115</f>
        <v>1.55</v>
      </c>
      <c r="D116" s="428"/>
      <c r="E116" s="428">
        <v>0.1</v>
      </c>
      <c r="F116" s="428"/>
      <c r="G116" s="428"/>
      <c r="H116" s="428">
        <v>2</v>
      </c>
      <c r="I116" s="428"/>
      <c r="J116" s="428"/>
      <c r="K116" s="428"/>
      <c r="L116" s="428"/>
      <c r="M116" s="428">
        <f>M115</f>
        <v>2</v>
      </c>
      <c r="N116" s="1475">
        <f>C116*E116*H116*M116</f>
        <v>0.62000000000000011</v>
      </c>
      <c r="O116" s="450"/>
      <c r="P116" s="1462"/>
    </row>
    <row r="117" spans="1:16" s="942" customFormat="1" ht="15.75" customHeight="1">
      <c r="A117" s="451"/>
      <c r="B117" s="682"/>
      <c r="C117" s="428">
        <f>D115</f>
        <v>0.75</v>
      </c>
      <c r="D117" s="428"/>
      <c r="E117" s="428">
        <f>E116</f>
        <v>0.1</v>
      </c>
      <c r="F117" s="428"/>
      <c r="G117" s="428"/>
      <c r="H117" s="428">
        <v>2</v>
      </c>
      <c r="I117" s="428"/>
      <c r="J117" s="428"/>
      <c r="K117" s="428"/>
      <c r="L117" s="428"/>
      <c r="M117" s="428">
        <f>M116</f>
        <v>2</v>
      </c>
      <c r="N117" s="912">
        <f>C117*E117*H117*M117</f>
        <v>0.30000000000000004</v>
      </c>
      <c r="O117" s="450"/>
      <c r="P117" s="1462"/>
    </row>
    <row r="118" spans="1:16" s="942" customFormat="1" ht="15.75" customHeight="1">
      <c r="A118" s="451"/>
      <c r="B118" s="389"/>
      <c r="C118" s="428"/>
      <c r="D118" s="428"/>
      <c r="E118" s="428"/>
      <c r="F118" s="428"/>
      <c r="G118" s="428"/>
      <c r="H118" s="428"/>
      <c r="I118" s="428"/>
      <c r="J118" s="428"/>
      <c r="K118" s="428"/>
      <c r="L118" s="428"/>
      <c r="M118" s="428"/>
      <c r="N118" s="1476">
        <f>SUM(N115:N117)</f>
        <v>3.2450000000000001</v>
      </c>
      <c r="O118" s="450" t="s">
        <v>89</v>
      </c>
      <c r="P118" s="1463">
        <f>ROUND((N118),2)</f>
        <v>3.25</v>
      </c>
    </row>
    <row r="119" spans="1:16" s="942" customFormat="1" ht="15.75" customHeight="1">
      <c r="A119" s="451" t="s">
        <v>98</v>
      </c>
      <c r="B119" s="389" t="s">
        <v>1688</v>
      </c>
      <c r="C119" s="428">
        <f>C115</f>
        <v>1.55</v>
      </c>
      <c r="D119" s="428">
        <f>D115</f>
        <v>0.75</v>
      </c>
      <c r="E119" s="428"/>
      <c r="F119" s="428"/>
      <c r="G119" s="428"/>
      <c r="H119" s="428"/>
      <c r="I119" s="428"/>
      <c r="J119" s="428"/>
      <c r="K119" s="428"/>
      <c r="L119" s="428"/>
      <c r="M119" s="428">
        <f>M117</f>
        <v>2</v>
      </c>
      <c r="N119" s="1472">
        <f>C119*D119*M119</f>
        <v>2.3250000000000002</v>
      </c>
      <c r="O119" s="450" t="s">
        <v>89</v>
      </c>
      <c r="P119" s="1463">
        <f>ROUND((N119),2)</f>
        <v>2.33</v>
      </c>
    </row>
    <row r="120" spans="1:16" s="942" customFormat="1" ht="15.75" customHeight="1">
      <c r="A120" s="451" t="s">
        <v>101</v>
      </c>
      <c r="B120" s="389" t="s">
        <v>1043</v>
      </c>
      <c r="C120" s="428">
        <f>C119</f>
        <v>1.55</v>
      </c>
      <c r="D120" s="428">
        <f>D119</f>
        <v>0.75</v>
      </c>
      <c r="E120" s="428">
        <v>0.1</v>
      </c>
      <c r="F120" s="428"/>
      <c r="G120" s="428"/>
      <c r="H120" s="428"/>
      <c r="I120" s="428"/>
      <c r="J120" s="428"/>
      <c r="K120" s="428"/>
      <c r="L120" s="428"/>
      <c r="M120" s="428">
        <f>M119</f>
        <v>2</v>
      </c>
      <c r="N120" s="1475">
        <f>C120*D120*E120*M120</f>
        <v>0.23250000000000004</v>
      </c>
      <c r="O120" s="450" t="s">
        <v>103</v>
      </c>
      <c r="P120" s="1463">
        <f>ROUND((N120),2)</f>
        <v>0.23</v>
      </c>
    </row>
    <row r="121" spans="1:16" s="942" customFormat="1" ht="15.75" customHeight="1">
      <c r="A121" s="394">
        <f>A113+1</f>
        <v>11</v>
      </c>
      <c r="B121" s="389" t="s">
        <v>1689</v>
      </c>
      <c r="C121" s="428"/>
      <c r="D121" s="428"/>
      <c r="E121" s="428"/>
      <c r="F121" s="428"/>
      <c r="G121" s="428"/>
      <c r="H121" s="428"/>
      <c r="I121" s="428"/>
      <c r="J121" s="428"/>
      <c r="K121" s="428"/>
      <c r="L121" s="428"/>
      <c r="M121" s="428"/>
      <c r="N121" s="1472"/>
      <c r="O121" s="450"/>
      <c r="P121" s="1462"/>
    </row>
    <row r="122" spans="1:16" s="942" customFormat="1" ht="15.75" customHeight="1">
      <c r="A122" s="451" t="s">
        <v>95</v>
      </c>
      <c r="B122" s="389" t="s">
        <v>211</v>
      </c>
      <c r="C122" s="428"/>
      <c r="D122" s="428"/>
      <c r="E122" s="428"/>
      <c r="F122" s="428"/>
      <c r="G122" s="428"/>
      <c r="H122" s="428"/>
      <c r="I122" s="428"/>
      <c r="J122" s="428"/>
      <c r="K122" s="428"/>
      <c r="L122" s="428"/>
      <c r="M122" s="428"/>
      <c r="N122" s="1475"/>
      <c r="O122" s="450"/>
      <c r="P122" s="1462"/>
    </row>
    <row r="123" spans="1:16" s="942" customFormat="1" ht="15.75" customHeight="1">
      <c r="A123" s="451"/>
      <c r="B123" s="682" t="str">
        <f>B115</f>
        <v>lantai</v>
      </c>
      <c r="C123" s="428">
        <v>1.55</v>
      </c>
      <c r="D123" s="428">
        <v>0.75</v>
      </c>
      <c r="E123" s="428"/>
      <c r="F123" s="428"/>
      <c r="G123" s="428"/>
      <c r="H123" s="428">
        <v>1</v>
      </c>
      <c r="I123" s="428"/>
      <c r="J123" s="428"/>
      <c r="K123" s="428"/>
      <c r="L123" s="428"/>
      <c r="M123" s="428">
        <f>M120</f>
        <v>2</v>
      </c>
      <c r="N123" s="1475">
        <f>C123*D123*H123*M123</f>
        <v>2.3250000000000002</v>
      </c>
      <c r="O123" s="450"/>
      <c r="P123" s="1462"/>
    </row>
    <row r="124" spans="1:16" s="942" customFormat="1" ht="15.75" customHeight="1">
      <c r="A124" s="451"/>
      <c r="B124" s="682" t="str">
        <f>B116</f>
        <v>sisi samping</v>
      </c>
      <c r="C124" s="428">
        <f>C123</f>
        <v>1.55</v>
      </c>
      <c r="D124" s="428"/>
      <c r="E124" s="428">
        <v>0.1</v>
      </c>
      <c r="F124" s="428"/>
      <c r="G124" s="428"/>
      <c r="H124" s="428">
        <v>2</v>
      </c>
      <c r="I124" s="428"/>
      <c r="J124" s="428"/>
      <c r="K124" s="428"/>
      <c r="L124" s="428"/>
      <c r="M124" s="428">
        <f>M123</f>
        <v>2</v>
      </c>
      <c r="N124" s="1475">
        <f>C124*E124*H124*M124</f>
        <v>0.62000000000000011</v>
      </c>
      <c r="O124" s="450"/>
      <c r="P124" s="1462"/>
    </row>
    <row r="125" spans="1:16" s="942" customFormat="1" ht="15.75" customHeight="1">
      <c r="A125" s="451"/>
      <c r="B125" s="682"/>
      <c r="C125" s="428">
        <f>D123</f>
        <v>0.75</v>
      </c>
      <c r="D125" s="428"/>
      <c r="E125" s="428">
        <f>E124</f>
        <v>0.1</v>
      </c>
      <c r="F125" s="428"/>
      <c r="G125" s="428"/>
      <c r="H125" s="428">
        <v>2</v>
      </c>
      <c r="I125" s="428"/>
      <c r="J125" s="428"/>
      <c r="K125" s="428"/>
      <c r="L125" s="428"/>
      <c r="M125" s="428">
        <f>M124</f>
        <v>2</v>
      </c>
      <c r="N125" s="912">
        <f>C125*E125*H125*M125</f>
        <v>0.30000000000000004</v>
      </c>
      <c r="O125" s="450"/>
      <c r="P125" s="1462"/>
    </row>
    <row r="126" spans="1:16" s="942" customFormat="1" ht="15.75" customHeight="1">
      <c r="A126" s="451"/>
      <c r="B126" s="389"/>
      <c r="C126" s="428"/>
      <c r="D126" s="428"/>
      <c r="E126" s="428"/>
      <c r="F126" s="428"/>
      <c r="G126" s="428"/>
      <c r="H126" s="428"/>
      <c r="I126" s="428"/>
      <c r="J126" s="428"/>
      <c r="K126" s="428"/>
      <c r="L126" s="428"/>
      <c r="M126" s="428"/>
      <c r="N126" s="1476">
        <f>SUM(N123:N125)</f>
        <v>3.2450000000000001</v>
      </c>
      <c r="O126" s="450" t="s">
        <v>89</v>
      </c>
      <c r="P126" s="1463">
        <f>ROUND((N126),2)</f>
        <v>3.25</v>
      </c>
    </row>
    <row r="127" spans="1:16" s="942" customFormat="1" ht="15.75" customHeight="1">
      <c r="A127" s="451" t="s">
        <v>98</v>
      </c>
      <c r="B127" s="389" t="s">
        <v>1688</v>
      </c>
      <c r="C127" s="428">
        <f>C123</f>
        <v>1.55</v>
      </c>
      <c r="D127" s="428">
        <f>D123</f>
        <v>0.75</v>
      </c>
      <c r="E127" s="428"/>
      <c r="F127" s="428"/>
      <c r="G127" s="428"/>
      <c r="H127" s="428"/>
      <c r="I127" s="428"/>
      <c r="J127" s="428"/>
      <c r="K127" s="428"/>
      <c r="L127" s="428"/>
      <c r="M127" s="428">
        <f>M125</f>
        <v>2</v>
      </c>
      <c r="N127" s="1472">
        <f>C127*D127*M127</f>
        <v>2.3250000000000002</v>
      </c>
      <c r="O127" s="450" t="s">
        <v>89</v>
      </c>
      <c r="P127" s="1463">
        <f>ROUND((N127),2)</f>
        <v>2.33</v>
      </c>
    </row>
    <row r="128" spans="1:16" s="942" customFormat="1" ht="15.75" customHeight="1">
      <c r="A128" s="451" t="s">
        <v>101</v>
      </c>
      <c r="B128" s="389" t="s">
        <v>1043</v>
      </c>
      <c r="C128" s="428">
        <f>C127</f>
        <v>1.55</v>
      </c>
      <c r="D128" s="428">
        <f>D127</f>
        <v>0.75</v>
      </c>
      <c r="E128" s="428">
        <v>0.1</v>
      </c>
      <c r="F128" s="428"/>
      <c r="G128" s="428"/>
      <c r="H128" s="428"/>
      <c r="I128" s="428"/>
      <c r="J128" s="428"/>
      <c r="K128" s="428"/>
      <c r="L128" s="428"/>
      <c r="M128" s="428">
        <f>M127</f>
        <v>2</v>
      </c>
      <c r="N128" s="1475">
        <f>C128*D128*E128*M128</f>
        <v>0.23250000000000004</v>
      </c>
      <c r="O128" s="450" t="s">
        <v>103</v>
      </c>
      <c r="P128" s="1463">
        <f>ROUND((N128),2)</f>
        <v>0.23</v>
      </c>
    </row>
    <row r="129" spans="1:16" s="942" customFormat="1" ht="15.75" customHeight="1">
      <c r="A129" s="394">
        <f>A121+1</f>
        <v>12</v>
      </c>
      <c r="B129" s="389" t="s">
        <v>1012</v>
      </c>
      <c r="C129" s="428"/>
      <c r="D129" s="428"/>
      <c r="E129" s="428"/>
      <c r="F129" s="428"/>
      <c r="G129" s="428"/>
      <c r="H129" s="428"/>
      <c r="I129" s="428"/>
      <c r="J129" s="428"/>
      <c r="K129" s="428"/>
      <c r="L129" s="428"/>
      <c r="M129" s="428"/>
      <c r="N129" s="1475"/>
      <c r="O129" s="450"/>
      <c r="P129" s="1462"/>
    </row>
    <row r="130" spans="1:16" s="942" customFormat="1" ht="15.75" customHeight="1">
      <c r="A130" s="394"/>
      <c r="B130" s="389" t="str">
        <f>B99</f>
        <v>area pilar</v>
      </c>
      <c r="C130" s="428"/>
      <c r="D130" s="428"/>
      <c r="E130" s="428"/>
      <c r="F130" s="428"/>
      <c r="G130" s="428"/>
      <c r="H130" s="428"/>
      <c r="I130" s="428"/>
      <c r="J130" s="428"/>
      <c r="K130" s="428"/>
      <c r="L130" s="428"/>
      <c r="M130" s="428"/>
      <c r="N130" s="1475"/>
      <c r="O130" s="450"/>
      <c r="P130" s="1462"/>
    </row>
    <row r="131" spans="1:16" s="942" customFormat="1" ht="15.75" customHeight="1">
      <c r="A131" s="394"/>
      <c r="B131" s="682" t="s">
        <v>226</v>
      </c>
      <c r="C131" s="428">
        <v>13</v>
      </c>
      <c r="D131" s="428">
        <v>1.5</v>
      </c>
      <c r="E131" s="428"/>
      <c r="F131" s="428"/>
      <c r="G131" s="428"/>
      <c r="H131" s="428">
        <v>2</v>
      </c>
      <c r="I131" s="428"/>
      <c r="J131" s="428"/>
      <c r="K131" s="428"/>
      <c r="L131" s="428"/>
      <c r="M131" s="428">
        <v>1</v>
      </c>
      <c r="N131" s="1475">
        <f>C131*D131*H131*M131</f>
        <v>39</v>
      </c>
      <c r="O131" s="450"/>
      <c r="P131" s="1462"/>
    </row>
    <row r="132" spans="1:16" s="942" customFormat="1" ht="15.75" customHeight="1">
      <c r="A132" s="394"/>
      <c r="B132" s="682"/>
      <c r="C132" s="428"/>
      <c r="D132" s="428"/>
      <c r="E132" s="428"/>
      <c r="F132" s="428"/>
      <c r="G132" s="428"/>
      <c r="H132" s="428"/>
      <c r="I132" s="428"/>
      <c r="J132" s="428"/>
      <c r="K132" s="428"/>
      <c r="L132" s="428"/>
      <c r="M132" s="428"/>
      <c r="N132" s="1475"/>
      <c r="O132" s="450"/>
      <c r="P132" s="1462"/>
    </row>
    <row r="133" spans="1:16" s="942" customFormat="1" ht="15.75" customHeight="1">
      <c r="A133" s="394"/>
      <c r="B133" s="389" t="str">
        <f>B98</f>
        <v>sisi samping</v>
      </c>
      <c r="C133" s="428"/>
      <c r="D133" s="428"/>
      <c r="E133" s="428"/>
      <c r="F133" s="428"/>
      <c r="G133" s="428"/>
      <c r="H133" s="428"/>
      <c r="I133" s="428"/>
      <c r="J133" s="428"/>
      <c r="K133" s="428"/>
      <c r="L133" s="428"/>
      <c r="M133" s="428"/>
      <c r="N133" s="1475"/>
      <c r="O133" s="450"/>
      <c r="P133" s="1462"/>
    </row>
    <row r="134" spans="1:16" s="942" customFormat="1" ht="15.75" customHeight="1">
      <c r="A134" s="394"/>
      <c r="B134" s="682" t="s">
        <v>1690</v>
      </c>
      <c r="C134" s="428">
        <v>2.4</v>
      </c>
      <c r="D134" s="428">
        <v>0.9</v>
      </c>
      <c r="E134" s="428"/>
      <c r="F134" s="428"/>
      <c r="G134" s="428"/>
      <c r="H134" s="428">
        <v>2</v>
      </c>
      <c r="I134" s="428"/>
      <c r="J134" s="428"/>
      <c r="K134" s="428"/>
      <c r="L134" s="428"/>
      <c r="M134" s="428">
        <v>2</v>
      </c>
      <c r="N134" s="912">
        <f>C134*D134*H134*M134</f>
        <v>8.64</v>
      </c>
      <c r="O134" s="450"/>
      <c r="P134" s="1462"/>
    </row>
    <row r="135" spans="1:16" s="942" customFormat="1" ht="15.75" customHeight="1">
      <c r="A135" s="394"/>
      <c r="B135" s="389"/>
      <c r="C135" s="428"/>
      <c r="D135" s="428"/>
      <c r="E135" s="428"/>
      <c r="F135" s="428"/>
      <c r="G135" s="428"/>
      <c r="H135" s="428"/>
      <c r="I135" s="428"/>
      <c r="J135" s="428"/>
      <c r="K135" s="428"/>
      <c r="L135" s="428"/>
      <c r="M135" s="428"/>
      <c r="N135" s="1476">
        <f>SUM(N131:N134)</f>
        <v>47.64</v>
      </c>
      <c r="O135" s="450" t="s">
        <v>89</v>
      </c>
      <c r="P135" s="1463">
        <f>ROUND((N135),2)</f>
        <v>47.64</v>
      </c>
    </row>
    <row r="136" spans="1:16" s="942" customFormat="1" ht="15.75" customHeight="1">
      <c r="A136" s="394">
        <f>A129+1</f>
        <v>13</v>
      </c>
      <c r="B136" s="389" t="s">
        <v>1691</v>
      </c>
      <c r="C136" s="428"/>
      <c r="D136" s="428"/>
      <c r="E136" s="428"/>
      <c r="F136" s="428"/>
      <c r="G136" s="428"/>
      <c r="H136" s="428"/>
      <c r="I136" s="428"/>
      <c r="J136" s="428"/>
      <c r="K136" s="428"/>
      <c r="L136" s="428"/>
      <c r="M136" s="428"/>
      <c r="N136" s="1475">
        <f>N135</f>
        <v>47.64</v>
      </c>
      <c r="O136" s="450" t="s">
        <v>89</v>
      </c>
      <c r="P136" s="1463">
        <f>ROUND((N136),2)</f>
        <v>47.64</v>
      </c>
    </row>
    <row r="137" spans="1:16" s="942" customFormat="1" ht="15.75" customHeight="1">
      <c r="A137" s="394">
        <f>A136+1</f>
        <v>14</v>
      </c>
      <c r="B137" s="389" t="s">
        <v>1014</v>
      </c>
      <c r="C137" s="428"/>
      <c r="D137" s="428"/>
      <c r="E137" s="428"/>
      <c r="F137" s="428"/>
      <c r="G137" s="428"/>
      <c r="H137" s="428"/>
      <c r="I137" s="428"/>
      <c r="J137" s="428"/>
      <c r="K137" s="428"/>
      <c r="L137" s="428"/>
      <c r="M137" s="428"/>
      <c r="N137" s="1475"/>
      <c r="O137" s="450"/>
      <c r="P137" s="1462"/>
    </row>
    <row r="138" spans="1:16" s="942" customFormat="1" ht="15.75" customHeight="1">
      <c r="A138" s="394"/>
      <c r="B138" s="682" t="str">
        <f>B130</f>
        <v>area pilar</v>
      </c>
      <c r="C138" s="428">
        <f>C131</f>
        <v>13</v>
      </c>
      <c r="D138" s="428"/>
      <c r="E138" s="428"/>
      <c r="F138" s="428"/>
      <c r="G138" s="428"/>
      <c r="H138" s="428"/>
      <c r="I138" s="428"/>
      <c r="J138" s="428"/>
      <c r="K138" s="428"/>
      <c r="L138" s="428"/>
      <c r="M138" s="428">
        <f>M131</f>
        <v>1</v>
      </c>
      <c r="N138" s="1475">
        <f>C138*M138</f>
        <v>13</v>
      </c>
      <c r="O138" s="450"/>
      <c r="P138" s="1462"/>
    </row>
    <row r="139" spans="1:16" s="942" customFormat="1" ht="15.75" customHeight="1">
      <c r="A139" s="394"/>
      <c r="B139" s="682" t="str">
        <f>B133</f>
        <v>sisi samping</v>
      </c>
      <c r="C139" s="428">
        <f>C134</f>
        <v>2.4</v>
      </c>
      <c r="D139" s="428"/>
      <c r="E139" s="428"/>
      <c r="F139" s="428"/>
      <c r="G139" s="428"/>
      <c r="H139" s="428"/>
      <c r="I139" s="428"/>
      <c r="J139" s="428"/>
      <c r="K139" s="428"/>
      <c r="L139" s="428"/>
      <c r="M139" s="428">
        <f>M134</f>
        <v>2</v>
      </c>
      <c r="N139" s="912">
        <f>C139*M139</f>
        <v>4.8</v>
      </c>
      <c r="O139" s="450"/>
      <c r="P139" s="1462"/>
    </row>
    <row r="140" spans="1:16" s="942" customFormat="1" ht="15.75" customHeight="1">
      <c r="A140" s="394"/>
      <c r="B140" s="389"/>
      <c r="C140" s="428"/>
      <c r="D140" s="428"/>
      <c r="E140" s="428"/>
      <c r="F140" s="428"/>
      <c r="G140" s="428"/>
      <c r="H140" s="428"/>
      <c r="I140" s="428"/>
      <c r="J140" s="428"/>
      <c r="K140" s="428"/>
      <c r="L140" s="428"/>
      <c r="M140" s="428"/>
      <c r="N140" s="1476">
        <f>SUM(N138:N139)</f>
        <v>17.8</v>
      </c>
      <c r="O140" s="450" t="s">
        <v>117</v>
      </c>
      <c r="P140" s="1463">
        <f>ROUND((N140),2)</f>
        <v>17.8</v>
      </c>
    </row>
    <row r="141" spans="1:16" s="942" customFormat="1" ht="15.75" customHeight="1">
      <c r="A141" s="394">
        <f>A137+1</f>
        <v>15</v>
      </c>
      <c r="B141" s="389" t="s">
        <v>1037</v>
      </c>
      <c r="C141" s="428"/>
      <c r="D141" s="428"/>
      <c r="E141" s="428"/>
      <c r="F141" s="428"/>
      <c r="G141" s="428"/>
      <c r="H141" s="428"/>
      <c r="I141" s="428"/>
      <c r="J141" s="428"/>
      <c r="K141" s="428"/>
      <c r="L141" s="428"/>
      <c r="M141" s="428"/>
      <c r="N141" s="1475"/>
      <c r="O141" s="450"/>
      <c r="P141" s="1462"/>
    </row>
    <row r="142" spans="1:16" s="942" customFormat="1" ht="15.75" customHeight="1">
      <c r="A142" s="394"/>
      <c r="B142" s="432" t="str">
        <f>B138</f>
        <v>area pilar</v>
      </c>
      <c r="C142" s="428"/>
      <c r="D142" s="428"/>
      <c r="E142" s="428"/>
      <c r="F142" s="428"/>
      <c r="G142" s="428"/>
      <c r="H142" s="428"/>
      <c r="I142" s="428"/>
      <c r="J142" s="428"/>
      <c r="K142" s="428"/>
      <c r="L142" s="428"/>
      <c r="M142" s="428"/>
      <c r="N142" s="1475"/>
      <c r="O142" s="450"/>
      <c r="P142" s="1462"/>
    </row>
    <row r="143" spans="1:16" s="942" customFormat="1" ht="15.75" customHeight="1">
      <c r="A143" s="394"/>
      <c r="B143" s="1478" t="s">
        <v>226</v>
      </c>
      <c r="C143" s="428">
        <f>C131</f>
        <v>13</v>
      </c>
      <c r="D143" s="428"/>
      <c r="E143" s="428"/>
      <c r="F143" s="428">
        <v>1</v>
      </c>
      <c r="G143" s="428"/>
      <c r="H143" s="428">
        <v>2</v>
      </c>
      <c r="I143" s="428"/>
      <c r="J143" s="428"/>
      <c r="K143" s="428"/>
      <c r="L143" s="428"/>
      <c r="M143" s="428"/>
      <c r="N143" s="1475">
        <f>C143*F143*H143</f>
        <v>26</v>
      </c>
      <c r="O143" s="450"/>
      <c r="P143" s="1462"/>
    </row>
    <row r="144" spans="1:16" s="942" customFormat="1" ht="15.75" customHeight="1">
      <c r="A144" s="394"/>
      <c r="B144" s="1478" t="s">
        <v>1690</v>
      </c>
      <c r="C144" s="428">
        <f>D131</f>
        <v>1.5</v>
      </c>
      <c r="D144" s="428"/>
      <c r="E144" s="428"/>
      <c r="F144" s="428">
        <v>2</v>
      </c>
      <c r="G144" s="428"/>
      <c r="H144" s="428">
        <v>2</v>
      </c>
      <c r="I144" s="428"/>
      <c r="J144" s="428"/>
      <c r="K144" s="428"/>
      <c r="L144" s="428"/>
      <c r="M144" s="428"/>
      <c r="N144" s="1475">
        <f>C144*F144*H144</f>
        <v>6</v>
      </c>
      <c r="O144" s="450"/>
      <c r="P144" s="1462"/>
    </row>
    <row r="145" spans="1:16" s="942" customFormat="1" ht="15.75" customHeight="1">
      <c r="A145" s="394"/>
      <c r="B145" s="432" t="str">
        <f>B133</f>
        <v>sisi samping</v>
      </c>
      <c r="C145" s="428"/>
      <c r="D145" s="428"/>
      <c r="E145" s="428"/>
      <c r="F145" s="428"/>
      <c r="G145" s="428"/>
      <c r="H145" s="428"/>
      <c r="I145" s="428"/>
      <c r="J145" s="428"/>
      <c r="K145" s="428"/>
      <c r="L145" s="428"/>
      <c r="M145" s="428"/>
      <c r="N145" s="1475"/>
      <c r="O145" s="450"/>
      <c r="P145" s="1462"/>
    </row>
    <row r="146" spans="1:16" s="942" customFormat="1" ht="15.75" customHeight="1">
      <c r="A146" s="394"/>
      <c r="B146" s="1478" t="str">
        <f>B143</f>
        <v>horisontal</v>
      </c>
      <c r="C146" s="428">
        <f>C134</f>
        <v>2.4</v>
      </c>
      <c r="D146" s="428"/>
      <c r="E146" s="428"/>
      <c r="F146" s="428">
        <v>1</v>
      </c>
      <c r="G146" s="428"/>
      <c r="H146" s="428">
        <v>2</v>
      </c>
      <c r="I146" s="428"/>
      <c r="J146" s="428"/>
      <c r="K146" s="428"/>
      <c r="L146" s="428"/>
      <c r="M146" s="428"/>
      <c r="N146" s="322">
        <f>C146*F146*H146</f>
        <v>4.8</v>
      </c>
      <c r="O146" s="450"/>
      <c r="P146" s="1462"/>
    </row>
    <row r="147" spans="1:16" s="942" customFormat="1" ht="15.75" customHeight="1">
      <c r="A147" s="394"/>
      <c r="B147" s="1478" t="str">
        <f>B144</f>
        <v>diagonal</v>
      </c>
      <c r="C147" s="428">
        <f>D134</f>
        <v>0.9</v>
      </c>
      <c r="D147" s="428"/>
      <c r="E147" s="428"/>
      <c r="F147" s="428">
        <v>2</v>
      </c>
      <c r="G147" s="428"/>
      <c r="H147" s="428">
        <v>2</v>
      </c>
      <c r="I147" s="428"/>
      <c r="J147" s="428"/>
      <c r="K147" s="428"/>
      <c r="L147" s="428"/>
      <c r="M147" s="428"/>
      <c r="N147" s="912">
        <f>C147*F147*H147</f>
        <v>3.6</v>
      </c>
      <c r="O147" s="450"/>
      <c r="P147" s="1462"/>
    </row>
    <row r="148" spans="1:16" s="942" customFormat="1" ht="15.75" customHeight="1">
      <c r="A148" s="394"/>
      <c r="B148" s="432"/>
      <c r="C148" s="428" t="s">
        <v>1692</v>
      </c>
      <c r="D148" s="428"/>
      <c r="E148" s="428"/>
      <c r="F148" s="428"/>
      <c r="G148" s="428"/>
      <c r="H148" s="428"/>
      <c r="I148" s="428"/>
      <c r="J148" s="428"/>
      <c r="K148" s="428"/>
      <c r="L148" s="428"/>
      <c r="M148" s="428"/>
      <c r="N148" s="1476">
        <f>SUM(N143:N147)</f>
        <v>40.4</v>
      </c>
      <c r="O148" s="450" t="s">
        <v>117</v>
      </c>
      <c r="P148" s="1463">
        <f>ROUND((N148),2)</f>
        <v>40.4</v>
      </c>
    </row>
    <row r="149" spans="1:16" s="942" customFormat="1" ht="15.75" customHeight="1">
      <c r="A149" s="394">
        <f>A141+1</f>
        <v>16</v>
      </c>
      <c r="B149" s="432" t="s">
        <v>453</v>
      </c>
      <c r="C149" s="428">
        <f>N148</f>
        <v>40.4</v>
      </c>
      <c r="D149" s="428">
        <v>0.3</v>
      </c>
      <c r="E149" s="428"/>
      <c r="F149" s="428"/>
      <c r="G149" s="428"/>
      <c r="H149" s="428"/>
      <c r="I149" s="428"/>
      <c r="J149" s="428"/>
      <c r="K149" s="428"/>
      <c r="L149" s="428"/>
      <c r="M149" s="428"/>
      <c r="N149" s="1475">
        <f>C149*D149</f>
        <v>12.12</v>
      </c>
      <c r="O149" s="450" t="s">
        <v>89</v>
      </c>
      <c r="P149" s="1463">
        <f>ROUND((N149),2)</f>
        <v>12.12</v>
      </c>
    </row>
    <row r="150" spans="1:16" s="942" customFormat="1" ht="15.75" customHeight="1">
      <c r="A150" s="425" t="s">
        <v>1693</v>
      </c>
      <c r="B150" s="426" t="s">
        <v>434</v>
      </c>
      <c r="C150" s="428"/>
      <c r="D150" s="428"/>
      <c r="E150" s="428"/>
      <c r="F150" s="428"/>
      <c r="G150" s="428"/>
      <c r="H150" s="428"/>
      <c r="I150" s="428"/>
      <c r="J150" s="428"/>
      <c r="K150" s="428"/>
      <c r="L150" s="428"/>
      <c r="M150" s="428"/>
      <c r="N150" s="1475"/>
      <c r="O150" s="450"/>
      <c r="P150" s="1462"/>
    </row>
    <row r="151" spans="1:16" s="942" customFormat="1" ht="15.75" customHeight="1">
      <c r="A151" s="394">
        <v>1</v>
      </c>
      <c r="B151" s="389" t="s">
        <v>536</v>
      </c>
      <c r="C151" s="428"/>
      <c r="D151" s="428"/>
      <c r="E151" s="428"/>
      <c r="F151" s="428"/>
      <c r="G151" s="428"/>
      <c r="H151" s="428"/>
      <c r="I151" s="428"/>
      <c r="J151" s="428"/>
      <c r="K151" s="428"/>
      <c r="L151" s="428"/>
      <c r="M151" s="428"/>
      <c r="N151" s="1475"/>
      <c r="O151" s="450"/>
      <c r="P151" s="1462"/>
    </row>
    <row r="152" spans="1:16" s="942" customFormat="1" ht="15.75" customHeight="1">
      <c r="A152" s="451" t="s">
        <v>95</v>
      </c>
      <c r="B152" s="389" t="s">
        <v>1694</v>
      </c>
      <c r="C152" s="428"/>
      <c r="D152" s="428"/>
      <c r="E152" s="428"/>
      <c r="F152" s="428"/>
      <c r="G152" s="428"/>
      <c r="H152" s="428"/>
      <c r="I152" s="428"/>
      <c r="J152" s="428"/>
      <c r="K152" s="428"/>
      <c r="L152" s="428"/>
      <c r="M152" s="428"/>
      <c r="N152" s="1475"/>
      <c r="O152" s="450"/>
      <c r="P152" s="1462"/>
    </row>
    <row r="153" spans="1:16" s="942" customFormat="1" ht="15.75" customHeight="1">
      <c r="A153" s="451"/>
      <c r="B153" s="926" t="s">
        <v>1695</v>
      </c>
      <c r="C153" s="428"/>
      <c r="D153" s="428"/>
      <c r="E153" s="428"/>
      <c r="F153" s="428"/>
      <c r="G153" s="428"/>
      <c r="H153" s="428"/>
      <c r="I153" s="428"/>
      <c r="J153" s="428"/>
      <c r="K153" s="428"/>
      <c r="L153" s="428"/>
      <c r="M153" s="428"/>
      <c r="N153" s="1475"/>
      <c r="O153" s="450"/>
      <c r="P153" s="1462"/>
    </row>
    <row r="154" spans="1:16" s="942" customFormat="1" ht="15.75" customHeight="1">
      <c r="A154" s="451"/>
      <c r="B154" s="682" t="s">
        <v>1696</v>
      </c>
      <c r="C154" s="428"/>
      <c r="D154" s="428">
        <v>2</v>
      </c>
      <c r="E154" s="428">
        <v>0.3</v>
      </c>
      <c r="F154" s="428"/>
      <c r="G154" s="428"/>
      <c r="H154" s="428">
        <v>1</v>
      </c>
      <c r="I154" s="428"/>
      <c r="J154" s="428"/>
      <c r="K154" s="428"/>
      <c r="L154" s="428"/>
      <c r="M154" s="428">
        <v>2</v>
      </c>
      <c r="N154" s="1475">
        <f t="shared" ref="N154:N163" si="1">D154*E154*H154*M154</f>
        <v>1.2</v>
      </c>
      <c r="O154" s="450"/>
      <c r="P154" s="1462"/>
    </row>
    <row r="155" spans="1:16" s="942" customFormat="1" ht="15.75" customHeight="1">
      <c r="A155" s="451"/>
      <c r="B155" s="682" t="s">
        <v>1697</v>
      </c>
      <c r="C155" s="428"/>
      <c r="D155" s="428">
        <v>1</v>
      </c>
      <c r="E155" s="428">
        <f>E154</f>
        <v>0.3</v>
      </c>
      <c r="F155" s="428"/>
      <c r="G155" s="428"/>
      <c r="H155" s="428">
        <v>2</v>
      </c>
      <c r="I155" s="428"/>
      <c r="J155" s="428"/>
      <c r="K155" s="428"/>
      <c r="L155" s="428"/>
      <c r="M155" s="428">
        <f t="shared" ref="M155:M166" si="2">M154</f>
        <v>2</v>
      </c>
      <c r="N155" s="1475">
        <f t="shared" si="1"/>
        <v>1.2</v>
      </c>
      <c r="O155" s="450"/>
      <c r="P155" s="1462"/>
    </row>
    <row r="156" spans="1:16" s="942" customFormat="1" ht="15.75" customHeight="1">
      <c r="A156" s="451"/>
      <c r="B156" s="682" t="s">
        <v>1698</v>
      </c>
      <c r="C156" s="428"/>
      <c r="D156" s="428">
        <f>2-0.05</f>
        <v>1.95</v>
      </c>
      <c r="E156" s="428">
        <v>0.35</v>
      </c>
      <c r="F156" s="428"/>
      <c r="G156" s="428"/>
      <c r="H156" s="428">
        <v>1</v>
      </c>
      <c r="I156" s="428"/>
      <c r="J156" s="428"/>
      <c r="K156" s="428"/>
      <c r="L156" s="428"/>
      <c r="M156" s="428">
        <f t="shared" si="2"/>
        <v>2</v>
      </c>
      <c r="N156" s="1475">
        <f t="shared" si="1"/>
        <v>1.365</v>
      </c>
      <c r="O156" s="450"/>
      <c r="P156" s="1462"/>
    </row>
    <row r="157" spans="1:16" s="942" customFormat="1" ht="15.75" customHeight="1">
      <c r="A157" s="451"/>
      <c r="B157" s="682" t="s">
        <v>1699</v>
      </c>
      <c r="C157" s="428"/>
      <c r="D157" s="428">
        <f t="shared" ref="D157:D163" si="3">D155-0.05</f>
        <v>0.95</v>
      </c>
      <c r="E157" s="428">
        <f>E156</f>
        <v>0.35</v>
      </c>
      <c r="F157" s="428"/>
      <c r="G157" s="428"/>
      <c r="H157" s="428">
        <v>2</v>
      </c>
      <c r="I157" s="428"/>
      <c r="J157" s="428"/>
      <c r="K157" s="428"/>
      <c r="L157" s="428"/>
      <c r="M157" s="428">
        <f t="shared" si="2"/>
        <v>2</v>
      </c>
      <c r="N157" s="1475">
        <f t="shared" si="1"/>
        <v>1.3299999999999998</v>
      </c>
      <c r="O157" s="450"/>
      <c r="P157" s="1462"/>
    </row>
    <row r="158" spans="1:16" s="942" customFormat="1" ht="15.75" customHeight="1">
      <c r="A158" s="451"/>
      <c r="B158" s="682" t="s">
        <v>1700</v>
      </c>
      <c r="C158" s="428"/>
      <c r="D158" s="428">
        <f t="shared" si="3"/>
        <v>1.9</v>
      </c>
      <c r="E158" s="428">
        <v>0.4</v>
      </c>
      <c r="F158" s="428"/>
      <c r="G158" s="428"/>
      <c r="H158" s="428">
        <v>1</v>
      </c>
      <c r="I158" s="428"/>
      <c r="J158" s="428"/>
      <c r="K158" s="428"/>
      <c r="L158" s="428"/>
      <c r="M158" s="428">
        <f t="shared" si="2"/>
        <v>2</v>
      </c>
      <c r="N158" s="1475">
        <f t="shared" si="1"/>
        <v>1.52</v>
      </c>
      <c r="O158" s="450"/>
      <c r="P158" s="1462"/>
    </row>
    <row r="159" spans="1:16" s="942" customFormat="1" ht="15.75" customHeight="1">
      <c r="A159" s="451"/>
      <c r="B159" s="682" t="s">
        <v>1701</v>
      </c>
      <c r="C159" s="428"/>
      <c r="D159" s="428">
        <f t="shared" si="3"/>
        <v>0.89999999999999991</v>
      </c>
      <c r="E159" s="428">
        <f>E158</f>
        <v>0.4</v>
      </c>
      <c r="F159" s="428"/>
      <c r="G159" s="428"/>
      <c r="H159" s="428">
        <v>2</v>
      </c>
      <c r="I159" s="428"/>
      <c r="J159" s="428"/>
      <c r="K159" s="428"/>
      <c r="L159" s="428"/>
      <c r="M159" s="428">
        <f t="shared" si="2"/>
        <v>2</v>
      </c>
      <c r="N159" s="1475">
        <f t="shared" si="1"/>
        <v>1.44</v>
      </c>
      <c r="O159" s="450"/>
      <c r="P159" s="1462"/>
    </row>
    <row r="160" spans="1:16" s="942" customFormat="1" ht="15.75" customHeight="1">
      <c r="A160" s="451"/>
      <c r="B160" s="682" t="s">
        <v>1702</v>
      </c>
      <c r="C160" s="428"/>
      <c r="D160" s="428">
        <f t="shared" si="3"/>
        <v>1.8499999999999999</v>
      </c>
      <c r="E160" s="428">
        <v>0.6</v>
      </c>
      <c r="F160" s="428"/>
      <c r="G160" s="428"/>
      <c r="H160" s="428">
        <v>1</v>
      </c>
      <c r="I160" s="428"/>
      <c r="J160" s="428"/>
      <c r="K160" s="428"/>
      <c r="L160" s="428"/>
      <c r="M160" s="428">
        <f t="shared" si="2"/>
        <v>2</v>
      </c>
      <c r="N160" s="1475">
        <f t="shared" si="1"/>
        <v>2.2199999999999998</v>
      </c>
      <c r="O160" s="450"/>
      <c r="P160" s="1462"/>
    </row>
    <row r="161" spans="1:16" s="942" customFormat="1" ht="15.75" customHeight="1">
      <c r="A161" s="451"/>
      <c r="B161" s="682" t="s">
        <v>1703</v>
      </c>
      <c r="C161" s="428"/>
      <c r="D161" s="428">
        <f t="shared" si="3"/>
        <v>0.84999999999999987</v>
      </c>
      <c r="E161" s="428">
        <f>E160</f>
        <v>0.6</v>
      </c>
      <c r="F161" s="428"/>
      <c r="G161" s="428"/>
      <c r="H161" s="428">
        <v>2</v>
      </c>
      <c r="I161" s="428"/>
      <c r="J161" s="428"/>
      <c r="K161" s="428"/>
      <c r="L161" s="428"/>
      <c r="M161" s="428">
        <f t="shared" si="2"/>
        <v>2</v>
      </c>
      <c r="N161" s="1475">
        <f t="shared" si="1"/>
        <v>2.0399999999999996</v>
      </c>
      <c r="O161" s="450"/>
      <c r="P161" s="1462"/>
    </row>
    <row r="162" spans="1:16" s="942" customFormat="1" ht="15.75" customHeight="1">
      <c r="A162" s="451"/>
      <c r="B162" s="682" t="s">
        <v>1704</v>
      </c>
      <c r="C162" s="428"/>
      <c r="D162" s="428">
        <f t="shared" si="3"/>
        <v>1.7999999999999998</v>
      </c>
      <c r="E162" s="428">
        <v>0.65</v>
      </c>
      <c r="F162" s="428"/>
      <c r="G162" s="428"/>
      <c r="H162" s="428">
        <v>1</v>
      </c>
      <c r="I162" s="428"/>
      <c r="J162" s="428"/>
      <c r="K162" s="428"/>
      <c r="L162" s="428"/>
      <c r="M162" s="428">
        <f t="shared" si="2"/>
        <v>2</v>
      </c>
      <c r="N162" s="1475">
        <f t="shared" si="1"/>
        <v>2.34</v>
      </c>
      <c r="O162" s="450"/>
      <c r="P162" s="1462"/>
    </row>
    <row r="163" spans="1:16" s="942" customFormat="1" ht="15.75" customHeight="1">
      <c r="A163" s="451"/>
      <c r="B163" s="682" t="s">
        <v>1705</v>
      </c>
      <c r="C163" s="428"/>
      <c r="D163" s="428">
        <f t="shared" si="3"/>
        <v>0.79999999999999982</v>
      </c>
      <c r="E163" s="428">
        <f>E162</f>
        <v>0.65</v>
      </c>
      <c r="F163" s="428"/>
      <c r="G163" s="428"/>
      <c r="H163" s="428">
        <v>2</v>
      </c>
      <c r="I163" s="428"/>
      <c r="J163" s="428"/>
      <c r="K163" s="428"/>
      <c r="L163" s="428"/>
      <c r="M163" s="428">
        <f t="shared" si="2"/>
        <v>2</v>
      </c>
      <c r="N163" s="1475">
        <f t="shared" si="1"/>
        <v>2.0799999999999996</v>
      </c>
      <c r="O163" s="450"/>
      <c r="P163" s="1462"/>
    </row>
    <row r="164" spans="1:16" s="942" customFormat="1" ht="15.75" customHeight="1">
      <c r="A164" s="451"/>
      <c r="B164" s="682" t="s">
        <v>1706</v>
      </c>
      <c r="C164" s="428"/>
      <c r="D164" s="428">
        <v>1.5</v>
      </c>
      <c r="E164" s="428">
        <f>6.275-4.1</f>
        <v>2.1750000000000007</v>
      </c>
      <c r="F164" s="428">
        <v>3</v>
      </c>
      <c r="G164" s="428"/>
      <c r="H164" s="428">
        <v>1</v>
      </c>
      <c r="I164" s="428"/>
      <c r="J164" s="428"/>
      <c r="K164" s="428"/>
      <c r="L164" s="428"/>
      <c r="M164" s="428">
        <f t="shared" si="2"/>
        <v>2</v>
      </c>
      <c r="N164" s="1475">
        <f>D164*E164*F164*H164*M164</f>
        <v>19.575000000000006</v>
      </c>
      <c r="O164" s="450"/>
      <c r="P164" s="1462"/>
    </row>
    <row r="165" spans="1:16" s="942" customFormat="1" ht="15.75" customHeight="1">
      <c r="A165" s="451"/>
      <c r="B165" s="682" t="s">
        <v>223</v>
      </c>
      <c r="C165" s="428"/>
      <c r="D165" s="428">
        <v>0.8</v>
      </c>
      <c r="E165" s="428">
        <f>E164</f>
        <v>2.1750000000000007</v>
      </c>
      <c r="F165" s="428">
        <v>3</v>
      </c>
      <c r="G165" s="428"/>
      <c r="H165" s="428">
        <v>2</v>
      </c>
      <c r="I165" s="428"/>
      <c r="J165" s="428"/>
      <c r="K165" s="428"/>
      <c r="L165" s="428"/>
      <c r="M165" s="428">
        <f t="shared" si="2"/>
        <v>2</v>
      </c>
      <c r="N165" s="1475">
        <f>D165*E165*F165*H165*M165</f>
        <v>20.88000000000001</v>
      </c>
      <c r="O165" s="450"/>
      <c r="P165" s="1462"/>
    </row>
    <row r="166" spans="1:16" s="942" customFormat="1" ht="15.75" customHeight="1">
      <c r="A166" s="451"/>
      <c r="B166" s="682" t="s">
        <v>1447</v>
      </c>
      <c r="C166" s="428"/>
      <c r="D166" s="428">
        <v>0.85</v>
      </c>
      <c r="E166" s="428">
        <f>E165</f>
        <v>2.1750000000000007</v>
      </c>
      <c r="F166" s="428">
        <v>1</v>
      </c>
      <c r="G166" s="428"/>
      <c r="H166" s="428">
        <v>1</v>
      </c>
      <c r="I166" s="428"/>
      <c r="J166" s="428"/>
      <c r="K166" s="428"/>
      <c r="L166" s="428"/>
      <c r="M166" s="428">
        <f t="shared" si="2"/>
        <v>2</v>
      </c>
      <c r="N166" s="1475">
        <f>D166*E166*F166*H166*M166</f>
        <v>3.6975000000000011</v>
      </c>
      <c r="O166" s="450"/>
      <c r="P166" s="1462"/>
    </row>
    <row r="167" spans="1:16" s="942" customFormat="1" ht="15.75" customHeight="1">
      <c r="A167" s="451"/>
      <c r="B167" s="926" t="s">
        <v>1707</v>
      </c>
      <c r="C167" s="428"/>
      <c r="D167" s="428"/>
      <c r="E167" s="428"/>
      <c r="F167" s="428"/>
      <c r="G167" s="428"/>
      <c r="H167" s="428"/>
      <c r="I167" s="428"/>
      <c r="J167" s="428"/>
      <c r="K167" s="428"/>
      <c r="L167" s="428"/>
      <c r="M167" s="428"/>
      <c r="N167" s="1475"/>
      <c r="O167" s="450"/>
      <c r="P167" s="1462"/>
    </row>
    <row r="168" spans="1:16" s="942" customFormat="1" ht="15.75" customHeight="1">
      <c r="A168" s="451"/>
      <c r="B168" s="682" t="s">
        <v>226</v>
      </c>
      <c r="C168" s="428"/>
      <c r="D168" s="428">
        <v>1.65</v>
      </c>
      <c r="E168" s="428">
        <f>E166</f>
        <v>2.1750000000000007</v>
      </c>
      <c r="F168" s="428"/>
      <c r="G168" s="428"/>
      <c r="H168" s="428">
        <v>2</v>
      </c>
      <c r="I168" s="428"/>
      <c r="J168" s="428"/>
      <c r="K168" s="428"/>
      <c r="L168" s="428"/>
      <c r="M168" s="428">
        <f>M166</f>
        <v>2</v>
      </c>
      <c r="N168" s="322">
        <f>D168*E168*H168*M168</f>
        <v>14.355000000000004</v>
      </c>
      <c r="O168" s="450"/>
      <c r="P168" s="1462"/>
    </row>
    <row r="169" spans="1:16" s="942" customFormat="1" ht="15.75" customHeight="1">
      <c r="A169" s="451"/>
      <c r="B169" s="682" t="s">
        <v>227</v>
      </c>
      <c r="C169" s="428"/>
      <c r="D169" s="428">
        <v>0.55000000000000004</v>
      </c>
      <c r="E169" s="428">
        <f>E168</f>
        <v>2.1750000000000007</v>
      </c>
      <c r="F169" s="428"/>
      <c r="G169" s="428"/>
      <c r="H169" s="428">
        <v>2</v>
      </c>
      <c r="I169" s="428"/>
      <c r="J169" s="428"/>
      <c r="K169" s="428"/>
      <c r="L169" s="428"/>
      <c r="M169" s="428">
        <f>M168</f>
        <v>2</v>
      </c>
      <c r="N169" s="912">
        <f>D169*E169*H169*M169</f>
        <v>4.7850000000000019</v>
      </c>
      <c r="O169" s="450"/>
      <c r="P169" s="1462"/>
    </row>
    <row r="170" spans="1:16" s="942" customFormat="1" ht="15.75" customHeight="1">
      <c r="A170" s="451"/>
      <c r="B170" s="389"/>
      <c r="C170" s="428"/>
      <c r="D170" s="428"/>
      <c r="E170" s="428"/>
      <c r="F170" s="428"/>
      <c r="G170" s="428"/>
      <c r="H170" s="428"/>
      <c r="I170" s="428"/>
      <c r="J170" s="428"/>
      <c r="K170" s="428"/>
      <c r="L170" s="428"/>
      <c r="M170" s="428"/>
      <c r="N170" s="1476">
        <f>SUM(N154:N169)</f>
        <v>80.027500000000003</v>
      </c>
      <c r="O170" s="450" t="s">
        <v>89</v>
      </c>
      <c r="P170" s="1463">
        <f>ROUND((N170),2)</f>
        <v>80.03</v>
      </c>
    </row>
    <row r="171" spans="1:16" s="942" customFormat="1" ht="15.75" customHeight="1">
      <c r="A171" s="451" t="s">
        <v>98</v>
      </c>
      <c r="B171" s="389" t="s">
        <v>1708</v>
      </c>
      <c r="C171" s="428"/>
      <c r="D171" s="428"/>
      <c r="E171" s="428"/>
      <c r="F171" s="428"/>
      <c r="G171" s="428"/>
      <c r="H171" s="428"/>
      <c r="I171" s="428"/>
      <c r="J171" s="428"/>
      <c r="K171" s="428"/>
      <c r="L171" s="428"/>
      <c r="M171" s="428"/>
      <c r="N171" s="1472"/>
      <c r="O171" s="450"/>
      <c r="P171" s="1462"/>
    </row>
    <row r="172" spans="1:16" s="942" customFormat="1" ht="15.75" customHeight="1">
      <c r="A172" s="451"/>
      <c r="B172" s="926" t="s">
        <v>1695</v>
      </c>
      <c r="C172" s="428"/>
      <c r="D172" s="428"/>
      <c r="E172" s="428"/>
      <c r="F172" s="428"/>
      <c r="G172" s="428"/>
      <c r="H172" s="428"/>
      <c r="I172" s="428"/>
      <c r="J172" s="428"/>
      <c r="K172" s="428"/>
      <c r="L172" s="428"/>
      <c r="M172" s="428"/>
      <c r="N172" s="1472"/>
      <c r="O172" s="450"/>
      <c r="P172" s="1462"/>
    </row>
    <row r="173" spans="1:16" s="942" customFormat="1" ht="15.75" customHeight="1">
      <c r="A173" s="451"/>
      <c r="B173" s="682" t="s">
        <v>1709</v>
      </c>
      <c r="C173" s="428"/>
      <c r="D173" s="428">
        <v>1.5</v>
      </c>
      <c r="E173" s="428">
        <f>0.5-0.15</f>
        <v>0.35</v>
      </c>
      <c r="F173" s="428"/>
      <c r="G173" s="428"/>
      <c r="H173" s="428">
        <v>1</v>
      </c>
      <c r="I173" s="428"/>
      <c r="J173" s="428"/>
      <c r="K173" s="428"/>
      <c r="L173" s="428"/>
      <c r="M173" s="428">
        <f>M169</f>
        <v>2</v>
      </c>
      <c r="N173" s="1472">
        <f t="shared" ref="N173:N180" si="4">D173*E173*H173*M173</f>
        <v>1.0499999999999998</v>
      </c>
      <c r="O173" s="450"/>
      <c r="P173" s="1462"/>
    </row>
    <row r="174" spans="1:16" s="942" customFormat="1" ht="15.75" customHeight="1">
      <c r="A174" s="451"/>
      <c r="B174" s="682" t="s">
        <v>1697</v>
      </c>
      <c r="C174" s="428"/>
      <c r="D174" s="428">
        <v>0.8</v>
      </c>
      <c r="E174" s="428">
        <f>E173</f>
        <v>0.35</v>
      </c>
      <c r="F174" s="428"/>
      <c r="G174" s="428"/>
      <c r="H174" s="428">
        <v>2</v>
      </c>
      <c r="I174" s="428"/>
      <c r="J174" s="428"/>
      <c r="K174" s="428"/>
      <c r="L174" s="428"/>
      <c r="M174" s="428">
        <f t="shared" ref="M174:M180" si="5">M173</f>
        <v>2</v>
      </c>
      <c r="N174" s="1472">
        <f t="shared" si="4"/>
        <v>1.1199999999999999</v>
      </c>
      <c r="O174" s="450"/>
      <c r="P174" s="1462"/>
    </row>
    <row r="175" spans="1:16" s="942" customFormat="1" ht="15.75" customHeight="1">
      <c r="A175" s="451"/>
      <c r="B175" s="682" t="s">
        <v>1710</v>
      </c>
      <c r="C175" s="428"/>
      <c r="D175" s="428">
        <f>D173</f>
        <v>1.5</v>
      </c>
      <c r="E175" s="428">
        <f>E173+0.05</f>
        <v>0.39999999999999997</v>
      </c>
      <c r="F175" s="428"/>
      <c r="G175" s="428"/>
      <c r="H175" s="428">
        <v>1</v>
      </c>
      <c r="I175" s="428"/>
      <c r="J175" s="428"/>
      <c r="K175" s="428"/>
      <c r="L175" s="428"/>
      <c r="M175" s="428">
        <f t="shared" si="5"/>
        <v>2</v>
      </c>
      <c r="N175" s="1472">
        <f t="shared" si="4"/>
        <v>1.2</v>
      </c>
      <c r="O175" s="450"/>
      <c r="P175" s="1462"/>
    </row>
    <row r="176" spans="1:16" s="942" customFormat="1" ht="15.75" customHeight="1">
      <c r="A176" s="451"/>
      <c r="B176" s="682" t="s">
        <v>1699</v>
      </c>
      <c r="C176" s="428"/>
      <c r="D176" s="428">
        <f>D174</f>
        <v>0.8</v>
      </c>
      <c r="E176" s="428">
        <f>E174+0.05</f>
        <v>0.39999999999999997</v>
      </c>
      <c r="F176" s="428"/>
      <c r="G176" s="428"/>
      <c r="H176" s="428">
        <v>2</v>
      </c>
      <c r="I176" s="428"/>
      <c r="J176" s="428"/>
      <c r="K176" s="428"/>
      <c r="L176" s="428"/>
      <c r="M176" s="428">
        <f t="shared" si="5"/>
        <v>2</v>
      </c>
      <c r="N176" s="1472">
        <f t="shared" si="4"/>
        <v>1.28</v>
      </c>
      <c r="O176" s="450"/>
      <c r="P176" s="1462"/>
    </row>
    <row r="177" spans="1:16" s="942" customFormat="1" ht="15.75" customHeight="1">
      <c r="A177" s="451"/>
      <c r="B177" s="682" t="s">
        <v>1343</v>
      </c>
      <c r="C177" s="428"/>
      <c r="D177" s="428">
        <v>0.9</v>
      </c>
      <c r="E177" s="428">
        <f>7.8-6.275</f>
        <v>1.5249999999999995</v>
      </c>
      <c r="F177" s="428"/>
      <c r="G177" s="428"/>
      <c r="H177" s="428">
        <v>1</v>
      </c>
      <c r="I177" s="428"/>
      <c r="J177" s="428"/>
      <c r="K177" s="428"/>
      <c r="L177" s="428"/>
      <c r="M177" s="428">
        <f t="shared" si="5"/>
        <v>2</v>
      </c>
      <c r="N177" s="1472">
        <f t="shared" si="4"/>
        <v>2.7449999999999992</v>
      </c>
      <c r="O177" s="450"/>
      <c r="P177" s="1462"/>
    </row>
    <row r="178" spans="1:16" s="942" customFormat="1" ht="15.75" customHeight="1">
      <c r="A178" s="451"/>
      <c r="B178" s="682" t="s">
        <v>1285</v>
      </c>
      <c r="C178" s="428"/>
      <c r="D178" s="428">
        <v>0.9</v>
      </c>
      <c r="E178" s="428">
        <f>8.825-6.275</f>
        <v>2.5499999999999989</v>
      </c>
      <c r="F178" s="428"/>
      <c r="G178" s="428"/>
      <c r="H178" s="428">
        <v>1</v>
      </c>
      <c r="I178" s="428"/>
      <c r="J178" s="428"/>
      <c r="K178" s="428"/>
      <c r="L178" s="428"/>
      <c r="M178" s="428">
        <f t="shared" si="5"/>
        <v>2</v>
      </c>
      <c r="N178" s="1472">
        <f t="shared" si="4"/>
        <v>4.5899999999999981</v>
      </c>
      <c r="O178" s="450"/>
      <c r="P178" s="1462"/>
    </row>
    <row r="179" spans="1:16" s="942" customFormat="1" ht="15.75" customHeight="1">
      <c r="A179" s="451"/>
      <c r="B179" s="682" t="s">
        <v>223</v>
      </c>
      <c r="C179" s="428"/>
      <c r="D179" s="428">
        <v>0.25</v>
      </c>
      <c r="E179" s="428">
        <f>E178</f>
        <v>2.5499999999999989</v>
      </c>
      <c r="F179" s="428"/>
      <c r="G179" s="428"/>
      <c r="H179" s="428">
        <v>1</v>
      </c>
      <c r="I179" s="428"/>
      <c r="J179" s="428"/>
      <c r="K179" s="428"/>
      <c r="L179" s="428"/>
      <c r="M179" s="428">
        <f t="shared" si="5"/>
        <v>2</v>
      </c>
      <c r="N179" s="1472">
        <f t="shared" si="4"/>
        <v>1.2749999999999995</v>
      </c>
      <c r="O179" s="450"/>
      <c r="P179" s="1462"/>
    </row>
    <row r="180" spans="1:16" s="942" customFormat="1" ht="15.75" customHeight="1">
      <c r="A180" s="451"/>
      <c r="B180" s="682" t="s">
        <v>1447</v>
      </c>
      <c r="C180" s="428"/>
      <c r="D180" s="428">
        <v>0.25</v>
      </c>
      <c r="E180" s="428">
        <f>E179</f>
        <v>2.5499999999999989</v>
      </c>
      <c r="F180" s="428"/>
      <c r="G180" s="428"/>
      <c r="H180" s="428">
        <v>1</v>
      </c>
      <c r="I180" s="428"/>
      <c r="J180" s="428"/>
      <c r="K180" s="428"/>
      <c r="L180" s="428"/>
      <c r="M180" s="428">
        <f t="shared" si="5"/>
        <v>2</v>
      </c>
      <c r="N180" s="1472">
        <f t="shared" si="4"/>
        <v>1.2749999999999995</v>
      </c>
      <c r="O180" s="450"/>
      <c r="P180" s="1462"/>
    </row>
    <row r="181" spans="1:16" s="942" customFormat="1" ht="15.75" customHeight="1">
      <c r="A181" s="451"/>
      <c r="B181" s="926" t="s">
        <v>1707</v>
      </c>
      <c r="C181" s="428"/>
      <c r="D181" s="428"/>
      <c r="E181" s="428"/>
      <c r="F181" s="428"/>
      <c r="G181" s="428"/>
      <c r="H181" s="428"/>
      <c r="I181" s="428"/>
      <c r="J181" s="428"/>
      <c r="K181" s="428"/>
      <c r="L181" s="428"/>
      <c r="M181" s="428"/>
      <c r="N181" s="1472"/>
      <c r="O181" s="450"/>
      <c r="P181" s="1462"/>
    </row>
    <row r="182" spans="1:16" s="942" customFormat="1" ht="15.75" customHeight="1">
      <c r="A182" s="451"/>
      <c r="B182" s="682" t="s">
        <v>226</v>
      </c>
      <c r="C182" s="428"/>
      <c r="D182" s="428">
        <v>1.65</v>
      </c>
      <c r="E182" s="428">
        <f>E177</f>
        <v>1.5249999999999995</v>
      </c>
      <c r="F182" s="428">
        <v>2</v>
      </c>
      <c r="G182" s="428"/>
      <c r="H182" s="428"/>
      <c r="I182" s="428"/>
      <c r="J182" s="428"/>
      <c r="K182" s="428"/>
      <c r="L182" s="428"/>
      <c r="M182" s="428">
        <f>M180</f>
        <v>2</v>
      </c>
      <c r="N182" s="1472">
        <f>D182*E182*F182*M182</f>
        <v>10.064999999999996</v>
      </c>
      <c r="O182" s="450"/>
      <c r="P182" s="1462"/>
    </row>
    <row r="183" spans="1:16" s="942" customFormat="1" ht="15.75" customHeight="1">
      <c r="A183" s="451"/>
      <c r="B183" s="682" t="s">
        <v>227</v>
      </c>
      <c r="C183" s="428"/>
      <c r="D183" s="428">
        <v>0.55000000000000004</v>
      </c>
      <c r="E183" s="428">
        <f>E182</f>
        <v>1.5249999999999995</v>
      </c>
      <c r="F183" s="428">
        <v>2</v>
      </c>
      <c r="G183" s="428"/>
      <c r="H183" s="428"/>
      <c r="I183" s="428"/>
      <c r="J183" s="428"/>
      <c r="K183" s="428"/>
      <c r="L183" s="428"/>
      <c r="M183" s="428">
        <f>M182</f>
        <v>2</v>
      </c>
      <c r="N183" s="1473">
        <f>D183*E183*F183*M183</f>
        <v>3.3549999999999991</v>
      </c>
      <c r="O183" s="450"/>
      <c r="P183" s="1462"/>
    </row>
    <row r="184" spans="1:16" s="942" customFormat="1" ht="15.75" customHeight="1">
      <c r="A184" s="451"/>
      <c r="B184" s="389"/>
      <c r="C184" s="428"/>
      <c r="D184" s="428"/>
      <c r="E184" s="428"/>
      <c r="F184" s="428"/>
      <c r="G184" s="428"/>
      <c r="H184" s="428"/>
      <c r="I184" s="428"/>
      <c r="J184" s="428"/>
      <c r="K184" s="428"/>
      <c r="L184" s="428"/>
      <c r="M184" s="428"/>
      <c r="N184" s="1474">
        <f>SUM(N173:N183)</f>
        <v>27.954999999999995</v>
      </c>
      <c r="O184" s="450" t="s">
        <v>89</v>
      </c>
      <c r="P184" s="1463">
        <f>ROUND((N184),2)</f>
        <v>27.96</v>
      </c>
    </row>
    <row r="185" spans="1:16" s="942" customFormat="1" ht="15.75" customHeight="1">
      <c r="A185" s="451" t="s">
        <v>101</v>
      </c>
      <c r="B185" s="389" t="s">
        <v>1711</v>
      </c>
      <c r="C185" s="428"/>
      <c r="D185" s="428"/>
      <c r="E185" s="428"/>
      <c r="F185" s="428"/>
      <c r="G185" s="428"/>
      <c r="H185" s="428"/>
      <c r="I185" s="428"/>
      <c r="J185" s="428"/>
      <c r="K185" s="428"/>
      <c r="L185" s="428"/>
      <c r="M185" s="428"/>
      <c r="N185" s="389"/>
      <c r="O185" s="450"/>
      <c r="P185" s="1462"/>
    </row>
    <row r="186" spans="1:16" s="942" customFormat="1" ht="15.75" customHeight="1">
      <c r="A186" s="451"/>
      <c r="B186" s="682" t="s">
        <v>226</v>
      </c>
      <c r="C186" s="428"/>
      <c r="D186" s="428">
        <v>0.9</v>
      </c>
      <c r="E186" s="428">
        <v>0.2</v>
      </c>
      <c r="F186" s="428">
        <v>2</v>
      </c>
      <c r="G186" s="428"/>
      <c r="H186" s="428"/>
      <c r="I186" s="428"/>
      <c r="J186" s="428"/>
      <c r="K186" s="428"/>
      <c r="L186" s="428"/>
      <c r="M186" s="428">
        <f>M183</f>
        <v>2</v>
      </c>
      <c r="N186" s="389">
        <f>D186*E186*F186*M186</f>
        <v>0.72000000000000008</v>
      </c>
      <c r="O186" s="450"/>
      <c r="P186" s="1462"/>
    </row>
    <row r="187" spans="1:16" s="942" customFormat="1" ht="15.75" customHeight="1">
      <c r="A187" s="451"/>
      <c r="B187" s="682" t="s">
        <v>227</v>
      </c>
      <c r="C187" s="428"/>
      <c r="D187" s="428">
        <v>0.25</v>
      </c>
      <c r="E187" s="428">
        <f>E186</f>
        <v>0.2</v>
      </c>
      <c r="F187" s="428">
        <v>2</v>
      </c>
      <c r="G187" s="428"/>
      <c r="H187" s="428"/>
      <c r="I187" s="428"/>
      <c r="J187" s="428"/>
      <c r="K187" s="428"/>
      <c r="L187" s="428"/>
      <c r="M187" s="428">
        <f>M186</f>
        <v>2</v>
      </c>
      <c r="N187" s="1479">
        <f>D187*E187*F187*M187</f>
        <v>0.2</v>
      </c>
      <c r="O187" s="450"/>
      <c r="P187" s="1462"/>
    </row>
    <row r="188" spans="1:16" s="942" customFormat="1" ht="15.75" customHeight="1">
      <c r="A188" s="451"/>
      <c r="B188" s="389"/>
      <c r="C188" s="428"/>
      <c r="D188" s="428"/>
      <c r="E188" s="428"/>
      <c r="F188" s="428"/>
      <c r="G188" s="428"/>
      <c r="H188" s="428"/>
      <c r="I188" s="428"/>
      <c r="J188" s="428"/>
      <c r="K188" s="428"/>
      <c r="L188" s="428"/>
      <c r="M188" s="428"/>
      <c r="N188" s="427">
        <f>SUM(N186:N187)</f>
        <v>0.92000000000000015</v>
      </c>
      <c r="O188" s="450" t="s">
        <v>89</v>
      </c>
      <c r="P188" s="1463">
        <f>ROUND((N188),2)</f>
        <v>0.92</v>
      </c>
    </row>
    <row r="189" spans="1:16" s="942" customFormat="1" ht="15.75" customHeight="1">
      <c r="A189" s="451" t="s">
        <v>121</v>
      </c>
      <c r="B189" s="389" t="s">
        <v>1712</v>
      </c>
      <c r="C189" s="428"/>
      <c r="D189" s="428">
        <v>0.65</v>
      </c>
      <c r="E189" s="428">
        <v>0.5</v>
      </c>
      <c r="F189" s="428"/>
      <c r="G189" s="428"/>
      <c r="H189" s="428"/>
      <c r="I189" s="428"/>
      <c r="J189" s="428"/>
      <c r="K189" s="428"/>
      <c r="L189" s="428"/>
      <c r="M189" s="428">
        <f>M187</f>
        <v>2</v>
      </c>
      <c r="N189" s="1480">
        <f>D189*E189*M189</f>
        <v>0.65</v>
      </c>
      <c r="O189" s="450" t="s">
        <v>89</v>
      </c>
      <c r="P189" s="1463">
        <f>ROUND((N189),2)</f>
        <v>0.65</v>
      </c>
    </row>
    <row r="190" spans="1:16" s="942" customFormat="1" ht="15.75" customHeight="1">
      <c r="A190" s="394">
        <f>A151+1</f>
        <v>2</v>
      </c>
      <c r="B190" s="389" t="s">
        <v>193</v>
      </c>
      <c r="C190" s="428"/>
      <c r="D190" s="428"/>
      <c r="E190" s="428"/>
      <c r="F190" s="428"/>
      <c r="G190" s="428"/>
      <c r="H190" s="428"/>
      <c r="I190" s="428"/>
      <c r="J190" s="428"/>
      <c r="K190" s="428"/>
      <c r="L190" s="428"/>
      <c r="M190" s="428"/>
      <c r="N190" s="389"/>
      <c r="O190" s="450"/>
      <c r="P190" s="1462"/>
    </row>
    <row r="191" spans="1:16" s="942" customFormat="1" ht="15.75" customHeight="1">
      <c r="A191" s="451" t="s">
        <v>95</v>
      </c>
      <c r="B191" s="389" t="s">
        <v>1694</v>
      </c>
      <c r="C191" s="428" t="s">
        <v>1713</v>
      </c>
      <c r="D191" s="428"/>
      <c r="E191" s="428"/>
      <c r="F191" s="428"/>
      <c r="G191" s="428"/>
      <c r="H191" s="428"/>
      <c r="I191" s="428"/>
      <c r="J191" s="428"/>
      <c r="K191" s="428"/>
      <c r="L191" s="428"/>
      <c r="M191" s="428"/>
      <c r="N191" s="337">
        <f>P170</f>
        <v>80.03</v>
      </c>
      <c r="O191" s="450" t="s">
        <v>89</v>
      </c>
      <c r="P191" s="1463">
        <f>ROUND((N191),2)</f>
        <v>80.03</v>
      </c>
    </row>
    <row r="192" spans="1:16" s="942" customFormat="1" ht="15.75" customHeight="1">
      <c r="A192" s="451" t="s">
        <v>98</v>
      </c>
      <c r="B192" s="389" t="s">
        <v>1708</v>
      </c>
      <c r="C192" s="428" t="s">
        <v>1713</v>
      </c>
      <c r="D192" s="428"/>
      <c r="E192" s="428"/>
      <c r="F192" s="428"/>
      <c r="G192" s="428"/>
      <c r="H192" s="428"/>
      <c r="I192" s="428"/>
      <c r="J192" s="428"/>
      <c r="K192" s="428"/>
      <c r="L192" s="428"/>
      <c r="M192" s="428"/>
      <c r="N192" s="1481">
        <f>P184</f>
        <v>27.96</v>
      </c>
      <c r="O192" s="450" t="s">
        <v>89</v>
      </c>
      <c r="P192" s="1463">
        <f>ROUND((N192),2)</f>
        <v>27.96</v>
      </c>
    </row>
    <row r="193" spans="1:16" s="942" customFormat="1" ht="15.75" customHeight="1">
      <c r="A193" s="451" t="s">
        <v>101</v>
      </c>
      <c r="B193" s="389" t="s">
        <v>1711</v>
      </c>
      <c r="C193" s="428" t="s">
        <v>1713</v>
      </c>
      <c r="D193" s="428"/>
      <c r="E193" s="428"/>
      <c r="F193" s="428"/>
      <c r="G193" s="428"/>
      <c r="H193" s="428"/>
      <c r="I193" s="428"/>
      <c r="J193" s="428"/>
      <c r="K193" s="428"/>
      <c r="L193" s="428"/>
      <c r="M193" s="428"/>
      <c r="N193" s="337">
        <f>P188</f>
        <v>0.92</v>
      </c>
      <c r="O193" s="450" t="s">
        <v>89</v>
      </c>
      <c r="P193" s="1463">
        <f>ROUND((N193),2)</f>
        <v>0.92</v>
      </c>
    </row>
    <row r="194" spans="1:16" s="942" customFormat="1" ht="15.75" customHeight="1">
      <c r="A194" s="451" t="s">
        <v>121</v>
      </c>
      <c r="B194" s="389" t="s">
        <v>1712</v>
      </c>
      <c r="C194" s="428" t="s">
        <v>1713</v>
      </c>
      <c r="D194" s="428"/>
      <c r="E194" s="428"/>
      <c r="F194" s="428"/>
      <c r="G194" s="428"/>
      <c r="H194" s="428"/>
      <c r="I194" s="428"/>
      <c r="J194" s="428"/>
      <c r="K194" s="428"/>
      <c r="L194" s="428"/>
      <c r="M194" s="428"/>
      <c r="N194" s="337">
        <f>P189</f>
        <v>0.65</v>
      </c>
      <c r="O194" s="450" t="s">
        <v>89</v>
      </c>
      <c r="P194" s="1463">
        <f>ROUND((N194),2)</f>
        <v>0.65</v>
      </c>
    </row>
    <row r="195" spans="1:16" s="942" customFormat="1" ht="15.75" customHeight="1">
      <c r="A195" s="394">
        <f>A190+1</f>
        <v>3</v>
      </c>
      <c r="B195" s="389" t="s">
        <v>194</v>
      </c>
      <c r="C195" s="428"/>
      <c r="D195" s="428"/>
      <c r="E195" s="428"/>
      <c r="F195" s="428"/>
      <c r="G195" s="428"/>
      <c r="H195" s="428"/>
      <c r="I195" s="428"/>
      <c r="J195" s="428"/>
      <c r="K195" s="428"/>
      <c r="L195" s="428"/>
      <c r="M195" s="428"/>
      <c r="N195" s="389"/>
      <c r="O195" s="450"/>
      <c r="P195" s="1462"/>
    </row>
    <row r="196" spans="1:16" s="942" customFormat="1" ht="15.75" customHeight="1">
      <c r="A196" s="451" t="s">
        <v>95</v>
      </c>
      <c r="B196" s="389" t="s">
        <v>1694</v>
      </c>
      <c r="C196" s="428"/>
      <c r="D196" s="428"/>
      <c r="E196" s="428"/>
      <c r="F196" s="428"/>
      <c r="G196" s="428"/>
      <c r="H196" s="428"/>
      <c r="I196" s="428"/>
      <c r="J196" s="428"/>
      <c r="K196" s="428"/>
      <c r="L196" s="428"/>
      <c r="M196" s="428"/>
      <c r="N196" s="389"/>
      <c r="O196" s="450"/>
      <c r="P196" s="1462"/>
    </row>
    <row r="197" spans="1:16" s="942" customFormat="1" ht="15.75" customHeight="1">
      <c r="A197" s="451"/>
      <c r="B197" s="926" t="str">
        <f>B153</f>
        <v>area Pilar</v>
      </c>
      <c r="C197" s="428"/>
      <c r="D197" s="428"/>
      <c r="E197" s="428"/>
      <c r="F197" s="428"/>
      <c r="G197" s="428"/>
      <c r="H197" s="428"/>
      <c r="I197" s="428"/>
      <c r="J197" s="428"/>
      <c r="K197" s="428"/>
      <c r="L197" s="428"/>
      <c r="M197" s="428"/>
      <c r="N197" s="389"/>
      <c r="O197" s="450"/>
      <c r="P197" s="1462"/>
    </row>
    <row r="198" spans="1:16" s="942" customFormat="1" ht="15.75" customHeight="1">
      <c r="A198" s="451"/>
      <c r="B198" s="926" t="s">
        <v>1714</v>
      </c>
      <c r="C198" s="428"/>
      <c r="D198" s="428"/>
      <c r="E198" s="428"/>
      <c r="F198" s="428"/>
      <c r="G198" s="428"/>
      <c r="H198" s="428"/>
      <c r="I198" s="428"/>
      <c r="J198" s="428"/>
      <c r="K198" s="428"/>
      <c r="L198" s="428"/>
      <c r="M198" s="428"/>
      <c r="N198" s="389"/>
      <c r="O198" s="450"/>
      <c r="P198" s="1462"/>
    </row>
    <row r="199" spans="1:16" s="942" customFormat="1" ht="15.75" customHeight="1">
      <c r="A199" s="451"/>
      <c r="B199" s="682" t="s">
        <v>1343</v>
      </c>
      <c r="C199" s="428">
        <v>2</v>
      </c>
      <c r="D199" s="428">
        <v>0.95</v>
      </c>
      <c r="E199" s="428"/>
      <c r="F199" s="428"/>
      <c r="G199" s="428"/>
      <c r="H199" s="428">
        <v>1</v>
      </c>
      <c r="I199" s="428"/>
      <c r="J199" s="428"/>
      <c r="K199" s="428"/>
      <c r="L199" s="428"/>
      <c r="M199" s="428">
        <f>M189</f>
        <v>2</v>
      </c>
      <c r="N199" s="1475">
        <f>C199*D199*H199*M199</f>
        <v>3.8</v>
      </c>
      <c r="O199" s="450"/>
      <c r="P199" s="1462"/>
    </row>
    <row r="200" spans="1:16" s="942" customFormat="1" ht="15.75" customHeight="1">
      <c r="A200" s="451"/>
      <c r="B200" s="682" t="s">
        <v>223</v>
      </c>
      <c r="C200" s="428">
        <v>1</v>
      </c>
      <c r="D200" s="428">
        <f>D199</f>
        <v>0.95</v>
      </c>
      <c r="E200" s="428"/>
      <c r="F200" s="428"/>
      <c r="G200" s="428"/>
      <c r="H200" s="428">
        <v>2</v>
      </c>
      <c r="I200" s="428"/>
      <c r="J200" s="428"/>
      <c r="K200" s="428"/>
      <c r="L200" s="428"/>
      <c r="M200" s="428">
        <f>M199</f>
        <v>2</v>
      </c>
      <c r="N200" s="1475">
        <f>C200*D200*H200*M200</f>
        <v>3.8</v>
      </c>
      <c r="O200" s="450"/>
      <c r="P200" s="1462"/>
    </row>
    <row r="201" spans="1:16" s="942" customFormat="1" ht="15.75" customHeight="1">
      <c r="A201" s="451"/>
      <c r="B201" s="926" t="s">
        <v>1715</v>
      </c>
      <c r="C201" s="428"/>
      <c r="D201" s="428"/>
      <c r="E201" s="428"/>
      <c r="F201" s="428"/>
      <c r="G201" s="428"/>
      <c r="H201" s="428"/>
      <c r="I201" s="428"/>
      <c r="J201" s="428"/>
      <c r="K201" s="428"/>
      <c r="L201" s="428"/>
      <c r="M201" s="428"/>
      <c r="N201" s="1475"/>
      <c r="O201" s="450"/>
      <c r="P201" s="1462"/>
    </row>
    <row r="202" spans="1:16" s="942" customFormat="1" ht="15.75" customHeight="1">
      <c r="A202" s="451"/>
      <c r="B202" s="682" t="s">
        <v>1343</v>
      </c>
      <c r="C202" s="428">
        <f>C199</f>
        <v>2</v>
      </c>
      <c r="D202" s="428">
        <v>0.35</v>
      </c>
      <c r="E202" s="428"/>
      <c r="F202" s="428"/>
      <c r="G202" s="428"/>
      <c r="H202" s="428">
        <f>H199</f>
        <v>1</v>
      </c>
      <c r="I202" s="428"/>
      <c r="J202" s="428"/>
      <c r="K202" s="428"/>
      <c r="L202" s="428"/>
      <c r="M202" s="428">
        <f>M200</f>
        <v>2</v>
      </c>
      <c r="N202" s="1475">
        <f>C202*D202*H202*M202</f>
        <v>1.4</v>
      </c>
      <c r="O202" s="450"/>
      <c r="P202" s="1462"/>
    </row>
    <row r="203" spans="1:16" s="942" customFormat="1" ht="15.75" customHeight="1">
      <c r="A203" s="451"/>
      <c r="B203" s="682" t="s">
        <v>223</v>
      </c>
      <c r="C203" s="428">
        <f>C200</f>
        <v>1</v>
      </c>
      <c r="D203" s="428">
        <f>D202</f>
        <v>0.35</v>
      </c>
      <c r="E203" s="428"/>
      <c r="F203" s="428"/>
      <c r="G203" s="428"/>
      <c r="H203" s="428">
        <f>H200</f>
        <v>2</v>
      </c>
      <c r="I203" s="428"/>
      <c r="J203" s="428"/>
      <c r="K203" s="428"/>
      <c r="L203" s="428"/>
      <c r="M203" s="428">
        <f>M202</f>
        <v>2</v>
      </c>
      <c r="N203" s="912">
        <f>C203*D203*H203*M203</f>
        <v>1.4</v>
      </c>
      <c r="O203" s="450"/>
      <c r="P203" s="1462"/>
    </row>
    <row r="204" spans="1:16" s="942" customFormat="1" ht="15.75" customHeight="1">
      <c r="A204" s="451"/>
      <c r="B204" s="682"/>
      <c r="C204" s="428"/>
      <c r="D204" s="428"/>
      <c r="E204" s="428"/>
      <c r="F204" s="428"/>
      <c r="G204" s="428"/>
      <c r="H204" s="428"/>
      <c r="I204" s="428"/>
      <c r="J204" s="428"/>
      <c r="K204" s="428"/>
      <c r="L204" s="428"/>
      <c r="M204" s="428"/>
      <c r="N204" s="1476">
        <f>SUM(N199:N203)</f>
        <v>10.4</v>
      </c>
      <c r="O204" s="450" t="s">
        <v>89</v>
      </c>
      <c r="P204" s="1463">
        <f>ROUND((N204),2)</f>
        <v>10.4</v>
      </c>
    </row>
    <row r="205" spans="1:16" s="942" customFormat="1" ht="15.75" customHeight="1">
      <c r="A205" s="451" t="s">
        <v>98</v>
      </c>
      <c r="B205" s="389" t="s">
        <v>1708</v>
      </c>
      <c r="C205" s="428"/>
      <c r="D205" s="428"/>
      <c r="E205" s="428"/>
      <c r="F205" s="428"/>
      <c r="G205" s="428"/>
      <c r="H205" s="428"/>
      <c r="I205" s="428"/>
      <c r="J205" s="428"/>
      <c r="K205" s="428"/>
      <c r="L205" s="428"/>
      <c r="M205" s="428"/>
      <c r="N205" s="1475"/>
      <c r="O205" s="450"/>
      <c r="P205" s="1462"/>
    </row>
    <row r="206" spans="1:16" s="942" customFormat="1" ht="15.75" customHeight="1">
      <c r="A206" s="451"/>
      <c r="B206" s="926" t="str">
        <f>B197</f>
        <v>area Pilar</v>
      </c>
      <c r="C206" s="428"/>
      <c r="D206" s="428"/>
      <c r="E206" s="428"/>
      <c r="F206" s="428"/>
      <c r="G206" s="428"/>
      <c r="H206" s="428"/>
      <c r="I206" s="428"/>
      <c r="J206" s="428"/>
      <c r="K206" s="428"/>
      <c r="L206" s="428"/>
      <c r="M206" s="428"/>
      <c r="N206" s="1475"/>
      <c r="O206" s="450"/>
      <c r="P206" s="1462"/>
    </row>
    <row r="207" spans="1:16" s="942" customFormat="1" ht="15.75" customHeight="1">
      <c r="A207" s="451"/>
      <c r="B207" s="926" t="s">
        <v>1714</v>
      </c>
      <c r="C207" s="428"/>
      <c r="D207" s="428"/>
      <c r="E207" s="428"/>
      <c r="F207" s="428"/>
      <c r="G207" s="428"/>
      <c r="H207" s="428"/>
      <c r="I207" s="428"/>
      <c r="J207" s="428"/>
      <c r="K207" s="428"/>
      <c r="L207" s="428"/>
      <c r="M207" s="428"/>
      <c r="N207" s="1475"/>
      <c r="O207" s="450"/>
      <c r="P207" s="1462"/>
    </row>
    <row r="208" spans="1:16" s="942" customFormat="1" ht="15.75" customHeight="1">
      <c r="A208" s="451"/>
      <c r="B208" s="682" t="s">
        <v>1343</v>
      </c>
      <c r="C208" s="428">
        <v>1.6</v>
      </c>
      <c r="D208" s="428">
        <v>0.5</v>
      </c>
      <c r="E208" s="428"/>
      <c r="F208" s="428"/>
      <c r="G208" s="428"/>
      <c r="H208" s="428">
        <v>1</v>
      </c>
      <c r="I208" s="428"/>
      <c r="J208" s="428"/>
      <c r="K208" s="428"/>
      <c r="L208" s="428"/>
      <c r="M208" s="428">
        <f>M199</f>
        <v>2</v>
      </c>
      <c r="N208" s="1475">
        <f>C208*D208*H208*M208</f>
        <v>1.6</v>
      </c>
      <c r="O208" s="450"/>
      <c r="P208" s="1462"/>
    </row>
    <row r="209" spans="1:16" s="942" customFormat="1" ht="15.75" customHeight="1">
      <c r="A209" s="451"/>
      <c r="B209" s="682" t="s">
        <v>223</v>
      </c>
      <c r="C209" s="428">
        <v>0.8</v>
      </c>
      <c r="D209" s="428">
        <f>D208</f>
        <v>0.5</v>
      </c>
      <c r="E209" s="428"/>
      <c r="F209" s="428"/>
      <c r="G209" s="428"/>
      <c r="H209" s="428">
        <v>2</v>
      </c>
      <c r="I209" s="428"/>
      <c r="J209" s="428"/>
      <c r="K209" s="428"/>
      <c r="L209" s="428"/>
      <c r="M209" s="428">
        <f>M200</f>
        <v>2</v>
      </c>
      <c r="N209" s="1475">
        <f>C209*D209*H209*M209</f>
        <v>1.6</v>
      </c>
      <c r="O209" s="450"/>
      <c r="P209" s="1462"/>
    </row>
    <row r="210" spans="1:16" s="942" customFormat="1" ht="15.75" customHeight="1">
      <c r="A210" s="451"/>
      <c r="B210" s="926" t="s">
        <v>1715</v>
      </c>
      <c r="C210" s="428"/>
      <c r="D210" s="428"/>
      <c r="E210" s="428"/>
      <c r="F210" s="428"/>
      <c r="G210" s="428"/>
      <c r="H210" s="428"/>
      <c r="I210" s="428"/>
      <c r="J210" s="428"/>
      <c r="K210" s="428"/>
      <c r="L210" s="428"/>
      <c r="M210" s="428"/>
      <c r="N210" s="1475"/>
      <c r="O210" s="450"/>
      <c r="P210" s="1462"/>
    </row>
    <row r="211" spans="1:16" s="942" customFormat="1" ht="15.75" customHeight="1">
      <c r="A211" s="451"/>
      <c r="B211" s="682" t="s">
        <v>1343</v>
      </c>
      <c r="C211" s="428">
        <f>C208</f>
        <v>1.6</v>
      </c>
      <c r="D211" s="428">
        <v>0.15</v>
      </c>
      <c r="E211" s="428"/>
      <c r="F211" s="428"/>
      <c r="G211" s="428"/>
      <c r="H211" s="428">
        <v>1</v>
      </c>
      <c r="I211" s="428"/>
      <c r="J211" s="428"/>
      <c r="K211" s="428"/>
      <c r="L211" s="428"/>
      <c r="M211" s="428">
        <f>M202</f>
        <v>2</v>
      </c>
      <c r="N211" s="1475">
        <f>C211*D211*H211*M211</f>
        <v>0.48</v>
      </c>
      <c r="O211" s="450"/>
      <c r="P211" s="1462"/>
    </row>
    <row r="212" spans="1:16" s="942" customFormat="1" ht="15.75" customHeight="1">
      <c r="A212" s="451"/>
      <c r="B212" s="682" t="s">
        <v>223</v>
      </c>
      <c r="C212" s="428">
        <f>C209</f>
        <v>0.8</v>
      </c>
      <c r="D212" s="428">
        <f>D211</f>
        <v>0.15</v>
      </c>
      <c r="E212" s="428"/>
      <c r="F212" s="428"/>
      <c r="G212" s="428"/>
      <c r="H212" s="428">
        <v>2</v>
      </c>
      <c r="I212" s="428"/>
      <c r="J212" s="428"/>
      <c r="K212" s="428"/>
      <c r="L212" s="428"/>
      <c r="M212" s="428">
        <f>M203</f>
        <v>2</v>
      </c>
      <c r="N212" s="912">
        <f>C212*D212*H212*M212</f>
        <v>0.48</v>
      </c>
      <c r="O212" s="450"/>
      <c r="P212" s="1462"/>
    </row>
    <row r="213" spans="1:16" s="942" customFormat="1" ht="15.75" customHeight="1">
      <c r="A213" s="451"/>
      <c r="B213" s="389"/>
      <c r="C213" s="428"/>
      <c r="D213" s="428"/>
      <c r="E213" s="428"/>
      <c r="F213" s="428"/>
      <c r="G213" s="428"/>
      <c r="H213" s="428"/>
      <c r="I213" s="428"/>
      <c r="J213" s="428"/>
      <c r="K213" s="428"/>
      <c r="L213" s="428"/>
      <c r="M213" s="428"/>
      <c r="N213" s="1476">
        <f>SUM(N208:N212)</f>
        <v>4.16</v>
      </c>
      <c r="O213" s="450" t="s">
        <v>89</v>
      </c>
      <c r="P213" s="1463">
        <f>ROUND((N213),2)</f>
        <v>4.16</v>
      </c>
    </row>
    <row r="214" spans="1:16" s="942" customFormat="1" ht="15.75" customHeight="1">
      <c r="A214" s="451" t="s">
        <v>101</v>
      </c>
      <c r="B214" s="389" t="s">
        <v>1712</v>
      </c>
      <c r="C214" s="428" t="s">
        <v>1716</v>
      </c>
      <c r="D214" s="428"/>
      <c r="E214" s="428"/>
      <c r="F214" s="428"/>
      <c r="G214" s="428"/>
      <c r="H214" s="428"/>
      <c r="I214" s="428"/>
      <c r="J214" s="428"/>
      <c r="K214" s="428"/>
      <c r="L214" s="428"/>
      <c r="M214" s="428"/>
      <c r="N214" s="1475">
        <f>N194</f>
        <v>0.65</v>
      </c>
      <c r="O214" s="450" t="s">
        <v>89</v>
      </c>
      <c r="P214" s="1463">
        <f>ROUND((N214),2)</f>
        <v>0.65</v>
      </c>
    </row>
    <row r="215" spans="1:16" s="942" customFormat="1" ht="15.75" customHeight="1">
      <c r="A215" s="394">
        <f>A195+1</f>
        <v>4</v>
      </c>
      <c r="B215" s="389" t="s">
        <v>1403</v>
      </c>
      <c r="C215" s="428"/>
      <c r="D215" s="428"/>
      <c r="E215" s="428"/>
      <c r="F215" s="428"/>
      <c r="G215" s="428"/>
      <c r="H215" s="428"/>
      <c r="I215" s="428"/>
      <c r="J215" s="428"/>
      <c r="K215" s="428"/>
      <c r="L215" s="428"/>
      <c r="M215" s="428"/>
      <c r="N215" s="1475"/>
      <c r="O215" s="450"/>
      <c r="P215" s="1462"/>
    </row>
    <row r="216" spans="1:16" s="942" customFormat="1" ht="15.75" customHeight="1">
      <c r="A216" s="451" t="s">
        <v>95</v>
      </c>
      <c r="B216" s="389" t="s">
        <v>1694</v>
      </c>
      <c r="C216" s="428" t="s">
        <v>1717</v>
      </c>
      <c r="D216" s="428"/>
      <c r="E216" s="428"/>
      <c r="F216" s="428"/>
      <c r="G216" s="428"/>
      <c r="H216" s="428"/>
      <c r="I216" s="428"/>
      <c r="J216" s="428"/>
      <c r="K216" s="428"/>
      <c r="L216" s="428"/>
      <c r="M216" s="428"/>
      <c r="N216" s="1475">
        <f>N191</f>
        <v>80.03</v>
      </c>
      <c r="O216" s="450" t="s">
        <v>89</v>
      </c>
      <c r="P216" s="1463">
        <f t="shared" ref="P216:P226" si="6">ROUND((N216),2)</f>
        <v>80.03</v>
      </c>
    </row>
    <row r="217" spans="1:16" s="942" customFormat="1" ht="15.75" customHeight="1">
      <c r="A217" s="451" t="s">
        <v>98</v>
      </c>
      <c r="B217" s="389" t="s">
        <v>1708</v>
      </c>
      <c r="C217" s="428" t="s">
        <v>1717</v>
      </c>
      <c r="D217" s="428"/>
      <c r="E217" s="428"/>
      <c r="F217" s="428"/>
      <c r="G217" s="428"/>
      <c r="H217" s="428"/>
      <c r="I217" s="428"/>
      <c r="J217" s="428"/>
      <c r="K217" s="428"/>
      <c r="L217" s="428"/>
      <c r="M217" s="428"/>
      <c r="N217" s="1475">
        <f>N192</f>
        <v>27.96</v>
      </c>
      <c r="O217" s="450" t="s">
        <v>89</v>
      </c>
      <c r="P217" s="1463">
        <f t="shared" si="6"/>
        <v>27.96</v>
      </c>
    </row>
    <row r="218" spans="1:16" s="942" customFormat="1" ht="15.75" customHeight="1">
      <c r="A218" s="394">
        <f>A215+1</f>
        <v>5</v>
      </c>
      <c r="B218" s="389" t="s">
        <v>1718</v>
      </c>
      <c r="C218" s="428"/>
      <c r="D218" s="428">
        <v>1.5</v>
      </c>
      <c r="E218" s="428">
        <v>2</v>
      </c>
      <c r="F218" s="428"/>
      <c r="G218" s="428"/>
      <c r="H218" s="428">
        <v>2</v>
      </c>
      <c r="I218" s="428"/>
      <c r="J218" s="428"/>
      <c r="K218" s="428"/>
      <c r="L218" s="428"/>
      <c r="M218" s="428"/>
      <c r="N218" s="1475">
        <f>D218*E218*H218</f>
        <v>6</v>
      </c>
      <c r="O218" s="450" t="s">
        <v>89</v>
      </c>
      <c r="P218" s="1463">
        <f t="shared" si="6"/>
        <v>6</v>
      </c>
    </row>
    <row r="219" spans="1:16" s="942" customFormat="1" ht="15.75" customHeight="1">
      <c r="A219" s="394">
        <f t="shared" ref="A219:A226" si="7">A218+1</f>
        <v>6</v>
      </c>
      <c r="B219" s="389" t="s">
        <v>1719</v>
      </c>
      <c r="C219" s="428"/>
      <c r="D219" s="428">
        <v>2.5</v>
      </c>
      <c r="E219" s="428">
        <v>13</v>
      </c>
      <c r="F219" s="428"/>
      <c r="G219" s="428"/>
      <c r="H219" s="428"/>
      <c r="I219" s="428"/>
      <c r="J219" s="428"/>
      <c r="K219" s="428"/>
      <c r="L219" s="428"/>
      <c r="M219" s="428"/>
      <c r="N219" s="1475">
        <f>D219*E219</f>
        <v>32.5</v>
      </c>
      <c r="O219" s="450" t="s">
        <v>89</v>
      </c>
      <c r="P219" s="1463">
        <f t="shared" si="6"/>
        <v>32.5</v>
      </c>
    </row>
    <row r="220" spans="1:16" s="942" customFormat="1" ht="15.75" customHeight="1">
      <c r="A220" s="394">
        <f t="shared" si="7"/>
        <v>7</v>
      </c>
      <c r="B220" s="389" t="s">
        <v>451</v>
      </c>
      <c r="C220" s="428"/>
      <c r="D220" s="428"/>
      <c r="E220" s="428"/>
      <c r="F220" s="428"/>
      <c r="G220" s="428"/>
      <c r="H220" s="428"/>
      <c r="I220" s="428"/>
      <c r="J220" s="428"/>
      <c r="K220" s="428"/>
      <c r="L220" s="428"/>
      <c r="M220" s="428"/>
      <c r="N220" s="1475">
        <f>N219</f>
        <v>32.5</v>
      </c>
      <c r="O220" s="450" t="s">
        <v>89</v>
      </c>
      <c r="P220" s="1463">
        <f t="shared" si="6"/>
        <v>32.5</v>
      </c>
    </row>
    <row r="221" spans="1:16" s="942" customFormat="1" ht="15.75" customHeight="1">
      <c r="A221" s="394">
        <f t="shared" si="7"/>
        <v>8</v>
      </c>
      <c r="B221" s="389" t="s">
        <v>450</v>
      </c>
      <c r="C221" s="428" t="s">
        <v>1720</v>
      </c>
      <c r="D221" s="428"/>
      <c r="E221" s="428"/>
      <c r="F221" s="428"/>
      <c r="G221" s="428"/>
      <c r="H221" s="428"/>
      <c r="I221" s="428"/>
      <c r="J221" s="428"/>
      <c r="K221" s="428"/>
      <c r="L221" s="428"/>
      <c r="M221" s="428"/>
      <c r="N221" s="1475">
        <f>N204+N213+N214</f>
        <v>15.21</v>
      </c>
      <c r="O221" s="450" t="s">
        <v>89</v>
      </c>
      <c r="P221" s="1463">
        <f t="shared" si="6"/>
        <v>15.21</v>
      </c>
    </row>
    <row r="222" spans="1:16" s="942" customFormat="1" ht="15.75" customHeight="1">
      <c r="A222" s="394">
        <f t="shared" si="7"/>
        <v>9</v>
      </c>
      <c r="B222" s="389" t="s">
        <v>1721</v>
      </c>
      <c r="C222" s="428"/>
      <c r="D222" s="428"/>
      <c r="E222" s="428"/>
      <c r="F222" s="428"/>
      <c r="G222" s="428"/>
      <c r="H222" s="428"/>
      <c r="I222" s="428"/>
      <c r="J222" s="428"/>
      <c r="K222" s="428"/>
      <c r="L222" s="428"/>
      <c r="M222" s="428"/>
      <c r="N222" s="1475">
        <v>1</v>
      </c>
      <c r="O222" s="450" t="s">
        <v>360</v>
      </c>
      <c r="P222" s="1463">
        <f t="shared" si="6"/>
        <v>1</v>
      </c>
    </row>
    <row r="223" spans="1:16" s="942" customFormat="1" ht="15.75" customHeight="1">
      <c r="A223" s="394">
        <f t="shared" si="7"/>
        <v>10</v>
      </c>
      <c r="B223" s="389" t="s">
        <v>1722</v>
      </c>
      <c r="C223" s="428"/>
      <c r="D223" s="428"/>
      <c r="E223" s="428"/>
      <c r="F223" s="428"/>
      <c r="G223" s="428"/>
      <c r="H223" s="428"/>
      <c r="I223" s="428"/>
      <c r="J223" s="428"/>
      <c r="K223" s="428"/>
      <c r="L223" s="428"/>
      <c r="M223" s="428"/>
      <c r="N223" s="1475">
        <v>1</v>
      </c>
      <c r="O223" s="450" t="s">
        <v>360</v>
      </c>
      <c r="P223" s="1463">
        <f t="shared" si="6"/>
        <v>1</v>
      </c>
    </row>
    <row r="224" spans="1:16" s="942" customFormat="1" ht="15.75" customHeight="1">
      <c r="A224" s="394">
        <f t="shared" si="7"/>
        <v>11</v>
      </c>
      <c r="B224" s="3269" t="s">
        <v>1723</v>
      </c>
      <c r="C224" s="3269"/>
      <c r="D224" s="3269"/>
      <c r="E224" s="428"/>
      <c r="F224" s="428"/>
      <c r="G224" s="428"/>
      <c r="H224" s="428"/>
      <c r="I224" s="428"/>
      <c r="J224" s="428"/>
      <c r="K224" s="428"/>
      <c r="L224" s="428"/>
      <c r="M224" s="428"/>
      <c r="N224" s="1475">
        <v>4</v>
      </c>
      <c r="O224" s="450" t="s">
        <v>124</v>
      </c>
      <c r="P224" s="1463">
        <f t="shared" si="6"/>
        <v>4</v>
      </c>
    </row>
    <row r="225" spans="1:16" s="942" customFormat="1" ht="42" customHeight="1">
      <c r="A225" s="394">
        <f t="shared" si="7"/>
        <v>12</v>
      </c>
      <c r="B225" s="872" t="s">
        <v>1724</v>
      </c>
      <c r="C225" s="428">
        <v>13</v>
      </c>
      <c r="D225" s="428">
        <v>17</v>
      </c>
      <c r="E225" s="428"/>
      <c r="F225" s="428"/>
      <c r="G225" s="428"/>
      <c r="H225" s="428"/>
      <c r="I225" s="428"/>
      <c r="J225" s="428"/>
      <c r="K225" s="428"/>
      <c r="L225" s="428"/>
      <c r="M225" s="428"/>
      <c r="N225" s="1475">
        <f>C225+D225</f>
        <v>30</v>
      </c>
      <c r="O225" s="450" t="s">
        <v>124</v>
      </c>
      <c r="P225" s="1463">
        <f t="shared" si="6"/>
        <v>30</v>
      </c>
    </row>
    <row r="226" spans="1:16" s="942" customFormat="1" ht="27.75" customHeight="1">
      <c r="A226" s="394">
        <f t="shared" si="7"/>
        <v>13</v>
      </c>
      <c r="B226" s="872" t="s">
        <v>1725</v>
      </c>
      <c r="C226" s="428"/>
      <c r="D226" s="428"/>
      <c r="E226" s="428"/>
      <c r="F226" s="428"/>
      <c r="G226" s="428"/>
      <c r="H226" s="428"/>
      <c r="I226" s="428"/>
      <c r="J226" s="428"/>
      <c r="K226" s="428"/>
      <c r="L226" s="428"/>
      <c r="M226" s="428"/>
      <c r="N226" s="1475">
        <v>24</v>
      </c>
      <c r="O226" s="450" t="s">
        <v>124</v>
      </c>
      <c r="P226" s="1463">
        <f t="shared" si="6"/>
        <v>24</v>
      </c>
    </row>
    <row r="227" spans="1:16" s="942" customFormat="1" ht="15.75" customHeight="1">
      <c r="A227" s="971" t="s">
        <v>1726</v>
      </c>
      <c r="B227" s="446" t="s">
        <v>1727</v>
      </c>
      <c r="C227" s="428"/>
      <c r="D227" s="428"/>
      <c r="E227" s="428"/>
      <c r="F227" s="428"/>
      <c r="G227" s="428"/>
      <c r="H227" s="428"/>
      <c r="I227" s="428"/>
      <c r="J227" s="428"/>
      <c r="K227" s="428"/>
      <c r="L227" s="428"/>
      <c r="M227" s="428"/>
      <c r="N227" s="1475"/>
      <c r="O227" s="450"/>
      <c r="P227" s="1462"/>
    </row>
    <row r="228" spans="1:16" s="942" customFormat="1" ht="15.75" customHeight="1">
      <c r="A228" s="971" t="s">
        <v>1728</v>
      </c>
      <c r="B228" s="446" t="s">
        <v>395</v>
      </c>
      <c r="C228" s="428"/>
      <c r="D228" s="428"/>
      <c r="E228" s="428"/>
      <c r="F228" s="428"/>
      <c r="G228" s="428"/>
      <c r="H228" s="428"/>
      <c r="I228" s="428"/>
      <c r="J228" s="428"/>
      <c r="K228" s="428"/>
      <c r="L228" s="428"/>
      <c r="M228" s="428"/>
      <c r="N228" s="1475"/>
      <c r="O228" s="450"/>
      <c r="P228" s="1462"/>
    </row>
    <row r="229" spans="1:16" s="942" customFormat="1" ht="15.75" customHeight="1">
      <c r="A229" s="394">
        <v>1</v>
      </c>
      <c r="B229" s="389" t="s">
        <v>403</v>
      </c>
      <c r="C229" s="428"/>
      <c r="D229" s="428"/>
      <c r="E229" s="428"/>
      <c r="F229" s="428"/>
      <c r="G229" s="428"/>
      <c r="H229" s="428"/>
      <c r="I229" s="428"/>
      <c r="J229" s="428"/>
      <c r="K229" s="428"/>
      <c r="L229" s="428"/>
      <c r="M229" s="428"/>
      <c r="N229" s="1475"/>
      <c r="O229" s="450"/>
      <c r="P229" s="1462"/>
    </row>
    <row r="230" spans="1:16" s="942" customFormat="1" ht="15.75" customHeight="1">
      <c r="A230" s="451" t="s">
        <v>95</v>
      </c>
      <c r="B230" s="389" t="s">
        <v>491</v>
      </c>
      <c r="C230" s="428"/>
      <c r="D230" s="428"/>
      <c r="E230" s="428"/>
      <c r="F230" s="428"/>
      <c r="G230" s="428"/>
      <c r="H230" s="428"/>
      <c r="I230" s="428"/>
      <c r="J230" s="428"/>
      <c r="K230" s="428"/>
      <c r="L230" s="428"/>
      <c r="M230" s="428"/>
      <c r="N230" s="1475"/>
      <c r="O230" s="450"/>
      <c r="P230" s="1462"/>
    </row>
    <row r="231" spans="1:16" s="942" customFormat="1" ht="15.75" customHeight="1">
      <c r="A231" s="451"/>
      <c r="B231" s="389"/>
      <c r="C231" s="428">
        <v>1.05</v>
      </c>
      <c r="D231" s="428">
        <v>0.7</v>
      </c>
      <c r="E231" s="428">
        <v>0.85</v>
      </c>
      <c r="F231" s="428"/>
      <c r="G231" s="428">
        <v>2</v>
      </c>
      <c r="H231" s="428"/>
      <c r="I231" s="428"/>
      <c r="J231" s="428"/>
      <c r="K231" s="428"/>
      <c r="L231" s="428"/>
      <c r="M231" s="428">
        <v>1</v>
      </c>
      <c r="N231" s="428">
        <f>C231*D231*E231*G231*M231</f>
        <v>1.2495000000000001</v>
      </c>
      <c r="O231" s="446"/>
      <c r="P231" s="1462"/>
    </row>
    <row r="232" spans="1:16" s="942" customFormat="1" ht="15.75" customHeight="1">
      <c r="A232" s="451"/>
      <c r="B232" s="389"/>
      <c r="C232" s="428">
        <v>1.95</v>
      </c>
      <c r="D232" s="428">
        <f>D231</f>
        <v>0.7</v>
      </c>
      <c r="E232" s="428">
        <f>E231</f>
        <v>0.85</v>
      </c>
      <c r="F232" s="428"/>
      <c r="G232" s="428">
        <v>2</v>
      </c>
      <c r="H232" s="428"/>
      <c r="I232" s="428"/>
      <c r="J232" s="428"/>
      <c r="K232" s="428"/>
      <c r="L232" s="428"/>
      <c r="M232" s="428">
        <v>1</v>
      </c>
      <c r="N232" s="590">
        <f>C232*D232*E232*G232*M232</f>
        <v>2.3205</v>
      </c>
      <c r="O232" s="446"/>
      <c r="P232" s="1462"/>
    </row>
    <row r="233" spans="1:16" s="942" customFormat="1" ht="15.75" customHeight="1">
      <c r="A233" s="451"/>
      <c r="B233" s="389"/>
      <c r="C233" s="428"/>
      <c r="D233" s="428"/>
      <c r="E233" s="428"/>
      <c r="F233" s="428"/>
      <c r="G233" s="428"/>
      <c r="H233" s="428"/>
      <c r="I233" s="428"/>
      <c r="J233" s="428"/>
      <c r="K233" s="428"/>
      <c r="L233" s="428"/>
      <c r="M233" s="428"/>
      <c r="N233" s="390">
        <f>SUM(N230:N232)</f>
        <v>3.5700000000000003</v>
      </c>
      <c r="O233" s="389" t="s">
        <v>103</v>
      </c>
      <c r="P233" s="1463">
        <f>ROUND((N233),2)</f>
        <v>3.57</v>
      </c>
    </row>
    <row r="234" spans="1:16" s="942" customFormat="1" ht="15.75" customHeight="1">
      <c r="A234" s="451" t="s">
        <v>98</v>
      </c>
      <c r="B234" s="389" t="s">
        <v>406</v>
      </c>
      <c r="C234" s="428"/>
      <c r="D234" s="428"/>
      <c r="E234" s="428"/>
      <c r="F234" s="428"/>
      <c r="G234" s="428"/>
      <c r="H234" s="428"/>
      <c r="I234" s="428"/>
      <c r="J234" s="428"/>
      <c r="K234" s="428"/>
      <c r="L234" s="428"/>
      <c r="M234" s="428"/>
      <c r="N234" s="1475"/>
      <c r="O234" s="450"/>
      <c r="P234" s="1462"/>
    </row>
    <row r="235" spans="1:16" s="942" customFormat="1" ht="15.75" customHeight="1">
      <c r="A235" s="451"/>
      <c r="B235" s="389"/>
      <c r="C235" s="428">
        <f>C231</f>
        <v>1.05</v>
      </c>
      <c r="D235" s="428">
        <f>D231</f>
        <v>0.7</v>
      </c>
      <c r="E235" s="428">
        <v>7.0000000000000007E-2</v>
      </c>
      <c r="F235" s="428"/>
      <c r="G235" s="428">
        <f>G231</f>
        <v>2</v>
      </c>
      <c r="H235" s="428"/>
      <c r="I235" s="428"/>
      <c r="J235" s="428"/>
      <c r="K235" s="428"/>
      <c r="L235" s="428"/>
      <c r="M235" s="428">
        <f>M231</f>
        <v>1</v>
      </c>
      <c r="N235" s="428">
        <f>C235*D235*E235*G235*M235</f>
        <v>0.10290000000000001</v>
      </c>
      <c r="O235" s="446"/>
      <c r="P235" s="1462"/>
    </row>
    <row r="236" spans="1:16" s="942" customFormat="1" ht="15.75" customHeight="1">
      <c r="A236" s="451"/>
      <c r="B236" s="389"/>
      <c r="C236" s="428">
        <f>C232</f>
        <v>1.95</v>
      </c>
      <c r="D236" s="428">
        <f>D235</f>
        <v>0.7</v>
      </c>
      <c r="E236" s="428">
        <f>E235</f>
        <v>7.0000000000000007E-2</v>
      </c>
      <c r="F236" s="428"/>
      <c r="G236" s="428">
        <f>G232</f>
        <v>2</v>
      </c>
      <c r="H236" s="428"/>
      <c r="I236" s="428"/>
      <c r="J236" s="428"/>
      <c r="K236" s="428"/>
      <c r="L236" s="428"/>
      <c r="M236" s="428">
        <f>M232</f>
        <v>1</v>
      </c>
      <c r="N236" s="590">
        <f>C236*D236*E236*G236*M236</f>
        <v>0.19110000000000002</v>
      </c>
      <c r="O236" s="446"/>
      <c r="P236" s="1462"/>
    </row>
    <row r="237" spans="1:16" s="942" customFormat="1" ht="15.75" customHeight="1">
      <c r="A237" s="451"/>
      <c r="B237" s="389"/>
      <c r="C237" s="428"/>
      <c r="D237" s="428"/>
      <c r="E237" s="428"/>
      <c r="F237" s="428"/>
      <c r="G237" s="428"/>
      <c r="H237" s="428"/>
      <c r="I237" s="428"/>
      <c r="J237" s="428"/>
      <c r="K237" s="428"/>
      <c r="L237" s="428"/>
      <c r="M237" s="428"/>
      <c r="N237" s="390">
        <f>SUM(N234:N236)</f>
        <v>0.29400000000000004</v>
      </c>
      <c r="O237" s="389" t="s">
        <v>103</v>
      </c>
      <c r="P237" s="1463">
        <f>ROUND((N237),2)</f>
        <v>0.28999999999999998</v>
      </c>
    </row>
    <row r="238" spans="1:16" s="942" customFormat="1" ht="15.75" customHeight="1">
      <c r="A238" s="451" t="s">
        <v>101</v>
      </c>
      <c r="B238" s="389" t="s">
        <v>407</v>
      </c>
      <c r="C238" s="428"/>
      <c r="D238" s="1467" t="s">
        <v>1679</v>
      </c>
      <c r="E238" s="428"/>
      <c r="F238" s="428"/>
      <c r="G238" s="428"/>
      <c r="H238" s="428"/>
      <c r="I238" s="428"/>
      <c r="J238" s="428"/>
      <c r="K238" s="428"/>
      <c r="L238" s="428"/>
      <c r="M238" s="428"/>
      <c r="N238" s="428"/>
      <c r="O238" s="450"/>
      <c r="P238" s="1462"/>
    </row>
    <row r="239" spans="1:16" s="942" customFormat="1" ht="15.75" customHeight="1">
      <c r="A239" s="451"/>
      <c r="B239" s="389"/>
      <c r="C239" s="428">
        <f>C235</f>
        <v>1.05</v>
      </c>
      <c r="D239" s="428">
        <f>(0.3+0.6)/2</f>
        <v>0.44999999999999996</v>
      </c>
      <c r="E239" s="428">
        <v>0.6</v>
      </c>
      <c r="F239" s="428"/>
      <c r="G239" s="428">
        <f>G235</f>
        <v>2</v>
      </c>
      <c r="H239" s="428"/>
      <c r="I239" s="428"/>
      <c r="J239" s="428"/>
      <c r="K239" s="428"/>
      <c r="L239" s="428"/>
      <c r="M239" s="428">
        <f>M235</f>
        <v>1</v>
      </c>
      <c r="N239" s="428">
        <f>C239*D239*E239*G239*M239</f>
        <v>0.56699999999999995</v>
      </c>
      <c r="O239" s="450"/>
      <c r="P239" s="1462"/>
    </row>
    <row r="240" spans="1:16" s="942" customFormat="1" ht="15.75" customHeight="1">
      <c r="A240" s="451"/>
      <c r="B240" s="389"/>
      <c r="C240" s="428">
        <f>C236</f>
        <v>1.95</v>
      </c>
      <c r="D240" s="428">
        <f>D239</f>
        <v>0.44999999999999996</v>
      </c>
      <c r="E240" s="428">
        <f>E239</f>
        <v>0.6</v>
      </c>
      <c r="F240" s="428"/>
      <c r="G240" s="428">
        <f>G236</f>
        <v>2</v>
      </c>
      <c r="H240" s="428"/>
      <c r="I240" s="428"/>
      <c r="J240" s="428"/>
      <c r="K240" s="428"/>
      <c r="L240" s="428"/>
      <c r="M240" s="428">
        <f>M236</f>
        <v>1</v>
      </c>
      <c r="N240" s="590">
        <f>C240*D240*E240*G240*M240</f>
        <v>1.0529999999999999</v>
      </c>
      <c r="O240" s="450"/>
      <c r="P240" s="1462"/>
    </row>
    <row r="241" spans="1:16" s="942" customFormat="1" ht="15.75" customHeight="1">
      <c r="A241" s="451"/>
      <c r="B241" s="389"/>
      <c r="C241" s="428"/>
      <c r="D241" s="428"/>
      <c r="E241" s="428"/>
      <c r="F241" s="428"/>
      <c r="G241" s="428"/>
      <c r="H241" s="428"/>
      <c r="I241" s="428"/>
      <c r="J241" s="428"/>
      <c r="K241" s="428"/>
      <c r="L241" s="428"/>
      <c r="M241" s="428"/>
      <c r="N241" s="390">
        <f>SUM(N238:N240)</f>
        <v>1.6199999999999999</v>
      </c>
      <c r="O241" s="389" t="s">
        <v>103</v>
      </c>
      <c r="P241" s="1463">
        <f>ROUND((N241),2)</f>
        <v>1.62</v>
      </c>
    </row>
    <row r="242" spans="1:16" s="942" customFormat="1" ht="15.75" customHeight="1">
      <c r="A242" s="394">
        <f>A229+1</f>
        <v>2</v>
      </c>
      <c r="B242" s="450" t="s">
        <v>409</v>
      </c>
      <c r="C242" s="428"/>
      <c r="D242" s="428"/>
      <c r="E242" s="428"/>
      <c r="F242" s="428"/>
      <c r="G242" s="428"/>
      <c r="H242" s="428"/>
      <c r="I242" s="428"/>
      <c r="J242" s="428"/>
      <c r="K242" s="428"/>
      <c r="L242" s="428"/>
      <c r="M242" s="428"/>
      <c r="N242" s="1475"/>
      <c r="O242" s="450"/>
      <c r="P242" s="1462"/>
    </row>
    <row r="243" spans="1:16" s="942" customFormat="1" ht="15.75" customHeight="1">
      <c r="A243" s="451" t="s">
        <v>95</v>
      </c>
      <c r="B243" s="389" t="s">
        <v>221</v>
      </c>
      <c r="C243" s="428"/>
      <c r="D243" s="428"/>
      <c r="E243" s="428"/>
      <c r="F243" s="428"/>
      <c r="G243" s="428"/>
      <c r="H243" s="428"/>
      <c r="I243" s="428"/>
      <c r="J243" s="428"/>
      <c r="K243" s="428"/>
      <c r="L243" s="428"/>
      <c r="M243" s="428"/>
      <c r="N243" s="1475"/>
      <c r="O243" s="450"/>
      <c r="P243" s="1462"/>
    </row>
    <row r="244" spans="1:16" s="942" customFormat="1" ht="15.75" customHeight="1">
      <c r="A244" s="451"/>
      <c r="B244" s="389"/>
      <c r="C244" s="428">
        <f>C239</f>
        <v>1.05</v>
      </c>
      <c r="D244" s="428"/>
      <c r="E244" s="428">
        <v>0.3</v>
      </c>
      <c r="F244" s="428"/>
      <c r="G244" s="428">
        <f>G239</f>
        <v>2</v>
      </c>
      <c r="H244" s="428">
        <v>2</v>
      </c>
      <c r="I244" s="428"/>
      <c r="J244" s="428"/>
      <c r="K244" s="428"/>
      <c r="L244" s="428"/>
      <c r="M244" s="428">
        <f>M239</f>
        <v>1</v>
      </c>
      <c r="N244" s="1475">
        <f>C244*E244*G244*H244*M244</f>
        <v>1.26</v>
      </c>
      <c r="O244" s="450"/>
      <c r="P244" s="1462"/>
    </row>
    <row r="245" spans="1:16" s="942" customFormat="1" ht="15.75" customHeight="1">
      <c r="A245" s="451"/>
      <c r="B245" s="389"/>
      <c r="C245" s="428">
        <f>C240</f>
        <v>1.95</v>
      </c>
      <c r="D245" s="428"/>
      <c r="E245" s="428">
        <f>E244</f>
        <v>0.3</v>
      </c>
      <c r="F245" s="428"/>
      <c r="G245" s="428">
        <f>G240</f>
        <v>2</v>
      </c>
      <c r="H245" s="428">
        <f>H244</f>
        <v>2</v>
      </c>
      <c r="I245" s="428"/>
      <c r="J245" s="428"/>
      <c r="K245" s="428"/>
      <c r="L245" s="428"/>
      <c r="M245" s="428">
        <f>M240</f>
        <v>1</v>
      </c>
      <c r="N245" s="912">
        <f>C245*E245*G245*H245*M245</f>
        <v>2.34</v>
      </c>
      <c r="O245" s="450"/>
      <c r="P245" s="1462"/>
    </row>
    <row r="246" spans="1:16" s="942" customFormat="1" ht="15.75" customHeight="1">
      <c r="A246" s="451"/>
      <c r="B246" s="389"/>
      <c r="C246" s="428"/>
      <c r="D246" s="428"/>
      <c r="E246" s="428"/>
      <c r="F246" s="428"/>
      <c r="G246" s="428"/>
      <c r="H246" s="428"/>
      <c r="I246" s="428"/>
      <c r="J246" s="428"/>
      <c r="K246" s="428"/>
      <c r="L246" s="428"/>
      <c r="M246" s="428"/>
      <c r="N246" s="1476">
        <f>SUM(N244:N245)</f>
        <v>3.5999999999999996</v>
      </c>
      <c r="O246" s="450" t="s">
        <v>89</v>
      </c>
      <c r="P246" s="1463">
        <f>ROUND((N246),2)</f>
        <v>3.6</v>
      </c>
    </row>
    <row r="247" spans="1:16" s="942" customFormat="1" ht="15.75" customHeight="1">
      <c r="A247" s="451" t="s">
        <v>98</v>
      </c>
      <c r="B247" s="389" t="s">
        <v>925</v>
      </c>
      <c r="C247" s="428"/>
      <c r="D247" s="428"/>
      <c r="E247" s="428"/>
      <c r="F247" s="428"/>
      <c r="G247" s="428"/>
      <c r="H247" s="428"/>
      <c r="I247" s="428"/>
      <c r="J247" s="428"/>
      <c r="K247" s="428"/>
      <c r="L247" s="428"/>
      <c r="M247" s="428"/>
      <c r="N247" s="1475"/>
      <c r="O247" s="450"/>
      <c r="P247" s="1462"/>
    </row>
    <row r="248" spans="1:16" s="942" customFormat="1" ht="15.75" customHeight="1">
      <c r="A248" s="451"/>
      <c r="B248" s="389"/>
      <c r="C248" s="428">
        <f>C244</f>
        <v>1.05</v>
      </c>
      <c r="D248" s="428"/>
      <c r="E248" s="428"/>
      <c r="F248" s="428">
        <v>5</v>
      </c>
      <c r="G248" s="428">
        <f>G244</f>
        <v>2</v>
      </c>
      <c r="H248" s="428"/>
      <c r="I248" s="428"/>
      <c r="J248" s="428"/>
      <c r="K248" s="428"/>
      <c r="L248" s="428">
        <f>13*13*0.006165</f>
        <v>1.041885</v>
      </c>
      <c r="M248" s="428">
        <f>M244</f>
        <v>1</v>
      </c>
      <c r="N248" s="1475">
        <f>C248*F248*G248*L248*M248</f>
        <v>10.939792499999999</v>
      </c>
      <c r="O248" s="450"/>
      <c r="P248" s="1462"/>
    </row>
    <row r="249" spans="1:16" s="942" customFormat="1" ht="15.75" customHeight="1">
      <c r="A249" s="451"/>
      <c r="B249" s="389"/>
      <c r="C249" s="428">
        <f>C245</f>
        <v>1.95</v>
      </c>
      <c r="D249" s="428"/>
      <c r="E249" s="428"/>
      <c r="F249" s="428">
        <f>F248</f>
        <v>5</v>
      </c>
      <c r="G249" s="428">
        <f>G245</f>
        <v>2</v>
      </c>
      <c r="H249" s="428"/>
      <c r="I249" s="428"/>
      <c r="J249" s="428"/>
      <c r="K249" s="428"/>
      <c r="L249" s="428">
        <f>L248</f>
        <v>1.041885</v>
      </c>
      <c r="M249" s="428">
        <f>M245</f>
        <v>1</v>
      </c>
      <c r="N249" s="912">
        <f>C249*F249*G249*L249*M249</f>
        <v>20.316757499999998</v>
      </c>
      <c r="O249" s="450"/>
      <c r="P249" s="1462"/>
    </row>
    <row r="250" spans="1:16" s="942" customFormat="1" ht="15.75" customHeight="1">
      <c r="A250" s="451"/>
      <c r="B250" s="389"/>
      <c r="C250" s="428"/>
      <c r="D250" s="428"/>
      <c r="E250" s="428"/>
      <c r="F250" s="428"/>
      <c r="G250" s="428"/>
      <c r="H250" s="428"/>
      <c r="I250" s="428"/>
      <c r="J250" s="428"/>
      <c r="K250" s="428"/>
      <c r="L250" s="428"/>
      <c r="M250" s="428"/>
      <c r="N250" s="1476">
        <f>SUM(N248:N249)</f>
        <v>31.256549999999997</v>
      </c>
      <c r="O250" s="450" t="s">
        <v>100</v>
      </c>
      <c r="P250" s="1463">
        <f>ROUND((N250),2)</f>
        <v>31.26</v>
      </c>
    </row>
    <row r="251" spans="1:16" s="942" customFormat="1" ht="15.75" customHeight="1">
      <c r="A251" s="451" t="s">
        <v>101</v>
      </c>
      <c r="B251" s="389" t="s">
        <v>428</v>
      </c>
      <c r="C251" s="428"/>
      <c r="D251" s="428"/>
      <c r="E251" s="428"/>
      <c r="F251" s="428"/>
      <c r="G251" s="428"/>
      <c r="H251" s="428"/>
      <c r="I251" s="428"/>
      <c r="J251" s="428"/>
      <c r="K251" s="428"/>
      <c r="L251" s="428"/>
      <c r="M251" s="428"/>
      <c r="N251" s="1475"/>
      <c r="O251" s="450"/>
      <c r="P251" s="1462"/>
    </row>
    <row r="252" spans="1:16" s="942" customFormat="1" ht="15.75" customHeight="1">
      <c r="A252" s="451"/>
      <c r="B252" s="389"/>
      <c r="C252" s="428">
        <f>(0.12+0.22)*2</f>
        <v>0.67999999999999994</v>
      </c>
      <c r="D252" s="428"/>
      <c r="E252" s="428"/>
      <c r="F252" s="428">
        <f>ROUNDDOWN((C248/0.125),0.1)+1</f>
        <v>9</v>
      </c>
      <c r="G252" s="428">
        <f>G248</f>
        <v>2</v>
      </c>
      <c r="H252" s="428"/>
      <c r="I252" s="428">
        <f>0.05*2</f>
        <v>0.1</v>
      </c>
      <c r="J252" s="428"/>
      <c r="K252" s="428"/>
      <c r="L252" s="428">
        <f>8*8*0.006165</f>
        <v>0.39456000000000002</v>
      </c>
      <c r="M252" s="428">
        <f>M248</f>
        <v>1</v>
      </c>
      <c r="N252" s="1475">
        <f>(C252+I252)*F252*G252*L252*M252</f>
        <v>5.5396223999999998</v>
      </c>
      <c r="O252" s="450"/>
      <c r="P252" s="1462"/>
    </row>
    <row r="253" spans="1:16" s="942" customFormat="1" ht="15.75" customHeight="1">
      <c r="A253" s="451"/>
      <c r="B253" s="389"/>
      <c r="C253" s="428">
        <f>C252</f>
        <v>0.67999999999999994</v>
      </c>
      <c r="D253" s="428"/>
      <c r="E253" s="428"/>
      <c r="F253" s="428">
        <f>ROUNDDOWN((C249/0.125),0.1)+1</f>
        <v>16</v>
      </c>
      <c r="G253" s="428">
        <f>G249</f>
        <v>2</v>
      </c>
      <c r="H253" s="428"/>
      <c r="I253" s="428">
        <f>I252</f>
        <v>0.1</v>
      </c>
      <c r="J253" s="428"/>
      <c r="K253" s="428"/>
      <c r="L253" s="428">
        <f>L252</f>
        <v>0.39456000000000002</v>
      </c>
      <c r="M253" s="428">
        <f>M249</f>
        <v>1</v>
      </c>
      <c r="N253" s="912">
        <f>(C253+I253)*F253*G253*L253*M253</f>
        <v>9.8482175999999999</v>
      </c>
      <c r="O253" s="450"/>
      <c r="P253" s="1462"/>
    </row>
    <row r="254" spans="1:16" s="942" customFormat="1" ht="15.75" customHeight="1">
      <c r="A254" s="451"/>
      <c r="B254" s="389"/>
      <c r="C254" s="428"/>
      <c r="D254" s="428"/>
      <c r="E254" s="428"/>
      <c r="F254" s="428"/>
      <c r="G254" s="428"/>
      <c r="H254" s="428"/>
      <c r="I254" s="428"/>
      <c r="J254" s="428"/>
      <c r="K254" s="428"/>
      <c r="L254" s="428"/>
      <c r="M254" s="428"/>
      <c r="N254" s="1476">
        <f>SUM(N252:N253)</f>
        <v>15.387840000000001</v>
      </c>
      <c r="O254" s="450" t="s">
        <v>100</v>
      </c>
      <c r="P254" s="1463">
        <f>ROUND((N254),2)</f>
        <v>15.39</v>
      </c>
    </row>
    <row r="255" spans="1:16" s="942" customFormat="1" ht="15.75" customHeight="1">
      <c r="A255" s="451" t="s">
        <v>121</v>
      </c>
      <c r="B255" s="389" t="s">
        <v>1043</v>
      </c>
      <c r="C255" s="428"/>
      <c r="D255" s="428"/>
      <c r="E255" s="428"/>
      <c r="F255" s="428"/>
      <c r="G255" s="428"/>
      <c r="H255" s="428"/>
      <c r="I255" s="428"/>
      <c r="J255" s="428"/>
      <c r="K255" s="428"/>
      <c r="L255" s="428"/>
      <c r="M255" s="428"/>
      <c r="N255" s="1475"/>
      <c r="O255" s="450"/>
      <c r="P255" s="1462"/>
    </row>
    <row r="256" spans="1:16" s="942" customFormat="1" ht="15.75" customHeight="1">
      <c r="A256" s="451"/>
      <c r="B256" s="389"/>
      <c r="C256" s="428">
        <f>C248</f>
        <v>1.05</v>
      </c>
      <c r="D256" s="428">
        <v>0.25</v>
      </c>
      <c r="E256" s="428">
        <v>0.3</v>
      </c>
      <c r="F256" s="428"/>
      <c r="G256" s="428">
        <f>G252</f>
        <v>2</v>
      </c>
      <c r="H256" s="428"/>
      <c r="I256" s="428"/>
      <c r="J256" s="428"/>
      <c r="K256" s="428"/>
      <c r="L256" s="428"/>
      <c r="M256" s="428">
        <f>M252</f>
        <v>1</v>
      </c>
      <c r="N256" s="1475">
        <f>C256*D256*E256*G256*M256</f>
        <v>0.1575</v>
      </c>
      <c r="O256" s="450"/>
      <c r="P256" s="1462"/>
    </row>
    <row r="257" spans="1:16" s="942" customFormat="1" ht="15.75" customHeight="1">
      <c r="A257" s="451"/>
      <c r="B257" s="389"/>
      <c r="C257" s="428">
        <f>C249</f>
        <v>1.95</v>
      </c>
      <c r="D257" s="428">
        <f>D256</f>
        <v>0.25</v>
      </c>
      <c r="E257" s="428">
        <f>E256</f>
        <v>0.3</v>
      </c>
      <c r="F257" s="428"/>
      <c r="G257" s="428">
        <f>G253</f>
        <v>2</v>
      </c>
      <c r="H257" s="428"/>
      <c r="I257" s="428"/>
      <c r="J257" s="428"/>
      <c r="K257" s="428"/>
      <c r="L257" s="428"/>
      <c r="M257" s="428">
        <f>M253</f>
        <v>1</v>
      </c>
      <c r="N257" s="912">
        <f>C257*D257*E257*G257*M257</f>
        <v>0.29249999999999998</v>
      </c>
      <c r="O257" s="450"/>
      <c r="P257" s="1462"/>
    </row>
    <row r="258" spans="1:16" s="942" customFormat="1" ht="15.75" customHeight="1">
      <c r="A258" s="451"/>
      <c r="B258" s="389"/>
      <c r="C258" s="428"/>
      <c r="D258" s="428"/>
      <c r="E258" s="428"/>
      <c r="F258" s="428"/>
      <c r="G258" s="428"/>
      <c r="H258" s="428"/>
      <c r="I258" s="428"/>
      <c r="J258" s="428"/>
      <c r="K258" s="428"/>
      <c r="L258" s="428"/>
      <c r="M258" s="428"/>
      <c r="N258" s="1476">
        <f>SUM(N256:N257)</f>
        <v>0.44999999999999996</v>
      </c>
      <c r="O258" s="450" t="s">
        <v>103</v>
      </c>
      <c r="P258" s="1463">
        <f>ROUND((N258),2)</f>
        <v>0.45</v>
      </c>
    </row>
    <row r="259" spans="1:16" s="942" customFormat="1" ht="15.75" customHeight="1">
      <c r="A259" s="394">
        <f>A242+1</f>
        <v>3</v>
      </c>
      <c r="B259" s="389" t="s">
        <v>1680</v>
      </c>
      <c r="C259" s="428"/>
      <c r="D259" s="428"/>
      <c r="E259" s="428"/>
      <c r="F259" s="428"/>
      <c r="G259" s="428"/>
      <c r="H259" s="428"/>
      <c r="I259" s="428"/>
      <c r="J259" s="428"/>
      <c r="K259" s="428"/>
      <c r="L259" s="428"/>
      <c r="M259" s="428"/>
      <c r="N259" s="1475"/>
      <c r="O259" s="450"/>
      <c r="P259" s="1462"/>
    </row>
    <row r="260" spans="1:16" s="942" customFormat="1" ht="15.75" customHeight="1">
      <c r="A260" s="451" t="s">
        <v>95</v>
      </c>
      <c r="B260" s="389" t="s">
        <v>406</v>
      </c>
      <c r="C260" s="322">
        <v>1.95</v>
      </c>
      <c r="D260" s="428">
        <v>1.95</v>
      </c>
      <c r="E260" s="428">
        <v>7.0000000000000007E-2</v>
      </c>
      <c r="F260" s="428"/>
      <c r="G260" s="428"/>
      <c r="H260" s="428"/>
      <c r="I260" s="428"/>
      <c r="J260" s="428"/>
      <c r="K260" s="428"/>
      <c r="L260" s="428"/>
      <c r="M260" s="428">
        <v>1</v>
      </c>
      <c r="N260" s="1472">
        <f>C260*D260*E260*M260</f>
        <v>0.26617499999999999</v>
      </c>
      <c r="O260" s="450" t="s">
        <v>103</v>
      </c>
      <c r="P260" s="1463">
        <f>ROUND((N260),2)</f>
        <v>0.27</v>
      </c>
    </row>
    <row r="261" spans="1:16" s="942" customFormat="1" ht="15.75" customHeight="1">
      <c r="A261" s="451" t="s">
        <v>98</v>
      </c>
      <c r="B261" s="389" t="s">
        <v>400</v>
      </c>
      <c r="C261" s="428">
        <f>C260</f>
        <v>1.95</v>
      </c>
      <c r="D261" s="428">
        <f>D260</f>
        <v>1.95</v>
      </c>
      <c r="E261" s="428">
        <v>0.03</v>
      </c>
      <c r="F261" s="428"/>
      <c r="G261" s="428"/>
      <c r="H261" s="428"/>
      <c r="I261" s="428"/>
      <c r="J261" s="428"/>
      <c r="K261" s="428"/>
      <c r="L261" s="428"/>
      <c r="M261" s="428">
        <f>M260</f>
        <v>1</v>
      </c>
      <c r="N261" s="1472">
        <f>C261*D261*E261*M261</f>
        <v>0.11407499999999998</v>
      </c>
      <c r="O261" s="450" t="s">
        <v>103</v>
      </c>
      <c r="P261" s="1463">
        <f>ROUND((N261),2)</f>
        <v>0.11</v>
      </c>
    </row>
    <row r="262" spans="1:16" s="942" customFormat="1" ht="15.75" customHeight="1">
      <c r="A262" s="451" t="s">
        <v>101</v>
      </c>
      <c r="B262" s="389" t="s">
        <v>791</v>
      </c>
      <c r="C262" s="428">
        <f>C260-0.05*2</f>
        <v>1.8499999999999999</v>
      </c>
      <c r="D262" s="428"/>
      <c r="E262" s="428"/>
      <c r="F262" s="428">
        <f>ROUNDUP((C262/0.15),0.1)+1</f>
        <v>14</v>
      </c>
      <c r="G262" s="428"/>
      <c r="H262" s="428">
        <v>2</v>
      </c>
      <c r="I262" s="428"/>
      <c r="J262" s="428"/>
      <c r="K262" s="428"/>
      <c r="L262" s="428">
        <f>10*10*0.006165</f>
        <v>0.61650000000000005</v>
      </c>
      <c r="M262" s="428">
        <f>M261</f>
        <v>1</v>
      </c>
      <c r="N262" s="1475">
        <f>C262*F262*H262*L262*M262</f>
        <v>31.934699999999999</v>
      </c>
      <c r="O262" s="450" t="s">
        <v>100</v>
      </c>
      <c r="P262" s="1463">
        <f>ROUND((N262),2)</f>
        <v>31.93</v>
      </c>
    </row>
    <row r="263" spans="1:16" s="942" customFormat="1" ht="15.75" customHeight="1">
      <c r="A263" s="451" t="s">
        <v>121</v>
      </c>
      <c r="B263" s="389" t="s">
        <v>1043</v>
      </c>
      <c r="C263" s="428">
        <f>C261</f>
        <v>1.95</v>
      </c>
      <c r="D263" s="428">
        <f>D261</f>
        <v>1.95</v>
      </c>
      <c r="E263" s="428">
        <v>0.1</v>
      </c>
      <c r="F263" s="428"/>
      <c r="G263" s="428"/>
      <c r="H263" s="428"/>
      <c r="I263" s="428"/>
      <c r="J263" s="428"/>
      <c r="K263" s="428"/>
      <c r="L263" s="428"/>
      <c r="M263" s="428">
        <f>M262</f>
        <v>1</v>
      </c>
      <c r="N263" s="1475">
        <f>C263*D263*E263*M263</f>
        <v>0.38024999999999998</v>
      </c>
      <c r="O263" s="450" t="s">
        <v>103</v>
      </c>
      <c r="P263" s="1463">
        <f>ROUND((N263),2)</f>
        <v>0.38</v>
      </c>
    </row>
    <row r="264" spans="1:16" s="942" customFormat="1" ht="15.75" customHeight="1">
      <c r="A264" s="394">
        <f>A259+1</f>
        <v>4</v>
      </c>
      <c r="B264" s="450" t="s">
        <v>421</v>
      </c>
      <c r="C264" s="428"/>
      <c r="D264" s="428"/>
      <c r="E264" s="428"/>
      <c r="F264" s="428"/>
      <c r="G264" s="428"/>
      <c r="H264" s="428"/>
      <c r="I264" s="428"/>
      <c r="J264" s="428"/>
      <c r="K264" s="428"/>
      <c r="L264" s="428"/>
      <c r="M264" s="428"/>
      <c r="N264" s="1475"/>
      <c r="O264" s="450"/>
      <c r="P264" s="1462"/>
    </row>
    <row r="265" spans="1:16" s="942" customFormat="1" ht="15.75" customHeight="1">
      <c r="A265" s="451" t="s">
        <v>95</v>
      </c>
      <c r="B265" s="389" t="s">
        <v>417</v>
      </c>
      <c r="C265" s="428"/>
      <c r="D265" s="428">
        <v>0.25</v>
      </c>
      <c r="E265" s="428">
        <v>4.5999999999999996</v>
      </c>
      <c r="F265" s="428">
        <v>4</v>
      </c>
      <c r="G265" s="428"/>
      <c r="H265" s="428">
        <v>4</v>
      </c>
      <c r="I265" s="428"/>
      <c r="J265" s="428"/>
      <c r="K265" s="428"/>
      <c r="L265" s="428"/>
      <c r="M265" s="428">
        <f>M263</f>
        <v>1</v>
      </c>
      <c r="N265" s="1475">
        <f>D265*E265*F265*H265*M265</f>
        <v>18.399999999999999</v>
      </c>
      <c r="O265" s="450" t="s">
        <v>89</v>
      </c>
      <c r="P265" s="1463">
        <f>ROUND((N265),2)</f>
        <v>18.399999999999999</v>
      </c>
    </row>
    <row r="266" spans="1:16" s="942" customFormat="1" ht="15.75" customHeight="1">
      <c r="A266" s="451" t="s">
        <v>98</v>
      </c>
      <c r="B266" s="389" t="s">
        <v>1042</v>
      </c>
      <c r="C266" s="428"/>
      <c r="D266" s="428"/>
      <c r="E266" s="428">
        <f>E265</f>
        <v>4.5999999999999996</v>
      </c>
      <c r="F266" s="428">
        <v>4</v>
      </c>
      <c r="G266" s="428"/>
      <c r="H266" s="428">
        <v>4</v>
      </c>
      <c r="I266" s="428"/>
      <c r="J266" s="428">
        <v>0.3</v>
      </c>
      <c r="K266" s="428">
        <v>0.1</v>
      </c>
      <c r="L266" s="428">
        <f>13*13*0.006165</f>
        <v>1.041885</v>
      </c>
      <c r="M266" s="428">
        <f>M265</f>
        <v>1</v>
      </c>
      <c r="N266" s="1475">
        <f>(E266+J266+K266)*F266*H266*L266*M266</f>
        <v>83.350799999999978</v>
      </c>
      <c r="O266" s="450" t="s">
        <v>100</v>
      </c>
      <c r="P266" s="1463">
        <f>ROUND((N266),2)</f>
        <v>83.35</v>
      </c>
    </row>
    <row r="267" spans="1:16" s="942" customFormat="1" ht="15.75" customHeight="1">
      <c r="A267" s="451" t="s">
        <v>101</v>
      </c>
      <c r="B267" s="389" t="s">
        <v>428</v>
      </c>
      <c r="C267" s="428">
        <f>0.12*2</f>
        <v>0.24</v>
      </c>
      <c r="D267" s="428"/>
      <c r="E267" s="428"/>
      <c r="F267" s="428">
        <f>ROUNDDOWN((E266/0.15),0.1)+1</f>
        <v>31</v>
      </c>
      <c r="G267" s="428"/>
      <c r="H267" s="428">
        <f>H266</f>
        <v>4</v>
      </c>
      <c r="I267" s="428">
        <f>0.05*2</f>
        <v>0.1</v>
      </c>
      <c r="J267" s="428"/>
      <c r="K267" s="428"/>
      <c r="L267" s="428">
        <f>8*8*0.006165</f>
        <v>0.39456000000000002</v>
      </c>
      <c r="M267" s="428">
        <f>M266</f>
        <v>1</v>
      </c>
      <c r="N267" s="1475">
        <f>(C267+I267)*F267*H267*L267*M267</f>
        <v>16.634649599999999</v>
      </c>
      <c r="O267" s="450" t="s">
        <v>100</v>
      </c>
      <c r="P267" s="1463">
        <f>ROUND((N267),2)</f>
        <v>16.63</v>
      </c>
    </row>
    <row r="268" spans="1:16" s="942" customFormat="1" ht="15.75" customHeight="1">
      <c r="A268" s="451" t="s">
        <v>121</v>
      </c>
      <c r="B268" s="389" t="s">
        <v>1043</v>
      </c>
      <c r="C268" s="428">
        <v>0.2</v>
      </c>
      <c r="D268" s="428">
        <v>0.2</v>
      </c>
      <c r="E268" s="428">
        <f>E266</f>
        <v>4.5999999999999996</v>
      </c>
      <c r="F268" s="428"/>
      <c r="G268" s="428"/>
      <c r="H268" s="428">
        <f>H267</f>
        <v>4</v>
      </c>
      <c r="I268" s="428"/>
      <c r="J268" s="428"/>
      <c r="K268" s="428"/>
      <c r="L268" s="428"/>
      <c r="M268" s="428">
        <f>M267</f>
        <v>1</v>
      </c>
      <c r="N268" s="1475">
        <f>C268*D268*E268*H268*M268</f>
        <v>0.7360000000000001</v>
      </c>
      <c r="O268" s="450" t="s">
        <v>103</v>
      </c>
      <c r="P268" s="1463">
        <f>ROUND((N268),2)</f>
        <v>0.74</v>
      </c>
    </row>
    <row r="269" spans="1:16" s="942" customFormat="1" ht="15.75" customHeight="1">
      <c r="A269" s="394">
        <f>A264+1</f>
        <v>5</v>
      </c>
      <c r="B269" s="389" t="s">
        <v>1687</v>
      </c>
      <c r="C269" s="428"/>
      <c r="D269" s="428"/>
      <c r="E269" s="428"/>
      <c r="F269" s="428"/>
      <c r="G269" s="428"/>
      <c r="H269" s="428"/>
      <c r="I269" s="428"/>
      <c r="J269" s="428"/>
      <c r="K269" s="428"/>
      <c r="L269" s="428"/>
      <c r="M269" s="428"/>
      <c r="N269" s="1475"/>
      <c r="O269" s="450"/>
      <c r="P269" s="1462"/>
    </row>
    <row r="270" spans="1:16" s="942" customFormat="1" ht="15.75" customHeight="1">
      <c r="A270" s="451" t="s">
        <v>95</v>
      </c>
      <c r="B270" s="389" t="s">
        <v>211</v>
      </c>
      <c r="C270" s="428"/>
      <c r="D270" s="428"/>
      <c r="E270" s="428"/>
      <c r="F270" s="428"/>
      <c r="G270" s="428"/>
      <c r="H270" s="428"/>
      <c r="I270" s="428"/>
      <c r="J270" s="428"/>
      <c r="K270" s="428"/>
      <c r="L270" s="428"/>
      <c r="M270" s="428"/>
      <c r="N270" s="1475"/>
      <c r="O270" s="450"/>
      <c r="P270" s="1462"/>
    </row>
    <row r="271" spans="1:16" s="942" customFormat="1" ht="15.75" customHeight="1">
      <c r="A271" s="451"/>
      <c r="B271" s="682" t="s">
        <v>1089</v>
      </c>
      <c r="C271" s="428">
        <v>1.55</v>
      </c>
      <c r="D271" s="428">
        <v>1.55</v>
      </c>
      <c r="E271" s="428"/>
      <c r="F271" s="428"/>
      <c r="G271" s="428"/>
      <c r="H271" s="428"/>
      <c r="I271" s="428"/>
      <c r="J271" s="428"/>
      <c r="K271" s="428"/>
      <c r="L271" s="428"/>
      <c r="M271" s="428">
        <f>M268</f>
        <v>1</v>
      </c>
      <c r="N271" s="1475">
        <f>C271*D271*M271</f>
        <v>2.4025000000000003</v>
      </c>
      <c r="O271" s="450"/>
      <c r="P271" s="1462"/>
    </row>
    <row r="272" spans="1:16" s="942" customFormat="1" ht="15.75" customHeight="1">
      <c r="A272" s="451"/>
      <c r="B272" s="682" t="s">
        <v>1185</v>
      </c>
      <c r="C272" s="428">
        <f>C271</f>
        <v>1.55</v>
      </c>
      <c r="D272" s="428"/>
      <c r="E272" s="428">
        <v>0.1</v>
      </c>
      <c r="F272" s="428"/>
      <c r="G272" s="428"/>
      <c r="H272" s="428">
        <v>2</v>
      </c>
      <c r="I272" s="428"/>
      <c r="J272" s="428"/>
      <c r="K272" s="428"/>
      <c r="L272" s="428"/>
      <c r="M272" s="428">
        <f>M271</f>
        <v>1</v>
      </c>
      <c r="N272" s="1475">
        <f>C272*E272*H272*M272</f>
        <v>0.31000000000000005</v>
      </c>
      <c r="O272" s="450"/>
      <c r="P272" s="1462"/>
    </row>
    <row r="273" spans="1:16" s="942" customFormat="1" ht="15.75" customHeight="1">
      <c r="A273" s="451"/>
      <c r="B273" s="389"/>
      <c r="C273" s="428">
        <f>D271</f>
        <v>1.55</v>
      </c>
      <c r="D273" s="428"/>
      <c r="E273" s="428">
        <f>E272</f>
        <v>0.1</v>
      </c>
      <c r="F273" s="428"/>
      <c r="G273" s="428"/>
      <c r="H273" s="428">
        <v>2</v>
      </c>
      <c r="I273" s="428"/>
      <c r="J273" s="428"/>
      <c r="K273" s="428"/>
      <c r="L273" s="428"/>
      <c r="M273" s="428">
        <f>M272</f>
        <v>1</v>
      </c>
      <c r="N273" s="912">
        <f>C273*E273*H273*M273</f>
        <v>0.31000000000000005</v>
      </c>
      <c r="O273" s="450"/>
      <c r="P273" s="1462"/>
    </row>
    <row r="274" spans="1:16" s="942" customFormat="1" ht="15.75" customHeight="1">
      <c r="A274" s="451"/>
      <c r="B274" s="389"/>
      <c r="C274" s="428"/>
      <c r="D274" s="428"/>
      <c r="E274" s="428"/>
      <c r="F274" s="428"/>
      <c r="G274" s="428"/>
      <c r="H274" s="428"/>
      <c r="I274" s="428"/>
      <c r="J274" s="428"/>
      <c r="K274" s="428"/>
      <c r="L274" s="428"/>
      <c r="M274" s="428"/>
      <c r="N274" s="1476">
        <f>SUM(N271:N273)</f>
        <v>3.0225000000000004</v>
      </c>
      <c r="O274" s="450" t="s">
        <v>89</v>
      </c>
      <c r="P274" s="1463">
        <f>ROUND((N274),2)</f>
        <v>3.02</v>
      </c>
    </row>
    <row r="275" spans="1:16" s="942" customFormat="1" ht="15.75" customHeight="1">
      <c r="A275" s="451" t="s">
        <v>98</v>
      </c>
      <c r="B275" s="389" t="s">
        <v>1688</v>
      </c>
      <c r="C275" s="428">
        <f>C271</f>
        <v>1.55</v>
      </c>
      <c r="D275" s="428">
        <f>D271</f>
        <v>1.55</v>
      </c>
      <c r="E275" s="428"/>
      <c r="F275" s="428"/>
      <c r="G275" s="428"/>
      <c r="H275" s="428"/>
      <c r="I275" s="428"/>
      <c r="J275" s="428"/>
      <c r="K275" s="428"/>
      <c r="L275" s="428"/>
      <c r="M275" s="428">
        <f>M272</f>
        <v>1</v>
      </c>
      <c r="N275" s="1475">
        <f>C275*D275*M275</f>
        <v>2.4025000000000003</v>
      </c>
      <c r="O275" s="450" t="s">
        <v>89</v>
      </c>
      <c r="P275" s="1463">
        <f>ROUND((N275),2)</f>
        <v>2.4</v>
      </c>
    </row>
    <row r="276" spans="1:16" s="942" customFormat="1" ht="15.75" customHeight="1">
      <c r="A276" s="451" t="s">
        <v>101</v>
      </c>
      <c r="B276" s="389" t="s">
        <v>1043</v>
      </c>
      <c r="C276" s="428">
        <f>C275</f>
        <v>1.55</v>
      </c>
      <c r="D276" s="428">
        <f>D275</f>
        <v>1.55</v>
      </c>
      <c r="E276" s="428">
        <v>0.1</v>
      </c>
      <c r="F276" s="428"/>
      <c r="G276" s="428"/>
      <c r="H276" s="428"/>
      <c r="I276" s="428"/>
      <c r="J276" s="428"/>
      <c r="K276" s="428"/>
      <c r="L276" s="428"/>
      <c r="M276" s="428">
        <f>M275</f>
        <v>1</v>
      </c>
      <c r="N276" s="1475">
        <f>C276*D276*E276*M276</f>
        <v>0.24025000000000005</v>
      </c>
      <c r="O276" s="450" t="s">
        <v>103</v>
      </c>
      <c r="P276" s="1463">
        <f>ROUND((N276),2)</f>
        <v>0.24</v>
      </c>
    </row>
    <row r="277" spans="1:16" s="942" customFormat="1" ht="15.75" customHeight="1">
      <c r="A277" s="394">
        <f>A269+1</f>
        <v>6</v>
      </c>
      <c r="B277" s="389" t="s">
        <v>1689</v>
      </c>
      <c r="C277" s="428"/>
      <c r="D277" s="428"/>
      <c r="E277" s="428"/>
      <c r="F277" s="428"/>
      <c r="G277" s="428"/>
      <c r="H277" s="428"/>
      <c r="I277" s="428"/>
      <c r="J277" s="428"/>
      <c r="K277" s="428"/>
      <c r="L277" s="428"/>
      <c r="M277" s="428"/>
      <c r="N277" s="1475"/>
      <c r="O277" s="450"/>
      <c r="P277" s="1462"/>
    </row>
    <row r="278" spans="1:16" s="942" customFormat="1" ht="15.75" customHeight="1">
      <c r="A278" s="451" t="s">
        <v>95</v>
      </c>
      <c r="B278" s="389" t="s">
        <v>211</v>
      </c>
      <c r="C278" s="428"/>
      <c r="D278" s="428"/>
      <c r="E278" s="428"/>
      <c r="F278" s="428"/>
      <c r="G278" s="428"/>
      <c r="H278" s="428"/>
      <c r="I278" s="428"/>
      <c r="J278" s="428"/>
      <c r="K278" s="428"/>
      <c r="L278" s="428"/>
      <c r="M278" s="428"/>
      <c r="N278" s="1475"/>
      <c r="O278" s="450"/>
      <c r="P278" s="1462"/>
    </row>
    <row r="279" spans="1:16" s="942" customFormat="1" ht="15.75" customHeight="1">
      <c r="A279" s="451"/>
      <c r="B279" s="682" t="s">
        <v>1089</v>
      </c>
      <c r="C279" s="428">
        <v>1.55</v>
      </c>
      <c r="D279" s="428">
        <v>1.55</v>
      </c>
      <c r="E279" s="428"/>
      <c r="F279" s="428"/>
      <c r="G279" s="428"/>
      <c r="H279" s="428"/>
      <c r="I279" s="428"/>
      <c r="J279" s="428"/>
      <c r="K279" s="428"/>
      <c r="L279" s="428"/>
      <c r="M279" s="428">
        <f>M276</f>
        <v>1</v>
      </c>
      <c r="N279" s="1475">
        <f>C279*D279*M279</f>
        <v>2.4025000000000003</v>
      </c>
      <c r="O279" s="450"/>
      <c r="P279" s="1462"/>
    </row>
    <row r="280" spans="1:16" s="942" customFormat="1" ht="15.75" customHeight="1">
      <c r="A280" s="451"/>
      <c r="B280" s="682" t="s">
        <v>1185</v>
      </c>
      <c r="C280" s="428">
        <f>C279</f>
        <v>1.55</v>
      </c>
      <c r="D280" s="428"/>
      <c r="E280" s="428">
        <v>0.1</v>
      </c>
      <c r="F280" s="428"/>
      <c r="G280" s="428"/>
      <c r="H280" s="428">
        <v>2</v>
      </c>
      <c r="I280" s="428"/>
      <c r="J280" s="428"/>
      <c r="K280" s="428"/>
      <c r="L280" s="428"/>
      <c r="M280" s="428">
        <f>M279</f>
        <v>1</v>
      </c>
      <c r="N280" s="1475">
        <f>C280*E280*H280*M280</f>
        <v>0.31000000000000005</v>
      </c>
      <c r="O280" s="450"/>
      <c r="P280" s="1462"/>
    </row>
    <row r="281" spans="1:16" s="942" customFormat="1" ht="15.75" customHeight="1">
      <c r="A281" s="451"/>
      <c r="B281" s="389"/>
      <c r="C281" s="428">
        <f>D279</f>
        <v>1.55</v>
      </c>
      <c r="D281" s="428"/>
      <c r="E281" s="428">
        <f>E280</f>
        <v>0.1</v>
      </c>
      <c r="F281" s="428"/>
      <c r="G281" s="428"/>
      <c r="H281" s="428">
        <v>2</v>
      </c>
      <c r="I281" s="428"/>
      <c r="J281" s="428"/>
      <c r="K281" s="428"/>
      <c r="L281" s="428"/>
      <c r="M281" s="428">
        <f>M280</f>
        <v>1</v>
      </c>
      <c r="N281" s="912">
        <f>C281*E281*H281*M281</f>
        <v>0.31000000000000005</v>
      </c>
      <c r="O281" s="450"/>
      <c r="P281" s="1462"/>
    </row>
    <row r="282" spans="1:16" s="942" customFormat="1" ht="15.75" customHeight="1">
      <c r="A282" s="451"/>
      <c r="B282" s="389"/>
      <c r="C282" s="428"/>
      <c r="D282" s="428"/>
      <c r="E282" s="428"/>
      <c r="F282" s="428"/>
      <c r="G282" s="428"/>
      <c r="H282" s="428"/>
      <c r="I282" s="428"/>
      <c r="J282" s="428"/>
      <c r="K282" s="428"/>
      <c r="L282" s="428"/>
      <c r="M282" s="428"/>
      <c r="N282" s="1476">
        <f>SUM(N279:N281)</f>
        <v>3.0225000000000004</v>
      </c>
      <c r="O282" s="450" t="s">
        <v>89</v>
      </c>
      <c r="P282" s="1463">
        <f>ROUND((N282),2)</f>
        <v>3.02</v>
      </c>
    </row>
    <row r="283" spans="1:16" s="942" customFormat="1" ht="15.75" customHeight="1">
      <c r="A283" s="451" t="s">
        <v>98</v>
      </c>
      <c r="B283" s="389" t="s">
        <v>1688</v>
      </c>
      <c r="C283" s="428">
        <f>C279</f>
        <v>1.55</v>
      </c>
      <c r="D283" s="428">
        <f>D279</f>
        <v>1.55</v>
      </c>
      <c r="E283" s="428"/>
      <c r="F283" s="428"/>
      <c r="G283" s="428"/>
      <c r="H283" s="428"/>
      <c r="I283" s="428"/>
      <c r="J283" s="428"/>
      <c r="K283" s="428"/>
      <c r="L283" s="428"/>
      <c r="M283" s="428">
        <f>M280</f>
        <v>1</v>
      </c>
      <c r="N283" s="1475">
        <f>C283*D283*M283</f>
        <v>2.4025000000000003</v>
      </c>
      <c r="O283" s="450" t="s">
        <v>89</v>
      </c>
      <c r="P283" s="1463">
        <f>ROUND((N283),2)</f>
        <v>2.4</v>
      </c>
    </row>
    <row r="284" spans="1:16" s="942" customFormat="1" ht="15.75" customHeight="1">
      <c r="A284" s="451" t="s">
        <v>101</v>
      </c>
      <c r="B284" s="389" t="s">
        <v>1043</v>
      </c>
      <c r="C284" s="428">
        <f>C283</f>
        <v>1.55</v>
      </c>
      <c r="D284" s="428">
        <f>D283</f>
        <v>1.55</v>
      </c>
      <c r="E284" s="428">
        <v>0.1</v>
      </c>
      <c r="F284" s="428"/>
      <c r="G284" s="428"/>
      <c r="H284" s="428"/>
      <c r="I284" s="428"/>
      <c r="J284" s="428"/>
      <c r="K284" s="428"/>
      <c r="L284" s="428"/>
      <c r="M284" s="428">
        <f>M283</f>
        <v>1</v>
      </c>
      <c r="N284" s="1475">
        <f>C284*D284*E284*M284</f>
        <v>0.24025000000000005</v>
      </c>
      <c r="O284" s="450" t="s">
        <v>103</v>
      </c>
      <c r="P284" s="1463">
        <f>ROUND((N284),2)</f>
        <v>0.24</v>
      </c>
    </row>
    <row r="285" spans="1:16" s="942" customFormat="1" ht="15.75" customHeight="1">
      <c r="A285" s="425" t="s">
        <v>1729</v>
      </c>
      <c r="B285" s="426" t="s">
        <v>434</v>
      </c>
      <c r="C285" s="428"/>
      <c r="D285" s="428"/>
      <c r="E285" s="428"/>
      <c r="F285" s="428"/>
      <c r="G285" s="428"/>
      <c r="H285" s="428"/>
      <c r="I285" s="428"/>
      <c r="J285" s="428"/>
      <c r="K285" s="428"/>
      <c r="L285" s="428"/>
      <c r="M285" s="428"/>
      <c r="N285" s="1475"/>
      <c r="O285" s="450"/>
      <c r="P285" s="1462"/>
    </row>
    <row r="286" spans="1:16" s="942" customFormat="1" ht="15.75" customHeight="1">
      <c r="A286" s="394">
        <v>1</v>
      </c>
      <c r="B286" s="389" t="s">
        <v>536</v>
      </c>
      <c r="C286" s="428"/>
      <c r="D286" s="428"/>
      <c r="E286" s="428"/>
      <c r="F286" s="428"/>
      <c r="G286" s="428"/>
      <c r="H286" s="428"/>
      <c r="I286" s="428"/>
      <c r="J286" s="428"/>
      <c r="K286" s="428"/>
      <c r="L286" s="428"/>
      <c r="M286" s="428"/>
      <c r="N286" s="1475"/>
      <c r="O286" s="450"/>
      <c r="P286" s="1462"/>
    </row>
    <row r="287" spans="1:16" s="942" customFormat="1" ht="15.75" customHeight="1">
      <c r="A287" s="451" t="s">
        <v>95</v>
      </c>
      <c r="B287" s="389" t="s">
        <v>1694</v>
      </c>
      <c r="C287" s="428"/>
      <c r="D287" s="428"/>
      <c r="E287" s="428"/>
      <c r="F287" s="428"/>
      <c r="G287" s="428"/>
      <c r="H287" s="428"/>
      <c r="I287" s="428"/>
      <c r="J287" s="428"/>
      <c r="K287" s="428"/>
      <c r="L287" s="428"/>
      <c r="M287" s="428"/>
      <c r="N287" s="1475"/>
      <c r="O287" s="450"/>
      <c r="P287" s="1462"/>
    </row>
    <row r="288" spans="1:16" s="942" customFormat="1" ht="15.75" customHeight="1">
      <c r="A288" s="451"/>
      <c r="B288" s="926" t="s">
        <v>1695</v>
      </c>
      <c r="C288" s="428"/>
      <c r="D288" s="428"/>
      <c r="E288" s="428"/>
      <c r="F288" s="428"/>
      <c r="G288" s="428"/>
      <c r="H288" s="428"/>
      <c r="I288" s="428"/>
      <c r="J288" s="428"/>
      <c r="K288" s="428"/>
      <c r="L288" s="428"/>
      <c r="M288" s="428"/>
      <c r="N288" s="1475"/>
      <c r="O288" s="450"/>
      <c r="P288" s="1462"/>
    </row>
    <row r="289" spans="1:16" s="942" customFormat="1" ht="15.75" customHeight="1">
      <c r="A289" s="451"/>
      <c r="B289" s="682" t="s">
        <v>1696</v>
      </c>
      <c r="C289" s="428"/>
      <c r="D289" s="428">
        <v>2</v>
      </c>
      <c r="E289" s="428">
        <v>0.3</v>
      </c>
      <c r="F289" s="428"/>
      <c r="G289" s="428"/>
      <c r="H289" s="428">
        <v>2</v>
      </c>
      <c r="I289" s="428"/>
      <c r="J289" s="428"/>
      <c r="K289" s="428"/>
      <c r="L289" s="428"/>
      <c r="M289" s="428">
        <v>1</v>
      </c>
      <c r="N289" s="1475">
        <f t="shared" ref="N289:N298" si="8">D289*E289*H289*M289</f>
        <v>1.2</v>
      </c>
      <c r="O289" s="450"/>
      <c r="P289" s="1462"/>
    </row>
    <row r="290" spans="1:16" s="942" customFormat="1" ht="15.75" customHeight="1">
      <c r="A290" s="451"/>
      <c r="B290" s="682" t="s">
        <v>1697</v>
      </c>
      <c r="C290" s="428"/>
      <c r="D290" s="428">
        <v>1</v>
      </c>
      <c r="E290" s="428">
        <f>E289</f>
        <v>0.3</v>
      </c>
      <c r="F290" s="428"/>
      <c r="G290" s="428"/>
      <c r="H290" s="428">
        <v>2</v>
      </c>
      <c r="I290" s="428"/>
      <c r="J290" s="428"/>
      <c r="K290" s="428"/>
      <c r="L290" s="428"/>
      <c r="M290" s="428">
        <f t="shared" ref="M290:M301" si="9">M289</f>
        <v>1</v>
      </c>
      <c r="N290" s="1475">
        <f t="shared" si="8"/>
        <v>0.6</v>
      </c>
      <c r="O290" s="450"/>
      <c r="P290" s="1462"/>
    </row>
    <row r="291" spans="1:16" s="942" customFormat="1" ht="15.75" customHeight="1">
      <c r="A291" s="451"/>
      <c r="B291" s="682" t="s">
        <v>1698</v>
      </c>
      <c r="C291" s="428"/>
      <c r="D291" s="428">
        <f>2-0.05</f>
        <v>1.95</v>
      </c>
      <c r="E291" s="428">
        <v>0.35</v>
      </c>
      <c r="F291" s="428"/>
      <c r="G291" s="428"/>
      <c r="H291" s="428">
        <v>2</v>
      </c>
      <c r="I291" s="428"/>
      <c r="J291" s="428"/>
      <c r="K291" s="428"/>
      <c r="L291" s="428"/>
      <c r="M291" s="428">
        <f t="shared" si="9"/>
        <v>1</v>
      </c>
      <c r="N291" s="1475">
        <f t="shared" si="8"/>
        <v>1.365</v>
      </c>
      <c r="O291" s="450"/>
      <c r="P291" s="1462"/>
    </row>
    <row r="292" spans="1:16" s="942" customFormat="1" ht="15.75" customHeight="1">
      <c r="A292" s="451"/>
      <c r="B292" s="682" t="s">
        <v>1699</v>
      </c>
      <c r="C292" s="428"/>
      <c r="D292" s="428">
        <f t="shared" ref="D292:D298" si="10">D290-0.05</f>
        <v>0.95</v>
      </c>
      <c r="E292" s="428">
        <f>E291</f>
        <v>0.35</v>
      </c>
      <c r="F292" s="428"/>
      <c r="G292" s="428"/>
      <c r="H292" s="428">
        <v>2</v>
      </c>
      <c r="I292" s="428"/>
      <c r="J292" s="428"/>
      <c r="K292" s="428"/>
      <c r="L292" s="428"/>
      <c r="M292" s="428">
        <f t="shared" si="9"/>
        <v>1</v>
      </c>
      <c r="N292" s="1475">
        <f t="shared" si="8"/>
        <v>0.66499999999999992</v>
      </c>
      <c r="O292" s="450"/>
      <c r="P292" s="1462"/>
    </row>
    <row r="293" spans="1:16" s="942" customFormat="1" ht="15.75" customHeight="1">
      <c r="A293" s="451"/>
      <c r="B293" s="682" t="s">
        <v>1700</v>
      </c>
      <c r="C293" s="428"/>
      <c r="D293" s="428">
        <f t="shared" si="10"/>
        <v>1.9</v>
      </c>
      <c r="E293" s="428">
        <v>0.4</v>
      </c>
      <c r="F293" s="428"/>
      <c r="G293" s="428"/>
      <c r="H293" s="428">
        <v>2</v>
      </c>
      <c r="I293" s="428"/>
      <c r="J293" s="428"/>
      <c r="K293" s="428"/>
      <c r="L293" s="428"/>
      <c r="M293" s="428">
        <f t="shared" si="9"/>
        <v>1</v>
      </c>
      <c r="N293" s="1475">
        <f t="shared" si="8"/>
        <v>1.52</v>
      </c>
      <c r="O293" s="450"/>
      <c r="P293" s="1462"/>
    </row>
    <row r="294" spans="1:16" s="942" customFormat="1" ht="15.75" customHeight="1">
      <c r="A294" s="451"/>
      <c r="B294" s="682" t="s">
        <v>1701</v>
      </c>
      <c r="C294" s="428"/>
      <c r="D294" s="428">
        <f t="shared" si="10"/>
        <v>0.89999999999999991</v>
      </c>
      <c r="E294" s="428">
        <f>E293</f>
        <v>0.4</v>
      </c>
      <c r="F294" s="428"/>
      <c r="G294" s="428"/>
      <c r="H294" s="428">
        <v>2</v>
      </c>
      <c r="I294" s="428"/>
      <c r="J294" s="428"/>
      <c r="K294" s="428"/>
      <c r="L294" s="428"/>
      <c r="M294" s="428">
        <f t="shared" si="9"/>
        <v>1</v>
      </c>
      <c r="N294" s="1475">
        <f t="shared" si="8"/>
        <v>0.72</v>
      </c>
      <c r="O294" s="450"/>
      <c r="P294" s="1462"/>
    </row>
    <row r="295" spans="1:16" s="942" customFormat="1" ht="15.75" customHeight="1">
      <c r="A295" s="451"/>
      <c r="B295" s="682" t="s">
        <v>1702</v>
      </c>
      <c r="C295" s="428"/>
      <c r="D295" s="428">
        <f t="shared" si="10"/>
        <v>1.8499999999999999</v>
      </c>
      <c r="E295" s="428">
        <v>0.6</v>
      </c>
      <c r="F295" s="428"/>
      <c r="G295" s="428"/>
      <c r="H295" s="428">
        <v>2</v>
      </c>
      <c r="I295" s="428"/>
      <c r="J295" s="428"/>
      <c r="K295" s="428"/>
      <c r="L295" s="428"/>
      <c r="M295" s="428">
        <f t="shared" si="9"/>
        <v>1</v>
      </c>
      <c r="N295" s="1475">
        <f t="shared" si="8"/>
        <v>2.2199999999999998</v>
      </c>
      <c r="O295" s="450"/>
      <c r="P295" s="1462"/>
    </row>
    <row r="296" spans="1:16" s="942" customFormat="1" ht="15.75" customHeight="1">
      <c r="A296" s="451"/>
      <c r="B296" s="682" t="s">
        <v>1703</v>
      </c>
      <c r="C296" s="428"/>
      <c r="D296" s="428">
        <f t="shared" si="10"/>
        <v>0.84999999999999987</v>
      </c>
      <c r="E296" s="428">
        <f>E295</f>
        <v>0.6</v>
      </c>
      <c r="F296" s="428"/>
      <c r="G296" s="428"/>
      <c r="H296" s="428">
        <v>2</v>
      </c>
      <c r="I296" s="428"/>
      <c r="J296" s="428"/>
      <c r="K296" s="428"/>
      <c r="L296" s="428"/>
      <c r="M296" s="428">
        <f t="shared" si="9"/>
        <v>1</v>
      </c>
      <c r="N296" s="1475">
        <f t="shared" si="8"/>
        <v>1.0199999999999998</v>
      </c>
      <c r="O296" s="450"/>
      <c r="P296" s="1462"/>
    </row>
    <row r="297" spans="1:16" s="942" customFormat="1" ht="15.75" customHeight="1">
      <c r="A297" s="451"/>
      <c r="B297" s="682" t="s">
        <v>1704</v>
      </c>
      <c r="C297" s="428"/>
      <c r="D297" s="428">
        <f t="shared" si="10"/>
        <v>1.7999999999999998</v>
      </c>
      <c r="E297" s="428">
        <v>0.65</v>
      </c>
      <c r="F297" s="428"/>
      <c r="G297" s="428"/>
      <c r="H297" s="428">
        <v>2</v>
      </c>
      <c r="I297" s="428"/>
      <c r="J297" s="428"/>
      <c r="K297" s="428"/>
      <c r="L297" s="428"/>
      <c r="M297" s="428">
        <f t="shared" si="9"/>
        <v>1</v>
      </c>
      <c r="N297" s="1475">
        <f t="shared" si="8"/>
        <v>2.34</v>
      </c>
      <c r="O297" s="450"/>
      <c r="P297" s="1462"/>
    </row>
    <row r="298" spans="1:16" s="942" customFormat="1" ht="15.75" customHeight="1">
      <c r="A298" s="451"/>
      <c r="B298" s="682" t="s">
        <v>1705</v>
      </c>
      <c r="C298" s="428"/>
      <c r="D298" s="428">
        <f t="shared" si="10"/>
        <v>0.79999999999999982</v>
      </c>
      <c r="E298" s="428">
        <f>E297</f>
        <v>0.65</v>
      </c>
      <c r="F298" s="428"/>
      <c r="G298" s="428"/>
      <c r="H298" s="428">
        <v>2</v>
      </c>
      <c r="I298" s="428"/>
      <c r="J298" s="428"/>
      <c r="K298" s="428"/>
      <c r="L298" s="428"/>
      <c r="M298" s="428">
        <f t="shared" si="9"/>
        <v>1</v>
      </c>
      <c r="N298" s="1475">
        <f t="shared" si="8"/>
        <v>1.0399999999999998</v>
      </c>
      <c r="O298" s="450"/>
      <c r="P298" s="1462"/>
    </row>
    <row r="299" spans="1:16" s="942" customFormat="1" ht="15.75" customHeight="1">
      <c r="A299" s="451"/>
      <c r="B299" s="682" t="s">
        <v>1706</v>
      </c>
      <c r="C299" s="428"/>
      <c r="D299" s="428">
        <v>1.5</v>
      </c>
      <c r="E299" s="428">
        <f>6.275-4.1</f>
        <v>2.1750000000000007</v>
      </c>
      <c r="F299" s="428">
        <v>3</v>
      </c>
      <c r="G299" s="428"/>
      <c r="H299" s="428">
        <v>1</v>
      </c>
      <c r="I299" s="428"/>
      <c r="J299" s="428"/>
      <c r="K299" s="428"/>
      <c r="L299" s="428"/>
      <c r="M299" s="428">
        <f t="shared" si="9"/>
        <v>1</v>
      </c>
      <c r="N299" s="1475">
        <f>D299*E299*F299*H299*M299</f>
        <v>9.7875000000000032</v>
      </c>
      <c r="O299" s="450"/>
      <c r="P299" s="1462"/>
    </row>
    <row r="300" spans="1:16" s="942" customFormat="1" ht="15.75" customHeight="1">
      <c r="A300" s="451"/>
      <c r="B300" s="682" t="s">
        <v>223</v>
      </c>
      <c r="C300" s="428"/>
      <c r="D300" s="428">
        <f>D299</f>
        <v>1.5</v>
      </c>
      <c r="E300" s="428">
        <f>E299</f>
        <v>2.1750000000000007</v>
      </c>
      <c r="F300" s="428">
        <v>3</v>
      </c>
      <c r="G300" s="428"/>
      <c r="H300" s="428">
        <v>1</v>
      </c>
      <c r="I300" s="428"/>
      <c r="J300" s="428"/>
      <c r="K300" s="428"/>
      <c r="L300" s="428"/>
      <c r="M300" s="428">
        <f t="shared" si="9"/>
        <v>1</v>
      </c>
      <c r="N300" s="1475">
        <f>D300*E300*F300*H300*M300</f>
        <v>9.7875000000000032</v>
      </c>
      <c r="O300" s="450"/>
      <c r="P300" s="1462"/>
    </row>
    <row r="301" spans="1:16" s="942" customFormat="1" ht="15.75" customHeight="1">
      <c r="A301" s="451"/>
      <c r="B301" s="682" t="s">
        <v>1447</v>
      </c>
      <c r="C301" s="428"/>
      <c r="D301" s="428">
        <f>D300</f>
        <v>1.5</v>
      </c>
      <c r="E301" s="428">
        <f>E300</f>
        <v>2.1750000000000007</v>
      </c>
      <c r="F301" s="428">
        <v>3</v>
      </c>
      <c r="G301" s="428"/>
      <c r="H301" s="428">
        <v>1</v>
      </c>
      <c r="I301" s="428"/>
      <c r="J301" s="428"/>
      <c r="K301" s="428"/>
      <c r="L301" s="428"/>
      <c r="M301" s="428">
        <f t="shared" si="9"/>
        <v>1</v>
      </c>
      <c r="N301" s="912">
        <f>D301*E301*F301*H301*M301</f>
        <v>9.7875000000000032</v>
      </c>
      <c r="O301" s="450"/>
      <c r="P301" s="1462"/>
    </row>
    <row r="302" spans="1:16" s="942" customFormat="1" ht="15.75" customHeight="1">
      <c r="A302" s="451"/>
      <c r="B302" s="389"/>
      <c r="C302" s="428"/>
      <c r="D302" s="428"/>
      <c r="E302" s="428"/>
      <c r="F302" s="428"/>
      <c r="G302" s="428"/>
      <c r="H302" s="428"/>
      <c r="I302" s="428"/>
      <c r="J302" s="428"/>
      <c r="K302" s="428"/>
      <c r="L302" s="428"/>
      <c r="M302" s="428"/>
      <c r="N302" s="1476">
        <f>SUM(N289:N301)</f>
        <v>42.052500000000002</v>
      </c>
      <c r="O302" s="450" t="s">
        <v>89</v>
      </c>
      <c r="P302" s="1463">
        <f>ROUND((N302),2)</f>
        <v>42.05</v>
      </c>
    </row>
    <row r="303" spans="1:16" s="942" customFormat="1" ht="15.75" customHeight="1">
      <c r="A303" s="451" t="s">
        <v>98</v>
      </c>
      <c r="B303" s="389" t="s">
        <v>1708</v>
      </c>
      <c r="C303" s="428"/>
      <c r="D303" s="428"/>
      <c r="E303" s="428"/>
      <c r="F303" s="428"/>
      <c r="G303" s="428"/>
      <c r="H303" s="428"/>
      <c r="I303" s="428"/>
      <c r="J303" s="428"/>
      <c r="K303" s="428"/>
      <c r="L303" s="428"/>
      <c r="M303" s="428"/>
      <c r="N303" s="1475"/>
      <c r="O303" s="450"/>
      <c r="P303" s="1462"/>
    </row>
    <row r="304" spans="1:16" s="942" customFormat="1" ht="15.75" customHeight="1">
      <c r="A304" s="451"/>
      <c r="B304" s="926" t="s">
        <v>1695</v>
      </c>
      <c r="C304" s="428"/>
      <c r="D304" s="428"/>
      <c r="E304" s="428"/>
      <c r="F304" s="428"/>
      <c r="G304" s="428"/>
      <c r="H304" s="428"/>
      <c r="I304" s="428"/>
      <c r="J304" s="428"/>
      <c r="K304" s="428"/>
      <c r="L304" s="428"/>
      <c r="M304" s="428"/>
      <c r="N304" s="1472"/>
      <c r="O304" s="450"/>
      <c r="P304" s="1462"/>
    </row>
    <row r="305" spans="1:16" s="942" customFormat="1" ht="15.75" customHeight="1">
      <c r="A305" s="451"/>
      <c r="B305" s="682" t="s">
        <v>1709</v>
      </c>
      <c r="C305" s="428"/>
      <c r="D305" s="428">
        <v>1.6</v>
      </c>
      <c r="E305" s="428">
        <f>0.5-0.15</f>
        <v>0.35</v>
      </c>
      <c r="F305" s="428"/>
      <c r="G305" s="428"/>
      <c r="H305" s="428">
        <v>1</v>
      </c>
      <c r="I305" s="428"/>
      <c r="J305" s="428"/>
      <c r="K305" s="428"/>
      <c r="L305" s="428"/>
      <c r="M305" s="428">
        <f>M301</f>
        <v>1</v>
      </c>
      <c r="N305" s="1472">
        <f t="shared" ref="N305:N312" si="11">D305*E305*H305*M305</f>
        <v>0.55999999999999994</v>
      </c>
      <c r="O305" s="450"/>
      <c r="P305" s="1462"/>
    </row>
    <row r="306" spans="1:16" s="942" customFormat="1" ht="15.75" customHeight="1">
      <c r="A306" s="451"/>
      <c r="B306" s="682" t="s">
        <v>1697</v>
      </c>
      <c r="C306" s="428"/>
      <c r="D306" s="428">
        <f>D305</f>
        <v>1.6</v>
      </c>
      <c r="E306" s="428">
        <f>E305</f>
        <v>0.35</v>
      </c>
      <c r="F306" s="428"/>
      <c r="G306" s="428"/>
      <c r="H306" s="428">
        <v>1</v>
      </c>
      <c r="I306" s="428"/>
      <c r="J306" s="428"/>
      <c r="K306" s="428"/>
      <c r="L306" s="428"/>
      <c r="M306" s="428">
        <f t="shared" ref="M306:M312" si="12">M305</f>
        <v>1</v>
      </c>
      <c r="N306" s="1472">
        <f t="shared" si="11"/>
        <v>0.55999999999999994</v>
      </c>
      <c r="O306" s="450"/>
      <c r="P306" s="1462"/>
    </row>
    <row r="307" spans="1:16" s="942" customFormat="1" ht="15.75" customHeight="1">
      <c r="A307" s="451"/>
      <c r="B307" s="682" t="s">
        <v>1710</v>
      </c>
      <c r="C307" s="428"/>
      <c r="D307" s="428">
        <f>D305-0.05</f>
        <v>1.55</v>
      </c>
      <c r="E307" s="428">
        <f>E305+0.05</f>
        <v>0.39999999999999997</v>
      </c>
      <c r="F307" s="428"/>
      <c r="G307" s="428"/>
      <c r="H307" s="428">
        <v>1</v>
      </c>
      <c r="I307" s="428"/>
      <c r="J307" s="428"/>
      <c r="K307" s="428"/>
      <c r="L307" s="428"/>
      <c r="M307" s="428">
        <f t="shared" si="12"/>
        <v>1</v>
      </c>
      <c r="N307" s="1472">
        <f t="shared" si="11"/>
        <v>0.62</v>
      </c>
      <c r="O307" s="450"/>
      <c r="P307" s="1462"/>
    </row>
    <row r="308" spans="1:16" s="942" customFormat="1" ht="15.75" customHeight="1">
      <c r="A308" s="451"/>
      <c r="B308" s="682" t="s">
        <v>1699</v>
      </c>
      <c r="C308" s="428"/>
      <c r="D308" s="428">
        <f>D307</f>
        <v>1.55</v>
      </c>
      <c r="E308" s="428">
        <f>E306+0.05</f>
        <v>0.39999999999999997</v>
      </c>
      <c r="F308" s="428"/>
      <c r="G308" s="428"/>
      <c r="H308" s="428">
        <v>1</v>
      </c>
      <c r="I308" s="428"/>
      <c r="J308" s="428"/>
      <c r="K308" s="428"/>
      <c r="L308" s="428"/>
      <c r="M308" s="428">
        <f t="shared" si="12"/>
        <v>1</v>
      </c>
      <c r="N308" s="1472">
        <f t="shared" si="11"/>
        <v>0.62</v>
      </c>
      <c r="O308" s="450"/>
      <c r="P308" s="1462"/>
    </row>
    <row r="309" spans="1:16" s="942" customFormat="1" ht="15.75" customHeight="1">
      <c r="A309" s="451"/>
      <c r="B309" s="682" t="s">
        <v>1343</v>
      </c>
      <c r="C309" s="428"/>
      <c r="D309" s="428">
        <v>0.9</v>
      </c>
      <c r="E309" s="428">
        <f>8.825-6.275</f>
        <v>2.5499999999999989</v>
      </c>
      <c r="F309" s="428"/>
      <c r="G309" s="428"/>
      <c r="H309" s="428">
        <v>1</v>
      </c>
      <c r="I309" s="428"/>
      <c r="J309" s="428"/>
      <c r="K309" s="428"/>
      <c r="L309" s="428"/>
      <c r="M309" s="428">
        <f t="shared" si="12"/>
        <v>1</v>
      </c>
      <c r="N309" s="1472">
        <f t="shared" si="11"/>
        <v>2.294999999999999</v>
      </c>
      <c r="O309" s="450"/>
      <c r="P309" s="1462"/>
    </row>
    <row r="310" spans="1:16" s="942" customFormat="1" ht="15.75" customHeight="1">
      <c r="A310" s="451"/>
      <c r="B310" s="682" t="s">
        <v>1285</v>
      </c>
      <c r="C310" s="428"/>
      <c r="D310" s="428">
        <v>0.9</v>
      </c>
      <c r="E310" s="428">
        <f>E309</f>
        <v>2.5499999999999989</v>
      </c>
      <c r="F310" s="428"/>
      <c r="G310" s="428"/>
      <c r="H310" s="428">
        <v>1</v>
      </c>
      <c r="I310" s="428"/>
      <c r="J310" s="428"/>
      <c r="K310" s="428"/>
      <c r="L310" s="428"/>
      <c r="M310" s="428">
        <f t="shared" si="12"/>
        <v>1</v>
      </c>
      <c r="N310" s="1472">
        <f t="shared" si="11"/>
        <v>2.294999999999999</v>
      </c>
      <c r="O310" s="450"/>
      <c r="P310" s="1462"/>
    </row>
    <row r="311" spans="1:16" s="942" customFormat="1" ht="15.75" customHeight="1">
      <c r="A311" s="451"/>
      <c r="B311" s="682" t="s">
        <v>223</v>
      </c>
      <c r="C311" s="428"/>
      <c r="D311" s="428">
        <v>0.9</v>
      </c>
      <c r="E311" s="428">
        <f>E310</f>
        <v>2.5499999999999989</v>
      </c>
      <c r="F311" s="428"/>
      <c r="G311" s="428"/>
      <c r="H311" s="428">
        <v>1</v>
      </c>
      <c r="I311" s="428"/>
      <c r="J311" s="428"/>
      <c r="K311" s="428"/>
      <c r="L311" s="428"/>
      <c r="M311" s="428">
        <f t="shared" si="12"/>
        <v>1</v>
      </c>
      <c r="N311" s="1472">
        <f t="shared" si="11"/>
        <v>2.294999999999999</v>
      </c>
      <c r="O311" s="450"/>
      <c r="P311" s="1462"/>
    </row>
    <row r="312" spans="1:16" s="942" customFormat="1" ht="15.75" customHeight="1">
      <c r="A312" s="451"/>
      <c r="B312" s="682" t="s">
        <v>1447</v>
      </c>
      <c r="C312" s="428"/>
      <c r="D312" s="428">
        <v>0.9</v>
      </c>
      <c r="E312" s="428">
        <f>E311</f>
        <v>2.5499999999999989</v>
      </c>
      <c r="F312" s="428"/>
      <c r="G312" s="428"/>
      <c r="H312" s="428">
        <v>1</v>
      </c>
      <c r="I312" s="428"/>
      <c r="J312" s="428"/>
      <c r="K312" s="428"/>
      <c r="L312" s="428"/>
      <c r="M312" s="428">
        <f t="shared" si="12"/>
        <v>1</v>
      </c>
      <c r="N312" s="1473">
        <f t="shared" si="11"/>
        <v>2.294999999999999</v>
      </c>
      <c r="O312" s="450"/>
      <c r="P312" s="1462"/>
    </row>
    <row r="313" spans="1:16" s="942" customFormat="1" ht="15.75" customHeight="1">
      <c r="A313" s="451"/>
      <c r="B313" s="389"/>
      <c r="C313" s="428"/>
      <c r="D313" s="428"/>
      <c r="E313" s="428"/>
      <c r="F313" s="428"/>
      <c r="G313" s="428"/>
      <c r="H313" s="428"/>
      <c r="I313" s="428"/>
      <c r="J313" s="428"/>
      <c r="K313" s="428"/>
      <c r="L313" s="428"/>
      <c r="M313" s="428"/>
      <c r="N313" s="1476">
        <f>SUM(N305:N312)</f>
        <v>11.539999999999996</v>
      </c>
      <c r="O313" s="450" t="s">
        <v>89</v>
      </c>
      <c r="P313" s="1463">
        <f>ROUND((N313),2)</f>
        <v>11.54</v>
      </c>
    </row>
    <row r="314" spans="1:16" s="942" customFormat="1" ht="15.75" customHeight="1">
      <c r="A314" s="451" t="s">
        <v>101</v>
      </c>
      <c r="B314" s="389" t="s">
        <v>1711</v>
      </c>
      <c r="C314" s="428"/>
      <c r="D314" s="428"/>
      <c r="E314" s="428"/>
      <c r="F314" s="428"/>
      <c r="G314" s="428"/>
      <c r="H314" s="428"/>
      <c r="I314" s="428"/>
      <c r="J314" s="428"/>
      <c r="K314" s="428"/>
      <c r="L314" s="428"/>
      <c r="M314" s="428"/>
      <c r="N314" s="1475"/>
      <c r="O314" s="450"/>
      <c r="P314" s="1462"/>
    </row>
    <row r="315" spans="1:16" s="942" customFormat="1" ht="15.75" customHeight="1">
      <c r="A315" s="451"/>
      <c r="B315" s="682" t="s">
        <v>226</v>
      </c>
      <c r="C315" s="428"/>
      <c r="D315" s="428">
        <v>0.9</v>
      </c>
      <c r="E315" s="428">
        <v>0.2</v>
      </c>
      <c r="F315" s="428">
        <v>2</v>
      </c>
      <c r="G315" s="428"/>
      <c r="H315" s="428"/>
      <c r="I315" s="428"/>
      <c r="J315" s="428"/>
      <c r="K315" s="428"/>
      <c r="L315" s="428"/>
      <c r="M315" s="428">
        <f>M312</f>
        <v>1</v>
      </c>
      <c r="N315" s="389">
        <f>D315*E315*F315*M315</f>
        <v>0.36000000000000004</v>
      </c>
      <c r="O315" s="450"/>
      <c r="P315" s="1462"/>
    </row>
    <row r="316" spans="1:16" s="942" customFormat="1" ht="15.75" customHeight="1">
      <c r="A316" s="451"/>
      <c r="B316" s="682" t="s">
        <v>227</v>
      </c>
      <c r="C316" s="428"/>
      <c r="D316" s="428">
        <v>0.25</v>
      </c>
      <c r="E316" s="428">
        <f>E315</f>
        <v>0.2</v>
      </c>
      <c r="F316" s="428">
        <v>2</v>
      </c>
      <c r="G316" s="428"/>
      <c r="H316" s="428"/>
      <c r="I316" s="428"/>
      <c r="J316" s="428"/>
      <c r="K316" s="428"/>
      <c r="L316" s="428"/>
      <c r="M316" s="428">
        <f>M315</f>
        <v>1</v>
      </c>
      <c r="N316" s="1479">
        <f>D316*E316*F316*M316</f>
        <v>0.1</v>
      </c>
      <c r="O316" s="450"/>
      <c r="P316" s="1462"/>
    </row>
    <row r="317" spans="1:16" s="942" customFormat="1" ht="15.75" customHeight="1">
      <c r="A317" s="451"/>
      <c r="B317" s="389"/>
      <c r="C317" s="428"/>
      <c r="D317" s="428"/>
      <c r="E317" s="428"/>
      <c r="F317" s="428"/>
      <c r="G317" s="428"/>
      <c r="H317" s="428"/>
      <c r="I317" s="428"/>
      <c r="J317" s="428"/>
      <c r="K317" s="428"/>
      <c r="L317" s="428"/>
      <c r="M317" s="428"/>
      <c r="N317" s="427">
        <f>SUM(N315:N316)</f>
        <v>0.46000000000000008</v>
      </c>
      <c r="O317" s="450" t="s">
        <v>89</v>
      </c>
      <c r="P317" s="1463">
        <f>ROUND((N317),2)</f>
        <v>0.46</v>
      </c>
    </row>
    <row r="318" spans="1:16" s="942" customFormat="1" ht="15.75" customHeight="1">
      <c r="A318" s="394">
        <f>A286+1</f>
        <v>2</v>
      </c>
      <c r="B318" s="389" t="s">
        <v>193</v>
      </c>
      <c r="C318" s="428"/>
      <c r="D318" s="428"/>
      <c r="E318" s="428"/>
      <c r="F318" s="428"/>
      <c r="G318" s="428"/>
      <c r="H318" s="428"/>
      <c r="I318" s="428"/>
      <c r="J318" s="428"/>
      <c r="K318" s="428"/>
      <c r="L318" s="428"/>
      <c r="M318" s="428"/>
      <c r="N318" s="1475"/>
      <c r="O318" s="450"/>
      <c r="P318" s="1462"/>
    </row>
    <row r="319" spans="1:16" s="942" customFormat="1" ht="15.75" customHeight="1">
      <c r="A319" s="451" t="s">
        <v>95</v>
      </c>
      <c r="B319" s="389" t="s">
        <v>1694</v>
      </c>
      <c r="C319" s="428" t="s">
        <v>1713</v>
      </c>
      <c r="D319" s="428"/>
      <c r="E319" s="428"/>
      <c r="F319" s="428"/>
      <c r="G319" s="428"/>
      <c r="H319" s="428"/>
      <c r="I319" s="428"/>
      <c r="J319" s="428"/>
      <c r="K319" s="428"/>
      <c r="L319" s="428"/>
      <c r="M319" s="428"/>
      <c r="N319" s="337">
        <f>N302</f>
        <v>42.052500000000002</v>
      </c>
      <c r="O319" s="450" t="s">
        <v>89</v>
      </c>
      <c r="P319" s="1463">
        <f>ROUND((N319),2)</f>
        <v>42.05</v>
      </c>
    </row>
    <row r="320" spans="1:16" s="942" customFormat="1" ht="15.75" customHeight="1">
      <c r="A320" s="451" t="s">
        <v>98</v>
      </c>
      <c r="B320" s="389" t="s">
        <v>1708</v>
      </c>
      <c r="C320" s="428" t="s">
        <v>1713</v>
      </c>
      <c r="D320" s="428"/>
      <c r="E320" s="428"/>
      <c r="F320" s="428"/>
      <c r="G320" s="428"/>
      <c r="H320" s="428"/>
      <c r="I320" s="428"/>
      <c r="J320" s="428"/>
      <c r="K320" s="428"/>
      <c r="L320" s="428"/>
      <c r="M320" s="428"/>
      <c r="N320" s="1481">
        <f>N313</f>
        <v>11.539999999999996</v>
      </c>
      <c r="O320" s="450" t="s">
        <v>89</v>
      </c>
      <c r="P320" s="1463">
        <f>ROUND((N320),2)</f>
        <v>11.54</v>
      </c>
    </row>
    <row r="321" spans="1:16" s="942" customFormat="1" ht="15.75" customHeight="1">
      <c r="A321" s="451" t="s">
        <v>101</v>
      </c>
      <c r="B321" s="389" t="s">
        <v>1711</v>
      </c>
      <c r="C321" s="428" t="s">
        <v>1713</v>
      </c>
      <c r="D321" s="428"/>
      <c r="E321" s="428"/>
      <c r="F321" s="428"/>
      <c r="G321" s="428"/>
      <c r="H321" s="428"/>
      <c r="I321" s="428"/>
      <c r="J321" s="428"/>
      <c r="K321" s="428"/>
      <c r="L321" s="428"/>
      <c r="M321" s="428"/>
      <c r="N321" s="337">
        <f>N317</f>
        <v>0.46000000000000008</v>
      </c>
      <c r="O321" s="450" t="s">
        <v>89</v>
      </c>
      <c r="P321" s="1463">
        <f>ROUND((N321),2)</f>
        <v>0.46</v>
      </c>
    </row>
    <row r="322" spans="1:16" s="942" customFormat="1" ht="15.75" customHeight="1">
      <c r="A322" s="394">
        <f>A318+1</f>
        <v>3</v>
      </c>
      <c r="B322" s="389" t="s">
        <v>194</v>
      </c>
      <c r="C322" s="428"/>
      <c r="D322" s="428"/>
      <c r="E322" s="428"/>
      <c r="F322" s="428"/>
      <c r="G322" s="428"/>
      <c r="H322" s="428"/>
      <c r="I322" s="428"/>
      <c r="J322" s="428"/>
      <c r="K322" s="428"/>
      <c r="L322" s="428"/>
      <c r="M322" s="428"/>
      <c r="N322" s="1475"/>
      <c r="O322" s="450"/>
      <c r="P322" s="1462"/>
    </row>
    <row r="323" spans="1:16" s="942" customFormat="1" ht="15.75" customHeight="1">
      <c r="A323" s="451" t="s">
        <v>95</v>
      </c>
      <c r="B323" s="389" t="s">
        <v>1694</v>
      </c>
      <c r="C323" s="428"/>
      <c r="D323" s="428"/>
      <c r="E323" s="428"/>
      <c r="F323" s="428"/>
      <c r="G323" s="428"/>
      <c r="H323" s="428"/>
      <c r="I323" s="428"/>
      <c r="J323" s="428"/>
      <c r="K323" s="428"/>
      <c r="L323" s="428"/>
      <c r="M323" s="428"/>
      <c r="N323" s="1475"/>
      <c r="O323" s="450"/>
      <c r="P323" s="1462"/>
    </row>
    <row r="324" spans="1:16" s="942" customFormat="1" ht="15.75" customHeight="1">
      <c r="A324" s="451"/>
      <c r="B324" s="926" t="s">
        <v>1730</v>
      </c>
      <c r="C324" s="428"/>
      <c r="D324" s="428"/>
      <c r="E324" s="428"/>
      <c r="F324" s="428"/>
      <c r="G324" s="428"/>
      <c r="H324" s="428"/>
      <c r="I324" s="428"/>
      <c r="J324" s="428"/>
      <c r="K324" s="428"/>
      <c r="L324" s="428"/>
      <c r="M324" s="428"/>
      <c r="N324" s="389"/>
      <c r="O324" s="450"/>
      <c r="P324" s="1462"/>
    </row>
    <row r="325" spans="1:16" s="942" customFormat="1" ht="15.75" customHeight="1">
      <c r="A325" s="451"/>
      <c r="B325" s="926" t="s">
        <v>1714</v>
      </c>
      <c r="C325" s="428"/>
      <c r="D325" s="428"/>
      <c r="E325" s="428"/>
      <c r="F325" s="428"/>
      <c r="G325" s="428"/>
      <c r="H325" s="428"/>
      <c r="I325" s="428"/>
      <c r="J325" s="428"/>
      <c r="K325" s="428"/>
      <c r="L325" s="428"/>
      <c r="M325" s="428"/>
      <c r="N325" s="389"/>
      <c r="O325" s="450"/>
      <c r="P325" s="1462"/>
    </row>
    <row r="326" spans="1:16" s="942" customFormat="1" ht="15.75" customHeight="1">
      <c r="A326" s="451"/>
      <c r="B326" s="682" t="s">
        <v>1343</v>
      </c>
      <c r="C326" s="428">
        <v>1.6</v>
      </c>
      <c r="D326" s="428">
        <v>0.95</v>
      </c>
      <c r="E326" s="428"/>
      <c r="F326" s="428"/>
      <c r="G326" s="428"/>
      <c r="H326" s="428">
        <v>1</v>
      </c>
      <c r="I326" s="428"/>
      <c r="J326" s="428"/>
      <c r="K326" s="428"/>
      <c r="L326" s="428"/>
      <c r="M326" s="428">
        <f>M316</f>
        <v>1</v>
      </c>
      <c r="N326" s="1475">
        <f>C326*D326*H326*M326</f>
        <v>1.52</v>
      </c>
      <c r="O326" s="450"/>
      <c r="P326" s="1462"/>
    </row>
    <row r="327" spans="1:16" s="942" customFormat="1" ht="15.75" customHeight="1">
      <c r="A327" s="451"/>
      <c r="B327" s="682" t="s">
        <v>223</v>
      </c>
      <c r="C327" s="428">
        <v>1.6</v>
      </c>
      <c r="D327" s="428">
        <f>D326</f>
        <v>0.95</v>
      </c>
      <c r="E327" s="428"/>
      <c r="F327" s="428"/>
      <c r="G327" s="428"/>
      <c r="H327" s="428">
        <v>2</v>
      </c>
      <c r="I327" s="428"/>
      <c r="J327" s="428"/>
      <c r="K327" s="428"/>
      <c r="L327" s="428"/>
      <c r="M327" s="428">
        <f>M326</f>
        <v>1</v>
      </c>
      <c r="N327" s="1475">
        <f>C327*D327*H327*M327</f>
        <v>3.04</v>
      </c>
      <c r="O327" s="450"/>
      <c r="P327" s="1462"/>
    </row>
    <row r="328" spans="1:16" s="942" customFormat="1" ht="15.75" customHeight="1">
      <c r="A328" s="451"/>
      <c r="B328" s="926" t="s">
        <v>1715</v>
      </c>
      <c r="C328" s="428"/>
      <c r="D328" s="428"/>
      <c r="E328" s="428"/>
      <c r="F328" s="428"/>
      <c r="G328" s="428"/>
      <c r="H328" s="428"/>
      <c r="I328" s="428"/>
      <c r="J328" s="428"/>
      <c r="K328" s="428"/>
      <c r="L328" s="428"/>
      <c r="M328" s="428"/>
      <c r="N328" s="1475"/>
      <c r="O328" s="450"/>
      <c r="P328" s="1462"/>
    </row>
    <row r="329" spans="1:16" s="942" customFormat="1" ht="15.75" customHeight="1">
      <c r="A329" s="451"/>
      <c r="B329" s="682" t="s">
        <v>1343</v>
      </c>
      <c r="C329" s="428">
        <f>C326</f>
        <v>1.6</v>
      </c>
      <c r="D329" s="428">
        <v>0.35</v>
      </c>
      <c r="E329" s="428"/>
      <c r="F329" s="428"/>
      <c r="G329" s="428"/>
      <c r="H329" s="428">
        <f>H326</f>
        <v>1</v>
      </c>
      <c r="I329" s="428"/>
      <c r="J329" s="428"/>
      <c r="K329" s="428"/>
      <c r="L329" s="428"/>
      <c r="M329" s="428">
        <f>M327</f>
        <v>1</v>
      </c>
      <c r="N329" s="1475">
        <f>C329*D329*H329*M329</f>
        <v>0.55999999999999994</v>
      </c>
      <c r="O329" s="450"/>
      <c r="P329" s="1462"/>
    </row>
    <row r="330" spans="1:16" s="942" customFormat="1" ht="15.75" customHeight="1">
      <c r="A330" s="451"/>
      <c r="B330" s="682" t="s">
        <v>223</v>
      </c>
      <c r="C330" s="428">
        <f>C327</f>
        <v>1.6</v>
      </c>
      <c r="D330" s="428">
        <f>D329</f>
        <v>0.35</v>
      </c>
      <c r="E330" s="428"/>
      <c r="F330" s="428"/>
      <c r="G330" s="428"/>
      <c r="H330" s="428">
        <f>H327</f>
        <v>2</v>
      </c>
      <c r="I330" s="428"/>
      <c r="J330" s="428"/>
      <c r="K330" s="428"/>
      <c r="L330" s="428"/>
      <c r="M330" s="428">
        <f>M329</f>
        <v>1</v>
      </c>
      <c r="N330" s="912">
        <f>C330*D330*H330*M330</f>
        <v>1.1199999999999999</v>
      </c>
      <c r="O330" s="450"/>
      <c r="P330" s="1462"/>
    </row>
    <row r="331" spans="1:16" s="942" customFormat="1" ht="15.75" customHeight="1">
      <c r="A331" s="451"/>
      <c r="B331" s="682"/>
      <c r="C331" s="428"/>
      <c r="D331" s="428"/>
      <c r="E331" s="428"/>
      <c r="F331" s="428"/>
      <c r="G331" s="428"/>
      <c r="H331" s="428"/>
      <c r="I331" s="428"/>
      <c r="J331" s="428"/>
      <c r="K331" s="428"/>
      <c r="L331" s="428"/>
      <c r="M331" s="428"/>
      <c r="N331" s="1476">
        <f>SUM(N326:N330)</f>
        <v>6.24</v>
      </c>
      <c r="O331" s="450" t="s">
        <v>89</v>
      </c>
      <c r="P331" s="1463">
        <f>ROUND((N331),2)</f>
        <v>6.24</v>
      </c>
    </row>
    <row r="332" spans="1:16" s="942" customFormat="1" ht="15.75" customHeight="1">
      <c r="A332" s="451" t="s">
        <v>98</v>
      </c>
      <c r="B332" s="389" t="s">
        <v>1708</v>
      </c>
      <c r="C332" s="428"/>
      <c r="D332" s="428"/>
      <c r="E332" s="428"/>
      <c r="F332" s="428"/>
      <c r="G332" s="428"/>
      <c r="H332" s="428"/>
      <c r="I332" s="428"/>
      <c r="J332" s="428"/>
      <c r="K332" s="428"/>
      <c r="L332" s="428"/>
      <c r="M332" s="428"/>
      <c r="N332" s="1475"/>
      <c r="O332" s="450"/>
      <c r="P332" s="1462"/>
    </row>
    <row r="333" spans="1:16" s="942" customFormat="1" ht="15.75" customHeight="1">
      <c r="A333" s="451"/>
      <c r="B333" s="926" t="str">
        <f>B324</f>
        <v>Area Pilar Tengah</v>
      </c>
      <c r="C333" s="428"/>
      <c r="D333" s="428"/>
      <c r="E333" s="428"/>
      <c r="F333" s="428"/>
      <c r="G333" s="428"/>
      <c r="H333" s="428"/>
      <c r="I333" s="428"/>
      <c r="J333" s="428"/>
      <c r="K333" s="428"/>
      <c r="L333" s="428"/>
      <c r="M333" s="428"/>
      <c r="N333" s="1475"/>
      <c r="O333" s="450"/>
      <c r="P333" s="1462"/>
    </row>
    <row r="334" spans="1:16" s="942" customFormat="1" ht="15.75" customHeight="1">
      <c r="A334" s="451"/>
      <c r="B334" s="926" t="s">
        <v>1714</v>
      </c>
      <c r="C334" s="428"/>
      <c r="D334" s="428"/>
      <c r="E334" s="428"/>
      <c r="F334" s="428"/>
      <c r="G334" s="428"/>
      <c r="H334" s="428"/>
      <c r="I334" s="428"/>
      <c r="J334" s="428"/>
      <c r="K334" s="428"/>
      <c r="L334" s="428"/>
      <c r="M334" s="428"/>
      <c r="N334" s="1475"/>
      <c r="O334" s="450"/>
      <c r="P334" s="1462"/>
    </row>
    <row r="335" spans="1:16" s="942" customFormat="1" ht="15.75" customHeight="1">
      <c r="A335" s="451"/>
      <c r="B335" s="682" t="s">
        <v>1343</v>
      </c>
      <c r="C335" s="428">
        <v>1.6</v>
      </c>
      <c r="D335" s="428">
        <v>0.5</v>
      </c>
      <c r="E335" s="428"/>
      <c r="F335" s="428"/>
      <c r="G335" s="428"/>
      <c r="H335" s="428">
        <v>1</v>
      </c>
      <c r="I335" s="428"/>
      <c r="J335" s="428"/>
      <c r="K335" s="428"/>
      <c r="L335" s="428"/>
      <c r="M335" s="428">
        <f>M326</f>
        <v>1</v>
      </c>
      <c r="N335" s="1475">
        <f>C335*D335*H335*M335</f>
        <v>0.8</v>
      </c>
      <c r="O335" s="450"/>
      <c r="P335" s="1462"/>
    </row>
    <row r="336" spans="1:16" s="942" customFormat="1" ht="15.75" customHeight="1">
      <c r="A336" s="451"/>
      <c r="B336" s="682" t="s">
        <v>223</v>
      </c>
      <c r="C336" s="428">
        <v>1.6</v>
      </c>
      <c r="D336" s="428">
        <f>D335</f>
        <v>0.5</v>
      </c>
      <c r="E336" s="428"/>
      <c r="F336" s="428"/>
      <c r="G336" s="428"/>
      <c r="H336" s="428">
        <v>2</v>
      </c>
      <c r="I336" s="428"/>
      <c r="J336" s="428"/>
      <c r="K336" s="428"/>
      <c r="L336" s="428"/>
      <c r="M336" s="428">
        <f>M327</f>
        <v>1</v>
      </c>
      <c r="N336" s="1475">
        <f>C336*D336*H336*M336</f>
        <v>1.6</v>
      </c>
      <c r="O336" s="450"/>
      <c r="P336" s="1462"/>
    </row>
    <row r="337" spans="1:16" s="942" customFormat="1" ht="15.75" customHeight="1">
      <c r="A337" s="451"/>
      <c r="B337" s="926" t="s">
        <v>1715</v>
      </c>
      <c r="C337" s="428"/>
      <c r="D337" s="428"/>
      <c r="E337" s="428"/>
      <c r="F337" s="428"/>
      <c r="G337" s="428"/>
      <c r="H337" s="428"/>
      <c r="I337" s="428"/>
      <c r="J337" s="428"/>
      <c r="K337" s="428"/>
      <c r="L337" s="428"/>
      <c r="M337" s="428"/>
      <c r="N337" s="1475"/>
      <c r="O337" s="450"/>
      <c r="P337" s="1462"/>
    </row>
    <row r="338" spans="1:16" s="942" customFormat="1" ht="15.75" customHeight="1">
      <c r="A338" s="451"/>
      <c r="B338" s="682" t="s">
        <v>1343</v>
      </c>
      <c r="C338" s="428">
        <f>C335</f>
        <v>1.6</v>
      </c>
      <c r="D338" s="428">
        <v>0.15</v>
      </c>
      <c r="E338" s="428"/>
      <c r="F338" s="428"/>
      <c r="G338" s="428"/>
      <c r="H338" s="428">
        <v>1</v>
      </c>
      <c r="I338" s="428"/>
      <c r="J338" s="428"/>
      <c r="K338" s="428"/>
      <c r="L338" s="428"/>
      <c r="M338" s="428">
        <f>M329</f>
        <v>1</v>
      </c>
      <c r="N338" s="1475">
        <f>C338*D338*H338*M338</f>
        <v>0.24</v>
      </c>
      <c r="O338" s="450"/>
      <c r="P338" s="1462"/>
    </row>
    <row r="339" spans="1:16" s="942" customFormat="1" ht="15.75" customHeight="1">
      <c r="A339" s="451"/>
      <c r="B339" s="682" t="s">
        <v>223</v>
      </c>
      <c r="C339" s="428">
        <f>C336</f>
        <v>1.6</v>
      </c>
      <c r="D339" s="428">
        <f>D338</f>
        <v>0.15</v>
      </c>
      <c r="E339" s="428"/>
      <c r="F339" s="428"/>
      <c r="G339" s="428"/>
      <c r="H339" s="428">
        <v>2</v>
      </c>
      <c r="I339" s="428"/>
      <c r="J339" s="428"/>
      <c r="K339" s="428"/>
      <c r="L339" s="428"/>
      <c r="M339" s="428">
        <f>M330</f>
        <v>1</v>
      </c>
      <c r="N339" s="912">
        <f>C339*D339*H339*M339</f>
        <v>0.48</v>
      </c>
      <c r="O339" s="450"/>
      <c r="P339" s="1462"/>
    </row>
    <row r="340" spans="1:16" s="942" customFormat="1" ht="15.75" customHeight="1">
      <c r="A340" s="451"/>
      <c r="B340" s="389"/>
      <c r="C340" s="428"/>
      <c r="D340" s="428"/>
      <c r="E340" s="428"/>
      <c r="F340" s="428"/>
      <c r="G340" s="428"/>
      <c r="H340" s="428"/>
      <c r="I340" s="428"/>
      <c r="J340" s="428"/>
      <c r="K340" s="428"/>
      <c r="L340" s="428"/>
      <c r="M340" s="428"/>
      <c r="N340" s="1476">
        <f>SUM(N335:N339)</f>
        <v>3.1200000000000006</v>
      </c>
      <c r="O340" s="450" t="s">
        <v>89</v>
      </c>
      <c r="P340" s="1463">
        <f>ROUND((N340),2)</f>
        <v>3.12</v>
      </c>
    </row>
    <row r="341" spans="1:16" s="942" customFormat="1" ht="15.75" customHeight="1">
      <c r="A341" s="394">
        <f>A322+1</f>
        <v>4</v>
      </c>
      <c r="B341" s="389" t="s">
        <v>1403</v>
      </c>
      <c r="C341" s="428"/>
      <c r="D341" s="428"/>
      <c r="E341" s="428"/>
      <c r="F341" s="428"/>
      <c r="G341" s="428"/>
      <c r="H341" s="428"/>
      <c r="I341" s="428"/>
      <c r="J341" s="428"/>
      <c r="K341" s="428"/>
      <c r="L341" s="428"/>
      <c r="M341" s="428"/>
      <c r="N341" s="1475"/>
      <c r="O341" s="450"/>
      <c r="P341" s="1462"/>
    </row>
    <row r="342" spans="1:16" s="942" customFormat="1" ht="15.75" customHeight="1">
      <c r="A342" s="451" t="s">
        <v>95</v>
      </c>
      <c r="B342" s="389" t="s">
        <v>1694</v>
      </c>
      <c r="C342" s="428" t="s">
        <v>1717</v>
      </c>
      <c r="D342" s="428"/>
      <c r="E342" s="428"/>
      <c r="F342" s="428"/>
      <c r="G342" s="428"/>
      <c r="H342" s="428"/>
      <c r="I342" s="428"/>
      <c r="J342" s="428"/>
      <c r="K342" s="428"/>
      <c r="L342" s="428"/>
      <c r="M342" s="428"/>
      <c r="N342" s="1475">
        <f>N319-N331</f>
        <v>35.8125</v>
      </c>
      <c r="O342" s="450" t="s">
        <v>89</v>
      </c>
      <c r="P342" s="1463">
        <f>ROUND((N342),2)</f>
        <v>35.81</v>
      </c>
    </row>
    <row r="343" spans="1:16" s="942" customFormat="1" ht="15.75" customHeight="1">
      <c r="A343" s="451" t="s">
        <v>98</v>
      </c>
      <c r="B343" s="389" t="s">
        <v>1708</v>
      </c>
      <c r="C343" s="428" t="s">
        <v>1717</v>
      </c>
      <c r="D343" s="428"/>
      <c r="E343" s="428"/>
      <c r="F343" s="428"/>
      <c r="G343" s="428"/>
      <c r="H343" s="428"/>
      <c r="I343" s="428"/>
      <c r="J343" s="428"/>
      <c r="K343" s="428"/>
      <c r="L343" s="428"/>
      <c r="M343" s="428"/>
      <c r="N343" s="1475">
        <f>N320-N340</f>
        <v>8.4199999999999946</v>
      </c>
      <c r="O343" s="450" t="s">
        <v>89</v>
      </c>
      <c r="P343" s="1463">
        <f>ROUND((N343),2)</f>
        <v>8.42</v>
      </c>
    </row>
    <row r="344" spans="1:16" s="942" customFormat="1" ht="15.75" customHeight="1">
      <c r="A344" s="394">
        <f>A341+1</f>
        <v>5</v>
      </c>
      <c r="B344" s="389" t="s">
        <v>450</v>
      </c>
      <c r="C344" s="428" t="s">
        <v>1720</v>
      </c>
      <c r="D344" s="428"/>
      <c r="E344" s="428"/>
      <c r="F344" s="428"/>
      <c r="G344" s="428"/>
      <c r="H344" s="428"/>
      <c r="I344" s="428"/>
      <c r="J344" s="428"/>
      <c r="K344" s="428"/>
      <c r="L344" s="428"/>
      <c r="M344" s="428"/>
      <c r="N344" s="1475">
        <f>N331+N340</f>
        <v>9.3600000000000012</v>
      </c>
      <c r="O344" s="450" t="s">
        <v>89</v>
      </c>
      <c r="P344" s="1463">
        <f>ROUND((N344),2)</f>
        <v>9.36</v>
      </c>
    </row>
    <row r="345" spans="1:16" s="942" customFormat="1" ht="15.75" customHeight="1">
      <c r="A345" s="971" t="s">
        <v>1731</v>
      </c>
      <c r="B345" s="426" t="s">
        <v>457</v>
      </c>
      <c r="C345" s="428"/>
      <c r="D345" s="428"/>
      <c r="E345" s="428"/>
      <c r="F345" s="428"/>
      <c r="G345" s="428"/>
      <c r="H345" s="428"/>
      <c r="I345" s="428"/>
      <c r="J345" s="428"/>
      <c r="K345" s="428"/>
      <c r="L345" s="428"/>
      <c r="M345" s="428"/>
      <c r="N345" s="1475"/>
      <c r="O345" s="450"/>
      <c r="P345" s="1462"/>
    </row>
    <row r="346" spans="1:16" s="942" customFormat="1" ht="15.75" customHeight="1">
      <c r="A346" s="394">
        <v>1</v>
      </c>
      <c r="B346" s="389" t="s">
        <v>458</v>
      </c>
      <c r="C346" s="428"/>
      <c r="D346" s="428"/>
      <c r="E346" s="428"/>
      <c r="F346" s="428"/>
      <c r="G346" s="428"/>
      <c r="H346" s="428"/>
      <c r="I346" s="428"/>
      <c r="J346" s="428"/>
      <c r="K346" s="428"/>
      <c r="L346" s="428"/>
      <c r="M346" s="428"/>
      <c r="N346" s="1475">
        <v>6</v>
      </c>
      <c r="O346" s="450" t="s">
        <v>357</v>
      </c>
      <c r="P346" s="1463">
        <f>ROUND((N346),2)</f>
        <v>6</v>
      </c>
    </row>
    <row r="347" spans="1:16" s="942" customFormat="1" ht="15.75" customHeight="1">
      <c r="A347" s="394">
        <f>A346+1</f>
        <v>2</v>
      </c>
      <c r="B347" s="389" t="s">
        <v>640</v>
      </c>
      <c r="C347" s="428"/>
      <c r="D347" s="428"/>
      <c r="E347" s="428"/>
      <c r="F347" s="428"/>
      <c r="G347" s="428"/>
      <c r="H347" s="428"/>
      <c r="I347" s="428"/>
      <c r="J347" s="428"/>
      <c r="K347" s="428"/>
      <c r="L347" s="428"/>
      <c r="M347" s="428"/>
      <c r="N347" s="1475">
        <v>6</v>
      </c>
      <c r="O347" s="450" t="s">
        <v>357</v>
      </c>
      <c r="P347" s="1463">
        <f>ROUND((N347),2)</f>
        <v>6</v>
      </c>
    </row>
    <row r="348" spans="1:16" s="942" customFormat="1" ht="15.75" customHeight="1">
      <c r="A348" s="394"/>
      <c r="B348" s="389"/>
      <c r="C348" s="428"/>
      <c r="D348" s="428"/>
      <c r="E348" s="428"/>
      <c r="F348" s="428"/>
      <c r="G348" s="428"/>
      <c r="H348" s="428"/>
      <c r="I348" s="428"/>
      <c r="J348" s="428"/>
      <c r="K348" s="428"/>
      <c r="L348" s="428"/>
      <c r="M348" s="428"/>
      <c r="N348" s="1475"/>
      <c r="O348" s="450"/>
      <c r="P348" s="1462"/>
    </row>
    <row r="349" spans="1:16" s="942" customFormat="1" ht="15.75" customHeight="1">
      <c r="A349" s="394"/>
      <c r="B349" s="389"/>
      <c r="C349" s="428"/>
      <c r="D349" s="428" t="s">
        <v>1732</v>
      </c>
      <c r="E349" s="428"/>
      <c r="F349" s="428"/>
      <c r="G349" s="428"/>
      <c r="H349" s="428"/>
      <c r="I349" s="428"/>
      <c r="J349" s="428"/>
      <c r="K349" s="428"/>
      <c r="L349" s="428"/>
      <c r="M349" s="428"/>
      <c r="N349" s="1475"/>
      <c r="O349" s="450"/>
      <c r="P349" s="1462"/>
    </row>
    <row r="350" spans="1:16" s="942" customFormat="1" ht="15.75" customHeight="1">
      <c r="A350" s="394"/>
      <c r="B350" s="389"/>
      <c r="C350" s="428"/>
      <c r="D350" s="428"/>
      <c r="E350" s="428"/>
      <c r="F350" s="428"/>
      <c r="G350" s="428"/>
      <c r="H350" s="428"/>
      <c r="I350" s="428"/>
      <c r="J350" s="428"/>
      <c r="K350" s="428"/>
      <c r="L350" s="428"/>
      <c r="M350" s="428"/>
      <c r="N350" s="1475"/>
      <c r="O350" s="450"/>
      <c r="P350" s="1462"/>
    </row>
    <row r="351" spans="1:16" s="942" customFormat="1" ht="15.75" customHeight="1">
      <c r="A351" s="394"/>
      <c r="B351" s="389"/>
      <c r="C351" s="428"/>
      <c r="D351" s="428"/>
      <c r="E351" s="428"/>
      <c r="F351" s="428"/>
      <c r="G351" s="428"/>
      <c r="H351" s="428"/>
      <c r="I351" s="428"/>
      <c r="J351" s="428"/>
      <c r="K351" s="428"/>
      <c r="L351" s="428"/>
      <c r="M351" s="428"/>
      <c r="N351" s="1475"/>
      <c r="O351" s="450"/>
      <c r="P351" s="1462"/>
    </row>
    <row r="352" spans="1:16" s="942" customFormat="1" ht="15.75" customHeight="1">
      <c r="A352" s="394"/>
      <c r="B352" s="389"/>
      <c r="C352" s="428"/>
      <c r="D352" s="428"/>
      <c r="E352" s="428"/>
      <c r="F352" s="428"/>
      <c r="G352" s="428"/>
      <c r="H352" s="428"/>
      <c r="I352" s="428"/>
      <c r="J352" s="428"/>
      <c r="K352" s="428"/>
      <c r="L352" s="428"/>
      <c r="M352" s="428"/>
      <c r="N352" s="1475"/>
      <c r="O352" s="450"/>
      <c r="P352" s="1462"/>
    </row>
    <row r="353" spans="1:16" s="942" customFormat="1" ht="15.75" customHeight="1">
      <c r="A353" s="394"/>
      <c r="B353" s="389"/>
      <c r="C353" s="428"/>
      <c r="D353" s="428"/>
      <c r="E353" s="428"/>
      <c r="F353" s="428"/>
      <c r="G353" s="428"/>
      <c r="H353" s="428"/>
      <c r="I353" s="428"/>
      <c r="J353" s="428"/>
      <c r="K353" s="428"/>
      <c r="L353" s="428"/>
      <c r="M353" s="428"/>
      <c r="N353" s="1475"/>
      <c r="O353" s="450"/>
      <c r="P353" s="1462"/>
    </row>
    <row r="354" spans="1:16" s="942" customFormat="1" ht="15.75" customHeight="1">
      <c r="A354" s="394"/>
      <c r="B354" s="389"/>
      <c r="C354" s="428"/>
      <c r="D354" s="428"/>
      <c r="E354" s="428"/>
      <c r="F354" s="428"/>
      <c r="G354" s="428"/>
      <c r="H354" s="428"/>
      <c r="I354" s="428"/>
      <c r="J354" s="428"/>
      <c r="K354" s="428"/>
      <c r="L354" s="428"/>
      <c r="M354" s="428"/>
      <c r="N354" s="1475"/>
      <c r="O354" s="450"/>
      <c r="P354" s="1462"/>
    </row>
    <row r="355" spans="1:16" s="942" customFormat="1" ht="15.75" customHeight="1">
      <c r="A355" s="394"/>
      <c r="B355" s="389"/>
      <c r="C355" s="428"/>
      <c r="D355" s="428"/>
      <c r="E355" s="428"/>
      <c r="F355" s="428"/>
      <c r="G355" s="428"/>
      <c r="H355" s="428"/>
      <c r="I355" s="428"/>
      <c r="J355" s="428"/>
      <c r="K355" s="428"/>
      <c r="L355" s="428"/>
      <c r="M355" s="428"/>
      <c r="N355" s="1475"/>
      <c r="O355" s="450"/>
      <c r="P355" s="1462"/>
    </row>
    <row r="356" spans="1:16" s="942" customFormat="1" ht="15.75" customHeight="1">
      <c r="A356" s="394"/>
      <c r="B356" s="389"/>
      <c r="C356" s="428"/>
      <c r="D356" s="428"/>
      <c r="E356" s="428"/>
      <c r="F356" s="428"/>
      <c r="G356" s="428"/>
      <c r="H356" s="428"/>
      <c r="I356" s="428"/>
      <c r="J356" s="428"/>
      <c r="K356" s="428"/>
      <c r="L356" s="428"/>
      <c r="M356" s="428"/>
      <c r="N356" s="1475"/>
      <c r="O356" s="450"/>
      <c r="P356" s="1462"/>
    </row>
    <row r="357" spans="1:16" s="942" customFormat="1" ht="15.75" customHeight="1">
      <c r="A357" s="394"/>
      <c r="B357" s="389"/>
      <c r="C357" s="428"/>
      <c r="D357" s="428"/>
      <c r="E357" s="428"/>
      <c r="F357" s="428"/>
      <c r="G357" s="428"/>
      <c r="H357" s="428"/>
      <c r="I357" s="428"/>
      <c r="J357" s="428"/>
      <c r="K357" s="428"/>
      <c r="L357" s="428"/>
      <c r="M357" s="428"/>
      <c r="N357" s="1475"/>
      <c r="O357" s="450"/>
      <c r="P357" s="1462"/>
    </row>
    <row r="358" spans="1:16" s="942" customFormat="1" ht="15.75" customHeight="1">
      <c r="A358" s="394"/>
      <c r="B358" s="389"/>
      <c r="C358" s="428"/>
      <c r="D358" s="428"/>
      <c r="E358" s="428"/>
      <c r="F358" s="428"/>
      <c r="G358" s="428"/>
      <c r="H358" s="428"/>
      <c r="I358" s="428"/>
      <c r="J358" s="428"/>
      <c r="K358" s="428"/>
      <c r="L358" s="428"/>
      <c r="M358" s="428"/>
      <c r="N358" s="1475"/>
      <c r="O358" s="450"/>
      <c r="P358" s="1462"/>
    </row>
    <row r="359" spans="1:16" s="942" customFormat="1" ht="15.75" customHeight="1">
      <c r="A359" s="394"/>
      <c r="B359" s="389"/>
      <c r="C359" s="428"/>
      <c r="D359" s="428"/>
      <c r="E359" s="428"/>
      <c r="F359" s="428"/>
      <c r="G359" s="428"/>
      <c r="H359" s="428"/>
      <c r="I359" s="428"/>
      <c r="J359" s="428"/>
      <c r="K359" s="428"/>
      <c r="L359" s="428"/>
      <c r="M359" s="428"/>
      <c r="N359" s="1475"/>
      <c r="O359" s="450"/>
      <c r="P359" s="1462"/>
    </row>
    <row r="360" spans="1:16" s="942" customFormat="1" ht="15.75" customHeight="1">
      <c r="A360" s="394"/>
      <c r="B360" s="389"/>
      <c r="C360" s="428"/>
      <c r="D360" s="428"/>
      <c r="E360" s="428"/>
      <c r="F360" s="428"/>
      <c r="G360" s="428"/>
      <c r="H360" s="428"/>
      <c r="I360" s="428"/>
      <c r="J360" s="428"/>
      <c r="K360" s="428"/>
      <c r="L360" s="428"/>
      <c r="M360" s="428"/>
      <c r="N360" s="1475"/>
      <c r="O360" s="450"/>
      <c r="P360" s="1462"/>
    </row>
    <row r="361" spans="1:16" s="942" customFormat="1" ht="15.75" customHeight="1">
      <c r="A361" s="394"/>
      <c r="B361" s="389"/>
      <c r="C361" s="428"/>
      <c r="D361" s="428"/>
      <c r="E361" s="428"/>
      <c r="F361" s="428"/>
      <c r="G361" s="428"/>
      <c r="H361" s="428"/>
      <c r="I361" s="428"/>
      <c r="J361" s="428"/>
      <c r="K361" s="428"/>
      <c r="L361" s="428"/>
      <c r="M361" s="428"/>
      <c r="N361" s="1475"/>
      <c r="O361" s="450"/>
      <c r="P361" s="1462"/>
    </row>
    <row r="362" spans="1:16" s="942" customFormat="1" ht="15.75" customHeight="1">
      <c r="A362" s="394"/>
      <c r="B362" s="389"/>
      <c r="C362" s="428"/>
      <c r="D362" s="428"/>
      <c r="E362" s="428"/>
      <c r="F362" s="428"/>
      <c r="G362" s="428"/>
      <c r="H362" s="428"/>
      <c r="I362" s="428"/>
      <c r="J362" s="428"/>
      <c r="K362" s="428"/>
      <c r="L362" s="428"/>
      <c r="M362" s="428"/>
      <c r="N362" s="1475"/>
      <c r="O362" s="450"/>
      <c r="P362" s="1462"/>
    </row>
    <row r="363" spans="1:16" s="942" customFormat="1" ht="15.75" customHeight="1">
      <c r="A363" s="394"/>
      <c r="B363" s="389"/>
      <c r="C363" s="428"/>
      <c r="D363" s="428"/>
      <c r="E363" s="428"/>
      <c r="F363" s="428"/>
      <c r="G363" s="428"/>
      <c r="H363" s="428"/>
      <c r="I363" s="428"/>
      <c r="J363" s="428"/>
      <c r="K363" s="428"/>
      <c r="L363" s="428"/>
      <c r="M363" s="428"/>
      <c r="N363" s="1475"/>
      <c r="O363" s="450"/>
      <c r="P363" s="1462"/>
    </row>
    <row r="364" spans="1:16" s="942" customFormat="1" ht="15.75" customHeight="1">
      <c r="A364" s="394"/>
      <c r="B364" s="389"/>
      <c r="C364" s="428"/>
      <c r="D364" s="428"/>
      <c r="E364" s="428"/>
      <c r="F364" s="428"/>
      <c r="G364" s="428"/>
      <c r="H364" s="428"/>
      <c r="I364" s="428"/>
      <c r="J364" s="428"/>
      <c r="K364" s="428"/>
      <c r="L364" s="428"/>
      <c r="M364" s="428"/>
      <c r="N364" s="1475"/>
      <c r="O364" s="450"/>
      <c r="P364" s="1462"/>
    </row>
    <row r="365" spans="1:16" s="942" customFormat="1" ht="15.75" customHeight="1">
      <c r="A365" s="394"/>
      <c r="B365" s="389"/>
      <c r="C365" s="428"/>
      <c r="D365" s="428"/>
      <c r="E365" s="428"/>
      <c r="F365" s="428"/>
      <c r="G365" s="428"/>
      <c r="H365" s="428"/>
      <c r="I365" s="428"/>
      <c r="J365" s="428"/>
      <c r="K365" s="428"/>
      <c r="L365" s="428"/>
      <c r="M365" s="428"/>
      <c r="N365" s="1475"/>
      <c r="O365" s="450"/>
      <c r="P365" s="1462"/>
    </row>
    <row r="366" spans="1:16" s="942" customFormat="1" ht="15.75" customHeight="1">
      <c r="A366" s="394"/>
      <c r="B366" s="389"/>
      <c r="C366" s="428"/>
      <c r="D366" s="428"/>
      <c r="E366" s="428"/>
      <c r="F366" s="428"/>
      <c r="G366" s="428"/>
      <c r="H366" s="428"/>
      <c r="I366" s="428"/>
      <c r="J366" s="428"/>
      <c r="K366" s="428"/>
      <c r="L366" s="428"/>
      <c r="M366" s="428"/>
      <c r="N366" s="1475"/>
      <c r="O366" s="450"/>
      <c r="P366" s="1462"/>
    </row>
    <row r="367" spans="1:16" s="942" customFormat="1" ht="15.75" customHeight="1">
      <c r="A367" s="394"/>
      <c r="B367" s="389"/>
      <c r="C367" s="428"/>
      <c r="D367" s="428"/>
      <c r="E367" s="428"/>
      <c r="F367" s="428"/>
      <c r="G367" s="428"/>
      <c r="H367" s="428"/>
      <c r="I367" s="428"/>
      <c r="J367" s="428"/>
      <c r="K367" s="428"/>
      <c r="L367" s="428"/>
      <c r="M367" s="428"/>
      <c r="N367" s="1475"/>
      <c r="O367" s="450"/>
      <c r="P367" s="1462"/>
    </row>
    <row r="368" spans="1:16" s="942" customFormat="1" ht="15.75" customHeight="1">
      <c r="A368" s="394"/>
      <c r="B368" s="389"/>
      <c r="C368" s="428"/>
      <c r="D368" s="428"/>
      <c r="E368" s="428"/>
      <c r="F368" s="428"/>
      <c r="G368" s="428"/>
      <c r="H368" s="428"/>
      <c r="I368" s="428"/>
      <c r="J368" s="428"/>
      <c r="K368" s="428"/>
      <c r="L368" s="428"/>
      <c r="M368" s="428"/>
      <c r="N368" s="1475"/>
      <c r="O368" s="450"/>
      <c r="P368" s="1462"/>
    </row>
    <row r="369" spans="1:16" s="942" customFormat="1" ht="15.75" customHeight="1">
      <c r="A369" s="394"/>
      <c r="B369" s="389"/>
      <c r="C369" s="428"/>
      <c r="D369" s="428"/>
      <c r="E369" s="428"/>
      <c r="F369" s="428"/>
      <c r="G369" s="428"/>
      <c r="H369" s="428"/>
      <c r="I369" s="428"/>
      <c r="J369" s="428"/>
      <c r="K369" s="428"/>
      <c r="L369" s="428"/>
      <c r="M369" s="428"/>
      <c r="N369" s="1475"/>
      <c r="O369" s="450"/>
      <c r="P369" s="1462"/>
    </row>
    <row r="370" spans="1:16" s="942" customFormat="1" ht="15.75" customHeight="1">
      <c r="A370" s="394"/>
      <c r="B370" s="389"/>
      <c r="C370" s="428"/>
      <c r="D370" s="428"/>
      <c r="E370" s="428"/>
      <c r="F370" s="428"/>
      <c r="G370" s="428"/>
      <c r="H370" s="428"/>
      <c r="I370" s="428"/>
      <c r="J370" s="428"/>
      <c r="K370" s="428"/>
      <c r="L370" s="428"/>
      <c r="M370" s="428"/>
      <c r="N370" s="1475"/>
      <c r="O370" s="450"/>
      <c r="P370" s="1462"/>
    </row>
    <row r="371" spans="1:16" s="942" customFormat="1" ht="15.75" customHeight="1">
      <c r="A371" s="394"/>
      <c r="B371" s="389"/>
      <c r="C371" s="428"/>
      <c r="D371" s="428"/>
      <c r="E371" s="428"/>
      <c r="F371" s="428"/>
      <c r="G371" s="428"/>
      <c r="H371" s="428"/>
      <c r="I371" s="428"/>
      <c r="J371" s="428"/>
      <c r="K371" s="428"/>
      <c r="L371" s="428"/>
      <c r="M371" s="428"/>
      <c r="N371" s="1475"/>
      <c r="O371" s="450"/>
      <c r="P371" s="1462"/>
    </row>
    <row r="372" spans="1:16" s="942" customFormat="1" ht="15.75" customHeight="1">
      <c r="A372" s="394"/>
      <c r="B372" s="389"/>
      <c r="C372" s="428"/>
      <c r="D372" s="428"/>
      <c r="E372" s="428"/>
      <c r="F372" s="428"/>
      <c r="G372" s="428"/>
      <c r="H372" s="428"/>
      <c r="I372" s="428"/>
      <c r="J372" s="428"/>
      <c r="K372" s="428"/>
      <c r="L372" s="428"/>
      <c r="M372" s="428"/>
      <c r="N372" s="1475"/>
      <c r="O372" s="450"/>
      <c r="P372" s="1462"/>
    </row>
    <row r="373" spans="1:16" s="942" customFormat="1" ht="15.75" customHeight="1">
      <c r="A373" s="394"/>
      <c r="B373" s="389"/>
      <c r="C373" s="428"/>
      <c r="D373" s="428"/>
      <c r="E373" s="428"/>
      <c r="F373" s="428"/>
      <c r="G373" s="428"/>
      <c r="H373" s="428"/>
      <c r="I373" s="428"/>
      <c r="J373" s="428"/>
      <c r="K373" s="428"/>
      <c r="L373" s="428"/>
      <c r="M373" s="428"/>
      <c r="N373" s="1475"/>
      <c r="O373" s="450"/>
      <c r="P373" s="1462"/>
    </row>
    <row r="374" spans="1:16" s="942" customFormat="1" ht="15.75" customHeight="1">
      <c r="A374" s="394"/>
      <c r="B374" s="389"/>
      <c r="C374" s="428"/>
      <c r="D374" s="428"/>
      <c r="E374" s="428"/>
      <c r="F374" s="428"/>
      <c r="G374" s="428"/>
      <c r="H374" s="428"/>
      <c r="I374" s="428"/>
      <c r="J374" s="428"/>
      <c r="K374" s="428"/>
      <c r="L374" s="428"/>
      <c r="M374" s="428"/>
      <c r="N374" s="1475"/>
      <c r="O374" s="450"/>
      <c r="P374" s="1462"/>
    </row>
    <row r="375" spans="1:16" s="942" customFormat="1" ht="15.75" customHeight="1">
      <c r="A375" s="394"/>
      <c r="B375" s="389"/>
      <c r="C375" s="428"/>
      <c r="D375" s="428"/>
      <c r="E375" s="428"/>
      <c r="F375" s="428"/>
      <c r="G375" s="428"/>
      <c r="H375" s="428"/>
      <c r="I375" s="428"/>
      <c r="J375" s="428"/>
      <c r="K375" s="428"/>
      <c r="L375" s="428"/>
      <c r="M375" s="428"/>
      <c r="N375" s="1475"/>
      <c r="O375" s="450"/>
      <c r="P375" s="1462"/>
    </row>
    <row r="376" spans="1:16" s="942" customFormat="1" ht="15.75" customHeight="1">
      <c r="A376" s="394"/>
      <c r="B376" s="389"/>
      <c r="C376" s="428"/>
      <c r="D376" s="428"/>
      <c r="E376" s="428"/>
      <c r="F376" s="428"/>
      <c r="G376" s="428"/>
      <c r="H376" s="428"/>
      <c r="I376" s="428"/>
      <c r="J376" s="428"/>
      <c r="K376" s="428"/>
      <c r="L376" s="428"/>
      <c r="M376" s="428"/>
      <c r="N376" s="1475"/>
      <c r="O376" s="450"/>
      <c r="P376" s="1462"/>
    </row>
    <row r="377" spans="1:16" s="942" customFormat="1" ht="15.75" customHeight="1">
      <c r="A377" s="394"/>
      <c r="B377" s="389"/>
      <c r="C377" s="428"/>
      <c r="D377" s="428"/>
      <c r="E377" s="428"/>
      <c r="F377" s="428"/>
      <c r="G377" s="428"/>
      <c r="H377" s="428"/>
      <c r="I377" s="428"/>
      <c r="J377" s="428"/>
      <c r="K377" s="428"/>
      <c r="L377" s="428"/>
      <c r="M377" s="428"/>
      <c r="N377" s="1475"/>
      <c r="O377" s="450"/>
      <c r="P377" s="1462"/>
    </row>
    <row r="378" spans="1:16" s="942" customFormat="1" ht="15.75" customHeight="1">
      <c r="A378" s="394"/>
      <c r="B378" s="389"/>
      <c r="C378" s="428"/>
      <c r="D378" s="428"/>
      <c r="E378" s="428"/>
      <c r="F378" s="428"/>
      <c r="G378" s="428"/>
      <c r="H378" s="428"/>
      <c r="I378" s="428"/>
      <c r="J378" s="428"/>
      <c r="K378" s="428"/>
      <c r="L378" s="428"/>
      <c r="M378" s="428"/>
      <c r="N378" s="1475"/>
      <c r="O378" s="450"/>
      <c r="P378" s="1462"/>
    </row>
    <row r="379" spans="1:16" s="942" customFormat="1" ht="15.75" customHeight="1">
      <c r="A379" s="394"/>
      <c r="B379" s="389"/>
      <c r="C379" s="428"/>
      <c r="D379" s="428"/>
      <c r="E379" s="428"/>
      <c r="F379" s="428"/>
      <c r="G379" s="428"/>
      <c r="H379" s="428"/>
      <c r="I379" s="428"/>
      <c r="J379" s="428"/>
      <c r="K379" s="428"/>
      <c r="L379" s="428"/>
      <c r="M379" s="428"/>
      <c r="N379" s="1475"/>
      <c r="O379" s="450"/>
      <c r="P379" s="1462"/>
    </row>
    <row r="380" spans="1:16" s="942" customFormat="1" ht="15.75" customHeight="1">
      <c r="A380" s="394"/>
      <c r="B380" s="389"/>
      <c r="C380" s="428"/>
      <c r="D380" s="428"/>
      <c r="E380" s="428"/>
      <c r="F380" s="428"/>
      <c r="G380" s="428"/>
      <c r="H380" s="428"/>
      <c r="I380" s="428"/>
      <c r="J380" s="428"/>
      <c r="K380" s="428"/>
      <c r="L380" s="428"/>
      <c r="M380" s="428"/>
      <c r="N380" s="1475"/>
      <c r="O380" s="450"/>
      <c r="P380" s="1462"/>
    </row>
    <row r="381" spans="1:16" s="942" customFormat="1" ht="15.75" customHeight="1">
      <c r="A381" s="394"/>
      <c r="B381" s="389"/>
      <c r="C381" s="428"/>
      <c r="D381" s="428"/>
      <c r="E381" s="428"/>
      <c r="F381" s="428"/>
      <c r="G381" s="428"/>
      <c r="H381" s="428"/>
      <c r="I381" s="428"/>
      <c r="J381" s="428"/>
      <c r="K381" s="428"/>
      <c r="L381" s="428"/>
      <c r="M381" s="428"/>
      <c r="N381" s="1475"/>
      <c r="O381" s="450"/>
      <c r="P381" s="1462"/>
    </row>
    <row r="382" spans="1:16" s="942" customFormat="1" ht="15.75" customHeight="1">
      <c r="A382" s="394"/>
      <c r="B382" s="389"/>
      <c r="C382" s="428"/>
      <c r="D382" s="428"/>
      <c r="E382" s="428"/>
      <c r="F382" s="428"/>
      <c r="G382" s="428"/>
      <c r="H382" s="428"/>
      <c r="I382" s="428"/>
      <c r="J382" s="428"/>
      <c r="K382" s="428"/>
      <c r="L382" s="428"/>
      <c r="M382" s="428"/>
      <c r="N382" s="1475"/>
      <c r="O382" s="450"/>
      <c r="P382" s="1462"/>
    </row>
    <row r="383" spans="1:16" s="942" customFormat="1" ht="15.75" customHeight="1">
      <c r="A383" s="394"/>
      <c r="B383" s="389"/>
      <c r="C383" s="428"/>
      <c r="D383" s="428"/>
      <c r="E383" s="428"/>
      <c r="F383" s="428"/>
      <c r="G383" s="428"/>
      <c r="H383" s="428"/>
      <c r="I383" s="428"/>
      <c r="J383" s="428"/>
      <c r="K383" s="428"/>
      <c r="L383" s="428"/>
      <c r="M383" s="428"/>
      <c r="N383" s="1475"/>
      <c r="O383" s="450"/>
      <c r="P383" s="1462"/>
    </row>
    <row r="384" spans="1:16" s="942" customFormat="1" ht="15.75" customHeight="1">
      <c r="A384" s="394"/>
      <c r="B384" s="389"/>
      <c r="C384" s="428"/>
      <c r="D384" s="428"/>
      <c r="E384" s="428"/>
      <c r="F384" s="428"/>
      <c r="G384" s="428"/>
      <c r="H384" s="428"/>
      <c r="I384" s="428"/>
      <c r="J384" s="428"/>
      <c r="K384" s="428"/>
      <c r="L384" s="428"/>
      <c r="M384" s="428"/>
      <c r="N384" s="1475"/>
      <c r="O384" s="450"/>
      <c r="P384" s="1462"/>
    </row>
    <row r="385" spans="1:16" s="942" customFormat="1" ht="15.75" customHeight="1">
      <c r="A385" s="394"/>
      <c r="B385" s="389"/>
      <c r="C385" s="428"/>
      <c r="D385" s="428"/>
      <c r="E385" s="428"/>
      <c r="F385" s="428"/>
      <c r="G385" s="428"/>
      <c r="H385" s="428"/>
      <c r="I385" s="428"/>
      <c r="J385" s="428"/>
      <c r="K385" s="428"/>
      <c r="L385" s="428"/>
      <c r="M385" s="428"/>
      <c r="N385" s="1475"/>
      <c r="O385" s="450"/>
      <c r="P385" s="1462"/>
    </row>
    <row r="386" spans="1:16" s="942" customFormat="1" ht="15.75" customHeight="1">
      <c r="A386" s="394"/>
      <c r="B386" s="389"/>
      <c r="C386" s="428"/>
      <c r="D386" s="428"/>
      <c r="E386" s="428"/>
      <c r="F386" s="428"/>
      <c r="G386" s="428"/>
      <c r="H386" s="428"/>
      <c r="I386" s="428"/>
      <c r="J386" s="428"/>
      <c r="K386" s="428"/>
      <c r="L386" s="428"/>
      <c r="M386" s="428"/>
      <c r="N386" s="1475"/>
      <c r="O386" s="450"/>
      <c r="P386" s="1462"/>
    </row>
    <row r="387" spans="1:16" s="942" customFormat="1" ht="15.75" customHeight="1">
      <c r="A387" s="394"/>
      <c r="B387" s="389"/>
      <c r="C387" s="428"/>
      <c r="D387" s="428"/>
      <c r="E387" s="428"/>
      <c r="F387" s="428"/>
      <c r="G387" s="428"/>
      <c r="H387" s="428"/>
      <c r="I387" s="428"/>
      <c r="J387" s="428"/>
      <c r="K387" s="428"/>
      <c r="L387" s="428"/>
      <c r="M387" s="428"/>
      <c r="N387" s="1475"/>
      <c r="O387" s="450"/>
      <c r="P387" s="1462"/>
    </row>
    <row r="388" spans="1:16" s="942" customFormat="1" ht="15.75" customHeight="1">
      <c r="A388" s="394"/>
      <c r="B388" s="389"/>
      <c r="C388" s="428"/>
      <c r="D388" s="428"/>
      <c r="E388" s="428"/>
      <c r="F388" s="428"/>
      <c r="G388" s="428"/>
      <c r="H388" s="428"/>
      <c r="I388" s="428"/>
      <c r="J388" s="428"/>
      <c r="K388" s="428"/>
      <c r="L388" s="428"/>
      <c r="M388" s="428"/>
      <c r="N388" s="1475"/>
      <c r="O388" s="450"/>
      <c r="P388" s="1462"/>
    </row>
    <row r="389" spans="1:16" s="942" customFormat="1" ht="15.75" customHeight="1">
      <c r="A389" s="394"/>
      <c r="B389" s="389"/>
      <c r="C389" s="428"/>
      <c r="D389" s="428"/>
      <c r="E389" s="428"/>
      <c r="F389" s="428"/>
      <c r="G389" s="428"/>
      <c r="H389" s="428"/>
      <c r="I389" s="428"/>
      <c r="J389" s="428"/>
      <c r="K389" s="428"/>
      <c r="L389" s="428"/>
      <c r="M389" s="428"/>
      <c r="N389" s="1475"/>
      <c r="O389" s="450"/>
      <c r="P389" s="1462"/>
    </row>
    <row r="390" spans="1:16" s="942" customFormat="1" ht="15.75" customHeight="1">
      <c r="A390" s="394"/>
      <c r="B390" s="389"/>
      <c r="C390" s="428"/>
      <c r="D390" s="428"/>
      <c r="E390" s="428"/>
      <c r="F390" s="428"/>
      <c r="G390" s="428"/>
      <c r="H390" s="428"/>
      <c r="I390" s="428"/>
      <c r="J390" s="428"/>
      <c r="K390" s="428"/>
      <c r="L390" s="428"/>
      <c r="M390" s="428"/>
      <c r="N390" s="1475"/>
      <c r="O390" s="450"/>
      <c r="P390" s="1462"/>
    </row>
    <row r="391" spans="1:16" s="942" customFormat="1" ht="15.75" customHeight="1">
      <c r="A391" s="394"/>
      <c r="B391" s="389"/>
      <c r="C391" s="428"/>
      <c r="D391" s="428"/>
      <c r="E391" s="428"/>
      <c r="F391" s="428"/>
      <c r="G391" s="428"/>
      <c r="H391" s="428"/>
      <c r="I391" s="428"/>
      <c r="J391" s="428"/>
      <c r="K391" s="428"/>
      <c r="L391" s="428"/>
      <c r="M391" s="428"/>
      <c r="N391" s="1475"/>
      <c r="O391" s="450"/>
      <c r="P391" s="1462"/>
    </row>
    <row r="392" spans="1:16" s="942" customFormat="1" ht="15.75" customHeight="1">
      <c r="A392" s="394"/>
      <c r="B392" s="389"/>
      <c r="C392" s="428"/>
      <c r="D392" s="428"/>
      <c r="E392" s="428"/>
      <c r="F392" s="428"/>
      <c r="G392" s="428"/>
      <c r="H392" s="428"/>
      <c r="I392" s="428"/>
      <c r="J392" s="428"/>
      <c r="K392" s="428"/>
      <c r="L392" s="428"/>
      <c r="M392" s="428"/>
      <c r="N392" s="1475"/>
      <c r="O392" s="450"/>
      <c r="P392" s="1462"/>
    </row>
    <row r="393" spans="1:16" s="942" customFormat="1" ht="15.75" customHeight="1">
      <c r="A393" s="394"/>
      <c r="B393" s="389"/>
      <c r="C393" s="428"/>
      <c r="D393" s="428"/>
      <c r="E393" s="428"/>
      <c r="F393" s="428"/>
      <c r="G393" s="428"/>
      <c r="H393" s="428"/>
      <c r="I393" s="428"/>
      <c r="J393" s="428"/>
      <c r="K393" s="428"/>
      <c r="L393" s="428"/>
      <c r="M393" s="428"/>
      <c r="N393" s="1475"/>
      <c r="O393" s="450"/>
      <c r="P393" s="1462"/>
    </row>
    <row r="394" spans="1:16" s="942" customFormat="1" ht="15.75" customHeight="1">
      <c r="A394" s="394"/>
      <c r="B394" s="389"/>
      <c r="C394" s="428"/>
      <c r="D394" s="428"/>
      <c r="E394" s="428"/>
      <c r="F394" s="428"/>
      <c r="G394" s="428"/>
      <c r="H394" s="428"/>
      <c r="I394" s="428"/>
      <c r="J394" s="428"/>
      <c r="K394" s="428"/>
      <c r="L394" s="428"/>
      <c r="M394" s="428"/>
      <c r="N394" s="1475"/>
      <c r="O394" s="450"/>
      <c r="P394" s="1462"/>
    </row>
    <row r="395" spans="1:16" s="942" customFormat="1" ht="15.75" customHeight="1">
      <c r="A395" s="394"/>
      <c r="B395" s="389"/>
      <c r="C395" s="428"/>
      <c r="D395" s="428"/>
      <c r="E395" s="428"/>
      <c r="F395" s="428"/>
      <c r="G395" s="428"/>
      <c r="H395" s="428"/>
      <c r="I395" s="428"/>
      <c r="J395" s="428"/>
      <c r="K395" s="428"/>
      <c r="L395" s="428"/>
      <c r="M395" s="428"/>
      <c r="N395" s="1475"/>
      <c r="O395" s="450"/>
      <c r="P395" s="1462"/>
    </row>
    <row r="396" spans="1:16" s="942" customFormat="1" ht="15.75" customHeight="1">
      <c r="A396" s="394"/>
      <c r="B396" s="389"/>
      <c r="C396" s="428"/>
      <c r="D396" s="428"/>
      <c r="E396" s="428"/>
      <c r="F396" s="428"/>
      <c r="G396" s="428"/>
      <c r="H396" s="428"/>
      <c r="I396" s="428"/>
      <c r="J396" s="428"/>
      <c r="K396" s="428"/>
      <c r="L396" s="428"/>
      <c r="M396" s="428"/>
      <c r="N396" s="1475"/>
      <c r="O396" s="450"/>
      <c r="P396" s="1462"/>
    </row>
    <row r="397" spans="1:16" s="942" customFormat="1" ht="15.75" customHeight="1">
      <c r="A397" s="394"/>
      <c r="B397" s="389"/>
      <c r="C397" s="428"/>
      <c r="D397" s="428"/>
      <c r="E397" s="428"/>
      <c r="F397" s="428"/>
      <c r="G397" s="428"/>
      <c r="H397" s="428"/>
      <c r="I397" s="428"/>
      <c r="J397" s="428"/>
      <c r="K397" s="428"/>
      <c r="L397" s="428"/>
      <c r="M397" s="428"/>
      <c r="N397" s="1475"/>
      <c r="O397" s="450"/>
      <c r="P397" s="1462"/>
    </row>
    <row r="398" spans="1:16" s="942" customFormat="1" ht="15.75" customHeight="1">
      <c r="A398" s="394"/>
      <c r="B398" s="389"/>
      <c r="C398" s="428"/>
      <c r="D398" s="428"/>
      <c r="E398" s="428"/>
      <c r="F398" s="428"/>
      <c r="G398" s="428"/>
      <c r="H398" s="428"/>
      <c r="I398" s="428"/>
      <c r="J398" s="428"/>
      <c r="K398" s="428"/>
      <c r="L398" s="428"/>
      <c r="M398" s="428"/>
      <c r="N398" s="1475"/>
      <c r="O398" s="450"/>
      <c r="P398" s="1462"/>
    </row>
    <row r="399" spans="1:16" s="942" customFormat="1" ht="15.75" customHeight="1">
      <c r="A399" s="394"/>
      <c r="B399" s="389"/>
      <c r="C399" s="428"/>
      <c r="D399" s="428"/>
      <c r="E399" s="428"/>
      <c r="F399" s="428"/>
      <c r="G399" s="428"/>
      <c r="H399" s="428"/>
      <c r="I399" s="428"/>
      <c r="J399" s="428"/>
      <c r="K399" s="428"/>
      <c r="L399" s="428"/>
      <c r="M399" s="428"/>
      <c r="N399" s="1475"/>
      <c r="O399" s="450"/>
      <c r="P399" s="1462"/>
    </row>
    <row r="400" spans="1:16" s="942" customFormat="1" ht="15.75" customHeight="1">
      <c r="A400" s="394"/>
      <c r="B400" s="389"/>
      <c r="C400" s="428"/>
      <c r="D400" s="428"/>
      <c r="E400" s="428"/>
      <c r="F400" s="428"/>
      <c r="G400" s="428"/>
      <c r="H400" s="428"/>
      <c r="I400" s="428"/>
      <c r="J400" s="428"/>
      <c r="K400" s="428"/>
      <c r="L400" s="428"/>
      <c r="M400" s="428"/>
      <c r="N400" s="1475"/>
      <c r="O400" s="450"/>
      <c r="P400" s="1462"/>
    </row>
    <row r="401" spans="1:16" s="942" customFormat="1" ht="15.75" customHeight="1">
      <c r="A401" s="394"/>
      <c r="B401" s="389"/>
      <c r="C401" s="428"/>
      <c r="D401" s="428"/>
      <c r="E401" s="428"/>
      <c r="F401" s="428"/>
      <c r="G401" s="428"/>
      <c r="H401" s="428"/>
      <c r="I401" s="428"/>
      <c r="J401" s="428"/>
      <c r="K401" s="428"/>
      <c r="L401" s="428"/>
      <c r="M401" s="428"/>
      <c r="N401" s="1475"/>
      <c r="O401" s="450"/>
      <c r="P401" s="1462"/>
    </row>
    <row r="402" spans="1:16" s="942" customFormat="1" ht="15.75" customHeight="1">
      <c r="A402" s="394"/>
      <c r="B402" s="389"/>
      <c r="C402" s="428"/>
      <c r="D402" s="428"/>
      <c r="E402" s="428"/>
      <c r="F402" s="428"/>
      <c r="G402" s="428"/>
      <c r="H402" s="428"/>
      <c r="I402" s="428"/>
      <c r="J402" s="428"/>
      <c r="K402" s="428"/>
      <c r="L402" s="428"/>
      <c r="M402" s="428"/>
      <c r="N402" s="1475"/>
      <c r="O402" s="450"/>
      <c r="P402" s="1462"/>
    </row>
    <row r="403" spans="1:16" s="942" customFormat="1" ht="15.75" customHeight="1">
      <c r="A403" s="394"/>
      <c r="B403" s="389"/>
      <c r="C403" s="428"/>
      <c r="D403" s="428"/>
      <c r="E403" s="428"/>
      <c r="F403" s="428"/>
      <c r="G403" s="428"/>
      <c r="H403" s="428"/>
      <c r="I403" s="428"/>
      <c r="J403" s="428"/>
      <c r="K403" s="428"/>
      <c r="L403" s="428"/>
      <c r="M403" s="428"/>
      <c r="N403" s="1475"/>
      <c r="O403" s="450"/>
      <c r="P403" s="1462"/>
    </row>
    <row r="404" spans="1:16" s="942" customFormat="1" ht="15.75" customHeight="1">
      <c r="A404" s="394"/>
      <c r="B404" s="389"/>
      <c r="C404" s="428"/>
      <c r="D404" s="428"/>
      <c r="E404" s="428"/>
      <c r="F404" s="428"/>
      <c r="G404" s="428"/>
      <c r="H404" s="428"/>
      <c r="I404" s="428"/>
      <c r="J404" s="428"/>
      <c r="K404" s="428"/>
      <c r="L404" s="428"/>
      <c r="M404" s="428"/>
      <c r="N404" s="1475"/>
      <c r="O404" s="450"/>
      <c r="P404" s="1462"/>
    </row>
    <row r="405" spans="1:16" s="942" customFormat="1" ht="15.75" customHeight="1">
      <c r="A405" s="394"/>
      <c r="B405" s="389"/>
      <c r="C405" s="428"/>
      <c r="D405" s="428"/>
      <c r="E405" s="428"/>
      <c r="F405" s="428"/>
      <c r="G405" s="428"/>
      <c r="H405" s="428"/>
      <c r="I405" s="428"/>
      <c r="J405" s="428"/>
      <c r="K405" s="428"/>
      <c r="L405" s="428"/>
      <c r="M405" s="428"/>
      <c r="N405" s="1475"/>
      <c r="O405" s="450"/>
      <c r="P405" s="1462"/>
    </row>
    <row r="406" spans="1:16" s="942" customFormat="1" ht="15.75" customHeight="1">
      <c r="A406" s="394"/>
      <c r="B406" s="389"/>
      <c r="C406" s="428"/>
      <c r="D406" s="428"/>
      <c r="E406" s="428"/>
      <c r="F406" s="428"/>
      <c r="G406" s="428"/>
      <c r="H406" s="428"/>
      <c r="I406" s="428"/>
      <c r="J406" s="428"/>
      <c r="K406" s="428"/>
      <c r="L406" s="428"/>
      <c r="M406" s="428"/>
      <c r="N406" s="1475"/>
      <c r="O406" s="450"/>
      <c r="P406" s="1462"/>
    </row>
    <row r="407" spans="1:16" s="942" customFormat="1" ht="15.75" customHeight="1">
      <c r="A407" s="394"/>
      <c r="B407" s="389"/>
      <c r="C407" s="428"/>
      <c r="D407" s="428"/>
      <c r="E407" s="428"/>
      <c r="F407" s="428"/>
      <c r="G407" s="428"/>
      <c r="H407" s="428"/>
      <c r="I407" s="428"/>
      <c r="J407" s="428"/>
      <c r="K407" s="428"/>
      <c r="L407" s="428"/>
      <c r="M407" s="428"/>
      <c r="N407" s="1475"/>
      <c r="O407" s="450"/>
      <c r="P407" s="1462"/>
    </row>
    <row r="408" spans="1:16" s="942" customFormat="1" ht="15.75" customHeight="1">
      <c r="A408" s="394"/>
      <c r="B408" s="389"/>
      <c r="C408" s="428"/>
      <c r="D408" s="428"/>
      <c r="E408" s="428"/>
      <c r="F408" s="428"/>
      <c r="G408" s="428"/>
      <c r="H408" s="428"/>
      <c r="I408" s="428"/>
      <c r="J408" s="428"/>
      <c r="K408" s="428"/>
      <c r="L408" s="428"/>
      <c r="M408" s="428"/>
      <c r="N408" s="1475"/>
      <c r="O408" s="450"/>
      <c r="P408" s="1462"/>
    </row>
    <row r="409" spans="1:16" s="942" customFormat="1" ht="15.75" customHeight="1">
      <c r="A409" s="394"/>
      <c r="B409" s="389"/>
      <c r="C409" s="428"/>
      <c r="D409" s="428"/>
      <c r="E409" s="428"/>
      <c r="F409" s="428"/>
      <c r="G409" s="428"/>
      <c r="H409" s="428"/>
      <c r="I409" s="428"/>
      <c r="J409" s="428"/>
      <c r="K409" s="428"/>
      <c r="L409" s="428"/>
      <c r="M409" s="428"/>
      <c r="N409" s="1475"/>
      <c r="O409" s="450"/>
      <c r="P409" s="1462"/>
    </row>
    <row r="410" spans="1:16" s="942" customFormat="1" ht="15.75" customHeight="1">
      <c r="A410" s="394"/>
      <c r="B410" s="389"/>
      <c r="C410" s="428"/>
      <c r="D410" s="428"/>
      <c r="E410" s="428"/>
      <c r="F410" s="428"/>
      <c r="G410" s="428"/>
      <c r="H410" s="428"/>
      <c r="I410" s="428"/>
      <c r="J410" s="428"/>
      <c r="K410" s="428"/>
      <c r="L410" s="428"/>
      <c r="M410" s="428"/>
      <c r="N410" s="1475"/>
      <c r="O410" s="450"/>
      <c r="P410" s="1462"/>
    </row>
    <row r="411" spans="1:16" s="942" customFormat="1" ht="15.75" customHeight="1">
      <c r="A411" s="394"/>
      <c r="B411" s="389"/>
      <c r="C411" s="428"/>
      <c r="D411" s="428"/>
      <c r="E411" s="428"/>
      <c r="F411" s="428"/>
      <c r="G411" s="428"/>
      <c r="H411" s="428"/>
      <c r="I411" s="428"/>
      <c r="J411" s="428"/>
      <c r="K411" s="428"/>
      <c r="L411" s="428"/>
      <c r="M411" s="428"/>
      <c r="N411" s="1475"/>
      <c r="O411" s="450"/>
      <c r="P411" s="1462"/>
    </row>
    <row r="412" spans="1:16" s="942" customFormat="1" ht="15.75" customHeight="1">
      <c r="A412" s="394"/>
      <c r="B412" s="389"/>
      <c r="C412" s="428"/>
      <c r="D412" s="428"/>
      <c r="E412" s="428"/>
      <c r="F412" s="428"/>
      <c r="G412" s="428"/>
      <c r="H412" s="428"/>
      <c r="I412" s="428"/>
      <c r="J412" s="428"/>
      <c r="K412" s="428"/>
      <c r="L412" s="428"/>
      <c r="M412" s="428"/>
      <c r="N412" s="1475"/>
      <c r="O412" s="450"/>
      <c r="P412" s="1462"/>
    </row>
    <row r="413" spans="1:16" s="942" customFormat="1" ht="15.75" customHeight="1">
      <c r="A413" s="394"/>
      <c r="B413" s="389"/>
      <c r="C413" s="428"/>
      <c r="D413" s="428"/>
      <c r="E413" s="428"/>
      <c r="F413" s="428"/>
      <c r="G413" s="428"/>
      <c r="H413" s="428"/>
      <c r="I413" s="428"/>
      <c r="J413" s="428"/>
      <c r="K413" s="428"/>
      <c r="L413" s="428"/>
      <c r="M413" s="428"/>
      <c r="N413" s="1475"/>
      <c r="O413" s="450"/>
      <c r="P413" s="1462"/>
    </row>
    <row r="414" spans="1:16" s="942" customFormat="1" ht="15.75" customHeight="1">
      <c r="A414" s="394"/>
      <c r="B414" s="389"/>
      <c r="C414" s="428"/>
      <c r="D414" s="428"/>
      <c r="E414" s="428"/>
      <c r="F414" s="428"/>
      <c r="G414" s="428"/>
      <c r="H414" s="428"/>
      <c r="I414" s="428"/>
      <c r="J414" s="428"/>
      <c r="K414" s="428"/>
      <c r="L414" s="428"/>
      <c r="M414" s="428"/>
      <c r="N414" s="1475"/>
      <c r="O414" s="450"/>
      <c r="P414" s="1462"/>
    </row>
    <row r="415" spans="1:16" s="942" customFormat="1" ht="15.75" customHeight="1">
      <c r="A415" s="394"/>
      <c r="B415" s="389"/>
      <c r="C415" s="428"/>
      <c r="D415" s="428"/>
      <c r="E415" s="428"/>
      <c r="F415" s="428"/>
      <c r="G415" s="428"/>
      <c r="H415" s="428"/>
      <c r="I415" s="428"/>
      <c r="J415" s="428"/>
      <c r="K415" s="428"/>
      <c r="L415" s="428"/>
      <c r="M415" s="428"/>
      <c r="N415" s="1475"/>
      <c r="O415" s="450"/>
      <c r="P415" s="1462"/>
    </row>
    <row r="416" spans="1:16" s="942" customFormat="1" ht="15.75" customHeight="1">
      <c r="A416" s="394"/>
      <c r="B416" s="389"/>
      <c r="C416" s="428"/>
      <c r="D416" s="428"/>
      <c r="E416" s="428"/>
      <c r="F416" s="428"/>
      <c r="G416" s="428"/>
      <c r="H416" s="428"/>
      <c r="I416" s="428"/>
      <c r="J416" s="428"/>
      <c r="K416" s="428"/>
      <c r="L416" s="428"/>
      <c r="M416" s="428"/>
      <c r="N416" s="1475"/>
      <c r="O416" s="450"/>
      <c r="P416" s="1462"/>
    </row>
    <row r="417" spans="1:16" s="942" customFormat="1" ht="15.75" customHeight="1">
      <c r="A417" s="394"/>
      <c r="B417" s="389"/>
      <c r="C417" s="428"/>
      <c r="D417" s="428"/>
      <c r="E417" s="428"/>
      <c r="F417" s="428"/>
      <c r="G417" s="428"/>
      <c r="H417" s="428"/>
      <c r="I417" s="428"/>
      <c r="J417" s="428"/>
      <c r="K417" s="428"/>
      <c r="L417" s="428"/>
      <c r="M417" s="428"/>
      <c r="N417" s="1475"/>
      <c r="O417" s="450"/>
      <c r="P417" s="1462"/>
    </row>
    <row r="418" spans="1:16" s="942" customFormat="1" ht="15.75" customHeight="1">
      <c r="A418" s="394"/>
      <c r="B418" s="389"/>
      <c r="C418" s="428"/>
      <c r="D418" s="428"/>
      <c r="E418" s="428"/>
      <c r="F418" s="428"/>
      <c r="G418" s="428"/>
      <c r="H418" s="428"/>
      <c r="I418" s="428"/>
      <c r="J418" s="428"/>
      <c r="K418" s="428"/>
      <c r="L418" s="428"/>
      <c r="M418" s="428"/>
      <c r="N418" s="1475"/>
      <c r="O418" s="450"/>
      <c r="P418" s="1462"/>
    </row>
    <row r="419" spans="1:16" s="942" customFormat="1" ht="15.75" customHeight="1">
      <c r="A419" s="394"/>
      <c r="B419" s="389"/>
      <c r="C419" s="428"/>
      <c r="D419" s="428"/>
      <c r="E419" s="428"/>
      <c r="F419" s="428"/>
      <c r="G419" s="428"/>
      <c r="H419" s="428"/>
      <c r="I419" s="428"/>
      <c r="J419" s="428"/>
      <c r="K419" s="428"/>
      <c r="L419" s="428"/>
      <c r="M419" s="428"/>
      <c r="N419" s="1475"/>
      <c r="O419" s="450"/>
      <c r="P419" s="1462"/>
    </row>
    <row r="420" spans="1:16" s="942" customFormat="1" ht="15.75" customHeight="1">
      <c r="A420" s="394"/>
      <c r="B420" s="389"/>
      <c r="C420" s="428"/>
      <c r="D420" s="428"/>
      <c r="E420" s="428"/>
      <c r="F420" s="428"/>
      <c r="G420" s="428"/>
      <c r="H420" s="428"/>
      <c r="I420" s="428"/>
      <c r="J420" s="428"/>
      <c r="K420" s="428"/>
      <c r="L420" s="428"/>
      <c r="M420" s="428"/>
      <c r="N420" s="1475"/>
      <c r="O420" s="450"/>
      <c r="P420" s="1462"/>
    </row>
    <row r="421" spans="1:16" s="942" customFormat="1" ht="15.75" customHeight="1">
      <c r="A421" s="394"/>
      <c r="B421" s="389"/>
      <c r="C421" s="428"/>
      <c r="D421" s="428"/>
      <c r="E421" s="428"/>
      <c r="F421" s="428"/>
      <c r="G421" s="428"/>
      <c r="H421" s="428"/>
      <c r="I421" s="428"/>
      <c r="J421" s="428"/>
      <c r="K421" s="428"/>
      <c r="L421" s="428"/>
      <c r="M421" s="428"/>
      <c r="N421" s="1475"/>
      <c r="O421" s="450"/>
      <c r="P421" s="1462"/>
    </row>
    <row r="422" spans="1:16" s="942" customFormat="1" ht="15.75" customHeight="1">
      <c r="A422" s="394"/>
      <c r="B422" s="389"/>
      <c r="C422" s="428"/>
      <c r="D422" s="428"/>
      <c r="E422" s="428"/>
      <c r="F422" s="428"/>
      <c r="G422" s="428"/>
      <c r="H422" s="428"/>
      <c r="I422" s="428"/>
      <c r="J422" s="428"/>
      <c r="K422" s="428"/>
      <c r="L422" s="428"/>
      <c r="M422" s="428"/>
      <c r="N422" s="1475"/>
      <c r="O422" s="450"/>
      <c r="P422" s="1462"/>
    </row>
    <row r="423" spans="1:16" s="942" customFormat="1" ht="15.75" customHeight="1">
      <c r="A423" s="394"/>
      <c r="B423" s="389"/>
      <c r="C423" s="428"/>
      <c r="D423" s="428"/>
      <c r="E423" s="428"/>
      <c r="F423" s="428"/>
      <c r="G423" s="428"/>
      <c r="H423" s="428"/>
      <c r="I423" s="428"/>
      <c r="J423" s="428"/>
      <c r="K423" s="428"/>
      <c r="L423" s="428"/>
      <c r="M423" s="428"/>
      <c r="N423" s="1475"/>
      <c r="O423" s="450"/>
      <c r="P423" s="1462"/>
    </row>
    <row r="424" spans="1:16" s="942" customFormat="1" ht="15.75" customHeight="1">
      <c r="A424" s="394"/>
      <c r="B424" s="389"/>
      <c r="C424" s="428"/>
      <c r="D424" s="428"/>
      <c r="E424" s="428"/>
      <c r="F424" s="428"/>
      <c r="G424" s="428"/>
      <c r="H424" s="428"/>
      <c r="I424" s="428"/>
      <c r="J424" s="428"/>
      <c r="K424" s="428"/>
      <c r="L424" s="428"/>
      <c r="M424" s="428"/>
      <c r="N424" s="1475"/>
      <c r="O424" s="450"/>
      <c r="P424" s="1462"/>
    </row>
    <row r="425" spans="1:16" s="942" customFormat="1" ht="15.75" customHeight="1">
      <c r="A425" s="394"/>
      <c r="B425" s="389"/>
      <c r="C425" s="428"/>
      <c r="D425" s="428"/>
      <c r="E425" s="428"/>
      <c r="F425" s="428"/>
      <c r="G425" s="428"/>
      <c r="H425" s="428"/>
      <c r="I425" s="428"/>
      <c r="J425" s="428"/>
      <c r="K425" s="428"/>
      <c r="L425" s="428"/>
      <c r="M425" s="428"/>
      <c r="N425" s="1475"/>
      <c r="O425" s="450"/>
      <c r="P425" s="1462"/>
    </row>
    <row r="426" spans="1:16" s="942" customFormat="1" ht="15.75" customHeight="1">
      <c r="A426" s="394"/>
      <c r="B426" s="389"/>
      <c r="C426" s="428"/>
      <c r="D426" s="428"/>
      <c r="E426" s="428"/>
      <c r="F426" s="428"/>
      <c r="G426" s="428"/>
      <c r="H426" s="428"/>
      <c r="I426" s="428"/>
      <c r="J426" s="428"/>
      <c r="K426" s="428"/>
      <c r="L426" s="428"/>
      <c r="M426" s="428"/>
      <c r="N426" s="1475"/>
      <c r="O426" s="450"/>
      <c r="P426" s="1462"/>
    </row>
    <row r="427" spans="1:16" s="942" customFormat="1" ht="15.75" customHeight="1">
      <c r="A427" s="394"/>
      <c r="B427" s="389"/>
      <c r="C427" s="428"/>
      <c r="D427" s="428"/>
      <c r="E427" s="428"/>
      <c r="F427" s="428"/>
      <c r="G427" s="428"/>
      <c r="H427" s="428"/>
      <c r="I427" s="428"/>
      <c r="J427" s="428"/>
      <c r="K427" s="428"/>
      <c r="L427" s="428"/>
      <c r="M427" s="428"/>
      <c r="N427" s="1475"/>
      <c r="O427" s="450"/>
      <c r="P427" s="1462"/>
    </row>
    <row r="428" spans="1:16" s="942" customFormat="1" ht="15.75" customHeight="1">
      <c r="A428" s="394"/>
      <c r="B428" s="389"/>
      <c r="C428" s="428"/>
      <c r="D428" s="428"/>
      <c r="E428" s="428"/>
      <c r="F428" s="428"/>
      <c r="G428" s="428"/>
      <c r="H428" s="428"/>
      <c r="I428" s="428"/>
      <c r="J428" s="428"/>
      <c r="K428" s="428"/>
      <c r="L428" s="428"/>
      <c r="M428" s="428"/>
      <c r="N428" s="1475"/>
      <c r="O428" s="450"/>
      <c r="P428" s="1462"/>
    </row>
    <row r="429" spans="1:16" s="942" customFormat="1" ht="15.75" customHeight="1">
      <c r="A429" s="394"/>
      <c r="B429" s="389"/>
      <c r="C429" s="428"/>
      <c r="D429" s="428"/>
      <c r="E429" s="428"/>
      <c r="F429" s="428"/>
      <c r="G429" s="428"/>
      <c r="H429" s="428"/>
      <c r="I429" s="428"/>
      <c r="J429" s="428"/>
      <c r="K429" s="428"/>
      <c r="L429" s="428"/>
      <c r="M429" s="428"/>
      <c r="N429" s="1475"/>
      <c r="O429" s="450"/>
      <c r="P429" s="1462"/>
    </row>
    <row r="430" spans="1:16" s="942" customFormat="1" ht="15.75" customHeight="1">
      <c r="A430" s="394"/>
      <c r="B430" s="389"/>
      <c r="C430" s="428"/>
      <c r="D430" s="428"/>
      <c r="E430" s="428"/>
      <c r="F430" s="428"/>
      <c r="G430" s="428"/>
      <c r="H430" s="428"/>
      <c r="I430" s="428"/>
      <c r="J430" s="428"/>
      <c r="K430" s="428"/>
      <c r="L430" s="428"/>
      <c r="M430" s="428"/>
      <c r="N430" s="1475"/>
      <c r="O430" s="450"/>
      <c r="P430" s="1462"/>
    </row>
    <row r="431" spans="1:16" s="942" customFormat="1" ht="15.75" customHeight="1">
      <c r="A431" s="394"/>
      <c r="B431" s="389"/>
      <c r="C431" s="428"/>
      <c r="D431" s="428"/>
      <c r="E431" s="428"/>
      <c r="F431" s="428"/>
      <c r="G431" s="428"/>
      <c r="H431" s="428"/>
      <c r="I431" s="428"/>
      <c r="J431" s="428"/>
      <c r="K431" s="428"/>
      <c r="L431" s="428"/>
      <c r="M431" s="428"/>
      <c r="N431" s="1475"/>
      <c r="O431" s="450"/>
      <c r="P431" s="1462"/>
    </row>
    <row r="432" spans="1:16" s="942" customFormat="1" ht="15.75" customHeight="1">
      <c r="A432" s="394"/>
      <c r="B432" s="389"/>
      <c r="C432" s="428"/>
      <c r="D432" s="428"/>
      <c r="E432" s="428"/>
      <c r="F432" s="428"/>
      <c r="G432" s="428"/>
      <c r="H432" s="428"/>
      <c r="I432" s="428"/>
      <c r="J432" s="428"/>
      <c r="K432" s="428"/>
      <c r="L432" s="428"/>
      <c r="M432" s="428"/>
      <c r="N432" s="1475"/>
      <c r="O432" s="450"/>
      <c r="P432" s="1462"/>
    </row>
    <row r="433" spans="1:16" s="942" customFormat="1" ht="15.75" customHeight="1">
      <c r="A433" s="394"/>
      <c r="B433" s="389"/>
      <c r="C433" s="428"/>
      <c r="D433" s="428"/>
      <c r="E433" s="428"/>
      <c r="F433" s="428"/>
      <c r="G433" s="428"/>
      <c r="H433" s="428"/>
      <c r="I433" s="428"/>
      <c r="J433" s="428"/>
      <c r="K433" s="428"/>
      <c r="L433" s="428"/>
      <c r="M433" s="428"/>
      <c r="N433" s="1475"/>
      <c r="O433" s="450"/>
      <c r="P433" s="1462"/>
    </row>
    <row r="434" spans="1:16" s="942" customFormat="1" ht="15.75" customHeight="1">
      <c r="A434" s="394"/>
      <c r="B434" s="389"/>
      <c r="C434" s="428"/>
      <c r="D434" s="428"/>
      <c r="E434" s="428"/>
      <c r="F434" s="428"/>
      <c r="G434" s="428"/>
      <c r="H434" s="428"/>
      <c r="I434" s="428"/>
      <c r="J434" s="428"/>
      <c r="K434" s="428"/>
      <c r="L434" s="428"/>
      <c r="M434" s="428"/>
      <c r="N434" s="1475"/>
      <c r="O434" s="450"/>
      <c r="P434" s="1462"/>
    </row>
    <row r="435" spans="1:16" s="942" customFormat="1" ht="15.75" customHeight="1">
      <c r="A435" s="394"/>
      <c r="B435" s="389"/>
      <c r="C435" s="428"/>
      <c r="D435" s="428"/>
      <c r="E435" s="428"/>
      <c r="F435" s="428"/>
      <c r="G435" s="428"/>
      <c r="H435" s="428"/>
      <c r="I435" s="428"/>
      <c r="J435" s="428"/>
      <c r="K435" s="428"/>
      <c r="L435" s="428"/>
      <c r="M435" s="428"/>
      <c r="N435" s="1475"/>
      <c r="O435" s="450"/>
      <c r="P435" s="1462"/>
    </row>
    <row r="436" spans="1:16" s="942" customFormat="1" ht="15.75" customHeight="1">
      <c r="A436" s="394"/>
      <c r="B436" s="389"/>
      <c r="C436" s="428"/>
      <c r="D436" s="428"/>
      <c r="E436" s="428"/>
      <c r="F436" s="428"/>
      <c r="G436" s="428"/>
      <c r="H436" s="428"/>
      <c r="I436" s="428"/>
      <c r="J436" s="428"/>
      <c r="K436" s="428"/>
      <c r="L436" s="428"/>
      <c r="M436" s="428"/>
      <c r="N436" s="1475"/>
      <c r="O436" s="450"/>
      <c r="P436" s="1462"/>
    </row>
    <row r="437" spans="1:16" s="942" customFormat="1" ht="15.75" customHeight="1">
      <c r="A437" s="394"/>
      <c r="B437" s="389"/>
      <c r="C437" s="428"/>
      <c r="D437" s="428"/>
      <c r="E437" s="428"/>
      <c r="F437" s="428"/>
      <c r="G437" s="428"/>
      <c r="H437" s="428"/>
      <c r="I437" s="428"/>
      <c r="J437" s="428"/>
      <c r="K437" s="428"/>
      <c r="L437" s="428"/>
      <c r="M437" s="428"/>
      <c r="N437" s="1475"/>
      <c r="O437" s="450"/>
      <c r="P437" s="1462"/>
    </row>
    <row r="438" spans="1:16" s="942" customFormat="1" ht="15.75" customHeight="1">
      <c r="A438" s="394"/>
      <c r="B438" s="389"/>
      <c r="C438" s="428"/>
      <c r="D438" s="428"/>
      <c r="E438" s="428"/>
      <c r="F438" s="428"/>
      <c r="G438" s="428"/>
      <c r="H438" s="428"/>
      <c r="I438" s="428"/>
      <c r="J438" s="428"/>
      <c r="K438" s="428"/>
      <c r="L438" s="428"/>
      <c r="M438" s="428"/>
      <c r="N438" s="1475"/>
      <c r="O438" s="450"/>
      <c r="P438" s="1462"/>
    </row>
    <row r="439" spans="1:16" s="942" customFormat="1" ht="15.75" customHeight="1">
      <c r="A439" s="394"/>
      <c r="B439" s="389"/>
      <c r="C439" s="428"/>
      <c r="D439" s="428"/>
      <c r="E439" s="428"/>
      <c r="F439" s="428"/>
      <c r="G439" s="428"/>
      <c r="H439" s="428"/>
      <c r="I439" s="428"/>
      <c r="J439" s="428"/>
      <c r="K439" s="428"/>
      <c r="L439" s="428"/>
      <c r="M439" s="428"/>
      <c r="N439" s="1475"/>
      <c r="O439" s="450"/>
      <c r="P439" s="1462"/>
    </row>
    <row r="440" spans="1:16" s="942" customFormat="1" ht="15.75" customHeight="1">
      <c r="A440" s="394"/>
      <c r="B440" s="389"/>
      <c r="C440" s="428"/>
      <c r="D440" s="428"/>
      <c r="E440" s="428"/>
      <c r="F440" s="428"/>
      <c r="G440" s="428"/>
      <c r="H440" s="428"/>
      <c r="I440" s="428"/>
      <c r="J440" s="428"/>
      <c r="K440" s="428"/>
      <c r="L440" s="428"/>
      <c r="M440" s="428"/>
      <c r="N440" s="1475"/>
      <c r="O440" s="450"/>
      <c r="P440" s="1462"/>
    </row>
    <row r="441" spans="1:16" s="942" customFormat="1" ht="15.75" customHeight="1">
      <c r="A441" s="394"/>
      <c r="B441" s="389"/>
      <c r="C441" s="428"/>
      <c r="D441" s="428"/>
      <c r="E441" s="428"/>
      <c r="F441" s="428"/>
      <c r="G441" s="428"/>
      <c r="H441" s="428"/>
      <c r="I441" s="428"/>
      <c r="J441" s="428"/>
      <c r="K441" s="428"/>
      <c r="L441" s="428"/>
      <c r="M441" s="428"/>
      <c r="N441" s="1475"/>
      <c r="O441" s="450"/>
      <c r="P441" s="1462"/>
    </row>
    <row r="442" spans="1:16" s="942" customFormat="1" ht="15.75" customHeight="1">
      <c r="A442" s="394"/>
      <c r="B442" s="389"/>
      <c r="C442" s="428"/>
      <c r="D442" s="428"/>
      <c r="E442" s="428"/>
      <c r="F442" s="428"/>
      <c r="G442" s="428"/>
      <c r="H442" s="428"/>
      <c r="I442" s="428"/>
      <c r="J442" s="428"/>
      <c r="K442" s="428"/>
      <c r="L442" s="428"/>
      <c r="M442" s="428"/>
      <c r="N442" s="1475"/>
      <c r="O442" s="450"/>
      <c r="P442" s="1462"/>
    </row>
    <row r="443" spans="1:16" s="942" customFormat="1" ht="15.75" customHeight="1">
      <c r="A443" s="394"/>
      <c r="B443" s="389"/>
      <c r="C443" s="428"/>
      <c r="D443" s="428"/>
      <c r="E443" s="428"/>
      <c r="F443" s="428"/>
      <c r="G443" s="428"/>
      <c r="H443" s="428"/>
      <c r="I443" s="428"/>
      <c r="J443" s="428"/>
      <c r="K443" s="428"/>
      <c r="L443" s="428"/>
      <c r="M443" s="428"/>
      <c r="N443" s="1475"/>
      <c r="O443" s="450"/>
      <c r="P443" s="1462"/>
    </row>
    <row r="444" spans="1:16" s="942" customFormat="1" ht="15.75" customHeight="1">
      <c r="A444" s="394"/>
      <c r="B444" s="389"/>
      <c r="C444" s="428"/>
      <c r="D444" s="428"/>
      <c r="E444" s="428"/>
      <c r="F444" s="428"/>
      <c r="G444" s="428"/>
      <c r="H444" s="428"/>
      <c r="I444" s="428"/>
      <c r="J444" s="428"/>
      <c r="K444" s="428"/>
      <c r="L444" s="428"/>
      <c r="M444" s="428"/>
      <c r="N444" s="1475"/>
      <c r="O444" s="450"/>
      <c r="P444" s="1462"/>
    </row>
    <row r="445" spans="1:16" s="942" customFormat="1" ht="15.75" customHeight="1">
      <c r="A445" s="394"/>
      <c r="B445" s="389"/>
      <c r="C445" s="428"/>
      <c r="D445" s="428"/>
      <c r="E445" s="428"/>
      <c r="F445" s="428"/>
      <c r="G445" s="428"/>
      <c r="H445" s="428"/>
      <c r="I445" s="428"/>
      <c r="J445" s="428"/>
      <c r="K445" s="428"/>
      <c r="L445" s="428"/>
      <c r="M445" s="428"/>
      <c r="N445" s="1475"/>
      <c r="O445" s="450"/>
      <c r="P445" s="1462"/>
    </row>
    <row r="446" spans="1:16" s="942" customFormat="1" ht="15.75" customHeight="1">
      <c r="A446" s="394"/>
      <c r="B446" s="389"/>
      <c r="C446" s="428"/>
      <c r="D446" s="428"/>
      <c r="E446" s="428"/>
      <c r="F446" s="428"/>
      <c r="G446" s="428"/>
      <c r="H446" s="428"/>
      <c r="I446" s="428"/>
      <c r="J446" s="428"/>
      <c r="K446" s="428"/>
      <c r="L446" s="428"/>
      <c r="M446" s="428"/>
      <c r="N446" s="1475"/>
      <c r="O446" s="450"/>
      <c r="P446" s="1462"/>
    </row>
    <row r="447" spans="1:16" s="942" customFormat="1" ht="15.75" customHeight="1">
      <c r="A447" s="394"/>
      <c r="B447" s="389"/>
      <c r="C447" s="428"/>
      <c r="D447" s="428"/>
      <c r="E447" s="428"/>
      <c r="F447" s="428"/>
      <c r="G447" s="428"/>
      <c r="H447" s="428"/>
      <c r="I447" s="428"/>
      <c r="J447" s="428"/>
      <c r="K447" s="428"/>
      <c r="L447" s="428"/>
      <c r="M447" s="428"/>
      <c r="N447" s="1475"/>
      <c r="O447" s="450"/>
      <c r="P447" s="1462"/>
    </row>
    <row r="448" spans="1:16" s="942" customFormat="1" ht="15.75" customHeight="1">
      <c r="A448" s="394"/>
      <c r="B448" s="389"/>
      <c r="C448" s="428"/>
      <c r="D448" s="428"/>
      <c r="E448" s="428"/>
      <c r="F448" s="428"/>
      <c r="G448" s="428"/>
      <c r="H448" s="428"/>
      <c r="I448" s="428"/>
      <c r="J448" s="428"/>
      <c r="K448" s="428"/>
      <c r="L448" s="428"/>
      <c r="M448" s="428"/>
      <c r="N448" s="1475"/>
      <c r="O448" s="450"/>
      <c r="P448" s="1462"/>
    </row>
    <row r="449" spans="1:16" s="942" customFormat="1" ht="15.75" customHeight="1">
      <c r="A449" s="394"/>
      <c r="B449" s="389"/>
      <c r="C449" s="428"/>
      <c r="D449" s="428"/>
      <c r="E449" s="428"/>
      <c r="F449" s="428"/>
      <c r="G449" s="428"/>
      <c r="H449" s="428"/>
      <c r="I449" s="428"/>
      <c r="J449" s="428"/>
      <c r="K449" s="428"/>
      <c r="L449" s="428"/>
      <c r="M449" s="428"/>
      <c r="N449" s="1475"/>
      <c r="O449" s="450"/>
      <c r="P449" s="1462"/>
    </row>
    <row r="450" spans="1:16" s="942" customFormat="1" ht="15.75" customHeight="1">
      <c r="A450" s="394"/>
      <c r="B450" s="389"/>
      <c r="C450" s="428"/>
      <c r="D450" s="428"/>
      <c r="E450" s="428"/>
      <c r="F450" s="428"/>
      <c r="G450" s="428"/>
      <c r="H450" s="428"/>
      <c r="I450" s="428"/>
      <c r="J450" s="428"/>
      <c r="K450" s="428"/>
      <c r="L450" s="428"/>
      <c r="M450" s="428"/>
      <c r="N450" s="1475"/>
      <c r="O450" s="450"/>
      <c r="P450" s="1462"/>
    </row>
    <row r="451" spans="1:16" s="942" customFormat="1" ht="15.75" customHeight="1">
      <c r="A451" s="394"/>
      <c r="B451" s="389"/>
      <c r="C451" s="428"/>
      <c r="D451" s="428"/>
      <c r="E451" s="428"/>
      <c r="F451" s="428"/>
      <c r="G451" s="428"/>
      <c r="H451" s="428"/>
      <c r="I451" s="428"/>
      <c r="J451" s="428"/>
      <c r="K451" s="428"/>
      <c r="L451" s="428"/>
      <c r="M451" s="428"/>
      <c r="N451" s="1475"/>
      <c r="O451" s="450"/>
      <c r="P451" s="1462"/>
    </row>
    <row r="452" spans="1:16" s="942" customFormat="1" ht="15.75" customHeight="1">
      <c r="A452" s="394"/>
      <c r="B452" s="389"/>
      <c r="C452" s="428"/>
      <c r="D452" s="428"/>
      <c r="E452" s="428"/>
      <c r="F452" s="428"/>
      <c r="G452" s="428"/>
      <c r="H452" s="428"/>
      <c r="I452" s="428"/>
      <c r="J452" s="428"/>
      <c r="K452" s="428"/>
      <c r="L452" s="428"/>
      <c r="M452" s="428"/>
      <c r="N452" s="1475"/>
      <c r="O452" s="450"/>
      <c r="P452" s="1462"/>
    </row>
    <row r="453" spans="1:16" s="942" customFormat="1" ht="15.75" customHeight="1">
      <c r="A453" s="394"/>
      <c r="B453" s="389"/>
      <c r="C453" s="428"/>
      <c r="D453" s="428"/>
      <c r="E453" s="428"/>
      <c r="F453" s="428"/>
      <c r="G453" s="428"/>
      <c r="H453" s="428"/>
      <c r="I453" s="428"/>
      <c r="J453" s="428"/>
      <c r="K453" s="428"/>
      <c r="L453" s="428"/>
      <c r="M453" s="428"/>
      <c r="N453" s="1475"/>
      <c r="O453" s="450"/>
      <c r="P453" s="1462"/>
    </row>
    <row r="454" spans="1:16" s="942" customFormat="1" ht="15.75" customHeight="1">
      <c r="A454" s="394"/>
      <c r="B454" s="389"/>
      <c r="C454" s="428"/>
      <c r="D454" s="428"/>
      <c r="E454" s="428"/>
      <c r="F454" s="428"/>
      <c r="G454" s="428"/>
      <c r="H454" s="428"/>
      <c r="I454" s="428"/>
      <c r="J454" s="428"/>
      <c r="K454" s="428"/>
      <c r="L454" s="428"/>
      <c r="M454" s="428"/>
      <c r="N454" s="1475"/>
      <c r="O454" s="450"/>
      <c r="P454" s="1462"/>
    </row>
    <row r="455" spans="1:16" s="942" customFormat="1" ht="15.75" customHeight="1">
      <c r="A455" s="394"/>
      <c r="B455" s="389"/>
      <c r="C455" s="428"/>
      <c r="D455" s="428"/>
      <c r="E455" s="428"/>
      <c r="F455" s="428"/>
      <c r="G455" s="428"/>
      <c r="H455" s="428"/>
      <c r="I455" s="428"/>
      <c r="J455" s="428"/>
      <c r="K455" s="428"/>
      <c r="L455" s="428"/>
      <c r="M455" s="428"/>
      <c r="N455" s="1475"/>
      <c r="O455" s="450"/>
      <c r="P455" s="1462"/>
    </row>
    <row r="456" spans="1:16" s="942" customFormat="1" ht="15.75" customHeight="1">
      <c r="A456" s="394"/>
      <c r="B456" s="389"/>
      <c r="C456" s="428"/>
      <c r="D456" s="428"/>
      <c r="E456" s="428"/>
      <c r="F456" s="428"/>
      <c r="G456" s="428"/>
      <c r="H456" s="428"/>
      <c r="I456" s="428"/>
      <c r="J456" s="428"/>
      <c r="K456" s="428"/>
      <c r="L456" s="428"/>
      <c r="M456" s="428"/>
      <c r="N456" s="1475"/>
      <c r="O456" s="450"/>
      <c r="P456" s="1462"/>
    </row>
    <row r="457" spans="1:16" s="942" customFormat="1" ht="15.75" customHeight="1">
      <c r="A457" s="394"/>
      <c r="B457" s="389"/>
      <c r="C457" s="428"/>
      <c r="D457" s="428"/>
      <c r="E457" s="428"/>
      <c r="F457" s="428"/>
      <c r="G457" s="428"/>
      <c r="H457" s="428"/>
      <c r="I457" s="428"/>
      <c r="J457" s="428"/>
      <c r="K457" s="428"/>
      <c r="L457" s="428"/>
      <c r="M457" s="428"/>
      <c r="N457" s="1475"/>
      <c r="O457" s="450"/>
      <c r="P457" s="1462"/>
    </row>
    <row r="458" spans="1:16" s="942" customFormat="1" ht="15.75" customHeight="1">
      <c r="A458" s="394"/>
      <c r="B458" s="389"/>
      <c r="C458" s="428"/>
      <c r="D458" s="428"/>
      <c r="E458" s="428"/>
      <c r="F458" s="428"/>
      <c r="G458" s="428"/>
      <c r="H458" s="428"/>
      <c r="I458" s="428"/>
      <c r="J458" s="428"/>
      <c r="K458" s="428"/>
      <c r="L458" s="428"/>
      <c r="M458" s="428"/>
      <c r="N458" s="1475"/>
      <c r="O458" s="450"/>
      <c r="P458" s="1462"/>
    </row>
    <row r="459" spans="1:16" s="942" customFormat="1" ht="15.75" customHeight="1">
      <c r="A459" s="394"/>
      <c r="B459" s="389"/>
      <c r="C459" s="428"/>
      <c r="D459" s="428"/>
      <c r="E459" s="428"/>
      <c r="F459" s="428"/>
      <c r="G459" s="428"/>
      <c r="H459" s="428"/>
      <c r="I459" s="428"/>
      <c r="J459" s="428"/>
      <c r="K459" s="428"/>
      <c r="L459" s="428"/>
      <c r="M459" s="428"/>
      <c r="N459" s="1475"/>
      <c r="O459" s="450"/>
      <c r="P459" s="1462"/>
    </row>
    <row r="460" spans="1:16" s="942" customFormat="1" ht="15.75" customHeight="1">
      <c r="A460" s="394"/>
      <c r="B460" s="389"/>
      <c r="C460" s="428"/>
      <c r="D460" s="428"/>
      <c r="E460" s="428"/>
      <c r="F460" s="428"/>
      <c r="G460" s="428"/>
      <c r="H460" s="428"/>
      <c r="I460" s="428"/>
      <c r="J460" s="428"/>
      <c r="K460" s="428"/>
      <c r="L460" s="428"/>
      <c r="M460" s="428"/>
      <c r="N460" s="1475"/>
      <c r="O460" s="450"/>
      <c r="P460" s="1462"/>
    </row>
    <row r="461" spans="1:16" s="942" customFormat="1" ht="15.75" customHeight="1">
      <c r="A461" s="394"/>
      <c r="B461" s="389"/>
      <c r="C461" s="428"/>
      <c r="D461" s="428"/>
      <c r="E461" s="428"/>
      <c r="F461" s="428"/>
      <c r="G461" s="428"/>
      <c r="H461" s="428"/>
      <c r="I461" s="428"/>
      <c r="J461" s="428"/>
      <c r="K461" s="428"/>
      <c r="L461" s="428"/>
      <c r="M461" s="428"/>
      <c r="N461" s="1475"/>
      <c r="O461" s="450"/>
      <c r="P461" s="1462"/>
    </row>
    <row r="462" spans="1:16" s="942" customFormat="1" ht="15.75" customHeight="1">
      <c r="A462" s="394"/>
      <c r="B462" s="389"/>
      <c r="C462" s="428"/>
      <c r="D462" s="428"/>
      <c r="E462" s="428"/>
      <c r="F462" s="428"/>
      <c r="G462" s="428"/>
      <c r="H462" s="428"/>
      <c r="I462" s="428"/>
      <c r="J462" s="428"/>
      <c r="K462" s="428"/>
      <c r="L462" s="428"/>
      <c r="M462" s="428"/>
      <c r="N462" s="1475"/>
      <c r="O462" s="450"/>
      <c r="P462" s="1462"/>
    </row>
    <row r="463" spans="1:16" s="942" customFormat="1" ht="15.75" customHeight="1">
      <c r="A463" s="394"/>
      <c r="B463" s="389"/>
      <c r="C463" s="428"/>
      <c r="D463" s="428"/>
      <c r="E463" s="428"/>
      <c r="F463" s="428"/>
      <c r="G463" s="428"/>
      <c r="H463" s="428"/>
      <c r="I463" s="428"/>
      <c r="J463" s="428"/>
      <c r="K463" s="428"/>
      <c r="L463" s="428"/>
      <c r="M463" s="428"/>
      <c r="N463" s="1475"/>
      <c r="O463" s="450"/>
      <c r="P463" s="1462"/>
    </row>
    <row r="464" spans="1:16" s="942" customFormat="1" ht="15.75" customHeight="1">
      <c r="A464" s="394"/>
      <c r="B464" s="389"/>
      <c r="C464" s="428"/>
      <c r="D464" s="428"/>
      <c r="E464" s="428"/>
      <c r="F464" s="428"/>
      <c r="G464" s="428"/>
      <c r="H464" s="428"/>
      <c r="I464" s="428"/>
      <c r="J464" s="428"/>
      <c r="K464" s="428"/>
      <c r="L464" s="428"/>
      <c r="M464" s="428"/>
      <c r="N464" s="1475"/>
      <c r="O464" s="450"/>
      <c r="P464" s="1462"/>
    </row>
    <row r="465" spans="1:16" s="942" customFormat="1" ht="15.75" customHeight="1">
      <c r="A465" s="394"/>
      <c r="B465" s="389"/>
      <c r="C465" s="428"/>
      <c r="D465" s="428"/>
      <c r="E465" s="428"/>
      <c r="F465" s="428"/>
      <c r="G465" s="428"/>
      <c r="H465" s="428"/>
      <c r="I465" s="428"/>
      <c r="J465" s="428"/>
      <c r="K465" s="428"/>
      <c r="L465" s="428"/>
      <c r="M465" s="428"/>
      <c r="N465" s="1475"/>
      <c r="O465" s="450"/>
      <c r="P465" s="1462"/>
    </row>
    <row r="466" spans="1:16" s="942" customFormat="1" ht="15.75" customHeight="1">
      <c r="A466" s="394"/>
      <c r="B466" s="389"/>
      <c r="C466" s="428"/>
      <c r="D466" s="428"/>
      <c r="E466" s="428"/>
      <c r="F466" s="428"/>
      <c r="G466" s="428"/>
      <c r="H466" s="428"/>
      <c r="I466" s="428"/>
      <c r="J466" s="428"/>
      <c r="K466" s="428"/>
      <c r="L466" s="428"/>
      <c r="M466" s="428"/>
      <c r="N466" s="1475"/>
      <c r="O466" s="450"/>
      <c r="P466" s="1462"/>
    </row>
    <row r="467" spans="1:16" s="942" customFormat="1" ht="15.75" customHeight="1">
      <c r="A467" s="394"/>
      <c r="B467" s="389"/>
      <c r="C467" s="428"/>
      <c r="D467" s="428"/>
      <c r="E467" s="428"/>
      <c r="F467" s="428"/>
      <c r="G467" s="428"/>
      <c r="H467" s="428"/>
      <c r="I467" s="428"/>
      <c r="J467" s="428"/>
      <c r="K467" s="428"/>
      <c r="L467" s="428"/>
      <c r="M467" s="428"/>
      <c r="N467" s="1475"/>
      <c r="O467" s="450"/>
      <c r="P467" s="1462"/>
    </row>
    <row r="468" spans="1:16" s="942" customFormat="1" ht="15.75" customHeight="1">
      <c r="A468" s="394"/>
      <c r="B468" s="389"/>
      <c r="C468" s="428"/>
      <c r="D468" s="428"/>
      <c r="E468" s="428"/>
      <c r="F468" s="428"/>
      <c r="G468" s="428"/>
      <c r="H468" s="428"/>
      <c r="I468" s="428"/>
      <c r="J468" s="428"/>
      <c r="K468" s="428"/>
      <c r="L468" s="428"/>
      <c r="M468" s="428"/>
      <c r="N468" s="1475"/>
      <c r="O468" s="450"/>
      <c r="P468" s="1462"/>
    </row>
    <row r="469" spans="1:16" s="942" customFormat="1" ht="15.75" customHeight="1">
      <c r="A469" s="394"/>
      <c r="B469" s="389"/>
      <c r="C469" s="428"/>
      <c r="D469" s="428"/>
      <c r="E469" s="428"/>
      <c r="F469" s="428"/>
      <c r="G469" s="428"/>
      <c r="H469" s="428"/>
      <c r="I469" s="428"/>
      <c r="J469" s="428"/>
      <c r="K469" s="428"/>
      <c r="L469" s="428"/>
      <c r="M469" s="428"/>
      <c r="N469" s="1475"/>
      <c r="O469" s="450"/>
      <c r="P469" s="1462"/>
    </row>
    <row r="470" spans="1:16" s="942" customFormat="1" ht="15.75" customHeight="1">
      <c r="A470" s="394"/>
      <c r="B470" s="389"/>
      <c r="C470" s="428"/>
      <c r="D470" s="428"/>
      <c r="E470" s="428"/>
      <c r="F470" s="428"/>
      <c r="G470" s="428"/>
      <c r="H470" s="428"/>
      <c r="I470" s="428"/>
      <c r="J470" s="428"/>
      <c r="K470" s="428"/>
      <c r="L470" s="428"/>
      <c r="M470" s="428"/>
      <c r="N470" s="1475"/>
      <c r="O470" s="450"/>
      <c r="P470" s="1462"/>
    </row>
    <row r="471" spans="1:16" s="942" customFormat="1" ht="15.75" customHeight="1">
      <c r="A471" s="394"/>
      <c r="B471" s="389"/>
      <c r="C471" s="428"/>
      <c r="D471" s="428"/>
      <c r="E471" s="428"/>
      <c r="F471" s="428"/>
      <c r="G471" s="428"/>
      <c r="H471" s="428"/>
      <c r="I471" s="428"/>
      <c r="J471" s="428"/>
      <c r="K471" s="428"/>
      <c r="L471" s="428"/>
      <c r="M471" s="428"/>
      <c r="N471" s="1475"/>
      <c r="O471" s="450"/>
      <c r="P471" s="1462"/>
    </row>
    <row r="472" spans="1:16" s="942" customFormat="1" ht="15.75" customHeight="1">
      <c r="A472" s="394"/>
      <c r="B472" s="389"/>
      <c r="C472" s="428"/>
      <c r="D472" s="428"/>
      <c r="E472" s="428"/>
      <c r="F472" s="428"/>
      <c r="G472" s="428"/>
      <c r="H472" s="428"/>
      <c r="I472" s="428"/>
      <c r="J472" s="428"/>
      <c r="K472" s="428"/>
      <c r="L472" s="428"/>
      <c r="M472" s="428"/>
      <c r="N472" s="1475"/>
      <c r="O472" s="450"/>
      <c r="P472" s="1462"/>
    </row>
    <row r="473" spans="1:16" s="942" customFormat="1" ht="15.75" customHeight="1">
      <c r="A473" s="394"/>
      <c r="B473" s="389"/>
      <c r="C473" s="428"/>
      <c r="D473" s="428"/>
      <c r="E473" s="428"/>
      <c r="F473" s="428"/>
      <c r="G473" s="428"/>
      <c r="H473" s="428"/>
      <c r="I473" s="428"/>
      <c r="J473" s="428"/>
      <c r="K473" s="428"/>
      <c r="L473" s="428"/>
      <c r="M473" s="428"/>
      <c r="N473" s="1475"/>
      <c r="O473" s="450"/>
      <c r="P473" s="1462"/>
    </row>
    <row r="474" spans="1:16" s="942" customFormat="1" ht="15.75" customHeight="1">
      <c r="A474" s="394"/>
      <c r="B474" s="389"/>
      <c r="C474" s="428"/>
      <c r="D474" s="428"/>
      <c r="E474" s="428"/>
      <c r="F474" s="428"/>
      <c r="G474" s="428"/>
      <c r="H474" s="428"/>
      <c r="I474" s="428"/>
      <c r="J474" s="428"/>
      <c r="K474" s="428"/>
      <c r="L474" s="428"/>
      <c r="M474" s="428"/>
      <c r="N474" s="1475"/>
      <c r="O474" s="450"/>
      <c r="P474" s="1462"/>
    </row>
    <row r="475" spans="1:16" s="942" customFormat="1" ht="15.75" customHeight="1">
      <c r="A475" s="394"/>
      <c r="B475" s="389"/>
      <c r="C475" s="428"/>
      <c r="D475" s="428"/>
      <c r="E475" s="428"/>
      <c r="F475" s="428"/>
      <c r="G475" s="428"/>
      <c r="H475" s="428"/>
      <c r="I475" s="428"/>
      <c r="J475" s="428"/>
      <c r="K475" s="428"/>
      <c r="L475" s="428"/>
      <c r="M475" s="428"/>
      <c r="N475" s="1475"/>
      <c r="O475" s="450"/>
      <c r="P475" s="1462"/>
    </row>
    <row r="476" spans="1:16" s="942" customFormat="1" ht="15.75" customHeight="1">
      <c r="A476" s="394"/>
      <c r="B476" s="389"/>
      <c r="C476" s="428"/>
      <c r="D476" s="428"/>
      <c r="E476" s="428"/>
      <c r="F476" s="428"/>
      <c r="G476" s="428"/>
      <c r="H476" s="428"/>
      <c r="I476" s="428"/>
      <c r="J476" s="428"/>
      <c r="K476" s="428"/>
      <c r="L476" s="428"/>
      <c r="M476" s="428"/>
      <c r="N476" s="1475"/>
      <c r="O476" s="450"/>
      <c r="P476" s="1462"/>
    </row>
    <row r="477" spans="1:16" s="942" customFormat="1" ht="15.75" customHeight="1">
      <c r="A477" s="394"/>
      <c r="B477" s="389"/>
      <c r="C477" s="428"/>
      <c r="D477" s="428"/>
      <c r="E477" s="428"/>
      <c r="F477" s="428"/>
      <c r="G477" s="428"/>
      <c r="H477" s="428"/>
      <c r="I477" s="428"/>
      <c r="J477" s="428"/>
      <c r="K477" s="428"/>
      <c r="L477" s="428"/>
      <c r="M477" s="428"/>
      <c r="N477" s="1475"/>
      <c r="O477" s="450"/>
      <c r="P477" s="1462"/>
    </row>
    <row r="478" spans="1:16" s="942" customFormat="1" ht="15.75" customHeight="1">
      <c r="A478" s="394"/>
      <c r="B478" s="389"/>
      <c r="C478" s="428"/>
      <c r="D478" s="428"/>
      <c r="E478" s="428"/>
      <c r="F478" s="428"/>
      <c r="G478" s="428"/>
      <c r="H478" s="428"/>
      <c r="I478" s="428"/>
      <c r="J478" s="428"/>
      <c r="K478" s="428"/>
      <c r="L478" s="428"/>
      <c r="M478" s="428"/>
      <c r="N478" s="1475"/>
      <c r="O478" s="450"/>
      <c r="P478" s="1462"/>
    </row>
    <row r="479" spans="1:16" s="942" customFormat="1" ht="15.75" customHeight="1">
      <c r="A479" s="394"/>
      <c r="B479" s="389"/>
      <c r="C479" s="428"/>
      <c r="D479" s="428"/>
      <c r="E479" s="428"/>
      <c r="F479" s="428"/>
      <c r="G479" s="428"/>
      <c r="H479" s="428"/>
      <c r="I479" s="428"/>
      <c r="J479" s="428"/>
      <c r="K479" s="428"/>
      <c r="L479" s="428"/>
      <c r="M479" s="428"/>
      <c r="N479" s="1475"/>
      <c r="O479" s="450"/>
      <c r="P479" s="1462"/>
    </row>
    <row r="480" spans="1:16" s="942" customFormat="1" ht="15.75" customHeight="1">
      <c r="A480" s="394"/>
      <c r="B480" s="389"/>
      <c r="C480" s="428"/>
      <c r="D480" s="428"/>
      <c r="E480" s="428"/>
      <c r="F480" s="428"/>
      <c r="G480" s="428"/>
      <c r="H480" s="428"/>
      <c r="I480" s="428"/>
      <c r="J480" s="428"/>
      <c r="K480" s="428"/>
      <c r="L480" s="428"/>
      <c r="M480" s="428"/>
      <c r="N480" s="1475"/>
      <c r="O480" s="450"/>
      <c r="P480" s="1462"/>
    </row>
    <row r="481" spans="1:16" s="942" customFormat="1" ht="15.75" customHeight="1">
      <c r="A481" s="394"/>
      <c r="B481" s="389"/>
      <c r="C481" s="428"/>
      <c r="D481" s="428"/>
      <c r="E481" s="428"/>
      <c r="F481" s="428"/>
      <c r="G481" s="428"/>
      <c r="H481" s="428"/>
      <c r="I481" s="428"/>
      <c r="J481" s="428"/>
      <c r="K481" s="428"/>
      <c r="L481" s="428"/>
      <c r="M481" s="428"/>
      <c r="N481" s="1475"/>
      <c r="O481" s="450"/>
      <c r="P481" s="1462"/>
    </row>
    <row r="482" spans="1:16" s="942" customFormat="1" ht="15.75" customHeight="1">
      <c r="A482" s="394"/>
      <c r="B482" s="389"/>
      <c r="C482" s="428"/>
      <c r="D482" s="428"/>
      <c r="E482" s="428"/>
      <c r="F482" s="428"/>
      <c r="G482" s="428"/>
      <c r="H482" s="428"/>
      <c r="I482" s="428"/>
      <c r="J482" s="428"/>
      <c r="K482" s="428"/>
      <c r="L482" s="428"/>
      <c r="M482" s="428"/>
      <c r="N482" s="1475"/>
      <c r="O482" s="450"/>
      <c r="P482" s="1462"/>
    </row>
    <row r="483" spans="1:16" s="942" customFormat="1" ht="15.75" customHeight="1">
      <c r="A483" s="394"/>
      <c r="B483" s="389"/>
      <c r="C483" s="428"/>
      <c r="D483" s="428"/>
      <c r="E483" s="428"/>
      <c r="F483" s="428"/>
      <c r="G483" s="428"/>
      <c r="H483" s="428"/>
      <c r="I483" s="428"/>
      <c r="J483" s="428"/>
      <c r="K483" s="428"/>
      <c r="L483" s="428"/>
      <c r="M483" s="428"/>
      <c r="N483" s="1475"/>
      <c r="O483" s="450"/>
      <c r="P483" s="1462"/>
    </row>
    <row r="484" spans="1:16" s="942" customFormat="1" ht="15.75" customHeight="1">
      <c r="A484" s="394"/>
      <c r="B484" s="389"/>
      <c r="C484" s="428"/>
      <c r="D484" s="428"/>
      <c r="E484" s="428"/>
      <c r="F484" s="428"/>
      <c r="G484" s="428"/>
      <c r="H484" s="428"/>
      <c r="I484" s="428"/>
      <c r="J484" s="428"/>
      <c r="K484" s="428"/>
      <c r="L484" s="428"/>
      <c r="M484" s="428"/>
      <c r="N484" s="1475"/>
      <c r="O484" s="450"/>
      <c r="P484" s="1462"/>
    </row>
    <row r="485" spans="1:16" s="942" customFormat="1" ht="15.75" customHeight="1">
      <c r="A485" s="394"/>
      <c r="B485" s="389"/>
      <c r="C485" s="428"/>
      <c r="D485" s="428"/>
      <c r="E485" s="428"/>
      <c r="F485" s="428"/>
      <c r="G485" s="428"/>
      <c r="H485" s="428"/>
      <c r="I485" s="428"/>
      <c r="J485" s="428"/>
      <c r="K485" s="428"/>
      <c r="L485" s="428"/>
      <c r="M485" s="428"/>
      <c r="N485" s="1475"/>
      <c r="O485" s="450"/>
      <c r="P485" s="1462"/>
    </row>
    <row r="486" spans="1:16" s="942" customFormat="1" ht="15.75" customHeight="1">
      <c r="A486" s="394"/>
      <c r="B486" s="389"/>
      <c r="C486" s="428"/>
      <c r="D486" s="428"/>
      <c r="E486" s="428"/>
      <c r="F486" s="428"/>
      <c r="G486" s="428"/>
      <c r="H486" s="428"/>
      <c r="I486" s="428"/>
      <c r="J486" s="428"/>
      <c r="K486" s="428"/>
      <c r="L486" s="428"/>
      <c r="M486" s="428"/>
      <c r="N486" s="1475"/>
      <c r="O486" s="450"/>
      <c r="P486" s="1462"/>
    </row>
    <row r="487" spans="1:16" s="942" customFormat="1" ht="15.75" customHeight="1">
      <c r="A487" s="394"/>
      <c r="B487" s="389"/>
      <c r="C487" s="428"/>
      <c r="D487" s="428"/>
      <c r="E487" s="428"/>
      <c r="F487" s="428"/>
      <c r="G487" s="428"/>
      <c r="H487" s="428"/>
      <c r="I487" s="428"/>
      <c r="J487" s="428"/>
      <c r="K487" s="428"/>
      <c r="L487" s="428"/>
      <c r="M487" s="428"/>
      <c r="N487" s="1475"/>
      <c r="O487" s="450"/>
      <c r="P487" s="1462"/>
    </row>
    <row r="488" spans="1:16" s="942" customFormat="1" ht="15.75" customHeight="1">
      <c r="A488" s="394"/>
      <c r="B488" s="389"/>
      <c r="C488" s="428"/>
      <c r="D488" s="428"/>
      <c r="E488" s="428"/>
      <c r="F488" s="428"/>
      <c r="G488" s="428"/>
      <c r="H488" s="428"/>
      <c r="I488" s="428"/>
      <c r="J488" s="428"/>
      <c r="K488" s="428"/>
      <c r="L488" s="428"/>
      <c r="M488" s="428"/>
      <c r="N488" s="1475"/>
      <c r="O488" s="450"/>
      <c r="P488" s="1462"/>
    </row>
    <row r="489" spans="1:16" s="942" customFormat="1" ht="15.75" customHeight="1">
      <c r="A489" s="394"/>
      <c r="B489" s="389"/>
      <c r="C489" s="428"/>
      <c r="D489" s="428"/>
      <c r="E489" s="428"/>
      <c r="F489" s="428"/>
      <c r="G489" s="428"/>
      <c r="H489" s="428"/>
      <c r="I489" s="428"/>
      <c r="J489" s="428"/>
      <c r="K489" s="428"/>
      <c r="L489" s="428"/>
      <c r="M489" s="428"/>
      <c r="N489" s="1475"/>
      <c r="O489" s="450"/>
      <c r="P489" s="1462"/>
    </row>
    <row r="490" spans="1:16" s="942" customFormat="1" ht="15.75" customHeight="1">
      <c r="A490" s="394"/>
      <c r="B490" s="389"/>
      <c r="C490" s="428"/>
      <c r="D490" s="428"/>
      <c r="E490" s="428"/>
      <c r="F490" s="428"/>
      <c r="G490" s="428"/>
      <c r="H490" s="428"/>
      <c r="I490" s="428"/>
      <c r="J490" s="428"/>
      <c r="K490" s="428"/>
      <c r="L490" s="428"/>
      <c r="M490" s="428"/>
      <c r="N490" s="1475"/>
      <c r="O490" s="450"/>
      <c r="P490" s="1462"/>
    </row>
    <row r="491" spans="1:16" s="942" customFormat="1" ht="15.75" customHeight="1">
      <c r="A491" s="394"/>
      <c r="B491" s="389"/>
      <c r="C491" s="428"/>
      <c r="D491" s="428"/>
      <c r="E491" s="428"/>
      <c r="F491" s="428"/>
      <c r="G491" s="428"/>
      <c r="H491" s="428"/>
      <c r="I491" s="428"/>
      <c r="J491" s="428"/>
      <c r="K491" s="428"/>
      <c r="L491" s="428"/>
      <c r="M491" s="428"/>
      <c r="N491" s="1475"/>
      <c r="O491" s="450"/>
      <c r="P491" s="1462"/>
    </row>
    <row r="492" spans="1:16" s="942" customFormat="1" ht="15.75" customHeight="1">
      <c r="A492" s="394"/>
      <c r="B492" s="389"/>
      <c r="C492" s="428"/>
      <c r="D492" s="428"/>
      <c r="E492" s="428"/>
      <c r="F492" s="428"/>
      <c r="G492" s="428"/>
      <c r="H492" s="428"/>
      <c r="I492" s="428"/>
      <c r="J492" s="428"/>
      <c r="K492" s="428"/>
      <c r="L492" s="428"/>
      <c r="M492" s="428"/>
      <c r="N492" s="1475"/>
      <c r="O492" s="450"/>
      <c r="P492" s="1462"/>
    </row>
    <row r="493" spans="1:16" s="942" customFormat="1" ht="15.75" customHeight="1">
      <c r="A493" s="394"/>
      <c r="B493" s="389"/>
      <c r="C493" s="428"/>
      <c r="D493" s="428"/>
      <c r="E493" s="428"/>
      <c r="F493" s="428"/>
      <c r="G493" s="428"/>
      <c r="H493" s="428"/>
      <c r="I493" s="428"/>
      <c r="J493" s="428"/>
      <c r="K493" s="428"/>
      <c r="L493" s="428"/>
      <c r="M493" s="428"/>
      <c r="N493" s="1475"/>
      <c r="O493" s="450"/>
      <c r="P493" s="1462"/>
    </row>
    <row r="494" spans="1:16" s="942" customFormat="1" ht="15.75" customHeight="1">
      <c r="A494" s="394"/>
      <c r="B494" s="389"/>
      <c r="C494" s="428"/>
      <c r="D494" s="428"/>
      <c r="E494" s="428"/>
      <c r="F494" s="428"/>
      <c r="G494" s="428"/>
      <c r="H494" s="428"/>
      <c r="I494" s="428"/>
      <c r="J494" s="428"/>
      <c r="K494" s="428"/>
      <c r="L494" s="428"/>
      <c r="M494" s="428"/>
      <c r="N494" s="1475"/>
      <c r="O494" s="450"/>
      <c r="P494" s="1462"/>
    </row>
    <row r="495" spans="1:16" s="942" customFormat="1" ht="15.75" customHeight="1">
      <c r="A495" s="394"/>
      <c r="B495" s="389"/>
      <c r="C495" s="428"/>
      <c r="D495" s="428"/>
      <c r="E495" s="428"/>
      <c r="F495" s="428"/>
      <c r="G495" s="428"/>
      <c r="H495" s="428"/>
      <c r="I495" s="428"/>
      <c r="J495" s="428"/>
      <c r="K495" s="428"/>
      <c r="L495" s="428"/>
      <c r="M495" s="428"/>
      <c r="N495" s="1475"/>
      <c r="O495" s="450"/>
      <c r="P495" s="1462"/>
    </row>
    <row r="496" spans="1:16" s="942" customFormat="1" ht="15.75" customHeight="1">
      <c r="A496" s="394"/>
      <c r="B496" s="389"/>
      <c r="C496" s="428"/>
      <c r="D496" s="428"/>
      <c r="E496" s="428"/>
      <c r="F496" s="428"/>
      <c r="G496" s="428"/>
      <c r="H496" s="428"/>
      <c r="I496" s="428"/>
      <c r="J496" s="428"/>
      <c r="K496" s="428"/>
      <c r="L496" s="428"/>
      <c r="M496" s="428"/>
      <c r="N496" s="1475"/>
      <c r="O496" s="450"/>
      <c r="P496" s="1462"/>
    </row>
    <row r="497" spans="1:16" s="942" customFormat="1" ht="15.75" customHeight="1">
      <c r="A497" s="394"/>
      <c r="B497" s="389"/>
      <c r="C497" s="428"/>
      <c r="D497" s="428"/>
      <c r="E497" s="428"/>
      <c r="F497" s="428"/>
      <c r="G497" s="428"/>
      <c r="H497" s="428"/>
      <c r="I497" s="428"/>
      <c r="J497" s="428"/>
      <c r="K497" s="428"/>
      <c r="L497" s="428"/>
      <c r="M497" s="428"/>
      <c r="N497" s="1475"/>
      <c r="O497" s="450"/>
      <c r="P497" s="1462"/>
    </row>
    <row r="498" spans="1:16" s="942" customFormat="1" ht="15.75" customHeight="1">
      <c r="A498" s="394"/>
      <c r="B498" s="389"/>
      <c r="C498" s="428"/>
      <c r="D498" s="428"/>
      <c r="E498" s="428"/>
      <c r="F498" s="428"/>
      <c r="G498" s="428"/>
      <c r="H498" s="428"/>
      <c r="I498" s="428"/>
      <c r="J498" s="428"/>
      <c r="K498" s="428"/>
      <c r="L498" s="428"/>
      <c r="M498" s="428"/>
      <c r="N498" s="1475"/>
      <c r="O498" s="450"/>
      <c r="P498" s="1462"/>
    </row>
    <row r="499" spans="1:16" s="942" customFormat="1" ht="15.75" customHeight="1">
      <c r="A499" s="394"/>
      <c r="B499" s="389"/>
      <c r="C499" s="428"/>
      <c r="D499" s="428"/>
      <c r="E499" s="428"/>
      <c r="F499" s="428"/>
      <c r="G499" s="428"/>
      <c r="H499" s="428"/>
      <c r="I499" s="428"/>
      <c r="J499" s="428"/>
      <c r="K499" s="428"/>
      <c r="L499" s="428"/>
      <c r="M499" s="428"/>
      <c r="N499" s="1475"/>
      <c r="O499" s="450"/>
      <c r="P499" s="1462"/>
    </row>
    <row r="500" spans="1:16" s="942" customFormat="1" ht="15.75" customHeight="1">
      <c r="A500" s="394"/>
      <c r="B500" s="389"/>
      <c r="C500" s="428"/>
      <c r="D500" s="428"/>
      <c r="E500" s="428"/>
      <c r="F500" s="428"/>
      <c r="G500" s="428"/>
      <c r="H500" s="428"/>
      <c r="I500" s="428"/>
      <c r="J500" s="428"/>
      <c r="K500" s="428"/>
      <c r="L500" s="428"/>
      <c r="M500" s="428"/>
      <c r="N500" s="1475"/>
      <c r="O500" s="450"/>
      <c r="P500" s="1462"/>
    </row>
    <row r="501" spans="1:16" s="942" customFormat="1" ht="15.75" customHeight="1">
      <c r="A501" s="394"/>
      <c r="B501" s="389"/>
      <c r="C501" s="428"/>
      <c r="D501" s="428"/>
      <c r="E501" s="428"/>
      <c r="F501" s="428"/>
      <c r="G501" s="428"/>
      <c r="H501" s="428"/>
      <c r="I501" s="428"/>
      <c r="J501" s="428"/>
      <c r="K501" s="428"/>
      <c r="L501" s="428"/>
      <c r="M501" s="428"/>
      <c r="N501" s="1475"/>
      <c r="O501" s="450"/>
      <c r="P501" s="1462"/>
    </row>
    <row r="502" spans="1:16" s="942" customFormat="1" ht="15.75" customHeight="1">
      <c r="A502" s="394"/>
      <c r="B502" s="389"/>
      <c r="C502" s="428"/>
      <c r="D502" s="428"/>
      <c r="E502" s="428"/>
      <c r="F502" s="428"/>
      <c r="G502" s="428"/>
      <c r="H502" s="428"/>
      <c r="I502" s="428"/>
      <c r="J502" s="428"/>
      <c r="K502" s="428"/>
      <c r="L502" s="428"/>
      <c r="M502" s="428"/>
      <c r="N502" s="1475"/>
      <c r="O502" s="450"/>
      <c r="P502" s="1462"/>
    </row>
    <row r="503" spans="1:16" s="942" customFormat="1" ht="15.75" customHeight="1">
      <c r="A503" s="394"/>
      <c r="B503" s="389"/>
      <c r="C503" s="428"/>
      <c r="D503" s="428"/>
      <c r="E503" s="428"/>
      <c r="F503" s="428"/>
      <c r="G503" s="428"/>
      <c r="H503" s="428"/>
      <c r="I503" s="428"/>
      <c r="J503" s="428"/>
      <c r="K503" s="428"/>
      <c r="L503" s="428"/>
      <c r="M503" s="428"/>
      <c r="N503" s="1475"/>
      <c r="O503" s="450"/>
      <c r="P503" s="1462"/>
    </row>
    <row r="504" spans="1:16" s="942" customFormat="1" ht="15.75" customHeight="1">
      <c r="A504" s="394"/>
      <c r="B504" s="389"/>
      <c r="C504" s="428"/>
      <c r="D504" s="428"/>
      <c r="E504" s="428"/>
      <c r="F504" s="428"/>
      <c r="G504" s="428"/>
      <c r="H504" s="428"/>
      <c r="I504" s="428"/>
      <c r="J504" s="428"/>
      <c r="K504" s="428"/>
      <c r="L504" s="428"/>
      <c r="M504" s="428"/>
      <c r="N504" s="1475"/>
      <c r="O504" s="450"/>
      <c r="P504" s="1462"/>
    </row>
    <row r="505" spans="1:16" s="942" customFormat="1" ht="15.75" customHeight="1">
      <c r="A505" s="394"/>
      <c r="B505" s="389"/>
      <c r="C505" s="428"/>
      <c r="D505" s="428"/>
      <c r="E505" s="428"/>
      <c r="F505" s="428"/>
      <c r="G505" s="428"/>
      <c r="H505" s="428"/>
      <c r="I505" s="428"/>
      <c r="J505" s="428"/>
      <c r="K505" s="428"/>
      <c r="L505" s="428"/>
      <c r="M505" s="428"/>
      <c r="N505" s="1475"/>
      <c r="O505" s="450"/>
      <c r="P505" s="1462"/>
    </row>
    <row r="506" spans="1:16" s="942" customFormat="1" ht="15.75" customHeight="1">
      <c r="A506" s="394"/>
      <c r="B506" s="389"/>
      <c r="C506" s="428"/>
      <c r="D506" s="428"/>
      <c r="E506" s="428"/>
      <c r="F506" s="428"/>
      <c r="G506" s="428"/>
      <c r="H506" s="428"/>
      <c r="I506" s="428"/>
      <c r="J506" s="428"/>
      <c r="K506" s="428"/>
      <c r="L506" s="428"/>
      <c r="M506" s="428"/>
      <c r="N506" s="1475"/>
      <c r="O506" s="450"/>
      <c r="P506" s="1462"/>
    </row>
    <row r="507" spans="1:16" s="942" customFormat="1" ht="15.75" customHeight="1">
      <c r="A507" s="394"/>
      <c r="B507" s="389"/>
      <c r="C507" s="428"/>
      <c r="D507" s="428"/>
      <c r="E507" s="428"/>
      <c r="F507" s="428"/>
      <c r="G507" s="428"/>
      <c r="H507" s="428"/>
      <c r="I507" s="428"/>
      <c r="J507" s="428"/>
      <c r="K507" s="428"/>
      <c r="L507" s="428"/>
      <c r="M507" s="428"/>
      <c r="N507" s="1475"/>
      <c r="O507" s="450"/>
      <c r="P507" s="1462"/>
    </row>
    <row r="508" spans="1:16" s="942" customFormat="1" ht="15.75" customHeight="1">
      <c r="A508" s="394"/>
      <c r="B508" s="389"/>
      <c r="C508" s="428"/>
      <c r="D508" s="428"/>
      <c r="E508" s="428"/>
      <c r="F508" s="428"/>
      <c r="G508" s="428"/>
      <c r="H508" s="428"/>
      <c r="I508" s="428"/>
      <c r="J508" s="428"/>
      <c r="K508" s="428"/>
      <c r="L508" s="428"/>
      <c r="M508" s="428"/>
      <c r="N508" s="1475"/>
      <c r="O508" s="450"/>
      <c r="P508" s="1462"/>
    </row>
    <row r="509" spans="1:16" s="942" customFormat="1" ht="15.75" customHeight="1">
      <c r="A509" s="394"/>
      <c r="B509" s="389"/>
      <c r="C509" s="428"/>
      <c r="D509" s="428"/>
      <c r="E509" s="428"/>
      <c r="F509" s="428"/>
      <c r="G509" s="428"/>
      <c r="H509" s="428"/>
      <c r="I509" s="428"/>
      <c r="J509" s="428"/>
      <c r="K509" s="428"/>
      <c r="L509" s="428"/>
      <c r="M509" s="428"/>
      <c r="N509" s="1475"/>
      <c r="O509" s="450"/>
      <c r="P509" s="1462"/>
    </row>
    <row r="510" spans="1:16" s="942" customFormat="1" ht="15.75" customHeight="1">
      <c r="A510" s="394"/>
      <c r="B510" s="389"/>
      <c r="C510" s="428"/>
      <c r="D510" s="428"/>
      <c r="E510" s="428"/>
      <c r="F510" s="428"/>
      <c r="G510" s="428"/>
      <c r="H510" s="428"/>
      <c r="I510" s="428"/>
      <c r="J510" s="428"/>
      <c r="K510" s="428"/>
      <c r="L510" s="428"/>
      <c r="M510" s="428"/>
      <c r="N510" s="1475"/>
      <c r="O510" s="450"/>
      <c r="P510" s="1462"/>
    </row>
    <row r="511" spans="1:16" s="942" customFormat="1" ht="15.75" customHeight="1">
      <c r="A511" s="394"/>
      <c r="B511" s="389"/>
      <c r="C511" s="428"/>
      <c r="D511" s="428"/>
      <c r="E511" s="428"/>
      <c r="F511" s="428"/>
      <c r="G511" s="428"/>
      <c r="H511" s="428"/>
      <c r="I511" s="428"/>
      <c r="J511" s="428"/>
      <c r="K511" s="428"/>
      <c r="L511" s="428"/>
      <c r="M511" s="428"/>
      <c r="N511" s="1475"/>
      <c r="O511" s="450"/>
      <c r="P511" s="1462"/>
    </row>
    <row r="512" spans="1:16" s="942" customFormat="1" ht="15.75" customHeight="1">
      <c r="A512" s="394"/>
      <c r="B512" s="389"/>
      <c r="C512" s="428"/>
      <c r="D512" s="428"/>
      <c r="E512" s="428"/>
      <c r="F512" s="428"/>
      <c r="G512" s="428"/>
      <c r="H512" s="428"/>
      <c r="I512" s="428"/>
      <c r="J512" s="428"/>
      <c r="K512" s="428"/>
      <c r="L512" s="428"/>
      <c r="M512" s="428"/>
      <c r="N512" s="1475"/>
      <c r="O512" s="450"/>
      <c r="P512" s="1462"/>
    </row>
    <row r="513" spans="1:16" s="942" customFormat="1" ht="15.75" customHeight="1">
      <c r="A513" s="394"/>
      <c r="B513" s="389"/>
      <c r="C513" s="428"/>
      <c r="D513" s="428"/>
      <c r="E513" s="428"/>
      <c r="F513" s="428"/>
      <c r="G513" s="428"/>
      <c r="H513" s="428"/>
      <c r="I513" s="428"/>
      <c r="J513" s="428"/>
      <c r="K513" s="428"/>
      <c r="L513" s="428"/>
      <c r="M513" s="428"/>
      <c r="N513" s="1475"/>
      <c r="O513" s="450"/>
      <c r="P513" s="1462"/>
    </row>
    <row r="514" spans="1:16" s="942" customFormat="1" ht="15.75" customHeight="1">
      <c r="A514" s="394"/>
      <c r="B514" s="389"/>
      <c r="C514" s="428"/>
      <c r="D514" s="428"/>
      <c r="E514" s="428"/>
      <c r="F514" s="428"/>
      <c r="G514" s="428"/>
      <c r="H514" s="428"/>
      <c r="I514" s="428"/>
      <c r="J514" s="428"/>
      <c r="K514" s="428"/>
      <c r="L514" s="428"/>
      <c r="M514" s="428"/>
      <c r="N514" s="1475"/>
      <c r="O514" s="450"/>
      <c r="P514" s="1462"/>
    </row>
    <row r="515" spans="1:16" s="942" customFormat="1" ht="15.75" customHeight="1">
      <c r="A515" s="394"/>
      <c r="B515" s="389"/>
      <c r="C515" s="428"/>
      <c r="D515" s="428"/>
      <c r="E515" s="428"/>
      <c r="F515" s="428"/>
      <c r="G515" s="428"/>
      <c r="H515" s="428"/>
      <c r="I515" s="428"/>
      <c r="J515" s="428"/>
      <c r="K515" s="428"/>
      <c r="L515" s="428"/>
      <c r="M515" s="428"/>
      <c r="N515" s="1475"/>
      <c r="O515" s="450"/>
      <c r="P515" s="1462"/>
    </row>
    <row r="516" spans="1:16" s="942" customFormat="1" ht="15.75" customHeight="1">
      <c r="A516" s="394"/>
      <c r="B516" s="389"/>
      <c r="C516" s="428"/>
      <c r="D516" s="428"/>
      <c r="E516" s="428"/>
      <c r="F516" s="428"/>
      <c r="G516" s="428"/>
      <c r="H516" s="428"/>
      <c r="I516" s="428"/>
      <c r="J516" s="428"/>
      <c r="K516" s="428"/>
      <c r="L516" s="428"/>
      <c r="M516" s="428"/>
      <c r="N516" s="1475"/>
      <c r="O516" s="450"/>
      <c r="P516" s="1462"/>
    </row>
    <row r="517" spans="1:16" s="942" customFormat="1" ht="15.75" customHeight="1">
      <c r="A517" s="394"/>
      <c r="B517" s="389"/>
      <c r="C517" s="428"/>
      <c r="D517" s="428"/>
      <c r="E517" s="428"/>
      <c r="F517" s="428"/>
      <c r="G517" s="428"/>
      <c r="H517" s="428"/>
      <c r="I517" s="428"/>
      <c r="J517" s="428"/>
      <c r="K517" s="428"/>
      <c r="L517" s="428"/>
      <c r="M517" s="428"/>
      <c r="N517" s="1475"/>
      <c r="O517" s="450"/>
      <c r="P517" s="1462"/>
    </row>
    <row r="518" spans="1:16" s="942" customFormat="1" ht="15.75" customHeight="1">
      <c r="A518" s="394"/>
      <c r="B518" s="389"/>
      <c r="C518" s="428"/>
      <c r="D518" s="428"/>
      <c r="E518" s="428"/>
      <c r="F518" s="428"/>
      <c r="G518" s="428"/>
      <c r="H518" s="428"/>
      <c r="I518" s="428"/>
      <c r="J518" s="428"/>
      <c r="K518" s="428"/>
      <c r="L518" s="428"/>
      <c r="M518" s="428"/>
      <c r="N518" s="1475"/>
      <c r="O518" s="450"/>
      <c r="P518" s="1462"/>
    </row>
    <row r="519" spans="1:16" s="942" customFormat="1" ht="15.75" customHeight="1">
      <c r="A519" s="394"/>
      <c r="B519" s="389"/>
      <c r="C519" s="428"/>
      <c r="D519" s="428"/>
      <c r="E519" s="428"/>
      <c r="F519" s="428"/>
      <c r="G519" s="428"/>
      <c r="H519" s="428"/>
      <c r="I519" s="428"/>
      <c r="J519" s="428"/>
      <c r="K519" s="428"/>
      <c r="L519" s="428"/>
      <c r="M519" s="428"/>
      <c r="N519" s="1475"/>
      <c r="O519" s="450"/>
      <c r="P519" s="1462"/>
    </row>
    <row r="520" spans="1:16" s="942" customFormat="1" ht="15.75" customHeight="1">
      <c r="A520" s="394"/>
      <c r="B520" s="389"/>
      <c r="C520" s="428"/>
      <c r="D520" s="428"/>
      <c r="E520" s="428"/>
      <c r="F520" s="428"/>
      <c r="G520" s="428"/>
      <c r="H520" s="428"/>
      <c r="I520" s="428"/>
      <c r="J520" s="428"/>
      <c r="K520" s="428"/>
      <c r="L520" s="428"/>
      <c r="M520" s="428"/>
      <c r="N520" s="1475"/>
      <c r="O520" s="450"/>
      <c r="P520" s="1462"/>
    </row>
    <row r="521" spans="1:16" s="942" customFormat="1" ht="15.75" customHeight="1">
      <c r="A521" s="394"/>
      <c r="B521" s="389"/>
      <c r="C521" s="428"/>
      <c r="D521" s="428"/>
      <c r="E521" s="428"/>
      <c r="F521" s="428"/>
      <c r="G521" s="428"/>
      <c r="H521" s="428"/>
      <c r="I521" s="428"/>
      <c r="J521" s="428"/>
      <c r="K521" s="428"/>
      <c r="L521" s="428"/>
      <c r="M521" s="428"/>
      <c r="N521" s="1475"/>
      <c r="O521" s="450"/>
      <c r="P521" s="1462"/>
    </row>
    <row r="522" spans="1:16" s="942" customFormat="1" ht="15.75" customHeight="1">
      <c r="A522" s="394"/>
      <c r="B522" s="389"/>
      <c r="C522" s="428"/>
      <c r="D522" s="428"/>
      <c r="E522" s="428"/>
      <c r="F522" s="428"/>
      <c r="G522" s="428"/>
      <c r="H522" s="428"/>
      <c r="I522" s="428"/>
      <c r="J522" s="428"/>
      <c r="K522" s="428"/>
      <c r="L522" s="428"/>
      <c r="M522" s="428"/>
      <c r="N522" s="1475"/>
      <c r="O522" s="450"/>
      <c r="P522" s="1462"/>
    </row>
    <row r="523" spans="1:16" s="942" customFormat="1" ht="15.75" customHeight="1">
      <c r="A523" s="394"/>
      <c r="B523" s="389"/>
      <c r="C523" s="428"/>
      <c r="D523" s="428"/>
      <c r="E523" s="428"/>
      <c r="F523" s="428"/>
      <c r="G523" s="428"/>
      <c r="H523" s="428"/>
      <c r="I523" s="428"/>
      <c r="J523" s="428"/>
      <c r="K523" s="428"/>
      <c r="L523" s="428"/>
      <c r="M523" s="428"/>
      <c r="N523" s="1475"/>
      <c r="O523" s="450"/>
      <c r="P523" s="1462"/>
    </row>
    <row r="524" spans="1:16" s="942" customFormat="1" ht="15.75" customHeight="1">
      <c r="A524" s="394"/>
      <c r="B524" s="389"/>
      <c r="C524" s="428"/>
      <c r="D524" s="428"/>
      <c r="E524" s="428"/>
      <c r="F524" s="428"/>
      <c r="G524" s="428"/>
      <c r="H524" s="428"/>
      <c r="I524" s="428"/>
      <c r="J524" s="428"/>
      <c r="K524" s="428"/>
      <c r="L524" s="428"/>
      <c r="M524" s="428"/>
      <c r="N524" s="1475"/>
      <c r="O524" s="450"/>
      <c r="P524" s="1462"/>
    </row>
    <row r="525" spans="1:16" s="942" customFormat="1" ht="15.75" customHeight="1">
      <c r="A525" s="394"/>
      <c r="B525" s="389"/>
      <c r="C525" s="428"/>
      <c r="D525" s="428"/>
      <c r="E525" s="428"/>
      <c r="F525" s="428"/>
      <c r="G525" s="428"/>
      <c r="H525" s="428"/>
      <c r="I525" s="428"/>
      <c r="J525" s="428"/>
      <c r="K525" s="428"/>
      <c r="L525" s="428"/>
      <c r="M525" s="428"/>
      <c r="N525" s="1475"/>
      <c r="O525" s="450"/>
      <c r="P525" s="1462"/>
    </row>
    <row r="526" spans="1:16" s="942" customFormat="1" ht="15.75" customHeight="1">
      <c r="A526" s="394"/>
      <c r="B526" s="389"/>
      <c r="C526" s="428"/>
      <c r="D526" s="428"/>
      <c r="E526" s="428"/>
      <c r="F526" s="428"/>
      <c r="G526" s="428"/>
      <c r="H526" s="428"/>
      <c r="I526" s="428"/>
      <c r="J526" s="428"/>
      <c r="K526" s="428"/>
      <c r="L526" s="428"/>
      <c r="M526" s="428"/>
      <c r="N526" s="1475"/>
      <c r="O526" s="450"/>
      <c r="P526" s="1462"/>
    </row>
    <row r="527" spans="1:16" s="942" customFormat="1" ht="15.75" customHeight="1">
      <c r="A527" s="394"/>
      <c r="B527" s="389"/>
      <c r="C527" s="428"/>
      <c r="D527" s="428"/>
      <c r="E527" s="428"/>
      <c r="F527" s="428"/>
      <c r="G527" s="428"/>
      <c r="H527" s="428"/>
      <c r="I527" s="428"/>
      <c r="J527" s="428"/>
      <c r="K527" s="428"/>
      <c r="L527" s="428"/>
      <c r="M527" s="428"/>
      <c r="N527" s="1475"/>
      <c r="O527" s="450"/>
      <c r="P527" s="1462"/>
    </row>
    <row r="528" spans="1:16" s="942" customFormat="1" ht="15.75" customHeight="1">
      <c r="A528" s="394"/>
      <c r="B528" s="389"/>
      <c r="C528" s="428"/>
      <c r="D528" s="428"/>
      <c r="E528" s="428"/>
      <c r="F528" s="428"/>
      <c r="G528" s="428"/>
      <c r="H528" s="428"/>
      <c r="I528" s="428"/>
      <c r="J528" s="428"/>
      <c r="K528" s="428"/>
      <c r="L528" s="428"/>
      <c r="M528" s="428"/>
      <c r="N528" s="1475"/>
      <c r="O528" s="450"/>
      <c r="P528" s="1462"/>
    </row>
    <row r="529" spans="1:16" s="942" customFormat="1" ht="15.75" customHeight="1">
      <c r="A529" s="394"/>
      <c r="B529" s="389"/>
      <c r="C529" s="428"/>
      <c r="D529" s="428"/>
      <c r="E529" s="428"/>
      <c r="F529" s="428"/>
      <c r="G529" s="428"/>
      <c r="H529" s="428"/>
      <c r="I529" s="428"/>
      <c r="J529" s="428"/>
      <c r="K529" s="428"/>
      <c r="L529" s="428"/>
      <c r="M529" s="428"/>
      <c r="N529" s="1475"/>
      <c r="O529" s="450"/>
      <c r="P529" s="1462"/>
    </row>
    <row r="530" spans="1:16" s="942" customFormat="1" ht="15.75" customHeight="1">
      <c r="A530" s="394"/>
      <c r="B530" s="389"/>
      <c r="C530" s="428"/>
      <c r="D530" s="428"/>
      <c r="E530" s="428"/>
      <c r="F530" s="428"/>
      <c r="G530" s="428"/>
      <c r="H530" s="428"/>
      <c r="I530" s="428"/>
      <c r="J530" s="428"/>
      <c r="K530" s="428"/>
      <c r="L530" s="428"/>
      <c r="M530" s="428"/>
      <c r="N530" s="1475"/>
      <c r="O530" s="450"/>
      <c r="P530" s="1462"/>
    </row>
    <row r="531" spans="1:16" s="942" customFormat="1" ht="15.75" customHeight="1">
      <c r="A531" s="394"/>
      <c r="B531" s="389"/>
      <c r="C531" s="428"/>
      <c r="D531" s="428"/>
      <c r="E531" s="428"/>
      <c r="F531" s="428"/>
      <c r="G531" s="428"/>
      <c r="H531" s="428"/>
      <c r="I531" s="428"/>
      <c r="J531" s="428"/>
      <c r="K531" s="428"/>
      <c r="L531" s="428"/>
      <c r="M531" s="428"/>
      <c r="N531" s="1475"/>
      <c r="O531" s="450"/>
      <c r="P531" s="1462"/>
    </row>
    <row r="532" spans="1:16" s="942" customFormat="1" ht="15.75" customHeight="1">
      <c r="A532" s="394"/>
      <c r="B532" s="389"/>
      <c r="C532" s="428"/>
      <c r="D532" s="428"/>
      <c r="E532" s="428"/>
      <c r="F532" s="428"/>
      <c r="G532" s="428"/>
      <c r="H532" s="428"/>
      <c r="I532" s="428"/>
      <c r="J532" s="428"/>
      <c r="K532" s="428"/>
      <c r="L532" s="428"/>
      <c r="M532" s="428"/>
      <c r="N532" s="1475"/>
      <c r="O532" s="450"/>
      <c r="P532" s="1462"/>
    </row>
    <row r="533" spans="1:16" s="942" customFormat="1" ht="15.75" customHeight="1">
      <c r="A533" s="394"/>
      <c r="B533" s="389"/>
      <c r="C533" s="428"/>
      <c r="D533" s="428"/>
      <c r="E533" s="428"/>
      <c r="F533" s="428"/>
      <c r="G533" s="428"/>
      <c r="H533" s="428"/>
      <c r="I533" s="428"/>
      <c r="J533" s="428"/>
      <c r="K533" s="428"/>
      <c r="L533" s="428"/>
      <c r="M533" s="428"/>
      <c r="N533" s="1475"/>
      <c r="O533" s="450"/>
      <c r="P533" s="1462"/>
    </row>
    <row r="534" spans="1:16" s="942" customFormat="1" ht="15.75" customHeight="1">
      <c r="A534" s="394"/>
      <c r="B534" s="389"/>
      <c r="C534" s="428"/>
      <c r="D534" s="428"/>
      <c r="E534" s="428"/>
      <c r="F534" s="428"/>
      <c r="G534" s="428"/>
      <c r="H534" s="428"/>
      <c r="I534" s="428"/>
      <c r="J534" s="428"/>
      <c r="K534" s="428"/>
      <c r="L534" s="428"/>
      <c r="M534" s="428"/>
      <c r="N534" s="1475"/>
      <c r="O534" s="450"/>
      <c r="P534" s="1462"/>
    </row>
    <row r="535" spans="1:16" s="942" customFormat="1" ht="15.75" customHeight="1">
      <c r="A535" s="394"/>
      <c r="B535" s="389"/>
      <c r="C535" s="428"/>
      <c r="D535" s="428"/>
      <c r="E535" s="428"/>
      <c r="F535" s="428"/>
      <c r="G535" s="428"/>
      <c r="H535" s="428"/>
      <c r="I535" s="428"/>
      <c r="J535" s="428"/>
      <c r="K535" s="428"/>
      <c r="L535" s="428"/>
      <c r="M535" s="428"/>
      <c r="N535" s="1475"/>
      <c r="O535" s="450"/>
      <c r="P535" s="1462"/>
    </row>
    <row r="536" spans="1:16" s="942" customFormat="1" ht="15.75" customHeight="1">
      <c r="A536" s="394"/>
      <c r="B536" s="389"/>
      <c r="C536" s="428"/>
      <c r="D536" s="428"/>
      <c r="E536" s="428"/>
      <c r="F536" s="428"/>
      <c r="G536" s="428"/>
      <c r="H536" s="428"/>
      <c r="I536" s="428"/>
      <c r="J536" s="428"/>
      <c r="K536" s="428"/>
      <c r="L536" s="428"/>
      <c r="M536" s="428"/>
      <c r="N536" s="1475"/>
      <c r="O536" s="450"/>
      <c r="P536" s="1462"/>
    </row>
    <row r="537" spans="1:16" s="942" customFormat="1" ht="15.75" customHeight="1">
      <c r="A537" s="394"/>
      <c r="B537" s="389"/>
      <c r="C537" s="428"/>
      <c r="D537" s="428"/>
      <c r="E537" s="428"/>
      <c r="F537" s="428"/>
      <c r="G537" s="428"/>
      <c r="H537" s="428"/>
      <c r="I537" s="428"/>
      <c r="J537" s="428"/>
      <c r="K537" s="428"/>
      <c r="L537" s="428"/>
      <c r="M537" s="428"/>
      <c r="N537" s="1475"/>
      <c r="O537" s="450"/>
      <c r="P537" s="1462"/>
    </row>
    <row r="538" spans="1:16" s="942" customFormat="1" ht="15.75" customHeight="1">
      <c r="A538" s="394"/>
      <c r="B538" s="389"/>
      <c r="C538" s="428"/>
      <c r="D538" s="428"/>
      <c r="E538" s="428"/>
      <c r="F538" s="428"/>
      <c r="G538" s="428"/>
      <c r="H538" s="428"/>
      <c r="I538" s="428"/>
      <c r="J538" s="428"/>
      <c r="K538" s="428"/>
      <c r="L538" s="428"/>
      <c r="M538" s="428"/>
      <c r="N538" s="1475"/>
      <c r="O538" s="450"/>
      <c r="P538" s="1462"/>
    </row>
    <row r="539" spans="1:16" s="942" customFormat="1" ht="15.75" customHeight="1">
      <c r="A539" s="394"/>
      <c r="B539" s="389"/>
      <c r="C539" s="428"/>
      <c r="D539" s="428"/>
      <c r="E539" s="428"/>
      <c r="F539" s="428"/>
      <c r="G539" s="428"/>
      <c r="H539" s="428"/>
      <c r="I539" s="428"/>
      <c r="J539" s="428"/>
      <c r="K539" s="428"/>
      <c r="L539" s="428"/>
      <c r="M539" s="428"/>
      <c r="N539" s="1475"/>
      <c r="O539" s="450"/>
      <c r="P539" s="1462"/>
    </row>
    <row r="540" spans="1:16" s="942" customFormat="1" ht="15.75" customHeight="1">
      <c r="A540" s="394"/>
      <c r="B540" s="389"/>
      <c r="C540" s="428"/>
      <c r="D540" s="428"/>
      <c r="E540" s="428"/>
      <c r="F540" s="428"/>
      <c r="G540" s="428"/>
      <c r="H540" s="428"/>
      <c r="I540" s="428"/>
      <c r="J540" s="428"/>
      <c r="K540" s="428"/>
      <c r="L540" s="428"/>
      <c r="M540" s="428"/>
      <c r="N540" s="1475"/>
      <c r="O540" s="450"/>
      <c r="P540" s="1462"/>
    </row>
    <row r="541" spans="1:16" s="942" customFormat="1" ht="15.75" customHeight="1">
      <c r="A541" s="394"/>
      <c r="B541" s="389"/>
      <c r="C541" s="428"/>
      <c r="D541" s="428"/>
      <c r="E541" s="428"/>
      <c r="F541" s="428"/>
      <c r="G541" s="428"/>
      <c r="H541" s="428"/>
      <c r="I541" s="428"/>
      <c r="J541" s="428"/>
      <c r="K541" s="428"/>
      <c r="L541" s="428"/>
      <c r="M541" s="428"/>
      <c r="N541" s="1475"/>
      <c r="O541" s="450"/>
      <c r="P541" s="1462"/>
    </row>
    <row r="542" spans="1:16" s="942" customFormat="1" ht="15.75" customHeight="1">
      <c r="A542" s="394"/>
      <c r="B542" s="389"/>
      <c r="C542" s="428"/>
      <c r="D542" s="428"/>
      <c r="E542" s="428"/>
      <c r="F542" s="428"/>
      <c r="G542" s="428"/>
      <c r="H542" s="428"/>
      <c r="I542" s="428"/>
      <c r="J542" s="428"/>
      <c r="K542" s="428"/>
      <c r="L542" s="428"/>
      <c r="M542" s="428"/>
      <c r="N542" s="1475"/>
      <c r="O542" s="450"/>
      <c r="P542" s="1462"/>
    </row>
    <row r="543" spans="1:16" s="942" customFormat="1" ht="15.75" customHeight="1">
      <c r="A543" s="394"/>
      <c r="B543" s="389"/>
      <c r="C543" s="428"/>
      <c r="D543" s="428"/>
      <c r="E543" s="428"/>
      <c r="F543" s="428"/>
      <c r="G543" s="428"/>
      <c r="H543" s="428"/>
      <c r="I543" s="428"/>
      <c r="J543" s="428"/>
      <c r="K543" s="428"/>
      <c r="L543" s="428"/>
      <c r="M543" s="428"/>
      <c r="N543" s="1475"/>
      <c r="O543" s="450"/>
      <c r="P543" s="1462"/>
    </row>
    <row r="544" spans="1:16" s="942" customFormat="1" ht="15.75" customHeight="1">
      <c r="A544" s="394"/>
      <c r="B544" s="389"/>
      <c r="C544" s="428"/>
      <c r="D544" s="428"/>
      <c r="E544" s="428"/>
      <c r="F544" s="428"/>
      <c r="G544" s="428"/>
      <c r="H544" s="428"/>
      <c r="I544" s="428"/>
      <c r="J544" s="428"/>
      <c r="K544" s="428"/>
      <c r="L544" s="428"/>
      <c r="M544" s="428"/>
      <c r="N544" s="1475"/>
      <c r="O544" s="450"/>
      <c r="P544" s="1462"/>
    </row>
    <row r="545" spans="1:16" s="942" customFormat="1" ht="15.75" customHeight="1">
      <c r="A545" s="394"/>
      <c r="B545" s="389"/>
      <c r="C545" s="428"/>
      <c r="D545" s="428"/>
      <c r="E545" s="428"/>
      <c r="F545" s="428"/>
      <c r="G545" s="428"/>
      <c r="H545" s="428"/>
      <c r="I545" s="428"/>
      <c r="J545" s="428"/>
      <c r="K545" s="428"/>
      <c r="L545" s="428"/>
      <c r="M545" s="428"/>
      <c r="N545" s="1475"/>
      <c r="O545" s="450"/>
      <c r="P545" s="1462"/>
    </row>
    <row r="546" spans="1:16" s="942" customFormat="1" ht="15.75" customHeight="1">
      <c r="A546" s="394"/>
      <c r="B546" s="389"/>
      <c r="C546" s="428"/>
      <c r="D546" s="428"/>
      <c r="E546" s="428"/>
      <c r="F546" s="428"/>
      <c r="G546" s="428"/>
      <c r="H546" s="428"/>
      <c r="I546" s="428"/>
      <c r="J546" s="428"/>
      <c r="K546" s="428"/>
      <c r="L546" s="428"/>
      <c r="M546" s="428"/>
      <c r="N546" s="1475"/>
      <c r="O546" s="450"/>
      <c r="P546" s="1462"/>
    </row>
    <row r="547" spans="1:16" s="942" customFormat="1" ht="15.75" customHeight="1">
      <c r="A547" s="394"/>
      <c r="B547" s="389"/>
      <c r="C547" s="428"/>
      <c r="D547" s="428"/>
      <c r="E547" s="428"/>
      <c r="F547" s="428"/>
      <c r="G547" s="428"/>
      <c r="H547" s="428"/>
      <c r="I547" s="428"/>
      <c r="J547" s="428"/>
      <c r="K547" s="428"/>
      <c r="L547" s="428"/>
      <c r="M547" s="428"/>
      <c r="N547" s="1475"/>
      <c r="O547" s="450"/>
      <c r="P547" s="1462"/>
    </row>
    <row r="548" spans="1:16" s="942" customFormat="1" ht="15.75" customHeight="1">
      <c r="A548" s="394"/>
      <c r="B548" s="389"/>
      <c r="C548" s="428"/>
      <c r="D548" s="428"/>
      <c r="E548" s="428"/>
      <c r="F548" s="428"/>
      <c r="G548" s="428"/>
      <c r="H548" s="428"/>
      <c r="I548" s="428"/>
      <c r="J548" s="428"/>
      <c r="K548" s="428"/>
      <c r="L548" s="428"/>
      <c r="M548" s="428"/>
      <c r="N548" s="1475"/>
      <c r="O548" s="450"/>
      <c r="P548" s="1462"/>
    </row>
    <row r="549" spans="1:16" s="942" customFormat="1" ht="15.75" customHeight="1">
      <c r="A549" s="394"/>
      <c r="B549" s="389"/>
      <c r="C549" s="428"/>
      <c r="D549" s="428"/>
      <c r="E549" s="428"/>
      <c r="F549" s="428"/>
      <c r="G549" s="428"/>
      <c r="H549" s="428"/>
      <c r="I549" s="428"/>
      <c r="J549" s="428"/>
      <c r="K549" s="428"/>
      <c r="L549" s="428"/>
      <c r="M549" s="428"/>
      <c r="N549" s="1475"/>
      <c r="O549" s="450"/>
      <c r="P549" s="1462"/>
    </row>
    <row r="550" spans="1:16" s="942" customFormat="1" ht="15.75" customHeight="1">
      <c r="A550" s="394"/>
      <c r="B550" s="389"/>
      <c r="C550" s="428"/>
      <c r="D550" s="428"/>
      <c r="E550" s="428"/>
      <c r="F550" s="428"/>
      <c r="G550" s="428"/>
      <c r="H550" s="428"/>
      <c r="I550" s="428"/>
      <c r="J550" s="428"/>
      <c r="K550" s="428"/>
      <c r="L550" s="428"/>
      <c r="M550" s="428"/>
      <c r="N550" s="1475"/>
      <c r="O550" s="450"/>
      <c r="P550" s="1462"/>
    </row>
    <row r="551" spans="1:16" s="942" customFormat="1" ht="15.75" customHeight="1">
      <c r="A551" s="394"/>
      <c r="B551" s="389"/>
      <c r="C551" s="428"/>
      <c r="D551" s="428"/>
      <c r="E551" s="428"/>
      <c r="F551" s="428"/>
      <c r="G551" s="428"/>
      <c r="H551" s="428"/>
      <c r="I551" s="428"/>
      <c r="J551" s="428"/>
      <c r="K551" s="428"/>
      <c r="L551" s="428"/>
      <c r="M551" s="428"/>
      <c r="N551" s="1475"/>
      <c r="O551" s="450"/>
      <c r="P551" s="1462"/>
    </row>
    <row r="552" spans="1:16" s="942" customFormat="1" ht="15.75" customHeight="1">
      <c r="A552" s="394"/>
      <c r="B552" s="389"/>
      <c r="C552" s="428"/>
      <c r="D552" s="428"/>
      <c r="E552" s="428"/>
      <c r="F552" s="428"/>
      <c r="G552" s="428"/>
      <c r="H552" s="428"/>
      <c r="I552" s="428"/>
      <c r="J552" s="428"/>
      <c r="K552" s="428"/>
      <c r="L552" s="428"/>
      <c r="M552" s="428"/>
      <c r="N552" s="1475"/>
      <c r="O552" s="450"/>
      <c r="P552" s="1462"/>
    </row>
    <row r="553" spans="1:16" s="942" customFormat="1" ht="15.75" customHeight="1">
      <c r="A553" s="394"/>
      <c r="B553" s="389"/>
      <c r="C553" s="428"/>
      <c r="D553" s="428"/>
      <c r="E553" s="428"/>
      <c r="F553" s="428"/>
      <c r="G553" s="428"/>
      <c r="H553" s="428"/>
      <c r="I553" s="428"/>
      <c r="J553" s="428"/>
      <c r="K553" s="428"/>
      <c r="L553" s="428"/>
      <c r="M553" s="428"/>
      <c r="N553" s="1475"/>
      <c r="O553" s="450"/>
      <c r="P553" s="1462"/>
    </row>
    <row r="554" spans="1:16" s="942" customFormat="1" ht="15.75" customHeight="1">
      <c r="A554" s="394"/>
      <c r="B554" s="389"/>
      <c r="C554" s="428"/>
      <c r="D554" s="428"/>
      <c r="E554" s="428"/>
      <c r="F554" s="428"/>
      <c r="G554" s="428"/>
      <c r="H554" s="428"/>
      <c r="I554" s="428"/>
      <c r="J554" s="428"/>
      <c r="K554" s="428"/>
      <c r="L554" s="428"/>
      <c r="M554" s="428"/>
      <c r="N554" s="1475"/>
      <c r="O554" s="450"/>
      <c r="P554" s="1462"/>
    </row>
    <row r="555" spans="1:16" s="942" customFormat="1" ht="15.75" customHeight="1">
      <c r="A555" s="394"/>
      <c r="B555" s="389"/>
      <c r="C555" s="428"/>
      <c r="D555" s="428"/>
      <c r="E555" s="428"/>
      <c r="F555" s="428"/>
      <c r="G555" s="428"/>
      <c r="H555" s="428"/>
      <c r="I555" s="428"/>
      <c r="J555" s="428"/>
      <c r="K555" s="428"/>
      <c r="L555" s="428"/>
      <c r="M555" s="428"/>
      <c r="N555" s="1475"/>
      <c r="O555" s="450"/>
      <c r="P555" s="1462"/>
    </row>
    <row r="556" spans="1:16" s="942" customFormat="1" ht="15.75" customHeight="1">
      <c r="A556" s="394"/>
      <c r="B556" s="389"/>
      <c r="C556" s="428"/>
      <c r="D556" s="428"/>
      <c r="E556" s="428"/>
      <c r="F556" s="428"/>
      <c r="G556" s="428"/>
      <c r="H556" s="428"/>
      <c r="I556" s="428"/>
      <c r="J556" s="428"/>
      <c r="K556" s="428"/>
      <c r="L556" s="428"/>
      <c r="M556" s="428"/>
      <c r="N556" s="1475"/>
      <c r="O556" s="450"/>
      <c r="P556" s="1462"/>
    </row>
    <row r="557" spans="1:16" s="942" customFormat="1" ht="15.75" customHeight="1">
      <c r="A557" s="394"/>
      <c r="B557" s="389"/>
      <c r="C557" s="428"/>
      <c r="D557" s="428"/>
      <c r="E557" s="428"/>
      <c r="F557" s="428"/>
      <c r="G557" s="428"/>
      <c r="H557" s="428"/>
      <c r="I557" s="428"/>
      <c r="J557" s="428"/>
      <c r="K557" s="428"/>
      <c r="L557" s="428"/>
      <c r="M557" s="428"/>
      <c r="N557" s="1475"/>
      <c r="O557" s="450"/>
      <c r="P557" s="1462"/>
    </row>
    <row r="558" spans="1:16" s="942" customFormat="1" ht="15.75" customHeight="1">
      <c r="A558" s="394"/>
      <c r="B558" s="389"/>
      <c r="C558" s="428"/>
      <c r="D558" s="428"/>
      <c r="E558" s="428"/>
      <c r="F558" s="428"/>
      <c r="G558" s="428"/>
      <c r="H558" s="428"/>
      <c r="I558" s="428"/>
      <c r="J558" s="428"/>
      <c r="K558" s="428"/>
      <c r="L558" s="428"/>
      <c r="M558" s="428"/>
      <c r="N558" s="1475"/>
      <c r="O558" s="450"/>
      <c r="P558" s="1462"/>
    </row>
    <row r="559" spans="1:16" s="942" customFormat="1" ht="15.75" customHeight="1">
      <c r="A559" s="394"/>
      <c r="B559" s="389"/>
      <c r="C559" s="428"/>
      <c r="D559" s="428"/>
      <c r="E559" s="428"/>
      <c r="F559" s="428"/>
      <c r="G559" s="428"/>
      <c r="H559" s="428"/>
      <c r="I559" s="428"/>
      <c r="J559" s="428"/>
      <c r="K559" s="428"/>
      <c r="L559" s="428"/>
      <c r="M559" s="428"/>
      <c r="N559" s="1475"/>
      <c r="O559" s="450"/>
      <c r="P559" s="1462"/>
    </row>
    <row r="560" spans="1:16" s="942" customFormat="1" ht="15.75" customHeight="1">
      <c r="A560" s="394"/>
      <c r="B560" s="389"/>
      <c r="C560" s="428"/>
      <c r="D560" s="428"/>
      <c r="E560" s="428"/>
      <c r="F560" s="428"/>
      <c r="G560" s="428"/>
      <c r="H560" s="428"/>
      <c r="I560" s="428"/>
      <c r="J560" s="428"/>
      <c r="K560" s="428"/>
      <c r="L560" s="428"/>
      <c r="M560" s="428"/>
      <c r="N560" s="1475"/>
      <c r="O560" s="450"/>
      <c r="P560" s="1462"/>
    </row>
    <row r="561" spans="1:16" s="942" customFormat="1" ht="15.75" customHeight="1">
      <c r="A561" s="394"/>
      <c r="B561" s="389"/>
      <c r="C561" s="428"/>
      <c r="D561" s="428"/>
      <c r="E561" s="428"/>
      <c r="F561" s="428"/>
      <c r="G561" s="428"/>
      <c r="H561" s="428"/>
      <c r="I561" s="428"/>
      <c r="J561" s="428"/>
      <c r="K561" s="428"/>
      <c r="L561" s="428"/>
      <c r="M561" s="428"/>
      <c r="N561" s="1475"/>
      <c r="O561" s="450"/>
      <c r="P561" s="1462"/>
    </row>
    <row r="562" spans="1:16" s="942" customFormat="1" ht="15.75" customHeight="1">
      <c r="A562" s="394"/>
      <c r="B562" s="389"/>
      <c r="C562" s="428"/>
      <c r="D562" s="428"/>
      <c r="E562" s="428"/>
      <c r="F562" s="428"/>
      <c r="G562" s="428"/>
      <c r="H562" s="428"/>
      <c r="I562" s="428"/>
      <c r="J562" s="428"/>
      <c r="K562" s="428"/>
      <c r="L562" s="428"/>
      <c r="M562" s="428"/>
      <c r="N562" s="1475"/>
      <c r="O562" s="450"/>
      <c r="P562" s="1462"/>
    </row>
    <row r="563" spans="1:16" s="942" customFormat="1" ht="15.75" customHeight="1">
      <c r="A563" s="394"/>
      <c r="B563" s="389"/>
      <c r="C563" s="428"/>
      <c r="D563" s="428"/>
      <c r="E563" s="428"/>
      <c r="F563" s="428"/>
      <c r="G563" s="428"/>
      <c r="H563" s="428"/>
      <c r="I563" s="428"/>
      <c r="J563" s="428"/>
      <c r="K563" s="428"/>
      <c r="L563" s="428"/>
      <c r="M563" s="428"/>
      <c r="N563" s="1475"/>
      <c r="O563" s="450"/>
      <c r="P563" s="1462"/>
    </row>
    <row r="564" spans="1:16" s="942" customFormat="1" ht="15.75" customHeight="1">
      <c r="A564" s="394"/>
      <c r="B564" s="389"/>
      <c r="C564" s="428"/>
      <c r="D564" s="428"/>
      <c r="E564" s="428"/>
      <c r="F564" s="428"/>
      <c r="G564" s="428"/>
      <c r="H564" s="428"/>
      <c r="I564" s="428"/>
      <c r="J564" s="428"/>
      <c r="K564" s="428"/>
      <c r="L564" s="428"/>
      <c r="M564" s="428"/>
      <c r="N564" s="1475"/>
      <c r="O564" s="450"/>
      <c r="P564" s="1462"/>
    </row>
    <row r="565" spans="1:16" s="942" customFormat="1" ht="15.75" customHeight="1">
      <c r="A565" s="394"/>
      <c r="B565" s="389"/>
      <c r="C565" s="428"/>
      <c r="D565" s="428"/>
      <c r="E565" s="428"/>
      <c r="F565" s="428"/>
      <c r="G565" s="428"/>
      <c r="H565" s="428"/>
      <c r="I565" s="428"/>
      <c r="J565" s="428"/>
      <c r="K565" s="428"/>
      <c r="L565" s="428"/>
      <c r="M565" s="428"/>
      <c r="N565" s="1475"/>
      <c r="O565" s="450"/>
      <c r="P565" s="1462"/>
    </row>
    <row r="566" spans="1:16" s="942" customFormat="1" ht="15.75" customHeight="1">
      <c r="A566" s="394"/>
      <c r="B566" s="389"/>
      <c r="C566" s="428"/>
      <c r="D566" s="428"/>
      <c r="E566" s="428"/>
      <c r="F566" s="428"/>
      <c r="G566" s="428"/>
      <c r="H566" s="428"/>
      <c r="I566" s="428"/>
      <c r="J566" s="428"/>
      <c r="K566" s="428"/>
      <c r="L566" s="428"/>
      <c r="M566" s="428"/>
      <c r="N566" s="1475"/>
      <c r="O566" s="450"/>
      <c r="P566" s="1462"/>
    </row>
    <row r="567" spans="1:16" s="942" customFormat="1" ht="15.75" customHeight="1">
      <c r="A567" s="394"/>
      <c r="B567" s="389"/>
      <c r="C567" s="428"/>
      <c r="D567" s="428"/>
      <c r="E567" s="428"/>
      <c r="F567" s="428"/>
      <c r="G567" s="428"/>
      <c r="H567" s="428"/>
      <c r="I567" s="428"/>
      <c r="J567" s="428"/>
      <c r="K567" s="428"/>
      <c r="L567" s="428"/>
      <c r="M567" s="428"/>
      <c r="N567" s="1475"/>
      <c r="O567" s="450"/>
      <c r="P567" s="1462"/>
    </row>
    <row r="568" spans="1:16" s="942" customFormat="1" ht="15.75" customHeight="1">
      <c r="A568" s="394"/>
      <c r="B568" s="389"/>
      <c r="C568" s="428"/>
      <c r="D568" s="428"/>
      <c r="E568" s="428"/>
      <c r="F568" s="428"/>
      <c r="G568" s="428"/>
      <c r="H568" s="428"/>
      <c r="I568" s="428"/>
      <c r="J568" s="428"/>
      <c r="K568" s="428"/>
      <c r="L568" s="428"/>
      <c r="M568" s="428"/>
      <c r="N568" s="1475"/>
      <c r="O568" s="450"/>
      <c r="P568" s="1462"/>
    </row>
    <row r="569" spans="1:16" s="942" customFormat="1" ht="15.75" customHeight="1">
      <c r="A569" s="394"/>
      <c r="B569" s="389"/>
      <c r="C569" s="428"/>
      <c r="D569" s="428"/>
      <c r="E569" s="428"/>
      <c r="F569" s="428"/>
      <c r="G569" s="428"/>
      <c r="H569" s="428"/>
      <c r="I569" s="428"/>
      <c r="J569" s="428"/>
      <c r="K569" s="428"/>
      <c r="L569" s="428"/>
      <c r="M569" s="428"/>
      <c r="N569" s="1475"/>
      <c r="O569" s="450"/>
      <c r="P569" s="1462"/>
    </row>
    <row r="570" spans="1:16" s="942" customFormat="1" ht="15.75" customHeight="1">
      <c r="A570" s="394"/>
      <c r="B570" s="389"/>
      <c r="C570" s="428"/>
      <c r="D570" s="428"/>
      <c r="E570" s="428"/>
      <c r="F570" s="428"/>
      <c r="G570" s="428"/>
      <c r="H570" s="428"/>
      <c r="I570" s="428"/>
      <c r="J570" s="428"/>
      <c r="K570" s="428"/>
      <c r="L570" s="428"/>
      <c r="M570" s="428"/>
      <c r="N570" s="1475"/>
      <c r="O570" s="450"/>
      <c r="P570" s="1462"/>
    </row>
    <row r="571" spans="1:16" s="942" customFormat="1" ht="15.75" customHeight="1">
      <c r="A571" s="394"/>
      <c r="B571" s="389"/>
      <c r="C571" s="428"/>
      <c r="D571" s="428"/>
      <c r="E571" s="428"/>
      <c r="F571" s="428"/>
      <c r="G571" s="428"/>
      <c r="H571" s="428"/>
      <c r="I571" s="428"/>
      <c r="J571" s="428"/>
      <c r="K571" s="428"/>
      <c r="L571" s="428"/>
      <c r="M571" s="428"/>
      <c r="N571" s="1475"/>
      <c r="O571" s="450"/>
      <c r="P571" s="1462"/>
    </row>
    <row r="572" spans="1:16" s="942" customFormat="1" ht="15.75" customHeight="1">
      <c r="A572" s="394"/>
      <c r="B572" s="389"/>
      <c r="C572" s="428"/>
      <c r="D572" s="428"/>
      <c r="E572" s="428"/>
      <c r="F572" s="428"/>
      <c r="G572" s="428"/>
      <c r="H572" s="428"/>
      <c r="I572" s="428"/>
      <c r="J572" s="428"/>
      <c r="K572" s="428"/>
      <c r="L572" s="428"/>
      <c r="M572" s="428"/>
      <c r="N572" s="1475"/>
      <c r="O572" s="450"/>
      <c r="P572" s="1462"/>
    </row>
    <row r="573" spans="1:16" s="942" customFormat="1" ht="15.75" customHeight="1">
      <c r="A573" s="394"/>
      <c r="B573" s="389"/>
      <c r="C573" s="428"/>
      <c r="D573" s="428"/>
      <c r="E573" s="428"/>
      <c r="F573" s="428"/>
      <c r="G573" s="428"/>
      <c r="H573" s="428"/>
      <c r="I573" s="428"/>
      <c r="J573" s="428"/>
      <c r="K573" s="428"/>
      <c r="L573" s="428"/>
      <c r="M573" s="428"/>
      <c r="N573" s="1475"/>
      <c r="O573" s="450"/>
      <c r="P573" s="1462"/>
    </row>
    <row r="574" spans="1:16" s="942" customFormat="1" ht="15.75" customHeight="1">
      <c r="A574" s="394"/>
      <c r="B574" s="682"/>
      <c r="C574" s="428"/>
      <c r="D574" s="428"/>
      <c r="E574" s="428"/>
      <c r="F574" s="428"/>
      <c r="G574" s="428"/>
      <c r="H574" s="428"/>
      <c r="I574" s="428"/>
      <c r="J574" s="428"/>
      <c r="K574" s="428"/>
      <c r="L574" s="428"/>
      <c r="M574" s="428"/>
      <c r="N574" s="1475"/>
      <c r="O574" s="450"/>
      <c r="P574" s="1462"/>
    </row>
    <row r="575" spans="1:16" s="942" customFormat="1" ht="15.75" customHeight="1">
      <c r="A575" s="394"/>
      <c r="B575" s="682"/>
      <c r="C575" s="428"/>
      <c r="D575" s="428"/>
      <c r="E575" s="428"/>
      <c r="F575" s="428"/>
      <c r="G575" s="428"/>
      <c r="H575" s="428"/>
      <c r="I575" s="428"/>
      <c r="J575" s="428"/>
      <c r="K575" s="428"/>
      <c r="L575" s="428"/>
      <c r="M575" s="428"/>
      <c r="N575" s="1475"/>
      <c r="O575" s="450"/>
      <c r="P575" s="1462"/>
    </row>
    <row r="576" spans="1:16" s="942" customFormat="1" ht="15.75" customHeight="1">
      <c r="A576" s="394"/>
      <c r="B576" s="389"/>
      <c r="C576" s="428"/>
      <c r="D576" s="428"/>
      <c r="E576" s="428"/>
      <c r="F576" s="428"/>
      <c r="G576" s="428"/>
      <c r="H576" s="428"/>
      <c r="I576" s="428"/>
      <c r="J576" s="428"/>
      <c r="K576" s="428"/>
      <c r="L576" s="428"/>
      <c r="M576" s="428"/>
      <c r="N576" s="1475"/>
      <c r="O576" s="450"/>
      <c r="P576" s="1462"/>
    </row>
    <row r="577" spans="1:16" s="942" customFormat="1" ht="15.75" customHeight="1">
      <c r="A577" s="394"/>
      <c r="B577" s="389"/>
      <c r="C577" s="428"/>
      <c r="D577" s="428"/>
      <c r="E577" s="428"/>
      <c r="F577" s="428"/>
      <c r="G577" s="428"/>
      <c r="H577" s="428"/>
      <c r="I577" s="428"/>
      <c r="J577" s="428"/>
      <c r="K577" s="428"/>
      <c r="L577" s="428"/>
      <c r="M577" s="428"/>
      <c r="N577" s="1475"/>
      <c r="O577" s="450"/>
      <c r="P577" s="1462"/>
    </row>
    <row r="578" spans="1:16" s="942" customFormat="1" ht="15.75" customHeight="1">
      <c r="A578" s="394"/>
      <c r="B578" s="389"/>
      <c r="C578" s="428"/>
      <c r="D578" s="428"/>
      <c r="E578" s="428"/>
      <c r="F578" s="428"/>
      <c r="G578" s="428"/>
      <c r="H578" s="428"/>
      <c r="I578" s="428"/>
      <c r="J578" s="428"/>
      <c r="K578" s="428"/>
      <c r="L578" s="428"/>
      <c r="M578" s="428"/>
      <c r="N578" s="1475"/>
      <c r="O578" s="450"/>
      <c r="P578" s="1462"/>
    </row>
    <row r="579" spans="1:16" s="942" customFormat="1" ht="15.75" customHeight="1">
      <c r="A579" s="394"/>
      <c r="B579" s="389"/>
      <c r="C579" s="428"/>
      <c r="D579" s="428"/>
      <c r="E579" s="428"/>
      <c r="F579" s="428"/>
      <c r="G579" s="428"/>
      <c r="H579" s="428"/>
      <c r="I579" s="428"/>
      <c r="J579" s="428"/>
      <c r="K579" s="428"/>
      <c r="L579" s="428"/>
      <c r="M579" s="428"/>
      <c r="N579" s="1475"/>
      <c r="O579" s="450"/>
      <c r="P579" s="1462"/>
    </row>
    <row r="580" spans="1:16" s="942" customFormat="1" ht="15.75" customHeight="1">
      <c r="A580" s="394"/>
      <c r="B580" s="389"/>
      <c r="C580" s="428"/>
      <c r="D580" s="428"/>
      <c r="E580" s="428"/>
      <c r="F580" s="428"/>
      <c r="G580" s="428"/>
      <c r="H580" s="428"/>
      <c r="I580" s="428"/>
      <c r="J580" s="428"/>
      <c r="K580" s="428"/>
      <c r="L580" s="428"/>
      <c r="M580" s="428"/>
      <c r="N580" s="1475"/>
      <c r="O580" s="450"/>
      <c r="P580" s="1462"/>
    </row>
    <row r="581" spans="1:16" s="942" customFormat="1" ht="7.5" customHeight="1">
      <c r="A581" s="915"/>
      <c r="B581" s="916"/>
      <c r="C581" s="917"/>
      <c r="D581" s="917"/>
      <c r="E581" s="917"/>
      <c r="F581" s="917"/>
      <c r="G581" s="917"/>
      <c r="H581" s="917"/>
      <c r="I581" s="917"/>
      <c r="J581" s="917"/>
      <c r="K581" s="917"/>
      <c r="L581" s="917"/>
      <c r="M581" s="917"/>
      <c r="N581" s="1482"/>
      <c r="O581" s="916"/>
      <c r="P581" s="1483"/>
    </row>
    <row r="582" spans="1:16" s="942" customFormat="1" ht="15.75" customHeight="1">
      <c r="A582" s="442"/>
      <c r="B582" s="442"/>
      <c r="C582" s="919"/>
      <c r="D582" s="919"/>
      <c r="E582" s="919"/>
      <c r="F582" s="919"/>
      <c r="G582" s="919"/>
      <c r="H582" s="919"/>
      <c r="I582" s="919"/>
      <c r="J582" s="919"/>
      <c r="K582" s="919"/>
      <c r="L582" s="919"/>
      <c r="M582" s="919"/>
      <c r="N582" s="1484"/>
      <c r="O582" s="442"/>
    </row>
    <row r="583" spans="1:16" s="942" customFormat="1" ht="15.75" customHeight="1">
      <c r="A583" s="442"/>
      <c r="B583" s="442"/>
      <c r="C583" s="919"/>
      <c r="D583" s="919"/>
      <c r="E583" s="919"/>
      <c r="F583" s="919"/>
      <c r="G583" s="919"/>
      <c r="H583" s="919"/>
      <c r="I583" s="919"/>
      <c r="J583" s="919"/>
      <c r="K583" s="919"/>
      <c r="L583" s="919"/>
      <c r="M583" s="919"/>
      <c r="N583" s="1484"/>
      <c r="O583" s="442"/>
    </row>
    <row r="584" spans="1:16" s="942" customFormat="1" ht="15.75" customHeight="1">
      <c r="A584" s="442"/>
      <c r="B584" s="442"/>
      <c r="C584" s="919"/>
      <c r="D584" s="919"/>
      <c r="E584" s="919"/>
      <c r="F584" s="919"/>
      <c r="G584" s="919"/>
      <c r="H584" s="919"/>
      <c r="I584" s="919"/>
      <c r="J584" s="919"/>
      <c r="K584" s="919"/>
      <c r="L584" s="919"/>
      <c r="M584" s="919"/>
      <c r="N584" s="1484"/>
      <c r="O584" s="442"/>
    </row>
    <row r="585" spans="1:16" s="942" customFormat="1" ht="15.75" customHeight="1">
      <c r="A585" s="442"/>
      <c r="B585" s="442"/>
      <c r="C585" s="919"/>
      <c r="D585" s="919"/>
      <c r="E585" s="919"/>
      <c r="F585" s="919"/>
      <c r="G585" s="919"/>
      <c r="H585" s="919"/>
      <c r="I585" s="919"/>
      <c r="J585" s="919"/>
      <c r="K585" s="919"/>
      <c r="L585" s="919"/>
      <c r="M585" s="919"/>
      <c r="N585" s="1484"/>
      <c r="O585" s="442"/>
    </row>
    <row r="586" spans="1:16" s="942" customFormat="1" ht="15.75" customHeight="1">
      <c r="A586" s="442"/>
      <c r="B586" s="442"/>
      <c r="C586" s="919"/>
      <c r="D586" s="919"/>
      <c r="E586" s="919"/>
      <c r="F586" s="919"/>
      <c r="G586" s="919"/>
      <c r="H586" s="919"/>
      <c r="I586" s="919"/>
      <c r="J586" s="919"/>
      <c r="K586" s="919"/>
      <c r="L586" s="919"/>
      <c r="M586" s="919"/>
      <c r="N586" s="1484"/>
      <c r="O586" s="442"/>
    </row>
    <row r="587" spans="1:16" s="942" customFormat="1" ht="15.75" customHeight="1">
      <c r="A587" s="442"/>
      <c r="B587" s="442"/>
      <c r="C587" s="919"/>
      <c r="D587" s="919"/>
      <c r="E587" s="919"/>
      <c r="F587" s="919"/>
      <c r="G587" s="919"/>
      <c r="H587" s="919"/>
      <c r="I587" s="919"/>
      <c r="J587" s="919"/>
      <c r="K587" s="919"/>
      <c r="L587" s="919"/>
      <c r="M587" s="919"/>
      <c r="N587" s="1484"/>
      <c r="O587" s="442"/>
    </row>
    <row r="588" spans="1:16" s="942" customFormat="1" ht="15.75" customHeight="1">
      <c r="A588" s="442"/>
      <c r="B588" s="442"/>
      <c r="C588" s="919"/>
      <c r="D588" s="919"/>
      <c r="E588" s="919"/>
      <c r="F588" s="919"/>
      <c r="G588" s="919"/>
      <c r="H588" s="919"/>
      <c r="I588" s="919"/>
      <c r="J588" s="919"/>
      <c r="K588" s="919"/>
      <c r="L588" s="919"/>
      <c r="M588" s="919"/>
      <c r="N588" s="1484"/>
      <c r="O588" s="442"/>
    </row>
    <row r="589" spans="1:16" s="942" customFormat="1" ht="15.75" customHeight="1">
      <c r="A589" s="442"/>
      <c r="B589" s="442"/>
      <c r="C589" s="919"/>
      <c r="D589" s="919"/>
      <c r="E589" s="919"/>
      <c r="F589" s="919"/>
      <c r="G589" s="919"/>
      <c r="H589" s="919"/>
      <c r="I589" s="919"/>
      <c r="J589" s="919"/>
      <c r="K589" s="919"/>
      <c r="L589" s="919"/>
      <c r="M589" s="919"/>
      <c r="N589" s="1484"/>
      <c r="O589" s="442"/>
    </row>
    <row r="590" spans="1:16" s="942" customFormat="1" ht="15.75" customHeight="1">
      <c r="A590" s="442"/>
      <c r="B590" s="442"/>
      <c r="C590" s="919"/>
      <c r="D590" s="919"/>
      <c r="E590" s="919"/>
      <c r="F590" s="919"/>
      <c r="G590" s="919"/>
      <c r="H590" s="919"/>
      <c r="I590" s="919"/>
      <c r="J590" s="919"/>
      <c r="K590" s="919"/>
      <c r="L590" s="919"/>
      <c r="M590" s="919"/>
      <c r="N590" s="1484"/>
      <c r="O590" s="442"/>
    </row>
    <row r="591" spans="1:16" s="942" customFormat="1" ht="15.75" customHeight="1">
      <c r="A591" s="442"/>
      <c r="B591" s="442"/>
      <c r="C591" s="919"/>
      <c r="D591" s="919"/>
      <c r="E591" s="919"/>
      <c r="F591" s="919"/>
      <c r="G591" s="919"/>
      <c r="H591" s="919"/>
      <c r="I591" s="919"/>
      <c r="J591" s="919"/>
      <c r="K591" s="919"/>
      <c r="L591" s="919"/>
      <c r="M591" s="919"/>
      <c r="N591" s="1484"/>
      <c r="O591" s="442"/>
    </row>
    <row r="592" spans="1:16" s="942" customFormat="1" ht="15.75" customHeight="1">
      <c r="A592" s="442"/>
      <c r="B592" s="442"/>
      <c r="C592" s="919"/>
      <c r="D592" s="919"/>
      <c r="E592" s="919"/>
      <c r="F592" s="919"/>
      <c r="G592" s="919"/>
      <c r="H592" s="919"/>
      <c r="I592" s="919"/>
      <c r="J592" s="919"/>
      <c r="K592" s="919"/>
      <c r="L592" s="919"/>
      <c r="M592" s="919"/>
      <c r="N592" s="1484"/>
      <c r="O592" s="442"/>
    </row>
    <row r="593" spans="1:15" s="942" customFormat="1" ht="15.75" customHeight="1">
      <c r="A593" s="442"/>
      <c r="B593" s="442"/>
      <c r="C593" s="919"/>
      <c r="D593" s="919"/>
      <c r="E593" s="919"/>
      <c r="F593" s="919"/>
      <c r="G593" s="919"/>
      <c r="H593" s="919"/>
      <c r="I593" s="919"/>
      <c r="J593" s="919"/>
      <c r="K593" s="919"/>
      <c r="L593" s="919"/>
      <c r="M593" s="919"/>
      <c r="N593" s="1484"/>
      <c r="O593" s="442"/>
    </row>
    <row r="594" spans="1:15" s="942" customFormat="1" ht="15.75" customHeight="1">
      <c r="A594" s="442"/>
      <c r="B594" s="442"/>
      <c r="C594" s="919"/>
      <c r="D594" s="919"/>
      <c r="E594" s="919"/>
      <c r="F594" s="919"/>
      <c r="G594" s="919"/>
      <c r="H594" s="919"/>
      <c r="I594" s="919"/>
      <c r="J594" s="919"/>
      <c r="K594" s="919"/>
      <c r="L594" s="919"/>
      <c r="M594" s="919"/>
      <c r="N594" s="1484"/>
      <c r="O594" s="442"/>
    </row>
    <row r="595" spans="1:15" s="942" customFormat="1" ht="15.75" customHeight="1">
      <c r="A595" s="442"/>
      <c r="B595" s="442"/>
      <c r="C595" s="919"/>
      <c r="D595" s="919"/>
      <c r="E595" s="919"/>
      <c r="F595" s="919"/>
      <c r="G595" s="919"/>
      <c r="H595" s="919"/>
      <c r="I595" s="919"/>
      <c r="J595" s="919"/>
      <c r="K595" s="919"/>
      <c r="L595" s="919"/>
      <c r="M595" s="919"/>
      <c r="N595" s="1484"/>
      <c r="O595" s="442"/>
    </row>
    <row r="596" spans="1:15" s="942" customFormat="1" ht="15.75" customHeight="1">
      <c r="A596" s="442"/>
      <c r="B596" s="442"/>
      <c r="C596" s="919"/>
      <c r="D596" s="919"/>
      <c r="E596" s="919"/>
      <c r="F596" s="919"/>
      <c r="G596" s="919"/>
      <c r="H596" s="919"/>
      <c r="I596" s="919"/>
      <c r="J596" s="919"/>
      <c r="K596" s="919"/>
      <c r="L596" s="919"/>
      <c r="M596" s="919"/>
      <c r="N596" s="1484"/>
      <c r="O596" s="442"/>
    </row>
    <row r="597" spans="1:15" s="942" customFormat="1" ht="15.75" customHeight="1">
      <c r="A597" s="442"/>
      <c r="B597" s="442"/>
      <c r="C597" s="919"/>
      <c r="D597" s="919"/>
      <c r="E597" s="919"/>
      <c r="F597" s="919"/>
      <c r="G597" s="919"/>
      <c r="H597" s="919"/>
      <c r="I597" s="919"/>
      <c r="J597" s="919"/>
      <c r="K597" s="919"/>
      <c r="L597" s="919"/>
      <c r="M597" s="919"/>
      <c r="N597" s="1484"/>
      <c r="O597" s="442"/>
    </row>
    <row r="598" spans="1:15" s="942" customFormat="1" ht="15.75" customHeight="1">
      <c r="A598" s="442"/>
      <c r="B598" s="442"/>
      <c r="C598" s="919"/>
      <c r="D598" s="919"/>
      <c r="E598" s="919"/>
      <c r="F598" s="919"/>
      <c r="G598" s="919"/>
      <c r="H598" s="919"/>
      <c r="I598" s="919"/>
      <c r="J598" s="919"/>
      <c r="K598" s="919"/>
      <c r="L598" s="919"/>
      <c r="M598" s="919"/>
      <c r="N598" s="1484"/>
      <c r="O598" s="442"/>
    </row>
    <row r="599" spans="1:15" s="942" customFormat="1" ht="15.75" customHeight="1">
      <c r="A599" s="442"/>
      <c r="B599" s="442"/>
      <c r="C599" s="919"/>
      <c r="D599" s="919"/>
      <c r="E599" s="919"/>
      <c r="F599" s="919"/>
      <c r="G599" s="919"/>
      <c r="H599" s="919"/>
      <c r="I599" s="919"/>
      <c r="J599" s="919"/>
      <c r="K599" s="919"/>
      <c r="L599" s="919"/>
      <c r="M599" s="919"/>
      <c r="N599" s="1484"/>
      <c r="O599" s="442"/>
    </row>
    <row r="600" spans="1:15" s="942" customFormat="1" ht="15.75" customHeight="1">
      <c r="A600" s="442"/>
      <c r="B600" s="442"/>
      <c r="C600" s="919"/>
      <c r="D600" s="919"/>
      <c r="E600" s="919"/>
      <c r="F600" s="919"/>
      <c r="G600" s="919"/>
      <c r="H600" s="919"/>
      <c r="I600" s="919"/>
      <c r="J600" s="919"/>
      <c r="K600" s="919"/>
      <c r="L600" s="919"/>
      <c r="M600" s="919"/>
      <c r="N600" s="1484"/>
      <c r="O600" s="442"/>
    </row>
    <row r="601" spans="1:15" s="942" customFormat="1" ht="15.75" customHeight="1">
      <c r="A601" s="442"/>
      <c r="B601" s="442"/>
      <c r="C601" s="919"/>
      <c r="D601" s="919"/>
      <c r="E601" s="919"/>
      <c r="F601" s="919"/>
      <c r="G601" s="919"/>
      <c r="H601" s="919"/>
      <c r="I601" s="919"/>
      <c r="J601" s="919"/>
      <c r="K601" s="919"/>
      <c r="L601" s="919"/>
      <c r="M601" s="919"/>
      <c r="N601" s="1484"/>
      <c r="O601" s="442"/>
    </row>
    <row r="602" spans="1:15" s="942" customFormat="1" ht="15.75" customHeight="1">
      <c r="A602" s="442"/>
      <c r="B602" s="442"/>
      <c r="C602" s="919"/>
      <c r="D602" s="919"/>
      <c r="E602" s="919"/>
      <c r="F602" s="919"/>
      <c r="G602" s="919"/>
      <c r="H602" s="919"/>
      <c r="I602" s="919"/>
      <c r="J602" s="919"/>
      <c r="K602" s="919"/>
      <c r="L602" s="919"/>
      <c r="M602" s="919"/>
      <c r="N602" s="1484"/>
      <c r="O602" s="442"/>
    </row>
    <row r="603" spans="1:15" s="942" customFormat="1" ht="15.75" customHeight="1">
      <c r="A603" s="442"/>
      <c r="B603" s="442"/>
      <c r="C603" s="919"/>
      <c r="D603" s="919"/>
      <c r="E603" s="919"/>
      <c r="F603" s="919"/>
      <c r="G603" s="919"/>
      <c r="H603" s="919"/>
      <c r="I603" s="919"/>
      <c r="J603" s="919"/>
      <c r="K603" s="919"/>
      <c r="L603" s="919"/>
      <c r="M603" s="919"/>
      <c r="N603" s="1484"/>
      <c r="O603" s="442"/>
    </row>
    <row r="604" spans="1:15" s="942" customFormat="1" ht="15.75" customHeight="1">
      <c r="A604" s="442"/>
      <c r="B604" s="442"/>
      <c r="C604" s="919"/>
      <c r="D604" s="919"/>
      <c r="E604" s="919"/>
      <c r="F604" s="919"/>
      <c r="G604" s="919"/>
      <c r="H604" s="919"/>
      <c r="I604" s="919"/>
      <c r="J604" s="919"/>
      <c r="K604" s="919"/>
      <c r="L604" s="919"/>
      <c r="M604" s="919"/>
      <c r="N604" s="1484"/>
      <c r="O604" s="442"/>
    </row>
    <row r="605" spans="1:15" s="942" customFormat="1" ht="15.75" customHeight="1">
      <c r="A605" s="442"/>
      <c r="B605" s="442"/>
      <c r="C605" s="919"/>
      <c r="D605" s="919"/>
      <c r="E605" s="919"/>
      <c r="F605" s="919"/>
      <c r="G605" s="919"/>
      <c r="H605" s="919"/>
      <c r="I605" s="919"/>
      <c r="J605" s="919"/>
      <c r="K605" s="919"/>
      <c r="L605" s="919"/>
      <c r="M605" s="919"/>
      <c r="N605" s="1484"/>
      <c r="O605" s="442"/>
    </row>
    <row r="606" spans="1:15" s="942" customFormat="1" ht="15.75" customHeight="1">
      <c r="A606" s="442"/>
      <c r="B606" s="442"/>
      <c r="C606" s="919"/>
      <c r="D606" s="919"/>
      <c r="E606" s="919"/>
      <c r="F606" s="919"/>
      <c r="G606" s="919"/>
      <c r="H606" s="919"/>
      <c r="I606" s="919"/>
      <c r="J606" s="919"/>
      <c r="K606" s="919"/>
      <c r="L606" s="919"/>
      <c r="M606" s="919"/>
      <c r="N606" s="1484"/>
      <c r="O606" s="442"/>
    </row>
    <row r="607" spans="1:15" s="942" customFormat="1" ht="15.75" customHeight="1">
      <c r="A607" s="442"/>
      <c r="B607" s="442"/>
      <c r="C607" s="919"/>
      <c r="D607" s="919"/>
      <c r="E607" s="919"/>
      <c r="F607" s="919"/>
      <c r="G607" s="919"/>
      <c r="H607" s="919"/>
      <c r="I607" s="919"/>
      <c r="J607" s="919"/>
      <c r="K607" s="919"/>
      <c r="L607" s="919"/>
      <c r="M607" s="919"/>
      <c r="N607" s="1484"/>
      <c r="O607" s="442"/>
    </row>
    <row r="608" spans="1:15" s="942" customFormat="1" ht="15.75" customHeight="1">
      <c r="A608" s="442"/>
      <c r="B608" s="442"/>
      <c r="C608" s="919"/>
      <c r="D608" s="919"/>
      <c r="E608" s="919"/>
      <c r="F608" s="919"/>
      <c r="G608" s="919"/>
      <c r="H608" s="919"/>
      <c r="I608" s="919"/>
      <c r="J608" s="919"/>
      <c r="K608" s="919"/>
      <c r="L608" s="919"/>
      <c r="M608" s="919"/>
      <c r="N608" s="1484"/>
      <c r="O608" s="442"/>
    </row>
    <row r="609" spans="1:15" s="942" customFormat="1" ht="15.75" customHeight="1">
      <c r="A609" s="442"/>
      <c r="B609" s="442"/>
      <c r="C609" s="919"/>
      <c r="D609" s="919"/>
      <c r="E609" s="919"/>
      <c r="F609" s="919"/>
      <c r="G609" s="919"/>
      <c r="H609" s="919"/>
      <c r="I609" s="919"/>
      <c r="J609" s="919"/>
      <c r="K609" s="919"/>
      <c r="L609" s="919"/>
      <c r="M609" s="919"/>
      <c r="N609" s="1484"/>
      <c r="O609" s="442"/>
    </row>
    <row r="610" spans="1:15" s="942" customFormat="1" ht="15.75" customHeight="1">
      <c r="A610" s="442"/>
      <c r="B610" s="442"/>
      <c r="C610" s="919"/>
      <c r="D610" s="919"/>
      <c r="E610" s="919"/>
      <c r="F610" s="919"/>
      <c r="G610" s="919"/>
      <c r="H610" s="919"/>
      <c r="I610" s="919"/>
      <c r="J610" s="919"/>
      <c r="K610" s="919"/>
      <c r="L610" s="919"/>
      <c r="M610" s="919"/>
      <c r="N610" s="1484"/>
      <c r="O610" s="442"/>
    </row>
    <row r="611" spans="1:15" s="942" customFormat="1" ht="15.75" customHeight="1">
      <c r="A611" s="442"/>
      <c r="B611" s="442"/>
      <c r="C611" s="919"/>
      <c r="D611" s="919"/>
      <c r="E611" s="919"/>
      <c r="F611" s="919"/>
      <c r="G611" s="919"/>
      <c r="H611" s="919"/>
      <c r="I611" s="919"/>
      <c r="J611" s="919"/>
      <c r="K611" s="919"/>
      <c r="L611" s="919"/>
      <c r="M611" s="919"/>
      <c r="N611" s="1484"/>
      <c r="O611" s="442"/>
    </row>
    <row r="612" spans="1:15" s="942" customFormat="1" ht="15.75" customHeight="1">
      <c r="A612" s="442"/>
      <c r="B612" s="442"/>
      <c r="C612" s="919"/>
      <c r="D612" s="919"/>
      <c r="E612" s="919"/>
      <c r="F612" s="919"/>
      <c r="G612" s="919"/>
      <c r="H612" s="919"/>
      <c r="I612" s="919"/>
      <c r="J612" s="919"/>
      <c r="K612" s="919"/>
      <c r="L612" s="919"/>
      <c r="M612" s="919"/>
      <c r="N612" s="1484"/>
      <c r="O612" s="442"/>
    </row>
    <row r="613" spans="1:15" s="942" customFormat="1" ht="15.75" customHeight="1">
      <c r="A613" s="442"/>
      <c r="B613" s="442"/>
      <c r="C613" s="919"/>
      <c r="D613" s="919"/>
      <c r="E613" s="919"/>
      <c r="F613" s="919"/>
      <c r="G613" s="919"/>
      <c r="H613" s="919"/>
      <c r="I613" s="919"/>
      <c r="J613" s="919"/>
      <c r="K613" s="919"/>
      <c r="L613" s="919"/>
      <c r="M613" s="919"/>
      <c r="N613" s="1484"/>
      <c r="O613" s="442"/>
    </row>
    <row r="614" spans="1:15" s="942" customFormat="1" ht="15.75" customHeight="1">
      <c r="A614" s="442"/>
      <c r="B614" s="442"/>
      <c r="C614" s="919"/>
      <c r="D614" s="919"/>
      <c r="E614" s="919"/>
      <c r="F614" s="919"/>
      <c r="G614" s="919"/>
      <c r="H614" s="919"/>
      <c r="I614" s="919"/>
      <c r="J614" s="919"/>
      <c r="K614" s="919"/>
      <c r="L614" s="919"/>
      <c r="M614" s="919"/>
      <c r="N614" s="1484"/>
      <c r="O614" s="442"/>
    </row>
    <row r="615" spans="1:15" s="942" customFormat="1" ht="15.75" customHeight="1">
      <c r="A615" s="442"/>
      <c r="B615" s="442"/>
      <c r="C615" s="919"/>
      <c r="D615" s="919"/>
      <c r="E615" s="919"/>
      <c r="F615" s="919"/>
      <c r="G615" s="919"/>
      <c r="H615" s="919"/>
      <c r="I615" s="919"/>
      <c r="J615" s="919"/>
      <c r="K615" s="919"/>
      <c r="L615" s="919"/>
      <c r="M615" s="919"/>
      <c r="N615" s="1484"/>
      <c r="O615" s="442"/>
    </row>
    <row r="616" spans="1:15" s="942" customFormat="1" ht="15.75" customHeight="1">
      <c r="A616" s="442"/>
      <c r="B616" s="442"/>
      <c r="C616" s="919"/>
      <c r="D616" s="919"/>
      <c r="E616" s="919"/>
      <c r="F616" s="919"/>
      <c r="G616" s="919"/>
      <c r="H616" s="919"/>
      <c r="I616" s="919"/>
      <c r="J616" s="919"/>
      <c r="K616" s="919"/>
      <c r="L616" s="919"/>
      <c r="M616" s="919"/>
      <c r="N616" s="1484"/>
      <c r="O616" s="442"/>
    </row>
    <row r="617" spans="1:15" s="942" customFormat="1" ht="15.75" customHeight="1">
      <c r="A617" s="442"/>
      <c r="B617" s="442"/>
      <c r="C617" s="919"/>
      <c r="D617" s="919"/>
      <c r="E617" s="919"/>
      <c r="F617" s="919"/>
      <c r="G617" s="919"/>
      <c r="H617" s="919"/>
      <c r="I617" s="919"/>
      <c r="J617" s="919"/>
      <c r="K617" s="919"/>
      <c r="L617" s="919"/>
      <c r="M617" s="919"/>
      <c r="N617" s="1484"/>
      <c r="O617" s="442"/>
    </row>
    <row r="618" spans="1:15" s="942" customFormat="1" ht="15.75" customHeight="1">
      <c r="A618" s="442"/>
      <c r="B618" s="442"/>
      <c r="C618" s="919"/>
      <c r="D618" s="919"/>
      <c r="E618" s="919"/>
      <c r="F618" s="919"/>
      <c r="G618" s="919"/>
      <c r="H618" s="919"/>
      <c r="I618" s="919"/>
      <c r="J618" s="919"/>
      <c r="K618" s="919"/>
      <c r="L618" s="919"/>
      <c r="M618" s="919"/>
      <c r="N618" s="1484"/>
      <c r="O618" s="442"/>
    </row>
    <row r="619" spans="1:15" s="942" customFormat="1" ht="15.75" customHeight="1">
      <c r="A619" s="442"/>
      <c r="B619" s="442"/>
      <c r="C619" s="919"/>
      <c r="D619" s="919"/>
      <c r="E619" s="919"/>
      <c r="F619" s="919"/>
      <c r="G619" s="919"/>
      <c r="H619" s="919"/>
      <c r="I619" s="919"/>
      <c r="J619" s="919"/>
      <c r="K619" s="919"/>
      <c r="L619" s="919"/>
      <c r="M619" s="919"/>
      <c r="N619" s="1484"/>
      <c r="O619" s="442"/>
    </row>
    <row r="620" spans="1:15" s="942" customFormat="1" ht="15.75" customHeight="1">
      <c r="A620" s="442"/>
      <c r="B620" s="442"/>
      <c r="C620" s="919"/>
      <c r="D620" s="919"/>
      <c r="E620" s="919"/>
      <c r="F620" s="919"/>
      <c r="G620" s="919"/>
      <c r="H620" s="919"/>
      <c r="I620" s="919"/>
      <c r="J620" s="919"/>
      <c r="K620" s="919"/>
      <c r="L620" s="919"/>
      <c r="M620" s="919"/>
      <c r="N620" s="1484"/>
      <c r="O620" s="442"/>
    </row>
    <row r="621" spans="1:15" s="942" customFormat="1" ht="15.75" customHeight="1">
      <c r="A621" s="442"/>
      <c r="B621" s="442"/>
      <c r="C621" s="919"/>
      <c r="D621" s="919"/>
      <c r="E621" s="919"/>
      <c r="F621" s="919"/>
      <c r="G621" s="919"/>
      <c r="H621" s="919"/>
      <c r="I621" s="919"/>
      <c r="J621" s="919"/>
      <c r="K621" s="919"/>
      <c r="L621" s="919"/>
      <c r="M621" s="919"/>
      <c r="N621" s="1484"/>
      <c r="O621" s="442"/>
    </row>
    <row r="622" spans="1:15" s="942" customFormat="1" ht="15.75" customHeight="1">
      <c r="A622" s="442"/>
      <c r="B622" s="442"/>
      <c r="C622" s="919"/>
      <c r="D622" s="919"/>
      <c r="E622" s="919"/>
      <c r="F622" s="919"/>
      <c r="G622" s="919"/>
      <c r="H622" s="919"/>
      <c r="I622" s="919"/>
      <c r="J622" s="919"/>
      <c r="K622" s="919"/>
      <c r="L622" s="919"/>
      <c r="M622" s="919"/>
      <c r="N622" s="1484"/>
      <c r="O622" s="442"/>
    </row>
    <row r="623" spans="1:15" s="942" customFormat="1" ht="15.75" customHeight="1">
      <c r="A623" s="442"/>
      <c r="B623" s="442"/>
      <c r="C623" s="919"/>
      <c r="D623" s="919"/>
      <c r="E623" s="919"/>
      <c r="F623" s="919"/>
      <c r="G623" s="919"/>
      <c r="H623" s="919"/>
      <c r="I623" s="919"/>
      <c r="J623" s="919"/>
      <c r="K623" s="919"/>
      <c r="L623" s="919"/>
      <c r="M623" s="919"/>
      <c r="N623" s="1484"/>
      <c r="O623" s="442"/>
    </row>
    <row r="624" spans="1:15" s="942" customFormat="1" ht="15.75" customHeight="1">
      <c r="A624" s="442"/>
      <c r="B624" s="442"/>
      <c r="C624" s="919"/>
      <c r="D624" s="919"/>
      <c r="E624" s="919"/>
      <c r="F624" s="919"/>
      <c r="G624" s="919"/>
      <c r="H624" s="919"/>
      <c r="I624" s="919"/>
      <c r="J624" s="919"/>
      <c r="K624" s="919"/>
      <c r="L624" s="919"/>
      <c r="M624" s="919"/>
      <c r="N624" s="1484"/>
      <c r="O624" s="442"/>
    </row>
    <row r="625" spans="1:15" s="942" customFormat="1" ht="15.75" customHeight="1">
      <c r="A625" s="442"/>
      <c r="B625" s="442"/>
      <c r="C625" s="919"/>
      <c r="D625" s="919"/>
      <c r="E625" s="919"/>
      <c r="F625" s="919"/>
      <c r="G625" s="919"/>
      <c r="H625" s="919"/>
      <c r="I625" s="919"/>
      <c r="J625" s="919"/>
      <c r="K625" s="919"/>
      <c r="L625" s="919"/>
      <c r="M625" s="919"/>
      <c r="N625" s="1484"/>
      <c r="O625" s="442"/>
    </row>
    <row r="626" spans="1:15" s="942" customFormat="1" ht="15.75" customHeight="1">
      <c r="A626" s="442"/>
      <c r="B626" s="442"/>
      <c r="C626" s="919"/>
      <c r="D626" s="919"/>
      <c r="E626" s="919"/>
      <c r="F626" s="919"/>
      <c r="G626" s="919"/>
      <c r="H626" s="919"/>
      <c r="I626" s="919"/>
      <c r="J626" s="919"/>
      <c r="K626" s="919"/>
      <c r="L626" s="919"/>
      <c r="M626" s="919"/>
      <c r="N626" s="1484"/>
      <c r="O626" s="442"/>
    </row>
    <row r="627" spans="1:15" s="942" customFormat="1" ht="15.75" customHeight="1">
      <c r="A627" s="442"/>
      <c r="B627" s="442"/>
      <c r="C627" s="919"/>
      <c r="D627" s="919"/>
      <c r="E627" s="919"/>
      <c r="F627" s="919"/>
      <c r="G627" s="919"/>
      <c r="H627" s="919"/>
      <c r="I627" s="919"/>
      <c r="J627" s="919"/>
      <c r="K627" s="919"/>
      <c r="L627" s="919"/>
      <c r="M627" s="919"/>
      <c r="N627" s="1484"/>
      <c r="O627" s="442"/>
    </row>
    <row r="628" spans="1:15" s="942" customFormat="1" ht="15.75" customHeight="1">
      <c r="A628" s="442"/>
      <c r="B628" s="442"/>
      <c r="C628" s="919"/>
      <c r="D628" s="919"/>
      <c r="E628" s="919"/>
      <c r="F628" s="919"/>
      <c r="G628" s="919"/>
      <c r="H628" s="919"/>
      <c r="I628" s="919"/>
      <c r="J628" s="919"/>
      <c r="K628" s="919"/>
      <c r="L628" s="919"/>
      <c r="M628" s="919"/>
      <c r="N628" s="1484"/>
      <c r="O628" s="442"/>
    </row>
    <row r="629" spans="1:15" s="942" customFormat="1" ht="15.75" customHeight="1">
      <c r="A629" s="442"/>
      <c r="B629" s="442"/>
      <c r="C629" s="919"/>
      <c r="D629" s="919"/>
      <c r="E629" s="919"/>
      <c r="F629" s="919"/>
      <c r="G629" s="919"/>
      <c r="H629" s="919"/>
      <c r="I629" s="919"/>
      <c r="J629" s="919"/>
      <c r="K629" s="919"/>
      <c r="L629" s="919"/>
      <c r="M629" s="919"/>
      <c r="N629" s="1484"/>
      <c r="O629" s="442"/>
    </row>
    <row r="630" spans="1:15" s="942" customFormat="1" ht="15.75" customHeight="1">
      <c r="A630" s="442"/>
      <c r="B630" s="442"/>
      <c r="C630" s="919"/>
      <c r="D630" s="919"/>
      <c r="E630" s="919"/>
      <c r="F630" s="919"/>
      <c r="G630" s="919"/>
      <c r="H630" s="919"/>
      <c r="I630" s="919"/>
      <c r="J630" s="919"/>
      <c r="K630" s="919"/>
      <c r="L630" s="919"/>
      <c r="M630" s="919"/>
      <c r="N630" s="1484"/>
      <c r="O630" s="442"/>
    </row>
    <row r="631" spans="1:15" s="942" customFormat="1" ht="15.75" customHeight="1">
      <c r="A631" s="442"/>
      <c r="B631" s="442"/>
      <c r="C631" s="919"/>
      <c r="D631" s="919"/>
      <c r="E631" s="919"/>
      <c r="F631" s="919"/>
      <c r="G631" s="919"/>
      <c r="H631" s="919"/>
      <c r="I631" s="919"/>
      <c r="J631" s="919"/>
      <c r="K631" s="919"/>
      <c r="L631" s="919"/>
      <c r="M631" s="919"/>
      <c r="N631" s="1484"/>
      <c r="O631" s="442"/>
    </row>
    <row r="632" spans="1:15" s="942" customFormat="1" ht="15.75" customHeight="1">
      <c r="A632" s="442"/>
      <c r="B632" s="442"/>
      <c r="C632" s="919"/>
      <c r="D632" s="919"/>
      <c r="E632" s="919"/>
      <c r="F632" s="919"/>
      <c r="G632" s="919"/>
      <c r="H632" s="919"/>
      <c r="I632" s="919"/>
      <c r="J632" s="919"/>
      <c r="K632" s="919"/>
      <c r="L632" s="919"/>
      <c r="M632" s="919"/>
      <c r="N632" s="1484"/>
      <c r="O632" s="442"/>
    </row>
    <row r="633" spans="1:15" s="942" customFormat="1" ht="15.75" customHeight="1">
      <c r="A633" s="442"/>
      <c r="B633" s="442"/>
      <c r="C633" s="919"/>
      <c r="D633" s="919"/>
      <c r="E633" s="919"/>
      <c r="F633" s="919"/>
      <c r="G633" s="919"/>
      <c r="H633" s="919"/>
      <c r="I633" s="919"/>
      <c r="J633" s="919"/>
      <c r="K633" s="919"/>
      <c r="L633" s="919"/>
      <c r="M633" s="919"/>
      <c r="N633" s="1484"/>
      <c r="O633" s="442"/>
    </row>
    <row r="634" spans="1:15" s="942" customFormat="1" ht="15.75" customHeight="1">
      <c r="A634" s="442"/>
      <c r="B634" s="442"/>
      <c r="C634" s="919"/>
      <c r="D634" s="919"/>
      <c r="E634" s="919"/>
      <c r="F634" s="919"/>
      <c r="G634" s="919"/>
      <c r="H634" s="919"/>
      <c r="I634" s="919"/>
      <c r="J634" s="919"/>
      <c r="K634" s="919"/>
      <c r="L634" s="919"/>
      <c r="M634" s="919"/>
      <c r="N634" s="1484"/>
      <c r="O634" s="442"/>
    </row>
    <row r="635" spans="1:15" s="942" customFormat="1" ht="15.75" customHeight="1">
      <c r="A635" s="442"/>
      <c r="B635" s="442"/>
      <c r="C635" s="919"/>
      <c r="D635" s="919"/>
      <c r="E635" s="919"/>
      <c r="F635" s="919"/>
      <c r="G635" s="919"/>
      <c r="H635" s="919"/>
      <c r="I635" s="919"/>
      <c r="J635" s="919"/>
      <c r="K635" s="919"/>
      <c r="L635" s="919"/>
      <c r="M635" s="919"/>
      <c r="N635" s="1484"/>
      <c r="O635" s="442"/>
    </row>
    <row r="636" spans="1:15" s="942" customFormat="1" ht="15.75" customHeight="1">
      <c r="A636" s="442"/>
      <c r="B636" s="442"/>
      <c r="C636" s="919"/>
      <c r="D636" s="919"/>
      <c r="E636" s="919"/>
      <c r="F636" s="919"/>
      <c r="G636" s="919"/>
      <c r="H636" s="919"/>
      <c r="I636" s="919"/>
      <c r="J636" s="919"/>
      <c r="K636" s="919"/>
      <c r="L636" s="919"/>
      <c r="M636" s="919"/>
      <c r="N636" s="1484"/>
      <c r="O636" s="442"/>
    </row>
    <row r="637" spans="1:15" s="942" customFormat="1" ht="15.75" customHeight="1">
      <c r="A637" s="442"/>
      <c r="B637" s="442"/>
      <c r="C637" s="919"/>
      <c r="D637" s="919"/>
      <c r="E637" s="919"/>
      <c r="F637" s="919"/>
      <c r="G637" s="919"/>
      <c r="H637" s="919"/>
      <c r="I637" s="919"/>
      <c r="J637" s="919"/>
      <c r="K637" s="919"/>
      <c r="L637" s="919"/>
      <c r="M637" s="919"/>
      <c r="N637" s="1484"/>
      <c r="O637" s="442"/>
    </row>
    <row r="638" spans="1:15" s="942" customFormat="1" ht="15.75" customHeight="1">
      <c r="A638" s="442"/>
      <c r="B638" s="442"/>
      <c r="C638" s="919"/>
      <c r="D638" s="919"/>
      <c r="E638" s="919"/>
      <c r="F638" s="919"/>
      <c r="G638" s="919"/>
      <c r="H638" s="919"/>
      <c r="I638" s="919"/>
      <c r="J638" s="919"/>
      <c r="K638" s="919"/>
      <c r="L638" s="919"/>
      <c r="M638" s="919"/>
      <c r="N638" s="1484"/>
      <c r="O638" s="442"/>
    </row>
    <row r="639" spans="1:15" s="942" customFormat="1" ht="15.75" customHeight="1">
      <c r="A639" s="442"/>
      <c r="B639" s="442"/>
      <c r="C639" s="919"/>
      <c r="D639" s="919"/>
      <c r="E639" s="919"/>
      <c r="F639" s="919"/>
      <c r="G639" s="919"/>
      <c r="H639" s="919"/>
      <c r="I639" s="919"/>
      <c r="J639" s="919"/>
      <c r="K639" s="919"/>
      <c r="L639" s="919"/>
      <c r="M639" s="919"/>
      <c r="N639" s="1484"/>
      <c r="O639" s="442"/>
    </row>
    <row r="640" spans="1:15" s="942" customFormat="1" ht="15.75" customHeight="1">
      <c r="A640" s="442"/>
      <c r="B640" s="442"/>
      <c r="C640" s="919"/>
      <c r="D640" s="919"/>
      <c r="E640" s="919"/>
      <c r="F640" s="919"/>
      <c r="G640" s="919"/>
      <c r="H640" s="919"/>
      <c r="I640" s="919"/>
      <c r="J640" s="919"/>
      <c r="K640" s="919"/>
      <c r="L640" s="919"/>
      <c r="M640" s="919"/>
      <c r="N640" s="1484"/>
      <c r="O640" s="442"/>
    </row>
    <row r="641" spans="1:15" s="942" customFormat="1" ht="15.75" customHeight="1">
      <c r="A641" s="442"/>
      <c r="B641" s="442"/>
      <c r="C641" s="919"/>
      <c r="D641" s="919"/>
      <c r="E641" s="919"/>
      <c r="F641" s="919"/>
      <c r="G641" s="919"/>
      <c r="H641" s="919"/>
      <c r="I641" s="919"/>
      <c r="J641" s="919"/>
      <c r="K641" s="919"/>
      <c r="L641" s="919"/>
      <c r="M641" s="919"/>
      <c r="N641" s="1484"/>
      <c r="O641" s="442"/>
    </row>
    <row r="642" spans="1:15" s="942" customFormat="1" ht="15.75" customHeight="1">
      <c r="A642" s="442"/>
      <c r="B642" s="442"/>
      <c r="C642" s="919"/>
      <c r="D642" s="919"/>
      <c r="E642" s="919"/>
      <c r="F642" s="919"/>
      <c r="G642" s="919"/>
      <c r="H642" s="919"/>
      <c r="I642" s="919"/>
      <c r="J642" s="919"/>
      <c r="K642" s="919"/>
      <c r="L642" s="919"/>
      <c r="M642" s="919"/>
      <c r="N642" s="1484"/>
      <c r="O642" s="442"/>
    </row>
    <row r="643" spans="1:15" s="942" customFormat="1" ht="15.75" customHeight="1">
      <c r="A643" s="442"/>
      <c r="B643" s="442"/>
      <c r="C643" s="919"/>
      <c r="D643" s="919"/>
      <c r="E643" s="919"/>
      <c r="F643" s="919"/>
      <c r="G643" s="919"/>
      <c r="H643" s="919"/>
      <c r="I643" s="919"/>
      <c r="J643" s="919"/>
      <c r="K643" s="919"/>
      <c r="L643" s="919"/>
      <c r="M643" s="919"/>
      <c r="N643" s="1484"/>
      <c r="O643" s="442"/>
    </row>
    <row r="644" spans="1:15" s="942" customFormat="1" ht="15.75" customHeight="1">
      <c r="A644" s="442"/>
      <c r="B644" s="442"/>
      <c r="C644" s="919"/>
      <c r="D644" s="919"/>
      <c r="E644" s="919"/>
      <c r="F644" s="919"/>
      <c r="G644" s="919"/>
      <c r="H644" s="919"/>
      <c r="I644" s="919"/>
      <c r="J644" s="919"/>
      <c r="K644" s="919"/>
      <c r="L644" s="919"/>
      <c r="M644" s="919"/>
      <c r="N644" s="1484"/>
      <c r="O644" s="442"/>
    </row>
    <row r="645" spans="1:15" s="942" customFormat="1" ht="15.75" customHeight="1">
      <c r="A645" s="442"/>
      <c r="B645" s="442"/>
      <c r="C645" s="919"/>
      <c r="D645" s="919"/>
      <c r="E645" s="919"/>
      <c r="F645" s="919"/>
      <c r="G645" s="919"/>
      <c r="H645" s="919"/>
      <c r="I645" s="919"/>
      <c r="J645" s="919"/>
      <c r="K645" s="919"/>
      <c r="L645" s="919"/>
      <c r="M645" s="919"/>
      <c r="N645" s="1484"/>
      <c r="O645" s="442"/>
    </row>
    <row r="646" spans="1:15" s="942" customFormat="1" ht="15.75" customHeight="1">
      <c r="A646" s="442"/>
      <c r="B646" s="442"/>
      <c r="C646" s="919"/>
      <c r="D646" s="919"/>
      <c r="E646" s="919"/>
      <c r="F646" s="919"/>
      <c r="G646" s="919"/>
      <c r="H646" s="919"/>
      <c r="I646" s="919"/>
      <c r="J646" s="919"/>
      <c r="K646" s="919"/>
      <c r="L646" s="919"/>
      <c r="M646" s="919"/>
      <c r="N646" s="1484"/>
      <c r="O646" s="442"/>
    </row>
    <row r="647" spans="1:15" s="942" customFormat="1" ht="15.75" customHeight="1">
      <c r="A647" s="442"/>
      <c r="B647" s="442"/>
      <c r="C647" s="919"/>
      <c r="D647" s="919"/>
      <c r="E647" s="919"/>
      <c r="F647" s="919"/>
      <c r="G647" s="919"/>
      <c r="H647" s="919"/>
      <c r="I647" s="919"/>
      <c r="J647" s="919"/>
      <c r="K647" s="919"/>
      <c r="L647" s="919"/>
      <c r="M647" s="919"/>
      <c r="N647" s="1484"/>
      <c r="O647" s="442"/>
    </row>
    <row r="648" spans="1:15" s="942" customFormat="1" ht="15.75" customHeight="1">
      <c r="A648" s="442"/>
      <c r="B648" s="442"/>
      <c r="C648" s="919"/>
      <c r="D648" s="919"/>
      <c r="E648" s="919"/>
      <c r="F648" s="919"/>
      <c r="G648" s="919"/>
      <c r="H648" s="919"/>
      <c r="I648" s="919"/>
      <c r="J648" s="919"/>
      <c r="K648" s="919"/>
      <c r="L648" s="919"/>
      <c r="M648" s="919"/>
      <c r="N648" s="1484"/>
      <c r="O648" s="442"/>
    </row>
    <row r="649" spans="1:15" s="942" customFormat="1" ht="15.75" customHeight="1">
      <c r="A649" s="442"/>
      <c r="B649" s="442"/>
      <c r="C649" s="919"/>
      <c r="D649" s="919"/>
      <c r="E649" s="919"/>
      <c r="F649" s="919"/>
      <c r="G649" s="919"/>
      <c r="H649" s="919"/>
      <c r="I649" s="919"/>
      <c r="J649" s="919"/>
      <c r="K649" s="919"/>
      <c r="L649" s="919"/>
      <c r="M649" s="919"/>
      <c r="N649" s="1484"/>
      <c r="O649" s="442"/>
    </row>
    <row r="650" spans="1:15" s="942" customFormat="1" ht="15.75" customHeight="1">
      <c r="A650" s="442"/>
      <c r="B650" s="442"/>
      <c r="C650" s="919"/>
      <c r="D650" s="919"/>
      <c r="E650" s="919"/>
      <c r="F650" s="919"/>
      <c r="G650" s="919"/>
      <c r="H650" s="919"/>
      <c r="I650" s="919"/>
      <c r="J650" s="919"/>
      <c r="K650" s="919"/>
      <c r="L650" s="919"/>
      <c r="M650" s="919"/>
      <c r="N650" s="1484"/>
      <c r="O650" s="442"/>
    </row>
    <row r="651" spans="1:15" s="942" customFormat="1" ht="15.75" customHeight="1">
      <c r="A651" s="442"/>
      <c r="B651" s="442"/>
      <c r="C651" s="919"/>
      <c r="D651" s="919"/>
      <c r="E651" s="919"/>
      <c r="F651" s="919"/>
      <c r="G651" s="919"/>
      <c r="H651" s="919"/>
      <c r="I651" s="919"/>
      <c r="J651" s="919"/>
      <c r="K651" s="919"/>
      <c r="L651" s="919"/>
      <c r="M651" s="919"/>
      <c r="N651" s="1484"/>
      <c r="O651" s="442"/>
    </row>
    <row r="652" spans="1:15" s="942" customFormat="1" ht="15.75" customHeight="1">
      <c r="A652" s="442"/>
      <c r="B652" s="442"/>
      <c r="C652" s="919"/>
      <c r="D652" s="919"/>
      <c r="E652" s="919"/>
      <c r="F652" s="919"/>
      <c r="G652" s="919"/>
      <c r="H652" s="919"/>
      <c r="I652" s="919"/>
      <c r="J652" s="919"/>
      <c r="K652" s="919"/>
      <c r="L652" s="919"/>
      <c r="M652" s="919"/>
      <c r="N652" s="1484"/>
      <c r="O652" s="442"/>
    </row>
    <row r="653" spans="1:15" s="942" customFormat="1" ht="15.75" customHeight="1">
      <c r="A653" s="442"/>
      <c r="B653" s="442"/>
      <c r="C653" s="919"/>
      <c r="D653" s="919"/>
      <c r="E653" s="919"/>
      <c r="F653" s="919"/>
      <c r="G653" s="919"/>
      <c r="H653" s="919"/>
      <c r="I653" s="919"/>
      <c r="J653" s="919"/>
      <c r="K653" s="919"/>
      <c r="L653" s="919"/>
      <c r="M653" s="919"/>
      <c r="N653" s="1484"/>
      <c r="O653" s="442"/>
    </row>
    <row r="654" spans="1:15" s="942" customFormat="1" ht="15.75" customHeight="1">
      <c r="A654" s="442"/>
      <c r="B654" s="442"/>
      <c r="C654" s="919"/>
      <c r="D654" s="919"/>
      <c r="E654" s="919"/>
      <c r="F654" s="919"/>
      <c r="G654" s="919"/>
      <c r="H654" s="919"/>
      <c r="I654" s="919"/>
      <c r="J654" s="919"/>
      <c r="K654" s="919"/>
      <c r="L654" s="919"/>
      <c r="M654" s="919"/>
      <c r="N654" s="1484"/>
      <c r="O654" s="442"/>
    </row>
    <row r="655" spans="1:15" s="942" customFormat="1" ht="15.75" customHeight="1">
      <c r="A655" s="442"/>
      <c r="B655" s="442"/>
      <c r="C655" s="919"/>
      <c r="D655" s="919"/>
      <c r="E655" s="919"/>
      <c r="F655" s="919"/>
      <c r="G655" s="919"/>
      <c r="H655" s="919"/>
      <c r="I655" s="919"/>
      <c r="J655" s="919"/>
      <c r="K655" s="919"/>
      <c r="L655" s="919"/>
      <c r="M655" s="919"/>
      <c r="N655" s="1484"/>
      <c r="O655" s="442"/>
    </row>
    <row r="656" spans="1:15" s="942" customFormat="1" ht="15.75" customHeight="1">
      <c r="A656" s="442"/>
      <c r="B656" s="442"/>
      <c r="C656" s="919"/>
      <c r="D656" s="919"/>
      <c r="E656" s="919"/>
      <c r="F656" s="919"/>
      <c r="G656" s="919"/>
      <c r="H656" s="919"/>
      <c r="I656" s="919"/>
      <c r="J656" s="919"/>
      <c r="K656" s="919"/>
      <c r="L656" s="919"/>
      <c r="M656" s="919"/>
      <c r="N656" s="1484"/>
      <c r="O656" s="442"/>
    </row>
    <row r="657" spans="1:15" s="942" customFormat="1" ht="15.75" customHeight="1">
      <c r="A657" s="442"/>
      <c r="B657" s="442"/>
      <c r="C657" s="919"/>
      <c r="D657" s="919"/>
      <c r="E657" s="919"/>
      <c r="F657" s="919"/>
      <c r="G657" s="919"/>
      <c r="H657" s="919"/>
      <c r="I657" s="919"/>
      <c r="J657" s="919"/>
      <c r="K657" s="919"/>
      <c r="L657" s="919"/>
      <c r="M657" s="919"/>
      <c r="N657" s="1484"/>
      <c r="O657" s="442"/>
    </row>
    <row r="658" spans="1:15" s="942" customFormat="1" ht="15.75" customHeight="1">
      <c r="A658" s="442"/>
      <c r="B658" s="442"/>
      <c r="C658" s="919"/>
      <c r="D658" s="919"/>
      <c r="E658" s="919"/>
      <c r="F658" s="919"/>
      <c r="G658" s="919"/>
      <c r="H658" s="919"/>
      <c r="I658" s="919"/>
      <c r="J658" s="919"/>
      <c r="K658" s="919"/>
      <c r="L658" s="919"/>
      <c r="M658" s="919"/>
      <c r="N658" s="1484"/>
      <c r="O658" s="442"/>
    </row>
    <row r="659" spans="1:15" s="942" customFormat="1" ht="15.75" customHeight="1">
      <c r="A659" s="442"/>
      <c r="B659" s="442"/>
      <c r="C659" s="919"/>
      <c r="D659" s="919"/>
      <c r="E659" s="919"/>
      <c r="F659" s="919"/>
      <c r="G659" s="919"/>
      <c r="H659" s="919"/>
      <c r="I659" s="919"/>
      <c r="J659" s="919"/>
      <c r="K659" s="919"/>
      <c r="L659" s="919"/>
      <c r="M659" s="919"/>
      <c r="N659" s="1484"/>
      <c r="O659" s="442"/>
    </row>
    <row r="660" spans="1:15" s="942" customFormat="1" ht="15.75" customHeight="1">
      <c r="A660" s="442"/>
      <c r="B660" s="442"/>
      <c r="C660" s="919"/>
      <c r="D660" s="919"/>
      <c r="E660" s="919"/>
      <c r="F660" s="919"/>
      <c r="G660" s="919"/>
      <c r="H660" s="919"/>
      <c r="I660" s="919"/>
      <c r="J660" s="919"/>
      <c r="K660" s="919"/>
      <c r="L660" s="919"/>
      <c r="M660" s="919"/>
      <c r="N660" s="1484"/>
      <c r="O660" s="442"/>
    </row>
    <row r="661" spans="1:15" s="942" customFormat="1" ht="15.75" customHeight="1">
      <c r="A661" s="442"/>
      <c r="B661" s="442"/>
      <c r="C661" s="919"/>
      <c r="D661" s="919"/>
      <c r="E661" s="919"/>
      <c r="F661" s="919"/>
      <c r="G661" s="919"/>
      <c r="H661" s="919"/>
      <c r="I661" s="919"/>
      <c r="J661" s="919"/>
      <c r="K661" s="919"/>
      <c r="L661" s="919"/>
      <c r="M661" s="919"/>
      <c r="N661" s="1484"/>
      <c r="O661" s="442"/>
    </row>
    <row r="662" spans="1:15" s="942" customFormat="1" ht="15.75" customHeight="1">
      <c r="A662" s="442"/>
      <c r="B662" s="442"/>
      <c r="C662" s="919"/>
      <c r="D662" s="919"/>
      <c r="E662" s="919"/>
      <c r="F662" s="919"/>
      <c r="G662" s="919"/>
      <c r="H662" s="919"/>
      <c r="I662" s="919"/>
      <c r="J662" s="919"/>
      <c r="K662" s="919"/>
      <c r="L662" s="919"/>
      <c r="M662" s="919"/>
      <c r="N662" s="1484"/>
      <c r="O662" s="442"/>
    </row>
    <row r="663" spans="1:15" s="942" customFormat="1" ht="15.75" customHeight="1">
      <c r="A663" s="442"/>
      <c r="B663" s="442"/>
      <c r="C663" s="919"/>
      <c r="D663" s="919"/>
      <c r="E663" s="919"/>
      <c r="F663" s="919"/>
      <c r="G663" s="919"/>
      <c r="H663" s="919"/>
      <c r="I663" s="919"/>
      <c r="J663" s="919"/>
      <c r="K663" s="919"/>
      <c r="L663" s="919"/>
      <c r="M663" s="919"/>
      <c r="N663" s="1484"/>
      <c r="O663" s="442"/>
    </row>
    <row r="664" spans="1:15" s="942" customFormat="1" ht="15.75" customHeight="1">
      <c r="A664" s="442"/>
      <c r="B664" s="442"/>
      <c r="C664" s="919"/>
      <c r="D664" s="919"/>
      <c r="E664" s="919"/>
      <c r="F664" s="919"/>
      <c r="G664" s="919"/>
      <c r="H664" s="919"/>
      <c r="I664" s="919"/>
      <c r="J664" s="919"/>
      <c r="K664" s="919"/>
      <c r="L664" s="919"/>
      <c r="M664" s="919"/>
      <c r="N664" s="1484"/>
      <c r="O664" s="442"/>
    </row>
    <row r="665" spans="1:15" s="942" customFormat="1" ht="15.75" customHeight="1">
      <c r="A665" s="442"/>
      <c r="B665" s="442"/>
      <c r="C665" s="919"/>
      <c r="D665" s="919"/>
      <c r="E665" s="919"/>
      <c r="F665" s="919"/>
      <c r="G665" s="919"/>
      <c r="H665" s="919"/>
      <c r="I665" s="919"/>
      <c r="J665" s="919"/>
      <c r="K665" s="919"/>
      <c r="L665" s="919"/>
      <c r="M665" s="919"/>
      <c r="N665" s="1484"/>
      <c r="O665" s="442"/>
    </row>
    <row r="666" spans="1:15" s="942" customFormat="1" ht="15.75" customHeight="1">
      <c r="A666" s="442"/>
      <c r="B666" s="442"/>
      <c r="C666" s="919"/>
      <c r="D666" s="919"/>
      <c r="E666" s="919"/>
      <c r="F666" s="919"/>
      <c r="G666" s="919"/>
      <c r="H666" s="919"/>
      <c r="I666" s="919"/>
      <c r="J666" s="919"/>
      <c r="K666" s="919"/>
      <c r="L666" s="919"/>
      <c r="M666" s="919"/>
      <c r="N666" s="1484"/>
      <c r="O666" s="442"/>
    </row>
    <row r="667" spans="1:15" s="942" customFormat="1" ht="15.75" customHeight="1">
      <c r="A667" s="442"/>
      <c r="B667" s="442"/>
      <c r="C667" s="919"/>
      <c r="D667" s="919"/>
      <c r="E667" s="919"/>
      <c r="F667" s="919"/>
      <c r="G667" s="919"/>
      <c r="H667" s="919"/>
      <c r="I667" s="919"/>
      <c r="J667" s="919"/>
      <c r="K667" s="919"/>
      <c r="L667" s="919"/>
      <c r="M667" s="919"/>
      <c r="N667" s="1484"/>
      <c r="O667" s="442"/>
    </row>
    <row r="668" spans="1:15" s="942" customFormat="1" ht="15.75" customHeight="1">
      <c r="A668" s="442"/>
      <c r="B668" s="442"/>
      <c r="C668" s="919"/>
      <c r="D668" s="919"/>
      <c r="E668" s="919"/>
      <c r="F668" s="919"/>
      <c r="G668" s="919"/>
      <c r="H668" s="919"/>
      <c r="I668" s="919"/>
      <c r="J668" s="919"/>
      <c r="K668" s="919"/>
      <c r="L668" s="919"/>
      <c r="M668" s="919"/>
      <c r="N668" s="1484"/>
      <c r="O668" s="442"/>
    </row>
    <row r="669" spans="1:15" s="942" customFormat="1" ht="15.75" customHeight="1">
      <c r="A669" s="442"/>
      <c r="B669" s="442"/>
      <c r="C669" s="919"/>
      <c r="D669" s="919"/>
      <c r="E669" s="919"/>
      <c r="F669" s="919"/>
      <c r="G669" s="919"/>
      <c r="H669" s="919"/>
      <c r="I669" s="919"/>
      <c r="J669" s="919"/>
      <c r="K669" s="919"/>
      <c r="L669" s="919"/>
      <c r="M669" s="919"/>
      <c r="N669" s="1484"/>
      <c r="O669" s="442"/>
    </row>
    <row r="670" spans="1:15" s="942" customFormat="1" ht="15.75" customHeight="1">
      <c r="A670" s="442"/>
      <c r="B670" s="442"/>
      <c r="C670" s="919"/>
      <c r="D670" s="919"/>
      <c r="E670" s="919"/>
      <c r="F670" s="919"/>
      <c r="G670" s="919"/>
      <c r="H670" s="919"/>
      <c r="I670" s="919"/>
      <c r="J670" s="919"/>
      <c r="K670" s="919"/>
      <c r="L670" s="919"/>
      <c r="M670" s="919"/>
      <c r="N670" s="1484"/>
      <c r="O670" s="442"/>
    </row>
    <row r="671" spans="1:15" s="942" customFormat="1" ht="15.75" customHeight="1">
      <c r="A671" s="442"/>
      <c r="B671" s="442"/>
      <c r="C671" s="919"/>
      <c r="D671" s="919"/>
      <c r="E671" s="919"/>
      <c r="F671" s="919"/>
      <c r="G671" s="919"/>
      <c r="H671" s="919"/>
      <c r="I671" s="919"/>
      <c r="J671" s="919"/>
      <c r="K671" s="919"/>
      <c r="L671" s="919"/>
      <c r="M671" s="919"/>
      <c r="N671" s="1484"/>
      <c r="O671" s="442"/>
    </row>
    <row r="672" spans="1:15" s="942" customFormat="1" ht="15.75" customHeight="1">
      <c r="A672" s="442"/>
      <c r="B672" s="442"/>
      <c r="C672" s="919"/>
      <c r="D672" s="919"/>
      <c r="E672" s="919"/>
      <c r="F672" s="919"/>
      <c r="G672" s="919"/>
      <c r="H672" s="919"/>
      <c r="I672" s="919"/>
      <c r="J672" s="919"/>
      <c r="K672" s="919"/>
      <c r="L672" s="919"/>
      <c r="M672" s="919"/>
      <c r="N672" s="1484"/>
      <c r="O672" s="442"/>
    </row>
    <row r="673" spans="1:15" s="942" customFormat="1" ht="15.75" customHeight="1">
      <c r="A673" s="442"/>
      <c r="B673" s="442"/>
      <c r="C673" s="919"/>
      <c r="D673" s="919"/>
      <c r="E673" s="919"/>
      <c r="F673" s="919"/>
      <c r="G673" s="919"/>
      <c r="H673" s="919"/>
      <c r="I673" s="919"/>
      <c r="J673" s="919"/>
      <c r="K673" s="919"/>
      <c r="L673" s="919"/>
      <c r="M673" s="919"/>
      <c r="N673" s="1484"/>
      <c r="O673" s="442"/>
    </row>
    <row r="674" spans="1:15" s="942" customFormat="1" ht="15.75" customHeight="1">
      <c r="A674" s="442"/>
      <c r="B674" s="442"/>
      <c r="C674" s="919"/>
      <c r="D674" s="919"/>
      <c r="E674" s="919"/>
      <c r="F674" s="919"/>
      <c r="G674" s="919"/>
      <c r="H674" s="919"/>
      <c r="I674" s="919"/>
      <c r="J674" s="919"/>
      <c r="K674" s="919"/>
      <c r="L674" s="919"/>
      <c r="M674" s="919"/>
      <c r="N674" s="1484"/>
      <c r="O674" s="442"/>
    </row>
    <row r="675" spans="1:15" s="942" customFormat="1" ht="15.75" customHeight="1">
      <c r="A675" s="442"/>
      <c r="B675" s="442"/>
      <c r="C675" s="919"/>
      <c r="D675" s="919"/>
      <c r="E675" s="919"/>
      <c r="F675" s="919"/>
      <c r="G675" s="919"/>
      <c r="H675" s="919"/>
      <c r="I675" s="919"/>
      <c r="J675" s="919"/>
      <c r="K675" s="919"/>
      <c r="L675" s="919"/>
      <c r="M675" s="919"/>
      <c r="N675" s="1484"/>
      <c r="O675" s="442"/>
    </row>
    <row r="676" spans="1:15" s="942" customFormat="1" ht="15.75" customHeight="1">
      <c r="A676" s="442"/>
      <c r="B676" s="442"/>
      <c r="C676" s="919"/>
      <c r="D676" s="919"/>
      <c r="E676" s="919"/>
      <c r="F676" s="919"/>
      <c r="G676" s="919"/>
      <c r="H676" s="919"/>
      <c r="I676" s="919"/>
      <c r="J676" s="919"/>
      <c r="K676" s="919"/>
      <c r="L676" s="919"/>
      <c r="M676" s="919"/>
      <c r="N676" s="1484"/>
      <c r="O676" s="442"/>
    </row>
    <row r="677" spans="1:15" s="942" customFormat="1" ht="15.75" customHeight="1">
      <c r="A677" s="442"/>
      <c r="B677" s="442"/>
      <c r="C677" s="919"/>
      <c r="D677" s="919"/>
      <c r="E677" s="919"/>
      <c r="F677" s="919"/>
      <c r="G677" s="919"/>
      <c r="H677" s="919"/>
      <c r="I677" s="919"/>
      <c r="J677" s="919"/>
      <c r="K677" s="919"/>
      <c r="L677" s="919"/>
      <c r="M677" s="919"/>
      <c r="N677" s="1484"/>
      <c r="O677" s="442"/>
    </row>
    <row r="678" spans="1:15" s="942" customFormat="1" ht="15.75" customHeight="1">
      <c r="A678" s="442"/>
      <c r="B678" s="442"/>
      <c r="C678" s="919"/>
      <c r="D678" s="919"/>
      <c r="E678" s="919"/>
      <c r="F678" s="919"/>
      <c r="G678" s="919"/>
      <c r="H678" s="919"/>
      <c r="I678" s="919"/>
      <c r="J678" s="919"/>
      <c r="K678" s="919"/>
      <c r="L678" s="919"/>
      <c r="M678" s="919"/>
      <c r="N678" s="1484"/>
      <c r="O678" s="442"/>
    </row>
    <row r="679" spans="1:15" s="942" customFormat="1" ht="15.75" customHeight="1">
      <c r="A679" s="442"/>
      <c r="B679" s="442"/>
      <c r="C679" s="919"/>
      <c r="D679" s="919"/>
      <c r="E679" s="919"/>
      <c r="F679" s="919"/>
      <c r="G679" s="919"/>
      <c r="H679" s="919"/>
      <c r="I679" s="919"/>
      <c r="J679" s="919"/>
      <c r="K679" s="919"/>
      <c r="L679" s="919"/>
      <c r="M679" s="919"/>
      <c r="N679" s="1484"/>
      <c r="O679" s="442"/>
    </row>
    <row r="680" spans="1:15" s="942" customFormat="1" ht="15.75" customHeight="1">
      <c r="A680" s="442"/>
      <c r="B680" s="442"/>
      <c r="C680" s="919"/>
      <c r="D680" s="919"/>
      <c r="E680" s="919"/>
      <c r="F680" s="919"/>
      <c r="G680" s="919"/>
      <c r="H680" s="919"/>
      <c r="I680" s="919"/>
      <c r="J680" s="919"/>
      <c r="K680" s="919"/>
      <c r="L680" s="919"/>
      <c r="M680" s="919"/>
      <c r="N680" s="1484"/>
      <c r="O680" s="442"/>
    </row>
    <row r="681" spans="1:15" s="942" customFormat="1" ht="15.75" customHeight="1">
      <c r="A681" s="442"/>
      <c r="B681" s="442"/>
      <c r="C681" s="919"/>
      <c r="D681" s="919"/>
      <c r="E681" s="919"/>
      <c r="F681" s="919"/>
      <c r="G681" s="919"/>
      <c r="H681" s="919"/>
      <c r="I681" s="919"/>
      <c r="J681" s="919"/>
      <c r="K681" s="919"/>
      <c r="L681" s="919"/>
      <c r="M681" s="919"/>
      <c r="N681" s="1484"/>
      <c r="O681" s="442"/>
    </row>
    <row r="682" spans="1:15" s="942" customFormat="1" ht="15.75" customHeight="1">
      <c r="A682" s="442"/>
      <c r="B682" s="442"/>
      <c r="C682" s="919"/>
      <c r="D682" s="919"/>
      <c r="E682" s="919"/>
      <c r="F682" s="919"/>
      <c r="G682" s="919"/>
      <c r="H682" s="919"/>
      <c r="I682" s="919"/>
      <c r="J682" s="919"/>
      <c r="K682" s="919"/>
      <c r="L682" s="919"/>
      <c r="M682" s="919"/>
      <c r="N682" s="1484"/>
      <c r="O682" s="442"/>
    </row>
    <row r="683" spans="1:15" s="942" customFormat="1" ht="15.75" customHeight="1">
      <c r="A683" s="442"/>
      <c r="B683" s="442"/>
      <c r="C683" s="919"/>
      <c r="D683" s="919"/>
      <c r="E683" s="919"/>
      <c r="F683" s="919"/>
      <c r="G683" s="919"/>
      <c r="H683" s="919"/>
      <c r="I683" s="919"/>
      <c r="J683" s="919"/>
      <c r="K683" s="919"/>
      <c r="L683" s="919"/>
      <c r="M683" s="919"/>
      <c r="N683" s="1484"/>
      <c r="O683" s="442"/>
    </row>
    <row r="684" spans="1:15" s="942" customFormat="1" ht="15.75" customHeight="1">
      <c r="A684" s="442"/>
      <c r="B684" s="442"/>
      <c r="C684" s="919"/>
      <c r="D684" s="919"/>
      <c r="E684" s="919"/>
      <c r="F684" s="919"/>
      <c r="G684" s="919"/>
      <c r="H684" s="919"/>
      <c r="I684" s="919"/>
      <c r="J684" s="919"/>
      <c r="K684" s="919"/>
      <c r="L684" s="919"/>
      <c r="M684" s="919"/>
      <c r="N684" s="1484"/>
      <c r="O684" s="442"/>
    </row>
    <row r="685" spans="1:15" s="942" customFormat="1" ht="15.75" customHeight="1">
      <c r="A685" s="442"/>
      <c r="B685" s="442"/>
      <c r="C685" s="919"/>
      <c r="D685" s="919"/>
      <c r="E685" s="919"/>
      <c r="F685" s="919"/>
      <c r="G685" s="919"/>
      <c r="H685" s="919"/>
      <c r="I685" s="919"/>
      <c r="J685" s="919"/>
      <c r="K685" s="919"/>
      <c r="L685" s="919"/>
      <c r="M685" s="919"/>
      <c r="N685" s="1484"/>
      <c r="O685" s="442"/>
    </row>
    <row r="686" spans="1:15" s="942" customFormat="1" ht="15.75" customHeight="1">
      <c r="A686" s="442"/>
      <c r="B686" s="442"/>
      <c r="C686" s="919"/>
      <c r="D686" s="919"/>
      <c r="E686" s="919"/>
      <c r="F686" s="919"/>
      <c r="G686" s="919"/>
      <c r="H686" s="919"/>
      <c r="I686" s="919"/>
      <c r="J686" s="919"/>
      <c r="K686" s="919"/>
      <c r="L686" s="919"/>
      <c r="M686" s="919"/>
      <c r="N686" s="1484"/>
      <c r="O686" s="442"/>
    </row>
    <row r="687" spans="1:15" s="942" customFormat="1" ht="15.75" customHeight="1">
      <c r="A687" s="442"/>
      <c r="B687" s="442"/>
      <c r="C687" s="919"/>
      <c r="D687" s="919"/>
      <c r="E687" s="919"/>
      <c r="F687" s="919"/>
      <c r="G687" s="919"/>
      <c r="H687" s="919"/>
      <c r="I687" s="919"/>
      <c r="J687" s="919"/>
      <c r="K687" s="919"/>
      <c r="L687" s="919"/>
      <c r="M687" s="919"/>
      <c r="N687" s="1484"/>
      <c r="O687" s="442"/>
    </row>
    <row r="688" spans="1:15" s="942" customFormat="1" ht="15.75" customHeight="1">
      <c r="A688" s="442"/>
      <c r="B688" s="442"/>
      <c r="C688" s="919"/>
      <c r="D688" s="919"/>
      <c r="E688" s="919"/>
      <c r="F688" s="919"/>
      <c r="G688" s="919"/>
      <c r="H688" s="919"/>
      <c r="I688" s="919"/>
      <c r="J688" s="919"/>
      <c r="K688" s="919"/>
      <c r="L688" s="919"/>
      <c r="M688" s="919"/>
      <c r="N688" s="1484"/>
      <c r="O688" s="442"/>
    </row>
    <row r="689" spans="1:15" s="942" customFormat="1" ht="15.75" customHeight="1">
      <c r="A689" s="442"/>
      <c r="B689" s="442"/>
      <c r="C689" s="919"/>
      <c r="D689" s="919"/>
      <c r="E689" s="919"/>
      <c r="F689" s="919"/>
      <c r="G689" s="919"/>
      <c r="H689" s="919"/>
      <c r="I689" s="919"/>
      <c r="J689" s="919"/>
      <c r="K689" s="919"/>
      <c r="L689" s="919"/>
      <c r="M689" s="919"/>
      <c r="N689" s="1484"/>
      <c r="O689" s="442"/>
    </row>
    <row r="690" spans="1:15" s="942" customFormat="1" ht="15.75" customHeight="1">
      <c r="A690" s="442"/>
      <c r="B690" s="442"/>
      <c r="C690" s="919"/>
      <c r="D690" s="919"/>
      <c r="E690" s="919"/>
      <c r="F690" s="919"/>
      <c r="G690" s="919"/>
      <c r="H690" s="919"/>
      <c r="I690" s="919"/>
      <c r="J690" s="919"/>
      <c r="K690" s="919"/>
      <c r="L690" s="919"/>
      <c r="M690" s="919"/>
      <c r="N690" s="1484"/>
      <c r="O690" s="442"/>
    </row>
    <row r="691" spans="1:15" s="942" customFormat="1" ht="15.75" customHeight="1">
      <c r="A691" s="442"/>
      <c r="B691" s="442"/>
      <c r="C691" s="919"/>
      <c r="D691" s="919"/>
      <c r="E691" s="919"/>
      <c r="F691" s="919"/>
      <c r="G691" s="919"/>
      <c r="H691" s="919"/>
      <c r="I691" s="919"/>
      <c r="J691" s="919"/>
      <c r="K691" s="919"/>
      <c r="L691" s="919"/>
      <c r="M691" s="919"/>
      <c r="N691" s="1484"/>
      <c r="O691" s="442"/>
    </row>
    <row r="692" spans="1:15" s="942" customFormat="1" ht="15.75" customHeight="1">
      <c r="A692" s="442"/>
      <c r="B692" s="442"/>
      <c r="C692" s="919"/>
      <c r="D692" s="919"/>
      <c r="E692" s="919"/>
      <c r="F692" s="919"/>
      <c r="G692" s="919"/>
      <c r="H692" s="919"/>
      <c r="I692" s="919"/>
      <c r="J692" s="919"/>
      <c r="K692" s="919"/>
      <c r="L692" s="919"/>
      <c r="M692" s="919"/>
      <c r="N692" s="1484"/>
      <c r="O692" s="442"/>
    </row>
    <row r="693" spans="1:15" s="942" customFormat="1" ht="15.75" customHeight="1">
      <c r="A693" s="442"/>
      <c r="B693" s="442"/>
      <c r="C693" s="919"/>
      <c r="D693" s="919"/>
      <c r="E693" s="919"/>
      <c r="F693" s="919"/>
      <c r="G693" s="919"/>
      <c r="H693" s="919"/>
      <c r="I693" s="919"/>
      <c r="J693" s="919"/>
      <c r="K693" s="919"/>
      <c r="L693" s="919"/>
      <c r="M693" s="919"/>
      <c r="N693" s="1484"/>
      <c r="O693" s="442"/>
    </row>
    <row r="694" spans="1:15" s="942" customFormat="1" ht="15.75" customHeight="1">
      <c r="A694" s="442"/>
      <c r="B694" s="442"/>
      <c r="C694" s="919"/>
      <c r="D694" s="919"/>
      <c r="E694" s="919"/>
      <c r="F694" s="919"/>
      <c r="G694" s="919"/>
      <c r="H694" s="919"/>
      <c r="I694" s="919"/>
      <c r="J694" s="919"/>
      <c r="K694" s="919"/>
      <c r="L694" s="919"/>
      <c r="M694" s="919"/>
      <c r="N694" s="1484"/>
      <c r="O694" s="442"/>
    </row>
    <row r="695" spans="1:15" s="942" customFormat="1" ht="15.75" customHeight="1">
      <c r="A695" s="442"/>
      <c r="B695" s="442"/>
      <c r="C695" s="919"/>
      <c r="D695" s="919"/>
      <c r="E695" s="919"/>
      <c r="F695" s="919"/>
      <c r="G695" s="919"/>
      <c r="H695" s="919"/>
      <c r="I695" s="919"/>
      <c r="J695" s="919"/>
      <c r="K695" s="919"/>
      <c r="L695" s="919"/>
      <c r="M695" s="919"/>
      <c r="N695" s="1484"/>
      <c r="O695" s="442"/>
    </row>
    <row r="696" spans="1:15" s="942" customFormat="1" ht="15.75" customHeight="1">
      <c r="A696" s="442"/>
      <c r="B696" s="442"/>
      <c r="C696" s="919"/>
      <c r="D696" s="919"/>
      <c r="E696" s="919"/>
      <c r="F696" s="919"/>
      <c r="G696" s="919"/>
      <c r="H696" s="919"/>
      <c r="I696" s="919"/>
      <c r="J696" s="919"/>
      <c r="K696" s="919"/>
      <c r="L696" s="919"/>
      <c r="M696" s="919"/>
      <c r="N696" s="1484"/>
      <c r="O696" s="442"/>
    </row>
    <row r="697" spans="1:15" s="942" customFormat="1" ht="15.75" customHeight="1">
      <c r="A697" s="442"/>
      <c r="B697" s="442"/>
      <c r="C697" s="919"/>
      <c r="D697" s="919"/>
      <c r="E697" s="919"/>
      <c r="F697" s="919"/>
      <c r="G697" s="919"/>
      <c r="H697" s="919"/>
      <c r="I697" s="919"/>
      <c r="J697" s="919"/>
      <c r="K697" s="919"/>
      <c r="L697" s="919"/>
      <c r="M697" s="919"/>
      <c r="N697" s="1484"/>
      <c r="O697" s="442"/>
    </row>
    <row r="698" spans="1:15" s="942" customFormat="1" ht="15.75" customHeight="1">
      <c r="A698" s="442"/>
      <c r="B698" s="442"/>
      <c r="C698" s="919"/>
      <c r="D698" s="919"/>
      <c r="E698" s="919"/>
      <c r="F698" s="919"/>
      <c r="G698" s="919"/>
      <c r="H698" s="919"/>
      <c r="I698" s="919"/>
      <c r="J698" s="919"/>
      <c r="K698" s="919"/>
      <c r="L698" s="919"/>
      <c r="M698" s="919"/>
      <c r="N698" s="1484"/>
      <c r="O698" s="442"/>
    </row>
    <row r="699" spans="1:15" s="942" customFormat="1" ht="15.75" customHeight="1">
      <c r="A699" s="442"/>
      <c r="B699" s="442"/>
      <c r="C699" s="442"/>
      <c r="D699" s="442"/>
      <c r="E699" s="442"/>
      <c r="F699" s="442"/>
      <c r="G699" s="442"/>
      <c r="H699" s="442"/>
      <c r="I699" s="442"/>
      <c r="J699" s="442"/>
      <c r="K699" s="442"/>
      <c r="L699" s="442"/>
      <c r="M699" s="442"/>
      <c r="N699" s="1484"/>
      <c r="O699" s="442"/>
    </row>
    <row r="700" spans="1:15" s="942" customFormat="1" ht="15.75" customHeight="1">
      <c r="A700" s="442"/>
      <c r="B700" s="442"/>
      <c r="C700" s="442"/>
      <c r="D700" s="442"/>
      <c r="E700" s="442"/>
      <c r="F700" s="442"/>
      <c r="G700" s="442"/>
      <c r="H700" s="442"/>
      <c r="I700" s="442"/>
      <c r="J700" s="442"/>
      <c r="K700" s="442"/>
      <c r="L700" s="442"/>
      <c r="M700" s="442"/>
      <c r="N700" s="1484"/>
      <c r="O700" s="442"/>
    </row>
    <row r="701" spans="1:15" s="942" customFormat="1" ht="15.75" customHeight="1">
      <c r="A701" s="442"/>
      <c r="B701" s="442"/>
      <c r="C701" s="442"/>
      <c r="D701" s="442"/>
      <c r="E701" s="442"/>
      <c r="F701" s="442"/>
      <c r="G701" s="442"/>
      <c r="H701" s="442"/>
      <c r="I701" s="442"/>
      <c r="J701" s="442"/>
      <c r="K701" s="442"/>
      <c r="L701" s="442"/>
      <c r="M701" s="442"/>
      <c r="N701" s="1484"/>
      <c r="O701" s="442"/>
    </row>
    <row r="702" spans="1:15" s="942" customFormat="1" ht="15.75" customHeight="1">
      <c r="A702" s="442"/>
      <c r="B702" s="442"/>
      <c r="C702" s="442"/>
      <c r="D702" s="442"/>
      <c r="E702" s="442"/>
      <c r="F702" s="442"/>
      <c r="G702" s="442"/>
      <c r="H702" s="442"/>
      <c r="I702" s="442"/>
      <c r="J702" s="442"/>
      <c r="K702" s="442"/>
      <c r="L702" s="442"/>
      <c r="M702" s="442"/>
      <c r="N702" s="1484"/>
      <c r="O702" s="442"/>
    </row>
    <row r="703" spans="1:15" s="942" customFormat="1" ht="15.75" customHeight="1">
      <c r="A703" s="442"/>
      <c r="B703" s="442"/>
      <c r="C703" s="442"/>
      <c r="D703" s="442"/>
      <c r="E703" s="442"/>
      <c r="F703" s="442"/>
      <c r="G703" s="442"/>
      <c r="H703" s="442"/>
      <c r="I703" s="442"/>
      <c r="J703" s="442"/>
      <c r="K703" s="442"/>
      <c r="L703" s="442"/>
      <c r="M703" s="442"/>
      <c r="N703" s="1484"/>
      <c r="O703" s="442"/>
    </row>
    <row r="704" spans="1:15" s="942" customFormat="1" ht="15.75" customHeight="1">
      <c r="A704" s="442"/>
      <c r="B704" s="442"/>
      <c r="C704" s="442"/>
      <c r="D704" s="442"/>
      <c r="E704" s="442"/>
      <c r="F704" s="442"/>
      <c r="G704" s="442"/>
      <c r="H704" s="442"/>
      <c r="I704" s="442"/>
      <c r="J704" s="442"/>
      <c r="K704" s="442"/>
      <c r="L704" s="442"/>
      <c r="M704" s="442"/>
      <c r="N704" s="1484"/>
      <c r="O704" s="442"/>
    </row>
    <row r="705" spans="1:15" s="942" customFormat="1" ht="15.75" customHeight="1">
      <c r="A705" s="442"/>
      <c r="B705" s="442"/>
      <c r="C705" s="442"/>
      <c r="D705" s="442"/>
      <c r="E705" s="442"/>
      <c r="F705" s="442"/>
      <c r="G705" s="442"/>
      <c r="H705" s="442"/>
      <c r="I705" s="442"/>
      <c r="J705" s="442"/>
      <c r="K705" s="442"/>
      <c r="L705" s="442"/>
      <c r="M705" s="442"/>
      <c r="N705" s="1484"/>
      <c r="O705" s="442"/>
    </row>
    <row r="706" spans="1:15" s="942" customFormat="1" ht="15.75" customHeight="1">
      <c r="A706" s="442"/>
      <c r="B706" s="442"/>
      <c r="C706" s="442"/>
      <c r="D706" s="442"/>
      <c r="E706" s="442"/>
      <c r="F706" s="442"/>
      <c r="G706" s="442"/>
      <c r="H706" s="442"/>
      <c r="I706" s="442"/>
      <c r="J706" s="442"/>
      <c r="K706" s="442"/>
      <c r="L706" s="442"/>
      <c r="M706" s="442"/>
      <c r="N706" s="1484"/>
      <c r="O706" s="442"/>
    </row>
    <row r="707" spans="1:15" s="942" customFormat="1" ht="15.75" customHeight="1">
      <c r="A707" s="442"/>
      <c r="B707" s="442"/>
      <c r="C707" s="442"/>
      <c r="D707" s="442"/>
      <c r="E707" s="442"/>
      <c r="F707" s="442"/>
      <c r="G707" s="442"/>
      <c r="H707" s="442"/>
      <c r="I707" s="442"/>
      <c r="J707" s="442"/>
      <c r="K707" s="442"/>
      <c r="L707" s="442"/>
      <c r="M707" s="442"/>
      <c r="N707" s="1484"/>
      <c r="O707" s="442"/>
    </row>
    <row r="708" spans="1:15" s="942" customFormat="1" ht="15.75" customHeight="1">
      <c r="A708" s="442"/>
      <c r="B708" s="442"/>
      <c r="C708" s="442"/>
      <c r="D708" s="442"/>
      <c r="E708" s="442"/>
      <c r="F708" s="442"/>
      <c r="G708" s="442"/>
      <c r="H708" s="442"/>
      <c r="I708" s="442"/>
      <c r="J708" s="442"/>
      <c r="K708" s="442"/>
      <c r="L708" s="442"/>
      <c r="M708" s="442"/>
      <c r="N708" s="1484"/>
      <c r="O708" s="442"/>
    </row>
    <row r="709" spans="1:15" s="942" customFormat="1" ht="15.75" customHeight="1">
      <c r="A709" s="442"/>
      <c r="B709" s="442"/>
      <c r="C709" s="442"/>
      <c r="D709" s="442"/>
      <c r="E709" s="442"/>
      <c r="F709" s="442"/>
      <c r="G709" s="442"/>
      <c r="H709" s="442"/>
      <c r="I709" s="442"/>
      <c r="J709" s="442"/>
      <c r="K709" s="442"/>
      <c r="L709" s="442"/>
      <c r="M709" s="442"/>
      <c r="N709" s="1484"/>
      <c r="O709" s="442"/>
    </row>
    <row r="710" spans="1:15" s="942" customFormat="1" ht="15.75" customHeight="1">
      <c r="A710" s="442"/>
      <c r="B710" s="442"/>
      <c r="C710" s="442"/>
      <c r="D710" s="442"/>
      <c r="E710" s="442"/>
      <c r="F710" s="442"/>
      <c r="G710" s="442"/>
      <c r="H710" s="442"/>
      <c r="I710" s="442"/>
      <c r="J710" s="442"/>
      <c r="K710" s="442"/>
      <c r="L710" s="442"/>
      <c r="M710" s="442"/>
      <c r="N710" s="1484"/>
      <c r="O710" s="442"/>
    </row>
    <row r="711" spans="1:15" s="942" customFormat="1" ht="15.75" customHeight="1">
      <c r="A711" s="442"/>
      <c r="B711" s="442"/>
      <c r="C711" s="442"/>
      <c r="D711" s="442"/>
      <c r="E711" s="442"/>
      <c r="F711" s="442"/>
      <c r="G711" s="442"/>
      <c r="H711" s="442"/>
      <c r="I711" s="442"/>
      <c r="J711" s="442"/>
      <c r="K711" s="442"/>
      <c r="L711" s="442"/>
      <c r="M711" s="442"/>
      <c r="N711" s="1484"/>
      <c r="O711" s="442"/>
    </row>
    <row r="712" spans="1:15" s="942" customFormat="1" ht="15.75" customHeight="1">
      <c r="A712" s="442"/>
      <c r="B712" s="442"/>
      <c r="C712" s="442"/>
      <c r="D712" s="442"/>
      <c r="E712" s="442"/>
      <c r="F712" s="442"/>
      <c r="G712" s="442"/>
      <c r="H712" s="442"/>
      <c r="I712" s="442"/>
      <c r="J712" s="442"/>
      <c r="K712" s="442"/>
      <c r="L712" s="442"/>
      <c r="M712" s="442"/>
      <c r="N712" s="1484"/>
      <c r="O712" s="442"/>
    </row>
    <row r="713" spans="1:15" s="942" customFormat="1" ht="15.75" customHeight="1">
      <c r="A713" s="442"/>
      <c r="B713" s="442"/>
      <c r="C713" s="442"/>
      <c r="D713" s="442"/>
      <c r="E713" s="442"/>
      <c r="F713" s="442"/>
      <c r="G713" s="442"/>
      <c r="H713" s="442"/>
      <c r="I713" s="442"/>
      <c r="J713" s="442"/>
      <c r="K713" s="442"/>
      <c r="L713" s="442"/>
      <c r="M713" s="442"/>
      <c r="N713" s="1484"/>
      <c r="O713" s="442"/>
    </row>
    <row r="714" spans="1:15" s="942" customFormat="1" ht="15.75" customHeight="1">
      <c r="A714" s="442"/>
      <c r="B714" s="442"/>
      <c r="C714" s="442"/>
      <c r="D714" s="442"/>
      <c r="E714" s="442"/>
      <c r="F714" s="442"/>
      <c r="G714" s="442"/>
      <c r="H714" s="442"/>
      <c r="I714" s="442"/>
      <c r="J714" s="442"/>
      <c r="K714" s="442"/>
      <c r="L714" s="442"/>
      <c r="M714" s="442"/>
      <c r="N714" s="1484"/>
      <c r="O714" s="442"/>
    </row>
    <row r="715" spans="1:15" s="942" customFormat="1" ht="15.75" customHeight="1">
      <c r="A715" s="442"/>
      <c r="B715" s="442"/>
      <c r="C715" s="442"/>
      <c r="D715" s="442"/>
      <c r="E715" s="442"/>
      <c r="F715" s="442"/>
      <c r="G715" s="442"/>
      <c r="H715" s="442"/>
      <c r="I715" s="442"/>
      <c r="J715" s="442"/>
      <c r="K715" s="442"/>
      <c r="L715" s="442"/>
      <c r="M715" s="442"/>
      <c r="N715" s="1484"/>
      <c r="O715" s="442"/>
    </row>
    <row r="716" spans="1:15" s="942" customFormat="1" ht="15.75" customHeight="1">
      <c r="A716" s="442"/>
      <c r="B716" s="442"/>
      <c r="C716" s="442"/>
      <c r="D716" s="442"/>
      <c r="E716" s="442"/>
      <c r="F716" s="442"/>
      <c r="G716" s="442"/>
      <c r="H716" s="442"/>
      <c r="I716" s="442"/>
      <c r="J716" s="442"/>
      <c r="K716" s="442"/>
      <c r="L716" s="442"/>
      <c r="M716" s="442"/>
      <c r="N716" s="1484"/>
      <c r="O716" s="442"/>
    </row>
    <row r="717" spans="1:15" s="942" customFormat="1" ht="15.75" customHeight="1">
      <c r="A717" s="442"/>
      <c r="B717" s="442"/>
      <c r="C717" s="442"/>
      <c r="D717" s="442"/>
      <c r="E717" s="442"/>
      <c r="F717" s="442"/>
      <c r="G717" s="442"/>
      <c r="H717" s="442"/>
      <c r="I717" s="442"/>
      <c r="J717" s="442"/>
      <c r="K717" s="442"/>
      <c r="L717" s="442"/>
      <c r="M717" s="442"/>
      <c r="N717" s="1484"/>
      <c r="O717" s="442"/>
    </row>
    <row r="718" spans="1:15" s="942" customFormat="1" ht="15.75" customHeight="1">
      <c r="A718" s="442"/>
      <c r="B718" s="442"/>
      <c r="C718" s="442"/>
      <c r="D718" s="442"/>
      <c r="E718" s="442"/>
      <c r="F718" s="442"/>
      <c r="G718" s="442"/>
      <c r="H718" s="442"/>
      <c r="I718" s="442"/>
      <c r="J718" s="442"/>
      <c r="K718" s="442"/>
      <c r="L718" s="442"/>
      <c r="M718" s="442"/>
      <c r="N718" s="1484"/>
      <c r="O718" s="442"/>
    </row>
    <row r="719" spans="1:15" s="942" customFormat="1" ht="15.75" customHeight="1">
      <c r="A719" s="442"/>
      <c r="B719" s="442"/>
      <c r="C719" s="442"/>
      <c r="D719" s="442"/>
      <c r="E719" s="442"/>
      <c r="F719" s="442"/>
      <c r="G719" s="442"/>
      <c r="H719" s="442"/>
      <c r="I719" s="442"/>
      <c r="J719" s="442"/>
      <c r="K719" s="442"/>
      <c r="L719" s="442"/>
      <c r="M719" s="442"/>
      <c r="N719" s="1484"/>
      <c r="O719" s="442"/>
    </row>
    <row r="720" spans="1:15" s="942" customFormat="1" ht="15.75" customHeight="1">
      <c r="A720" s="442"/>
      <c r="B720" s="442"/>
      <c r="C720" s="442"/>
      <c r="D720" s="442"/>
      <c r="E720" s="442"/>
      <c r="F720" s="442"/>
      <c r="G720" s="442"/>
      <c r="H720" s="442"/>
      <c r="I720" s="442"/>
      <c r="J720" s="442"/>
      <c r="K720" s="442"/>
      <c r="L720" s="442"/>
      <c r="M720" s="442"/>
      <c r="N720" s="1484"/>
      <c r="O720" s="442"/>
    </row>
    <row r="721" spans="1:15" s="942" customFormat="1" ht="15.75" customHeight="1">
      <c r="A721" s="442"/>
      <c r="B721" s="442"/>
      <c r="C721" s="442"/>
      <c r="D721" s="442"/>
      <c r="E721" s="442"/>
      <c r="F721" s="442"/>
      <c r="G721" s="442"/>
      <c r="H721" s="442"/>
      <c r="I721" s="442"/>
      <c r="J721" s="442"/>
      <c r="K721" s="442"/>
      <c r="L721" s="442"/>
      <c r="M721" s="442"/>
      <c r="N721" s="1484"/>
      <c r="O721" s="442"/>
    </row>
    <row r="722" spans="1:15" s="942" customFormat="1" ht="15.75" customHeight="1">
      <c r="A722" s="442"/>
      <c r="B722" s="442"/>
      <c r="C722" s="442"/>
      <c r="D722" s="442"/>
      <c r="E722" s="442"/>
      <c r="F722" s="442"/>
      <c r="G722" s="442"/>
      <c r="H722" s="442"/>
      <c r="I722" s="442"/>
      <c r="J722" s="442"/>
      <c r="K722" s="442"/>
      <c r="L722" s="442"/>
      <c r="M722" s="442"/>
      <c r="N722" s="1484"/>
      <c r="O722" s="442"/>
    </row>
    <row r="723" spans="1:15" s="942" customFormat="1" ht="15.75" customHeight="1">
      <c r="A723" s="442"/>
      <c r="B723" s="442"/>
      <c r="C723" s="442"/>
      <c r="D723" s="442"/>
      <c r="E723" s="442"/>
      <c r="F723" s="442"/>
      <c r="G723" s="442"/>
      <c r="H723" s="442"/>
      <c r="I723" s="442"/>
      <c r="J723" s="442"/>
      <c r="K723" s="442"/>
      <c r="L723" s="442"/>
      <c r="M723" s="442"/>
      <c r="N723" s="1484"/>
      <c r="O723" s="442"/>
    </row>
    <row r="724" spans="1:15" s="942" customFormat="1" ht="15.75" customHeight="1">
      <c r="A724" s="442"/>
      <c r="B724" s="442"/>
      <c r="C724" s="442"/>
      <c r="D724" s="442"/>
      <c r="E724" s="442"/>
      <c r="F724" s="442"/>
      <c r="G724" s="442"/>
      <c r="H724" s="442"/>
      <c r="I724" s="442"/>
      <c r="J724" s="442"/>
      <c r="K724" s="442"/>
      <c r="L724" s="442"/>
      <c r="M724" s="442"/>
      <c r="N724" s="1484"/>
      <c r="O724" s="442"/>
    </row>
    <row r="725" spans="1:15" s="942" customFormat="1" ht="15.75" customHeight="1">
      <c r="A725" s="442"/>
      <c r="B725" s="442"/>
      <c r="C725" s="442"/>
      <c r="D725" s="442"/>
      <c r="E725" s="442"/>
      <c r="F725" s="442"/>
      <c r="G725" s="442"/>
      <c r="H725" s="442"/>
      <c r="I725" s="442"/>
      <c r="J725" s="442"/>
      <c r="K725" s="442"/>
      <c r="L725" s="442"/>
      <c r="M725" s="442"/>
      <c r="N725" s="1484"/>
      <c r="O725" s="442"/>
    </row>
    <row r="726" spans="1:15" s="942" customFormat="1" ht="15.75" customHeight="1">
      <c r="A726" s="442"/>
      <c r="B726" s="442"/>
      <c r="C726" s="442"/>
      <c r="D726" s="442"/>
      <c r="E726" s="442"/>
      <c r="F726" s="442"/>
      <c r="G726" s="442"/>
      <c r="H726" s="442"/>
      <c r="I726" s="442"/>
      <c r="J726" s="442"/>
      <c r="K726" s="442"/>
      <c r="L726" s="442"/>
      <c r="M726" s="442"/>
      <c r="N726" s="1484"/>
      <c r="O726" s="442"/>
    </row>
    <row r="727" spans="1:15" s="942" customFormat="1" ht="15.75" customHeight="1">
      <c r="A727" s="442"/>
      <c r="B727" s="442"/>
      <c r="C727" s="442"/>
      <c r="D727" s="442"/>
      <c r="E727" s="442"/>
      <c r="F727" s="442"/>
      <c r="G727" s="442"/>
      <c r="H727" s="442"/>
      <c r="I727" s="442"/>
      <c r="J727" s="442"/>
      <c r="K727" s="442"/>
      <c r="L727" s="442"/>
      <c r="M727" s="442"/>
      <c r="N727" s="1484"/>
      <c r="O727" s="442"/>
    </row>
    <row r="728" spans="1:15" s="942" customFormat="1" ht="15.75" customHeight="1">
      <c r="A728" s="442"/>
      <c r="B728" s="442"/>
      <c r="C728" s="442"/>
      <c r="D728" s="442"/>
      <c r="E728" s="442"/>
      <c r="F728" s="442"/>
      <c r="G728" s="442"/>
      <c r="H728" s="442"/>
      <c r="I728" s="442"/>
      <c r="J728" s="442"/>
      <c r="K728" s="442"/>
      <c r="L728" s="442"/>
      <c r="M728" s="442"/>
      <c r="N728" s="1484"/>
      <c r="O728" s="442"/>
    </row>
    <row r="729" spans="1:15" s="942" customFormat="1" ht="15.75" customHeight="1">
      <c r="A729" s="442"/>
      <c r="B729" s="442"/>
      <c r="C729" s="442"/>
      <c r="D729" s="442"/>
      <c r="E729" s="442"/>
      <c r="F729" s="442"/>
      <c r="G729" s="442"/>
      <c r="H729" s="442"/>
      <c r="I729" s="442"/>
      <c r="J729" s="442"/>
      <c r="K729" s="442"/>
      <c r="L729" s="442"/>
      <c r="M729" s="442"/>
      <c r="N729" s="1484"/>
      <c r="O729" s="442"/>
    </row>
    <row r="730" spans="1:15" s="942" customFormat="1" ht="15.75" customHeight="1">
      <c r="A730" s="442"/>
      <c r="B730" s="442"/>
      <c r="C730" s="442"/>
      <c r="D730" s="442"/>
      <c r="E730" s="442"/>
      <c r="F730" s="442"/>
      <c r="G730" s="442"/>
      <c r="H730" s="442"/>
      <c r="I730" s="442"/>
      <c r="J730" s="442"/>
      <c r="K730" s="442"/>
      <c r="L730" s="442"/>
      <c r="M730" s="442"/>
      <c r="N730" s="1484"/>
      <c r="O730" s="442"/>
    </row>
    <row r="731" spans="1:15" s="942" customFormat="1" ht="15.75" customHeight="1">
      <c r="A731" s="442"/>
      <c r="B731" s="442"/>
      <c r="C731" s="442"/>
      <c r="D731" s="442"/>
      <c r="E731" s="442"/>
      <c r="F731" s="442"/>
      <c r="G731" s="442"/>
      <c r="H731" s="442"/>
      <c r="I731" s="442"/>
      <c r="J731" s="442"/>
      <c r="K731" s="442"/>
      <c r="L731" s="442"/>
      <c r="M731" s="442"/>
      <c r="N731" s="1484"/>
      <c r="O731" s="442"/>
    </row>
    <row r="732" spans="1:15" s="942" customFormat="1" ht="15.75" customHeight="1">
      <c r="A732" s="442"/>
      <c r="B732" s="442"/>
      <c r="C732" s="442"/>
      <c r="D732" s="442"/>
      <c r="E732" s="442"/>
      <c r="F732" s="442"/>
      <c r="G732" s="442"/>
      <c r="H732" s="442"/>
      <c r="I732" s="442"/>
      <c r="J732" s="442"/>
      <c r="K732" s="442"/>
      <c r="L732" s="442"/>
      <c r="M732" s="442"/>
      <c r="N732" s="1484"/>
      <c r="O732" s="442"/>
    </row>
    <row r="733" spans="1:15" s="942" customFormat="1" ht="15.75" customHeight="1">
      <c r="A733" s="442"/>
      <c r="B733" s="442"/>
      <c r="C733" s="442"/>
      <c r="D733" s="442"/>
      <c r="E733" s="442"/>
      <c r="F733" s="442"/>
      <c r="G733" s="442"/>
      <c r="H733" s="442"/>
      <c r="I733" s="442"/>
      <c r="J733" s="442"/>
      <c r="K733" s="442"/>
      <c r="L733" s="442"/>
      <c r="M733" s="442"/>
      <c r="N733" s="1484"/>
      <c r="O733" s="442"/>
    </row>
    <row r="734" spans="1:15" s="942" customFormat="1" ht="15.75" customHeight="1">
      <c r="A734" s="442"/>
      <c r="B734" s="442"/>
      <c r="C734" s="442"/>
      <c r="D734" s="442"/>
      <c r="E734" s="442"/>
      <c r="F734" s="442"/>
      <c r="G734" s="442"/>
      <c r="H734" s="442"/>
      <c r="I734" s="442"/>
      <c r="J734" s="442"/>
      <c r="K734" s="442"/>
      <c r="L734" s="442"/>
      <c r="M734" s="442"/>
      <c r="N734" s="1484"/>
      <c r="O734" s="442"/>
    </row>
    <row r="735" spans="1:15" s="942" customFormat="1" ht="15.75" customHeight="1">
      <c r="A735" s="442"/>
      <c r="B735" s="442"/>
      <c r="C735" s="442"/>
      <c r="D735" s="442"/>
      <c r="E735" s="442"/>
      <c r="F735" s="442"/>
      <c r="G735" s="442"/>
      <c r="H735" s="442"/>
      <c r="I735" s="442"/>
      <c r="J735" s="442"/>
      <c r="K735" s="442"/>
      <c r="L735" s="442"/>
      <c r="M735" s="442"/>
      <c r="N735" s="1484"/>
      <c r="O735" s="442"/>
    </row>
    <row r="736" spans="1:15" s="942" customFormat="1" ht="15.75" customHeight="1">
      <c r="A736" s="442"/>
      <c r="B736" s="442"/>
      <c r="C736" s="442"/>
      <c r="D736" s="442"/>
      <c r="E736" s="442"/>
      <c r="F736" s="442"/>
      <c r="G736" s="442"/>
      <c r="H736" s="442"/>
      <c r="I736" s="442"/>
      <c r="J736" s="442"/>
      <c r="K736" s="442"/>
      <c r="L736" s="442"/>
      <c r="M736" s="442"/>
      <c r="N736" s="1484"/>
      <c r="O736" s="442"/>
    </row>
    <row r="737" spans="1:15" s="942" customFormat="1" ht="15.75" customHeight="1">
      <c r="A737" s="442"/>
      <c r="B737" s="442"/>
      <c r="C737" s="442"/>
      <c r="D737" s="442"/>
      <c r="E737" s="442"/>
      <c r="F737" s="442"/>
      <c r="G737" s="442"/>
      <c r="H737" s="442"/>
      <c r="I737" s="442"/>
      <c r="J737" s="442"/>
      <c r="K737" s="442"/>
      <c r="L737" s="442"/>
      <c r="M737" s="442"/>
      <c r="N737" s="1484"/>
      <c r="O737" s="442"/>
    </row>
    <row r="738" spans="1:15" s="942" customFormat="1" ht="15.75" customHeight="1">
      <c r="A738" s="442"/>
      <c r="B738" s="442"/>
      <c r="C738" s="442"/>
      <c r="D738" s="442"/>
      <c r="E738" s="442"/>
      <c r="F738" s="442"/>
      <c r="G738" s="442"/>
      <c r="H738" s="442"/>
      <c r="I738" s="442"/>
      <c r="J738" s="442"/>
      <c r="K738" s="442"/>
      <c r="L738" s="442"/>
      <c r="M738" s="442"/>
      <c r="N738" s="1484"/>
      <c r="O738" s="442"/>
    </row>
    <row r="739" spans="1:15" s="942" customFormat="1" ht="15.75" customHeight="1">
      <c r="A739" s="442"/>
      <c r="B739" s="442"/>
      <c r="C739" s="442"/>
      <c r="D739" s="442"/>
      <c r="E739" s="442"/>
      <c r="F739" s="442"/>
      <c r="G739" s="442"/>
      <c r="H739" s="442"/>
      <c r="I739" s="442"/>
      <c r="J739" s="442"/>
      <c r="K739" s="442"/>
      <c r="L739" s="442"/>
      <c r="M739" s="442"/>
      <c r="N739" s="1484"/>
      <c r="O739" s="442"/>
    </row>
    <row r="740" spans="1:15" s="942" customFormat="1" ht="15.75" customHeight="1">
      <c r="A740" s="442"/>
      <c r="B740" s="442"/>
      <c r="C740" s="442"/>
      <c r="D740" s="442"/>
      <c r="E740" s="442"/>
      <c r="F740" s="442"/>
      <c r="G740" s="442"/>
      <c r="H740" s="442"/>
      <c r="I740" s="442"/>
      <c r="J740" s="442"/>
      <c r="K740" s="442"/>
      <c r="L740" s="442"/>
      <c r="M740" s="442"/>
      <c r="N740" s="1484"/>
      <c r="O740" s="442"/>
    </row>
    <row r="741" spans="1:15" s="942" customFormat="1" ht="15.75" customHeight="1">
      <c r="A741" s="442"/>
      <c r="B741" s="442"/>
      <c r="C741" s="442"/>
      <c r="D741" s="442"/>
      <c r="E741" s="442"/>
      <c r="F741" s="442"/>
      <c r="G741" s="442"/>
      <c r="H741" s="442"/>
      <c r="I741" s="442"/>
      <c r="J741" s="442"/>
      <c r="K741" s="442"/>
      <c r="L741" s="442"/>
      <c r="M741" s="442"/>
      <c r="N741" s="1484"/>
      <c r="O741" s="442"/>
    </row>
    <row r="742" spans="1:15" s="942" customFormat="1" ht="15.75" customHeight="1">
      <c r="A742" s="442"/>
      <c r="B742" s="442"/>
      <c r="C742" s="442"/>
      <c r="D742" s="442"/>
      <c r="E742" s="442"/>
      <c r="F742" s="442"/>
      <c r="G742" s="442"/>
      <c r="H742" s="442"/>
      <c r="I742" s="442"/>
      <c r="J742" s="442"/>
      <c r="K742" s="442"/>
      <c r="L742" s="442"/>
      <c r="M742" s="442"/>
      <c r="N742" s="1484"/>
      <c r="O742" s="442"/>
    </row>
    <row r="743" spans="1:15" s="942" customFormat="1" ht="15.75" customHeight="1">
      <c r="A743" s="442"/>
      <c r="B743" s="442"/>
      <c r="C743" s="442"/>
      <c r="D743" s="442"/>
      <c r="E743" s="442"/>
      <c r="F743" s="442"/>
      <c r="G743" s="442"/>
      <c r="H743" s="442"/>
      <c r="I743" s="442"/>
      <c r="J743" s="442"/>
      <c r="K743" s="442"/>
      <c r="L743" s="442"/>
      <c r="M743" s="442"/>
      <c r="N743" s="1484"/>
      <c r="O743" s="442"/>
    </row>
    <row r="744" spans="1:15" s="942" customFormat="1" ht="15.75" customHeight="1">
      <c r="A744" s="442"/>
      <c r="B744" s="442"/>
      <c r="C744" s="442"/>
      <c r="D744" s="442"/>
      <c r="E744" s="442"/>
      <c r="F744" s="442"/>
      <c r="G744" s="442"/>
      <c r="H744" s="442"/>
      <c r="I744" s="442"/>
      <c r="J744" s="442"/>
      <c r="K744" s="442"/>
      <c r="L744" s="442"/>
      <c r="M744" s="442"/>
      <c r="N744" s="1484"/>
      <c r="O744" s="442"/>
    </row>
    <row r="745" spans="1:15" s="942" customFormat="1" ht="15.75" customHeight="1">
      <c r="A745" s="442"/>
      <c r="B745" s="442"/>
      <c r="C745" s="442"/>
      <c r="D745" s="442"/>
      <c r="E745" s="442"/>
      <c r="F745" s="442"/>
      <c r="G745" s="442"/>
      <c r="H745" s="442"/>
      <c r="I745" s="442"/>
      <c r="J745" s="442"/>
      <c r="K745" s="442"/>
      <c r="L745" s="442"/>
      <c r="M745" s="442"/>
      <c r="N745" s="1484"/>
      <c r="O745" s="442"/>
    </row>
    <row r="746" spans="1:15" s="942" customFormat="1" ht="15.75" customHeight="1">
      <c r="A746" s="442"/>
      <c r="B746" s="442"/>
      <c r="C746" s="442"/>
      <c r="D746" s="442"/>
      <c r="E746" s="442"/>
      <c r="F746" s="442"/>
      <c r="G746" s="442"/>
      <c r="H746" s="442"/>
      <c r="I746" s="442"/>
      <c r="J746" s="442"/>
      <c r="K746" s="442"/>
      <c r="L746" s="442"/>
      <c r="M746" s="442"/>
      <c r="N746" s="1484"/>
      <c r="O746" s="442"/>
    </row>
    <row r="747" spans="1:15" s="942" customFormat="1" ht="15.75" customHeight="1">
      <c r="A747" s="442"/>
      <c r="B747" s="442"/>
      <c r="C747" s="442"/>
      <c r="D747" s="442"/>
      <c r="E747" s="442"/>
      <c r="F747" s="442"/>
      <c r="G747" s="442"/>
      <c r="H747" s="442"/>
      <c r="I747" s="442"/>
      <c r="J747" s="442"/>
      <c r="K747" s="442"/>
      <c r="L747" s="442"/>
      <c r="M747" s="442"/>
      <c r="N747" s="1484"/>
      <c r="O747" s="442"/>
    </row>
    <row r="748" spans="1:15" s="942" customFormat="1" ht="15.75" customHeight="1">
      <c r="A748" s="442"/>
      <c r="B748" s="442"/>
      <c r="C748" s="442"/>
      <c r="D748" s="442"/>
      <c r="E748" s="442"/>
      <c r="F748" s="442"/>
      <c r="G748" s="442"/>
      <c r="H748" s="442"/>
      <c r="I748" s="442"/>
      <c r="J748" s="442"/>
      <c r="K748" s="442"/>
      <c r="L748" s="442"/>
      <c r="M748" s="442"/>
      <c r="N748" s="1484"/>
      <c r="O748" s="442"/>
    </row>
    <row r="749" spans="1:15" s="942" customFormat="1" ht="15.75" customHeight="1">
      <c r="A749" s="442"/>
      <c r="B749" s="442"/>
      <c r="C749" s="442"/>
      <c r="D749" s="442"/>
      <c r="E749" s="442"/>
      <c r="F749" s="442"/>
      <c r="G749" s="442"/>
      <c r="H749" s="442"/>
      <c r="I749" s="442"/>
      <c r="J749" s="442"/>
      <c r="K749" s="442"/>
      <c r="L749" s="442"/>
      <c r="M749" s="442"/>
      <c r="N749" s="1484"/>
      <c r="O749" s="442"/>
    </row>
    <row r="750" spans="1:15" s="942" customFormat="1" ht="15.75" customHeight="1">
      <c r="A750" s="442"/>
      <c r="B750" s="442"/>
      <c r="C750" s="442"/>
      <c r="D750" s="442"/>
      <c r="E750" s="442"/>
      <c r="F750" s="442"/>
      <c r="G750" s="442"/>
      <c r="H750" s="442"/>
      <c r="I750" s="442"/>
      <c r="J750" s="442"/>
      <c r="K750" s="442"/>
      <c r="L750" s="442"/>
      <c r="M750" s="442"/>
      <c r="N750" s="1484"/>
      <c r="O750" s="442"/>
    </row>
    <row r="751" spans="1:15" s="942" customFormat="1" ht="15.75" customHeight="1">
      <c r="A751" s="442"/>
      <c r="B751" s="442"/>
      <c r="C751" s="442"/>
      <c r="D751" s="442"/>
      <c r="E751" s="442"/>
      <c r="F751" s="442"/>
      <c r="G751" s="442"/>
      <c r="H751" s="442"/>
      <c r="I751" s="442"/>
      <c r="J751" s="442"/>
      <c r="K751" s="442"/>
      <c r="L751" s="442"/>
      <c r="M751" s="442"/>
      <c r="N751" s="1484"/>
      <c r="O751" s="442"/>
    </row>
    <row r="752" spans="1:15" s="942" customFormat="1" ht="15.75" customHeight="1">
      <c r="A752" s="442"/>
      <c r="B752" s="442"/>
      <c r="C752" s="442"/>
      <c r="D752" s="442"/>
      <c r="E752" s="442"/>
      <c r="F752" s="442"/>
      <c r="G752" s="442"/>
      <c r="H752" s="442"/>
      <c r="I752" s="442"/>
      <c r="J752" s="442"/>
      <c r="K752" s="442"/>
      <c r="L752" s="442"/>
      <c r="M752" s="442"/>
      <c r="N752" s="1484"/>
      <c r="O752" s="442"/>
    </row>
    <row r="753" spans="1:15" s="942" customFormat="1" ht="15.75" customHeight="1">
      <c r="A753" s="442"/>
      <c r="B753" s="442"/>
      <c r="C753" s="442"/>
      <c r="D753" s="442"/>
      <c r="E753" s="442"/>
      <c r="F753" s="442"/>
      <c r="G753" s="442"/>
      <c r="H753" s="442"/>
      <c r="I753" s="442"/>
      <c r="J753" s="442"/>
      <c r="K753" s="442"/>
      <c r="L753" s="442"/>
      <c r="M753" s="442"/>
      <c r="N753" s="1484"/>
      <c r="O753" s="442"/>
    </row>
    <row r="754" spans="1:15" s="942" customFormat="1" ht="15.75" customHeight="1">
      <c r="A754" s="442"/>
      <c r="B754" s="442"/>
      <c r="C754" s="442"/>
      <c r="D754" s="442"/>
      <c r="E754" s="442"/>
      <c r="F754" s="442"/>
      <c r="G754" s="442"/>
      <c r="H754" s="442"/>
      <c r="I754" s="442"/>
      <c r="J754" s="442"/>
      <c r="K754" s="442"/>
      <c r="L754" s="442"/>
      <c r="M754" s="442"/>
      <c r="N754" s="1484"/>
      <c r="O754" s="442"/>
    </row>
    <row r="755" spans="1:15" s="942" customFormat="1" ht="15.75" customHeight="1">
      <c r="A755" s="442"/>
      <c r="B755" s="442"/>
      <c r="C755" s="442"/>
      <c r="D755" s="442"/>
      <c r="E755" s="442"/>
      <c r="F755" s="442"/>
      <c r="G755" s="442"/>
      <c r="H755" s="442"/>
      <c r="I755" s="442"/>
      <c r="J755" s="442"/>
      <c r="K755" s="442"/>
      <c r="L755" s="442"/>
      <c r="M755" s="442"/>
      <c r="N755" s="1484"/>
      <c r="O755" s="442"/>
    </row>
    <row r="756" spans="1:15" s="942" customFormat="1" ht="15.75" customHeight="1">
      <c r="A756" s="442"/>
      <c r="B756" s="442"/>
      <c r="C756" s="442"/>
      <c r="D756" s="442"/>
      <c r="E756" s="442"/>
      <c r="F756" s="442"/>
      <c r="G756" s="442"/>
      <c r="H756" s="442"/>
      <c r="I756" s="442"/>
      <c r="J756" s="442"/>
      <c r="K756" s="442"/>
      <c r="L756" s="442"/>
      <c r="M756" s="442"/>
      <c r="N756" s="1484"/>
      <c r="O756" s="442"/>
    </row>
    <row r="757" spans="1:15" s="942" customFormat="1" ht="15.75" customHeight="1">
      <c r="A757" s="442"/>
      <c r="B757" s="442"/>
      <c r="C757" s="442"/>
      <c r="D757" s="442"/>
      <c r="E757" s="442"/>
      <c r="F757" s="442"/>
      <c r="G757" s="442"/>
      <c r="H757" s="442"/>
      <c r="I757" s="442"/>
      <c r="J757" s="442"/>
      <c r="K757" s="442"/>
      <c r="L757" s="442"/>
      <c r="M757" s="442"/>
      <c r="N757" s="1484"/>
      <c r="O757" s="442"/>
    </row>
    <row r="758" spans="1:15" s="942" customFormat="1" ht="15.75" customHeight="1">
      <c r="A758" s="442"/>
      <c r="B758" s="442"/>
      <c r="C758" s="442"/>
      <c r="D758" s="442"/>
      <c r="E758" s="442"/>
      <c r="F758" s="442"/>
      <c r="G758" s="442"/>
      <c r="H758" s="442"/>
      <c r="I758" s="442"/>
      <c r="J758" s="442"/>
      <c r="K758" s="442"/>
      <c r="L758" s="442"/>
      <c r="M758" s="442"/>
      <c r="N758" s="1484"/>
      <c r="O758" s="442"/>
    </row>
    <row r="759" spans="1:15" s="942" customFormat="1" ht="15.75" customHeight="1">
      <c r="A759" s="442"/>
      <c r="B759" s="442"/>
      <c r="C759" s="442"/>
      <c r="D759" s="442"/>
      <c r="E759" s="442"/>
      <c r="F759" s="442"/>
      <c r="G759" s="442"/>
      <c r="H759" s="442"/>
      <c r="I759" s="442"/>
      <c r="J759" s="442"/>
      <c r="K759" s="442"/>
      <c r="L759" s="442"/>
      <c r="M759" s="442"/>
      <c r="N759" s="1484"/>
      <c r="O759" s="442"/>
    </row>
    <row r="760" spans="1:15" s="942" customFormat="1" ht="15.75" customHeight="1">
      <c r="A760" s="442"/>
      <c r="B760" s="442"/>
      <c r="C760" s="442"/>
      <c r="D760" s="442"/>
      <c r="E760" s="442"/>
      <c r="F760" s="442"/>
      <c r="G760" s="442"/>
      <c r="H760" s="442"/>
      <c r="I760" s="442"/>
      <c r="J760" s="442"/>
      <c r="K760" s="442"/>
      <c r="L760" s="442"/>
      <c r="M760" s="442"/>
      <c r="N760" s="1484"/>
      <c r="O760" s="442"/>
    </row>
    <row r="761" spans="1:15" s="942" customFormat="1" ht="15.75" customHeight="1">
      <c r="A761" s="442"/>
      <c r="B761" s="442"/>
      <c r="C761" s="442"/>
      <c r="D761" s="442"/>
      <c r="E761" s="442"/>
      <c r="F761" s="442"/>
      <c r="G761" s="442"/>
      <c r="H761" s="442"/>
      <c r="I761" s="442"/>
      <c r="J761" s="442"/>
      <c r="K761" s="442"/>
      <c r="L761" s="442"/>
      <c r="M761" s="442"/>
      <c r="N761" s="1484"/>
      <c r="O761" s="442"/>
    </row>
    <row r="762" spans="1:15" s="942" customFormat="1" ht="15.75" customHeight="1">
      <c r="A762" s="442"/>
      <c r="B762" s="442"/>
      <c r="C762" s="442"/>
      <c r="D762" s="442"/>
      <c r="E762" s="442"/>
      <c r="F762" s="442"/>
      <c r="G762" s="442"/>
      <c r="H762" s="442"/>
      <c r="I762" s="442"/>
      <c r="J762" s="442"/>
      <c r="K762" s="442"/>
      <c r="L762" s="442"/>
      <c r="M762" s="442"/>
      <c r="N762" s="1484"/>
      <c r="O762" s="442"/>
    </row>
    <row r="763" spans="1:15" s="942" customFormat="1" ht="15.75" customHeight="1">
      <c r="A763" s="442"/>
      <c r="B763" s="442"/>
      <c r="C763" s="442"/>
      <c r="D763" s="442"/>
      <c r="E763" s="442"/>
      <c r="F763" s="442"/>
      <c r="G763" s="442"/>
      <c r="H763" s="442"/>
      <c r="I763" s="442"/>
      <c r="J763" s="442"/>
      <c r="K763" s="442"/>
      <c r="L763" s="442"/>
      <c r="M763" s="442"/>
      <c r="N763" s="1484"/>
      <c r="O763" s="442"/>
    </row>
    <row r="764" spans="1:15" s="942" customFormat="1" ht="15.75" customHeight="1">
      <c r="A764" s="442"/>
      <c r="B764" s="442"/>
      <c r="C764" s="442"/>
      <c r="D764" s="442"/>
      <c r="E764" s="442"/>
      <c r="F764" s="442"/>
      <c r="G764" s="442"/>
      <c r="H764" s="442"/>
      <c r="I764" s="442"/>
      <c r="J764" s="442"/>
      <c r="K764" s="442"/>
      <c r="L764" s="442"/>
      <c r="M764" s="442"/>
      <c r="N764" s="1484"/>
      <c r="O764" s="442"/>
    </row>
    <row r="765" spans="1:15" s="942" customFormat="1" ht="15.75" customHeight="1">
      <c r="A765" s="442"/>
      <c r="B765" s="442"/>
      <c r="C765" s="442"/>
      <c r="D765" s="442"/>
      <c r="E765" s="442"/>
      <c r="F765" s="442"/>
      <c r="G765" s="442"/>
      <c r="H765" s="442"/>
      <c r="I765" s="442"/>
      <c r="J765" s="442"/>
      <c r="K765" s="442"/>
      <c r="L765" s="442"/>
      <c r="M765" s="442"/>
      <c r="N765" s="1484"/>
      <c r="O765" s="442"/>
    </row>
    <row r="766" spans="1:15" s="942" customFormat="1" ht="15.75" customHeight="1">
      <c r="A766" s="442"/>
      <c r="B766" s="442"/>
      <c r="C766" s="442"/>
      <c r="D766" s="442"/>
      <c r="E766" s="442"/>
      <c r="F766" s="442"/>
      <c r="G766" s="442"/>
      <c r="H766" s="442"/>
      <c r="I766" s="442"/>
      <c r="J766" s="442"/>
      <c r="K766" s="442"/>
      <c r="L766" s="442"/>
      <c r="M766" s="442"/>
      <c r="N766" s="1484"/>
      <c r="O766" s="442"/>
    </row>
    <row r="767" spans="1:15" s="942" customFormat="1" ht="15.75" customHeight="1">
      <c r="A767" s="442"/>
      <c r="B767" s="442"/>
      <c r="C767" s="442"/>
      <c r="D767" s="442"/>
      <c r="E767" s="442"/>
      <c r="F767" s="442"/>
      <c r="G767" s="442"/>
      <c r="H767" s="442"/>
      <c r="I767" s="442"/>
      <c r="J767" s="442"/>
      <c r="K767" s="442"/>
      <c r="L767" s="442"/>
      <c r="M767" s="442"/>
      <c r="N767" s="1484"/>
      <c r="O767" s="442"/>
    </row>
    <row r="768" spans="1:15" s="942" customFormat="1" ht="15.75" customHeight="1">
      <c r="A768" s="442"/>
      <c r="B768" s="442"/>
      <c r="C768" s="442"/>
      <c r="D768" s="442"/>
      <c r="E768" s="442"/>
      <c r="F768" s="442"/>
      <c r="G768" s="442"/>
      <c r="H768" s="442"/>
      <c r="I768" s="442"/>
      <c r="J768" s="442"/>
      <c r="K768" s="442"/>
      <c r="L768" s="442"/>
      <c r="M768" s="442"/>
      <c r="N768" s="1484"/>
      <c r="O768" s="442"/>
    </row>
    <row r="769" spans="1:15" s="942" customFormat="1" ht="15.75" customHeight="1">
      <c r="A769" s="442"/>
      <c r="B769" s="442"/>
      <c r="C769" s="442"/>
      <c r="D769" s="442"/>
      <c r="E769" s="442"/>
      <c r="F769" s="442"/>
      <c r="G769" s="442"/>
      <c r="H769" s="442"/>
      <c r="I769" s="442"/>
      <c r="J769" s="442"/>
      <c r="K769" s="442"/>
      <c r="L769" s="442"/>
      <c r="M769" s="442"/>
      <c r="N769" s="1484"/>
      <c r="O769" s="442"/>
    </row>
    <row r="770" spans="1:15" s="942" customFormat="1" ht="15.75" customHeight="1">
      <c r="A770" s="442"/>
      <c r="B770" s="442"/>
      <c r="C770" s="442"/>
      <c r="D770" s="442"/>
      <c r="E770" s="442"/>
      <c r="F770" s="442"/>
      <c r="G770" s="442"/>
      <c r="H770" s="442"/>
      <c r="I770" s="442"/>
      <c r="J770" s="442"/>
      <c r="K770" s="442"/>
      <c r="L770" s="442"/>
      <c r="M770" s="442"/>
      <c r="N770" s="1484"/>
      <c r="O770" s="442"/>
    </row>
    <row r="771" spans="1:15" s="942" customFormat="1" ht="15.75" customHeight="1">
      <c r="A771" s="442"/>
      <c r="B771" s="442"/>
      <c r="C771" s="442"/>
      <c r="D771" s="442"/>
      <c r="E771" s="442"/>
      <c r="F771" s="442"/>
      <c r="G771" s="442"/>
      <c r="H771" s="442"/>
      <c r="I771" s="442"/>
      <c r="J771" s="442"/>
      <c r="K771" s="442"/>
      <c r="L771" s="442"/>
      <c r="M771" s="442"/>
      <c r="N771" s="1484"/>
      <c r="O771" s="442"/>
    </row>
    <row r="772" spans="1:15" s="942" customFormat="1" ht="15.75" customHeight="1">
      <c r="A772" s="442"/>
      <c r="B772" s="442"/>
      <c r="C772" s="442"/>
      <c r="D772" s="442"/>
      <c r="E772" s="442"/>
      <c r="F772" s="442"/>
      <c r="G772" s="442"/>
      <c r="H772" s="442"/>
      <c r="I772" s="442"/>
      <c r="J772" s="442"/>
      <c r="K772" s="442"/>
      <c r="L772" s="442"/>
      <c r="M772" s="442"/>
      <c r="N772" s="1484"/>
      <c r="O772" s="442"/>
    </row>
    <row r="773" spans="1:15" s="942" customFormat="1" ht="15.75" customHeight="1">
      <c r="A773" s="442"/>
      <c r="B773" s="442"/>
      <c r="C773" s="442"/>
      <c r="D773" s="442"/>
      <c r="E773" s="442"/>
      <c r="F773" s="442"/>
      <c r="G773" s="442"/>
      <c r="H773" s="442"/>
      <c r="I773" s="442"/>
      <c r="J773" s="442"/>
      <c r="K773" s="442"/>
      <c r="L773" s="442"/>
      <c r="M773" s="442"/>
      <c r="N773" s="1484"/>
      <c r="O773" s="442"/>
    </row>
    <row r="774" spans="1:15" s="942" customFormat="1" ht="15.75" customHeight="1">
      <c r="A774" s="442"/>
      <c r="B774" s="442"/>
      <c r="C774" s="442"/>
      <c r="D774" s="442"/>
      <c r="E774" s="442"/>
      <c r="F774" s="442"/>
      <c r="G774" s="442"/>
      <c r="H774" s="442"/>
      <c r="I774" s="442"/>
      <c r="J774" s="442"/>
      <c r="K774" s="442"/>
      <c r="L774" s="442"/>
      <c r="M774" s="442"/>
      <c r="N774" s="1484"/>
      <c r="O774" s="442"/>
    </row>
    <row r="775" spans="1:15" s="942" customFormat="1" ht="15.75" customHeight="1">
      <c r="A775" s="442"/>
      <c r="B775" s="442"/>
      <c r="C775" s="442"/>
      <c r="D775" s="442"/>
      <c r="E775" s="442"/>
      <c r="F775" s="442"/>
      <c r="G775" s="442"/>
      <c r="H775" s="442"/>
      <c r="I775" s="442"/>
      <c r="J775" s="442"/>
      <c r="K775" s="442"/>
      <c r="L775" s="442"/>
      <c r="M775" s="442"/>
      <c r="N775" s="1484"/>
      <c r="O775" s="442"/>
    </row>
    <row r="776" spans="1:15" s="942" customFormat="1" ht="15.75" customHeight="1">
      <c r="A776" s="442"/>
      <c r="B776" s="442"/>
      <c r="C776" s="442"/>
      <c r="D776" s="442"/>
      <c r="E776" s="442"/>
      <c r="F776" s="442"/>
      <c r="G776" s="442"/>
      <c r="H776" s="442"/>
      <c r="I776" s="442"/>
      <c r="J776" s="442"/>
      <c r="K776" s="442"/>
      <c r="L776" s="442"/>
      <c r="M776" s="442"/>
      <c r="N776" s="1484"/>
      <c r="O776" s="442"/>
    </row>
    <row r="777" spans="1:15" s="942" customFormat="1" ht="15.75" customHeight="1">
      <c r="A777" s="442"/>
      <c r="B777" s="442"/>
      <c r="C777" s="442"/>
      <c r="D777" s="442"/>
      <c r="E777" s="442"/>
      <c r="F777" s="442"/>
      <c r="G777" s="442"/>
      <c r="H777" s="442"/>
      <c r="I777" s="442"/>
      <c r="J777" s="442"/>
      <c r="K777" s="442"/>
      <c r="L777" s="442"/>
      <c r="M777" s="442"/>
      <c r="N777" s="1484"/>
      <c r="O777" s="442"/>
    </row>
    <row r="778" spans="1:15" s="942" customFormat="1" ht="15.75" customHeight="1">
      <c r="A778" s="442"/>
      <c r="B778" s="442"/>
      <c r="C778" s="442"/>
      <c r="D778" s="442"/>
      <c r="E778" s="442"/>
      <c r="F778" s="442"/>
      <c r="G778" s="442"/>
      <c r="H778" s="442"/>
      <c r="I778" s="442"/>
      <c r="J778" s="442"/>
      <c r="K778" s="442"/>
      <c r="L778" s="442"/>
      <c r="M778" s="442"/>
      <c r="N778" s="1484"/>
      <c r="O778" s="442"/>
    </row>
    <row r="779" spans="1:15" s="942" customFormat="1" ht="15.75" customHeight="1">
      <c r="A779" s="442"/>
      <c r="B779" s="442"/>
      <c r="C779" s="442"/>
      <c r="D779" s="442"/>
      <c r="E779" s="442"/>
      <c r="F779" s="442"/>
      <c r="G779" s="442"/>
      <c r="H779" s="442"/>
      <c r="I779" s="442"/>
      <c r="J779" s="442"/>
      <c r="K779" s="442"/>
      <c r="L779" s="442"/>
      <c r="M779" s="442"/>
      <c r="N779" s="1484"/>
      <c r="O779" s="442"/>
    </row>
    <row r="780" spans="1:15" s="942" customFormat="1" ht="15.75" customHeight="1">
      <c r="A780" s="442"/>
      <c r="B780" s="442"/>
      <c r="C780" s="442"/>
      <c r="D780" s="442"/>
      <c r="E780" s="442"/>
      <c r="F780" s="442"/>
      <c r="G780" s="442"/>
      <c r="H780" s="442"/>
      <c r="I780" s="442"/>
      <c r="J780" s="442"/>
      <c r="K780" s="442"/>
      <c r="L780" s="442"/>
      <c r="M780" s="442"/>
      <c r="N780" s="1484"/>
      <c r="O780" s="442"/>
    </row>
    <row r="781" spans="1:15" s="942" customFormat="1" ht="15.75" customHeight="1">
      <c r="A781" s="442"/>
      <c r="B781" s="442"/>
      <c r="C781" s="442"/>
      <c r="D781" s="442"/>
      <c r="E781" s="442"/>
      <c r="F781" s="442"/>
      <c r="G781" s="442"/>
      <c r="H781" s="442"/>
      <c r="I781" s="442"/>
      <c r="J781" s="442"/>
      <c r="K781" s="442"/>
      <c r="L781" s="442"/>
      <c r="M781" s="442"/>
      <c r="N781" s="1484"/>
      <c r="O781" s="442"/>
    </row>
    <row r="782" spans="1:15" s="942" customFormat="1" ht="15.75" customHeight="1">
      <c r="A782" s="442"/>
      <c r="B782" s="442"/>
      <c r="C782" s="442"/>
      <c r="D782" s="442"/>
      <c r="E782" s="442"/>
      <c r="F782" s="442"/>
      <c r="G782" s="442"/>
      <c r="H782" s="442"/>
      <c r="I782" s="442"/>
      <c r="J782" s="442"/>
      <c r="K782" s="442"/>
      <c r="L782" s="442"/>
      <c r="M782" s="442"/>
      <c r="N782" s="1484"/>
      <c r="O782" s="442"/>
    </row>
    <row r="783" spans="1:15" s="942" customFormat="1" ht="15.75" customHeight="1">
      <c r="A783" s="442"/>
      <c r="B783" s="442"/>
      <c r="C783" s="442"/>
      <c r="D783" s="442"/>
      <c r="E783" s="442"/>
      <c r="F783" s="442"/>
      <c r="G783" s="442"/>
      <c r="H783" s="442"/>
      <c r="I783" s="442"/>
      <c r="J783" s="442"/>
      <c r="K783" s="442"/>
      <c r="L783" s="442"/>
      <c r="M783" s="442"/>
      <c r="N783" s="1484"/>
      <c r="O783" s="442"/>
    </row>
    <row r="784" spans="1:15" s="942" customFormat="1" ht="15.75" customHeight="1">
      <c r="A784" s="442"/>
      <c r="B784" s="442"/>
      <c r="C784" s="442"/>
      <c r="D784" s="442"/>
      <c r="E784" s="442"/>
      <c r="F784" s="442"/>
      <c r="G784" s="442"/>
      <c r="H784" s="442"/>
      <c r="I784" s="442"/>
      <c r="J784" s="442"/>
      <c r="K784" s="442"/>
      <c r="L784" s="442"/>
      <c r="M784" s="442"/>
      <c r="N784" s="1484"/>
      <c r="O784" s="442"/>
    </row>
    <row r="785" spans="1:15" s="942" customFormat="1" ht="15.75" customHeight="1">
      <c r="A785" s="442"/>
      <c r="B785" s="442"/>
      <c r="C785" s="442"/>
      <c r="D785" s="442"/>
      <c r="E785" s="442"/>
      <c r="F785" s="442"/>
      <c r="G785" s="442"/>
      <c r="H785" s="442"/>
      <c r="I785" s="442"/>
      <c r="J785" s="442"/>
      <c r="K785" s="442"/>
      <c r="L785" s="442"/>
      <c r="M785" s="442"/>
      <c r="N785" s="1484"/>
      <c r="O785" s="442"/>
    </row>
    <row r="786" spans="1:15" s="942" customFormat="1" ht="15.75" customHeight="1">
      <c r="A786" s="442"/>
      <c r="B786" s="442"/>
      <c r="C786" s="442"/>
      <c r="D786" s="442"/>
      <c r="E786" s="442"/>
      <c r="F786" s="442"/>
      <c r="G786" s="442"/>
      <c r="H786" s="442"/>
      <c r="I786" s="442"/>
      <c r="J786" s="442"/>
      <c r="K786" s="442"/>
      <c r="L786" s="442"/>
      <c r="M786" s="442"/>
      <c r="N786" s="1484"/>
      <c r="O786" s="442"/>
    </row>
    <row r="787" spans="1:15" s="942" customFormat="1" ht="15.75" customHeight="1">
      <c r="A787" s="442"/>
      <c r="B787" s="442"/>
      <c r="C787" s="442"/>
      <c r="D787" s="442"/>
      <c r="E787" s="442"/>
      <c r="F787" s="442"/>
      <c r="G787" s="442"/>
      <c r="H787" s="442"/>
      <c r="I787" s="442"/>
      <c r="J787" s="442"/>
      <c r="K787" s="442"/>
      <c r="L787" s="442"/>
      <c r="M787" s="442"/>
      <c r="N787" s="1484"/>
      <c r="O787" s="442"/>
    </row>
    <row r="788" spans="1:15" s="942" customFormat="1" ht="15.75" customHeight="1">
      <c r="A788" s="442"/>
      <c r="B788" s="442"/>
      <c r="C788" s="442"/>
      <c r="D788" s="442"/>
      <c r="E788" s="442"/>
      <c r="F788" s="442"/>
      <c r="G788" s="442"/>
      <c r="H788" s="442"/>
      <c r="I788" s="442"/>
      <c r="J788" s="442"/>
      <c r="K788" s="442"/>
      <c r="L788" s="442"/>
      <c r="M788" s="442"/>
      <c r="N788" s="1484"/>
      <c r="O788" s="442"/>
    </row>
    <row r="789" spans="1:15" s="942" customFormat="1" ht="15.75" customHeight="1">
      <c r="A789" s="442"/>
      <c r="B789" s="442"/>
      <c r="C789" s="442"/>
      <c r="D789" s="442"/>
      <c r="E789" s="442"/>
      <c r="F789" s="442"/>
      <c r="G789" s="442"/>
      <c r="H789" s="442"/>
      <c r="I789" s="442"/>
      <c r="J789" s="442"/>
      <c r="K789" s="442"/>
      <c r="L789" s="442"/>
      <c r="M789" s="442"/>
      <c r="N789" s="1484"/>
      <c r="O789" s="442"/>
    </row>
    <row r="790" spans="1:15" s="942" customFormat="1" ht="15.75" customHeight="1">
      <c r="A790" s="442"/>
      <c r="B790" s="442"/>
      <c r="C790" s="442"/>
      <c r="D790" s="442"/>
      <c r="E790" s="442"/>
      <c r="F790" s="442"/>
      <c r="G790" s="442"/>
      <c r="H790" s="442"/>
      <c r="I790" s="442"/>
      <c r="J790" s="442"/>
      <c r="K790" s="442"/>
      <c r="L790" s="442"/>
      <c r="M790" s="442"/>
      <c r="N790" s="1484"/>
      <c r="O790" s="442"/>
    </row>
    <row r="791" spans="1:15" s="942" customFormat="1" ht="15.75" customHeight="1">
      <c r="A791" s="442"/>
      <c r="B791" s="442"/>
      <c r="C791" s="442"/>
      <c r="D791" s="442"/>
      <c r="E791" s="442"/>
      <c r="F791" s="442"/>
      <c r="G791" s="442"/>
      <c r="H791" s="442"/>
      <c r="I791" s="442"/>
      <c r="J791" s="442"/>
      <c r="K791" s="442"/>
      <c r="L791" s="442"/>
      <c r="M791" s="442"/>
      <c r="N791" s="1484"/>
      <c r="O791" s="442"/>
    </row>
    <row r="792" spans="1:15" s="942" customFormat="1" ht="15.75" customHeight="1">
      <c r="A792" s="442"/>
      <c r="B792" s="442"/>
      <c r="C792" s="442"/>
      <c r="D792" s="442"/>
      <c r="E792" s="442"/>
      <c r="F792" s="442"/>
      <c r="G792" s="442"/>
      <c r="H792" s="442"/>
      <c r="I792" s="442"/>
      <c r="J792" s="442"/>
      <c r="K792" s="442"/>
      <c r="L792" s="442"/>
      <c r="M792" s="442"/>
      <c r="N792" s="1484"/>
      <c r="O792" s="442"/>
    </row>
    <row r="793" spans="1:15" s="942" customFormat="1" ht="15.75" customHeight="1">
      <c r="A793" s="442"/>
      <c r="B793" s="442"/>
      <c r="C793" s="442"/>
      <c r="D793" s="442"/>
      <c r="E793" s="442"/>
      <c r="F793" s="442"/>
      <c r="G793" s="442"/>
      <c r="H793" s="442"/>
      <c r="I793" s="442"/>
      <c r="J793" s="442"/>
      <c r="K793" s="442"/>
      <c r="L793" s="442"/>
      <c r="M793" s="442"/>
      <c r="N793" s="1484"/>
      <c r="O793" s="442"/>
    </row>
    <row r="794" spans="1:15" s="942" customFormat="1" ht="15.75" customHeight="1">
      <c r="A794" s="442"/>
      <c r="B794" s="442"/>
      <c r="C794" s="442"/>
      <c r="D794" s="442"/>
      <c r="E794" s="442"/>
      <c r="F794" s="442"/>
      <c r="G794" s="442"/>
      <c r="H794" s="442"/>
      <c r="I794" s="442"/>
      <c r="J794" s="442"/>
      <c r="K794" s="442"/>
      <c r="L794" s="442"/>
      <c r="M794" s="442"/>
      <c r="N794" s="1484"/>
      <c r="O794" s="442"/>
    </row>
    <row r="795" spans="1:15" s="942" customFormat="1" ht="15.75" customHeight="1">
      <c r="A795" s="442"/>
      <c r="B795" s="442"/>
      <c r="C795" s="442"/>
      <c r="D795" s="442"/>
      <c r="E795" s="442"/>
      <c r="F795" s="442"/>
      <c r="G795" s="442"/>
      <c r="H795" s="442"/>
      <c r="I795" s="442"/>
      <c r="J795" s="442"/>
      <c r="K795" s="442"/>
      <c r="L795" s="442"/>
      <c r="M795" s="442"/>
      <c r="N795" s="1484"/>
      <c r="O795" s="442"/>
    </row>
    <row r="796" spans="1:15" s="942" customFormat="1" ht="15.75" customHeight="1">
      <c r="A796" s="442"/>
      <c r="B796" s="442"/>
      <c r="C796" s="442"/>
      <c r="D796" s="442"/>
      <c r="E796" s="442"/>
      <c r="F796" s="442"/>
      <c r="G796" s="442"/>
      <c r="H796" s="442"/>
      <c r="I796" s="442"/>
      <c r="J796" s="442"/>
      <c r="K796" s="442"/>
      <c r="L796" s="442"/>
      <c r="M796" s="442"/>
      <c r="N796" s="1484"/>
      <c r="O796" s="442"/>
    </row>
    <row r="797" spans="1:15" s="942" customFormat="1" ht="15.75" customHeight="1">
      <c r="A797" s="442"/>
      <c r="B797" s="442"/>
      <c r="C797" s="442"/>
      <c r="D797" s="442"/>
      <c r="E797" s="442"/>
      <c r="F797" s="442"/>
      <c r="G797" s="442"/>
      <c r="H797" s="442"/>
      <c r="I797" s="442"/>
      <c r="J797" s="442"/>
      <c r="K797" s="442"/>
      <c r="L797" s="442"/>
      <c r="M797" s="442"/>
      <c r="N797" s="1484"/>
      <c r="O797" s="442"/>
    </row>
    <row r="798" spans="1:15" s="942" customFormat="1" ht="15.75" customHeight="1">
      <c r="A798" s="442"/>
      <c r="B798" s="442"/>
      <c r="C798" s="442"/>
      <c r="D798" s="442"/>
      <c r="E798" s="442"/>
      <c r="F798" s="442"/>
      <c r="G798" s="442"/>
      <c r="H798" s="442"/>
      <c r="I798" s="442"/>
      <c r="J798" s="442"/>
      <c r="K798" s="442"/>
      <c r="L798" s="442"/>
      <c r="M798" s="442"/>
      <c r="N798" s="1484"/>
      <c r="O798" s="442"/>
    </row>
    <row r="799" spans="1:15" s="942" customFormat="1" ht="15.75" customHeight="1">
      <c r="A799" s="442"/>
      <c r="B799" s="442"/>
      <c r="C799" s="442"/>
      <c r="D799" s="442"/>
      <c r="E799" s="442"/>
      <c r="F799" s="442"/>
      <c r="G799" s="442"/>
      <c r="H799" s="442"/>
      <c r="I799" s="442"/>
      <c r="J799" s="442"/>
      <c r="K799" s="442"/>
      <c r="L799" s="442"/>
      <c r="M799" s="442"/>
      <c r="N799" s="1484"/>
      <c r="O799" s="442"/>
    </row>
    <row r="800" spans="1:15" s="942" customFormat="1" ht="15.75" customHeight="1">
      <c r="A800" s="442"/>
      <c r="B800" s="442"/>
      <c r="C800" s="442"/>
      <c r="D800" s="442"/>
      <c r="E800" s="442"/>
      <c r="F800" s="442"/>
      <c r="G800" s="442"/>
      <c r="H800" s="442"/>
      <c r="I800" s="442"/>
      <c r="J800" s="442"/>
      <c r="K800" s="442"/>
      <c r="L800" s="442"/>
      <c r="M800" s="442"/>
      <c r="N800" s="1484"/>
      <c r="O800" s="442"/>
    </row>
    <row r="801" spans="1:15" s="942" customFormat="1" ht="15.75" customHeight="1">
      <c r="A801" s="442"/>
      <c r="B801" s="442"/>
      <c r="C801" s="442"/>
      <c r="D801" s="442"/>
      <c r="E801" s="442"/>
      <c r="F801" s="442"/>
      <c r="G801" s="442"/>
      <c r="H801" s="442"/>
      <c r="I801" s="442"/>
      <c r="J801" s="442"/>
      <c r="K801" s="442"/>
      <c r="L801" s="442"/>
      <c r="M801" s="442"/>
      <c r="N801" s="1484"/>
      <c r="O801" s="442"/>
    </row>
    <row r="802" spans="1:15" s="942" customFormat="1" ht="15.75" customHeight="1">
      <c r="A802" s="442"/>
      <c r="B802" s="442"/>
      <c r="C802" s="442"/>
      <c r="D802" s="442"/>
      <c r="E802" s="442"/>
      <c r="F802" s="442"/>
      <c r="G802" s="442"/>
      <c r="H802" s="442"/>
      <c r="I802" s="442"/>
      <c r="J802" s="442"/>
      <c r="K802" s="442"/>
      <c r="L802" s="442"/>
      <c r="M802" s="442"/>
      <c r="N802" s="1484"/>
      <c r="O802" s="442"/>
    </row>
    <row r="803" spans="1:15" s="942" customFormat="1" ht="15.75" customHeight="1">
      <c r="A803" s="442"/>
      <c r="B803" s="442"/>
      <c r="C803" s="442"/>
      <c r="D803" s="442"/>
      <c r="E803" s="442"/>
      <c r="F803" s="442"/>
      <c r="G803" s="442"/>
      <c r="H803" s="442"/>
      <c r="I803" s="442"/>
      <c r="J803" s="442"/>
      <c r="K803" s="442"/>
      <c r="L803" s="442"/>
      <c r="M803" s="442"/>
      <c r="N803" s="1484"/>
      <c r="O803" s="442"/>
    </row>
    <row r="804" spans="1:15" s="942" customFormat="1" ht="15.75" customHeight="1">
      <c r="A804" s="442"/>
      <c r="B804" s="442"/>
      <c r="C804" s="442"/>
      <c r="D804" s="442"/>
      <c r="E804" s="442"/>
      <c r="F804" s="442"/>
      <c r="G804" s="442"/>
      <c r="H804" s="442"/>
      <c r="I804" s="442"/>
      <c r="J804" s="442"/>
      <c r="K804" s="442"/>
      <c r="L804" s="442"/>
      <c r="M804" s="442"/>
      <c r="N804" s="1484"/>
      <c r="O804" s="442"/>
    </row>
    <row r="805" spans="1:15" s="942" customFormat="1" ht="15.75" customHeight="1">
      <c r="A805" s="442"/>
      <c r="B805" s="442"/>
      <c r="C805" s="442"/>
      <c r="D805" s="442"/>
      <c r="E805" s="442"/>
      <c r="F805" s="442"/>
      <c r="G805" s="442"/>
      <c r="H805" s="442"/>
      <c r="I805" s="442"/>
      <c r="J805" s="442"/>
      <c r="K805" s="442"/>
      <c r="L805" s="442"/>
      <c r="M805" s="442"/>
      <c r="N805" s="1484"/>
      <c r="O805" s="442"/>
    </row>
    <row r="806" spans="1:15" s="942" customFormat="1" ht="15.75" customHeight="1">
      <c r="A806" s="442"/>
      <c r="B806" s="442"/>
      <c r="C806" s="442"/>
      <c r="D806" s="442"/>
      <c r="E806" s="442"/>
      <c r="F806" s="442"/>
      <c r="G806" s="442"/>
      <c r="H806" s="442"/>
      <c r="I806" s="442"/>
      <c r="J806" s="442"/>
      <c r="K806" s="442"/>
      <c r="L806" s="442"/>
      <c r="M806" s="442"/>
      <c r="N806" s="1484"/>
      <c r="O806" s="442"/>
    </row>
    <row r="807" spans="1:15" s="942" customFormat="1" ht="15.75" customHeight="1">
      <c r="A807" s="442"/>
      <c r="B807" s="442"/>
      <c r="C807" s="442"/>
      <c r="D807" s="442"/>
      <c r="E807" s="442"/>
      <c r="F807" s="442"/>
      <c r="G807" s="442"/>
      <c r="H807" s="442"/>
      <c r="I807" s="442"/>
      <c r="J807" s="442"/>
      <c r="K807" s="442"/>
      <c r="L807" s="442"/>
      <c r="M807" s="442"/>
      <c r="N807" s="1484"/>
      <c r="O807" s="442"/>
    </row>
    <row r="808" spans="1:15" s="942" customFormat="1" ht="15.75" customHeight="1">
      <c r="A808" s="442"/>
      <c r="B808" s="442"/>
      <c r="C808" s="442"/>
      <c r="D808" s="442"/>
      <c r="E808" s="442"/>
      <c r="F808" s="442"/>
      <c r="G808" s="442"/>
      <c r="H808" s="442"/>
      <c r="I808" s="442"/>
      <c r="J808" s="442"/>
      <c r="K808" s="442"/>
      <c r="L808" s="442"/>
      <c r="M808" s="442"/>
      <c r="N808" s="1484"/>
      <c r="O808" s="442"/>
    </row>
    <row r="809" spans="1:15" s="942" customFormat="1" ht="15.75" customHeight="1">
      <c r="A809" s="442"/>
      <c r="B809" s="442"/>
      <c r="C809" s="442"/>
      <c r="D809" s="442"/>
      <c r="E809" s="442"/>
      <c r="F809" s="442"/>
      <c r="G809" s="442"/>
      <c r="H809" s="442"/>
      <c r="I809" s="442"/>
      <c r="J809" s="442"/>
      <c r="K809" s="442"/>
      <c r="L809" s="442"/>
      <c r="M809" s="442"/>
      <c r="N809" s="1484"/>
      <c r="O809" s="442"/>
    </row>
    <row r="810" spans="1:15" s="942" customFormat="1" ht="15.75" customHeight="1">
      <c r="A810" s="442"/>
      <c r="B810" s="442"/>
      <c r="C810" s="442"/>
      <c r="D810" s="442"/>
      <c r="E810" s="442"/>
      <c r="F810" s="442"/>
      <c r="G810" s="442"/>
      <c r="H810" s="442"/>
      <c r="I810" s="442"/>
      <c r="J810" s="442"/>
      <c r="K810" s="442"/>
      <c r="L810" s="442"/>
      <c r="M810" s="442"/>
      <c r="N810" s="1484"/>
      <c r="O810" s="442"/>
    </row>
    <row r="811" spans="1:15" s="942" customFormat="1" ht="15.75" customHeight="1">
      <c r="A811" s="442"/>
      <c r="B811" s="442"/>
      <c r="C811" s="442"/>
      <c r="D811" s="442"/>
      <c r="E811" s="442"/>
      <c r="F811" s="442"/>
      <c r="G811" s="442"/>
      <c r="H811" s="442"/>
      <c r="I811" s="442"/>
      <c r="J811" s="442"/>
      <c r="K811" s="442"/>
      <c r="L811" s="442"/>
      <c r="M811" s="442"/>
      <c r="N811" s="1484"/>
      <c r="O811" s="442"/>
    </row>
    <row r="812" spans="1:15" s="942" customFormat="1" ht="15.75" customHeight="1">
      <c r="A812" s="442"/>
      <c r="B812" s="442"/>
      <c r="C812" s="442"/>
      <c r="D812" s="442"/>
      <c r="E812" s="442"/>
      <c r="F812" s="442"/>
      <c r="G812" s="442"/>
      <c r="H812" s="442"/>
      <c r="I812" s="442"/>
      <c r="J812" s="442"/>
      <c r="K812" s="442"/>
      <c r="L812" s="442"/>
      <c r="M812" s="442"/>
      <c r="N812" s="1484"/>
      <c r="O812" s="442"/>
    </row>
    <row r="813" spans="1:15" s="942" customFormat="1" ht="15.75" customHeight="1">
      <c r="A813" s="442"/>
      <c r="B813" s="442"/>
      <c r="C813" s="442"/>
      <c r="D813" s="442"/>
      <c r="E813" s="442"/>
      <c r="F813" s="442"/>
      <c r="G813" s="442"/>
      <c r="H813" s="442"/>
      <c r="I813" s="442"/>
      <c r="J813" s="442"/>
      <c r="K813" s="442"/>
      <c r="L813" s="442"/>
      <c r="M813" s="442"/>
      <c r="N813" s="1484"/>
      <c r="O813" s="442"/>
    </row>
    <row r="814" spans="1:15" s="942" customFormat="1" ht="15.75" customHeight="1">
      <c r="A814" s="442"/>
      <c r="B814" s="442"/>
      <c r="C814" s="442"/>
      <c r="D814" s="442"/>
      <c r="E814" s="442"/>
      <c r="F814" s="442"/>
      <c r="G814" s="442"/>
      <c r="H814" s="442"/>
      <c r="I814" s="442"/>
      <c r="J814" s="442"/>
      <c r="K814" s="442"/>
      <c r="L814" s="442"/>
      <c r="M814" s="442"/>
      <c r="N814" s="1484"/>
      <c r="O814" s="442"/>
    </row>
    <row r="815" spans="1:15" s="942" customFormat="1" ht="15.75" customHeight="1">
      <c r="A815" s="442"/>
      <c r="B815" s="442"/>
      <c r="C815" s="442"/>
      <c r="D815" s="442"/>
      <c r="E815" s="442"/>
      <c r="F815" s="442"/>
      <c r="G815" s="442"/>
      <c r="H815" s="442"/>
      <c r="I815" s="442"/>
      <c r="J815" s="442"/>
      <c r="K815" s="442"/>
      <c r="L815" s="442"/>
      <c r="M815" s="442"/>
      <c r="N815" s="1484"/>
      <c r="O815" s="442"/>
    </row>
    <row r="816" spans="1:15" s="942" customFormat="1" ht="15.75" customHeight="1">
      <c r="A816" s="442"/>
      <c r="B816" s="442"/>
      <c r="C816" s="442"/>
      <c r="D816" s="442"/>
      <c r="E816" s="442"/>
      <c r="F816" s="442"/>
      <c r="G816" s="442"/>
      <c r="H816" s="442"/>
      <c r="I816" s="442"/>
      <c r="J816" s="442"/>
      <c r="K816" s="442"/>
      <c r="L816" s="442"/>
      <c r="M816" s="442"/>
      <c r="N816" s="1484"/>
      <c r="O816" s="442"/>
    </row>
    <row r="817" spans="1:15" s="942" customFormat="1" ht="15.75" customHeight="1">
      <c r="A817" s="442"/>
      <c r="B817" s="442"/>
      <c r="C817" s="442"/>
      <c r="D817" s="442"/>
      <c r="E817" s="442"/>
      <c r="F817" s="442"/>
      <c r="G817" s="442"/>
      <c r="H817" s="442"/>
      <c r="I817" s="442"/>
      <c r="J817" s="442"/>
      <c r="K817" s="442"/>
      <c r="L817" s="442"/>
      <c r="M817" s="442"/>
      <c r="N817" s="1484"/>
      <c r="O817" s="442"/>
    </row>
    <row r="818" spans="1:15" s="942" customFormat="1" ht="15.75" customHeight="1">
      <c r="A818" s="442"/>
      <c r="B818" s="442"/>
      <c r="C818" s="442"/>
      <c r="D818" s="442"/>
      <c r="E818" s="442"/>
      <c r="F818" s="442"/>
      <c r="G818" s="442"/>
      <c r="H818" s="442"/>
      <c r="I818" s="442"/>
      <c r="J818" s="442"/>
      <c r="K818" s="442"/>
      <c r="L818" s="442"/>
      <c r="M818" s="442"/>
      <c r="N818" s="1484"/>
      <c r="O818" s="442"/>
    </row>
    <row r="819" spans="1:15" s="942" customFormat="1" ht="15.75" customHeight="1">
      <c r="A819" s="442"/>
      <c r="B819" s="442"/>
      <c r="C819" s="442"/>
      <c r="D819" s="442"/>
      <c r="E819" s="442"/>
      <c r="F819" s="442"/>
      <c r="G819" s="442"/>
      <c r="H819" s="442"/>
      <c r="I819" s="442"/>
      <c r="J819" s="442"/>
      <c r="K819" s="442"/>
      <c r="L819" s="442"/>
      <c r="M819" s="442"/>
      <c r="N819" s="1484"/>
      <c r="O819" s="442"/>
    </row>
    <row r="820" spans="1:15" s="942" customFormat="1" ht="15.75" customHeight="1">
      <c r="A820" s="442"/>
      <c r="B820" s="442"/>
      <c r="C820" s="442"/>
      <c r="D820" s="442"/>
      <c r="E820" s="442"/>
      <c r="F820" s="442"/>
      <c r="G820" s="442"/>
      <c r="H820" s="442"/>
      <c r="I820" s="442"/>
      <c r="J820" s="442"/>
      <c r="K820" s="442"/>
      <c r="L820" s="442"/>
      <c r="M820" s="442"/>
      <c r="N820" s="1484"/>
      <c r="O820" s="442"/>
    </row>
    <row r="821" spans="1:15" s="942" customFormat="1" ht="15.75" customHeight="1">
      <c r="A821" s="442"/>
      <c r="B821" s="442"/>
      <c r="C821" s="442"/>
      <c r="D821" s="442"/>
      <c r="E821" s="442"/>
      <c r="F821" s="442"/>
      <c r="G821" s="442"/>
      <c r="H821" s="442"/>
      <c r="I821" s="442"/>
      <c r="J821" s="442"/>
      <c r="K821" s="442"/>
      <c r="L821" s="442"/>
      <c r="M821" s="442"/>
      <c r="N821" s="1484"/>
      <c r="O821" s="442"/>
    </row>
    <row r="822" spans="1:15" s="942" customFormat="1" ht="15.75" customHeight="1">
      <c r="A822" s="442"/>
      <c r="B822" s="442"/>
      <c r="C822" s="442"/>
      <c r="D822" s="442"/>
      <c r="E822" s="442"/>
      <c r="F822" s="442"/>
      <c r="G822" s="442"/>
      <c r="H822" s="442"/>
      <c r="I822" s="442"/>
      <c r="J822" s="442"/>
      <c r="K822" s="442"/>
      <c r="L822" s="442"/>
      <c r="M822" s="442"/>
      <c r="N822" s="1484"/>
      <c r="O822" s="442"/>
    </row>
    <row r="823" spans="1:15" s="942" customFormat="1" ht="15.75" customHeight="1">
      <c r="A823" s="442"/>
      <c r="B823" s="442"/>
      <c r="C823" s="442"/>
      <c r="D823" s="442"/>
      <c r="E823" s="442"/>
      <c r="F823" s="442"/>
      <c r="G823" s="442"/>
      <c r="H823" s="442"/>
      <c r="I823" s="442"/>
      <c r="J823" s="442"/>
      <c r="K823" s="442"/>
      <c r="L823" s="442"/>
      <c r="M823" s="442"/>
      <c r="N823" s="1484"/>
      <c r="O823" s="442"/>
    </row>
    <row r="824" spans="1:15" s="942" customFormat="1" ht="15.75" customHeight="1">
      <c r="A824" s="442"/>
      <c r="B824" s="442"/>
      <c r="C824" s="442"/>
      <c r="D824" s="442"/>
      <c r="E824" s="442"/>
      <c r="F824" s="442"/>
      <c r="G824" s="442"/>
      <c r="H824" s="442"/>
      <c r="I824" s="442"/>
      <c r="J824" s="442"/>
      <c r="K824" s="442"/>
      <c r="L824" s="442"/>
      <c r="M824" s="442"/>
      <c r="N824" s="1484"/>
      <c r="O824" s="442"/>
    </row>
    <row r="825" spans="1:15" s="942" customFormat="1" ht="15.75" customHeight="1">
      <c r="A825" s="442"/>
      <c r="B825" s="442"/>
      <c r="C825" s="442"/>
      <c r="D825" s="442"/>
      <c r="E825" s="442"/>
      <c r="F825" s="442"/>
      <c r="G825" s="442"/>
      <c r="H825" s="442"/>
      <c r="I825" s="442"/>
      <c r="J825" s="442"/>
      <c r="K825" s="442"/>
      <c r="L825" s="442"/>
      <c r="M825" s="442"/>
      <c r="N825" s="1484"/>
      <c r="O825" s="442"/>
    </row>
    <row r="826" spans="1:15" s="942" customFormat="1" ht="15.75" customHeight="1">
      <c r="A826" s="442"/>
      <c r="B826" s="442"/>
      <c r="C826" s="442"/>
      <c r="D826" s="442"/>
      <c r="E826" s="442"/>
      <c r="F826" s="442"/>
      <c r="G826" s="442"/>
      <c r="H826" s="442"/>
      <c r="I826" s="442"/>
      <c r="J826" s="442"/>
      <c r="K826" s="442"/>
      <c r="L826" s="442"/>
      <c r="M826" s="442"/>
      <c r="N826" s="1484"/>
      <c r="O826" s="442"/>
    </row>
    <row r="827" spans="1:15" s="942" customFormat="1" ht="15.75" customHeight="1">
      <c r="A827" s="442"/>
      <c r="B827" s="442"/>
      <c r="C827" s="442"/>
      <c r="D827" s="442"/>
      <c r="E827" s="442"/>
      <c r="F827" s="442"/>
      <c r="G827" s="442"/>
      <c r="H827" s="442"/>
      <c r="I827" s="442"/>
      <c r="J827" s="442"/>
      <c r="K827" s="442"/>
      <c r="L827" s="442"/>
      <c r="M827" s="442"/>
      <c r="N827" s="1484"/>
      <c r="O827" s="442"/>
    </row>
    <row r="828" spans="1:15" s="942" customFormat="1" ht="15.75" customHeight="1">
      <c r="A828" s="442"/>
      <c r="B828" s="442"/>
      <c r="C828" s="442"/>
      <c r="D828" s="442"/>
      <c r="E828" s="442"/>
      <c r="F828" s="442"/>
      <c r="G828" s="442"/>
      <c r="H828" s="442"/>
      <c r="I828" s="442"/>
      <c r="J828" s="442"/>
      <c r="K828" s="442"/>
      <c r="L828" s="442"/>
      <c r="M828" s="442"/>
      <c r="N828" s="1484"/>
      <c r="O828" s="442"/>
    </row>
    <row r="829" spans="1:15" s="942" customFormat="1" ht="15.75" customHeight="1">
      <c r="A829" s="442"/>
      <c r="B829" s="442"/>
      <c r="C829" s="442"/>
      <c r="D829" s="442"/>
      <c r="E829" s="442"/>
      <c r="F829" s="442"/>
      <c r="G829" s="442"/>
      <c r="H829" s="442"/>
      <c r="I829" s="442"/>
      <c r="J829" s="442"/>
      <c r="K829" s="442"/>
      <c r="L829" s="442"/>
      <c r="M829" s="442"/>
      <c r="N829" s="1484"/>
      <c r="O829" s="442"/>
    </row>
    <row r="830" spans="1:15" s="942" customFormat="1" ht="15.75" customHeight="1">
      <c r="A830" s="442"/>
      <c r="B830" s="442"/>
      <c r="C830" s="442"/>
      <c r="D830" s="442"/>
      <c r="E830" s="442"/>
      <c r="F830" s="442"/>
      <c r="G830" s="442"/>
      <c r="H830" s="442"/>
      <c r="I830" s="442"/>
      <c r="J830" s="442"/>
      <c r="K830" s="442"/>
      <c r="L830" s="442"/>
      <c r="M830" s="442"/>
      <c r="N830" s="1484"/>
      <c r="O830" s="442"/>
    </row>
    <row r="831" spans="1:15" s="942" customFormat="1" ht="15.75" customHeight="1">
      <c r="A831" s="442"/>
      <c r="B831" s="442"/>
      <c r="C831" s="442"/>
      <c r="D831" s="442"/>
      <c r="E831" s="442"/>
      <c r="F831" s="442"/>
      <c r="G831" s="442"/>
      <c r="H831" s="442"/>
      <c r="I831" s="442"/>
      <c r="J831" s="442"/>
      <c r="K831" s="442"/>
      <c r="L831" s="442"/>
      <c r="M831" s="442"/>
      <c r="N831" s="1484"/>
      <c r="O831" s="442"/>
    </row>
    <row r="832" spans="1:15" s="942" customFormat="1" ht="15.75" customHeight="1">
      <c r="A832" s="442"/>
      <c r="B832" s="442"/>
      <c r="C832" s="442"/>
      <c r="D832" s="442"/>
      <c r="E832" s="442"/>
      <c r="F832" s="442"/>
      <c r="G832" s="442"/>
      <c r="H832" s="442"/>
      <c r="I832" s="442"/>
      <c r="J832" s="442"/>
      <c r="K832" s="442"/>
      <c r="L832" s="442"/>
      <c r="M832" s="442"/>
      <c r="N832" s="1484"/>
      <c r="O832" s="442"/>
    </row>
    <row r="833" spans="1:15" s="942" customFormat="1" ht="15.75" customHeight="1">
      <c r="A833" s="442"/>
      <c r="B833" s="442"/>
      <c r="C833" s="442"/>
      <c r="D833" s="442"/>
      <c r="E833" s="442"/>
      <c r="F833" s="442"/>
      <c r="G833" s="442"/>
      <c r="H833" s="442"/>
      <c r="I833" s="442"/>
      <c r="J833" s="442"/>
      <c r="K833" s="442"/>
      <c r="L833" s="442"/>
      <c r="M833" s="442"/>
      <c r="N833" s="1484"/>
      <c r="O833" s="442"/>
    </row>
    <row r="834" spans="1:15" s="942" customFormat="1" ht="15.75" customHeight="1">
      <c r="A834" s="442"/>
      <c r="B834" s="442"/>
      <c r="C834" s="442"/>
      <c r="D834" s="442"/>
      <c r="E834" s="442"/>
      <c r="F834" s="442"/>
      <c r="G834" s="442"/>
      <c r="H834" s="442"/>
      <c r="I834" s="442"/>
      <c r="J834" s="442"/>
      <c r="K834" s="442"/>
      <c r="L834" s="442"/>
      <c r="M834" s="442"/>
      <c r="N834" s="1484"/>
      <c r="O834" s="442"/>
    </row>
    <row r="835" spans="1:15" s="942" customFormat="1" ht="15.75" customHeight="1">
      <c r="A835" s="442"/>
      <c r="B835" s="442"/>
      <c r="C835" s="442"/>
      <c r="D835" s="442"/>
      <c r="E835" s="442"/>
      <c r="F835" s="442"/>
      <c r="G835" s="442"/>
      <c r="H835" s="442"/>
      <c r="I835" s="442"/>
      <c r="J835" s="442"/>
      <c r="K835" s="442"/>
      <c r="L835" s="442"/>
      <c r="M835" s="442"/>
      <c r="N835" s="1484"/>
      <c r="O835" s="442"/>
    </row>
    <row r="836" spans="1:15" s="942" customFormat="1" ht="15.75" customHeight="1">
      <c r="A836" s="442"/>
      <c r="B836" s="442"/>
      <c r="C836" s="442"/>
      <c r="D836" s="442"/>
      <c r="E836" s="442"/>
      <c r="F836" s="442"/>
      <c r="G836" s="442"/>
      <c r="H836" s="442"/>
      <c r="I836" s="442"/>
      <c r="J836" s="442"/>
      <c r="K836" s="442"/>
      <c r="L836" s="442"/>
      <c r="M836" s="442"/>
      <c r="N836" s="1484"/>
      <c r="O836" s="442"/>
    </row>
    <row r="837" spans="1:15" s="942" customFormat="1" ht="15.75" customHeight="1">
      <c r="A837" s="442"/>
      <c r="B837" s="442"/>
      <c r="C837" s="442"/>
      <c r="D837" s="442"/>
      <c r="E837" s="442"/>
      <c r="F837" s="442"/>
      <c r="G837" s="442"/>
      <c r="H837" s="442"/>
      <c r="I837" s="442"/>
      <c r="J837" s="442"/>
      <c r="K837" s="442"/>
      <c r="L837" s="442"/>
      <c r="M837" s="442"/>
      <c r="N837" s="1484"/>
      <c r="O837" s="442"/>
    </row>
    <row r="838" spans="1:15" s="942" customFormat="1" ht="15.75" customHeight="1">
      <c r="A838" s="442"/>
      <c r="B838" s="442"/>
      <c r="C838" s="442"/>
      <c r="D838" s="442"/>
      <c r="E838" s="442"/>
      <c r="F838" s="442"/>
      <c r="G838" s="442"/>
      <c r="H838" s="442"/>
      <c r="I838" s="442"/>
      <c r="J838" s="442"/>
      <c r="K838" s="442"/>
      <c r="L838" s="442"/>
      <c r="M838" s="442"/>
      <c r="N838" s="1484"/>
      <c r="O838" s="442"/>
    </row>
    <row r="839" spans="1:15" s="942" customFormat="1" ht="15.75" customHeight="1">
      <c r="A839" s="442"/>
      <c r="B839" s="442"/>
      <c r="C839" s="442"/>
      <c r="D839" s="442"/>
      <c r="E839" s="442"/>
      <c r="F839" s="442"/>
      <c r="G839" s="442"/>
      <c r="H839" s="442"/>
      <c r="I839" s="442"/>
      <c r="J839" s="442"/>
      <c r="K839" s="442"/>
      <c r="L839" s="442"/>
      <c r="M839" s="442"/>
      <c r="N839" s="1484"/>
      <c r="O839" s="442"/>
    </row>
    <row r="840" spans="1:15" s="942" customFormat="1" ht="15.75" customHeight="1">
      <c r="A840" s="442"/>
      <c r="B840" s="442"/>
      <c r="C840" s="442"/>
      <c r="D840" s="442"/>
      <c r="E840" s="442"/>
      <c r="F840" s="442"/>
      <c r="G840" s="442"/>
      <c r="H840" s="442"/>
      <c r="I840" s="442"/>
      <c r="J840" s="442"/>
      <c r="K840" s="442"/>
      <c r="L840" s="442"/>
      <c r="M840" s="442"/>
      <c r="N840" s="1484"/>
      <c r="O840" s="442"/>
    </row>
    <row r="841" spans="1:15" s="942" customFormat="1" ht="15.75" customHeight="1">
      <c r="A841" s="442"/>
      <c r="B841" s="442"/>
      <c r="C841" s="442"/>
      <c r="D841" s="442"/>
      <c r="E841" s="442"/>
      <c r="F841" s="442"/>
      <c r="G841" s="442"/>
      <c r="H841" s="442"/>
      <c r="I841" s="442"/>
      <c r="J841" s="442"/>
      <c r="K841" s="442"/>
      <c r="L841" s="442"/>
      <c r="M841" s="442"/>
      <c r="N841" s="1484"/>
      <c r="O841" s="442"/>
    </row>
    <row r="842" spans="1:15" s="942" customFormat="1" ht="15.75" customHeight="1">
      <c r="A842" s="442"/>
      <c r="B842" s="442"/>
      <c r="C842" s="442"/>
      <c r="D842" s="442"/>
      <c r="E842" s="442"/>
      <c r="F842" s="442"/>
      <c r="G842" s="442"/>
      <c r="H842" s="442"/>
      <c r="I842" s="442"/>
      <c r="J842" s="442"/>
      <c r="K842" s="442"/>
      <c r="L842" s="442"/>
      <c r="M842" s="442"/>
      <c r="N842" s="1484"/>
      <c r="O842" s="442"/>
    </row>
    <row r="843" spans="1:15" s="942" customFormat="1" ht="15.75" customHeight="1">
      <c r="A843" s="442"/>
      <c r="B843" s="442"/>
      <c r="C843" s="442"/>
      <c r="D843" s="442"/>
      <c r="E843" s="442"/>
      <c r="F843" s="442"/>
      <c r="G843" s="442"/>
      <c r="H843" s="442"/>
      <c r="I843" s="442"/>
      <c r="J843" s="442"/>
      <c r="K843" s="442"/>
      <c r="L843" s="442"/>
      <c r="M843" s="442"/>
      <c r="N843" s="1484"/>
      <c r="O843" s="442"/>
    </row>
    <row r="844" spans="1:15" s="942" customFormat="1" ht="15.75" customHeight="1">
      <c r="A844" s="442"/>
      <c r="B844" s="442"/>
      <c r="C844" s="442"/>
      <c r="D844" s="442"/>
      <c r="E844" s="442"/>
      <c r="F844" s="442"/>
      <c r="G844" s="442"/>
      <c r="H844" s="442"/>
      <c r="I844" s="442"/>
      <c r="J844" s="442"/>
      <c r="K844" s="442"/>
      <c r="L844" s="442"/>
      <c r="M844" s="442"/>
      <c r="N844" s="1484"/>
      <c r="O844" s="442"/>
    </row>
    <row r="845" spans="1:15" s="942" customFormat="1" ht="15.75" customHeight="1">
      <c r="A845" s="442"/>
      <c r="B845" s="442"/>
      <c r="C845" s="442"/>
      <c r="D845" s="442"/>
      <c r="E845" s="442"/>
      <c r="F845" s="442"/>
      <c r="G845" s="442"/>
      <c r="H845" s="442"/>
      <c r="I845" s="442"/>
      <c r="J845" s="442"/>
      <c r="K845" s="442"/>
      <c r="L845" s="442"/>
      <c r="M845" s="442"/>
      <c r="N845" s="1484"/>
      <c r="O845" s="442"/>
    </row>
    <row r="846" spans="1:15" s="942" customFormat="1" ht="15.75" customHeight="1">
      <c r="A846" s="442"/>
      <c r="B846" s="442"/>
      <c r="C846" s="442"/>
      <c r="D846" s="442"/>
      <c r="E846" s="442"/>
      <c r="F846" s="442"/>
      <c r="G846" s="442"/>
      <c r="H846" s="442"/>
      <c r="I846" s="442"/>
      <c r="J846" s="442"/>
      <c r="K846" s="442"/>
      <c r="L846" s="442"/>
      <c r="M846" s="442"/>
      <c r="N846" s="1484"/>
      <c r="O846" s="442"/>
    </row>
    <row r="847" spans="1:15" s="942" customFormat="1" ht="15.75" customHeight="1">
      <c r="A847" s="442"/>
      <c r="B847" s="442"/>
      <c r="C847" s="442"/>
      <c r="D847" s="442"/>
      <c r="E847" s="442"/>
      <c r="F847" s="442"/>
      <c r="G847" s="442"/>
      <c r="H847" s="442"/>
      <c r="I847" s="442"/>
      <c r="J847" s="442"/>
      <c r="K847" s="442"/>
      <c r="L847" s="442"/>
      <c r="M847" s="442"/>
      <c r="N847" s="1484"/>
      <c r="O847" s="442"/>
    </row>
    <row r="848" spans="1:15" s="942" customFormat="1" ht="15.75" customHeight="1">
      <c r="A848" s="442"/>
      <c r="B848" s="442"/>
      <c r="C848" s="442"/>
      <c r="D848" s="442"/>
      <c r="E848" s="442"/>
      <c r="F848" s="442"/>
      <c r="G848" s="442"/>
      <c r="H848" s="442"/>
      <c r="I848" s="442"/>
      <c r="J848" s="442"/>
      <c r="K848" s="442"/>
      <c r="L848" s="442"/>
      <c r="M848" s="442"/>
      <c r="N848" s="1484"/>
      <c r="O848" s="442"/>
    </row>
    <row r="849" spans="1:15" s="942" customFormat="1" ht="15.75" customHeight="1">
      <c r="A849" s="442"/>
      <c r="B849" s="442"/>
      <c r="C849" s="442"/>
      <c r="D849" s="442"/>
      <c r="E849" s="442"/>
      <c r="F849" s="442"/>
      <c r="G849" s="442"/>
      <c r="H849" s="442"/>
      <c r="I849" s="442"/>
      <c r="J849" s="442"/>
      <c r="K849" s="442"/>
      <c r="L849" s="442"/>
      <c r="M849" s="442"/>
      <c r="N849" s="1484"/>
      <c r="O849" s="442"/>
    </row>
    <row r="850" spans="1:15" s="942" customFormat="1" ht="15.75" customHeight="1">
      <c r="A850" s="442"/>
      <c r="B850" s="442"/>
      <c r="C850" s="442"/>
      <c r="D850" s="442"/>
      <c r="E850" s="442"/>
      <c r="F850" s="442"/>
      <c r="G850" s="442"/>
      <c r="H850" s="442"/>
      <c r="I850" s="442"/>
      <c r="J850" s="442"/>
      <c r="K850" s="442"/>
      <c r="L850" s="442"/>
      <c r="M850" s="442"/>
      <c r="N850" s="1484"/>
      <c r="O850" s="442"/>
    </row>
    <row r="851" spans="1:15" s="942" customFormat="1" ht="15.75" customHeight="1">
      <c r="A851" s="442"/>
      <c r="B851" s="442"/>
      <c r="C851" s="442"/>
      <c r="D851" s="442"/>
      <c r="E851" s="442"/>
      <c r="F851" s="442"/>
      <c r="G851" s="442"/>
      <c r="H851" s="442"/>
      <c r="I851" s="442"/>
      <c r="J851" s="442"/>
      <c r="K851" s="442"/>
      <c r="L851" s="442"/>
      <c r="M851" s="442"/>
      <c r="N851" s="1484"/>
      <c r="O851" s="442"/>
    </row>
    <row r="852" spans="1:15" s="942" customFormat="1" ht="15.75" customHeight="1">
      <c r="A852" s="442"/>
      <c r="B852" s="442"/>
      <c r="C852" s="442"/>
      <c r="D852" s="442"/>
      <c r="E852" s="442"/>
      <c r="F852" s="442"/>
      <c r="G852" s="442"/>
      <c r="H852" s="442"/>
      <c r="I852" s="442"/>
      <c r="J852" s="442"/>
      <c r="K852" s="442"/>
      <c r="L852" s="442"/>
      <c r="M852" s="442"/>
      <c r="N852" s="1484"/>
      <c r="O852" s="442"/>
    </row>
    <row r="853" spans="1:15" s="942" customFormat="1" ht="15.75" customHeight="1">
      <c r="A853" s="442"/>
      <c r="B853" s="442"/>
      <c r="C853" s="442"/>
      <c r="D853" s="442"/>
      <c r="E853" s="442"/>
      <c r="F853" s="442"/>
      <c r="G853" s="442"/>
      <c r="H853" s="442"/>
      <c r="I853" s="442"/>
      <c r="J853" s="442"/>
      <c r="K853" s="442"/>
      <c r="L853" s="442"/>
      <c r="M853" s="442"/>
      <c r="N853" s="1484"/>
      <c r="O853" s="442"/>
    </row>
    <row r="854" spans="1:15" s="942" customFormat="1" ht="15.75" customHeight="1">
      <c r="A854" s="442"/>
      <c r="B854" s="442"/>
      <c r="C854" s="442"/>
      <c r="D854" s="442"/>
      <c r="E854" s="442"/>
      <c r="F854" s="442"/>
      <c r="G854" s="442"/>
      <c r="H854" s="442"/>
      <c r="I854" s="442"/>
      <c r="J854" s="442"/>
      <c r="K854" s="442"/>
      <c r="L854" s="442"/>
      <c r="M854" s="442"/>
      <c r="N854" s="1484"/>
      <c r="O854" s="442"/>
    </row>
    <row r="855" spans="1:15" s="942" customFormat="1" ht="15.75" customHeight="1">
      <c r="A855" s="442"/>
      <c r="B855" s="442"/>
      <c r="C855" s="442"/>
      <c r="D855" s="442"/>
      <c r="E855" s="442"/>
      <c r="F855" s="442"/>
      <c r="G855" s="442"/>
      <c r="H855" s="442"/>
      <c r="I855" s="442"/>
      <c r="J855" s="442"/>
      <c r="K855" s="442"/>
      <c r="L855" s="442"/>
      <c r="M855" s="442"/>
      <c r="N855" s="1484"/>
      <c r="O855" s="442"/>
    </row>
    <row r="856" spans="1:15" s="942" customFormat="1" ht="15.75" customHeight="1">
      <c r="A856" s="442"/>
      <c r="B856" s="442"/>
      <c r="C856" s="442"/>
      <c r="D856" s="442"/>
      <c r="E856" s="442"/>
      <c r="F856" s="442"/>
      <c r="G856" s="442"/>
      <c r="H856" s="442"/>
      <c r="I856" s="442"/>
      <c r="J856" s="442"/>
      <c r="K856" s="442"/>
      <c r="L856" s="442"/>
      <c r="M856" s="442"/>
      <c r="N856" s="1484"/>
      <c r="O856" s="442"/>
    </row>
    <row r="857" spans="1:15" s="942" customFormat="1" ht="15.75" customHeight="1">
      <c r="A857" s="442"/>
      <c r="B857" s="442"/>
      <c r="C857" s="442"/>
      <c r="D857" s="442"/>
      <c r="E857" s="442"/>
      <c r="F857" s="442"/>
      <c r="G857" s="442"/>
      <c r="H857" s="442"/>
      <c r="I857" s="442"/>
      <c r="J857" s="442"/>
      <c r="K857" s="442"/>
      <c r="L857" s="442"/>
      <c r="M857" s="442"/>
      <c r="N857" s="1484"/>
      <c r="O857" s="442"/>
    </row>
    <row r="858" spans="1:15" s="942" customFormat="1" ht="15.75" customHeight="1">
      <c r="A858" s="442"/>
      <c r="B858" s="442"/>
      <c r="C858" s="442"/>
      <c r="D858" s="442"/>
      <c r="E858" s="442"/>
      <c r="F858" s="442"/>
      <c r="G858" s="442"/>
      <c r="H858" s="442"/>
      <c r="I858" s="442"/>
      <c r="J858" s="442"/>
      <c r="K858" s="442"/>
      <c r="L858" s="442"/>
      <c r="M858" s="442"/>
      <c r="N858" s="1484"/>
      <c r="O858" s="442"/>
    </row>
    <row r="859" spans="1:15" s="942" customFormat="1" ht="15.75" customHeight="1">
      <c r="A859" s="442"/>
      <c r="B859" s="442"/>
      <c r="C859" s="442"/>
      <c r="D859" s="442"/>
      <c r="E859" s="442"/>
      <c r="F859" s="442"/>
      <c r="G859" s="442"/>
      <c r="H859" s="442"/>
      <c r="I859" s="442"/>
      <c r="J859" s="442"/>
      <c r="K859" s="442"/>
      <c r="L859" s="442"/>
      <c r="M859" s="442"/>
      <c r="N859" s="1484"/>
      <c r="O859" s="442"/>
    </row>
    <row r="860" spans="1:15" s="942" customFormat="1" ht="15.75" customHeight="1">
      <c r="A860" s="442"/>
      <c r="B860" s="442"/>
      <c r="C860" s="442"/>
      <c r="D860" s="442"/>
      <c r="E860" s="442"/>
      <c r="F860" s="442"/>
      <c r="G860" s="442"/>
      <c r="H860" s="442"/>
      <c r="I860" s="442"/>
      <c r="J860" s="442"/>
      <c r="K860" s="442"/>
      <c r="L860" s="442"/>
      <c r="M860" s="442"/>
      <c r="N860" s="1484"/>
      <c r="O860" s="442"/>
    </row>
    <row r="861" spans="1:15" s="942" customFormat="1" ht="15.75" customHeight="1">
      <c r="A861" s="442"/>
      <c r="B861" s="442"/>
      <c r="C861" s="442"/>
      <c r="D861" s="442"/>
      <c r="E861" s="442"/>
      <c r="F861" s="442"/>
      <c r="G861" s="442"/>
      <c r="H861" s="442"/>
      <c r="I861" s="442"/>
      <c r="J861" s="442"/>
      <c r="K861" s="442"/>
      <c r="L861" s="442"/>
      <c r="M861" s="442"/>
      <c r="N861" s="1484"/>
      <c r="O861" s="442"/>
    </row>
    <row r="862" spans="1:15" s="942" customFormat="1" ht="15.75" customHeight="1">
      <c r="A862" s="442"/>
      <c r="B862" s="442"/>
      <c r="C862" s="442"/>
      <c r="D862" s="442"/>
      <c r="E862" s="442"/>
      <c r="F862" s="442"/>
      <c r="G862" s="442"/>
      <c r="H862" s="442"/>
      <c r="I862" s="442"/>
      <c r="J862" s="442"/>
      <c r="K862" s="442"/>
      <c r="L862" s="442"/>
      <c r="M862" s="442"/>
      <c r="N862" s="1484"/>
      <c r="O862" s="442"/>
    </row>
    <row r="863" spans="1:15" s="942" customFormat="1" ht="15.75" customHeight="1">
      <c r="A863" s="442"/>
      <c r="B863" s="442"/>
      <c r="C863" s="442"/>
      <c r="D863" s="442"/>
      <c r="E863" s="442"/>
      <c r="F863" s="442"/>
      <c r="G863" s="442"/>
      <c r="H863" s="442"/>
      <c r="I863" s="442"/>
      <c r="J863" s="442"/>
      <c r="K863" s="442"/>
      <c r="L863" s="442"/>
      <c r="M863" s="442"/>
      <c r="N863" s="1484"/>
      <c r="O863" s="442"/>
    </row>
    <row r="864" spans="1:15" s="942" customFormat="1" ht="15.75" customHeight="1">
      <c r="A864" s="442"/>
      <c r="B864" s="442"/>
      <c r="C864" s="442"/>
      <c r="D864" s="442"/>
      <c r="E864" s="442"/>
      <c r="F864" s="442"/>
      <c r="G864" s="442"/>
      <c r="H864" s="442"/>
      <c r="I864" s="442"/>
      <c r="J864" s="442"/>
      <c r="K864" s="442"/>
      <c r="L864" s="442"/>
      <c r="M864" s="442"/>
      <c r="N864" s="1484"/>
      <c r="O864" s="442"/>
    </row>
    <row r="865" spans="1:15" s="942" customFormat="1" ht="15.75" customHeight="1">
      <c r="A865" s="442"/>
      <c r="B865" s="442"/>
      <c r="C865" s="442"/>
      <c r="D865" s="442"/>
      <c r="E865" s="442"/>
      <c r="F865" s="442"/>
      <c r="G865" s="442"/>
      <c r="H865" s="442"/>
      <c r="I865" s="442"/>
      <c r="J865" s="442"/>
      <c r="K865" s="442"/>
      <c r="L865" s="442"/>
      <c r="M865" s="442"/>
      <c r="N865" s="1484"/>
      <c r="O865" s="442"/>
    </row>
    <row r="866" spans="1:15" s="942" customFormat="1" ht="15.75" customHeight="1">
      <c r="A866" s="442"/>
      <c r="B866" s="442"/>
      <c r="C866" s="442"/>
      <c r="D866" s="442"/>
      <c r="E866" s="442"/>
      <c r="F866" s="442"/>
      <c r="G866" s="442"/>
      <c r="H866" s="442"/>
      <c r="I866" s="442"/>
      <c r="J866" s="442"/>
      <c r="K866" s="442"/>
      <c r="L866" s="442"/>
      <c r="M866" s="442"/>
      <c r="N866" s="1484"/>
      <c r="O866" s="442"/>
    </row>
    <row r="867" spans="1:15" s="942" customFormat="1" ht="15.75" customHeight="1">
      <c r="A867" s="442"/>
      <c r="B867" s="442"/>
      <c r="C867" s="442"/>
      <c r="D867" s="442"/>
      <c r="E867" s="442"/>
      <c r="F867" s="442"/>
      <c r="G867" s="442"/>
      <c r="H867" s="442"/>
      <c r="I867" s="442"/>
      <c r="J867" s="442"/>
      <c r="K867" s="442"/>
      <c r="L867" s="442"/>
      <c r="M867" s="442"/>
      <c r="N867" s="1484"/>
      <c r="O867" s="442"/>
    </row>
    <row r="868" spans="1:15" s="942" customFormat="1" ht="15.75" customHeight="1">
      <c r="A868" s="442"/>
      <c r="B868" s="442"/>
      <c r="C868" s="442"/>
      <c r="D868" s="442"/>
      <c r="E868" s="442"/>
      <c r="F868" s="442"/>
      <c r="G868" s="442"/>
      <c r="H868" s="442"/>
      <c r="I868" s="442"/>
      <c r="J868" s="442"/>
      <c r="K868" s="442"/>
      <c r="L868" s="442"/>
      <c r="M868" s="442"/>
      <c r="N868" s="1484"/>
      <c r="O868" s="442"/>
    </row>
    <row r="869" spans="1:15" s="942" customFormat="1" ht="15.75" customHeight="1">
      <c r="A869" s="442"/>
      <c r="B869" s="442"/>
      <c r="C869" s="442"/>
      <c r="D869" s="442"/>
      <c r="E869" s="442"/>
      <c r="F869" s="442"/>
      <c r="G869" s="442"/>
      <c r="H869" s="442"/>
      <c r="I869" s="442"/>
      <c r="J869" s="442"/>
      <c r="K869" s="442"/>
      <c r="L869" s="442"/>
      <c r="M869" s="442"/>
      <c r="N869" s="1484"/>
      <c r="O869" s="442"/>
    </row>
    <row r="870" spans="1:15" s="942" customFormat="1" ht="15.75" customHeight="1">
      <c r="A870" s="442"/>
      <c r="B870" s="442"/>
      <c r="C870" s="442"/>
      <c r="D870" s="442"/>
      <c r="E870" s="442"/>
      <c r="F870" s="442"/>
      <c r="G870" s="442"/>
      <c r="H870" s="442"/>
      <c r="I870" s="442"/>
      <c r="J870" s="442"/>
      <c r="K870" s="442"/>
      <c r="L870" s="442"/>
      <c r="M870" s="442"/>
      <c r="N870" s="1484"/>
      <c r="O870" s="442"/>
    </row>
    <row r="871" spans="1:15" s="942" customFormat="1" ht="15.75" customHeight="1">
      <c r="A871" s="442"/>
      <c r="B871" s="442"/>
      <c r="C871" s="442"/>
      <c r="D871" s="442"/>
      <c r="E871" s="442"/>
      <c r="F871" s="442"/>
      <c r="G871" s="442"/>
      <c r="H871" s="442"/>
      <c r="I871" s="442"/>
      <c r="J871" s="442"/>
      <c r="K871" s="442"/>
      <c r="L871" s="442"/>
      <c r="M871" s="442"/>
      <c r="N871" s="1484"/>
      <c r="O871" s="442"/>
    </row>
    <row r="872" spans="1:15" s="942" customFormat="1" ht="15.75" customHeight="1">
      <c r="A872" s="442"/>
      <c r="B872" s="442"/>
      <c r="C872" s="442"/>
      <c r="D872" s="442"/>
      <c r="E872" s="442"/>
      <c r="F872" s="442"/>
      <c r="G872" s="442"/>
      <c r="H872" s="442"/>
      <c r="I872" s="442"/>
      <c r="J872" s="442"/>
      <c r="K872" s="442"/>
      <c r="L872" s="442"/>
      <c r="M872" s="442"/>
      <c r="N872" s="1484"/>
      <c r="O872" s="442"/>
    </row>
    <row r="873" spans="1:15" s="942" customFormat="1" ht="15.75" customHeight="1">
      <c r="A873" s="442"/>
      <c r="B873" s="442"/>
      <c r="C873" s="442"/>
      <c r="D873" s="442"/>
      <c r="E873" s="442"/>
      <c r="F873" s="442"/>
      <c r="G873" s="442"/>
      <c r="H873" s="442"/>
      <c r="I873" s="442"/>
      <c r="J873" s="442"/>
      <c r="K873" s="442"/>
      <c r="L873" s="442"/>
      <c r="M873" s="442"/>
      <c r="N873" s="1484"/>
      <c r="O873" s="442"/>
    </row>
    <row r="874" spans="1:15" s="942" customFormat="1" ht="15.75" customHeight="1">
      <c r="A874" s="442"/>
      <c r="B874" s="442"/>
      <c r="C874" s="442"/>
      <c r="D874" s="442"/>
      <c r="E874" s="442"/>
      <c r="F874" s="442"/>
      <c r="G874" s="442"/>
      <c r="H874" s="442"/>
      <c r="I874" s="442"/>
      <c r="J874" s="442"/>
      <c r="K874" s="442"/>
      <c r="L874" s="442"/>
      <c r="M874" s="442"/>
      <c r="N874" s="1484"/>
      <c r="O874" s="442"/>
    </row>
    <row r="875" spans="1:15" s="942" customFormat="1" ht="15.75" customHeight="1">
      <c r="A875" s="442"/>
      <c r="B875" s="442"/>
      <c r="C875" s="442"/>
      <c r="D875" s="442"/>
      <c r="E875" s="442"/>
      <c r="F875" s="442"/>
      <c r="G875" s="442"/>
      <c r="H875" s="442"/>
      <c r="I875" s="442"/>
      <c r="J875" s="442"/>
      <c r="K875" s="442"/>
      <c r="L875" s="442"/>
      <c r="M875" s="442"/>
      <c r="N875" s="1484"/>
      <c r="O875" s="442"/>
    </row>
    <row r="876" spans="1:15" s="942" customFormat="1" ht="15.75" customHeight="1">
      <c r="A876" s="442"/>
      <c r="B876" s="442"/>
      <c r="C876" s="442"/>
      <c r="D876" s="442"/>
      <c r="E876" s="442"/>
      <c r="F876" s="442"/>
      <c r="G876" s="442"/>
      <c r="H876" s="442"/>
      <c r="I876" s="442"/>
      <c r="J876" s="442"/>
      <c r="K876" s="442"/>
      <c r="L876" s="442"/>
      <c r="M876" s="442"/>
      <c r="N876" s="1484"/>
      <c r="O876" s="442"/>
    </row>
    <row r="877" spans="1:15" s="942" customFormat="1" ht="15.75" customHeight="1">
      <c r="A877" s="442"/>
      <c r="B877" s="442"/>
      <c r="C877" s="442"/>
      <c r="D877" s="442"/>
      <c r="E877" s="442"/>
      <c r="F877" s="442"/>
      <c r="G877" s="442"/>
      <c r="H877" s="442"/>
      <c r="I877" s="442"/>
      <c r="J877" s="442"/>
      <c r="K877" s="442"/>
      <c r="L877" s="442"/>
      <c r="M877" s="442"/>
      <c r="N877" s="1484"/>
      <c r="O877" s="442"/>
    </row>
    <row r="878" spans="1:15" s="942" customFormat="1" ht="15.75" customHeight="1">
      <c r="A878" s="442"/>
      <c r="B878" s="442"/>
      <c r="C878" s="442"/>
      <c r="D878" s="442"/>
      <c r="E878" s="442"/>
      <c r="F878" s="442"/>
      <c r="G878" s="442"/>
      <c r="H878" s="442"/>
      <c r="I878" s="442"/>
      <c r="J878" s="442"/>
      <c r="K878" s="442"/>
      <c r="L878" s="442"/>
      <c r="M878" s="442"/>
      <c r="N878" s="1484"/>
      <c r="O878" s="442"/>
    </row>
    <row r="879" spans="1:15" s="942" customFormat="1" ht="15.75" customHeight="1">
      <c r="A879" s="442"/>
      <c r="B879" s="442"/>
      <c r="C879" s="442"/>
      <c r="D879" s="442"/>
      <c r="E879" s="442"/>
      <c r="F879" s="442"/>
      <c r="G879" s="442"/>
      <c r="H879" s="442"/>
      <c r="I879" s="442"/>
      <c r="J879" s="442"/>
      <c r="K879" s="442"/>
      <c r="L879" s="442"/>
      <c r="M879" s="442"/>
      <c r="N879" s="1484"/>
      <c r="O879" s="442"/>
    </row>
    <row r="880" spans="1:15" s="942" customFormat="1" ht="15.75" customHeight="1">
      <c r="A880" s="442"/>
      <c r="B880" s="442"/>
      <c r="C880" s="442"/>
      <c r="D880" s="442"/>
      <c r="E880" s="442"/>
      <c r="F880" s="442"/>
      <c r="G880" s="442"/>
      <c r="H880" s="442"/>
      <c r="I880" s="442"/>
      <c r="J880" s="442"/>
      <c r="K880" s="442"/>
      <c r="L880" s="442"/>
      <c r="M880" s="442"/>
      <c r="N880" s="1484"/>
      <c r="O880" s="442"/>
    </row>
    <row r="881" spans="1:15" s="942" customFormat="1" ht="15.75" customHeight="1">
      <c r="A881" s="442"/>
      <c r="B881" s="442"/>
      <c r="C881" s="442"/>
      <c r="D881" s="442"/>
      <c r="E881" s="442"/>
      <c r="F881" s="442"/>
      <c r="G881" s="442"/>
      <c r="H881" s="442"/>
      <c r="I881" s="442"/>
      <c r="J881" s="442"/>
      <c r="K881" s="442"/>
      <c r="L881" s="442"/>
      <c r="M881" s="442"/>
      <c r="N881" s="1484"/>
      <c r="O881" s="442"/>
    </row>
    <row r="882" spans="1:15" s="942" customFormat="1" ht="15.75" customHeight="1">
      <c r="A882" s="442"/>
      <c r="B882" s="442"/>
      <c r="C882" s="442"/>
      <c r="D882" s="442"/>
      <c r="E882" s="442"/>
      <c r="F882" s="442"/>
      <c r="G882" s="442"/>
      <c r="H882" s="442"/>
      <c r="I882" s="442"/>
      <c r="J882" s="442"/>
      <c r="K882" s="442"/>
      <c r="L882" s="442"/>
      <c r="M882" s="442"/>
      <c r="N882" s="1484"/>
      <c r="O882" s="442"/>
    </row>
    <row r="883" spans="1:15" s="942" customFormat="1" ht="15.75" customHeight="1">
      <c r="A883" s="442"/>
      <c r="B883" s="442"/>
      <c r="C883" s="442"/>
      <c r="D883" s="442"/>
      <c r="E883" s="442"/>
      <c r="F883" s="442"/>
      <c r="G883" s="442"/>
      <c r="H883" s="442"/>
      <c r="I883" s="442"/>
      <c r="J883" s="442"/>
      <c r="K883" s="442"/>
      <c r="L883" s="442"/>
      <c r="M883" s="442"/>
      <c r="N883" s="1484"/>
      <c r="O883" s="442"/>
    </row>
    <row r="884" spans="1:15" s="942" customFormat="1" ht="15.75" customHeight="1">
      <c r="A884" s="442"/>
      <c r="B884" s="442"/>
      <c r="C884" s="442"/>
      <c r="D884" s="442"/>
      <c r="E884" s="442"/>
      <c r="F884" s="442"/>
      <c r="G884" s="442"/>
      <c r="H884" s="442"/>
      <c r="I884" s="442"/>
      <c r="J884" s="442"/>
      <c r="K884" s="442"/>
      <c r="L884" s="442"/>
      <c r="M884" s="442"/>
      <c r="N884" s="1484"/>
      <c r="O884" s="442"/>
    </row>
    <row r="885" spans="1:15" s="942" customFormat="1" ht="15.75" customHeight="1">
      <c r="A885" s="442"/>
      <c r="B885" s="442"/>
      <c r="C885" s="442"/>
      <c r="D885" s="442"/>
      <c r="E885" s="442"/>
      <c r="F885" s="442"/>
      <c r="G885" s="442"/>
      <c r="H885" s="442"/>
      <c r="I885" s="442"/>
      <c r="J885" s="442"/>
      <c r="K885" s="442"/>
      <c r="L885" s="442"/>
      <c r="M885" s="442"/>
      <c r="N885" s="1484"/>
      <c r="O885" s="442"/>
    </row>
    <row r="886" spans="1:15" s="942" customFormat="1" ht="15.75" customHeight="1">
      <c r="A886" s="442"/>
      <c r="B886" s="442"/>
      <c r="C886" s="442"/>
      <c r="D886" s="442"/>
      <c r="E886" s="442"/>
      <c r="F886" s="442"/>
      <c r="G886" s="442"/>
      <c r="H886" s="442"/>
      <c r="I886" s="442"/>
      <c r="J886" s="442"/>
      <c r="K886" s="442"/>
      <c r="L886" s="442"/>
      <c r="M886" s="442"/>
      <c r="N886" s="1484"/>
      <c r="O886" s="442"/>
    </row>
    <row r="887" spans="1:15" s="942" customFormat="1" ht="15.75" customHeight="1">
      <c r="A887" s="442"/>
      <c r="B887" s="442"/>
      <c r="C887" s="442"/>
      <c r="D887" s="442"/>
      <c r="E887" s="442"/>
      <c r="F887" s="442"/>
      <c r="G887" s="442"/>
      <c r="H887" s="442"/>
      <c r="I887" s="442"/>
      <c r="J887" s="442"/>
      <c r="K887" s="442"/>
      <c r="L887" s="442"/>
      <c r="M887" s="442"/>
      <c r="N887" s="1484"/>
      <c r="O887" s="442"/>
    </row>
    <row r="888" spans="1:15" s="942" customFormat="1" ht="15.75" customHeight="1">
      <c r="A888" s="442"/>
      <c r="B888" s="442"/>
      <c r="C888" s="442"/>
      <c r="D888" s="442"/>
      <c r="E888" s="442"/>
      <c r="F888" s="442"/>
      <c r="G888" s="442"/>
      <c r="H888" s="442"/>
      <c r="I888" s="442"/>
      <c r="J888" s="442"/>
      <c r="K888" s="442"/>
      <c r="L888" s="442"/>
      <c r="M888" s="442"/>
      <c r="N888" s="1484"/>
      <c r="O888" s="442"/>
    </row>
    <row r="889" spans="1:15" s="942" customFormat="1" ht="15.75" customHeight="1">
      <c r="A889" s="442"/>
      <c r="B889" s="442"/>
      <c r="C889" s="442"/>
      <c r="D889" s="442"/>
      <c r="E889" s="442"/>
      <c r="F889" s="442"/>
      <c r="G889" s="442"/>
      <c r="H889" s="442"/>
      <c r="I889" s="442"/>
      <c r="J889" s="442"/>
      <c r="K889" s="442"/>
      <c r="L889" s="442"/>
      <c r="M889" s="442"/>
      <c r="N889" s="1484"/>
      <c r="O889" s="442"/>
    </row>
    <row r="890" spans="1:15" s="942" customFormat="1" ht="15.75" customHeight="1">
      <c r="A890" s="442"/>
      <c r="B890" s="442"/>
      <c r="C890" s="442"/>
      <c r="D890" s="442"/>
      <c r="E890" s="442"/>
      <c r="F890" s="442"/>
      <c r="G890" s="442"/>
      <c r="H890" s="442"/>
      <c r="I890" s="442"/>
      <c r="J890" s="442"/>
      <c r="K890" s="442"/>
      <c r="L890" s="442"/>
      <c r="M890" s="442"/>
      <c r="N890" s="1484"/>
      <c r="O890" s="442"/>
    </row>
    <row r="891" spans="1:15" s="942" customFormat="1" ht="15.75" customHeight="1">
      <c r="A891" s="442"/>
      <c r="B891" s="442"/>
      <c r="C891" s="442"/>
      <c r="D891" s="442"/>
      <c r="E891" s="442"/>
      <c r="F891" s="442"/>
      <c r="G891" s="442"/>
      <c r="H891" s="442"/>
      <c r="I891" s="442"/>
      <c r="J891" s="442"/>
      <c r="K891" s="442"/>
      <c r="L891" s="442"/>
      <c r="M891" s="442"/>
      <c r="N891" s="1484"/>
      <c r="O891" s="442"/>
    </row>
    <row r="892" spans="1:15" s="942" customFormat="1" ht="15.75" customHeight="1">
      <c r="A892" s="442"/>
      <c r="B892" s="442"/>
      <c r="C892" s="442"/>
      <c r="D892" s="442"/>
      <c r="E892" s="442"/>
      <c r="F892" s="442"/>
      <c r="G892" s="442"/>
      <c r="H892" s="442"/>
      <c r="I892" s="442"/>
      <c r="J892" s="442"/>
      <c r="K892" s="442"/>
      <c r="L892" s="442"/>
      <c r="M892" s="442"/>
      <c r="N892" s="1484"/>
      <c r="O892" s="442"/>
    </row>
    <row r="893" spans="1:15" s="942" customFormat="1" ht="15.75" customHeight="1">
      <c r="A893" s="442"/>
      <c r="B893" s="442"/>
      <c r="C893" s="442"/>
      <c r="D893" s="442"/>
      <c r="E893" s="442"/>
      <c r="F893" s="442"/>
      <c r="G893" s="442"/>
      <c r="H893" s="442"/>
      <c r="I893" s="442"/>
      <c r="J893" s="442"/>
      <c r="K893" s="442"/>
      <c r="L893" s="442"/>
      <c r="M893" s="442"/>
      <c r="N893" s="1484"/>
      <c r="O893" s="442"/>
    </row>
    <row r="894" spans="1:15" s="942" customFormat="1" ht="15.75" customHeight="1">
      <c r="A894" s="442"/>
      <c r="B894" s="442"/>
      <c r="C894" s="442"/>
      <c r="D894" s="442"/>
      <c r="E894" s="442"/>
      <c r="F894" s="442"/>
      <c r="G894" s="442"/>
      <c r="H894" s="442"/>
      <c r="I894" s="442"/>
      <c r="J894" s="442"/>
      <c r="K894" s="442"/>
      <c r="L894" s="442"/>
      <c r="M894" s="442"/>
      <c r="N894" s="1484"/>
      <c r="O894" s="442"/>
    </row>
    <row r="895" spans="1:15" s="942" customFormat="1" ht="15.75" customHeight="1">
      <c r="A895" s="442"/>
      <c r="B895" s="442"/>
      <c r="C895" s="442"/>
      <c r="D895" s="442"/>
      <c r="E895" s="442"/>
      <c r="F895" s="442"/>
      <c r="G895" s="442"/>
      <c r="H895" s="442"/>
      <c r="I895" s="442"/>
      <c r="J895" s="442"/>
      <c r="K895" s="442"/>
      <c r="L895" s="442"/>
      <c r="M895" s="442"/>
      <c r="N895" s="1484"/>
      <c r="O895" s="442"/>
    </row>
    <row r="896" spans="1:15" s="942" customFormat="1" ht="15.75" customHeight="1">
      <c r="A896" s="442"/>
      <c r="B896" s="442"/>
      <c r="C896" s="442"/>
      <c r="D896" s="442"/>
      <c r="E896" s="442"/>
      <c r="F896" s="442"/>
      <c r="G896" s="442"/>
      <c r="H896" s="442"/>
      <c r="I896" s="442"/>
      <c r="J896" s="442"/>
      <c r="K896" s="442"/>
      <c r="L896" s="442"/>
      <c r="M896" s="442"/>
      <c r="N896" s="1484"/>
      <c r="O896" s="442"/>
    </row>
    <row r="897" spans="1:15" s="942" customFormat="1" ht="15.75" customHeight="1">
      <c r="A897" s="442"/>
      <c r="B897" s="442"/>
      <c r="C897" s="442"/>
      <c r="D897" s="442"/>
      <c r="E897" s="442"/>
      <c r="F897" s="442"/>
      <c r="G897" s="442"/>
      <c r="H897" s="442"/>
      <c r="I897" s="442"/>
      <c r="J897" s="442"/>
      <c r="K897" s="442"/>
      <c r="L897" s="442"/>
      <c r="M897" s="442"/>
      <c r="N897" s="1484"/>
      <c r="O897" s="442"/>
    </row>
    <row r="898" spans="1:15" s="942" customFormat="1" ht="15.75" customHeight="1">
      <c r="A898" s="442"/>
      <c r="B898" s="442"/>
      <c r="C898" s="442"/>
      <c r="D898" s="442"/>
      <c r="E898" s="442"/>
      <c r="F898" s="442"/>
      <c r="G898" s="442"/>
      <c r="H898" s="442"/>
      <c r="I898" s="442"/>
      <c r="J898" s="442"/>
      <c r="K898" s="442"/>
      <c r="L898" s="442"/>
      <c r="M898" s="442"/>
      <c r="N898" s="1484"/>
      <c r="O898" s="442"/>
    </row>
    <row r="899" spans="1:15" s="942" customFormat="1" ht="15.75" customHeight="1">
      <c r="A899" s="442"/>
      <c r="B899" s="442"/>
      <c r="C899" s="442"/>
      <c r="D899" s="442"/>
      <c r="E899" s="442"/>
      <c r="F899" s="442"/>
      <c r="G899" s="442"/>
      <c r="H899" s="442"/>
      <c r="I899" s="442"/>
      <c r="J899" s="442"/>
      <c r="K899" s="442"/>
      <c r="L899" s="442"/>
      <c r="M899" s="442"/>
      <c r="N899" s="1484"/>
      <c r="O899" s="442"/>
    </row>
    <row r="900" spans="1:15" s="942" customFormat="1" ht="15.75" customHeight="1">
      <c r="A900" s="442"/>
      <c r="B900" s="442"/>
      <c r="C900" s="442"/>
      <c r="D900" s="442"/>
      <c r="E900" s="442"/>
      <c r="F900" s="442"/>
      <c r="G900" s="442"/>
      <c r="H900" s="442"/>
      <c r="I900" s="442"/>
      <c r="J900" s="442"/>
      <c r="K900" s="442"/>
      <c r="L900" s="442"/>
      <c r="M900" s="442"/>
      <c r="N900" s="1484"/>
      <c r="O900" s="442"/>
    </row>
    <row r="901" spans="1:15" s="942" customFormat="1" ht="15.75" customHeight="1">
      <c r="A901" s="442"/>
      <c r="B901" s="442"/>
      <c r="C901" s="442"/>
      <c r="D901" s="442"/>
      <c r="E901" s="442"/>
      <c r="F901" s="442"/>
      <c r="G901" s="442"/>
      <c r="H901" s="442"/>
      <c r="I901" s="442"/>
      <c r="J901" s="442"/>
      <c r="K901" s="442"/>
      <c r="L901" s="442"/>
      <c r="M901" s="442"/>
      <c r="N901" s="1484"/>
      <c r="O901" s="442"/>
    </row>
    <row r="902" spans="1:15" s="942" customFormat="1" ht="15.75" customHeight="1">
      <c r="A902" s="442"/>
      <c r="B902" s="442"/>
      <c r="C902" s="442"/>
      <c r="D902" s="442"/>
      <c r="E902" s="442"/>
      <c r="F902" s="442"/>
      <c r="G902" s="442"/>
      <c r="H902" s="442"/>
      <c r="I902" s="442"/>
      <c r="J902" s="442"/>
      <c r="K902" s="442"/>
      <c r="L902" s="442"/>
      <c r="M902" s="442"/>
      <c r="N902" s="1484"/>
      <c r="O902" s="442"/>
    </row>
    <row r="903" spans="1:15" s="942" customFormat="1" ht="15.75" customHeight="1">
      <c r="A903" s="442"/>
      <c r="B903" s="442"/>
      <c r="C903" s="442"/>
      <c r="D903" s="442"/>
      <c r="E903" s="442"/>
      <c r="F903" s="442"/>
      <c r="G903" s="442"/>
      <c r="H903" s="442"/>
      <c r="I903" s="442"/>
      <c r="J903" s="442"/>
      <c r="K903" s="442"/>
      <c r="L903" s="442"/>
      <c r="M903" s="442"/>
      <c r="N903" s="1484"/>
      <c r="O903" s="442"/>
    </row>
    <row r="904" spans="1:15" s="942" customFormat="1" ht="15.75" customHeight="1">
      <c r="A904" s="442"/>
      <c r="B904" s="442"/>
      <c r="C904" s="442"/>
      <c r="D904" s="442"/>
      <c r="E904" s="442"/>
      <c r="F904" s="442"/>
      <c r="G904" s="442"/>
      <c r="H904" s="442"/>
      <c r="I904" s="442"/>
      <c r="J904" s="442"/>
      <c r="K904" s="442"/>
      <c r="L904" s="442"/>
      <c r="M904" s="442"/>
      <c r="N904" s="1484"/>
      <c r="O904" s="442"/>
    </row>
    <row r="905" spans="1:15" s="942" customFormat="1" ht="15.75" customHeight="1">
      <c r="A905" s="442"/>
      <c r="B905" s="442"/>
      <c r="C905" s="442"/>
      <c r="D905" s="442"/>
      <c r="E905" s="442"/>
      <c r="F905" s="442"/>
      <c r="G905" s="442"/>
      <c r="H905" s="442"/>
      <c r="I905" s="442"/>
      <c r="J905" s="442"/>
      <c r="K905" s="442"/>
      <c r="L905" s="442"/>
      <c r="M905" s="442"/>
      <c r="N905" s="1484"/>
      <c r="O905" s="442"/>
    </row>
    <row r="906" spans="1:15" s="942" customFormat="1" ht="15.75" customHeight="1">
      <c r="A906" s="442"/>
      <c r="B906" s="442"/>
      <c r="C906" s="442"/>
      <c r="D906" s="442"/>
      <c r="E906" s="442"/>
      <c r="F906" s="442"/>
      <c r="G906" s="442"/>
      <c r="H906" s="442"/>
      <c r="I906" s="442"/>
      <c r="J906" s="442"/>
      <c r="K906" s="442"/>
      <c r="L906" s="442"/>
      <c r="M906" s="442"/>
      <c r="N906" s="1484"/>
      <c r="O906" s="442"/>
    </row>
    <row r="907" spans="1:15" s="942" customFormat="1" ht="15.75" customHeight="1">
      <c r="A907" s="442"/>
      <c r="B907" s="442"/>
      <c r="C907" s="442"/>
      <c r="D907" s="442"/>
      <c r="E907" s="442"/>
      <c r="F907" s="442"/>
      <c r="G907" s="442"/>
      <c r="H907" s="442"/>
      <c r="I907" s="442"/>
      <c r="J907" s="442"/>
      <c r="K907" s="442"/>
      <c r="L907" s="442"/>
      <c r="M907" s="442"/>
      <c r="N907" s="1484"/>
      <c r="O907" s="442"/>
    </row>
    <row r="908" spans="1:15" s="942" customFormat="1" ht="15.75" customHeight="1">
      <c r="A908" s="442"/>
      <c r="B908" s="442"/>
      <c r="C908" s="442"/>
      <c r="D908" s="442"/>
      <c r="E908" s="442"/>
      <c r="F908" s="442"/>
      <c r="G908" s="442"/>
      <c r="H908" s="442"/>
      <c r="I908" s="442"/>
      <c r="J908" s="442"/>
      <c r="K908" s="442"/>
      <c r="L908" s="442"/>
      <c r="M908" s="442"/>
      <c r="N908" s="1484"/>
      <c r="O908" s="442"/>
    </row>
    <row r="909" spans="1:15" s="942" customFormat="1" ht="15.75" customHeight="1">
      <c r="A909" s="442"/>
      <c r="B909" s="442"/>
      <c r="C909" s="442"/>
      <c r="D909" s="442"/>
      <c r="E909" s="442"/>
      <c r="F909" s="442"/>
      <c r="G909" s="442"/>
      <c r="H909" s="442"/>
      <c r="I909" s="442"/>
      <c r="J909" s="442"/>
      <c r="K909" s="442"/>
      <c r="L909" s="442"/>
      <c r="M909" s="442"/>
      <c r="N909" s="1484"/>
      <c r="O909" s="442"/>
    </row>
    <row r="910" spans="1:15" s="942" customFormat="1" ht="15.75" customHeight="1">
      <c r="A910" s="442"/>
      <c r="B910" s="442"/>
      <c r="C910" s="442"/>
      <c r="D910" s="442"/>
      <c r="E910" s="442"/>
      <c r="F910" s="442"/>
      <c r="G910" s="442"/>
      <c r="H910" s="442"/>
      <c r="I910" s="442"/>
      <c r="J910" s="442"/>
      <c r="K910" s="442"/>
      <c r="L910" s="442"/>
      <c r="M910" s="442"/>
      <c r="N910" s="1484"/>
      <c r="O910" s="442"/>
    </row>
    <row r="911" spans="1:15" s="942" customFormat="1" ht="15.75" customHeight="1">
      <c r="A911" s="442"/>
      <c r="B911" s="442"/>
      <c r="C911" s="442"/>
      <c r="D911" s="442"/>
      <c r="E911" s="442"/>
      <c r="F911" s="442"/>
      <c r="G911" s="442"/>
      <c r="H911" s="442"/>
      <c r="I911" s="442"/>
      <c r="J911" s="442"/>
      <c r="K911" s="442"/>
      <c r="L911" s="442"/>
      <c r="M911" s="442"/>
      <c r="N911" s="1484"/>
      <c r="O911" s="442"/>
    </row>
    <row r="912" spans="1:15" s="942" customFormat="1" ht="15.75" customHeight="1">
      <c r="A912" s="442"/>
      <c r="B912" s="442"/>
      <c r="C912" s="442"/>
      <c r="D912" s="442"/>
      <c r="E912" s="442"/>
      <c r="F912" s="442"/>
      <c r="G912" s="442"/>
      <c r="H912" s="442"/>
      <c r="I912" s="442"/>
      <c r="J912" s="442"/>
      <c r="K912" s="442"/>
      <c r="L912" s="442"/>
      <c r="M912" s="442"/>
      <c r="N912" s="1484"/>
      <c r="O912" s="442"/>
    </row>
    <row r="913" spans="1:15" s="942" customFormat="1" ht="15.75" customHeight="1">
      <c r="A913" s="442"/>
      <c r="B913" s="442"/>
      <c r="C913" s="442"/>
      <c r="D913" s="442"/>
      <c r="E913" s="442"/>
      <c r="F913" s="442"/>
      <c r="G913" s="442"/>
      <c r="H913" s="442"/>
      <c r="I913" s="442"/>
      <c r="J913" s="442"/>
      <c r="K913" s="442"/>
      <c r="L913" s="442"/>
      <c r="M913" s="442"/>
      <c r="N913" s="1484"/>
      <c r="O913" s="442"/>
    </row>
    <row r="914" spans="1:15" s="942" customFormat="1" ht="15.75" customHeight="1">
      <c r="A914" s="442"/>
      <c r="B914" s="442"/>
      <c r="C914" s="442"/>
      <c r="D914" s="442"/>
      <c r="E914" s="442"/>
      <c r="F914" s="442"/>
      <c r="G914" s="442"/>
      <c r="H914" s="442"/>
      <c r="I914" s="442"/>
      <c r="J914" s="442"/>
      <c r="K914" s="442"/>
      <c r="L914" s="442"/>
      <c r="M914" s="442"/>
      <c r="N914" s="1484"/>
      <c r="O914" s="442"/>
    </row>
    <row r="915" spans="1:15" s="942" customFormat="1" ht="15.75" customHeight="1">
      <c r="A915" s="442"/>
      <c r="B915" s="442"/>
      <c r="C915" s="442"/>
      <c r="D915" s="442"/>
      <c r="E915" s="442"/>
      <c r="F915" s="442"/>
      <c r="G915" s="442"/>
      <c r="H915" s="442"/>
      <c r="I915" s="442"/>
      <c r="J915" s="442"/>
      <c r="K915" s="442"/>
      <c r="L915" s="442"/>
      <c r="M915" s="442"/>
      <c r="N915" s="1484"/>
      <c r="O915" s="442"/>
    </row>
    <row r="916" spans="1:15" s="942" customFormat="1" ht="15.75" customHeight="1">
      <c r="A916" s="442"/>
      <c r="B916" s="442"/>
      <c r="C916" s="442"/>
      <c r="D916" s="442"/>
      <c r="E916" s="442"/>
      <c r="F916" s="442"/>
      <c r="G916" s="442"/>
      <c r="H916" s="442"/>
      <c r="I916" s="442"/>
      <c r="J916" s="442"/>
      <c r="K916" s="442"/>
      <c r="L916" s="442"/>
      <c r="M916" s="442"/>
      <c r="N916" s="1484"/>
      <c r="O916" s="442"/>
    </row>
    <row r="917" spans="1:15" s="942" customFormat="1" ht="15.75" customHeight="1">
      <c r="A917" s="442"/>
      <c r="B917" s="442"/>
      <c r="C917" s="442"/>
      <c r="D917" s="442"/>
      <c r="E917" s="442"/>
      <c r="F917" s="442"/>
      <c r="G917" s="442"/>
      <c r="H917" s="442"/>
      <c r="I917" s="442"/>
      <c r="J917" s="442"/>
      <c r="K917" s="442"/>
      <c r="L917" s="442"/>
      <c r="M917" s="442"/>
      <c r="N917" s="1484"/>
      <c r="O917" s="442"/>
    </row>
    <row r="918" spans="1:15" s="942" customFormat="1" ht="15.75" customHeight="1">
      <c r="A918" s="442"/>
      <c r="B918" s="442"/>
      <c r="C918" s="442"/>
      <c r="D918" s="442"/>
      <c r="E918" s="442"/>
      <c r="F918" s="442"/>
      <c r="G918" s="442"/>
      <c r="H918" s="442"/>
      <c r="I918" s="442"/>
      <c r="J918" s="442"/>
      <c r="K918" s="442"/>
      <c r="L918" s="442"/>
      <c r="M918" s="442"/>
      <c r="N918" s="1484"/>
      <c r="O918" s="442"/>
    </row>
    <row r="919" spans="1:15" s="942" customFormat="1" ht="15.75" customHeight="1">
      <c r="A919" s="442"/>
      <c r="B919" s="442"/>
      <c r="C919" s="442"/>
      <c r="D919" s="442"/>
      <c r="E919" s="442"/>
      <c r="F919" s="442"/>
      <c r="G919" s="442"/>
      <c r="H919" s="442"/>
      <c r="I919" s="442"/>
      <c r="J919" s="442"/>
      <c r="K919" s="442"/>
      <c r="L919" s="442"/>
      <c r="M919" s="442"/>
      <c r="N919" s="1484"/>
      <c r="O919" s="442"/>
    </row>
    <row r="920" spans="1:15" s="942" customFormat="1" ht="15.75" customHeight="1">
      <c r="A920" s="442"/>
      <c r="B920" s="442"/>
      <c r="C920" s="442"/>
      <c r="D920" s="442"/>
      <c r="E920" s="442"/>
      <c r="F920" s="442"/>
      <c r="G920" s="442"/>
      <c r="H920" s="442"/>
      <c r="I920" s="442"/>
      <c r="J920" s="442"/>
      <c r="K920" s="442"/>
      <c r="L920" s="442"/>
      <c r="M920" s="442"/>
      <c r="N920" s="1484"/>
      <c r="O920" s="442"/>
    </row>
    <row r="921" spans="1:15" s="942" customFormat="1" ht="15.75" customHeight="1">
      <c r="A921" s="442"/>
      <c r="B921" s="442"/>
      <c r="C921" s="442"/>
      <c r="D921" s="442"/>
      <c r="E921" s="442"/>
      <c r="F921" s="442"/>
      <c r="G921" s="442"/>
      <c r="H921" s="442"/>
      <c r="I921" s="442"/>
      <c r="J921" s="442"/>
      <c r="K921" s="442"/>
      <c r="L921" s="442"/>
      <c r="M921" s="442"/>
      <c r="N921" s="1484"/>
      <c r="O921" s="442"/>
    </row>
    <row r="922" spans="1:15" s="942" customFormat="1" ht="15.75" customHeight="1">
      <c r="A922" s="442"/>
      <c r="B922" s="442"/>
      <c r="C922" s="442"/>
      <c r="D922" s="442"/>
      <c r="E922" s="442"/>
      <c r="F922" s="442"/>
      <c r="G922" s="442"/>
      <c r="H922" s="442"/>
      <c r="I922" s="442"/>
      <c r="J922" s="442"/>
      <c r="K922" s="442"/>
      <c r="L922" s="442"/>
      <c r="M922" s="442"/>
      <c r="N922" s="1484"/>
      <c r="O922" s="442"/>
    </row>
    <row r="923" spans="1:15" s="942" customFormat="1" ht="15.75" customHeight="1">
      <c r="A923" s="442"/>
      <c r="B923" s="442"/>
      <c r="C923" s="442"/>
      <c r="D923" s="442"/>
      <c r="E923" s="442"/>
      <c r="F923" s="442"/>
      <c r="G923" s="442"/>
      <c r="H923" s="442"/>
      <c r="I923" s="442"/>
      <c r="J923" s="442"/>
      <c r="K923" s="442"/>
      <c r="L923" s="442"/>
      <c r="M923" s="442"/>
      <c r="N923" s="1484"/>
      <c r="O923" s="442"/>
    </row>
    <row r="924" spans="1:15" s="942" customFormat="1" ht="15.75" customHeight="1">
      <c r="A924" s="442"/>
      <c r="B924" s="442"/>
      <c r="C924" s="442"/>
      <c r="D924" s="442"/>
      <c r="E924" s="442"/>
      <c r="F924" s="442"/>
      <c r="G924" s="442"/>
      <c r="H924" s="442"/>
      <c r="I924" s="442"/>
      <c r="J924" s="442"/>
      <c r="K924" s="442"/>
      <c r="L924" s="442"/>
      <c r="M924" s="442"/>
      <c r="N924" s="1484"/>
      <c r="O924" s="442"/>
    </row>
    <row r="925" spans="1:15" s="942" customFormat="1" ht="15.75" customHeight="1">
      <c r="A925" s="442"/>
      <c r="B925" s="442"/>
      <c r="C925" s="442"/>
      <c r="D925" s="442"/>
      <c r="E925" s="442"/>
      <c r="F925" s="442"/>
      <c r="G925" s="442"/>
      <c r="H925" s="442"/>
      <c r="I925" s="442"/>
      <c r="J925" s="442"/>
      <c r="K925" s="442"/>
      <c r="L925" s="442"/>
      <c r="M925" s="442"/>
      <c r="N925" s="1484"/>
      <c r="O925" s="442"/>
    </row>
    <row r="926" spans="1:15" s="942" customFormat="1" ht="15.75" customHeight="1">
      <c r="A926" s="442"/>
      <c r="B926" s="442"/>
      <c r="C926" s="442"/>
      <c r="D926" s="442"/>
      <c r="E926" s="442"/>
      <c r="F926" s="442"/>
      <c r="G926" s="442"/>
      <c r="H926" s="442"/>
      <c r="I926" s="442"/>
      <c r="J926" s="442"/>
      <c r="K926" s="442"/>
      <c r="L926" s="442"/>
      <c r="M926" s="442"/>
      <c r="N926" s="1484"/>
      <c r="O926" s="442"/>
    </row>
    <row r="927" spans="1:15" s="942" customFormat="1" ht="15.75" customHeight="1">
      <c r="A927" s="442"/>
      <c r="B927" s="442"/>
      <c r="C927" s="442"/>
      <c r="D927" s="442"/>
      <c r="E927" s="442"/>
      <c r="F927" s="442"/>
      <c r="G927" s="442"/>
      <c r="H927" s="442"/>
      <c r="I927" s="442"/>
      <c r="J927" s="442"/>
      <c r="K927" s="442"/>
      <c r="L927" s="442"/>
      <c r="M927" s="442"/>
      <c r="N927" s="1484"/>
      <c r="O927" s="442"/>
    </row>
    <row r="928" spans="1:15" s="942" customFormat="1" ht="15.75" customHeight="1">
      <c r="A928" s="442"/>
      <c r="B928" s="442"/>
      <c r="C928" s="442"/>
      <c r="D928" s="442"/>
      <c r="E928" s="442"/>
      <c r="F928" s="442"/>
      <c r="G928" s="442"/>
      <c r="H928" s="442"/>
      <c r="I928" s="442"/>
      <c r="J928" s="442"/>
      <c r="K928" s="442"/>
      <c r="L928" s="442"/>
      <c r="M928" s="442"/>
      <c r="N928" s="1484"/>
      <c r="O928" s="442"/>
    </row>
    <row r="929" spans="1:15" s="942" customFormat="1" ht="15.75" customHeight="1">
      <c r="A929" s="442"/>
      <c r="B929" s="442"/>
      <c r="C929" s="442"/>
      <c r="D929" s="442"/>
      <c r="E929" s="442"/>
      <c r="F929" s="442"/>
      <c r="G929" s="442"/>
      <c r="H929" s="442"/>
      <c r="I929" s="442"/>
      <c r="J929" s="442"/>
      <c r="K929" s="442"/>
      <c r="L929" s="442"/>
      <c r="M929" s="442"/>
      <c r="N929" s="1484"/>
      <c r="O929" s="442"/>
    </row>
    <row r="930" spans="1:15" s="942" customFormat="1" ht="15.75" customHeight="1">
      <c r="A930" s="442"/>
      <c r="B930" s="442"/>
      <c r="C930" s="442"/>
      <c r="D930" s="442"/>
      <c r="E930" s="442"/>
      <c r="F930" s="442"/>
      <c r="G930" s="442"/>
      <c r="H930" s="442"/>
      <c r="I930" s="442"/>
      <c r="J930" s="442"/>
      <c r="K930" s="442"/>
      <c r="L930" s="442"/>
      <c r="M930" s="442"/>
      <c r="N930" s="1484"/>
      <c r="O930" s="442"/>
    </row>
    <row r="931" spans="1:15" s="942" customFormat="1" ht="15.75" customHeight="1">
      <c r="A931" s="442"/>
      <c r="B931" s="442"/>
      <c r="C931" s="442"/>
      <c r="D931" s="442"/>
      <c r="E931" s="442"/>
      <c r="F931" s="442"/>
      <c r="G931" s="442"/>
      <c r="H931" s="442"/>
      <c r="I931" s="442"/>
      <c r="J931" s="442"/>
      <c r="K931" s="442"/>
      <c r="L931" s="442"/>
      <c r="M931" s="442"/>
      <c r="N931" s="1484"/>
      <c r="O931" s="442"/>
    </row>
    <row r="932" spans="1:15" s="942" customFormat="1" ht="15.75" customHeight="1">
      <c r="A932" s="442"/>
      <c r="B932" s="442"/>
      <c r="C932" s="442"/>
      <c r="D932" s="442"/>
      <c r="E932" s="442"/>
      <c r="F932" s="442"/>
      <c r="G932" s="442"/>
      <c r="H932" s="442"/>
      <c r="I932" s="442"/>
      <c r="J932" s="442"/>
      <c r="K932" s="442"/>
      <c r="L932" s="442"/>
      <c r="M932" s="442"/>
      <c r="N932" s="1484"/>
      <c r="O932" s="442"/>
    </row>
    <row r="933" spans="1:15" s="942" customFormat="1" ht="15.75" customHeight="1">
      <c r="A933" s="442"/>
      <c r="B933" s="442"/>
      <c r="C933" s="442"/>
      <c r="D933" s="442"/>
      <c r="E933" s="442"/>
      <c r="F933" s="442"/>
      <c r="G933" s="442"/>
      <c r="H933" s="442"/>
      <c r="I933" s="442"/>
      <c r="J933" s="442"/>
      <c r="K933" s="442"/>
      <c r="L933" s="442"/>
      <c r="M933" s="442"/>
      <c r="N933" s="1484"/>
      <c r="O933" s="442"/>
    </row>
    <row r="934" spans="1:15" s="942" customFormat="1" ht="15.75" customHeight="1">
      <c r="A934" s="442"/>
      <c r="B934" s="442"/>
      <c r="C934" s="442"/>
      <c r="D934" s="442"/>
      <c r="E934" s="442"/>
      <c r="F934" s="442"/>
      <c r="G934" s="442"/>
      <c r="H934" s="442"/>
      <c r="I934" s="442"/>
      <c r="J934" s="442"/>
      <c r="K934" s="442"/>
      <c r="L934" s="442"/>
      <c r="M934" s="442"/>
      <c r="N934" s="1484"/>
      <c r="O934" s="442"/>
    </row>
    <row r="935" spans="1:15" s="942" customFormat="1" ht="15.75" customHeight="1">
      <c r="A935" s="442"/>
      <c r="B935" s="442"/>
      <c r="C935" s="442"/>
      <c r="D935" s="442"/>
      <c r="E935" s="442"/>
      <c r="F935" s="442"/>
      <c r="G935" s="442"/>
      <c r="H935" s="442"/>
      <c r="I935" s="442"/>
      <c r="J935" s="442"/>
      <c r="K935" s="442"/>
      <c r="L935" s="442"/>
      <c r="M935" s="442"/>
      <c r="N935" s="1484"/>
      <c r="O935" s="442"/>
    </row>
    <row r="936" spans="1:15" s="942" customFormat="1" ht="15.75" customHeight="1">
      <c r="A936" s="442"/>
      <c r="B936" s="442"/>
      <c r="C936" s="442"/>
      <c r="D936" s="442"/>
      <c r="E936" s="442"/>
      <c r="F936" s="442"/>
      <c r="G936" s="442"/>
      <c r="H936" s="442"/>
      <c r="I936" s="442"/>
      <c r="J936" s="442"/>
      <c r="K936" s="442"/>
      <c r="L936" s="442"/>
      <c r="M936" s="442"/>
      <c r="N936" s="1484"/>
      <c r="O936" s="442"/>
    </row>
    <row r="937" spans="1:15" s="942" customFormat="1" ht="15.75" customHeight="1">
      <c r="A937" s="442"/>
      <c r="B937" s="442"/>
      <c r="C937" s="442"/>
      <c r="D937" s="442"/>
      <c r="E937" s="442"/>
      <c r="F937" s="442"/>
      <c r="G937" s="442"/>
      <c r="H937" s="442"/>
      <c r="I937" s="442"/>
      <c r="J937" s="442"/>
      <c r="K937" s="442"/>
      <c r="L937" s="442"/>
      <c r="M937" s="442"/>
      <c r="N937" s="1484"/>
      <c r="O937" s="442"/>
    </row>
    <row r="938" spans="1:15" s="942" customFormat="1" ht="15.75" customHeight="1">
      <c r="A938" s="442"/>
      <c r="B938" s="442"/>
      <c r="C938" s="442"/>
      <c r="D938" s="442"/>
      <c r="E938" s="442"/>
      <c r="F938" s="442"/>
      <c r="G938" s="442"/>
      <c r="H938" s="442"/>
      <c r="I938" s="442"/>
      <c r="J938" s="442"/>
      <c r="K938" s="442"/>
      <c r="L938" s="442"/>
      <c r="M938" s="442"/>
      <c r="N938" s="1484"/>
      <c r="O938" s="442"/>
    </row>
    <row r="939" spans="1:15" s="942" customFormat="1" ht="15.75" customHeight="1">
      <c r="A939" s="442"/>
      <c r="B939" s="442"/>
      <c r="C939" s="442"/>
      <c r="D939" s="442"/>
      <c r="E939" s="442"/>
      <c r="F939" s="442"/>
      <c r="G939" s="442"/>
      <c r="H939" s="442"/>
      <c r="I939" s="442"/>
      <c r="J939" s="442"/>
      <c r="K939" s="442"/>
      <c r="L939" s="442"/>
      <c r="M939" s="442"/>
      <c r="N939" s="1484"/>
      <c r="O939" s="442"/>
    </row>
    <row r="940" spans="1:15" s="942" customFormat="1" ht="15.75" customHeight="1">
      <c r="A940" s="442"/>
      <c r="B940" s="442"/>
      <c r="C940" s="442"/>
      <c r="D940" s="442"/>
      <c r="E940" s="442"/>
      <c r="F940" s="442"/>
      <c r="G940" s="442"/>
      <c r="H940" s="442"/>
      <c r="I940" s="442"/>
      <c r="J940" s="442"/>
      <c r="K940" s="442"/>
      <c r="L940" s="442"/>
      <c r="M940" s="442"/>
      <c r="N940" s="1484"/>
      <c r="O940" s="442"/>
    </row>
    <row r="941" spans="1:15" s="942" customFormat="1" ht="15.75" customHeight="1">
      <c r="A941" s="442"/>
      <c r="B941" s="442"/>
      <c r="C941" s="442"/>
      <c r="D941" s="442"/>
      <c r="E941" s="442"/>
      <c r="F941" s="442"/>
      <c r="G941" s="442"/>
      <c r="H941" s="442"/>
      <c r="I941" s="442"/>
      <c r="J941" s="442"/>
      <c r="K941" s="442"/>
      <c r="L941" s="442"/>
      <c r="M941" s="442"/>
      <c r="N941" s="1484"/>
      <c r="O941" s="442"/>
    </row>
    <row r="942" spans="1:15" s="942" customFormat="1" ht="15.75" customHeight="1">
      <c r="A942" s="442"/>
      <c r="B942" s="442"/>
      <c r="C942" s="442"/>
      <c r="D942" s="442"/>
      <c r="E942" s="442"/>
      <c r="F942" s="442"/>
      <c r="G942" s="442"/>
      <c r="H942" s="442"/>
      <c r="I942" s="442"/>
      <c r="J942" s="442"/>
      <c r="K942" s="442"/>
      <c r="L942" s="442"/>
      <c r="M942" s="442"/>
      <c r="N942" s="1484"/>
      <c r="O942" s="442"/>
    </row>
    <row r="943" spans="1:15" s="942" customFormat="1" ht="15.75" customHeight="1">
      <c r="A943" s="442"/>
      <c r="B943" s="442"/>
      <c r="C943" s="442"/>
      <c r="D943" s="442"/>
      <c r="E943" s="442"/>
      <c r="F943" s="442"/>
      <c r="G943" s="442"/>
      <c r="H943" s="442"/>
      <c r="I943" s="442"/>
      <c r="J943" s="442"/>
      <c r="K943" s="442"/>
      <c r="L943" s="442"/>
      <c r="M943" s="442"/>
      <c r="N943" s="1484"/>
      <c r="O943" s="442"/>
    </row>
    <row r="944" spans="1:15" s="942" customFormat="1" ht="15.75" customHeight="1">
      <c r="A944" s="442"/>
      <c r="B944" s="442"/>
      <c r="C944" s="442"/>
      <c r="D944" s="442"/>
      <c r="E944" s="442"/>
      <c r="F944" s="442"/>
      <c r="G944" s="442"/>
      <c r="H944" s="442"/>
      <c r="I944" s="442"/>
      <c r="J944" s="442"/>
      <c r="K944" s="442"/>
      <c r="L944" s="442"/>
      <c r="M944" s="442"/>
      <c r="N944" s="1484"/>
      <c r="O944" s="442"/>
    </row>
    <row r="945" spans="1:15" s="942" customFormat="1" ht="15.75" customHeight="1">
      <c r="A945" s="442"/>
      <c r="B945" s="442"/>
      <c r="C945" s="442"/>
      <c r="D945" s="442"/>
      <c r="E945" s="442"/>
      <c r="F945" s="442"/>
      <c r="G945" s="442"/>
      <c r="H945" s="442"/>
      <c r="I945" s="442"/>
      <c r="J945" s="442"/>
      <c r="K945" s="442"/>
      <c r="L945" s="442"/>
      <c r="M945" s="442"/>
      <c r="N945" s="1484"/>
      <c r="O945" s="442"/>
    </row>
    <row r="946" spans="1:15" s="942" customFormat="1" ht="15.75" customHeight="1">
      <c r="A946" s="442"/>
      <c r="B946" s="442"/>
      <c r="C946" s="442"/>
      <c r="D946" s="442"/>
      <c r="E946" s="442"/>
      <c r="F946" s="442"/>
      <c r="G946" s="442"/>
      <c r="H946" s="442"/>
      <c r="I946" s="442"/>
      <c r="J946" s="442"/>
      <c r="K946" s="442"/>
      <c r="L946" s="442"/>
      <c r="M946" s="442"/>
      <c r="N946" s="1484"/>
      <c r="O946" s="442"/>
    </row>
    <row r="947" spans="1:15" s="942" customFormat="1" ht="15.75" customHeight="1">
      <c r="A947" s="442"/>
      <c r="B947" s="442"/>
      <c r="C947" s="442"/>
      <c r="D947" s="442"/>
      <c r="E947" s="442"/>
      <c r="F947" s="442"/>
      <c r="G947" s="442"/>
      <c r="H947" s="442"/>
      <c r="I947" s="442"/>
      <c r="J947" s="442"/>
      <c r="K947" s="442"/>
      <c r="L947" s="442"/>
      <c r="M947" s="442"/>
      <c r="N947" s="1484"/>
      <c r="O947" s="442"/>
    </row>
    <row r="948" spans="1:15" s="942" customFormat="1" ht="15.75" customHeight="1">
      <c r="A948" s="442"/>
      <c r="B948" s="442"/>
      <c r="C948" s="442"/>
      <c r="D948" s="442"/>
      <c r="E948" s="442"/>
      <c r="F948" s="442"/>
      <c r="G948" s="442"/>
      <c r="H948" s="442"/>
      <c r="I948" s="442"/>
      <c r="J948" s="442"/>
      <c r="K948" s="442"/>
      <c r="L948" s="442"/>
      <c r="M948" s="442"/>
      <c r="N948" s="1484"/>
      <c r="O948" s="442"/>
    </row>
    <row r="949" spans="1:15" s="942" customFormat="1" ht="15.75" customHeight="1">
      <c r="A949" s="442"/>
      <c r="B949" s="442"/>
      <c r="C949" s="442"/>
      <c r="D949" s="442"/>
      <c r="E949" s="442"/>
      <c r="F949" s="442"/>
      <c r="G949" s="442"/>
      <c r="H949" s="442"/>
      <c r="I949" s="442"/>
      <c r="J949" s="442"/>
      <c r="K949" s="442"/>
      <c r="L949" s="442"/>
      <c r="M949" s="442"/>
      <c r="N949" s="1484"/>
      <c r="O949" s="442"/>
    </row>
    <row r="950" spans="1:15" s="942" customFormat="1" ht="15.75" customHeight="1">
      <c r="A950" s="442"/>
      <c r="B950" s="442"/>
      <c r="C950" s="442"/>
      <c r="D950" s="442"/>
      <c r="E950" s="442"/>
      <c r="F950" s="442"/>
      <c r="G950" s="442"/>
      <c r="H950" s="442"/>
      <c r="I950" s="442"/>
      <c r="J950" s="442"/>
      <c r="K950" s="442"/>
      <c r="L950" s="442"/>
      <c r="M950" s="442"/>
      <c r="N950" s="1484"/>
      <c r="O950" s="442"/>
    </row>
    <row r="951" spans="1:15" s="942" customFormat="1" ht="15.75" customHeight="1">
      <c r="A951" s="442"/>
      <c r="B951" s="442"/>
      <c r="C951" s="442"/>
      <c r="D951" s="442"/>
      <c r="E951" s="442"/>
      <c r="F951" s="442"/>
      <c r="G951" s="442"/>
      <c r="H951" s="442"/>
      <c r="I951" s="442"/>
      <c r="J951" s="442"/>
      <c r="K951" s="442"/>
      <c r="L951" s="442"/>
      <c r="M951" s="442"/>
      <c r="N951" s="1484"/>
      <c r="O951" s="442"/>
    </row>
    <row r="952" spans="1:15" s="942" customFormat="1" ht="15.75" customHeight="1">
      <c r="A952" s="442"/>
      <c r="B952" s="442"/>
      <c r="C952" s="442"/>
      <c r="D952" s="442"/>
      <c r="E952" s="442"/>
      <c r="F952" s="442"/>
      <c r="G952" s="442"/>
      <c r="H952" s="442"/>
      <c r="I952" s="442"/>
      <c r="J952" s="442"/>
      <c r="K952" s="442"/>
      <c r="L952" s="442"/>
      <c r="M952" s="442"/>
      <c r="N952" s="1484"/>
      <c r="O952" s="442"/>
    </row>
    <row r="953" spans="1:15" s="942" customFormat="1" ht="15.75" customHeight="1">
      <c r="A953" s="442"/>
      <c r="B953" s="442"/>
      <c r="C953" s="442"/>
      <c r="D953" s="442"/>
      <c r="E953" s="442"/>
      <c r="F953" s="442"/>
      <c r="G953" s="442"/>
      <c r="H953" s="442"/>
      <c r="I953" s="442"/>
      <c r="J953" s="442"/>
      <c r="K953" s="442"/>
      <c r="L953" s="442"/>
      <c r="M953" s="442"/>
      <c r="N953" s="1484"/>
      <c r="O953" s="442"/>
    </row>
    <row r="954" spans="1:15" s="942" customFormat="1" ht="15.75" customHeight="1">
      <c r="A954" s="442"/>
      <c r="B954" s="442"/>
      <c r="C954" s="442"/>
      <c r="D954" s="442"/>
      <c r="E954" s="442"/>
      <c r="F954" s="442"/>
      <c r="G954" s="442"/>
      <c r="H954" s="442"/>
      <c r="I954" s="442"/>
      <c r="J954" s="442"/>
      <c r="K954" s="442"/>
      <c r="L954" s="442"/>
      <c r="M954" s="442"/>
      <c r="N954" s="1484"/>
      <c r="O954" s="442"/>
    </row>
    <row r="955" spans="1:15" s="942" customFormat="1" ht="15.75" customHeight="1">
      <c r="A955" s="442"/>
      <c r="B955" s="442"/>
      <c r="C955" s="442"/>
      <c r="D955" s="442"/>
      <c r="E955" s="442"/>
      <c r="F955" s="442"/>
      <c r="G955" s="442"/>
      <c r="H955" s="442"/>
      <c r="I955" s="442"/>
      <c r="J955" s="442"/>
      <c r="K955" s="442"/>
      <c r="L955" s="442"/>
      <c r="M955" s="442"/>
      <c r="N955" s="1484"/>
      <c r="O955" s="442"/>
    </row>
    <row r="956" spans="1:15" s="942" customFormat="1" ht="15.75" customHeight="1">
      <c r="A956" s="442"/>
      <c r="B956" s="442"/>
      <c r="C956" s="442"/>
      <c r="D956" s="442"/>
      <c r="E956" s="442"/>
      <c r="F956" s="442"/>
      <c r="G956" s="442"/>
      <c r="H956" s="442"/>
      <c r="I956" s="442"/>
      <c r="J956" s="442"/>
      <c r="K956" s="442"/>
      <c r="L956" s="442"/>
      <c r="M956" s="442"/>
      <c r="N956" s="1484"/>
      <c r="O956" s="442"/>
    </row>
    <row r="957" spans="1:15" s="942" customFormat="1" ht="15.75" customHeight="1">
      <c r="A957" s="442"/>
      <c r="B957" s="442"/>
      <c r="C957" s="442"/>
      <c r="D957" s="442"/>
      <c r="E957" s="442"/>
      <c r="F957" s="442"/>
      <c r="G957" s="442"/>
      <c r="H957" s="442"/>
      <c r="I957" s="442"/>
      <c r="J957" s="442"/>
      <c r="K957" s="442"/>
      <c r="L957" s="442"/>
      <c r="M957" s="442"/>
      <c r="N957" s="1484"/>
      <c r="O957" s="442"/>
    </row>
    <row r="958" spans="1:15" s="942" customFormat="1" ht="15.75" customHeight="1">
      <c r="A958" s="442"/>
      <c r="B958" s="442"/>
      <c r="C958" s="442"/>
      <c r="D958" s="442"/>
      <c r="E958" s="442"/>
      <c r="F958" s="442"/>
      <c r="G958" s="442"/>
      <c r="H958" s="442"/>
      <c r="I958" s="442"/>
      <c r="J958" s="442"/>
      <c r="K958" s="442"/>
      <c r="L958" s="442"/>
      <c r="M958" s="442"/>
      <c r="N958" s="1484"/>
      <c r="O958" s="442"/>
    </row>
    <row r="959" spans="1:15" s="942" customFormat="1" ht="15.75" customHeight="1">
      <c r="A959" s="442"/>
      <c r="B959" s="442"/>
      <c r="C959" s="442"/>
      <c r="D959" s="442"/>
      <c r="E959" s="442"/>
      <c r="F959" s="442"/>
      <c r="G959" s="442"/>
      <c r="H959" s="442"/>
      <c r="I959" s="442"/>
      <c r="J959" s="442"/>
      <c r="K959" s="442"/>
      <c r="L959" s="442"/>
      <c r="M959" s="442"/>
      <c r="N959" s="1484"/>
      <c r="O959" s="442"/>
    </row>
    <row r="960" spans="1:15" s="942" customFormat="1" ht="15.75" customHeight="1">
      <c r="A960" s="442"/>
      <c r="B960" s="442"/>
      <c r="C960" s="442"/>
      <c r="D960" s="442"/>
      <c r="E960" s="442"/>
      <c r="F960" s="442"/>
      <c r="G960" s="442"/>
      <c r="H960" s="442"/>
      <c r="I960" s="442"/>
      <c r="J960" s="442"/>
      <c r="K960" s="442"/>
      <c r="L960" s="442"/>
      <c r="M960" s="442"/>
      <c r="N960" s="1484"/>
      <c r="O960" s="442"/>
    </row>
    <row r="961" spans="1:15" s="942" customFormat="1" ht="15.75" customHeight="1">
      <c r="A961" s="442"/>
      <c r="B961" s="442"/>
      <c r="C961" s="442"/>
      <c r="D961" s="442"/>
      <c r="E961" s="442"/>
      <c r="F961" s="442"/>
      <c r="G961" s="442"/>
      <c r="H961" s="442"/>
      <c r="I961" s="442"/>
      <c r="J961" s="442"/>
      <c r="K961" s="442"/>
      <c r="L961" s="442"/>
      <c r="M961" s="442"/>
      <c r="N961" s="1484"/>
      <c r="O961" s="442"/>
    </row>
    <row r="962" spans="1:15" s="942" customFormat="1" ht="15.75" customHeight="1">
      <c r="A962" s="442"/>
      <c r="B962" s="442"/>
      <c r="C962" s="442"/>
      <c r="D962" s="442"/>
      <c r="E962" s="442"/>
      <c r="F962" s="442"/>
      <c r="G962" s="442"/>
      <c r="H962" s="442"/>
      <c r="I962" s="442"/>
      <c r="J962" s="442"/>
      <c r="K962" s="442"/>
      <c r="L962" s="442"/>
      <c r="M962" s="442"/>
      <c r="N962" s="1484"/>
      <c r="O962" s="442"/>
    </row>
    <row r="963" spans="1:15" s="942" customFormat="1" ht="15.75" customHeight="1">
      <c r="A963" s="442"/>
      <c r="B963" s="442"/>
      <c r="C963" s="442"/>
      <c r="D963" s="442"/>
      <c r="E963" s="442"/>
      <c r="F963" s="442"/>
      <c r="G963" s="442"/>
      <c r="H963" s="442"/>
      <c r="I963" s="442"/>
      <c r="J963" s="442"/>
      <c r="K963" s="442"/>
      <c r="L963" s="442"/>
      <c r="M963" s="442"/>
      <c r="N963" s="1484"/>
      <c r="O963" s="442"/>
    </row>
    <row r="964" spans="1:15" s="942" customFormat="1" ht="15.75" customHeight="1">
      <c r="A964" s="442"/>
      <c r="B964" s="442"/>
      <c r="C964" s="442"/>
      <c r="D964" s="442"/>
      <c r="E964" s="442"/>
      <c r="F964" s="442"/>
      <c r="G964" s="442"/>
      <c r="H964" s="442"/>
      <c r="I964" s="442"/>
      <c r="J964" s="442"/>
      <c r="K964" s="442"/>
      <c r="L964" s="442"/>
      <c r="M964" s="442"/>
      <c r="N964" s="1484"/>
      <c r="O964" s="442"/>
    </row>
    <row r="965" spans="1:15" s="942" customFormat="1" ht="15.75" customHeight="1">
      <c r="A965" s="442"/>
      <c r="B965" s="442"/>
      <c r="C965" s="442"/>
      <c r="D965" s="442"/>
      <c r="E965" s="442"/>
      <c r="F965" s="442"/>
      <c r="G965" s="442"/>
      <c r="H965" s="442"/>
      <c r="I965" s="442"/>
      <c r="J965" s="442"/>
      <c r="K965" s="442"/>
      <c r="L965" s="442"/>
      <c r="M965" s="442"/>
      <c r="N965" s="1484"/>
      <c r="O965" s="442"/>
    </row>
    <row r="966" spans="1:15" s="942" customFormat="1" ht="15.75" customHeight="1">
      <c r="A966" s="442"/>
      <c r="B966" s="442"/>
      <c r="C966" s="442"/>
      <c r="D966" s="442"/>
      <c r="E966" s="442"/>
      <c r="F966" s="442"/>
      <c r="G966" s="442"/>
      <c r="H966" s="442"/>
      <c r="I966" s="442"/>
      <c r="J966" s="442"/>
      <c r="K966" s="442"/>
      <c r="L966" s="442"/>
      <c r="M966" s="442"/>
      <c r="N966" s="1484"/>
      <c r="O966" s="442"/>
    </row>
    <row r="967" spans="1:15" s="942" customFormat="1" ht="15.75" customHeight="1">
      <c r="A967" s="442"/>
      <c r="B967" s="442"/>
      <c r="C967" s="442"/>
      <c r="D967" s="442"/>
      <c r="E967" s="442"/>
      <c r="F967" s="442"/>
      <c r="G967" s="442"/>
      <c r="H967" s="442"/>
      <c r="I967" s="442"/>
      <c r="J967" s="442"/>
      <c r="K967" s="442"/>
      <c r="L967" s="442"/>
      <c r="M967" s="442"/>
      <c r="N967" s="1484"/>
      <c r="O967" s="442"/>
    </row>
    <row r="968" spans="1:15" s="942" customFormat="1" ht="15.75" customHeight="1">
      <c r="A968" s="442"/>
      <c r="B968" s="442"/>
      <c r="C968" s="442"/>
      <c r="D968" s="442"/>
      <c r="E968" s="442"/>
      <c r="F968" s="442"/>
      <c r="G968" s="442"/>
      <c r="H968" s="442"/>
      <c r="I968" s="442"/>
      <c r="J968" s="442"/>
      <c r="K968" s="442"/>
      <c r="L968" s="442"/>
      <c r="M968" s="442"/>
      <c r="N968" s="1484"/>
      <c r="O968" s="442"/>
    </row>
    <row r="969" spans="1:15" s="942" customFormat="1" ht="15.75" customHeight="1">
      <c r="A969" s="442"/>
      <c r="B969" s="442"/>
      <c r="C969" s="442"/>
      <c r="D969" s="442"/>
      <c r="E969" s="442"/>
      <c r="F969" s="442"/>
      <c r="G969" s="442"/>
      <c r="H969" s="442"/>
      <c r="I969" s="442"/>
      <c r="J969" s="442"/>
      <c r="K969" s="442"/>
      <c r="L969" s="442"/>
      <c r="M969" s="442"/>
      <c r="N969" s="1484"/>
      <c r="O969" s="442"/>
    </row>
    <row r="970" spans="1:15" s="942" customFormat="1" ht="15.75" customHeight="1">
      <c r="A970" s="442"/>
      <c r="B970" s="442"/>
      <c r="C970" s="442"/>
      <c r="D970" s="442"/>
      <c r="E970" s="442"/>
      <c r="F970" s="442"/>
      <c r="G970" s="442"/>
      <c r="H970" s="442"/>
      <c r="I970" s="442"/>
      <c r="J970" s="442"/>
      <c r="K970" s="442"/>
      <c r="L970" s="442"/>
      <c r="M970" s="442"/>
      <c r="N970" s="1484"/>
      <c r="O970" s="442"/>
    </row>
    <row r="971" spans="1:15" s="942" customFormat="1" ht="15.75" customHeight="1">
      <c r="A971" s="442"/>
      <c r="B971" s="442"/>
      <c r="C971" s="442"/>
      <c r="D971" s="442"/>
      <c r="E971" s="442"/>
      <c r="F971" s="442"/>
      <c r="G971" s="442"/>
      <c r="H971" s="442"/>
      <c r="I971" s="442"/>
      <c r="J971" s="442"/>
      <c r="K971" s="442"/>
      <c r="L971" s="442"/>
      <c r="M971" s="442"/>
      <c r="N971" s="1484"/>
      <c r="O971" s="442"/>
    </row>
    <row r="972" spans="1:15" s="942" customFormat="1" ht="15.75" customHeight="1">
      <c r="A972" s="442"/>
      <c r="B972" s="442"/>
      <c r="C972" s="442"/>
      <c r="D972" s="442"/>
      <c r="E972" s="442"/>
      <c r="F972" s="442"/>
      <c r="G972" s="442"/>
      <c r="H972" s="442"/>
      <c r="I972" s="442"/>
      <c r="J972" s="442"/>
      <c r="K972" s="442"/>
      <c r="L972" s="442"/>
      <c r="M972" s="442"/>
      <c r="N972" s="1484"/>
      <c r="O972" s="442"/>
    </row>
    <row r="973" spans="1:15" s="942" customFormat="1" ht="15.75" customHeight="1">
      <c r="A973" s="442"/>
      <c r="B973" s="442"/>
      <c r="C973" s="442"/>
      <c r="D973" s="442"/>
      <c r="E973" s="442"/>
      <c r="F973" s="442"/>
      <c r="G973" s="442"/>
      <c r="H973" s="442"/>
      <c r="I973" s="442"/>
      <c r="J973" s="442"/>
      <c r="K973" s="442"/>
      <c r="L973" s="442"/>
      <c r="M973" s="442"/>
      <c r="N973" s="1484"/>
      <c r="O973" s="442"/>
    </row>
    <row r="974" spans="1:15" s="942" customFormat="1" ht="15.75" customHeight="1">
      <c r="A974" s="442"/>
      <c r="B974" s="442"/>
      <c r="C974" s="442"/>
      <c r="D974" s="442"/>
      <c r="E974" s="442"/>
      <c r="F974" s="442"/>
      <c r="G974" s="442"/>
      <c r="H974" s="442"/>
      <c r="I974" s="442"/>
      <c r="J974" s="442"/>
      <c r="K974" s="442"/>
      <c r="L974" s="442"/>
      <c r="M974" s="442"/>
      <c r="N974" s="1484"/>
      <c r="O974" s="442"/>
    </row>
    <row r="975" spans="1:15" s="942" customFormat="1" ht="15.75" customHeight="1">
      <c r="A975" s="442"/>
      <c r="B975" s="442"/>
      <c r="C975" s="442"/>
      <c r="D975" s="442"/>
      <c r="E975" s="442"/>
      <c r="F975" s="442"/>
      <c r="G975" s="442"/>
      <c r="H975" s="442"/>
      <c r="I975" s="442"/>
      <c r="J975" s="442"/>
      <c r="K975" s="442"/>
      <c r="L975" s="442"/>
      <c r="M975" s="442"/>
      <c r="N975" s="1484"/>
      <c r="O975" s="442"/>
    </row>
    <row r="976" spans="1:15" s="942" customFormat="1" ht="15.75" customHeight="1">
      <c r="A976" s="442"/>
      <c r="B976" s="442"/>
      <c r="C976" s="442"/>
      <c r="D976" s="442"/>
      <c r="E976" s="442"/>
      <c r="F976" s="442"/>
      <c r="G976" s="442"/>
      <c r="H976" s="442"/>
      <c r="I976" s="442"/>
      <c r="J976" s="442"/>
      <c r="K976" s="442"/>
      <c r="L976" s="442"/>
      <c r="M976" s="442"/>
      <c r="N976" s="1484"/>
      <c r="O976" s="442"/>
    </row>
    <row r="977" spans="1:15" s="942" customFormat="1" ht="15.75" customHeight="1">
      <c r="A977" s="442"/>
      <c r="B977" s="442"/>
      <c r="C977" s="442"/>
      <c r="D977" s="442"/>
      <c r="E977" s="442"/>
      <c r="F977" s="442"/>
      <c r="G977" s="442"/>
      <c r="H977" s="442"/>
      <c r="I977" s="442"/>
      <c r="J977" s="442"/>
      <c r="K977" s="442"/>
      <c r="L977" s="442"/>
      <c r="M977" s="442"/>
      <c r="N977" s="1484"/>
      <c r="O977" s="442"/>
    </row>
    <row r="978" spans="1:15" s="942" customFormat="1" ht="15.75" customHeight="1">
      <c r="A978" s="442"/>
      <c r="B978" s="442"/>
      <c r="C978" s="442"/>
      <c r="D978" s="442"/>
      <c r="E978" s="442"/>
      <c r="F978" s="442"/>
      <c r="G978" s="442"/>
      <c r="H978" s="442"/>
      <c r="I978" s="442"/>
      <c r="J978" s="442"/>
      <c r="K978" s="442"/>
      <c r="L978" s="442"/>
      <c r="M978" s="442"/>
      <c r="N978" s="1484"/>
      <c r="O978" s="442"/>
    </row>
    <row r="979" spans="1:15" s="942" customFormat="1" ht="15.75" customHeight="1">
      <c r="A979" s="442"/>
      <c r="B979" s="442"/>
      <c r="C979" s="442"/>
      <c r="D979" s="442"/>
      <c r="E979" s="442"/>
      <c r="F979" s="442"/>
      <c r="G979" s="442"/>
      <c r="H979" s="442"/>
      <c r="I979" s="442"/>
      <c r="J979" s="442"/>
      <c r="K979" s="442"/>
      <c r="L979" s="442"/>
      <c r="M979" s="442"/>
      <c r="N979" s="1484"/>
      <c r="O979" s="442"/>
    </row>
    <row r="980" spans="1:15" s="942" customFormat="1" ht="15.75" customHeight="1">
      <c r="A980" s="442"/>
      <c r="B980" s="442"/>
      <c r="C980" s="442"/>
      <c r="D980" s="442"/>
      <c r="E980" s="442"/>
      <c r="F980" s="442"/>
      <c r="G980" s="442"/>
      <c r="H980" s="442"/>
      <c r="I980" s="442"/>
      <c r="J980" s="442"/>
      <c r="K980" s="442"/>
      <c r="L980" s="442"/>
      <c r="M980" s="442"/>
      <c r="N980" s="1484"/>
      <c r="O980" s="442"/>
    </row>
    <row r="981" spans="1:15" s="942" customFormat="1" ht="15.75" customHeight="1">
      <c r="A981" s="442"/>
      <c r="B981" s="442"/>
      <c r="C981" s="442"/>
      <c r="D981" s="442"/>
      <c r="E981" s="442"/>
      <c r="F981" s="442"/>
      <c r="G981" s="442"/>
      <c r="H981" s="442"/>
      <c r="I981" s="442"/>
      <c r="J981" s="442"/>
      <c r="K981" s="442"/>
      <c r="L981" s="442"/>
      <c r="M981" s="442"/>
      <c r="N981" s="1484"/>
      <c r="O981" s="442"/>
    </row>
    <row r="982" spans="1:15" s="942" customFormat="1" ht="15.75" customHeight="1">
      <c r="A982" s="442"/>
      <c r="B982" s="442"/>
      <c r="C982" s="442"/>
      <c r="D982" s="442"/>
      <c r="E982" s="442"/>
      <c r="F982" s="442"/>
      <c r="G982" s="442"/>
      <c r="H982" s="442"/>
      <c r="I982" s="442"/>
      <c r="J982" s="442"/>
      <c r="K982" s="442"/>
      <c r="L982" s="442"/>
      <c r="M982" s="442"/>
      <c r="N982" s="1484"/>
      <c r="O982" s="442"/>
    </row>
    <row r="983" spans="1:15" s="942" customFormat="1" ht="15.75" customHeight="1">
      <c r="A983" s="442"/>
      <c r="B983" s="442"/>
      <c r="C983" s="442"/>
      <c r="D983" s="442"/>
      <c r="E983" s="442"/>
      <c r="F983" s="442"/>
      <c r="G983" s="442"/>
      <c r="H983" s="442"/>
      <c r="I983" s="442"/>
      <c r="J983" s="442"/>
      <c r="K983" s="442"/>
      <c r="L983" s="442"/>
      <c r="M983" s="442"/>
      <c r="N983" s="1484"/>
      <c r="O983" s="442"/>
    </row>
    <row r="984" spans="1:15" s="942" customFormat="1" ht="15.75" customHeight="1">
      <c r="A984" s="442"/>
      <c r="B984" s="442"/>
      <c r="C984" s="442"/>
      <c r="D984" s="442"/>
      <c r="E984" s="442"/>
      <c r="F984" s="442"/>
      <c r="G984" s="442"/>
      <c r="H984" s="442"/>
      <c r="I984" s="442"/>
      <c r="J984" s="442"/>
      <c r="K984" s="442"/>
      <c r="L984" s="442"/>
      <c r="M984" s="442"/>
      <c r="N984" s="1484"/>
      <c r="O984" s="442"/>
    </row>
    <row r="985" spans="1:15" s="942" customFormat="1" ht="15.75" customHeight="1">
      <c r="A985" s="442"/>
      <c r="B985" s="442"/>
      <c r="C985" s="442"/>
      <c r="D985" s="442"/>
      <c r="E985" s="442"/>
      <c r="F985" s="442"/>
      <c r="G985" s="442"/>
      <c r="H985" s="442"/>
      <c r="I985" s="442"/>
      <c r="J985" s="442"/>
      <c r="K985" s="442"/>
      <c r="L985" s="442"/>
      <c r="M985" s="442"/>
      <c r="N985" s="1484"/>
      <c r="O985" s="442"/>
    </row>
    <row r="986" spans="1:15" s="942" customFormat="1" ht="15.75" customHeight="1">
      <c r="A986" s="442"/>
      <c r="B986" s="442"/>
      <c r="C986" s="442"/>
      <c r="D986" s="442"/>
      <c r="E986" s="442"/>
      <c r="F986" s="442"/>
      <c r="G986" s="442"/>
      <c r="H986" s="442"/>
      <c r="I986" s="442"/>
      <c r="J986" s="442"/>
      <c r="K986" s="442"/>
      <c r="L986" s="442"/>
      <c r="M986" s="442"/>
      <c r="N986" s="1484"/>
      <c r="O986" s="442"/>
    </row>
    <row r="987" spans="1:15" s="942" customFormat="1" ht="15.75" customHeight="1">
      <c r="A987" s="442"/>
      <c r="B987" s="442"/>
      <c r="C987" s="442"/>
      <c r="D987" s="442"/>
      <c r="E987" s="442"/>
      <c r="F987" s="442"/>
      <c r="G987" s="442"/>
      <c r="H987" s="442"/>
      <c r="I987" s="442"/>
      <c r="J987" s="442"/>
      <c r="K987" s="442"/>
      <c r="L987" s="442"/>
      <c r="M987" s="442"/>
      <c r="N987" s="1484"/>
      <c r="O987" s="442"/>
    </row>
    <row r="988" spans="1:15" s="942" customFormat="1" ht="15.75" customHeight="1">
      <c r="A988" s="442"/>
      <c r="B988" s="442"/>
      <c r="C988" s="442"/>
      <c r="D988" s="442"/>
      <c r="E988" s="442"/>
      <c r="F988" s="442"/>
      <c r="G988" s="442"/>
      <c r="H988" s="442"/>
      <c r="I988" s="442"/>
      <c r="J988" s="442"/>
      <c r="K988" s="442"/>
      <c r="L988" s="442"/>
      <c r="M988" s="442"/>
      <c r="N988" s="1484"/>
      <c r="O988" s="442"/>
    </row>
    <row r="989" spans="1:15" s="942" customFormat="1" ht="15.75" customHeight="1">
      <c r="A989" s="442"/>
      <c r="B989" s="442"/>
      <c r="C989" s="442"/>
      <c r="D989" s="442"/>
      <c r="E989" s="442"/>
      <c r="F989" s="442"/>
      <c r="G989" s="442"/>
      <c r="H989" s="442"/>
      <c r="I989" s="442"/>
      <c r="J989" s="442"/>
      <c r="K989" s="442"/>
      <c r="L989" s="442"/>
      <c r="M989" s="442"/>
      <c r="N989" s="1484"/>
      <c r="O989" s="442"/>
    </row>
    <row r="990" spans="1:15" s="942" customFormat="1" ht="15.75" customHeight="1">
      <c r="A990" s="442"/>
      <c r="B990" s="442"/>
      <c r="C990" s="442"/>
      <c r="D990" s="442"/>
      <c r="E990" s="442"/>
      <c r="F990" s="442"/>
      <c r="G990" s="442"/>
      <c r="H990" s="442"/>
      <c r="I990" s="442"/>
      <c r="J990" s="442"/>
      <c r="K990" s="442"/>
      <c r="L990" s="442"/>
      <c r="M990" s="442"/>
      <c r="N990" s="1484"/>
      <c r="O990" s="442"/>
    </row>
    <row r="991" spans="1:15" s="942" customFormat="1" ht="15.75" customHeight="1">
      <c r="A991" s="442"/>
      <c r="B991" s="442"/>
      <c r="C991" s="442"/>
      <c r="D991" s="442"/>
      <c r="E991" s="442"/>
      <c r="F991" s="442"/>
      <c r="G991" s="442"/>
      <c r="H991" s="442"/>
      <c r="I991" s="442"/>
      <c r="J991" s="442"/>
      <c r="K991" s="442"/>
      <c r="L991" s="442"/>
      <c r="M991" s="442"/>
      <c r="N991" s="1484"/>
      <c r="O991" s="442"/>
    </row>
    <row r="992" spans="1:15" s="942" customFormat="1" ht="15.75" customHeight="1">
      <c r="A992" s="442"/>
      <c r="B992" s="442"/>
      <c r="C992" s="442"/>
      <c r="D992" s="442"/>
      <c r="E992" s="442"/>
      <c r="F992" s="442"/>
      <c r="G992" s="442"/>
      <c r="H992" s="442"/>
      <c r="I992" s="442"/>
      <c r="J992" s="442"/>
      <c r="K992" s="442"/>
      <c r="L992" s="442"/>
      <c r="M992" s="442"/>
      <c r="N992" s="1484"/>
      <c r="O992" s="442"/>
    </row>
    <row r="993" spans="1:15" s="942" customFormat="1" ht="15.75" customHeight="1">
      <c r="A993" s="442"/>
      <c r="B993" s="442"/>
      <c r="C993" s="442"/>
      <c r="D993" s="442"/>
      <c r="E993" s="442"/>
      <c r="F993" s="442"/>
      <c r="G993" s="442"/>
      <c r="H993" s="442"/>
      <c r="I993" s="442"/>
      <c r="J993" s="442"/>
      <c r="K993" s="442"/>
      <c r="L993" s="442"/>
      <c r="M993" s="442"/>
      <c r="N993" s="1484"/>
      <c r="O993" s="442"/>
    </row>
    <row r="994" spans="1:15" s="942" customFormat="1" ht="15.75" customHeight="1">
      <c r="A994" s="442"/>
      <c r="B994" s="442"/>
      <c r="C994" s="442"/>
      <c r="D994" s="442"/>
      <c r="E994" s="442"/>
      <c r="F994" s="442"/>
      <c r="G994" s="442"/>
      <c r="H994" s="442"/>
      <c r="I994" s="442"/>
      <c r="J994" s="442"/>
      <c r="K994" s="442"/>
      <c r="L994" s="442"/>
      <c r="M994" s="442"/>
      <c r="N994" s="1484"/>
      <c r="O994" s="442"/>
    </row>
    <row r="995" spans="1:15" s="942" customFormat="1" ht="15.75" customHeight="1">
      <c r="A995" s="442"/>
      <c r="B995" s="442"/>
      <c r="C995" s="442"/>
      <c r="D995" s="442"/>
      <c r="E995" s="442"/>
      <c r="F995" s="442"/>
      <c r="G995" s="442"/>
      <c r="H995" s="442"/>
      <c r="I995" s="442"/>
      <c r="J995" s="442"/>
      <c r="K995" s="442"/>
      <c r="L995" s="442"/>
      <c r="M995" s="442"/>
      <c r="N995" s="1484"/>
      <c r="O995" s="442"/>
    </row>
    <row r="996" spans="1:15" s="942" customFormat="1" ht="15.75" customHeight="1">
      <c r="A996" s="442"/>
      <c r="B996" s="442"/>
      <c r="C996" s="442"/>
      <c r="D996" s="442"/>
      <c r="E996" s="442"/>
      <c r="F996" s="442"/>
      <c r="G996" s="442"/>
      <c r="H996" s="442"/>
      <c r="I996" s="442"/>
      <c r="J996" s="442"/>
      <c r="K996" s="442"/>
      <c r="L996" s="442"/>
      <c r="M996" s="442"/>
      <c r="N996" s="1484"/>
      <c r="O996" s="442"/>
    </row>
    <row r="997" spans="1:15" s="942" customFormat="1" ht="15.75" customHeight="1">
      <c r="A997" s="442"/>
      <c r="B997" s="442"/>
      <c r="C997" s="442"/>
      <c r="D997" s="442"/>
      <c r="E997" s="442"/>
      <c r="F997" s="442"/>
      <c r="G997" s="442"/>
      <c r="H997" s="442"/>
      <c r="I997" s="442"/>
      <c r="J997" s="442"/>
      <c r="K997" s="442"/>
      <c r="L997" s="442"/>
      <c r="M997" s="442"/>
      <c r="N997" s="1484"/>
      <c r="O997" s="442"/>
    </row>
    <row r="998" spans="1:15" s="942" customFormat="1" ht="15.75" customHeight="1">
      <c r="A998" s="442"/>
      <c r="B998" s="442"/>
      <c r="C998" s="442"/>
      <c r="D998" s="442"/>
      <c r="E998" s="442"/>
      <c r="F998" s="442"/>
      <c r="G998" s="442"/>
      <c r="H998" s="442"/>
      <c r="I998" s="442"/>
      <c r="J998" s="442"/>
      <c r="K998" s="442"/>
      <c r="L998" s="442"/>
      <c r="M998" s="442"/>
      <c r="N998" s="1484"/>
      <c r="O998" s="442"/>
    </row>
    <row r="999" spans="1:15" s="942" customFormat="1" ht="15.75" customHeight="1">
      <c r="A999" s="442"/>
      <c r="B999" s="442"/>
      <c r="C999" s="442"/>
      <c r="D999" s="442"/>
      <c r="E999" s="442"/>
      <c r="F999" s="442"/>
      <c r="G999" s="442"/>
      <c r="H999" s="442"/>
      <c r="I999" s="442"/>
      <c r="J999" s="442"/>
      <c r="K999" s="442"/>
      <c r="L999" s="442"/>
      <c r="M999" s="442"/>
      <c r="N999" s="1484"/>
      <c r="O999" s="442"/>
    </row>
    <row r="1000" spans="1:15" s="942" customFormat="1" ht="15.75" customHeight="1">
      <c r="A1000" s="442"/>
      <c r="B1000" s="442"/>
      <c r="C1000" s="442"/>
      <c r="D1000" s="442"/>
      <c r="E1000" s="442"/>
      <c r="F1000" s="442"/>
      <c r="G1000" s="442"/>
      <c r="H1000" s="442"/>
      <c r="I1000" s="442"/>
      <c r="J1000" s="442"/>
      <c r="K1000" s="442"/>
      <c r="L1000" s="442"/>
      <c r="M1000" s="442"/>
      <c r="N1000" s="1484"/>
      <c r="O1000" s="442"/>
    </row>
    <row r="1001" spans="1:15" s="942" customFormat="1" ht="15.75" customHeight="1">
      <c r="A1001" s="442"/>
      <c r="B1001" s="442"/>
      <c r="C1001" s="442"/>
      <c r="D1001" s="442"/>
      <c r="E1001" s="442"/>
      <c r="F1001" s="442"/>
      <c r="G1001" s="442"/>
      <c r="H1001" s="442"/>
      <c r="I1001" s="442"/>
      <c r="J1001" s="442"/>
      <c r="K1001" s="442"/>
      <c r="L1001" s="442"/>
      <c r="M1001" s="442"/>
      <c r="N1001" s="1484"/>
      <c r="O1001" s="442"/>
    </row>
    <row r="1002" spans="1:15" s="942" customFormat="1" ht="15.75" customHeight="1">
      <c r="A1002" s="442"/>
      <c r="B1002" s="442"/>
      <c r="C1002" s="442"/>
      <c r="D1002" s="442"/>
      <c r="E1002" s="442"/>
      <c r="F1002" s="442"/>
      <c r="G1002" s="442"/>
      <c r="H1002" s="442"/>
      <c r="I1002" s="442"/>
      <c r="J1002" s="442"/>
      <c r="K1002" s="442"/>
      <c r="L1002" s="442"/>
      <c r="M1002" s="442"/>
      <c r="N1002" s="1484"/>
      <c r="O1002" s="442"/>
    </row>
    <row r="1003" spans="1:15" s="942" customFormat="1" ht="15.75" customHeight="1">
      <c r="A1003" s="442"/>
      <c r="B1003" s="442"/>
      <c r="C1003" s="442"/>
      <c r="D1003" s="442"/>
      <c r="E1003" s="442"/>
      <c r="F1003" s="442"/>
      <c r="G1003" s="442"/>
      <c r="H1003" s="442"/>
      <c r="I1003" s="442"/>
      <c r="J1003" s="442"/>
      <c r="K1003" s="442"/>
      <c r="L1003" s="442"/>
      <c r="M1003" s="442"/>
      <c r="N1003" s="1484"/>
      <c r="O1003" s="442"/>
    </row>
    <row r="1004" spans="1:15" s="942" customFormat="1" ht="15.75" customHeight="1">
      <c r="A1004" s="442"/>
      <c r="B1004" s="442"/>
      <c r="C1004" s="442"/>
      <c r="D1004" s="442"/>
      <c r="E1004" s="442"/>
      <c r="F1004" s="442"/>
      <c r="G1004" s="442"/>
      <c r="H1004" s="442"/>
      <c r="I1004" s="442"/>
      <c r="J1004" s="442"/>
      <c r="K1004" s="442"/>
      <c r="L1004" s="442"/>
      <c r="M1004" s="442"/>
      <c r="N1004" s="1484"/>
      <c r="O1004" s="442"/>
    </row>
    <row r="1005" spans="1:15" s="942" customFormat="1" ht="15.75" customHeight="1">
      <c r="A1005" s="442"/>
      <c r="B1005" s="442"/>
      <c r="C1005" s="442"/>
      <c r="D1005" s="442"/>
      <c r="E1005" s="442"/>
      <c r="F1005" s="442"/>
      <c r="G1005" s="442"/>
      <c r="H1005" s="442"/>
      <c r="I1005" s="442"/>
      <c r="J1005" s="442"/>
      <c r="K1005" s="442"/>
      <c r="L1005" s="442"/>
      <c r="M1005" s="442"/>
      <c r="N1005" s="1484"/>
      <c r="O1005" s="442"/>
    </row>
    <row r="1006" spans="1:15" s="942" customFormat="1" ht="15.75" customHeight="1">
      <c r="A1006" s="442"/>
      <c r="B1006" s="442"/>
      <c r="C1006" s="442"/>
      <c r="D1006" s="442"/>
      <c r="E1006" s="442"/>
      <c r="F1006" s="442"/>
      <c r="G1006" s="442"/>
      <c r="H1006" s="442"/>
      <c r="I1006" s="442"/>
      <c r="J1006" s="442"/>
      <c r="K1006" s="442"/>
      <c r="L1006" s="442"/>
      <c r="M1006" s="442"/>
      <c r="N1006" s="1484"/>
      <c r="O1006" s="442"/>
    </row>
    <row r="1007" spans="1:15" s="942" customFormat="1" ht="15.75" customHeight="1">
      <c r="A1007" s="442"/>
      <c r="B1007" s="442"/>
      <c r="C1007" s="442"/>
      <c r="D1007" s="442"/>
      <c r="E1007" s="442"/>
      <c r="F1007" s="442"/>
      <c r="G1007" s="442"/>
      <c r="H1007" s="442"/>
      <c r="I1007" s="442"/>
      <c r="J1007" s="442"/>
      <c r="K1007" s="442"/>
      <c r="L1007" s="442"/>
      <c r="M1007" s="442"/>
      <c r="N1007" s="1484"/>
      <c r="O1007" s="442"/>
    </row>
    <row r="1008" spans="1:15" s="942" customFormat="1" ht="15.75" customHeight="1">
      <c r="A1008" s="442"/>
      <c r="B1008" s="442"/>
      <c r="C1008" s="442"/>
      <c r="D1008" s="442"/>
      <c r="E1008" s="442"/>
      <c r="F1008" s="442"/>
      <c r="G1008" s="442"/>
      <c r="H1008" s="442"/>
      <c r="I1008" s="442"/>
      <c r="J1008" s="442"/>
      <c r="K1008" s="442"/>
      <c r="L1008" s="442"/>
      <c r="M1008" s="442"/>
      <c r="N1008" s="1484"/>
      <c r="O1008" s="442"/>
    </row>
    <row r="1009" spans="1:15" s="942" customFormat="1" ht="15.75" customHeight="1">
      <c r="A1009" s="442"/>
      <c r="B1009" s="442"/>
      <c r="C1009" s="442"/>
      <c r="D1009" s="442"/>
      <c r="E1009" s="442"/>
      <c r="F1009" s="442"/>
      <c r="G1009" s="442"/>
      <c r="H1009" s="442"/>
      <c r="I1009" s="442"/>
      <c r="J1009" s="442"/>
      <c r="K1009" s="442"/>
      <c r="L1009" s="442"/>
      <c r="M1009" s="442"/>
      <c r="N1009" s="1484"/>
      <c r="O1009" s="442"/>
    </row>
    <row r="1010" spans="1:15" s="942" customFormat="1" ht="15.75" customHeight="1">
      <c r="A1010" s="442"/>
      <c r="B1010" s="442"/>
      <c r="C1010" s="442"/>
      <c r="D1010" s="442"/>
      <c r="E1010" s="442"/>
      <c r="F1010" s="442"/>
      <c r="G1010" s="442"/>
      <c r="H1010" s="442"/>
      <c r="I1010" s="442"/>
      <c r="J1010" s="442"/>
      <c r="K1010" s="442"/>
      <c r="L1010" s="442"/>
      <c r="M1010" s="442"/>
      <c r="N1010" s="1484"/>
      <c r="O1010" s="442"/>
    </row>
    <row r="1011" spans="1:15" s="942" customFormat="1" ht="15.75" customHeight="1">
      <c r="A1011" s="442"/>
      <c r="B1011" s="442"/>
      <c r="C1011" s="442"/>
      <c r="D1011" s="442"/>
      <c r="E1011" s="442"/>
      <c r="F1011" s="442"/>
      <c r="G1011" s="442"/>
      <c r="H1011" s="442"/>
      <c r="I1011" s="442"/>
      <c r="J1011" s="442"/>
      <c r="K1011" s="442"/>
      <c r="L1011" s="442"/>
      <c r="M1011" s="442"/>
      <c r="N1011" s="1484"/>
      <c r="O1011" s="442"/>
    </row>
    <row r="1012" spans="1:15" s="942" customFormat="1" ht="15.75" customHeight="1">
      <c r="A1012" s="442"/>
      <c r="B1012" s="442"/>
      <c r="C1012" s="442"/>
      <c r="D1012" s="442"/>
      <c r="E1012" s="442"/>
      <c r="F1012" s="442"/>
      <c r="G1012" s="442"/>
      <c r="H1012" s="442"/>
      <c r="I1012" s="442"/>
      <c r="J1012" s="442"/>
      <c r="K1012" s="442"/>
      <c r="L1012" s="442"/>
      <c r="M1012" s="442"/>
      <c r="N1012" s="1484"/>
      <c r="O1012" s="442"/>
    </row>
    <row r="1013" spans="1:15" s="942" customFormat="1" ht="15.75" customHeight="1">
      <c r="A1013" s="442"/>
      <c r="B1013" s="442"/>
      <c r="C1013" s="442"/>
      <c r="D1013" s="442"/>
      <c r="E1013" s="442"/>
      <c r="F1013" s="442"/>
      <c r="G1013" s="442"/>
      <c r="H1013" s="442"/>
      <c r="I1013" s="442"/>
      <c r="J1013" s="442"/>
      <c r="K1013" s="442"/>
      <c r="L1013" s="442"/>
      <c r="M1013" s="442"/>
      <c r="N1013" s="1484"/>
      <c r="O1013" s="442"/>
    </row>
    <row r="1014" spans="1:15" s="942" customFormat="1" ht="15.75" customHeight="1">
      <c r="A1014" s="442"/>
      <c r="B1014" s="442"/>
      <c r="C1014" s="442"/>
      <c r="D1014" s="442"/>
      <c r="E1014" s="442"/>
      <c r="F1014" s="442"/>
      <c r="G1014" s="442"/>
      <c r="H1014" s="442"/>
      <c r="I1014" s="442"/>
      <c r="J1014" s="442"/>
      <c r="K1014" s="442"/>
      <c r="L1014" s="442"/>
      <c r="M1014" s="442"/>
      <c r="N1014" s="1484"/>
      <c r="O1014" s="442"/>
    </row>
    <row r="1015" spans="1:15" s="942" customFormat="1" ht="15.75" customHeight="1">
      <c r="A1015" s="442"/>
      <c r="B1015" s="442"/>
      <c r="C1015" s="442"/>
      <c r="D1015" s="442"/>
      <c r="E1015" s="442"/>
      <c r="F1015" s="442"/>
      <c r="G1015" s="442"/>
      <c r="H1015" s="442"/>
      <c r="I1015" s="442"/>
      <c r="J1015" s="442"/>
      <c r="K1015" s="442"/>
      <c r="L1015" s="442"/>
      <c r="M1015" s="442"/>
      <c r="N1015" s="1484"/>
      <c r="O1015" s="442"/>
    </row>
    <row r="1016" spans="1:15" s="942" customFormat="1" ht="15.75" customHeight="1">
      <c r="A1016" s="442"/>
      <c r="B1016" s="442"/>
      <c r="C1016" s="442"/>
      <c r="D1016" s="442"/>
      <c r="E1016" s="442"/>
      <c r="F1016" s="442"/>
      <c r="G1016" s="442"/>
      <c r="H1016" s="442"/>
      <c r="I1016" s="442"/>
      <c r="J1016" s="442"/>
      <c r="K1016" s="442"/>
      <c r="L1016" s="442"/>
      <c r="M1016" s="442"/>
      <c r="N1016" s="1484"/>
      <c r="O1016" s="442"/>
    </row>
    <row r="1017" spans="1:15" s="942" customFormat="1" ht="15.75" customHeight="1">
      <c r="A1017" s="442"/>
      <c r="B1017" s="442"/>
      <c r="C1017" s="442"/>
      <c r="D1017" s="442"/>
      <c r="E1017" s="442"/>
      <c r="F1017" s="442"/>
      <c r="G1017" s="442"/>
      <c r="H1017" s="442"/>
      <c r="I1017" s="442"/>
      <c r="J1017" s="442"/>
      <c r="K1017" s="442"/>
      <c r="L1017" s="442"/>
      <c r="M1017" s="442"/>
      <c r="N1017" s="1484"/>
      <c r="O1017" s="442"/>
    </row>
    <row r="1018" spans="1:15" s="942" customFormat="1" ht="15.75" customHeight="1">
      <c r="A1018" s="442"/>
      <c r="B1018" s="442"/>
      <c r="C1018" s="442"/>
      <c r="D1018" s="442"/>
      <c r="E1018" s="442"/>
      <c r="F1018" s="442"/>
      <c r="G1018" s="442"/>
      <c r="H1018" s="442"/>
      <c r="I1018" s="442"/>
      <c r="J1018" s="442"/>
      <c r="K1018" s="442"/>
      <c r="L1018" s="442"/>
      <c r="M1018" s="442"/>
      <c r="N1018" s="1484"/>
      <c r="O1018" s="442"/>
    </row>
    <row r="1019" spans="1:15" s="942" customFormat="1" ht="15.75" customHeight="1">
      <c r="A1019" s="442"/>
      <c r="B1019" s="442"/>
      <c r="C1019" s="442"/>
      <c r="D1019" s="442"/>
      <c r="E1019" s="442"/>
      <c r="F1019" s="442"/>
      <c r="G1019" s="442"/>
      <c r="H1019" s="442"/>
      <c r="I1019" s="442"/>
      <c r="J1019" s="442"/>
      <c r="K1019" s="442"/>
      <c r="L1019" s="442"/>
      <c r="M1019" s="442"/>
      <c r="N1019" s="1484"/>
      <c r="O1019" s="442"/>
    </row>
    <row r="1020" spans="1:15" s="942" customFormat="1" ht="15.75" customHeight="1">
      <c r="A1020" s="442"/>
      <c r="B1020" s="442"/>
      <c r="C1020" s="442"/>
      <c r="D1020" s="442"/>
      <c r="E1020" s="442"/>
      <c r="F1020" s="442"/>
      <c r="G1020" s="442"/>
      <c r="H1020" s="442"/>
      <c r="I1020" s="442"/>
      <c r="J1020" s="442"/>
      <c r="K1020" s="442"/>
      <c r="L1020" s="442"/>
      <c r="M1020" s="442"/>
      <c r="N1020" s="1484"/>
      <c r="O1020" s="442"/>
    </row>
    <row r="1021" spans="1:15" s="942" customFormat="1" ht="15.75" customHeight="1">
      <c r="A1021" s="442"/>
      <c r="B1021" s="442"/>
      <c r="C1021" s="442"/>
      <c r="D1021" s="442"/>
      <c r="E1021" s="442"/>
      <c r="F1021" s="442"/>
      <c r="G1021" s="442"/>
      <c r="H1021" s="442"/>
      <c r="I1021" s="442"/>
      <c r="J1021" s="442"/>
      <c r="K1021" s="442"/>
      <c r="L1021" s="442"/>
      <c r="M1021" s="442"/>
      <c r="N1021" s="1484"/>
      <c r="O1021" s="442"/>
    </row>
    <row r="1022" spans="1:15" s="942" customFormat="1" ht="15.75" customHeight="1">
      <c r="A1022" s="442"/>
      <c r="B1022" s="442"/>
      <c r="C1022" s="442"/>
      <c r="D1022" s="442"/>
      <c r="E1022" s="442"/>
      <c r="F1022" s="442"/>
      <c r="G1022" s="442"/>
      <c r="H1022" s="442"/>
      <c r="I1022" s="442"/>
      <c r="J1022" s="442"/>
      <c r="K1022" s="442"/>
      <c r="L1022" s="442"/>
      <c r="M1022" s="442"/>
      <c r="N1022" s="1484"/>
      <c r="O1022" s="442"/>
    </row>
    <row r="1023" spans="1:15" s="942" customFormat="1" ht="15.75" customHeight="1">
      <c r="A1023" s="442"/>
      <c r="B1023" s="442"/>
      <c r="C1023" s="442"/>
      <c r="D1023" s="442"/>
      <c r="E1023" s="442"/>
      <c r="F1023" s="442"/>
      <c r="G1023" s="442"/>
      <c r="H1023" s="442"/>
      <c r="I1023" s="442"/>
      <c r="J1023" s="442"/>
      <c r="K1023" s="442"/>
      <c r="L1023" s="442"/>
      <c r="M1023" s="442"/>
      <c r="N1023" s="1484"/>
      <c r="O1023" s="442"/>
    </row>
    <row r="1024" spans="1:15" s="942" customFormat="1" ht="15.75" customHeight="1">
      <c r="A1024" s="442"/>
      <c r="B1024" s="442"/>
      <c r="C1024" s="442"/>
      <c r="D1024" s="442"/>
      <c r="E1024" s="442"/>
      <c r="F1024" s="442"/>
      <c r="G1024" s="442"/>
      <c r="H1024" s="442"/>
      <c r="I1024" s="442"/>
      <c r="J1024" s="442"/>
      <c r="K1024" s="442"/>
      <c r="L1024" s="442"/>
      <c r="M1024" s="442"/>
      <c r="N1024" s="1484"/>
      <c r="O1024" s="442"/>
    </row>
    <row r="1025" spans="1:15" s="942" customFormat="1" ht="15.75" customHeight="1">
      <c r="A1025" s="442"/>
      <c r="B1025" s="442"/>
      <c r="C1025" s="442"/>
      <c r="D1025" s="442"/>
      <c r="E1025" s="442"/>
      <c r="F1025" s="442"/>
      <c r="G1025" s="442"/>
      <c r="H1025" s="442"/>
      <c r="I1025" s="442"/>
      <c r="J1025" s="442"/>
      <c r="K1025" s="442"/>
      <c r="L1025" s="442"/>
      <c r="M1025" s="442"/>
      <c r="N1025" s="1484"/>
      <c r="O1025" s="442"/>
    </row>
    <row r="1026" spans="1:15" s="942" customFormat="1" ht="15.75" customHeight="1">
      <c r="A1026" s="442"/>
      <c r="B1026" s="442"/>
      <c r="C1026" s="442"/>
      <c r="D1026" s="442"/>
      <c r="E1026" s="442"/>
      <c r="F1026" s="442"/>
      <c r="G1026" s="442"/>
      <c r="H1026" s="442"/>
      <c r="I1026" s="442"/>
      <c r="J1026" s="442"/>
      <c r="K1026" s="442"/>
      <c r="L1026" s="442"/>
      <c r="M1026" s="442"/>
      <c r="N1026" s="1484"/>
      <c r="O1026" s="442"/>
    </row>
    <row r="1027" spans="1:15" s="942" customFormat="1" ht="15.75" customHeight="1">
      <c r="A1027" s="442"/>
      <c r="B1027" s="442"/>
      <c r="C1027" s="442"/>
      <c r="D1027" s="442"/>
      <c r="E1027" s="442"/>
      <c r="F1027" s="442"/>
      <c r="G1027" s="442"/>
      <c r="H1027" s="442"/>
      <c r="I1027" s="442"/>
      <c r="J1027" s="442"/>
      <c r="K1027" s="442"/>
      <c r="L1027" s="442"/>
      <c r="M1027" s="442"/>
      <c r="N1027" s="1484"/>
      <c r="O1027" s="442"/>
    </row>
    <row r="1028" spans="1:15" s="942" customFormat="1" ht="15.75" customHeight="1">
      <c r="A1028" s="442"/>
      <c r="B1028" s="442"/>
      <c r="C1028" s="442"/>
      <c r="D1028" s="442"/>
      <c r="E1028" s="442"/>
      <c r="F1028" s="442"/>
      <c r="G1028" s="442"/>
      <c r="H1028" s="442"/>
      <c r="I1028" s="442"/>
      <c r="J1028" s="442"/>
      <c r="K1028" s="442"/>
      <c r="L1028" s="442"/>
      <c r="M1028" s="442"/>
      <c r="N1028" s="442"/>
      <c r="O1028" s="442"/>
    </row>
    <row r="1029" spans="1:15" s="942" customFormat="1" ht="15.75" customHeight="1">
      <c r="A1029" s="442"/>
      <c r="B1029" s="442"/>
      <c r="C1029" s="442"/>
      <c r="D1029" s="442"/>
      <c r="E1029" s="442"/>
      <c r="F1029" s="442"/>
      <c r="G1029" s="442"/>
      <c r="H1029" s="442"/>
      <c r="I1029" s="442"/>
      <c r="J1029" s="442"/>
      <c r="K1029" s="442"/>
      <c r="L1029" s="442"/>
      <c r="M1029" s="442"/>
      <c r="N1029" s="442"/>
      <c r="O1029" s="442"/>
    </row>
    <row r="1030" spans="1:15" s="942" customFormat="1" ht="15.75" customHeight="1">
      <c r="A1030" s="442"/>
      <c r="B1030" s="442"/>
      <c r="C1030" s="442"/>
      <c r="D1030" s="442"/>
      <c r="E1030" s="442"/>
      <c r="F1030" s="442"/>
      <c r="G1030" s="442"/>
      <c r="H1030" s="442"/>
      <c r="I1030" s="442"/>
      <c r="J1030" s="442"/>
      <c r="K1030" s="442"/>
      <c r="L1030" s="442"/>
      <c r="M1030" s="442"/>
      <c r="N1030" s="442"/>
      <c r="O1030" s="442"/>
    </row>
    <row r="1031" spans="1:15" s="942" customFormat="1" ht="15.75" customHeight="1">
      <c r="A1031" s="442"/>
      <c r="B1031" s="442"/>
      <c r="C1031" s="442"/>
      <c r="D1031" s="442"/>
      <c r="E1031" s="442"/>
      <c r="F1031" s="442"/>
      <c r="G1031" s="442"/>
      <c r="H1031" s="442"/>
      <c r="I1031" s="442"/>
      <c r="J1031" s="442"/>
      <c r="K1031" s="442"/>
      <c r="L1031" s="442"/>
      <c r="M1031" s="442"/>
      <c r="N1031" s="442"/>
      <c r="O1031" s="442"/>
    </row>
    <row r="1032" spans="1:15" s="942" customFormat="1" ht="15.75" customHeight="1">
      <c r="A1032" s="442"/>
      <c r="B1032" s="442"/>
      <c r="C1032" s="442"/>
      <c r="D1032" s="442"/>
      <c r="E1032" s="442"/>
      <c r="F1032" s="442"/>
      <c r="G1032" s="442"/>
      <c r="H1032" s="442"/>
      <c r="I1032" s="442"/>
      <c r="J1032" s="442"/>
      <c r="K1032" s="442"/>
      <c r="L1032" s="442"/>
      <c r="M1032" s="442"/>
      <c r="N1032" s="442"/>
      <c r="O1032" s="442"/>
    </row>
    <row r="1033" spans="1:15" s="942" customFormat="1" ht="15.75" customHeight="1">
      <c r="A1033" s="442"/>
      <c r="B1033" s="442"/>
      <c r="C1033" s="442"/>
      <c r="D1033" s="442"/>
      <c r="E1033" s="442"/>
      <c r="F1033" s="442"/>
      <c r="G1033" s="442"/>
      <c r="H1033" s="442"/>
      <c r="I1033" s="442"/>
      <c r="J1033" s="442"/>
      <c r="K1033" s="442"/>
      <c r="L1033" s="442"/>
      <c r="M1033" s="442"/>
      <c r="N1033" s="442"/>
      <c r="O1033" s="442"/>
    </row>
    <row r="1034" spans="1:15" s="942" customFormat="1" ht="15.75" customHeight="1">
      <c r="A1034" s="442"/>
      <c r="B1034" s="442"/>
      <c r="C1034" s="442"/>
      <c r="D1034" s="442"/>
      <c r="E1034" s="442"/>
      <c r="F1034" s="442"/>
      <c r="G1034" s="442"/>
      <c r="H1034" s="442"/>
      <c r="I1034" s="442"/>
      <c r="J1034" s="442"/>
      <c r="K1034" s="442"/>
      <c r="L1034" s="442"/>
      <c r="M1034" s="442"/>
      <c r="N1034" s="442"/>
      <c r="O1034" s="442"/>
    </row>
    <row r="1035" spans="1:15" s="942" customFormat="1" ht="15.75" customHeight="1">
      <c r="A1035" s="442"/>
      <c r="B1035" s="442"/>
      <c r="C1035" s="442"/>
      <c r="D1035" s="442"/>
      <c r="E1035" s="442"/>
      <c r="F1035" s="442"/>
      <c r="G1035" s="442"/>
      <c r="H1035" s="442"/>
      <c r="I1035" s="442"/>
      <c r="J1035" s="442"/>
      <c r="K1035" s="442"/>
      <c r="L1035" s="442"/>
      <c r="M1035" s="442"/>
      <c r="N1035" s="442"/>
      <c r="O1035" s="442"/>
    </row>
    <row r="1036" spans="1:15" s="942" customFormat="1" ht="15.75" customHeight="1">
      <c r="A1036" s="442"/>
      <c r="B1036" s="442"/>
      <c r="C1036" s="442"/>
      <c r="D1036" s="442"/>
      <c r="E1036" s="442"/>
      <c r="F1036" s="442"/>
      <c r="G1036" s="442"/>
      <c r="H1036" s="442"/>
      <c r="I1036" s="442"/>
      <c r="J1036" s="442"/>
      <c r="K1036" s="442"/>
      <c r="L1036" s="442"/>
      <c r="M1036" s="442"/>
      <c r="N1036" s="442"/>
      <c r="O1036" s="442"/>
    </row>
    <row r="1037" spans="1:15" s="942" customFormat="1" ht="15.75" customHeight="1">
      <c r="A1037" s="442"/>
      <c r="B1037" s="442"/>
      <c r="C1037" s="442"/>
      <c r="D1037" s="442"/>
      <c r="E1037" s="442"/>
      <c r="F1037" s="442"/>
      <c r="G1037" s="442"/>
      <c r="H1037" s="442"/>
      <c r="I1037" s="442"/>
      <c r="J1037" s="442"/>
      <c r="K1037" s="442"/>
      <c r="L1037" s="442"/>
      <c r="M1037" s="442"/>
      <c r="N1037" s="442"/>
      <c r="O1037" s="442"/>
    </row>
    <row r="1038" spans="1:15" s="942" customFormat="1" ht="15.75" customHeight="1">
      <c r="A1038" s="442"/>
      <c r="B1038" s="442"/>
      <c r="C1038" s="442"/>
      <c r="D1038" s="442"/>
      <c r="E1038" s="442"/>
      <c r="F1038" s="442"/>
      <c r="G1038" s="442"/>
      <c r="H1038" s="442"/>
      <c r="I1038" s="442"/>
      <c r="J1038" s="442"/>
      <c r="K1038" s="442"/>
      <c r="L1038" s="442"/>
      <c r="M1038" s="442"/>
      <c r="N1038" s="442"/>
      <c r="O1038" s="442"/>
    </row>
    <row r="1039" spans="1:15" s="942" customFormat="1" ht="15.75" customHeight="1">
      <c r="A1039" s="442"/>
      <c r="B1039" s="442"/>
      <c r="C1039" s="442"/>
      <c r="D1039" s="442"/>
      <c r="E1039" s="442"/>
      <c r="F1039" s="442"/>
      <c r="G1039" s="442"/>
      <c r="H1039" s="442"/>
      <c r="I1039" s="442"/>
      <c r="J1039" s="442"/>
      <c r="K1039" s="442"/>
      <c r="L1039" s="442"/>
      <c r="M1039" s="442"/>
      <c r="N1039" s="442"/>
      <c r="O1039" s="442"/>
    </row>
    <row r="1040" spans="1:15" s="942" customFormat="1" ht="15.75" customHeight="1">
      <c r="A1040" s="442"/>
      <c r="B1040" s="442"/>
      <c r="C1040" s="442"/>
      <c r="D1040" s="442"/>
      <c r="E1040" s="442"/>
      <c r="F1040" s="442"/>
      <c r="G1040" s="442"/>
      <c r="H1040" s="442"/>
      <c r="I1040" s="442"/>
      <c r="J1040" s="442"/>
      <c r="K1040" s="442"/>
      <c r="L1040" s="442"/>
      <c r="M1040" s="442"/>
      <c r="N1040" s="442"/>
      <c r="O1040" s="442"/>
    </row>
    <row r="1041" spans="1:15" s="942" customFormat="1" ht="15.75" customHeight="1">
      <c r="A1041" s="442"/>
      <c r="B1041" s="442"/>
      <c r="C1041" s="442"/>
      <c r="D1041" s="442"/>
      <c r="E1041" s="442"/>
      <c r="F1041" s="442"/>
      <c r="G1041" s="442"/>
      <c r="H1041" s="442"/>
      <c r="I1041" s="442"/>
      <c r="J1041" s="442"/>
      <c r="K1041" s="442"/>
      <c r="L1041" s="442"/>
      <c r="M1041" s="442"/>
      <c r="N1041" s="442"/>
      <c r="O1041" s="442"/>
    </row>
    <row r="1042" spans="1:15" s="942" customFormat="1" ht="15.75" customHeight="1">
      <c r="A1042" s="442"/>
      <c r="B1042" s="442"/>
      <c r="C1042" s="442"/>
      <c r="D1042" s="442"/>
      <c r="E1042" s="442"/>
      <c r="F1042" s="442"/>
      <c r="G1042" s="442"/>
      <c r="H1042" s="442"/>
      <c r="I1042" s="442"/>
      <c r="J1042" s="442"/>
      <c r="K1042" s="442"/>
      <c r="L1042" s="442"/>
      <c r="M1042" s="442"/>
      <c r="N1042" s="442"/>
      <c r="O1042" s="442"/>
    </row>
    <row r="1043" spans="1:15" s="942" customFormat="1" ht="15.75" customHeight="1">
      <c r="A1043" s="442"/>
      <c r="B1043" s="442"/>
      <c r="C1043" s="442"/>
      <c r="D1043" s="442"/>
      <c r="E1043" s="442"/>
      <c r="F1043" s="442"/>
      <c r="G1043" s="442"/>
      <c r="H1043" s="442"/>
      <c r="I1043" s="442"/>
      <c r="J1043" s="442"/>
      <c r="K1043" s="442"/>
      <c r="L1043" s="442"/>
      <c r="M1043" s="442"/>
      <c r="N1043" s="442"/>
      <c r="O1043" s="442"/>
    </row>
    <row r="1044" spans="1:15" s="942" customFormat="1" ht="15.75" customHeight="1">
      <c r="A1044" s="442"/>
      <c r="B1044" s="442"/>
      <c r="C1044" s="442"/>
      <c r="D1044" s="442"/>
      <c r="E1044" s="442"/>
      <c r="F1044" s="442"/>
      <c r="G1044" s="442"/>
      <c r="H1044" s="442"/>
      <c r="I1044" s="442"/>
      <c r="J1044" s="442"/>
      <c r="K1044" s="442"/>
      <c r="L1044" s="442"/>
      <c r="M1044" s="442"/>
      <c r="N1044" s="442"/>
      <c r="O1044" s="442"/>
    </row>
    <row r="1045" spans="1:15" s="942" customFormat="1" ht="15.75" customHeight="1">
      <c r="A1045" s="442"/>
      <c r="B1045" s="442"/>
      <c r="C1045" s="442"/>
      <c r="D1045" s="442"/>
      <c r="E1045" s="442"/>
      <c r="F1045" s="442"/>
      <c r="G1045" s="442"/>
      <c r="H1045" s="442"/>
      <c r="I1045" s="442"/>
      <c r="J1045" s="442"/>
      <c r="K1045" s="442"/>
      <c r="L1045" s="442"/>
      <c r="M1045" s="442"/>
      <c r="N1045" s="442"/>
      <c r="O1045" s="442"/>
    </row>
    <row r="1046" spans="1:15" s="942" customFormat="1" ht="15.75" customHeight="1">
      <c r="A1046" s="442"/>
      <c r="B1046" s="442"/>
      <c r="C1046" s="442"/>
      <c r="D1046" s="442"/>
      <c r="E1046" s="442"/>
      <c r="F1046" s="442"/>
      <c r="G1046" s="442"/>
      <c r="H1046" s="442"/>
      <c r="I1046" s="442"/>
      <c r="J1046" s="442"/>
      <c r="K1046" s="442"/>
      <c r="L1046" s="442"/>
      <c r="M1046" s="442"/>
      <c r="N1046" s="442"/>
      <c r="O1046" s="442"/>
    </row>
    <row r="1047" spans="1:15" s="942" customFormat="1" ht="15.75" customHeight="1">
      <c r="A1047" s="442"/>
      <c r="B1047" s="442"/>
      <c r="C1047" s="442"/>
      <c r="D1047" s="442"/>
      <c r="E1047" s="442"/>
      <c r="F1047" s="442"/>
      <c r="G1047" s="442"/>
      <c r="H1047" s="442"/>
      <c r="I1047" s="442"/>
      <c r="J1047" s="442"/>
      <c r="K1047" s="442"/>
      <c r="L1047" s="442"/>
      <c r="M1047" s="442"/>
      <c r="N1047" s="442"/>
      <c r="O1047" s="442"/>
    </row>
    <row r="1048" spans="1:15" s="942" customFormat="1" ht="15.75" customHeight="1">
      <c r="A1048" s="442"/>
      <c r="B1048" s="442"/>
      <c r="C1048" s="442"/>
      <c r="D1048" s="442"/>
      <c r="E1048" s="442"/>
      <c r="F1048" s="442"/>
      <c r="G1048" s="442"/>
      <c r="H1048" s="442"/>
      <c r="I1048" s="442"/>
      <c r="J1048" s="442"/>
      <c r="K1048" s="442"/>
      <c r="L1048" s="442"/>
      <c r="M1048" s="442"/>
      <c r="N1048" s="442"/>
      <c r="O1048" s="442"/>
    </row>
    <row r="1049" spans="1:15" s="942" customFormat="1" ht="15.75" customHeight="1">
      <c r="A1049" s="442"/>
      <c r="B1049" s="442"/>
      <c r="C1049" s="442"/>
      <c r="D1049" s="442"/>
      <c r="E1049" s="442"/>
      <c r="F1049" s="442"/>
      <c r="G1049" s="442"/>
      <c r="H1049" s="442"/>
      <c r="I1049" s="442"/>
      <c r="J1049" s="442"/>
      <c r="K1049" s="442"/>
      <c r="L1049" s="442"/>
      <c r="M1049" s="442"/>
      <c r="N1049" s="442"/>
      <c r="O1049" s="442"/>
    </row>
    <row r="1050" spans="1:15" s="942" customFormat="1" ht="15.75" customHeight="1">
      <c r="A1050" s="442"/>
      <c r="B1050" s="442"/>
      <c r="C1050" s="442"/>
      <c r="D1050" s="442"/>
      <c r="E1050" s="442"/>
      <c r="F1050" s="442"/>
      <c r="G1050" s="442"/>
      <c r="H1050" s="442"/>
      <c r="I1050" s="442"/>
      <c r="J1050" s="442"/>
      <c r="K1050" s="442"/>
      <c r="L1050" s="442"/>
      <c r="M1050" s="442"/>
      <c r="N1050" s="442"/>
      <c r="O1050" s="442"/>
    </row>
    <row r="1051" spans="1:15" s="942" customFormat="1" ht="15.75" customHeight="1">
      <c r="A1051" s="442"/>
      <c r="B1051" s="442"/>
      <c r="C1051" s="442"/>
      <c r="D1051" s="442"/>
      <c r="E1051" s="442"/>
      <c r="F1051" s="442"/>
      <c r="G1051" s="442"/>
      <c r="H1051" s="442"/>
      <c r="I1051" s="442"/>
      <c r="J1051" s="442"/>
      <c r="K1051" s="442"/>
      <c r="L1051" s="442"/>
      <c r="M1051" s="442"/>
      <c r="N1051" s="442"/>
      <c r="O1051" s="442"/>
    </row>
    <row r="1052" spans="1:15" s="942" customFormat="1" ht="15.75" customHeight="1">
      <c r="A1052" s="442"/>
      <c r="B1052" s="442"/>
      <c r="C1052" s="442"/>
      <c r="D1052" s="442"/>
      <c r="E1052" s="442"/>
      <c r="F1052" s="442"/>
      <c r="G1052" s="442"/>
      <c r="H1052" s="442"/>
      <c r="I1052" s="442"/>
      <c r="J1052" s="442"/>
      <c r="K1052" s="442"/>
      <c r="L1052" s="442"/>
      <c r="M1052" s="442"/>
      <c r="N1052" s="442"/>
      <c r="O1052" s="442"/>
    </row>
    <row r="1053" spans="1:15" s="942" customFormat="1" ht="15.75" customHeight="1">
      <c r="A1053" s="442"/>
      <c r="B1053" s="442"/>
      <c r="C1053" s="442"/>
      <c r="D1053" s="442"/>
      <c r="E1053" s="442"/>
      <c r="F1053" s="442"/>
      <c r="G1053" s="442"/>
      <c r="H1053" s="442"/>
      <c r="I1053" s="442"/>
      <c r="J1053" s="442"/>
      <c r="K1053" s="442"/>
      <c r="L1053" s="442"/>
      <c r="M1053" s="442"/>
      <c r="N1053" s="442"/>
      <c r="O1053" s="442"/>
    </row>
    <row r="1054" spans="1:15" s="942" customFormat="1" ht="15.75" customHeight="1">
      <c r="A1054" s="442"/>
      <c r="B1054" s="442"/>
      <c r="C1054" s="442"/>
      <c r="D1054" s="442"/>
      <c r="E1054" s="442"/>
      <c r="F1054" s="442"/>
      <c r="G1054" s="442"/>
      <c r="H1054" s="442"/>
      <c r="I1054" s="442"/>
      <c r="J1054" s="442"/>
      <c r="K1054" s="442"/>
      <c r="L1054" s="442"/>
      <c r="M1054" s="442"/>
      <c r="N1054" s="442"/>
      <c r="O1054" s="442"/>
    </row>
    <row r="1055" spans="1:15" s="942" customFormat="1" ht="15.75" customHeight="1">
      <c r="A1055" s="442"/>
      <c r="B1055" s="442"/>
      <c r="C1055" s="442"/>
      <c r="D1055" s="442"/>
      <c r="E1055" s="442"/>
      <c r="F1055" s="442"/>
      <c r="G1055" s="442"/>
      <c r="H1055" s="442"/>
      <c r="I1055" s="442"/>
      <c r="J1055" s="442"/>
      <c r="K1055" s="442"/>
      <c r="L1055" s="442"/>
      <c r="M1055" s="442"/>
      <c r="N1055" s="442"/>
      <c r="O1055" s="442"/>
    </row>
    <row r="1056" spans="1:15" s="942" customFormat="1" ht="15.75" customHeight="1">
      <c r="A1056" s="442"/>
      <c r="B1056" s="442"/>
      <c r="C1056" s="442"/>
      <c r="D1056" s="442"/>
      <c r="E1056" s="442"/>
      <c r="F1056" s="442"/>
      <c r="G1056" s="442"/>
      <c r="H1056" s="442"/>
      <c r="I1056" s="442"/>
      <c r="J1056" s="442"/>
      <c r="K1056" s="442"/>
      <c r="L1056" s="442"/>
      <c r="M1056" s="442"/>
      <c r="N1056" s="442"/>
      <c r="O1056" s="442"/>
    </row>
    <row r="1057" spans="1:15" s="942" customFormat="1" ht="15.75" customHeight="1">
      <c r="A1057" s="442"/>
      <c r="B1057" s="442"/>
      <c r="C1057" s="442"/>
      <c r="D1057" s="442"/>
      <c r="E1057" s="442"/>
      <c r="F1057" s="442"/>
      <c r="G1057" s="442"/>
      <c r="H1057" s="442"/>
      <c r="I1057" s="442"/>
      <c r="J1057" s="442"/>
      <c r="K1057" s="442"/>
      <c r="L1057" s="442"/>
      <c r="M1057" s="442"/>
      <c r="N1057" s="442"/>
      <c r="O1057" s="442"/>
    </row>
    <row r="1058" spans="1:15" s="942" customFormat="1" ht="15.75" customHeight="1">
      <c r="A1058" s="442"/>
      <c r="B1058" s="442"/>
      <c r="C1058" s="442"/>
      <c r="D1058" s="442"/>
      <c r="E1058" s="442"/>
      <c r="F1058" s="442"/>
      <c r="G1058" s="442"/>
      <c r="H1058" s="442"/>
      <c r="I1058" s="442"/>
      <c r="J1058" s="442"/>
      <c r="K1058" s="442"/>
      <c r="L1058" s="442"/>
      <c r="M1058" s="442"/>
      <c r="N1058" s="442"/>
      <c r="O1058" s="442"/>
    </row>
    <row r="1059" spans="1:15" s="942" customFormat="1" ht="15.75" customHeight="1">
      <c r="A1059" s="442"/>
      <c r="B1059" s="442"/>
      <c r="C1059" s="442"/>
      <c r="D1059" s="442"/>
      <c r="E1059" s="442"/>
      <c r="F1059" s="442"/>
      <c r="G1059" s="442"/>
      <c r="H1059" s="442"/>
      <c r="I1059" s="442"/>
      <c r="J1059" s="442"/>
      <c r="K1059" s="442"/>
      <c r="L1059" s="442"/>
      <c r="M1059" s="442"/>
      <c r="N1059" s="442"/>
      <c r="O1059" s="442"/>
    </row>
    <row r="1060" spans="1:15" s="942" customFormat="1" ht="15.75" customHeight="1">
      <c r="A1060" s="442"/>
      <c r="B1060" s="442"/>
      <c r="C1060" s="442"/>
      <c r="D1060" s="442"/>
      <c r="E1060" s="442"/>
      <c r="F1060" s="442"/>
      <c r="G1060" s="442"/>
      <c r="H1060" s="442"/>
      <c r="I1060" s="442"/>
      <c r="J1060" s="442"/>
      <c r="K1060" s="442"/>
      <c r="L1060" s="442"/>
      <c r="M1060" s="442"/>
      <c r="N1060" s="442"/>
      <c r="O1060" s="442"/>
    </row>
    <row r="1061" spans="1:15" s="942" customFormat="1" ht="15.75" customHeight="1">
      <c r="A1061" s="442"/>
      <c r="B1061" s="442"/>
      <c r="C1061" s="442"/>
      <c r="D1061" s="442"/>
      <c r="E1061" s="442"/>
      <c r="F1061" s="442"/>
      <c r="G1061" s="442"/>
      <c r="H1061" s="442"/>
      <c r="I1061" s="442"/>
      <c r="J1061" s="442"/>
      <c r="K1061" s="442"/>
      <c r="L1061" s="442"/>
      <c r="M1061" s="442"/>
      <c r="N1061" s="442"/>
      <c r="O1061" s="442"/>
    </row>
    <row r="1062" spans="1:15" s="942" customFormat="1" ht="15.75" customHeight="1">
      <c r="A1062" s="442"/>
      <c r="B1062" s="442"/>
      <c r="C1062" s="442"/>
      <c r="D1062" s="442"/>
      <c r="E1062" s="442"/>
      <c r="F1062" s="442"/>
      <c r="G1062" s="442"/>
      <c r="H1062" s="442"/>
      <c r="I1062" s="442"/>
      <c r="J1062" s="442"/>
      <c r="K1062" s="442"/>
      <c r="L1062" s="442"/>
      <c r="M1062" s="442"/>
      <c r="N1062" s="442"/>
      <c r="O1062" s="442"/>
    </row>
    <row r="1063" spans="1:15" s="942" customFormat="1" ht="15.75" customHeight="1">
      <c r="A1063" s="442"/>
      <c r="B1063" s="442"/>
      <c r="C1063" s="442"/>
      <c r="D1063" s="442"/>
      <c r="E1063" s="442"/>
      <c r="F1063" s="442"/>
      <c r="G1063" s="442"/>
      <c r="H1063" s="442"/>
      <c r="I1063" s="442"/>
      <c r="J1063" s="442"/>
      <c r="K1063" s="442"/>
      <c r="L1063" s="442"/>
      <c r="M1063" s="442"/>
      <c r="N1063" s="442"/>
      <c r="O1063" s="442"/>
    </row>
    <row r="1064" spans="1:15" s="942" customFormat="1" ht="15.75" customHeight="1">
      <c r="A1064" s="442"/>
      <c r="B1064" s="442"/>
      <c r="C1064" s="442"/>
      <c r="D1064" s="442"/>
      <c r="E1064" s="442"/>
      <c r="F1064" s="442"/>
      <c r="G1064" s="442"/>
      <c r="H1064" s="442"/>
      <c r="I1064" s="442"/>
      <c r="J1064" s="442"/>
      <c r="K1064" s="442"/>
      <c r="L1064" s="442"/>
      <c r="M1064" s="442"/>
      <c r="N1064" s="442"/>
      <c r="O1064" s="442"/>
    </row>
    <row r="1065" spans="1:15" s="942" customFormat="1" ht="15.75" customHeight="1">
      <c r="A1065" s="442"/>
      <c r="B1065" s="442"/>
      <c r="C1065" s="442"/>
      <c r="D1065" s="442"/>
      <c r="E1065" s="442"/>
      <c r="F1065" s="442"/>
      <c r="G1065" s="442"/>
      <c r="H1065" s="442"/>
      <c r="I1065" s="442"/>
      <c r="J1065" s="442"/>
      <c r="K1065" s="442"/>
      <c r="L1065" s="442"/>
      <c r="M1065" s="442"/>
      <c r="N1065" s="442"/>
      <c r="O1065" s="442"/>
    </row>
    <row r="1066" spans="1:15" s="942" customFormat="1" ht="15.75" customHeight="1">
      <c r="A1066" s="442"/>
      <c r="B1066" s="442"/>
      <c r="C1066" s="442"/>
      <c r="D1066" s="442"/>
      <c r="E1066" s="442"/>
      <c r="F1066" s="442"/>
      <c r="G1066" s="442"/>
      <c r="H1066" s="442"/>
      <c r="I1066" s="442"/>
      <c r="J1066" s="442"/>
      <c r="K1066" s="442"/>
      <c r="L1066" s="442"/>
      <c r="M1066" s="442"/>
      <c r="N1066" s="442"/>
      <c r="O1066" s="442"/>
    </row>
    <row r="1067" spans="1:15" s="942" customFormat="1" ht="15.75" customHeight="1">
      <c r="A1067" s="442"/>
      <c r="B1067" s="442"/>
      <c r="C1067" s="442"/>
      <c r="D1067" s="442"/>
      <c r="E1067" s="442"/>
      <c r="F1067" s="442"/>
      <c r="G1067" s="442"/>
      <c r="H1067" s="442"/>
      <c r="I1067" s="442"/>
      <c r="J1067" s="442"/>
      <c r="K1067" s="442"/>
      <c r="L1067" s="442"/>
      <c r="M1067" s="442"/>
      <c r="N1067" s="442"/>
      <c r="O1067" s="442"/>
    </row>
    <row r="1068" spans="1:15" s="942" customFormat="1" ht="15.75" customHeight="1">
      <c r="A1068" s="442"/>
      <c r="B1068" s="442"/>
      <c r="C1068" s="442"/>
      <c r="D1068" s="442"/>
      <c r="E1068" s="442"/>
      <c r="F1068" s="442"/>
      <c r="G1068" s="442"/>
      <c r="H1068" s="442"/>
      <c r="I1068" s="442"/>
      <c r="J1068" s="442"/>
      <c r="K1068" s="442"/>
      <c r="L1068" s="442"/>
      <c r="M1068" s="442"/>
      <c r="N1068" s="442"/>
      <c r="O1068" s="442"/>
    </row>
    <row r="1069" spans="1:15" s="942" customFormat="1" ht="15.75" customHeight="1">
      <c r="A1069" s="442"/>
      <c r="B1069" s="442"/>
      <c r="C1069" s="442"/>
      <c r="D1069" s="442"/>
      <c r="E1069" s="442"/>
      <c r="F1069" s="442"/>
      <c r="G1069" s="442"/>
      <c r="H1069" s="442"/>
      <c r="I1069" s="442"/>
      <c r="J1069" s="442"/>
      <c r="K1069" s="442"/>
      <c r="L1069" s="442"/>
      <c r="M1069" s="442"/>
      <c r="N1069" s="442"/>
      <c r="O1069" s="442"/>
    </row>
    <row r="1070" spans="1:15" s="942" customFormat="1" ht="15.75" customHeight="1">
      <c r="A1070" s="442"/>
      <c r="B1070" s="442"/>
      <c r="C1070" s="442"/>
      <c r="D1070" s="442"/>
      <c r="E1070" s="442"/>
      <c r="F1070" s="442"/>
      <c r="G1070" s="442"/>
      <c r="H1070" s="442"/>
      <c r="I1070" s="442"/>
      <c r="J1070" s="442"/>
      <c r="K1070" s="442"/>
      <c r="L1070" s="442"/>
      <c r="M1070" s="442"/>
      <c r="N1070" s="442"/>
      <c r="O1070" s="442"/>
    </row>
    <row r="1071" spans="1:15" s="942" customFormat="1" ht="15.75" customHeight="1">
      <c r="A1071" s="442"/>
      <c r="B1071" s="442"/>
      <c r="C1071" s="442"/>
      <c r="D1071" s="442"/>
      <c r="E1071" s="442"/>
      <c r="F1071" s="442"/>
      <c r="G1071" s="442"/>
      <c r="H1071" s="442"/>
      <c r="I1071" s="442"/>
      <c r="J1071" s="442"/>
      <c r="K1071" s="442"/>
      <c r="L1071" s="442"/>
      <c r="M1071" s="442"/>
      <c r="N1071" s="442"/>
      <c r="O1071" s="442"/>
    </row>
    <row r="1072" spans="1:15" s="942" customFormat="1" ht="15.75" customHeight="1">
      <c r="A1072" s="442"/>
      <c r="B1072" s="442"/>
      <c r="C1072" s="442"/>
      <c r="D1072" s="442"/>
      <c r="E1072" s="442"/>
      <c r="F1072" s="442"/>
      <c r="G1072" s="442"/>
      <c r="H1072" s="442"/>
      <c r="I1072" s="442"/>
      <c r="J1072" s="442"/>
      <c r="K1072" s="442"/>
      <c r="L1072" s="442"/>
      <c r="M1072" s="442"/>
      <c r="N1072" s="442"/>
      <c r="O1072" s="442"/>
    </row>
    <row r="1073" spans="1:15" s="942" customFormat="1" ht="15.75" customHeight="1">
      <c r="A1073" s="442"/>
      <c r="B1073" s="442"/>
      <c r="C1073" s="442"/>
      <c r="D1073" s="442"/>
      <c r="E1073" s="442"/>
      <c r="F1073" s="442"/>
      <c r="G1073" s="442"/>
      <c r="H1073" s="442"/>
      <c r="I1073" s="442"/>
      <c r="J1073" s="442"/>
      <c r="K1073" s="442"/>
      <c r="L1073" s="442"/>
      <c r="M1073" s="442"/>
      <c r="N1073" s="442"/>
      <c r="O1073" s="442"/>
    </row>
    <row r="1074" spans="1:15" s="942" customFormat="1" ht="15.75" customHeight="1">
      <c r="A1074" s="442"/>
      <c r="B1074" s="442"/>
      <c r="C1074" s="442"/>
      <c r="D1074" s="442"/>
      <c r="E1074" s="442"/>
      <c r="F1074" s="442"/>
      <c r="G1074" s="442"/>
      <c r="H1074" s="442"/>
      <c r="I1074" s="442"/>
      <c r="J1074" s="442"/>
      <c r="K1074" s="442"/>
      <c r="L1074" s="442"/>
      <c r="M1074" s="442"/>
      <c r="N1074" s="442"/>
      <c r="O1074" s="442"/>
    </row>
    <row r="1075" spans="1:15" s="942" customFormat="1" ht="15.75" customHeight="1">
      <c r="A1075" s="442"/>
      <c r="B1075" s="442"/>
      <c r="C1075" s="442"/>
      <c r="D1075" s="442"/>
      <c r="E1075" s="442"/>
      <c r="F1075" s="442"/>
      <c r="G1075" s="442"/>
      <c r="H1075" s="442"/>
      <c r="I1075" s="442"/>
      <c r="J1075" s="442"/>
      <c r="K1075" s="442"/>
      <c r="L1075" s="442"/>
      <c r="M1075" s="442"/>
      <c r="N1075" s="442"/>
      <c r="O1075" s="442"/>
    </row>
    <row r="1076" spans="1:15" s="942" customFormat="1" ht="15.75" customHeight="1">
      <c r="A1076" s="442"/>
      <c r="B1076" s="442"/>
      <c r="C1076" s="442"/>
      <c r="D1076" s="442"/>
      <c r="E1076" s="442"/>
      <c r="F1076" s="442"/>
      <c r="G1076" s="442"/>
      <c r="H1076" s="442"/>
      <c r="I1076" s="442"/>
      <c r="J1076" s="442"/>
      <c r="K1076" s="442"/>
      <c r="L1076" s="442"/>
      <c r="M1076" s="442"/>
      <c r="N1076" s="442"/>
      <c r="O1076" s="442"/>
    </row>
    <row r="1077" spans="1:15" s="942" customFormat="1" ht="15.75" customHeight="1">
      <c r="A1077" s="442"/>
      <c r="B1077" s="442"/>
      <c r="C1077" s="442"/>
      <c r="D1077" s="442"/>
      <c r="E1077" s="442"/>
      <c r="F1077" s="442"/>
      <c r="G1077" s="442"/>
      <c r="H1077" s="442"/>
      <c r="I1077" s="442"/>
      <c r="J1077" s="442"/>
      <c r="K1077" s="442"/>
      <c r="L1077" s="442"/>
      <c r="M1077" s="442"/>
      <c r="N1077" s="442"/>
      <c r="O1077" s="442"/>
    </row>
    <row r="1078" spans="1:15" s="942" customFormat="1" ht="15.75" customHeight="1">
      <c r="A1078" s="442"/>
      <c r="B1078" s="442"/>
      <c r="C1078" s="442"/>
      <c r="D1078" s="442"/>
      <c r="E1078" s="442"/>
      <c r="F1078" s="442"/>
      <c r="G1078" s="442"/>
      <c r="H1078" s="442"/>
      <c r="I1078" s="442"/>
      <c r="J1078" s="442"/>
      <c r="K1078" s="442"/>
      <c r="L1078" s="442"/>
      <c r="M1078" s="442"/>
      <c r="N1078" s="442"/>
      <c r="O1078" s="442"/>
    </row>
    <row r="1079" spans="1:15" s="942" customFormat="1" ht="15.75" customHeight="1">
      <c r="A1079" s="442"/>
      <c r="B1079" s="442"/>
      <c r="C1079" s="442"/>
      <c r="D1079" s="442"/>
      <c r="E1079" s="442"/>
      <c r="F1079" s="442"/>
      <c r="G1079" s="442"/>
      <c r="H1079" s="442"/>
      <c r="I1079" s="442"/>
      <c r="J1079" s="442"/>
      <c r="K1079" s="442"/>
      <c r="L1079" s="442"/>
      <c r="M1079" s="442"/>
      <c r="N1079" s="442"/>
      <c r="O1079" s="442"/>
    </row>
    <row r="1080" spans="1:15" s="942" customFormat="1" ht="15.75" customHeight="1">
      <c r="A1080" s="442"/>
      <c r="B1080" s="442"/>
      <c r="C1080" s="442"/>
      <c r="D1080" s="442"/>
      <c r="E1080" s="442"/>
      <c r="F1080" s="442"/>
      <c r="G1080" s="442"/>
      <c r="H1080" s="442"/>
      <c r="I1080" s="442"/>
      <c r="J1080" s="442"/>
      <c r="K1080" s="442"/>
      <c r="L1080" s="442"/>
      <c r="M1080" s="442"/>
      <c r="N1080" s="442"/>
      <c r="O1080" s="442"/>
    </row>
    <row r="1081" spans="1:15" s="942" customFormat="1" ht="15.75" customHeight="1">
      <c r="A1081" s="442"/>
      <c r="B1081" s="442"/>
      <c r="C1081" s="442"/>
      <c r="D1081" s="442"/>
      <c r="E1081" s="442"/>
      <c r="F1081" s="442"/>
      <c r="G1081" s="442"/>
      <c r="H1081" s="442"/>
      <c r="I1081" s="442"/>
      <c r="J1081" s="442"/>
      <c r="K1081" s="442"/>
      <c r="L1081" s="442"/>
      <c r="M1081" s="442"/>
      <c r="N1081" s="442"/>
      <c r="O1081" s="442"/>
    </row>
    <row r="1082" spans="1:15" s="942" customFormat="1" ht="15.75" customHeight="1">
      <c r="A1082" s="442"/>
      <c r="B1082" s="442"/>
      <c r="C1082" s="442"/>
      <c r="D1082" s="442"/>
      <c r="E1082" s="442"/>
      <c r="F1082" s="442"/>
      <c r="G1082" s="442"/>
      <c r="H1082" s="442"/>
      <c r="I1082" s="442"/>
      <c r="J1082" s="442"/>
      <c r="K1082" s="442"/>
      <c r="L1082" s="442"/>
      <c r="M1082" s="442"/>
      <c r="N1082" s="442"/>
      <c r="O1082" s="442"/>
    </row>
    <row r="1083" spans="1:15" s="942" customFormat="1" ht="15.75" customHeight="1">
      <c r="A1083" s="442"/>
      <c r="B1083" s="442"/>
      <c r="C1083" s="442"/>
      <c r="D1083" s="442"/>
      <c r="E1083" s="442"/>
      <c r="F1083" s="442"/>
      <c r="G1083" s="442"/>
      <c r="H1083" s="442"/>
      <c r="I1083" s="442"/>
      <c r="J1083" s="442"/>
      <c r="K1083" s="442"/>
      <c r="L1083" s="442"/>
      <c r="M1083" s="442"/>
      <c r="N1083" s="442"/>
      <c r="O1083" s="442"/>
    </row>
    <row r="1084" spans="1:15" s="942" customFormat="1" ht="15.75" customHeight="1">
      <c r="A1084" s="442"/>
      <c r="B1084" s="442"/>
      <c r="C1084" s="442"/>
      <c r="D1084" s="442"/>
      <c r="E1084" s="442"/>
      <c r="F1084" s="442"/>
      <c r="G1084" s="442"/>
      <c r="H1084" s="442"/>
      <c r="I1084" s="442"/>
      <c r="J1084" s="442"/>
      <c r="K1084" s="442"/>
      <c r="L1084" s="442"/>
      <c r="M1084" s="442"/>
      <c r="N1084" s="442"/>
      <c r="O1084" s="442"/>
    </row>
    <row r="1085" spans="1:15" s="942" customFormat="1" ht="15.75" customHeight="1">
      <c r="A1085" s="442"/>
      <c r="B1085" s="442"/>
      <c r="C1085" s="442"/>
      <c r="D1085" s="442"/>
      <c r="E1085" s="442"/>
      <c r="F1085" s="442"/>
      <c r="G1085" s="442"/>
      <c r="H1085" s="442"/>
      <c r="I1085" s="442"/>
      <c r="J1085" s="442"/>
      <c r="K1085" s="442"/>
      <c r="L1085" s="442"/>
      <c r="M1085" s="442"/>
      <c r="N1085" s="442"/>
      <c r="O1085" s="442"/>
    </row>
    <row r="1086" spans="1:15" s="942" customFormat="1" ht="15.75" customHeight="1">
      <c r="A1086" s="442"/>
      <c r="B1086" s="442"/>
      <c r="C1086" s="442"/>
      <c r="D1086" s="442"/>
      <c r="E1086" s="442"/>
      <c r="F1086" s="442"/>
      <c r="G1086" s="442"/>
      <c r="H1086" s="442"/>
      <c r="I1086" s="442"/>
      <c r="J1086" s="442"/>
      <c r="K1086" s="442"/>
      <c r="L1086" s="442"/>
      <c r="M1086" s="442"/>
      <c r="N1086" s="442"/>
      <c r="O1086" s="442"/>
    </row>
    <row r="1087" spans="1:15" s="942" customFormat="1" ht="15.75" customHeight="1">
      <c r="A1087" s="442"/>
      <c r="B1087" s="442"/>
      <c r="C1087" s="442"/>
      <c r="D1087" s="442"/>
      <c r="E1087" s="442"/>
      <c r="F1087" s="442"/>
      <c r="G1087" s="442"/>
      <c r="H1087" s="442"/>
      <c r="I1087" s="442"/>
      <c r="J1087" s="442"/>
      <c r="K1087" s="442"/>
      <c r="L1087" s="442"/>
      <c r="M1087" s="442"/>
      <c r="N1087" s="442"/>
      <c r="O1087" s="442"/>
    </row>
    <row r="1088" spans="1:15" s="942" customFormat="1" ht="15.75" customHeight="1">
      <c r="A1088" s="442"/>
      <c r="B1088" s="442"/>
      <c r="C1088" s="442"/>
      <c r="D1088" s="442"/>
      <c r="E1088" s="442"/>
      <c r="F1088" s="442"/>
      <c r="G1088" s="442"/>
      <c r="H1088" s="442"/>
      <c r="I1088" s="442"/>
      <c r="J1088" s="442"/>
      <c r="K1088" s="442"/>
      <c r="L1088" s="442"/>
      <c r="M1088" s="442"/>
      <c r="N1088" s="442"/>
      <c r="O1088" s="442"/>
    </row>
    <row r="1089" spans="1:15" s="942" customFormat="1" ht="15.75" customHeight="1">
      <c r="A1089" s="442"/>
      <c r="B1089" s="442"/>
      <c r="C1089" s="442"/>
      <c r="D1089" s="442"/>
      <c r="E1089" s="442"/>
      <c r="F1089" s="442"/>
      <c r="G1089" s="442"/>
      <c r="H1089" s="442"/>
      <c r="I1089" s="442"/>
      <c r="J1089" s="442"/>
      <c r="K1089" s="442"/>
      <c r="L1089" s="442"/>
      <c r="M1089" s="442"/>
      <c r="N1089" s="442"/>
      <c r="O1089" s="442"/>
    </row>
    <row r="1090" spans="1:15" s="942" customFormat="1" ht="15.75" customHeight="1">
      <c r="A1090" s="442"/>
      <c r="B1090" s="442"/>
      <c r="C1090" s="442"/>
      <c r="D1090" s="442"/>
      <c r="E1090" s="442"/>
      <c r="F1090" s="442"/>
      <c r="G1090" s="442"/>
      <c r="H1090" s="442"/>
      <c r="I1090" s="442"/>
      <c r="J1090" s="442"/>
      <c r="K1090" s="442"/>
      <c r="L1090" s="442"/>
      <c r="M1090" s="442"/>
      <c r="N1090" s="442"/>
      <c r="O1090" s="442"/>
    </row>
    <row r="1091" spans="1:15" s="942" customFormat="1" ht="15.75" customHeight="1">
      <c r="A1091" s="442"/>
      <c r="B1091" s="442"/>
      <c r="C1091" s="442"/>
      <c r="D1091" s="442"/>
      <c r="E1091" s="442"/>
      <c r="F1091" s="442"/>
      <c r="G1091" s="442"/>
      <c r="H1091" s="442"/>
      <c r="I1091" s="442"/>
      <c r="J1091" s="442"/>
      <c r="K1091" s="442"/>
      <c r="L1091" s="442"/>
      <c r="M1091" s="442"/>
      <c r="N1091" s="442"/>
      <c r="O1091" s="442"/>
    </row>
    <row r="1092" spans="1:15" s="942" customFormat="1" ht="15.75" customHeight="1">
      <c r="A1092" s="442"/>
      <c r="B1092" s="442"/>
      <c r="C1092" s="442"/>
      <c r="D1092" s="442"/>
      <c r="E1092" s="442"/>
      <c r="F1092" s="442"/>
      <c r="G1092" s="442"/>
      <c r="H1092" s="442"/>
      <c r="I1092" s="442"/>
      <c r="J1092" s="442"/>
      <c r="K1092" s="442"/>
      <c r="L1092" s="442"/>
      <c r="M1092" s="442"/>
      <c r="N1092" s="442"/>
      <c r="O1092" s="442"/>
    </row>
    <row r="1093" spans="1:15" s="942" customFormat="1" ht="15.75" customHeight="1">
      <c r="A1093" s="442"/>
      <c r="B1093" s="442"/>
      <c r="C1093" s="442"/>
      <c r="D1093" s="442"/>
      <c r="E1093" s="442"/>
      <c r="F1093" s="442"/>
      <c r="G1093" s="442"/>
      <c r="H1093" s="442"/>
      <c r="I1093" s="442"/>
      <c r="J1093" s="442"/>
      <c r="K1093" s="442"/>
      <c r="L1093" s="442"/>
      <c r="M1093" s="442"/>
      <c r="N1093" s="442"/>
      <c r="O1093" s="442"/>
    </row>
    <row r="1094" spans="1:15" s="942" customFormat="1" ht="15.75" customHeight="1">
      <c r="A1094" s="442"/>
      <c r="B1094" s="442"/>
      <c r="C1094" s="442"/>
      <c r="D1094" s="442"/>
      <c r="E1094" s="442"/>
      <c r="F1094" s="442"/>
      <c r="G1094" s="442"/>
      <c r="H1094" s="442"/>
      <c r="I1094" s="442"/>
      <c r="J1094" s="442"/>
      <c r="K1094" s="442"/>
      <c r="L1094" s="442"/>
      <c r="M1094" s="442"/>
      <c r="N1094" s="442"/>
      <c r="O1094" s="442"/>
    </row>
    <row r="1095" spans="1:15" s="942" customFormat="1" ht="15.75" customHeight="1">
      <c r="A1095" s="442"/>
      <c r="B1095" s="442"/>
      <c r="C1095" s="442"/>
      <c r="D1095" s="442"/>
      <c r="E1095" s="442"/>
      <c r="F1095" s="442"/>
      <c r="G1095" s="442"/>
      <c r="H1095" s="442"/>
      <c r="I1095" s="442"/>
      <c r="J1095" s="442"/>
      <c r="K1095" s="442"/>
      <c r="L1095" s="442"/>
      <c r="M1095" s="442"/>
      <c r="N1095" s="442"/>
      <c r="O1095" s="442"/>
    </row>
    <row r="1096" spans="1:15" s="942" customFormat="1" ht="15.75" customHeight="1">
      <c r="A1096" s="442"/>
      <c r="B1096" s="442"/>
      <c r="C1096" s="442"/>
      <c r="D1096" s="442"/>
      <c r="E1096" s="442"/>
      <c r="F1096" s="442"/>
      <c r="G1096" s="442"/>
      <c r="H1096" s="442"/>
      <c r="I1096" s="442"/>
      <c r="J1096" s="442"/>
      <c r="K1096" s="442"/>
      <c r="L1096" s="442"/>
      <c r="M1096" s="442"/>
      <c r="N1096" s="442"/>
      <c r="O1096" s="442"/>
    </row>
    <row r="1097" spans="1:15" s="942" customFormat="1" ht="15.75" customHeight="1">
      <c r="A1097" s="442"/>
      <c r="B1097" s="442"/>
      <c r="C1097" s="442"/>
      <c r="D1097" s="442"/>
      <c r="E1097" s="442"/>
      <c r="F1097" s="442"/>
      <c r="G1097" s="442"/>
      <c r="H1097" s="442"/>
      <c r="I1097" s="442"/>
      <c r="J1097" s="442"/>
      <c r="K1097" s="442"/>
      <c r="L1097" s="442"/>
      <c r="M1097" s="442"/>
      <c r="N1097" s="442"/>
      <c r="O1097" s="442"/>
    </row>
    <row r="1098" spans="1:15" s="942" customFormat="1" ht="15.75" customHeight="1">
      <c r="A1098" s="442"/>
      <c r="B1098" s="442"/>
      <c r="C1098" s="442"/>
      <c r="D1098" s="442"/>
      <c r="E1098" s="442"/>
      <c r="F1098" s="442"/>
      <c r="G1098" s="442"/>
      <c r="H1098" s="442"/>
      <c r="I1098" s="442"/>
      <c r="J1098" s="442"/>
      <c r="K1098" s="442"/>
      <c r="L1098" s="442"/>
      <c r="M1098" s="442"/>
      <c r="N1098" s="442"/>
      <c r="O1098" s="442"/>
    </row>
    <row r="1099" spans="1:15" s="942" customFormat="1" ht="15.75" customHeight="1">
      <c r="A1099" s="442"/>
      <c r="B1099" s="442"/>
      <c r="C1099" s="442"/>
      <c r="D1099" s="442"/>
      <c r="E1099" s="442"/>
      <c r="F1099" s="442"/>
      <c r="G1099" s="442"/>
      <c r="H1099" s="442"/>
      <c r="I1099" s="442"/>
      <c r="J1099" s="442"/>
      <c r="K1099" s="442"/>
      <c r="L1099" s="442"/>
      <c r="M1099" s="442"/>
      <c r="N1099" s="442"/>
      <c r="O1099" s="442"/>
    </row>
    <row r="1100" spans="1:15" s="942" customFormat="1" ht="15.75" customHeight="1">
      <c r="A1100" s="442"/>
      <c r="B1100" s="442"/>
      <c r="C1100" s="442"/>
      <c r="D1100" s="442"/>
      <c r="E1100" s="442"/>
      <c r="F1100" s="442"/>
      <c r="G1100" s="442"/>
      <c r="H1100" s="442"/>
      <c r="I1100" s="442"/>
      <c r="J1100" s="442"/>
      <c r="K1100" s="442"/>
      <c r="L1100" s="442"/>
      <c r="M1100" s="442"/>
      <c r="N1100" s="442"/>
      <c r="O1100" s="442"/>
    </row>
    <row r="1101" spans="1:15" s="942" customFormat="1" ht="15.75" customHeight="1">
      <c r="A1101" s="442"/>
      <c r="B1101" s="442"/>
      <c r="C1101" s="442"/>
      <c r="D1101" s="442"/>
      <c r="E1101" s="442"/>
      <c r="F1101" s="442"/>
      <c r="G1101" s="442"/>
      <c r="H1101" s="442"/>
      <c r="I1101" s="442"/>
      <c r="J1101" s="442"/>
      <c r="K1101" s="442"/>
      <c r="L1101" s="442"/>
      <c r="M1101" s="442"/>
      <c r="N1101" s="442"/>
      <c r="O1101" s="442"/>
    </row>
    <row r="1102" spans="1:15" s="942" customFormat="1" ht="15.75" customHeight="1">
      <c r="A1102" s="442"/>
      <c r="B1102" s="442"/>
      <c r="C1102" s="442"/>
      <c r="D1102" s="442"/>
      <c r="E1102" s="442"/>
      <c r="F1102" s="442"/>
      <c r="G1102" s="442"/>
      <c r="H1102" s="442"/>
      <c r="I1102" s="442"/>
      <c r="J1102" s="442"/>
      <c r="K1102" s="442"/>
      <c r="L1102" s="442"/>
      <c r="M1102" s="442"/>
      <c r="N1102" s="442"/>
      <c r="O1102" s="442"/>
    </row>
    <row r="1103" spans="1:15" s="942" customFormat="1" ht="15.75" customHeight="1">
      <c r="A1103" s="442"/>
      <c r="B1103" s="442"/>
      <c r="C1103" s="442"/>
      <c r="D1103" s="442"/>
      <c r="E1103" s="442"/>
      <c r="F1103" s="442"/>
      <c r="G1103" s="442"/>
      <c r="H1103" s="442"/>
      <c r="I1103" s="442"/>
      <c r="J1103" s="442"/>
      <c r="K1103" s="442"/>
      <c r="L1103" s="442"/>
      <c r="M1103" s="442"/>
      <c r="N1103" s="442"/>
      <c r="O1103" s="442"/>
    </row>
    <row r="1104" spans="1:15" s="942" customFormat="1" ht="15.75" customHeight="1">
      <c r="A1104" s="442"/>
      <c r="B1104" s="442"/>
      <c r="C1104" s="442"/>
      <c r="D1104" s="442"/>
      <c r="E1104" s="442"/>
      <c r="F1104" s="442"/>
      <c r="G1104" s="442"/>
      <c r="H1104" s="442"/>
      <c r="I1104" s="442"/>
      <c r="J1104" s="442"/>
      <c r="K1104" s="442"/>
      <c r="L1104" s="442"/>
      <c r="M1104" s="442"/>
      <c r="N1104" s="442"/>
      <c r="O1104" s="442"/>
    </row>
    <row r="1105" spans="1:15" s="942" customFormat="1" ht="15.75" customHeight="1">
      <c r="A1105" s="442"/>
      <c r="B1105" s="442"/>
      <c r="C1105" s="442"/>
      <c r="D1105" s="442"/>
      <c r="E1105" s="442"/>
      <c r="F1105" s="442"/>
      <c r="G1105" s="442"/>
      <c r="H1105" s="442"/>
      <c r="I1105" s="442"/>
      <c r="J1105" s="442"/>
      <c r="K1105" s="442"/>
      <c r="L1105" s="442"/>
      <c r="M1105" s="442"/>
      <c r="N1105" s="442"/>
      <c r="O1105" s="442"/>
    </row>
    <row r="1106" spans="1:15" s="942" customFormat="1" ht="15.75" customHeight="1">
      <c r="A1106" s="442"/>
      <c r="B1106" s="442"/>
      <c r="C1106" s="442"/>
      <c r="D1106" s="442"/>
      <c r="E1106" s="442"/>
      <c r="F1106" s="442"/>
      <c r="G1106" s="442"/>
      <c r="H1106" s="442"/>
      <c r="I1106" s="442"/>
      <c r="J1106" s="442"/>
      <c r="K1106" s="442"/>
      <c r="L1106" s="442"/>
      <c r="M1106" s="442"/>
      <c r="N1106" s="442"/>
      <c r="O1106" s="442"/>
    </row>
    <row r="1107" spans="1:15" s="942" customFormat="1" ht="15.75" customHeight="1">
      <c r="A1107" s="442"/>
      <c r="B1107" s="442"/>
      <c r="C1107" s="442"/>
      <c r="D1107" s="442"/>
      <c r="E1107" s="442"/>
      <c r="F1107" s="442"/>
      <c r="G1107" s="442"/>
      <c r="H1107" s="442"/>
      <c r="I1107" s="442"/>
      <c r="J1107" s="442"/>
      <c r="K1107" s="442"/>
      <c r="L1107" s="442"/>
      <c r="M1107" s="442"/>
      <c r="N1107" s="442"/>
      <c r="O1107" s="442"/>
    </row>
    <row r="1108" spans="1:15" s="942" customFormat="1" ht="15.75" customHeight="1">
      <c r="A1108" s="442"/>
      <c r="B1108" s="442"/>
      <c r="C1108" s="442"/>
      <c r="D1108" s="442"/>
      <c r="E1108" s="442"/>
      <c r="F1108" s="442"/>
      <c r="G1108" s="442"/>
      <c r="H1108" s="442"/>
      <c r="I1108" s="442"/>
      <c r="J1108" s="442"/>
      <c r="K1108" s="442"/>
      <c r="L1108" s="442"/>
      <c r="M1108" s="442"/>
      <c r="N1108" s="442"/>
      <c r="O1108" s="442"/>
    </row>
    <row r="1109" spans="1:15" s="942" customFormat="1" ht="15.75" customHeight="1">
      <c r="A1109" s="442"/>
      <c r="B1109" s="442"/>
      <c r="C1109" s="442"/>
      <c r="D1109" s="442"/>
      <c r="E1109" s="442"/>
      <c r="F1109" s="442"/>
      <c r="G1109" s="442"/>
      <c r="H1109" s="442"/>
      <c r="I1109" s="442"/>
      <c r="J1109" s="442"/>
      <c r="K1109" s="442"/>
      <c r="L1109" s="442"/>
      <c r="M1109" s="442"/>
      <c r="N1109" s="442"/>
      <c r="O1109" s="442"/>
    </row>
    <row r="1110" spans="1:15" s="942" customFormat="1" ht="15.75" customHeight="1">
      <c r="A1110" s="442"/>
      <c r="B1110" s="442"/>
      <c r="C1110" s="442"/>
      <c r="D1110" s="442"/>
      <c r="E1110" s="442"/>
      <c r="F1110" s="442"/>
      <c r="G1110" s="442"/>
      <c r="H1110" s="442"/>
      <c r="I1110" s="442"/>
      <c r="J1110" s="442"/>
      <c r="K1110" s="442"/>
      <c r="L1110" s="442"/>
      <c r="M1110" s="442"/>
      <c r="N1110" s="442"/>
      <c r="O1110" s="442"/>
    </row>
    <row r="1111" spans="1:15" s="942" customFormat="1" ht="15.75" customHeight="1">
      <c r="A1111" s="442"/>
      <c r="B1111" s="442"/>
      <c r="C1111" s="442"/>
      <c r="D1111" s="442"/>
      <c r="E1111" s="442"/>
      <c r="F1111" s="442"/>
      <c r="G1111" s="442"/>
      <c r="H1111" s="442"/>
      <c r="I1111" s="442"/>
      <c r="J1111" s="442"/>
      <c r="K1111" s="442"/>
      <c r="L1111" s="442"/>
      <c r="M1111" s="442"/>
      <c r="N1111" s="442"/>
      <c r="O1111" s="442"/>
    </row>
    <row r="1112" spans="1:15" s="942" customFormat="1" ht="15.75" customHeight="1">
      <c r="A1112" s="442"/>
      <c r="B1112" s="442"/>
      <c r="C1112" s="442"/>
      <c r="D1112" s="442"/>
      <c r="E1112" s="442"/>
      <c r="F1112" s="442"/>
      <c r="G1112" s="442"/>
      <c r="H1112" s="442"/>
      <c r="I1112" s="442"/>
      <c r="J1112" s="442"/>
      <c r="K1112" s="442"/>
      <c r="L1112" s="442"/>
      <c r="M1112" s="442"/>
      <c r="N1112" s="442"/>
      <c r="O1112" s="442"/>
    </row>
    <row r="1113" spans="1:15" s="942" customFormat="1" ht="15.75" customHeight="1">
      <c r="A1113" s="442"/>
      <c r="B1113" s="442"/>
      <c r="C1113" s="442"/>
      <c r="D1113" s="442"/>
      <c r="E1113" s="442"/>
      <c r="F1113" s="442"/>
      <c r="G1113" s="442"/>
      <c r="H1113" s="442"/>
      <c r="I1113" s="442"/>
      <c r="J1113" s="442"/>
      <c r="K1113" s="442"/>
      <c r="L1113" s="442"/>
      <c r="M1113" s="442"/>
      <c r="N1113" s="442"/>
      <c r="O1113" s="442"/>
    </row>
    <row r="1114" spans="1:15" s="942" customFormat="1" ht="15.75" customHeight="1">
      <c r="A1114" s="442"/>
      <c r="B1114" s="442"/>
      <c r="C1114" s="442"/>
      <c r="D1114" s="442"/>
      <c r="E1114" s="442"/>
      <c r="F1114" s="442"/>
      <c r="G1114" s="442"/>
      <c r="H1114" s="442"/>
      <c r="I1114" s="442"/>
      <c r="J1114" s="442"/>
      <c r="K1114" s="442"/>
      <c r="L1114" s="442"/>
      <c r="M1114" s="442"/>
      <c r="N1114" s="442"/>
      <c r="O1114" s="442"/>
    </row>
    <row r="1115" spans="1:15" s="942" customFormat="1" ht="15.75" customHeight="1">
      <c r="A1115" s="442"/>
      <c r="B1115" s="442"/>
      <c r="C1115" s="442"/>
      <c r="D1115" s="442"/>
      <c r="E1115" s="442"/>
      <c r="F1115" s="442"/>
      <c r="G1115" s="442"/>
      <c r="H1115" s="442"/>
      <c r="I1115" s="442"/>
      <c r="J1115" s="442"/>
      <c r="K1115" s="442"/>
      <c r="L1115" s="442"/>
      <c r="M1115" s="442"/>
      <c r="N1115" s="442"/>
      <c r="O1115" s="442"/>
    </row>
    <row r="1116" spans="1:15" s="942" customFormat="1" ht="15.75" customHeight="1">
      <c r="A1116" s="442"/>
      <c r="B1116" s="442"/>
      <c r="C1116" s="442"/>
      <c r="D1116" s="442"/>
      <c r="E1116" s="442"/>
      <c r="F1116" s="442"/>
      <c r="G1116" s="442"/>
      <c r="H1116" s="442"/>
      <c r="I1116" s="442"/>
      <c r="J1116" s="442"/>
      <c r="K1116" s="442"/>
      <c r="L1116" s="442"/>
      <c r="M1116" s="442"/>
      <c r="N1116" s="442"/>
      <c r="O1116" s="442"/>
    </row>
    <row r="1117" spans="1:15" s="942" customFormat="1" ht="15.75" customHeight="1">
      <c r="A1117" s="442"/>
      <c r="B1117" s="442"/>
      <c r="C1117" s="442"/>
      <c r="D1117" s="442"/>
      <c r="E1117" s="442"/>
      <c r="F1117" s="442"/>
      <c r="G1117" s="442"/>
      <c r="H1117" s="442"/>
      <c r="I1117" s="442"/>
      <c r="J1117" s="442"/>
      <c r="K1117" s="442"/>
      <c r="L1117" s="442"/>
      <c r="M1117" s="442"/>
      <c r="N1117" s="442"/>
      <c r="O1117" s="442"/>
    </row>
    <row r="1118" spans="1:15" s="942" customFormat="1" ht="15.75" customHeight="1">
      <c r="A1118" s="442"/>
      <c r="B1118" s="442"/>
      <c r="C1118" s="442"/>
      <c r="D1118" s="442"/>
      <c r="E1118" s="442"/>
      <c r="F1118" s="442"/>
      <c r="G1118" s="442"/>
      <c r="H1118" s="442"/>
      <c r="I1118" s="442"/>
      <c r="J1118" s="442"/>
      <c r="K1118" s="442"/>
      <c r="L1118" s="442"/>
      <c r="M1118" s="442"/>
      <c r="N1118" s="442"/>
      <c r="O1118" s="442"/>
    </row>
    <row r="1119" spans="1:15" s="942" customFormat="1" ht="15.75" customHeight="1">
      <c r="A1119" s="442"/>
      <c r="B1119" s="442"/>
      <c r="C1119" s="442"/>
      <c r="D1119" s="442"/>
      <c r="E1119" s="442"/>
      <c r="F1119" s="442"/>
      <c r="G1119" s="442"/>
      <c r="H1119" s="442"/>
      <c r="I1119" s="442"/>
      <c r="J1119" s="442"/>
      <c r="K1119" s="442"/>
      <c r="L1119" s="442"/>
      <c r="M1119" s="442"/>
      <c r="N1119" s="442"/>
      <c r="O1119" s="442"/>
    </row>
    <row r="1120" spans="1:15" s="942" customFormat="1" ht="15.75" customHeight="1">
      <c r="A1120" s="442"/>
      <c r="B1120" s="442"/>
      <c r="C1120" s="442"/>
      <c r="D1120" s="442"/>
      <c r="E1120" s="442"/>
      <c r="F1120" s="442"/>
      <c r="G1120" s="442"/>
      <c r="H1120" s="442"/>
      <c r="I1120" s="442"/>
      <c r="J1120" s="442"/>
      <c r="K1120" s="442"/>
      <c r="L1120" s="442"/>
      <c r="M1120" s="442"/>
      <c r="N1120" s="442"/>
      <c r="O1120" s="442"/>
    </row>
    <row r="1121" spans="1:15" s="942" customFormat="1" ht="15.75" customHeight="1">
      <c r="A1121" s="442"/>
      <c r="B1121" s="442"/>
      <c r="C1121" s="442"/>
      <c r="D1121" s="442"/>
      <c r="E1121" s="442"/>
      <c r="F1121" s="442"/>
      <c r="G1121" s="442"/>
      <c r="H1121" s="442"/>
      <c r="I1121" s="442"/>
      <c r="J1121" s="442"/>
      <c r="K1121" s="442"/>
      <c r="L1121" s="442"/>
      <c r="M1121" s="442"/>
      <c r="N1121" s="442"/>
      <c r="O1121" s="442"/>
    </row>
    <row r="1122" spans="1:15" s="942" customFormat="1" ht="15.75" customHeight="1">
      <c r="A1122" s="442"/>
      <c r="B1122" s="442"/>
      <c r="C1122" s="442"/>
      <c r="D1122" s="442"/>
      <c r="E1122" s="442"/>
      <c r="F1122" s="442"/>
      <c r="G1122" s="442"/>
      <c r="H1122" s="442"/>
      <c r="I1122" s="442"/>
      <c r="J1122" s="442"/>
      <c r="K1122" s="442"/>
      <c r="L1122" s="442"/>
      <c r="M1122" s="442"/>
      <c r="N1122" s="442"/>
      <c r="O1122" s="442"/>
    </row>
    <row r="1123" spans="1:15" s="942" customFormat="1" ht="15.75" customHeight="1">
      <c r="A1123" s="442"/>
      <c r="B1123" s="442"/>
      <c r="C1123" s="442"/>
      <c r="D1123" s="442"/>
      <c r="E1123" s="442"/>
      <c r="F1123" s="442"/>
      <c r="G1123" s="442"/>
      <c r="H1123" s="442"/>
      <c r="I1123" s="442"/>
      <c r="J1123" s="442"/>
      <c r="K1123" s="442"/>
      <c r="L1123" s="442"/>
      <c r="M1123" s="442"/>
      <c r="N1123" s="442"/>
      <c r="O1123" s="442"/>
    </row>
    <row r="1124" spans="1:15" s="942" customFormat="1" ht="15.75" customHeight="1">
      <c r="A1124" s="442"/>
      <c r="B1124" s="442"/>
      <c r="C1124" s="442"/>
      <c r="D1124" s="442"/>
      <c r="E1124" s="442"/>
      <c r="F1124" s="442"/>
      <c r="G1124" s="442"/>
      <c r="H1124" s="442"/>
      <c r="I1124" s="442"/>
      <c r="J1124" s="442"/>
      <c r="K1124" s="442"/>
      <c r="L1124" s="442"/>
      <c r="M1124" s="442"/>
      <c r="N1124" s="442"/>
      <c r="O1124" s="442"/>
    </row>
    <row r="1125" spans="1:15" s="942" customFormat="1" ht="15.75" customHeight="1">
      <c r="A1125" s="442"/>
      <c r="B1125" s="442"/>
      <c r="C1125" s="442"/>
      <c r="D1125" s="442"/>
      <c r="E1125" s="442"/>
      <c r="F1125" s="442"/>
      <c r="G1125" s="442"/>
      <c r="H1125" s="442"/>
      <c r="I1125" s="442"/>
      <c r="J1125" s="442"/>
      <c r="K1125" s="442"/>
      <c r="L1125" s="442"/>
      <c r="M1125" s="442"/>
      <c r="N1125" s="442"/>
      <c r="O1125" s="442"/>
    </row>
    <row r="1126" spans="1:15" s="942" customFormat="1" ht="15.75" customHeight="1">
      <c r="A1126" s="442"/>
      <c r="B1126" s="442"/>
      <c r="C1126" s="442"/>
      <c r="D1126" s="442"/>
      <c r="E1126" s="442"/>
      <c r="F1126" s="442"/>
      <c r="G1126" s="442"/>
      <c r="H1126" s="442"/>
      <c r="I1126" s="442"/>
      <c r="J1126" s="442"/>
      <c r="K1126" s="442"/>
      <c r="L1126" s="442"/>
      <c r="M1126" s="442"/>
      <c r="N1126" s="442"/>
      <c r="O1126" s="442"/>
    </row>
    <row r="1127" spans="1:15" s="942" customFormat="1" ht="15.75" customHeight="1">
      <c r="A1127" s="442"/>
      <c r="B1127" s="442"/>
      <c r="C1127" s="442"/>
      <c r="D1127" s="442"/>
      <c r="E1127" s="442"/>
      <c r="F1127" s="442"/>
      <c r="G1127" s="442"/>
      <c r="H1127" s="442"/>
      <c r="I1127" s="442"/>
      <c r="J1127" s="442"/>
      <c r="K1127" s="442"/>
      <c r="L1127" s="442"/>
      <c r="M1127" s="442"/>
      <c r="N1127" s="442"/>
      <c r="O1127" s="442"/>
    </row>
    <row r="1128" spans="1:15" s="942" customFormat="1" ht="15.75" customHeight="1">
      <c r="A1128" s="442"/>
      <c r="B1128" s="442"/>
      <c r="C1128" s="442"/>
      <c r="D1128" s="442"/>
      <c r="E1128" s="442"/>
      <c r="F1128" s="442"/>
      <c r="G1128" s="442"/>
      <c r="H1128" s="442"/>
      <c r="I1128" s="442"/>
      <c r="J1128" s="442"/>
      <c r="K1128" s="442"/>
      <c r="L1128" s="442"/>
      <c r="M1128" s="442"/>
      <c r="N1128" s="442"/>
      <c r="O1128" s="442"/>
    </row>
    <row r="1129" spans="1:15" s="942" customFormat="1" ht="15.75" customHeight="1">
      <c r="A1129" s="442"/>
      <c r="B1129" s="442"/>
      <c r="C1129" s="442"/>
      <c r="D1129" s="442"/>
      <c r="E1129" s="442"/>
      <c r="F1129" s="442"/>
      <c r="G1129" s="442"/>
      <c r="H1129" s="442"/>
      <c r="I1129" s="442"/>
      <c r="J1129" s="442"/>
      <c r="K1129" s="442"/>
      <c r="L1129" s="442"/>
      <c r="M1129" s="442"/>
      <c r="N1129" s="442"/>
      <c r="O1129" s="442"/>
    </row>
    <row r="1130" spans="1:15" s="942" customFormat="1" ht="15.75" customHeight="1">
      <c r="A1130" s="442"/>
      <c r="B1130" s="442"/>
      <c r="C1130" s="442"/>
      <c r="D1130" s="442"/>
      <c r="E1130" s="442"/>
      <c r="F1130" s="442"/>
      <c r="G1130" s="442"/>
      <c r="H1130" s="442"/>
      <c r="I1130" s="442"/>
      <c r="J1130" s="442"/>
      <c r="K1130" s="442"/>
      <c r="L1130" s="442"/>
      <c r="M1130" s="442"/>
      <c r="N1130" s="442"/>
      <c r="O1130" s="442"/>
    </row>
    <row r="1131" spans="1:15" s="942" customFormat="1" ht="15.75" customHeight="1">
      <c r="A1131" s="442"/>
      <c r="B1131" s="442"/>
      <c r="C1131" s="442"/>
      <c r="D1131" s="442"/>
      <c r="E1131" s="442"/>
      <c r="F1131" s="442"/>
      <c r="G1131" s="442"/>
      <c r="H1131" s="442"/>
      <c r="I1131" s="442"/>
      <c r="J1131" s="442"/>
      <c r="K1131" s="442"/>
      <c r="L1131" s="442"/>
      <c r="M1131" s="442"/>
      <c r="N1131" s="442"/>
      <c r="O1131" s="442"/>
    </row>
    <row r="1132" spans="1:15" s="942" customFormat="1" ht="15.75" customHeight="1">
      <c r="A1132" s="442"/>
      <c r="B1132" s="442"/>
      <c r="C1132" s="442"/>
      <c r="D1132" s="442"/>
      <c r="E1132" s="442"/>
      <c r="F1132" s="442"/>
      <c r="G1132" s="442"/>
      <c r="H1132" s="442"/>
      <c r="I1132" s="442"/>
      <c r="J1132" s="442"/>
      <c r="K1132" s="442"/>
      <c r="L1132" s="442"/>
      <c r="M1132" s="442"/>
      <c r="N1132" s="442"/>
      <c r="O1132" s="442"/>
    </row>
    <row r="1133" spans="1:15" s="942" customFormat="1" ht="15.75" customHeight="1">
      <c r="A1133" s="442"/>
      <c r="B1133" s="442"/>
      <c r="C1133" s="442"/>
      <c r="D1133" s="442"/>
      <c r="E1133" s="442"/>
      <c r="F1133" s="442"/>
      <c r="G1133" s="442"/>
      <c r="H1133" s="442"/>
      <c r="I1133" s="442"/>
      <c r="J1133" s="442"/>
      <c r="K1133" s="442"/>
      <c r="L1133" s="442"/>
      <c r="M1133" s="442"/>
      <c r="N1133" s="442"/>
      <c r="O1133" s="442"/>
    </row>
    <row r="1134" spans="1:15" s="942" customFormat="1" ht="15.75" customHeight="1">
      <c r="A1134" s="442"/>
      <c r="B1134" s="442"/>
      <c r="C1134" s="442"/>
      <c r="D1134" s="442"/>
      <c r="E1134" s="442"/>
      <c r="F1134" s="442"/>
      <c r="G1134" s="442"/>
      <c r="H1134" s="442"/>
      <c r="I1134" s="442"/>
      <c r="J1134" s="442"/>
      <c r="K1134" s="442"/>
      <c r="L1134" s="442"/>
      <c r="M1134" s="442"/>
      <c r="N1134" s="442"/>
      <c r="O1134" s="442"/>
    </row>
    <row r="1135" spans="1:15" s="942" customFormat="1" ht="15.75" customHeight="1">
      <c r="A1135" s="442"/>
      <c r="B1135" s="442"/>
      <c r="C1135" s="442"/>
      <c r="D1135" s="442"/>
      <c r="E1135" s="442"/>
      <c r="F1135" s="442"/>
      <c r="G1135" s="442"/>
      <c r="H1135" s="442"/>
      <c r="I1135" s="442"/>
      <c r="J1135" s="442"/>
      <c r="K1135" s="442"/>
      <c r="L1135" s="442"/>
      <c r="M1135" s="442"/>
      <c r="N1135" s="442"/>
      <c r="O1135" s="442"/>
    </row>
    <row r="1136" spans="1:15" s="942" customFormat="1" ht="15.75" customHeight="1">
      <c r="A1136" s="442"/>
      <c r="B1136" s="442"/>
      <c r="C1136" s="442"/>
      <c r="D1136" s="442"/>
      <c r="E1136" s="442"/>
      <c r="F1136" s="442"/>
      <c r="G1136" s="442"/>
      <c r="H1136" s="442"/>
      <c r="I1136" s="442"/>
      <c r="J1136" s="442"/>
      <c r="K1136" s="442"/>
      <c r="L1136" s="442"/>
      <c r="M1136" s="442"/>
      <c r="N1136" s="442"/>
      <c r="O1136" s="442"/>
    </row>
    <row r="1137" spans="1:15" s="942" customFormat="1" ht="15.75" customHeight="1">
      <c r="A1137" s="442"/>
      <c r="B1137" s="442"/>
      <c r="C1137" s="442"/>
      <c r="D1137" s="442"/>
      <c r="E1137" s="442"/>
      <c r="F1137" s="442"/>
      <c r="G1137" s="442"/>
      <c r="H1137" s="442"/>
      <c r="I1137" s="442"/>
      <c r="J1137" s="442"/>
      <c r="K1137" s="442"/>
      <c r="L1137" s="442"/>
      <c r="M1137" s="442"/>
      <c r="N1137" s="442"/>
      <c r="O1137" s="442"/>
    </row>
    <row r="1138" spans="1:15" s="942" customFormat="1" ht="15.75" customHeight="1">
      <c r="A1138" s="442"/>
      <c r="B1138" s="442"/>
      <c r="C1138" s="442"/>
      <c r="D1138" s="442"/>
      <c r="E1138" s="442"/>
      <c r="F1138" s="442"/>
      <c r="G1138" s="442"/>
      <c r="H1138" s="442"/>
      <c r="I1138" s="442"/>
      <c r="J1138" s="442"/>
      <c r="K1138" s="442"/>
      <c r="L1138" s="442"/>
      <c r="M1138" s="442"/>
      <c r="N1138" s="442"/>
      <c r="O1138" s="442"/>
    </row>
    <row r="1139" spans="1:15" s="942" customFormat="1" ht="15.75" customHeight="1">
      <c r="A1139" s="442"/>
      <c r="B1139" s="442"/>
      <c r="C1139" s="442"/>
      <c r="D1139" s="442"/>
      <c r="E1139" s="442"/>
      <c r="F1139" s="442"/>
      <c r="G1139" s="442"/>
      <c r="H1139" s="442"/>
      <c r="I1139" s="442"/>
      <c r="J1139" s="442"/>
      <c r="K1139" s="442"/>
      <c r="L1139" s="442"/>
      <c r="M1139" s="442"/>
      <c r="N1139" s="442"/>
      <c r="O1139" s="442"/>
    </row>
    <row r="1140" spans="1:15" s="942" customFormat="1" ht="15.75" customHeight="1">
      <c r="A1140" s="442"/>
      <c r="B1140" s="442"/>
      <c r="C1140" s="442"/>
      <c r="D1140" s="442"/>
      <c r="E1140" s="442"/>
      <c r="F1140" s="442"/>
      <c r="G1140" s="442"/>
      <c r="H1140" s="442"/>
      <c r="I1140" s="442"/>
      <c r="J1140" s="442"/>
      <c r="K1140" s="442"/>
      <c r="L1140" s="442"/>
      <c r="M1140" s="442"/>
      <c r="N1140" s="442"/>
      <c r="O1140" s="442"/>
    </row>
    <row r="1141" spans="1:15" s="942" customFormat="1" ht="15.75" customHeight="1">
      <c r="A1141" s="442"/>
      <c r="B1141" s="442"/>
      <c r="C1141" s="442"/>
      <c r="D1141" s="442"/>
      <c r="E1141" s="442"/>
      <c r="F1141" s="442"/>
      <c r="G1141" s="442"/>
      <c r="H1141" s="442"/>
      <c r="I1141" s="442"/>
      <c r="J1141" s="442"/>
      <c r="K1141" s="442"/>
      <c r="L1141" s="442"/>
      <c r="M1141" s="442"/>
      <c r="N1141" s="442"/>
      <c r="O1141" s="442"/>
    </row>
    <row r="1142" spans="1:15" s="942" customFormat="1" ht="15.75" customHeight="1">
      <c r="A1142" s="442"/>
      <c r="B1142" s="442"/>
      <c r="C1142" s="442"/>
      <c r="D1142" s="442"/>
      <c r="E1142" s="442"/>
      <c r="F1142" s="442"/>
      <c r="G1142" s="442"/>
      <c r="H1142" s="442"/>
      <c r="I1142" s="442"/>
      <c r="J1142" s="442"/>
      <c r="K1142" s="442"/>
      <c r="L1142" s="442"/>
      <c r="M1142" s="442"/>
      <c r="N1142" s="442"/>
      <c r="O1142" s="442"/>
    </row>
    <row r="1143" spans="1:15" s="942" customFormat="1" ht="15.75" customHeight="1">
      <c r="A1143" s="442"/>
      <c r="B1143" s="442"/>
      <c r="C1143" s="442"/>
      <c r="D1143" s="442"/>
      <c r="E1143" s="442"/>
      <c r="F1143" s="442"/>
      <c r="G1143" s="442"/>
      <c r="H1143" s="442"/>
      <c r="I1143" s="442"/>
      <c r="J1143" s="442"/>
      <c r="K1143" s="442"/>
      <c r="L1143" s="442"/>
      <c r="M1143" s="442"/>
      <c r="N1143" s="442"/>
      <c r="O1143" s="442"/>
    </row>
    <row r="1144" spans="1:15" s="942" customFormat="1" ht="15.75" customHeight="1">
      <c r="A1144" s="442"/>
      <c r="B1144" s="442"/>
      <c r="C1144" s="442"/>
      <c r="D1144" s="442"/>
      <c r="E1144" s="442"/>
      <c r="F1144" s="442"/>
      <c r="G1144" s="442"/>
      <c r="H1144" s="442"/>
      <c r="I1144" s="442"/>
      <c r="J1144" s="442"/>
      <c r="K1144" s="442"/>
      <c r="L1144" s="442"/>
      <c r="M1144" s="442"/>
      <c r="N1144" s="442"/>
      <c r="O1144" s="442"/>
    </row>
    <row r="1145" spans="1:15" s="942" customFormat="1" ht="15.75" customHeight="1">
      <c r="A1145" s="442"/>
      <c r="B1145" s="442"/>
      <c r="C1145" s="442"/>
      <c r="D1145" s="442"/>
      <c r="E1145" s="442"/>
      <c r="F1145" s="442"/>
      <c r="G1145" s="442"/>
      <c r="H1145" s="442"/>
      <c r="I1145" s="442"/>
      <c r="J1145" s="442"/>
      <c r="K1145" s="442"/>
      <c r="L1145" s="442"/>
      <c r="M1145" s="442"/>
      <c r="N1145" s="442"/>
      <c r="O1145" s="442"/>
    </row>
    <row r="1146" spans="1:15" s="942" customFormat="1" ht="15.75" customHeight="1">
      <c r="A1146" s="442"/>
      <c r="B1146" s="442"/>
      <c r="C1146" s="442"/>
      <c r="D1146" s="442"/>
      <c r="E1146" s="442"/>
      <c r="F1146" s="442"/>
      <c r="G1146" s="442"/>
      <c r="H1146" s="442"/>
      <c r="I1146" s="442"/>
      <c r="J1146" s="442"/>
      <c r="K1146" s="442"/>
      <c r="L1146" s="442"/>
      <c r="M1146" s="442"/>
      <c r="N1146" s="442"/>
      <c r="O1146" s="442"/>
    </row>
    <row r="1147" spans="1:15" s="942" customFormat="1" ht="15.75" customHeight="1">
      <c r="A1147" s="442"/>
      <c r="B1147" s="442"/>
      <c r="C1147" s="442"/>
      <c r="D1147" s="442"/>
      <c r="E1147" s="442"/>
      <c r="F1147" s="442"/>
      <c r="G1147" s="442"/>
      <c r="H1147" s="442"/>
      <c r="I1147" s="442"/>
      <c r="J1147" s="442"/>
      <c r="K1147" s="442"/>
      <c r="L1147" s="442"/>
      <c r="M1147" s="442"/>
      <c r="N1147" s="442"/>
      <c r="O1147" s="442"/>
    </row>
    <row r="1148" spans="1:15" s="942" customFormat="1" ht="15.75" customHeight="1">
      <c r="A1148" s="442"/>
      <c r="B1148" s="442"/>
      <c r="C1148" s="442"/>
      <c r="D1148" s="442"/>
      <c r="E1148" s="442"/>
      <c r="F1148" s="442"/>
      <c r="G1148" s="442"/>
      <c r="H1148" s="442"/>
      <c r="I1148" s="442"/>
      <c r="J1148" s="442"/>
      <c r="K1148" s="442"/>
      <c r="L1148" s="442"/>
      <c r="M1148" s="442"/>
      <c r="N1148" s="442"/>
      <c r="O1148" s="442"/>
    </row>
    <row r="1149" spans="1:15" s="942" customFormat="1" ht="15.75" customHeight="1">
      <c r="A1149" s="442"/>
      <c r="B1149" s="442"/>
      <c r="C1149" s="442"/>
      <c r="D1149" s="442"/>
      <c r="E1149" s="442"/>
      <c r="F1149" s="442"/>
      <c r="G1149" s="442"/>
      <c r="H1149" s="442"/>
      <c r="I1149" s="442"/>
      <c r="J1149" s="442"/>
      <c r="K1149" s="442"/>
      <c r="L1149" s="442"/>
      <c r="M1149" s="442"/>
      <c r="N1149" s="442"/>
      <c r="O1149" s="442"/>
    </row>
    <row r="1150" spans="1:15" s="942" customFormat="1" ht="15.75" customHeight="1">
      <c r="A1150" s="442"/>
      <c r="B1150" s="442"/>
      <c r="C1150" s="442"/>
      <c r="D1150" s="442"/>
      <c r="E1150" s="442"/>
      <c r="F1150" s="442"/>
      <c r="G1150" s="442"/>
      <c r="H1150" s="442"/>
      <c r="I1150" s="442"/>
      <c r="J1150" s="442"/>
      <c r="K1150" s="442"/>
      <c r="L1150" s="442"/>
      <c r="M1150" s="442"/>
      <c r="N1150" s="442"/>
      <c r="O1150" s="442"/>
    </row>
    <row r="1151" spans="1:15" s="942" customFormat="1" ht="15.75" customHeight="1">
      <c r="A1151" s="442"/>
      <c r="B1151" s="442"/>
      <c r="C1151" s="442"/>
      <c r="D1151" s="442"/>
      <c r="E1151" s="442"/>
      <c r="F1151" s="442"/>
      <c r="G1151" s="442"/>
      <c r="H1151" s="442"/>
      <c r="I1151" s="442"/>
      <c r="J1151" s="442"/>
      <c r="K1151" s="442"/>
      <c r="L1151" s="442"/>
      <c r="M1151" s="442"/>
      <c r="N1151" s="442"/>
      <c r="O1151" s="442"/>
    </row>
    <row r="1152" spans="1:15" s="942" customFormat="1" ht="15.75" customHeight="1">
      <c r="A1152" s="442"/>
      <c r="B1152" s="442"/>
      <c r="C1152" s="442"/>
      <c r="D1152" s="442"/>
      <c r="E1152" s="442"/>
      <c r="F1152" s="442"/>
      <c r="G1152" s="442"/>
      <c r="H1152" s="442"/>
      <c r="I1152" s="442"/>
      <c r="J1152" s="442"/>
      <c r="K1152" s="442"/>
      <c r="L1152" s="442"/>
      <c r="M1152" s="442"/>
      <c r="N1152" s="442"/>
      <c r="O1152" s="442"/>
    </row>
    <row r="1153" spans="1:15" s="942" customFormat="1" ht="15.75" customHeight="1">
      <c r="A1153" s="442"/>
      <c r="B1153" s="442"/>
      <c r="C1153" s="442"/>
      <c r="D1153" s="442"/>
      <c r="E1153" s="442"/>
      <c r="F1153" s="442"/>
      <c r="G1153" s="442"/>
      <c r="H1153" s="442"/>
      <c r="I1153" s="442"/>
      <c r="J1153" s="442"/>
      <c r="K1153" s="442"/>
      <c r="L1153" s="442"/>
      <c r="M1153" s="442"/>
      <c r="N1153" s="442"/>
      <c r="O1153" s="442"/>
    </row>
    <row r="1154" spans="1:15" s="942" customFormat="1" ht="15.75" customHeight="1">
      <c r="A1154" s="442"/>
      <c r="B1154" s="442"/>
      <c r="C1154" s="442"/>
      <c r="D1154" s="442"/>
      <c r="E1154" s="442"/>
      <c r="F1154" s="442"/>
      <c r="G1154" s="442"/>
      <c r="H1154" s="442"/>
      <c r="I1154" s="442"/>
      <c r="J1154" s="442"/>
      <c r="K1154" s="442"/>
      <c r="L1154" s="442"/>
      <c r="M1154" s="442"/>
      <c r="N1154" s="442"/>
      <c r="O1154" s="442"/>
    </row>
    <row r="1155" spans="1:15" s="942" customFormat="1" ht="15.75" customHeight="1">
      <c r="A1155" s="442"/>
      <c r="B1155" s="442"/>
      <c r="C1155" s="442"/>
      <c r="D1155" s="442"/>
      <c r="E1155" s="442"/>
      <c r="F1155" s="442"/>
      <c r="G1155" s="442"/>
      <c r="H1155" s="442"/>
      <c r="I1155" s="442"/>
      <c r="J1155" s="442"/>
      <c r="K1155" s="442"/>
      <c r="L1155" s="442"/>
      <c r="M1155" s="442"/>
      <c r="N1155" s="442"/>
      <c r="O1155" s="442"/>
    </row>
    <row r="1156" spans="1:15" s="942" customFormat="1" ht="15.75" customHeight="1">
      <c r="A1156" s="442"/>
      <c r="B1156" s="442"/>
      <c r="C1156" s="442"/>
      <c r="D1156" s="442"/>
      <c r="E1156" s="442"/>
      <c r="F1156" s="442"/>
      <c r="G1156" s="442"/>
      <c r="H1156" s="442"/>
      <c r="I1156" s="442"/>
      <c r="J1156" s="442"/>
      <c r="K1156" s="442"/>
      <c r="L1156" s="442"/>
      <c r="M1156" s="442"/>
      <c r="N1156" s="442"/>
      <c r="O1156" s="442"/>
    </row>
    <row r="1157" spans="1:15" s="942" customFormat="1" ht="15.75" customHeight="1">
      <c r="A1157" s="442"/>
      <c r="B1157" s="442"/>
      <c r="C1157" s="442"/>
      <c r="D1157" s="442"/>
      <c r="E1157" s="442"/>
      <c r="F1157" s="442"/>
      <c r="G1157" s="442"/>
      <c r="H1157" s="442"/>
      <c r="I1157" s="442"/>
      <c r="J1157" s="442"/>
      <c r="K1157" s="442"/>
      <c r="L1157" s="442"/>
      <c r="M1157" s="442"/>
      <c r="N1157" s="442"/>
      <c r="O1157" s="442"/>
    </row>
    <row r="1158" spans="1:15" s="942" customFormat="1" ht="15.75" customHeight="1">
      <c r="A1158" s="442"/>
      <c r="B1158" s="442"/>
      <c r="C1158" s="442"/>
      <c r="D1158" s="442"/>
      <c r="E1158" s="442"/>
      <c r="F1158" s="442"/>
      <c r="G1158" s="442"/>
      <c r="H1158" s="442"/>
      <c r="I1158" s="442"/>
      <c r="J1158" s="442"/>
      <c r="K1158" s="442"/>
      <c r="L1158" s="442"/>
      <c r="M1158" s="442"/>
      <c r="N1158" s="442"/>
      <c r="O1158" s="442"/>
    </row>
    <row r="1159" spans="1:15" s="942" customFormat="1" ht="15.75" customHeight="1">
      <c r="A1159" s="442"/>
      <c r="B1159" s="442"/>
      <c r="C1159" s="442"/>
      <c r="D1159" s="442"/>
      <c r="E1159" s="442"/>
      <c r="F1159" s="442"/>
      <c r="G1159" s="442"/>
      <c r="H1159" s="442"/>
      <c r="I1159" s="442"/>
      <c r="J1159" s="442"/>
      <c r="K1159" s="442"/>
      <c r="L1159" s="442"/>
      <c r="M1159" s="442"/>
      <c r="N1159" s="442"/>
      <c r="O1159" s="442"/>
    </row>
    <row r="1160" spans="1:15" s="942" customFormat="1" ht="15.75" customHeight="1">
      <c r="A1160" s="442"/>
      <c r="B1160" s="442"/>
      <c r="C1160" s="442"/>
      <c r="D1160" s="442"/>
      <c r="E1160" s="442"/>
      <c r="F1160" s="442"/>
      <c r="G1160" s="442"/>
      <c r="H1160" s="442"/>
      <c r="I1160" s="442"/>
      <c r="J1160" s="442"/>
      <c r="K1160" s="442"/>
      <c r="L1160" s="442"/>
      <c r="M1160" s="442"/>
      <c r="N1160" s="442"/>
      <c r="O1160" s="442"/>
    </row>
    <row r="1161" spans="1:15" s="942" customFormat="1" ht="15.75" customHeight="1">
      <c r="A1161" s="442"/>
      <c r="B1161" s="442"/>
      <c r="C1161" s="442"/>
      <c r="D1161" s="442"/>
      <c r="E1161" s="442"/>
      <c r="F1161" s="442"/>
      <c r="G1161" s="442"/>
      <c r="H1161" s="442"/>
      <c r="I1161" s="442"/>
      <c r="J1161" s="442"/>
      <c r="K1161" s="442"/>
      <c r="L1161" s="442"/>
      <c r="M1161" s="442"/>
      <c r="N1161" s="442"/>
      <c r="O1161" s="442"/>
    </row>
    <row r="1162" spans="1:15" s="942" customFormat="1" ht="15.75" customHeight="1">
      <c r="A1162" s="442"/>
      <c r="B1162" s="442"/>
      <c r="C1162" s="442"/>
      <c r="D1162" s="442"/>
      <c r="E1162" s="442"/>
      <c r="F1162" s="442"/>
      <c r="G1162" s="442"/>
      <c r="H1162" s="442"/>
      <c r="I1162" s="442"/>
      <c r="J1162" s="442"/>
      <c r="K1162" s="442"/>
      <c r="L1162" s="442"/>
      <c r="M1162" s="442"/>
      <c r="N1162" s="442"/>
      <c r="O1162" s="442"/>
    </row>
    <row r="1163" spans="1:15" s="942" customFormat="1" ht="15.75" customHeight="1">
      <c r="A1163" s="442"/>
      <c r="B1163" s="442"/>
      <c r="C1163" s="442"/>
      <c r="D1163" s="442"/>
      <c r="E1163" s="442"/>
      <c r="F1163" s="442"/>
      <c r="G1163" s="442"/>
      <c r="H1163" s="442"/>
      <c r="I1163" s="442"/>
      <c r="J1163" s="442"/>
      <c r="K1163" s="442"/>
      <c r="L1163" s="442"/>
      <c r="M1163" s="442"/>
      <c r="N1163" s="442"/>
      <c r="O1163" s="442"/>
    </row>
    <row r="1164" spans="1:15" s="942" customFormat="1" ht="15.75" customHeight="1">
      <c r="A1164" s="442"/>
      <c r="B1164" s="442"/>
      <c r="C1164" s="442"/>
      <c r="D1164" s="442"/>
      <c r="E1164" s="442"/>
      <c r="F1164" s="442"/>
      <c r="G1164" s="442"/>
      <c r="H1164" s="442"/>
      <c r="I1164" s="442"/>
      <c r="J1164" s="442"/>
      <c r="K1164" s="442"/>
      <c r="L1164" s="442"/>
      <c r="M1164" s="442"/>
      <c r="N1164" s="442"/>
      <c r="O1164" s="442"/>
    </row>
    <row r="1165" spans="1:15" s="942" customFormat="1" ht="15.75" customHeight="1">
      <c r="A1165" s="442"/>
      <c r="B1165" s="442"/>
      <c r="C1165" s="442"/>
      <c r="D1165" s="442"/>
      <c r="E1165" s="442"/>
      <c r="F1165" s="442"/>
      <c r="G1165" s="442"/>
      <c r="H1165" s="442"/>
      <c r="I1165" s="442"/>
      <c r="J1165" s="442"/>
      <c r="K1165" s="442"/>
      <c r="L1165" s="442"/>
      <c r="M1165" s="442"/>
      <c r="N1165" s="442"/>
      <c r="O1165" s="442"/>
    </row>
    <row r="1166" spans="1:15" s="942" customFormat="1" ht="15.75" customHeight="1">
      <c r="A1166" s="442"/>
      <c r="B1166" s="442"/>
      <c r="C1166" s="442"/>
      <c r="D1166" s="442"/>
      <c r="E1166" s="442"/>
      <c r="F1166" s="442"/>
      <c r="G1166" s="442"/>
      <c r="H1166" s="442"/>
      <c r="I1166" s="442"/>
      <c r="J1166" s="442"/>
      <c r="K1166" s="442"/>
      <c r="L1166" s="442"/>
      <c r="M1166" s="442"/>
      <c r="N1166" s="442"/>
      <c r="O1166" s="442"/>
    </row>
    <row r="1167" spans="1:15" s="942" customFormat="1" ht="15.75" customHeight="1">
      <c r="A1167" s="442"/>
      <c r="B1167" s="442"/>
      <c r="C1167" s="442"/>
      <c r="D1167" s="442"/>
      <c r="E1167" s="442"/>
      <c r="F1167" s="442"/>
      <c r="G1167" s="442"/>
      <c r="H1167" s="442"/>
      <c r="I1167" s="442"/>
      <c r="J1167" s="442"/>
      <c r="K1167" s="442"/>
      <c r="L1167" s="442"/>
      <c r="M1167" s="442"/>
      <c r="N1167" s="442"/>
      <c r="O1167" s="442"/>
    </row>
    <row r="1168" spans="1:15" s="942" customFormat="1" ht="15.75" customHeight="1">
      <c r="A1168" s="442"/>
      <c r="B1168" s="442"/>
      <c r="C1168" s="442"/>
      <c r="D1168" s="442"/>
      <c r="E1168" s="442"/>
      <c r="F1168" s="442"/>
      <c r="G1168" s="442"/>
      <c r="H1168" s="442"/>
      <c r="I1168" s="442"/>
      <c r="J1168" s="442"/>
      <c r="K1168" s="442"/>
      <c r="L1168" s="442"/>
      <c r="M1168" s="442"/>
      <c r="N1168" s="442"/>
      <c r="O1168" s="442"/>
    </row>
    <row r="1169" spans="1:15" s="942" customFormat="1" ht="15.75" customHeight="1">
      <c r="A1169" s="442"/>
      <c r="B1169" s="442"/>
      <c r="C1169" s="442"/>
      <c r="D1169" s="442"/>
      <c r="E1169" s="442"/>
      <c r="F1169" s="442"/>
      <c r="G1169" s="442"/>
      <c r="H1169" s="442"/>
      <c r="I1169" s="442"/>
      <c r="J1169" s="442"/>
      <c r="K1169" s="442"/>
      <c r="L1169" s="442"/>
      <c r="M1169" s="442"/>
      <c r="N1169" s="442"/>
      <c r="O1169" s="442"/>
    </row>
    <row r="1170" spans="1:15" s="942" customFormat="1" ht="15.75" customHeight="1">
      <c r="A1170" s="442"/>
      <c r="B1170" s="442"/>
      <c r="C1170" s="442"/>
      <c r="D1170" s="442"/>
      <c r="E1170" s="442"/>
      <c r="F1170" s="442"/>
      <c r="G1170" s="442"/>
      <c r="H1170" s="442"/>
      <c r="I1170" s="442"/>
      <c r="J1170" s="442"/>
      <c r="K1170" s="442"/>
      <c r="L1170" s="442"/>
      <c r="M1170" s="442"/>
      <c r="N1170" s="442"/>
      <c r="O1170" s="442"/>
    </row>
    <row r="1171" spans="1:15" s="942" customFormat="1" ht="15.75" customHeight="1">
      <c r="A1171" s="442"/>
      <c r="B1171" s="442"/>
      <c r="C1171" s="442"/>
      <c r="D1171" s="442"/>
      <c r="E1171" s="442"/>
      <c r="F1171" s="442"/>
      <c r="G1171" s="442"/>
      <c r="H1171" s="442"/>
      <c r="I1171" s="442"/>
      <c r="J1171" s="442"/>
      <c r="K1171" s="442"/>
      <c r="L1171" s="442"/>
      <c r="M1171" s="442"/>
      <c r="N1171" s="442"/>
      <c r="O1171" s="442"/>
    </row>
    <row r="1172" spans="1:15" s="942" customFormat="1" ht="15.75" customHeight="1">
      <c r="A1172" s="442"/>
      <c r="B1172" s="442"/>
      <c r="C1172" s="442"/>
      <c r="D1172" s="442"/>
      <c r="E1172" s="442"/>
      <c r="F1172" s="442"/>
      <c r="G1172" s="442"/>
      <c r="H1172" s="442"/>
      <c r="I1172" s="442"/>
      <c r="J1172" s="442"/>
      <c r="K1172" s="442"/>
      <c r="L1172" s="442"/>
      <c r="M1172" s="442"/>
      <c r="N1172" s="442"/>
      <c r="O1172" s="442"/>
    </row>
    <row r="1173" spans="1:15" s="942" customFormat="1" ht="15.75" customHeight="1">
      <c r="A1173" s="442"/>
      <c r="B1173" s="442"/>
      <c r="C1173" s="442"/>
      <c r="D1173" s="442"/>
      <c r="E1173" s="442"/>
      <c r="F1173" s="442"/>
      <c r="G1173" s="442"/>
      <c r="H1173" s="442"/>
      <c r="I1173" s="442"/>
      <c r="J1173" s="442"/>
      <c r="K1173" s="442"/>
      <c r="L1173" s="442"/>
      <c r="M1173" s="442"/>
      <c r="N1173" s="442"/>
      <c r="O1173" s="442"/>
    </row>
    <row r="1174" spans="1:15" s="942" customFormat="1" ht="15.75" customHeight="1">
      <c r="A1174" s="442"/>
      <c r="B1174" s="442"/>
      <c r="C1174" s="442"/>
      <c r="D1174" s="442"/>
      <c r="E1174" s="442"/>
      <c r="F1174" s="442"/>
      <c r="G1174" s="442"/>
      <c r="H1174" s="442"/>
      <c r="I1174" s="442"/>
      <c r="J1174" s="442"/>
      <c r="K1174" s="442"/>
      <c r="L1174" s="442"/>
      <c r="M1174" s="442"/>
      <c r="N1174" s="442"/>
      <c r="O1174" s="442"/>
    </row>
    <row r="1175" spans="1:15" s="942" customFormat="1" ht="15.75" customHeight="1">
      <c r="A1175" s="442"/>
      <c r="B1175" s="442"/>
      <c r="C1175" s="442"/>
      <c r="D1175" s="442"/>
      <c r="E1175" s="442"/>
      <c r="F1175" s="442"/>
      <c r="G1175" s="442"/>
      <c r="H1175" s="442"/>
      <c r="I1175" s="442"/>
      <c r="J1175" s="442"/>
      <c r="K1175" s="442"/>
      <c r="L1175" s="442"/>
      <c r="M1175" s="442"/>
      <c r="N1175" s="442"/>
      <c r="O1175" s="442"/>
    </row>
    <row r="1176" spans="1:15" s="942" customFormat="1" ht="15.75" customHeight="1">
      <c r="A1176" s="442"/>
      <c r="B1176" s="442"/>
      <c r="C1176" s="442"/>
      <c r="D1176" s="442"/>
      <c r="E1176" s="442"/>
      <c r="F1176" s="442"/>
      <c r="G1176" s="442"/>
      <c r="H1176" s="442"/>
      <c r="I1176" s="442"/>
      <c r="J1176" s="442"/>
      <c r="K1176" s="442"/>
      <c r="L1176" s="442"/>
      <c r="M1176" s="442"/>
      <c r="N1176" s="442"/>
      <c r="O1176" s="442"/>
    </row>
    <row r="1177" spans="1:15" s="942" customFormat="1" ht="15.75" customHeight="1">
      <c r="A1177" s="442"/>
      <c r="B1177" s="442"/>
      <c r="C1177" s="442"/>
      <c r="D1177" s="442"/>
      <c r="E1177" s="442"/>
      <c r="F1177" s="442"/>
      <c r="G1177" s="442"/>
      <c r="H1177" s="442"/>
      <c r="I1177" s="442"/>
      <c r="J1177" s="442"/>
      <c r="K1177" s="442"/>
      <c r="L1177" s="442"/>
      <c r="M1177" s="442"/>
      <c r="N1177" s="442"/>
      <c r="O1177" s="442"/>
    </row>
    <row r="1178" spans="1:15" s="942" customFormat="1" ht="15.75" customHeight="1">
      <c r="A1178" s="442"/>
      <c r="B1178" s="442"/>
      <c r="C1178" s="442"/>
      <c r="D1178" s="442"/>
      <c r="E1178" s="442"/>
      <c r="F1178" s="442"/>
      <c r="G1178" s="442"/>
      <c r="H1178" s="442"/>
      <c r="I1178" s="442"/>
      <c r="J1178" s="442"/>
      <c r="K1178" s="442"/>
      <c r="L1178" s="442"/>
      <c r="M1178" s="442"/>
      <c r="N1178" s="442"/>
      <c r="O1178" s="442"/>
    </row>
    <row r="1179" spans="1:15" s="942" customFormat="1" ht="15.75" customHeight="1">
      <c r="A1179" s="442"/>
      <c r="B1179" s="442"/>
      <c r="C1179" s="442"/>
      <c r="D1179" s="442"/>
      <c r="E1179" s="442"/>
      <c r="F1179" s="442"/>
      <c r="G1179" s="442"/>
      <c r="H1179" s="442"/>
      <c r="I1179" s="442"/>
      <c r="J1179" s="442"/>
      <c r="K1179" s="442"/>
      <c r="L1179" s="442"/>
      <c r="M1179" s="442"/>
      <c r="N1179" s="442"/>
      <c r="O1179" s="442"/>
    </row>
    <row r="1180" spans="1:15" s="942" customFormat="1" ht="15.75" customHeight="1">
      <c r="A1180" s="442"/>
      <c r="B1180" s="442"/>
      <c r="C1180" s="442"/>
      <c r="D1180" s="442"/>
      <c r="E1180" s="442"/>
      <c r="F1180" s="442"/>
      <c r="G1180" s="442"/>
      <c r="H1180" s="442"/>
      <c r="I1180" s="442"/>
      <c r="J1180" s="442"/>
      <c r="K1180" s="442"/>
      <c r="L1180" s="442"/>
      <c r="M1180" s="442"/>
      <c r="N1180" s="442"/>
      <c r="O1180" s="442"/>
    </row>
    <row r="1181" spans="1:15" s="942" customFormat="1" ht="15.75" customHeight="1">
      <c r="A1181" s="442"/>
      <c r="B1181" s="442"/>
      <c r="C1181" s="442"/>
      <c r="D1181" s="442"/>
      <c r="E1181" s="442"/>
      <c r="F1181" s="442"/>
      <c r="G1181" s="442"/>
      <c r="H1181" s="442"/>
      <c r="I1181" s="442"/>
      <c r="J1181" s="442"/>
      <c r="K1181" s="442"/>
      <c r="L1181" s="442"/>
      <c r="M1181" s="442"/>
      <c r="N1181" s="442"/>
      <c r="O1181" s="442"/>
    </row>
    <row r="1182" spans="1:15" s="942" customFormat="1" ht="15.75" customHeight="1">
      <c r="A1182" s="442"/>
      <c r="B1182" s="442"/>
      <c r="C1182" s="442"/>
      <c r="D1182" s="442"/>
      <c r="E1182" s="442"/>
      <c r="F1182" s="442"/>
      <c r="G1182" s="442"/>
      <c r="H1182" s="442"/>
      <c r="I1182" s="442"/>
      <c r="J1182" s="442"/>
      <c r="K1182" s="442"/>
      <c r="L1182" s="442"/>
      <c r="M1182" s="442"/>
      <c r="N1182" s="442"/>
      <c r="O1182" s="442"/>
    </row>
    <row r="1183" spans="1:15" s="942" customFormat="1" ht="15.75" customHeight="1">
      <c r="A1183" s="442"/>
      <c r="B1183" s="442"/>
      <c r="C1183" s="442"/>
      <c r="D1183" s="442"/>
      <c r="E1183" s="442"/>
      <c r="F1183" s="442"/>
      <c r="G1183" s="442"/>
      <c r="H1183" s="442"/>
      <c r="I1183" s="442"/>
      <c r="J1183" s="442"/>
      <c r="K1183" s="442"/>
      <c r="L1183" s="442"/>
      <c r="M1183" s="442"/>
      <c r="N1183" s="442"/>
      <c r="O1183" s="442"/>
    </row>
    <row r="1184" spans="1:15" s="942" customFormat="1" ht="15.75" customHeight="1">
      <c r="A1184" s="442"/>
      <c r="B1184" s="442"/>
      <c r="C1184" s="442"/>
      <c r="D1184" s="442"/>
      <c r="E1184" s="442"/>
      <c r="F1184" s="442"/>
      <c r="G1184" s="442"/>
      <c r="H1184" s="442"/>
      <c r="I1184" s="442"/>
      <c r="J1184" s="442"/>
      <c r="K1184" s="442"/>
      <c r="L1184" s="442"/>
      <c r="M1184" s="442"/>
      <c r="N1184" s="442"/>
      <c r="O1184" s="442"/>
    </row>
    <row r="1185" spans="1:15" s="942" customFormat="1" ht="15.75" customHeight="1">
      <c r="A1185" s="442"/>
      <c r="B1185" s="442"/>
      <c r="C1185" s="442"/>
      <c r="D1185" s="442"/>
      <c r="E1185" s="442"/>
      <c r="F1185" s="442"/>
      <c r="G1185" s="442"/>
      <c r="H1185" s="442"/>
      <c r="I1185" s="442"/>
      <c r="J1185" s="442"/>
      <c r="K1185" s="442"/>
      <c r="L1185" s="442"/>
      <c r="M1185" s="442"/>
      <c r="N1185" s="442"/>
      <c r="O1185" s="442"/>
    </row>
    <row r="1186" spans="1:15" s="942" customFormat="1" ht="15.75" customHeight="1">
      <c r="A1186" s="442"/>
      <c r="B1186" s="442"/>
      <c r="C1186" s="442"/>
      <c r="D1186" s="442"/>
      <c r="E1186" s="442"/>
      <c r="F1186" s="442"/>
      <c r="G1186" s="442"/>
      <c r="H1186" s="442"/>
      <c r="I1186" s="442"/>
      <c r="J1186" s="442"/>
      <c r="K1186" s="442"/>
      <c r="L1186" s="442"/>
      <c r="M1186" s="442"/>
      <c r="N1186" s="442"/>
      <c r="O1186" s="442"/>
    </row>
    <row r="1187" spans="1:15" s="942" customFormat="1" ht="15.75" customHeight="1">
      <c r="A1187" s="442"/>
      <c r="B1187" s="442"/>
      <c r="C1187" s="442"/>
      <c r="D1187" s="442"/>
      <c r="E1187" s="442"/>
      <c r="F1187" s="442"/>
      <c r="G1187" s="442"/>
      <c r="H1187" s="442"/>
      <c r="I1187" s="442"/>
      <c r="J1187" s="442"/>
      <c r="K1187" s="442"/>
      <c r="L1187" s="442"/>
      <c r="M1187" s="442"/>
      <c r="N1187" s="442"/>
      <c r="O1187" s="442"/>
    </row>
    <row r="1188" spans="1:15" s="942" customFormat="1" ht="15.75" customHeight="1">
      <c r="A1188" s="442"/>
      <c r="B1188" s="442"/>
      <c r="C1188" s="442"/>
      <c r="D1188" s="442"/>
      <c r="E1188" s="442"/>
      <c r="F1188" s="442"/>
      <c r="G1188" s="442"/>
      <c r="H1188" s="442"/>
      <c r="I1188" s="442"/>
      <c r="J1188" s="442"/>
      <c r="K1188" s="442"/>
      <c r="L1188" s="442"/>
      <c r="M1188" s="442"/>
      <c r="N1188" s="442"/>
      <c r="O1188" s="442"/>
    </row>
    <row r="1189" spans="1:15" s="942" customFormat="1" ht="15.75" customHeight="1">
      <c r="A1189" s="442"/>
      <c r="B1189" s="442"/>
      <c r="C1189" s="442"/>
      <c r="D1189" s="442"/>
      <c r="E1189" s="442"/>
      <c r="F1189" s="442"/>
      <c r="G1189" s="442"/>
      <c r="H1189" s="442"/>
      <c r="I1189" s="442"/>
      <c r="J1189" s="442"/>
      <c r="K1189" s="442"/>
      <c r="L1189" s="442"/>
      <c r="M1189" s="442"/>
      <c r="N1189" s="442"/>
      <c r="O1189" s="442"/>
    </row>
    <row r="1190" spans="1:15" s="942" customFormat="1" ht="15.75" customHeight="1">
      <c r="A1190" s="442"/>
      <c r="B1190" s="442"/>
      <c r="C1190" s="442"/>
      <c r="D1190" s="442"/>
      <c r="E1190" s="442"/>
      <c r="F1190" s="442"/>
      <c r="G1190" s="442"/>
      <c r="H1190" s="442"/>
      <c r="I1190" s="442"/>
      <c r="J1190" s="442"/>
      <c r="K1190" s="442"/>
      <c r="L1190" s="442"/>
      <c r="M1190" s="442"/>
      <c r="N1190" s="442"/>
      <c r="O1190" s="442"/>
    </row>
    <row r="1191" spans="1:15" s="942" customFormat="1" ht="15.75" customHeight="1">
      <c r="A1191" s="442"/>
      <c r="B1191" s="442"/>
      <c r="C1191" s="442"/>
      <c r="D1191" s="442"/>
      <c r="E1191" s="442"/>
      <c r="F1191" s="442"/>
      <c r="G1191" s="442"/>
      <c r="H1191" s="442"/>
      <c r="I1191" s="442"/>
      <c r="J1191" s="442"/>
      <c r="K1191" s="442"/>
      <c r="L1191" s="442"/>
      <c r="M1191" s="442"/>
      <c r="N1191" s="442"/>
      <c r="O1191" s="442"/>
    </row>
    <row r="1192" spans="1:15" s="942" customFormat="1" ht="15.75" customHeight="1">
      <c r="A1192" s="442"/>
      <c r="B1192" s="442"/>
      <c r="C1192" s="442"/>
      <c r="D1192" s="442"/>
      <c r="E1192" s="442"/>
      <c r="F1192" s="442"/>
      <c r="G1192" s="442"/>
      <c r="H1192" s="442"/>
      <c r="I1192" s="442"/>
      <c r="J1192" s="442"/>
      <c r="K1192" s="442"/>
      <c r="L1192" s="442"/>
      <c r="M1192" s="442"/>
      <c r="N1192" s="442"/>
      <c r="O1192" s="442"/>
    </row>
    <row r="1193" spans="1:15" s="942" customFormat="1" ht="15.75" customHeight="1">
      <c r="A1193" s="442"/>
      <c r="B1193" s="442"/>
      <c r="C1193" s="442"/>
      <c r="D1193" s="442"/>
      <c r="E1193" s="442"/>
      <c r="F1193" s="442"/>
      <c r="G1193" s="442"/>
      <c r="H1193" s="442"/>
      <c r="I1193" s="442"/>
      <c r="J1193" s="442"/>
      <c r="K1193" s="442"/>
      <c r="L1193" s="442"/>
      <c r="M1193" s="442"/>
      <c r="N1193" s="442"/>
      <c r="O1193" s="442"/>
    </row>
    <row r="1194" spans="1:15" s="942" customFormat="1" ht="15.75" customHeight="1">
      <c r="A1194" s="442"/>
      <c r="B1194" s="442"/>
      <c r="C1194" s="442"/>
      <c r="D1194" s="442"/>
      <c r="E1194" s="442"/>
      <c r="F1194" s="442"/>
      <c r="G1194" s="442"/>
      <c r="H1194" s="442"/>
      <c r="I1194" s="442"/>
      <c r="J1194" s="442"/>
      <c r="K1194" s="442"/>
      <c r="L1194" s="442"/>
      <c r="M1194" s="442"/>
      <c r="N1194" s="442"/>
      <c r="O1194" s="442"/>
    </row>
    <row r="1195" spans="1:15" s="942" customFormat="1" ht="15.75" customHeight="1">
      <c r="A1195" s="442"/>
      <c r="B1195" s="442"/>
      <c r="C1195" s="442"/>
      <c r="D1195" s="442"/>
      <c r="E1195" s="442"/>
      <c r="F1195" s="442"/>
      <c r="G1195" s="442"/>
      <c r="H1195" s="442"/>
      <c r="I1195" s="442"/>
      <c r="J1195" s="442"/>
      <c r="K1195" s="442"/>
      <c r="L1195" s="442"/>
      <c r="M1195" s="442"/>
      <c r="N1195" s="442"/>
      <c r="O1195" s="442"/>
    </row>
    <row r="1196" spans="1:15" s="942" customFormat="1" ht="15.75" customHeight="1">
      <c r="A1196" s="442"/>
      <c r="B1196" s="442"/>
      <c r="C1196" s="442"/>
      <c r="D1196" s="442"/>
      <c r="E1196" s="442"/>
      <c r="F1196" s="442"/>
      <c r="G1196" s="442"/>
      <c r="H1196" s="442"/>
      <c r="I1196" s="442"/>
      <c r="J1196" s="442"/>
      <c r="K1196" s="442"/>
      <c r="L1196" s="442"/>
      <c r="M1196" s="442"/>
      <c r="N1196" s="442"/>
      <c r="O1196" s="442"/>
    </row>
    <row r="1197" spans="1:15" s="942" customFormat="1" ht="15.75" customHeight="1">
      <c r="A1197" s="442"/>
      <c r="B1197" s="442"/>
      <c r="C1197" s="442"/>
      <c r="D1197" s="442"/>
      <c r="E1197" s="442"/>
      <c r="F1197" s="442"/>
      <c r="G1197" s="442"/>
      <c r="H1197" s="442"/>
      <c r="I1197" s="442"/>
      <c r="J1197" s="442"/>
      <c r="K1197" s="442"/>
      <c r="L1197" s="442"/>
      <c r="M1197" s="442"/>
      <c r="N1197" s="442"/>
      <c r="O1197" s="442"/>
    </row>
    <row r="1198" spans="1:15" s="942" customFormat="1" ht="15.75" customHeight="1">
      <c r="A1198" s="442"/>
      <c r="B1198" s="442"/>
      <c r="C1198" s="442"/>
      <c r="D1198" s="442"/>
      <c r="E1198" s="442"/>
      <c r="F1198" s="442"/>
      <c r="G1198" s="442"/>
      <c r="H1198" s="442"/>
      <c r="I1198" s="442"/>
      <c r="J1198" s="442"/>
      <c r="K1198" s="442"/>
      <c r="L1198" s="442"/>
      <c r="M1198" s="442"/>
      <c r="N1198" s="442"/>
      <c r="O1198" s="442"/>
    </row>
    <row r="1199" spans="1:15" s="942" customFormat="1" ht="15.75" customHeight="1">
      <c r="A1199" s="442"/>
      <c r="B1199" s="442"/>
      <c r="C1199" s="442"/>
      <c r="D1199" s="442"/>
      <c r="E1199" s="442"/>
      <c r="F1199" s="442"/>
      <c r="G1199" s="442"/>
      <c r="H1199" s="442"/>
      <c r="I1199" s="442"/>
      <c r="J1199" s="442"/>
      <c r="K1199" s="442"/>
      <c r="L1199" s="442"/>
      <c r="M1199" s="442"/>
      <c r="N1199" s="442"/>
      <c r="O1199" s="442"/>
    </row>
    <row r="1200" spans="1:15" s="942" customFormat="1" ht="15.75" customHeight="1">
      <c r="A1200" s="442"/>
      <c r="B1200" s="442"/>
      <c r="C1200" s="442"/>
      <c r="D1200" s="442"/>
      <c r="E1200" s="442"/>
      <c r="F1200" s="442"/>
      <c r="G1200" s="442"/>
      <c r="H1200" s="442"/>
      <c r="I1200" s="442"/>
      <c r="J1200" s="442"/>
      <c r="K1200" s="442"/>
      <c r="L1200" s="442"/>
      <c r="M1200" s="442"/>
      <c r="N1200" s="442"/>
      <c r="O1200" s="442"/>
    </row>
    <row r="1201" spans="1:15" s="942" customFormat="1" ht="15.75" customHeight="1">
      <c r="A1201" s="442"/>
      <c r="B1201" s="442"/>
      <c r="C1201" s="442"/>
      <c r="D1201" s="442"/>
      <c r="E1201" s="442"/>
      <c r="F1201" s="442"/>
      <c r="G1201" s="442"/>
      <c r="H1201" s="442"/>
      <c r="I1201" s="442"/>
      <c r="J1201" s="442"/>
      <c r="K1201" s="442"/>
      <c r="L1201" s="442"/>
      <c r="M1201" s="442"/>
      <c r="N1201" s="442"/>
      <c r="O1201" s="442"/>
    </row>
    <row r="1202" spans="1:15" s="942" customFormat="1" ht="15.75" customHeight="1">
      <c r="A1202" s="442"/>
      <c r="B1202" s="442"/>
      <c r="C1202" s="442"/>
      <c r="D1202" s="442"/>
      <c r="E1202" s="442"/>
      <c r="F1202" s="442"/>
      <c r="G1202" s="442"/>
      <c r="H1202" s="442"/>
      <c r="I1202" s="442"/>
      <c r="J1202" s="442"/>
      <c r="K1202" s="442"/>
      <c r="L1202" s="442"/>
      <c r="M1202" s="442"/>
      <c r="N1202" s="442"/>
      <c r="O1202" s="442"/>
    </row>
    <row r="1203" spans="1:15" s="942" customFormat="1" ht="15.75" customHeight="1">
      <c r="A1203" s="442"/>
      <c r="B1203" s="442"/>
      <c r="C1203" s="442"/>
      <c r="D1203" s="442"/>
      <c r="E1203" s="442"/>
      <c r="F1203" s="442"/>
      <c r="G1203" s="442"/>
      <c r="H1203" s="442"/>
      <c r="I1203" s="442"/>
      <c r="J1203" s="442"/>
      <c r="K1203" s="442"/>
      <c r="L1203" s="442"/>
      <c r="M1203" s="442"/>
      <c r="N1203" s="442"/>
      <c r="O1203" s="442"/>
    </row>
    <row r="1204" spans="1:15" s="942" customFormat="1" ht="15.75" customHeight="1">
      <c r="A1204" s="442"/>
      <c r="B1204" s="442"/>
      <c r="C1204" s="442"/>
      <c r="D1204" s="442"/>
      <c r="E1204" s="442"/>
      <c r="F1204" s="442"/>
      <c r="G1204" s="442"/>
      <c r="H1204" s="442"/>
      <c r="I1204" s="442"/>
      <c r="J1204" s="442"/>
      <c r="K1204" s="442"/>
      <c r="L1204" s="442"/>
      <c r="M1204" s="442"/>
      <c r="N1204" s="442"/>
      <c r="O1204" s="442"/>
    </row>
    <row r="1205" spans="1:15" s="942" customFormat="1" ht="15.75" customHeight="1">
      <c r="A1205" s="442"/>
      <c r="B1205" s="442"/>
      <c r="C1205" s="442"/>
      <c r="D1205" s="442"/>
      <c r="E1205" s="442"/>
      <c r="F1205" s="442"/>
      <c r="G1205" s="442"/>
      <c r="H1205" s="442"/>
      <c r="I1205" s="442"/>
      <c r="J1205" s="442"/>
      <c r="K1205" s="442"/>
      <c r="L1205" s="442"/>
      <c r="M1205" s="442"/>
      <c r="N1205" s="442"/>
      <c r="O1205" s="442"/>
    </row>
    <row r="1206" spans="1:15" s="942" customFormat="1" ht="15.75" customHeight="1">
      <c r="A1206" s="442"/>
      <c r="B1206" s="442"/>
      <c r="C1206" s="442"/>
      <c r="D1206" s="442"/>
      <c r="E1206" s="442"/>
      <c r="F1206" s="442"/>
      <c r="G1206" s="442"/>
      <c r="H1206" s="442"/>
      <c r="I1206" s="442"/>
      <c r="J1206" s="442"/>
      <c r="K1206" s="442"/>
      <c r="L1206" s="442"/>
      <c r="M1206" s="442"/>
      <c r="N1206" s="442"/>
      <c r="O1206" s="442"/>
    </row>
    <row r="1207" spans="1:15" s="942" customFormat="1" ht="15.75" customHeight="1">
      <c r="A1207" s="442"/>
      <c r="B1207" s="442"/>
      <c r="C1207" s="442"/>
      <c r="D1207" s="442"/>
      <c r="E1207" s="442"/>
      <c r="F1207" s="442"/>
      <c r="G1207" s="442"/>
      <c r="H1207" s="442"/>
      <c r="I1207" s="442"/>
      <c r="J1207" s="442"/>
      <c r="K1207" s="442"/>
      <c r="L1207" s="442"/>
      <c r="M1207" s="442"/>
      <c r="N1207" s="442"/>
      <c r="O1207" s="442"/>
    </row>
    <row r="1208" spans="1:15" s="942" customFormat="1" ht="15.75" customHeight="1">
      <c r="A1208" s="442"/>
      <c r="B1208" s="442"/>
      <c r="C1208" s="442"/>
      <c r="D1208" s="442"/>
      <c r="E1208" s="442"/>
      <c r="F1208" s="442"/>
      <c r="G1208" s="442"/>
      <c r="H1208" s="442"/>
      <c r="I1208" s="442"/>
      <c r="J1208" s="442"/>
      <c r="K1208" s="442"/>
      <c r="L1208" s="442"/>
      <c r="M1208" s="442"/>
      <c r="N1208" s="442"/>
      <c r="O1208" s="442"/>
    </row>
    <row r="1209" spans="1:15" s="942" customFormat="1" ht="15.75" customHeight="1">
      <c r="A1209" s="442"/>
      <c r="B1209" s="442"/>
      <c r="C1209" s="442"/>
      <c r="D1209" s="442"/>
      <c r="E1209" s="442"/>
      <c r="F1209" s="442"/>
      <c r="G1209" s="442"/>
      <c r="H1209" s="442"/>
      <c r="I1209" s="442"/>
      <c r="J1209" s="442"/>
      <c r="K1209" s="442"/>
      <c r="L1209" s="442"/>
      <c r="M1209" s="442"/>
      <c r="N1209" s="442"/>
      <c r="O1209" s="442"/>
    </row>
    <row r="1210" spans="1:15" s="942" customFormat="1" ht="15.75" customHeight="1">
      <c r="A1210" s="442"/>
      <c r="B1210" s="442"/>
      <c r="C1210" s="442"/>
      <c r="D1210" s="442"/>
      <c r="E1210" s="442"/>
      <c r="F1210" s="442"/>
      <c r="G1210" s="442"/>
      <c r="H1210" s="442"/>
      <c r="I1210" s="442"/>
      <c r="J1210" s="442"/>
      <c r="K1210" s="442"/>
      <c r="L1210" s="442"/>
      <c r="M1210" s="442"/>
      <c r="N1210" s="442"/>
      <c r="O1210" s="442"/>
    </row>
    <row r="1211" spans="1:15" s="942" customFormat="1" ht="15.75" customHeight="1">
      <c r="A1211" s="442"/>
      <c r="B1211" s="442"/>
      <c r="C1211" s="442"/>
      <c r="D1211" s="442"/>
      <c r="E1211" s="442"/>
      <c r="F1211" s="442"/>
      <c r="G1211" s="442"/>
      <c r="H1211" s="442"/>
      <c r="I1211" s="442"/>
      <c r="J1211" s="442"/>
      <c r="K1211" s="442"/>
      <c r="L1211" s="442"/>
      <c r="M1211" s="442"/>
      <c r="N1211" s="442"/>
      <c r="O1211" s="442"/>
    </row>
    <row r="1212" spans="1:15" s="942" customFormat="1" ht="15.75" customHeight="1">
      <c r="A1212" s="442"/>
      <c r="B1212" s="442"/>
      <c r="C1212" s="442"/>
      <c r="D1212" s="442"/>
      <c r="E1212" s="442"/>
      <c r="F1212" s="442"/>
      <c r="G1212" s="442"/>
      <c r="H1212" s="442"/>
      <c r="I1212" s="442"/>
      <c r="J1212" s="442"/>
      <c r="K1212" s="442"/>
      <c r="L1212" s="442"/>
      <c r="M1212" s="442"/>
      <c r="N1212" s="442"/>
      <c r="O1212" s="442"/>
    </row>
    <row r="1213" spans="1:15" s="942" customFormat="1" ht="15.75" customHeight="1">
      <c r="A1213" s="442"/>
      <c r="B1213" s="442"/>
      <c r="C1213" s="442"/>
      <c r="D1213" s="442"/>
      <c r="E1213" s="442"/>
      <c r="F1213" s="442"/>
      <c r="G1213" s="442"/>
      <c r="H1213" s="442"/>
      <c r="I1213" s="442"/>
      <c r="J1213" s="442"/>
      <c r="K1213" s="442"/>
      <c r="L1213" s="442"/>
      <c r="M1213" s="442"/>
      <c r="N1213" s="442"/>
      <c r="O1213" s="442"/>
    </row>
    <row r="1214" spans="1:15" s="942" customFormat="1" ht="15.75" customHeight="1">
      <c r="A1214" s="442"/>
      <c r="B1214" s="442"/>
      <c r="C1214" s="442"/>
      <c r="D1214" s="442"/>
      <c r="E1214" s="442"/>
      <c r="F1214" s="442"/>
      <c r="G1214" s="442"/>
      <c r="H1214" s="442"/>
      <c r="I1214" s="442"/>
      <c r="J1214" s="442"/>
      <c r="K1214" s="442"/>
      <c r="L1214" s="442"/>
      <c r="M1214" s="442"/>
      <c r="N1214" s="442"/>
      <c r="O1214" s="442"/>
    </row>
    <row r="1215" spans="1:15" s="942" customFormat="1" ht="15.75" customHeight="1">
      <c r="A1215" s="442"/>
      <c r="B1215" s="442"/>
      <c r="C1215" s="442"/>
      <c r="D1215" s="442"/>
      <c r="E1215" s="442"/>
      <c r="F1215" s="442"/>
      <c r="G1215" s="442"/>
      <c r="H1215" s="442"/>
      <c r="I1215" s="442"/>
      <c r="J1215" s="442"/>
      <c r="K1215" s="442"/>
      <c r="L1215" s="442"/>
      <c r="M1215" s="442"/>
      <c r="N1215" s="442"/>
      <c r="O1215" s="442"/>
    </row>
    <row r="1216" spans="1:15" s="942" customFormat="1" ht="15.75" customHeight="1">
      <c r="A1216" s="442"/>
      <c r="B1216" s="442"/>
      <c r="C1216" s="442"/>
      <c r="D1216" s="442"/>
      <c r="E1216" s="442"/>
      <c r="F1216" s="442"/>
      <c r="G1216" s="442"/>
      <c r="H1216" s="442"/>
      <c r="I1216" s="442"/>
      <c r="J1216" s="442"/>
      <c r="K1216" s="442"/>
      <c r="L1216" s="442"/>
      <c r="M1216" s="442"/>
      <c r="N1216" s="442"/>
      <c r="O1216" s="442"/>
    </row>
    <row r="1217" spans="1:15" s="942" customFormat="1" ht="15.75" customHeight="1">
      <c r="A1217" s="442"/>
      <c r="B1217" s="442"/>
      <c r="C1217" s="442"/>
      <c r="D1217" s="442"/>
      <c r="E1217" s="442"/>
      <c r="F1217" s="442"/>
      <c r="G1217" s="442"/>
      <c r="H1217" s="442"/>
      <c r="I1217" s="442"/>
      <c r="J1217" s="442"/>
      <c r="K1217" s="442"/>
      <c r="L1217" s="442"/>
      <c r="M1217" s="442"/>
      <c r="N1217" s="442"/>
      <c r="O1217" s="442"/>
    </row>
    <row r="1218" spans="1:15" s="942" customFormat="1" ht="15.75" customHeight="1">
      <c r="A1218" s="442"/>
      <c r="B1218" s="442"/>
      <c r="C1218" s="442"/>
      <c r="D1218" s="442"/>
      <c r="E1218" s="442"/>
      <c r="F1218" s="442"/>
      <c r="G1218" s="442"/>
      <c r="H1218" s="442"/>
      <c r="I1218" s="442"/>
      <c r="J1218" s="442"/>
      <c r="K1218" s="442"/>
      <c r="L1218" s="442"/>
      <c r="M1218" s="442"/>
      <c r="N1218" s="442"/>
      <c r="O1218" s="442"/>
    </row>
    <row r="1219" spans="1:15" s="942" customFormat="1" ht="15.75" customHeight="1">
      <c r="A1219" s="442"/>
      <c r="B1219" s="442"/>
      <c r="C1219" s="442"/>
      <c r="D1219" s="442"/>
      <c r="E1219" s="442"/>
      <c r="F1219" s="442"/>
      <c r="G1219" s="442"/>
      <c r="H1219" s="442"/>
      <c r="I1219" s="442"/>
      <c r="J1219" s="442"/>
      <c r="K1219" s="442"/>
      <c r="L1219" s="442"/>
      <c r="M1219" s="442"/>
      <c r="N1219" s="442"/>
      <c r="O1219" s="442"/>
    </row>
    <row r="1220" spans="1:15" s="942" customFormat="1" ht="15.75" customHeight="1">
      <c r="A1220" s="442"/>
      <c r="B1220" s="442"/>
      <c r="C1220" s="442"/>
      <c r="D1220" s="442"/>
      <c r="E1220" s="442"/>
      <c r="F1220" s="442"/>
      <c r="G1220" s="442"/>
      <c r="H1220" s="442"/>
      <c r="I1220" s="442"/>
      <c r="J1220" s="442"/>
      <c r="K1220" s="442"/>
      <c r="L1220" s="442"/>
      <c r="M1220" s="442"/>
      <c r="N1220" s="442"/>
      <c r="O1220" s="442"/>
    </row>
    <row r="1221" spans="1:15" s="942" customFormat="1" ht="15.75" customHeight="1">
      <c r="A1221" s="442"/>
      <c r="B1221" s="442"/>
      <c r="C1221" s="442"/>
      <c r="D1221" s="442"/>
      <c r="E1221" s="442"/>
      <c r="F1221" s="442"/>
      <c r="G1221" s="442"/>
      <c r="H1221" s="442"/>
      <c r="I1221" s="442"/>
      <c r="J1221" s="442"/>
      <c r="K1221" s="442"/>
      <c r="L1221" s="442"/>
      <c r="M1221" s="442"/>
      <c r="N1221" s="442"/>
      <c r="O1221" s="442"/>
    </row>
    <row r="1222" spans="1:15" s="942" customFormat="1" ht="15.75" customHeight="1">
      <c r="A1222" s="442"/>
      <c r="B1222" s="442"/>
      <c r="C1222" s="442"/>
      <c r="D1222" s="442"/>
      <c r="E1222" s="442"/>
      <c r="F1222" s="442"/>
      <c r="G1222" s="442"/>
      <c r="H1222" s="442"/>
      <c r="I1222" s="442"/>
      <c r="J1222" s="442"/>
      <c r="K1222" s="442"/>
      <c r="L1222" s="442"/>
      <c r="M1222" s="442"/>
      <c r="N1222" s="442"/>
      <c r="O1222" s="442"/>
    </row>
    <row r="1223" spans="1:15" s="942" customFormat="1" ht="15.75" customHeight="1">
      <c r="A1223" s="442"/>
      <c r="B1223" s="442"/>
      <c r="C1223" s="442"/>
      <c r="D1223" s="442"/>
      <c r="E1223" s="442"/>
      <c r="F1223" s="442"/>
      <c r="G1223" s="442"/>
      <c r="H1223" s="442"/>
      <c r="I1223" s="442"/>
      <c r="J1223" s="442"/>
      <c r="K1223" s="442"/>
      <c r="L1223" s="442"/>
      <c r="M1223" s="442"/>
      <c r="N1223" s="442"/>
      <c r="O1223" s="442"/>
    </row>
    <row r="1224" spans="1:15" s="942" customFormat="1" ht="15.75" customHeight="1">
      <c r="A1224" s="442"/>
      <c r="B1224" s="442"/>
      <c r="C1224" s="442"/>
      <c r="D1224" s="442"/>
      <c r="E1224" s="442"/>
      <c r="F1224" s="442"/>
      <c r="G1224" s="442"/>
      <c r="H1224" s="442"/>
      <c r="I1224" s="442"/>
      <c r="J1224" s="442"/>
      <c r="K1224" s="442"/>
      <c r="L1224" s="442"/>
      <c r="M1224" s="442"/>
      <c r="N1224" s="442"/>
      <c r="O1224" s="442"/>
    </row>
    <row r="1225" spans="1:15" s="942" customFormat="1" ht="15.75" customHeight="1">
      <c r="A1225" s="442"/>
      <c r="B1225" s="442"/>
      <c r="C1225" s="442"/>
      <c r="D1225" s="442"/>
      <c r="E1225" s="442"/>
      <c r="F1225" s="442"/>
      <c r="G1225" s="442"/>
      <c r="H1225" s="442"/>
      <c r="I1225" s="442"/>
      <c r="J1225" s="442"/>
      <c r="K1225" s="442"/>
      <c r="L1225" s="442"/>
      <c r="M1225" s="442"/>
      <c r="N1225" s="442"/>
      <c r="O1225" s="442"/>
    </row>
    <row r="1226" spans="1:15" s="942" customFormat="1" ht="15.75" customHeight="1">
      <c r="A1226" s="442"/>
      <c r="B1226" s="442"/>
      <c r="C1226" s="442"/>
      <c r="D1226" s="442"/>
      <c r="E1226" s="442"/>
      <c r="F1226" s="442"/>
      <c r="G1226" s="442"/>
      <c r="H1226" s="442"/>
      <c r="I1226" s="442"/>
      <c r="J1226" s="442"/>
      <c r="K1226" s="442"/>
      <c r="L1226" s="442"/>
      <c r="M1226" s="442"/>
      <c r="N1226" s="442"/>
      <c r="O1226" s="442"/>
    </row>
    <row r="1227" spans="1:15" s="942" customFormat="1" ht="15.75" customHeight="1">
      <c r="A1227" s="442"/>
      <c r="B1227" s="442"/>
      <c r="C1227" s="442"/>
      <c r="D1227" s="442"/>
      <c r="E1227" s="442"/>
      <c r="F1227" s="442"/>
      <c r="G1227" s="442"/>
      <c r="H1227" s="442"/>
      <c r="I1227" s="442"/>
      <c r="J1227" s="442"/>
      <c r="K1227" s="442"/>
      <c r="L1227" s="442"/>
      <c r="M1227" s="442"/>
      <c r="N1227" s="442"/>
      <c r="O1227" s="442"/>
    </row>
    <row r="1228" spans="1:15" s="942" customFormat="1" ht="15.75" customHeight="1">
      <c r="A1228" s="442"/>
      <c r="B1228" s="442"/>
      <c r="C1228" s="442"/>
      <c r="D1228" s="442"/>
      <c r="E1228" s="442"/>
      <c r="F1228" s="442"/>
      <c r="G1228" s="442"/>
      <c r="H1228" s="442"/>
      <c r="I1228" s="442"/>
      <c r="J1228" s="442"/>
      <c r="K1228" s="442"/>
      <c r="L1228" s="442"/>
      <c r="M1228" s="442"/>
      <c r="N1228" s="442"/>
      <c r="O1228" s="442"/>
    </row>
    <row r="1229" spans="1:15" s="942" customFormat="1" ht="15.75" customHeight="1">
      <c r="A1229" s="442"/>
      <c r="B1229" s="442"/>
      <c r="C1229" s="442"/>
      <c r="D1229" s="442"/>
      <c r="E1229" s="442"/>
      <c r="F1229" s="442"/>
      <c r="G1229" s="442"/>
      <c r="H1229" s="442"/>
      <c r="I1229" s="442"/>
      <c r="J1229" s="442"/>
      <c r="K1229" s="442"/>
      <c r="L1229" s="442"/>
      <c r="M1229" s="442"/>
      <c r="N1229" s="442"/>
      <c r="O1229" s="442"/>
    </row>
    <row r="1230" spans="1:15" s="942" customFormat="1" ht="15.75" customHeight="1">
      <c r="A1230" s="442"/>
      <c r="B1230" s="442"/>
      <c r="C1230" s="442"/>
      <c r="D1230" s="442"/>
      <c r="E1230" s="442"/>
      <c r="F1230" s="442"/>
      <c r="G1230" s="442"/>
      <c r="H1230" s="442"/>
      <c r="I1230" s="442"/>
      <c r="J1230" s="442"/>
      <c r="K1230" s="442"/>
      <c r="L1230" s="442"/>
      <c r="M1230" s="442"/>
      <c r="N1230" s="442"/>
      <c r="O1230" s="442"/>
    </row>
    <row r="1231" spans="1:15" s="942" customFormat="1" ht="15.75" customHeight="1">
      <c r="A1231" s="442"/>
      <c r="B1231" s="442"/>
      <c r="C1231" s="442"/>
      <c r="D1231" s="442"/>
      <c r="E1231" s="442"/>
      <c r="F1231" s="442"/>
      <c r="G1231" s="442"/>
      <c r="H1231" s="442"/>
      <c r="I1231" s="442"/>
      <c r="J1231" s="442"/>
      <c r="K1231" s="442"/>
      <c r="L1231" s="442"/>
      <c r="M1231" s="442"/>
      <c r="N1231" s="442"/>
      <c r="O1231" s="442"/>
    </row>
    <row r="1232" spans="1:15" s="942" customFormat="1" ht="15.75" customHeight="1">
      <c r="A1232" s="442"/>
      <c r="B1232" s="442"/>
      <c r="C1232" s="442"/>
      <c r="D1232" s="442"/>
      <c r="E1232" s="442"/>
      <c r="F1232" s="442"/>
      <c r="G1232" s="442"/>
      <c r="H1232" s="442"/>
      <c r="I1232" s="442"/>
      <c r="J1232" s="442"/>
      <c r="K1232" s="442"/>
      <c r="L1232" s="442"/>
      <c r="M1232" s="442"/>
      <c r="N1232" s="442"/>
      <c r="O1232" s="442"/>
    </row>
    <row r="1233" spans="1:15" s="942" customFormat="1" ht="15.75" customHeight="1">
      <c r="A1233" s="442"/>
      <c r="B1233" s="442"/>
      <c r="C1233" s="442"/>
      <c r="D1233" s="442"/>
      <c r="E1233" s="442"/>
      <c r="F1233" s="442"/>
      <c r="G1233" s="442"/>
      <c r="H1233" s="442"/>
      <c r="I1233" s="442"/>
      <c r="J1233" s="442"/>
      <c r="K1233" s="442"/>
      <c r="L1233" s="442"/>
      <c r="M1233" s="442"/>
      <c r="N1233" s="442"/>
      <c r="O1233" s="442"/>
    </row>
    <row r="1234" spans="1:15" s="942" customFormat="1" ht="15.75" customHeight="1">
      <c r="A1234" s="442"/>
      <c r="B1234" s="442"/>
      <c r="C1234" s="442"/>
      <c r="D1234" s="442"/>
      <c r="E1234" s="442"/>
      <c r="F1234" s="442"/>
      <c r="G1234" s="442"/>
      <c r="H1234" s="442"/>
      <c r="I1234" s="442"/>
      <c r="J1234" s="442"/>
      <c r="K1234" s="442"/>
      <c r="L1234" s="442"/>
      <c r="M1234" s="442"/>
      <c r="N1234" s="442"/>
      <c r="O1234" s="442"/>
    </row>
    <row r="1235" spans="1:15" s="942" customFormat="1" ht="15.75" customHeight="1">
      <c r="A1235" s="442"/>
      <c r="B1235" s="442"/>
      <c r="C1235" s="442"/>
      <c r="D1235" s="442"/>
      <c r="E1235" s="442"/>
      <c r="F1235" s="442"/>
      <c r="G1235" s="442"/>
      <c r="H1235" s="442"/>
      <c r="I1235" s="442"/>
      <c r="J1235" s="442"/>
      <c r="K1235" s="442"/>
      <c r="L1235" s="442"/>
      <c r="M1235" s="442"/>
      <c r="N1235" s="442"/>
      <c r="O1235" s="442"/>
    </row>
    <row r="1236" spans="1:15" s="942" customFormat="1" ht="15.75" customHeight="1">
      <c r="A1236" s="442"/>
      <c r="B1236" s="442"/>
      <c r="C1236" s="442"/>
      <c r="D1236" s="442"/>
      <c r="E1236" s="442"/>
      <c r="F1236" s="442"/>
      <c r="G1236" s="442"/>
      <c r="H1236" s="442"/>
      <c r="I1236" s="442"/>
      <c r="J1236" s="442"/>
      <c r="K1236" s="442"/>
      <c r="L1236" s="442"/>
      <c r="M1236" s="442"/>
      <c r="N1236" s="442"/>
      <c r="O1236" s="442"/>
    </row>
    <row r="1237" spans="1:15" s="942" customFormat="1" ht="15.75" customHeight="1">
      <c r="A1237" s="442"/>
      <c r="B1237" s="442"/>
      <c r="C1237" s="442"/>
      <c r="D1237" s="442"/>
      <c r="E1237" s="442"/>
      <c r="F1237" s="442"/>
      <c r="G1237" s="442"/>
      <c r="H1237" s="442"/>
      <c r="I1237" s="442"/>
      <c r="J1237" s="442"/>
      <c r="K1237" s="442"/>
      <c r="L1237" s="442"/>
      <c r="M1237" s="442"/>
      <c r="N1237" s="442"/>
      <c r="O1237" s="442"/>
    </row>
    <row r="1238" spans="1:15" s="942" customFormat="1" ht="15.75" customHeight="1">
      <c r="A1238" s="442"/>
      <c r="B1238" s="442"/>
      <c r="C1238" s="442"/>
      <c r="D1238" s="442"/>
      <c r="E1238" s="442"/>
      <c r="F1238" s="442"/>
      <c r="G1238" s="442"/>
      <c r="H1238" s="442"/>
      <c r="I1238" s="442"/>
      <c r="J1238" s="442"/>
      <c r="K1238" s="442"/>
      <c r="L1238" s="442"/>
      <c r="M1238" s="442"/>
      <c r="N1238" s="442"/>
      <c r="O1238" s="442"/>
    </row>
    <row r="1239" spans="1:15" s="942" customFormat="1" ht="15.75" customHeight="1">
      <c r="A1239" s="442"/>
      <c r="B1239" s="442"/>
      <c r="C1239" s="442"/>
      <c r="D1239" s="442"/>
      <c r="E1239" s="442"/>
      <c r="F1239" s="442"/>
      <c r="G1239" s="442"/>
      <c r="H1239" s="442"/>
      <c r="I1239" s="442"/>
      <c r="J1239" s="442"/>
      <c r="K1239" s="442"/>
      <c r="L1239" s="442"/>
      <c r="M1239" s="442"/>
      <c r="N1239" s="442"/>
      <c r="O1239" s="442"/>
    </row>
    <row r="1240" spans="1:15" s="942" customFormat="1" ht="15.75" customHeight="1">
      <c r="A1240" s="442"/>
      <c r="B1240" s="442"/>
      <c r="C1240" s="442"/>
      <c r="D1240" s="442"/>
      <c r="E1240" s="442"/>
      <c r="F1240" s="442"/>
      <c r="G1240" s="442"/>
      <c r="H1240" s="442"/>
      <c r="I1240" s="442"/>
      <c r="J1240" s="442"/>
      <c r="K1240" s="442"/>
      <c r="L1240" s="442"/>
      <c r="M1240" s="442"/>
      <c r="N1240" s="442"/>
      <c r="O1240" s="442"/>
    </row>
    <row r="1241" spans="1:15" s="942" customFormat="1" ht="15.75" customHeight="1">
      <c r="A1241" s="442"/>
      <c r="B1241" s="442"/>
      <c r="C1241" s="442"/>
      <c r="D1241" s="442"/>
      <c r="E1241" s="442"/>
      <c r="F1241" s="442"/>
      <c r="G1241" s="442"/>
      <c r="H1241" s="442"/>
      <c r="I1241" s="442"/>
      <c r="J1241" s="442"/>
      <c r="K1241" s="442"/>
      <c r="L1241" s="442"/>
      <c r="M1241" s="442"/>
      <c r="N1241" s="442"/>
      <c r="O1241" s="442"/>
    </row>
    <row r="1242" spans="1:15" s="942" customFormat="1" ht="15.75" customHeight="1">
      <c r="A1242" s="442"/>
      <c r="B1242" s="442"/>
      <c r="C1242" s="442"/>
      <c r="D1242" s="442"/>
      <c r="E1242" s="442"/>
      <c r="F1242" s="442"/>
      <c r="G1242" s="442"/>
      <c r="H1242" s="442"/>
      <c r="I1242" s="442"/>
      <c r="J1242" s="442"/>
      <c r="K1242" s="442"/>
      <c r="L1242" s="442"/>
      <c r="M1242" s="442"/>
      <c r="N1242" s="442"/>
      <c r="O1242" s="442"/>
    </row>
    <row r="1243" spans="1:15" s="942" customFormat="1" ht="15.75" customHeight="1">
      <c r="A1243" s="442"/>
      <c r="B1243" s="442"/>
      <c r="C1243" s="442"/>
      <c r="D1243" s="442"/>
      <c r="E1243" s="442"/>
      <c r="F1243" s="442"/>
      <c r="G1243" s="442"/>
      <c r="H1243" s="442"/>
      <c r="I1243" s="442"/>
      <c r="J1243" s="442"/>
      <c r="K1243" s="442"/>
      <c r="L1243" s="442"/>
      <c r="M1243" s="442"/>
      <c r="N1243" s="442"/>
      <c r="O1243" s="442"/>
    </row>
    <row r="1244" spans="1:15" s="942" customFormat="1" ht="15.75" customHeight="1">
      <c r="A1244" s="442"/>
      <c r="B1244" s="442"/>
      <c r="C1244" s="442"/>
      <c r="D1244" s="442"/>
      <c r="E1244" s="442"/>
      <c r="F1244" s="442"/>
      <c r="G1244" s="442"/>
      <c r="H1244" s="442"/>
      <c r="I1244" s="442"/>
      <c r="J1244" s="442"/>
      <c r="K1244" s="442"/>
      <c r="L1244" s="442"/>
      <c r="M1244" s="442"/>
      <c r="N1244" s="442"/>
      <c r="O1244" s="442"/>
    </row>
    <row r="1245" spans="1:15" s="942" customFormat="1" ht="15.75" customHeight="1">
      <c r="A1245" s="442"/>
      <c r="B1245" s="442"/>
      <c r="C1245" s="442"/>
      <c r="D1245" s="442"/>
      <c r="E1245" s="442"/>
      <c r="F1245" s="442"/>
      <c r="G1245" s="442"/>
      <c r="H1245" s="442"/>
      <c r="I1245" s="442"/>
      <c r="J1245" s="442"/>
      <c r="K1245" s="442"/>
      <c r="L1245" s="442"/>
      <c r="M1245" s="442"/>
      <c r="N1245" s="442"/>
      <c r="O1245" s="442"/>
    </row>
    <row r="1246" spans="1:15" s="942" customFormat="1" ht="15.75" customHeight="1">
      <c r="A1246" s="442"/>
      <c r="B1246" s="442"/>
      <c r="C1246" s="442"/>
      <c r="D1246" s="442"/>
      <c r="E1246" s="442"/>
      <c r="F1246" s="442"/>
      <c r="G1246" s="442"/>
      <c r="H1246" s="442"/>
      <c r="I1246" s="442"/>
      <c r="J1246" s="442"/>
      <c r="K1246" s="442"/>
      <c r="L1246" s="442"/>
      <c r="M1246" s="442"/>
      <c r="N1246" s="442"/>
      <c r="O1246" s="442"/>
    </row>
    <row r="1247" spans="1:15" s="942" customFormat="1" ht="15.75" customHeight="1">
      <c r="O1247" s="442"/>
    </row>
    <row r="1248" spans="1:15" s="942" customFormat="1" ht="15.75" customHeight="1">
      <c r="O1248" s="442"/>
    </row>
    <row r="1249" spans="15:15" s="942" customFormat="1" ht="15.75" customHeight="1">
      <c r="O1249" s="442"/>
    </row>
    <row r="1250" spans="15:15" s="942" customFormat="1" ht="15.75" customHeight="1">
      <c r="O1250" s="442"/>
    </row>
    <row r="1251" spans="15:15" s="942" customFormat="1" ht="15.75" customHeight="1">
      <c r="O1251" s="442"/>
    </row>
    <row r="1252" spans="15:15" s="942" customFormat="1" ht="15.75" customHeight="1">
      <c r="O1252" s="442"/>
    </row>
    <row r="1253" spans="15:15" s="942" customFormat="1" ht="15.75" customHeight="1">
      <c r="O1253" s="442"/>
    </row>
    <row r="1254" spans="15:15" s="942" customFormat="1" ht="15.75" customHeight="1">
      <c r="O1254" s="442"/>
    </row>
    <row r="1255" spans="15:15" s="942" customFormat="1" ht="15.75" customHeight="1">
      <c r="O1255" s="442"/>
    </row>
    <row r="1256" spans="15:15" s="942" customFormat="1" ht="15.75" customHeight="1">
      <c r="O1256" s="442"/>
    </row>
    <row r="1257" spans="15:15" s="942" customFormat="1" ht="15.75" customHeight="1">
      <c r="O1257" s="442"/>
    </row>
    <row r="1258" spans="15:15" s="942" customFormat="1" ht="15.75" customHeight="1">
      <c r="O1258" s="442"/>
    </row>
    <row r="1259" spans="15:15" s="942" customFormat="1" ht="15.75" customHeight="1">
      <c r="O1259" s="442"/>
    </row>
    <row r="1260" spans="15:15" s="942" customFormat="1" ht="15.75" customHeight="1">
      <c r="O1260" s="442"/>
    </row>
    <row r="1261" spans="15:15" s="942" customFormat="1" ht="15.75" customHeight="1">
      <c r="O1261" s="442"/>
    </row>
    <row r="1262" spans="15:15" s="942" customFormat="1" ht="15.75" customHeight="1">
      <c r="O1262" s="442"/>
    </row>
    <row r="1263" spans="15:15" s="942" customFormat="1" ht="15.75" customHeight="1">
      <c r="O1263" s="442"/>
    </row>
    <row r="1264" spans="15:15" s="942" customFormat="1" ht="15.75" customHeight="1">
      <c r="O1264" s="442"/>
    </row>
    <row r="1265" spans="15:15" s="942" customFormat="1" ht="15.75" customHeight="1">
      <c r="O1265" s="442"/>
    </row>
    <row r="1266" spans="15:15" s="942" customFormat="1" ht="15.75" customHeight="1">
      <c r="O1266" s="442"/>
    </row>
    <row r="1267" spans="15:15" s="942" customFormat="1" ht="15.75" customHeight="1">
      <c r="O1267" s="442"/>
    </row>
    <row r="1268" spans="15:15" s="942" customFormat="1" ht="15.75" customHeight="1">
      <c r="O1268" s="442"/>
    </row>
    <row r="1269" spans="15:15" s="942" customFormat="1" ht="15.75" customHeight="1">
      <c r="O1269" s="442"/>
    </row>
    <row r="1270" spans="15:15" s="942" customFormat="1" ht="15.75" customHeight="1">
      <c r="O1270" s="442"/>
    </row>
    <row r="1271" spans="15:15" s="942" customFormat="1" ht="15.75" customHeight="1">
      <c r="O1271" s="442"/>
    </row>
    <row r="1272" spans="15:15" s="942" customFormat="1" ht="15.75" customHeight="1">
      <c r="O1272" s="442"/>
    </row>
    <row r="1273" spans="15:15" s="942" customFormat="1" ht="15.75" customHeight="1">
      <c r="O1273" s="442"/>
    </row>
    <row r="1274" spans="15:15" s="942" customFormat="1" ht="15.75" customHeight="1">
      <c r="O1274" s="442"/>
    </row>
    <row r="1275" spans="15:15" s="942" customFormat="1" ht="15.75" customHeight="1">
      <c r="O1275" s="442"/>
    </row>
    <row r="1276" spans="15:15" s="942" customFormat="1" ht="15.75" customHeight="1">
      <c r="O1276" s="442"/>
    </row>
    <row r="1277" spans="15:15" s="942" customFormat="1" ht="15.75" customHeight="1">
      <c r="O1277" s="442"/>
    </row>
    <row r="1278" spans="15:15" s="942" customFormat="1" ht="15.75" customHeight="1">
      <c r="O1278" s="442"/>
    </row>
    <row r="1279" spans="15:15" s="942" customFormat="1" ht="15.75" customHeight="1">
      <c r="O1279" s="442"/>
    </row>
    <row r="1280" spans="15:15" s="942" customFormat="1" ht="15.75" customHeight="1">
      <c r="O1280" s="442"/>
    </row>
    <row r="1281" spans="15:15" s="942" customFormat="1" ht="15.75" customHeight="1">
      <c r="O1281" s="442"/>
    </row>
    <row r="1282" spans="15:15" s="942" customFormat="1" ht="15.75" customHeight="1">
      <c r="O1282" s="442"/>
    </row>
    <row r="1283" spans="15:15" s="942" customFormat="1" ht="15.75" customHeight="1">
      <c r="O1283" s="442"/>
    </row>
    <row r="1284" spans="15:15" s="942" customFormat="1" ht="15.75" customHeight="1">
      <c r="O1284" s="442"/>
    </row>
    <row r="1285" spans="15:15" s="942" customFormat="1" ht="15.75" customHeight="1">
      <c r="O1285" s="442"/>
    </row>
    <row r="1286" spans="15:15" s="942" customFormat="1" ht="15.75" customHeight="1">
      <c r="O1286" s="442"/>
    </row>
    <row r="1287" spans="15:15" s="942" customFormat="1" ht="15.75" customHeight="1">
      <c r="O1287" s="442"/>
    </row>
    <row r="1288" spans="15:15" s="942" customFormat="1" ht="15.75" customHeight="1">
      <c r="O1288" s="442"/>
    </row>
    <row r="1289" spans="15:15" s="942" customFormat="1" ht="15.75" customHeight="1">
      <c r="O1289" s="442"/>
    </row>
    <row r="1290" spans="15:15" s="942" customFormat="1" ht="15.75" customHeight="1">
      <c r="O1290" s="442"/>
    </row>
    <row r="1291" spans="15:15" s="942" customFormat="1" ht="15.75" customHeight="1">
      <c r="O1291" s="442"/>
    </row>
    <row r="1292" spans="15:15" s="942" customFormat="1" ht="15.75" customHeight="1">
      <c r="O1292" s="442"/>
    </row>
    <row r="1293" spans="15:15" s="942" customFormat="1" ht="15.75" customHeight="1">
      <c r="O1293" s="442"/>
    </row>
    <row r="1294" spans="15:15" s="942" customFormat="1" ht="15.75" customHeight="1">
      <c r="O1294" s="442"/>
    </row>
    <row r="1295" spans="15:15" s="942" customFormat="1" ht="15.75" customHeight="1">
      <c r="O1295" s="442"/>
    </row>
    <row r="1296" spans="15:15" s="942" customFormat="1" ht="15.75" customHeight="1">
      <c r="O1296" s="442"/>
    </row>
    <row r="1297" spans="15:15" s="942" customFormat="1" ht="15.75" customHeight="1">
      <c r="O1297" s="442"/>
    </row>
    <row r="1298" spans="15:15" s="942" customFormat="1" ht="15.75" customHeight="1">
      <c r="O1298" s="442"/>
    </row>
    <row r="1299" spans="15:15" s="942" customFormat="1" ht="15.75" customHeight="1">
      <c r="O1299" s="442"/>
    </row>
    <row r="1300" spans="15:15" s="942" customFormat="1" ht="15.75" customHeight="1">
      <c r="O1300" s="442"/>
    </row>
    <row r="1301" spans="15:15" s="942" customFormat="1" ht="15.75" customHeight="1">
      <c r="O1301" s="442"/>
    </row>
    <row r="1302" spans="15:15" s="942" customFormat="1" ht="15.75" customHeight="1">
      <c r="O1302" s="442"/>
    </row>
    <row r="1303" spans="15:15" s="942" customFormat="1" ht="15.75" customHeight="1">
      <c r="O1303" s="442"/>
    </row>
    <row r="1304" spans="15:15" s="942" customFormat="1" ht="15.75" customHeight="1">
      <c r="O1304" s="442"/>
    </row>
    <row r="1305" spans="15:15" s="942" customFormat="1" ht="15.75" customHeight="1">
      <c r="O1305" s="442"/>
    </row>
    <row r="1306" spans="15:15" s="942" customFormat="1" ht="15.75" customHeight="1">
      <c r="O1306" s="442"/>
    </row>
    <row r="1307" spans="15:15" s="942" customFormat="1" ht="15.75" customHeight="1">
      <c r="O1307" s="442"/>
    </row>
    <row r="1308" spans="15:15" s="942" customFormat="1" ht="15.75" customHeight="1">
      <c r="O1308" s="442"/>
    </row>
    <row r="1309" spans="15:15" s="942" customFormat="1" ht="15.75" customHeight="1"/>
    <row r="1310" spans="15:15" s="942" customFormat="1" ht="15.75" customHeight="1"/>
    <row r="1311" spans="15:15" s="942" customFormat="1" ht="15.75" customHeight="1"/>
    <row r="1312" spans="15:15" s="942" customFormat="1" ht="15.75" customHeight="1"/>
    <row r="1313" s="942" customFormat="1" ht="15.75" customHeight="1"/>
    <row r="1314" s="942" customFormat="1" ht="15.75" customHeight="1"/>
    <row r="1315" s="942" customFormat="1" ht="15.75" customHeight="1"/>
    <row r="1316" s="942" customFormat="1" ht="15.75" customHeight="1"/>
    <row r="1317" s="942" customFormat="1" ht="15.75" customHeight="1"/>
    <row r="1318" s="942" customFormat="1" ht="15.75" customHeight="1"/>
    <row r="1319" s="942" customFormat="1" ht="15.75" customHeight="1"/>
    <row r="1320" s="942" customFormat="1" ht="15.75" customHeight="1"/>
    <row r="1321" s="942" customFormat="1" ht="15.75" customHeight="1"/>
    <row r="1322" s="942" customFormat="1" ht="15.75" customHeight="1"/>
    <row r="1323" s="942" customFormat="1" ht="15.75" customHeight="1"/>
    <row r="1324" s="942" customFormat="1" ht="15.75" customHeight="1"/>
    <row r="1325" s="942" customFormat="1" ht="15.75" customHeight="1"/>
    <row r="1326" s="942" customFormat="1" ht="15.75" customHeight="1"/>
    <row r="1327" s="942" customFormat="1" ht="15.75" customHeight="1"/>
    <row r="1328" s="942" customFormat="1" ht="15.75" customHeight="1"/>
    <row r="1329" s="942" customFormat="1" ht="15.75" customHeight="1"/>
    <row r="1330" s="942" customFormat="1" ht="15.75" customHeight="1"/>
    <row r="1331" s="942" customFormat="1" ht="15.75" customHeight="1"/>
    <row r="1332" s="942" customFormat="1" ht="15.75" customHeight="1"/>
    <row r="1333" s="942" customFormat="1" ht="15.75" customHeight="1"/>
    <row r="1334" s="942" customFormat="1" ht="15.75" customHeight="1"/>
    <row r="1335" s="942" customFormat="1" ht="15.75" customHeight="1"/>
    <row r="1336" s="942" customFormat="1" ht="15.75" customHeight="1"/>
    <row r="1337" s="942" customFormat="1" ht="15.75" customHeight="1"/>
    <row r="1338" s="942" customFormat="1" ht="15.75" customHeight="1"/>
    <row r="1339" s="942" customFormat="1" ht="15.75" customHeight="1"/>
    <row r="1340" s="942" customFormat="1" ht="15.75" customHeight="1"/>
    <row r="1341" s="942" customFormat="1" ht="15.75" customHeight="1"/>
    <row r="1342" s="942" customFormat="1" ht="15.75" customHeight="1"/>
    <row r="1343" s="942" customFormat="1" ht="15.75" customHeight="1"/>
    <row r="1344" s="942" customFormat="1" ht="15.75" customHeight="1"/>
    <row r="1345" s="942" customFormat="1" ht="15.75" customHeight="1"/>
    <row r="1346" s="942" customFormat="1" ht="15.75" customHeight="1"/>
    <row r="1347" s="942" customFormat="1" ht="15.75" customHeight="1"/>
    <row r="1348" s="942" customFormat="1" ht="15.75" customHeight="1"/>
    <row r="1349" s="942" customFormat="1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  <row r="1902" ht="15.75" customHeight="1"/>
    <row r="1903" ht="15.75" customHeight="1"/>
    <row r="1904" ht="15.75" customHeight="1"/>
    <row r="1905" ht="15.75" customHeight="1"/>
    <row r="1906" ht="15.75" customHeight="1"/>
    <row r="1907" ht="15.75" customHeight="1"/>
    <row r="1908" ht="15.75" customHeight="1"/>
    <row r="1909" ht="15.75" customHeight="1"/>
    <row r="1910" ht="15.75" customHeight="1"/>
    <row r="1911" ht="15.75" customHeight="1"/>
    <row r="1912" ht="15.75" customHeight="1"/>
    <row r="1913" ht="15.75" customHeight="1"/>
    <row r="1914" ht="15.75" customHeight="1"/>
    <row r="1915" ht="15.75" customHeight="1"/>
    <row r="1916" ht="15.75" customHeight="1"/>
    <row r="1917" ht="15.75" customHeight="1"/>
    <row r="1918" ht="15.75" customHeight="1"/>
    <row r="1919" ht="15.75" customHeight="1"/>
    <row r="1920" ht="15.75" customHeight="1"/>
    <row r="1921" ht="15.75" customHeight="1"/>
    <row r="1922" ht="15.75" customHeight="1"/>
    <row r="1923" ht="15.75" customHeight="1"/>
    <row r="1924" ht="15.75" customHeight="1"/>
    <row r="1925" ht="15.75" customHeight="1"/>
    <row r="1926" ht="15.75" customHeight="1"/>
    <row r="1927" ht="15.75" customHeight="1"/>
    <row r="1928" ht="15.75" customHeight="1"/>
    <row r="1929" ht="15.75" customHeight="1"/>
    <row r="1930" ht="15.75" customHeight="1"/>
    <row r="1931" ht="15.75" customHeight="1"/>
    <row r="1932" ht="15.75" customHeight="1"/>
    <row r="1933" ht="15.75" customHeight="1"/>
    <row r="1934" ht="15.75" customHeight="1"/>
    <row r="1935" ht="15.75" customHeight="1"/>
    <row r="1936" ht="15.75" customHeight="1"/>
    <row r="1937" ht="15.75" customHeight="1"/>
    <row r="1938" ht="15.75" customHeight="1"/>
    <row r="1939" ht="15.75" customHeight="1"/>
    <row r="1940" ht="15.75" customHeight="1"/>
    <row r="1941" ht="15.75" customHeight="1"/>
    <row r="1942" ht="15.75" customHeight="1"/>
    <row r="1943" ht="15.75" customHeight="1"/>
    <row r="1944" ht="15.75" customHeight="1"/>
    <row r="1945" ht="15.75" customHeight="1"/>
    <row r="1946" ht="15.75" customHeight="1"/>
    <row r="1947" ht="15.75" customHeight="1"/>
    <row r="1948" ht="15.75" customHeight="1"/>
    <row r="1949" ht="15.75" customHeight="1"/>
    <row r="1950" ht="15.75" customHeight="1"/>
    <row r="1951" ht="15.75" customHeight="1"/>
    <row r="1952" ht="15.75" customHeight="1"/>
    <row r="1953" ht="15.75" customHeight="1"/>
    <row r="1954" ht="15.75" customHeight="1"/>
    <row r="1955" ht="15.75" customHeight="1"/>
    <row r="1956" ht="15.75" customHeight="1"/>
    <row r="1957" ht="15.75" customHeight="1"/>
    <row r="1958" ht="15.75" customHeight="1"/>
    <row r="1959" ht="15.75" customHeight="1"/>
    <row r="1960" ht="15.75" customHeight="1"/>
    <row r="1961" ht="15.75" customHeight="1"/>
    <row r="1962" ht="15.75" customHeight="1"/>
    <row r="1963" ht="15.75" customHeight="1"/>
    <row r="1964" ht="15.75" customHeight="1"/>
    <row r="1965" ht="15.75" customHeight="1"/>
    <row r="1966" ht="15.75" customHeight="1"/>
    <row r="1967" ht="15.75" customHeight="1"/>
    <row r="1968" ht="15.75" customHeight="1"/>
    <row r="1969" ht="15.75" customHeight="1"/>
    <row r="1970" ht="15.75" customHeight="1"/>
    <row r="1971" ht="15.75" customHeight="1"/>
    <row r="1972" ht="15.75" customHeight="1"/>
    <row r="1973" ht="15.75" customHeight="1"/>
    <row r="1974" ht="15.75" customHeight="1"/>
    <row r="1975" ht="15.75" customHeight="1"/>
    <row r="1976" ht="15.75" customHeight="1"/>
    <row r="1977" ht="15.75" customHeight="1"/>
    <row r="1978" ht="15.75" customHeight="1"/>
    <row r="1979" ht="15.75" customHeight="1"/>
    <row r="1980" ht="15.75" customHeight="1"/>
    <row r="1981" ht="15.75" customHeight="1"/>
    <row r="1982" ht="15.75" customHeight="1"/>
    <row r="1983" ht="15.75" customHeight="1"/>
    <row r="1984" ht="15.75" customHeight="1"/>
    <row r="1985" ht="15.75" customHeight="1"/>
    <row r="1986" ht="15.75" customHeight="1"/>
    <row r="1987" ht="15.75" customHeight="1"/>
    <row r="1988" ht="15.75" customHeight="1"/>
    <row r="1989" ht="15.75" customHeight="1"/>
    <row r="1990" ht="15.75" customHeight="1"/>
    <row r="1991" ht="15.75" customHeight="1"/>
    <row r="1992" ht="15.75" customHeight="1"/>
    <row r="1993" ht="15.75" customHeight="1"/>
    <row r="1994" ht="15.75" customHeight="1"/>
    <row r="1995" ht="15.75" customHeight="1"/>
    <row r="1996" ht="15.75" customHeight="1"/>
    <row r="1997" ht="15.75" customHeight="1"/>
    <row r="1998" ht="15.75" customHeight="1"/>
    <row r="1999" ht="15.75" customHeight="1"/>
    <row r="2000" ht="15.75" customHeight="1"/>
    <row r="2001" ht="15.75" customHeight="1"/>
    <row r="2002" ht="15.75" customHeight="1"/>
    <row r="2003" ht="15.75" customHeight="1"/>
    <row r="2004" ht="15.75" customHeight="1"/>
    <row r="2005" ht="15.75" customHeight="1"/>
    <row r="2006" ht="15.75" customHeight="1"/>
    <row r="2007" ht="15.75" customHeight="1"/>
    <row r="2008" ht="15.75" customHeight="1"/>
    <row r="2009" ht="15.75" customHeight="1"/>
    <row r="2010" ht="15.75" customHeight="1"/>
    <row r="2011" ht="15.75" customHeight="1"/>
    <row r="2012" ht="15.75" customHeight="1"/>
    <row r="2013" ht="15.75" customHeight="1"/>
    <row r="2014" ht="15.75" customHeight="1"/>
    <row r="2015" ht="15.75" customHeight="1"/>
    <row r="2016" ht="15.75" customHeight="1"/>
    <row r="2017" ht="15.75" customHeight="1"/>
    <row r="2018" ht="15.75" customHeight="1"/>
    <row r="2019" ht="15.75" customHeight="1"/>
    <row r="2020" ht="15.75" customHeight="1"/>
    <row r="2021" ht="15.75" customHeight="1"/>
    <row r="2022" ht="15.75" customHeight="1"/>
    <row r="2023" ht="15.75" customHeight="1"/>
    <row r="2024" ht="15.75" customHeight="1"/>
    <row r="2025" ht="15.75" customHeight="1"/>
    <row r="2026" ht="15.75" customHeight="1"/>
    <row r="2027" ht="15.75" customHeight="1"/>
    <row r="2028" ht="15.75" customHeight="1"/>
    <row r="2029" ht="15.75" customHeight="1"/>
    <row r="2030" ht="15.75" customHeight="1"/>
    <row r="2031" ht="15.75" customHeight="1"/>
    <row r="2032" ht="15.75" customHeight="1"/>
    <row r="2033" ht="15.75" customHeight="1"/>
    <row r="2034" ht="15.75" customHeight="1"/>
    <row r="2035" ht="15.75" customHeight="1"/>
    <row r="2036" ht="15.75" customHeight="1"/>
    <row r="2037" ht="15.75" customHeight="1"/>
    <row r="2038" ht="15.75" customHeight="1"/>
    <row r="2039" ht="15.75" customHeight="1"/>
    <row r="2040" ht="15.75" customHeight="1"/>
    <row r="2041" ht="15.75" customHeight="1"/>
    <row r="2042" ht="15.75" customHeight="1"/>
    <row r="2043" ht="15.75" customHeight="1"/>
    <row r="2044" ht="15.75" customHeight="1"/>
    <row r="2045" ht="15.75" customHeight="1"/>
    <row r="2046" ht="15.75" customHeight="1"/>
  </sheetData>
  <mergeCells count="16">
    <mergeCell ref="B224:D224"/>
    <mergeCell ref="L3:L4"/>
    <mergeCell ref="M3:M4"/>
    <mergeCell ref="N3:N4"/>
    <mergeCell ref="O3:O4"/>
    <mergeCell ref="P3:P4"/>
    <mergeCell ref="F3:F4"/>
    <mergeCell ref="G3:G4"/>
    <mergeCell ref="H3:H4"/>
    <mergeCell ref="I3:I4"/>
    <mergeCell ref="J3:K3"/>
    <mergeCell ref="A3:A4"/>
    <mergeCell ref="B3:B4"/>
    <mergeCell ref="C3:C4"/>
    <mergeCell ref="D3:D4"/>
    <mergeCell ref="E3:E4"/>
  </mergeCells>
  <pageMargins left="0.7" right="0.45" top="0.75" bottom="0.5" header="0.511811023622047" footer="0.511811023622047"/>
  <pageSetup paperSize="9" scale="67" orientation="landscape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70AD47"/>
  </sheetPr>
  <dimension ref="A1:R676"/>
  <sheetViews>
    <sheetView topLeftCell="A6" zoomScale="80" zoomScaleNormal="80" workbookViewId="0">
      <pane ySplit="1" topLeftCell="A88" activePane="bottomLeft" state="frozen"/>
      <selection activeCell="A6" sqref="A6"/>
      <selection pane="bottomLeft" activeCell="I142" sqref="I142"/>
    </sheetView>
  </sheetViews>
  <sheetFormatPr baseColWidth="10" defaultColWidth="9" defaultRowHeight="14"/>
  <cols>
    <col min="1" max="1" width="9" style="1485"/>
    <col min="2" max="2" width="50.5" style="1485" customWidth="1"/>
    <col min="3" max="6" width="12.5" style="1485" customWidth="1"/>
    <col min="7" max="7" width="10.5" style="1485" customWidth="1"/>
    <col min="8" max="8" width="8.5" style="1485" customWidth="1"/>
    <col min="9" max="9" width="14.5" style="1485" customWidth="1"/>
    <col min="10" max="10" width="6.5" style="1485" customWidth="1"/>
    <col min="11" max="11" width="15.5" style="1485" customWidth="1"/>
    <col min="12" max="12" width="18.1640625" style="1485" customWidth="1"/>
    <col min="13" max="13" width="11.83203125" style="1485" customWidth="1"/>
    <col min="14" max="14" width="21.1640625" style="1485" customWidth="1"/>
    <col min="15" max="15" width="9" style="1485"/>
    <col min="16" max="16" width="12.1640625" style="1485" customWidth="1"/>
    <col min="17" max="19" width="9" style="1485"/>
    <col min="20" max="20" width="12.1640625" style="1485" customWidth="1"/>
    <col min="21" max="16384" width="9" style="1485"/>
  </cols>
  <sheetData>
    <row r="1" spans="1:18" ht="15.75" customHeight="1">
      <c r="A1" s="1486"/>
      <c r="B1" s="1486"/>
      <c r="C1" s="1486"/>
      <c r="D1" s="1486"/>
      <c r="E1" s="1486"/>
      <c r="F1" s="1486"/>
      <c r="G1" s="1486"/>
      <c r="H1" s="1486"/>
      <c r="I1" s="1486"/>
      <c r="J1" s="1486"/>
      <c r="K1" s="1486"/>
      <c r="L1" s="1486"/>
      <c r="M1" s="1486"/>
      <c r="N1" s="1486"/>
      <c r="O1" s="1486"/>
      <c r="P1" s="1487"/>
      <c r="Q1" s="1487"/>
      <c r="R1" s="1487"/>
    </row>
    <row r="2" spans="1:18" ht="15.75" customHeight="1">
      <c r="A2" s="1486"/>
      <c r="B2" s="1486"/>
      <c r="C2" s="1486"/>
      <c r="D2" s="1486"/>
      <c r="E2" s="1486"/>
      <c r="F2" s="1486"/>
      <c r="G2" s="1486"/>
      <c r="H2" s="1486"/>
      <c r="I2" s="1486"/>
      <c r="J2" s="1486"/>
      <c r="K2" s="1486"/>
      <c r="L2" s="1486"/>
      <c r="M2" s="1486"/>
      <c r="N2" s="1486"/>
      <c r="O2" s="1486"/>
      <c r="P2" s="1487"/>
      <c r="Q2" s="1487"/>
      <c r="R2" s="1487"/>
    </row>
    <row r="3" spans="1:18" ht="15.75" customHeight="1">
      <c r="A3" s="1486"/>
      <c r="B3" s="1486"/>
      <c r="C3" s="1486"/>
      <c r="D3" s="1486"/>
      <c r="E3" s="1486"/>
      <c r="F3" s="1486"/>
      <c r="G3" s="1486"/>
      <c r="H3" s="1486"/>
      <c r="I3" s="1486"/>
      <c r="J3" s="1486"/>
      <c r="K3" s="1486"/>
      <c r="L3" s="1486"/>
      <c r="M3" s="1486"/>
      <c r="N3" s="1486"/>
      <c r="O3" s="1486"/>
      <c r="P3" s="1487"/>
      <c r="Q3" s="1487"/>
      <c r="R3" s="1487"/>
    </row>
    <row r="4" spans="1:18" ht="24" customHeight="1">
      <c r="A4" s="1488" t="s">
        <v>76</v>
      </c>
      <c r="B4" s="1486"/>
      <c r="C4" s="1486"/>
      <c r="D4" s="1486"/>
      <c r="E4" s="1486"/>
      <c r="F4" s="1486"/>
      <c r="G4" s="1486"/>
      <c r="H4" s="1486"/>
      <c r="I4" s="1486"/>
      <c r="J4" s="1486"/>
      <c r="K4" s="1486"/>
      <c r="L4" s="1486"/>
      <c r="M4" s="1486"/>
      <c r="N4" s="1486"/>
      <c r="O4" s="1486"/>
      <c r="P4" s="1487"/>
      <c r="Q4" s="1487"/>
      <c r="R4" s="1487"/>
    </row>
    <row r="5" spans="1:18" ht="15.75" customHeight="1">
      <c r="A5" s="1486"/>
      <c r="B5" s="1486"/>
      <c r="C5" s="1486"/>
      <c r="D5" s="1486"/>
      <c r="E5" s="1486"/>
      <c r="F5" s="1486"/>
      <c r="G5" s="1486"/>
      <c r="H5" s="1486"/>
      <c r="I5" s="1486"/>
      <c r="J5" s="1486"/>
      <c r="K5" s="1486"/>
      <c r="L5" s="1486"/>
      <c r="M5" s="1486"/>
      <c r="N5" s="1486"/>
      <c r="O5" s="1486"/>
      <c r="P5" s="1487"/>
      <c r="Q5" s="1487"/>
      <c r="R5" s="1487"/>
    </row>
    <row r="6" spans="1:18" ht="21.75" customHeight="1">
      <c r="A6" s="1489" t="s">
        <v>1</v>
      </c>
      <c r="B6" s="1490" t="s">
        <v>68</v>
      </c>
      <c r="C6" s="1490" t="s">
        <v>77</v>
      </c>
      <c r="D6" s="1490" t="s">
        <v>78</v>
      </c>
      <c r="E6" s="1490" t="s">
        <v>79</v>
      </c>
      <c r="F6" s="1490" t="s">
        <v>977</v>
      </c>
      <c r="G6" s="1490" t="s">
        <v>6</v>
      </c>
      <c r="H6" s="1490" t="s">
        <v>80</v>
      </c>
      <c r="I6" s="1490" t="s">
        <v>81</v>
      </c>
      <c r="J6" s="1491" t="s">
        <v>82</v>
      </c>
      <c r="K6" s="1492"/>
      <c r="L6" s="1486"/>
      <c r="M6" s="1486"/>
      <c r="N6" s="1486"/>
      <c r="O6" s="1486"/>
      <c r="P6" s="1487"/>
      <c r="Q6" s="1487"/>
      <c r="R6" s="1487"/>
    </row>
    <row r="7" spans="1:18" ht="8.25" customHeight="1">
      <c r="A7" s="1492"/>
      <c r="B7" s="1492"/>
      <c r="C7" s="1492"/>
      <c r="D7" s="1492"/>
      <c r="E7" s="1492"/>
      <c r="F7" s="1492"/>
      <c r="G7" s="1492"/>
      <c r="H7" s="1492"/>
      <c r="I7" s="1492"/>
      <c r="J7" s="1492"/>
      <c r="K7" s="1492"/>
      <c r="L7" s="1486"/>
      <c r="M7" s="1486"/>
      <c r="N7" s="1486"/>
      <c r="O7" s="1486"/>
      <c r="P7" s="1487"/>
      <c r="Q7" s="1487"/>
      <c r="R7" s="1487"/>
    </row>
    <row r="8" spans="1:18" ht="8.25" customHeight="1">
      <c r="A8" s="1493"/>
      <c r="B8" s="1494"/>
      <c r="C8" s="1494"/>
      <c r="D8" s="1494"/>
      <c r="E8" s="1494"/>
      <c r="F8" s="1494"/>
      <c r="G8" s="1494"/>
      <c r="H8" s="1494"/>
      <c r="I8" s="1494"/>
      <c r="J8" s="1495"/>
      <c r="K8" s="1492"/>
      <c r="L8" s="1486"/>
      <c r="M8" s="1486"/>
      <c r="N8" s="1486"/>
      <c r="O8" s="1486"/>
      <c r="P8" s="1487"/>
      <c r="Q8" s="1487"/>
      <c r="R8" s="1487"/>
    </row>
    <row r="9" spans="1:18" ht="15.75" customHeight="1">
      <c r="A9" s="1496" t="s">
        <v>1219</v>
      </c>
      <c r="B9" s="1497" t="s">
        <v>1733</v>
      </c>
      <c r="C9" s="1498"/>
      <c r="D9" s="1498"/>
      <c r="E9" s="1498"/>
      <c r="F9" s="1498"/>
      <c r="G9" s="1498"/>
      <c r="H9" s="1498"/>
      <c r="I9" s="1498"/>
      <c r="J9" s="1499"/>
      <c r="K9" s="1492"/>
      <c r="L9" s="1486"/>
      <c r="M9" s="1486"/>
      <c r="N9" s="1486"/>
      <c r="O9" s="1486"/>
      <c r="P9" s="1487"/>
      <c r="Q9" s="1487"/>
      <c r="R9" s="1487"/>
    </row>
    <row r="10" spans="1:18" ht="15.75" customHeight="1">
      <c r="A10" s="1500" t="s">
        <v>1221</v>
      </c>
      <c r="B10" s="1501" t="s">
        <v>395</v>
      </c>
      <c r="C10" s="1498"/>
      <c r="D10" s="1498"/>
      <c r="E10" s="1498"/>
      <c r="F10" s="1498"/>
      <c r="G10" s="1498"/>
      <c r="H10" s="1498"/>
      <c r="I10" s="1498"/>
      <c r="J10" s="1499"/>
      <c r="K10" s="1492"/>
      <c r="L10" s="1486"/>
      <c r="M10" s="1486"/>
      <c r="N10" s="1486"/>
      <c r="O10" s="1486"/>
      <c r="P10" s="1487"/>
      <c r="Q10" s="1487"/>
      <c r="R10" s="1487"/>
    </row>
    <row r="11" spans="1:18" ht="15.75" customHeight="1">
      <c r="A11" s="1500">
        <v>1</v>
      </c>
      <c r="B11" s="1502" t="s">
        <v>396</v>
      </c>
      <c r="C11" s="1498">
        <f>7.75+2</f>
        <v>9.75</v>
      </c>
      <c r="D11" s="1498">
        <f>16.15+2</f>
        <v>18.149999999999999</v>
      </c>
      <c r="E11" s="1498"/>
      <c r="F11" s="1498"/>
      <c r="G11" s="1498">
        <v>2</v>
      </c>
      <c r="H11" s="1498"/>
      <c r="I11" s="1498">
        <f>(C11+D11)*G11</f>
        <v>55.8</v>
      </c>
      <c r="J11" s="1499" t="s">
        <v>117</v>
      </c>
      <c r="K11" s="1492"/>
      <c r="L11" s="1486"/>
      <c r="M11" s="1486"/>
      <c r="N11" s="1486"/>
      <c r="O11" s="1486"/>
      <c r="P11" s="1487"/>
      <c r="Q11" s="1487"/>
      <c r="R11" s="1487"/>
    </row>
    <row r="12" spans="1:18" ht="15.75" customHeight="1">
      <c r="A12" s="950">
        <f>A11+1</f>
        <v>2</v>
      </c>
      <c r="B12" s="890" t="s">
        <v>397</v>
      </c>
      <c r="C12" s="428"/>
      <c r="D12" s="428"/>
      <c r="E12" s="428"/>
      <c r="F12" s="428"/>
      <c r="G12" s="428"/>
      <c r="H12" s="428"/>
      <c r="I12" s="428"/>
      <c r="J12" s="428"/>
      <c r="K12" s="428"/>
      <c r="L12" s="428"/>
      <c r="M12" s="428"/>
      <c r="N12" s="839"/>
      <c r="O12" s="1486"/>
      <c r="P12" s="1487"/>
      <c r="Q12" s="1487"/>
      <c r="R12" s="1487"/>
    </row>
    <row r="13" spans="1:18" ht="15.75" customHeight="1">
      <c r="A13" s="891" t="s">
        <v>95</v>
      </c>
      <c r="B13" s="890" t="s">
        <v>398</v>
      </c>
      <c r="C13" s="390">
        <v>1</v>
      </c>
      <c r="D13" s="390">
        <v>1</v>
      </c>
      <c r="E13" s="390">
        <v>0.9</v>
      </c>
      <c r="F13" s="390"/>
      <c r="G13" s="390"/>
      <c r="H13" s="390"/>
      <c r="I13" s="390"/>
      <c r="J13" s="390"/>
      <c r="K13" s="390"/>
      <c r="L13" s="390">
        <v>8</v>
      </c>
      <c r="M13" s="390">
        <f>C13*D13*E13*L13</f>
        <v>7.2</v>
      </c>
      <c r="N13" s="1503" t="s">
        <v>103</v>
      </c>
      <c r="O13" s="1486"/>
      <c r="P13" s="1487"/>
      <c r="Q13" s="1487"/>
      <c r="R13" s="1487"/>
    </row>
    <row r="14" spans="1:18" ht="15.75" customHeight="1">
      <c r="A14" s="891" t="s">
        <v>98</v>
      </c>
      <c r="B14" s="890" t="s">
        <v>399</v>
      </c>
      <c r="C14" s="390">
        <v>0.8</v>
      </c>
      <c r="D14" s="390">
        <v>0.8</v>
      </c>
      <c r="E14" s="390">
        <v>7.0000000000000007E-2</v>
      </c>
      <c r="F14" s="390"/>
      <c r="G14" s="390"/>
      <c r="H14" s="390"/>
      <c r="I14" s="390"/>
      <c r="J14" s="390"/>
      <c r="K14" s="390"/>
      <c r="L14" s="390">
        <v>8</v>
      </c>
      <c r="M14" s="390">
        <f>C14*D14*E14*L14</f>
        <v>0.35840000000000011</v>
      </c>
      <c r="N14" s="1503" t="s">
        <v>103</v>
      </c>
      <c r="O14" s="1486"/>
      <c r="P14" s="1487"/>
      <c r="Q14" s="1487"/>
      <c r="R14" s="1487"/>
    </row>
    <row r="15" spans="1:18" ht="15.75" customHeight="1">
      <c r="A15" s="891" t="s">
        <v>101</v>
      </c>
      <c r="B15" s="890" t="s">
        <v>400</v>
      </c>
      <c r="C15" s="390">
        <f>C14</f>
        <v>0.8</v>
      </c>
      <c r="D15" s="390">
        <f>D14</f>
        <v>0.8</v>
      </c>
      <c r="E15" s="390">
        <v>0.03</v>
      </c>
      <c r="F15" s="390"/>
      <c r="G15" s="390"/>
      <c r="H15" s="390"/>
      <c r="I15" s="390"/>
      <c r="J15" s="390"/>
      <c r="K15" s="390"/>
      <c r="L15" s="390">
        <v>8</v>
      </c>
      <c r="M15" s="390">
        <f>C15*D15*E15*L15</f>
        <v>0.15360000000000001</v>
      </c>
      <c r="N15" s="1503" t="s">
        <v>103</v>
      </c>
      <c r="O15" s="1486"/>
      <c r="P15" s="1487"/>
      <c r="Q15" s="1487"/>
      <c r="R15" s="1487"/>
    </row>
    <row r="16" spans="1:18" ht="15.75" customHeight="1">
      <c r="A16" s="891" t="s">
        <v>121</v>
      </c>
      <c r="B16" s="890" t="s">
        <v>401</v>
      </c>
      <c r="C16" s="390">
        <v>1</v>
      </c>
      <c r="D16" s="390"/>
      <c r="E16" s="390">
        <v>0.3</v>
      </c>
      <c r="F16" s="390"/>
      <c r="G16" s="390"/>
      <c r="H16" s="390">
        <v>4</v>
      </c>
      <c r="I16" s="390"/>
      <c r="J16" s="390"/>
      <c r="K16" s="390"/>
      <c r="L16" s="390">
        <v>8</v>
      </c>
      <c r="M16" s="390">
        <f>C16*E16*H16*L16</f>
        <v>9.6</v>
      </c>
      <c r="N16" s="1503" t="s">
        <v>89</v>
      </c>
      <c r="O16" s="1486"/>
      <c r="P16" s="1487"/>
      <c r="Q16" s="1487"/>
      <c r="R16" s="1487"/>
    </row>
    <row r="17" spans="1:18" ht="15.75" customHeight="1">
      <c r="A17" s="891" t="s">
        <v>142</v>
      </c>
      <c r="B17" s="890" t="s">
        <v>895</v>
      </c>
      <c r="C17" s="390">
        <v>0.65</v>
      </c>
      <c r="D17" s="390"/>
      <c r="E17" s="390"/>
      <c r="F17" s="390">
        <f>13*13*0.006165</f>
        <v>1.041885</v>
      </c>
      <c r="G17" s="390">
        <f>0.15*2</f>
        <v>0.3</v>
      </c>
      <c r="H17" s="390">
        <v>4</v>
      </c>
      <c r="I17" s="390"/>
      <c r="J17" s="390"/>
      <c r="K17" s="390">
        <f>ROUNDUP((C17/0.125),0.5)+1</f>
        <v>7</v>
      </c>
      <c r="L17" s="390">
        <v>8</v>
      </c>
      <c r="M17" s="390">
        <f>(C17+G17)*F17*H17*K17*L17</f>
        <v>221.71312799999998</v>
      </c>
      <c r="N17" s="1503" t="s">
        <v>100</v>
      </c>
      <c r="O17" s="1486"/>
      <c r="P17" s="1487"/>
      <c r="Q17" s="1487"/>
      <c r="R17" s="1487"/>
    </row>
    <row r="18" spans="1:18" ht="15.75" customHeight="1">
      <c r="A18" s="891" t="s">
        <v>217</v>
      </c>
      <c r="B18" s="427" t="s">
        <v>420</v>
      </c>
      <c r="C18" s="390">
        <f>C15</f>
        <v>0.8</v>
      </c>
      <c r="D18" s="390">
        <f>D15</f>
        <v>0.8</v>
      </c>
      <c r="E18" s="390">
        <f>E16</f>
        <v>0.3</v>
      </c>
      <c r="F18" s="390"/>
      <c r="G18" s="390"/>
      <c r="H18" s="390"/>
      <c r="I18" s="390"/>
      <c r="J18" s="390"/>
      <c r="K18" s="390"/>
      <c r="L18" s="390">
        <v>8</v>
      </c>
      <c r="M18" s="390">
        <f>C18*D18*E18*L18</f>
        <v>1.5360000000000003</v>
      </c>
      <c r="N18" s="1503" t="s">
        <v>103</v>
      </c>
      <c r="O18" s="1486"/>
      <c r="P18" s="1487"/>
      <c r="Q18" s="1487"/>
      <c r="R18" s="1487"/>
    </row>
    <row r="19" spans="1:18" ht="15.75" customHeight="1">
      <c r="A19" s="891" t="s">
        <v>366</v>
      </c>
      <c r="B19" s="890" t="s">
        <v>383</v>
      </c>
      <c r="C19" s="390"/>
      <c r="D19" s="390"/>
      <c r="E19" s="390">
        <v>4</v>
      </c>
      <c r="F19" s="390"/>
      <c r="G19" s="390"/>
      <c r="H19" s="390"/>
      <c r="I19" s="390"/>
      <c r="J19" s="390"/>
      <c r="K19" s="390">
        <v>4</v>
      </c>
      <c r="L19" s="390">
        <v>8</v>
      </c>
      <c r="M19" s="390">
        <f>E19*K19*L19</f>
        <v>128</v>
      </c>
      <c r="N19" s="1503" t="s">
        <v>117</v>
      </c>
      <c r="O19" s="1486"/>
      <c r="P19" s="1487"/>
      <c r="Q19" s="1487"/>
      <c r="R19" s="1487"/>
    </row>
    <row r="20" spans="1:18" ht="15.75" customHeight="1">
      <c r="A20" s="1504">
        <f>A12+1</f>
        <v>3</v>
      </c>
      <c r="B20" s="1501" t="s">
        <v>1734</v>
      </c>
      <c r="C20" s="1498"/>
      <c r="D20" s="1498"/>
      <c r="E20" s="1498"/>
      <c r="F20" s="1498"/>
      <c r="G20" s="1498"/>
      <c r="H20" s="1498"/>
      <c r="I20" s="1498"/>
      <c r="J20" s="1499"/>
      <c r="K20" s="1492"/>
      <c r="L20" s="1486"/>
      <c r="M20" s="1486"/>
      <c r="N20" s="1486"/>
      <c r="O20" s="1486"/>
      <c r="P20" s="1487"/>
      <c r="Q20" s="1487"/>
      <c r="R20" s="1487"/>
    </row>
    <row r="21" spans="1:18" ht="15.75" customHeight="1">
      <c r="A21" s="1505" t="s">
        <v>95</v>
      </c>
      <c r="B21" s="1501" t="s">
        <v>382</v>
      </c>
      <c r="C21" s="1498"/>
      <c r="D21" s="1498"/>
      <c r="E21" s="1498"/>
      <c r="F21" s="1498"/>
      <c r="G21" s="1498"/>
      <c r="H21" s="1498"/>
      <c r="I21" s="1506">
        <f>SUM(I22:I25)</f>
        <v>17.279999999999998</v>
      </c>
      <c r="J21" s="1507" t="s">
        <v>103</v>
      </c>
      <c r="K21" s="1492"/>
      <c r="L21" s="1486"/>
      <c r="M21" s="1486"/>
      <c r="N21" s="1486"/>
      <c r="O21" s="1486"/>
      <c r="P21" s="1487"/>
      <c r="Q21" s="1487"/>
      <c r="R21" s="1487"/>
    </row>
    <row r="22" spans="1:18" ht="15.75" customHeight="1">
      <c r="A22" s="1505"/>
      <c r="B22" s="1508" t="s">
        <v>136</v>
      </c>
      <c r="C22" s="1498">
        <v>12</v>
      </c>
      <c r="D22" s="1498">
        <v>0.6</v>
      </c>
      <c r="E22" s="1498">
        <v>0.6</v>
      </c>
      <c r="F22" s="1498"/>
      <c r="G22" s="1498">
        <v>2</v>
      </c>
      <c r="H22" s="1498"/>
      <c r="I22" s="1498">
        <f>C22*D22*E22*G22</f>
        <v>8.6399999999999988</v>
      </c>
      <c r="J22" s="1499"/>
      <c r="K22" s="1492"/>
      <c r="L22" s="1486"/>
      <c r="M22" s="1486"/>
      <c r="N22" s="1486"/>
      <c r="O22" s="1486"/>
      <c r="P22" s="1487"/>
      <c r="Q22" s="1487"/>
      <c r="R22" s="1487"/>
    </row>
    <row r="23" spans="1:18" ht="15.75" customHeight="1">
      <c r="A23" s="1505"/>
      <c r="B23" s="1508" t="s">
        <v>1044</v>
      </c>
      <c r="C23" s="1498">
        <v>6</v>
      </c>
      <c r="D23" s="1498">
        <v>0.6</v>
      </c>
      <c r="E23" s="1498">
        <v>0.6</v>
      </c>
      <c r="F23" s="1498"/>
      <c r="G23" s="1498">
        <v>4</v>
      </c>
      <c r="H23" s="1498"/>
      <c r="I23" s="1498">
        <f>C23*D23*E23*G23</f>
        <v>8.6399999999999988</v>
      </c>
      <c r="J23" s="1499"/>
      <c r="K23" s="1492"/>
      <c r="L23" s="1486"/>
      <c r="M23" s="1486"/>
      <c r="N23" s="1486"/>
      <c r="O23" s="1486"/>
      <c r="P23" s="1487"/>
      <c r="Q23" s="1487"/>
      <c r="R23" s="1487"/>
    </row>
    <row r="24" spans="1:18" ht="15.75" customHeight="1">
      <c r="A24" s="1505"/>
      <c r="B24" s="1508" t="s">
        <v>136</v>
      </c>
      <c r="C24" s="1498">
        <v>1</v>
      </c>
      <c r="D24" s="1498">
        <v>0.6</v>
      </c>
      <c r="E24" s="1498">
        <v>0.6</v>
      </c>
      <c r="F24" s="1498"/>
      <c r="G24" s="1498">
        <v>0</v>
      </c>
      <c r="H24" s="1498"/>
      <c r="I24" s="1498">
        <f>C24*D24*E24*G24</f>
        <v>0</v>
      </c>
      <c r="J24" s="1499"/>
      <c r="K24" s="1492"/>
      <c r="L24" s="1486"/>
      <c r="M24" s="1486"/>
      <c r="N24" s="1486"/>
      <c r="O24" s="1486"/>
      <c r="P24" s="1487"/>
      <c r="Q24" s="1487"/>
      <c r="R24" s="1487"/>
    </row>
    <row r="25" spans="1:18" ht="15.75" customHeight="1">
      <c r="A25" s="1505"/>
      <c r="B25" s="1508" t="s">
        <v>1044</v>
      </c>
      <c r="C25" s="1498">
        <v>2.5</v>
      </c>
      <c r="D25" s="1498">
        <v>0.6</v>
      </c>
      <c r="E25" s="1498">
        <v>0.6</v>
      </c>
      <c r="F25" s="1498"/>
      <c r="G25" s="1498">
        <v>0</v>
      </c>
      <c r="H25" s="1498"/>
      <c r="I25" s="1498">
        <f>C25*D25*E25*G25</f>
        <v>0</v>
      </c>
      <c r="J25" s="1499"/>
      <c r="K25" s="1492"/>
      <c r="L25" s="1486"/>
      <c r="M25" s="1486"/>
      <c r="N25" s="1486"/>
      <c r="O25" s="1486"/>
      <c r="P25" s="1487"/>
      <c r="Q25" s="1487"/>
      <c r="R25" s="1487"/>
    </row>
    <row r="26" spans="1:18" ht="15.75" customHeight="1">
      <c r="A26" s="1505"/>
      <c r="B26" s="1508"/>
      <c r="C26" s="1498"/>
      <c r="D26" s="1498"/>
      <c r="E26" s="1498"/>
      <c r="F26" s="1498"/>
      <c r="G26" s="1498"/>
      <c r="H26" s="1498"/>
      <c r="I26" s="1498"/>
      <c r="J26" s="1499"/>
      <c r="K26" s="1492"/>
      <c r="L26" s="1486"/>
      <c r="M26" s="1486"/>
      <c r="N26" s="1486"/>
      <c r="O26" s="1486"/>
      <c r="P26" s="1487"/>
      <c r="Q26" s="1487"/>
      <c r="R26" s="1487"/>
    </row>
    <row r="27" spans="1:18" ht="15.75" customHeight="1">
      <c r="A27" s="1505" t="s">
        <v>98</v>
      </c>
      <c r="B27" s="1509" t="s">
        <v>405</v>
      </c>
      <c r="C27" s="1498">
        <f>C22</f>
        <v>12</v>
      </c>
      <c r="D27" s="1498">
        <v>0</v>
      </c>
      <c r="E27" s="1498">
        <v>4</v>
      </c>
      <c r="F27" s="1498"/>
      <c r="G27" s="1498">
        <f>(C27/0.5)+1*2</f>
        <v>26</v>
      </c>
      <c r="H27" s="1498">
        <v>2</v>
      </c>
      <c r="I27" s="1498">
        <f>E27*G27*H27</f>
        <v>208</v>
      </c>
      <c r="J27" s="1499" t="s">
        <v>117</v>
      </c>
      <c r="K27" s="1492" t="s">
        <v>1677</v>
      </c>
      <c r="L27" s="1486">
        <v>5</v>
      </c>
      <c r="M27" s="1486">
        <f>L27/0.4</f>
        <v>12.5</v>
      </c>
      <c r="N27" s="1486">
        <f>ROUNDUP(M27,-0.5)</f>
        <v>13</v>
      </c>
      <c r="O27" s="1486"/>
      <c r="P27" s="1487"/>
      <c r="Q27" s="1487"/>
      <c r="R27" s="1487"/>
    </row>
    <row r="28" spans="1:18" ht="15.75" customHeight="1">
      <c r="A28" s="1505"/>
      <c r="B28" s="1509"/>
      <c r="C28" s="1498">
        <v>0</v>
      </c>
      <c r="D28" s="1498">
        <v>6</v>
      </c>
      <c r="E28" s="1498">
        <v>4</v>
      </c>
      <c r="F28" s="1498"/>
      <c r="G28" s="1498">
        <f>(D28/0.5)+1*2</f>
        <v>14</v>
      </c>
      <c r="H28" s="1498">
        <v>4</v>
      </c>
      <c r="I28" s="1510">
        <f>E28*G28*H28</f>
        <v>224</v>
      </c>
      <c r="J28" s="1499" t="s">
        <v>117</v>
      </c>
      <c r="K28" s="1492"/>
      <c r="L28" s="1486"/>
      <c r="M28" s="1486"/>
      <c r="N28" s="1486"/>
      <c r="O28" s="1486"/>
      <c r="P28" s="1487"/>
      <c r="Q28" s="1487"/>
      <c r="R28" s="1487"/>
    </row>
    <row r="29" spans="1:18" ht="15.75" customHeight="1">
      <c r="A29" s="1505"/>
      <c r="B29" s="1509"/>
      <c r="C29" s="1498"/>
      <c r="D29" s="1498"/>
      <c r="E29" s="1498"/>
      <c r="F29" s="1498"/>
      <c r="G29" s="1498"/>
      <c r="H29" s="1498"/>
      <c r="I29" s="1506">
        <f>SUM(I27:I28)</f>
        <v>432</v>
      </c>
      <c r="J29" s="1507" t="s">
        <v>117</v>
      </c>
      <c r="K29" s="1492"/>
      <c r="L29" s="1486"/>
      <c r="M29" s="1486"/>
      <c r="N29" s="1486"/>
      <c r="O29" s="1486"/>
      <c r="P29" s="1487"/>
      <c r="Q29" s="1487"/>
      <c r="R29" s="1487"/>
    </row>
    <row r="30" spans="1:18" ht="15.75" customHeight="1">
      <c r="A30" s="1505" t="s">
        <v>98</v>
      </c>
      <c r="B30" s="1501" t="s">
        <v>496</v>
      </c>
      <c r="C30" s="1498"/>
      <c r="D30" s="1498"/>
      <c r="E30" s="1498"/>
      <c r="F30" s="1498"/>
      <c r="G30" s="1498"/>
      <c r="H30" s="1498"/>
      <c r="I30" s="1506">
        <f>SUM(I31:I34)</f>
        <v>1.44</v>
      </c>
      <c r="J30" s="1507" t="s">
        <v>103</v>
      </c>
      <c r="K30" s="1492"/>
      <c r="L30" s="1486">
        <v>13</v>
      </c>
      <c r="M30" s="1486">
        <f>L30/0.4</f>
        <v>32.5</v>
      </c>
      <c r="N30" s="1486">
        <f>ROUNDUP(M30,-0.5)</f>
        <v>33</v>
      </c>
      <c r="O30" s="1486"/>
      <c r="P30" s="1487"/>
      <c r="Q30" s="1487"/>
      <c r="R30" s="1487"/>
    </row>
    <row r="31" spans="1:18" ht="15.75" customHeight="1">
      <c r="A31" s="1505"/>
      <c r="B31" s="1508" t="s">
        <v>136</v>
      </c>
      <c r="C31" s="1498">
        <f>C22</f>
        <v>12</v>
      </c>
      <c r="D31" s="1498">
        <v>0.6</v>
      </c>
      <c r="E31" s="1498">
        <v>0.05</v>
      </c>
      <c r="F31" s="1498"/>
      <c r="G31" s="1498">
        <f>G22</f>
        <v>2</v>
      </c>
      <c r="H31" s="1498"/>
      <c r="I31" s="1498">
        <f>C31*D31*E31*G31</f>
        <v>0.72</v>
      </c>
      <c r="J31" s="1499"/>
      <c r="K31" s="1492"/>
      <c r="L31" s="1486"/>
      <c r="M31" s="1486"/>
      <c r="N31" s="1486"/>
      <c r="O31" s="1486"/>
      <c r="P31" s="1487"/>
      <c r="Q31" s="1487"/>
      <c r="R31" s="1487"/>
    </row>
    <row r="32" spans="1:18" ht="15.75" customHeight="1">
      <c r="A32" s="1505"/>
      <c r="B32" s="1508" t="s">
        <v>1044</v>
      </c>
      <c r="C32" s="1498">
        <f>C23</f>
        <v>6</v>
      </c>
      <c r="D32" s="1498">
        <v>0.6</v>
      </c>
      <c r="E32" s="1498">
        <v>0.05</v>
      </c>
      <c r="F32" s="1498"/>
      <c r="G32" s="1498">
        <f>G23</f>
        <v>4</v>
      </c>
      <c r="H32" s="1498"/>
      <c r="I32" s="1498">
        <f>C32*D32*E32*G32</f>
        <v>0.72</v>
      </c>
      <c r="J32" s="1499"/>
      <c r="K32" s="1492"/>
      <c r="L32" s="1486"/>
      <c r="M32" s="1486"/>
      <c r="N32" s="1486"/>
      <c r="O32" s="1486"/>
      <c r="P32" s="1487"/>
      <c r="Q32" s="1487"/>
      <c r="R32" s="1487"/>
    </row>
    <row r="33" spans="1:18" ht="15.75" customHeight="1">
      <c r="A33" s="1505"/>
      <c r="B33" s="1508" t="s">
        <v>136</v>
      </c>
      <c r="C33" s="1498">
        <f>C24</f>
        <v>1</v>
      </c>
      <c r="D33" s="1498">
        <v>0.6</v>
      </c>
      <c r="E33" s="1498">
        <v>0.05</v>
      </c>
      <c r="F33" s="1498"/>
      <c r="G33" s="1498">
        <f>G24</f>
        <v>0</v>
      </c>
      <c r="H33" s="1498"/>
      <c r="I33" s="1498">
        <f>C33*D33*E33*G33</f>
        <v>0</v>
      </c>
      <c r="J33" s="1499"/>
      <c r="K33" s="1492"/>
      <c r="L33" s="1486"/>
      <c r="M33" s="1486"/>
      <c r="N33" s="1486"/>
      <c r="O33" s="1486"/>
      <c r="P33" s="1487"/>
      <c r="Q33" s="1487"/>
      <c r="R33" s="1487"/>
    </row>
    <row r="34" spans="1:18" ht="15.75" customHeight="1">
      <c r="A34" s="1505"/>
      <c r="B34" s="1508" t="s">
        <v>1044</v>
      </c>
      <c r="C34" s="1498">
        <f>C25</f>
        <v>2.5</v>
      </c>
      <c r="D34" s="1498">
        <v>0.6</v>
      </c>
      <c r="E34" s="1498">
        <v>0.05</v>
      </c>
      <c r="F34" s="1498"/>
      <c r="G34" s="1498">
        <f>G25</f>
        <v>0</v>
      </c>
      <c r="H34" s="1498"/>
      <c r="I34" s="1498">
        <f>C34*D34*E34*G34</f>
        <v>0</v>
      </c>
      <c r="J34" s="1499"/>
      <c r="K34" s="1492"/>
      <c r="L34" s="1486"/>
      <c r="M34" s="1486"/>
      <c r="N34" s="1486"/>
      <c r="O34" s="1486"/>
      <c r="P34" s="1487"/>
      <c r="Q34" s="1487"/>
      <c r="R34" s="1487"/>
    </row>
    <row r="35" spans="1:18" ht="15.75" customHeight="1">
      <c r="A35" s="1505"/>
      <c r="B35" s="1508"/>
      <c r="C35" s="1498"/>
      <c r="D35" s="1498"/>
      <c r="E35" s="1498"/>
      <c r="F35" s="1498"/>
      <c r="G35" s="1498"/>
      <c r="H35" s="1498"/>
      <c r="I35" s="1498"/>
      <c r="J35" s="1499"/>
      <c r="K35" s="1492"/>
      <c r="L35" s="1486"/>
      <c r="M35" s="1486"/>
      <c r="N35" s="1486"/>
      <c r="O35" s="1486"/>
      <c r="P35" s="1487"/>
      <c r="Q35" s="1487"/>
      <c r="R35" s="1487"/>
    </row>
    <row r="36" spans="1:18" ht="15.75" customHeight="1">
      <c r="A36" s="1505" t="s">
        <v>101</v>
      </c>
      <c r="B36" s="1501" t="s">
        <v>1735</v>
      </c>
      <c r="C36" s="1498"/>
      <c r="D36" s="1498"/>
      <c r="E36" s="1498"/>
      <c r="F36" s="1498"/>
      <c r="G36" s="1498"/>
      <c r="H36" s="1498"/>
      <c r="I36" s="1506">
        <f>SUM(I37:I38)</f>
        <v>15.119999999999997</v>
      </c>
      <c r="J36" s="1507" t="s">
        <v>103</v>
      </c>
      <c r="K36" s="1492"/>
      <c r="L36" s="1486"/>
      <c r="M36" s="1486"/>
      <c r="N36" s="1486"/>
      <c r="O36" s="1486"/>
      <c r="P36" s="1487"/>
      <c r="Q36" s="1487"/>
      <c r="R36" s="1487"/>
    </row>
    <row r="37" spans="1:18" ht="15.75" customHeight="1">
      <c r="A37" s="1511"/>
      <c r="B37" s="1508" t="s">
        <v>136</v>
      </c>
      <c r="C37" s="1498">
        <f>C31</f>
        <v>12</v>
      </c>
      <c r="D37" s="1498">
        <f>(0.3+0.6)/2</f>
        <v>0.44999999999999996</v>
      </c>
      <c r="E37" s="1498">
        <v>0.7</v>
      </c>
      <c r="F37" s="1498"/>
      <c r="G37" s="1498">
        <f>G31</f>
        <v>2</v>
      </c>
      <c r="H37" s="1498"/>
      <c r="I37" s="1498">
        <f>C37*D37*E37*G37</f>
        <v>7.5599999999999987</v>
      </c>
      <c r="J37" s="1499"/>
      <c r="K37" s="1492"/>
      <c r="L37" s="1486"/>
      <c r="M37" s="1486"/>
      <c r="N37" s="1486"/>
      <c r="O37" s="1486"/>
      <c r="P37" s="1487"/>
      <c r="Q37" s="1487"/>
      <c r="R37" s="1487"/>
    </row>
    <row r="38" spans="1:18" ht="15.75" customHeight="1">
      <c r="A38" s="1511"/>
      <c r="B38" s="1508" t="s">
        <v>1044</v>
      </c>
      <c r="C38" s="1498">
        <f>C32</f>
        <v>6</v>
      </c>
      <c r="D38" s="1498">
        <f>(0.3+0.6)/2</f>
        <v>0.44999999999999996</v>
      </c>
      <c r="E38" s="1498">
        <v>0.7</v>
      </c>
      <c r="F38" s="1498"/>
      <c r="G38" s="1498">
        <f>G32</f>
        <v>4</v>
      </c>
      <c r="H38" s="1498"/>
      <c r="I38" s="1498">
        <f>C38*D38*E38*G38</f>
        <v>7.5599999999999987</v>
      </c>
      <c r="J38" s="1499"/>
      <c r="K38" s="1492"/>
      <c r="L38" s="1486"/>
      <c r="M38" s="1486"/>
      <c r="N38" s="1486"/>
      <c r="O38" s="1486"/>
      <c r="P38" s="1487"/>
      <c r="Q38" s="1487"/>
      <c r="R38" s="1487"/>
    </row>
    <row r="39" spans="1:18" ht="15.75" customHeight="1">
      <c r="A39" s="1511"/>
      <c r="B39" s="1508" t="s">
        <v>136</v>
      </c>
      <c r="C39" s="1498">
        <f>C33</f>
        <v>1</v>
      </c>
      <c r="D39" s="1498">
        <f>(0.3+0.6)/2</f>
        <v>0.44999999999999996</v>
      </c>
      <c r="E39" s="1498">
        <v>0.7</v>
      </c>
      <c r="F39" s="1498"/>
      <c r="G39" s="1498">
        <f>G33</f>
        <v>0</v>
      </c>
      <c r="H39" s="1498"/>
      <c r="I39" s="1498">
        <f>C39*D39*E39*G39</f>
        <v>0</v>
      </c>
      <c r="J39" s="1499"/>
      <c r="K39" s="1492"/>
      <c r="L39" s="1486"/>
      <c r="M39" s="1486"/>
      <c r="N39" s="1486"/>
      <c r="O39" s="1486"/>
      <c r="P39" s="1487"/>
      <c r="Q39" s="1487"/>
      <c r="R39" s="1487"/>
    </row>
    <row r="40" spans="1:18" ht="15.75" customHeight="1">
      <c r="A40" s="1511"/>
      <c r="B40" s="1508" t="s">
        <v>1044</v>
      </c>
      <c r="C40" s="1498">
        <f>C34</f>
        <v>2.5</v>
      </c>
      <c r="D40" s="1498">
        <f>(0.3+0.6)/2</f>
        <v>0.44999999999999996</v>
      </c>
      <c r="E40" s="1498">
        <v>0.7</v>
      </c>
      <c r="F40" s="1498"/>
      <c r="G40" s="1498">
        <f>G34</f>
        <v>0</v>
      </c>
      <c r="H40" s="1498"/>
      <c r="I40" s="1498">
        <f>C40*D40*E40*G40</f>
        <v>0</v>
      </c>
      <c r="J40" s="1499"/>
      <c r="K40" s="1492"/>
      <c r="L40" s="1486"/>
      <c r="M40" s="1486"/>
      <c r="N40" s="1486"/>
      <c r="O40" s="1486"/>
      <c r="P40" s="1487"/>
      <c r="Q40" s="1487"/>
      <c r="R40" s="1487"/>
    </row>
    <row r="41" spans="1:18" ht="15.75" customHeight="1">
      <c r="A41" s="1511"/>
      <c r="B41" s="1508"/>
      <c r="C41" s="1498"/>
      <c r="D41" s="1498"/>
      <c r="E41" s="1498"/>
      <c r="F41" s="1498"/>
      <c r="G41" s="1498"/>
      <c r="H41" s="1498"/>
      <c r="I41" s="1498"/>
      <c r="J41" s="1499"/>
      <c r="K41" s="1492"/>
      <c r="L41" s="1486"/>
      <c r="M41" s="1486"/>
      <c r="N41" s="1486"/>
      <c r="O41" s="1486"/>
      <c r="P41" s="1487"/>
      <c r="Q41" s="1487"/>
      <c r="R41" s="1487"/>
    </row>
    <row r="42" spans="1:18" ht="15.75" customHeight="1">
      <c r="A42" s="1500">
        <f>A20+1</f>
        <v>4</v>
      </c>
      <c r="B42" s="1501" t="s">
        <v>409</v>
      </c>
      <c r="C42" s="1498"/>
      <c r="D42" s="1498"/>
      <c r="E42" s="1498"/>
      <c r="F42" s="1498"/>
      <c r="G42" s="1498"/>
      <c r="H42" s="1498"/>
      <c r="I42" s="1498"/>
      <c r="J42" s="1499"/>
      <c r="K42" s="1492"/>
      <c r="L42" s="1486"/>
      <c r="M42" s="1486"/>
      <c r="N42" s="1486"/>
      <c r="O42" s="1486"/>
      <c r="P42" s="1487"/>
      <c r="Q42" s="1487"/>
      <c r="R42" s="1487"/>
    </row>
    <row r="43" spans="1:18" ht="15.75" customHeight="1">
      <c r="A43" s="1505" t="s">
        <v>95</v>
      </c>
      <c r="B43" s="1501" t="s">
        <v>1204</v>
      </c>
      <c r="C43" s="1498"/>
      <c r="D43" s="1498"/>
      <c r="E43" s="1498"/>
      <c r="F43" s="1498"/>
      <c r="G43" s="1498"/>
      <c r="H43" s="1498"/>
      <c r="I43" s="1506">
        <f>SUM(I44:I47)</f>
        <v>28.799999999999997</v>
      </c>
      <c r="J43" s="1507" t="s">
        <v>89</v>
      </c>
      <c r="K43" s="1492"/>
      <c r="L43" s="1486"/>
      <c r="M43" s="1486"/>
      <c r="N43" s="1486"/>
      <c r="O43" s="1486"/>
      <c r="P43" s="1487"/>
      <c r="Q43" s="1487"/>
      <c r="R43" s="1487"/>
    </row>
    <row r="44" spans="1:18" ht="15.75" customHeight="1">
      <c r="A44" s="1505"/>
      <c r="B44" s="1508" t="s">
        <v>136</v>
      </c>
      <c r="C44" s="1498">
        <f>C37</f>
        <v>12</v>
      </c>
      <c r="D44" s="1498"/>
      <c r="E44" s="1498">
        <v>0.3</v>
      </c>
      <c r="F44" s="1498"/>
      <c r="G44" s="1498">
        <v>2</v>
      </c>
      <c r="H44" s="1498">
        <f>G37</f>
        <v>2</v>
      </c>
      <c r="I44" s="1498">
        <f>C44*E44*G44*H44</f>
        <v>14.399999999999999</v>
      </c>
      <c r="J44" s="1499"/>
      <c r="K44" s="1492"/>
      <c r="L44" s="1486"/>
      <c r="M44" s="1486"/>
      <c r="N44" s="1486"/>
      <c r="O44" s="1486"/>
      <c r="P44" s="1487"/>
      <c r="Q44" s="1487"/>
      <c r="R44" s="1487"/>
    </row>
    <row r="45" spans="1:18" ht="15.75" customHeight="1">
      <c r="A45" s="1505"/>
      <c r="B45" s="1508" t="s">
        <v>1044</v>
      </c>
      <c r="C45" s="1498">
        <f>C38</f>
        <v>6</v>
      </c>
      <c r="D45" s="1498"/>
      <c r="E45" s="1498">
        <f>E44</f>
        <v>0.3</v>
      </c>
      <c r="F45" s="1498"/>
      <c r="G45" s="1498">
        <v>2</v>
      </c>
      <c r="H45" s="1498">
        <f>G38</f>
        <v>4</v>
      </c>
      <c r="I45" s="1498">
        <f>C45*E45*G45*H45</f>
        <v>14.399999999999999</v>
      </c>
      <c r="J45" s="1499"/>
      <c r="K45" s="1492"/>
      <c r="L45" s="1486"/>
      <c r="M45" s="1486"/>
      <c r="N45" s="1486"/>
      <c r="O45" s="1486"/>
      <c r="P45" s="1487"/>
      <c r="Q45" s="1487"/>
      <c r="R45" s="1487"/>
    </row>
    <row r="46" spans="1:18" ht="15.75" customHeight="1">
      <c r="A46" s="1505"/>
      <c r="B46" s="1508" t="s">
        <v>136</v>
      </c>
      <c r="C46" s="1498">
        <f>C39</f>
        <v>1</v>
      </c>
      <c r="D46" s="1498"/>
      <c r="E46" s="1498">
        <f>E45</f>
        <v>0.3</v>
      </c>
      <c r="F46" s="1498"/>
      <c r="G46" s="1498">
        <v>2</v>
      </c>
      <c r="H46" s="1498">
        <f>G39</f>
        <v>0</v>
      </c>
      <c r="I46" s="1498">
        <f>C46*E46*G46*H46</f>
        <v>0</v>
      </c>
      <c r="J46" s="1499"/>
      <c r="K46" s="1492"/>
      <c r="L46" s="1486"/>
      <c r="M46" s="1486"/>
      <c r="N46" s="1486"/>
      <c r="O46" s="1486"/>
      <c r="P46" s="1487"/>
      <c r="Q46" s="1487"/>
      <c r="R46" s="1487"/>
    </row>
    <row r="47" spans="1:18" ht="15.75" customHeight="1">
      <c r="A47" s="1505"/>
      <c r="B47" s="1508" t="s">
        <v>1044</v>
      </c>
      <c r="C47" s="1498">
        <f>C40</f>
        <v>2.5</v>
      </c>
      <c r="D47" s="1498"/>
      <c r="E47" s="1498">
        <f>E46</f>
        <v>0.3</v>
      </c>
      <c r="F47" s="1498"/>
      <c r="G47" s="1498">
        <v>2</v>
      </c>
      <c r="H47" s="1498">
        <f>G40</f>
        <v>0</v>
      </c>
      <c r="I47" s="1498">
        <f>C47*E47*G47*H47</f>
        <v>0</v>
      </c>
      <c r="J47" s="1499"/>
      <c r="K47" s="1492"/>
      <c r="L47" s="1486"/>
      <c r="M47" s="1486"/>
      <c r="N47" s="1486"/>
      <c r="O47" s="1486"/>
      <c r="P47" s="1487"/>
      <c r="Q47" s="1487"/>
      <c r="R47" s="1487"/>
    </row>
    <row r="48" spans="1:18" ht="15.75" customHeight="1">
      <c r="A48" s="1505" t="s">
        <v>98</v>
      </c>
      <c r="B48" s="1501" t="s">
        <v>1736</v>
      </c>
      <c r="C48" s="1498"/>
      <c r="D48" s="1498"/>
      <c r="E48" s="1498"/>
      <c r="F48" s="1498"/>
      <c r="G48" s="1498"/>
      <c r="H48" s="1498"/>
      <c r="I48" s="1506">
        <f>SUM(I49:I52)</f>
        <v>250.31999999999996</v>
      </c>
      <c r="J48" s="1507" t="s">
        <v>100</v>
      </c>
      <c r="K48" s="1492"/>
      <c r="L48" s="1486"/>
      <c r="M48" s="1486"/>
      <c r="N48" s="1486"/>
      <c r="O48" s="1486"/>
      <c r="P48" s="1487"/>
      <c r="Q48" s="1487"/>
      <c r="R48" s="1487"/>
    </row>
    <row r="49" spans="1:18" ht="15.75" customHeight="1">
      <c r="A49" s="1505"/>
      <c r="B49" s="1508" t="s">
        <v>136</v>
      </c>
      <c r="C49" s="1498">
        <f>C44</f>
        <v>12</v>
      </c>
      <c r="D49" s="1498"/>
      <c r="E49" s="1498">
        <v>1.0429999999999999</v>
      </c>
      <c r="F49" s="1498"/>
      <c r="G49" s="1498">
        <v>5</v>
      </c>
      <c r="H49" s="1498">
        <f>H44</f>
        <v>2</v>
      </c>
      <c r="I49" s="1498">
        <f>C49*E49*G49*H49</f>
        <v>125.15999999999998</v>
      </c>
      <c r="J49" s="1499"/>
      <c r="K49" s="1492"/>
      <c r="L49" s="1486"/>
      <c r="M49" s="1486"/>
      <c r="N49" s="1486"/>
      <c r="O49" s="1486"/>
      <c r="P49" s="1487"/>
      <c r="Q49" s="1487"/>
      <c r="R49" s="1487"/>
    </row>
    <row r="50" spans="1:18" ht="15.75" customHeight="1">
      <c r="A50" s="1505"/>
      <c r="B50" s="1508" t="s">
        <v>1044</v>
      </c>
      <c r="C50" s="1498">
        <f>C45</f>
        <v>6</v>
      </c>
      <c r="D50" s="1498"/>
      <c r="E50" s="1498">
        <v>1.0429999999999999</v>
      </c>
      <c r="F50" s="1498"/>
      <c r="G50" s="1498">
        <v>5</v>
      </c>
      <c r="H50" s="1498">
        <f>H45</f>
        <v>4</v>
      </c>
      <c r="I50" s="1498">
        <f>C50*E50*G50*H50</f>
        <v>125.15999999999998</v>
      </c>
      <c r="J50" s="1499"/>
      <c r="K50" s="1492"/>
      <c r="L50" s="1486"/>
      <c r="M50" s="1486"/>
      <c r="N50" s="1486"/>
      <c r="O50" s="1486"/>
      <c r="P50" s="1487"/>
      <c r="Q50" s="1487"/>
      <c r="R50" s="1487"/>
    </row>
    <row r="51" spans="1:18" ht="15.75" customHeight="1">
      <c r="A51" s="1505"/>
      <c r="B51" s="1508" t="s">
        <v>136</v>
      </c>
      <c r="C51" s="1498">
        <f>C46</f>
        <v>1</v>
      </c>
      <c r="D51" s="1498"/>
      <c r="E51" s="1498">
        <v>1.0429999999999999</v>
      </c>
      <c r="F51" s="1498"/>
      <c r="G51" s="1498">
        <v>4</v>
      </c>
      <c r="H51" s="1498">
        <f>H46</f>
        <v>0</v>
      </c>
      <c r="I51" s="1498">
        <f>C51*E51*G51*H51</f>
        <v>0</v>
      </c>
      <c r="J51" s="1499"/>
      <c r="K51" s="1492"/>
      <c r="L51" s="1486"/>
      <c r="M51" s="1486"/>
      <c r="N51" s="1486"/>
      <c r="O51" s="1486"/>
      <c r="P51" s="1487"/>
      <c r="Q51" s="1487"/>
      <c r="R51" s="1487"/>
    </row>
    <row r="52" spans="1:18" ht="15.75" customHeight="1">
      <c r="A52" s="1505"/>
      <c r="B52" s="1508" t="s">
        <v>1044</v>
      </c>
      <c r="C52" s="1498">
        <f>C47</f>
        <v>2.5</v>
      </c>
      <c r="D52" s="1498"/>
      <c r="E52" s="1498">
        <v>1.0429999999999999</v>
      </c>
      <c r="F52" s="1498"/>
      <c r="G52" s="1498">
        <v>4</v>
      </c>
      <c r="H52" s="1498">
        <f>H47</f>
        <v>0</v>
      </c>
      <c r="I52" s="1498">
        <f>C52*E52*G52*H52</f>
        <v>0</v>
      </c>
      <c r="J52" s="1499"/>
      <c r="K52" s="1492"/>
      <c r="L52" s="1486"/>
      <c r="M52" s="1486"/>
      <c r="N52" s="1486"/>
      <c r="O52" s="1486"/>
      <c r="P52" s="1487"/>
      <c r="Q52" s="1487"/>
      <c r="R52" s="1487"/>
    </row>
    <row r="53" spans="1:18" ht="15.75" customHeight="1">
      <c r="A53" s="1505" t="s">
        <v>101</v>
      </c>
      <c r="B53" s="1501" t="s">
        <v>1737</v>
      </c>
      <c r="C53" s="1498"/>
      <c r="D53" s="1498"/>
      <c r="E53" s="1498"/>
      <c r="F53" s="1498"/>
      <c r="G53" s="1498"/>
      <c r="H53" s="1498"/>
      <c r="I53" s="1506">
        <f>SUM(I54:I57)</f>
        <v>123.50400000000002</v>
      </c>
      <c r="J53" s="1507" t="s">
        <v>100</v>
      </c>
      <c r="K53" s="1492"/>
      <c r="L53" s="1486"/>
      <c r="M53" s="1486"/>
      <c r="N53" s="1486"/>
      <c r="O53" s="1486"/>
      <c r="P53" s="1487"/>
      <c r="Q53" s="1487"/>
      <c r="R53" s="1487"/>
    </row>
    <row r="54" spans="1:18" ht="15.75" customHeight="1">
      <c r="A54" s="1505"/>
      <c r="B54" s="1508" t="s">
        <v>136</v>
      </c>
      <c r="C54" s="1498">
        <f>(0.17*2)+(0.22*2)+0.05</f>
        <v>0.83000000000000007</v>
      </c>
      <c r="D54" s="1498"/>
      <c r="E54" s="1498">
        <v>0.62</v>
      </c>
      <c r="F54" s="1498"/>
      <c r="G54" s="1498">
        <f>C49/0.2</f>
        <v>60</v>
      </c>
      <c r="H54" s="1498">
        <f>H49</f>
        <v>2</v>
      </c>
      <c r="I54" s="1498">
        <f>C54*E54*G54*H54</f>
        <v>61.75200000000001</v>
      </c>
      <c r="J54" s="1499"/>
      <c r="K54" s="1492">
        <f>600/15</f>
        <v>40</v>
      </c>
      <c r="L54" s="1486"/>
      <c r="M54" s="1486"/>
      <c r="N54" s="1486"/>
      <c r="O54" s="1486"/>
      <c r="P54" s="1487"/>
      <c r="Q54" s="1487"/>
      <c r="R54" s="1487"/>
    </row>
    <row r="55" spans="1:18" ht="15.75" customHeight="1">
      <c r="A55" s="1505"/>
      <c r="B55" s="1508" t="s">
        <v>1044</v>
      </c>
      <c r="C55" s="1498">
        <f>C54</f>
        <v>0.83000000000000007</v>
      </c>
      <c r="D55" s="1498"/>
      <c r="E55" s="1498">
        <v>0.62</v>
      </c>
      <c r="F55" s="1498"/>
      <c r="G55" s="1498">
        <f>C50/0.2</f>
        <v>30</v>
      </c>
      <c r="H55" s="1498">
        <f>H50</f>
        <v>4</v>
      </c>
      <c r="I55" s="1498">
        <f>C55*E55*G55*H55</f>
        <v>61.75200000000001</v>
      </c>
      <c r="J55" s="1499"/>
      <c r="K55" s="1492"/>
      <c r="L55" s="1486"/>
      <c r="M55" s="1486"/>
      <c r="N55" s="1486"/>
      <c r="O55" s="1486"/>
      <c r="P55" s="1487"/>
      <c r="Q55" s="1487"/>
      <c r="R55" s="1487"/>
    </row>
    <row r="56" spans="1:18" ht="15.75" customHeight="1">
      <c r="A56" s="1505"/>
      <c r="B56" s="1508" t="s">
        <v>136</v>
      </c>
      <c r="C56" s="1498">
        <f>C55</f>
        <v>0.83000000000000007</v>
      </c>
      <c r="D56" s="1498"/>
      <c r="E56" s="1498">
        <v>0.62</v>
      </c>
      <c r="F56" s="1498"/>
      <c r="G56" s="1498">
        <f>C51/0.2</f>
        <v>5</v>
      </c>
      <c r="H56" s="1498">
        <f>H51</f>
        <v>0</v>
      </c>
      <c r="I56" s="1498">
        <f>C56*E56*G56*H56</f>
        <v>0</v>
      </c>
      <c r="J56" s="1499"/>
      <c r="K56" s="1492"/>
      <c r="L56" s="1486"/>
      <c r="M56" s="1486"/>
      <c r="N56" s="1486"/>
      <c r="O56" s="1486"/>
      <c r="P56" s="1487"/>
      <c r="Q56" s="1487"/>
      <c r="R56" s="1487"/>
    </row>
    <row r="57" spans="1:18" ht="15.75" customHeight="1">
      <c r="A57" s="1505"/>
      <c r="B57" s="1508" t="s">
        <v>1044</v>
      </c>
      <c r="C57" s="1498">
        <f>C56</f>
        <v>0.83000000000000007</v>
      </c>
      <c r="D57" s="1498"/>
      <c r="E57" s="1498">
        <v>0.62</v>
      </c>
      <c r="F57" s="1498"/>
      <c r="G57" s="1498">
        <f>C52/0.2</f>
        <v>12.5</v>
      </c>
      <c r="H57" s="1498">
        <f>H52</f>
        <v>0</v>
      </c>
      <c r="I57" s="1498">
        <f>C57*E57*G57*H57</f>
        <v>0</v>
      </c>
      <c r="J57" s="1499"/>
      <c r="K57" s="1492"/>
      <c r="L57" s="1486"/>
      <c r="M57" s="1486"/>
      <c r="N57" s="1486"/>
      <c r="O57" s="1486"/>
      <c r="P57" s="1487"/>
      <c r="Q57" s="1487"/>
      <c r="R57" s="1487"/>
    </row>
    <row r="58" spans="1:18" ht="15.75" customHeight="1">
      <c r="A58" s="1505"/>
      <c r="B58" s="427" t="s">
        <v>945</v>
      </c>
      <c r="C58" s="428"/>
      <c r="D58" s="428"/>
      <c r="E58" s="428"/>
      <c r="F58" s="428"/>
      <c r="G58" s="428"/>
      <c r="H58" s="428"/>
      <c r="I58" s="390"/>
      <c r="J58" s="362"/>
      <c r="K58" s="962"/>
      <c r="L58" s="1487"/>
      <c r="M58" s="1487"/>
    </row>
    <row r="59" spans="1:18" ht="15.75" customHeight="1">
      <c r="A59" s="1505"/>
      <c r="B59" s="963" t="s">
        <v>1111</v>
      </c>
      <c r="C59" s="428">
        <f>C49</f>
        <v>12</v>
      </c>
      <c r="D59" s="428"/>
      <c r="E59" s="428"/>
      <c r="F59" s="428"/>
      <c r="G59" s="428"/>
      <c r="H59" s="428">
        <f>H49+H51</f>
        <v>2</v>
      </c>
      <c r="I59" s="390">
        <f>C59*H59</f>
        <v>24</v>
      </c>
      <c r="J59" s="362"/>
      <c r="K59" s="962"/>
      <c r="L59" s="1487"/>
      <c r="M59" s="1487"/>
    </row>
    <row r="60" spans="1:18" ht="15.75" customHeight="1">
      <c r="A60" s="1505"/>
      <c r="B60" s="963"/>
      <c r="C60" s="428">
        <f>C50</f>
        <v>6</v>
      </c>
      <c r="D60" s="428"/>
      <c r="E60" s="428"/>
      <c r="F60" s="428"/>
      <c r="G60" s="428"/>
      <c r="H60" s="428">
        <f>H50+H52</f>
        <v>4</v>
      </c>
      <c r="I60" s="590">
        <f>C60*H60</f>
        <v>24</v>
      </c>
      <c r="J60" s="362"/>
      <c r="K60" s="962"/>
      <c r="L60" s="1487"/>
      <c r="M60" s="1487"/>
    </row>
    <row r="61" spans="1:18" ht="15.75" customHeight="1">
      <c r="A61" s="1505"/>
      <c r="B61" s="963"/>
      <c r="C61" s="428"/>
      <c r="D61" s="428"/>
      <c r="E61" s="428"/>
      <c r="F61" s="428"/>
      <c r="G61" s="428"/>
      <c r="H61" s="428"/>
      <c r="I61" s="390">
        <f>SUM(I59:I60)</f>
        <v>48</v>
      </c>
      <c r="J61" s="362" t="s">
        <v>117</v>
      </c>
      <c r="K61" s="962"/>
      <c r="L61" s="1487"/>
      <c r="M61" s="1487"/>
    </row>
    <row r="62" spans="1:18" ht="15.75" customHeight="1">
      <c r="A62" s="1505"/>
      <c r="B62" s="963"/>
      <c r="C62" s="428">
        <f>I61</f>
        <v>48</v>
      </c>
      <c r="D62" s="428">
        <v>0.5</v>
      </c>
      <c r="E62" s="428"/>
      <c r="F62" s="428"/>
      <c r="G62" s="428"/>
      <c r="H62" s="428"/>
      <c r="I62" s="841">
        <f>ROUNDDOWN((C62/D62),0.5)</f>
        <v>96</v>
      </c>
      <c r="J62" s="444" t="s">
        <v>124</v>
      </c>
      <c r="K62" s="962">
        <f>ROUND((I62),2)</f>
        <v>96</v>
      </c>
      <c r="L62" s="1487"/>
      <c r="M62" s="1487"/>
    </row>
    <row r="63" spans="1:18" ht="15.75" customHeight="1">
      <c r="A63" s="1505"/>
      <c r="B63" s="1508"/>
      <c r="C63" s="1498"/>
      <c r="D63" s="1498"/>
      <c r="E63" s="1498"/>
      <c r="F63" s="1498"/>
      <c r="G63" s="1498"/>
      <c r="H63" s="1498"/>
      <c r="I63" s="1498"/>
      <c r="J63" s="1499"/>
      <c r="K63" s="1492"/>
      <c r="L63" s="1486"/>
      <c r="M63" s="1486"/>
      <c r="N63" s="1486"/>
      <c r="O63" s="1486"/>
      <c r="P63" s="1487"/>
      <c r="Q63" s="1487"/>
      <c r="R63" s="1487"/>
    </row>
    <row r="64" spans="1:18" ht="15.75" customHeight="1">
      <c r="A64" s="1505" t="s">
        <v>121</v>
      </c>
      <c r="B64" s="1501" t="s">
        <v>1738</v>
      </c>
      <c r="C64" s="1498"/>
      <c r="D64" s="1498"/>
      <c r="E64" s="1498"/>
      <c r="F64" s="1498"/>
      <c r="G64" s="1498"/>
      <c r="H64" s="1498"/>
      <c r="I64" s="1506">
        <f>SUM(I65:I68)</f>
        <v>3.5999999999999996</v>
      </c>
      <c r="J64" s="1507" t="s">
        <v>103</v>
      </c>
      <c r="K64" s="1492"/>
      <c r="L64" s="1486"/>
      <c r="M64" s="1486"/>
      <c r="N64" s="1486"/>
      <c r="O64" s="1486"/>
      <c r="P64" s="1487"/>
      <c r="Q64" s="1487"/>
      <c r="R64" s="1487"/>
    </row>
    <row r="65" spans="1:18" ht="15.75" customHeight="1">
      <c r="A65" s="1505"/>
      <c r="B65" s="1508" t="s">
        <v>136</v>
      </c>
      <c r="C65" s="1498">
        <f>C49</f>
        <v>12</v>
      </c>
      <c r="D65" s="1498">
        <v>0.25</v>
      </c>
      <c r="E65" s="1498">
        <v>0.3</v>
      </c>
      <c r="F65" s="1498"/>
      <c r="G65" s="1498"/>
      <c r="H65" s="1498">
        <f>H49</f>
        <v>2</v>
      </c>
      <c r="I65" s="1498">
        <f>C65*D65*E65*H65</f>
        <v>1.7999999999999998</v>
      </c>
      <c r="J65" s="1499"/>
      <c r="K65" s="1492"/>
      <c r="L65" s="1486"/>
      <c r="M65" s="1486"/>
      <c r="N65" s="1486"/>
      <c r="O65" s="1486"/>
      <c r="P65" s="1487"/>
      <c r="Q65" s="1487"/>
      <c r="R65" s="1487"/>
    </row>
    <row r="66" spans="1:18" ht="15.75" customHeight="1">
      <c r="A66" s="1505"/>
      <c r="B66" s="1508" t="s">
        <v>1044</v>
      </c>
      <c r="C66" s="1498">
        <f>C50</f>
        <v>6</v>
      </c>
      <c r="D66" s="1498">
        <f>D65</f>
        <v>0.25</v>
      </c>
      <c r="E66" s="1498">
        <f>E65</f>
        <v>0.3</v>
      </c>
      <c r="F66" s="1498"/>
      <c r="G66" s="1498"/>
      <c r="H66" s="1498">
        <f>H50</f>
        <v>4</v>
      </c>
      <c r="I66" s="1498">
        <f>C66*D66*E66*H66</f>
        <v>1.7999999999999998</v>
      </c>
      <c r="J66" s="1499"/>
      <c r="K66" s="1492"/>
      <c r="L66" s="1486"/>
      <c r="M66" s="1486"/>
      <c r="N66" s="1486"/>
      <c r="O66" s="1486"/>
      <c r="P66" s="1487"/>
      <c r="Q66" s="1487"/>
      <c r="R66" s="1487"/>
    </row>
    <row r="67" spans="1:18" ht="15.75" customHeight="1">
      <c r="A67" s="1505"/>
      <c r="B67" s="1508" t="s">
        <v>136</v>
      </c>
      <c r="C67" s="1498">
        <f>C51</f>
        <v>1</v>
      </c>
      <c r="D67" s="1498">
        <v>0.15</v>
      </c>
      <c r="E67" s="1498">
        <v>0.2</v>
      </c>
      <c r="F67" s="1498"/>
      <c r="G67" s="1498"/>
      <c r="H67" s="1498">
        <f>H51</f>
        <v>0</v>
      </c>
      <c r="I67" s="1498">
        <f>C67*D67*E67*H67</f>
        <v>0</v>
      </c>
      <c r="J67" s="1499"/>
      <c r="K67" s="1492"/>
      <c r="L67" s="1486"/>
      <c r="M67" s="1486"/>
      <c r="N67" s="1486"/>
      <c r="O67" s="1486"/>
      <c r="P67" s="1487"/>
      <c r="Q67" s="1487"/>
      <c r="R67" s="1487"/>
    </row>
    <row r="68" spans="1:18" ht="15.75" customHeight="1">
      <c r="A68" s="1505"/>
      <c r="B68" s="1508" t="s">
        <v>1044</v>
      </c>
      <c r="C68" s="1498">
        <f>C52</f>
        <v>2.5</v>
      </c>
      <c r="D68" s="1498">
        <v>0.15</v>
      </c>
      <c r="E68" s="1498">
        <v>0.2</v>
      </c>
      <c r="F68" s="1498"/>
      <c r="G68" s="1498"/>
      <c r="H68" s="1498">
        <f>H52</f>
        <v>0</v>
      </c>
      <c r="I68" s="1498">
        <f>C68*D68*E68*H68</f>
        <v>0</v>
      </c>
      <c r="J68" s="1499"/>
      <c r="K68" s="1492"/>
      <c r="L68" s="1486"/>
      <c r="M68" s="1486"/>
      <c r="N68" s="1486"/>
      <c r="O68" s="1486"/>
      <c r="P68" s="1487"/>
      <c r="Q68" s="1487"/>
      <c r="R68" s="1487"/>
    </row>
    <row r="69" spans="1:18" ht="15.75" customHeight="1">
      <c r="A69" s="1512">
        <f>A42+1</f>
        <v>5</v>
      </c>
      <c r="B69" s="1501" t="s">
        <v>483</v>
      </c>
      <c r="C69" s="1498"/>
      <c r="D69" s="1498"/>
      <c r="E69" s="1498"/>
      <c r="F69" s="1498"/>
      <c r="G69" s="1498"/>
      <c r="H69" s="1498"/>
      <c r="I69" s="1498"/>
      <c r="J69" s="1499"/>
      <c r="K69" s="1492"/>
      <c r="L69" s="1486"/>
      <c r="M69" s="1486"/>
      <c r="N69" s="1486"/>
      <c r="O69" s="1486"/>
      <c r="P69" s="1487"/>
      <c r="Q69" s="1487"/>
      <c r="R69" s="1487"/>
    </row>
    <row r="70" spans="1:18" ht="15.75" customHeight="1">
      <c r="A70" s="1513" t="s">
        <v>95</v>
      </c>
      <c r="B70" s="1501" t="s">
        <v>1739</v>
      </c>
      <c r="C70" s="1498">
        <v>12</v>
      </c>
      <c r="D70" s="1498">
        <v>6</v>
      </c>
      <c r="E70" s="1498">
        <v>0.25</v>
      </c>
      <c r="F70" s="1498"/>
      <c r="G70" s="1498"/>
      <c r="H70" s="1498"/>
      <c r="I70" s="1498">
        <f>C70*D70*E70</f>
        <v>18</v>
      </c>
      <c r="J70" s="1499" t="s">
        <v>103</v>
      </c>
      <c r="K70" s="1492"/>
      <c r="L70" s="1486"/>
      <c r="M70" s="1486"/>
      <c r="N70" s="1486"/>
      <c r="O70" s="1486"/>
      <c r="P70" s="1487"/>
      <c r="Q70" s="1487"/>
      <c r="R70" s="1487"/>
    </row>
    <row r="71" spans="1:18" ht="15.75" customHeight="1">
      <c r="A71" s="1513" t="s">
        <v>98</v>
      </c>
      <c r="B71" s="1501" t="s">
        <v>966</v>
      </c>
      <c r="C71" s="1498">
        <f t="shared" ref="C71:D74" si="0">C70</f>
        <v>12</v>
      </c>
      <c r="D71" s="1498">
        <f t="shared" si="0"/>
        <v>6</v>
      </c>
      <c r="E71" s="1498">
        <v>0.15</v>
      </c>
      <c r="F71" s="1498"/>
      <c r="G71" s="1498"/>
      <c r="H71" s="1498"/>
      <c r="I71" s="1498">
        <f>C71*D71*E71</f>
        <v>10.799999999999999</v>
      </c>
      <c r="J71" s="1499" t="s">
        <v>103</v>
      </c>
      <c r="K71" s="1492"/>
      <c r="L71" s="1486"/>
      <c r="M71" s="1486"/>
      <c r="N71" s="1486"/>
      <c r="O71" s="1486"/>
      <c r="P71" s="1487"/>
      <c r="Q71" s="1487"/>
      <c r="R71" s="1487"/>
    </row>
    <row r="72" spans="1:18" ht="15.75" customHeight="1">
      <c r="A72" s="1513" t="s">
        <v>101</v>
      </c>
      <c r="B72" s="1501" t="s">
        <v>496</v>
      </c>
      <c r="C72" s="1498">
        <f t="shared" si="0"/>
        <v>12</v>
      </c>
      <c r="D72" s="1498">
        <f t="shared" si="0"/>
        <v>6</v>
      </c>
      <c r="E72" s="1498">
        <v>0.05</v>
      </c>
      <c r="F72" s="1498"/>
      <c r="G72" s="1498"/>
      <c r="H72" s="1498"/>
      <c r="I72" s="1498">
        <f>C72*D72*E72</f>
        <v>3.6</v>
      </c>
      <c r="J72" s="1499" t="s">
        <v>103</v>
      </c>
      <c r="K72" s="1492"/>
      <c r="L72" s="1486"/>
      <c r="M72" s="1486"/>
      <c r="N72" s="1486"/>
      <c r="O72" s="1486"/>
      <c r="P72" s="1487"/>
      <c r="Q72" s="1487"/>
      <c r="R72" s="1487"/>
    </row>
    <row r="73" spans="1:18" ht="15.75" customHeight="1">
      <c r="A73" s="1513" t="s">
        <v>121</v>
      </c>
      <c r="B73" s="1501" t="s">
        <v>626</v>
      </c>
      <c r="C73" s="1498">
        <f t="shared" si="0"/>
        <v>12</v>
      </c>
      <c r="D73" s="1498">
        <f t="shared" si="0"/>
        <v>6</v>
      </c>
      <c r="E73" s="1498"/>
      <c r="F73" s="1498"/>
      <c r="G73" s="1498">
        <v>2</v>
      </c>
      <c r="H73" s="1498"/>
      <c r="I73" s="1498">
        <f>C73*D73*G73</f>
        <v>144</v>
      </c>
      <c r="J73" s="1499" t="s">
        <v>89</v>
      </c>
      <c r="K73" s="1492"/>
      <c r="L73" s="1486"/>
      <c r="M73" s="1486"/>
      <c r="N73" s="1486"/>
      <c r="O73" s="1486"/>
      <c r="P73" s="1487"/>
      <c r="Q73" s="1487"/>
      <c r="R73" s="1487"/>
    </row>
    <row r="74" spans="1:18" ht="15.75" customHeight="1">
      <c r="A74" s="1513" t="s">
        <v>142</v>
      </c>
      <c r="B74" s="1501" t="s">
        <v>1740</v>
      </c>
      <c r="C74" s="1498">
        <f t="shared" si="0"/>
        <v>12</v>
      </c>
      <c r="D74" s="1498">
        <f t="shared" si="0"/>
        <v>6</v>
      </c>
      <c r="E74" s="1498">
        <v>0.15</v>
      </c>
      <c r="F74" s="1498"/>
      <c r="G74" s="1498"/>
      <c r="H74" s="1498"/>
      <c r="I74" s="1498">
        <f>C74*D74*E74</f>
        <v>10.799999999999999</v>
      </c>
      <c r="J74" s="1499" t="s">
        <v>103</v>
      </c>
      <c r="K74" s="1492"/>
      <c r="L74" s="1486"/>
      <c r="M74" s="1486"/>
      <c r="N74" s="1486"/>
      <c r="O74" s="1486"/>
      <c r="P74" s="1487"/>
      <c r="Q74" s="1487"/>
      <c r="R74" s="1487"/>
    </row>
    <row r="75" spans="1:18" ht="15.75" customHeight="1">
      <c r="A75" s="1504">
        <f>A69+1</f>
        <v>6</v>
      </c>
      <c r="B75" s="893" t="s">
        <v>416</v>
      </c>
      <c r="C75" s="1498"/>
      <c r="D75" s="1498"/>
      <c r="E75" s="1498"/>
      <c r="F75" s="1498"/>
      <c r="G75" s="1498"/>
      <c r="H75" s="1498"/>
      <c r="I75" s="1498"/>
      <c r="J75" s="1499"/>
      <c r="K75" s="1492"/>
      <c r="L75" s="1486"/>
      <c r="M75" s="1486"/>
      <c r="N75" s="1486"/>
      <c r="O75" s="1486"/>
      <c r="P75" s="1487"/>
      <c r="Q75" s="1487"/>
      <c r="R75" s="1487"/>
    </row>
    <row r="76" spans="1:18" ht="15.75" customHeight="1">
      <c r="A76" s="1514"/>
      <c r="B76" s="893" t="s">
        <v>1200</v>
      </c>
      <c r="C76" s="1498">
        <v>0.8</v>
      </c>
      <c r="D76" s="1498">
        <v>0.25</v>
      </c>
      <c r="E76" s="1498"/>
      <c r="F76" s="1498"/>
      <c r="G76" s="1498">
        <v>4</v>
      </c>
      <c r="H76" s="1498">
        <v>8</v>
      </c>
      <c r="I76" s="1498">
        <f>C76*D76*G76*H76</f>
        <v>6.4</v>
      </c>
      <c r="J76" s="1499" t="s">
        <v>89</v>
      </c>
      <c r="K76" s="1492"/>
      <c r="L76" s="1486"/>
      <c r="M76" s="1486"/>
      <c r="N76" s="1486"/>
      <c r="O76" s="1486"/>
      <c r="P76" s="1487"/>
      <c r="Q76" s="1487"/>
      <c r="R76" s="1487"/>
    </row>
    <row r="77" spans="1:18" ht="15.75" customHeight="1">
      <c r="A77" s="1514"/>
      <c r="B77" s="893"/>
      <c r="C77" s="1498" t="s">
        <v>212</v>
      </c>
      <c r="D77" s="1498"/>
      <c r="E77" s="1498"/>
      <c r="F77" s="1498"/>
      <c r="G77" s="1498"/>
      <c r="H77" s="1498"/>
      <c r="I77" s="1498"/>
      <c r="J77" s="1499"/>
      <c r="K77" s="1492"/>
      <c r="L77" s="1486"/>
      <c r="M77" s="1486"/>
      <c r="N77" s="1486"/>
      <c r="O77" s="1486"/>
      <c r="P77" s="1487"/>
      <c r="Q77" s="1487"/>
      <c r="R77" s="1487"/>
    </row>
    <row r="78" spans="1:18" ht="15.75" customHeight="1">
      <c r="A78" s="1514"/>
      <c r="B78" s="389" t="s">
        <v>901</v>
      </c>
      <c r="C78" s="1498">
        <f>C76+0.55</f>
        <v>1.35</v>
      </c>
      <c r="D78" s="1498"/>
      <c r="E78" s="1498">
        <f>E83</f>
        <v>1.0429999999999999</v>
      </c>
      <c r="F78" s="1498"/>
      <c r="G78" s="1498">
        <v>8</v>
      </c>
      <c r="H78" s="1498">
        <f>H76</f>
        <v>8</v>
      </c>
      <c r="I78" s="1498">
        <f>C78*E78*G78*H78</f>
        <v>90.115200000000002</v>
      </c>
      <c r="J78" s="1499" t="s">
        <v>100</v>
      </c>
      <c r="K78" s="1492"/>
      <c r="L78" s="1486"/>
      <c r="M78" s="1486"/>
      <c r="N78" s="1486"/>
      <c r="O78" s="1486"/>
      <c r="P78" s="1487"/>
      <c r="Q78" s="1487"/>
      <c r="R78" s="1487"/>
    </row>
    <row r="79" spans="1:18" ht="15.75" customHeight="1">
      <c r="A79" s="1514"/>
      <c r="B79" s="389" t="s">
        <v>411</v>
      </c>
      <c r="C79" s="1498">
        <f>(0.17*4)+0.05</f>
        <v>0.73000000000000009</v>
      </c>
      <c r="D79" s="1498"/>
      <c r="E79" s="1498">
        <v>0.39</v>
      </c>
      <c r="F79" s="1498"/>
      <c r="G79" s="1498">
        <f>C76/0.2</f>
        <v>4</v>
      </c>
      <c r="H79" s="1498">
        <f>H78</f>
        <v>8</v>
      </c>
      <c r="I79" s="1498">
        <f>C79*E79*G79*H79</f>
        <v>9.1104000000000021</v>
      </c>
      <c r="J79" s="1499" t="s">
        <v>100</v>
      </c>
      <c r="K79" s="1492"/>
      <c r="L79" s="1486"/>
      <c r="M79" s="1486"/>
      <c r="N79" s="1486"/>
      <c r="O79" s="1486"/>
      <c r="P79" s="1487"/>
      <c r="Q79" s="1487"/>
      <c r="R79" s="1487"/>
    </row>
    <row r="80" spans="1:18" ht="15.75" customHeight="1">
      <c r="A80" s="1514"/>
      <c r="B80" s="427" t="s">
        <v>420</v>
      </c>
      <c r="C80" s="1498">
        <f>C76</f>
        <v>0.8</v>
      </c>
      <c r="D80" s="1498">
        <f>D76</f>
        <v>0.25</v>
      </c>
      <c r="E80" s="1498">
        <f>D80</f>
        <v>0.25</v>
      </c>
      <c r="F80" s="1498"/>
      <c r="G80" s="1498"/>
      <c r="H80" s="1498">
        <f>H79</f>
        <v>8</v>
      </c>
      <c r="I80" s="1498">
        <f>C80*D80*E80*H80</f>
        <v>0.4</v>
      </c>
      <c r="J80" s="1499" t="s">
        <v>103</v>
      </c>
      <c r="K80" s="1492"/>
      <c r="L80" s="1486"/>
      <c r="M80" s="1486"/>
      <c r="N80" s="1486"/>
      <c r="O80" s="1486"/>
      <c r="P80" s="1487"/>
      <c r="Q80" s="1487"/>
      <c r="R80" s="1487"/>
    </row>
    <row r="81" spans="1:18" ht="15.75" customHeight="1">
      <c r="A81" s="1504">
        <f>A75+1</f>
        <v>7</v>
      </c>
      <c r="B81" s="893" t="s">
        <v>421</v>
      </c>
      <c r="C81" s="1498"/>
      <c r="D81" s="1498"/>
      <c r="E81" s="1498"/>
      <c r="F81" s="1498"/>
      <c r="G81" s="1498"/>
      <c r="H81" s="1498"/>
      <c r="I81" s="1498"/>
      <c r="J81" s="1499"/>
      <c r="K81" s="1492"/>
      <c r="L81" s="1486"/>
      <c r="M81" s="1486"/>
      <c r="N81" s="1486"/>
      <c r="O81" s="1486"/>
      <c r="P81" s="1487"/>
      <c r="Q81" s="1487"/>
      <c r="R81" s="1487"/>
    </row>
    <row r="82" spans="1:18" ht="15.75" customHeight="1">
      <c r="A82" s="1505" t="s">
        <v>95</v>
      </c>
      <c r="B82" s="893" t="s">
        <v>1200</v>
      </c>
      <c r="C82" s="1498">
        <v>4.2300000000000004</v>
      </c>
      <c r="D82" s="1498">
        <v>0.25</v>
      </c>
      <c r="E82" s="1498"/>
      <c r="F82" s="1498"/>
      <c r="G82" s="1498">
        <v>4</v>
      </c>
      <c r="H82" s="1498">
        <v>8</v>
      </c>
      <c r="I82" s="1498">
        <f>C82*D82*G82*H82</f>
        <v>33.840000000000003</v>
      </c>
      <c r="J82" s="1499" t="s">
        <v>89</v>
      </c>
      <c r="K82" s="1492"/>
      <c r="L82" s="1486"/>
      <c r="M82" s="1515"/>
      <c r="N82" s="1486"/>
      <c r="O82" s="1486"/>
      <c r="P82" s="1487"/>
      <c r="Q82" s="1487"/>
      <c r="R82" s="1487"/>
    </row>
    <row r="83" spans="1:18" ht="15.75" customHeight="1">
      <c r="A83" s="1505" t="s">
        <v>98</v>
      </c>
      <c r="B83" s="389" t="s">
        <v>901</v>
      </c>
      <c r="C83" s="1498">
        <f>C82+0.3</f>
        <v>4.53</v>
      </c>
      <c r="D83" s="1498"/>
      <c r="E83" s="1498">
        <f>E49</f>
        <v>1.0429999999999999</v>
      </c>
      <c r="F83" s="1498"/>
      <c r="G83" s="1498">
        <v>4</v>
      </c>
      <c r="H83" s="1498">
        <f>H82</f>
        <v>8</v>
      </c>
      <c r="I83" s="1498">
        <f>C83*E83*G83*H83</f>
        <v>151.19327999999999</v>
      </c>
      <c r="J83" s="1499" t="s">
        <v>100</v>
      </c>
      <c r="K83" s="1492"/>
      <c r="L83" s="1486"/>
      <c r="M83" s="1516"/>
      <c r="N83" s="1486"/>
      <c r="O83" s="1486"/>
      <c r="P83" s="1487"/>
      <c r="Q83" s="1487"/>
      <c r="R83" s="1487"/>
    </row>
    <row r="84" spans="1:18" ht="15.75" customHeight="1">
      <c r="A84" s="1505" t="s">
        <v>101</v>
      </c>
      <c r="B84" s="389" t="s">
        <v>411</v>
      </c>
      <c r="C84" s="1498">
        <f>(0.17*4)+0.05</f>
        <v>0.73000000000000009</v>
      </c>
      <c r="D84" s="1498"/>
      <c r="E84" s="1498">
        <v>0.39</v>
      </c>
      <c r="F84" s="1498"/>
      <c r="G84" s="1498">
        <f>C83/0.2</f>
        <v>22.65</v>
      </c>
      <c r="H84" s="1498">
        <f>H83</f>
        <v>8</v>
      </c>
      <c r="I84" s="1498">
        <f>C84*E84*G84*H84</f>
        <v>51.587640000000007</v>
      </c>
      <c r="J84" s="1499" t="s">
        <v>100</v>
      </c>
      <c r="K84" s="1492">
        <f>400/15</f>
        <v>26.666666666666668</v>
      </c>
      <c r="L84" s="1486"/>
      <c r="M84" s="1486"/>
      <c r="N84" s="1486"/>
      <c r="O84" s="1486"/>
      <c r="P84" s="1487"/>
      <c r="Q84" s="1487"/>
      <c r="R84" s="1487"/>
    </row>
    <row r="85" spans="1:18" ht="15.75" customHeight="1">
      <c r="A85" s="1505" t="s">
        <v>121</v>
      </c>
      <c r="B85" s="427" t="s">
        <v>420</v>
      </c>
      <c r="C85" s="1498">
        <f>C82</f>
        <v>4.2300000000000004</v>
      </c>
      <c r="D85" s="1498">
        <f>D82</f>
        <v>0.25</v>
      </c>
      <c r="E85" s="1498">
        <f>D85</f>
        <v>0.25</v>
      </c>
      <c r="F85" s="1498"/>
      <c r="G85" s="1498"/>
      <c r="H85" s="1498">
        <f>H84</f>
        <v>8</v>
      </c>
      <c r="I85" s="1498">
        <f>C85*D85*E85*H85</f>
        <v>2.1150000000000002</v>
      </c>
      <c r="J85" s="1499" t="s">
        <v>103</v>
      </c>
      <c r="K85" s="1492"/>
      <c r="L85" s="1486"/>
      <c r="M85" s="1486"/>
      <c r="N85" s="1486"/>
      <c r="O85" s="1486"/>
      <c r="P85" s="1487"/>
      <c r="Q85" s="1487"/>
      <c r="R85" s="1487"/>
    </row>
    <row r="86" spans="1:18" ht="15.75" customHeight="1">
      <c r="A86" s="1504">
        <f>A81+1</f>
        <v>8</v>
      </c>
      <c r="B86" s="1501" t="s">
        <v>1741</v>
      </c>
      <c r="C86" s="1498"/>
      <c r="D86" s="1498"/>
      <c r="E86" s="1498"/>
      <c r="F86" s="1498"/>
      <c r="G86" s="1498"/>
      <c r="H86" s="1498"/>
      <c r="I86" s="1498"/>
      <c r="J86" s="1499"/>
      <c r="K86" s="1492"/>
      <c r="L86" s="1486"/>
      <c r="M86" s="1486"/>
      <c r="N86" s="1486"/>
      <c r="O86" s="1486"/>
      <c r="P86" s="1487"/>
      <c r="Q86" s="1487"/>
      <c r="R86" s="1487"/>
    </row>
    <row r="87" spans="1:18" ht="15.75" customHeight="1">
      <c r="A87" s="1505" t="s">
        <v>95</v>
      </c>
      <c r="B87" s="1501"/>
      <c r="C87" s="1498"/>
      <c r="D87" s="1498"/>
      <c r="E87" s="1498"/>
      <c r="F87" s="1498"/>
      <c r="G87" s="1498"/>
      <c r="H87" s="1498"/>
      <c r="I87" s="1498"/>
      <c r="J87" s="1499"/>
      <c r="K87" s="1492"/>
      <c r="L87" s="1486"/>
      <c r="M87" s="1486"/>
      <c r="N87" s="1486"/>
      <c r="O87" s="1486"/>
      <c r="P87" s="1487"/>
      <c r="Q87" s="1487"/>
      <c r="R87" s="1487"/>
    </row>
    <row r="88" spans="1:18" ht="15.75" customHeight="1">
      <c r="A88" s="1505" t="s">
        <v>95</v>
      </c>
      <c r="B88" s="1501" t="s">
        <v>1134</v>
      </c>
      <c r="C88" s="1498"/>
      <c r="D88" s="1498"/>
      <c r="E88" s="1498"/>
      <c r="F88" s="1498"/>
      <c r="G88" s="1498"/>
      <c r="H88" s="1498"/>
      <c r="I88" s="1506">
        <f>SUM(I89:I93)</f>
        <v>32.4</v>
      </c>
      <c r="J88" s="1507" t="s">
        <v>89</v>
      </c>
      <c r="K88" s="1492"/>
      <c r="L88" s="1486"/>
      <c r="M88" s="1486"/>
      <c r="N88" s="1486"/>
      <c r="O88" s="1486"/>
      <c r="P88" s="1487"/>
      <c r="Q88" s="1487"/>
      <c r="R88" s="1487"/>
    </row>
    <row r="89" spans="1:18" ht="15.75" customHeight="1">
      <c r="A89" s="1505"/>
      <c r="B89" s="1508" t="s">
        <v>136</v>
      </c>
      <c r="C89" s="1498">
        <v>12</v>
      </c>
      <c r="D89" s="1498"/>
      <c r="E89" s="1498">
        <f>0.35*2+0.2</f>
        <v>0.89999999999999991</v>
      </c>
      <c r="F89" s="1498"/>
      <c r="G89" s="1498">
        <v>2</v>
      </c>
      <c r="H89" s="1498"/>
      <c r="I89" s="1498">
        <f>C89*E89*G89</f>
        <v>21.599999999999998</v>
      </c>
      <c r="J89" s="1499"/>
      <c r="K89" s="1492"/>
      <c r="L89" s="1486"/>
      <c r="M89" s="1486"/>
      <c r="N89" s="1486"/>
      <c r="O89" s="1486"/>
      <c r="P89" s="1487"/>
      <c r="Q89" s="1487"/>
      <c r="R89" s="1487"/>
    </row>
    <row r="90" spans="1:18" ht="15.75" customHeight="1">
      <c r="A90" s="1505"/>
      <c r="B90" s="1508" t="s">
        <v>1044</v>
      </c>
      <c r="C90" s="1498">
        <v>6</v>
      </c>
      <c r="D90" s="1498"/>
      <c r="E90" s="1498">
        <f>E89</f>
        <v>0.89999999999999991</v>
      </c>
      <c r="F90" s="1498"/>
      <c r="G90" s="1498">
        <v>2</v>
      </c>
      <c r="H90" s="1498"/>
      <c r="I90" s="1498">
        <f>C90*E90*G90</f>
        <v>10.799999999999999</v>
      </c>
      <c r="J90" s="1499"/>
      <c r="K90" s="1492"/>
      <c r="L90" s="1486"/>
      <c r="M90" s="1486"/>
      <c r="N90" s="1486"/>
      <c r="O90" s="1486"/>
      <c r="P90" s="1487"/>
      <c r="Q90" s="1487"/>
      <c r="R90" s="1487"/>
    </row>
    <row r="91" spans="1:18" ht="15.75" customHeight="1">
      <c r="A91" s="1505"/>
      <c r="B91" s="1508" t="s">
        <v>136</v>
      </c>
      <c r="C91" s="1498">
        <v>4</v>
      </c>
      <c r="D91" s="1498"/>
      <c r="E91" s="1498">
        <v>0.2</v>
      </c>
      <c r="F91" s="1498"/>
      <c r="G91" s="1498">
        <v>2</v>
      </c>
      <c r="H91" s="1498">
        <v>1</v>
      </c>
      <c r="I91" s="1498">
        <v>0</v>
      </c>
      <c r="J91" s="1499"/>
      <c r="K91" s="1492"/>
      <c r="L91" s="1486"/>
      <c r="M91" s="1486"/>
      <c r="N91" s="1486"/>
      <c r="O91" s="1486"/>
      <c r="P91" s="1487"/>
      <c r="Q91" s="1487"/>
      <c r="R91" s="1487"/>
    </row>
    <row r="92" spans="1:18" ht="15.75" customHeight="1">
      <c r="A92" s="1505"/>
      <c r="B92" s="1508" t="s">
        <v>136</v>
      </c>
      <c r="C92" s="1498">
        <v>1.5</v>
      </c>
      <c r="D92" s="1498"/>
      <c r="E92" s="1498">
        <v>0.2</v>
      </c>
      <c r="F92" s="1498"/>
      <c r="G92" s="1498">
        <v>2</v>
      </c>
      <c r="H92" s="1498">
        <v>0</v>
      </c>
      <c r="I92" s="1498">
        <f>C92*E92*G92*H92</f>
        <v>0</v>
      </c>
      <c r="J92" s="1499"/>
      <c r="K92" s="1492"/>
      <c r="L92" s="1486"/>
      <c r="M92" s="1486"/>
      <c r="N92" s="1486"/>
      <c r="O92" s="1486"/>
      <c r="P92" s="1487"/>
      <c r="Q92" s="1487"/>
      <c r="R92" s="1487"/>
    </row>
    <row r="93" spans="1:18" ht="15.75" customHeight="1">
      <c r="A93" s="1505"/>
      <c r="B93" s="1508" t="s">
        <v>1044</v>
      </c>
      <c r="C93" s="1498">
        <v>3</v>
      </c>
      <c r="D93" s="1498"/>
      <c r="E93" s="1498">
        <v>0.2</v>
      </c>
      <c r="F93" s="1498"/>
      <c r="G93" s="1498">
        <v>2</v>
      </c>
      <c r="H93" s="1498">
        <v>0</v>
      </c>
      <c r="I93" s="1498">
        <f>C93*E93*G93*H93</f>
        <v>0</v>
      </c>
      <c r="J93" s="1499"/>
      <c r="K93" s="1492"/>
      <c r="L93" s="1486"/>
      <c r="M93" s="1486"/>
      <c r="N93" s="1486"/>
      <c r="O93" s="1486"/>
      <c r="P93" s="1487"/>
      <c r="Q93" s="1487"/>
      <c r="R93" s="1487"/>
    </row>
    <row r="94" spans="1:18" ht="15.75" customHeight="1">
      <c r="A94" s="1505"/>
      <c r="B94" s="1508"/>
      <c r="C94" s="1498"/>
      <c r="D94" s="1498"/>
      <c r="E94" s="1498"/>
      <c r="F94" s="1498"/>
      <c r="G94" s="1498"/>
      <c r="H94" s="1498"/>
      <c r="I94" s="1498"/>
      <c r="J94" s="1499"/>
      <c r="K94" s="1492"/>
      <c r="L94" s="1486"/>
      <c r="M94" s="1486"/>
      <c r="N94" s="1486"/>
      <c r="O94" s="1486"/>
      <c r="P94" s="1487"/>
      <c r="Q94" s="1487"/>
      <c r="R94" s="1487"/>
    </row>
    <row r="95" spans="1:18" ht="15.75" customHeight="1">
      <c r="A95" s="1505" t="s">
        <v>98</v>
      </c>
      <c r="B95" s="1501" t="s">
        <v>1736</v>
      </c>
      <c r="C95" s="1498"/>
      <c r="D95" s="1498"/>
      <c r="E95" s="1498"/>
      <c r="F95" s="1498"/>
      <c r="G95" s="1498"/>
      <c r="H95" s="1498"/>
      <c r="I95" s="1506">
        <f>SUM(I96:I100)</f>
        <v>187.73999999999998</v>
      </c>
      <c r="J95" s="1507" t="s">
        <v>100</v>
      </c>
      <c r="K95" s="1492"/>
      <c r="L95" s="1486"/>
      <c r="M95" s="1486"/>
      <c r="N95" s="1486"/>
      <c r="O95" s="1486"/>
      <c r="P95" s="1487"/>
      <c r="Q95" s="1487"/>
      <c r="R95" s="1487"/>
    </row>
    <row r="96" spans="1:18" ht="15.75" customHeight="1">
      <c r="A96" s="1505"/>
      <c r="B96" s="1508" t="s">
        <v>136</v>
      </c>
      <c r="C96" s="1498">
        <f>C89</f>
        <v>12</v>
      </c>
      <c r="D96" s="1498"/>
      <c r="E96" s="1498">
        <v>1.0429999999999999</v>
      </c>
      <c r="F96" s="1498"/>
      <c r="G96" s="1498">
        <v>5</v>
      </c>
      <c r="H96" s="1498">
        <v>2</v>
      </c>
      <c r="I96" s="1498">
        <f>C96*E96*G96*H96</f>
        <v>125.15999999999998</v>
      </c>
      <c r="J96" s="1499"/>
      <c r="K96" s="1492"/>
      <c r="L96" s="1486"/>
      <c r="M96" s="1486"/>
      <c r="N96" s="1486"/>
      <c r="O96" s="1486"/>
      <c r="P96" s="1487"/>
      <c r="Q96" s="1487"/>
      <c r="R96" s="1487"/>
    </row>
    <row r="97" spans="1:18" ht="15.75" customHeight="1">
      <c r="A97" s="1505"/>
      <c r="B97" s="1508" t="s">
        <v>1044</v>
      </c>
      <c r="C97" s="1498">
        <f>C90</f>
        <v>6</v>
      </c>
      <c r="D97" s="1498"/>
      <c r="E97" s="1498">
        <f>E96</f>
        <v>1.0429999999999999</v>
      </c>
      <c r="F97" s="1498"/>
      <c r="G97" s="1498">
        <v>5</v>
      </c>
      <c r="H97" s="1498">
        <v>2</v>
      </c>
      <c r="I97" s="1498">
        <f>C97*E97*G97*H97</f>
        <v>62.579999999999991</v>
      </c>
      <c r="J97" s="1499"/>
      <c r="K97" s="1492"/>
      <c r="L97" s="1486"/>
      <c r="M97" s="1486"/>
      <c r="N97" s="1486"/>
      <c r="O97" s="1486"/>
      <c r="P97" s="1487"/>
      <c r="Q97" s="1487"/>
      <c r="R97" s="1487"/>
    </row>
    <row r="98" spans="1:18" ht="15.75" customHeight="1">
      <c r="A98" s="1505"/>
      <c r="B98" s="1508" t="s">
        <v>136</v>
      </c>
      <c r="C98" s="1498">
        <f>C91</f>
        <v>4</v>
      </c>
      <c r="D98" s="1498"/>
      <c r="E98" s="1498">
        <f>E97</f>
        <v>1.0429999999999999</v>
      </c>
      <c r="F98" s="1498"/>
      <c r="G98" s="1498">
        <v>4</v>
      </c>
      <c r="H98" s="1498">
        <v>0</v>
      </c>
      <c r="I98" s="1498">
        <f>C98*E98*G98*H98</f>
        <v>0</v>
      </c>
      <c r="J98" s="1499"/>
      <c r="K98" s="1492"/>
      <c r="L98" s="1486"/>
      <c r="M98" s="1486"/>
      <c r="N98" s="1486"/>
      <c r="O98" s="1486"/>
      <c r="P98" s="1487"/>
      <c r="Q98" s="1487"/>
      <c r="R98" s="1487"/>
    </row>
    <row r="99" spans="1:18" ht="15.75" customHeight="1">
      <c r="A99" s="1505"/>
      <c r="B99" s="1508" t="s">
        <v>136</v>
      </c>
      <c r="C99" s="1498">
        <f>C92</f>
        <v>1.5</v>
      </c>
      <c r="D99" s="1498"/>
      <c r="E99" s="1498">
        <f>E98</f>
        <v>1.0429999999999999</v>
      </c>
      <c r="F99" s="1498"/>
      <c r="G99" s="1498">
        <v>4</v>
      </c>
      <c r="H99" s="1498">
        <f>H92</f>
        <v>0</v>
      </c>
      <c r="I99" s="1498">
        <f>C99*E99*G99*H99</f>
        <v>0</v>
      </c>
      <c r="J99" s="1499"/>
      <c r="K99" s="1492"/>
      <c r="L99" s="1486"/>
      <c r="M99" s="1486"/>
      <c r="N99" s="1486"/>
      <c r="O99" s="1486"/>
      <c r="P99" s="1487"/>
      <c r="Q99" s="1487"/>
      <c r="R99" s="1487"/>
    </row>
    <row r="100" spans="1:18" ht="15.75" customHeight="1">
      <c r="A100" s="1505"/>
      <c r="B100" s="1508" t="s">
        <v>1044</v>
      </c>
      <c r="C100" s="1498">
        <f>C93</f>
        <v>3</v>
      </c>
      <c r="D100" s="1498"/>
      <c r="E100" s="1498">
        <f>E99</f>
        <v>1.0429999999999999</v>
      </c>
      <c r="F100" s="1498"/>
      <c r="G100" s="1498">
        <v>4</v>
      </c>
      <c r="H100" s="1498">
        <f>H93</f>
        <v>0</v>
      </c>
      <c r="I100" s="1498">
        <f>C100*E100*G100*H100</f>
        <v>0</v>
      </c>
      <c r="J100" s="1499"/>
      <c r="K100" s="1492"/>
      <c r="L100" s="1486"/>
      <c r="M100" s="1486"/>
      <c r="N100" s="1486"/>
      <c r="O100" s="1486"/>
      <c r="P100" s="1487"/>
      <c r="Q100" s="1487"/>
      <c r="R100" s="1487"/>
    </row>
    <row r="101" spans="1:18" ht="15.75" customHeight="1">
      <c r="A101" s="1505"/>
      <c r="B101" s="1508"/>
      <c r="C101" s="1498"/>
      <c r="D101" s="1498"/>
      <c r="E101" s="1498"/>
      <c r="F101" s="1498"/>
      <c r="G101" s="1498"/>
      <c r="H101" s="1498"/>
      <c r="I101" s="1498"/>
      <c r="J101" s="1499"/>
      <c r="K101" s="1492"/>
      <c r="L101" s="1486"/>
      <c r="M101" s="1486"/>
      <c r="N101" s="1486"/>
      <c r="O101" s="1486"/>
      <c r="P101" s="1487"/>
      <c r="Q101" s="1487"/>
      <c r="R101" s="1487"/>
    </row>
    <row r="102" spans="1:18" ht="15.75" customHeight="1">
      <c r="A102" s="1505" t="s">
        <v>101</v>
      </c>
      <c r="B102" s="1501" t="s">
        <v>1737</v>
      </c>
      <c r="C102" s="1498"/>
      <c r="D102" s="1498"/>
      <c r="E102" s="1498"/>
      <c r="F102" s="1498"/>
      <c r="G102" s="1498"/>
      <c r="H102" s="1498"/>
      <c r="I102" s="1506">
        <f>SUM(I103:I107)</f>
        <v>92.628000000000014</v>
      </c>
      <c r="J102" s="1507" t="s">
        <v>100</v>
      </c>
      <c r="K102" s="1492">
        <f>900/15</f>
        <v>60</v>
      </c>
      <c r="L102" s="1486"/>
      <c r="M102" s="1486"/>
      <c r="N102" s="1486"/>
      <c r="O102" s="1486"/>
      <c r="P102" s="1487"/>
      <c r="Q102" s="1487"/>
      <c r="R102" s="1487"/>
    </row>
    <row r="103" spans="1:18" ht="15.75" customHeight="1">
      <c r="A103" s="1505"/>
      <c r="B103" s="1508" t="s">
        <v>136</v>
      </c>
      <c r="C103" s="1498">
        <f>(0.12*2)+(0.27*2)+0.05</f>
        <v>0.83000000000000007</v>
      </c>
      <c r="D103" s="1498"/>
      <c r="E103" s="1498">
        <v>0.62</v>
      </c>
      <c r="F103" s="1498"/>
      <c r="G103" s="1498">
        <f>C96/0.2</f>
        <v>60</v>
      </c>
      <c r="H103" s="1498">
        <f>H96</f>
        <v>2</v>
      </c>
      <c r="I103" s="1498">
        <f>C103*E103*G103*H103</f>
        <v>61.75200000000001</v>
      </c>
      <c r="J103" s="1499"/>
      <c r="K103" s="1492"/>
      <c r="L103" s="1486"/>
      <c r="M103" s="1486"/>
      <c r="N103" s="1486"/>
      <c r="O103" s="1486"/>
      <c r="P103" s="1487"/>
      <c r="Q103" s="1487"/>
      <c r="R103" s="1487"/>
    </row>
    <row r="104" spans="1:18" ht="15.75" customHeight="1">
      <c r="A104" s="1505"/>
      <c r="B104" s="1508" t="s">
        <v>1044</v>
      </c>
      <c r="C104" s="1498">
        <f>C103</f>
        <v>0.83000000000000007</v>
      </c>
      <c r="D104" s="1498"/>
      <c r="E104" s="1498">
        <f>E103</f>
        <v>0.62</v>
      </c>
      <c r="F104" s="1498"/>
      <c r="G104" s="1498">
        <f>C97/0.2</f>
        <v>30</v>
      </c>
      <c r="H104" s="1498">
        <f>H97</f>
        <v>2</v>
      </c>
      <c r="I104" s="1498">
        <f>C104*E104*G104*H104</f>
        <v>30.876000000000005</v>
      </c>
      <c r="J104" s="1499"/>
      <c r="K104" s="1492"/>
      <c r="L104" s="1486"/>
      <c r="M104" s="1486"/>
      <c r="N104" s="1486"/>
      <c r="O104" s="1486"/>
      <c r="P104" s="1487"/>
      <c r="Q104" s="1487"/>
      <c r="R104" s="1487"/>
    </row>
    <row r="105" spans="1:18" ht="15.75" customHeight="1">
      <c r="A105" s="1505"/>
      <c r="B105" s="1508" t="s">
        <v>136</v>
      </c>
      <c r="C105" s="1498">
        <f>(0.15*2)+(0.2*2)+0.05</f>
        <v>0.75</v>
      </c>
      <c r="D105" s="1498"/>
      <c r="E105" s="1498">
        <v>0.62</v>
      </c>
      <c r="F105" s="1498"/>
      <c r="G105" s="1498">
        <f>C98/0.2</f>
        <v>20</v>
      </c>
      <c r="H105" s="1498">
        <f>H98</f>
        <v>0</v>
      </c>
      <c r="I105" s="1498">
        <f>C105*E105*G105*H105</f>
        <v>0</v>
      </c>
      <c r="J105" s="1499"/>
      <c r="K105" s="1492"/>
      <c r="L105" s="1486"/>
      <c r="M105" s="1486"/>
      <c r="N105" s="1486"/>
      <c r="O105" s="1486"/>
      <c r="P105" s="1487"/>
      <c r="Q105" s="1487"/>
      <c r="R105" s="1487"/>
    </row>
    <row r="106" spans="1:18" ht="15.75" customHeight="1">
      <c r="A106" s="1505"/>
      <c r="B106" s="1508" t="s">
        <v>136</v>
      </c>
      <c r="C106" s="1498">
        <f>(0.15*2)+(0.2*2)+0.05</f>
        <v>0.75</v>
      </c>
      <c r="D106" s="1498"/>
      <c r="E106" s="1498">
        <v>0.62</v>
      </c>
      <c r="F106" s="1498"/>
      <c r="G106" s="1498">
        <f>C99/0.2</f>
        <v>7.5</v>
      </c>
      <c r="H106" s="1498">
        <f>H99</f>
        <v>0</v>
      </c>
      <c r="I106" s="1498">
        <f>C106*E106*G106*H106</f>
        <v>0</v>
      </c>
      <c r="J106" s="1499"/>
      <c r="K106" s="1492"/>
      <c r="L106" s="1486"/>
      <c r="M106" s="1486"/>
      <c r="N106" s="1486"/>
      <c r="O106" s="1486"/>
      <c r="P106" s="1487"/>
      <c r="Q106" s="1487"/>
      <c r="R106" s="1487"/>
    </row>
    <row r="107" spans="1:18" ht="15.75" customHeight="1">
      <c r="A107" s="1505"/>
      <c r="B107" s="1508" t="s">
        <v>1044</v>
      </c>
      <c r="C107" s="1498">
        <f>C106</f>
        <v>0.75</v>
      </c>
      <c r="D107" s="1498"/>
      <c r="E107" s="1498">
        <f>E106</f>
        <v>0.62</v>
      </c>
      <c r="F107" s="1498"/>
      <c r="G107" s="1498">
        <f>C100/0.2</f>
        <v>15</v>
      </c>
      <c r="H107" s="1498">
        <f>H100</f>
        <v>0</v>
      </c>
      <c r="I107" s="1498">
        <f>C107*E107*G107*H107</f>
        <v>0</v>
      </c>
      <c r="J107" s="1499"/>
      <c r="K107" s="1492"/>
      <c r="L107" s="1486"/>
      <c r="M107" s="1486"/>
      <c r="N107" s="1486"/>
      <c r="O107" s="1486"/>
      <c r="P107" s="1487"/>
      <c r="Q107" s="1487"/>
      <c r="R107" s="1487"/>
    </row>
    <row r="108" spans="1:18" ht="15.75" customHeight="1">
      <c r="A108" s="1505"/>
      <c r="B108" s="1508"/>
      <c r="C108" s="1498"/>
      <c r="D108" s="1498"/>
      <c r="E108" s="1498"/>
      <c r="F108" s="1498"/>
      <c r="G108" s="1498"/>
      <c r="H108" s="1498"/>
      <c r="I108" s="1498"/>
      <c r="J108" s="1499"/>
      <c r="K108" s="1492"/>
      <c r="L108" s="1486"/>
      <c r="M108" s="1486"/>
      <c r="N108" s="1486"/>
      <c r="O108" s="1486"/>
      <c r="P108" s="1487"/>
      <c r="Q108" s="1487"/>
      <c r="R108" s="1487"/>
    </row>
    <row r="109" spans="1:18" ht="15.75" customHeight="1">
      <c r="A109" s="1505" t="s">
        <v>121</v>
      </c>
      <c r="B109" s="1501" t="s">
        <v>102</v>
      </c>
      <c r="C109" s="1498"/>
      <c r="D109" s="1498"/>
      <c r="E109" s="1498"/>
      <c r="F109" s="1498"/>
      <c r="G109" s="1498"/>
      <c r="H109" s="1498"/>
      <c r="I109" s="1506">
        <f>SUM(I110:I114)</f>
        <v>2.5200000000000005</v>
      </c>
      <c r="J109" s="1507" t="s">
        <v>103</v>
      </c>
      <c r="K109" s="1492"/>
      <c r="L109" s="1486"/>
      <c r="M109" s="1486"/>
      <c r="N109" s="1486"/>
      <c r="O109" s="1486"/>
      <c r="P109" s="1487"/>
      <c r="Q109" s="1487"/>
      <c r="R109" s="1487"/>
    </row>
    <row r="110" spans="1:18" ht="15.75" customHeight="1">
      <c r="A110" s="1511"/>
      <c r="B110" s="1508" t="s">
        <v>136</v>
      </c>
      <c r="C110" s="1498">
        <f>C96</f>
        <v>12</v>
      </c>
      <c r="D110" s="1498">
        <v>0.2</v>
      </c>
      <c r="E110" s="1498">
        <v>0.35</v>
      </c>
      <c r="F110" s="1498"/>
      <c r="G110" s="1498"/>
      <c r="H110" s="1498">
        <f>H103</f>
        <v>2</v>
      </c>
      <c r="I110" s="1498">
        <f>C110*D110*E110*H110</f>
        <v>1.6800000000000002</v>
      </c>
      <c r="J110" s="1499"/>
      <c r="K110" s="1492"/>
      <c r="L110" s="1486"/>
      <c r="M110" s="1486"/>
      <c r="N110" s="1486"/>
      <c r="O110" s="1486"/>
      <c r="P110" s="1487"/>
      <c r="Q110" s="1487"/>
      <c r="R110" s="1487"/>
    </row>
    <row r="111" spans="1:18" ht="15.75" customHeight="1">
      <c r="A111" s="1511"/>
      <c r="B111" s="1508" t="s">
        <v>1044</v>
      </c>
      <c r="C111" s="1498">
        <f>C97</f>
        <v>6</v>
      </c>
      <c r="D111" s="1498">
        <f>D110</f>
        <v>0.2</v>
      </c>
      <c r="E111" s="1498">
        <f>E110</f>
        <v>0.35</v>
      </c>
      <c r="F111" s="1498"/>
      <c r="G111" s="1498"/>
      <c r="H111" s="1498">
        <f>H104</f>
        <v>2</v>
      </c>
      <c r="I111" s="1498">
        <f>C111*D111*E111*H111</f>
        <v>0.84000000000000008</v>
      </c>
      <c r="J111" s="1499"/>
      <c r="K111" s="1492"/>
      <c r="L111" s="1486"/>
      <c r="M111" s="1486"/>
      <c r="N111" s="1486"/>
      <c r="O111" s="1486"/>
      <c r="P111" s="1487"/>
      <c r="Q111" s="1487"/>
      <c r="R111" s="1487"/>
    </row>
    <row r="112" spans="1:18" ht="15.75" customHeight="1">
      <c r="A112" s="1511"/>
      <c r="B112" s="1508" t="s">
        <v>136</v>
      </c>
      <c r="C112" s="1498">
        <f>C98</f>
        <v>4</v>
      </c>
      <c r="D112" s="1498">
        <v>0.15</v>
      </c>
      <c r="E112" s="1498">
        <v>0.2</v>
      </c>
      <c r="F112" s="1498"/>
      <c r="G112" s="1498"/>
      <c r="H112" s="1498">
        <f>H105</f>
        <v>0</v>
      </c>
      <c r="I112" s="1498">
        <f>C112*D112*E112*H112</f>
        <v>0</v>
      </c>
      <c r="J112" s="1499"/>
      <c r="K112" s="1492"/>
      <c r="L112" s="1486"/>
      <c r="M112" s="1486"/>
      <c r="N112" s="1486"/>
      <c r="O112" s="1486"/>
      <c r="P112" s="1487"/>
      <c r="Q112" s="1487"/>
      <c r="R112" s="1487"/>
    </row>
    <row r="113" spans="1:18" ht="15.75" customHeight="1">
      <c r="A113" s="1511"/>
      <c r="B113" s="1508" t="s">
        <v>136</v>
      </c>
      <c r="C113" s="1498">
        <f>C99</f>
        <v>1.5</v>
      </c>
      <c r="D113" s="1498">
        <v>0.15</v>
      </c>
      <c r="E113" s="1498">
        <v>0.2</v>
      </c>
      <c r="F113" s="1498"/>
      <c r="G113" s="1498"/>
      <c r="H113" s="1498">
        <f>H106</f>
        <v>0</v>
      </c>
      <c r="I113" s="1498">
        <f>C113*D113*E113*H113</f>
        <v>0</v>
      </c>
      <c r="J113" s="1499"/>
      <c r="K113" s="1492"/>
      <c r="L113" s="1486"/>
      <c r="M113" s="1486"/>
      <c r="N113" s="1486"/>
      <c r="O113" s="1486"/>
      <c r="P113" s="1487"/>
      <c r="Q113" s="1487"/>
      <c r="R113" s="1487"/>
    </row>
    <row r="114" spans="1:18" ht="15.75" customHeight="1">
      <c r="A114" s="1511"/>
      <c r="B114" s="1508" t="s">
        <v>1044</v>
      </c>
      <c r="C114" s="1498">
        <f>C100</f>
        <v>3</v>
      </c>
      <c r="D114" s="1498">
        <f>D113</f>
        <v>0.15</v>
      </c>
      <c r="E114" s="1498">
        <v>0.2</v>
      </c>
      <c r="F114" s="1498"/>
      <c r="G114" s="1498"/>
      <c r="H114" s="1498">
        <f>H107</f>
        <v>0</v>
      </c>
      <c r="I114" s="1498">
        <f>C114*D114*E114*H114</f>
        <v>0</v>
      </c>
      <c r="J114" s="1499"/>
      <c r="K114" s="1492"/>
      <c r="L114" s="1486"/>
      <c r="M114" s="1486"/>
      <c r="N114" s="1486"/>
      <c r="O114" s="1486"/>
      <c r="P114" s="1487"/>
      <c r="Q114" s="1487"/>
      <c r="R114" s="1487"/>
    </row>
    <row r="115" spans="1:18" ht="15.75" customHeight="1">
      <c r="A115" s="1511"/>
      <c r="B115" s="1508"/>
      <c r="C115" s="1498"/>
      <c r="D115" s="1498"/>
      <c r="E115" s="1498"/>
      <c r="F115" s="1498"/>
      <c r="G115" s="1498"/>
      <c r="H115" s="1498"/>
      <c r="I115" s="1498"/>
      <c r="J115" s="1499"/>
      <c r="K115" s="1492"/>
      <c r="L115" s="1486"/>
      <c r="M115" s="1486"/>
      <c r="N115" s="1486"/>
      <c r="O115" s="1486"/>
      <c r="P115" s="1487"/>
      <c r="Q115" s="1487"/>
      <c r="R115" s="1487"/>
    </row>
    <row r="116" spans="1:18" ht="15.75" customHeight="1">
      <c r="A116" s="1512"/>
      <c r="B116" s="1501"/>
      <c r="C116" s="1498">
        <v>1.2</v>
      </c>
      <c r="D116" s="1498">
        <v>3</v>
      </c>
      <c r="E116" s="1498">
        <v>0.08</v>
      </c>
      <c r="F116" s="1498"/>
      <c r="G116" s="1498"/>
      <c r="H116" s="1498"/>
      <c r="I116" s="1506">
        <f>C116*D116*E116</f>
        <v>0.28799999999999998</v>
      </c>
      <c r="J116" s="1507" t="s">
        <v>103</v>
      </c>
      <c r="K116" s="1492"/>
      <c r="L116" s="1486"/>
      <c r="M116" s="1486"/>
      <c r="N116" s="1486"/>
      <c r="O116" s="1486"/>
      <c r="P116" s="1487"/>
      <c r="Q116" s="1487"/>
      <c r="R116" s="1487"/>
    </row>
    <row r="117" spans="1:18" ht="15.75" customHeight="1">
      <c r="A117" s="1512">
        <f>A86+1</f>
        <v>9</v>
      </c>
      <c r="B117" s="1501" t="s">
        <v>1742</v>
      </c>
      <c r="C117" s="1498"/>
      <c r="D117" s="1498"/>
      <c r="E117" s="1498"/>
      <c r="F117" s="1498"/>
      <c r="G117" s="1498"/>
      <c r="H117" s="1498"/>
      <c r="I117" s="1506"/>
      <c r="J117" s="1507"/>
      <c r="K117" s="1492"/>
      <c r="L117" s="1486"/>
      <c r="M117" s="1486"/>
      <c r="N117" s="1486"/>
      <c r="O117" s="1486"/>
      <c r="P117" s="1487"/>
      <c r="Q117" s="1487"/>
      <c r="R117" s="1487"/>
    </row>
    <row r="118" spans="1:18" ht="15.75" customHeight="1">
      <c r="A118" s="1513" t="s">
        <v>95</v>
      </c>
      <c r="B118" s="1501" t="s">
        <v>423</v>
      </c>
      <c r="C118" s="1498"/>
      <c r="D118" s="1498"/>
      <c r="E118" s="1498"/>
      <c r="F118" s="1498"/>
      <c r="G118" s="1498"/>
      <c r="H118" s="1498"/>
      <c r="I118" s="1506"/>
      <c r="J118" s="1507"/>
      <c r="K118" s="1492"/>
      <c r="L118" s="1486"/>
      <c r="M118" s="1486"/>
      <c r="N118" s="1486"/>
      <c r="O118" s="1486"/>
      <c r="P118" s="1487"/>
      <c r="Q118" s="1487"/>
      <c r="R118" s="1487"/>
    </row>
    <row r="119" spans="1:18" ht="15.75" customHeight="1">
      <c r="A119" s="1513"/>
      <c r="B119" s="1501"/>
      <c r="C119" s="1498">
        <v>8</v>
      </c>
      <c r="D119" s="1498"/>
      <c r="E119" s="1498">
        <v>0.15</v>
      </c>
      <c r="F119" s="1498"/>
      <c r="G119" s="1498">
        <v>2</v>
      </c>
      <c r="H119" s="1498">
        <v>2</v>
      </c>
      <c r="I119" s="1498">
        <f>C119*E119*G119*H119</f>
        <v>4.8</v>
      </c>
      <c r="J119" s="1507"/>
      <c r="K119" s="1492"/>
      <c r="L119" s="1486"/>
      <c r="M119" s="1486"/>
      <c r="N119" s="1486"/>
      <c r="O119" s="1486"/>
      <c r="P119" s="1487"/>
      <c r="Q119" s="1487"/>
      <c r="R119" s="1487"/>
    </row>
    <row r="120" spans="1:18" ht="15.75" customHeight="1">
      <c r="A120" s="1513"/>
      <c r="B120" s="1501"/>
      <c r="C120" s="1498">
        <v>2.5</v>
      </c>
      <c r="D120" s="1498"/>
      <c r="E120" s="1498">
        <f>E119</f>
        <v>0.15</v>
      </c>
      <c r="F120" s="1498"/>
      <c r="G120" s="1498">
        <f>G119</f>
        <v>2</v>
      </c>
      <c r="H120" s="1498">
        <f>H119</f>
        <v>2</v>
      </c>
      <c r="I120" s="1517">
        <f>C120*E120*G120*H120</f>
        <v>1.5</v>
      </c>
      <c r="J120" s="1507"/>
      <c r="K120" s="1492"/>
      <c r="L120" s="1486"/>
      <c r="M120" s="1486"/>
      <c r="N120" s="1486"/>
      <c r="O120" s="1486"/>
      <c r="P120" s="1487"/>
      <c r="Q120" s="1487"/>
      <c r="R120" s="1487"/>
    </row>
    <row r="121" spans="1:18" ht="15.75" customHeight="1">
      <c r="A121" s="1513"/>
      <c r="B121" s="1501"/>
      <c r="C121" s="1498"/>
      <c r="D121" s="1498"/>
      <c r="E121" s="1498"/>
      <c r="F121" s="1498"/>
      <c r="G121" s="1498"/>
      <c r="H121" s="1498"/>
      <c r="I121" s="1518">
        <f>SUM(I119:I120)</f>
        <v>6.3</v>
      </c>
      <c r="J121" s="1507" t="s">
        <v>89</v>
      </c>
      <c r="K121" s="1492"/>
      <c r="L121" s="1486"/>
      <c r="M121" s="1486"/>
      <c r="N121" s="1486"/>
      <c r="O121" s="1486"/>
      <c r="P121" s="1487"/>
      <c r="Q121" s="1487"/>
      <c r="R121" s="1487"/>
    </row>
    <row r="122" spans="1:18" ht="15.75" customHeight="1">
      <c r="A122" s="1513" t="s">
        <v>98</v>
      </c>
      <c r="B122" s="1501" t="s">
        <v>1743</v>
      </c>
      <c r="C122" s="1498"/>
      <c r="D122" s="1498"/>
      <c r="E122" s="1498" t="s">
        <v>213</v>
      </c>
      <c r="F122" s="1498"/>
      <c r="G122" s="1498"/>
      <c r="H122" s="1498"/>
      <c r="I122" s="1506"/>
      <c r="J122" s="1507"/>
      <c r="K122" s="1492"/>
      <c r="L122" s="1486"/>
      <c r="M122" s="1486"/>
      <c r="N122" s="1486"/>
      <c r="O122" s="1486"/>
      <c r="P122" s="1487"/>
      <c r="Q122" s="1487"/>
      <c r="R122" s="1487"/>
    </row>
    <row r="123" spans="1:18" ht="15.75" customHeight="1">
      <c r="A123" s="1513"/>
      <c r="B123" s="1501"/>
      <c r="C123" s="1498">
        <f>C119</f>
        <v>8</v>
      </c>
      <c r="D123" s="1498"/>
      <c r="E123" s="1498">
        <f>10*10*0.006165</f>
        <v>0.61650000000000005</v>
      </c>
      <c r="F123" s="1498"/>
      <c r="G123" s="1498">
        <v>4</v>
      </c>
      <c r="H123" s="1498">
        <f>H119</f>
        <v>2</v>
      </c>
      <c r="I123" s="1498">
        <f>C123*E123*G123*H123</f>
        <v>39.456000000000003</v>
      </c>
      <c r="J123" s="1507"/>
      <c r="K123" s="1492"/>
      <c r="L123" s="1486"/>
      <c r="M123" s="1486"/>
      <c r="N123" s="1486"/>
      <c r="O123" s="1486"/>
      <c r="P123" s="1487"/>
      <c r="Q123" s="1487"/>
      <c r="R123" s="1487"/>
    </row>
    <row r="124" spans="1:18" ht="15.75" customHeight="1">
      <c r="A124" s="1513"/>
      <c r="B124" s="1501"/>
      <c r="C124" s="1498">
        <f>C120</f>
        <v>2.5</v>
      </c>
      <c r="D124" s="1498"/>
      <c r="E124" s="1498">
        <f>E123</f>
        <v>0.61650000000000005</v>
      </c>
      <c r="F124" s="1498"/>
      <c r="G124" s="1498">
        <f>G123</f>
        <v>4</v>
      </c>
      <c r="H124" s="1498">
        <f>H120</f>
        <v>2</v>
      </c>
      <c r="I124" s="1517">
        <f>C124*E124*G124*H124</f>
        <v>12.330000000000002</v>
      </c>
      <c r="J124" s="1507"/>
      <c r="K124" s="1492"/>
      <c r="L124" s="1486"/>
      <c r="M124" s="1486"/>
      <c r="N124" s="1486"/>
      <c r="O124" s="1486"/>
      <c r="P124" s="1487"/>
      <c r="Q124" s="1487"/>
      <c r="R124" s="1487"/>
    </row>
    <row r="125" spans="1:18" ht="15.75" customHeight="1">
      <c r="A125" s="1513"/>
      <c r="B125" s="1501"/>
      <c r="C125" s="1498"/>
      <c r="D125" s="1498"/>
      <c r="E125" s="1498"/>
      <c r="F125" s="1498"/>
      <c r="G125" s="1498"/>
      <c r="H125" s="1498"/>
      <c r="I125" s="1518">
        <f>SUM(I123:I124)</f>
        <v>51.786000000000001</v>
      </c>
      <c r="J125" s="1507" t="s">
        <v>100</v>
      </c>
      <c r="K125" s="1492"/>
      <c r="L125" s="1486"/>
      <c r="M125" s="1486"/>
      <c r="N125" s="1486"/>
      <c r="O125" s="1486"/>
      <c r="P125" s="1487"/>
      <c r="Q125" s="1487"/>
      <c r="R125" s="1487"/>
    </row>
    <row r="126" spans="1:18" ht="15.75" customHeight="1">
      <c r="A126" s="1513" t="s">
        <v>101</v>
      </c>
      <c r="B126" s="1501" t="s">
        <v>621</v>
      </c>
      <c r="C126" s="1498"/>
      <c r="D126" s="1498" t="s">
        <v>988</v>
      </c>
      <c r="E126" s="1498"/>
      <c r="F126" s="1498"/>
      <c r="G126" s="1498"/>
      <c r="H126" s="1498"/>
      <c r="I126" s="1506"/>
      <c r="J126" s="1507"/>
      <c r="K126" s="1492"/>
      <c r="L126" s="1486"/>
      <c r="M126" s="1486"/>
      <c r="N126" s="1486"/>
      <c r="O126" s="1486"/>
      <c r="P126" s="1487"/>
      <c r="Q126" s="1487"/>
      <c r="R126" s="1487"/>
    </row>
    <row r="127" spans="1:18" ht="15.75" customHeight="1">
      <c r="A127" s="1513"/>
      <c r="B127" s="1501"/>
      <c r="C127" s="1498">
        <f>0.09*4</f>
        <v>0.36</v>
      </c>
      <c r="D127" s="1498">
        <f>0.05*2</f>
        <v>0.1</v>
      </c>
      <c r="E127" s="1498">
        <f>6*6*0.006165</f>
        <v>0.22194000000000003</v>
      </c>
      <c r="F127" s="1498"/>
      <c r="G127" s="1498">
        <f>ROUNDDOWN((C123/0.15),0.1)+1</f>
        <v>54</v>
      </c>
      <c r="H127" s="1498">
        <f>H123</f>
        <v>2</v>
      </c>
      <c r="I127" s="1498">
        <f>(C127+D127)*E127*G127*H127</f>
        <v>11.0259792</v>
      </c>
      <c r="J127" s="1507"/>
      <c r="K127" s="1492"/>
      <c r="L127" s="1486"/>
      <c r="M127" s="1486"/>
      <c r="N127" s="1486"/>
      <c r="O127" s="1486"/>
      <c r="P127" s="1487"/>
      <c r="Q127" s="1487"/>
      <c r="R127" s="1487"/>
    </row>
    <row r="128" spans="1:18" ht="15.75" customHeight="1">
      <c r="A128" s="1513"/>
      <c r="B128" s="1501"/>
      <c r="C128" s="1498">
        <f>C127</f>
        <v>0.36</v>
      </c>
      <c r="D128" s="1498">
        <f>D127</f>
        <v>0.1</v>
      </c>
      <c r="E128" s="1498">
        <f>E127</f>
        <v>0.22194000000000003</v>
      </c>
      <c r="F128" s="1498"/>
      <c r="G128" s="1498">
        <f>ROUNDDOWN((C124/0.15),0.1)+1</f>
        <v>17</v>
      </c>
      <c r="H128" s="1498">
        <f>H124</f>
        <v>2</v>
      </c>
      <c r="I128" s="1517">
        <f>(C128+D128)*E128*G128*H128</f>
        <v>3.4711416000000002</v>
      </c>
      <c r="J128" s="1507"/>
      <c r="K128" s="1492"/>
      <c r="L128" s="1486"/>
      <c r="M128" s="1486"/>
      <c r="N128" s="1486"/>
      <c r="O128" s="1486"/>
      <c r="P128" s="1487"/>
      <c r="Q128" s="1487"/>
      <c r="R128" s="1487"/>
    </row>
    <row r="129" spans="1:18" ht="15.75" customHeight="1">
      <c r="A129" s="1513"/>
      <c r="B129" s="1501"/>
      <c r="C129" s="1498"/>
      <c r="D129" s="1498"/>
      <c r="E129" s="1498"/>
      <c r="F129" s="1498"/>
      <c r="G129" s="1498"/>
      <c r="H129" s="1498"/>
      <c r="I129" s="1518">
        <f>SUM(I127:I128)</f>
        <v>14.497120800000001</v>
      </c>
      <c r="J129" s="1507" t="s">
        <v>100</v>
      </c>
      <c r="K129" s="1492"/>
      <c r="L129" s="1486"/>
      <c r="M129" s="1486"/>
      <c r="N129" s="1486"/>
      <c r="O129" s="1486"/>
      <c r="P129" s="1487"/>
      <c r="Q129" s="1487"/>
      <c r="R129" s="1487"/>
    </row>
    <row r="130" spans="1:18" ht="15.75" customHeight="1">
      <c r="A130" s="1513" t="s">
        <v>121</v>
      </c>
      <c r="B130" s="1501" t="s">
        <v>1043</v>
      </c>
      <c r="C130" s="1498"/>
      <c r="D130" s="1498"/>
      <c r="E130" s="1498"/>
      <c r="F130" s="1498"/>
      <c r="G130" s="1498"/>
      <c r="H130" s="1498"/>
      <c r="I130" s="1506"/>
      <c r="J130" s="1507"/>
      <c r="K130" s="1492"/>
      <c r="L130" s="1486"/>
      <c r="M130" s="1486"/>
      <c r="N130" s="1486"/>
      <c r="O130" s="1486"/>
      <c r="P130" s="1487"/>
      <c r="Q130" s="1487"/>
      <c r="R130" s="1487"/>
    </row>
    <row r="131" spans="1:18" ht="15.75" customHeight="1">
      <c r="A131" s="1512"/>
      <c r="B131" s="1501"/>
      <c r="C131" s="1498">
        <f>C123</f>
        <v>8</v>
      </c>
      <c r="D131" s="1498">
        <v>0.15</v>
      </c>
      <c r="E131" s="1498">
        <v>0.15</v>
      </c>
      <c r="F131" s="1498"/>
      <c r="G131" s="1498"/>
      <c r="H131" s="1498">
        <f>H127</f>
        <v>2</v>
      </c>
      <c r="I131" s="1498">
        <f>C131*D131*E131*H131</f>
        <v>0.36</v>
      </c>
      <c r="J131" s="1507"/>
      <c r="K131" s="1492"/>
      <c r="L131" s="1486"/>
      <c r="M131" s="1486"/>
      <c r="N131" s="1486"/>
      <c r="O131" s="1486"/>
      <c r="P131" s="1487"/>
      <c r="Q131" s="1487"/>
      <c r="R131" s="1487"/>
    </row>
    <row r="132" spans="1:18" ht="15.75" customHeight="1">
      <c r="A132" s="1512"/>
      <c r="B132" s="1501"/>
      <c r="C132" s="1498">
        <f>C124</f>
        <v>2.5</v>
      </c>
      <c r="D132" s="1498">
        <f>D131</f>
        <v>0.15</v>
      </c>
      <c r="E132" s="1498">
        <f>E131</f>
        <v>0.15</v>
      </c>
      <c r="F132" s="1498"/>
      <c r="G132" s="1498"/>
      <c r="H132" s="1498">
        <f>H128</f>
        <v>2</v>
      </c>
      <c r="I132" s="1517">
        <f>C132*D132*E132*H132</f>
        <v>0.11249999999999999</v>
      </c>
      <c r="J132" s="1507"/>
      <c r="K132" s="1492"/>
      <c r="L132" s="1486"/>
      <c r="M132" s="1486"/>
      <c r="N132" s="1486"/>
      <c r="O132" s="1486"/>
      <c r="P132" s="1487"/>
      <c r="Q132" s="1487"/>
      <c r="R132" s="1487"/>
    </row>
    <row r="133" spans="1:18" ht="15.75" customHeight="1">
      <c r="A133" s="1512"/>
      <c r="B133" s="1501"/>
      <c r="C133" s="1498"/>
      <c r="D133" s="1498"/>
      <c r="E133" s="1498"/>
      <c r="F133" s="1498"/>
      <c r="G133" s="1498"/>
      <c r="H133" s="1498"/>
      <c r="I133" s="1518">
        <f>SUM(I131:I132)</f>
        <v>0.47249999999999998</v>
      </c>
      <c r="J133" s="1507" t="s">
        <v>103</v>
      </c>
      <c r="K133" s="1492"/>
      <c r="L133" s="1486"/>
      <c r="M133" s="1486"/>
      <c r="N133" s="1486"/>
      <c r="O133" s="1486"/>
      <c r="P133" s="1487"/>
      <c r="Q133" s="1487"/>
      <c r="R133" s="1487"/>
    </row>
    <row r="134" spans="1:18" ht="15.75" customHeight="1">
      <c r="A134" s="1512">
        <f>A117+1</f>
        <v>10</v>
      </c>
      <c r="B134" s="427" t="s">
        <v>837</v>
      </c>
      <c r="C134" s="1498"/>
      <c r="D134" s="1498"/>
      <c r="E134" s="1498"/>
      <c r="F134" s="1498"/>
      <c r="G134" s="1498"/>
      <c r="H134" s="1498"/>
      <c r="I134" s="1518"/>
      <c r="J134" s="1507"/>
      <c r="K134" s="1492"/>
      <c r="L134" s="1486"/>
      <c r="M134" s="1486"/>
      <c r="N134" s="1486"/>
      <c r="O134" s="1486"/>
      <c r="P134" s="1487"/>
      <c r="Q134" s="1487"/>
      <c r="R134" s="1487"/>
    </row>
    <row r="135" spans="1:18" ht="15.75" customHeight="1">
      <c r="A135" s="1513" t="s">
        <v>95</v>
      </c>
      <c r="B135" s="1501" t="s">
        <v>1634</v>
      </c>
      <c r="C135" s="1498">
        <v>3.35</v>
      </c>
      <c r="D135" s="1498">
        <v>3</v>
      </c>
      <c r="E135" s="1498">
        <v>0.25</v>
      </c>
      <c r="F135" s="1498"/>
      <c r="G135" s="1498"/>
      <c r="H135" s="1498"/>
      <c r="I135" s="1498">
        <f>C135*D135*E135</f>
        <v>2.5125000000000002</v>
      </c>
      <c r="J135" s="1499" t="s">
        <v>103</v>
      </c>
      <c r="K135" s="1492"/>
      <c r="L135" s="1486"/>
      <c r="M135" s="1486"/>
      <c r="N135" s="1486"/>
      <c r="O135" s="1486"/>
      <c r="P135" s="1487"/>
      <c r="Q135" s="1487"/>
      <c r="R135" s="1487"/>
    </row>
    <row r="136" spans="1:18" ht="15.75" customHeight="1">
      <c r="A136" s="1513" t="s">
        <v>98</v>
      </c>
      <c r="B136" s="1501" t="s">
        <v>966</v>
      </c>
      <c r="C136" s="1498">
        <f>C135</f>
        <v>3.35</v>
      </c>
      <c r="D136" s="1498">
        <f>D135</f>
        <v>3</v>
      </c>
      <c r="E136" s="1498">
        <v>0.15</v>
      </c>
      <c r="F136" s="1498"/>
      <c r="G136" s="1498"/>
      <c r="H136" s="1498"/>
      <c r="I136" s="1498">
        <f>C136*D136*E136</f>
        <v>1.5075000000000001</v>
      </c>
      <c r="J136" s="1499" t="s">
        <v>103</v>
      </c>
      <c r="K136" s="1492"/>
      <c r="L136" s="1486"/>
      <c r="M136" s="1486"/>
      <c r="N136" s="1486"/>
      <c r="O136" s="1486"/>
      <c r="P136" s="1487"/>
      <c r="Q136" s="1487"/>
      <c r="R136" s="1487"/>
    </row>
    <row r="137" spans="1:18" ht="15.75" customHeight="1">
      <c r="A137" s="1513" t="s">
        <v>101</v>
      </c>
      <c r="B137" s="1501" t="s">
        <v>496</v>
      </c>
      <c r="C137" s="1498">
        <f>C136</f>
        <v>3.35</v>
      </c>
      <c r="D137" s="1498">
        <f>D136</f>
        <v>3</v>
      </c>
      <c r="E137" s="1498">
        <v>0.05</v>
      </c>
      <c r="F137" s="1498"/>
      <c r="G137" s="1498"/>
      <c r="H137" s="1498"/>
      <c r="I137" s="1498">
        <f>C137*D137*E137</f>
        <v>0.50250000000000006</v>
      </c>
      <c r="J137" s="1499" t="s">
        <v>103</v>
      </c>
      <c r="K137" s="1492"/>
      <c r="L137" s="1486"/>
      <c r="M137" s="1486"/>
      <c r="N137" s="1486"/>
      <c r="O137" s="1486"/>
      <c r="P137" s="1487"/>
      <c r="Q137" s="1487"/>
      <c r="R137" s="1487"/>
    </row>
    <row r="138" spans="1:18" ht="15.75" customHeight="1">
      <c r="A138" s="1513" t="s">
        <v>121</v>
      </c>
      <c r="B138" s="427" t="s">
        <v>838</v>
      </c>
      <c r="C138" s="1498">
        <v>3</v>
      </c>
      <c r="D138" s="1498"/>
      <c r="E138" s="1498">
        <f>0.3/2</f>
        <v>0.15</v>
      </c>
      <c r="F138" s="1498">
        <v>2</v>
      </c>
      <c r="G138" s="1498"/>
      <c r="H138" s="1498"/>
      <c r="I138" s="1518">
        <f>C138*E138*F138</f>
        <v>0.89999999999999991</v>
      </c>
      <c r="J138" s="1507" t="s">
        <v>89</v>
      </c>
      <c r="K138" s="1492"/>
      <c r="L138" s="1486"/>
      <c r="M138" s="1486"/>
      <c r="N138" s="1486"/>
      <c r="O138" s="1486"/>
      <c r="P138" s="1487"/>
      <c r="Q138" s="1487"/>
      <c r="R138" s="1487"/>
    </row>
    <row r="139" spans="1:18" ht="15.75" customHeight="1">
      <c r="A139" s="1513" t="s">
        <v>142</v>
      </c>
      <c r="B139" s="1501" t="s">
        <v>1635</v>
      </c>
      <c r="C139" s="1498">
        <f>C138</f>
        <v>3</v>
      </c>
      <c r="D139" s="1498">
        <v>5</v>
      </c>
      <c r="E139" s="1498"/>
      <c r="F139" s="1498"/>
      <c r="G139" s="1498"/>
      <c r="H139" s="1498"/>
      <c r="I139" s="1518">
        <f>C139*D139</f>
        <v>15</v>
      </c>
      <c r="J139" s="1507" t="s">
        <v>89</v>
      </c>
      <c r="K139" s="1492"/>
      <c r="L139" s="1486"/>
      <c r="M139" s="1486"/>
      <c r="N139" s="1486"/>
      <c r="O139" s="1486"/>
      <c r="P139" s="1487"/>
      <c r="Q139" s="1487"/>
      <c r="R139" s="1487"/>
    </row>
    <row r="140" spans="1:18" ht="15.75" customHeight="1">
      <c r="A140" s="1513" t="s">
        <v>217</v>
      </c>
      <c r="B140" s="427" t="s">
        <v>420</v>
      </c>
      <c r="C140" s="1498">
        <f>C139</f>
        <v>3</v>
      </c>
      <c r="D140" s="1498">
        <f>D139</f>
        <v>5</v>
      </c>
      <c r="E140" s="1498">
        <v>0.1</v>
      </c>
      <c r="F140" s="1498"/>
      <c r="G140" s="1498"/>
      <c r="H140" s="1498"/>
      <c r="I140" s="1518">
        <f>C140*D140*E140</f>
        <v>1.5</v>
      </c>
      <c r="J140" s="1507" t="s">
        <v>103</v>
      </c>
      <c r="K140" s="1492"/>
      <c r="L140" s="1486"/>
      <c r="M140" s="1486"/>
      <c r="N140" s="1486"/>
      <c r="O140" s="1486"/>
      <c r="P140" s="1487"/>
      <c r="Q140" s="1487"/>
      <c r="R140" s="1487"/>
    </row>
    <row r="141" spans="1:18" ht="15.75" customHeight="1">
      <c r="A141" s="1513" t="s">
        <v>366</v>
      </c>
      <c r="B141" s="1501" t="s">
        <v>194</v>
      </c>
      <c r="C141" s="1498"/>
      <c r="D141" s="1498"/>
      <c r="E141" s="1498"/>
      <c r="F141" s="1498"/>
      <c r="G141" s="1498"/>
      <c r="H141" s="1498"/>
      <c r="I141" s="1518"/>
      <c r="J141" s="1507" t="s">
        <v>89</v>
      </c>
      <c r="K141" s="1492"/>
      <c r="L141" s="1486"/>
      <c r="M141" s="1486"/>
      <c r="N141" s="1486"/>
      <c r="O141" s="1486"/>
      <c r="P141" s="1487"/>
      <c r="Q141" s="1487"/>
      <c r="R141" s="1487"/>
    </row>
    <row r="142" spans="1:18" ht="15.75" customHeight="1">
      <c r="A142" s="1512"/>
      <c r="B142" s="1508" t="s">
        <v>1092</v>
      </c>
      <c r="C142" s="1498">
        <f>C138</f>
        <v>3</v>
      </c>
      <c r="D142" s="1498"/>
      <c r="E142" s="1498">
        <f>E138</f>
        <v>0.15</v>
      </c>
      <c r="F142" s="1498">
        <f>F138</f>
        <v>2</v>
      </c>
      <c r="G142" s="1498"/>
      <c r="H142" s="1498"/>
      <c r="I142" s="1519">
        <f>C142*E142*F142</f>
        <v>0.89999999999999991</v>
      </c>
      <c r="J142" s="1507"/>
      <c r="K142" s="1492"/>
      <c r="L142" s="1486"/>
      <c r="M142" s="1486"/>
      <c r="N142" s="1486"/>
      <c r="O142" s="1486"/>
      <c r="P142" s="1487"/>
      <c r="Q142" s="1487"/>
      <c r="R142" s="1487"/>
    </row>
    <row r="143" spans="1:18" ht="15.75" customHeight="1">
      <c r="A143" s="1512"/>
      <c r="B143" s="1508" t="s">
        <v>1089</v>
      </c>
      <c r="C143" s="1498">
        <f>C140</f>
        <v>3</v>
      </c>
      <c r="D143" s="1498">
        <f>D140</f>
        <v>5</v>
      </c>
      <c r="E143" s="1498"/>
      <c r="F143" s="1498"/>
      <c r="G143" s="1498"/>
      <c r="H143" s="1498"/>
      <c r="I143" s="1517">
        <f>C143*D143</f>
        <v>15</v>
      </c>
      <c r="J143" s="1507"/>
      <c r="K143" s="1492"/>
      <c r="L143" s="1486"/>
      <c r="M143" s="1486"/>
      <c r="N143" s="1486"/>
      <c r="O143" s="1486"/>
      <c r="P143" s="1487"/>
      <c r="Q143" s="1487"/>
      <c r="R143" s="1487"/>
    </row>
    <row r="144" spans="1:18" ht="15.75" customHeight="1">
      <c r="A144" s="1512"/>
      <c r="B144" s="1501"/>
      <c r="C144" s="1498"/>
      <c r="D144" s="1498"/>
      <c r="E144" s="1498"/>
      <c r="F144" s="1498"/>
      <c r="G144" s="1498"/>
      <c r="H144" s="1498"/>
      <c r="I144" s="1518">
        <f>SUM(I142:I143)</f>
        <v>15.9</v>
      </c>
      <c r="J144" s="1507" t="s">
        <v>89</v>
      </c>
      <c r="K144" s="1492"/>
      <c r="L144" s="1486"/>
      <c r="M144" s="1486"/>
      <c r="N144" s="1486"/>
      <c r="O144" s="1486"/>
      <c r="P144" s="1487"/>
      <c r="Q144" s="1487"/>
      <c r="R144" s="1487"/>
    </row>
    <row r="145" spans="1:18" ht="15.75" customHeight="1">
      <c r="A145" s="1512"/>
      <c r="B145" s="1501"/>
      <c r="C145" s="1498"/>
      <c r="D145" s="1498"/>
      <c r="E145" s="1498"/>
      <c r="F145" s="1498"/>
      <c r="G145" s="1498"/>
      <c r="H145" s="1498"/>
      <c r="I145" s="1518"/>
      <c r="J145" s="1507"/>
      <c r="K145" s="1492"/>
      <c r="L145" s="1486"/>
      <c r="M145" s="1486"/>
      <c r="N145" s="1486"/>
      <c r="O145" s="1486"/>
      <c r="P145" s="1487"/>
      <c r="Q145" s="1487"/>
      <c r="R145" s="1487"/>
    </row>
    <row r="146" spans="1:18" ht="15.75" customHeight="1">
      <c r="A146" s="1512">
        <f>A134+1</f>
        <v>11</v>
      </c>
      <c r="B146" s="1501" t="s">
        <v>1012</v>
      </c>
      <c r="C146" s="1498">
        <v>13.75</v>
      </c>
      <c r="D146" s="1498">
        <f>2.253+2.416</f>
        <v>4.6690000000000005</v>
      </c>
      <c r="E146" s="1498"/>
      <c r="F146" s="1498"/>
      <c r="G146" s="1498">
        <v>2</v>
      </c>
      <c r="H146" s="1498"/>
      <c r="I146" s="1506">
        <f>C146*D146*G146</f>
        <v>128.39750000000001</v>
      </c>
      <c r="J146" s="1507" t="s">
        <v>89</v>
      </c>
      <c r="K146" s="1492"/>
      <c r="L146" s="1486"/>
      <c r="M146" s="1486"/>
      <c r="N146" s="1486"/>
      <c r="O146" s="1486"/>
      <c r="P146" s="1487"/>
      <c r="Q146" s="1487"/>
      <c r="R146" s="1487"/>
    </row>
    <row r="147" spans="1:18" ht="15.75" customHeight="1">
      <c r="A147" s="1512">
        <f>A146+1</f>
        <v>12</v>
      </c>
      <c r="B147" s="1501" t="s">
        <v>1691</v>
      </c>
      <c r="C147" s="1498"/>
      <c r="D147" s="1498"/>
      <c r="E147" s="1498"/>
      <c r="F147" s="1498"/>
      <c r="G147" s="1498"/>
      <c r="H147" s="1498"/>
      <c r="I147" s="1506">
        <f>I146</f>
        <v>128.39750000000001</v>
      </c>
      <c r="J147" s="1507" t="s">
        <v>89</v>
      </c>
      <c r="K147" s="1492"/>
      <c r="L147" s="1486"/>
      <c r="M147" s="1486"/>
      <c r="N147" s="1486"/>
      <c r="O147" s="1486"/>
      <c r="P147" s="1487"/>
      <c r="Q147" s="1487"/>
      <c r="R147" s="1487"/>
    </row>
    <row r="148" spans="1:18" ht="15.75" customHeight="1">
      <c r="A148" s="1512">
        <f>A147+1</f>
        <v>13</v>
      </c>
      <c r="B148" s="1501" t="s">
        <v>1037</v>
      </c>
      <c r="C148" s="1498">
        <f>C146</f>
        <v>13.75</v>
      </c>
      <c r="D148" s="1498">
        <f>D146*2</f>
        <v>9.338000000000001</v>
      </c>
      <c r="E148" s="1498"/>
      <c r="F148" s="1498"/>
      <c r="G148" s="1498">
        <v>2</v>
      </c>
      <c r="H148" s="1498"/>
      <c r="I148" s="1506">
        <f>(C148+D148)*G148</f>
        <v>46.176000000000002</v>
      </c>
      <c r="J148" s="1507" t="s">
        <v>117</v>
      </c>
      <c r="K148" s="1492"/>
      <c r="L148" s="1486"/>
      <c r="M148" s="1486"/>
      <c r="N148" s="1486"/>
      <c r="O148" s="1486"/>
      <c r="P148" s="1487"/>
      <c r="Q148" s="1487"/>
      <c r="R148" s="1487"/>
    </row>
    <row r="149" spans="1:18" ht="15.75" customHeight="1">
      <c r="A149" s="1512">
        <f>A148+1</f>
        <v>14</v>
      </c>
      <c r="B149" s="1520" t="s">
        <v>968</v>
      </c>
      <c r="C149" s="1498">
        <f>I148</f>
        <v>46.176000000000002</v>
      </c>
      <c r="D149" s="1498">
        <v>0.3</v>
      </c>
      <c r="E149" s="1498"/>
      <c r="F149" s="1498"/>
      <c r="G149" s="1498"/>
      <c r="H149" s="1498"/>
      <c r="I149" s="1506">
        <f>C149*D149</f>
        <v>13.8528</v>
      </c>
      <c r="J149" s="1507" t="s">
        <v>89</v>
      </c>
      <c r="K149" s="1492"/>
      <c r="L149" s="1486"/>
      <c r="M149" s="1486"/>
      <c r="N149" s="1486"/>
      <c r="O149" s="1486"/>
      <c r="P149" s="1487"/>
      <c r="Q149" s="1487"/>
      <c r="R149" s="1487"/>
    </row>
    <row r="150" spans="1:18" ht="15.75" customHeight="1">
      <c r="A150" s="1512"/>
      <c r="B150" s="1501"/>
      <c r="C150" s="1498"/>
      <c r="D150" s="1498"/>
      <c r="E150" s="1498"/>
      <c r="F150" s="1498"/>
      <c r="G150" s="1498"/>
      <c r="H150" s="1498"/>
      <c r="I150" s="1506"/>
      <c r="J150" s="1507"/>
      <c r="K150" s="1492"/>
      <c r="L150" s="1486"/>
      <c r="M150" s="1486"/>
      <c r="N150" s="1486"/>
      <c r="O150" s="1486"/>
      <c r="P150" s="1487"/>
      <c r="Q150" s="1487"/>
      <c r="R150" s="1487"/>
    </row>
    <row r="151" spans="1:18" ht="15.75" customHeight="1">
      <c r="A151" s="1521" t="s">
        <v>433</v>
      </c>
      <c r="B151" s="1522" t="s">
        <v>434</v>
      </c>
      <c r="C151" s="1498"/>
      <c r="D151" s="1498"/>
      <c r="E151" s="1498"/>
      <c r="F151" s="1498"/>
      <c r="G151" s="1498"/>
      <c r="H151" s="1498"/>
      <c r="I151" s="1506"/>
      <c r="J151" s="1507"/>
      <c r="K151" s="1492"/>
      <c r="L151" s="1486"/>
      <c r="M151" s="1486"/>
      <c r="N151" s="1486"/>
      <c r="O151" s="1486"/>
      <c r="P151" s="1487"/>
      <c r="Q151" s="1487"/>
      <c r="R151" s="1487"/>
    </row>
    <row r="152" spans="1:18" ht="15.75" customHeight="1">
      <c r="A152" s="1512">
        <v>1</v>
      </c>
      <c r="B152" s="1501" t="s">
        <v>536</v>
      </c>
      <c r="C152" s="1498"/>
      <c r="D152" s="1498"/>
      <c r="E152" s="1498"/>
      <c r="F152" s="1498"/>
      <c r="G152" s="1498"/>
      <c r="H152" s="1498"/>
      <c r="I152" s="1506"/>
      <c r="J152" s="1507"/>
      <c r="K152" s="1492"/>
      <c r="L152" s="1486"/>
      <c r="M152" s="1486"/>
      <c r="N152" s="1486"/>
      <c r="O152" s="1486"/>
      <c r="P152" s="1487"/>
      <c r="Q152" s="1487"/>
      <c r="R152" s="1487"/>
    </row>
    <row r="153" spans="1:18" ht="15.75" customHeight="1">
      <c r="A153" s="1512"/>
      <c r="B153" s="1508" t="s">
        <v>1415</v>
      </c>
      <c r="C153" s="1498"/>
      <c r="D153" s="1498">
        <v>6</v>
      </c>
      <c r="E153" s="1498">
        <v>2.73</v>
      </c>
      <c r="F153" s="1498"/>
      <c r="G153" s="1498">
        <v>2</v>
      </c>
      <c r="H153" s="1498"/>
      <c r="I153" s="1506">
        <f>(D153*E153)*0.5*G153</f>
        <v>16.38</v>
      </c>
      <c r="J153" s="1507" t="s">
        <v>89</v>
      </c>
      <c r="K153" s="1492"/>
      <c r="L153" s="1486"/>
      <c r="M153" s="1486"/>
      <c r="N153" s="1486"/>
      <c r="O153" s="1486"/>
      <c r="P153" s="1487"/>
      <c r="Q153" s="1487"/>
      <c r="R153" s="1487"/>
    </row>
    <row r="154" spans="1:18" ht="15.75" customHeight="1">
      <c r="A154" s="1512">
        <f>A152+1</f>
        <v>2</v>
      </c>
      <c r="B154" s="1501" t="s">
        <v>193</v>
      </c>
      <c r="C154" s="1498" t="s">
        <v>1744</v>
      </c>
      <c r="D154" s="1498"/>
      <c r="E154" s="1498"/>
      <c r="F154" s="1498"/>
      <c r="G154" s="1498"/>
      <c r="H154" s="1498"/>
      <c r="I154" s="1506">
        <f>I153</f>
        <v>16.38</v>
      </c>
      <c r="J154" s="1507" t="s">
        <v>89</v>
      </c>
      <c r="K154" s="1492"/>
      <c r="L154" s="1486"/>
      <c r="M154" s="1486"/>
      <c r="N154" s="1486"/>
      <c r="O154" s="1486"/>
      <c r="P154" s="1487"/>
      <c r="Q154" s="1487"/>
      <c r="R154" s="1487"/>
    </row>
    <row r="155" spans="1:18" ht="15.75" customHeight="1">
      <c r="A155" s="1512">
        <f>A154+1</f>
        <v>3</v>
      </c>
      <c r="B155" s="1501" t="s">
        <v>194</v>
      </c>
      <c r="C155" s="1498"/>
      <c r="D155" s="1498"/>
      <c r="E155" s="1498"/>
      <c r="F155" s="1498"/>
      <c r="G155" s="1498"/>
      <c r="H155" s="1498"/>
      <c r="I155" s="1506">
        <f>I154</f>
        <v>16.38</v>
      </c>
      <c r="J155" s="1507" t="s">
        <v>89</v>
      </c>
      <c r="K155" s="1492"/>
      <c r="L155" s="1486"/>
      <c r="M155" s="1486"/>
      <c r="N155" s="1486"/>
      <c r="O155" s="1486"/>
      <c r="P155" s="1487"/>
      <c r="Q155" s="1487"/>
      <c r="R155" s="1487"/>
    </row>
    <row r="156" spans="1:18" ht="15.75" customHeight="1">
      <c r="A156" s="1512">
        <f>A155+1</f>
        <v>4</v>
      </c>
      <c r="B156" s="1501" t="s">
        <v>435</v>
      </c>
      <c r="C156" s="1498"/>
      <c r="D156" s="1498"/>
      <c r="E156" s="1498"/>
      <c r="F156" s="1498"/>
      <c r="G156" s="1498"/>
      <c r="H156" s="1498"/>
      <c r="I156" s="1498"/>
      <c r="J156" s="1507"/>
      <c r="K156" s="1492"/>
      <c r="L156" s="1486"/>
      <c r="M156" s="1486"/>
      <c r="N156" s="1486"/>
      <c r="O156" s="1486"/>
      <c r="P156" s="1487"/>
      <c r="Q156" s="1487"/>
      <c r="R156" s="1487"/>
    </row>
    <row r="157" spans="1:18" ht="15.75" customHeight="1">
      <c r="A157" s="1512"/>
      <c r="B157" s="1508" t="s">
        <v>1745</v>
      </c>
      <c r="C157" s="1498"/>
      <c r="D157" s="1498">
        <v>0.25</v>
      </c>
      <c r="E157" s="1498">
        <f>C82</f>
        <v>4.2300000000000004</v>
      </c>
      <c r="F157" s="1498"/>
      <c r="G157" s="1498">
        <v>4</v>
      </c>
      <c r="H157" s="1498">
        <v>8</v>
      </c>
      <c r="I157" s="1498">
        <f>D157*E157*G157*H157</f>
        <v>33.840000000000003</v>
      </c>
      <c r="J157" s="1507"/>
      <c r="K157" s="1492"/>
      <c r="L157" s="1486"/>
      <c r="M157" s="1486"/>
      <c r="N157" s="1486"/>
      <c r="O157" s="1486"/>
      <c r="P157" s="1487"/>
      <c r="Q157" s="1487"/>
      <c r="R157" s="1487"/>
    </row>
    <row r="158" spans="1:18" ht="15.75" customHeight="1">
      <c r="A158" s="1512"/>
      <c r="B158" s="1508" t="s">
        <v>1018</v>
      </c>
      <c r="C158" s="1498">
        <v>6</v>
      </c>
      <c r="D158" s="1498">
        <v>0.2</v>
      </c>
      <c r="E158" s="1498">
        <v>0.35</v>
      </c>
      <c r="F158" s="1498"/>
      <c r="G158" s="1498">
        <v>2</v>
      </c>
      <c r="H158" s="1498">
        <v>2</v>
      </c>
      <c r="I158" s="1498">
        <f>C158*((D158*G158)*2)*H158*E158</f>
        <v>3.3600000000000003</v>
      </c>
      <c r="J158" s="1507"/>
      <c r="K158" s="1492"/>
      <c r="L158" s="1486"/>
      <c r="M158" s="1486"/>
      <c r="N158" s="1486"/>
      <c r="O158" s="1486"/>
      <c r="P158" s="1487"/>
      <c r="Q158" s="1487"/>
      <c r="R158" s="1487"/>
    </row>
    <row r="159" spans="1:18" ht="15.75" customHeight="1">
      <c r="A159" s="1512"/>
      <c r="B159" s="1508"/>
      <c r="C159" s="1498">
        <v>12</v>
      </c>
      <c r="D159" s="1498">
        <f>D158</f>
        <v>0.2</v>
      </c>
      <c r="E159" s="1498">
        <f>E158</f>
        <v>0.35</v>
      </c>
      <c r="F159" s="1498"/>
      <c r="G159" s="1498">
        <f>G158</f>
        <v>2</v>
      </c>
      <c r="H159" s="1498">
        <v>2</v>
      </c>
      <c r="I159" s="1498">
        <f>C159*((D159*G159)*2)*H159*E159</f>
        <v>6.7200000000000006</v>
      </c>
      <c r="J159" s="1507"/>
      <c r="K159" s="1492"/>
      <c r="L159" s="1486"/>
      <c r="M159" s="1486"/>
      <c r="N159" s="1486"/>
      <c r="O159" s="1486"/>
      <c r="P159" s="1487"/>
      <c r="Q159" s="1487"/>
      <c r="R159" s="1487"/>
    </row>
    <row r="160" spans="1:18" ht="15.75" customHeight="1">
      <c r="A160" s="1512"/>
      <c r="B160" s="1501"/>
      <c r="C160" s="1498"/>
      <c r="D160" s="1498"/>
      <c r="E160" s="1498"/>
      <c r="F160" s="1498"/>
      <c r="G160" s="1498"/>
      <c r="H160" s="1498"/>
      <c r="I160" s="1523">
        <f>SUM(I157:I159)</f>
        <v>43.92</v>
      </c>
      <c r="J160" s="1507" t="s">
        <v>89</v>
      </c>
      <c r="K160" s="1492"/>
      <c r="L160" s="1486"/>
      <c r="M160" s="1486"/>
      <c r="N160" s="1486"/>
      <c r="O160" s="1486"/>
      <c r="P160" s="1487"/>
      <c r="Q160" s="1487"/>
      <c r="R160" s="1487"/>
    </row>
    <row r="161" spans="1:18" ht="15.75" customHeight="1">
      <c r="A161" s="1512">
        <f>A156+1</f>
        <v>5</v>
      </c>
      <c r="B161" s="1501" t="s">
        <v>967</v>
      </c>
      <c r="C161" s="1498">
        <v>12</v>
      </c>
      <c r="D161" s="1498">
        <v>6</v>
      </c>
      <c r="E161" s="1498"/>
      <c r="F161" s="1498"/>
      <c r="G161" s="1498"/>
      <c r="H161" s="1498"/>
      <c r="I161" s="1524">
        <f>C161*D161</f>
        <v>72</v>
      </c>
      <c r="J161" s="1507" t="s">
        <v>89</v>
      </c>
      <c r="K161" s="1492"/>
      <c r="L161" s="1486"/>
      <c r="M161" s="1486"/>
      <c r="N161" s="1486"/>
      <c r="O161" s="1486"/>
      <c r="P161" s="1487"/>
      <c r="Q161" s="1487"/>
      <c r="R161" s="1487"/>
    </row>
    <row r="162" spans="1:18" ht="15.75" customHeight="1">
      <c r="A162" s="1512">
        <f>A161+1</f>
        <v>6</v>
      </c>
      <c r="B162" s="1501" t="s">
        <v>580</v>
      </c>
      <c r="C162" s="1498"/>
      <c r="D162" s="1498"/>
      <c r="E162" s="1498"/>
      <c r="F162" s="1498"/>
      <c r="G162" s="1498"/>
      <c r="H162" s="1498"/>
      <c r="I162" s="1518">
        <f>I155+I160</f>
        <v>60.3</v>
      </c>
      <c r="J162" s="1507" t="s">
        <v>89</v>
      </c>
      <c r="K162" s="1492"/>
      <c r="L162" s="1486"/>
      <c r="M162" s="1486"/>
      <c r="N162" s="1486"/>
      <c r="O162" s="1486"/>
      <c r="P162" s="1487"/>
      <c r="Q162" s="1487"/>
      <c r="R162" s="1487"/>
    </row>
    <row r="163" spans="1:18" ht="15.75" customHeight="1">
      <c r="A163" s="1512">
        <f>A162+1</f>
        <v>7</v>
      </c>
      <c r="B163" s="1501" t="s">
        <v>582</v>
      </c>
      <c r="C163" s="1498"/>
      <c r="D163" s="1498"/>
      <c r="E163" s="1498"/>
      <c r="F163" s="1498"/>
      <c r="G163" s="1498"/>
      <c r="H163" s="1498"/>
      <c r="I163" s="1506">
        <v>1</v>
      </c>
      <c r="J163" s="1507" t="s">
        <v>360</v>
      </c>
      <c r="K163" s="1492"/>
      <c r="L163" s="1486"/>
      <c r="M163" s="1486"/>
      <c r="N163" s="1486"/>
      <c r="O163" s="1486"/>
      <c r="P163" s="1487"/>
      <c r="Q163" s="1487"/>
      <c r="R163" s="1487"/>
    </row>
    <row r="164" spans="1:18" ht="27.75" customHeight="1">
      <c r="A164" s="1512">
        <f>A163+1</f>
        <v>8</v>
      </c>
      <c r="B164" s="1525" t="s">
        <v>1746</v>
      </c>
      <c r="C164" s="1498"/>
      <c r="D164" s="1498"/>
      <c r="E164" s="1498"/>
      <c r="F164" s="1498"/>
      <c r="G164" s="1498"/>
      <c r="H164" s="1498"/>
      <c r="I164" s="1506">
        <v>19</v>
      </c>
      <c r="J164" s="1507" t="s">
        <v>124</v>
      </c>
      <c r="K164" s="1492"/>
      <c r="L164" s="1486"/>
      <c r="M164" s="1486"/>
      <c r="N164" s="1486"/>
      <c r="O164" s="1486"/>
      <c r="P164" s="1487"/>
      <c r="Q164" s="1487"/>
      <c r="R164" s="1487"/>
    </row>
    <row r="165" spans="1:18" ht="15.75" customHeight="1">
      <c r="A165" s="1513"/>
      <c r="B165" s="1508"/>
      <c r="C165" s="1498"/>
      <c r="D165" s="1498"/>
      <c r="E165" s="1498"/>
      <c r="F165" s="1498"/>
      <c r="G165" s="1498"/>
      <c r="H165" s="1498"/>
      <c r="I165" s="1517"/>
      <c r="J165" s="1507"/>
      <c r="K165" s="1492"/>
      <c r="L165" s="1486"/>
      <c r="M165" s="1486"/>
      <c r="N165" s="1486"/>
      <c r="O165" s="1486"/>
      <c r="P165" s="1487"/>
      <c r="Q165" s="1487"/>
      <c r="R165" s="1487"/>
    </row>
    <row r="166" spans="1:18" ht="15.75" customHeight="1">
      <c r="A166" s="1521" t="s">
        <v>456</v>
      </c>
      <c r="B166" s="1522" t="s">
        <v>457</v>
      </c>
      <c r="C166" s="1498"/>
      <c r="D166" s="1498"/>
      <c r="E166" s="1498"/>
      <c r="F166" s="1498"/>
      <c r="G166" s="1498"/>
      <c r="H166" s="1498"/>
      <c r="I166" s="1518"/>
      <c r="J166" s="1507"/>
      <c r="K166" s="1492"/>
      <c r="L166" s="1486"/>
      <c r="M166" s="1486"/>
      <c r="N166" s="1486"/>
      <c r="O166" s="1486"/>
      <c r="P166" s="1487"/>
      <c r="Q166" s="1487"/>
      <c r="R166" s="1487"/>
    </row>
    <row r="167" spans="1:18" ht="15.75" customHeight="1">
      <c r="A167" s="1512">
        <v>1</v>
      </c>
      <c r="B167" s="1501" t="s">
        <v>681</v>
      </c>
      <c r="C167" s="1498"/>
      <c r="D167" s="1498"/>
      <c r="E167" s="1498"/>
      <c r="F167" s="1498"/>
      <c r="G167" s="1498"/>
      <c r="H167" s="1498"/>
      <c r="I167" s="1506">
        <v>2</v>
      </c>
      <c r="J167" s="1507" t="s">
        <v>357</v>
      </c>
      <c r="K167" s="1492"/>
      <c r="L167" s="1486"/>
      <c r="M167" s="1486"/>
      <c r="N167" s="1486"/>
      <c r="O167" s="1486"/>
      <c r="P167" s="1487"/>
      <c r="Q167" s="1487"/>
      <c r="R167" s="1487"/>
    </row>
    <row r="168" spans="1:18" ht="15.75" customHeight="1">
      <c r="A168" s="1512">
        <f>A167+1</f>
        <v>2</v>
      </c>
      <c r="B168" s="1501" t="s">
        <v>682</v>
      </c>
      <c r="C168" s="1498"/>
      <c r="D168" s="1498"/>
      <c r="E168" s="1498"/>
      <c r="F168" s="1498"/>
      <c r="G168" s="1498"/>
      <c r="H168" s="1498"/>
      <c r="I168" s="1506">
        <v>2</v>
      </c>
      <c r="J168" s="1507" t="s">
        <v>357</v>
      </c>
      <c r="K168" s="1492"/>
      <c r="L168" s="1486"/>
      <c r="M168" s="1486"/>
      <c r="N168" s="1486"/>
      <c r="O168" s="1486"/>
      <c r="P168" s="1487"/>
      <c r="Q168" s="1487"/>
      <c r="R168" s="1487"/>
    </row>
    <row r="169" spans="1:18" ht="15.75" customHeight="1">
      <c r="A169" s="1512">
        <f>A168+1</f>
        <v>3</v>
      </c>
      <c r="B169" s="1501" t="s">
        <v>614</v>
      </c>
      <c r="C169" s="1498"/>
      <c r="D169" s="1498"/>
      <c r="E169" s="1498"/>
      <c r="F169" s="1498"/>
      <c r="G169" s="1498"/>
      <c r="H169" s="1498"/>
      <c r="I169" s="1506">
        <v>1</v>
      </c>
      <c r="J169" s="1507" t="s">
        <v>124</v>
      </c>
      <c r="K169" s="1492"/>
      <c r="L169" s="1486"/>
      <c r="M169" s="1486"/>
      <c r="N169" s="1486"/>
      <c r="O169" s="1486"/>
      <c r="P169" s="1487"/>
      <c r="Q169" s="1487"/>
      <c r="R169" s="1487"/>
    </row>
    <row r="170" spans="1:18" ht="15.75" customHeight="1">
      <c r="A170" s="1512">
        <f>A169+1</f>
        <v>4</v>
      </c>
      <c r="B170" s="1501" t="s">
        <v>639</v>
      </c>
      <c r="C170" s="1498"/>
      <c r="D170" s="1498"/>
      <c r="E170" s="1498"/>
      <c r="F170" s="1498"/>
      <c r="G170" s="1498"/>
      <c r="H170" s="1498"/>
      <c r="I170" s="1506">
        <v>1</v>
      </c>
      <c r="J170" s="1507" t="s">
        <v>124</v>
      </c>
      <c r="K170" s="1492"/>
      <c r="L170" s="1486"/>
      <c r="M170" s="1486"/>
      <c r="N170" s="1486"/>
      <c r="O170" s="1486"/>
      <c r="P170" s="1487"/>
      <c r="Q170" s="1487"/>
      <c r="R170" s="1487"/>
    </row>
    <row r="171" spans="1:18" ht="15.75" customHeight="1">
      <c r="A171" s="1512">
        <f>A170+1</f>
        <v>5</v>
      </c>
      <c r="B171" s="1501" t="s">
        <v>615</v>
      </c>
      <c r="C171" s="1498"/>
      <c r="D171" s="1498"/>
      <c r="E171" s="1498"/>
      <c r="F171" s="1498"/>
      <c r="G171" s="1498"/>
      <c r="H171" s="1498"/>
      <c r="I171" s="1506">
        <v>6</v>
      </c>
      <c r="J171" s="1507" t="s">
        <v>124</v>
      </c>
      <c r="K171" s="1492"/>
      <c r="L171" s="1486"/>
      <c r="M171" s="1486"/>
      <c r="N171" s="1486"/>
      <c r="O171" s="1486"/>
      <c r="P171" s="1487"/>
      <c r="Q171" s="1487"/>
      <c r="R171" s="1487"/>
    </row>
    <row r="172" spans="1:18" ht="15.75" customHeight="1">
      <c r="A172" s="1512">
        <f>A171+1</f>
        <v>6</v>
      </c>
      <c r="B172" s="1501" t="s">
        <v>640</v>
      </c>
      <c r="C172" s="1498"/>
      <c r="D172" s="1498"/>
      <c r="E172" s="1498"/>
      <c r="F172" s="1498"/>
      <c r="G172" s="1498"/>
      <c r="H172" s="1498"/>
      <c r="I172" s="1524">
        <v>2</v>
      </c>
      <c r="J172" s="1507" t="s">
        <v>124</v>
      </c>
      <c r="K172" s="1492"/>
      <c r="L172" s="1486"/>
      <c r="M172" s="1486"/>
      <c r="N172" s="1486"/>
      <c r="O172" s="1486"/>
      <c r="P172" s="1487"/>
      <c r="Q172" s="1487"/>
      <c r="R172" s="1487"/>
    </row>
    <row r="173" spans="1:18" ht="8.25" customHeight="1">
      <c r="A173" s="1526"/>
      <c r="B173" s="1527"/>
      <c r="C173" s="1528"/>
      <c r="D173" s="1528"/>
      <c r="E173" s="1528"/>
      <c r="F173" s="1528"/>
      <c r="G173" s="1528"/>
      <c r="H173" s="1528"/>
      <c r="I173" s="1528"/>
      <c r="J173" s="1529"/>
      <c r="K173" s="1492"/>
      <c r="L173" s="1486"/>
      <c r="M173" s="1486"/>
      <c r="N173" s="1486"/>
      <c r="O173" s="1486"/>
      <c r="P173" s="1487"/>
      <c r="Q173" s="1487"/>
      <c r="R173" s="1487"/>
    </row>
    <row r="174" spans="1:18" ht="15.75" customHeight="1">
      <c r="A174" s="1530"/>
      <c r="B174" s="1492"/>
      <c r="C174" s="1531"/>
      <c r="D174" s="1531"/>
      <c r="E174" s="1531"/>
      <c r="F174" s="1531"/>
      <c r="G174" s="1531"/>
      <c r="H174" s="1531"/>
      <c r="I174" s="1531"/>
      <c r="J174" s="1530"/>
      <c r="K174" s="1492"/>
      <c r="L174" s="1486"/>
      <c r="M174" s="1486"/>
      <c r="N174" s="1486"/>
      <c r="O174" s="1486"/>
      <c r="P174" s="1487"/>
      <c r="Q174" s="1487"/>
      <c r="R174" s="1487"/>
    </row>
    <row r="175" spans="1:18" ht="15.75" customHeight="1">
      <c r="A175" s="1530"/>
      <c r="B175" s="1492"/>
      <c r="C175" s="1531"/>
      <c r="D175" s="1531"/>
      <c r="E175" s="1531"/>
      <c r="F175" s="1531"/>
      <c r="G175" s="1531"/>
      <c r="H175" s="1531"/>
      <c r="I175" s="1531"/>
      <c r="J175" s="1530"/>
      <c r="K175" s="1492"/>
      <c r="L175" s="1486"/>
      <c r="M175" s="1486"/>
      <c r="N175" s="1486"/>
      <c r="O175" s="1486"/>
      <c r="P175" s="1487"/>
      <c r="Q175" s="1487"/>
      <c r="R175" s="1487"/>
    </row>
    <row r="176" spans="1:18" ht="15.75" customHeight="1">
      <c r="A176" s="1530"/>
      <c r="B176" s="1492"/>
      <c r="C176" s="1531"/>
      <c r="D176" s="1531"/>
      <c r="E176" s="1531"/>
      <c r="F176" s="1531"/>
      <c r="G176" s="1531"/>
      <c r="H176" s="1531"/>
      <c r="I176" s="1531"/>
      <c r="J176" s="1530"/>
      <c r="K176" s="1492"/>
      <c r="L176" s="1486"/>
      <c r="M176" s="1486"/>
      <c r="N176" s="1486"/>
      <c r="O176" s="1486"/>
      <c r="P176" s="1487"/>
      <c r="Q176" s="1487"/>
      <c r="R176" s="1487"/>
    </row>
    <row r="177" spans="1:18" ht="15.75" customHeight="1">
      <c r="A177" s="1530"/>
      <c r="B177" s="1492"/>
      <c r="C177" s="1531"/>
      <c r="D177" s="1531"/>
      <c r="E177" s="1531"/>
      <c r="F177" s="1531"/>
      <c r="G177" s="1531"/>
      <c r="H177" s="1531"/>
      <c r="I177" s="1531"/>
      <c r="J177" s="1530"/>
      <c r="K177" s="1492"/>
      <c r="L177" s="1486"/>
      <c r="M177" s="1486"/>
      <c r="N177" s="1486"/>
      <c r="O177" s="1486"/>
      <c r="P177" s="1487"/>
      <c r="Q177" s="1487"/>
      <c r="R177" s="1487"/>
    </row>
    <row r="178" spans="1:18" ht="15.75" customHeight="1">
      <c r="A178" s="1492"/>
      <c r="B178" s="1492"/>
      <c r="C178" s="1531"/>
      <c r="D178" s="1531"/>
      <c r="E178" s="1531"/>
      <c r="F178" s="1531"/>
      <c r="G178" s="1531"/>
      <c r="H178" s="1531"/>
      <c r="I178" s="1531"/>
      <c r="J178" s="1530"/>
      <c r="K178" s="1492"/>
      <c r="L178" s="1486"/>
      <c r="M178" s="1486"/>
      <c r="N178" s="1486"/>
      <c r="O178" s="1486"/>
      <c r="P178" s="1487"/>
      <c r="Q178" s="1487"/>
      <c r="R178" s="1487"/>
    </row>
    <row r="179" spans="1:18" ht="15.75" customHeight="1">
      <c r="A179" s="1492"/>
      <c r="B179" s="1492"/>
      <c r="C179" s="1531"/>
      <c r="D179" s="1531"/>
      <c r="E179" s="1531"/>
      <c r="F179" s="1531"/>
      <c r="G179" s="1531"/>
      <c r="H179" s="1531"/>
      <c r="I179" s="1531"/>
      <c r="J179" s="1530"/>
      <c r="K179" s="1492"/>
      <c r="L179" s="1486"/>
      <c r="M179" s="1486"/>
      <c r="N179" s="1486"/>
      <c r="O179" s="1486"/>
      <c r="P179" s="1487"/>
      <c r="Q179" s="1487"/>
      <c r="R179" s="1487"/>
    </row>
    <row r="180" spans="1:18" ht="15.75" customHeight="1">
      <c r="A180" s="1492"/>
      <c r="B180" s="1492"/>
      <c r="C180" s="1531"/>
      <c r="D180" s="1531"/>
      <c r="E180" s="1531"/>
      <c r="F180" s="1531"/>
      <c r="G180" s="1531"/>
      <c r="H180" s="1531"/>
      <c r="I180" s="1531"/>
      <c r="J180" s="1530"/>
      <c r="K180" s="1492"/>
      <c r="L180" s="1486"/>
      <c r="M180" s="1486"/>
      <c r="N180" s="1486"/>
      <c r="O180" s="1486"/>
      <c r="P180" s="1487"/>
      <c r="Q180" s="1487"/>
      <c r="R180" s="1487"/>
    </row>
    <row r="181" spans="1:18" ht="15.75" customHeight="1">
      <c r="A181" s="1492"/>
      <c r="B181" s="1492"/>
      <c r="C181" s="1531"/>
      <c r="D181" s="1531"/>
      <c r="E181" s="1531"/>
      <c r="F181" s="1531"/>
      <c r="G181" s="1531"/>
      <c r="H181" s="1531"/>
      <c r="I181" s="1531"/>
      <c r="J181" s="1530"/>
      <c r="K181" s="1492"/>
      <c r="L181" s="1486"/>
      <c r="M181" s="1486"/>
      <c r="N181" s="1486"/>
      <c r="O181" s="1486"/>
      <c r="P181" s="1487"/>
      <c r="Q181" s="1487"/>
      <c r="R181" s="1487"/>
    </row>
    <row r="182" spans="1:18" ht="15.75" customHeight="1">
      <c r="A182" s="1492"/>
      <c r="B182" s="1492"/>
      <c r="C182" s="1531"/>
      <c r="D182" s="1531"/>
      <c r="E182" s="1531"/>
      <c r="F182" s="1531"/>
      <c r="G182" s="1531"/>
      <c r="H182" s="1531"/>
      <c r="I182" s="1531"/>
      <c r="J182" s="1530"/>
      <c r="K182" s="1492"/>
      <c r="L182" s="1486"/>
      <c r="M182" s="1486"/>
      <c r="N182" s="1486"/>
      <c r="O182" s="1486"/>
      <c r="P182" s="1487"/>
      <c r="Q182" s="1487"/>
      <c r="R182" s="1487"/>
    </row>
    <row r="183" spans="1:18" ht="15.75" customHeight="1">
      <c r="A183" s="1492"/>
      <c r="B183" s="1492"/>
      <c r="C183" s="1531"/>
      <c r="D183" s="1531"/>
      <c r="E183" s="1531"/>
      <c r="F183" s="1531"/>
      <c r="G183" s="1531"/>
      <c r="H183" s="1531"/>
      <c r="I183" s="1531"/>
      <c r="J183" s="1530"/>
      <c r="K183" s="1492"/>
      <c r="L183" s="1486"/>
      <c r="M183" s="1486"/>
      <c r="N183" s="1486"/>
      <c r="O183" s="1486"/>
      <c r="P183" s="1487"/>
      <c r="Q183" s="1487"/>
      <c r="R183" s="1487"/>
    </row>
    <row r="184" spans="1:18" ht="15.75" customHeight="1">
      <c r="A184" s="1492"/>
      <c r="B184" s="1492"/>
      <c r="C184" s="1531"/>
      <c r="D184" s="1531"/>
      <c r="E184" s="1531"/>
      <c r="F184" s="1531"/>
      <c r="G184" s="1531"/>
      <c r="H184" s="1531"/>
      <c r="I184" s="1531"/>
      <c r="J184" s="1530"/>
      <c r="K184" s="1492"/>
      <c r="L184" s="1486"/>
      <c r="M184" s="1486"/>
      <c r="N184" s="1486"/>
      <c r="O184" s="1486"/>
      <c r="P184" s="1487"/>
      <c r="Q184" s="1487"/>
      <c r="R184" s="1487"/>
    </row>
    <row r="185" spans="1:18" ht="15.75" customHeight="1">
      <c r="A185" s="1492"/>
      <c r="B185" s="1492"/>
      <c r="C185" s="1531"/>
      <c r="D185" s="1531"/>
      <c r="E185" s="1531"/>
      <c r="F185" s="1531"/>
      <c r="G185" s="1531"/>
      <c r="H185" s="1531"/>
      <c r="I185" s="1531"/>
      <c r="J185" s="1530"/>
      <c r="K185" s="1492"/>
      <c r="L185" s="1486"/>
      <c r="M185" s="1486"/>
      <c r="N185" s="1486"/>
      <c r="O185" s="1486"/>
      <c r="P185" s="1487"/>
      <c r="Q185" s="1487"/>
      <c r="R185" s="1487"/>
    </row>
    <row r="186" spans="1:18" ht="15.75" customHeight="1">
      <c r="A186" s="1492"/>
      <c r="B186" s="1492"/>
      <c r="C186" s="1531"/>
      <c r="D186" s="1531"/>
      <c r="E186" s="1531"/>
      <c r="F186" s="1531"/>
      <c r="G186" s="1531"/>
      <c r="H186" s="1531"/>
      <c r="I186" s="1531"/>
      <c r="J186" s="1530"/>
      <c r="K186" s="1492"/>
      <c r="L186" s="1486"/>
      <c r="M186" s="1486"/>
      <c r="N186" s="1486"/>
      <c r="O186" s="1486"/>
      <c r="P186" s="1487"/>
      <c r="Q186" s="1487"/>
      <c r="R186" s="1487"/>
    </row>
    <row r="187" spans="1:18" ht="15.75" customHeight="1">
      <c r="A187" s="1492"/>
      <c r="B187" s="1492"/>
      <c r="C187" s="1531"/>
      <c r="D187" s="1531"/>
      <c r="E187" s="1531"/>
      <c r="F187" s="1531"/>
      <c r="G187" s="1531"/>
      <c r="H187" s="1531"/>
      <c r="I187" s="1531"/>
      <c r="J187" s="1530"/>
      <c r="K187" s="1492"/>
      <c r="L187" s="1486"/>
      <c r="M187" s="1486"/>
      <c r="N187" s="1486"/>
      <c r="O187" s="1486"/>
      <c r="P187" s="1487"/>
      <c r="Q187" s="1487"/>
      <c r="R187" s="1487"/>
    </row>
    <row r="188" spans="1:18" ht="15.75" customHeight="1">
      <c r="A188" s="1492"/>
      <c r="B188" s="1492"/>
      <c r="C188" s="1531"/>
      <c r="D188" s="1531"/>
      <c r="E188" s="1531"/>
      <c r="F188" s="1531"/>
      <c r="G188" s="1531"/>
      <c r="H188" s="1531"/>
      <c r="I188" s="1531"/>
      <c r="J188" s="1530"/>
      <c r="K188" s="1492"/>
      <c r="L188" s="1486"/>
      <c r="M188" s="1486"/>
      <c r="N188" s="1486"/>
      <c r="O188" s="1486"/>
      <c r="P188" s="1487"/>
      <c r="Q188" s="1487"/>
      <c r="R188" s="1487"/>
    </row>
    <row r="189" spans="1:18" ht="15.75" customHeight="1">
      <c r="A189" s="1492"/>
      <c r="B189" s="1492"/>
      <c r="C189" s="1531"/>
      <c r="D189" s="1531"/>
      <c r="E189" s="1531"/>
      <c r="F189" s="1531"/>
      <c r="G189" s="1531"/>
      <c r="H189" s="1531"/>
      <c r="I189" s="1531"/>
      <c r="J189" s="1530"/>
      <c r="K189" s="1492"/>
      <c r="L189" s="1486"/>
      <c r="M189" s="1486"/>
      <c r="N189" s="1486"/>
      <c r="O189" s="1486"/>
      <c r="P189" s="1487"/>
      <c r="Q189" s="1487"/>
      <c r="R189" s="1487"/>
    </row>
    <row r="190" spans="1:18" ht="15.75" customHeight="1">
      <c r="A190" s="1492"/>
      <c r="B190" s="1492"/>
      <c r="C190" s="1531"/>
      <c r="D190" s="1531"/>
      <c r="E190" s="1531"/>
      <c r="F190" s="1531"/>
      <c r="G190" s="1531"/>
      <c r="H190" s="1531"/>
      <c r="I190" s="1531"/>
      <c r="J190" s="1530"/>
      <c r="K190" s="1492"/>
      <c r="L190" s="1486"/>
      <c r="M190" s="1486"/>
      <c r="N190" s="1486"/>
      <c r="O190" s="1486"/>
      <c r="P190" s="1487"/>
      <c r="Q190" s="1487"/>
      <c r="R190" s="1487"/>
    </row>
    <row r="191" spans="1:18" ht="15.75" customHeight="1">
      <c r="A191" s="1492"/>
      <c r="B191" s="1492"/>
      <c r="C191" s="1531"/>
      <c r="D191" s="1531"/>
      <c r="E191" s="1531"/>
      <c r="F191" s="1531"/>
      <c r="G191" s="1531"/>
      <c r="H191" s="1531"/>
      <c r="I191" s="1531"/>
      <c r="J191" s="1530"/>
      <c r="K191" s="1492"/>
      <c r="L191" s="1486"/>
      <c r="M191" s="1486"/>
      <c r="N191" s="1486"/>
      <c r="O191" s="1486"/>
      <c r="P191" s="1487"/>
      <c r="Q191" s="1487"/>
      <c r="R191" s="1487"/>
    </row>
    <row r="192" spans="1:18" ht="15.75" customHeight="1">
      <c r="A192" s="1492"/>
      <c r="B192" s="1492"/>
      <c r="C192" s="1531"/>
      <c r="D192" s="1531"/>
      <c r="E192" s="1531"/>
      <c r="F192" s="1531"/>
      <c r="G192" s="1531"/>
      <c r="H192" s="1531"/>
      <c r="I192" s="1531"/>
      <c r="J192" s="1530"/>
      <c r="K192" s="1492"/>
      <c r="L192" s="1486"/>
      <c r="M192" s="1486"/>
      <c r="N192" s="1486"/>
      <c r="O192" s="1486"/>
      <c r="P192" s="1487"/>
      <c r="Q192" s="1487"/>
      <c r="R192" s="1487"/>
    </row>
    <row r="193" spans="1:18" ht="15.75" customHeight="1">
      <c r="A193" s="1492"/>
      <c r="B193" s="1492"/>
      <c r="C193" s="1531"/>
      <c r="D193" s="1531"/>
      <c r="E193" s="1531"/>
      <c r="F193" s="1531"/>
      <c r="G193" s="1531"/>
      <c r="H193" s="1531"/>
      <c r="I193" s="1531"/>
      <c r="J193" s="1530"/>
      <c r="K193" s="1492"/>
      <c r="L193" s="1486"/>
      <c r="M193" s="1486"/>
      <c r="N193" s="1486"/>
      <c r="O193" s="1486"/>
      <c r="P193" s="1487"/>
      <c r="Q193" s="1487"/>
      <c r="R193" s="1487"/>
    </row>
    <row r="194" spans="1:18" ht="15.75" customHeight="1">
      <c r="A194" s="1492"/>
      <c r="B194" s="1492"/>
      <c r="C194" s="1531"/>
      <c r="D194" s="1531"/>
      <c r="E194" s="1531"/>
      <c r="F194" s="1531"/>
      <c r="G194" s="1531"/>
      <c r="H194" s="1531"/>
      <c r="I194" s="1531"/>
      <c r="J194" s="1530"/>
      <c r="K194" s="1492"/>
      <c r="L194" s="1486"/>
      <c r="M194" s="1486"/>
      <c r="N194" s="1486"/>
      <c r="O194" s="1486"/>
      <c r="P194" s="1487"/>
      <c r="Q194" s="1487"/>
      <c r="R194" s="1487"/>
    </row>
    <row r="195" spans="1:18" ht="15.75" customHeight="1">
      <c r="A195" s="1492"/>
      <c r="B195" s="1492"/>
      <c r="C195" s="1531"/>
      <c r="D195" s="1531"/>
      <c r="E195" s="1531"/>
      <c r="F195" s="1531"/>
      <c r="G195" s="1531"/>
      <c r="H195" s="1531"/>
      <c r="I195" s="1531"/>
      <c r="J195" s="1530"/>
      <c r="K195" s="1492"/>
      <c r="L195" s="1486"/>
      <c r="M195" s="1486"/>
      <c r="N195" s="1486"/>
      <c r="O195" s="1486"/>
      <c r="P195" s="1487"/>
      <c r="Q195" s="1487"/>
      <c r="R195" s="1487"/>
    </row>
    <row r="196" spans="1:18" ht="15.75" customHeight="1">
      <c r="A196" s="1492"/>
      <c r="B196" s="1492"/>
      <c r="C196" s="1531"/>
      <c r="D196" s="1531"/>
      <c r="E196" s="1531"/>
      <c r="F196" s="1531"/>
      <c r="G196" s="1531"/>
      <c r="H196" s="1531"/>
      <c r="I196" s="1531"/>
      <c r="J196" s="1530"/>
      <c r="K196" s="1492"/>
      <c r="L196" s="1486"/>
      <c r="M196" s="1486"/>
      <c r="N196" s="1486"/>
      <c r="O196" s="1486"/>
      <c r="P196" s="1487"/>
      <c r="Q196" s="1487"/>
      <c r="R196" s="1487"/>
    </row>
    <row r="197" spans="1:18" ht="15.75" customHeight="1">
      <c r="A197" s="1492"/>
      <c r="B197" s="1492"/>
      <c r="C197" s="1531"/>
      <c r="D197" s="1531"/>
      <c r="E197" s="1531"/>
      <c r="F197" s="1531"/>
      <c r="G197" s="1531"/>
      <c r="H197" s="1531"/>
      <c r="I197" s="1531"/>
      <c r="J197" s="1530"/>
      <c r="K197" s="1492"/>
      <c r="L197" s="1486"/>
      <c r="M197" s="1486"/>
      <c r="N197" s="1486"/>
      <c r="O197" s="1486"/>
      <c r="P197" s="1487"/>
      <c r="Q197" s="1487"/>
      <c r="R197" s="1487"/>
    </row>
    <row r="198" spans="1:18" ht="15.75" customHeight="1">
      <c r="A198" s="1492"/>
      <c r="B198" s="1492"/>
      <c r="C198" s="1531"/>
      <c r="D198" s="1531"/>
      <c r="E198" s="1531"/>
      <c r="F198" s="1531"/>
      <c r="G198" s="1531"/>
      <c r="H198" s="1531"/>
      <c r="I198" s="1531"/>
      <c r="J198" s="1530"/>
      <c r="K198" s="1492"/>
      <c r="L198" s="1486"/>
      <c r="M198" s="1486"/>
      <c r="N198" s="1486"/>
      <c r="O198" s="1486"/>
      <c r="P198" s="1487"/>
      <c r="Q198" s="1487"/>
      <c r="R198" s="1487"/>
    </row>
    <row r="199" spans="1:18" ht="15.75" customHeight="1">
      <c r="A199" s="1492"/>
      <c r="B199" s="1492"/>
      <c r="C199" s="1531"/>
      <c r="D199" s="1531"/>
      <c r="E199" s="1531"/>
      <c r="F199" s="1531"/>
      <c r="G199" s="1531"/>
      <c r="H199" s="1531"/>
      <c r="I199" s="1531"/>
      <c r="J199" s="1530"/>
      <c r="K199" s="1492"/>
      <c r="L199" s="1486"/>
      <c r="M199" s="1486"/>
      <c r="N199" s="1486"/>
      <c r="O199" s="1486"/>
      <c r="P199" s="1487"/>
      <c r="Q199" s="1487"/>
      <c r="R199" s="1487"/>
    </row>
    <row r="200" spans="1:18" ht="15.75" customHeight="1">
      <c r="A200" s="1492"/>
      <c r="B200" s="1492"/>
      <c r="C200" s="1531"/>
      <c r="D200" s="1531"/>
      <c r="E200" s="1531"/>
      <c r="F200" s="1531"/>
      <c r="G200" s="1531"/>
      <c r="H200" s="1531"/>
      <c r="I200" s="1531"/>
      <c r="J200" s="1530"/>
      <c r="K200" s="1492"/>
      <c r="L200" s="1486"/>
      <c r="M200" s="1486"/>
      <c r="N200" s="1486"/>
      <c r="O200" s="1486"/>
      <c r="P200" s="1487"/>
      <c r="Q200" s="1487"/>
      <c r="R200" s="1487"/>
    </row>
    <row r="201" spans="1:18" ht="15.75" customHeight="1">
      <c r="A201" s="1492"/>
      <c r="B201" s="1492"/>
      <c r="C201" s="1531"/>
      <c r="D201" s="1531"/>
      <c r="E201" s="1531"/>
      <c r="F201" s="1531"/>
      <c r="G201" s="1531"/>
      <c r="H201" s="1531"/>
      <c r="I201" s="1531"/>
      <c r="J201" s="1530"/>
      <c r="K201" s="1492"/>
      <c r="L201" s="1486"/>
      <c r="M201" s="1486"/>
      <c r="N201" s="1486"/>
      <c r="O201" s="1486"/>
      <c r="P201" s="1487"/>
      <c r="Q201" s="1487"/>
      <c r="R201" s="1487"/>
    </row>
    <row r="202" spans="1:18" ht="15.75" customHeight="1">
      <c r="A202" s="1492"/>
      <c r="B202" s="1492"/>
      <c r="C202" s="1531"/>
      <c r="D202" s="1531"/>
      <c r="E202" s="1531"/>
      <c r="F202" s="1531"/>
      <c r="G202" s="1531"/>
      <c r="H202" s="1531"/>
      <c r="I202" s="1531"/>
      <c r="J202" s="1530"/>
      <c r="K202" s="1492"/>
      <c r="L202" s="1486"/>
      <c r="M202" s="1486"/>
      <c r="N202" s="1486"/>
      <c r="O202" s="1486"/>
      <c r="P202" s="1487"/>
      <c r="Q202" s="1487"/>
      <c r="R202" s="1487"/>
    </row>
    <row r="203" spans="1:18" ht="15.75" customHeight="1">
      <c r="A203" s="1492"/>
      <c r="B203" s="1492"/>
      <c r="C203" s="1531"/>
      <c r="D203" s="1531"/>
      <c r="E203" s="1531"/>
      <c r="F203" s="1531"/>
      <c r="G203" s="1531"/>
      <c r="H203" s="1531"/>
      <c r="I203" s="1531"/>
      <c r="J203" s="1530"/>
      <c r="K203" s="1492"/>
      <c r="L203" s="1486"/>
      <c r="M203" s="1486"/>
      <c r="N203" s="1486"/>
      <c r="O203" s="1486"/>
      <c r="P203" s="1487"/>
      <c r="Q203" s="1487"/>
      <c r="R203" s="1487"/>
    </row>
    <row r="204" spans="1:18" ht="15.75" customHeight="1">
      <c r="A204" s="1492"/>
      <c r="B204" s="1492"/>
      <c r="C204" s="1531"/>
      <c r="D204" s="1531"/>
      <c r="E204" s="1531"/>
      <c r="F204" s="1531"/>
      <c r="G204" s="1531"/>
      <c r="H204" s="1531"/>
      <c r="I204" s="1531"/>
      <c r="J204" s="1530"/>
      <c r="K204" s="1492"/>
      <c r="L204" s="1486"/>
      <c r="M204" s="1486"/>
      <c r="N204" s="1486"/>
      <c r="O204" s="1486"/>
      <c r="P204" s="1487"/>
      <c r="Q204" s="1487"/>
      <c r="R204" s="1487"/>
    </row>
    <row r="205" spans="1:18" ht="15.75" customHeight="1">
      <c r="A205" s="1492"/>
      <c r="B205" s="1492"/>
      <c r="C205" s="1531"/>
      <c r="D205" s="1531"/>
      <c r="E205" s="1531"/>
      <c r="F205" s="1531"/>
      <c r="G205" s="1531"/>
      <c r="H205" s="1531"/>
      <c r="I205" s="1531"/>
      <c r="J205" s="1530"/>
      <c r="K205" s="1492"/>
      <c r="L205" s="1486"/>
      <c r="M205" s="1486"/>
      <c r="N205" s="1486"/>
      <c r="O205" s="1486"/>
      <c r="P205" s="1487"/>
      <c r="Q205" s="1487"/>
      <c r="R205" s="1487"/>
    </row>
    <row r="206" spans="1:18" ht="15.75" customHeight="1">
      <c r="A206" s="1492"/>
      <c r="B206" s="1492"/>
      <c r="C206" s="1531"/>
      <c r="D206" s="1531"/>
      <c r="E206" s="1531"/>
      <c r="F206" s="1531"/>
      <c r="G206" s="1531"/>
      <c r="H206" s="1531"/>
      <c r="I206" s="1531"/>
      <c r="J206" s="1530"/>
      <c r="K206" s="1492"/>
      <c r="L206" s="1486"/>
      <c r="M206" s="1486"/>
      <c r="N206" s="1486"/>
      <c r="O206" s="1486"/>
      <c r="P206" s="1487"/>
      <c r="Q206" s="1487"/>
      <c r="R206" s="1487"/>
    </row>
    <row r="207" spans="1:18" ht="15.75" customHeight="1">
      <c r="A207" s="1492"/>
      <c r="B207" s="1492"/>
      <c r="C207" s="1531"/>
      <c r="D207" s="1531"/>
      <c r="E207" s="1531"/>
      <c r="F207" s="1531"/>
      <c r="G207" s="1531"/>
      <c r="H207" s="1531"/>
      <c r="I207" s="1531"/>
      <c r="J207" s="1530"/>
      <c r="K207" s="1492"/>
      <c r="L207" s="1486"/>
      <c r="M207" s="1486"/>
      <c r="N207" s="1486"/>
      <c r="O207" s="1486"/>
      <c r="P207" s="1487"/>
      <c r="Q207" s="1487"/>
      <c r="R207" s="1487"/>
    </row>
    <row r="208" spans="1:18" ht="15.75" customHeight="1">
      <c r="A208" s="1492"/>
      <c r="B208" s="1492"/>
      <c r="C208" s="1531"/>
      <c r="D208" s="1531"/>
      <c r="E208" s="1531"/>
      <c r="F208" s="1531"/>
      <c r="G208" s="1531"/>
      <c r="H208" s="1531"/>
      <c r="I208" s="1531"/>
      <c r="J208" s="1530"/>
      <c r="K208" s="1492"/>
      <c r="L208" s="1486"/>
      <c r="M208" s="1486"/>
      <c r="N208" s="1486"/>
      <c r="O208" s="1486"/>
      <c r="P208" s="1487"/>
      <c r="Q208" s="1487"/>
      <c r="R208" s="1487"/>
    </row>
    <row r="209" spans="1:18" ht="15.75" customHeight="1">
      <c r="A209" s="1492"/>
      <c r="B209" s="1492"/>
      <c r="C209" s="1531"/>
      <c r="D209" s="1531"/>
      <c r="E209" s="1531"/>
      <c r="F209" s="1531"/>
      <c r="G209" s="1531"/>
      <c r="H209" s="1531"/>
      <c r="I209" s="1531"/>
      <c r="J209" s="1530"/>
      <c r="K209" s="1492"/>
      <c r="L209" s="1486"/>
      <c r="M209" s="1486"/>
      <c r="N209" s="1486"/>
      <c r="O209" s="1486"/>
      <c r="P209" s="1487"/>
      <c r="Q209" s="1487"/>
      <c r="R209" s="1487"/>
    </row>
    <row r="210" spans="1:18" ht="15.75" customHeight="1">
      <c r="A210" s="1492"/>
      <c r="B210" s="1492"/>
      <c r="C210" s="1531"/>
      <c r="D210" s="1531"/>
      <c r="E210" s="1531"/>
      <c r="F210" s="1531"/>
      <c r="G210" s="1531"/>
      <c r="H210" s="1531"/>
      <c r="I210" s="1531"/>
      <c r="J210" s="1530"/>
      <c r="K210" s="1492"/>
      <c r="L210" s="1486"/>
      <c r="M210" s="1486"/>
      <c r="N210" s="1486"/>
      <c r="O210" s="1486"/>
      <c r="P210" s="1487"/>
      <c r="Q210" s="1487"/>
      <c r="R210" s="1487"/>
    </row>
    <row r="211" spans="1:18" ht="15.75" customHeight="1">
      <c r="A211" s="1492"/>
      <c r="B211" s="1492"/>
      <c r="C211" s="1531"/>
      <c r="D211" s="1531"/>
      <c r="E211" s="1531"/>
      <c r="F211" s="1531"/>
      <c r="G211" s="1531"/>
      <c r="H211" s="1531"/>
      <c r="I211" s="1531"/>
      <c r="J211" s="1530"/>
      <c r="K211" s="1492"/>
      <c r="L211" s="1486"/>
      <c r="M211" s="1486"/>
      <c r="N211" s="1486"/>
      <c r="O211" s="1486"/>
      <c r="P211" s="1487"/>
      <c r="Q211" s="1487"/>
      <c r="R211" s="1487"/>
    </row>
    <row r="212" spans="1:18" ht="15.75" customHeight="1">
      <c r="A212" s="1492"/>
      <c r="B212" s="1492"/>
      <c r="C212" s="1531"/>
      <c r="D212" s="1531"/>
      <c r="E212" s="1531"/>
      <c r="F212" s="1531"/>
      <c r="G212" s="1531"/>
      <c r="H212" s="1531"/>
      <c r="I212" s="1531"/>
      <c r="J212" s="1530"/>
      <c r="K212" s="1492"/>
      <c r="L212" s="1486"/>
      <c r="M212" s="1486"/>
      <c r="N212" s="1486"/>
      <c r="O212" s="1486"/>
      <c r="P212" s="1487"/>
      <c r="Q212" s="1487"/>
      <c r="R212" s="1487"/>
    </row>
    <row r="213" spans="1:18" ht="15.75" customHeight="1">
      <c r="A213" s="1492"/>
      <c r="B213" s="1492"/>
      <c r="C213" s="1531"/>
      <c r="D213" s="1531"/>
      <c r="E213" s="1531"/>
      <c r="F213" s="1531"/>
      <c r="G213" s="1531"/>
      <c r="H213" s="1531"/>
      <c r="I213" s="1531"/>
      <c r="J213" s="1530"/>
      <c r="K213" s="1492"/>
      <c r="L213" s="1486"/>
      <c r="M213" s="1486"/>
      <c r="N213" s="1486"/>
      <c r="O213" s="1486"/>
      <c r="P213" s="1487"/>
      <c r="Q213" s="1487"/>
      <c r="R213" s="1487"/>
    </row>
    <row r="214" spans="1:18" ht="15.75" customHeight="1">
      <c r="A214" s="1492"/>
      <c r="B214" s="1492"/>
      <c r="C214" s="1531"/>
      <c r="D214" s="1531"/>
      <c r="E214" s="1531"/>
      <c r="F214" s="1531"/>
      <c r="G214" s="1531"/>
      <c r="H214" s="1531"/>
      <c r="I214" s="1531"/>
      <c r="J214" s="1530"/>
      <c r="K214" s="1492"/>
      <c r="L214" s="1486"/>
      <c r="M214" s="1486"/>
      <c r="N214" s="1486"/>
      <c r="O214" s="1486"/>
      <c r="P214" s="1487"/>
      <c r="Q214" s="1487"/>
      <c r="R214" s="1487"/>
    </row>
    <row r="215" spans="1:18" ht="15.75" customHeight="1">
      <c r="A215" s="1492"/>
      <c r="B215" s="1492"/>
      <c r="C215" s="1531"/>
      <c r="D215" s="1531"/>
      <c r="E215" s="1531"/>
      <c r="F215" s="1531"/>
      <c r="G215" s="1531"/>
      <c r="H215" s="1531"/>
      <c r="I215" s="1531"/>
      <c r="J215" s="1530"/>
      <c r="K215" s="1492"/>
      <c r="L215" s="1486"/>
      <c r="M215" s="1486"/>
      <c r="N215" s="1486"/>
      <c r="O215" s="1486"/>
      <c r="P215" s="1487"/>
      <c r="Q215" s="1487"/>
      <c r="R215" s="1487"/>
    </row>
    <row r="216" spans="1:18" ht="15.75" customHeight="1">
      <c r="A216" s="1492"/>
      <c r="B216" s="1492"/>
      <c r="C216" s="1531"/>
      <c r="D216" s="1531"/>
      <c r="E216" s="1531"/>
      <c r="F216" s="1531"/>
      <c r="G216" s="1531"/>
      <c r="H216" s="1531"/>
      <c r="I216" s="1531"/>
      <c r="J216" s="1530"/>
      <c r="K216" s="1492"/>
      <c r="L216" s="1486"/>
      <c r="M216" s="1486"/>
      <c r="N216" s="1486"/>
      <c r="O216" s="1486"/>
      <c r="P216" s="1487"/>
      <c r="Q216" s="1487"/>
      <c r="R216" s="1487"/>
    </row>
    <row r="217" spans="1:18" ht="15.75" customHeight="1">
      <c r="A217" s="1492"/>
      <c r="B217" s="1492"/>
      <c r="C217" s="1531"/>
      <c r="D217" s="1531"/>
      <c r="E217" s="1531"/>
      <c r="F217" s="1531"/>
      <c r="G217" s="1531"/>
      <c r="H217" s="1531"/>
      <c r="I217" s="1531"/>
      <c r="J217" s="1530"/>
      <c r="K217" s="1492"/>
      <c r="L217" s="1486"/>
      <c r="M217" s="1486"/>
      <c r="N217" s="1486"/>
      <c r="O217" s="1486"/>
      <c r="P217" s="1487"/>
      <c r="Q217" s="1487"/>
      <c r="R217" s="1487"/>
    </row>
    <row r="218" spans="1:18" ht="15.75" customHeight="1">
      <c r="A218" s="1492"/>
      <c r="B218" s="1492"/>
      <c r="C218" s="1531"/>
      <c r="D218" s="1531"/>
      <c r="E218" s="1531"/>
      <c r="F218" s="1531"/>
      <c r="G218" s="1531"/>
      <c r="H218" s="1531"/>
      <c r="I218" s="1531"/>
      <c r="J218" s="1530"/>
      <c r="K218" s="1492"/>
      <c r="L218" s="1486"/>
      <c r="M218" s="1486"/>
      <c r="N218" s="1486"/>
      <c r="O218" s="1486"/>
      <c r="P218" s="1487"/>
      <c r="Q218" s="1487"/>
      <c r="R218" s="1487"/>
    </row>
    <row r="219" spans="1:18" ht="15.75" customHeight="1">
      <c r="A219" s="1492"/>
      <c r="B219" s="1492"/>
      <c r="C219" s="1531"/>
      <c r="D219" s="1531"/>
      <c r="E219" s="1531"/>
      <c r="F219" s="1531"/>
      <c r="G219" s="1531"/>
      <c r="H219" s="1531"/>
      <c r="I219" s="1531"/>
      <c r="J219" s="1530"/>
      <c r="K219" s="1492"/>
      <c r="L219" s="1486"/>
      <c r="M219" s="1486"/>
      <c r="N219" s="1486"/>
      <c r="O219" s="1486"/>
      <c r="P219" s="1487"/>
      <c r="Q219" s="1487"/>
      <c r="R219" s="1487"/>
    </row>
    <row r="220" spans="1:18" ht="15.75" customHeight="1">
      <c r="A220" s="1492"/>
      <c r="B220" s="1492"/>
      <c r="C220" s="1531"/>
      <c r="D220" s="1531"/>
      <c r="E220" s="1531"/>
      <c r="F220" s="1531"/>
      <c r="G220" s="1531"/>
      <c r="H220" s="1531"/>
      <c r="I220" s="1531"/>
      <c r="J220" s="1530"/>
      <c r="K220" s="1492"/>
      <c r="L220" s="1486"/>
      <c r="M220" s="1486"/>
      <c r="N220" s="1486"/>
      <c r="O220" s="1486"/>
      <c r="P220" s="1487"/>
      <c r="Q220" s="1487"/>
      <c r="R220" s="1487"/>
    </row>
    <row r="221" spans="1:18" ht="15.75" customHeight="1">
      <c r="A221" s="1492"/>
      <c r="B221" s="1492"/>
      <c r="C221" s="1531"/>
      <c r="D221" s="1531"/>
      <c r="E221" s="1531"/>
      <c r="F221" s="1531"/>
      <c r="G221" s="1531"/>
      <c r="H221" s="1531"/>
      <c r="I221" s="1531"/>
      <c r="J221" s="1530"/>
      <c r="K221" s="1492"/>
      <c r="L221" s="1486"/>
      <c r="M221" s="1486"/>
      <c r="N221" s="1486"/>
      <c r="O221" s="1486"/>
      <c r="P221" s="1487"/>
      <c r="Q221" s="1487"/>
      <c r="R221" s="1487"/>
    </row>
    <row r="222" spans="1:18" ht="15.75" customHeight="1">
      <c r="A222" s="1492"/>
      <c r="B222" s="1492"/>
      <c r="C222" s="1531"/>
      <c r="D222" s="1531"/>
      <c r="E222" s="1531"/>
      <c r="F222" s="1531"/>
      <c r="G222" s="1531"/>
      <c r="H222" s="1531"/>
      <c r="I222" s="1531"/>
      <c r="J222" s="1530"/>
      <c r="K222" s="1492"/>
      <c r="L222" s="1486"/>
      <c r="M222" s="1486"/>
      <c r="N222" s="1486"/>
      <c r="O222" s="1486"/>
      <c r="P222" s="1487"/>
      <c r="Q222" s="1487"/>
      <c r="R222" s="1487"/>
    </row>
    <row r="223" spans="1:18" ht="15.75" customHeight="1">
      <c r="A223" s="1492"/>
      <c r="B223" s="1492"/>
      <c r="C223" s="1531"/>
      <c r="D223" s="1531"/>
      <c r="E223" s="1531"/>
      <c r="F223" s="1531"/>
      <c r="G223" s="1531"/>
      <c r="H223" s="1531"/>
      <c r="I223" s="1531"/>
      <c r="J223" s="1530"/>
      <c r="K223" s="1492"/>
      <c r="L223" s="1486"/>
      <c r="M223" s="1486"/>
      <c r="N223" s="1486"/>
      <c r="O223" s="1486"/>
      <c r="P223" s="1487"/>
      <c r="Q223" s="1487"/>
      <c r="R223" s="1487"/>
    </row>
    <row r="224" spans="1:18" ht="15.75" customHeight="1">
      <c r="A224" s="1492"/>
      <c r="B224" s="1492"/>
      <c r="C224" s="1531"/>
      <c r="D224" s="1531"/>
      <c r="E224" s="1531"/>
      <c r="F224" s="1531"/>
      <c r="G224" s="1531"/>
      <c r="H224" s="1531"/>
      <c r="I224" s="1531"/>
      <c r="J224" s="1530"/>
      <c r="K224" s="1492"/>
      <c r="L224" s="1486"/>
      <c r="M224" s="1486"/>
      <c r="N224" s="1486"/>
      <c r="O224" s="1486"/>
      <c r="P224" s="1487"/>
      <c r="Q224" s="1487"/>
      <c r="R224" s="1487"/>
    </row>
    <row r="225" spans="1:18" ht="15.75" customHeight="1">
      <c r="A225" s="1492"/>
      <c r="B225" s="1492"/>
      <c r="C225" s="1531"/>
      <c r="D225" s="1531"/>
      <c r="E225" s="1531"/>
      <c r="F225" s="1531"/>
      <c r="G225" s="1531"/>
      <c r="H225" s="1531"/>
      <c r="I225" s="1531"/>
      <c r="J225" s="1530"/>
      <c r="K225" s="1492"/>
      <c r="L225" s="1486"/>
      <c r="M225" s="1486"/>
      <c r="N225" s="1486"/>
      <c r="O225" s="1486"/>
      <c r="P225" s="1487"/>
      <c r="Q225" s="1487"/>
      <c r="R225" s="1487"/>
    </row>
    <row r="226" spans="1:18" ht="15.75" customHeight="1">
      <c r="A226" s="1492"/>
      <c r="B226" s="1492"/>
      <c r="C226" s="1531"/>
      <c r="D226" s="1531"/>
      <c r="E226" s="1531"/>
      <c r="F226" s="1531"/>
      <c r="G226" s="1531"/>
      <c r="H226" s="1531"/>
      <c r="I226" s="1531"/>
      <c r="J226" s="1530"/>
      <c r="K226" s="1492"/>
      <c r="L226" s="1486"/>
      <c r="M226" s="1486"/>
      <c r="N226" s="1486"/>
      <c r="O226" s="1486"/>
      <c r="P226" s="1487"/>
      <c r="Q226" s="1487"/>
      <c r="R226" s="1487"/>
    </row>
    <row r="227" spans="1:18" ht="15.75" customHeight="1">
      <c r="A227" s="1492"/>
      <c r="B227" s="1492"/>
      <c r="C227" s="1531"/>
      <c r="D227" s="1531"/>
      <c r="E227" s="1531"/>
      <c r="F227" s="1531"/>
      <c r="G227" s="1531"/>
      <c r="H227" s="1531"/>
      <c r="I227" s="1531"/>
      <c r="J227" s="1530"/>
      <c r="K227" s="1492"/>
      <c r="L227" s="1486"/>
      <c r="M227" s="1486"/>
      <c r="N227" s="1486"/>
      <c r="O227" s="1486"/>
      <c r="P227" s="1487"/>
      <c r="Q227" s="1487"/>
      <c r="R227" s="1487"/>
    </row>
    <row r="228" spans="1:18" ht="15.75" customHeight="1">
      <c r="A228" s="1492"/>
      <c r="B228" s="1492"/>
      <c r="C228" s="1531"/>
      <c r="D228" s="1531"/>
      <c r="E228" s="1531"/>
      <c r="F228" s="1531"/>
      <c r="G228" s="1531"/>
      <c r="H228" s="1531"/>
      <c r="I228" s="1531"/>
      <c r="J228" s="1530"/>
      <c r="K228" s="1492"/>
      <c r="L228" s="1486"/>
      <c r="M228" s="1486"/>
      <c r="N228" s="1486"/>
      <c r="O228" s="1486"/>
      <c r="P228" s="1487"/>
      <c r="Q228" s="1487"/>
      <c r="R228" s="1487"/>
    </row>
    <row r="229" spans="1:18" ht="15.75" customHeight="1">
      <c r="A229" s="1486"/>
      <c r="B229" s="1486"/>
      <c r="C229" s="1532"/>
      <c r="D229" s="1532"/>
      <c r="E229" s="1532"/>
      <c r="F229" s="1532"/>
      <c r="G229" s="1532"/>
      <c r="H229" s="1532"/>
      <c r="I229" s="1532"/>
      <c r="J229" s="1533"/>
      <c r="K229" s="1486"/>
      <c r="L229" s="1486"/>
      <c r="M229" s="1486"/>
      <c r="N229" s="1486"/>
      <c r="O229" s="1486"/>
      <c r="P229" s="1487"/>
      <c r="Q229" s="1487"/>
      <c r="R229" s="1487"/>
    </row>
    <row r="230" spans="1:18" ht="15.75" customHeight="1">
      <c r="A230" s="1486"/>
      <c r="B230" s="1486"/>
      <c r="C230" s="1532"/>
      <c r="D230" s="1532"/>
      <c r="E230" s="1532"/>
      <c r="F230" s="1532"/>
      <c r="G230" s="1532"/>
      <c r="H230" s="1532"/>
      <c r="I230" s="1532"/>
      <c r="J230" s="1533"/>
      <c r="K230" s="1486"/>
      <c r="L230" s="1486"/>
      <c r="M230" s="1486"/>
      <c r="N230" s="1486"/>
      <c r="O230" s="1486"/>
      <c r="P230" s="1487"/>
      <c r="Q230" s="1487"/>
      <c r="R230" s="1487"/>
    </row>
    <row r="231" spans="1:18" ht="15.75" customHeight="1">
      <c r="A231" s="1486"/>
      <c r="B231" s="1486"/>
      <c r="C231" s="1532"/>
      <c r="D231" s="1532"/>
      <c r="E231" s="1532"/>
      <c r="F231" s="1532"/>
      <c r="G231" s="1532"/>
      <c r="H231" s="1532"/>
      <c r="I231" s="1532"/>
      <c r="J231" s="1533"/>
      <c r="K231" s="1486"/>
      <c r="L231" s="1486"/>
      <c r="M231" s="1486"/>
      <c r="N231" s="1486"/>
      <c r="O231" s="1486"/>
      <c r="P231" s="1487"/>
      <c r="Q231" s="1487"/>
      <c r="R231" s="1487"/>
    </row>
    <row r="232" spans="1:18" ht="15.75" customHeight="1">
      <c r="A232" s="1486"/>
      <c r="B232" s="1486"/>
      <c r="C232" s="1532"/>
      <c r="D232" s="1532"/>
      <c r="E232" s="1532"/>
      <c r="F232" s="1532"/>
      <c r="G232" s="1532"/>
      <c r="H232" s="1532"/>
      <c r="I232" s="1532"/>
      <c r="J232" s="1533"/>
      <c r="K232" s="1486"/>
      <c r="L232" s="1486"/>
      <c r="M232" s="1486"/>
      <c r="N232" s="1486"/>
      <c r="O232" s="1486"/>
      <c r="P232" s="1487"/>
      <c r="Q232" s="1487"/>
      <c r="R232" s="1487"/>
    </row>
    <row r="233" spans="1:18" ht="15.75" customHeight="1">
      <c r="A233" s="1486"/>
      <c r="B233" s="1486"/>
      <c r="C233" s="1532"/>
      <c r="D233" s="1532"/>
      <c r="E233" s="1532"/>
      <c r="F233" s="1532"/>
      <c r="G233" s="1532"/>
      <c r="H233" s="1532"/>
      <c r="I233" s="1532"/>
      <c r="J233" s="1533"/>
      <c r="K233" s="1486"/>
      <c r="L233" s="1486"/>
      <c r="M233" s="1486"/>
      <c r="N233" s="1486"/>
      <c r="O233" s="1486"/>
      <c r="P233" s="1487"/>
      <c r="Q233" s="1487"/>
      <c r="R233" s="1487"/>
    </row>
    <row r="234" spans="1:18" ht="15.75" customHeight="1">
      <c r="A234" s="1486"/>
      <c r="B234" s="1486"/>
      <c r="C234" s="1532"/>
      <c r="D234" s="1532"/>
      <c r="E234" s="1532"/>
      <c r="F234" s="1532"/>
      <c r="G234" s="1532"/>
      <c r="H234" s="1532"/>
      <c r="I234" s="1532"/>
      <c r="J234" s="1533"/>
      <c r="K234" s="1486"/>
      <c r="L234" s="1486"/>
      <c r="M234" s="1486"/>
      <c r="N234" s="1486"/>
      <c r="O234" s="1486"/>
      <c r="P234" s="1487"/>
      <c r="Q234" s="1487"/>
      <c r="R234" s="1487"/>
    </row>
    <row r="235" spans="1:18" ht="15.75" customHeight="1">
      <c r="A235" s="1486"/>
      <c r="B235" s="1486"/>
      <c r="C235" s="1532"/>
      <c r="D235" s="1532"/>
      <c r="E235" s="1532"/>
      <c r="F235" s="1532"/>
      <c r="G235" s="1532"/>
      <c r="H235" s="1532"/>
      <c r="I235" s="1532"/>
      <c r="J235" s="1533"/>
      <c r="K235" s="1486"/>
      <c r="L235" s="1486"/>
      <c r="M235" s="1486"/>
      <c r="N235" s="1486"/>
      <c r="O235" s="1486"/>
      <c r="P235" s="1487"/>
      <c r="Q235" s="1487"/>
      <c r="R235" s="1487"/>
    </row>
    <row r="236" spans="1:18" ht="15.75" customHeight="1">
      <c r="A236" s="1486"/>
      <c r="B236" s="1486"/>
      <c r="C236" s="1532"/>
      <c r="D236" s="1532"/>
      <c r="E236" s="1532"/>
      <c r="F236" s="1532"/>
      <c r="G236" s="1532"/>
      <c r="H236" s="1532"/>
      <c r="I236" s="1532"/>
      <c r="J236" s="1533"/>
      <c r="K236" s="1486"/>
      <c r="L236" s="1486"/>
      <c r="M236" s="1486"/>
      <c r="N236" s="1486"/>
      <c r="O236" s="1486"/>
      <c r="P236" s="1487"/>
      <c r="Q236" s="1487"/>
      <c r="R236" s="1487"/>
    </row>
    <row r="237" spans="1:18" ht="15.75" customHeight="1">
      <c r="A237" s="1486"/>
      <c r="B237" s="1486"/>
      <c r="C237" s="1532"/>
      <c r="D237" s="1532"/>
      <c r="E237" s="1532"/>
      <c r="F237" s="1532"/>
      <c r="G237" s="1532"/>
      <c r="H237" s="1532"/>
      <c r="I237" s="1532"/>
      <c r="J237" s="1533"/>
      <c r="K237" s="1486"/>
      <c r="L237" s="1486"/>
      <c r="M237" s="1486"/>
      <c r="N237" s="1486"/>
      <c r="O237" s="1486"/>
      <c r="P237" s="1487"/>
      <c r="Q237" s="1487"/>
      <c r="R237" s="1487"/>
    </row>
    <row r="238" spans="1:18" ht="15.75" customHeight="1">
      <c r="A238" s="1486"/>
      <c r="B238" s="1486"/>
      <c r="C238" s="1532"/>
      <c r="D238" s="1532"/>
      <c r="E238" s="1532"/>
      <c r="F238" s="1532"/>
      <c r="G238" s="1532"/>
      <c r="H238" s="1532"/>
      <c r="I238" s="1532"/>
      <c r="J238" s="1533"/>
      <c r="K238" s="1486"/>
      <c r="L238" s="1486"/>
      <c r="M238" s="1486"/>
      <c r="N238" s="1486"/>
      <c r="O238" s="1486"/>
      <c r="P238" s="1487"/>
      <c r="Q238" s="1487"/>
      <c r="R238" s="1487"/>
    </row>
    <row r="239" spans="1:18" ht="15.75" customHeight="1">
      <c r="A239" s="1486"/>
      <c r="B239" s="1486"/>
      <c r="C239" s="1532"/>
      <c r="D239" s="1532"/>
      <c r="E239" s="1532"/>
      <c r="F239" s="1532"/>
      <c r="G239" s="1532"/>
      <c r="H239" s="1532"/>
      <c r="I239" s="1532"/>
      <c r="J239" s="1533"/>
      <c r="K239" s="1486"/>
      <c r="L239" s="1486"/>
      <c r="M239" s="1486"/>
      <c r="N239" s="1486"/>
      <c r="O239" s="1486"/>
      <c r="P239" s="1487"/>
      <c r="Q239" s="1487"/>
      <c r="R239" s="1487"/>
    </row>
    <row r="240" spans="1:18" ht="15.75" customHeight="1">
      <c r="A240" s="1486"/>
      <c r="B240" s="1486"/>
      <c r="C240" s="1532"/>
      <c r="D240" s="1532"/>
      <c r="E240" s="1532"/>
      <c r="F240" s="1532"/>
      <c r="G240" s="1532"/>
      <c r="H240" s="1532"/>
      <c r="I240" s="1532"/>
      <c r="J240" s="1533"/>
      <c r="K240" s="1486"/>
      <c r="L240" s="1486"/>
      <c r="M240" s="1486"/>
      <c r="N240" s="1486"/>
      <c r="O240" s="1486"/>
      <c r="P240" s="1487"/>
      <c r="Q240" s="1487"/>
      <c r="R240" s="1487"/>
    </row>
    <row r="241" spans="1:18" ht="15.75" customHeight="1">
      <c r="A241" s="1486"/>
      <c r="B241" s="1486"/>
      <c r="C241" s="1532"/>
      <c r="D241" s="1532"/>
      <c r="E241" s="1532"/>
      <c r="F241" s="1532"/>
      <c r="G241" s="1532"/>
      <c r="H241" s="1532"/>
      <c r="I241" s="1532"/>
      <c r="J241" s="1533"/>
      <c r="K241" s="1486"/>
      <c r="L241" s="1486"/>
      <c r="M241" s="1486"/>
      <c r="N241" s="1486"/>
      <c r="O241" s="1486"/>
      <c r="P241" s="1487"/>
      <c r="Q241" s="1487"/>
      <c r="R241" s="1487"/>
    </row>
    <row r="242" spans="1:18" ht="15.75" customHeight="1">
      <c r="A242" s="1486"/>
      <c r="B242" s="1486"/>
      <c r="C242" s="1532"/>
      <c r="D242" s="1532"/>
      <c r="E242" s="1532"/>
      <c r="F242" s="1532"/>
      <c r="G242" s="1532"/>
      <c r="H242" s="1532"/>
      <c r="I242" s="1532"/>
      <c r="J242" s="1533"/>
      <c r="K242" s="1486"/>
      <c r="L242" s="1486"/>
      <c r="M242" s="1486"/>
      <c r="N242" s="1486"/>
      <c r="O242" s="1486"/>
      <c r="P242" s="1487"/>
      <c r="Q242" s="1487"/>
      <c r="R242" s="1487"/>
    </row>
    <row r="243" spans="1:18" ht="15.75" customHeight="1">
      <c r="A243" s="1486"/>
      <c r="B243" s="1486"/>
      <c r="C243" s="1532"/>
      <c r="D243" s="1532"/>
      <c r="E243" s="1532"/>
      <c r="F243" s="1532"/>
      <c r="G243" s="1532"/>
      <c r="H243" s="1532"/>
      <c r="I243" s="1532"/>
      <c r="J243" s="1533"/>
      <c r="K243" s="1486"/>
      <c r="L243" s="1486"/>
      <c r="M243" s="1486"/>
      <c r="N243" s="1486"/>
      <c r="O243" s="1486"/>
      <c r="P243" s="1487"/>
      <c r="Q243" s="1487"/>
      <c r="R243" s="1487"/>
    </row>
    <row r="244" spans="1:18" ht="15.75" customHeight="1">
      <c r="A244" s="1486"/>
      <c r="B244" s="1486"/>
      <c r="C244" s="1532"/>
      <c r="D244" s="1532"/>
      <c r="E244" s="1532"/>
      <c r="F244" s="1532"/>
      <c r="G244" s="1532"/>
      <c r="H244" s="1532"/>
      <c r="I244" s="1532"/>
      <c r="J244" s="1533"/>
      <c r="K244" s="1486"/>
      <c r="L244" s="1486"/>
      <c r="M244" s="1486"/>
      <c r="N244" s="1486"/>
      <c r="O244" s="1486"/>
      <c r="P244" s="1487"/>
      <c r="Q244" s="1487"/>
      <c r="R244" s="1487"/>
    </row>
    <row r="245" spans="1:18" ht="15.75" customHeight="1">
      <c r="A245" s="1486"/>
      <c r="B245" s="1486"/>
      <c r="C245" s="1532"/>
      <c r="D245" s="1532"/>
      <c r="E245" s="1532"/>
      <c r="F245" s="1532"/>
      <c r="G245" s="1532"/>
      <c r="H245" s="1532"/>
      <c r="I245" s="1532"/>
      <c r="J245" s="1533"/>
      <c r="K245" s="1486"/>
      <c r="L245" s="1486"/>
      <c r="M245" s="1486"/>
      <c r="N245" s="1486"/>
      <c r="O245" s="1486"/>
      <c r="P245" s="1487"/>
      <c r="Q245" s="1487"/>
      <c r="R245" s="1487"/>
    </row>
    <row r="246" spans="1:18" ht="15.75" customHeight="1">
      <c r="A246" s="1486"/>
      <c r="B246" s="1486"/>
      <c r="C246" s="1532"/>
      <c r="D246" s="1532"/>
      <c r="E246" s="1532"/>
      <c r="F246" s="1532"/>
      <c r="G246" s="1532"/>
      <c r="H246" s="1532"/>
      <c r="I246" s="1532"/>
      <c r="J246" s="1533"/>
      <c r="K246" s="1486"/>
      <c r="L246" s="1486"/>
      <c r="M246" s="1486"/>
      <c r="N246" s="1486"/>
      <c r="O246" s="1486"/>
      <c r="P246" s="1487"/>
      <c r="Q246" s="1487"/>
      <c r="R246" s="1487"/>
    </row>
    <row r="247" spans="1:18" ht="15.75" customHeight="1">
      <c r="A247" s="1486"/>
      <c r="B247" s="1486"/>
      <c r="C247" s="1532"/>
      <c r="D247" s="1532"/>
      <c r="E247" s="1532"/>
      <c r="F247" s="1532"/>
      <c r="G247" s="1532"/>
      <c r="H247" s="1532"/>
      <c r="I247" s="1532"/>
      <c r="J247" s="1533"/>
      <c r="K247" s="1486"/>
      <c r="L247" s="1486"/>
      <c r="M247" s="1486"/>
      <c r="N247" s="1486"/>
      <c r="O247" s="1486"/>
      <c r="P247" s="1487"/>
      <c r="Q247" s="1487"/>
      <c r="R247" s="1487"/>
    </row>
    <row r="248" spans="1:18" ht="15.75" customHeight="1">
      <c r="A248" s="1486"/>
      <c r="B248" s="1486"/>
      <c r="C248" s="1532"/>
      <c r="D248" s="1532"/>
      <c r="E248" s="1532"/>
      <c r="F248" s="1532"/>
      <c r="G248" s="1532"/>
      <c r="H248" s="1532"/>
      <c r="I248" s="1532"/>
      <c r="J248" s="1533"/>
      <c r="K248" s="1486"/>
      <c r="L248" s="1486"/>
      <c r="M248" s="1486"/>
      <c r="N248" s="1486"/>
      <c r="O248" s="1486"/>
      <c r="P248" s="1487"/>
      <c r="Q248" s="1487"/>
      <c r="R248" s="1487"/>
    </row>
    <row r="249" spans="1:18" ht="15.75" customHeight="1">
      <c r="A249" s="1486"/>
      <c r="B249" s="1486"/>
      <c r="C249" s="1532"/>
      <c r="D249" s="1532"/>
      <c r="E249" s="1532"/>
      <c r="F249" s="1532"/>
      <c r="G249" s="1532"/>
      <c r="H249" s="1532"/>
      <c r="I249" s="1532"/>
      <c r="J249" s="1533"/>
      <c r="K249" s="1486"/>
      <c r="L249" s="1486"/>
      <c r="M249" s="1486"/>
      <c r="N249" s="1486"/>
      <c r="O249" s="1486"/>
      <c r="P249" s="1487"/>
      <c r="Q249" s="1487"/>
      <c r="R249" s="1487"/>
    </row>
    <row r="250" spans="1:18" ht="15.75" customHeight="1">
      <c r="A250" s="1486"/>
      <c r="B250" s="1486"/>
      <c r="C250" s="1532"/>
      <c r="D250" s="1532"/>
      <c r="E250" s="1532"/>
      <c r="F250" s="1532"/>
      <c r="G250" s="1532"/>
      <c r="H250" s="1532"/>
      <c r="I250" s="1532"/>
      <c r="J250" s="1533"/>
      <c r="K250" s="1486"/>
      <c r="L250" s="1486"/>
      <c r="M250" s="1486"/>
      <c r="N250" s="1486"/>
      <c r="O250" s="1486"/>
      <c r="P250" s="1487"/>
      <c r="Q250" s="1487"/>
      <c r="R250" s="1487"/>
    </row>
    <row r="251" spans="1:18" ht="15.75" customHeight="1">
      <c r="A251" s="1486"/>
      <c r="B251" s="1486"/>
      <c r="C251" s="1532"/>
      <c r="D251" s="1532"/>
      <c r="E251" s="1532"/>
      <c r="F251" s="1532"/>
      <c r="G251" s="1532"/>
      <c r="H251" s="1532"/>
      <c r="I251" s="1532"/>
      <c r="J251" s="1486"/>
      <c r="K251" s="1486"/>
      <c r="L251" s="1486"/>
      <c r="M251" s="1486"/>
      <c r="N251" s="1486"/>
      <c r="O251" s="1486"/>
      <c r="P251" s="1487"/>
      <c r="Q251" s="1487"/>
      <c r="R251" s="1487"/>
    </row>
    <row r="252" spans="1:18" ht="15.75" customHeight="1">
      <c r="A252" s="1486"/>
      <c r="B252" s="1486"/>
      <c r="C252" s="1532"/>
      <c r="D252" s="1532"/>
      <c r="E252" s="1532"/>
      <c r="F252" s="1532"/>
      <c r="G252" s="1532"/>
      <c r="H252" s="1532"/>
      <c r="I252" s="1532"/>
      <c r="J252" s="1486"/>
      <c r="K252" s="1486"/>
      <c r="L252" s="1486"/>
      <c r="M252" s="1486"/>
      <c r="N252" s="1486"/>
      <c r="O252" s="1486"/>
      <c r="P252" s="1487"/>
      <c r="Q252" s="1487"/>
      <c r="R252" s="1487"/>
    </row>
    <row r="253" spans="1:18" ht="15.75" customHeight="1">
      <c r="A253" s="1486"/>
      <c r="B253" s="1486"/>
      <c r="C253" s="1532"/>
      <c r="D253" s="1532"/>
      <c r="E253" s="1532"/>
      <c r="F253" s="1532"/>
      <c r="G253" s="1532"/>
      <c r="H253" s="1532"/>
      <c r="I253" s="1532"/>
      <c r="J253" s="1486"/>
      <c r="K253" s="1486"/>
      <c r="L253" s="1486"/>
      <c r="M253" s="1486"/>
      <c r="N253" s="1486"/>
      <c r="O253" s="1486"/>
      <c r="P253" s="1487"/>
      <c r="Q253" s="1487"/>
      <c r="R253" s="1487"/>
    </row>
    <row r="254" spans="1:18" ht="15.75" customHeight="1">
      <c r="A254" s="1486"/>
      <c r="B254" s="1486"/>
      <c r="C254" s="1532"/>
      <c r="D254" s="1532"/>
      <c r="E254" s="1532"/>
      <c r="F254" s="1532"/>
      <c r="G254" s="1532"/>
      <c r="H254" s="1532"/>
      <c r="I254" s="1532"/>
      <c r="J254" s="1486"/>
      <c r="K254" s="1486"/>
      <c r="L254" s="1486"/>
      <c r="M254" s="1486"/>
      <c r="N254" s="1486"/>
      <c r="O254" s="1486"/>
      <c r="P254" s="1487"/>
      <c r="Q254" s="1487"/>
      <c r="R254" s="1487"/>
    </row>
    <row r="255" spans="1:18" ht="15.75" customHeight="1">
      <c r="A255" s="1486"/>
      <c r="B255" s="1486"/>
      <c r="C255" s="1532"/>
      <c r="D255" s="1532"/>
      <c r="E255" s="1532"/>
      <c r="F255" s="1532"/>
      <c r="G255" s="1532"/>
      <c r="H255" s="1532"/>
      <c r="I255" s="1532"/>
      <c r="J255" s="1486"/>
      <c r="K255" s="1486"/>
      <c r="L255" s="1486"/>
      <c r="M255" s="1486"/>
      <c r="N255" s="1486"/>
      <c r="O255" s="1486"/>
      <c r="P255" s="1487"/>
      <c r="Q255" s="1487"/>
      <c r="R255" s="1487"/>
    </row>
    <row r="256" spans="1:18" ht="15.75" customHeight="1">
      <c r="A256" s="1486"/>
      <c r="B256" s="1486"/>
      <c r="C256" s="1532"/>
      <c r="D256" s="1532"/>
      <c r="E256" s="1532"/>
      <c r="F256" s="1532"/>
      <c r="G256" s="1532"/>
      <c r="H256" s="1532"/>
      <c r="I256" s="1532"/>
      <c r="J256" s="1486"/>
      <c r="K256" s="1486"/>
      <c r="L256" s="1486"/>
      <c r="M256" s="1486"/>
      <c r="N256" s="1486"/>
      <c r="O256" s="1486"/>
      <c r="P256" s="1487"/>
      <c r="Q256" s="1487"/>
      <c r="R256" s="1487"/>
    </row>
    <row r="257" spans="1:18" ht="15.75" customHeight="1">
      <c r="A257" s="1486"/>
      <c r="B257" s="1486"/>
      <c r="C257" s="1532"/>
      <c r="D257" s="1532"/>
      <c r="E257" s="1532"/>
      <c r="F257" s="1532"/>
      <c r="G257" s="1532"/>
      <c r="H257" s="1532"/>
      <c r="I257" s="1532"/>
      <c r="J257" s="1486"/>
      <c r="K257" s="1486"/>
      <c r="L257" s="1486"/>
      <c r="M257" s="1486"/>
      <c r="N257" s="1486"/>
      <c r="O257" s="1486"/>
      <c r="P257" s="1487"/>
      <c r="Q257" s="1487"/>
      <c r="R257" s="1487"/>
    </row>
    <row r="258" spans="1:18" ht="15.75" customHeight="1">
      <c r="A258" s="1486"/>
      <c r="B258" s="1486"/>
      <c r="C258" s="1532"/>
      <c r="D258" s="1532"/>
      <c r="E258" s="1532"/>
      <c r="F258" s="1532"/>
      <c r="G258" s="1532"/>
      <c r="H258" s="1532"/>
      <c r="I258" s="1532"/>
      <c r="J258" s="1486"/>
      <c r="K258" s="1486"/>
      <c r="L258" s="1486"/>
      <c r="M258" s="1486"/>
      <c r="N258" s="1486"/>
      <c r="O258" s="1486"/>
      <c r="P258" s="1487"/>
      <c r="Q258" s="1487"/>
      <c r="R258" s="1487"/>
    </row>
    <row r="259" spans="1:18" ht="15.75" customHeight="1">
      <c r="A259" s="1486"/>
      <c r="B259" s="1486"/>
      <c r="C259" s="1532"/>
      <c r="D259" s="1532"/>
      <c r="E259" s="1532"/>
      <c r="F259" s="1532"/>
      <c r="G259" s="1532"/>
      <c r="H259" s="1532"/>
      <c r="I259" s="1532"/>
      <c r="J259" s="1486"/>
      <c r="K259" s="1486"/>
      <c r="L259" s="1486"/>
      <c r="M259" s="1486"/>
      <c r="N259" s="1486"/>
      <c r="O259" s="1486"/>
      <c r="P259" s="1487"/>
      <c r="Q259" s="1487"/>
      <c r="R259" s="1487"/>
    </row>
    <row r="260" spans="1:18" ht="15.75" customHeight="1">
      <c r="A260" s="1486"/>
      <c r="B260" s="1486"/>
      <c r="C260" s="1532"/>
      <c r="D260" s="1532"/>
      <c r="E260" s="1532"/>
      <c r="F260" s="1532"/>
      <c r="G260" s="1532"/>
      <c r="H260" s="1532"/>
      <c r="I260" s="1532"/>
      <c r="J260" s="1486"/>
      <c r="K260" s="1486"/>
      <c r="L260" s="1486"/>
      <c r="M260" s="1486"/>
      <c r="N260" s="1486"/>
      <c r="O260" s="1486"/>
      <c r="P260" s="1487"/>
      <c r="Q260" s="1487"/>
      <c r="R260" s="1487"/>
    </row>
    <row r="261" spans="1:18" ht="15.75" customHeight="1">
      <c r="A261" s="1486"/>
      <c r="B261" s="1486"/>
      <c r="C261" s="1532"/>
      <c r="D261" s="1532"/>
      <c r="E261" s="1532"/>
      <c r="F261" s="1532"/>
      <c r="G261" s="1532"/>
      <c r="H261" s="1532"/>
      <c r="I261" s="1532"/>
      <c r="J261" s="1486"/>
      <c r="K261" s="1486"/>
      <c r="L261" s="1486"/>
      <c r="M261" s="1486"/>
      <c r="N261" s="1486"/>
      <c r="O261" s="1486"/>
      <c r="P261" s="1487"/>
      <c r="Q261" s="1487"/>
      <c r="R261" s="1487"/>
    </row>
    <row r="262" spans="1:18" ht="15.75" customHeight="1">
      <c r="A262" s="1486"/>
      <c r="B262" s="1486"/>
      <c r="C262" s="1532"/>
      <c r="D262" s="1532"/>
      <c r="E262" s="1532"/>
      <c r="F262" s="1532"/>
      <c r="G262" s="1532"/>
      <c r="H262" s="1532"/>
      <c r="I262" s="1532"/>
      <c r="J262" s="1486"/>
      <c r="K262" s="1486"/>
      <c r="L262" s="1486"/>
      <c r="M262" s="1486"/>
      <c r="N262" s="1486"/>
      <c r="O262" s="1486"/>
      <c r="P262" s="1487"/>
      <c r="Q262" s="1487"/>
      <c r="R262" s="1487"/>
    </row>
    <row r="263" spans="1:18" ht="15.75" customHeight="1">
      <c r="A263" s="1486"/>
      <c r="B263" s="1486"/>
      <c r="C263" s="1532"/>
      <c r="D263" s="1532"/>
      <c r="E263" s="1532"/>
      <c r="F263" s="1532"/>
      <c r="G263" s="1532"/>
      <c r="H263" s="1532"/>
      <c r="I263" s="1532"/>
      <c r="J263" s="1486"/>
      <c r="K263" s="1486"/>
      <c r="L263" s="1486"/>
      <c r="M263" s="1486"/>
      <c r="N263" s="1486"/>
      <c r="O263" s="1486"/>
      <c r="P263" s="1487"/>
      <c r="Q263" s="1487"/>
      <c r="R263" s="1487"/>
    </row>
    <row r="264" spans="1:18" ht="15.75" customHeight="1">
      <c r="A264" s="1486"/>
      <c r="B264" s="1486"/>
      <c r="C264" s="1532"/>
      <c r="D264" s="1532"/>
      <c r="E264" s="1532"/>
      <c r="F264" s="1532"/>
      <c r="G264" s="1532"/>
      <c r="H264" s="1532"/>
      <c r="I264" s="1532"/>
      <c r="J264" s="1486"/>
      <c r="K264" s="1486"/>
      <c r="L264" s="1486"/>
      <c r="M264" s="1486"/>
      <c r="N264" s="1486"/>
      <c r="O264" s="1486"/>
      <c r="P264" s="1487"/>
      <c r="Q264" s="1487"/>
      <c r="R264" s="1487"/>
    </row>
    <row r="265" spans="1:18" ht="15.75" customHeight="1">
      <c r="A265" s="1486"/>
      <c r="B265" s="1486"/>
      <c r="C265" s="1532"/>
      <c r="D265" s="1532"/>
      <c r="E265" s="1532"/>
      <c r="F265" s="1532"/>
      <c r="G265" s="1532"/>
      <c r="H265" s="1532"/>
      <c r="I265" s="1532"/>
      <c r="J265" s="1486"/>
      <c r="K265" s="1486"/>
      <c r="L265" s="1486"/>
      <c r="M265" s="1486"/>
      <c r="N265" s="1486"/>
      <c r="O265" s="1486"/>
      <c r="P265" s="1487"/>
      <c r="Q265" s="1487"/>
      <c r="R265" s="1487"/>
    </row>
    <row r="266" spans="1:18" ht="15.75" customHeight="1">
      <c r="A266" s="1486"/>
      <c r="B266" s="1486"/>
      <c r="C266" s="1532"/>
      <c r="D266" s="1532"/>
      <c r="E266" s="1532"/>
      <c r="F266" s="1532"/>
      <c r="G266" s="1532"/>
      <c r="H266" s="1532"/>
      <c r="I266" s="1532"/>
      <c r="J266" s="1486"/>
      <c r="K266" s="1486"/>
      <c r="L266" s="1486"/>
      <c r="M266" s="1486"/>
      <c r="N266" s="1486"/>
      <c r="O266" s="1486"/>
      <c r="P266" s="1487"/>
      <c r="Q266" s="1487"/>
      <c r="R266" s="1487"/>
    </row>
    <row r="267" spans="1:18" ht="15.75" customHeight="1">
      <c r="A267" s="1486"/>
      <c r="B267" s="1486"/>
      <c r="C267" s="1532"/>
      <c r="D267" s="1532"/>
      <c r="E267" s="1532"/>
      <c r="F267" s="1532"/>
      <c r="G267" s="1532"/>
      <c r="H267" s="1532"/>
      <c r="I267" s="1532"/>
      <c r="J267" s="1486"/>
      <c r="K267" s="1486"/>
      <c r="L267" s="1486"/>
      <c r="M267" s="1486"/>
      <c r="N267" s="1486"/>
      <c r="O267" s="1486"/>
      <c r="P267" s="1487"/>
      <c r="Q267" s="1487"/>
      <c r="R267" s="1487"/>
    </row>
    <row r="268" spans="1:18" ht="15.75" customHeight="1">
      <c r="A268" s="1486"/>
      <c r="B268" s="1486"/>
      <c r="C268" s="1532"/>
      <c r="D268" s="1532"/>
      <c r="E268" s="1532"/>
      <c r="F268" s="1532"/>
      <c r="G268" s="1532"/>
      <c r="H268" s="1532"/>
      <c r="I268" s="1532"/>
      <c r="J268" s="1486"/>
      <c r="K268" s="1486"/>
      <c r="L268" s="1486"/>
      <c r="M268" s="1486"/>
      <c r="N268" s="1486"/>
      <c r="O268" s="1486"/>
      <c r="P268" s="1487"/>
      <c r="Q268" s="1487"/>
      <c r="R268" s="1487"/>
    </row>
    <row r="269" spans="1:18" ht="15.75" customHeight="1">
      <c r="A269" s="1486"/>
      <c r="B269" s="1486"/>
      <c r="C269" s="1532"/>
      <c r="D269" s="1532"/>
      <c r="E269" s="1532"/>
      <c r="F269" s="1532"/>
      <c r="G269" s="1532"/>
      <c r="H269" s="1532"/>
      <c r="I269" s="1532"/>
      <c r="J269" s="1486"/>
      <c r="K269" s="1486"/>
      <c r="L269" s="1486"/>
      <c r="M269" s="1486"/>
      <c r="N269" s="1486"/>
      <c r="O269" s="1486"/>
      <c r="P269" s="1487"/>
      <c r="Q269" s="1487"/>
      <c r="R269" s="1487"/>
    </row>
    <row r="270" spans="1:18" ht="15.75" customHeight="1">
      <c r="A270" s="1486"/>
      <c r="B270" s="1486"/>
      <c r="C270" s="1532"/>
      <c r="D270" s="1532"/>
      <c r="E270" s="1532"/>
      <c r="F270" s="1532"/>
      <c r="G270" s="1532"/>
      <c r="H270" s="1532"/>
      <c r="I270" s="1532"/>
      <c r="J270" s="1486"/>
      <c r="K270" s="1486"/>
      <c r="L270" s="1486"/>
      <c r="M270" s="1486"/>
      <c r="N270" s="1486"/>
      <c r="O270" s="1486"/>
      <c r="P270" s="1487"/>
      <c r="Q270" s="1487"/>
      <c r="R270" s="1487"/>
    </row>
    <row r="271" spans="1:18" ht="15.75" customHeight="1">
      <c r="A271" s="1486"/>
      <c r="B271" s="1486"/>
      <c r="C271" s="1532"/>
      <c r="D271" s="1532"/>
      <c r="E271" s="1532"/>
      <c r="F271" s="1532"/>
      <c r="G271" s="1532"/>
      <c r="H271" s="1532"/>
      <c r="I271" s="1532"/>
      <c r="J271" s="1486"/>
      <c r="K271" s="1486"/>
      <c r="L271" s="1486"/>
      <c r="M271" s="1486"/>
      <c r="N271" s="1486"/>
      <c r="O271" s="1486"/>
      <c r="P271" s="1487"/>
      <c r="Q271" s="1487"/>
      <c r="R271" s="1487"/>
    </row>
    <row r="272" spans="1:18" ht="15.75" customHeight="1">
      <c r="A272" s="1486"/>
      <c r="B272" s="1486"/>
      <c r="C272" s="1532"/>
      <c r="D272" s="1532"/>
      <c r="E272" s="1532"/>
      <c r="F272" s="1532"/>
      <c r="G272" s="1532"/>
      <c r="H272" s="1532"/>
      <c r="I272" s="1532"/>
      <c r="J272" s="1486"/>
      <c r="K272" s="1486"/>
      <c r="L272" s="1486"/>
      <c r="M272" s="1486"/>
      <c r="N272" s="1486"/>
      <c r="O272" s="1486"/>
      <c r="P272" s="1487"/>
      <c r="Q272" s="1487"/>
      <c r="R272" s="1487"/>
    </row>
    <row r="273" spans="1:18" ht="15.75" customHeight="1">
      <c r="A273" s="1486"/>
      <c r="B273" s="1486"/>
      <c r="C273" s="1532"/>
      <c r="D273" s="1532"/>
      <c r="E273" s="1532"/>
      <c r="F273" s="1532"/>
      <c r="G273" s="1532"/>
      <c r="H273" s="1532"/>
      <c r="I273" s="1532"/>
      <c r="J273" s="1486"/>
      <c r="K273" s="1486"/>
      <c r="L273" s="1486"/>
      <c r="M273" s="1486"/>
      <c r="N273" s="1486"/>
      <c r="O273" s="1486"/>
      <c r="P273" s="1487"/>
      <c r="Q273" s="1487"/>
      <c r="R273" s="1487"/>
    </row>
    <row r="274" spans="1:18" ht="15.75" customHeight="1">
      <c r="A274" s="1486"/>
      <c r="B274" s="1486"/>
      <c r="C274" s="1532"/>
      <c r="D274" s="1532"/>
      <c r="E274" s="1532"/>
      <c r="F274" s="1532"/>
      <c r="G274" s="1532"/>
      <c r="H274" s="1532"/>
      <c r="I274" s="1532"/>
      <c r="J274" s="1486"/>
      <c r="K274" s="1486"/>
      <c r="L274" s="1486"/>
      <c r="M274" s="1486"/>
      <c r="N274" s="1486"/>
      <c r="O274" s="1486"/>
      <c r="P274" s="1487"/>
      <c r="Q274" s="1487"/>
      <c r="R274" s="1487"/>
    </row>
    <row r="275" spans="1:18" ht="15.75" customHeight="1">
      <c r="A275" s="1486"/>
      <c r="B275" s="1486"/>
      <c r="C275" s="1532"/>
      <c r="D275" s="1532"/>
      <c r="E275" s="1532"/>
      <c r="F275" s="1532"/>
      <c r="G275" s="1532"/>
      <c r="H275" s="1532"/>
      <c r="I275" s="1532"/>
      <c r="J275" s="1486"/>
      <c r="K275" s="1486"/>
      <c r="L275" s="1486"/>
      <c r="M275" s="1486"/>
      <c r="N275" s="1486"/>
      <c r="O275" s="1486"/>
      <c r="P275" s="1487"/>
      <c r="Q275" s="1487"/>
      <c r="R275" s="1487"/>
    </row>
    <row r="276" spans="1:18" ht="15.75" customHeight="1">
      <c r="A276" s="1486"/>
      <c r="B276" s="1486"/>
      <c r="C276" s="1532"/>
      <c r="D276" s="1532"/>
      <c r="E276" s="1532"/>
      <c r="F276" s="1532"/>
      <c r="G276" s="1532"/>
      <c r="H276" s="1532"/>
      <c r="I276" s="1532"/>
      <c r="J276" s="1486"/>
      <c r="K276" s="1486"/>
      <c r="L276" s="1486"/>
      <c r="M276" s="1486"/>
      <c r="N276" s="1486"/>
      <c r="O276" s="1486"/>
      <c r="P276" s="1487"/>
      <c r="Q276" s="1487"/>
      <c r="R276" s="1487"/>
    </row>
    <row r="277" spans="1:18" ht="15.75" customHeight="1">
      <c r="A277" s="1486"/>
      <c r="B277" s="1486"/>
      <c r="C277" s="1532"/>
      <c r="D277" s="1532"/>
      <c r="E277" s="1532"/>
      <c r="F277" s="1532"/>
      <c r="G277" s="1532"/>
      <c r="H277" s="1532"/>
      <c r="I277" s="1532"/>
      <c r="J277" s="1486"/>
      <c r="K277" s="1486"/>
      <c r="L277" s="1486"/>
      <c r="M277" s="1486"/>
      <c r="N277" s="1486"/>
      <c r="O277" s="1486"/>
      <c r="P277" s="1487"/>
      <c r="Q277" s="1487"/>
      <c r="R277" s="1487"/>
    </row>
    <row r="278" spans="1:18" ht="15.75" customHeight="1">
      <c r="A278" s="1486"/>
      <c r="B278" s="1486"/>
      <c r="C278" s="1532"/>
      <c r="D278" s="1532"/>
      <c r="E278" s="1532"/>
      <c r="F278" s="1532"/>
      <c r="G278" s="1532"/>
      <c r="H278" s="1532"/>
      <c r="I278" s="1532"/>
      <c r="J278" s="1486"/>
      <c r="K278" s="1486"/>
      <c r="L278" s="1486"/>
      <c r="M278" s="1486"/>
      <c r="N278" s="1486"/>
      <c r="O278" s="1486"/>
      <c r="P278" s="1487"/>
      <c r="Q278" s="1487"/>
      <c r="R278" s="1487"/>
    </row>
    <row r="279" spans="1:18" ht="15.75" customHeight="1">
      <c r="A279" s="1486"/>
      <c r="B279" s="1486"/>
      <c r="C279" s="1532"/>
      <c r="D279" s="1532"/>
      <c r="E279" s="1532"/>
      <c r="F279" s="1532"/>
      <c r="G279" s="1532"/>
      <c r="H279" s="1532"/>
      <c r="I279" s="1532"/>
      <c r="J279" s="1486"/>
      <c r="K279" s="1486"/>
      <c r="L279" s="1486"/>
      <c r="M279" s="1486"/>
      <c r="N279" s="1486"/>
      <c r="O279" s="1486"/>
      <c r="P279" s="1487"/>
      <c r="Q279" s="1487"/>
      <c r="R279" s="1487"/>
    </row>
    <row r="280" spans="1:18" ht="15.75" customHeight="1">
      <c r="A280" s="1486"/>
      <c r="B280" s="1486"/>
      <c r="C280" s="1532"/>
      <c r="D280" s="1532"/>
      <c r="E280" s="1532"/>
      <c r="F280" s="1532"/>
      <c r="G280" s="1532"/>
      <c r="H280" s="1532"/>
      <c r="I280" s="1532"/>
      <c r="J280" s="1486"/>
      <c r="K280" s="1486"/>
      <c r="L280" s="1486"/>
      <c r="M280" s="1486"/>
      <c r="N280" s="1486"/>
      <c r="O280" s="1486"/>
      <c r="P280" s="1487"/>
      <c r="Q280" s="1487"/>
      <c r="R280" s="1487"/>
    </row>
    <row r="281" spans="1:18" ht="15.75" customHeight="1">
      <c r="A281" s="1486"/>
      <c r="B281" s="1486"/>
      <c r="C281" s="1532"/>
      <c r="D281" s="1532"/>
      <c r="E281" s="1532"/>
      <c r="F281" s="1532"/>
      <c r="G281" s="1532"/>
      <c r="H281" s="1532"/>
      <c r="I281" s="1532"/>
      <c r="J281" s="1486"/>
      <c r="K281" s="1486"/>
      <c r="L281" s="1486"/>
      <c r="M281" s="1486"/>
      <c r="N281" s="1486"/>
      <c r="O281" s="1486"/>
      <c r="P281" s="1487"/>
      <c r="Q281" s="1487"/>
      <c r="R281" s="1487"/>
    </row>
    <row r="282" spans="1:18" ht="15.75" customHeight="1">
      <c r="A282" s="1486"/>
      <c r="B282" s="1486"/>
      <c r="C282" s="1532"/>
      <c r="D282" s="1532"/>
      <c r="E282" s="1532"/>
      <c r="F282" s="1532"/>
      <c r="G282" s="1532"/>
      <c r="H282" s="1532"/>
      <c r="I282" s="1532"/>
      <c r="J282" s="1486"/>
      <c r="K282" s="1486"/>
      <c r="L282" s="1486"/>
      <c r="M282" s="1486"/>
      <c r="N282" s="1486"/>
      <c r="O282" s="1486"/>
      <c r="P282" s="1487"/>
      <c r="Q282" s="1487"/>
      <c r="R282" s="1487"/>
    </row>
    <row r="283" spans="1:18" ht="15.75" customHeight="1">
      <c r="A283" s="1486"/>
      <c r="B283" s="1486"/>
      <c r="C283" s="1532"/>
      <c r="D283" s="1532"/>
      <c r="E283" s="1532"/>
      <c r="F283" s="1532"/>
      <c r="G283" s="1532"/>
      <c r="H283" s="1532"/>
      <c r="I283" s="1532"/>
      <c r="J283" s="1486"/>
      <c r="K283" s="1486"/>
      <c r="L283" s="1486"/>
      <c r="M283" s="1486"/>
      <c r="N283" s="1486"/>
      <c r="O283" s="1486"/>
      <c r="P283" s="1487"/>
      <c r="Q283" s="1487"/>
      <c r="R283" s="1487"/>
    </row>
    <row r="284" spans="1:18" ht="15.75" customHeight="1">
      <c r="A284" s="1486"/>
      <c r="B284" s="1486"/>
      <c r="C284" s="1532"/>
      <c r="D284" s="1532"/>
      <c r="E284" s="1532"/>
      <c r="F284" s="1532"/>
      <c r="G284" s="1532"/>
      <c r="H284" s="1532"/>
      <c r="I284" s="1532"/>
      <c r="J284" s="1486"/>
      <c r="K284" s="1486"/>
      <c r="L284" s="1486"/>
      <c r="M284" s="1486"/>
      <c r="N284" s="1486"/>
      <c r="O284" s="1486"/>
      <c r="P284" s="1487"/>
      <c r="Q284" s="1487"/>
      <c r="R284" s="1487"/>
    </row>
    <row r="285" spans="1:18" ht="15.75" customHeight="1">
      <c r="A285" s="1486"/>
      <c r="B285" s="1486"/>
      <c r="C285" s="1532"/>
      <c r="D285" s="1532"/>
      <c r="E285" s="1532"/>
      <c r="F285" s="1532"/>
      <c r="G285" s="1532"/>
      <c r="H285" s="1532"/>
      <c r="I285" s="1532"/>
      <c r="J285" s="1486"/>
      <c r="K285" s="1486"/>
      <c r="L285" s="1486"/>
      <c r="M285" s="1486"/>
      <c r="N285" s="1486"/>
      <c r="O285" s="1486"/>
      <c r="P285" s="1487"/>
      <c r="Q285" s="1487"/>
      <c r="R285" s="1487"/>
    </row>
    <row r="286" spans="1:18" ht="15.75" customHeight="1">
      <c r="A286" s="1486"/>
      <c r="B286" s="1486"/>
      <c r="C286" s="1532"/>
      <c r="D286" s="1532"/>
      <c r="E286" s="1532"/>
      <c r="F286" s="1532"/>
      <c r="G286" s="1532"/>
      <c r="H286" s="1532"/>
      <c r="I286" s="1532"/>
      <c r="J286" s="1486"/>
      <c r="K286" s="1486"/>
      <c r="L286" s="1486"/>
      <c r="M286" s="1486"/>
      <c r="N286" s="1486"/>
      <c r="O286" s="1486"/>
      <c r="P286" s="1487"/>
      <c r="Q286" s="1487"/>
      <c r="R286" s="1487"/>
    </row>
    <row r="287" spans="1:18" ht="15.75" customHeight="1">
      <c r="A287" s="1486"/>
      <c r="B287" s="1486"/>
      <c r="C287" s="1532"/>
      <c r="D287" s="1532"/>
      <c r="E287" s="1532"/>
      <c r="F287" s="1532"/>
      <c r="G287" s="1532"/>
      <c r="H287" s="1532"/>
      <c r="I287" s="1532"/>
      <c r="J287" s="1486"/>
      <c r="K287" s="1486"/>
      <c r="L287" s="1486"/>
      <c r="M287" s="1486"/>
      <c r="N287" s="1486"/>
      <c r="O287" s="1486"/>
      <c r="P287" s="1487"/>
      <c r="Q287" s="1487"/>
      <c r="R287" s="1487"/>
    </row>
    <row r="288" spans="1:18" ht="15.75" customHeight="1">
      <c r="A288" s="1486"/>
      <c r="B288" s="1486"/>
      <c r="C288" s="1532"/>
      <c r="D288" s="1532"/>
      <c r="E288" s="1532"/>
      <c r="F288" s="1532"/>
      <c r="G288" s="1532"/>
      <c r="H288" s="1532"/>
      <c r="I288" s="1532"/>
      <c r="J288" s="1486"/>
      <c r="K288" s="1486"/>
      <c r="L288" s="1486"/>
      <c r="M288" s="1486"/>
      <c r="N288" s="1486"/>
      <c r="O288" s="1486"/>
      <c r="P288" s="1487"/>
      <c r="Q288" s="1487"/>
      <c r="R288" s="1487"/>
    </row>
    <row r="289" spans="1:18" ht="15.75" customHeight="1">
      <c r="A289" s="1486"/>
      <c r="B289" s="1486"/>
      <c r="C289" s="1532"/>
      <c r="D289" s="1532"/>
      <c r="E289" s="1532"/>
      <c r="F289" s="1532"/>
      <c r="G289" s="1532"/>
      <c r="H289" s="1532"/>
      <c r="I289" s="1532"/>
      <c r="J289" s="1486"/>
      <c r="K289" s="1486"/>
      <c r="L289" s="1486"/>
      <c r="M289" s="1486"/>
      <c r="N289" s="1486"/>
      <c r="O289" s="1486"/>
      <c r="P289" s="1487"/>
      <c r="Q289" s="1487"/>
      <c r="R289" s="1487"/>
    </row>
    <row r="290" spans="1:18" ht="15.75" customHeight="1">
      <c r="A290" s="1486"/>
      <c r="B290" s="1486"/>
      <c r="C290" s="1532"/>
      <c r="D290" s="1532"/>
      <c r="E290" s="1532"/>
      <c r="F290" s="1532"/>
      <c r="G290" s="1532"/>
      <c r="H290" s="1532"/>
      <c r="I290" s="1532"/>
      <c r="J290" s="1486"/>
      <c r="K290" s="1486"/>
      <c r="L290" s="1486"/>
      <c r="M290" s="1486"/>
      <c r="N290" s="1486"/>
      <c r="O290" s="1486"/>
      <c r="P290" s="1487"/>
      <c r="Q290" s="1487"/>
      <c r="R290" s="1487"/>
    </row>
    <row r="291" spans="1:18" ht="15.75" customHeight="1">
      <c r="A291" s="1486"/>
      <c r="B291" s="1486"/>
      <c r="C291" s="1532"/>
      <c r="D291" s="1532"/>
      <c r="E291" s="1532"/>
      <c r="F291" s="1532"/>
      <c r="G291" s="1532"/>
      <c r="H291" s="1532"/>
      <c r="I291" s="1532"/>
      <c r="J291" s="1486"/>
      <c r="K291" s="1486"/>
      <c r="L291" s="1486"/>
      <c r="M291" s="1486"/>
      <c r="N291" s="1486"/>
      <c r="O291" s="1486"/>
      <c r="P291" s="1487"/>
      <c r="Q291" s="1487"/>
      <c r="R291" s="1487"/>
    </row>
    <row r="292" spans="1:18" ht="15.75" customHeight="1">
      <c r="A292" s="1486"/>
      <c r="B292" s="1486"/>
      <c r="C292" s="1532"/>
      <c r="D292" s="1532"/>
      <c r="E292" s="1532"/>
      <c r="F292" s="1532"/>
      <c r="G292" s="1532"/>
      <c r="H292" s="1532"/>
      <c r="I292" s="1532"/>
      <c r="J292" s="1486"/>
      <c r="K292" s="1486"/>
      <c r="L292" s="1486"/>
      <c r="M292" s="1486"/>
      <c r="N292" s="1486"/>
      <c r="O292" s="1486"/>
      <c r="P292" s="1487"/>
      <c r="Q292" s="1487"/>
      <c r="R292" s="1487"/>
    </row>
    <row r="293" spans="1:18" ht="15.75" customHeight="1">
      <c r="A293" s="1486"/>
      <c r="B293" s="1486"/>
      <c r="C293" s="1532"/>
      <c r="D293" s="1532"/>
      <c r="E293" s="1532"/>
      <c r="F293" s="1532"/>
      <c r="G293" s="1532"/>
      <c r="H293" s="1532"/>
      <c r="I293" s="1532"/>
      <c r="J293" s="1486"/>
      <c r="K293" s="1486"/>
      <c r="L293" s="1486"/>
      <c r="M293" s="1486"/>
      <c r="N293" s="1486"/>
      <c r="O293" s="1486"/>
      <c r="P293" s="1487"/>
      <c r="Q293" s="1487"/>
      <c r="R293" s="1487"/>
    </row>
    <row r="294" spans="1:18" ht="15.75" customHeight="1">
      <c r="A294" s="1486"/>
      <c r="B294" s="1486"/>
      <c r="C294" s="1532"/>
      <c r="D294" s="1532"/>
      <c r="E294" s="1532"/>
      <c r="F294" s="1532"/>
      <c r="G294" s="1532"/>
      <c r="H294" s="1532"/>
      <c r="I294" s="1532"/>
      <c r="J294" s="1486"/>
      <c r="K294" s="1486"/>
      <c r="L294" s="1486"/>
      <c r="M294" s="1486"/>
      <c r="N294" s="1486"/>
      <c r="O294" s="1486"/>
      <c r="P294" s="1487"/>
      <c r="Q294" s="1487"/>
      <c r="R294" s="1487"/>
    </row>
    <row r="295" spans="1:18" ht="15.75" customHeight="1">
      <c r="A295" s="1486"/>
      <c r="B295" s="1486"/>
      <c r="C295" s="1532"/>
      <c r="D295" s="1532"/>
      <c r="E295" s="1532"/>
      <c r="F295" s="1532"/>
      <c r="G295" s="1532"/>
      <c r="H295" s="1532"/>
      <c r="I295" s="1532"/>
      <c r="J295" s="1486"/>
      <c r="K295" s="1486"/>
      <c r="L295" s="1486"/>
      <c r="M295" s="1486"/>
      <c r="N295" s="1486"/>
      <c r="O295" s="1486"/>
      <c r="P295" s="1487"/>
      <c r="Q295" s="1487"/>
      <c r="R295" s="1487"/>
    </row>
    <row r="296" spans="1:18" ht="15.75" customHeight="1">
      <c r="A296" s="1486"/>
      <c r="B296" s="1486"/>
      <c r="C296" s="1532"/>
      <c r="D296" s="1532"/>
      <c r="E296" s="1532"/>
      <c r="F296" s="1532"/>
      <c r="G296" s="1532"/>
      <c r="H296" s="1532"/>
      <c r="I296" s="1532"/>
      <c r="J296" s="1486"/>
      <c r="K296" s="1486"/>
      <c r="L296" s="1486"/>
      <c r="M296" s="1486"/>
      <c r="N296" s="1486"/>
      <c r="O296" s="1486"/>
      <c r="P296" s="1487"/>
      <c r="Q296" s="1487"/>
      <c r="R296" s="1487"/>
    </row>
    <row r="297" spans="1:18" ht="15.75" customHeight="1">
      <c r="A297" s="1486"/>
      <c r="B297" s="1486"/>
      <c r="C297" s="1532"/>
      <c r="D297" s="1532"/>
      <c r="E297" s="1532"/>
      <c r="F297" s="1532"/>
      <c r="G297" s="1532"/>
      <c r="H297" s="1532"/>
      <c r="I297" s="1532"/>
      <c r="J297" s="1486"/>
      <c r="K297" s="1486"/>
      <c r="L297" s="1486"/>
      <c r="M297" s="1486"/>
      <c r="N297" s="1486"/>
      <c r="O297" s="1486"/>
      <c r="P297" s="1487"/>
      <c r="Q297" s="1487"/>
      <c r="R297" s="1487"/>
    </row>
    <row r="298" spans="1:18" ht="15.75" customHeight="1">
      <c r="A298" s="1486"/>
      <c r="B298" s="1486"/>
      <c r="C298" s="1532"/>
      <c r="D298" s="1532"/>
      <c r="E298" s="1532"/>
      <c r="F298" s="1532"/>
      <c r="G298" s="1532"/>
      <c r="H298" s="1532"/>
      <c r="I298" s="1532"/>
      <c r="J298" s="1486"/>
      <c r="K298" s="1486"/>
      <c r="L298" s="1486"/>
      <c r="M298" s="1486"/>
      <c r="N298" s="1486"/>
      <c r="O298" s="1486"/>
      <c r="P298" s="1487"/>
      <c r="Q298" s="1487"/>
      <c r="R298" s="1487"/>
    </row>
    <row r="299" spans="1:18" ht="15.75" customHeight="1">
      <c r="A299" s="1486"/>
      <c r="B299" s="1486"/>
      <c r="C299" s="1532"/>
      <c r="D299" s="1532"/>
      <c r="E299" s="1532"/>
      <c r="F299" s="1532"/>
      <c r="G299" s="1532"/>
      <c r="H299" s="1532"/>
      <c r="I299" s="1532"/>
      <c r="J299" s="1486"/>
      <c r="K299" s="1486"/>
      <c r="L299" s="1486"/>
      <c r="M299" s="1486"/>
      <c r="N299" s="1486"/>
      <c r="O299" s="1486"/>
      <c r="P299" s="1487"/>
      <c r="Q299" s="1487"/>
      <c r="R299" s="1487"/>
    </row>
    <row r="300" spans="1:18" ht="15.75" customHeight="1">
      <c r="A300" s="1486"/>
      <c r="B300" s="1486"/>
      <c r="C300" s="1532"/>
      <c r="D300" s="1532"/>
      <c r="E300" s="1532"/>
      <c r="F300" s="1532"/>
      <c r="G300" s="1532"/>
      <c r="H300" s="1532"/>
      <c r="I300" s="1532"/>
      <c r="J300" s="1486"/>
      <c r="K300" s="1486"/>
      <c r="L300" s="1486"/>
      <c r="M300" s="1486"/>
      <c r="N300" s="1486"/>
      <c r="O300" s="1486"/>
      <c r="P300" s="1487"/>
      <c r="Q300" s="1487"/>
      <c r="R300" s="1487"/>
    </row>
    <row r="301" spans="1:18" ht="15.75" customHeight="1">
      <c r="A301" s="1486"/>
      <c r="B301" s="1486"/>
      <c r="C301" s="1532"/>
      <c r="D301" s="1532"/>
      <c r="E301" s="1532"/>
      <c r="F301" s="1532"/>
      <c r="G301" s="1532"/>
      <c r="H301" s="1532"/>
      <c r="I301" s="1532"/>
      <c r="J301" s="1486"/>
      <c r="K301" s="1486"/>
      <c r="L301" s="1486"/>
      <c r="M301" s="1486"/>
      <c r="N301" s="1486"/>
      <c r="O301" s="1486"/>
      <c r="P301" s="1487"/>
      <c r="Q301" s="1487"/>
      <c r="R301" s="1487"/>
    </row>
    <row r="302" spans="1:18" ht="15.75" customHeight="1">
      <c r="A302" s="1486"/>
      <c r="B302" s="1486"/>
      <c r="C302" s="1532"/>
      <c r="D302" s="1532"/>
      <c r="E302" s="1532"/>
      <c r="F302" s="1532"/>
      <c r="G302" s="1532"/>
      <c r="H302" s="1532"/>
      <c r="I302" s="1532"/>
      <c r="J302" s="1486"/>
      <c r="K302" s="1486"/>
      <c r="L302" s="1486"/>
      <c r="M302" s="1486"/>
      <c r="N302" s="1486"/>
      <c r="O302" s="1486"/>
      <c r="P302" s="1487"/>
      <c r="Q302" s="1487"/>
      <c r="R302" s="1487"/>
    </row>
    <row r="303" spans="1:18" ht="15.75" customHeight="1">
      <c r="A303" s="1486"/>
      <c r="B303" s="1486"/>
      <c r="C303" s="1532"/>
      <c r="D303" s="1532"/>
      <c r="E303" s="1532"/>
      <c r="F303" s="1532"/>
      <c r="G303" s="1532"/>
      <c r="H303" s="1532"/>
      <c r="I303" s="1532"/>
      <c r="J303" s="1486"/>
      <c r="K303" s="1486"/>
      <c r="L303" s="1486"/>
      <c r="M303" s="1486"/>
      <c r="N303" s="1486"/>
      <c r="O303" s="1486"/>
      <c r="P303" s="1487"/>
      <c r="Q303" s="1487"/>
      <c r="R303" s="1487"/>
    </row>
    <row r="304" spans="1:18" ht="15.75" customHeight="1">
      <c r="A304" s="1486"/>
      <c r="B304" s="1486"/>
      <c r="C304" s="1532"/>
      <c r="D304" s="1532"/>
      <c r="E304" s="1532"/>
      <c r="F304" s="1532"/>
      <c r="G304" s="1532"/>
      <c r="H304" s="1532"/>
      <c r="I304" s="1532"/>
      <c r="J304" s="1486"/>
      <c r="K304" s="1486"/>
      <c r="L304" s="1486"/>
      <c r="M304" s="1486"/>
      <c r="N304" s="1486"/>
      <c r="O304" s="1486"/>
      <c r="P304" s="1487"/>
      <c r="Q304" s="1487"/>
      <c r="R304" s="1487"/>
    </row>
    <row r="305" spans="1:18" ht="15.75" customHeight="1">
      <c r="A305" s="1486"/>
      <c r="B305" s="1486"/>
      <c r="C305" s="1532"/>
      <c r="D305" s="1532"/>
      <c r="E305" s="1532"/>
      <c r="F305" s="1532"/>
      <c r="G305" s="1532"/>
      <c r="H305" s="1532"/>
      <c r="I305" s="1532"/>
      <c r="J305" s="1486"/>
      <c r="K305" s="1486"/>
      <c r="L305" s="1486"/>
      <c r="M305" s="1486"/>
      <c r="N305" s="1486"/>
      <c r="O305" s="1486"/>
      <c r="P305" s="1487"/>
      <c r="Q305" s="1487"/>
      <c r="R305" s="1487"/>
    </row>
    <row r="306" spans="1:18" ht="15.75" customHeight="1">
      <c r="A306" s="1486"/>
      <c r="B306" s="1486"/>
      <c r="C306" s="1532"/>
      <c r="D306" s="1532"/>
      <c r="E306" s="1532"/>
      <c r="F306" s="1532"/>
      <c r="G306" s="1532"/>
      <c r="H306" s="1532"/>
      <c r="I306" s="1532"/>
      <c r="J306" s="1486"/>
      <c r="K306" s="1486"/>
      <c r="L306" s="1486"/>
      <c r="M306" s="1486"/>
      <c r="N306" s="1486"/>
      <c r="O306" s="1486"/>
      <c r="P306" s="1487"/>
      <c r="Q306" s="1487"/>
      <c r="R306" s="1487"/>
    </row>
    <row r="307" spans="1:18" ht="15.75" customHeight="1">
      <c r="A307" s="1486"/>
      <c r="B307" s="1486"/>
      <c r="C307" s="1532"/>
      <c r="D307" s="1532"/>
      <c r="E307" s="1532"/>
      <c r="F307" s="1532"/>
      <c r="G307" s="1532"/>
      <c r="H307" s="1532"/>
      <c r="I307" s="1532"/>
      <c r="J307" s="1486"/>
      <c r="K307" s="1486"/>
      <c r="L307" s="1486"/>
      <c r="M307" s="1486"/>
      <c r="N307" s="1486"/>
      <c r="O307" s="1486"/>
      <c r="P307" s="1487"/>
      <c r="Q307" s="1487"/>
      <c r="R307" s="1487"/>
    </row>
    <row r="308" spans="1:18" ht="15.75" customHeight="1">
      <c r="A308" s="1486"/>
      <c r="B308" s="1486"/>
      <c r="C308" s="1532"/>
      <c r="D308" s="1532"/>
      <c r="E308" s="1532"/>
      <c r="F308" s="1532"/>
      <c r="G308" s="1532"/>
      <c r="H308" s="1532"/>
      <c r="I308" s="1532"/>
      <c r="J308" s="1486"/>
      <c r="K308" s="1486"/>
      <c r="L308" s="1486"/>
      <c r="M308" s="1486"/>
      <c r="N308" s="1486"/>
      <c r="O308" s="1486"/>
      <c r="P308" s="1487"/>
      <c r="Q308" s="1487"/>
      <c r="R308" s="1487"/>
    </row>
    <row r="309" spans="1:18" ht="15.75" customHeight="1">
      <c r="A309" s="1486"/>
      <c r="B309" s="1486"/>
      <c r="C309" s="1532"/>
      <c r="D309" s="1532"/>
      <c r="E309" s="1532"/>
      <c r="F309" s="1532"/>
      <c r="G309" s="1532"/>
      <c r="H309" s="1532"/>
      <c r="I309" s="1532"/>
      <c r="J309" s="1486"/>
      <c r="K309" s="1486"/>
      <c r="L309" s="1486"/>
      <c r="M309" s="1486"/>
      <c r="N309" s="1486"/>
      <c r="O309" s="1486"/>
      <c r="P309" s="1487"/>
      <c r="Q309" s="1487"/>
      <c r="R309" s="1487"/>
    </row>
    <row r="310" spans="1:18" ht="15.75" customHeight="1">
      <c r="A310" s="1486"/>
      <c r="B310" s="1486"/>
      <c r="C310" s="1532"/>
      <c r="D310" s="1532"/>
      <c r="E310" s="1532"/>
      <c r="F310" s="1532"/>
      <c r="G310" s="1532"/>
      <c r="H310" s="1532"/>
      <c r="I310" s="1532"/>
      <c r="J310" s="1486"/>
      <c r="K310" s="1486"/>
      <c r="L310" s="1486"/>
      <c r="M310" s="1486"/>
      <c r="N310" s="1486"/>
      <c r="O310" s="1486"/>
      <c r="P310" s="1487"/>
      <c r="Q310" s="1487"/>
      <c r="R310" s="1487"/>
    </row>
    <row r="311" spans="1:18" ht="15.75" customHeight="1">
      <c r="A311" s="1486"/>
      <c r="B311" s="1486"/>
      <c r="C311" s="1532"/>
      <c r="D311" s="1532"/>
      <c r="E311" s="1532"/>
      <c r="F311" s="1532"/>
      <c r="G311" s="1532"/>
      <c r="H311" s="1532"/>
      <c r="I311" s="1532"/>
      <c r="J311" s="1486"/>
      <c r="K311" s="1486"/>
      <c r="L311" s="1486"/>
      <c r="M311" s="1486"/>
      <c r="N311" s="1486"/>
      <c r="O311" s="1486"/>
      <c r="P311" s="1487"/>
      <c r="Q311" s="1487"/>
      <c r="R311" s="1487"/>
    </row>
    <row r="312" spans="1:18" ht="15.75" customHeight="1">
      <c r="A312" s="1486"/>
      <c r="B312" s="1486"/>
      <c r="C312" s="1532"/>
      <c r="D312" s="1532"/>
      <c r="E312" s="1532"/>
      <c r="F312" s="1532"/>
      <c r="G312" s="1532"/>
      <c r="H312" s="1532"/>
      <c r="I312" s="1532"/>
      <c r="J312" s="1486"/>
      <c r="K312" s="1486"/>
      <c r="L312" s="1486"/>
      <c r="M312" s="1486"/>
      <c r="N312" s="1486"/>
      <c r="O312" s="1486"/>
      <c r="P312" s="1487"/>
      <c r="Q312" s="1487"/>
      <c r="R312" s="1487"/>
    </row>
    <row r="313" spans="1:18" ht="15.75" customHeight="1">
      <c r="A313" s="1486"/>
      <c r="B313" s="1486"/>
      <c r="C313" s="1532"/>
      <c r="D313" s="1532"/>
      <c r="E313" s="1532"/>
      <c r="F313" s="1532"/>
      <c r="G313" s="1532"/>
      <c r="H313" s="1532"/>
      <c r="I313" s="1532"/>
      <c r="J313" s="1486"/>
      <c r="K313" s="1486"/>
      <c r="L313" s="1486"/>
      <c r="M313" s="1486"/>
      <c r="N313" s="1486"/>
      <c r="O313" s="1486"/>
      <c r="P313" s="1487"/>
      <c r="Q313" s="1487"/>
      <c r="R313" s="1487"/>
    </row>
    <row r="314" spans="1:18" ht="15.75" customHeight="1">
      <c r="A314" s="1486"/>
      <c r="B314" s="1486"/>
      <c r="C314" s="1532"/>
      <c r="D314" s="1532"/>
      <c r="E314" s="1532"/>
      <c r="F314" s="1532"/>
      <c r="G314" s="1532"/>
      <c r="H314" s="1532"/>
      <c r="I314" s="1532"/>
      <c r="J314" s="1486"/>
      <c r="K314" s="1486"/>
      <c r="L314" s="1486"/>
      <c r="M314" s="1486"/>
      <c r="N314" s="1486"/>
      <c r="O314" s="1486"/>
      <c r="P314" s="1487"/>
      <c r="Q314" s="1487"/>
      <c r="R314" s="1487"/>
    </row>
    <row r="315" spans="1:18" ht="15.75" customHeight="1">
      <c r="A315" s="1486"/>
      <c r="B315" s="1486"/>
      <c r="C315" s="1532"/>
      <c r="D315" s="1532"/>
      <c r="E315" s="1532"/>
      <c r="F315" s="1532"/>
      <c r="G315" s="1532"/>
      <c r="H315" s="1532"/>
      <c r="I315" s="1532"/>
      <c r="J315" s="1486"/>
      <c r="K315" s="1486"/>
      <c r="L315" s="1486"/>
      <c r="M315" s="1486"/>
      <c r="N315" s="1486"/>
      <c r="O315" s="1486"/>
      <c r="P315" s="1487"/>
      <c r="Q315" s="1487"/>
      <c r="R315" s="1487"/>
    </row>
    <row r="316" spans="1:18" ht="15.75" customHeight="1">
      <c r="A316" s="1486"/>
      <c r="B316" s="1486"/>
      <c r="C316" s="1532"/>
      <c r="D316" s="1532"/>
      <c r="E316" s="1532"/>
      <c r="F316" s="1532"/>
      <c r="G316" s="1532"/>
      <c r="H316" s="1532"/>
      <c r="I316" s="1532"/>
      <c r="J316" s="1486"/>
      <c r="K316" s="1486"/>
      <c r="L316" s="1486"/>
      <c r="M316" s="1486"/>
      <c r="N316" s="1486"/>
      <c r="O316" s="1486"/>
      <c r="P316" s="1487"/>
      <c r="Q316" s="1487"/>
      <c r="R316" s="1487"/>
    </row>
    <row r="317" spans="1:18" ht="15.75" customHeight="1">
      <c r="A317" s="1486"/>
      <c r="B317" s="1486"/>
      <c r="C317" s="1532"/>
      <c r="D317" s="1532"/>
      <c r="E317" s="1532"/>
      <c r="F317" s="1532"/>
      <c r="G317" s="1532"/>
      <c r="H317" s="1532"/>
      <c r="I317" s="1532"/>
      <c r="J317" s="1486"/>
      <c r="K317" s="1486"/>
      <c r="L317" s="1486"/>
      <c r="M317" s="1486"/>
      <c r="N317" s="1486"/>
      <c r="O317" s="1486"/>
      <c r="P317" s="1487"/>
      <c r="Q317" s="1487"/>
      <c r="R317" s="1487"/>
    </row>
    <row r="318" spans="1:18" ht="15.75" customHeight="1">
      <c r="A318" s="1486"/>
      <c r="B318" s="1486"/>
      <c r="C318" s="1532"/>
      <c r="D318" s="1532"/>
      <c r="E318" s="1532"/>
      <c r="F318" s="1532"/>
      <c r="G318" s="1532"/>
      <c r="H318" s="1532"/>
      <c r="I318" s="1532"/>
      <c r="J318" s="1486"/>
      <c r="K318" s="1486"/>
      <c r="L318" s="1486"/>
      <c r="M318" s="1486"/>
      <c r="N318" s="1486"/>
      <c r="O318" s="1486"/>
      <c r="P318" s="1487"/>
      <c r="Q318" s="1487"/>
      <c r="R318" s="1487"/>
    </row>
    <row r="319" spans="1:18" ht="15.75" customHeight="1">
      <c r="A319" s="1486"/>
      <c r="B319" s="1486"/>
      <c r="C319" s="1532"/>
      <c r="D319" s="1532"/>
      <c r="E319" s="1532"/>
      <c r="F319" s="1532"/>
      <c r="G319" s="1532"/>
      <c r="H319" s="1532"/>
      <c r="I319" s="1532"/>
      <c r="J319" s="1486"/>
      <c r="K319" s="1486"/>
      <c r="L319" s="1486"/>
      <c r="M319" s="1486"/>
      <c r="N319" s="1486"/>
      <c r="O319" s="1486"/>
      <c r="P319" s="1487"/>
      <c r="Q319" s="1487"/>
      <c r="R319" s="1487"/>
    </row>
    <row r="320" spans="1:18" ht="15.75" customHeight="1">
      <c r="A320" s="1486"/>
      <c r="B320" s="1486"/>
      <c r="C320" s="1532"/>
      <c r="D320" s="1532"/>
      <c r="E320" s="1532"/>
      <c r="F320" s="1532"/>
      <c r="G320" s="1532"/>
      <c r="H320" s="1532"/>
      <c r="I320" s="1532"/>
      <c r="J320" s="1486"/>
      <c r="K320" s="1486"/>
      <c r="L320" s="1486"/>
      <c r="M320" s="1486"/>
      <c r="N320" s="1486"/>
      <c r="O320" s="1486"/>
      <c r="P320" s="1487"/>
      <c r="Q320" s="1487"/>
      <c r="R320" s="1487"/>
    </row>
    <row r="321" spans="1:18" ht="15.75" customHeight="1">
      <c r="A321" s="1486"/>
      <c r="B321" s="1486"/>
      <c r="C321" s="1532"/>
      <c r="D321" s="1532"/>
      <c r="E321" s="1532"/>
      <c r="F321" s="1532"/>
      <c r="G321" s="1532"/>
      <c r="H321" s="1532"/>
      <c r="I321" s="1532"/>
      <c r="J321" s="1486"/>
      <c r="K321" s="1486"/>
      <c r="L321" s="1486"/>
      <c r="M321" s="1486"/>
      <c r="N321" s="1486"/>
      <c r="O321" s="1486"/>
      <c r="P321" s="1487"/>
      <c r="Q321" s="1487"/>
      <c r="R321" s="1487"/>
    </row>
    <row r="322" spans="1:18" ht="15.75" customHeight="1">
      <c r="A322" s="1486"/>
      <c r="B322" s="1486"/>
      <c r="C322" s="1532"/>
      <c r="D322" s="1532"/>
      <c r="E322" s="1532"/>
      <c r="F322" s="1532"/>
      <c r="G322" s="1532"/>
      <c r="H322" s="1532"/>
      <c r="I322" s="1532"/>
      <c r="J322" s="1486"/>
      <c r="K322" s="1486"/>
      <c r="L322" s="1486"/>
      <c r="M322" s="1486"/>
      <c r="N322" s="1486"/>
      <c r="O322" s="1486"/>
      <c r="P322" s="1487"/>
      <c r="Q322" s="1487"/>
      <c r="R322" s="1487"/>
    </row>
    <row r="323" spans="1:18" ht="15.75" customHeight="1">
      <c r="A323" s="1486"/>
      <c r="B323" s="1486"/>
      <c r="C323" s="1532"/>
      <c r="D323" s="1532"/>
      <c r="E323" s="1532"/>
      <c r="F323" s="1532"/>
      <c r="G323" s="1532"/>
      <c r="H323" s="1532"/>
      <c r="I323" s="1532"/>
      <c r="J323" s="1486"/>
      <c r="K323" s="1486"/>
      <c r="L323" s="1486"/>
      <c r="M323" s="1486"/>
      <c r="N323" s="1486"/>
      <c r="O323" s="1486"/>
      <c r="P323" s="1487"/>
      <c r="Q323" s="1487"/>
      <c r="R323" s="1487"/>
    </row>
    <row r="324" spans="1:18" ht="15.75" customHeight="1">
      <c r="A324" s="1486"/>
      <c r="B324" s="1486"/>
      <c r="C324" s="1532"/>
      <c r="D324" s="1532"/>
      <c r="E324" s="1532"/>
      <c r="F324" s="1532"/>
      <c r="G324" s="1532"/>
      <c r="H324" s="1532"/>
      <c r="I324" s="1532"/>
      <c r="J324" s="1486"/>
      <c r="K324" s="1486"/>
      <c r="L324" s="1486"/>
      <c r="M324" s="1486"/>
      <c r="N324" s="1486"/>
      <c r="O324" s="1486"/>
      <c r="P324" s="1487"/>
      <c r="Q324" s="1487"/>
      <c r="R324" s="1487"/>
    </row>
    <row r="325" spans="1:18" ht="15.75" customHeight="1">
      <c r="A325" s="1486"/>
      <c r="B325" s="1486"/>
      <c r="C325" s="1532"/>
      <c r="D325" s="1532"/>
      <c r="E325" s="1532"/>
      <c r="F325" s="1532"/>
      <c r="G325" s="1532"/>
      <c r="H325" s="1532"/>
      <c r="I325" s="1532"/>
      <c r="J325" s="1486"/>
      <c r="K325" s="1486"/>
      <c r="L325" s="1486"/>
      <c r="M325" s="1486"/>
      <c r="N325" s="1486"/>
      <c r="O325" s="1486"/>
      <c r="P325" s="1487"/>
      <c r="Q325" s="1487"/>
      <c r="R325" s="1487"/>
    </row>
    <row r="326" spans="1:18" ht="15.75" customHeight="1">
      <c r="A326" s="1486"/>
      <c r="B326" s="1486"/>
      <c r="C326" s="1532"/>
      <c r="D326" s="1532"/>
      <c r="E326" s="1532"/>
      <c r="F326" s="1532"/>
      <c r="G326" s="1532"/>
      <c r="H326" s="1532"/>
      <c r="I326" s="1532"/>
      <c r="J326" s="1486"/>
      <c r="K326" s="1486"/>
      <c r="L326" s="1486"/>
      <c r="M326" s="1486"/>
      <c r="N326" s="1486"/>
      <c r="O326" s="1486"/>
      <c r="P326" s="1487"/>
      <c r="Q326" s="1487"/>
      <c r="R326" s="1487"/>
    </row>
    <row r="327" spans="1:18" ht="15.75" customHeight="1">
      <c r="A327" s="1486"/>
      <c r="B327" s="1486"/>
      <c r="C327" s="1532"/>
      <c r="D327" s="1532"/>
      <c r="E327" s="1532"/>
      <c r="F327" s="1532"/>
      <c r="G327" s="1532"/>
      <c r="H327" s="1532"/>
      <c r="I327" s="1532"/>
      <c r="J327" s="1486"/>
      <c r="K327" s="1486"/>
      <c r="L327" s="1486"/>
      <c r="M327" s="1486"/>
      <c r="N327" s="1486"/>
      <c r="O327" s="1486"/>
      <c r="P327" s="1487"/>
      <c r="Q327" s="1487"/>
      <c r="R327" s="1487"/>
    </row>
    <row r="328" spans="1:18" ht="15.75" customHeight="1">
      <c r="A328" s="1486"/>
      <c r="B328" s="1486"/>
      <c r="C328" s="1532"/>
      <c r="D328" s="1532"/>
      <c r="E328" s="1532"/>
      <c r="F328" s="1532"/>
      <c r="G328" s="1532"/>
      <c r="H328" s="1532"/>
      <c r="I328" s="1532"/>
      <c r="J328" s="1486"/>
      <c r="K328" s="1486"/>
      <c r="L328" s="1486"/>
      <c r="M328" s="1486"/>
      <c r="N328" s="1486"/>
      <c r="O328" s="1486"/>
      <c r="P328" s="1487"/>
      <c r="Q328" s="1487"/>
      <c r="R328" s="1487"/>
    </row>
    <row r="329" spans="1:18" ht="15.75" customHeight="1">
      <c r="A329" s="1486"/>
      <c r="B329" s="1486"/>
      <c r="C329" s="1532"/>
      <c r="D329" s="1532"/>
      <c r="E329" s="1532"/>
      <c r="F329" s="1532"/>
      <c r="G329" s="1532"/>
      <c r="H329" s="1532"/>
      <c r="I329" s="1532"/>
      <c r="J329" s="1486"/>
      <c r="K329" s="1486"/>
      <c r="L329" s="1486"/>
      <c r="M329" s="1486"/>
      <c r="N329" s="1486"/>
      <c r="O329" s="1486"/>
      <c r="P329" s="1487"/>
      <c r="Q329" s="1487"/>
      <c r="R329" s="1487"/>
    </row>
    <row r="330" spans="1:18" ht="15.75" customHeight="1">
      <c r="A330" s="1486"/>
      <c r="B330" s="1486"/>
      <c r="C330" s="1532"/>
      <c r="D330" s="1532"/>
      <c r="E330" s="1532"/>
      <c r="F330" s="1532"/>
      <c r="G330" s="1532"/>
      <c r="H330" s="1532"/>
      <c r="I330" s="1532"/>
      <c r="J330" s="1486"/>
      <c r="K330" s="1486"/>
      <c r="L330" s="1486"/>
      <c r="M330" s="1486"/>
      <c r="N330" s="1486"/>
      <c r="O330" s="1486"/>
      <c r="P330" s="1487"/>
      <c r="Q330" s="1487"/>
      <c r="R330" s="1487"/>
    </row>
    <row r="331" spans="1:18" ht="15.75" customHeight="1">
      <c r="A331" s="1486"/>
      <c r="B331" s="1486"/>
      <c r="C331" s="1532"/>
      <c r="D331" s="1532"/>
      <c r="E331" s="1532"/>
      <c r="F331" s="1532"/>
      <c r="G331" s="1532"/>
      <c r="H331" s="1532"/>
      <c r="I331" s="1532"/>
      <c r="J331" s="1486"/>
      <c r="K331" s="1486"/>
      <c r="L331" s="1486"/>
      <c r="M331" s="1486"/>
      <c r="N331" s="1486"/>
      <c r="O331" s="1486"/>
      <c r="P331" s="1487"/>
      <c r="Q331" s="1487"/>
      <c r="R331" s="1487"/>
    </row>
    <row r="332" spans="1:18" ht="15.75" customHeight="1">
      <c r="A332" s="1486"/>
      <c r="B332" s="1486"/>
      <c r="C332" s="1532"/>
      <c r="D332" s="1532"/>
      <c r="E332" s="1532"/>
      <c r="F332" s="1532"/>
      <c r="G332" s="1532"/>
      <c r="H332" s="1532"/>
      <c r="I332" s="1532"/>
      <c r="J332" s="1486"/>
      <c r="K332" s="1486"/>
      <c r="L332" s="1486"/>
      <c r="M332" s="1486"/>
      <c r="N332" s="1486"/>
      <c r="O332" s="1486"/>
      <c r="P332" s="1487"/>
      <c r="Q332" s="1487"/>
      <c r="R332" s="1487"/>
    </row>
    <row r="333" spans="1:18" ht="15.75" customHeight="1">
      <c r="A333" s="1486"/>
      <c r="B333" s="1486"/>
      <c r="C333" s="1532"/>
      <c r="D333" s="1532"/>
      <c r="E333" s="1532"/>
      <c r="F333" s="1532"/>
      <c r="G333" s="1532"/>
      <c r="H333" s="1532"/>
      <c r="I333" s="1532"/>
      <c r="J333" s="1486"/>
      <c r="K333" s="1486"/>
      <c r="L333" s="1486"/>
      <c r="M333" s="1486"/>
      <c r="N333" s="1486"/>
      <c r="O333" s="1486"/>
      <c r="P333" s="1487"/>
      <c r="Q333" s="1487"/>
      <c r="R333" s="1487"/>
    </row>
    <row r="334" spans="1:18" ht="15.75" customHeight="1">
      <c r="A334" s="1486"/>
      <c r="B334" s="1486"/>
      <c r="C334" s="1532"/>
      <c r="D334" s="1532"/>
      <c r="E334" s="1532"/>
      <c r="F334" s="1532"/>
      <c r="G334" s="1532"/>
      <c r="H334" s="1532"/>
      <c r="I334" s="1532"/>
      <c r="J334" s="1486"/>
      <c r="K334" s="1486"/>
      <c r="L334" s="1486"/>
      <c r="M334" s="1486"/>
      <c r="N334" s="1486"/>
      <c r="O334" s="1486"/>
      <c r="P334" s="1487"/>
      <c r="Q334" s="1487"/>
      <c r="R334" s="1487"/>
    </row>
    <row r="335" spans="1:18" ht="15.75" customHeight="1">
      <c r="A335" s="1486"/>
      <c r="B335" s="1486"/>
      <c r="C335" s="1532"/>
      <c r="D335" s="1532"/>
      <c r="E335" s="1532"/>
      <c r="F335" s="1532"/>
      <c r="G335" s="1532"/>
      <c r="H335" s="1532"/>
      <c r="I335" s="1532"/>
      <c r="J335" s="1486"/>
      <c r="K335" s="1486"/>
      <c r="L335" s="1486"/>
      <c r="M335" s="1486"/>
      <c r="N335" s="1486"/>
      <c r="O335" s="1486"/>
      <c r="P335" s="1487"/>
      <c r="Q335" s="1487"/>
      <c r="R335" s="1487"/>
    </row>
    <row r="336" spans="1:18" ht="15.75" customHeight="1">
      <c r="A336" s="1486"/>
      <c r="B336" s="1486"/>
      <c r="C336" s="1532"/>
      <c r="D336" s="1532"/>
      <c r="E336" s="1532"/>
      <c r="F336" s="1532"/>
      <c r="G336" s="1532"/>
      <c r="H336" s="1532"/>
      <c r="I336" s="1532"/>
      <c r="J336" s="1486"/>
      <c r="K336" s="1486"/>
      <c r="L336" s="1486"/>
      <c r="M336" s="1486"/>
      <c r="N336" s="1486"/>
      <c r="O336" s="1486"/>
      <c r="P336" s="1487"/>
      <c r="Q336" s="1487"/>
      <c r="R336" s="1487"/>
    </row>
    <row r="337" spans="1:18" ht="15.75" customHeight="1">
      <c r="A337" s="1486"/>
      <c r="B337" s="1486"/>
      <c r="C337" s="1532"/>
      <c r="D337" s="1532"/>
      <c r="E337" s="1532"/>
      <c r="F337" s="1532"/>
      <c r="G337" s="1532"/>
      <c r="H337" s="1532"/>
      <c r="I337" s="1532"/>
      <c r="J337" s="1486"/>
      <c r="K337" s="1486"/>
      <c r="L337" s="1486"/>
      <c r="M337" s="1486"/>
      <c r="N337" s="1486"/>
      <c r="O337" s="1486"/>
      <c r="P337" s="1487"/>
      <c r="Q337" s="1487"/>
      <c r="R337" s="1487"/>
    </row>
    <row r="338" spans="1:18" ht="15.75" customHeight="1">
      <c r="A338" s="1486"/>
      <c r="B338" s="1486"/>
      <c r="C338" s="1532"/>
      <c r="D338" s="1532"/>
      <c r="E338" s="1532"/>
      <c r="F338" s="1532"/>
      <c r="G338" s="1532"/>
      <c r="H338" s="1532"/>
      <c r="I338" s="1532"/>
      <c r="J338" s="1486"/>
      <c r="K338" s="1486"/>
      <c r="L338" s="1486"/>
      <c r="M338" s="1486"/>
      <c r="N338" s="1486"/>
      <c r="O338" s="1486"/>
      <c r="P338" s="1487"/>
      <c r="Q338" s="1487"/>
      <c r="R338" s="1487"/>
    </row>
    <row r="339" spans="1:18" ht="15.75" customHeight="1">
      <c r="A339" s="1486"/>
      <c r="B339" s="1486"/>
      <c r="C339" s="1532"/>
      <c r="D339" s="1532"/>
      <c r="E339" s="1532"/>
      <c r="F339" s="1532"/>
      <c r="G339" s="1532"/>
      <c r="H339" s="1532"/>
      <c r="I339" s="1532"/>
      <c r="J339" s="1486"/>
      <c r="K339" s="1486"/>
      <c r="L339" s="1486"/>
      <c r="M339" s="1486"/>
      <c r="N339" s="1486"/>
      <c r="O339" s="1486"/>
      <c r="P339" s="1487"/>
      <c r="Q339" s="1487"/>
      <c r="R339" s="1487"/>
    </row>
    <row r="340" spans="1:18" ht="15.75" customHeight="1">
      <c r="A340" s="1486"/>
      <c r="B340" s="1486"/>
      <c r="C340" s="1532"/>
      <c r="D340" s="1532"/>
      <c r="E340" s="1532"/>
      <c r="F340" s="1532"/>
      <c r="G340" s="1532"/>
      <c r="H340" s="1532"/>
      <c r="I340" s="1532"/>
      <c r="J340" s="1486"/>
      <c r="K340" s="1486"/>
      <c r="L340" s="1486"/>
      <c r="M340" s="1486"/>
      <c r="N340" s="1486"/>
      <c r="O340" s="1486"/>
      <c r="P340" s="1487"/>
      <c r="Q340" s="1487"/>
      <c r="R340" s="1487"/>
    </row>
    <row r="341" spans="1:18" ht="15.75" customHeight="1">
      <c r="A341" s="1486"/>
      <c r="B341" s="1486"/>
      <c r="C341" s="1532"/>
      <c r="D341" s="1532"/>
      <c r="E341" s="1532"/>
      <c r="F341" s="1532"/>
      <c r="G341" s="1532"/>
      <c r="H341" s="1532"/>
      <c r="I341" s="1532"/>
      <c r="J341" s="1486"/>
      <c r="K341" s="1486"/>
      <c r="L341" s="1486"/>
      <c r="M341" s="1486"/>
      <c r="N341" s="1486"/>
      <c r="O341" s="1486"/>
      <c r="P341" s="1487"/>
      <c r="Q341" s="1487"/>
      <c r="R341" s="1487"/>
    </row>
    <row r="342" spans="1:18" ht="15.75" customHeight="1">
      <c r="A342" s="1486"/>
      <c r="B342" s="1486"/>
      <c r="C342" s="1532"/>
      <c r="D342" s="1532"/>
      <c r="E342" s="1532"/>
      <c r="F342" s="1532"/>
      <c r="G342" s="1532"/>
      <c r="H342" s="1532"/>
      <c r="I342" s="1532"/>
      <c r="J342" s="1486"/>
      <c r="K342" s="1486"/>
      <c r="L342" s="1486"/>
      <c r="M342" s="1486"/>
      <c r="N342" s="1486"/>
      <c r="O342" s="1486"/>
      <c r="P342" s="1487"/>
      <c r="Q342" s="1487"/>
      <c r="R342" s="1487"/>
    </row>
    <row r="343" spans="1:18" ht="15.75" customHeight="1">
      <c r="A343" s="1486"/>
      <c r="B343" s="1486"/>
      <c r="C343" s="1532"/>
      <c r="D343" s="1532"/>
      <c r="E343" s="1532"/>
      <c r="F343" s="1532"/>
      <c r="G343" s="1532"/>
      <c r="H343" s="1532"/>
      <c r="I343" s="1532"/>
      <c r="J343" s="1486"/>
      <c r="K343" s="1486"/>
      <c r="L343" s="1486"/>
      <c r="M343" s="1486"/>
      <c r="N343" s="1486"/>
      <c r="O343" s="1486"/>
      <c r="P343" s="1487"/>
      <c r="Q343" s="1487"/>
      <c r="R343" s="1487"/>
    </row>
    <row r="344" spans="1:18" ht="15.75" customHeight="1">
      <c r="A344" s="1486"/>
      <c r="B344" s="1486"/>
      <c r="C344" s="1532"/>
      <c r="D344" s="1532"/>
      <c r="E344" s="1532"/>
      <c r="F344" s="1532"/>
      <c r="G344" s="1532"/>
      <c r="H344" s="1532"/>
      <c r="I344" s="1532"/>
      <c r="J344" s="1486"/>
      <c r="K344" s="1486"/>
      <c r="L344" s="1486"/>
      <c r="M344" s="1486"/>
      <c r="N344" s="1486"/>
      <c r="O344" s="1486"/>
      <c r="P344" s="1487"/>
      <c r="Q344" s="1487"/>
      <c r="R344" s="1487"/>
    </row>
    <row r="345" spans="1:18" ht="15.75" customHeight="1">
      <c r="A345" s="1486"/>
      <c r="B345" s="1486"/>
      <c r="C345" s="1532"/>
      <c r="D345" s="1532"/>
      <c r="E345" s="1532"/>
      <c r="F345" s="1532"/>
      <c r="G345" s="1532"/>
      <c r="H345" s="1532"/>
      <c r="I345" s="1532"/>
      <c r="J345" s="1486"/>
      <c r="K345" s="1486"/>
      <c r="L345" s="1486"/>
      <c r="M345" s="1486"/>
      <c r="N345" s="1486"/>
      <c r="O345" s="1486"/>
      <c r="P345" s="1487"/>
      <c r="Q345" s="1487"/>
      <c r="R345" s="1487"/>
    </row>
    <row r="346" spans="1:18" ht="15.75" customHeight="1">
      <c r="A346" s="1486"/>
      <c r="B346" s="1486"/>
      <c r="C346" s="1532"/>
      <c r="D346" s="1532"/>
      <c r="E346" s="1532"/>
      <c r="F346" s="1532"/>
      <c r="G346" s="1532"/>
      <c r="H346" s="1532"/>
      <c r="I346" s="1532"/>
      <c r="J346" s="1486"/>
      <c r="K346" s="1486"/>
      <c r="L346" s="1486"/>
      <c r="M346" s="1486"/>
      <c r="N346" s="1486"/>
      <c r="O346" s="1486"/>
      <c r="P346" s="1487"/>
      <c r="Q346" s="1487"/>
      <c r="R346" s="1487"/>
    </row>
    <row r="347" spans="1:18" ht="15.75" customHeight="1">
      <c r="A347" s="1534"/>
      <c r="B347" s="1534"/>
      <c r="C347" s="1535"/>
      <c r="D347" s="1535"/>
      <c r="E347" s="1535"/>
      <c r="F347" s="1535"/>
      <c r="G347" s="1535"/>
      <c r="H347" s="1535"/>
      <c r="I347" s="1535"/>
      <c r="J347" s="1534"/>
      <c r="K347" s="1534"/>
      <c r="L347" s="1534"/>
      <c r="M347" s="1534"/>
      <c r="N347" s="1534"/>
      <c r="O347" s="1534"/>
    </row>
    <row r="348" spans="1:18" ht="15.75" customHeight="1">
      <c r="A348" s="1534"/>
      <c r="B348" s="1534"/>
      <c r="C348" s="1535"/>
      <c r="D348" s="1535"/>
      <c r="E348" s="1535"/>
      <c r="F348" s="1535"/>
      <c r="G348" s="1535"/>
      <c r="H348" s="1535"/>
      <c r="I348" s="1535"/>
      <c r="J348" s="1534"/>
      <c r="K348" s="1534"/>
      <c r="L348" s="1534"/>
      <c r="M348" s="1534"/>
      <c r="N348" s="1534"/>
      <c r="O348" s="1534"/>
    </row>
    <row r="349" spans="1:18" ht="15.75" customHeight="1">
      <c r="A349" s="1534"/>
      <c r="B349" s="1534"/>
      <c r="C349" s="1535"/>
      <c r="D349" s="1535"/>
      <c r="E349" s="1535"/>
      <c r="F349" s="1535"/>
      <c r="G349" s="1535"/>
      <c r="H349" s="1535"/>
      <c r="I349" s="1535"/>
      <c r="J349" s="1534"/>
      <c r="K349" s="1534"/>
      <c r="L349" s="1534"/>
      <c r="M349" s="1534"/>
      <c r="N349" s="1534"/>
      <c r="O349" s="1534"/>
    </row>
    <row r="350" spans="1:18" ht="15.75" customHeight="1">
      <c r="A350" s="1534"/>
      <c r="B350" s="1534"/>
      <c r="C350" s="1535"/>
      <c r="D350" s="1535"/>
      <c r="E350" s="1535"/>
      <c r="F350" s="1535"/>
      <c r="G350" s="1535"/>
      <c r="H350" s="1535"/>
      <c r="I350" s="1535"/>
      <c r="J350" s="1534"/>
      <c r="K350" s="1534"/>
      <c r="L350" s="1534"/>
      <c r="M350" s="1534"/>
      <c r="N350" s="1534"/>
      <c r="O350" s="1534"/>
    </row>
    <row r="351" spans="1:18" ht="15.75" customHeight="1">
      <c r="A351" s="1534"/>
      <c r="B351" s="1534"/>
      <c r="C351" s="1535"/>
      <c r="D351" s="1535"/>
      <c r="E351" s="1535"/>
      <c r="F351" s="1535"/>
      <c r="G351" s="1535"/>
      <c r="H351" s="1535"/>
      <c r="I351" s="1535"/>
      <c r="J351" s="1534"/>
      <c r="K351" s="1534"/>
      <c r="L351" s="1534"/>
      <c r="M351" s="1534"/>
      <c r="N351" s="1534"/>
      <c r="O351" s="1534"/>
    </row>
    <row r="352" spans="1:18" ht="15.75" customHeight="1">
      <c r="A352" s="1534"/>
      <c r="B352" s="1534"/>
      <c r="C352" s="1535"/>
      <c r="D352" s="1535"/>
      <c r="E352" s="1535"/>
      <c r="F352" s="1535"/>
      <c r="G352" s="1535"/>
      <c r="H352" s="1535"/>
      <c r="I352" s="1535"/>
      <c r="J352" s="1534"/>
      <c r="K352" s="1534"/>
      <c r="L352" s="1534"/>
      <c r="M352" s="1534"/>
      <c r="N352" s="1534"/>
      <c r="O352" s="1534"/>
    </row>
    <row r="353" spans="1:15" ht="15.75" customHeight="1">
      <c r="A353" s="1534"/>
      <c r="B353" s="1534"/>
      <c r="C353" s="1535"/>
      <c r="D353" s="1535"/>
      <c r="E353" s="1535"/>
      <c r="F353" s="1535"/>
      <c r="G353" s="1535"/>
      <c r="H353" s="1535"/>
      <c r="I353" s="1535"/>
      <c r="J353" s="1534"/>
      <c r="K353" s="1534"/>
      <c r="L353" s="1534"/>
      <c r="M353" s="1534"/>
      <c r="N353" s="1534"/>
      <c r="O353" s="1534"/>
    </row>
    <row r="354" spans="1:15" ht="15.75" customHeight="1">
      <c r="A354" s="1534"/>
      <c r="B354" s="1534"/>
      <c r="C354" s="1535"/>
      <c r="D354" s="1535"/>
      <c r="E354" s="1535"/>
      <c r="F354" s="1535"/>
      <c r="G354" s="1535"/>
      <c r="H354" s="1535"/>
      <c r="I354" s="1535"/>
      <c r="J354" s="1534"/>
      <c r="K354" s="1534"/>
      <c r="L354" s="1534"/>
      <c r="M354" s="1534"/>
      <c r="N354" s="1534"/>
      <c r="O354" s="1534"/>
    </row>
    <row r="355" spans="1:15" ht="15.75" customHeight="1">
      <c r="A355" s="1534"/>
      <c r="B355" s="1534"/>
      <c r="C355" s="1535"/>
      <c r="D355" s="1535"/>
      <c r="E355" s="1535"/>
      <c r="F355" s="1535"/>
      <c r="G355" s="1535"/>
      <c r="H355" s="1535"/>
      <c r="I355" s="1535"/>
      <c r="J355" s="1534"/>
      <c r="K355" s="1534"/>
      <c r="L355" s="1534"/>
      <c r="M355" s="1534"/>
      <c r="N355" s="1534"/>
      <c r="O355" s="1534"/>
    </row>
    <row r="356" spans="1:15" ht="15.75" customHeight="1">
      <c r="A356" s="1534"/>
      <c r="B356" s="1534"/>
      <c r="C356" s="1535"/>
      <c r="D356" s="1535"/>
      <c r="E356" s="1535"/>
      <c r="F356" s="1535"/>
      <c r="G356" s="1535"/>
      <c r="H356" s="1535"/>
      <c r="I356" s="1535"/>
      <c r="J356" s="1534"/>
      <c r="K356" s="1534"/>
      <c r="L356" s="1534"/>
      <c r="M356" s="1534"/>
      <c r="N356" s="1534"/>
      <c r="O356" s="1534"/>
    </row>
    <row r="357" spans="1:15" ht="15.75" customHeight="1">
      <c r="A357" s="1534"/>
      <c r="B357" s="1534"/>
      <c r="C357" s="1535"/>
      <c r="D357" s="1535"/>
      <c r="E357" s="1535"/>
      <c r="F357" s="1535"/>
      <c r="G357" s="1535"/>
      <c r="H357" s="1535"/>
      <c r="I357" s="1535"/>
      <c r="J357" s="1534"/>
      <c r="K357" s="1534"/>
      <c r="L357" s="1534"/>
      <c r="M357" s="1534"/>
      <c r="N357" s="1534"/>
      <c r="O357" s="1534"/>
    </row>
    <row r="358" spans="1:15" ht="15.75" customHeight="1">
      <c r="A358" s="1534"/>
      <c r="B358" s="1534"/>
      <c r="C358" s="1535"/>
      <c r="D358" s="1535"/>
      <c r="E358" s="1535"/>
      <c r="F358" s="1535"/>
      <c r="G358" s="1535"/>
      <c r="H358" s="1535"/>
      <c r="I358" s="1535"/>
      <c r="J358" s="1534"/>
      <c r="K358" s="1534"/>
      <c r="L358" s="1534"/>
      <c r="M358" s="1534"/>
      <c r="N358" s="1534"/>
      <c r="O358" s="1534"/>
    </row>
    <row r="359" spans="1:15" ht="15.75" customHeight="1">
      <c r="A359" s="1534"/>
      <c r="B359" s="1534"/>
      <c r="C359" s="1535"/>
      <c r="D359" s="1535"/>
      <c r="E359" s="1535"/>
      <c r="F359" s="1535"/>
      <c r="G359" s="1535"/>
      <c r="H359" s="1535"/>
      <c r="I359" s="1535"/>
      <c r="J359" s="1534"/>
      <c r="K359" s="1534"/>
      <c r="L359" s="1534"/>
      <c r="M359" s="1534"/>
      <c r="N359" s="1534"/>
      <c r="O359" s="1534"/>
    </row>
    <row r="360" spans="1:15" ht="15.75" customHeight="1">
      <c r="A360" s="1534"/>
      <c r="B360" s="1534"/>
      <c r="C360" s="1535"/>
      <c r="D360" s="1535"/>
      <c r="E360" s="1535"/>
      <c r="F360" s="1535"/>
      <c r="G360" s="1535"/>
      <c r="H360" s="1535"/>
      <c r="I360" s="1535"/>
      <c r="J360" s="1534"/>
      <c r="K360" s="1534"/>
      <c r="L360" s="1534"/>
      <c r="M360" s="1534"/>
      <c r="N360" s="1534"/>
      <c r="O360" s="1534"/>
    </row>
    <row r="361" spans="1:15" ht="15.75" customHeight="1">
      <c r="C361" s="1536"/>
      <c r="D361" s="1536"/>
      <c r="E361" s="1536"/>
      <c r="F361" s="1536"/>
      <c r="G361" s="1536"/>
      <c r="H361" s="1536"/>
      <c r="I361" s="1536"/>
    </row>
    <row r="362" spans="1:15" ht="15.75" customHeight="1">
      <c r="C362" s="1536"/>
      <c r="D362" s="1536"/>
      <c r="E362" s="1536"/>
      <c r="F362" s="1536"/>
      <c r="G362" s="1536"/>
      <c r="H362" s="1536"/>
      <c r="I362" s="1536"/>
    </row>
    <row r="363" spans="1:15" ht="15.75" customHeight="1">
      <c r="C363" s="1536"/>
      <c r="D363" s="1536"/>
      <c r="E363" s="1536"/>
      <c r="F363" s="1536"/>
      <c r="G363" s="1536"/>
      <c r="H363" s="1536"/>
      <c r="I363" s="1536"/>
    </row>
    <row r="364" spans="1:15" ht="15.75" customHeight="1">
      <c r="C364" s="1536"/>
      <c r="D364" s="1536"/>
      <c r="E364" s="1536"/>
      <c r="F364" s="1536"/>
      <c r="G364" s="1536"/>
      <c r="H364" s="1536"/>
      <c r="I364" s="1536"/>
    </row>
    <row r="365" spans="1:15" ht="15.75" customHeight="1">
      <c r="C365" s="1536"/>
      <c r="D365" s="1536"/>
      <c r="E365" s="1536"/>
      <c r="F365" s="1536"/>
      <c r="G365" s="1536"/>
      <c r="H365" s="1536"/>
      <c r="I365" s="1536"/>
    </row>
    <row r="366" spans="1:15" ht="15.75" customHeight="1">
      <c r="C366" s="1536"/>
      <c r="D366" s="1536"/>
      <c r="E366" s="1536"/>
      <c r="F366" s="1536"/>
      <c r="G366" s="1536"/>
      <c r="H366" s="1536"/>
      <c r="I366" s="1536"/>
    </row>
    <row r="367" spans="1:15" ht="15.75" customHeight="1">
      <c r="C367" s="1536"/>
      <c r="D367" s="1536"/>
      <c r="E367" s="1536"/>
      <c r="F367" s="1536"/>
      <c r="G367" s="1536"/>
      <c r="H367" s="1536"/>
      <c r="I367" s="1536"/>
    </row>
    <row r="368" spans="1:15" ht="15.75" customHeight="1">
      <c r="C368" s="1536"/>
      <c r="D368" s="1536"/>
      <c r="E368" s="1536"/>
      <c r="F368" s="1536"/>
      <c r="G368" s="1536"/>
      <c r="H368" s="1536"/>
      <c r="I368" s="1536"/>
    </row>
    <row r="369" spans="3:9" ht="15.75" customHeight="1">
      <c r="C369" s="1536"/>
      <c r="D369" s="1536"/>
      <c r="E369" s="1536"/>
      <c r="F369" s="1536"/>
      <c r="G369" s="1536"/>
      <c r="H369" s="1536"/>
      <c r="I369" s="1536"/>
    </row>
    <row r="370" spans="3:9" ht="15.75" customHeight="1">
      <c r="C370" s="1536"/>
      <c r="D370" s="1536"/>
      <c r="E370" s="1536"/>
      <c r="F370" s="1536"/>
      <c r="G370" s="1536"/>
      <c r="H370" s="1536"/>
      <c r="I370" s="1536"/>
    </row>
    <row r="371" spans="3:9" ht="15.75" customHeight="1">
      <c r="C371" s="1536"/>
      <c r="D371" s="1536"/>
      <c r="E371" s="1536"/>
      <c r="F371" s="1536"/>
      <c r="G371" s="1536"/>
      <c r="H371" s="1536"/>
      <c r="I371" s="1536"/>
    </row>
    <row r="372" spans="3:9" ht="15.75" customHeight="1">
      <c r="C372" s="1536"/>
      <c r="D372" s="1536"/>
      <c r="E372" s="1536"/>
      <c r="F372" s="1536"/>
      <c r="G372" s="1536"/>
      <c r="H372" s="1536"/>
      <c r="I372" s="1536"/>
    </row>
    <row r="373" spans="3:9" ht="15.75" customHeight="1">
      <c r="C373" s="1536"/>
      <c r="D373" s="1536"/>
      <c r="E373" s="1536"/>
      <c r="F373" s="1536"/>
      <c r="G373" s="1536"/>
      <c r="H373" s="1536"/>
      <c r="I373" s="1536"/>
    </row>
    <row r="374" spans="3:9" ht="15.75" customHeight="1">
      <c r="C374" s="1536"/>
      <c r="D374" s="1536"/>
      <c r="E374" s="1536"/>
      <c r="F374" s="1536"/>
      <c r="G374" s="1536"/>
      <c r="H374" s="1536"/>
      <c r="I374" s="1536"/>
    </row>
    <row r="375" spans="3:9" ht="15.75" customHeight="1">
      <c r="C375" s="1536"/>
      <c r="D375" s="1536"/>
      <c r="E375" s="1536"/>
      <c r="F375" s="1536"/>
      <c r="G375" s="1536"/>
      <c r="H375" s="1536"/>
      <c r="I375" s="1536"/>
    </row>
    <row r="376" spans="3:9" ht="15.75" customHeight="1">
      <c r="C376" s="1536"/>
      <c r="D376" s="1536"/>
      <c r="E376" s="1536"/>
      <c r="F376" s="1536"/>
      <c r="G376" s="1536"/>
      <c r="H376" s="1536"/>
      <c r="I376" s="1536"/>
    </row>
    <row r="377" spans="3:9" ht="15.75" customHeight="1">
      <c r="C377" s="1536"/>
      <c r="D377" s="1536"/>
      <c r="E377" s="1536"/>
      <c r="F377" s="1536"/>
      <c r="G377" s="1536"/>
      <c r="H377" s="1536"/>
      <c r="I377" s="1536"/>
    </row>
    <row r="378" spans="3:9" ht="15.75" customHeight="1">
      <c r="C378" s="1536"/>
      <c r="D378" s="1536"/>
      <c r="E378" s="1536"/>
      <c r="F378" s="1536"/>
      <c r="G378" s="1536"/>
      <c r="H378" s="1536"/>
      <c r="I378" s="1536"/>
    </row>
    <row r="379" spans="3:9" ht="15.75" customHeight="1">
      <c r="C379" s="1536"/>
      <c r="D379" s="1536"/>
      <c r="E379" s="1536"/>
      <c r="F379" s="1536"/>
      <c r="G379" s="1536"/>
      <c r="H379" s="1536"/>
      <c r="I379" s="1536"/>
    </row>
    <row r="380" spans="3:9" ht="15.75" customHeight="1">
      <c r="C380" s="1536"/>
      <c r="D380" s="1536"/>
      <c r="E380" s="1536"/>
      <c r="F380" s="1536"/>
      <c r="G380" s="1536"/>
      <c r="H380" s="1536"/>
      <c r="I380" s="1536"/>
    </row>
    <row r="381" spans="3:9" ht="15.75" customHeight="1">
      <c r="C381" s="1536"/>
      <c r="D381" s="1536"/>
      <c r="E381" s="1536"/>
      <c r="F381" s="1536"/>
      <c r="G381" s="1536"/>
      <c r="H381" s="1536"/>
      <c r="I381" s="1536"/>
    </row>
    <row r="382" spans="3:9" ht="15.75" customHeight="1">
      <c r="C382" s="1536"/>
      <c r="D382" s="1536"/>
      <c r="E382" s="1536"/>
      <c r="F382" s="1536"/>
      <c r="G382" s="1536"/>
      <c r="H382" s="1536"/>
      <c r="I382" s="1536"/>
    </row>
    <row r="383" spans="3:9" ht="15.75" customHeight="1">
      <c r="C383" s="1536"/>
      <c r="D383" s="1536"/>
      <c r="E383" s="1536"/>
      <c r="F383" s="1536"/>
      <c r="G383" s="1536"/>
      <c r="H383" s="1536"/>
      <c r="I383" s="1536"/>
    </row>
    <row r="384" spans="3:9" ht="15.75" customHeight="1">
      <c r="C384" s="1536"/>
      <c r="D384" s="1536"/>
      <c r="E384" s="1536"/>
      <c r="F384" s="1536"/>
      <c r="G384" s="1536"/>
      <c r="H384" s="1536"/>
      <c r="I384" s="1536"/>
    </row>
    <row r="385" spans="3:9" ht="15.75" customHeight="1">
      <c r="C385" s="1536"/>
      <c r="D385" s="1536"/>
      <c r="E385" s="1536"/>
      <c r="F385" s="1536"/>
      <c r="G385" s="1536"/>
      <c r="H385" s="1536"/>
      <c r="I385" s="1536"/>
    </row>
    <row r="386" spans="3:9" ht="15.75" customHeight="1">
      <c r="C386" s="1536"/>
      <c r="D386" s="1536"/>
      <c r="E386" s="1536"/>
      <c r="F386" s="1536"/>
      <c r="G386" s="1536"/>
      <c r="H386" s="1536"/>
      <c r="I386" s="1536"/>
    </row>
    <row r="387" spans="3:9" ht="15.75" customHeight="1">
      <c r="C387" s="1536"/>
      <c r="D387" s="1536"/>
      <c r="E387" s="1536"/>
      <c r="F387" s="1536"/>
      <c r="G387" s="1536"/>
      <c r="H387" s="1536"/>
      <c r="I387" s="1536"/>
    </row>
    <row r="388" spans="3:9" ht="13.5" customHeight="1">
      <c r="C388" s="1536"/>
      <c r="D388" s="1536"/>
      <c r="E388" s="1536"/>
      <c r="F388" s="1536"/>
      <c r="G388" s="1536"/>
      <c r="H388" s="1536"/>
      <c r="I388" s="1536"/>
    </row>
    <row r="389" spans="3:9" ht="13.5" customHeight="1">
      <c r="C389" s="1536"/>
      <c r="D389" s="1536"/>
      <c r="E389" s="1536"/>
      <c r="F389" s="1536"/>
      <c r="G389" s="1536"/>
      <c r="H389" s="1536"/>
      <c r="I389" s="1536"/>
    </row>
    <row r="390" spans="3:9" ht="13.5" customHeight="1">
      <c r="C390" s="1536"/>
      <c r="D390" s="1536"/>
      <c r="E390" s="1536"/>
      <c r="F390" s="1536"/>
      <c r="G390" s="1536"/>
      <c r="H390" s="1536"/>
      <c r="I390" s="1536"/>
    </row>
    <row r="391" spans="3:9" ht="13.5" customHeight="1">
      <c r="C391" s="1536"/>
      <c r="D391" s="1536"/>
      <c r="E391" s="1536"/>
      <c r="F391" s="1536"/>
      <c r="G391" s="1536"/>
      <c r="H391" s="1536"/>
      <c r="I391" s="1536"/>
    </row>
    <row r="392" spans="3:9" ht="13.5" customHeight="1">
      <c r="C392" s="1536"/>
      <c r="D392" s="1536"/>
      <c r="E392" s="1536"/>
      <c r="F392" s="1536"/>
      <c r="G392" s="1536"/>
      <c r="H392" s="1536"/>
      <c r="I392" s="1536"/>
    </row>
    <row r="393" spans="3:9" ht="13.5" customHeight="1">
      <c r="C393" s="1536"/>
      <c r="D393" s="1536"/>
      <c r="E393" s="1536"/>
      <c r="F393" s="1536"/>
      <c r="G393" s="1536"/>
      <c r="H393" s="1536"/>
      <c r="I393" s="1536"/>
    </row>
    <row r="394" spans="3:9" ht="13.5" customHeight="1">
      <c r="C394" s="1536"/>
      <c r="D394" s="1536"/>
      <c r="E394" s="1536"/>
      <c r="F394" s="1536"/>
      <c r="G394" s="1536"/>
      <c r="H394" s="1536"/>
      <c r="I394" s="1536"/>
    </row>
    <row r="395" spans="3:9" ht="13.5" customHeight="1">
      <c r="C395" s="1536"/>
      <c r="D395" s="1536"/>
      <c r="E395" s="1536"/>
      <c r="F395" s="1536"/>
      <c r="G395" s="1536"/>
      <c r="H395" s="1536"/>
      <c r="I395" s="1536"/>
    </row>
    <row r="396" spans="3:9" ht="13.5" customHeight="1">
      <c r="C396" s="1536"/>
      <c r="D396" s="1536"/>
      <c r="E396" s="1536"/>
      <c r="F396" s="1536"/>
      <c r="G396" s="1536"/>
      <c r="H396" s="1536"/>
      <c r="I396" s="1536"/>
    </row>
    <row r="397" spans="3:9" ht="13.5" customHeight="1">
      <c r="C397" s="1536"/>
      <c r="D397" s="1536"/>
      <c r="E397" s="1536"/>
      <c r="F397" s="1536"/>
      <c r="G397" s="1536"/>
      <c r="H397" s="1536"/>
      <c r="I397" s="1536"/>
    </row>
    <row r="398" spans="3:9" ht="13.5" customHeight="1">
      <c r="C398" s="1536"/>
      <c r="D398" s="1536"/>
      <c r="E398" s="1536"/>
      <c r="F398" s="1536"/>
      <c r="G398" s="1536"/>
      <c r="H398" s="1536"/>
      <c r="I398" s="1536"/>
    </row>
    <row r="399" spans="3:9" ht="13.5" customHeight="1">
      <c r="C399" s="1536"/>
      <c r="D399" s="1536"/>
      <c r="E399" s="1536"/>
      <c r="F399" s="1536"/>
      <c r="G399" s="1536"/>
      <c r="H399" s="1536"/>
      <c r="I399" s="1536"/>
    </row>
    <row r="400" spans="3:9" ht="13.5" customHeight="1">
      <c r="C400" s="1536"/>
      <c r="D400" s="1536"/>
      <c r="E400" s="1536"/>
      <c r="F400" s="1536"/>
      <c r="G400" s="1536"/>
      <c r="H400" s="1536"/>
      <c r="I400" s="1536"/>
    </row>
    <row r="401" spans="3:9" ht="13.5" customHeight="1">
      <c r="C401" s="1536"/>
      <c r="D401" s="1536"/>
      <c r="E401" s="1536"/>
      <c r="F401" s="1536"/>
      <c r="G401" s="1536"/>
      <c r="H401" s="1536"/>
      <c r="I401" s="1536"/>
    </row>
    <row r="402" spans="3:9" ht="13.5" customHeight="1">
      <c r="C402" s="1536"/>
      <c r="D402" s="1536"/>
      <c r="E402" s="1536"/>
      <c r="F402" s="1536"/>
      <c r="G402" s="1536"/>
      <c r="H402" s="1536"/>
      <c r="I402" s="1536"/>
    </row>
    <row r="403" spans="3:9" ht="13.5" customHeight="1">
      <c r="C403" s="1536"/>
      <c r="D403" s="1536"/>
      <c r="E403" s="1536"/>
      <c r="F403" s="1536"/>
      <c r="G403" s="1536"/>
      <c r="H403" s="1536"/>
      <c r="I403" s="1536"/>
    </row>
    <row r="404" spans="3:9" ht="13.5" customHeight="1">
      <c r="C404" s="1536"/>
      <c r="D404" s="1536"/>
      <c r="E404" s="1536"/>
      <c r="F404" s="1536"/>
      <c r="G404" s="1536"/>
      <c r="H404" s="1536"/>
      <c r="I404" s="1536"/>
    </row>
    <row r="405" spans="3:9" ht="13.5" customHeight="1">
      <c r="C405" s="1536"/>
      <c r="D405" s="1536"/>
      <c r="E405" s="1536"/>
      <c r="F405" s="1536"/>
      <c r="G405" s="1536"/>
      <c r="H405" s="1536"/>
      <c r="I405" s="1536"/>
    </row>
    <row r="406" spans="3:9" ht="13.5" customHeight="1">
      <c r="C406" s="1536"/>
      <c r="D406" s="1536"/>
      <c r="E406" s="1536"/>
      <c r="F406" s="1536"/>
      <c r="G406" s="1536"/>
      <c r="H406" s="1536"/>
      <c r="I406" s="1536"/>
    </row>
    <row r="407" spans="3:9" ht="13.5" customHeight="1">
      <c r="C407" s="1536"/>
      <c r="D407" s="1536"/>
      <c r="E407" s="1536"/>
      <c r="F407" s="1536"/>
      <c r="G407" s="1536"/>
      <c r="H407" s="1536"/>
      <c r="I407" s="1536"/>
    </row>
    <row r="408" spans="3:9" ht="13.5" customHeight="1">
      <c r="C408" s="1536"/>
      <c r="D408" s="1536"/>
      <c r="E408" s="1536"/>
      <c r="F408" s="1536"/>
      <c r="G408" s="1536"/>
      <c r="H408" s="1536"/>
      <c r="I408" s="1536"/>
    </row>
    <row r="409" spans="3:9" ht="13.5" customHeight="1">
      <c r="C409" s="1536"/>
      <c r="D409" s="1536"/>
      <c r="E409" s="1536"/>
      <c r="F409" s="1536"/>
      <c r="G409" s="1536"/>
      <c r="H409" s="1536"/>
      <c r="I409" s="1536"/>
    </row>
    <row r="410" spans="3:9" ht="13.5" customHeight="1">
      <c r="C410" s="1536"/>
      <c r="D410" s="1536"/>
      <c r="E410" s="1536"/>
      <c r="F410" s="1536"/>
      <c r="G410" s="1536"/>
      <c r="H410" s="1536"/>
      <c r="I410" s="1536"/>
    </row>
    <row r="411" spans="3:9" ht="13.5" customHeight="1">
      <c r="C411" s="1536"/>
      <c r="D411" s="1536"/>
      <c r="E411" s="1536"/>
      <c r="F411" s="1536"/>
      <c r="G411" s="1536"/>
      <c r="H411" s="1536"/>
      <c r="I411" s="1536"/>
    </row>
    <row r="412" spans="3:9" ht="13.5" customHeight="1">
      <c r="C412" s="1536"/>
      <c r="D412" s="1536"/>
      <c r="E412" s="1536"/>
      <c r="F412" s="1536"/>
      <c r="G412" s="1536"/>
      <c r="H412" s="1536"/>
      <c r="I412" s="1536"/>
    </row>
    <row r="413" spans="3:9" ht="13.5" customHeight="1">
      <c r="C413" s="1536"/>
      <c r="D413" s="1536"/>
      <c r="E413" s="1536"/>
      <c r="F413" s="1536"/>
      <c r="G413" s="1536"/>
      <c r="H413" s="1536"/>
      <c r="I413" s="1536"/>
    </row>
    <row r="414" spans="3:9" ht="13.5" customHeight="1">
      <c r="C414" s="1536"/>
      <c r="D414" s="1536"/>
      <c r="E414" s="1536"/>
      <c r="F414" s="1536"/>
      <c r="G414" s="1536"/>
      <c r="H414" s="1536"/>
      <c r="I414" s="1536"/>
    </row>
    <row r="415" spans="3:9" ht="13.5" customHeight="1">
      <c r="C415" s="1536"/>
      <c r="D415" s="1536"/>
      <c r="E415" s="1536"/>
      <c r="F415" s="1536"/>
      <c r="G415" s="1536"/>
      <c r="H415" s="1536"/>
      <c r="I415" s="1536"/>
    </row>
    <row r="416" spans="3:9" ht="13.5" customHeight="1">
      <c r="C416" s="1536"/>
      <c r="D416" s="1536"/>
      <c r="E416" s="1536"/>
      <c r="F416" s="1536"/>
      <c r="G416" s="1536"/>
      <c r="H416" s="1536"/>
      <c r="I416" s="1536"/>
    </row>
    <row r="417" spans="3:9" ht="13.5" customHeight="1">
      <c r="C417" s="1536"/>
      <c r="D417" s="1536"/>
      <c r="E417" s="1536"/>
      <c r="F417" s="1536"/>
      <c r="G417" s="1536"/>
      <c r="H417" s="1536"/>
      <c r="I417" s="1536"/>
    </row>
    <row r="418" spans="3:9" ht="13.5" customHeight="1">
      <c r="C418" s="1536"/>
      <c r="D418" s="1536"/>
      <c r="E418" s="1536"/>
      <c r="F418" s="1536"/>
      <c r="G418" s="1536"/>
      <c r="H418" s="1536"/>
      <c r="I418" s="1536"/>
    </row>
    <row r="419" spans="3:9" ht="13.5" customHeight="1">
      <c r="C419" s="1536"/>
      <c r="D419" s="1536"/>
      <c r="E419" s="1536"/>
      <c r="F419" s="1536"/>
      <c r="G419" s="1536"/>
      <c r="H419" s="1536"/>
      <c r="I419" s="1536"/>
    </row>
    <row r="420" spans="3:9" ht="13.5" customHeight="1">
      <c r="C420" s="1536"/>
      <c r="D420" s="1536"/>
      <c r="E420" s="1536"/>
      <c r="F420" s="1536"/>
      <c r="G420" s="1536"/>
      <c r="H420" s="1536"/>
      <c r="I420" s="1536"/>
    </row>
    <row r="421" spans="3:9" ht="13.5" customHeight="1">
      <c r="C421" s="1536"/>
      <c r="D421" s="1536"/>
      <c r="E421" s="1536"/>
      <c r="F421" s="1536"/>
      <c r="G421" s="1536"/>
      <c r="H421" s="1536"/>
      <c r="I421" s="1536"/>
    </row>
    <row r="422" spans="3:9" ht="13.5" customHeight="1">
      <c r="C422" s="1536"/>
      <c r="D422" s="1536"/>
      <c r="E422" s="1536"/>
      <c r="F422" s="1536"/>
      <c r="G422" s="1536"/>
      <c r="H422" s="1536"/>
      <c r="I422" s="1536"/>
    </row>
    <row r="423" spans="3:9" ht="13.5" customHeight="1">
      <c r="C423" s="1536"/>
      <c r="D423" s="1536"/>
      <c r="E423" s="1536"/>
      <c r="F423" s="1536"/>
      <c r="G423" s="1536"/>
      <c r="H423" s="1536"/>
      <c r="I423" s="1536"/>
    </row>
    <row r="424" spans="3:9" ht="13.5" customHeight="1">
      <c r="C424" s="1536"/>
      <c r="D424" s="1536"/>
      <c r="E424" s="1536"/>
      <c r="F424" s="1536"/>
      <c r="G424" s="1536"/>
      <c r="H424" s="1536"/>
      <c r="I424" s="1536"/>
    </row>
    <row r="425" spans="3:9" ht="13.5" customHeight="1">
      <c r="C425" s="1536"/>
      <c r="D425" s="1536"/>
      <c r="E425" s="1536"/>
      <c r="F425" s="1536"/>
      <c r="G425" s="1536"/>
      <c r="H425" s="1536"/>
      <c r="I425" s="1536"/>
    </row>
    <row r="426" spans="3:9" ht="13.5" customHeight="1">
      <c r="C426" s="1536"/>
      <c r="D426" s="1536"/>
      <c r="E426" s="1536"/>
      <c r="F426" s="1536"/>
      <c r="G426" s="1536"/>
      <c r="H426" s="1536"/>
      <c r="I426" s="1536"/>
    </row>
    <row r="427" spans="3:9" ht="13.5" customHeight="1">
      <c r="C427" s="1536"/>
      <c r="D427" s="1536"/>
      <c r="E427" s="1536"/>
      <c r="F427" s="1536"/>
      <c r="G427" s="1536"/>
      <c r="H427" s="1536"/>
      <c r="I427" s="1536"/>
    </row>
    <row r="428" spans="3:9" ht="13.5" customHeight="1">
      <c r="C428" s="1536"/>
      <c r="D428" s="1536"/>
      <c r="E428" s="1536"/>
      <c r="F428" s="1536"/>
      <c r="G428" s="1536"/>
      <c r="H428" s="1536"/>
      <c r="I428" s="1536"/>
    </row>
    <row r="429" spans="3:9" ht="13.5" customHeight="1">
      <c r="C429" s="1536"/>
      <c r="D429" s="1536"/>
      <c r="E429" s="1536"/>
      <c r="F429" s="1536"/>
      <c r="G429" s="1536"/>
      <c r="H429" s="1536"/>
      <c r="I429" s="1536"/>
    </row>
    <row r="430" spans="3:9" ht="13.5" customHeight="1">
      <c r="C430" s="1536"/>
      <c r="D430" s="1536"/>
      <c r="E430" s="1536"/>
      <c r="F430" s="1536"/>
      <c r="G430" s="1536"/>
      <c r="H430" s="1536"/>
      <c r="I430" s="1536"/>
    </row>
    <row r="431" spans="3:9" ht="13.5" customHeight="1">
      <c r="C431" s="1536"/>
      <c r="D431" s="1536"/>
      <c r="E431" s="1536"/>
      <c r="F431" s="1536"/>
      <c r="G431" s="1536"/>
      <c r="H431" s="1536"/>
      <c r="I431" s="1536"/>
    </row>
    <row r="432" spans="3:9" ht="13.5" customHeight="1">
      <c r="C432" s="1536"/>
      <c r="D432" s="1536"/>
      <c r="E432" s="1536"/>
      <c r="F432" s="1536"/>
      <c r="G432" s="1536"/>
      <c r="H432" s="1536"/>
      <c r="I432" s="1536"/>
    </row>
    <row r="433" spans="3:9" ht="13.5" customHeight="1">
      <c r="C433" s="1536"/>
      <c r="D433" s="1536"/>
      <c r="E433" s="1536"/>
      <c r="F433" s="1536"/>
      <c r="G433" s="1536"/>
      <c r="H433" s="1536"/>
      <c r="I433" s="1536"/>
    </row>
    <row r="434" spans="3:9" ht="13.5" customHeight="1">
      <c r="C434" s="1536"/>
      <c r="D434" s="1536"/>
      <c r="E434" s="1536"/>
      <c r="F434" s="1536"/>
      <c r="G434" s="1536"/>
      <c r="H434" s="1536"/>
      <c r="I434" s="1536"/>
    </row>
    <row r="435" spans="3:9" ht="13.5" customHeight="1">
      <c r="C435" s="1536"/>
      <c r="D435" s="1536"/>
      <c r="E435" s="1536"/>
      <c r="F435" s="1536"/>
      <c r="G435" s="1536"/>
      <c r="H435" s="1536"/>
      <c r="I435" s="1536"/>
    </row>
    <row r="436" spans="3:9" ht="13.5" customHeight="1">
      <c r="C436" s="1536"/>
      <c r="D436" s="1536"/>
      <c r="E436" s="1536"/>
      <c r="F436" s="1536"/>
      <c r="G436" s="1536"/>
      <c r="H436" s="1536"/>
      <c r="I436" s="1536"/>
    </row>
    <row r="437" spans="3:9" ht="13.5" customHeight="1">
      <c r="C437" s="1536"/>
      <c r="D437" s="1536"/>
      <c r="E437" s="1536"/>
      <c r="F437" s="1536"/>
      <c r="G437" s="1536"/>
      <c r="H437" s="1536"/>
      <c r="I437" s="1536"/>
    </row>
    <row r="438" spans="3:9" ht="13.5" customHeight="1">
      <c r="C438" s="1536"/>
      <c r="D438" s="1536"/>
      <c r="E438" s="1536"/>
      <c r="F438" s="1536"/>
      <c r="G438" s="1536"/>
      <c r="H438" s="1536"/>
      <c r="I438" s="1536"/>
    </row>
    <row r="439" spans="3:9" ht="13.5" customHeight="1">
      <c r="C439" s="1536"/>
      <c r="D439" s="1536"/>
      <c r="E439" s="1536"/>
      <c r="F439" s="1536"/>
      <c r="G439" s="1536"/>
      <c r="H439" s="1536"/>
      <c r="I439" s="1536"/>
    </row>
    <row r="440" spans="3:9" ht="13.5" customHeight="1">
      <c r="C440" s="1536"/>
      <c r="D440" s="1536"/>
      <c r="E440" s="1536"/>
      <c r="F440" s="1536"/>
      <c r="G440" s="1536"/>
      <c r="H440" s="1536"/>
      <c r="I440" s="1536"/>
    </row>
    <row r="441" spans="3:9" ht="13.5" customHeight="1">
      <c r="C441" s="1536"/>
      <c r="D441" s="1536"/>
      <c r="E441" s="1536"/>
      <c r="F441" s="1536"/>
      <c r="G441" s="1536"/>
      <c r="H441" s="1536"/>
      <c r="I441" s="1536"/>
    </row>
    <row r="442" spans="3:9" ht="13.5" customHeight="1">
      <c r="C442" s="1536"/>
      <c r="D442" s="1536"/>
      <c r="E442" s="1536"/>
      <c r="F442" s="1536"/>
      <c r="G442" s="1536"/>
      <c r="H442" s="1536"/>
      <c r="I442" s="1536"/>
    </row>
    <row r="443" spans="3:9" ht="13.5" customHeight="1">
      <c r="C443" s="1536"/>
      <c r="D443" s="1536"/>
      <c r="E443" s="1536"/>
      <c r="F443" s="1536"/>
      <c r="G443" s="1536"/>
      <c r="H443" s="1536"/>
      <c r="I443" s="1536"/>
    </row>
    <row r="444" spans="3:9" ht="13.5" customHeight="1">
      <c r="C444" s="1536"/>
      <c r="D444" s="1536"/>
      <c r="E444" s="1536"/>
      <c r="F444" s="1536"/>
      <c r="G444" s="1536"/>
      <c r="H444" s="1536"/>
      <c r="I444" s="1536"/>
    </row>
    <row r="445" spans="3:9" ht="13.5" customHeight="1">
      <c r="C445" s="1536"/>
      <c r="D445" s="1536"/>
      <c r="E445" s="1536"/>
      <c r="F445" s="1536"/>
      <c r="G445" s="1536"/>
      <c r="H445" s="1536"/>
      <c r="I445" s="1536"/>
    </row>
    <row r="446" spans="3:9" ht="13.5" customHeight="1">
      <c r="C446" s="1536"/>
      <c r="D446" s="1536"/>
      <c r="E446" s="1536"/>
      <c r="F446" s="1536"/>
      <c r="G446" s="1536"/>
      <c r="H446" s="1536"/>
      <c r="I446" s="1536"/>
    </row>
    <row r="447" spans="3:9" ht="13.5" customHeight="1">
      <c r="C447" s="1536"/>
      <c r="D447" s="1536"/>
      <c r="E447" s="1536"/>
      <c r="F447" s="1536"/>
      <c r="G447" s="1536"/>
      <c r="H447" s="1536"/>
      <c r="I447" s="1536"/>
    </row>
    <row r="448" spans="3:9" ht="13.5" customHeight="1">
      <c r="C448" s="1536"/>
      <c r="D448" s="1536"/>
      <c r="E448" s="1536"/>
      <c r="F448" s="1536"/>
      <c r="G448" s="1536"/>
      <c r="H448" s="1536"/>
      <c r="I448" s="1536"/>
    </row>
    <row r="449" spans="3:9" ht="13.5" customHeight="1">
      <c r="C449" s="1536"/>
      <c r="D449" s="1536"/>
      <c r="E449" s="1536"/>
      <c r="F449" s="1536"/>
      <c r="G449" s="1536"/>
      <c r="H449" s="1536"/>
      <c r="I449" s="1536"/>
    </row>
    <row r="450" spans="3:9" ht="13.5" customHeight="1">
      <c r="C450" s="1536"/>
      <c r="D450" s="1536"/>
      <c r="E450" s="1536"/>
      <c r="F450" s="1536"/>
      <c r="G450" s="1536"/>
      <c r="H450" s="1536"/>
      <c r="I450" s="1536"/>
    </row>
    <row r="451" spans="3:9" ht="13.5" customHeight="1">
      <c r="C451" s="1536"/>
      <c r="D451" s="1536"/>
      <c r="E451" s="1536"/>
      <c r="F451" s="1536"/>
      <c r="G451" s="1536"/>
      <c r="H451" s="1536"/>
      <c r="I451" s="1536"/>
    </row>
    <row r="452" spans="3:9" ht="13.5" customHeight="1">
      <c r="C452" s="1536"/>
      <c r="D452" s="1536"/>
      <c r="E452" s="1536"/>
      <c r="F452" s="1536"/>
      <c r="G452" s="1536"/>
      <c r="H452" s="1536"/>
      <c r="I452" s="1536"/>
    </row>
    <row r="453" spans="3:9" ht="13.5" customHeight="1">
      <c r="C453" s="1536"/>
      <c r="D453" s="1536"/>
      <c r="E453" s="1536"/>
      <c r="F453" s="1536"/>
      <c r="G453" s="1536"/>
      <c r="H453" s="1536"/>
      <c r="I453" s="1536"/>
    </row>
    <row r="454" spans="3:9" ht="13.5" customHeight="1">
      <c r="C454" s="1536"/>
      <c r="D454" s="1536"/>
      <c r="E454" s="1536"/>
      <c r="F454" s="1536"/>
      <c r="G454" s="1536"/>
      <c r="H454" s="1536"/>
      <c r="I454" s="1536"/>
    </row>
    <row r="455" spans="3:9" ht="13.5" customHeight="1">
      <c r="C455" s="1536"/>
      <c r="D455" s="1536"/>
      <c r="E455" s="1536"/>
      <c r="F455" s="1536"/>
      <c r="G455" s="1536"/>
      <c r="H455" s="1536"/>
      <c r="I455" s="1536"/>
    </row>
    <row r="456" spans="3:9" ht="13.5" customHeight="1">
      <c r="C456" s="1536"/>
      <c r="D456" s="1536"/>
      <c r="E456" s="1536"/>
      <c r="F456" s="1536"/>
      <c r="G456" s="1536"/>
      <c r="H456" s="1536"/>
      <c r="I456" s="1536"/>
    </row>
    <row r="457" spans="3:9" ht="13.5" customHeight="1">
      <c r="C457" s="1536"/>
      <c r="D457" s="1536"/>
      <c r="E457" s="1536"/>
      <c r="F457" s="1536"/>
      <c r="G457" s="1536"/>
      <c r="H457" s="1536"/>
      <c r="I457" s="1536"/>
    </row>
    <row r="458" spans="3:9" ht="13.5" customHeight="1">
      <c r="C458" s="1536"/>
      <c r="D458" s="1536"/>
      <c r="E458" s="1536"/>
      <c r="F458" s="1536"/>
      <c r="G458" s="1536"/>
      <c r="H458" s="1536"/>
      <c r="I458" s="1536"/>
    </row>
    <row r="459" spans="3:9" ht="13.5" customHeight="1">
      <c r="C459" s="1536"/>
      <c r="D459" s="1536"/>
      <c r="E459" s="1536"/>
      <c r="F459" s="1536"/>
      <c r="G459" s="1536"/>
      <c r="H459" s="1536"/>
      <c r="I459" s="1536"/>
    </row>
    <row r="460" spans="3:9" ht="13.5" customHeight="1">
      <c r="C460" s="1536"/>
      <c r="D460" s="1536"/>
      <c r="E460" s="1536"/>
      <c r="F460" s="1536"/>
      <c r="G460" s="1536"/>
      <c r="H460" s="1536"/>
      <c r="I460" s="1536"/>
    </row>
    <row r="461" spans="3:9" ht="13.5" customHeight="1">
      <c r="C461" s="1536"/>
      <c r="D461" s="1536"/>
      <c r="E461" s="1536"/>
      <c r="F461" s="1536"/>
      <c r="G461" s="1536"/>
      <c r="H461" s="1536"/>
      <c r="I461" s="1536"/>
    </row>
    <row r="462" spans="3:9" ht="13.5" customHeight="1">
      <c r="C462" s="1536"/>
      <c r="D462" s="1536"/>
      <c r="E462" s="1536"/>
      <c r="F462" s="1536"/>
      <c r="G462" s="1536"/>
      <c r="H462" s="1536"/>
      <c r="I462" s="1536"/>
    </row>
    <row r="463" spans="3:9" ht="13.5" customHeight="1">
      <c r="C463" s="1536"/>
      <c r="D463" s="1536"/>
      <c r="E463" s="1536"/>
      <c r="F463" s="1536"/>
      <c r="G463" s="1536"/>
      <c r="H463" s="1536"/>
      <c r="I463" s="1536"/>
    </row>
    <row r="464" spans="3:9" ht="13.5" customHeight="1">
      <c r="C464" s="1536"/>
      <c r="D464" s="1536"/>
      <c r="E464" s="1536"/>
      <c r="F464" s="1536"/>
      <c r="G464" s="1536"/>
      <c r="H464" s="1536"/>
      <c r="I464" s="1536"/>
    </row>
    <row r="465" spans="3:9" ht="13.5" customHeight="1">
      <c r="C465" s="1536"/>
      <c r="D465" s="1536"/>
      <c r="E465" s="1536"/>
      <c r="F465" s="1536"/>
      <c r="G465" s="1536"/>
      <c r="H465" s="1536"/>
      <c r="I465" s="1536"/>
    </row>
    <row r="466" spans="3:9" ht="13.5" customHeight="1">
      <c r="C466" s="1536"/>
      <c r="D466" s="1536"/>
      <c r="E466" s="1536"/>
      <c r="F466" s="1536"/>
      <c r="G466" s="1536"/>
      <c r="H466" s="1536"/>
      <c r="I466" s="1536"/>
    </row>
    <row r="467" spans="3:9" ht="13.5" customHeight="1">
      <c r="C467" s="1536"/>
      <c r="D467" s="1536"/>
      <c r="E467" s="1536"/>
      <c r="F467" s="1536"/>
      <c r="G467" s="1536"/>
      <c r="H467" s="1536"/>
      <c r="I467" s="1536"/>
    </row>
    <row r="468" spans="3:9" ht="13.5" customHeight="1">
      <c r="C468" s="1536"/>
      <c r="D468" s="1536"/>
      <c r="E468" s="1536"/>
      <c r="F468" s="1536"/>
      <c r="G468" s="1536"/>
      <c r="H468" s="1536"/>
      <c r="I468" s="1536"/>
    </row>
    <row r="469" spans="3:9" ht="13.5" customHeight="1">
      <c r="C469" s="1536"/>
      <c r="D469" s="1536"/>
      <c r="E469" s="1536"/>
      <c r="F469" s="1536"/>
      <c r="G469" s="1536"/>
      <c r="H469" s="1536"/>
      <c r="I469" s="1536"/>
    </row>
    <row r="470" spans="3:9" ht="13.5" customHeight="1">
      <c r="C470" s="1536"/>
      <c r="D470" s="1536"/>
      <c r="E470" s="1536"/>
      <c r="F470" s="1536"/>
      <c r="G470" s="1536"/>
      <c r="H470" s="1536"/>
      <c r="I470" s="1536"/>
    </row>
    <row r="471" spans="3:9" ht="13.5" customHeight="1">
      <c r="C471" s="1536"/>
      <c r="D471" s="1536"/>
      <c r="E471" s="1536"/>
      <c r="F471" s="1536"/>
      <c r="G471" s="1536"/>
      <c r="H471" s="1536"/>
      <c r="I471" s="1536"/>
    </row>
    <row r="472" spans="3:9" ht="13.5" customHeight="1">
      <c r="C472" s="1536"/>
      <c r="D472" s="1536"/>
      <c r="E472" s="1536"/>
      <c r="F472" s="1536"/>
      <c r="G472" s="1536"/>
      <c r="H472" s="1536"/>
      <c r="I472" s="1536"/>
    </row>
    <row r="473" spans="3:9" ht="13.5" customHeight="1">
      <c r="C473" s="1536"/>
      <c r="D473" s="1536"/>
      <c r="E473" s="1536"/>
      <c r="F473" s="1536"/>
      <c r="G473" s="1536"/>
      <c r="H473" s="1536"/>
      <c r="I473" s="1536"/>
    </row>
    <row r="474" spans="3:9" ht="13.5" customHeight="1">
      <c r="C474" s="1536"/>
      <c r="D474" s="1536"/>
      <c r="E474" s="1536"/>
      <c r="F474" s="1536"/>
      <c r="G474" s="1536"/>
      <c r="H474" s="1536"/>
      <c r="I474" s="1536"/>
    </row>
    <row r="475" spans="3:9" ht="13.5" customHeight="1">
      <c r="C475" s="1536"/>
      <c r="D475" s="1536"/>
      <c r="E475" s="1536"/>
      <c r="F475" s="1536"/>
      <c r="G475" s="1536"/>
      <c r="H475" s="1536"/>
      <c r="I475" s="1536"/>
    </row>
    <row r="476" spans="3:9" ht="13.5" customHeight="1">
      <c r="C476" s="1536"/>
      <c r="D476" s="1536"/>
      <c r="E476" s="1536"/>
      <c r="F476" s="1536"/>
      <c r="G476" s="1536"/>
      <c r="H476" s="1536"/>
      <c r="I476" s="1536"/>
    </row>
    <row r="477" spans="3:9" ht="13.5" customHeight="1">
      <c r="C477" s="1536"/>
      <c r="D477" s="1536"/>
      <c r="E477" s="1536"/>
      <c r="F477" s="1536"/>
      <c r="G477" s="1536"/>
      <c r="H477" s="1536"/>
      <c r="I477" s="1536"/>
    </row>
    <row r="478" spans="3:9" ht="13.5" customHeight="1">
      <c r="C478" s="1536"/>
      <c r="D478" s="1536"/>
      <c r="E478" s="1536"/>
      <c r="F478" s="1536"/>
      <c r="G478" s="1536"/>
      <c r="H478" s="1536"/>
      <c r="I478" s="1536"/>
    </row>
    <row r="479" spans="3:9" ht="13.5" customHeight="1">
      <c r="C479" s="1536"/>
      <c r="D479" s="1536"/>
      <c r="E479" s="1536"/>
      <c r="F479" s="1536"/>
      <c r="G479" s="1536"/>
      <c r="H479" s="1536"/>
      <c r="I479" s="1536"/>
    </row>
    <row r="480" spans="3:9" ht="13.5" customHeight="1">
      <c r="C480" s="1536"/>
      <c r="D480" s="1536"/>
      <c r="E480" s="1536"/>
      <c r="F480" s="1536"/>
      <c r="G480" s="1536"/>
      <c r="H480" s="1536"/>
      <c r="I480" s="1536"/>
    </row>
    <row r="481" spans="3:9" ht="13.5" customHeight="1">
      <c r="C481" s="1536"/>
      <c r="D481" s="1536"/>
      <c r="E481" s="1536"/>
      <c r="F481" s="1536"/>
      <c r="G481" s="1536"/>
      <c r="H481" s="1536"/>
      <c r="I481" s="1536"/>
    </row>
    <row r="482" spans="3:9" ht="13.5" customHeight="1">
      <c r="C482" s="1536"/>
      <c r="D482" s="1536"/>
      <c r="E482" s="1536"/>
      <c r="F482" s="1536"/>
      <c r="G482" s="1536"/>
      <c r="H482" s="1536"/>
      <c r="I482" s="1536"/>
    </row>
    <row r="483" spans="3:9" ht="13.5" customHeight="1">
      <c r="C483" s="1536"/>
      <c r="D483" s="1536"/>
      <c r="E483" s="1536"/>
      <c r="F483" s="1536"/>
      <c r="G483" s="1536"/>
      <c r="H483" s="1536"/>
      <c r="I483" s="1536"/>
    </row>
    <row r="484" spans="3:9" ht="13.5" customHeight="1">
      <c r="C484" s="1536"/>
      <c r="D484" s="1536"/>
      <c r="E484" s="1536"/>
      <c r="F484" s="1536"/>
      <c r="G484" s="1536"/>
      <c r="H484" s="1536"/>
      <c r="I484" s="1536"/>
    </row>
    <row r="485" spans="3:9" ht="13.5" customHeight="1">
      <c r="C485" s="1536"/>
      <c r="D485" s="1536"/>
      <c r="E485" s="1536"/>
      <c r="F485" s="1536"/>
      <c r="G485" s="1536"/>
      <c r="H485" s="1536"/>
      <c r="I485" s="1536"/>
    </row>
    <row r="486" spans="3:9" ht="13.5" customHeight="1">
      <c r="C486" s="1536"/>
      <c r="D486" s="1536"/>
      <c r="E486" s="1536"/>
      <c r="F486" s="1536"/>
      <c r="G486" s="1536"/>
      <c r="H486" s="1536"/>
      <c r="I486" s="1536"/>
    </row>
    <row r="487" spans="3:9" ht="13.5" customHeight="1">
      <c r="C487" s="1536"/>
      <c r="D487" s="1536"/>
      <c r="E487" s="1536"/>
      <c r="F487" s="1536"/>
      <c r="G487" s="1536"/>
      <c r="H487" s="1536"/>
      <c r="I487" s="1536"/>
    </row>
    <row r="488" spans="3:9" ht="13.5" customHeight="1">
      <c r="C488" s="1536"/>
      <c r="D488" s="1536"/>
      <c r="E488" s="1536"/>
      <c r="F488" s="1536"/>
      <c r="G488" s="1536"/>
      <c r="H488" s="1536"/>
      <c r="I488" s="1536"/>
    </row>
    <row r="489" spans="3:9" ht="13.5" customHeight="1">
      <c r="C489" s="1536"/>
      <c r="D489" s="1536"/>
      <c r="E489" s="1536"/>
      <c r="F489" s="1536"/>
      <c r="G489" s="1536"/>
      <c r="H489" s="1536"/>
      <c r="I489" s="1536"/>
    </row>
    <row r="490" spans="3:9" ht="13.5" customHeight="1">
      <c r="C490" s="1536"/>
      <c r="D490" s="1536"/>
      <c r="E490" s="1536"/>
      <c r="F490" s="1536"/>
      <c r="G490" s="1536"/>
      <c r="H490" s="1536"/>
      <c r="I490" s="1536"/>
    </row>
    <row r="491" spans="3:9" ht="13.5" customHeight="1">
      <c r="C491" s="1536"/>
      <c r="D491" s="1536"/>
      <c r="E491" s="1536"/>
      <c r="F491" s="1536"/>
      <c r="G491" s="1536"/>
      <c r="H491" s="1536"/>
      <c r="I491" s="1536"/>
    </row>
    <row r="492" spans="3:9" ht="13.5" customHeight="1">
      <c r="C492" s="1536"/>
      <c r="D492" s="1536"/>
      <c r="E492" s="1536"/>
      <c r="F492" s="1536"/>
      <c r="G492" s="1536"/>
      <c r="H492" s="1536"/>
      <c r="I492" s="1536"/>
    </row>
    <row r="493" spans="3:9" ht="13.5" customHeight="1">
      <c r="C493" s="1536"/>
      <c r="D493" s="1536"/>
      <c r="E493" s="1536"/>
      <c r="F493" s="1536"/>
      <c r="G493" s="1536"/>
      <c r="H493" s="1536"/>
      <c r="I493" s="1536"/>
    </row>
    <row r="494" spans="3:9" ht="13.5" customHeight="1">
      <c r="C494" s="1536"/>
      <c r="D494" s="1536"/>
      <c r="E494" s="1536"/>
      <c r="F494" s="1536"/>
      <c r="G494" s="1536"/>
      <c r="H494" s="1536"/>
      <c r="I494" s="1536"/>
    </row>
    <row r="495" spans="3:9" ht="13.5" customHeight="1">
      <c r="C495" s="1536"/>
      <c r="D495" s="1536"/>
      <c r="E495" s="1536"/>
      <c r="F495" s="1536"/>
      <c r="G495" s="1536"/>
      <c r="H495" s="1536"/>
      <c r="I495" s="1536"/>
    </row>
    <row r="496" spans="3:9" ht="13.5" customHeight="1">
      <c r="C496" s="1536"/>
      <c r="D496" s="1536"/>
      <c r="E496" s="1536"/>
      <c r="F496" s="1536"/>
      <c r="G496" s="1536"/>
      <c r="H496" s="1536"/>
      <c r="I496" s="1536"/>
    </row>
    <row r="497" spans="3:9" ht="13.5" customHeight="1">
      <c r="C497" s="1536"/>
      <c r="D497" s="1536"/>
      <c r="E497" s="1536"/>
      <c r="F497" s="1536"/>
      <c r="G497" s="1536"/>
      <c r="H497" s="1536"/>
      <c r="I497" s="1536"/>
    </row>
    <row r="498" spans="3:9" ht="13.5" customHeight="1">
      <c r="C498" s="1536"/>
      <c r="D498" s="1536"/>
      <c r="E498" s="1536"/>
      <c r="F498" s="1536"/>
      <c r="G498" s="1536"/>
      <c r="H498" s="1536"/>
      <c r="I498" s="1536"/>
    </row>
    <row r="499" spans="3:9" ht="13.5" customHeight="1">
      <c r="C499" s="1536"/>
      <c r="D499" s="1536"/>
      <c r="E499" s="1536"/>
      <c r="F499" s="1536"/>
      <c r="G499" s="1536"/>
      <c r="H499" s="1536"/>
      <c r="I499" s="1536"/>
    </row>
    <row r="500" spans="3:9" ht="13.5" customHeight="1">
      <c r="C500" s="1536"/>
      <c r="D500" s="1536"/>
      <c r="E500" s="1536"/>
      <c r="F500" s="1536"/>
      <c r="G500" s="1536"/>
      <c r="H500" s="1536"/>
      <c r="I500" s="1536"/>
    </row>
    <row r="501" spans="3:9" ht="13.5" customHeight="1">
      <c r="C501" s="1536"/>
      <c r="D501" s="1536"/>
      <c r="E501" s="1536"/>
      <c r="F501" s="1536"/>
      <c r="G501" s="1536"/>
      <c r="H501" s="1536"/>
      <c r="I501" s="1536"/>
    </row>
    <row r="502" spans="3:9" ht="13.5" customHeight="1">
      <c r="C502" s="1536"/>
      <c r="D502" s="1536"/>
      <c r="E502" s="1536"/>
      <c r="F502" s="1536"/>
      <c r="G502" s="1536"/>
      <c r="H502" s="1536"/>
      <c r="I502" s="1536"/>
    </row>
    <row r="503" spans="3:9" ht="13.5" customHeight="1">
      <c r="C503" s="1536"/>
      <c r="D503" s="1536"/>
      <c r="E503" s="1536"/>
      <c r="F503" s="1536"/>
      <c r="G503" s="1536"/>
      <c r="H503" s="1536"/>
      <c r="I503" s="1536"/>
    </row>
    <row r="504" spans="3:9" ht="13.5" customHeight="1">
      <c r="C504" s="1536"/>
      <c r="D504" s="1536"/>
      <c r="E504" s="1536"/>
      <c r="F504" s="1536"/>
      <c r="G504" s="1536"/>
      <c r="H504" s="1536"/>
      <c r="I504" s="1536"/>
    </row>
    <row r="505" spans="3:9" ht="13.5" customHeight="1">
      <c r="C505" s="1536"/>
      <c r="D505" s="1536"/>
      <c r="E505" s="1536"/>
      <c r="F505" s="1536"/>
      <c r="G505" s="1536"/>
      <c r="H505" s="1536"/>
      <c r="I505" s="1536"/>
    </row>
    <row r="506" spans="3:9" ht="13.5" customHeight="1">
      <c r="C506" s="1536"/>
      <c r="D506" s="1536"/>
      <c r="E506" s="1536"/>
      <c r="F506" s="1536"/>
      <c r="G506" s="1536"/>
      <c r="H506" s="1536"/>
      <c r="I506" s="1536"/>
    </row>
    <row r="507" spans="3:9" ht="13.5" customHeight="1">
      <c r="C507" s="1536"/>
      <c r="D507" s="1536"/>
      <c r="E507" s="1536"/>
      <c r="F507" s="1536"/>
      <c r="G507" s="1536"/>
      <c r="H507" s="1536"/>
      <c r="I507" s="1536"/>
    </row>
    <row r="508" spans="3:9" ht="13.5" customHeight="1">
      <c r="C508" s="1536"/>
      <c r="D508" s="1536"/>
      <c r="E508" s="1536"/>
      <c r="F508" s="1536"/>
      <c r="G508" s="1536"/>
      <c r="H508" s="1536"/>
      <c r="I508" s="1536"/>
    </row>
    <row r="509" spans="3:9" ht="13.5" customHeight="1">
      <c r="C509" s="1536"/>
      <c r="D509" s="1536"/>
      <c r="E509" s="1536"/>
      <c r="F509" s="1536"/>
      <c r="G509" s="1536"/>
      <c r="H509" s="1536"/>
      <c r="I509" s="1536"/>
    </row>
    <row r="510" spans="3:9" ht="13.5" customHeight="1">
      <c r="C510" s="1536"/>
      <c r="D510" s="1536"/>
      <c r="E510" s="1536"/>
      <c r="F510" s="1536"/>
      <c r="G510" s="1536"/>
      <c r="H510" s="1536"/>
      <c r="I510" s="1536"/>
    </row>
    <row r="511" spans="3:9" ht="13.5" customHeight="1">
      <c r="C511" s="1536"/>
      <c r="D511" s="1536"/>
      <c r="E511" s="1536"/>
      <c r="F511" s="1536"/>
      <c r="G511" s="1536"/>
      <c r="H511" s="1536"/>
      <c r="I511" s="1536"/>
    </row>
    <row r="512" spans="3:9" ht="13.5" customHeight="1">
      <c r="C512" s="1536"/>
      <c r="D512" s="1536"/>
      <c r="E512" s="1536"/>
      <c r="F512" s="1536"/>
      <c r="G512" s="1536"/>
      <c r="H512" s="1536"/>
      <c r="I512" s="1536"/>
    </row>
    <row r="513" spans="3:9" ht="13.5" customHeight="1">
      <c r="C513" s="1536"/>
      <c r="D513" s="1536"/>
      <c r="E513" s="1536"/>
      <c r="F513" s="1536"/>
      <c r="G513" s="1536"/>
      <c r="H513" s="1536"/>
      <c r="I513" s="1536"/>
    </row>
    <row r="514" spans="3:9" ht="13.5" customHeight="1">
      <c r="C514" s="1536"/>
      <c r="D514" s="1536"/>
      <c r="E514" s="1536"/>
      <c r="F514" s="1536"/>
      <c r="G514" s="1536"/>
      <c r="H514" s="1536"/>
      <c r="I514" s="1536"/>
    </row>
    <row r="515" spans="3:9" ht="13.5" customHeight="1">
      <c r="C515" s="1536"/>
      <c r="D515" s="1536"/>
      <c r="E515" s="1536"/>
      <c r="F515" s="1536"/>
      <c r="G515" s="1536"/>
      <c r="H515" s="1536"/>
      <c r="I515" s="1536"/>
    </row>
    <row r="516" spans="3:9" ht="13.5" customHeight="1">
      <c r="C516" s="1536"/>
      <c r="D516" s="1536"/>
      <c r="E516" s="1536"/>
      <c r="F516" s="1536"/>
      <c r="G516" s="1536"/>
      <c r="H516" s="1536"/>
      <c r="I516" s="1536"/>
    </row>
    <row r="517" spans="3:9" ht="13.5" customHeight="1">
      <c r="C517" s="1536"/>
      <c r="D517" s="1536"/>
      <c r="E517" s="1536"/>
      <c r="F517" s="1536"/>
      <c r="G517" s="1536"/>
      <c r="H517" s="1536"/>
      <c r="I517" s="1536"/>
    </row>
    <row r="518" spans="3:9" ht="13.5" customHeight="1">
      <c r="C518" s="1536"/>
      <c r="D518" s="1536"/>
      <c r="E518" s="1536"/>
      <c r="F518" s="1536"/>
      <c r="G518" s="1536"/>
      <c r="H518" s="1536"/>
      <c r="I518" s="1536"/>
    </row>
    <row r="519" spans="3:9" ht="13.5" customHeight="1">
      <c r="C519" s="1536"/>
      <c r="D519" s="1536"/>
      <c r="E519" s="1536"/>
      <c r="F519" s="1536"/>
      <c r="G519" s="1536"/>
      <c r="H519" s="1536"/>
      <c r="I519" s="1536"/>
    </row>
    <row r="520" spans="3:9" ht="13.5" customHeight="1">
      <c r="C520" s="1536"/>
      <c r="D520" s="1536"/>
      <c r="E520" s="1536"/>
      <c r="F520" s="1536"/>
      <c r="G520" s="1536"/>
      <c r="H520" s="1536"/>
      <c r="I520" s="1536"/>
    </row>
    <row r="521" spans="3:9" ht="13.5" customHeight="1">
      <c r="C521" s="1536"/>
      <c r="D521" s="1536"/>
      <c r="E521" s="1536"/>
      <c r="F521" s="1536"/>
      <c r="G521" s="1536"/>
      <c r="H521" s="1536"/>
      <c r="I521" s="1536"/>
    </row>
    <row r="522" spans="3:9" ht="13.5" customHeight="1">
      <c r="C522" s="1536"/>
      <c r="D522" s="1536"/>
      <c r="E522" s="1536"/>
      <c r="F522" s="1536"/>
      <c r="G522" s="1536"/>
      <c r="H522" s="1536"/>
      <c r="I522" s="1536"/>
    </row>
    <row r="523" spans="3:9" ht="13.5" customHeight="1">
      <c r="C523" s="1536"/>
      <c r="D523" s="1536"/>
      <c r="E523" s="1536"/>
      <c r="F523" s="1536"/>
      <c r="G523" s="1536"/>
      <c r="H523" s="1536"/>
      <c r="I523" s="1536"/>
    </row>
    <row r="524" spans="3:9" ht="13.5" customHeight="1">
      <c r="C524" s="1536"/>
      <c r="D524" s="1536"/>
      <c r="E524" s="1536"/>
      <c r="F524" s="1536"/>
      <c r="G524" s="1536"/>
      <c r="H524" s="1536"/>
      <c r="I524" s="1536"/>
    </row>
    <row r="525" spans="3:9" ht="13.5" customHeight="1">
      <c r="C525" s="1536"/>
      <c r="D525" s="1536"/>
      <c r="E525" s="1536"/>
      <c r="F525" s="1536"/>
      <c r="G525" s="1536"/>
      <c r="H525" s="1536"/>
      <c r="I525" s="1536"/>
    </row>
    <row r="526" spans="3:9" ht="13.5" customHeight="1">
      <c r="C526" s="1536"/>
      <c r="D526" s="1536"/>
      <c r="E526" s="1536"/>
      <c r="F526" s="1536"/>
      <c r="G526" s="1536"/>
      <c r="H526" s="1536"/>
      <c r="I526" s="1536"/>
    </row>
    <row r="527" spans="3:9" ht="13.5" customHeight="1">
      <c r="C527" s="1536"/>
      <c r="D527" s="1536"/>
      <c r="E527" s="1536"/>
      <c r="F527" s="1536"/>
      <c r="G527" s="1536"/>
      <c r="H527" s="1536"/>
      <c r="I527" s="1536"/>
    </row>
    <row r="528" spans="3:9" ht="13.5" customHeight="1">
      <c r="C528" s="1536"/>
      <c r="D528" s="1536"/>
      <c r="E528" s="1536"/>
      <c r="F528" s="1536"/>
      <c r="G528" s="1536"/>
      <c r="H528" s="1536"/>
      <c r="I528" s="1536"/>
    </row>
    <row r="529" spans="3:9" ht="13.5" customHeight="1">
      <c r="C529" s="1536"/>
      <c r="D529" s="1536"/>
      <c r="E529" s="1536"/>
      <c r="F529" s="1536"/>
      <c r="G529" s="1536"/>
      <c r="H529" s="1536"/>
      <c r="I529" s="1536"/>
    </row>
    <row r="530" spans="3:9" ht="13.5" customHeight="1">
      <c r="C530" s="1536"/>
      <c r="D530" s="1536"/>
      <c r="E530" s="1536"/>
      <c r="F530" s="1536"/>
      <c r="G530" s="1536"/>
      <c r="H530" s="1536"/>
      <c r="I530" s="1536"/>
    </row>
    <row r="531" spans="3:9" ht="13.5" customHeight="1">
      <c r="C531" s="1536"/>
      <c r="D531" s="1536"/>
      <c r="E531" s="1536"/>
      <c r="F531" s="1536"/>
      <c r="G531" s="1536"/>
      <c r="H531" s="1536"/>
      <c r="I531" s="1536"/>
    </row>
    <row r="532" spans="3:9" ht="13.5" customHeight="1">
      <c r="C532" s="1536"/>
      <c r="D532" s="1536"/>
      <c r="E532" s="1536"/>
      <c r="F532" s="1536"/>
      <c r="G532" s="1536"/>
      <c r="H532" s="1536"/>
      <c r="I532" s="1536"/>
    </row>
    <row r="533" spans="3:9" ht="13.5" customHeight="1">
      <c r="C533" s="1536"/>
      <c r="D533" s="1536"/>
      <c r="E533" s="1536"/>
      <c r="F533" s="1536"/>
      <c r="G533" s="1536"/>
      <c r="H533" s="1536"/>
      <c r="I533" s="1536"/>
    </row>
    <row r="534" spans="3:9" ht="13.5" customHeight="1">
      <c r="C534" s="1536"/>
      <c r="D534" s="1536"/>
      <c r="E534" s="1536"/>
      <c r="F534" s="1536"/>
      <c r="G534" s="1536"/>
      <c r="H534" s="1536"/>
      <c r="I534" s="1536"/>
    </row>
    <row r="535" spans="3:9" ht="13.5" customHeight="1">
      <c r="C535" s="1536"/>
      <c r="D535" s="1536"/>
      <c r="E535" s="1536"/>
      <c r="F535" s="1536"/>
      <c r="G535" s="1536"/>
      <c r="H535" s="1536"/>
      <c r="I535" s="1536"/>
    </row>
    <row r="536" spans="3:9" ht="13.5" customHeight="1">
      <c r="C536" s="1536"/>
      <c r="D536" s="1536"/>
      <c r="E536" s="1536"/>
      <c r="F536" s="1536"/>
      <c r="G536" s="1536"/>
      <c r="H536" s="1536"/>
      <c r="I536" s="1536"/>
    </row>
    <row r="537" spans="3:9" ht="13.5" customHeight="1">
      <c r="C537" s="1536"/>
      <c r="D537" s="1536"/>
      <c r="E537" s="1536"/>
      <c r="F537" s="1536"/>
      <c r="G537" s="1536"/>
      <c r="H537" s="1536"/>
      <c r="I537" s="1536"/>
    </row>
    <row r="538" spans="3:9" ht="13.5" customHeight="1">
      <c r="C538" s="1536"/>
      <c r="D538" s="1536"/>
      <c r="E538" s="1536"/>
      <c r="F538" s="1536"/>
      <c r="G538" s="1536"/>
      <c r="H538" s="1536"/>
      <c r="I538" s="1536"/>
    </row>
    <row r="539" spans="3:9" ht="13.5" customHeight="1">
      <c r="C539" s="1536"/>
      <c r="D539" s="1536"/>
      <c r="E539" s="1536"/>
      <c r="F539" s="1536"/>
      <c r="G539" s="1536"/>
      <c r="H539" s="1536"/>
      <c r="I539" s="1536"/>
    </row>
    <row r="540" spans="3:9" ht="13.5" customHeight="1">
      <c r="C540" s="1536"/>
      <c r="D540" s="1536"/>
      <c r="E540" s="1536"/>
      <c r="F540" s="1536"/>
      <c r="G540" s="1536"/>
      <c r="H540" s="1536"/>
      <c r="I540" s="1536"/>
    </row>
    <row r="541" spans="3:9" ht="13.5" customHeight="1">
      <c r="C541" s="1536"/>
      <c r="D541" s="1536"/>
      <c r="E541" s="1536"/>
      <c r="F541" s="1536"/>
      <c r="G541" s="1536"/>
      <c r="H541" s="1536"/>
      <c r="I541" s="1536"/>
    </row>
    <row r="542" spans="3:9" ht="13.5" customHeight="1">
      <c r="C542" s="1536"/>
      <c r="D542" s="1536"/>
      <c r="E542" s="1536"/>
      <c r="F542" s="1536"/>
      <c r="G542" s="1536"/>
      <c r="H542" s="1536"/>
      <c r="I542" s="1536"/>
    </row>
    <row r="543" spans="3:9" ht="13.5" customHeight="1">
      <c r="C543" s="1536"/>
      <c r="D543" s="1536"/>
      <c r="E543" s="1536"/>
      <c r="F543" s="1536"/>
      <c r="G543" s="1536"/>
      <c r="H543" s="1536"/>
      <c r="I543" s="1536"/>
    </row>
    <row r="544" spans="3:9" ht="13.5" customHeight="1">
      <c r="C544" s="1536"/>
      <c r="D544" s="1536"/>
      <c r="E544" s="1536"/>
      <c r="F544" s="1536"/>
      <c r="G544" s="1536"/>
      <c r="H544" s="1536"/>
      <c r="I544" s="1536"/>
    </row>
    <row r="545" spans="3:9" ht="13.5" customHeight="1">
      <c r="C545" s="1536"/>
      <c r="D545" s="1536"/>
      <c r="E545" s="1536"/>
      <c r="F545" s="1536"/>
      <c r="G545" s="1536"/>
      <c r="H545" s="1536"/>
      <c r="I545" s="1536"/>
    </row>
    <row r="546" spans="3:9" ht="13.5" customHeight="1">
      <c r="C546" s="1536"/>
      <c r="D546" s="1536"/>
      <c r="E546" s="1536"/>
      <c r="F546" s="1536"/>
      <c r="G546" s="1536"/>
      <c r="H546" s="1536"/>
      <c r="I546" s="1536"/>
    </row>
    <row r="547" spans="3:9" ht="13.5" customHeight="1">
      <c r="C547" s="1536"/>
      <c r="D547" s="1536"/>
      <c r="E547" s="1536"/>
      <c r="F547" s="1536"/>
      <c r="G547" s="1536"/>
      <c r="H547" s="1536"/>
      <c r="I547" s="1536"/>
    </row>
    <row r="548" spans="3:9" ht="13.5" customHeight="1">
      <c r="C548" s="1536"/>
      <c r="D548" s="1536"/>
      <c r="E548" s="1536"/>
      <c r="F548" s="1536"/>
      <c r="G548" s="1536"/>
      <c r="H548" s="1536"/>
      <c r="I548" s="1536"/>
    </row>
    <row r="549" spans="3:9" ht="13.5" customHeight="1">
      <c r="C549" s="1536"/>
      <c r="D549" s="1536"/>
      <c r="E549" s="1536"/>
      <c r="F549" s="1536"/>
      <c r="G549" s="1536"/>
      <c r="H549" s="1536"/>
      <c r="I549" s="1536"/>
    </row>
    <row r="550" spans="3:9" ht="13.5" customHeight="1">
      <c r="C550" s="1536"/>
      <c r="D550" s="1536"/>
      <c r="E550" s="1536"/>
      <c r="F550" s="1536"/>
      <c r="G550" s="1536"/>
      <c r="H550" s="1536"/>
      <c r="I550" s="1536"/>
    </row>
    <row r="551" spans="3:9" ht="13.5" customHeight="1">
      <c r="C551" s="1536"/>
      <c r="D551" s="1536"/>
      <c r="E551" s="1536"/>
      <c r="F551" s="1536"/>
      <c r="G551" s="1536"/>
      <c r="H551" s="1536"/>
      <c r="I551" s="1536"/>
    </row>
    <row r="552" spans="3:9" ht="13.5" customHeight="1">
      <c r="C552" s="1536"/>
      <c r="D552" s="1536"/>
      <c r="E552" s="1536"/>
      <c r="F552" s="1536"/>
      <c r="G552" s="1536"/>
      <c r="H552" s="1536"/>
      <c r="I552" s="1536"/>
    </row>
    <row r="553" spans="3:9" ht="13.5" customHeight="1">
      <c r="C553" s="1536"/>
      <c r="D553" s="1536"/>
      <c r="E553" s="1536"/>
      <c r="F553" s="1536"/>
      <c r="G553" s="1536"/>
      <c r="H553" s="1536"/>
      <c r="I553" s="1536"/>
    </row>
    <row r="554" spans="3:9" ht="13.5" customHeight="1">
      <c r="C554" s="1536"/>
      <c r="D554" s="1536"/>
      <c r="E554" s="1536"/>
      <c r="F554" s="1536"/>
      <c r="G554" s="1536"/>
      <c r="H554" s="1536"/>
      <c r="I554" s="1536"/>
    </row>
    <row r="555" spans="3:9" ht="13.5" customHeight="1">
      <c r="C555" s="1536"/>
      <c r="D555" s="1536"/>
      <c r="E555" s="1536"/>
      <c r="F555" s="1536"/>
      <c r="G555" s="1536"/>
      <c r="H555" s="1536"/>
      <c r="I555" s="1536"/>
    </row>
    <row r="556" spans="3:9" ht="13.5" customHeight="1">
      <c r="C556" s="1536"/>
      <c r="D556" s="1536"/>
      <c r="E556" s="1536"/>
      <c r="F556" s="1536"/>
      <c r="G556" s="1536"/>
      <c r="H556" s="1536"/>
      <c r="I556" s="1536"/>
    </row>
    <row r="557" spans="3:9" ht="13.5" customHeight="1">
      <c r="C557" s="1536"/>
      <c r="D557" s="1536"/>
      <c r="E557" s="1536"/>
      <c r="F557" s="1536"/>
      <c r="G557" s="1536"/>
      <c r="H557" s="1536"/>
      <c r="I557" s="1536"/>
    </row>
    <row r="558" spans="3:9" ht="13.5" customHeight="1">
      <c r="C558" s="1536"/>
      <c r="D558" s="1536"/>
      <c r="E558" s="1536"/>
      <c r="F558" s="1536"/>
      <c r="G558" s="1536"/>
      <c r="H558" s="1536"/>
      <c r="I558" s="1536"/>
    </row>
    <row r="559" spans="3:9" ht="13.5" customHeight="1">
      <c r="C559" s="1536"/>
      <c r="D559" s="1536"/>
      <c r="E559" s="1536"/>
      <c r="F559" s="1536"/>
      <c r="G559" s="1536"/>
      <c r="H559" s="1536"/>
      <c r="I559" s="1536"/>
    </row>
    <row r="560" spans="3:9" ht="13.5" customHeight="1">
      <c r="C560" s="1536"/>
      <c r="D560" s="1536"/>
      <c r="E560" s="1536"/>
      <c r="F560" s="1536"/>
      <c r="G560" s="1536"/>
      <c r="H560" s="1536"/>
      <c r="I560" s="1536"/>
    </row>
    <row r="561" spans="3:9" ht="13.5" customHeight="1">
      <c r="C561" s="1536"/>
      <c r="D561" s="1536"/>
      <c r="E561" s="1536"/>
      <c r="F561" s="1536"/>
      <c r="G561" s="1536"/>
      <c r="H561" s="1536"/>
      <c r="I561" s="1536"/>
    </row>
    <row r="562" spans="3:9" ht="13.5" customHeight="1">
      <c r="C562" s="1536"/>
      <c r="D562" s="1536"/>
      <c r="E562" s="1536"/>
      <c r="F562" s="1536"/>
      <c r="G562" s="1536"/>
      <c r="H562" s="1536"/>
      <c r="I562" s="1536"/>
    </row>
    <row r="563" spans="3:9" ht="13.5" customHeight="1">
      <c r="C563" s="1536"/>
      <c r="D563" s="1536"/>
      <c r="E563" s="1536"/>
      <c r="F563" s="1536"/>
      <c r="G563" s="1536"/>
      <c r="H563" s="1536"/>
      <c r="I563" s="1536"/>
    </row>
    <row r="564" spans="3:9" ht="13.5" customHeight="1">
      <c r="C564" s="1536"/>
      <c r="D564" s="1536"/>
      <c r="E564" s="1536"/>
      <c r="F564" s="1536"/>
      <c r="G564" s="1536"/>
      <c r="H564" s="1536"/>
      <c r="I564" s="1536"/>
    </row>
    <row r="565" spans="3:9" ht="13.5" customHeight="1">
      <c r="C565" s="1536"/>
      <c r="D565" s="1536"/>
      <c r="E565" s="1536"/>
      <c r="F565" s="1536"/>
      <c r="G565" s="1536"/>
      <c r="H565" s="1536"/>
      <c r="I565" s="1536"/>
    </row>
    <row r="566" spans="3:9" ht="13.5" customHeight="1">
      <c r="C566" s="1536"/>
      <c r="D566" s="1536"/>
      <c r="E566" s="1536"/>
      <c r="F566" s="1536"/>
      <c r="G566" s="1536"/>
      <c r="H566" s="1536"/>
      <c r="I566" s="1536"/>
    </row>
    <row r="567" spans="3:9" ht="13.5" customHeight="1">
      <c r="C567" s="1536"/>
      <c r="D567" s="1536"/>
      <c r="E567" s="1536"/>
      <c r="F567" s="1536"/>
      <c r="G567" s="1536"/>
      <c r="H567" s="1536"/>
      <c r="I567" s="1536"/>
    </row>
    <row r="568" spans="3:9" ht="13.5" customHeight="1">
      <c r="C568" s="1536"/>
      <c r="D568" s="1536"/>
      <c r="E568" s="1536"/>
      <c r="F568" s="1536"/>
      <c r="G568" s="1536"/>
      <c r="H568" s="1536"/>
      <c r="I568" s="1536"/>
    </row>
    <row r="569" spans="3:9" ht="13.5" customHeight="1">
      <c r="C569" s="1536"/>
      <c r="D569" s="1536"/>
      <c r="E569" s="1536"/>
      <c r="F569" s="1536"/>
      <c r="G569" s="1536"/>
      <c r="H569" s="1536"/>
      <c r="I569" s="1536"/>
    </row>
    <row r="570" spans="3:9" ht="13.5" customHeight="1">
      <c r="C570" s="1536"/>
      <c r="D570" s="1536"/>
      <c r="E570" s="1536"/>
      <c r="F570" s="1536"/>
      <c r="G570" s="1536"/>
      <c r="H570" s="1536"/>
      <c r="I570" s="1536"/>
    </row>
    <row r="571" spans="3:9" ht="13.5" customHeight="1">
      <c r="C571" s="1536"/>
      <c r="D571" s="1536"/>
      <c r="E571" s="1536"/>
      <c r="F571" s="1536"/>
      <c r="G571" s="1536"/>
      <c r="H571" s="1536"/>
      <c r="I571" s="1536"/>
    </row>
    <row r="572" spans="3:9" ht="13.5" customHeight="1">
      <c r="C572" s="1536"/>
      <c r="D572" s="1536"/>
      <c r="E572" s="1536"/>
      <c r="F572" s="1536"/>
      <c r="G572" s="1536"/>
      <c r="H572" s="1536"/>
      <c r="I572" s="1536"/>
    </row>
    <row r="573" spans="3:9" ht="13.5" customHeight="1">
      <c r="C573" s="1536"/>
      <c r="D573" s="1536"/>
      <c r="E573" s="1536"/>
      <c r="F573" s="1536"/>
      <c r="G573" s="1536"/>
      <c r="H573" s="1536"/>
      <c r="I573" s="1536"/>
    </row>
    <row r="574" spans="3:9" ht="13.5" customHeight="1">
      <c r="C574" s="1536"/>
      <c r="D574" s="1536"/>
      <c r="E574" s="1536"/>
      <c r="F574" s="1536"/>
      <c r="G574" s="1536"/>
      <c r="H574" s="1536"/>
      <c r="I574" s="1536"/>
    </row>
    <row r="575" spans="3:9" ht="13.5" customHeight="1">
      <c r="C575" s="1536"/>
      <c r="D575" s="1536"/>
      <c r="E575" s="1536"/>
      <c r="F575" s="1536"/>
      <c r="G575" s="1536"/>
      <c r="H575" s="1536"/>
      <c r="I575" s="1536"/>
    </row>
    <row r="576" spans="3:9" ht="13.5" customHeight="1">
      <c r="C576" s="1536"/>
      <c r="D576" s="1536"/>
      <c r="E576" s="1536"/>
      <c r="F576" s="1536"/>
      <c r="G576" s="1536"/>
      <c r="H576" s="1536"/>
      <c r="I576" s="1536"/>
    </row>
    <row r="577" spans="3:9" ht="13.5" customHeight="1">
      <c r="C577" s="1536"/>
      <c r="D577" s="1536"/>
      <c r="E577" s="1536"/>
      <c r="F577" s="1536"/>
      <c r="G577" s="1536"/>
      <c r="H577" s="1536"/>
      <c r="I577" s="1536"/>
    </row>
    <row r="578" spans="3:9" ht="13.5" customHeight="1">
      <c r="C578" s="1536"/>
      <c r="D578" s="1536"/>
      <c r="E578" s="1536"/>
      <c r="F578" s="1536"/>
      <c r="G578" s="1536"/>
      <c r="H578" s="1536"/>
      <c r="I578" s="1536"/>
    </row>
    <row r="579" spans="3:9" ht="13.5" customHeight="1">
      <c r="C579" s="1536"/>
      <c r="D579" s="1536"/>
      <c r="E579" s="1536"/>
      <c r="F579" s="1536"/>
      <c r="G579" s="1536"/>
      <c r="H579" s="1536"/>
      <c r="I579" s="1536"/>
    </row>
    <row r="580" spans="3:9" ht="13.5" customHeight="1">
      <c r="C580" s="1536"/>
      <c r="D580" s="1536"/>
      <c r="E580" s="1536"/>
      <c r="F580" s="1536"/>
      <c r="G580" s="1536"/>
      <c r="H580" s="1536"/>
      <c r="I580" s="1536"/>
    </row>
    <row r="581" spans="3:9" ht="13.5" customHeight="1">
      <c r="C581" s="1536"/>
      <c r="D581" s="1536"/>
      <c r="E581" s="1536"/>
      <c r="F581" s="1536"/>
      <c r="G581" s="1536"/>
      <c r="H581" s="1536"/>
      <c r="I581" s="1536"/>
    </row>
    <row r="582" spans="3:9" ht="13.5" customHeight="1">
      <c r="C582" s="1536"/>
      <c r="D582" s="1536"/>
      <c r="E582" s="1536"/>
      <c r="F582" s="1536"/>
      <c r="G582" s="1536"/>
      <c r="H582" s="1536"/>
      <c r="I582" s="1536"/>
    </row>
    <row r="583" spans="3:9" ht="13.5" customHeight="1">
      <c r="C583" s="1536"/>
      <c r="D583" s="1536"/>
      <c r="E583" s="1536"/>
      <c r="F583" s="1536"/>
      <c r="G583" s="1536"/>
      <c r="H583" s="1536"/>
      <c r="I583" s="1536"/>
    </row>
    <row r="584" spans="3:9" ht="13.5" customHeight="1">
      <c r="C584" s="1536"/>
      <c r="D584" s="1536"/>
      <c r="E584" s="1536"/>
      <c r="F584" s="1536"/>
      <c r="G584" s="1536"/>
      <c r="H584" s="1536"/>
      <c r="I584" s="1536"/>
    </row>
    <row r="585" spans="3:9" ht="13.5" customHeight="1">
      <c r="C585" s="1536"/>
      <c r="D585" s="1536"/>
      <c r="E585" s="1536"/>
      <c r="F585" s="1536"/>
      <c r="G585" s="1536"/>
      <c r="H585" s="1536"/>
      <c r="I585" s="1536"/>
    </row>
    <row r="586" spans="3:9" ht="13.5" customHeight="1">
      <c r="C586" s="1536"/>
      <c r="D586" s="1536"/>
      <c r="E586" s="1536"/>
      <c r="F586" s="1536"/>
      <c r="G586" s="1536"/>
      <c r="H586" s="1536"/>
      <c r="I586" s="1536"/>
    </row>
    <row r="587" spans="3:9" ht="13.5" customHeight="1">
      <c r="C587" s="1536"/>
      <c r="D587" s="1536"/>
      <c r="E587" s="1536"/>
      <c r="F587" s="1536"/>
      <c r="G587" s="1536"/>
      <c r="H587" s="1536"/>
      <c r="I587" s="1536"/>
    </row>
    <row r="588" spans="3:9" ht="13.5" customHeight="1">
      <c r="C588" s="1536"/>
      <c r="D588" s="1536"/>
      <c r="E588" s="1536"/>
      <c r="F588" s="1536"/>
      <c r="G588" s="1536"/>
      <c r="H588" s="1536"/>
      <c r="I588" s="1536"/>
    </row>
    <row r="589" spans="3:9" ht="13.5" customHeight="1">
      <c r="C589" s="1536"/>
      <c r="D589" s="1536"/>
      <c r="E589" s="1536"/>
      <c r="F589" s="1536"/>
      <c r="G589" s="1536"/>
      <c r="H589" s="1536"/>
      <c r="I589" s="1536"/>
    </row>
    <row r="590" spans="3:9" ht="13.5" customHeight="1">
      <c r="C590" s="1536"/>
      <c r="D590" s="1536"/>
      <c r="E590" s="1536"/>
      <c r="F590" s="1536"/>
      <c r="G590" s="1536"/>
      <c r="H590" s="1536"/>
      <c r="I590" s="1536"/>
    </row>
    <row r="591" spans="3:9" ht="13.5" customHeight="1">
      <c r="C591" s="1536"/>
      <c r="D591" s="1536"/>
      <c r="E591" s="1536"/>
      <c r="F591" s="1536"/>
      <c r="G591" s="1536"/>
      <c r="H591" s="1536"/>
      <c r="I591" s="1536"/>
    </row>
    <row r="592" spans="3:9" ht="13.5" customHeight="1">
      <c r="C592" s="1536"/>
      <c r="D592" s="1536"/>
      <c r="E592" s="1536"/>
      <c r="F592" s="1536"/>
      <c r="G592" s="1536"/>
      <c r="H592" s="1536"/>
      <c r="I592" s="1536"/>
    </row>
    <row r="593" spans="3:9" ht="13.5" customHeight="1">
      <c r="C593" s="1536"/>
      <c r="D593" s="1536"/>
      <c r="E593" s="1536"/>
      <c r="F593" s="1536"/>
      <c r="G593" s="1536"/>
      <c r="H593" s="1536"/>
      <c r="I593" s="1536"/>
    </row>
    <row r="594" spans="3:9" ht="13.5" customHeight="1">
      <c r="C594" s="1536"/>
      <c r="D594" s="1536"/>
      <c r="E594" s="1536"/>
      <c r="F594" s="1536"/>
      <c r="G594" s="1536"/>
      <c r="H594" s="1536"/>
      <c r="I594" s="1536"/>
    </row>
    <row r="595" spans="3:9" ht="13.5" customHeight="1">
      <c r="C595" s="1536"/>
      <c r="D595" s="1536"/>
      <c r="E595" s="1536"/>
      <c r="F595" s="1536"/>
      <c r="G595" s="1536"/>
      <c r="H595" s="1536"/>
      <c r="I595" s="1536"/>
    </row>
    <row r="596" spans="3:9" ht="13.5" customHeight="1">
      <c r="C596" s="1536"/>
      <c r="D596" s="1536"/>
      <c r="E596" s="1536"/>
      <c r="F596" s="1536"/>
      <c r="G596" s="1536"/>
      <c r="H596" s="1536"/>
      <c r="I596" s="1536"/>
    </row>
    <row r="597" spans="3:9" ht="13.5" customHeight="1">
      <c r="C597" s="1536"/>
      <c r="D597" s="1536"/>
      <c r="E597" s="1536"/>
      <c r="F597" s="1536"/>
      <c r="G597" s="1536"/>
      <c r="H597" s="1536"/>
      <c r="I597" s="1536"/>
    </row>
    <row r="598" spans="3:9" ht="13.5" customHeight="1">
      <c r="C598" s="1536"/>
      <c r="D598" s="1536"/>
      <c r="E598" s="1536"/>
      <c r="F598" s="1536"/>
      <c r="G598" s="1536"/>
      <c r="H598" s="1536"/>
      <c r="I598" s="1536"/>
    </row>
    <row r="599" spans="3:9" ht="13.5" customHeight="1">
      <c r="C599" s="1536"/>
      <c r="D599" s="1536"/>
      <c r="E599" s="1536"/>
      <c r="F599" s="1536"/>
      <c r="G599" s="1536"/>
      <c r="H599" s="1536"/>
      <c r="I599" s="1536"/>
    </row>
    <row r="600" spans="3:9" ht="13.5" customHeight="1">
      <c r="C600" s="1536"/>
      <c r="D600" s="1536"/>
      <c r="E600" s="1536"/>
      <c r="F600" s="1536"/>
      <c r="G600" s="1536"/>
      <c r="H600" s="1536"/>
      <c r="I600" s="1536"/>
    </row>
    <row r="601" spans="3:9" ht="13.5" customHeight="1">
      <c r="C601" s="1536"/>
      <c r="D601" s="1536"/>
      <c r="E601" s="1536"/>
      <c r="F601" s="1536"/>
      <c r="G601" s="1536"/>
      <c r="H601" s="1536"/>
      <c r="I601" s="1536"/>
    </row>
    <row r="602" spans="3:9" ht="13.5" customHeight="1">
      <c r="C602" s="1536"/>
      <c r="D602" s="1536"/>
      <c r="E602" s="1536"/>
      <c r="F602" s="1536"/>
      <c r="G602" s="1536"/>
      <c r="H602" s="1536"/>
      <c r="I602" s="1536"/>
    </row>
    <row r="603" spans="3:9" ht="13.5" customHeight="1">
      <c r="C603" s="1536"/>
      <c r="D603" s="1536"/>
      <c r="E603" s="1536"/>
      <c r="F603" s="1536"/>
      <c r="G603" s="1536"/>
      <c r="H603" s="1536"/>
      <c r="I603" s="1536"/>
    </row>
    <row r="604" spans="3:9" ht="13.5" customHeight="1">
      <c r="C604" s="1536"/>
      <c r="D604" s="1536"/>
      <c r="E604" s="1536"/>
      <c r="F604" s="1536"/>
      <c r="G604" s="1536"/>
      <c r="H604" s="1536"/>
      <c r="I604" s="1536"/>
    </row>
    <row r="605" spans="3:9" ht="13.5" customHeight="1">
      <c r="C605" s="1536"/>
      <c r="D605" s="1536"/>
      <c r="E605" s="1536"/>
      <c r="F605" s="1536"/>
      <c r="G605" s="1536"/>
      <c r="H605" s="1536"/>
      <c r="I605" s="1536"/>
    </row>
    <row r="606" spans="3:9" ht="13.5" customHeight="1">
      <c r="C606" s="1536"/>
      <c r="D606" s="1536"/>
      <c r="E606" s="1536"/>
      <c r="F606" s="1536"/>
      <c r="G606" s="1536"/>
      <c r="H606" s="1536"/>
      <c r="I606" s="1536"/>
    </row>
    <row r="607" spans="3:9" ht="13.5" customHeight="1">
      <c r="C607" s="1536"/>
      <c r="D607" s="1536"/>
      <c r="E607" s="1536"/>
      <c r="F607" s="1536"/>
      <c r="G607" s="1536"/>
      <c r="H607" s="1536"/>
      <c r="I607" s="1536"/>
    </row>
    <row r="608" spans="3:9" ht="13.5" customHeight="1">
      <c r="C608" s="1536"/>
      <c r="D608" s="1536"/>
      <c r="E608" s="1536"/>
      <c r="F608" s="1536"/>
      <c r="G608" s="1536"/>
      <c r="H608" s="1536"/>
      <c r="I608" s="1536"/>
    </row>
    <row r="609" spans="3:9" ht="13.5" customHeight="1">
      <c r="C609" s="1536"/>
      <c r="D609" s="1536"/>
      <c r="E609" s="1536"/>
      <c r="F609" s="1536"/>
      <c r="G609" s="1536"/>
      <c r="H609" s="1536"/>
      <c r="I609" s="1536"/>
    </row>
    <row r="610" spans="3:9" ht="13.5" customHeight="1">
      <c r="C610" s="1536"/>
      <c r="D610" s="1536"/>
      <c r="E610" s="1536"/>
      <c r="F610" s="1536"/>
      <c r="G610" s="1536"/>
      <c r="H610" s="1536"/>
      <c r="I610" s="1536"/>
    </row>
    <row r="611" spans="3:9" ht="13.5" customHeight="1">
      <c r="C611" s="1536"/>
      <c r="D611" s="1536"/>
      <c r="E611" s="1536"/>
      <c r="F611" s="1536"/>
      <c r="G611" s="1536"/>
      <c r="H611" s="1536"/>
      <c r="I611" s="1536"/>
    </row>
    <row r="612" spans="3:9" ht="13.5" customHeight="1">
      <c r="C612" s="1536"/>
      <c r="D612" s="1536"/>
      <c r="E612" s="1536"/>
      <c r="F612" s="1536"/>
      <c r="G612" s="1536"/>
      <c r="H612" s="1536"/>
      <c r="I612" s="1536"/>
    </row>
    <row r="613" spans="3:9" ht="13.5" customHeight="1">
      <c r="C613" s="1536"/>
      <c r="D613" s="1536"/>
      <c r="E613" s="1536"/>
      <c r="F613" s="1536"/>
      <c r="G613" s="1536"/>
      <c r="H613" s="1536"/>
      <c r="I613" s="1536"/>
    </row>
    <row r="614" spans="3:9" ht="13.5" customHeight="1">
      <c r="C614" s="1536"/>
      <c r="D614" s="1536"/>
      <c r="E614" s="1536"/>
      <c r="F614" s="1536"/>
      <c r="G614" s="1536"/>
      <c r="H614" s="1536"/>
      <c r="I614" s="1536"/>
    </row>
    <row r="615" spans="3:9" ht="13.5" customHeight="1">
      <c r="C615" s="1536"/>
      <c r="D615" s="1536"/>
      <c r="E615" s="1536"/>
      <c r="F615" s="1536"/>
      <c r="G615" s="1536"/>
      <c r="H615" s="1536"/>
      <c r="I615" s="1536"/>
    </row>
    <row r="616" spans="3:9" ht="13.5" customHeight="1">
      <c r="C616" s="1536"/>
      <c r="D616" s="1536"/>
      <c r="E616" s="1536"/>
      <c r="F616" s="1536"/>
      <c r="G616" s="1536"/>
      <c r="H616" s="1536"/>
      <c r="I616" s="1536"/>
    </row>
    <row r="617" spans="3:9" ht="13.5" customHeight="1">
      <c r="C617" s="1536"/>
      <c r="D617" s="1536"/>
      <c r="E617" s="1536"/>
      <c r="F617" s="1536"/>
      <c r="G617" s="1536"/>
      <c r="H617" s="1536"/>
      <c r="I617" s="1536"/>
    </row>
    <row r="618" spans="3:9" ht="13.5" customHeight="1">
      <c r="C618" s="1536"/>
      <c r="D618" s="1536"/>
      <c r="E618" s="1536"/>
      <c r="F618" s="1536"/>
      <c r="G618" s="1536"/>
      <c r="H618" s="1536"/>
      <c r="I618" s="1536"/>
    </row>
    <row r="619" spans="3:9" ht="13.5" customHeight="1">
      <c r="C619" s="1536"/>
      <c r="D619" s="1536"/>
      <c r="E619" s="1536"/>
      <c r="F619" s="1536"/>
      <c r="G619" s="1536"/>
      <c r="H619" s="1536"/>
      <c r="I619" s="1536"/>
    </row>
    <row r="620" spans="3:9" ht="13.5" customHeight="1">
      <c r="C620" s="1536"/>
      <c r="D620" s="1536"/>
      <c r="E620" s="1536"/>
      <c r="F620" s="1536"/>
      <c r="G620" s="1536"/>
      <c r="H620" s="1536"/>
      <c r="I620" s="1536"/>
    </row>
    <row r="621" spans="3:9" ht="13.5" customHeight="1">
      <c r="C621" s="1536"/>
      <c r="D621" s="1536"/>
      <c r="E621" s="1536"/>
      <c r="F621" s="1536"/>
      <c r="G621" s="1536"/>
      <c r="H621" s="1536"/>
      <c r="I621" s="1536"/>
    </row>
    <row r="622" spans="3:9" ht="13.5" customHeight="1">
      <c r="C622" s="1536"/>
      <c r="D622" s="1536"/>
      <c r="E622" s="1536"/>
      <c r="F622" s="1536"/>
      <c r="G622" s="1536"/>
      <c r="H622" s="1536"/>
      <c r="I622" s="1536"/>
    </row>
    <row r="623" spans="3:9" ht="13.5" customHeight="1">
      <c r="C623" s="1536"/>
      <c r="D623" s="1536"/>
      <c r="E623" s="1536"/>
      <c r="F623" s="1536"/>
      <c r="G623" s="1536"/>
      <c r="H623" s="1536"/>
      <c r="I623" s="1536"/>
    </row>
    <row r="624" spans="3:9" ht="13.5" customHeight="1">
      <c r="C624" s="1536"/>
      <c r="D624" s="1536"/>
      <c r="E624" s="1536"/>
      <c r="F624" s="1536"/>
      <c r="G624" s="1536"/>
      <c r="H624" s="1536"/>
      <c r="I624" s="1536"/>
    </row>
    <row r="625" spans="3:9" ht="13.5" customHeight="1">
      <c r="C625" s="1536"/>
      <c r="D625" s="1536"/>
      <c r="E625" s="1536"/>
      <c r="F625" s="1536"/>
      <c r="G625" s="1536"/>
      <c r="H625" s="1536"/>
      <c r="I625" s="1536"/>
    </row>
    <row r="626" spans="3:9" ht="13.5" customHeight="1">
      <c r="C626" s="1536"/>
      <c r="D626" s="1536"/>
      <c r="E626" s="1536"/>
      <c r="F626" s="1536"/>
      <c r="G626" s="1536"/>
      <c r="H626" s="1536"/>
      <c r="I626" s="1536"/>
    </row>
    <row r="627" spans="3:9" ht="13.5" customHeight="1">
      <c r="C627" s="1536"/>
      <c r="D627" s="1536"/>
      <c r="E627" s="1536"/>
      <c r="F627" s="1536"/>
      <c r="G627" s="1536"/>
      <c r="H627" s="1536"/>
      <c r="I627" s="1536"/>
    </row>
    <row r="628" spans="3:9" ht="13.5" customHeight="1">
      <c r="C628" s="1536"/>
      <c r="D628" s="1536"/>
      <c r="E628" s="1536"/>
      <c r="F628" s="1536"/>
      <c r="G628" s="1536"/>
      <c r="H628" s="1536"/>
      <c r="I628" s="1536"/>
    </row>
    <row r="629" spans="3:9" ht="13.5" customHeight="1">
      <c r="C629" s="1536"/>
      <c r="D629" s="1536"/>
      <c r="E629" s="1536"/>
      <c r="F629" s="1536"/>
      <c r="G629" s="1536"/>
      <c r="H629" s="1536"/>
      <c r="I629" s="1536"/>
    </row>
    <row r="630" spans="3:9" ht="13.5" customHeight="1">
      <c r="C630" s="1536"/>
      <c r="D630" s="1536"/>
      <c r="E630" s="1536"/>
      <c r="F630" s="1536"/>
      <c r="G630" s="1536"/>
      <c r="H630" s="1536"/>
      <c r="I630" s="1536"/>
    </row>
    <row r="631" spans="3:9" ht="13.5" customHeight="1">
      <c r="C631" s="1536"/>
      <c r="D631" s="1536"/>
      <c r="E631" s="1536"/>
      <c r="F631" s="1536"/>
      <c r="G631" s="1536"/>
      <c r="H631" s="1536"/>
      <c r="I631" s="1536"/>
    </row>
    <row r="632" spans="3:9" ht="13.5" customHeight="1">
      <c r="C632" s="1536"/>
      <c r="D632" s="1536"/>
      <c r="E632" s="1536"/>
      <c r="F632" s="1536"/>
      <c r="G632" s="1536"/>
      <c r="H632" s="1536"/>
      <c r="I632" s="1536"/>
    </row>
    <row r="633" spans="3:9" ht="13.5" customHeight="1">
      <c r="C633" s="1536"/>
      <c r="D633" s="1536"/>
      <c r="E633" s="1536"/>
      <c r="F633" s="1536"/>
      <c r="G633" s="1536"/>
      <c r="H633" s="1536"/>
      <c r="I633" s="1536"/>
    </row>
    <row r="634" spans="3:9" ht="13.5" customHeight="1">
      <c r="C634" s="1536"/>
      <c r="D634" s="1536"/>
      <c r="E634" s="1536"/>
      <c r="F634" s="1536"/>
      <c r="G634" s="1536"/>
      <c r="H634" s="1536"/>
      <c r="I634" s="1536"/>
    </row>
    <row r="635" spans="3:9" ht="13.5" customHeight="1">
      <c r="C635" s="1536"/>
      <c r="D635" s="1536"/>
      <c r="E635" s="1536"/>
      <c r="F635" s="1536"/>
      <c r="G635" s="1536"/>
      <c r="H635" s="1536"/>
      <c r="I635" s="1536"/>
    </row>
    <row r="636" spans="3:9" ht="13.5" customHeight="1">
      <c r="C636" s="1536"/>
      <c r="D636" s="1536"/>
      <c r="E636" s="1536"/>
      <c r="F636" s="1536"/>
      <c r="G636" s="1536"/>
      <c r="H636" s="1536"/>
      <c r="I636" s="1536"/>
    </row>
    <row r="637" spans="3:9" ht="13.5" customHeight="1">
      <c r="C637" s="1536"/>
      <c r="D637" s="1536"/>
      <c r="E637" s="1536"/>
      <c r="F637" s="1536"/>
      <c r="G637" s="1536"/>
      <c r="H637" s="1536"/>
      <c r="I637" s="1536"/>
    </row>
    <row r="638" spans="3:9" ht="13.5" customHeight="1">
      <c r="C638" s="1536"/>
      <c r="D638" s="1536"/>
      <c r="E638" s="1536"/>
      <c r="F638" s="1536"/>
      <c r="G638" s="1536"/>
      <c r="H638" s="1536"/>
      <c r="I638" s="1536"/>
    </row>
    <row r="639" spans="3:9" ht="13.5" customHeight="1">
      <c r="C639" s="1536"/>
      <c r="D639" s="1536"/>
      <c r="E639" s="1536"/>
      <c r="F639" s="1536"/>
      <c r="G639" s="1536"/>
      <c r="H639" s="1536"/>
      <c r="I639" s="1536"/>
    </row>
    <row r="640" spans="3:9" ht="13.5" customHeight="1">
      <c r="C640" s="1536"/>
      <c r="D640" s="1536"/>
      <c r="E640" s="1536"/>
      <c r="F640" s="1536"/>
      <c r="G640" s="1536"/>
      <c r="H640" s="1536"/>
      <c r="I640" s="1536"/>
    </row>
    <row r="641" spans="3:9" ht="13.5" customHeight="1">
      <c r="C641" s="1536"/>
      <c r="D641" s="1536"/>
      <c r="E641" s="1536"/>
      <c r="F641" s="1536"/>
      <c r="G641" s="1536"/>
      <c r="H641" s="1536"/>
      <c r="I641" s="1536"/>
    </row>
    <row r="642" spans="3:9" ht="13.5" customHeight="1">
      <c r="C642" s="1536"/>
      <c r="D642" s="1536"/>
      <c r="E642" s="1536"/>
      <c r="F642" s="1536"/>
      <c r="G642" s="1536"/>
      <c r="H642" s="1536"/>
      <c r="I642" s="1536"/>
    </row>
    <row r="643" spans="3:9" ht="13.5" customHeight="1">
      <c r="C643" s="1536"/>
      <c r="D643" s="1536"/>
      <c r="E643" s="1536"/>
      <c r="F643" s="1536"/>
      <c r="G643" s="1536"/>
      <c r="H643" s="1536"/>
      <c r="I643" s="1536"/>
    </row>
    <row r="644" spans="3:9" ht="13.5" customHeight="1">
      <c r="C644" s="1536"/>
      <c r="D644" s="1536"/>
      <c r="E644" s="1536"/>
      <c r="F644" s="1536"/>
      <c r="G644" s="1536"/>
      <c r="H644" s="1536"/>
      <c r="I644" s="1536"/>
    </row>
    <row r="645" spans="3:9" ht="13.5" customHeight="1">
      <c r="C645" s="1536"/>
      <c r="D645" s="1536"/>
      <c r="E645" s="1536"/>
      <c r="F645" s="1536"/>
      <c r="G645" s="1536"/>
      <c r="H645" s="1536"/>
      <c r="I645" s="1536"/>
    </row>
    <row r="646" spans="3:9" ht="13.5" customHeight="1">
      <c r="C646" s="1536"/>
      <c r="D646" s="1536"/>
      <c r="E646" s="1536"/>
      <c r="F646" s="1536"/>
      <c r="G646" s="1536"/>
      <c r="H646" s="1536"/>
      <c r="I646" s="1536"/>
    </row>
    <row r="647" spans="3:9" ht="13.5" customHeight="1">
      <c r="C647" s="1536"/>
      <c r="D647" s="1536"/>
      <c r="E647" s="1536"/>
      <c r="F647" s="1536"/>
      <c r="G647" s="1536"/>
      <c r="H647" s="1536"/>
      <c r="I647" s="1536"/>
    </row>
    <row r="648" spans="3:9" ht="13.5" customHeight="1">
      <c r="C648" s="1536"/>
      <c r="D648" s="1536"/>
      <c r="E648" s="1536"/>
      <c r="F648" s="1536"/>
      <c r="G648" s="1536"/>
      <c r="H648" s="1536"/>
      <c r="I648" s="1536"/>
    </row>
    <row r="649" spans="3:9" ht="13.5" customHeight="1">
      <c r="C649" s="1536"/>
      <c r="D649" s="1536"/>
      <c r="E649" s="1536"/>
      <c r="F649" s="1536"/>
      <c r="G649" s="1536"/>
      <c r="H649" s="1536"/>
      <c r="I649" s="1536"/>
    </row>
    <row r="650" spans="3:9" ht="13.5" customHeight="1">
      <c r="C650" s="1536"/>
      <c r="D650" s="1536"/>
      <c r="E650" s="1536"/>
      <c r="F650" s="1536"/>
      <c r="G650" s="1536"/>
      <c r="H650" s="1536"/>
      <c r="I650" s="1536"/>
    </row>
    <row r="651" spans="3:9" ht="13.5" customHeight="1">
      <c r="C651" s="1536"/>
      <c r="D651" s="1536"/>
      <c r="E651" s="1536"/>
      <c r="F651" s="1536"/>
      <c r="G651" s="1536"/>
      <c r="H651" s="1536"/>
      <c r="I651" s="1536"/>
    </row>
    <row r="652" spans="3:9" ht="13.5" customHeight="1">
      <c r="C652" s="1536"/>
      <c r="D652" s="1536"/>
      <c r="E652" s="1536"/>
      <c r="F652" s="1536"/>
      <c r="G652" s="1536"/>
      <c r="H652" s="1536"/>
      <c r="I652" s="1536"/>
    </row>
    <row r="653" spans="3:9" ht="13.5" customHeight="1">
      <c r="C653" s="1536"/>
      <c r="D653" s="1536"/>
      <c r="E653" s="1536"/>
      <c r="F653" s="1536"/>
      <c r="G653" s="1536"/>
      <c r="H653" s="1536"/>
      <c r="I653" s="1536"/>
    </row>
    <row r="654" spans="3:9" ht="13.5" customHeight="1">
      <c r="C654" s="1536"/>
      <c r="D654" s="1536"/>
      <c r="E654" s="1536"/>
      <c r="F654" s="1536"/>
      <c r="G654" s="1536"/>
      <c r="H654" s="1536"/>
      <c r="I654" s="1536"/>
    </row>
    <row r="655" spans="3:9" ht="13.5" customHeight="1">
      <c r="C655" s="1536"/>
      <c r="D655" s="1536"/>
      <c r="E655" s="1536"/>
      <c r="F655" s="1536"/>
      <c r="G655" s="1536"/>
      <c r="H655" s="1536"/>
      <c r="I655" s="1536"/>
    </row>
    <row r="656" spans="3:9" ht="13.5" customHeight="1">
      <c r="C656" s="1536"/>
      <c r="D656" s="1536"/>
      <c r="E656" s="1536"/>
      <c r="F656" s="1536"/>
      <c r="G656" s="1536"/>
      <c r="H656" s="1536"/>
      <c r="I656" s="1536"/>
    </row>
    <row r="657" spans="3:9" ht="13.5" customHeight="1">
      <c r="C657" s="1536"/>
      <c r="D657" s="1536"/>
      <c r="E657" s="1536"/>
      <c r="F657" s="1536"/>
      <c r="G657" s="1536"/>
      <c r="H657" s="1536"/>
      <c r="I657" s="1536"/>
    </row>
    <row r="658" spans="3:9" ht="13.5" customHeight="1">
      <c r="C658" s="1536"/>
      <c r="D658" s="1536"/>
      <c r="E658" s="1536"/>
      <c r="F658" s="1536"/>
      <c r="G658" s="1536"/>
      <c r="H658" s="1536"/>
      <c r="I658" s="1536"/>
    </row>
    <row r="659" spans="3:9" ht="13.5" customHeight="1">
      <c r="C659" s="1536"/>
      <c r="D659" s="1536"/>
      <c r="E659" s="1536"/>
      <c r="F659" s="1536"/>
      <c r="G659" s="1536"/>
      <c r="H659" s="1536"/>
      <c r="I659" s="1536"/>
    </row>
    <row r="660" spans="3:9" ht="13.5" customHeight="1">
      <c r="C660" s="1536"/>
      <c r="D660" s="1536"/>
      <c r="E660" s="1536"/>
      <c r="F660" s="1536"/>
      <c r="G660" s="1536"/>
      <c r="H660" s="1536"/>
      <c r="I660" s="1536"/>
    </row>
    <row r="661" spans="3:9" ht="13.5" customHeight="1">
      <c r="C661" s="1536"/>
      <c r="D661" s="1536"/>
      <c r="E661" s="1536"/>
      <c r="F661" s="1536"/>
      <c r="G661" s="1536"/>
      <c r="H661" s="1536"/>
      <c r="I661" s="1536"/>
    </row>
    <row r="662" spans="3:9" ht="13.5" customHeight="1">
      <c r="C662" s="1536"/>
      <c r="D662" s="1536"/>
      <c r="E662" s="1536"/>
      <c r="F662" s="1536"/>
      <c r="G662" s="1536"/>
      <c r="H662" s="1536"/>
      <c r="I662" s="1536"/>
    </row>
    <row r="663" spans="3:9" ht="13.5" customHeight="1">
      <c r="C663" s="1536"/>
      <c r="D663" s="1536"/>
      <c r="E663" s="1536"/>
      <c r="F663" s="1536"/>
      <c r="G663" s="1536"/>
      <c r="H663" s="1536"/>
      <c r="I663" s="1536"/>
    </row>
    <row r="664" spans="3:9" ht="13.5" customHeight="1">
      <c r="C664" s="1536"/>
      <c r="D664" s="1536"/>
      <c r="E664" s="1536"/>
      <c r="F664" s="1536"/>
      <c r="G664" s="1536"/>
      <c r="H664" s="1536"/>
      <c r="I664" s="1536"/>
    </row>
    <row r="665" spans="3:9" ht="13.5" customHeight="1">
      <c r="C665" s="1536"/>
      <c r="D665" s="1536"/>
      <c r="E665" s="1536"/>
      <c r="F665" s="1536"/>
      <c r="G665" s="1536"/>
      <c r="H665" s="1536"/>
      <c r="I665" s="1536"/>
    </row>
    <row r="666" spans="3:9" ht="13.5" customHeight="1">
      <c r="C666" s="1536"/>
      <c r="D666" s="1536"/>
      <c r="E666" s="1536"/>
      <c r="F666" s="1536"/>
      <c r="G666" s="1536"/>
      <c r="H666" s="1536"/>
      <c r="I666" s="1536"/>
    </row>
    <row r="667" spans="3:9" ht="13.5" customHeight="1">
      <c r="C667" s="1536"/>
      <c r="D667" s="1536"/>
      <c r="E667" s="1536"/>
      <c r="F667" s="1536"/>
      <c r="G667" s="1536"/>
      <c r="H667" s="1536"/>
      <c r="I667" s="1536"/>
    </row>
    <row r="668" spans="3:9" ht="13.5" customHeight="1">
      <c r="C668" s="1536"/>
      <c r="D668" s="1536"/>
      <c r="E668" s="1536"/>
      <c r="F668" s="1536"/>
      <c r="G668" s="1536"/>
      <c r="H668" s="1536"/>
      <c r="I668" s="1536"/>
    </row>
    <row r="669" spans="3:9" ht="13.5" customHeight="1">
      <c r="C669" s="1536"/>
      <c r="D669" s="1536"/>
      <c r="E669" s="1536"/>
      <c r="F669" s="1536"/>
      <c r="G669" s="1536"/>
      <c r="H669" s="1536"/>
      <c r="I669" s="1536"/>
    </row>
    <row r="670" spans="3:9" ht="13.5" customHeight="1">
      <c r="C670" s="1536"/>
      <c r="D670" s="1536"/>
      <c r="E670" s="1536"/>
      <c r="F670" s="1536"/>
      <c r="G670" s="1536"/>
      <c r="H670" s="1536"/>
      <c r="I670" s="1536"/>
    </row>
    <row r="671" spans="3:9" ht="13.5" customHeight="1">
      <c r="C671" s="1536"/>
      <c r="D671" s="1536"/>
      <c r="E671" s="1536"/>
      <c r="F671" s="1536"/>
      <c r="G671" s="1536"/>
      <c r="H671" s="1536"/>
      <c r="I671" s="1536"/>
    </row>
    <row r="672" spans="3:9" ht="13.5" customHeight="1">
      <c r="C672" s="1536"/>
      <c r="D672" s="1536"/>
      <c r="E672" s="1536"/>
      <c r="F672" s="1536"/>
      <c r="G672" s="1536"/>
      <c r="H672" s="1536"/>
      <c r="I672" s="1536"/>
    </row>
    <row r="673" spans="3:9" ht="13.5" customHeight="1">
      <c r="C673" s="1536"/>
      <c r="D673" s="1536"/>
      <c r="E673" s="1536"/>
      <c r="F673" s="1536"/>
      <c r="G673" s="1536"/>
      <c r="H673" s="1536"/>
      <c r="I673" s="1536"/>
    </row>
    <row r="674" spans="3:9" ht="13.5" customHeight="1">
      <c r="C674" s="1536"/>
      <c r="D674" s="1536"/>
      <c r="E674" s="1536"/>
      <c r="F674" s="1536"/>
      <c r="G674" s="1536"/>
      <c r="H674" s="1536"/>
      <c r="I674" s="1536"/>
    </row>
    <row r="675" spans="3:9" ht="13.5" customHeight="1">
      <c r="C675" s="1536"/>
      <c r="D675" s="1536"/>
      <c r="E675" s="1536"/>
      <c r="F675" s="1536"/>
      <c r="G675" s="1536"/>
      <c r="H675" s="1536"/>
      <c r="I675" s="1536"/>
    </row>
    <row r="676" spans="3:9" ht="13.5" customHeight="1">
      <c r="C676" s="1536"/>
      <c r="D676" s="1536"/>
      <c r="E676" s="1536"/>
      <c r="F676" s="1536"/>
      <c r="G676" s="1536"/>
      <c r="H676" s="1536"/>
      <c r="I676" s="1536"/>
    </row>
  </sheetData>
  <pageMargins left="0.7" right="0.7" top="0.75" bottom="0.75" header="0.511811023622047" footer="0.511811023622047"/>
  <pageSetup orientation="portrait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X651"/>
  <sheetViews>
    <sheetView topLeftCell="A3" zoomScale="80" zoomScaleNormal="80" workbookViewId="0">
      <pane ySplit="2" topLeftCell="A124" activePane="bottomLeft" state="frozen"/>
      <selection activeCell="A3" sqref="A3"/>
      <selection pane="bottomLeft" activeCell="F146" sqref="F146"/>
    </sheetView>
  </sheetViews>
  <sheetFormatPr baseColWidth="10" defaultColWidth="9.1640625" defaultRowHeight="15"/>
  <cols>
    <col min="1" max="1" width="9.1640625" style="838"/>
    <col min="2" max="2" width="50.5" style="838" customWidth="1"/>
    <col min="3" max="5" width="12.5" style="838" customWidth="1"/>
    <col min="6" max="12" width="10.5" style="838" customWidth="1"/>
    <col min="13" max="13" width="8.5" style="838" customWidth="1"/>
    <col min="14" max="14" width="14.5" style="838" customWidth="1"/>
    <col min="15" max="15" width="6.5" style="838" customWidth="1"/>
    <col min="16" max="16" width="15.5" style="838" customWidth="1"/>
    <col min="17" max="17" width="18.1640625" style="838" customWidth="1"/>
    <col min="18" max="18" width="11.83203125" style="838" customWidth="1"/>
    <col min="19" max="20" width="9.1640625" style="838"/>
    <col min="21" max="21" width="12.1640625" style="838" customWidth="1"/>
    <col min="22" max="24" width="9.1640625" style="838"/>
    <col min="25" max="25" width="12.5" style="838" customWidth="1"/>
    <col min="26" max="16384" width="9.1640625" style="838"/>
  </cols>
  <sheetData>
    <row r="1" spans="1:24" ht="24" customHeight="1">
      <c r="A1" s="852" t="s">
        <v>998</v>
      </c>
      <c r="B1" s="442"/>
      <c r="C1" s="442"/>
      <c r="D1" s="442"/>
      <c r="E1" s="442"/>
      <c r="F1" s="442"/>
      <c r="G1" s="442"/>
      <c r="H1" s="442"/>
      <c r="I1" s="442"/>
      <c r="J1" s="442"/>
      <c r="K1" s="442"/>
      <c r="L1" s="442"/>
      <c r="M1" s="442"/>
      <c r="N1" s="442"/>
      <c r="O1" s="442"/>
      <c r="P1" s="442"/>
      <c r="Q1" s="442"/>
      <c r="R1" s="442"/>
      <c r="S1" s="442"/>
      <c r="T1" s="442"/>
      <c r="U1" s="442"/>
      <c r="V1" s="837"/>
      <c r="W1" s="837"/>
      <c r="X1" s="837"/>
    </row>
    <row r="2" spans="1:24" ht="15.75" customHeight="1">
      <c r="A2" s="442"/>
      <c r="B2" s="442"/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  <c r="U2" s="442"/>
      <c r="V2" s="837"/>
      <c r="W2" s="837"/>
      <c r="X2" s="837"/>
    </row>
    <row r="3" spans="1:24" ht="21.75" customHeight="1">
      <c r="A3" s="3239" t="s">
        <v>1</v>
      </c>
      <c r="B3" s="3240" t="s">
        <v>68</v>
      </c>
      <c r="C3" s="3240" t="s">
        <v>77</v>
      </c>
      <c r="D3" s="3240" t="s">
        <v>78</v>
      </c>
      <c r="E3" s="3240" t="s">
        <v>79</v>
      </c>
      <c r="F3" s="3240" t="s">
        <v>6</v>
      </c>
      <c r="G3" s="3240" t="s">
        <v>999</v>
      </c>
      <c r="H3" s="3240" t="s">
        <v>977</v>
      </c>
      <c r="I3" s="3240" t="s">
        <v>978</v>
      </c>
      <c r="J3" s="3240" t="s">
        <v>1000</v>
      </c>
      <c r="K3" s="3240"/>
      <c r="L3" s="3240" t="s">
        <v>213</v>
      </c>
      <c r="M3" s="3240" t="s">
        <v>80</v>
      </c>
      <c r="N3" s="3240" t="s">
        <v>81</v>
      </c>
      <c r="O3" s="3240" t="s">
        <v>82</v>
      </c>
      <c r="P3" s="3260" t="s">
        <v>83</v>
      </c>
      <c r="Q3" s="442"/>
      <c r="R3" s="442"/>
      <c r="S3" s="442"/>
      <c r="T3" s="442"/>
      <c r="U3" s="442"/>
      <c r="V3" s="837"/>
      <c r="W3" s="837"/>
      <c r="X3" s="837"/>
    </row>
    <row r="4" spans="1:24" ht="21.75" customHeight="1">
      <c r="A4" s="3239"/>
      <c r="B4" s="3240"/>
      <c r="C4" s="3240"/>
      <c r="D4" s="3240"/>
      <c r="E4" s="3240"/>
      <c r="F4" s="3240"/>
      <c r="G4" s="3240"/>
      <c r="H4" s="3240"/>
      <c r="I4" s="3240"/>
      <c r="J4" s="921" t="s">
        <v>1001</v>
      </c>
      <c r="K4" s="921" t="s">
        <v>1002</v>
      </c>
      <c r="L4" s="3240"/>
      <c r="M4" s="3240"/>
      <c r="N4" s="3240"/>
      <c r="O4" s="3240"/>
      <c r="P4" s="3260"/>
      <c r="Q4" s="442"/>
      <c r="R4" s="442"/>
      <c r="S4" s="442"/>
      <c r="T4" s="442"/>
      <c r="U4" s="442"/>
      <c r="V4" s="837"/>
      <c r="W4" s="837"/>
      <c r="X4" s="837"/>
    </row>
    <row r="5" spans="1:24" ht="7.5" customHeight="1">
      <c r="A5" s="442"/>
      <c r="B5" s="442"/>
      <c r="C5" s="442"/>
      <c r="D5" s="442"/>
      <c r="E5" s="442"/>
      <c r="F5" s="442"/>
      <c r="G5" s="442"/>
      <c r="H5" s="442"/>
      <c r="I5" s="442"/>
      <c r="J5" s="442"/>
      <c r="K5" s="442"/>
      <c r="L5" s="442"/>
      <c r="M5" s="442"/>
      <c r="N5" s="442"/>
      <c r="O5" s="442"/>
      <c r="P5" s="1096"/>
      <c r="Q5" s="442"/>
      <c r="R5" s="442"/>
      <c r="S5" s="442"/>
      <c r="T5" s="442"/>
      <c r="U5" s="442"/>
      <c r="V5" s="837"/>
      <c r="W5" s="837"/>
      <c r="X5" s="837"/>
    </row>
    <row r="6" spans="1:24" ht="7.5" customHeight="1">
      <c r="A6" s="857"/>
      <c r="B6" s="858"/>
      <c r="C6" s="858"/>
      <c r="D6" s="858"/>
      <c r="E6" s="858"/>
      <c r="F6" s="858"/>
      <c r="G6" s="858"/>
      <c r="H6" s="858"/>
      <c r="I6" s="858"/>
      <c r="J6" s="858"/>
      <c r="K6" s="858"/>
      <c r="L6" s="858"/>
      <c r="M6" s="858"/>
      <c r="N6" s="858"/>
      <c r="O6" s="858"/>
      <c r="P6" s="1097"/>
      <c r="Q6" s="442"/>
      <c r="R6" s="442"/>
      <c r="S6" s="442"/>
      <c r="T6" s="442"/>
      <c r="U6" s="442"/>
      <c r="V6" s="837"/>
      <c r="W6" s="837"/>
      <c r="X6" s="837"/>
    </row>
    <row r="7" spans="1:24" ht="15.75" customHeight="1">
      <c r="A7" s="971" t="s">
        <v>1162</v>
      </c>
      <c r="B7" s="1537" t="s">
        <v>1747</v>
      </c>
      <c r="C7" s="428"/>
      <c r="D7" s="428"/>
      <c r="E7" s="428"/>
      <c r="F7" s="428"/>
      <c r="G7" s="428"/>
      <c r="H7" s="428"/>
      <c r="I7" s="428"/>
      <c r="J7" s="428"/>
      <c r="K7" s="428"/>
      <c r="L7" s="428"/>
      <c r="M7" s="428"/>
      <c r="N7" s="428"/>
      <c r="O7" s="362"/>
      <c r="P7" s="1098"/>
      <c r="Q7" s="442"/>
      <c r="R7" s="442"/>
      <c r="S7" s="442"/>
      <c r="T7" s="442"/>
      <c r="U7" s="442"/>
      <c r="V7" s="837"/>
      <c r="W7" s="837"/>
      <c r="X7" s="837"/>
    </row>
    <row r="8" spans="1:24" ht="15.75" customHeight="1">
      <c r="A8" s="971" t="s">
        <v>1164</v>
      </c>
      <c r="B8" s="1537" t="s">
        <v>395</v>
      </c>
      <c r="C8" s="428"/>
      <c r="D8" s="428"/>
      <c r="E8" s="428"/>
      <c r="F8" s="428"/>
      <c r="G8" s="428"/>
      <c r="H8" s="428"/>
      <c r="I8" s="428"/>
      <c r="J8" s="428"/>
      <c r="K8" s="428"/>
      <c r="L8" s="428"/>
      <c r="M8" s="428"/>
      <c r="N8" s="428"/>
      <c r="O8" s="362"/>
      <c r="P8" s="962"/>
      <c r="Q8" s="442"/>
      <c r="R8" s="919"/>
      <c r="S8" s="442"/>
      <c r="T8" s="442"/>
      <c r="U8" s="442"/>
      <c r="V8" s="837"/>
      <c r="W8" s="837"/>
      <c r="X8" s="837"/>
    </row>
    <row r="9" spans="1:24" ht="15.75" customHeight="1">
      <c r="A9" s="394">
        <v>1</v>
      </c>
      <c r="B9" s="450" t="s">
        <v>396</v>
      </c>
      <c r="C9" s="428" t="s">
        <v>1005</v>
      </c>
      <c r="D9" s="428"/>
      <c r="E9" s="428"/>
      <c r="F9" s="428"/>
      <c r="G9" s="428"/>
      <c r="H9" s="428"/>
      <c r="I9" s="428"/>
      <c r="J9" s="428"/>
      <c r="K9" s="428"/>
      <c r="L9" s="428"/>
      <c r="M9" s="428"/>
      <c r="N9" s="428"/>
      <c r="O9" s="362"/>
      <c r="P9" s="962"/>
      <c r="Q9" s="442"/>
      <c r="R9" s="919"/>
      <c r="S9" s="442"/>
      <c r="T9" s="442"/>
      <c r="U9" s="442"/>
      <c r="V9" s="837"/>
      <c r="W9" s="837"/>
      <c r="X9" s="837"/>
    </row>
    <row r="10" spans="1:24" ht="15.75" customHeight="1">
      <c r="A10" s="394"/>
      <c r="B10" s="450"/>
      <c r="C10" s="428">
        <v>5</v>
      </c>
      <c r="D10" s="428"/>
      <c r="E10" s="428"/>
      <c r="F10" s="428"/>
      <c r="G10" s="428"/>
      <c r="H10" s="428">
        <v>2</v>
      </c>
      <c r="I10" s="428"/>
      <c r="J10" s="428"/>
      <c r="K10" s="428"/>
      <c r="L10" s="428"/>
      <c r="M10" s="428"/>
      <c r="N10" s="428">
        <f>C10*H10</f>
        <v>10</v>
      </c>
      <c r="O10" s="362"/>
      <c r="P10" s="962"/>
      <c r="Q10" s="442"/>
      <c r="R10" s="919"/>
      <c r="S10" s="442"/>
      <c r="T10" s="442"/>
      <c r="U10" s="442"/>
      <c r="V10" s="837"/>
      <c r="W10" s="837"/>
      <c r="X10" s="837"/>
    </row>
    <row r="11" spans="1:24" ht="15.75" customHeight="1">
      <c r="A11" s="394"/>
      <c r="B11" s="450"/>
      <c r="C11" s="428"/>
      <c r="D11" s="428">
        <v>5</v>
      </c>
      <c r="E11" s="428"/>
      <c r="F11" s="428"/>
      <c r="G11" s="428"/>
      <c r="H11" s="428">
        <v>2</v>
      </c>
      <c r="I11" s="428"/>
      <c r="J11" s="428"/>
      <c r="K11" s="428"/>
      <c r="L11" s="428"/>
      <c r="M11" s="428"/>
      <c r="N11" s="590">
        <f>D11*H11</f>
        <v>10</v>
      </c>
      <c r="O11" s="362"/>
      <c r="P11" s="962"/>
      <c r="Q11" s="442"/>
      <c r="R11" s="919"/>
      <c r="S11" s="442"/>
      <c r="T11" s="442"/>
      <c r="U11" s="442"/>
      <c r="V11" s="837"/>
      <c r="W11" s="837"/>
      <c r="X11" s="837"/>
    </row>
    <row r="12" spans="1:24" ht="15.75" customHeight="1">
      <c r="A12" s="394"/>
      <c r="B12" s="450"/>
      <c r="C12" s="428"/>
      <c r="D12" s="428"/>
      <c r="E12" s="428"/>
      <c r="F12" s="428"/>
      <c r="G12" s="428"/>
      <c r="H12" s="428"/>
      <c r="I12" s="428"/>
      <c r="J12" s="428"/>
      <c r="K12" s="428"/>
      <c r="L12" s="428"/>
      <c r="M12" s="428"/>
      <c r="N12" s="390">
        <f>SUM(N10:N11)</f>
        <v>20</v>
      </c>
      <c r="O12" s="362" t="s">
        <v>89</v>
      </c>
      <c r="P12" s="962">
        <f>ROUND((N12),2)</f>
        <v>20</v>
      </c>
      <c r="Q12" s="442"/>
      <c r="R12" s="919"/>
      <c r="S12" s="442"/>
      <c r="T12" s="442"/>
      <c r="U12" s="442"/>
      <c r="V12" s="837"/>
      <c r="W12" s="837"/>
      <c r="X12" s="837"/>
    </row>
    <row r="13" spans="1:24" ht="15.75" customHeight="1">
      <c r="A13" s="950">
        <f>A9+1</f>
        <v>2</v>
      </c>
      <c r="B13" s="890" t="s">
        <v>397</v>
      </c>
      <c r="C13" s="428"/>
      <c r="D13" s="428"/>
      <c r="E13" s="428"/>
      <c r="F13" s="428"/>
      <c r="G13" s="428"/>
      <c r="H13" s="428"/>
      <c r="I13" s="428"/>
      <c r="J13" s="428"/>
      <c r="K13" s="428"/>
      <c r="L13" s="428"/>
      <c r="M13" s="428"/>
      <c r="N13" s="839"/>
      <c r="O13" s="362"/>
      <c r="P13" s="962"/>
      <c r="Q13" s="442"/>
      <c r="R13" s="919"/>
      <c r="S13" s="442"/>
      <c r="T13" s="442"/>
      <c r="U13" s="442"/>
      <c r="V13" s="837"/>
      <c r="W13" s="837"/>
      <c r="X13" s="837"/>
    </row>
    <row r="14" spans="1:24" ht="15.75" customHeight="1">
      <c r="A14" s="891" t="s">
        <v>95</v>
      </c>
      <c r="B14" s="890" t="s">
        <v>398</v>
      </c>
      <c r="C14" s="390">
        <v>1</v>
      </c>
      <c r="D14" s="390">
        <v>1</v>
      </c>
      <c r="E14" s="390">
        <v>0.9</v>
      </c>
      <c r="F14" s="390"/>
      <c r="G14" s="390"/>
      <c r="H14" s="390"/>
      <c r="I14" s="390"/>
      <c r="J14" s="390"/>
      <c r="K14" s="390"/>
      <c r="L14" s="390">
        <v>4</v>
      </c>
      <c r="M14" s="390">
        <f>C14*D14*E14*L14</f>
        <v>3.6</v>
      </c>
      <c r="N14" s="1503" t="s">
        <v>103</v>
      </c>
      <c r="O14" s="362"/>
      <c r="P14" s="962"/>
      <c r="Q14" s="442"/>
      <c r="R14" s="919"/>
      <c r="S14" s="442"/>
      <c r="T14" s="442"/>
      <c r="U14" s="442"/>
      <c r="V14" s="837"/>
      <c r="W14" s="837"/>
      <c r="X14" s="837"/>
    </row>
    <row r="15" spans="1:24" ht="15.75" customHeight="1">
      <c r="A15" s="891" t="s">
        <v>98</v>
      </c>
      <c r="B15" s="890" t="s">
        <v>399</v>
      </c>
      <c r="C15" s="390">
        <v>0.8</v>
      </c>
      <c r="D15" s="390">
        <v>0.8</v>
      </c>
      <c r="E15" s="390">
        <v>7.0000000000000007E-2</v>
      </c>
      <c r="F15" s="390"/>
      <c r="G15" s="390"/>
      <c r="H15" s="390"/>
      <c r="I15" s="390"/>
      <c r="J15" s="390"/>
      <c r="K15" s="390"/>
      <c r="L15" s="390">
        <f t="shared" ref="L15:L20" si="0">L14</f>
        <v>4</v>
      </c>
      <c r="M15" s="390">
        <f>C15*D15*E15*L15</f>
        <v>0.17920000000000005</v>
      </c>
      <c r="N15" s="1503" t="s">
        <v>103</v>
      </c>
      <c r="O15" s="362"/>
      <c r="P15" s="962"/>
      <c r="Q15" s="442"/>
      <c r="R15" s="919"/>
      <c r="S15" s="442"/>
      <c r="T15" s="442"/>
      <c r="U15" s="442"/>
      <c r="V15" s="837"/>
      <c r="W15" s="837"/>
      <c r="X15" s="837"/>
    </row>
    <row r="16" spans="1:24" ht="15.75" customHeight="1">
      <c r="A16" s="891" t="s">
        <v>101</v>
      </c>
      <c r="B16" s="890" t="s">
        <v>400</v>
      </c>
      <c r="C16" s="390">
        <f>C15</f>
        <v>0.8</v>
      </c>
      <c r="D16" s="390">
        <f>D15</f>
        <v>0.8</v>
      </c>
      <c r="E16" s="390">
        <v>0.03</v>
      </c>
      <c r="F16" s="390"/>
      <c r="G16" s="390"/>
      <c r="H16" s="390"/>
      <c r="I16" s="390"/>
      <c r="J16" s="390"/>
      <c r="K16" s="390"/>
      <c r="L16" s="390">
        <f t="shared" si="0"/>
        <v>4</v>
      </c>
      <c r="M16" s="390">
        <f>C16*D16*E16*L16</f>
        <v>7.6800000000000007E-2</v>
      </c>
      <c r="N16" s="1503" t="s">
        <v>103</v>
      </c>
      <c r="O16" s="362"/>
      <c r="P16" s="962"/>
      <c r="Q16" s="442"/>
      <c r="R16" s="919"/>
      <c r="S16" s="442"/>
      <c r="T16" s="442"/>
      <c r="U16" s="442"/>
      <c r="V16" s="837"/>
      <c r="W16" s="837"/>
      <c r="X16" s="837"/>
    </row>
    <row r="17" spans="1:24" ht="15.75" customHeight="1">
      <c r="A17" s="891" t="s">
        <v>121</v>
      </c>
      <c r="B17" s="890" t="s">
        <v>401</v>
      </c>
      <c r="C17" s="390">
        <v>1</v>
      </c>
      <c r="D17" s="390"/>
      <c r="E17" s="390">
        <v>0.3</v>
      </c>
      <c r="F17" s="390"/>
      <c r="G17" s="390"/>
      <c r="H17" s="390">
        <v>4</v>
      </c>
      <c r="I17" s="390"/>
      <c r="J17" s="390"/>
      <c r="K17" s="390"/>
      <c r="L17" s="390">
        <f t="shared" si="0"/>
        <v>4</v>
      </c>
      <c r="M17" s="390">
        <f>C17*E17*H17*L17</f>
        <v>4.8</v>
      </c>
      <c r="N17" s="1503" t="s">
        <v>89</v>
      </c>
      <c r="O17" s="362"/>
      <c r="P17" s="962"/>
      <c r="Q17" s="442"/>
      <c r="R17" s="919"/>
      <c r="S17" s="442"/>
      <c r="T17" s="442"/>
      <c r="U17" s="442"/>
      <c r="V17" s="837"/>
      <c r="W17" s="837"/>
      <c r="X17" s="837"/>
    </row>
    <row r="18" spans="1:24" ht="15.75" customHeight="1">
      <c r="A18" s="891" t="s">
        <v>142</v>
      </c>
      <c r="B18" s="890" t="s">
        <v>895</v>
      </c>
      <c r="C18" s="390">
        <v>0.65</v>
      </c>
      <c r="D18" s="390"/>
      <c r="E18" s="390"/>
      <c r="F18" s="390">
        <f>13*13*0.006165</f>
        <v>1.041885</v>
      </c>
      <c r="G18" s="390">
        <f>0.15*2</f>
        <v>0.3</v>
      </c>
      <c r="H18" s="390">
        <v>4</v>
      </c>
      <c r="I18" s="390"/>
      <c r="J18" s="390"/>
      <c r="K18" s="390">
        <f>ROUNDUP((C18/0.125),0.5)+1</f>
        <v>7</v>
      </c>
      <c r="L18" s="390">
        <f t="shared" si="0"/>
        <v>4</v>
      </c>
      <c r="M18" s="390">
        <f>(C18+G18)*F18*H18*K18*L18</f>
        <v>110.85656399999999</v>
      </c>
      <c r="N18" s="1503" t="s">
        <v>100</v>
      </c>
      <c r="O18" s="362"/>
      <c r="P18" s="962"/>
      <c r="Q18" s="442"/>
      <c r="R18" s="919"/>
      <c r="S18" s="442"/>
      <c r="T18" s="442"/>
      <c r="U18" s="442"/>
      <c r="V18" s="837"/>
      <c r="W18" s="837"/>
      <c r="X18" s="837"/>
    </row>
    <row r="19" spans="1:24" ht="15.75" customHeight="1">
      <c r="A19" s="891" t="s">
        <v>217</v>
      </c>
      <c r="B19" s="427" t="s">
        <v>420</v>
      </c>
      <c r="C19" s="390">
        <f>C16</f>
        <v>0.8</v>
      </c>
      <c r="D19" s="390">
        <f>D16</f>
        <v>0.8</v>
      </c>
      <c r="E19" s="390">
        <f>E17</f>
        <v>0.3</v>
      </c>
      <c r="F19" s="390"/>
      <c r="G19" s="390"/>
      <c r="H19" s="390"/>
      <c r="I19" s="390"/>
      <c r="J19" s="390"/>
      <c r="K19" s="390"/>
      <c r="L19" s="390">
        <f t="shared" si="0"/>
        <v>4</v>
      </c>
      <c r="M19" s="390">
        <f>C19*D19*E19*L19</f>
        <v>0.76800000000000013</v>
      </c>
      <c r="N19" s="1503" t="s">
        <v>103</v>
      </c>
      <c r="O19" s="362"/>
      <c r="P19" s="962"/>
      <c r="Q19" s="442"/>
      <c r="R19" s="919"/>
      <c r="S19" s="442"/>
      <c r="T19" s="442"/>
      <c r="U19" s="442"/>
      <c r="V19" s="837"/>
      <c r="W19" s="837"/>
      <c r="X19" s="837"/>
    </row>
    <row r="20" spans="1:24" ht="15.75" customHeight="1">
      <c r="A20" s="891" t="s">
        <v>366</v>
      </c>
      <c r="B20" s="890" t="s">
        <v>383</v>
      </c>
      <c r="C20" s="390"/>
      <c r="D20" s="390"/>
      <c r="E20" s="390">
        <v>4</v>
      </c>
      <c r="F20" s="390"/>
      <c r="G20" s="390"/>
      <c r="H20" s="390"/>
      <c r="I20" s="390"/>
      <c r="J20" s="390"/>
      <c r="K20" s="390">
        <v>4</v>
      </c>
      <c r="L20" s="390">
        <f t="shared" si="0"/>
        <v>4</v>
      </c>
      <c r="M20" s="390">
        <f>E20*K20*L20</f>
        <v>64</v>
      </c>
      <c r="N20" s="1503" t="s">
        <v>117</v>
      </c>
      <c r="O20" s="362"/>
      <c r="P20" s="962"/>
      <c r="Q20" s="442"/>
      <c r="R20" s="919"/>
      <c r="S20" s="442"/>
      <c r="T20" s="442"/>
      <c r="U20" s="442"/>
      <c r="V20" s="837"/>
      <c r="W20" s="837"/>
      <c r="X20" s="837"/>
    </row>
    <row r="21" spans="1:24" ht="15.75" customHeight="1">
      <c r="A21" s="394">
        <f>A13+1</f>
        <v>3</v>
      </c>
      <c r="B21" s="450" t="s">
        <v>409</v>
      </c>
      <c r="C21" s="428"/>
      <c r="D21" s="428"/>
      <c r="E21" s="428"/>
      <c r="F21" s="428"/>
      <c r="G21" s="428"/>
      <c r="H21" s="428"/>
      <c r="I21" s="428"/>
      <c r="J21" s="428"/>
      <c r="K21" s="428"/>
      <c r="L21" s="428"/>
      <c r="M21" s="428"/>
      <c r="N21" s="390"/>
      <c r="O21" s="362"/>
      <c r="P21" s="962"/>
      <c r="Q21" s="442"/>
      <c r="R21" s="919"/>
      <c r="S21" s="442"/>
      <c r="T21" s="442"/>
      <c r="U21" s="442"/>
      <c r="V21" s="837"/>
      <c r="W21" s="837"/>
      <c r="X21" s="837"/>
    </row>
    <row r="22" spans="1:24" ht="15.75" customHeight="1">
      <c r="A22" s="451" t="s">
        <v>95</v>
      </c>
      <c r="B22" s="450" t="s">
        <v>221</v>
      </c>
      <c r="C22" s="428"/>
      <c r="D22" s="428"/>
      <c r="E22" s="428"/>
      <c r="F22" s="428"/>
      <c r="G22" s="428"/>
      <c r="H22" s="428"/>
      <c r="I22" s="428"/>
      <c r="J22" s="428"/>
      <c r="K22" s="428"/>
      <c r="L22" s="428"/>
      <c r="M22" s="428"/>
      <c r="N22" s="428"/>
      <c r="O22" s="362"/>
      <c r="P22" s="962"/>
      <c r="Q22" s="442"/>
      <c r="R22" s="919"/>
      <c r="S22" s="442"/>
      <c r="T22" s="442"/>
      <c r="U22" s="442"/>
      <c r="V22" s="837"/>
      <c r="W22" s="837"/>
      <c r="X22" s="837"/>
    </row>
    <row r="23" spans="1:24" ht="15.75" customHeight="1">
      <c r="A23" s="451"/>
      <c r="B23" s="963" t="s">
        <v>1044</v>
      </c>
      <c r="C23" s="428">
        <v>3</v>
      </c>
      <c r="D23" s="428"/>
      <c r="E23" s="428">
        <v>0.3</v>
      </c>
      <c r="F23" s="428">
        <v>2</v>
      </c>
      <c r="G23" s="428"/>
      <c r="H23" s="428">
        <v>2</v>
      </c>
      <c r="I23" s="428"/>
      <c r="J23" s="428"/>
      <c r="K23" s="428"/>
      <c r="L23" s="428"/>
      <c r="M23" s="428">
        <v>1</v>
      </c>
      <c r="N23" s="428">
        <f>C23*E23*F23*H23*M23</f>
        <v>3.5999999999999996</v>
      </c>
      <c r="O23" s="362"/>
      <c r="P23" s="962"/>
      <c r="Q23" s="442"/>
      <c r="R23" s="919"/>
      <c r="S23" s="442"/>
      <c r="T23" s="442"/>
      <c r="U23" s="442"/>
      <c r="V23" s="837"/>
      <c r="W23" s="837"/>
      <c r="X23" s="837"/>
    </row>
    <row r="24" spans="1:24" ht="15.75" customHeight="1">
      <c r="A24" s="451"/>
      <c r="B24" s="963" t="s">
        <v>136</v>
      </c>
      <c r="C24" s="428">
        <v>3</v>
      </c>
      <c r="D24" s="428"/>
      <c r="E24" s="428">
        <f>E23</f>
        <v>0.3</v>
      </c>
      <c r="F24" s="428">
        <f>F23</f>
        <v>2</v>
      </c>
      <c r="G24" s="428"/>
      <c r="H24" s="428">
        <f>H23</f>
        <v>2</v>
      </c>
      <c r="I24" s="428"/>
      <c r="J24" s="428"/>
      <c r="K24" s="428"/>
      <c r="L24" s="428"/>
      <c r="M24" s="428">
        <v>1</v>
      </c>
      <c r="N24" s="590">
        <f>C24*E24*F24*H24*M24</f>
        <v>3.5999999999999996</v>
      </c>
      <c r="O24" s="362"/>
      <c r="P24" s="962"/>
      <c r="Q24" s="442"/>
      <c r="R24" s="919"/>
      <c r="S24" s="442"/>
      <c r="T24" s="442"/>
      <c r="U24" s="442"/>
      <c r="V24" s="837"/>
      <c r="W24" s="837"/>
      <c r="X24" s="837"/>
    </row>
    <row r="25" spans="1:24" ht="15.75" customHeight="1">
      <c r="A25" s="451"/>
      <c r="B25" s="450"/>
      <c r="C25" s="428"/>
      <c r="D25" s="428"/>
      <c r="E25" s="428"/>
      <c r="F25" s="428"/>
      <c r="G25" s="428"/>
      <c r="H25" s="428"/>
      <c r="I25" s="428"/>
      <c r="J25" s="428"/>
      <c r="K25" s="428"/>
      <c r="L25" s="428"/>
      <c r="M25" s="428"/>
      <c r="N25" s="390">
        <f>SUM(N23:N24)</f>
        <v>7.1999999999999993</v>
      </c>
      <c r="O25" s="362" t="s">
        <v>89</v>
      </c>
      <c r="P25" s="962">
        <f>ROUND((N25),2)</f>
        <v>7.2</v>
      </c>
      <c r="Q25" s="442"/>
      <c r="R25" s="919"/>
      <c r="S25" s="442"/>
      <c r="T25" s="442"/>
      <c r="U25" s="442"/>
      <c r="V25" s="837"/>
      <c r="W25" s="837"/>
      <c r="X25" s="837"/>
    </row>
    <row r="26" spans="1:24" ht="15.75" customHeight="1">
      <c r="A26" s="451" t="s">
        <v>98</v>
      </c>
      <c r="B26" s="389" t="s">
        <v>925</v>
      </c>
      <c r="C26" s="428"/>
      <c r="D26" s="428"/>
      <c r="E26" s="428"/>
      <c r="F26" s="428"/>
      <c r="G26" s="428"/>
      <c r="H26" s="428"/>
      <c r="I26" s="428"/>
      <c r="J26" s="428"/>
      <c r="K26" s="428"/>
      <c r="L26" s="428"/>
      <c r="M26" s="428"/>
      <c r="N26" s="428"/>
      <c r="O26" s="362"/>
      <c r="P26" s="962"/>
      <c r="Q26" s="442"/>
      <c r="R26" s="919"/>
      <c r="S26" s="442"/>
      <c r="T26" s="442"/>
      <c r="U26" s="442"/>
      <c r="V26" s="837"/>
      <c r="W26" s="837"/>
      <c r="X26" s="837"/>
    </row>
    <row r="27" spans="1:24" ht="15.75" customHeight="1">
      <c r="A27" s="451"/>
      <c r="B27" s="963" t="str">
        <f>B23</f>
        <v>Horisontal</v>
      </c>
      <c r="C27" s="428">
        <f>C23</f>
        <v>3</v>
      </c>
      <c r="D27" s="428"/>
      <c r="E27" s="428"/>
      <c r="F27" s="428">
        <v>5</v>
      </c>
      <c r="G27" s="428"/>
      <c r="H27" s="428">
        <f>H23</f>
        <v>2</v>
      </c>
      <c r="I27" s="428"/>
      <c r="J27" s="428"/>
      <c r="K27" s="428"/>
      <c r="L27" s="428">
        <f>13*13*0.006165</f>
        <v>1.041885</v>
      </c>
      <c r="M27" s="428">
        <f>M23</f>
        <v>1</v>
      </c>
      <c r="N27" s="428">
        <f>C27*F27*H27*L27*M27</f>
        <v>31.256549999999997</v>
      </c>
      <c r="O27" s="362"/>
      <c r="P27" s="962"/>
      <c r="Q27" s="442"/>
      <c r="R27" s="919"/>
      <c r="S27" s="442"/>
      <c r="T27" s="442"/>
      <c r="U27" s="442"/>
      <c r="V27" s="837"/>
      <c r="W27" s="837"/>
      <c r="X27" s="837"/>
    </row>
    <row r="28" spans="1:24" ht="15.75" customHeight="1">
      <c r="A28" s="451"/>
      <c r="B28" s="963" t="str">
        <f>B24</f>
        <v>Vertikal</v>
      </c>
      <c r="C28" s="428">
        <f>C24</f>
        <v>3</v>
      </c>
      <c r="D28" s="428"/>
      <c r="E28" s="428"/>
      <c r="F28" s="428">
        <f>F27</f>
        <v>5</v>
      </c>
      <c r="G28" s="428"/>
      <c r="H28" s="428">
        <f>H24</f>
        <v>2</v>
      </c>
      <c r="I28" s="428"/>
      <c r="J28" s="428"/>
      <c r="K28" s="428"/>
      <c r="L28" s="428">
        <f>L27</f>
        <v>1.041885</v>
      </c>
      <c r="M28" s="428">
        <f>M24</f>
        <v>1</v>
      </c>
      <c r="N28" s="590">
        <f>C28*F28*H28*L28*M28</f>
        <v>31.256549999999997</v>
      </c>
      <c r="O28" s="362"/>
      <c r="P28" s="962"/>
      <c r="Q28" s="442"/>
      <c r="R28" s="919"/>
      <c r="S28" s="442"/>
      <c r="T28" s="442"/>
      <c r="U28" s="442"/>
      <c r="V28" s="837"/>
      <c r="W28" s="837"/>
      <c r="X28" s="837"/>
    </row>
    <row r="29" spans="1:24" ht="15.75" customHeight="1">
      <c r="A29" s="451"/>
      <c r="B29" s="450"/>
      <c r="C29" s="428"/>
      <c r="D29" s="428"/>
      <c r="E29" s="428"/>
      <c r="F29" s="428"/>
      <c r="G29" s="428"/>
      <c r="H29" s="428"/>
      <c r="I29" s="428"/>
      <c r="J29" s="428"/>
      <c r="K29" s="428"/>
      <c r="L29" s="428"/>
      <c r="M29" s="428"/>
      <c r="N29" s="390">
        <f>SUM(N27:N28)</f>
        <v>62.513099999999994</v>
      </c>
      <c r="O29" s="362" t="s">
        <v>100</v>
      </c>
      <c r="P29" s="962">
        <f>ROUND((N29),2)</f>
        <v>62.51</v>
      </c>
      <c r="Q29" s="442"/>
      <c r="R29" s="919"/>
      <c r="S29" s="442"/>
      <c r="T29" s="442"/>
      <c r="U29" s="442"/>
      <c r="V29" s="837"/>
      <c r="W29" s="837"/>
      <c r="X29" s="837"/>
    </row>
    <row r="30" spans="1:24" ht="15.75" customHeight="1">
      <c r="A30" s="451" t="s">
        <v>101</v>
      </c>
      <c r="B30" s="389" t="s">
        <v>428</v>
      </c>
      <c r="C30" s="428"/>
      <c r="D30" s="428"/>
      <c r="E30" s="428"/>
      <c r="F30" s="428"/>
      <c r="G30" s="428"/>
      <c r="H30" s="428"/>
      <c r="I30" s="428"/>
      <c r="J30" s="428"/>
      <c r="K30" s="428"/>
      <c r="L30" s="428"/>
      <c r="M30" s="428"/>
      <c r="N30" s="428"/>
      <c r="O30" s="362"/>
      <c r="P30" s="962"/>
      <c r="Q30" s="442"/>
      <c r="R30" s="919"/>
      <c r="S30" s="442"/>
      <c r="T30" s="442"/>
      <c r="U30" s="442"/>
      <c r="V30" s="837"/>
      <c r="W30" s="837"/>
      <c r="X30" s="837"/>
    </row>
    <row r="31" spans="1:24" ht="15.75" customHeight="1">
      <c r="A31" s="451"/>
      <c r="B31" s="963" t="str">
        <f>B27</f>
        <v>Horisontal</v>
      </c>
      <c r="C31" s="428">
        <f>(0.1+0.15)*2</f>
        <v>0.5</v>
      </c>
      <c r="D31" s="428"/>
      <c r="E31" s="428"/>
      <c r="F31" s="428">
        <f>ROUNDDOWN((C27/0.125),0.1)</f>
        <v>24</v>
      </c>
      <c r="G31" s="428"/>
      <c r="H31" s="428">
        <v>2</v>
      </c>
      <c r="I31" s="428">
        <f>0.05*2</f>
        <v>0.1</v>
      </c>
      <c r="J31" s="428"/>
      <c r="K31" s="428"/>
      <c r="L31" s="428">
        <f>8*8*0.006165</f>
        <v>0.39456000000000002</v>
      </c>
      <c r="M31" s="428">
        <f>M27</f>
        <v>1</v>
      </c>
      <c r="N31" s="428">
        <f>(C31+I31)*F31*H31*L31*M31</f>
        <v>11.363327999999999</v>
      </c>
      <c r="O31" s="362"/>
      <c r="P31" s="962"/>
      <c r="Q31" s="442"/>
      <c r="R31" s="919"/>
      <c r="S31" s="442"/>
      <c r="T31" s="442"/>
      <c r="U31" s="442"/>
      <c r="V31" s="837"/>
      <c r="W31" s="837"/>
      <c r="X31" s="837"/>
    </row>
    <row r="32" spans="1:24" ht="15.75" customHeight="1">
      <c r="A32" s="451"/>
      <c r="B32" s="963" t="str">
        <f>B28</f>
        <v>Vertikal</v>
      </c>
      <c r="C32" s="428">
        <f>C31</f>
        <v>0.5</v>
      </c>
      <c r="D32" s="428"/>
      <c r="E32" s="428"/>
      <c r="F32" s="428">
        <f>ROUNDDOWN((C28/0.125),0.1)</f>
        <v>24</v>
      </c>
      <c r="G32" s="428"/>
      <c r="H32" s="428">
        <f>H31</f>
        <v>2</v>
      </c>
      <c r="I32" s="428">
        <f>I31</f>
        <v>0.1</v>
      </c>
      <c r="J32" s="428"/>
      <c r="K32" s="428"/>
      <c r="L32" s="428">
        <f>L31</f>
        <v>0.39456000000000002</v>
      </c>
      <c r="M32" s="428">
        <f>M28</f>
        <v>1</v>
      </c>
      <c r="N32" s="590">
        <f>(C32+I32)*F32*H32*L32*M32</f>
        <v>11.363327999999999</v>
      </c>
      <c r="O32" s="362"/>
      <c r="P32" s="962"/>
      <c r="Q32" s="442"/>
      <c r="R32" s="919"/>
      <c r="S32" s="442"/>
      <c r="T32" s="442"/>
      <c r="U32" s="442"/>
      <c r="V32" s="837"/>
      <c r="W32" s="837"/>
      <c r="X32" s="837"/>
    </row>
    <row r="33" spans="1:24" ht="15.75" customHeight="1">
      <c r="A33" s="451"/>
      <c r="B33" s="450"/>
      <c r="C33" s="428"/>
      <c r="D33" s="428"/>
      <c r="E33" s="428"/>
      <c r="F33" s="428"/>
      <c r="G33" s="428"/>
      <c r="H33" s="428"/>
      <c r="I33" s="428"/>
      <c r="J33" s="428"/>
      <c r="K33" s="428"/>
      <c r="L33" s="428"/>
      <c r="M33" s="428"/>
      <c r="N33" s="390">
        <f>SUM(N31:N32)</f>
        <v>22.726655999999998</v>
      </c>
      <c r="O33" s="362" t="s">
        <v>100</v>
      </c>
      <c r="P33" s="962">
        <f>ROUND((N33),2)</f>
        <v>22.73</v>
      </c>
      <c r="Q33" s="442"/>
      <c r="R33" s="919"/>
      <c r="S33" s="442"/>
      <c r="T33" s="442"/>
      <c r="U33" s="442"/>
      <c r="V33" s="837"/>
      <c r="W33" s="837"/>
      <c r="X33" s="837"/>
    </row>
    <row r="34" spans="1:24" ht="15.75" customHeight="1">
      <c r="A34" s="451" t="s">
        <v>121</v>
      </c>
      <c r="B34" s="427" t="s">
        <v>420</v>
      </c>
      <c r="C34" s="428"/>
      <c r="D34" s="428"/>
      <c r="E34" s="428"/>
      <c r="F34" s="428"/>
      <c r="G34" s="428"/>
      <c r="H34" s="428"/>
      <c r="I34" s="428"/>
      <c r="J34" s="428"/>
      <c r="K34" s="428"/>
      <c r="L34" s="428"/>
      <c r="M34" s="428"/>
      <c r="N34" s="428"/>
      <c r="O34" s="362"/>
      <c r="P34" s="962"/>
      <c r="Q34" s="442"/>
      <c r="R34" s="919"/>
      <c r="S34" s="442"/>
      <c r="T34" s="442"/>
      <c r="U34" s="442"/>
      <c r="V34" s="837"/>
      <c r="W34" s="837"/>
      <c r="X34" s="837"/>
    </row>
    <row r="35" spans="1:24" ht="15.75" customHeight="1">
      <c r="A35" s="451"/>
      <c r="B35" s="963" t="str">
        <f>B31</f>
        <v>Horisontal</v>
      </c>
      <c r="C35" s="428">
        <f>C27</f>
        <v>3</v>
      </c>
      <c r="D35" s="428">
        <v>0.25</v>
      </c>
      <c r="E35" s="428">
        <v>0.3</v>
      </c>
      <c r="F35" s="428"/>
      <c r="G35" s="428"/>
      <c r="H35" s="428">
        <v>2</v>
      </c>
      <c r="I35" s="428"/>
      <c r="J35" s="428"/>
      <c r="K35" s="428"/>
      <c r="L35" s="428"/>
      <c r="M35" s="428">
        <f>M31</f>
        <v>1</v>
      </c>
      <c r="N35" s="428">
        <f>C35*D35*E35*H35*M35</f>
        <v>0.44999999999999996</v>
      </c>
      <c r="O35" s="362"/>
      <c r="P35" s="962"/>
      <c r="Q35" s="442"/>
      <c r="R35" s="919"/>
      <c r="S35" s="442"/>
      <c r="T35" s="442"/>
      <c r="U35" s="442"/>
      <c r="V35" s="837"/>
      <c r="W35" s="837"/>
      <c r="X35" s="837"/>
    </row>
    <row r="36" spans="1:24" ht="15.75" customHeight="1">
      <c r="A36" s="451"/>
      <c r="B36" s="963" t="str">
        <f>B32</f>
        <v>Vertikal</v>
      </c>
      <c r="C36" s="428">
        <f>C28</f>
        <v>3</v>
      </c>
      <c r="D36" s="428">
        <f>D35</f>
        <v>0.25</v>
      </c>
      <c r="E36" s="428">
        <f>E35</f>
        <v>0.3</v>
      </c>
      <c r="F36" s="428"/>
      <c r="G36" s="428"/>
      <c r="H36" s="428">
        <f>H35</f>
        <v>2</v>
      </c>
      <c r="I36" s="428"/>
      <c r="J36" s="428"/>
      <c r="K36" s="428"/>
      <c r="L36" s="428"/>
      <c r="M36" s="428">
        <f>M32</f>
        <v>1</v>
      </c>
      <c r="N36" s="590">
        <f>C36*D36*E36*H36*M36</f>
        <v>0.44999999999999996</v>
      </c>
      <c r="O36" s="362"/>
      <c r="P36" s="962"/>
      <c r="Q36" s="442"/>
      <c r="R36" s="919"/>
      <c r="S36" s="442"/>
      <c r="T36" s="442"/>
      <c r="U36" s="442"/>
      <c r="V36" s="837"/>
      <c r="W36" s="837"/>
      <c r="X36" s="837"/>
    </row>
    <row r="37" spans="1:24" ht="15.75" customHeight="1">
      <c r="A37" s="451"/>
      <c r="B37" s="450"/>
      <c r="C37" s="428"/>
      <c r="D37" s="428"/>
      <c r="E37" s="428"/>
      <c r="F37" s="428"/>
      <c r="G37" s="428"/>
      <c r="H37" s="428"/>
      <c r="I37" s="428"/>
      <c r="J37" s="428"/>
      <c r="K37" s="428"/>
      <c r="L37" s="428"/>
      <c r="M37" s="428"/>
      <c r="N37" s="390">
        <f>SUM(N35:N36)</f>
        <v>0.89999999999999991</v>
      </c>
      <c r="O37" s="362" t="s">
        <v>103</v>
      </c>
      <c r="P37" s="962">
        <f>ROUND((N37),2)</f>
        <v>0.9</v>
      </c>
      <c r="Q37" s="442"/>
      <c r="R37" s="919"/>
      <c r="S37" s="442"/>
      <c r="T37" s="442"/>
      <c r="U37" s="442"/>
      <c r="V37" s="837"/>
      <c r="W37" s="837"/>
      <c r="X37" s="837"/>
    </row>
    <row r="38" spans="1:24" ht="15.75" customHeight="1">
      <c r="A38" s="394">
        <f>A21+1</f>
        <v>4</v>
      </c>
      <c r="B38" s="450" t="s">
        <v>412</v>
      </c>
      <c r="C38" s="428"/>
      <c r="D38" s="428"/>
      <c r="E38" s="428"/>
      <c r="F38" s="428"/>
      <c r="G38" s="428"/>
      <c r="H38" s="428"/>
      <c r="I38" s="428"/>
      <c r="J38" s="428"/>
      <c r="K38" s="428"/>
      <c r="L38" s="428"/>
      <c r="M38" s="428"/>
      <c r="N38" s="428"/>
      <c r="O38" s="362"/>
      <c r="P38" s="962"/>
      <c r="Q38" s="442"/>
      <c r="R38" s="919"/>
      <c r="S38" s="442"/>
      <c r="T38" s="442"/>
      <c r="U38" s="442"/>
      <c r="V38" s="837"/>
      <c r="W38" s="837"/>
      <c r="X38" s="837"/>
    </row>
    <row r="39" spans="1:24" ht="15.75" customHeight="1">
      <c r="A39" s="451" t="s">
        <v>95</v>
      </c>
      <c r="B39" s="450" t="s">
        <v>413</v>
      </c>
      <c r="C39" s="428">
        <f>C35-(0.2*2)</f>
        <v>2.6</v>
      </c>
      <c r="D39" s="428">
        <f>C36-(0.2*2)</f>
        <v>2.6</v>
      </c>
      <c r="E39" s="428">
        <v>0.6</v>
      </c>
      <c r="F39" s="428"/>
      <c r="G39" s="428"/>
      <c r="H39" s="428"/>
      <c r="I39" s="428"/>
      <c r="J39" s="428"/>
      <c r="K39" s="428"/>
      <c r="L39" s="428"/>
      <c r="M39" s="428">
        <v>1</v>
      </c>
      <c r="N39" s="428">
        <f>C39*D39*E39*M39</f>
        <v>4.056</v>
      </c>
      <c r="O39" s="362" t="s">
        <v>103</v>
      </c>
      <c r="P39" s="962">
        <f>ROUND((N39),2)</f>
        <v>4.0599999999999996</v>
      </c>
      <c r="Q39" s="442"/>
      <c r="R39" s="919"/>
      <c r="S39" s="442"/>
      <c r="T39" s="442"/>
      <c r="U39" s="442"/>
      <c r="V39" s="837"/>
      <c r="W39" s="837"/>
      <c r="X39" s="837"/>
    </row>
    <row r="40" spans="1:24" ht="15.75" customHeight="1">
      <c r="A40" s="451" t="s">
        <v>98</v>
      </c>
      <c r="B40" s="450" t="s">
        <v>966</v>
      </c>
      <c r="C40" s="428">
        <f>C39</f>
        <v>2.6</v>
      </c>
      <c r="D40" s="428">
        <f>D39</f>
        <v>2.6</v>
      </c>
      <c r="E40" s="428">
        <v>0.15</v>
      </c>
      <c r="F40" s="428"/>
      <c r="G40" s="428"/>
      <c r="H40" s="428"/>
      <c r="I40" s="428"/>
      <c r="J40" s="428"/>
      <c r="K40" s="428"/>
      <c r="L40" s="428"/>
      <c r="M40" s="428">
        <f>M39</f>
        <v>1</v>
      </c>
      <c r="N40" s="428">
        <f>C40*D40*E40*M40</f>
        <v>1.014</v>
      </c>
      <c r="O40" s="362" t="s">
        <v>103</v>
      </c>
      <c r="P40" s="962">
        <f>ROUND((N40),2)</f>
        <v>1.01</v>
      </c>
      <c r="Q40" s="442"/>
      <c r="R40" s="919"/>
      <c r="S40" s="442"/>
      <c r="T40" s="442"/>
      <c r="U40" s="442"/>
      <c r="V40" s="837"/>
      <c r="W40" s="837"/>
      <c r="X40" s="837"/>
    </row>
    <row r="41" spans="1:24" ht="15.75" customHeight="1">
      <c r="A41" s="451" t="s">
        <v>101</v>
      </c>
      <c r="B41" s="450" t="s">
        <v>400</v>
      </c>
      <c r="C41" s="428">
        <f>C40</f>
        <v>2.6</v>
      </c>
      <c r="D41" s="428">
        <f>D40</f>
        <v>2.6</v>
      </c>
      <c r="E41" s="428">
        <v>0.03</v>
      </c>
      <c r="F41" s="428"/>
      <c r="G41" s="428"/>
      <c r="H41" s="428"/>
      <c r="I41" s="428"/>
      <c r="J41" s="428"/>
      <c r="K41" s="428"/>
      <c r="L41" s="428"/>
      <c r="M41" s="428">
        <f>M40</f>
        <v>1</v>
      </c>
      <c r="N41" s="428">
        <f>C41*D41*E41*M41</f>
        <v>0.20280000000000001</v>
      </c>
      <c r="O41" s="362" t="s">
        <v>103</v>
      </c>
      <c r="P41" s="962">
        <f>ROUND((N41),2)</f>
        <v>0.2</v>
      </c>
      <c r="Q41" s="442"/>
      <c r="R41" s="919"/>
      <c r="S41" s="442"/>
      <c r="T41" s="442"/>
      <c r="U41" s="442"/>
      <c r="V41" s="837"/>
      <c r="W41" s="837"/>
      <c r="X41" s="837"/>
    </row>
    <row r="42" spans="1:24" ht="15.75" customHeight="1">
      <c r="A42" s="394">
        <f>A38+1</f>
        <v>5</v>
      </c>
      <c r="B42" s="450" t="s">
        <v>416</v>
      </c>
      <c r="C42" s="428"/>
      <c r="D42" s="428"/>
      <c r="E42" s="428"/>
      <c r="F42" s="428"/>
      <c r="G42" s="428"/>
      <c r="H42" s="428"/>
      <c r="I42" s="428"/>
      <c r="J42" s="428"/>
      <c r="K42" s="428"/>
      <c r="L42" s="428"/>
      <c r="M42" s="428"/>
      <c r="N42" s="428"/>
      <c r="O42" s="362"/>
      <c r="P42" s="962"/>
      <c r="Q42" s="442"/>
      <c r="R42" s="919"/>
      <c r="S42" s="442"/>
      <c r="T42" s="442"/>
      <c r="U42" s="442"/>
      <c r="V42" s="837"/>
      <c r="W42" s="837"/>
      <c r="X42" s="837"/>
    </row>
    <row r="43" spans="1:24" ht="15.75" customHeight="1">
      <c r="A43" s="451" t="s">
        <v>95</v>
      </c>
      <c r="B43" s="450" t="s">
        <v>417</v>
      </c>
      <c r="C43" s="428"/>
      <c r="D43" s="428">
        <v>0.25</v>
      </c>
      <c r="E43" s="428">
        <v>1.2</v>
      </c>
      <c r="F43" s="428"/>
      <c r="G43" s="428"/>
      <c r="H43" s="428">
        <v>4</v>
      </c>
      <c r="I43" s="428"/>
      <c r="J43" s="428"/>
      <c r="K43" s="428">
        <v>0.3</v>
      </c>
      <c r="L43" s="428"/>
      <c r="M43" s="428">
        <v>4</v>
      </c>
      <c r="N43" s="428">
        <f>D43*(E43+K43)*H43*M43</f>
        <v>6</v>
      </c>
      <c r="O43" s="362" t="s">
        <v>89</v>
      </c>
      <c r="P43" s="962">
        <f>ROUND((N43),2)</f>
        <v>6</v>
      </c>
      <c r="Q43" s="442"/>
      <c r="R43" s="919"/>
      <c r="S43" s="442"/>
      <c r="T43" s="442"/>
      <c r="U43" s="442"/>
      <c r="V43" s="837"/>
      <c r="W43" s="837"/>
      <c r="X43" s="837"/>
    </row>
    <row r="44" spans="1:24" ht="15.75" customHeight="1">
      <c r="A44" s="451" t="s">
        <v>98</v>
      </c>
      <c r="B44" s="450" t="s">
        <v>1042</v>
      </c>
      <c r="C44" s="428"/>
      <c r="D44" s="428"/>
      <c r="E44" s="428">
        <f>E43</f>
        <v>1.2</v>
      </c>
      <c r="F44" s="428">
        <v>8</v>
      </c>
      <c r="G44" s="428"/>
      <c r="H44" s="428"/>
      <c r="I44" s="428"/>
      <c r="J44" s="428">
        <v>0.55000000000000004</v>
      </c>
      <c r="K44" s="428"/>
      <c r="L44" s="428">
        <f>13*13*0.006165</f>
        <v>1.041885</v>
      </c>
      <c r="M44" s="428">
        <f>M43</f>
        <v>4</v>
      </c>
      <c r="N44" s="428">
        <f>(E44+J44)*F44*L44*M44</f>
        <v>58.345559999999999</v>
      </c>
      <c r="O44" s="362" t="s">
        <v>100</v>
      </c>
      <c r="P44" s="962">
        <f>ROUND((N44),2)</f>
        <v>58.35</v>
      </c>
      <c r="Q44" s="442"/>
      <c r="R44" s="919"/>
      <c r="S44" s="442"/>
      <c r="T44" s="442"/>
      <c r="U44" s="442"/>
      <c r="V44" s="837"/>
      <c r="W44" s="837"/>
      <c r="X44" s="837"/>
    </row>
    <row r="45" spans="1:24" ht="15.75" customHeight="1">
      <c r="A45" s="451" t="s">
        <v>101</v>
      </c>
      <c r="B45" s="450" t="s">
        <v>428</v>
      </c>
      <c r="C45" s="428">
        <f>0.17*4</f>
        <v>0.68</v>
      </c>
      <c r="D45" s="428"/>
      <c r="E45" s="428"/>
      <c r="F45" s="428">
        <f>ROUNDDOWN((E44/0.125),0.1)</f>
        <v>9</v>
      </c>
      <c r="G45" s="428"/>
      <c r="H45" s="428"/>
      <c r="I45" s="428">
        <f>0.05*2</f>
        <v>0.1</v>
      </c>
      <c r="J45" s="428"/>
      <c r="K45" s="428"/>
      <c r="L45" s="428">
        <f>8*8*0.006165</f>
        <v>0.39456000000000002</v>
      </c>
      <c r="M45" s="428">
        <f>M44</f>
        <v>4</v>
      </c>
      <c r="N45" s="428">
        <f>(C45+I45)*F45*L45*M45</f>
        <v>11.079244800000001</v>
      </c>
      <c r="O45" s="362" t="s">
        <v>100</v>
      </c>
      <c r="P45" s="962">
        <f>ROUND((N45),2)</f>
        <v>11.08</v>
      </c>
      <c r="Q45" s="442"/>
      <c r="R45" s="919"/>
      <c r="S45" s="442"/>
      <c r="T45" s="442"/>
      <c r="U45" s="442"/>
      <c r="V45" s="837"/>
      <c r="W45" s="837"/>
      <c r="X45" s="837"/>
    </row>
    <row r="46" spans="1:24" ht="15.75" customHeight="1">
      <c r="A46" s="451" t="s">
        <v>121</v>
      </c>
      <c r="B46" s="450" t="s">
        <v>1043</v>
      </c>
      <c r="C46" s="428">
        <v>0.25</v>
      </c>
      <c r="D46" s="428">
        <v>0.25</v>
      </c>
      <c r="E46" s="428">
        <f>E44</f>
        <v>1.2</v>
      </c>
      <c r="F46" s="428"/>
      <c r="G46" s="428"/>
      <c r="H46" s="428"/>
      <c r="I46" s="428"/>
      <c r="J46" s="428"/>
      <c r="K46" s="428">
        <f>K43</f>
        <v>0.3</v>
      </c>
      <c r="L46" s="428"/>
      <c r="M46" s="428">
        <f>M44</f>
        <v>4</v>
      </c>
      <c r="N46" s="428">
        <f>C46*D46*(E46+K46)*M46</f>
        <v>0.375</v>
      </c>
      <c r="O46" s="362" t="s">
        <v>103</v>
      </c>
      <c r="P46" s="962">
        <f>ROUND((N46),2)</f>
        <v>0.38</v>
      </c>
      <c r="Q46" s="442"/>
      <c r="R46" s="919"/>
      <c r="S46" s="442"/>
      <c r="T46" s="442"/>
      <c r="U46" s="442"/>
      <c r="V46" s="837"/>
      <c r="W46" s="837"/>
      <c r="X46" s="837"/>
    </row>
    <row r="47" spans="1:24" ht="15.75" customHeight="1">
      <c r="A47" s="394">
        <f>A42+1</f>
        <v>6</v>
      </c>
      <c r="B47" s="450" t="s">
        <v>421</v>
      </c>
      <c r="C47" s="428"/>
      <c r="D47" s="428"/>
      <c r="E47" s="428"/>
      <c r="F47" s="428"/>
      <c r="G47" s="428"/>
      <c r="H47" s="428"/>
      <c r="I47" s="428"/>
      <c r="J47" s="428"/>
      <c r="K47" s="428"/>
      <c r="L47" s="428"/>
      <c r="M47" s="428"/>
      <c r="N47" s="428"/>
      <c r="O47" s="362"/>
      <c r="P47" s="962"/>
      <c r="Q47" s="442"/>
      <c r="R47" s="919"/>
      <c r="S47" s="442"/>
      <c r="T47" s="442"/>
      <c r="U47" s="442"/>
      <c r="V47" s="837"/>
      <c r="W47" s="837"/>
      <c r="X47" s="837"/>
    </row>
    <row r="48" spans="1:24" ht="15.75" customHeight="1">
      <c r="A48" s="451" t="s">
        <v>95</v>
      </c>
      <c r="B48" s="450" t="s">
        <v>417</v>
      </c>
      <c r="C48" s="428"/>
      <c r="D48" s="428">
        <v>0.25</v>
      </c>
      <c r="E48" s="428">
        <v>3.05</v>
      </c>
      <c r="F48" s="428"/>
      <c r="G48" s="428"/>
      <c r="H48" s="428">
        <v>4</v>
      </c>
      <c r="I48" s="428"/>
      <c r="J48" s="428"/>
      <c r="K48" s="428"/>
      <c r="L48" s="428"/>
      <c r="M48" s="428">
        <v>4</v>
      </c>
      <c r="N48" s="428">
        <f>D48*E48*H48*M48</f>
        <v>12.2</v>
      </c>
      <c r="O48" s="362" t="s">
        <v>89</v>
      </c>
      <c r="P48" s="962">
        <f>ROUND((N48),2)</f>
        <v>12.2</v>
      </c>
      <c r="Q48" s="442"/>
      <c r="R48" s="919"/>
      <c r="S48" s="442"/>
      <c r="T48" s="442"/>
      <c r="U48" s="442"/>
      <c r="V48" s="837"/>
      <c r="W48" s="837"/>
      <c r="X48" s="837"/>
    </row>
    <row r="49" spans="1:24" ht="15.75" customHeight="1">
      <c r="A49" s="451" t="s">
        <v>98</v>
      </c>
      <c r="B49" s="450" t="s">
        <v>1042</v>
      </c>
      <c r="C49" s="428"/>
      <c r="D49" s="428"/>
      <c r="E49" s="428">
        <f>E48</f>
        <v>3.05</v>
      </c>
      <c r="F49" s="428">
        <v>8</v>
      </c>
      <c r="G49" s="428"/>
      <c r="H49" s="428"/>
      <c r="I49" s="428"/>
      <c r="J49" s="428">
        <v>0.55000000000000004</v>
      </c>
      <c r="K49" s="428"/>
      <c r="L49" s="428">
        <f>13*13*0.006165</f>
        <v>1.041885</v>
      </c>
      <c r="M49" s="428">
        <f>M48</f>
        <v>4</v>
      </c>
      <c r="N49" s="428">
        <f>(E49+J49)*F49*L49*M49</f>
        <v>120.02515199999998</v>
      </c>
      <c r="O49" s="362" t="s">
        <v>100</v>
      </c>
      <c r="P49" s="962">
        <f>ROUND((N49),2)</f>
        <v>120.03</v>
      </c>
      <c r="Q49" s="442"/>
      <c r="R49" s="919"/>
      <c r="S49" s="442"/>
      <c r="T49" s="442"/>
      <c r="U49" s="442"/>
      <c r="V49" s="837"/>
      <c r="W49" s="837"/>
      <c r="X49" s="837"/>
    </row>
    <row r="50" spans="1:24" ht="15.75" customHeight="1">
      <c r="A50" s="451" t="s">
        <v>101</v>
      </c>
      <c r="B50" s="450" t="s">
        <v>428</v>
      </c>
      <c r="C50" s="428">
        <f>0.17*4</f>
        <v>0.68</v>
      </c>
      <c r="D50" s="428"/>
      <c r="E50" s="428"/>
      <c r="F50" s="428">
        <f>ROUNDDOWN((E49/0.125),0.1)</f>
        <v>24</v>
      </c>
      <c r="G50" s="428"/>
      <c r="H50" s="428"/>
      <c r="I50" s="428">
        <f>0.05*2</f>
        <v>0.1</v>
      </c>
      <c r="J50" s="428"/>
      <c r="K50" s="428"/>
      <c r="L50" s="428">
        <f>8*8*0.006165</f>
        <v>0.39456000000000002</v>
      </c>
      <c r="M50" s="428">
        <f>M49</f>
        <v>4</v>
      </c>
      <c r="N50" s="428">
        <f>(C50+I50)*F50*L50*M50</f>
        <v>29.544652800000001</v>
      </c>
      <c r="O50" s="362" t="s">
        <v>100</v>
      </c>
      <c r="P50" s="962">
        <f>ROUND((N50),2)</f>
        <v>29.54</v>
      </c>
      <c r="Q50" s="442"/>
      <c r="R50" s="919"/>
      <c r="S50" s="442"/>
      <c r="T50" s="442"/>
      <c r="U50" s="442"/>
      <c r="V50" s="837"/>
      <c r="W50" s="837"/>
      <c r="X50" s="837"/>
    </row>
    <row r="51" spans="1:24" ht="15.75" customHeight="1">
      <c r="A51" s="451" t="s">
        <v>121</v>
      </c>
      <c r="B51" s="450" t="s">
        <v>1043</v>
      </c>
      <c r="C51" s="428">
        <f>C46</f>
        <v>0.25</v>
      </c>
      <c r="D51" s="428">
        <f>D46</f>
        <v>0.25</v>
      </c>
      <c r="E51" s="428">
        <f>E49</f>
        <v>3.05</v>
      </c>
      <c r="F51" s="428"/>
      <c r="G51" s="428"/>
      <c r="H51" s="428"/>
      <c r="I51" s="428"/>
      <c r="J51" s="428"/>
      <c r="K51" s="428"/>
      <c r="L51" s="428"/>
      <c r="M51" s="428">
        <f>M49</f>
        <v>4</v>
      </c>
      <c r="N51" s="428">
        <f>C51*D51*E51*M51</f>
        <v>0.76249999999999996</v>
      </c>
      <c r="O51" s="362" t="s">
        <v>103</v>
      </c>
      <c r="P51" s="962">
        <f>ROUND((N51),2)</f>
        <v>0.76</v>
      </c>
      <c r="Q51" s="442"/>
      <c r="R51" s="919"/>
      <c r="S51" s="442"/>
      <c r="T51" s="442"/>
      <c r="U51" s="442"/>
      <c r="V51" s="837"/>
      <c r="W51" s="837"/>
      <c r="X51" s="837"/>
    </row>
    <row r="52" spans="1:24" ht="15.75" customHeight="1">
      <c r="A52" s="394">
        <f>A47+1</f>
        <v>7</v>
      </c>
      <c r="B52" s="389" t="s">
        <v>1748</v>
      </c>
      <c r="C52" s="428"/>
      <c r="D52" s="428"/>
      <c r="E52" s="428"/>
      <c r="F52" s="428"/>
      <c r="G52" s="428"/>
      <c r="H52" s="428"/>
      <c r="I52" s="428"/>
      <c r="J52" s="428"/>
      <c r="K52" s="428"/>
      <c r="L52" s="428"/>
      <c r="M52" s="428"/>
      <c r="N52" s="428"/>
      <c r="O52" s="362"/>
      <c r="P52" s="962"/>
      <c r="Q52" s="442"/>
      <c r="R52" s="919"/>
      <c r="S52" s="442"/>
      <c r="T52" s="442"/>
      <c r="U52" s="442"/>
      <c r="V52" s="837"/>
      <c r="W52" s="837"/>
      <c r="X52" s="837"/>
    </row>
    <row r="53" spans="1:24" ht="15.75" customHeight="1">
      <c r="A53" s="451" t="s">
        <v>95</v>
      </c>
      <c r="B53" s="450" t="s">
        <v>423</v>
      </c>
      <c r="C53" s="428"/>
      <c r="D53" s="428"/>
      <c r="E53" s="428"/>
      <c r="F53" s="428"/>
      <c r="G53" s="428"/>
      <c r="H53" s="428"/>
      <c r="I53" s="428"/>
      <c r="J53" s="428"/>
      <c r="K53" s="428"/>
      <c r="L53" s="428"/>
      <c r="M53" s="428"/>
      <c r="N53" s="428"/>
      <c r="O53" s="362"/>
      <c r="P53" s="962"/>
      <c r="Q53" s="442"/>
      <c r="R53" s="919"/>
      <c r="S53" s="442"/>
      <c r="T53" s="442"/>
      <c r="U53" s="442"/>
      <c r="V53" s="837"/>
      <c r="W53" s="837"/>
      <c r="X53" s="837"/>
    </row>
    <row r="54" spans="1:24" ht="15.75" customHeight="1">
      <c r="A54" s="451"/>
      <c r="B54" s="963" t="s">
        <v>226</v>
      </c>
      <c r="C54" s="428">
        <f>C35</f>
        <v>3</v>
      </c>
      <c r="D54" s="428"/>
      <c r="E54" s="428">
        <v>0.25</v>
      </c>
      <c r="F54" s="428"/>
      <c r="G54" s="428"/>
      <c r="H54" s="428">
        <v>2</v>
      </c>
      <c r="I54" s="428"/>
      <c r="J54" s="428"/>
      <c r="K54" s="428"/>
      <c r="L54" s="428"/>
      <c r="M54" s="428">
        <v>2</v>
      </c>
      <c r="N54" s="428">
        <f>C54*E54*H54*M54</f>
        <v>3</v>
      </c>
      <c r="O54" s="362"/>
      <c r="P54" s="962"/>
      <c r="Q54" s="442"/>
      <c r="R54" s="919"/>
      <c r="S54" s="442"/>
      <c r="T54" s="442"/>
      <c r="U54" s="442"/>
      <c r="V54" s="837"/>
      <c r="W54" s="837"/>
      <c r="X54" s="837"/>
    </row>
    <row r="55" spans="1:24" ht="15.75" customHeight="1">
      <c r="A55" s="451"/>
      <c r="B55" s="963"/>
      <c r="C55" s="428">
        <f>C54</f>
        <v>3</v>
      </c>
      <c r="D55" s="428">
        <v>0.25</v>
      </c>
      <c r="E55" s="428"/>
      <c r="F55" s="428"/>
      <c r="G55" s="428"/>
      <c r="H55" s="428">
        <v>1</v>
      </c>
      <c r="I55" s="428"/>
      <c r="J55" s="428"/>
      <c r="K55" s="428"/>
      <c r="L55" s="428"/>
      <c r="M55" s="428">
        <f>M54</f>
        <v>2</v>
      </c>
      <c r="N55" s="1059">
        <f>C55*D55*H55*M55</f>
        <v>1.5</v>
      </c>
      <c r="O55" s="362"/>
      <c r="P55" s="962"/>
      <c r="Q55" s="442"/>
      <c r="R55" s="919"/>
      <c r="S55" s="442"/>
      <c r="T55" s="442"/>
      <c r="U55" s="442"/>
      <c r="V55" s="837"/>
      <c r="W55" s="837"/>
      <c r="X55" s="837"/>
    </row>
    <row r="56" spans="1:24" ht="15.75" customHeight="1">
      <c r="A56" s="451"/>
      <c r="B56" s="963" t="s">
        <v>227</v>
      </c>
      <c r="C56" s="428">
        <f>C36</f>
        <v>3</v>
      </c>
      <c r="D56" s="428"/>
      <c r="E56" s="428">
        <f>E54</f>
        <v>0.25</v>
      </c>
      <c r="F56" s="428"/>
      <c r="G56" s="428"/>
      <c r="H56" s="428">
        <f>H54</f>
        <v>2</v>
      </c>
      <c r="I56" s="428"/>
      <c r="J56" s="428"/>
      <c r="K56" s="428"/>
      <c r="L56" s="428"/>
      <c r="M56" s="428">
        <f>M54</f>
        <v>2</v>
      </c>
      <c r="N56" s="590">
        <f>C56*E56*H56*M56</f>
        <v>3</v>
      </c>
      <c r="O56" s="362"/>
      <c r="P56" s="962"/>
      <c r="Q56" s="442"/>
      <c r="R56" s="919"/>
      <c r="S56" s="442"/>
      <c r="T56" s="442"/>
      <c r="U56" s="442"/>
      <c r="V56" s="837"/>
      <c r="W56" s="837"/>
      <c r="X56" s="837"/>
    </row>
    <row r="57" spans="1:24" ht="15.75" customHeight="1">
      <c r="A57" s="451"/>
      <c r="B57" s="963"/>
      <c r="C57" s="428">
        <f>C56</f>
        <v>3</v>
      </c>
      <c r="D57" s="428">
        <f>D55</f>
        <v>0.25</v>
      </c>
      <c r="E57" s="428"/>
      <c r="F57" s="428"/>
      <c r="G57" s="428"/>
      <c r="H57" s="428">
        <f>H55</f>
        <v>1</v>
      </c>
      <c r="I57" s="428"/>
      <c r="J57" s="428"/>
      <c r="K57" s="428"/>
      <c r="L57" s="428"/>
      <c r="M57" s="428">
        <f>M56</f>
        <v>2</v>
      </c>
      <c r="N57" s="452">
        <f>C57*D57*H57*M57</f>
        <v>1.5</v>
      </c>
      <c r="O57" s="362"/>
      <c r="P57" s="962"/>
      <c r="Q57" s="442"/>
      <c r="R57" s="919"/>
      <c r="S57" s="442"/>
      <c r="T57" s="442"/>
      <c r="U57" s="442"/>
      <c r="V57" s="837"/>
      <c r="W57" s="837"/>
      <c r="X57" s="837"/>
    </row>
    <row r="58" spans="1:24" ht="15.75" customHeight="1">
      <c r="A58" s="451"/>
      <c r="B58" s="450"/>
      <c r="C58" s="428"/>
      <c r="D58" s="428"/>
      <c r="E58" s="428"/>
      <c r="F58" s="428"/>
      <c r="G58" s="428"/>
      <c r="H58" s="428"/>
      <c r="I58" s="428"/>
      <c r="J58" s="428"/>
      <c r="K58" s="428"/>
      <c r="L58" s="428"/>
      <c r="M58" s="428"/>
      <c r="N58" s="390">
        <f>SUM(N54:N57)</f>
        <v>9</v>
      </c>
      <c r="O58" s="362" t="s">
        <v>89</v>
      </c>
      <c r="P58" s="962">
        <f>ROUND((N58),2)</f>
        <v>9</v>
      </c>
      <c r="Q58" s="442"/>
      <c r="R58" s="919"/>
      <c r="S58" s="442"/>
      <c r="T58" s="442"/>
      <c r="U58" s="442"/>
      <c r="V58" s="837"/>
      <c r="W58" s="837"/>
      <c r="X58" s="837"/>
    </row>
    <row r="59" spans="1:24" ht="15.75" customHeight="1">
      <c r="A59" s="451" t="s">
        <v>98</v>
      </c>
      <c r="B59" s="389" t="s">
        <v>925</v>
      </c>
      <c r="C59" s="428"/>
      <c r="D59" s="428"/>
      <c r="E59" s="428"/>
      <c r="F59" s="428"/>
      <c r="G59" s="428"/>
      <c r="H59" s="428"/>
      <c r="I59" s="428"/>
      <c r="J59" s="428"/>
      <c r="K59" s="428"/>
      <c r="L59" s="428"/>
      <c r="M59" s="428"/>
      <c r="N59" s="428"/>
      <c r="O59" s="362"/>
      <c r="P59" s="962"/>
      <c r="Q59" s="442"/>
      <c r="R59" s="919"/>
      <c r="S59" s="442"/>
      <c r="T59" s="442"/>
      <c r="U59" s="442"/>
      <c r="V59" s="837"/>
      <c r="W59" s="837"/>
      <c r="X59" s="837"/>
    </row>
    <row r="60" spans="1:24" ht="15.75" customHeight="1">
      <c r="A60" s="451"/>
      <c r="B60" s="450"/>
      <c r="C60" s="428">
        <f>C54</f>
        <v>3</v>
      </c>
      <c r="D60" s="428"/>
      <c r="E60" s="428"/>
      <c r="F60" s="428">
        <v>4</v>
      </c>
      <c r="G60" s="428"/>
      <c r="H60" s="428"/>
      <c r="I60" s="428"/>
      <c r="J60" s="428"/>
      <c r="K60" s="428"/>
      <c r="L60" s="428">
        <f>13*13*0.006165</f>
        <v>1.041885</v>
      </c>
      <c r="M60" s="428">
        <f>M54</f>
        <v>2</v>
      </c>
      <c r="N60" s="428">
        <f>C60*F60*L60*M60</f>
        <v>25.005240000000001</v>
      </c>
      <c r="O60" s="362"/>
      <c r="P60" s="962"/>
      <c r="Q60" s="442"/>
      <c r="R60" s="919"/>
      <c r="S60" s="442"/>
      <c r="T60" s="442"/>
      <c r="U60" s="442"/>
      <c r="V60" s="837"/>
      <c r="W60" s="837"/>
      <c r="X60" s="837"/>
    </row>
    <row r="61" spans="1:24" ht="15.75" customHeight="1">
      <c r="A61" s="451"/>
      <c r="B61" s="450"/>
      <c r="C61" s="428">
        <f>C56</f>
        <v>3</v>
      </c>
      <c r="D61" s="428"/>
      <c r="E61" s="428"/>
      <c r="F61" s="428">
        <f>F60</f>
        <v>4</v>
      </c>
      <c r="G61" s="428"/>
      <c r="H61" s="428"/>
      <c r="I61" s="428"/>
      <c r="J61" s="428"/>
      <c r="K61" s="428"/>
      <c r="L61" s="428">
        <f>L60</f>
        <v>1.041885</v>
      </c>
      <c r="M61" s="428">
        <f>M56</f>
        <v>2</v>
      </c>
      <c r="N61" s="590">
        <f>C61*F61*L61*M61</f>
        <v>25.005240000000001</v>
      </c>
      <c r="O61" s="362"/>
      <c r="P61" s="962"/>
      <c r="Q61" s="442"/>
      <c r="R61" s="919"/>
      <c r="S61" s="442"/>
      <c r="T61" s="442"/>
      <c r="U61" s="442"/>
      <c r="V61" s="837"/>
      <c r="W61" s="837"/>
      <c r="X61" s="837"/>
    </row>
    <row r="62" spans="1:24" ht="15.75" customHeight="1">
      <c r="A62" s="451"/>
      <c r="B62" s="450"/>
      <c r="C62" s="428"/>
      <c r="D62" s="428"/>
      <c r="E62" s="428"/>
      <c r="F62" s="428"/>
      <c r="G62" s="428"/>
      <c r="H62" s="428"/>
      <c r="I62" s="428"/>
      <c r="J62" s="428"/>
      <c r="K62" s="428"/>
      <c r="L62" s="428"/>
      <c r="M62" s="428"/>
      <c r="N62" s="390">
        <f>SUM(N60:N61)</f>
        <v>50.010480000000001</v>
      </c>
      <c r="O62" s="362" t="s">
        <v>100</v>
      </c>
      <c r="P62" s="962">
        <f>ROUND((N62),2)</f>
        <v>50.01</v>
      </c>
      <c r="Q62" s="442"/>
      <c r="R62" s="919"/>
      <c r="S62" s="442"/>
      <c r="T62" s="442"/>
      <c r="U62" s="442"/>
      <c r="V62" s="837"/>
      <c r="W62" s="837"/>
      <c r="X62" s="837"/>
    </row>
    <row r="63" spans="1:24" ht="15.75" customHeight="1">
      <c r="A63" s="451" t="s">
        <v>101</v>
      </c>
      <c r="B63" s="389" t="s">
        <v>411</v>
      </c>
      <c r="C63" s="428"/>
      <c r="D63" s="428"/>
      <c r="E63" s="428"/>
      <c r="F63" s="428"/>
      <c r="G63" s="428"/>
      <c r="H63" s="428"/>
      <c r="I63" s="428"/>
      <c r="J63" s="428"/>
      <c r="K63" s="428"/>
      <c r="L63" s="428"/>
      <c r="M63" s="428"/>
      <c r="N63" s="428"/>
      <c r="O63" s="362"/>
      <c r="P63" s="962"/>
      <c r="Q63" s="442"/>
      <c r="R63" s="919"/>
      <c r="S63" s="442"/>
      <c r="T63" s="442"/>
      <c r="U63" s="442"/>
      <c r="V63" s="837"/>
      <c r="W63" s="837"/>
      <c r="X63" s="837"/>
    </row>
    <row r="64" spans="1:24" ht="15.75" customHeight="1">
      <c r="A64" s="451"/>
      <c r="B64" s="450"/>
      <c r="C64" s="428">
        <f>(0.17+0.22)*2</f>
        <v>0.78</v>
      </c>
      <c r="D64" s="428"/>
      <c r="E64" s="428"/>
      <c r="F64" s="428">
        <f>ROUNDDOWN((C60/0.125),0.1)</f>
        <v>24</v>
      </c>
      <c r="G64" s="428"/>
      <c r="H64" s="428"/>
      <c r="I64" s="428">
        <f>0.05*2</f>
        <v>0.1</v>
      </c>
      <c r="J64" s="428"/>
      <c r="K64" s="428"/>
      <c r="L64" s="428">
        <f>8*8*0.006165</f>
        <v>0.39456000000000002</v>
      </c>
      <c r="M64" s="428">
        <f>M60</f>
        <v>2</v>
      </c>
      <c r="N64" s="428">
        <f>(C64+I64)*F64*L64*M64</f>
        <v>16.666214400000001</v>
      </c>
      <c r="O64" s="362"/>
      <c r="P64" s="962"/>
      <c r="Q64" s="442"/>
      <c r="R64" s="919"/>
      <c r="S64" s="442"/>
      <c r="T64" s="442"/>
      <c r="U64" s="442"/>
      <c r="V64" s="837"/>
      <c r="W64" s="837"/>
      <c r="X64" s="837"/>
    </row>
    <row r="65" spans="1:24" ht="15.75" customHeight="1">
      <c r="A65" s="451"/>
      <c r="B65" s="450"/>
      <c r="C65" s="428">
        <f>C64</f>
        <v>0.78</v>
      </c>
      <c r="D65" s="428"/>
      <c r="E65" s="428"/>
      <c r="F65" s="428">
        <f>ROUNDDOWN((C61/0.125),0.1)</f>
        <v>24</v>
      </c>
      <c r="G65" s="428"/>
      <c r="H65" s="428"/>
      <c r="I65" s="428">
        <f>I64</f>
        <v>0.1</v>
      </c>
      <c r="J65" s="428"/>
      <c r="K65" s="428"/>
      <c r="L65" s="428">
        <f>L64</f>
        <v>0.39456000000000002</v>
      </c>
      <c r="M65" s="428">
        <f>M61</f>
        <v>2</v>
      </c>
      <c r="N65" s="590">
        <f>(C65+I65)*F65*L65*M65</f>
        <v>16.666214400000001</v>
      </c>
      <c r="O65" s="362"/>
      <c r="P65" s="962"/>
      <c r="Q65" s="442"/>
      <c r="R65" s="919"/>
      <c r="S65" s="442"/>
      <c r="T65" s="442"/>
      <c r="U65" s="442"/>
      <c r="V65" s="837"/>
      <c r="W65" s="837"/>
      <c r="X65" s="837"/>
    </row>
    <row r="66" spans="1:24" ht="15.75" customHeight="1">
      <c r="A66" s="451"/>
      <c r="B66" s="450"/>
      <c r="C66" s="428"/>
      <c r="D66" s="428"/>
      <c r="E66" s="428"/>
      <c r="F66" s="428"/>
      <c r="G66" s="428"/>
      <c r="H66" s="428"/>
      <c r="I66" s="428"/>
      <c r="J66" s="428"/>
      <c r="K66" s="428"/>
      <c r="L66" s="428"/>
      <c r="M66" s="428"/>
      <c r="N66" s="390">
        <f>SUM(N64:N65)</f>
        <v>33.332428800000002</v>
      </c>
      <c r="O66" s="362" t="s">
        <v>100</v>
      </c>
      <c r="P66" s="962">
        <f>ROUND((N66),2)</f>
        <v>33.33</v>
      </c>
      <c r="Q66" s="442"/>
      <c r="R66" s="919"/>
      <c r="S66" s="442"/>
      <c r="T66" s="442"/>
      <c r="U66" s="442"/>
      <c r="V66" s="837"/>
      <c r="W66" s="837"/>
      <c r="X66" s="837"/>
    </row>
    <row r="67" spans="1:24" ht="15.75" customHeight="1">
      <c r="A67" s="451" t="s">
        <v>121</v>
      </c>
      <c r="B67" s="450" t="s">
        <v>1043</v>
      </c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362"/>
      <c r="P67" s="962"/>
      <c r="Q67" s="442"/>
      <c r="R67" s="919"/>
      <c r="S67" s="442"/>
      <c r="T67" s="442"/>
      <c r="U67" s="442"/>
      <c r="V67" s="837"/>
      <c r="W67" s="837"/>
      <c r="X67" s="837"/>
    </row>
    <row r="68" spans="1:24" ht="15.75" customHeight="1">
      <c r="A68" s="451"/>
      <c r="B68" s="450"/>
      <c r="C68" s="428">
        <f>C60</f>
        <v>3</v>
      </c>
      <c r="D68" s="428">
        <v>0.25</v>
      </c>
      <c r="E68" s="428">
        <v>0.3</v>
      </c>
      <c r="F68" s="428"/>
      <c r="G68" s="428"/>
      <c r="H68" s="428"/>
      <c r="I68" s="428"/>
      <c r="J68" s="428"/>
      <c r="K68" s="428"/>
      <c r="L68" s="428"/>
      <c r="M68" s="428">
        <f>M64</f>
        <v>2</v>
      </c>
      <c r="N68" s="428">
        <f>C68*D68*E68*M68</f>
        <v>0.44999999999999996</v>
      </c>
      <c r="O68" s="362"/>
      <c r="P68" s="962"/>
      <c r="Q68" s="442"/>
      <c r="R68" s="919"/>
      <c r="S68" s="442"/>
      <c r="T68" s="442"/>
      <c r="U68" s="442"/>
      <c r="V68" s="837"/>
      <c r="W68" s="837"/>
      <c r="X68" s="837"/>
    </row>
    <row r="69" spans="1:24" ht="15.75" customHeight="1">
      <c r="A69" s="451"/>
      <c r="B69" s="450"/>
      <c r="C69" s="428">
        <f>C61</f>
        <v>3</v>
      </c>
      <c r="D69" s="428">
        <f>D68</f>
        <v>0.25</v>
      </c>
      <c r="E69" s="428">
        <f>E68</f>
        <v>0.3</v>
      </c>
      <c r="F69" s="428"/>
      <c r="G69" s="428"/>
      <c r="H69" s="428"/>
      <c r="I69" s="428"/>
      <c r="J69" s="428"/>
      <c r="K69" s="428"/>
      <c r="L69" s="428"/>
      <c r="M69" s="428">
        <f>M65</f>
        <v>2</v>
      </c>
      <c r="N69" s="590">
        <f>C69*D69*E69*M69</f>
        <v>0.44999999999999996</v>
      </c>
      <c r="O69" s="362"/>
      <c r="P69" s="962"/>
      <c r="Q69" s="442"/>
      <c r="R69" s="919"/>
      <c r="S69" s="442"/>
      <c r="T69" s="442"/>
      <c r="U69" s="442"/>
      <c r="V69" s="837"/>
      <c r="W69" s="837"/>
      <c r="X69" s="837"/>
    </row>
    <row r="70" spans="1:24" ht="15.75" customHeight="1">
      <c r="A70" s="451"/>
      <c r="B70" s="450"/>
      <c r="C70" s="428"/>
      <c r="D70" s="428"/>
      <c r="E70" s="428"/>
      <c r="F70" s="428"/>
      <c r="G70" s="428"/>
      <c r="H70" s="428"/>
      <c r="I70" s="428"/>
      <c r="J70" s="428"/>
      <c r="K70" s="428"/>
      <c r="L70" s="428"/>
      <c r="M70" s="428"/>
      <c r="N70" s="390">
        <f>SUM(N68:N69)</f>
        <v>0.89999999999999991</v>
      </c>
      <c r="O70" s="362" t="s">
        <v>103</v>
      </c>
      <c r="P70" s="962">
        <f>ROUND((N70),2)</f>
        <v>0.9</v>
      </c>
      <c r="Q70" s="442"/>
      <c r="R70" s="919"/>
      <c r="S70" s="442"/>
      <c r="T70" s="442"/>
      <c r="U70" s="442"/>
      <c r="V70" s="837"/>
      <c r="W70" s="837"/>
      <c r="X70" s="837"/>
    </row>
    <row r="71" spans="1:24" ht="15.75" customHeight="1">
      <c r="A71" s="394">
        <f>A52+1</f>
        <v>8</v>
      </c>
      <c r="B71" s="450" t="s">
        <v>1012</v>
      </c>
      <c r="C71" s="428">
        <v>2.4500000000000002</v>
      </c>
      <c r="D71" s="428">
        <v>4.0999999999999996</v>
      </c>
      <c r="E71" s="428"/>
      <c r="F71" s="428"/>
      <c r="G71" s="428"/>
      <c r="H71" s="428">
        <v>4</v>
      </c>
      <c r="I71" s="428"/>
      <c r="J71" s="428"/>
      <c r="K71" s="428"/>
      <c r="L71" s="428"/>
      <c r="M71" s="428">
        <v>1</v>
      </c>
      <c r="N71" s="428">
        <f>C71*D71*H71*M71</f>
        <v>40.18</v>
      </c>
      <c r="O71" s="362" t="s">
        <v>89</v>
      </c>
      <c r="P71" s="962">
        <f>ROUND((N71),2)</f>
        <v>40.18</v>
      </c>
      <c r="Q71" s="442"/>
      <c r="R71" s="919"/>
      <c r="S71" s="442"/>
      <c r="T71" s="442"/>
      <c r="U71" s="442"/>
      <c r="V71" s="837"/>
      <c r="W71" s="837"/>
      <c r="X71" s="837"/>
    </row>
    <row r="72" spans="1:24" ht="15.75" customHeight="1">
      <c r="A72" s="394">
        <f>A71+1</f>
        <v>9</v>
      </c>
      <c r="B72" s="450" t="s">
        <v>1691</v>
      </c>
      <c r="C72" s="428">
        <f>C71</f>
        <v>2.4500000000000002</v>
      </c>
      <c r="D72" s="428">
        <f>D71</f>
        <v>4.0999999999999996</v>
      </c>
      <c r="E72" s="428"/>
      <c r="F72" s="428"/>
      <c r="G72" s="428"/>
      <c r="H72" s="428">
        <v>2</v>
      </c>
      <c r="I72" s="428"/>
      <c r="J72" s="428"/>
      <c r="K72" s="428"/>
      <c r="L72" s="428"/>
      <c r="M72" s="428">
        <f>M71</f>
        <v>1</v>
      </c>
      <c r="N72" s="428">
        <f>C72*D72*H72*M72</f>
        <v>20.09</v>
      </c>
      <c r="O72" s="362" t="s">
        <v>89</v>
      </c>
      <c r="P72" s="962">
        <f>ROUND((N72),2)</f>
        <v>20.09</v>
      </c>
      <c r="Q72" s="442"/>
      <c r="R72" s="919"/>
      <c r="S72" s="442"/>
      <c r="T72" s="442"/>
      <c r="U72" s="442"/>
      <c r="V72" s="837"/>
      <c r="W72" s="837"/>
      <c r="X72" s="837"/>
    </row>
    <row r="73" spans="1:24" ht="15.75" customHeight="1">
      <c r="A73" s="394">
        <f>A72+1</f>
        <v>10</v>
      </c>
      <c r="B73" s="450" t="s">
        <v>1014</v>
      </c>
      <c r="C73" s="428">
        <f>C72</f>
        <v>2.4500000000000002</v>
      </c>
      <c r="D73" s="428"/>
      <c r="E73" s="428"/>
      <c r="F73" s="428"/>
      <c r="G73" s="428"/>
      <c r="H73" s="428">
        <v>4</v>
      </c>
      <c r="I73" s="428"/>
      <c r="J73" s="428"/>
      <c r="K73" s="428"/>
      <c r="L73" s="428"/>
      <c r="M73" s="428">
        <f>M72</f>
        <v>1</v>
      </c>
      <c r="N73" s="428">
        <f>C73*H73*M73</f>
        <v>9.8000000000000007</v>
      </c>
      <c r="O73" s="362" t="s">
        <v>117</v>
      </c>
      <c r="P73" s="962">
        <f>ROUND((N73),2)</f>
        <v>9.8000000000000007</v>
      </c>
      <c r="Q73" s="442"/>
      <c r="R73" s="919"/>
      <c r="S73" s="442"/>
      <c r="T73" s="442"/>
      <c r="U73" s="442"/>
      <c r="V73" s="837"/>
      <c r="W73" s="837"/>
      <c r="X73" s="837"/>
    </row>
    <row r="74" spans="1:24" ht="15.75" customHeight="1">
      <c r="A74" s="394">
        <f>A73+1</f>
        <v>11</v>
      </c>
      <c r="B74" s="450" t="s">
        <v>1037</v>
      </c>
      <c r="C74" s="428"/>
      <c r="D74" s="428"/>
      <c r="E74" s="428"/>
      <c r="F74" s="428"/>
      <c r="G74" s="428"/>
      <c r="H74" s="428"/>
      <c r="I74" s="428"/>
      <c r="J74" s="428"/>
      <c r="K74" s="428"/>
      <c r="L74" s="428"/>
      <c r="M74" s="428"/>
      <c r="N74" s="428"/>
      <c r="O74" s="362"/>
      <c r="P74" s="962"/>
      <c r="Q74" s="442"/>
      <c r="R74" s="919"/>
      <c r="S74" s="442"/>
      <c r="T74" s="442"/>
      <c r="U74" s="442"/>
      <c r="V74" s="837"/>
      <c r="W74" s="837"/>
      <c r="X74" s="837"/>
    </row>
    <row r="75" spans="1:24" ht="15.75" customHeight="1">
      <c r="A75" s="394"/>
      <c r="B75" s="908" t="s">
        <v>1749</v>
      </c>
      <c r="C75" s="428">
        <v>4.3</v>
      </c>
      <c r="D75" s="428"/>
      <c r="E75" s="428"/>
      <c r="F75" s="428"/>
      <c r="G75" s="428"/>
      <c r="H75" s="428">
        <v>2</v>
      </c>
      <c r="I75" s="428"/>
      <c r="J75" s="428"/>
      <c r="K75" s="428"/>
      <c r="L75" s="428"/>
      <c r="M75" s="428">
        <v>1</v>
      </c>
      <c r="N75" s="428">
        <f>C75*H75*M75</f>
        <v>8.6</v>
      </c>
      <c r="O75" s="362"/>
      <c r="P75" s="962"/>
      <c r="Q75" s="442"/>
      <c r="R75" s="919"/>
      <c r="S75" s="442"/>
      <c r="T75" s="442"/>
      <c r="U75" s="442"/>
      <c r="V75" s="837"/>
      <c r="W75" s="837"/>
      <c r="X75" s="837"/>
    </row>
    <row r="76" spans="1:24" ht="15.75" customHeight="1">
      <c r="A76" s="394"/>
      <c r="B76" s="908" t="s">
        <v>1185</v>
      </c>
      <c r="C76" s="428">
        <v>4.3</v>
      </c>
      <c r="D76" s="428"/>
      <c r="E76" s="428"/>
      <c r="F76" s="428"/>
      <c r="G76" s="428"/>
      <c r="H76" s="428">
        <f>H75</f>
        <v>2</v>
      </c>
      <c r="I76" s="428"/>
      <c r="J76" s="428"/>
      <c r="K76" s="428"/>
      <c r="L76" s="428"/>
      <c r="M76" s="428">
        <v>1</v>
      </c>
      <c r="N76" s="590">
        <f>C76*H76*M76</f>
        <v>8.6</v>
      </c>
      <c r="O76" s="362"/>
      <c r="P76" s="962"/>
      <c r="Q76" s="442"/>
      <c r="R76" s="919"/>
      <c r="S76" s="442"/>
      <c r="T76" s="442"/>
      <c r="U76" s="442"/>
      <c r="V76" s="837"/>
      <c r="W76" s="837"/>
      <c r="X76" s="837"/>
    </row>
    <row r="77" spans="1:24" ht="15.75" customHeight="1">
      <c r="A77" s="394"/>
      <c r="B77" s="1538"/>
      <c r="C77" s="428"/>
      <c r="D77" s="428"/>
      <c r="E77" s="428"/>
      <c r="F77" s="428"/>
      <c r="G77" s="428"/>
      <c r="H77" s="428"/>
      <c r="I77" s="428"/>
      <c r="J77" s="428"/>
      <c r="K77" s="428"/>
      <c r="L77" s="428"/>
      <c r="M77" s="428"/>
      <c r="N77" s="390">
        <f>SUM(N75:N76)</f>
        <v>17.2</v>
      </c>
      <c r="O77" s="362" t="s">
        <v>117</v>
      </c>
      <c r="P77" s="962">
        <f>ROUND((N77),2)</f>
        <v>17.2</v>
      </c>
      <c r="Q77" s="442"/>
      <c r="R77" s="919"/>
      <c r="S77" s="442"/>
      <c r="T77" s="442"/>
      <c r="U77" s="442"/>
      <c r="V77" s="837"/>
      <c r="W77" s="837"/>
      <c r="X77" s="837"/>
    </row>
    <row r="78" spans="1:24" ht="15.75" customHeight="1">
      <c r="A78" s="394">
        <f>A74+1</f>
        <v>12</v>
      </c>
      <c r="B78" s="1538" t="s">
        <v>968</v>
      </c>
      <c r="C78" s="428">
        <f>C76</f>
        <v>4.3</v>
      </c>
      <c r="D78" s="428">
        <v>0.3</v>
      </c>
      <c r="E78" s="428"/>
      <c r="F78" s="428"/>
      <c r="G78" s="428"/>
      <c r="H78" s="428">
        <v>4</v>
      </c>
      <c r="I78" s="428"/>
      <c r="J78" s="428"/>
      <c r="K78" s="428"/>
      <c r="L78" s="428"/>
      <c r="M78" s="428">
        <v>1</v>
      </c>
      <c r="N78" s="590">
        <f>C78*D78*H78*M78</f>
        <v>5.1599999999999993</v>
      </c>
      <c r="O78" s="362"/>
      <c r="P78" s="962"/>
      <c r="Q78" s="442"/>
      <c r="R78" s="919"/>
      <c r="S78" s="442"/>
      <c r="T78" s="442"/>
      <c r="U78" s="442"/>
      <c r="V78" s="837"/>
      <c r="W78" s="837"/>
      <c r="X78" s="837"/>
    </row>
    <row r="79" spans="1:24" ht="15.75" customHeight="1">
      <c r="A79" s="394"/>
      <c r="B79" s="450"/>
      <c r="C79" s="428"/>
      <c r="D79" s="428"/>
      <c r="E79" s="428"/>
      <c r="F79" s="428"/>
      <c r="G79" s="428"/>
      <c r="H79" s="428"/>
      <c r="I79" s="428"/>
      <c r="J79" s="428"/>
      <c r="K79" s="428"/>
      <c r="L79" s="428"/>
      <c r="M79" s="428"/>
      <c r="N79" s="390">
        <f>SUM(N78)</f>
        <v>5.1599999999999993</v>
      </c>
      <c r="O79" s="362" t="s">
        <v>89</v>
      </c>
      <c r="P79" s="962">
        <f>ROUND((N79),2)</f>
        <v>5.16</v>
      </c>
      <c r="Q79" s="442"/>
      <c r="R79" s="919"/>
      <c r="S79" s="442"/>
      <c r="T79" s="442"/>
      <c r="U79" s="442"/>
      <c r="V79" s="837"/>
      <c r="W79" s="837"/>
      <c r="X79" s="837"/>
    </row>
    <row r="80" spans="1:24" ht="15.75" customHeight="1">
      <c r="A80" s="971" t="s">
        <v>1168</v>
      </c>
      <c r="B80" s="1539" t="s">
        <v>434</v>
      </c>
      <c r="C80" s="428"/>
      <c r="D80" s="428"/>
      <c r="E80" s="428"/>
      <c r="F80" s="428"/>
      <c r="G80" s="428"/>
      <c r="H80" s="428"/>
      <c r="I80" s="428"/>
      <c r="J80" s="428"/>
      <c r="K80" s="428"/>
      <c r="L80" s="428"/>
      <c r="M80" s="428"/>
      <c r="N80" s="428"/>
      <c r="O80" s="362"/>
      <c r="P80" s="962"/>
      <c r="Q80" s="442"/>
      <c r="R80" s="919"/>
      <c r="S80" s="442"/>
      <c r="T80" s="442"/>
      <c r="U80" s="442"/>
      <c r="V80" s="837"/>
      <c r="W80" s="837"/>
      <c r="X80" s="837"/>
    </row>
    <row r="81" spans="1:24" ht="15.75" customHeight="1">
      <c r="A81" s="394">
        <v>1</v>
      </c>
      <c r="B81" s="450" t="s">
        <v>435</v>
      </c>
      <c r="C81" s="428"/>
      <c r="D81" s="428"/>
      <c r="E81" s="428"/>
      <c r="F81" s="428"/>
      <c r="G81" s="428"/>
      <c r="H81" s="428"/>
      <c r="I81" s="428"/>
      <c r="J81" s="428"/>
      <c r="K81" s="428"/>
      <c r="L81" s="428"/>
      <c r="M81" s="428"/>
      <c r="N81" s="428"/>
      <c r="O81" s="362"/>
      <c r="P81" s="962"/>
      <c r="Q81" s="442"/>
      <c r="R81" s="919"/>
      <c r="S81" s="442"/>
      <c r="T81" s="442"/>
      <c r="U81" s="442"/>
      <c r="V81" s="837"/>
      <c r="W81" s="837"/>
      <c r="X81" s="837"/>
    </row>
    <row r="82" spans="1:24" ht="15.75" customHeight="1">
      <c r="A82" s="394"/>
      <c r="B82" s="963" t="s">
        <v>1017</v>
      </c>
      <c r="C82" s="428"/>
      <c r="D82" s="428">
        <v>0.25</v>
      </c>
      <c r="E82" s="428">
        <v>2.5</v>
      </c>
      <c r="F82" s="428"/>
      <c r="G82" s="428"/>
      <c r="H82" s="428">
        <v>4</v>
      </c>
      <c r="I82" s="428"/>
      <c r="J82" s="428"/>
      <c r="K82" s="428"/>
      <c r="L82" s="428"/>
      <c r="M82" s="428">
        <v>4</v>
      </c>
      <c r="N82" s="428">
        <f>D82*E82*H82*M82</f>
        <v>10</v>
      </c>
      <c r="O82" s="362"/>
      <c r="P82" s="962"/>
      <c r="Q82" s="442"/>
      <c r="R82" s="919"/>
      <c r="S82" s="442"/>
      <c r="T82" s="442"/>
      <c r="U82" s="442"/>
      <c r="V82" s="837"/>
      <c r="W82" s="837"/>
      <c r="X82" s="837"/>
    </row>
    <row r="83" spans="1:24" ht="15.75" customHeight="1">
      <c r="A83" s="394"/>
      <c r="B83" s="963" t="s">
        <v>1018</v>
      </c>
      <c r="C83" s="428">
        <v>3</v>
      </c>
      <c r="D83" s="428"/>
      <c r="E83" s="428">
        <v>0.3</v>
      </c>
      <c r="F83" s="428"/>
      <c r="G83" s="428"/>
      <c r="H83" s="428">
        <v>2</v>
      </c>
      <c r="I83" s="428"/>
      <c r="J83" s="428"/>
      <c r="K83" s="428"/>
      <c r="L83" s="428"/>
      <c r="M83" s="428">
        <v>2</v>
      </c>
      <c r="N83" s="428">
        <f>C83*E83*H83*M83</f>
        <v>3.5999999999999996</v>
      </c>
      <c r="O83" s="362"/>
      <c r="P83" s="962"/>
      <c r="Q83" s="442"/>
      <c r="R83" s="919"/>
      <c r="S83" s="442"/>
      <c r="T83" s="442"/>
      <c r="U83" s="442"/>
      <c r="V83" s="837"/>
      <c r="W83" s="837"/>
      <c r="X83" s="837"/>
    </row>
    <row r="84" spans="1:24" ht="15.75" customHeight="1">
      <c r="A84" s="394"/>
      <c r="B84" s="963"/>
      <c r="C84" s="428">
        <f>C83</f>
        <v>3</v>
      </c>
      <c r="D84" s="428">
        <v>0.25</v>
      </c>
      <c r="E84" s="428"/>
      <c r="F84" s="428"/>
      <c r="G84" s="428"/>
      <c r="H84" s="428">
        <v>1</v>
      </c>
      <c r="I84" s="428"/>
      <c r="J84" s="428"/>
      <c r="K84" s="428"/>
      <c r="L84" s="428"/>
      <c r="M84" s="428">
        <f>M83</f>
        <v>2</v>
      </c>
      <c r="N84" s="590">
        <f>C84*D84*H84*M84</f>
        <v>1.5</v>
      </c>
      <c r="O84" s="362"/>
      <c r="P84" s="962"/>
      <c r="Q84" s="442"/>
      <c r="R84" s="919"/>
      <c r="S84" s="442"/>
      <c r="T84" s="442"/>
      <c r="U84" s="442"/>
      <c r="V84" s="837"/>
      <c r="W84" s="837"/>
      <c r="X84" s="837"/>
    </row>
    <row r="85" spans="1:24" ht="15.75" customHeight="1">
      <c r="A85" s="394"/>
      <c r="B85" s="963"/>
      <c r="C85" s="428"/>
      <c r="D85" s="428"/>
      <c r="E85" s="428"/>
      <c r="F85" s="428"/>
      <c r="G85" s="428"/>
      <c r="H85" s="428"/>
      <c r="I85" s="428"/>
      <c r="J85" s="428"/>
      <c r="K85" s="428"/>
      <c r="L85" s="428"/>
      <c r="M85" s="428"/>
      <c r="N85" s="390">
        <f>SUM(N82:N84)</f>
        <v>15.1</v>
      </c>
      <c r="O85" s="362" t="s">
        <v>89</v>
      </c>
      <c r="P85" s="962">
        <f>ROUND((N85),2)</f>
        <v>15.1</v>
      </c>
      <c r="Q85" s="442"/>
      <c r="R85" s="919"/>
      <c r="S85" s="442"/>
      <c r="T85" s="442"/>
      <c r="U85" s="442"/>
      <c r="V85" s="837"/>
      <c r="W85" s="837"/>
      <c r="X85" s="837"/>
    </row>
    <row r="86" spans="1:24" ht="15.75" customHeight="1">
      <c r="A86" s="394">
        <f>A81+1</f>
        <v>2</v>
      </c>
      <c r="B86" s="1540" t="s">
        <v>1750</v>
      </c>
      <c r="C86" s="428"/>
      <c r="D86" s="428"/>
      <c r="E86" s="428"/>
      <c r="F86" s="428"/>
      <c r="G86" s="428"/>
      <c r="H86" s="428"/>
      <c r="I86" s="428"/>
      <c r="J86" s="428"/>
      <c r="K86" s="428"/>
      <c r="L86" s="428"/>
      <c r="M86" s="428"/>
      <c r="N86" s="390"/>
      <c r="O86" s="362"/>
      <c r="P86" s="962"/>
      <c r="Q86" s="442"/>
      <c r="R86" s="919"/>
      <c r="S86" s="442"/>
      <c r="T86" s="442"/>
      <c r="U86" s="442"/>
      <c r="V86" s="837"/>
      <c r="W86" s="837"/>
      <c r="X86" s="837"/>
    </row>
    <row r="87" spans="1:24" ht="15.75" customHeight="1">
      <c r="A87" s="394"/>
      <c r="B87" s="963"/>
      <c r="C87" s="428">
        <v>4.3</v>
      </c>
      <c r="D87" s="428">
        <v>4.3</v>
      </c>
      <c r="E87" s="428"/>
      <c r="F87" s="428"/>
      <c r="G87" s="428"/>
      <c r="H87" s="428"/>
      <c r="I87" s="428"/>
      <c r="J87" s="428"/>
      <c r="K87" s="428"/>
      <c r="L87" s="428"/>
      <c r="M87" s="428"/>
      <c r="N87" s="590">
        <f>C87*D87</f>
        <v>18.489999999999998</v>
      </c>
      <c r="O87" s="362"/>
      <c r="P87" s="962"/>
      <c r="Q87" s="442"/>
      <c r="R87" s="919"/>
      <c r="S87" s="442"/>
      <c r="T87" s="442"/>
      <c r="U87" s="442"/>
      <c r="V87" s="837"/>
      <c r="W87" s="837"/>
      <c r="X87" s="837"/>
    </row>
    <row r="88" spans="1:24" ht="15.75" customHeight="1">
      <c r="A88" s="394"/>
      <c r="B88" s="1540"/>
      <c r="C88" s="428"/>
      <c r="D88" s="428"/>
      <c r="E88" s="428"/>
      <c r="F88" s="428"/>
      <c r="G88" s="428"/>
      <c r="H88" s="428"/>
      <c r="I88" s="428"/>
      <c r="J88" s="428"/>
      <c r="K88" s="428"/>
      <c r="L88" s="428"/>
      <c r="M88" s="428"/>
      <c r="N88" s="390">
        <f>SUM(N87)</f>
        <v>18.489999999999998</v>
      </c>
      <c r="O88" s="362" t="s">
        <v>89</v>
      </c>
      <c r="P88" s="962">
        <f>ROUND((N88),2)</f>
        <v>18.489999999999998</v>
      </c>
      <c r="Q88" s="442"/>
      <c r="R88" s="919"/>
      <c r="S88" s="442"/>
      <c r="T88" s="442"/>
      <c r="U88" s="442"/>
      <c r="V88" s="837"/>
      <c r="W88" s="837"/>
      <c r="X88" s="837"/>
    </row>
    <row r="89" spans="1:24" ht="15.75" customHeight="1">
      <c r="A89" s="394">
        <f>A86+1</f>
        <v>3</v>
      </c>
      <c r="B89" s="450" t="s">
        <v>437</v>
      </c>
      <c r="C89" s="428"/>
      <c r="D89" s="428"/>
      <c r="E89" s="428"/>
      <c r="F89" s="428"/>
      <c r="G89" s="428"/>
      <c r="H89" s="428"/>
      <c r="I89" s="428"/>
      <c r="J89" s="428"/>
      <c r="K89" s="428"/>
      <c r="L89" s="428"/>
      <c r="M89" s="428"/>
      <c r="N89" s="428"/>
      <c r="O89" s="362"/>
      <c r="P89" s="962"/>
      <c r="Q89" s="442"/>
      <c r="R89" s="919"/>
      <c r="S89" s="442"/>
      <c r="T89" s="442"/>
      <c r="U89" s="442"/>
      <c r="V89" s="837"/>
      <c r="W89" s="837"/>
      <c r="X89" s="837"/>
    </row>
    <row r="90" spans="1:24" ht="15.75" customHeight="1">
      <c r="A90" s="451" t="s">
        <v>95</v>
      </c>
      <c r="B90" s="450" t="s">
        <v>438</v>
      </c>
      <c r="C90" s="428"/>
      <c r="D90" s="428"/>
      <c r="E90" s="428"/>
      <c r="F90" s="428"/>
      <c r="G90" s="428"/>
      <c r="H90" s="428"/>
      <c r="I90" s="428"/>
      <c r="J90" s="428"/>
      <c r="K90" s="428"/>
      <c r="L90" s="428"/>
      <c r="M90" s="428"/>
      <c r="N90" s="428"/>
      <c r="O90" s="362"/>
      <c r="P90" s="962"/>
      <c r="Q90" s="442"/>
      <c r="R90" s="919"/>
      <c r="S90" s="442"/>
      <c r="T90" s="442"/>
      <c r="U90" s="442"/>
      <c r="V90" s="837"/>
      <c r="W90" s="837"/>
      <c r="X90" s="837"/>
    </row>
    <row r="91" spans="1:24" ht="15.75" customHeight="1">
      <c r="A91" s="394"/>
      <c r="B91" s="963" t="s">
        <v>1020</v>
      </c>
      <c r="C91" s="428">
        <v>1.8</v>
      </c>
      <c r="D91" s="428"/>
      <c r="E91" s="428">
        <v>0.15</v>
      </c>
      <c r="F91" s="428"/>
      <c r="G91" s="428"/>
      <c r="H91" s="428"/>
      <c r="I91" s="428"/>
      <c r="J91" s="428"/>
      <c r="K91" s="428"/>
      <c r="L91" s="428"/>
      <c r="M91" s="428"/>
      <c r="N91" s="428">
        <f>C91*E91</f>
        <v>0.27</v>
      </c>
      <c r="O91" s="362"/>
      <c r="P91" s="962"/>
      <c r="Q91" s="442"/>
      <c r="R91" s="919"/>
      <c r="S91" s="442"/>
      <c r="T91" s="442"/>
      <c r="U91" s="442"/>
      <c r="V91" s="837"/>
      <c r="W91" s="837"/>
      <c r="X91" s="837"/>
    </row>
    <row r="92" spans="1:24" ht="15.75" customHeight="1">
      <c r="A92" s="394"/>
      <c r="B92" s="963" t="s">
        <v>1021</v>
      </c>
      <c r="C92" s="428">
        <f>C91</f>
        <v>1.8</v>
      </c>
      <c r="D92" s="428"/>
      <c r="E92" s="428">
        <f>E91</f>
        <v>0.15</v>
      </c>
      <c r="F92" s="428"/>
      <c r="G92" s="428"/>
      <c r="H92" s="428"/>
      <c r="I92" s="428"/>
      <c r="J92" s="428"/>
      <c r="K92" s="428"/>
      <c r="L92" s="428"/>
      <c r="M92" s="428"/>
      <c r="N92" s="428">
        <f>C92*E92</f>
        <v>0.27</v>
      </c>
      <c r="O92" s="362"/>
      <c r="P92" s="962"/>
      <c r="Q92" s="442"/>
      <c r="R92" s="919"/>
      <c r="S92" s="442"/>
      <c r="T92" s="442"/>
      <c r="U92" s="442"/>
      <c r="V92" s="837"/>
      <c r="W92" s="837"/>
      <c r="X92" s="837"/>
    </row>
    <row r="93" spans="1:24" ht="15.75" customHeight="1">
      <c r="A93" s="394"/>
      <c r="B93" s="963" t="s">
        <v>1060</v>
      </c>
      <c r="C93" s="428">
        <f>C92</f>
        <v>1.8</v>
      </c>
      <c r="D93" s="428"/>
      <c r="E93" s="428">
        <f>E92</f>
        <v>0.15</v>
      </c>
      <c r="F93" s="428"/>
      <c r="G93" s="428"/>
      <c r="H93" s="428"/>
      <c r="I93" s="428"/>
      <c r="J93" s="428"/>
      <c r="K93" s="428"/>
      <c r="L93" s="428"/>
      <c r="M93" s="428"/>
      <c r="N93" s="590">
        <f>C93*E93</f>
        <v>0.27</v>
      </c>
      <c r="O93" s="362"/>
      <c r="P93" s="962"/>
      <c r="Q93" s="442"/>
      <c r="R93" s="919"/>
      <c r="S93" s="442"/>
      <c r="T93" s="442"/>
      <c r="U93" s="442"/>
      <c r="V93" s="837"/>
      <c r="W93" s="837"/>
      <c r="X93" s="837"/>
    </row>
    <row r="94" spans="1:24" ht="15.75" customHeight="1">
      <c r="A94" s="394"/>
      <c r="B94" s="450"/>
      <c r="C94" s="428"/>
      <c r="D94" s="428"/>
      <c r="E94" s="428"/>
      <c r="F94" s="428"/>
      <c r="G94" s="428"/>
      <c r="H94" s="428"/>
      <c r="I94" s="428"/>
      <c r="J94" s="428"/>
      <c r="K94" s="428"/>
      <c r="L94" s="428"/>
      <c r="M94" s="428"/>
      <c r="N94" s="390">
        <f>SUM(N91:N93)</f>
        <v>0.81</v>
      </c>
      <c r="O94" s="362" t="s">
        <v>89</v>
      </c>
      <c r="P94" s="962">
        <f>ROUND((N94),2)</f>
        <v>0.81</v>
      </c>
      <c r="Q94" s="442"/>
      <c r="R94" s="919"/>
      <c r="S94" s="442"/>
      <c r="T94" s="442"/>
      <c r="U94" s="442"/>
      <c r="V94" s="837"/>
      <c r="W94" s="837"/>
      <c r="X94" s="837"/>
    </row>
    <row r="95" spans="1:24" ht="15.75" customHeight="1">
      <c r="A95" s="451" t="s">
        <v>95</v>
      </c>
      <c r="B95" s="450" t="s">
        <v>439</v>
      </c>
      <c r="C95" s="428"/>
      <c r="D95" s="428"/>
      <c r="E95" s="428"/>
      <c r="F95" s="428"/>
      <c r="G95" s="428"/>
      <c r="H95" s="428"/>
      <c r="I95" s="428"/>
      <c r="J95" s="428"/>
      <c r="K95" s="428"/>
      <c r="L95" s="428"/>
      <c r="M95" s="428"/>
      <c r="N95" s="428"/>
      <c r="O95" s="362"/>
      <c r="P95" s="962"/>
      <c r="Q95" s="442"/>
      <c r="R95" s="919"/>
      <c r="S95" s="442"/>
      <c r="T95" s="442"/>
      <c r="U95" s="442"/>
      <c r="V95" s="837"/>
      <c r="W95" s="837"/>
      <c r="X95" s="837"/>
    </row>
    <row r="96" spans="1:24" ht="15.75" customHeight="1">
      <c r="A96" s="451"/>
      <c r="B96" s="963" t="str">
        <f t="shared" ref="B96:C98" si="1">B91</f>
        <v>trap 1</v>
      </c>
      <c r="C96" s="428">
        <f t="shared" si="1"/>
        <v>1.8</v>
      </c>
      <c r="D96" s="428"/>
      <c r="E96" s="428">
        <v>0.3</v>
      </c>
      <c r="F96" s="428"/>
      <c r="G96" s="428"/>
      <c r="H96" s="428"/>
      <c r="I96" s="428"/>
      <c r="J96" s="428"/>
      <c r="K96" s="428"/>
      <c r="L96" s="428"/>
      <c r="M96" s="428"/>
      <c r="N96" s="428">
        <f>C96*E96</f>
        <v>0.54</v>
      </c>
      <c r="O96" s="362"/>
      <c r="P96" s="962"/>
      <c r="Q96" s="442"/>
      <c r="R96" s="919"/>
      <c r="S96" s="442"/>
      <c r="T96" s="442"/>
      <c r="U96" s="442"/>
      <c r="V96" s="837"/>
      <c r="W96" s="837"/>
      <c r="X96" s="837"/>
    </row>
    <row r="97" spans="1:24" ht="15.75" customHeight="1">
      <c r="A97" s="451"/>
      <c r="B97" s="963" t="str">
        <f t="shared" si="1"/>
        <v>trap 2</v>
      </c>
      <c r="C97" s="428">
        <f t="shared" si="1"/>
        <v>1.8</v>
      </c>
      <c r="D97" s="428"/>
      <c r="E97" s="428">
        <f>E96+0.15</f>
        <v>0.44999999999999996</v>
      </c>
      <c r="F97" s="428"/>
      <c r="G97" s="428"/>
      <c r="H97" s="428"/>
      <c r="I97" s="428"/>
      <c r="J97" s="428"/>
      <c r="K97" s="428"/>
      <c r="L97" s="428"/>
      <c r="M97" s="428"/>
      <c r="N97" s="428">
        <f>C97*E97</f>
        <v>0.80999999999999994</v>
      </c>
      <c r="O97" s="362"/>
      <c r="P97" s="962"/>
      <c r="Q97" s="442"/>
      <c r="R97" s="919"/>
      <c r="S97" s="442"/>
      <c r="T97" s="442"/>
      <c r="U97" s="442"/>
      <c r="V97" s="837"/>
      <c r="W97" s="837"/>
      <c r="X97" s="837"/>
    </row>
    <row r="98" spans="1:24" ht="15.75" customHeight="1">
      <c r="A98" s="451"/>
      <c r="B98" s="963" t="str">
        <f t="shared" si="1"/>
        <v>trap 3</v>
      </c>
      <c r="C98" s="428">
        <f t="shared" si="1"/>
        <v>1.8</v>
      </c>
      <c r="D98" s="428"/>
      <c r="E98" s="428">
        <f>E97+0.15</f>
        <v>0.6</v>
      </c>
      <c r="F98" s="428"/>
      <c r="G98" s="428"/>
      <c r="H98" s="428"/>
      <c r="I98" s="428"/>
      <c r="J98" s="428"/>
      <c r="K98" s="428"/>
      <c r="L98" s="428"/>
      <c r="M98" s="428"/>
      <c r="N98" s="590">
        <f>C98*E98</f>
        <v>1.08</v>
      </c>
      <c r="O98" s="362"/>
      <c r="P98" s="962"/>
      <c r="Q98" s="442"/>
      <c r="R98" s="919"/>
      <c r="S98" s="442"/>
      <c r="T98" s="442"/>
      <c r="U98" s="442"/>
      <c r="V98" s="837"/>
      <c r="W98" s="837"/>
      <c r="X98" s="837"/>
    </row>
    <row r="99" spans="1:24" ht="15.75" customHeight="1">
      <c r="A99" s="451"/>
      <c r="B99" s="450"/>
      <c r="C99" s="428"/>
      <c r="D99" s="428"/>
      <c r="E99" s="428"/>
      <c r="F99" s="428"/>
      <c r="G99" s="428"/>
      <c r="H99" s="428"/>
      <c r="I99" s="428"/>
      <c r="J99" s="428"/>
      <c r="K99" s="428"/>
      <c r="L99" s="428"/>
      <c r="M99" s="428"/>
      <c r="N99" s="390">
        <f>SUM(N96:N98)</f>
        <v>2.4300000000000002</v>
      </c>
      <c r="O99" s="362" t="s">
        <v>89</v>
      </c>
      <c r="P99" s="962">
        <f>ROUND((N99),2)</f>
        <v>2.4300000000000002</v>
      </c>
      <c r="Q99" s="442"/>
      <c r="R99" s="919"/>
      <c r="S99" s="442"/>
      <c r="T99" s="442"/>
      <c r="U99" s="442"/>
      <c r="V99" s="837"/>
      <c r="W99" s="837"/>
      <c r="X99" s="837"/>
    </row>
    <row r="100" spans="1:24" ht="15.75" customHeight="1">
      <c r="A100" s="451" t="s">
        <v>98</v>
      </c>
      <c r="B100" s="450" t="s">
        <v>916</v>
      </c>
      <c r="C100" s="428"/>
      <c r="D100" s="428"/>
      <c r="E100" s="428"/>
      <c r="F100" s="428"/>
      <c r="G100" s="428"/>
      <c r="H100" s="428"/>
      <c r="I100" s="428"/>
      <c r="J100" s="428"/>
      <c r="K100" s="428"/>
      <c r="L100" s="428"/>
      <c r="M100" s="428"/>
      <c r="N100" s="428"/>
      <c r="O100" s="362"/>
      <c r="P100" s="962"/>
      <c r="Q100" s="442"/>
      <c r="R100" s="919"/>
      <c r="S100" s="442"/>
      <c r="T100" s="442"/>
      <c r="U100" s="442"/>
      <c r="V100" s="837"/>
      <c r="W100" s="837"/>
      <c r="X100" s="837"/>
    </row>
    <row r="101" spans="1:24" ht="15.75" customHeight="1">
      <c r="A101" s="451"/>
      <c r="B101" s="963" t="str">
        <f>B97</f>
        <v>trap 2</v>
      </c>
      <c r="C101" s="428">
        <f>C97</f>
        <v>1.8</v>
      </c>
      <c r="D101" s="428">
        <v>0.2</v>
      </c>
      <c r="E101" s="428">
        <v>0.25</v>
      </c>
      <c r="F101" s="428"/>
      <c r="G101" s="428"/>
      <c r="H101" s="428"/>
      <c r="I101" s="428"/>
      <c r="J101" s="428"/>
      <c r="K101" s="428"/>
      <c r="L101" s="428"/>
      <c r="M101" s="428"/>
      <c r="N101" s="1059"/>
      <c r="O101" s="362"/>
      <c r="P101" s="962"/>
      <c r="Q101" s="442"/>
      <c r="R101" s="919"/>
      <c r="S101" s="442"/>
      <c r="T101" s="442"/>
      <c r="U101" s="442"/>
      <c r="V101" s="837"/>
      <c r="W101" s="837"/>
      <c r="X101" s="837"/>
    </row>
    <row r="102" spans="1:24" ht="15.75" customHeight="1">
      <c r="A102" s="451"/>
      <c r="B102" s="963" t="str">
        <f>B98</f>
        <v>trap 3</v>
      </c>
      <c r="C102" s="428">
        <f>C98</f>
        <v>1.8</v>
      </c>
      <c r="D102" s="428">
        <f>D101</f>
        <v>0.2</v>
      </c>
      <c r="E102" s="428">
        <f>E101+0.15</f>
        <v>0.4</v>
      </c>
      <c r="F102" s="428"/>
      <c r="G102" s="428"/>
      <c r="H102" s="428"/>
      <c r="I102" s="428"/>
      <c r="J102" s="428"/>
      <c r="K102" s="428"/>
      <c r="L102" s="428"/>
      <c r="M102" s="428"/>
      <c r="N102" s="590">
        <f>C101*D101*E101</f>
        <v>9.0000000000000011E-2</v>
      </c>
      <c r="O102" s="362"/>
      <c r="P102" s="962"/>
      <c r="Q102" s="442"/>
      <c r="R102" s="919"/>
      <c r="S102" s="442"/>
      <c r="T102" s="442"/>
      <c r="U102" s="442"/>
      <c r="V102" s="837"/>
      <c r="W102" s="837"/>
      <c r="X102" s="837"/>
    </row>
    <row r="103" spans="1:24" ht="15.75" customHeight="1">
      <c r="A103" s="451"/>
      <c r="B103" s="450"/>
      <c r="C103" s="428"/>
      <c r="D103" s="428"/>
      <c r="E103" s="428"/>
      <c r="F103" s="428"/>
      <c r="G103" s="428"/>
      <c r="H103" s="428"/>
      <c r="I103" s="428"/>
      <c r="J103" s="428"/>
      <c r="K103" s="428"/>
      <c r="L103" s="428"/>
      <c r="M103" s="428"/>
      <c r="N103" s="590">
        <f>C102*D102*E102</f>
        <v>0.14400000000000002</v>
      </c>
      <c r="O103" s="362"/>
      <c r="P103" s="962"/>
      <c r="Q103" s="442"/>
      <c r="R103" s="919"/>
      <c r="S103" s="442"/>
      <c r="T103" s="442"/>
      <c r="U103" s="442"/>
      <c r="V103" s="837"/>
      <c r="W103" s="837"/>
      <c r="X103" s="837"/>
    </row>
    <row r="104" spans="1:24" ht="15.75" customHeight="1">
      <c r="A104" s="451"/>
      <c r="B104" s="389"/>
      <c r="C104" s="428"/>
      <c r="D104" s="428"/>
      <c r="E104" s="428"/>
      <c r="F104" s="428"/>
      <c r="G104" s="428"/>
      <c r="H104" s="428"/>
      <c r="I104" s="428"/>
      <c r="J104" s="428"/>
      <c r="K104" s="428"/>
      <c r="L104" s="428"/>
      <c r="M104" s="428"/>
      <c r="N104" s="428">
        <f>SUM(N102:N103)</f>
        <v>0.23400000000000004</v>
      </c>
      <c r="O104" s="362" t="s">
        <v>103</v>
      </c>
      <c r="P104" s="962">
        <f>ROUND((N104),2)</f>
        <v>0.23</v>
      </c>
      <c r="Q104" s="442"/>
      <c r="R104" s="919"/>
      <c r="S104" s="442"/>
      <c r="T104" s="442"/>
      <c r="U104" s="442"/>
      <c r="V104" s="837"/>
      <c r="W104" s="837"/>
      <c r="X104" s="837"/>
    </row>
    <row r="105" spans="1:24" ht="15.75" customHeight="1">
      <c r="A105" s="451" t="s">
        <v>101</v>
      </c>
      <c r="B105" s="389" t="s">
        <v>935</v>
      </c>
      <c r="C105" s="428"/>
      <c r="D105" s="428"/>
      <c r="E105" s="428"/>
      <c r="F105" s="428"/>
      <c r="G105" s="428"/>
      <c r="H105" s="428"/>
      <c r="I105" s="428"/>
      <c r="J105" s="428"/>
      <c r="K105" s="428"/>
      <c r="L105" s="428"/>
      <c r="M105" s="428"/>
      <c r="N105" s="428"/>
      <c r="O105" s="362"/>
      <c r="P105" s="962"/>
      <c r="Q105" s="442"/>
      <c r="R105" s="919"/>
      <c r="S105" s="442"/>
      <c r="T105" s="442"/>
      <c r="U105" s="442"/>
      <c r="V105" s="837"/>
      <c r="W105" s="837"/>
      <c r="X105" s="837"/>
    </row>
    <row r="106" spans="1:24" ht="15.75" customHeight="1">
      <c r="A106" s="451"/>
      <c r="B106" s="963" t="s">
        <v>1645</v>
      </c>
      <c r="C106" s="428">
        <v>5.2</v>
      </c>
      <c r="D106" s="428">
        <v>0.6</v>
      </c>
      <c r="E106" s="428">
        <v>0.06</v>
      </c>
      <c r="F106" s="428"/>
      <c r="G106" s="428"/>
      <c r="H106" s="428">
        <v>2</v>
      </c>
      <c r="I106" s="428"/>
      <c r="J106" s="428"/>
      <c r="K106" s="428"/>
      <c r="L106" s="428"/>
      <c r="M106" s="428"/>
      <c r="N106" s="428">
        <f>C106*D106*E106*H106</f>
        <v>0.37440000000000001</v>
      </c>
      <c r="O106" s="362"/>
      <c r="P106" s="962"/>
      <c r="Q106" s="442"/>
      <c r="R106" s="919"/>
      <c r="S106" s="442"/>
      <c r="T106" s="442"/>
      <c r="U106" s="442"/>
      <c r="V106" s="837"/>
      <c r="W106" s="837"/>
      <c r="X106" s="837"/>
    </row>
    <row r="107" spans="1:24" ht="15.75" customHeight="1">
      <c r="A107" s="451"/>
      <c r="B107" s="963" t="s">
        <v>1751</v>
      </c>
      <c r="C107" s="428">
        <f>C106</f>
        <v>5.2</v>
      </c>
      <c r="D107" s="428">
        <f>D106</f>
        <v>0.6</v>
      </c>
      <c r="E107" s="428">
        <f>E106</f>
        <v>0.06</v>
      </c>
      <c r="F107" s="428"/>
      <c r="G107" s="428"/>
      <c r="H107" s="428">
        <f>H106</f>
        <v>2</v>
      </c>
      <c r="I107" s="428"/>
      <c r="J107" s="428"/>
      <c r="K107" s="428"/>
      <c r="L107" s="428"/>
      <c r="M107" s="428"/>
      <c r="N107" s="590">
        <f>C107*D107*E107*H107</f>
        <v>0.37440000000000001</v>
      </c>
      <c r="O107" s="362"/>
      <c r="P107" s="962"/>
      <c r="Q107" s="442"/>
      <c r="R107" s="919"/>
      <c r="S107" s="442"/>
      <c r="T107" s="442"/>
      <c r="U107" s="442"/>
      <c r="V107" s="837"/>
      <c r="W107" s="837"/>
      <c r="X107" s="837"/>
    </row>
    <row r="108" spans="1:24" ht="15.75" customHeight="1">
      <c r="A108" s="451"/>
      <c r="B108" s="450"/>
      <c r="C108" s="428"/>
      <c r="D108" s="428"/>
      <c r="E108" s="428"/>
      <c r="F108" s="428"/>
      <c r="G108" s="428"/>
      <c r="H108" s="428"/>
      <c r="I108" s="428"/>
      <c r="J108" s="428"/>
      <c r="K108" s="428"/>
      <c r="L108" s="428"/>
      <c r="M108" s="428"/>
      <c r="N108" s="390">
        <f>SUM(N106:N107)</f>
        <v>0.74880000000000002</v>
      </c>
      <c r="O108" s="362" t="s">
        <v>103</v>
      </c>
      <c r="P108" s="962">
        <f>ROUND((N108),2)</f>
        <v>0.75</v>
      </c>
      <c r="Q108" s="442"/>
      <c r="R108" s="919"/>
      <c r="S108" s="442"/>
      <c r="T108" s="442"/>
      <c r="U108" s="442"/>
      <c r="V108" s="837"/>
      <c r="W108" s="837"/>
      <c r="X108" s="837"/>
    </row>
    <row r="109" spans="1:24" ht="15.75" customHeight="1">
      <c r="A109" s="451" t="s">
        <v>121</v>
      </c>
      <c r="B109" s="450" t="s">
        <v>1752</v>
      </c>
      <c r="C109" s="428"/>
      <c r="D109" s="428"/>
      <c r="E109" s="428"/>
      <c r="F109" s="428"/>
      <c r="G109" s="428"/>
      <c r="H109" s="428"/>
      <c r="I109" s="428"/>
      <c r="J109" s="428"/>
      <c r="K109" s="428"/>
      <c r="L109" s="428"/>
      <c r="M109" s="428"/>
      <c r="N109" s="428"/>
      <c r="O109" s="362"/>
      <c r="P109" s="962"/>
      <c r="Q109" s="442"/>
      <c r="R109" s="919"/>
      <c r="S109" s="442"/>
      <c r="T109" s="442"/>
      <c r="U109" s="442"/>
      <c r="V109" s="837"/>
      <c r="W109" s="837"/>
      <c r="X109" s="837"/>
    </row>
    <row r="110" spans="1:24" ht="15.75" customHeight="1">
      <c r="A110" s="451"/>
      <c r="B110" s="963" t="s">
        <v>1214</v>
      </c>
      <c r="C110" s="428">
        <v>3</v>
      </c>
      <c r="D110" s="428">
        <v>3</v>
      </c>
      <c r="E110" s="428"/>
      <c r="F110" s="428"/>
      <c r="G110" s="428"/>
      <c r="H110" s="428"/>
      <c r="I110" s="428"/>
      <c r="J110" s="428"/>
      <c r="K110" s="428"/>
      <c r="L110" s="428"/>
      <c r="M110" s="428"/>
      <c r="N110" s="428">
        <f>C110*D110</f>
        <v>9</v>
      </c>
      <c r="O110" s="362"/>
      <c r="P110" s="962"/>
      <c r="Q110" s="442"/>
      <c r="R110" s="919"/>
      <c r="S110" s="442"/>
      <c r="T110" s="442"/>
      <c r="U110" s="442"/>
      <c r="V110" s="837"/>
      <c r="W110" s="837"/>
      <c r="X110" s="837"/>
    </row>
    <row r="111" spans="1:24" ht="15.75" customHeight="1">
      <c r="A111" s="451"/>
      <c r="B111" s="963" t="s">
        <v>1175</v>
      </c>
      <c r="C111" s="428">
        <v>1.8</v>
      </c>
      <c r="D111" s="428">
        <v>1.05</v>
      </c>
      <c r="E111" s="428"/>
      <c r="F111" s="428"/>
      <c r="G111" s="428"/>
      <c r="H111" s="428"/>
      <c r="I111" s="428"/>
      <c r="J111" s="428"/>
      <c r="K111" s="428"/>
      <c r="L111" s="428"/>
      <c r="M111" s="428"/>
      <c r="N111" s="428">
        <f>C111*D111</f>
        <v>1.8900000000000001</v>
      </c>
      <c r="O111" s="362"/>
      <c r="P111" s="962"/>
      <c r="Q111" s="442"/>
      <c r="R111" s="919"/>
      <c r="S111" s="442"/>
      <c r="T111" s="442"/>
      <c r="U111" s="442"/>
      <c r="V111" s="837"/>
      <c r="W111" s="837"/>
      <c r="X111" s="837"/>
    </row>
    <row r="112" spans="1:24" ht="15.75" customHeight="1">
      <c r="A112" s="451"/>
      <c r="B112" s="963" t="s">
        <v>1176</v>
      </c>
      <c r="C112" s="428">
        <f>C111</f>
        <v>1.8</v>
      </c>
      <c r="D112" s="428"/>
      <c r="E112" s="428">
        <v>0.15</v>
      </c>
      <c r="F112" s="428"/>
      <c r="G112" s="428"/>
      <c r="H112" s="428"/>
      <c r="I112" s="428"/>
      <c r="J112" s="428"/>
      <c r="K112" s="428"/>
      <c r="L112" s="428"/>
      <c r="M112" s="428">
        <v>3</v>
      </c>
      <c r="N112" s="590">
        <f>C112*E112*M112</f>
        <v>0.81</v>
      </c>
      <c r="O112" s="362"/>
      <c r="P112" s="962"/>
      <c r="Q112" s="442"/>
      <c r="R112" s="919"/>
      <c r="S112" s="442"/>
      <c r="T112" s="442"/>
      <c r="U112" s="442"/>
      <c r="V112" s="837"/>
      <c r="W112" s="837"/>
      <c r="X112" s="837"/>
    </row>
    <row r="113" spans="1:24" ht="15.75" customHeight="1">
      <c r="A113" s="451"/>
      <c r="B113" s="450"/>
      <c r="C113" s="428"/>
      <c r="D113" s="428"/>
      <c r="E113" s="428"/>
      <c r="F113" s="428"/>
      <c r="G113" s="428"/>
      <c r="H113" s="428"/>
      <c r="I113" s="428"/>
      <c r="J113" s="428"/>
      <c r="K113" s="428"/>
      <c r="L113" s="428"/>
      <c r="M113" s="428"/>
      <c r="N113" s="390">
        <f>SUM(N110:N112)</f>
        <v>11.700000000000001</v>
      </c>
      <c r="O113" s="362" t="s">
        <v>89</v>
      </c>
      <c r="P113" s="962">
        <f>ROUND((N113),2)</f>
        <v>11.7</v>
      </c>
      <c r="Q113" s="442"/>
      <c r="R113" s="919"/>
      <c r="S113" s="442"/>
      <c r="T113" s="442"/>
      <c r="U113" s="442"/>
      <c r="V113" s="837"/>
      <c r="W113" s="837"/>
      <c r="X113" s="837"/>
    </row>
    <row r="114" spans="1:24" ht="15.75" customHeight="1">
      <c r="A114" s="394">
        <f>A89+1</f>
        <v>4</v>
      </c>
      <c r="B114" s="450" t="s">
        <v>1589</v>
      </c>
      <c r="C114" s="428"/>
      <c r="D114" s="428"/>
      <c r="E114" s="428"/>
      <c r="F114" s="428"/>
      <c r="G114" s="428"/>
      <c r="H114" s="428"/>
      <c r="I114" s="428"/>
      <c r="J114" s="428"/>
      <c r="K114" s="428"/>
      <c r="L114" s="428"/>
      <c r="M114" s="428"/>
      <c r="N114" s="428"/>
      <c r="O114" s="362"/>
      <c r="P114" s="962"/>
      <c r="Q114" s="442"/>
      <c r="R114" s="919"/>
      <c r="S114" s="442"/>
      <c r="T114" s="442"/>
      <c r="U114" s="442"/>
      <c r="V114" s="837"/>
      <c r="W114" s="837"/>
      <c r="X114" s="837"/>
    </row>
    <row r="115" spans="1:24" ht="15.75" customHeight="1">
      <c r="A115" s="451" t="s">
        <v>95</v>
      </c>
      <c r="B115" s="450" t="s">
        <v>439</v>
      </c>
      <c r="C115" s="428"/>
      <c r="D115" s="428"/>
      <c r="E115" s="428"/>
      <c r="F115" s="428"/>
      <c r="G115" s="428"/>
      <c r="H115" s="428"/>
      <c r="I115" s="428"/>
      <c r="J115" s="428"/>
      <c r="K115" s="428"/>
      <c r="L115" s="428"/>
      <c r="M115" s="428"/>
      <c r="N115" s="428"/>
      <c r="O115" s="362"/>
      <c r="P115" s="962"/>
      <c r="Q115" s="442"/>
      <c r="R115" s="919"/>
      <c r="S115" s="442"/>
      <c r="T115" s="442"/>
      <c r="U115" s="442"/>
      <c r="V115" s="837"/>
      <c r="W115" s="837"/>
      <c r="X115" s="837"/>
    </row>
    <row r="116" spans="1:24" ht="15.75" customHeight="1">
      <c r="A116" s="451"/>
      <c r="B116" s="906" t="s">
        <v>1753</v>
      </c>
      <c r="C116" s="428"/>
      <c r="D116" s="428"/>
      <c r="E116" s="428"/>
      <c r="F116" s="428"/>
      <c r="G116" s="428"/>
      <c r="H116" s="428"/>
      <c r="I116" s="428"/>
      <c r="J116" s="428"/>
      <c r="K116" s="428"/>
      <c r="L116" s="428"/>
      <c r="M116" s="428"/>
      <c r="N116" s="443">
        <f>SUM(N117:N118)</f>
        <v>16.2</v>
      </c>
      <c r="O116" s="362"/>
      <c r="P116" s="962"/>
      <c r="Q116" s="442"/>
      <c r="R116" s="919"/>
      <c r="S116" s="442"/>
      <c r="T116" s="442"/>
      <c r="U116" s="442"/>
      <c r="V116" s="837"/>
      <c r="W116" s="837"/>
      <c r="X116" s="837"/>
    </row>
    <row r="117" spans="1:24" ht="15.75" customHeight="1">
      <c r="A117" s="451"/>
      <c r="B117" s="963" t="s">
        <v>1645</v>
      </c>
      <c r="C117" s="428">
        <v>1.35</v>
      </c>
      <c r="D117" s="428"/>
      <c r="E117" s="428"/>
      <c r="F117" s="428"/>
      <c r="G117" s="428"/>
      <c r="H117" s="428">
        <v>2</v>
      </c>
      <c r="I117" s="428"/>
      <c r="J117" s="428"/>
      <c r="K117" s="428"/>
      <c r="L117" s="428"/>
      <c r="M117" s="428">
        <v>1</v>
      </c>
      <c r="N117" s="428">
        <f>C117*H117*M117</f>
        <v>2.7</v>
      </c>
      <c r="O117" s="362"/>
      <c r="P117" s="962"/>
      <c r="Q117" s="442"/>
      <c r="R117" s="919"/>
      <c r="S117" s="442"/>
      <c r="T117" s="442"/>
      <c r="U117" s="442"/>
      <c r="V117" s="837"/>
      <c r="W117" s="837"/>
      <c r="X117" s="837"/>
    </row>
    <row r="118" spans="1:24" ht="15.75" customHeight="1">
      <c r="A118" s="451"/>
      <c r="B118" s="963" t="s">
        <v>1754</v>
      </c>
      <c r="C118" s="428">
        <v>4.5</v>
      </c>
      <c r="D118" s="428"/>
      <c r="E118" s="428"/>
      <c r="F118" s="428"/>
      <c r="G118" s="428"/>
      <c r="H118" s="428">
        <v>3</v>
      </c>
      <c r="I118" s="428"/>
      <c r="J118" s="428"/>
      <c r="K118" s="428"/>
      <c r="L118" s="428"/>
      <c r="M118" s="428">
        <v>1</v>
      </c>
      <c r="N118" s="428">
        <f>C118*H118*M118</f>
        <v>13.5</v>
      </c>
      <c r="O118" s="362"/>
      <c r="P118" s="962"/>
      <c r="Q118" s="442"/>
      <c r="R118" s="919"/>
      <c r="S118" s="442"/>
      <c r="T118" s="442"/>
      <c r="U118" s="442"/>
      <c r="V118" s="837"/>
      <c r="W118" s="837"/>
      <c r="X118" s="837"/>
    </row>
    <row r="119" spans="1:24" ht="15.75" customHeight="1">
      <c r="A119" s="451"/>
      <c r="B119" s="963" t="s">
        <v>1755</v>
      </c>
      <c r="C119" s="428">
        <f>N116</f>
        <v>16.2</v>
      </c>
      <c r="D119" s="428"/>
      <c r="E119" s="428">
        <v>0.5</v>
      </c>
      <c r="F119" s="428"/>
      <c r="G119" s="428"/>
      <c r="H119" s="428"/>
      <c r="I119" s="428"/>
      <c r="J119" s="428"/>
      <c r="K119" s="428"/>
      <c r="L119" s="428"/>
      <c r="M119" s="428"/>
      <c r="N119" s="590">
        <f>C119*E119</f>
        <v>8.1</v>
      </c>
      <c r="O119" s="362"/>
      <c r="P119" s="962"/>
      <c r="Q119" s="442"/>
      <c r="R119" s="919"/>
      <c r="S119" s="442"/>
      <c r="T119" s="442"/>
      <c r="U119" s="442"/>
      <c r="V119" s="837"/>
      <c r="W119" s="837"/>
      <c r="X119" s="837"/>
    </row>
    <row r="120" spans="1:24" ht="15.75" customHeight="1">
      <c r="A120" s="451"/>
      <c r="B120" s="450"/>
      <c r="C120" s="428"/>
      <c r="D120" s="428"/>
      <c r="E120" s="428"/>
      <c r="F120" s="428"/>
      <c r="G120" s="428"/>
      <c r="H120" s="428"/>
      <c r="I120" s="428"/>
      <c r="J120" s="428"/>
      <c r="K120" s="428"/>
      <c r="L120" s="428"/>
      <c r="M120" s="428"/>
      <c r="N120" s="390">
        <f>SUM(N119:N119)</f>
        <v>8.1</v>
      </c>
      <c r="O120" s="362" t="s">
        <v>89</v>
      </c>
      <c r="P120" s="962">
        <f>ROUND((N120),2)</f>
        <v>8.1</v>
      </c>
      <c r="Q120" s="442"/>
      <c r="R120" s="919"/>
      <c r="S120" s="442"/>
      <c r="T120" s="442"/>
      <c r="U120" s="442"/>
      <c r="V120" s="837"/>
      <c r="W120" s="837"/>
      <c r="X120" s="837"/>
    </row>
    <row r="121" spans="1:24" ht="15.75" customHeight="1">
      <c r="A121" s="451" t="s">
        <v>98</v>
      </c>
      <c r="B121" s="450" t="s">
        <v>193</v>
      </c>
      <c r="C121" s="428"/>
      <c r="D121" s="428"/>
      <c r="E121" s="428"/>
      <c r="F121" s="428"/>
      <c r="G121" s="428"/>
      <c r="H121" s="428"/>
      <c r="I121" s="428"/>
      <c r="J121" s="428"/>
      <c r="K121" s="428"/>
      <c r="L121" s="428"/>
      <c r="M121" s="428"/>
      <c r="N121" s="428"/>
      <c r="O121" s="362"/>
      <c r="P121" s="962"/>
      <c r="Q121" s="442"/>
      <c r="R121" s="919"/>
      <c r="S121" s="442"/>
      <c r="T121" s="442"/>
      <c r="U121" s="442"/>
      <c r="V121" s="837"/>
      <c r="W121" s="837"/>
      <c r="X121" s="837"/>
    </row>
    <row r="122" spans="1:24" ht="15.75" customHeight="1">
      <c r="A122" s="451"/>
      <c r="B122" s="963" t="s">
        <v>1592</v>
      </c>
      <c r="C122" s="428">
        <f>C119</f>
        <v>16.2</v>
      </c>
      <c r="D122" s="428"/>
      <c r="E122" s="428">
        <v>0.3</v>
      </c>
      <c r="F122" s="428"/>
      <c r="G122" s="428"/>
      <c r="H122" s="428">
        <v>1</v>
      </c>
      <c r="I122" s="428"/>
      <c r="J122" s="428"/>
      <c r="K122" s="428"/>
      <c r="L122" s="428"/>
      <c r="M122" s="428">
        <v>1</v>
      </c>
      <c r="N122" s="428">
        <f>C122*E122*H122*M122</f>
        <v>4.8599999999999994</v>
      </c>
      <c r="O122" s="362"/>
      <c r="P122" s="962"/>
      <c r="Q122" s="442"/>
      <c r="R122" s="919"/>
      <c r="S122" s="442"/>
      <c r="T122" s="442"/>
      <c r="U122" s="442"/>
      <c r="V122" s="837"/>
      <c r="W122" s="837"/>
      <c r="X122" s="837"/>
    </row>
    <row r="123" spans="1:24" ht="15.75" customHeight="1">
      <c r="A123" s="451"/>
      <c r="B123" s="963"/>
      <c r="C123" s="428">
        <f>C122</f>
        <v>16.2</v>
      </c>
      <c r="D123" s="428">
        <v>0.08</v>
      </c>
      <c r="E123" s="428"/>
      <c r="F123" s="428"/>
      <c r="G123" s="428"/>
      <c r="H123" s="428">
        <v>1</v>
      </c>
      <c r="I123" s="428"/>
      <c r="J123" s="428"/>
      <c r="K123" s="428"/>
      <c r="L123" s="428"/>
      <c r="M123" s="428">
        <v>1</v>
      </c>
      <c r="N123" s="428">
        <f>C123*D123*H123*M123</f>
        <v>1.296</v>
      </c>
      <c r="O123" s="362"/>
      <c r="P123" s="962"/>
      <c r="Q123" s="442"/>
      <c r="R123" s="919"/>
      <c r="S123" s="442"/>
      <c r="T123" s="442"/>
      <c r="U123" s="442"/>
      <c r="V123" s="837"/>
      <c r="W123" s="837"/>
      <c r="X123" s="837"/>
    </row>
    <row r="124" spans="1:24" ht="15.75" customHeight="1">
      <c r="A124" s="451"/>
      <c r="B124" s="450"/>
      <c r="C124" s="428"/>
      <c r="D124" s="428"/>
      <c r="E124" s="428"/>
      <c r="F124" s="428"/>
      <c r="G124" s="428"/>
      <c r="H124" s="428"/>
      <c r="I124" s="428"/>
      <c r="J124" s="428"/>
      <c r="K124" s="428"/>
      <c r="L124" s="428"/>
      <c r="M124" s="428"/>
      <c r="N124" s="390">
        <f>SUM(N122:N123)</f>
        <v>6.1559999999999997</v>
      </c>
      <c r="O124" s="362" t="s">
        <v>89</v>
      </c>
      <c r="P124" s="962">
        <f>ROUND((N124),2)</f>
        <v>6.16</v>
      </c>
      <c r="Q124" s="442"/>
      <c r="R124" s="919"/>
      <c r="S124" s="442"/>
      <c r="T124" s="442"/>
      <c r="U124" s="442"/>
      <c r="V124" s="837"/>
      <c r="W124" s="837"/>
      <c r="X124" s="837"/>
    </row>
    <row r="125" spans="1:24" ht="15.75" customHeight="1">
      <c r="A125" s="451" t="s">
        <v>101</v>
      </c>
      <c r="B125" s="450" t="s">
        <v>857</v>
      </c>
      <c r="C125" s="428"/>
      <c r="D125" s="428"/>
      <c r="E125" s="428"/>
      <c r="F125" s="428"/>
      <c r="G125" s="428"/>
      <c r="H125" s="428"/>
      <c r="I125" s="428"/>
      <c r="J125" s="428"/>
      <c r="K125" s="428"/>
      <c r="L125" s="428"/>
      <c r="M125" s="428"/>
      <c r="N125" s="390">
        <f>N124</f>
        <v>6.1559999999999997</v>
      </c>
      <c r="O125" s="362" t="s">
        <v>89</v>
      </c>
      <c r="P125" s="962">
        <f>ROUND((N125),2)</f>
        <v>6.16</v>
      </c>
      <c r="Q125" s="442"/>
      <c r="R125" s="919"/>
      <c r="S125" s="442"/>
      <c r="T125" s="442"/>
      <c r="U125" s="442"/>
      <c r="V125" s="837"/>
      <c r="W125" s="837"/>
      <c r="X125" s="837"/>
    </row>
    <row r="126" spans="1:24" ht="15.75" customHeight="1">
      <c r="A126" s="451" t="s">
        <v>121</v>
      </c>
      <c r="B126" s="450" t="s">
        <v>1594</v>
      </c>
      <c r="C126" s="428">
        <f>C123</f>
        <v>16.2</v>
      </c>
      <c r="D126" s="428">
        <v>0.5</v>
      </c>
      <c r="E126" s="428">
        <v>0.2</v>
      </c>
      <c r="F126" s="428"/>
      <c r="G126" s="428"/>
      <c r="H126" s="428"/>
      <c r="I126" s="428"/>
      <c r="J126" s="428"/>
      <c r="K126" s="428"/>
      <c r="L126" s="428"/>
      <c r="M126" s="428">
        <f>M123</f>
        <v>1</v>
      </c>
      <c r="N126" s="428">
        <f>C126*D126*E126*M126</f>
        <v>1.62</v>
      </c>
      <c r="O126" s="362" t="s">
        <v>103</v>
      </c>
      <c r="P126" s="962">
        <f>ROUND((N126),2)</f>
        <v>1.62</v>
      </c>
      <c r="Q126" s="442"/>
      <c r="R126" s="919"/>
      <c r="S126" s="442"/>
      <c r="T126" s="442"/>
      <c r="U126" s="442"/>
      <c r="V126" s="837"/>
      <c r="W126" s="837"/>
      <c r="X126" s="837"/>
    </row>
    <row r="127" spans="1:24" ht="15.75" customHeight="1">
      <c r="A127" s="451" t="s">
        <v>142</v>
      </c>
      <c r="B127" s="450" t="s">
        <v>1595</v>
      </c>
      <c r="C127" s="428">
        <f>C126</f>
        <v>16.2</v>
      </c>
      <c r="D127" s="428">
        <f>D126</f>
        <v>0.5</v>
      </c>
      <c r="E127" s="428"/>
      <c r="F127" s="428"/>
      <c r="G127" s="428"/>
      <c r="H127" s="428"/>
      <c r="I127" s="428"/>
      <c r="J127" s="428"/>
      <c r="K127" s="428"/>
      <c r="L127" s="428"/>
      <c r="M127" s="428">
        <f>M126</f>
        <v>1</v>
      </c>
      <c r="N127" s="428">
        <f>C127*D127*M127</f>
        <v>8.1</v>
      </c>
      <c r="O127" s="362" t="s">
        <v>89</v>
      </c>
      <c r="P127" s="962">
        <f>ROUND((N127),2)</f>
        <v>8.1</v>
      </c>
      <c r="Q127" s="442"/>
      <c r="R127" s="919"/>
      <c r="S127" s="442"/>
      <c r="T127" s="442"/>
      <c r="U127" s="442"/>
      <c r="V127" s="837"/>
      <c r="W127" s="837"/>
      <c r="X127" s="837"/>
    </row>
    <row r="128" spans="1:24" ht="15.75" customHeight="1">
      <c r="A128" s="394">
        <f>A114+1</f>
        <v>5</v>
      </c>
      <c r="B128" s="450" t="s">
        <v>1177</v>
      </c>
      <c r="C128" s="428">
        <v>3</v>
      </c>
      <c r="D128" s="428">
        <v>3</v>
      </c>
      <c r="E128" s="428"/>
      <c r="F128" s="428"/>
      <c r="G128" s="428"/>
      <c r="H128" s="428"/>
      <c r="I128" s="428"/>
      <c r="J128" s="428"/>
      <c r="K128" s="428"/>
      <c r="L128" s="428"/>
      <c r="M128" s="428">
        <v>1</v>
      </c>
      <c r="N128" s="428">
        <f>C128*D128*M128</f>
        <v>9</v>
      </c>
      <c r="O128" s="362" t="s">
        <v>89</v>
      </c>
      <c r="P128" s="962">
        <f>ROUND((N128),2)</f>
        <v>9</v>
      </c>
      <c r="Q128" s="442"/>
      <c r="R128" s="919"/>
      <c r="S128" s="442"/>
      <c r="T128" s="442"/>
      <c r="U128" s="442"/>
      <c r="V128" s="837"/>
      <c r="W128" s="837"/>
      <c r="X128" s="837"/>
    </row>
    <row r="129" spans="1:24" ht="15.75" customHeight="1">
      <c r="A129" s="394">
        <f>A128+1</f>
        <v>6</v>
      </c>
      <c r="B129" s="1541" t="s">
        <v>1756</v>
      </c>
      <c r="C129" s="1066"/>
      <c r="D129" s="1066"/>
      <c r="E129" s="1066"/>
      <c r="F129" s="1066"/>
      <c r="G129" s="1066"/>
      <c r="H129" s="1066"/>
      <c r="I129" s="1066"/>
      <c r="J129" s="1066"/>
      <c r="K129" s="1066"/>
      <c r="L129" s="1066"/>
      <c r="M129" s="1066"/>
      <c r="N129" s="1066"/>
      <c r="O129" s="1542"/>
      <c r="P129" s="725"/>
      <c r="Q129" s="442"/>
      <c r="R129" s="919"/>
      <c r="S129" s="442"/>
      <c r="T129" s="442"/>
      <c r="U129" s="442"/>
      <c r="V129" s="837"/>
      <c r="W129" s="837"/>
      <c r="X129" s="837"/>
    </row>
    <row r="130" spans="1:24" ht="15.75" customHeight="1">
      <c r="A130" s="394"/>
      <c r="B130" s="1543" t="s">
        <v>1188</v>
      </c>
      <c r="C130" s="1066">
        <v>2.7</v>
      </c>
      <c r="D130" s="1066"/>
      <c r="E130" s="1066">
        <v>0.6</v>
      </c>
      <c r="F130" s="1066">
        <v>2</v>
      </c>
      <c r="G130" s="1066"/>
      <c r="H130" s="1066"/>
      <c r="I130" s="1066"/>
      <c r="J130" s="1066"/>
      <c r="K130" s="1066"/>
      <c r="L130" s="1066"/>
      <c r="M130" s="1066">
        <v>1</v>
      </c>
      <c r="N130" s="1066">
        <f>C130*E130*F130*M130</f>
        <v>3.24</v>
      </c>
      <c r="O130" s="1542"/>
      <c r="P130" s="725"/>
      <c r="Q130" s="442"/>
      <c r="R130" s="919"/>
      <c r="S130" s="442"/>
      <c r="T130" s="442"/>
      <c r="U130" s="442"/>
      <c r="V130" s="837"/>
      <c r="W130" s="837"/>
      <c r="X130" s="837"/>
    </row>
    <row r="131" spans="1:24" ht="15.75" customHeight="1">
      <c r="A131" s="394"/>
      <c r="B131" s="1543" t="s">
        <v>1184</v>
      </c>
      <c r="C131" s="1066">
        <v>2.7</v>
      </c>
      <c r="D131" s="1066"/>
      <c r="E131" s="1066">
        <f>E130</f>
        <v>0.6</v>
      </c>
      <c r="F131" s="1066">
        <v>1</v>
      </c>
      <c r="G131" s="1066"/>
      <c r="H131" s="1066"/>
      <c r="I131" s="1066"/>
      <c r="J131" s="1066"/>
      <c r="K131" s="1066"/>
      <c r="L131" s="1066"/>
      <c r="M131" s="1066">
        <f>M130</f>
        <v>1</v>
      </c>
      <c r="N131" s="1544">
        <f>C131*E131*F131*M131</f>
        <v>1.62</v>
      </c>
      <c r="O131" s="1542"/>
      <c r="P131" s="725"/>
      <c r="Q131" s="442"/>
      <c r="R131" s="919"/>
      <c r="S131" s="442"/>
      <c r="T131" s="442"/>
      <c r="U131" s="442"/>
      <c r="V131" s="837"/>
      <c r="W131" s="837"/>
      <c r="X131" s="837"/>
    </row>
    <row r="132" spans="1:24" ht="15.75" customHeight="1">
      <c r="A132" s="394"/>
      <c r="B132" s="1541"/>
      <c r="C132" s="1066"/>
      <c r="D132" s="1066"/>
      <c r="E132" s="1066"/>
      <c r="F132" s="1066"/>
      <c r="G132" s="1066"/>
      <c r="H132" s="1066"/>
      <c r="I132" s="1066"/>
      <c r="J132" s="1066"/>
      <c r="K132" s="1066"/>
      <c r="L132" s="1066"/>
      <c r="M132" s="1066"/>
      <c r="N132" s="1545">
        <f>SUM(N130:N131)</f>
        <v>4.8600000000000003</v>
      </c>
      <c r="O132" s="1542" t="s">
        <v>89</v>
      </c>
      <c r="P132" s="725">
        <f>ROUND((N132),2)</f>
        <v>4.8600000000000003</v>
      </c>
      <c r="Q132" s="442"/>
      <c r="R132" s="919"/>
      <c r="S132" s="442"/>
      <c r="T132" s="442"/>
      <c r="U132" s="442"/>
      <c r="V132" s="837"/>
      <c r="W132" s="837"/>
      <c r="X132" s="837"/>
    </row>
    <row r="133" spans="1:24" ht="27.75" customHeight="1">
      <c r="A133" s="394">
        <f>A129+1</f>
        <v>7</v>
      </c>
      <c r="B133" s="1546" t="s">
        <v>1757</v>
      </c>
      <c r="C133" s="428"/>
      <c r="D133" s="428"/>
      <c r="E133" s="428"/>
      <c r="F133" s="428"/>
      <c r="G133" s="428"/>
      <c r="H133" s="428"/>
      <c r="I133" s="428"/>
      <c r="J133" s="428"/>
      <c r="K133" s="428"/>
      <c r="L133" s="428"/>
      <c r="M133" s="428"/>
      <c r="N133" s="428"/>
      <c r="O133" s="362"/>
      <c r="P133" s="962"/>
      <c r="Q133" s="442"/>
      <c r="R133" s="919"/>
      <c r="S133" s="442"/>
      <c r="T133" s="442"/>
      <c r="U133" s="442"/>
      <c r="V133" s="837"/>
      <c r="W133" s="837"/>
      <c r="X133" s="837"/>
    </row>
    <row r="134" spans="1:24" ht="15.75" customHeight="1">
      <c r="A134" s="394"/>
      <c r="B134" s="963" t="s">
        <v>1031</v>
      </c>
      <c r="C134" s="428">
        <v>2.7</v>
      </c>
      <c r="D134" s="428"/>
      <c r="E134" s="428">
        <v>0.5</v>
      </c>
      <c r="F134" s="428"/>
      <c r="G134" s="428"/>
      <c r="H134" s="428">
        <v>2</v>
      </c>
      <c r="I134" s="428"/>
      <c r="J134" s="428"/>
      <c r="K134" s="428"/>
      <c r="L134" s="428"/>
      <c r="M134" s="428">
        <v>1</v>
      </c>
      <c r="N134" s="428">
        <f>C134*E134*H134*M134</f>
        <v>2.7</v>
      </c>
      <c r="O134" s="362"/>
      <c r="P134" s="962"/>
      <c r="Q134" s="442"/>
      <c r="R134" s="919"/>
      <c r="S134" s="442"/>
      <c r="T134" s="442"/>
      <c r="U134" s="442"/>
      <c r="V134" s="837"/>
      <c r="W134" s="837"/>
      <c r="X134" s="837"/>
    </row>
    <row r="135" spans="1:24" ht="15.75" customHeight="1">
      <c r="A135" s="394"/>
      <c r="B135" s="963" t="s">
        <v>1032</v>
      </c>
      <c r="C135" s="428">
        <f>C134</f>
        <v>2.7</v>
      </c>
      <c r="D135" s="428"/>
      <c r="E135" s="428">
        <f>E134</f>
        <v>0.5</v>
      </c>
      <c r="F135" s="428"/>
      <c r="G135" s="428"/>
      <c r="H135" s="428">
        <v>2</v>
      </c>
      <c r="I135" s="428"/>
      <c r="J135" s="428"/>
      <c r="K135" s="428"/>
      <c r="L135" s="428"/>
      <c r="M135" s="428">
        <v>1</v>
      </c>
      <c r="N135" s="590">
        <f>C135*E135*H135*M135</f>
        <v>2.7</v>
      </c>
      <c r="O135" s="362"/>
      <c r="P135" s="962"/>
      <c r="Q135" s="442"/>
      <c r="R135" s="919"/>
      <c r="S135" s="442"/>
      <c r="T135" s="442"/>
      <c r="U135" s="442"/>
      <c r="V135" s="837"/>
      <c r="W135" s="837"/>
      <c r="X135" s="837"/>
    </row>
    <row r="136" spans="1:24" ht="15.75" customHeight="1">
      <c r="A136" s="394"/>
      <c r="B136" s="1546"/>
      <c r="C136" s="428"/>
      <c r="D136" s="428"/>
      <c r="E136" s="428"/>
      <c r="F136" s="428"/>
      <c r="G136" s="428"/>
      <c r="H136" s="428"/>
      <c r="I136" s="428"/>
      <c r="J136" s="428"/>
      <c r="K136" s="428"/>
      <c r="L136" s="428"/>
      <c r="M136" s="428"/>
      <c r="N136" s="390">
        <f>SUM(N134:N135)</f>
        <v>5.4</v>
      </c>
      <c r="O136" s="362" t="s">
        <v>89</v>
      </c>
      <c r="P136" s="962">
        <f>ROUND((N136),2)</f>
        <v>5.4</v>
      </c>
      <c r="Q136" s="442"/>
      <c r="R136" s="919"/>
      <c r="S136" s="442"/>
      <c r="T136" s="442"/>
      <c r="U136" s="442"/>
      <c r="V136" s="837"/>
      <c r="W136" s="837"/>
      <c r="X136" s="837"/>
    </row>
    <row r="137" spans="1:24" ht="15.75" customHeight="1">
      <c r="A137" s="394">
        <f>A133+1</f>
        <v>8</v>
      </c>
      <c r="B137" s="450" t="s">
        <v>580</v>
      </c>
      <c r="C137" s="428"/>
      <c r="D137" s="428"/>
      <c r="E137" s="428"/>
      <c r="F137" s="428"/>
      <c r="G137" s="428"/>
      <c r="H137" s="428"/>
      <c r="I137" s="428"/>
      <c r="J137" s="428"/>
      <c r="K137" s="428"/>
      <c r="L137" s="428"/>
      <c r="M137" s="428"/>
      <c r="N137" s="428"/>
      <c r="O137" s="362"/>
      <c r="P137" s="962"/>
      <c r="Q137" s="442"/>
      <c r="R137" s="919"/>
      <c r="S137" s="442"/>
      <c r="T137" s="442"/>
      <c r="U137" s="442"/>
      <c r="V137" s="837"/>
      <c r="W137" s="837"/>
      <c r="X137" s="837"/>
    </row>
    <row r="138" spans="1:24" ht="15.75" customHeight="1">
      <c r="A138" s="394"/>
      <c r="B138" s="963" t="s">
        <v>1017</v>
      </c>
      <c r="C138" s="428"/>
      <c r="D138" s="428">
        <f>D82</f>
        <v>0.25</v>
      </c>
      <c r="E138" s="428">
        <f>E82</f>
        <v>2.5</v>
      </c>
      <c r="F138" s="428"/>
      <c r="G138" s="428"/>
      <c r="H138" s="428">
        <f>H82</f>
        <v>4</v>
      </c>
      <c r="I138" s="428"/>
      <c r="J138" s="428"/>
      <c r="K138" s="428"/>
      <c r="L138" s="428"/>
      <c r="M138" s="428">
        <f>M135</f>
        <v>1</v>
      </c>
      <c r="N138" s="428">
        <f>D138*E138*H138*M138</f>
        <v>2.5</v>
      </c>
      <c r="O138" s="362"/>
      <c r="P138" s="962"/>
      <c r="Q138" s="442"/>
      <c r="R138" s="919"/>
      <c r="S138" s="442"/>
      <c r="T138" s="442"/>
      <c r="U138" s="442"/>
      <c r="V138" s="837"/>
      <c r="W138" s="837"/>
      <c r="X138" s="837"/>
    </row>
    <row r="139" spans="1:24" ht="15.75" customHeight="1">
      <c r="A139" s="394"/>
      <c r="B139" s="963" t="s">
        <v>1018</v>
      </c>
      <c r="C139" s="428">
        <f>C83</f>
        <v>3</v>
      </c>
      <c r="D139" s="428"/>
      <c r="E139" s="428">
        <f>E83</f>
        <v>0.3</v>
      </c>
      <c r="F139" s="428"/>
      <c r="G139" s="428"/>
      <c r="H139" s="428">
        <v>4</v>
      </c>
      <c r="I139" s="428"/>
      <c r="J139" s="428"/>
      <c r="K139" s="428"/>
      <c r="L139" s="428"/>
      <c r="M139" s="428">
        <f>M138</f>
        <v>1</v>
      </c>
      <c r="N139" s="428">
        <f>C139*E139*H139*M139</f>
        <v>3.5999999999999996</v>
      </c>
      <c r="O139" s="362"/>
      <c r="P139" s="962"/>
      <c r="Q139" s="442"/>
      <c r="R139" s="919"/>
      <c r="S139" s="442"/>
      <c r="T139" s="442"/>
      <c r="U139" s="442"/>
      <c r="V139" s="837"/>
      <c r="W139" s="837"/>
      <c r="X139" s="837"/>
    </row>
    <row r="140" spans="1:24" ht="15.75" customHeight="1">
      <c r="A140" s="394"/>
      <c r="B140" s="963"/>
      <c r="C140" s="428">
        <f>C84</f>
        <v>3</v>
      </c>
      <c r="D140" s="428">
        <f>D84</f>
        <v>0.25</v>
      </c>
      <c r="E140" s="428"/>
      <c r="F140" s="428"/>
      <c r="G140" s="428"/>
      <c r="H140" s="428">
        <f>H139</f>
        <v>4</v>
      </c>
      <c r="I140" s="428"/>
      <c r="J140" s="428"/>
      <c r="K140" s="428"/>
      <c r="L140" s="428"/>
      <c r="M140" s="428">
        <f>M139</f>
        <v>1</v>
      </c>
      <c r="N140" s="1059">
        <f>C140*D140*H140*M140</f>
        <v>3</v>
      </c>
      <c r="O140" s="362"/>
      <c r="P140" s="962"/>
      <c r="Q140" s="442"/>
      <c r="R140" s="919"/>
      <c r="S140" s="442"/>
      <c r="T140" s="442"/>
      <c r="U140" s="442"/>
      <c r="V140" s="837"/>
      <c r="W140" s="837"/>
      <c r="X140" s="837"/>
    </row>
    <row r="141" spans="1:24" ht="15.75" customHeight="1">
      <c r="A141" s="394"/>
      <c r="B141" s="963" t="s">
        <v>1758</v>
      </c>
      <c r="C141" s="428">
        <v>3.3</v>
      </c>
      <c r="D141" s="428"/>
      <c r="E141" s="428">
        <v>0.375</v>
      </c>
      <c r="F141" s="428"/>
      <c r="G141" s="428"/>
      <c r="H141" s="428">
        <v>4</v>
      </c>
      <c r="I141" s="428"/>
      <c r="J141" s="428"/>
      <c r="K141" s="428"/>
      <c r="L141" s="428"/>
      <c r="M141" s="428">
        <f>M140</f>
        <v>1</v>
      </c>
      <c r="N141" s="590">
        <f>C141*E141*H141*M141</f>
        <v>4.9499999999999993</v>
      </c>
      <c r="O141" s="362"/>
      <c r="P141" s="962"/>
      <c r="Q141" s="442"/>
      <c r="R141" s="919"/>
      <c r="S141" s="442"/>
      <c r="T141" s="442"/>
      <c r="U141" s="442"/>
      <c r="V141" s="837"/>
      <c r="W141" s="837"/>
      <c r="X141" s="837"/>
    </row>
    <row r="142" spans="1:24" ht="15.75" customHeight="1">
      <c r="A142" s="394"/>
      <c r="B142" s="963"/>
      <c r="C142" s="428"/>
      <c r="D142" s="428"/>
      <c r="E142" s="428"/>
      <c r="F142" s="428"/>
      <c r="G142" s="428"/>
      <c r="H142" s="428"/>
      <c r="I142" s="428"/>
      <c r="J142" s="428"/>
      <c r="K142" s="428"/>
      <c r="L142" s="428"/>
      <c r="M142" s="428"/>
      <c r="N142" s="390">
        <f>SUM(N138:N141)</f>
        <v>14.049999999999999</v>
      </c>
      <c r="O142" s="362" t="s">
        <v>89</v>
      </c>
      <c r="P142" s="962">
        <f>ROUND((N142),2)</f>
        <v>14.05</v>
      </c>
      <c r="Q142" s="442"/>
      <c r="R142" s="919"/>
      <c r="S142" s="442"/>
      <c r="T142" s="442"/>
      <c r="U142" s="442"/>
      <c r="V142" s="837"/>
      <c r="W142" s="837"/>
      <c r="X142" s="837"/>
    </row>
    <row r="143" spans="1:24" ht="15.75" customHeight="1">
      <c r="A143" s="971" t="s">
        <v>1190</v>
      </c>
      <c r="B143" s="426" t="s">
        <v>457</v>
      </c>
      <c r="C143" s="1059"/>
      <c r="D143" s="1059"/>
      <c r="E143" s="1059"/>
      <c r="F143" s="1059"/>
      <c r="G143" s="1059"/>
      <c r="H143" s="1059"/>
      <c r="I143" s="1059"/>
      <c r="J143" s="1059"/>
      <c r="K143" s="1059"/>
      <c r="L143" s="1059"/>
      <c r="M143" s="1059"/>
      <c r="N143" s="1059"/>
      <c r="O143" s="449"/>
      <c r="P143" s="1547"/>
      <c r="Q143" s="442"/>
      <c r="R143" s="919"/>
      <c r="S143" s="442"/>
      <c r="T143" s="442"/>
      <c r="U143" s="442"/>
      <c r="V143" s="837"/>
      <c r="W143" s="837"/>
      <c r="X143" s="837"/>
    </row>
    <row r="144" spans="1:24" ht="15.75" customHeight="1">
      <c r="A144" s="394">
        <v>1</v>
      </c>
      <c r="B144" s="389" t="s">
        <v>681</v>
      </c>
      <c r="C144" s="1059"/>
      <c r="D144" s="1059"/>
      <c r="E144" s="1059"/>
      <c r="F144" s="1059">
        <v>5</v>
      </c>
      <c r="G144" s="1059"/>
      <c r="H144" s="1059"/>
      <c r="I144" s="1059"/>
      <c r="J144" s="1059"/>
      <c r="K144" s="1059"/>
      <c r="L144" s="1059"/>
      <c r="M144" s="1059">
        <v>1</v>
      </c>
      <c r="N144" s="1059">
        <f>F144*M144</f>
        <v>5</v>
      </c>
      <c r="O144" s="362" t="s">
        <v>357</v>
      </c>
      <c r="P144" s="962">
        <f>ROUND((N144),2)</f>
        <v>5</v>
      </c>
      <c r="Q144" s="442"/>
      <c r="R144" s="919"/>
      <c r="S144" s="442"/>
      <c r="T144" s="442"/>
      <c r="U144" s="442"/>
      <c r="V144" s="837"/>
      <c r="W144" s="837"/>
      <c r="X144" s="837"/>
    </row>
    <row r="145" spans="1:24" ht="15.75" customHeight="1">
      <c r="A145" s="394">
        <f>A144+1</f>
        <v>2</v>
      </c>
      <c r="B145" s="453" t="s">
        <v>1759</v>
      </c>
      <c r="C145" s="1059"/>
      <c r="D145" s="1059"/>
      <c r="E145" s="1059"/>
      <c r="F145" s="1059">
        <v>5</v>
      </c>
      <c r="G145" s="1059"/>
      <c r="H145" s="1059"/>
      <c r="I145" s="1059"/>
      <c r="J145" s="1059"/>
      <c r="K145" s="1059"/>
      <c r="L145" s="1059"/>
      <c r="M145" s="1059">
        <v>1</v>
      </c>
      <c r="N145" s="1059">
        <f>F145*M145</f>
        <v>5</v>
      </c>
      <c r="O145" s="362" t="s">
        <v>124</v>
      </c>
      <c r="P145" s="962">
        <f>ROUND((N145),2)</f>
        <v>5</v>
      </c>
      <c r="Q145" s="442"/>
      <c r="R145" s="919"/>
      <c r="S145" s="442"/>
      <c r="T145" s="442"/>
      <c r="U145" s="442"/>
      <c r="V145" s="837"/>
      <c r="W145" s="837"/>
      <c r="X145" s="837"/>
    </row>
    <row r="146" spans="1:24" ht="15.75" customHeight="1">
      <c r="A146" s="394">
        <f>A145+1</f>
        <v>3</v>
      </c>
      <c r="B146" s="453" t="s">
        <v>1760</v>
      </c>
      <c r="C146" s="1059"/>
      <c r="D146" s="1059"/>
      <c r="E146" s="1059"/>
      <c r="F146" s="1059">
        <v>1</v>
      </c>
      <c r="G146" s="1059"/>
      <c r="H146" s="1059"/>
      <c r="I146" s="1059"/>
      <c r="J146" s="1059"/>
      <c r="K146" s="1059"/>
      <c r="L146" s="1059"/>
      <c r="M146" s="1059">
        <v>1</v>
      </c>
      <c r="N146" s="1059">
        <f>F146*M146</f>
        <v>1</v>
      </c>
      <c r="O146" s="362" t="s">
        <v>124</v>
      </c>
      <c r="P146" s="962">
        <f>ROUND((N146),2)</f>
        <v>1</v>
      </c>
      <c r="Q146" s="442"/>
      <c r="R146" s="919"/>
      <c r="S146" s="442"/>
      <c r="T146" s="442"/>
      <c r="U146" s="442"/>
      <c r="V146" s="837"/>
      <c r="W146" s="837"/>
      <c r="X146" s="837"/>
    </row>
    <row r="147" spans="1:24" ht="15.75" customHeight="1">
      <c r="A147" s="394">
        <f>A146+1</f>
        <v>4</v>
      </c>
      <c r="B147" s="1548" t="s">
        <v>1761</v>
      </c>
      <c r="C147" s="1059"/>
      <c r="D147" s="1059"/>
      <c r="E147" s="1059"/>
      <c r="F147" s="1059">
        <v>1</v>
      </c>
      <c r="G147" s="1059"/>
      <c r="H147" s="1059"/>
      <c r="I147" s="1059"/>
      <c r="J147" s="1059"/>
      <c r="K147" s="1059"/>
      <c r="L147" s="1059"/>
      <c r="M147" s="1059">
        <v>1</v>
      </c>
      <c r="N147" s="1059">
        <f>F147*M147</f>
        <v>1</v>
      </c>
      <c r="O147" s="362" t="s">
        <v>124</v>
      </c>
      <c r="P147" s="962">
        <f>ROUND((N147),2)</f>
        <v>1</v>
      </c>
      <c r="Q147" s="442"/>
      <c r="R147" s="919"/>
      <c r="S147" s="442"/>
      <c r="T147" s="442"/>
      <c r="U147" s="442"/>
      <c r="V147" s="837"/>
      <c r="W147" s="837"/>
      <c r="X147" s="837"/>
    </row>
    <row r="148" spans="1:24" ht="7.5" customHeight="1">
      <c r="A148" s="940"/>
      <c r="B148" s="916"/>
      <c r="C148" s="917"/>
      <c r="D148" s="917"/>
      <c r="E148" s="917"/>
      <c r="F148" s="917"/>
      <c r="G148" s="917"/>
      <c r="H148" s="917"/>
      <c r="I148" s="917"/>
      <c r="J148" s="917"/>
      <c r="K148" s="917"/>
      <c r="L148" s="917"/>
      <c r="M148" s="917"/>
      <c r="N148" s="917"/>
      <c r="O148" s="941"/>
      <c r="P148" s="918"/>
      <c r="Q148" s="442"/>
      <c r="R148" s="442"/>
      <c r="S148" s="442"/>
      <c r="T148" s="442"/>
      <c r="U148" s="442"/>
      <c r="V148" s="837"/>
      <c r="W148" s="837"/>
      <c r="X148" s="837"/>
    </row>
    <row r="149" spans="1:24" ht="15.75" customHeight="1">
      <c r="A149" s="920"/>
      <c r="B149" s="442"/>
      <c r="C149" s="919"/>
      <c r="D149" s="919"/>
      <c r="E149" s="919"/>
      <c r="F149" s="919"/>
      <c r="G149" s="919"/>
      <c r="H149" s="919"/>
      <c r="I149" s="919"/>
      <c r="J149" s="919"/>
      <c r="K149" s="919"/>
      <c r="L149" s="919"/>
      <c r="M149" s="919"/>
      <c r="N149" s="919"/>
      <c r="O149" s="920"/>
      <c r="P149" s="920"/>
      <c r="Q149" s="442"/>
      <c r="R149" s="442"/>
      <c r="S149" s="442"/>
      <c r="T149" s="442"/>
      <c r="U149" s="442"/>
      <c r="V149" s="837"/>
      <c r="W149" s="837"/>
      <c r="X149" s="837"/>
    </row>
    <row r="150" spans="1:24" ht="15.75" customHeight="1">
      <c r="A150" s="920"/>
      <c r="B150" s="442"/>
      <c r="C150" s="919"/>
      <c r="D150" s="919"/>
      <c r="E150" s="919"/>
      <c r="F150" s="919"/>
      <c r="G150" s="919"/>
      <c r="H150" s="919"/>
      <c r="I150" s="919"/>
      <c r="J150" s="919"/>
      <c r="K150" s="919"/>
      <c r="L150" s="919"/>
      <c r="M150" s="919"/>
      <c r="N150" s="919"/>
      <c r="O150" s="920"/>
      <c r="P150" s="920"/>
      <c r="Q150" s="442"/>
      <c r="R150" s="442"/>
      <c r="S150" s="442"/>
      <c r="T150" s="442"/>
      <c r="U150" s="442"/>
      <c r="V150" s="837"/>
      <c r="W150" s="837"/>
      <c r="X150" s="837"/>
    </row>
    <row r="151" spans="1:24" ht="15.75" customHeight="1">
      <c r="A151" s="920"/>
      <c r="B151" s="442"/>
      <c r="C151" s="919"/>
      <c r="D151" s="919"/>
      <c r="E151" s="919"/>
      <c r="F151" s="919"/>
      <c r="G151" s="919"/>
      <c r="H151" s="919"/>
      <c r="I151" s="919"/>
      <c r="J151" s="919"/>
      <c r="K151" s="919"/>
      <c r="L151" s="919"/>
      <c r="M151" s="919"/>
      <c r="N151" s="919"/>
      <c r="O151" s="920"/>
      <c r="P151" s="920"/>
      <c r="Q151" s="442"/>
      <c r="R151" s="442"/>
      <c r="S151" s="442"/>
      <c r="T151" s="442"/>
      <c r="U151" s="442"/>
      <c r="V151" s="837"/>
      <c r="W151" s="837"/>
      <c r="X151" s="837"/>
    </row>
    <row r="152" spans="1:24" ht="15.75" customHeight="1">
      <c r="A152" s="920"/>
      <c r="B152" s="442"/>
      <c r="C152" s="919"/>
      <c r="D152" s="919"/>
      <c r="E152" s="919"/>
      <c r="F152" s="919"/>
      <c r="G152" s="919"/>
      <c r="H152" s="919"/>
      <c r="I152" s="919"/>
      <c r="J152" s="919"/>
      <c r="K152" s="919"/>
      <c r="L152" s="919"/>
      <c r="M152" s="919"/>
      <c r="N152" s="919"/>
      <c r="O152" s="920"/>
      <c r="P152" s="920"/>
      <c r="Q152" s="442"/>
      <c r="R152" s="442"/>
      <c r="S152" s="442"/>
      <c r="T152" s="442"/>
      <c r="U152" s="442"/>
      <c r="V152" s="837"/>
      <c r="W152" s="837"/>
      <c r="X152" s="837"/>
    </row>
    <row r="153" spans="1:24" ht="15.75" customHeight="1">
      <c r="A153" s="442"/>
      <c r="B153" s="442"/>
      <c r="C153" s="919"/>
      <c r="D153" s="919"/>
      <c r="E153" s="919"/>
      <c r="F153" s="919"/>
      <c r="G153" s="919"/>
      <c r="H153" s="919"/>
      <c r="I153" s="919"/>
      <c r="J153" s="919"/>
      <c r="K153" s="919"/>
      <c r="L153" s="919"/>
      <c r="M153" s="919"/>
      <c r="N153" s="919"/>
      <c r="O153" s="920"/>
      <c r="P153" s="920"/>
      <c r="Q153" s="442"/>
      <c r="R153" s="442"/>
      <c r="S153" s="442"/>
      <c r="T153" s="442"/>
      <c r="U153" s="442"/>
      <c r="V153" s="837"/>
      <c r="W153" s="837"/>
      <c r="X153" s="837"/>
    </row>
    <row r="154" spans="1:24" ht="15.75" customHeight="1">
      <c r="A154" s="442"/>
      <c r="B154" s="442"/>
      <c r="C154" s="919"/>
      <c r="D154" s="919"/>
      <c r="E154" s="919"/>
      <c r="F154" s="919"/>
      <c r="G154" s="919"/>
      <c r="H154" s="919"/>
      <c r="I154" s="919"/>
      <c r="J154" s="919"/>
      <c r="K154" s="919"/>
      <c r="L154" s="919"/>
      <c r="M154" s="919"/>
      <c r="N154" s="919"/>
      <c r="O154" s="920"/>
      <c r="P154" s="920"/>
      <c r="Q154" s="442"/>
      <c r="R154" s="442"/>
      <c r="S154" s="442"/>
      <c r="T154" s="442"/>
      <c r="U154" s="442"/>
      <c r="V154" s="837"/>
      <c r="W154" s="837"/>
      <c r="X154" s="837"/>
    </row>
    <row r="155" spans="1:24" ht="15.75" customHeight="1">
      <c r="A155" s="442"/>
      <c r="B155" s="442"/>
      <c r="C155" s="919"/>
      <c r="D155" s="919"/>
      <c r="E155" s="919"/>
      <c r="F155" s="919"/>
      <c r="G155" s="919"/>
      <c r="H155" s="919"/>
      <c r="I155" s="919"/>
      <c r="J155" s="919"/>
      <c r="K155" s="919"/>
      <c r="L155" s="919"/>
      <c r="M155" s="919"/>
      <c r="N155" s="919"/>
      <c r="O155" s="920"/>
      <c r="P155" s="920"/>
      <c r="Q155" s="442"/>
      <c r="R155" s="442"/>
      <c r="S155" s="442"/>
      <c r="T155" s="442"/>
      <c r="U155" s="442"/>
      <c r="V155" s="837"/>
      <c r="W155" s="837"/>
      <c r="X155" s="837"/>
    </row>
    <row r="156" spans="1:24" ht="15.75" customHeight="1">
      <c r="A156" s="442"/>
      <c r="B156" s="442"/>
      <c r="C156" s="919"/>
      <c r="D156" s="919"/>
      <c r="E156" s="919"/>
      <c r="F156" s="919"/>
      <c r="G156" s="919"/>
      <c r="H156" s="919"/>
      <c r="I156" s="919"/>
      <c r="J156" s="919"/>
      <c r="K156" s="919"/>
      <c r="L156" s="919"/>
      <c r="M156" s="919"/>
      <c r="N156" s="919"/>
      <c r="O156" s="920"/>
      <c r="P156" s="920"/>
      <c r="Q156" s="442"/>
      <c r="R156" s="442"/>
      <c r="S156" s="442"/>
      <c r="T156" s="442"/>
      <c r="U156" s="442"/>
      <c r="V156" s="837"/>
      <c r="W156" s="837"/>
      <c r="X156" s="837"/>
    </row>
    <row r="157" spans="1:24" ht="15.75" customHeight="1">
      <c r="A157" s="442"/>
      <c r="B157" s="442"/>
      <c r="C157" s="919"/>
      <c r="D157" s="919"/>
      <c r="E157" s="919"/>
      <c r="F157" s="919"/>
      <c r="G157" s="919"/>
      <c r="H157" s="919"/>
      <c r="I157" s="919"/>
      <c r="J157" s="919"/>
      <c r="K157" s="919"/>
      <c r="L157" s="919"/>
      <c r="M157" s="919"/>
      <c r="N157" s="919"/>
      <c r="O157" s="920"/>
      <c r="P157" s="920"/>
      <c r="Q157" s="442"/>
      <c r="R157" s="442"/>
      <c r="S157" s="442"/>
      <c r="T157" s="442"/>
      <c r="U157" s="442"/>
      <c r="V157" s="837"/>
      <c r="W157" s="837"/>
      <c r="X157" s="837"/>
    </row>
    <row r="158" spans="1:24" ht="15.75" customHeight="1">
      <c r="A158" s="442"/>
      <c r="B158" s="442"/>
      <c r="C158" s="919"/>
      <c r="D158" s="919"/>
      <c r="E158" s="919"/>
      <c r="F158" s="919"/>
      <c r="G158" s="919"/>
      <c r="H158" s="919"/>
      <c r="I158" s="919"/>
      <c r="J158" s="919"/>
      <c r="K158" s="919"/>
      <c r="L158" s="919"/>
      <c r="M158" s="919"/>
      <c r="N158" s="919"/>
      <c r="O158" s="920"/>
      <c r="P158" s="920"/>
      <c r="Q158" s="442"/>
      <c r="R158" s="442"/>
      <c r="S158" s="442"/>
      <c r="T158" s="442"/>
      <c r="U158" s="442"/>
      <c r="V158" s="837"/>
      <c r="W158" s="837"/>
      <c r="X158" s="837"/>
    </row>
    <row r="159" spans="1:24" ht="15.75" customHeight="1">
      <c r="A159" s="442"/>
      <c r="B159" s="442"/>
      <c r="C159" s="919"/>
      <c r="D159" s="919"/>
      <c r="E159" s="919"/>
      <c r="F159" s="919"/>
      <c r="G159" s="919"/>
      <c r="H159" s="919"/>
      <c r="I159" s="919"/>
      <c r="J159" s="919"/>
      <c r="K159" s="919"/>
      <c r="L159" s="919"/>
      <c r="M159" s="919"/>
      <c r="N159" s="919"/>
      <c r="O159" s="920"/>
      <c r="P159" s="920"/>
      <c r="Q159" s="442"/>
      <c r="R159" s="442"/>
      <c r="S159" s="442"/>
      <c r="T159" s="442"/>
      <c r="U159" s="442"/>
      <c r="V159" s="837"/>
      <c r="W159" s="837"/>
      <c r="X159" s="837"/>
    </row>
    <row r="160" spans="1:24" ht="15.75" customHeight="1">
      <c r="A160" s="442"/>
      <c r="B160" s="442"/>
      <c r="C160" s="919"/>
      <c r="D160" s="919"/>
      <c r="E160" s="919"/>
      <c r="F160" s="919"/>
      <c r="G160" s="919"/>
      <c r="H160" s="919"/>
      <c r="I160" s="919"/>
      <c r="J160" s="919"/>
      <c r="K160" s="919"/>
      <c r="L160" s="919"/>
      <c r="M160" s="919"/>
      <c r="N160" s="919"/>
      <c r="O160" s="920"/>
      <c r="P160" s="920"/>
      <c r="Q160" s="442"/>
      <c r="R160" s="442"/>
      <c r="S160" s="442"/>
      <c r="T160" s="442"/>
      <c r="U160" s="442"/>
      <c r="V160" s="837"/>
      <c r="W160" s="837"/>
      <c r="X160" s="837"/>
    </row>
    <row r="161" spans="1:24" ht="15.75" customHeight="1">
      <c r="A161" s="442"/>
      <c r="B161" s="442"/>
      <c r="C161" s="919"/>
      <c r="D161" s="919"/>
      <c r="E161" s="919"/>
      <c r="F161" s="919"/>
      <c r="G161" s="919"/>
      <c r="H161" s="919"/>
      <c r="I161" s="919"/>
      <c r="J161" s="919"/>
      <c r="K161" s="919"/>
      <c r="L161" s="919"/>
      <c r="M161" s="919"/>
      <c r="N161" s="919"/>
      <c r="O161" s="920"/>
      <c r="P161" s="920"/>
      <c r="Q161" s="442"/>
      <c r="R161" s="442"/>
      <c r="S161" s="442"/>
      <c r="T161" s="442"/>
      <c r="U161" s="442"/>
      <c r="V161" s="837"/>
      <c r="W161" s="837"/>
      <c r="X161" s="837"/>
    </row>
    <row r="162" spans="1:24" ht="15.75" customHeight="1">
      <c r="A162" s="442"/>
      <c r="B162" s="442"/>
      <c r="C162" s="919"/>
      <c r="D162" s="919"/>
      <c r="E162" s="919"/>
      <c r="F162" s="919"/>
      <c r="G162" s="919"/>
      <c r="H162" s="919"/>
      <c r="I162" s="919"/>
      <c r="J162" s="919"/>
      <c r="K162" s="919"/>
      <c r="L162" s="919"/>
      <c r="M162" s="919"/>
      <c r="N162" s="919"/>
      <c r="O162" s="920"/>
      <c r="P162" s="920"/>
      <c r="Q162" s="442"/>
      <c r="R162" s="442"/>
      <c r="S162" s="442"/>
      <c r="T162" s="442"/>
      <c r="U162" s="442"/>
      <c r="V162" s="837"/>
      <c r="W162" s="837"/>
      <c r="X162" s="837"/>
    </row>
    <row r="163" spans="1:24" ht="15.75" customHeight="1">
      <c r="A163" s="442"/>
      <c r="B163" s="442"/>
      <c r="C163" s="919"/>
      <c r="D163" s="919"/>
      <c r="E163" s="919"/>
      <c r="F163" s="919"/>
      <c r="G163" s="919"/>
      <c r="H163" s="919"/>
      <c r="I163" s="919"/>
      <c r="J163" s="919"/>
      <c r="K163" s="919"/>
      <c r="L163" s="919"/>
      <c r="M163" s="919"/>
      <c r="N163" s="919"/>
      <c r="O163" s="920"/>
      <c r="P163" s="920"/>
      <c r="Q163" s="442"/>
      <c r="R163" s="442"/>
      <c r="S163" s="442"/>
      <c r="T163" s="442"/>
      <c r="U163" s="442"/>
      <c r="V163" s="837"/>
      <c r="W163" s="837"/>
      <c r="X163" s="837"/>
    </row>
    <row r="164" spans="1:24" ht="15.75" customHeight="1">
      <c r="A164" s="442"/>
      <c r="B164" s="442"/>
      <c r="C164" s="919"/>
      <c r="D164" s="919"/>
      <c r="E164" s="919"/>
      <c r="F164" s="919"/>
      <c r="G164" s="919"/>
      <c r="H164" s="919"/>
      <c r="I164" s="919"/>
      <c r="J164" s="919"/>
      <c r="K164" s="919"/>
      <c r="L164" s="919"/>
      <c r="M164" s="919"/>
      <c r="N164" s="919"/>
      <c r="O164" s="920"/>
      <c r="P164" s="920"/>
      <c r="Q164" s="442"/>
      <c r="R164" s="442"/>
      <c r="S164" s="442"/>
      <c r="T164" s="442"/>
      <c r="U164" s="442"/>
      <c r="V164" s="837"/>
      <c r="W164" s="837"/>
      <c r="X164" s="837"/>
    </row>
    <row r="165" spans="1:24" ht="15.75" customHeight="1">
      <c r="A165" s="442"/>
      <c r="B165" s="442"/>
      <c r="C165" s="919"/>
      <c r="D165" s="919"/>
      <c r="E165" s="919"/>
      <c r="F165" s="919"/>
      <c r="G165" s="919"/>
      <c r="H165" s="919"/>
      <c r="I165" s="919"/>
      <c r="J165" s="919"/>
      <c r="K165" s="919"/>
      <c r="L165" s="919"/>
      <c r="M165" s="919"/>
      <c r="N165" s="919"/>
      <c r="O165" s="920"/>
      <c r="P165" s="920"/>
      <c r="Q165" s="442"/>
      <c r="R165" s="442"/>
      <c r="S165" s="442"/>
      <c r="T165" s="442"/>
      <c r="U165" s="442"/>
      <c r="V165" s="837"/>
      <c r="W165" s="837"/>
      <c r="X165" s="837"/>
    </row>
    <row r="166" spans="1:24" ht="15.75" customHeight="1">
      <c r="A166" s="442"/>
      <c r="B166" s="442"/>
      <c r="C166" s="919"/>
      <c r="D166" s="919"/>
      <c r="E166" s="919"/>
      <c r="F166" s="919"/>
      <c r="G166" s="919"/>
      <c r="H166" s="919"/>
      <c r="I166" s="919"/>
      <c r="J166" s="919"/>
      <c r="K166" s="919"/>
      <c r="L166" s="919"/>
      <c r="M166" s="919"/>
      <c r="N166" s="919"/>
      <c r="O166" s="920"/>
      <c r="P166" s="920"/>
      <c r="Q166" s="442"/>
      <c r="R166" s="442"/>
      <c r="S166" s="442"/>
      <c r="T166" s="442"/>
      <c r="U166" s="442"/>
      <c r="V166" s="837"/>
      <c r="W166" s="837"/>
      <c r="X166" s="837"/>
    </row>
    <row r="167" spans="1:24" ht="15.75" customHeight="1">
      <c r="A167" s="442"/>
      <c r="B167" s="442"/>
      <c r="C167" s="919"/>
      <c r="D167" s="919"/>
      <c r="E167" s="919"/>
      <c r="F167" s="919"/>
      <c r="G167" s="919"/>
      <c r="H167" s="919"/>
      <c r="I167" s="919"/>
      <c r="J167" s="919"/>
      <c r="K167" s="919"/>
      <c r="L167" s="919"/>
      <c r="M167" s="919"/>
      <c r="N167" s="919"/>
      <c r="O167" s="920"/>
      <c r="P167" s="920"/>
      <c r="Q167" s="442"/>
      <c r="R167" s="442"/>
      <c r="S167" s="442"/>
      <c r="T167" s="442"/>
      <c r="U167" s="442"/>
      <c r="V167" s="837"/>
      <c r="W167" s="837"/>
      <c r="X167" s="837"/>
    </row>
    <row r="168" spans="1:24" ht="15.75" customHeight="1">
      <c r="A168" s="442"/>
      <c r="B168" s="442"/>
      <c r="C168" s="919"/>
      <c r="D168" s="919"/>
      <c r="E168" s="919"/>
      <c r="F168" s="919"/>
      <c r="G168" s="919"/>
      <c r="H168" s="919"/>
      <c r="I168" s="919"/>
      <c r="J168" s="919"/>
      <c r="K168" s="919"/>
      <c r="L168" s="919"/>
      <c r="M168" s="919"/>
      <c r="N168" s="919"/>
      <c r="O168" s="920"/>
      <c r="P168" s="920"/>
      <c r="Q168" s="442"/>
      <c r="R168" s="442"/>
      <c r="S168" s="442"/>
      <c r="T168" s="442"/>
      <c r="U168" s="442"/>
      <c r="V168" s="837"/>
      <c r="W168" s="837"/>
      <c r="X168" s="837"/>
    </row>
    <row r="169" spans="1:24" ht="15.75" customHeight="1">
      <c r="A169" s="442"/>
      <c r="B169" s="442"/>
      <c r="C169" s="919"/>
      <c r="D169" s="919"/>
      <c r="E169" s="919"/>
      <c r="F169" s="919"/>
      <c r="G169" s="919"/>
      <c r="H169" s="919"/>
      <c r="I169" s="919"/>
      <c r="J169" s="919"/>
      <c r="K169" s="919"/>
      <c r="L169" s="919"/>
      <c r="M169" s="919"/>
      <c r="N169" s="919"/>
      <c r="O169" s="920"/>
      <c r="P169" s="920"/>
      <c r="Q169" s="442"/>
      <c r="R169" s="442"/>
      <c r="S169" s="442"/>
      <c r="T169" s="442"/>
      <c r="U169" s="442"/>
      <c r="V169" s="837"/>
      <c r="W169" s="837"/>
      <c r="X169" s="837"/>
    </row>
    <row r="170" spans="1:24" ht="15.75" customHeight="1">
      <c r="A170" s="442"/>
      <c r="B170" s="442"/>
      <c r="C170" s="919"/>
      <c r="D170" s="919"/>
      <c r="E170" s="919"/>
      <c r="F170" s="919"/>
      <c r="G170" s="919"/>
      <c r="H170" s="919"/>
      <c r="I170" s="919"/>
      <c r="J170" s="919"/>
      <c r="K170" s="919"/>
      <c r="L170" s="919"/>
      <c r="M170" s="919"/>
      <c r="N170" s="919"/>
      <c r="O170" s="920"/>
      <c r="P170" s="920"/>
      <c r="Q170" s="442"/>
      <c r="R170" s="442"/>
      <c r="S170" s="442"/>
      <c r="T170" s="442"/>
      <c r="U170" s="442"/>
      <c r="V170" s="837"/>
      <c r="W170" s="837"/>
      <c r="X170" s="837"/>
    </row>
    <row r="171" spans="1:24" ht="15.75" customHeight="1">
      <c r="A171" s="442"/>
      <c r="B171" s="442"/>
      <c r="C171" s="919"/>
      <c r="D171" s="919"/>
      <c r="E171" s="919"/>
      <c r="F171" s="919"/>
      <c r="G171" s="919"/>
      <c r="H171" s="919"/>
      <c r="I171" s="919"/>
      <c r="J171" s="919"/>
      <c r="K171" s="919"/>
      <c r="L171" s="919"/>
      <c r="M171" s="919"/>
      <c r="N171" s="919"/>
      <c r="O171" s="920"/>
      <c r="P171" s="920"/>
      <c r="Q171" s="442"/>
      <c r="R171" s="442"/>
      <c r="S171" s="442"/>
      <c r="T171" s="442"/>
      <c r="U171" s="442"/>
      <c r="V171" s="837"/>
      <c r="W171" s="837"/>
      <c r="X171" s="837"/>
    </row>
    <row r="172" spans="1:24" ht="15.75" customHeight="1">
      <c r="A172" s="442"/>
      <c r="B172" s="442"/>
      <c r="C172" s="919"/>
      <c r="D172" s="919"/>
      <c r="E172" s="919"/>
      <c r="F172" s="919"/>
      <c r="G172" s="919"/>
      <c r="H172" s="919"/>
      <c r="I172" s="919"/>
      <c r="J172" s="919"/>
      <c r="K172" s="919"/>
      <c r="L172" s="919"/>
      <c r="M172" s="919"/>
      <c r="N172" s="919"/>
      <c r="O172" s="920"/>
      <c r="P172" s="920"/>
      <c r="Q172" s="442"/>
      <c r="R172" s="442"/>
      <c r="S172" s="442"/>
      <c r="T172" s="442"/>
      <c r="U172" s="442"/>
      <c r="V172" s="837"/>
      <c r="W172" s="837"/>
      <c r="X172" s="837"/>
    </row>
    <row r="173" spans="1:24" ht="15.75" customHeight="1">
      <c r="A173" s="442"/>
      <c r="B173" s="442"/>
      <c r="C173" s="919"/>
      <c r="D173" s="919"/>
      <c r="E173" s="919"/>
      <c r="F173" s="919"/>
      <c r="G173" s="919"/>
      <c r="H173" s="919"/>
      <c r="I173" s="919"/>
      <c r="J173" s="919"/>
      <c r="K173" s="919"/>
      <c r="L173" s="919"/>
      <c r="M173" s="919"/>
      <c r="N173" s="919"/>
      <c r="O173" s="920"/>
      <c r="P173" s="920"/>
      <c r="Q173" s="442"/>
      <c r="R173" s="442"/>
      <c r="S173" s="442"/>
      <c r="T173" s="442"/>
      <c r="U173" s="442"/>
      <c r="V173" s="837"/>
      <c r="W173" s="837"/>
      <c r="X173" s="837"/>
    </row>
    <row r="174" spans="1:24" ht="15.75" customHeight="1">
      <c r="A174" s="442"/>
      <c r="B174" s="442"/>
      <c r="C174" s="919"/>
      <c r="D174" s="919"/>
      <c r="E174" s="919"/>
      <c r="F174" s="919"/>
      <c r="G174" s="919"/>
      <c r="H174" s="919"/>
      <c r="I174" s="919"/>
      <c r="J174" s="919"/>
      <c r="K174" s="919"/>
      <c r="L174" s="919"/>
      <c r="M174" s="919"/>
      <c r="N174" s="919"/>
      <c r="O174" s="920"/>
      <c r="P174" s="920"/>
      <c r="Q174" s="442"/>
      <c r="R174" s="442"/>
      <c r="S174" s="442"/>
      <c r="T174" s="442"/>
      <c r="U174" s="442"/>
      <c r="V174" s="837"/>
      <c r="W174" s="837"/>
      <c r="X174" s="837"/>
    </row>
    <row r="175" spans="1:24" ht="15.75" customHeight="1">
      <c r="A175" s="442"/>
      <c r="B175" s="442"/>
      <c r="C175" s="919"/>
      <c r="D175" s="919"/>
      <c r="E175" s="919"/>
      <c r="F175" s="919"/>
      <c r="G175" s="919"/>
      <c r="H175" s="919"/>
      <c r="I175" s="919"/>
      <c r="J175" s="919"/>
      <c r="K175" s="919"/>
      <c r="L175" s="919"/>
      <c r="M175" s="919"/>
      <c r="N175" s="919"/>
      <c r="O175" s="920"/>
      <c r="P175" s="920"/>
      <c r="Q175" s="442"/>
      <c r="R175" s="442"/>
      <c r="S175" s="442"/>
      <c r="T175" s="442"/>
      <c r="U175" s="442"/>
      <c r="V175" s="837"/>
      <c r="W175" s="837"/>
      <c r="X175" s="837"/>
    </row>
    <row r="176" spans="1:24" ht="15.75" customHeight="1">
      <c r="A176" s="442"/>
      <c r="B176" s="442"/>
      <c r="C176" s="919"/>
      <c r="D176" s="919"/>
      <c r="E176" s="919"/>
      <c r="F176" s="919"/>
      <c r="G176" s="919"/>
      <c r="H176" s="919"/>
      <c r="I176" s="919"/>
      <c r="J176" s="919"/>
      <c r="K176" s="919"/>
      <c r="L176" s="919"/>
      <c r="M176" s="919"/>
      <c r="N176" s="919"/>
      <c r="O176" s="920"/>
      <c r="P176" s="920"/>
      <c r="Q176" s="442"/>
      <c r="R176" s="442"/>
      <c r="S176" s="442"/>
      <c r="T176" s="442"/>
      <c r="U176" s="442"/>
      <c r="V176" s="837"/>
      <c r="W176" s="837"/>
      <c r="X176" s="837"/>
    </row>
    <row r="177" spans="1:24" ht="15.75" customHeight="1">
      <c r="A177" s="442"/>
      <c r="B177" s="442"/>
      <c r="C177" s="919"/>
      <c r="D177" s="919"/>
      <c r="E177" s="919"/>
      <c r="F177" s="919"/>
      <c r="G177" s="919"/>
      <c r="H177" s="919"/>
      <c r="I177" s="919"/>
      <c r="J177" s="919"/>
      <c r="K177" s="919"/>
      <c r="L177" s="919"/>
      <c r="M177" s="919"/>
      <c r="N177" s="919"/>
      <c r="O177" s="920"/>
      <c r="P177" s="920"/>
      <c r="Q177" s="442"/>
      <c r="R177" s="442"/>
      <c r="S177" s="442"/>
      <c r="T177" s="442"/>
      <c r="U177" s="442"/>
      <c r="V177" s="837"/>
      <c r="W177" s="837"/>
      <c r="X177" s="837"/>
    </row>
    <row r="178" spans="1:24" ht="15.75" customHeight="1">
      <c r="A178" s="442"/>
      <c r="B178" s="442"/>
      <c r="C178" s="919"/>
      <c r="D178" s="919"/>
      <c r="E178" s="919"/>
      <c r="F178" s="919"/>
      <c r="G178" s="919"/>
      <c r="H178" s="919"/>
      <c r="I178" s="919"/>
      <c r="J178" s="919"/>
      <c r="K178" s="919"/>
      <c r="L178" s="919"/>
      <c r="M178" s="919"/>
      <c r="N178" s="919"/>
      <c r="O178" s="920"/>
      <c r="P178" s="920"/>
      <c r="Q178" s="442"/>
      <c r="R178" s="442"/>
      <c r="S178" s="442"/>
      <c r="T178" s="442"/>
      <c r="U178" s="442"/>
      <c r="V178" s="837"/>
      <c r="W178" s="837"/>
      <c r="X178" s="837"/>
    </row>
    <row r="179" spans="1:24" ht="15.75" customHeight="1">
      <c r="A179" s="442"/>
      <c r="B179" s="442"/>
      <c r="C179" s="919"/>
      <c r="D179" s="919"/>
      <c r="E179" s="919"/>
      <c r="F179" s="919"/>
      <c r="G179" s="919"/>
      <c r="H179" s="919"/>
      <c r="I179" s="919"/>
      <c r="J179" s="919"/>
      <c r="K179" s="919"/>
      <c r="L179" s="919"/>
      <c r="M179" s="919"/>
      <c r="N179" s="919"/>
      <c r="O179" s="920"/>
      <c r="P179" s="920"/>
      <c r="Q179" s="442"/>
      <c r="R179" s="442"/>
      <c r="S179" s="442"/>
      <c r="T179" s="442"/>
      <c r="U179" s="442"/>
      <c r="V179" s="837"/>
      <c r="W179" s="837"/>
      <c r="X179" s="837"/>
    </row>
    <row r="180" spans="1:24" ht="15.75" customHeight="1">
      <c r="A180" s="442"/>
      <c r="B180" s="442"/>
      <c r="C180" s="919"/>
      <c r="D180" s="919"/>
      <c r="E180" s="919"/>
      <c r="F180" s="919"/>
      <c r="G180" s="919"/>
      <c r="H180" s="919"/>
      <c r="I180" s="919"/>
      <c r="J180" s="919"/>
      <c r="K180" s="919"/>
      <c r="L180" s="919"/>
      <c r="M180" s="919"/>
      <c r="N180" s="919"/>
      <c r="O180" s="920"/>
      <c r="P180" s="920"/>
      <c r="Q180" s="442"/>
      <c r="R180" s="442"/>
      <c r="S180" s="442"/>
      <c r="T180" s="442"/>
      <c r="U180" s="442"/>
      <c r="V180" s="837"/>
      <c r="W180" s="837"/>
      <c r="X180" s="837"/>
    </row>
    <row r="181" spans="1:24" ht="15.75" customHeight="1">
      <c r="A181" s="442"/>
      <c r="B181" s="442"/>
      <c r="C181" s="919"/>
      <c r="D181" s="919"/>
      <c r="E181" s="919"/>
      <c r="F181" s="919"/>
      <c r="G181" s="919"/>
      <c r="H181" s="919"/>
      <c r="I181" s="919"/>
      <c r="J181" s="919"/>
      <c r="K181" s="919"/>
      <c r="L181" s="919"/>
      <c r="M181" s="919"/>
      <c r="N181" s="919"/>
      <c r="O181" s="920"/>
      <c r="P181" s="920"/>
      <c r="Q181" s="442"/>
      <c r="R181" s="442"/>
      <c r="S181" s="442"/>
      <c r="T181" s="442"/>
      <c r="U181" s="442"/>
      <c r="V181" s="837"/>
      <c r="W181" s="837"/>
      <c r="X181" s="837"/>
    </row>
    <row r="182" spans="1:24" ht="15.75" customHeight="1">
      <c r="A182" s="442"/>
      <c r="B182" s="442"/>
      <c r="C182" s="919"/>
      <c r="D182" s="919"/>
      <c r="E182" s="919"/>
      <c r="F182" s="919"/>
      <c r="G182" s="919"/>
      <c r="H182" s="919"/>
      <c r="I182" s="919"/>
      <c r="J182" s="919"/>
      <c r="K182" s="919"/>
      <c r="L182" s="919"/>
      <c r="M182" s="919"/>
      <c r="N182" s="919"/>
      <c r="O182" s="920"/>
      <c r="P182" s="920"/>
      <c r="Q182" s="442"/>
      <c r="R182" s="442"/>
      <c r="S182" s="442"/>
      <c r="T182" s="442"/>
      <c r="U182" s="442"/>
      <c r="V182" s="837"/>
      <c r="W182" s="837"/>
      <c r="X182" s="837"/>
    </row>
    <row r="183" spans="1:24" ht="15.75" customHeight="1">
      <c r="A183" s="442"/>
      <c r="B183" s="442"/>
      <c r="C183" s="919"/>
      <c r="D183" s="919"/>
      <c r="E183" s="919"/>
      <c r="F183" s="919"/>
      <c r="G183" s="919"/>
      <c r="H183" s="919"/>
      <c r="I183" s="919"/>
      <c r="J183" s="919"/>
      <c r="K183" s="919"/>
      <c r="L183" s="919"/>
      <c r="M183" s="919"/>
      <c r="N183" s="919"/>
      <c r="O183" s="920"/>
      <c r="P183" s="920"/>
      <c r="Q183" s="442"/>
      <c r="R183" s="442"/>
      <c r="S183" s="442"/>
      <c r="T183" s="442"/>
      <c r="U183" s="442"/>
      <c r="V183" s="837"/>
      <c r="W183" s="837"/>
      <c r="X183" s="837"/>
    </row>
    <row r="184" spans="1:24" ht="15.75" customHeight="1">
      <c r="A184" s="442"/>
      <c r="B184" s="442"/>
      <c r="C184" s="919"/>
      <c r="D184" s="919"/>
      <c r="E184" s="919"/>
      <c r="F184" s="919"/>
      <c r="G184" s="919"/>
      <c r="H184" s="919"/>
      <c r="I184" s="919"/>
      <c r="J184" s="919"/>
      <c r="K184" s="919"/>
      <c r="L184" s="919"/>
      <c r="M184" s="919"/>
      <c r="N184" s="919"/>
      <c r="O184" s="920"/>
      <c r="P184" s="920"/>
      <c r="Q184" s="442"/>
      <c r="R184" s="442"/>
      <c r="S184" s="442"/>
      <c r="T184" s="442"/>
      <c r="U184" s="442"/>
      <c r="V184" s="837"/>
      <c r="W184" s="837"/>
      <c r="X184" s="837"/>
    </row>
    <row r="185" spans="1:24" ht="15.75" customHeight="1">
      <c r="A185" s="442"/>
      <c r="B185" s="442"/>
      <c r="C185" s="919"/>
      <c r="D185" s="919"/>
      <c r="E185" s="919"/>
      <c r="F185" s="919"/>
      <c r="G185" s="919"/>
      <c r="H185" s="919"/>
      <c r="I185" s="919"/>
      <c r="J185" s="919"/>
      <c r="K185" s="919"/>
      <c r="L185" s="919"/>
      <c r="M185" s="919"/>
      <c r="N185" s="919"/>
      <c r="O185" s="920"/>
      <c r="P185" s="920"/>
      <c r="Q185" s="442"/>
      <c r="R185" s="442"/>
      <c r="S185" s="442"/>
      <c r="T185" s="442"/>
      <c r="U185" s="442"/>
      <c r="V185" s="837"/>
      <c r="W185" s="837"/>
      <c r="X185" s="837"/>
    </row>
    <row r="186" spans="1:24" ht="15.75" customHeight="1">
      <c r="A186" s="442"/>
      <c r="B186" s="442"/>
      <c r="C186" s="919"/>
      <c r="D186" s="919"/>
      <c r="E186" s="919"/>
      <c r="F186" s="919"/>
      <c r="G186" s="919"/>
      <c r="H186" s="919"/>
      <c r="I186" s="919"/>
      <c r="J186" s="919"/>
      <c r="K186" s="919"/>
      <c r="L186" s="919"/>
      <c r="M186" s="919"/>
      <c r="N186" s="919"/>
      <c r="O186" s="920"/>
      <c r="P186" s="920"/>
      <c r="Q186" s="442"/>
      <c r="R186" s="442"/>
      <c r="S186" s="442"/>
      <c r="T186" s="442"/>
      <c r="U186" s="442"/>
      <c r="V186" s="837"/>
      <c r="W186" s="837"/>
      <c r="X186" s="837"/>
    </row>
    <row r="187" spans="1:24" ht="15.75" customHeight="1">
      <c r="A187" s="442"/>
      <c r="B187" s="442"/>
      <c r="C187" s="919"/>
      <c r="D187" s="919"/>
      <c r="E187" s="919"/>
      <c r="F187" s="919"/>
      <c r="G187" s="919"/>
      <c r="H187" s="919"/>
      <c r="I187" s="919"/>
      <c r="J187" s="919"/>
      <c r="K187" s="919"/>
      <c r="L187" s="919"/>
      <c r="M187" s="919"/>
      <c r="N187" s="919"/>
      <c r="O187" s="920"/>
      <c r="P187" s="920"/>
      <c r="Q187" s="442"/>
      <c r="R187" s="442"/>
      <c r="S187" s="442"/>
      <c r="T187" s="442"/>
      <c r="U187" s="442"/>
      <c r="V187" s="837"/>
      <c r="W187" s="837"/>
      <c r="X187" s="837"/>
    </row>
    <row r="188" spans="1:24" ht="15.75" customHeight="1">
      <c r="A188" s="442"/>
      <c r="B188" s="442"/>
      <c r="C188" s="919"/>
      <c r="D188" s="919"/>
      <c r="E188" s="919"/>
      <c r="F188" s="919"/>
      <c r="G188" s="919"/>
      <c r="H188" s="919"/>
      <c r="I188" s="919"/>
      <c r="J188" s="919"/>
      <c r="K188" s="919"/>
      <c r="L188" s="919"/>
      <c r="M188" s="919"/>
      <c r="N188" s="919"/>
      <c r="O188" s="920"/>
      <c r="P188" s="920"/>
      <c r="Q188" s="442"/>
      <c r="R188" s="442"/>
      <c r="S188" s="442"/>
      <c r="T188" s="442"/>
      <c r="U188" s="442"/>
      <c r="V188" s="837"/>
      <c r="W188" s="837"/>
      <c r="X188" s="837"/>
    </row>
    <row r="189" spans="1:24" ht="15.75" customHeight="1">
      <c r="A189" s="442"/>
      <c r="B189" s="442"/>
      <c r="C189" s="919"/>
      <c r="D189" s="919"/>
      <c r="E189" s="919"/>
      <c r="F189" s="919"/>
      <c r="G189" s="919"/>
      <c r="H189" s="919"/>
      <c r="I189" s="919"/>
      <c r="J189" s="919"/>
      <c r="K189" s="919"/>
      <c r="L189" s="919"/>
      <c r="M189" s="919"/>
      <c r="N189" s="919"/>
      <c r="O189" s="920"/>
      <c r="P189" s="920"/>
      <c r="Q189" s="442"/>
      <c r="R189" s="442"/>
      <c r="S189" s="442"/>
      <c r="T189" s="442"/>
      <c r="U189" s="442"/>
      <c r="V189" s="837"/>
      <c r="W189" s="837"/>
      <c r="X189" s="837"/>
    </row>
    <row r="190" spans="1:24" ht="15.75" customHeight="1">
      <c r="A190" s="442"/>
      <c r="B190" s="442"/>
      <c r="C190" s="919"/>
      <c r="D190" s="919"/>
      <c r="E190" s="919"/>
      <c r="F190" s="919"/>
      <c r="G190" s="919"/>
      <c r="H190" s="919"/>
      <c r="I190" s="919"/>
      <c r="J190" s="919"/>
      <c r="K190" s="919"/>
      <c r="L190" s="919"/>
      <c r="M190" s="919"/>
      <c r="N190" s="919"/>
      <c r="O190" s="920"/>
      <c r="P190" s="920"/>
      <c r="Q190" s="442"/>
      <c r="R190" s="442"/>
      <c r="S190" s="442"/>
      <c r="T190" s="442"/>
      <c r="U190" s="442"/>
      <c r="V190" s="837"/>
      <c r="W190" s="837"/>
      <c r="X190" s="837"/>
    </row>
    <row r="191" spans="1:24" ht="15.75" customHeight="1">
      <c r="A191" s="442"/>
      <c r="B191" s="442"/>
      <c r="C191" s="919"/>
      <c r="D191" s="919"/>
      <c r="E191" s="919"/>
      <c r="F191" s="919"/>
      <c r="G191" s="919"/>
      <c r="H191" s="919"/>
      <c r="I191" s="919"/>
      <c r="J191" s="919"/>
      <c r="K191" s="919"/>
      <c r="L191" s="919"/>
      <c r="M191" s="919"/>
      <c r="N191" s="919"/>
      <c r="O191" s="920"/>
      <c r="P191" s="920"/>
      <c r="Q191" s="442"/>
      <c r="R191" s="442"/>
      <c r="S191" s="442"/>
      <c r="T191" s="442"/>
      <c r="U191" s="442"/>
      <c r="V191" s="837"/>
      <c r="W191" s="837"/>
      <c r="X191" s="837"/>
    </row>
    <row r="192" spans="1:24" ht="15.75" customHeight="1">
      <c r="A192" s="442"/>
      <c r="B192" s="442"/>
      <c r="C192" s="919"/>
      <c r="D192" s="919"/>
      <c r="E192" s="919"/>
      <c r="F192" s="919"/>
      <c r="G192" s="919"/>
      <c r="H192" s="919"/>
      <c r="I192" s="919"/>
      <c r="J192" s="919"/>
      <c r="K192" s="919"/>
      <c r="L192" s="919"/>
      <c r="M192" s="919"/>
      <c r="N192" s="919"/>
      <c r="O192" s="920"/>
      <c r="P192" s="920"/>
      <c r="Q192" s="442"/>
      <c r="R192" s="442"/>
      <c r="S192" s="442"/>
      <c r="T192" s="442"/>
      <c r="U192" s="442"/>
      <c r="V192" s="837"/>
      <c r="W192" s="837"/>
      <c r="X192" s="837"/>
    </row>
    <row r="193" spans="1:24" ht="15.75" customHeight="1">
      <c r="A193" s="442"/>
      <c r="B193" s="442"/>
      <c r="C193" s="919"/>
      <c r="D193" s="919"/>
      <c r="E193" s="919"/>
      <c r="F193" s="919"/>
      <c r="G193" s="919"/>
      <c r="H193" s="919"/>
      <c r="I193" s="919"/>
      <c r="J193" s="919"/>
      <c r="K193" s="919"/>
      <c r="L193" s="919"/>
      <c r="M193" s="919"/>
      <c r="N193" s="919"/>
      <c r="O193" s="920"/>
      <c r="P193" s="920"/>
      <c r="Q193" s="442"/>
      <c r="R193" s="442"/>
      <c r="S193" s="442"/>
      <c r="T193" s="442"/>
      <c r="U193" s="442"/>
      <c r="V193" s="837"/>
      <c r="W193" s="837"/>
      <c r="X193" s="837"/>
    </row>
    <row r="194" spans="1:24" ht="15.75" customHeight="1">
      <c r="A194" s="442"/>
      <c r="B194" s="442"/>
      <c r="C194" s="919"/>
      <c r="D194" s="919"/>
      <c r="E194" s="919"/>
      <c r="F194" s="919"/>
      <c r="G194" s="919"/>
      <c r="H194" s="919"/>
      <c r="I194" s="919"/>
      <c r="J194" s="919"/>
      <c r="K194" s="919"/>
      <c r="L194" s="919"/>
      <c r="M194" s="919"/>
      <c r="N194" s="919"/>
      <c r="O194" s="920"/>
      <c r="P194" s="920"/>
      <c r="Q194" s="442"/>
      <c r="R194" s="442"/>
      <c r="S194" s="442"/>
      <c r="T194" s="442"/>
      <c r="U194" s="442"/>
      <c r="V194" s="837"/>
      <c r="W194" s="837"/>
      <c r="X194" s="837"/>
    </row>
    <row r="195" spans="1:24" ht="15.75" customHeight="1">
      <c r="A195" s="442"/>
      <c r="B195" s="442"/>
      <c r="C195" s="919"/>
      <c r="D195" s="919"/>
      <c r="E195" s="919"/>
      <c r="F195" s="919"/>
      <c r="G195" s="919"/>
      <c r="H195" s="919"/>
      <c r="I195" s="919"/>
      <c r="J195" s="919"/>
      <c r="K195" s="919"/>
      <c r="L195" s="919"/>
      <c r="M195" s="919"/>
      <c r="N195" s="919"/>
      <c r="O195" s="920"/>
      <c r="P195" s="920"/>
      <c r="Q195" s="442"/>
      <c r="R195" s="442"/>
      <c r="S195" s="442"/>
      <c r="T195" s="442"/>
      <c r="U195" s="442"/>
      <c r="V195" s="837"/>
      <c r="W195" s="837"/>
      <c r="X195" s="837"/>
    </row>
    <row r="196" spans="1:24" ht="15.75" customHeight="1">
      <c r="A196" s="442"/>
      <c r="B196" s="442"/>
      <c r="C196" s="919"/>
      <c r="D196" s="919"/>
      <c r="E196" s="919"/>
      <c r="F196" s="919"/>
      <c r="G196" s="919"/>
      <c r="H196" s="919"/>
      <c r="I196" s="919"/>
      <c r="J196" s="919"/>
      <c r="K196" s="919"/>
      <c r="L196" s="919"/>
      <c r="M196" s="919"/>
      <c r="N196" s="919"/>
      <c r="O196" s="920"/>
      <c r="P196" s="920"/>
      <c r="Q196" s="442"/>
      <c r="R196" s="442"/>
      <c r="S196" s="442"/>
      <c r="T196" s="442"/>
      <c r="U196" s="442"/>
      <c r="V196" s="837"/>
      <c r="W196" s="837"/>
      <c r="X196" s="837"/>
    </row>
    <row r="197" spans="1:24" ht="15.75" customHeight="1">
      <c r="A197" s="442"/>
      <c r="B197" s="442"/>
      <c r="C197" s="919"/>
      <c r="D197" s="919"/>
      <c r="E197" s="919"/>
      <c r="F197" s="919"/>
      <c r="G197" s="919"/>
      <c r="H197" s="919"/>
      <c r="I197" s="919"/>
      <c r="J197" s="919"/>
      <c r="K197" s="919"/>
      <c r="L197" s="919"/>
      <c r="M197" s="919"/>
      <c r="N197" s="919"/>
      <c r="O197" s="920"/>
      <c r="P197" s="920"/>
      <c r="Q197" s="442"/>
      <c r="R197" s="442"/>
      <c r="S197" s="442"/>
      <c r="T197" s="442"/>
      <c r="U197" s="442"/>
      <c r="V197" s="837"/>
      <c r="W197" s="837"/>
      <c r="X197" s="837"/>
    </row>
    <row r="198" spans="1:24" ht="15.75" customHeight="1">
      <c r="A198" s="442"/>
      <c r="B198" s="442"/>
      <c r="C198" s="919"/>
      <c r="D198" s="919"/>
      <c r="E198" s="919"/>
      <c r="F198" s="919"/>
      <c r="G198" s="919"/>
      <c r="H198" s="919"/>
      <c r="I198" s="919"/>
      <c r="J198" s="919"/>
      <c r="K198" s="919"/>
      <c r="L198" s="919"/>
      <c r="M198" s="919"/>
      <c r="N198" s="919"/>
      <c r="O198" s="920"/>
      <c r="P198" s="920"/>
      <c r="Q198" s="442"/>
      <c r="R198" s="442"/>
      <c r="S198" s="442"/>
      <c r="T198" s="442"/>
      <c r="U198" s="442"/>
      <c r="V198" s="837"/>
      <c r="W198" s="837"/>
      <c r="X198" s="837"/>
    </row>
    <row r="199" spans="1:24" ht="15.75" customHeight="1">
      <c r="A199" s="442"/>
      <c r="B199" s="442"/>
      <c r="C199" s="919"/>
      <c r="D199" s="919"/>
      <c r="E199" s="919"/>
      <c r="F199" s="919"/>
      <c r="G199" s="919"/>
      <c r="H199" s="919"/>
      <c r="I199" s="919"/>
      <c r="J199" s="919"/>
      <c r="K199" s="919"/>
      <c r="L199" s="919"/>
      <c r="M199" s="919"/>
      <c r="N199" s="919"/>
      <c r="O199" s="920"/>
      <c r="P199" s="920"/>
      <c r="Q199" s="442"/>
      <c r="R199" s="442"/>
      <c r="S199" s="442"/>
      <c r="T199" s="442"/>
      <c r="U199" s="442"/>
      <c r="V199" s="837"/>
      <c r="W199" s="837"/>
      <c r="X199" s="837"/>
    </row>
    <row r="200" spans="1:24" ht="15.75" customHeight="1">
      <c r="A200" s="442"/>
      <c r="B200" s="442"/>
      <c r="C200" s="919"/>
      <c r="D200" s="919"/>
      <c r="E200" s="919"/>
      <c r="F200" s="919"/>
      <c r="G200" s="919"/>
      <c r="H200" s="919"/>
      <c r="I200" s="919"/>
      <c r="J200" s="919"/>
      <c r="K200" s="919"/>
      <c r="L200" s="919"/>
      <c r="M200" s="919"/>
      <c r="N200" s="919"/>
      <c r="O200" s="920"/>
      <c r="P200" s="920"/>
      <c r="Q200" s="442"/>
      <c r="R200" s="442"/>
      <c r="S200" s="442"/>
      <c r="T200" s="442"/>
      <c r="U200" s="442"/>
      <c r="V200" s="837"/>
      <c r="W200" s="837"/>
      <c r="X200" s="837"/>
    </row>
    <row r="201" spans="1:24" ht="15.75" customHeight="1">
      <c r="A201" s="442"/>
      <c r="B201" s="442"/>
      <c r="C201" s="919"/>
      <c r="D201" s="919"/>
      <c r="E201" s="919"/>
      <c r="F201" s="919"/>
      <c r="G201" s="919"/>
      <c r="H201" s="919"/>
      <c r="I201" s="919"/>
      <c r="J201" s="919"/>
      <c r="K201" s="919"/>
      <c r="L201" s="919"/>
      <c r="M201" s="919"/>
      <c r="N201" s="919"/>
      <c r="O201" s="920"/>
      <c r="P201" s="920"/>
      <c r="Q201" s="442"/>
      <c r="R201" s="442"/>
      <c r="S201" s="442"/>
      <c r="T201" s="442"/>
      <c r="U201" s="442"/>
      <c r="V201" s="837"/>
      <c r="W201" s="837"/>
      <c r="X201" s="837"/>
    </row>
    <row r="202" spans="1:24" ht="15.75" customHeight="1">
      <c r="A202" s="442"/>
      <c r="B202" s="442"/>
      <c r="C202" s="919"/>
      <c r="D202" s="919"/>
      <c r="E202" s="919"/>
      <c r="F202" s="919"/>
      <c r="G202" s="919"/>
      <c r="H202" s="919"/>
      <c r="I202" s="919"/>
      <c r="J202" s="919"/>
      <c r="K202" s="919"/>
      <c r="L202" s="919"/>
      <c r="M202" s="919"/>
      <c r="N202" s="919"/>
      <c r="O202" s="920"/>
      <c r="P202" s="920"/>
      <c r="Q202" s="442"/>
      <c r="R202" s="442"/>
      <c r="S202" s="442"/>
      <c r="T202" s="442"/>
      <c r="U202" s="442"/>
      <c r="V202" s="837"/>
      <c r="W202" s="837"/>
      <c r="X202" s="837"/>
    </row>
    <row r="203" spans="1:24" ht="15.75" customHeight="1">
      <c r="A203" s="442"/>
      <c r="B203" s="442"/>
      <c r="C203" s="919"/>
      <c r="D203" s="919"/>
      <c r="E203" s="919"/>
      <c r="F203" s="919"/>
      <c r="G203" s="919"/>
      <c r="H203" s="919"/>
      <c r="I203" s="919"/>
      <c r="J203" s="919"/>
      <c r="K203" s="919"/>
      <c r="L203" s="919"/>
      <c r="M203" s="919"/>
      <c r="N203" s="919"/>
      <c r="O203" s="920"/>
      <c r="P203" s="920"/>
      <c r="Q203" s="442"/>
      <c r="R203" s="442"/>
      <c r="S203" s="442"/>
      <c r="T203" s="442"/>
      <c r="U203" s="442"/>
      <c r="V203" s="837"/>
      <c r="W203" s="837"/>
      <c r="X203" s="837"/>
    </row>
    <row r="204" spans="1:24" ht="15.75" customHeight="1">
      <c r="A204" s="442"/>
      <c r="B204" s="442"/>
      <c r="C204" s="919"/>
      <c r="D204" s="919"/>
      <c r="E204" s="919"/>
      <c r="F204" s="919"/>
      <c r="G204" s="919"/>
      <c r="H204" s="919"/>
      <c r="I204" s="919"/>
      <c r="J204" s="919"/>
      <c r="K204" s="919"/>
      <c r="L204" s="919"/>
      <c r="M204" s="919"/>
      <c r="N204" s="919"/>
      <c r="O204" s="920"/>
      <c r="P204" s="920"/>
      <c r="Q204" s="442"/>
      <c r="R204" s="442"/>
      <c r="S204" s="442"/>
      <c r="T204" s="442"/>
      <c r="U204" s="442"/>
      <c r="V204" s="837"/>
      <c r="W204" s="837"/>
      <c r="X204" s="837"/>
    </row>
    <row r="205" spans="1:24" ht="15.75" customHeight="1">
      <c r="A205" s="442"/>
      <c r="B205" s="442"/>
      <c r="C205" s="919"/>
      <c r="D205" s="919"/>
      <c r="E205" s="919"/>
      <c r="F205" s="919"/>
      <c r="G205" s="919"/>
      <c r="H205" s="919"/>
      <c r="I205" s="919"/>
      <c r="J205" s="919"/>
      <c r="K205" s="919"/>
      <c r="L205" s="919"/>
      <c r="M205" s="919"/>
      <c r="N205" s="919"/>
      <c r="O205" s="920"/>
      <c r="P205" s="920"/>
      <c r="Q205" s="442"/>
      <c r="R205" s="442"/>
      <c r="S205" s="442"/>
      <c r="T205" s="442"/>
      <c r="U205" s="442"/>
      <c r="V205" s="837"/>
      <c r="W205" s="837"/>
      <c r="X205" s="837"/>
    </row>
    <row r="206" spans="1:24" ht="15.75" customHeight="1">
      <c r="A206" s="442"/>
      <c r="B206" s="442"/>
      <c r="C206" s="919"/>
      <c r="D206" s="919"/>
      <c r="E206" s="919"/>
      <c r="F206" s="919"/>
      <c r="G206" s="919"/>
      <c r="H206" s="919"/>
      <c r="I206" s="919"/>
      <c r="J206" s="919"/>
      <c r="K206" s="919"/>
      <c r="L206" s="919"/>
      <c r="M206" s="919"/>
      <c r="N206" s="919"/>
      <c r="O206" s="920"/>
      <c r="P206" s="920"/>
      <c r="Q206" s="442"/>
      <c r="R206" s="442"/>
      <c r="S206" s="442"/>
      <c r="T206" s="442"/>
      <c r="U206" s="442"/>
      <c r="V206" s="837"/>
      <c r="W206" s="837"/>
      <c r="X206" s="837"/>
    </row>
    <row r="207" spans="1:24" ht="15.75" customHeight="1">
      <c r="A207" s="442"/>
      <c r="B207" s="442"/>
      <c r="C207" s="919"/>
      <c r="D207" s="919"/>
      <c r="E207" s="919"/>
      <c r="F207" s="919"/>
      <c r="G207" s="919"/>
      <c r="H207" s="919"/>
      <c r="I207" s="919"/>
      <c r="J207" s="919"/>
      <c r="K207" s="919"/>
      <c r="L207" s="919"/>
      <c r="M207" s="919"/>
      <c r="N207" s="919"/>
      <c r="O207" s="920"/>
      <c r="P207" s="920"/>
      <c r="Q207" s="442"/>
      <c r="R207" s="442"/>
      <c r="S207" s="442"/>
      <c r="T207" s="442"/>
      <c r="U207" s="442"/>
      <c r="V207" s="837"/>
      <c r="W207" s="837"/>
      <c r="X207" s="837"/>
    </row>
    <row r="208" spans="1:24" ht="15.75" customHeight="1">
      <c r="A208" s="442"/>
      <c r="B208" s="442"/>
      <c r="C208" s="919"/>
      <c r="D208" s="919"/>
      <c r="E208" s="919"/>
      <c r="F208" s="919"/>
      <c r="G208" s="919"/>
      <c r="H208" s="919"/>
      <c r="I208" s="919"/>
      <c r="J208" s="919"/>
      <c r="K208" s="919"/>
      <c r="L208" s="919"/>
      <c r="M208" s="919"/>
      <c r="N208" s="919"/>
      <c r="O208" s="920"/>
      <c r="P208" s="920"/>
      <c r="Q208" s="442"/>
      <c r="R208" s="442"/>
      <c r="S208" s="442"/>
      <c r="T208" s="442"/>
      <c r="U208" s="442"/>
      <c r="V208" s="837"/>
      <c r="W208" s="837"/>
      <c r="X208" s="837"/>
    </row>
    <row r="209" spans="1:24" ht="15.75" customHeight="1">
      <c r="A209" s="442"/>
      <c r="B209" s="442"/>
      <c r="C209" s="919"/>
      <c r="D209" s="919"/>
      <c r="E209" s="919"/>
      <c r="F209" s="919"/>
      <c r="G209" s="919"/>
      <c r="H209" s="919"/>
      <c r="I209" s="919"/>
      <c r="J209" s="919"/>
      <c r="K209" s="919"/>
      <c r="L209" s="919"/>
      <c r="M209" s="919"/>
      <c r="N209" s="919"/>
      <c r="O209" s="920"/>
      <c r="P209" s="920"/>
      <c r="Q209" s="442"/>
      <c r="R209" s="442"/>
      <c r="S209" s="442"/>
      <c r="T209" s="442"/>
      <c r="U209" s="442"/>
      <c r="V209" s="837"/>
      <c r="W209" s="837"/>
      <c r="X209" s="837"/>
    </row>
    <row r="210" spans="1:24" ht="15.75" customHeight="1">
      <c r="A210" s="442"/>
      <c r="B210" s="442"/>
      <c r="C210" s="919"/>
      <c r="D210" s="919"/>
      <c r="E210" s="919"/>
      <c r="F210" s="919"/>
      <c r="G210" s="919"/>
      <c r="H210" s="919"/>
      <c r="I210" s="919"/>
      <c r="J210" s="919"/>
      <c r="K210" s="919"/>
      <c r="L210" s="919"/>
      <c r="M210" s="919"/>
      <c r="N210" s="919"/>
      <c r="O210" s="920"/>
      <c r="P210" s="920"/>
      <c r="Q210" s="442"/>
      <c r="R210" s="442"/>
      <c r="S210" s="442"/>
      <c r="T210" s="442"/>
      <c r="U210" s="442"/>
      <c r="V210" s="837"/>
      <c r="W210" s="837"/>
      <c r="X210" s="837"/>
    </row>
    <row r="211" spans="1:24" ht="15.75" customHeight="1">
      <c r="A211" s="442"/>
      <c r="B211" s="442"/>
      <c r="C211" s="919"/>
      <c r="D211" s="919"/>
      <c r="E211" s="919"/>
      <c r="F211" s="919"/>
      <c r="G211" s="919"/>
      <c r="H211" s="919"/>
      <c r="I211" s="919"/>
      <c r="J211" s="919"/>
      <c r="K211" s="919"/>
      <c r="L211" s="919"/>
      <c r="M211" s="919"/>
      <c r="N211" s="919"/>
      <c r="O211" s="920"/>
      <c r="P211" s="920"/>
      <c r="Q211" s="442"/>
      <c r="R211" s="442"/>
      <c r="S211" s="442"/>
      <c r="T211" s="442"/>
      <c r="U211" s="442"/>
      <c r="V211" s="837"/>
      <c r="W211" s="837"/>
      <c r="X211" s="837"/>
    </row>
    <row r="212" spans="1:24" ht="15.75" customHeight="1">
      <c r="A212" s="442"/>
      <c r="B212" s="442"/>
      <c r="C212" s="919"/>
      <c r="D212" s="919"/>
      <c r="E212" s="919"/>
      <c r="F212" s="919"/>
      <c r="G212" s="919"/>
      <c r="H212" s="919"/>
      <c r="I212" s="919"/>
      <c r="J212" s="919"/>
      <c r="K212" s="919"/>
      <c r="L212" s="919"/>
      <c r="M212" s="919"/>
      <c r="N212" s="919"/>
      <c r="O212" s="920"/>
      <c r="P212" s="920"/>
      <c r="Q212" s="442"/>
      <c r="R212" s="442"/>
      <c r="S212" s="442"/>
      <c r="T212" s="442"/>
      <c r="U212" s="442"/>
      <c r="V212" s="837"/>
      <c r="W212" s="837"/>
      <c r="X212" s="837"/>
    </row>
    <row r="213" spans="1:24" ht="15.75" customHeight="1">
      <c r="A213" s="442"/>
      <c r="B213" s="442"/>
      <c r="C213" s="919"/>
      <c r="D213" s="919"/>
      <c r="E213" s="919"/>
      <c r="F213" s="919"/>
      <c r="G213" s="919"/>
      <c r="H213" s="919"/>
      <c r="I213" s="919"/>
      <c r="J213" s="919"/>
      <c r="K213" s="919"/>
      <c r="L213" s="919"/>
      <c r="M213" s="919"/>
      <c r="N213" s="919"/>
      <c r="O213" s="920"/>
      <c r="P213" s="920"/>
      <c r="Q213" s="442"/>
      <c r="R213" s="442"/>
      <c r="S213" s="442"/>
      <c r="T213" s="442"/>
      <c r="U213" s="442"/>
      <c r="V213" s="837"/>
      <c r="W213" s="837"/>
      <c r="X213" s="837"/>
    </row>
    <row r="214" spans="1:24" ht="15.75" customHeight="1">
      <c r="A214" s="442"/>
      <c r="B214" s="442"/>
      <c r="C214" s="919"/>
      <c r="D214" s="919"/>
      <c r="E214" s="919"/>
      <c r="F214" s="919"/>
      <c r="G214" s="919"/>
      <c r="H214" s="919"/>
      <c r="I214" s="919"/>
      <c r="J214" s="919"/>
      <c r="K214" s="919"/>
      <c r="L214" s="919"/>
      <c r="M214" s="919"/>
      <c r="N214" s="919"/>
      <c r="O214" s="920"/>
      <c r="P214" s="920"/>
      <c r="Q214" s="442"/>
      <c r="R214" s="442"/>
      <c r="S214" s="442"/>
      <c r="T214" s="442"/>
      <c r="U214" s="442"/>
      <c r="V214" s="837"/>
      <c r="W214" s="837"/>
      <c r="X214" s="837"/>
    </row>
    <row r="215" spans="1:24" ht="15.75" customHeight="1">
      <c r="A215" s="442"/>
      <c r="B215" s="442"/>
      <c r="C215" s="919"/>
      <c r="D215" s="919"/>
      <c r="E215" s="919"/>
      <c r="F215" s="919"/>
      <c r="G215" s="919"/>
      <c r="H215" s="919"/>
      <c r="I215" s="919"/>
      <c r="J215" s="919"/>
      <c r="K215" s="919"/>
      <c r="L215" s="919"/>
      <c r="M215" s="919"/>
      <c r="N215" s="919"/>
      <c r="O215" s="920"/>
      <c r="P215" s="920"/>
      <c r="Q215" s="442"/>
      <c r="R215" s="442"/>
      <c r="S215" s="442"/>
      <c r="T215" s="442"/>
      <c r="U215" s="442"/>
      <c r="V215" s="837"/>
      <c r="W215" s="837"/>
      <c r="X215" s="837"/>
    </row>
    <row r="216" spans="1:24" ht="15.75" customHeight="1">
      <c r="A216" s="442"/>
      <c r="B216" s="442"/>
      <c r="C216" s="919"/>
      <c r="D216" s="919"/>
      <c r="E216" s="919"/>
      <c r="F216" s="919"/>
      <c r="G216" s="919"/>
      <c r="H216" s="919"/>
      <c r="I216" s="919"/>
      <c r="J216" s="919"/>
      <c r="K216" s="919"/>
      <c r="L216" s="919"/>
      <c r="M216" s="919"/>
      <c r="N216" s="919"/>
      <c r="O216" s="920"/>
      <c r="P216" s="920"/>
      <c r="Q216" s="442"/>
      <c r="R216" s="442"/>
      <c r="S216" s="442"/>
      <c r="T216" s="442"/>
      <c r="U216" s="442"/>
      <c r="V216" s="837"/>
      <c r="W216" s="837"/>
      <c r="X216" s="837"/>
    </row>
    <row r="217" spans="1:24" ht="15.75" customHeight="1">
      <c r="A217" s="442"/>
      <c r="B217" s="442"/>
      <c r="C217" s="919"/>
      <c r="D217" s="919"/>
      <c r="E217" s="919"/>
      <c r="F217" s="919"/>
      <c r="G217" s="919"/>
      <c r="H217" s="919"/>
      <c r="I217" s="919"/>
      <c r="J217" s="919"/>
      <c r="K217" s="919"/>
      <c r="L217" s="919"/>
      <c r="M217" s="919"/>
      <c r="N217" s="919"/>
      <c r="O217" s="920"/>
      <c r="P217" s="920"/>
      <c r="Q217" s="442"/>
      <c r="R217" s="442"/>
      <c r="S217" s="442"/>
      <c r="T217" s="442"/>
      <c r="U217" s="442"/>
      <c r="V217" s="837"/>
      <c r="W217" s="837"/>
      <c r="X217" s="837"/>
    </row>
    <row r="218" spans="1:24" ht="15.75" customHeight="1">
      <c r="A218" s="442"/>
      <c r="B218" s="442"/>
      <c r="C218" s="919"/>
      <c r="D218" s="919"/>
      <c r="E218" s="919"/>
      <c r="F218" s="919"/>
      <c r="G218" s="919"/>
      <c r="H218" s="919"/>
      <c r="I218" s="919"/>
      <c r="J218" s="919"/>
      <c r="K218" s="919"/>
      <c r="L218" s="919"/>
      <c r="M218" s="919"/>
      <c r="N218" s="919"/>
      <c r="O218" s="920"/>
      <c r="P218" s="920"/>
      <c r="Q218" s="442"/>
      <c r="R218" s="442"/>
      <c r="S218" s="442"/>
      <c r="T218" s="442"/>
      <c r="U218" s="442"/>
      <c r="V218" s="837"/>
      <c r="W218" s="837"/>
      <c r="X218" s="837"/>
    </row>
    <row r="219" spans="1:24" ht="15.75" customHeight="1">
      <c r="A219" s="442"/>
      <c r="B219" s="442"/>
      <c r="C219" s="919"/>
      <c r="D219" s="919"/>
      <c r="E219" s="919"/>
      <c r="F219" s="919"/>
      <c r="G219" s="919"/>
      <c r="H219" s="919"/>
      <c r="I219" s="919"/>
      <c r="J219" s="919"/>
      <c r="K219" s="919"/>
      <c r="L219" s="919"/>
      <c r="M219" s="919"/>
      <c r="N219" s="919"/>
      <c r="O219" s="920"/>
      <c r="P219" s="920"/>
      <c r="Q219" s="442"/>
      <c r="R219" s="442"/>
      <c r="S219" s="442"/>
      <c r="T219" s="442"/>
      <c r="U219" s="442"/>
      <c r="V219" s="837"/>
      <c r="W219" s="837"/>
      <c r="X219" s="837"/>
    </row>
    <row r="220" spans="1:24" ht="15.75" customHeight="1">
      <c r="A220" s="442"/>
      <c r="B220" s="442"/>
      <c r="C220" s="919"/>
      <c r="D220" s="919"/>
      <c r="E220" s="919"/>
      <c r="F220" s="919"/>
      <c r="G220" s="919"/>
      <c r="H220" s="919"/>
      <c r="I220" s="919"/>
      <c r="J220" s="919"/>
      <c r="K220" s="919"/>
      <c r="L220" s="919"/>
      <c r="M220" s="919"/>
      <c r="N220" s="919"/>
      <c r="O220" s="920"/>
      <c r="P220" s="920"/>
      <c r="Q220" s="442"/>
      <c r="R220" s="442"/>
      <c r="S220" s="442"/>
      <c r="T220" s="442"/>
      <c r="U220" s="442"/>
      <c r="V220" s="837"/>
      <c r="W220" s="837"/>
      <c r="X220" s="837"/>
    </row>
    <row r="221" spans="1:24" ht="15.75" customHeight="1">
      <c r="A221" s="442"/>
      <c r="B221" s="442"/>
      <c r="C221" s="919"/>
      <c r="D221" s="919"/>
      <c r="E221" s="919"/>
      <c r="F221" s="919"/>
      <c r="G221" s="919"/>
      <c r="H221" s="919"/>
      <c r="I221" s="919"/>
      <c r="J221" s="919"/>
      <c r="K221" s="919"/>
      <c r="L221" s="919"/>
      <c r="M221" s="919"/>
      <c r="N221" s="919"/>
      <c r="O221" s="920"/>
      <c r="P221" s="920"/>
      <c r="Q221" s="442"/>
      <c r="R221" s="442"/>
      <c r="S221" s="442"/>
      <c r="T221" s="442"/>
      <c r="U221" s="442"/>
      <c r="V221" s="837"/>
      <c r="W221" s="837"/>
      <c r="X221" s="837"/>
    </row>
    <row r="222" spans="1:24" ht="15.75" customHeight="1">
      <c r="A222" s="442"/>
      <c r="B222" s="442"/>
      <c r="C222" s="919"/>
      <c r="D222" s="919"/>
      <c r="E222" s="919"/>
      <c r="F222" s="919"/>
      <c r="G222" s="919"/>
      <c r="H222" s="919"/>
      <c r="I222" s="919"/>
      <c r="J222" s="919"/>
      <c r="K222" s="919"/>
      <c r="L222" s="919"/>
      <c r="M222" s="919"/>
      <c r="N222" s="919"/>
      <c r="O222" s="920"/>
      <c r="P222" s="920"/>
      <c r="Q222" s="442"/>
      <c r="R222" s="442"/>
      <c r="S222" s="442"/>
      <c r="T222" s="442"/>
      <c r="U222" s="442"/>
      <c r="V222" s="837"/>
      <c r="W222" s="837"/>
      <c r="X222" s="837"/>
    </row>
    <row r="223" spans="1:24" ht="15.75" customHeight="1">
      <c r="A223" s="442"/>
      <c r="B223" s="442"/>
      <c r="C223" s="919"/>
      <c r="D223" s="919"/>
      <c r="E223" s="919"/>
      <c r="F223" s="919"/>
      <c r="G223" s="919"/>
      <c r="H223" s="919"/>
      <c r="I223" s="919"/>
      <c r="J223" s="919"/>
      <c r="K223" s="919"/>
      <c r="L223" s="919"/>
      <c r="M223" s="919"/>
      <c r="N223" s="919"/>
      <c r="O223" s="920"/>
      <c r="P223" s="920"/>
      <c r="Q223" s="442"/>
      <c r="R223" s="442"/>
      <c r="S223" s="442"/>
      <c r="T223" s="442"/>
      <c r="U223" s="442"/>
      <c r="V223" s="837"/>
      <c r="W223" s="837"/>
      <c r="X223" s="837"/>
    </row>
    <row r="224" spans="1:24" ht="15.75" customHeight="1">
      <c r="A224" s="442"/>
      <c r="B224" s="442"/>
      <c r="C224" s="919"/>
      <c r="D224" s="919"/>
      <c r="E224" s="919"/>
      <c r="F224" s="919"/>
      <c r="G224" s="919"/>
      <c r="H224" s="919"/>
      <c r="I224" s="919"/>
      <c r="J224" s="919"/>
      <c r="K224" s="919"/>
      <c r="L224" s="919"/>
      <c r="M224" s="919"/>
      <c r="N224" s="919"/>
      <c r="O224" s="920"/>
      <c r="P224" s="920"/>
      <c r="Q224" s="442"/>
      <c r="R224" s="442"/>
      <c r="S224" s="442"/>
      <c r="T224" s="442"/>
      <c r="U224" s="442"/>
      <c r="V224" s="837"/>
      <c r="W224" s="837"/>
      <c r="X224" s="837"/>
    </row>
    <row r="225" spans="1:24" ht="15.75" customHeight="1">
      <c r="A225" s="442"/>
      <c r="B225" s="442"/>
      <c r="C225" s="919"/>
      <c r="D225" s="919"/>
      <c r="E225" s="919"/>
      <c r="F225" s="919"/>
      <c r="G225" s="919"/>
      <c r="H225" s="919"/>
      <c r="I225" s="919"/>
      <c r="J225" s="919"/>
      <c r="K225" s="919"/>
      <c r="L225" s="919"/>
      <c r="M225" s="919"/>
      <c r="N225" s="919"/>
      <c r="O225" s="920"/>
      <c r="P225" s="920"/>
      <c r="Q225" s="442"/>
      <c r="R225" s="442"/>
      <c r="S225" s="442"/>
      <c r="T225" s="442"/>
      <c r="U225" s="442"/>
      <c r="V225" s="837"/>
      <c r="W225" s="837"/>
      <c r="X225" s="837"/>
    </row>
    <row r="226" spans="1:24" ht="15.75" customHeight="1">
      <c r="A226" s="442"/>
      <c r="B226" s="442"/>
      <c r="C226" s="919"/>
      <c r="D226" s="919"/>
      <c r="E226" s="919"/>
      <c r="F226" s="919"/>
      <c r="G226" s="919"/>
      <c r="H226" s="919"/>
      <c r="I226" s="919"/>
      <c r="J226" s="919"/>
      <c r="K226" s="919"/>
      <c r="L226" s="919"/>
      <c r="M226" s="919"/>
      <c r="N226" s="919"/>
      <c r="O226" s="442"/>
      <c r="P226" s="442"/>
      <c r="Q226" s="442"/>
      <c r="R226" s="442"/>
      <c r="S226" s="442"/>
      <c r="T226" s="442"/>
      <c r="U226" s="442"/>
      <c r="V226" s="837"/>
      <c r="W226" s="837"/>
      <c r="X226" s="837"/>
    </row>
    <row r="227" spans="1:24" ht="15.75" customHeight="1">
      <c r="A227" s="442"/>
      <c r="B227" s="442"/>
      <c r="C227" s="919"/>
      <c r="D227" s="919"/>
      <c r="E227" s="919"/>
      <c r="F227" s="919"/>
      <c r="G227" s="919"/>
      <c r="H227" s="919"/>
      <c r="I227" s="919"/>
      <c r="J227" s="919"/>
      <c r="K227" s="919"/>
      <c r="L227" s="919"/>
      <c r="M227" s="919"/>
      <c r="N227" s="919"/>
      <c r="O227" s="442"/>
      <c r="P227" s="442"/>
      <c r="Q227" s="442"/>
      <c r="R227" s="442"/>
      <c r="S227" s="442"/>
      <c r="T227" s="442"/>
      <c r="U227" s="442"/>
      <c r="V227" s="837"/>
      <c r="W227" s="837"/>
      <c r="X227" s="837"/>
    </row>
    <row r="228" spans="1:24" ht="15.75" customHeight="1">
      <c r="A228" s="442"/>
      <c r="B228" s="442"/>
      <c r="C228" s="919"/>
      <c r="D228" s="919"/>
      <c r="E228" s="919"/>
      <c r="F228" s="919"/>
      <c r="G228" s="919"/>
      <c r="H228" s="919"/>
      <c r="I228" s="919"/>
      <c r="J228" s="919"/>
      <c r="K228" s="919"/>
      <c r="L228" s="919"/>
      <c r="M228" s="919"/>
      <c r="N228" s="919"/>
      <c r="O228" s="442"/>
      <c r="P228" s="442"/>
      <c r="Q228" s="442"/>
      <c r="R228" s="442"/>
      <c r="S228" s="442"/>
      <c r="T228" s="442"/>
      <c r="U228" s="442"/>
      <c r="V228" s="837"/>
      <c r="W228" s="837"/>
      <c r="X228" s="837"/>
    </row>
    <row r="229" spans="1:24" ht="15.75" customHeight="1">
      <c r="A229" s="442"/>
      <c r="B229" s="442"/>
      <c r="C229" s="919"/>
      <c r="D229" s="919"/>
      <c r="E229" s="919"/>
      <c r="F229" s="919"/>
      <c r="G229" s="919"/>
      <c r="H229" s="919"/>
      <c r="I229" s="919"/>
      <c r="J229" s="919"/>
      <c r="K229" s="919"/>
      <c r="L229" s="919"/>
      <c r="M229" s="919"/>
      <c r="N229" s="919"/>
      <c r="O229" s="442"/>
      <c r="P229" s="442"/>
      <c r="Q229" s="442"/>
      <c r="R229" s="442"/>
      <c r="S229" s="442"/>
      <c r="T229" s="442"/>
      <c r="U229" s="442"/>
      <c r="V229" s="837"/>
      <c r="W229" s="837"/>
      <c r="X229" s="837"/>
    </row>
    <row r="230" spans="1:24" ht="15.75" customHeight="1">
      <c r="A230" s="442"/>
      <c r="B230" s="442"/>
      <c r="C230" s="919"/>
      <c r="D230" s="919"/>
      <c r="E230" s="919"/>
      <c r="F230" s="919"/>
      <c r="G230" s="919"/>
      <c r="H230" s="919"/>
      <c r="I230" s="919"/>
      <c r="J230" s="919"/>
      <c r="K230" s="919"/>
      <c r="L230" s="919"/>
      <c r="M230" s="919"/>
      <c r="N230" s="919"/>
      <c r="O230" s="442"/>
      <c r="P230" s="442"/>
      <c r="Q230" s="442"/>
      <c r="R230" s="442"/>
      <c r="S230" s="442"/>
      <c r="T230" s="442"/>
      <c r="U230" s="442"/>
      <c r="V230" s="837"/>
      <c r="W230" s="837"/>
      <c r="X230" s="837"/>
    </row>
    <row r="231" spans="1:24" ht="15.75" customHeight="1">
      <c r="A231" s="442"/>
      <c r="B231" s="442"/>
      <c r="C231" s="919"/>
      <c r="D231" s="919"/>
      <c r="E231" s="919"/>
      <c r="F231" s="919"/>
      <c r="G231" s="919"/>
      <c r="H231" s="919"/>
      <c r="I231" s="919"/>
      <c r="J231" s="919"/>
      <c r="K231" s="919"/>
      <c r="L231" s="919"/>
      <c r="M231" s="919"/>
      <c r="N231" s="919"/>
      <c r="O231" s="442"/>
      <c r="P231" s="442"/>
      <c r="Q231" s="442"/>
      <c r="R231" s="442"/>
      <c r="S231" s="442"/>
      <c r="T231" s="442"/>
      <c r="U231" s="442"/>
      <c r="V231" s="837"/>
      <c r="W231" s="837"/>
      <c r="X231" s="837"/>
    </row>
    <row r="232" spans="1:24" ht="15.75" customHeight="1">
      <c r="A232" s="442"/>
      <c r="B232" s="442"/>
      <c r="C232" s="919"/>
      <c r="D232" s="919"/>
      <c r="E232" s="919"/>
      <c r="F232" s="919"/>
      <c r="G232" s="919"/>
      <c r="H232" s="919"/>
      <c r="I232" s="919"/>
      <c r="J232" s="919"/>
      <c r="K232" s="919"/>
      <c r="L232" s="919"/>
      <c r="M232" s="919"/>
      <c r="N232" s="919"/>
      <c r="O232" s="442"/>
      <c r="P232" s="442"/>
      <c r="Q232" s="442"/>
      <c r="R232" s="442"/>
      <c r="S232" s="442"/>
      <c r="T232" s="442"/>
      <c r="U232" s="442"/>
      <c r="V232" s="837"/>
      <c r="W232" s="837"/>
      <c r="X232" s="837"/>
    </row>
    <row r="233" spans="1:24" ht="15.75" customHeight="1">
      <c r="A233" s="442"/>
      <c r="B233" s="442"/>
      <c r="C233" s="919"/>
      <c r="D233" s="919"/>
      <c r="E233" s="919"/>
      <c r="F233" s="919"/>
      <c r="G233" s="919"/>
      <c r="H233" s="919"/>
      <c r="I233" s="919"/>
      <c r="J233" s="919"/>
      <c r="K233" s="919"/>
      <c r="L233" s="919"/>
      <c r="M233" s="919"/>
      <c r="N233" s="919"/>
      <c r="O233" s="442"/>
      <c r="P233" s="442"/>
      <c r="Q233" s="442"/>
      <c r="R233" s="442"/>
      <c r="S233" s="442"/>
      <c r="T233" s="442"/>
      <c r="U233" s="442"/>
      <c r="V233" s="837"/>
      <c r="W233" s="837"/>
      <c r="X233" s="837"/>
    </row>
    <row r="234" spans="1:24" ht="15.75" customHeight="1">
      <c r="A234" s="442"/>
      <c r="B234" s="442"/>
      <c r="C234" s="919"/>
      <c r="D234" s="919"/>
      <c r="E234" s="919"/>
      <c r="F234" s="919"/>
      <c r="G234" s="919"/>
      <c r="H234" s="919"/>
      <c r="I234" s="919"/>
      <c r="J234" s="919"/>
      <c r="K234" s="919"/>
      <c r="L234" s="919"/>
      <c r="M234" s="919"/>
      <c r="N234" s="919"/>
      <c r="O234" s="442"/>
      <c r="P234" s="442"/>
      <c r="Q234" s="442"/>
      <c r="R234" s="442"/>
      <c r="S234" s="442"/>
      <c r="T234" s="442"/>
      <c r="U234" s="442"/>
      <c r="V234" s="837"/>
      <c r="W234" s="837"/>
      <c r="X234" s="837"/>
    </row>
    <row r="235" spans="1:24" ht="15.75" customHeight="1">
      <c r="A235" s="442"/>
      <c r="B235" s="442"/>
      <c r="C235" s="919"/>
      <c r="D235" s="919"/>
      <c r="E235" s="919"/>
      <c r="F235" s="919"/>
      <c r="G235" s="919"/>
      <c r="H235" s="919"/>
      <c r="I235" s="919"/>
      <c r="J235" s="919"/>
      <c r="K235" s="919"/>
      <c r="L235" s="919"/>
      <c r="M235" s="919"/>
      <c r="N235" s="919"/>
      <c r="O235" s="442"/>
      <c r="P235" s="442"/>
      <c r="Q235" s="442"/>
      <c r="R235" s="442"/>
      <c r="S235" s="442"/>
      <c r="T235" s="442"/>
      <c r="U235" s="442"/>
      <c r="V235" s="837"/>
      <c r="W235" s="837"/>
      <c r="X235" s="837"/>
    </row>
    <row r="236" spans="1:24" ht="15.75" customHeight="1">
      <c r="A236" s="442"/>
      <c r="B236" s="442"/>
      <c r="C236" s="919"/>
      <c r="D236" s="919"/>
      <c r="E236" s="919"/>
      <c r="F236" s="919"/>
      <c r="G236" s="919"/>
      <c r="H236" s="919"/>
      <c r="I236" s="919"/>
      <c r="J236" s="919"/>
      <c r="K236" s="919"/>
      <c r="L236" s="919"/>
      <c r="M236" s="919"/>
      <c r="N236" s="919"/>
      <c r="O236" s="442"/>
      <c r="P236" s="442"/>
      <c r="Q236" s="442"/>
      <c r="R236" s="442"/>
      <c r="S236" s="442"/>
      <c r="T236" s="442"/>
      <c r="U236" s="442"/>
      <c r="V236" s="837"/>
      <c r="W236" s="837"/>
      <c r="X236" s="837"/>
    </row>
    <row r="237" spans="1:24" ht="15.75" customHeight="1">
      <c r="A237" s="442"/>
      <c r="B237" s="442"/>
      <c r="C237" s="919"/>
      <c r="D237" s="919"/>
      <c r="E237" s="919"/>
      <c r="F237" s="919"/>
      <c r="G237" s="919"/>
      <c r="H237" s="919"/>
      <c r="I237" s="919"/>
      <c r="J237" s="919"/>
      <c r="K237" s="919"/>
      <c r="L237" s="919"/>
      <c r="M237" s="919"/>
      <c r="N237" s="919"/>
      <c r="O237" s="442"/>
      <c r="P237" s="442"/>
      <c r="Q237" s="442"/>
      <c r="R237" s="442"/>
      <c r="S237" s="442"/>
      <c r="T237" s="442"/>
      <c r="U237" s="442"/>
      <c r="V237" s="837"/>
      <c r="W237" s="837"/>
      <c r="X237" s="837"/>
    </row>
    <row r="238" spans="1:24" ht="15.75" customHeight="1">
      <c r="A238" s="442"/>
      <c r="B238" s="442"/>
      <c r="C238" s="919"/>
      <c r="D238" s="919"/>
      <c r="E238" s="919"/>
      <c r="F238" s="919"/>
      <c r="G238" s="919"/>
      <c r="H238" s="919"/>
      <c r="I238" s="919"/>
      <c r="J238" s="919"/>
      <c r="K238" s="919"/>
      <c r="L238" s="919"/>
      <c r="M238" s="919"/>
      <c r="N238" s="919"/>
      <c r="O238" s="442"/>
      <c r="P238" s="442"/>
      <c r="Q238" s="442"/>
      <c r="R238" s="442"/>
      <c r="S238" s="442"/>
      <c r="T238" s="442"/>
      <c r="U238" s="442"/>
      <c r="V238" s="837"/>
      <c r="W238" s="837"/>
      <c r="X238" s="837"/>
    </row>
    <row r="239" spans="1:24" ht="15.75" customHeight="1">
      <c r="A239" s="442"/>
      <c r="B239" s="442"/>
      <c r="C239" s="919"/>
      <c r="D239" s="919"/>
      <c r="E239" s="919"/>
      <c r="F239" s="919"/>
      <c r="G239" s="919"/>
      <c r="H239" s="919"/>
      <c r="I239" s="919"/>
      <c r="J239" s="919"/>
      <c r="K239" s="919"/>
      <c r="L239" s="919"/>
      <c r="M239" s="919"/>
      <c r="N239" s="919"/>
      <c r="O239" s="442"/>
      <c r="P239" s="442"/>
      <c r="Q239" s="442"/>
      <c r="R239" s="442"/>
      <c r="S239" s="442"/>
      <c r="T239" s="442"/>
      <c r="U239" s="442"/>
      <c r="V239" s="837"/>
      <c r="W239" s="837"/>
      <c r="X239" s="837"/>
    </row>
    <row r="240" spans="1:24" ht="15.75" customHeight="1">
      <c r="A240" s="442"/>
      <c r="B240" s="442"/>
      <c r="C240" s="919"/>
      <c r="D240" s="919"/>
      <c r="E240" s="919"/>
      <c r="F240" s="919"/>
      <c r="G240" s="919"/>
      <c r="H240" s="919"/>
      <c r="I240" s="919"/>
      <c r="J240" s="919"/>
      <c r="K240" s="919"/>
      <c r="L240" s="919"/>
      <c r="M240" s="919"/>
      <c r="N240" s="919"/>
      <c r="O240" s="442"/>
      <c r="P240" s="442"/>
      <c r="Q240" s="442"/>
      <c r="R240" s="442"/>
      <c r="S240" s="442"/>
      <c r="T240" s="442"/>
      <c r="U240" s="442"/>
      <c r="V240" s="837"/>
      <c r="W240" s="837"/>
      <c r="X240" s="837"/>
    </row>
    <row r="241" spans="1:24" ht="15.75" customHeight="1">
      <c r="A241" s="442"/>
      <c r="B241" s="442"/>
      <c r="C241" s="919"/>
      <c r="D241" s="919"/>
      <c r="E241" s="919"/>
      <c r="F241" s="919"/>
      <c r="G241" s="919"/>
      <c r="H241" s="919"/>
      <c r="I241" s="919"/>
      <c r="J241" s="919"/>
      <c r="K241" s="919"/>
      <c r="L241" s="919"/>
      <c r="M241" s="919"/>
      <c r="N241" s="919"/>
      <c r="O241" s="442"/>
      <c r="P241" s="442"/>
      <c r="Q241" s="442"/>
      <c r="R241" s="442"/>
      <c r="S241" s="442"/>
      <c r="T241" s="442"/>
      <c r="U241" s="442"/>
      <c r="V241" s="837"/>
      <c r="W241" s="837"/>
      <c r="X241" s="837"/>
    </row>
    <row r="242" spans="1:24" ht="15.75" customHeight="1">
      <c r="A242" s="442"/>
      <c r="B242" s="442"/>
      <c r="C242" s="919"/>
      <c r="D242" s="919"/>
      <c r="E242" s="919"/>
      <c r="F242" s="919"/>
      <c r="G242" s="919"/>
      <c r="H242" s="919"/>
      <c r="I242" s="919"/>
      <c r="J242" s="919"/>
      <c r="K242" s="919"/>
      <c r="L242" s="919"/>
      <c r="M242" s="919"/>
      <c r="N242" s="919"/>
      <c r="O242" s="442"/>
      <c r="P242" s="442"/>
      <c r="Q242" s="442"/>
      <c r="R242" s="442"/>
      <c r="S242" s="442"/>
      <c r="T242" s="442"/>
      <c r="U242" s="442"/>
      <c r="V242" s="837"/>
      <c r="W242" s="837"/>
      <c r="X242" s="837"/>
    </row>
    <row r="243" spans="1:24" ht="15.75" customHeight="1">
      <c r="A243" s="442"/>
      <c r="B243" s="442"/>
      <c r="C243" s="919"/>
      <c r="D243" s="919"/>
      <c r="E243" s="919"/>
      <c r="F243" s="919"/>
      <c r="G243" s="919"/>
      <c r="H243" s="919"/>
      <c r="I243" s="919"/>
      <c r="J243" s="919"/>
      <c r="K243" s="919"/>
      <c r="L243" s="919"/>
      <c r="M243" s="919"/>
      <c r="N243" s="919"/>
      <c r="O243" s="442"/>
      <c r="P243" s="442"/>
      <c r="Q243" s="442"/>
      <c r="R243" s="442"/>
      <c r="S243" s="442"/>
      <c r="T243" s="442"/>
      <c r="U243" s="442"/>
      <c r="V243" s="837"/>
      <c r="W243" s="837"/>
      <c r="X243" s="837"/>
    </row>
    <row r="244" spans="1:24" ht="15.75" customHeight="1">
      <c r="A244" s="442"/>
      <c r="B244" s="442"/>
      <c r="C244" s="919"/>
      <c r="D244" s="919"/>
      <c r="E244" s="919"/>
      <c r="F244" s="919"/>
      <c r="G244" s="919"/>
      <c r="H244" s="919"/>
      <c r="I244" s="919"/>
      <c r="J244" s="919"/>
      <c r="K244" s="919"/>
      <c r="L244" s="919"/>
      <c r="M244" s="919"/>
      <c r="N244" s="919"/>
      <c r="O244" s="442"/>
      <c r="P244" s="442"/>
      <c r="Q244" s="442"/>
      <c r="R244" s="442"/>
      <c r="S244" s="442"/>
      <c r="T244" s="442"/>
      <c r="U244" s="442"/>
      <c r="V244" s="837"/>
      <c r="W244" s="837"/>
      <c r="X244" s="837"/>
    </row>
    <row r="245" spans="1:24" ht="15.75" customHeight="1">
      <c r="A245" s="442"/>
      <c r="B245" s="442"/>
      <c r="C245" s="919"/>
      <c r="D245" s="919"/>
      <c r="E245" s="919"/>
      <c r="F245" s="919"/>
      <c r="G245" s="919"/>
      <c r="H245" s="919"/>
      <c r="I245" s="919"/>
      <c r="J245" s="919"/>
      <c r="K245" s="919"/>
      <c r="L245" s="919"/>
      <c r="M245" s="919"/>
      <c r="N245" s="919"/>
      <c r="O245" s="442"/>
      <c r="P245" s="442"/>
      <c r="Q245" s="442"/>
      <c r="R245" s="442"/>
      <c r="S245" s="442"/>
      <c r="T245" s="442"/>
      <c r="U245" s="442"/>
      <c r="V245" s="837"/>
      <c r="W245" s="837"/>
      <c r="X245" s="837"/>
    </row>
    <row r="246" spans="1:24" ht="15.75" customHeight="1">
      <c r="A246" s="442"/>
      <c r="B246" s="442"/>
      <c r="C246" s="919"/>
      <c r="D246" s="919"/>
      <c r="E246" s="919"/>
      <c r="F246" s="919"/>
      <c r="G246" s="919"/>
      <c r="H246" s="919"/>
      <c r="I246" s="919"/>
      <c r="J246" s="919"/>
      <c r="K246" s="919"/>
      <c r="L246" s="919"/>
      <c r="M246" s="919"/>
      <c r="N246" s="919"/>
      <c r="O246" s="442"/>
      <c r="P246" s="442"/>
      <c r="Q246" s="442"/>
      <c r="R246" s="442"/>
      <c r="S246" s="442"/>
      <c r="T246" s="442"/>
      <c r="U246" s="442"/>
      <c r="V246" s="837"/>
      <c r="W246" s="837"/>
      <c r="X246" s="837"/>
    </row>
    <row r="247" spans="1:24" ht="15.75" customHeight="1">
      <c r="A247" s="442"/>
      <c r="B247" s="442"/>
      <c r="C247" s="919"/>
      <c r="D247" s="919"/>
      <c r="E247" s="919"/>
      <c r="F247" s="919"/>
      <c r="G247" s="919"/>
      <c r="H247" s="919"/>
      <c r="I247" s="919"/>
      <c r="J247" s="919"/>
      <c r="K247" s="919"/>
      <c r="L247" s="919"/>
      <c r="M247" s="919"/>
      <c r="N247" s="919"/>
      <c r="O247" s="442"/>
      <c r="P247" s="442"/>
      <c r="Q247" s="442"/>
      <c r="R247" s="442"/>
      <c r="S247" s="442"/>
      <c r="T247" s="442"/>
      <c r="U247" s="442"/>
      <c r="V247" s="837"/>
      <c r="W247" s="837"/>
      <c r="X247" s="837"/>
    </row>
    <row r="248" spans="1:24" ht="15.75" customHeight="1">
      <c r="A248" s="442"/>
      <c r="B248" s="442"/>
      <c r="C248" s="919"/>
      <c r="D248" s="919"/>
      <c r="E248" s="919"/>
      <c r="F248" s="919"/>
      <c r="G248" s="919"/>
      <c r="H248" s="919"/>
      <c r="I248" s="919"/>
      <c r="J248" s="919"/>
      <c r="K248" s="919"/>
      <c r="L248" s="919"/>
      <c r="M248" s="919"/>
      <c r="N248" s="919"/>
      <c r="O248" s="442"/>
      <c r="P248" s="442"/>
      <c r="Q248" s="442"/>
      <c r="R248" s="442"/>
      <c r="S248" s="442"/>
      <c r="T248" s="442"/>
      <c r="U248" s="442"/>
      <c r="V248" s="837"/>
      <c r="W248" s="837"/>
      <c r="X248" s="837"/>
    </row>
    <row r="249" spans="1:24" ht="15.75" customHeight="1">
      <c r="A249" s="442"/>
      <c r="B249" s="442"/>
      <c r="C249" s="919"/>
      <c r="D249" s="919"/>
      <c r="E249" s="919"/>
      <c r="F249" s="919"/>
      <c r="G249" s="919"/>
      <c r="H249" s="919"/>
      <c r="I249" s="919"/>
      <c r="J249" s="919"/>
      <c r="K249" s="919"/>
      <c r="L249" s="919"/>
      <c r="M249" s="919"/>
      <c r="N249" s="919"/>
      <c r="O249" s="442"/>
      <c r="P249" s="442"/>
      <c r="Q249" s="442"/>
      <c r="R249" s="442"/>
      <c r="S249" s="442"/>
      <c r="T249" s="442"/>
      <c r="U249" s="442"/>
      <c r="V249" s="837"/>
      <c r="W249" s="837"/>
      <c r="X249" s="837"/>
    </row>
    <row r="250" spans="1:24" ht="15.75" customHeight="1">
      <c r="A250" s="442"/>
      <c r="B250" s="442"/>
      <c r="C250" s="919"/>
      <c r="D250" s="919"/>
      <c r="E250" s="919"/>
      <c r="F250" s="919"/>
      <c r="G250" s="919"/>
      <c r="H250" s="919"/>
      <c r="I250" s="919"/>
      <c r="J250" s="919"/>
      <c r="K250" s="919"/>
      <c r="L250" s="919"/>
      <c r="M250" s="919"/>
      <c r="N250" s="919"/>
      <c r="O250" s="442"/>
      <c r="P250" s="442"/>
      <c r="Q250" s="442"/>
      <c r="R250" s="442"/>
      <c r="S250" s="442"/>
      <c r="T250" s="442"/>
      <c r="U250" s="442"/>
      <c r="V250" s="837"/>
      <c r="W250" s="837"/>
      <c r="X250" s="837"/>
    </row>
    <row r="251" spans="1:24" ht="15.75" customHeight="1">
      <c r="A251" s="442"/>
      <c r="B251" s="442"/>
      <c r="C251" s="919"/>
      <c r="D251" s="919"/>
      <c r="E251" s="919"/>
      <c r="F251" s="919"/>
      <c r="G251" s="919"/>
      <c r="H251" s="919"/>
      <c r="I251" s="919"/>
      <c r="J251" s="919"/>
      <c r="K251" s="919"/>
      <c r="L251" s="919"/>
      <c r="M251" s="919"/>
      <c r="N251" s="919"/>
      <c r="O251" s="442"/>
      <c r="P251" s="442"/>
      <c r="Q251" s="442"/>
      <c r="R251" s="442"/>
      <c r="S251" s="442"/>
      <c r="T251" s="442"/>
      <c r="U251" s="442"/>
      <c r="V251" s="837"/>
      <c r="W251" s="837"/>
      <c r="X251" s="837"/>
    </row>
    <row r="252" spans="1:24" ht="15.75" customHeight="1">
      <c r="A252" s="442"/>
      <c r="B252" s="442"/>
      <c r="C252" s="919"/>
      <c r="D252" s="919"/>
      <c r="E252" s="919"/>
      <c r="F252" s="919"/>
      <c r="G252" s="919"/>
      <c r="H252" s="919"/>
      <c r="I252" s="919"/>
      <c r="J252" s="919"/>
      <c r="K252" s="919"/>
      <c r="L252" s="919"/>
      <c r="M252" s="919"/>
      <c r="N252" s="919"/>
      <c r="O252" s="442"/>
      <c r="P252" s="442"/>
      <c r="Q252" s="442"/>
      <c r="R252" s="442"/>
      <c r="S252" s="442"/>
      <c r="T252" s="442"/>
      <c r="U252" s="442"/>
      <c r="V252" s="837"/>
      <c r="W252" s="837"/>
      <c r="X252" s="837"/>
    </row>
    <row r="253" spans="1:24" ht="15.75" customHeight="1">
      <c r="A253" s="442"/>
      <c r="B253" s="442"/>
      <c r="C253" s="919"/>
      <c r="D253" s="919"/>
      <c r="E253" s="919"/>
      <c r="F253" s="919"/>
      <c r="G253" s="919"/>
      <c r="H253" s="919"/>
      <c r="I253" s="919"/>
      <c r="J253" s="919"/>
      <c r="K253" s="919"/>
      <c r="L253" s="919"/>
      <c r="M253" s="919"/>
      <c r="N253" s="919"/>
      <c r="O253" s="442"/>
      <c r="P253" s="442"/>
      <c r="Q253" s="442"/>
      <c r="R253" s="442"/>
      <c r="S253" s="442"/>
      <c r="T253" s="442"/>
      <c r="U253" s="442"/>
      <c r="V253" s="837"/>
      <c r="W253" s="837"/>
      <c r="X253" s="837"/>
    </row>
    <row r="254" spans="1:24" ht="15.75" customHeight="1">
      <c r="A254" s="442"/>
      <c r="B254" s="442"/>
      <c r="C254" s="919"/>
      <c r="D254" s="919"/>
      <c r="E254" s="919"/>
      <c r="F254" s="919"/>
      <c r="G254" s="919"/>
      <c r="H254" s="919"/>
      <c r="I254" s="919"/>
      <c r="J254" s="919"/>
      <c r="K254" s="919"/>
      <c r="L254" s="919"/>
      <c r="M254" s="919"/>
      <c r="N254" s="919"/>
      <c r="O254" s="442"/>
      <c r="P254" s="442"/>
      <c r="Q254" s="442"/>
      <c r="R254" s="442"/>
      <c r="S254" s="442"/>
      <c r="T254" s="442"/>
      <c r="U254" s="442"/>
      <c r="V254" s="837"/>
      <c r="W254" s="837"/>
      <c r="X254" s="837"/>
    </row>
    <row r="255" spans="1:24" ht="15.75" customHeight="1">
      <c r="A255" s="442"/>
      <c r="B255" s="442"/>
      <c r="C255" s="919"/>
      <c r="D255" s="919"/>
      <c r="E255" s="919"/>
      <c r="F255" s="919"/>
      <c r="G255" s="919"/>
      <c r="H255" s="919"/>
      <c r="I255" s="919"/>
      <c r="J255" s="919"/>
      <c r="K255" s="919"/>
      <c r="L255" s="919"/>
      <c r="M255" s="919"/>
      <c r="N255" s="919"/>
      <c r="O255" s="442"/>
      <c r="P255" s="442"/>
      <c r="Q255" s="442"/>
      <c r="R255" s="442"/>
      <c r="S255" s="442"/>
      <c r="T255" s="442"/>
      <c r="U255" s="442"/>
      <c r="V255" s="837"/>
      <c r="W255" s="837"/>
      <c r="X255" s="837"/>
    </row>
    <row r="256" spans="1:24" ht="15.75" customHeight="1">
      <c r="A256" s="442"/>
      <c r="B256" s="442"/>
      <c r="C256" s="919"/>
      <c r="D256" s="919"/>
      <c r="E256" s="919"/>
      <c r="F256" s="919"/>
      <c r="G256" s="919"/>
      <c r="H256" s="919"/>
      <c r="I256" s="919"/>
      <c r="J256" s="919"/>
      <c r="K256" s="919"/>
      <c r="L256" s="919"/>
      <c r="M256" s="919"/>
      <c r="N256" s="919"/>
      <c r="O256" s="442"/>
      <c r="P256" s="442"/>
      <c r="Q256" s="442"/>
      <c r="R256" s="442"/>
      <c r="S256" s="442"/>
      <c r="T256" s="442"/>
      <c r="U256" s="442"/>
      <c r="V256" s="837"/>
      <c r="W256" s="837"/>
      <c r="X256" s="837"/>
    </row>
    <row r="257" spans="1:24" ht="15.75" customHeight="1">
      <c r="A257" s="442"/>
      <c r="B257" s="442"/>
      <c r="C257" s="919"/>
      <c r="D257" s="919"/>
      <c r="E257" s="919"/>
      <c r="F257" s="919"/>
      <c r="G257" s="919"/>
      <c r="H257" s="919"/>
      <c r="I257" s="919"/>
      <c r="J257" s="919"/>
      <c r="K257" s="919"/>
      <c r="L257" s="919"/>
      <c r="M257" s="919"/>
      <c r="N257" s="919"/>
      <c r="O257" s="442"/>
      <c r="P257" s="442"/>
      <c r="Q257" s="442"/>
      <c r="R257" s="442"/>
      <c r="S257" s="442"/>
      <c r="T257" s="442"/>
      <c r="U257" s="442"/>
      <c r="V257" s="837"/>
      <c r="W257" s="837"/>
      <c r="X257" s="837"/>
    </row>
    <row r="258" spans="1:24" ht="15.75" customHeight="1">
      <c r="A258" s="442"/>
      <c r="B258" s="442"/>
      <c r="C258" s="919"/>
      <c r="D258" s="919"/>
      <c r="E258" s="919"/>
      <c r="F258" s="919"/>
      <c r="G258" s="919"/>
      <c r="H258" s="919"/>
      <c r="I258" s="919"/>
      <c r="J258" s="919"/>
      <c r="K258" s="919"/>
      <c r="L258" s="919"/>
      <c r="M258" s="919"/>
      <c r="N258" s="919"/>
      <c r="O258" s="442"/>
      <c r="P258" s="442"/>
      <c r="Q258" s="442"/>
      <c r="R258" s="442"/>
      <c r="S258" s="442"/>
      <c r="T258" s="442"/>
      <c r="U258" s="442"/>
      <c r="V258" s="837"/>
      <c r="W258" s="837"/>
      <c r="X258" s="837"/>
    </row>
    <row r="259" spans="1:24" ht="15.75" customHeight="1">
      <c r="A259" s="442"/>
      <c r="B259" s="442"/>
      <c r="C259" s="919"/>
      <c r="D259" s="919"/>
      <c r="E259" s="919"/>
      <c r="F259" s="919"/>
      <c r="G259" s="919"/>
      <c r="H259" s="919"/>
      <c r="I259" s="919"/>
      <c r="J259" s="919"/>
      <c r="K259" s="919"/>
      <c r="L259" s="919"/>
      <c r="M259" s="919"/>
      <c r="N259" s="919"/>
      <c r="O259" s="442"/>
      <c r="P259" s="442"/>
      <c r="Q259" s="442"/>
      <c r="R259" s="442"/>
      <c r="S259" s="442"/>
      <c r="T259" s="442"/>
      <c r="U259" s="442"/>
      <c r="V259" s="837"/>
      <c r="W259" s="837"/>
      <c r="X259" s="837"/>
    </row>
    <row r="260" spans="1:24" ht="15.75" customHeight="1">
      <c r="A260" s="442"/>
      <c r="B260" s="442"/>
      <c r="C260" s="919"/>
      <c r="D260" s="919"/>
      <c r="E260" s="919"/>
      <c r="F260" s="919"/>
      <c r="G260" s="919"/>
      <c r="H260" s="919"/>
      <c r="I260" s="919"/>
      <c r="J260" s="919"/>
      <c r="K260" s="919"/>
      <c r="L260" s="919"/>
      <c r="M260" s="919"/>
      <c r="N260" s="919"/>
      <c r="O260" s="442"/>
      <c r="P260" s="442"/>
      <c r="Q260" s="442"/>
      <c r="R260" s="442"/>
      <c r="S260" s="442"/>
      <c r="T260" s="442"/>
      <c r="U260" s="442"/>
      <c r="V260" s="837"/>
      <c r="W260" s="837"/>
      <c r="X260" s="837"/>
    </row>
    <row r="261" spans="1:24" ht="15.75" customHeight="1">
      <c r="A261" s="442"/>
      <c r="B261" s="442"/>
      <c r="C261" s="919"/>
      <c r="D261" s="919"/>
      <c r="E261" s="919"/>
      <c r="F261" s="919"/>
      <c r="G261" s="919"/>
      <c r="H261" s="919"/>
      <c r="I261" s="919"/>
      <c r="J261" s="919"/>
      <c r="K261" s="919"/>
      <c r="L261" s="919"/>
      <c r="M261" s="919"/>
      <c r="N261" s="919"/>
      <c r="O261" s="442"/>
      <c r="P261" s="442"/>
      <c r="Q261" s="442"/>
      <c r="R261" s="442"/>
      <c r="S261" s="442"/>
      <c r="T261" s="442"/>
      <c r="U261" s="442"/>
      <c r="V261" s="837"/>
      <c r="W261" s="837"/>
      <c r="X261" s="837"/>
    </row>
    <row r="262" spans="1:24" ht="15.75" customHeight="1">
      <c r="A262" s="442"/>
      <c r="B262" s="442"/>
      <c r="C262" s="919"/>
      <c r="D262" s="919"/>
      <c r="E262" s="919"/>
      <c r="F262" s="919"/>
      <c r="G262" s="919"/>
      <c r="H262" s="919"/>
      <c r="I262" s="919"/>
      <c r="J262" s="919"/>
      <c r="K262" s="919"/>
      <c r="L262" s="919"/>
      <c r="M262" s="919"/>
      <c r="N262" s="919"/>
      <c r="O262" s="442"/>
      <c r="P262" s="442"/>
      <c r="Q262" s="442"/>
      <c r="R262" s="442"/>
      <c r="S262" s="442"/>
      <c r="T262" s="442"/>
      <c r="U262" s="442"/>
      <c r="V262" s="837"/>
      <c r="W262" s="837"/>
      <c r="X262" s="837"/>
    </row>
    <row r="263" spans="1:24" ht="15.75" customHeight="1">
      <c r="A263" s="442"/>
      <c r="B263" s="442"/>
      <c r="C263" s="919"/>
      <c r="D263" s="919"/>
      <c r="E263" s="919"/>
      <c r="F263" s="919"/>
      <c r="G263" s="919"/>
      <c r="H263" s="919"/>
      <c r="I263" s="919"/>
      <c r="J263" s="919"/>
      <c r="K263" s="919"/>
      <c r="L263" s="919"/>
      <c r="M263" s="919"/>
      <c r="N263" s="919"/>
      <c r="O263" s="442"/>
      <c r="P263" s="442"/>
      <c r="Q263" s="442"/>
      <c r="R263" s="442"/>
      <c r="S263" s="442"/>
      <c r="T263" s="442"/>
      <c r="U263" s="442"/>
      <c r="V263" s="837"/>
      <c r="W263" s="837"/>
      <c r="X263" s="837"/>
    </row>
    <row r="264" spans="1:24" ht="15.75" customHeight="1">
      <c r="A264" s="442"/>
      <c r="B264" s="442"/>
      <c r="C264" s="919"/>
      <c r="D264" s="919"/>
      <c r="E264" s="919"/>
      <c r="F264" s="919"/>
      <c r="G264" s="919"/>
      <c r="H264" s="919"/>
      <c r="I264" s="919"/>
      <c r="J264" s="919"/>
      <c r="K264" s="919"/>
      <c r="L264" s="919"/>
      <c r="M264" s="919"/>
      <c r="N264" s="919"/>
      <c r="O264" s="442"/>
      <c r="P264" s="442"/>
      <c r="Q264" s="442"/>
      <c r="R264" s="442"/>
      <c r="S264" s="442"/>
      <c r="T264" s="442"/>
      <c r="U264" s="442"/>
      <c r="V264" s="837"/>
      <c r="W264" s="837"/>
      <c r="X264" s="837"/>
    </row>
    <row r="265" spans="1:24" ht="15.75" customHeight="1">
      <c r="A265" s="442"/>
      <c r="B265" s="442"/>
      <c r="C265" s="919"/>
      <c r="D265" s="919"/>
      <c r="E265" s="919"/>
      <c r="F265" s="919"/>
      <c r="G265" s="919"/>
      <c r="H265" s="919"/>
      <c r="I265" s="919"/>
      <c r="J265" s="919"/>
      <c r="K265" s="919"/>
      <c r="L265" s="919"/>
      <c r="M265" s="919"/>
      <c r="N265" s="919"/>
      <c r="O265" s="442"/>
      <c r="P265" s="442"/>
      <c r="Q265" s="442"/>
      <c r="R265" s="442"/>
      <c r="S265" s="442"/>
      <c r="T265" s="442"/>
      <c r="U265" s="442"/>
      <c r="V265" s="837"/>
      <c r="W265" s="837"/>
      <c r="X265" s="837"/>
    </row>
    <row r="266" spans="1:24" ht="15.75" customHeight="1">
      <c r="A266" s="442"/>
      <c r="B266" s="442"/>
      <c r="C266" s="919"/>
      <c r="D266" s="919"/>
      <c r="E266" s="919"/>
      <c r="F266" s="919"/>
      <c r="G266" s="919"/>
      <c r="H266" s="919"/>
      <c r="I266" s="919"/>
      <c r="J266" s="919"/>
      <c r="K266" s="919"/>
      <c r="L266" s="919"/>
      <c r="M266" s="919"/>
      <c r="N266" s="919"/>
      <c r="O266" s="442"/>
      <c r="P266" s="442"/>
      <c r="Q266" s="442"/>
      <c r="R266" s="442"/>
      <c r="S266" s="442"/>
      <c r="T266" s="442"/>
      <c r="U266" s="442"/>
      <c r="V266" s="837"/>
      <c r="W266" s="837"/>
      <c r="X266" s="837"/>
    </row>
    <row r="267" spans="1:24" ht="15.75" customHeight="1">
      <c r="A267" s="442"/>
      <c r="B267" s="442"/>
      <c r="C267" s="919"/>
      <c r="D267" s="919"/>
      <c r="E267" s="919"/>
      <c r="F267" s="919"/>
      <c r="G267" s="919"/>
      <c r="H267" s="919"/>
      <c r="I267" s="919"/>
      <c r="J267" s="919"/>
      <c r="K267" s="919"/>
      <c r="L267" s="919"/>
      <c r="M267" s="919"/>
      <c r="N267" s="919"/>
      <c r="O267" s="442"/>
      <c r="P267" s="442"/>
      <c r="Q267" s="442"/>
      <c r="R267" s="442"/>
      <c r="S267" s="442"/>
      <c r="T267" s="442"/>
      <c r="U267" s="442"/>
      <c r="V267" s="837"/>
      <c r="W267" s="837"/>
      <c r="X267" s="837"/>
    </row>
    <row r="268" spans="1:24" ht="15.75" customHeight="1">
      <c r="A268" s="442"/>
      <c r="B268" s="442"/>
      <c r="C268" s="919"/>
      <c r="D268" s="919"/>
      <c r="E268" s="919"/>
      <c r="F268" s="919"/>
      <c r="G268" s="919"/>
      <c r="H268" s="919"/>
      <c r="I268" s="919"/>
      <c r="J268" s="919"/>
      <c r="K268" s="919"/>
      <c r="L268" s="919"/>
      <c r="M268" s="919"/>
      <c r="N268" s="919"/>
      <c r="O268" s="442"/>
      <c r="P268" s="442"/>
      <c r="Q268" s="442"/>
      <c r="R268" s="442"/>
      <c r="S268" s="442"/>
      <c r="T268" s="442"/>
      <c r="U268" s="442"/>
      <c r="V268" s="837"/>
      <c r="W268" s="837"/>
      <c r="X268" s="837"/>
    </row>
    <row r="269" spans="1:24" ht="15.75" customHeight="1">
      <c r="A269" s="442"/>
      <c r="B269" s="442"/>
      <c r="C269" s="919"/>
      <c r="D269" s="919"/>
      <c r="E269" s="919"/>
      <c r="F269" s="919"/>
      <c r="G269" s="919"/>
      <c r="H269" s="919"/>
      <c r="I269" s="919"/>
      <c r="J269" s="919"/>
      <c r="K269" s="919"/>
      <c r="L269" s="919"/>
      <c r="M269" s="919"/>
      <c r="N269" s="919"/>
      <c r="O269" s="442"/>
      <c r="P269" s="442"/>
      <c r="Q269" s="442"/>
      <c r="R269" s="442"/>
      <c r="S269" s="442"/>
      <c r="T269" s="442"/>
      <c r="U269" s="442"/>
      <c r="V269" s="837"/>
      <c r="W269" s="837"/>
      <c r="X269" s="837"/>
    </row>
    <row r="270" spans="1:24" ht="15.75" customHeight="1">
      <c r="A270" s="442"/>
      <c r="B270" s="442"/>
      <c r="C270" s="919"/>
      <c r="D270" s="919"/>
      <c r="E270" s="919"/>
      <c r="F270" s="919"/>
      <c r="G270" s="919"/>
      <c r="H270" s="919"/>
      <c r="I270" s="919"/>
      <c r="J270" s="919"/>
      <c r="K270" s="919"/>
      <c r="L270" s="919"/>
      <c r="M270" s="919"/>
      <c r="N270" s="919"/>
      <c r="O270" s="442"/>
      <c r="P270" s="442"/>
      <c r="Q270" s="442"/>
      <c r="R270" s="442"/>
      <c r="S270" s="442"/>
      <c r="T270" s="442"/>
      <c r="U270" s="442"/>
      <c r="V270" s="837"/>
      <c r="W270" s="837"/>
      <c r="X270" s="837"/>
    </row>
    <row r="271" spans="1:24" ht="15.75" customHeight="1">
      <c r="A271" s="442"/>
      <c r="B271" s="442"/>
      <c r="C271" s="919"/>
      <c r="D271" s="919"/>
      <c r="E271" s="919"/>
      <c r="F271" s="919"/>
      <c r="G271" s="919"/>
      <c r="H271" s="919"/>
      <c r="I271" s="919"/>
      <c r="J271" s="919"/>
      <c r="K271" s="919"/>
      <c r="L271" s="919"/>
      <c r="M271" s="919"/>
      <c r="N271" s="919"/>
      <c r="O271" s="442"/>
      <c r="P271" s="442"/>
      <c r="Q271" s="442"/>
      <c r="R271" s="442"/>
      <c r="S271" s="442"/>
      <c r="T271" s="442"/>
      <c r="U271" s="442"/>
      <c r="V271" s="837"/>
      <c r="W271" s="837"/>
      <c r="X271" s="837"/>
    </row>
    <row r="272" spans="1:24" ht="15.75" customHeight="1">
      <c r="A272" s="442"/>
      <c r="B272" s="442"/>
      <c r="C272" s="919"/>
      <c r="D272" s="919"/>
      <c r="E272" s="919"/>
      <c r="F272" s="919"/>
      <c r="G272" s="919"/>
      <c r="H272" s="919"/>
      <c r="I272" s="919"/>
      <c r="J272" s="919"/>
      <c r="K272" s="919"/>
      <c r="L272" s="919"/>
      <c r="M272" s="919"/>
      <c r="N272" s="919"/>
      <c r="O272" s="442"/>
      <c r="P272" s="442"/>
      <c r="Q272" s="442"/>
      <c r="R272" s="442"/>
      <c r="S272" s="442"/>
      <c r="T272" s="442"/>
      <c r="U272" s="442"/>
      <c r="V272" s="837"/>
      <c r="W272" s="837"/>
      <c r="X272" s="837"/>
    </row>
    <row r="273" spans="1:24" ht="15.75" customHeight="1">
      <c r="A273" s="442"/>
      <c r="B273" s="442"/>
      <c r="C273" s="919"/>
      <c r="D273" s="919"/>
      <c r="E273" s="919"/>
      <c r="F273" s="919"/>
      <c r="G273" s="919"/>
      <c r="H273" s="919"/>
      <c r="I273" s="919"/>
      <c r="J273" s="919"/>
      <c r="K273" s="919"/>
      <c r="L273" s="919"/>
      <c r="M273" s="919"/>
      <c r="N273" s="919"/>
      <c r="O273" s="442"/>
      <c r="P273" s="442"/>
      <c r="Q273" s="442"/>
      <c r="R273" s="442"/>
      <c r="S273" s="442"/>
      <c r="T273" s="442"/>
      <c r="U273" s="442"/>
      <c r="V273" s="837"/>
      <c r="W273" s="837"/>
      <c r="X273" s="837"/>
    </row>
    <row r="274" spans="1:24" ht="15.75" customHeight="1">
      <c r="A274" s="442"/>
      <c r="B274" s="442"/>
      <c r="C274" s="919"/>
      <c r="D274" s="919"/>
      <c r="E274" s="919"/>
      <c r="F274" s="919"/>
      <c r="G274" s="919"/>
      <c r="H274" s="919"/>
      <c r="I274" s="919"/>
      <c r="J274" s="919"/>
      <c r="K274" s="919"/>
      <c r="L274" s="919"/>
      <c r="M274" s="919"/>
      <c r="N274" s="919"/>
      <c r="O274" s="442"/>
      <c r="P274" s="442"/>
      <c r="Q274" s="442"/>
      <c r="R274" s="442"/>
      <c r="S274" s="442"/>
      <c r="T274" s="442"/>
      <c r="U274" s="442"/>
      <c r="V274" s="837"/>
      <c r="W274" s="837"/>
      <c r="X274" s="837"/>
    </row>
    <row r="275" spans="1:24" ht="15.75" customHeight="1">
      <c r="A275" s="442"/>
      <c r="B275" s="442"/>
      <c r="C275" s="919"/>
      <c r="D275" s="919"/>
      <c r="E275" s="919"/>
      <c r="F275" s="919"/>
      <c r="G275" s="919"/>
      <c r="H275" s="919"/>
      <c r="I275" s="919"/>
      <c r="J275" s="919"/>
      <c r="K275" s="919"/>
      <c r="L275" s="919"/>
      <c r="M275" s="919"/>
      <c r="N275" s="919"/>
      <c r="O275" s="442"/>
      <c r="P275" s="442"/>
      <c r="Q275" s="442"/>
      <c r="R275" s="442"/>
      <c r="S275" s="442"/>
      <c r="T275" s="442"/>
      <c r="U275" s="442"/>
      <c r="V275" s="837"/>
      <c r="W275" s="837"/>
      <c r="X275" s="837"/>
    </row>
    <row r="276" spans="1:24" ht="15.75" customHeight="1">
      <c r="A276" s="442"/>
      <c r="B276" s="442"/>
      <c r="C276" s="919"/>
      <c r="D276" s="919"/>
      <c r="E276" s="919"/>
      <c r="F276" s="919"/>
      <c r="G276" s="919"/>
      <c r="H276" s="919"/>
      <c r="I276" s="919"/>
      <c r="J276" s="919"/>
      <c r="K276" s="919"/>
      <c r="L276" s="919"/>
      <c r="M276" s="919"/>
      <c r="N276" s="919"/>
      <c r="O276" s="442"/>
      <c r="P276" s="442"/>
      <c r="Q276" s="442"/>
      <c r="R276" s="442"/>
      <c r="S276" s="442"/>
      <c r="T276" s="442"/>
      <c r="U276" s="442"/>
      <c r="V276" s="837"/>
      <c r="W276" s="837"/>
      <c r="X276" s="837"/>
    </row>
    <row r="277" spans="1:24" ht="15.75" customHeight="1">
      <c r="A277" s="442"/>
      <c r="B277" s="442"/>
      <c r="C277" s="919"/>
      <c r="D277" s="919"/>
      <c r="E277" s="919"/>
      <c r="F277" s="919"/>
      <c r="G277" s="919"/>
      <c r="H277" s="919"/>
      <c r="I277" s="919"/>
      <c r="J277" s="919"/>
      <c r="K277" s="919"/>
      <c r="L277" s="919"/>
      <c r="M277" s="919"/>
      <c r="N277" s="919"/>
      <c r="O277" s="442"/>
      <c r="P277" s="442"/>
      <c r="Q277" s="442"/>
      <c r="R277" s="442"/>
      <c r="S277" s="442"/>
      <c r="T277" s="442"/>
      <c r="U277" s="442"/>
      <c r="V277" s="837"/>
      <c r="W277" s="837"/>
      <c r="X277" s="837"/>
    </row>
    <row r="278" spans="1:24" ht="15.75" customHeight="1">
      <c r="A278" s="442"/>
      <c r="B278" s="442"/>
      <c r="C278" s="919"/>
      <c r="D278" s="919"/>
      <c r="E278" s="919"/>
      <c r="F278" s="919"/>
      <c r="G278" s="919"/>
      <c r="H278" s="919"/>
      <c r="I278" s="919"/>
      <c r="J278" s="919"/>
      <c r="K278" s="919"/>
      <c r="L278" s="919"/>
      <c r="M278" s="919"/>
      <c r="N278" s="919"/>
      <c r="O278" s="442"/>
      <c r="P278" s="442"/>
      <c r="Q278" s="442"/>
      <c r="R278" s="442"/>
      <c r="S278" s="442"/>
      <c r="T278" s="442"/>
      <c r="U278" s="442"/>
      <c r="V278" s="837"/>
      <c r="W278" s="837"/>
      <c r="X278" s="837"/>
    </row>
    <row r="279" spans="1:24" ht="15.75" customHeight="1">
      <c r="A279" s="442"/>
      <c r="B279" s="442"/>
      <c r="C279" s="919"/>
      <c r="D279" s="919"/>
      <c r="E279" s="919"/>
      <c r="F279" s="919"/>
      <c r="G279" s="919"/>
      <c r="H279" s="919"/>
      <c r="I279" s="919"/>
      <c r="J279" s="919"/>
      <c r="K279" s="919"/>
      <c r="L279" s="919"/>
      <c r="M279" s="919"/>
      <c r="N279" s="919"/>
      <c r="O279" s="442"/>
      <c r="P279" s="442"/>
      <c r="Q279" s="442"/>
      <c r="R279" s="442"/>
      <c r="S279" s="442"/>
      <c r="T279" s="442"/>
      <c r="U279" s="442"/>
      <c r="V279" s="837"/>
      <c r="W279" s="837"/>
      <c r="X279" s="837"/>
    </row>
    <row r="280" spans="1:24" ht="15.75" customHeight="1">
      <c r="A280" s="442"/>
      <c r="B280" s="442"/>
      <c r="C280" s="919"/>
      <c r="D280" s="919"/>
      <c r="E280" s="919"/>
      <c r="F280" s="919"/>
      <c r="G280" s="919"/>
      <c r="H280" s="919"/>
      <c r="I280" s="919"/>
      <c r="J280" s="919"/>
      <c r="K280" s="919"/>
      <c r="L280" s="919"/>
      <c r="M280" s="919"/>
      <c r="N280" s="919"/>
      <c r="O280" s="442"/>
      <c r="P280" s="442"/>
      <c r="Q280" s="442"/>
      <c r="R280" s="442"/>
      <c r="S280" s="442"/>
      <c r="T280" s="442"/>
      <c r="U280" s="442"/>
      <c r="V280" s="837"/>
      <c r="W280" s="837"/>
      <c r="X280" s="837"/>
    </row>
    <row r="281" spans="1:24" ht="15.75" customHeight="1">
      <c r="A281" s="442"/>
      <c r="B281" s="442"/>
      <c r="C281" s="919"/>
      <c r="D281" s="919"/>
      <c r="E281" s="919"/>
      <c r="F281" s="919"/>
      <c r="G281" s="919"/>
      <c r="H281" s="919"/>
      <c r="I281" s="919"/>
      <c r="J281" s="919"/>
      <c r="K281" s="919"/>
      <c r="L281" s="919"/>
      <c r="M281" s="919"/>
      <c r="N281" s="919"/>
      <c r="O281" s="442"/>
      <c r="P281" s="442"/>
      <c r="Q281" s="442"/>
      <c r="R281" s="442"/>
      <c r="S281" s="442"/>
      <c r="T281" s="442"/>
      <c r="U281" s="442"/>
      <c r="V281" s="837"/>
      <c r="W281" s="837"/>
      <c r="X281" s="837"/>
    </row>
    <row r="282" spans="1:24" ht="15.75" customHeight="1">
      <c r="A282" s="442"/>
      <c r="B282" s="442"/>
      <c r="C282" s="919"/>
      <c r="D282" s="919"/>
      <c r="E282" s="919"/>
      <c r="F282" s="919"/>
      <c r="G282" s="919"/>
      <c r="H282" s="919"/>
      <c r="I282" s="919"/>
      <c r="J282" s="919"/>
      <c r="K282" s="919"/>
      <c r="L282" s="919"/>
      <c r="M282" s="919"/>
      <c r="N282" s="919"/>
      <c r="O282" s="442"/>
      <c r="P282" s="442"/>
      <c r="Q282" s="442"/>
      <c r="R282" s="442"/>
      <c r="S282" s="442"/>
      <c r="T282" s="442"/>
      <c r="U282" s="442"/>
      <c r="V282" s="837"/>
      <c r="W282" s="837"/>
      <c r="X282" s="837"/>
    </row>
    <row r="283" spans="1:24" ht="15.75" customHeight="1">
      <c r="A283" s="442"/>
      <c r="B283" s="442"/>
      <c r="C283" s="919"/>
      <c r="D283" s="919"/>
      <c r="E283" s="919"/>
      <c r="F283" s="919"/>
      <c r="G283" s="919"/>
      <c r="H283" s="919"/>
      <c r="I283" s="919"/>
      <c r="J283" s="919"/>
      <c r="K283" s="919"/>
      <c r="L283" s="919"/>
      <c r="M283" s="919"/>
      <c r="N283" s="919"/>
      <c r="O283" s="442"/>
      <c r="P283" s="442"/>
      <c r="Q283" s="442"/>
      <c r="R283" s="442"/>
      <c r="S283" s="442"/>
      <c r="T283" s="442"/>
      <c r="U283" s="442"/>
      <c r="V283" s="837"/>
      <c r="W283" s="837"/>
      <c r="X283" s="837"/>
    </row>
    <row r="284" spans="1:24" ht="15.75" customHeight="1">
      <c r="A284" s="442"/>
      <c r="B284" s="442"/>
      <c r="C284" s="919"/>
      <c r="D284" s="919"/>
      <c r="E284" s="919"/>
      <c r="F284" s="919"/>
      <c r="G284" s="919"/>
      <c r="H284" s="919"/>
      <c r="I284" s="919"/>
      <c r="J284" s="919"/>
      <c r="K284" s="919"/>
      <c r="L284" s="919"/>
      <c r="M284" s="919"/>
      <c r="N284" s="919"/>
      <c r="O284" s="442"/>
      <c r="P284" s="442"/>
      <c r="Q284" s="442"/>
      <c r="R284" s="442"/>
      <c r="S284" s="442"/>
      <c r="T284" s="442"/>
      <c r="U284" s="442"/>
      <c r="V284" s="837"/>
      <c r="W284" s="837"/>
      <c r="X284" s="837"/>
    </row>
    <row r="285" spans="1:24" ht="15.75" customHeight="1">
      <c r="A285" s="442"/>
      <c r="B285" s="442"/>
      <c r="C285" s="919"/>
      <c r="D285" s="919"/>
      <c r="E285" s="919"/>
      <c r="F285" s="919"/>
      <c r="G285" s="919"/>
      <c r="H285" s="919"/>
      <c r="I285" s="919"/>
      <c r="J285" s="919"/>
      <c r="K285" s="919"/>
      <c r="L285" s="919"/>
      <c r="M285" s="919"/>
      <c r="N285" s="919"/>
      <c r="O285" s="442"/>
      <c r="P285" s="442"/>
      <c r="Q285" s="442"/>
      <c r="R285" s="442"/>
      <c r="S285" s="442"/>
      <c r="T285" s="442"/>
      <c r="U285" s="442"/>
      <c r="V285" s="837"/>
      <c r="W285" s="837"/>
      <c r="X285" s="837"/>
    </row>
    <row r="286" spans="1:24" ht="15.75" customHeight="1">
      <c r="A286" s="442"/>
      <c r="B286" s="442"/>
      <c r="C286" s="919"/>
      <c r="D286" s="919"/>
      <c r="E286" s="919"/>
      <c r="F286" s="919"/>
      <c r="G286" s="919"/>
      <c r="H286" s="919"/>
      <c r="I286" s="919"/>
      <c r="J286" s="919"/>
      <c r="K286" s="919"/>
      <c r="L286" s="919"/>
      <c r="M286" s="919"/>
      <c r="N286" s="919"/>
      <c r="O286" s="442"/>
      <c r="P286" s="442"/>
      <c r="Q286" s="442"/>
      <c r="R286" s="442"/>
      <c r="S286" s="442"/>
      <c r="T286" s="442"/>
      <c r="U286" s="442"/>
      <c r="V286" s="837"/>
      <c r="W286" s="837"/>
      <c r="X286" s="837"/>
    </row>
    <row r="287" spans="1:24" ht="15.75" customHeight="1">
      <c r="A287" s="442"/>
      <c r="B287" s="442"/>
      <c r="C287" s="919"/>
      <c r="D287" s="919"/>
      <c r="E287" s="919"/>
      <c r="F287" s="919"/>
      <c r="G287" s="919"/>
      <c r="H287" s="919"/>
      <c r="I287" s="919"/>
      <c r="J287" s="919"/>
      <c r="K287" s="919"/>
      <c r="L287" s="919"/>
      <c r="M287" s="919"/>
      <c r="N287" s="919"/>
      <c r="O287" s="442"/>
      <c r="P287" s="442"/>
      <c r="Q287" s="442"/>
      <c r="R287" s="442"/>
      <c r="S287" s="442"/>
      <c r="T287" s="442"/>
      <c r="U287" s="442"/>
      <c r="V287" s="837"/>
      <c r="W287" s="837"/>
      <c r="X287" s="837"/>
    </row>
    <row r="288" spans="1:24" ht="15.75" customHeight="1">
      <c r="A288" s="442"/>
      <c r="B288" s="442"/>
      <c r="C288" s="919"/>
      <c r="D288" s="919"/>
      <c r="E288" s="919"/>
      <c r="F288" s="919"/>
      <c r="G288" s="919"/>
      <c r="H288" s="919"/>
      <c r="I288" s="919"/>
      <c r="J288" s="919"/>
      <c r="K288" s="919"/>
      <c r="L288" s="919"/>
      <c r="M288" s="919"/>
      <c r="N288" s="919"/>
      <c r="O288" s="442"/>
      <c r="P288" s="442"/>
      <c r="Q288" s="442"/>
      <c r="R288" s="442"/>
      <c r="S288" s="442"/>
      <c r="T288" s="442"/>
      <c r="U288" s="442"/>
      <c r="V288" s="837"/>
      <c r="W288" s="837"/>
      <c r="X288" s="837"/>
    </row>
    <row r="289" spans="1:24" ht="15.75" customHeight="1">
      <c r="A289" s="442"/>
      <c r="B289" s="442"/>
      <c r="C289" s="919"/>
      <c r="D289" s="919"/>
      <c r="E289" s="919"/>
      <c r="F289" s="919"/>
      <c r="G289" s="919"/>
      <c r="H289" s="919"/>
      <c r="I289" s="919"/>
      <c r="J289" s="919"/>
      <c r="K289" s="919"/>
      <c r="L289" s="919"/>
      <c r="M289" s="919"/>
      <c r="N289" s="919"/>
      <c r="O289" s="442"/>
      <c r="P289" s="442"/>
      <c r="Q289" s="442"/>
      <c r="R289" s="442"/>
      <c r="S289" s="442"/>
      <c r="T289" s="442"/>
      <c r="U289" s="442"/>
      <c r="V289" s="837"/>
      <c r="W289" s="837"/>
      <c r="X289" s="837"/>
    </row>
    <row r="290" spans="1:24" ht="15.75" customHeight="1">
      <c r="A290" s="442"/>
      <c r="B290" s="442"/>
      <c r="C290" s="919"/>
      <c r="D290" s="919"/>
      <c r="E290" s="919"/>
      <c r="F290" s="919"/>
      <c r="G290" s="919"/>
      <c r="H290" s="919"/>
      <c r="I290" s="919"/>
      <c r="J290" s="919"/>
      <c r="K290" s="919"/>
      <c r="L290" s="919"/>
      <c r="M290" s="919"/>
      <c r="N290" s="919"/>
      <c r="O290" s="442"/>
      <c r="P290" s="442"/>
      <c r="Q290" s="442"/>
      <c r="R290" s="442"/>
      <c r="S290" s="442"/>
      <c r="T290" s="442"/>
      <c r="U290" s="442"/>
      <c r="V290" s="837"/>
      <c r="W290" s="837"/>
      <c r="X290" s="837"/>
    </row>
    <row r="291" spans="1:24" ht="15.75" customHeight="1">
      <c r="A291" s="442"/>
      <c r="B291" s="442"/>
      <c r="C291" s="919"/>
      <c r="D291" s="919"/>
      <c r="E291" s="919"/>
      <c r="F291" s="919"/>
      <c r="G291" s="919"/>
      <c r="H291" s="919"/>
      <c r="I291" s="919"/>
      <c r="J291" s="919"/>
      <c r="K291" s="919"/>
      <c r="L291" s="919"/>
      <c r="M291" s="919"/>
      <c r="N291" s="919"/>
      <c r="O291" s="442"/>
      <c r="P291" s="442"/>
      <c r="Q291" s="442"/>
      <c r="R291" s="442"/>
      <c r="S291" s="442"/>
      <c r="T291" s="442"/>
      <c r="U291" s="442"/>
      <c r="V291" s="837"/>
      <c r="W291" s="837"/>
      <c r="X291" s="837"/>
    </row>
    <row r="292" spans="1:24" ht="15.75" customHeight="1">
      <c r="A292" s="442"/>
      <c r="B292" s="442"/>
      <c r="C292" s="919"/>
      <c r="D292" s="919"/>
      <c r="E292" s="919"/>
      <c r="F292" s="919"/>
      <c r="G292" s="919"/>
      <c r="H292" s="919"/>
      <c r="I292" s="919"/>
      <c r="J292" s="919"/>
      <c r="K292" s="919"/>
      <c r="L292" s="919"/>
      <c r="M292" s="919"/>
      <c r="N292" s="919"/>
      <c r="O292" s="442"/>
      <c r="P292" s="442"/>
      <c r="Q292" s="442"/>
      <c r="R292" s="442"/>
      <c r="S292" s="442"/>
      <c r="T292" s="442"/>
      <c r="U292" s="442"/>
      <c r="V292" s="837"/>
      <c r="W292" s="837"/>
      <c r="X292" s="837"/>
    </row>
    <row r="293" spans="1:24" ht="15.75" customHeight="1">
      <c r="A293" s="442"/>
      <c r="B293" s="442"/>
      <c r="C293" s="919"/>
      <c r="D293" s="919"/>
      <c r="E293" s="919"/>
      <c r="F293" s="919"/>
      <c r="G293" s="919"/>
      <c r="H293" s="919"/>
      <c r="I293" s="919"/>
      <c r="J293" s="919"/>
      <c r="K293" s="919"/>
      <c r="L293" s="919"/>
      <c r="M293" s="919"/>
      <c r="N293" s="919"/>
      <c r="O293" s="442"/>
      <c r="P293" s="442"/>
      <c r="Q293" s="442"/>
      <c r="R293" s="442"/>
      <c r="S293" s="442"/>
      <c r="T293" s="442"/>
      <c r="U293" s="442"/>
      <c r="V293" s="837"/>
      <c r="W293" s="837"/>
      <c r="X293" s="837"/>
    </row>
    <row r="294" spans="1:24" ht="15.75" customHeight="1">
      <c r="A294" s="442"/>
      <c r="B294" s="442"/>
      <c r="C294" s="919"/>
      <c r="D294" s="919"/>
      <c r="E294" s="919"/>
      <c r="F294" s="919"/>
      <c r="G294" s="919"/>
      <c r="H294" s="919"/>
      <c r="I294" s="919"/>
      <c r="J294" s="919"/>
      <c r="K294" s="919"/>
      <c r="L294" s="919"/>
      <c r="M294" s="919"/>
      <c r="N294" s="919"/>
      <c r="O294" s="442"/>
      <c r="P294" s="442"/>
      <c r="Q294" s="442"/>
      <c r="R294" s="442"/>
      <c r="S294" s="442"/>
      <c r="T294" s="442"/>
      <c r="U294" s="442"/>
      <c r="V294" s="837"/>
      <c r="W294" s="837"/>
      <c r="X294" s="837"/>
    </row>
    <row r="295" spans="1:24" ht="15.75" customHeight="1">
      <c r="A295" s="442"/>
      <c r="B295" s="442"/>
      <c r="C295" s="919"/>
      <c r="D295" s="919"/>
      <c r="E295" s="919"/>
      <c r="F295" s="919"/>
      <c r="G295" s="919"/>
      <c r="H295" s="919"/>
      <c r="I295" s="919"/>
      <c r="J295" s="919"/>
      <c r="K295" s="919"/>
      <c r="L295" s="919"/>
      <c r="M295" s="919"/>
      <c r="N295" s="919"/>
      <c r="O295" s="442"/>
      <c r="P295" s="442"/>
      <c r="Q295" s="442"/>
      <c r="R295" s="442"/>
      <c r="S295" s="442"/>
      <c r="T295" s="442"/>
      <c r="U295" s="442"/>
      <c r="V295" s="837"/>
      <c r="W295" s="837"/>
      <c r="X295" s="837"/>
    </row>
    <row r="296" spans="1:24" ht="15.75" customHeight="1">
      <c r="A296" s="442"/>
      <c r="B296" s="442"/>
      <c r="C296" s="919"/>
      <c r="D296" s="919"/>
      <c r="E296" s="919"/>
      <c r="F296" s="919"/>
      <c r="G296" s="919"/>
      <c r="H296" s="919"/>
      <c r="I296" s="919"/>
      <c r="J296" s="919"/>
      <c r="K296" s="919"/>
      <c r="L296" s="919"/>
      <c r="M296" s="919"/>
      <c r="N296" s="919"/>
      <c r="O296" s="442"/>
      <c r="P296" s="442"/>
      <c r="Q296" s="442"/>
      <c r="R296" s="442"/>
      <c r="S296" s="442"/>
      <c r="T296" s="442"/>
      <c r="U296" s="442"/>
      <c r="V296" s="837"/>
      <c r="W296" s="837"/>
      <c r="X296" s="837"/>
    </row>
    <row r="297" spans="1:24" ht="15.75" customHeight="1">
      <c r="A297" s="442"/>
      <c r="B297" s="442"/>
      <c r="C297" s="919"/>
      <c r="D297" s="919"/>
      <c r="E297" s="919"/>
      <c r="F297" s="919"/>
      <c r="G297" s="919"/>
      <c r="H297" s="919"/>
      <c r="I297" s="919"/>
      <c r="J297" s="919"/>
      <c r="K297" s="919"/>
      <c r="L297" s="919"/>
      <c r="M297" s="919"/>
      <c r="N297" s="919"/>
      <c r="O297" s="442"/>
      <c r="P297" s="442"/>
      <c r="Q297" s="442"/>
      <c r="R297" s="442"/>
      <c r="S297" s="442"/>
      <c r="T297" s="442"/>
      <c r="U297" s="442"/>
      <c r="V297" s="837"/>
      <c r="W297" s="837"/>
      <c r="X297" s="837"/>
    </row>
    <row r="298" spans="1:24" ht="15.75" customHeight="1">
      <c r="A298" s="442"/>
      <c r="B298" s="442"/>
      <c r="C298" s="919"/>
      <c r="D298" s="919"/>
      <c r="E298" s="919"/>
      <c r="F298" s="919"/>
      <c r="G298" s="919"/>
      <c r="H298" s="919"/>
      <c r="I298" s="919"/>
      <c r="J298" s="919"/>
      <c r="K298" s="919"/>
      <c r="L298" s="919"/>
      <c r="M298" s="919"/>
      <c r="N298" s="919"/>
      <c r="O298" s="442"/>
      <c r="P298" s="442"/>
      <c r="Q298" s="442"/>
      <c r="R298" s="442"/>
      <c r="S298" s="442"/>
      <c r="T298" s="442"/>
      <c r="U298" s="442"/>
      <c r="V298" s="837"/>
      <c r="W298" s="837"/>
      <c r="X298" s="837"/>
    </row>
    <row r="299" spans="1:24" ht="15.75" customHeight="1">
      <c r="A299" s="442"/>
      <c r="B299" s="442"/>
      <c r="C299" s="919"/>
      <c r="D299" s="919"/>
      <c r="E299" s="919"/>
      <c r="F299" s="919"/>
      <c r="G299" s="919"/>
      <c r="H299" s="919"/>
      <c r="I299" s="919"/>
      <c r="J299" s="919"/>
      <c r="K299" s="919"/>
      <c r="L299" s="919"/>
      <c r="M299" s="919"/>
      <c r="N299" s="919"/>
      <c r="O299" s="442"/>
      <c r="P299" s="442"/>
      <c r="Q299" s="442"/>
      <c r="R299" s="442"/>
      <c r="S299" s="442"/>
      <c r="T299" s="442"/>
      <c r="U299" s="442"/>
      <c r="V299" s="837"/>
      <c r="W299" s="837"/>
      <c r="X299" s="837"/>
    </row>
    <row r="300" spans="1:24" ht="15.75" customHeight="1">
      <c r="A300" s="442"/>
      <c r="B300" s="442"/>
      <c r="C300" s="919"/>
      <c r="D300" s="919"/>
      <c r="E300" s="919"/>
      <c r="F300" s="919"/>
      <c r="G300" s="919"/>
      <c r="H300" s="919"/>
      <c r="I300" s="919"/>
      <c r="J300" s="919"/>
      <c r="K300" s="919"/>
      <c r="L300" s="919"/>
      <c r="M300" s="919"/>
      <c r="N300" s="919"/>
      <c r="O300" s="442"/>
      <c r="P300" s="442"/>
      <c r="Q300" s="442"/>
      <c r="R300" s="442"/>
      <c r="S300" s="442"/>
      <c r="T300" s="442"/>
      <c r="U300" s="442"/>
      <c r="V300" s="837"/>
      <c r="W300" s="837"/>
      <c r="X300" s="837"/>
    </row>
    <row r="301" spans="1:24" ht="15.75" customHeight="1">
      <c r="A301" s="442"/>
      <c r="B301" s="442"/>
      <c r="C301" s="919"/>
      <c r="D301" s="919"/>
      <c r="E301" s="919"/>
      <c r="F301" s="919"/>
      <c r="G301" s="919"/>
      <c r="H301" s="919"/>
      <c r="I301" s="919"/>
      <c r="J301" s="919"/>
      <c r="K301" s="919"/>
      <c r="L301" s="919"/>
      <c r="M301" s="919"/>
      <c r="N301" s="919"/>
      <c r="O301" s="442"/>
      <c r="P301" s="442"/>
      <c r="Q301" s="442"/>
      <c r="R301" s="442"/>
      <c r="S301" s="442"/>
      <c r="T301" s="442"/>
      <c r="U301" s="442"/>
      <c r="V301" s="837"/>
      <c r="W301" s="837"/>
      <c r="X301" s="837"/>
    </row>
    <row r="302" spans="1:24" ht="15.75" customHeight="1">
      <c r="A302" s="442"/>
      <c r="B302" s="442"/>
      <c r="C302" s="919"/>
      <c r="D302" s="919"/>
      <c r="E302" s="919"/>
      <c r="F302" s="919"/>
      <c r="G302" s="919"/>
      <c r="H302" s="919"/>
      <c r="I302" s="919"/>
      <c r="J302" s="919"/>
      <c r="K302" s="919"/>
      <c r="L302" s="919"/>
      <c r="M302" s="919"/>
      <c r="N302" s="919"/>
      <c r="O302" s="442"/>
      <c r="P302" s="442"/>
      <c r="Q302" s="442"/>
      <c r="R302" s="442"/>
      <c r="S302" s="442"/>
      <c r="T302" s="442"/>
      <c r="U302" s="442"/>
      <c r="V302" s="837"/>
      <c r="W302" s="837"/>
      <c r="X302" s="837"/>
    </row>
    <row r="303" spans="1:24" ht="15.75" customHeight="1">
      <c r="A303" s="442"/>
      <c r="B303" s="442"/>
      <c r="C303" s="919"/>
      <c r="D303" s="919"/>
      <c r="E303" s="919"/>
      <c r="F303" s="919"/>
      <c r="G303" s="919"/>
      <c r="H303" s="919"/>
      <c r="I303" s="919"/>
      <c r="J303" s="919"/>
      <c r="K303" s="919"/>
      <c r="L303" s="919"/>
      <c r="M303" s="919"/>
      <c r="N303" s="919"/>
      <c r="O303" s="442"/>
      <c r="P303" s="442"/>
      <c r="Q303" s="442"/>
      <c r="R303" s="442"/>
      <c r="S303" s="442"/>
      <c r="T303" s="442"/>
      <c r="U303" s="442"/>
      <c r="V303" s="837"/>
      <c r="W303" s="837"/>
      <c r="X303" s="837"/>
    </row>
    <row r="304" spans="1:24" ht="15.75" customHeight="1">
      <c r="A304" s="442"/>
      <c r="B304" s="442"/>
      <c r="C304" s="919"/>
      <c r="D304" s="919"/>
      <c r="E304" s="919"/>
      <c r="F304" s="919"/>
      <c r="G304" s="919"/>
      <c r="H304" s="919"/>
      <c r="I304" s="919"/>
      <c r="J304" s="919"/>
      <c r="K304" s="919"/>
      <c r="L304" s="919"/>
      <c r="M304" s="919"/>
      <c r="N304" s="919"/>
      <c r="O304" s="442"/>
      <c r="P304" s="442"/>
      <c r="Q304" s="442"/>
      <c r="R304" s="442"/>
      <c r="S304" s="442"/>
      <c r="T304" s="442"/>
      <c r="U304" s="442"/>
      <c r="V304" s="837"/>
      <c r="W304" s="837"/>
      <c r="X304" s="837"/>
    </row>
    <row r="305" spans="1:24" ht="15.75" customHeight="1">
      <c r="A305" s="442"/>
      <c r="B305" s="442"/>
      <c r="C305" s="919"/>
      <c r="D305" s="919"/>
      <c r="E305" s="919"/>
      <c r="F305" s="919"/>
      <c r="G305" s="919"/>
      <c r="H305" s="919"/>
      <c r="I305" s="919"/>
      <c r="J305" s="919"/>
      <c r="K305" s="919"/>
      <c r="L305" s="919"/>
      <c r="M305" s="919"/>
      <c r="N305" s="919"/>
      <c r="O305" s="442"/>
      <c r="P305" s="442"/>
      <c r="Q305" s="442"/>
      <c r="R305" s="442"/>
      <c r="S305" s="442"/>
      <c r="T305" s="442"/>
      <c r="U305" s="442"/>
      <c r="V305" s="837"/>
      <c r="W305" s="837"/>
      <c r="X305" s="837"/>
    </row>
    <row r="306" spans="1:24" ht="15.75" customHeight="1">
      <c r="A306" s="442"/>
      <c r="B306" s="442"/>
      <c r="C306" s="919"/>
      <c r="D306" s="919"/>
      <c r="E306" s="919"/>
      <c r="F306" s="919"/>
      <c r="G306" s="919"/>
      <c r="H306" s="919"/>
      <c r="I306" s="919"/>
      <c r="J306" s="919"/>
      <c r="K306" s="919"/>
      <c r="L306" s="919"/>
      <c r="M306" s="919"/>
      <c r="N306" s="919"/>
      <c r="O306" s="442"/>
      <c r="P306" s="442"/>
      <c r="Q306" s="442"/>
      <c r="R306" s="442"/>
      <c r="S306" s="442"/>
      <c r="T306" s="442"/>
      <c r="U306" s="442"/>
      <c r="V306" s="837"/>
      <c r="W306" s="837"/>
      <c r="X306" s="837"/>
    </row>
    <row r="307" spans="1:24" ht="15.75" customHeight="1">
      <c r="A307" s="442"/>
      <c r="B307" s="442"/>
      <c r="C307" s="919"/>
      <c r="D307" s="919"/>
      <c r="E307" s="919"/>
      <c r="F307" s="919"/>
      <c r="G307" s="919"/>
      <c r="H307" s="919"/>
      <c r="I307" s="919"/>
      <c r="J307" s="919"/>
      <c r="K307" s="919"/>
      <c r="L307" s="919"/>
      <c r="M307" s="919"/>
      <c r="N307" s="919"/>
      <c r="O307" s="442"/>
      <c r="P307" s="442"/>
      <c r="Q307" s="442"/>
      <c r="R307" s="442"/>
      <c r="S307" s="442"/>
      <c r="T307" s="442"/>
      <c r="U307" s="442"/>
      <c r="V307" s="837"/>
      <c r="W307" s="837"/>
      <c r="X307" s="837"/>
    </row>
    <row r="308" spans="1:24" ht="15.75" customHeight="1">
      <c r="A308" s="442"/>
      <c r="B308" s="442"/>
      <c r="C308" s="919"/>
      <c r="D308" s="919"/>
      <c r="E308" s="919"/>
      <c r="F308" s="919"/>
      <c r="G308" s="919"/>
      <c r="H308" s="919"/>
      <c r="I308" s="919"/>
      <c r="J308" s="919"/>
      <c r="K308" s="919"/>
      <c r="L308" s="919"/>
      <c r="M308" s="919"/>
      <c r="N308" s="919"/>
      <c r="O308" s="442"/>
      <c r="P308" s="442"/>
      <c r="Q308" s="442"/>
      <c r="R308" s="442"/>
      <c r="S308" s="442"/>
      <c r="T308" s="442"/>
      <c r="U308" s="442"/>
      <c r="V308" s="837"/>
      <c r="W308" s="837"/>
      <c r="X308" s="837"/>
    </row>
    <row r="309" spans="1:24" ht="15.75" customHeight="1">
      <c r="A309" s="442"/>
      <c r="B309" s="442"/>
      <c r="C309" s="919"/>
      <c r="D309" s="919"/>
      <c r="E309" s="919"/>
      <c r="F309" s="919"/>
      <c r="G309" s="919"/>
      <c r="H309" s="919"/>
      <c r="I309" s="919"/>
      <c r="J309" s="919"/>
      <c r="K309" s="919"/>
      <c r="L309" s="919"/>
      <c r="M309" s="919"/>
      <c r="N309" s="919"/>
      <c r="O309" s="442"/>
      <c r="P309" s="442"/>
      <c r="Q309" s="442"/>
      <c r="R309" s="442"/>
      <c r="S309" s="442"/>
      <c r="T309" s="442"/>
      <c r="U309" s="442"/>
      <c r="V309" s="837"/>
      <c r="W309" s="837"/>
      <c r="X309" s="837"/>
    </row>
    <row r="310" spans="1:24" ht="15.75" customHeight="1">
      <c r="A310" s="442"/>
      <c r="B310" s="442"/>
      <c r="C310" s="919"/>
      <c r="D310" s="919"/>
      <c r="E310" s="919"/>
      <c r="F310" s="919"/>
      <c r="G310" s="919"/>
      <c r="H310" s="919"/>
      <c r="I310" s="919"/>
      <c r="J310" s="919"/>
      <c r="K310" s="919"/>
      <c r="L310" s="919"/>
      <c r="M310" s="919"/>
      <c r="N310" s="919"/>
      <c r="O310" s="442"/>
      <c r="P310" s="442"/>
      <c r="Q310" s="442"/>
      <c r="R310" s="442"/>
      <c r="S310" s="442"/>
      <c r="T310" s="442"/>
      <c r="U310" s="442"/>
      <c r="V310" s="837"/>
      <c r="W310" s="837"/>
      <c r="X310" s="837"/>
    </row>
    <row r="311" spans="1:24" ht="15.75" customHeight="1">
      <c r="A311" s="442"/>
      <c r="B311" s="442"/>
      <c r="C311" s="919"/>
      <c r="D311" s="919"/>
      <c r="E311" s="919"/>
      <c r="F311" s="919"/>
      <c r="G311" s="919"/>
      <c r="H311" s="919"/>
      <c r="I311" s="919"/>
      <c r="J311" s="919"/>
      <c r="K311" s="919"/>
      <c r="L311" s="919"/>
      <c r="M311" s="919"/>
      <c r="N311" s="919"/>
      <c r="O311" s="442"/>
      <c r="P311" s="442"/>
      <c r="Q311" s="442"/>
      <c r="R311" s="442"/>
      <c r="S311" s="442"/>
      <c r="T311" s="442"/>
      <c r="U311" s="442"/>
      <c r="V311" s="837"/>
      <c r="W311" s="837"/>
      <c r="X311" s="837"/>
    </row>
    <row r="312" spans="1:24" ht="15.75" customHeight="1">
      <c r="A312" s="442"/>
      <c r="B312" s="442"/>
      <c r="C312" s="919"/>
      <c r="D312" s="919"/>
      <c r="E312" s="919"/>
      <c r="F312" s="919"/>
      <c r="G312" s="919"/>
      <c r="H312" s="919"/>
      <c r="I312" s="919"/>
      <c r="J312" s="919"/>
      <c r="K312" s="919"/>
      <c r="L312" s="919"/>
      <c r="M312" s="919"/>
      <c r="N312" s="919"/>
      <c r="O312" s="442"/>
      <c r="P312" s="442"/>
      <c r="Q312" s="442"/>
      <c r="R312" s="442"/>
      <c r="S312" s="442"/>
      <c r="T312" s="442"/>
      <c r="U312" s="442"/>
      <c r="V312" s="837"/>
      <c r="W312" s="837"/>
      <c r="X312" s="837"/>
    </row>
    <row r="313" spans="1:24" ht="15.75" customHeight="1">
      <c r="A313" s="442"/>
      <c r="B313" s="442"/>
      <c r="C313" s="919"/>
      <c r="D313" s="919"/>
      <c r="E313" s="919"/>
      <c r="F313" s="919"/>
      <c r="G313" s="919"/>
      <c r="H313" s="919"/>
      <c r="I313" s="919"/>
      <c r="J313" s="919"/>
      <c r="K313" s="919"/>
      <c r="L313" s="919"/>
      <c r="M313" s="919"/>
      <c r="N313" s="919"/>
      <c r="O313" s="442"/>
      <c r="P313" s="442"/>
      <c r="Q313" s="442"/>
      <c r="R313" s="442"/>
      <c r="S313" s="442"/>
      <c r="T313" s="442"/>
      <c r="U313" s="442"/>
      <c r="V313" s="837"/>
      <c r="W313" s="837"/>
      <c r="X313" s="837"/>
    </row>
    <row r="314" spans="1:24" ht="15.75" customHeight="1">
      <c r="A314" s="442"/>
      <c r="B314" s="442"/>
      <c r="C314" s="919"/>
      <c r="D314" s="919"/>
      <c r="E314" s="919"/>
      <c r="F314" s="919"/>
      <c r="G314" s="919"/>
      <c r="H314" s="919"/>
      <c r="I314" s="919"/>
      <c r="J314" s="919"/>
      <c r="K314" s="919"/>
      <c r="L314" s="919"/>
      <c r="M314" s="919"/>
      <c r="N314" s="919"/>
      <c r="O314" s="442"/>
      <c r="P314" s="442"/>
      <c r="Q314" s="442"/>
      <c r="R314" s="442"/>
      <c r="S314" s="442"/>
      <c r="T314" s="442"/>
      <c r="U314" s="442"/>
      <c r="V314" s="837"/>
      <c r="W314" s="837"/>
      <c r="X314" s="837"/>
    </row>
    <row r="315" spans="1:24" ht="15.75" customHeight="1">
      <c r="A315" s="442"/>
      <c r="B315" s="442"/>
      <c r="C315" s="919"/>
      <c r="D315" s="919"/>
      <c r="E315" s="919"/>
      <c r="F315" s="919"/>
      <c r="G315" s="919"/>
      <c r="H315" s="919"/>
      <c r="I315" s="919"/>
      <c r="J315" s="919"/>
      <c r="K315" s="919"/>
      <c r="L315" s="919"/>
      <c r="M315" s="919"/>
      <c r="N315" s="919"/>
      <c r="O315" s="442"/>
      <c r="P315" s="442"/>
      <c r="Q315" s="442"/>
      <c r="R315" s="442"/>
      <c r="S315" s="442"/>
      <c r="T315" s="442"/>
      <c r="U315" s="442"/>
      <c r="V315" s="837"/>
      <c r="W315" s="837"/>
      <c r="X315" s="837"/>
    </row>
    <row r="316" spans="1:24" ht="15.75" customHeight="1">
      <c r="A316" s="442"/>
      <c r="B316" s="442"/>
      <c r="C316" s="919"/>
      <c r="D316" s="919"/>
      <c r="E316" s="919"/>
      <c r="F316" s="919"/>
      <c r="G316" s="919"/>
      <c r="H316" s="919"/>
      <c r="I316" s="919"/>
      <c r="J316" s="919"/>
      <c r="K316" s="919"/>
      <c r="L316" s="919"/>
      <c r="M316" s="919"/>
      <c r="N316" s="919"/>
      <c r="O316" s="442"/>
      <c r="P316" s="442"/>
      <c r="Q316" s="442"/>
      <c r="R316" s="442"/>
      <c r="S316" s="442"/>
      <c r="T316" s="442"/>
      <c r="U316" s="442"/>
      <c r="V316" s="837"/>
      <c r="W316" s="837"/>
      <c r="X316" s="837"/>
    </row>
    <row r="317" spans="1:24" ht="15.75" customHeight="1">
      <c r="A317" s="442"/>
      <c r="B317" s="442"/>
      <c r="C317" s="919"/>
      <c r="D317" s="919"/>
      <c r="E317" s="919"/>
      <c r="F317" s="919"/>
      <c r="G317" s="919"/>
      <c r="H317" s="919"/>
      <c r="I317" s="919"/>
      <c r="J317" s="919"/>
      <c r="K317" s="919"/>
      <c r="L317" s="919"/>
      <c r="M317" s="919"/>
      <c r="N317" s="919"/>
      <c r="O317" s="442"/>
      <c r="P317" s="442"/>
      <c r="Q317" s="442"/>
      <c r="R317" s="442"/>
      <c r="S317" s="442"/>
      <c r="T317" s="442"/>
      <c r="U317" s="442"/>
      <c r="V317" s="837"/>
      <c r="W317" s="837"/>
      <c r="X317" s="837"/>
    </row>
    <row r="318" spans="1:24" ht="15.75" customHeight="1">
      <c r="A318" s="442"/>
      <c r="B318" s="442"/>
      <c r="C318" s="919"/>
      <c r="D318" s="919"/>
      <c r="E318" s="919"/>
      <c r="F318" s="919"/>
      <c r="G318" s="919"/>
      <c r="H318" s="919"/>
      <c r="I318" s="919"/>
      <c r="J318" s="919"/>
      <c r="K318" s="919"/>
      <c r="L318" s="919"/>
      <c r="M318" s="919"/>
      <c r="N318" s="919"/>
      <c r="O318" s="442"/>
      <c r="P318" s="442"/>
      <c r="Q318" s="442"/>
      <c r="R318" s="442"/>
      <c r="S318" s="442"/>
      <c r="T318" s="442"/>
      <c r="U318" s="442"/>
      <c r="V318" s="837"/>
      <c r="W318" s="837"/>
      <c r="X318" s="837"/>
    </row>
    <row r="319" spans="1:24" ht="15.75" customHeight="1">
      <c r="A319" s="442"/>
      <c r="B319" s="442"/>
      <c r="C319" s="919"/>
      <c r="D319" s="919"/>
      <c r="E319" s="919"/>
      <c r="F319" s="919"/>
      <c r="G319" s="919"/>
      <c r="H319" s="919"/>
      <c r="I319" s="919"/>
      <c r="J319" s="919"/>
      <c r="K319" s="919"/>
      <c r="L319" s="919"/>
      <c r="M319" s="919"/>
      <c r="N319" s="919"/>
      <c r="O319" s="442"/>
      <c r="P319" s="442"/>
      <c r="Q319" s="442"/>
      <c r="R319" s="442"/>
      <c r="S319" s="442"/>
      <c r="T319" s="442"/>
      <c r="U319" s="442"/>
      <c r="V319" s="837"/>
      <c r="W319" s="837"/>
      <c r="X319" s="837"/>
    </row>
    <row r="320" spans="1:24" ht="15.75" customHeight="1">
      <c r="A320" s="442"/>
      <c r="B320" s="442"/>
      <c r="C320" s="919"/>
      <c r="D320" s="919"/>
      <c r="E320" s="919"/>
      <c r="F320" s="919"/>
      <c r="G320" s="919"/>
      <c r="H320" s="919"/>
      <c r="I320" s="919"/>
      <c r="J320" s="919"/>
      <c r="K320" s="919"/>
      <c r="L320" s="919"/>
      <c r="M320" s="919"/>
      <c r="N320" s="919"/>
      <c r="O320" s="442"/>
      <c r="P320" s="442"/>
      <c r="Q320" s="442"/>
      <c r="R320" s="442"/>
      <c r="S320" s="442"/>
      <c r="T320" s="442"/>
      <c r="U320" s="442"/>
      <c r="V320" s="837"/>
      <c r="W320" s="837"/>
      <c r="X320" s="837"/>
    </row>
    <row r="321" spans="1:24" ht="15.75" customHeight="1">
      <c r="A321" s="442"/>
      <c r="B321" s="442"/>
      <c r="C321" s="919"/>
      <c r="D321" s="919"/>
      <c r="E321" s="919"/>
      <c r="F321" s="919"/>
      <c r="G321" s="919"/>
      <c r="H321" s="919"/>
      <c r="I321" s="919"/>
      <c r="J321" s="919"/>
      <c r="K321" s="919"/>
      <c r="L321" s="919"/>
      <c r="M321" s="919"/>
      <c r="N321" s="919"/>
      <c r="O321" s="442"/>
      <c r="P321" s="442"/>
      <c r="Q321" s="442"/>
      <c r="R321" s="442"/>
      <c r="S321" s="442"/>
      <c r="T321" s="442"/>
      <c r="U321" s="442"/>
      <c r="V321" s="837"/>
      <c r="W321" s="837"/>
      <c r="X321" s="837"/>
    </row>
    <row r="322" spans="1:24" ht="15.75" customHeight="1">
      <c r="A322" s="942"/>
      <c r="B322" s="942"/>
      <c r="C322" s="943"/>
      <c r="D322" s="943"/>
      <c r="E322" s="943"/>
      <c r="F322" s="943"/>
      <c r="G322" s="943"/>
      <c r="H322" s="943"/>
      <c r="I322" s="943"/>
      <c r="J322" s="943"/>
      <c r="K322" s="943"/>
      <c r="L322" s="943"/>
      <c r="M322" s="943"/>
      <c r="N322" s="943"/>
      <c r="O322" s="942"/>
      <c r="P322" s="942"/>
      <c r="Q322" s="942"/>
      <c r="R322" s="942"/>
      <c r="S322" s="942"/>
      <c r="T322" s="942"/>
      <c r="U322" s="942"/>
    </row>
    <row r="323" spans="1:24" ht="15.75" customHeight="1">
      <c r="A323" s="942"/>
      <c r="B323" s="942"/>
      <c r="C323" s="943"/>
      <c r="D323" s="943"/>
      <c r="E323" s="943"/>
      <c r="F323" s="943"/>
      <c r="G323" s="943"/>
      <c r="H323" s="943"/>
      <c r="I323" s="943"/>
      <c r="J323" s="943"/>
      <c r="K323" s="943"/>
      <c r="L323" s="943"/>
      <c r="M323" s="943"/>
      <c r="N323" s="943"/>
      <c r="O323" s="942"/>
      <c r="P323" s="942"/>
      <c r="Q323" s="942"/>
      <c r="R323" s="942"/>
      <c r="S323" s="942"/>
      <c r="T323" s="942"/>
      <c r="U323" s="942"/>
    </row>
    <row r="324" spans="1:24" ht="15.75" customHeight="1">
      <c r="A324" s="942"/>
      <c r="B324" s="942"/>
      <c r="C324" s="943"/>
      <c r="D324" s="943"/>
      <c r="E324" s="943"/>
      <c r="F324" s="943"/>
      <c r="G324" s="943"/>
      <c r="H324" s="943"/>
      <c r="I324" s="943"/>
      <c r="J324" s="943"/>
      <c r="K324" s="943"/>
      <c r="L324" s="943"/>
      <c r="M324" s="943"/>
      <c r="N324" s="943"/>
      <c r="O324" s="942"/>
      <c r="P324" s="942"/>
      <c r="Q324" s="942"/>
      <c r="R324" s="942"/>
      <c r="S324" s="942"/>
      <c r="T324" s="942"/>
      <c r="U324" s="942"/>
    </row>
    <row r="325" spans="1:24" ht="15.75" customHeight="1">
      <c r="A325" s="942"/>
      <c r="B325" s="942"/>
      <c r="C325" s="943"/>
      <c r="D325" s="943"/>
      <c r="E325" s="943"/>
      <c r="F325" s="943"/>
      <c r="G325" s="943"/>
      <c r="H325" s="943"/>
      <c r="I325" s="943"/>
      <c r="J325" s="943"/>
      <c r="K325" s="943"/>
      <c r="L325" s="943"/>
      <c r="M325" s="943"/>
      <c r="N325" s="943"/>
      <c r="O325" s="942"/>
      <c r="P325" s="942"/>
      <c r="Q325" s="942"/>
      <c r="R325" s="942"/>
      <c r="S325" s="942"/>
      <c r="T325" s="942"/>
      <c r="U325" s="942"/>
    </row>
    <row r="326" spans="1:24" ht="15.75" customHeight="1">
      <c r="A326" s="942"/>
      <c r="B326" s="942"/>
      <c r="C326" s="943"/>
      <c r="D326" s="943"/>
      <c r="E326" s="943"/>
      <c r="F326" s="943"/>
      <c r="G326" s="943"/>
      <c r="H326" s="943"/>
      <c r="I326" s="943"/>
      <c r="J326" s="943"/>
      <c r="K326" s="943"/>
      <c r="L326" s="943"/>
      <c r="M326" s="943"/>
      <c r="N326" s="943"/>
      <c r="O326" s="942"/>
      <c r="P326" s="942"/>
      <c r="Q326" s="942"/>
      <c r="R326" s="942"/>
      <c r="S326" s="942"/>
      <c r="T326" s="942"/>
      <c r="U326" s="942"/>
    </row>
    <row r="327" spans="1:24" ht="15.75" customHeight="1">
      <c r="A327" s="942"/>
      <c r="B327" s="942"/>
      <c r="C327" s="943"/>
      <c r="D327" s="943"/>
      <c r="E327" s="943"/>
      <c r="F327" s="943"/>
      <c r="G327" s="943"/>
      <c r="H327" s="943"/>
      <c r="I327" s="943"/>
      <c r="J327" s="943"/>
      <c r="K327" s="943"/>
      <c r="L327" s="943"/>
      <c r="M327" s="943"/>
      <c r="N327" s="943"/>
      <c r="O327" s="942"/>
      <c r="P327" s="942"/>
      <c r="Q327" s="942"/>
      <c r="R327" s="942"/>
      <c r="S327" s="942"/>
      <c r="T327" s="942"/>
      <c r="U327" s="942"/>
    </row>
    <row r="328" spans="1:24" ht="15.75" customHeight="1">
      <c r="A328" s="942"/>
      <c r="B328" s="942"/>
      <c r="C328" s="943"/>
      <c r="D328" s="943"/>
      <c r="E328" s="943"/>
      <c r="F328" s="943"/>
      <c r="G328" s="943"/>
      <c r="H328" s="943"/>
      <c r="I328" s="943"/>
      <c r="J328" s="943"/>
      <c r="K328" s="943"/>
      <c r="L328" s="943"/>
      <c r="M328" s="943"/>
      <c r="N328" s="943"/>
      <c r="O328" s="942"/>
      <c r="P328" s="942"/>
      <c r="Q328" s="942"/>
      <c r="R328" s="942"/>
      <c r="S328" s="942"/>
      <c r="T328" s="942"/>
      <c r="U328" s="942"/>
    </row>
    <row r="329" spans="1:24" ht="15.75" customHeight="1">
      <c r="A329" s="942"/>
      <c r="B329" s="942"/>
      <c r="C329" s="943"/>
      <c r="D329" s="943"/>
      <c r="E329" s="943"/>
      <c r="F329" s="943"/>
      <c r="G329" s="943"/>
      <c r="H329" s="943"/>
      <c r="I329" s="943"/>
      <c r="J329" s="943"/>
      <c r="K329" s="943"/>
      <c r="L329" s="943"/>
      <c r="M329" s="943"/>
      <c r="N329" s="943"/>
      <c r="O329" s="942"/>
      <c r="P329" s="942"/>
      <c r="Q329" s="942"/>
      <c r="R329" s="942"/>
      <c r="S329" s="942"/>
      <c r="T329" s="942"/>
      <c r="U329" s="942"/>
    </row>
    <row r="330" spans="1:24" ht="15.75" customHeight="1">
      <c r="A330" s="942"/>
      <c r="B330" s="942"/>
      <c r="C330" s="943"/>
      <c r="D330" s="943"/>
      <c r="E330" s="943"/>
      <c r="F330" s="943"/>
      <c r="G330" s="943"/>
      <c r="H330" s="943"/>
      <c r="I330" s="943"/>
      <c r="J330" s="943"/>
      <c r="K330" s="943"/>
      <c r="L330" s="943"/>
      <c r="M330" s="943"/>
      <c r="N330" s="943"/>
      <c r="O330" s="942"/>
      <c r="P330" s="942"/>
      <c r="Q330" s="942"/>
      <c r="R330" s="942"/>
      <c r="S330" s="942"/>
      <c r="T330" s="942"/>
      <c r="U330" s="942"/>
    </row>
    <row r="331" spans="1:24" ht="15.75" customHeight="1">
      <c r="A331" s="942"/>
      <c r="B331" s="942"/>
      <c r="C331" s="943"/>
      <c r="D331" s="943"/>
      <c r="E331" s="943"/>
      <c r="F331" s="943"/>
      <c r="G331" s="943"/>
      <c r="H331" s="943"/>
      <c r="I331" s="943"/>
      <c r="J331" s="943"/>
      <c r="K331" s="943"/>
      <c r="L331" s="943"/>
      <c r="M331" s="943"/>
      <c r="N331" s="943"/>
      <c r="O331" s="942"/>
      <c r="P331" s="942"/>
      <c r="Q331" s="942"/>
      <c r="R331" s="942"/>
      <c r="S331" s="942"/>
      <c r="T331" s="942"/>
      <c r="U331" s="942"/>
    </row>
    <row r="332" spans="1:24" ht="15.75" customHeight="1">
      <c r="A332" s="942"/>
      <c r="B332" s="942"/>
      <c r="C332" s="943"/>
      <c r="D332" s="943"/>
      <c r="E332" s="943"/>
      <c r="F332" s="943"/>
      <c r="G332" s="943"/>
      <c r="H332" s="943"/>
      <c r="I332" s="943"/>
      <c r="J332" s="943"/>
      <c r="K332" s="943"/>
      <c r="L332" s="943"/>
      <c r="M332" s="943"/>
      <c r="N332" s="943"/>
      <c r="O332" s="942"/>
      <c r="P332" s="942"/>
      <c r="Q332" s="942"/>
      <c r="R332" s="942"/>
      <c r="S332" s="942"/>
      <c r="T332" s="942"/>
      <c r="U332" s="942"/>
    </row>
    <row r="333" spans="1:24" ht="15.75" customHeight="1">
      <c r="A333" s="942"/>
      <c r="B333" s="942"/>
      <c r="C333" s="943"/>
      <c r="D333" s="943"/>
      <c r="E333" s="943"/>
      <c r="F333" s="943"/>
      <c r="G333" s="943"/>
      <c r="H333" s="943"/>
      <c r="I333" s="943"/>
      <c r="J333" s="943"/>
      <c r="K333" s="943"/>
      <c r="L333" s="943"/>
      <c r="M333" s="943"/>
      <c r="N333" s="943"/>
      <c r="O333" s="942"/>
      <c r="P333" s="942"/>
      <c r="Q333" s="942"/>
      <c r="R333" s="942"/>
      <c r="S333" s="942"/>
      <c r="T333" s="942"/>
      <c r="U333" s="942"/>
    </row>
    <row r="334" spans="1:24" ht="15.75" customHeight="1">
      <c r="A334" s="942"/>
      <c r="B334" s="942"/>
      <c r="C334" s="943"/>
      <c r="D334" s="943"/>
      <c r="E334" s="943"/>
      <c r="F334" s="943"/>
      <c r="G334" s="943"/>
      <c r="H334" s="943"/>
      <c r="I334" s="943"/>
      <c r="J334" s="943"/>
      <c r="K334" s="943"/>
      <c r="L334" s="943"/>
      <c r="M334" s="943"/>
      <c r="N334" s="943"/>
      <c r="O334" s="942"/>
      <c r="P334" s="942"/>
      <c r="Q334" s="942"/>
      <c r="R334" s="942"/>
      <c r="S334" s="942"/>
      <c r="T334" s="942"/>
      <c r="U334" s="942"/>
    </row>
    <row r="335" spans="1:24" ht="15.75" customHeight="1">
      <c r="A335" s="942"/>
      <c r="B335" s="942"/>
      <c r="C335" s="943"/>
      <c r="D335" s="943"/>
      <c r="E335" s="943"/>
      <c r="F335" s="943"/>
      <c r="G335" s="943"/>
      <c r="H335" s="943"/>
      <c r="I335" s="943"/>
      <c r="J335" s="943"/>
      <c r="K335" s="943"/>
      <c r="L335" s="943"/>
      <c r="M335" s="943"/>
      <c r="N335" s="943"/>
      <c r="O335" s="942"/>
      <c r="P335" s="942"/>
      <c r="Q335" s="942"/>
      <c r="R335" s="942"/>
      <c r="S335" s="942"/>
      <c r="T335" s="942"/>
      <c r="U335" s="942"/>
    </row>
    <row r="336" spans="1:24" ht="15.75" customHeight="1">
      <c r="C336" s="944"/>
      <c r="D336" s="944"/>
      <c r="E336" s="944"/>
      <c r="F336" s="944"/>
      <c r="G336" s="944"/>
      <c r="H336" s="944"/>
      <c r="I336" s="944"/>
      <c r="J336" s="944"/>
      <c r="K336" s="944"/>
      <c r="L336" s="944"/>
      <c r="M336" s="944"/>
      <c r="N336" s="944"/>
    </row>
    <row r="337" spans="3:14" ht="15.75" customHeight="1">
      <c r="C337" s="944"/>
      <c r="D337" s="944"/>
      <c r="E337" s="944"/>
      <c r="F337" s="944"/>
      <c r="G337" s="944"/>
      <c r="H337" s="944"/>
      <c r="I337" s="944"/>
      <c r="J337" s="944"/>
      <c r="K337" s="944"/>
      <c r="L337" s="944"/>
      <c r="M337" s="944"/>
      <c r="N337" s="944"/>
    </row>
    <row r="338" spans="3:14" ht="15.75" customHeight="1">
      <c r="C338" s="944"/>
      <c r="D338" s="944"/>
      <c r="E338" s="944"/>
      <c r="F338" s="944"/>
      <c r="G338" s="944"/>
      <c r="H338" s="944"/>
      <c r="I338" s="944"/>
      <c r="J338" s="944"/>
      <c r="K338" s="944"/>
      <c r="L338" s="944"/>
      <c r="M338" s="944"/>
      <c r="N338" s="944"/>
    </row>
    <row r="339" spans="3:14" ht="15.75" customHeight="1">
      <c r="C339" s="944"/>
      <c r="D339" s="944"/>
      <c r="E339" s="944"/>
      <c r="F339" s="944"/>
      <c r="G339" s="944"/>
      <c r="H339" s="944"/>
      <c r="I339" s="944"/>
      <c r="J339" s="944"/>
      <c r="K339" s="944"/>
      <c r="L339" s="944"/>
      <c r="M339" s="944"/>
      <c r="N339" s="944"/>
    </row>
    <row r="340" spans="3:14" ht="15.75" customHeight="1">
      <c r="C340" s="944"/>
      <c r="D340" s="944"/>
      <c r="E340" s="944"/>
      <c r="F340" s="944"/>
      <c r="G340" s="944"/>
      <c r="H340" s="944"/>
      <c r="I340" s="944"/>
      <c r="J340" s="944"/>
      <c r="K340" s="944"/>
      <c r="L340" s="944"/>
      <c r="M340" s="944"/>
      <c r="N340" s="944"/>
    </row>
    <row r="341" spans="3:14" ht="15.75" customHeight="1">
      <c r="C341" s="944"/>
      <c r="D341" s="944"/>
      <c r="E341" s="944"/>
      <c r="F341" s="944"/>
      <c r="G341" s="944"/>
      <c r="H341" s="944"/>
      <c r="I341" s="944"/>
      <c r="J341" s="944"/>
      <c r="K341" s="944"/>
      <c r="L341" s="944"/>
      <c r="M341" s="944"/>
      <c r="N341" s="944"/>
    </row>
    <row r="342" spans="3:14" ht="15.75" customHeight="1">
      <c r="C342" s="944"/>
      <c r="D342" s="944"/>
      <c r="E342" s="944"/>
      <c r="F342" s="944"/>
      <c r="G342" s="944"/>
      <c r="H342" s="944"/>
      <c r="I342" s="944"/>
      <c r="J342" s="944"/>
      <c r="K342" s="944"/>
      <c r="L342" s="944"/>
      <c r="M342" s="944"/>
      <c r="N342" s="944"/>
    </row>
    <row r="343" spans="3:14" ht="15.75" customHeight="1">
      <c r="C343" s="944"/>
      <c r="D343" s="944"/>
      <c r="E343" s="944"/>
      <c r="F343" s="944"/>
      <c r="G343" s="944"/>
      <c r="H343" s="944"/>
      <c r="I343" s="944"/>
      <c r="J343" s="944"/>
      <c r="K343" s="944"/>
      <c r="L343" s="944"/>
      <c r="M343" s="944"/>
      <c r="N343" s="944"/>
    </row>
    <row r="344" spans="3:14" ht="15.75" customHeight="1">
      <c r="C344" s="944"/>
      <c r="D344" s="944"/>
      <c r="E344" s="944"/>
      <c r="F344" s="944"/>
      <c r="G344" s="944"/>
      <c r="H344" s="944"/>
      <c r="I344" s="944"/>
      <c r="J344" s="944"/>
      <c r="K344" s="944"/>
      <c r="L344" s="944"/>
      <c r="M344" s="944"/>
      <c r="N344" s="944"/>
    </row>
    <row r="345" spans="3:14" ht="15.75" customHeight="1">
      <c r="C345" s="944"/>
      <c r="D345" s="944"/>
      <c r="E345" s="944"/>
      <c r="F345" s="944"/>
      <c r="G345" s="944"/>
      <c r="H345" s="944"/>
      <c r="I345" s="944"/>
      <c r="J345" s="944"/>
      <c r="K345" s="944"/>
      <c r="L345" s="944"/>
      <c r="M345" s="944"/>
      <c r="N345" s="944"/>
    </row>
    <row r="346" spans="3:14" ht="15.75" customHeight="1">
      <c r="C346" s="944"/>
      <c r="D346" s="944"/>
      <c r="E346" s="944"/>
      <c r="F346" s="944"/>
      <c r="G346" s="944"/>
      <c r="H346" s="944"/>
      <c r="I346" s="944"/>
      <c r="J346" s="944"/>
      <c r="K346" s="944"/>
      <c r="L346" s="944"/>
      <c r="M346" s="944"/>
      <c r="N346" s="944"/>
    </row>
    <row r="347" spans="3:14" ht="15.75" customHeight="1">
      <c r="C347" s="944"/>
      <c r="D347" s="944"/>
      <c r="E347" s="944"/>
      <c r="F347" s="944"/>
      <c r="G347" s="944"/>
      <c r="H347" s="944"/>
      <c r="I347" s="944"/>
      <c r="J347" s="944"/>
      <c r="K347" s="944"/>
      <c r="L347" s="944"/>
      <c r="M347" s="944"/>
      <c r="N347" s="944"/>
    </row>
    <row r="348" spans="3:14" ht="15.75" customHeight="1">
      <c r="C348" s="944"/>
      <c r="D348" s="944"/>
      <c r="E348" s="944"/>
      <c r="F348" s="944"/>
      <c r="G348" s="944"/>
      <c r="H348" s="944"/>
      <c r="I348" s="944"/>
      <c r="J348" s="944"/>
      <c r="K348" s="944"/>
      <c r="L348" s="944"/>
      <c r="M348" s="944"/>
      <c r="N348" s="944"/>
    </row>
    <row r="349" spans="3:14" ht="15.75" customHeight="1">
      <c r="C349" s="944"/>
      <c r="D349" s="944"/>
      <c r="E349" s="944"/>
      <c r="F349" s="944"/>
      <c r="G349" s="944"/>
      <c r="H349" s="944"/>
      <c r="I349" s="944"/>
      <c r="J349" s="944"/>
      <c r="K349" s="944"/>
      <c r="L349" s="944"/>
      <c r="M349" s="944"/>
      <c r="N349" s="944"/>
    </row>
    <row r="350" spans="3:14" ht="15.75" customHeight="1">
      <c r="C350" s="944"/>
      <c r="D350" s="944"/>
      <c r="E350" s="944"/>
      <c r="F350" s="944"/>
      <c r="G350" s="944"/>
      <c r="H350" s="944"/>
      <c r="I350" s="944"/>
      <c r="J350" s="944"/>
      <c r="K350" s="944"/>
      <c r="L350" s="944"/>
      <c r="M350" s="944"/>
      <c r="N350" s="944"/>
    </row>
    <row r="351" spans="3:14" ht="15.75" customHeight="1">
      <c r="C351" s="944"/>
      <c r="D351" s="944"/>
      <c r="E351" s="944"/>
      <c r="F351" s="944"/>
      <c r="G351" s="944"/>
      <c r="H351" s="944"/>
      <c r="I351" s="944"/>
      <c r="J351" s="944"/>
      <c r="K351" s="944"/>
      <c r="L351" s="944"/>
      <c r="M351" s="944"/>
      <c r="N351" s="944"/>
    </row>
    <row r="352" spans="3:14" ht="15.75" customHeight="1">
      <c r="C352" s="944"/>
      <c r="D352" s="944"/>
      <c r="E352" s="944"/>
      <c r="F352" s="944"/>
      <c r="G352" s="944"/>
      <c r="H352" s="944"/>
      <c r="I352" s="944"/>
      <c r="J352" s="944"/>
      <c r="K352" s="944"/>
      <c r="L352" s="944"/>
      <c r="M352" s="944"/>
      <c r="N352" s="944"/>
    </row>
    <row r="353" spans="3:14" ht="15.75" customHeight="1">
      <c r="C353" s="944"/>
      <c r="D353" s="944"/>
      <c r="E353" s="944"/>
      <c r="F353" s="944"/>
      <c r="G353" s="944"/>
      <c r="H353" s="944"/>
      <c r="I353" s="944"/>
      <c r="J353" s="944"/>
      <c r="K353" s="944"/>
      <c r="L353" s="944"/>
      <c r="M353" s="944"/>
      <c r="N353" s="944"/>
    </row>
    <row r="354" spans="3:14" ht="15.75" customHeight="1">
      <c r="C354" s="944"/>
      <c r="D354" s="944"/>
      <c r="E354" s="944"/>
      <c r="F354" s="944"/>
      <c r="G354" s="944"/>
      <c r="H354" s="944"/>
      <c r="I354" s="944"/>
      <c r="J354" s="944"/>
      <c r="K354" s="944"/>
      <c r="L354" s="944"/>
      <c r="M354" s="944"/>
      <c r="N354" s="944"/>
    </row>
    <row r="355" spans="3:14" ht="15.75" customHeight="1">
      <c r="C355" s="944"/>
      <c r="D355" s="944"/>
      <c r="E355" s="944"/>
      <c r="F355" s="944"/>
      <c r="G355" s="944"/>
      <c r="H355" s="944"/>
      <c r="I355" s="944"/>
      <c r="J355" s="944"/>
      <c r="K355" s="944"/>
      <c r="L355" s="944"/>
      <c r="M355" s="944"/>
      <c r="N355" s="944"/>
    </row>
    <row r="356" spans="3:14" ht="15.75" customHeight="1">
      <c r="C356" s="944"/>
      <c r="D356" s="944"/>
      <c r="E356" s="944"/>
      <c r="F356" s="944"/>
      <c r="G356" s="944"/>
      <c r="H356" s="944"/>
      <c r="I356" s="944"/>
      <c r="J356" s="944"/>
      <c r="K356" s="944"/>
      <c r="L356" s="944"/>
      <c r="M356" s="944"/>
      <c r="N356" s="944"/>
    </row>
    <row r="357" spans="3:14" ht="15.75" customHeight="1">
      <c r="C357" s="944"/>
      <c r="D357" s="944"/>
      <c r="E357" s="944"/>
      <c r="F357" s="944"/>
      <c r="G357" s="944"/>
      <c r="H357" s="944"/>
      <c r="I357" s="944"/>
      <c r="J357" s="944"/>
      <c r="K357" s="944"/>
      <c r="L357" s="944"/>
      <c r="M357" s="944"/>
      <c r="N357" s="944"/>
    </row>
    <row r="358" spans="3:14" ht="15.75" customHeight="1">
      <c r="C358" s="944"/>
      <c r="D358" s="944"/>
      <c r="E358" s="944"/>
      <c r="F358" s="944"/>
      <c r="G358" s="944"/>
      <c r="H358" s="944"/>
      <c r="I358" s="944"/>
      <c r="J358" s="944"/>
      <c r="K358" s="944"/>
      <c r="L358" s="944"/>
      <c r="M358" s="944"/>
      <c r="N358" s="944"/>
    </row>
    <row r="359" spans="3:14" ht="15.75" customHeight="1">
      <c r="C359" s="944"/>
      <c r="D359" s="944"/>
      <c r="E359" s="944"/>
      <c r="F359" s="944"/>
      <c r="G359" s="944"/>
      <c r="H359" s="944"/>
      <c r="I359" s="944"/>
      <c r="J359" s="944"/>
      <c r="K359" s="944"/>
      <c r="L359" s="944"/>
      <c r="M359" s="944"/>
      <c r="N359" s="944"/>
    </row>
    <row r="360" spans="3:14" ht="15.75" customHeight="1">
      <c r="C360" s="944"/>
      <c r="D360" s="944"/>
      <c r="E360" s="944"/>
      <c r="F360" s="944"/>
      <c r="G360" s="944"/>
      <c r="H360" s="944"/>
      <c r="I360" s="944"/>
      <c r="J360" s="944"/>
      <c r="K360" s="944"/>
      <c r="L360" s="944"/>
      <c r="M360" s="944"/>
      <c r="N360" s="944"/>
    </row>
    <row r="361" spans="3:14" ht="15.75" customHeight="1">
      <c r="C361" s="944"/>
      <c r="D361" s="944"/>
      <c r="E361" s="944"/>
      <c r="F361" s="944"/>
      <c r="G361" s="944"/>
      <c r="H361" s="944"/>
      <c r="I361" s="944"/>
      <c r="J361" s="944"/>
      <c r="K361" s="944"/>
      <c r="L361" s="944"/>
      <c r="M361" s="944"/>
      <c r="N361" s="944"/>
    </row>
    <row r="362" spans="3:14" ht="15.75" customHeight="1">
      <c r="C362" s="944"/>
      <c r="D362" s="944"/>
      <c r="E362" s="944"/>
      <c r="F362" s="944"/>
      <c r="G362" s="944"/>
      <c r="H362" s="944"/>
      <c r="I362" s="944"/>
      <c r="J362" s="944"/>
      <c r="K362" s="944"/>
      <c r="L362" s="944"/>
      <c r="M362" s="944"/>
      <c r="N362" s="944"/>
    </row>
    <row r="363" spans="3:14" ht="14.25" customHeight="1">
      <c r="C363" s="944"/>
      <c r="D363" s="944"/>
      <c r="E363" s="944"/>
      <c r="F363" s="944"/>
      <c r="G363" s="944"/>
      <c r="H363" s="944"/>
      <c r="I363" s="944"/>
      <c r="J363" s="944"/>
      <c r="K363" s="944"/>
      <c r="L363" s="944"/>
      <c r="M363" s="944"/>
      <c r="N363" s="944"/>
    </row>
    <row r="364" spans="3:14" ht="14.25" customHeight="1">
      <c r="C364" s="944"/>
      <c r="D364" s="944"/>
      <c r="E364" s="944"/>
      <c r="F364" s="944"/>
      <c r="G364" s="944"/>
      <c r="H364" s="944"/>
      <c r="I364" s="944"/>
      <c r="J364" s="944"/>
      <c r="K364" s="944"/>
      <c r="L364" s="944"/>
      <c r="M364" s="944"/>
      <c r="N364" s="944"/>
    </row>
    <row r="365" spans="3:14" ht="14.25" customHeight="1">
      <c r="C365" s="944"/>
      <c r="D365" s="944"/>
      <c r="E365" s="944"/>
      <c r="F365" s="944"/>
      <c r="G365" s="944"/>
      <c r="H365" s="944"/>
      <c r="I365" s="944"/>
      <c r="J365" s="944"/>
      <c r="K365" s="944"/>
      <c r="L365" s="944"/>
      <c r="M365" s="944"/>
      <c r="N365" s="944"/>
    </row>
    <row r="366" spans="3:14" ht="14.25" customHeight="1">
      <c r="C366" s="944"/>
      <c r="D366" s="944"/>
      <c r="E366" s="944"/>
      <c r="F366" s="944"/>
      <c r="G366" s="944"/>
      <c r="H366" s="944"/>
      <c r="I366" s="944"/>
      <c r="J366" s="944"/>
      <c r="K366" s="944"/>
      <c r="L366" s="944"/>
      <c r="M366" s="944"/>
      <c r="N366" s="944"/>
    </row>
    <row r="367" spans="3:14" ht="14.25" customHeight="1">
      <c r="C367" s="944"/>
      <c r="D367" s="944"/>
      <c r="E367" s="944"/>
      <c r="F367" s="944"/>
      <c r="G367" s="944"/>
      <c r="H367" s="944"/>
      <c r="I367" s="944"/>
      <c r="J367" s="944"/>
      <c r="K367" s="944"/>
      <c r="L367" s="944"/>
      <c r="M367" s="944"/>
      <c r="N367" s="944"/>
    </row>
    <row r="368" spans="3:14" ht="14.25" customHeight="1">
      <c r="C368" s="944"/>
      <c r="D368" s="944"/>
      <c r="E368" s="944"/>
      <c r="F368" s="944"/>
      <c r="G368" s="944"/>
      <c r="H368" s="944"/>
      <c r="I368" s="944"/>
      <c r="J368" s="944"/>
      <c r="K368" s="944"/>
      <c r="L368" s="944"/>
      <c r="M368" s="944"/>
      <c r="N368" s="944"/>
    </row>
    <row r="369" spans="3:14" ht="14.25" customHeight="1">
      <c r="C369" s="944"/>
      <c r="D369" s="944"/>
      <c r="E369" s="944"/>
      <c r="F369" s="944"/>
      <c r="G369" s="944"/>
      <c r="H369" s="944"/>
      <c r="I369" s="944"/>
      <c r="J369" s="944"/>
      <c r="K369" s="944"/>
      <c r="L369" s="944"/>
      <c r="M369" s="944"/>
      <c r="N369" s="944"/>
    </row>
    <row r="370" spans="3:14" ht="14.25" customHeight="1">
      <c r="C370" s="944"/>
      <c r="D370" s="944"/>
      <c r="E370" s="944"/>
      <c r="F370" s="944"/>
      <c r="G370" s="944"/>
      <c r="H370" s="944"/>
      <c r="I370" s="944"/>
      <c r="J370" s="944"/>
      <c r="K370" s="944"/>
      <c r="L370" s="944"/>
      <c r="M370" s="944"/>
      <c r="N370" s="944"/>
    </row>
    <row r="371" spans="3:14" ht="14.25" customHeight="1">
      <c r="C371" s="944"/>
      <c r="D371" s="944"/>
      <c r="E371" s="944"/>
      <c r="F371" s="944"/>
      <c r="G371" s="944"/>
      <c r="H371" s="944"/>
      <c r="I371" s="944"/>
      <c r="J371" s="944"/>
      <c r="K371" s="944"/>
      <c r="L371" s="944"/>
      <c r="M371" s="944"/>
      <c r="N371" s="944"/>
    </row>
    <row r="372" spans="3:14" ht="14.25" customHeight="1">
      <c r="C372" s="944"/>
      <c r="D372" s="944"/>
      <c r="E372" s="944"/>
      <c r="F372" s="944"/>
      <c r="G372" s="944"/>
      <c r="H372" s="944"/>
      <c r="I372" s="944"/>
      <c r="J372" s="944"/>
      <c r="K372" s="944"/>
      <c r="L372" s="944"/>
      <c r="M372" s="944"/>
      <c r="N372" s="944"/>
    </row>
    <row r="373" spans="3:14" ht="14.25" customHeight="1">
      <c r="C373" s="944"/>
      <c r="D373" s="944"/>
      <c r="E373" s="944"/>
      <c r="F373" s="944"/>
      <c r="G373" s="944"/>
      <c r="H373" s="944"/>
      <c r="I373" s="944"/>
      <c r="J373" s="944"/>
      <c r="K373" s="944"/>
      <c r="L373" s="944"/>
      <c r="M373" s="944"/>
      <c r="N373" s="944"/>
    </row>
    <row r="374" spans="3:14" ht="14.25" customHeight="1">
      <c r="C374" s="944"/>
      <c r="D374" s="944"/>
      <c r="E374" s="944"/>
      <c r="F374" s="944"/>
      <c r="G374" s="944"/>
      <c r="H374" s="944"/>
      <c r="I374" s="944"/>
      <c r="J374" s="944"/>
      <c r="K374" s="944"/>
      <c r="L374" s="944"/>
      <c r="M374" s="944"/>
      <c r="N374" s="944"/>
    </row>
    <row r="375" spans="3:14" ht="14.25" customHeight="1">
      <c r="C375" s="944"/>
      <c r="D375" s="944"/>
      <c r="E375" s="944"/>
      <c r="F375" s="944"/>
      <c r="G375" s="944"/>
      <c r="H375" s="944"/>
      <c r="I375" s="944"/>
      <c r="J375" s="944"/>
      <c r="K375" s="944"/>
      <c r="L375" s="944"/>
      <c r="M375" s="944"/>
      <c r="N375" s="944"/>
    </row>
    <row r="376" spans="3:14" ht="14.25" customHeight="1">
      <c r="C376" s="944"/>
      <c r="D376" s="944"/>
      <c r="E376" s="944"/>
      <c r="F376" s="944"/>
      <c r="G376" s="944"/>
      <c r="H376" s="944"/>
      <c r="I376" s="944"/>
      <c r="J376" s="944"/>
      <c r="K376" s="944"/>
      <c r="L376" s="944"/>
      <c r="M376" s="944"/>
      <c r="N376" s="944"/>
    </row>
    <row r="377" spans="3:14" ht="14.25" customHeight="1">
      <c r="C377" s="944"/>
      <c r="D377" s="944"/>
      <c r="E377" s="944"/>
      <c r="F377" s="944"/>
      <c r="G377" s="944"/>
      <c r="H377" s="944"/>
      <c r="I377" s="944"/>
      <c r="J377" s="944"/>
      <c r="K377" s="944"/>
      <c r="L377" s="944"/>
      <c r="M377" s="944"/>
      <c r="N377" s="944"/>
    </row>
    <row r="378" spans="3:14" ht="14.25" customHeight="1">
      <c r="C378" s="944"/>
      <c r="D378" s="944"/>
      <c r="E378" s="944"/>
      <c r="F378" s="944"/>
      <c r="G378" s="944"/>
      <c r="H378" s="944"/>
      <c r="I378" s="944"/>
      <c r="J378" s="944"/>
      <c r="K378" s="944"/>
      <c r="L378" s="944"/>
      <c r="M378" s="944"/>
      <c r="N378" s="944"/>
    </row>
    <row r="379" spans="3:14" ht="14.25" customHeight="1">
      <c r="C379" s="944"/>
      <c r="D379" s="944"/>
      <c r="E379" s="944"/>
      <c r="F379" s="944"/>
      <c r="G379" s="944"/>
      <c r="H379" s="944"/>
      <c r="I379" s="944"/>
      <c r="J379" s="944"/>
      <c r="K379" s="944"/>
      <c r="L379" s="944"/>
      <c r="M379" s="944"/>
      <c r="N379" s="944"/>
    </row>
    <row r="380" spans="3:14" ht="14.25" customHeight="1">
      <c r="C380" s="944"/>
      <c r="D380" s="944"/>
      <c r="E380" s="944"/>
      <c r="F380" s="944"/>
      <c r="G380" s="944"/>
      <c r="H380" s="944"/>
      <c r="I380" s="944"/>
      <c r="J380" s="944"/>
      <c r="K380" s="944"/>
      <c r="L380" s="944"/>
      <c r="M380" s="944"/>
      <c r="N380" s="944"/>
    </row>
    <row r="381" spans="3:14" ht="14.25" customHeight="1">
      <c r="C381" s="944"/>
      <c r="D381" s="944"/>
      <c r="E381" s="944"/>
      <c r="F381" s="944"/>
      <c r="G381" s="944"/>
      <c r="H381" s="944"/>
      <c r="I381" s="944"/>
      <c r="J381" s="944"/>
      <c r="K381" s="944"/>
      <c r="L381" s="944"/>
      <c r="M381" s="944"/>
      <c r="N381" s="944"/>
    </row>
    <row r="382" spans="3:14" ht="14.25" customHeight="1">
      <c r="C382" s="944"/>
      <c r="D382" s="944"/>
      <c r="E382" s="944"/>
      <c r="F382" s="944"/>
      <c r="G382" s="944"/>
      <c r="H382" s="944"/>
      <c r="I382" s="944"/>
      <c r="J382" s="944"/>
      <c r="K382" s="944"/>
      <c r="L382" s="944"/>
      <c r="M382" s="944"/>
      <c r="N382" s="944"/>
    </row>
    <row r="383" spans="3:14" ht="14.25" customHeight="1">
      <c r="C383" s="944"/>
      <c r="D383" s="944"/>
      <c r="E383" s="944"/>
      <c r="F383" s="944"/>
      <c r="G383" s="944"/>
      <c r="H383" s="944"/>
      <c r="I383" s="944"/>
      <c r="J383" s="944"/>
      <c r="K383" s="944"/>
      <c r="L383" s="944"/>
      <c r="M383" s="944"/>
      <c r="N383" s="944"/>
    </row>
    <row r="384" spans="3:14" ht="14.25" customHeight="1">
      <c r="C384" s="944"/>
      <c r="D384" s="944"/>
      <c r="E384" s="944"/>
      <c r="F384" s="944"/>
      <c r="G384" s="944"/>
      <c r="H384" s="944"/>
      <c r="I384" s="944"/>
      <c r="J384" s="944"/>
      <c r="K384" s="944"/>
      <c r="L384" s="944"/>
      <c r="M384" s="944"/>
      <c r="N384" s="944"/>
    </row>
    <row r="385" spans="3:14" ht="14.25" customHeight="1">
      <c r="C385" s="944"/>
      <c r="D385" s="944"/>
      <c r="E385" s="944"/>
      <c r="F385" s="944"/>
      <c r="G385" s="944"/>
      <c r="H385" s="944"/>
      <c r="I385" s="944"/>
      <c r="J385" s="944"/>
      <c r="K385" s="944"/>
      <c r="L385" s="944"/>
      <c r="M385" s="944"/>
      <c r="N385" s="944"/>
    </row>
    <row r="386" spans="3:14" ht="14.25" customHeight="1">
      <c r="C386" s="944"/>
      <c r="D386" s="944"/>
      <c r="E386" s="944"/>
      <c r="F386" s="944"/>
      <c r="G386" s="944"/>
      <c r="H386" s="944"/>
      <c r="I386" s="944"/>
      <c r="J386" s="944"/>
      <c r="K386" s="944"/>
      <c r="L386" s="944"/>
      <c r="M386" s="944"/>
      <c r="N386" s="944"/>
    </row>
    <row r="387" spans="3:14" ht="14.25" customHeight="1">
      <c r="C387" s="944"/>
      <c r="D387" s="944"/>
      <c r="E387" s="944"/>
      <c r="F387" s="944"/>
      <c r="G387" s="944"/>
      <c r="H387" s="944"/>
      <c r="I387" s="944"/>
      <c r="J387" s="944"/>
      <c r="K387" s="944"/>
      <c r="L387" s="944"/>
      <c r="M387" s="944"/>
      <c r="N387" s="944"/>
    </row>
    <row r="388" spans="3:14" ht="14.25" customHeight="1">
      <c r="C388" s="944"/>
      <c r="D388" s="944"/>
      <c r="E388" s="944"/>
      <c r="F388" s="944"/>
      <c r="G388" s="944"/>
      <c r="H388" s="944"/>
      <c r="I388" s="944"/>
      <c r="J388" s="944"/>
      <c r="K388" s="944"/>
      <c r="L388" s="944"/>
      <c r="M388" s="944"/>
      <c r="N388" s="944"/>
    </row>
    <row r="389" spans="3:14" ht="14.25" customHeight="1">
      <c r="C389" s="944"/>
      <c r="D389" s="944"/>
      <c r="E389" s="944"/>
      <c r="F389" s="944"/>
      <c r="G389" s="944"/>
      <c r="H389" s="944"/>
      <c r="I389" s="944"/>
      <c r="J389" s="944"/>
      <c r="K389" s="944"/>
      <c r="L389" s="944"/>
      <c r="M389" s="944"/>
      <c r="N389" s="944"/>
    </row>
    <row r="390" spans="3:14" ht="14.25" customHeight="1">
      <c r="C390" s="944"/>
      <c r="D390" s="944"/>
      <c r="E390" s="944"/>
      <c r="F390" s="944"/>
      <c r="G390" s="944"/>
      <c r="H390" s="944"/>
      <c r="I390" s="944"/>
      <c r="J390" s="944"/>
      <c r="K390" s="944"/>
      <c r="L390" s="944"/>
      <c r="M390" s="944"/>
      <c r="N390" s="944"/>
    </row>
    <row r="391" spans="3:14" ht="14.25" customHeight="1">
      <c r="C391" s="944"/>
      <c r="D391" s="944"/>
      <c r="E391" s="944"/>
      <c r="F391" s="944"/>
      <c r="G391" s="944"/>
      <c r="H391" s="944"/>
      <c r="I391" s="944"/>
      <c r="J391" s="944"/>
      <c r="K391" s="944"/>
      <c r="L391" s="944"/>
      <c r="M391" s="944"/>
      <c r="N391" s="944"/>
    </row>
    <row r="392" spans="3:14" ht="14.25" customHeight="1">
      <c r="C392" s="944"/>
      <c r="D392" s="944"/>
      <c r="E392" s="944"/>
      <c r="F392" s="944"/>
      <c r="G392" s="944"/>
      <c r="H392" s="944"/>
      <c r="I392" s="944"/>
      <c r="J392" s="944"/>
      <c r="K392" s="944"/>
      <c r="L392" s="944"/>
      <c r="M392" s="944"/>
      <c r="N392" s="944"/>
    </row>
    <row r="393" spans="3:14" ht="14.25" customHeight="1">
      <c r="C393" s="944"/>
      <c r="D393" s="944"/>
      <c r="E393" s="944"/>
      <c r="F393" s="944"/>
      <c r="G393" s="944"/>
      <c r="H393" s="944"/>
      <c r="I393" s="944"/>
      <c r="J393" s="944"/>
      <c r="K393" s="944"/>
      <c r="L393" s="944"/>
      <c r="M393" s="944"/>
      <c r="N393" s="944"/>
    </row>
    <row r="394" spans="3:14" ht="14.25" customHeight="1">
      <c r="C394" s="944"/>
      <c r="D394" s="944"/>
      <c r="E394" s="944"/>
      <c r="F394" s="944"/>
      <c r="G394" s="944"/>
      <c r="H394" s="944"/>
      <c r="I394" s="944"/>
      <c r="J394" s="944"/>
      <c r="K394" s="944"/>
      <c r="L394" s="944"/>
      <c r="M394" s="944"/>
      <c r="N394" s="944"/>
    </row>
    <row r="395" spans="3:14" ht="14.25" customHeight="1">
      <c r="C395" s="944"/>
      <c r="D395" s="944"/>
      <c r="E395" s="944"/>
      <c r="F395" s="944"/>
      <c r="G395" s="944"/>
      <c r="H395" s="944"/>
      <c r="I395" s="944"/>
      <c r="J395" s="944"/>
      <c r="K395" s="944"/>
      <c r="L395" s="944"/>
      <c r="M395" s="944"/>
      <c r="N395" s="944"/>
    </row>
    <row r="396" spans="3:14" ht="14.25" customHeight="1">
      <c r="C396" s="944"/>
      <c r="D396" s="944"/>
      <c r="E396" s="944"/>
      <c r="F396" s="944"/>
      <c r="G396" s="944"/>
      <c r="H396" s="944"/>
      <c r="I396" s="944"/>
      <c r="J396" s="944"/>
      <c r="K396" s="944"/>
      <c r="L396" s="944"/>
      <c r="M396" s="944"/>
      <c r="N396" s="944"/>
    </row>
    <row r="397" spans="3:14" ht="14.25" customHeight="1">
      <c r="C397" s="944"/>
      <c r="D397" s="944"/>
      <c r="E397" s="944"/>
      <c r="F397" s="944"/>
      <c r="G397" s="944"/>
      <c r="H397" s="944"/>
      <c r="I397" s="944"/>
      <c r="J397" s="944"/>
      <c r="K397" s="944"/>
      <c r="L397" s="944"/>
      <c r="M397" s="944"/>
      <c r="N397" s="944"/>
    </row>
    <row r="398" spans="3:14" ht="14.25" customHeight="1">
      <c r="C398" s="944"/>
      <c r="D398" s="944"/>
      <c r="E398" s="944"/>
      <c r="F398" s="944"/>
      <c r="G398" s="944"/>
      <c r="H398" s="944"/>
      <c r="I398" s="944"/>
      <c r="J398" s="944"/>
      <c r="K398" s="944"/>
      <c r="L398" s="944"/>
      <c r="M398" s="944"/>
      <c r="N398" s="944"/>
    </row>
    <row r="399" spans="3:14" ht="14.25" customHeight="1">
      <c r="C399" s="944"/>
      <c r="D399" s="944"/>
      <c r="E399" s="944"/>
      <c r="F399" s="944"/>
      <c r="G399" s="944"/>
      <c r="H399" s="944"/>
      <c r="I399" s="944"/>
      <c r="J399" s="944"/>
      <c r="K399" s="944"/>
      <c r="L399" s="944"/>
      <c r="M399" s="944"/>
      <c r="N399" s="944"/>
    </row>
    <row r="400" spans="3:14" ht="14.25" customHeight="1">
      <c r="C400" s="944"/>
      <c r="D400" s="944"/>
      <c r="E400" s="944"/>
      <c r="F400" s="944"/>
      <c r="G400" s="944"/>
      <c r="H400" s="944"/>
      <c r="I400" s="944"/>
      <c r="J400" s="944"/>
      <c r="K400" s="944"/>
      <c r="L400" s="944"/>
      <c r="M400" s="944"/>
      <c r="N400" s="944"/>
    </row>
    <row r="401" spans="3:14" ht="14.25" customHeight="1">
      <c r="C401" s="944"/>
      <c r="D401" s="944"/>
      <c r="E401" s="944"/>
      <c r="F401" s="944"/>
      <c r="G401" s="944"/>
      <c r="H401" s="944"/>
      <c r="I401" s="944"/>
      <c r="J401" s="944"/>
      <c r="K401" s="944"/>
      <c r="L401" s="944"/>
      <c r="M401" s="944"/>
      <c r="N401" s="944"/>
    </row>
    <row r="402" spans="3:14" ht="14.25" customHeight="1">
      <c r="C402" s="944"/>
      <c r="D402" s="944"/>
      <c r="E402" s="944"/>
      <c r="F402" s="944"/>
      <c r="G402" s="944"/>
      <c r="H402" s="944"/>
      <c r="I402" s="944"/>
      <c r="J402" s="944"/>
      <c r="K402" s="944"/>
      <c r="L402" s="944"/>
      <c r="M402" s="944"/>
      <c r="N402" s="944"/>
    </row>
    <row r="403" spans="3:14" ht="14.25" customHeight="1">
      <c r="C403" s="944"/>
      <c r="D403" s="944"/>
      <c r="E403" s="944"/>
      <c r="F403" s="944"/>
      <c r="G403" s="944"/>
      <c r="H403" s="944"/>
      <c r="I403" s="944"/>
      <c r="J403" s="944"/>
      <c r="K403" s="944"/>
      <c r="L403" s="944"/>
      <c r="M403" s="944"/>
      <c r="N403" s="944"/>
    </row>
    <row r="404" spans="3:14" ht="14.25" customHeight="1">
      <c r="C404" s="944"/>
      <c r="D404" s="944"/>
      <c r="E404" s="944"/>
      <c r="F404" s="944"/>
      <c r="G404" s="944"/>
      <c r="H404" s="944"/>
      <c r="I404" s="944"/>
      <c r="J404" s="944"/>
      <c r="K404" s="944"/>
      <c r="L404" s="944"/>
      <c r="M404" s="944"/>
      <c r="N404" s="944"/>
    </row>
    <row r="405" spans="3:14" ht="14.25" customHeight="1">
      <c r="C405" s="944"/>
      <c r="D405" s="944"/>
      <c r="E405" s="944"/>
      <c r="F405" s="944"/>
      <c r="G405" s="944"/>
      <c r="H405" s="944"/>
      <c r="I405" s="944"/>
      <c r="J405" s="944"/>
      <c r="K405" s="944"/>
      <c r="L405" s="944"/>
      <c r="M405" s="944"/>
      <c r="N405" s="944"/>
    </row>
    <row r="406" spans="3:14" ht="14.25" customHeight="1">
      <c r="C406" s="944"/>
      <c r="D406" s="944"/>
      <c r="E406" s="944"/>
      <c r="F406" s="944"/>
      <c r="G406" s="944"/>
      <c r="H406" s="944"/>
      <c r="I406" s="944"/>
      <c r="J406" s="944"/>
      <c r="K406" s="944"/>
      <c r="L406" s="944"/>
      <c r="M406" s="944"/>
      <c r="N406" s="944"/>
    </row>
    <row r="407" spans="3:14" ht="14.25" customHeight="1">
      <c r="C407" s="944"/>
      <c r="D407" s="944"/>
      <c r="E407" s="944"/>
      <c r="F407" s="944"/>
      <c r="G407" s="944"/>
      <c r="H407" s="944"/>
      <c r="I407" s="944"/>
      <c r="J407" s="944"/>
      <c r="K407" s="944"/>
      <c r="L407" s="944"/>
      <c r="M407" s="944"/>
      <c r="N407" s="944"/>
    </row>
    <row r="408" spans="3:14" ht="14.25" customHeight="1">
      <c r="C408" s="944"/>
      <c r="D408" s="944"/>
      <c r="E408" s="944"/>
      <c r="F408" s="944"/>
      <c r="G408" s="944"/>
      <c r="H408" s="944"/>
      <c r="I408" s="944"/>
      <c r="J408" s="944"/>
      <c r="K408" s="944"/>
      <c r="L408" s="944"/>
      <c r="M408" s="944"/>
      <c r="N408" s="944"/>
    </row>
    <row r="409" spans="3:14" ht="14.25" customHeight="1">
      <c r="C409" s="944"/>
      <c r="D409" s="944"/>
      <c r="E409" s="944"/>
      <c r="F409" s="944"/>
      <c r="G409" s="944"/>
      <c r="H409" s="944"/>
      <c r="I409" s="944"/>
      <c r="J409" s="944"/>
      <c r="K409" s="944"/>
      <c r="L409" s="944"/>
      <c r="M409" s="944"/>
      <c r="N409" s="944"/>
    </row>
    <row r="410" spans="3:14" ht="14.25" customHeight="1">
      <c r="C410" s="944"/>
      <c r="D410" s="944"/>
      <c r="E410" s="944"/>
      <c r="F410" s="944"/>
      <c r="G410" s="944"/>
      <c r="H410" s="944"/>
      <c r="I410" s="944"/>
      <c r="J410" s="944"/>
      <c r="K410" s="944"/>
      <c r="L410" s="944"/>
      <c r="M410" s="944"/>
      <c r="N410" s="944"/>
    </row>
    <row r="411" spans="3:14" ht="14.25" customHeight="1">
      <c r="C411" s="944"/>
      <c r="D411" s="944"/>
      <c r="E411" s="944"/>
      <c r="F411" s="944"/>
      <c r="G411" s="944"/>
      <c r="H411" s="944"/>
      <c r="I411" s="944"/>
      <c r="J411" s="944"/>
      <c r="K411" s="944"/>
      <c r="L411" s="944"/>
      <c r="M411" s="944"/>
      <c r="N411" s="944"/>
    </row>
    <row r="412" spans="3:14" ht="14.25" customHeight="1">
      <c r="C412" s="944"/>
      <c r="D412" s="944"/>
      <c r="E412" s="944"/>
      <c r="F412" s="944"/>
      <c r="G412" s="944"/>
      <c r="H412" s="944"/>
      <c r="I412" s="944"/>
      <c r="J412" s="944"/>
      <c r="K412" s="944"/>
      <c r="L412" s="944"/>
      <c r="M412" s="944"/>
      <c r="N412" s="944"/>
    </row>
    <row r="413" spans="3:14" ht="14.25" customHeight="1">
      <c r="C413" s="944"/>
      <c r="D413" s="944"/>
      <c r="E413" s="944"/>
      <c r="F413" s="944"/>
      <c r="G413" s="944"/>
      <c r="H413" s="944"/>
      <c r="I413" s="944"/>
      <c r="J413" s="944"/>
      <c r="K413" s="944"/>
      <c r="L413" s="944"/>
      <c r="M413" s="944"/>
      <c r="N413" s="944"/>
    </row>
    <row r="414" spans="3:14" ht="14.25" customHeight="1">
      <c r="C414" s="944"/>
      <c r="D414" s="944"/>
      <c r="E414" s="944"/>
      <c r="F414" s="944"/>
      <c r="G414" s="944"/>
      <c r="H414" s="944"/>
      <c r="I414" s="944"/>
      <c r="J414" s="944"/>
      <c r="K414" s="944"/>
      <c r="L414" s="944"/>
      <c r="M414" s="944"/>
      <c r="N414" s="944"/>
    </row>
    <row r="415" spans="3:14" ht="14.25" customHeight="1">
      <c r="C415" s="944"/>
      <c r="D415" s="944"/>
      <c r="E415" s="944"/>
      <c r="F415" s="944"/>
      <c r="G415" s="944"/>
      <c r="H415" s="944"/>
      <c r="I415" s="944"/>
      <c r="J415" s="944"/>
      <c r="K415" s="944"/>
      <c r="L415" s="944"/>
      <c r="M415" s="944"/>
      <c r="N415" s="944"/>
    </row>
    <row r="416" spans="3:14" ht="14.25" customHeight="1">
      <c r="C416" s="944"/>
      <c r="D416" s="944"/>
      <c r="E416" s="944"/>
      <c r="F416" s="944"/>
      <c r="G416" s="944"/>
      <c r="H416" s="944"/>
      <c r="I416" s="944"/>
      <c r="J416" s="944"/>
      <c r="K416" s="944"/>
      <c r="L416" s="944"/>
      <c r="M416" s="944"/>
      <c r="N416" s="944"/>
    </row>
    <row r="417" spans="3:14" ht="14.25" customHeight="1">
      <c r="C417" s="944"/>
      <c r="D417" s="944"/>
      <c r="E417" s="944"/>
      <c r="F417" s="944"/>
      <c r="G417" s="944"/>
      <c r="H417" s="944"/>
      <c r="I417" s="944"/>
      <c r="J417" s="944"/>
      <c r="K417" s="944"/>
      <c r="L417" s="944"/>
      <c r="M417" s="944"/>
      <c r="N417" s="944"/>
    </row>
    <row r="418" spans="3:14" ht="14.25" customHeight="1">
      <c r="C418" s="944"/>
      <c r="D418" s="944"/>
      <c r="E418" s="944"/>
      <c r="F418" s="944"/>
      <c r="G418" s="944"/>
      <c r="H418" s="944"/>
      <c r="I418" s="944"/>
      <c r="J418" s="944"/>
      <c r="K418" s="944"/>
      <c r="L418" s="944"/>
      <c r="M418" s="944"/>
      <c r="N418" s="944"/>
    </row>
    <row r="419" spans="3:14" ht="14.25" customHeight="1">
      <c r="C419" s="944"/>
      <c r="D419" s="944"/>
      <c r="E419" s="944"/>
      <c r="F419" s="944"/>
      <c r="G419" s="944"/>
      <c r="H419" s="944"/>
      <c r="I419" s="944"/>
      <c r="J419" s="944"/>
      <c r="K419" s="944"/>
      <c r="L419" s="944"/>
      <c r="M419" s="944"/>
      <c r="N419" s="944"/>
    </row>
    <row r="420" spans="3:14" ht="14.25" customHeight="1">
      <c r="C420" s="944"/>
      <c r="D420" s="944"/>
      <c r="E420" s="944"/>
      <c r="F420" s="944"/>
      <c r="G420" s="944"/>
      <c r="H420" s="944"/>
      <c r="I420" s="944"/>
      <c r="J420" s="944"/>
      <c r="K420" s="944"/>
      <c r="L420" s="944"/>
      <c r="M420" s="944"/>
      <c r="N420" s="944"/>
    </row>
    <row r="421" spans="3:14" ht="14.25" customHeight="1">
      <c r="C421" s="944"/>
      <c r="D421" s="944"/>
      <c r="E421" s="944"/>
      <c r="F421" s="944"/>
      <c r="G421" s="944"/>
      <c r="H421" s="944"/>
      <c r="I421" s="944"/>
      <c r="J421" s="944"/>
      <c r="K421" s="944"/>
      <c r="L421" s="944"/>
      <c r="M421" s="944"/>
      <c r="N421" s="944"/>
    </row>
    <row r="422" spans="3:14" ht="14.25" customHeight="1">
      <c r="C422" s="944"/>
      <c r="D422" s="944"/>
      <c r="E422" s="944"/>
      <c r="F422" s="944"/>
      <c r="G422" s="944"/>
      <c r="H422" s="944"/>
      <c r="I422" s="944"/>
      <c r="J422" s="944"/>
      <c r="K422" s="944"/>
      <c r="L422" s="944"/>
      <c r="M422" s="944"/>
      <c r="N422" s="944"/>
    </row>
    <row r="423" spans="3:14" ht="14.25" customHeight="1">
      <c r="C423" s="944"/>
      <c r="D423" s="944"/>
      <c r="E423" s="944"/>
      <c r="F423" s="944"/>
      <c r="G423" s="944"/>
      <c r="H423" s="944"/>
      <c r="I423" s="944"/>
      <c r="J423" s="944"/>
      <c r="K423" s="944"/>
      <c r="L423" s="944"/>
      <c r="M423" s="944"/>
      <c r="N423" s="944"/>
    </row>
    <row r="424" spans="3:14" ht="14.25" customHeight="1">
      <c r="C424" s="944"/>
      <c r="D424" s="944"/>
      <c r="E424" s="944"/>
      <c r="F424" s="944"/>
      <c r="G424" s="944"/>
      <c r="H424" s="944"/>
      <c r="I424" s="944"/>
      <c r="J424" s="944"/>
      <c r="K424" s="944"/>
      <c r="L424" s="944"/>
      <c r="M424" s="944"/>
      <c r="N424" s="944"/>
    </row>
    <row r="425" spans="3:14" ht="14.25" customHeight="1">
      <c r="C425" s="944"/>
      <c r="D425" s="944"/>
      <c r="E425" s="944"/>
      <c r="F425" s="944"/>
      <c r="G425" s="944"/>
      <c r="H425" s="944"/>
      <c r="I425" s="944"/>
      <c r="J425" s="944"/>
      <c r="K425" s="944"/>
      <c r="L425" s="944"/>
      <c r="M425" s="944"/>
      <c r="N425" s="944"/>
    </row>
    <row r="426" spans="3:14" ht="14.25" customHeight="1">
      <c r="C426" s="944"/>
      <c r="D426" s="944"/>
      <c r="E426" s="944"/>
      <c r="F426" s="944"/>
      <c r="G426" s="944"/>
      <c r="H426" s="944"/>
      <c r="I426" s="944"/>
      <c r="J426" s="944"/>
      <c r="K426" s="944"/>
      <c r="L426" s="944"/>
      <c r="M426" s="944"/>
      <c r="N426" s="944"/>
    </row>
    <row r="427" spans="3:14" ht="14.25" customHeight="1">
      <c r="C427" s="944"/>
      <c r="D427" s="944"/>
      <c r="E427" s="944"/>
      <c r="F427" s="944"/>
      <c r="G427" s="944"/>
      <c r="H427" s="944"/>
      <c r="I427" s="944"/>
      <c r="J427" s="944"/>
      <c r="K427" s="944"/>
      <c r="L427" s="944"/>
      <c r="M427" s="944"/>
      <c r="N427" s="944"/>
    </row>
    <row r="428" spans="3:14" ht="14.25" customHeight="1">
      <c r="C428" s="944"/>
      <c r="D428" s="944"/>
      <c r="E428" s="944"/>
      <c r="F428" s="944"/>
      <c r="G428" s="944"/>
      <c r="H428" s="944"/>
      <c r="I428" s="944"/>
      <c r="J428" s="944"/>
      <c r="K428" s="944"/>
      <c r="L428" s="944"/>
      <c r="M428" s="944"/>
      <c r="N428" s="944"/>
    </row>
    <row r="429" spans="3:14" ht="14.25" customHeight="1">
      <c r="C429" s="944"/>
      <c r="D429" s="944"/>
      <c r="E429" s="944"/>
      <c r="F429" s="944"/>
      <c r="G429" s="944"/>
      <c r="H429" s="944"/>
      <c r="I429" s="944"/>
      <c r="J429" s="944"/>
      <c r="K429" s="944"/>
      <c r="L429" s="944"/>
      <c r="M429" s="944"/>
      <c r="N429" s="944"/>
    </row>
    <row r="430" spans="3:14" ht="14.25" customHeight="1">
      <c r="C430" s="944"/>
      <c r="D430" s="944"/>
      <c r="E430" s="944"/>
      <c r="F430" s="944"/>
      <c r="G430" s="944"/>
      <c r="H430" s="944"/>
      <c r="I430" s="944"/>
      <c r="J430" s="944"/>
      <c r="K430" s="944"/>
      <c r="L430" s="944"/>
      <c r="M430" s="944"/>
      <c r="N430" s="944"/>
    </row>
    <row r="431" spans="3:14" ht="14.25" customHeight="1">
      <c r="C431" s="944"/>
      <c r="D431" s="944"/>
      <c r="E431" s="944"/>
      <c r="F431" s="944"/>
      <c r="G431" s="944"/>
      <c r="H431" s="944"/>
      <c r="I431" s="944"/>
      <c r="J431" s="944"/>
      <c r="K431" s="944"/>
      <c r="L431" s="944"/>
      <c r="M431" s="944"/>
      <c r="N431" s="944"/>
    </row>
    <row r="432" spans="3:14" ht="14.25" customHeight="1">
      <c r="C432" s="944"/>
      <c r="D432" s="944"/>
      <c r="E432" s="944"/>
      <c r="F432" s="944"/>
      <c r="G432" s="944"/>
      <c r="H432" s="944"/>
      <c r="I432" s="944"/>
      <c r="J432" s="944"/>
      <c r="K432" s="944"/>
      <c r="L432" s="944"/>
      <c r="M432" s="944"/>
      <c r="N432" s="944"/>
    </row>
    <row r="433" spans="3:14" ht="14.25" customHeight="1">
      <c r="C433" s="944"/>
      <c r="D433" s="944"/>
      <c r="E433" s="944"/>
      <c r="F433" s="944"/>
      <c r="G433" s="944"/>
      <c r="H433" s="944"/>
      <c r="I433" s="944"/>
      <c r="J433" s="944"/>
      <c r="K433" s="944"/>
      <c r="L433" s="944"/>
      <c r="M433" s="944"/>
      <c r="N433" s="944"/>
    </row>
    <row r="434" spans="3:14" ht="14.25" customHeight="1">
      <c r="C434" s="944"/>
      <c r="D434" s="944"/>
      <c r="E434" s="944"/>
      <c r="F434" s="944"/>
      <c r="G434" s="944"/>
      <c r="H434" s="944"/>
      <c r="I434" s="944"/>
      <c r="J434" s="944"/>
      <c r="K434" s="944"/>
      <c r="L434" s="944"/>
      <c r="M434" s="944"/>
      <c r="N434" s="944"/>
    </row>
    <row r="435" spans="3:14" ht="14.25" customHeight="1">
      <c r="C435" s="944"/>
      <c r="D435" s="944"/>
      <c r="E435" s="944"/>
      <c r="F435" s="944"/>
      <c r="G435" s="944"/>
      <c r="H435" s="944"/>
      <c r="I435" s="944"/>
      <c r="J435" s="944"/>
      <c r="K435" s="944"/>
      <c r="L435" s="944"/>
      <c r="M435" s="944"/>
      <c r="N435" s="944"/>
    </row>
    <row r="436" spans="3:14" ht="14.25" customHeight="1">
      <c r="C436" s="944"/>
      <c r="D436" s="944"/>
      <c r="E436" s="944"/>
      <c r="F436" s="944"/>
      <c r="G436" s="944"/>
      <c r="H436" s="944"/>
      <c r="I436" s="944"/>
      <c r="J436" s="944"/>
      <c r="K436" s="944"/>
      <c r="L436" s="944"/>
      <c r="M436" s="944"/>
      <c r="N436" s="944"/>
    </row>
    <row r="437" spans="3:14" ht="14.25" customHeight="1">
      <c r="C437" s="944"/>
      <c r="D437" s="944"/>
      <c r="E437" s="944"/>
      <c r="F437" s="944"/>
      <c r="G437" s="944"/>
      <c r="H437" s="944"/>
      <c r="I437" s="944"/>
      <c r="J437" s="944"/>
      <c r="K437" s="944"/>
      <c r="L437" s="944"/>
      <c r="M437" s="944"/>
      <c r="N437" s="944"/>
    </row>
    <row r="438" spans="3:14" ht="14.25" customHeight="1">
      <c r="C438" s="944"/>
      <c r="D438" s="944"/>
      <c r="E438" s="944"/>
      <c r="F438" s="944"/>
      <c r="G438" s="944"/>
      <c r="H438" s="944"/>
      <c r="I438" s="944"/>
      <c r="J438" s="944"/>
      <c r="K438" s="944"/>
      <c r="L438" s="944"/>
      <c r="M438" s="944"/>
      <c r="N438" s="944"/>
    </row>
    <row r="439" spans="3:14" ht="14.25" customHeight="1">
      <c r="C439" s="944"/>
      <c r="D439" s="944"/>
      <c r="E439" s="944"/>
      <c r="F439" s="944"/>
      <c r="G439" s="944"/>
      <c r="H439" s="944"/>
      <c r="I439" s="944"/>
      <c r="J439" s="944"/>
      <c r="K439" s="944"/>
      <c r="L439" s="944"/>
      <c r="M439" s="944"/>
      <c r="N439" s="944"/>
    </row>
    <row r="440" spans="3:14" ht="14.25" customHeight="1">
      <c r="C440" s="944"/>
      <c r="D440" s="944"/>
      <c r="E440" s="944"/>
      <c r="F440" s="944"/>
      <c r="G440" s="944"/>
      <c r="H440" s="944"/>
      <c r="I440" s="944"/>
      <c r="J440" s="944"/>
      <c r="K440" s="944"/>
      <c r="L440" s="944"/>
      <c r="M440" s="944"/>
      <c r="N440" s="944"/>
    </row>
    <row r="441" spans="3:14" ht="14.25" customHeight="1">
      <c r="C441" s="944"/>
      <c r="D441" s="944"/>
      <c r="E441" s="944"/>
      <c r="F441" s="944"/>
      <c r="G441" s="944"/>
      <c r="H441" s="944"/>
      <c r="I441" s="944"/>
      <c r="J441" s="944"/>
      <c r="K441" s="944"/>
      <c r="L441" s="944"/>
      <c r="M441" s="944"/>
      <c r="N441" s="944"/>
    </row>
    <row r="442" spans="3:14" ht="14.25" customHeight="1">
      <c r="C442" s="944"/>
      <c r="D442" s="944"/>
      <c r="E442" s="944"/>
      <c r="F442" s="944"/>
      <c r="G442" s="944"/>
      <c r="H442" s="944"/>
      <c r="I442" s="944"/>
      <c r="J442" s="944"/>
      <c r="K442" s="944"/>
      <c r="L442" s="944"/>
      <c r="M442" s="944"/>
      <c r="N442" s="944"/>
    </row>
    <row r="443" spans="3:14" ht="14.25" customHeight="1">
      <c r="C443" s="944"/>
      <c r="D443" s="944"/>
      <c r="E443" s="944"/>
      <c r="F443" s="944"/>
      <c r="G443" s="944"/>
      <c r="H443" s="944"/>
      <c r="I443" s="944"/>
      <c r="J443" s="944"/>
      <c r="K443" s="944"/>
      <c r="L443" s="944"/>
      <c r="M443" s="944"/>
      <c r="N443" s="944"/>
    </row>
    <row r="444" spans="3:14" ht="14.25" customHeight="1">
      <c r="C444" s="944"/>
      <c r="D444" s="944"/>
      <c r="E444" s="944"/>
      <c r="F444" s="944"/>
      <c r="G444" s="944"/>
      <c r="H444" s="944"/>
      <c r="I444" s="944"/>
      <c r="J444" s="944"/>
      <c r="K444" s="944"/>
      <c r="L444" s="944"/>
      <c r="M444" s="944"/>
      <c r="N444" s="944"/>
    </row>
    <row r="445" spans="3:14" ht="14.25" customHeight="1">
      <c r="C445" s="944"/>
      <c r="D445" s="944"/>
      <c r="E445" s="944"/>
      <c r="F445" s="944"/>
      <c r="G445" s="944"/>
      <c r="H445" s="944"/>
      <c r="I445" s="944"/>
      <c r="J445" s="944"/>
      <c r="K445" s="944"/>
      <c r="L445" s="944"/>
      <c r="M445" s="944"/>
      <c r="N445" s="944"/>
    </row>
    <row r="446" spans="3:14" ht="14.25" customHeight="1">
      <c r="C446" s="944"/>
      <c r="D446" s="944"/>
      <c r="E446" s="944"/>
      <c r="F446" s="944"/>
      <c r="G446" s="944"/>
      <c r="H446" s="944"/>
      <c r="I446" s="944"/>
      <c r="J446" s="944"/>
      <c r="K446" s="944"/>
      <c r="L446" s="944"/>
      <c r="M446" s="944"/>
      <c r="N446" s="944"/>
    </row>
    <row r="447" spans="3:14" ht="14.25" customHeight="1">
      <c r="C447" s="944"/>
      <c r="D447" s="944"/>
      <c r="E447" s="944"/>
      <c r="F447" s="944"/>
      <c r="G447" s="944"/>
      <c r="H447" s="944"/>
      <c r="I447" s="944"/>
      <c r="J447" s="944"/>
      <c r="K447" s="944"/>
      <c r="L447" s="944"/>
      <c r="M447" s="944"/>
      <c r="N447" s="944"/>
    </row>
    <row r="448" spans="3:14" ht="14.25" customHeight="1">
      <c r="C448" s="944"/>
      <c r="D448" s="944"/>
      <c r="E448" s="944"/>
      <c r="F448" s="944"/>
      <c r="G448" s="944"/>
      <c r="H448" s="944"/>
      <c r="I448" s="944"/>
      <c r="J448" s="944"/>
      <c r="K448" s="944"/>
      <c r="L448" s="944"/>
      <c r="M448" s="944"/>
      <c r="N448" s="944"/>
    </row>
    <row r="449" spans="3:14" ht="14.25" customHeight="1">
      <c r="C449" s="944"/>
      <c r="D449" s="944"/>
      <c r="E449" s="944"/>
      <c r="F449" s="944"/>
      <c r="G449" s="944"/>
      <c r="H449" s="944"/>
      <c r="I449" s="944"/>
      <c r="J449" s="944"/>
      <c r="K449" s="944"/>
      <c r="L449" s="944"/>
      <c r="M449" s="944"/>
      <c r="N449" s="944"/>
    </row>
    <row r="450" spans="3:14" ht="14.25" customHeight="1">
      <c r="C450" s="944"/>
      <c r="D450" s="944"/>
      <c r="E450" s="944"/>
      <c r="F450" s="944"/>
      <c r="G450" s="944"/>
      <c r="H450" s="944"/>
      <c r="I450" s="944"/>
      <c r="J450" s="944"/>
      <c r="K450" s="944"/>
      <c r="L450" s="944"/>
      <c r="M450" s="944"/>
      <c r="N450" s="944"/>
    </row>
    <row r="451" spans="3:14" ht="14.25" customHeight="1">
      <c r="C451" s="944"/>
      <c r="D451" s="944"/>
      <c r="E451" s="944"/>
      <c r="F451" s="944"/>
      <c r="G451" s="944"/>
      <c r="H451" s="944"/>
      <c r="I451" s="944"/>
      <c r="J451" s="944"/>
      <c r="K451" s="944"/>
      <c r="L451" s="944"/>
      <c r="M451" s="944"/>
      <c r="N451" s="944"/>
    </row>
    <row r="452" spans="3:14" ht="14.25" customHeight="1">
      <c r="C452" s="944"/>
      <c r="D452" s="944"/>
      <c r="E452" s="944"/>
      <c r="F452" s="944"/>
      <c r="G452" s="944"/>
      <c r="H452" s="944"/>
      <c r="I452" s="944"/>
      <c r="J452" s="944"/>
      <c r="K452" s="944"/>
      <c r="L452" s="944"/>
      <c r="M452" s="944"/>
      <c r="N452" s="944"/>
    </row>
    <row r="453" spans="3:14" ht="14.25" customHeight="1">
      <c r="C453" s="944"/>
      <c r="D453" s="944"/>
      <c r="E453" s="944"/>
      <c r="F453" s="944"/>
      <c r="G453" s="944"/>
      <c r="H453" s="944"/>
      <c r="I453" s="944"/>
      <c r="J453" s="944"/>
      <c r="K453" s="944"/>
      <c r="L453" s="944"/>
      <c r="M453" s="944"/>
      <c r="N453" s="944"/>
    </row>
    <row r="454" spans="3:14" ht="14.25" customHeight="1">
      <c r="C454" s="944"/>
      <c r="D454" s="944"/>
      <c r="E454" s="944"/>
      <c r="F454" s="944"/>
      <c r="G454" s="944"/>
      <c r="H454" s="944"/>
      <c r="I454" s="944"/>
      <c r="J454" s="944"/>
      <c r="K454" s="944"/>
      <c r="L454" s="944"/>
      <c r="M454" s="944"/>
      <c r="N454" s="944"/>
    </row>
    <row r="455" spans="3:14" ht="14.25" customHeight="1">
      <c r="C455" s="944"/>
      <c r="D455" s="944"/>
      <c r="E455" s="944"/>
      <c r="F455" s="944"/>
      <c r="G455" s="944"/>
      <c r="H455" s="944"/>
      <c r="I455" s="944"/>
      <c r="J455" s="944"/>
      <c r="K455" s="944"/>
      <c r="L455" s="944"/>
      <c r="M455" s="944"/>
      <c r="N455" s="944"/>
    </row>
    <row r="456" spans="3:14" ht="14.25" customHeight="1">
      <c r="C456" s="944"/>
      <c r="D456" s="944"/>
      <c r="E456" s="944"/>
      <c r="F456" s="944"/>
      <c r="G456" s="944"/>
      <c r="H456" s="944"/>
      <c r="I456" s="944"/>
      <c r="J456" s="944"/>
      <c r="K456" s="944"/>
      <c r="L456" s="944"/>
      <c r="M456" s="944"/>
      <c r="N456" s="944"/>
    </row>
    <row r="457" spans="3:14" ht="14.25" customHeight="1">
      <c r="C457" s="944"/>
      <c r="D457" s="944"/>
      <c r="E457" s="944"/>
      <c r="F457" s="944"/>
      <c r="G457" s="944"/>
      <c r="H457" s="944"/>
      <c r="I457" s="944"/>
      <c r="J457" s="944"/>
      <c r="K457" s="944"/>
      <c r="L457" s="944"/>
      <c r="M457" s="944"/>
      <c r="N457" s="944"/>
    </row>
    <row r="458" spans="3:14" ht="14.25" customHeight="1">
      <c r="C458" s="944"/>
      <c r="D458" s="944"/>
      <c r="E458" s="944"/>
      <c r="F458" s="944"/>
      <c r="G458" s="944"/>
      <c r="H458" s="944"/>
      <c r="I458" s="944"/>
      <c r="J458" s="944"/>
      <c r="K458" s="944"/>
      <c r="L458" s="944"/>
      <c r="M458" s="944"/>
      <c r="N458" s="944"/>
    </row>
    <row r="459" spans="3:14" ht="14.25" customHeight="1">
      <c r="C459" s="944"/>
      <c r="D459" s="944"/>
      <c r="E459" s="944"/>
      <c r="F459" s="944"/>
      <c r="G459" s="944"/>
      <c r="H459" s="944"/>
      <c r="I459" s="944"/>
      <c r="J459" s="944"/>
      <c r="K459" s="944"/>
      <c r="L459" s="944"/>
      <c r="M459" s="944"/>
      <c r="N459" s="944"/>
    </row>
    <row r="460" spans="3:14" ht="14.25" customHeight="1">
      <c r="C460" s="944"/>
      <c r="D460" s="944"/>
      <c r="E460" s="944"/>
      <c r="F460" s="944"/>
      <c r="G460" s="944"/>
      <c r="H460" s="944"/>
      <c r="I460" s="944"/>
      <c r="J460" s="944"/>
      <c r="K460" s="944"/>
      <c r="L460" s="944"/>
      <c r="M460" s="944"/>
      <c r="N460" s="944"/>
    </row>
    <row r="461" spans="3:14" ht="14.25" customHeight="1">
      <c r="C461" s="944"/>
      <c r="D461" s="944"/>
      <c r="E461" s="944"/>
      <c r="F461" s="944"/>
      <c r="G461" s="944"/>
      <c r="H461" s="944"/>
      <c r="I461" s="944"/>
      <c r="J461" s="944"/>
      <c r="K461" s="944"/>
      <c r="L461" s="944"/>
      <c r="M461" s="944"/>
      <c r="N461" s="944"/>
    </row>
    <row r="462" spans="3:14" ht="14.25" customHeight="1">
      <c r="C462" s="944"/>
      <c r="D462" s="944"/>
      <c r="E462" s="944"/>
      <c r="F462" s="944"/>
      <c r="G462" s="944"/>
      <c r="H462" s="944"/>
      <c r="I462" s="944"/>
      <c r="J462" s="944"/>
      <c r="K462" s="944"/>
      <c r="L462" s="944"/>
      <c r="M462" s="944"/>
      <c r="N462" s="944"/>
    </row>
    <row r="463" spans="3:14" ht="14.25" customHeight="1">
      <c r="C463" s="944"/>
      <c r="D463" s="944"/>
      <c r="E463" s="944"/>
      <c r="F463" s="944"/>
      <c r="G463" s="944"/>
      <c r="H463" s="944"/>
      <c r="I463" s="944"/>
      <c r="J463" s="944"/>
      <c r="K463" s="944"/>
      <c r="L463" s="944"/>
      <c r="M463" s="944"/>
      <c r="N463" s="944"/>
    </row>
    <row r="464" spans="3:14" ht="14.25" customHeight="1">
      <c r="C464" s="944"/>
      <c r="D464" s="944"/>
      <c r="E464" s="944"/>
      <c r="F464" s="944"/>
      <c r="G464" s="944"/>
      <c r="H464" s="944"/>
      <c r="I464" s="944"/>
      <c r="J464" s="944"/>
      <c r="K464" s="944"/>
      <c r="L464" s="944"/>
      <c r="M464" s="944"/>
      <c r="N464" s="944"/>
    </row>
    <row r="465" spans="3:14" ht="14.25" customHeight="1">
      <c r="C465" s="944"/>
      <c r="D465" s="944"/>
      <c r="E465" s="944"/>
      <c r="F465" s="944"/>
      <c r="G465" s="944"/>
      <c r="H465" s="944"/>
      <c r="I465" s="944"/>
      <c r="J465" s="944"/>
      <c r="K465" s="944"/>
      <c r="L465" s="944"/>
      <c r="M465" s="944"/>
      <c r="N465" s="944"/>
    </row>
    <row r="466" spans="3:14" ht="14.25" customHeight="1">
      <c r="C466" s="944"/>
      <c r="D466" s="944"/>
      <c r="E466" s="944"/>
      <c r="F466" s="944"/>
      <c r="G466" s="944"/>
      <c r="H466" s="944"/>
      <c r="I466" s="944"/>
      <c r="J466" s="944"/>
      <c r="K466" s="944"/>
      <c r="L466" s="944"/>
      <c r="M466" s="944"/>
      <c r="N466" s="944"/>
    </row>
    <row r="467" spans="3:14" ht="14.25" customHeight="1">
      <c r="C467" s="944"/>
      <c r="D467" s="944"/>
      <c r="E467" s="944"/>
      <c r="F467" s="944"/>
      <c r="G467" s="944"/>
      <c r="H467" s="944"/>
      <c r="I467" s="944"/>
      <c r="J467" s="944"/>
      <c r="K467" s="944"/>
      <c r="L467" s="944"/>
      <c r="M467" s="944"/>
      <c r="N467" s="944"/>
    </row>
    <row r="468" spans="3:14" ht="14.25" customHeight="1">
      <c r="C468" s="944"/>
      <c r="D468" s="944"/>
      <c r="E468" s="944"/>
      <c r="F468" s="944"/>
      <c r="G468" s="944"/>
      <c r="H468" s="944"/>
      <c r="I468" s="944"/>
      <c r="J468" s="944"/>
      <c r="K468" s="944"/>
      <c r="L468" s="944"/>
      <c r="M468" s="944"/>
      <c r="N468" s="944"/>
    </row>
    <row r="469" spans="3:14" ht="14.25" customHeight="1">
      <c r="C469" s="944"/>
      <c r="D469" s="944"/>
      <c r="E469" s="944"/>
      <c r="F469" s="944"/>
      <c r="G469" s="944"/>
      <c r="H469" s="944"/>
      <c r="I469" s="944"/>
      <c r="J469" s="944"/>
      <c r="K469" s="944"/>
      <c r="L469" s="944"/>
      <c r="M469" s="944"/>
      <c r="N469" s="944"/>
    </row>
    <row r="470" spans="3:14" ht="14.25" customHeight="1">
      <c r="C470" s="944"/>
      <c r="D470" s="944"/>
      <c r="E470" s="944"/>
      <c r="F470" s="944"/>
      <c r="G470" s="944"/>
      <c r="H470" s="944"/>
      <c r="I470" s="944"/>
      <c r="J470" s="944"/>
      <c r="K470" s="944"/>
      <c r="L470" s="944"/>
      <c r="M470" s="944"/>
      <c r="N470" s="944"/>
    </row>
    <row r="471" spans="3:14" ht="14.25" customHeight="1">
      <c r="C471" s="944"/>
      <c r="D471" s="944"/>
      <c r="E471" s="944"/>
      <c r="F471" s="944"/>
      <c r="G471" s="944"/>
      <c r="H471" s="944"/>
      <c r="I471" s="944"/>
      <c r="J471" s="944"/>
      <c r="K471" s="944"/>
      <c r="L471" s="944"/>
      <c r="M471" s="944"/>
      <c r="N471" s="944"/>
    </row>
    <row r="472" spans="3:14" ht="14.25" customHeight="1">
      <c r="C472" s="944"/>
      <c r="D472" s="944"/>
      <c r="E472" s="944"/>
      <c r="F472" s="944"/>
      <c r="G472" s="944"/>
      <c r="H472" s="944"/>
      <c r="I472" s="944"/>
      <c r="J472" s="944"/>
      <c r="K472" s="944"/>
      <c r="L472" s="944"/>
      <c r="M472" s="944"/>
      <c r="N472" s="944"/>
    </row>
    <row r="473" spans="3:14" ht="14.25" customHeight="1">
      <c r="C473" s="944"/>
      <c r="D473" s="944"/>
      <c r="E473" s="944"/>
      <c r="F473" s="944"/>
      <c r="G473" s="944"/>
      <c r="H473" s="944"/>
      <c r="I473" s="944"/>
      <c r="J473" s="944"/>
      <c r="K473" s="944"/>
      <c r="L473" s="944"/>
      <c r="M473" s="944"/>
      <c r="N473" s="944"/>
    </row>
    <row r="474" spans="3:14" ht="14.25" customHeight="1">
      <c r="C474" s="944"/>
      <c r="D474" s="944"/>
      <c r="E474" s="944"/>
      <c r="F474" s="944"/>
      <c r="G474" s="944"/>
      <c r="H474" s="944"/>
      <c r="I474" s="944"/>
      <c r="J474" s="944"/>
      <c r="K474" s="944"/>
      <c r="L474" s="944"/>
      <c r="M474" s="944"/>
      <c r="N474" s="944"/>
    </row>
    <row r="475" spans="3:14" ht="14.25" customHeight="1">
      <c r="C475" s="944"/>
      <c r="D475" s="944"/>
      <c r="E475" s="944"/>
      <c r="F475" s="944"/>
      <c r="G475" s="944"/>
      <c r="H475" s="944"/>
      <c r="I475" s="944"/>
      <c r="J475" s="944"/>
      <c r="K475" s="944"/>
      <c r="L475" s="944"/>
      <c r="M475" s="944"/>
      <c r="N475" s="944"/>
    </row>
    <row r="476" spans="3:14" ht="14.25" customHeight="1">
      <c r="C476" s="944"/>
      <c r="D476" s="944"/>
      <c r="E476" s="944"/>
      <c r="F476" s="944"/>
      <c r="G476" s="944"/>
      <c r="H476" s="944"/>
      <c r="I476" s="944"/>
      <c r="J476" s="944"/>
      <c r="K476" s="944"/>
      <c r="L476" s="944"/>
      <c r="M476" s="944"/>
      <c r="N476" s="944"/>
    </row>
    <row r="477" spans="3:14" ht="14.25" customHeight="1">
      <c r="C477" s="944"/>
      <c r="D477" s="944"/>
      <c r="E477" s="944"/>
      <c r="F477" s="944"/>
      <c r="G477" s="944"/>
      <c r="H477" s="944"/>
      <c r="I477" s="944"/>
      <c r="J477" s="944"/>
      <c r="K477" s="944"/>
      <c r="L477" s="944"/>
      <c r="M477" s="944"/>
      <c r="N477" s="944"/>
    </row>
    <row r="478" spans="3:14" ht="14.25" customHeight="1">
      <c r="C478" s="944"/>
      <c r="D478" s="944"/>
      <c r="E478" s="944"/>
      <c r="F478" s="944"/>
      <c r="G478" s="944"/>
      <c r="H478" s="944"/>
      <c r="I478" s="944"/>
      <c r="J478" s="944"/>
      <c r="K478" s="944"/>
      <c r="L478" s="944"/>
      <c r="M478" s="944"/>
      <c r="N478" s="944"/>
    </row>
    <row r="479" spans="3:14" ht="14.25" customHeight="1">
      <c r="C479" s="944"/>
      <c r="D479" s="944"/>
      <c r="E479" s="944"/>
      <c r="F479" s="944"/>
      <c r="G479" s="944"/>
      <c r="H479" s="944"/>
      <c r="I479" s="944"/>
      <c r="J479" s="944"/>
      <c r="K479" s="944"/>
      <c r="L479" s="944"/>
      <c r="M479" s="944"/>
      <c r="N479" s="944"/>
    </row>
    <row r="480" spans="3:14" ht="14.25" customHeight="1">
      <c r="C480" s="944"/>
      <c r="D480" s="944"/>
      <c r="E480" s="944"/>
      <c r="F480" s="944"/>
      <c r="G480" s="944"/>
      <c r="H480" s="944"/>
      <c r="I480" s="944"/>
      <c r="J480" s="944"/>
      <c r="K480" s="944"/>
      <c r="L480" s="944"/>
      <c r="M480" s="944"/>
      <c r="N480" s="944"/>
    </row>
    <row r="481" spans="3:14" ht="14.25" customHeight="1">
      <c r="C481" s="944"/>
      <c r="D481" s="944"/>
      <c r="E481" s="944"/>
      <c r="F481" s="944"/>
      <c r="G481" s="944"/>
      <c r="H481" s="944"/>
      <c r="I481" s="944"/>
      <c r="J481" s="944"/>
      <c r="K481" s="944"/>
      <c r="L481" s="944"/>
      <c r="M481" s="944"/>
      <c r="N481" s="944"/>
    </row>
    <row r="482" spans="3:14" ht="14.25" customHeight="1">
      <c r="C482" s="944"/>
      <c r="D482" s="944"/>
      <c r="E482" s="944"/>
      <c r="F482" s="944"/>
      <c r="G482" s="944"/>
      <c r="H482" s="944"/>
      <c r="I482" s="944"/>
      <c r="J482" s="944"/>
      <c r="K482" s="944"/>
      <c r="L482" s="944"/>
      <c r="M482" s="944"/>
      <c r="N482" s="944"/>
    </row>
    <row r="483" spans="3:14" ht="14.25" customHeight="1">
      <c r="C483" s="944"/>
      <c r="D483" s="944"/>
      <c r="E483" s="944"/>
      <c r="F483" s="944"/>
      <c r="G483" s="944"/>
      <c r="H483" s="944"/>
      <c r="I483" s="944"/>
      <c r="J483" s="944"/>
      <c r="K483" s="944"/>
      <c r="L483" s="944"/>
      <c r="M483" s="944"/>
      <c r="N483" s="944"/>
    </row>
    <row r="484" spans="3:14" ht="14.25" customHeight="1">
      <c r="C484" s="944"/>
      <c r="D484" s="944"/>
      <c r="E484" s="944"/>
      <c r="F484" s="944"/>
      <c r="G484" s="944"/>
      <c r="H484" s="944"/>
      <c r="I484" s="944"/>
      <c r="J484" s="944"/>
      <c r="K484" s="944"/>
      <c r="L484" s="944"/>
      <c r="M484" s="944"/>
      <c r="N484" s="944"/>
    </row>
    <row r="485" spans="3:14" ht="14.25" customHeight="1">
      <c r="C485" s="944"/>
      <c r="D485" s="944"/>
      <c r="E485" s="944"/>
      <c r="F485" s="944"/>
      <c r="G485" s="944"/>
      <c r="H485" s="944"/>
      <c r="I485" s="944"/>
      <c r="J485" s="944"/>
      <c r="K485" s="944"/>
      <c r="L485" s="944"/>
      <c r="M485" s="944"/>
      <c r="N485" s="944"/>
    </row>
    <row r="486" spans="3:14" ht="14.25" customHeight="1">
      <c r="C486" s="944"/>
      <c r="D486" s="944"/>
      <c r="E486" s="944"/>
      <c r="F486" s="944"/>
      <c r="G486" s="944"/>
      <c r="H486" s="944"/>
      <c r="I486" s="944"/>
      <c r="J486" s="944"/>
      <c r="K486" s="944"/>
      <c r="L486" s="944"/>
      <c r="M486" s="944"/>
      <c r="N486" s="944"/>
    </row>
    <row r="487" spans="3:14" ht="14.25" customHeight="1">
      <c r="C487" s="944"/>
      <c r="D487" s="944"/>
      <c r="E487" s="944"/>
      <c r="F487" s="944"/>
      <c r="G487" s="944"/>
      <c r="H487" s="944"/>
      <c r="I487" s="944"/>
      <c r="J487" s="944"/>
      <c r="K487" s="944"/>
      <c r="L487" s="944"/>
      <c r="M487" s="944"/>
      <c r="N487" s="944"/>
    </row>
    <row r="488" spans="3:14" ht="14.25" customHeight="1">
      <c r="C488" s="944"/>
      <c r="D488" s="944"/>
      <c r="E488" s="944"/>
      <c r="F488" s="944"/>
      <c r="G488" s="944"/>
      <c r="H488" s="944"/>
      <c r="I488" s="944"/>
      <c r="J488" s="944"/>
      <c r="K488" s="944"/>
      <c r="L488" s="944"/>
      <c r="M488" s="944"/>
      <c r="N488" s="944"/>
    </row>
    <row r="489" spans="3:14" ht="14.25" customHeight="1">
      <c r="C489" s="944"/>
      <c r="D489" s="944"/>
      <c r="E489" s="944"/>
      <c r="F489" s="944"/>
      <c r="G489" s="944"/>
      <c r="H489" s="944"/>
      <c r="I489" s="944"/>
      <c r="J489" s="944"/>
      <c r="K489" s="944"/>
      <c r="L489" s="944"/>
      <c r="M489" s="944"/>
      <c r="N489" s="944"/>
    </row>
    <row r="490" spans="3:14" ht="14.25" customHeight="1">
      <c r="C490" s="944"/>
      <c r="D490" s="944"/>
      <c r="E490" s="944"/>
      <c r="F490" s="944"/>
      <c r="G490" s="944"/>
      <c r="H490" s="944"/>
      <c r="I490" s="944"/>
      <c r="J490" s="944"/>
      <c r="K490" s="944"/>
      <c r="L490" s="944"/>
      <c r="M490" s="944"/>
      <c r="N490" s="944"/>
    </row>
    <row r="491" spans="3:14" ht="14.25" customHeight="1">
      <c r="C491" s="944"/>
      <c r="D491" s="944"/>
      <c r="E491" s="944"/>
      <c r="F491" s="944"/>
      <c r="G491" s="944"/>
      <c r="H491" s="944"/>
      <c r="I491" s="944"/>
      <c r="J491" s="944"/>
      <c r="K491" s="944"/>
      <c r="L491" s="944"/>
      <c r="M491" s="944"/>
      <c r="N491" s="944"/>
    </row>
    <row r="492" spans="3:14" ht="14.25" customHeight="1">
      <c r="C492" s="944"/>
      <c r="D492" s="944"/>
      <c r="E492" s="944"/>
      <c r="F492" s="944"/>
      <c r="G492" s="944"/>
      <c r="H492" s="944"/>
      <c r="I492" s="944"/>
      <c r="J492" s="944"/>
      <c r="K492" s="944"/>
      <c r="L492" s="944"/>
      <c r="M492" s="944"/>
      <c r="N492" s="944"/>
    </row>
    <row r="493" spans="3:14" ht="14.25" customHeight="1">
      <c r="C493" s="944"/>
      <c r="D493" s="944"/>
      <c r="E493" s="944"/>
      <c r="F493" s="944"/>
      <c r="G493" s="944"/>
      <c r="H493" s="944"/>
      <c r="I493" s="944"/>
      <c r="J493" s="944"/>
      <c r="K493" s="944"/>
      <c r="L493" s="944"/>
      <c r="M493" s="944"/>
      <c r="N493" s="944"/>
    </row>
    <row r="494" spans="3:14" ht="14.25" customHeight="1">
      <c r="C494" s="944"/>
      <c r="D494" s="944"/>
      <c r="E494" s="944"/>
      <c r="F494" s="944"/>
      <c r="G494" s="944"/>
      <c r="H494" s="944"/>
      <c r="I494" s="944"/>
      <c r="J494" s="944"/>
      <c r="K494" s="944"/>
      <c r="L494" s="944"/>
      <c r="M494" s="944"/>
      <c r="N494" s="944"/>
    </row>
    <row r="495" spans="3:14" ht="14.25" customHeight="1">
      <c r="C495" s="944"/>
      <c r="D495" s="944"/>
      <c r="E495" s="944"/>
      <c r="F495" s="944"/>
      <c r="G495" s="944"/>
      <c r="H495" s="944"/>
      <c r="I495" s="944"/>
      <c r="J495" s="944"/>
      <c r="K495" s="944"/>
      <c r="L495" s="944"/>
      <c r="M495" s="944"/>
      <c r="N495" s="944"/>
    </row>
    <row r="496" spans="3:14" ht="14.25" customHeight="1">
      <c r="C496" s="944"/>
      <c r="D496" s="944"/>
      <c r="E496" s="944"/>
      <c r="F496" s="944"/>
      <c r="G496" s="944"/>
      <c r="H496" s="944"/>
      <c r="I496" s="944"/>
      <c r="J496" s="944"/>
      <c r="K496" s="944"/>
      <c r="L496" s="944"/>
      <c r="M496" s="944"/>
      <c r="N496" s="944"/>
    </row>
    <row r="497" spans="3:14" ht="14.25" customHeight="1">
      <c r="C497" s="944"/>
      <c r="D497" s="944"/>
      <c r="E497" s="944"/>
      <c r="F497" s="944"/>
      <c r="G497" s="944"/>
      <c r="H497" s="944"/>
      <c r="I497" s="944"/>
      <c r="J497" s="944"/>
      <c r="K497" s="944"/>
      <c r="L497" s="944"/>
      <c r="M497" s="944"/>
      <c r="N497" s="944"/>
    </row>
    <row r="498" spans="3:14" ht="14.25" customHeight="1">
      <c r="C498" s="944"/>
      <c r="D498" s="944"/>
      <c r="E498" s="944"/>
      <c r="F498" s="944"/>
      <c r="G498" s="944"/>
      <c r="H498" s="944"/>
      <c r="I498" s="944"/>
      <c r="J498" s="944"/>
      <c r="K498" s="944"/>
      <c r="L498" s="944"/>
      <c r="M498" s="944"/>
      <c r="N498" s="944"/>
    </row>
    <row r="499" spans="3:14" ht="14.25" customHeight="1">
      <c r="C499" s="944"/>
      <c r="D499" s="944"/>
      <c r="E499" s="944"/>
      <c r="F499" s="944"/>
      <c r="G499" s="944"/>
      <c r="H499" s="944"/>
      <c r="I499" s="944"/>
      <c r="J499" s="944"/>
      <c r="K499" s="944"/>
      <c r="L499" s="944"/>
      <c r="M499" s="944"/>
      <c r="N499" s="944"/>
    </row>
    <row r="500" spans="3:14" ht="14.25" customHeight="1">
      <c r="C500" s="944"/>
      <c r="D500" s="944"/>
      <c r="E500" s="944"/>
      <c r="F500" s="944"/>
      <c r="G500" s="944"/>
      <c r="H500" s="944"/>
      <c r="I500" s="944"/>
      <c r="J500" s="944"/>
      <c r="K500" s="944"/>
      <c r="L500" s="944"/>
      <c r="M500" s="944"/>
      <c r="N500" s="944"/>
    </row>
    <row r="501" spans="3:14" ht="14.25" customHeight="1">
      <c r="C501" s="944"/>
      <c r="D501" s="944"/>
      <c r="E501" s="944"/>
      <c r="F501" s="944"/>
      <c r="G501" s="944"/>
      <c r="H501" s="944"/>
      <c r="I501" s="944"/>
      <c r="J501" s="944"/>
      <c r="K501" s="944"/>
      <c r="L501" s="944"/>
      <c r="M501" s="944"/>
      <c r="N501" s="944"/>
    </row>
    <row r="502" spans="3:14" ht="14.25" customHeight="1">
      <c r="C502" s="944"/>
      <c r="D502" s="944"/>
      <c r="E502" s="944"/>
      <c r="F502" s="944"/>
      <c r="G502" s="944"/>
      <c r="H502" s="944"/>
      <c r="I502" s="944"/>
      <c r="J502" s="944"/>
      <c r="K502" s="944"/>
      <c r="L502" s="944"/>
      <c r="M502" s="944"/>
      <c r="N502" s="944"/>
    </row>
    <row r="503" spans="3:14" ht="14.25" customHeight="1">
      <c r="C503" s="944"/>
      <c r="D503" s="944"/>
      <c r="E503" s="944"/>
      <c r="F503" s="944"/>
      <c r="G503" s="944"/>
      <c r="H503" s="944"/>
      <c r="I503" s="944"/>
      <c r="J503" s="944"/>
      <c r="K503" s="944"/>
      <c r="L503" s="944"/>
      <c r="M503" s="944"/>
      <c r="N503" s="944"/>
    </row>
    <row r="504" spans="3:14" ht="14.25" customHeight="1">
      <c r="C504" s="944"/>
      <c r="D504" s="944"/>
      <c r="E504" s="944"/>
      <c r="F504" s="944"/>
      <c r="G504" s="944"/>
      <c r="H504" s="944"/>
      <c r="I504" s="944"/>
      <c r="J504" s="944"/>
      <c r="K504" s="944"/>
      <c r="L504" s="944"/>
      <c r="M504" s="944"/>
      <c r="N504" s="944"/>
    </row>
    <row r="505" spans="3:14" ht="14.25" customHeight="1">
      <c r="C505" s="944"/>
      <c r="D505" s="944"/>
      <c r="E505" s="944"/>
      <c r="F505" s="944"/>
      <c r="G505" s="944"/>
      <c r="H505" s="944"/>
      <c r="I505" s="944"/>
      <c r="J505" s="944"/>
      <c r="K505" s="944"/>
      <c r="L505" s="944"/>
      <c r="M505" s="944"/>
      <c r="N505" s="944"/>
    </row>
    <row r="506" spans="3:14" ht="14.25" customHeight="1">
      <c r="C506" s="944"/>
      <c r="D506" s="944"/>
      <c r="E506" s="944"/>
      <c r="F506" s="944"/>
      <c r="G506" s="944"/>
      <c r="H506" s="944"/>
      <c r="I506" s="944"/>
      <c r="J506" s="944"/>
      <c r="K506" s="944"/>
      <c r="L506" s="944"/>
      <c r="M506" s="944"/>
      <c r="N506" s="944"/>
    </row>
    <row r="507" spans="3:14" ht="14.25" customHeight="1">
      <c r="C507" s="944"/>
      <c r="D507" s="944"/>
      <c r="E507" s="944"/>
      <c r="F507" s="944"/>
      <c r="G507" s="944"/>
      <c r="H507" s="944"/>
      <c r="I507" s="944"/>
      <c r="J507" s="944"/>
      <c r="K507" s="944"/>
      <c r="L507" s="944"/>
      <c r="M507" s="944"/>
      <c r="N507" s="944"/>
    </row>
    <row r="508" spans="3:14" ht="14.25" customHeight="1">
      <c r="C508" s="944"/>
      <c r="D508" s="944"/>
      <c r="E508" s="944"/>
      <c r="F508" s="944"/>
      <c r="G508" s="944"/>
      <c r="H508" s="944"/>
      <c r="I508" s="944"/>
      <c r="J508" s="944"/>
      <c r="K508" s="944"/>
      <c r="L508" s="944"/>
      <c r="M508" s="944"/>
      <c r="N508" s="944"/>
    </row>
    <row r="509" spans="3:14" ht="14.25" customHeight="1">
      <c r="C509" s="944"/>
      <c r="D509" s="944"/>
      <c r="E509" s="944"/>
      <c r="F509" s="944"/>
      <c r="G509" s="944"/>
      <c r="H509" s="944"/>
      <c r="I509" s="944"/>
      <c r="J509" s="944"/>
      <c r="K509" s="944"/>
      <c r="L509" s="944"/>
      <c r="M509" s="944"/>
      <c r="N509" s="944"/>
    </row>
    <row r="510" spans="3:14" ht="14.25" customHeight="1">
      <c r="C510" s="944"/>
      <c r="D510" s="944"/>
      <c r="E510" s="944"/>
      <c r="F510" s="944"/>
      <c r="G510" s="944"/>
      <c r="H510" s="944"/>
      <c r="I510" s="944"/>
      <c r="J510" s="944"/>
      <c r="K510" s="944"/>
      <c r="L510" s="944"/>
      <c r="M510" s="944"/>
      <c r="N510" s="944"/>
    </row>
    <row r="511" spans="3:14" ht="14.25" customHeight="1">
      <c r="C511" s="944"/>
      <c r="D511" s="944"/>
      <c r="E511" s="944"/>
      <c r="F511" s="944"/>
      <c r="G511" s="944"/>
      <c r="H511" s="944"/>
      <c r="I511" s="944"/>
      <c r="J511" s="944"/>
      <c r="K511" s="944"/>
      <c r="L511" s="944"/>
      <c r="M511" s="944"/>
      <c r="N511" s="944"/>
    </row>
    <row r="512" spans="3:14" ht="14.25" customHeight="1">
      <c r="C512" s="944"/>
      <c r="D512" s="944"/>
      <c r="E512" s="944"/>
      <c r="F512" s="944"/>
      <c r="G512" s="944"/>
      <c r="H512" s="944"/>
      <c r="I512" s="944"/>
      <c r="J512" s="944"/>
      <c r="K512" s="944"/>
      <c r="L512" s="944"/>
      <c r="M512" s="944"/>
      <c r="N512" s="944"/>
    </row>
    <row r="513" spans="3:14" ht="14.25" customHeight="1">
      <c r="C513" s="944"/>
      <c r="D513" s="944"/>
      <c r="E513" s="944"/>
      <c r="F513" s="944"/>
      <c r="G513" s="944"/>
      <c r="H513" s="944"/>
      <c r="I513" s="944"/>
      <c r="J513" s="944"/>
      <c r="K513" s="944"/>
      <c r="L513" s="944"/>
      <c r="M513" s="944"/>
      <c r="N513" s="944"/>
    </row>
    <row r="514" spans="3:14" ht="14.25" customHeight="1">
      <c r="C514" s="944"/>
      <c r="D514" s="944"/>
      <c r="E514" s="944"/>
      <c r="F514" s="944"/>
      <c r="G514" s="944"/>
      <c r="H514" s="944"/>
      <c r="I514" s="944"/>
      <c r="J514" s="944"/>
      <c r="K514" s="944"/>
      <c r="L514" s="944"/>
      <c r="M514" s="944"/>
      <c r="N514" s="944"/>
    </row>
    <row r="515" spans="3:14" ht="14.25" customHeight="1">
      <c r="C515" s="944"/>
      <c r="D515" s="944"/>
      <c r="E515" s="944"/>
      <c r="F515" s="944"/>
      <c r="G515" s="944"/>
      <c r="H515" s="944"/>
      <c r="I515" s="944"/>
      <c r="J515" s="944"/>
      <c r="K515" s="944"/>
      <c r="L515" s="944"/>
      <c r="M515" s="944"/>
      <c r="N515" s="944"/>
    </row>
    <row r="516" spans="3:14" ht="14.25" customHeight="1">
      <c r="C516" s="944"/>
      <c r="D516" s="944"/>
      <c r="E516" s="944"/>
      <c r="F516" s="944"/>
      <c r="G516" s="944"/>
      <c r="H516" s="944"/>
      <c r="I516" s="944"/>
      <c r="J516" s="944"/>
      <c r="K516" s="944"/>
      <c r="L516" s="944"/>
      <c r="M516" s="944"/>
      <c r="N516" s="944"/>
    </row>
    <row r="517" spans="3:14" ht="14.25" customHeight="1">
      <c r="C517" s="944"/>
      <c r="D517" s="944"/>
      <c r="E517" s="944"/>
      <c r="F517" s="944"/>
      <c r="G517" s="944"/>
      <c r="H517" s="944"/>
      <c r="I517" s="944"/>
      <c r="J517" s="944"/>
      <c r="K517" s="944"/>
      <c r="L517" s="944"/>
      <c r="M517" s="944"/>
      <c r="N517" s="944"/>
    </row>
    <row r="518" spans="3:14" ht="14.25" customHeight="1">
      <c r="C518" s="944"/>
      <c r="D518" s="944"/>
      <c r="E518" s="944"/>
      <c r="F518" s="944"/>
      <c r="G518" s="944"/>
      <c r="H518" s="944"/>
      <c r="I518" s="944"/>
      <c r="J518" s="944"/>
      <c r="K518" s="944"/>
      <c r="L518" s="944"/>
      <c r="M518" s="944"/>
      <c r="N518" s="944"/>
    </row>
    <row r="519" spans="3:14" ht="14.25" customHeight="1">
      <c r="C519" s="944"/>
      <c r="D519" s="944"/>
      <c r="E519" s="944"/>
      <c r="F519" s="944"/>
      <c r="G519" s="944"/>
      <c r="H519" s="944"/>
      <c r="I519" s="944"/>
      <c r="J519" s="944"/>
      <c r="K519" s="944"/>
      <c r="L519" s="944"/>
      <c r="M519" s="944"/>
      <c r="N519" s="944"/>
    </row>
    <row r="520" spans="3:14" ht="14.25" customHeight="1">
      <c r="C520" s="944"/>
      <c r="D520" s="944"/>
      <c r="E520" s="944"/>
      <c r="F520" s="944"/>
      <c r="G520" s="944"/>
      <c r="H520" s="944"/>
      <c r="I520" s="944"/>
      <c r="J520" s="944"/>
      <c r="K520" s="944"/>
      <c r="L520" s="944"/>
      <c r="M520" s="944"/>
      <c r="N520" s="944"/>
    </row>
    <row r="521" spans="3:14" ht="14.25" customHeight="1">
      <c r="C521" s="944"/>
      <c r="D521" s="944"/>
      <c r="E521" s="944"/>
      <c r="F521" s="944"/>
      <c r="G521" s="944"/>
      <c r="H521" s="944"/>
      <c r="I521" s="944"/>
      <c r="J521" s="944"/>
      <c r="K521" s="944"/>
      <c r="L521" s="944"/>
      <c r="M521" s="944"/>
      <c r="N521" s="944"/>
    </row>
    <row r="522" spans="3:14" ht="14.25" customHeight="1">
      <c r="C522" s="944"/>
      <c r="D522" s="944"/>
      <c r="E522" s="944"/>
      <c r="F522" s="944"/>
      <c r="G522" s="944"/>
      <c r="H522" s="944"/>
      <c r="I522" s="944"/>
      <c r="J522" s="944"/>
      <c r="K522" s="944"/>
      <c r="L522" s="944"/>
      <c r="M522" s="944"/>
      <c r="N522" s="944"/>
    </row>
    <row r="523" spans="3:14" ht="14.25" customHeight="1">
      <c r="C523" s="944"/>
      <c r="D523" s="944"/>
      <c r="E523" s="944"/>
      <c r="F523" s="944"/>
      <c r="G523" s="944"/>
      <c r="H523" s="944"/>
      <c r="I523" s="944"/>
      <c r="J523" s="944"/>
      <c r="K523" s="944"/>
      <c r="L523" s="944"/>
      <c r="M523" s="944"/>
      <c r="N523" s="944"/>
    </row>
    <row r="524" spans="3:14" ht="14.25" customHeight="1">
      <c r="C524" s="944"/>
      <c r="D524" s="944"/>
      <c r="E524" s="944"/>
      <c r="F524" s="944"/>
      <c r="G524" s="944"/>
      <c r="H524" s="944"/>
      <c r="I524" s="944"/>
      <c r="J524" s="944"/>
      <c r="K524" s="944"/>
      <c r="L524" s="944"/>
      <c r="M524" s="944"/>
      <c r="N524" s="944"/>
    </row>
    <row r="525" spans="3:14" ht="14.25" customHeight="1">
      <c r="C525" s="944"/>
      <c r="D525" s="944"/>
      <c r="E525" s="944"/>
      <c r="F525" s="944"/>
      <c r="G525" s="944"/>
      <c r="H525" s="944"/>
      <c r="I525" s="944"/>
      <c r="J525" s="944"/>
      <c r="K525" s="944"/>
      <c r="L525" s="944"/>
      <c r="M525" s="944"/>
      <c r="N525" s="944"/>
    </row>
    <row r="526" spans="3:14" ht="14.25" customHeight="1">
      <c r="C526" s="944"/>
      <c r="D526" s="944"/>
      <c r="E526" s="944"/>
      <c r="F526" s="944"/>
      <c r="G526" s="944"/>
      <c r="H526" s="944"/>
      <c r="I526" s="944"/>
      <c r="J526" s="944"/>
      <c r="K526" s="944"/>
      <c r="L526" s="944"/>
      <c r="M526" s="944"/>
      <c r="N526" s="944"/>
    </row>
    <row r="527" spans="3:14" ht="14.25" customHeight="1">
      <c r="C527" s="944"/>
      <c r="D527" s="944"/>
      <c r="E527" s="944"/>
      <c r="F527" s="944"/>
      <c r="G527" s="944"/>
      <c r="H527" s="944"/>
      <c r="I527" s="944"/>
      <c r="J527" s="944"/>
      <c r="K527" s="944"/>
      <c r="L527" s="944"/>
      <c r="M527" s="944"/>
      <c r="N527" s="944"/>
    </row>
    <row r="528" spans="3:14" ht="14.25" customHeight="1">
      <c r="C528" s="944"/>
      <c r="D528" s="944"/>
      <c r="E528" s="944"/>
      <c r="F528" s="944"/>
      <c r="G528" s="944"/>
      <c r="H528" s="944"/>
      <c r="I528" s="944"/>
      <c r="J528" s="944"/>
      <c r="K528" s="944"/>
      <c r="L528" s="944"/>
      <c r="M528" s="944"/>
      <c r="N528" s="944"/>
    </row>
    <row r="529" spans="3:14" ht="14.25" customHeight="1">
      <c r="C529" s="944"/>
      <c r="D529" s="944"/>
      <c r="E529" s="944"/>
      <c r="F529" s="944"/>
      <c r="G529" s="944"/>
      <c r="H529" s="944"/>
      <c r="I529" s="944"/>
      <c r="J529" s="944"/>
      <c r="K529" s="944"/>
      <c r="L529" s="944"/>
      <c r="M529" s="944"/>
      <c r="N529" s="944"/>
    </row>
    <row r="530" spans="3:14" ht="14.25" customHeight="1">
      <c r="C530" s="944"/>
      <c r="D530" s="944"/>
      <c r="E530" s="944"/>
      <c r="F530" s="944"/>
      <c r="G530" s="944"/>
      <c r="H530" s="944"/>
      <c r="I530" s="944"/>
      <c r="J530" s="944"/>
      <c r="K530" s="944"/>
      <c r="L530" s="944"/>
      <c r="M530" s="944"/>
      <c r="N530" s="944"/>
    </row>
    <row r="531" spans="3:14" ht="14.25" customHeight="1">
      <c r="C531" s="944"/>
      <c r="D531" s="944"/>
      <c r="E531" s="944"/>
      <c r="F531" s="944"/>
      <c r="G531" s="944"/>
      <c r="H531" s="944"/>
      <c r="I531" s="944"/>
      <c r="J531" s="944"/>
      <c r="K531" s="944"/>
      <c r="L531" s="944"/>
      <c r="M531" s="944"/>
      <c r="N531" s="944"/>
    </row>
    <row r="532" spans="3:14" ht="14.25" customHeight="1">
      <c r="C532" s="944"/>
      <c r="D532" s="944"/>
      <c r="E532" s="944"/>
      <c r="F532" s="944"/>
      <c r="G532" s="944"/>
      <c r="H532" s="944"/>
      <c r="I532" s="944"/>
      <c r="J532" s="944"/>
      <c r="K532" s="944"/>
      <c r="L532" s="944"/>
      <c r="M532" s="944"/>
      <c r="N532" s="944"/>
    </row>
    <row r="533" spans="3:14" ht="14.25" customHeight="1">
      <c r="C533" s="944"/>
      <c r="D533" s="944"/>
      <c r="E533" s="944"/>
      <c r="F533" s="944"/>
      <c r="G533" s="944"/>
      <c r="H533" s="944"/>
      <c r="I533" s="944"/>
      <c r="J533" s="944"/>
      <c r="K533" s="944"/>
      <c r="L533" s="944"/>
      <c r="M533" s="944"/>
      <c r="N533" s="944"/>
    </row>
    <row r="534" spans="3:14" ht="14.25" customHeight="1">
      <c r="C534" s="944"/>
      <c r="D534" s="944"/>
      <c r="E534" s="944"/>
      <c r="F534" s="944"/>
      <c r="G534" s="944"/>
      <c r="H534" s="944"/>
      <c r="I534" s="944"/>
      <c r="J534" s="944"/>
      <c r="K534" s="944"/>
      <c r="L534" s="944"/>
      <c r="M534" s="944"/>
      <c r="N534" s="944"/>
    </row>
    <row r="535" spans="3:14" ht="14.25" customHeight="1">
      <c r="C535" s="944"/>
      <c r="D535" s="944"/>
      <c r="E535" s="944"/>
      <c r="F535" s="944"/>
      <c r="G535" s="944"/>
      <c r="H535" s="944"/>
      <c r="I535" s="944"/>
      <c r="J535" s="944"/>
      <c r="K535" s="944"/>
      <c r="L535" s="944"/>
      <c r="M535" s="944"/>
      <c r="N535" s="944"/>
    </row>
    <row r="536" spans="3:14" ht="14.25" customHeight="1">
      <c r="C536" s="944"/>
      <c r="D536" s="944"/>
      <c r="E536" s="944"/>
      <c r="F536" s="944"/>
      <c r="G536" s="944"/>
      <c r="H536" s="944"/>
      <c r="I536" s="944"/>
      <c r="J536" s="944"/>
      <c r="K536" s="944"/>
      <c r="L536" s="944"/>
      <c r="M536" s="944"/>
      <c r="N536" s="944"/>
    </row>
    <row r="537" spans="3:14" ht="14.25" customHeight="1">
      <c r="C537" s="944"/>
      <c r="D537" s="944"/>
      <c r="E537" s="944"/>
      <c r="F537" s="944"/>
      <c r="G537" s="944"/>
      <c r="H537" s="944"/>
      <c r="I537" s="944"/>
      <c r="J537" s="944"/>
      <c r="K537" s="944"/>
      <c r="L537" s="944"/>
      <c r="M537" s="944"/>
      <c r="N537" s="944"/>
    </row>
    <row r="538" spans="3:14" ht="14.25" customHeight="1">
      <c r="C538" s="944"/>
      <c r="D538" s="944"/>
      <c r="E538" s="944"/>
      <c r="F538" s="944"/>
      <c r="G538" s="944"/>
      <c r="H538" s="944"/>
      <c r="I538" s="944"/>
      <c r="J538" s="944"/>
      <c r="K538" s="944"/>
      <c r="L538" s="944"/>
      <c r="M538" s="944"/>
      <c r="N538" s="944"/>
    </row>
    <row r="539" spans="3:14" ht="14.25" customHeight="1">
      <c r="C539" s="944"/>
      <c r="D539" s="944"/>
      <c r="E539" s="944"/>
      <c r="F539" s="944"/>
      <c r="G539" s="944"/>
      <c r="H539" s="944"/>
      <c r="I539" s="944"/>
      <c r="J539" s="944"/>
      <c r="K539" s="944"/>
      <c r="L539" s="944"/>
      <c r="M539" s="944"/>
      <c r="N539" s="944"/>
    </row>
    <row r="540" spans="3:14" ht="14.25" customHeight="1">
      <c r="C540" s="944"/>
      <c r="D540" s="944"/>
      <c r="E540" s="944"/>
      <c r="F540" s="944"/>
      <c r="G540" s="944"/>
      <c r="H540" s="944"/>
      <c r="I540" s="944"/>
      <c r="J540" s="944"/>
      <c r="K540" s="944"/>
      <c r="L540" s="944"/>
      <c r="M540" s="944"/>
      <c r="N540" s="944"/>
    </row>
    <row r="541" spans="3:14" ht="14.25" customHeight="1">
      <c r="C541" s="944"/>
      <c r="D541" s="944"/>
      <c r="E541" s="944"/>
      <c r="F541" s="944"/>
      <c r="G541" s="944"/>
      <c r="H541" s="944"/>
      <c r="I541" s="944"/>
      <c r="J541" s="944"/>
      <c r="K541" s="944"/>
      <c r="L541" s="944"/>
      <c r="M541" s="944"/>
      <c r="N541" s="944"/>
    </row>
    <row r="542" spans="3:14" ht="14.25" customHeight="1">
      <c r="C542" s="944"/>
      <c r="D542" s="944"/>
      <c r="E542" s="944"/>
      <c r="F542" s="944"/>
      <c r="G542" s="944"/>
      <c r="H542" s="944"/>
      <c r="I542" s="944"/>
      <c r="J542" s="944"/>
      <c r="K542" s="944"/>
      <c r="L542" s="944"/>
      <c r="M542" s="944"/>
      <c r="N542" s="944"/>
    </row>
    <row r="543" spans="3:14" ht="14.25" customHeight="1">
      <c r="C543" s="944"/>
      <c r="D543" s="944"/>
      <c r="E543" s="944"/>
      <c r="F543" s="944"/>
      <c r="G543" s="944"/>
      <c r="H543" s="944"/>
      <c r="I543" s="944"/>
      <c r="J543" s="944"/>
      <c r="K543" s="944"/>
      <c r="L543" s="944"/>
      <c r="M543" s="944"/>
      <c r="N543" s="944"/>
    </row>
    <row r="544" spans="3:14" ht="14.25" customHeight="1">
      <c r="C544" s="944"/>
      <c r="D544" s="944"/>
      <c r="E544" s="944"/>
      <c r="F544" s="944"/>
      <c r="G544" s="944"/>
      <c r="H544" s="944"/>
      <c r="I544" s="944"/>
      <c r="J544" s="944"/>
      <c r="K544" s="944"/>
      <c r="L544" s="944"/>
      <c r="M544" s="944"/>
      <c r="N544" s="944"/>
    </row>
    <row r="545" spans="3:14" ht="14.25" customHeight="1">
      <c r="C545" s="944"/>
      <c r="D545" s="944"/>
      <c r="E545" s="944"/>
      <c r="F545" s="944"/>
      <c r="G545" s="944"/>
      <c r="H545" s="944"/>
      <c r="I545" s="944"/>
      <c r="J545" s="944"/>
      <c r="K545" s="944"/>
      <c r="L545" s="944"/>
      <c r="M545" s="944"/>
      <c r="N545" s="944"/>
    </row>
    <row r="546" spans="3:14" ht="14.25" customHeight="1">
      <c r="C546" s="944"/>
      <c r="D546" s="944"/>
      <c r="E546" s="944"/>
      <c r="F546" s="944"/>
      <c r="G546" s="944"/>
      <c r="H546" s="944"/>
      <c r="I546" s="944"/>
      <c r="J546" s="944"/>
      <c r="K546" s="944"/>
      <c r="L546" s="944"/>
      <c r="M546" s="944"/>
      <c r="N546" s="944"/>
    </row>
    <row r="547" spans="3:14" ht="14.25" customHeight="1">
      <c r="C547" s="944"/>
      <c r="D547" s="944"/>
      <c r="E547" s="944"/>
      <c r="F547" s="944"/>
      <c r="G547" s="944"/>
      <c r="H547" s="944"/>
      <c r="I547" s="944"/>
      <c r="J547" s="944"/>
      <c r="K547" s="944"/>
      <c r="L547" s="944"/>
      <c r="M547" s="944"/>
      <c r="N547" s="944"/>
    </row>
    <row r="548" spans="3:14" ht="14.25" customHeight="1">
      <c r="C548" s="944"/>
      <c r="D548" s="944"/>
      <c r="E548" s="944"/>
      <c r="F548" s="944"/>
      <c r="G548" s="944"/>
      <c r="H548" s="944"/>
      <c r="I548" s="944"/>
      <c r="J548" s="944"/>
      <c r="K548" s="944"/>
      <c r="L548" s="944"/>
      <c r="M548" s="944"/>
      <c r="N548" s="944"/>
    </row>
    <row r="549" spans="3:14" ht="14.25" customHeight="1">
      <c r="C549" s="944"/>
      <c r="D549" s="944"/>
      <c r="E549" s="944"/>
      <c r="F549" s="944"/>
      <c r="G549" s="944"/>
      <c r="H549" s="944"/>
      <c r="I549" s="944"/>
      <c r="J549" s="944"/>
      <c r="K549" s="944"/>
      <c r="L549" s="944"/>
      <c r="M549" s="944"/>
      <c r="N549" s="944"/>
    </row>
    <row r="550" spans="3:14" ht="14.25" customHeight="1">
      <c r="C550" s="944"/>
      <c r="D550" s="944"/>
      <c r="E550" s="944"/>
      <c r="F550" s="944"/>
      <c r="G550" s="944"/>
      <c r="H550" s="944"/>
      <c r="I550" s="944"/>
      <c r="J550" s="944"/>
      <c r="K550" s="944"/>
      <c r="L550" s="944"/>
      <c r="M550" s="944"/>
      <c r="N550" s="944"/>
    </row>
    <row r="551" spans="3:14" ht="14.25" customHeight="1">
      <c r="C551" s="944"/>
      <c r="D551" s="944"/>
      <c r="E551" s="944"/>
      <c r="F551" s="944"/>
      <c r="G551" s="944"/>
      <c r="H551" s="944"/>
      <c r="I551" s="944"/>
      <c r="J551" s="944"/>
      <c r="K551" s="944"/>
      <c r="L551" s="944"/>
      <c r="M551" s="944"/>
      <c r="N551" s="944"/>
    </row>
    <row r="552" spans="3:14" ht="14.25" customHeight="1">
      <c r="C552" s="944"/>
      <c r="D552" s="944"/>
      <c r="E552" s="944"/>
      <c r="F552" s="944"/>
      <c r="G552" s="944"/>
      <c r="H552" s="944"/>
      <c r="I552" s="944"/>
      <c r="J552" s="944"/>
      <c r="K552" s="944"/>
      <c r="L552" s="944"/>
      <c r="M552" s="944"/>
      <c r="N552" s="944"/>
    </row>
    <row r="553" spans="3:14" ht="14.25" customHeight="1">
      <c r="C553" s="944"/>
      <c r="D553" s="944"/>
      <c r="E553" s="944"/>
      <c r="F553" s="944"/>
      <c r="G553" s="944"/>
      <c r="H553" s="944"/>
      <c r="I553" s="944"/>
      <c r="J553" s="944"/>
      <c r="K553" s="944"/>
      <c r="L553" s="944"/>
      <c r="M553" s="944"/>
      <c r="N553" s="944"/>
    </row>
    <row r="554" spans="3:14" ht="14.25" customHeight="1">
      <c r="C554" s="944"/>
      <c r="D554" s="944"/>
      <c r="E554" s="944"/>
      <c r="F554" s="944"/>
      <c r="G554" s="944"/>
      <c r="H554" s="944"/>
      <c r="I554" s="944"/>
      <c r="J554" s="944"/>
      <c r="K554" s="944"/>
      <c r="L554" s="944"/>
      <c r="M554" s="944"/>
      <c r="N554" s="944"/>
    </row>
    <row r="555" spans="3:14" ht="14.25" customHeight="1">
      <c r="C555" s="944"/>
      <c r="D555" s="944"/>
      <c r="E555" s="944"/>
      <c r="F555" s="944"/>
      <c r="G555" s="944"/>
      <c r="H555" s="944"/>
      <c r="I555" s="944"/>
      <c r="J555" s="944"/>
      <c r="K555" s="944"/>
      <c r="L555" s="944"/>
      <c r="M555" s="944"/>
      <c r="N555" s="944"/>
    </row>
    <row r="556" spans="3:14" ht="14.25" customHeight="1">
      <c r="C556" s="944"/>
      <c r="D556" s="944"/>
      <c r="E556" s="944"/>
      <c r="F556" s="944"/>
      <c r="G556" s="944"/>
      <c r="H556" s="944"/>
      <c r="I556" s="944"/>
      <c r="J556" s="944"/>
      <c r="K556" s="944"/>
      <c r="L556" s="944"/>
      <c r="M556" s="944"/>
      <c r="N556" s="944"/>
    </row>
    <row r="557" spans="3:14" ht="14.25" customHeight="1">
      <c r="C557" s="944"/>
      <c r="D557" s="944"/>
      <c r="E557" s="944"/>
      <c r="F557" s="944"/>
      <c r="G557" s="944"/>
      <c r="H557" s="944"/>
      <c r="I557" s="944"/>
      <c r="J557" s="944"/>
      <c r="K557" s="944"/>
      <c r="L557" s="944"/>
      <c r="M557" s="944"/>
      <c r="N557" s="944"/>
    </row>
    <row r="558" spans="3:14" ht="14.25" customHeight="1">
      <c r="C558" s="944"/>
      <c r="D558" s="944"/>
      <c r="E558" s="944"/>
      <c r="F558" s="944"/>
      <c r="G558" s="944"/>
      <c r="H558" s="944"/>
      <c r="I558" s="944"/>
      <c r="J558" s="944"/>
      <c r="K558" s="944"/>
      <c r="L558" s="944"/>
      <c r="M558" s="944"/>
      <c r="N558" s="944"/>
    </row>
    <row r="559" spans="3:14" ht="14.25" customHeight="1">
      <c r="C559" s="944"/>
      <c r="D559" s="944"/>
      <c r="E559" s="944"/>
      <c r="F559" s="944"/>
      <c r="G559" s="944"/>
      <c r="H559" s="944"/>
      <c r="I559" s="944"/>
      <c r="J559" s="944"/>
      <c r="K559" s="944"/>
      <c r="L559" s="944"/>
      <c r="M559" s="944"/>
      <c r="N559" s="944"/>
    </row>
    <row r="560" spans="3:14" ht="14.25" customHeight="1">
      <c r="C560" s="944"/>
      <c r="D560" s="944"/>
      <c r="E560" s="944"/>
      <c r="F560" s="944"/>
      <c r="G560" s="944"/>
      <c r="H560" s="944"/>
      <c r="I560" s="944"/>
      <c r="J560" s="944"/>
      <c r="K560" s="944"/>
      <c r="L560" s="944"/>
      <c r="M560" s="944"/>
      <c r="N560" s="944"/>
    </row>
    <row r="561" spans="3:14" ht="14.25" customHeight="1">
      <c r="C561" s="944"/>
      <c r="D561" s="944"/>
      <c r="E561" s="944"/>
      <c r="F561" s="944"/>
      <c r="G561" s="944"/>
      <c r="H561" s="944"/>
      <c r="I561" s="944"/>
      <c r="J561" s="944"/>
      <c r="K561" s="944"/>
      <c r="L561" s="944"/>
      <c r="M561" s="944"/>
      <c r="N561" s="944"/>
    </row>
    <row r="562" spans="3:14" ht="14.25" customHeight="1">
      <c r="C562" s="944"/>
      <c r="D562" s="944"/>
      <c r="E562" s="944"/>
      <c r="F562" s="944"/>
      <c r="G562" s="944"/>
      <c r="H562" s="944"/>
      <c r="I562" s="944"/>
      <c r="J562" s="944"/>
      <c r="K562" s="944"/>
      <c r="L562" s="944"/>
      <c r="M562" s="944"/>
      <c r="N562" s="944"/>
    </row>
    <row r="563" spans="3:14" ht="14.25" customHeight="1">
      <c r="C563" s="944"/>
      <c r="D563" s="944"/>
      <c r="E563" s="944"/>
      <c r="F563" s="944"/>
      <c r="G563" s="944"/>
      <c r="H563" s="944"/>
      <c r="I563" s="944"/>
      <c r="J563" s="944"/>
      <c r="K563" s="944"/>
      <c r="L563" s="944"/>
      <c r="M563" s="944"/>
      <c r="N563" s="944"/>
    </row>
    <row r="564" spans="3:14" ht="14.25" customHeight="1">
      <c r="C564" s="944"/>
      <c r="D564" s="944"/>
      <c r="E564" s="944"/>
      <c r="F564" s="944"/>
      <c r="G564" s="944"/>
      <c r="H564" s="944"/>
      <c r="I564" s="944"/>
      <c r="J564" s="944"/>
      <c r="K564" s="944"/>
      <c r="L564" s="944"/>
      <c r="M564" s="944"/>
      <c r="N564" s="944"/>
    </row>
    <row r="565" spans="3:14" ht="14.25" customHeight="1">
      <c r="C565" s="944"/>
      <c r="D565" s="944"/>
      <c r="E565" s="944"/>
      <c r="F565" s="944"/>
      <c r="G565" s="944"/>
      <c r="H565" s="944"/>
      <c r="I565" s="944"/>
      <c r="J565" s="944"/>
      <c r="K565" s="944"/>
      <c r="L565" s="944"/>
      <c r="M565" s="944"/>
      <c r="N565" s="944"/>
    </row>
    <row r="566" spans="3:14" ht="14.25" customHeight="1">
      <c r="C566" s="944"/>
      <c r="D566" s="944"/>
      <c r="E566" s="944"/>
      <c r="F566" s="944"/>
      <c r="G566" s="944"/>
      <c r="H566" s="944"/>
      <c r="I566" s="944"/>
      <c r="J566" s="944"/>
      <c r="K566" s="944"/>
      <c r="L566" s="944"/>
      <c r="M566" s="944"/>
      <c r="N566" s="944"/>
    </row>
    <row r="567" spans="3:14" ht="14.25" customHeight="1">
      <c r="C567" s="944"/>
      <c r="D567" s="944"/>
      <c r="E567" s="944"/>
      <c r="F567" s="944"/>
      <c r="G567" s="944"/>
      <c r="H567" s="944"/>
      <c r="I567" s="944"/>
      <c r="J567" s="944"/>
      <c r="K567" s="944"/>
      <c r="L567" s="944"/>
      <c r="M567" s="944"/>
      <c r="N567" s="944"/>
    </row>
    <row r="568" spans="3:14" ht="14.25" customHeight="1">
      <c r="C568" s="944"/>
      <c r="D568" s="944"/>
      <c r="E568" s="944"/>
      <c r="F568" s="944"/>
      <c r="G568" s="944"/>
      <c r="H568" s="944"/>
      <c r="I568" s="944"/>
      <c r="J568" s="944"/>
      <c r="K568" s="944"/>
      <c r="L568" s="944"/>
      <c r="M568" s="944"/>
      <c r="N568" s="944"/>
    </row>
    <row r="569" spans="3:14" ht="14.25" customHeight="1">
      <c r="C569" s="944"/>
      <c r="D569" s="944"/>
      <c r="E569" s="944"/>
      <c r="F569" s="944"/>
      <c r="G569" s="944"/>
      <c r="H569" s="944"/>
      <c r="I569" s="944"/>
      <c r="J569" s="944"/>
      <c r="K569" s="944"/>
      <c r="L569" s="944"/>
      <c r="M569" s="944"/>
      <c r="N569" s="944"/>
    </row>
    <row r="570" spans="3:14" ht="14.25" customHeight="1">
      <c r="C570" s="944"/>
      <c r="D570" s="944"/>
      <c r="E570" s="944"/>
      <c r="F570" s="944"/>
      <c r="G570" s="944"/>
      <c r="H570" s="944"/>
      <c r="I570" s="944"/>
      <c r="J570" s="944"/>
      <c r="K570" s="944"/>
      <c r="L570" s="944"/>
      <c r="M570" s="944"/>
      <c r="N570" s="944"/>
    </row>
    <row r="571" spans="3:14" ht="14.25" customHeight="1">
      <c r="C571" s="944"/>
      <c r="D571" s="944"/>
      <c r="E571" s="944"/>
      <c r="F571" s="944"/>
      <c r="G571" s="944"/>
      <c r="H571" s="944"/>
      <c r="I571" s="944"/>
      <c r="J571" s="944"/>
      <c r="K571" s="944"/>
      <c r="L571" s="944"/>
      <c r="M571" s="944"/>
      <c r="N571" s="944"/>
    </row>
    <row r="572" spans="3:14" ht="14.25" customHeight="1">
      <c r="C572" s="944"/>
      <c r="D572" s="944"/>
      <c r="E572" s="944"/>
      <c r="F572" s="944"/>
      <c r="G572" s="944"/>
      <c r="H572" s="944"/>
      <c r="I572" s="944"/>
      <c r="J572" s="944"/>
      <c r="K572" s="944"/>
      <c r="L572" s="944"/>
      <c r="M572" s="944"/>
      <c r="N572" s="944"/>
    </row>
    <row r="573" spans="3:14" ht="14.25" customHeight="1">
      <c r="C573" s="944"/>
      <c r="D573" s="944"/>
      <c r="E573" s="944"/>
      <c r="F573" s="944"/>
      <c r="G573" s="944"/>
      <c r="H573" s="944"/>
      <c r="I573" s="944"/>
      <c r="J573" s="944"/>
      <c r="K573" s="944"/>
      <c r="L573" s="944"/>
      <c r="M573" s="944"/>
      <c r="N573" s="944"/>
    </row>
    <row r="574" spans="3:14" ht="14.25" customHeight="1">
      <c r="C574" s="944"/>
      <c r="D574" s="944"/>
      <c r="E574" s="944"/>
      <c r="F574" s="944"/>
      <c r="G574" s="944"/>
      <c r="H574" s="944"/>
      <c r="I574" s="944"/>
      <c r="J574" s="944"/>
      <c r="K574" s="944"/>
      <c r="L574" s="944"/>
      <c r="M574" s="944"/>
      <c r="N574" s="944"/>
    </row>
    <row r="575" spans="3:14" ht="14.25" customHeight="1">
      <c r="C575" s="944"/>
      <c r="D575" s="944"/>
      <c r="E575" s="944"/>
      <c r="F575" s="944"/>
      <c r="G575" s="944"/>
      <c r="H575" s="944"/>
      <c r="I575" s="944"/>
      <c r="J575" s="944"/>
      <c r="K575" s="944"/>
      <c r="L575" s="944"/>
      <c r="M575" s="944"/>
      <c r="N575" s="944"/>
    </row>
    <row r="576" spans="3:14" ht="14.25" customHeight="1">
      <c r="C576" s="944"/>
      <c r="D576" s="944"/>
      <c r="E576" s="944"/>
      <c r="F576" s="944"/>
      <c r="G576" s="944"/>
      <c r="H576" s="944"/>
      <c r="I576" s="944"/>
      <c r="J576" s="944"/>
      <c r="K576" s="944"/>
      <c r="L576" s="944"/>
      <c r="M576" s="944"/>
      <c r="N576" s="944"/>
    </row>
    <row r="577" spans="3:14" ht="14.25" customHeight="1">
      <c r="C577" s="944"/>
      <c r="D577" s="944"/>
      <c r="E577" s="944"/>
      <c r="F577" s="944"/>
      <c r="G577" s="944"/>
      <c r="H577" s="944"/>
      <c r="I577" s="944"/>
      <c r="J577" s="944"/>
      <c r="K577" s="944"/>
      <c r="L577" s="944"/>
      <c r="M577" s="944"/>
      <c r="N577" s="944"/>
    </row>
    <row r="578" spans="3:14" ht="14.25" customHeight="1">
      <c r="C578" s="944"/>
      <c r="D578" s="944"/>
      <c r="E578" s="944"/>
      <c r="F578" s="944"/>
      <c r="G578" s="944"/>
      <c r="H578" s="944"/>
      <c r="I578" s="944"/>
      <c r="J578" s="944"/>
      <c r="K578" s="944"/>
      <c r="L578" s="944"/>
      <c r="M578" s="944"/>
      <c r="N578" s="944"/>
    </row>
    <row r="579" spans="3:14" ht="14.25" customHeight="1">
      <c r="C579" s="944"/>
      <c r="D579" s="944"/>
      <c r="E579" s="944"/>
      <c r="F579" s="944"/>
      <c r="G579" s="944"/>
      <c r="H579" s="944"/>
      <c r="I579" s="944"/>
      <c r="J579" s="944"/>
      <c r="K579" s="944"/>
      <c r="L579" s="944"/>
      <c r="M579" s="944"/>
      <c r="N579" s="944"/>
    </row>
    <row r="580" spans="3:14" ht="14.25" customHeight="1">
      <c r="C580" s="944"/>
      <c r="D580" s="944"/>
      <c r="E580" s="944"/>
      <c r="F580" s="944"/>
      <c r="G580" s="944"/>
      <c r="H580" s="944"/>
      <c r="I580" s="944"/>
      <c r="J580" s="944"/>
      <c r="K580" s="944"/>
      <c r="L580" s="944"/>
      <c r="M580" s="944"/>
      <c r="N580" s="944"/>
    </row>
    <row r="581" spans="3:14" ht="14.25" customHeight="1">
      <c r="C581" s="944"/>
      <c r="D581" s="944"/>
      <c r="E581" s="944"/>
      <c r="F581" s="944"/>
      <c r="G581" s="944"/>
      <c r="H581" s="944"/>
      <c r="I581" s="944"/>
      <c r="J581" s="944"/>
      <c r="K581" s="944"/>
      <c r="L581" s="944"/>
      <c r="M581" s="944"/>
      <c r="N581" s="944"/>
    </row>
    <row r="582" spans="3:14" ht="14.25" customHeight="1">
      <c r="C582" s="944"/>
      <c r="D582" s="944"/>
      <c r="E582" s="944"/>
      <c r="F582" s="944"/>
      <c r="G582" s="944"/>
      <c r="H582" s="944"/>
      <c r="I582" s="944"/>
      <c r="J582" s="944"/>
      <c r="K582" s="944"/>
      <c r="L582" s="944"/>
      <c r="M582" s="944"/>
      <c r="N582" s="944"/>
    </row>
    <row r="583" spans="3:14" ht="14.25" customHeight="1">
      <c r="C583" s="944"/>
      <c r="D583" s="944"/>
      <c r="E583" s="944"/>
      <c r="F583" s="944"/>
      <c r="G583" s="944"/>
      <c r="H583" s="944"/>
      <c r="I583" s="944"/>
      <c r="J583" s="944"/>
      <c r="K583" s="944"/>
      <c r="L583" s="944"/>
      <c r="M583" s="944"/>
      <c r="N583" s="944"/>
    </row>
    <row r="584" spans="3:14" ht="14.25" customHeight="1">
      <c r="C584" s="944"/>
      <c r="D584" s="944"/>
      <c r="E584" s="944"/>
      <c r="F584" s="944"/>
      <c r="G584" s="944"/>
      <c r="H584" s="944"/>
      <c r="I584" s="944"/>
      <c r="J584" s="944"/>
      <c r="K584" s="944"/>
      <c r="L584" s="944"/>
      <c r="M584" s="944"/>
      <c r="N584" s="944"/>
    </row>
    <row r="585" spans="3:14" ht="14.25" customHeight="1">
      <c r="C585" s="944"/>
      <c r="D585" s="944"/>
      <c r="E585" s="944"/>
      <c r="F585" s="944"/>
      <c r="G585" s="944"/>
      <c r="H585" s="944"/>
      <c r="I585" s="944"/>
      <c r="J585" s="944"/>
      <c r="K585" s="944"/>
      <c r="L585" s="944"/>
      <c r="M585" s="944"/>
      <c r="N585" s="944"/>
    </row>
    <row r="586" spans="3:14" ht="14.25" customHeight="1">
      <c r="C586" s="944"/>
      <c r="D586" s="944"/>
      <c r="E586" s="944"/>
      <c r="F586" s="944"/>
      <c r="G586" s="944"/>
      <c r="H586" s="944"/>
      <c r="I586" s="944"/>
      <c r="J586" s="944"/>
      <c r="K586" s="944"/>
      <c r="L586" s="944"/>
      <c r="M586" s="944"/>
      <c r="N586" s="944"/>
    </row>
    <row r="587" spans="3:14" ht="14.25" customHeight="1">
      <c r="C587" s="944"/>
      <c r="D587" s="944"/>
      <c r="E587" s="944"/>
      <c r="F587" s="944"/>
      <c r="G587" s="944"/>
      <c r="H587" s="944"/>
      <c r="I587" s="944"/>
      <c r="J587" s="944"/>
      <c r="K587" s="944"/>
      <c r="L587" s="944"/>
      <c r="M587" s="944"/>
      <c r="N587" s="944"/>
    </row>
    <row r="588" spans="3:14" ht="14.25" customHeight="1">
      <c r="C588" s="944"/>
      <c r="D588" s="944"/>
      <c r="E588" s="944"/>
      <c r="F588" s="944"/>
      <c r="G588" s="944"/>
      <c r="H588" s="944"/>
      <c r="I588" s="944"/>
      <c r="J588" s="944"/>
      <c r="K588" s="944"/>
      <c r="L588" s="944"/>
      <c r="M588" s="944"/>
      <c r="N588" s="944"/>
    </row>
    <row r="589" spans="3:14" ht="14.25" customHeight="1">
      <c r="C589" s="944"/>
      <c r="D589" s="944"/>
      <c r="E589" s="944"/>
      <c r="F589" s="944"/>
      <c r="G589" s="944"/>
      <c r="H589" s="944"/>
      <c r="I589" s="944"/>
      <c r="J589" s="944"/>
      <c r="K589" s="944"/>
      <c r="L589" s="944"/>
      <c r="M589" s="944"/>
      <c r="N589" s="944"/>
    </row>
    <row r="590" spans="3:14" ht="14.25" customHeight="1">
      <c r="C590" s="944"/>
      <c r="D590" s="944"/>
      <c r="E590" s="944"/>
      <c r="F590" s="944"/>
      <c r="G590" s="944"/>
      <c r="H590" s="944"/>
      <c r="I590" s="944"/>
      <c r="J590" s="944"/>
      <c r="K590" s="944"/>
      <c r="L590" s="944"/>
      <c r="M590" s="944"/>
      <c r="N590" s="944"/>
    </row>
    <row r="591" spans="3:14" ht="14.25" customHeight="1">
      <c r="C591" s="944"/>
      <c r="D591" s="944"/>
      <c r="E591" s="944"/>
      <c r="F591" s="944"/>
      <c r="G591" s="944"/>
      <c r="H591" s="944"/>
      <c r="I591" s="944"/>
      <c r="J591" s="944"/>
      <c r="K591" s="944"/>
      <c r="L591" s="944"/>
      <c r="M591" s="944"/>
      <c r="N591" s="944"/>
    </row>
    <row r="592" spans="3:14" ht="14.25" customHeight="1">
      <c r="C592" s="944"/>
      <c r="D592" s="944"/>
      <c r="E592" s="944"/>
      <c r="F592" s="944"/>
      <c r="G592" s="944"/>
      <c r="H592" s="944"/>
      <c r="I592" s="944"/>
      <c r="J592" s="944"/>
      <c r="K592" s="944"/>
      <c r="L592" s="944"/>
      <c r="M592" s="944"/>
      <c r="N592" s="944"/>
    </row>
    <row r="593" spans="3:14" ht="14.25" customHeight="1">
      <c r="C593" s="944"/>
      <c r="D593" s="944"/>
      <c r="E593" s="944"/>
      <c r="F593" s="944"/>
      <c r="G593" s="944"/>
      <c r="H593" s="944"/>
      <c r="I593" s="944"/>
      <c r="J593" s="944"/>
      <c r="K593" s="944"/>
      <c r="L593" s="944"/>
      <c r="M593" s="944"/>
      <c r="N593" s="944"/>
    </row>
    <row r="594" spans="3:14" ht="14.25" customHeight="1">
      <c r="C594" s="944"/>
      <c r="D594" s="944"/>
      <c r="E594" s="944"/>
      <c r="F594" s="944"/>
      <c r="G594" s="944"/>
      <c r="H594" s="944"/>
      <c r="I594" s="944"/>
      <c r="J594" s="944"/>
      <c r="K594" s="944"/>
      <c r="L594" s="944"/>
      <c r="M594" s="944"/>
      <c r="N594" s="944"/>
    </row>
    <row r="595" spans="3:14" ht="14.25" customHeight="1">
      <c r="C595" s="944"/>
      <c r="D595" s="944"/>
      <c r="E595" s="944"/>
      <c r="F595" s="944"/>
      <c r="G595" s="944"/>
      <c r="H595" s="944"/>
      <c r="I595" s="944"/>
      <c r="J595" s="944"/>
      <c r="K595" s="944"/>
      <c r="L595" s="944"/>
      <c r="M595" s="944"/>
      <c r="N595" s="944"/>
    </row>
    <row r="596" spans="3:14" ht="14.25" customHeight="1">
      <c r="C596" s="944"/>
      <c r="D596" s="944"/>
      <c r="E596" s="944"/>
      <c r="F596" s="944"/>
      <c r="G596" s="944"/>
      <c r="H596" s="944"/>
      <c r="I596" s="944"/>
      <c r="J596" s="944"/>
      <c r="K596" s="944"/>
      <c r="L596" s="944"/>
      <c r="M596" s="944"/>
      <c r="N596" s="944"/>
    </row>
    <row r="597" spans="3:14" ht="14.25" customHeight="1">
      <c r="C597" s="944"/>
      <c r="D597" s="944"/>
      <c r="E597" s="944"/>
      <c r="F597" s="944"/>
      <c r="G597" s="944"/>
      <c r="H597" s="944"/>
      <c r="I597" s="944"/>
      <c r="J597" s="944"/>
      <c r="K597" s="944"/>
      <c r="L597" s="944"/>
      <c r="M597" s="944"/>
      <c r="N597" s="944"/>
    </row>
    <row r="598" spans="3:14" ht="14.25" customHeight="1">
      <c r="C598" s="944"/>
      <c r="D598" s="944"/>
      <c r="E598" s="944"/>
      <c r="F598" s="944"/>
      <c r="G598" s="944"/>
      <c r="H598" s="944"/>
      <c r="I598" s="944"/>
      <c r="J598" s="944"/>
      <c r="K598" s="944"/>
      <c r="L598" s="944"/>
      <c r="M598" s="944"/>
      <c r="N598" s="944"/>
    </row>
    <row r="599" spans="3:14" ht="14.25" customHeight="1">
      <c r="C599" s="944"/>
      <c r="D599" s="944"/>
      <c r="E599" s="944"/>
      <c r="F599" s="944"/>
      <c r="G599" s="944"/>
      <c r="H599" s="944"/>
      <c r="I599" s="944"/>
      <c r="J599" s="944"/>
      <c r="K599" s="944"/>
      <c r="L599" s="944"/>
      <c r="M599" s="944"/>
      <c r="N599" s="944"/>
    </row>
    <row r="600" spans="3:14" ht="14.25" customHeight="1">
      <c r="C600" s="944"/>
      <c r="D600" s="944"/>
      <c r="E600" s="944"/>
      <c r="F600" s="944"/>
      <c r="G600" s="944"/>
      <c r="H600" s="944"/>
      <c r="I600" s="944"/>
      <c r="J600" s="944"/>
      <c r="K600" s="944"/>
      <c r="L600" s="944"/>
      <c r="M600" s="944"/>
      <c r="N600" s="944"/>
    </row>
    <row r="601" spans="3:14" ht="14.25" customHeight="1">
      <c r="C601" s="944"/>
      <c r="D601" s="944"/>
      <c r="E601" s="944"/>
      <c r="F601" s="944"/>
      <c r="G601" s="944"/>
      <c r="H601" s="944"/>
      <c r="I601" s="944"/>
      <c r="J601" s="944"/>
      <c r="K601" s="944"/>
      <c r="L601" s="944"/>
      <c r="M601" s="944"/>
      <c r="N601" s="944"/>
    </row>
    <row r="602" spans="3:14" ht="14.25" customHeight="1">
      <c r="C602" s="944"/>
      <c r="D602" s="944"/>
      <c r="E602" s="944"/>
      <c r="F602" s="944"/>
      <c r="G602" s="944"/>
      <c r="H602" s="944"/>
      <c r="I602" s="944"/>
      <c r="J602" s="944"/>
      <c r="K602" s="944"/>
      <c r="L602" s="944"/>
      <c r="M602" s="944"/>
      <c r="N602" s="944"/>
    </row>
    <row r="603" spans="3:14" ht="14.25" customHeight="1">
      <c r="C603" s="944"/>
      <c r="D603" s="944"/>
      <c r="E603" s="944"/>
      <c r="F603" s="944"/>
      <c r="G603" s="944"/>
      <c r="H603" s="944"/>
      <c r="I603" s="944"/>
      <c r="J603" s="944"/>
      <c r="K603" s="944"/>
      <c r="L603" s="944"/>
      <c r="M603" s="944"/>
      <c r="N603" s="944"/>
    </row>
    <row r="604" spans="3:14" ht="14.25" customHeight="1">
      <c r="C604" s="944"/>
      <c r="D604" s="944"/>
      <c r="E604" s="944"/>
      <c r="F604" s="944"/>
      <c r="G604" s="944"/>
      <c r="H604" s="944"/>
      <c r="I604" s="944"/>
      <c r="J604" s="944"/>
      <c r="K604" s="944"/>
      <c r="L604" s="944"/>
      <c r="M604" s="944"/>
      <c r="N604" s="944"/>
    </row>
    <row r="605" spans="3:14" ht="14.25" customHeight="1">
      <c r="C605" s="944"/>
      <c r="D605" s="944"/>
      <c r="E605" s="944"/>
      <c r="F605" s="944"/>
      <c r="G605" s="944"/>
      <c r="H605" s="944"/>
      <c r="I605" s="944"/>
      <c r="J605" s="944"/>
      <c r="K605" s="944"/>
      <c r="L605" s="944"/>
      <c r="M605" s="944"/>
      <c r="N605" s="944"/>
    </row>
    <row r="606" spans="3:14" ht="14.25" customHeight="1">
      <c r="C606" s="944"/>
      <c r="D606" s="944"/>
      <c r="E606" s="944"/>
      <c r="F606" s="944"/>
      <c r="G606" s="944"/>
      <c r="H606" s="944"/>
      <c r="I606" s="944"/>
      <c r="J606" s="944"/>
      <c r="K606" s="944"/>
      <c r="L606" s="944"/>
      <c r="M606" s="944"/>
      <c r="N606" s="944"/>
    </row>
    <row r="607" spans="3:14" ht="14.25" customHeight="1">
      <c r="C607" s="944"/>
      <c r="D607" s="944"/>
      <c r="E607" s="944"/>
      <c r="F607" s="944"/>
      <c r="G607" s="944"/>
      <c r="H607" s="944"/>
      <c r="I607" s="944"/>
      <c r="J607" s="944"/>
      <c r="K607" s="944"/>
      <c r="L607" s="944"/>
      <c r="M607" s="944"/>
      <c r="N607" s="944"/>
    </row>
    <row r="608" spans="3:14" ht="14.25" customHeight="1">
      <c r="C608" s="944"/>
      <c r="D608" s="944"/>
      <c r="E608" s="944"/>
      <c r="F608" s="944"/>
      <c r="G608" s="944"/>
      <c r="H608" s="944"/>
      <c r="I608" s="944"/>
      <c r="J608" s="944"/>
      <c r="K608" s="944"/>
      <c r="L608" s="944"/>
      <c r="M608" s="944"/>
      <c r="N608" s="944"/>
    </row>
    <row r="609" spans="3:14" ht="14.25" customHeight="1">
      <c r="C609" s="944"/>
      <c r="D609" s="944"/>
      <c r="E609" s="944"/>
      <c r="F609" s="944"/>
      <c r="G609" s="944"/>
      <c r="H609" s="944"/>
      <c r="I609" s="944"/>
      <c r="J609" s="944"/>
      <c r="K609" s="944"/>
      <c r="L609" s="944"/>
      <c r="M609" s="944"/>
      <c r="N609" s="944"/>
    </row>
    <row r="610" spans="3:14" ht="14.25" customHeight="1">
      <c r="C610" s="944"/>
      <c r="D610" s="944"/>
      <c r="E610" s="944"/>
      <c r="F610" s="944"/>
      <c r="G610" s="944"/>
      <c r="H610" s="944"/>
      <c r="I610" s="944"/>
      <c r="J610" s="944"/>
      <c r="K610" s="944"/>
      <c r="L610" s="944"/>
      <c r="M610" s="944"/>
      <c r="N610" s="944"/>
    </row>
    <row r="611" spans="3:14" ht="14.25" customHeight="1">
      <c r="C611" s="944"/>
      <c r="D611" s="944"/>
      <c r="E611" s="944"/>
      <c r="F611" s="944"/>
      <c r="G611" s="944"/>
      <c r="H611" s="944"/>
      <c r="I611" s="944"/>
      <c r="J611" s="944"/>
      <c r="K611" s="944"/>
      <c r="L611" s="944"/>
      <c r="M611" s="944"/>
      <c r="N611" s="944"/>
    </row>
    <row r="612" spans="3:14" ht="14.25" customHeight="1">
      <c r="C612" s="944"/>
      <c r="D612" s="944"/>
      <c r="E612" s="944"/>
      <c r="F612" s="944"/>
      <c r="G612" s="944"/>
      <c r="H612" s="944"/>
      <c r="I612" s="944"/>
      <c r="J612" s="944"/>
      <c r="K612" s="944"/>
      <c r="L612" s="944"/>
      <c r="M612" s="944"/>
      <c r="N612" s="944"/>
    </row>
    <row r="613" spans="3:14" ht="14.25" customHeight="1">
      <c r="C613" s="944"/>
      <c r="D613" s="944"/>
      <c r="E613" s="944"/>
      <c r="F613" s="944"/>
      <c r="G613" s="944"/>
      <c r="H613" s="944"/>
      <c r="I613" s="944"/>
      <c r="J613" s="944"/>
      <c r="K613" s="944"/>
      <c r="L613" s="944"/>
      <c r="M613" s="944"/>
      <c r="N613" s="944"/>
    </row>
    <row r="614" spans="3:14" ht="14.25" customHeight="1">
      <c r="C614" s="944"/>
      <c r="D614" s="944"/>
      <c r="E614" s="944"/>
      <c r="F614" s="944"/>
      <c r="G614" s="944"/>
      <c r="H614" s="944"/>
      <c r="I614" s="944"/>
      <c r="J614" s="944"/>
      <c r="K614" s="944"/>
      <c r="L614" s="944"/>
      <c r="M614" s="944"/>
      <c r="N614" s="944"/>
    </row>
    <row r="615" spans="3:14" ht="14.25" customHeight="1">
      <c r="C615" s="944"/>
      <c r="D615" s="944"/>
      <c r="E615" s="944"/>
      <c r="F615" s="944"/>
      <c r="G615" s="944"/>
      <c r="H615" s="944"/>
      <c r="I615" s="944"/>
      <c r="J615" s="944"/>
      <c r="K615" s="944"/>
      <c r="L615" s="944"/>
      <c r="M615" s="944"/>
      <c r="N615" s="944"/>
    </row>
    <row r="616" spans="3:14" ht="14.25" customHeight="1">
      <c r="C616" s="944"/>
      <c r="D616" s="944"/>
      <c r="E616" s="944"/>
      <c r="F616" s="944"/>
      <c r="G616" s="944"/>
      <c r="H616" s="944"/>
      <c r="I616" s="944"/>
      <c r="J616" s="944"/>
      <c r="K616" s="944"/>
      <c r="L616" s="944"/>
      <c r="M616" s="944"/>
      <c r="N616" s="944"/>
    </row>
    <row r="617" spans="3:14" ht="14.25" customHeight="1">
      <c r="C617" s="944"/>
      <c r="D617" s="944"/>
      <c r="E617" s="944"/>
      <c r="F617" s="944"/>
      <c r="G617" s="944"/>
      <c r="H617" s="944"/>
      <c r="I617" s="944"/>
      <c r="J617" s="944"/>
      <c r="K617" s="944"/>
      <c r="L617" s="944"/>
      <c r="M617" s="944"/>
      <c r="N617" s="944"/>
    </row>
    <row r="618" spans="3:14" ht="14.25" customHeight="1">
      <c r="C618" s="944"/>
      <c r="D618" s="944"/>
      <c r="E618" s="944"/>
      <c r="F618" s="944"/>
      <c r="G618" s="944"/>
      <c r="H618" s="944"/>
      <c r="I618" s="944"/>
      <c r="J618" s="944"/>
      <c r="K618" s="944"/>
      <c r="L618" s="944"/>
      <c r="M618" s="944"/>
      <c r="N618" s="944"/>
    </row>
    <row r="619" spans="3:14" ht="14.25" customHeight="1">
      <c r="C619" s="944"/>
      <c r="D619" s="944"/>
      <c r="E619" s="944"/>
      <c r="F619" s="944"/>
      <c r="G619" s="944"/>
      <c r="H619" s="944"/>
      <c r="I619" s="944"/>
      <c r="J619" s="944"/>
      <c r="K619" s="944"/>
      <c r="L619" s="944"/>
      <c r="M619" s="944"/>
      <c r="N619" s="944"/>
    </row>
    <row r="620" spans="3:14" ht="14.25" customHeight="1">
      <c r="C620" s="944"/>
      <c r="D620" s="944"/>
      <c r="E620" s="944"/>
      <c r="F620" s="944"/>
      <c r="G620" s="944"/>
      <c r="H620" s="944"/>
      <c r="I620" s="944"/>
      <c r="J620" s="944"/>
      <c r="K620" s="944"/>
      <c r="L620" s="944"/>
      <c r="M620" s="944"/>
      <c r="N620" s="944"/>
    </row>
    <row r="621" spans="3:14" ht="14.25" customHeight="1">
      <c r="C621" s="944"/>
      <c r="D621" s="944"/>
      <c r="E621" s="944"/>
      <c r="F621" s="944"/>
      <c r="G621" s="944"/>
      <c r="H621" s="944"/>
      <c r="I621" s="944"/>
      <c r="J621" s="944"/>
      <c r="K621" s="944"/>
      <c r="L621" s="944"/>
      <c r="M621" s="944"/>
      <c r="N621" s="944"/>
    </row>
    <row r="622" spans="3:14" ht="14.25" customHeight="1">
      <c r="C622" s="944"/>
      <c r="D622" s="944"/>
      <c r="E622" s="944"/>
      <c r="F622" s="944"/>
      <c r="G622" s="944"/>
      <c r="H622" s="944"/>
      <c r="I622" s="944"/>
      <c r="J622" s="944"/>
      <c r="K622" s="944"/>
      <c r="L622" s="944"/>
      <c r="M622" s="944"/>
      <c r="N622" s="944"/>
    </row>
    <row r="623" spans="3:14" ht="14.25" customHeight="1">
      <c r="C623" s="944"/>
      <c r="D623" s="944"/>
      <c r="E623" s="944"/>
      <c r="F623" s="944"/>
      <c r="G623" s="944"/>
      <c r="H623" s="944"/>
      <c r="I623" s="944"/>
      <c r="J623" s="944"/>
      <c r="K623" s="944"/>
      <c r="L623" s="944"/>
      <c r="M623" s="944"/>
      <c r="N623" s="944"/>
    </row>
    <row r="624" spans="3:14" ht="14.25" customHeight="1">
      <c r="C624" s="944"/>
      <c r="D624" s="944"/>
      <c r="E624" s="944"/>
      <c r="F624" s="944"/>
      <c r="G624" s="944"/>
      <c r="H624" s="944"/>
      <c r="I624" s="944"/>
      <c r="J624" s="944"/>
      <c r="K624" s="944"/>
      <c r="L624" s="944"/>
      <c r="M624" s="944"/>
      <c r="N624" s="944"/>
    </row>
    <row r="625" spans="3:14" ht="14.25" customHeight="1">
      <c r="C625" s="944"/>
      <c r="D625" s="944"/>
      <c r="E625" s="944"/>
      <c r="F625" s="944"/>
      <c r="G625" s="944"/>
      <c r="H625" s="944"/>
      <c r="I625" s="944"/>
      <c r="J625" s="944"/>
      <c r="K625" s="944"/>
      <c r="L625" s="944"/>
      <c r="M625" s="944"/>
      <c r="N625" s="944"/>
    </row>
    <row r="626" spans="3:14" ht="14.25" customHeight="1">
      <c r="C626" s="944"/>
      <c r="D626" s="944"/>
      <c r="E626" s="944"/>
      <c r="F626" s="944"/>
      <c r="G626" s="944"/>
      <c r="H626" s="944"/>
      <c r="I626" s="944"/>
      <c r="J626" s="944"/>
      <c r="K626" s="944"/>
      <c r="L626" s="944"/>
      <c r="M626" s="944"/>
      <c r="N626" s="944"/>
    </row>
    <row r="627" spans="3:14" ht="14.25" customHeight="1">
      <c r="C627" s="944"/>
      <c r="D627" s="944"/>
      <c r="E627" s="944"/>
      <c r="F627" s="944"/>
      <c r="G627" s="944"/>
      <c r="H627" s="944"/>
      <c r="I627" s="944"/>
      <c r="J627" s="944"/>
      <c r="K627" s="944"/>
      <c r="L627" s="944"/>
      <c r="M627" s="944"/>
      <c r="N627" s="944"/>
    </row>
    <row r="628" spans="3:14" ht="14.25" customHeight="1">
      <c r="C628" s="944"/>
      <c r="D628" s="944"/>
      <c r="E628" s="944"/>
      <c r="F628" s="944"/>
      <c r="G628" s="944"/>
      <c r="H628" s="944"/>
      <c r="I628" s="944"/>
      <c r="J628" s="944"/>
      <c r="K628" s="944"/>
      <c r="L628" s="944"/>
      <c r="M628" s="944"/>
      <c r="N628" s="944"/>
    </row>
    <row r="629" spans="3:14" ht="14.25" customHeight="1">
      <c r="C629" s="944"/>
      <c r="D629" s="944"/>
      <c r="E629" s="944"/>
      <c r="F629" s="944"/>
      <c r="G629" s="944"/>
      <c r="H629" s="944"/>
      <c r="I629" s="944"/>
      <c r="J629" s="944"/>
      <c r="K629" s="944"/>
      <c r="L629" s="944"/>
      <c r="M629" s="944"/>
      <c r="N629" s="944"/>
    </row>
    <row r="630" spans="3:14" ht="14.25" customHeight="1">
      <c r="C630" s="944"/>
      <c r="D630" s="944"/>
      <c r="E630" s="944"/>
      <c r="F630" s="944"/>
      <c r="G630" s="944"/>
      <c r="H630" s="944"/>
      <c r="I630" s="944"/>
      <c r="J630" s="944"/>
      <c r="K630" s="944"/>
      <c r="L630" s="944"/>
      <c r="M630" s="944"/>
      <c r="N630" s="944"/>
    </row>
    <row r="631" spans="3:14" ht="14.25" customHeight="1">
      <c r="C631" s="944"/>
      <c r="D631" s="944"/>
      <c r="E631" s="944"/>
      <c r="F631" s="944"/>
      <c r="G631" s="944"/>
      <c r="H631" s="944"/>
      <c r="I631" s="944"/>
      <c r="J631" s="944"/>
      <c r="K631" s="944"/>
      <c r="L631" s="944"/>
      <c r="M631" s="944"/>
      <c r="N631" s="944"/>
    </row>
    <row r="632" spans="3:14" ht="14.25" customHeight="1">
      <c r="C632" s="944"/>
      <c r="D632" s="944"/>
      <c r="E632" s="944"/>
      <c r="F632" s="944"/>
      <c r="G632" s="944"/>
      <c r="H632" s="944"/>
      <c r="I632" s="944"/>
      <c r="J632" s="944"/>
      <c r="K632" s="944"/>
      <c r="L632" s="944"/>
      <c r="M632" s="944"/>
      <c r="N632" s="944"/>
    </row>
    <row r="633" spans="3:14" ht="14.25" customHeight="1">
      <c r="C633" s="944"/>
      <c r="D633" s="944"/>
      <c r="E633" s="944"/>
      <c r="F633" s="944"/>
      <c r="G633" s="944"/>
      <c r="H633" s="944"/>
      <c r="I633" s="944"/>
      <c r="J633" s="944"/>
      <c r="K633" s="944"/>
      <c r="L633" s="944"/>
      <c r="M633" s="944"/>
      <c r="N633" s="944"/>
    </row>
    <row r="634" spans="3:14" ht="14.25" customHeight="1">
      <c r="C634" s="944"/>
      <c r="D634" s="944"/>
      <c r="E634" s="944"/>
      <c r="F634" s="944"/>
      <c r="G634" s="944"/>
      <c r="H634" s="944"/>
      <c r="I634" s="944"/>
      <c r="J634" s="944"/>
      <c r="K634" s="944"/>
      <c r="L634" s="944"/>
      <c r="M634" s="944"/>
      <c r="N634" s="944"/>
    </row>
    <row r="635" spans="3:14" ht="14.25" customHeight="1">
      <c r="C635" s="944"/>
      <c r="D635" s="944"/>
      <c r="E635" s="944"/>
      <c r="F635" s="944"/>
      <c r="G635" s="944"/>
      <c r="H635" s="944"/>
      <c r="I635" s="944"/>
      <c r="J635" s="944"/>
      <c r="K635" s="944"/>
      <c r="L635" s="944"/>
      <c r="M635" s="944"/>
      <c r="N635" s="944"/>
    </row>
    <row r="636" spans="3:14" ht="14.25" customHeight="1">
      <c r="C636" s="944"/>
      <c r="D636" s="944"/>
      <c r="E636" s="944"/>
      <c r="F636" s="944"/>
      <c r="G636" s="944"/>
      <c r="H636" s="944"/>
      <c r="I636" s="944"/>
      <c r="J636" s="944"/>
      <c r="K636" s="944"/>
      <c r="L636" s="944"/>
      <c r="M636" s="944"/>
      <c r="N636" s="944"/>
    </row>
    <row r="637" spans="3:14" ht="14.25" customHeight="1">
      <c r="C637" s="944"/>
      <c r="D637" s="944"/>
      <c r="E637" s="944"/>
      <c r="F637" s="944"/>
      <c r="G637" s="944"/>
      <c r="H637" s="944"/>
      <c r="I637" s="944"/>
      <c r="J637" s="944"/>
      <c r="K637" s="944"/>
      <c r="L637" s="944"/>
      <c r="M637" s="944"/>
      <c r="N637" s="944"/>
    </row>
    <row r="638" spans="3:14" ht="14.25" customHeight="1">
      <c r="C638" s="944"/>
      <c r="D638" s="944"/>
      <c r="E638" s="944"/>
      <c r="F638" s="944"/>
      <c r="G638" s="944"/>
      <c r="H638" s="944"/>
      <c r="I638" s="944"/>
      <c r="J638" s="944"/>
      <c r="K638" s="944"/>
      <c r="L638" s="944"/>
      <c r="M638" s="944"/>
      <c r="N638" s="944"/>
    </row>
    <row r="639" spans="3:14" ht="14.25" customHeight="1">
      <c r="C639" s="944"/>
      <c r="D639" s="944"/>
      <c r="E639" s="944"/>
      <c r="F639" s="944"/>
      <c r="G639" s="944"/>
      <c r="H639" s="944"/>
      <c r="I639" s="944"/>
      <c r="J639" s="944"/>
      <c r="K639" s="944"/>
      <c r="L639" s="944"/>
      <c r="M639" s="944"/>
      <c r="N639" s="944"/>
    </row>
    <row r="640" spans="3:14" ht="14.25" customHeight="1">
      <c r="C640" s="944"/>
      <c r="D640" s="944"/>
      <c r="E640" s="944"/>
      <c r="F640" s="944"/>
      <c r="G640" s="944"/>
      <c r="H640" s="944"/>
      <c r="I640" s="944"/>
      <c r="J640" s="944"/>
      <c r="K640" s="944"/>
      <c r="L640" s="944"/>
      <c r="M640" s="944"/>
      <c r="N640" s="944"/>
    </row>
    <row r="641" spans="3:14" ht="14.25" customHeight="1">
      <c r="C641" s="944"/>
      <c r="D641" s="944"/>
      <c r="E641" s="944"/>
      <c r="F641" s="944"/>
      <c r="G641" s="944"/>
      <c r="H641" s="944"/>
      <c r="I641" s="944"/>
      <c r="J641" s="944"/>
      <c r="K641" s="944"/>
      <c r="L641" s="944"/>
      <c r="M641" s="944"/>
      <c r="N641" s="944"/>
    </row>
    <row r="642" spans="3:14" ht="14.25" customHeight="1">
      <c r="C642" s="944"/>
      <c r="D642" s="944"/>
      <c r="E642" s="944"/>
      <c r="F642" s="944"/>
      <c r="G642" s="944"/>
      <c r="H642" s="944"/>
      <c r="I642" s="944"/>
      <c r="J642" s="944"/>
      <c r="K642" s="944"/>
      <c r="L642" s="944"/>
      <c r="M642" s="944"/>
      <c r="N642" s="944"/>
    </row>
    <row r="643" spans="3:14" ht="14.25" customHeight="1">
      <c r="C643" s="944"/>
      <c r="D643" s="944"/>
      <c r="E643" s="944"/>
      <c r="F643" s="944"/>
      <c r="G643" s="944"/>
      <c r="H643" s="944"/>
      <c r="I643" s="944"/>
      <c r="J643" s="944"/>
      <c r="K643" s="944"/>
      <c r="L643" s="944"/>
      <c r="M643" s="944"/>
      <c r="N643" s="944"/>
    </row>
    <row r="644" spans="3:14" ht="14.25" customHeight="1">
      <c r="C644" s="944"/>
      <c r="D644" s="944"/>
      <c r="E644" s="944"/>
      <c r="F644" s="944"/>
      <c r="G644" s="944"/>
      <c r="H644" s="944"/>
      <c r="I644" s="944"/>
      <c r="J644" s="944"/>
      <c r="K644" s="944"/>
      <c r="L644" s="944"/>
      <c r="M644" s="944"/>
      <c r="N644" s="944"/>
    </row>
    <row r="645" spans="3:14" ht="14.25" customHeight="1">
      <c r="C645" s="944"/>
      <c r="D645" s="944"/>
      <c r="E645" s="944"/>
      <c r="F645" s="944"/>
      <c r="G645" s="944"/>
      <c r="H645" s="944"/>
      <c r="I645" s="944"/>
      <c r="J645" s="944"/>
      <c r="K645" s="944"/>
      <c r="L645" s="944"/>
      <c r="M645" s="944"/>
      <c r="N645" s="944"/>
    </row>
    <row r="646" spans="3:14" ht="14.25" customHeight="1">
      <c r="C646" s="944"/>
      <c r="D646" s="944"/>
      <c r="E646" s="944"/>
      <c r="F646" s="944"/>
      <c r="G646" s="944"/>
      <c r="H646" s="944"/>
      <c r="I646" s="944"/>
      <c r="J646" s="944"/>
      <c r="K646" s="944"/>
      <c r="L646" s="944"/>
      <c r="M646" s="944"/>
      <c r="N646" s="944"/>
    </row>
    <row r="647" spans="3:14" ht="14.25" customHeight="1">
      <c r="C647" s="944"/>
      <c r="D647" s="944"/>
      <c r="E647" s="944"/>
      <c r="F647" s="944"/>
      <c r="G647" s="944"/>
      <c r="H647" s="944"/>
      <c r="I647" s="944"/>
      <c r="J647" s="944"/>
      <c r="K647" s="944"/>
      <c r="L647" s="944"/>
      <c r="M647" s="944"/>
      <c r="N647" s="944"/>
    </row>
    <row r="648" spans="3:14" ht="14.25" customHeight="1">
      <c r="C648" s="944"/>
      <c r="D648" s="944"/>
      <c r="E648" s="944"/>
      <c r="F648" s="944"/>
      <c r="G648" s="944"/>
      <c r="H648" s="944"/>
      <c r="I648" s="944"/>
      <c r="J648" s="944"/>
      <c r="K648" s="944"/>
      <c r="L648" s="944"/>
      <c r="M648" s="944"/>
      <c r="N648" s="944"/>
    </row>
    <row r="649" spans="3:14" ht="14.25" customHeight="1">
      <c r="C649" s="944"/>
      <c r="D649" s="944"/>
      <c r="E649" s="944"/>
      <c r="F649" s="944"/>
      <c r="G649" s="944"/>
      <c r="H649" s="944"/>
      <c r="I649" s="944"/>
      <c r="J649" s="944"/>
      <c r="K649" s="944"/>
      <c r="L649" s="944"/>
      <c r="M649" s="944"/>
      <c r="N649" s="944"/>
    </row>
    <row r="650" spans="3:14" ht="14.25" customHeight="1">
      <c r="C650" s="944"/>
      <c r="D650" s="944"/>
      <c r="E650" s="944"/>
      <c r="F650" s="944"/>
      <c r="G650" s="944"/>
      <c r="H650" s="944"/>
      <c r="I650" s="944"/>
      <c r="J650" s="944"/>
      <c r="K650" s="944"/>
      <c r="L650" s="944"/>
      <c r="M650" s="944"/>
      <c r="N650" s="944"/>
    </row>
    <row r="651" spans="3:14" ht="14.25" customHeight="1">
      <c r="C651" s="944"/>
      <c r="D651" s="944"/>
      <c r="E651" s="944"/>
      <c r="F651" s="944"/>
      <c r="G651" s="944"/>
      <c r="H651" s="944"/>
      <c r="I651" s="944"/>
      <c r="J651" s="944"/>
      <c r="K651" s="944"/>
      <c r="L651" s="944"/>
      <c r="M651" s="944"/>
      <c r="N651" s="944"/>
    </row>
  </sheetData>
  <mergeCells count="15">
    <mergeCell ref="L3:L4"/>
    <mergeCell ref="M3:M4"/>
    <mergeCell ref="N3:N4"/>
    <mergeCell ref="O3:O4"/>
    <mergeCell ref="P3:P4"/>
    <mergeCell ref="F3:F4"/>
    <mergeCell ref="G3:G4"/>
    <mergeCell ref="H3:H4"/>
    <mergeCell ref="I3:I4"/>
    <mergeCell ref="J3:K3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orientation="portrait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V2005"/>
  <sheetViews>
    <sheetView topLeftCell="E6" zoomScale="80" zoomScaleNormal="80" workbookViewId="0">
      <pane ySplit="1" topLeftCell="A69" activePane="bottomLeft" state="frozen"/>
      <selection activeCell="E6" sqref="E6"/>
      <selection pane="bottomLeft" activeCell="M86" sqref="M86"/>
    </sheetView>
  </sheetViews>
  <sheetFormatPr baseColWidth="10" defaultColWidth="9.1640625" defaultRowHeight="15"/>
  <cols>
    <col min="1" max="1" width="9.1640625" style="838"/>
    <col min="2" max="2" width="50.5" style="838" customWidth="1"/>
    <col min="3" max="10" width="12.5" style="838" customWidth="1"/>
    <col min="11" max="11" width="10.5" style="838" customWidth="1"/>
    <col min="12" max="12" width="8.5" style="838" customWidth="1"/>
    <col min="13" max="13" width="14.5" style="838" customWidth="1"/>
    <col min="14" max="14" width="6.5" style="838" customWidth="1"/>
    <col min="15" max="15" width="9.1640625" style="838"/>
    <col min="16" max="16" width="11.83203125" style="838" customWidth="1"/>
    <col min="17" max="18" width="9.1640625" style="838"/>
    <col min="19" max="19" width="12.1640625" style="838" customWidth="1"/>
    <col min="20" max="16384" width="9.1640625" style="838"/>
  </cols>
  <sheetData>
    <row r="1" spans="1:22" ht="15.75" customHeight="1">
      <c r="A1" s="442"/>
      <c r="B1" s="442"/>
      <c r="C1" s="442"/>
      <c r="D1" s="442"/>
      <c r="E1" s="442"/>
      <c r="F1" s="442"/>
      <c r="G1" s="442"/>
      <c r="H1" s="442"/>
      <c r="I1" s="442"/>
      <c r="J1" s="442"/>
      <c r="K1" s="442"/>
      <c r="L1" s="442"/>
      <c r="M1" s="442"/>
      <c r="N1" s="442"/>
      <c r="O1" s="442"/>
      <c r="P1" s="442"/>
      <c r="Q1" s="442"/>
      <c r="R1" s="442"/>
      <c r="S1" s="442"/>
      <c r="T1" s="837"/>
      <c r="U1" s="837"/>
      <c r="V1" s="837"/>
    </row>
    <row r="2" spans="1:22" ht="15.75" customHeight="1">
      <c r="A2" s="442"/>
      <c r="B2" s="442"/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837"/>
      <c r="U2" s="837"/>
      <c r="V2" s="837"/>
    </row>
    <row r="3" spans="1:22" ht="15.75" customHeight="1">
      <c r="A3" s="442"/>
      <c r="B3" s="442"/>
      <c r="C3" s="442"/>
      <c r="D3" s="442"/>
      <c r="E3" s="442"/>
      <c r="F3" s="442"/>
      <c r="G3" s="442"/>
      <c r="H3" s="442"/>
      <c r="I3" s="442"/>
      <c r="J3" s="442"/>
      <c r="K3" s="442"/>
      <c r="L3" s="442"/>
      <c r="M3" s="442"/>
      <c r="N3" s="442"/>
      <c r="O3" s="442"/>
      <c r="P3" s="442"/>
      <c r="Q3" s="442"/>
      <c r="R3" s="442"/>
      <c r="S3" s="442"/>
      <c r="T3" s="837"/>
      <c r="U3" s="837"/>
      <c r="V3" s="837"/>
    </row>
    <row r="4" spans="1:22" ht="24" customHeight="1">
      <c r="A4" s="852" t="s">
        <v>76</v>
      </c>
      <c r="B4" s="442"/>
      <c r="C4" s="442"/>
      <c r="D4" s="442"/>
      <c r="E4" s="442"/>
      <c r="F4" s="442"/>
      <c r="G4" s="442"/>
      <c r="H4" s="442"/>
      <c r="I4" s="442"/>
      <c r="J4" s="442"/>
      <c r="K4" s="442"/>
      <c r="L4" s="442"/>
      <c r="M4" s="442"/>
      <c r="N4" s="442"/>
      <c r="O4" s="442"/>
      <c r="P4" s="442"/>
      <c r="Q4" s="442"/>
      <c r="R4" s="442"/>
      <c r="S4" s="442"/>
      <c r="T4" s="837"/>
      <c r="U4" s="837"/>
      <c r="V4" s="837"/>
    </row>
    <row r="5" spans="1:22" ht="15.75" customHeight="1">
      <c r="A5" s="442"/>
      <c r="B5" s="442"/>
      <c r="C5" s="442"/>
      <c r="D5" s="442"/>
      <c r="E5" s="442"/>
      <c r="F5" s="442"/>
      <c r="G5" s="442"/>
      <c r="H5" s="442"/>
      <c r="I5" s="442"/>
      <c r="J5" s="442"/>
      <c r="K5" s="442"/>
      <c r="L5" s="442"/>
      <c r="M5" s="442"/>
      <c r="N5" s="442"/>
      <c r="O5" s="442"/>
      <c r="P5" s="442"/>
      <c r="Q5" s="442"/>
      <c r="R5" s="442"/>
      <c r="S5" s="442"/>
      <c r="T5" s="837"/>
      <c r="U5" s="837"/>
      <c r="V5" s="837"/>
    </row>
    <row r="6" spans="1:22" s="942" customFormat="1" ht="27.75" customHeight="1">
      <c r="A6" s="853" t="s">
        <v>1</v>
      </c>
      <c r="B6" s="854" t="s">
        <v>68</v>
      </c>
      <c r="C6" s="854" t="s">
        <v>77</v>
      </c>
      <c r="D6" s="854" t="s">
        <v>78</v>
      </c>
      <c r="E6" s="854" t="s">
        <v>79</v>
      </c>
      <c r="F6" s="854" t="s">
        <v>978</v>
      </c>
      <c r="G6" s="855" t="s">
        <v>1095</v>
      </c>
      <c r="H6" s="855" t="s">
        <v>1096</v>
      </c>
      <c r="I6" s="854" t="s">
        <v>213</v>
      </c>
      <c r="J6" s="854" t="s">
        <v>977</v>
      </c>
      <c r="K6" s="854" t="s">
        <v>6</v>
      </c>
      <c r="L6" s="854" t="s">
        <v>80</v>
      </c>
      <c r="M6" s="854" t="s">
        <v>81</v>
      </c>
      <c r="N6" s="856" t="s">
        <v>82</v>
      </c>
      <c r="O6" s="442"/>
      <c r="P6" s="442"/>
      <c r="Q6" s="442"/>
      <c r="R6" s="442"/>
      <c r="S6" s="442"/>
      <c r="T6" s="442"/>
      <c r="U6" s="442"/>
      <c r="V6" s="442"/>
    </row>
    <row r="7" spans="1:22" s="942" customFormat="1" ht="7.5" customHeight="1">
      <c r="A7" s="945"/>
      <c r="B7" s="442"/>
      <c r="C7" s="442"/>
      <c r="D7" s="442"/>
      <c r="E7" s="442"/>
      <c r="F7" s="442"/>
      <c r="G7" s="442"/>
      <c r="H7" s="442"/>
      <c r="I7" s="442"/>
      <c r="J7" s="442"/>
      <c r="K7" s="442"/>
      <c r="L7" s="442"/>
      <c r="M7" s="442"/>
      <c r="N7" s="946"/>
      <c r="O7" s="442"/>
      <c r="P7" s="442"/>
      <c r="Q7" s="442"/>
      <c r="R7" s="442"/>
      <c r="S7" s="442"/>
      <c r="T7" s="442"/>
      <c r="U7" s="442"/>
      <c r="V7" s="442"/>
    </row>
    <row r="8" spans="1:22" s="942" customFormat="1" ht="7.5" customHeight="1">
      <c r="A8" s="857"/>
      <c r="B8" s="858"/>
      <c r="C8" s="858"/>
      <c r="D8" s="858"/>
      <c r="E8" s="858"/>
      <c r="F8" s="858"/>
      <c r="G8" s="858"/>
      <c r="H8" s="858"/>
      <c r="I8" s="858"/>
      <c r="J8" s="858"/>
      <c r="K8" s="858"/>
      <c r="L8" s="858"/>
      <c r="M8" s="858"/>
      <c r="N8" s="859"/>
      <c r="O8" s="442"/>
      <c r="P8" s="442"/>
      <c r="Q8" s="442"/>
      <c r="R8" s="442"/>
      <c r="S8" s="442"/>
      <c r="T8" s="442"/>
      <c r="U8" s="442"/>
      <c r="V8" s="442"/>
    </row>
    <row r="9" spans="1:22" s="942" customFormat="1" ht="15.75" customHeight="1">
      <c r="A9" s="1549"/>
      <c r="B9" s="1461"/>
      <c r="C9" s="428"/>
      <c r="D9" s="428"/>
      <c r="E9" s="428"/>
      <c r="F9" s="428"/>
      <c r="G9" s="428"/>
      <c r="H9" s="428"/>
      <c r="I9" s="428"/>
      <c r="J9" s="428"/>
      <c r="K9" s="428"/>
      <c r="L9" s="428"/>
      <c r="M9" s="428"/>
      <c r="N9" s="949"/>
    </row>
    <row r="10" spans="1:22" s="942" customFormat="1" ht="21.75" customHeight="1">
      <c r="A10" s="947" t="s">
        <v>690</v>
      </c>
      <c r="B10" s="948" t="s">
        <v>1762</v>
      </c>
      <c r="C10" s="428"/>
      <c r="D10" s="428"/>
      <c r="E10" s="428"/>
      <c r="F10" s="428"/>
      <c r="G10" s="428"/>
      <c r="H10" s="428"/>
      <c r="I10" s="428"/>
      <c r="J10" s="428"/>
      <c r="K10" s="428"/>
      <c r="L10" s="428"/>
      <c r="M10" s="428"/>
      <c r="N10" s="949"/>
    </row>
    <row r="11" spans="1:22" s="942" customFormat="1" ht="15.75" customHeight="1">
      <c r="A11" s="425" t="s">
        <v>1763</v>
      </c>
      <c r="B11" s="446" t="s">
        <v>395</v>
      </c>
      <c r="C11" s="428"/>
      <c r="D11" s="428"/>
      <c r="E11" s="428"/>
      <c r="F11" s="428"/>
      <c r="G11" s="428"/>
      <c r="H11" s="428"/>
      <c r="I11" s="428"/>
      <c r="J11" s="428"/>
      <c r="K11" s="428"/>
      <c r="L11" s="428"/>
      <c r="M11" s="428"/>
      <c r="N11" s="949"/>
    </row>
    <row r="12" spans="1:22" s="942" customFormat="1" ht="15.75" customHeight="1">
      <c r="A12" s="836">
        <v>1</v>
      </c>
      <c r="B12" s="427" t="s">
        <v>396</v>
      </c>
      <c r="C12" s="428"/>
      <c r="D12" s="428"/>
      <c r="E12" s="428"/>
      <c r="F12" s="428"/>
      <c r="G12" s="428"/>
      <c r="H12" s="428"/>
      <c r="I12" s="428"/>
      <c r="J12" s="428"/>
      <c r="K12" s="428"/>
      <c r="L12" s="428"/>
      <c r="M12" s="428"/>
      <c r="N12" s="949"/>
    </row>
    <row r="13" spans="1:22" s="942" customFormat="1" ht="15.75" customHeight="1">
      <c r="A13" s="836"/>
      <c r="B13" s="427"/>
      <c r="C13" s="428">
        <v>12</v>
      </c>
      <c r="D13" s="428"/>
      <c r="E13" s="428"/>
      <c r="F13" s="428"/>
      <c r="G13" s="428"/>
      <c r="H13" s="428"/>
      <c r="I13" s="428"/>
      <c r="J13" s="428">
        <v>2</v>
      </c>
      <c r="K13" s="428"/>
      <c r="L13" s="428"/>
      <c r="M13" s="428">
        <f>C13*J13</f>
        <v>24</v>
      </c>
      <c r="N13" s="949"/>
    </row>
    <row r="14" spans="1:22" s="942" customFormat="1" ht="15.75" customHeight="1">
      <c r="A14" s="836"/>
      <c r="B14" s="427"/>
      <c r="C14" s="428"/>
      <c r="D14" s="428">
        <v>11</v>
      </c>
      <c r="E14" s="428"/>
      <c r="F14" s="428"/>
      <c r="G14" s="428"/>
      <c r="H14" s="428"/>
      <c r="I14" s="428"/>
      <c r="J14" s="428">
        <v>2</v>
      </c>
      <c r="K14" s="428"/>
      <c r="L14" s="428"/>
      <c r="M14" s="590">
        <f>D14*J14</f>
        <v>22</v>
      </c>
      <c r="N14" s="949"/>
    </row>
    <row r="15" spans="1:22" s="942" customFormat="1" ht="15.75" customHeight="1">
      <c r="A15" s="836"/>
      <c r="B15" s="427"/>
      <c r="C15" s="428"/>
      <c r="D15" s="428"/>
      <c r="E15" s="428"/>
      <c r="F15" s="428"/>
      <c r="G15" s="428"/>
      <c r="H15" s="428"/>
      <c r="I15" s="428"/>
      <c r="J15" s="428"/>
      <c r="K15" s="428"/>
      <c r="L15" s="428"/>
      <c r="M15" s="841">
        <f>SUM(M13:M14)</f>
        <v>46</v>
      </c>
      <c r="N15" s="955" t="s">
        <v>117</v>
      </c>
    </row>
    <row r="16" spans="1:22" s="942" customFormat="1" ht="15.75" customHeight="1">
      <c r="A16" s="394">
        <f>A12+1</f>
        <v>2</v>
      </c>
      <c r="B16" s="389" t="s">
        <v>1764</v>
      </c>
      <c r="C16" s="428"/>
      <c r="D16" s="428"/>
      <c r="E16" s="428"/>
      <c r="F16" s="428"/>
      <c r="G16" s="428"/>
      <c r="H16" s="428"/>
      <c r="I16" s="428"/>
      <c r="J16" s="428"/>
      <c r="K16" s="428"/>
      <c r="L16" s="428"/>
      <c r="M16" s="428"/>
      <c r="N16" s="949"/>
    </row>
    <row r="17" spans="1:14" s="942" customFormat="1" ht="15.75" customHeight="1">
      <c r="A17" s="451" t="s">
        <v>95</v>
      </c>
      <c r="B17" s="389" t="s">
        <v>382</v>
      </c>
      <c r="C17" s="428">
        <v>1.2</v>
      </c>
      <c r="D17" s="428">
        <v>1.2</v>
      </c>
      <c r="E17" s="428">
        <v>1.05</v>
      </c>
      <c r="F17" s="428"/>
      <c r="G17" s="428"/>
      <c r="H17" s="428"/>
      <c r="I17" s="428"/>
      <c r="J17" s="428"/>
      <c r="K17" s="428"/>
      <c r="L17" s="428">
        <v>12</v>
      </c>
      <c r="M17" s="428">
        <f>C17*D17*E17*L17</f>
        <v>18.143999999999998</v>
      </c>
      <c r="N17" s="949" t="s">
        <v>103</v>
      </c>
    </row>
    <row r="18" spans="1:14" s="942" customFormat="1" ht="15.75" customHeight="1">
      <c r="A18" s="451" t="s">
        <v>98</v>
      </c>
      <c r="B18" s="861" t="s">
        <v>405</v>
      </c>
      <c r="C18" s="428"/>
      <c r="D18" s="428"/>
      <c r="E18" s="428">
        <v>4</v>
      </c>
      <c r="F18" s="428"/>
      <c r="G18" s="428"/>
      <c r="H18" s="428"/>
      <c r="I18" s="428"/>
      <c r="J18" s="428"/>
      <c r="K18" s="428">
        <v>9</v>
      </c>
      <c r="L18" s="428">
        <f>L17</f>
        <v>12</v>
      </c>
      <c r="M18" s="428">
        <f>E18*K18*L18</f>
        <v>432</v>
      </c>
      <c r="N18" s="955" t="s">
        <v>117</v>
      </c>
    </row>
    <row r="19" spans="1:14" s="942" customFormat="1" ht="15.75" customHeight="1">
      <c r="A19" s="451" t="s">
        <v>101</v>
      </c>
      <c r="B19" s="389" t="s">
        <v>399</v>
      </c>
      <c r="C19" s="428">
        <v>1</v>
      </c>
      <c r="D19" s="428">
        <v>1</v>
      </c>
      <c r="E19" s="428">
        <v>7.0000000000000007E-2</v>
      </c>
      <c r="F19" s="428"/>
      <c r="G19" s="428"/>
      <c r="H19" s="428"/>
      <c r="I19" s="428"/>
      <c r="J19" s="428"/>
      <c r="K19" s="428"/>
      <c r="L19" s="428">
        <f>L18</f>
        <v>12</v>
      </c>
      <c r="M19" s="428">
        <f>C19*D19*E19*L19</f>
        <v>0.84000000000000008</v>
      </c>
      <c r="N19" s="949" t="s">
        <v>103</v>
      </c>
    </row>
    <row r="20" spans="1:14" s="942" customFormat="1" ht="15.75" customHeight="1">
      <c r="A20" s="844" t="s">
        <v>121</v>
      </c>
      <c r="B20" s="389" t="s">
        <v>400</v>
      </c>
      <c r="C20" s="428">
        <v>1</v>
      </c>
      <c r="D20" s="428">
        <v>1</v>
      </c>
      <c r="E20" s="428">
        <v>0.03</v>
      </c>
      <c r="F20" s="428"/>
      <c r="G20" s="428"/>
      <c r="H20" s="428"/>
      <c r="I20" s="428"/>
      <c r="J20" s="428"/>
      <c r="K20" s="428"/>
      <c r="L20" s="428">
        <f>L17</f>
        <v>12</v>
      </c>
      <c r="M20" s="428">
        <f>C20*D20*E20*L20</f>
        <v>0.36</v>
      </c>
      <c r="N20" s="949" t="s">
        <v>103</v>
      </c>
    </row>
    <row r="21" spans="1:14" s="942" customFormat="1" ht="15.75" customHeight="1">
      <c r="A21" s="844" t="s">
        <v>142</v>
      </c>
      <c r="B21" s="389" t="s">
        <v>401</v>
      </c>
      <c r="C21" s="428">
        <f>C17</f>
        <v>1.2</v>
      </c>
      <c r="D21" s="428"/>
      <c r="E21" s="428">
        <v>0.3</v>
      </c>
      <c r="F21" s="428"/>
      <c r="G21" s="428"/>
      <c r="H21" s="428"/>
      <c r="I21" s="428"/>
      <c r="J21" s="428">
        <v>4</v>
      </c>
      <c r="K21" s="428"/>
      <c r="L21" s="428">
        <f>L20</f>
        <v>12</v>
      </c>
      <c r="M21" s="428">
        <f>C21*E21*J21*L21</f>
        <v>17.28</v>
      </c>
      <c r="N21" s="949" t="s">
        <v>89</v>
      </c>
    </row>
    <row r="22" spans="1:14" s="942" customFormat="1" ht="15.75" customHeight="1">
      <c r="A22" s="844" t="s">
        <v>217</v>
      </c>
      <c r="B22" s="389" t="s">
        <v>1765</v>
      </c>
      <c r="C22" s="428">
        <v>0.85</v>
      </c>
      <c r="D22" s="428"/>
      <c r="E22" s="428"/>
      <c r="F22" s="428">
        <f>0.15*2</f>
        <v>0.3</v>
      </c>
      <c r="G22" s="428"/>
      <c r="H22" s="428"/>
      <c r="I22" s="428">
        <f>13*13*0.006165</f>
        <v>1.041885</v>
      </c>
      <c r="J22" s="428">
        <v>4</v>
      </c>
      <c r="K22" s="428">
        <f>ROUNDUP((C22/0.125),0.5)+1</f>
        <v>8</v>
      </c>
      <c r="L22" s="428">
        <f>L21</f>
        <v>12</v>
      </c>
      <c r="M22" s="428">
        <f>(C22+F22)*I22*J22*K22*L22</f>
        <v>460.09641599999998</v>
      </c>
      <c r="N22" s="949" t="s">
        <v>100</v>
      </c>
    </row>
    <row r="23" spans="1:14" s="942" customFormat="1" ht="15.75" customHeight="1">
      <c r="A23" s="844" t="s">
        <v>366</v>
      </c>
      <c r="B23" s="389" t="s">
        <v>1043</v>
      </c>
      <c r="C23" s="428">
        <v>1</v>
      </c>
      <c r="D23" s="428">
        <v>1</v>
      </c>
      <c r="E23" s="428">
        <v>0.3</v>
      </c>
      <c r="F23" s="428"/>
      <c r="G23" s="428"/>
      <c r="H23" s="428"/>
      <c r="I23" s="428"/>
      <c r="J23" s="428"/>
      <c r="K23" s="428"/>
      <c r="L23" s="428">
        <f>L22</f>
        <v>12</v>
      </c>
      <c r="M23" s="428">
        <f>C23*D23*E23*L23</f>
        <v>3.5999999999999996</v>
      </c>
      <c r="N23" s="949" t="s">
        <v>103</v>
      </c>
    </row>
    <row r="24" spans="1:14" s="942" customFormat="1" ht="15.75" customHeight="1">
      <c r="A24" s="394">
        <f>A16+1</f>
        <v>3</v>
      </c>
      <c r="B24" s="389" t="s">
        <v>1766</v>
      </c>
      <c r="C24" s="428"/>
      <c r="D24" s="428"/>
      <c r="E24" s="428"/>
      <c r="F24" s="428"/>
      <c r="G24" s="428"/>
      <c r="H24" s="428"/>
      <c r="I24" s="428"/>
      <c r="J24" s="428"/>
      <c r="K24" s="428"/>
      <c r="L24" s="428"/>
      <c r="M24" s="428"/>
      <c r="N24" s="949"/>
    </row>
    <row r="25" spans="1:14" s="942" customFormat="1" ht="15.75" customHeight="1">
      <c r="A25" s="451" t="s">
        <v>95</v>
      </c>
      <c r="B25" s="389" t="s">
        <v>382</v>
      </c>
      <c r="C25" s="428">
        <v>1</v>
      </c>
      <c r="D25" s="428">
        <v>1</v>
      </c>
      <c r="E25" s="428">
        <v>1.05</v>
      </c>
      <c r="F25" s="428"/>
      <c r="G25" s="428"/>
      <c r="H25" s="428"/>
      <c r="I25" s="428"/>
      <c r="J25" s="428"/>
      <c r="K25" s="428"/>
      <c r="L25" s="428">
        <v>2</v>
      </c>
      <c r="M25" s="428">
        <f>C25*D25*E25*L25</f>
        <v>2.1</v>
      </c>
      <c r="N25" s="949" t="s">
        <v>103</v>
      </c>
    </row>
    <row r="26" spans="1:14" s="942" customFormat="1" ht="15.75" customHeight="1">
      <c r="A26" s="451" t="s">
        <v>98</v>
      </c>
      <c r="B26" s="861" t="s">
        <v>405</v>
      </c>
      <c r="C26" s="428"/>
      <c r="D26" s="428"/>
      <c r="E26" s="428">
        <v>4</v>
      </c>
      <c r="F26" s="428"/>
      <c r="G26" s="428"/>
      <c r="H26" s="428"/>
      <c r="I26" s="428"/>
      <c r="J26" s="428"/>
      <c r="K26" s="428">
        <v>6</v>
      </c>
      <c r="L26" s="428">
        <f>L25</f>
        <v>2</v>
      </c>
      <c r="M26" s="428">
        <f>E26*K26*L26</f>
        <v>48</v>
      </c>
      <c r="N26" s="955" t="s">
        <v>117</v>
      </c>
    </row>
    <row r="27" spans="1:14" s="942" customFormat="1" ht="15.75" customHeight="1">
      <c r="A27" s="451" t="s">
        <v>101</v>
      </c>
      <c r="B27" s="389" t="s">
        <v>399</v>
      </c>
      <c r="C27" s="428">
        <v>0.8</v>
      </c>
      <c r="D27" s="428">
        <v>0.8</v>
      </c>
      <c r="E27" s="428">
        <v>7.0000000000000007E-2</v>
      </c>
      <c r="F27" s="428"/>
      <c r="G27" s="428"/>
      <c r="H27" s="428"/>
      <c r="I27" s="428"/>
      <c r="J27" s="428"/>
      <c r="K27" s="428"/>
      <c r="L27" s="428">
        <f>L26</f>
        <v>2</v>
      </c>
      <c r="M27" s="428">
        <f>C27*D27*E27*L27</f>
        <v>8.9600000000000027E-2</v>
      </c>
      <c r="N27" s="949" t="s">
        <v>103</v>
      </c>
    </row>
    <row r="28" spans="1:14" s="942" customFormat="1" ht="15.75" customHeight="1">
      <c r="A28" s="451" t="s">
        <v>121</v>
      </c>
      <c r="B28" s="389" t="s">
        <v>400</v>
      </c>
      <c r="C28" s="428">
        <f>C27</f>
        <v>0.8</v>
      </c>
      <c r="D28" s="428">
        <f>D27</f>
        <v>0.8</v>
      </c>
      <c r="E28" s="428">
        <v>0.03</v>
      </c>
      <c r="F28" s="428"/>
      <c r="G28" s="428"/>
      <c r="H28" s="428"/>
      <c r="I28" s="428"/>
      <c r="J28" s="428"/>
      <c r="K28" s="428"/>
      <c r="L28" s="428">
        <f>L25</f>
        <v>2</v>
      </c>
      <c r="M28" s="428">
        <f>C28*D28*E28*L28</f>
        <v>3.8400000000000004E-2</v>
      </c>
      <c r="N28" s="949" t="s">
        <v>103</v>
      </c>
    </row>
    <row r="29" spans="1:14" s="942" customFormat="1" ht="15.75" customHeight="1">
      <c r="A29" s="844" t="s">
        <v>142</v>
      </c>
      <c r="B29" s="389" t="s">
        <v>401</v>
      </c>
      <c r="C29" s="428">
        <v>1</v>
      </c>
      <c r="D29" s="428"/>
      <c r="E29" s="428">
        <v>0.3</v>
      </c>
      <c r="F29" s="428"/>
      <c r="G29" s="428"/>
      <c r="H29" s="428"/>
      <c r="I29" s="428"/>
      <c r="J29" s="428">
        <v>4</v>
      </c>
      <c r="K29" s="428"/>
      <c r="L29" s="428">
        <f>L28</f>
        <v>2</v>
      </c>
      <c r="M29" s="428">
        <f>C29*E29*J29*L29</f>
        <v>2.4</v>
      </c>
      <c r="N29" s="949" t="s">
        <v>89</v>
      </c>
    </row>
    <row r="30" spans="1:14" s="942" customFormat="1" ht="15.75" customHeight="1">
      <c r="A30" s="844" t="s">
        <v>217</v>
      </c>
      <c r="B30" s="389" t="s">
        <v>1767</v>
      </c>
      <c r="C30" s="428">
        <v>0.65</v>
      </c>
      <c r="D30" s="428"/>
      <c r="E30" s="428"/>
      <c r="F30" s="428">
        <f>0.15*2</f>
        <v>0.3</v>
      </c>
      <c r="G30" s="428"/>
      <c r="H30" s="428"/>
      <c r="I30" s="428">
        <f>13*13*0.006165</f>
        <v>1.041885</v>
      </c>
      <c r="J30" s="428">
        <v>4</v>
      </c>
      <c r="K30" s="428">
        <f>ROUNDUP((C30/0.125),0.5)+1</f>
        <v>7</v>
      </c>
      <c r="L30" s="428">
        <f>L29</f>
        <v>2</v>
      </c>
      <c r="M30" s="428">
        <f>(C30+F30)*I30*J30*K30*L30</f>
        <v>55.428281999999996</v>
      </c>
      <c r="N30" s="949" t="s">
        <v>100</v>
      </c>
    </row>
    <row r="31" spans="1:14" s="942" customFormat="1" ht="15.75" customHeight="1">
      <c r="A31" s="844" t="s">
        <v>366</v>
      </c>
      <c r="B31" s="389" t="s">
        <v>1043</v>
      </c>
      <c r="C31" s="428">
        <v>0.8</v>
      </c>
      <c r="D31" s="428">
        <v>0.8</v>
      </c>
      <c r="E31" s="428">
        <v>0.3</v>
      </c>
      <c r="F31" s="428"/>
      <c r="G31" s="428"/>
      <c r="H31" s="428"/>
      <c r="I31" s="428"/>
      <c r="J31" s="428"/>
      <c r="K31" s="428"/>
      <c r="L31" s="428">
        <f>L30</f>
        <v>2</v>
      </c>
      <c r="M31" s="428">
        <f>C31*D31*E31*L31</f>
        <v>0.38400000000000006</v>
      </c>
      <c r="N31" s="949" t="s">
        <v>103</v>
      </c>
    </row>
    <row r="32" spans="1:14" s="942" customFormat="1" ht="15.75" customHeight="1">
      <c r="A32" s="394">
        <f>A24+1</f>
        <v>4</v>
      </c>
      <c r="B32" s="389" t="s">
        <v>403</v>
      </c>
      <c r="C32" s="428"/>
      <c r="D32" s="428"/>
      <c r="E32" s="428"/>
      <c r="F32" s="428"/>
      <c r="G32" s="428"/>
      <c r="H32" s="428"/>
      <c r="I32" s="428"/>
      <c r="J32" s="428"/>
      <c r="K32" s="428"/>
      <c r="L32" s="428"/>
      <c r="M32" s="428"/>
      <c r="N32" s="949"/>
    </row>
    <row r="33" spans="1:14" s="942" customFormat="1" ht="15.75" customHeight="1">
      <c r="A33" s="451" t="s">
        <v>95</v>
      </c>
      <c r="B33" s="389" t="s">
        <v>382</v>
      </c>
      <c r="C33" s="428"/>
      <c r="D33" s="428"/>
      <c r="E33" s="428"/>
      <c r="F33" s="428"/>
      <c r="G33" s="428"/>
      <c r="H33" s="428"/>
      <c r="I33" s="428"/>
      <c r="J33" s="428"/>
      <c r="K33" s="428"/>
      <c r="L33" s="428"/>
      <c r="M33" s="428"/>
      <c r="N33" s="949"/>
    </row>
    <row r="34" spans="1:14" s="942" customFormat="1" ht="15.75" customHeight="1">
      <c r="A34" s="451"/>
      <c r="B34" s="682" t="s">
        <v>1044</v>
      </c>
      <c r="C34" s="428">
        <v>3</v>
      </c>
      <c r="D34" s="428">
        <v>0.8</v>
      </c>
      <c r="E34" s="428">
        <v>0.9</v>
      </c>
      <c r="F34" s="428"/>
      <c r="G34" s="428"/>
      <c r="H34" s="428"/>
      <c r="I34" s="428"/>
      <c r="J34" s="428"/>
      <c r="K34" s="428"/>
      <c r="L34" s="428">
        <v>1</v>
      </c>
      <c r="M34" s="428">
        <f>C34*D34*E34*L34</f>
        <v>2.1600000000000006</v>
      </c>
      <c r="N34" s="949"/>
    </row>
    <row r="35" spans="1:14" s="942" customFormat="1" ht="15.75" customHeight="1">
      <c r="A35" s="451"/>
      <c r="B35" s="682"/>
      <c r="C35" s="428">
        <v>9</v>
      </c>
      <c r="D35" s="428">
        <f t="shared" ref="D35:E38" si="0">D34</f>
        <v>0.8</v>
      </c>
      <c r="E35" s="428">
        <f t="shared" si="0"/>
        <v>0.9</v>
      </c>
      <c r="F35" s="428"/>
      <c r="G35" s="428"/>
      <c r="H35" s="428"/>
      <c r="I35" s="428"/>
      <c r="J35" s="428"/>
      <c r="K35" s="428"/>
      <c r="L35" s="428">
        <v>2</v>
      </c>
      <c r="M35" s="428">
        <f>C35*D35*E35*L35</f>
        <v>12.96</v>
      </c>
      <c r="N35" s="949"/>
    </row>
    <row r="36" spans="1:14" s="942" customFormat="1" ht="15.75" customHeight="1">
      <c r="A36" s="451"/>
      <c r="B36" s="682"/>
      <c r="C36" s="428">
        <v>0.6</v>
      </c>
      <c r="D36" s="428">
        <f t="shared" si="0"/>
        <v>0.8</v>
      </c>
      <c r="E36" s="428">
        <f t="shared" si="0"/>
        <v>0.9</v>
      </c>
      <c r="F36" s="428"/>
      <c r="G36" s="428"/>
      <c r="H36" s="428"/>
      <c r="I36" s="428"/>
      <c r="J36" s="428"/>
      <c r="K36" s="428"/>
      <c r="L36" s="428">
        <v>6</v>
      </c>
      <c r="M36" s="428">
        <f>C36*D36*E36*L36</f>
        <v>2.5920000000000001</v>
      </c>
      <c r="N36" s="949"/>
    </row>
    <row r="37" spans="1:14" s="942" customFormat="1" ht="15.75" customHeight="1">
      <c r="A37" s="451"/>
      <c r="B37" s="682" t="s">
        <v>136</v>
      </c>
      <c r="C37" s="428">
        <v>9</v>
      </c>
      <c r="D37" s="428">
        <f t="shared" si="0"/>
        <v>0.8</v>
      </c>
      <c r="E37" s="428">
        <f t="shared" si="0"/>
        <v>0.9</v>
      </c>
      <c r="F37" s="428"/>
      <c r="G37" s="428"/>
      <c r="H37" s="428"/>
      <c r="I37" s="428"/>
      <c r="J37" s="428"/>
      <c r="K37" s="428"/>
      <c r="L37" s="428">
        <v>2</v>
      </c>
      <c r="M37" s="428">
        <f>C37*D37*E37*L37</f>
        <v>12.96</v>
      </c>
      <c r="N37" s="949"/>
    </row>
    <row r="38" spans="1:14" s="942" customFormat="1" ht="15.75" customHeight="1">
      <c r="A38" s="451"/>
      <c r="B38" s="389"/>
      <c r="C38" s="428">
        <v>1</v>
      </c>
      <c r="D38" s="428">
        <f t="shared" si="0"/>
        <v>0.8</v>
      </c>
      <c r="E38" s="428">
        <f t="shared" si="0"/>
        <v>0.9</v>
      </c>
      <c r="F38" s="428"/>
      <c r="G38" s="428"/>
      <c r="H38" s="428"/>
      <c r="I38" s="428"/>
      <c r="J38" s="428"/>
      <c r="K38" s="428"/>
      <c r="L38" s="428">
        <v>2</v>
      </c>
      <c r="M38" s="590">
        <f>C38*D38*E38*L38</f>
        <v>1.4400000000000002</v>
      </c>
      <c r="N38" s="949"/>
    </row>
    <row r="39" spans="1:14" s="942" customFormat="1" ht="15.75" customHeight="1">
      <c r="A39" s="451"/>
      <c r="B39" s="389"/>
      <c r="C39" s="428"/>
      <c r="D39" s="428"/>
      <c r="E39" s="428"/>
      <c r="F39" s="428"/>
      <c r="G39" s="428"/>
      <c r="H39" s="428"/>
      <c r="I39" s="428"/>
      <c r="J39" s="428"/>
      <c r="K39" s="428"/>
      <c r="L39" s="428"/>
      <c r="M39" s="390">
        <f>SUM(M34:M38)</f>
        <v>32.112000000000002</v>
      </c>
      <c r="N39" s="949" t="s">
        <v>103</v>
      </c>
    </row>
    <row r="40" spans="1:14" s="942" customFormat="1" ht="15.75" customHeight="1">
      <c r="A40" s="451" t="s">
        <v>98</v>
      </c>
      <c r="B40" s="861" t="s">
        <v>405</v>
      </c>
      <c r="C40" s="428"/>
      <c r="D40" s="428"/>
      <c r="E40" s="428"/>
      <c r="F40" s="428"/>
      <c r="G40" s="428"/>
      <c r="H40" s="428"/>
      <c r="I40" s="428"/>
      <c r="J40" s="428"/>
      <c r="K40" s="428"/>
      <c r="L40" s="428"/>
      <c r="M40" s="428"/>
      <c r="N40" s="949"/>
    </row>
    <row r="41" spans="1:14" s="942" customFormat="1" ht="15.75" customHeight="1">
      <c r="A41" s="451"/>
      <c r="B41" s="960" t="s">
        <v>1768</v>
      </c>
      <c r="C41" s="428">
        <f>C34</f>
        <v>3</v>
      </c>
      <c r="D41" s="428"/>
      <c r="E41" s="428"/>
      <c r="F41" s="428"/>
      <c r="G41" s="428"/>
      <c r="H41" s="428"/>
      <c r="I41" s="428"/>
      <c r="J41" s="428"/>
      <c r="K41" s="428"/>
      <c r="L41" s="428">
        <f>L34</f>
        <v>1</v>
      </c>
      <c r="M41" s="428">
        <f>C41*L41</f>
        <v>3</v>
      </c>
      <c r="N41" s="949"/>
    </row>
    <row r="42" spans="1:14" s="942" customFormat="1" ht="15.75" customHeight="1">
      <c r="A42" s="451"/>
      <c r="B42" s="861"/>
      <c r="C42" s="428">
        <f>C35</f>
        <v>9</v>
      </c>
      <c r="D42" s="428"/>
      <c r="E42" s="428"/>
      <c r="F42" s="428"/>
      <c r="G42" s="428"/>
      <c r="H42" s="428"/>
      <c r="I42" s="428"/>
      <c r="J42" s="428"/>
      <c r="K42" s="428"/>
      <c r="L42" s="428">
        <f>L35</f>
        <v>2</v>
      </c>
      <c r="M42" s="428">
        <f>C42*L42</f>
        <v>18</v>
      </c>
      <c r="N42" s="949"/>
    </row>
    <row r="43" spans="1:14" s="942" customFormat="1" ht="15.75" customHeight="1">
      <c r="A43" s="451"/>
      <c r="B43" s="861"/>
      <c r="C43" s="428">
        <f>C36</f>
        <v>0.6</v>
      </c>
      <c r="D43" s="428"/>
      <c r="E43" s="428"/>
      <c r="F43" s="428"/>
      <c r="G43" s="428"/>
      <c r="H43" s="428"/>
      <c r="I43" s="428"/>
      <c r="J43" s="428"/>
      <c r="K43" s="428"/>
      <c r="L43" s="428">
        <f>L36</f>
        <v>6</v>
      </c>
      <c r="M43" s="428">
        <f>C43*L43</f>
        <v>3.5999999999999996</v>
      </c>
      <c r="N43" s="949"/>
    </row>
    <row r="44" spans="1:14" s="942" customFormat="1" ht="15.75" customHeight="1">
      <c r="A44" s="451"/>
      <c r="B44" s="861"/>
      <c r="C44" s="428">
        <f>C37</f>
        <v>9</v>
      </c>
      <c r="D44" s="428"/>
      <c r="E44" s="428"/>
      <c r="F44" s="428"/>
      <c r="G44" s="428"/>
      <c r="H44" s="428"/>
      <c r="I44" s="428"/>
      <c r="J44" s="428"/>
      <c r="K44" s="428"/>
      <c r="L44" s="428">
        <f>L37</f>
        <v>2</v>
      </c>
      <c r="M44" s="428">
        <f>C44*L44</f>
        <v>18</v>
      </c>
      <c r="N44" s="949"/>
    </row>
    <row r="45" spans="1:14" s="942" customFormat="1" ht="15.75" customHeight="1">
      <c r="A45" s="451"/>
      <c r="B45" s="861"/>
      <c r="C45" s="428">
        <f>C38</f>
        <v>1</v>
      </c>
      <c r="D45" s="428"/>
      <c r="E45" s="428"/>
      <c r="F45" s="428"/>
      <c r="G45" s="428"/>
      <c r="H45" s="428"/>
      <c r="I45" s="428"/>
      <c r="J45" s="428"/>
      <c r="K45" s="428"/>
      <c r="L45" s="428">
        <f>L38</f>
        <v>2</v>
      </c>
      <c r="M45" s="590">
        <f>C45*L45</f>
        <v>2</v>
      </c>
      <c r="N45" s="949"/>
    </row>
    <row r="46" spans="1:14" s="942" customFormat="1" ht="15.75" customHeight="1">
      <c r="A46" s="451"/>
      <c r="B46" s="960"/>
      <c r="C46" s="428"/>
      <c r="D46" s="428"/>
      <c r="E46" s="428"/>
      <c r="F46" s="428"/>
      <c r="G46" s="428"/>
      <c r="H46" s="428"/>
      <c r="I46" s="428"/>
      <c r="J46" s="428"/>
      <c r="K46" s="428"/>
      <c r="L46" s="428"/>
      <c r="M46" s="390">
        <f>SUM(M41:M45)</f>
        <v>44.6</v>
      </c>
      <c r="N46" s="949" t="s">
        <v>117</v>
      </c>
    </row>
    <row r="47" spans="1:14" s="942" customFormat="1" ht="15.75" customHeight="1">
      <c r="A47" s="451"/>
      <c r="B47" s="960" t="s">
        <v>1769</v>
      </c>
      <c r="C47" s="428"/>
      <c r="D47" s="428"/>
      <c r="E47" s="428">
        <v>4</v>
      </c>
      <c r="F47" s="428"/>
      <c r="G47" s="428"/>
      <c r="H47" s="428"/>
      <c r="I47" s="428"/>
      <c r="J47" s="428">
        <v>2</v>
      </c>
      <c r="K47" s="428">
        <f>ROUNDUP((M46/0.5),0.5)+1</f>
        <v>91</v>
      </c>
      <c r="L47" s="428"/>
      <c r="M47" s="390">
        <f>E47*J47*K47</f>
        <v>728</v>
      </c>
      <c r="N47" s="949" t="s">
        <v>117</v>
      </c>
    </row>
    <row r="48" spans="1:14" s="942" customFormat="1" ht="15.75" customHeight="1">
      <c r="A48" s="451" t="s">
        <v>101</v>
      </c>
      <c r="B48" s="389" t="s">
        <v>399</v>
      </c>
      <c r="C48" s="428"/>
      <c r="D48" s="428"/>
      <c r="E48" s="428"/>
      <c r="F48" s="428"/>
      <c r="G48" s="428"/>
      <c r="H48" s="428"/>
      <c r="I48" s="428"/>
      <c r="J48" s="428"/>
      <c r="K48" s="428"/>
      <c r="L48" s="428"/>
      <c r="M48" s="428"/>
      <c r="N48" s="949"/>
    </row>
    <row r="49" spans="1:14" s="942" customFormat="1" ht="15.75" customHeight="1">
      <c r="A49" s="451"/>
      <c r="B49" s="389"/>
      <c r="C49" s="428">
        <f>C41</f>
        <v>3</v>
      </c>
      <c r="D49" s="428">
        <f>D34</f>
        <v>0.8</v>
      </c>
      <c r="E49" s="428">
        <v>7.0000000000000007E-2</v>
      </c>
      <c r="F49" s="428"/>
      <c r="G49" s="428"/>
      <c r="H49" s="428"/>
      <c r="I49" s="428"/>
      <c r="J49" s="428"/>
      <c r="K49" s="428"/>
      <c r="L49" s="428">
        <f>L41</f>
        <v>1</v>
      </c>
      <c r="M49" s="428">
        <f>C49*D49*E49*L49</f>
        <v>0.16800000000000004</v>
      </c>
      <c r="N49" s="949"/>
    </row>
    <row r="50" spans="1:14" s="942" customFormat="1" ht="15.75" customHeight="1">
      <c r="A50" s="451"/>
      <c r="B50" s="389"/>
      <c r="C50" s="428">
        <f>C42</f>
        <v>9</v>
      </c>
      <c r="D50" s="428">
        <f>D35</f>
        <v>0.8</v>
      </c>
      <c r="E50" s="428">
        <f>E49</f>
        <v>7.0000000000000007E-2</v>
      </c>
      <c r="F50" s="428"/>
      <c r="G50" s="428"/>
      <c r="H50" s="428"/>
      <c r="I50" s="428"/>
      <c r="J50" s="428"/>
      <c r="K50" s="428"/>
      <c r="L50" s="428">
        <f>L42</f>
        <v>2</v>
      </c>
      <c r="M50" s="428">
        <f>C50*D50*E50*L50</f>
        <v>1.0080000000000002</v>
      </c>
      <c r="N50" s="949"/>
    </row>
    <row r="51" spans="1:14" s="942" customFormat="1" ht="15.75" customHeight="1">
      <c r="A51" s="451"/>
      <c r="B51" s="389"/>
      <c r="C51" s="428">
        <f>C43</f>
        <v>0.6</v>
      </c>
      <c r="D51" s="428">
        <f>D36</f>
        <v>0.8</v>
      </c>
      <c r="E51" s="428">
        <f>E50</f>
        <v>7.0000000000000007E-2</v>
      </c>
      <c r="F51" s="428"/>
      <c r="G51" s="428"/>
      <c r="H51" s="428"/>
      <c r="I51" s="428"/>
      <c r="J51" s="428"/>
      <c r="K51" s="428"/>
      <c r="L51" s="428">
        <f>L43</f>
        <v>6</v>
      </c>
      <c r="M51" s="428">
        <f>C51*D51*E51*L51</f>
        <v>0.20160000000000003</v>
      </c>
      <c r="N51" s="949"/>
    </row>
    <row r="52" spans="1:14" s="942" customFormat="1" ht="15.75" customHeight="1">
      <c r="A52" s="451"/>
      <c r="B52" s="389"/>
      <c r="C52" s="428">
        <f>C44</f>
        <v>9</v>
      </c>
      <c r="D52" s="428">
        <f>D37</f>
        <v>0.8</v>
      </c>
      <c r="E52" s="428">
        <f>E51</f>
        <v>7.0000000000000007E-2</v>
      </c>
      <c r="F52" s="428"/>
      <c r="G52" s="428"/>
      <c r="H52" s="428"/>
      <c r="I52" s="428"/>
      <c r="J52" s="428"/>
      <c r="K52" s="428"/>
      <c r="L52" s="428">
        <f>L44</f>
        <v>2</v>
      </c>
      <c r="M52" s="428">
        <f>C52*D52*E52*L52</f>
        <v>1.0080000000000002</v>
      </c>
      <c r="N52" s="949"/>
    </row>
    <row r="53" spans="1:14" s="942" customFormat="1" ht="15.75" customHeight="1">
      <c r="A53" s="451"/>
      <c r="B53" s="389"/>
      <c r="C53" s="428">
        <f>C45</f>
        <v>1</v>
      </c>
      <c r="D53" s="428">
        <f>D38</f>
        <v>0.8</v>
      </c>
      <c r="E53" s="428">
        <f>E52</f>
        <v>7.0000000000000007E-2</v>
      </c>
      <c r="F53" s="428"/>
      <c r="G53" s="428"/>
      <c r="H53" s="428"/>
      <c r="I53" s="428"/>
      <c r="J53" s="428"/>
      <c r="K53" s="428"/>
      <c r="L53" s="428">
        <f>L45</f>
        <v>2</v>
      </c>
      <c r="M53" s="590">
        <f>C53*D53*E53*L53</f>
        <v>0.11200000000000002</v>
      </c>
      <c r="N53" s="949"/>
    </row>
    <row r="54" spans="1:14" s="942" customFormat="1" ht="15.75" customHeight="1">
      <c r="A54" s="451"/>
      <c r="B54" s="389"/>
      <c r="C54" s="428"/>
      <c r="D54" s="428"/>
      <c r="E54" s="428"/>
      <c r="F54" s="428"/>
      <c r="G54" s="428"/>
      <c r="H54" s="428"/>
      <c r="I54" s="428"/>
      <c r="J54" s="428"/>
      <c r="K54" s="428"/>
      <c r="L54" s="428"/>
      <c r="M54" s="390">
        <f>SUM(M49:M53)</f>
        <v>2.4976000000000003</v>
      </c>
      <c r="N54" s="949" t="s">
        <v>103</v>
      </c>
    </row>
    <row r="55" spans="1:14" s="942" customFormat="1" ht="15.75" customHeight="1">
      <c r="A55" s="451" t="s">
        <v>121</v>
      </c>
      <c r="B55" s="389" t="s">
        <v>400</v>
      </c>
      <c r="C55" s="428"/>
      <c r="D55" s="428"/>
      <c r="E55" s="428"/>
      <c r="F55" s="428"/>
      <c r="G55" s="428"/>
      <c r="H55" s="428"/>
      <c r="I55" s="428"/>
      <c r="J55" s="428"/>
      <c r="K55" s="428"/>
      <c r="L55" s="428"/>
      <c r="M55" s="428"/>
      <c r="N55" s="949"/>
    </row>
    <row r="56" spans="1:14" s="942" customFormat="1" ht="15.75" customHeight="1">
      <c r="A56" s="844"/>
      <c r="B56" s="389"/>
      <c r="C56" s="428">
        <f t="shared" ref="C56:D60" si="1">C49</f>
        <v>3</v>
      </c>
      <c r="D56" s="428">
        <f t="shared" si="1"/>
        <v>0.8</v>
      </c>
      <c r="E56" s="428">
        <v>0.03</v>
      </c>
      <c r="F56" s="428"/>
      <c r="G56" s="428"/>
      <c r="H56" s="428"/>
      <c r="I56" s="428"/>
      <c r="J56" s="428"/>
      <c r="K56" s="428"/>
      <c r="L56" s="428">
        <f>L49</f>
        <v>1</v>
      </c>
      <c r="M56" s="428">
        <f>C56*D56*E56*L56</f>
        <v>7.2000000000000008E-2</v>
      </c>
      <c r="N56" s="949"/>
    </row>
    <row r="57" spans="1:14" s="942" customFormat="1" ht="15.75" customHeight="1">
      <c r="A57" s="844"/>
      <c r="B57" s="389"/>
      <c r="C57" s="428">
        <f t="shared" si="1"/>
        <v>9</v>
      </c>
      <c r="D57" s="428">
        <f t="shared" si="1"/>
        <v>0.8</v>
      </c>
      <c r="E57" s="428">
        <f>E56</f>
        <v>0.03</v>
      </c>
      <c r="F57" s="428"/>
      <c r="G57" s="428"/>
      <c r="H57" s="428"/>
      <c r="I57" s="428"/>
      <c r="J57" s="428"/>
      <c r="K57" s="428"/>
      <c r="L57" s="428">
        <f>L50</f>
        <v>2</v>
      </c>
      <c r="M57" s="428">
        <f>C57*D57*E57*L57</f>
        <v>0.432</v>
      </c>
      <c r="N57" s="949"/>
    </row>
    <row r="58" spans="1:14" s="942" customFormat="1" ht="15.75" customHeight="1">
      <c r="A58" s="844"/>
      <c r="B58" s="389"/>
      <c r="C58" s="428">
        <f t="shared" si="1"/>
        <v>0.6</v>
      </c>
      <c r="D58" s="428">
        <f t="shared" si="1"/>
        <v>0.8</v>
      </c>
      <c r="E58" s="428">
        <f>E57</f>
        <v>0.03</v>
      </c>
      <c r="F58" s="428"/>
      <c r="G58" s="428"/>
      <c r="H58" s="428"/>
      <c r="I58" s="428"/>
      <c r="J58" s="428"/>
      <c r="K58" s="428"/>
      <c r="L58" s="428">
        <f>L51</f>
        <v>6</v>
      </c>
      <c r="M58" s="428">
        <f>C58*D58*E58*L58</f>
        <v>8.6400000000000005E-2</v>
      </c>
      <c r="N58" s="949"/>
    </row>
    <row r="59" spans="1:14" s="942" customFormat="1" ht="15.75" customHeight="1">
      <c r="A59" s="844"/>
      <c r="B59" s="389"/>
      <c r="C59" s="428">
        <f t="shared" si="1"/>
        <v>9</v>
      </c>
      <c r="D59" s="428">
        <f t="shared" si="1"/>
        <v>0.8</v>
      </c>
      <c r="E59" s="428">
        <f>E58</f>
        <v>0.03</v>
      </c>
      <c r="F59" s="428"/>
      <c r="G59" s="428"/>
      <c r="H59" s="428"/>
      <c r="I59" s="428"/>
      <c r="J59" s="428"/>
      <c r="K59" s="428"/>
      <c r="L59" s="428">
        <f>L52</f>
        <v>2</v>
      </c>
      <c r="M59" s="428">
        <f>C59*D59*E59*L59</f>
        <v>0.432</v>
      </c>
      <c r="N59" s="949"/>
    </row>
    <row r="60" spans="1:14" s="942" customFormat="1" ht="15.75" customHeight="1">
      <c r="A60" s="844"/>
      <c r="B60" s="389"/>
      <c r="C60" s="428">
        <f t="shared" si="1"/>
        <v>1</v>
      </c>
      <c r="D60" s="428">
        <f t="shared" si="1"/>
        <v>0.8</v>
      </c>
      <c r="E60" s="428">
        <f>E59</f>
        <v>0.03</v>
      </c>
      <c r="F60" s="428"/>
      <c r="G60" s="428"/>
      <c r="H60" s="428"/>
      <c r="I60" s="428"/>
      <c r="J60" s="428"/>
      <c r="K60" s="428"/>
      <c r="L60" s="428">
        <f>L53</f>
        <v>2</v>
      </c>
      <c r="M60" s="590">
        <f>C60*D60*E60*L60</f>
        <v>4.8000000000000001E-2</v>
      </c>
      <c r="N60" s="949"/>
    </row>
    <row r="61" spans="1:14" s="942" customFormat="1" ht="15.75" customHeight="1">
      <c r="A61" s="844"/>
      <c r="B61" s="389"/>
      <c r="C61" s="428"/>
      <c r="D61" s="428"/>
      <c r="E61" s="428"/>
      <c r="F61" s="428"/>
      <c r="G61" s="428"/>
      <c r="H61" s="428"/>
      <c r="I61" s="428"/>
      <c r="J61" s="428"/>
      <c r="K61" s="428"/>
      <c r="L61" s="428"/>
      <c r="M61" s="390">
        <f>SUM(M56:M60)</f>
        <v>1.0704</v>
      </c>
      <c r="N61" s="949" t="s">
        <v>103</v>
      </c>
    </row>
    <row r="62" spans="1:14" s="942" customFormat="1" ht="15.75" customHeight="1">
      <c r="A62" s="844" t="s">
        <v>142</v>
      </c>
      <c r="B62" s="389" t="s">
        <v>403</v>
      </c>
      <c r="C62" s="428"/>
      <c r="D62" s="1064" t="s">
        <v>1007</v>
      </c>
      <c r="E62" s="428"/>
      <c r="F62" s="428"/>
      <c r="G62" s="428"/>
      <c r="H62" s="428"/>
      <c r="I62" s="428"/>
      <c r="J62" s="428"/>
      <c r="K62" s="428"/>
      <c r="L62" s="428"/>
      <c r="M62" s="428"/>
      <c r="N62" s="949"/>
    </row>
    <row r="63" spans="1:14" s="942" customFormat="1" ht="15.75" customHeight="1">
      <c r="A63" s="844"/>
      <c r="B63" s="389"/>
      <c r="C63" s="428">
        <f>C56</f>
        <v>3</v>
      </c>
      <c r="D63" s="428">
        <f>(0.3+0.8)/2</f>
        <v>0.55000000000000004</v>
      </c>
      <c r="E63" s="428">
        <v>0.8</v>
      </c>
      <c r="F63" s="428"/>
      <c r="G63" s="428"/>
      <c r="H63" s="428"/>
      <c r="I63" s="428"/>
      <c r="J63" s="428"/>
      <c r="K63" s="428"/>
      <c r="L63" s="428">
        <f>L56</f>
        <v>1</v>
      </c>
      <c r="M63" s="428">
        <f>C63*D63*E63*L63</f>
        <v>1.3200000000000003</v>
      </c>
      <c r="N63" s="949"/>
    </row>
    <row r="64" spans="1:14" s="942" customFormat="1" ht="15.75" customHeight="1">
      <c r="A64" s="844"/>
      <c r="B64" s="389"/>
      <c r="C64" s="428">
        <f>C57</f>
        <v>9</v>
      </c>
      <c r="D64" s="428">
        <f t="shared" ref="D64:E67" si="2">D63</f>
        <v>0.55000000000000004</v>
      </c>
      <c r="E64" s="428">
        <f t="shared" si="2"/>
        <v>0.8</v>
      </c>
      <c r="F64" s="428"/>
      <c r="G64" s="428"/>
      <c r="H64" s="428"/>
      <c r="I64" s="428"/>
      <c r="J64" s="428"/>
      <c r="K64" s="428"/>
      <c r="L64" s="428">
        <f>L57</f>
        <v>2</v>
      </c>
      <c r="M64" s="428">
        <f>C64*D64*E64*L64</f>
        <v>7.9200000000000008</v>
      </c>
      <c r="N64" s="949"/>
    </row>
    <row r="65" spans="1:14" s="942" customFormat="1" ht="15.75" customHeight="1">
      <c r="A65" s="844"/>
      <c r="B65" s="389"/>
      <c r="C65" s="428">
        <f>C58</f>
        <v>0.6</v>
      </c>
      <c r="D65" s="428">
        <f t="shared" si="2"/>
        <v>0.55000000000000004</v>
      </c>
      <c r="E65" s="428">
        <f t="shared" si="2"/>
        <v>0.8</v>
      </c>
      <c r="F65" s="428"/>
      <c r="G65" s="428"/>
      <c r="H65" s="428"/>
      <c r="I65" s="428"/>
      <c r="J65" s="428"/>
      <c r="K65" s="428"/>
      <c r="L65" s="428">
        <f>L58</f>
        <v>6</v>
      </c>
      <c r="M65" s="428">
        <f>C65*D65*E65*L65</f>
        <v>1.5840000000000001</v>
      </c>
      <c r="N65" s="949"/>
    </row>
    <row r="66" spans="1:14" s="942" customFormat="1" ht="15.75" customHeight="1">
      <c r="A66" s="844"/>
      <c r="B66" s="389"/>
      <c r="C66" s="428">
        <f>C59</f>
        <v>9</v>
      </c>
      <c r="D66" s="428">
        <f t="shared" si="2"/>
        <v>0.55000000000000004</v>
      </c>
      <c r="E66" s="428">
        <f t="shared" si="2"/>
        <v>0.8</v>
      </c>
      <c r="F66" s="428"/>
      <c r="G66" s="428"/>
      <c r="H66" s="428"/>
      <c r="I66" s="428"/>
      <c r="J66" s="428"/>
      <c r="K66" s="428"/>
      <c r="L66" s="428">
        <f>L59</f>
        <v>2</v>
      </c>
      <c r="M66" s="428">
        <f>C66*D66*E66*L66</f>
        <v>7.9200000000000008</v>
      </c>
      <c r="N66" s="949"/>
    </row>
    <row r="67" spans="1:14" s="942" customFormat="1" ht="15.75" customHeight="1">
      <c r="A67" s="844"/>
      <c r="B67" s="389"/>
      <c r="C67" s="428">
        <f>C60</f>
        <v>1</v>
      </c>
      <c r="D67" s="428">
        <f t="shared" si="2"/>
        <v>0.55000000000000004</v>
      </c>
      <c r="E67" s="428">
        <f t="shared" si="2"/>
        <v>0.8</v>
      </c>
      <c r="F67" s="428"/>
      <c r="G67" s="428"/>
      <c r="H67" s="428"/>
      <c r="I67" s="428"/>
      <c r="J67" s="428"/>
      <c r="K67" s="428"/>
      <c r="L67" s="428">
        <f>L60</f>
        <v>2</v>
      </c>
      <c r="M67" s="590">
        <f>C67*D67*E67*L67</f>
        <v>0.88000000000000012</v>
      </c>
      <c r="N67" s="949"/>
    </row>
    <row r="68" spans="1:14" s="942" customFormat="1" ht="15.75" customHeight="1">
      <c r="A68" s="844"/>
      <c r="B68" s="389"/>
      <c r="C68" s="428"/>
      <c r="D68" s="428"/>
      <c r="E68" s="428"/>
      <c r="F68" s="428"/>
      <c r="G68" s="428"/>
      <c r="H68" s="428"/>
      <c r="I68" s="428"/>
      <c r="J68" s="428"/>
      <c r="K68" s="428"/>
      <c r="L68" s="428"/>
      <c r="M68" s="390">
        <f>SUM(M63:M67)</f>
        <v>19.624000000000002</v>
      </c>
      <c r="N68" s="949" t="s">
        <v>103</v>
      </c>
    </row>
    <row r="69" spans="1:14" s="942" customFormat="1" ht="15.75" customHeight="1">
      <c r="A69" s="836">
        <f>A32+1</f>
        <v>5</v>
      </c>
      <c r="B69" s="389" t="s">
        <v>942</v>
      </c>
      <c r="C69" s="428"/>
      <c r="D69" s="428"/>
      <c r="E69" s="428"/>
      <c r="F69" s="428"/>
      <c r="G69" s="428"/>
      <c r="H69" s="428"/>
      <c r="I69" s="428"/>
      <c r="J69" s="428"/>
      <c r="K69" s="428"/>
      <c r="L69" s="428"/>
      <c r="M69" s="428"/>
      <c r="N69" s="949"/>
    </row>
    <row r="70" spans="1:14" s="942" customFormat="1" ht="15.75" customHeight="1">
      <c r="A70" s="451" t="s">
        <v>95</v>
      </c>
      <c r="B70" s="389" t="s">
        <v>1770</v>
      </c>
      <c r="C70" s="428"/>
      <c r="D70" s="428"/>
      <c r="E70" s="428"/>
      <c r="F70" s="428"/>
      <c r="G70" s="428"/>
      <c r="H70" s="428"/>
      <c r="I70" s="428"/>
      <c r="J70" s="428"/>
      <c r="K70" s="428"/>
      <c r="L70" s="428"/>
      <c r="M70" s="428"/>
      <c r="N70" s="949"/>
    </row>
    <row r="71" spans="1:14" s="942" customFormat="1" ht="15.75" customHeight="1">
      <c r="A71" s="451"/>
      <c r="B71" s="682" t="s">
        <v>1044</v>
      </c>
      <c r="C71" s="428">
        <v>9</v>
      </c>
      <c r="D71" s="428"/>
      <c r="E71" s="428">
        <v>0.3</v>
      </c>
      <c r="F71" s="428"/>
      <c r="G71" s="428"/>
      <c r="H71" s="428"/>
      <c r="I71" s="428"/>
      <c r="J71" s="428">
        <v>2</v>
      </c>
      <c r="K71" s="428"/>
      <c r="L71" s="428">
        <v>4</v>
      </c>
      <c r="M71" s="428">
        <f>C71*E71*J71*L71</f>
        <v>21.599999999999998</v>
      </c>
      <c r="N71" s="949"/>
    </row>
    <row r="72" spans="1:14" s="942" customFormat="1" ht="15.75" customHeight="1">
      <c r="A72" s="451"/>
      <c r="B72" s="682" t="s">
        <v>136</v>
      </c>
      <c r="C72" s="428">
        <v>8</v>
      </c>
      <c r="D72" s="428"/>
      <c r="E72" s="428">
        <f>E71</f>
        <v>0.3</v>
      </c>
      <c r="F72" s="428"/>
      <c r="G72" s="428"/>
      <c r="H72" s="428"/>
      <c r="I72" s="428"/>
      <c r="J72" s="428">
        <f>J71</f>
        <v>2</v>
      </c>
      <c r="K72" s="428"/>
      <c r="L72" s="428">
        <v>4</v>
      </c>
      <c r="M72" s="590">
        <f>C72*E72*J72*L72</f>
        <v>19.2</v>
      </c>
      <c r="N72" s="949"/>
    </row>
    <row r="73" spans="1:14" s="942" customFormat="1" ht="15.75" customHeight="1">
      <c r="A73" s="451"/>
      <c r="B73" s="389"/>
      <c r="C73" s="428"/>
      <c r="D73" s="428"/>
      <c r="E73" s="428"/>
      <c r="F73" s="428"/>
      <c r="G73" s="428"/>
      <c r="H73" s="428"/>
      <c r="I73" s="428"/>
      <c r="J73" s="428"/>
      <c r="K73" s="428"/>
      <c r="L73" s="428"/>
      <c r="M73" s="841">
        <f>SUM(M71:M72)</f>
        <v>40.799999999999997</v>
      </c>
      <c r="N73" s="955" t="s">
        <v>89</v>
      </c>
    </row>
    <row r="74" spans="1:14" s="942" customFormat="1" ht="15.75" customHeight="1">
      <c r="A74" s="451" t="s">
        <v>98</v>
      </c>
      <c r="B74" s="389" t="s">
        <v>925</v>
      </c>
      <c r="C74" s="428"/>
      <c r="D74" s="428"/>
      <c r="E74" s="428"/>
      <c r="F74" s="428"/>
      <c r="G74" s="428"/>
      <c r="H74" s="428"/>
      <c r="I74" s="428"/>
      <c r="J74" s="428"/>
      <c r="K74" s="428"/>
      <c r="L74" s="428"/>
      <c r="M74" s="428"/>
      <c r="N74" s="949"/>
    </row>
    <row r="75" spans="1:14" s="942" customFormat="1" ht="15.75" customHeight="1">
      <c r="A75" s="451"/>
      <c r="B75" s="682" t="s">
        <v>1044</v>
      </c>
      <c r="C75" s="428">
        <f>C71</f>
        <v>9</v>
      </c>
      <c r="D75" s="428"/>
      <c r="E75" s="428"/>
      <c r="F75" s="428"/>
      <c r="G75" s="428"/>
      <c r="H75" s="428"/>
      <c r="I75" s="428">
        <f>13*13*0.006165</f>
        <v>1.041885</v>
      </c>
      <c r="J75" s="428"/>
      <c r="K75" s="428">
        <v>5</v>
      </c>
      <c r="L75" s="428">
        <f>L71</f>
        <v>4</v>
      </c>
      <c r="M75" s="428">
        <f>C75*I75*K75*L75</f>
        <v>187.5393</v>
      </c>
      <c r="N75" s="949"/>
    </row>
    <row r="76" spans="1:14" s="942" customFormat="1" ht="15.75" customHeight="1">
      <c r="A76" s="451"/>
      <c r="B76" s="682" t="s">
        <v>136</v>
      </c>
      <c r="C76" s="428">
        <f>C72</f>
        <v>8</v>
      </c>
      <c r="D76" s="428"/>
      <c r="E76" s="428"/>
      <c r="F76" s="428"/>
      <c r="G76" s="428"/>
      <c r="H76" s="428"/>
      <c r="I76" s="428">
        <f>I75</f>
        <v>1.041885</v>
      </c>
      <c r="J76" s="428"/>
      <c r="K76" s="428">
        <f>K75</f>
        <v>5</v>
      </c>
      <c r="L76" s="428">
        <f>L72</f>
        <v>4</v>
      </c>
      <c r="M76" s="590">
        <f>C76*I76*K76*L76</f>
        <v>166.70159999999998</v>
      </c>
      <c r="N76" s="949"/>
    </row>
    <row r="77" spans="1:14" s="942" customFormat="1" ht="15.75" customHeight="1">
      <c r="A77" s="451"/>
      <c r="B77" s="682"/>
      <c r="C77" s="428"/>
      <c r="D77" s="428"/>
      <c r="E77" s="428"/>
      <c r="F77" s="428"/>
      <c r="G77" s="428"/>
      <c r="H77" s="428"/>
      <c r="I77" s="428"/>
      <c r="J77" s="428"/>
      <c r="K77" s="428"/>
      <c r="L77" s="428"/>
      <c r="M77" s="841">
        <f>SUM(M75:M76)</f>
        <v>354.24090000000001</v>
      </c>
      <c r="N77" s="955" t="s">
        <v>100</v>
      </c>
    </row>
    <row r="78" spans="1:14" s="942" customFormat="1" ht="15.75" customHeight="1">
      <c r="A78" s="451" t="s">
        <v>101</v>
      </c>
      <c r="B78" s="389" t="s">
        <v>411</v>
      </c>
      <c r="C78" s="428"/>
      <c r="D78" s="428"/>
      <c r="E78" s="428"/>
      <c r="F78" s="428"/>
      <c r="G78" s="428"/>
      <c r="H78" s="428"/>
      <c r="I78" s="428"/>
      <c r="J78" s="428"/>
      <c r="K78" s="428"/>
      <c r="L78" s="428"/>
      <c r="M78" s="428"/>
      <c r="N78" s="949"/>
    </row>
    <row r="79" spans="1:14" s="942" customFormat="1" ht="15.75" customHeight="1">
      <c r="A79" s="451"/>
      <c r="B79" s="682" t="s">
        <v>1044</v>
      </c>
      <c r="C79" s="428">
        <f>(0.17+0.22)*2</f>
        <v>0.78</v>
      </c>
      <c r="D79" s="428"/>
      <c r="E79" s="428"/>
      <c r="F79" s="428">
        <v>0.1</v>
      </c>
      <c r="G79" s="428"/>
      <c r="H79" s="428"/>
      <c r="I79" s="428">
        <f>8*8*0.006165</f>
        <v>0.39456000000000002</v>
      </c>
      <c r="J79" s="428"/>
      <c r="K79" s="428">
        <f>ROUNDUP((C75/0.125),0.5)</f>
        <v>72</v>
      </c>
      <c r="L79" s="428">
        <f>L75</f>
        <v>4</v>
      </c>
      <c r="M79" s="428">
        <f>(C79+F79)*I79*K79*L79</f>
        <v>99.997286400000007</v>
      </c>
      <c r="N79" s="949"/>
    </row>
    <row r="80" spans="1:14" s="942" customFormat="1" ht="15.75" customHeight="1">
      <c r="A80" s="451"/>
      <c r="B80" s="682" t="s">
        <v>136</v>
      </c>
      <c r="C80" s="428">
        <f>C79</f>
        <v>0.78</v>
      </c>
      <c r="D80" s="428"/>
      <c r="E80" s="428"/>
      <c r="F80" s="428">
        <f>F79</f>
        <v>0.1</v>
      </c>
      <c r="G80" s="428"/>
      <c r="H80" s="428"/>
      <c r="I80" s="428">
        <f>I79</f>
        <v>0.39456000000000002</v>
      </c>
      <c r="J80" s="428"/>
      <c r="K80" s="428">
        <f>ROUNDUP((C76/0.125),0.5)</f>
        <v>64</v>
      </c>
      <c r="L80" s="428">
        <f>L76</f>
        <v>4</v>
      </c>
      <c r="M80" s="590">
        <f>(C80+F80)*I80*K80*L80</f>
        <v>88.886476800000011</v>
      </c>
      <c r="N80" s="949"/>
    </row>
    <row r="81" spans="1:15" s="942" customFormat="1" ht="15.75" customHeight="1">
      <c r="A81" s="451"/>
      <c r="B81" s="389"/>
      <c r="C81" s="428"/>
      <c r="D81" s="428"/>
      <c r="E81" s="428"/>
      <c r="F81" s="428"/>
      <c r="G81" s="428"/>
      <c r="H81" s="428"/>
      <c r="I81" s="428"/>
      <c r="J81" s="428"/>
      <c r="K81" s="428"/>
      <c r="L81" s="428"/>
      <c r="M81" s="841">
        <f>SUM(M79:M80)</f>
        <v>188.88376320000003</v>
      </c>
      <c r="N81" s="955" t="s">
        <v>100</v>
      </c>
    </row>
    <row r="82" spans="1:15" s="942" customFormat="1" ht="15.75" customHeight="1">
      <c r="A82" s="451"/>
      <c r="B82" s="427" t="s">
        <v>945</v>
      </c>
      <c r="C82" s="428"/>
      <c r="D82" s="428"/>
      <c r="E82" s="428"/>
      <c r="F82" s="428"/>
      <c r="G82" s="428"/>
      <c r="H82" s="428"/>
      <c r="I82" s="428"/>
      <c r="J82" s="428"/>
      <c r="K82" s="428"/>
      <c r="L82" s="428"/>
      <c r="M82" s="390"/>
      <c r="N82" s="362"/>
      <c r="O82" s="962"/>
    </row>
    <row r="83" spans="1:15" s="942" customFormat="1" ht="15.75" customHeight="1">
      <c r="A83" s="451"/>
      <c r="B83" s="963" t="s">
        <v>1111</v>
      </c>
      <c r="C83" s="428">
        <f>C71</f>
        <v>9</v>
      </c>
      <c r="D83" s="428"/>
      <c r="E83" s="428"/>
      <c r="F83" s="428"/>
      <c r="G83" s="428"/>
      <c r="H83" s="428"/>
      <c r="I83" s="428"/>
      <c r="J83" s="428"/>
      <c r="K83" s="428"/>
      <c r="L83" s="428">
        <f>L75</f>
        <v>4</v>
      </c>
      <c r="M83" s="390">
        <f>C83*L83</f>
        <v>36</v>
      </c>
      <c r="N83" s="362"/>
      <c r="O83" s="962"/>
    </row>
    <row r="84" spans="1:15" s="942" customFormat="1" ht="15.75" customHeight="1">
      <c r="A84" s="451"/>
      <c r="B84" s="963"/>
      <c r="C84" s="428">
        <f>C72</f>
        <v>8</v>
      </c>
      <c r="D84" s="428"/>
      <c r="E84" s="428"/>
      <c r="F84" s="428"/>
      <c r="G84" s="428"/>
      <c r="H84" s="428"/>
      <c r="I84" s="428"/>
      <c r="J84" s="428"/>
      <c r="K84" s="428"/>
      <c r="L84" s="428">
        <f>L76</f>
        <v>4</v>
      </c>
      <c r="M84" s="590">
        <f>C84*L84</f>
        <v>32</v>
      </c>
      <c r="N84" s="362"/>
      <c r="O84" s="962"/>
    </row>
    <row r="85" spans="1:15" s="942" customFormat="1" ht="15.75" customHeight="1">
      <c r="A85" s="451"/>
      <c r="B85" s="963"/>
      <c r="C85" s="428"/>
      <c r="D85" s="428"/>
      <c r="E85" s="428"/>
      <c r="F85" s="428"/>
      <c r="G85" s="428"/>
      <c r="H85" s="428"/>
      <c r="I85" s="428"/>
      <c r="J85" s="428"/>
      <c r="K85" s="428"/>
      <c r="L85" s="428"/>
      <c r="M85" s="390">
        <f>SUM(M83:M84)</f>
        <v>68</v>
      </c>
      <c r="N85" s="362" t="s">
        <v>117</v>
      </c>
      <c r="O85" s="962"/>
    </row>
    <row r="86" spans="1:15" s="942" customFormat="1" ht="15.75" customHeight="1">
      <c r="A86" s="451"/>
      <c r="B86" s="963"/>
      <c r="C86" s="428">
        <f>M85</f>
        <v>68</v>
      </c>
      <c r="D86" s="428">
        <v>0.5</v>
      </c>
      <c r="E86" s="428"/>
      <c r="F86" s="428"/>
      <c r="G86" s="428"/>
      <c r="H86" s="428"/>
      <c r="I86" s="428"/>
      <c r="J86" s="428"/>
      <c r="K86" s="428"/>
      <c r="L86" s="428"/>
      <c r="M86" s="841">
        <f>ROUNDDOWN((C86/D86),0.5)</f>
        <v>136</v>
      </c>
      <c r="N86" s="444" t="s">
        <v>124</v>
      </c>
      <c r="O86" s="962">
        <f>ROUND((M86),2)</f>
        <v>136</v>
      </c>
    </row>
    <row r="87" spans="1:15" s="942" customFormat="1" ht="15.75" customHeight="1">
      <c r="A87" s="451" t="s">
        <v>121</v>
      </c>
      <c r="B87" s="389" t="s">
        <v>1043</v>
      </c>
      <c r="C87" s="428"/>
      <c r="D87" s="428"/>
      <c r="E87" s="428"/>
      <c r="F87" s="428"/>
      <c r="G87" s="428"/>
      <c r="H87" s="428"/>
      <c r="I87" s="428"/>
      <c r="J87" s="428"/>
      <c r="K87" s="428"/>
      <c r="L87" s="428"/>
      <c r="M87" s="428"/>
      <c r="N87" s="949"/>
    </row>
    <row r="88" spans="1:15" s="942" customFormat="1" ht="15.75" customHeight="1">
      <c r="A88" s="844"/>
      <c r="B88" s="682" t="s">
        <v>1044</v>
      </c>
      <c r="C88" s="428">
        <f>C75</f>
        <v>9</v>
      </c>
      <c r="D88" s="428">
        <v>0.25</v>
      </c>
      <c r="E88" s="428">
        <v>0.3</v>
      </c>
      <c r="F88" s="428"/>
      <c r="G88" s="428"/>
      <c r="H88" s="428"/>
      <c r="I88" s="428"/>
      <c r="J88" s="428"/>
      <c r="K88" s="428"/>
      <c r="L88" s="428">
        <f>L79</f>
        <v>4</v>
      </c>
      <c r="M88" s="428">
        <f>C88*D88*E88*L88</f>
        <v>2.6999999999999997</v>
      </c>
      <c r="N88" s="949"/>
    </row>
    <row r="89" spans="1:15" s="942" customFormat="1" ht="15.75" customHeight="1">
      <c r="A89" s="844"/>
      <c r="B89" s="682" t="s">
        <v>136</v>
      </c>
      <c r="C89" s="428">
        <f>C76</f>
        <v>8</v>
      </c>
      <c r="D89" s="428">
        <f>D88</f>
        <v>0.25</v>
      </c>
      <c r="E89" s="428">
        <f>E88</f>
        <v>0.3</v>
      </c>
      <c r="F89" s="428"/>
      <c r="G89" s="428"/>
      <c r="H89" s="428"/>
      <c r="I89" s="428"/>
      <c r="J89" s="428"/>
      <c r="K89" s="428"/>
      <c r="L89" s="428">
        <f>L80</f>
        <v>4</v>
      </c>
      <c r="M89" s="590">
        <f>C89*D89*E89*L89</f>
        <v>2.4</v>
      </c>
      <c r="N89" s="949"/>
    </row>
    <row r="90" spans="1:15" s="942" customFormat="1" ht="15.75" customHeight="1">
      <c r="A90" s="844"/>
      <c r="B90" s="389"/>
      <c r="C90" s="428"/>
      <c r="D90" s="428"/>
      <c r="E90" s="428"/>
      <c r="F90" s="428"/>
      <c r="G90" s="428"/>
      <c r="H90" s="428"/>
      <c r="I90" s="428"/>
      <c r="J90" s="428"/>
      <c r="K90" s="428"/>
      <c r="L90" s="428"/>
      <c r="M90" s="841">
        <f>SUM(M88:M89)</f>
        <v>5.0999999999999996</v>
      </c>
      <c r="N90" s="955" t="s">
        <v>103</v>
      </c>
    </row>
    <row r="91" spans="1:15" s="942" customFormat="1" ht="15.75" customHeight="1">
      <c r="A91" s="836">
        <f>A69+1</f>
        <v>6</v>
      </c>
      <c r="B91" s="389" t="s">
        <v>1771</v>
      </c>
      <c r="C91" s="428"/>
      <c r="D91" s="428"/>
      <c r="E91" s="428"/>
      <c r="F91" s="428"/>
      <c r="G91" s="428"/>
      <c r="H91" s="428"/>
      <c r="I91" s="428"/>
      <c r="J91" s="428"/>
      <c r="K91" s="428"/>
      <c r="L91" s="428"/>
      <c r="M91" s="428"/>
      <c r="N91" s="949"/>
    </row>
    <row r="92" spans="1:15" s="942" customFormat="1" ht="15.75" customHeight="1">
      <c r="A92" s="451" t="s">
        <v>95</v>
      </c>
      <c r="B92" s="389" t="s">
        <v>1770</v>
      </c>
      <c r="C92" s="428"/>
      <c r="D92" s="428"/>
      <c r="E92" s="428"/>
      <c r="F92" s="428"/>
      <c r="G92" s="428"/>
      <c r="H92" s="428"/>
      <c r="I92" s="428"/>
      <c r="J92" s="428"/>
      <c r="K92" s="428"/>
      <c r="L92" s="428"/>
      <c r="M92" s="428"/>
      <c r="N92" s="949"/>
    </row>
    <row r="93" spans="1:15" s="942" customFormat="1" ht="15.75" customHeight="1">
      <c r="A93" s="451"/>
      <c r="B93" s="682" t="s">
        <v>1044</v>
      </c>
      <c r="C93" s="428">
        <v>1</v>
      </c>
      <c r="D93" s="428"/>
      <c r="E93" s="428">
        <v>0.25</v>
      </c>
      <c r="F93" s="428"/>
      <c r="G93" s="428"/>
      <c r="H93" s="428"/>
      <c r="I93" s="428"/>
      <c r="J93" s="428">
        <v>2</v>
      </c>
      <c r="K93" s="428"/>
      <c r="L93" s="428">
        <v>8</v>
      </c>
      <c r="M93" s="428">
        <f>C93*E93*J93*L93</f>
        <v>4</v>
      </c>
      <c r="N93" s="949"/>
    </row>
    <row r="94" spans="1:15" s="942" customFormat="1" ht="15.75" customHeight="1">
      <c r="A94" s="451"/>
      <c r="B94" s="682"/>
      <c r="C94" s="428">
        <v>3</v>
      </c>
      <c r="D94" s="428"/>
      <c r="E94" s="428">
        <f>E93</f>
        <v>0.25</v>
      </c>
      <c r="F94" s="428"/>
      <c r="G94" s="428"/>
      <c r="H94" s="428"/>
      <c r="I94" s="428"/>
      <c r="J94" s="428">
        <f>J93</f>
        <v>2</v>
      </c>
      <c r="K94" s="428"/>
      <c r="L94" s="428">
        <v>1</v>
      </c>
      <c r="M94" s="428">
        <f>C94*E94*J94*L94</f>
        <v>1.5</v>
      </c>
      <c r="N94" s="949"/>
    </row>
    <row r="95" spans="1:15" s="942" customFormat="1" ht="15.75" customHeight="1">
      <c r="A95" s="451"/>
      <c r="B95" s="682"/>
      <c r="C95" s="428">
        <v>9</v>
      </c>
      <c r="D95" s="428"/>
      <c r="E95" s="428">
        <f>E94</f>
        <v>0.25</v>
      </c>
      <c r="F95" s="428"/>
      <c r="G95" s="428"/>
      <c r="H95" s="428"/>
      <c r="I95" s="428"/>
      <c r="J95" s="428">
        <f>J94</f>
        <v>2</v>
      </c>
      <c r="K95" s="428"/>
      <c r="L95" s="428">
        <v>1</v>
      </c>
      <c r="M95" s="428">
        <f>C95*E95*J95*L95</f>
        <v>4.5</v>
      </c>
      <c r="N95" s="949"/>
    </row>
    <row r="96" spans="1:15" s="942" customFormat="1" ht="15.75" customHeight="1">
      <c r="A96" s="451"/>
      <c r="B96" s="682" t="s">
        <v>136</v>
      </c>
      <c r="C96" s="428">
        <v>9</v>
      </c>
      <c r="D96" s="428"/>
      <c r="E96" s="428">
        <f>E95</f>
        <v>0.25</v>
      </c>
      <c r="F96" s="428"/>
      <c r="G96" s="428"/>
      <c r="H96" s="428"/>
      <c r="I96" s="428"/>
      <c r="J96" s="428">
        <f>J95</f>
        <v>2</v>
      </c>
      <c r="K96" s="428"/>
      <c r="L96" s="428">
        <v>2</v>
      </c>
      <c r="M96" s="428">
        <f>C96*E96*J96*L96</f>
        <v>9</v>
      </c>
      <c r="N96" s="949"/>
    </row>
    <row r="97" spans="1:14" s="942" customFormat="1" ht="15.75" customHeight="1">
      <c r="A97" s="451"/>
      <c r="B97" s="682"/>
      <c r="C97" s="428">
        <v>1</v>
      </c>
      <c r="D97" s="428"/>
      <c r="E97" s="428">
        <f>E93</f>
        <v>0.25</v>
      </c>
      <c r="F97" s="428"/>
      <c r="G97" s="428"/>
      <c r="H97" s="428"/>
      <c r="I97" s="428"/>
      <c r="J97" s="428">
        <f>J93</f>
        <v>2</v>
      </c>
      <c r="K97" s="428"/>
      <c r="L97" s="428">
        <v>6</v>
      </c>
      <c r="M97" s="590">
        <f>C97*E97*J97*L97</f>
        <v>3</v>
      </c>
      <c r="N97" s="949"/>
    </row>
    <row r="98" spans="1:14" s="942" customFormat="1" ht="15.75" customHeight="1">
      <c r="A98" s="451"/>
      <c r="B98" s="389"/>
      <c r="C98" s="428"/>
      <c r="D98" s="428"/>
      <c r="E98" s="428"/>
      <c r="F98" s="428"/>
      <c r="G98" s="428"/>
      <c r="H98" s="428"/>
      <c r="I98" s="428"/>
      <c r="J98" s="428"/>
      <c r="K98" s="428"/>
      <c r="L98" s="428"/>
      <c r="M98" s="841">
        <f>SUM(M93:M97)</f>
        <v>22</v>
      </c>
      <c r="N98" s="955" t="s">
        <v>89</v>
      </c>
    </row>
    <row r="99" spans="1:14" s="942" customFormat="1" ht="15.75" customHeight="1">
      <c r="A99" s="451" t="s">
        <v>98</v>
      </c>
      <c r="B99" s="389" t="s">
        <v>817</v>
      </c>
      <c r="C99" s="428"/>
      <c r="D99" s="428"/>
      <c r="E99" s="428"/>
      <c r="F99" s="428"/>
      <c r="G99" s="428"/>
      <c r="H99" s="428"/>
      <c r="I99" s="428"/>
      <c r="J99" s="428"/>
      <c r="K99" s="428"/>
      <c r="L99" s="428"/>
      <c r="M99" s="428"/>
      <c r="N99" s="949"/>
    </row>
    <row r="100" spans="1:14" s="942" customFormat="1" ht="15.75" customHeight="1">
      <c r="A100" s="451"/>
      <c r="B100" s="682" t="s">
        <v>1044</v>
      </c>
      <c r="C100" s="428">
        <f>C93</f>
        <v>1</v>
      </c>
      <c r="D100" s="428"/>
      <c r="E100" s="428"/>
      <c r="F100" s="428"/>
      <c r="G100" s="428"/>
      <c r="H100" s="428"/>
      <c r="I100" s="428">
        <f>13*13*0.006165</f>
        <v>1.041885</v>
      </c>
      <c r="J100" s="428"/>
      <c r="K100" s="428">
        <v>4</v>
      </c>
      <c r="L100" s="428">
        <f>L93</f>
        <v>8</v>
      </c>
      <c r="M100" s="428">
        <f>C100*I100*K100*L100</f>
        <v>33.340319999999998</v>
      </c>
      <c r="N100" s="949"/>
    </row>
    <row r="101" spans="1:14" s="942" customFormat="1" ht="15.75" customHeight="1">
      <c r="A101" s="451"/>
      <c r="B101" s="682"/>
      <c r="C101" s="428">
        <f>C94</f>
        <v>3</v>
      </c>
      <c r="D101" s="428"/>
      <c r="E101" s="428"/>
      <c r="F101" s="428"/>
      <c r="G101" s="428"/>
      <c r="H101" s="428"/>
      <c r="I101" s="428">
        <f>I100</f>
        <v>1.041885</v>
      </c>
      <c r="J101" s="428"/>
      <c r="K101" s="428">
        <f>K100</f>
        <v>4</v>
      </c>
      <c r="L101" s="428">
        <f>L94</f>
        <v>1</v>
      </c>
      <c r="M101" s="428">
        <f>C101*I101*K101*L101</f>
        <v>12.50262</v>
      </c>
      <c r="N101" s="949"/>
    </row>
    <row r="102" spans="1:14" s="942" customFormat="1" ht="15.75" customHeight="1">
      <c r="A102" s="451"/>
      <c r="B102" s="682"/>
      <c r="C102" s="428">
        <f>C95</f>
        <v>9</v>
      </c>
      <c r="D102" s="428"/>
      <c r="E102" s="428"/>
      <c r="F102" s="428"/>
      <c r="G102" s="428"/>
      <c r="H102" s="428"/>
      <c r="I102" s="428">
        <f>I101</f>
        <v>1.041885</v>
      </c>
      <c r="J102" s="428"/>
      <c r="K102" s="428">
        <f>K101</f>
        <v>4</v>
      </c>
      <c r="L102" s="428">
        <f>L95</f>
        <v>1</v>
      </c>
      <c r="M102" s="428">
        <f>C102*I102*K102*L102</f>
        <v>37.507860000000001</v>
      </c>
      <c r="N102" s="949"/>
    </row>
    <row r="103" spans="1:14" s="942" customFormat="1" ht="15.75" customHeight="1">
      <c r="A103" s="451"/>
      <c r="B103" s="682" t="s">
        <v>136</v>
      </c>
      <c r="C103" s="428">
        <f>C96</f>
        <v>9</v>
      </c>
      <c r="D103" s="428"/>
      <c r="E103" s="428"/>
      <c r="F103" s="428"/>
      <c r="G103" s="428"/>
      <c r="H103" s="428"/>
      <c r="I103" s="428">
        <f>I102</f>
        <v>1.041885</v>
      </c>
      <c r="J103" s="428"/>
      <c r="K103" s="428">
        <f>K102</f>
        <v>4</v>
      </c>
      <c r="L103" s="428">
        <f>L96</f>
        <v>2</v>
      </c>
      <c r="M103" s="428">
        <f>C103*I103*K103*L103</f>
        <v>75.015720000000002</v>
      </c>
      <c r="N103" s="949"/>
    </row>
    <row r="104" spans="1:14" s="942" customFormat="1" ht="15.75" customHeight="1">
      <c r="A104" s="451"/>
      <c r="B104" s="682"/>
      <c r="C104" s="428">
        <f>C97</f>
        <v>1</v>
      </c>
      <c r="D104" s="428"/>
      <c r="E104" s="428"/>
      <c r="F104" s="428"/>
      <c r="G104" s="428"/>
      <c r="H104" s="428"/>
      <c r="I104" s="428">
        <f>I103</f>
        <v>1.041885</v>
      </c>
      <c r="J104" s="428"/>
      <c r="K104" s="428">
        <f>K103</f>
        <v>4</v>
      </c>
      <c r="L104" s="428">
        <f>L97</f>
        <v>6</v>
      </c>
      <c r="M104" s="590">
        <f>C104*I104*K104*L104</f>
        <v>25.005240000000001</v>
      </c>
      <c r="N104" s="949"/>
    </row>
    <row r="105" spans="1:14" s="942" customFormat="1" ht="15.75" customHeight="1">
      <c r="A105" s="451"/>
      <c r="B105" s="389"/>
      <c r="C105" s="428"/>
      <c r="D105" s="428"/>
      <c r="E105" s="428"/>
      <c r="F105" s="428"/>
      <c r="G105" s="428"/>
      <c r="H105" s="428"/>
      <c r="I105" s="428"/>
      <c r="J105" s="428"/>
      <c r="K105" s="428"/>
      <c r="L105" s="428"/>
      <c r="M105" s="841">
        <f>SUM(M100:M104)</f>
        <v>183.37175999999999</v>
      </c>
      <c r="N105" s="955" t="s">
        <v>100</v>
      </c>
    </row>
    <row r="106" spans="1:14" s="942" customFormat="1" ht="15.75" customHeight="1">
      <c r="A106" s="451" t="s">
        <v>101</v>
      </c>
      <c r="B106" s="389" t="s">
        <v>411</v>
      </c>
      <c r="C106" s="428"/>
      <c r="D106" s="428"/>
      <c r="E106" s="428"/>
      <c r="F106" s="428"/>
      <c r="G106" s="428"/>
      <c r="H106" s="428"/>
      <c r="I106" s="428"/>
      <c r="J106" s="428"/>
      <c r="K106" s="428"/>
      <c r="L106" s="428"/>
      <c r="M106" s="428"/>
      <c r="N106" s="949"/>
    </row>
    <row r="107" spans="1:14" s="942" customFormat="1" ht="15.75" customHeight="1">
      <c r="A107" s="451"/>
      <c r="B107" s="682" t="s">
        <v>1044</v>
      </c>
      <c r="C107" s="428">
        <f>0.1*4</f>
        <v>0.4</v>
      </c>
      <c r="D107" s="428"/>
      <c r="E107" s="428"/>
      <c r="F107" s="428">
        <v>0.1</v>
      </c>
      <c r="G107" s="428"/>
      <c r="H107" s="428"/>
      <c r="I107" s="428">
        <f>8*8*0.006165</f>
        <v>0.39456000000000002</v>
      </c>
      <c r="J107" s="428"/>
      <c r="K107" s="428">
        <f>ROUNDUP((C93/0.125),0.5)</f>
        <v>8</v>
      </c>
      <c r="L107" s="428">
        <f>L100</f>
        <v>8</v>
      </c>
      <c r="M107" s="428">
        <f>(C107+F107)*I107*K107*L107</f>
        <v>12.625920000000001</v>
      </c>
      <c r="N107" s="949"/>
    </row>
    <row r="108" spans="1:14" s="942" customFormat="1" ht="15.75" customHeight="1">
      <c r="A108" s="451"/>
      <c r="B108" s="682"/>
      <c r="C108" s="428">
        <f>C107</f>
        <v>0.4</v>
      </c>
      <c r="D108" s="428"/>
      <c r="E108" s="428"/>
      <c r="F108" s="428">
        <f>F107</f>
        <v>0.1</v>
      </c>
      <c r="G108" s="428"/>
      <c r="H108" s="428"/>
      <c r="I108" s="428">
        <f>I107</f>
        <v>0.39456000000000002</v>
      </c>
      <c r="J108" s="428"/>
      <c r="K108" s="428">
        <f>ROUNDUP((C94/0.125),0.5)</f>
        <v>24</v>
      </c>
      <c r="L108" s="428">
        <f>L101</f>
        <v>1</v>
      </c>
      <c r="M108" s="428">
        <f>(C108+F108)*I108*K108*L108</f>
        <v>4.7347200000000003</v>
      </c>
      <c r="N108" s="949"/>
    </row>
    <row r="109" spans="1:14" s="942" customFormat="1" ht="15.75" customHeight="1">
      <c r="A109" s="451"/>
      <c r="B109" s="682"/>
      <c r="C109" s="428">
        <f>C108</f>
        <v>0.4</v>
      </c>
      <c r="D109" s="428"/>
      <c r="E109" s="428"/>
      <c r="F109" s="428">
        <f>F108</f>
        <v>0.1</v>
      </c>
      <c r="G109" s="428"/>
      <c r="H109" s="428"/>
      <c r="I109" s="428">
        <f>I108</f>
        <v>0.39456000000000002</v>
      </c>
      <c r="J109" s="428"/>
      <c r="K109" s="428">
        <f>ROUNDUP((C95/0.125),0.5)</f>
        <v>72</v>
      </c>
      <c r="L109" s="428">
        <f>L102</f>
        <v>1</v>
      </c>
      <c r="M109" s="428">
        <f>(C109+F109)*I109*K109*L109</f>
        <v>14.204160000000002</v>
      </c>
      <c r="N109" s="949"/>
    </row>
    <row r="110" spans="1:14" s="942" customFormat="1" ht="15.75" customHeight="1">
      <c r="A110" s="451"/>
      <c r="B110" s="682" t="s">
        <v>136</v>
      </c>
      <c r="C110" s="428">
        <f>C109</f>
        <v>0.4</v>
      </c>
      <c r="D110" s="428"/>
      <c r="E110" s="428"/>
      <c r="F110" s="428">
        <f>F109</f>
        <v>0.1</v>
      </c>
      <c r="G110" s="428"/>
      <c r="H110" s="428"/>
      <c r="I110" s="428">
        <f>I109</f>
        <v>0.39456000000000002</v>
      </c>
      <c r="J110" s="428"/>
      <c r="K110" s="428">
        <f>ROUNDUP((C96/0.125),0.5)</f>
        <v>72</v>
      </c>
      <c r="L110" s="428">
        <f>L103</f>
        <v>2</v>
      </c>
      <c r="M110" s="428">
        <f>(C110+F110)*I110*K110*L110</f>
        <v>28.408320000000003</v>
      </c>
      <c r="N110" s="949"/>
    </row>
    <row r="111" spans="1:14" s="942" customFormat="1" ht="15.75" customHeight="1">
      <c r="A111" s="451"/>
      <c r="B111" s="682"/>
      <c r="C111" s="428">
        <f>C110</f>
        <v>0.4</v>
      </c>
      <c r="D111" s="428"/>
      <c r="E111" s="428"/>
      <c r="F111" s="428">
        <f>F110</f>
        <v>0.1</v>
      </c>
      <c r="G111" s="428"/>
      <c r="H111" s="428"/>
      <c r="I111" s="428">
        <f>I110</f>
        <v>0.39456000000000002</v>
      </c>
      <c r="J111" s="428"/>
      <c r="K111" s="428">
        <f>ROUNDUP((C97/0.125),0.5)</f>
        <v>8</v>
      </c>
      <c r="L111" s="428">
        <f>L104</f>
        <v>6</v>
      </c>
      <c r="M111" s="590">
        <f>(C111+F111)*I111*K111*L111</f>
        <v>9.4694400000000005</v>
      </c>
      <c r="N111" s="949"/>
    </row>
    <row r="112" spans="1:14" s="942" customFormat="1" ht="15.75" customHeight="1">
      <c r="A112" s="451"/>
      <c r="B112" s="389"/>
      <c r="C112" s="428"/>
      <c r="D112" s="428"/>
      <c r="E112" s="428"/>
      <c r="F112" s="428"/>
      <c r="G112" s="428"/>
      <c r="H112" s="428"/>
      <c r="I112" s="428"/>
      <c r="J112" s="428"/>
      <c r="K112" s="428"/>
      <c r="L112" s="428"/>
      <c r="M112" s="841">
        <f>SUM(M107:M111)</f>
        <v>69.442560000000014</v>
      </c>
      <c r="N112" s="955" t="s">
        <v>100</v>
      </c>
    </row>
    <row r="113" spans="1:14" s="942" customFormat="1" ht="15.75" customHeight="1">
      <c r="A113" s="451" t="s">
        <v>121</v>
      </c>
      <c r="B113" s="389" t="s">
        <v>1043</v>
      </c>
      <c r="C113" s="428"/>
      <c r="D113" s="428"/>
      <c r="E113" s="428"/>
      <c r="F113" s="428"/>
      <c r="G113" s="428"/>
      <c r="H113" s="428"/>
      <c r="I113" s="428"/>
      <c r="J113" s="428"/>
      <c r="K113" s="428"/>
      <c r="L113" s="428"/>
      <c r="M113" s="428"/>
      <c r="N113" s="949"/>
    </row>
    <row r="114" spans="1:14" s="942" customFormat="1" ht="15.75" customHeight="1">
      <c r="A114" s="451"/>
      <c r="B114" s="682" t="s">
        <v>1044</v>
      </c>
      <c r="C114" s="428">
        <f>C100</f>
        <v>1</v>
      </c>
      <c r="D114" s="428">
        <v>0.25</v>
      </c>
      <c r="E114" s="428">
        <v>0.25</v>
      </c>
      <c r="F114" s="428"/>
      <c r="G114" s="428"/>
      <c r="H114" s="428"/>
      <c r="I114" s="428"/>
      <c r="J114" s="428"/>
      <c r="K114" s="428"/>
      <c r="L114" s="428">
        <f>L107</f>
        <v>8</v>
      </c>
      <c r="M114" s="428">
        <f>C114*D114*E114*L114</f>
        <v>0.5</v>
      </c>
      <c r="N114" s="949"/>
    </row>
    <row r="115" spans="1:14" s="942" customFormat="1" ht="15.75" customHeight="1">
      <c r="A115" s="451"/>
      <c r="B115" s="682"/>
      <c r="C115" s="428">
        <f>C101</f>
        <v>3</v>
      </c>
      <c r="D115" s="428">
        <f t="shared" ref="D115:E118" si="3">D114</f>
        <v>0.25</v>
      </c>
      <c r="E115" s="428">
        <f t="shared" si="3"/>
        <v>0.25</v>
      </c>
      <c r="F115" s="428"/>
      <c r="G115" s="428"/>
      <c r="H115" s="428"/>
      <c r="I115" s="428"/>
      <c r="J115" s="428"/>
      <c r="K115" s="428"/>
      <c r="L115" s="428">
        <f>L108</f>
        <v>1</v>
      </c>
      <c r="M115" s="428">
        <f>C115*D115*E115*L115</f>
        <v>0.1875</v>
      </c>
      <c r="N115" s="949"/>
    </row>
    <row r="116" spans="1:14" s="942" customFormat="1" ht="15.75" customHeight="1">
      <c r="A116" s="451"/>
      <c r="B116" s="682"/>
      <c r="C116" s="428">
        <f>C102</f>
        <v>9</v>
      </c>
      <c r="D116" s="428">
        <f t="shared" si="3"/>
        <v>0.25</v>
      </c>
      <c r="E116" s="428">
        <f t="shared" si="3"/>
        <v>0.25</v>
      </c>
      <c r="F116" s="428"/>
      <c r="G116" s="428"/>
      <c r="H116" s="428"/>
      <c r="I116" s="428"/>
      <c r="J116" s="428"/>
      <c r="K116" s="428"/>
      <c r="L116" s="428">
        <f>L109</f>
        <v>1</v>
      </c>
      <c r="M116" s="428">
        <f>C116*D116*E116*L116</f>
        <v>0.5625</v>
      </c>
      <c r="N116" s="949"/>
    </row>
    <row r="117" spans="1:14" s="942" customFormat="1" ht="15.75" customHeight="1">
      <c r="A117" s="451"/>
      <c r="B117" s="682" t="s">
        <v>136</v>
      </c>
      <c r="C117" s="428">
        <f>C103</f>
        <v>9</v>
      </c>
      <c r="D117" s="428">
        <f t="shared" si="3"/>
        <v>0.25</v>
      </c>
      <c r="E117" s="428">
        <f t="shared" si="3"/>
        <v>0.25</v>
      </c>
      <c r="F117" s="428"/>
      <c r="G117" s="428"/>
      <c r="H117" s="428"/>
      <c r="I117" s="428"/>
      <c r="J117" s="428"/>
      <c r="K117" s="428"/>
      <c r="L117" s="428">
        <f>L110</f>
        <v>2</v>
      </c>
      <c r="M117" s="428">
        <f>C117*D117*E117*L117</f>
        <v>1.125</v>
      </c>
      <c r="N117" s="949"/>
    </row>
    <row r="118" spans="1:14" s="942" customFormat="1" ht="15.75" customHeight="1">
      <c r="A118" s="451"/>
      <c r="B118" s="682"/>
      <c r="C118" s="428">
        <f>C104</f>
        <v>1</v>
      </c>
      <c r="D118" s="428">
        <f t="shared" si="3"/>
        <v>0.25</v>
      </c>
      <c r="E118" s="428">
        <f t="shared" si="3"/>
        <v>0.25</v>
      </c>
      <c r="F118" s="428"/>
      <c r="G118" s="428"/>
      <c r="H118" s="428"/>
      <c r="I118" s="428"/>
      <c r="J118" s="428"/>
      <c r="K118" s="428"/>
      <c r="L118" s="428">
        <f>L111</f>
        <v>6</v>
      </c>
      <c r="M118" s="590">
        <f>C118*D118*E118*L118</f>
        <v>0.375</v>
      </c>
      <c r="N118" s="949"/>
    </row>
    <row r="119" spans="1:14" s="942" customFormat="1" ht="15.75" customHeight="1">
      <c r="A119" s="451"/>
      <c r="B119" s="389"/>
      <c r="C119" s="428"/>
      <c r="D119" s="428"/>
      <c r="E119" s="428"/>
      <c r="F119" s="428"/>
      <c r="G119" s="428"/>
      <c r="H119" s="428"/>
      <c r="I119" s="428"/>
      <c r="J119" s="428"/>
      <c r="K119" s="428"/>
      <c r="L119" s="428"/>
      <c r="M119" s="841">
        <f>SUM(M114:M118)</f>
        <v>2.75</v>
      </c>
      <c r="N119" s="955" t="s">
        <v>103</v>
      </c>
    </row>
    <row r="120" spans="1:14" s="942" customFormat="1" ht="15.75" customHeight="1">
      <c r="A120" s="394">
        <f>A91+1</f>
        <v>7</v>
      </c>
      <c r="B120" s="389" t="s">
        <v>1772</v>
      </c>
      <c r="C120" s="443"/>
      <c r="D120" s="428"/>
      <c r="E120" s="428"/>
      <c r="F120" s="428"/>
      <c r="G120" s="428"/>
      <c r="H120" s="428"/>
      <c r="I120" s="428"/>
      <c r="J120" s="428"/>
      <c r="K120" s="428"/>
      <c r="L120" s="428"/>
      <c r="M120" s="428"/>
      <c r="N120" s="949"/>
    </row>
    <row r="121" spans="1:14" s="942" customFormat="1" ht="15.75" customHeight="1">
      <c r="A121" s="451" t="s">
        <v>95</v>
      </c>
      <c r="B121" s="389" t="s">
        <v>1773</v>
      </c>
      <c r="C121" s="428"/>
      <c r="D121" s="428">
        <v>0.3</v>
      </c>
      <c r="E121" s="428">
        <v>3.8</v>
      </c>
      <c r="F121" s="428"/>
      <c r="G121" s="428">
        <v>0.95</v>
      </c>
      <c r="H121" s="428"/>
      <c r="I121" s="428"/>
      <c r="J121" s="428">
        <v>4</v>
      </c>
      <c r="K121" s="428"/>
      <c r="L121" s="428">
        <v>12</v>
      </c>
      <c r="M121" s="428">
        <f>D121*(E121+G121)*J121*L121</f>
        <v>68.400000000000006</v>
      </c>
      <c r="N121" s="949" t="s">
        <v>89</v>
      </c>
    </row>
    <row r="122" spans="1:14" s="942" customFormat="1" ht="15.75" customHeight="1">
      <c r="A122" s="451" t="s">
        <v>98</v>
      </c>
      <c r="B122" s="389" t="s">
        <v>901</v>
      </c>
      <c r="C122" s="428"/>
      <c r="D122" s="428"/>
      <c r="E122" s="428">
        <f>E121</f>
        <v>3.8</v>
      </c>
      <c r="F122" s="428">
        <v>0.25</v>
      </c>
      <c r="G122" s="428">
        <f>G121</f>
        <v>0.95</v>
      </c>
      <c r="H122" s="428"/>
      <c r="I122" s="428">
        <f>13*13*0.006165</f>
        <v>1.041885</v>
      </c>
      <c r="J122" s="428"/>
      <c r="K122" s="428">
        <v>8</v>
      </c>
      <c r="L122" s="428">
        <f>L121</f>
        <v>12</v>
      </c>
      <c r="M122" s="428">
        <f>(E122+F122+G122)*I122*K122*L122</f>
        <v>500.10479999999995</v>
      </c>
      <c r="N122" s="949" t="s">
        <v>100</v>
      </c>
    </row>
    <row r="123" spans="1:14" s="942" customFormat="1" ht="15.75" customHeight="1">
      <c r="A123" s="451" t="s">
        <v>101</v>
      </c>
      <c r="B123" s="389" t="s">
        <v>411</v>
      </c>
      <c r="C123" s="428">
        <f>0.22*4</f>
        <v>0.88</v>
      </c>
      <c r="D123" s="428"/>
      <c r="E123" s="428"/>
      <c r="F123" s="428">
        <v>0.1</v>
      </c>
      <c r="G123" s="428"/>
      <c r="H123" s="428"/>
      <c r="I123" s="428">
        <f>8*8*0.006165</f>
        <v>0.39456000000000002</v>
      </c>
      <c r="J123" s="428"/>
      <c r="K123" s="428">
        <f>ROUNDUP(((E122+G122)/0.125),0.5)</f>
        <v>38</v>
      </c>
      <c r="L123" s="428">
        <f>L122</f>
        <v>12</v>
      </c>
      <c r="M123" s="428">
        <f>(C123+F123)*I123*K123*L123</f>
        <v>176.32097280000002</v>
      </c>
      <c r="N123" s="949" t="s">
        <v>100</v>
      </c>
    </row>
    <row r="124" spans="1:14" s="942" customFormat="1" ht="15.75" customHeight="1">
      <c r="A124" s="451" t="s">
        <v>121</v>
      </c>
      <c r="B124" s="389" t="s">
        <v>1043</v>
      </c>
      <c r="C124" s="428">
        <v>0.3</v>
      </c>
      <c r="D124" s="428">
        <v>0.3</v>
      </c>
      <c r="E124" s="428">
        <f>E121</f>
        <v>3.8</v>
      </c>
      <c r="F124" s="428"/>
      <c r="G124" s="428">
        <f>G121</f>
        <v>0.95</v>
      </c>
      <c r="H124" s="428"/>
      <c r="I124" s="428"/>
      <c r="J124" s="428"/>
      <c r="K124" s="428"/>
      <c r="L124" s="428">
        <f>L123</f>
        <v>12</v>
      </c>
      <c r="M124" s="428">
        <f>C124*D124*(E124+G124)*L124</f>
        <v>5.13</v>
      </c>
      <c r="N124" s="949" t="s">
        <v>103</v>
      </c>
    </row>
    <row r="125" spans="1:14" s="942" customFormat="1" ht="15.75" customHeight="1">
      <c r="A125" s="394">
        <f>A120+1</f>
        <v>8</v>
      </c>
      <c r="B125" s="389" t="s">
        <v>1774</v>
      </c>
      <c r="C125" s="443"/>
      <c r="D125" s="428"/>
      <c r="E125" s="428"/>
      <c r="F125" s="428"/>
      <c r="G125" s="428"/>
      <c r="H125" s="428"/>
      <c r="I125" s="428"/>
      <c r="J125" s="428"/>
      <c r="K125" s="428"/>
      <c r="L125" s="428"/>
      <c r="M125" s="428"/>
      <c r="N125" s="949"/>
    </row>
    <row r="126" spans="1:14" s="942" customFormat="1" ht="15.75" customHeight="1">
      <c r="A126" s="451" t="s">
        <v>95</v>
      </c>
      <c r="B126" s="389" t="s">
        <v>1775</v>
      </c>
      <c r="C126" s="443"/>
      <c r="D126" s="428"/>
      <c r="E126" s="428"/>
      <c r="F126" s="428"/>
      <c r="G126" s="428"/>
      <c r="H126" s="428"/>
      <c r="I126" s="428"/>
      <c r="J126" s="428"/>
      <c r="K126" s="428"/>
      <c r="L126" s="428"/>
      <c r="M126" s="428"/>
      <c r="N126" s="949"/>
    </row>
    <row r="127" spans="1:14" s="942" customFormat="1" ht="15.75" customHeight="1">
      <c r="A127" s="394"/>
      <c r="B127" s="389"/>
      <c r="C127" s="443"/>
      <c r="D127" s="428">
        <v>0.25</v>
      </c>
      <c r="E127" s="428">
        <v>2.8</v>
      </c>
      <c r="F127" s="428"/>
      <c r="G127" s="428">
        <v>0.95</v>
      </c>
      <c r="H127" s="428"/>
      <c r="I127" s="428"/>
      <c r="J127" s="428">
        <v>4</v>
      </c>
      <c r="K127" s="428"/>
      <c r="L127" s="428">
        <v>2</v>
      </c>
      <c r="M127" s="428">
        <f>D127*(E127+G127)*J127*L127</f>
        <v>7.5</v>
      </c>
      <c r="N127" s="949"/>
    </row>
    <row r="128" spans="1:14" s="942" customFormat="1" ht="15.75" customHeight="1">
      <c r="A128" s="394"/>
      <c r="B128" s="389"/>
      <c r="C128" s="443"/>
      <c r="D128" s="428">
        <f>D127</f>
        <v>0.25</v>
      </c>
      <c r="E128" s="428">
        <v>3.4</v>
      </c>
      <c r="F128" s="428"/>
      <c r="G128" s="428">
        <f>G127</f>
        <v>0.95</v>
      </c>
      <c r="H128" s="428"/>
      <c r="I128" s="428"/>
      <c r="J128" s="428">
        <f>J127</f>
        <v>4</v>
      </c>
      <c r="K128" s="428"/>
      <c r="L128" s="428">
        <v>4</v>
      </c>
      <c r="M128" s="590">
        <f>D128*(E128+G128)*J128*L128</f>
        <v>17.399999999999999</v>
      </c>
      <c r="N128" s="949"/>
    </row>
    <row r="129" spans="1:14" s="942" customFormat="1" ht="15.75" customHeight="1">
      <c r="A129" s="451"/>
      <c r="B129" s="389"/>
      <c r="C129" s="428"/>
      <c r="D129" s="428"/>
      <c r="E129" s="428"/>
      <c r="F129" s="428"/>
      <c r="G129" s="428"/>
      <c r="H129" s="428"/>
      <c r="I129" s="428"/>
      <c r="J129" s="428"/>
      <c r="K129" s="428"/>
      <c r="L129" s="428"/>
      <c r="M129" s="390">
        <f>SUM(M127:M128)</f>
        <v>24.9</v>
      </c>
      <c r="N129" s="949" t="s">
        <v>89</v>
      </c>
    </row>
    <row r="130" spans="1:14" s="942" customFormat="1" ht="15.75" customHeight="1">
      <c r="A130" s="451" t="s">
        <v>98</v>
      </c>
      <c r="B130" s="389" t="s">
        <v>901</v>
      </c>
      <c r="C130" s="428"/>
      <c r="D130" s="428"/>
      <c r="E130" s="428"/>
      <c r="F130" s="428"/>
      <c r="G130" s="428"/>
      <c r="H130" s="428"/>
      <c r="I130" s="428"/>
      <c r="J130" s="428"/>
      <c r="K130" s="428"/>
      <c r="L130" s="428"/>
      <c r="M130" s="428"/>
      <c r="N130" s="949"/>
    </row>
    <row r="131" spans="1:14" s="942" customFormat="1" ht="15.75" customHeight="1">
      <c r="A131" s="451"/>
      <c r="B131" s="389"/>
      <c r="C131" s="428">
        <f>E127</f>
        <v>2.8</v>
      </c>
      <c r="D131" s="428"/>
      <c r="E131" s="428"/>
      <c r="F131" s="428">
        <v>0.25</v>
      </c>
      <c r="G131" s="428">
        <f>G127</f>
        <v>0.95</v>
      </c>
      <c r="H131" s="428"/>
      <c r="I131" s="428">
        <f>13*13*0.006165</f>
        <v>1.041885</v>
      </c>
      <c r="J131" s="428"/>
      <c r="K131" s="428">
        <v>8</v>
      </c>
      <c r="L131" s="428">
        <f>L127</f>
        <v>2</v>
      </c>
      <c r="M131" s="428">
        <f>(C131+F131+G131)*I131*K131*L131</f>
        <v>66.680639999999997</v>
      </c>
      <c r="N131" s="949"/>
    </row>
    <row r="132" spans="1:14" s="942" customFormat="1" ht="15.75" customHeight="1">
      <c r="A132" s="451"/>
      <c r="B132" s="389"/>
      <c r="C132" s="428">
        <f>E128</f>
        <v>3.4</v>
      </c>
      <c r="D132" s="428"/>
      <c r="E132" s="428"/>
      <c r="F132" s="428">
        <f>F131</f>
        <v>0.25</v>
      </c>
      <c r="G132" s="428">
        <f>G128</f>
        <v>0.95</v>
      </c>
      <c r="H132" s="428"/>
      <c r="I132" s="428">
        <f>I131</f>
        <v>1.041885</v>
      </c>
      <c r="J132" s="428"/>
      <c r="K132" s="428">
        <f>K131</f>
        <v>8</v>
      </c>
      <c r="L132" s="428">
        <f>L128</f>
        <v>4</v>
      </c>
      <c r="M132" s="590">
        <f>(C132+F132+G132)*I132*K132*L132</f>
        <v>153.36547199999998</v>
      </c>
      <c r="N132" s="949"/>
    </row>
    <row r="133" spans="1:14" s="942" customFormat="1" ht="15.75" customHeight="1">
      <c r="A133" s="451"/>
      <c r="B133" s="389"/>
      <c r="C133" s="428"/>
      <c r="D133" s="428"/>
      <c r="E133" s="428"/>
      <c r="F133" s="428"/>
      <c r="G133" s="428"/>
      <c r="H133" s="428"/>
      <c r="I133" s="428"/>
      <c r="J133" s="428"/>
      <c r="K133" s="428"/>
      <c r="L133" s="428"/>
      <c r="M133" s="390">
        <f>SUM(M131:M132)</f>
        <v>220.04611199999999</v>
      </c>
      <c r="N133" s="949" t="s">
        <v>100</v>
      </c>
    </row>
    <row r="134" spans="1:14" s="942" customFormat="1" ht="15.75" customHeight="1">
      <c r="A134" s="451" t="s">
        <v>101</v>
      </c>
      <c r="B134" s="389" t="s">
        <v>411</v>
      </c>
      <c r="C134" s="428"/>
      <c r="D134" s="428"/>
      <c r="E134" s="428"/>
      <c r="F134" s="428"/>
      <c r="G134" s="428"/>
      <c r="H134" s="428"/>
      <c r="I134" s="428"/>
      <c r="J134" s="428"/>
      <c r="K134" s="428"/>
      <c r="L134" s="428"/>
      <c r="M134" s="428"/>
      <c r="N134" s="949"/>
    </row>
    <row r="135" spans="1:14" s="942" customFormat="1" ht="15.75" customHeight="1">
      <c r="A135" s="451"/>
      <c r="B135" s="389"/>
      <c r="C135" s="428">
        <f>0.12*4</f>
        <v>0.48</v>
      </c>
      <c r="D135" s="428"/>
      <c r="E135" s="428"/>
      <c r="F135" s="428">
        <f>0.05*2</f>
        <v>0.1</v>
      </c>
      <c r="G135" s="428"/>
      <c r="H135" s="428"/>
      <c r="I135" s="428">
        <f>8*8*0.006165</f>
        <v>0.39456000000000002</v>
      </c>
      <c r="J135" s="428"/>
      <c r="K135" s="428">
        <f>ROUNDUP((C131/0.125),0.5)</f>
        <v>23</v>
      </c>
      <c r="L135" s="428">
        <f>L131</f>
        <v>2</v>
      </c>
      <c r="M135" s="428">
        <f>(C135+F135)*I135*K135*L135</f>
        <v>10.5268608</v>
      </c>
      <c r="N135" s="949"/>
    </row>
    <row r="136" spans="1:14" s="942" customFormat="1" ht="15.75" customHeight="1">
      <c r="A136" s="451"/>
      <c r="B136" s="389"/>
      <c r="C136" s="428">
        <f>C135</f>
        <v>0.48</v>
      </c>
      <c r="D136" s="428"/>
      <c r="E136" s="428"/>
      <c r="F136" s="428">
        <f>F135</f>
        <v>0.1</v>
      </c>
      <c r="G136" s="428"/>
      <c r="H136" s="428"/>
      <c r="I136" s="428">
        <f>I135</f>
        <v>0.39456000000000002</v>
      </c>
      <c r="J136" s="428"/>
      <c r="K136" s="428">
        <f>ROUNDUP((C132/0.125),0.5)</f>
        <v>28</v>
      </c>
      <c r="L136" s="428">
        <f>L132</f>
        <v>4</v>
      </c>
      <c r="M136" s="590">
        <f>(C136+F136)*I136*K136*L136</f>
        <v>25.630617599999997</v>
      </c>
      <c r="N136" s="949"/>
    </row>
    <row r="137" spans="1:14" s="942" customFormat="1" ht="15.75" customHeight="1">
      <c r="A137" s="451"/>
      <c r="B137" s="389"/>
      <c r="C137" s="428"/>
      <c r="D137" s="428"/>
      <c r="E137" s="428"/>
      <c r="F137" s="428"/>
      <c r="G137" s="428"/>
      <c r="H137" s="428"/>
      <c r="I137" s="428"/>
      <c r="J137" s="428"/>
      <c r="K137" s="428"/>
      <c r="L137" s="428"/>
      <c r="M137" s="390">
        <f>SUM(M135:M136)</f>
        <v>36.157478399999995</v>
      </c>
      <c r="N137" s="949" t="s">
        <v>100</v>
      </c>
    </row>
    <row r="138" spans="1:14" s="942" customFormat="1" ht="15.75" customHeight="1">
      <c r="A138" s="451" t="s">
        <v>121</v>
      </c>
      <c r="B138" s="389" t="s">
        <v>1043</v>
      </c>
      <c r="C138" s="428"/>
      <c r="D138" s="428"/>
      <c r="E138" s="428"/>
      <c r="F138" s="428"/>
      <c r="G138" s="428"/>
      <c r="H138" s="428"/>
      <c r="I138" s="428"/>
      <c r="J138" s="428"/>
      <c r="K138" s="428"/>
      <c r="L138" s="428"/>
      <c r="M138" s="428"/>
      <c r="N138" s="949"/>
    </row>
    <row r="139" spans="1:14" s="942" customFormat="1" ht="15.75" customHeight="1">
      <c r="A139" s="451"/>
      <c r="B139" s="389"/>
      <c r="C139" s="428">
        <v>0.25</v>
      </c>
      <c r="D139" s="428">
        <v>0.25</v>
      </c>
      <c r="E139" s="428">
        <f>C131</f>
        <v>2.8</v>
      </c>
      <c r="F139" s="428"/>
      <c r="G139" s="428">
        <f>G131</f>
        <v>0.95</v>
      </c>
      <c r="H139" s="428"/>
      <c r="I139" s="428"/>
      <c r="J139" s="428"/>
      <c r="K139" s="428"/>
      <c r="L139" s="428">
        <f>L135</f>
        <v>2</v>
      </c>
      <c r="M139" s="428">
        <f>C139*D139*(E139+G139)*L139</f>
        <v>0.46875</v>
      </c>
      <c r="N139" s="949"/>
    </row>
    <row r="140" spans="1:14" s="942" customFormat="1" ht="15.75" customHeight="1">
      <c r="A140" s="451"/>
      <c r="B140" s="389"/>
      <c r="C140" s="428">
        <f>C139</f>
        <v>0.25</v>
      </c>
      <c r="D140" s="428">
        <f>D139</f>
        <v>0.25</v>
      </c>
      <c r="E140" s="428">
        <f>C132</f>
        <v>3.4</v>
      </c>
      <c r="F140" s="428"/>
      <c r="G140" s="428">
        <f>G139</f>
        <v>0.95</v>
      </c>
      <c r="H140" s="428"/>
      <c r="I140" s="428"/>
      <c r="J140" s="428"/>
      <c r="K140" s="428"/>
      <c r="L140" s="428">
        <f>L136</f>
        <v>4</v>
      </c>
      <c r="M140" s="590">
        <f>C140*D140*(E140+G140)*L140</f>
        <v>1.0874999999999999</v>
      </c>
      <c r="N140" s="949"/>
    </row>
    <row r="141" spans="1:14" s="942" customFormat="1" ht="15.75" customHeight="1">
      <c r="A141" s="451"/>
      <c r="B141" s="389"/>
      <c r="C141" s="428"/>
      <c r="D141" s="428"/>
      <c r="E141" s="428"/>
      <c r="F141" s="428"/>
      <c r="G141" s="428"/>
      <c r="H141" s="428"/>
      <c r="I141" s="428"/>
      <c r="J141" s="428"/>
      <c r="K141" s="428"/>
      <c r="L141" s="428"/>
      <c r="M141" s="390">
        <f>SUM(M139:M140)</f>
        <v>1.5562499999999999</v>
      </c>
      <c r="N141" s="949" t="s">
        <v>103</v>
      </c>
    </row>
    <row r="142" spans="1:14" s="942" customFormat="1" ht="15.75" customHeight="1">
      <c r="A142" s="394">
        <f>A125+1</f>
        <v>9</v>
      </c>
      <c r="B142" s="389" t="s">
        <v>1776</v>
      </c>
      <c r="C142" s="428"/>
      <c r="D142" s="428"/>
      <c r="E142" s="428"/>
      <c r="F142" s="428"/>
      <c r="G142" s="428"/>
      <c r="H142" s="428"/>
      <c r="I142" s="428"/>
      <c r="J142" s="428"/>
      <c r="K142" s="428"/>
      <c r="L142" s="428"/>
      <c r="M142" s="428"/>
      <c r="N142" s="949"/>
    </row>
    <row r="143" spans="1:14" s="942" customFormat="1" ht="15.75" customHeight="1">
      <c r="A143" s="451" t="s">
        <v>95</v>
      </c>
      <c r="B143" s="389" t="s">
        <v>1775</v>
      </c>
      <c r="C143" s="428"/>
      <c r="D143" s="428"/>
      <c r="E143" s="428"/>
      <c r="F143" s="428"/>
      <c r="G143" s="428"/>
      <c r="H143" s="428"/>
      <c r="I143" s="428"/>
      <c r="J143" s="428"/>
      <c r="K143" s="428"/>
      <c r="L143" s="428"/>
      <c r="M143" s="428"/>
      <c r="N143" s="949"/>
    </row>
    <row r="144" spans="1:14" s="942" customFormat="1" ht="15.75" customHeight="1">
      <c r="A144" s="451"/>
      <c r="B144" s="389"/>
      <c r="C144" s="428"/>
      <c r="D144" s="428">
        <v>0.25</v>
      </c>
      <c r="E144" s="428">
        <v>3.9</v>
      </c>
      <c r="F144" s="428"/>
      <c r="G144" s="428">
        <v>0.4</v>
      </c>
      <c r="H144" s="428"/>
      <c r="I144" s="428"/>
      <c r="J144" s="428">
        <v>2</v>
      </c>
      <c r="K144" s="428"/>
      <c r="L144" s="428">
        <v>6</v>
      </c>
      <c r="M144" s="428">
        <f>D144*(E144+G144)*J144*L144</f>
        <v>12.899999999999999</v>
      </c>
      <c r="N144" s="949"/>
    </row>
    <row r="145" spans="1:14" s="942" customFormat="1" ht="15.75" customHeight="1">
      <c r="A145" s="451"/>
      <c r="B145" s="389"/>
      <c r="C145" s="428"/>
      <c r="D145" s="428">
        <v>0.65</v>
      </c>
      <c r="E145" s="428">
        <f>E144</f>
        <v>3.9</v>
      </c>
      <c r="F145" s="428"/>
      <c r="G145" s="428">
        <f>G144</f>
        <v>0.4</v>
      </c>
      <c r="H145" s="428"/>
      <c r="I145" s="428"/>
      <c r="J145" s="428">
        <v>2</v>
      </c>
      <c r="K145" s="428"/>
      <c r="L145" s="428">
        <v>6</v>
      </c>
      <c r="M145" s="590">
        <f>D145*(E145+G145)*J145*L145</f>
        <v>33.54</v>
      </c>
      <c r="N145" s="949"/>
    </row>
    <row r="146" spans="1:14" s="942" customFormat="1" ht="15.75" customHeight="1">
      <c r="A146" s="451"/>
      <c r="B146" s="389"/>
      <c r="C146" s="428"/>
      <c r="D146" s="428"/>
      <c r="E146" s="428"/>
      <c r="F146" s="428"/>
      <c r="G146" s="428"/>
      <c r="H146" s="428"/>
      <c r="I146" s="428"/>
      <c r="J146" s="428"/>
      <c r="K146" s="428"/>
      <c r="L146" s="428"/>
      <c r="M146" s="390">
        <f>SUM(M144:M145)</f>
        <v>46.44</v>
      </c>
      <c r="N146" s="949" t="s">
        <v>89</v>
      </c>
    </row>
    <row r="147" spans="1:14" s="942" customFormat="1" ht="15.75" customHeight="1">
      <c r="A147" s="451" t="s">
        <v>98</v>
      </c>
      <c r="B147" s="389" t="s">
        <v>1777</v>
      </c>
      <c r="C147" s="428"/>
      <c r="D147" s="428"/>
      <c r="E147" s="428">
        <f>E145</f>
        <v>3.9</v>
      </c>
      <c r="F147" s="428">
        <v>0.55000000000000004</v>
      </c>
      <c r="G147" s="428">
        <f>G145</f>
        <v>0.4</v>
      </c>
      <c r="H147" s="428"/>
      <c r="I147" s="428">
        <f>13*13*0.006165</f>
        <v>1.041885</v>
      </c>
      <c r="J147" s="428"/>
      <c r="K147" s="428">
        <v>10</v>
      </c>
      <c r="L147" s="428">
        <f>L145</f>
        <v>6</v>
      </c>
      <c r="M147" s="428">
        <f>(E147+F147+G147)*I147*K147*L147</f>
        <v>303.188535</v>
      </c>
      <c r="N147" s="949" t="s">
        <v>100</v>
      </c>
    </row>
    <row r="148" spans="1:14" s="942" customFormat="1" ht="15.75" customHeight="1">
      <c r="A148" s="451" t="s">
        <v>101</v>
      </c>
      <c r="B148" s="389" t="s">
        <v>411</v>
      </c>
      <c r="C148" s="428">
        <f>(0.17+0.57)*2</f>
        <v>1.48</v>
      </c>
      <c r="D148" s="428"/>
      <c r="E148" s="428"/>
      <c r="F148" s="428">
        <f>0.05*2</f>
        <v>0.1</v>
      </c>
      <c r="G148" s="428"/>
      <c r="H148" s="428"/>
      <c r="I148" s="428">
        <f>8*8*0.006165</f>
        <v>0.39456000000000002</v>
      </c>
      <c r="J148" s="428"/>
      <c r="K148" s="428">
        <f>ROUNDDOWN(((E147+G147)/0.125),0.5)+1</f>
        <v>35</v>
      </c>
      <c r="L148" s="428">
        <f>L147</f>
        <v>6</v>
      </c>
      <c r="M148" s="428">
        <f>(C148+F148)*I148*K148*L148</f>
        <v>130.91500800000003</v>
      </c>
      <c r="N148" s="949" t="s">
        <v>100</v>
      </c>
    </row>
    <row r="149" spans="1:14" s="942" customFormat="1" ht="15.75" customHeight="1">
      <c r="A149" s="451" t="s">
        <v>121</v>
      </c>
      <c r="B149" s="389" t="s">
        <v>1043</v>
      </c>
      <c r="C149" s="428">
        <v>0.65</v>
      </c>
      <c r="D149" s="428">
        <v>0.25</v>
      </c>
      <c r="E149" s="428">
        <f>E147</f>
        <v>3.9</v>
      </c>
      <c r="F149" s="428"/>
      <c r="G149" s="428">
        <f>G147</f>
        <v>0.4</v>
      </c>
      <c r="H149" s="428"/>
      <c r="I149" s="428"/>
      <c r="J149" s="428"/>
      <c r="K149" s="428"/>
      <c r="L149" s="428">
        <f>L148</f>
        <v>6</v>
      </c>
      <c r="M149" s="428">
        <f>C149*D149*(E149+G149)*L149</f>
        <v>4.1924999999999999</v>
      </c>
      <c r="N149" s="949" t="s">
        <v>103</v>
      </c>
    </row>
    <row r="150" spans="1:14" s="942" customFormat="1" ht="15.75" customHeight="1">
      <c r="A150" s="394">
        <f>A142+1</f>
        <v>10</v>
      </c>
      <c r="B150" s="389" t="s">
        <v>1778</v>
      </c>
      <c r="C150" s="428"/>
      <c r="D150" s="428"/>
      <c r="E150" s="428"/>
      <c r="F150" s="428"/>
      <c r="G150" s="428"/>
      <c r="H150" s="428"/>
      <c r="I150" s="428"/>
      <c r="J150" s="428"/>
      <c r="K150" s="428"/>
      <c r="L150" s="428"/>
      <c r="M150" s="428"/>
      <c r="N150" s="949"/>
    </row>
    <row r="151" spans="1:14" s="942" customFormat="1" ht="15.75" customHeight="1">
      <c r="A151" s="451" t="s">
        <v>95</v>
      </c>
      <c r="B151" s="389" t="s">
        <v>1775</v>
      </c>
      <c r="C151" s="428"/>
      <c r="D151" s="428"/>
      <c r="E151" s="428"/>
      <c r="F151" s="428"/>
      <c r="G151" s="428"/>
      <c r="H151" s="428"/>
      <c r="I151" s="428"/>
      <c r="J151" s="428"/>
      <c r="K151" s="428"/>
      <c r="L151" s="428"/>
      <c r="M151" s="428"/>
      <c r="N151" s="949"/>
    </row>
    <row r="152" spans="1:14" s="942" customFormat="1" ht="15.75" customHeight="1">
      <c r="A152" s="451"/>
      <c r="B152" s="389"/>
      <c r="C152" s="428"/>
      <c r="D152" s="428">
        <v>0.15</v>
      </c>
      <c r="E152" s="428">
        <v>3.9</v>
      </c>
      <c r="F152" s="428"/>
      <c r="G152" s="428"/>
      <c r="H152" s="428"/>
      <c r="I152" s="428"/>
      <c r="J152" s="428">
        <v>2</v>
      </c>
      <c r="K152" s="428"/>
      <c r="L152" s="428">
        <v>8</v>
      </c>
      <c r="M152" s="428">
        <f>D152*E152*J152*L152</f>
        <v>9.36</v>
      </c>
      <c r="N152" s="949"/>
    </row>
    <row r="153" spans="1:14" s="942" customFormat="1" ht="15.75" customHeight="1">
      <c r="A153" s="451"/>
      <c r="B153" s="389"/>
      <c r="C153" s="428"/>
      <c r="D153" s="428">
        <v>0.3</v>
      </c>
      <c r="E153" s="428">
        <f>E152</f>
        <v>3.9</v>
      </c>
      <c r="F153" s="428"/>
      <c r="G153" s="428"/>
      <c r="H153" s="428"/>
      <c r="I153" s="428"/>
      <c r="J153" s="428">
        <f>J152</f>
        <v>2</v>
      </c>
      <c r="K153" s="428"/>
      <c r="L153" s="428">
        <f>L152</f>
        <v>8</v>
      </c>
      <c r="M153" s="590">
        <f>D153*E153*J153*L153</f>
        <v>18.72</v>
      </c>
      <c r="N153" s="949"/>
    </row>
    <row r="154" spans="1:14" s="942" customFormat="1" ht="15.75" customHeight="1">
      <c r="A154" s="451"/>
      <c r="B154" s="389"/>
      <c r="C154" s="428"/>
      <c r="D154" s="428"/>
      <c r="E154" s="428"/>
      <c r="F154" s="428"/>
      <c r="G154" s="428"/>
      <c r="H154" s="428"/>
      <c r="I154" s="428"/>
      <c r="J154" s="428"/>
      <c r="K154" s="428"/>
      <c r="L154" s="428"/>
      <c r="M154" s="390">
        <f>SUM(M152:M153)</f>
        <v>28.08</v>
      </c>
      <c r="N154" s="949" t="s">
        <v>89</v>
      </c>
    </row>
    <row r="155" spans="1:14" s="942" customFormat="1" ht="15.75" customHeight="1">
      <c r="A155" s="451" t="s">
        <v>98</v>
      </c>
      <c r="B155" s="389" t="s">
        <v>817</v>
      </c>
      <c r="C155" s="428"/>
      <c r="D155" s="428"/>
      <c r="E155" s="428">
        <f>E153</f>
        <v>3.9</v>
      </c>
      <c r="F155" s="428"/>
      <c r="G155" s="428">
        <v>0.55000000000000004</v>
      </c>
      <c r="H155" s="428"/>
      <c r="I155" s="428">
        <f>13*13*0.006165</f>
        <v>1.041885</v>
      </c>
      <c r="J155" s="428"/>
      <c r="K155" s="428">
        <v>4</v>
      </c>
      <c r="L155" s="428">
        <f>L153</f>
        <v>8</v>
      </c>
      <c r="M155" s="428">
        <f>(E155+G155)*I155*K155*L155</f>
        <v>148.36442399999999</v>
      </c>
      <c r="N155" s="949" t="s">
        <v>100</v>
      </c>
    </row>
    <row r="156" spans="1:14" s="942" customFormat="1" ht="15.75" customHeight="1">
      <c r="A156" s="451" t="s">
        <v>101</v>
      </c>
      <c r="B156" s="389" t="s">
        <v>411</v>
      </c>
      <c r="C156" s="428">
        <f>(0.07+0.22)*2</f>
        <v>0.58000000000000007</v>
      </c>
      <c r="D156" s="428"/>
      <c r="E156" s="428"/>
      <c r="F156" s="428">
        <v>0.1</v>
      </c>
      <c r="G156" s="428"/>
      <c r="H156" s="428"/>
      <c r="I156" s="428">
        <f>8*8*0.006165</f>
        <v>0.39456000000000002</v>
      </c>
      <c r="J156" s="428"/>
      <c r="K156" s="428">
        <f>ROUNDUP(((E155+G155)/0.125),0.5)</f>
        <v>36</v>
      </c>
      <c r="L156" s="428">
        <f>L155</f>
        <v>8</v>
      </c>
      <c r="M156" s="428">
        <f>(C156+F156)*I156*K156*L156</f>
        <v>77.270630400000016</v>
      </c>
      <c r="N156" s="949" t="s">
        <v>100</v>
      </c>
    </row>
    <row r="157" spans="1:14" s="942" customFormat="1" ht="15.75" customHeight="1">
      <c r="A157" s="451" t="s">
        <v>121</v>
      </c>
      <c r="B157" s="389" t="s">
        <v>1043</v>
      </c>
      <c r="C157" s="428">
        <v>0.3</v>
      </c>
      <c r="D157" s="428">
        <v>0.15</v>
      </c>
      <c r="E157" s="428">
        <f>E155</f>
        <v>3.9</v>
      </c>
      <c r="F157" s="428"/>
      <c r="G157" s="428"/>
      <c r="H157" s="428"/>
      <c r="I157" s="428"/>
      <c r="J157" s="428"/>
      <c r="K157" s="428"/>
      <c r="L157" s="428">
        <f>L156</f>
        <v>8</v>
      </c>
      <c r="M157" s="428">
        <f>C157*D157*E157*L157</f>
        <v>1.4039999999999999</v>
      </c>
      <c r="N157" s="949" t="s">
        <v>103</v>
      </c>
    </row>
    <row r="158" spans="1:14" s="942" customFormat="1" ht="15.75" customHeight="1">
      <c r="A158" s="394">
        <f>A150+1</f>
        <v>11</v>
      </c>
      <c r="B158" s="389" t="s">
        <v>1779</v>
      </c>
      <c r="C158" s="428"/>
      <c r="D158" s="428"/>
      <c r="E158" s="428"/>
      <c r="F158" s="428"/>
      <c r="G158" s="428"/>
      <c r="H158" s="428"/>
      <c r="I158" s="428"/>
      <c r="J158" s="428"/>
      <c r="K158" s="428"/>
      <c r="L158" s="428"/>
      <c r="M158" s="428"/>
      <c r="N158" s="949"/>
    </row>
    <row r="159" spans="1:14" s="942" customFormat="1" ht="15.75" customHeight="1">
      <c r="A159" s="451" t="s">
        <v>95</v>
      </c>
      <c r="B159" s="389" t="s">
        <v>1775</v>
      </c>
      <c r="C159" s="428"/>
      <c r="D159" s="428">
        <v>0.15</v>
      </c>
      <c r="E159" s="428">
        <v>4.9000000000000004</v>
      </c>
      <c r="F159" s="428"/>
      <c r="G159" s="428"/>
      <c r="H159" s="428"/>
      <c r="I159" s="428"/>
      <c r="J159" s="428">
        <v>2</v>
      </c>
      <c r="K159" s="428"/>
      <c r="L159" s="428">
        <v>4</v>
      </c>
      <c r="M159" s="428">
        <f>D159*E159*J159*L159</f>
        <v>5.88</v>
      </c>
      <c r="N159" s="949" t="s">
        <v>89</v>
      </c>
    </row>
    <row r="160" spans="1:14" s="942" customFormat="1" ht="15.75" customHeight="1">
      <c r="A160" s="451" t="s">
        <v>98</v>
      </c>
      <c r="B160" s="389" t="s">
        <v>817</v>
      </c>
      <c r="C160" s="428"/>
      <c r="D160" s="428"/>
      <c r="E160" s="428">
        <f>E159</f>
        <v>4.9000000000000004</v>
      </c>
      <c r="F160" s="428"/>
      <c r="G160" s="428">
        <v>0.55000000000000004</v>
      </c>
      <c r="H160" s="428"/>
      <c r="I160" s="428">
        <f>13*13*0.006165</f>
        <v>1.041885</v>
      </c>
      <c r="J160" s="428"/>
      <c r="K160" s="428">
        <v>4</v>
      </c>
      <c r="L160" s="428">
        <f>L159</f>
        <v>4</v>
      </c>
      <c r="M160" s="428">
        <f>(E160+G160)*I160*K160*L160</f>
        <v>90.852372000000003</v>
      </c>
      <c r="N160" s="949" t="s">
        <v>100</v>
      </c>
    </row>
    <row r="161" spans="1:14" s="942" customFormat="1" ht="15.75" customHeight="1">
      <c r="A161" s="451" t="s">
        <v>101</v>
      </c>
      <c r="B161" s="389" t="s">
        <v>411</v>
      </c>
      <c r="C161" s="428">
        <f>0.07*4</f>
        <v>0.28000000000000003</v>
      </c>
      <c r="D161" s="428"/>
      <c r="E161" s="428"/>
      <c r="F161" s="428">
        <f>0.05*2</f>
        <v>0.1</v>
      </c>
      <c r="G161" s="428"/>
      <c r="H161" s="428"/>
      <c r="I161" s="428">
        <f>8*8*0.006165</f>
        <v>0.39456000000000002</v>
      </c>
      <c r="J161" s="428"/>
      <c r="K161" s="428">
        <f>ROUNDDOWN((E160/0.125),0.5)+1</f>
        <v>40</v>
      </c>
      <c r="L161" s="428">
        <f>L160</f>
        <v>4</v>
      </c>
      <c r="M161" s="428">
        <f>(C161+F161)*I161*K161*L161</f>
        <v>23.989248</v>
      </c>
      <c r="N161" s="949" t="s">
        <v>100</v>
      </c>
    </row>
    <row r="162" spans="1:14" s="942" customFormat="1" ht="15.75" customHeight="1">
      <c r="A162" s="451" t="s">
        <v>121</v>
      </c>
      <c r="B162" s="427" t="s">
        <v>420</v>
      </c>
      <c r="C162" s="428">
        <v>0.15</v>
      </c>
      <c r="D162" s="428">
        <v>0.15</v>
      </c>
      <c r="E162" s="428">
        <f>E160</f>
        <v>4.9000000000000004</v>
      </c>
      <c r="F162" s="428"/>
      <c r="G162" s="428"/>
      <c r="H162" s="428"/>
      <c r="I162" s="428"/>
      <c r="J162" s="428"/>
      <c r="K162" s="428"/>
      <c r="L162" s="428">
        <f>L161</f>
        <v>4</v>
      </c>
      <c r="M162" s="428">
        <f>C162*D162*E162*L162</f>
        <v>0.441</v>
      </c>
      <c r="N162" s="949" t="s">
        <v>103</v>
      </c>
    </row>
    <row r="163" spans="1:14" s="942" customFormat="1" ht="15.75" customHeight="1">
      <c r="A163" s="394">
        <f>A158+1</f>
        <v>12</v>
      </c>
      <c r="B163" s="389" t="s">
        <v>1780</v>
      </c>
      <c r="C163" s="428"/>
      <c r="D163" s="428"/>
      <c r="E163" s="428"/>
      <c r="F163" s="428"/>
      <c r="G163" s="428"/>
      <c r="H163" s="428"/>
      <c r="I163" s="428"/>
      <c r="J163" s="428"/>
      <c r="K163" s="428"/>
      <c r="L163" s="428"/>
      <c r="M163" s="428"/>
      <c r="N163" s="949"/>
    </row>
    <row r="164" spans="1:14" s="942" customFormat="1" ht="15.75" customHeight="1">
      <c r="A164" s="451" t="s">
        <v>95</v>
      </c>
      <c r="B164" s="389" t="s">
        <v>423</v>
      </c>
      <c r="C164" s="428"/>
      <c r="D164" s="428"/>
      <c r="E164" s="428"/>
      <c r="F164" s="428"/>
      <c r="G164" s="428"/>
      <c r="H164" s="428"/>
      <c r="I164" s="428"/>
      <c r="J164" s="428"/>
      <c r="K164" s="428"/>
      <c r="L164" s="428"/>
      <c r="M164" s="428"/>
      <c r="N164" s="949"/>
    </row>
    <row r="165" spans="1:14" s="942" customFormat="1" ht="15.75" customHeight="1">
      <c r="A165" s="451"/>
      <c r="B165" s="682" t="s">
        <v>226</v>
      </c>
      <c r="C165" s="428">
        <v>7</v>
      </c>
      <c r="D165" s="428">
        <v>0.25</v>
      </c>
      <c r="E165" s="428"/>
      <c r="F165" s="428"/>
      <c r="G165" s="428"/>
      <c r="H165" s="428"/>
      <c r="I165" s="428"/>
      <c r="J165" s="428"/>
      <c r="K165" s="428"/>
      <c r="L165" s="428">
        <v>4</v>
      </c>
      <c r="M165" s="428">
        <f>C165*D165*L165</f>
        <v>7</v>
      </c>
      <c r="N165" s="949"/>
    </row>
    <row r="166" spans="1:14" s="942" customFormat="1" ht="15.75" customHeight="1">
      <c r="A166" s="451"/>
      <c r="B166" s="389"/>
      <c r="C166" s="428">
        <v>7</v>
      </c>
      <c r="D166" s="428"/>
      <c r="E166" s="428">
        <v>0.6</v>
      </c>
      <c r="F166" s="428"/>
      <c r="G166" s="428"/>
      <c r="H166" s="428"/>
      <c r="I166" s="428"/>
      <c r="J166" s="428">
        <v>2</v>
      </c>
      <c r="K166" s="428"/>
      <c r="L166" s="428">
        <f>L165</f>
        <v>4</v>
      </c>
      <c r="M166" s="590">
        <f>C166*E166*J166*L166</f>
        <v>33.6</v>
      </c>
      <c r="N166" s="949"/>
    </row>
    <row r="167" spans="1:14" s="942" customFormat="1" ht="15.75" customHeight="1">
      <c r="A167" s="451"/>
      <c r="B167" s="682" t="s">
        <v>227</v>
      </c>
      <c r="C167" s="428">
        <v>8</v>
      </c>
      <c r="D167" s="428">
        <f>D165</f>
        <v>0.25</v>
      </c>
      <c r="E167" s="428"/>
      <c r="F167" s="428"/>
      <c r="G167" s="428"/>
      <c r="H167" s="428"/>
      <c r="I167" s="428"/>
      <c r="J167" s="428"/>
      <c r="K167" s="428"/>
      <c r="L167" s="428">
        <v>4</v>
      </c>
      <c r="M167" s="428">
        <f>C167*D167*L167</f>
        <v>8</v>
      </c>
      <c r="N167" s="949"/>
    </row>
    <row r="168" spans="1:14" s="942" customFormat="1" ht="15.75" customHeight="1">
      <c r="A168" s="451"/>
      <c r="B168" s="389"/>
      <c r="C168" s="428">
        <f>C167</f>
        <v>8</v>
      </c>
      <c r="D168" s="428"/>
      <c r="E168" s="428">
        <f>E166</f>
        <v>0.6</v>
      </c>
      <c r="F168" s="428"/>
      <c r="G168" s="428"/>
      <c r="H168" s="428"/>
      <c r="I168" s="428"/>
      <c r="J168" s="428">
        <f>J166</f>
        <v>2</v>
      </c>
      <c r="K168" s="428"/>
      <c r="L168" s="428">
        <f>L167</f>
        <v>4</v>
      </c>
      <c r="M168" s="590">
        <f>C168*E168*J168*L168</f>
        <v>38.4</v>
      </c>
      <c r="N168" s="949"/>
    </row>
    <row r="169" spans="1:14" s="942" customFormat="1" ht="15.75" customHeight="1">
      <c r="A169" s="451"/>
      <c r="B169" s="389"/>
      <c r="C169" s="428"/>
      <c r="D169" s="428"/>
      <c r="E169" s="428"/>
      <c r="F169" s="428"/>
      <c r="G169" s="428"/>
      <c r="H169" s="428"/>
      <c r="I169" s="428"/>
      <c r="J169" s="428"/>
      <c r="K169" s="428"/>
      <c r="L169" s="428"/>
      <c r="M169" s="841">
        <f>SUM(M165:M168)</f>
        <v>87</v>
      </c>
      <c r="N169" s="955" t="s">
        <v>89</v>
      </c>
    </row>
    <row r="170" spans="1:14" s="942" customFormat="1" ht="15.75" customHeight="1">
      <c r="A170" s="451" t="s">
        <v>98</v>
      </c>
      <c r="B170" s="389" t="s">
        <v>1777</v>
      </c>
      <c r="C170" s="428"/>
      <c r="D170" s="428"/>
      <c r="E170" s="428"/>
      <c r="F170" s="428"/>
      <c r="G170" s="428"/>
      <c r="H170" s="428"/>
      <c r="I170" s="428"/>
      <c r="J170" s="428"/>
      <c r="K170" s="428"/>
      <c r="L170" s="428"/>
      <c r="M170" s="841"/>
      <c r="N170" s="955"/>
    </row>
    <row r="171" spans="1:14" s="942" customFormat="1" ht="15.75" customHeight="1">
      <c r="A171" s="451"/>
      <c r="B171" s="682" t="s">
        <v>226</v>
      </c>
      <c r="C171" s="428">
        <f>C165</f>
        <v>7</v>
      </c>
      <c r="D171" s="428"/>
      <c r="E171" s="428"/>
      <c r="F171" s="428"/>
      <c r="G171" s="428"/>
      <c r="H171" s="428"/>
      <c r="I171" s="428">
        <f>13*13*0.006165</f>
        <v>1.041885</v>
      </c>
      <c r="J171" s="428"/>
      <c r="K171" s="428">
        <v>10</v>
      </c>
      <c r="L171" s="428">
        <f>L165</f>
        <v>4</v>
      </c>
      <c r="M171" s="428">
        <f>C171*I171*K171*L171</f>
        <v>291.7278</v>
      </c>
      <c r="N171" s="955"/>
    </row>
    <row r="172" spans="1:14" s="942" customFormat="1" ht="15.75" customHeight="1">
      <c r="A172" s="451"/>
      <c r="B172" s="682" t="s">
        <v>227</v>
      </c>
      <c r="C172" s="428">
        <f>C167</f>
        <v>8</v>
      </c>
      <c r="D172" s="428"/>
      <c r="E172" s="428"/>
      <c r="F172" s="428"/>
      <c r="G172" s="428"/>
      <c r="H172" s="428"/>
      <c r="I172" s="428">
        <f>I171</f>
        <v>1.041885</v>
      </c>
      <c r="J172" s="428"/>
      <c r="K172" s="428">
        <f>K171</f>
        <v>10</v>
      </c>
      <c r="L172" s="428">
        <f>L167</f>
        <v>4</v>
      </c>
      <c r="M172" s="590">
        <f>C172*I172*K172*L172</f>
        <v>333.40319999999997</v>
      </c>
      <c r="N172" s="955"/>
    </row>
    <row r="173" spans="1:14" s="942" customFormat="1" ht="15.75" customHeight="1">
      <c r="A173" s="451"/>
      <c r="B173" s="389"/>
      <c r="C173" s="428"/>
      <c r="D173" s="428"/>
      <c r="E173" s="428"/>
      <c r="F173" s="428"/>
      <c r="G173" s="428"/>
      <c r="H173" s="428"/>
      <c r="I173" s="428"/>
      <c r="J173" s="428"/>
      <c r="K173" s="428"/>
      <c r="L173" s="428"/>
      <c r="M173" s="841">
        <f>SUM(M171:M172)</f>
        <v>625.13099999999997</v>
      </c>
      <c r="N173" s="955" t="s">
        <v>100</v>
      </c>
    </row>
    <row r="174" spans="1:14" s="942" customFormat="1" ht="15.75" customHeight="1">
      <c r="A174" s="451" t="s">
        <v>101</v>
      </c>
      <c r="B174" s="389" t="s">
        <v>432</v>
      </c>
      <c r="C174" s="428"/>
      <c r="D174" s="428"/>
      <c r="E174" s="428"/>
      <c r="F174" s="428"/>
      <c r="G174" s="428"/>
      <c r="H174" s="428"/>
      <c r="I174" s="428"/>
      <c r="J174" s="428"/>
      <c r="K174" s="428"/>
      <c r="L174" s="428"/>
      <c r="M174" s="428"/>
      <c r="N174" s="949"/>
    </row>
    <row r="175" spans="1:14" s="942" customFormat="1" ht="15.75" customHeight="1">
      <c r="A175" s="451"/>
      <c r="B175" s="682" t="s">
        <v>226</v>
      </c>
      <c r="C175" s="428">
        <f>C171</f>
        <v>7</v>
      </c>
      <c r="D175" s="428"/>
      <c r="E175" s="428"/>
      <c r="F175" s="428"/>
      <c r="G175" s="428"/>
      <c r="H175" s="428"/>
      <c r="I175" s="428">
        <f>10*10*0.006165</f>
        <v>0.61650000000000005</v>
      </c>
      <c r="J175" s="428"/>
      <c r="K175" s="428">
        <v>4</v>
      </c>
      <c r="L175" s="428">
        <f>L171</f>
        <v>4</v>
      </c>
      <c r="M175" s="428">
        <f>C175*I175*K175*L175</f>
        <v>69.048000000000002</v>
      </c>
      <c r="N175" s="949"/>
    </row>
    <row r="176" spans="1:14" s="942" customFormat="1" ht="15.75" customHeight="1">
      <c r="A176" s="451"/>
      <c r="B176" s="682" t="s">
        <v>227</v>
      </c>
      <c r="C176" s="428">
        <f>C172</f>
        <v>8</v>
      </c>
      <c r="D176" s="428"/>
      <c r="E176" s="428"/>
      <c r="F176" s="428"/>
      <c r="G176" s="428"/>
      <c r="H176" s="428"/>
      <c r="I176" s="428">
        <f>I175</f>
        <v>0.61650000000000005</v>
      </c>
      <c r="J176" s="428"/>
      <c r="K176" s="428">
        <f>K175</f>
        <v>4</v>
      </c>
      <c r="L176" s="428">
        <f>L172</f>
        <v>4</v>
      </c>
      <c r="M176" s="590">
        <f>C176*I176*K176*L176</f>
        <v>78.912000000000006</v>
      </c>
      <c r="N176" s="949"/>
    </row>
    <row r="177" spans="1:14" s="942" customFormat="1" ht="15.75" customHeight="1">
      <c r="A177" s="451"/>
      <c r="B177" s="389"/>
      <c r="C177" s="428"/>
      <c r="D177" s="428"/>
      <c r="E177" s="428"/>
      <c r="F177" s="428"/>
      <c r="G177" s="428"/>
      <c r="H177" s="428"/>
      <c r="I177" s="428"/>
      <c r="J177" s="428"/>
      <c r="K177" s="428"/>
      <c r="L177" s="428"/>
      <c r="M177" s="841">
        <f>SUM(M175:M176)</f>
        <v>147.96</v>
      </c>
      <c r="N177" s="955" t="s">
        <v>100</v>
      </c>
    </row>
    <row r="178" spans="1:14" s="942" customFormat="1" ht="15.75" customHeight="1">
      <c r="A178" s="451" t="s">
        <v>121</v>
      </c>
      <c r="B178" s="389" t="s">
        <v>411</v>
      </c>
      <c r="C178" s="428"/>
      <c r="D178" s="428"/>
      <c r="E178" s="428"/>
      <c r="F178" s="428"/>
      <c r="G178" s="428"/>
      <c r="H178" s="428"/>
      <c r="I178" s="428"/>
      <c r="J178" s="428"/>
      <c r="K178" s="428"/>
      <c r="L178" s="428"/>
      <c r="M178" s="428"/>
      <c r="N178" s="949" t="s">
        <v>100</v>
      </c>
    </row>
    <row r="179" spans="1:14" s="942" customFormat="1" ht="15.75" customHeight="1">
      <c r="A179" s="451"/>
      <c r="B179" s="682" t="s">
        <v>226</v>
      </c>
      <c r="C179" s="428">
        <f>(0.12+0.52)*2</f>
        <v>1.28</v>
      </c>
      <c r="D179" s="428"/>
      <c r="E179" s="428"/>
      <c r="F179" s="428">
        <v>0.1</v>
      </c>
      <c r="G179" s="428"/>
      <c r="H179" s="428"/>
      <c r="I179" s="428">
        <f>8*8*0.006165</f>
        <v>0.39456000000000002</v>
      </c>
      <c r="J179" s="428"/>
      <c r="K179" s="428">
        <f>ROUNDUP((C175/0.125),0.5)</f>
        <v>56</v>
      </c>
      <c r="L179" s="428">
        <f>L175</f>
        <v>4</v>
      </c>
      <c r="M179" s="428">
        <f>(C179+F179)*I179*K179*L179</f>
        <v>121.96638720000003</v>
      </c>
      <c r="N179" s="949"/>
    </row>
    <row r="180" spans="1:14" s="942" customFormat="1" ht="15.75" customHeight="1">
      <c r="A180" s="451"/>
      <c r="B180" s="682" t="s">
        <v>227</v>
      </c>
      <c r="C180" s="428">
        <f>C179</f>
        <v>1.28</v>
      </c>
      <c r="D180" s="428"/>
      <c r="E180" s="428"/>
      <c r="F180" s="428">
        <f>F179</f>
        <v>0.1</v>
      </c>
      <c r="G180" s="428"/>
      <c r="H180" s="428"/>
      <c r="I180" s="428">
        <f>I179</f>
        <v>0.39456000000000002</v>
      </c>
      <c r="J180" s="428"/>
      <c r="K180" s="428">
        <f>ROUNDUP((C176/0.125),0.5)</f>
        <v>64</v>
      </c>
      <c r="L180" s="428">
        <f>L176</f>
        <v>4</v>
      </c>
      <c r="M180" s="590">
        <f>(C180+F180)*I180*K180*L180</f>
        <v>139.39015680000003</v>
      </c>
      <c r="N180" s="949"/>
    </row>
    <row r="181" spans="1:14" s="942" customFormat="1" ht="15.75" customHeight="1">
      <c r="A181" s="451"/>
      <c r="B181" s="389"/>
      <c r="C181" s="428"/>
      <c r="D181" s="428"/>
      <c r="E181" s="428"/>
      <c r="F181" s="428"/>
      <c r="G181" s="428"/>
      <c r="H181" s="428"/>
      <c r="I181" s="428"/>
      <c r="J181" s="428"/>
      <c r="K181" s="428"/>
      <c r="L181" s="428"/>
      <c r="M181" s="841">
        <f>SUM(M179:M180)</f>
        <v>261.35654400000004</v>
      </c>
      <c r="N181" s="955" t="s">
        <v>100</v>
      </c>
    </row>
    <row r="182" spans="1:14" s="942" customFormat="1" ht="15.75" customHeight="1">
      <c r="A182" s="451" t="s">
        <v>142</v>
      </c>
      <c r="B182" s="389" t="s">
        <v>1043</v>
      </c>
      <c r="C182" s="428"/>
      <c r="D182" s="428"/>
      <c r="E182" s="428"/>
      <c r="F182" s="428"/>
      <c r="G182" s="428"/>
      <c r="H182" s="428"/>
      <c r="I182" s="428"/>
      <c r="J182" s="428"/>
      <c r="K182" s="428"/>
      <c r="L182" s="428"/>
      <c r="M182" s="428"/>
      <c r="N182" s="949"/>
    </row>
    <row r="183" spans="1:14" s="942" customFormat="1" ht="15.75" customHeight="1">
      <c r="A183" s="451"/>
      <c r="B183" s="682" t="s">
        <v>226</v>
      </c>
      <c r="C183" s="428">
        <f>C175</f>
        <v>7</v>
      </c>
      <c r="D183" s="428">
        <f>D165</f>
        <v>0.25</v>
      </c>
      <c r="E183" s="428">
        <f>E166</f>
        <v>0.6</v>
      </c>
      <c r="F183" s="428"/>
      <c r="G183" s="428"/>
      <c r="H183" s="428"/>
      <c r="I183" s="428"/>
      <c r="J183" s="428"/>
      <c r="K183" s="428"/>
      <c r="L183" s="428">
        <f>L179</f>
        <v>4</v>
      </c>
      <c r="M183" s="428">
        <f>C183*D183*E183*L183</f>
        <v>4.2</v>
      </c>
      <c r="N183" s="949"/>
    </row>
    <row r="184" spans="1:14" s="942" customFormat="1" ht="15.75" customHeight="1">
      <c r="A184" s="451"/>
      <c r="B184" s="682" t="s">
        <v>227</v>
      </c>
      <c r="C184" s="428">
        <f>C176</f>
        <v>8</v>
      </c>
      <c r="D184" s="428">
        <f>D183</f>
        <v>0.25</v>
      </c>
      <c r="E184" s="428">
        <f>E183</f>
        <v>0.6</v>
      </c>
      <c r="F184" s="428"/>
      <c r="G184" s="428"/>
      <c r="H184" s="428"/>
      <c r="I184" s="428"/>
      <c r="J184" s="428"/>
      <c r="K184" s="428"/>
      <c r="L184" s="428">
        <f>L180</f>
        <v>4</v>
      </c>
      <c r="M184" s="590">
        <f>C184*D184*E184*L184</f>
        <v>4.8</v>
      </c>
      <c r="N184" s="949"/>
    </row>
    <row r="185" spans="1:14" s="942" customFormat="1" ht="15.75" customHeight="1">
      <c r="A185" s="451"/>
      <c r="B185" s="389"/>
      <c r="C185" s="428"/>
      <c r="D185" s="428"/>
      <c r="E185" s="428"/>
      <c r="F185" s="428"/>
      <c r="G185" s="428"/>
      <c r="H185" s="428"/>
      <c r="I185" s="428"/>
      <c r="J185" s="428"/>
      <c r="K185" s="428"/>
      <c r="L185" s="428"/>
      <c r="M185" s="841">
        <f>SUM(M183:M184)</f>
        <v>9</v>
      </c>
      <c r="N185" s="955" t="s">
        <v>103</v>
      </c>
    </row>
    <row r="186" spans="1:14" s="942" customFormat="1" ht="15.75" customHeight="1">
      <c r="A186" s="394">
        <f>A163+1</f>
        <v>13</v>
      </c>
      <c r="B186" s="389" t="s">
        <v>1781</v>
      </c>
      <c r="C186" s="428"/>
      <c r="D186" s="428"/>
      <c r="E186" s="428"/>
      <c r="F186" s="428"/>
      <c r="G186" s="428"/>
      <c r="H186" s="428"/>
      <c r="I186" s="428"/>
      <c r="J186" s="428"/>
      <c r="K186" s="428"/>
      <c r="L186" s="428"/>
      <c r="M186" s="428"/>
      <c r="N186" s="949"/>
    </row>
    <row r="187" spans="1:14" s="942" customFormat="1" ht="15.75" customHeight="1">
      <c r="A187" s="451" t="s">
        <v>95</v>
      </c>
      <c r="B187" s="389" t="s">
        <v>423</v>
      </c>
      <c r="C187" s="428"/>
      <c r="D187" s="428"/>
      <c r="E187" s="428"/>
      <c r="F187" s="428"/>
      <c r="G187" s="428"/>
      <c r="H187" s="428"/>
      <c r="I187" s="428"/>
      <c r="J187" s="428"/>
      <c r="K187" s="428"/>
      <c r="L187" s="428"/>
      <c r="M187" s="428"/>
      <c r="N187" s="949"/>
    </row>
    <row r="188" spans="1:14" s="942" customFormat="1" ht="15.75" customHeight="1">
      <c r="A188" s="451"/>
      <c r="B188" s="682" t="s">
        <v>226</v>
      </c>
      <c r="C188" s="428">
        <v>1</v>
      </c>
      <c r="D188" s="428">
        <v>0.25</v>
      </c>
      <c r="E188" s="428"/>
      <c r="F188" s="428"/>
      <c r="G188" s="428"/>
      <c r="H188" s="428"/>
      <c r="I188" s="428"/>
      <c r="J188" s="428"/>
      <c r="K188" s="428"/>
      <c r="L188" s="428">
        <v>8</v>
      </c>
      <c r="M188" s="428">
        <f>C188*D188*L188</f>
        <v>2</v>
      </c>
      <c r="N188" s="949"/>
    </row>
    <row r="189" spans="1:14" s="942" customFormat="1" ht="15.75" customHeight="1">
      <c r="A189" s="451"/>
      <c r="B189" s="389"/>
      <c r="C189" s="428">
        <f>C188</f>
        <v>1</v>
      </c>
      <c r="D189" s="428"/>
      <c r="E189" s="428">
        <v>0.35</v>
      </c>
      <c r="F189" s="428"/>
      <c r="G189" s="428"/>
      <c r="H189" s="428"/>
      <c r="I189" s="428"/>
      <c r="J189" s="428">
        <v>2</v>
      </c>
      <c r="K189" s="428"/>
      <c r="L189" s="428">
        <f>L188</f>
        <v>8</v>
      </c>
      <c r="M189" s="590">
        <f>C189*E189*J189*L189</f>
        <v>5.6</v>
      </c>
      <c r="N189" s="949"/>
    </row>
    <row r="190" spans="1:14" s="942" customFormat="1" ht="15.75" customHeight="1">
      <c r="A190" s="451"/>
      <c r="B190" s="682" t="s">
        <v>227</v>
      </c>
      <c r="C190" s="428">
        <v>1</v>
      </c>
      <c r="D190" s="428">
        <f>D188</f>
        <v>0.25</v>
      </c>
      <c r="E190" s="428"/>
      <c r="F190" s="428"/>
      <c r="G190" s="428"/>
      <c r="H190" s="428"/>
      <c r="I190" s="428"/>
      <c r="J190" s="428"/>
      <c r="K190" s="428"/>
      <c r="L190" s="428">
        <v>4</v>
      </c>
      <c r="M190" s="428">
        <f>C190*D190*L190</f>
        <v>1</v>
      </c>
      <c r="N190" s="949"/>
    </row>
    <row r="191" spans="1:14" s="942" customFormat="1" ht="15.75" customHeight="1">
      <c r="A191" s="451"/>
      <c r="B191" s="389"/>
      <c r="C191" s="428">
        <f>C190</f>
        <v>1</v>
      </c>
      <c r="D191" s="428"/>
      <c r="E191" s="428">
        <f>E189</f>
        <v>0.35</v>
      </c>
      <c r="F191" s="428"/>
      <c r="G191" s="428"/>
      <c r="H191" s="428"/>
      <c r="I191" s="428"/>
      <c r="J191" s="428">
        <f>J189</f>
        <v>2</v>
      </c>
      <c r="K191" s="428"/>
      <c r="L191" s="428">
        <f>L190</f>
        <v>4</v>
      </c>
      <c r="M191" s="590">
        <f>C191*E191*J191*L191</f>
        <v>2.8</v>
      </c>
      <c r="N191" s="949"/>
    </row>
    <row r="192" spans="1:14" s="942" customFormat="1" ht="15.75" customHeight="1">
      <c r="A192" s="451"/>
      <c r="B192" s="389"/>
      <c r="C192" s="428"/>
      <c r="D192" s="428"/>
      <c r="E192" s="428"/>
      <c r="F192" s="428"/>
      <c r="G192" s="428"/>
      <c r="H192" s="428"/>
      <c r="I192" s="428"/>
      <c r="J192" s="428"/>
      <c r="K192" s="428"/>
      <c r="L192" s="428"/>
      <c r="M192" s="841">
        <f>SUM(M188:M191)</f>
        <v>11.399999999999999</v>
      </c>
      <c r="N192" s="955" t="s">
        <v>89</v>
      </c>
    </row>
    <row r="193" spans="1:14" s="942" customFormat="1" ht="15.75" customHeight="1">
      <c r="A193" s="451" t="s">
        <v>98</v>
      </c>
      <c r="B193" s="389" t="s">
        <v>925</v>
      </c>
      <c r="C193" s="428"/>
      <c r="D193" s="428"/>
      <c r="E193" s="428"/>
      <c r="F193" s="428"/>
      <c r="G193" s="428"/>
      <c r="H193" s="428"/>
      <c r="I193" s="428"/>
      <c r="J193" s="428"/>
      <c r="K193" s="428"/>
      <c r="L193" s="428"/>
      <c r="M193" s="841"/>
      <c r="N193" s="955"/>
    </row>
    <row r="194" spans="1:14" s="942" customFormat="1" ht="15.75" customHeight="1">
      <c r="A194" s="451"/>
      <c r="B194" s="682" t="s">
        <v>226</v>
      </c>
      <c r="C194" s="428">
        <f>C188</f>
        <v>1</v>
      </c>
      <c r="D194" s="428"/>
      <c r="E194" s="428"/>
      <c r="F194" s="428"/>
      <c r="G194" s="428">
        <v>0.55000000000000004</v>
      </c>
      <c r="H194" s="428"/>
      <c r="I194" s="428">
        <f>13*13*0.006165</f>
        <v>1.041885</v>
      </c>
      <c r="J194" s="428"/>
      <c r="K194" s="428">
        <v>5</v>
      </c>
      <c r="L194" s="428">
        <f>L188</f>
        <v>8</v>
      </c>
      <c r="M194" s="428">
        <f>(C194+G194)*I194*K194*L194</f>
        <v>64.596869999999996</v>
      </c>
      <c r="N194" s="955"/>
    </row>
    <row r="195" spans="1:14" s="942" customFormat="1" ht="15.75" customHeight="1">
      <c r="A195" s="451"/>
      <c r="B195" s="682" t="s">
        <v>227</v>
      </c>
      <c r="C195" s="428">
        <f>C190</f>
        <v>1</v>
      </c>
      <c r="D195" s="428"/>
      <c r="E195" s="428"/>
      <c r="F195" s="428"/>
      <c r="G195" s="428">
        <f>G194</f>
        <v>0.55000000000000004</v>
      </c>
      <c r="H195" s="428"/>
      <c r="I195" s="428">
        <f>I194</f>
        <v>1.041885</v>
      </c>
      <c r="J195" s="428"/>
      <c r="K195" s="428">
        <f>K194</f>
        <v>5</v>
      </c>
      <c r="L195" s="428">
        <f>L190</f>
        <v>4</v>
      </c>
      <c r="M195" s="869">
        <f>(C195+G195)*I195*K195*L195</f>
        <v>32.298434999999998</v>
      </c>
      <c r="N195" s="955"/>
    </row>
    <row r="196" spans="1:14" s="942" customFormat="1" ht="15.75" customHeight="1">
      <c r="A196" s="451"/>
      <c r="B196" s="389"/>
      <c r="C196" s="428"/>
      <c r="D196" s="428"/>
      <c r="E196" s="428"/>
      <c r="F196" s="428"/>
      <c r="G196" s="428"/>
      <c r="H196" s="428"/>
      <c r="I196" s="428"/>
      <c r="J196" s="428"/>
      <c r="K196" s="428"/>
      <c r="L196" s="428"/>
      <c r="M196" s="443">
        <f>SUM(M194:M195)</f>
        <v>96.895304999999993</v>
      </c>
      <c r="N196" s="955" t="s">
        <v>100</v>
      </c>
    </row>
    <row r="197" spans="1:14" s="942" customFormat="1" ht="15.75" customHeight="1">
      <c r="A197" s="451" t="s">
        <v>101</v>
      </c>
      <c r="B197" s="389" t="s">
        <v>1782</v>
      </c>
      <c r="C197" s="428"/>
      <c r="D197" s="428"/>
      <c r="E197" s="428"/>
      <c r="F197" s="428"/>
      <c r="G197" s="428"/>
      <c r="H197" s="428"/>
      <c r="I197" s="428"/>
      <c r="J197" s="428"/>
      <c r="K197" s="428"/>
      <c r="L197" s="428"/>
      <c r="M197" s="428"/>
      <c r="N197" s="949"/>
    </row>
    <row r="198" spans="1:14" s="942" customFormat="1" ht="15.75" customHeight="1">
      <c r="A198" s="451"/>
      <c r="B198" s="682" t="s">
        <v>226</v>
      </c>
      <c r="C198" s="428">
        <f>C194</f>
        <v>1</v>
      </c>
      <c r="D198" s="428"/>
      <c r="E198" s="428"/>
      <c r="F198" s="428"/>
      <c r="G198" s="428">
        <v>0.55000000000000004</v>
      </c>
      <c r="H198" s="428"/>
      <c r="I198" s="428">
        <f>10*10*0.006165</f>
        <v>0.61650000000000005</v>
      </c>
      <c r="J198" s="428"/>
      <c r="K198" s="428">
        <v>2</v>
      </c>
      <c r="L198" s="428">
        <f>L194</f>
        <v>8</v>
      </c>
      <c r="M198" s="428">
        <f>(C198+G198)*I198*K198*L198</f>
        <v>15.289200000000001</v>
      </c>
      <c r="N198" s="955"/>
    </row>
    <row r="199" spans="1:14" s="942" customFormat="1" ht="15.75" customHeight="1">
      <c r="A199" s="451"/>
      <c r="B199" s="682" t="s">
        <v>227</v>
      </c>
      <c r="C199" s="428">
        <f>C195</f>
        <v>1</v>
      </c>
      <c r="D199" s="428"/>
      <c r="E199" s="428"/>
      <c r="F199" s="428"/>
      <c r="G199" s="428">
        <f>G198</f>
        <v>0.55000000000000004</v>
      </c>
      <c r="H199" s="428"/>
      <c r="I199" s="428">
        <f>I198</f>
        <v>0.61650000000000005</v>
      </c>
      <c r="J199" s="428"/>
      <c r="K199" s="428">
        <f>K198</f>
        <v>2</v>
      </c>
      <c r="L199" s="428">
        <f>L195</f>
        <v>4</v>
      </c>
      <c r="M199" s="869">
        <f>(C199+G199)*I199*K199*L199</f>
        <v>7.6446000000000005</v>
      </c>
      <c r="N199" s="955"/>
    </row>
    <row r="200" spans="1:14" s="942" customFormat="1" ht="15.75" customHeight="1">
      <c r="A200" s="451"/>
      <c r="B200" s="389"/>
      <c r="C200" s="428"/>
      <c r="D200" s="428"/>
      <c r="E200" s="428"/>
      <c r="F200" s="428"/>
      <c r="G200" s="428"/>
      <c r="H200" s="428"/>
      <c r="I200" s="428"/>
      <c r="J200" s="428"/>
      <c r="K200" s="428"/>
      <c r="L200" s="428"/>
      <c r="M200" s="443">
        <f>SUM(M198:M199)</f>
        <v>22.933800000000002</v>
      </c>
      <c r="N200" s="955" t="s">
        <v>100</v>
      </c>
    </row>
    <row r="201" spans="1:14" s="942" customFormat="1" ht="15.75" customHeight="1">
      <c r="A201" s="451" t="s">
        <v>121</v>
      </c>
      <c r="B201" s="389" t="s">
        <v>411</v>
      </c>
      <c r="C201" s="428"/>
      <c r="D201" s="428"/>
      <c r="E201" s="428"/>
      <c r="F201" s="428"/>
      <c r="G201" s="428"/>
      <c r="H201" s="428"/>
      <c r="I201" s="428"/>
      <c r="J201" s="428"/>
      <c r="K201" s="428"/>
      <c r="L201" s="428"/>
      <c r="M201" s="428"/>
      <c r="N201" s="949"/>
    </row>
    <row r="202" spans="1:14" s="942" customFormat="1" ht="15.75" customHeight="1">
      <c r="A202" s="451"/>
      <c r="B202" s="682" t="s">
        <v>226</v>
      </c>
      <c r="C202" s="428">
        <f>(0.17+0.27)*2</f>
        <v>0.88000000000000012</v>
      </c>
      <c r="D202" s="428"/>
      <c r="E202" s="428"/>
      <c r="F202" s="428">
        <f>0.05*2</f>
        <v>0.1</v>
      </c>
      <c r="G202" s="428"/>
      <c r="H202" s="428"/>
      <c r="I202" s="428">
        <f>8*8*0.006165</f>
        <v>0.39456000000000002</v>
      </c>
      <c r="J202" s="428"/>
      <c r="K202" s="428">
        <f>ROUNDUP((C188/0.125),0.5)</f>
        <v>8</v>
      </c>
      <c r="L202" s="428">
        <f>L198</f>
        <v>8</v>
      </c>
      <c r="M202" s="428">
        <f>(C202+F202)*I202*K202*L202</f>
        <v>24.746803200000002</v>
      </c>
      <c r="N202" s="949"/>
    </row>
    <row r="203" spans="1:14" s="942" customFormat="1" ht="15.75" customHeight="1">
      <c r="A203" s="451"/>
      <c r="B203" s="682" t="s">
        <v>227</v>
      </c>
      <c r="C203" s="428">
        <f>C202</f>
        <v>0.88000000000000012</v>
      </c>
      <c r="D203" s="428"/>
      <c r="E203" s="428"/>
      <c r="F203" s="428">
        <f>F202</f>
        <v>0.1</v>
      </c>
      <c r="G203" s="428"/>
      <c r="H203" s="428"/>
      <c r="I203" s="428">
        <f>I202</f>
        <v>0.39456000000000002</v>
      </c>
      <c r="J203" s="428"/>
      <c r="K203" s="428">
        <f>ROUNDUP((C190/0.125),0.5)</f>
        <v>8</v>
      </c>
      <c r="L203" s="428">
        <f>L199</f>
        <v>4</v>
      </c>
      <c r="M203" s="590">
        <f>(C203+F203)*I203*K203*L203</f>
        <v>12.373401600000001</v>
      </c>
      <c r="N203" s="949"/>
    </row>
    <row r="204" spans="1:14" s="942" customFormat="1" ht="15.75" customHeight="1">
      <c r="A204" s="451"/>
      <c r="B204" s="389"/>
      <c r="C204" s="428"/>
      <c r="D204" s="428"/>
      <c r="E204" s="428"/>
      <c r="F204" s="428"/>
      <c r="G204" s="428"/>
      <c r="H204" s="428"/>
      <c r="I204" s="428"/>
      <c r="J204" s="428"/>
      <c r="K204" s="428"/>
      <c r="L204" s="428"/>
      <c r="M204" s="841">
        <f>SUM(M202:M203)</f>
        <v>37.120204800000003</v>
      </c>
      <c r="N204" s="955" t="s">
        <v>100</v>
      </c>
    </row>
    <row r="205" spans="1:14" s="942" customFormat="1" ht="15.75" customHeight="1">
      <c r="A205" s="451" t="s">
        <v>142</v>
      </c>
      <c r="B205" s="389" t="s">
        <v>1043</v>
      </c>
      <c r="C205" s="428"/>
      <c r="D205" s="428"/>
      <c r="E205" s="428"/>
      <c r="F205" s="428"/>
      <c r="G205" s="428"/>
      <c r="H205" s="428"/>
      <c r="I205" s="428"/>
      <c r="J205" s="428"/>
      <c r="K205" s="428"/>
      <c r="L205" s="428"/>
      <c r="M205" s="428"/>
      <c r="N205" s="949"/>
    </row>
    <row r="206" spans="1:14" s="942" customFormat="1" ht="15.75" customHeight="1">
      <c r="A206" s="451"/>
      <c r="B206" s="682" t="s">
        <v>226</v>
      </c>
      <c r="C206" s="428">
        <f>C194</f>
        <v>1</v>
      </c>
      <c r="D206" s="428">
        <f>D188</f>
        <v>0.25</v>
      </c>
      <c r="E206" s="428">
        <f>E189</f>
        <v>0.35</v>
      </c>
      <c r="F206" s="428"/>
      <c r="G206" s="428"/>
      <c r="H206" s="428"/>
      <c r="I206" s="428"/>
      <c r="J206" s="428"/>
      <c r="K206" s="428"/>
      <c r="L206" s="428">
        <f>L202</f>
        <v>8</v>
      </c>
      <c r="M206" s="428">
        <f>C206*D206*E206*L206</f>
        <v>0.7</v>
      </c>
      <c r="N206" s="949"/>
    </row>
    <row r="207" spans="1:14" s="942" customFormat="1" ht="15.75" customHeight="1">
      <c r="A207" s="451"/>
      <c r="B207" s="682" t="s">
        <v>227</v>
      </c>
      <c r="C207" s="428">
        <f>C195</f>
        <v>1</v>
      </c>
      <c r="D207" s="428">
        <f>D206</f>
        <v>0.25</v>
      </c>
      <c r="E207" s="428">
        <f>E206</f>
        <v>0.35</v>
      </c>
      <c r="F207" s="428"/>
      <c r="G207" s="428"/>
      <c r="H207" s="428"/>
      <c r="I207" s="428"/>
      <c r="J207" s="428"/>
      <c r="K207" s="428"/>
      <c r="L207" s="428">
        <f>L203</f>
        <v>4</v>
      </c>
      <c r="M207" s="590">
        <f>C207*D207*E207*L207</f>
        <v>0.35</v>
      </c>
      <c r="N207" s="949"/>
    </row>
    <row r="208" spans="1:14" s="942" customFormat="1" ht="15.75" customHeight="1">
      <c r="A208" s="451"/>
      <c r="B208" s="389"/>
      <c r="C208" s="428"/>
      <c r="D208" s="428"/>
      <c r="E208" s="428"/>
      <c r="F208" s="428"/>
      <c r="G208" s="428"/>
      <c r="H208" s="428"/>
      <c r="I208" s="428"/>
      <c r="J208" s="428"/>
      <c r="K208" s="428"/>
      <c r="L208" s="428"/>
      <c r="M208" s="841">
        <f>SUM(M206:M207)</f>
        <v>1.0499999999999998</v>
      </c>
      <c r="N208" s="955" t="s">
        <v>103</v>
      </c>
    </row>
    <row r="209" spans="1:14" s="942" customFormat="1" ht="15.75" customHeight="1">
      <c r="A209" s="394">
        <f>A186+1</f>
        <v>14</v>
      </c>
      <c r="B209" s="389" t="s">
        <v>933</v>
      </c>
      <c r="C209" s="428"/>
      <c r="D209" s="428"/>
      <c r="E209" s="428"/>
      <c r="F209" s="428"/>
      <c r="G209" s="428"/>
      <c r="H209" s="428"/>
      <c r="I209" s="428"/>
      <c r="J209" s="428"/>
      <c r="K209" s="428"/>
      <c r="L209" s="428"/>
      <c r="M209" s="428"/>
      <c r="N209" s="949"/>
    </row>
    <row r="210" spans="1:14" s="942" customFormat="1" ht="15.75" customHeight="1">
      <c r="A210" s="451" t="s">
        <v>95</v>
      </c>
      <c r="B210" s="389" t="s">
        <v>423</v>
      </c>
      <c r="C210" s="428"/>
      <c r="D210" s="428"/>
      <c r="E210" s="428"/>
      <c r="F210" s="428"/>
      <c r="G210" s="428"/>
      <c r="H210" s="428"/>
      <c r="I210" s="428"/>
      <c r="J210" s="428"/>
      <c r="K210" s="428"/>
      <c r="L210" s="428"/>
      <c r="M210" s="428"/>
      <c r="N210" s="949"/>
    </row>
    <row r="211" spans="1:14" s="942" customFormat="1" ht="15.75" customHeight="1">
      <c r="A211" s="451"/>
      <c r="B211" s="682" t="s">
        <v>226</v>
      </c>
      <c r="C211" s="428">
        <v>9</v>
      </c>
      <c r="D211" s="428"/>
      <c r="E211" s="428">
        <v>0.2</v>
      </c>
      <c r="F211" s="428"/>
      <c r="G211" s="428"/>
      <c r="H211" s="428"/>
      <c r="I211" s="428"/>
      <c r="J211" s="428">
        <v>2</v>
      </c>
      <c r="K211" s="428"/>
      <c r="L211" s="428">
        <v>2</v>
      </c>
      <c r="M211" s="428">
        <f>C211*E211*J211*L211</f>
        <v>7.2</v>
      </c>
      <c r="N211" s="949"/>
    </row>
    <row r="212" spans="1:14" s="942" customFormat="1" ht="15.75" customHeight="1">
      <c r="A212" s="451"/>
      <c r="B212" s="682"/>
      <c r="C212" s="428">
        <f>C211</f>
        <v>9</v>
      </c>
      <c r="D212" s="428">
        <v>0.15</v>
      </c>
      <c r="E212" s="428"/>
      <c r="F212" s="428"/>
      <c r="G212" s="428"/>
      <c r="H212" s="428"/>
      <c r="I212" s="428"/>
      <c r="J212" s="428">
        <v>1</v>
      </c>
      <c r="K212" s="428"/>
      <c r="L212" s="428">
        <f>L211</f>
        <v>2</v>
      </c>
      <c r="M212" s="1059">
        <f>C212*D212*J212*L212</f>
        <v>2.6999999999999997</v>
      </c>
      <c r="N212" s="949"/>
    </row>
    <row r="213" spans="1:14" s="942" customFormat="1" ht="15.75" customHeight="1">
      <c r="A213" s="451"/>
      <c r="B213" s="682" t="s">
        <v>227</v>
      </c>
      <c r="C213" s="428">
        <v>10</v>
      </c>
      <c r="D213" s="428"/>
      <c r="E213" s="428">
        <f>E211</f>
        <v>0.2</v>
      </c>
      <c r="F213" s="428"/>
      <c r="G213" s="428"/>
      <c r="H213" s="428"/>
      <c r="I213" s="428"/>
      <c r="J213" s="428">
        <f>J211</f>
        <v>2</v>
      </c>
      <c r="K213" s="428"/>
      <c r="L213" s="428">
        <v>2</v>
      </c>
      <c r="M213" s="590">
        <f>C213*E213*J213*L213</f>
        <v>8</v>
      </c>
      <c r="N213" s="949"/>
    </row>
    <row r="214" spans="1:14" s="942" customFormat="1" ht="15.75" customHeight="1">
      <c r="A214" s="451"/>
      <c r="B214" s="682"/>
      <c r="C214" s="428">
        <f>C213</f>
        <v>10</v>
      </c>
      <c r="D214" s="428">
        <f>D212</f>
        <v>0.15</v>
      </c>
      <c r="E214" s="428"/>
      <c r="F214" s="428"/>
      <c r="G214" s="428"/>
      <c r="H214" s="428"/>
      <c r="I214" s="428"/>
      <c r="J214" s="428">
        <v>1</v>
      </c>
      <c r="K214" s="428"/>
      <c r="L214" s="428">
        <f>L213</f>
        <v>2</v>
      </c>
      <c r="M214" s="1059">
        <f>C214*D214*J214*L214</f>
        <v>3</v>
      </c>
      <c r="N214" s="949"/>
    </row>
    <row r="215" spans="1:14" s="942" customFormat="1" ht="15.75" customHeight="1">
      <c r="A215" s="451"/>
      <c r="B215" s="682"/>
      <c r="C215" s="428"/>
      <c r="D215" s="428"/>
      <c r="E215" s="428"/>
      <c r="F215" s="428"/>
      <c r="G215" s="428"/>
      <c r="H215" s="428"/>
      <c r="I215" s="428"/>
      <c r="J215" s="428"/>
      <c r="K215" s="428"/>
      <c r="L215" s="428"/>
      <c r="M215" s="841">
        <f>SUM(M211:M214)</f>
        <v>20.9</v>
      </c>
      <c r="N215" s="955" t="s">
        <v>89</v>
      </c>
    </row>
    <row r="216" spans="1:14" s="942" customFormat="1" ht="15.75" customHeight="1">
      <c r="A216" s="451" t="s">
        <v>98</v>
      </c>
      <c r="B216" s="389" t="s">
        <v>817</v>
      </c>
      <c r="C216" s="428"/>
      <c r="D216" s="428"/>
      <c r="E216" s="428"/>
      <c r="F216" s="428"/>
      <c r="G216" s="428"/>
      <c r="H216" s="428"/>
      <c r="I216" s="428"/>
      <c r="J216" s="428"/>
      <c r="K216" s="428"/>
      <c r="L216" s="428"/>
      <c r="M216" s="428"/>
      <c r="N216" s="949"/>
    </row>
    <row r="217" spans="1:14" s="942" customFormat="1" ht="15.75" customHeight="1">
      <c r="A217" s="451"/>
      <c r="B217" s="682" t="s">
        <v>1129</v>
      </c>
      <c r="C217" s="428">
        <f>C211</f>
        <v>9</v>
      </c>
      <c r="D217" s="428"/>
      <c r="E217" s="428"/>
      <c r="F217" s="428"/>
      <c r="G217" s="428"/>
      <c r="H217" s="428"/>
      <c r="I217" s="428">
        <f>13*13*0.006165</f>
        <v>1.041885</v>
      </c>
      <c r="J217" s="428"/>
      <c r="K217" s="428">
        <v>4</v>
      </c>
      <c r="L217" s="428">
        <f>L211</f>
        <v>2</v>
      </c>
      <c r="M217" s="428">
        <f>C217*I217*K217*L217</f>
        <v>75.015720000000002</v>
      </c>
      <c r="N217" s="949"/>
    </row>
    <row r="218" spans="1:14" s="942" customFormat="1" ht="15.75" customHeight="1">
      <c r="A218" s="451"/>
      <c r="B218" s="682" t="s">
        <v>226</v>
      </c>
      <c r="C218" s="428">
        <f>C213</f>
        <v>10</v>
      </c>
      <c r="D218" s="428"/>
      <c r="E218" s="428"/>
      <c r="F218" s="428"/>
      <c r="G218" s="428"/>
      <c r="H218" s="428"/>
      <c r="I218" s="428">
        <f>I217</f>
        <v>1.041885</v>
      </c>
      <c r="J218" s="428"/>
      <c r="K218" s="428">
        <f>K217</f>
        <v>4</v>
      </c>
      <c r="L218" s="428">
        <f>L213</f>
        <v>2</v>
      </c>
      <c r="M218" s="590">
        <f>C218*I218*K218*L218</f>
        <v>83.350799999999992</v>
      </c>
      <c r="N218" s="949"/>
    </row>
    <row r="219" spans="1:14" s="942" customFormat="1" ht="15.75" customHeight="1">
      <c r="A219" s="451"/>
      <c r="B219" s="389"/>
      <c r="C219" s="428"/>
      <c r="D219" s="428"/>
      <c r="E219" s="428"/>
      <c r="F219" s="428"/>
      <c r="G219" s="428"/>
      <c r="H219" s="428"/>
      <c r="I219" s="428"/>
      <c r="J219" s="428"/>
      <c r="K219" s="428"/>
      <c r="L219" s="428"/>
      <c r="M219" s="841">
        <f>SUM(M217:M218)</f>
        <v>158.36651999999998</v>
      </c>
      <c r="N219" s="955" t="s">
        <v>100</v>
      </c>
    </row>
    <row r="220" spans="1:14" s="942" customFormat="1" ht="15.75" customHeight="1">
      <c r="A220" s="451" t="s">
        <v>101</v>
      </c>
      <c r="B220" s="389" t="s">
        <v>411</v>
      </c>
      <c r="C220" s="428"/>
      <c r="D220" s="428"/>
      <c r="E220" s="428"/>
      <c r="F220" s="428"/>
      <c r="G220" s="428"/>
      <c r="H220" s="428"/>
      <c r="I220" s="428"/>
      <c r="J220" s="428"/>
      <c r="K220" s="428"/>
      <c r="L220" s="428"/>
      <c r="M220" s="428"/>
      <c r="N220" s="949"/>
    </row>
    <row r="221" spans="1:14" s="942" customFormat="1" ht="15.75" customHeight="1">
      <c r="A221" s="451"/>
      <c r="B221" s="682" t="s">
        <v>1129</v>
      </c>
      <c r="C221" s="428">
        <f>(0.07+0.12)*2</f>
        <v>0.38</v>
      </c>
      <c r="D221" s="428"/>
      <c r="E221" s="428"/>
      <c r="F221" s="428">
        <v>0.1</v>
      </c>
      <c r="G221" s="428"/>
      <c r="H221" s="428"/>
      <c r="I221" s="428">
        <f>8*8*0.006165</f>
        <v>0.39456000000000002</v>
      </c>
      <c r="J221" s="428"/>
      <c r="K221" s="428">
        <f>ROUNDUP((C217/0.125),0.5)</f>
        <v>72</v>
      </c>
      <c r="L221" s="428">
        <f>L217</f>
        <v>2</v>
      </c>
      <c r="M221" s="428">
        <f>(C221+F221)*I221*K221*L221</f>
        <v>27.271987199999998</v>
      </c>
      <c r="N221" s="949"/>
    </row>
    <row r="222" spans="1:14" s="942" customFormat="1" ht="15.75" customHeight="1">
      <c r="A222" s="451"/>
      <c r="B222" s="682" t="s">
        <v>226</v>
      </c>
      <c r="C222" s="428">
        <f>C221</f>
        <v>0.38</v>
      </c>
      <c r="D222" s="428"/>
      <c r="E222" s="428"/>
      <c r="F222" s="428">
        <f>F221</f>
        <v>0.1</v>
      </c>
      <c r="G222" s="428"/>
      <c r="H222" s="428"/>
      <c r="I222" s="428">
        <f>I221</f>
        <v>0.39456000000000002</v>
      </c>
      <c r="J222" s="428"/>
      <c r="K222" s="428">
        <f>ROUNDUP((C218/0.125),0.5)</f>
        <v>80</v>
      </c>
      <c r="L222" s="428">
        <f>L218</f>
        <v>2</v>
      </c>
      <c r="M222" s="590">
        <f>(C222+F222)*I222*K222*L222</f>
        <v>30.302208</v>
      </c>
      <c r="N222" s="949"/>
    </row>
    <row r="223" spans="1:14" s="942" customFormat="1" ht="15.75" customHeight="1">
      <c r="A223" s="451"/>
      <c r="B223" s="389"/>
      <c r="C223" s="428"/>
      <c r="D223" s="428"/>
      <c r="E223" s="428"/>
      <c r="F223" s="428"/>
      <c r="G223" s="428"/>
      <c r="H223" s="428"/>
      <c r="I223" s="428"/>
      <c r="J223" s="428"/>
      <c r="K223" s="428"/>
      <c r="L223" s="428"/>
      <c r="M223" s="841">
        <f>SUM(M221:M222)</f>
        <v>57.574195199999998</v>
      </c>
      <c r="N223" s="955" t="s">
        <v>100</v>
      </c>
    </row>
    <row r="224" spans="1:14" s="942" customFormat="1" ht="15.75" customHeight="1">
      <c r="A224" s="451" t="s">
        <v>121</v>
      </c>
      <c r="B224" s="389" t="s">
        <v>1043</v>
      </c>
      <c r="C224" s="428"/>
      <c r="D224" s="428"/>
      <c r="E224" s="428"/>
      <c r="F224" s="428"/>
      <c r="G224" s="428"/>
      <c r="H224" s="428"/>
      <c r="I224" s="428"/>
      <c r="J224" s="428"/>
      <c r="K224" s="428"/>
      <c r="L224" s="428"/>
      <c r="M224" s="428"/>
      <c r="N224" s="949"/>
    </row>
    <row r="225" spans="1:14" s="942" customFormat="1" ht="15.75" customHeight="1">
      <c r="A225" s="451"/>
      <c r="B225" s="682" t="s">
        <v>1129</v>
      </c>
      <c r="C225" s="428">
        <f>C217</f>
        <v>9</v>
      </c>
      <c r="D225" s="428">
        <v>0.15</v>
      </c>
      <c r="E225" s="428">
        <v>0.2</v>
      </c>
      <c r="F225" s="428"/>
      <c r="G225" s="428"/>
      <c r="H225" s="428"/>
      <c r="I225" s="428"/>
      <c r="J225" s="428"/>
      <c r="K225" s="428"/>
      <c r="L225" s="428">
        <f>L221</f>
        <v>2</v>
      </c>
      <c r="M225" s="428">
        <f>C225*D225*E225*L225</f>
        <v>0.53999999999999992</v>
      </c>
      <c r="N225" s="949"/>
    </row>
    <row r="226" spans="1:14" s="942" customFormat="1" ht="15.75" customHeight="1">
      <c r="A226" s="451"/>
      <c r="B226" s="682" t="s">
        <v>226</v>
      </c>
      <c r="C226" s="428">
        <f>C218</f>
        <v>10</v>
      </c>
      <c r="D226" s="428">
        <f>D225</f>
        <v>0.15</v>
      </c>
      <c r="E226" s="428">
        <f>E225</f>
        <v>0.2</v>
      </c>
      <c r="F226" s="428"/>
      <c r="G226" s="428"/>
      <c r="H226" s="428"/>
      <c r="I226" s="428"/>
      <c r="J226" s="428"/>
      <c r="K226" s="428"/>
      <c r="L226" s="428">
        <f>L222</f>
        <v>2</v>
      </c>
      <c r="M226" s="590">
        <f>C226*D226*E226*L226</f>
        <v>0.60000000000000009</v>
      </c>
      <c r="N226" s="949"/>
    </row>
    <row r="227" spans="1:14" s="942" customFormat="1" ht="15.75" customHeight="1">
      <c r="A227" s="451"/>
      <c r="B227" s="389"/>
      <c r="C227" s="428"/>
      <c r="D227" s="428"/>
      <c r="E227" s="428"/>
      <c r="F227" s="428"/>
      <c r="G227" s="428"/>
      <c r="H227" s="428"/>
      <c r="I227" s="428"/>
      <c r="J227" s="428"/>
      <c r="K227" s="428"/>
      <c r="L227" s="428"/>
      <c r="M227" s="841">
        <f>SUM(M225:M226)</f>
        <v>1.1400000000000001</v>
      </c>
      <c r="N227" s="955" t="s">
        <v>103</v>
      </c>
    </row>
    <row r="228" spans="1:14" s="942" customFormat="1" ht="15.75" customHeight="1">
      <c r="A228" s="394">
        <f>A209+1</f>
        <v>15</v>
      </c>
      <c r="B228" s="389" t="s">
        <v>1783</v>
      </c>
      <c r="C228" s="428"/>
      <c r="D228" s="428"/>
      <c r="E228" s="428"/>
      <c r="F228" s="428"/>
      <c r="G228" s="428"/>
      <c r="H228" s="428"/>
      <c r="I228" s="428"/>
      <c r="J228" s="428"/>
      <c r="K228" s="428"/>
      <c r="L228" s="428"/>
      <c r="M228" s="428"/>
      <c r="N228" s="949"/>
    </row>
    <row r="229" spans="1:14" s="942" customFormat="1" ht="15.75" customHeight="1">
      <c r="A229" s="451" t="s">
        <v>95</v>
      </c>
      <c r="B229" s="389" t="s">
        <v>211</v>
      </c>
      <c r="C229" s="428"/>
      <c r="D229" s="428"/>
      <c r="E229" s="428"/>
      <c r="F229" s="428"/>
      <c r="G229" s="428"/>
      <c r="H229" s="428"/>
      <c r="I229" s="428"/>
      <c r="J229" s="428"/>
      <c r="K229" s="428"/>
      <c r="L229" s="428"/>
      <c r="M229" s="428"/>
      <c r="N229" s="949"/>
    </row>
    <row r="230" spans="1:14" s="942" customFormat="1" ht="15.75" customHeight="1">
      <c r="A230" s="451"/>
      <c r="B230" s="682" t="s">
        <v>1784</v>
      </c>
      <c r="C230" s="428">
        <v>10</v>
      </c>
      <c r="D230" s="428">
        <v>9</v>
      </c>
      <c r="E230" s="428"/>
      <c r="F230" s="428"/>
      <c r="G230" s="428"/>
      <c r="H230" s="428"/>
      <c r="I230" s="428"/>
      <c r="J230" s="428"/>
      <c r="K230" s="428"/>
      <c r="L230" s="428"/>
      <c r="M230" s="428">
        <f>C230*D230</f>
        <v>90</v>
      </c>
      <c r="N230" s="949"/>
    </row>
    <row r="231" spans="1:14" s="942" customFormat="1" ht="15.75" customHeight="1">
      <c r="A231" s="451"/>
      <c r="B231" s="682" t="s">
        <v>1785</v>
      </c>
      <c r="C231" s="428">
        <v>3</v>
      </c>
      <c r="D231" s="428">
        <v>1</v>
      </c>
      <c r="E231" s="428"/>
      <c r="F231" s="428"/>
      <c r="G231" s="428"/>
      <c r="H231" s="428"/>
      <c r="I231" s="428"/>
      <c r="J231" s="428"/>
      <c r="K231" s="428"/>
      <c r="L231" s="428"/>
      <c r="M231" s="428">
        <f>C231*D231</f>
        <v>3</v>
      </c>
      <c r="N231" s="949"/>
    </row>
    <row r="232" spans="1:14" s="942" customFormat="1" ht="15.75" customHeight="1">
      <c r="A232" s="451"/>
      <c r="B232" s="682" t="s">
        <v>1665</v>
      </c>
      <c r="C232" s="428">
        <f>C230</f>
        <v>10</v>
      </c>
      <c r="D232" s="428"/>
      <c r="E232" s="428">
        <v>0.12</v>
      </c>
      <c r="F232" s="428"/>
      <c r="G232" s="428"/>
      <c r="H232" s="428"/>
      <c r="I232" s="428"/>
      <c r="J232" s="428">
        <v>2</v>
      </c>
      <c r="K232" s="428"/>
      <c r="L232" s="428"/>
      <c r="M232" s="428">
        <f>C232*E232*J232</f>
        <v>2.4</v>
      </c>
      <c r="N232" s="949"/>
    </row>
    <row r="233" spans="1:14" s="942" customFormat="1" ht="15.75" customHeight="1">
      <c r="A233" s="451"/>
      <c r="B233" s="682"/>
      <c r="C233" s="428"/>
      <c r="D233" s="428">
        <f>D230</f>
        <v>9</v>
      </c>
      <c r="E233" s="428">
        <f>E232</f>
        <v>0.12</v>
      </c>
      <c r="F233" s="428"/>
      <c r="G233" s="428"/>
      <c r="H233" s="428"/>
      <c r="I233" s="428"/>
      <c r="J233" s="428">
        <f>J232</f>
        <v>2</v>
      </c>
      <c r="K233" s="428"/>
      <c r="L233" s="428"/>
      <c r="M233" s="428">
        <f>D233*E233*J233</f>
        <v>2.16</v>
      </c>
      <c r="N233" s="949"/>
    </row>
    <row r="234" spans="1:14" s="942" customFormat="1" ht="15.75" customHeight="1">
      <c r="A234" s="451"/>
      <c r="B234" s="682" t="s">
        <v>1780</v>
      </c>
      <c r="C234" s="428">
        <f>C165</f>
        <v>7</v>
      </c>
      <c r="D234" s="428">
        <v>0.25</v>
      </c>
      <c r="E234" s="428"/>
      <c r="F234" s="428"/>
      <c r="G234" s="428"/>
      <c r="H234" s="428"/>
      <c r="I234" s="428"/>
      <c r="J234" s="428"/>
      <c r="K234" s="428"/>
      <c r="L234" s="428">
        <f>L165</f>
        <v>4</v>
      </c>
      <c r="M234" s="428">
        <f>-C234*D234*L234</f>
        <v>-7</v>
      </c>
      <c r="N234" s="949"/>
    </row>
    <row r="235" spans="1:14" s="942" customFormat="1" ht="15.75" customHeight="1">
      <c r="A235" s="451"/>
      <c r="B235" s="682"/>
      <c r="C235" s="428">
        <f>C167</f>
        <v>8</v>
      </c>
      <c r="D235" s="428">
        <f>D234</f>
        <v>0.25</v>
      </c>
      <c r="E235" s="428"/>
      <c r="F235" s="428"/>
      <c r="G235" s="428"/>
      <c r="H235" s="428"/>
      <c r="I235" s="428"/>
      <c r="J235" s="428"/>
      <c r="K235" s="428"/>
      <c r="L235" s="428">
        <f>L167</f>
        <v>4</v>
      </c>
      <c r="M235" s="428">
        <f>-C235*D235*L235</f>
        <v>-8</v>
      </c>
      <c r="N235" s="949"/>
    </row>
    <row r="236" spans="1:14" s="942" customFormat="1" ht="15.75" customHeight="1">
      <c r="A236" s="451"/>
      <c r="B236" s="682" t="s">
        <v>1781</v>
      </c>
      <c r="C236" s="428">
        <f>C188</f>
        <v>1</v>
      </c>
      <c r="D236" s="428">
        <v>0.25</v>
      </c>
      <c r="E236" s="428"/>
      <c r="F236" s="428"/>
      <c r="G236" s="428"/>
      <c r="H236" s="428"/>
      <c r="I236" s="428"/>
      <c r="J236" s="428"/>
      <c r="K236" s="428"/>
      <c r="L236" s="428">
        <f>L188</f>
        <v>8</v>
      </c>
      <c r="M236" s="428">
        <f>-C236*D236*L236</f>
        <v>-2</v>
      </c>
      <c r="N236" s="949"/>
    </row>
    <row r="237" spans="1:14" s="942" customFormat="1" ht="15.75" customHeight="1">
      <c r="A237" s="451"/>
      <c r="B237" s="682"/>
      <c r="C237" s="428">
        <f>C190</f>
        <v>1</v>
      </c>
      <c r="D237" s="428">
        <f>D236</f>
        <v>0.25</v>
      </c>
      <c r="E237" s="428"/>
      <c r="F237" s="428"/>
      <c r="G237" s="428"/>
      <c r="H237" s="428"/>
      <c r="I237" s="428"/>
      <c r="J237" s="428"/>
      <c r="K237" s="428"/>
      <c r="L237" s="428">
        <f>L190</f>
        <v>4</v>
      </c>
      <c r="M237" s="428">
        <f>-C237*D237*L237</f>
        <v>-1</v>
      </c>
      <c r="N237" s="949"/>
    </row>
    <row r="238" spans="1:14" s="942" customFormat="1" ht="15.75" customHeight="1">
      <c r="A238" s="451"/>
      <c r="B238" s="682" t="s">
        <v>1786</v>
      </c>
      <c r="C238" s="428"/>
      <c r="D238" s="428"/>
      <c r="E238" s="428"/>
      <c r="F238" s="428"/>
      <c r="G238" s="428"/>
      <c r="H238" s="428"/>
      <c r="I238" s="428"/>
      <c r="J238" s="428"/>
      <c r="K238" s="428"/>
      <c r="L238" s="428"/>
      <c r="M238" s="428"/>
      <c r="N238" s="949"/>
    </row>
    <row r="239" spans="1:14" s="942" customFormat="1" ht="15.75" customHeight="1">
      <c r="A239" s="451"/>
      <c r="B239" s="682" t="s">
        <v>1129</v>
      </c>
      <c r="C239" s="428">
        <f>C225</f>
        <v>9</v>
      </c>
      <c r="D239" s="428">
        <f>D225</f>
        <v>0.15</v>
      </c>
      <c r="E239" s="428"/>
      <c r="F239" s="428"/>
      <c r="G239" s="428"/>
      <c r="H239" s="428"/>
      <c r="I239" s="428"/>
      <c r="J239" s="428"/>
      <c r="K239" s="428"/>
      <c r="L239" s="428">
        <f>L225</f>
        <v>2</v>
      </c>
      <c r="M239" s="428">
        <f>-C239*D239*L239</f>
        <v>-2.6999999999999997</v>
      </c>
      <c r="N239" s="949"/>
    </row>
    <row r="240" spans="1:14" s="942" customFormat="1" ht="15.75" customHeight="1">
      <c r="A240" s="451"/>
      <c r="B240" s="682" t="s">
        <v>226</v>
      </c>
      <c r="C240" s="428">
        <f>C226</f>
        <v>10</v>
      </c>
      <c r="D240" s="428">
        <f>D239</f>
        <v>0.15</v>
      </c>
      <c r="E240" s="428"/>
      <c r="F240" s="428"/>
      <c r="G240" s="428"/>
      <c r="H240" s="428"/>
      <c r="I240" s="428"/>
      <c r="J240" s="428"/>
      <c r="K240" s="428"/>
      <c r="L240" s="428">
        <f>L226</f>
        <v>2</v>
      </c>
      <c r="M240" s="590">
        <f>-C240*D240*L240</f>
        <v>-3</v>
      </c>
      <c r="N240" s="949"/>
    </row>
    <row r="241" spans="1:14" s="942" customFormat="1" ht="15.75" customHeight="1">
      <c r="A241" s="451"/>
      <c r="B241" s="389"/>
      <c r="C241" s="428"/>
      <c r="D241" s="428"/>
      <c r="E241" s="428"/>
      <c r="F241" s="428"/>
      <c r="G241" s="428"/>
      <c r="H241" s="428"/>
      <c r="I241" s="428"/>
      <c r="J241" s="428"/>
      <c r="K241" s="428"/>
      <c r="L241" s="428"/>
      <c r="M241" s="841">
        <f>SUM(M230:M240)</f>
        <v>73.86</v>
      </c>
      <c r="N241" s="955" t="s">
        <v>89</v>
      </c>
    </row>
    <row r="242" spans="1:14" s="942" customFormat="1" ht="15.75" customHeight="1">
      <c r="A242" s="451" t="s">
        <v>98</v>
      </c>
      <c r="B242" s="389" t="s">
        <v>1787</v>
      </c>
      <c r="C242" s="428"/>
      <c r="D242" s="428"/>
      <c r="E242" s="428"/>
      <c r="F242" s="428"/>
      <c r="G242" s="428"/>
      <c r="H242" s="428"/>
      <c r="I242" s="428"/>
      <c r="J242" s="428"/>
      <c r="K242" s="428"/>
      <c r="L242" s="428"/>
      <c r="M242" s="428"/>
      <c r="N242" s="949"/>
    </row>
    <row r="243" spans="1:14" s="942" customFormat="1" ht="15.75" customHeight="1">
      <c r="A243" s="451"/>
      <c r="B243" s="682" t="s">
        <v>1784</v>
      </c>
      <c r="C243" s="428">
        <f>C230</f>
        <v>10</v>
      </c>
      <c r="D243" s="428">
        <f>D230</f>
        <v>9</v>
      </c>
      <c r="E243" s="428"/>
      <c r="F243" s="428"/>
      <c r="G243" s="428"/>
      <c r="H243" s="428"/>
      <c r="I243" s="428"/>
      <c r="J243" s="428">
        <v>2</v>
      </c>
      <c r="K243" s="428"/>
      <c r="L243" s="428"/>
      <c r="M243" s="428">
        <f>C243*D243*J243</f>
        <v>180</v>
      </c>
      <c r="N243" s="949"/>
    </row>
    <row r="244" spans="1:14" s="942" customFormat="1" ht="15.75" customHeight="1">
      <c r="A244" s="451"/>
      <c r="B244" s="682" t="s">
        <v>1785</v>
      </c>
      <c r="C244" s="428">
        <f>C231</f>
        <v>3</v>
      </c>
      <c r="D244" s="428">
        <f>D231</f>
        <v>1</v>
      </c>
      <c r="E244" s="428"/>
      <c r="F244" s="428"/>
      <c r="G244" s="428"/>
      <c r="H244" s="428"/>
      <c r="I244" s="428"/>
      <c r="J244" s="428">
        <f>J243</f>
        <v>2</v>
      </c>
      <c r="K244" s="428"/>
      <c r="L244" s="428"/>
      <c r="M244" s="590">
        <f>C244*D244*J244</f>
        <v>6</v>
      </c>
      <c r="N244" s="949"/>
    </row>
    <row r="245" spans="1:14" s="942" customFormat="1" ht="15.75" customHeight="1">
      <c r="A245" s="451"/>
      <c r="B245" s="389"/>
      <c r="C245" s="428"/>
      <c r="D245" s="428"/>
      <c r="E245" s="428"/>
      <c r="F245" s="428"/>
      <c r="G245" s="428"/>
      <c r="H245" s="428"/>
      <c r="I245" s="428"/>
      <c r="J245" s="428"/>
      <c r="K245" s="428"/>
      <c r="L245" s="428"/>
      <c r="M245" s="841">
        <f>SUM(M243:M244)</f>
        <v>186</v>
      </c>
      <c r="N245" s="955" t="s">
        <v>89</v>
      </c>
    </row>
    <row r="246" spans="1:14" s="942" customFormat="1" ht="15.75" customHeight="1">
      <c r="A246" s="451" t="s">
        <v>101</v>
      </c>
      <c r="B246" s="389" t="s">
        <v>1043</v>
      </c>
      <c r="C246" s="428"/>
      <c r="D246" s="428"/>
      <c r="E246" s="428"/>
      <c r="F246" s="428"/>
      <c r="G246" s="428"/>
      <c r="H246" s="428"/>
      <c r="I246" s="428"/>
      <c r="J246" s="428"/>
      <c r="K246" s="428"/>
      <c r="L246" s="428"/>
      <c r="M246" s="428"/>
      <c r="N246" s="949"/>
    </row>
    <row r="247" spans="1:14" s="942" customFormat="1" ht="15.75" customHeight="1">
      <c r="A247" s="451"/>
      <c r="B247" s="682" t="s">
        <v>1784</v>
      </c>
      <c r="C247" s="428">
        <f>C243</f>
        <v>10</v>
      </c>
      <c r="D247" s="428">
        <f>D243</f>
        <v>9</v>
      </c>
      <c r="E247" s="428">
        <v>0.12</v>
      </c>
      <c r="F247" s="428"/>
      <c r="G247" s="428"/>
      <c r="H247" s="428"/>
      <c r="I247" s="428"/>
      <c r="J247" s="428"/>
      <c r="K247" s="428"/>
      <c r="L247" s="428"/>
      <c r="M247" s="428">
        <f>C247*D247*E247</f>
        <v>10.799999999999999</v>
      </c>
      <c r="N247" s="949"/>
    </row>
    <row r="248" spans="1:14" s="942" customFormat="1" ht="15.75" customHeight="1">
      <c r="A248" s="451"/>
      <c r="B248" s="682" t="s">
        <v>1785</v>
      </c>
      <c r="C248" s="428">
        <f>C244</f>
        <v>3</v>
      </c>
      <c r="D248" s="428">
        <f>D244</f>
        <v>1</v>
      </c>
      <c r="E248" s="428">
        <f>E247</f>
        <v>0.12</v>
      </c>
      <c r="F248" s="428"/>
      <c r="G248" s="428"/>
      <c r="H248" s="428"/>
      <c r="I248" s="428"/>
      <c r="J248" s="428"/>
      <c r="K248" s="428"/>
      <c r="L248" s="428"/>
      <c r="M248" s="428">
        <f>C248*D248*E248</f>
        <v>0.36</v>
      </c>
      <c r="N248" s="949"/>
    </row>
    <row r="249" spans="1:14" s="942" customFormat="1" ht="15.75" customHeight="1">
      <c r="A249" s="451"/>
      <c r="B249" s="682" t="s">
        <v>1788</v>
      </c>
      <c r="C249" s="428">
        <f t="shared" ref="C249:D252" si="4">C234</f>
        <v>7</v>
      </c>
      <c r="D249" s="428">
        <f t="shared" si="4"/>
        <v>0.25</v>
      </c>
      <c r="E249" s="428">
        <f>E248</f>
        <v>0.12</v>
      </c>
      <c r="F249" s="428"/>
      <c r="G249" s="428"/>
      <c r="H249" s="428"/>
      <c r="I249" s="428"/>
      <c r="J249" s="428"/>
      <c r="K249" s="428"/>
      <c r="L249" s="428">
        <f>L234</f>
        <v>4</v>
      </c>
      <c r="M249" s="428">
        <f>-C249*D249*E249*L249</f>
        <v>-0.84</v>
      </c>
      <c r="N249" s="949"/>
    </row>
    <row r="250" spans="1:14" s="942" customFormat="1" ht="15.75" customHeight="1">
      <c r="A250" s="451"/>
      <c r="B250" s="682"/>
      <c r="C250" s="428">
        <f t="shared" si="4"/>
        <v>8</v>
      </c>
      <c r="D250" s="428">
        <f t="shared" si="4"/>
        <v>0.25</v>
      </c>
      <c r="E250" s="428">
        <f>E249</f>
        <v>0.12</v>
      </c>
      <c r="F250" s="428"/>
      <c r="G250" s="428"/>
      <c r="H250" s="428"/>
      <c r="I250" s="428"/>
      <c r="J250" s="428"/>
      <c r="K250" s="428"/>
      <c r="L250" s="428">
        <f>L235</f>
        <v>4</v>
      </c>
      <c r="M250" s="428">
        <f>-C250*D250*E250*L250</f>
        <v>-0.96</v>
      </c>
      <c r="N250" s="949"/>
    </row>
    <row r="251" spans="1:14" s="942" customFormat="1" ht="15.75" customHeight="1">
      <c r="A251" s="451"/>
      <c r="B251" s="682" t="s">
        <v>1789</v>
      </c>
      <c r="C251" s="428">
        <f t="shared" si="4"/>
        <v>1</v>
      </c>
      <c r="D251" s="428">
        <f t="shared" si="4"/>
        <v>0.25</v>
      </c>
      <c r="E251" s="428">
        <f>E250</f>
        <v>0.12</v>
      </c>
      <c r="F251" s="428"/>
      <c r="G251" s="428"/>
      <c r="H251" s="428"/>
      <c r="I251" s="428"/>
      <c r="J251" s="428"/>
      <c r="K251" s="428"/>
      <c r="L251" s="428">
        <f>L236</f>
        <v>8</v>
      </c>
      <c r="M251" s="428">
        <f>-C251*D251*E251*L251</f>
        <v>-0.24</v>
      </c>
      <c r="N251" s="949"/>
    </row>
    <row r="252" spans="1:14" s="942" customFormat="1" ht="15.75" customHeight="1">
      <c r="A252" s="451"/>
      <c r="B252" s="682"/>
      <c r="C252" s="428">
        <f t="shared" si="4"/>
        <v>1</v>
      </c>
      <c r="D252" s="428">
        <f t="shared" si="4"/>
        <v>0.25</v>
      </c>
      <c r="E252" s="428">
        <f>E251</f>
        <v>0.12</v>
      </c>
      <c r="F252" s="428"/>
      <c r="G252" s="428"/>
      <c r="H252" s="428"/>
      <c r="I252" s="428"/>
      <c r="J252" s="428"/>
      <c r="K252" s="428"/>
      <c r="L252" s="428">
        <f>L237</f>
        <v>4</v>
      </c>
      <c r="M252" s="428">
        <f>-C252*D252*E252*L252</f>
        <v>-0.12</v>
      </c>
      <c r="N252" s="949"/>
    </row>
    <row r="253" spans="1:14" s="942" customFormat="1" ht="15.75" customHeight="1">
      <c r="A253" s="451"/>
      <c r="B253" s="682" t="s">
        <v>1786</v>
      </c>
      <c r="C253" s="428"/>
      <c r="D253" s="428"/>
      <c r="E253" s="428"/>
      <c r="F253" s="428"/>
      <c r="G253" s="428"/>
      <c r="H253" s="428"/>
      <c r="I253" s="428"/>
      <c r="J253" s="428"/>
      <c r="K253" s="428"/>
      <c r="L253" s="428"/>
      <c r="M253" s="428"/>
      <c r="N253" s="949"/>
    </row>
    <row r="254" spans="1:14" s="942" customFormat="1" ht="15.75" customHeight="1">
      <c r="A254" s="451"/>
      <c r="B254" s="682" t="s">
        <v>1129</v>
      </c>
      <c r="C254" s="428">
        <f>C239</f>
        <v>9</v>
      </c>
      <c r="D254" s="428">
        <f>D239</f>
        <v>0.15</v>
      </c>
      <c r="E254" s="428">
        <f>E252</f>
        <v>0.12</v>
      </c>
      <c r="F254" s="428"/>
      <c r="G254" s="428"/>
      <c r="H254" s="428"/>
      <c r="I254" s="428"/>
      <c r="J254" s="428"/>
      <c r="K254" s="428"/>
      <c r="L254" s="428">
        <f>L239</f>
        <v>2</v>
      </c>
      <c r="M254" s="428">
        <f>-C254*D254*E254*L254</f>
        <v>-0.32399999999999995</v>
      </c>
      <c r="N254" s="949"/>
    </row>
    <row r="255" spans="1:14" s="942" customFormat="1" ht="15.75" customHeight="1">
      <c r="A255" s="451"/>
      <c r="B255" s="682" t="s">
        <v>226</v>
      </c>
      <c r="C255" s="428">
        <f>C254</f>
        <v>9</v>
      </c>
      <c r="D255" s="428">
        <f>D240</f>
        <v>0.15</v>
      </c>
      <c r="E255" s="428">
        <f>E254</f>
        <v>0.12</v>
      </c>
      <c r="F255" s="428"/>
      <c r="G255" s="428"/>
      <c r="H255" s="428"/>
      <c r="I255" s="428"/>
      <c r="J255" s="428"/>
      <c r="K255" s="428"/>
      <c r="L255" s="428">
        <f>L240</f>
        <v>2</v>
      </c>
      <c r="M255" s="590">
        <f>-C255*D255*E255*L255</f>
        <v>-0.32399999999999995</v>
      </c>
      <c r="N255" s="949"/>
    </row>
    <row r="256" spans="1:14" s="942" customFormat="1" ht="15.75" customHeight="1">
      <c r="A256" s="451"/>
      <c r="B256" s="389"/>
      <c r="C256" s="428"/>
      <c r="D256" s="428"/>
      <c r="E256" s="428"/>
      <c r="F256" s="428"/>
      <c r="G256" s="428"/>
      <c r="H256" s="428"/>
      <c r="I256" s="428"/>
      <c r="J256" s="428"/>
      <c r="K256" s="428"/>
      <c r="L256" s="428"/>
      <c r="M256" s="841">
        <f>SUM(M247:M255)</f>
        <v>8.3520000000000003</v>
      </c>
      <c r="N256" s="955" t="s">
        <v>89</v>
      </c>
    </row>
    <row r="257" spans="1:14" s="942" customFormat="1" ht="15.75" customHeight="1">
      <c r="A257" s="394">
        <f>A228+1</f>
        <v>16</v>
      </c>
      <c r="B257" s="389" t="s">
        <v>1790</v>
      </c>
      <c r="C257" s="428"/>
      <c r="D257" s="428"/>
      <c r="E257" s="428"/>
      <c r="F257" s="428"/>
      <c r="G257" s="428"/>
      <c r="H257" s="428"/>
      <c r="I257" s="428"/>
      <c r="J257" s="428"/>
      <c r="K257" s="428"/>
      <c r="L257" s="428"/>
      <c r="M257" s="428"/>
      <c r="N257" s="949"/>
    </row>
    <row r="258" spans="1:14" s="942" customFormat="1" ht="15.75" customHeight="1">
      <c r="A258" s="451" t="s">
        <v>95</v>
      </c>
      <c r="B258" s="389" t="s">
        <v>211</v>
      </c>
      <c r="C258" s="428"/>
      <c r="D258" s="428"/>
      <c r="E258" s="428"/>
      <c r="F258" s="428"/>
      <c r="G258" s="428"/>
      <c r="H258" s="428"/>
      <c r="I258" s="428"/>
      <c r="J258" s="428"/>
      <c r="K258" s="428"/>
      <c r="L258" s="428"/>
      <c r="M258" s="428"/>
      <c r="N258" s="949"/>
    </row>
    <row r="259" spans="1:14" s="942" customFormat="1" ht="15.75" customHeight="1">
      <c r="A259" s="451"/>
      <c r="B259" s="682" t="s">
        <v>1791</v>
      </c>
      <c r="C259" s="428">
        <v>5.35</v>
      </c>
      <c r="D259" s="428">
        <v>0.65</v>
      </c>
      <c r="E259" s="428"/>
      <c r="F259" s="428"/>
      <c r="G259" s="428"/>
      <c r="H259" s="428"/>
      <c r="I259" s="428"/>
      <c r="J259" s="428"/>
      <c r="K259" s="428"/>
      <c r="L259" s="428"/>
      <c r="M259" s="428">
        <f>C259*D259</f>
        <v>3.4775</v>
      </c>
      <c r="N259" s="949"/>
    </row>
    <row r="260" spans="1:14" s="942" customFormat="1" ht="15.75" customHeight="1">
      <c r="A260" s="451"/>
      <c r="B260" s="682"/>
      <c r="C260" s="428">
        <f>C259</f>
        <v>5.35</v>
      </c>
      <c r="D260" s="428"/>
      <c r="E260" s="428">
        <v>0.2</v>
      </c>
      <c r="F260" s="428"/>
      <c r="G260" s="428"/>
      <c r="H260" s="428"/>
      <c r="I260" s="428"/>
      <c r="J260" s="428">
        <v>1</v>
      </c>
      <c r="K260" s="428"/>
      <c r="L260" s="428"/>
      <c r="M260" s="428">
        <f>C260*E260*J260</f>
        <v>1.07</v>
      </c>
      <c r="N260" s="949"/>
    </row>
    <row r="261" spans="1:14" s="942" customFormat="1" ht="15.75" customHeight="1">
      <c r="A261" s="451"/>
      <c r="B261" s="682"/>
      <c r="C261" s="428">
        <f>D259</f>
        <v>0.65</v>
      </c>
      <c r="D261" s="428"/>
      <c r="E261" s="428">
        <f>E260</f>
        <v>0.2</v>
      </c>
      <c r="F261" s="428"/>
      <c r="G261" s="428"/>
      <c r="H261" s="428"/>
      <c r="I261" s="428"/>
      <c r="J261" s="428">
        <v>2</v>
      </c>
      <c r="K261" s="428"/>
      <c r="L261" s="428"/>
      <c r="M261" s="428">
        <f>C261*E261*J261</f>
        <v>0.26</v>
      </c>
      <c r="N261" s="949"/>
    </row>
    <row r="262" spans="1:14" s="942" customFormat="1" ht="15.75" customHeight="1">
      <c r="A262" s="451"/>
      <c r="B262" s="682" t="s">
        <v>1792</v>
      </c>
      <c r="C262" s="428">
        <v>3.9</v>
      </c>
      <c r="D262" s="428">
        <f>D259</f>
        <v>0.65</v>
      </c>
      <c r="E262" s="428"/>
      <c r="F262" s="428"/>
      <c r="G262" s="428"/>
      <c r="H262" s="428"/>
      <c r="I262" s="428"/>
      <c r="J262" s="428"/>
      <c r="K262" s="428"/>
      <c r="L262" s="428"/>
      <c r="M262" s="428">
        <f>C262*D262</f>
        <v>2.5350000000000001</v>
      </c>
      <c r="N262" s="949"/>
    </row>
    <row r="263" spans="1:14" s="942" customFormat="1" ht="15.75" customHeight="1">
      <c r="A263" s="451"/>
      <c r="B263" s="682"/>
      <c r="C263" s="428">
        <f>C262</f>
        <v>3.9</v>
      </c>
      <c r="D263" s="428"/>
      <c r="E263" s="428">
        <f>E261</f>
        <v>0.2</v>
      </c>
      <c r="F263" s="428"/>
      <c r="G263" s="428"/>
      <c r="H263" s="428"/>
      <c r="I263" s="428"/>
      <c r="J263" s="428">
        <v>1</v>
      </c>
      <c r="K263" s="428"/>
      <c r="L263" s="428"/>
      <c r="M263" s="428">
        <f>C263*E263*J263</f>
        <v>0.78</v>
      </c>
      <c r="N263" s="949"/>
    </row>
    <row r="264" spans="1:14" s="942" customFormat="1" ht="15.75" customHeight="1">
      <c r="A264" s="451"/>
      <c r="B264" s="682"/>
      <c r="C264" s="428">
        <f>D262</f>
        <v>0.65</v>
      </c>
      <c r="D264" s="428"/>
      <c r="E264" s="428">
        <f>E263</f>
        <v>0.2</v>
      </c>
      <c r="F264" s="428"/>
      <c r="G264" s="428"/>
      <c r="H264" s="428"/>
      <c r="I264" s="428"/>
      <c r="J264" s="428">
        <v>2</v>
      </c>
      <c r="K264" s="428"/>
      <c r="L264" s="428"/>
      <c r="M264" s="428">
        <f>C264*E264*J264</f>
        <v>0.26</v>
      </c>
      <c r="N264" s="949"/>
    </row>
    <row r="265" spans="1:14" s="942" customFormat="1" ht="15.75" customHeight="1">
      <c r="A265" s="451"/>
      <c r="B265" s="682" t="s">
        <v>1793</v>
      </c>
      <c r="C265" s="428">
        <v>3.9</v>
      </c>
      <c r="D265" s="428">
        <f>D262</f>
        <v>0.65</v>
      </c>
      <c r="E265" s="428"/>
      <c r="F265" s="428"/>
      <c r="G265" s="428"/>
      <c r="H265" s="428"/>
      <c r="I265" s="428"/>
      <c r="J265" s="428"/>
      <c r="K265" s="428"/>
      <c r="L265" s="428"/>
      <c r="M265" s="590">
        <f>C265*D265</f>
        <v>2.5350000000000001</v>
      </c>
      <c r="N265" s="949"/>
    </row>
    <row r="266" spans="1:14" s="942" customFormat="1" ht="15.75" customHeight="1">
      <c r="A266" s="451"/>
      <c r="B266" s="682"/>
      <c r="C266" s="428">
        <f>C265</f>
        <v>3.9</v>
      </c>
      <c r="D266" s="428"/>
      <c r="E266" s="428">
        <f>E264</f>
        <v>0.2</v>
      </c>
      <c r="F266" s="428"/>
      <c r="G266" s="428"/>
      <c r="H266" s="428"/>
      <c r="I266" s="428"/>
      <c r="J266" s="428">
        <v>1</v>
      </c>
      <c r="K266" s="428"/>
      <c r="L266" s="428"/>
      <c r="M266" s="1550">
        <f>C266*E266*J266</f>
        <v>0.78</v>
      </c>
      <c r="N266" s="949"/>
    </row>
    <row r="267" spans="1:14" s="942" customFormat="1" ht="15.75" customHeight="1">
      <c r="A267" s="451"/>
      <c r="B267" s="682"/>
      <c r="C267" s="428">
        <f>D265</f>
        <v>0.65</v>
      </c>
      <c r="D267" s="428"/>
      <c r="E267" s="428">
        <f>E266</f>
        <v>0.2</v>
      </c>
      <c r="F267" s="428"/>
      <c r="G267" s="428"/>
      <c r="H267" s="428"/>
      <c r="I267" s="428"/>
      <c r="J267" s="428">
        <v>2</v>
      </c>
      <c r="K267" s="428"/>
      <c r="L267" s="428"/>
      <c r="M267" s="590">
        <f>C267*E267*J267</f>
        <v>0.26</v>
      </c>
      <c r="N267" s="949"/>
    </row>
    <row r="268" spans="1:14" s="942" customFormat="1" ht="15.75" customHeight="1">
      <c r="A268" s="451"/>
      <c r="B268" s="389"/>
      <c r="C268" s="428"/>
      <c r="D268" s="428"/>
      <c r="E268" s="428"/>
      <c r="F268" s="428"/>
      <c r="G268" s="428"/>
      <c r="H268" s="428"/>
      <c r="I268" s="428"/>
      <c r="J268" s="428"/>
      <c r="K268" s="428"/>
      <c r="L268" s="428"/>
      <c r="M268" s="841">
        <f>SUM(M259:M267)</f>
        <v>11.9575</v>
      </c>
      <c r="N268" s="955" t="s">
        <v>89</v>
      </c>
    </row>
    <row r="269" spans="1:14" s="942" customFormat="1" ht="15.75" customHeight="1">
      <c r="A269" s="451" t="s">
        <v>98</v>
      </c>
      <c r="B269" s="389" t="s">
        <v>1794</v>
      </c>
      <c r="C269" s="428"/>
      <c r="D269" s="428"/>
      <c r="E269" s="428"/>
      <c r="F269" s="428"/>
      <c r="G269" s="428"/>
      <c r="H269" s="428"/>
      <c r="I269" s="428"/>
      <c r="J269" s="428"/>
      <c r="K269" s="428"/>
      <c r="L269" s="428"/>
      <c r="M269" s="428"/>
      <c r="N269" s="949"/>
    </row>
    <row r="270" spans="1:14" s="942" customFormat="1" ht="15.75" customHeight="1">
      <c r="A270" s="451"/>
      <c r="B270" s="682" t="str">
        <f>B259</f>
        <v>Tampak Belakang</v>
      </c>
      <c r="C270" s="428">
        <f>C259</f>
        <v>5.35</v>
      </c>
      <c r="D270" s="428">
        <f>D259</f>
        <v>0.65</v>
      </c>
      <c r="E270" s="428"/>
      <c r="F270" s="428"/>
      <c r="G270" s="428"/>
      <c r="H270" s="428"/>
      <c r="I270" s="428"/>
      <c r="J270" s="428">
        <v>2</v>
      </c>
      <c r="K270" s="428"/>
      <c r="L270" s="428"/>
      <c r="M270" s="428">
        <f>C270*D270*J270</f>
        <v>6.9550000000000001</v>
      </c>
      <c r="N270" s="949"/>
    </row>
    <row r="271" spans="1:14" s="942" customFormat="1" ht="15.75" customHeight="1">
      <c r="A271" s="451"/>
      <c r="B271" s="682" t="str">
        <f>B262</f>
        <v>Tampak Samping Kanan</v>
      </c>
      <c r="C271" s="428">
        <f>C262</f>
        <v>3.9</v>
      </c>
      <c r="D271" s="428">
        <f>D262</f>
        <v>0.65</v>
      </c>
      <c r="E271" s="428"/>
      <c r="F271" s="428"/>
      <c r="G271" s="428"/>
      <c r="H271" s="428"/>
      <c r="I271" s="428"/>
      <c r="J271" s="428">
        <f>J270</f>
        <v>2</v>
      </c>
      <c r="K271" s="428"/>
      <c r="L271" s="428"/>
      <c r="M271" s="428">
        <f>C271*D271*J271</f>
        <v>5.07</v>
      </c>
      <c r="N271" s="949"/>
    </row>
    <row r="272" spans="1:14" s="942" customFormat="1" ht="15.75" customHeight="1">
      <c r="A272" s="451"/>
      <c r="B272" s="682" t="str">
        <f>B265</f>
        <v>Tampak Samping Kiri</v>
      </c>
      <c r="C272" s="428">
        <f>C265</f>
        <v>3.9</v>
      </c>
      <c r="D272" s="428">
        <f>D265</f>
        <v>0.65</v>
      </c>
      <c r="E272" s="428"/>
      <c r="F272" s="428"/>
      <c r="G272" s="428"/>
      <c r="H272" s="428"/>
      <c r="I272" s="428"/>
      <c r="J272" s="428">
        <f>J271</f>
        <v>2</v>
      </c>
      <c r="K272" s="428"/>
      <c r="L272" s="428"/>
      <c r="M272" s="590">
        <f>C272*D272*J272</f>
        <v>5.07</v>
      </c>
      <c r="N272" s="949"/>
    </row>
    <row r="273" spans="1:14" s="942" customFormat="1" ht="15.75" customHeight="1">
      <c r="A273" s="451"/>
      <c r="B273" s="389"/>
      <c r="C273" s="428"/>
      <c r="D273" s="428"/>
      <c r="E273" s="428"/>
      <c r="F273" s="428"/>
      <c r="G273" s="428"/>
      <c r="H273" s="428"/>
      <c r="I273" s="428"/>
      <c r="J273" s="428"/>
      <c r="K273" s="428"/>
      <c r="L273" s="428"/>
      <c r="M273" s="841">
        <f>SUM(M270:M272)</f>
        <v>17.094999999999999</v>
      </c>
      <c r="N273" s="955" t="s">
        <v>89</v>
      </c>
    </row>
    <row r="274" spans="1:14" s="942" customFormat="1" ht="15.75" customHeight="1">
      <c r="A274" s="451" t="s">
        <v>101</v>
      </c>
      <c r="B274" s="389" t="s">
        <v>1043</v>
      </c>
      <c r="C274" s="428" t="s">
        <v>1795</v>
      </c>
      <c r="D274" s="428"/>
      <c r="E274" s="428"/>
      <c r="F274" s="428"/>
      <c r="G274" s="428"/>
      <c r="H274" s="428"/>
      <c r="I274" s="428"/>
      <c r="J274" s="428"/>
      <c r="K274" s="428"/>
      <c r="L274" s="428"/>
      <c r="M274" s="443">
        <f>M273*0.12</f>
        <v>2.0513999999999997</v>
      </c>
      <c r="N274" s="955" t="s">
        <v>103</v>
      </c>
    </row>
    <row r="275" spans="1:14" s="942" customFormat="1" ht="15.75" customHeight="1">
      <c r="A275" s="394">
        <f>A257+1</f>
        <v>17</v>
      </c>
      <c r="B275" s="389" t="s">
        <v>1796</v>
      </c>
      <c r="C275" s="428"/>
      <c r="D275" s="428"/>
      <c r="E275" s="428"/>
      <c r="F275" s="428"/>
      <c r="G275" s="428"/>
      <c r="H275" s="428"/>
      <c r="I275" s="428"/>
      <c r="J275" s="428"/>
      <c r="K275" s="428"/>
      <c r="L275" s="428"/>
      <c r="M275" s="428"/>
      <c r="N275" s="949"/>
    </row>
    <row r="276" spans="1:14" s="942" customFormat="1" ht="15.75" customHeight="1">
      <c r="A276" s="451" t="s">
        <v>95</v>
      </c>
      <c r="B276" s="389" t="s">
        <v>1797</v>
      </c>
      <c r="C276" s="428"/>
      <c r="D276" s="428"/>
      <c r="E276" s="428"/>
      <c r="F276" s="428"/>
      <c r="G276" s="428"/>
      <c r="H276" s="428"/>
      <c r="I276" s="428"/>
      <c r="J276" s="428"/>
      <c r="K276" s="428"/>
      <c r="L276" s="428"/>
      <c r="M276" s="428"/>
      <c r="N276" s="949"/>
    </row>
    <row r="277" spans="1:14" s="942" customFormat="1" ht="15.75" customHeight="1">
      <c r="A277" s="451"/>
      <c r="B277" s="682" t="s">
        <v>1798</v>
      </c>
      <c r="C277" s="428">
        <v>3.5</v>
      </c>
      <c r="D277" s="428"/>
      <c r="E277" s="428">
        <v>0.5</v>
      </c>
      <c r="F277" s="428"/>
      <c r="G277" s="428"/>
      <c r="H277" s="428"/>
      <c r="I277" s="428"/>
      <c r="J277" s="428">
        <v>2</v>
      </c>
      <c r="K277" s="428"/>
      <c r="L277" s="428">
        <v>2</v>
      </c>
      <c r="M277" s="428">
        <f>C277*E277*J277*L277</f>
        <v>7</v>
      </c>
      <c r="N277" s="949"/>
    </row>
    <row r="278" spans="1:14" s="942" customFormat="1" ht="15.75" customHeight="1">
      <c r="A278" s="451"/>
      <c r="B278" s="682" t="s">
        <v>1799</v>
      </c>
      <c r="C278" s="428">
        <v>5</v>
      </c>
      <c r="D278" s="428"/>
      <c r="E278" s="428">
        <f>E277</f>
        <v>0.5</v>
      </c>
      <c r="F278" s="428"/>
      <c r="G278" s="428"/>
      <c r="H278" s="428"/>
      <c r="I278" s="428"/>
      <c r="J278" s="428">
        <f>J277</f>
        <v>2</v>
      </c>
      <c r="K278" s="428"/>
      <c r="L278" s="428">
        <v>1</v>
      </c>
      <c r="M278" s="590">
        <f>C278*E278*J278*L278</f>
        <v>5</v>
      </c>
      <c r="N278" s="949"/>
    </row>
    <row r="279" spans="1:14" s="942" customFormat="1" ht="15.75" customHeight="1">
      <c r="A279" s="451"/>
      <c r="B279" s="389"/>
      <c r="C279" s="428"/>
      <c r="D279" s="428"/>
      <c r="E279" s="428"/>
      <c r="F279" s="428"/>
      <c r="G279" s="428"/>
      <c r="H279" s="428"/>
      <c r="I279" s="428"/>
      <c r="J279" s="428"/>
      <c r="K279" s="428"/>
      <c r="L279" s="428"/>
      <c r="M279" s="841">
        <f>SUM(M277:M278)</f>
        <v>12</v>
      </c>
      <c r="N279" s="955" t="s">
        <v>89</v>
      </c>
    </row>
    <row r="280" spans="1:14" s="942" customFormat="1" ht="15.75" customHeight="1">
      <c r="A280" s="451" t="s">
        <v>98</v>
      </c>
      <c r="B280" s="389" t="s">
        <v>1228</v>
      </c>
      <c r="C280" s="428"/>
      <c r="D280" s="428"/>
      <c r="E280" s="428"/>
      <c r="F280" s="428"/>
      <c r="G280" s="428"/>
      <c r="H280" s="428"/>
      <c r="I280" s="428"/>
      <c r="J280" s="428"/>
      <c r="K280" s="428"/>
      <c r="L280" s="428"/>
      <c r="M280" s="428"/>
      <c r="N280" s="949"/>
    </row>
    <row r="281" spans="1:14" s="942" customFormat="1" ht="15.75" customHeight="1">
      <c r="A281" s="451"/>
      <c r="B281" s="682" t="str">
        <f>B277</f>
        <v>Entrance samping</v>
      </c>
      <c r="C281" s="428"/>
      <c r="D281" s="428"/>
      <c r="E281" s="428"/>
      <c r="F281" s="428"/>
      <c r="G281" s="428"/>
      <c r="H281" s="428"/>
      <c r="I281" s="428"/>
      <c r="J281" s="428"/>
      <c r="K281" s="428"/>
      <c r="L281" s="428"/>
      <c r="M281" s="428"/>
      <c r="N281" s="949"/>
    </row>
    <row r="282" spans="1:14" s="942" customFormat="1" ht="15.75" customHeight="1">
      <c r="A282" s="451"/>
      <c r="B282" s="682" t="s">
        <v>136</v>
      </c>
      <c r="C282" s="428"/>
      <c r="D282" s="428"/>
      <c r="E282" s="428">
        <f>E278</f>
        <v>0.5</v>
      </c>
      <c r="F282" s="428">
        <v>0.35</v>
      </c>
      <c r="G282" s="428"/>
      <c r="H282" s="428"/>
      <c r="I282" s="428">
        <f>8*8*0.006165</f>
        <v>0.39456000000000002</v>
      </c>
      <c r="J282" s="428"/>
      <c r="K282" s="428">
        <f>ROUNDUP((C277/0.2),0.5)+1</f>
        <v>19</v>
      </c>
      <c r="L282" s="428">
        <f>L277</f>
        <v>2</v>
      </c>
      <c r="M282" s="428">
        <f>(E282+F282)*I282*K282*L282</f>
        <v>12.744288000000001</v>
      </c>
      <c r="N282" s="949"/>
    </row>
    <row r="283" spans="1:14" s="942" customFormat="1" ht="15.75" customHeight="1">
      <c r="A283" s="451"/>
      <c r="B283" s="682" t="str">
        <f>B278</f>
        <v>Entrance depan</v>
      </c>
      <c r="C283" s="428"/>
      <c r="D283" s="428"/>
      <c r="E283" s="428"/>
      <c r="F283" s="428"/>
      <c r="G283" s="428"/>
      <c r="H283" s="428"/>
      <c r="I283" s="428"/>
      <c r="J283" s="428"/>
      <c r="K283" s="428"/>
      <c r="L283" s="428"/>
      <c r="M283" s="590"/>
      <c r="N283" s="949"/>
    </row>
    <row r="284" spans="1:14" s="942" customFormat="1" ht="15.75" customHeight="1">
      <c r="A284" s="451"/>
      <c r="B284" s="682" t="str">
        <f>B282</f>
        <v>Vertikal</v>
      </c>
      <c r="C284" s="428"/>
      <c r="D284" s="428"/>
      <c r="E284" s="428">
        <f>E282</f>
        <v>0.5</v>
      </c>
      <c r="F284" s="428">
        <f>F282</f>
        <v>0.35</v>
      </c>
      <c r="G284" s="428"/>
      <c r="H284" s="428"/>
      <c r="I284" s="428">
        <f>I282</f>
        <v>0.39456000000000002</v>
      </c>
      <c r="J284" s="428"/>
      <c r="K284" s="428">
        <f>ROUNDUP((C278/0.2),0.5)+1</f>
        <v>26</v>
      </c>
      <c r="L284" s="428">
        <f>L278</f>
        <v>1</v>
      </c>
      <c r="M284" s="452">
        <f>(E284+F284)*I284*K284*L284</f>
        <v>8.7197759999999995</v>
      </c>
      <c r="N284" s="949"/>
    </row>
    <row r="285" spans="1:14" s="942" customFormat="1" ht="15.75" customHeight="1">
      <c r="A285" s="451"/>
      <c r="B285" s="389"/>
      <c r="C285" s="428"/>
      <c r="D285" s="428"/>
      <c r="E285" s="428"/>
      <c r="F285" s="428"/>
      <c r="G285" s="428"/>
      <c r="H285" s="428"/>
      <c r="I285" s="428"/>
      <c r="J285" s="428"/>
      <c r="K285" s="428"/>
      <c r="L285" s="428"/>
      <c r="M285" s="841">
        <f>SUM(M282:M284)</f>
        <v>21.464064</v>
      </c>
      <c r="N285" s="955" t="s">
        <v>100</v>
      </c>
    </row>
    <row r="286" spans="1:14" s="942" customFormat="1" ht="15.75" customHeight="1">
      <c r="A286" s="451" t="s">
        <v>101</v>
      </c>
      <c r="B286" s="389" t="s">
        <v>1800</v>
      </c>
      <c r="C286" s="428"/>
      <c r="D286" s="428"/>
      <c r="E286" s="428"/>
      <c r="F286" s="428"/>
      <c r="G286" s="428"/>
      <c r="H286" s="428"/>
      <c r="I286" s="428"/>
      <c r="J286" s="428"/>
      <c r="K286" s="428"/>
      <c r="L286" s="428"/>
      <c r="M286" s="428"/>
      <c r="N286" s="949"/>
    </row>
    <row r="287" spans="1:14" s="942" customFormat="1" ht="15.75" customHeight="1">
      <c r="A287" s="451"/>
      <c r="B287" s="682" t="str">
        <f>B281</f>
        <v>Entrance samping</v>
      </c>
      <c r="C287" s="428"/>
      <c r="D287" s="428"/>
      <c r="E287" s="428"/>
      <c r="F287" s="428"/>
      <c r="G287" s="428"/>
      <c r="H287" s="428"/>
      <c r="I287" s="428"/>
      <c r="J287" s="428"/>
      <c r="K287" s="428"/>
      <c r="L287" s="428"/>
      <c r="M287" s="428"/>
      <c r="N287" s="949"/>
    </row>
    <row r="288" spans="1:14" s="942" customFormat="1" ht="15.75" customHeight="1">
      <c r="A288" s="451"/>
      <c r="B288" s="682" t="s">
        <v>1044</v>
      </c>
      <c r="C288" s="428">
        <f>C277</f>
        <v>3.5</v>
      </c>
      <c r="D288" s="428"/>
      <c r="E288" s="428"/>
      <c r="F288" s="428"/>
      <c r="G288" s="428"/>
      <c r="H288" s="428"/>
      <c r="I288" s="428">
        <f>6*6*0.006165</f>
        <v>0.22194000000000003</v>
      </c>
      <c r="J288" s="428"/>
      <c r="K288" s="428">
        <f>ROUNDUP((E282/0.2),0.5)+1</f>
        <v>4</v>
      </c>
      <c r="L288" s="428">
        <f>L282</f>
        <v>2</v>
      </c>
      <c r="M288" s="428">
        <f>C288*I288*K288*L288</f>
        <v>6.2143200000000007</v>
      </c>
      <c r="N288" s="949"/>
    </row>
    <row r="289" spans="1:14" s="942" customFormat="1" ht="15.75" customHeight="1">
      <c r="A289" s="451"/>
      <c r="B289" s="682" t="str">
        <f>B283</f>
        <v>Entrance depan</v>
      </c>
      <c r="C289" s="428"/>
      <c r="D289" s="428"/>
      <c r="E289" s="428"/>
      <c r="F289" s="428"/>
      <c r="G289" s="428"/>
      <c r="H289" s="428"/>
      <c r="I289" s="428"/>
      <c r="J289" s="428"/>
      <c r="K289" s="428"/>
      <c r="L289" s="428"/>
      <c r="M289" s="428"/>
      <c r="N289" s="949"/>
    </row>
    <row r="290" spans="1:14" s="942" customFormat="1" ht="15.75" customHeight="1">
      <c r="A290" s="451"/>
      <c r="B290" s="682" t="str">
        <f>B288</f>
        <v>Horisontal</v>
      </c>
      <c r="C290" s="428">
        <f>C278</f>
        <v>5</v>
      </c>
      <c r="D290" s="428"/>
      <c r="E290" s="428"/>
      <c r="F290" s="428"/>
      <c r="G290" s="428"/>
      <c r="H290" s="428"/>
      <c r="I290" s="428">
        <f>I288</f>
        <v>0.22194000000000003</v>
      </c>
      <c r="J290" s="428"/>
      <c r="K290" s="428">
        <f>ROUNDUP((E284/0.2),0.5)+1</f>
        <v>4</v>
      </c>
      <c r="L290" s="428">
        <f>L284</f>
        <v>1</v>
      </c>
      <c r="M290" s="590">
        <f>C290*I290*K290*L290</f>
        <v>4.4388000000000005</v>
      </c>
      <c r="N290" s="949"/>
    </row>
    <row r="291" spans="1:14" s="942" customFormat="1" ht="15.75" customHeight="1">
      <c r="A291" s="451"/>
      <c r="B291" s="389"/>
      <c r="C291" s="428"/>
      <c r="D291" s="428"/>
      <c r="E291" s="428"/>
      <c r="F291" s="428"/>
      <c r="G291" s="428"/>
      <c r="H291" s="428"/>
      <c r="I291" s="428"/>
      <c r="J291" s="428"/>
      <c r="K291" s="428"/>
      <c r="L291" s="428"/>
      <c r="M291" s="841">
        <f>SUM(M288:M290)</f>
        <v>10.653120000000001</v>
      </c>
      <c r="N291" s="955" t="s">
        <v>100</v>
      </c>
    </row>
    <row r="292" spans="1:14" s="942" customFormat="1" ht="15.75" customHeight="1">
      <c r="A292" s="451" t="s">
        <v>121</v>
      </c>
      <c r="B292" s="389" t="s">
        <v>1043</v>
      </c>
      <c r="C292" s="428"/>
      <c r="D292" s="428"/>
      <c r="E292" s="428"/>
      <c r="F292" s="428"/>
      <c r="G292" s="428"/>
      <c r="H292" s="428"/>
      <c r="I292" s="428"/>
      <c r="J292" s="428"/>
      <c r="K292" s="428"/>
      <c r="L292" s="428"/>
      <c r="M292" s="428"/>
      <c r="N292" s="949"/>
    </row>
    <row r="293" spans="1:14" s="942" customFormat="1" ht="15.75" customHeight="1">
      <c r="A293" s="451"/>
      <c r="B293" s="682" t="str">
        <f>B287</f>
        <v>Entrance samping</v>
      </c>
      <c r="C293" s="428">
        <f>C277</f>
        <v>3.5</v>
      </c>
      <c r="D293" s="428">
        <v>0.08</v>
      </c>
      <c r="E293" s="428">
        <f>E282</f>
        <v>0.5</v>
      </c>
      <c r="F293" s="428"/>
      <c r="G293" s="428"/>
      <c r="H293" s="428"/>
      <c r="I293" s="428"/>
      <c r="J293" s="428"/>
      <c r="K293" s="428"/>
      <c r="L293" s="428">
        <f>L288</f>
        <v>2</v>
      </c>
      <c r="M293" s="428">
        <f>C293*D293*E293*L293</f>
        <v>0.28000000000000003</v>
      </c>
      <c r="N293" s="949"/>
    </row>
    <row r="294" spans="1:14" s="942" customFormat="1" ht="15.75" customHeight="1">
      <c r="A294" s="451"/>
      <c r="B294" s="682" t="str">
        <f>B289</f>
        <v>Entrance depan</v>
      </c>
      <c r="C294" s="428">
        <f>C278</f>
        <v>5</v>
      </c>
      <c r="D294" s="428">
        <f>D293</f>
        <v>0.08</v>
      </c>
      <c r="E294" s="428">
        <f>E293</f>
        <v>0.5</v>
      </c>
      <c r="F294" s="428"/>
      <c r="G294" s="428"/>
      <c r="H294" s="428"/>
      <c r="I294" s="428"/>
      <c r="J294" s="428"/>
      <c r="K294" s="428"/>
      <c r="L294" s="428">
        <f>L290</f>
        <v>1</v>
      </c>
      <c r="M294" s="590">
        <f>C294*D294*E294*L294</f>
        <v>0.2</v>
      </c>
      <c r="N294" s="949"/>
    </row>
    <row r="295" spans="1:14" s="942" customFormat="1" ht="15.75" customHeight="1">
      <c r="A295" s="451"/>
      <c r="B295" s="389"/>
      <c r="C295" s="428"/>
      <c r="D295" s="428"/>
      <c r="E295" s="428"/>
      <c r="F295" s="428"/>
      <c r="G295" s="428"/>
      <c r="H295" s="428"/>
      <c r="I295" s="428"/>
      <c r="J295" s="428"/>
      <c r="K295" s="428"/>
      <c r="L295" s="428"/>
      <c r="M295" s="841">
        <f>SUM(M293:M294)</f>
        <v>0.48000000000000004</v>
      </c>
      <c r="N295" s="955" t="s">
        <v>103</v>
      </c>
    </row>
    <row r="296" spans="1:14" s="942" customFormat="1" ht="15.75" customHeight="1">
      <c r="A296" s="394">
        <f>A275+1</f>
        <v>18</v>
      </c>
      <c r="B296" s="389" t="s">
        <v>1083</v>
      </c>
      <c r="C296" s="428"/>
      <c r="D296" s="428"/>
      <c r="E296" s="428"/>
      <c r="F296" s="428"/>
      <c r="G296" s="428"/>
      <c r="H296" s="428"/>
      <c r="I296" s="428"/>
      <c r="J296" s="428"/>
      <c r="K296" s="428"/>
      <c r="L296" s="428"/>
      <c r="M296" s="428"/>
      <c r="N296" s="949"/>
    </row>
    <row r="297" spans="1:14" s="942" customFormat="1" ht="15.75" customHeight="1">
      <c r="A297" s="451" t="s">
        <v>95</v>
      </c>
      <c r="B297" s="389" t="s">
        <v>211</v>
      </c>
      <c r="C297" s="428"/>
      <c r="D297" s="428"/>
      <c r="E297" s="428"/>
      <c r="F297" s="428"/>
      <c r="G297" s="428"/>
      <c r="H297" s="428"/>
      <c r="I297" s="428"/>
      <c r="J297" s="428"/>
      <c r="K297" s="428"/>
      <c r="L297" s="428"/>
      <c r="M297" s="428"/>
      <c r="N297" s="949"/>
    </row>
    <row r="298" spans="1:14" s="942" customFormat="1" ht="15.75" customHeight="1">
      <c r="A298" s="451"/>
      <c r="B298" s="682" t="s">
        <v>1665</v>
      </c>
      <c r="C298" s="428">
        <v>10</v>
      </c>
      <c r="D298" s="428"/>
      <c r="E298" s="428">
        <v>0.12</v>
      </c>
      <c r="F298" s="428"/>
      <c r="G298" s="428"/>
      <c r="H298" s="428"/>
      <c r="I298" s="428"/>
      <c r="J298" s="428">
        <v>2</v>
      </c>
      <c r="K298" s="428"/>
      <c r="L298" s="428"/>
      <c r="M298" s="428">
        <f>C298*E298*J298</f>
        <v>2.4</v>
      </c>
      <c r="N298" s="949"/>
    </row>
    <row r="299" spans="1:14" s="942" customFormat="1" ht="15.75" customHeight="1">
      <c r="A299" s="451"/>
      <c r="B299" s="389"/>
      <c r="C299" s="428"/>
      <c r="D299" s="428">
        <v>9</v>
      </c>
      <c r="E299" s="428">
        <f>E298</f>
        <v>0.12</v>
      </c>
      <c r="F299" s="428"/>
      <c r="G299" s="428"/>
      <c r="H299" s="428"/>
      <c r="I299" s="428"/>
      <c r="J299" s="428">
        <f>J298</f>
        <v>2</v>
      </c>
      <c r="K299" s="428"/>
      <c r="L299" s="428"/>
      <c r="M299" s="590">
        <f>D299*E299*J299</f>
        <v>2.16</v>
      </c>
      <c r="N299" s="949"/>
    </row>
    <row r="300" spans="1:14" s="942" customFormat="1" ht="15.75" customHeight="1">
      <c r="A300" s="451"/>
      <c r="B300" s="389"/>
      <c r="C300" s="428"/>
      <c r="D300" s="428"/>
      <c r="E300" s="428"/>
      <c r="F300" s="428"/>
      <c r="G300" s="428"/>
      <c r="H300" s="428"/>
      <c r="I300" s="428"/>
      <c r="J300" s="428"/>
      <c r="K300" s="428"/>
      <c r="L300" s="428"/>
      <c r="M300" s="841">
        <f>SUM(M298:M299)</f>
        <v>4.5600000000000005</v>
      </c>
      <c r="N300" s="955" t="s">
        <v>89</v>
      </c>
    </row>
    <row r="301" spans="1:14" s="942" customFormat="1" ht="15.75" customHeight="1">
      <c r="A301" s="451" t="s">
        <v>98</v>
      </c>
      <c r="B301" s="389" t="s">
        <v>1635</v>
      </c>
      <c r="C301" s="428">
        <f>C298</f>
        <v>10</v>
      </c>
      <c r="D301" s="428">
        <f>D299</f>
        <v>9</v>
      </c>
      <c r="E301" s="428"/>
      <c r="F301" s="428"/>
      <c r="G301" s="428"/>
      <c r="H301" s="428"/>
      <c r="I301" s="428"/>
      <c r="J301" s="428"/>
      <c r="K301" s="428"/>
      <c r="L301" s="428"/>
      <c r="M301" s="428">
        <f>C301*D301</f>
        <v>90</v>
      </c>
      <c r="N301" s="949" t="s">
        <v>89</v>
      </c>
    </row>
    <row r="302" spans="1:14" s="942" customFormat="1" ht="15.75" customHeight="1">
      <c r="A302" s="451" t="s">
        <v>101</v>
      </c>
      <c r="B302" s="389" t="s">
        <v>1043</v>
      </c>
      <c r="C302" s="428">
        <f>C301</f>
        <v>10</v>
      </c>
      <c r="D302" s="428">
        <f>D301</f>
        <v>9</v>
      </c>
      <c r="E302" s="428">
        <f>E299</f>
        <v>0.12</v>
      </c>
      <c r="F302" s="428"/>
      <c r="G302" s="428"/>
      <c r="H302" s="428"/>
      <c r="I302" s="428"/>
      <c r="J302" s="428"/>
      <c r="K302" s="428"/>
      <c r="L302" s="428"/>
      <c r="M302" s="428">
        <f>C302*D302*E302</f>
        <v>10.799999999999999</v>
      </c>
      <c r="N302" s="949" t="s">
        <v>103</v>
      </c>
    </row>
    <row r="303" spans="1:14" s="942" customFormat="1" ht="15.75" customHeight="1">
      <c r="A303" s="394">
        <f>A296+1</f>
        <v>19</v>
      </c>
      <c r="B303" s="872" t="s">
        <v>1801</v>
      </c>
      <c r="C303" s="428"/>
      <c r="D303" s="428"/>
      <c r="E303" s="428"/>
      <c r="F303" s="428"/>
      <c r="G303" s="428"/>
      <c r="H303" s="428"/>
      <c r="I303" s="428"/>
      <c r="J303" s="428"/>
      <c r="K303" s="428"/>
      <c r="L303" s="428"/>
      <c r="M303" s="428"/>
      <c r="N303" s="949"/>
    </row>
    <row r="304" spans="1:14" s="942" customFormat="1" ht="15.75" customHeight="1">
      <c r="A304" s="1549"/>
      <c r="B304" s="963" t="s">
        <v>1802</v>
      </c>
      <c r="C304" s="428">
        <v>9</v>
      </c>
      <c r="D304" s="428">
        <f>D301</f>
        <v>9</v>
      </c>
      <c r="E304" s="428"/>
      <c r="F304" s="428"/>
      <c r="G304" s="428"/>
      <c r="H304" s="428"/>
      <c r="I304" s="428"/>
      <c r="J304" s="428"/>
      <c r="K304" s="428"/>
      <c r="L304" s="428"/>
      <c r="M304" s="428">
        <f>C304*D304</f>
        <v>81</v>
      </c>
      <c r="N304" s="949"/>
    </row>
    <row r="305" spans="1:14" s="942" customFormat="1" ht="15.75" customHeight="1">
      <c r="A305" s="1549"/>
      <c r="B305" s="963" t="s">
        <v>1785</v>
      </c>
      <c r="C305" s="428">
        <v>3</v>
      </c>
      <c r="D305" s="428">
        <v>1</v>
      </c>
      <c r="E305" s="428"/>
      <c r="F305" s="428"/>
      <c r="G305" s="428"/>
      <c r="H305" s="428"/>
      <c r="I305" s="428"/>
      <c r="J305" s="428"/>
      <c r="K305" s="428"/>
      <c r="L305" s="428"/>
      <c r="M305" s="428">
        <f>C305*D305</f>
        <v>3</v>
      </c>
      <c r="N305" s="949"/>
    </row>
    <row r="306" spans="1:14" s="942" customFormat="1" ht="15.75" customHeight="1">
      <c r="A306" s="1549"/>
      <c r="B306" s="963" t="s">
        <v>1803</v>
      </c>
      <c r="C306" s="428">
        <v>8</v>
      </c>
      <c r="D306" s="428"/>
      <c r="E306" s="428">
        <v>0.2</v>
      </c>
      <c r="F306" s="428"/>
      <c r="G306" s="428"/>
      <c r="H306" s="428"/>
      <c r="I306" s="428"/>
      <c r="J306" s="428">
        <v>2</v>
      </c>
      <c r="K306" s="428">
        <v>2</v>
      </c>
      <c r="L306" s="428"/>
      <c r="M306" s="428">
        <f>C306*E306*J306*K306</f>
        <v>6.4</v>
      </c>
      <c r="N306" s="949"/>
    </row>
    <row r="307" spans="1:14" s="942" customFormat="1" ht="15.75" customHeight="1">
      <c r="A307" s="1549"/>
      <c r="B307" s="963"/>
      <c r="C307" s="428"/>
      <c r="D307" s="428">
        <v>7</v>
      </c>
      <c r="E307" s="428">
        <f>E306</f>
        <v>0.2</v>
      </c>
      <c r="F307" s="428"/>
      <c r="G307" s="428"/>
      <c r="H307" s="428"/>
      <c r="I307" s="428"/>
      <c r="J307" s="428">
        <f>J306</f>
        <v>2</v>
      </c>
      <c r="K307" s="428">
        <f>K306</f>
        <v>2</v>
      </c>
      <c r="L307" s="428"/>
      <c r="M307" s="428">
        <f>D307*E307*J307*K307</f>
        <v>5.6000000000000005</v>
      </c>
      <c r="N307" s="949"/>
    </row>
    <row r="308" spans="1:14" s="942" customFormat="1" ht="15.75" customHeight="1">
      <c r="A308" s="1549"/>
      <c r="B308" s="906" t="s">
        <v>1804</v>
      </c>
      <c r="C308" s="428"/>
      <c r="D308" s="428"/>
      <c r="E308" s="428"/>
      <c r="F308" s="428"/>
      <c r="G308" s="428"/>
      <c r="H308" s="428"/>
      <c r="I308" s="428"/>
      <c r="J308" s="428"/>
      <c r="K308" s="428"/>
      <c r="L308" s="428"/>
      <c r="M308" s="428"/>
      <c r="N308" s="949"/>
    </row>
    <row r="309" spans="1:14" s="942" customFormat="1" ht="15.75" customHeight="1">
      <c r="A309" s="1549"/>
      <c r="B309" s="682" t="s">
        <v>1791</v>
      </c>
      <c r="C309" s="428">
        <f>C259</f>
        <v>5.35</v>
      </c>
      <c r="D309" s="428">
        <f>D259</f>
        <v>0.65</v>
      </c>
      <c r="E309" s="428"/>
      <c r="F309" s="428"/>
      <c r="G309" s="428"/>
      <c r="H309" s="428"/>
      <c r="I309" s="428"/>
      <c r="J309" s="428"/>
      <c r="K309" s="428"/>
      <c r="L309" s="428"/>
      <c r="M309" s="428">
        <f>C309*D309</f>
        <v>3.4775</v>
      </c>
      <c r="N309" s="949"/>
    </row>
    <row r="310" spans="1:14" s="942" customFormat="1" ht="15.75" customHeight="1">
      <c r="A310" s="1549"/>
      <c r="B310" s="682" t="s">
        <v>1792</v>
      </c>
      <c r="C310" s="428">
        <f>C262</f>
        <v>3.9</v>
      </c>
      <c r="D310" s="428">
        <f>D262</f>
        <v>0.65</v>
      </c>
      <c r="E310" s="428"/>
      <c r="F310" s="428"/>
      <c r="G310" s="428"/>
      <c r="H310" s="428"/>
      <c r="I310" s="428"/>
      <c r="J310" s="428"/>
      <c r="K310" s="428"/>
      <c r="L310" s="428"/>
      <c r="M310" s="428">
        <f>C310*D310</f>
        <v>2.5350000000000001</v>
      </c>
      <c r="N310" s="949"/>
    </row>
    <row r="311" spans="1:14" s="942" customFormat="1" ht="15.75" customHeight="1">
      <c r="A311" s="1549"/>
      <c r="B311" s="682" t="s">
        <v>1793</v>
      </c>
      <c r="C311" s="428">
        <f>C265</f>
        <v>3.9</v>
      </c>
      <c r="D311" s="428">
        <f>D265</f>
        <v>0.65</v>
      </c>
      <c r="E311" s="428"/>
      <c r="F311" s="428"/>
      <c r="G311" s="428"/>
      <c r="H311" s="428"/>
      <c r="I311" s="428"/>
      <c r="J311" s="428"/>
      <c r="K311" s="428"/>
      <c r="L311" s="428"/>
      <c r="M311" s="590">
        <f>C311*D311</f>
        <v>2.5350000000000001</v>
      </c>
      <c r="N311" s="949"/>
    </row>
    <row r="312" spans="1:14" s="942" customFormat="1" ht="15.75" customHeight="1">
      <c r="A312" s="1549"/>
      <c r="B312" s="1461"/>
      <c r="C312" s="428"/>
      <c r="D312" s="428"/>
      <c r="E312" s="428"/>
      <c r="F312" s="428"/>
      <c r="G312" s="428"/>
      <c r="H312" s="428"/>
      <c r="I312" s="428"/>
      <c r="J312" s="428"/>
      <c r="K312" s="428"/>
      <c r="L312" s="428"/>
      <c r="M312" s="841">
        <f>SUM(M304:M311)</f>
        <v>104.5475</v>
      </c>
      <c r="N312" s="955" t="s">
        <v>89</v>
      </c>
    </row>
    <row r="313" spans="1:14" s="942" customFormat="1" ht="15.75" customHeight="1">
      <c r="A313" s="425" t="s">
        <v>1805</v>
      </c>
      <c r="B313" s="446" t="s">
        <v>434</v>
      </c>
      <c r="C313" s="428"/>
      <c r="D313" s="428"/>
      <c r="E313" s="428"/>
      <c r="F313" s="428"/>
      <c r="G313" s="428"/>
      <c r="H313" s="428"/>
      <c r="I313" s="428"/>
      <c r="J313" s="428"/>
      <c r="K313" s="428"/>
      <c r="L313" s="428"/>
      <c r="M313" s="428"/>
      <c r="N313" s="949"/>
    </row>
    <row r="314" spans="1:14" s="942" customFormat="1" ht="15.75" customHeight="1">
      <c r="A314" s="836">
        <v>1</v>
      </c>
      <c r="B314" s="389" t="s">
        <v>629</v>
      </c>
      <c r="C314" s="428"/>
      <c r="D314" s="428"/>
      <c r="E314" s="428"/>
      <c r="F314" s="428"/>
      <c r="G314" s="428"/>
      <c r="H314" s="428"/>
      <c r="I314" s="428"/>
      <c r="J314" s="428"/>
      <c r="K314" s="428"/>
      <c r="L314" s="428"/>
      <c r="M314" s="428"/>
      <c r="N314" s="949"/>
    </row>
    <row r="315" spans="1:14" s="942" customFormat="1" ht="15.75" customHeight="1">
      <c r="A315" s="836"/>
      <c r="B315" s="926" t="s">
        <v>1806</v>
      </c>
      <c r="C315" s="428">
        <v>9</v>
      </c>
      <c r="D315" s="428"/>
      <c r="E315" s="428">
        <v>4.9000000000000004</v>
      </c>
      <c r="F315" s="428"/>
      <c r="G315" s="428"/>
      <c r="H315" s="428"/>
      <c r="I315" s="428"/>
      <c r="J315" s="428"/>
      <c r="K315" s="428"/>
      <c r="L315" s="428">
        <v>1</v>
      </c>
      <c r="M315" s="428">
        <f>C315*E315*L315</f>
        <v>44.1</v>
      </c>
      <c r="N315" s="949"/>
    </row>
    <row r="316" spans="1:14" s="942" customFormat="1" ht="15.75" customHeight="1">
      <c r="A316" s="836"/>
      <c r="B316" s="682" t="s">
        <v>1807</v>
      </c>
      <c r="C316" s="428">
        <v>1</v>
      </c>
      <c r="D316" s="428"/>
      <c r="E316" s="428">
        <f>E315</f>
        <v>4.9000000000000004</v>
      </c>
      <c r="F316" s="428"/>
      <c r="G316" s="428"/>
      <c r="H316" s="428"/>
      <c r="I316" s="428"/>
      <c r="J316" s="428"/>
      <c r="K316" s="428"/>
      <c r="L316" s="428">
        <v>2</v>
      </c>
      <c r="M316" s="428">
        <f>C316*E316*L316</f>
        <v>9.8000000000000007</v>
      </c>
      <c r="N316" s="949"/>
    </row>
    <row r="317" spans="1:14" s="942" customFormat="1" ht="15.75" customHeight="1">
      <c r="A317" s="836"/>
      <c r="B317" s="682" t="s">
        <v>1808</v>
      </c>
      <c r="C317" s="428"/>
      <c r="D317" s="428">
        <v>1</v>
      </c>
      <c r="E317" s="428">
        <v>2.85</v>
      </c>
      <c r="F317" s="428"/>
      <c r="G317" s="428"/>
      <c r="H317" s="428"/>
      <c r="I317" s="428"/>
      <c r="J317" s="428"/>
      <c r="K317" s="428"/>
      <c r="L317" s="428">
        <v>1</v>
      </c>
      <c r="M317" s="428">
        <f>-D317*E317*L317</f>
        <v>-2.85</v>
      </c>
      <c r="N317" s="949"/>
    </row>
    <row r="318" spans="1:14" s="942" customFormat="1" ht="15.75" customHeight="1">
      <c r="A318" s="836"/>
      <c r="B318" s="682" t="s">
        <v>1146</v>
      </c>
      <c r="C318" s="428">
        <v>1.35</v>
      </c>
      <c r="D318" s="428"/>
      <c r="E318" s="428">
        <v>0.48</v>
      </c>
      <c r="F318" s="428"/>
      <c r="G318" s="428"/>
      <c r="H318" s="428"/>
      <c r="I318" s="428"/>
      <c r="J318" s="428"/>
      <c r="K318" s="428"/>
      <c r="L318" s="428">
        <v>1</v>
      </c>
      <c r="M318" s="428">
        <f>-C318*E318*L318</f>
        <v>-0.64800000000000002</v>
      </c>
      <c r="N318" s="949"/>
    </row>
    <row r="319" spans="1:14" s="942" customFormat="1" ht="15.75" customHeight="1">
      <c r="A319" s="836"/>
      <c r="B319" s="926" t="s">
        <v>1792</v>
      </c>
      <c r="C319" s="428">
        <v>8</v>
      </c>
      <c r="D319" s="428"/>
      <c r="E319" s="428">
        <f>E316</f>
        <v>4.9000000000000004</v>
      </c>
      <c r="F319" s="428"/>
      <c r="G319" s="428"/>
      <c r="H319" s="428"/>
      <c r="I319" s="428"/>
      <c r="J319" s="428"/>
      <c r="K319" s="428"/>
      <c r="L319" s="428">
        <v>2</v>
      </c>
      <c r="M319" s="428">
        <f>C319*E319*L319</f>
        <v>78.400000000000006</v>
      </c>
      <c r="N319" s="949"/>
    </row>
    <row r="320" spans="1:14" s="942" customFormat="1" ht="15.75" customHeight="1">
      <c r="A320" s="836"/>
      <c r="B320" s="682" t="s">
        <v>1809</v>
      </c>
      <c r="C320" s="428">
        <v>2.0499999999999998</v>
      </c>
      <c r="D320" s="428"/>
      <c r="E320" s="428">
        <v>4.4000000000000004</v>
      </c>
      <c r="F320" s="428"/>
      <c r="G320" s="428"/>
      <c r="H320" s="428"/>
      <c r="I320" s="428"/>
      <c r="J320" s="428"/>
      <c r="K320" s="428"/>
      <c r="L320" s="428">
        <v>1</v>
      </c>
      <c r="M320" s="428">
        <f>C320*E320*L320</f>
        <v>9.02</v>
      </c>
      <c r="N320" s="949"/>
    </row>
    <row r="321" spans="1:14" s="942" customFormat="1" ht="15.75" customHeight="1">
      <c r="A321" s="836"/>
      <c r="B321" s="682" t="s">
        <v>1810</v>
      </c>
      <c r="C321" s="428"/>
      <c r="D321" s="428">
        <v>0.2</v>
      </c>
      <c r="E321" s="428">
        <v>2.8</v>
      </c>
      <c r="F321" s="428"/>
      <c r="G321" s="428"/>
      <c r="H321" s="428"/>
      <c r="I321" s="428"/>
      <c r="J321" s="428"/>
      <c r="K321" s="428"/>
      <c r="L321" s="428">
        <v>6</v>
      </c>
      <c r="M321" s="428">
        <f>-D321*E321*L321</f>
        <v>-3.3599999999999994</v>
      </c>
      <c r="N321" s="949"/>
    </row>
    <row r="322" spans="1:14" s="942" customFormat="1" ht="15.75" customHeight="1">
      <c r="A322" s="836"/>
      <c r="B322" s="682" t="s">
        <v>1282</v>
      </c>
      <c r="C322" s="428"/>
      <c r="D322" s="428">
        <v>1.7</v>
      </c>
      <c r="E322" s="428">
        <v>2.15</v>
      </c>
      <c r="F322" s="428"/>
      <c r="G322" s="428"/>
      <c r="H322" s="428"/>
      <c r="I322" s="428"/>
      <c r="J322" s="428"/>
      <c r="K322" s="428"/>
      <c r="L322" s="428">
        <v>1</v>
      </c>
      <c r="M322" s="428">
        <f>-D322*E322*L322</f>
        <v>-3.6549999999999998</v>
      </c>
      <c r="N322" s="949"/>
    </row>
    <row r="323" spans="1:14" s="942" customFormat="1" ht="15.75" customHeight="1">
      <c r="A323" s="836"/>
      <c r="B323" s="682" t="s">
        <v>1811</v>
      </c>
      <c r="C323" s="428">
        <v>2.56</v>
      </c>
      <c r="D323" s="428"/>
      <c r="E323" s="428">
        <v>1.94</v>
      </c>
      <c r="F323" s="428"/>
      <c r="G323" s="428"/>
      <c r="H323" s="428"/>
      <c r="I323" s="428"/>
      <c r="J323" s="428"/>
      <c r="K323" s="428"/>
      <c r="L323" s="428">
        <v>2</v>
      </c>
      <c r="M323" s="428">
        <f>-C323*E323*L323</f>
        <v>-9.9328000000000003</v>
      </c>
      <c r="N323" s="949"/>
    </row>
    <row r="324" spans="1:14" s="942" customFormat="1" ht="15.75" customHeight="1">
      <c r="A324" s="836"/>
      <c r="B324" s="926" t="s">
        <v>1793</v>
      </c>
      <c r="C324" s="428">
        <v>8</v>
      </c>
      <c r="D324" s="428"/>
      <c r="E324" s="428">
        <f>E321</f>
        <v>2.8</v>
      </c>
      <c r="F324" s="428"/>
      <c r="G324" s="428"/>
      <c r="H324" s="428"/>
      <c r="I324" s="428"/>
      <c r="J324" s="428"/>
      <c r="K324" s="428"/>
      <c r="L324" s="428">
        <v>2</v>
      </c>
      <c r="M324" s="428">
        <f>C324*E324*L324</f>
        <v>44.8</v>
      </c>
      <c r="N324" s="949"/>
    </row>
    <row r="325" spans="1:14" s="942" customFormat="1" ht="15.75" customHeight="1">
      <c r="A325" s="836"/>
      <c r="B325" s="682" t="s">
        <v>1809</v>
      </c>
      <c r="C325" s="428">
        <v>2.0499999999999998</v>
      </c>
      <c r="D325" s="428"/>
      <c r="E325" s="428">
        <v>4.4000000000000004</v>
      </c>
      <c r="F325" s="428"/>
      <c r="G325" s="428"/>
      <c r="H325" s="428"/>
      <c r="I325" s="428"/>
      <c r="J325" s="428"/>
      <c r="K325" s="428"/>
      <c r="L325" s="428">
        <v>1</v>
      </c>
      <c r="M325" s="428">
        <f>C325*E325*L325</f>
        <v>9.02</v>
      </c>
      <c r="N325" s="949"/>
    </row>
    <row r="326" spans="1:14" s="942" customFormat="1" ht="15.75" customHeight="1">
      <c r="A326" s="836"/>
      <c r="B326" s="682" t="s">
        <v>1810</v>
      </c>
      <c r="C326" s="428"/>
      <c r="D326" s="428">
        <v>0.2</v>
      </c>
      <c r="E326" s="428">
        <v>2.8</v>
      </c>
      <c r="F326" s="428"/>
      <c r="G326" s="428"/>
      <c r="H326" s="428"/>
      <c r="I326" s="428"/>
      <c r="J326" s="428"/>
      <c r="K326" s="428"/>
      <c r="L326" s="428">
        <v>6</v>
      </c>
      <c r="M326" s="428">
        <f>-D326*E326*L326</f>
        <v>-3.3599999999999994</v>
      </c>
      <c r="N326" s="949"/>
    </row>
    <row r="327" spans="1:14" s="942" customFormat="1" ht="15.75" customHeight="1">
      <c r="A327" s="836"/>
      <c r="B327" s="682" t="s">
        <v>1282</v>
      </c>
      <c r="C327" s="428"/>
      <c r="D327" s="428">
        <v>1.7</v>
      </c>
      <c r="E327" s="428">
        <v>2.15</v>
      </c>
      <c r="F327" s="428"/>
      <c r="G327" s="428"/>
      <c r="H327" s="428"/>
      <c r="I327" s="428"/>
      <c r="J327" s="428"/>
      <c r="K327" s="428"/>
      <c r="L327" s="428">
        <v>1</v>
      </c>
      <c r="M327" s="428">
        <f>-D327*E327*L327</f>
        <v>-3.6549999999999998</v>
      </c>
      <c r="N327" s="949"/>
    </row>
    <row r="328" spans="1:14" s="942" customFormat="1" ht="15.75" customHeight="1">
      <c r="A328" s="836"/>
      <c r="B328" s="682" t="s">
        <v>1811</v>
      </c>
      <c r="C328" s="428">
        <v>2.56</v>
      </c>
      <c r="D328" s="428"/>
      <c r="E328" s="428">
        <v>1.94</v>
      </c>
      <c r="F328" s="428"/>
      <c r="G328" s="428"/>
      <c r="H328" s="428"/>
      <c r="I328" s="428"/>
      <c r="J328" s="428"/>
      <c r="K328" s="428"/>
      <c r="L328" s="428">
        <v>2</v>
      </c>
      <c r="M328" s="428">
        <f>-C328*E328*L328</f>
        <v>-9.9328000000000003</v>
      </c>
      <c r="N328" s="949"/>
    </row>
    <row r="329" spans="1:14" s="942" customFormat="1" ht="15.75" customHeight="1">
      <c r="A329" s="836"/>
      <c r="B329" s="926" t="s">
        <v>1791</v>
      </c>
      <c r="C329" s="428">
        <v>9</v>
      </c>
      <c r="D329" s="428"/>
      <c r="E329" s="428">
        <v>4.9000000000000004</v>
      </c>
      <c r="F329" s="428"/>
      <c r="G329" s="428"/>
      <c r="H329" s="428"/>
      <c r="I329" s="428"/>
      <c r="J329" s="428"/>
      <c r="K329" s="428"/>
      <c r="L329" s="428">
        <v>1</v>
      </c>
      <c r="M329" s="428">
        <f>C329*E329*L329</f>
        <v>44.1</v>
      </c>
      <c r="N329" s="949"/>
    </row>
    <row r="330" spans="1:14" s="942" customFormat="1" ht="15.75" customHeight="1">
      <c r="A330" s="836"/>
      <c r="B330" s="682" t="s">
        <v>1282</v>
      </c>
      <c r="C330" s="428"/>
      <c r="D330" s="428">
        <v>1.7</v>
      </c>
      <c r="E330" s="428">
        <v>2.15</v>
      </c>
      <c r="F330" s="428"/>
      <c r="G330" s="428"/>
      <c r="H330" s="428"/>
      <c r="I330" s="428"/>
      <c r="J330" s="428"/>
      <c r="K330" s="428"/>
      <c r="L330" s="428">
        <v>1</v>
      </c>
      <c r="M330" s="428">
        <f>-D330*E330*L330</f>
        <v>-3.6549999999999998</v>
      </c>
      <c r="N330" s="949"/>
    </row>
    <row r="331" spans="1:14" s="942" customFormat="1" ht="15.75" customHeight="1">
      <c r="A331" s="836"/>
      <c r="B331" s="682" t="s">
        <v>1812</v>
      </c>
      <c r="C331" s="428">
        <v>1.72</v>
      </c>
      <c r="D331" s="428"/>
      <c r="E331" s="428">
        <v>1.94</v>
      </c>
      <c r="F331" s="428"/>
      <c r="G331" s="428"/>
      <c r="H331" s="428"/>
      <c r="I331" s="428"/>
      <c r="J331" s="428"/>
      <c r="K331" s="428"/>
      <c r="L331" s="428">
        <v>2</v>
      </c>
      <c r="M331" s="590">
        <f>-C331*E331*L331</f>
        <v>-6.6735999999999995</v>
      </c>
      <c r="N331" s="949"/>
    </row>
    <row r="332" spans="1:14" s="942" customFormat="1" ht="15.75" customHeight="1">
      <c r="A332" s="836"/>
      <c r="B332" s="682"/>
      <c r="C332" s="428"/>
      <c r="D332" s="428"/>
      <c r="E332" s="428"/>
      <c r="F332" s="428"/>
      <c r="G332" s="428"/>
      <c r="H332" s="428"/>
      <c r="I332" s="428"/>
      <c r="J332" s="428"/>
      <c r="K332" s="428"/>
      <c r="L332" s="428"/>
      <c r="M332" s="841">
        <f>SUM(M315:M331)</f>
        <v>191.51780000000005</v>
      </c>
      <c r="N332" s="955" t="s">
        <v>89</v>
      </c>
    </row>
    <row r="333" spans="1:14" s="942" customFormat="1" ht="15.75" customHeight="1">
      <c r="A333" s="836">
        <f>A314+1</f>
        <v>2</v>
      </c>
      <c r="B333" s="389" t="s">
        <v>193</v>
      </c>
      <c r="C333" s="428" t="s">
        <v>1813</v>
      </c>
      <c r="D333" s="428"/>
      <c r="E333" s="428"/>
      <c r="F333" s="428"/>
      <c r="G333" s="428"/>
      <c r="H333" s="428"/>
      <c r="I333" s="428"/>
      <c r="J333" s="428"/>
      <c r="K333" s="428"/>
      <c r="L333" s="428"/>
      <c r="M333" s="428">
        <f>M332*2</f>
        <v>383.0356000000001</v>
      </c>
      <c r="N333" s="949" t="s">
        <v>89</v>
      </c>
    </row>
    <row r="334" spans="1:14" s="942" customFormat="1" ht="15.75" customHeight="1">
      <c r="A334" s="836">
        <f>A333+1</f>
        <v>3</v>
      </c>
      <c r="B334" s="389" t="s">
        <v>194</v>
      </c>
      <c r="C334" s="428"/>
      <c r="D334" s="428"/>
      <c r="E334" s="428"/>
      <c r="F334" s="428"/>
      <c r="G334" s="428"/>
      <c r="H334" s="428"/>
      <c r="I334" s="428"/>
      <c r="J334" s="428"/>
      <c r="K334" s="428"/>
      <c r="L334" s="428"/>
      <c r="M334" s="428"/>
      <c r="N334" s="949"/>
    </row>
    <row r="335" spans="1:14" s="942" customFormat="1" ht="15.75" customHeight="1">
      <c r="A335" s="836"/>
      <c r="B335" s="682" t="s">
        <v>1148</v>
      </c>
      <c r="C335" s="428"/>
      <c r="D335" s="428"/>
      <c r="E335" s="428"/>
      <c r="F335" s="428"/>
      <c r="G335" s="428"/>
      <c r="H335" s="428"/>
      <c r="I335" s="428"/>
      <c r="J335" s="428"/>
      <c r="K335" s="428"/>
      <c r="L335" s="428"/>
      <c r="M335" s="428">
        <f>M333</f>
        <v>383.0356000000001</v>
      </c>
      <c r="N335" s="949"/>
    </row>
    <row r="336" spans="1:14" s="942" customFormat="1" ht="15.75" customHeight="1">
      <c r="A336" s="836"/>
      <c r="B336" s="389" t="s">
        <v>1772</v>
      </c>
      <c r="C336" s="428"/>
      <c r="D336" s="428">
        <v>0.3</v>
      </c>
      <c r="E336" s="428">
        <f>E121</f>
        <v>3.8</v>
      </c>
      <c r="F336" s="428"/>
      <c r="G336" s="428"/>
      <c r="H336" s="428"/>
      <c r="I336" s="428"/>
      <c r="J336" s="428">
        <v>4</v>
      </c>
      <c r="K336" s="428"/>
      <c r="L336" s="428">
        <v>12</v>
      </c>
      <c r="M336" s="428">
        <f t="shared" ref="M336:M341" si="5">D336*E336*J336*L336</f>
        <v>54.72</v>
      </c>
      <c r="N336" s="949"/>
    </row>
    <row r="337" spans="1:14" s="942" customFormat="1" ht="15.75" customHeight="1">
      <c r="A337" s="836"/>
      <c r="B337" s="389" t="s">
        <v>1774</v>
      </c>
      <c r="C337" s="428"/>
      <c r="D337" s="428">
        <v>0.25</v>
      </c>
      <c r="E337" s="428">
        <f>E128</f>
        <v>3.4</v>
      </c>
      <c r="F337" s="428"/>
      <c r="G337" s="428"/>
      <c r="H337" s="428"/>
      <c r="I337" s="428"/>
      <c r="J337" s="428">
        <f>J336</f>
        <v>4</v>
      </c>
      <c r="K337" s="428"/>
      <c r="L337" s="428">
        <v>16</v>
      </c>
      <c r="M337" s="428">
        <f t="shared" si="5"/>
        <v>54.4</v>
      </c>
      <c r="N337" s="949"/>
    </row>
    <row r="338" spans="1:14" s="942" customFormat="1" ht="15.75" customHeight="1">
      <c r="A338" s="836"/>
      <c r="B338" s="389" t="s">
        <v>1776</v>
      </c>
      <c r="C338" s="428"/>
      <c r="D338" s="428">
        <v>0.25</v>
      </c>
      <c r="E338" s="428">
        <f>E144</f>
        <v>3.9</v>
      </c>
      <c r="F338" s="428"/>
      <c r="G338" s="428"/>
      <c r="H338" s="428"/>
      <c r="I338" s="428"/>
      <c r="J338" s="428">
        <v>2</v>
      </c>
      <c r="K338" s="428"/>
      <c r="L338" s="428">
        <v>8</v>
      </c>
      <c r="M338" s="428">
        <f t="shared" si="5"/>
        <v>15.6</v>
      </c>
      <c r="N338" s="949"/>
    </row>
    <row r="339" spans="1:14" s="942" customFormat="1" ht="15.75" customHeight="1">
      <c r="A339" s="836"/>
      <c r="B339" s="389"/>
      <c r="C339" s="428"/>
      <c r="D339" s="428">
        <v>0.65</v>
      </c>
      <c r="E339" s="428">
        <f>E338</f>
        <v>3.9</v>
      </c>
      <c r="F339" s="428"/>
      <c r="G339" s="428"/>
      <c r="H339" s="428"/>
      <c r="I339" s="428"/>
      <c r="J339" s="428">
        <f>J338</f>
        <v>2</v>
      </c>
      <c r="K339" s="428"/>
      <c r="L339" s="428">
        <f>L338</f>
        <v>8</v>
      </c>
      <c r="M339" s="428">
        <f t="shared" si="5"/>
        <v>40.56</v>
      </c>
      <c r="N339" s="949"/>
    </row>
    <row r="340" spans="1:14" s="942" customFormat="1" ht="15.75" customHeight="1">
      <c r="A340" s="836"/>
      <c r="B340" s="389" t="s">
        <v>1778</v>
      </c>
      <c r="C340" s="428"/>
      <c r="D340" s="428">
        <v>0.15</v>
      </c>
      <c r="E340" s="428">
        <f>E152</f>
        <v>3.9</v>
      </c>
      <c r="F340" s="428"/>
      <c r="G340" s="428"/>
      <c r="H340" s="428"/>
      <c r="I340" s="428"/>
      <c r="J340" s="428">
        <v>2</v>
      </c>
      <c r="K340" s="428"/>
      <c r="L340" s="428">
        <f>L157</f>
        <v>8</v>
      </c>
      <c r="M340" s="428">
        <f t="shared" si="5"/>
        <v>9.36</v>
      </c>
      <c r="N340" s="949"/>
    </row>
    <row r="341" spans="1:14" s="942" customFormat="1" ht="15.75" customHeight="1">
      <c r="A341" s="836"/>
      <c r="B341" s="389"/>
      <c r="C341" s="428"/>
      <c r="D341" s="428">
        <v>0.3</v>
      </c>
      <c r="E341" s="428">
        <f>E340</f>
        <v>3.9</v>
      </c>
      <c r="F341" s="428"/>
      <c r="G341" s="428"/>
      <c r="H341" s="428"/>
      <c r="I341" s="428"/>
      <c r="J341" s="428">
        <f>J340</f>
        <v>2</v>
      </c>
      <c r="K341" s="428"/>
      <c r="L341" s="428">
        <f>L340</f>
        <v>8</v>
      </c>
      <c r="M341" s="428">
        <f t="shared" si="5"/>
        <v>18.72</v>
      </c>
      <c r="N341" s="949"/>
    </row>
    <row r="342" spans="1:14" s="942" customFormat="1" ht="15.75" customHeight="1">
      <c r="A342" s="836"/>
      <c r="B342" s="682" t="s">
        <v>87</v>
      </c>
      <c r="C342" s="428">
        <v>9</v>
      </c>
      <c r="D342" s="428">
        <v>8</v>
      </c>
      <c r="E342" s="428"/>
      <c r="F342" s="428"/>
      <c r="G342" s="428"/>
      <c r="H342" s="428"/>
      <c r="I342" s="428"/>
      <c r="J342" s="428"/>
      <c r="K342" s="428"/>
      <c r="L342" s="428"/>
      <c r="M342" s="428">
        <f>C342*D342</f>
        <v>72</v>
      </c>
      <c r="N342" s="949"/>
    </row>
    <row r="343" spans="1:14" s="942" customFormat="1" ht="15.75" customHeight="1">
      <c r="A343" s="836"/>
      <c r="B343" s="682"/>
      <c r="C343" s="428">
        <v>3</v>
      </c>
      <c r="D343" s="428">
        <v>1</v>
      </c>
      <c r="E343" s="428"/>
      <c r="F343" s="428"/>
      <c r="G343" s="428"/>
      <c r="H343" s="428"/>
      <c r="I343" s="428"/>
      <c r="J343" s="428"/>
      <c r="K343" s="428"/>
      <c r="L343" s="428"/>
      <c r="M343" s="428">
        <f>C343*D343</f>
        <v>3</v>
      </c>
      <c r="N343" s="949"/>
    </row>
    <row r="344" spans="1:14" s="942" customFormat="1" ht="15.75" customHeight="1">
      <c r="A344" s="836"/>
      <c r="B344" s="682" t="s">
        <v>1814</v>
      </c>
      <c r="C344" s="428">
        <v>5</v>
      </c>
      <c r="D344" s="428"/>
      <c r="E344" s="428">
        <v>0.5</v>
      </c>
      <c r="F344" s="428"/>
      <c r="G344" s="428"/>
      <c r="H344" s="428"/>
      <c r="I344" s="428"/>
      <c r="J344" s="428">
        <v>2</v>
      </c>
      <c r="K344" s="428"/>
      <c r="L344" s="428">
        <v>1</v>
      </c>
      <c r="M344" s="428">
        <f>C344*E344*J344*L344</f>
        <v>5</v>
      </c>
      <c r="N344" s="949"/>
    </row>
    <row r="345" spans="1:14" s="942" customFormat="1" ht="15.75" customHeight="1">
      <c r="A345" s="836"/>
      <c r="B345" s="682"/>
      <c r="C345" s="428"/>
      <c r="D345" s="428">
        <v>3.5</v>
      </c>
      <c r="E345" s="428">
        <f>E344</f>
        <v>0.5</v>
      </c>
      <c r="F345" s="428"/>
      <c r="G345" s="428"/>
      <c r="H345" s="428"/>
      <c r="I345" s="428"/>
      <c r="J345" s="428">
        <f>J344</f>
        <v>2</v>
      </c>
      <c r="K345" s="428"/>
      <c r="L345" s="428">
        <v>2</v>
      </c>
      <c r="M345" s="590">
        <f>D345*E345*J345*L345</f>
        <v>7</v>
      </c>
      <c r="N345" s="949"/>
    </row>
    <row r="346" spans="1:14" s="942" customFormat="1" ht="15.75" customHeight="1">
      <c r="A346" s="836"/>
      <c r="B346" s="682"/>
      <c r="C346" s="428"/>
      <c r="D346" s="428"/>
      <c r="E346" s="428"/>
      <c r="F346" s="428"/>
      <c r="G346" s="428"/>
      <c r="H346" s="428"/>
      <c r="I346" s="428"/>
      <c r="J346" s="428"/>
      <c r="K346" s="428"/>
      <c r="L346" s="428"/>
      <c r="M346" s="841">
        <f>SUM(M335:M345)</f>
        <v>663.39560000000017</v>
      </c>
      <c r="N346" s="955" t="s">
        <v>89</v>
      </c>
    </row>
    <row r="347" spans="1:14" s="942" customFormat="1" ht="15.75" customHeight="1">
      <c r="A347" s="836">
        <f>A334+1</f>
        <v>4</v>
      </c>
      <c r="B347" s="389" t="s">
        <v>1815</v>
      </c>
      <c r="C347" s="428"/>
      <c r="D347" s="428"/>
      <c r="E347" s="428"/>
      <c r="F347" s="428"/>
      <c r="G347" s="428"/>
      <c r="H347" s="428"/>
      <c r="I347" s="428"/>
      <c r="J347" s="428"/>
      <c r="K347" s="428"/>
      <c r="L347" s="428"/>
      <c r="M347" s="428"/>
      <c r="N347" s="949"/>
    </row>
    <row r="348" spans="1:14" s="942" customFormat="1" ht="15.75" customHeight="1">
      <c r="A348" s="844" t="s">
        <v>95</v>
      </c>
      <c r="B348" s="389" t="s">
        <v>1816</v>
      </c>
      <c r="C348" s="428"/>
      <c r="D348" s="428"/>
      <c r="E348" s="428"/>
      <c r="F348" s="428"/>
      <c r="G348" s="428"/>
      <c r="H348" s="428"/>
      <c r="I348" s="428"/>
      <c r="J348" s="428"/>
      <c r="K348" s="428"/>
      <c r="L348" s="428"/>
      <c r="M348" s="428"/>
      <c r="N348" s="949"/>
    </row>
    <row r="349" spans="1:14" s="942" customFormat="1" ht="15.75" customHeight="1">
      <c r="A349" s="844"/>
      <c r="B349" s="389"/>
      <c r="C349" s="428"/>
      <c r="D349" s="428">
        <f>D327</f>
        <v>1.7</v>
      </c>
      <c r="E349" s="428"/>
      <c r="F349" s="428"/>
      <c r="G349" s="428"/>
      <c r="H349" s="428"/>
      <c r="I349" s="428"/>
      <c r="J349" s="428">
        <v>2</v>
      </c>
      <c r="K349" s="428">
        <v>1</v>
      </c>
      <c r="L349" s="428">
        <v>3</v>
      </c>
      <c r="M349" s="428">
        <f>D349*J349*K349*L349</f>
        <v>10.199999999999999</v>
      </c>
      <c r="N349" s="949"/>
    </row>
    <row r="350" spans="1:14" s="942" customFormat="1" ht="15.75" customHeight="1">
      <c r="A350" s="844"/>
      <c r="B350" s="389"/>
      <c r="C350" s="428"/>
      <c r="D350" s="428"/>
      <c r="E350" s="428">
        <f>E327</f>
        <v>2.15</v>
      </c>
      <c r="F350" s="428"/>
      <c r="G350" s="428"/>
      <c r="H350" s="428"/>
      <c r="I350" s="428"/>
      <c r="J350" s="428">
        <f>J349</f>
        <v>2</v>
      </c>
      <c r="K350" s="428">
        <v>2</v>
      </c>
      <c r="L350" s="428">
        <f>L349</f>
        <v>3</v>
      </c>
      <c r="M350" s="590">
        <f>E350*J350*K350*L350</f>
        <v>25.799999999999997</v>
      </c>
      <c r="N350" s="949"/>
    </row>
    <row r="351" spans="1:14" s="942" customFormat="1" ht="15.75" customHeight="1">
      <c r="A351" s="844"/>
      <c r="B351" s="389"/>
      <c r="C351" s="428"/>
      <c r="D351" s="428"/>
      <c r="E351" s="428"/>
      <c r="F351" s="428"/>
      <c r="G351" s="428"/>
      <c r="H351" s="428"/>
      <c r="I351" s="428"/>
      <c r="J351" s="428"/>
      <c r="K351" s="428"/>
      <c r="L351" s="428"/>
      <c r="M351" s="841">
        <f>SUM(M349:M350)</f>
        <v>36</v>
      </c>
      <c r="N351" s="955" t="s">
        <v>117</v>
      </c>
    </row>
    <row r="352" spans="1:14" s="942" customFormat="1" ht="15.75" customHeight="1">
      <c r="A352" s="844" t="s">
        <v>98</v>
      </c>
      <c r="B352" s="389" t="s">
        <v>1817</v>
      </c>
      <c r="C352" s="428"/>
      <c r="D352" s="428"/>
      <c r="E352" s="428"/>
      <c r="F352" s="428"/>
      <c r="G352" s="428"/>
      <c r="H352" s="428"/>
      <c r="I352" s="428"/>
      <c r="J352" s="428"/>
      <c r="K352" s="428"/>
      <c r="L352" s="428"/>
      <c r="M352" s="428"/>
      <c r="N352" s="949"/>
    </row>
    <row r="353" spans="1:14" s="942" customFormat="1" ht="15.75" customHeight="1">
      <c r="A353" s="844"/>
      <c r="B353" s="389"/>
      <c r="C353" s="428">
        <f>C331</f>
        <v>1.72</v>
      </c>
      <c r="D353" s="428"/>
      <c r="E353" s="428"/>
      <c r="F353" s="428"/>
      <c r="G353" s="428"/>
      <c r="H353" s="428"/>
      <c r="I353" s="428"/>
      <c r="J353" s="428">
        <f>J350</f>
        <v>2</v>
      </c>
      <c r="K353" s="428">
        <v>1</v>
      </c>
      <c r="L353" s="428">
        <v>4</v>
      </c>
      <c r="M353" s="428">
        <f>C353*J353*K353*L353</f>
        <v>13.76</v>
      </c>
      <c r="N353" s="949"/>
    </row>
    <row r="354" spans="1:14" s="942" customFormat="1" ht="15.75" customHeight="1">
      <c r="A354" s="844"/>
      <c r="B354" s="389"/>
      <c r="C354" s="428"/>
      <c r="D354" s="428"/>
      <c r="E354" s="428">
        <f>E331</f>
        <v>1.94</v>
      </c>
      <c r="F354" s="428"/>
      <c r="G354" s="428"/>
      <c r="H354" s="428"/>
      <c r="I354" s="428"/>
      <c r="J354" s="428">
        <f>J353</f>
        <v>2</v>
      </c>
      <c r="K354" s="428">
        <f>K353</f>
        <v>1</v>
      </c>
      <c r="L354" s="428">
        <f>L353</f>
        <v>4</v>
      </c>
      <c r="M354" s="590">
        <f>E354*J354*K354*L354</f>
        <v>15.52</v>
      </c>
      <c r="N354" s="949"/>
    </row>
    <row r="355" spans="1:14" s="942" customFormat="1" ht="15.75" customHeight="1">
      <c r="A355" s="844"/>
      <c r="B355" s="389"/>
      <c r="C355" s="428"/>
      <c r="D355" s="428"/>
      <c r="E355" s="428"/>
      <c r="F355" s="428"/>
      <c r="G355" s="428"/>
      <c r="H355" s="428"/>
      <c r="I355" s="428"/>
      <c r="J355" s="428"/>
      <c r="K355" s="428"/>
      <c r="L355" s="428"/>
      <c r="M355" s="841">
        <f>SUM(M353:M354)</f>
        <v>29.28</v>
      </c>
      <c r="N355" s="955" t="s">
        <v>117</v>
      </c>
    </row>
    <row r="356" spans="1:14" s="942" customFormat="1" ht="15.75" customHeight="1">
      <c r="A356" s="844" t="s">
        <v>101</v>
      </c>
      <c r="B356" s="389" t="s">
        <v>1818</v>
      </c>
      <c r="C356" s="428"/>
      <c r="D356" s="428"/>
      <c r="E356" s="428"/>
      <c r="F356" s="428"/>
      <c r="G356" s="428"/>
      <c r="H356" s="428"/>
      <c r="I356" s="428"/>
      <c r="J356" s="428"/>
      <c r="K356" s="428"/>
      <c r="L356" s="428"/>
      <c r="M356" s="428"/>
      <c r="N356" s="949"/>
    </row>
    <row r="357" spans="1:14" s="942" customFormat="1" ht="15.75" customHeight="1">
      <c r="A357" s="844"/>
      <c r="B357" s="389"/>
      <c r="C357" s="428">
        <f>C328</f>
        <v>2.56</v>
      </c>
      <c r="D357" s="428"/>
      <c r="E357" s="428"/>
      <c r="F357" s="428"/>
      <c r="G357" s="428"/>
      <c r="H357" s="428"/>
      <c r="I357" s="428"/>
      <c r="J357" s="428">
        <f>J354</f>
        <v>2</v>
      </c>
      <c r="K357" s="428">
        <v>2</v>
      </c>
      <c r="L357" s="428">
        <v>2</v>
      </c>
      <c r="M357" s="428">
        <f>C357*J357*K357*L357</f>
        <v>20.48</v>
      </c>
      <c r="N357" s="949"/>
    </row>
    <row r="358" spans="1:14" s="942" customFormat="1" ht="15.75" customHeight="1">
      <c r="A358" s="844"/>
      <c r="B358" s="389"/>
      <c r="C358" s="428"/>
      <c r="D358" s="428"/>
      <c r="E358" s="428">
        <f>E328</f>
        <v>1.94</v>
      </c>
      <c r="F358" s="428"/>
      <c r="G358" s="428"/>
      <c r="H358" s="428"/>
      <c r="I358" s="428"/>
      <c r="J358" s="428">
        <f>J357</f>
        <v>2</v>
      </c>
      <c r="K358" s="428">
        <f>K357</f>
        <v>2</v>
      </c>
      <c r="L358" s="428">
        <f>L357</f>
        <v>2</v>
      </c>
      <c r="M358" s="590">
        <f>E358*J358*K358*L358</f>
        <v>15.52</v>
      </c>
      <c r="N358" s="949"/>
    </row>
    <row r="359" spans="1:14" s="942" customFormat="1" ht="15.75" customHeight="1">
      <c r="A359" s="844"/>
      <c r="B359" s="389"/>
      <c r="C359" s="428"/>
      <c r="D359" s="428"/>
      <c r="E359" s="428"/>
      <c r="F359" s="428"/>
      <c r="G359" s="428"/>
      <c r="H359" s="428"/>
      <c r="I359" s="428"/>
      <c r="J359" s="428"/>
      <c r="K359" s="428"/>
      <c r="L359" s="428"/>
      <c r="M359" s="841">
        <f>SUM(M357:M358)</f>
        <v>36</v>
      </c>
      <c r="N359" s="955" t="s">
        <v>117</v>
      </c>
    </row>
    <row r="360" spans="1:14" s="942" customFormat="1" ht="15.75" customHeight="1">
      <c r="A360" s="844" t="s">
        <v>121</v>
      </c>
      <c r="B360" s="389" t="s">
        <v>1819</v>
      </c>
      <c r="C360" s="428"/>
      <c r="D360" s="428"/>
      <c r="E360" s="428"/>
      <c r="F360" s="428"/>
      <c r="G360" s="428"/>
      <c r="H360" s="428"/>
      <c r="I360" s="428"/>
      <c r="J360" s="428"/>
      <c r="K360" s="428"/>
      <c r="L360" s="428"/>
      <c r="M360" s="428"/>
      <c r="N360" s="949"/>
    </row>
    <row r="361" spans="1:14" s="942" customFormat="1" ht="15.75" customHeight="1">
      <c r="A361" s="844"/>
      <c r="B361" s="389"/>
      <c r="C361" s="428">
        <f>C318</f>
        <v>1.35</v>
      </c>
      <c r="D361" s="428"/>
      <c r="E361" s="428"/>
      <c r="F361" s="428"/>
      <c r="G361" s="428"/>
      <c r="H361" s="428"/>
      <c r="I361" s="428"/>
      <c r="J361" s="428">
        <f>J358</f>
        <v>2</v>
      </c>
      <c r="K361" s="428">
        <v>1</v>
      </c>
      <c r="L361" s="428">
        <v>1</v>
      </c>
      <c r="M361" s="428">
        <f>C361*J361*K361*L361</f>
        <v>2.7</v>
      </c>
      <c r="N361" s="949"/>
    </row>
    <row r="362" spans="1:14" s="942" customFormat="1" ht="15.75" customHeight="1">
      <c r="A362" s="844"/>
      <c r="B362" s="389"/>
      <c r="C362" s="428"/>
      <c r="D362" s="428"/>
      <c r="E362" s="428">
        <f>E318</f>
        <v>0.48</v>
      </c>
      <c r="F362" s="428"/>
      <c r="G362" s="428"/>
      <c r="H362" s="428"/>
      <c r="I362" s="428"/>
      <c r="J362" s="428">
        <f>J361</f>
        <v>2</v>
      </c>
      <c r="K362" s="428">
        <f>K361</f>
        <v>1</v>
      </c>
      <c r="L362" s="428">
        <f>L361</f>
        <v>1</v>
      </c>
      <c r="M362" s="590">
        <f>E362*J362*K362*L362</f>
        <v>0.96</v>
      </c>
      <c r="N362" s="949"/>
    </row>
    <row r="363" spans="1:14" s="942" customFormat="1" ht="15.75" customHeight="1">
      <c r="A363" s="844"/>
      <c r="B363" s="389"/>
      <c r="C363" s="428"/>
      <c r="D363" s="428"/>
      <c r="E363" s="428"/>
      <c r="F363" s="428"/>
      <c r="G363" s="428"/>
      <c r="H363" s="428"/>
      <c r="I363" s="428"/>
      <c r="J363" s="428"/>
      <c r="K363" s="428"/>
      <c r="L363" s="428"/>
      <c r="M363" s="841">
        <f>SUM(M361:M362)</f>
        <v>3.66</v>
      </c>
      <c r="N363" s="955" t="s">
        <v>117</v>
      </c>
    </row>
    <row r="364" spans="1:14" s="942" customFormat="1" ht="15.75" customHeight="1">
      <c r="A364" s="836">
        <f>A347+1</f>
        <v>5</v>
      </c>
      <c r="B364" s="389" t="s">
        <v>1820</v>
      </c>
      <c r="C364" s="428"/>
      <c r="D364" s="428"/>
      <c r="E364" s="428"/>
      <c r="F364" s="428"/>
      <c r="G364" s="428"/>
      <c r="H364" s="428"/>
      <c r="I364" s="428"/>
      <c r="J364" s="428"/>
      <c r="K364" s="428"/>
      <c r="L364" s="428"/>
      <c r="M364" s="428"/>
      <c r="N364" s="949"/>
    </row>
    <row r="365" spans="1:14" s="942" customFormat="1" ht="15.75" customHeight="1">
      <c r="A365" s="844" t="s">
        <v>95</v>
      </c>
      <c r="B365" s="389" t="s">
        <v>1821</v>
      </c>
      <c r="C365" s="428"/>
      <c r="D365" s="428"/>
      <c r="E365" s="428"/>
      <c r="F365" s="428"/>
      <c r="G365" s="428"/>
      <c r="H365" s="428"/>
      <c r="I365" s="428"/>
      <c r="J365" s="428"/>
      <c r="K365" s="428"/>
      <c r="L365" s="428"/>
      <c r="M365" s="428"/>
      <c r="N365" s="949"/>
    </row>
    <row r="366" spans="1:14" s="942" customFormat="1" ht="15.75" customHeight="1">
      <c r="A366" s="844"/>
      <c r="B366" s="682" t="s">
        <v>1185</v>
      </c>
      <c r="C366" s="428"/>
      <c r="D366" s="428">
        <v>0.8</v>
      </c>
      <c r="E366" s="428">
        <v>3.6</v>
      </c>
      <c r="F366" s="428"/>
      <c r="G366" s="428"/>
      <c r="H366" s="428"/>
      <c r="I366" s="428"/>
      <c r="J366" s="428"/>
      <c r="K366" s="428"/>
      <c r="L366" s="428">
        <v>2</v>
      </c>
      <c r="M366" s="428">
        <f>D366*E366*L366</f>
        <v>5.7600000000000007</v>
      </c>
      <c r="N366" s="949"/>
    </row>
    <row r="367" spans="1:14" s="942" customFormat="1" ht="15.75" customHeight="1">
      <c r="A367" s="844"/>
      <c r="B367" s="682" t="s">
        <v>1822</v>
      </c>
      <c r="C367" s="428">
        <v>3.15</v>
      </c>
      <c r="D367" s="428"/>
      <c r="E367" s="428">
        <v>0.8</v>
      </c>
      <c r="F367" s="428"/>
      <c r="G367" s="428"/>
      <c r="H367" s="428"/>
      <c r="I367" s="428"/>
      <c r="J367" s="428"/>
      <c r="K367" s="428"/>
      <c r="L367" s="428">
        <v>1</v>
      </c>
      <c r="M367" s="590">
        <f>C367*E367*L367</f>
        <v>2.52</v>
      </c>
      <c r="N367" s="949"/>
    </row>
    <row r="368" spans="1:14" s="942" customFormat="1" ht="15.75" customHeight="1">
      <c r="A368" s="844"/>
      <c r="B368" s="389"/>
      <c r="C368" s="428"/>
      <c r="D368" s="428"/>
      <c r="E368" s="428"/>
      <c r="F368" s="428"/>
      <c r="G368" s="428"/>
      <c r="H368" s="428"/>
      <c r="I368" s="428"/>
      <c r="J368" s="428"/>
      <c r="K368" s="428"/>
      <c r="L368" s="428"/>
      <c r="M368" s="841">
        <f>SUM(M366:M367)</f>
        <v>8.2800000000000011</v>
      </c>
      <c r="N368" s="955" t="s">
        <v>89</v>
      </c>
    </row>
    <row r="369" spans="1:14" s="942" customFormat="1" ht="15.75" customHeight="1">
      <c r="A369" s="844" t="s">
        <v>98</v>
      </c>
      <c r="B369" s="389" t="s">
        <v>1791</v>
      </c>
      <c r="C369" s="428"/>
      <c r="D369" s="428"/>
      <c r="E369" s="428"/>
      <c r="F369" s="428"/>
      <c r="G369" s="428"/>
      <c r="H369" s="428"/>
      <c r="I369" s="428"/>
      <c r="J369" s="428"/>
      <c r="K369" s="428"/>
      <c r="L369" s="428"/>
      <c r="M369" s="428"/>
      <c r="N369" s="949"/>
    </row>
    <row r="370" spans="1:14" s="942" customFormat="1" ht="15.75" customHeight="1">
      <c r="A370" s="844"/>
      <c r="B370" s="682" t="s">
        <v>223</v>
      </c>
      <c r="C370" s="428"/>
      <c r="D370" s="428">
        <v>2</v>
      </c>
      <c r="E370" s="428">
        <v>4.4000000000000004</v>
      </c>
      <c r="F370" s="428"/>
      <c r="G370" s="428"/>
      <c r="H370" s="428"/>
      <c r="I370" s="428"/>
      <c r="J370" s="428"/>
      <c r="K370" s="428"/>
      <c r="L370" s="428">
        <v>1</v>
      </c>
      <c r="M370" s="428">
        <f>D370*E370*L370</f>
        <v>8.8000000000000007</v>
      </c>
      <c r="N370" s="949"/>
    </row>
    <row r="371" spans="1:14" s="942" customFormat="1" ht="15.75" customHeight="1">
      <c r="A371" s="844"/>
      <c r="B371" s="682" t="s">
        <v>1823</v>
      </c>
      <c r="C371" s="428">
        <v>4.95</v>
      </c>
      <c r="D371" s="428"/>
      <c r="E371" s="428">
        <v>4</v>
      </c>
      <c r="F371" s="428"/>
      <c r="G371" s="428"/>
      <c r="H371" s="428"/>
      <c r="I371" s="428"/>
      <c r="J371" s="428"/>
      <c r="K371" s="428"/>
      <c r="L371" s="428">
        <v>1</v>
      </c>
      <c r="M371" s="590">
        <f>C371*E371*L371</f>
        <v>19.8</v>
      </c>
      <c r="N371" s="949"/>
    </row>
    <row r="372" spans="1:14" s="942" customFormat="1" ht="15.75" customHeight="1">
      <c r="A372" s="844"/>
      <c r="B372" s="389"/>
      <c r="C372" s="428"/>
      <c r="D372" s="428"/>
      <c r="E372" s="428"/>
      <c r="F372" s="428"/>
      <c r="G372" s="428"/>
      <c r="H372" s="428"/>
      <c r="I372" s="428"/>
      <c r="J372" s="428"/>
      <c r="K372" s="428"/>
      <c r="L372" s="428"/>
      <c r="M372" s="841">
        <f>SUM(M370:M371)</f>
        <v>28.6</v>
      </c>
      <c r="N372" s="955" t="s">
        <v>89</v>
      </c>
    </row>
    <row r="373" spans="1:14" s="942" customFormat="1" ht="15.75" customHeight="1">
      <c r="A373" s="844" t="s">
        <v>101</v>
      </c>
      <c r="B373" s="389" t="s">
        <v>1792</v>
      </c>
      <c r="C373" s="428"/>
      <c r="D373" s="428"/>
      <c r="E373" s="428"/>
      <c r="F373" s="428"/>
      <c r="G373" s="428"/>
      <c r="H373" s="428"/>
      <c r="I373" s="428"/>
      <c r="J373" s="428"/>
      <c r="K373" s="428"/>
      <c r="L373" s="428"/>
      <c r="M373" s="428"/>
      <c r="N373" s="949"/>
    </row>
    <row r="374" spans="1:14" s="942" customFormat="1" ht="15.75" customHeight="1">
      <c r="A374" s="844"/>
      <c r="B374" s="682" t="s">
        <v>1824</v>
      </c>
      <c r="C374" s="428"/>
      <c r="D374" s="428">
        <v>2</v>
      </c>
      <c r="E374" s="428">
        <v>4.4000000000000004</v>
      </c>
      <c r="F374" s="428"/>
      <c r="G374" s="428"/>
      <c r="H374" s="428"/>
      <c r="I374" s="428"/>
      <c r="J374" s="428"/>
      <c r="K374" s="428"/>
      <c r="L374" s="428">
        <v>1</v>
      </c>
      <c r="M374" s="428">
        <f>D374*E374*L374</f>
        <v>8.8000000000000007</v>
      </c>
      <c r="N374" s="949"/>
    </row>
    <row r="375" spans="1:14" s="942" customFormat="1" ht="15.75" customHeight="1">
      <c r="A375" s="844"/>
      <c r="B375" s="682" t="s">
        <v>1576</v>
      </c>
      <c r="C375" s="428"/>
      <c r="D375" s="428">
        <v>1</v>
      </c>
      <c r="E375" s="428">
        <v>4.4000000000000004</v>
      </c>
      <c r="F375" s="428"/>
      <c r="G375" s="428"/>
      <c r="H375" s="428"/>
      <c r="I375" s="428"/>
      <c r="J375" s="428"/>
      <c r="K375" s="428"/>
      <c r="L375" s="428">
        <v>1</v>
      </c>
      <c r="M375" s="428">
        <f>D375*E375*L375</f>
        <v>4.4000000000000004</v>
      </c>
      <c r="N375" s="949"/>
    </row>
    <row r="376" spans="1:14" s="942" customFormat="1" ht="15.75" customHeight="1">
      <c r="A376" s="844"/>
      <c r="B376" s="682" t="s">
        <v>1823</v>
      </c>
      <c r="C376" s="428">
        <v>3.5</v>
      </c>
      <c r="D376" s="428"/>
      <c r="E376" s="428">
        <v>4</v>
      </c>
      <c r="F376" s="428"/>
      <c r="G376" s="428"/>
      <c r="H376" s="428"/>
      <c r="I376" s="428"/>
      <c r="J376" s="428"/>
      <c r="K376" s="428"/>
      <c r="L376" s="428">
        <v>1</v>
      </c>
      <c r="M376" s="590">
        <f>C376*E376*L376</f>
        <v>14</v>
      </c>
      <c r="N376" s="949"/>
    </row>
    <row r="377" spans="1:14" s="942" customFormat="1" ht="15.75" customHeight="1">
      <c r="A377" s="844"/>
      <c r="B377" s="389"/>
      <c r="C377" s="428"/>
      <c r="D377" s="428"/>
      <c r="E377" s="428"/>
      <c r="F377" s="428"/>
      <c r="G377" s="428"/>
      <c r="H377" s="428"/>
      <c r="I377" s="428"/>
      <c r="J377" s="428"/>
      <c r="K377" s="428"/>
      <c r="L377" s="428"/>
      <c r="M377" s="841">
        <f>SUM(M374:M376)</f>
        <v>27.200000000000003</v>
      </c>
      <c r="N377" s="955" t="s">
        <v>89</v>
      </c>
    </row>
    <row r="378" spans="1:14" s="942" customFormat="1" ht="15.75" customHeight="1">
      <c r="A378" s="844" t="s">
        <v>121</v>
      </c>
      <c r="B378" s="389" t="s">
        <v>1793</v>
      </c>
      <c r="C378" s="428"/>
      <c r="D378" s="428">
        <v>1</v>
      </c>
      <c r="E378" s="428">
        <v>4.4000000000000004</v>
      </c>
      <c r="F378" s="428"/>
      <c r="G378" s="428"/>
      <c r="H378" s="428"/>
      <c r="I378" s="428"/>
      <c r="J378" s="428"/>
      <c r="K378" s="428"/>
      <c r="L378" s="428">
        <v>1</v>
      </c>
      <c r="M378" s="428">
        <f>D378*E378*L378</f>
        <v>4.4000000000000004</v>
      </c>
      <c r="N378" s="949" t="s">
        <v>89</v>
      </c>
    </row>
    <row r="379" spans="1:14" s="942" customFormat="1" ht="15.75" customHeight="1">
      <c r="A379" s="836">
        <f>A364+1</f>
        <v>6</v>
      </c>
      <c r="B379" s="389" t="s">
        <v>1825</v>
      </c>
      <c r="C379" s="428"/>
      <c r="D379" s="428"/>
      <c r="E379" s="428"/>
      <c r="F379" s="428"/>
      <c r="G379" s="428"/>
      <c r="H379" s="428"/>
      <c r="I379" s="428"/>
      <c r="J379" s="428"/>
      <c r="K379" s="428"/>
      <c r="L379" s="428"/>
      <c r="M379" s="428"/>
      <c r="N379" s="949"/>
    </row>
    <row r="380" spans="1:14" s="942" customFormat="1" ht="15.75" customHeight="1">
      <c r="A380" s="836"/>
      <c r="B380" s="682" t="s">
        <v>1826</v>
      </c>
      <c r="C380" s="428">
        <v>9</v>
      </c>
      <c r="D380" s="428">
        <v>9</v>
      </c>
      <c r="E380" s="428"/>
      <c r="F380" s="428"/>
      <c r="G380" s="428"/>
      <c r="H380" s="428"/>
      <c r="I380" s="428"/>
      <c r="J380" s="428"/>
      <c r="K380" s="428"/>
      <c r="L380" s="428"/>
      <c r="M380" s="428">
        <f>C380*D380</f>
        <v>81</v>
      </c>
      <c r="N380" s="949"/>
    </row>
    <row r="381" spans="1:14" s="942" customFormat="1" ht="15.75" customHeight="1">
      <c r="A381" s="836"/>
      <c r="B381" s="682" t="s">
        <v>1827</v>
      </c>
      <c r="C381" s="428">
        <v>3</v>
      </c>
      <c r="D381" s="428">
        <v>1</v>
      </c>
      <c r="E381" s="428"/>
      <c r="F381" s="428"/>
      <c r="G381" s="428"/>
      <c r="H381" s="428"/>
      <c r="I381" s="428"/>
      <c r="J381" s="428"/>
      <c r="K381" s="428"/>
      <c r="L381" s="428"/>
      <c r="M381" s="428">
        <f>C381*D381</f>
        <v>3</v>
      </c>
      <c r="N381" s="949"/>
    </row>
    <row r="382" spans="1:14" s="942" customFormat="1" ht="15.75" customHeight="1">
      <c r="A382" s="836"/>
      <c r="B382" s="682" t="s">
        <v>1828</v>
      </c>
      <c r="C382" s="428">
        <v>3.5</v>
      </c>
      <c r="D382" s="428">
        <v>0.65</v>
      </c>
      <c r="E382" s="428"/>
      <c r="F382" s="428"/>
      <c r="G382" s="428"/>
      <c r="H382" s="428"/>
      <c r="I382" s="428"/>
      <c r="J382" s="428"/>
      <c r="K382" s="428"/>
      <c r="L382" s="428">
        <v>2</v>
      </c>
      <c r="M382" s="428">
        <f>C382*D382*L382</f>
        <v>4.55</v>
      </c>
      <c r="N382" s="949"/>
    </row>
    <row r="383" spans="1:14" s="942" customFormat="1" ht="15.75" customHeight="1">
      <c r="A383" s="836"/>
      <c r="B383" s="682" t="s">
        <v>1829</v>
      </c>
      <c r="C383" s="428">
        <f>C382</f>
        <v>3.5</v>
      </c>
      <c r="D383" s="428"/>
      <c r="E383" s="428">
        <v>0.18</v>
      </c>
      <c r="F383" s="428"/>
      <c r="G383" s="428"/>
      <c r="H383" s="428"/>
      <c r="I383" s="428"/>
      <c r="J383" s="428"/>
      <c r="K383" s="428">
        <v>2</v>
      </c>
      <c r="L383" s="428">
        <f>L382</f>
        <v>2</v>
      </c>
      <c r="M383" s="428">
        <f>C383*E383*K383*L383</f>
        <v>2.52</v>
      </c>
      <c r="N383" s="949"/>
    </row>
    <row r="384" spans="1:14" s="942" customFormat="1" ht="15.75" customHeight="1">
      <c r="A384" s="836"/>
      <c r="B384" s="682" t="s">
        <v>1830</v>
      </c>
      <c r="C384" s="428">
        <v>4.95</v>
      </c>
      <c r="D384" s="428">
        <v>0.65</v>
      </c>
      <c r="E384" s="428"/>
      <c r="F384" s="428"/>
      <c r="G384" s="428"/>
      <c r="H384" s="428"/>
      <c r="I384" s="428"/>
      <c r="J384" s="428"/>
      <c r="K384" s="428"/>
      <c r="L384" s="428">
        <v>1</v>
      </c>
      <c r="M384" s="428">
        <f>C384*D384*L384</f>
        <v>3.2175000000000002</v>
      </c>
      <c r="N384" s="949"/>
    </row>
    <row r="385" spans="1:14" s="942" customFormat="1" ht="15.75" customHeight="1">
      <c r="A385" s="836"/>
      <c r="B385" s="682" t="s">
        <v>1829</v>
      </c>
      <c r="C385" s="428">
        <f>C384</f>
        <v>4.95</v>
      </c>
      <c r="D385" s="428"/>
      <c r="E385" s="428">
        <v>0.18</v>
      </c>
      <c r="F385" s="428"/>
      <c r="G385" s="428"/>
      <c r="H385" s="428"/>
      <c r="I385" s="428"/>
      <c r="J385" s="428"/>
      <c r="K385" s="428">
        <v>2</v>
      </c>
      <c r="L385" s="428">
        <f>L384</f>
        <v>1</v>
      </c>
      <c r="M385" s="590">
        <f>C385*E385*K385*L385</f>
        <v>1.782</v>
      </c>
      <c r="N385" s="949"/>
    </row>
    <row r="386" spans="1:14" s="942" customFormat="1" ht="15.75" customHeight="1">
      <c r="A386" s="836"/>
      <c r="B386" s="682"/>
      <c r="C386" s="428"/>
      <c r="D386" s="428"/>
      <c r="E386" s="428"/>
      <c r="F386" s="428"/>
      <c r="G386" s="428"/>
      <c r="H386" s="428"/>
      <c r="I386" s="428"/>
      <c r="J386" s="428"/>
      <c r="K386" s="428"/>
      <c r="L386" s="428"/>
      <c r="M386" s="841">
        <f>SUM(M380:M385)</f>
        <v>96.069499999999991</v>
      </c>
      <c r="N386" s="955" t="s">
        <v>89</v>
      </c>
    </row>
    <row r="387" spans="1:14" s="942" customFormat="1" ht="15.75" customHeight="1">
      <c r="A387" s="836">
        <f>A379+1</f>
        <v>7</v>
      </c>
      <c r="B387" s="389" t="s">
        <v>1831</v>
      </c>
      <c r="C387" s="428"/>
      <c r="D387" s="428"/>
      <c r="E387" s="428"/>
      <c r="F387" s="428"/>
      <c r="G387" s="428"/>
      <c r="H387" s="428"/>
      <c r="I387" s="428"/>
      <c r="J387" s="428"/>
      <c r="K387" s="428"/>
      <c r="L387" s="428"/>
      <c r="M387" s="428"/>
      <c r="N387" s="949"/>
    </row>
    <row r="388" spans="1:14" s="942" customFormat="1" ht="15.75" customHeight="1">
      <c r="A388" s="836"/>
      <c r="B388" s="682" t="s">
        <v>1832</v>
      </c>
      <c r="C388" s="428">
        <v>8</v>
      </c>
      <c r="D388" s="428"/>
      <c r="E388" s="428"/>
      <c r="F388" s="428"/>
      <c r="G388" s="428"/>
      <c r="H388" s="428"/>
      <c r="I388" s="428"/>
      <c r="J388" s="428">
        <v>2</v>
      </c>
      <c r="K388" s="428"/>
      <c r="L388" s="428"/>
      <c r="M388" s="428">
        <f>C388*J388</f>
        <v>16</v>
      </c>
      <c r="N388" s="949"/>
    </row>
    <row r="389" spans="1:14" s="942" customFormat="1" ht="15.75" customHeight="1">
      <c r="A389" s="836"/>
      <c r="B389" s="682"/>
      <c r="C389" s="428"/>
      <c r="D389" s="428">
        <v>7</v>
      </c>
      <c r="E389" s="428"/>
      <c r="F389" s="428"/>
      <c r="G389" s="428"/>
      <c r="H389" s="428"/>
      <c r="I389" s="428"/>
      <c r="J389" s="428">
        <f>J388</f>
        <v>2</v>
      </c>
      <c r="K389" s="428"/>
      <c r="L389" s="428"/>
      <c r="M389" s="428">
        <f>D389*J389</f>
        <v>14</v>
      </c>
      <c r="N389" s="949"/>
    </row>
    <row r="390" spans="1:14" s="942" customFormat="1" ht="15.75" customHeight="1">
      <c r="A390" s="836"/>
      <c r="B390" s="682" t="s">
        <v>1833</v>
      </c>
      <c r="C390" s="428"/>
      <c r="D390" s="428">
        <f>D349</f>
        <v>1.7</v>
      </c>
      <c r="E390" s="428"/>
      <c r="F390" s="428"/>
      <c r="G390" s="428"/>
      <c r="H390" s="428"/>
      <c r="I390" s="428"/>
      <c r="J390" s="428"/>
      <c r="K390" s="428"/>
      <c r="L390" s="428">
        <v>3</v>
      </c>
      <c r="M390" s="428">
        <f>-D390*L390</f>
        <v>-5.0999999999999996</v>
      </c>
      <c r="N390" s="949"/>
    </row>
    <row r="391" spans="1:14" s="942" customFormat="1" ht="15.75" customHeight="1">
      <c r="A391" s="836"/>
      <c r="B391" s="682" t="s">
        <v>1834</v>
      </c>
      <c r="C391" s="428"/>
      <c r="D391" s="428">
        <v>1</v>
      </c>
      <c r="E391" s="428"/>
      <c r="F391" s="428"/>
      <c r="G391" s="428"/>
      <c r="H391" s="428"/>
      <c r="I391" s="428"/>
      <c r="J391" s="428">
        <v>2</v>
      </c>
      <c r="K391" s="428"/>
      <c r="L391" s="428"/>
      <c r="M391" s="428">
        <f>D391*J391</f>
        <v>2</v>
      </c>
      <c r="N391" s="949"/>
    </row>
    <row r="392" spans="1:14" s="942" customFormat="1" ht="15.75" customHeight="1">
      <c r="A392" s="836"/>
      <c r="B392" s="682" t="s">
        <v>1835</v>
      </c>
      <c r="C392" s="428">
        <v>8</v>
      </c>
      <c r="D392" s="428"/>
      <c r="E392" s="428"/>
      <c r="F392" s="428"/>
      <c r="G392" s="428"/>
      <c r="H392" s="428"/>
      <c r="I392" s="428"/>
      <c r="J392" s="428">
        <v>2</v>
      </c>
      <c r="K392" s="428"/>
      <c r="L392" s="428"/>
      <c r="M392" s="428">
        <f>C392*J392</f>
        <v>16</v>
      </c>
      <c r="N392" s="949"/>
    </row>
    <row r="393" spans="1:14" s="942" customFormat="1" ht="15.75" customHeight="1">
      <c r="A393" s="836"/>
      <c r="B393" s="682"/>
      <c r="C393" s="428"/>
      <c r="D393" s="428">
        <v>7</v>
      </c>
      <c r="E393" s="428"/>
      <c r="F393" s="428"/>
      <c r="G393" s="428"/>
      <c r="H393" s="428"/>
      <c r="I393" s="428"/>
      <c r="J393" s="428">
        <v>1</v>
      </c>
      <c r="K393" s="428"/>
      <c r="L393" s="428"/>
      <c r="M393" s="428">
        <f>D393*J393</f>
        <v>7</v>
      </c>
      <c r="N393" s="949"/>
    </row>
    <row r="394" spans="1:14" s="942" customFormat="1" ht="15.75" customHeight="1">
      <c r="A394" s="836"/>
      <c r="B394" s="682" t="s">
        <v>1833</v>
      </c>
      <c r="C394" s="428"/>
      <c r="D394" s="428">
        <f>D390</f>
        <v>1.7</v>
      </c>
      <c r="E394" s="428"/>
      <c r="F394" s="428"/>
      <c r="G394" s="428"/>
      <c r="H394" s="428"/>
      <c r="I394" s="428"/>
      <c r="J394" s="428"/>
      <c r="K394" s="428"/>
      <c r="L394" s="428">
        <v>3</v>
      </c>
      <c r="M394" s="428">
        <f>-D394*L394</f>
        <v>-5.0999999999999996</v>
      </c>
      <c r="N394" s="949"/>
    </row>
    <row r="395" spans="1:14" s="942" customFormat="1" ht="15.75" customHeight="1">
      <c r="A395" s="836"/>
      <c r="B395" s="682" t="s">
        <v>1836</v>
      </c>
      <c r="C395" s="428">
        <v>3</v>
      </c>
      <c r="D395" s="428"/>
      <c r="E395" s="428"/>
      <c r="F395" s="428"/>
      <c r="G395" s="428"/>
      <c r="H395" s="428"/>
      <c r="I395" s="428"/>
      <c r="J395" s="428">
        <v>2</v>
      </c>
      <c r="K395" s="428"/>
      <c r="L395" s="428"/>
      <c r="M395" s="428">
        <f>C395*J395</f>
        <v>6</v>
      </c>
      <c r="N395" s="949"/>
    </row>
    <row r="396" spans="1:14" s="942" customFormat="1" ht="15.75" customHeight="1">
      <c r="A396" s="836"/>
      <c r="B396" s="682"/>
      <c r="C396" s="428"/>
      <c r="D396" s="428">
        <v>2</v>
      </c>
      <c r="E396" s="428"/>
      <c r="F396" s="428"/>
      <c r="G396" s="428"/>
      <c r="H396" s="428"/>
      <c r="I396" s="428"/>
      <c r="J396" s="428">
        <f>J395</f>
        <v>2</v>
      </c>
      <c r="K396" s="428"/>
      <c r="L396" s="428"/>
      <c r="M396" s="428">
        <f>D396*J396</f>
        <v>4</v>
      </c>
      <c r="N396" s="949"/>
    </row>
    <row r="397" spans="1:14" s="942" customFormat="1" ht="15.75" customHeight="1">
      <c r="A397" s="836"/>
      <c r="B397" s="682" t="s">
        <v>1837</v>
      </c>
      <c r="C397" s="428">
        <v>0.42499999999999999</v>
      </c>
      <c r="D397" s="428"/>
      <c r="E397" s="428"/>
      <c r="F397" s="428"/>
      <c r="G397" s="428"/>
      <c r="H397" s="428"/>
      <c r="I397" s="428"/>
      <c r="J397" s="428"/>
      <c r="K397" s="428"/>
      <c r="L397" s="428">
        <v>2</v>
      </c>
      <c r="M397" s="428">
        <f>C397*L397</f>
        <v>0.85</v>
      </c>
      <c r="N397" s="949"/>
    </row>
    <row r="398" spans="1:14" s="942" customFormat="1" ht="15.75" customHeight="1">
      <c r="A398" s="836"/>
      <c r="B398" s="682"/>
      <c r="C398" s="428">
        <v>0.2</v>
      </c>
      <c r="D398" s="428"/>
      <c r="E398" s="428"/>
      <c r="F398" s="428"/>
      <c r="G398" s="428"/>
      <c r="H398" s="428"/>
      <c r="I398" s="428"/>
      <c r="J398" s="428"/>
      <c r="K398" s="428"/>
      <c r="L398" s="428">
        <f>L397</f>
        <v>2</v>
      </c>
      <c r="M398" s="428">
        <f>C398*L398</f>
        <v>0.4</v>
      </c>
      <c r="N398" s="949"/>
    </row>
    <row r="399" spans="1:14" s="942" customFormat="1" ht="15.75" customHeight="1">
      <c r="A399" s="836"/>
      <c r="B399" s="682" t="s">
        <v>1838</v>
      </c>
      <c r="C399" s="428">
        <v>0.2</v>
      </c>
      <c r="D399" s="428"/>
      <c r="E399" s="428"/>
      <c r="F399" s="428"/>
      <c r="G399" s="428"/>
      <c r="H399" s="428"/>
      <c r="I399" s="428"/>
      <c r="J399" s="428"/>
      <c r="K399" s="428">
        <v>4</v>
      </c>
      <c r="L399" s="428">
        <f>L398</f>
        <v>2</v>
      </c>
      <c r="M399" s="590">
        <f>C399*K399*L399</f>
        <v>1.6</v>
      </c>
      <c r="N399" s="949"/>
    </row>
    <row r="400" spans="1:14" s="942" customFormat="1" ht="15.75" customHeight="1">
      <c r="A400" s="836"/>
      <c r="B400" s="682"/>
      <c r="C400" s="428"/>
      <c r="D400" s="428"/>
      <c r="E400" s="428"/>
      <c r="F400" s="428"/>
      <c r="G400" s="428"/>
      <c r="H400" s="428"/>
      <c r="I400" s="428"/>
      <c r="J400" s="428"/>
      <c r="K400" s="428"/>
      <c r="L400" s="428"/>
      <c r="M400" s="841">
        <f>SUM(M388:M399)</f>
        <v>57.65</v>
      </c>
      <c r="N400" s="955" t="s">
        <v>117</v>
      </c>
    </row>
    <row r="401" spans="1:14" s="942" customFormat="1" ht="15.75" customHeight="1">
      <c r="A401" s="836">
        <f>A387+1</f>
        <v>8</v>
      </c>
      <c r="B401" s="389" t="s">
        <v>1839</v>
      </c>
      <c r="C401" s="428"/>
      <c r="D401" s="428"/>
      <c r="E401" s="428"/>
      <c r="F401" s="428"/>
      <c r="G401" s="428"/>
      <c r="H401" s="428"/>
      <c r="I401" s="428"/>
      <c r="J401" s="428"/>
      <c r="K401" s="428"/>
      <c r="L401" s="428"/>
      <c r="M401" s="428"/>
      <c r="N401" s="949"/>
    </row>
    <row r="402" spans="1:14" s="942" customFormat="1" ht="15.75" customHeight="1">
      <c r="A402" s="836"/>
      <c r="B402" s="682" t="s">
        <v>1826</v>
      </c>
      <c r="C402" s="428">
        <v>9</v>
      </c>
      <c r="D402" s="428">
        <v>9</v>
      </c>
      <c r="E402" s="428"/>
      <c r="F402" s="428"/>
      <c r="G402" s="428"/>
      <c r="H402" s="428"/>
      <c r="I402" s="428"/>
      <c r="J402" s="428"/>
      <c r="K402" s="428"/>
      <c r="L402" s="428"/>
      <c r="M402" s="428">
        <f>C402*D402</f>
        <v>81</v>
      </c>
      <c r="N402" s="949"/>
    </row>
    <row r="403" spans="1:14" s="942" customFormat="1" ht="15.75" customHeight="1">
      <c r="A403" s="836"/>
      <c r="B403" s="682" t="s">
        <v>1827</v>
      </c>
      <c r="C403" s="428">
        <v>3</v>
      </c>
      <c r="D403" s="428">
        <v>1</v>
      </c>
      <c r="E403" s="428"/>
      <c r="F403" s="428"/>
      <c r="G403" s="428"/>
      <c r="H403" s="428"/>
      <c r="I403" s="428"/>
      <c r="J403" s="428"/>
      <c r="K403" s="428"/>
      <c r="L403" s="428"/>
      <c r="M403" s="590">
        <f>C403*D403</f>
        <v>3</v>
      </c>
      <c r="N403" s="949"/>
    </row>
    <row r="404" spans="1:14" s="942" customFormat="1" ht="15.75" customHeight="1">
      <c r="A404" s="836"/>
      <c r="B404" s="389"/>
      <c r="C404" s="428"/>
      <c r="D404" s="428"/>
      <c r="E404" s="428"/>
      <c r="F404" s="428"/>
      <c r="G404" s="428"/>
      <c r="H404" s="428"/>
      <c r="I404" s="428"/>
      <c r="J404" s="428"/>
      <c r="K404" s="428"/>
      <c r="L404" s="428"/>
      <c r="M404" s="841">
        <f>SUM(M402:M403)</f>
        <v>84</v>
      </c>
      <c r="N404" s="955" t="s">
        <v>89</v>
      </c>
    </row>
    <row r="405" spans="1:14" s="942" customFormat="1" ht="15.75" customHeight="1">
      <c r="A405" s="836">
        <f>A401+1</f>
        <v>9</v>
      </c>
      <c r="B405" s="389" t="s">
        <v>1840</v>
      </c>
      <c r="C405" s="428"/>
      <c r="D405" s="428"/>
      <c r="E405" s="428"/>
      <c r="F405" s="428"/>
      <c r="G405" s="428"/>
      <c r="H405" s="428"/>
      <c r="I405" s="428"/>
      <c r="J405" s="428"/>
      <c r="K405" s="428"/>
      <c r="L405" s="428"/>
      <c r="M405" s="428"/>
      <c r="N405" s="949"/>
    </row>
    <row r="406" spans="1:14" s="942" customFormat="1" ht="15.75" customHeight="1">
      <c r="A406" s="836"/>
      <c r="B406" s="682" t="s">
        <v>1841</v>
      </c>
      <c r="C406" s="428">
        <v>8</v>
      </c>
      <c r="D406" s="428"/>
      <c r="E406" s="428">
        <v>3.4</v>
      </c>
      <c r="F406" s="428"/>
      <c r="G406" s="428"/>
      <c r="H406" s="428"/>
      <c r="I406" s="428"/>
      <c r="J406" s="428">
        <v>2</v>
      </c>
      <c r="K406" s="428"/>
      <c r="L406" s="428"/>
      <c r="M406" s="428">
        <f>C406*E406*J406</f>
        <v>54.4</v>
      </c>
      <c r="N406" s="949"/>
    </row>
    <row r="407" spans="1:14" s="942" customFormat="1" ht="15.75" customHeight="1">
      <c r="A407" s="836"/>
      <c r="B407" s="682"/>
      <c r="C407" s="428"/>
      <c r="D407" s="428">
        <v>7</v>
      </c>
      <c r="E407" s="428">
        <f>E406</f>
        <v>3.4</v>
      </c>
      <c r="F407" s="428"/>
      <c r="G407" s="428"/>
      <c r="H407" s="428"/>
      <c r="I407" s="428"/>
      <c r="J407" s="428">
        <f>J406</f>
        <v>2</v>
      </c>
      <c r="K407" s="428"/>
      <c r="L407" s="428"/>
      <c r="M407" s="428">
        <f>D407*E407*J407</f>
        <v>47.6</v>
      </c>
      <c r="N407" s="949"/>
    </row>
    <row r="408" spans="1:14" s="942" customFormat="1" ht="15.75" customHeight="1">
      <c r="A408" s="836"/>
      <c r="B408" s="682" t="s">
        <v>1842</v>
      </c>
      <c r="C408" s="428"/>
      <c r="D408" s="428">
        <v>1</v>
      </c>
      <c r="E408" s="428">
        <f>E407</f>
        <v>3.4</v>
      </c>
      <c r="F408" s="428"/>
      <c r="G408" s="428"/>
      <c r="H408" s="428"/>
      <c r="I408" s="428"/>
      <c r="J408" s="428">
        <v>2</v>
      </c>
      <c r="K408" s="428"/>
      <c r="L408" s="428"/>
      <c r="M408" s="428">
        <f>D408*E408*J408</f>
        <v>6.8</v>
      </c>
      <c r="N408" s="949"/>
    </row>
    <row r="409" spans="1:14" s="942" customFormat="1" ht="15.75" customHeight="1">
      <c r="A409" s="836"/>
      <c r="B409" s="682" t="s">
        <v>1833</v>
      </c>
      <c r="C409" s="428"/>
      <c r="D409" s="428">
        <f>D390</f>
        <v>1.7</v>
      </c>
      <c r="E409" s="428">
        <v>2.15</v>
      </c>
      <c r="F409" s="428"/>
      <c r="G409" s="428"/>
      <c r="H409" s="428"/>
      <c r="I409" s="428"/>
      <c r="J409" s="428"/>
      <c r="K409" s="428"/>
      <c r="L409" s="428">
        <v>3</v>
      </c>
      <c r="M409" s="428">
        <f>-D409*E409*L409</f>
        <v>-10.965</v>
      </c>
      <c r="N409" s="949"/>
    </row>
    <row r="410" spans="1:14" s="942" customFormat="1" ht="15.75" customHeight="1">
      <c r="A410" s="836"/>
      <c r="B410" s="682" t="s">
        <v>1843</v>
      </c>
      <c r="C410" s="428">
        <f>C353</f>
        <v>1.72</v>
      </c>
      <c r="D410" s="428"/>
      <c r="E410" s="428">
        <f>E354</f>
        <v>1.94</v>
      </c>
      <c r="F410" s="428"/>
      <c r="G410" s="428"/>
      <c r="H410" s="428"/>
      <c r="I410" s="428"/>
      <c r="J410" s="428"/>
      <c r="K410" s="428"/>
      <c r="L410" s="428">
        <v>2</v>
      </c>
      <c r="M410" s="428">
        <f>-C410*E410*L410</f>
        <v>-6.6735999999999995</v>
      </c>
      <c r="N410" s="949"/>
    </row>
    <row r="411" spans="1:14" s="942" customFormat="1" ht="15.75" customHeight="1">
      <c r="A411" s="836"/>
      <c r="B411" s="682" t="s">
        <v>1844</v>
      </c>
      <c r="C411" s="428">
        <f>C357</f>
        <v>2.56</v>
      </c>
      <c r="D411" s="428"/>
      <c r="E411" s="428">
        <f>E358</f>
        <v>1.94</v>
      </c>
      <c r="F411" s="428"/>
      <c r="G411" s="428"/>
      <c r="H411" s="428"/>
      <c r="I411" s="428"/>
      <c r="J411" s="428"/>
      <c r="K411" s="428"/>
      <c r="L411" s="428">
        <v>4</v>
      </c>
      <c r="M411" s="428">
        <f>-C411*E411*L411</f>
        <v>-19.865600000000001</v>
      </c>
      <c r="N411" s="949"/>
    </row>
    <row r="412" spans="1:14" s="942" customFormat="1" ht="15.75" customHeight="1">
      <c r="A412" s="836"/>
      <c r="B412" s="682" t="s">
        <v>1845</v>
      </c>
      <c r="C412" s="428">
        <f>C361</f>
        <v>1.35</v>
      </c>
      <c r="D412" s="428"/>
      <c r="E412" s="428">
        <f>E362</f>
        <v>0.48</v>
      </c>
      <c r="F412" s="428"/>
      <c r="G412" s="428"/>
      <c r="H412" s="428"/>
      <c r="I412" s="428"/>
      <c r="J412" s="428"/>
      <c r="K412" s="428"/>
      <c r="L412" s="428">
        <v>1</v>
      </c>
      <c r="M412" s="428">
        <f>-C412*E412*L412</f>
        <v>-0.64800000000000002</v>
      </c>
      <c r="N412" s="949"/>
    </row>
    <row r="413" spans="1:14" s="942" customFormat="1" ht="15.75" customHeight="1">
      <c r="A413" s="836"/>
      <c r="B413" s="926" t="s">
        <v>1846</v>
      </c>
      <c r="C413" s="428"/>
      <c r="D413" s="428"/>
      <c r="E413" s="428"/>
      <c r="F413" s="428"/>
      <c r="G413" s="428"/>
      <c r="H413" s="428"/>
      <c r="I413" s="428"/>
      <c r="J413" s="428"/>
      <c r="K413" s="428"/>
      <c r="L413" s="428"/>
      <c r="M413" s="428"/>
      <c r="N413" s="949"/>
    </row>
    <row r="414" spans="1:14" s="942" customFormat="1" ht="15.75" customHeight="1">
      <c r="A414" s="836"/>
      <c r="B414" s="682" t="s">
        <v>1847</v>
      </c>
      <c r="C414" s="428">
        <v>8</v>
      </c>
      <c r="D414" s="428"/>
      <c r="E414" s="428">
        <v>3.4</v>
      </c>
      <c r="F414" s="428"/>
      <c r="G414" s="428"/>
      <c r="H414" s="428"/>
      <c r="I414" s="428"/>
      <c r="J414" s="428">
        <v>2</v>
      </c>
      <c r="K414" s="428"/>
      <c r="L414" s="428"/>
      <c r="M414" s="428">
        <f>C414*E414*J414</f>
        <v>54.4</v>
      </c>
      <c r="N414" s="949"/>
    </row>
    <row r="415" spans="1:14" s="942" customFormat="1" ht="15.75" customHeight="1">
      <c r="A415" s="836"/>
      <c r="B415" s="682"/>
      <c r="C415" s="428"/>
      <c r="D415" s="428">
        <v>7</v>
      </c>
      <c r="E415" s="428">
        <f>E414</f>
        <v>3.4</v>
      </c>
      <c r="F415" s="428"/>
      <c r="G415" s="428"/>
      <c r="H415" s="428"/>
      <c r="I415" s="428"/>
      <c r="J415" s="428">
        <v>1</v>
      </c>
      <c r="K415" s="428"/>
      <c r="L415" s="428"/>
      <c r="M415" s="428">
        <f>D415*E415*J415</f>
        <v>23.8</v>
      </c>
      <c r="N415" s="949"/>
    </row>
    <row r="416" spans="1:14" s="942" customFormat="1" ht="15.75" customHeight="1">
      <c r="A416" s="836"/>
      <c r="B416" s="682" t="s">
        <v>1833</v>
      </c>
      <c r="C416" s="428"/>
      <c r="D416" s="428">
        <f>D409</f>
        <v>1.7</v>
      </c>
      <c r="E416" s="428">
        <f>E409</f>
        <v>2.15</v>
      </c>
      <c r="F416" s="428"/>
      <c r="G416" s="428"/>
      <c r="H416" s="428"/>
      <c r="I416" s="428"/>
      <c r="J416" s="428"/>
      <c r="K416" s="428"/>
      <c r="L416" s="428">
        <v>3</v>
      </c>
      <c r="M416" s="428">
        <f>-D416*E416*L416</f>
        <v>-10.965</v>
      </c>
      <c r="N416" s="949"/>
    </row>
    <row r="417" spans="1:14" s="942" customFormat="1" ht="15.75" customHeight="1">
      <c r="A417" s="836"/>
      <c r="B417" s="682" t="s">
        <v>1843</v>
      </c>
      <c r="C417" s="428">
        <f>C410</f>
        <v>1.72</v>
      </c>
      <c r="D417" s="428"/>
      <c r="E417" s="428">
        <f>E410</f>
        <v>1.94</v>
      </c>
      <c r="F417" s="428"/>
      <c r="G417" s="428"/>
      <c r="H417" s="428"/>
      <c r="I417" s="428"/>
      <c r="J417" s="428"/>
      <c r="K417" s="428"/>
      <c r="L417" s="428">
        <v>2</v>
      </c>
      <c r="M417" s="428">
        <f>-C417*E417*L417</f>
        <v>-6.6735999999999995</v>
      </c>
      <c r="N417" s="949"/>
    </row>
    <row r="418" spans="1:14" s="942" customFormat="1" ht="15.75" customHeight="1">
      <c r="A418" s="836"/>
      <c r="B418" s="682" t="s">
        <v>1844</v>
      </c>
      <c r="C418" s="428">
        <f>C411</f>
        <v>2.56</v>
      </c>
      <c r="D418" s="428"/>
      <c r="E418" s="428">
        <f>E411</f>
        <v>1.94</v>
      </c>
      <c r="F418" s="428"/>
      <c r="G418" s="428"/>
      <c r="H418" s="428"/>
      <c r="I418" s="428"/>
      <c r="J418" s="428"/>
      <c r="K418" s="428"/>
      <c r="L418" s="428">
        <v>4</v>
      </c>
      <c r="M418" s="428">
        <f>-C418*E418*L418</f>
        <v>-19.865600000000001</v>
      </c>
      <c r="N418" s="949"/>
    </row>
    <row r="419" spans="1:14" s="942" customFormat="1" ht="15.75" customHeight="1">
      <c r="A419" s="836"/>
      <c r="B419" s="926" t="s">
        <v>1848</v>
      </c>
      <c r="C419" s="428"/>
      <c r="D419" s="428"/>
      <c r="E419" s="428"/>
      <c r="F419" s="428"/>
      <c r="G419" s="428"/>
      <c r="H419" s="428"/>
      <c r="I419" s="428"/>
      <c r="J419" s="428"/>
      <c r="K419" s="428"/>
      <c r="L419" s="428"/>
      <c r="M419" s="428"/>
      <c r="N419" s="949"/>
    </row>
    <row r="420" spans="1:14" s="942" customFormat="1" ht="15.75" customHeight="1">
      <c r="A420" s="836"/>
      <c r="B420" s="682" t="s">
        <v>1836</v>
      </c>
      <c r="C420" s="428">
        <v>3</v>
      </c>
      <c r="D420" s="428"/>
      <c r="E420" s="428">
        <f>E415</f>
        <v>3.4</v>
      </c>
      <c r="F420" s="428"/>
      <c r="G420" s="428"/>
      <c r="H420" s="428"/>
      <c r="I420" s="428"/>
      <c r="J420" s="428"/>
      <c r="K420" s="428"/>
      <c r="L420" s="428">
        <v>2</v>
      </c>
      <c r="M420" s="428">
        <f>C420*E420*L420</f>
        <v>20.399999999999999</v>
      </c>
      <c r="N420" s="949"/>
    </row>
    <row r="421" spans="1:14" s="942" customFormat="1" ht="15.75" customHeight="1">
      <c r="A421" s="836"/>
      <c r="B421" s="682"/>
      <c r="C421" s="428"/>
      <c r="D421" s="428">
        <v>2</v>
      </c>
      <c r="E421" s="428">
        <f>E420</f>
        <v>3.4</v>
      </c>
      <c r="F421" s="428"/>
      <c r="G421" s="428"/>
      <c r="H421" s="428"/>
      <c r="I421" s="428"/>
      <c r="J421" s="428"/>
      <c r="K421" s="428"/>
      <c r="L421" s="428">
        <f>L420</f>
        <v>2</v>
      </c>
      <c r="M421" s="428">
        <f>D421*E421*L421</f>
        <v>13.6</v>
      </c>
      <c r="N421" s="949"/>
    </row>
    <row r="422" spans="1:14" s="942" customFormat="1" ht="15.75" customHeight="1">
      <c r="A422" s="836"/>
      <c r="B422" s="682" t="s">
        <v>1837</v>
      </c>
      <c r="C422" s="428">
        <v>0.42499999999999999</v>
      </c>
      <c r="D422" s="428"/>
      <c r="E422" s="428">
        <v>4.2</v>
      </c>
      <c r="F422" s="428"/>
      <c r="G422" s="428"/>
      <c r="H422" s="428"/>
      <c r="I422" s="428"/>
      <c r="J422" s="428"/>
      <c r="K422" s="428"/>
      <c r="L422" s="428">
        <f>L421</f>
        <v>2</v>
      </c>
      <c r="M422" s="428">
        <f>C422*E422*L422</f>
        <v>3.57</v>
      </c>
      <c r="N422" s="949"/>
    </row>
    <row r="423" spans="1:14" s="942" customFormat="1" ht="15.75" customHeight="1">
      <c r="A423" s="836"/>
      <c r="B423" s="682"/>
      <c r="C423" s="428">
        <v>0.2</v>
      </c>
      <c r="D423" s="428"/>
      <c r="E423" s="428">
        <f>E422</f>
        <v>4.2</v>
      </c>
      <c r="F423" s="428"/>
      <c r="G423" s="428"/>
      <c r="H423" s="428"/>
      <c r="I423" s="428"/>
      <c r="J423" s="428"/>
      <c r="K423" s="428"/>
      <c r="L423" s="428">
        <f>L422</f>
        <v>2</v>
      </c>
      <c r="M423" s="428">
        <f>C423*E423*L423</f>
        <v>1.6800000000000002</v>
      </c>
      <c r="N423" s="949"/>
    </row>
    <row r="424" spans="1:14" s="942" customFormat="1" ht="15.75" customHeight="1">
      <c r="A424" s="836"/>
      <c r="B424" s="682" t="s">
        <v>1838</v>
      </c>
      <c r="C424" s="428">
        <v>0.2</v>
      </c>
      <c r="D424" s="428"/>
      <c r="E424" s="428">
        <f>E423</f>
        <v>4.2</v>
      </c>
      <c r="F424" s="428"/>
      <c r="G424" s="428"/>
      <c r="H424" s="428"/>
      <c r="I424" s="428"/>
      <c r="J424" s="428"/>
      <c r="K424" s="428">
        <v>4</v>
      </c>
      <c r="L424" s="428">
        <f>L423</f>
        <v>2</v>
      </c>
      <c r="M424" s="428">
        <f>C424*E424*K424*L424</f>
        <v>6.7200000000000006</v>
      </c>
      <c r="N424" s="949"/>
    </row>
    <row r="425" spans="1:14" s="942" customFormat="1" ht="15.75" customHeight="1">
      <c r="A425" s="836"/>
      <c r="B425" s="682" t="s">
        <v>1772</v>
      </c>
      <c r="C425" s="428"/>
      <c r="D425" s="428">
        <v>0.3</v>
      </c>
      <c r="E425" s="428">
        <v>3.4</v>
      </c>
      <c r="F425" s="428"/>
      <c r="G425" s="428"/>
      <c r="H425" s="428"/>
      <c r="I425" s="428"/>
      <c r="J425" s="428">
        <v>4</v>
      </c>
      <c r="K425" s="428"/>
      <c r="L425" s="428">
        <v>12</v>
      </c>
      <c r="M425" s="428">
        <f>D425*E425*J425*L425</f>
        <v>48.96</v>
      </c>
      <c r="N425" s="949"/>
    </row>
    <row r="426" spans="1:14" s="942" customFormat="1" ht="15.75" customHeight="1">
      <c r="A426" s="836"/>
      <c r="B426" s="682" t="s">
        <v>1849</v>
      </c>
      <c r="C426" s="428"/>
      <c r="D426" s="428">
        <v>0.2</v>
      </c>
      <c r="E426" s="428">
        <f>E425</f>
        <v>3.4</v>
      </c>
      <c r="F426" s="428"/>
      <c r="G426" s="428"/>
      <c r="H426" s="428"/>
      <c r="I426" s="428"/>
      <c r="J426" s="428">
        <f>J425</f>
        <v>4</v>
      </c>
      <c r="K426" s="428"/>
      <c r="L426" s="428">
        <v>16</v>
      </c>
      <c r="M426" s="428">
        <f>D426*E426*J426*L426</f>
        <v>43.52</v>
      </c>
      <c r="N426" s="949"/>
    </row>
    <row r="427" spans="1:14" s="942" customFormat="1" ht="15.75" customHeight="1">
      <c r="A427" s="836"/>
      <c r="B427" s="682" t="s">
        <v>1850</v>
      </c>
      <c r="C427" s="428"/>
      <c r="D427" s="428">
        <v>0.15</v>
      </c>
      <c r="E427" s="428">
        <f>E426</f>
        <v>3.4</v>
      </c>
      <c r="F427" s="428"/>
      <c r="G427" s="428"/>
      <c r="H427" s="428"/>
      <c r="I427" s="428"/>
      <c r="J427" s="428">
        <v>2</v>
      </c>
      <c r="K427" s="428"/>
      <c r="L427" s="428">
        <v>8</v>
      </c>
      <c r="M427" s="590">
        <f>D427*E427*J427*L427</f>
        <v>8.16</v>
      </c>
      <c r="N427" s="949"/>
    </row>
    <row r="428" spans="1:14" s="942" customFormat="1" ht="15.75" customHeight="1">
      <c r="A428" s="836"/>
      <c r="B428" s="389"/>
      <c r="C428" s="428"/>
      <c r="D428" s="428"/>
      <c r="E428" s="428"/>
      <c r="F428" s="428"/>
      <c r="G428" s="428"/>
      <c r="H428" s="428"/>
      <c r="I428" s="428"/>
      <c r="J428" s="428"/>
      <c r="K428" s="428"/>
      <c r="L428" s="428"/>
      <c r="M428" s="841">
        <f>SUM(M406:M427)</f>
        <v>257.95360000000005</v>
      </c>
      <c r="N428" s="955" t="s">
        <v>89</v>
      </c>
    </row>
    <row r="429" spans="1:14" s="942" customFormat="1" ht="15.75" customHeight="1">
      <c r="A429" s="836">
        <f>A405+1</f>
        <v>10</v>
      </c>
      <c r="B429" s="389" t="s">
        <v>580</v>
      </c>
      <c r="C429" s="428"/>
      <c r="D429" s="428"/>
      <c r="E429" s="428"/>
      <c r="F429" s="428"/>
      <c r="G429" s="428"/>
      <c r="H429" s="428"/>
      <c r="I429" s="428"/>
      <c r="J429" s="428"/>
      <c r="K429" s="428"/>
      <c r="L429" s="428"/>
      <c r="M429" s="428"/>
      <c r="N429" s="949"/>
    </row>
    <row r="430" spans="1:14" s="942" customFormat="1" ht="15.75" customHeight="1">
      <c r="A430" s="836"/>
      <c r="B430" s="926" t="s">
        <v>1851</v>
      </c>
      <c r="C430" s="428"/>
      <c r="D430" s="428"/>
      <c r="E430" s="428"/>
      <c r="F430" s="428"/>
      <c r="G430" s="428"/>
      <c r="H430" s="428"/>
      <c r="I430" s="428"/>
      <c r="J430" s="428"/>
      <c r="K430" s="428"/>
      <c r="L430" s="428"/>
      <c r="M430" s="428"/>
      <c r="N430" s="949"/>
    </row>
    <row r="431" spans="1:14" s="942" customFormat="1" ht="15.75" customHeight="1">
      <c r="A431" s="836"/>
      <c r="B431" s="682" t="s">
        <v>1836</v>
      </c>
      <c r="C431" s="428">
        <v>3</v>
      </c>
      <c r="D431" s="428"/>
      <c r="E431" s="428">
        <v>4.4000000000000004</v>
      </c>
      <c r="F431" s="428"/>
      <c r="G431" s="428"/>
      <c r="H431" s="428"/>
      <c r="I431" s="428"/>
      <c r="J431" s="428"/>
      <c r="K431" s="428"/>
      <c r="L431" s="428">
        <v>2</v>
      </c>
      <c r="M431" s="428">
        <f>C431*E431*L431</f>
        <v>26.400000000000002</v>
      </c>
      <c r="N431" s="949"/>
    </row>
    <row r="432" spans="1:14" s="942" customFormat="1" ht="15.75" customHeight="1">
      <c r="A432" s="836"/>
      <c r="B432" s="682"/>
      <c r="C432" s="428"/>
      <c r="D432" s="428">
        <v>2</v>
      </c>
      <c r="E432" s="428">
        <f>E431</f>
        <v>4.4000000000000004</v>
      </c>
      <c r="F432" s="428"/>
      <c r="G432" s="428"/>
      <c r="H432" s="428"/>
      <c r="I432" s="428"/>
      <c r="J432" s="428"/>
      <c r="K432" s="428"/>
      <c r="L432" s="428">
        <f>L431</f>
        <v>2</v>
      </c>
      <c r="M432" s="428">
        <f>D432*E432*L432</f>
        <v>17.600000000000001</v>
      </c>
      <c r="N432" s="949"/>
    </row>
    <row r="433" spans="1:14" s="942" customFormat="1" ht="15.75" customHeight="1">
      <c r="A433" s="836"/>
      <c r="B433" s="682" t="s">
        <v>1852</v>
      </c>
      <c r="C433" s="428">
        <v>0.42499999999999999</v>
      </c>
      <c r="D433" s="428"/>
      <c r="E433" s="428">
        <f>E432</f>
        <v>4.4000000000000004</v>
      </c>
      <c r="F433" s="428"/>
      <c r="G433" s="428"/>
      <c r="H433" s="428"/>
      <c r="I433" s="428"/>
      <c r="J433" s="428"/>
      <c r="K433" s="428"/>
      <c r="L433" s="428">
        <f>L432</f>
        <v>2</v>
      </c>
      <c r="M433" s="428">
        <f>C433*E433*L433</f>
        <v>3.74</v>
      </c>
      <c r="N433" s="949"/>
    </row>
    <row r="434" spans="1:14" s="942" customFormat="1" ht="15.75" customHeight="1">
      <c r="A434" s="836"/>
      <c r="B434" s="682"/>
      <c r="C434" s="428">
        <v>0.2</v>
      </c>
      <c r="D434" s="428"/>
      <c r="E434" s="428">
        <f>E433</f>
        <v>4.4000000000000004</v>
      </c>
      <c r="F434" s="428"/>
      <c r="G434" s="428"/>
      <c r="H434" s="428"/>
      <c r="I434" s="428"/>
      <c r="J434" s="428"/>
      <c r="K434" s="428"/>
      <c r="L434" s="428">
        <f>L433</f>
        <v>2</v>
      </c>
      <c r="M434" s="428">
        <f>C434*E434*L434</f>
        <v>1.7600000000000002</v>
      </c>
      <c r="N434" s="949"/>
    </row>
    <row r="435" spans="1:14" s="942" customFormat="1" ht="15.75" customHeight="1">
      <c r="A435" s="836"/>
      <c r="B435" s="682" t="s">
        <v>1814</v>
      </c>
      <c r="C435" s="428">
        <v>10</v>
      </c>
      <c r="D435" s="428"/>
      <c r="E435" s="428">
        <v>0.5</v>
      </c>
      <c r="F435" s="428"/>
      <c r="G435" s="428"/>
      <c r="H435" s="428"/>
      <c r="I435" s="428"/>
      <c r="J435" s="428"/>
      <c r="K435" s="428"/>
      <c r="L435" s="428">
        <v>2</v>
      </c>
      <c r="M435" s="428">
        <f>C435*E435*L435</f>
        <v>10</v>
      </c>
      <c r="N435" s="949"/>
    </row>
    <row r="436" spans="1:14" s="942" customFormat="1" ht="15.75" customHeight="1">
      <c r="A436" s="836"/>
      <c r="B436" s="389"/>
      <c r="C436" s="428"/>
      <c r="D436" s="428">
        <v>9</v>
      </c>
      <c r="E436" s="428">
        <f>E435</f>
        <v>0.5</v>
      </c>
      <c r="F436" s="428"/>
      <c r="G436" s="428"/>
      <c r="H436" s="428"/>
      <c r="I436" s="428"/>
      <c r="J436" s="428"/>
      <c r="K436" s="428"/>
      <c r="L436" s="428">
        <v>1</v>
      </c>
      <c r="M436" s="428">
        <f>D436*E436*L436</f>
        <v>4.5</v>
      </c>
      <c r="N436" s="949"/>
    </row>
    <row r="437" spans="1:14" s="942" customFormat="1" ht="15.75" customHeight="1">
      <c r="A437" s="836"/>
      <c r="B437" s="682" t="s">
        <v>1842</v>
      </c>
      <c r="C437" s="428"/>
      <c r="D437" s="428">
        <v>1</v>
      </c>
      <c r="E437" s="428">
        <f>E436</f>
        <v>0.5</v>
      </c>
      <c r="F437" s="428"/>
      <c r="G437" s="428"/>
      <c r="H437" s="428"/>
      <c r="I437" s="428"/>
      <c r="J437" s="428">
        <v>2</v>
      </c>
      <c r="K437" s="428"/>
      <c r="L437" s="428">
        <v>1</v>
      </c>
      <c r="M437" s="428">
        <f>D437*E437*J437*L437</f>
        <v>1</v>
      </c>
      <c r="N437" s="949"/>
    </row>
    <row r="438" spans="1:14" s="942" customFormat="1" ht="15.75" customHeight="1">
      <c r="A438" s="836"/>
      <c r="B438" s="926" t="s">
        <v>1853</v>
      </c>
      <c r="C438" s="428">
        <v>9</v>
      </c>
      <c r="D438" s="428"/>
      <c r="E438" s="428">
        <v>4.4000000000000004</v>
      </c>
      <c r="F438" s="428"/>
      <c r="G438" s="428"/>
      <c r="H438" s="428"/>
      <c r="I438" s="428"/>
      <c r="J438" s="428"/>
      <c r="K438" s="428"/>
      <c r="L438" s="428">
        <v>1</v>
      </c>
      <c r="M438" s="428">
        <f>C438*E438*L438</f>
        <v>39.6</v>
      </c>
      <c r="N438" s="949"/>
    </row>
    <row r="439" spans="1:14" s="942" customFormat="1" ht="15.75" customHeight="1">
      <c r="A439" s="836"/>
      <c r="B439" s="682" t="s">
        <v>1845</v>
      </c>
      <c r="C439" s="428">
        <f>C412</f>
        <v>1.35</v>
      </c>
      <c r="D439" s="428"/>
      <c r="E439" s="428">
        <f>E412</f>
        <v>0.48</v>
      </c>
      <c r="F439" s="428"/>
      <c r="G439" s="428"/>
      <c r="H439" s="428"/>
      <c r="I439" s="428"/>
      <c r="J439" s="428"/>
      <c r="K439" s="428"/>
      <c r="L439" s="428">
        <v>1</v>
      </c>
      <c r="M439" s="428">
        <f>-C439*E439*L439</f>
        <v>-0.64800000000000002</v>
      </c>
      <c r="N439" s="949"/>
    </row>
    <row r="440" spans="1:14" s="942" customFormat="1" ht="15.75" customHeight="1">
      <c r="A440" s="836"/>
      <c r="B440" s="682" t="s">
        <v>1496</v>
      </c>
      <c r="C440" s="428"/>
      <c r="D440" s="428">
        <v>0.8</v>
      </c>
      <c r="E440" s="428">
        <v>3.2</v>
      </c>
      <c r="F440" s="428"/>
      <c r="G440" s="428"/>
      <c r="H440" s="428"/>
      <c r="I440" s="428"/>
      <c r="J440" s="428"/>
      <c r="K440" s="428"/>
      <c r="L440" s="428">
        <v>1</v>
      </c>
      <c r="M440" s="428">
        <f>-D440*E440*L440</f>
        <v>-2.5600000000000005</v>
      </c>
      <c r="N440" s="949"/>
    </row>
    <row r="441" spans="1:14" s="942" customFormat="1" ht="15.75" customHeight="1">
      <c r="A441" s="836"/>
      <c r="B441" s="682"/>
      <c r="C441" s="428"/>
      <c r="D441" s="428">
        <v>1</v>
      </c>
      <c r="E441" s="428">
        <f>E438</f>
        <v>4.4000000000000004</v>
      </c>
      <c r="F441" s="428"/>
      <c r="G441" s="428"/>
      <c r="H441" s="428"/>
      <c r="I441" s="428"/>
      <c r="J441" s="428">
        <v>2</v>
      </c>
      <c r="K441" s="428"/>
      <c r="L441" s="428">
        <v>1</v>
      </c>
      <c r="M441" s="590">
        <f>D441*E441*J441*L441</f>
        <v>8.8000000000000007</v>
      </c>
      <c r="N441" s="949"/>
    </row>
    <row r="442" spans="1:14" s="942" customFormat="1" ht="15.75" customHeight="1">
      <c r="A442" s="836"/>
      <c r="B442" s="389"/>
      <c r="C442" s="428"/>
      <c r="D442" s="428"/>
      <c r="E442" s="428"/>
      <c r="F442" s="428"/>
      <c r="G442" s="428"/>
      <c r="H442" s="428"/>
      <c r="I442" s="428"/>
      <c r="J442" s="428"/>
      <c r="K442" s="428"/>
      <c r="L442" s="428"/>
      <c r="M442" s="841">
        <f>SUM(M431:M441)</f>
        <v>110.19199999999999</v>
      </c>
      <c r="N442" s="955" t="s">
        <v>89</v>
      </c>
    </row>
    <row r="443" spans="1:14" s="942" customFormat="1" ht="15.75" customHeight="1">
      <c r="A443" s="836">
        <f>A429+1</f>
        <v>11</v>
      </c>
      <c r="B443" s="389" t="s">
        <v>1854</v>
      </c>
      <c r="C443" s="428"/>
      <c r="D443" s="428"/>
      <c r="E443" s="428"/>
      <c r="F443" s="428"/>
      <c r="G443" s="428"/>
      <c r="H443" s="428"/>
      <c r="I443" s="428"/>
      <c r="J443" s="428"/>
      <c r="K443" s="428"/>
      <c r="L443" s="428"/>
      <c r="M443" s="428"/>
      <c r="N443" s="949"/>
    </row>
    <row r="444" spans="1:14" s="942" customFormat="1" ht="15.75" customHeight="1">
      <c r="A444" s="836"/>
      <c r="B444" s="926" t="s">
        <v>1855</v>
      </c>
      <c r="C444" s="428"/>
      <c r="D444" s="428"/>
      <c r="E444" s="428"/>
      <c r="F444" s="428"/>
      <c r="G444" s="428"/>
      <c r="H444" s="428"/>
      <c r="I444" s="428"/>
      <c r="J444" s="428"/>
      <c r="K444" s="428"/>
      <c r="L444" s="428"/>
      <c r="M444" s="428"/>
      <c r="N444" s="949"/>
    </row>
    <row r="445" spans="1:14" s="942" customFormat="1" ht="15.75" customHeight="1">
      <c r="A445" s="836"/>
      <c r="B445" s="926" t="s">
        <v>1856</v>
      </c>
      <c r="C445" s="428"/>
      <c r="D445" s="428"/>
      <c r="E445" s="428"/>
      <c r="F445" s="428"/>
      <c r="G445" s="428"/>
      <c r="H445" s="428"/>
      <c r="I445" s="428"/>
      <c r="J445" s="428"/>
      <c r="K445" s="428"/>
      <c r="L445" s="428"/>
      <c r="M445" s="428"/>
      <c r="N445" s="949"/>
    </row>
    <row r="446" spans="1:14" s="942" customFormat="1" ht="15.75" customHeight="1">
      <c r="A446" s="836"/>
      <c r="B446" s="682" t="s">
        <v>1857</v>
      </c>
      <c r="C446" s="428">
        <v>0.65</v>
      </c>
      <c r="D446" s="428"/>
      <c r="E446" s="428">
        <v>3.4</v>
      </c>
      <c r="F446" s="428"/>
      <c r="G446" s="428"/>
      <c r="H446" s="428"/>
      <c r="I446" s="428"/>
      <c r="J446" s="428">
        <v>2</v>
      </c>
      <c r="K446" s="428">
        <v>2</v>
      </c>
      <c r="L446" s="428">
        <v>2</v>
      </c>
      <c r="M446" s="428">
        <f>C446*E446*J446*K446*L446</f>
        <v>17.68</v>
      </c>
      <c r="N446" s="949"/>
    </row>
    <row r="447" spans="1:14" s="942" customFormat="1" ht="15.75" customHeight="1">
      <c r="A447" s="836"/>
      <c r="B447" s="682"/>
      <c r="C447" s="428"/>
      <c r="D447" s="428">
        <v>0.2</v>
      </c>
      <c r="E447" s="428">
        <f>E446</f>
        <v>3.4</v>
      </c>
      <c r="F447" s="428"/>
      <c r="G447" s="428"/>
      <c r="H447" s="428"/>
      <c r="I447" s="428"/>
      <c r="J447" s="428">
        <f>J446</f>
        <v>2</v>
      </c>
      <c r="K447" s="428">
        <f>K446</f>
        <v>2</v>
      </c>
      <c r="L447" s="428">
        <f>L446</f>
        <v>2</v>
      </c>
      <c r="M447" s="428">
        <f>D447*E447*J447*K447*L447</f>
        <v>5.44</v>
      </c>
      <c r="N447" s="949"/>
    </row>
    <row r="448" spans="1:14" s="942" customFormat="1" ht="15.75" customHeight="1">
      <c r="A448" s="836"/>
      <c r="B448" s="682" t="s">
        <v>1858</v>
      </c>
      <c r="C448" s="428">
        <v>3.5</v>
      </c>
      <c r="D448" s="428">
        <v>0.65</v>
      </c>
      <c r="E448" s="428"/>
      <c r="F448" s="428"/>
      <c r="G448" s="428"/>
      <c r="H448" s="428"/>
      <c r="I448" s="428"/>
      <c r="J448" s="428">
        <v>1</v>
      </c>
      <c r="K448" s="428">
        <v>1</v>
      </c>
      <c r="L448" s="428">
        <f>L447</f>
        <v>2</v>
      </c>
      <c r="M448" s="428">
        <f>C448*D448*J448*K448*L448</f>
        <v>4.55</v>
      </c>
      <c r="N448" s="949"/>
    </row>
    <row r="449" spans="1:14" s="942" customFormat="1" ht="15.75" customHeight="1">
      <c r="A449" s="836"/>
      <c r="B449" s="926" t="s">
        <v>1859</v>
      </c>
      <c r="C449" s="428"/>
      <c r="D449" s="428"/>
      <c r="E449" s="428"/>
      <c r="F449" s="428"/>
      <c r="G449" s="428"/>
      <c r="H449" s="428"/>
      <c r="I449" s="428"/>
      <c r="J449" s="428"/>
      <c r="K449" s="428"/>
      <c r="L449" s="428"/>
      <c r="M449" s="428"/>
      <c r="N449" s="949"/>
    </row>
    <row r="450" spans="1:14" s="942" customFormat="1" ht="15.75" customHeight="1">
      <c r="A450" s="836"/>
      <c r="B450" s="682" t="s">
        <v>1857</v>
      </c>
      <c r="C450" s="428">
        <v>0.65</v>
      </c>
      <c r="D450" s="428"/>
      <c r="E450" s="428">
        <v>3.4</v>
      </c>
      <c r="F450" s="428"/>
      <c r="G450" s="428"/>
      <c r="H450" s="428"/>
      <c r="I450" s="428"/>
      <c r="J450" s="428">
        <v>2</v>
      </c>
      <c r="K450" s="428">
        <v>2</v>
      </c>
      <c r="L450" s="428">
        <v>1</v>
      </c>
      <c r="M450" s="428">
        <f>C450*E450*J450*K450*L450</f>
        <v>8.84</v>
      </c>
      <c r="N450" s="949"/>
    </row>
    <row r="451" spans="1:14" s="942" customFormat="1" ht="15.75" customHeight="1">
      <c r="A451" s="836"/>
      <c r="B451" s="682"/>
      <c r="C451" s="428"/>
      <c r="D451" s="428">
        <v>0.2</v>
      </c>
      <c r="E451" s="428">
        <f>E450</f>
        <v>3.4</v>
      </c>
      <c r="F451" s="428"/>
      <c r="G451" s="428"/>
      <c r="H451" s="428"/>
      <c r="I451" s="428"/>
      <c r="J451" s="428">
        <f>J450</f>
        <v>2</v>
      </c>
      <c r="K451" s="428">
        <f>K450</f>
        <v>2</v>
      </c>
      <c r="L451" s="428">
        <f>L450</f>
        <v>1</v>
      </c>
      <c r="M451" s="428">
        <f>D451*E451*J451*K451*L451</f>
        <v>2.72</v>
      </c>
      <c r="N451" s="949"/>
    </row>
    <row r="452" spans="1:14" s="942" customFormat="1" ht="15.75" customHeight="1">
      <c r="A452" s="836"/>
      <c r="B452" s="682" t="s">
        <v>1858</v>
      </c>
      <c r="C452" s="428">
        <v>4.95</v>
      </c>
      <c r="D452" s="428">
        <v>0.65</v>
      </c>
      <c r="E452" s="428"/>
      <c r="F452" s="428"/>
      <c r="G452" s="428"/>
      <c r="H452" s="428"/>
      <c r="I452" s="428"/>
      <c r="J452" s="428">
        <v>1</v>
      </c>
      <c r="K452" s="428">
        <v>1</v>
      </c>
      <c r="L452" s="428">
        <f>L451</f>
        <v>1</v>
      </c>
      <c r="M452" s="428">
        <f>C452*D452*J452*K452*L452</f>
        <v>3.2175000000000002</v>
      </c>
      <c r="N452" s="949"/>
    </row>
    <row r="453" spans="1:14" s="942" customFormat="1" ht="15.75" customHeight="1">
      <c r="A453" s="836"/>
      <c r="B453" s="682" t="s">
        <v>1837</v>
      </c>
      <c r="C453" s="428">
        <v>0.35</v>
      </c>
      <c r="D453" s="428"/>
      <c r="E453" s="428">
        <v>4.2</v>
      </c>
      <c r="F453" s="428"/>
      <c r="G453" s="428"/>
      <c r="H453" s="428"/>
      <c r="I453" s="428"/>
      <c r="J453" s="428">
        <v>2</v>
      </c>
      <c r="K453" s="428">
        <v>4</v>
      </c>
      <c r="L453" s="428">
        <v>2</v>
      </c>
      <c r="M453" s="428">
        <f>C453*E453*J453*K453*L453</f>
        <v>23.52</v>
      </c>
      <c r="N453" s="949"/>
    </row>
    <row r="454" spans="1:14" s="942" customFormat="1" ht="15.75" customHeight="1">
      <c r="A454" s="836"/>
      <c r="B454" s="682"/>
      <c r="C454" s="428"/>
      <c r="D454" s="428">
        <v>0.2</v>
      </c>
      <c r="E454" s="428">
        <f>E453</f>
        <v>4.2</v>
      </c>
      <c r="F454" s="428"/>
      <c r="G454" s="428"/>
      <c r="H454" s="428"/>
      <c r="I454" s="428"/>
      <c r="J454" s="428">
        <f>J453</f>
        <v>2</v>
      </c>
      <c r="K454" s="428">
        <f>K453</f>
        <v>4</v>
      </c>
      <c r="L454" s="428">
        <f>L453</f>
        <v>2</v>
      </c>
      <c r="M454" s="590">
        <f>D454*E454*J454*K454*L454</f>
        <v>13.440000000000001</v>
      </c>
      <c r="N454" s="949"/>
    </row>
    <row r="455" spans="1:14" s="942" customFormat="1" ht="15.75" customHeight="1">
      <c r="A455" s="836"/>
      <c r="B455" s="682"/>
      <c r="C455" s="428"/>
      <c r="D455" s="428"/>
      <c r="E455" s="428"/>
      <c r="F455" s="428"/>
      <c r="G455" s="428"/>
      <c r="H455" s="428"/>
      <c r="I455" s="428"/>
      <c r="J455" s="428"/>
      <c r="K455" s="428"/>
      <c r="L455" s="428"/>
      <c r="M455" s="841">
        <f>SUM(M446:M454)</f>
        <v>79.407499999999999</v>
      </c>
      <c r="N455" s="955" t="s">
        <v>89</v>
      </c>
    </row>
    <row r="456" spans="1:14" s="942" customFormat="1" ht="15.75" customHeight="1">
      <c r="A456" s="836">
        <f>A443+1</f>
        <v>12</v>
      </c>
      <c r="B456" s="389" t="s">
        <v>581</v>
      </c>
      <c r="C456" s="428" t="s">
        <v>1570</v>
      </c>
      <c r="D456" s="428"/>
      <c r="E456" s="428"/>
      <c r="F456" s="428"/>
      <c r="G456" s="428"/>
      <c r="H456" s="428"/>
      <c r="I456" s="428"/>
      <c r="J456" s="428"/>
      <c r="K456" s="428"/>
      <c r="L456" s="428"/>
      <c r="M456" s="428">
        <f>M404</f>
        <v>84</v>
      </c>
      <c r="N456" s="949" t="s">
        <v>89</v>
      </c>
    </row>
    <row r="457" spans="1:14" s="942" customFormat="1" ht="15.75" customHeight="1">
      <c r="A457" s="836">
        <f>A456+1</f>
        <v>13</v>
      </c>
      <c r="B457" s="389" t="s">
        <v>1860</v>
      </c>
      <c r="C457" s="428"/>
      <c r="D457" s="428"/>
      <c r="E457" s="428"/>
      <c r="F457" s="428"/>
      <c r="G457" s="428"/>
      <c r="H457" s="428"/>
      <c r="I457" s="428"/>
      <c r="J457" s="428"/>
      <c r="K457" s="428"/>
      <c r="L457" s="428"/>
      <c r="M457" s="428"/>
      <c r="N457" s="949"/>
    </row>
    <row r="458" spans="1:14" s="942" customFormat="1" ht="15.75" customHeight="1">
      <c r="A458" s="844" t="s">
        <v>95</v>
      </c>
      <c r="B458" s="389" t="s">
        <v>438</v>
      </c>
      <c r="C458" s="428"/>
      <c r="D458" s="428"/>
      <c r="E458" s="428"/>
      <c r="F458" s="428"/>
      <c r="G458" s="428"/>
      <c r="H458" s="428"/>
      <c r="I458" s="428"/>
      <c r="J458" s="428"/>
      <c r="K458" s="428"/>
      <c r="L458" s="428"/>
      <c r="M458" s="428"/>
      <c r="N458" s="949"/>
    </row>
    <row r="459" spans="1:14" s="942" customFormat="1" ht="15.75" customHeight="1">
      <c r="A459" s="844"/>
      <c r="B459" s="389"/>
      <c r="C459" s="428">
        <v>3.6</v>
      </c>
      <c r="D459" s="428">
        <v>0.15</v>
      </c>
      <c r="E459" s="428">
        <v>0.1</v>
      </c>
      <c r="F459" s="428"/>
      <c r="G459" s="428"/>
      <c r="H459" s="428"/>
      <c r="I459" s="428"/>
      <c r="J459" s="428"/>
      <c r="K459" s="428"/>
      <c r="L459" s="428">
        <v>2</v>
      </c>
      <c r="M459" s="428">
        <f>C459*D459*E459*L459</f>
        <v>0.10800000000000001</v>
      </c>
      <c r="N459" s="949"/>
    </row>
    <row r="460" spans="1:14" s="942" customFormat="1" ht="15.75" customHeight="1">
      <c r="A460" s="844"/>
      <c r="B460" s="389"/>
      <c r="C460" s="428">
        <v>2.4</v>
      </c>
      <c r="D460" s="428">
        <f>D459</f>
        <v>0.15</v>
      </c>
      <c r="E460" s="428">
        <f>E459</f>
        <v>0.1</v>
      </c>
      <c r="F460" s="428"/>
      <c r="G460" s="428"/>
      <c r="H460" s="428"/>
      <c r="I460" s="428"/>
      <c r="J460" s="428"/>
      <c r="K460" s="428"/>
      <c r="L460" s="428">
        <f>L459</f>
        <v>2</v>
      </c>
      <c r="M460" s="590">
        <f>C460*D460*E460*L460</f>
        <v>7.1999999999999995E-2</v>
      </c>
      <c r="N460" s="949"/>
    </row>
    <row r="461" spans="1:14" s="942" customFormat="1" ht="15.75" customHeight="1">
      <c r="A461" s="844"/>
      <c r="B461" s="389"/>
      <c r="C461" s="428"/>
      <c r="D461" s="428"/>
      <c r="E461" s="428"/>
      <c r="F461" s="428"/>
      <c r="G461" s="428"/>
      <c r="H461" s="428"/>
      <c r="I461" s="428"/>
      <c r="J461" s="428"/>
      <c r="K461" s="428"/>
      <c r="L461" s="428"/>
      <c r="M461" s="841">
        <f>SUM(M459:M460)</f>
        <v>0.18</v>
      </c>
      <c r="N461" s="955" t="s">
        <v>103</v>
      </c>
    </row>
    <row r="462" spans="1:14" s="942" customFormat="1" ht="15.75" customHeight="1">
      <c r="A462" s="844" t="s">
        <v>98</v>
      </c>
      <c r="B462" s="389" t="s">
        <v>629</v>
      </c>
      <c r="C462" s="428"/>
      <c r="D462" s="428"/>
      <c r="E462" s="428"/>
      <c r="F462" s="428"/>
      <c r="G462" s="428"/>
      <c r="H462" s="428"/>
      <c r="I462" s="428"/>
      <c r="J462" s="428"/>
      <c r="K462" s="428"/>
      <c r="L462" s="428"/>
      <c r="M462" s="428"/>
      <c r="N462" s="949"/>
    </row>
    <row r="463" spans="1:14" s="942" customFormat="1" ht="15.75" customHeight="1">
      <c r="A463" s="844"/>
      <c r="B463" s="389"/>
      <c r="C463" s="428">
        <f>C459</f>
        <v>3.6</v>
      </c>
      <c r="D463" s="428"/>
      <c r="E463" s="428">
        <v>0.6</v>
      </c>
      <c r="F463" s="428"/>
      <c r="G463" s="428"/>
      <c r="H463" s="428"/>
      <c r="I463" s="428"/>
      <c r="J463" s="428"/>
      <c r="K463" s="428"/>
      <c r="L463" s="428">
        <f>L459</f>
        <v>2</v>
      </c>
      <c r="M463" s="428">
        <f>C463*E463*L463</f>
        <v>4.32</v>
      </c>
      <c r="N463" s="949"/>
    </row>
    <row r="464" spans="1:14" s="942" customFormat="1" ht="15.75" customHeight="1">
      <c r="A464" s="844"/>
      <c r="B464" s="389"/>
      <c r="C464" s="428">
        <f>C460</f>
        <v>2.4</v>
      </c>
      <c r="D464" s="428"/>
      <c r="E464" s="428">
        <f>E463</f>
        <v>0.6</v>
      </c>
      <c r="F464" s="428"/>
      <c r="G464" s="428"/>
      <c r="H464" s="428"/>
      <c r="I464" s="428"/>
      <c r="J464" s="428"/>
      <c r="K464" s="428"/>
      <c r="L464" s="428">
        <f>L460</f>
        <v>2</v>
      </c>
      <c r="M464" s="590">
        <f>C464*E464*L464</f>
        <v>2.88</v>
      </c>
      <c r="N464" s="949"/>
    </row>
    <row r="465" spans="1:14" s="942" customFormat="1" ht="15.75" customHeight="1">
      <c r="A465" s="844"/>
      <c r="B465" s="389"/>
      <c r="C465" s="428"/>
      <c r="D465" s="428"/>
      <c r="E465" s="428"/>
      <c r="F465" s="428"/>
      <c r="G465" s="428"/>
      <c r="H465" s="428"/>
      <c r="I465" s="428"/>
      <c r="J465" s="428"/>
      <c r="K465" s="428"/>
      <c r="L465" s="428"/>
      <c r="M465" s="841">
        <f>SUM(M463:M464)</f>
        <v>7.2</v>
      </c>
      <c r="N465" s="955" t="s">
        <v>89</v>
      </c>
    </row>
    <row r="466" spans="1:14" s="942" customFormat="1" ht="15.75" customHeight="1">
      <c r="A466" s="844" t="s">
        <v>101</v>
      </c>
      <c r="B466" s="389" t="s">
        <v>193</v>
      </c>
      <c r="C466" s="428"/>
      <c r="D466" s="428"/>
      <c r="E466" s="428"/>
      <c r="F466" s="428"/>
      <c r="G466" s="428"/>
      <c r="H466" s="428"/>
      <c r="I466" s="428"/>
      <c r="J466" s="428"/>
      <c r="K466" s="428"/>
      <c r="L466" s="428"/>
      <c r="M466" s="428"/>
      <c r="N466" s="949"/>
    </row>
    <row r="467" spans="1:14" s="942" customFormat="1" ht="15.75" customHeight="1">
      <c r="A467" s="844"/>
      <c r="B467" s="389"/>
      <c r="C467" s="428" t="s">
        <v>1861</v>
      </c>
      <c r="D467" s="428"/>
      <c r="E467" s="428"/>
      <c r="F467" s="428"/>
      <c r="G467" s="428"/>
      <c r="H467" s="428"/>
      <c r="I467" s="428"/>
      <c r="J467" s="428"/>
      <c r="K467" s="428"/>
      <c r="L467" s="428"/>
      <c r="M467" s="428">
        <f>M465</f>
        <v>7.2</v>
      </c>
      <c r="N467" s="949"/>
    </row>
    <row r="468" spans="1:14" s="942" customFormat="1" ht="15.75" customHeight="1">
      <c r="A468" s="844"/>
      <c r="B468" s="682" t="s">
        <v>1345</v>
      </c>
      <c r="C468" s="428">
        <f>C463</f>
        <v>3.6</v>
      </c>
      <c r="D468" s="428">
        <v>0.15</v>
      </c>
      <c r="E468" s="428"/>
      <c r="F468" s="428"/>
      <c r="G468" s="428"/>
      <c r="H468" s="428"/>
      <c r="I468" s="428"/>
      <c r="J468" s="428"/>
      <c r="K468" s="428"/>
      <c r="L468" s="428">
        <f>L463</f>
        <v>2</v>
      </c>
      <c r="M468" s="428">
        <f>C468*D468*L468</f>
        <v>1.08</v>
      </c>
      <c r="N468" s="949"/>
    </row>
    <row r="469" spans="1:14" s="942" customFormat="1" ht="15.75" customHeight="1">
      <c r="A469" s="844"/>
      <c r="B469" s="682"/>
      <c r="C469" s="428">
        <f>C464</f>
        <v>2.4</v>
      </c>
      <c r="D469" s="428">
        <f>D468</f>
        <v>0.15</v>
      </c>
      <c r="E469" s="428"/>
      <c r="F469" s="428"/>
      <c r="G469" s="428"/>
      <c r="H469" s="428"/>
      <c r="I469" s="428"/>
      <c r="J469" s="428"/>
      <c r="K469" s="428"/>
      <c r="L469" s="428">
        <f>L464</f>
        <v>2</v>
      </c>
      <c r="M469" s="590">
        <f>C469*D469*L469</f>
        <v>0.72</v>
      </c>
      <c r="N469" s="949"/>
    </row>
    <row r="470" spans="1:14" s="942" customFormat="1" ht="15.75" customHeight="1">
      <c r="A470" s="844"/>
      <c r="B470" s="389"/>
      <c r="C470" s="428"/>
      <c r="D470" s="428"/>
      <c r="E470" s="428"/>
      <c r="F470" s="428"/>
      <c r="G470" s="428"/>
      <c r="H470" s="428"/>
      <c r="I470" s="428"/>
      <c r="J470" s="428"/>
      <c r="K470" s="428"/>
      <c r="L470" s="428"/>
      <c r="M470" s="841">
        <f>SUM(M467:M469)</f>
        <v>9.0000000000000018</v>
      </c>
      <c r="N470" s="955" t="s">
        <v>89</v>
      </c>
    </row>
    <row r="471" spans="1:14" s="942" customFormat="1" ht="15.75" customHeight="1">
      <c r="A471" s="844" t="s">
        <v>121</v>
      </c>
      <c r="B471" s="389" t="s">
        <v>194</v>
      </c>
      <c r="C471" s="428" t="s">
        <v>1148</v>
      </c>
      <c r="D471" s="428"/>
      <c r="E471" s="428"/>
      <c r="F471" s="428"/>
      <c r="G471" s="428"/>
      <c r="H471" s="428"/>
      <c r="I471" s="428"/>
      <c r="J471" s="428"/>
      <c r="K471" s="428"/>
      <c r="L471" s="428"/>
      <c r="M471" s="428">
        <f>M470</f>
        <v>9.0000000000000018</v>
      </c>
      <c r="N471" s="949" t="s">
        <v>89</v>
      </c>
    </row>
    <row r="472" spans="1:14" s="942" customFormat="1" ht="15.75" customHeight="1">
      <c r="A472" s="844" t="s">
        <v>142</v>
      </c>
      <c r="B472" s="389" t="s">
        <v>1854</v>
      </c>
      <c r="C472" s="428"/>
      <c r="D472" s="428"/>
      <c r="E472" s="428"/>
      <c r="F472" s="428"/>
      <c r="G472" s="428"/>
      <c r="H472" s="428"/>
      <c r="I472" s="428"/>
      <c r="J472" s="428"/>
      <c r="K472" s="428"/>
      <c r="L472" s="428"/>
      <c r="M472" s="428">
        <f>M471</f>
        <v>9.0000000000000018</v>
      </c>
      <c r="N472" s="949" t="s">
        <v>89</v>
      </c>
    </row>
    <row r="473" spans="1:14" s="942" customFormat="1" ht="15.75" customHeight="1">
      <c r="A473" s="844" t="s">
        <v>217</v>
      </c>
      <c r="B473" s="389" t="s">
        <v>1862</v>
      </c>
      <c r="C473" s="428"/>
      <c r="D473" s="428"/>
      <c r="E473" s="428"/>
      <c r="F473" s="428"/>
      <c r="G473" s="428"/>
      <c r="H473" s="428"/>
      <c r="I473" s="428"/>
      <c r="J473" s="428"/>
      <c r="K473" s="428"/>
      <c r="L473" s="428"/>
      <c r="M473" s="428"/>
      <c r="N473" s="949"/>
    </row>
    <row r="474" spans="1:14" s="942" customFormat="1" ht="15.75" customHeight="1">
      <c r="A474" s="844"/>
      <c r="B474" s="389"/>
      <c r="C474" s="428">
        <v>3</v>
      </c>
      <c r="D474" s="428">
        <v>0.4</v>
      </c>
      <c r="E474" s="428">
        <v>0.4</v>
      </c>
      <c r="F474" s="428"/>
      <c r="G474" s="428"/>
      <c r="H474" s="428"/>
      <c r="I474" s="428"/>
      <c r="J474" s="428"/>
      <c r="K474" s="428"/>
      <c r="L474" s="428">
        <f>L468</f>
        <v>2</v>
      </c>
      <c r="M474" s="428">
        <f>C474*D474*E474*L474</f>
        <v>0.96000000000000019</v>
      </c>
      <c r="N474" s="949"/>
    </row>
    <row r="475" spans="1:14" s="942" customFormat="1" ht="15.75" customHeight="1">
      <c r="A475" s="844"/>
      <c r="B475" s="389"/>
      <c r="C475" s="428">
        <f>C469</f>
        <v>2.4</v>
      </c>
      <c r="D475" s="428">
        <f>D474</f>
        <v>0.4</v>
      </c>
      <c r="E475" s="428">
        <f>E474</f>
        <v>0.4</v>
      </c>
      <c r="F475" s="428"/>
      <c r="G475" s="428"/>
      <c r="H475" s="428"/>
      <c r="I475" s="428"/>
      <c r="J475" s="428"/>
      <c r="K475" s="428"/>
      <c r="L475" s="428">
        <f>L469</f>
        <v>2</v>
      </c>
      <c r="M475" s="590">
        <f>C475*D475*E475*L475</f>
        <v>0.76800000000000002</v>
      </c>
      <c r="N475" s="949"/>
    </row>
    <row r="476" spans="1:14" s="942" customFormat="1" ht="15.75" customHeight="1">
      <c r="A476" s="844"/>
      <c r="B476" s="389"/>
      <c r="C476" s="428"/>
      <c r="D476" s="428"/>
      <c r="E476" s="428"/>
      <c r="F476" s="428"/>
      <c r="G476" s="428"/>
      <c r="H476" s="428"/>
      <c r="I476" s="428"/>
      <c r="J476" s="428"/>
      <c r="K476" s="428"/>
      <c r="L476" s="428"/>
      <c r="M476" s="841">
        <f>SUM(M474:M475)</f>
        <v>1.7280000000000002</v>
      </c>
      <c r="N476" s="955" t="s">
        <v>103</v>
      </c>
    </row>
    <row r="477" spans="1:14" s="942" customFormat="1" ht="15.75" customHeight="1">
      <c r="A477" s="451" t="s">
        <v>366</v>
      </c>
      <c r="B477" s="389" t="s">
        <v>1863</v>
      </c>
      <c r="C477" s="428"/>
      <c r="D477" s="428"/>
      <c r="E477" s="428"/>
      <c r="F477" s="428"/>
      <c r="G477" s="428"/>
      <c r="H477" s="428"/>
      <c r="I477" s="428"/>
      <c r="J477" s="428"/>
      <c r="K477" s="428"/>
      <c r="L477" s="428"/>
      <c r="M477" s="428"/>
      <c r="N477" s="949"/>
    </row>
    <row r="478" spans="1:14" s="942" customFormat="1" ht="15.75" customHeight="1">
      <c r="A478" s="451"/>
      <c r="B478" s="389"/>
      <c r="C478" s="428">
        <f>C474</f>
        <v>3</v>
      </c>
      <c r="D478" s="428"/>
      <c r="E478" s="428">
        <f>E475</f>
        <v>0.4</v>
      </c>
      <c r="F478" s="428"/>
      <c r="G478" s="428"/>
      <c r="H478" s="428"/>
      <c r="I478" s="428"/>
      <c r="J478" s="428"/>
      <c r="K478" s="428"/>
      <c r="L478" s="428">
        <f>L474</f>
        <v>2</v>
      </c>
      <c r="M478" s="428">
        <f>C478*E478*L478</f>
        <v>2.4000000000000004</v>
      </c>
      <c r="N478" s="949"/>
    </row>
    <row r="479" spans="1:14" s="942" customFormat="1" ht="15.75" customHeight="1">
      <c r="A479" s="451"/>
      <c r="B479" s="389"/>
      <c r="C479" s="428">
        <f>C475</f>
        <v>2.4</v>
      </c>
      <c r="D479" s="428"/>
      <c r="E479" s="428">
        <f>E478</f>
        <v>0.4</v>
      </c>
      <c r="F479" s="428"/>
      <c r="G479" s="428"/>
      <c r="H479" s="428"/>
      <c r="I479" s="428"/>
      <c r="J479" s="428"/>
      <c r="K479" s="428"/>
      <c r="L479" s="428">
        <f>L475</f>
        <v>2</v>
      </c>
      <c r="M479" s="590">
        <f>C479*E479*L479</f>
        <v>1.92</v>
      </c>
      <c r="N479" s="949"/>
    </row>
    <row r="480" spans="1:14" s="942" customFormat="1" ht="15.75" customHeight="1">
      <c r="A480" s="451"/>
      <c r="B480" s="389"/>
      <c r="C480" s="428"/>
      <c r="D480" s="428"/>
      <c r="E480" s="428"/>
      <c r="F480" s="428"/>
      <c r="G480" s="428"/>
      <c r="H480" s="428"/>
      <c r="I480" s="428"/>
      <c r="J480" s="428"/>
      <c r="K480" s="428"/>
      <c r="L480" s="428"/>
      <c r="M480" s="841">
        <f>SUM(M478:M479)</f>
        <v>4.32</v>
      </c>
      <c r="N480" s="955" t="s">
        <v>89</v>
      </c>
    </row>
    <row r="481" spans="1:14" s="942" customFormat="1" ht="15.75" customHeight="1">
      <c r="A481" s="451" t="s">
        <v>476</v>
      </c>
      <c r="B481" s="389" t="s">
        <v>1864</v>
      </c>
      <c r="C481" s="428"/>
      <c r="D481" s="428"/>
      <c r="E481" s="428"/>
      <c r="F481" s="428"/>
      <c r="G481" s="428"/>
      <c r="H481" s="428"/>
      <c r="I481" s="428"/>
      <c r="J481" s="428"/>
      <c r="K481" s="428"/>
      <c r="L481" s="428"/>
      <c r="M481" s="428"/>
      <c r="N481" s="949"/>
    </row>
    <row r="482" spans="1:14" s="942" customFormat="1" ht="15.75" customHeight="1">
      <c r="A482" s="451"/>
      <c r="B482" s="389"/>
      <c r="C482" s="428">
        <v>3</v>
      </c>
      <c r="D482" s="428"/>
      <c r="E482" s="428"/>
      <c r="F482" s="428"/>
      <c r="G482" s="428"/>
      <c r="H482" s="428"/>
      <c r="I482" s="428"/>
      <c r="J482" s="428"/>
      <c r="K482" s="428"/>
      <c r="L482" s="428">
        <f>L478</f>
        <v>2</v>
      </c>
      <c r="M482" s="428">
        <f>C482*L482</f>
        <v>6</v>
      </c>
      <c r="N482" s="949"/>
    </row>
    <row r="483" spans="1:14" s="942" customFormat="1" ht="15.75" customHeight="1">
      <c r="A483" s="451"/>
      <c r="B483" s="389"/>
      <c r="C483" s="428">
        <v>1.8</v>
      </c>
      <c r="D483" s="428"/>
      <c r="E483" s="428"/>
      <c r="F483" s="428"/>
      <c r="G483" s="428"/>
      <c r="H483" s="428"/>
      <c r="I483" s="428"/>
      <c r="J483" s="428"/>
      <c r="K483" s="428"/>
      <c r="L483" s="428">
        <f>L479</f>
        <v>2</v>
      </c>
      <c r="M483" s="590">
        <f>C483*L483</f>
        <v>3.6</v>
      </c>
      <c r="N483" s="949"/>
    </row>
    <row r="484" spans="1:14" s="942" customFormat="1" ht="15.75" customHeight="1">
      <c r="A484" s="451"/>
      <c r="B484" s="389"/>
      <c r="C484" s="428"/>
      <c r="D484" s="428"/>
      <c r="E484" s="428"/>
      <c r="F484" s="428"/>
      <c r="G484" s="428"/>
      <c r="H484" s="428"/>
      <c r="I484" s="428"/>
      <c r="J484" s="428"/>
      <c r="K484" s="428"/>
      <c r="L484" s="428"/>
      <c r="M484" s="841">
        <f>SUM(M482:M483)</f>
        <v>9.6</v>
      </c>
      <c r="N484" s="955" t="s">
        <v>117</v>
      </c>
    </row>
    <row r="485" spans="1:14" s="942" customFormat="1" ht="15.75" customHeight="1">
      <c r="A485" s="394">
        <f>A457+1</f>
        <v>14</v>
      </c>
      <c r="B485" s="389" t="s">
        <v>1865</v>
      </c>
      <c r="C485" s="428"/>
      <c r="D485" s="428"/>
      <c r="E485" s="428"/>
      <c r="F485" s="428"/>
      <c r="G485" s="428"/>
      <c r="H485" s="428"/>
      <c r="I485" s="428"/>
      <c r="J485" s="428"/>
      <c r="K485" s="428"/>
      <c r="L485" s="428"/>
      <c r="M485" s="841"/>
      <c r="N485" s="955"/>
    </row>
    <row r="486" spans="1:14" s="942" customFormat="1" ht="15.75" customHeight="1">
      <c r="A486" s="844" t="s">
        <v>95</v>
      </c>
      <c r="B486" s="389" t="s">
        <v>1866</v>
      </c>
      <c r="C486" s="428"/>
      <c r="D486" s="428"/>
      <c r="E486" s="428"/>
      <c r="F486" s="428"/>
      <c r="G486" s="428"/>
      <c r="H486" s="428"/>
      <c r="I486" s="428"/>
      <c r="J486" s="428"/>
      <c r="K486" s="428"/>
      <c r="L486" s="428"/>
      <c r="M486" s="841"/>
      <c r="N486" s="955"/>
    </row>
    <row r="487" spans="1:14" s="942" customFormat="1" ht="15.75" customHeight="1">
      <c r="A487" s="844"/>
      <c r="B487" s="389"/>
      <c r="C487" s="428"/>
      <c r="D487" s="428">
        <v>1.7</v>
      </c>
      <c r="E487" s="428"/>
      <c r="F487" s="428"/>
      <c r="G487" s="428"/>
      <c r="H487" s="428"/>
      <c r="I487" s="428"/>
      <c r="J487" s="428"/>
      <c r="K487" s="428"/>
      <c r="L487" s="428">
        <v>3</v>
      </c>
      <c r="M487" s="390">
        <f>D487*L487</f>
        <v>5.0999999999999996</v>
      </c>
      <c r="N487" s="955"/>
    </row>
    <row r="488" spans="1:14" s="942" customFormat="1" ht="15.75" customHeight="1">
      <c r="A488" s="844"/>
      <c r="B488" s="389"/>
      <c r="C488" s="428"/>
      <c r="D488" s="428"/>
      <c r="E488" s="428">
        <v>2.15</v>
      </c>
      <c r="F488" s="428"/>
      <c r="G488" s="428"/>
      <c r="H488" s="428"/>
      <c r="I488" s="428"/>
      <c r="J488" s="428">
        <v>2</v>
      </c>
      <c r="K488" s="428"/>
      <c r="L488" s="428">
        <f>L487</f>
        <v>3</v>
      </c>
      <c r="M488" s="590">
        <f>E488*J488*L488</f>
        <v>12.899999999999999</v>
      </c>
      <c r="N488" s="955"/>
    </row>
    <row r="489" spans="1:14" s="942" customFormat="1" ht="15.75" customHeight="1">
      <c r="A489" s="844"/>
      <c r="B489" s="389"/>
      <c r="C489" s="428"/>
      <c r="D489" s="428"/>
      <c r="E489" s="428"/>
      <c r="F489" s="428"/>
      <c r="G489" s="428"/>
      <c r="H489" s="428"/>
      <c r="I489" s="428"/>
      <c r="J489" s="428"/>
      <c r="K489" s="428"/>
      <c r="L489" s="428"/>
      <c r="M489" s="841">
        <f>SUM(M487:M488)</f>
        <v>18</v>
      </c>
      <c r="N489" s="955" t="s">
        <v>117</v>
      </c>
    </row>
    <row r="490" spans="1:14" s="942" customFormat="1" ht="15.75" customHeight="1">
      <c r="A490" s="844" t="s">
        <v>98</v>
      </c>
      <c r="B490" s="389" t="s">
        <v>1867</v>
      </c>
      <c r="C490" s="428"/>
      <c r="D490" s="428">
        <v>1.6</v>
      </c>
      <c r="E490" s="428">
        <v>2.1</v>
      </c>
      <c r="F490" s="428"/>
      <c r="G490" s="428"/>
      <c r="H490" s="428"/>
      <c r="I490" s="428"/>
      <c r="J490" s="428"/>
      <c r="K490" s="428"/>
      <c r="L490" s="428">
        <f>L488</f>
        <v>3</v>
      </c>
      <c r="M490" s="390">
        <f>D490*E490*L490</f>
        <v>10.080000000000002</v>
      </c>
      <c r="N490" s="949" t="s">
        <v>89</v>
      </c>
    </row>
    <row r="491" spans="1:14" s="942" customFormat="1" ht="15.75" customHeight="1">
      <c r="A491" s="451" t="s">
        <v>101</v>
      </c>
      <c r="B491" s="389" t="s">
        <v>1868</v>
      </c>
      <c r="C491" s="428"/>
      <c r="D491" s="428">
        <v>1.5</v>
      </c>
      <c r="E491" s="428">
        <v>2</v>
      </c>
      <c r="F491" s="428"/>
      <c r="G491" s="428"/>
      <c r="H491" s="428"/>
      <c r="I491" s="428"/>
      <c r="J491" s="428"/>
      <c r="K491" s="428"/>
      <c r="L491" s="428">
        <f>L490</f>
        <v>3</v>
      </c>
      <c r="M491" s="390">
        <f>D491*E491*L491</f>
        <v>9</v>
      </c>
      <c r="N491" s="949" t="s">
        <v>89</v>
      </c>
    </row>
    <row r="492" spans="1:14" s="942" customFormat="1" ht="15.75" customHeight="1">
      <c r="A492" s="451" t="s">
        <v>121</v>
      </c>
      <c r="B492" s="389" t="s">
        <v>1869</v>
      </c>
      <c r="C492" s="428"/>
      <c r="D492" s="428"/>
      <c r="E492" s="428"/>
      <c r="F492" s="428"/>
      <c r="G492" s="428"/>
      <c r="H492" s="428"/>
      <c r="I492" s="428"/>
      <c r="J492" s="428"/>
      <c r="K492" s="428">
        <v>1.5</v>
      </c>
      <c r="L492" s="428">
        <f>L491</f>
        <v>3</v>
      </c>
      <c r="M492" s="390">
        <f>K492*L492</f>
        <v>4.5</v>
      </c>
      <c r="N492" s="949" t="s">
        <v>328</v>
      </c>
    </row>
    <row r="493" spans="1:14" s="942" customFormat="1" ht="15.75" customHeight="1">
      <c r="A493" s="451" t="s">
        <v>142</v>
      </c>
      <c r="B493" s="389" t="s">
        <v>1870</v>
      </c>
      <c r="C493" s="428"/>
      <c r="D493" s="428"/>
      <c r="E493" s="428"/>
      <c r="F493" s="428"/>
      <c r="G493" s="428"/>
      <c r="H493" s="428"/>
      <c r="I493" s="428"/>
      <c r="J493" s="428"/>
      <c r="K493" s="428"/>
      <c r="L493" s="428">
        <f>L492</f>
        <v>3</v>
      </c>
      <c r="M493" s="390">
        <f>L493</f>
        <v>3</v>
      </c>
      <c r="N493" s="949" t="s">
        <v>313</v>
      </c>
    </row>
    <row r="494" spans="1:14" s="942" customFormat="1" ht="15.75" customHeight="1">
      <c r="A494" s="451" t="s">
        <v>217</v>
      </c>
      <c r="B494" s="389" t="s">
        <v>658</v>
      </c>
      <c r="C494" s="428"/>
      <c r="D494" s="428"/>
      <c r="E494" s="428"/>
      <c r="F494" s="428"/>
      <c r="G494" s="428"/>
      <c r="H494" s="428"/>
      <c r="I494" s="428"/>
      <c r="J494" s="428"/>
      <c r="K494" s="428">
        <v>2</v>
      </c>
      <c r="L494" s="428">
        <f>L493</f>
        <v>3</v>
      </c>
      <c r="M494" s="390">
        <f>K494*L494</f>
        <v>6</v>
      </c>
      <c r="N494" s="949" t="s">
        <v>124</v>
      </c>
    </row>
    <row r="495" spans="1:14" s="942" customFormat="1" ht="15.75" customHeight="1">
      <c r="A495" s="451" t="s">
        <v>366</v>
      </c>
      <c r="B495" s="389" t="s">
        <v>1871</v>
      </c>
      <c r="C495" s="428"/>
      <c r="D495" s="428"/>
      <c r="E495" s="428"/>
      <c r="F495" s="428"/>
      <c r="G495" s="428"/>
      <c r="H495" s="428"/>
      <c r="I495" s="428"/>
      <c r="J495" s="428"/>
      <c r="K495" s="428">
        <v>2</v>
      </c>
      <c r="L495" s="428">
        <f>L494</f>
        <v>3</v>
      </c>
      <c r="M495" s="390">
        <f>K495*L495</f>
        <v>6</v>
      </c>
      <c r="N495" s="949" t="s">
        <v>313</v>
      </c>
    </row>
    <row r="496" spans="1:14" s="942" customFormat="1" ht="15.75" customHeight="1">
      <c r="A496" s="394">
        <f>A485+1</f>
        <v>15</v>
      </c>
      <c r="B496" s="389" t="s">
        <v>1872</v>
      </c>
      <c r="C496" s="428"/>
      <c r="D496" s="428"/>
      <c r="E496" s="428"/>
      <c r="F496" s="428"/>
      <c r="G496" s="428"/>
      <c r="H496" s="428"/>
      <c r="I496" s="428"/>
      <c r="J496" s="428"/>
      <c r="K496" s="428"/>
      <c r="L496" s="428"/>
      <c r="M496" s="390"/>
      <c r="N496" s="949"/>
    </row>
    <row r="497" spans="1:14" s="942" customFormat="1" ht="15.75" customHeight="1">
      <c r="A497" s="844" t="s">
        <v>95</v>
      </c>
      <c r="B497" s="389" t="s">
        <v>1866</v>
      </c>
      <c r="C497" s="428"/>
      <c r="D497" s="428"/>
      <c r="E497" s="428"/>
      <c r="F497" s="428"/>
      <c r="G497" s="428"/>
      <c r="H497" s="428"/>
      <c r="I497" s="428"/>
      <c r="J497" s="428"/>
      <c r="K497" s="428"/>
      <c r="L497" s="428"/>
      <c r="M497" s="390"/>
      <c r="N497" s="949"/>
    </row>
    <row r="498" spans="1:14" s="942" customFormat="1" ht="15.75" customHeight="1">
      <c r="A498" s="844"/>
      <c r="B498" s="389"/>
      <c r="C498" s="428">
        <f>C417</f>
        <v>1.72</v>
      </c>
      <c r="D498" s="428"/>
      <c r="E498" s="428"/>
      <c r="F498" s="428"/>
      <c r="G498" s="428"/>
      <c r="H498" s="428"/>
      <c r="I498" s="428"/>
      <c r="J498" s="428"/>
      <c r="K498" s="428">
        <v>2</v>
      </c>
      <c r="L498" s="428">
        <v>4</v>
      </c>
      <c r="M498" s="390">
        <f>C498*K498*L498</f>
        <v>13.76</v>
      </c>
      <c r="N498" s="949"/>
    </row>
    <row r="499" spans="1:14" s="942" customFormat="1" ht="15.75" customHeight="1">
      <c r="A499" s="844"/>
      <c r="B499" s="389"/>
      <c r="C499" s="428"/>
      <c r="D499" s="428"/>
      <c r="E499" s="428">
        <f>E417</f>
        <v>1.94</v>
      </c>
      <c r="F499" s="428"/>
      <c r="G499" s="428"/>
      <c r="H499" s="428"/>
      <c r="I499" s="428"/>
      <c r="J499" s="428"/>
      <c r="K499" s="428">
        <v>3</v>
      </c>
      <c r="L499" s="428">
        <f>L498</f>
        <v>4</v>
      </c>
      <c r="M499" s="590">
        <f>E499*K499*L499</f>
        <v>23.28</v>
      </c>
      <c r="N499" s="949"/>
    </row>
    <row r="500" spans="1:14" s="942" customFormat="1" ht="15.75" customHeight="1">
      <c r="A500" s="844"/>
      <c r="B500" s="389"/>
      <c r="C500" s="428"/>
      <c r="D500" s="428"/>
      <c r="E500" s="428"/>
      <c r="F500" s="428"/>
      <c r="G500" s="428"/>
      <c r="H500" s="428"/>
      <c r="I500" s="428"/>
      <c r="J500" s="428"/>
      <c r="K500" s="428"/>
      <c r="L500" s="428"/>
      <c r="M500" s="841">
        <f>SUM(M498:M499)</f>
        <v>37.04</v>
      </c>
      <c r="N500" s="955" t="s">
        <v>117</v>
      </c>
    </row>
    <row r="501" spans="1:14" s="942" customFormat="1" ht="15.75" customHeight="1">
      <c r="A501" s="844" t="s">
        <v>98</v>
      </c>
      <c r="B501" s="389" t="s">
        <v>1867</v>
      </c>
      <c r="C501" s="428">
        <v>1.6</v>
      </c>
      <c r="D501" s="428"/>
      <c r="E501" s="428">
        <v>1.85</v>
      </c>
      <c r="F501" s="428"/>
      <c r="G501" s="428"/>
      <c r="H501" s="428"/>
      <c r="I501" s="428"/>
      <c r="J501" s="428"/>
      <c r="K501" s="428"/>
      <c r="L501" s="428">
        <f>L499</f>
        <v>4</v>
      </c>
      <c r="M501" s="390">
        <f>C501*E501*L501</f>
        <v>11.840000000000002</v>
      </c>
      <c r="N501" s="949" t="s">
        <v>89</v>
      </c>
    </row>
    <row r="502" spans="1:14" s="942" customFormat="1" ht="15.75" customHeight="1">
      <c r="A502" s="451" t="s">
        <v>101</v>
      </c>
      <c r="B502" s="389" t="s">
        <v>1873</v>
      </c>
      <c r="C502" s="428">
        <v>1.55</v>
      </c>
      <c r="D502" s="428"/>
      <c r="E502" s="428">
        <v>1.8</v>
      </c>
      <c r="F502" s="428"/>
      <c r="G502" s="428"/>
      <c r="H502" s="428"/>
      <c r="I502" s="428"/>
      <c r="J502" s="428"/>
      <c r="K502" s="428"/>
      <c r="L502" s="428">
        <f>L501</f>
        <v>4</v>
      </c>
      <c r="M502" s="390">
        <f>C502*E502*L502</f>
        <v>11.16</v>
      </c>
      <c r="N502" s="949" t="s">
        <v>89</v>
      </c>
    </row>
    <row r="503" spans="1:14" s="942" customFormat="1" ht="15.75" customHeight="1">
      <c r="A503" s="451" t="s">
        <v>121</v>
      </c>
      <c r="B503" s="389" t="s">
        <v>1874</v>
      </c>
      <c r="C503" s="428"/>
      <c r="D503" s="428"/>
      <c r="E503" s="428"/>
      <c r="F503" s="428"/>
      <c r="G503" s="428"/>
      <c r="H503" s="428"/>
      <c r="I503" s="428"/>
      <c r="J503" s="428"/>
      <c r="K503" s="428">
        <f>1*2</f>
        <v>2</v>
      </c>
      <c r="L503" s="428">
        <f>L502</f>
        <v>4</v>
      </c>
      <c r="M503" s="390">
        <f>K503*L503</f>
        <v>8</v>
      </c>
      <c r="N503" s="949" t="s">
        <v>328</v>
      </c>
    </row>
    <row r="504" spans="1:14" s="942" customFormat="1" ht="15.75" customHeight="1">
      <c r="A504" s="451" t="s">
        <v>142</v>
      </c>
      <c r="B504" s="389" t="s">
        <v>667</v>
      </c>
      <c r="C504" s="428"/>
      <c r="D504" s="428"/>
      <c r="E504" s="428"/>
      <c r="F504" s="428"/>
      <c r="G504" s="428"/>
      <c r="H504" s="428"/>
      <c r="I504" s="428"/>
      <c r="J504" s="428"/>
      <c r="K504" s="428">
        <v>2</v>
      </c>
      <c r="L504" s="428">
        <f>L503</f>
        <v>4</v>
      </c>
      <c r="M504" s="390">
        <f>K504*L504</f>
        <v>8</v>
      </c>
      <c r="N504" s="949" t="s">
        <v>124</v>
      </c>
    </row>
    <row r="505" spans="1:14" s="942" customFormat="1" ht="15.75" customHeight="1">
      <c r="A505" s="451" t="s">
        <v>217</v>
      </c>
      <c r="B505" s="389" t="s">
        <v>1875</v>
      </c>
      <c r="C505" s="428"/>
      <c r="D505" s="428"/>
      <c r="E505" s="428"/>
      <c r="F505" s="428"/>
      <c r="G505" s="428"/>
      <c r="H505" s="428"/>
      <c r="I505" s="428"/>
      <c r="J505" s="428"/>
      <c r="K505" s="428">
        <f>2*2</f>
        <v>4</v>
      </c>
      <c r="L505" s="428">
        <f>L504</f>
        <v>4</v>
      </c>
      <c r="M505" s="390">
        <f>K505*L505</f>
        <v>16</v>
      </c>
      <c r="N505" s="949" t="s">
        <v>124</v>
      </c>
    </row>
    <row r="506" spans="1:14" s="942" customFormat="1" ht="15.75" customHeight="1">
      <c r="A506" s="394">
        <f>A496+1</f>
        <v>16</v>
      </c>
      <c r="B506" s="389" t="s">
        <v>1876</v>
      </c>
      <c r="C506" s="428"/>
      <c r="D506" s="428"/>
      <c r="E506" s="428"/>
      <c r="F506" s="428"/>
      <c r="G506" s="428"/>
      <c r="H506" s="428"/>
      <c r="I506" s="428"/>
      <c r="J506" s="428"/>
      <c r="K506" s="428"/>
      <c r="L506" s="428"/>
      <c r="M506" s="390"/>
      <c r="N506" s="949"/>
    </row>
    <row r="507" spans="1:14" s="942" customFormat="1" ht="15.75" customHeight="1">
      <c r="A507" s="844" t="s">
        <v>95</v>
      </c>
      <c r="B507" s="389" t="s">
        <v>1866</v>
      </c>
      <c r="C507" s="428"/>
      <c r="D507" s="428"/>
      <c r="E507" s="428"/>
      <c r="F507" s="428"/>
      <c r="G507" s="428"/>
      <c r="H507" s="428"/>
      <c r="I507" s="428"/>
      <c r="J507" s="428"/>
      <c r="K507" s="428"/>
      <c r="L507" s="428"/>
      <c r="M507" s="390"/>
      <c r="N507" s="949"/>
    </row>
    <row r="508" spans="1:14" s="942" customFormat="1" ht="15.75" customHeight="1">
      <c r="A508" s="844"/>
      <c r="B508" s="389"/>
      <c r="C508" s="428">
        <f>C418</f>
        <v>2.56</v>
      </c>
      <c r="D508" s="428"/>
      <c r="E508" s="428"/>
      <c r="F508" s="428"/>
      <c r="G508" s="428"/>
      <c r="H508" s="428"/>
      <c r="I508" s="428"/>
      <c r="J508" s="428"/>
      <c r="K508" s="428">
        <v>2</v>
      </c>
      <c r="L508" s="428">
        <v>2</v>
      </c>
      <c r="M508" s="390">
        <f>C508*K508*L508</f>
        <v>10.24</v>
      </c>
      <c r="N508" s="949"/>
    </row>
    <row r="509" spans="1:14" s="942" customFormat="1" ht="15.75" customHeight="1">
      <c r="A509" s="844"/>
      <c r="B509" s="389"/>
      <c r="C509" s="428"/>
      <c r="D509" s="428"/>
      <c r="E509" s="428">
        <f>E418</f>
        <v>1.94</v>
      </c>
      <c r="F509" s="428"/>
      <c r="G509" s="428"/>
      <c r="H509" s="428"/>
      <c r="I509" s="428"/>
      <c r="J509" s="428"/>
      <c r="K509" s="428">
        <v>4</v>
      </c>
      <c r="L509" s="428">
        <f>L508</f>
        <v>2</v>
      </c>
      <c r="M509" s="590">
        <f>E509*K509*L509</f>
        <v>15.52</v>
      </c>
      <c r="N509" s="949"/>
    </row>
    <row r="510" spans="1:14" s="942" customFormat="1" ht="15.75" customHeight="1">
      <c r="A510" s="844"/>
      <c r="B510" s="389"/>
      <c r="C510" s="428"/>
      <c r="D510" s="428"/>
      <c r="E510" s="428"/>
      <c r="F510" s="428"/>
      <c r="G510" s="428"/>
      <c r="H510" s="428"/>
      <c r="I510" s="428"/>
      <c r="J510" s="428"/>
      <c r="K510" s="428"/>
      <c r="L510" s="428"/>
      <c r="M510" s="841">
        <f>SUM(M508:M509)</f>
        <v>25.759999999999998</v>
      </c>
      <c r="N510" s="955" t="s">
        <v>117</v>
      </c>
    </row>
    <row r="511" spans="1:14" s="942" customFormat="1" ht="15.75" customHeight="1">
      <c r="A511" s="844" t="s">
        <v>98</v>
      </c>
      <c r="B511" s="389" t="s">
        <v>1867</v>
      </c>
      <c r="C511" s="428">
        <v>2.4</v>
      </c>
      <c r="D511" s="428"/>
      <c r="E511" s="428">
        <v>1.85</v>
      </c>
      <c r="F511" s="428"/>
      <c r="G511" s="428"/>
      <c r="H511" s="428"/>
      <c r="I511" s="428"/>
      <c r="J511" s="428"/>
      <c r="K511" s="428"/>
      <c r="L511" s="428">
        <f>L509</f>
        <v>2</v>
      </c>
      <c r="M511" s="390">
        <f>C511*E511*L511</f>
        <v>8.8800000000000008</v>
      </c>
      <c r="N511" s="949" t="s">
        <v>89</v>
      </c>
    </row>
    <row r="512" spans="1:14" s="942" customFormat="1" ht="15.75" customHeight="1">
      <c r="A512" s="451" t="s">
        <v>101</v>
      </c>
      <c r="B512" s="389" t="s">
        <v>1873</v>
      </c>
      <c r="C512" s="428">
        <v>2.35</v>
      </c>
      <c r="D512" s="428"/>
      <c r="E512" s="428">
        <v>1.8</v>
      </c>
      <c r="F512" s="428"/>
      <c r="G512" s="428"/>
      <c r="H512" s="428"/>
      <c r="I512" s="428"/>
      <c r="J512" s="428"/>
      <c r="K512" s="428"/>
      <c r="L512" s="428">
        <f>L511</f>
        <v>2</v>
      </c>
      <c r="M512" s="390">
        <f>C512*E512*L512</f>
        <v>8.4600000000000009</v>
      </c>
      <c r="N512" s="949" t="s">
        <v>89</v>
      </c>
    </row>
    <row r="513" spans="1:17" s="942" customFormat="1" ht="15.75" customHeight="1">
      <c r="A513" s="451" t="s">
        <v>121</v>
      </c>
      <c r="B513" s="389" t="s">
        <v>1874</v>
      </c>
      <c r="C513" s="428"/>
      <c r="D513" s="428"/>
      <c r="E513" s="428"/>
      <c r="F513" s="428"/>
      <c r="G513" s="428"/>
      <c r="H513" s="428"/>
      <c r="I513" s="428"/>
      <c r="J513" s="428"/>
      <c r="K513" s="428">
        <f>1*3</f>
        <v>3</v>
      </c>
      <c r="L513" s="428">
        <f>L512</f>
        <v>2</v>
      </c>
      <c r="M513" s="390">
        <f>K513*L513</f>
        <v>6</v>
      </c>
      <c r="N513" s="949" t="s">
        <v>328</v>
      </c>
    </row>
    <row r="514" spans="1:17" s="942" customFormat="1" ht="15.75" customHeight="1">
      <c r="A514" s="451" t="s">
        <v>142</v>
      </c>
      <c r="B514" s="389" t="s">
        <v>667</v>
      </c>
      <c r="C514" s="428"/>
      <c r="D514" s="428"/>
      <c r="E514" s="428"/>
      <c r="F514" s="428"/>
      <c r="G514" s="428"/>
      <c r="H514" s="428"/>
      <c r="I514" s="428"/>
      <c r="J514" s="428"/>
      <c r="K514" s="428">
        <v>3</v>
      </c>
      <c r="L514" s="428">
        <f>L513</f>
        <v>2</v>
      </c>
      <c r="M514" s="390">
        <f>K514*L514</f>
        <v>6</v>
      </c>
      <c r="N514" s="949" t="s">
        <v>124</v>
      </c>
    </row>
    <row r="515" spans="1:17" s="942" customFormat="1" ht="15.75" customHeight="1">
      <c r="A515" s="451" t="s">
        <v>217</v>
      </c>
      <c r="B515" s="389" t="s">
        <v>1875</v>
      </c>
      <c r="C515" s="428"/>
      <c r="D515" s="428"/>
      <c r="E515" s="428"/>
      <c r="F515" s="428"/>
      <c r="G515" s="428"/>
      <c r="H515" s="428"/>
      <c r="I515" s="428"/>
      <c r="J515" s="428"/>
      <c r="K515" s="428">
        <f>2*3</f>
        <v>6</v>
      </c>
      <c r="L515" s="428">
        <f>L514</f>
        <v>2</v>
      </c>
      <c r="M515" s="390">
        <f>K515*L515</f>
        <v>12</v>
      </c>
      <c r="N515" s="949" t="s">
        <v>124</v>
      </c>
    </row>
    <row r="516" spans="1:17" s="942" customFormat="1" ht="15.75" customHeight="1">
      <c r="A516" s="394">
        <f>A506+1</f>
        <v>17</v>
      </c>
      <c r="B516" s="389" t="s">
        <v>633</v>
      </c>
      <c r="C516" s="428"/>
      <c r="D516" s="428"/>
      <c r="E516" s="428"/>
      <c r="F516" s="428"/>
      <c r="G516" s="428"/>
      <c r="H516" s="428"/>
      <c r="I516" s="428"/>
      <c r="J516" s="428"/>
      <c r="K516" s="428"/>
      <c r="L516" s="428"/>
      <c r="M516" s="390"/>
      <c r="N516" s="949"/>
    </row>
    <row r="517" spans="1:17" s="942" customFormat="1" ht="15.75" customHeight="1">
      <c r="A517" s="844" t="s">
        <v>95</v>
      </c>
      <c r="B517" s="389" t="s">
        <v>1866</v>
      </c>
      <c r="C517" s="428"/>
      <c r="D517" s="428"/>
      <c r="E517" s="428"/>
      <c r="F517" s="428"/>
      <c r="G517" s="428"/>
      <c r="H517" s="428"/>
      <c r="I517" s="428"/>
      <c r="J517" s="428"/>
      <c r="K517" s="428"/>
      <c r="L517" s="428"/>
      <c r="M517" s="390"/>
      <c r="N517" s="949"/>
    </row>
    <row r="518" spans="1:17" s="942" customFormat="1" ht="15.75" customHeight="1">
      <c r="A518" s="844"/>
      <c r="B518" s="389"/>
      <c r="C518" s="428">
        <f>C412</f>
        <v>1.35</v>
      </c>
      <c r="D518" s="428"/>
      <c r="E518" s="428"/>
      <c r="F518" s="428"/>
      <c r="G518" s="428"/>
      <c r="H518" s="428"/>
      <c r="I518" s="428"/>
      <c r="J518" s="428">
        <v>2</v>
      </c>
      <c r="K518" s="428"/>
      <c r="L518" s="428">
        <v>1</v>
      </c>
      <c r="M518" s="390">
        <f>C518*J518*L518</f>
        <v>2.7</v>
      </c>
      <c r="N518" s="949"/>
    </row>
    <row r="519" spans="1:17" s="942" customFormat="1" ht="15.75" customHeight="1">
      <c r="A519" s="844"/>
      <c r="B519" s="389"/>
      <c r="C519" s="428"/>
      <c r="D519" s="428"/>
      <c r="E519" s="428">
        <f>E412</f>
        <v>0.48</v>
      </c>
      <c r="F519" s="428"/>
      <c r="G519" s="428"/>
      <c r="H519" s="428"/>
      <c r="I519" s="428"/>
      <c r="J519" s="428">
        <f>J518</f>
        <v>2</v>
      </c>
      <c r="K519" s="428"/>
      <c r="L519" s="428">
        <f>L518</f>
        <v>1</v>
      </c>
      <c r="M519" s="590">
        <f>E519*J519*L519</f>
        <v>0.96</v>
      </c>
      <c r="N519" s="949"/>
    </row>
    <row r="520" spans="1:17" s="942" customFormat="1" ht="15.75" customHeight="1">
      <c r="A520" s="844"/>
      <c r="B520" s="389"/>
      <c r="C520" s="428"/>
      <c r="D520" s="428"/>
      <c r="E520" s="428"/>
      <c r="F520" s="428"/>
      <c r="G520" s="428"/>
      <c r="H520" s="428"/>
      <c r="I520" s="428"/>
      <c r="J520" s="428"/>
      <c r="K520" s="428"/>
      <c r="L520" s="428"/>
      <c r="M520" s="841">
        <f>SUM(M518:M519)</f>
        <v>3.66</v>
      </c>
      <c r="N520" s="955" t="s">
        <v>117</v>
      </c>
    </row>
    <row r="521" spans="1:17" s="942" customFormat="1" ht="15.75" customHeight="1">
      <c r="A521" s="844" t="s">
        <v>98</v>
      </c>
      <c r="B521" s="389" t="s">
        <v>1877</v>
      </c>
      <c r="C521" s="428">
        <f>1.3</f>
        <v>1.3</v>
      </c>
      <c r="D521" s="428"/>
      <c r="E521" s="428">
        <v>0.5</v>
      </c>
      <c r="F521" s="428"/>
      <c r="G521" s="428"/>
      <c r="H521" s="428"/>
      <c r="I521" s="428"/>
      <c r="J521" s="428"/>
      <c r="K521" s="428"/>
      <c r="L521" s="428">
        <f>L519</f>
        <v>1</v>
      </c>
      <c r="M521" s="390">
        <f>C521*E521*L521</f>
        <v>0.65</v>
      </c>
      <c r="N521" s="949" t="s">
        <v>89</v>
      </c>
    </row>
    <row r="522" spans="1:17" s="942" customFormat="1" ht="15.75" customHeight="1">
      <c r="A522" s="394">
        <f>A516+1</f>
        <v>18</v>
      </c>
      <c r="B522" s="389" t="s">
        <v>582</v>
      </c>
      <c r="C522" s="428"/>
      <c r="D522" s="428"/>
      <c r="E522" s="428"/>
      <c r="F522" s="428"/>
      <c r="G522" s="428"/>
      <c r="H522" s="428"/>
      <c r="I522" s="428"/>
      <c r="J522" s="428"/>
      <c r="K522" s="428"/>
      <c r="L522" s="428"/>
      <c r="M522" s="428">
        <v>1</v>
      </c>
      <c r="N522" s="949" t="s">
        <v>360</v>
      </c>
      <c r="Q522" s="453" t="s">
        <v>1878</v>
      </c>
    </row>
    <row r="523" spans="1:17" s="942" customFormat="1" ht="27.75" customHeight="1">
      <c r="A523" s="836">
        <f>A522+1</f>
        <v>19</v>
      </c>
      <c r="B523" s="1551" t="s">
        <v>1879</v>
      </c>
      <c r="C523" s="428"/>
      <c r="D523" s="428"/>
      <c r="E523" s="428"/>
      <c r="F523" s="428"/>
      <c r="G523" s="428"/>
      <c r="H523" s="428"/>
      <c r="I523" s="428"/>
      <c r="J523" s="428"/>
      <c r="K523" s="428"/>
      <c r="L523" s="428"/>
      <c r="M523" s="428">
        <v>16</v>
      </c>
      <c r="N523" s="949" t="s">
        <v>124</v>
      </c>
    </row>
    <row r="524" spans="1:17" s="942" customFormat="1" ht="15.75" customHeight="1">
      <c r="A524" s="425" t="s">
        <v>1332</v>
      </c>
      <c r="B524" s="446" t="s">
        <v>585</v>
      </c>
      <c r="C524" s="428"/>
      <c r="D524" s="428"/>
      <c r="E524" s="428"/>
      <c r="F524" s="428"/>
      <c r="G524" s="428"/>
      <c r="H524" s="428"/>
      <c r="I524" s="428"/>
      <c r="J524" s="428"/>
      <c r="K524" s="428"/>
      <c r="L524" s="428"/>
      <c r="M524" s="428"/>
      <c r="N524" s="949"/>
    </row>
    <row r="525" spans="1:17" s="942" customFormat="1" ht="15.75" customHeight="1">
      <c r="A525" s="836">
        <v>1</v>
      </c>
      <c r="B525" s="389" t="s">
        <v>1880</v>
      </c>
      <c r="C525" s="428"/>
      <c r="D525" s="428"/>
      <c r="E525" s="428"/>
      <c r="F525" s="428"/>
      <c r="G525" s="428"/>
      <c r="H525" s="428"/>
      <c r="I525" s="428"/>
      <c r="J525" s="428"/>
      <c r="K525" s="428"/>
      <c r="L525" s="428"/>
      <c r="M525" s="428"/>
      <c r="N525" s="949"/>
    </row>
    <row r="526" spans="1:17" s="942" customFormat="1" ht="15.75" customHeight="1">
      <c r="A526" s="836"/>
      <c r="B526" s="682" t="s">
        <v>1881</v>
      </c>
      <c r="C526" s="428"/>
      <c r="D526" s="428"/>
      <c r="E526" s="428"/>
      <c r="F526" s="428"/>
      <c r="G526" s="428"/>
      <c r="H526" s="428"/>
      <c r="I526" s="428"/>
      <c r="J526" s="428"/>
      <c r="K526" s="428">
        <v>1</v>
      </c>
      <c r="L526" s="428"/>
      <c r="M526" s="428">
        <f t="shared" ref="M526:M532" si="6">K526</f>
        <v>1</v>
      </c>
      <c r="N526" s="949"/>
    </row>
    <row r="527" spans="1:17" s="942" customFormat="1" ht="15.75" customHeight="1">
      <c r="A527" s="836"/>
      <c r="B527" s="682" t="s">
        <v>1882</v>
      </c>
      <c r="C527" s="428"/>
      <c r="D527" s="428"/>
      <c r="E527" s="428"/>
      <c r="F527" s="428"/>
      <c r="G527" s="428"/>
      <c r="H527" s="428"/>
      <c r="I527" s="428"/>
      <c r="J527" s="428"/>
      <c r="K527" s="428">
        <v>4</v>
      </c>
      <c r="L527" s="428"/>
      <c r="M527" s="428">
        <f t="shared" si="6"/>
        <v>4</v>
      </c>
      <c r="N527" s="949"/>
    </row>
    <row r="528" spans="1:17" s="942" customFormat="1" ht="15.75" customHeight="1">
      <c r="A528" s="836"/>
      <c r="B528" s="682" t="s">
        <v>1883</v>
      </c>
      <c r="C528" s="428"/>
      <c r="D528" s="428"/>
      <c r="E528" s="428"/>
      <c r="F528" s="428"/>
      <c r="G528" s="428"/>
      <c r="H528" s="428"/>
      <c r="I528" s="428"/>
      <c r="J528" s="428"/>
      <c r="K528" s="428">
        <v>4</v>
      </c>
      <c r="L528" s="428"/>
      <c r="M528" s="428">
        <f t="shared" si="6"/>
        <v>4</v>
      </c>
      <c r="N528" s="949"/>
    </row>
    <row r="529" spans="1:14" s="942" customFormat="1" ht="15.75" customHeight="1">
      <c r="A529" s="836"/>
      <c r="B529" s="682" t="s">
        <v>1884</v>
      </c>
      <c r="C529" s="428"/>
      <c r="D529" s="428"/>
      <c r="E529" s="428"/>
      <c r="F529" s="428"/>
      <c r="G529" s="428"/>
      <c r="H529" s="428"/>
      <c r="I529" s="428"/>
      <c r="J529" s="428"/>
      <c r="K529" s="428">
        <v>3</v>
      </c>
      <c r="L529" s="428"/>
      <c r="M529" s="428">
        <f t="shared" si="6"/>
        <v>3</v>
      </c>
      <c r="N529" s="949"/>
    </row>
    <row r="530" spans="1:14" s="942" customFormat="1" ht="15.75" customHeight="1">
      <c r="A530" s="836"/>
      <c r="B530" s="682" t="s">
        <v>1885</v>
      </c>
      <c r="C530" s="428"/>
      <c r="D530" s="428"/>
      <c r="E530" s="428"/>
      <c r="F530" s="428"/>
      <c r="G530" s="428"/>
      <c r="H530" s="428"/>
      <c r="I530" s="428"/>
      <c r="J530" s="428"/>
      <c r="K530" s="428">
        <v>1</v>
      </c>
      <c r="L530" s="428"/>
      <c r="M530" s="428">
        <f t="shared" si="6"/>
        <v>1</v>
      </c>
      <c r="N530" s="949"/>
    </row>
    <row r="531" spans="1:14" s="942" customFormat="1" ht="15.75" customHeight="1">
      <c r="A531" s="836"/>
      <c r="B531" s="682" t="s">
        <v>1886</v>
      </c>
      <c r="C531" s="428"/>
      <c r="D531" s="428"/>
      <c r="E531" s="428"/>
      <c r="F531" s="428"/>
      <c r="G531" s="428"/>
      <c r="H531" s="428"/>
      <c r="I531" s="428"/>
      <c r="J531" s="428"/>
      <c r="K531" s="428">
        <v>4</v>
      </c>
      <c r="L531" s="428"/>
      <c r="M531" s="428">
        <f t="shared" si="6"/>
        <v>4</v>
      </c>
      <c r="N531" s="949"/>
    </row>
    <row r="532" spans="1:14" s="942" customFormat="1" ht="15.75" customHeight="1">
      <c r="A532" s="836"/>
      <c r="B532" s="682" t="s">
        <v>616</v>
      </c>
      <c r="C532" s="428"/>
      <c r="D532" s="428"/>
      <c r="E532" s="428"/>
      <c r="F532" s="428"/>
      <c r="G532" s="428"/>
      <c r="H532" s="428"/>
      <c r="I532" s="428"/>
      <c r="J532" s="428"/>
      <c r="K532" s="428">
        <v>4</v>
      </c>
      <c r="L532" s="428"/>
      <c r="M532" s="590">
        <f t="shared" si="6"/>
        <v>4</v>
      </c>
      <c r="N532" s="949"/>
    </row>
    <row r="533" spans="1:14" s="942" customFormat="1" ht="15.75" customHeight="1">
      <c r="A533" s="836"/>
      <c r="B533" s="682"/>
      <c r="C533" s="428" t="s">
        <v>1887</v>
      </c>
      <c r="D533" s="428" t="s">
        <v>1888</v>
      </c>
      <c r="E533" s="428"/>
      <c r="F533" s="428"/>
      <c r="G533" s="428"/>
      <c r="H533" s="428"/>
      <c r="I533" s="428"/>
      <c r="J533" s="428"/>
      <c r="K533" s="428"/>
      <c r="L533" s="428"/>
      <c r="M533" s="841">
        <f>SUM(M526:M532)</f>
        <v>21</v>
      </c>
      <c r="N533" s="955" t="s">
        <v>357</v>
      </c>
    </row>
    <row r="534" spans="1:14" s="942" customFormat="1" ht="15.75" customHeight="1">
      <c r="A534" s="836">
        <f>A525+1</f>
        <v>2</v>
      </c>
      <c r="B534" s="389" t="s">
        <v>1889</v>
      </c>
      <c r="C534" s="428">
        <v>6</v>
      </c>
      <c r="D534" s="428">
        <v>5</v>
      </c>
      <c r="E534" s="428"/>
      <c r="F534" s="428"/>
      <c r="G534" s="428"/>
      <c r="H534" s="428"/>
      <c r="I534" s="428"/>
      <c r="J534" s="428"/>
      <c r="K534" s="428"/>
      <c r="L534" s="428"/>
      <c r="M534" s="428">
        <f>C534+D534</f>
        <v>11</v>
      </c>
      <c r="N534" s="949" t="s">
        <v>357</v>
      </c>
    </row>
    <row r="535" spans="1:14" s="942" customFormat="1" ht="15.75" customHeight="1">
      <c r="A535" s="836">
        <f>A534+1</f>
        <v>3</v>
      </c>
      <c r="B535" s="389" t="s">
        <v>686</v>
      </c>
      <c r="C535" s="428"/>
      <c r="D535" s="428"/>
      <c r="E535" s="428"/>
      <c r="F535" s="428"/>
      <c r="G535" s="428"/>
      <c r="H535" s="428"/>
      <c r="I535" s="428"/>
      <c r="J535" s="428"/>
      <c r="K535" s="428"/>
      <c r="L535" s="428"/>
      <c r="M535" s="428">
        <v>5</v>
      </c>
      <c r="N535" s="949" t="s">
        <v>360</v>
      </c>
    </row>
    <row r="536" spans="1:14" s="942" customFormat="1" ht="15.75" customHeight="1">
      <c r="A536" s="836">
        <f>A535+1</f>
        <v>4</v>
      </c>
      <c r="B536" s="389" t="s">
        <v>1890</v>
      </c>
      <c r="C536" s="428"/>
      <c r="D536" s="428"/>
      <c r="E536" s="428"/>
      <c r="F536" s="428"/>
      <c r="G536" s="428"/>
      <c r="H536" s="428"/>
      <c r="I536" s="428"/>
      <c r="J536" s="428"/>
      <c r="K536" s="428"/>
      <c r="L536" s="428"/>
      <c r="M536" s="428">
        <f>M526+M527</f>
        <v>5</v>
      </c>
      <c r="N536" s="949" t="s">
        <v>124</v>
      </c>
    </row>
    <row r="537" spans="1:14" s="942" customFormat="1" ht="15.75" customHeight="1">
      <c r="A537" s="836">
        <f>A536+1</f>
        <v>5</v>
      </c>
      <c r="B537" s="453" t="s">
        <v>929</v>
      </c>
      <c r="C537" s="428"/>
      <c r="D537" s="428"/>
      <c r="E537" s="428"/>
      <c r="F537" s="428"/>
      <c r="G537" s="428"/>
      <c r="H537" s="428"/>
      <c r="I537" s="428"/>
      <c r="J537" s="428"/>
      <c r="K537" s="428"/>
      <c r="L537" s="428"/>
      <c r="M537" s="428">
        <f>M528+M529</f>
        <v>7</v>
      </c>
      <c r="N537" s="949" t="s">
        <v>124</v>
      </c>
    </row>
    <row r="538" spans="1:14" s="942" customFormat="1" ht="15.75" customHeight="1">
      <c r="A538" s="836">
        <f>A537+1</f>
        <v>6</v>
      </c>
      <c r="B538" s="389" t="s">
        <v>616</v>
      </c>
      <c r="C538" s="428"/>
      <c r="D538" s="428"/>
      <c r="E538" s="428"/>
      <c r="F538" s="428"/>
      <c r="G538" s="428"/>
      <c r="H538" s="428"/>
      <c r="I538" s="428"/>
      <c r="J538" s="428"/>
      <c r="K538" s="428"/>
      <c r="L538" s="428"/>
      <c r="M538" s="428">
        <v>4</v>
      </c>
      <c r="N538" s="949" t="s">
        <v>124</v>
      </c>
    </row>
    <row r="539" spans="1:14" s="942" customFormat="1" ht="15.75" customHeight="1">
      <c r="A539" s="836">
        <f>A538+1</f>
        <v>7</v>
      </c>
      <c r="B539" s="389" t="s">
        <v>1311</v>
      </c>
      <c r="C539" s="428"/>
      <c r="D539" s="428"/>
      <c r="E539" s="428"/>
      <c r="F539" s="428"/>
      <c r="G539" s="428"/>
      <c r="H539" s="428"/>
      <c r="I539" s="428"/>
      <c r="J539" s="428"/>
      <c r="K539" s="428"/>
      <c r="L539" s="428"/>
      <c r="M539" s="428">
        <v>1</v>
      </c>
      <c r="N539" s="949" t="s">
        <v>360</v>
      </c>
    </row>
    <row r="540" spans="1:14" s="942" customFormat="1" ht="15.75" customHeight="1">
      <c r="A540" s="915"/>
      <c r="B540" s="916"/>
      <c r="C540" s="917"/>
      <c r="D540" s="917"/>
      <c r="E540" s="917"/>
      <c r="F540" s="917"/>
      <c r="G540" s="917"/>
      <c r="H540" s="917"/>
      <c r="I540" s="917"/>
      <c r="J540" s="917"/>
      <c r="K540" s="917"/>
      <c r="L540" s="917"/>
      <c r="M540" s="917"/>
      <c r="N540" s="975"/>
    </row>
    <row r="541" spans="1:14" s="942" customFormat="1" ht="15.75" customHeight="1">
      <c r="A541" s="442"/>
      <c r="B541" s="442"/>
      <c r="C541" s="919"/>
      <c r="D541" s="919"/>
      <c r="E541" s="919"/>
      <c r="F541" s="919"/>
      <c r="G541" s="919"/>
      <c r="H541" s="919"/>
      <c r="I541" s="919"/>
      <c r="J541" s="919"/>
      <c r="K541" s="919"/>
      <c r="L541" s="919"/>
      <c r="M541" s="919"/>
      <c r="N541" s="442"/>
    </row>
    <row r="542" spans="1:14" s="942" customFormat="1" ht="15.75" customHeight="1">
      <c r="A542" s="442"/>
      <c r="B542" s="442"/>
      <c r="C542" s="919"/>
      <c r="D542" s="919"/>
      <c r="E542" s="919"/>
      <c r="F542" s="919"/>
      <c r="G542" s="919"/>
      <c r="H542" s="919"/>
      <c r="I542" s="919"/>
      <c r="J542" s="919"/>
      <c r="K542" s="919"/>
      <c r="L542" s="919"/>
      <c r="M542" s="919"/>
      <c r="N542" s="442"/>
    </row>
    <row r="543" spans="1:14" s="942" customFormat="1" ht="15.75" customHeight="1">
      <c r="A543" s="442"/>
      <c r="B543" s="442"/>
      <c r="C543" s="919"/>
      <c r="D543" s="919"/>
      <c r="E543" s="919"/>
      <c r="F543" s="919"/>
      <c r="G543" s="919"/>
      <c r="H543" s="919"/>
      <c r="I543" s="919"/>
      <c r="J543" s="919"/>
      <c r="K543" s="919"/>
      <c r="L543" s="919"/>
      <c r="M543" s="919"/>
      <c r="N543" s="442"/>
    </row>
    <row r="544" spans="1:14" s="942" customFormat="1" ht="15.75" customHeight="1">
      <c r="A544" s="442"/>
      <c r="B544" s="442"/>
      <c r="C544" s="919"/>
      <c r="D544" s="919"/>
      <c r="E544" s="919"/>
      <c r="F544" s="919"/>
      <c r="G544" s="919"/>
      <c r="H544" s="919"/>
      <c r="I544" s="919"/>
      <c r="J544" s="919"/>
      <c r="K544" s="919"/>
      <c r="L544" s="919"/>
      <c r="M544" s="919"/>
      <c r="N544" s="442"/>
    </row>
    <row r="545" spans="1:14" s="942" customFormat="1" ht="15.75" customHeight="1">
      <c r="A545" s="442"/>
      <c r="B545" s="442"/>
      <c r="C545" s="919"/>
      <c r="D545" s="919"/>
      <c r="E545" s="919"/>
      <c r="F545" s="919"/>
      <c r="G545" s="919"/>
      <c r="H545" s="919"/>
      <c r="I545" s="919"/>
      <c r="J545" s="919"/>
      <c r="K545" s="919"/>
      <c r="L545" s="919"/>
      <c r="M545" s="919"/>
      <c r="N545" s="442"/>
    </row>
    <row r="546" spans="1:14" s="942" customFormat="1" ht="15.75" customHeight="1">
      <c r="A546" s="442"/>
      <c r="B546" s="442"/>
      <c r="C546" s="919"/>
      <c r="D546" s="919"/>
      <c r="E546" s="919"/>
      <c r="F546" s="919"/>
      <c r="G546" s="919"/>
      <c r="H546" s="919"/>
      <c r="I546" s="919"/>
      <c r="J546" s="919"/>
      <c r="K546" s="919"/>
      <c r="L546" s="919"/>
      <c r="M546" s="919"/>
      <c r="N546" s="442"/>
    </row>
    <row r="547" spans="1:14" s="942" customFormat="1" ht="15.75" customHeight="1">
      <c r="A547" s="442"/>
      <c r="B547" s="442"/>
      <c r="C547" s="919"/>
      <c r="D547" s="919"/>
      <c r="E547" s="919"/>
      <c r="F547" s="919"/>
      <c r="G547" s="919"/>
      <c r="H547" s="919"/>
      <c r="I547" s="919"/>
      <c r="J547" s="919"/>
      <c r="K547" s="919"/>
      <c r="L547" s="919"/>
      <c r="M547" s="919"/>
      <c r="N547" s="442"/>
    </row>
    <row r="548" spans="1:14" s="942" customFormat="1" ht="15.75" customHeight="1">
      <c r="A548" s="442"/>
      <c r="B548" s="442"/>
      <c r="C548" s="919"/>
      <c r="D548" s="919"/>
      <c r="E548" s="919"/>
      <c r="F548" s="919"/>
      <c r="G548" s="919"/>
      <c r="H548" s="919"/>
      <c r="I548" s="919"/>
      <c r="J548" s="919"/>
      <c r="K548" s="919"/>
      <c r="L548" s="919"/>
      <c r="M548" s="919"/>
      <c r="N548" s="442"/>
    </row>
    <row r="549" spans="1:14" s="942" customFormat="1" ht="15.75" customHeight="1">
      <c r="A549" s="442"/>
      <c r="B549" s="442"/>
      <c r="C549" s="919"/>
      <c r="D549" s="919"/>
      <c r="E549" s="919"/>
      <c r="F549" s="919"/>
      <c r="G549" s="919"/>
      <c r="H549" s="919"/>
      <c r="I549" s="919"/>
      <c r="J549" s="919"/>
      <c r="K549" s="919"/>
      <c r="L549" s="919"/>
      <c r="M549" s="919"/>
      <c r="N549" s="442"/>
    </row>
    <row r="550" spans="1:14" s="942" customFormat="1" ht="15.75" customHeight="1">
      <c r="A550" s="442"/>
      <c r="B550" s="442"/>
      <c r="C550" s="919"/>
      <c r="D550" s="919"/>
      <c r="E550" s="919"/>
      <c r="F550" s="919"/>
      <c r="G550" s="919"/>
      <c r="H550" s="919"/>
      <c r="I550" s="919"/>
      <c r="J550" s="919"/>
      <c r="K550" s="919"/>
      <c r="L550" s="919"/>
      <c r="M550" s="919"/>
      <c r="N550" s="442"/>
    </row>
    <row r="551" spans="1:14" s="942" customFormat="1" ht="15.75" customHeight="1">
      <c r="A551" s="442"/>
      <c r="B551" s="442"/>
      <c r="C551" s="919"/>
      <c r="D551" s="919"/>
      <c r="E551" s="919"/>
      <c r="F551" s="919"/>
      <c r="G551" s="919"/>
      <c r="H551" s="919"/>
      <c r="I551" s="919"/>
      <c r="J551" s="919"/>
      <c r="K551" s="919"/>
      <c r="L551" s="919"/>
      <c r="M551" s="919"/>
      <c r="N551" s="442"/>
    </row>
    <row r="552" spans="1:14" s="942" customFormat="1" ht="15.75" customHeight="1">
      <c r="A552" s="442"/>
      <c r="B552" s="442"/>
      <c r="C552" s="919"/>
      <c r="D552" s="919"/>
      <c r="E552" s="919"/>
      <c r="F552" s="919"/>
      <c r="G552" s="919"/>
      <c r="H552" s="919"/>
      <c r="I552" s="919"/>
      <c r="J552" s="919"/>
      <c r="K552" s="919"/>
      <c r="L552" s="919"/>
      <c r="M552" s="919"/>
      <c r="N552" s="442"/>
    </row>
    <row r="553" spans="1:14" s="942" customFormat="1" ht="15.75" customHeight="1">
      <c r="A553" s="442"/>
      <c r="B553" s="442"/>
      <c r="C553" s="919"/>
      <c r="D553" s="919"/>
      <c r="E553" s="919"/>
      <c r="F553" s="919"/>
      <c r="G553" s="919"/>
      <c r="H553" s="919"/>
      <c r="I553" s="919"/>
      <c r="J553" s="919"/>
      <c r="K553" s="919"/>
      <c r="L553" s="919"/>
      <c r="M553" s="919"/>
      <c r="N553" s="442"/>
    </row>
    <row r="554" spans="1:14" s="942" customFormat="1" ht="15.75" customHeight="1">
      <c r="A554" s="442"/>
      <c r="B554" s="442"/>
      <c r="C554" s="919"/>
      <c r="D554" s="919"/>
      <c r="E554" s="919"/>
      <c r="F554" s="919"/>
      <c r="G554" s="919"/>
      <c r="H554" s="919"/>
      <c r="I554" s="919"/>
      <c r="J554" s="919"/>
      <c r="K554" s="919"/>
      <c r="L554" s="919"/>
      <c r="M554" s="919"/>
      <c r="N554" s="442"/>
    </row>
    <row r="555" spans="1:14" s="942" customFormat="1" ht="15.75" customHeight="1">
      <c r="A555" s="442"/>
      <c r="B555" s="442"/>
      <c r="C555" s="919"/>
      <c r="D555" s="919"/>
      <c r="E555" s="919"/>
      <c r="F555" s="919"/>
      <c r="G555" s="919"/>
      <c r="H555" s="919"/>
      <c r="I555" s="919"/>
      <c r="J555" s="919"/>
      <c r="K555" s="919"/>
      <c r="L555" s="919"/>
      <c r="M555" s="919"/>
      <c r="N555" s="442"/>
    </row>
    <row r="556" spans="1:14" s="942" customFormat="1" ht="15.75" customHeight="1">
      <c r="A556" s="442"/>
      <c r="B556" s="442"/>
      <c r="C556" s="919"/>
      <c r="D556" s="919"/>
      <c r="E556" s="919"/>
      <c r="F556" s="919"/>
      <c r="G556" s="919"/>
      <c r="H556" s="919"/>
      <c r="I556" s="919"/>
      <c r="J556" s="919"/>
      <c r="K556" s="919"/>
      <c r="L556" s="919"/>
      <c r="M556" s="919"/>
      <c r="N556" s="442"/>
    </row>
    <row r="557" spans="1:14" s="942" customFormat="1" ht="15.75" customHeight="1">
      <c r="A557" s="442"/>
      <c r="B557" s="442"/>
      <c r="C557" s="919"/>
      <c r="D557" s="919"/>
      <c r="E557" s="919"/>
      <c r="F557" s="919"/>
      <c r="G557" s="919"/>
      <c r="H557" s="919"/>
      <c r="I557" s="919"/>
      <c r="J557" s="919"/>
      <c r="K557" s="919"/>
      <c r="L557" s="919"/>
      <c r="M557" s="919"/>
      <c r="N557" s="442"/>
    </row>
    <row r="558" spans="1:14" s="942" customFormat="1" ht="15.75" customHeight="1">
      <c r="A558" s="442"/>
      <c r="B558" s="442"/>
      <c r="C558" s="919"/>
      <c r="D558" s="919"/>
      <c r="E558" s="919"/>
      <c r="F558" s="919"/>
      <c r="G558" s="919"/>
      <c r="H558" s="919"/>
      <c r="I558" s="919"/>
      <c r="J558" s="919"/>
      <c r="K558" s="919"/>
      <c r="L558" s="919"/>
      <c r="M558" s="919"/>
      <c r="N558" s="442"/>
    </row>
    <row r="559" spans="1:14" s="942" customFormat="1" ht="15.75" customHeight="1">
      <c r="A559" s="442"/>
      <c r="B559" s="442"/>
      <c r="C559" s="919"/>
      <c r="D559" s="919"/>
      <c r="E559" s="919"/>
      <c r="F559" s="919"/>
      <c r="G559" s="919"/>
      <c r="H559" s="919"/>
      <c r="I559" s="919"/>
      <c r="J559" s="919"/>
      <c r="K559" s="919"/>
      <c r="L559" s="919"/>
      <c r="M559" s="919"/>
      <c r="N559" s="442"/>
    </row>
    <row r="560" spans="1:14" s="942" customFormat="1" ht="15.75" customHeight="1">
      <c r="A560" s="442"/>
      <c r="B560" s="442"/>
      <c r="C560" s="919"/>
      <c r="D560" s="919"/>
      <c r="E560" s="919"/>
      <c r="F560" s="919"/>
      <c r="G560" s="919"/>
      <c r="H560" s="919"/>
      <c r="I560" s="919"/>
      <c r="J560" s="919"/>
      <c r="K560" s="919"/>
      <c r="L560" s="919"/>
      <c r="M560" s="919"/>
      <c r="N560" s="442"/>
    </row>
    <row r="561" spans="1:14" s="942" customFormat="1" ht="15.75" customHeight="1">
      <c r="A561" s="442"/>
      <c r="B561" s="442"/>
      <c r="C561" s="919"/>
      <c r="D561" s="919"/>
      <c r="E561" s="919"/>
      <c r="F561" s="919"/>
      <c r="G561" s="919"/>
      <c r="H561" s="919"/>
      <c r="I561" s="919"/>
      <c r="J561" s="919"/>
      <c r="K561" s="919"/>
      <c r="L561" s="919"/>
      <c r="M561" s="919"/>
      <c r="N561" s="442"/>
    </row>
    <row r="562" spans="1:14" s="942" customFormat="1" ht="15.75" customHeight="1">
      <c r="A562" s="442"/>
      <c r="B562" s="442"/>
      <c r="C562" s="919"/>
      <c r="D562" s="919"/>
      <c r="E562" s="919"/>
      <c r="F562" s="919"/>
      <c r="G562" s="919"/>
      <c r="H562" s="919"/>
      <c r="I562" s="919"/>
      <c r="J562" s="919"/>
      <c r="K562" s="919"/>
      <c r="L562" s="919"/>
      <c r="M562" s="919"/>
      <c r="N562" s="442"/>
    </row>
    <row r="563" spans="1:14" s="942" customFormat="1" ht="15.75" customHeight="1">
      <c r="A563" s="442"/>
      <c r="B563" s="442"/>
      <c r="C563" s="919"/>
      <c r="D563" s="919"/>
      <c r="E563" s="919"/>
      <c r="F563" s="919"/>
      <c r="G563" s="919"/>
      <c r="H563" s="919"/>
      <c r="I563" s="919"/>
      <c r="J563" s="919"/>
      <c r="K563" s="919"/>
      <c r="L563" s="919"/>
      <c r="M563" s="919"/>
      <c r="N563" s="442"/>
    </row>
    <row r="564" spans="1:14" s="942" customFormat="1" ht="15.75" customHeight="1">
      <c r="A564" s="442"/>
      <c r="B564" s="442"/>
      <c r="C564" s="919"/>
      <c r="D564" s="919"/>
      <c r="E564" s="919"/>
      <c r="F564" s="919"/>
      <c r="G564" s="919"/>
      <c r="H564" s="919"/>
      <c r="I564" s="919"/>
      <c r="J564" s="919"/>
      <c r="K564" s="919"/>
      <c r="L564" s="919"/>
      <c r="M564" s="919"/>
      <c r="N564" s="442"/>
    </row>
    <row r="565" spans="1:14" s="942" customFormat="1" ht="15.75" customHeight="1">
      <c r="A565" s="442"/>
      <c r="B565" s="442"/>
      <c r="C565" s="919"/>
      <c r="D565" s="919"/>
      <c r="E565" s="919"/>
      <c r="F565" s="919"/>
      <c r="G565" s="919"/>
      <c r="H565" s="919"/>
      <c r="I565" s="919"/>
      <c r="J565" s="919"/>
      <c r="K565" s="919"/>
      <c r="L565" s="919"/>
      <c r="M565" s="919"/>
      <c r="N565" s="442"/>
    </row>
    <row r="566" spans="1:14" s="942" customFormat="1" ht="15.75" customHeight="1">
      <c r="A566" s="442"/>
      <c r="B566" s="442"/>
      <c r="C566" s="919"/>
      <c r="D566" s="919"/>
      <c r="E566" s="919"/>
      <c r="F566" s="919"/>
      <c r="G566" s="919"/>
      <c r="H566" s="919"/>
      <c r="I566" s="919"/>
      <c r="J566" s="919"/>
      <c r="K566" s="919"/>
      <c r="L566" s="919"/>
      <c r="M566" s="919"/>
      <c r="N566" s="442"/>
    </row>
    <row r="567" spans="1:14" s="942" customFormat="1" ht="15.75" customHeight="1">
      <c r="A567" s="442"/>
      <c r="B567" s="442"/>
      <c r="C567" s="919"/>
      <c r="D567" s="919"/>
      <c r="E567" s="919"/>
      <c r="F567" s="919"/>
      <c r="G567" s="919"/>
      <c r="H567" s="919"/>
      <c r="I567" s="919"/>
      <c r="J567" s="919"/>
      <c r="K567" s="919"/>
      <c r="L567" s="919"/>
      <c r="M567" s="919"/>
      <c r="N567" s="442"/>
    </row>
    <row r="568" spans="1:14" s="942" customFormat="1" ht="15.75" customHeight="1">
      <c r="A568" s="442"/>
      <c r="B568" s="442"/>
      <c r="C568" s="919"/>
      <c r="D568" s="919"/>
      <c r="E568" s="919"/>
      <c r="F568" s="919"/>
      <c r="G568" s="919"/>
      <c r="H568" s="919"/>
      <c r="I568" s="919"/>
      <c r="J568" s="919"/>
      <c r="K568" s="919"/>
      <c r="L568" s="919"/>
      <c r="M568" s="919"/>
      <c r="N568" s="442"/>
    </row>
    <row r="569" spans="1:14" s="942" customFormat="1" ht="15.75" customHeight="1">
      <c r="A569" s="442"/>
      <c r="B569" s="442"/>
      <c r="C569" s="919"/>
      <c r="D569" s="919"/>
      <c r="E569" s="919"/>
      <c r="F569" s="919"/>
      <c r="G569" s="919"/>
      <c r="H569" s="919"/>
      <c r="I569" s="919"/>
      <c r="J569" s="919"/>
      <c r="K569" s="919"/>
      <c r="L569" s="919"/>
      <c r="M569" s="919"/>
      <c r="N569" s="442"/>
    </row>
    <row r="570" spans="1:14" s="942" customFormat="1" ht="15.75" customHeight="1">
      <c r="A570" s="442"/>
      <c r="B570" s="442"/>
      <c r="C570" s="919"/>
      <c r="D570" s="919"/>
      <c r="E570" s="919"/>
      <c r="F570" s="919"/>
      <c r="G570" s="919"/>
      <c r="H570" s="919"/>
      <c r="I570" s="919"/>
      <c r="J570" s="919"/>
      <c r="K570" s="919"/>
      <c r="L570" s="919"/>
      <c r="M570" s="919"/>
      <c r="N570" s="442"/>
    </row>
    <row r="571" spans="1:14" s="942" customFormat="1" ht="15.75" customHeight="1">
      <c r="A571" s="442"/>
      <c r="B571" s="442"/>
      <c r="C571" s="919"/>
      <c r="D571" s="919"/>
      <c r="E571" s="919"/>
      <c r="F571" s="919"/>
      <c r="G571" s="919"/>
      <c r="H571" s="919"/>
      <c r="I571" s="919"/>
      <c r="J571" s="919"/>
      <c r="K571" s="919"/>
      <c r="L571" s="919"/>
      <c r="M571" s="919"/>
      <c r="N571" s="442"/>
    </row>
    <row r="572" spans="1:14" s="942" customFormat="1" ht="15.75" customHeight="1">
      <c r="A572" s="442"/>
      <c r="B572" s="442"/>
      <c r="C572" s="919"/>
      <c r="D572" s="919"/>
      <c r="E572" s="919"/>
      <c r="F572" s="919"/>
      <c r="G572" s="919"/>
      <c r="H572" s="919"/>
      <c r="I572" s="919"/>
      <c r="J572" s="919"/>
      <c r="K572" s="919"/>
      <c r="L572" s="919"/>
      <c r="M572" s="919"/>
      <c r="N572" s="442"/>
    </row>
    <row r="573" spans="1:14" s="942" customFormat="1" ht="15.75" customHeight="1">
      <c r="A573" s="442"/>
      <c r="B573" s="442"/>
      <c r="C573" s="919"/>
      <c r="D573" s="919"/>
      <c r="E573" s="919"/>
      <c r="F573" s="919"/>
      <c r="G573" s="919"/>
      <c r="H573" s="919"/>
      <c r="I573" s="919"/>
      <c r="J573" s="919"/>
      <c r="K573" s="919"/>
      <c r="L573" s="919"/>
      <c r="M573" s="919"/>
      <c r="N573" s="442"/>
    </row>
    <row r="574" spans="1:14" s="942" customFormat="1" ht="15.75" customHeight="1">
      <c r="A574" s="442"/>
      <c r="B574" s="442"/>
      <c r="C574" s="919"/>
      <c r="D574" s="919"/>
      <c r="E574" s="919"/>
      <c r="F574" s="919"/>
      <c r="G574" s="919"/>
      <c r="H574" s="919"/>
      <c r="I574" s="919"/>
      <c r="J574" s="919"/>
      <c r="K574" s="919"/>
      <c r="L574" s="919"/>
      <c r="M574" s="919"/>
      <c r="N574" s="442"/>
    </row>
    <row r="575" spans="1:14" s="942" customFormat="1" ht="15.75" customHeight="1">
      <c r="A575" s="442"/>
      <c r="B575" s="442"/>
      <c r="C575" s="919"/>
      <c r="D575" s="919"/>
      <c r="E575" s="919"/>
      <c r="F575" s="919"/>
      <c r="G575" s="919"/>
      <c r="H575" s="919"/>
      <c r="I575" s="919"/>
      <c r="J575" s="919"/>
      <c r="K575" s="919"/>
      <c r="L575" s="919"/>
      <c r="M575" s="919"/>
      <c r="N575" s="442"/>
    </row>
    <row r="576" spans="1:14" s="942" customFormat="1" ht="15.75" customHeight="1">
      <c r="A576" s="442"/>
      <c r="B576" s="442"/>
      <c r="C576" s="919"/>
      <c r="D576" s="919"/>
      <c r="E576" s="919"/>
      <c r="F576" s="919"/>
      <c r="G576" s="919"/>
      <c r="H576" s="919"/>
      <c r="I576" s="919"/>
      <c r="J576" s="919"/>
      <c r="K576" s="919"/>
      <c r="L576" s="919"/>
      <c r="M576" s="919"/>
      <c r="N576" s="442"/>
    </row>
    <row r="577" spans="1:14" s="942" customFormat="1" ht="15.75" customHeight="1">
      <c r="A577" s="442"/>
      <c r="B577" s="442"/>
      <c r="C577" s="919"/>
      <c r="D577" s="919"/>
      <c r="E577" s="919"/>
      <c r="F577" s="919"/>
      <c r="G577" s="919"/>
      <c r="H577" s="919"/>
      <c r="I577" s="919"/>
      <c r="J577" s="919"/>
      <c r="K577" s="919"/>
      <c r="L577" s="919"/>
      <c r="M577" s="919"/>
      <c r="N577" s="442"/>
    </row>
    <row r="578" spans="1:14" s="942" customFormat="1" ht="15.75" customHeight="1">
      <c r="A578" s="442"/>
      <c r="B578" s="442"/>
      <c r="C578" s="919"/>
      <c r="D578" s="919"/>
      <c r="E578" s="919"/>
      <c r="F578" s="919"/>
      <c r="G578" s="919"/>
      <c r="H578" s="919"/>
      <c r="I578" s="919"/>
      <c r="J578" s="919"/>
      <c r="K578" s="919"/>
      <c r="L578" s="919"/>
      <c r="M578" s="919"/>
      <c r="N578" s="442"/>
    </row>
    <row r="579" spans="1:14" s="942" customFormat="1" ht="15.75" customHeight="1">
      <c r="A579" s="442"/>
      <c r="B579" s="442"/>
      <c r="C579" s="919"/>
      <c r="D579" s="919"/>
      <c r="E579" s="919"/>
      <c r="F579" s="919"/>
      <c r="G579" s="919"/>
      <c r="H579" s="919"/>
      <c r="I579" s="919"/>
      <c r="J579" s="919"/>
      <c r="K579" s="919"/>
      <c r="L579" s="919"/>
      <c r="M579" s="919"/>
      <c r="N579" s="442"/>
    </row>
    <row r="580" spans="1:14" s="942" customFormat="1" ht="15.75" customHeight="1">
      <c r="A580" s="442"/>
      <c r="B580" s="442"/>
      <c r="C580" s="919"/>
      <c r="D580" s="919"/>
      <c r="E580" s="919"/>
      <c r="F580" s="919"/>
      <c r="G580" s="919"/>
      <c r="H580" s="919"/>
      <c r="I580" s="919"/>
      <c r="J580" s="919"/>
      <c r="K580" s="919"/>
      <c r="L580" s="919"/>
      <c r="M580" s="919"/>
      <c r="N580" s="442"/>
    </row>
    <row r="581" spans="1:14" s="942" customFormat="1" ht="15.75" customHeight="1">
      <c r="A581" s="442"/>
      <c r="B581" s="442"/>
      <c r="C581" s="919"/>
      <c r="D581" s="919"/>
      <c r="E581" s="919"/>
      <c r="F581" s="919"/>
      <c r="G581" s="919"/>
      <c r="H581" s="919"/>
      <c r="I581" s="919"/>
      <c r="J581" s="919"/>
      <c r="K581" s="919"/>
      <c r="L581" s="919"/>
      <c r="M581" s="919"/>
      <c r="N581" s="442"/>
    </row>
    <row r="582" spans="1:14" s="942" customFormat="1" ht="15.75" customHeight="1">
      <c r="A582" s="442"/>
      <c r="B582" s="442"/>
      <c r="C582" s="919"/>
      <c r="D582" s="919"/>
      <c r="E582" s="919"/>
      <c r="F582" s="919"/>
      <c r="G582" s="919"/>
      <c r="H582" s="919"/>
      <c r="I582" s="919"/>
      <c r="J582" s="919"/>
      <c r="K582" s="919"/>
      <c r="L582" s="919"/>
      <c r="M582" s="919"/>
      <c r="N582" s="442"/>
    </row>
    <row r="583" spans="1:14" s="942" customFormat="1" ht="15.75" customHeight="1">
      <c r="A583" s="442"/>
      <c r="B583" s="442"/>
      <c r="C583" s="919"/>
      <c r="D583" s="919"/>
      <c r="E583" s="919"/>
      <c r="F583" s="919"/>
      <c r="G583" s="919"/>
      <c r="H583" s="919"/>
      <c r="I583" s="919"/>
      <c r="J583" s="919"/>
      <c r="K583" s="919"/>
      <c r="L583" s="919"/>
      <c r="M583" s="919"/>
      <c r="N583" s="442"/>
    </row>
    <row r="584" spans="1:14" s="942" customFormat="1" ht="15.75" customHeight="1">
      <c r="A584" s="442"/>
      <c r="B584" s="442"/>
      <c r="C584" s="919"/>
      <c r="D584" s="919"/>
      <c r="E584" s="919"/>
      <c r="F584" s="919"/>
      <c r="G584" s="919"/>
      <c r="H584" s="919"/>
      <c r="I584" s="919"/>
      <c r="J584" s="919"/>
      <c r="K584" s="919"/>
      <c r="L584" s="919"/>
      <c r="M584" s="919"/>
      <c r="N584" s="442"/>
    </row>
    <row r="585" spans="1:14" s="942" customFormat="1" ht="15.75" customHeight="1">
      <c r="A585" s="442"/>
      <c r="B585" s="442"/>
      <c r="C585" s="919"/>
      <c r="D585" s="919"/>
      <c r="E585" s="919"/>
      <c r="F585" s="919"/>
      <c r="G585" s="919"/>
      <c r="H585" s="919"/>
      <c r="I585" s="919"/>
      <c r="J585" s="919"/>
      <c r="K585" s="919"/>
      <c r="L585" s="919"/>
      <c r="M585" s="919"/>
      <c r="N585" s="442"/>
    </row>
    <row r="586" spans="1:14" s="942" customFormat="1" ht="15.75" customHeight="1">
      <c r="A586" s="442"/>
      <c r="B586" s="442"/>
      <c r="C586" s="919"/>
      <c r="D586" s="919"/>
      <c r="E586" s="919"/>
      <c r="F586" s="919"/>
      <c r="G586" s="919"/>
      <c r="H586" s="919"/>
      <c r="I586" s="919"/>
      <c r="J586" s="919"/>
      <c r="K586" s="919"/>
      <c r="L586" s="919"/>
      <c r="M586" s="919"/>
      <c r="N586" s="442"/>
    </row>
    <row r="587" spans="1:14" s="942" customFormat="1" ht="15.75" customHeight="1">
      <c r="A587" s="442"/>
      <c r="B587" s="442"/>
      <c r="C587" s="919"/>
      <c r="D587" s="919"/>
      <c r="E587" s="919"/>
      <c r="F587" s="919"/>
      <c r="G587" s="919"/>
      <c r="H587" s="919"/>
      <c r="I587" s="919"/>
      <c r="J587" s="919"/>
      <c r="K587" s="919"/>
      <c r="L587" s="919"/>
      <c r="M587" s="919"/>
      <c r="N587" s="442"/>
    </row>
    <row r="588" spans="1:14" s="942" customFormat="1" ht="15.75" customHeight="1">
      <c r="A588" s="442"/>
      <c r="B588" s="442"/>
      <c r="C588" s="919"/>
      <c r="D588" s="919"/>
      <c r="E588" s="919"/>
      <c r="F588" s="919"/>
      <c r="G588" s="919"/>
      <c r="H588" s="919"/>
      <c r="I588" s="919"/>
      <c r="J588" s="919"/>
      <c r="K588" s="919"/>
      <c r="L588" s="919"/>
      <c r="M588" s="919"/>
      <c r="N588" s="442"/>
    </row>
    <row r="589" spans="1:14" s="942" customFormat="1" ht="15.75" customHeight="1">
      <c r="A589" s="442"/>
      <c r="B589" s="442"/>
      <c r="C589" s="919"/>
      <c r="D589" s="919"/>
      <c r="E589" s="919"/>
      <c r="F589" s="919"/>
      <c r="G589" s="919"/>
      <c r="H589" s="919"/>
      <c r="I589" s="919"/>
      <c r="J589" s="919"/>
      <c r="K589" s="919"/>
      <c r="L589" s="919"/>
      <c r="M589" s="919"/>
      <c r="N589" s="442"/>
    </row>
    <row r="590" spans="1:14" s="942" customFormat="1" ht="15.75" customHeight="1">
      <c r="A590" s="442"/>
      <c r="B590" s="442"/>
      <c r="C590" s="919"/>
      <c r="D590" s="919"/>
      <c r="E590" s="919"/>
      <c r="F590" s="919"/>
      <c r="G590" s="919"/>
      <c r="H590" s="919"/>
      <c r="I590" s="919"/>
      <c r="J590" s="919"/>
      <c r="K590" s="919"/>
      <c r="L590" s="919"/>
      <c r="M590" s="919"/>
      <c r="N590" s="442"/>
    </row>
    <row r="591" spans="1:14" s="942" customFormat="1" ht="15.75" customHeight="1">
      <c r="A591" s="442"/>
      <c r="B591" s="442"/>
      <c r="C591" s="919"/>
      <c r="D591" s="919"/>
      <c r="E591" s="919"/>
      <c r="F591" s="919"/>
      <c r="G591" s="919"/>
      <c r="H591" s="919"/>
      <c r="I591" s="919"/>
      <c r="J591" s="919"/>
      <c r="K591" s="919"/>
      <c r="L591" s="919"/>
      <c r="M591" s="919"/>
      <c r="N591" s="442"/>
    </row>
    <row r="592" spans="1:14" s="942" customFormat="1" ht="15.75" customHeight="1">
      <c r="A592" s="442"/>
      <c r="B592" s="442"/>
      <c r="C592" s="919"/>
      <c r="D592" s="919"/>
      <c r="E592" s="919"/>
      <c r="F592" s="919"/>
      <c r="G592" s="919"/>
      <c r="H592" s="919"/>
      <c r="I592" s="919"/>
      <c r="J592" s="919"/>
      <c r="K592" s="919"/>
      <c r="L592" s="919"/>
      <c r="M592" s="919"/>
      <c r="N592" s="442"/>
    </row>
    <row r="593" spans="1:14" s="942" customFormat="1" ht="15.75" customHeight="1">
      <c r="A593" s="442"/>
      <c r="B593" s="442"/>
      <c r="C593" s="919"/>
      <c r="D593" s="919"/>
      <c r="E593" s="919"/>
      <c r="F593" s="919"/>
      <c r="G593" s="919"/>
      <c r="H593" s="919"/>
      <c r="I593" s="919"/>
      <c r="J593" s="919"/>
      <c r="K593" s="919"/>
      <c r="L593" s="919"/>
      <c r="M593" s="919"/>
      <c r="N593" s="442"/>
    </row>
    <row r="594" spans="1:14" s="942" customFormat="1" ht="15.75" customHeight="1">
      <c r="A594" s="442"/>
      <c r="B594" s="442"/>
      <c r="C594" s="919"/>
      <c r="D594" s="919"/>
      <c r="E594" s="919"/>
      <c r="F594" s="919"/>
      <c r="G594" s="919"/>
      <c r="H594" s="919"/>
      <c r="I594" s="919"/>
      <c r="J594" s="919"/>
      <c r="K594" s="919"/>
      <c r="L594" s="919"/>
      <c r="M594" s="919"/>
      <c r="N594" s="442"/>
    </row>
    <row r="595" spans="1:14" s="942" customFormat="1" ht="15.75" customHeight="1">
      <c r="A595" s="442"/>
      <c r="B595" s="442"/>
      <c r="C595" s="919"/>
      <c r="D595" s="919"/>
      <c r="E595" s="919"/>
      <c r="F595" s="919"/>
      <c r="G595" s="919"/>
      <c r="H595" s="919"/>
      <c r="I595" s="919"/>
      <c r="J595" s="919"/>
      <c r="K595" s="919"/>
      <c r="L595" s="919"/>
      <c r="M595" s="919"/>
      <c r="N595" s="442"/>
    </row>
    <row r="596" spans="1:14" s="942" customFormat="1" ht="15.75" customHeight="1">
      <c r="A596" s="442"/>
      <c r="B596" s="442"/>
      <c r="C596" s="919"/>
      <c r="D596" s="919"/>
      <c r="E596" s="919"/>
      <c r="F596" s="919"/>
      <c r="G596" s="919"/>
      <c r="H596" s="919"/>
      <c r="I596" s="919"/>
      <c r="J596" s="919"/>
      <c r="K596" s="919"/>
      <c r="L596" s="919"/>
      <c r="M596" s="919"/>
      <c r="N596" s="442"/>
    </row>
    <row r="597" spans="1:14" s="942" customFormat="1" ht="15.75" customHeight="1">
      <c r="A597" s="442"/>
      <c r="B597" s="442"/>
      <c r="C597" s="919"/>
      <c r="D597" s="919"/>
      <c r="E597" s="919"/>
      <c r="F597" s="919"/>
      <c r="G597" s="919"/>
      <c r="H597" s="919"/>
      <c r="I597" s="919"/>
      <c r="J597" s="919"/>
      <c r="K597" s="919"/>
      <c r="L597" s="919"/>
      <c r="M597" s="919"/>
      <c r="N597" s="442"/>
    </row>
    <row r="598" spans="1:14" s="942" customFormat="1" ht="15.75" customHeight="1">
      <c r="A598" s="442"/>
      <c r="B598" s="442"/>
      <c r="C598" s="919"/>
      <c r="D598" s="919"/>
      <c r="E598" s="919"/>
      <c r="F598" s="919"/>
      <c r="G598" s="919"/>
      <c r="H598" s="919"/>
      <c r="I598" s="919"/>
      <c r="J598" s="919"/>
      <c r="K598" s="919"/>
      <c r="L598" s="919"/>
      <c r="M598" s="919"/>
      <c r="N598" s="442"/>
    </row>
    <row r="599" spans="1:14" s="942" customFormat="1" ht="15.75" customHeight="1">
      <c r="A599" s="442"/>
      <c r="B599" s="442"/>
      <c r="C599" s="919"/>
      <c r="D599" s="919"/>
      <c r="E599" s="919"/>
      <c r="F599" s="919"/>
      <c r="G599" s="919"/>
      <c r="H599" s="919"/>
      <c r="I599" s="919"/>
      <c r="J599" s="919"/>
      <c r="K599" s="919"/>
      <c r="L599" s="919"/>
      <c r="M599" s="919"/>
      <c r="N599" s="442"/>
    </row>
    <row r="600" spans="1:14" s="942" customFormat="1" ht="15.75" customHeight="1">
      <c r="A600" s="442"/>
      <c r="B600" s="442"/>
      <c r="C600" s="919"/>
      <c r="D600" s="919"/>
      <c r="E600" s="919"/>
      <c r="F600" s="919"/>
      <c r="G600" s="919"/>
      <c r="H600" s="919"/>
      <c r="I600" s="919"/>
      <c r="J600" s="919"/>
      <c r="K600" s="919"/>
      <c r="L600" s="919"/>
      <c r="M600" s="919"/>
      <c r="N600" s="442"/>
    </row>
    <row r="601" spans="1:14" s="942" customFormat="1" ht="15.75" customHeight="1">
      <c r="A601" s="442"/>
      <c r="B601" s="442"/>
      <c r="C601" s="919"/>
      <c r="D601" s="919"/>
      <c r="E601" s="919"/>
      <c r="F601" s="919"/>
      <c r="G601" s="919"/>
      <c r="H601" s="919"/>
      <c r="I601" s="919"/>
      <c r="J601" s="919"/>
      <c r="K601" s="919"/>
      <c r="L601" s="919"/>
      <c r="M601" s="919"/>
      <c r="N601" s="442"/>
    </row>
    <row r="602" spans="1:14" s="942" customFormat="1" ht="15.75" customHeight="1">
      <c r="A602" s="442"/>
      <c r="B602" s="442"/>
      <c r="C602" s="919"/>
      <c r="D602" s="919"/>
      <c r="E602" s="919"/>
      <c r="F602" s="919"/>
      <c r="G602" s="919"/>
      <c r="H602" s="919"/>
      <c r="I602" s="919"/>
      <c r="J602" s="919"/>
      <c r="K602" s="919"/>
      <c r="L602" s="919"/>
      <c r="M602" s="919"/>
      <c r="N602" s="442"/>
    </row>
    <row r="603" spans="1:14" s="942" customFormat="1" ht="15.75" customHeight="1">
      <c r="A603" s="442"/>
      <c r="B603" s="442"/>
      <c r="C603" s="919"/>
      <c r="D603" s="919"/>
      <c r="E603" s="919"/>
      <c r="F603" s="919"/>
      <c r="G603" s="919"/>
      <c r="H603" s="919"/>
      <c r="I603" s="919"/>
      <c r="J603" s="919"/>
      <c r="K603" s="919"/>
      <c r="L603" s="919"/>
      <c r="M603" s="919"/>
      <c r="N603" s="442"/>
    </row>
    <row r="604" spans="1:14" s="942" customFormat="1" ht="15.75" customHeight="1">
      <c r="A604" s="442"/>
      <c r="B604" s="442"/>
      <c r="C604" s="919"/>
      <c r="D604" s="919"/>
      <c r="E604" s="919"/>
      <c r="F604" s="919"/>
      <c r="G604" s="919"/>
      <c r="H604" s="919"/>
      <c r="I604" s="919"/>
      <c r="J604" s="919"/>
      <c r="K604" s="919"/>
      <c r="L604" s="919"/>
      <c r="M604" s="919"/>
      <c r="N604" s="442"/>
    </row>
    <row r="605" spans="1:14" s="942" customFormat="1" ht="15.75" customHeight="1">
      <c r="A605" s="442"/>
      <c r="B605" s="442"/>
      <c r="C605" s="919"/>
      <c r="D605" s="919"/>
      <c r="E605" s="919"/>
      <c r="F605" s="919"/>
      <c r="G605" s="919"/>
      <c r="H605" s="919"/>
      <c r="I605" s="919"/>
      <c r="J605" s="919"/>
      <c r="K605" s="919"/>
      <c r="L605" s="919"/>
      <c r="M605" s="919"/>
      <c r="N605" s="442"/>
    </row>
    <row r="606" spans="1:14" s="942" customFormat="1" ht="15.75" customHeight="1">
      <c r="A606" s="442"/>
      <c r="B606" s="442"/>
      <c r="C606" s="919"/>
      <c r="D606" s="919"/>
      <c r="E606" s="919"/>
      <c r="F606" s="919"/>
      <c r="G606" s="919"/>
      <c r="H606" s="919"/>
      <c r="I606" s="919"/>
      <c r="J606" s="919"/>
      <c r="K606" s="919"/>
      <c r="L606" s="919"/>
      <c r="M606" s="919"/>
      <c r="N606" s="442"/>
    </row>
    <row r="607" spans="1:14" s="942" customFormat="1" ht="15.75" customHeight="1">
      <c r="A607" s="442"/>
      <c r="B607" s="442"/>
      <c r="C607" s="919"/>
      <c r="D607" s="919"/>
      <c r="E607" s="919"/>
      <c r="F607" s="919"/>
      <c r="G607" s="919"/>
      <c r="H607" s="919"/>
      <c r="I607" s="919"/>
      <c r="J607" s="919"/>
      <c r="K607" s="919"/>
      <c r="L607" s="919"/>
      <c r="M607" s="919"/>
      <c r="N607" s="442"/>
    </row>
    <row r="608" spans="1:14" s="942" customFormat="1" ht="15.75" customHeight="1">
      <c r="A608" s="442"/>
      <c r="B608" s="442"/>
      <c r="C608" s="919"/>
      <c r="D608" s="919"/>
      <c r="E608" s="919"/>
      <c r="F608" s="919"/>
      <c r="G608" s="919"/>
      <c r="H608" s="919"/>
      <c r="I608" s="919"/>
      <c r="J608" s="919"/>
      <c r="K608" s="919"/>
      <c r="L608" s="919"/>
      <c r="M608" s="919"/>
      <c r="N608" s="442"/>
    </row>
    <row r="609" spans="1:14" s="942" customFormat="1" ht="15.75" customHeight="1">
      <c r="A609" s="442"/>
      <c r="B609" s="442"/>
      <c r="C609" s="919"/>
      <c r="D609" s="919"/>
      <c r="E609" s="919"/>
      <c r="F609" s="919"/>
      <c r="G609" s="919"/>
      <c r="H609" s="919"/>
      <c r="I609" s="919"/>
      <c r="J609" s="919"/>
      <c r="K609" s="919"/>
      <c r="L609" s="919"/>
      <c r="M609" s="919"/>
      <c r="N609" s="442"/>
    </row>
    <row r="610" spans="1:14" s="942" customFormat="1" ht="15.75" customHeight="1">
      <c r="A610" s="442"/>
      <c r="B610" s="442"/>
      <c r="C610" s="919"/>
      <c r="D610" s="919"/>
      <c r="E610" s="919"/>
      <c r="F610" s="919"/>
      <c r="G610" s="919"/>
      <c r="H610" s="919"/>
      <c r="I610" s="919"/>
      <c r="J610" s="919"/>
      <c r="K610" s="919"/>
      <c r="L610" s="919"/>
      <c r="M610" s="919"/>
      <c r="N610" s="442"/>
    </row>
    <row r="611" spans="1:14" s="942" customFormat="1" ht="15.75" customHeight="1">
      <c r="A611" s="442"/>
      <c r="B611" s="442"/>
      <c r="C611" s="919"/>
      <c r="D611" s="919"/>
      <c r="E611" s="919"/>
      <c r="F611" s="919"/>
      <c r="G611" s="919"/>
      <c r="H611" s="919"/>
      <c r="I611" s="919"/>
      <c r="J611" s="919"/>
      <c r="K611" s="919"/>
      <c r="L611" s="919"/>
      <c r="M611" s="919"/>
      <c r="N611" s="442"/>
    </row>
    <row r="612" spans="1:14" s="942" customFormat="1" ht="15.75" customHeight="1">
      <c r="A612" s="442"/>
      <c r="B612" s="442"/>
      <c r="C612" s="919"/>
      <c r="D612" s="919"/>
      <c r="E612" s="919"/>
      <c r="F612" s="919"/>
      <c r="G612" s="919"/>
      <c r="H612" s="919"/>
      <c r="I612" s="919"/>
      <c r="J612" s="919"/>
      <c r="K612" s="919"/>
      <c r="L612" s="919"/>
      <c r="M612" s="919"/>
      <c r="N612" s="442"/>
    </row>
    <row r="613" spans="1:14" s="942" customFormat="1" ht="15.75" customHeight="1">
      <c r="A613" s="442"/>
      <c r="B613" s="442"/>
      <c r="C613" s="919"/>
      <c r="D613" s="919"/>
      <c r="E613" s="919"/>
      <c r="F613" s="919"/>
      <c r="G613" s="919"/>
      <c r="H613" s="919"/>
      <c r="I613" s="919"/>
      <c r="J613" s="919"/>
      <c r="K613" s="919"/>
      <c r="L613" s="919"/>
      <c r="M613" s="919"/>
      <c r="N613" s="442"/>
    </row>
    <row r="614" spans="1:14" s="942" customFormat="1" ht="15.75" customHeight="1">
      <c r="A614" s="442"/>
      <c r="B614" s="442"/>
      <c r="C614" s="919"/>
      <c r="D614" s="919"/>
      <c r="E614" s="919"/>
      <c r="F614" s="919"/>
      <c r="G614" s="919"/>
      <c r="H614" s="919"/>
      <c r="I614" s="919"/>
      <c r="J614" s="919"/>
      <c r="K614" s="919"/>
      <c r="L614" s="919"/>
      <c r="M614" s="919"/>
      <c r="N614" s="442"/>
    </row>
    <row r="615" spans="1:14" s="942" customFormat="1" ht="15.75" customHeight="1">
      <c r="A615" s="442"/>
      <c r="B615" s="442"/>
      <c r="C615" s="919"/>
      <c r="D615" s="919"/>
      <c r="E615" s="919"/>
      <c r="F615" s="919"/>
      <c r="G615" s="919"/>
      <c r="H615" s="919"/>
      <c r="I615" s="919"/>
      <c r="J615" s="919"/>
      <c r="K615" s="919"/>
      <c r="L615" s="919"/>
      <c r="M615" s="919"/>
      <c r="N615" s="442"/>
    </row>
    <row r="616" spans="1:14" s="942" customFormat="1" ht="15.75" customHeight="1">
      <c r="A616" s="442"/>
      <c r="B616" s="442"/>
      <c r="C616" s="919"/>
      <c r="D616" s="919"/>
      <c r="E616" s="919"/>
      <c r="F616" s="919"/>
      <c r="G616" s="919"/>
      <c r="H616" s="919"/>
      <c r="I616" s="919"/>
      <c r="J616" s="919"/>
      <c r="K616" s="919"/>
      <c r="L616" s="919"/>
      <c r="M616" s="919"/>
      <c r="N616" s="442"/>
    </row>
    <row r="617" spans="1:14" s="942" customFormat="1" ht="15.75" customHeight="1">
      <c r="A617" s="442"/>
      <c r="B617" s="442"/>
      <c r="C617" s="919"/>
      <c r="D617" s="919"/>
      <c r="E617" s="919"/>
      <c r="F617" s="919"/>
      <c r="G617" s="919"/>
      <c r="H617" s="919"/>
      <c r="I617" s="919"/>
      <c r="J617" s="919"/>
      <c r="K617" s="919"/>
      <c r="L617" s="919"/>
      <c r="M617" s="919"/>
      <c r="N617" s="442"/>
    </row>
    <row r="618" spans="1:14" s="942" customFormat="1" ht="15.75" customHeight="1">
      <c r="A618" s="442"/>
      <c r="B618" s="442"/>
      <c r="C618" s="919"/>
      <c r="D618" s="919"/>
      <c r="E618" s="919"/>
      <c r="F618" s="919"/>
      <c r="G618" s="919"/>
      <c r="H618" s="919"/>
      <c r="I618" s="919"/>
      <c r="J618" s="919"/>
      <c r="K618" s="919"/>
      <c r="L618" s="919"/>
      <c r="M618" s="919"/>
      <c r="N618" s="442"/>
    </row>
    <row r="619" spans="1:14" s="942" customFormat="1" ht="15.75" customHeight="1">
      <c r="A619" s="442"/>
      <c r="B619" s="442"/>
      <c r="C619" s="919"/>
      <c r="D619" s="919"/>
      <c r="E619" s="919"/>
      <c r="F619" s="919"/>
      <c r="G619" s="919"/>
      <c r="H619" s="919"/>
      <c r="I619" s="919"/>
      <c r="J619" s="919"/>
      <c r="K619" s="919"/>
      <c r="L619" s="919"/>
      <c r="M619" s="919"/>
      <c r="N619" s="442"/>
    </row>
    <row r="620" spans="1:14" s="942" customFormat="1" ht="15.75" customHeight="1">
      <c r="A620" s="442"/>
      <c r="B620" s="442"/>
      <c r="C620" s="919"/>
      <c r="D620" s="919"/>
      <c r="E620" s="919"/>
      <c r="F620" s="919"/>
      <c r="G620" s="919"/>
      <c r="H620" s="919"/>
      <c r="I620" s="919"/>
      <c r="J620" s="919"/>
      <c r="K620" s="919"/>
      <c r="L620" s="919"/>
      <c r="M620" s="919"/>
      <c r="N620" s="442"/>
    </row>
    <row r="621" spans="1:14" s="942" customFormat="1" ht="15.75" customHeight="1">
      <c r="A621" s="442"/>
      <c r="B621" s="442"/>
      <c r="C621" s="919"/>
      <c r="D621" s="919"/>
      <c r="E621" s="919"/>
      <c r="F621" s="919"/>
      <c r="G621" s="919"/>
      <c r="H621" s="919"/>
      <c r="I621" s="919"/>
      <c r="J621" s="919"/>
      <c r="K621" s="919"/>
      <c r="L621" s="919"/>
      <c r="M621" s="919"/>
      <c r="N621" s="442"/>
    </row>
    <row r="622" spans="1:14" s="942" customFormat="1" ht="15.75" customHeight="1">
      <c r="A622" s="442"/>
      <c r="B622" s="442"/>
      <c r="C622" s="919"/>
      <c r="D622" s="919"/>
      <c r="E622" s="919"/>
      <c r="F622" s="919"/>
      <c r="G622" s="919"/>
      <c r="H622" s="919"/>
      <c r="I622" s="919"/>
      <c r="J622" s="919"/>
      <c r="K622" s="919"/>
      <c r="L622" s="919"/>
      <c r="M622" s="919"/>
      <c r="N622" s="442"/>
    </row>
    <row r="623" spans="1:14" s="942" customFormat="1" ht="15.75" customHeight="1">
      <c r="A623" s="442"/>
      <c r="B623" s="442"/>
      <c r="C623" s="919"/>
      <c r="D623" s="919"/>
      <c r="E623" s="919"/>
      <c r="F623" s="919"/>
      <c r="G623" s="919"/>
      <c r="H623" s="919"/>
      <c r="I623" s="919"/>
      <c r="J623" s="919"/>
      <c r="K623" s="919"/>
      <c r="L623" s="919"/>
      <c r="M623" s="919"/>
      <c r="N623" s="442"/>
    </row>
    <row r="624" spans="1:14" s="942" customFormat="1" ht="15.75" customHeight="1">
      <c r="A624" s="442"/>
      <c r="B624" s="442"/>
      <c r="C624" s="919"/>
      <c r="D624" s="919"/>
      <c r="E624" s="919"/>
      <c r="F624" s="919"/>
      <c r="G624" s="919"/>
      <c r="H624" s="919"/>
      <c r="I624" s="919"/>
      <c r="J624" s="919"/>
      <c r="K624" s="919"/>
      <c r="L624" s="919"/>
      <c r="M624" s="919"/>
      <c r="N624" s="442"/>
    </row>
    <row r="625" spans="1:14" s="942" customFormat="1" ht="15.75" customHeight="1">
      <c r="A625" s="442"/>
      <c r="B625" s="442"/>
      <c r="C625" s="919"/>
      <c r="D625" s="919"/>
      <c r="E625" s="919"/>
      <c r="F625" s="919"/>
      <c r="G625" s="919"/>
      <c r="H625" s="919"/>
      <c r="I625" s="919"/>
      <c r="J625" s="919"/>
      <c r="K625" s="919"/>
      <c r="L625" s="919"/>
      <c r="M625" s="919"/>
      <c r="N625" s="442"/>
    </row>
    <row r="626" spans="1:14" s="942" customFormat="1" ht="15.75" customHeight="1">
      <c r="A626" s="442"/>
      <c r="B626" s="442"/>
      <c r="C626" s="919"/>
      <c r="D626" s="919"/>
      <c r="E626" s="919"/>
      <c r="F626" s="919"/>
      <c r="G626" s="919"/>
      <c r="H626" s="919"/>
      <c r="I626" s="919"/>
      <c r="J626" s="919"/>
      <c r="K626" s="919"/>
      <c r="L626" s="919"/>
      <c r="M626" s="919"/>
      <c r="N626" s="442"/>
    </row>
    <row r="627" spans="1:14" s="942" customFormat="1" ht="15.75" customHeight="1">
      <c r="A627" s="442"/>
      <c r="B627" s="442"/>
      <c r="C627" s="919"/>
      <c r="D627" s="919"/>
      <c r="E627" s="919"/>
      <c r="F627" s="919"/>
      <c r="G627" s="919"/>
      <c r="H627" s="919"/>
      <c r="I627" s="919"/>
      <c r="J627" s="919"/>
      <c r="K627" s="919"/>
      <c r="L627" s="919"/>
      <c r="M627" s="919"/>
      <c r="N627" s="442"/>
    </row>
    <row r="628" spans="1:14" s="942" customFormat="1" ht="15.75" customHeight="1">
      <c r="A628" s="442"/>
      <c r="B628" s="442"/>
      <c r="C628" s="919"/>
      <c r="D628" s="919"/>
      <c r="E628" s="919"/>
      <c r="F628" s="919"/>
      <c r="G628" s="919"/>
      <c r="H628" s="919"/>
      <c r="I628" s="919"/>
      <c r="J628" s="919"/>
      <c r="K628" s="919"/>
      <c r="L628" s="919"/>
      <c r="M628" s="919"/>
      <c r="N628" s="442"/>
    </row>
    <row r="629" spans="1:14" s="942" customFormat="1" ht="15.75" customHeight="1">
      <c r="A629" s="442"/>
      <c r="B629" s="442"/>
      <c r="C629" s="919"/>
      <c r="D629" s="919"/>
      <c r="E629" s="919"/>
      <c r="F629" s="919"/>
      <c r="G629" s="919"/>
      <c r="H629" s="919"/>
      <c r="I629" s="919"/>
      <c r="J629" s="919"/>
      <c r="K629" s="919"/>
      <c r="L629" s="919"/>
      <c r="M629" s="919"/>
      <c r="N629" s="442"/>
    </row>
    <row r="630" spans="1:14" s="942" customFormat="1" ht="15.75" customHeight="1">
      <c r="A630" s="442"/>
      <c r="B630" s="442"/>
      <c r="C630" s="919"/>
      <c r="D630" s="919"/>
      <c r="E630" s="919"/>
      <c r="F630" s="919"/>
      <c r="G630" s="919"/>
      <c r="H630" s="919"/>
      <c r="I630" s="919"/>
      <c r="J630" s="919"/>
      <c r="K630" s="919"/>
      <c r="L630" s="919"/>
      <c r="M630" s="919"/>
      <c r="N630" s="442"/>
    </row>
    <row r="631" spans="1:14" s="942" customFormat="1" ht="15.75" customHeight="1">
      <c r="A631" s="442"/>
      <c r="B631" s="442"/>
      <c r="C631" s="919"/>
      <c r="D631" s="919"/>
      <c r="E631" s="919"/>
      <c r="F631" s="919"/>
      <c r="G631" s="919"/>
      <c r="H631" s="919"/>
      <c r="I631" s="919"/>
      <c r="J631" s="919"/>
      <c r="K631" s="919"/>
      <c r="L631" s="919"/>
      <c r="M631" s="919"/>
      <c r="N631" s="442"/>
    </row>
    <row r="632" spans="1:14" s="942" customFormat="1" ht="15.75" customHeight="1">
      <c r="A632" s="442"/>
      <c r="B632" s="442"/>
      <c r="C632" s="919"/>
      <c r="D632" s="919"/>
      <c r="E632" s="919"/>
      <c r="F632" s="919"/>
      <c r="G632" s="919"/>
      <c r="H632" s="919"/>
      <c r="I632" s="919"/>
      <c r="J632" s="919"/>
      <c r="K632" s="919"/>
      <c r="L632" s="919"/>
      <c r="M632" s="919"/>
      <c r="N632" s="442"/>
    </row>
    <row r="633" spans="1:14" s="942" customFormat="1" ht="15.75" customHeight="1">
      <c r="A633" s="442"/>
      <c r="B633" s="442"/>
      <c r="C633" s="919"/>
      <c r="D633" s="919"/>
      <c r="E633" s="919"/>
      <c r="F633" s="919"/>
      <c r="G633" s="919"/>
      <c r="H633" s="919"/>
      <c r="I633" s="919"/>
      <c r="J633" s="919"/>
      <c r="K633" s="919"/>
      <c r="L633" s="919"/>
      <c r="M633" s="919"/>
      <c r="N633" s="442"/>
    </row>
    <row r="634" spans="1:14" s="942" customFormat="1" ht="15.75" customHeight="1">
      <c r="A634" s="442"/>
      <c r="B634" s="442"/>
      <c r="C634" s="919"/>
      <c r="D634" s="919"/>
      <c r="E634" s="919"/>
      <c r="F634" s="919"/>
      <c r="G634" s="919"/>
      <c r="H634" s="919"/>
      <c r="I634" s="919"/>
      <c r="J634" s="919"/>
      <c r="K634" s="919"/>
      <c r="L634" s="919"/>
      <c r="M634" s="919"/>
      <c r="N634" s="442"/>
    </row>
    <row r="635" spans="1:14" s="942" customFormat="1" ht="15.75" customHeight="1">
      <c r="A635" s="442"/>
      <c r="B635" s="442"/>
      <c r="C635" s="919"/>
      <c r="D635" s="919"/>
      <c r="E635" s="919"/>
      <c r="F635" s="919"/>
      <c r="G635" s="919"/>
      <c r="H635" s="919"/>
      <c r="I635" s="919"/>
      <c r="J635" s="919"/>
      <c r="K635" s="919"/>
      <c r="L635" s="919"/>
      <c r="M635" s="919"/>
      <c r="N635" s="442"/>
    </row>
    <row r="636" spans="1:14" s="942" customFormat="1" ht="15.75" customHeight="1">
      <c r="A636" s="442"/>
      <c r="B636" s="442"/>
      <c r="C636" s="919"/>
      <c r="D636" s="919"/>
      <c r="E636" s="919"/>
      <c r="F636" s="919"/>
      <c r="G636" s="919"/>
      <c r="H636" s="919"/>
      <c r="I636" s="919"/>
      <c r="J636" s="919"/>
      <c r="K636" s="919"/>
      <c r="L636" s="919"/>
      <c r="M636" s="919"/>
      <c r="N636" s="442"/>
    </row>
    <row r="637" spans="1:14" s="942" customFormat="1" ht="15.75" customHeight="1">
      <c r="A637" s="442"/>
      <c r="B637" s="442"/>
      <c r="C637" s="919"/>
      <c r="D637" s="919"/>
      <c r="E637" s="919"/>
      <c r="F637" s="919"/>
      <c r="G637" s="919"/>
      <c r="H637" s="919"/>
      <c r="I637" s="919"/>
      <c r="J637" s="919"/>
      <c r="K637" s="919"/>
      <c r="L637" s="919"/>
      <c r="M637" s="919"/>
      <c r="N637" s="442"/>
    </row>
    <row r="638" spans="1:14" s="942" customFormat="1" ht="15.75" customHeight="1">
      <c r="A638" s="442"/>
      <c r="B638" s="442"/>
      <c r="C638" s="919"/>
      <c r="D638" s="919"/>
      <c r="E638" s="919"/>
      <c r="F638" s="919"/>
      <c r="G638" s="919"/>
      <c r="H638" s="919"/>
      <c r="I638" s="919"/>
      <c r="J638" s="919"/>
      <c r="K638" s="919"/>
      <c r="L638" s="919"/>
      <c r="M638" s="919"/>
      <c r="N638" s="442"/>
    </row>
    <row r="639" spans="1:14" s="942" customFormat="1" ht="15.75" customHeight="1">
      <c r="A639" s="442"/>
      <c r="B639" s="442"/>
      <c r="C639" s="919"/>
      <c r="D639" s="919"/>
      <c r="E639" s="919"/>
      <c r="F639" s="919"/>
      <c r="G639" s="919"/>
      <c r="H639" s="919"/>
      <c r="I639" s="919"/>
      <c r="J639" s="919"/>
      <c r="K639" s="919"/>
      <c r="L639" s="919"/>
      <c r="M639" s="919"/>
      <c r="N639" s="442"/>
    </row>
    <row r="640" spans="1:14" s="942" customFormat="1" ht="15.75" customHeight="1">
      <c r="A640" s="442"/>
      <c r="B640" s="442"/>
      <c r="C640" s="919"/>
      <c r="D640" s="919"/>
      <c r="E640" s="919"/>
      <c r="F640" s="919"/>
      <c r="G640" s="919"/>
      <c r="H640" s="919"/>
      <c r="I640" s="919"/>
      <c r="J640" s="919"/>
      <c r="K640" s="919"/>
      <c r="L640" s="919"/>
      <c r="M640" s="919"/>
      <c r="N640" s="442"/>
    </row>
    <row r="641" spans="1:14" s="942" customFormat="1" ht="15.75" customHeight="1">
      <c r="A641" s="442"/>
      <c r="B641" s="442"/>
      <c r="C641" s="919"/>
      <c r="D641" s="919"/>
      <c r="E641" s="919"/>
      <c r="F641" s="919"/>
      <c r="G641" s="919"/>
      <c r="H641" s="919"/>
      <c r="I641" s="919"/>
      <c r="J641" s="919"/>
      <c r="K641" s="919"/>
      <c r="L641" s="919"/>
      <c r="M641" s="919"/>
      <c r="N641" s="442"/>
    </row>
    <row r="642" spans="1:14" s="942" customFormat="1" ht="15.75" customHeight="1">
      <c r="A642" s="442"/>
      <c r="B642" s="442"/>
      <c r="C642" s="919"/>
      <c r="D642" s="919"/>
      <c r="E642" s="919"/>
      <c r="F642" s="919"/>
      <c r="G642" s="919"/>
      <c r="H642" s="919"/>
      <c r="I642" s="919"/>
      <c r="J642" s="919"/>
      <c r="K642" s="919"/>
      <c r="L642" s="919"/>
      <c r="M642" s="919"/>
      <c r="N642" s="442"/>
    </row>
    <row r="643" spans="1:14" s="942" customFormat="1" ht="15.75" customHeight="1">
      <c r="A643" s="442"/>
      <c r="B643" s="442"/>
      <c r="C643" s="919"/>
      <c r="D643" s="919"/>
      <c r="E643" s="919"/>
      <c r="F643" s="919"/>
      <c r="G643" s="919"/>
      <c r="H643" s="919"/>
      <c r="I643" s="919"/>
      <c r="J643" s="919"/>
      <c r="K643" s="919"/>
      <c r="L643" s="919"/>
      <c r="M643" s="919"/>
      <c r="N643" s="442"/>
    </row>
    <row r="644" spans="1:14" s="942" customFormat="1" ht="15.75" customHeight="1">
      <c r="A644" s="442"/>
      <c r="B644" s="442"/>
      <c r="C644" s="919"/>
      <c r="D644" s="919"/>
      <c r="E644" s="919"/>
      <c r="F644" s="919"/>
      <c r="G644" s="919"/>
      <c r="H644" s="919"/>
      <c r="I644" s="919"/>
      <c r="J644" s="919"/>
      <c r="K644" s="919"/>
      <c r="L644" s="919"/>
      <c r="M644" s="919"/>
      <c r="N644" s="442"/>
    </row>
    <row r="645" spans="1:14" s="942" customFormat="1" ht="15.75" customHeight="1">
      <c r="A645" s="442"/>
      <c r="B645" s="442"/>
      <c r="C645" s="919"/>
      <c r="D645" s="919"/>
      <c r="E645" s="919"/>
      <c r="F645" s="919"/>
      <c r="G645" s="919"/>
      <c r="H645" s="919"/>
      <c r="I645" s="919"/>
      <c r="J645" s="919"/>
      <c r="K645" s="919"/>
      <c r="L645" s="919"/>
      <c r="M645" s="919"/>
      <c r="N645" s="442"/>
    </row>
    <row r="646" spans="1:14" s="942" customFormat="1" ht="15.75" customHeight="1">
      <c r="A646" s="442"/>
      <c r="B646" s="442"/>
      <c r="C646" s="919"/>
      <c r="D646" s="919"/>
      <c r="E646" s="919"/>
      <c r="F646" s="919"/>
      <c r="G646" s="919"/>
      <c r="H646" s="919"/>
      <c r="I646" s="919"/>
      <c r="J646" s="919"/>
      <c r="K646" s="919"/>
      <c r="L646" s="919"/>
      <c r="M646" s="919"/>
      <c r="N646" s="442"/>
    </row>
    <row r="647" spans="1:14" s="942" customFormat="1" ht="15.75" customHeight="1">
      <c r="A647" s="442"/>
      <c r="B647" s="442"/>
      <c r="C647" s="919"/>
      <c r="D647" s="919"/>
      <c r="E647" s="919"/>
      <c r="F647" s="919"/>
      <c r="G647" s="919"/>
      <c r="H647" s="919"/>
      <c r="I647" s="919"/>
      <c r="J647" s="919"/>
      <c r="K647" s="919"/>
      <c r="L647" s="919"/>
      <c r="M647" s="919"/>
      <c r="N647" s="442"/>
    </row>
    <row r="648" spans="1:14" s="942" customFormat="1" ht="15.75" customHeight="1">
      <c r="A648" s="442"/>
      <c r="B648" s="442"/>
      <c r="C648" s="919"/>
      <c r="D648" s="919"/>
      <c r="E648" s="919"/>
      <c r="F648" s="919"/>
      <c r="G648" s="919"/>
      <c r="H648" s="919"/>
      <c r="I648" s="919"/>
      <c r="J648" s="919"/>
      <c r="K648" s="919"/>
      <c r="L648" s="919"/>
      <c r="M648" s="919"/>
      <c r="N648" s="442"/>
    </row>
    <row r="649" spans="1:14" s="942" customFormat="1" ht="15.75" customHeight="1">
      <c r="A649" s="442"/>
      <c r="B649" s="442"/>
      <c r="C649" s="919"/>
      <c r="D649" s="919"/>
      <c r="E649" s="919"/>
      <c r="F649" s="919"/>
      <c r="G649" s="919"/>
      <c r="H649" s="919"/>
      <c r="I649" s="919"/>
      <c r="J649" s="919"/>
      <c r="K649" s="919"/>
      <c r="L649" s="919"/>
      <c r="M649" s="919"/>
      <c r="N649" s="442"/>
    </row>
    <row r="650" spans="1:14" s="942" customFormat="1" ht="15.75" customHeight="1">
      <c r="A650" s="442"/>
      <c r="B650" s="442"/>
      <c r="C650" s="919"/>
      <c r="D650" s="919"/>
      <c r="E650" s="919"/>
      <c r="F650" s="919"/>
      <c r="G650" s="919"/>
      <c r="H650" s="919"/>
      <c r="I650" s="919"/>
      <c r="J650" s="919"/>
      <c r="K650" s="919"/>
      <c r="L650" s="919"/>
      <c r="M650" s="919"/>
      <c r="N650" s="442"/>
    </row>
    <row r="651" spans="1:14" s="942" customFormat="1" ht="15.75" customHeight="1">
      <c r="A651" s="442"/>
      <c r="B651" s="442"/>
      <c r="C651" s="919"/>
      <c r="D651" s="919"/>
      <c r="E651" s="919"/>
      <c r="F651" s="919"/>
      <c r="G651" s="919"/>
      <c r="H651" s="919"/>
      <c r="I651" s="919"/>
      <c r="J651" s="919"/>
      <c r="K651" s="919"/>
      <c r="L651" s="919"/>
      <c r="M651" s="919"/>
      <c r="N651" s="442"/>
    </row>
    <row r="652" spans="1:14" s="942" customFormat="1" ht="15.75" customHeight="1">
      <c r="A652" s="442"/>
      <c r="B652" s="442"/>
      <c r="C652" s="919"/>
      <c r="D652" s="919"/>
      <c r="E652" s="919"/>
      <c r="F652" s="919"/>
      <c r="G652" s="919"/>
      <c r="H652" s="919"/>
      <c r="I652" s="919"/>
      <c r="J652" s="919"/>
      <c r="K652" s="919"/>
      <c r="L652" s="919"/>
      <c r="M652" s="919"/>
      <c r="N652" s="442"/>
    </row>
    <row r="653" spans="1:14" s="942" customFormat="1" ht="15.75" customHeight="1">
      <c r="A653" s="442"/>
      <c r="B653" s="442"/>
      <c r="C653" s="919"/>
      <c r="D653" s="919"/>
      <c r="E653" s="919"/>
      <c r="F653" s="919"/>
      <c r="G653" s="919"/>
      <c r="H653" s="919"/>
      <c r="I653" s="919"/>
      <c r="J653" s="919"/>
      <c r="K653" s="919"/>
      <c r="L653" s="919"/>
      <c r="M653" s="919"/>
      <c r="N653" s="442"/>
    </row>
    <row r="654" spans="1:14" s="942" customFormat="1" ht="15.75" customHeight="1">
      <c r="A654" s="442"/>
      <c r="B654" s="442"/>
      <c r="C654" s="919"/>
      <c r="D654" s="919"/>
      <c r="E654" s="919"/>
      <c r="F654" s="919"/>
      <c r="G654" s="919"/>
      <c r="H654" s="919"/>
      <c r="I654" s="919"/>
      <c r="J654" s="919"/>
      <c r="K654" s="919"/>
      <c r="L654" s="919"/>
      <c r="M654" s="919"/>
      <c r="N654" s="442"/>
    </row>
    <row r="655" spans="1:14" s="942" customFormat="1" ht="15.75" customHeight="1">
      <c r="A655" s="442"/>
      <c r="B655" s="442"/>
      <c r="C655" s="919"/>
      <c r="D655" s="919"/>
      <c r="E655" s="919"/>
      <c r="F655" s="919"/>
      <c r="G655" s="919"/>
      <c r="H655" s="919"/>
      <c r="I655" s="919"/>
      <c r="J655" s="919"/>
      <c r="K655" s="919"/>
      <c r="L655" s="919"/>
      <c r="M655" s="919"/>
      <c r="N655" s="442"/>
    </row>
    <row r="656" spans="1:14" s="942" customFormat="1" ht="15.75" customHeight="1">
      <c r="A656" s="442"/>
      <c r="B656" s="442"/>
      <c r="C656" s="919"/>
      <c r="D656" s="919"/>
      <c r="E656" s="919"/>
      <c r="F656" s="919"/>
      <c r="G656" s="919"/>
      <c r="H656" s="919"/>
      <c r="I656" s="919"/>
      <c r="J656" s="919"/>
      <c r="K656" s="919"/>
      <c r="L656" s="919"/>
      <c r="M656" s="919"/>
      <c r="N656" s="442"/>
    </row>
    <row r="657" spans="1:14" s="942" customFormat="1" ht="15.75" customHeight="1">
      <c r="A657" s="442"/>
      <c r="B657" s="442"/>
      <c r="C657" s="919"/>
      <c r="D657" s="919"/>
      <c r="E657" s="919"/>
      <c r="F657" s="919"/>
      <c r="G657" s="919"/>
      <c r="H657" s="919"/>
      <c r="I657" s="919"/>
      <c r="J657" s="919"/>
      <c r="K657" s="919"/>
      <c r="L657" s="919"/>
      <c r="M657" s="919"/>
      <c r="N657" s="442"/>
    </row>
    <row r="658" spans="1:14" s="942" customFormat="1" ht="15.75" customHeight="1">
      <c r="A658" s="442"/>
      <c r="B658" s="442"/>
      <c r="C658" s="442"/>
      <c r="D658" s="442"/>
      <c r="E658" s="442"/>
      <c r="F658" s="442"/>
      <c r="G658" s="442"/>
      <c r="H658" s="442"/>
      <c r="I658" s="442"/>
      <c r="J658" s="442"/>
      <c r="K658" s="442"/>
      <c r="L658" s="442"/>
      <c r="M658" s="442"/>
      <c r="N658" s="442"/>
    </row>
    <row r="659" spans="1:14" s="942" customFormat="1" ht="15.75" customHeight="1">
      <c r="A659" s="442"/>
      <c r="B659" s="442"/>
      <c r="C659" s="442"/>
      <c r="D659" s="442"/>
      <c r="E659" s="442"/>
      <c r="F659" s="442"/>
      <c r="G659" s="442"/>
      <c r="H659" s="442"/>
      <c r="I659" s="442"/>
      <c r="J659" s="442"/>
      <c r="K659" s="442"/>
      <c r="L659" s="442"/>
      <c r="M659" s="442"/>
      <c r="N659" s="442"/>
    </row>
    <row r="660" spans="1:14" s="942" customFormat="1" ht="15.75" customHeight="1">
      <c r="A660" s="442"/>
      <c r="B660" s="442"/>
      <c r="C660" s="442"/>
      <c r="D660" s="442"/>
      <c r="E660" s="442"/>
      <c r="F660" s="442"/>
      <c r="G660" s="442"/>
      <c r="H660" s="442"/>
      <c r="I660" s="442"/>
      <c r="J660" s="442"/>
      <c r="K660" s="442"/>
      <c r="L660" s="442"/>
      <c r="M660" s="442"/>
      <c r="N660" s="442"/>
    </row>
    <row r="661" spans="1:14" s="942" customFormat="1" ht="15.75" customHeight="1">
      <c r="A661" s="442"/>
      <c r="B661" s="442"/>
      <c r="C661" s="442"/>
      <c r="D661" s="442"/>
      <c r="E661" s="442"/>
      <c r="F661" s="442"/>
      <c r="G661" s="442"/>
      <c r="H661" s="442"/>
      <c r="I661" s="442"/>
      <c r="J661" s="442"/>
      <c r="K661" s="442"/>
      <c r="L661" s="442"/>
      <c r="M661" s="442"/>
      <c r="N661" s="442"/>
    </row>
    <row r="662" spans="1:14" s="942" customFormat="1" ht="15.75" customHeight="1">
      <c r="A662" s="442"/>
      <c r="B662" s="442"/>
      <c r="C662" s="442"/>
      <c r="D662" s="442"/>
      <c r="E662" s="442"/>
      <c r="F662" s="442"/>
      <c r="G662" s="442"/>
      <c r="H662" s="442"/>
      <c r="I662" s="442"/>
      <c r="J662" s="442"/>
      <c r="K662" s="442"/>
      <c r="L662" s="442"/>
      <c r="M662" s="442"/>
      <c r="N662" s="442"/>
    </row>
    <row r="663" spans="1:14" s="942" customFormat="1" ht="15.75" customHeight="1">
      <c r="A663" s="442"/>
      <c r="B663" s="442"/>
      <c r="C663" s="442"/>
      <c r="D663" s="442"/>
      <c r="E663" s="442"/>
      <c r="F663" s="442"/>
      <c r="G663" s="442"/>
      <c r="H663" s="442"/>
      <c r="I663" s="442"/>
      <c r="J663" s="442"/>
      <c r="K663" s="442"/>
      <c r="L663" s="442"/>
      <c r="M663" s="442"/>
      <c r="N663" s="442"/>
    </row>
    <row r="664" spans="1:14" s="942" customFormat="1" ht="15.75" customHeight="1">
      <c r="A664" s="442"/>
      <c r="B664" s="442"/>
      <c r="C664" s="442"/>
      <c r="D664" s="442"/>
      <c r="E664" s="442"/>
      <c r="F664" s="442"/>
      <c r="G664" s="442"/>
      <c r="H664" s="442"/>
      <c r="I664" s="442"/>
      <c r="J664" s="442"/>
      <c r="K664" s="442"/>
      <c r="L664" s="442"/>
      <c r="M664" s="442"/>
      <c r="N664" s="442"/>
    </row>
    <row r="665" spans="1:14" s="942" customFormat="1" ht="15.75" customHeight="1">
      <c r="A665" s="442"/>
      <c r="B665" s="442"/>
      <c r="C665" s="442"/>
      <c r="D665" s="442"/>
      <c r="E665" s="442"/>
      <c r="F665" s="442"/>
      <c r="G665" s="442"/>
      <c r="H665" s="442"/>
      <c r="I665" s="442"/>
      <c r="J665" s="442"/>
      <c r="K665" s="442"/>
      <c r="L665" s="442"/>
      <c r="M665" s="442"/>
      <c r="N665" s="442"/>
    </row>
    <row r="666" spans="1:14" s="942" customFormat="1" ht="15.75" customHeight="1">
      <c r="A666" s="442"/>
      <c r="B666" s="442"/>
      <c r="C666" s="442"/>
      <c r="D666" s="442"/>
      <c r="E666" s="442"/>
      <c r="F666" s="442"/>
      <c r="G666" s="442"/>
      <c r="H666" s="442"/>
      <c r="I666" s="442"/>
      <c r="J666" s="442"/>
      <c r="K666" s="442"/>
      <c r="L666" s="442"/>
      <c r="M666" s="442"/>
      <c r="N666" s="442"/>
    </row>
    <row r="667" spans="1:14" s="942" customFormat="1" ht="15.75" customHeight="1">
      <c r="A667" s="442"/>
      <c r="B667" s="442"/>
      <c r="C667" s="442"/>
      <c r="D667" s="442"/>
      <c r="E667" s="442"/>
      <c r="F667" s="442"/>
      <c r="G667" s="442"/>
      <c r="H667" s="442"/>
      <c r="I667" s="442"/>
      <c r="J667" s="442"/>
      <c r="K667" s="442"/>
      <c r="L667" s="442"/>
      <c r="M667" s="442"/>
      <c r="N667" s="442"/>
    </row>
    <row r="668" spans="1:14" s="942" customFormat="1" ht="15.75" customHeight="1">
      <c r="A668" s="442"/>
      <c r="B668" s="442"/>
      <c r="C668" s="442"/>
      <c r="D668" s="442"/>
      <c r="E668" s="442"/>
      <c r="F668" s="442"/>
      <c r="G668" s="442"/>
      <c r="H668" s="442"/>
      <c r="I668" s="442"/>
      <c r="J668" s="442"/>
      <c r="K668" s="442"/>
      <c r="L668" s="442"/>
      <c r="M668" s="442"/>
      <c r="N668" s="442"/>
    </row>
    <row r="669" spans="1:14" s="942" customFormat="1" ht="15.75" customHeight="1">
      <c r="A669" s="442"/>
      <c r="B669" s="442"/>
      <c r="C669" s="442"/>
      <c r="D669" s="442"/>
      <c r="E669" s="442"/>
      <c r="F669" s="442"/>
      <c r="G669" s="442"/>
      <c r="H669" s="442"/>
      <c r="I669" s="442"/>
      <c r="J669" s="442"/>
      <c r="K669" s="442"/>
      <c r="L669" s="442"/>
      <c r="M669" s="442"/>
      <c r="N669" s="442"/>
    </row>
    <row r="670" spans="1:14" s="942" customFormat="1" ht="15.75" customHeight="1">
      <c r="A670" s="442"/>
      <c r="B670" s="442"/>
      <c r="C670" s="442"/>
      <c r="D670" s="442"/>
      <c r="E670" s="442"/>
      <c r="F670" s="442"/>
      <c r="G670" s="442"/>
      <c r="H670" s="442"/>
      <c r="I670" s="442"/>
      <c r="J670" s="442"/>
      <c r="K670" s="442"/>
      <c r="L670" s="442"/>
      <c r="M670" s="442"/>
      <c r="N670" s="442"/>
    </row>
    <row r="671" spans="1:14" s="942" customFormat="1" ht="15.75" customHeight="1">
      <c r="A671" s="442"/>
      <c r="B671" s="442"/>
      <c r="C671" s="442"/>
      <c r="D671" s="442"/>
      <c r="E671" s="442"/>
      <c r="F671" s="442"/>
      <c r="G671" s="442"/>
      <c r="H671" s="442"/>
      <c r="I671" s="442"/>
      <c r="J671" s="442"/>
      <c r="K671" s="442"/>
      <c r="L671" s="442"/>
      <c r="M671" s="442"/>
      <c r="N671" s="442"/>
    </row>
    <row r="672" spans="1:14" s="942" customFormat="1" ht="15.75" customHeight="1">
      <c r="A672" s="442"/>
      <c r="B672" s="442"/>
      <c r="C672" s="442"/>
      <c r="D672" s="442"/>
      <c r="E672" s="442"/>
      <c r="F672" s="442"/>
      <c r="G672" s="442"/>
      <c r="H672" s="442"/>
      <c r="I672" s="442"/>
      <c r="J672" s="442"/>
      <c r="K672" s="442"/>
      <c r="L672" s="442"/>
      <c r="M672" s="442"/>
      <c r="N672" s="442"/>
    </row>
    <row r="673" spans="1:14" s="942" customFormat="1" ht="15.75" customHeight="1">
      <c r="A673" s="442"/>
      <c r="B673" s="442"/>
      <c r="C673" s="442"/>
      <c r="D673" s="442"/>
      <c r="E673" s="442"/>
      <c r="F673" s="442"/>
      <c r="G673" s="442"/>
      <c r="H673" s="442"/>
      <c r="I673" s="442"/>
      <c r="J673" s="442"/>
      <c r="K673" s="442"/>
      <c r="L673" s="442"/>
      <c r="M673" s="442"/>
      <c r="N673" s="442"/>
    </row>
    <row r="674" spans="1:14" s="942" customFormat="1" ht="15.75" customHeight="1">
      <c r="A674" s="442"/>
      <c r="B674" s="442"/>
      <c r="C674" s="442"/>
      <c r="D674" s="442"/>
      <c r="E674" s="442"/>
      <c r="F674" s="442"/>
      <c r="G674" s="442"/>
      <c r="H674" s="442"/>
      <c r="I674" s="442"/>
      <c r="J674" s="442"/>
      <c r="K674" s="442"/>
      <c r="L674" s="442"/>
      <c r="M674" s="442"/>
      <c r="N674" s="442"/>
    </row>
    <row r="675" spans="1:14" s="942" customFormat="1" ht="15.75" customHeight="1">
      <c r="A675" s="442"/>
      <c r="B675" s="442"/>
      <c r="C675" s="442"/>
      <c r="D675" s="442"/>
      <c r="E675" s="442"/>
      <c r="F675" s="442"/>
      <c r="G675" s="442"/>
      <c r="H675" s="442"/>
      <c r="I675" s="442"/>
      <c r="J675" s="442"/>
      <c r="K675" s="442"/>
      <c r="L675" s="442"/>
      <c r="M675" s="442"/>
      <c r="N675" s="442"/>
    </row>
    <row r="676" spans="1:14" s="942" customFormat="1" ht="15.75" customHeight="1">
      <c r="A676" s="442"/>
      <c r="B676" s="442"/>
      <c r="C676" s="442"/>
      <c r="D676" s="442"/>
      <c r="E676" s="442"/>
      <c r="F676" s="442"/>
      <c r="G676" s="442"/>
      <c r="H676" s="442"/>
      <c r="I676" s="442"/>
      <c r="J676" s="442"/>
      <c r="K676" s="442"/>
      <c r="L676" s="442"/>
      <c r="M676" s="442"/>
      <c r="N676" s="442"/>
    </row>
    <row r="677" spans="1:14" s="942" customFormat="1" ht="15.75" customHeight="1">
      <c r="A677" s="442"/>
      <c r="B677" s="442"/>
      <c r="C677" s="442"/>
      <c r="D677" s="442"/>
      <c r="E677" s="442"/>
      <c r="F677" s="442"/>
      <c r="G677" s="442"/>
      <c r="H677" s="442"/>
      <c r="I677" s="442"/>
      <c r="J677" s="442"/>
      <c r="K677" s="442"/>
      <c r="L677" s="442"/>
      <c r="M677" s="442"/>
      <c r="N677" s="442"/>
    </row>
    <row r="678" spans="1:14" s="942" customFormat="1" ht="15.75" customHeight="1">
      <c r="A678" s="442"/>
      <c r="B678" s="442"/>
      <c r="C678" s="442"/>
      <c r="D678" s="442"/>
      <c r="E678" s="442"/>
      <c r="F678" s="442"/>
      <c r="G678" s="442"/>
      <c r="H678" s="442"/>
      <c r="I678" s="442"/>
      <c r="J678" s="442"/>
      <c r="K678" s="442"/>
      <c r="L678" s="442"/>
      <c r="M678" s="442"/>
      <c r="N678" s="442"/>
    </row>
    <row r="679" spans="1:14" s="942" customFormat="1" ht="15.75" customHeight="1">
      <c r="A679" s="442"/>
      <c r="B679" s="442"/>
      <c r="C679" s="442"/>
      <c r="D679" s="442"/>
      <c r="E679" s="442"/>
      <c r="F679" s="442"/>
      <c r="G679" s="442"/>
      <c r="H679" s="442"/>
      <c r="I679" s="442"/>
      <c r="J679" s="442"/>
      <c r="K679" s="442"/>
      <c r="L679" s="442"/>
      <c r="M679" s="442"/>
      <c r="N679" s="442"/>
    </row>
    <row r="680" spans="1:14" s="942" customFormat="1" ht="15.75" customHeight="1">
      <c r="A680" s="442"/>
      <c r="B680" s="442"/>
      <c r="C680" s="442"/>
      <c r="D680" s="442"/>
      <c r="E680" s="442"/>
      <c r="F680" s="442"/>
      <c r="G680" s="442"/>
      <c r="H680" s="442"/>
      <c r="I680" s="442"/>
      <c r="J680" s="442"/>
      <c r="K680" s="442"/>
      <c r="L680" s="442"/>
      <c r="M680" s="442"/>
      <c r="N680" s="442"/>
    </row>
    <row r="681" spans="1:14" s="942" customFormat="1" ht="15.75" customHeight="1">
      <c r="A681" s="442"/>
      <c r="B681" s="442"/>
      <c r="C681" s="442"/>
      <c r="D681" s="442"/>
      <c r="E681" s="442"/>
      <c r="F681" s="442"/>
      <c r="G681" s="442"/>
      <c r="H681" s="442"/>
      <c r="I681" s="442"/>
      <c r="J681" s="442"/>
      <c r="K681" s="442"/>
      <c r="L681" s="442"/>
      <c r="M681" s="442"/>
      <c r="N681" s="442"/>
    </row>
    <row r="682" spans="1:14" s="942" customFormat="1" ht="15.75" customHeight="1">
      <c r="A682" s="442"/>
      <c r="B682" s="442"/>
      <c r="C682" s="442"/>
      <c r="D682" s="442"/>
      <c r="E682" s="442"/>
      <c r="F682" s="442"/>
      <c r="G682" s="442"/>
      <c r="H682" s="442"/>
      <c r="I682" s="442"/>
      <c r="J682" s="442"/>
      <c r="K682" s="442"/>
      <c r="L682" s="442"/>
      <c r="M682" s="442"/>
      <c r="N682" s="442"/>
    </row>
    <row r="683" spans="1:14" s="942" customFormat="1" ht="15.75" customHeight="1">
      <c r="A683" s="442"/>
      <c r="B683" s="442"/>
      <c r="C683" s="442"/>
      <c r="D683" s="442"/>
      <c r="E683" s="442"/>
      <c r="F683" s="442"/>
      <c r="G683" s="442"/>
      <c r="H683" s="442"/>
      <c r="I683" s="442"/>
      <c r="J683" s="442"/>
      <c r="K683" s="442"/>
      <c r="L683" s="442"/>
      <c r="M683" s="442"/>
      <c r="N683" s="442"/>
    </row>
    <row r="684" spans="1:14" s="942" customFormat="1" ht="15.75" customHeight="1">
      <c r="A684" s="442"/>
      <c r="B684" s="442"/>
      <c r="C684" s="442"/>
      <c r="D684" s="442"/>
      <c r="E684" s="442"/>
      <c r="F684" s="442"/>
      <c r="G684" s="442"/>
      <c r="H684" s="442"/>
      <c r="I684" s="442"/>
      <c r="J684" s="442"/>
      <c r="K684" s="442"/>
      <c r="L684" s="442"/>
      <c r="M684" s="442"/>
      <c r="N684" s="442"/>
    </row>
    <row r="685" spans="1:14" s="942" customFormat="1" ht="15.75" customHeight="1">
      <c r="A685" s="442"/>
      <c r="B685" s="442"/>
      <c r="C685" s="442"/>
      <c r="D685" s="442"/>
      <c r="E685" s="442"/>
      <c r="F685" s="442"/>
      <c r="G685" s="442"/>
      <c r="H685" s="442"/>
      <c r="I685" s="442"/>
      <c r="J685" s="442"/>
      <c r="K685" s="442"/>
      <c r="L685" s="442"/>
      <c r="M685" s="442"/>
      <c r="N685" s="442"/>
    </row>
    <row r="686" spans="1:14" s="942" customFormat="1" ht="15.75" customHeight="1">
      <c r="A686" s="442"/>
      <c r="B686" s="442"/>
      <c r="C686" s="442"/>
      <c r="D686" s="442"/>
      <c r="E686" s="442"/>
      <c r="F686" s="442"/>
      <c r="G686" s="442"/>
      <c r="H686" s="442"/>
      <c r="I686" s="442"/>
      <c r="J686" s="442"/>
      <c r="K686" s="442"/>
      <c r="L686" s="442"/>
      <c r="M686" s="442"/>
      <c r="N686" s="442"/>
    </row>
    <row r="687" spans="1:14" s="942" customFormat="1" ht="15.75" customHeight="1">
      <c r="A687" s="442"/>
      <c r="B687" s="442"/>
      <c r="C687" s="442"/>
      <c r="D687" s="442"/>
      <c r="E687" s="442"/>
      <c r="F687" s="442"/>
      <c r="G687" s="442"/>
      <c r="H687" s="442"/>
      <c r="I687" s="442"/>
      <c r="J687" s="442"/>
      <c r="K687" s="442"/>
      <c r="L687" s="442"/>
      <c r="M687" s="442"/>
      <c r="N687" s="442"/>
    </row>
    <row r="688" spans="1:14" s="942" customFormat="1" ht="15.75" customHeight="1">
      <c r="A688" s="442"/>
      <c r="B688" s="442"/>
      <c r="C688" s="442"/>
      <c r="D688" s="442"/>
      <c r="E688" s="442"/>
      <c r="F688" s="442"/>
      <c r="G688" s="442"/>
      <c r="H688" s="442"/>
      <c r="I688" s="442"/>
      <c r="J688" s="442"/>
      <c r="K688" s="442"/>
      <c r="L688" s="442"/>
      <c r="M688" s="442"/>
      <c r="N688" s="442"/>
    </row>
    <row r="689" spans="1:14" s="942" customFormat="1" ht="15.75" customHeight="1">
      <c r="A689" s="442"/>
      <c r="B689" s="442"/>
      <c r="C689" s="442"/>
      <c r="D689" s="442"/>
      <c r="E689" s="442"/>
      <c r="F689" s="442"/>
      <c r="G689" s="442"/>
      <c r="H689" s="442"/>
      <c r="I689" s="442"/>
      <c r="J689" s="442"/>
      <c r="K689" s="442"/>
      <c r="L689" s="442"/>
      <c r="M689" s="442"/>
      <c r="N689" s="442"/>
    </row>
    <row r="690" spans="1:14" s="942" customFormat="1" ht="15.75" customHeight="1">
      <c r="A690" s="442"/>
      <c r="B690" s="442"/>
      <c r="C690" s="442"/>
      <c r="D690" s="442"/>
      <c r="E690" s="442"/>
      <c r="F690" s="442"/>
      <c r="G690" s="442"/>
      <c r="H690" s="442"/>
      <c r="I690" s="442"/>
      <c r="J690" s="442"/>
      <c r="K690" s="442"/>
      <c r="L690" s="442"/>
      <c r="M690" s="442"/>
      <c r="N690" s="442"/>
    </row>
    <row r="691" spans="1:14" s="942" customFormat="1" ht="15.75" customHeight="1">
      <c r="A691" s="442"/>
      <c r="B691" s="442"/>
      <c r="C691" s="442"/>
      <c r="D691" s="442"/>
      <c r="E691" s="442"/>
      <c r="F691" s="442"/>
      <c r="G691" s="442"/>
      <c r="H691" s="442"/>
      <c r="I691" s="442"/>
      <c r="J691" s="442"/>
      <c r="K691" s="442"/>
      <c r="L691" s="442"/>
      <c r="M691" s="442"/>
      <c r="N691" s="442"/>
    </row>
    <row r="692" spans="1:14" s="942" customFormat="1" ht="15.75" customHeight="1">
      <c r="A692" s="442"/>
      <c r="B692" s="442"/>
      <c r="C692" s="442"/>
      <c r="D692" s="442"/>
      <c r="E692" s="442"/>
      <c r="F692" s="442"/>
      <c r="G692" s="442"/>
      <c r="H692" s="442"/>
      <c r="I692" s="442"/>
      <c r="J692" s="442"/>
      <c r="K692" s="442"/>
      <c r="L692" s="442"/>
      <c r="M692" s="442"/>
      <c r="N692" s="442"/>
    </row>
    <row r="693" spans="1:14" s="942" customFormat="1" ht="15.75" customHeight="1">
      <c r="A693" s="442"/>
      <c r="B693" s="442"/>
      <c r="C693" s="442"/>
      <c r="D693" s="442"/>
      <c r="E693" s="442"/>
      <c r="F693" s="442"/>
      <c r="G693" s="442"/>
      <c r="H693" s="442"/>
      <c r="I693" s="442"/>
      <c r="J693" s="442"/>
      <c r="K693" s="442"/>
      <c r="L693" s="442"/>
      <c r="M693" s="442"/>
      <c r="N693" s="442"/>
    </row>
    <row r="694" spans="1:14" s="942" customFormat="1" ht="15.75" customHeight="1">
      <c r="A694" s="442"/>
      <c r="B694" s="442"/>
      <c r="C694" s="442"/>
      <c r="D694" s="442"/>
      <c r="E694" s="442"/>
      <c r="F694" s="442"/>
      <c r="G694" s="442"/>
      <c r="H694" s="442"/>
      <c r="I694" s="442"/>
      <c r="J694" s="442"/>
      <c r="K694" s="442"/>
      <c r="L694" s="442"/>
      <c r="M694" s="442"/>
      <c r="N694" s="442"/>
    </row>
    <row r="695" spans="1:14" s="942" customFormat="1" ht="15.75" customHeight="1">
      <c r="A695" s="442"/>
      <c r="B695" s="442"/>
      <c r="C695" s="442"/>
      <c r="D695" s="442"/>
      <c r="E695" s="442"/>
      <c r="F695" s="442"/>
      <c r="G695" s="442"/>
      <c r="H695" s="442"/>
      <c r="I695" s="442"/>
      <c r="J695" s="442"/>
      <c r="K695" s="442"/>
      <c r="L695" s="442"/>
      <c r="M695" s="442"/>
      <c r="N695" s="442"/>
    </row>
    <row r="696" spans="1:14" s="942" customFormat="1" ht="15.75" customHeight="1">
      <c r="A696" s="442"/>
      <c r="B696" s="442"/>
      <c r="C696" s="442"/>
      <c r="D696" s="442"/>
      <c r="E696" s="442"/>
      <c r="F696" s="442"/>
      <c r="G696" s="442"/>
      <c r="H696" s="442"/>
      <c r="I696" s="442"/>
      <c r="J696" s="442"/>
      <c r="K696" s="442"/>
      <c r="L696" s="442"/>
      <c r="M696" s="442"/>
      <c r="N696" s="442"/>
    </row>
    <row r="697" spans="1:14" s="942" customFormat="1" ht="15.75" customHeight="1">
      <c r="A697" s="442"/>
      <c r="B697" s="442"/>
      <c r="C697" s="442"/>
      <c r="D697" s="442"/>
      <c r="E697" s="442"/>
      <c r="F697" s="442"/>
      <c r="G697" s="442"/>
      <c r="H697" s="442"/>
      <c r="I697" s="442"/>
      <c r="J697" s="442"/>
      <c r="K697" s="442"/>
      <c r="L697" s="442"/>
      <c r="M697" s="442"/>
      <c r="N697" s="442"/>
    </row>
    <row r="698" spans="1:14" s="942" customFormat="1" ht="15.75" customHeight="1">
      <c r="A698" s="442"/>
      <c r="B698" s="442"/>
      <c r="C698" s="442"/>
      <c r="D698" s="442"/>
      <c r="E698" s="442"/>
      <c r="F698" s="442"/>
      <c r="G698" s="442"/>
      <c r="H698" s="442"/>
      <c r="I698" s="442"/>
      <c r="J698" s="442"/>
      <c r="K698" s="442"/>
      <c r="L698" s="442"/>
      <c r="M698" s="442"/>
      <c r="N698" s="442"/>
    </row>
    <row r="699" spans="1:14" s="942" customFormat="1" ht="15.75" customHeight="1">
      <c r="A699" s="442"/>
      <c r="B699" s="442"/>
      <c r="C699" s="442"/>
      <c r="D699" s="442"/>
      <c r="E699" s="442"/>
      <c r="F699" s="442"/>
      <c r="G699" s="442"/>
      <c r="H699" s="442"/>
      <c r="I699" s="442"/>
      <c r="J699" s="442"/>
      <c r="K699" s="442"/>
      <c r="L699" s="442"/>
      <c r="M699" s="442"/>
      <c r="N699" s="442"/>
    </row>
    <row r="700" spans="1:14" s="942" customFormat="1" ht="15.75" customHeight="1">
      <c r="A700" s="442"/>
      <c r="B700" s="442"/>
      <c r="C700" s="442"/>
      <c r="D700" s="442"/>
      <c r="E700" s="442"/>
      <c r="F700" s="442"/>
      <c r="G700" s="442"/>
      <c r="H700" s="442"/>
      <c r="I700" s="442"/>
      <c r="J700" s="442"/>
      <c r="K700" s="442"/>
      <c r="L700" s="442"/>
      <c r="M700" s="442"/>
      <c r="N700" s="442"/>
    </row>
    <row r="701" spans="1:14" s="942" customFormat="1" ht="15.75" customHeight="1">
      <c r="A701" s="442"/>
      <c r="B701" s="442"/>
      <c r="C701" s="442"/>
      <c r="D701" s="442"/>
      <c r="E701" s="442"/>
      <c r="F701" s="442"/>
      <c r="G701" s="442"/>
      <c r="H701" s="442"/>
      <c r="I701" s="442"/>
      <c r="J701" s="442"/>
      <c r="K701" s="442"/>
      <c r="L701" s="442"/>
      <c r="M701" s="442"/>
      <c r="N701" s="442"/>
    </row>
    <row r="702" spans="1:14" s="942" customFormat="1" ht="15.75" customHeight="1">
      <c r="A702" s="442"/>
      <c r="B702" s="442"/>
      <c r="C702" s="442"/>
      <c r="D702" s="442"/>
      <c r="E702" s="442"/>
      <c r="F702" s="442"/>
      <c r="G702" s="442"/>
      <c r="H702" s="442"/>
      <c r="I702" s="442"/>
      <c r="J702" s="442"/>
      <c r="K702" s="442"/>
      <c r="L702" s="442"/>
      <c r="M702" s="442"/>
      <c r="N702" s="442"/>
    </row>
    <row r="703" spans="1:14" s="942" customFormat="1" ht="15.75" customHeight="1">
      <c r="A703" s="442"/>
      <c r="B703" s="442"/>
      <c r="C703" s="442"/>
      <c r="D703" s="442"/>
      <c r="E703" s="442"/>
      <c r="F703" s="442"/>
      <c r="G703" s="442"/>
      <c r="H703" s="442"/>
      <c r="I703" s="442"/>
      <c r="J703" s="442"/>
      <c r="K703" s="442"/>
      <c r="L703" s="442"/>
      <c r="M703" s="442"/>
      <c r="N703" s="442"/>
    </row>
    <row r="704" spans="1:14" s="942" customFormat="1" ht="15.75" customHeight="1">
      <c r="A704" s="442"/>
      <c r="B704" s="442"/>
      <c r="C704" s="442"/>
      <c r="D704" s="442"/>
      <c r="E704" s="442"/>
      <c r="F704" s="442"/>
      <c r="G704" s="442"/>
      <c r="H704" s="442"/>
      <c r="I704" s="442"/>
      <c r="J704" s="442"/>
      <c r="K704" s="442"/>
      <c r="L704" s="442"/>
      <c r="M704" s="442"/>
      <c r="N704" s="442"/>
    </row>
    <row r="705" spans="1:14" s="942" customFormat="1" ht="15.75" customHeight="1">
      <c r="A705" s="442"/>
      <c r="B705" s="442"/>
      <c r="C705" s="442"/>
      <c r="D705" s="442"/>
      <c r="E705" s="442"/>
      <c r="F705" s="442"/>
      <c r="G705" s="442"/>
      <c r="H705" s="442"/>
      <c r="I705" s="442"/>
      <c r="J705" s="442"/>
      <c r="K705" s="442"/>
      <c r="L705" s="442"/>
      <c r="M705" s="442"/>
      <c r="N705" s="442"/>
    </row>
    <row r="706" spans="1:14" s="942" customFormat="1" ht="15.75" customHeight="1">
      <c r="A706" s="442"/>
      <c r="B706" s="442"/>
      <c r="C706" s="442"/>
      <c r="D706" s="442"/>
      <c r="E706" s="442"/>
      <c r="F706" s="442"/>
      <c r="G706" s="442"/>
      <c r="H706" s="442"/>
      <c r="I706" s="442"/>
      <c r="J706" s="442"/>
      <c r="K706" s="442"/>
      <c r="L706" s="442"/>
      <c r="M706" s="442"/>
      <c r="N706" s="442"/>
    </row>
    <row r="707" spans="1:14" s="942" customFormat="1" ht="15.75" customHeight="1">
      <c r="A707" s="442"/>
      <c r="B707" s="442"/>
      <c r="C707" s="442"/>
      <c r="D707" s="442"/>
      <c r="E707" s="442"/>
      <c r="F707" s="442"/>
      <c r="G707" s="442"/>
      <c r="H707" s="442"/>
      <c r="I707" s="442"/>
      <c r="J707" s="442"/>
      <c r="K707" s="442"/>
      <c r="L707" s="442"/>
      <c r="M707" s="442"/>
      <c r="N707" s="442"/>
    </row>
    <row r="708" spans="1:14" s="942" customFormat="1" ht="15.75" customHeight="1">
      <c r="A708" s="442"/>
      <c r="B708" s="442"/>
      <c r="C708" s="442"/>
      <c r="D708" s="442"/>
      <c r="E708" s="442"/>
      <c r="F708" s="442"/>
      <c r="G708" s="442"/>
      <c r="H708" s="442"/>
      <c r="I708" s="442"/>
      <c r="J708" s="442"/>
      <c r="K708" s="442"/>
      <c r="L708" s="442"/>
      <c r="M708" s="442"/>
      <c r="N708" s="442"/>
    </row>
    <row r="709" spans="1:14" s="942" customFormat="1" ht="15.75" customHeight="1">
      <c r="A709" s="442"/>
      <c r="B709" s="442"/>
      <c r="C709" s="442"/>
      <c r="D709" s="442"/>
      <c r="E709" s="442"/>
      <c r="F709" s="442"/>
      <c r="G709" s="442"/>
      <c r="H709" s="442"/>
      <c r="I709" s="442"/>
      <c r="J709" s="442"/>
      <c r="K709" s="442"/>
      <c r="L709" s="442"/>
      <c r="M709" s="442"/>
      <c r="N709" s="442"/>
    </row>
    <row r="710" spans="1:14" s="942" customFormat="1" ht="15.75" customHeight="1">
      <c r="A710" s="442"/>
      <c r="B710" s="442"/>
      <c r="C710" s="442"/>
      <c r="D710" s="442"/>
      <c r="E710" s="442"/>
      <c r="F710" s="442"/>
      <c r="G710" s="442"/>
      <c r="H710" s="442"/>
      <c r="I710" s="442"/>
      <c r="J710" s="442"/>
      <c r="K710" s="442"/>
      <c r="L710" s="442"/>
      <c r="M710" s="442"/>
      <c r="N710" s="442"/>
    </row>
    <row r="711" spans="1:14" s="942" customFormat="1" ht="15.75" customHeight="1">
      <c r="A711" s="442"/>
      <c r="B711" s="442"/>
      <c r="C711" s="442"/>
      <c r="D711" s="442"/>
      <c r="E711" s="442"/>
      <c r="F711" s="442"/>
      <c r="G711" s="442"/>
      <c r="H711" s="442"/>
      <c r="I711" s="442"/>
      <c r="J711" s="442"/>
      <c r="K711" s="442"/>
      <c r="L711" s="442"/>
      <c r="M711" s="442"/>
      <c r="N711" s="442"/>
    </row>
    <row r="712" spans="1:14" s="942" customFormat="1" ht="15.75" customHeight="1">
      <c r="A712" s="442"/>
      <c r="B712" s="442"/>
      <c r="C712" s="442"/>
      <c r="D712" s="442"/>
      <c r="E712" s="442"/>
      <c r="F712" s="442"/>
      <c r="G712" s="442"/>
      <c r="H712" s="442"/>
      <c r="I712" s="442"/>
      <c r="J712" s="442"/>
      <c r="K712" s="442"/>
      <c r="L712" s="442"/>
      <c r="M712" s="442"/>
      <c r="N712" s="442"/>
    </row>
    <row r="713" spans="1:14" s="942" customFormat="1" ht="15.75" customHeight="1">
      <c r="A713" s="442"/>
      <c r="B713" s="442"/>
      <c r="C713" s="442"/>
      <c r="D713" s="442"/>
      <c r="E713" s="442"/>
      <c r="F713" s="442"/>
      <c r="G713" s="442"/>
      <c r="H713" s="442"/>
      <c r="I713" s="442"/>
      <c r="J713" s="442"/>
      <c r="K713" s="442"/>
      <c r="L713" s="442"/>
      <c r="M713" s="442"/>
      <c r="N713" s="442"/>
    </row>
    <row r="714" spans="1:14" s="942" customFormat="1" ht="15.75" customHeight="1">
      <c r="A714" s="442"/>
      <c r="B714" s="442"/>
      <c r="C714" s="442"/>
      <c r="D714" s="442"/>
      <c r="E714" s="442"/>
      <c r="F714" s="442"/>
      <c r="G714" s="442"/>
      <c r="H714" s="442"/>
      <c r="I714" s="442"/>
      <c r="J714" s="442"/>
      <c r="K714" s="442"/>
      <c r="L714" s="442"/>
      <c r="M714" s="442"/>
      <c r="N714" s="442"/>
    </row>
    <row r="715" spans="1:14" s="942" customFormat="1" ht="15.75" customHeight="1">
      <c r="A715" s="442"/>
      <c r="B715" s="442"/>
      <c r="C715" s="442"/>
      <c r="D715" s="442"/>
      <c r="E715" s="442"/>
      <c r="F715" s="442"/>
      <c r="G715" s="442"/>
      <c r="H715" s="442"/>
      <c r="I715" s="442"/>
      <c r="J715" s="442"/>
      <c r="K715" s="442"/>
      <c r="L715" s="442"/>
      <c r="M715" s="442"/>
      <c r="N715" s="442"/>
    </row>
    <row r="716" spans="1:14" s="942" customFormat="1" ht="15.75" customHeight="1">
      <c r="A716" s="442"/>
      <c r="B716" s="442"/>
      <c r="C716" s="442"/>
      <c r="D716" s="442"/>
      <c r="E716" s="442"/>
      <c r="F716" s="442"/>
      <c r="G716" s="442"/>
      <c r="H716" s="442"/>
      <c r="I716" s="442"/>
      <c r="J716" s="442"/>
      <c r="K716" s="442"/>
      <c r="L716" s="442"/>
      <c r="M716" s="442"/>
      <c r="N716" s="442"/>
    </row>
    <row r="717" spans="1:14" s="942" customFormat="1" ht="15.75" customHeight="1">
      <c r="A717" s="442"/>
      <c r="B717" s="442"/>
      <c r="C717" s="442"/>
      <c r="D717" s="442"/>
      <c r="E717" s="442"/>
      <c r="F717" s="442"/>
      <c r="G717" s="442"/>
      <c r="H717" s="442"/>
      <c r="I717" s="442"/>
      <c r="J717" s="442"/>
      <c r="K717" s="442"/>
      <c r="L717" s="442"/>
      <c r="M717" s="442"/>
      <c r="N717" s="442"/>
    </row>
    <row r="718" spans="1:14" s="942" customFormat="1" ht="15.75" customHeight="1">
      <c r="A718" s="442"/>
      <c r="B718" s="442"/>
      <c r="C718" s="442"/>
      <c r="D718" s="442"/>
      <c r="E718" s="442"/>
      <c r="F718" s="442"/>
      <c r="G718" s="442"/>
      <c r="H718" s="442"/>
      <c r="I718" s="442"/>
      <c r="J718" s="442"/>
      <c r="K718" s="442"/>
      <c r="L718" s="442"/>
      <c r="M718" s="442"/>
      <c r="N718" s="442"/>
    </row>
    <row r="719" spans="1:14" s="942" customFormat="1" ht="15.75" customHeight="1">
      <c r="A719" s="442"/>
      <c r="B719" s="442"/>
      <c r="C719" s="442"/>
      <c r="D719" s="442"/>
      <c r="E719" s="442"/>
      <c r="F719" s="442"/>
      <c r="G719" s="442"/>
      <c r="H719" s="442"/>
      <c r="I719" s="442"/>
      <c r="J719" s="442"/>
      <c r="K719" s="442"/>
      <c r="L719" s="442"/>
      <c r="M719" s="442"/>
      <c r="N719" s="442"/>
    </row>
    <row r="720" spans="1:14" s="942" customFormat="1" ht="15.75" customHeight="1">
      <c r="A720" s="442"/>
      <c r="B720" s="442"/>
      <c r="C720" s="442"/>
      <c r="D720" s="442"/>
      <c r="E720" s="442"/>
      <c r="F720" s="442"/>
      <c r="G720" s="442"/>
      <c r="H720" s="442"/>
      <c r="I720" s="442"/>
      <c r="J720" s="442"/>
      <c r="K720" s="442"/>
      <c r="L720" s="442"/>
      <c r="M720" s="442"/>
      <c r="N720" s="442"/>
    </row>
    <row r="721" spans="1:14" s="942" customFormat="1" ht="15.75" customHeight="1">
      <c r="A721" s="442"/>
      <c r="B721" s="442"/>
      <c r="C721" s="442"/>
      <c r="D721" s="442"/>
      <c r="E721" s="442"/>
      <c r="F721" s="442"/>
      <c r="G721" s="442"/>
      <c r="H721" s="442"/>
      <c r="I721" s="442"/>
      <c r="J721" s="442"/>
      <c r="K721" s="442"/>
      <c r="L721" s="442"/>
      <c r="M721" s="442"/>
      <c r="N721" s="442"/>
    </row>
    <row r="722" spans="1:14" s="942" customFormat="1" ht="15.75" customHeight="1">
      <c r="A722" s="442"/>
      <c r="B722" s="442"/>
      <c r="C722" s="442"/>
      <c r="D722" s="442"/>
      <c r="E722" s="442"/>
      <c r="F722" s="442"/>
      <c r="G722" s="442"/>
      <c r="H722" s="442"/>
      <c r="I722" s="442"/>
      <c r="J722" s="442"/>
      <c r="K722" s="442"/>
      <c r="L722" s="442"/>
      <c r="M722" s="442"/>
      <c r="N722" s="442"/>
    </row>
    <row r="723" spans="1:14" s="942" customFormat="1" ht="15.75" customHeight="1">
      <c r="A723" s="442"/>
      <c r="B723" s="442"/>
      <c r="C723" s="442"/>
      <c r="D723" s="442"/>
      <c r="E723" s="442"/>
      <c r="F723" s="442"/>
      <c r="G723" s="442"/>
      <c r="H723" s="442"/>
      <c r="I723" s="442"/>
      <c r="J723" s="442"/>
      <c r="K723" s="442"/>
      <c r="L723" s="442"/>
      <c r="M723" s="442"/>
      <c r="N723" s="442"/>
    </row>
    <row r="724" spans="1:14" s="942" customFormat="1" ht="15.75" customHeight="1">
      <c r="A724" s="442"/>
      <c r="B724" s="442"/>
      <c r="C724" s="442"/>
      <c r="D724" s="442"/>
      <c r="E724" s="442"/>
      <c r="F724" s="442"/>
      <c r="G724" s="442"/>
      <c r="H724" s="442"/>
      <c r="I724" s="442"/>
      <c r="J724" s="442"/>
      <c r="K724" s="442"/>
      <c r="L724" s="442"/>
      <c r="M724" s="442"/>
      <c r="N724" s="442"/>
    </row>
    <row r="725" spans="1:14" s="942" customFormat="1" ht="15.75" customHeight="1">
      <c r="A725" s="442"/>
      <c r="B725" s="442"/>
      <c r="C725" s="442"/>
      <c r="D725" s="442"/>
      <c r="E725" s="442"/>
      <c r="F725" s="442"/>
      <c r="G725" s="442"/>
      <c r="H725" s="442"/>
      <c r="I725" s="442"/>
      <c r="J725" s="442"/>
      <c r="K725" s="442"/>
      <c r="L725" s="442"/>
      <c r="M725" s="442"/>
      <c r="N725" s="442"/>
    </row>
    <row r="726" spans="1:14" s="942" customFormat="1" ht="15.75" customHeight="1">
      <c r="A726" s="442"/>
      <c r="B726" s="442"/>
      <c r="C726" s="442"/>
      <c r="D726" s="442"/>
      <c r="E726" s="442"/>
      <c r="F726" s="442"/>
      <c r="G726" s="442"/>
      <c r="H726" s="442"/>
      <c r="I726" s="442"/>
      <c r="J726" s="442"/>
      <c r="K726" s="442"/>
      <c r="L726" s="442"/>
      <c r="M726" s="442"/>
      <c r="N726" s="442"/>
    </row>
    <row r="727" spans="1:14" s="942" customFormat="1" ht="15.75" customHeight="1">
      <c r="A727" s="442"/>
      <c r="B727" s="442"/>
      <c r="C727" s="442"/>
      <c r="D727" s="442"/>
      <c r="E727" s="442"/>
      <c r="F727" s="442"/>
      <c r="G727" s="442"/>
      <c r="H727" s="442"/>
      <c r="I727" s="442"/>
      <c r="J727" s="442"/>
      <c r="K727" s="442"/>
      <c r="L727" s="442"/>
      <c r="M727" s="442"/>
      <c r="N727" s="442"/>
    </row>
    <row r="728" spans="1:14" s="942" customFormat="1" ht="15.75" customHeight="1">
      <c r="A728" s="442"/>
      <c r="B728" s="442"/>
      <c r="C728" s="442"/>
      <c r="D728" s="442"/>
      <c r="E728" s="442"/>
      <c r="F728" s="442"/>
      <c r="G728" s="442"/>
      <c r="H728" s="442"/>
      <c r="I728" s="442"/>
      <c r="J728" s="442"/>
      <c r="K728" s="442"/>
      <c r="L728" s="442"/>
      <c r="M728" s="442"/>
      <c r="N728" s="442"/>
    </row>
    <row r="729" spans="1:14" s="942" customFormat="1" ht="15.75" customHeight="1">
      <c r="A729" s="442"/>
      <c r="B729" s="442"/>
      <c r="C729" s="442"/>
      <c r="D729" s="442"/>
      <c r="E729" s="442"/>
      <c r="F729" s="442"/>
      <c r="G729" s="442"/>
      <c r="H729" s="442"/>
      <c r="I729" s="442"/>
      <c r="J729" s="442"/>
      <c r="K729" s="442"/>
      <c r="L729" s="442"/>
      <c r="M729" s="442"/>
      <c r="N729" s="442"/>
    </row>
    <row r="730" spans="1:14" s="942" customFormat="1" ht="15.75" customHeight="1">
      <c r="A730" s="442"/>
      <c r="B730" s="442"/>
      <c r="C730" s="442"/>
      <c r="D730" s="442"/>
      <c r="E730" s="442"/>
      <c r="F730" s="442"/>
      <c r="G730" s="442"/>
      <c r="H730" s="442"/>
      <c r="I730" s="442"/>
      <c r="J730" s="442"/>
      <c r="K730" s="442"/>
      <c r="L730" s="442"/>
      <c r="M730" s="442"/>
      <c r="N730" s="442"/>
    </row>
    <row r="731" spans="1:14" s="942" customFormat="1" ht="15.75" customHeight="1">
      <c r="A731" s="442"/>
      <c r="B731" s="442"/>
      <c r="C731" s="442"/>
      <c r="D731" s="442"/>
      <c r="E731" s="442"/>
      <c r="F731" s="442"/>
      <c r="G731" s="442"/>
      <c r="H731" s="442"/>
      <c r="I731" s="442"/>
      <c r="J731" s="442"/>
      <c r="K731" s="442"/>
      <c r="L731" s="442"/>
      <c r="M731" s="442"/>
      <c r="N731" s="442"/>
    </row>
    <row r="732" spans="1:14" s="942" customFormat="1" ht="15.75" customHeight="1">
      <c r="A732" s="442"/>
      <c r="B732" s="442"/>
      <c r="C732" s="442"/>
      <c r="D732" s="442"/>
      <c r="E732" s="442"/>
      <c r="F732" s="442"/>
      <c r="G732" s="442"/>
      <c r="H732" s="442"/>
      <c r="I732" s="442"/>
      <c r="J732" s="442"/>
      <c r="K732" s="442"/>
      <c r="L732" s="442"/>
      <c r="M732" s="442"/>
      <c r="N732" s="442"/>
    </row>
    <row r="733" spans="1:14" s="942" customFormat="1" ht="15.75" customHeight="1">
      <c r="A733" s="442"/>
      <c r="B733" s="442"/>
      <c r="C733" s="442"/>
      <c r="D733" s="442"/>
      <c r="E733" s="442"/>
      <c r="F733" s="442"/>
      <c r="G733" s="442"/>
      <c r="H733" s="442"/>
      <c r="I733" s="442"/>
      <c r="J733" s="442"/>
      <c r="K733" s="442"/>
      <c r="L733" s="442"/>
      <c r="M733" s="442"/>
      <c r="N733" s="442"/>
    </row>
    <row r="734" spans="1:14" s="942" customFormat="1" ht="15.75" customHeight="1">
      <c r="A734" s="442"/>
      <c r="B734" s="442"/>
      <c r="C734" s="442"/>
      <c r="D734" s="442"/>
      <c r="E734" s="442"/>
      <c r="F734" s="442"/>
      <c r="G734" s="442"/>
      <c r="H734" s="442"/>
      <c r="I734" s="442"/>
      <c r="J734" s="442"/>
      <c r="K734" s="442"/>
      <c r="L734" s="442"/>
      <c r="M734" s="442"/>
      <c r="N734" s="442"/>
    </row>
    <row r="735" spans="1:14" s="942" customFormat="1" ht="15.75" customHeight="1">
      <c r="A735" s="442"/>
      <c r="B735" s="442"/>
      <c r="C735" s="442"/>
      <c r="D735" s="442"/>
      <c r="E735" s="442"/>
      <c r="F735" s="442"/>
      <c r="G735" s="442"/>
      <c r="H735" s="442"/>
      <c r="I735" s="442"/>
      <c r="J735" s="442"/>
      <c r="K735" s="442"/>
      <c r="L735" s="442"/>
      <c r="M735" s="442"/>
      <c r="N735" s="442"/>
    </row>
    <row r="736" spans="1:14" s="942" customFormat="1" ht="15.75" customHeight="1">
      <c r="A736" s="442"/>
      <c r="B736" s="442"/>
      <c r="C736" s="442"/>
      <c r="D736" s="442"/>
      <c r="E736" s="442"/>
      <c r="F736" s="442"/>
      <c r="G736" s="442"/>
      <c r="H736" s="442"/>
      <c r="I736" s="442"/>
      <c r="J736" s="442"/>
      <c r="K736" s="442"/>
      <c r="L736" s="442"/>
      <c r="M736" s="442"/>
      <c r="N736" s="442"/>
    </row>
    <row r="737" spans="1:14" s="942" customFormat="1" ht="15.75" customHeight="1">
      <c r="A737" s="442"/>
      <c r="B737" s="442"/>
      <c r="C737" s="442"/>
      <c r="D737" s="442"/>
      <c r="E737" s="442"/>
      <c r="F737" s="442"/>
      <c r="G737" s="442"/>
      <c r="H737" s="442"/>
      <c r="I737" s="442"/>
      <c r="J737" s="442"/>
      <c r="K737" s="442"/>
      <c r="L737" s="442"/>
      <c r="M737" s="442"/>
      <c r="N737" s="442"/>
    </row>
    <row r="738" spans="1:14" s="942" customFormat="1" ht="15.75" customHeight="1">
      <c r="A738" s="442"/>
      <c r="B738" s="442"/>
      <c r="C738" s="442"/>
      <c r="D738" s="442"/>
      <c r="E738" s="442"/>
      <c r="F738" s="442"/>
      <c r="G738" s="442"/>
      <c r="H738" s="442"/>
      <c r="I738" s="442"/>
      <c r="J738" s="442"/>
      <c r="K738" s="442"/>
      <c r="L738" s="442"/>
      <c r="M738" s="442"/>
      <c r="N738" s="442"/>
    </row>
    <row r="739" spans="1:14" s="942" customFormat="1" ht="15.75" customHeight="1">
      <c r="A739" s="442"/>
      <c r="B739" s="442"/>
      <c r="C739" s="442"/>
      <c r="D739" s="442"/>
      <c r="E739" s="442"/>
      <c r="F739" s="442"/>
      <c r="G739" s="442"/>
      <c r="H739" s="442"/>
      <c r="I739" s="442"/>
      <c r="J739" s="442"/>
      <c r="K739" s="442"/>
      <c r="L739" s="442"/>
      <c r="M739" s="442"/>
      <c r="N739" s="442"/>
    </row>
    <row r="740" spans="1:14" s="942" customFormat="1" ht="15.75" customHeight="1">
      <c r="A740" s="442"/>
      <c r="B740" s="442"/>
      <c r="C740" s="442"/>
      <c r="D740" s="442"/>
      <c r="E740" s="442"/>
      <c r="F740" s="442"/>
      <c r="G740" s="442"/>
      <c r="H740" s="442"/>
      <c r="I740" s="442"/>
      <c r="J740" s="442"/>
      <c r="K740" s="442"/>
      <c r="L740" s="442"/>
      <c r="M740" s="442"/>
      <c r="N740" s="442"/>
    </row>
    <row r="741" spans="1:14" s="942" customFormat="1" ht="15.75" customHeight="1">
      <c r="A741" s="442"/>
      <c r="B741" s="442"/>
      <c r="C741" s="442"/>
      <c r="D741" s="442"/>
      <c r="E741" s="442"/>
      <c r="F741" s="442"/>
      <c r="G741" s="442"/>
      <c r="H741" s="442"/>
      <c r="I741" s="442"/>
      <c r="J741" s="442"/>
      <c r="K741" s="442"/>
      <c r="L741" s="442"/>
      <c r="M741" s="442"/>
      <c r="N741" s="442"/>
    </row>
    <row r="742" spans="1:14" s="942" customFormat="1" ht="15.75" customHeight="1">
      <c r="A742" s="442"/>
      <c r="B742" s="442"/>
      <c r="C742" s="442"/>
      <c r="D742" s="442"/>
      <c r="E742" s="442"/>
      <c r="F742" s="442"/>
      <c r="G742" s="442"/>
      <c r="H742" s="442"/>
      <c r="I742" s="442"/>
      <c r="J742" s="442"/>
      <c r="K742" s="442"/>
      <c r="L742" s="442"/>
      <c r="M742" s="442"/>
      <c r="N742" s="442"/>
    </row>
    <row r="743" spans="1:14" s="942" customFormat="1" ht="15.75" customHeight="1">
      <c r="A743" s="442"/>
      <c r="B743" s="442"/>
      <c r="C743" s="442"/>
      <c r="D743" s="442"/>
      <c r="E743" s="442"/>
      <c r="F743" s="442"/>
      <c r="G743" s="442"/>
      <c r="H743" s="442"/>
      <c r="I743" s="442"/>
      <c r="J743" s="442"/>
      <c r="K743" s="442"/>
      <c r="L743" s="442"/>
      <c r="M743" s="442"/>
      <c r="N743" s="442"/>
    </row>
    <row r="744" spans="1:14" s="942" customFormat="1" ht="15.75" customHeight="1">
      <c r="A744" s="442"/>
      <c r="B744" s="442"/>
      <c r="C744" s="442"/>
      <c r="D744" s="442"/>
      <c r="E744" s="442"/>
      <c r="F744" s="442"/>
      <c r="G744" s="442"/>
      <c r="H744" s="442"/>
      <c r="I744" s="442"/>
      <c r="J744" s="442"/>
      <c r="K744" s="442"/>
      <c r="L744" s="442"/>
      <c r="M744" s="442"/>
      <c r="N744" s="442"/>
    </row>
    <row r="745" spans="1:14" s="942" customFormat="1" ht="15.75" customHeight="1">
      <c r="A745" s="442"/>
      <c r="B745" s="442"/>
      <c r="C745" s="442"/>
      <c r="D745" s="442"/>
      <c r="E745" s="442"/>
      <c r="F745" s="442"/>
      <c r="G745" s="442"/>
      <c r="H745" s="442"/>
      <c r="I745" s="442"/>
      <c r="J745" s="442"/>
      <c r="K745" s="442"/>
      <c r="L745" s="442"/>
      <c r="M745" s="442"/>
      <c r="N745" s="442"/>
    </row>
    <row r="746" spans="1:14" s="942" customFormat="1" ht="15.75" customHeight="1">
      <c r="A746" s="442"/>
      <c r="B746" s="442"/>
      <c r="C746" s="442"/>
      <c r="D746" s="442"/>
      <c r="E746" s="442"/>
      <c r="F746" s="442"/>
      <c r="G746" s="442"/>
      <c r="H746" s="442"/>
      <c r="I746" s="442"/>
      <c r="J746" s="442"/>
      <c r="K746" s="442"/>
      <c r="L746" s="442"/>
      <c r="M746" s="442"/>
      <c r="N746" s="442"/>
    </row>
    <row r="747" spans="1:14" s="942" customFormat="1" ht="15.75" customHeight="1">
      <c r="A747" s="442"/>
      <c r="B747" s="442"/>
      <c r="C747" s="442"/>
      <c r="D747" s="442"/>
      <c r="E747" s="442"/>
      <c r="F747" s="442"/>
      <c r="G747" s="442"/>
      <c r="H747" s="442"/>
      <c r="I747" s="442"/>
      <c r="J747" s="442"/>
      <c r="K747" s="442"/>
      <c r="L747" s="442"/>
      <c r="M747" s="442"/>
      <c r="N747" s="442"/>
    </row>
    <row r="748" spans="1:14" s="942" customFormat="1" ht="15.75" customHeight="1">
      <c r="A748" s="442"/>
      <c r="B748" s="442"/>
      <c r="C748" s="442"/>
      <c r="D748" s="442"/>
      <c r="E748" s="442"/>
      <c r="F748" s="442"/>
      <c r="G748" s="442"/>
      <c r="H748" s="442"/>
      <c r="I748" s="442"/>
      <c r="J748" s="442"/>
      <c r="K748" s="442"/>
      <c r="L748" s="442"/>
      <c r="M748" s="442"/>
      <c r="N748" s="442"/>
    </row>
    <row r="749" spans="1:14" s="942" customFormat="1" ht="15.75" customHeight="1">
      <c r="A749" s="442"/>
      <c r="B749" s="442"/>
      <c r="C749" s="442"/>
      <c r="D749" s="442"/>
      <c r="E749" s="442"/>
      <c r="F749" s="442"/>
      <c r="G749" s="442"/>
      <c r="H749" s="442"/>
      <c r="I749" s="442"/>
      <c r="J749" s="442"/>
      <c r="K749" s="442"/>
      <c r="L749" s="442"/>
      <c r="M749" s="442"/>
      <c r="N749" s="442"/>
    </row>
    <row r="750" spans="1:14" s="942" customFormat="1" ht="15.75" customHeight="1">
      <c r="A750" s="442"/>
      <c r="B750" s="442"/>
      <c r="C750" s="442"/>
      <c r="D750" s="442"/>
      <c r="E750" s="442"/>
      <c r="F750" s="442"/>
      <c r="G750" s="442"/>
      <c r="H750" s="442"/>
      <c r="I750" s="442"/>
      <c r="J750" s="442"/>
      <c r="K750" s="442"/>
      <c r="L750" s="442"/>
      <c r="M750" s="442"/>
      <c r="N750" s="442"/>
    </row>
    <row r="751" spans="1:14" s="942" customFormat="1" ht="15.75" customHeight="1">
      <c r="A751" s="442"/>
      <c r="B751" s="442"/>
      <c r="C751" s="442"/>
      <c r="D751" s="442"/>
      <c r="E751" s="442"/>
      <c r="F751" s="442"/>
      <c r="G751" s="442"/>
      <c r="H751" s="442"/>
      <c r="I751" s="442"/>
      <c r="J751" s="442"/>
      <c r="K751" s="442"/>
      <c r="L751" s="442"/>
      <c r="M751" s="442"/>
      <c r="N751" s="442"/>
    </row>
    <row r="752" spans="1:14" s="942" customFormat="1" ht="15.75" customHeight="1"/>
    <row r="753" s="942" customFormat="1" ht="15.75" customHeight="1"/>
    <row r="754" s="942" customFormat="1" ht="15.75" customHeight="1"/>
    <row r="755" s="942" customFormat="1" ht="15.75" customHeight="1"/>
    <row r="756" s="942" customFormat="1" ht="15.75" customHeight="1"/>
    <row r="757" s="942" customFormat="1" ht="15.75" customHeight="1"/>
    <row r="758" s="942" customFormat="1" ht="15.75" customHeight="1"/>
    <row r="759" s="942" customFormat="1" ht="15.75" customHeight="1"/>
    <row r="760" s="942" customFormat="1" ht="15.75" customHeight="1"/>
    <row r="761" s="942" customFormat="1" ht="15.75" customHeight="1"/>
    <row r="762" s="942" customFormat="1" ht="15.75" customHeight="1"/>
    <row r="763" s="942" customFormat="1" ht="15.75" customHeight="1"/>
    <row r="764" s="942" customFormat="1" ht="15.75" customHeight="1"/>
    <row r="765" s="942" customFormat="1" ht="15.75" customHeight="1"/>
    <row r="766" s="942" customFormat="1" ht="15.75" customHeight="1"/>
    <row r="767" s="942" customFormat="1" ht="15.75" customHeight="1"/>
    <row r="768" s="942" customFormat="1" ht="15.75" customHeight="1"/>
    <row r="769" s="942" customFormat="1" ht="15.75" customHeight="1"/>
    <row r="770" s="942" customFormat="1" ht="15.75" customHeight="1"/>
    <row r="771" s="942" customFormat="1" ht="15.75" customHeight="1"/>
    <row r="772" s="942" customFormat="1" ht="15.75" customHeight="1"/>
    <row r="773" s="942" customFormat="1" ht="15.75" customHeight="1"/>
    <row r="774" s="942" customFormat="1" ht="15.75" customHeight="1"/>
    <row r="775" s="942" customFormat="1" ht="15.75" customHeight="1"/>
    <row r="776" s="942" customFormat="1" ht="15.75" customHeight="1"/>
    <row r="777" s="942" customFormat="1" ht="15.75" customHeight="1"/>
    <row r="778" s="942" customFormat="1" ht="15.75" customHeight="1"/>
    <row r="779" s="942" customFormat="1" ht="15.75" customHeight="1"/>
    <row r="780" s="942" customFormat="1" ht="15.75" customHeight="1"/>
    <row r="781" s="942" customFormat="1" ht="15.75" customHeight="1"/>
    <row r="782" s="942" customFormat="1" ht="15.75" customHeight="1"/>
    <row r="783" s="942" customFormat="1" ht="15.75" customHeight="1"/>
    <row r="784" s="942" customFormat="1" ht="15.75" customHeight="1"/>
    <row r="785" s="942" customFormat="1" ht="15.75" customHeight="1"/>
    <row r="786" s="942" customFormat="1" ht="15.75" customHeight="1"/>
    <row r="787" s="942" customFormat="1" ht="15.75" customHeight="1"/>
    <row r="788" s="942" customFormat="1" ht="15.75" customHeight="1"/>
    <row r="789" s="942" customFormat="1" ht="15.75" customHeight="1"/>
    <row r="790" s="942" customFormat="1" ht="15.75" customHeight="1"/>
    <row r="791" s="942" customFormat="1" ht="15.75" customHeight="1"/>
    <row r="792" s="942" customFormat="1" ht="15.75" customHeight="1"/>
    <row r="793" s="942" customFormat="1" ht="15.75" customHeight="1"/>
    <row r="794" s="942" customFormat="1" ht="15.75" customHeight="1"/>
    <row r="795" s="942" customFormat="1" ht="15.75" customHeight="1"/>
    <row r="796" s="942" customFormat="1" ht="15.75" customHeight="1"/>
    <row r="797" s="942" customFormat="1" ht="15.75" customHeight="1"/>
    <row r="798" s="942" customFormat="1" ht="15.75" customHeight="1"/>
    <row r="799" s="942" customFormat="1" ht="15.75" customHeight="1"/>
    <row r="800" s="942" customFormat="1" ht="15.75" customHeight="1"/>
    <row r="801" s="942" customFormat="1" ht="15.75" customHeight="1"/>
    <row r="802" s="942" customFormat="1" ht="15.75" customHeight="1"/>
    <row r="803" s="942" customFormat="1" ht="15.75" customHeight="1"/>
    <row r="804" s="942" customFormat="1" ht="15.75" customHeight="1"/>
    <row r="805" s="942" customFormat="1" ht="15.75" customHeight="1"/>
    <row r="806" s="942" customFormat="1" ht="15.75" customHeight="1"/>
    <row r="807" s="942" customFormat="1" ht="15.75" customHeight="1"/>
    <row r="808" s="942" customFormat="1" ht="15.75" customHeight="1"/>
    <row r="809" s="942" customFormat="1" ht="15.75" customHeight="1"/>
    <row r="810" s="942" customFormat="1" ht="15.75" customHeight="1"/>
    <row r="811" s="942" customFormat="1" ht="15.75" customHeight="1"/>
    <row r="812" s="942" customFormat="1" ht="15.75" customHeight="1"/>
    <row r="813" s="942" customFormat="1" ht="15.75" customHeight="1"/>
    <row r="814" s="942" customFormat="1" ht="15.75" customHeight="1"/>
    <row r="815" s="942" customFormat="1" ht="15.75" customHeight="1"/>
    <row r="816" s="942" customFormat="1" ht="15.75" customHeight="1"/>
    <row r="817" s="942" customFormat="1" ht="15.75" customHeight="1"/>
    <row r="818" s="942" customFormat="1" ht="15.75" customHeight="1"/>
    <row r="819" s="942" customFormat="1" ht="15.75" customHeight="1"/>
    <row r="820" s="942" customFormat="1" ht="15.75" customHeight="1"/>
    <row r="821" s="942" customFormat="1" ht="15.75" customHeight="1"/>
    <row r="822" s="942" customFormat="1" ht="15.75" customHeight="1"/>
    <row r="823" s="942" customFormat="1" ht="15.75" customHeight="1"/>
    <row r="824" s="942" customFormat="1" ht="15.75" customHeight="1"/>
    <row r="825" s="942" customFormat="1" ht="15.75" customHeight="1"/>
    <row r="826" s="942" customFormat="1" ht="15.75" customHeight="1"/>
    <row r="827" s="942" customFormat="1" ht="15.75" customHeight="1"/>
    <row r="828" s="942" customFormat="1" ht="15.75" customHeight="1"/>
    <row r="829" s="942" customFormat="1" ht="15.75" customHeight="1"/>
    <row r="830" s="942" customFormat="1" ht="15.75" customHeight="1"/>
    <row r="831" s="942" customFormat="1" ht="15.75" customHeight="1"/>
    <row r="832" s="942" customFormat="1" ht="15.75" customHeight="1"/>
    <row r="833" s="942" customFormat="1" ht="15.75" customHeight="1"/>
    <row r="834" s="942" customFormat="1" ht="15.75" customHeight="1"/>
    <row r="835" s="942" customFormat="1" ht="15.75" customHeight="1"/>
    <row r="836" s="942" customFormat="1" ht="15.75" customHeight="1"/>
    <row r="837" s="942" customFormat="1" ht="15.75" customHeight="1"/>
    <row r="838" s="942" customFormat="1" ht="15.75" customHeight="1"/>
    <row r="839" s="942" customFormat="1" ht="15.75" customHeight="1"/>
    <row r="840" s="942" customFormat="1" ht="15.75" customHeight="1"/>
    <row r="841" s="942" customFormat="1" ht="15.75" customHeight="1"/>
    <row r="842" s="942" customFormat="1" ht="15.75" customHeight="1"/>
    <row r="843" s="942" customFormat="1" ht="15.75" customHeight="1"/>
    <row r="844" s="942" customFormat="1" ht="15.75" customHeight="1"/>
    <row r="845" s="942" customFormat="1" ht="15.75" customHeight="1"/>
    <row r="846" s="942" customFormat="1" ht="15.75" customHeight="1"/>
    <row r="847" s="942" customFormat="1" ht="15.75" customHeight="1"/>
    <row r="848" s="942" customFormat="1" ht="15.75" customHeight="1"/>
    <row r="849" s="942" customFormat="1" ht="15.75" customHeight="1"/>
    <row r="850" s="942" customFormat="1" ht="15.75" customHeight="1"/>
    <row r="851" s="942" customFormat="1" ht="15.75" customHeight="1"/>
    <row r="852" s="942" customFormat="1" ht="15.75" customHeight="1"/>
    <row r="853" s="942" customFormat="1" ht="15.75" customHeight="1"/>
    <row r="854" s="942" customFormat="1" ht="15.75" customHeight="1"/>
    <row r="855" s="942" customFormat="1" ht="15.75" customHeight="1"/>
    <row r="856" s="942" customFormat="1" ht="15.75" customHeight="1"/>
    <row r="857" s="942" customFormat="1" ht="15.75" customHeight="1"/>
    <row r="858" s="942" customFormat="1" ht="15.75" customHeight="1"/>
    <row r="859" s="942" customFormat="1" ht="15.75" customHeight="1"/>
    <row r="860" s="942" customFormat="1" ht="15.75" customHeight="1"/>
    <row r="861" s="942" customFormat="1" ht="15.75" customHeight="1"/>
    <row r="862" s="942" customFormat="1" ht="15.75" customHeight="1"/>
    <row r="863" s="942" customFormat="1" ht="15.75" customHeight="1"/>
    <row r="864" s="942" customFormat="1" ht="15.75" customHeight="1"/>
    <row r="865" s="942" customFormat="1" ht="15.75" customHeight="1"/>
    <row r="866" s="942" customFormat="1" ht="15.75" customHeight="1"/>
    <row r="867" s="942" customFormat="1" ht="15.75" customHeight="1"/>
    <row r="868" s="942" customFormat="1" ht="15.75" customHeight="1"/>
    <row r="869" s="942" customFormat="1" ht="15.75" customHeight="1"/>
    <row r="870" s="942" customFormat="1" ht="15.75" customHeight="1"/>
    <row r="871" s="942" customFormat="1" ht="15.75" customHeight="1"/>
    <row r="872" s="942" customFormat="1" ht="15.75" customHeight="1"/>
    <row r="873" s="942" customFormat="1" ht="15.75" customHeight="1"/>
    <row r="874" s="942" customFormat="1" ht="15.75" customHeight="1"/>
    <row r="875" s="942" customFormat="1" ht="15.75" customHeight="1"/>
    <row r="876" s="942" customFormat="1" ht="15.75" customHeight="1"/>
    <row r="877" s="942" customFormat="1" ht="15.75" customHeight="1"/>
    <row r="878" s="942" customFormat="1" ht="15.75" customHeight="1"/>
    <row r="879" s="942" customFormat="1" ht="15.75" customHeight="1"/>
    <row r="880" s="942" customFormat="1" ht="15.75" customHeight="1"/>
    <row r="881" s="942" customFormat="1" ht="15.75" customHeight="1"/>
    <row r="882" s="942" customFormat="1" ht="15.75" customHeight="1"/>
    <row r="883" s="942" customFormat="1" ht="15.75" customHeight="1"/>
    <row r="884" s="942" customFormat="1" ht="15.75" customHeight="1"/>
    <row r="885" s="942" customFormat="1" ht="15.75" customHeight="1"/>
    <row r="886" s="942" customFormat="1" ht="15.75" customHeight="1"/>
    <row r="887" s="942" customFormat="1" ht="15.75" customHeight="1"/>
    <row r="888" s="942" customFormat="1" ht="15.75" customHeight="1"/>
    <row r="889" s="942" customFormat="1" ht="15.75" customHeight="1"/>
    <row r="890" s="942" customFormat="1" ht="15.75" customHeight="1"/>
    <row r="891" s="942" customFormat="1" ht="15.75" customHeight="1"/>
    <row r="892" s="942" customFormat="1" ht="15.75" customHeight="1"/>
    <row r="893" s="942" customFormat="1" ht="15.75" customHeight="1"/>
    <row r="894" s="942" customFormat="1" ht="15.75" customHeight="1"/>
    <row r="895" s="942" customFormat="1" ht="15.75" customHeight="1"/>
    <row r="896" s="942" customFormat="1" ht="15.75" customHeight="1"/>
    <row r="897" s="942" customFormat="1" ht="15.75" customHeight="1"/>
    <row r="898" s="942" customFormat="1" ht="15.75" customHeight="1"/>
    <row r="899" s="942" customFormat="1" ht="15.75" customHeight="1"/>
    <row r="900" s="942" customFormat="1" ht="15.75" customHeight="1"/>
    <row r="901" s="942" customFormat="1" ht="15.75" customHeight="1"/>
    <row r="902" s="942" customFormat="1" ht="15.75" customHeight="1"/>
    <row r="903" s="942" customFormat="1" ht="15.75" customHeight="1"/>
    <row r="904" s="942" customFormat="1" ht="15.75" customHeight="1"/>
    <row r="905" s="942" customFormat="1" ht="15.75" customHeight="1"/>
    <row r="906" s="942" customFormat="1" ht="15.75" customHeight="1"/>
    <row r="907" s="942" customFormat="1" ht="15.75" customHeight="1"/>
    <row r="908" s="942" customFormat="1" ht="15.75" customHeight="1"/>
    <row r="909" s="942" customFormat="1" ht="15.75" customHeight="1"/>
    <row r="910" s="942" customFormat="1" ht="15.75" customHeight="1"/>
    <row r="911" s="942" customFormat="1" ht="15.75" customHeight="1"/>
    <row r="912" s="942" customFormat="1" ht="15.75" customHeight="1"/>
    <row r="913" s="942" customFormat="1" ht="15.75" customHeight="1"/>
    <row r="914" s="942" customFormat="1" ht="15.75" customHeight="1"/>
    <row r="915" s="942" customFormat="1" ht="15.75" customHeight="1"/>
    <row r="916" s="942" customFormat="1" ht="15.75" customHeight="1"/>
    <row r="917" s="942" customFormat="1" ht="15.75" customHeight="1"/>
    <row r="918" s="942" customFormat="1" ht="15.75" customHeight="1"/>
    <row r="919" s="942" customFormat="1" ht="15.75" customHeight="1"/>
    <row r="920" s="942" customFormat="1" ht="15.75" customHeight="1"/>
    <row r="921" s="942" customFormat="1" ht="15.75" customHeight="1"/>
    <row r="922" s="942" customFormat="1" ht="15.75" customHeight="1"/>
    <row r="923" s="942" customFormat="1" ht="15.75" customHeight="1"/>
    <row r="924" s="942" customFormat="1" ht="15.75" customHeight="1"/>
    <row r="925" s="942" customFormat="1" ht="15.75" customHeight="1"/>
    <row r="926" s="942" customFormat="1" ht="15.75" customHeight="1"/>
    <row r="927" s="942" customFormat="1" ht="15.75" customHeight="1"/>
    <row r="928" s="942" customFormat="1" ht="15.75" customHeight="1"/>
    <row r="929" s="942" customFormat="1" ht="15.75" customHeight="1"/>
    <row r="930" s="942" customFormat="1" ht="15.75" customHeight="1"/>
    <row r="931" s="942" customFormat="1" ht="15.75" customHeight="1"/>
    <row r="932" s="942" customFormat="1" ht="15.75" customHeight="1"/>
    <row r="933" s="942" customFormat="1" ht="15.75" customHeight="1"/>
    <row r="934" s="942" customFormat="1" ht="15.75" customHeight="1"/>
    <row r="935" s="942" customFormat="1" ht="15.75" customHeight="1"/>
    <row r="936" s="942" customFormat="1" ht="15.75" customHeight="1"/>
    <row r="937" s="942" customFormat="1" ht="15.75" customHeight="1"/>
    <row r="938" s="942" customFormat="1" ht="15.75" customHeight="1"/>
    <row r="939" s="942" customFormat="1" ht="15.75" customHeight="1"/>
    <row r="940" s="942" customFormat="1" ht="15.75" customHeight="1"/>
    <row r="941" s="942" customFormat="1" ht="15.75" customHeight="1"/>
    <row r="942" s="942" customFormat="1" ht="15.75" customHeight="1"/>
    <row r="943" s="942" customFormat="1" ht="15.75" customHeight="1"/>
    <row r="944" s="942" customFormat="1" ht="15.75" customHeight="1"/>
    <row r="945" s="942" customFormat="1" ht="15.75" customHeight="1"/>
    <row r="946" s="942" customFormat="1" ht="15.75" customHeight="1"/>
    <row r="947" s="942" customFormat="1" ht="15.75" customHeight="1"/>
    <row r="948" s="942" customFormat="1" ht="15.75" customHeight="1"/>
    <row r="949" s="942" customFormat="1" ht="15.75" customHeight="1"/>
    <row r="950" s="942" customFormat="1" ht="15.75" customHeight="1"/>
    <row r="951" s="942" customFormat="1" ht="15.75" customHeight="1"/>
    <row r="952" s="942" customFormat="1" ht="15.75" customHeight="1"/>
    <row r="953" s="942" customFormat="1" ht="15.75" customHeight="1"/>
    <row r="954" s="942" customFormat="1" ht="15.75" customHeight="1"/>
    <row r="955" s="942" customFormat="1" ht="15.75" customHeight="1"/>
    <row r="956" s="942" customFormat="1" ht="15.75" customHeight="1"/>
    <row r="957" s="942" customFormat="1" ht="15.75" customHeight="1"/>
    <row r="958" s="942" customFormat="1" ht="15.75" customHeight="1"/>
    <row r="959" s="942" customFormat="1" ht="15.75" customHeight="1"/>
    <row r="960" s="942" customFormat="1" ht="15.75" customHeight="1"/>
    <row r="961" s="942" customFormat="1" ht="15.75" customHeight="1"/>
    <row r="962" s="942" customFormat="1" ht="15.75" customHeight="1"/>
    <row r="963" s="942" customFormat="1" ht="15.75" customHeight="1"/>
    <row r="964" s="942" customFormat="1" ht="15.75" customHeight="1"/>
    <row r="965" s="942" customFormat="1" ht="15.75" customHeight="1"/>
    <row r="966" s="942" customFormat="1" ht="15.75" customHeight="1"/>
    <row r="967" s="942" customFormat="1" ht="15.75" customHeight="1"/>
    <row r="968" s="942" customFormat="1" ht="15.75" customHeight="1"/>
    <row r="969" s="942" customFormat="1" ht="15.75" customHeight="1"/>
    <row r="970" s="942" customFormat="1" ht="15.75" customHeight="1"/>
    <row r="971" s="942" customFormat="1" ht="15.75" customHeight="1"/>
    <row r="972" s="942" customFormat="1" ht="15.75" customHeight="1"/>
    <row r="973" s="942" customFormat="1" ht="15.75" customHeight="1"/>
    <row r="974" s="942" customFormat="1" ht="15.75" customHeight="1"/>
    <row r="975" s="942" customFormat="1" ht="15.75" customHeight="1"/>
    <row r="976" s="942" customFormat="1" ht="15.75" customHeight="1"/>
    <row r="977" s="942" customFormat="1" ht="15.75" customHeight="1"/>
    <row r="978" s="942" customFormat="1" ht="15.75" customHeight="1"/>
    <row r="979" s="942" customFormat="1" ht="15.75" customHeight="1"/>
    <row r="980" s="942" customFormat="1" ht="15.75" customHeight="1"/>
    <row r="981" s="942" customFormat="1" ht="15.75" customHeight="1"/>
    <row r="982" s="942" customFormat="1" ht="15.75" customHeight="1"/>
    <row r="983" s="942" customFormat="1" ht="15.75" customHeight="1"/>
    <row r="984" s="942" customFormat="1" ht="15.75" customHeight="1"/>
    <row r="985" s="942" customFormat="1" ht="15.75" customHeight="1"/>
    <row r="986" s="942" customFormat="1" ht="15.75" customHeight="1"/>
    <row r="987" s="942" customFormat="1" ht="15.75" customHeight="1"/>
    <row r="988" s="942" customFormat="1" ht="15.75" customHeight="1"/>
    <row r="989" s="942" customFormat="1" ht="15.75" customHeight="1"/>
    <row r="990" s="942" customFormat="1" ht="15.75" customHeight="1"/>
    <row r="991" s="942" customFormat="1" ht="15.75" customHeight="1"/>
    <row r="992" s="942" customFormat="1" ht="15.75" customHeight="1"/>
    <row r="993" s="942" customFormat="1" ht="15.75" customHeight="1"/>
    <row r="994" s="942" customFormat="1" ht="15.75" customHeight="1"/>
    <row r="995" s="942" customFormat="1" ht="15.75" customHeight="1"/>
    <row r="996" s="942" customFormat="1" ht="15.75" customHeight="1"/>
    <row r="997" s="942" customFormat="1" ht="15.75" customHeight="1"/>
    <row r="998" s="942" customFormat="1" ht="15.75" customHeight="1"/>
    <row r="999" s="942" customFormat="1" ht="15.75" customHeight="1"/>
    <row r="1000" s="942" customFormat="1" ht="15.75" customHeight="1"/>
    <row r="1001" s="942" customFormat="1" ht="15.75" customHeight="1"/>
    <row r="1002" s="942" customFormat="1" ht="15.75" customHeight="1"/>
    <row r="1003" s="942" customFormat="1" ht="15.75" customHeight="1"/>
    <row r="1004" s="942" customFormat="1" ht="15.75" customHeight="1"/>
    <row r="1005" s="942" customFormat="1" ht="15.75" customHeight="1"/>
    <row r="1006" s="942" customFormat="1" ht="15.75" customHeight="1"/>
    <row r="1007" s="942" customFormat="1" ht="15.75" customHeight="1"/>
    <row r="1008" s="942" customFormat="1" ht="15.75" customHeight="1"/>
    <row r="1009" s="942" customFormat="1" ht="15.75" customHeight="1"/>
    <row r="1010" s="942" customFormat="1" ht="15.75" customHeight="1"/>
    <row r="1011" s="942" customFormat="1" ht="15.75" customHeight="1"/>
    <row r="1012" s="942" customFormat="1" ht="15.75" customHeight="1"/>
    <row r="1013" s="942" customFormat="1" ht="15.75" customHeight="1"/>
    <row r="1014" s="942" customFormat="1" ht="15.75" customHeight="1"/>
    <row r="1015" s="942" customFormat="1" ht="15.75" customHeight="1"/>
    <row r="1016" s="942" customFormat="1" ht="15.75" customHeight="1"/>
    <row r="1017" s="942" customFormat="1" ht="15.75" customHeight="1"/>
    <row r="1018" s="942" customFormat="1" ht="15.75" customHeight="1"/>
    <row r="1019" s="942" customFormat="1" ht="15.75" customHeight="1"/>
    <row r="1020" s="942" customFormat="1" ht="15.75" customHeight="1"/>
    <row r="1021" s="942" customFormat="1" ht="15.75" customHeight="1"/>
    <row r="1022" s="942" customFormat="1" ht="15.75" customHeight="1"/>
    <row r="1023" s="942" customFormat="1" ht="15.75" customHeight="1"/>
    <row r="1024" s="942" customFormat="1" ht="15.75" customHeight="1"/>
    <row r="1025" s="942" customFormat="1" ht="15.75" customHeight="1"/>
    <row r="1026" s="942" customFormat="1" ht="15.75" customHeight="1"/>
    <row r="1027" s="942" customFormat="1" ht="15.75" customHeight="1"/>
    <row r="1028" s="942" customFormat="1" ht="15.75" customHeight="1"/>
    <row r="1029" s="942" customFormat="1" ht="15.75" customHeight="1"/>
    <row r="1030" s="942" customFormat="1" ht="15.75" customHeight="1"/>
    <row r="1031" s="942" customFormat="1" ht="15.75" customHeight="1"/>
    <row r="1032" s="942" customFormat="1" ht="15.75" customHeight="1"/>
    <row r="1033" s="942" customFormat="1" ht="15.75" customHeight="1"/>
    <row r="1034" s="942" customFormat="1" ht="15.75" customHeight="1"/>
    <row r="1035" s="942" customFormat="1" ht="15.75" customHeight="1"/>
    <row r="1036" s="942" customFormat="1" ht="15.75" customHeight="1"/>
    <row r="1037" s="942" customFormat="1" ht="15.75" customHeight="1"/>
    <row r="1038" s="942" customFormat="1" ht="15.75" customHeight="1"/>
    <row r="1039" s="942" customFormat="1" ht="15.75" customHeight="1"/>
    <row r="1040" s="942" customFormat="1" ht="15.75" customHeight="1"/>
    <row r="1041" s="942" customFormat="1" ht="15.75" customHeight="1"/>
    <row r="1042" s="942" customFormat="1" ht="15.75" customHeight="1"/>
    <row r="1043" s="942" customFormat="1" ht="15.75" customHeight="1"/>
    <row r="1044" s="942" customFormat="1" ht="15.75" customHeight="1"/>
    <row r="1045" s="942" customFormat="1" ht="15.75" customHeight="1"/>
    <row r="1046" s="942" customFormat="1" ht="15.75" customHeight="1"/>
    <row r="1047" s="942" customFormat="1" ht="15.75" customHeight="1"/>
    <row r="1048" s="942" customFormat="1" ht="15.75" customHeight="1"/>
    <row r="1049" s="942" customFormat="1" ht="15.75" customHeight="1"/>
    <row r="1050" s="942" customFormat="1" ht="15.75" customHeight="1"/>
    <row r="1051" s="942" customFormat="1" ht="15.75" customHeight="1"/>
    <row r="1052" s="942" customFormat="1" ht="15.75" customHeight="1"/>
    <row r="1053" s="942" customFormat="1" ht="15.75" customHeight="1"/>
    <row r="1054" s="942" customFormat="1" ht="15.75" customHeight="1"/>
    <row r="1055" s="942" customFormat="1" ht="15.75" customHeight="1"/>
    <row r="1056" s="942" customFormat="1" ht="15.75" customHeight="1"/>
    <row r="1057" s="942" customFormat="1" ht="15.75" customHeight="1"/>
    <row r="1058" s="942" customFormat="1" ht="15.75" customHeight="1"/>
    <row r="1059" s="942" customFormat="1" ht="15.75" customHeight="1"/>
    <row r="1060" s="942" customFormat="1" ht="15.75" customHeight="1"/>
    <row r="1061" s="942" customFormat="1" ht="15.75" customHeight="1"/>
    <row r="1062" s="942" customFormat="1" ht="15.75" customHeight="1"/>
    <row r="1063" s="942" customFormat="1" ht="15.75" customHeight="1"/>
    <row r="1064" s="942" customFormat="1" ht="15.75" customHeight="1"/>
    <row r="1065" s="942" customFormat="1" ht="15.75" customHeight="1"/>
    <row r="1066" s="942" customFormat="1" ht="15.75" customHeight="1"/>
    <row r="1067" s="942" customFormat="1" ht="15.75" customHeight="1"/>
    <row r="1068" s="942" customFormat="1" ht="15.75" customHeight="1"/>
    <row r="1069" s="942" customFormat="1" ht="15.75" customHeight="1"/>
    <row r="1070" s="942" customFormat="1" ht="15.75" customHeight="1"/>
    <row r="1071" s="942" customFormat="1" ht="15.75" customHeight="1"/>
    <row r="1072" s="942" customFormat="1" ht="15.75" customHeight="1"/>
    <row r="1073" s="942" customFormat="1" ht="15.75" customHeight="1"/>
    <row r="1074" s="942" customFormat="1" ht="15.75" customHeight="1"/>
    <row r="1075" s="942" customFormat="1" ht="15.75" customHeight="1"/>
    <row r="1076" s="942" customFormat="1" ht="15.75" customHeight="1"/>
    <row r="1077" s="942" customFormat="1" ht="15.75" customHeight="1"/>
    <row r="1078" s="942" customFormat="1" ht="15.75" customHeight="1"/>
    <row r="1079" s="942" customFormat="1" ht="15.75" customHeight="1"/>
    <row r="1080" s="942" customFormat="1" ht="15.75" customHeight="1"/>
    <row r="1081" s="942" customFormat="1" ht="15.75" customHeight="1"/>
    <row r="1082" s="942" customFormat="1" ht="15.75" customHeight="1"/>
    <row r="1083" s="942" customFormat="1" ht="15.75" customHeight="1"/>
    <row r="1084" s="942" customFormat="1" ht="15.75" customHeight="1"/>
    <row r="1085" s="942" customFormat="1" ht="15.75" customHeight="1"/>
    <row r="1086" s="942" customFormat="1" ht="15.75" customHeight="1"/>
    <row r="1087" s="942" customFormat="1" ht="15.75" customHeight="1"/>
    <row r="1088" s="942" customFormat="1" ht="15.75" customHeight="1"/>
    <row r="1089" s="942" customFormat="1" ht="15.75" customHeight="1"/>
    <row r="1090" s="942" customFormat="1" ht="15.75" customHeight="1"/>
    <row r="1091" s="942" customFormat="1" ht="15.75" customHeight="1"/>
    <row r="1092" s="942" customFormat="1" ht="15.75" customHeight="1"/>
    <row r="1093" s="942" customFormat="1" ht="15.75" customHeight="1"/>
    <row r="1094" s="942" customFormat="1" ht="15.75" customHeight="1"/>
    <row r="1095" s="942" customFormat="1" ht="15.75" customHeight="1"/>
    <row r="1096" s="942" customFormat="1" ht="15.75" customHeight="1"/>
    <row r="1097" s="942" customFormat="1" ht="15.75" customHeight="1"/>
    <row r="1098" s="942" customFormat="1" ht="15.75" customHeight="1"/>
    <row r="1099" s="942" customFormat="1" ht="15.75" customHeight="1"/>
    <row r="1100" s="942" customFormat="1" ht="15.75" customHeight="1"/>
    <row r="1101" s="942" customFormat="1" ht="15.75" customHeight="1"/>
    <row r="1102" s="942" customFormat="1" ht="15.75" customHeight="1"/>
    <row r="1103" s="942" customFormat="1" ht="15.75" customHeight="1"/>
    <row r="1104" s="942" customFormat="1" ht="15.75" customHeight="1"/>
    <row r="1105" s="942" customFormat="1" ht="15.75" customHeight="1"/>
    <row r="1106" s="942" customFormat="1" ht="15.75" customHeight="1"/>
    <row r="1107" s="942" customFormat="1" ht="15.75" customHeight="1"/>
    <row r="1108" s="942" customFormat="1" ht="15.75" customHeight="1"/>
    <row r="1109" s="942" customFormat="1" ht="15.75" customHeight="1"/>
    <row r="1110" s="942" customFormat="1" ht="15.75" customHeight="1"/>
    <row r="1111" s="942" customFormat="1" ht="15.75" customHeight="1"/>
    <row r="1112" s="942" customFormat="1" ht="15.75" customHeight="1"/>
    <row r="1113" s="942" customFormat="1" ht="15.75" customHeight="1"/>
    <row r="1114" s="942" customFormat="1" ht="15.75" customHeight="1"/>
    <row r="1115" s="942" customFormat="1" ht="15.75" customHeight="1"/>
    <row r="1116" s="942" customFormat="1" ht="15.75" customHeight="1"/>
    <row r="1117" s="942" customFormat="1" ht="15.75" customHeight="1"/>
    <row r="1118" s="942" customFormat="1" ht="15.75" customHeight="1"/>
    <row r="1119" s="942" customFormat="1" ht="15.75" customHeight="1"/>
    <row r="1120" s="942" customFormat="1" ht="15.75" customHeight="1"/>
    <row r="1121" s="942" customFormat="1" ht="15.75" customHeight="1"/>
    <row r="1122" s="942" customFormat="1" ht="15.75" customHeight="1"/>
    <row r="1123" s="942" customFormat="1" ht="15.75" customHeight="1"/>
    <row r="1124" s="942" customFormat="1" ht="15.75" customHeight="1"/>
    <row r="1125" s="942" customFormat="1" ht="15.75" customHeight="1"/>
    <row r="1126" s="942" customFormat="1" ht="15.75" customHeight="1"/>
    <row r="1127" s="942" customFormat="1" ht="15.75" customHeight="1"/>
    <row r="1128" s="942" customFormat="1" ht="15.75" customHeight="1"/>
    <row r="1129" s="942" customFormat="1" ht="15.75" customHeight="1"/>
    <row r="1130" s="942" customFormat="1" ht="15.75" customHeight="1"/>
    <row r="1131" s="942" customFormat="1" ht="15.75" customHeight="1"/>
    <row r="1132" s="942" customFormat="1" ht="15.75" customHeight="1"/>
    <row r="1133" s="942" customFormat="1" ht="15.75" customHeight="1"/>
    <row r="1134" s="942" customFormat="1" ht="15.75" customHeight="1"/>
    <row r="1135" s="942" customFormat="1" ht="15.75" customHeight="1"/>
    <row r="1136" s="942" customFormat="1" ht="15.75" customHeight="1"/>
    <row r="1137" s="942" customFormat="1" ht="15.75" customHeight="1"/>
    <row r="1138" s="942" customFormat="1" ht="15.75" customHeight="1"/>
    <row r="1139" s="942" customFormat="1" ht="15.75" customHeight="1"/>
    <row r="1140" s="942" customFormat="1" ht="15.75" customHeight="1"/>
    <row r="1141" s="942" customFormat="1" ht="15.75" customHeight="1"/>
    <row r="1142" s="942" customFormat="1" ht="15.75" customHeight="1"/>
    <row r="1143" s="942" customFormat="1" ht="15.75" customHeight="1"/>
    <row r="1144" s="942" customFormat="1" ht="15.75" customHeight="1"/>
    <row r="1145" s="942" customFormat="1" ht="15.75" customHeight="1"/>
    <row r="1146" s="942" customFormat="1" ht="15.75" customHeight="1"/>
    <row r="1147" s="942" customFormat="1" ht="15.75" customHeight="1"/>
    <row r="1148" s="942" customFormat="1" ht="15.75" customHeight="1"/>
    <row r="1149" s="942" customFormat="1" ht="15.75" customHeight="1"/>
    <row r="1150" s="942" customFormat="1" ht="15.75" customHeight="1"/>
    <row r="1151" s="942" customFormat="1" ht="15.75" customHeight="1"/>
    <row r="1152" s="942" customFormat="1" ht="15.75" customHeight="1"/>
    <row r="1153" s="942" customFormat="1" ht="15.75" customHeight="1"/>
    <row r="1154" s="942" customFormat="1" ht="15.75" customHeight="1"/>
    <row r="1155" s="942" customFormat="1" ht="15.75" customHeight="1"/>
    <row r="1156" s="942" customFormat="1" ht="15.75" customHeight="1"/>
    <row r="1157" s="942" customFormat="1" ht="15.75" customHeight="1"/>
    <row r="1158" s="942" customFormat="1" ht="15.75" customHeight="1"/>
    <row r="1159" s="942" customFormat="1" ht="15.75" customHeight="1"/>
    <row r="1160" s="942" customFormat="1" ht="15.75" customHeight="1"/>
    <row r="1161" s="942" customFormat="1" ht="15.75" customHeight="1"/>
    <row r="1162" s="942" customFormat="1" ht="15.75" customHeight="1"/>
    <row r="1163" s="942" customFormat="1" ht="15.75" customHeight="1"/>
    <row r="1164" s="942" customFormat="1" ht="15.75" customHeight="1"/>
    <row r="1165" s="942" customFormat="1" ht="15.75" customHeight="1"/>
    <row r="1166" s="942" customFormat="1" ht="15.75" customHeight="1"/>
    <row r="1167" s="942" customFormat="1" ht="15.75" customHeight="1"/>
    <row r="1168" s="942" customFormat="1" ht="15.75" customHeight="1"/>
    <row r="1169" s="942" customFormat="1" ht="15.75" customHeight="1"/>
    <row r="1170" s="942" customFormat="1" ht="15.75" customHeight="1"/>
    <row r="1171" s="942" customFormat="1" ht="15.75" customHeight="1"/>
    <row r="1172" s="942" customFormat="1" ht="15.75" customHeight="1"/>
    <row r="1173" s="942" customFormat="1" ht="15.75" customHeight="1"/>
    <row r="1174" s="942" customFormat="1" ht="15.75" customHeight="1"/>
    <row r="1175" s="942" customFormat="1" ht="15.75" customHeight="1"/>
    <row r="1176" s="942" customFormat="1" ht="15.75" customHeight="1"/>
    <row r="1177" s="942" customFormat="1" ht="15.75" customHeight="1"/>
    <row r="1178" s="942" customFormat="1" ht="15.75" customHeight="1"/>
    <row r="1179" s="942" customFormat="1" ht="15.75" customHeight="1"/>
    <row r="1180" s="942" customFormat="1" ht="15.75" customHeight="1"/>
    <row r="1181" s="942" customFormat="1" ht="15.75" customHeight="1"/>
    <row r="1182" s="942" customFormat="1" ht="15.75" customHeight="1"/>
    <row r="1183" s="942" customFormat="1" ht="15.75" customHeight="1"/>
    <row r="1184" s="942" customFormat="1" ht="15.75" customHeight="1"/>
    <row r="1185" s="942" customFormat="1" ht="15.75" customHeight="1"/>
    <row r="1186" s="942" customFormat="1" ht="15.75" customHeight="1"/>
    <row r="1187" s="942" customFormat="1" ht="15.75" customHeight="1"/>
    <row r="1188" s="942" customFormat="1" ht="15.75" customHeight="1"/>
    <row r="1189" s="942" customFormat="1" ht="15.75" customHeight="1"/>
    <row r="1190" s="942" customFormat="1" ht="15.75" customHeight="1"/>
    <row r="1191" s="942" customFormat="1" ht="15.75" customHeight="1"/>
    <row r="1192" s="942" customFormat="1" ht="15.75" customHeight="1"/>
    <row r="1193" s="942" customFormat="1" ht="15.75" customHeight="1"/>
    <row r="1194" s="942" customFormat="1" ht="15.75" customHeight="1"/>
    <row r="1195" s="942" customFormat="1" ht="15.75" customHeight="1"/>
    <row r="1196" s="942" customFormat="1" ht="15.75" customHeight="1"/>
    <row r="1197" s="942" customFormat="1" ht="15.75" customHeight="1"/>
    <row r="1198" s="942" customFormat="1" ht="15.75" customHeight="1"/>
    <row r="1199" s="942" customFormat="1" ht="15.75" customHeight="1"/>
    <row r="1200" s="942" customFormat="1" ht="15.75" customHeight="1"/>
    <row r="1201" s="942" customFormat="1" ht="15.75" customHeight="1"/>
    <row r="1202" s="942" customFormat="1" ht="15.75" customHeight="1"/>
    <row r="1203" s="942" customFormat="1" ht="15.75" customHeight="1"/>
    <row r="1204" s="942" customFormat="1" ht="15.75" customHeight="1"/>
    <row r="1205" s="942" customFormat="1" ht="15.75" customHeight="1"/>
    <row r="1206" s="942" customFormat="1" ht="15.75" customHeight="1"/>
    <row r="1207" s="942" customFormat="1" ht="15.75" customHeight="1"/>
    <row r="1208" s="942" customFormat="1" ht="15.75" customHeight="1"/>
    <row r="1209" s="942" customFormat="1" ht="15.75" customHeight="1"/>
    <row r="1210" s="942" customFormat="1" ht="15.75" customHeight="1"/>
    <row r="1211" s="942" customFormat="1" ht="15.75" customHeight="1"/>
    <row r="1212" s="942" customFormat="1" ht="15.75" customHeight="1"/>
    <row r="1213" s="942" customFormat="1" ht="15.75" customHeight="1"/>
    <row r="1214" s="942" customFormat="1" ht="15.75" customHeight="1"/>
    <row r="1215" s="942" customFormat="1" ht="15.75" customHeight="1"/>
    <row r="1216" s="942" customFormat="1" ht="15.75" customHeight="1"/>
    <row r="1217" s="942" customFormat="1" ht="15.75" customHeight="1"/>
    <row r="1218" s="942" customFormat="1" ht="15.75" customHeight="1"/>
    <row r="1219" s="942" customFormat="1" ht="15.75" customHeight="1"/>
    <row r="1220" s="942" customFormat="1" ht="15.75" customHeight="1"/>
    <row r="1221" s="942" customFormat="1" ht="15.75" customHeight="1"/>
    <row r="1222" s="942" customFormat="1" ht="15.75" customHeight="1"/>
    <row r="1223" s="942" customFormat="1" ht="15.75" customHeight="1"/>
    <row r="1224" s="942" customFormat="1" ht="15.75" customHeight="1"/>
    <row r="1225" s="942" customFormat="1" ht="15.75" customHeight="1"/>
    <row r="1226" s="942" customFormat="1" ht="15.75" customHeight="1"/>
    <row r="1227" s="942" customFormat="1" ht="15.75" customHeight="1"/>
    <row r="1228" s="942" customFormat="1" ht="15.75" customHeight="1"/>
    <row r="1229" s="942" customFormat="1" ht="15.75" customHeight="1"/>
    <row r="1230" s="942" customFormat="1" ht="15.75" customHeight="1"/>
    <row r="1231" s="942" customFormat="1" ht="15.75" customHeight="1"/>
    <row r="1232" s="942" customFormat="1" ht="15.75" customHeight="1"/>
    <row r="1233" s="942" customFormat="1" ht="15.75" customHeight="1"/>
    <row r="1234" s="942" customFormat="1" ht="15.75" customHeight="1"/>
    <row r="1235" s="942" customFormat="1" ht="15.75" customHeight="1"/>
    <row r="1236" s="942" customFormat="1" ht="15.75" customHeight="1"/>
    <row r="1237" s="942" customFormat="1" ht="15.75" customHeight="1"/>
    <row r="1238" s="942" customFormat="1" ht="15.75" customHeight="1"/>
    <row r="1239" s="942" customFormat="1" ht="15.75" customHeight="1"/>
    <row r="1240" s="942" customFormat="1" ht="15.75" customHeight="1"/>
    <row r="1241" s="942" customFormat="1" ht="15.75" customHeight="1"/>
    <row r="1242" s="942" customFormat="1" ht="15.75" customHeight="1"/>
    <row r="1243" s="942" customFormat="1" ht="15.75" customHeight="1"/>
    <row r="1244" s="942" customFormat="1" ht="15.75" customHeight="1"/>
    <row r="1245" s="942" customFormat="1" ht="15.75" customHeight="1"/>
    <row r="1246" s="942" customFormat="1" ht="15.75" customHeight="1"/>
    <row r="1247" s="942" customFormat="1" ht="15.75" customHeight="1"/>
    <row r="1248" s="942" customFormat="1" ht="15.75" customHeight="1"/>
    <row r="1249" s="942" customFormat="1" ht="15.75" customHeight="1"/>
    <row r="1250" s="942" customFormat="1" ht="15.75" customHeight="1"/>
    <row r="1251" s="942" customFormat="1" ht="15.75" customHeight="1"/>
    <row r="1252" s="942" customFormat="1" ht="15.75" customHeight="1"/>
    <row r="1253" s="942" customFormat="1" ht="15.75" customHeight="1"/>
    <row r="1254" s="942" customFormat="1" ht="15.75" customHeight="1"/>
    <row r="1255" s="942" customFormat="1" ht="15.75" customHeight="1"/>
    <row r="1256" s="942" customFormat="1" ht="15.75" customHeight="1"/>
    <row r="1257" s="942" customFormat="1" ht="15.75" customHeight="1"/>
    <row r="1258" s="942" customFormat="1" ht="15.75" customHeight="1"/>
    <row r="1259" s="942" customFormat="1" ht="15.75" customHeight="1"/>
    <row r="1260" s="942" customFormat="1" ht="15.75" customHeight="1"/>
    <row r="1261" s="942" customFormat="1" ht="15.75" customHeight="1"/>
    <row r="1262" s="942" customFormat="1" ht="15.75" customHeight="1"/>
    <row r="1263" s="942" customFormat="1" ht="15.75" customHeight="1"/>
    <row r="1264" s="942" customFormat="1" ht="15.75" customHeight="1"/>
    <row r="1265" s="942" customFormat="1" ht="15.75" customHeight="1"/>
    <row r="1266" s="942" customFormat="1" ht="15.75" customHeight="1"/>
    <row r="1267" s="942" customFormat="1" ht="15.75" customHeight="1"/>
    <row r="1268" s="942" customFormat="1" ht="15.75" customHeight="1"/>
    <row r="1269" s="942" customFormat="1" ht="15.75" customHeight="1"/>
    <row r="1270" s="942" customFormat="1" ht="15.75" customHeight="1"/>
    <row r="1271" s="942" customFormat="1" ht="15.75" customHeight="1"/>
    <row r="1272" s="942" customFormat="1" ht="15.75" customHeight="1"/>
    <row r="1273" s="942" customFormat="1" ht="15.75" customHeight="1"/>
    <row r="1274" s="942" customFormat="1" ht="15.75" customHeight="1"/>
    <row r="1275" s="942" customFormat="1" ht="15.75" customHeight="1"/>
    <row r="1276" s="942" customFormat="1" ht="15.75" customHeight="1"/>
    <row r="1277" s="942" customFormat="1" ht="15.75" customHeight="1"/>
    <row r="1278" s="942" customFormat="1" ht="15.75" customHeight="1"/>
    <row r="1279" s="942" customFormat="1" ht="15.75" customHeight="1"/>
    <row r="1280" s="942" customFormat="1" ht="15.75" customHeight="1"/>
    <row r="1281" s="942" customFormat="1" ht="15.75" customHeight="1"/>
    <row r="1282" s="942" customFormat="1" ht="15.75" customHeight="1"/>
    <row r="1283" s="942" customFormat="1" ht="15.75" customHeight="1"/>
    <row r="1284" s="942" customFormat="1" ht="15.75" customHeight="1"/>
    <row r="1285" s="942" customFormat="1" ht="15.75" customHeight="1"/>
    <row r="1286" s="942" customFormat="1" ht="15.75" customHeight="1"/>
    <row r="1287" s="942" customFormat="1" ht="15.75" customHeight="1"/>
    <row r="1288" s="942" customFormat="1" ht="15.75" customHeight="1"/>
    <row r="1289" s="942" customFormat="1" ht="15.75" customHeight="1"/>
    <row r="1290" s="942" customFormat="1" ht="15.75" customHeight="1"/>
    <row r="1291" s="942" customFormat="1" ht="15.75" customHeight="1"/>
    <row r="1292" s="942" customFormat="1" ht="15.75" customHeight="1"/>
    <row r="1293" s="942" customFormat="1" ht="15.75" customHeight="1"/>
    <row r="1294" s="942" customFormat="1" ht="15.75" customHeight="1"/>
    <row r="1295" s="942" customFormat="1" ht="15.75" customHeight="1"/>
    <row r="1296" s="942" customFormat="1" ht="15.75" customHeight="1"/>
    <row r="1297" s="942" customFormat="1" ht="15.75" customHeight="1"/>
    <row r="1298" s="942" customFormat="1" ht="15.75" customHeight="1"/>
    <row r="1299" s="942" customFormat="1" ht="15.75" customHeight="1"/>
    <row r="1300" s="942" customFormat="1" ht="15.75" customHeight="1"/>
    <row r="1301" s="942" customFormat="1" ht="15.75" customHeight="1"/>
    <row r="1302" s="942" customFormat="1" ht="15.75" customHeight="1"/>
    <row r="1303" s="942" customFormat="1" ht="15.75" customHeight="1"/>
    <row r="1304" s="942" customFormat="1" ht="15.75" customHeight="1"/>
    <row r="1305" s="942" customFormat="1" ht="15.75" customHeight="1"/>
    <row r="1306" s="942" customFormat="1" ht="15.75" customHeight="1"/>
    <row r="1307" s="942" customFormat="1" ht="15.75" customHeight="1"/>
    <row r="1308" s="942" customFormat="1" ht="15.75" customHeight="1"/>
    <row r="1309" s="942" customFormat="1" ht="15.75" customHeight="1"/>
    <row r="1310" s="942" customFormat="1" ht="15.75" customHeight="1"/>
    <row r="1311" s="942" customFormat="1" ht="15.75" customHeight="1"/>
    <row r="1312" s="942" customFormat="1" ht="15.75" customHeight="1"/>
    <row r="1313" s="942" customFormat="1" ht="15.75" customHeight="1"/>
    <row r="1314" s="942" customFormat="1" ht="15.75" customHeight="1"/>
    <row r="1315" s="942" customFormat="1" ht="15.75" customHeight="1"/>
    <row r="1316" s="942" customFormat="1" ht="15.75" customHeight="1"/>
    <row r="1317" s="942" customFormat="1" ht="15.75" customHeight="1"/>
    <row r="1318" s="942" customFormat="1" ht="15.75" customHeight="1"/>
    <row r="1319" s="942" customFormat="1" ht="15.75" customHeight="1"/>
    <row r="1320" s="942" customFormat="1" ht="15.75" customHeight="1"/>
    <row r="1321" s="942" customFormat="1" ht="15.75" customHeight="1"/>
    <row r="1322" s="942" customFormat="1" ht="15.75" customHeight="1"/>
    <row r="1323" s="942" customFormat="1" ht="15.75" customHeight="1"/>
    <row r="1324" s="942" customFormat="1" ht="15.75" customHeight="1"/>
    <row r="1325" s="942" customFormat="1" ht="15.75" customHeight="1"/>
    <row r="1326" s="942" customFormat="1" ht="15.75" customHeight="1"/>
    <row r="1327" s="942" customFormat="1" ht="15.75" customHeight="1"/>
    <row r="1328" s="942" customFormat="1" ht="15.75" customHeight="1"/>
    <row r="1329" s="942" customFormat="1" ht="15.75" customHeight="1"/>
    <row r="1330" s="942" customFormat="1" ht="15.75" customHeight="1"/>
    <row r="1331" s="942" customFormat="1" ht="15.75" customHeight="1"/>
    <row r="1332" s="942" customFormat="1" ht="15.75" customHeight="1"/>
    <row r="1333" s="942" customFormat="1" ht="15.75" customHeight="1"/>
    <row r="1334" s="942" customFormat="1" ht="15.75" customHeight="1"/>
    <row r="1335" s="942" customFormat="1" ht="15.75" customHeight="1"/>
    <row r="1336" s="942" customFormat="1" ht="15.75" customHeight="1"/>
    <row r="1337" s="942" customFormat="1" ht="15.75" customHeight="1"/>
    <row r="1338" s="942" customFormat="1" ht="15.75" customHeight="1"/>
    <row r="1339" s="942" customFormat="1" ht="15.75" customHeight="1"/>
    <row r="1340" s="942" customFormat="1" ht="15.75" customHeight="1"/>
    <row r="1341" s="942" customFormat="1" ht="15.75" customHeight="1"/>
    <row r="1342" s="942" customFormat="1" ht="15.75" customHeight="1"/>
    <row r="1343" s="942" customFormat="1" ht="15.75" customHeight="1"/>
    <row r="1344" s="942" customFormat="1" ht="15.75" customHeight="1"/>
    <row r="1345" s="942" customFormat="1" ht="15.75" customHeight="1"/>
    <row r="1346" s="942" customFormat="1" ht="15.75" customHeight="1"/>
    <row r="1347" s="942" customFormat="1" ht="15.75" customHeight="1"/>
    <row r="1348" s="942" customFormat="1" ht="15.75" customHeight="1"/>
    <row r="1349" s="942" customFormat="1" ht="15.75" customHeight="1"/>
    <row r="1350" s="942" customFormat="1" ht="15.75" customHeight="1"/>
    <row r="1351" s="942" customFormat="1" ht="15.75" customHeight="1"/>
    <row r="1352" s="942" customFormat="1" ht="15.75" customHeight="1"/>
    <row r="1353" s="942" customFormat="1" ht="15.75" customHeight="1"/>
    <row r="1354" s="942" customFormat="1" ht="15.75" customHeight="1"/>
    <row r="1355" s="942" customFormat="1" ht="15.75" customHeight="1"/>
    <row r="1356" s="942" customFormat="1" ht="15.75" customHeight="1"/>
    <row r="1357" s="942" customFormat="1" ht="15.75" customHeight="1"/>
    <row r="1358" s="942" customFormat="1" ht="15.75" customHeight="1"/>
    <row r="1359" s="942" customFormat="1" ht="15.75" customHeight="1"/>
    <row r="1360" s="942" customFormat="1" ht="15.75" customHeight="1"/>
    <row r="1361" s="942" customFormat="1" ht="15.75" customHeight="1"/>
    <row r="1362" s="942" customFormat="1" ht="15.75" customHeight="1"/>
    <row r="1363" s="942" customFormat="1" ht="15.75" customHeight="1"/>
    <row r="1364" s="942" customFormat="1" ht="15.75" customHeight="1"/>
    <row r="1365" s="942" customFormat="1" ht="15.75" customHeight="1"/>
    <row r="1366" s="942" customFormat="1" ht="15.75" customHeight="1"/>
    <row r="1367" s="942" customFormat="1" ht="15.75" customHeight="1"/>
    <row r="1368" s="942" customFormat="1" ht="15.75" customHeight="1"/>
    <row r="1369" s="942" customFormat="1" ht="15.75" customHeight="1"/>
    <row r="1370" s="942" customFormat="1" ht="15.75" customHeight="1"/>
    <row r="1371" s="942" customFormat="1" ht="15.75" customHeight="1"/>
    <row r="1372" s="942" customFormat="1" ht="15.75" customHeight="1"/>
    <row r="1373" s="942" customFormat="1" ht="15.75" customHeight="1"/>
    <row r="1374" s="942" customFormat="1" ht="15.75" customHeight="1"/>
    <row r="1375" s="942" customFormat="1" ht="15.75" customHeight="1"/>
    <row r="1376" s="942" customFormat="1" ht="15.75" customHeight="1"/>
    <row r="1377" s="942" customFormat="1" ht="15.75" customHeight="1"/>
    <row r="1378" s="942" customFormat="1" ht="15.75" customHeight="1"/>
    <row r="1379" s="942" customFormat="1" ht="15.75" customHeight="1"/>
    <row r="1380" s="942" customFormat="1" ht="15.75" customHeight="1"/>
    <row r="1381" s="942" customFormat="1" ht="15.75" customHeight="1"/>
    <row r="1382" s="942" customFormat="1" ht="15.75" customHeight="1"/>
    <row r="1383" s="942" customFormat="1" ht="15.75" customHeight="1"/>
    <row r="1384" s="942" customFormat="1" ht="15.75" customHeight="1"/>
    <row r="1385" s="942" customFormat="1" ht="15.75" customHeight="1"/>
    <row r="1386" s="942" customFormat="1" ht="15.75" customHeight="1"/>
    <row r="1387" s="942" customFormat="1" ht="15.75" customHeight="1"/>
    <row r="1388" s="942" customFormat="1" ht="15.75" customHeight="1"/>
    <row r="1389" s="942" customFormat="1" ht="15.75" customHeight="1"/>
    <row r="1390" s="942" customFormat="1" ht="15.75" customHeight="1"/>
    <row r="1391" s="942" customFormat="1" ht="15.75" customHeight="1"/>
    <row r="1392" s="942" customFormat="1" ht="15.75" customHeight="1"/>
    <row r="1393" s="942" customFormat="1" ht="15.75" customHeight="1"/>
    <row r="1394" s="942" customFormat="1" ht="15.75" customHeight="1"/>
    <row r="1395" s="942" customFormat="1" ht="15.75" customHeight="1"/>
    <row r="1396" s="942" customFormat="1" ht="15.75" customHeight="1"/>
    <row r="1397" s="942" customFormat="1" ht="15.75" customHeight="1"/>
    <row r="1398" s="942" customFormat="1" ht="15.75" customHeight="1"/>
    <row r="1399" s="942" customFormat="1" ht="15.75" customHeight="1"/>
    <row r="1400" s="942" customFormat="1" ht="15.75" customHeight="1"/>
    <row r="1401" s="942" customFormat="1" ht="15.75" customHeight="1"/>
    <row r="1402" s="942" customFormat="1" ht="15.75" customHeight="1"/>
    <row r="1403" s="942" customFormat="1" ht="15.75" customHeight="1"/>
    <row r="1404" s="942" customFormat="1" ht="15.75" customHeight="1"/>
    <row r="1405" s="942" customFormat="1" ht="15.75" customHeight="1"/>
    <row r="1406" s="942" customFormat="1" ht="15.75" customHeight="1"/>
    <row r="1407" s="942" customFormat="1" ht="15.75" customHeight="1"/>
    <row r="1408" s="942" customFormat="1" ht="15.75" customHeight="1"/>
    <row r="1409" s="942" customFormat="1" ht="15.75" customHeight="1"/>
    <row r="1410" s="942" customFormat="1" ht="15.75" customHeight="1"/>
    <row r="1411" s="942" customFormat="1" ht="15.75" customHeight="1"/>
    <row r="1412" s="942" customFormat="1" ht="15.75" customHeight="1"/>
    <row r="1413" s="942" customFormat="1" ht="15.75" customHeight="1"/>
    <row r="1414" s="942" customFormat="1" ht="15.75" customHeight="1"/>
    <row r="1415" s="942" customFormat="1" ht="15.75" customHeight="1"/>
    <row r="1416" s="942" customFormat="1" ht="15.75" customHeight="1"/>
    <row r="1417" s="942" customFormat="1" ht="15.75" customHeight="1"/>
    <row r="1418" s="942" customFormat="1" ht="15.75" customHeight="1"/>
    <row r="1419" s="942" customFormat="1" ht="15.75" customHeight="1"/>
    <row r="1420" s="942" customFormat="1" ht="15.75" customHeight="1"/>
    <row r="1421" s="942" customFormat="1" ht="15.75" customHeight="1"/>
    <row r="1422" s="942" customFormat="1" ht="15.75" customHeight="1"/>
    <row r="1423" s="942" customFormat="1" ht="15.75" customHeight="1"/>
    <row r="1424" s="942" customFormat="1" ht="15.75" customHeight="1"/>
    <row r="1425" s="942" customFormat="1" ht="15.75" customHeight="1"/>
    <row r="1426" s="942" customFormat="1" ht="15.75" customHeight="1"/>
    <row r="1427" s="942" customFormat="1" ht="15.75" customHeight="1"/>
    <row r="1428" s="942" customFormat="1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  <row r="1902" ht="15.75" customHeight="1"/>
    <row r="1903" ht="15.75" customHeight="1"/>
    <row r="1904" ht="15.75" customHeight="1"/>
    <row r="1905" ht="15.75" customHeight="1"/>
    <row r="1906" ht="15.75" customHeight="1"/>
    <row r="1907" ht="15.75" customHeight="1"/>
    <row r="1908" ht="15.75" customHeight="1"/>
    <row r="1909" ht="15.75" customHeight="1"/>
    <row r="1910" ht="15.75" customHeight="1"/>
    <row r="1911" ht="15.75" customHeight="1"/>
    <row r="1912" ht="15.75" customHeight="1"/>
    <row r="1913" ht="15.75" customHeight="1"/>
    <row r="1914" ht="15.75" customHeight="1"/>
    <row r="1915" ht="15.75" customHeight="1"/>
    <row r="1916" ht="15.75" customHeight="1"/>
    <row r="1917" ht="15.75" customHeight="1"/>
    <row r="1918" ht="15.75" customHeight="1"/>
    <row r="1919" ht="15.75" customHeight="1"/>
    <row r="1920" ht="15.75" customHeight="1"/>
    <row r="1921" ht="15.75" customHeight="1"/>
    <row r="1922" ht="15.75" customHeight="1"/>
    <row r="1923" ht="15.75" customHeight="1"/>
    <row r="1924" ht="15.75" customHeight="1"/>
    <row r="1925" ht="15.75" customHeight="1"/>
    <row r="1926" ht="15.75" customHeight="1"/>
    <row r="1927" ht="15.75" customHeight="1"/>
    <row r="1928" ht="15.75" customHeight="1"/>
    <row r="1929" ht="15.75" customHeight="1"/>
    <row r="1930" ht="15.75" customHeight="1"/>
    <row r="1931" ht="15.75" customHeight="1"/>
    <row r="1932" ht="15.75" customHeight="1"/>
    <row r="1933" ht="15.75" customHeight="1"/>
    <row r="1934" ht="15.75" customHeight="1"/>
    <row r="1935" ht="15.75" customHeight="1"/>
    <row r="1936" ht="15.75" customHeight="1"/>
    <row r="1937" ht="15.75" customHeight="1"/>
    <row r="1938" ht="15.75" customHeight="1"/>
    <row r="1939" ht="15.75" customHeight="1"/>
    <row r="1940" ht="15.75" customHeight="1"/>
    <row r="1941" ht="15.75" customHeight="1"/>
    <row r="1942" ht="15.75" customHeight="1"/>
    <row r="1943" ht="15.75" customHeight="1"/>
    <row r="1944" ht="15.75" customHeight="1"/>
    <row r="1945" ht="15.75" customHeight="1"/>
    <row r="1946" ht="15.75" customHeight="1"/>
    <row r="1947" ht="15.75" customHeight="1"/>
    <row r="1948" ht="15.75" customHeight="1"/>
    <row r="1949" ht="15.75" customHeight="1"/>
    <row r="1950" ht="15.75" customHeight="1"/>
    <row r="1951" ht="15.75" customHeight="1"/>
    <row r="1952" ht="15.75" customHeight="1"/>
    <row r="1953" ht="15.75" customHeight="1"/>
    <row r="1954" ht="15.75" customHeight="1"/>
    <row r="1955" ht="15.75" customHeight="1"/>
    <row r="1956" ht="15.75" customHeight="1"/>
    <row r="1957" ht="15.75" customHeight="1"/>
    <row r="1958" ht="15.75" customHeight="1"/>
    <row r="1959" ht="15.75" customHeight="1"/>
    <row r="1960" ht="15.75" customHeight="1"/>
    <row r="1961" ht="15.75" customHeight="1"/>
    <row r="1962" ht="15.75" customHeight="1"/>
    <row r="1963" ht="15.75" customHeight="1"/>
    <row r="1964" ht="15.75" customHeight="1"/>
    <row r="1965" ht="15.75" customHeight="1"/>
    <row r="1966" ht="15.75" customHeight="1"/>
    <row r="1967" ht="15.75" customHeight="1"/>
    <row r="1968" ht="15.75" customHeight="1"/>
    <row r="1969" ht="15.75" customHeight="1"/>
    <row r="1970" ht="15.75" customHeight="1"/>
    <row r="1971" ht="15.75" customHeight="1"/>
    <row r="1972" ht="15.75" customHeight="1"/>
    <row r="1973" ht="15.75" customHeight="1"/>
    <row r="1974" ht="15.75" customHeight="1"/>
    <row r="1975" ht="15.75" customHeight="1"/>
    <row r="1976" ht="15.75" customHeight="1"/>
    <row r="1977" ht="15.75" customHeight="1"/>
    <row r="1978" ht="15.75" customHeight="1"/>
    <row r="1979" ht="15.75" customHeight="1"/>
    <row r="1980" ht="15.75" customHeight="1"/>
    <row r="1981" ht="15.75" customHeight="1"/>
    <row r="1982" ht="15.75" customHeight="1"/>
    <row r="1983" ht="15.75" customHeight="1"/>
    <row r="1984" ht="15.75" customHeight="1"/>
    <row r="1985" ht="15.75" customHeight="1"/>
    <row r="1986" ht="15.75" customHeight="1"/>
    <row r="1987" ht="15.75" customHeight="1"/>
    <row r="1988" ht="15.75" customHeight="1"/>
    <row r="1989" ht="15.75" customHeight="1"/>
    <row r="1990" ht="15.75" customHeight="1"/>
    <row r="1991" ht="15.75" customHeight="1"/>
    <row r="1992" ht="15.75" customHeight="1"/>
    <row r="1993" ht="15.75" customHeight="1"/>
    <row r="1994" ht="15.75" customHeight="1"/>
    <row r="1995" ht="15.75" customHeight="1"/>
    <row r="1996" ht="15.75" customHeight="1"/>
    <row r="1997" ht="15.75" customHeight="1"/>
    <row r="1998" ht="15.75" customHeight="1"/>
    <row r="1999" ht="15.75" customHeight="1"/>
    <row r="2000" ht="15.75" customHeight="1"/>
    <row r="2001" ht="15.75" customHeight="1"/>
    <row r="2002" ht="15.75" customHeight="1"/>
    <row r="2003" ht="15.75" customHeight="1"/>
    <row r="2004" ht="15.75" customHeight="1"/>
    <row r="2005" ht="15.75" customHeight="1"/>
  </sheetData>
  <pageMargins left="0.7" right="0.45" top="0.75" bottom="0.5" header="0.511811023622047" footer="0.511811023622047"/>
  <pageSetup paperSize="9" scale="67" orientation="landscape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X572"/>
  <sheetViews>
    <sheetView topLeftCell="D3" zoomScale="134" zoomScaleNormal="134" workbookViewId="0">
      <pane ySplit="2" topLeftCell="A7" activePane="bottomLeft" state="frozen"/>
      <selection activeCell="D3" sqref="D3"/>
      <selection pane="bottomLeft" activeCell="N17" sqref="N17"/>
    </sheetView>
  </sheetViews>
  <sheetFormatPr baseColWidth="10" defaultColWidth="9.1640625" defaultRowHeight="15"/>
  <cols>
    <col min="1" max="1" width="9.1640625" style="1552"/>
    <col min="2" max="2" width="50.5" style="1552" customWidth="1"/>
    <col min="3" max="5" width="12.5" style="1552" customWidth="1"/>
    <col min="6" max="13" width="10.5" style="1552" customWidth="1"/>
    <col min="14" max="14" width="14.5" style="1552" customWidth="1"/>
    <col min="15" max="15" width="6.5" style="1552" customWidth="1"/>
    <col min="16" max="16" width="15.5" style="1552" customWidth="1"/>
    <col min="17" max="17" width="18.1640625" style="1552" customWidth="1"/>
    <col min="18" max="18" width="11.83203125" style="1552" customWidth="1"/>
    <col min="19" max="20" width="9.1640625" style="1552"/>
    <col min="21" max="21" width="12.1640625" style="1552" customWidth="1"/>
    <col min="22" max="24" width="9.1640625" style="1552"/>
    <col min="25" max="25" width="12.5" style="1552" customWidth="1"/>
    <col min="26" max="257" width="9.1640625" style="1552"/>
    <col min="258" max="258" width="50.5" style="1552" customWidth="1"/>
    <col min="259" max="261" width="12.5" style="1552" customWidth="1"/>
    <col min="262" max="268" width="10.5" style="1552" customWidth="1"/>
    <col min="269" max="269" width="8.5" style="1552" customWidth="1"/>
    <col min="270" max="270" width="14.5" style="1552" customWidth="1"/>
    <col min="271" max="271" width="6.5" style="1552" customWidth="1"/>
    <col min="272" max="272" width="15.5" style="1552" customWidth="1"/>
    <col min="273" max="273" width="18.1640625" style="1552" customWidth="1"/>
    <col min="274" max="274" width="11.83203125" style="1552" customWidth="1"/>
    <col min="275" max="276" width="9.1640625" style="1552"/>
    <col min="277" max="277" width="12.1640625" style="1552" customWidth="1"/>
    <col min="278" max="280" width="9.1640625" style="1552"/>
    <col min="281" max="281" width="12.5" style="1552" customWidth="1"/>
    <col min="282" max="513" width="9.1640625" style="1552"/>
    <col min="514" max="514" width="50.5" style="1552" customWidth="1"/>
    <col min="515" max="517" width="12.5" style="1552" customWidth="1"/>
    <col min="518" max="524" width="10.5" style="1552" customWidth="1"/>
    <col min="525" max="525" width="8.5" style="1552" customWidth="1"/>
    <col min="526" max="526" width="14.5" style="1552" customWidth="1"/>
    <col min="527" max="527" width="6.5" style="1552" customWidth="1"/>
    <col min="528" max="528" width="15.5" style="1552" customWidth="1"/>
    <col min="529" max="529" width="18.1640625" style="1552" customWidth="1"/>
    <col min="530" max="530" width="11.83203125" style="1552" customWidth="1"/>
    <col min="531" max="532" width="9.1640625" style="1552"/>
    <col min="533" max="533" width="12.1640625" style="1552" customWidth="1"/>
    <col min="534" max="536" width="9.1640625" style="1552"/>
    <col min="537" max="537" width="12.5" style="1552" customWidth="1"/>
    <col min="538" max="769" width="9.1640625" style="1552"/>
    <col min="770" max="770" width="50.5" style="1552" customWidth="1"/>
    <col min="771" max="773" width="12.5" style="1552" customWidth="1"/>
    <col min="774" max="780" width="10.5" style="1552" customWidth="1"/>
    <col min="781" max="781" width="8.5" style="1552" customWidth="1"/>
    <col min="782" max="782" width="14.5" style="1552" customWidth="1"/>
    <col min="783" max="783" width="6.5" style="1552" customWidth="1"/>
    <col min="784" max="784" width="15.5" style="1552" customWidth="1"/>
    <col min="785" max="785" width="18.1640625" style="1552" customWidth="1"/>
    <col min="786" max="786" width="11.83203125" style="1552" customWidth="1"/>
    <col min="787" max="788" width="9.1640625" style="1552"/>
    <col min="789" max="789" width="12.1640625" style="1552" customWidth="1"/>
    <col min="790" max="792" width="9.1640625" style="1552"/>
    <col min="793" max="793" width="12.5" style="1552" customWidth="1"/>
    <col min="794" max="1025" width="9.1640625" style="1552"/>
    <col min="1026" max="1026" width="50.5" style="1552" customWidth="1"/>
    <col min="1027" max="1029" width="12.5" style="1552" customWidth="1"/>
    <col min="1030" max="1036" width="10.5" style="1552" customWidth="1"/>
    <col min="1037" max="1037" width="8.5" style="1552" customWidth="1"/>
    <col min="1038" max="1038" width="14.5" style="1552" customWidth="1"/>
    <col min="1039" max="1039" width="6.5" style="1552" customWidth="1"/>
    <col min="1040" max="1040" width="15.5" style="1552" customWidth="1"/>
    <col min="1041" max="1041" width="18.1640625" style="1552" customWidth="1"/>
    <col min="1042" max="1042" width="11.83203125" style="1552" customWidth="1"/>
    <col min="1043" max="1044" width="9.1640625" style="1552"/>
    <col min="1045" max="1045" width="12.1640625" style="1552" customWidth="1"/>
    <col min="1046" max="1048" width="9.1640625" style="1552"/>
    <col min="1049" max="1049" width="12.5" style="1552" customWidth="1"/>
    <col min="1050" max="1281" width="9.1640625" style="1552"/>
    <col min="1282" max="1282" width="50.5" style="1552" customWidth="1"/>
    <col min="1283" max="1285" width="12.5" style="1552" customWidth="1"/>
    <col min="1286" max="1292" width="10.5" style="1552" customWidth="1"/>
    <col min="1293" max="1293" width="8.5" style="1552" customWidth="1"/>
    <col min="1294" max="1294" width="14.5" style="1552" customWidth="1"/>
    <col min="1295" max="1295" width="6.5" style="1552" customWidth="1"/>
    <col min="1296" max="1296" width="15.5" style="1552" customWidth="1"/>
    <col min="1297" max="1297" width="18.1640625" style="1552" customWidth="1"/>
    <col min="1298" max="1298" width="11.83203125" style="1552" customWidth="1"/>
    <col min="1299" max="1300" width="9.1640625" style="1552"/>
    <col min="1301" max="1301" width="12.1640625" style="1552" customWidth="1"/>
    <col min="1302" max="1304" width="9.1640625" style="1552"/>
    <col min="1305" max="1305" width="12.5" style="1552" customWidth="1"/>
    <col min="1306" max="1537" width="9.1640625" style="1552"/>
    <col min="1538" max="1538" width="50.5" style="1552" customWidth="1"/>
    <col min="1539" max="1541" width="12.5" style="1552" customWidth="1"/>
    <col min="1542" max="1548" width="10.5" style="1552" customWidth="1"/>
    <col min="1549" max="1549" width="8.5" style="1552" customWidth="1"/>
    <col min="1550" max="1550" width="14.5" style="1552" customWidth="1"/>
    <col min="1551" max="1551" width="6.5" style="1552" customWidth="1"/>
    <col min="1552" max="1552" width="15.5" style="1552" customWidth="1"/>
    <col min="1553" max="1553" width="18.1640625" style="1552" customWidth="1"/>
    <col min="1554" max="1554" width="11.83203125" style="1552" customWidth="1"/>
    <col min="1555" max="1556" width="9.1640625" style="1552"/>
    <col min="1557" max="1557" width="12.1640625" style="1552" customWidth="1"/>
    <col min="1558" max="1560" width="9.1640625" style="1552"/>
    <col min="1561" max="1561" width="12.5" style="1552" customWidth="1"/>
    <col min="1562" max="1793" width="9.1640625" style="1552"/>
    <col min="1794" max="1794" width="50.5" style="1552" customWidth="1"/>
    <col min="1795" max="1797" width="12.5" style="1552" customWidth="1"/>
    <col min="1798" max="1804" width="10.5" style="1552" customWidth="1"/>
    <col min="1805" max="1805" width="8.5" style="1552" customWidth="1"/>
    <col min="1806" max="1806" width="14.5" style="1552" customWidth="1"/>
    <col min="1807" max="1807" width="6.5" style="1552" customWidth="1"/>
    <col min="1808" max="1808" width="15.5" style="1552" customWidth="1"/>
    <col min="1809" max="1809" width="18.1640625" style="1552" customWidth="1"/>
    <col min="1810" max="1810" width="11.83203125" style="1552" customWidth="1"/>
    <col min="1811" max="1812" width="9.1640625" style="1552"/>
    <col min="1813" max="1813" width="12.1640625" style="1552" customWidth="1"/>
    <col min="1814" max="1816" width="9.1640625" style="1552"/>
    <col min="1817" max="1817" width="12.5" style="1552" customWidth="1"/>
    <col min="1818" max="2049" width="9.1640625" style="1552"/>
    <col min="2050" max="2050" width="50.5" style="1552" customWidth="1"/>
    <col min="2051" max="2053" width="12.5" style="1552" customWidth="1"/>
    <col min="2054" max="2060" width="10.5" style="1552" customWidth="1"/>
    <col min="2061" max="2061" width="8.5" style="1552" customWidth="1"/>
    <col min="2062" max="2062" width="14.5" style="1552" customWidth="1"/>
    <col min="2063" max="2063" width="6.5" style="1552" customWidth="1"/>
    <col min="2064" max="2064" width="15.5" style="1552" customWidth="1"/>
    <col min="2065" max="2065" width="18.1640625" style="1552" customWidth="1"/>
    <col min="2066" max="2066" width="11.83203125" style="1552" customWidth="1"/>
    <col min="2067" max="2068" width="9.1640625" style="1552"/>
    <col min="2069" max="2069" width="12.1640625" style="1552" customWidth="1"/>
    <col min="2070" max="2072" width="9.1640625" style="1552"/>
    <col min="2073" max="2073" width="12.5" style="1552" customWidth="1"/>
    <col min="2074" max="2305" width="9.1640625" style="1552"/>
    <col min="2306" max="2306" width="50.5" style="1552" customWidth="1"/>
    <col min="2307" max="2309" width="12.5" style="1552" customWidth="1"/>
    <col min="2310" max="2316" width="10.5" style="1552" customWidth="1"/>
    <col min="2317" max="2317" width="8.5" style="1552" customWidth="1"/>
    <col min="2318" max="2318" width="14.5" style="1552" customWidth="1"/>
    <col min="2319" max="2319" width="6.5" style="1552" customWidth="1"/>
    <col min="2320" max="2320" width="15.5" style="1552" customWidth="1"/>
    <col min="2321" max="2321" width="18.1640625" style="1552" customWidth="1"/>
    <col min="2322" max="2322" width="11.83203125" style="1552" customWidth="1"/>
    <col min="2323" max="2324" width="9.1640625" style="1552"/>
    <col min="2325" max="2325" width="12.1640625" style="1552" customWidth="1"/>
    <col min="2326" max="2328" width="9.1640625" style="1552"/>
    <col min="2329" max="2329" width="12.5" style="1552" customWidth="1"/>
    <col min="2330" max="2561" width="9.1640625" style="1552"/>
    <col min="2562" max="2562" width="50.5" style="1552" customWidth="1"/>
    <col min="2563" max="2565" width="12.5" style="1552" customWidth="1"/>
    <col min="2566" max="2572" width="10.5" style="1552" customWidth="1"/>
    <col min="2573" max="2573" width="8.5" style="1552" customWidth="1"/>
    <col min="2574" max="2574" width="14.5" style="1552" customWidth="1"/>
    <col min="2575" max="2575" width="6.5" style="1552" customWidth="1"/>
    <col min="2576" max="2576" width="15.5" style="1552" customWidth="1"/>
    <col min="2577" max="2577" width="18.1640625" style="1552" customWidth="1"/>
    <col min="2578" max="2578" width="11.83203125" style="1552" customWidth="1"/>
    <col min="2579" max="2580" width="9.1640625" style="1552"/>
    <col min="2581" max="2581" width="12.1640625" style="1552" customWidth="1"/>
    <col min="2582" max="2584" width="9.1640625" style="1552"/>
    <col min="2585" max="2585" width="12.5" style="1552" customWidth="1"/>
    <col min="2586" max="2817" width="9.1640625" style="1552"/>
    <col min="2818" max="2818" width="50.5" style="1552" customWidth="1"/>
    <col min="2819" max="2821" width="12.5" style="1552" customWidth="1"/>
    <col min="2822" max="2828" width="10.5" style="1552" customWidth="1"/>
    <col min="2829" max="2829" width="8.5" style="1552" customWidth="1"/>
    <col min="2830" max="2830" width="14.5" style="1552" customWidth="1"/>
    <col min="2831" max="2831" width="6.5" style="1552" customWidth="1"/>
    <col min="2832" max="2832" width="15.5" style="1552" customWidth="1"/>
    <col min="2833" max="2833" width="18.1640625" style="1552" customWidth="1"/>
    <col min="2834" max="2834" width="11.83203125" style="1552" customWidth="1"/>
    <col min="2835" max="2836" width="9.1640625" style="1552"/>
    <col min="2837" max="2837" width="12.1640625" style="1552" customWidth="1"/>
    <col min="2838" max="2840" width="9.1640625" style="1552"/>
    <col min="2841" max="2841" width="12.5" style="1552" customWidth="1"/>
    <col min="2842" max="3073" width="9.1640625" style="1552"/>
    <col min="3074" max="3074" width="50.5" style="1552" customWidth="1"/>
    <col min="3075" max="3077" width="12.5" style="1552" customWidth="1"/>
    <col min="3078" max="3084" width="10.5" style="1552" customWidth="1"/>
    <col min="3085" max="3085" width="8.5" style="1552" customWidth="1"/>
    <col min="3086" max="3086" width="14.5" style="1552" customWidth="1"/>
    <col min="3087" max="3087" width="6.5" style="1552" customWidth="1"/>
    <col min="3088" max="3088" width="15.5" style="1552" customWidth="1"/>
    <col min="3089" max="3089" width="18.1640625" style="1552" customWidth="1"/>
    <col min="3090" max="3090" width="11.83203125" style="1552" customWidth="1"/>
    <col min="3091" max="3092" width="9.1640625" style="1552"/>
    <col min="3093" max="3093" width="12.1640625" style="1552" customWidth="1"/>
    <col min="3094" max="3096" width="9.1640625" style="1552"/>
    <col min="3097" max="3097" width="12.5" style="1552" customWidth="1"/>
    <col min="3098" max="3329" width="9.1640625" style="1552"/>
    <col min="3330" max="3330" width="50.5" style="1552" customWidth="1"/>
    <col min="3331" max="3333" width="12.5" style="1552" customWidth="1"/>
    <col min="3334" max="3340" width="10.5" style="1552" customWidth="1"/>
    <col min="3341" max="3341" width="8.5" style="1552" customWidth="1"/>
    <col min="3342" max="3342" width="14.5" style="1552" customWidth="1"/>
    <col min="3343" max="3343" width="6.5" style="1552" customWidth="1"/>
    <col min="3344" max="3344" width="15.5" style="1552" customWidth="1"/>
    <col min="3345" max="3345" width="18.1640625" style="1552" customWidth="1"/>
    <col min="3346" max="3346" width="11.83203125" style="1552" customWidth="1"/>
    <col min="3347" max="3348" width="9.1640625" style="1552"/>
    <col min="3349" max="3349" width="12.1640625" style="1552" customWidth="1"/>
    <col min="3350" max="3352" width="9.1640625" style="1552"/>
    <col min="3353" max="3353" width="12.5" style="1552" customWidth="1"/>
    <col min="3354" max="3585" width="9.1640625" style="1552"/>
    <col min="3586" max="3586" width="50.5" style="1552" customWidth="1"/>
    <col min="3587" max="3589" width="12.5" style="1552" customWidth="1"/>
    <col min="3590" max="3596" width="10.5" style="1552" customWidth="1"/>
    <col min="3597" max="3597" width="8.5" style="1552" customWidth="1"/>
    <col min="3598" max="3598" width="14.5" style="1552" customWidth="1"/>
    <col min="3599" max="3599" width="6.5" style="1552" customWidth="1"/>
    <col min="3600" max="3600" width="15.5" style="1552" customWidth="1"/>
    <col min="3601" max="3601" width="18.1640625" style="1552" customWidth="1"/>
    <col min="3602" max="3602" width="11.83203125" style="1552" customWidth="1"/>
    <col min="3603" max="3604" width="9.1640625" style="1552"/>
    <col min="3605" max="3605" width="12.1640625" style="1552" customWidth="1"/>
    <col min="3606" max="3608" width="9.1640625" style="1552"/>
    <col min="3609" max="3609" width="12.5" style="1552" customWidth="1"/>
    <col min="3610" max="3841" width="9.1640625" style="1552"/>
    <col min="3842" max="3842" width="50.5" style="1552" customWidth="1"/>
    <col min="3843" max="3845" width="12.5" style="1552" customWidth="1"/>
    <col min="3846" max="3852" width="10.5" style="1552" customWidth="1"/>
    <col min="3853" max="3853" width="8.5" style="1552" customWidth="1"/>
    <col min="3854" max="3854" width="14.5" style="1552" customWidth="1"/>
    <col min="3855" max="3855" width="6.5" style="1552" customWidth="1"/>
    <col min="3856" max="3856" width="15.5" style="1552" customWidth="1"/>
    <col min="3857" max="3857" width="18.1640625" style="1552" customWidth="1"/>
    <col min="3858" max="3858" width="11.83203125" style="1552" customWidth="1"/>
    <col min="3859" max="3860" width="9.1640625" style="1552"/>
    <col min="3861" max="3861" width="12.1640625" style="1552" customWidth="1"/>
    <col min="3862" max="3864" width="9.1640625" style="1552"/>
    <col min="3865" max="3865" width="12.5" style="1552" customWidth="1"/>
    <col min="3866" max="4097" width="9.1640625" style="1552"/>
    <col min="4098" max="4098" width="50.5" style="1552" customWidth="1"/>
    <col min="4099" max="4101" width="12.5" style="1552" customWidth="1"/>
    <col min="4102" max="4108" width="10.5" style="1552" customWidth="1"/>
    <col min="4109" max="4109" width="8.5" style="1552" customWidth="1"/>
    <col min="4110" max="4110" width="14.5" style="1552" customWidth="1"/>
    <col min="4111" max="4111" width="6.5" style="1552" customWidth="1"/>
    <col min="4112" max="4112" width="15.5" style="1552" customWidth="1"/>
    <col min="4113" max="4113" width="18.1640625" style="1552" customWidth="1"/>
    <col min="4114" max="4114" width="11.83203125" style="1552" customWidth="1"/>
    <col min="4115" max="4116" width="9.1640625" style="1552"/>
    <col min="4117" max="4117" width="12.1640625" style="1552" customWidth="1"/>
    <col min="4118" max="4120" width="9.1640625" style="1552"/>
    <col min="4121" max="4121" width="12.5" style="1552" customWidth="1"/>
    <col min="4122" max="4353" width="9.1640625" style="1552"/>
    <col min="4354" max="4354" width="50.5" style="1552" customWidth="1"/>
    <col min="4355" max="4357" width="12.5" style="1552" customWidth="1"/>
    <col min="4358" max="4364" width="10.5" style="1552" customWidth="1"/>
    <col min="4365" max="4365" width="8.5" style="1552" customWidth="1"/>
    <col min="4366" max="4366" width="14.5" style="1552" customWidth="1"/>
    <col min="4367" max="4367" width="6.5" style="1552" customWidth="1"/>
    <col min="4368" max="4368" width="15.5" style="1552" customWidth="1"/>
    <col min="4369" max="4369" width="18.1640625" style="1552" customWidth="1"/>
    <col min="4370" max="4370" width="11.83203125" style="1552" customWidth="1"/>
    <col min="4371" max="4372" width="9.1640625" style="1552"/>
    <col min="4373" max="4373" width="12.1640625" style="1552" customWidth="1"/>
    <col min="4374" max="4376" width="9.1640625" style="1552"/>
    <col min="4377" max="4377" width="12.5" style="1552" customWidth="1"/>
    <col min="4378" max="4609" width="9.1640625" style="1552"/>
    <col min="4610" max="4610" width="50.5" style="1552" customWidth="1"/>
    <col min="4611" max="4613" width="12.5" style="1552" customWidth="1"/>
    <col min="4614" max="4620" width="10.5" style="1552" customWidth="1"/>
    <col min="4621" max="4621" width="8.5" style="1552" customWidth="1"/>
    <col min="4622" max="4622" width="14.5" style="1552" customWidth="1"/>
    <col min="4623" max="4623" width="6.5" style="1552" customWidth="1"/>
    <col min="4624" max="4624" width="15.5" style="1552" customWidth="1"/>
    <col min="4625" max="4625" width="18.1640625" style="1552" customWidth="1"/>
    <col min="4626" max="4626" width="11.83203125" style="1552" customWidth="1"/>
    <col min="4627" max="4628" width="9.1640625" style="1552"/>
    <col min="4629" max="4629" width="12.1640625" style="1552" customWidth="1"/>
    <col min="4630" max="4632" width="9.1640625" style="1552"/>
    <col min="4633" max="4633" width="12.5" style="1552" customWidth="1"/>
    <col min="4634" max="4865" width="9.1640625" style="1552"/>
    <col min="4866" max="4866" width="50.5" style="1552" customWidth="1"/>
    <col min="4867" max="4869" width="12.5" style="1552" customWidth="1"/>
    <col min="4870" max="4876" width="10.5" style="1552" customWidth="1"/>
    <col min="4877" max="4877" width="8.5" style="1552" customWidth="1"/>
    <col min="4878" max="4878" width="14.5" style="1552" customWidth="1"/>
    <col min="4879" max="4879" width="6.5" style="1552" customWidth="1"/>
    <col min="4880" max="4880" width="15.5" style="1552" customWidth="1"/>
    <col min="4881" max="4881" width="18.1640625" style="1552" customWidth="1"/>
    <col min="4882" max="4882" width="11.83203125" style="1552" customWidth="1"/>
    <col min="4883" max="4884" width="9.1640625" style="1552"/>
    <col min="4885" max="4885" width="12.1640625" style="1552" customWidth="1"/>
    <col min="4886" max="4888" width="9.1640625" style="1552"/>
    <col min="4889" max="4889" width="12.5" style="1552" customWidth="1"/>
    <col min="4890" max="5121" width="9.1640625" style="1552"/>
    <col min="5122" max="5122" width="50.5" style="1552" customWidth="1"/>
    <col min="5123" max="5125" width="12.5" style="1552" customWidth="1"/>
    <col min="5126" max="5132" width="10.5" style="1552" customWidth="1"/>
    <col min="5133" max="5133" width="8.5" style="1552" customWidth="1"/>
    <col min="5134" max="5134" width="14.5" style="1552" customWidth="1"/>
    <col min="5135" max="5135" width="6.5" style="1552" customWidth="1"/>
    <col min="5136" max="5136" width="15.5" style="1552" customWidth="1"/>
    <col min="5137" max="5137" width="18.1640625" style="1552" customWidth="1"/>
    <col min="5138" max="5138" width="11.83203125" style="1552" customWidth="1"/>
    <col min="5139" max="5140" width="9.1640625" style="1552"/>
    <col min="5141" max="5141" width="12.1640625" style="1552" customWidth="1"/>
    <col min="5142" max="5144" width="9.1640625" style="1552"/>
    <col min="5145" max="5145" width="12.5" style="1552" customWidth="1"/>
    <col min="5146" max="5377" width="9.1640625" style="1552"/>
    <col min="5378" max="5378" width="50.5" style="1552" customWidth="1"/>
    <col min="5379" max="5381" width="12.5" style="1552" customWidth="1"/>
    <col min="5382" max="5388" width="10.5" style="1552" customWidth="1"/>
    <col min="5389" max="5389" width="8.5" style="1552" customWidth="1"/>
    <col min="5390" max="5390" width="14.5" style="1552" customWidth="1"/>
    <col min="5391" max="5391" width="6.5" style="1552" customWidth="1"/>
    <col min="5392" max="5392" width="15.5" style="1552" customWidth="1"/>
    <col min="5393" max="5393" width="18.1640625" style="1552" customWidth="1"/>
    <col min="5394" max="5394" width="11.83203125" style="1552" customWidth="1"/>
    <col min="5395" max="5396" width="9.1640625" style="1552"/>
    <col min="5397" max="5397" width="12.1640625" style="1552" customWidth="1"/>
    <col min="5398" max="5400" width="9.1640625" style="1552"/>
    <col min="5401" max="5401" width="12.5" style="1552" customWidth="1"/>
    <col min="5402" max="5633" width="9.1640625" style="1552"/>
    <col min="5634" max="5634" width="50.5" style="1552" customWidth="1"/>
    <col min="5635" max="5637" width="12.5" style="1552" customWidth="1"/>
    <col min="5638" max="5644" width="10.5" style="1552" customWidth="1"/>
    <col min="5645" max="5645" width="8.5" style="1552" customWidth="1"/>
    <col min="5646" max="5646" width="14.5" style="1552" customWidth="1"/>
    <col min="5647" max="5647" width="6.5" style="1552" customWidth="1"/>
    <col min="5648" max="5648" width="15.5" style="1552" customWidth="1"/>
    <col min="5649" max="5649" width="18.1640625" style="1552" customWidth="1"/>
    <col min="5650" max="5650" width="11.83203125" style="1552" customWidth="1"/>
    <col min="5651" max="5652" width="9.1640625" style="1552"/>
    <col min="5653" max="5653" width="12.1640625" style="1552" customWidth="1"/>
    <col min="5654" max="5656" width="9.1640625" style="1552"/>
    <col min="5657" max="5657" width="12.5" style="1552" customWidth="1"/>
    <col min="5658" max="5889" width="9.1640625" style="1552"/>
    <col min="5890" max="5890" width="50.5" style="1552" customWidth="1"/>
    <col min="5891" max="5893" width="12.5" style="1552" customWidth="1"/>
    <col min="5894" max="5900" width="10.5" style="1552" customWidth="1"/>
    <col min="5901" max="5901" width="8.5" style="1552" customWidth="1"/>
    <col min="5902" max="5902" width="14.5" style="1552" customWidth="1"/>
    <col min="5903" max="5903" width="6.5" style="1552" customWidth="1"/>
    <col min="5904" max="5904" width="15.5" style="1552" customWidth="1"/>
    <col min="5905" max="5905" width="18.1640625" style="1552" customWidth="1"/>
    <col min="5906" max="5906" width="11.83203125" style="1552" customWidth="1"/>
    <col min="5907" max="5908" width="9.1640625" style="1552"/>
    <col min="5909" max="5909" width="12.1640625" style="1552" customWidth="1"/>
    <col min="5910" max="5912" width="9.1640625" style="1552"/>
    <col min="5913" max="5913" width="12.5" style="1552" customWidth="1"/>
    <col min="5914" max="6145" width="9.1640625" style="1552"/>
    <col min="6146" max="6146" width="50.5" style="1552" customWidth="1"/>
    <col min="6147" max="6149" width="12.5" style="1552" customWidth="1"/>
    <col min="6150" max="6156" width="10.5" style="1552" customWidth="1"/>
    <col min="6157" max="6157" width="8.5" style="1552" customWidth="1"/>
    <col min="6158" max="6158" width="14.5" style="1552" customWidth="1"/>
    <col min="6159" max="6159" width="6.5" style="1552" customWidth="1"/>
    <col min="6160" max="6160" width="15.5" style="1552" customWidth="1"/>
    <col min="6161" max="6161" width="18.1640625" style="1552" customWidth="1"/>
    <col min="6162" max="6162" width="11.83203125" style="1552" customWidth="1"/>
    <col min="6163" max="6164" width="9.1640625" style="1552"/>
    <col min="6165" max="6165" width="12.1640625" style="1552" customWidth="1"/>
    <col min="6166" max="6168" width="9.1640625" style="1552"/>
    <col min="6169" max="6169" width="12.5" style="1552" customWidth="1"/>
    <col min="6170" max="6401" width="9.1640625" style="1552"/>
    <col min="6402" max="6402" width="50.5" style="1552" customWidth="1"/>
    <col min="6403" max="6405" width="12.5" style="1552" customWidth="1"/>
    <col min="6406" max="6412" width="10.5" style="1552" customWidth="1"/>
    <col min="6413" max="6413" width="8.5" style="1552" customWidth="1"/>
    <col min="6414" max="6414" width="14.5" style="1552" customWidth="1"/>
    <col min="6415" max="6415" width="6.5" style="1552" customWidth="1"/>
    <col min="6416" max="6416" width="15.5" style="1552" customWidth="1"/>
    <col min="6417" max="6417" width="18.1640625" style="1552" customWidth="1"/>
    <col min="6418" max="6418" width="11.83203125" style="1552" customWidth="1"/>
    <col min="6419" max="6420" width="9.1640625" style="1552"/>
    <col min="6421" max="6421" width="12.1640625" style="1552" customWidth="1"/>
    <col min="6422" max="6424" width="9.1640625" style="1552"/>
    <col min="6425" max="6425" width="12.5" style="1552" customWidth="1"/>
    <col min="6426" max="6657" width="9.1640625" style="1552"/>
    <col min="6658" max="6658" width="50.5" style="1552" customWidth="1"/>
    <col min="6659" max="6661" width="12.5" style="1552" customWidth="1"/>
    <col min="6662" max="6668" width="10.5" style="1552" customWidth="1"/>
    <col min="6669" max="6669" width="8.5" style="1552" customWidth="1"/>
    <col min="6670" max="6670" width="14.5" style="1552" customWidth="1"/>
    <col min="6671" max="6671" width="6.5" style="1552" customWidth="1"/>
    <col min="6672" max="6672" width="15.5" style="1552" customWidth="1"/>
    <col min="6673" max="6673" width="18.1640625" style="1552" customWidth="1"/>
    <col min="6674" max="6674" width="11.83203125" style="1552" customWidth="1"/>
    <col min="6675" max="6676" width="9.1640625" style="1552"/>
    <col min="6677" max="6677" width="12.1640625" style="1552" customWidth="1"/>
    <col min="6678" max="6680" width="9.1640625" style="1552"/>
    <col min="6681" max="6681" width="12.5" style="1552" customWidth="1"/>
    <col min="6682" max="6913" width="9.1640625" style="1552"/>
    <col min="6914" max="6914" width="50.5" style="1552" customWidth="1"/>
    <col min="6915" max="6917" width="12.5" style="1552" customWidth="1"/>
    <col min="6918" max="6924" width="10.5" style="1552" customWidth="1"/>
    <col min="6925" max="6925" width="8.5" style="1552" customWidth="1"/>
    <col min="6926" max="6926" width="14.5" style="1552" customWidth="1"/>
    <col min="6927" max="6927" width="6.5" style="1552" customWidth="1"/>
    <col min="6928" max="6928" width="15.5" style="1552" customWidth="1"/>
    <col min="6929" max="6929" width="18.1640625" style="1552" customWidth="1"/>
    <col min="6930" max="6930" width="11.83203125" style="1552" customWidth="1"/>
    <col min="6931" max="6932" width="9.1640625" style="1552"/>
    <col min="6933" max="6933" width="12.1640625" style="1552" customWidth="1"/>
    <col min="6934" max="6936" width="9.1640625" style="1552"/>
    <col min="6937" max="6937" width="12.5" style="1552" customWidth="1"/>
    <col min="6938" max="7169" width="9.1640625" style="1552"/>
    <col min="7170" max="7170" width="50.5" style="1552" customWidth="1"/>
    <col min="7171" max="7173" width="12.5" style="1552" customWidth="1"/>
    <col min="7174" max="7180" width="10.5" style="1552" customWidth="1"/>
    <col min="7181" max="7181" width="8.5" style="1552" customWidth="1"/>
    <col min="7182" max="7182" width="14.5" style="1552" customWidth="1"/>
    <col min="7183" max="7183" width="6.5" style="1552" customWidth="1"/>
    <col min="7184" max="7184" width="15.5" style="1552" customWidth="1"/>
    <col min="7185" max="7185" width="18.1640625" style="1552" customWidth="1"/>
    <col min="7186" max="7186" width="11.83203125" style="1552" customWidth="1"/>
    <col min="7187" max="7188" width="9.1640625" style="1552"/>
    <col min="7189" max="7189" width="12.1640625" style="1552" customWidth="1"/>
    <col min="7190" max="7192" width="9.1640625" style="1552"/>
    <col min="7193" max="7193" width="12.5" style="1552" customWidth="1"/>
    <col min="7194" max="7425" width="9.1640625" style="1552"/>
    <col min="7426" max="7426" width="50.5" style="1552" customWidth="1"/>
    <col min="7427" max="7429" width="12.5" style="1552" customWidth="1"/>
    <col min="7430" max="7436" width="10.5" style="1552" customWidth="1"/>
    <col min="7437" max="7437" width="8.5" style="1552" customWidth="1"/>
    <col min="7438" max="7438" width="14.5" style="1552" customWidth="1"/>
    <col min="7439" max="7439" width="6.5" style="1552" customWidth="1"/>
    <col min="7440" max="7440" width="15.5" style="1552" customWidth="1"/>
    <col min="7441" max="7441" width="18.1640625" style="1552" customWidth="1"/>
    <col min="7442" max="7442" width="11.83203125" style="1552" customWidth="1"/>
    <col min="7443" max="7444" width="9.1640625" style="1552"/>
    <col min="7445" max="7445" width="12.1640625" style="1552" customWidth="1"/>
    <col min="7446" max="7448" width="9.1640625" style="1552"/>
    <col min="7449" max="7449" width="12.5" style="1552" customWidth="1"/>
    <col min="7450" max="7681" width="9.1640625" style="1552"/>
    <col min="7682" max="7682" width="50.5" style="1552" customWidth="1"/>
    <col min="7683" max="7685" width="12.5" style="1552" customWidth="1"/>
    <col min="7686" max="7692" width="10.5" style="1552" customWidth="1"/>
    <col min="7693" max="7693" width="8.5" style="1552" customWidth="1"/>
    <col min="7694" max="7694" width="14.5" style="1552" customWidth="1"/>
    <col min="7695" max="7695" width="6.5" style="1552" customWidth="1"/>
    <col min="7696" max="7696" width="15.5" style="1552" customWidth="1"/>
    <col min="7697" max="7697" width="18.1640625" style="1552" customWidth="1"/>
    <col min="7698" max="7698" width="11.83203125" style="1552" customWidth="1"/>
    <col min="7699" max="7700" width="9.1640625" style="1552"/>
    <col min="7701" max="7701" width="12.1640625" style="1552" customWidth="1"/>
    <col min="7702" max="7704" width="9.1640625" style="1552"/>
    <col min="7705" max="7705" width="12.5" style="1552" customWidth="1"/>
    <col min="7706" max="7937" width="9.1640625" style="1552"/>
    <col min="7938" max="7938" width="50.5" style="1552" customWidth="1"/>
    <col min="7939" max="7941" width="12.5" style="1552" customWidth="1"/>
    <col min="7942" max="7948" width="10.5" style="1552" customWidth="1"/>
    <col min="7949" max="7949" width="8.5" style="1552" customWidth="1"/>
    <col min="7950" max="7950" width="14.5" style="1552" customWidth="1"/>
    <col min="7951" max="7951" width="6.5" style="1552" customWidth="1"/>
    <col min="7952" max="7952" width="15.5" style="1552" customWidth="1"/>
    <col min="7953" max="7953" width="18.1640625" style="1552" customWidth="1"/>
    <col min="7954" max="7954" width="11.83203125" style="1552" customWidth="1"/>
    <col min="7955" max="7956" width="9.1640625" style="1552"/>
    <col min="7957" max="7957" width="12.1640625" style="1552" customWidth="1"/>
    <col min="7958" max="7960" width="9.1640625" style="1552"/>
    <col min="7961" max="7961" width="12.5" style="1552" customWidth="1"/>
    <col min="7962" max="8193" width="9.1640625" style="1552"/>
    <col min="8194" max="8194" width="50.5" style="1552" customWidth="1"/>
    <col min="8195" max="8197" width="12.5" style="1552" customWidth="1"/>
    <col min="8198" max="8204" width="10.5" style="1552" customWidth="1"/>
    <col min="8205" max="8205" width="8.5" style="1552" customWidth="1"/>
    <col min="8206" max="8206" width="14.5" style="1552" customWidth="1"/>
    <col min="8207" max="8207" width="6.5" style="1552" customWidth="1"/>
    <col min="8208" max="8208" width="15.5" style="1552" customWidth="1"/>
    <col min="8209" max="8209" width="18.1640625" style="1552" customWidth="1"/>
    <col min="8210" max="8210" width="11.83203125" style="1552" customWidth="1"/>
    <col min="8211" max="8212" width="9.1640625" style="1552"/>
    <col min="8213" max="8213" width="12.1640625" style="1552" customWidth="1"/>
    <col min="8214" max="8216" width="9.1640625" style="1552"/>
    <col min="8217" max="8217" width="12.5" style="1552" customWidth="1"/>
    <col min="8218" max="8449" width="9.1640625" style="1552"/>
    <col min="8450" max="8450" width="50.5" style="1552" customWidth="1"/>
    <col min="8451" max="8453" width="12.5" style="1552" customWidth="1"/>
    <col min="8454" max="8460" width="10.5" style="1552" customWidth="1"/>
    <col min="8461" max="8461" width="8.5" style="1552" customWidth="1"/>
    <col min="8462" max="8462" width="14.5" style="1552" customWidth="1"/>
    <col min="8463" max="8463" width="6.5" style="1552" customWidth="1"/>
    <col min="8464" max="8464" width="15.5" style="1552" customWidth="1"/>
    <col min="8465" max="8465" width="18.1640625" style="1552" customWidth="1"/>
    <col min="8466" max="8466" width="11.83203125" style="1552" customWidth="1"/>
    <col min="8467" max="8468" width="9.1640625" style="1552"/>
    <col min="8469" max="8469" width="12.1640625" style="1552" customWidth="1"/>
    <col min="8470" max="8472" width="9.1640625" style="1552"/>
    <col min="8473" max="8473" width="12.5" style="1552" customWidth="1"/>
    <col min="8474" max="8705" width="9.1640625" style="1552"/>
    <col min="8706" max="8706" width="50.5" style="1552" customWidth="1"/>
    <col min="8707" max="8709" width="12.5" style="1552" customWidth="1"/>
    <col min="8710" max="8716" width="10.5" style="1552" customWidth="1"/>
    <col min="8717" max="8717" width="8.5" style="1552" customWidth="1"/>
    <col min="8718" max="8718" width="14.5" style="1552" customWidth="1"/>
    <col min="8719" max="8719" width="6.5" style="1552" customWidth="1"/>
    <col min="8720" max="8720" width="15.5" style="1552" customWidth="1"/>
    <col min="8721" max="8721" width="18.1640625" style="1552" customWidth="1"/>
    <col min="8722" max="8722" width="11.83203125" style="1552" customWidth="1"/>
    <col min="8723" max="8724" width="9.1640625" style="1552"/>
    <col min="8725" max="8725" width="12.1640625" style="1552" customWidth="1"/>
    <col min="8726" max="8728" width="9.1640625" style="1552"/>
    <col min="8729" max="8729" width="12.5" style="1552" customWidth="1"/>
    <col min="8730" max="8961" width="9.1640625" style="1552"/>
    <col min="8962" max="8962" width="50.5" style="1552" customWidth="1"/>
    <col min="8963" max="8965" width="12.5" style="1552" customWidth="1"/>
    <col min="8966" max="8972" width="10.5" style="1552" customWidth="1"/>
    <col min="8973" max="8973" width="8.5" style="1552" customWidth="1"/>
    <col min="8974" max="8974" width="14.5" style="1552" customWidth="1"/>
    <col min="8975" max="8975" width="6.5" style="1552" customWidth="1"/>
    <col min="8976" max="8976" width="15.5" style="1552" customWidth="1"/>
    <col min="8977" max="8977" width="18.1640625" style="1552" customWidth="1"/>
    <col min="8978" max="8978" width="11.83203125" style="1552" customWidth="1"/>
    <col min="8979" max="8980" width="9.1640625" style="1552"/>
    <col min="8981" max="8981" width="12.1640625" style="1552" customWidth="1"/>
    <col min="8982" max="8984" width="9.1640625" style="1552"/>
    <col min="8985" max="8985" width="12.5" style="1552" customWidth="1"/>
    <col min="8986" max="9217" width="9.1640625" style="1552"/>
    <col min="9218" max="9218" width="50.5" style="1552" customWidth="1"/>
    <col min="9219" max="9221" width="12.5" style="1552" customWidth="1"/>
    <col min="9222" max="9228" width="10.5" style="1552" customWidth="1"/>
    <col min="9229" max="9229" width="8.5" style="1552" customWidth="1"/>
    <col min="9230" max="9230" width="14.5" style="1552" customWidth="1"/>
    <col min="9231" max="9231" width="6.5" style="1552" customWidth="1"/>
    <col min="9232" max="9232" width="15.5" style="1552" customWidth="1"/>
    <col min="9233" max="9233" width="18.1640625" style="1552" customWidth="1"/>
    <col min="9234" max="9234" width="11.83203125" style="1552" customWidth="1"/>
    <col min="9235" max="9236" width="9.1640625" style="1552"/>
    <col min="9237" max="9237" width="12.1640625" style="1552" customWidth="1"/>
    <col min="9238" max="9240" width="9.1640625" style="1552"/>
    <col min="9241" max="9241" width="12.5" style="1552" customWidth="1"/>
    <col min="9242" max="9473" width="9.1640625" style="1552"/>
    <col min="9474" max="9474" width="50.5" style="1552" customWidth="1"/>
    <col min="9475" max="9477" width="12.5" style="1552" customWidth="1"/>
    <col min="9478" max="9484" width="10.5" style="1552" customWidth="1"/>
    <col min="9485" max="9485" width="8.5" style="1552" customWidth="1"/>
    <col min="9486" max="9486" width="14.5" style="1552" customWidth="1"/>
    <col min="9487" max="9487" width="6.5" style="1552" customWidth="1"/>
    <col min="9488" max="9488" width="15.5" style="1552" customWidth="1"/>
    <col min="9489" max="9489" width="18.1640625" style="1552" customWidth="1"/>
    <col min="9490" max="9490" width="11.83203125" style="1552" customWidth="1"/>
    <col min="9491" max="9492" width="9.1640625" style="1552"/>
    <col min="9493" max="9493" width="12.1640625" style="1552" customWidth="1"/>
    <col min="9494" max="9496" width="9.1640625" style="1552"/>
    <col min="9497" max="9497" width="12.5" style="1552" customWidth="1"/>
    <col min="9498" max="9729" width="9.1640625" style="1552"/>
    <col min="9730" max="9730" width="50.5" style="1552" customWidth="1"/>
    <col min="9731" max="9733" width="12.5" style="1552" customWidth="1"/>
    <col min="9734" max="9740" width="10.5" style="1552" customWidth="1"/>
    <col min="9741" max="9741" width="8.5" style="1552" customWidth="1"/>
    <col min="9742" max="9742" width="14.5" style="1552" customWidth="1"/>
    <col min="9743" max="9743" width="6.5" style="1552" customWidth="1"/>
    <col min="9744" max="9744" width="15.5" style="1552" customWidth="1"/>
    <col min="9745" max="9745" width="18.1640625" style="1552" customWidth="1"/>
    <col min="9746" max="9746" width="11.83203125" style="1552" customWidth="1"/>
    <col min="9747" max="9748" width="9.1640625" style="1552"/>
    <col min="9749" max="9749" width="12.1640625" style="1552" customWidth="1"/>
    <col min="9750" max="9752" width="9.1640625" style="1552"/>
    <col min="9753" max="9753" width="12.5" style="1552" customWidth="1"/>
    <col min="9754" max="9985" width="9.1640625" style="1552"/>
    <col min="9986" max="9986" width="50.5" style="1552" customWidth="1"/>
    <col min="9987" max="9989" width="12.5" style="1552" customWidth="1"/>
    <col min="9990" max="9996" width="10.5" style="1552" customWidth="1"/>
    <col min="9997" max="9997" width="8.5" style="1552" customWidth="1"/>
    <col min="9998" max="9998" width="14.5" style="1552" customWidth="1"/>
    <col min="9999" max="9999" width="6.5" style="1552" customWidth="1"/>
    <col min="10000" max="10000" width="15.5" style="1552" customWidth="1"/>
    <col min="10001" max="10001" width="18.1640625" style="1552" customWidth="1"/>
    <col min="10002" max="10002" width="11.83203125" style="1552" customWidth="1"/>
    <col min="10003" max="10004" width="9.1640625" style="1552"/>
    <col min="10005" max="10005" width="12.1640625" style="1552" customWidth="1"/>
    <col min="10006" max="10008" width="9.1640625" style="1552"/>
    <col min="10009" max="10009" width="12.5" style="1552" customWidth="1"/>
    <col min="10010" max="10241" width="9.1640625" style="1552"/>
    <col min="10242" max="10242" width="50.5" style="1552" customWidth="1"/>
    <col min="10243" max="10245" width="12.5" style="1552" customWidth="1"/>
    <col min="10246" max="10252" width="10.5" style="1552" customWidth="1"/>
    <col min="10253" max="10253" width="8.5" style="1552" customWidth="1"/>
    <col min="10254" max="10254" width="14.5" style="1552" customWidth="1"/>
    <col min="10255" max="10255" width="6.5" style="1552" customWidth="1"/>
    <col min="10256" max="10256" width="15.5" style="1552" customWidth="1"/>
    <col min="10257" max="10257" width="18.1640625" style="1552" customWidth="1"/>
    <col min="10258" max="10258" width="11.83203125" style="1552" customWidth="1"/>
    <col min="10259" max="10260" width="9.1640625" style="1552"/>
    <col min="10261" max="10261" width="12.1640625" style="1552" customWidth="1"/>
    <col min="10262" max="10264" width="9.1640625" style="1552"/>
    <col min="10265" max="10265" width="12.5" style="1552" customWidth="1"/>
    <col min="10266" max="10497" width="9.1640625" style="1552"/>
    <col min="10498" max="10498" width="50.5" style="1552" customWidth="1"/>
    <col min="10499" max="10501" width="12.5" style="1552" customWidth="1"/>
    <col min="10502" max="10508" width="10.5" style="1552" customWidth="1"/>
    <col min="10509" max="10509" width="8.5" style="1552" customWidth="1"/>
    <col min="10510" max="10510" width="14.5" style="1552" customWidth="1"/>
    <col min="10511" max="10511" width="6.5" style="1552" customWidth="1"/>
    <col min="10512" max="10512" width="15.5" style="1552" customWidth="1"/>
    <col min="10513" max="10513" width="18.1640625" style="1552" customWidth="1"/>
    <col min="10514" max="10514" width="11.83203125" style="1552" customWidth="1"/>
    <col min="10515" max="10516" width="9.1640625" style="1552"/>
    <col min="10517" max="10517" width="12.1640625" style="1552" customWidth="1"/>
    <col min="10518" max="10520" width="9.1640625" style="1552"/>
    <col min="10521" max="10521" width="12.5" style="1552" customWidth="1"/>
    <col min="10522" max="10753" width="9.1640625" style="1552"/>
    <col min="10754" max="10754" width="50.5" style="1552" customWidth="1"/>
    <col min="10755" max="10757" width="12.5" style="1552" customWidth="1"/>
    <col min="10758" max="10764" width="10.5" style="1552" customWidth="1"/>
    <col min="10765" max="10765" width="8.5" style="1552" customWidth="1"/>
    <col min="10766" max="10766" width="14.5" style="1552" customWidth="1"/>
    <col min="10767" max="10767" width="6.5" style="1552" customWidth="1"/>
    <col min="10768" max="10768" width="15.5" style="1552" customWidth="1"/>
    <col min="10769" max="10769" width="18.1640625" style="1552" customWidth="1"/>
    <col min="10770" max="10770" width="11.83203125" style="1552" customWidth="1"/>
    <col min="10771" max="10772" width="9.1640625" style="1552"/>
    <col min="10773" max="10773" width="12.1640625" style="1552" customWidth="1"/>
    <col min="10774" max="10776" width="9.1640625" style="1552"/>
    <col min="10777" max="10777" width="12.5" style="1552" customWidth="1"/>
    <col min="10778" max="11009" width="9.1640625" style="1552"/>
    <col min="11010" max="11010" width="50.5" style="1552" customWidth="1"/>
    <col min="11011" max="11013" width="12.5" style="1552" customWidth="1"/>
    <col min="11014" max="11020" width="10.5" style="1552" customWidth="1"/>
    <col min="11021" max="11021" width="8.5" style="1552" customWidth="1"/>
    <col min="11022" max="11022" width="14.5" style="1552" customWidth="1"/>
    <col min="11023" max="11023" width="6.5" style="1552" customWidth="1"/>
    <col min="11024" max="11024" width="15.5" style="1552" customWidth="1"/>
    <col min="11025" max="11025" width="18.1640625" style="1552" customWidth="1"/>
    <col min="11026" max="11026" width="11.83203125" style="1552" customWidth="1"/>
    <col min="11027" max="11028" width="9.1640625" style="1552"/>
    <col min="11029" max="11029" width="12.1640625" style="1552" customWidth="1"/>
    <col min="11030" max="11032" width="9.1640625" style="1552"/>
    <col min="11033" max="11033" width="12.5" style="1552" customWidth="1"/>
    <col min="11034" max="11265" width="9.1640625" style="1552"/>
    <col min="11266" max="11266" width="50.5" style="1552" customWidth="1"/>
    <col min="11267" max="11269" width="12.5" style="1552" customWidth="1"/>
    <col min="11270" max="11276" width="10.5" style="1552" customWidth="1"/>
    <col min="11277" max="11277" width="8.5" style="1552" customWidth="1"/>
    <col min="11278" max="11278" width="14.5" style="1552" customWidth="1"/>
    <col min="11279" max="11279" width="6.5" style="1552" customWidth="1"/>
    <col min="11280" max="11280" width="15.5" style="1552" customWidth="1"/>
    <col min="11281" max="11281" width="18.1640625" style="1552" customWidth="1"/>
    <col min="11282" max="11282" width="11.83203125" style="1552" customWidth="1"/>
    <col min="11283" max="11284" width="9.1640625" style="1552"/>
    <col min="11285" max="11285" width="12.1640625" style="1552" customWidth="1"/>
    <col min="11286" max="11288" width="9.1640625" style="1552"/>
    <col min="11289" max="11289" width="12.5" style="1552" customWidth="1"/>
    <col min="11290" max="11521" width="9.1640625" style="1552"/>
    <col min="11522" max="11522" width="50.5" style="1552" customWidth="1"/>
    <col min="11523" max="11525" width="12.5" style="1552" customWidth="1"/>
    <col min="11526" max="11532" width="10.5" style="1552" customWidth="1"/>
    <col min="11533" max="11533" width="8.5" style="1552" customWidth="1"/>
    <col min="11534" max="11534" width="14.5" style="1552" customWidth="1"/>
    <col min="11535" max="11535" width="6.5" style="1552" customWidth="1"/>
    <col min="11536" max="11536" width="15.5" style="1552" customWidth="1"/>
    <col min="11537" max="11537" width="18.1640625" style="1552" customWidth="1"/>
    <col min="11538" max="11538" width="11.83203125" style="1552" customWidth="1"/>
    <col min="11539" max="11540" width="9.1640625" style="1552"/>
    <col min="11541" max="11541" width="12.1640625" style="1552" customWidth="1"/>
    <col min="11542" max="11544" width="9.1640625" style="1552"/>
    <col min="11545" max="11545" width="12.5" style="1552" customWidth="1"/>
    <col min="11546" max="11777" width="9.1640625" style="1552"/>
    <col min="11778" max="11778" width="50.5" style="1552" customWidth="1"/>
    <col min="11779" max="11781" width="12.5" style="1552" customWidth="1"/>
    <col min="11782" max="11788" width="10.5" style="1552" customWidth="1"/>
    <col min="11789" max="11789" width="8.5" style="1552" customWidth="1"/>
    <col min="11790" max="11790" width="14.5" style="1552" customWidth="1"/>
    <col min="11791" max="11791" width="6.5" style="1552" customWidth="1"/>
    <col min="11792" max="11792" width="15.5" style="1552" customWidth="1"/>
    <col min="11793" max="11793" width="18.1640625" style="1552" customWidth="1"/>
    <col min="11794" max="11794" width="11.83203125" style="1552" customWidth="1"/>
    <col min="11795" max="11796" width="9.1640625" style="1552"/>
    <col min="11797" max="11797" width="12.1640625" style="1552" customWidth="1"/>
    <col min="11798" max="11800" width="9.1640625" style="1552"/>
    <col min="11801" max="11801" width="12.5" style="1552" customWidth="1"/>
    <col min="11802" max="12033" width="9.1640625" style="1552"/>
    <col min="12034" max="12034" width="50.5" style="1552" customWidth="1"/>
    <col min="12035" max="12037" width="12.5" style="1552" customWidth="1"/>
    <col min="12038" max="12044" width="10.5" style="1552" customWidth="1"/>
    <col min="12045" max="12045" width="8.5" style="1552" customWidth="1"/>
    <col min="12046" max="12046" width="14.5" style="1552" customWidth="1"/>
    <col min="12047" max="12047" width="6.5" style="1552" customWidth="1"/>
    <col min="12048" max="12048" width="15.5" style="1552" customWidth="1"/>
    <col min="12049" max="12049" width="18.1640625" style="1552" customWidth="1"/>
    <col min="12050" max="12050" width="11.83203125" style="1552" customWidth="1"/>
    <col min="12051" max="12052" width="9.1640625" style="1552"/>
    <col min="12053" max="12053" width="12.1640625" style="1552" customWidth="1"/>
    <col min="12054" max="12056" width="9.1640625" style="1552"/>
    <col min="12057" max="12057" width="12.5" style="1552" customWidth="1"/>
    <col min="12058" max="12289" width="9.1640625" style="1552"/>
    <col min="12290" max="12290" width="50.5" style="1552" customWidth="1"/>
    <col min="12291" max="12293" width="12.5" style="1552" customWidth="1"/>
    <col min="12294" max="12300" width="10.5" style="1552" customWidth="1"/>
    <col min="12301" max="12301" width="8.5" style="1552" customWidth="1"/>
    <col min="12302" max="12302" width="14.5" style="1552" customWidth="1"/>
    <col min="12303" max="12303" width="6.5" style="1552" customWidth="1"/>
    <col min="12304" max="12304" width="15.5" style="1552" customWidth="1"/>
    <col min="12305" max="12305" width="18.1640625" style="1552" customWidth="1"/>
    <col min="12306" max="12306" width="11.83203125" style="1552" customWidth="1"/>
    <col min="12307" max="12308" width="9.1640625" style="1552"/>
    <col min="12309" max="12309" width="12.1640625" style="1552" customWidth="1"/>
    <col min="12310" max="12312" width="9.1640625" style="1552"/>
    <col min="12313" max="12313" width="12.5" style="1552" customWidth="1"/>
    <col min="12314" max="12545" width="9.1640625" style="1552"/>
    <col min="12546" max="12546" width="50.5" style="1552" customWidth="1"/>
    <col min="12547" max="12549" width="12.5" style="1552" customWidth="1"/>
    <col min="12550" max="12556" width="10.5" style="1552" customWidth="1"/>
    <col min="12557" max="12557" width="8.5" style="1552" customWidth="1"/>
    <col min="12558" max="12558" width="14.5" style="1552" customWidth="1"/>
    <col min="12559" max="12559" width="6.5" style="1552" customWidth="1"/>
    <col min="12560" max="12560" width="15.5" style="1552" customWidth="1"/>
    <col min="12561" max="12561" width="18.1640625" style="1552" customWidth="1"/>
    <col min="12562" max="12562" width="11.83203125" style="1552" customWidth="1"/>
    <col min="12563" max="12564" width="9.1640625" style="1552"/>
    <col min="12565" max="12565" width="12.1640625" style="1552" customWidth="1"/>
    <col min="12566" max="12568" width="9.1640625" style="1552"/>
    <col min="12569" max="12569" width="12.5" style="1552" customWidth="1"/>
    <col min="12570" max="12801" width="9.1640625" style="1552"/>
    <col min="12802" max="12802" width="50.5" style="1552" customWidth="1"/>
    <col min="12803" max="12805" width="12.5" style="1552" customWidth="1"/>
    <col min="12806" max="12812" width="10.5" style="1552" customWidth="1"/>
    <col min="12813" max="12813" width="8.5" style="1552" customWidth="1"/>
    <col min="12814" max="12814" width="14.5" style="1552" customWidth="1"/>
    <col min="12815" max="12815" width="6.5" style="1552" customWidth="1"/>
    <col min="12816" max="12816" width="15.5" style="1552" customWidth="1"/>
    <col min="12817" max="12817" width="18.1640625" style="1552" customWidth="1"/>
    <col min="12818" max="12818" width="11.83203125" style="1552" customWidth="1"/>
    <col min="12819" max="12820" width="9.1640625" style="1552"/>
    <col min="12821" max="12821" width="12.1640625" style="1552" customWidth="1"/>
    <col min="12822" max="12824" width="9.1640625" style="1552"/>
    <col min="12825" max="12825" width="12.5" style="1552" customWidth="1"/>
    <col min="12826" max="13057" width="9.1640625" style="1552"/>
    <col min="13058" max="13058" width="50.5" style="1552" customWidth="1"/>
    <col min="13059" max="13061" width="12.5" style="1552" customWidth="1"/>
    <col min="13062" max="13068" width="10.5" style="1552" customWidth="1"/>
    <col min="13069" max="13069" width="8.5" style="1552" customWidth="1"/>
    <col min="13070" max="13070" width="14.5" style="1552" customWidth="1"/>
    <col min="13071" max="13071" width="6.5" style="1552" customWidth="1"/>
    <col min="13072" max="13072" width="15.5" style="1552" customWidth="1"/>
    <col min="13073" max="13073" width="18.1640625" style="1552" customWidth="1"/>
    <col min="13074" max="13074" width="11.83203125" style="1552" customWidth="1"/>
    <col min="13075" max="13076" width="9.1640625" style="1552"/>
    <col min="13077" max="13077" width="12.1640625" style="1552" customWidth="1"/>
    <col min="13078" max="13080" width="9.1640625" style="1552"/>
    <col min="13081" max="13081" width="12.5" style="1552" customWidth="1"/>
    <col min="13082" max="13313" width="9.1640625" style="1552"/>
    <col min="13314" max="13314" width="50.5" style="1552" customWidth="1"/>
    <col min="13315" max="13317" width="12.5" style="1552" customWidth="1"/>
    <col min="13318" max="13324" width="10.5" style="1552" customWidth="1"/>
    <col min="13325" max="13325" width="8.5" style="1552" customWidth="1"/>
    <col min="13326" max="13326" width="14.5" style="1552" customWidth="1"/>
    <col min="13327" max="13327" width="6.5" style="1552" customWidth="1"/>
    <col min="13328" max="13328" width="15.5" style="1552" customWidth="1"/>
    <col min="13329" max="13329" width="18.1640625" style="1552" customWidth="1"/>
    <col min="13330" max="13330" width="11.83203125" style="1552" customWidth="1"/>
    <col min="13331" max="13332" width="9.1640625" style="1552"/>
    <col min="13333" max="13333" width="12.1640625" style="1552" customWidth="1"/>
    <col min="13334" max="13336" width="9.1640625" style="1552"/>
    <col min="13337" max="13337" width="12.5" style="1552" customWidth="1"/>
    <col min="13338" max="13569" width="9.1640625" style="1552"/>
    <col min="13570" max="13570" width="50.5" style="1552" customWidth="1"/>
    <col min="13571" max="13573" width="12.5" style="1552" customWidth="1"/>
    <col min="13574" max="13580" width="10.5" style="1552" customWidth="1"/>
    <col min="13581" max="13581" width="8.5" style="1552" customWidth="1"/>
    <col min="13582" max="13582" width="14.5" style="1552" customWidth="1"/>
    <col min="13583" max="13583" width="6.5" style="1552" customWidth="1"/>
    <col min="13584" max="13584" width="15.5" style="1552" customWidth="1"/>
    <col min="13585" max="13585" width="18.1640625" style="1552" customWidth="1"/>
    <col min="13586" max="13586" width="11.83203125" style="1552" customWidth="1"/>
    <col min="13587" max="13588" width="9.1640625" style="1552"/>
    <col min="13589" max="13589" width="12.1640625" style="1552" customWidth="1"/>
    <col min="13590" max="13592" width="9.1640625" style="1552"/>
    <col min="13593" max="13593" width="12.5" style="1552" customWidth="1"/>
    <col min="13594" max="13825" width="9.1640625" style="1552"/>
    <col min="13826" max="13826" width="50.5" style="1552" customWidth="1"/>
    <col min="13827" max="13829" width="12.5" style="1552" customWidth="1"/>
    <col min="13830" max="13836" width="10.5" style="1552" customWidth="1"/>
    <col min="13837" max="13837" width="8.5" style="1552" customWidth="1"/>
    <col min="13838" max="13838" width="14.5" style="1552" customWidth="1"/>
    <col min="13839" max="13839" width="6.5" style="1552" customWidth="1"/>
    <col min="13840" max="13840" width="15.5" style="1552" customWidth="1"/>
    <col min="13841" max="13841" width="18.1640625" style="1552" customWidth="1"/>
    <col min="13842" max="13842" width="11.83203125" style="1552" customWidth="1"/>
    <col min="13843" max="13844" width="9.1640625" style="1552"/>
    <col min="13845" max="13845" width="12.1640625" style="1552" customWidth="1"/>
    <col min="13846" max="13848" width="9.1640625" style="1552"/>
    <col min="13849" max="13849" width="12.5" style="1552" customWidth="1"/>
    <col min="13850" max="14081" width="9.1640625" style="1552"/>
    <col min="14082" max="14082" width="50.5" style="1552" customWidth="1"/>
    <col min="14083" max="14085" width="12.5" style="1552" customWidth="1"/>
    <col min="14086" max="14092" width="10.5" style="1552" customWidth="1"/>
    <col min="14093" max="14093" width="8.5" style="1552" customWidth="1"/>
    <col min="14094" max="14094" width="14.5" style="1552" customWidth="1"/>
    <col min="14095" max="14095" width="6.5" style="1552" customWidth="1"/>
    <col min="14096" max="14096" width="15.5" style="1552" customWidth="1"/>
    <col min="14097" max="14097" width="18.1640625" style="1552" customWidth="1"/>
    <col min="14098" max="14098" width="11.83203125" style="1552" customWidth="1"/>
    <col min="14099" max="14100" width="9.1640625" style="1552"/>
    <col min="14101" max="14101" width="12.1640625" style="1552" customWidth="1"/>
    <col min="14102" max="14104" width="9.1640625" style="1552"/>
    <col min="14105" max="14105" width="12.5" style="1552" customWidth="1"/>
    <col min="14106" max="14337" width="9.1640625" style="1552"/>
    <col min="14338" max="14338" width="50.5" style="1552" customWidth="1"/>
    <col min="14339" max="14341" width="12.5" style="1552" customWidth="1"/>
    <col min="14342" max="14348" width="10.5" style="1552" customWidth="1"/>
    <col min="14349" max="14349" width="8.5" style="1552" customWidth="1"/>
    <col min="14350" max="14350" width="14.5" style="1552" customWidth="1"/>
    <col min="14351" max="14351" width="6.5" style="1552" customWidth="1"/>
    <col min="14352" max="14352" width="15.5" style="1552" customWidth="1"/>
    <col min="14353" max="14353" width="18.1640625" style="1552" customWidth="1"/>
    <col min="14354" max="14354" width="11.83203125" style="1552" customWidth="1"/>
    <col min="14355" max="14356" width="9.1640625" style="1552"/>
    <col min="14357" max="14357" width="12.1640625" style="1552" customWidth="1"/>
    <col min="14358" max="14360" width="9.1640625" style="1552"/>
    <col min="14361" max="14361" width="12.5" style="1552" customWidth="1"/>
    <col min="14362" max="14593" width="9.1640625" style="1552"/>
    <col min="14594" max="14594" width="50.5" style="1552" customWidth="1"/>
    <col min="14595" max="14597" width="12.5" style="1552" customWidth="1"/>
    <col min="14598" max="14604" width="10.5" style="1552" customWidth="1"/>
    <col min="14605" max="14605" width="8.5" style="1552" customWidth="1"/>
    <col min="14606" max="14606" width="14.5" style="1552" customWidth="1"/>
    <col min="14607" max="14607" width="6.5" style="1552" customWidth="1"/>
    <col min="14608" max="14608" width="15.5" style="1552" customWidth="1"/>
    <col min="14609" max="14609" width="18.1640625" style="1552" customWidth="1"/>
    <col min="14610" max="14610" width="11.83203125" style="1552" customWidth="1"/>
    <col min="14611" max="14612" width="9.1640625" style="1552"/>
    <col min="14613" max="14613" width="12.1640625" style="1552" customWidth="1"/>
    <col min="14614" max="14616" width="9.1640625" style="1552"/>
    <col min="14617" max="14617" width="12.5" style="1552" customWidth="1"/>
    <col min="14618" max="14849" width="9.1640625" style="1552"/>
    <col min="14850" max="14850" width="50.5" style="1552" customWidth="1"/>
    <col min="14851" max="14853" width="12.5" style="1552" customWidth="1"/>
    <col min="14854" max="14860" width="10.5" style="1552" customWidth="1"/>
    <col min="14861" max="14861" width="8.5" style="1552" customWidth="1"/>
    <col min="14862" max="14862" width="14.5" style="1552" customWidth="1"/>
    <col min="14863" max="14863" width="6.5" style="1552" customWidth="1"/>
    <col min="14864" max="14864" width="15.5" style="1552" customWidth="1"/>
    <col min="14865" max="14865" width="18.1640625" style="1552" customWidth="1"/>
    <col min="14866" max="14866" width="11.83203125" style="1552" customWidth="1"/>
    <col min="14867" max="14868" width="9.1640625" style="1552"/>
    <col min="14869" max="14869" width="12.1640625" style="1552" customWidth="1"/>
    <col min="14870" max="14872" width="9.1640625" style="1552"/>
    <col min="14873" max="14873" width="12.5" style="1552" customWidth="1"/>
    <col min="14874" max="15105" width="9.1640625" style="1552"/>
    <col min="15106" max="15106" width="50.5" style="1552" customWidth="1"/>
    <col min="15107" max="15109" width="12.5" style="1552" customWidth="1"/>
    <col min="15110" max="15116" width="10.5" style="1552" customWidth="1"/>
    <col min="15117" max="15117" width="8.5" style="1552" customWidth="1"/>
    <col min="15118" max="15118" width="14.5" style="1552" customWidth="1"/>
    <col min="15119" max="15119" width="6.5" style="1552" customWidth="1"/>
    <col min="15120" max="15120" width="15.5" style="1552" customWidth="1"/>
    <col min="15121" max="15121" width="18.1640625" style="1552" customWidth="1"/>
    <col min="15122" max="15122" width="11.83203125" style="1552" customWidth="1"/>
    <col min="15123" max="15124" width="9.1640625" style="1552"/>
    <col min="15125" max="15125" width="12.1640625" style="1552" customWidth="1"/>
    <col min="15126" max="15128" width="9.1640625" style="1552"/>
    <col min="15129" max="15129" width="12.5" style="1552" customWidth="1"/>
    <col min="15130" max="15361" width="9.1640625" style="1552"/>
    <col min="15362" max="15362" width="50.5" style="1552" customWidth="1"/>
    <col min="15363" max="15365" width="12.5" style="1552" customWidth="1"/>
    <col min="15366" max="15372" width="10.5" style="1552" customWidth="1"/>
    <col min="15373" max="15373" width="8.5" style="1552" customWidth="1"/>
    <col min="15374" max="15374" width="14.5" style="1552" customWidth="1"/>
    <col min="15375" max="15375" width="6.5" style="1552" customWidth="1"/>
    <col min="15376" max="15376" width="15.5" style="1552" customWidth="1"/>
    <col min="15377" max="15377" width="18.1640625" style="1552" customWidth="1"/>
    <col min="15378" max="15378" width="11.83203125" style="1552" customWidth="1"/>
    <col min="15379" max="15380" width="9.1640625" style="1552"/>
    <col min="15381" max="15381" width="12.1640625" style="1552" customWidth="1"/>
    <col min="15382" max="15384" width="9.1640625" style="1552"/>
    <col min="15385" max="15385" width="12.5" style="1552" customWidth="1"/>
    <col min="15386" max="15617" width="9.1640625" style="1552"/>
    <col min="15618" max="15618" width="50.5" style="1552" customWidth="1"/>
    <col min="15619" max="15621" width="12.5" style="1552" customWidth="1"/>
    <col min="15622" max="15628" width="10.5" style="1552" customWidth="1"/>
    <col min="15629" max="15629" width="8.5" style="1552" customWidth="1"/>
    <col min="15630" max="15630" width="14.5" style="1552" customWidth="1"/>
    <col min="15631" max="15631" width="6.5" style="1552" customWidth="1"/>
    <col min="15632" max="15632" width="15.5" style="1552" customWidth="1"/>
    <col min="15633" max="15633" width="18.1640625" style="1552" customWidth="1"/>
    <col min="15634" max="15634" width="11.83203125" style="1552" customWidth="1"/>
    <col min="15635" max="15636" width="9.1640625" style="1552"/>
    <col min="15637" max="15637" width="12.1640625" style="1552" customWidth="1"/>
    <col min="15638" max="15640" width="9.1640625" style="1552"/>
    <col min="15641" max="15641" width="12.5" style="1552" customWidth="1"/>
    <col min="15642" max="15873" width="9.1640625" style="1552"/>
    <col min="15874" max="15874" width="50.5" style="1552" customWidth="1"/>
    <col min="15875" max="15877" width="12.5" style="1552" customWidth="1"/>
    <col min="15878" max="15884" width="10.5" style="1552" customWidth="1"/>
    <col min="15885" max="15885" width="8.5" style="1552" customWidth="1"/>
    <col min="15886" max="15886" width="14.5" style="1552" customWidth="1"/>
    <col min="15887" max="15887" width="6.5" style="1552" customWidth="1"/>
    <col min="15888" max="15888" width="15.5" style="1552" customWidth="1"/>
    <col min="15889" max="15889" width="18.1640625" style="1552" customWidth="1"/>
    <col min="15890" max="15890" width="11.83203125" style="1552" customWidth="1"/>
    <col min="15891" max="15892" width="9.1640625" style="1552"/>
    <col min="15893" max="15893" width="12.1640625" style="1552" customWidth="1"/>
    <col min="15894" max="15896" width="9.1640625" style="1552"/>
    <col min="15897" max="15897" width="12.5" style="1552" customWidth="1"/>
    <col min="15898" max="16129" width="9.1640625" style="1552"/>
    <col min="16130" max="16130" width="50.5" style="1552" customWidth="1"/>
    <col min="16131" max="16133" width="12.5" style="1552" customWidth="1"/>
    <col min="16134" max="16140" width="10.5" style="1552" customWidth="1"/>
    <col min="16141" max="16141" width="8.5" style="1552" customWidth="1"/>
    <col min="16142" max="16142" width="14.5" style="1552" customWidth="1"/>
    <col min="16143" max="16143" width="6.5" style="1552" customWidth="1"/>
    <col min="16144" max="16144" width="15.5" style="1552" customWidth="1"/>
    <col min="16145" max="16145" width="18.1640625" style="1552" customWidth="1"/>
    <col min="16146" max="16146" width="11.83203125" style="1552" customWidth="1"/>
    <col min="16147" max="16148" width="9.1640625" style="1552"/>
    <col min="16149" max="16149" width="12.1640625" style="1552" customWidth="1"/>
    <col min="16150" max="16152" width="9.1640625" style="1552"/>
    <col min="16153" max="16153" width="12.5" style="1552" customWidth="1"/>
    <col min="16154" max="16384" width="9.1640625" style="1552"/>
  </cols>
  <sheetData>
    <row r="1" spans="1:24" ht="24" customHeight="1">
      <c r="A1" s="1553" t="s">
        <v>998</v>
      </c>
      <c r="B1" s="1554"/>
      <c r="C1" s="1554"/>
      <c r="D1" s="1554"/>
      <c r="E1" s="1554"/>
      <c r="F1" s="1554"/>
      <c r="G1" s="1554"/>
      <c r="H1" s="1554"/>
      <c r="I1" s="1554"/>
      <c r="J1" s="1554"/>
      <c r="K1" s="1554"/>
      <c r="L1" s="1554"/>
      <c r="M1" s="1554"/>
      <c r="N1" s="1554"/>
      <c r="O1" s="1554"/>
      <c r="P1" s="1554"/>
      <c r="Q1" s="1554"/>
      <c r="R1" s="1554"/>
      <c r="S1" s="1554"/>
      <c r="T1" s="1554"/>
      <c r="U1" s="1554"/>
      <c r="V1" s="1555"/>
      <c r="W1" s="1555"/>
      <c r="X1" s="1555"/>
    </row>
    <row r="2" spans="1:24" ht="15.75" customHeight="1">
      <c r="A2" s="1554"/>
      <c r="B2" s="1554"/>
      <c r="C2" s="1554"/>
      <c r="D2" s="1554"/>
      <c r="E2" s="1554"/>
      <c r="F2" s="1554"/>
      <c r="G2" s="1554"/>
      <c r="H2" s="1554"/>
      <c r="I2" s="1554"/>
      <c r="J2" s="1554"/>
      <c r="K2" s="1554"/>
      <c r="L2" s="1554"/>
      <c r="M2" s="1554"/>
      <c r="N2" s="1554"/>
      <c r="O2" s="1554"/>
      <c r="P2" s="1554"/>
      <c r="Q2" s="1554"/>
      <c r="R2" s="1554"/>
      <c r="S2" s="1554"/>
      <c r="T2" s="1554"/>
      <c r="U2" s="1554"/>
      <c r="V2" s="1555"/>
      <c r="W2" s="1555"/>
      <c r="X2" s="1555"/>
    </row>
    <row r="3" spans="1:24" ht="21.75" customHeight="1">
      <c r="A3" s="3270" t="s">
        <v>1</v>
      </c>
      <c r="B3" s="3271" t="s">
        <v>68</v>
      </c>
      <c r="C3" s="3271" t="s">
        <v>77</v>
      </c>
      <c r="D3" s="3271" t="s">
        <v>78</v>
      </c>
      <c r="E3" s="3271" t="s">
        <v>79</v>
      </c>
      <c r="F3" s="3271" t="s">
        <v>6</v>
      </c>
      <c r="G3" s="3271" t="s">
        <v>999</v>
      </c>
      <c r="H3" s="3271" t="s">
        <v>977</v>
      </c>
      <c r="I3" s="3271" t="s">
        <v>978</v>
      </c>
      <c r="J3" s="3271" t="s">
        <v>1000</v>
      </c>
      <c r="K3" s="3271"/>
      <c r="L3" s="3271" t="s">
        <v>213</v>
      </c>
      <c r="M3" s="3271" t="s">
        <v>80</v>
      </c>
      <c r="N3" s="3271" t="s">
        <v>81</v>
      </c>
      <c r="O3" s="3271" t="s">
        <v>82</v>
      </c>
      <c r="P3" s="3272" t="s">
        <v>83</v>
      </c>
      <c r="Q3" s="1554"/>
      <c r="R3" s="1554"/>
      <c r="S3" s="1554"/>
      <c r="T3" s="1554"/>
      <c r="U3" s="1554"/>
      <c r="V3" s="1555"/>
      <c r="W3" s="1555"/>
      <c r="X3" s="1555"/>
    </row>
    <row r="4" spans="1:24" ht="21.75" customHeight="1">
      <c r="A4" s="3270"/>
      <c r="B4" s="3271"/>
      <c r="C4" s="3271"/>
      <c r="D4" s="3271"/>
      <c r="E4" s="3271"/>
      <c r="F4" s="3271"/>
      <c r="G4" s="3271"/>
      <c r="H4" s="3271"/>
      <c r="I4" s="3271"/>
      <c r="J4" s="1556" t="s">
        <v>1001</v>
      </c>
      <c r="K4" s="1556" t="s">
        <v>1002</v>
      </c>
      <c r="L4" s="3271"/>
      <c r="M4" s="3271"/>
      <c r="N4" s="3271"/>
      <c r="O4" s="3271"/>
      <c r="P4" s="3272"/>
      <c r="Q4" s="1554"/>
      <c r="R4" s="1554"/>
      <c r="S4" s="1554"/>
      <c r="T4" s="1554"/>
      <c r="U4" s="1554"/>
      <c r="V4" s="1555"/>
      <c r="W4" s="1555"/>
      <c r="X4" s="1555"/>
    </row>
    <row r="5" spans="1:24" ht="7.5" customHeight="1">
      <c r="A5" s="1554"/>
      <c r="B5" s="1554"/>
      <c r="C5" s="1554"/>
      <c r="D5" s="1554"/>
      <c r="E5" s="1554"/>
      <c r="F5" s="1554"/>
      <c r="G5" s="1554"/>
      <c r="H5" s="1554"/>
      <c r="I5" s="1554"/>
      <c r="J5" s="1554"/>
      <c r="K5" s="1554"/>
      <c r="L5" s="1554"/>
      <c r="M5" s="1554"/>
      <c r="N5" s="1554"/>
      <c r="O5" s="1554"/>
      <c r="P5" s="1557"/>
      <c r="Q5" s="1554"/>
      <c r="R5" s="1554"/>
      <c r="S5" s="1554"/>
      <c r="T5" s="1554"/>
      <c r="U5" s="1554"/>
      <c r="V5" s="1555"/>
      <c r="W5" s="1555"/>
      <c r="X5" s="1555"/>
    </row>
    <row r="6" spans="1:24" ht="7.5" customHeight="1">
      <c r="A6" s="1558"/>
      <c r="B6" s="1559"/>
      <c r="C6" s="1559"/>
      <c r="D6" s="1559"/>
      <c r="E6" s="1559"/>
      <c r="F6" s="1559"/>
      <c r="G6" s="1559"/>
      <c r="H6" s="1559"/>
      <c r="I6" s="1559"/>
      <c r="J6" s="1559"/>
      <c r="K6" s="1559"/>
      <c r="L6" s="1559"/>
      <c r="M6" s="1559"/>
      <c r="N6" s="1559"/>
      <c r="O6" s="1559"/>
      <c r="P6" s="1560"/>
      <c r="Q6" s="1554"/>
      <c r="R6" s="1554"/>
      <c r="S6" s="1554"/>
      <c r="T6" s="1554"/>
      <c r="U6" s="1554"/>
      <c r="V6" s="1555"/>
      <c r="W6" s="1555"/>
      <c r="X6" s="1555"/>
    </row>
    <row r="7" spans="1:24" ht="15.75" customHeight="1">
      <c r="A7" s="1561" t="s">
        <v>1891</v>
      </c>
      <c r="B7" s="1562" t="s">
        <v>1892</v>
      </c>
      <c r="C7" s="1066"/>
      <c r="D7" s="1066"/>
      <c r="E7" s="1066"/>
      <c r="F7" s="1066"/>
      <c r="G7" s="1066"/>
      <c r="H7" s="1066"/>
      <c r="I7" s="1066"/>
      <c r="J7" s="1066"/>
      <c r="K7" s="1066"/>
      <c r="L7" s="1066"/>
      <c r="M7" s="1066"/>
      <c r="N7" s="1066"/>
      <c r="O7" s="1542"/>
      <c r="P7" s="1563"/>
      <c r="Q7" s="1554"/>
      <c r="R7" s="1554"/>
      <c r="S7" s="1554"/>
      <c r="T7" s="1554"/>
      <c r="U7" s="1554"/>
      <c r="V7" s="1555"/>
      <c r="W7" s="1555"/>
      <c r="X7" s="1555"/>
    </row>
    <row r="8" spans="1:24" ht="15.75" customHeight="1">
      <c r="A8" s="836">
        <v>1</v>
      </c>
      <c r="B8" s="389" t="s">
        <v>396</v>
      </c>
      <c r="C8" s="1066"/>
      <c r="D8" s="1066"/>
      <c r="E8" s="1066"/>
      <c r="F8" s="1066"/>
      <c r="G8" s="1066"/>
      <c r="H8" s="1066"/>
      <c r="I8" s="1066"/>
      <c r="J8" s="1066"/>
      <c r="K8" s="1066"/>
      <c r="L8" s="1066"/>
      <c r="M8" s="1066"/>
      <c r="N8" s="1066"/>
      <c r="O8" s="1542"/>
      <c r="P8" s="725"/>
      <c r="Q8" s="1554"/>
      <c r="R8" s="1564"/>
      <c r="S8" s="1554"/>
      <c r="T8" s="1554"/>
      <c r="U8" s="1554"/>
      <c r="V8" s="1555"/>
      <c r="W8" s="1555"/>
      <c r="X8" s="1555"/>
    </row>
    <row r="9" spans="1:24" ht="15.75" customHeight="1">
      <c r="A9" s="836"/>
      <c r="B9" s="682" t="s">
        <v>1431</v>
      </c>
      <c r="C9" s="1066">
        <v>0</v>
      </c>
      <c r="D9" s="1066"/>
      <c r="E9" s="1066"/>
      <c r="F9" s="1066"/>
      <c r="G9" s="1066"/>
      <c r="H9" s="1066"/>
      <c r="I9" s="1066"/>
      <c r="J9" s="1066"/>
      <c r="K9" s="1066"/>
      <c r="L9" s="1066"/>
      <c r="M9" s="1066"/>
      <c r="N9" s="1066">
        <f t="shared" ref="N9:N15" si="0">C9</f>
        <v>0</v>
      </c>
      <c r="O9" s="1542"/>
      <c r="P9" s="725"/>
      <c r="Q9" s="1554"/>
      <c r="R9" s="1564"/>
      <c r="S9" s="1554"/>
      <c r="T9" s="1554"/>
      <c r="U9" s="1554"/>
      <c r="V9" s="1555"/>
      <c r="W9" s="1555"/>
      <c r="X9" s="1555"/>
    </row>
    <row r="10" spans="1:24" ht="15.75" customHeight="1">
      <c r="A10" s="836"/>
      <c r="B10" s="682"/>
      <c r="C10" s="1066">
        <v>0</v>
      </c>
      <c r="D10" s="1066"/>
      <c r="E10" s="1066"/>
      <c r="F10" s="1066"/>
      <c r="G10" s="1066"/>
      <c r="H10" s="1066"/>
      <c r="I10" s="1066"/>
      <c r="J10" s="1066"/>
      <c r="K10" s="1066"/>
      <c r="L10" s="1066"/>
      <c r="M10" s="1066"/>
      <c r="N10" s="1066">
        <f t="shared" si="0"/>
        <v>0</v>
      </c>
      <c r="O10" s="1542"/>
      <c r="P10" s="725"/>
      <c r="Q10" s="1554"/>
      <c r="R10" s="1564"/>
      <c r="S10" s="1554"/>
      <c r="T10" s="1554"/>
      <c r="U10" s="1554"/>
      <c r="V10" s="1555"/>
      <c r="W10" s="1555"/>
      <c r="X10" s="1555"/>
    </row>
    <row r="11" spans="1:24" ht="15.75" customHeight="1">
      <c r="A11" s="836"/>
      <c r="B11" s="682" t="s">
        <v>1447</v>
      </c>
      <c r="C11" s="1066">
        <v>0</v>
      </c>
      <c r="D11" s="1066"/>
      <c r="E11" s="1066"/>
      <c r="F11" s="1066"/>
      <c r="G11" s="1066"/>
      <c r="H11" s="1066"/>
      <c r="I11" s="1066"/>
      <c r="J11" s="1066"/>
      <c r="K11" s="1066"/>
      <c r="L11" s="1066"/>
      <c r="M11" s="1066"/>
      <c r="N11" s="1066">
        <f t="shared" si="0"/>
        <v>0</v>
      </c>
      <c r="O11" s="1542"/>
      <c r="P11" s="725"/>
      <c r="Q11" s="1554"/>
      <c r="R11" s="1564"/>
      <c r="S11" s="1554"/>
      <c r="T11" s="1554"/>
      <c r="U11" s="1554"/>
      <c r="V11" s="1555"/>
      <c r="W11" s="1555"/>
      <c r="X11" s="1555"/>
    </row>
    <row r="12" spans="1:24" ht="15.75" customHeight="1">
      <c r="A12" s="836"/>
      <c r="B12" s="682" t="s">
        <v>1893</v>
      </c>
      <c r="C12" s="1066">
        <v>0</v>
      </c>
      <c r="D12" s="1066"/>
      <c r="E12" s="1066"/>
      <c r="F12" s="1066"/>
      <c r="G12" s="1066"/>
      <c r="H12" s="1066"/>
      <c r="I12" s="1066"/>
      <c r="J12" s="1066"/>
      <c r="K12" s="1066"/>
      <c r="L12" s="1066"/>
      <c r="M12" s="1066"/>
      <c r="N12" s="1066">
        <f t="shared" si="0"/>
        <v>0</v>
      </c>
      <c r="O12" s="1542"/>
      <c r="P12" s="725"/>
      <c r="Q12" s="1554"/>
      <c r="R12" s="1564"/>
      <c r="S12" s="1554"/>
      <c r="T12" s="1554"/>
      <c r="U12" s="1554"/>
      <c r="V12" s="1555"/>
      <c r="W12" s="1555"/>
      <c r="X12" s="1555"/>
    </row>
    <row r="13" spans="1:24" ht="15.75" customHeight="1">
      <c r="A13" s="836"/>
      <c r="B13" s="682" t="s">
        <v>1894</v>
      </c>
      <c r="C13" s="1066">
        <v>0</v>
      </c>
      <c r="D13" s="1066"/>
      <c r="E13" s="1066"/>
      <c r="F13" s="1066"/>
      <c r="G13" s="1066"/>
      <c r="H13" s="1066"/>
      <c r="I13" s="1066"/>
      <c r="J13" s="1066"/>
      <c r="K13" s="1066"/>
      <c r="L13" s="1066"/>
      <c r="M13" s="1066"/>
      <c r="N13" s="1066">
        <f t="shared" si="0"/>
        <v>0</v>
      </c>
      <c r="O13" s="1542"/>
      <c r="P13" s="725"/>
      <c r="Q13" s="1554"/>
      <c r="R13" s="1564"/>
      <c r="S13" s="1554"/>
      <c r="T13" s="1554"/>
      <c r="U13" s="1554"/>
      <c r="V13" s="1555"/>
      <c r="W13" s="1555"/>
      <c r="X13" s="1555"/>
    </row>
    <row r="14" spans="1:24" ht="15.75" customHeight="1">
      <c r="A14" s="836"/>
      <c r="B14" s="682" t="s">
        <v>1895</v>
      </c>
      <c r="C14" s="1066">
        <v>0</v>
      </c>
      <c r="D14" s="1066"/>
      <c r="E14" s="1066"/>
      <c r="F14" s="1066"/>
      <c r="G14" s="1066"/>
      <c r="H14" s="1066"/>
      <c r="I14" s="1066"/>
      <c r="J14" s="1066"/>
      <c r="K14" s="1066"/>
      <c r="L14" s="1066"/>
      <c r="M14" s="1066"/>
      <c r="N14" s="1066">
        <f t="shared" si="0"/>
        <v>0</v>
      </c>
      <c r="O14" s="1542"/>
      <c r="P14" s="725"/>
      <c r="Q14" s="1554"/>
      <c r="R14" s="1564"/>
      <c r="S14" s="1554"/>
      <c r="T14" s="1554"/>
      <c r="U14" s="1554"/>
      <c r="V14" s="1555"/>
      <c r="W14" s="1555"/>
      <c r="X14" s="1555"/>
    </row>
    <row r="15" spans="1:24" ht="15.75" customHeight="1">
      <c r="A15" s="836"/>
      <c r="B15" s="682" t="s">
        <v>1896</v>
      </c>
      <c r="C15" s="1066">
        <v>0</v>
      </c>
      <c r="D15" s="1066"/>
      <c r="E15" s="1066"/>
      <c r="F15" s="1066"/>
      <c r="G15" s="1066"/>
      <c r="H15" s="1066"/>
      <c r="I15" s="1066"/>
      <c r="J15" s="1066"/>
      <c r="K15" s="1066"/>
      <c r="L15" s="1066"/>
      <c r="M15" s="1066"/>
      <c r="N15" s="1544">
        <f t="shared" si="0"/>
        <v>0</v>
      </c>
      <c r="O15" s="1542"/>
      <c r="P15" s="725"/>
      <c r="Q15" s="1554"/>
      <c r="R15" s="1564"/>
      <c r="S15" s="1554"/>
      <c r="T15" s="1554"/>
      <c r="U15" s="1554"/>
      <c r="V15" s="1555"/>
      <c r="W15" s="1555"/>
      <c r="X15" s="1555"/>
    </row>
    <row r="16" spans="1:24" ht="15.75" customHeight="1">
      <c r="A16" s="836"/>
      <c r="B16" s="389"/>
      <c r="C16" s="1066"/>
      <c r="D16" s="1066"/>
      <c r="E16" s="1066"/>
      <c r="F16" s="1066"/>
      <c r="G16" s="1066"/>
      <c r="H16" s="1066"/>
      <c r="I16" s="1066"/>
      <c r="J16" s="1066"/>
      <c r="K16" s="1066"/>
      <c r="L16" s="1066"/>
      <c r="M16" s="1066"/>
      <c r="N16" s="1545">
        <v>225</v>
      </c>
      <c r="O16" s="1542" t="s">
        <v>117</v>
      </c>
      <c r="P16" s="1565">
        <f>ROUND((N16),2)</f>
        <v>225</v>
      </c>
      <c r="Q16" s="1554"/>
      <c r="R16" s="1564"/>
      <c r="S16" s="1554"/>
      <c r="T16" s="1554"/>
      <c r="U16" s="1554"/>
      <c r="V16" s="1555"/>
      <c r="W16" s="1555"/>
      <c r="X16" s="1555"/>
    </row>
    <row r="17" spans="1:24" ht="15.75" customHeight="1">
      <c r="A17" s="836"/>
      <c r="B17" s="682" t="s">
        <v>1897</v>
      </c>
      <c r="C17" s="1066"/>
      <c r="D17" s="1066"/>
      <c r="E17" s="1066"/>
      <c r="F17" s="1066"/>
      <c r="G17" s="1066"/>
      <c r="H17" s="1066"/>
      <c r="I17" s="1066"/>
      <c r="J17" s="1066"/>
      <c r="K17" s="1066"/>
      <c r="L17" s="1066"/>
      <c r="M17" s="1066"/>
      <c r="N17" s="1545">
        <f>ROUNDUP((N16/3),0.5)+1</f>
        <v>76</v>
      </c>
      <c r="O17" s="1542" t="s">
        <v>124</v>
      </c>
      <c r="P17" s="1565"/>
      <c r="Q17" s="1554"/>
      <c r="R17" s="1564"/>
      <c r="S17" s="1554"/>
      <c r="T17" s="1554"/>
      <c r="U17" s="1554"/>
      <c r="V17" s="1555"/>
      <c r="W17" s="1555"/>
      <c r="X17" s="1555"/>
    </row>
    <row r="18" spans="1:24" ht="15.75" customHeight="1">
      <c r="A18" s="394">
        <f>A8+1</f>
        <v>2</v>
      </c>
      <c r="B18" s="890" t="s">
        <v>397</v>
      </c>
      <c r="C18" s="1066"/>
      <c r="D18" s="1066"/>
      <c r="E18" s="1066"/>
      <c r="F18" s="1066"/>
      <c r="G18" s="1066"/>
      <c r="H18" s="1066"/>
      <c r="I18" s="1066"/>
      <c r="J18" s="1066"/>
      <c r="K18" s="1066"/>
      <c r="L18" s="1066"/>
      <c r="M18" s="1066"/>
      <c r="N18" s="1066"/>
      <c r="O18" s="1542"/>
      <c r="P18" s="725"/>
      <c r="Q18" s="1554"/>
      <c r="R18" s="1564"/>
      <c r="S18" s="1554"/>
      <c r="T18" s="1554"/>
      <c r="U18" s="1554"/>
      <c r="V18" s="1555"/>
      <c r="W18" s="1555"/>
      <c r="X18" s="1555"/>
    </row>
    <row r="19" spans="1:24" ht="15.75" customHeight="1">
      <c r="A19" s="891" t="s">
        <v>95</v>
      </c>
      <c r="B19" s="890" t="s">
        <v>610</v>
      </c>
      <c r="C19" s="1066">
        <v>1</v>
      </c>
      <c r="D19" s="1066">
        <v>1</v>
      </c>
      <c r="E19" s="1066">
        <v>1.25</v>
      </c>
      <c r="F19" s="1066"/>
      <c r="G19" s="1066"/>
      <c r="H19" s="1066"/>
      <c r="I19" s="1066"/>
      <c r="J19" s="1066"/>
      <c r="K19" s="1066"/>
      <c r="L19" s="1066"/>
      <c r="M19" s="1066">
        <f>N17</f>
        <v>76</v>
      </c>
      <c r="N19" s="1066">
        <f>C19*D19*E19*M19*0</f>
        <v>0</v>
      </c>
      <c r="O19" s="1542" t="s">
        <v>103</v>
      </c>
      <c r="P19" s="1565">
        <f t="shared" ref="P19:P24" si="1">ROUND((N19),2)</f>
        <v>0</v>
      </c>
      <c r="Q19" s="1554"/>
      <c r="R19" s="1564"/>
      <c r="S19" s="1554"/>
      <c r="T19" s="1554"/>
      <c r="U19" s="1554"/>
      <c r="V19" s="1555"/>
      <c r="W19" s="1555"/>
      <c r="X19" s="1555"/>
    </row>
    <row r="20" spans="1:24" ht="15.75" customHeight="1">
      <c r="A20" s="891" t="s">
        <v>98</v>
      </c>
      <c r="B20" s="890" t="s">
        <v>399</v>
      </c>
      <c r="C20" s="1066">
        <f>C19</f>
        <v>1</v>
      </c>
      <c r="D20" s="1066">
        <f>D19</f>
        <v>1</v>
      </c>
      <c r="E20" s="1066">
        <v>7.0000000000000007E-2</v>
      </c>
      <c r="F20" s="1066"/>
      <c r="G20" s="1066"/>
      <c r="H20" s="1066"/>
      <c r="I20" s="1066"/>
      <c r="J20" s="1066"/>
      <c r="K20" s="1066"/>
      <c r="L20" s="1066"/>
      <c r="M20" s="1066">
        <f>M19</f>
        <v>76</v>
      </c>
      <c r="N20" s="1066">
        <f>C20*D20*E20*M20*0</f>
        <v>0</v>
      </c>
      <c r="O20" s="1542" t="s">
        <v>103</v>
      </c>
      <c r="P20" s="1565">
        <f t="shared" si="1"/>
        <v>0</v>
      </c>
      <c r="Q20" s="1554"/>
      <c r="R20" s="1564"/>
      <c r="S20" s="1554"/>
      <c r="T20" s="1554"/>
      <c r="U20" s="1554"/>
      <c r="V20" s="1555"/>
      <c r="W20" s="1555"/>
      <c r="X20" s="1555"/>
    </row>
    <row r="21" spans="1:24" ht="15.75" customHeight="1">
      <c r="A21" s="891" t="s">
        <v>101</v>
      </c>
      <c r="B21" s="890" t="s">
        <v>400</v>
      </c>
      <c r="C21" s="1066">
        <f>C20</f>
        <v>1</v>
      </c>
      <c r="D21" s="1066">
        <f>D20</f>
        <v>1</v>
      </c>
      <c r="E21" s="1066">
        <v>0.03</v>
      </c>
      <c r="F21" s="1066"/>
      <c r="G21" s="1066"/>
      <c r="H21" s="1066"/>
      <c r="I21" s="1066"/>
      <c r="J21" s="1066"/>
      <c r="K21" s="1066"/>
      <c r="L21" s="1066"/>
      <c r="M21" s="1066">
        <f>M20</f>
        <v>76</v>
      </c>
      <c r="N21" s="1066">
        <f>C21*D21*E21*M21*0</f>
        <v>0</v>
      </c>
      <c r="O21" s="1542" t="s">
        <v>103</v>
      </c>
      <c r="P21" s="1565">
        <f t="shared" si="1"/>
        <v>0</v>
      </c>
      <c r="Q21" s="1554"/>
      <c r="R21" s="1564"/>
      <c r="S21" s="1554"/>
      <c r="T21" s="1554"/>
      <c r="U21" s="1554"/>
      <c r="V21" s="1555"/>
      <c r="W21" s="1555"/>
      <c r="X21" s="1555"/>
    </row>
    <row r="22" spans="1:24" ht="15.75" customHeight="1">
      <c r="A22" s="891" t="s">
        <v>121</v>
      </c>
      <c r="B22" s="890" t="s">
        <v>401</v>
      </c>
      <c r="C22" s="1066">
        <v>0.8</v>
      </c>
      <c r="D22" s="1066">
        <v>0.3</v>
      </c>
      <c r="E22" s="1066"/>
      <c r="F22" s="1066"/>
      <c r="G22" s="1066"/>
      <c r="H22" s="1066">
        <v>4</v>
      </c>
      <c r="I22" s="1066"/>
      <c r="J22" s="1066"/>
      <c r="K22" s="1066"/>
      <c r="L22" s="1066"/>
      <c r="M22" s="1066">
        <f>M21</f>
        <v>76</v>
      </c>
      <c r="N22" s="1066">
        <f>C22*D22*H22*M22*0</f>
        <v>0</v>
      </c>
      <c r="O22" s="1542" t="s">
        <v>89</v>
      </c>
      <c r="P22" s="1565">
        <f t="shared" si="1"/>
        <v>0</v>
      </c>
      <c r="Q22" s="1554"/>
      <c r="R22" s="1564"/>
      <c r="S22" s="1554"/>
      <c r="T22" s="1554"/>
      <c r="U22" s="1554"/>
      <c r="V22" s="1555"/>
      <c r="W22" s="1555"/>
      <c r="X22" s="1555"/>
    </row>
    <row r="23" spans="1:24" ht="15.75" customHeight="1">
      <c r="A23" s="891" t="s">
        <v>142</v>
      </c>
      <c r="B23" s="890" t="s">
        <v>895</v>
      </c>
      <c r="C23" s="1066">
        <v>0.65</v>
      </c>
      <c r="D23" s="1066"/>
      <c r="E23" s="1066"/>
      <c r="F23" s="1066">
        <f>ROUNDUP((C23/0.15),0.5)+1</f>
        <v>6</v>
      </c>
      <c r="G23" s="1066"/>
      <c r="H23" s="1066">
        <v>4</v>
      </c>
      <c r="I23" s="1066">
        <f>0.15*2</f>
        <v>0.3</v>
      </c>
      <c r="J23" s="1066"/>
      <c r="K23" s="1066"/>
      <c r="L23" s="1066">
        <f>13*13*0.006165</f>
        <v>1.041885</v>
      </c>
      <c r="M23" s="1066">
        <f>M22</f>
        <v>76</v>
      </c>
      <c r="N23" s="1066">
        <f>(C23+I23)*F23*H23*L23*M23*0</f>
        <v>0</v>
      </c>
      <c r="O23" s="1542" t="s">
        <v>100</v>
      </c>
      <c r="P23" s="1565">
        <f t="shared" si="1"/>
        <v>0</v>
      </c>
      <c r="Q23" s="1554"/>
      <c r="R23" s="1564"/>
      <c r="S23" s="1554"/>
      <c r="T23" s="1554"/>
      <c r="U23" s="1554"/>
      <c r="V23" s="1555"/>
      <c r="W23" s="1555"/>
      <c r="X23" s="1555"/>
    </row>
    <row r="24" spans="1:24" ht="15.75" customHeight="1">
      <c r="A24" s="891" t="s">
        <v>217</v>
      </c>
      <c r="B24" s="427" t="s">
        <v>420</v>
      </c>
      <c r="C24" s="1066">
        <v>0.8</v>
      </c>
      <c r="D24" s="1066">
        <v>0.8</v>
      </c>
      <c r="E24" s="1066">
        <v>0.3</v>
      </c>
      <c r="F24" s="1066"/>
      <c r="G24" s="1066"/>
      <c r="H24" s="1066"/>
      <c r="I24" s="1066"/>
      <c r="J24" s="1066"/>
      <c r="K24" s="1066"/>
      <c r="L24" s="1066"/>
      <c r="M24" s="1066">
        <f>M23</f>
        <v>76</v>
      </c>
      <c r="N24" s="1066">
        <f>C24*D24*E24*M24*0</f>
        <v>0</v>
      </c>
      <c r="O24" s="1542" t="s">
        <v>103</v>
      </c>
      <c r="P24" s="1565">
        <f t="shared" si="1"/>
        <v>0</v>
      </c>
      <c r="Q24" s="1554"/>
      <c r="R24" s="1564"/>
      <c r="S24" s="1554"/>
      <c r="T24" s="1554"/>
      <c r="U24" s="1554"/>
      <c r="V24" s="1555"/>
      <c r="W24" s="1555"/>
      <c r="X24" s="1555"/>
    </row>
    <row r="25" spans="1:24" ht="15.75" customHeight="1">
      <c r="A25" s="891" t="s">
        <v>366</v>
      </c>
      <c r="B25" s="890" t="s">
        <v>383</v>
      </c>
      <c r="C25" s="1066"/>
      <c r="D25" s="1066"/>
      <c r="E25" s="1066"/>
      <c r="F25" s="1066"/>
      <c r="G25" s="1066"/>
      <c r="H25" s="1066"/>
      <c r="I25" s="1066"/>
      <c r="J25" s="1066"/>
      <c r="K25" s="1066"/>
      <c r="L25" s="1066"/>
      <c r="M25" s="1066"/>
      <c r="N25" s="1066"/>
      <c r="O25" s="1542"/>
      <c r="P25" s="725"/>
      <c r="Q25" s="1554"/>
      <c r="R25" s="1564"/>
      <c r="S25" s="1554"/>
      <c r="T25" s="1554"/>
      <c r="U25" s="1554"/>
      <c r="V25" s="1555"/>
      <c r="W25" s="1555"/>
      <c r="X25" s="1555"/>
    </row>
    <row r="26" spans="1:24" ht="15.75" customHeight="1">
      <c r="A26" s="1566"/>
      <c r="B26" s="935"/>
      <c r="C26" s="1066"/>
      <c r="D26" s="1066"/>
      <c r="E26" s="1066">
        <v>4</v>
      </c>
      <c r="F26" s="1066">
        <v>6</v>
      </c>
      <c r="G26" s="1066"/>
      <c r="H26" s="1066"/>
      <c r="I26" s="1066"/>
      <c r="J26" s="1066"/>
      <c r="K26" s="1066"/>
      <c r="L26" s="1066"/>
      <c r="M26" s="1066">
        <f>M24</f>
        <v>76</v>
      </c>
      <c r="N26" s="1066">
        <f>E26*F26*M26*0</f>
        <v>0</v>
      </c>
      <c r="O26" s="1542" t="s">
        <v>117</v>
      </c>
      <c r="P26" s="1565">
        <f>ROUND((N26),2)</f>
        <v>0</v>
      </c>
      <c r="Q26" s="1554"/>
      <c r="R26" s="1564"/>
      <c r="S26" s="1554"/>
      <c r="T26" s="1554"/>
      <c r="U26" s="1554"/>
      <c r="V26" s="1555"/>
      <c r="W26" s="1555"/>
      <c r="X26" s="1555"/>
    </row>
    <row r="27" spans="1:24" ht="15.75" customHeight="1">
      <c r="A27" s="836">
        <f>A18+1</f>
        <v>3</v>
      </c>
      <c r="B27" s="389" t="s">
        <v>1491</v>
      </c>
      <c r="C27" s="1066"/>
      <c r="D27" s="1066"/>
      <c r="E27" s="1066"/>
      <c r="F27" s="1066"/>
      <c r="G27" s="1066"/>
      <c r="H27" s="1066"/>
      <c r="I27" s="1066"/>
      <c r="J27" s="1066"/>
      <c r="K27" s="1066"/>
      <c r="L27" s="1066"/>
      <c r="M27" s="1066"/>
      <c r="N27" s="1066"/>
      <c r="O27" s="1542"/>
      <c r="P27" s="725"/>
      <c r="Q27" s="1554"/>
      <c r="R27" s="1564"/>
      <c r="S27" s="1554"/>
      <c r="T27" s="1554"/>
      <c r="U27" s="1554"/>
      <c r="V27" s="1555"/>
      <c r="W27" s="1555"/>
      <c r="X27" s="1555"/>
    </row>
    <row r="28" spans="1:24" ht="15.75" customHeight="1">
      <c r="A28" s="844" t="s">
        <v>95</v>
      </c>
      <c r="B28" s="389" t="s">
        <v>694</v>
      </c>
      <c r="C28" s="1066">
        <f>N16</f>
        <v>225</v>
      </c>
      <c r="D28" s="1066">
        <v>0.8</v>
      </c>
      <c r="E28" s="1066">
        <v>0.95</v>
      </c>
      <c r="F28" s="1066"/>
      <c r="G28" s="1066"/>
      <c r="H28" s="1066"/>
      <c r="I28" s="1066"/>
      <c r="J28" s="1066"/>
      <c r="K28" s="1066"/>
      <c r="L28" s="1066"/>
      <c r="M28" s="1066"/>
      <c r="N28" s="1066">
        <f>C28*D28*E28</f>
        <v>171</v>
      </c>
      <c r="O28" s="1542" t="s">
        <v>103</v>
      </c>
      <c r="P28" s="1565">
        <f>ROUND((N28),2)</f>
        <v>171</v>
      </c>
      <c r="Q28" s="1554"/>
      <c r="R28" s="1564"/>
      <c r="S28" s="1554"/>
      <c r="T28" s="1554"/>
      <c r="U28" s="1554"/>
      <c r="V28" s="1555"/>
      <c r="W28" s="1555"/>
      <c r="X28" s="1555"/>
    </row>
    <row r="29" spans="1:24" ht="15.75" customHeight="1">
      <c r="A29" s="844" t="s">
        <v>98</v>
      </c>
      <c r="B29" s="861" t="s">
        <v>405</v>
      </c>
      <c r="C29" s="1066"/>
      <c r="D29" s="1066"/>
      <c r="E29" s="1066"/>
      <c r="F29" s="1066"/>
      <c r="G29" s="1066"/>
      <c r="H29" s="1066"/>
      <c r="I29" s="1066"/>
      <c r="J29" s="1066"/>
      <c r="K29" s="1066"/>
      <c r="L29" s="1066"/>
      <c r="M29" s="1066"/>
      <c r="N29" s="1066"/>
      <c r="O29" s="1542"/>
      <c r="P29" s="725"/>
      <c r="Q29" s="1554"/>
      <c r="R29" s="1564"/>
      <c r="S29" s="1554"/>
      <c r="T29" s="1554"/>
      <c r="U29" s="1554"/>
      <c r="V29" s="1555"/>
      <c r="W29" s="1555"/>
      <c r="X29" s="1555"/>
    </row>
    <row r="30" spans="1:24" ht="15.75" customHeight="1">
      <c r="A30" s="844"/>
      <c r="B30" s="935" t="s">
        <v>1898</v>
      </c>
      <c r="C30" s="1066"/>
      <c r="D30" s="1066"/>
      <c r="E30" s="1066">
        <v>4</v>
      </c>
      <c r="F30" s="1066">
        <f>ROUNDDOWN((N16/0.5),0.5)</f>
        <v>450</v>
      </c>
      <c r="G30" s="1066"/>
      <c r="H30" s="1066">
        <v>2</v>
      </c>
      <c r="I30" s="1066"/>
      <c r="J30" s="1066"/>
      <c r="K30" s="1066"/>
      <c r="L30" s="1066"/>
      <c r="M30" s="1066"/>
      <c r="N30" s="1066">
        <f>E30*F30*H30</f>
        <v>3600</v>
      </c>
      <c r="O30" s="1542" t="s">
        <v>117</v>
      </c>
      <c r="P30" s="1565">
        <f>ROUND((N30),2)</f>
        <v>3600</v>
      </c>
      <c r="Q30" s="1554"/>
      <c r="R30" s="1564"/>
      <c r="S30" s="1554"/>
      <c r="T30" s="1554"/>
      <c r="U30" s="1554"/>
      <c r="V30" s="1555"/>
      <c r="W30" s="1555"/>
      <c r="X30" s="1555"/>
    </row>
    <row r="31" spans="1:24" ht="15.75" customHeight="1">
      <c r="A31" s="844" t="s">
        <v>101</v>
      </c>
      <c r="B31" s="389" t="s">
        <v>695</v>
      </c>
      <c r="C31" s="1066">
        <f>C28</f>
        <v>225</v>
      </c>
      <c r="D31" s="1066">
        <f>D28</f>
        <v>0.8</v>
      </c>
      <c r="E31" s="1066">
        <v>7.0000000000000007E-2</v>
      </c>
      <c r="F31" s="1066"/>
      <c r="G31" s="1066"/>
      <c r="H31" s="1066"/>
      <c r="I31" s="1066"/>
      <c r="J31" s="1066"/>
      <c r="K31" s="1066"/>
      <c r="L31" s="1066"/>
      <c r="M31" s="1066"/>
      <c r="N31" s="1066">
        <f>C31*D31*E31</f>
        <v>12.600000000000001</v>
      </c>
      <c r="O31" s="1542" t="s">
        <v>103</v>
      </c>
      <c r="P31" s="1565">
        <f>ROUND((N31),2)</f>
        <v>12.6</v>
      </c>
      <c r="Q31" s="1554"/>
      <c r="R31" s="1564"/>
      <c r="S31" s="1554"/>
      <c r="T31" s="1554"/>
      <c r="U31" s="1554"/>
      <c r="V31" s="1555"/>
      <c r="W31" s="1555"/>
      <c r="X31" s="1555"/>
    </row>
    <row r="32" spans="1:24" ht="15.75" customHeight="1">
      <c r="A32" s="844" t="s">
        <v>121</v>
      </c>
      <c r="B32" s="389" t="s">
        <v>1409</v>
      </c>
      <c r="C32" s="1066">
        <f>C31</f>
        <v>225</v>
      </c>
      <c r="D32" s="1066">
        <f>D31</f>
        <v>0.8</v>
      </c>
      <c r="E32" s="1066">
        <v>0.03</v>
      </c>
      <c r="F32" s="1066"/>
      <c r="G32" s="1066"/>
      <c r="H32" s="1066"/>
      <c r="I32" s="1066"/>
      <c r="J32" s="1066"/>
      <c r="K32" s="1066"/>
      <c r="L32" s="1066"/>
      <c r="M32" s="1066"/>
      <c r="N32" s="1066">
        <f>C32*D32*E32</f>
        <v>5.3999999999999995</v>
      </c>
      <c r="O32" s="1542" t="s">
        <v>103</v>
      </c>
      <c r="P32" s="1565">
        <f>ROUND((N32),2)</f>
        <v>5.4</v>
      </c>
      <c r="Q32" s="1554"/>
      <c r="R32" s="1564"/>
      <c r="S32" s="1554"/>
      <c r="T32" s="1554"/>
      <c r="U32" s="1554"/>
      <c r="V32" s="1555"/>
      <c r="W32" s="1555"/>
      <c r="X32" s="1555"/>
    </row>
    <row r="33" spans="1:24" ht="15.75" customHeight="1">
      <c r="A33" s="844" t="s">
        <v>142</v>
      </c>
      <c r="B33" s="389" t="s">
        <v>696</v>
      </c>
      <c r="C33" s="1066">
        <f>C32</f>
        <v>225</v>
      </c>
      <c r="D33" s="1066">
        <f>(0.3+D32)/2</f>
        <v>0.55000000000000004</v>
      </c>
      <c r="E33" s="1066">
        <v>0.8</v>
      </c>
      <c r="F33" s="1066"/>
      <c r="G33" s="1066"/>
      <c r="H33" s="1066"/>
      <c r="I33" s="1066"/>
      <c r="J33" s="1066"/>
      <c r="K33" s="1066"/>
      <c r="L33" s="1066"/>
      <c r="M33" s="1066"/>
      <c r="N33" s="1066">
        <f>C33*D33*E33</f>
        <v>99.000000000000014</v>
      </c>
      <c r="O33" s="1542" t="s">
        <v>103</v>
      </c>
      <c r="P33" s="1565">
        <f>ROUND((N33),2)</f>
        <v>99</v>
      </c>
      <c r="Q33" s="1554"/>
      <c r="R33" s="1564"/>
      <c r="S33" s="1554"/>
      <c r="T33" s="1554"/>
      <c r="U33" s="1554"/>
      <c r="V33" s="1555"/>
      <c r="W33" s="1555"/>
      <c r="X33" s="1555"/>
    </row>
    <row r="34" spans="1:24" ht="15.75" customHeight="1">
      <c r="A34" s="394">
        <f>A27+1</f>
        <v>4</v>
      </c>
      <c r="B34" s="389" t="s">
        <v>1899</v>
      </c>
      <c r="C34" s="1066"/>
      <c r="D34" s="1066"/>
      <c r="E34" s="1066"/>
      <c r="F34" s="1066"/>
      <c r="G34" s="1066"/>
      <c r="H34" s="1066"/>
      <c r="I34" s="1066"/>
      <c r="J34" s="1066"/>
      <c r="K34" s="1066"/>
      <c r="L34" s="1066"/>
      <c r="M34" s="1066"/>
      <c r="N34" s="1066"/>
      <c r="O34" s="1542"/>
      <c r="P34" s="725"/>
      <c r="Q34" s="1554"/>
      <c r="R34" s="1564"/>
      <c r="S34" s="1554"/>
      <c r="T34" s="1554"/>
      <c r="U34" s="1554"/>
      <c r="V34" s="1555"/>
      <c r="W34" s="1555"/>
      <c r="X34" s="1555"/>
    </row>
    <row r="35" spans="1:24" ht="15.75" customHeight="1">
      <c r="A35" s="430" t="s">
        <v>95</v>
      </c>
      <c r="B35" s="389" t="s">
        <v>1900</v>
      </c>
      <c r="C35" s="1066">
        <f>C33</f>
        <v>225</v>
      </c>
      <c r="D35" s="1066"/>
      <c r="E35" s="1066">
        <v>0.25</v>
      </c>
      <c r="F35" s="1066"/>
      <c r="G35" s="1066"/>
      <c r="H35" s="1066">
        <v>2</v>
      </c>
      <c r="I35" s="1066"/>
      <c r="J35" s="1066"/>
      <c r="K35" s="1066"/>
      <c r="L35" s="1066"/>
      <c r="M35" s="1066"/>
      <c r="N35" s="1066">
        <f>C35*E35*H35</f>
        <v>112.5</v>
      </c>
      <c r="O35" s="1542" t="s">
        <v>89</v>
      </c>
      <c r="P35" s="1565">
        <f>ROUND((N35),2)</f>
        <v>112.5</v>
      </c>
      <c r="Q35" s="1554"/>
      <c r="R35" s="1564"/>
      <c r="S35" s="1554"/>
      <c r="T35" s="1554"/>
      <c r="U35" s="1554"/>
      <c r="V35" s="1555"/>
      <c r="W35" s="1555"/>
      <c r="X35" s="1555"/>
    </row>
    <row r="36" spans="1:24" ht="15.75" customHeight="1">
      <c r="A36" s="430" t="s">
        <v>98</v>
      </c>
      <c r="B36" s="389" t="s">
        <v>928</v>
      </c>
      <c r="C36" s="1066">
        <f>C35</f>
        <v>225</v>
      </c>
      <c r="D36" s="1066"/>
      <c r="E36" s="1066"/>
      <c r="F36" s="1066">
        <v>4</v>
      </c>
      <c r="G36" s="1066"/>
      <c r="H36" s="1066"/>
      <c r="I36" s="1066"/>
      <c r="J36" s="1066"/>
      <c r="K36" s="1066"/>
      <c r="L36" s="1066">
        <f>13*13*0.006165</f>
        <v>1.041885</v>
      </c>
      <c r="M36" s="1066"/>
      <c r="N36" s="1066">
        <f>C36*F36*L36</f>
        <v>937.6964999999999</v>
      </c>
      <c r="O36" s="1542" t="s">
        <v>100</v>
      </c>
      <c r="P36" s="1565">
        <f>ROUND((N36),2)</f>
        <v>937.7</v>
      </c>
      <c r="Q36" s="1554"/>
      <c r="R36" s="1564"/>
      <c r="S36" s="1554"/>
      <c r="T36" s="1554"/>
      <c r="U36" s="1554"/>
      <c r="V36" s="1555"/>
      <c r="W36" s="1555"/>
      <c r="X36" s="1555"/>
    </row>
    <row r="37" spans="1:24" ht="15.75" customHeight="1">
      <c r="A37" s="430" t="s">
        <v>101</v>
      </c>
      <c r="B37" s="389" t="s">
        <v>428</v>
      </c>
      <c r="C37" s="1066">
        <f>(0.1+0.15)*2</f>
        <v>0.5</v>
      </c>
      <c r="D37" s="1066"/>
      <c r="E37" s="1066"/>
      <c r="F37" s="1066">
        <f>ROUNDDOWN((C36/0.125),0.5)</f>
        <v>1800</v>
      </c>
      <c r="G37" s="1066"/>
      <c r="H37" s="1066"/>
      <c r="I37" s="1066">
        <f>0.05*2</f>
        <v>0.1</v>
      </c>
      <c r="J37" s="1066"/>
      <c r="K37" s="1066"/>
      <c r="L37" s="1066">
        <f>8*8*0.006165</f>
        <v>0.39456000000000002</v>
      </c>
      <c r="M37" s="1066"/>
      <c r="N37" s="1066">
        <f>(C37+I37)*F37*L37</f>
        <v>426.12480000000005</v>
      </c>
      <c r="O37" s="1542" t="s">
        <v>100</v>
      </c>
      <c r="P37" s="1565">
        <f>ROUND((N37),2)</f>
        <v>426.12</v>
      </c>
      <c r="Q37" s="1554"/>
      <c r="R37" s="1564"/>
      <c r="S37" s="1554"/>
      <c r="T37" s="1554"/>
      <c r="U37" s="1554"/>
      <c r="V37" s="1555"/>
      <c r="W37" s="1555"/>
      <c r="X37" s="1555"/>
    </row>
    <row r="38" spans="1:24" ht="15.75" customHeight="1">
      <c r="A38" s="430" t="s">
        <v>121</v>
      </c>
      <c r="B38" s="427" t="s">
        <v>420</v>
      </c>
      <c r="C38" s="1066">
        <f>C36</f>
        <v>225</v>
      </c>
      <c r="D38" s="1066">
        <v>0.2</v>
      </c>
      <c r="E38" s="1066">
        <v>0.25</v>
      </c>
      <c r="F38" s="1066"/>
      <c r="G38" s="1066"/>
      <c r="H38" s="1066"/>
      <c r="I38" s="1066"/>
      <c r="J38" s="1066"/>
      <c r="K38" s="1066"/>
      <c r="L38" s="1066"/>
      <c r="M38" s="1066"/>
      <c r="N38" s="1066">
        <f>C38*D38*E38</f>
        <v>11.25</v>
      </c>
      <c r="O38" s="1542" t="s">
        <v>103</v>
      </c>
      <c r="P38" s="1565">
        <f>ROUND((N38),2)</f>
        <v>11.25</v>
      </c>
      <c r="Q38" s="1554"/>
      <c r="R38" s="1564"/>
      <c r="S38" s="1554"/>
      <c r="T38" s="1554"/>
      <c r="U38" s="1554"/>
      <c r="V38" s="1555"/>
      <c r="W38" s="1555"/>
      <c r="X38" s="1555"/>
    </row>
    <row r="39" spans="1:24" ht="15.75" customHeight="1">
      <c r="A39" s="394">
        <f>A34+1</f>
        <v>5</v>
      </c>
      <c r="B39" s="389" t="s">
        <v>530</v>
      </c>
      <c r="C39" s="1066"/>
      <c r="D39" s="1066"/>
      <c r="E39" s="1066"/>
      <c r="F39" s="1066"/>
      <c r="G39" s="1066"/>
      <c r="H39" s="1066"/>
      <c r="I39" s="1066"/>
      <c r="J39" s="1066"/>
      <c r="K39" s="1066"/>
      <c r="L39" s="1066"/>
      <c r="M39" s="1066"/>
      <c r="N39" s="1066"/>
      <c r="O39" s="1542"/>
      <c r="P39" s="725"/>
      <c r="Q39" s="1554"/>
      <c r="R39" s="1564"/>
      <c r="S39" s="1554"/>
      <c r="T39" s="1554"/>
      <c r="U39" s="1554"/>
      <c r="V39" s="1555"/>
      <c r="W39" s="1555"/>
      <c r="X39" s="1555"/>
    </row>
    <row r="40" spans="1:24" ht="15.75" customHeight="1">
      <c r="A40" s="451" t="s">
        <v>95</v>
      </c>
      <c r="B40" s="389" t="s">
        <v>1200</v>
      </c>
      <c r="C40" s="1066"/>
      <c r="D40" s="1066">
        <v>0.15</v>
      </c>
      <c r="E40" s="1066">
        <v>2.5</v>
      </c>
      <c r="F40" s="1066"/>
      <c r="G40" s="1066"/>
      <c r="H40" s="1066">
        <v>4</v>
      </c>
      <c r="I40" s="1066"/>
      <c r="J40" s="1066">
        <v>0.8</v>
      </c>
      <c r="K40" s="1066"/>
      <c r="L40" s="1066"/>
      <c r="M40" s="1066">
        <f>M26</f>
        <v>76</v>
      </c>
      <c r="N40" s="1066">
        <f>D40*(E40+J40)*H40*M40</f>
        <v>150.47999999999999</v>
      </c>
      <c r="O40" s="1542" t="s">
        <v>89</v>
      </c>
      <c r="P40" s="1565">
        <f>ROUND((N40),2)</f>
        <v>150.47999999999999</v>
      </c>
      <c r="Q40" s="1554"/>
      <c r="R40" s="1564"/>
      <c r="S40" s="1554"/>
      <c r="T40" s="1554"/>
      <c r="U40" s="1554"/>
      <c r="V40" s="1555"/>
      <c r="W40" s="1555"/>
      <c r="X40" s="1555"/>
    </row>
    <row r="41" spans="1:24" ht="15.75" customHeight="1">
      <c r="A41" s="451" t="s">
        <v>98</v>
      </c>
      <c r="B41" s="389" t="s">
        <v>1042</v>
      </c>
      <c r="C41" s="1066"/>
      <c r="D41" s="1066"/>
      <c r="E41" s="1066">
        <f>E40</f>
        <v>2.5</v>
      </c>
      <c r="F41" s="1066">
        <v>4</v>
      </c>
      <c r="G41" s="1066"/>
      <c r="H41" s="1066"/>
      <c r="I41" s="1066">
        <v>0.55000000000000004</v>
      </c>
      <c r="J41" s="1066">
        <f>J40</f>
        <v>0.8</v>
      </c>
      <c r="K41" s="1066">
        <v>0.1</v>
      </c>
      <c r="L41" s="1066">
        <f>13*13*0.006165</f>
        <v>1.041885</v>
      </c>
      <c r="M41" s="1066">
        <f>M40</f>
        <v>76</v>
      </c>
      <c r="N41" s="1066">
        <f>(E41+I41+J41+K41)*F41*L41*M41</f>
        <v>1251.0955079999999</v>
      </c>
      <c r="O41" s="1542" t="s">
        <v>100</v>
      </c>
      <c r="P41" s="1565">
        <f>ROUND((N41),2)</f>
        <v>1251.0999999999999</v>
      </c>
      <c r="Q41" s="1554"/>
      <c r="R41" s="1564"/>
      <c r="S41" s="1554"/>
      <c r="T41" s="1554"/>
      <c r="U41" s="1554"/>
      <c r="V41" s="1555"/>
      <c r="W41" s="1555"/>
      <c r="X41" s="1555"/>
    </row>
    <row r="42" spans="1:24" ht="15.75" customHeight="1">
      <c r="A42" s="451" t="s">
        <v>101</v>
      </c>
      <c r="B42" s="389" t="s">
        <v>525</v>
      </c>
      <c r="C42" s="1066">
        <f>0.17*4</f>
        <v>0.68</v>
      </c>
      <c r="D42" s="1066"/>
      <c r="E42" s="1066"/>
      <c r="F42" s="1066">
        <f>ROUNDUP(((E40+J40)/0.125),0.5)+1</f>
        <v>28</v>
      </c>
      <c r="G42" s="1066"/>
      <c r="H42" s="1066"/>
      <c r="I42" s="1066">
        <f>0.05*2</f>
        <v>0.1</v>
      </c>
      <c r="J42" s="1066"/>
      <c r="K42" s="1066"/>
      <c r="L42" s="1066">
        <f>8*8*0.006165</f>
        <v>0.39456000000000002</v>
      </c>
      <c r="M42" s="1066">
        <f>M41</f>
        <v>76</v>
      </c>
      <c r="N42" s="1066">
        <f>(C42+I42)*F42*L42*M42</f>
        <v>654.90647039999999</v>
      </c>
      <c r="O42" s="1542" t="s">
        <v>100</v>
      </c>
      <c r="P42" s="1565">
        <f>ROUND((N42),2)</f>
        <v>654.91</v>
      </c>
      <c r="Q42" s="1554"/>
      <c r="R42" s="1564"/>
      <c r="S42" s="1554"/>
      <c r="T42" s="1554"/>
      <c r="U42" s="1554"/>
      <c r="V42" s="1555"/>
      <c r="W42" s="1555"/>
      <c r="X42" s="1555"/>
    </row>
    <row r="43" spans="1:24" ht="15.75" customHeight="1">
      <c r="A43" s="451" t="s">
        <v>121</v>
      </c>
      <c r="B43" s="427" t="s">
        <v>420</v>
      </c>
      <c r="C43" s="1066">
        <v>0.25</v>
      </c>
      <c r="D43" s="1066">
        <v>0.25</v>
      </c>
      <c r="E43" s="1066">
        <f>E41</f>
        <v>2.5</v>
      </c>
      <c r="F43" s="1066"/>
      <c r="G43" s="1066"/>
      <c r="H43" s="1066"/>
      <c r="I43" s="1066"/>
      <c r="J43" s="1066">
        <f>J41</f>
        <v>0.8</v>
      </c>
      <c r="K43" s="1066"/>
      <c r="L43" s="1066"/>
      <c r="M43" s="1066">
        <f>M42</f>
        <v>76</v>
      </c>
      <c r="N43" s="1066">
        <f>C43*D43*(E43+J43)*M43</f>
        <v>15.674999999999999</v>
      </c>
      <c r="O43" s="1542" t="s">
        <v>103</v>
      </c>
      <c r="P43" s="1565">
        <f>ROUND((N43),2)</f>
        <v>15.68</v>
      </c>
      <c r="Q43" s="1554"/>
      <c r="R43" s="1564"/>
      <c r="S43" s="1554"/>
      <c r="T43" s="1554"/>
      <c r="U43" s="1554"/>
      <c r="V43" s="1555"/>
      <c r="W43" s="1555"/>
      <c r="X43" s="1555"/>
    </row>
    <row r="44" spans="1:24" ht="15.75" customHeight="1">
      <c r="A44" s="394">
        <f>A39+1</f>
        <v>6</v>
      </c>
      <c r="B44" s="389" t="s">
        <v>497</v>
      </c>
      <c r="C44" s="1066"/>
      <c r="D44" s="1066"/>
      <c r="E44" s="1066"/>
      <c r="F44" s="1066"/>
      <c r="G44" s="1066"/>
      <c r="H44" s="1066"/>
      <c r="I44" s="1066"/>
      <c r="J44" s="1066"/>
      <c r="K44" s="1066"/>
      <c r="L44" s="1066"/>
      <c r="M44" s="1066"/>
      <c r="N44" s="1066"/>
      <c r="O44" s="1542"/>
      <c r="P44" s="725"/>
      <c r="Q44" s="1554"/>
      <c r="R44" s="1564"/>
      <c r="S44" s="1554"/>
      <c r="T44" s="1554"/>
      <c r="U44" s="1554"/>
      <c r="V44" s="1555"/>
      <c r="W44" s="1555"/>
      <c r="X44" s="1555"/>
    </row>
    <row r="45" spans="1:24" ht="15.75" customHeight="1">
      <c r="A45" s="451" t="s">
        <v>95</v>
      </c>
      <c r="B45" s="389" t="s">
        <v>1393</v>
      </c>
      <c r="C45" s="1066"/>
      <c r="D45" s="1066"/>
      <c r="E45" s="1066"/>
      <c r="F45" s="1066"/>
      <c r="G45" s="1066"/>
      <c r="H45" s="1066"/>
      <c r="I45" s="1066"/>
      <c r="J45" s="1066"/>
      <c r="K45" s="1066"/>
      <c r="L45" s="1066"/>
      <c r="M45" s="1066"/>
      <c r="N45" s="1066"/>
      <c r="O45" s="1542"/>
      <c r="P45" s="725"/>
      <c r="Q45" s="1554"/>
      <c r="R45" s="1564"/>
      <c r="S45" s="1554"/>
      <c r="T45" s="1554"/>
      <c r="U45" s="1554"/>
      <c r="V45" s="1555"/>
      <c r="W45" s="1555"/>
      <c r="X45" s="1555"/>
    </row>
    <row r="46" spans="1:24" ht="15.75" customHeight="1">
      <c r="A46" s="451"/>
      <c r="B46" s="682" t="s">
        <v>1784</v>
      </c>
      <c r="C46" s="1066">
        <f>C38</f>
        <v>225</v>
      </c>
      <c r="D46" s="1066">
        <v>0.15</v>
      </c>
      <c r="E46" s="1066"/>
      <c r="F46" s="1066"/>
      <c r="G46" s="1066"/>
      <c r="H46" s="1066"/>
      <c r="I46" s="1066"/>
      <c r="J46" s="1066"/>
      <c r="K46" s="1066"/>
      <c r="L46" s="1066"/>
      <c r="M46" s="1066"/>
      <c r="N46" s="1066">
        <f>C46*D46</f>
        <v>33.75</v>
      </c>
      <c r="O46" s="1542"/>
      <c r="P46" s="725"/>
      <c r="Q46" s="1554"/>
      <c r="R46" s="1564"/>
      <c r="S46" s="1554"/>
      <c r="T46" s="1554"/>
      <c r="U46" s="1554"/>
      <c r="V46" s="1555"/>
      <c r="W46" s="1555"/>
      <c r="X46" s="1555"/>
    </row>
    <row r="47" spans="1:24" ht="15.75" customHeight="1">
      <c r="A47" s="451"/>
      <c r="B47" s="682" t="s">
        <v>1185</v>
      </c>
      <c r="C47" s="1066">
        <f>C46</f>
        <v>225</v>
      </c>
      <c r="D47" s="1066"/>
      <c r="E47" s="1066">
        <v>0.2</v>
      </c>
      <c r="F47" s="1066"/>
      <c r="G47" s="1066"/>
      <c r="H47" s="1066">
        <v>2</v>
      </c>
      <c r="I47" s="1066"/>
      <c r="J47" s="1066"/>
      <c r="K47" s="1066"/>
      <c r="L47" s="1066"/>
      <c r="M47" s="1066"/>
      <c r="N47" s="1544">
        <f>C47*E47*H47</f>
        <v>90</v>
      </c>
      <c r="O47" s="1542"/>
      <c r="P47" s="725"/>
      <c r="Q47" s="1554"/>
      <c r="R47" s="1564"/>
      <c r="S47" s="1554"/>
      <c r="T47" s="1554"/>
      <c r="U47" s="1554"/>
      <c r="V47" s="1555"/>
      <c r="W47" s="1555"/>
      <c r="X47" s="1555"/>
    </row>
    <row r="48" spans="1:24" ht="15.75" customHeight="1">
      <c r="A48" s="451"/>
      <c r="B48" s="389"/>
      <c r="C48" s="1066"/>
      <c r="D48" s="1066"/>
      <c r="E48" s="1066"/>
      <c r="F48" s="1066"/>
      <c r="G48" s="1066"/>
      <c r="H48" s="1066"/>
      <c r="I48" s="1066"/>
      <c r="J48" s="1066"/>
      <c r="K48" s="1066"/>
      <c r="L48" s="1066"/>
      <c r="M48" s="1066"/>
      <c r="N48" s="1545">
        <f>SUM(N46:N47)</f>
        <v>123.75</v>
      </c>
      <c r="O48" s="1542" t="s">
        <v>89</v>
      </c>
      <c r="P48" s="1565">
        <f>ROUND((N48),2)</f>
        <v>123.75</v>
      </c>
      <c r="Q48" s="1554"/>
      <c r="R48" s="1564"/>
      <c r="S48" s="1554"/>
      <c r="T48" s="1554"/>
      <c r="U48" s="1554"/>
      <c r="V48" s="1555"/>
      <c r="W48" s="1555"/>
      <c r="X48" s="1555"/>
    </row>
    <row r="49" spans="1:24" ht="15.75" customHeight="1">
      <c r="A49" s="451" t="s">
        <v>98</v>
      </c>
      <c r="B49" s="389" t="s">
        <v>817</v>
      </c>
      <c r="C49" s="1066">
        <f>C47</f>
        <v>225</v>
      </c>
      <c r="D49" s="1066"/>
      <c r="E49" s="1066"/>
      <c r="F49" s="1066">
        <v>4</v>
      </c>
      <c r="G49" s="1066"/>
      <c r="H49" s="1066"/>
      <c r="I49" s="1066"/>
      <c r="J49" s="1066"/>
      <c r="K49" s="1066"/>
      <c r="L49" s="1066">
        <f>13*13*0.006165</f>
        <v>1.041885</v>
      </c>
      <c r="M49" s="1066"/>
      <c r="N49" s="1066">
        <f>C49*F49*L49</f>
        <v>937.6964999999999</v>
      </c>
      <c r="O49" s="1542" t="s">
        <v>100</v>
      </c>
      <c r="P49" s="1565">
        <f>ROUND((N49),2)</f>
        <v>937.7</v>
      </c>
      <c r="Q49" s="1554"/>
      <c r="R49" s="1564"/>
      <c r="S49" s="1554"/>
      <c r="T49" s="1554"/>
      <c r="U49" s="1554"/>
      <c r="V49" s="1555"/>
      <c r="W49" s="1555"/>
      <c r="X49" s="1555"/>
    </row>
    <row r="50" spans="1:24" ht="15.75" customHeight="1">
      <c r="A50" s="451" t="s">
        <v>101</v>
      </c>
      <c r="B50" s="389" t="s">
        <v>411</v>
      </c>
      <c r="C50" s="1066">
        <f>0.12*4</f>
        <v>0.48</v>
      </c>
      <c r="D50" s="1066"/>
      <c r="E50" s="1066"/>
      <c r="F50" s="1066">
        <f>ROUNDDOWN((C49/0.125),0.5)+1</f>
        <v>1801</v>
      </c>
      <c r="G50" s="1066"/>
      <c r="H50" s="1066"/>
      <c r="I50" s="1066">
        <f>0.05*2</f>
        <v>0.1</v>
      </c>
      <c r="J50" s="1066"/>
      <c r="K50" s="1066"/>
      <c r="L50" s="1066">
        <f>8*8*0.006165</f>
        <v>0.39456000000000002</v>
      </c>
      <c r="M50" s="1066"/>
      <c r="N50" s="1066">
        <f>(C50+I50)*F50*L50</f>
        <v>412.14948479999998</v>
      </c>
      <c r="O50" s="1542" t="s">
        <v>100</v>
      </c>
      <c r="P50" s="1565">
        <f>ROUND((N50),2)</f>
        <v>412.15</v>
      </c>
      <c r="Q50" s="1554"/>
      <c r="R50" s="1564"/>
      <c r="S50" s="1554"/>
      <c r="T50" s="1554"/>
      <c r="U50" s="1554"/>
      <c r="V50" s="1555"/>
      <c r="W50" s="1555"/>
      <c r="X50" s="1555"/>
    </row>
    <row r="51" spans="1:24" ht="15.75" customHeight="1">
      <c r="A51" s="451" t="s">
        <v>121</v>
      </c>
      <c r="B51" s="427" t="s">
        <v>420</v>
      </c>
      <c r="C51" s="1066">
        <f>C49</f>
        <v>225</v>
      </c>
      <c r="D51" s="1066">
        <v>0.2</v>
      </c>
      <c r="E51" s="1066">
        <v>0.2</v>
      </c>
      <c r="F51" s="1066"/>
      <c r="G51" s="1066"/>
      <c r="H51" s="1066"/>
      <c r="I51" s="1066"/>
      <c r="J51" s="1066"/>
      <c r="K51" s="1066"/>
      <c r="L51" s="1066"/>
      <c r="M51" s="1066"/>
      <c r="N51" s="1066">
        <f>C51*D51*E51</f>
        <v>9</v>
      </c>
      <c r="O51" s="1542" t="s">
        <v>103</v>
      </c>
      <c r="P51" s="1565">
        <f>ROUND((N51),2)</f>
        <v>9</v>
      </c>
      <c r="Q51" s="1554"/>
      <c r="R51" s="1564"/>
      <c r="S51" s="1554"/>
      <c r="T51" s="1554"/>
      <c r="U51" s="1554"/>
      <c r="V51" s="1555"/>
      <c r="W51" s="1555"/>
      <c r="X51" s="1555"/>
    </row>
    <row r="52" spans="1:24" ht="15.75" customHeight="1">
      <c r="A52" s="836">
        <f>A44+1</f>
        <v>7</v>
      </c>
      <c r="B52" s="389" t="s">
        <v>700</v>
      </c>
      <c r="C52" s="1066"/>
      <c r="D52" s="1066"/>
      <c r="E52" s="1066"/>
      <c r="F52" s="1066"/>
      <c r="G52" s="1066"/>
      <c r="H52" s="1066"/>
      <c r="I52" s="1066"/>
      <c r="J52" s="1066"/>
      <c r="K52" s="1066"/>
      <c r="L52" s="1066"/>
      <c r="M52" s="1066"/>
      <c r="N52" s="1066"/>
      <c r="O52" s="1542"/>
      <c r="P52" s="725"/>
      <c r="Q52" s="1554"/>
      <c r="R52" s="1564"/>
      <c r="S52" s="1554"/>
      <c r="T52" s="1554"/>
      <c r="U52" s="1554"/>
      <c r="V52" s="1555"/>
      <c r="W52" s="1555"/>
      <c r="X52" s="1555"/>
    </row>
    <row r="53" spans="1:24" ht="15.75" customHeight="1">
      <c r="A53" s="836"/>
      <c r="B53" s="389"/>
      <c r="C53" s="1066">
        <f>C51</f>
        <v>225</v>
      </c>
      <c r="D53" s="1066"/>
      <c r="E53" s="1066">
        <v>1.6</v>
      </c>
      <c r="F53" s="1066"/>
      <c r="G53" s="1066"/>
      <c r="H53" s="1066"/>
      <c r="I53" s="1066"/>
      <c r="J53" s="1066"/>
      <c r="K53" s="1066"/>
      <c r="L53" s="1066"/>
      <c r="M53" s="1066"/>
      <c r="N53" s="1066">
        <f>C53*E53</f>
        <v>360</v>
      </c>
      <c r="O53" s="1542"/>
      <c r="P53" s="725"/>
      <c r="Q53" s="1554"/>
      <c r="R53" s="1564"/>
      <c r="S53" s="1554"/>
      <c r="T53" s="1554"/>
      <c r="U53" s="1554"/>
      <c r="V53" s="1555"/>
      <c r="W53" s="1555"/>
      <c r="X53" s="1555"/>
    </row>
    <row r="54" spans="1:24" ht="15.75" customHeight="1">
      <c r="A54" s="836"/>
      <c r="B54" s="682" t="s">
        <v>1087</v>
      </c>
      <c r="C54" s="1066"/>
      <c r="D54" s="1066">
        <v>0.15</v>
      </c>
      <c r="E54" s="1066">
        <f>E53</f>
        <v>1.6</v>
      </c>
      <c r="F54" s="1066"/>
      <c r="G54" s="1066"/>
      <c r="H54" s="1066"/>
      <c r="I54" s="1066"/>
      <c r="J54" s="1066"/>
      <c r="K54" s="1066"/>
      <c r="L54" s="1066"/>
      <c r="M54" s="1066">
        <f>M43</f>
        <v>76</v>
      </c>
      <c r="N54" s="1544">
        <f>-D54*E54*M54</f>
        <v>-18.239999999999998</v>
      </c>
      <c r="O54" s="1542"/>
      <c r="P54" s="725"/>
      <c r="Q54" s="1554"/>
      <c r="R54" s="1564"/>
      <c r="S54" s="1554"/>
      <c r="T54" s="1554"/>
      <c r="U54" s="1554"/>
      <c r="V54" s="1555"/>
      <c r="W54" s="1555"/>
      <c r="X54" s="1555"/>
    </row>
    <row r="55" spans="1:24" ht="15.75" customHeight="1">
      <c r="A55" s="836"/>
      <c r="B55" s="389"/>
      <c r="C55" s="1066"/>
      <c r="D55" s="1066"/>
      <c r="E55" s="1066"/>
      <c r="F55" s="1066"/>
      <c r="G55" s="1066"/>
      <c r="H55" s="1066"/>
      <c r="I55" s="1066"/>
      <c r="J55" s="1066"/>
      <c r="K55" s="1066"/>
      <c r="L55" s="1066"/>
      <c r="M55" s="1066"/>
      <c r="N55" s="1545">
        <f>SUM(N53:N54)</f>
        <v>341.76</v>
      </c>
      <c r="O55" s="1542" t="s">
        <v>89</v>
      </c>
      <c r="P55" s="1565">
        <f>ROUND((N55),2)</f>
        <v>341.76</v>
      </c>
      <c r="Q55" s="1554"/>
      <c r="R55" s="1564"/>
      <c r="S55" s="1554"/>
      <c r="T55" s="1554"/>
      <c r="U55" s="1554"/>
      <c r="V55" s="1555"/>
      <c r="W55" s="1555"/>
      <c r="X55" s="1555"/>
    </row>
    <row r="56" spans="1:24" ht="15.75" customHeight="1">
      <c r="A56" s="394">
        <f>A52+1</f>
        <v>8</v>
      </c>
      <c r="B56" s="389" t="s">
        <v>1901</v>
      </c>
      <c r="C56" s="1066"/>
      <c r="D56" s="1066"/>
      <c r="E56" s="1066"/>
      <c r="F56" s="1066">
        <f>N55</f>
        <v>341.76</v>
      </c>
      <c r="G56" s="1066"/>
      <c r="H56" s="1066">
        <v>2</v>
      </c>
      <c r="I56" s="1066"/>
      <c r="J56" s="1066"/>
      <c r="K56" s="1066"/>
      <c r="L56" s="1066"/>
      <c r="M56" s="1066"/>
      <c r="N56" s="1066">
        <f>F56*H56</f>
        <v>683.52</v>
      </c>
      <c r="O56" s="1542" t="s">
        <v>89</v>
      </c>
      <c r="P56" s="1565">
        <f>ROUND((N56),2)</f>
        <v>683.52</v>
      </c>
      <c r="Q56" s="1554"/>
      <c r="R56" s="1564"/>
      <c r="S56" s="1554"/>
      <c r="T56" s="1554"/>
      <c r="U56" s="1554"/>
      <c r="V56" s="1555"/>
      <c r="W56" s="1555"/>
      <c r="X56" s="1555"/>
    </row>
    <row r="57" spans="1:24" ht="15.75" customHeight="1">
      <c r="A57" s="394">
        <f>A56+1</f>
        <v>9</v>
      </c>
      <c r="B57" s="389" t="s">
        <v>194</v>
      </c>
      <c r="C57" s="1066"/>
      <c r="D57" s="1066"/>
      <c r="E57" s="1066"/>
      <c r="F57" s="1066"/>
      <c r="G57" s="1066"/>
      <c r="H57" s="1066"/>
      <c r="I57" s="1066"/>
      <c r="J57" s="1066"/>
      <c r="K57" s="1066"/>
      <c r="L57" s="1066"/>
      <c r="M57" s="1066"/>
      <c r="N57" s="1066"/>
      <c r="O57" s="1542"/>
      <c r="P57" s="725"/>
      <c r="Q57" s="1554"/>
      <c r="R57" s="1564"/>
      <c r="S57" s="1554"/>
      <c r="T57" s="1554"/>
      <c r="U57" s="1554"/>
      <c r="V57" s="1555"/>
      <c r="W57" s="1555"/>
      <c r="X57" s="1555"/>
    </row>
    <row r="58" spans="1:24" ht="15.75" customHeight="1">
      <c r="A58" s="394"/>
      <c r="B58" s="682" t="s">
        <v>1902</v>
      </c>
      <c r="C58" s="1066"/>
      <c r="D58" s="1066"/>
      <c r="E58" s="1066"/>
      <c r="F58" s="1066"/>
      <c r="G58" s="1066"/>
      <c r="H58" s="1066"/>
      <c r="I58" s="1066"/>
      <c r="J58" s="1066"/>
      <c r="K58" s="1066"/>
      <c r="L58" s="1066"/>
      <c r="M58" s="1066"/>
      <c r="N58" s="1066">
        <f>N56</f>
        <v>683.52</v>
      </c>
      <c r="O58" s="1542"/>
      <c r="P58" s="725"/>
      <c r="Q58" s="1554"/>
      <c r="R58" s="1564"/>
      <c r="S58" s="1554"/>
      <c r="T58" s="1554"/>
      <c r="U58" s="1554"/>
      <c r="V58" s="1555"/>
      <c r="W58" s="1555"/>
      <c r="X58" s="1555"/>
    </row>
    <row r="59" spans="1:24" ht="15.75" customHeight="1">
      <c r="A59" s="394"/>
      <c r="B59" s="682" t="s">
        <v>1087</v>
      </c>
      <c r="C59" s="1066"/>
      <c r="D59" s="1066">
        <f>D54</f>
        <v>0.15</v>
      </c>
      <c r="E59" s="1066">
        <f>E54</f>
        <v>1.6</v>
      </c>
      <c r="F59" s="1066"/>
      <c r="G59" s="1066"/>
      <c r="H59" s="1066">
        <v>3</v>
      </c>
      <c r="I59" s="1066"/>
      <c r="J59" s="1066"/>
      <c r="K59" s="1066"/>
      <c r="L59" s="1066"/>
      <c r="M59" s="1066">
        <f>M54</f>
        <v>76</v>
      </c>
      <c r="N59" s="1066">
        <f>D59*E59*H59*M59</f>
        <v>54.72</v>
      </c>
      <c r="O59" s="1542"/>
      <c r="P59" s="725"/>
      <c r="Q59" s="1554"/>
      <c r="R59" s="1564"/>
      <c r="S59" s="1554"/>
      <c r="T59" s="1554"/>
      <c r="U59" s="1554"/>
      <c r="V59" s="1555"/>
      <c r="W59" s="1555"/>
      <c r="X59" s="1555"/>
    </row>
    <row r="60" spans="1:24" ht="15.75" customHeight="1">
      <c r="A60" s="394"/>
      <c r="B60" s="682" t="s">
        <v>1360</v>
      </c>
      <c r="C60" s="1066">
        <f>C53</f>
        <v>225</v>
      </c>
      <c r="D60" s="1066"/>
      <c r="E60" s="1066">
        <v>0.3</v>
      </c>
      <c r="F60" s="1066"/>
      <c r="G60" s="1066"/>
      <c r="H60" s="1066">
        <v>2</v>
      </c>
      <c r="I60" s="1066"/>
      <c r="J60" s="1066"/>
      <c r="K60" s="1066"/>
      <c r="L60" s="1066"/>
      <c r="M60" s="1066"/>
      <c r="N60" s="1066">
        <f>C60*E60*H60</f>
        <v>135</v>
      </c>
      <c r="O60" s="1542"/>
      <c r="P60" s="725"/>
      <c r="Q60" s="1554"/>
      <c r="R60" s="1564"/>
      <c r="S60" s="1554"/>
      <c r="T60" s="1554"/>
      <c r="U60" s="1554"/>
      <c r="V60" s="1555"/>
      <c r="W60" s="1555"/>
      <c r="X60" s="1555"/>
    </row>
    <row r="61" spans="1:24" ht="15.75" customHeight="1">
      <c r="A61" s="394"/>
      <c r="B61" s="682" t="s">
        <v>1361</v>
      </c>
      <c r="C61" s="1066">
        <f>C60</f>
        <v>225</v>
      </c>
      <c r="D61" s="1066"/>
      <c r="E61" s="1066">
        <f>E51</f>
        <v>0.2</v>
      </c>
      <c r="F61" s="1066"/>
      <c r="G61" s="1066"/>
      <c r="H61" s="1066">
        <v>3</v>
      </c>
      <c r="I61" s="1066"/>
      <c r="J61" s="1066"/>
      <c r="K61" s="1066"/>
      <c r="L61" s="1066"/>
      <c r="M61" s="1066"/>
      <c r="N61" s="1544">
        <f>C61*E61*H61</f>
        <v>135</v>
      </c>
      <c r="O61" s="1542"/>
      <c r="P61" s="725"/>
      <c r="Q61" s="1554"/>
      <c r="R61" s="1564"/>
      <c r="S61" s="1554"/>
      <c r="T61" s="1554"/>
      <c r="U61" s="1554"/>
      <c r="V61" s="1555"/>
      <c r="W61" s="1555"/>
      <c r="X61" s="1555"/>
    </row>
    <row r="62" spans="1:24" ht="15.75" customHeight="1">
      <c r="A62" s="394"/>
      <c r="B62" s="389"/>
      <c r="C62" s="1066"/>
      <c r="D62" s="1066"/>
      <c r="E62" s="1066"/>
      <c r="F62" s="1066"/>
      <c r="G62" s="1066"/>
      <c r="H62" s="1066"/>
      <c r="I62" s="1066"/>
      <c r="J62" s="1066"/>
      <c r="K62" s="1066"/>
      <c r="L62" s="1066"/>
      <c r="M62" s="1066"/>
      <c r="N62" s="1545">
        <f>SUM(N58:N61)</f>
        <v>1008.24</v>
      </c>
      <c r="O62" s="1542" t="s">
        <v>89</v>
      </c>
      <c r="P62" s="1565">
        <f>ROUND((N62),2)</f>
        <v>1008.24</v>
      </c>
      <c r="Q62" s="1554"/>
      <c r="R62" s="1564"/>
      <c r="S62" s="1554"/>
      <c r="T62" s="1554"/>
      <c r="U62" s="1554"/>
      <c r="V62" s="1555"/>
      <c r="W62" s="1555"/>
      <c r="X62" s="1555"/>
    </row>
    <row r="63" spans="1:24" ht="15.75" customHeight="1">
      <c r="A63" s="394">
        <f>A57+1</f>
        <v>10</v>
      </c>
      <c r="B63" s="389" t="s">
        <v>858</v>
      </c>
      <c r="C63" s="1066"/>
      <c r="D63" s="1066"/>
      <c r="E63" s="1066"/>
      <c r="F63" s="1066"/>
      <c r="G63" s="1066"/>
      <c r="H63" s="1066"/>
      <c r="I63" s="1066"/>
      <c r="J63" s="1066"/>
      <c r="K63" s="1066"/>
      <c r="L63" s="1066"/>
      <c r="M63" s="1066"/>
      <c r="N63" s="1545"/>
      <c r="O63" s="1542"/>
      <c r="P63" s="1565"/>
      <c r="Q63" s="1554"/>
      <c r="R63" s="1564"/>
      <c r="S63" s="1554"/>
      <c r="T63" s="1554"/>
      <c r="U63" s="1554"/>
      <c r="V63" s="1555"/>
      <c r="W63" s="1555"/>
      <c r="X63" s="1555"/>
    </row>
    <row r="64" spans="1:24" ht="15.75" customHeight="1">
      <c r="A64" s="394"/>
      <c r="B64" s="682" t="s">
        <v>1087</v>
      </c>
      <c r="C64" s="1066"/>
      <c r="D64" s="1066"/>
      <c r="E64" s="1066">
        <f>E59</f>
        <v>1.6</v>
      </c>
      <c r="F64" s="1066"/>
      <c r="G64" s="1066"/>
      <c r="H64" s="1066">
        <v>4</v>
      </c>
      <c r="I64" s="1066"/>
      <c r="J64" s="1066"/>
      <c r="K64" s="1066"/>
      <c r="L64" s="1066"/>
      <c r="M64" s="1066">
        <f>M59</f>
        <v>76</v>
      </c>
      <c r="N64" s="1545">
        <f>E64*H64*M64</f>
        <v>486.40000000000003</v>
      </c>
      <c r="O64" s="1542"/>
      <c r="P64" s="1565"/>
      <c r="Q64" s="1554"/>
      <c r="R64" s="1564"/>
      <c r="S64" s="1554"/>
      <c r="T64" s="1554"/>
      <c r="U64" s="1554"/>
      <c r="V64" s="1555"/>
      <c r="W64" s="1555"/>
      <c r="X64" s="1555"/>
    </row>
    <row r="65" spans="1:24" ht="15.75" customHeight="1">
      <c r="A65" s="394"/>
      <c r="B65" s="682" t="s">
        <v>1360</v>
      </c>
      <c r="C65" s="1066">
        <f>C60</f>
        <v>225</v>
      </c>
      <c r="D65" s="1066"/>
      <c r="E65" s="1066"/>
      <c r="F65" s="1066"/>
      <c r="G65" s="1066"/>
      <c r="H65" s="1066">
        <v>2</v>
      </c>
      <c r="I65" s="1066"/>
      <c r="J65" s="1066"/>
      <c r="K65" s="1066"/>
      <c r="L65" s="1066"/>
      <c r="M65" s="1066"/>
      <c r="N65" s="1545">
        <f>C65*H65</f>
        <v>450</v>
      </c>
      <c r="O65" s="1542"/>
      <c r="P65" s="1565"/>
      <c r="Q65" s="1554"/>
      <c r="R65" s="1564"/>
      <c r="S65" s="1554"/>
      <c r="T65" s="1554"/>
      <c r="U65" s="1554"/>
      <c r="V65" s="1555"/>
      <c r="W65" s="1555"/>
      <c r="X65" s="1555"/>
    </row>
    <row r="66" spans="1:24" ht="15.75" customHeight="1">
      <c r="A66" s="394"/>
      <c r="B66" s="682" t="s">
        <v>1361</v>
      </c>
      <c r="C66" s="1066">
        <f>C61</f>
        <v>225</v>
      </c>
      <c r="D66" s="1066"/>
      <c r="E66" s="1066"/>
      <c r="F66" s="1066"/>
      <c r="G66" s="1066"/>
      <c r="H66" s="1066">
        <v>4</v>
      </c>
      <c r="I66" s="1066"/>
      <c r="J66" s="1066"/>
      <c r="K66" s="1066"/>
      <c r="L66" s="1066"/>
      <c r="M66" s="1066"/>
      <c r="N66" s="1544">
        <f>C66*H66</f>
        <v>900</v>
      </c>
      <c r="O66" s="1542"/>
      <c r="P66" s="1565"/>
      <c r="Q66" s="1554"/>
      <c r="R66" s="1564"/>
      <c r="S66" s="1554"/>
      <c r="T66" s="1554"/>
      <c r="U66" s="1554"/>
      <c r="V66" s="1555"/>
      <c r="W66" s="1555"/>
      <c r="X66" s="1555"/>
    </row>
    <row r="67" spans="1:24" ht="15.75" customHeight="1">
      <c r="A67" s="394"/>
      <c r="B67" s="389"/>
      <c r="C67" s="1066"/>
      <c r="D67" s="1066"/>
      <c r="E67" s="1066"/>
      <c r="F67" s="1066"/>
      <c r="G67" s="1066"/>
      <c r="H67" s="1066"/>
      <c r="I67" s="1066"/>
      <c r="J67" s="1066"/>
      <c r="K67" s="1066"/>
      <c r="L67" s="1066"/>
      <c r="M67" s="1066"/>
      <c r="N67" s="1545">
        <f>SUM(N64:N66)</f>
        <v>1836.4</v>
      </c>
      <c r="O67" s="1542" t="s">
        <v>117</v>
      </c>
      <c r="P67" s="1565">
        <f>ROUND((N67),2)</f>
        <v>1836.4</v>
      </c>
      <c r="Q67" s="1554"/>
      <c r="R67" s="1564"/>
      <c r="S67" s="1554"/>
      <c r="T67" s="1554"/>
      <c r="U67" s="1554"/>
      <c r="V67" s="1555"/>
      <c r="W67" s="1555"/>
      <c r="X67" s="1555"/>
    </row>
    <row r="68" spans="1:24" ht="15.75" customHeight="1">
      <c r="A68" s="394">
        <f>A63+1</f>
        <v>11</v>
      </c>
      <c r="B68" s="389" t="s">
        <v>707</v>
      </c>
      <c r="C68" s="1066"/>
      <c r="D68" s="1066"/>
      <c r="E68" s="1066"/>
      <c r="F68" s="1066"/>
      <c r="G68" s="1066"/>
      <c r="H68" s="1066"/>
      <c r="I68" s="1066"/>
      <c r="J68" s="1066"/>
      <c r="K68" s="1066"/>
      <c r="L68" s="1066"/>
      <c r="M68" s="1066"/>
      <c r="N68" s="1066">
        <f>N62</f>
        <v>1008.24</v>
      </c>
      <c r="O68" s="1542" t="s">
        <v>89</v>
      </c>
      <c r="P68" s="1565">
        <f>ROUND((N68),2)</f>
        <v>1008.24</v>
      </c>
      <c r="Q68" s="1554"/>
      <c r="R68" s="1564"/>
      <c r="S68" s="1554"/>
      <c r="T68" s="1554"/>
      <c r="U68" s="1554"/>
      <c r="V68" s="1555"/>
      <c r="W68" s="1555"/>
      <c r="X68" s="1555"/>
    </row>
    <row r="69" spans="1:24" ht="7.5" customHeight="1">
      <c r="A69" s="1567"/>
      <c r="B69" s="1568"/>
      <c r="C69" s="1569"/>
      <c r="D69" s="1569"/>
      <c r="E69" s="1569"/>
      <c r="F69" s="1569"/>
      <c r="G69" s="1569"/>
      <c r="H69" s="1569"/>
      <c r="I69" s="1569"/>
      <c r="J69" s="1569"/>
      <c r="K69" s="1569"/>
      <c r="L69" s="1569"/>
      <c r="M69" s="1569"/>
      <c r="N69" s="1569"/>
      <c r="O69" s="1570"/>
      <c r="P69" s="1571"/>
      <c r="Q69" s="1554"/>
      <c r="R69" s="1554"/>
      <c r="S69" s="1554"/>
      <c r="T69" s="1554"/>
      <c r="U69" s="1554"/>
      <c r="V69" s="1555"/>
      <c r="W69" s="1555"/>
      <c r="X69" s="1555"/>
    </row>
    <row r="70" spans="1:24" ht="15.75" customHeight="1">
      <c r="A70" s="1572"/>
      <c r="B70" s="1554"/>
      <c r="C70" s="1564"/>
      <c r="D70" s="1564"/>
      <c r="E70" s="1564"/>
      <c r="F70" s="1564"/>
      <c r="G70" s="1564"/>
      <c r="H70" s="1564"/>
      <c r="I70" s="1564"/>
      <c r="J70" s="1564"/>
      <c r="K70" s="1564"/>
      <c r="L70" s="1564"/>
      <c r="M70" s="1564"/>
      <c r="N70" s="1564"/>
      <c r="O70" s="1572"/>
      <c r="P70" s="1572"/>
      <c r="Q70" s="1554"/>
      <c r="R70" s="1554"/>
      <c r="S70" s="1554"/>
      <c r="T70" s="1554"/>
      <c r="U70" s="1554"/>
      <c r="V70" s="1555"/>
      <c r="W70" s="1555"/>
      <c r="X70" s="1555"/>
    </row>
    <row r="71" spans="1:24" ht="15.75" customHeight="1">
      <c r="A71" s="1572"/>
      <c r="B71" s="1554"/>
      <c r="C71" s="1564"/>
      <c r="D71" s="1564"/>
      <c r="E71" s="1564"/>
      <c r="F71" s="1564"/>
      <c r="G71" s="1564"/>
      <c r="H71" s="1564"/>
      <c r="I71" s="1564"/>
      <c r="J71" s="1564"/>
      <c r="K71" s="1564"/>
      <c r="L71" s="1564"/>
      <c r="M71" s="1564"/>
      <c r="N71" s="1564"/>
      <c r="O71" s="1572"/>
      <c r="P71" s="1572"/>
      <c r="Q71" s="1554"/>
      <c r="R71" s="1554"/>
      <c r="S71" s="1554"/>
      <c r="T71" s="1554"/>
      <c r="U71" s="1554"/>
      <c r="V71" s="1555"/>
      <c r="W71" s="1555"/>
      <c r="X71" s="1555"/>
    </row>
    <row r="72" spans="1:24" ht="15.75" customHeight="1">
      <c r="A72" s="1572"/>
      <c r="B72" s="1554"/>
      <c r="C72" s="1564"/>
      <c r="D72" s="1564"/>
      <c r="E72" s="1564"/>
      <c r="F72" s="1564"/>
      <c r="G72" s="1564"/>
      <c r="H72" s="1564"/>
      <c r="I72" s="1564"/>
      <c r="J72" s="1564"/>
      <c r="K72" s="1564"/>
      <c r="L72" s="1564"/>
      <c r="M72" s="1564"/>
      <c r="N72" s="1564"/>
      <c r="O72" s="1572"/>
      <c r="P72" s="1572"/>
      <c r="Q72" s="1554"/>
      <c r="R72" s="1554"/>
      <c r="S72" s="1554"/>
      <c r="T72" s="1554"/>
      <c r="U72" s="1554"/>
      <c r="V72" s="1555"/>
      <c r="W72" s="1555"/>
      <c r="X72" s="1555"/>
    </row>
    <row r="73" spans="1:24" ht="15.75" customHeight="1">
      <c r="A73" s="1572"/>
      <c r="B73" s="1554"/>
      <c r="C73" s="1564"/>
      <c r="D73" s="1564"/>
      <c r="E73" s="1564"/>
      <c r="F73" s="1564"/>
      <c r="G73" s="1564"/>
      <c r="H73" s="1564"/>
      <c r="I73" s="1564"/>
      <c r="J73" s="1564"/>
      <c r="K73" s="1564"/>
      <c r="L73" s="1564"/>
      <c r="M73" s="1564"/>
      <c r="N73" s="1564"/>
      <c r="O73" s="1572"/>
      <c r="P73" s="1572"/>
      <c r="Q73" s="1554"/>
      <c r="R73" s="1554"/>
      <c r="S73" s="1554"/>
      <c r="T73" s="1554"/>
      <c r="U73" s="1554"/>
      <c r="V73" s="1555"/>
      <c r="W73" s="1555"/>
      <c r="X73" s="1555"/>
    </row>
    <row r="74" spans="1:24" ht="15.75" customHeight="1">
      <c r="A74" s="1554"/>
      <c r="B74" s="1554"/>
      <c r="C74" s="1564"/>
      <c r="D74" s="1564"/>
      <c r="E74" s="1564"/>
      <c r="F74" s="1564"/>
      <c r="G74" s="1564"/>
      <c r="H74" s="1564"/>
      <c r="I74" s="1564"/>
      <c r="J74" s="1564"/>
      <c r="K74" s="1564"/>
      <c r="L74" s="1564"/>
      <c r="M74" s="1564"/>
      <c r="N74" s="1564"/>
      <c r="O74" s="1572"/>
      <c r="P74" s="1572"/>
      <c r="Q74" s="1554"/>
      <c r="R74" s="1554"/>
      <c r="S74" s="1554"/>
      <c r="T74" s="1554"/>
      <c r="U74" s="1554"/>
      <c r="V74" s="1555"/>
      <c r="W74" s="1555"/>
      <c r="X74" s="1555"/>
    </row>
    <row r="75" spans="1:24" ht="15.75" customHeight="1">
      <c r="A75" s="1554"/>
      <c r="B75" s="1554"/>
      <c r="C75" s="1564"/>
      <c r="D75" s="1564"/>
      <c r="E75" s="1564"/>
      <c r="F75" s="1564"/>
      <c r="G75" s="1564"/>
      <c r="H75" s="1564"/>
      <c r="I75" s="1564"/>
      <c r="J75" s="1564"/>
      <c r="K75" s="1564"/>
      <c r="L75" s="1564"/>
      <c r="M75" s="1564"/>
      <c r="N75" s="1564"/>
      <c r="O75" s="1572"/>
      <c r="P75" s="1572"/>
      <c r="Q75" s="1554"/>
      <c r="R75" s="1554"/>
      <c r="S75" s="1554"/>
      <c r="T75" s="1554"/>
      <c r="U75" s="1554"/>
      <c r="V75" s="1555"/>
      <c r="W75" s="1555"/>
      <c r="X75" s="1555"/>
    </row>
    <row r="76" spans="1:24" ht="15.75" customHeight="1">
      <c r="A76" s="1554"/>
      <c r="B76" s="1554"/>
      <c r="C76" s="1564"/>
      <c r="D76" s="1564"/>
      <c r="E76" s="1564"/>
      <c r="F76" s="1564"/>
      <c r="G76" s="1564"/>
      <c r="H76" s="1564"/>
      <c r="I76" s="1564"/>
      <c r="J76" s="1564"/>
      <c r="K76" s="1564"/>
      <c r="L76" s="1564"/>
      <c r="M76" s="1564"/>
      <c r="N76" s="1564"/>
      <c r="O76" s="1572"/>
      <c r="P76" s="1572"/>
      <c r="Q76" s="1554"/>
      <c r="R76" s="1554"/>
      <c r="S76" s="1554"/>
      <c r="T76" s="1554"/>
      <c r="U76" s="1554"/>
      <c r="V76" s="1555"/>
      <c r="W76" s="1555"/>
      <c r="X76" s="1555"/>
    </row>
    <row r="77" spans="1:24" ht="15.75" customHeight="1">
      <c r="A77" s="1554"/>
      <c r="B77" s="1554"/>
      <c r="C77" s="1564"/>
      <c r="D77" s="1564"/>
      <c r="E77" s="1564"/>
      <c r="F77" s="1564"/>
      <c r="G77" s="1564"/>
      <c r="H77" s="1564"/>
      <c r="I77" s="1564"/>
      <c r="J77" s="1564"/>
      <c r="K77" s="1564"/>
      <c r="L77" s="1564"/>
      <c r="M77" s="1564"/>
      <c r="N77" s="1564"/>
      <c r="O77" s="1572"/>
      <c r="P77" s="1572"/>
      <c r="Q77" s="1554"/>
      <c r="R77" s="1554"/>
      <c r="S77" s="1554"/>
      <c r="T77" s="1554"/>
      <c r="U77" s="1554"/>
      <c r="V77" s="1555"/>
      <c r="W77" s="1555"/>
      <c r="X77" s="1555"/>
    </row>
    <row r="78" spans="1:24" ht="15.75" customHeight="1">
      <c r="A78" s="1554"/>
      <c r="B78" s="1554"/>
      <c r="C78" s="1564"/>
      <c r="D78" s="1564"/>
      <c r="E78" s="1564"/>
      <c r="F78" s="1564"/>
      <c r="G78" s="1564"/>
      <c r="H78" s="1564"/>
      <c r="I78" s="1564"/>
      <c r="J78" s="1564"/>
      <c r="K78" s="1564"/>
      <c r="L78" s="1564"/>
      <c r="M78" s="1564"/>
      <c r="N78" s="1564"/>
      <c r="O78" s="1572"/>
      <c r="P78" s="1572"/>
      <c r="Q78" s="1554"/>
      <c r="R78" s="1554"/>
      <c r="S78" s="1554"/>
      <c r="T78" s="1554"/>
      <c r="U78" s="1554"/>
      <c r="V78" s="1555"/>
      <c r="W78" s="1555"/>
      <c r="X78" s="1555"/>
    </row>
    <row r="79" spans="1:24" ht="15.75" customHeight="1">
      <c r="A79" s="1554"/>
      <c r="B79" s="1554"/>
      <c r="C79" s="1564"/>
      <c r="D79" s="1564"/>
      <c r="E79" s="1564"/>
      <c r="F79" s="1564"/>
      <c r="G79" s="1564"/>
      <c r="H79" s="1564"/>
      <c r="I79" s="1564"/>
      <c r="J79" s="1564"/>
      <c r="K79" s="1564"/>
      <c r="L79" s="1564"/>
      <c r="M79" s="1564"/>
      <c r="N79" s="1564"/>
      <c r="O79" s="1572"/>
      <c r="P79" s="1572"/>
      <c r="Q79" s="1554"/>
      <c r="R79" s="1554"/>
      <c r="S79" s="1554"/>
      <c r="T79" s="1554"/>
      <c r="U79" s="1554"/>
      <c r="V79" s="1555"/>
      <c r="W79" s="1555"/>
      <c r="X79" s="1555"/>
    </row>
    <row r="80" spans="1:24" ht="15.75" customHeight="1">
      <c r="A80" s="1554"/>
      <c r="B80" s="1554"/>
      <c r="C80" s="1564"/>
      <c r="D80" s="1564"/>
      <c r="E80" s="1564"/>
      <c r="F80" s="1564"/>
      <c r="G80" s="1564"/>
      <c r="H80" s="1564"/>
      <c r="I80" s="1564"/>
      <c r="J80" s="1564"/>
      <c r="K80" s="1564"/>
      <c r="L80" s="1564"/>
      <c r="M80" s="1564"/>
      <c r="N80" s="1564"/>
      <c r="O80" s="1572"/>
      <c r="P80" s="1572"/>
      <c r="Q80" s="1554"/>
      <c r="R80" s="1554"/>
      <c r="S80" s="1554"/>
      <c r="T80" s="1554"/>
      <c r="U80" s="1554"/>
      <c r="V80" s="1555"/>
      <c r="W80" s="1555"/>
      <c r="X80" s="1555"/>
    </row>
    <row r="81" spans="1:24" ht="15.75" customHeight="1">
      <c r="A81" s="1554"/>
      <c r="B81" s="1554"/>
      <c r="C81" s="1564"/>
      <c r="D81" s="1564"/>
      <c r="E81" s="1564"/>
      <c r="F81" s="1564"/>
      <c r="G81" s="1564"/>
      <c r="H81" s="1564"/>
      <c r="I81" s="1564"/>
      <c r="J81" s="1564"/>
      <c r="K81" s="1564"/>
      <c r="L81" s="1564"/>
      <c r="M81" s="1564"/>
      <c r="N81" s="1564"/>
      <c r="O81" s="1572"/>
      <c r="P81" s="1572"/>
      <c r="Q81" s="1554"/>
      <c r="R81" s="1554"/>
      <c r="S81" s="1554"/>
      <c r="T81" s="1554"/>
      <c r="U81" s="1554"/>
      <c r="V81" s="1555"/>
      <c r="W81" s="1555"/>
      <c r="X81" s="1555"/>
    </row>
    <row r="82" spans="1:24" ht="15.75" customHeight="1">
      <c r="A82" s="1554"/>
      <c r="B82" s="1554"/>
      <c r="C82" s="1564"/>
      <c r="D82" s="1564"/>
      <c r="E82" s="1564"/>
      <c r="F82" s="1564"/>
      <c r="G82" s="1564"/>
      <c r="H82" s="1564"/>
      <c r="I82" s="1564"/>
      <c r="J82" s="1564"/>
      <c r="K82" s="1564"/>
      <c r="L82" s="1564"/>
      <c r="M82" s="1564"/>
      <c r="N82" s="1564"/>
      <c r="O82" s="1572"/>
      <c r="P82" s="1572"/>
      <c r="Q82" s="1554"/>
      <c r="R82" s="1554"/>
      <c r="S82" s="1554"/>
      <c r="T82" s="1554"/>
      <c r="U82" s="1554"/>
      <c r="V82" s="1555"/>
      <c r="W82" s="1555"/>
      <c r="X82" s="1555"/>
    </row>
    <row r="83" spans="1:24" ht="15.75" customHeight="1">
      <c r="A83" s="1554"/>
      <c r="B83" s="1554"/>
      <c r="C83" s="1564"/>
      <c r="D83" s="1564"/>
      <c r="E83" s="1564"/>
      <c r="F83" s="1564"/>
      <c r="G83" s="1564"/>
      <c r="H83" s="1564"/>
      <c r="I83" s="1564"/>
      <c r="J83" s="1564"/>
      <c r="K83" s="1564"/>
      <c r="L83" s="1564"/>
      <c r="M83" s="1564"/>
      <c r="N83" s="1564"/>
      <c r="O83" s="1572"/>
      <c r="P83" s="1572"/>
      <c r="Q83" s="1554"/>
      <c r="R83" s="1554"/>
      <c r="S83" s="1554"/>
      <c r="T83" s="1554"/>
      <c r="U83" s="1554"/>
      <c r="V83" s="1555"/>
      <c r="W83" s="1555"/>
      <c r="X83" s="1555"/>
    </row>
    <row r="84" spans="1:24" ht="15.75" customHeight="1">
      <c r="A84" s="1554"/>
      <c r="B84" s="1554"/>
      <c r="C84" s="1564"/>
      <c r="D84" s="1564"/>
      <c r="E84" s="1564"/>
      <c r="F84" s="1564"/>
      <c r="G84" s="1564"/>
      <c r="H84" s="1564"/>
      <c r="I84" s="1564"/>
      <c r="J84" s="1564"/>
      <c r="K84" s="1564"/>
      <c r="L84" s="1564"/>
      <c r="M84" s="1564"/>
      <c r="N84" s="1564"/>
      <c r="O84" s="1572"/>
      <c r="P84" s="1572"/>
      <c r="Q84" s="1554"/>
      <c r="R84" s="1554"/>
      <c r="S84" s="1554"/>
      <c r="T84" s="1554"/>
      <c r="U84" s="1554"/>
      <c r="V84" s="1555"/>
      <c r="W84" s="1555"/>
      <c r="X84" s="1555"/>
    </row>
    <row r="85" spans="1:24" ht="15.75" customHeight="1">
      <c r="A85" s="1554"/>
      <c r="B85" s="1554"/>
      <c r="C85" s="1564"/>
      <c r="D85" s="1564"/>
      <c r="E85" s="1564"/>
      <c r="F85" s="1564"/>
      <c r="G85" s="1564"/>
      <c r="H85" s="1564"/>
      <c r="I85" s="1564"/>
      <c r="J85" s="1564"/>
      <c r="K85" s="1564"/>
      <c r="L85" s="1564"/>
      <c r="M85" s="1564"/>
      <c r="N85" s="1564"/>
      <c r="O85" s="1572"/>
      <c r="P85" s="1572"/>
      <c r="Q85" s="1554"/>
      <c r="R85" s="1554"/>
      <c r="S85" s="1554"/>
      <c r="T85" s="1554"/>
      <c r="U85" s="1554"/>
      <c r="V85" s="1555"/>
      <c r="W85" s="1555"/>
      <c r="X85" s="1555"/>
    </row>
    <row r="86" spans="1:24" ht="15.75" customHeight="1">
      <c r="A86" s="1554"/>
      <c r="B86" s="1554"/>
      <c r="C86" s="1564"/>
      <c r="D86" s="1564"/>
      <c r="E86" s="1564"/>
      <c r="F86" s="1564"/>
      <c r="G86" s="1564"/>
      <c r="H86" s="1564"/>
      <c r="I86" s="1564"/>
      <c r="J86" s="1564"/>
      <c r="K86" s="1564"/>
      <c r="L86" s="1564"/>
      <c r="M86" s="1564"/>
      <c r="N86" s="1564"/>
      <c r="O86" s="1572"/>
      <c r="P86" s="1572"/>
      <c r="Q86" s="1554"/>
      <c r="R86" s="1554"/>
      <c r="S86" s="1554"/>
      <c r="T86" s="1554"/>
      <c r="U86" s="1554"/>
      <c r="V86" s="1555"/>
      <c r="W86" s="1555"/>
      <c r="X86" s="1555"/>
    </row>
    <row r="87" spans="1:24" ht="15.75" customHeight="1">
      <c r="A87" s="1554"/>
      <c r="B87" s="1554"/>
      <c r="C87" s="1564"/>
      <c r="D87" s="1564"/>
      <c r="E87" s="1564"/>
      <c r="F87" s="1564"/>
      <c r="G87" s="1564"/>
      <c r="H87" s="1564"/>
      <c r="I87" s="1564"/>
      <c r="J87" s="1564"/>
      <c r="K87" s="1564"/>
      <c r="L87" s="1564"/>
      <c r="M87" s="1564"/>
      <c r="N87" s="1564"/>
      <c r="O87" s="1572"/>
      <c r="P87" s="1572"/>
      <c r="Q87" s="1554"/>
      <c r="R87" s="1554"/>
      <c r="S87" s="1554"/>
      <c r="T87" s="1554"/>
      <c r="U87" s="1554"/>
      <c r="V87" s="1555"/>
      <c r="W87" s="1555"/>
      <c r="X87" s="1555"/>
    </row>
    <row r="88" spans="1:24" ht="15.75" customHeight="1">
      <c r="A88" s="1554"/>
      <c r="B88" s="1554"/>
      <c r="C88" s="1564"/>
      <c r="D88" s="1564"/>
      <c r="E88" s="1564"/>
      <c r="F88" s="1564"/>
      <c r="G88" s="1564"/>
      <c r="H88" s="1564"/>
      <c r="I88" s="1564"/>
      <c r="J88" s="1564"/>
      <c r="K88" s="1564"/>
      <c r="L88" s="1564"/>
      <c r="M88" s="1564"/>
      <c r="N88" s="1564"/>
      <c r="O88" s="1572"/>
      <c r="P88" s="1572"/>
      <c r="Q88" s="1554"/>
      <c r="R88" s="1554"/>
      <c r="S88" s="1554"/>
      <c r="T88" s="1554"/>
      <c r="U88" s="1554"/>
      <c r="V88" s="1555"/>
      <c r="W88" s="1555"/>
      <c r="X88" s="1555"/>
    </row>
    <row r="89" spans="1:24" ht="15.75" customHeight="1">
      <c r="A89" s="1554"/>
      <c r="B89" s="1554"/>
      <c r="C89" s="1564"/>
      <c r="D89" s="1564"/>
      <c r="E89" s="1564"/>
      <c r="F89" s="1564"/>
      <c r="G89" s="1564"/>
      <c r="H89" s="1564"/>
      <c r="I89" s="1564"/>
      <c r="J89" s="1564"/>
      <c r="K89" s="1564"/>
      <c r="L89" s="1564"/>
      <c r="M89" s="1564"/>
      <c r="N89" s="1564"/>
      <c r="O89" s="1572"/>
      <c r="P89" s="1572"/>
      <c r="Q89" s="1554"/>
      <c r="R89" s="1554"/>
      <c r="S89" s="1554"/>
      <c r="T89" s="1554"/>
      <c r="U89" s="1554"/>
      <c r="V89" s="1555"/>
      <c r="W89" s="1555"/>
      <c r="X89" s="1555"/>
    </row>
    <row r="90" spans="1:24" ht="15.75" customHeight="1">
      <c r="A90" s="1554"/>
      <c r="B90" s="1554"/>
      <c r="C90" s="1564"/>
      <c r="D90" s="1564"/>
      <c r="E90" s="1564"/>
      <c r="F90" s="1564"/>
      <c r="G90" s="1564"/>
      <c r="H90" s="1564"/>
      <c r="I90" s="1564"/>
      <c r="J90" s="1564"/>
      <c r="K90" s="1564"/>
      <c r="L90" s="1564"/>
      <c r="M90" s="1564"/>
      <c r="N90" s="1564"/>
      <c r="O90" s="1572"/>
      <c r="P90" s="1572"/>
      <c r="Q90" s="1554"/>
      <c r="R90" s="1554"/>
      <c r="S90" s="1554"/>
      <c r="T90" s="1554"/>
      <c r="U90" s="1554"/>
      <c r="V90" s="1555"/>
      <c r="W90" s="1555"/>
      <c r="X90" s="1555"/>
    </row>
    <row r="91" spans="1:24" ht="15.75" customHeight="1">
      <c r="A91" s="1554"/>
      <c r="B91" s="1554"/>
      <c r="C91" s="1564"/>
      <c r="D91" s="1564"/>
      <c r="E91" s="1564"/>
      <c r="F91" s="1564"/>
      <c r="G91" s="1564"/>
      <c r="H91" s="1564"/>
      <c r="I91" s="1564"/>
      <c r="J91" s="1564"/>
      <c r="K91" s="1564"/>
      <c r="L91" s="1564"/>
      <c r="M91" s="1564"/>
      <c r="N91" s="1564"/>
      <c r="O91" s="1572"/>
      <c r="P91" s="1572"/>
      <c r="Q91" s="1554"/>
      <c r="R91" s="1554"/>
      <c r="S91" s="1554"/>
      <c r="T91" s="1554"/>
      <c r="U91" s="1554"/>
      <c r="V91" s="1555"/>
      <c r="W91" s="1555"/>
      <c r="X91" s="1555"/>
    </row>
    <row r="92" spans="1:24" ht="15.75" customHeight="1">
      <c r="A92" s="1554"/>
      <c r="B92" s="1554"/>
      <c r="C92" s="1564"/>
      <c r="D92" s="1564"/>
      <c r="E92" s="1564"/>
      <c r="F92" s="1564"/>
      <c r="G92" s="1564"/>
      <c r="H92" s="1564"/>
      <c r="I92" s="1564"/>
      <c r="J92" s="1564"/>
      <c r="K92" s="1564"/>
      <c r="L92" s="1564"/>
      <c r="M92" s="1564"/>
      <c r="N92" s="1564"/>
      <c r="O92" s="1572"/>
      <c r="P92" s="1572"/>
      <c r="Q92" s="1554"/>
      <c r="R92" s="1554"/>
      <c r="S92" s="1554"/>
      <c r="T92" s="1554"/>
      <c r="U92" s="1554"/>
      <c r="V92" s="1555"/>
      <c r="W92" s="1555"/>
      <c r="X92" s="1555"/>
    </row>
    <row r="93" spans="1:24" ht="15.75" customHeight="1">
      <c r="A93" s="1554"/>
      <c r="B93" s="1554"/>
      <c r="C93" s="1564"/>
      <c r="D93" s="1564"/>
      <c r="E93" s="1564"/>
      <c r="F93" s="1564"/>
      <c r="G93" s="1564"/>
      <c r="H93" s="1564"/>
      <c r="I93" s="1564"/>
      <c r="J93" s="1564"/>
      <c r="K93" s="1564"/>
      <c r="L93" s="1564"/>
      <c r="M93" s="1564"/>
      <c r="N93" s="1564"/>
      <c r="O93" s="1572"/>
      <c r="P93" s="1572"/>
      <c r="Q93" s="1554"/>
      <c r="R93" s="1554"/>
      <c r="S93" s="1554"/>
      <c r="T93" s="1554"/>
      <c r="U93" s="1554"/>
      <c r="V93" s="1555"/>
      <c r="W93" s="1555"/>
      <c r="X93" s="1555"/>
    </row>
    <row r="94" spans="1:24" ht="15.75" customHeight="1">
      <c r="A94" s="1554"/>
      <c r="B94" s="1554"/>
      <c r="C94" s="1564"/>
      <c r="D94" s="1564"/>
      <c r="E94" s="1564"/>
      <c r="F94" s="1564"/>
      <c r="G94" s="1564"/>
      <c r="H94" s="1564"/>
      <c r="I94" s="1564"/>
      <c r="J94" s="1564"/>
      <c r="K94" s="1564"/>
      <c r="L94" s="1564"/>
      <c r="M94" s="1564"/>
      <c r="N94" s="1564"/>
      <c r="O94" s="1572"/>
      <c r="P94" s="1572"/>
      <c r="Q94" s="1554"/>
      <c r="R94" s="1554"/>
      <c r="S94" s="1554"/>
      <c r="T94" s="1554"/>
      <c r="U94" s="1554"/>
      <c r="V94" s="1555"/>
      <c r="W94" s="1555"/>
      <c r="X94" s="1555"/>
    </row>
    <row r="95" spans="1:24" ht="15.75" customHeight="1">
      <c r="A95" s="1554"/>
      <c r="B95" s="1554"/>
      <c r="C95" s="1564"/>
      <c r="D95" s="1564"/>
      <c r="E95" s="1564"/>
      <c r="F95" s="1564"/>
      <c r="G95" s="1564"/>
      <c r="H95" s="1564"/>
      <c r="I95" s="1564"/>
      <c r="J95" s="1564"/>
      <c r="K95" s="1564"/>
      <c r="L95" s="1564"/>
      <c r="M95" s="1564"/>
      <c r="N95" s="1564"/>
      <c r="O95" s="1572"/>
      <c r="P95" s="1572"/>
      <c r="Q95" s="1554"/>
      <c r="R95" s="1554"/>
      <c r="S95" s="1554"/>
      <c r="T95" s="1554"/>
      <c r="U95" s="1554"/>
      <c r="V95" s="1555"/>
      <c r="W95" s="1555"/>
      <c r="X95" s="1555"/>
    </row>
    <row r="96" spans="1:24" ht="15.75" customHeight="1">
      <c r="A96" s="1554"/>
      <c r="B96" s="1554"/>
      <c r="C96" s="1564"/>
      <c r="D96" s="1564"/>
      <c r="E96" s="1564"/>
      <c r="F96" s="1564"/>
      <c r="G96" s="1564"/>
      <c r="H96" s="1564"/>
      <c r="I96" s="1564"/>
      <c r="J96" s="1564"/>
      <c r="K96" s="1564"/>
      <c r="L96" s="1564"/>
      <c r="M96" s="1564"/>
      <c r="N96" s="1564"/>
      <c r="O96" s="1572"/>
      <c r="P96" s="1572"/>
      <c r="Q96" s="1554"/>
      <c r="R96" s="1554"/>
      <c r="S96" s="1554"/>
      <c r="T96" s="1554"/>
      <c r="U96" s="1554"/>
      <c r="V96" s="1555"/>
      <c r="W96" s="1555"/>
      <c r="X96" s="1555"/>
    </row>
    <row r="97" spans="1:24" ht="15.75" customHeight="1">
      <c r="A97" s="1554"/>
      <c r="B97" s="1554"/>
      <c r="C97" s="1564"/>
      <c r="D97" s="1564"/>
      <c r="E97" s="1564"/>
      <c r="F97" s="1564"/>
      <c r="G97" s="1564"/>
      <c r="H97" s="1564"/>
      <c r="I97" s="1564"/>
      <c r="J97" s="1564"/>
      <c r="K97" s="1564"/>
      <c r="L97" s="1564"/>
      <c r="M97" s="1564"/>
      <c r="N97" s="1564"/>
      <c r="O97" s="1572"/>
      <c r="P97" s="1572"/>
      <c r="Q97" s="1554"/>
      <c r="R97" s="1554"/>
      <c r="S97" s="1554"/>
      <c r="T97" s="1554"/>
      <c r="U97" s="1554"/>
      <c r="V97" s="1555"/>
      <c r="W97" s="1555"/>
      <c r="X97" s="1555"/>
    </row>
    <row r="98" spans="1:24" ht="15.75" customHeight="1">
      <c r="A98" s="1554"/>
      <c r="B98" s="1554"/>
      <c r="C98" s="1564"/>
      <c r="D98" s="1564"/>
      <c r="E98" s="1564"/>
      <c r="F98" s="1564"/>
      <c r="G98" s="1564"/>
      <c r="H98" s="1564"/>
      <c r="I98" s="1564"/>
      <c r="J98" s="1564"/>
      <c r="K98" s="1564"/>
      <c r="L98" s="1564"/>
      <c r="M98" s="1564"/>
      <c r="N98" s="1564"/>
      <c r="O98" s="1572"/>
      <c r="P98" s="1572"/>
      <c r="Q98" s="1554"/>
      <c r="R98" s="1554"/>
      <c r="S98" s="1554"/>
      <c r="T98" s="1554"/>
      <c r="U98" s="1554"/>
      <c r="V98" s="1555"/>
      <c r="W98" s="1555"/>
      <c r="X98" s="1555"/>
    </row>
    <row r="99" spans="1:24" ht="15.75" customHeight="1">
      <c r="A99" s="1554"/>
      <c r="B99" s="1554"/>
      <c r="C99" s="1564"/>
      <c r="D99" s="1564"/>
      <c r="E99" s="1564"/>
      <c r="F99" s="1564"/>
      <c r="G99" s="1564"/>
      <c r="H99" s="1564"/>
      <c r="I99" s="1564"/>
      <c r="J99" s="1564"/>
      <c r="K99" s="1564"/>
      <c r="L99" s="1564"/>
      <c r="M99" s="1564"/>
      <c r="N99" s="1564"/>
      <c r="O99" s="1572"/>
      <c r="P99" s="1572"/>
      <c r="Q99" s="1554"/>
      <c r="R99" s="1554"/>
      <c r="S99" s="1554"/>
      <c r="T99" s="1554"/>
      <c r="U99" s="1554"/>
      <c r="V99" s="1555"/>
      <c r="W99" s="1555"/>
      <c r="X99" s="1555"/>
    </row>
    <row r="100" spans="1:24" ht="15.75" customHeight="1">
      <c r="A100" s="1554"/>
      <c r="B100" s="1554"/>
      <c r="C100" s="1564"/>
      <c r="D100" s="1564"/>
      <c r="E100" s="1564"/>
      <c r="F100" s="1564"/>
      <c r="G100" s="1564"/>
      <c r="H100" s="1564"/>
      <c r="I100" s="1564"/>
      <c r="J100" s="1564"/>
      <c r="K100" s="1564"/>
      <c r="L100" s="1564"/>
      <c r="M100" s="1564"/>
      <c r="N100" s="1564"/>
      <c r="O100" s="1572"/>
      <c r="P100" s="1572"/>
      <c r="Q100" s="1554"/>
      <c r="R100" s="1554"/>
      <c r="S100" s="1554"/>
      <c r="T100" s="1554"/>
      <c r="U100" s="1554"/>
      <c r="V100" s="1555"/>
      <c r="W100" s="1555"/>
      <c r="X100" s="1555"/>
    </row>
    <row r="101" spans="1:24" ht="15.75" customHeight="1">
      <c r="A101" s="1554"/>
      <c r="B101" s="1554"/>
      <c r="C101" s="1564"/>
      <c r="D101" s="1564"/>
      <c r="E101" s="1564"/>
      <c r="F101" s="1564"/>
      <c r="G101" s="1564"/>
      <c r="H101" s="1564"/>
      <c r="I101" s="1564"/>
      <c r="J101" s="1564"/>
      <c r="K101" s="1564"/>
      <c r="L101" s="1564"/>
      <c r="M101" s="1564"/>
      <c r="N101" s="1564"/>
      <c r="O101" s="1572"/>
      <c r="P101" s="1572"/>
      <c r="Q101" s="1554"/>
      <c r="R101" s="1554"/>
      <c r="S101" s="1554"/>
      <c r="T101" s="1554"/>
      <c r="U101" s="1554"/>
      <c r="V101" s="1555"/>
      <c r="W101" s="1555"/>
      <c r="X101" s="1555"/>
    </row>
    <row r="102" spans="1:24" ht="15.75" customHeight="1">
      <c r="A102" s="1554"/>
      <c r="B102" s="1554"/>
      <c r="C102" s="1564"/>
      <c r="D102" s="1564"/>
      <c r="E102" s="1564"/>
      <c r="F102" s="1564"/>
      <c r="G102" s="1564"/>
      <c r="H102" s="1564"/>
      <c r="I102" s="1564"/>
      <c r="J102" s="1564"/>
      <c r="K102" s="1564"/>
      <c r="L102" s="1564"/>
      <c r="M102" s="1564"/>
      <c r="N102" s="1564"/>
      <c r="O102" s="1572"/>
      <c r="P102" s="1572"/>
      <c r="Q102" s="1554"/>
      <c r="R102" s="1554"/>
      <c r="S102" s="1554"/>
      <c r="T102" s="1554"/>
      <c r="U102" s="1554"/>
      <c r="V102" s="1555"/>
      <c r="W102" s="1555"/>
      <c r="X102" s="1555"/>
    </row>
    <row r="103" spans="1:24" ht="15.75" customHeight="1">
      <c r="A103" s="1554"/>
      <c r="B103" s="1554"/>
      <c r="C103" s="1564"/>
      <c r="D103" s="1564"/>
      <c r="E103" s="1564"/>
      <c r="F103" s="1564"/>
      <c r="G103" s="1564"/>
      <c r="H103" s="1564"/>
      <c r="I103" s="1564"/>
      <c r="J103" s="1564"/>
      <c r="K103" s="1564"/>
      <c r="L103" s="1564"/>
      <c r="M103" s="1564"/>
      <c r="N103" s="1564"/>
      <c r="O103" s="1572"/>
      <c r="P103" s="1572"/>
      <c r="Q103" s="1554"/>
      <c r="R103" s="1554"/>
      <c r="S103" s="1554"/>
      <c r="T103" s="1554"/>
      <c r="U103" s="1554"/>
      <c r="V103" s="1555"/>
      <c r="W103" s="1555"/>
      <c r="X103" s="1555"/>
    </row>
    <row r="104" spans="1:24" ht="15.75" customHeight="1">
      <c r="A104" s="1554"/>
      <c r="B104" s="1554"/>
      <c r="C104" s="1564"/>
      <c r="D104" s="1564"/>
      <c r="E104" s="1564"/>
      <c r="F104" s="1564"/>
      <c r="G104" s="1564"/>
      <c r="H104" s="1564"/>
      <c r="I104" s="1564"/>
      <c r="J104" s="1564"/>
      <c r="K104" s="1564"/>
      <c r="L104" s="1564"/>
      <c r="M104" s="1564"/>
      <c r="N104" s="1564"/>
      <c r="O104" s="1572"/>
      <c r="P104" s="1572"/>
      <c r="Q104" s="1554"/>
      <c r="R104" s="1554"/>
      <c r="S104" s="1554"/>
      <c r="T104" s="1554"/>
      <c r="U104" s="1554"/>
      <c r="V104" s="1555"/>
      <c r="W104" s="1555"/>
      <c r="X104" s="1555"/>
    </row>
    <row r="105" spans="1:24" ht="15.75" customHeight="1">
      <c r="A105" s="1554"/>
      <c r="B105" s="1554"/>
      <c r="C105" s="1564"/>
      <c r="D105" s="1564"/>
      <c r="E105" s="1564"/>
      <c r="F105" s="1564"/>
      <c r="G105" s="1564"/>
      <c r="H105" s="1564"/>
      <c r="I105" s="1564"/>
      <c r="J105" s="1564"/>
      <c r="K105" s="1564"/>
      <c r="L105" s="1564"/>
      <c r="M105" s="1564"/>
      <c r="N105" s="1564"/>
      <c r="O105" s="1572"/>
      <c r="P105" s="1572"/>
      <c r="Q105" s="1554"/>
      <c r="R105" s="1554"/>
      <c r="S105" s="1554"/>
      <c r="T105" s="1554"/>
      <c r="U105" s="1554"/>
      <c r="V105" s="1555"/>
      <c r="W105" s="1555"/>
      <c r="X105" s="1555"/>
    </row>
    <row r="106" spans="1:24" ht="15.75" customHeight="1">
      <c r="A106" s="1554"/>
      <c r="B106" s="1554"/>
      <c r="C106" s="1564"/>
      <c r="D106" s="1564"/>
      <c r="E106" s="1564"/>
      <c r="F106" s="1564"/>
      <c r="G106" s="1564"/>
      <c r="H106" s="1564"/>
      <c r="I106" s="1564"/>
      <c r="J106" s="1564"/>
      <c r="K106" s="1564"/>
      <c r="L106" s="1564"/>
      <c r="M106" s="1564"/>
      <c r="N106" s="1564"/>
      <c r="O106" s="1572"/>
      <c r="P106" s="1572"/>
      <c r="Q106" s="1554"/>
      <c r="R106" s="1554"/>
      <c r="S106" s="1554"/>
      <c r="T106" s="1554"/>
      <c r="U106" s="1554"/>
      <c r="V106" s="1555"/>
      <c r="W106" s="1555"/>
      <c r="X106" s="1555"/>
    </row>
    <row r="107" spans="1:24" ht="15.75" customHeight="1">
      <c r="A107" s="1554"/>
      <c r="B107" s="1554"/>
      <c r="C107" s="1564"/>
      <c r="D107" s="1564"/>
      <c r="E107" s="1564"/>
      <c r="F107" s="1564"/>
      <c r="G107" s="1564"/>
      <c r="H107" s="1564"/>
      <c r="I107" s="1564"/>
      <c r="J107" s="1564"/>
      <c r="K107" s="1564"/>
      <c r="L107" s="1564"/>
      <c r="M107" s="1564"/>
      <c r="N107" s="1564"/>
      <c r="O107" s="1572"/>
      <c r="P107" s="1572"/>
      <c r="Q107" s="1554"/>
      <c r="R107" s="1554"/>
      <c r="S107" s="1554"/>
      <c r="T107" s="1554"/>
      <c r="U107" s="1554"/>
      <c r="V107" s="1555"/>
      <c r="W107" s="1555"/>
      <c r="X107" s="1555"/>
    </row>
    <row r="108" spans="1:24" ht="15.75" customHeight="1">
      <c r="A108" s="1554"/>
      <c r="B108" s="1554"/>
      <c r="C108" s="1564"/>
      <c r="D108" s="1564"/>
      <c r="E108" s="1564"/>
      <c r="F108" s="1564"/>
      <c r="G108" s="1564"/>
      <c r="H108" s="1564"/>
      <c r="I108" s="1564"/>
      <c r="J108" s="1564"/>
      <c r="K108" s="1564"/>
      <c r="L108" s="1564"/>
      <c r="M108" s="1564"/>
      <c r="N108" s="1564"/>
      <c r="O108" s="1572"/>
      <c r="P108" s="1572"/>
      <c r="Q108" s="1554"/>
      <c r="R108" s="1554"/>
      <c r="S108" s="1554"/>
      <c r="T108" s="1554"/>
      <c r="U108" s="1554"/>
      <c r="V108" s="1555"/>
      <c r="W108" s="1555"/>
      <c r="X108" s="1555"/>
    </row>
    <row r="109" spans="1:24" ht="15.75" customHeight="1">
      <c r="A109" s="1554"/>
      <c r="B109" s="1554"/>
      <c r="C109" s="1564"/>
      <c r="D109" s="1564"/>
      <c r="E109" s="1564"/>
      <c r="F109" s="1564"/>
      <c r="G109" s="1564"/>
      <c r="H109" s="1564"/>
      <c r="I109" s="1564"/>
      <c r="J109" s="1564"/>
      <c r="K109" s="1564"/>
      <c r="L109" s="1564"/>
      <c r="M109" s="1564"/>
      <c r="N109" s="1564"/>
      <c r="O109" s="1572"/>
      <c r="P109" s="1572"/>
      <c r="Q109" s="1554"/>
      <c r="R109" s="1554"/>
      <c r="S109" s="1554"/>
      <c r="T109" s="1554"/>
      <c r="U109" s="1554"/>
      <c r="V109" s="1555"/>
      <c r="W109" s="1555"/>
      <c r="X109" s="1555"/>
    </row>
    <row r="110" spans="1:24" ht="15.75" customHeight="1">
      <c r="A110" s="1554"/>
      <c r="B110" s="1554"/>
      <c r="C110" s="1564"/>
      <c r="D110" s="1564"/>
      <c r="E110" s="1564"/>
      <c r="F110" s="1564"/>
      <c r="G110" s="1564"/>
      <c r="H110" s="1564"/>
      <c r="I110" s="1564"/>
      <c r="J110" s="1564"/>
      <c r="K110" s="1564"/>
      <c r="L110" s="1564"/>
      <c r="M110" s="1564"/>
      <c r="N110" s="1564"/>
      <c r="O110" s="1572"/>
      <c r="P110" s="1572"/>
      <c r="Q110" s="1554"/>
      <c r="R110" s="1554"/>
      <c r="S110" s="1554"/>
      <c r="T110" s="1554"/>
      <c r="U110" s="1554"/>
      <c r="V110" s="1555"/>
      <c r="W110" s="1555"/>
      <c r="X110" s="1555"/>
    </row>
    <row r="111" spans="1:24" ht="15.75" customHeight="1">
      <c r="A111" s="1554"/>
      <c r="B111" s="1554"/>
      <c r="C111" s="1564"/>
      <c r="D111" s="1564"/>
      <c r="E111" s="1564"/>
      <c r="F111" s="1564"/>
      <c r="G111" s="1564"/>
      <c r="H111" s="1564"/>
      <c r="I111" s="1564"/>
      <c r="J111" s="1564"/>
      <c r="K111" s="1564"/>
      <c r="L111" s="1564"/>
      <c r="M111" s="1564"/>
      <c r="N111" s="1564"/>
      <c r="O111" s="1572"/>
      <c r="P111" s="1572"/>
      <c r="Q111" s="1554"/>
      <c r="R111" s="1554"/>
      <c r="S111" s="1554"/>
      <c r="T111" s="1554"/>
      <c r="U111" s="1554"/>
      <c r="V111" s="1555"/>
      <c r="W111" s="1555"/>
      <c r="X111" s="1555"/>
    </row>
    <row r="112" spans="1:24" ht="15.75" customHeight="1">
      <c r="A112" s="1554"/>
      <c r="B112" s="1554"/>
      <c r="C112" s="1564"/>
      <c r="D112" s="1564"/>
      <c r="E112" s="1564"/>
      <c r="F112" s="1564"/>
      <c r="G112" s="1564"/>
      <c r="H112" s="1564"/>
      <c r="I112" s="1564"/>
      <c r="J112" s="1564"/>
      <c r="K112" s="1564"/>
      <c r="L112" s="1564"/>
      <c r="M112" s="1564"/>
      <c r="N112" s="1564"/>
      <c r="O112" s="1572"/>
      <c r="P112" s="1572"/>
      <c r="Q112" s="1554"/>
      <c r="R112" s="1554"/>
      <c r="S112" s="1554"/>
      <c r="T112" s="1554"/>
      <c r="U112" s="1554"/>
      <c r="V112" s="1555"/>
      <c r="W112" s="1555"/>
      <c r="X112" s="1555"/>
    </row>
    <row r="113" spans="1:24" ht="15.75" customHeight="1">
      <c r="A113" s="1554"/>
      <c r="B113" s="1554"/>
      <c r="C113" s="1564"/>
      <c r="D113" s="1564"/>
      <c r="E113" s="1564"/>
      <c r="F113" s="1564"/>
      <c r="G113" s="1564"/>
      <c r="H113" s="1564"/>
      <c r="I113" s="1564"/>
      <c r="J113" s="1564"/>
      <c r="K113" s="1564"/>
      <c r="L113" s="1564"/>
      <c r="M113" s="1564"/>
      <c r="N113" s="1564"/>
      <c r="O113" s="1572"/>
      <c r="P113" s="1572"/>
      <c r="Q113" s="1554"/>
      <c r="R113" s="1554"/>
      <c r="S113" s="1554"/>
      <c r="T113" s="1554"/>
      <c r="U113" s="1554"/>
      <c r="V113" s="1555"/>
      <c r="W113" s="1555"/>
      <c r="X113" s="1555"/>
    </row>
    <row r="114" spans="1:24" ht="15.75" customHeight="1">
      <c r="A114" s="1554"/>
      <c r="B114" s="1554"/>
      <c r="C114" s="1564"/>
      <c r="D114" s="1564"/>
      <c r="E114" s="1564"/>
      <c r="F114" s="1564"/>
      <c r="G114" s="1564"/>
      <c r="H114" s="1564"/>
      <c r="I114" s="1564"/>
      <c r="J114" s="1564"/>
      <c r="K114" s="1564"/>
      <c r="L114" s="1564"/>
      <c r="M114" s="1564"/>
      <c r="N114" s="1564"/>
      <c r="O114" s="1572"/>
      <c r="P114" s="1572"/>
      <c r="Q114" s="1554"/>
      <c r="R114" s="1554"/>
      <c r="S114" s="1554"/>
      <c r="T114" s="1554"/>
      <c r="U114" s="1554"/>
      <c r="V114" s="1555"/>
      <c r="W114" s="1555"/>
      <c r="X114" s="1555"/>
    </row>
    <row r="115" spans="1:24" ht="15.75" customHeight="1">
      <c r="A115" s="1554"/>
      <c r="B115" s="1554"/>
      <c r="C115" s="1564"/>
      <c r="D115" s="1564"/>
      <c r="E115" s="1564"/>
      <c r="F115" s="1564"/>
      <c r="G115" s="1564"/>
      <c r="H115" s="1564"/>
      <c r="I115" s="1564"/>
      <c r="J115" s="1564"/>
      <c r="K115" s="1564"/>
      <c r="L115" s="1564"/>
      <c r="M115" s="1564"/>
      <c r="N115" s="1564"/>
      <c r="O115" s="1572"/>
      <c r="P115" s="1572"/>
      <c r="Q115" s="1554"/>
      <c r="R115" s="1554"/>
      <c r="S115" s="1554"/>
      <c r="T115" s="1554"/>
      <c r="U115" s="1554"/>
      <c r="V115" s="1555"/>
      <c r="W115" s="1555"/>
      <c r="X115" s="1555"/>
    </row>
    <row r="116" spans="1:24" ht="15.75" customHeight="1">
      <c r="A116" s="1554"/>
      <c r="B116" s="1554"/>
      <c r="C116" s="1564"/>
      <c r="D116" s="1564"/>
      <c r="E116" s="1564"/>
      <c r="F116" s="1564"/>
      <c r="G116" s="1564"/>
      <c r="H116" s="1564"/>
      <c r="I116" s="1564"/>
      <c r="J116" s="1564"/>
      <c r="K116" s="1564"/>
      <c r="L116" s="1564"/>
      <c r="M116" s="1564"/>
      <c r="N116" s="1564"/>
      <c r="O116" s="1572"/>
      <c r="P116" s="1572"/>
      <c r="Q116" s="1554"/>
      <c r="R116" s="1554"/>
      <c r="S116" s="1554"/>
      <c r="T116" s="1554"/>
      <c r="U116" s="1554"/>
      <c r="V116" s="1555"/>
      <c r="W116" s="1555"/>
      <c r="X116" s="1555"/>
    </row>
    <row r="117" spans="1:24" ht="15.75" customHeight="1">
      <c r="A117" s="1554"/>
      <c r="B117" s="1554"/>
      <c r="C117" s="1564"/>
      <c r="D117" s="1564"/>
      <c r="E117" s="1564"/>
      <c r="F117" s="1564"/>
      <c r="G117" s="1564"/>
      <c r="H117" s="1564"/>
      <c r="I117" s="1564"/>
      <c r="J117" s="1564"/>
      <c r="K117" s="1564"/>
      <c r="L117" s="1564"/>
      <c r="M117" s="1564"/>
      <c r="N117" s="1564"/>
      <c r="O117" s="1572"/>
      <c r="P117" s="1572"/>
      <c r="Q117" s="1554"/>
      <c r="R117" s="1554"/>
      <c r="S117" s="1554"/>
      <c r="T117" s="1554"/>
      <c r="U117" s="1554"/>
      <c r="V117" s="1555"/>
      <c r="W117" s="1555"/>
      <c r="X117" s="1555"/>
    </row>
    <row r="118" spans="1:24" ht="15.75" customHeight="1">
      <c r="A118" s="1554"/>
      <c r="B118" s="1554"/>
      <c r="C118" s="1564"/>
      <c r="D118" s="1564"/>
      <c r="E118" s="1564"/>
      <c r="F118" s="1564"/>
      <c r="G118" s="1564"/>
      <c r="H118" s="1564"/>
      <c r="I118" s="1564"/>
      <c r="J118" s="1564"/>
      <c r="K118" s="1564"/>
      <c r="L118" s="1564"/>
      <c r="M118" s="1564"/>
      <c r="N118" s="1564"/>
      <c r="O118" s="1572"/>
      <c r="P118" s="1572"/>
      <c r="Q118" s="1554"/>
      <c r="R118" s="1554"/>
      <c r="S118" s="1554"/>
      <c r="T118" s="1554"/>
      <c r="U118" s="1554"/>
      <c r="V118" s="1555"/>
      <c r="W118" s="1555"/>
      <c r="X118" s="1555"/>
    </row>
    <row r="119" spans="1:24" ht="15.75" customHeight="1">
      <c r="A119" s="1554"/>
      <c r="B119" s="1554"/>
      <c r="C119" s="1564"/>
      <c r="D119" s="1564"/>
      <c r="E119" s="1564"/>
      <c r="F119" s="1564"/>
      <c r="G119" s="1564"/>
      <c r="H119" s="1564"/>
      <c r="I119" s="1564"/>
      <c r="J119" s="1564"/>
      <c r="K119" s="1564"/>
      <c r="L119" s="1564"/>
      <c r="M119" s="1564"/>
      <c r="N119" s="1564"/>
      <c r="O119" s="1572"/>
      <c r="P119" s="1572"/>
      <c r="Q119" s="1554"/>
      <c r="R119" s="1554"/>
      <c r="S119" s="1554"/>
      <c r="T119" s="1554"/>
      <c r="U119" s="1554"/>
      <c r="V119" s="1555"/>
      <c r="W119" s="1555"/>
      <c r="X119" s="1555"/>
    </row>
    <row r="120" spans="1:24" ht="15.75" customHeight="1">
      <c r="A120" s="1554"/>
      <c r="B120" s="1554"/>
      <c r="C120" s="1564"/>
      <c r="D120" s="1564"/>
      <c r="E120" s="1564"/>
      <c r="F120" s="1564"/>
      <c r="G120" s="1564"/>
      <c r="H120" s="1564"/>
      <c r="I120" s="1564"/>
      <c r="J120" s="1564"/>
      <c r="K120" s="1564"/>
      <c r="L120" s="1564"/>
      <c r="M120" s="1564"/>
      <c r="N120" s="1564"/>
      <c r="O120" s="1572"/>
      <c r="P120" s="1572"/>
      <c r="Q120" s="1554"/>
      <c r="R120" s="1554"/>
      <c r="S120" s="1554"/>
      <c r="T120" s="1554"/>
      <c r="U120" s="1554"/>
      <c r="V120" s="1555"/>
      <c r="W120" s="1555"/>
      <c r="X120" s="1555"/>
    </row>
    <row r="121" spans="1:24" ht="15.75" customHeight="1">
      <c r="A121" s="1554"/>
      <c r="B121" s="1554"/>
      <c r="C121" s="1564"/>
      <c r="D121" s="1564"/>
      <c r="E121" s="1564"/>
      <c r="F121" s="1564"/>
      <c r="G121" s="1564"/>
      <c r="H121" s="1564"/>
      <c r="I121" s="1564"/>
      <c r="J121" s="1564"/>
      <c r="K121" s="1564"/>
      <c r="L121" s="1564"/>
      <c r="M121" s="1564"/>
      <c r="N121" s="1564"/>
      <c r="O121" s="1572"/>
      <c r="P121" s="1572"/>
      <c r="Q121" s="1554"/>
      <c r="R121" s="1554"/>
      <c r="S121" s="1554"/>
      <c r="T121" s="1554"/>
      <c r="U121" s="1554"/>
      <c r="V121" s="1555"/>
      <c r="W121" s="1555"/>
      <c r="X121" s="1555"/>
    </row>
    <row r="122" spans="1:24" ht="15.75" customHeight="1">
      <c r="A122" s="1554"/>
      <c r="B122" s="1554"/>
      <c r="C122" s="1564"/>
      <c r="D122" s="1564"/>
      <c r="E122" s="1564"/>
      <c r="F122" s="1564"/>
      <c r="G122" s="1564"/>
      <c r="H122" s="1564"/>
      <c r="I122" s="1564"/>
      <c r="J122" s="1564"/>
      <c r="K122" s="1564"/>
      <c r="L122" s="1564"/>
      <c r="M122" s="1564"/>
      <c r="N122" s="1564"/>
      <c r="O122" s="1572"/>
      <c r="P122" s="1572"/>
      <c r="Q122" s="1554"/>
      <c r="R122" s="1554"/>
      <c r="S122" s="1554"/>
      <c r="T122" s="1554"/>
      <c r="U122" s="1554"/>
      <c r="V122" s="1555"/>
      <c r="W122" s="1555"/>
      <c r="X122" s="1555"/>
    </row>
    <row r="123" spans="1:24" ht="15.75" customHeight="1">
      <c r="A123" s="1554"/>
      <c r="B123" s="1554"/>
      <c r="C123" s="1564"/>
      <c r="D123" s="1564"/>
      <c r="E123" s="1564"/>
      <c r="F123" s="1564"/>
      <c r="G123" s="1564"/>
      <c r="H123" s="1564"/>
      <c r="I123" s="1564"/>
      <c r="J123" s="1564"/>
      <c r="K123" s="1564"/>
      <c r="L123" s="1564"/>
      <c r="M123" s="1564"/>
      <c r="N123" s="1564"/>
      <c r="O123" s="1572"/>
      <c r="P123" s="1572"/>
      <c r="Q123" s="1554"/>
      <c r="R123" s="1554"/>
      <c r="S123" s="1554"/>
      <c r="T123" s="1554"/>
      <c r="U123" s="1554"/>
      <c r="V123" s="1555"/>
      <c r="W123" s="1555"/>
      <c r="X123" s="1555"/>
    </row>
    <row r="124" spans="1:24" ht="15.75" customHeight="1">
      <c r="A124" s="1554"/>
      <c r="B124" s="1554"/>
      <c r="C124" s="1564"/>
      <c r="D124" s="1564"/>
      <c r="E124" s="1564"/>
      <c r="F124" s="1564"/>
      <c r="G124" s="1564"/>
      <c r="H124" s="1564"/>
      <c r="I124" s="1564"/>
      <c r="J124" s="1564"/>
      <c r="K124" s="1564"/>
      <c r="L124" s="1564"/>
      <c r="M124" s="1564"/>
      <c r="N124" s="1564"/>
      <c r="O124" s="1572"/>
      <c r="P124" s="1572"/>
      <c r="Q124" s="1554"/>
      <c r="R124" s="1554"/>
      <c r="S124" s="1554"/>
      <c r="T124" s="1554"/>
      <c r="U124" s="1554"/>
      <c r="V124" s="1555"/>
      <c r="W124" s="1555"/>
      <c r="X124" s="1555"/>
    </row>
    <row r="125" spans="1:24" ht="15.75" customHeight="1">
      <c r="A125" s="1554"/>
      <c r="B125" s="1554"/>
      <c r="C125" s="1564"/>
      <c r="D125" s="1564"/>
      <c r="E125" s="1564"/>
      <c r="F125" s="1564"/>
      <c r="G125" s="1564"/>
      <c r="H125" s="1564"/>
      <c r="I125" s="1564"/>
      <c r="J125" s="1564"/>
      <c r="K125" s="1564"/>
      <c r="L125" s="1564"/>
      <c r="M125" s="1564"/>
      <c r="N125" s="1564"/>
      <c r="O125" s="1572"/>
      <c r="P125" s="1572"/>
      <c r="Q125" s="1554"/>
      <c r="R125" s="1554"/>
      <c r="S125" s="1554"/>
      <c r="T125" s="1554"/>
      <c r="U125" s="1554"/>
      <c r="V125" s="1555"/>
      <c r="W125" s="1555"/>
      <c r="X125" s="1555"/>
    </row>
    <row r="126" spans="1:24" ht="15.75" customHeight="1">
      <c r="A126" s="1554"/>
      <c r="B126" s="1554"/>
      <c r="C126" s="1564"/>
      <c r="D126" s="1564"/>
      <c r="E126" s="1564"/>
      <c r="F126" s="1564"/>
      <c r="G126" s="1564"/>
      <c r="H126" s="1564"/>
      <c r="I126" s="1564"/>
      <c r="J126" s="1564"/>
      <c r="K126" s="1564"/>
      <c r="L126" s="1564"/>
      <c r="M126" s="1564"/>
      <c r="N126" s="1564"/>
      <c r="O126" s="1572"/>
      <c r="P126" s="1572"/>
      <c r="Q126" s="1554"/>
      <c r="R126" s="1554"/>
      <c r="S126" s="1554"/>
      <c r="T126" s="1554"/>
      <c r="U126" s="1554"/>
      <c r="V126" s="1555"/>
      <c r="W126" s="1555"/>
      <c r="X126" s="1555"/>
    </row>
    <row r="127" spans="1:24" ht="15.75" customHeight="1">
      <c r="A127" s="1554"/>
      <c r="B127" s="1554"/>
      <c r="C127" s="1564"/>
      <c r="D127" s="1564"/>
      <c r="E127" s="1564"/>
      <c r="F127" s="1564"/>
      <c r="G127" s="1564"/>
      <c r="H127" s="1564"/>
      <c r="I127" s="1564"/>
      <c r="J127" s="1564"/>
      <c r="K127" s="1564"/>
      <c r="L127" s="1564"/>
      <c r="M127" s="1564"/>
      <c r="N127" s="1564"/>
      <c r="O127" s="1572"/>
      <c r="P127" s="1572"/>
      <c r="Q127" s="1554"/>
      <c r="R127" s="1554"/>
      <c r="S127" s="1554"/>
      <c r="T127" s="1554"/>
      <c r="U127" s="1554"/>
      <c r="V127" s="1555"/>
      <c r="W127" s="1555"/>
      <c r="X127" s="1555"/>
    </row>
    <row r="128" spans="1:24" ht="15.75" customHeight="1">
      <c r="A128" s="1554"/>
      <c r="B128" s="1554"/>
      <c r="C128" s="1564"/>
      <c r="D128" s="1564"/>
      <c r="E128" s="1564"/>
      <c r="F128" s="1564"/>
      <c r="G128" s="1564"/>
      <c r="H128" s="1564"/>
      <c r="I128" s="1564"/>
      <c r="J128" s="1564"/>
      <c r="K128" s="1564"/>
      <c r="L128" s="1564"/>
      <c r="M128" s="1564"/>
      <c r="N128" s="1564"/>
      <c r="O128" s="1572"/>
      <c r="P128" s="1572"/>
      <c r="Q128" s="1554"/>
      <c r="R128" s="1554"/>
      <c r="S128" s="1554"/>
      <c r="T128" s="1554"/>
      <c r="U128" s="1554"/>
      <c r="V128" s="1555"/>
      <c r="W128" s="1555"/>
      <c r="X128" s="1555"/>
    </row>
    <row r="129" spans="1:24" ht="15.75" customHeight="1">
      <c r="A129" s="1554"/>
      <c r="B129" s="1554"/>
      <c r="C129" s="1564"/>
      <c r="D129" s="1564"/>
      <c r="E129" s="1564"/>
      <c r="F129" s="1564"/>
      <c r="G129" s="1564"/>
      <c r="H129" s="1564"/>
      <c r="I129" s="1564"/>
      <c r="J129" s="1564"/>
      <c r="K129" s="1564"/>
      <c r="L129" s="1564"/>
      <c r="M129" s="1564"/>
      <c r="N129" s="1564"/>
      <c r="O129" s="1572"/>
      <c r="P129" s="1572"/>
      <c r="Q129" s="1554"/>
      <c r="R129" s="1554"/>
      <c r="S129" s="1554"/>
      <c r="T129" s="1554"/>
      <c r="U129" s="1554"/>
      <c r="V129" s="1555"/>
      <c r="W129" s="1555"/>
      <c r="X129" s="1555"/>
    </row>
    <row r="130" spans="1:24" ht="15.75" customHeight="1">
      <c r="A130" s="1554"/>
      <c r="B130" s="1554"/>
      <c r="C130" s="1564"/>
      <c r="D130" s="1564"/>
      <c r="E130" s="1564"/>
      <c r="F130" s="1564"/>
      <c r="G130" s="1564"/>
      <c r="H130" s="1564"/>
      <c r="I130" s="1564"/>
      <c r="J130" s="1564"/>
      <c r="K130" s="1564"/>
      <c r="L130" s="1564"/>
      <c r="M130" s="1564"/>
      <c r="N130" s="1564"/>
      <c r="O130" s="1572"/>
      <c r="P130" s="1572"/>
      <c r="Q130" s="1554"/>
      <c r="R130" s="1554"/>
      <c r="S130" s="1554"/>
      <c r="T130" s="1554"/>
      <c r="U130" s="1554"/>
      <c r="V130" s="1555"/>
      <c r="W130" s="1555"/>
      <c r="X130" s="1555"/>
    </row>
    <row r="131" spans="1:24" ht="15.75" customHeight="1">
      <c r="A131" s="1554"/>
      <c r="B131" s="1554"/>
      <c r="C131" s="1564"/>
      <c r="D131" s="1564"/>
      <c r="E131" s="1564"/>
      <c r="F131" s="1564"/>
      <c r="G131" s="1564"/>
      <c r="H131" s="1564"/>
      <c r="I131" s="1564"/>
      <c r="J131" s="1564"/>
      <c r="K131" s="1564"/>
      <c r="L131" s="1564"/>
      <c r="M131" s="1564"/>
      <c r="N131" s="1564"/>
      <c r="O131" s="1572"/>
      <c r="P131" s="1572"/>
      <c r="Q131" s="1554"/>
      <c r="R131" s="1554"/>
      <c r="S131" s="1554"/>
      <c r="T131" s="1554"/>
      <c r="U131" s="1554"/>
      <c r="V131" s="1555"/>
      <c r="W131" s="1555"/>
      <c r="X131" s="1555"/>
    </row>
    <row r="132" spans="1:24" ht="15.75" customHeight="1">
      <c r="A132" s="1554"/>
      <c r="B132" s="1554"/>
      <c r="C132" s="1564"/>
      <c r="D132" s="1564"/>
      <c r="E132" s="1564"/>
      <c r="F132" s="1564"/>
      <c r="G132" s="1564"/>
      <c r="H132" s="1564"/>
      <c r="I132" s="1564"/>
      <c r="J132" s="1564"/>
      <c r="K132" s="1564"/>
      <c r="L132" s="1564"/>
      <c r="M132" s="1564"/>
      <c r="N132" s="1564"/>
      <c r="O132" s="1572"/>
      <c r="P132" s="1572"/>
      <c r="Q132" s="1554"/>
      <c r="R132" s="1554"/>
      <c r="S132" s="1554"/>
      <c r="T132" s="1554"/>
      <c r="U132" s="1554"/>
      <c r="V132" s="1555"/>
      <c r="W132" s="1555"/>
      <c r="X132" s="1555"/>
    </row>
    <row r="133" spans="1:24" ht="15.75" customHeight="1">
      <c r="A133" s="1554"/>
      <c r="B133" s="1554"/>
      <c r="C133" s="1564"/>
      <c r="D133" s="1564"/>
      <c r="E133" s="1564"/>
      <c r="F133" s="1564"/>
      <c r="G133" s="1564"/>
      <c r="H133" s="1564"/>
      <c r="I133" s="1564"/>
      <c r="J133" s="1564"/>
      <c r="K133" s="1564"/>
      <c r="L133" s="1564"/>
      <c r="M133" s="1564"/>
      <c r="N133" s="1564"/>
      <c r="O133" s="1572"/>
      <c r="P133" s="1572"/>
      <c r="Q133" s="1554"/>
      <c r="R133" s="1554"/>
      <c r="S133" s="1554"/>
      <c r="T133" s="1554"/>
      <c r="U133" s="1554"/>
      <c r="V133" s="1555"/>
      <c r="W133" s="1555"/>
      <c r="X133" s="1555"/>
    </row>
    <row r="134" spans="1:24" ht="15.75" customHeight="1">
      <c r="A134" s="1554"/>
      <c r="B134" s="1554"/>
      <c r="C134" s="1564"/>
      <c r="D134" s="1564"/>
      <c r="E134" s="1564"/>
      <c r="F134" s="1564"/>
      <c r="G134" s="1564"/>
      <c r="H134" s="1564"/>
      <c r="I134" s="1564"/>
      <c r="J134" s="1564"/>
      <c r="K134" s="1564"/>
      <c r="L134" s="1564"/>
      <c r="M134" s="1564"/>
      <c r="N134" s="1564"/>
      <c r="O134" s="1572"/>
      <c r="P134" s="1572"/>
      <c r="Q134" s="1554"/>
      <c r="R134" s="1554"/>
      <c r="S134" s="1554"/>
      <c r="T134" s="1554"/>
      <c r="U134" s="1554"/>
      <c r="V134" s="1555"/>
      <c r="W134" s="1555"/>
      <c r="X134" s="1555"/>
    </row>
    <row r="135" spans="1:24" ht="15.75" customHeight="1">
      <c r="A135" s="1554"/>
      <c r="B135" s="1554"/>
      <c r="C135" s="1564"/>
      <c r="D135" s="1564"/>
      <c r="E135" s="1564"/>
      <c r="F135" s="1564"/>
      <c r="G135" s="1564"/>
      <c r="H135" s="1564"/>
      <c r="I135" s="1564"/>
      <c r="J135" s="1564"/>
      <c r="K135" s="1564"/>
      <c r="L135" s="1564"/>
      <c r="M135" s="1564"/>
      <c r="N135" s="1564"/>
      <c r="O135" s="1572"/>
      <c r="P135" s="1572"/>
      <c r="Q135" s="1554"/>
      <c r="R135" s="1554"/>
      <c r="S135" s="1554"/>
      <c r="T135" s="1554"/>
      <c r="U135" s="1554"/>
      <c r="V135" s="1555"/>
      <c r="W135" s="1555"/>
      <c r="X135" s="1555"/>
    </row>
    <row r="136" spans="1:24" ht="15.75" customHeight="1">
      <c r="A136" s="1554"/>
      <c r="B136" s="1554"/>
      <c r="C136" s="1564"/>
      <c r="D136" s="1564"/>
      <c r="E136" s="1564"/>
      <c r="F136" s="1564"/>
      <c r="G136" s="1564"/>
      <c r="H136" s="1564"/>
      <c r="I136" s="1564"/>
      <c r="J136" s="1564"/>
      <c r="K136" s="1564"/>
      <c r="L136" s="1564"/>
      <c r="M136" s="1564"/>
      <c r="N136" s="1564"/>
      <c r="O136" s="1572"/>
      <c r="P136" s="1572"/>
      <c r="Q136" s="1554"/>
      <c r="R136" s="1554"/>
      <c r="S136" s="1554"/>
      <c r="T136" s="1554"/>
      <c r="U136" s="1554"/>
      <c r="V136" s="1555"/>
      <c r="W136" s="1555"/>
      <c r="X136" s="1555"/>
    </row>
    <row r="137" spans="1:24" ht="15.75" customHeight="1">
      <c r="A137" s="1554"/>
      <c r="B137" s="1554"/>
      <c r="C137" s="1564"/>
      <c r="D137" s="1564"/>
      <c r="E137" s="1564"/>
      <c r="F137" s="1564"/>
      <c r="G137" s="1564"/>
      <c r="H137" s="1564"/>
      <c r="I137" s="1564"/>
      <c r="J137" s="1564"/>
      <c r="K137" s="1564"/>
      <c r="L137" s="1564"/>
      <c r="M137" s="1564"/>
      <c r="N137" s="1564"/>
      <c r="O137" s="1572"/>
      <c r="P137" s="1572"/>
      <c r="Q137" s="1554"/>
      <c r="R137" s="1554"/>
      <c r="S137" s="1554"/>
      <c r="T137" s="1554"/>
      <c r="U137" s="1554"/>
      <c r="V137" s="1555"/>
      <c r="W137" s="1555"/>
      <c r="X137" s="1555"/>
    </row>
    <row r="138" spans="1:24" ht="15.75" customHeight="1">
      <c r="A138" s="1554"/>
      <c r="B138" s="1554"/>
      <c r="C138" s="1564"/>
      <c r="D138" s="1564"/>
      <c r="E138" s="1564"/>
      <c r="F138" s="1564"/>
      <c r="G138" s="1564"/>
      <c r="H138" s="1564"/>
      <c r="I138" s="1564"/>
      <c r="J138" s="1564"/>
      <c r="K138" s="1564"/>
      <c r="L138" s="1564"/>
      <c r="M138" s="1564"/>
      <c r="N138" s="1564"/>
      <c r="O138" s="1572"/>
      <c r="P138" s="1572"/>
      <c r="Q138" s="1554"/>
      <c r="R138" s="1554"/>
      <c r="S138" s="1554"/>
      <c r="T138" s="1554"/>
      <c r="U138" s="1554"/>
      <c r="V138" s="1555"/>
      <c r="W138" s="1555"/>
      <c r="X138" s="1555"/>
    </row>
    <row r="139" spans="1:24" ht="15.75" customHeight="1">
      <c r="A139" s="1554"/>
      <c r="B139" s="1554"/>
      <c r="C139" s="1564"/>
      <c r="D139" s="1564"/>
      <c r="E139" s="1564"/>
      <c r="F139" s="1564"/>
      <c r="G139" s="1564"/>
      <c r="H139" s="1564"/>
      <c r="I139" s="1564"/>
      <c r="J139" s="1564"/>
      <c r="K139" s="1564"/>
      <c r="L139" s="1564"/>
      <c r="M139" s="1564"/>
      <c r="N139" s="1564"/>
      <c r="O139" s="1572"/>
      <c r="P139" s="1572"/>
      <c r="Q139" s="1554"/>
      <c r="R139" s="1554"/>
      <c r="S139" s="1554"/>
      <c r="T139" s="1554"/>
      <c r="U139" s="1554"/>
      <c r="V139" s="1555"/>
      <c r="W139" s="1555"/>
      <c r="X139" s="1555"/>
    </row>
    <row r="140" spans="1:24" ht="15.75" customHeight="1">
      <c r="A140" s="1554"/>
      <c r="B140" s="1554"/>
      <c r="C140" s="1564"/>
      <c r="D140" s="1564"/>
      <c r="E140" s="1564"/>
      <c r="F140" s="1564"/>
      <c r="G140" s="1564"/>
      <c r="H140" s="1564"/>
      <c r="I140" s="1564"/>
      <c r="J140" s="1564"/>
      <c r="K140" s="1564"/>
      <c r="L140" s="1564"/>
      <c r="M140" s="1564"/>
      <c r="N140" s="1564"/>
      <c r="O140" s="1572"/>
      <c r="P140" s="1572"/>
      <c r="Q140" s="1554"/>
      <c r="R140" s="1554"/>
      <c r="S140" s="1554"/>
      <c r="T140" s="1554"/>
      <c r="U140" s="1554"/>
      <c r="V140" s="1555"/>
      <c r="W140" s="1555"/>
      <c r="X140" s="1555"/>
    </row>
    <row r="141" spans="1:24" ht="15.75" customHeight="1">
      <c r="A141" s="1554"/>
      <c r="B141" s="1554"/>
      <c r="C141" s="1564"/>
      <c r="D141" s="1564"/>
      <c r="E141" s="1564"/>
      <c r="F141" s="1564"/>
      <c r="G141" s="1564"/>
      <c r="H141" s="1564"/>
      <c r="I141" s="1564"/>
      <c r="J141" s="1564"/>
      <c r="K141" s="1564"/>
      <c r="L141" s="1564"/>
      <c r="M141" s="1564"/>
      <c r="N141" s="1564"/>
      <c r="O141" s="1572"/>
      <c r="P141" s="1572"/>
      <c r="Q141" s="1554"/>
      <c r="R141" s="1554"/>
      <c r="S141" s="1554"/>
      <c r="T141" s="1554"/>
      <c r="U141" s="1554"/>
      <c r="V141" s="1555"/>
      <c r="W141" s="1555"/>
      <c r="X141" s="1555"/>
    </row>
    <row r="142" spans="1:24" ht="15.75" customHeight="1">
      <c r="A142" s="1554"/>
      <c r="B142" s="1554"/>
      <c r="C142" s="1564"/>
      <c r="D142" s="1564"/>
      <c r="E142" s="1564"/>
      <c r="F142" s="1564"/>
      <c r="G142" s="1564"/>
      <c r="H142" s="1564"/>
      <c r="I142" s="1564"/>
      <c r="J142" s="1564"/>
      <c r="K142" s="1564"/>
      <c r="L142" s="1564"/>
      <c r="M142" s="1564"/>
      <c r="N142" s="1564"/>
      <c r="O142" s="1572"/>
      <c r="P142" s="1572"/>
      <c r="Q142" s="1554"/>
      <c r="R142" s="1554"/>
      <c r="S142" s="1554"/>
      <c r="T142" s="1554"/>
      <c r="U142" s="1554"/>
      <c r="V142" s="1555"/>
      <c r="W142" s="1555"/>
      <c r="X142" s="1555"/>
    </row>
    <row r="143" spans="1:24" ht="15.75" customHeight="1">
      <c r="A143" s="1554"/>
      <c r="B143" s="1554"/>
      <c r="C143" s="1564"/>
      <c r="D143" s="1564"/>
      <c r="E143" s="1564"/>
      <c r="F143" s="1564"/>
      <c r="G143" s="1564"/>
      <c r="H143" s="1564"/>
      <c r="I143" s="1564"/>
      <c r="J143" s="1564"/>
      <c r="K143" s="1564"/>
      <c r="L143" s="1564"/>
      <c r="M143" s="1564"/>
      <c r="N143" s="1564"/>
      <c r="O143" s="1572"/>
      <c r="P143" s="1572"/>
      <c r="Q143" s="1554"/>
      <c r="R143" s="1554"/>
      <c r="S143" s="1554"/>
      <c r="T143" s="1554"/>
      <c r="U143" s="1554"/>
      <c r="V143" s="1555"/>
      <c r="W143" s="1555"/>
      <c r="X143" s="1555"/>
    </row>
    <row r="144" spans="1:24" ht="15.75" customHeight="1">
      <c r="A144" s="1554"/>
      <c r="B144" s="1554"/>
      <c r="C144" s="1564"/>
      <c r="D144" s="1564"/>
      <c r="E144" s="1564"/>
      <c r="F144" s="1564"/>
      <c r="G144" s="1564"/>
      <c r="H144" s="1564"/>
      <c r="I144" s="1564"/>
      <c r="J144" s="1564"/>
      <c r="K144" s="1564"/>
      <c r="L144" s="1564"/>
      <c r="M144" s="1564"/>
      <c r="N144" s="1564"/>
      <c r="O144" s="1572"/>
      <c r="P144" s="1572"/>
      <c r="Q144" s="1554"/>
      <c r="R144" s="1554"/>
      <c r="S144" s="1554"/>
      <c r="T144" s="1554"/>
      <c r="U144" s="1554"/>
      <c r="V144" s="1555"/>
      <c r="W144" s="1555"/>
      <c r="X144" s="1555"/>
    </row>
    <row r="145" spans="1:24" ht="15.75" customHeight="1">
      <c r="A145" s="1554"/>
      <c r="B145" s="1554"/>
      <c r="C145" s="1564"/>
      <c r="D145" s="1564"/>
      <c r="E145" s="1564"/>
      <c r="F145" s="1564"/>
      <c r="G145" s="1564"/>
      <c r="H145" s="1564"/>
      <c r="I145" s="1564"/>
      <c r="J145" s="1564"/>
      <c r="K145" s="1564"/>
      <c r="L145" s="1564"/>
      <c r="M145" s="1564"/>
      <c r="N145" s="1564"/>
      <c r="O145" s="1572"/>
      <c r="P145" s="1572"/>
      <c r="Q145" s="1554"/>
      <c r="R145" s="1554"/>
      <c r="S145" s="1554"/>
      <c r="T145" s="1554"/>
      <c r="U145" s="1554"/>
      <c r="V145" s="1555"/>
      <c r="W145" s="1555"/>
      <c r="X145" s="1555"/>
    </row>
    <row r="146" spans="1:24" ht="15.75" customHeight="1">
      <c r="A146" s="1554"/>
      <c r="B146" s="1554"/>
      <c r="C146" s="1564"/>
      <c r="D146" s="1564"/>
      <c r="E146" s="1564"/>
      <c r="F146" s="1564"/>
      <c r="G146" s="1564"/>
      <c r="H146" s="1564"/>
      <c r="I146" s="1564"/>
      <c r="J146" s="1564"/>
      <c r="K146" s="1564"/>
      <c r="L146" s="1564"/>
      <c r="M146" s="1564"/>
      <c r="N146" s="1564"/>
      <c r="O146" s="1572"/>
      <c r="P146" s="1572"/>
      <c r="Q146" s="1554"/>
      <c r="R146" s="1554"/>
      <c r="S146" s="1554"/>
      <c r="T146" s="1554"/>
      <c r="U146" s="1554"/>
      <c r="V146" s="1555"/>
      <c r="W146" s="1555"/>
      <c r="X146" s="1555"/>
    </row>
    <row r="147" spans="1:24" ht="15.75" customHeight="1">
      <c r="A147" s="1554"/>
      <c r="B147" s="1554"/>
      <c r="C147" s="1564"/>
      <c r="D147" s="1564"/>
      <c r="E147" s="1564"/>
      <c r="F147" s="1564"/>
      <c r="G147" s="1564"/>
      <c r="H147" s="1564"/>
      <c r="I147" s="1564"/>
      <c r="J147" s="1564"/>
      <c r="K147" s="1564"/>
      <c r="L147" s="1564"/>
      <c r="M147" s="1564"/>
      <c r="N147" s="1564"/>
      <c r="O147" s="1554"/>
      <c r="P147" s="1554"/>
      <c r="Q147" s="1554"/>
      <c r="R147" s="1554"/>
      <c r="S147" s="1554"/>
      <c r="T147" s="1554"/>
      <c r="U147" s="1554"/>
      <c r="V147" s="1555"/>
      <c r="W147" s="1555"/>
      <c r="X147" s="1555"/>
    </row>
    <row r="148" spans="1:24" ht="15.75" customHeight="1">
      <c r="A148" s="1554"/>
      <c r="B148" s="1554"/>
      <c r="C148" s="1564"/>
      <c r="D148" s="1564"/>
      <c r="E148" s="1564"/>
      <c r="F148" s="1564"/>
      <c r="G148" s="1564"/>
      <c r="H148" s="1564"/>
      <c r="I148" s="1564"/>
      <c r="J148" s="1564"/>
      <c r="K148" s="1564"/>
      <c r="L148" s="1564"/>
      <c r="M148" s="1564"/>
      <c r="N148" s="1564"/>
      <c r="O148" s="1554"/>
      <c r="P148" s="1554"/>
      <c r="Q148" s="1554"/>
      <c r="R148" s="1554"/>
      <c r="S148" s="1554"/>
      <c r="T148" s="1554"/>
      <c r="U148" s="1554"/>
      <c r="V148" s="1555"/>
      <c r="W148" s="1555"/>
      <c r="X148" s="1555"/>
    </row>
    <row r="149" spans="1:24" ht="15.75" customHeight="1">
      <c r="A149" s="1554"/>
      <c r="B149" s="1554"/>
      <c r="C149" s="1564"/>
      <c r="D149" s="1564"/>
      <c r="E149" s="1564"/>
      <c r="F149" s="1564"/>
      <c r="G149" s="1564"/>
      <c r="H149" s="1564"/>
      <c r="I149" s="1564"/>
      <c r="J149" s="1564"/>
      <c r="K149" s="1564"/>
      <c r="L149" s="1564"/>
      <c r="M149" s="1564"/>
      <c r="N149" s="1564"/>
      <c r="O149" s="1554"/>
      <c r="P149" s="1554"/>
      <c r="Q149" s="1554"/>
      <c r="R149" s="1554"/>
      <c r="S149" s="1554"/>
      <c r="T149" s="1554"/>
      <c r="U149" s="1554"/>
      <c r="V149" s="1555"/>
      <c r="W149" s="1555"/>
      <c r="X149" s="1555"/>
    </row>
    <row r="150" spans="1:24" ht="15.75" customHeight="1">
      <c r="A150" s="1554"/>
      <c r="B150" s="1554"/>
      <c r="C150" s="1564"/>
      <c r="D150" s="1564"/>
      <c r="E150" s="1564"/>
      <c r="F150" s="1564"/>
      <c r="G150" s="1564"/>
      <c r="H150" s="1564"/>
      <c r="I150" s="1564"/>
      <c r="J150" s="1564"/>
      <c r="K150" s="1564"/>
      <c r="L150" s="1564"/>
      <c r="M150" s="1564"/>
      <c r="N150" s="1564"/>
      <c r="O150" s="1554"/>
      <c r="P150" s="1554"/>
      <c r="Q150" s="1554"/>
      <c r="R150" s="1554"/>
      <c r="S150" s="1554"/>
      <c r="T150" s="1554"/>
      <c r="U150" s="1554"/>
      <c r="V150" s="1555"/>
      <c r="W150" s="1555"/>
      <c r="X150" s="1555"/>
    </row>
    <row r="151" spans="1:24" ht="15.75" customHeight="1">
      <c r="A151" s="1554"/>
      <c r="B151" s="1554"/>
      <c r="C151" s="1564"/>
      <c r="D151" s="1564"/>
      <c r="E151" s="1564"/>
      <c r="F151" s="1564"/>
      <c r="G151" s="1564"/>
      <c r="H151" s="1564"/>
      <c r="I151" s="1564"/>
      <c r="J151" s="1564"/>
      <c r="K151" s="1564"/>
      <c r="L151" s="1564"/>
      <c r="M151" s="1564"/>
      <c r="N151" s="1564"/>
      <c r="O151" s="1554"/>
      <c r="P151" s="1554"/>
      <c r="Q151" s="1554"/>
      <c r="R151" s="1554"/>
      <c r="S151" s="1554"/>
      <c r="T151" s="1554"/>
      <c r="U151" s="1554"/>
      <c r="V151" s="1555"/>
      <c r="W151" s="1555"/>
      <c r="X151" s="1555"/>
    </row>
    <row r="152" spans="1:24" ht="15.75" customHeight="1">
      <c r="A152" s="1554"/>
      <c r="B152" s="1554"/>
      <c r="C152" s="1564"/>
      <c r="D152" s="1564"/>
      <c r="E152" s="1564"/>
      <c r="F152" s="1564"/>
      <c r="G152" s="1564"/>
      <c r="H152" s="1564"/>
      <c r="I152" s="1564"/>
      <c r="J152" s="1564"/>
      <c r="K152" s="1564"/>
      <c r="L152" s="1564"/>
      <c r="M152" s="1564"/>
      <c r="N152" s="1564"/>
      <c r="O152" s="1554"/>
      <c r="P152" s="1554"/>
      <c r="Q152" s="1554"/>
      <c r="R152" s="1554"/>
      <c r="S152" s="1554"/>
      <c r="T152" s="1554"/>
      <c r="U152" s="1554"/>
      <c r="V152" s="1555"/>
      <c r="W152" s="1555"/>
      <c r="X152" s="1555"/>
    </row>
    <row r="153" spans="1:24" ht="15.75" customHeight="1">
      <c r="A153" s="1554"/>
      <c r="B153" s="1554"/>
      <c r="C153" s="1564"/>
      <c r="D153" s="1564"/>
      <c r="E153" s="1564"/>
      <c r="F153" s="1564"/>
      <c r="G153" s="1564"/>
      <c r="H153" s="1564"/>
      <c r="I153" s="1564"/>
      <c r="J153" s="1564"/>
      <c r="K153" s="1564"/>
      <c r="L153" s="1564"/>
      <c r="M153" s="1564"/>
      <c r="N153" s="1564"/>
      <c r="O153" s="1554"/>
      <c r="P153" s="1554"/>
      <c r="Q153" s="1554"/>
      <c r="R153" s="1554"/>
      <c r="S153" s="1554"/>
      <c r="T153" s="1554"/>
      <c r="U153" s="1554"/>
      <c r="V153" s="1555"/>
      <c r="W153" s="1555"/>
      <c r="X153" s="1555"/>
    </row>
    <row r="154" spans="1:24" ht="15.75" customHeight="1">
      <c r="A154" s="1554"/>
      <c r="B154" s="1554"/>
      <c r="C154" s="1564"/>
      <c r="D154" s="1564"/>
      <c r="E154" s="1564"/>
      <c r="F154" s="1564"/>
      <c r="G154" s="1564"/>
      <c r="H154" s="1564"/>
      <c r="I154" s="1564"/>
      <c r="J154" s="1564"/>
      <c r="K154" s="1564"/>
      <c r="L154" s="1564"/>
      <c r="M154" s="1564"/>
      <c r="N154" s="1564"/>
      <c r="O154" s="1554"/>
      <c r="P154" s="1554"/>
      <c r="Q154" s="1554"/>
      <c r="R154" s="1554"/>
      <c r="S154" s="1554"/>
      <c r="T154" s="1554"/>
      <c r="U154" s="1554"/>
      <c r="V154" s="1555"/>
      <c r="W154" s="1555"/>
      <c r="X154" s="1555"/>
    </row>
    <row r="155" spans="1:24" ht="15.75" customHeight="1">
      <c r="A155" s="1554"/>
      <c r="B155" s="1554"/>
      <c r="C155" s="1564"/>
      <c r="D155" s="1564"/>
      <c r="E155" s="1564"/>
      <c r="F155" s="1564"/>
      <c r="G155" s="1564"/>
      <c r="H155" s="1564"/>
      <c r="I155" s="1564"/>
      <c r="J155" s="1564"/>
      <c r="K155" s="1564"/>
      <c r="L155" s="1564"/>
      <c r="M155" s="1564"/>
      <c r="N155" s="1564"/>
      <c r="O155" s="1554"/>
      <c r="P155" s="1554"/>
      <c r="Q155" s="1554"/>
      <c r="R155" s="1554"/>
      <c r="S155" s="1554"/>
      <c r="T155" s="1554"/>
      <c r="U155" s="1554"/>
      <c r="V155" s="1555"/>
      <c r="W155" s="1555"/>
      <c r="X155" s="1555"/>
    </row>
    <row r="156" spans="1:24" ht="15.75" customHeight="1">
      <c r="A156" s="1554"/>
      <c r="B156" s="1554"/>
      <c r="C156" s="1564"/>
      <c r="D156" s="1564"/>
      <c r="E156" s="1564"/>
      <c r="F156" s="1564"/>
      <c r="G156" s="1564"/>
      <c r="H156" s="1564"/>
      <c r="I156" s="1564"/>
      <c r="J156" s="1564"/>
      <c r="K156" s="1564"/>
      <c r="L156" s="1564"/>
      <c r="M156" s="1564"/>
      <c r="N156" s="1564"/>
      <c r="O156" s="1554"/>
      <c r="P156" s="1554"/>
      <c r="Q156" s="1554"/>
      <c r="R156" s="1554"/>
      <c r="S156" s="1554"/>
      <c r="T156" s="1554"/>
      <c r="U156" s="1554"/>
      <c r="V156" s="1555"/>
      <c r="W156" s="1555"/>
      <c r="X156" s="1555"/>
    </row>
    <row r="157" spans="1:24" ht="15.75" customHeight="1">
      <c r="A157" s="1554"/>
      <c r="B157" s="1554"/>
      <c r="C157" s="1564"/>
      <c r="D157" s="1564"/>
      <c r="E157" s="1564"/>
      <c r="F157" s="1564"/>
      <c r="G157" s="1564"/>
      <c r="H157" s="1564"/>
      <c r="I157" s="1564"/>
      <c r="J157" s="1564"/>
      <c r="K157" s="1564"/>
      <c r="L157" s="1564"/>
      <c r="M157" s="1564"/>
      <c r="N157" s="1564"/>
      <c r="O157" s="1554"/>
      <c r="P157" s="1554"/>
      <c r="Q157" s="1554"/>
      <c r="R157" s="1554"/>
      <c r="S157" s="1554"/>
      <c r="T157" s="1554"/>
      <c r="U157" s="1554"/>
      <c r="V157" s="1555"/>
      <c r="W157" s="1555"/>
      <c r="X157" s="1555"/>
    </row>
    <row r="158" spans="1:24" ht="15.75" customHeight="1">
      <c r="A158" s="1554"/>
      <c r="B158" s="1554"/>
      <c r="C158" s="1564"/>
      <c r="D158" s="1564"/>
      <c r="E158" s="1564"/>
      <c r="F158" s="1564"/>
      <c r="G158" s="1564"/>
      <c r="H158" s="1564"/>
      <c r="I158" s="1564"/>
      <c r="J158" s="1564"/>
      <c r="K158" s="1564"/>
      <c r="L158" s="1564"/>
      <c r="M158" s="1564"/>
      <c r="N158" s="1564"/>
      <c r="O158" s="1554"/>
      <c r="P158" s="1554"/>
      <c r="Q158" s="1554"/>
      <c r="R158" s="1554"/>
      <c r="S158" s="1554"/>
      <c r="T158" s="1554"/>
      <c r="U158" s="1554"/>
      <c r="V158" s="1555"/>
      <c r="W158" s="1555"/>
      <c r="X158" s="1555"/>
    </row>
    <row r="159" spans="1:24" ht="15.75" customHeight="1">
      <c r="A159" s="1554"/>
      <c r="B159" s="1554"/>
      <c r="C159" s="1564"/>
      <c r="D159" s="1564"/>
      <c r="E159" s="1564"/>
      <c r="F159" s="1564"/>
      <c r="G159" s="1564"/>
      <c r="H159" s="1564"/>
      <c r="I159" s="1564"/>
      <c r="J159" s="1564"/>
      <c r="K159" s="1564"/>
      <c r="L159" s="1564"/>
      <c r="M159" s="1564"/>
      <c r="N159" s="1564"/>
      <c r="O159" s="1554"/>
      <c r="P159" s="1554"/>
      <c r="Q159" s="1554"/>
      <c r="R159" s="1554"/>
      <c r="S159" s="1554"/>
      <c r="T159" s="1554"/>
      <c r="U159" s="1554"/>
      <c r="V159" s="1555"/>
      <c r="W159" s="1555"/>
      <c r="X159" s="1555"/>
    </row>
    <row r="160" spans="1:24" ht="15.75" customHeight="1">
      <c r="A160" s="1554"/>
      <c r="B160" s="1554"/>
      <c r="C160" s="1564"/>
      <c r="D160" s="1564"/>
      <c r="E160" s="1564"/>
      <c r="F160" s="1564"/>
      <c r="G160" s="1564"/>
      <c r="H160" s="1564"/>
      <c r="I160" s="1564"/>
      <c r="J160" s="1564"/>
      <c r="K160" s="1564"/>
      <c r="L160" s="1564"/>
      <c r="M160" s="1564"/>
      <c r="N160" s="1564"/>
      <c r="O160" s="1554"/>
      <c r="P160" s="1554"/>
      <c r="Q160" s="1554"/>
      <c r="R160" s="1554"/>
      <c r="S160" s="1554"/>
      <c r="T160" s="1554"/>
      <c r="U160" s="1554"/>
      <c r="V160" s="1555"/>
      <c r="W160" s="1555"/>
      <c r="X160" s="1555"/>
    </row>
    <row r="161" spans="1:24" ht="15.75" customHeight="1">
      <c r="A161" s="1554"/>
      <c r="B161" s="1554"/>
      <c r="C161" s="1564"/>
      <c r="D161" s="1564"/>
      <c r="E161" s="1564"/>
      <c r="F161" s="1564"/>
      <c r="G161" s="1564"/>
      <c r="H161" s="1564"/>
      <c r="I161" s="1564"/>
      <c r="J161" s="1564"/>
      <c r="K161" s="1564"/>
      <c r="L161" s="1564"/>
      <c r="M161" s="1564"/>
      <c r="N161" s="1564"/>
      <c r="O161" s="1554"/>
      <c r="P161" s="1554"/>
      <c r="Q161" s="1554"/>
      <c r="R161" s="1554"/>
      <c r="S161" s="1554"/>
      <c r="T161" s="1554"/>
      <c r="U161" s="1554"/>
      <c r="V161" s="1555"/>
      <c r="W161" s="1555"/>
      <c r="X161" s="1555"/>
    </row>
    <row r="162" spans="1:24" ht="15.75" customHeight="1">
      <c r="A162" s="1554"/>
      <c r="B162" s="1554"/>
      <c r="C162" s="1564"/>
      <c r="D162" s="1564"/>
      <c r="E162" s="1564"/>
      <c r="F162" s="1564"/>
      <c r="G162" s="1564"/>
      <c r="H162" s="1564"/>
      <c r="I162" s="1564"/>
      <c r="J162" s="1564"/>
      <c r="K162" s="1564"/>
      <c r="L162" s="1564"/>
      <c r="M162" s="1564"/>
      <c r="N162" s="1564"/>
      <c r="O162" s="1554"/>
      <c r="P162" s="1554"/>
      <c r="Q162" s="1554"/>
      <c r="R162" s="1554"/>
      <c r="S162" s="1554"/>
      <c r="T162" s="1554"/>
      <c r="U162" s="1554"/>
      <c r="V162" s="1555"/>
      <c r="W162" s="1555"/>
      <c r="X162" s="1555"/>
    </row>
    <row r="163" spans="1:24" ht="15.75" customHeight="1">
      <c r="A163" s="1554"/>
      <c r="B163" s="1554"/>
      <c r="C163" s="1564"/>
      <c r="D163" s="1564"/>
      <c r="E163" s="1564"/>
      <c r="F163" s="1564"/>
      <c r="G163" s="1564"/>
      <c r="H163" s="1564"/>
      <c r="I163" s="1564"/>
      <c r="J163" s="1564"/>
      <c r="K163" s="1564"/>
      <c r="L163" s="1564"/>
      <c r="M163" s="1564"/>
      <c r="N163" s="1564"/>
      <c r="O163" s="1554"/>
      <c r="P163" s="1554"/>
      <c r="Q163" s="1554"/>
      <c r="R163" s="1554"/>
      <c r="S163" s="1554"/>
      <c r="T163" s="1554"/>
      <c r="U163" s="1554"/>
      <c r="V163" s="1555"/>
      <c r="W163" s="1555"/>
      <c r="X163" s="1555"/>
    </row>
    <row r="164" spans="1:24" ht="15.75" customHeight="1">
      <c r="A164" s="1554"/>
      <c r="B164" s="1554"/>
      <c r="C164" s="1564"/>
      <c r="D164" s="1564"/>
      <c r="E164" s="1564"/>
      <c r="F164" s="1564"/>
      <c r="G164" s="1564"/>
      <c r="H164" s="1564"/>
      <c r="I164" s="1564"/>
      <c r="J164" s="1564"/>
      <c r="K164" s="1564"/>
      <c r="L164" s="1564"/>
      <c r="M164" s="1564"/>
      <c r="N164" s="1564"/>
      <c r="O164" s="1554"/>
      <c r="P164" s="1554"/>
      <c r="Q164" s="1554"/>
      <c r="R164" s="1554"/>
      <c r="S164" s="1554"/>
      <c r="T164" s="1554"/>
      <c r="U164" s="1554"/>
      <c r="V164" s="1555"/>
      <c r="W164" s="1555"/>
      <c r="X164" s="1555"/>
    </row>
    <row r="165" spans="1:24" ht="15.75" customHeight="1">
      <c r="A165" s="1554"/>
      <c r="B165" s="1554"/>
      <c r="C165" s="1564"/>
      <c r="D165" s="1564"/>
      <c r="E165" s="1564"/>
      <c r="F165" s="1564"/>
      <c r="G165" s="1564"/>
      <c r="H165" s="1564"/>
      <c r="I165" s="1564"/>
      <c r="J165" s="1564"/>
      <c r="K165" s="1564"/>
      <c r="L165" s="1564"/>
      <c r="M165" s="1564"/>
      <c r="N165" s="1564"/>
      <c r="O165" s="1554"/>
      <c r="P165" s="1554"/>
      <c r="Q165" s="1554"/>
      <c r="R165" s="1554"/>
      <c r="S165" s="1554"/>
      <c r="T165" s="1554"/>
      <c r="U165" s="1554"/>
      <c r="V165" s="1555"/>
      <c r="W165" s="1555"/>
      <c r="X165" s="1555"/>
    </row>
    <row r="166" spans="1:24" ht="15.75" customHeight="1">
      <c r="A166" s="1554"/>
      <c r="B166" s="1554"/>
      <c r="C166" s="1564"/>
      <c r="D166" s="1564"/>
      <c r="E166" s="1564"/>
      <c r="F166" s="1564"/>
      <c r="G166" s="1564"/>
      <c r="H166" s="1564"/>
      <c r="I166" s="1564"/>
      <c r="J166" s="1564"/>
      <c r="K166" s="1564"/>
      <c r="L166" s="1564"/>
      <c r="M166" s="1564"/>
      <c r="N166" s="1564"/>
      <c r="O166" s="1554"/>
      <c r="P166" s="1554"/>
      <c r="Q166" s="1554"/>
      <c r="R166" s="1554"/>
      <c r="S166" s="1554"/>
      <c r="T166" s="1554"/>
      <c r="U166" s="1554"/>
      <c r="V166" s="1555"/>
      <c r="W166" s="1555"/>
      <c r="X166" s="1555"/>
    </row>
    <row r="167" spans="1:24" ht="15.75" customHeight="1">
      <c r="A167" s="1554"/>
      <c r="B167" s="1554"/>
      <c r="C167" s="1564"/>
      <c r="D167" s="1564"/>
      <c r="E167" s="1564"/>
      <c r="F167" s="1564"/>
      <c r="G167" s="1564"/>
      <c r="H167" s="1564"/>
      <c r="I167" s="1564"/>
      <c r="J167" s="1564"/>
      <c r="K167" s="1564"/>
      <c r="L167" s="1564"/>
      <c r="M167" s="1564"/>
      <c r="N167" s="1564"/>
      <c r="O167" s="1554"/>
      <c r="P167" s="1554"/>
      <c r="Q167" s="1554"/>
      <c r="R167" s="1554"/>
      <c r="S167" s="1554"/>
      <c r="T167" s="1554"/>
      <c r="U167" s="1554"/>
      <c r="V167" s="1555"/>
      <c r="W167" s="1555"/>
      <c r="X167" s="1555"/>
    </row>
    <row r="168" spans="1:24" ht="15.75" customHeight="1">
      <c r="A168" s="1554"/>
      <c r="B168" s="1554"/>
      <c r="C168" s="1564"/>
      <c r="D168" s="1564"/>
      <c r="E168" s="1564"/>
      <c r="F168" s="1564"/>
      <c r="G168" s="1564"/>
      <c r="H168" s="1564"/>
      <c r="I168" s="1564"/>
      <c r="J168" s="1564"/>
      <c r="K168" s="1564"/>
      <c r="L168" s="1564"/>
      <c r="M168" s="1564"/>
      <c r="N168" s="1564"/>
      <c r="O168" s="1554"/>
      <c r="P168" s="1554"/>
      <c r="Q168" s="1554"/>
      <c r="R168" s="1554"/>
      <c r="S168" s="1554"/>
      <c r="T168" s="1554"/>
      <c r="U168" s="1554"/>
      <c r="V168" s="1555"/>
      <c r="W168" s="1555"/>
      <c r="X168" s="1555"/>
    </row>
    <row r="169" spans="1:24" ht="15.75" customHeight="1">
      <c r="A169" s="1554"/>
      <c r="B169" s="1554"/>
      <c r="C169" s="1564"/>
      <c r="D169" s="1564"/>
      <c r="E169" s="1564"/>
      <c r="F169" s="1564"/>
      <c r="G169" s="1564"/>
      <c r="H169" s="1564"/>
      <c r="I169" s="1564"/>
      <c r="J169" s="1564"/>
      <c r="K169" s="1564"/>
      <c r="L169" s="1564"/>
      <c r="M169" s="1564"/>
      <c r="N169" s="1564"/>
      <c r="O169" s="1554"/>
      <c r="P169" s="1554"/>
      <c r="Q169" s="1554"/>
      <c r="R169" s="1554"/>
      <c r="S169" s="1554"/>
      <c r="T169" s="1554"/>
      <c r="U169" s="1554"/>
      <c r="V169" s="1555"/>
      <c r="W169" s="1555"/>
      <c r="X169" s="1555"/>
    </row>
    <row r="170" spans="1:24" ht="15.75" customHeight="1">
      <c r="A170" s="1554"/>
      <c r="B170" s="1554"/>
      <c r="C170" s="1564"/>
      <c r="D170" s="1564"/>
      <c r="E170" s="1564"/>
      <c r="F170" s="1564"/>
      <c r="G170" s="1564"/>
      <c r="H170" s="1564"/>
      <c r="I170" s="1564"/>
      <c r="J170" s="1564"/>
      <c r="K170" s="1564"/>
      <c r="L170" s="1564"/>
      <c r="M170" s="1564"/>
      <c r="N170" s="1564"/>
      <c r="O170" s="1554"/>
      <c r="P170" s="1554"/>
      <c r="Q170" s="1554"/>
      <c r="R170" s="1554"/>
      <c r="S170" s="1554"/>
      <c r="T170" s="1554"/>
      <c r="U170" s="1554"/>
      <c r="V170" s="1555"/>
      <c r="W170" s="1555"/>
      <c r="X170" s="1555"/>
    </row>
    <row r="171" spans="1:24" ht="15.75" customHeight="1">
      <c r="A171" s="1554"/>
      <c r="B171" s="1554"/>
      <c r="C171" s="1564"/>
      <c r="D171" s="1564"/>
      <c r="E171" s="1564"/>
      <c r="F171" s="1564"/>
      <c r="G171" s="1564"/>
      <c r="H171" s="1564"/>
      <c r="I171" s="1564"/>
      <c r="J171" s="1564"/>
      <c r="K171" s="1564"/>
      <c r="L171" s="1564"/>
      <c r="M171" s="1564"/>
      <c r="N171" s="1564"/>
      <c r="O171" s="1554"/>
      <c r="P171" s="1554"/>
      <c r="Q171" s="1554"/>
      <c r="R171" s="1554"/>
      <c r="S171" s="1554"/>
      <c r="T171" s="1554"/>
      <c r="U171" s="1554"/>
      <c r="V171" s="1555"/>
      <c r="W171" s="1555"/>
      <c r="X171" s="1555"/>
    </row>
    <row r="172" spans="1:24" ht="15.75" customHeight="1">
      <c r="A172" s="1554"/>
      <c r="B172" s="1554"/>
      <c r="C172" s="1564"/>
      <c r="D172" s="1564"/>
      <c r="E172" s="1564"/>
      <c r="F172" s="1564"/>
      <c r="G172" s="1564"/>
      <c r="H172" s="1564"/>
      <c r="I172" s="1564"/>
      <c r="J172" s="1564"/>
      <c r="K172" s="1564"/>
      <c r="L172" s="1564"/>
      <c r="M172" s="1564"/>
      <c r="N172" s="1564"/>
      <c r="O172" s="1554"/>
      <c r="P172" s="1554"/>
      <c r="Q172" s="1554"/>
      <c r="R172" s="1554"/>
      <c r="S172" s="1554"/>
      <c r="T172" s="1554"/>
      <c r="U172" s="1554"/>
      <c r="V172" s="1555"/>
      <c r="W172" s="1555"/>
      <c r="X172" s="1555"/>
    </row>
    <row r="173" spans="1:24" ht="15.75" customHeight="1">
      <c r="A173" s="1554"/>
      <c r="B173" s="1554"/>
      <c r="C173" s="1564"/>
      <c r="D173" s="1564"/>
      <c r="E173" s="1564"/>
      <c r="F173" s="1564"/>
      <c r="G173" s="1564"/>
      <c r="H173" s="1564"/>
      <c r="I173" s="1564"/>
      <c r="J173" s="1564"/>
      <c r="K173" s="1564"/>
      <c r="L173" s="1564"/>
      <c r="M173" s="1564"/>
      <c r="N173" s="1564"/>
      <c r="O173" s="1554"/>
      <c r="P173" s="1554"/>
      <c r="Q173" s="1554"/>
      <c r="R173" s="1554"/>
      <c r="S173" s="1554"/>
      <c r="T173" s="1554"/>
      <c r="U173" s="1554"/>
      <c r="V173" s="1555"/>
      <c r="W173" s="1555"/>
      <c r="X173" s="1555"/>
    </row>
    <row r="174" spans="1:24" ht="15.75" customHeight="1">
      <c r="A174" s="1554"/>
      <c r="B174" s="1554"/>
      <c r="C174" s="1564"/>
      <c r="D174" s="1564"/>
      <c r="E174" s="1564"/>
      <c r="F174" s="1564"/>
      <c r="G174" s="1564"/>
      <c r="H174" s="1564"/>
      <c r="I174" s="1564"/>
      <c r="J174" s="1564"/>
      <c r="K174" s="1564"/>
      <c r="L174" s="1564"/>
      <c r="M174" s="1564"/>
      <c r="N174" s="1564"/>
      <c r="O174" s="1554"/>
      <c r="P174" s="1554"/>
      <c r="Q174" s="1554"/>
      <c r="R174" s="1554"/>
      <c r="S174" s="1554"/>
      <c r="T174" s="1554"/>
      <c r="U174" s="1554"/>
      <c r="V174" s="1555"/>
      <c r="W174" s="1555"/>
      <c r="X174" s="1555"/>
    </row>
    <row r="175" spans="1:24" ht="15.75" customHeight="1">
      <c r="A175" s="1554"/>
      <c r="B175" s="1554"/>
      <c r="C175" s="1564"/>
      <c r="D175" s="1564"/>
      <c r="E175" s="1564"/>
      <c r="F175" s="1564"/>
      <c r="G175" s="1564"/>
      <c r="H175" s="1564"/>
      <c r="I175" s="1564"/>
      <c r="J175" s="1564"/>
      <c r="K175" s="1564"/>
      <c r="L175" s="1564"/>
      <c r="M175" s="1564"/>
      <c r="N175" s="1564"/>
      <c r="O175" s="1554"/>
      <c r="P175" s="1554"/>
      <c r="Q175" s="1554"/>
      <c r="R175" s="1554"/>
      <c r="S175" s="1554"/>
      <c r="T175" s="1554"/>
      <c r="U175" s="1554"/>
      <c r="V175" s="1555"/>
      <c r="W175" s="1555"/>
      <c r="X175" s="1555"/>
    </row>
    <row r="176" spans="1:24" ht="15.75" customHeight="1">
      <c r="A176" s="1554"/>
      <c r="B176" s="1554"/>
      <c r="C176" s="1564"/>
      <c r="D176" s="1564"/>
      <c r="E176" s="1564"/>
      <c r="F176" s="1564"/>
      <c r="G176" s="1564"/>
      <c r="H176" s="1564"/>
      <c r="I176" s="1564"/>
      <c r="J176" s="1564"/>
      <c r="K176" s="1564"/>
      <c r="L176" s="1564"/>
      <c r="M176" s="1564"/>
      <c r="N176" s="1564"/>
      <c r="O176" s="1554"/>
      <c r="P176" s="1554"/>
      <c r="Q176" s="1554"/>
      <c r="R176" s="1554"/>
      <c r="S176" s="1554"/>
      <c r="T176" s="1554"/>
      <c r="U176" s="1554"/>
      <c r="V176" s="1555"/>
      <c r="W176" s="1555"/>
      <c r="X176" s="1555"/>
    </row>
    <row r="177" spans="1:24" ht="15.75" customHeight="1">
      <c r="A177" s="1554"/>
      <c r="B177" s="1554"/>
      <c r="C177" s="1564"/>
      <c r="D177" s="1564"/>
      <c r="E177" s="1564"/>
      <c r="F177" s="1564"/>
      <c r="G177" s="1564"/>
      <c r="H177" s="1564"/>
      <c r="I177" s="1564"/>
      <c r="J177" s="1564"/>
      <c r="K177" s="1564"/>
      <c r="L177" s="1564"/>
      <c r="M177" s="1564"/>
      <c r="N177" s="1564"/>
      <c r="O177" s="1554"/>
      <c r="P177" s="1554"/>
      <c r="Q177" s="1554"/>
      <c r="R177" s="1554"/>
      <c r="S177" s="1554"/>
      <c r="T177" s="1554"/>
      <c r="U177" s="1554"/>
      <c r="V177" s="1555"/>
      <c r="W177" s="1555"/>
      <c r="X177" s="1555"/>
    </row>
    <row r="178" spans="1:24" ht="15.75" customHeight="1">
      <c r="A178" s="1554"/>
      <c r="B178" s="1554"/>
      <c r="C178" s="1564"/>
      <c r="D178" s="1564"/>
      <c r="E178" s="1564"/>
      <c r="F178" s="1564"/>
      <c r="G178" s="1564"/>
      <c r="H178" s="1564"/>
      <c r="I178" s="1564"/>
      <c r="J178" s="1564"/>
      <c r="K178" s="1564"/>
      <c r="L178" s="1564"/>
      <c r="M178" s="1564"/>
      <c r="N178" s="1564"/>
      <c r="O178" s="1554"/>
      <c r="P178" s="1554"/>
      <c r="Q178" s="1554"/>
      <c r="R178" s="1554"/>
      <c r="S178" s="1554"/>
      <c r="T178" s="1554"/>
      <c r="U178" s="1554"/>
      <c r="V178" s="1555"/>
      <c r="W178" s="1555"/>
      <c r="X178" s="1555"/>
    </row>
    <row r="179" spans="1:24" ht="15.75" customHeight="1">
      <c r="A179" s="1554"/>
      <c r="B179" s="1554"/>
      <c r="C179" s="1564"/>
      <c r="D179" s="1564"/>
      <c r="E179" s="1564"/>
      <c r="F179" s="1564"/>
      <c r="G179" s="1564"/>
      <c r="H179" s="1564"/>
      <c r="I179" s="1564"/>
      <c r="J179" s="1564"/>
      <c r="K179" s="1564"/>
      <c r="L179" s="1564"/>
      <c r="M179" s="1564"/>
      <c r="N179" s="1564"/>
      <c r="O179" s="1554"/>
      <c r="P179" s="1554"/>
      <c r="Q179" s="1554"/>
      <c r="R179" s="1554"/>
      <c r="S179" s="1554"/>
      <c r="T179" s="1554"/>
      <c r="U179" s="1554"/>
      <c r="V179" s="1555"/>
      <c r="W179" s="1555"/>
      <c r="X179" s="1555"/>
    </row>
    <row r="180" spans="1:24" ht="15.75" customHeight="1">
      <c r="A180" s="1554"/>
      <c r="B180" s="1554"/>
      <c r="C180" s="1564"/>
      <c r="D180" s="1564"/>
      <c r="E180" s="1564"/>
      <c r="F180" s="1564"/>
      <c r="G180" s="1564"/>
      <c r="H180" s="1564"/>
      <c r="I180" s="1564"/>
      <c r="J180" s="1564"/>
      <c r="K180" s="1564"/>
      <c r="L180" s="1564"/>
      <c r="M180" s="1564"/>
      <c r="N180" s="1564"/>
      <c r="O180" s="1554"/>
      <c r="P180" s="1554"/>
      <c r="Q180" s="1554"/>
      <c r="R180" s="1554"/>
      <c r="S180" s="1554"/>
      <c r="T180" s="1554"/>
      <c r="U180" s="1554"/>
      <c r="V180" s="1555"/>
      <c r="W180" s="1555"/>
      <c r="X180" s="1555"/>
    </row>
    <row r="181" spans="1:24" ht="15.75" customHeight="1">
      <c r="A181" s="1554"/>
      <c r="B181" s="1554"/>
      <c r="C181" s="1564"/>
      <c r="D181" s="1564"/>
      <c r="E181" s="1564"/>
      <c r="F181" s="1564"/>
      <c r="G181" s="1564"/>
      <c r="H181" s="1564"/>
      <c r="I181" s="1564"/>
      <c r="J181" s="1564"/>
      <c r="K181" s="1564"/>
      <c r="L181" s="1564"/>
      <c r="M181" s="1564"/>
      <c r="N181" s="1564"/>
      <c r="O181" s="1554"/>
      <c r="P181" s="1554"/>
      <c r="Q181" s="1554"/>
      <c r="R181" s="1554"/>
      <c r="S181" s="1554"/>
      <c r="T181" s="1554"/>
      <c r="U181" s="1554"/>
      <c r="V181" s="1555"/>
      <c r="W181" s="1555"/>
      <c r="X181" s="1555"/>
    </row>
    <row r="182" spans="1:24" ht="15.75" customHeight="1">
      <c r="A182" s="1554"/>
      <c r="B182" s="1554"/>
      <c r="C182" s="1564"/>
      <c r="D182" s="1564"/>
      <c r="E182" s="1564"/>
      <c r="F182" s="1564"/>
      <c r="G182" s="1564"/>
      <c r="H182" s="1564"/>
      <c r="I182" s="1564"/>
      <c r="J182" s="1564"/>
      <c r="K182" s="1564"/>
      <c r="L182" s="1564"/>
      <c r="M182" s="1564"/>
      <c r="N182" s="1564"/>
      <c r="O182" s="1554"/>
      <c r="P182" s="1554"/>
      <c r="Q182" s="1554"/>
      <c r="R182" s="1554"/>
      <c r="S182" s="1554"/>
      <c r="T182" s="1554"/>
      <c r="U182" s="1554"/>
      <c r="V182" s="1555"/>
      <c r="W182" s="1555"/>
      <c r="X182" s="1555"/>
    </row>
    <row r="183" spans="1:24" ht="15.75" customHeight="1">
      <c r="A183" s="1554"/>
      <c r="B183" s="1554"/>
      <c r="C183" s="1564"/>
      <c r="D183" s="1564"/>
      <c r="E183" s="1564"/>
      <c r="F183" s="1564"/>
      <c r="G183" s="1564"/>
      <c r="H183" s="1564"/>
      <c r="I183" s="1564"/>
      <c r="J183" s="1564"/>
      <c r="K183" s="1564"/>
      <c r="L183" s="1564"/>
      <c r="M183" s="1564"/>
      <c r="N183" s="1564"/>
      <c r="O183" s="1554"/>
      <c r="P183" s="1554"/>
      <c r="Q183" s="1554"/>
      <c r="R183" s="1554"/>
      <c r="S183" s="1554"/>
      <c r="T183" s="1554"/>
      <c r="U183" s="1554"/>
      <c r="V183" s="1555"/>
      <c r="W183" s="1555"/>
      <c r="X183" s="1555"/>
    </row>
    <row r="184" spans="1:24" ht="15.75" customHeight="1">
      <c r="A184" s="1554"/>
      <c r="B184" s="1554"/>
      <c r="C184" s="1564"/>
      <c r="D184" s="1564"/>
      <c r="E184" s="1564"/>
      <c r="F184" s="1564"/>
      <c r="G184" s="1564"/>
      <c r="H184" s="1564"/>
      <c r="I184" s="1564"/>
      <c r="J184" s="1564"/>
      <c r="K184" s="1564"/>
      <c r="L184" s="1564"/>
      <c r="M184" s="1564"/>
      <c r="N184" s="1564"/>
      <c r="O184" s="1554"/>
      <c r="P184" s="1554"/>
      <c r="Q184" s="1554"/>
      <c r="R184" s="1554"/>
      <c r="S184" s="1554"/>
      <c r="T184" s="1554"/>
      <c r="U184" s="1554"/>
      <c r="V184" s="1555"/>
      <c r="W184" s="1555"/>
      <c r="X184" s="1555"/>
    </row>
    <row r="185" spans="1:24" ht="15.75" customHeight="1">
      <c r="A185" s="1554"/>
      <c r="B185" s="1554"/>
      <c r="C185" s="1564"/>
      <c r="D185" s="1564"/>
      <c r="E185" s="1564"/>
      <c r="F185" s="1564"/>
      <c r="G185" s="1564"/>
      <c r="H185" s="1564"/>
      <c r="I185" s="1564"/>
      <c r="J185" s="1564"/>
      <c r="K185" s="1564"/>
      <c r="L185" s="1564"/>
      <c r="M185" s="1564"/>
      <c r="N185" s="1564"/>
      <c r="O185" s="1554"/>
      <c r="P185" s="1554"/>
      <c r="Q185" s="1554"/>
      <c r="R185" s="1554"/>
      <c r="S185" s="1554"/>
      <c r="T185" s="1554"/>
      <c r="U185" s="1554"/>
      <c r="V185" s="1555"/>
      <c r="W185" s="1555"/>
      <c r="X185" s="1555"/>
    </row>
    <row r="186" spans="1:24" ht="15.75" customHeight="1">
      <c r="A186" s="1554"/>
      <c r="B186" s="1554"/>
      <c r="C186" s="1564"/>
      <c r="D186" s="1564"/>
      <c r="E186" s="1564"/>
      <c r="F186" s="1564"/>
      <c r="G186" s="1564"/>
      <c r="H186" s="1564"/>
      <c r="I186" s="1564"/>
      <c r="J186" s="1564"/>
      <c r="K186" s="1564"/>
      <c r="L186" s="1564"/>
      <c r="M186" s="1564"/>
      <c r="N186" s="1564"/>
      <c r="O186" s="1554"/>
      <c r="P186" s="1554"/>
      <c r="Q186" s="1554"/>
      <c r="R186" s="1554"/>
      <c r="S186" s="1554"/>
      <c r="T186" s="1554"/>
      <c r="U186" s="1554"/>
      <c r="V186" s="1555"/>
      <c r="W186" s="1555"/>
      <c r="X186" s="1555"/>
    </row>
    <row r="187" spans="1:24" ht="15.75" customHeight="1">
      <c r="A187" s="1554"/>
      <c r="B187" s="1554"/>
      <c r="C187" s="1564"/>
      <c r="D187" s="1564"/>
      <c r="E187" s="1564"/>
      <c r="F187" s="1564"/>
      <c r="G187" s="1564"/>
      <c r="H187" s="1564"/>
      <c r="I187" s="1564"/>
      <c r="J187" s="1564"/>
      <c r="K187" s="1564"/>
      <c r="L187" s="1564"/>
      <c r="M187" s="1564"/>
      <c r="N187" s="1564"/>
      <c r="O187" s="1554"/>
      <c r="P187" s="1554"/>
      <c r="Q187" s="1554"/>
      <c r="R187" s="1554"/>
      <c r="S187" s="1554"/>
      <c r="T187" s="1554"/>
      <c r="U187" s="1554"/>
      <c r="V187" s="1555"/>
      <c r="W187" s="1555"/>
      <c r="X187" s="1555"/>
    </row>
    <row r="188" spans="1:24" ht="15.75" customHeight="1">
      <c r="A188" s="1554"/>
      <c r="B188" s="1554"/>
      <c r="C188" s="1564"/>
      <c r="D188" s="1564"/>
      <c r="E188" s="1564"/>
      <c r="F188" s="1564"/>
      <c r="G188" s="1564"/>
      <c r="H188" s="1564"/>
      <c r="I188" s="1564"/>
      <c r="J188" s="1564"/>
      <c r="K188" s="1564"/>
      <c r="L188" s="1564"/>
      <c r="M188" s="1564"/>
      <c r="N188" s="1564"/>
      <c r="O188" s="1554"/>
      <c r="P188" s="1554"/>
      <c r="Q188" s="1554"/>
      <c r="R188" s="1554"/>
      <c r="S188" s="1554"/>
      <c r="T188" s="1554"/>
      <c r="U188" s="1554"/>
      <c r="V188" s="1555"/>
      <c r="W188" s="1555"/>
      <c r="X188" s="1555"/>
    </row>
    <row r="189" spans="1:24" ht="15.75" customHeight="1">
      <c r="A189" s="1554"/>
      <c r="B189" s="1554"/>
      <c r="C189" s="1564"/>
      <c r="D189" s="1564"/>
      <c r="E189" s="1564"/>
      <c r="F189" s="1564"/>
      <c r="G189" s="1564"/>
      <c r="H189" s="1564"/>
      <c r="I189" s="1564"/>
      <c r="J189" s="1564"/>
      <c r="K189" s="1564"/>
      <c r="L189" s="1564"/>
      <c r="M189" s="1564"/>
      <c r="N189" s="1564"/>
      <c r="O189" s="1554"/>
      <c r="P189" s="1554"/>
      <c r="Q189" s="1554"/>
      <c r="R189" s="1554"/>
      <c r="S189" s="1554"/>
      <c r="T189" s="1554"/>
      <c r="U189" s="1554"/>
      <c r="V189" s="1555"/>
      <c r="W189" s="1555"/>
      <c r="X189" s="1555"/>
    </row>
    <row r="190" spans="1:24" ht="15.75" customHeight="1">
      <c r="A190" s="1554"/>
      <c r="B190" s="1554"/>
      <c r="C190" s="1564"/>
      <c r="D190" s="1564"/>
      <c r="E190" s="1564"/>
      <c r="F190" s="1564"/>
      <c r="G190" s="1564"/>
      <c r="H190" s="1564"/>
      <c r="I190" s="1564"/>
      <c r="J190" s="1564"/>
      <c r="K190" s="1564"/>
      <c r="L190" s="1564"/>
      <c r="M190" s="1564"/>
      <c r="N190" s="1564"/>
      <c r="O190" s="1554"/>
      <c r="P190" s="1554"/>
      <c r="Q190" s="1554"/>
      <c r="R190" s="1554"/>
      <c r="S190" s="1554"/>
      <c r="T190" s="1554"/>
      <c r="U190" s="1554"/>
      <c r="V190" s="1555"/>
      <c r="W190" s="1555"/>
      <c r="X190" s="1555"/>
    </row>
    <row r="191" spans="1:24" ht="15.75" customHeight="1">
      <c r="A191" s="1554"/>
      <c r="B191" s="1554"/>
      <c r="C191" s="1564"/>
      <c r="D191" s="1564"/>
      <c r="E191" s="1564"/>
      <c r="F191" s="1564"/>
      <c r="G191" s="1564"/>
      <c r="H191" s="1564"/>
      <c r="I191" s="1564"/>
      <c r="J191" s="1564"/>
      <c r="K191" s="1564"/>
      <c r="L191" s="1564"/>
      <c r="M191" s="1564"/>
      <c r="N191" s="1564"/>
      <c r="O191" s="1554"/>
      <c r="P191" s="1554"/>
      <c r="Q191" s="1554"/>
      <c r="R191" s="1554"/>
      <c r="S191" s="1554"/>
      <c r="T191" s="1554"/>
      <c r="U191" s="1554"/>
      <c r="V191" s="1555"/>
      <c r="W191" s="1555"/>
      <c r="X191" s="1555"/>
    </row>
    <row r="192" spans="1:24" ht="15.75" customHeight="1">
      <c r="A192" s="1554"/>
      <c r="B192" s="1554"/>
      <c r="C192" s="1564"/>
      <c r="D192" s="1564"/>
      <c r="E192" s="1564"/>
      <c r="F192" s="1564"/>
      <c r="G192" s="1564"/>
      <c r="H192" s="1564"/>
      <c r="I192" s="1564"/>
      <c r="J192" s="1564"/>
      <c r="K192" s="1564"/>
      <c r="L192" s="1564"/>
      <c r="M192" s="1564"/>
      <c r="N192" s="1564"/>
      <c r="O192" s="1554"/>
      <c r="P192" s="1554"/>
      <c r="Q192" s="1554"/>
      <c r="R192" s="1554"/>
      <c r="S192" s="1554"/>
      <c r="T192" s="1554"/>
      <c r="U192" s="1554"/>
      <c r="V192" s="1555"/>
      <c r="W192" s="1555"/>
      <c r="X192" s="1555"/>
    </row>
    <row r="193" spans="1:24" ht="15.75" customHeight="1">
      <c r="A193" s="1554"/>
      <c r="B193" s="1554"/>
      <c r="C193" s="1564"/>
      <c r="D193" s="1564"/>
      <c r="E193" s="1564"/>
      <c r="F193" s="1564"/>
      <c r="G193" s="1564"/>
      <c r="H193" s="1564"/>
      <c r="I193" s="1564"/>
      <c r="J193" s="1564"/>
      <c r="K193" s="1564"/>
      <c r="L193" s="1564"/>
      <c r="M193" s="1564"/>
      <c r="N193" s="1564"/>
      <c r="O193" s="1554"/>
      <c r="P193" s="1554"/>
      <c r="Q193" s="1554"/>
      <c r="R193" s="1554"/>
      <c r="S193" s="1554"/>
      <c r="T193" s="1554"/>
      <c r="U193" s="1554"/>
      <c r="V193" s="1555"/>
      <c r="W193" s="1555"/>
      <c r="X193" s="1555"/>
    </row>
    <row r="194" spans="1:24" ht="15.75" customHeight="1">
      <c r="A194" s="1554"/>
      <c r="B194" s="1554"/>
      <c r="C194" s="1564"/>
      <c r="D194" s="1564"/>
      <c r="E194" s="1564"/>
      <c r="F194" s="1564"/>
      <c r="G194" s="1564"/>
      <c r="H194" s="1564"/>
      <c r="I194" s="1564"/>
      <c r="J194" s="1564"/>
      <c r="K194" s="1564"/>
      <c r="L194" s="1564"/>
      <c r="M194" s="1564"/>
      <c r="N194" s="1564"/>
      <c r="O194" s="1554"/>
      <c r="P194" s="1554"/>
      <c r="Q194" s="1554"/>
      <c r="R194" s="1554"/>
      <c r="S194" s="1554"/>
      <c r="T194" s="1554"/>
      <c r="U194" s="1554"/>
      <c r="V194" s="1555"/>
      <c r="W194" s="1555"/>
      <c r="X194" s="1555"/>
    </row>
    <row r="195" spans="1:24" ht="15.75" customHeight="1">
      <c r="A195" s="1554"/>
      <c r="B195" s="1554"/>
      <c r="C195" s="1564"/>
      <c r="D195" s="1564"/>
      <c r="E195" s="1564"/>
      <c r="F195" s="1564"/>
      <c r="G195" s="1564"/>
      <c r="H195" s="1564"/>
      <c r="I195" s="1564"/>
      <c r="J195" s="1564"/>
      <c r="K195" s="1564"/>
      <c r="L195" s="1564"/>
      <c r="M195" s="1564"/>
      <c r="N195" s="1564"/>
      <c r="O195" s="1554"/>
      <c r="P195" s="1554"/>
      <c r="Q195" s="1554"/>
      <c r="R195" s="1554"/>
      <c r="S195" s="1554"/>
      <c r="T195" s="1554"/>
      <c r="U195" s="1554"/>
      <c r="V195" s="1555"/>
      <c r="W195" s="1555"/>
      <c r="X195" s="1555"/>
    </row>
    <row r="196" spans="1:24" ht="15.75" customHeight="1">
      <c r="A196" s="1554"/>
      <c r="B196" s="1554"/>
      <c r="C196" s="1564"/>
      <c r="D196" s="1564"/>
      <c r="E196" s="1564"/>
      <c r="F196" s="1564"/>
      <c r="G196" s="1564"/>
      <c r="H196" s="1564"/>
      <c r="I196" s="1564"/>
      <c r="J196" s="1564"/>
      <c r="K196" s="1564"/>
      <c r="L196" s="1564"/>
      <c r="M196" s="1564"/>
      <c r="N196" s="1564"/>
      <c r="O196" s="1554"/>
      <c r="P196" s="1554"/>
      <c r="Q196" s="1554"/>
      <c r="R196" s="1554"/>
      <c r="S196" s="1554"/>
      <c r="T196" s="1554"/>
      <c r="U196" s="1554"/>
      <c r="V196" s="1555"/>
      <c r="W196" s="1555"/>
      <c r="X196" s="1555"/>
    </row>
    <row r="197" spans="1:24" ht="15.75" customHeight="1">
      <c r="A197" s="1554"/>
      <c r="B197" s="1554"/>
      <c r="C197" s="1564"/>
      <c r="D197" s="1564"/>
      <c r="E197" s="1564"/>
      <c r="F197" s="1564"/>
      <c r="G197" s="1564"/>
      <c r="H197" s="1564"/>
      <c r="I197" s="1564"/>
      <c r="J197" s="1564"/>
      <c r="K197" s="1564"/>
      <c r="L197" s="1564"/>
      <c r="M197" s="1564"/>
      <c r="N197" s="1564"/>
      <c r="O197" s="1554"/>
      <c r="P197" s="1554"/>
      <c r="Q197" s="1554"/>
      <c r="R197" s="1554"/>
      <c r="S197" s="1554"/>
      <c r="T197" s="1554"/>
      <c r="U197" s="1554"/>
      <c r="V197" s="1555"/>
      <c r="W197" s="1555"/>
      <c r="X197" s="1555"/>
    </row>
    <row r="198" spans="1:24" ht="15.75" customHeight="1">
      <c r="A198" s="1554"/>
      <c r="B198" s="1554"/>
      <c r="C198" s="1564"/>
      <c r="D198" s="1564"/>
      <c r="E198" s="1564"/>
      <c r="F198" s="1564"/>
      <c r="G198" s="1564"/>
      <c r="H198" s="1564"/>
      <c r="I198" s="1564"/>
      <c r="J198" s="1564"/>
      <c r="K198" s="1564"/>
      <c r="L198" s="1564"/>
      <c r="M198" s="1564"/>
      <c r="N198" s="1564"/>
      <c r="O198" s="1554"/>
      <c r="P198" s="1554"/>
      <c r="Q198" s="1554"/>
      <c r="R198" s="1554"/>
      <c r="S198" s="1554"/>
      <c r="T198" s="1554"/>
      <c r="U198" s="1554"/>
      <c r="V198" s="1555"/>
      <c r="W198" s="1555"/>
      <c r="X198" s="1555"/>
    </row>
    <row r="199" spans="1:24" ht="15.75" customHeight="1">
      <c r="A199" s="1554"/>
      <c r="B199" s="1554"/>
      <c r="C199" s="1564"/>
      <c r="D199" s="1564"/>
      <c r="E199" s="1564"/>
      <c r="F199" s="1564"/>
      <c r="G199" s="1564"/>
      <c r="H199" s="1564"/>
      <c r="I199" s="1564"/>
      <c r="J199" s="1564"/>
      <c r="K199" s="1564"/>
      <c r="L199" s="1564"/>
      <c r="M199" s="1564"/>
      <c r="N199" s="1564"/>
      <c r="O199" s="1554"/>
      <c r="P199" s="1554"/>
      <c r="Q199" s="1554"/>
      <c r="R199" s="1554"/>
      <c r="S199" s="1554"/>
      <c r="T199" s="1554"/>
      <c r="U199" s="1554"/>
      <c r="V199" s="1555"/>
      <c r="W199" s="1555"/>
      <c r="X199" s="1555"/>
    </row>
    <row r="200" spans="1:24" ht="15.75" customHeight="1">
      <c r="A200" s="1554"/>
      <c r="B200" s="1554"/>
      <c r="C200" s="1564"/>
      <c r="D200" s="1564"/>
      <c r="E200" s="1564"/>
      <c r="F200" s="1564"/>
      <c r="G200" s="1564"/>
      <c r="H200" s="1564"/>
      <c r="I200" s="1564"/>
      <c r="J200" s="1564"/>
      <c r="K200" s="1564"/>
      <c r="L200" s="1564"/>
      <c r="M200" s="1564"/>
      <c r="N200" s="1564"/>
      <c r="O200" s="1554"/>
      <c r="P200" s="1554"/>
      <c r="Q200" s="1554"/>
      <c r="R200" s="1554"/>
      <c r="S200" s="1554"/>
      <c r="T200" s="1554"/>
      <c r="U200" s="1554"/>
      <c r="V200" s="1555"/>
      <c r="W200" s="1555"/>
      <c r="X200" s="1555"/>
    </row>
    <row r="201" spans="1:24" ht="15.75" customHeight="1">
      <c r="A201" s="1554"/>
      <c r="B201" s="1554"/>
      <c r="C201" s="1564"/>
      <c r="D201" s="1564"/>
      <c r="E201" s="1564"/>
      <c r="F201" s="1564"/>
      <c r="G201" s="1564"/>
      <c r="H201" s="1564"/>
      <c r="I201" s="1564"/>
      <c r="J201" s="1564"/>
      <c r="K201" s="1564"/>
      <c r="L201" s="1564"/>
      <c r="M201" s="1564"/>
      <c r="N201" s="1564"/>
      <c r="O201" s="1554"/>
      <c r="P201" s="1554"/>
      <c r="Q201" s="1554"/>
      <c r="R201" s="1554"/>
      <c r="S201" s="1554"/>
      <c r="T201" s="1554"/>
      <c r="U201" s="1554"/>
      <c r="V201" s="1555"/>
      <c r="W201" s="1555"/>
      <c r="X201" s="1555"/>
    </row>
    <row r="202" spans="1:24" ht="15.75" customHeight="1">
      <c r="A202" s="1554"/>
      <c r="B202" s="1554"/>
      <c r="C202" s="1564"/>
      <c r="D202" s="1564"/>
      <c r="E202" s="1564"/>
      <c r="F202" s="1564"/>
      <c r="G202" s="1564"/>
      <c r="H202" s="1564"/>
      <c r="I202" s="1564"/>
      <c r="J202" s="1564"/>
      <c r="K202" s="1564"/>
      <c r="L202" s="1564"/>
      <c r="M202" s="1564"/>
      <c r="N202" s="1564"/>
      <c r="O202" s="1554"/>
      <c r="P202" s="1554"/>
      <c r="Q202" s="1554"/>
      <c r="R202" s="1554"/>
      <c r="S202" s="1554"/>
      <c r="T202" s="1554"/>
      <c r="U202" s="1554"/>
      <c r="V202" s="1555"/>
      <c r="W202" s="1555"/>
      <c r="X202" s="1555"/>
    </row>
    <row r="203" spans="1:24" ht="15.75" customHeight="1">
      <c r="A203" s="1554"/>
      <c r="B203" s="1554"/>
      <c r="C203" s="1564"/>
      <c r="D203" s="1564"/>
      <c r="E203" s="1564"/>
      <c r="F203" s="1564"/>
      <c r="G203" s="1564"/>
      <c r="H203" s="1564"/>
      <c r="I203" s="1564"/>
      <c r="J203" s="1564"/>
      <c r="K203" s="1564"/>
      <c r="L203" s="1564"/>
      <c r="M203" s="1564"/>
      <c r="N203" s="1564"/>
      <c r="O203" s="1554"/>
      <c r="P203" s="1554"/>
      <c r="Q203" s="1554"/>
      <c r="R203" s="1554"/>
      <c r="S203" s="1554"/>
      <c r="T203" s="1554"/>
      <c r="U203" s="1554"/>
      <c r="V203" s="1555"/>
      <c r="W203" s="1555"/>
      <c r="X203" s="1555"/>
    </row>
    <row r="204" spans="1:24" ht="15.75" customHeight="1">
      <c r="A204" s="1554"/>
      <c r="B204" s="1554"/>
      <c r="C204" s="1564"/>
      <c r="D204" s="1564"/>
      <c r="E204" s="1564"/>
      <c r="F204" s="1564"/>
      <c r="G204" s="1564"/>
      <c r="H204" s="1564"/>
      <c r="I204" s="1564"/>
      <c r="J204" s="1564"/>
      <c r="K204" s="1564"/>
      <c r="L204" s="1564"/>
      <c r="M204" s="1564"/>
      <c r="N204" s="1564"/>
      <c r="O204" s="1554"/>
      <c r="P204" s="1554"/>
      <c r="Q204" s="1554"/>
      <c r="R204" s="1554"/>
      <c r="S204" s="1554"/>
      <c r="T204" s="1554"/>
      <c r="U204" s="1554"/>
      <c r="V204" s="1555"/>
      <c r="W204" s="1555"/>
      <c r="X204" s="1555"/>
    </row>
    <row r="205" spans="1:24" ht="15.75" customHeight="1">
      <c r="A205" s="1554"/>
      <c r="B205" s="1554"/>
      <c r="C205" s="1564"/>
      <c r="D205" s="1564"/>
      <c r="E205" s="1564"/>
      <c r="F205" s="1564"/>
      <c r="G205" s="1564"/>
      <c r="H205" s="1564"/>
      <c r="I205" s="1564"/>
      <c r="J205" s="1564"/>
      <c r="K205" s="1564"/>
      <c r="L205" s="1564"/>
      <c r="M205" s="1564"/>
      <c r="N205" s="1564"/>
      <c r="O205" s="1554"/>
      <c r="P205" s="1554"/>
      <c r="Q205" s="1554"/>
      <c r="R205" s="1554"/>
      <c r="S205" s="1554"/>
      <c r="T205" s="1554"/>
      <c r="U205" s="1554"/>
      <c r="V205" s="1555"/>
      <c r="W205" s="1555"/>
      <c r="X205" s="1555"/>
    </row>
    <row r="206" spans="1:24" ht="15.75" customHeight="1">
      <c r="A206" s="1554"/>
      <c r="B206" s="1554"/>
      <c r="C206" s="1564"/>
      <c r="D206" s="1564"/>
      <c r="E206" s="1564"/>
      <c r="F206" s="1564"/>
      <c r="G206" s="1564"/>
      <c r="H206" s="1564"/>
      <c r="I206" s="1564"/>
      <c r="J206" s="1564"/>
      <c r="K206" s="1564"/>
      <c r="L206" s="1564"/>
      <c r="M206" s="1564"/>
      <c r="N206" s="1564"/>
      <c r="O206" s="1554"/>
      <c r="P206" s="1554"/>
      <c r="Q206" s="1554"/>
      <c r="R206" s="1554"/>
      <c r="S206" s="1554"/>
      <c r="T206" s="1554"/>
      <c r="U206" s="1554"/>
      <c r="V206" s="1555"/>
      <c r="W206" s="1555"/>
      <c r="X206" s="1555"/>
    </row>
    <row r="207" spans="1:24" ht="15.75" customHeight="1">
      <c r="A207" s="1554"/>
      <c r="B207" s="1554"/>
      <c r="C207" s="1564"/>
      <c r="D207" s="1564"/>
      <c r="E207" s="1564"/>
      <c r="F207" s="1564"/>
      <c r="G207" s="1564"/>
      <c r="H207" s="1564"/>
      <c r="I207" s="1564"/>
      <c r="J207" s="1564"/>
      <c r="K207" s="1564"/>
      <c r="L207" s="1564"/>
      <c r="M207" s="1564"/>
      <c r="N207" s="1564"/>
      <c r="O207" s="1554"/>
      <c r="P207" s="1554"/>
      <c r="Q207" s="1554"/>
      <c r="R207" s="1554"/>
      <c r="S207" s="1554"/>
      <c r="T207" s="1554"/>
      <c r="U207" s="1554"/>
      <c r="V207" s="1555"/>
      <c r="W207" s="1555"/>
      <c r="X207" s="1555"/>
    </row>
    <row r="208" spans="1:24" ht="15.75" customHeight="1">
      <c r="A208" s="1554"/>
      <c r="B208" s="1554"/>
      <c r="C208" s="1564"/>
      <c r="D208" s="1564"/>
      <c r="E208" s="1564"/>
      <c r="F208" s="1564"/>
      <c r="G208" s="1564"/>
      <c r="H208" s="1564"/>
      <c r="I208" s="1564"/>
      <c r="J208" s="1564"/>
      <c r="K208" s="1564"/>
      <c r="L208" s="1564"/>
      <c r="M208" s="1564"/>
      <c r="N208" s="1564"/>
      <c r="O208" s="1554"/>
      <c r="P208" s="1554"/>
      <c r="Q208" s="1554"/>
      <c r="R208" s="1554"/>
      <c r="S208" s="1554"/>
      <c r="T208" s="1554"/>
      <c r="U208" s="1554"/>
      <c r="V208" s="1555"/>
      <c r="W208" s="1555"/>
      <c r="X208" s="1555"/>
    </row>
    <row r="209" spans="1:24" ht="15.75" customHeight="1">
      <c r="A209" s="1554"/>
      <c r="B209" s="1554"/>
      <c r="C209" s="1564"/>
      <c r="D209" s="1564"/>
      <c r="E209" s="1564"/>
      <c r="F209" s="1564"/>
      <c r="G209" s="1564"/>
      <c r="H209" s="1564"/>
      <c r="I209" s="1564"/>
      <c r="J209" s="1564"/>
      <c r="K209" s="1564"/>
      <c r="L209" s="1564"/>
      <c r="M209" s="1564"/>
      <c r="N209" s="1564"/>
      <c r="O209" s="1554"/>
      <c r="P209" s="1554"/>
      <c r="Q209" s="1554"/>
      <c r="R209" s="1554"/>
      <c r="S209" s="1554"/>
      <c r="T209" s="1554"/>
      <c r="U209" s="1554"/>
      <c r="V209" s="1555"/>
      <c r="W209" s="1555"/>
      <c r="X209" s="1555"/>
    </row>
    <row r="210" spans="1:24" ht="15.75" customHeight="1">
      <c r="A210" s="1554"/>
      <c r="B210" s="1554"/>
      <c r="C210" s="1564"/>
      <c r="D210" s="1564"/>
      <c r="E210" s="1564"/>
      <c r="F210" s="1564"/>
      <c r="G210" s="1564"/>
      <c r="H210" s="1564"/>
      <c r="I210" s="1564"/>
      <c r="J210" s="1564"/>
      <c r="K210" s="1564"/>
      <c r="L210" s="1564"/>
      <c r="M210" s="1564"/>
      <c r="N210" s="1564"/>
      <c r="O210" s="1554"/>
      <c r="P210" s="1554"/>
      <c r="Q210" s="1554"/>
      <c r="R210" s="1554"/>
      <c r="S210" s="1554"/>
      <c r="T210" s="1554"/>
      <c r="U210" s="1554"/>
      <c r="V210" s="1555"/>
      <c r="W210" s="1555"/>
      <c r="X210" s="1555"/>
    </row>
    <row r="211" spans="1:24" ht="15.75" customHeight="1">
      <c r="A211" s="1554"/>
      <c r="B211" s="1554"/>
      <c r="C211" s="1564"/>
      <c r="D211" s="1564"/>
      <c r="E211" s="1564"/>
      <c r="F211" s="1564"/>
      <c r="G211" s="1564"/>
      <c r="H211" s="1564"/>
      <c r="I211" s="1564"/>
      <c r="J211" s="1564"/>
      <c r="K211" s="1564"/>
      <c r="L211" s="1564"/>
      <c r="M211" s="1564"/>
      <c r="N211" s="1564"/>
      <c r="O211" s="1554"/>
      <c r="P211" s="1554"/>
      <c r="Q211" s="1554"/>
      <c r="R211" s="1554"/>
      <c r="S211" s="1554"/>
      <c r="T211" s="1554"/>
      <c r="U211" s="1554"/>
      <c r="V211" s="1555"/>
      <c r="W211" s="1555"/>
      <c r="X211" s="1555"/>
    </row>
    <row r="212" spans="1:24" ht="15.75" customHeight="1">
      <c r="A212" s="1554"/>
      <c r="B212" s="1554"/>
      <c r="C212" s="1564"/>
      <c r="D212" s="1564"/>
      <c r="E212" s="1564"/>
      <c r="F212" s="1564"/>
      <c r="G212" s="1564"/>
      <c r="H212" s="1564"/>
      <c r="I212" s="1564"/>
      <c r="J212" s="1564"/>
      <c r="K212" s="1564"/>
      <c r="L212" s="1564"/>
      <c r="M212" s="1564"/>
      <c r="N212" s="1564"/>
      <c r="O212" s="1554"/>
      <c r="P212" s="1554"/>
      <c r="Q212" s="1554"/>
      <c r="R212" s="1554"/>
      <c r="S212" s="1554"/>
      <c r="T212" s="1554"/>
      <c r="U212" s="1554"/>
      <c r="V212" s="1555"/>
      <c r="W212" s="1555"/>
      <c r="X212" s="1555"/>
    </row>
    <row r="213" spans="1:24" ht="15.75" customHeight="1">
      <c r="A213" s="1554"/>
      <c r="B213" s="1554"/>
      <c r="C213" s="1564"/>
      <c r="D213" s="1564"/>
      <c r="E213" s="1564"/>
      <c r="F213" s="1564"/>
      <c r="G213" s="1564"/>
      <c r="H213" s="1564"/>
      <c r="I213" s="1564"/>
      <c r="J213" s="1564"/>
      <c r="K213" s="1564"/>
      <c r="L213" s="1564"/>
      <c r="M213" s="1564"/>
      <c r="N213" s="1564"/>
      <c r="O213" s="1554"/>
      <c r="P213" s="1554"/>
      <c r="Q213" s="1554"/>
      <c r="R213" s="1554"/>
      <c r="S213" s="1554"/>
      <c r="T213" s="1554"/>
      <c r="U213" s="1554"/>
      <c r="V213" s="1555"/>
      <c r="W213" s="1555"/>
      <c r="X213" s="1555"/>
    </row>
    <row r="214" spans="1:24" ht="15.75" customHeight="1">
      <c r="A214" s="1554"/>
      <c r="B214" s="1554"/>
      <c r="C214" s="1564"/>
      <c r="D214" s="1564"/>
      <c r="E214" s="1564"/>
      <c r="F214" s="1564"/>
      <c r="G214" s="1564"/>
      <c r="H214" s="1564"/>
      <c r="I214" s="1564"/>
      <c r="J214" s="1564"/>
      <c r="K214" s="1564"/>
      <c r="L214" s="1564"/>
      <c r="M214" s="1564"/>
      <c r="N214" s="1564"/>
      <c r="O214" s="1554"/>
      <c r="P214" s="1554"/>
      <c r="Q214" s="1554"/>
      <c r="R214" s="1554"/>
      <c r="S214" s="1554"/>
      <c r="T214" s="1554"/>
      <c r="U214" s="1554"/>
      <c r="V214" s="1555"/>
      <c r="W214" s="1555"/>
      <c r="X214" s="1555"/>
    </row>
    <row r="215" spans="1:24" ht="15.75" customHeight="1">
      <c r="A215" s="1554"/>
      <c r="B215" s="1554"/>
      <c r="C215" s="1564"/>
      <c r="D215" s="1564"/>
      <c r="E215" s="1564"/>
      <c r="F215" s="1564"/>
      <c r="G215" s="1564"/>
      <c r="H215" s="1564"/>
      <c r="I215" s="1564"/>
      <c r="J215" s="1564"/>
      <c r="K215" s="1564"/>
      <c r="L215" s="1564"/>
      <c r="M215" s="1564"/>
      <c r="N215" s="1564"/>
      <c r="O215" s="1554"/>
      <c r="P215" s="1554"/>
      <c r="Q215" s="1554"/>
      <c r="R215" s="1554"/>
      <c r="S215" s="1554"/>
      <c r="T215" s="1554"/>
      <c r="U215" s="1554"/>
      <c r="V215" s="1555"/>
      <c r="W215" s="1555"/>
      <c r="X215" s="1555"/>
    </row>
    <row r="216" spans="1:24" ht="15.75" customHeight="1">
      <c r="A216" s="1554"/>
      <c r="B216" s="1554"/>
      <c r="C216" s="1564"/>
      <c r="D216" s="1564"/>
      <c r="E216" s="1564"/>
      <c r="F216" s="1564"/>
      <c r="G216" s="1564"/>
      <c r="H216" s="1564"/>
      <c r="I216" s="1564"/>
      <c r="J216" s="1564"/>
      <c r="K216" s="1564"/>
      <c r="L216" s="1564"/>
      <c r="M216" s="1564"/>
      <c r="N216" s="1564"/>
      <c r="O216" s="1554"/>
      <c r="P216" s="1554"/>
      <c r="Q216" s="1554"/>
      <c r="R216" s="1554"/>
      <c r="S216" s="1554"/>
      <c r="T216" s="1554"/>
      <c r="U216" s="1554"/>
      <c r="V216" s="1555"/>
      <c r="W216" s="1555"/>
      <c r="X216" s="1555"/>
    </row>
    <row r="217" spans="1:24" ht="15.75" customHeight="1">
      <c r="A217" s="1554"/>
      <c r="B217" s="1554"/>
      <c r="C217" s="1564"/>
      <c r="D217" s="1564"/>
      <c r="E217" s="1564"/>
      <c r="F217" s="1564"/>
      <c r="G217" s="1564"/>
      <c r="H217" s="1564"/>
      <c r="I217" s="1564"/>
      <c r="J217" s="1564"/>
      <c r="K217" s="1564"/>
      <c r="L217" s="1564"/>
      <c r="M217" s="1564"/>
      <c r="N217" s="1564"/>
      <c r="O217" s="1554"/>
      <c r="P217" s="1554"/>
      <c r="Q217" s="1554"/>
      <c r="R217" s="1554"/>
      <c r="S217" s="1554"/>
      <c r="T217" s="1554"/>
      <c r="U217" s="1554"/>
      <c r="V217" s="1555"/>
      <c r="W217" s="1555"/>
      <c r="X217" s="1555"/>
    </row>
    <row r="218" spans="1:24" ht="15.75" customHeight="1">
      <c r="A218" s="1554"/>
      <c r="B218" s="1554"/>
      <c r="C218" s="1564"/>
      <c r="D218" s="1564"/>
      <c r="E218" s="1564"/>
      <c r="F218" s="1564"/>
      <c r="G218" s="1564"/>
      <c r="H218" s="1564"/>
      <c r="I218" s="1564"/>
      <c r="J218" s="1564"/>
      <c r="K218" s="1564"/>
      <c r="L218" s="1564"/>
      <c r="M218" s="1564"/>
      <c r="N218" s="1564"/>
      <c r="O218" s="1554"/>
      <c r="P218" s="1554"/>
      <c r="Q218" s="1554"/>
      <c r="R218" s="1554"/>
      <c r="S218" s="1554"/>
      <c r="T218" s="1554"/>
      <c r="U218" s="1554"/>
      <c r="V218" s="1555"/>
      <c r="W218" s="1555"/>
      <c r="X218" s="1555"/>
    </row>
    <row r="219" spans="1:24" ht="15.75" customHeight="1">
      <c r="A219" s="1554"/>
      <c r="B219" s="1554"/>
      <c r="C219" s="1564"/>
      <c r="D219" s="1564"/>
      <c r="E219" s="1564"/>
      <c r="F219" s="1564"/>
      <c r="G219" s="1564"/>
      <c r="H219" s="1564"/>
      <c r="I219" s="1564"/>
      <c r="J219" s="1564"/>
      <c r="K219" s="1564"/>
      <c r="L219" s="1564"/>
      <c r="M219" s="1564"/>
      <c r="N219" s="1564"/>
      <c r="O219" s="1554"/>
      <c r="P219" s="1554"/>
      <c r="Q219" s="1554"/>
      <c r="R219" s="1554"/>
      <c r="S219" s="1554"/>
      <c r="T219" s="1554"/>
      <c r="U219" s="1554"/>
      <c r="V219" s="1555"/>
      <c r="W219" s="1555"/>
      <c r="X219" s="1555"/>
    </row>
    <row r="220" spans="1:24" ht="15.75" customHeight="1">
      <c r="A220" s="1554"/>
      <c r="B220" s="1554"/>
      <c r="C220" s="1564"/>
      <c r="D220" s="1564"/>
      <c r="E220" s="1564"/>
      <c r="F220" s="1564"/>
      <c r="G220" s="1564"/>
      <c r="H220" s="1564"/>
      <c r="I220" s="1564"/>
      <c r="J220" s="1564"/>
      <c r="K220" s="1564"/>
      <c r="L220" s="1564"/>
      <c r="M220" s="1564"/>
      <c r="N220" s="1564"/>
      <c r="O220" s="1554"/>
      <c r="P220" s="1554"/>
      <c r="Q220" s="1554"/>
      <c r="R220" s="1554"/>
      <c r="S220" s="1554"/>
      <c r="T220" s="1554"/>
      <c r="U220" s="1554"/>
      <c r="V220" s="1555"/>
      <c r="W220" s="1555"/>
      <c r="X220" s="1555"/>
    </row>
    <row r="221" spans="1:24" ht="15.75" customHeight="1">
      <c r="A221" s="1554"/>
      <c r="B221" s="1554"/>
      <c r="C221" s="1564"/>
      <c r="D221" s="1564"/>
      <c r="E221" s="1564"/>
      <c r="F221" s="1564"/>
      <c r="G221" s="1564"/>
      <c r="H221" s="1564"/>
      <c r="I221" s="1564"/>
      <c r="J221" s="1564"/>
      <c r="K221" s="1564"/>
      <c r="L221" s="1564"/>
      <c r="M221" s="1564"/>
      <c r="N221" s="1564"/>
      <c r="O221" s="1554"/>
      <c r="P221" s="1554"/>
      <c r="Q221" s="1554"/>
      <c r="R221" s="1554"/>
      <c r="S221" s="1554"/>
      <c r="T221" s="1554"/>
      <c r="U221" s="1554"/>
      <c r="V221" s="1555"/>
      <c r="W221" s="1555"/>
      <c r="X221" s="1555"/>
    </row>
    <row r="222" spans="1:24" ht="15.75" customHeight="1">
      <c r="A222" s="1554"/>
      <c r="B222" s="1554"/>
      <c r="C222" s="1564"/>
      <c r="D222" s="1564"/>
      <c r="E222" s="1564"/>
      <c r="F222" s="1564"/>
      <c r="G222" s="1564"/>
      <c r="H222" s="1564"/>
      <c r="I222" s="1564"/>
      <c r="J222" s="1564"/>
      <c r="K222" s="1564"/>
      <c r="L222" s="1564"/>
      <c r="M222" s="1564"/>
      <c r="N222" s="1564"/>
      <c r="O222" s="1554"/>
      <c r="P222" s="1554"/>
      <c r="Q222" s="1554"/>
      <c r="R222" s="1554"/>
      <c r="S222" s="1554"/>
      <c r="T222" s="1554"/>
      <c r="U222" s="1554"/>
      <c r="V222" s="1555"/>
      <c r="W222" s="1555"/>
      <c r="X222" s="1555"/>
    </row>
    <row r="223" spans="1:24" ht="15.75" customHeight="1">
      <c r="A223" s="1554"/>
      <c r="B223" s="1554"/>
      <c r="C223" s="1564"/>
      <c r="D223" s="1564"/>
      <c r="E223" s="1564"/>
      <c r="F223" s="1564"/>
      <c r="G223" s="1564"/>
      <c r="H223" s="1564"/>
      <c r="I223" s="1564"/>
      <c r="J223" s="1564"/>
      <c r="K223" s="1564"/>
      <c r="L223" s="1564"/>
      <c r="M223" s="1564"/>
      <c r="N223" s="1564"/>
      <c r="O223" s="1554"/>
      <c r="P223" s="1554"/>
      <c r="Q223" s="1554"/>
      <c r="R223" s="1554"/>
      <c r="S223" s="1554"/>
      <c r="T223" s="1554"/>
      <c r="U223" s="1554"/>
      <c r="V223" s="1555"/>
      <c r="W223" s="1555"/>
      <c r="X223" s="1555"/>
    </row>
    <row r="224" spans="1:24" ht="15.75" customHeight="1">
      <c r="A224" s="1554"/>
      <c r="B224" s="1554"/>
      <c r="C224" s="1564"/>
      <c r="D224" s="1564"/>
      <c r="E224" s="1564"/>
      <c r="F224" s="1564"/>
      <c r="G224" s="1564"/>
      <c r="H224" s="1564"/>
      <c r="I224" s="1564"/>
      <c r="J224" s="1564"/>
      <c r="K224" s="1564"/>
      <c r="L224" s="1564"/>
      <c r="M224" s="1564"/>
      <c r="N224" s="1564"/>
      <c r="O224" s="1554"/>
      <c r="P224" s="1554"/>
      <c r="Q224" s="1554"/>
      <c r="R224" s="1554"/>
      <c r="S224" s="1554"/>
      <c r="T224" s="1554"/>
      <c r="U224" s="1554"/>
      <c r="V224" s="1555"/>
      <c r="W224" s="1555"/>
      <c r="X224" s="1555"/>
    </row>
    <row r="225" spans="1:24" ht="15.75" customHeight="1">
      <c r="A225" s="1554"/>
      <c r="B225" s="1554"/>
      <c r="C225" s="1564"/>
      <c r="D225" s="1564"/>
      <c r="E225" s="1564"/>
      <c r="F225" s="1564"/>
      <c r="G225" s="1564"/>
      <c r="H225" s="1564"/>
      <c r="I225" s="1564"/>
      <c r="J225" s="1564"/>
      <c r="K225" s="1564"/>
      <c r="L225" s="1564"/>
      <c r="M225" s="1564"/>
      <c r="N225" s="1564"/>
      <c r="O225" s="1554"/>
      <c r="P225" s="1554"/>
      <c r="Q225" s="1554"/>
      <c r="R225" s="1554"/>
      <c r="S225" s="1554"/>
      <c r="T225" s="1554"/>
      <c r="U225" s="1554"/>
      <c r="V225" s="1555"/>
      <c r="W225" s="1555"/>
      <c r="X225" s="1555"/>
    </row>
    <row r="226" spans="1:24" ht="15.75" customHeight="1">
      <c r="A226" s="1554"/>
      <c r="B226" s="1554"/>
      <c r="C226" s="1564"/>
      <c r="D226" s="1564"/>
      <c r="E226" s="1564"/>
      <c r="F226" s="1564"/>
      <c r="G226" s="1564"/>
      <c r="H226" s="1564"/>
      <c r="I226" s="1564"/>
      <c r="J226" s="1564"/>
      <c r="K226" s="1564"/>
      <c r="L226" s="1564"/>
      <c r="M226" s="1564"/>
      <c r="N226" s="1564"/>
      <c r="O226" s="1554"/>
      <c r="P226" s="1554"/>
      <c r="Q226" s="1554"/>
      <c r="R226" s="1554"/>
      <c r="S226" s="1554"/>
      <c r="T226" s="1554"/>
      <c r="U226" s="1554"/>
      <c r="V226" s="1555"/>
      <c r="W226" s="1555"/>
      <c r="X226" s="1555"/>
    </row>
    <row r="227" spans="1:24" ht="15.75" customHeight="1">
      <c r="A227" s="1554"/>
      <c r="B227" s="1554"/>
      <c r="C227" s="1564"/>
      <c r="D227" s="1564"/>
      <c r="E227" s="1564"/>
      <c r="F227" s="1564"/>
      <c r="G227" s="1564"/>
      <c r="H227" s="1564"/>
      <c r="I227" s="1564"/>
      <c r="J227" s="1564"/>
      <c r="K227" s="1564"/>
      <c r="L227" s="1564"/>
      <c r="M227" s="1564"/>
      <c r="N227" s="1564"/>
      <c r="O227" s="1554"/>
      <c r="P227" s="1554"/>
      <c r="Q227" s="1554"/>
      <c r="R227" s="1554"/>
      <c r="S227" s="1554"/>
      <c r="T227" s="1554"/>
      <c r="U227" s="1554"/>
      <c r="V227" s="1555"/>
      <c r="W227" s="1555"/>
      <c r="X227" s="1555"/>
    </row>
    <row r="228" spans="1:24" ht="15.75" customHeight="1">
      <c r="A228" s="1554"/>
      <c r="B228" s="1554"/>
      <c r="C228" s="1564"/>
      <c r="D228" s="1564"/>
      <c r="E228" s="1564"/>
      <c r="F228" s="1564"/>
      <c r="G228" s="1564"/>
      <c r="H228" s="1564"/>
      <c r="I228" s="1564"/>
      <c r="J228" s="1564"/>
      <c r="K228" s="1564"/>
      <c r="L228" s="1564"/>
      <c r="M228" s="1564"/>
      <c r="N228" s="1564"/>
      <c r="O228" s="1554"/>
      <c r="P228" s="1554"/>
      <c r="Q228" s="1554"/>
      <c r="R228" s="1554"/>
      <c r="S228" s="1554"/>
      <c r="T228" s="1554"/>
      <c r="U228" s="1554"/>
      <c r="V228" s="1555"/>
      <c r="W228" s="1555"/>
      <c r="X228" s="1555"/>
    </row>
    <row r="229" spans="1:24" ht="15.75" customHeight="1">
      <c r="A229" s="1554"/>
      <c r="B229" s="1554"/>
      <c r="C229" s="1564"/>
      <c r="D229" s="1564"/>
      <c r="E229" s="1564"/>
      <c r="F229" s="1564"/>
      <c r="G229" s="1564"/>
      <c r="H229" s="1564"/>
      <c r="I229" s="1564"/>
      <c r="J229" s="1564"/>
      <c r="K229" s="1564"/>
      <c r="L229" s="1564"/>
      <c r="M229" s="1564"/>
      <c r="N229" s="1564"/>
      <c r="O229" s="1554"/>
      <c r="P229" s="1554"/>
      <c r="Q229" s="1554"/>
      <c r="R229" s="1554"/>
      <c r="S229" s="1554"/>
      <c r="T229" s="1554"/>
      <c r="U229" s="1554"/>
      <c r="V229" s="1555"/>
      <c r="W229" s="1555"/>
      <c r="X229" s="1555"/>
    </row>
    <row r="230" spans="1:24" ht="15.75" customHeight="1">
      <c r="A230" s="1554"/>
      <c r="B230" s="1554"/>
      <c r="C230" s="1564"/>
      <c r="D230" s="1564"/>
      <c r="E230" s="1564"/>
      <c r="F230" s="1564"/>
      <c r="G230" s="1564"/>
      <c r="H230" s="1564"/>
      <c r="I230" s="1564"/>
      <c r="J230" s="1564"/>
      <c r="K230" s="1564"/>
      <c r="L230" s="1564"/>
      <c r="M230" s="1564"/>
      <c r="N230" s="1564"/>
      <c r="O230" s="1554"/>
      <c r="P230" s="1554"/>
      <c r="Q230" s="1554"/>
      <c r="R230" s="1554"/>
      <c r="S230" s="1554"/>
      <c r="T230" s="1554"/>
      <c r="U230" s="1554"/>
      <c r="V230" s="1555"/>
      <c r="W230" s="1555"/>
      <c r="X230" s="1555"/>
    </row>
    <row r="231" spans="1:24" ht="15.75" customHeight="1">
      <c r="A231" s="1554"/>
      <c r="B231" s="1554"/>
      <c r="C231" s="1564"/>
      <c r="D231" s="1564"/>
      <c r="E231" s="1564"/>
      <c r="F231" s="1564"/>
      <c r="G231" s="1564"/>
      <c r="H231" s="1564"/>
      <c r="I231" s="1564"/>
      <c r="J231" s="1564"/>
      <c r="K231" s="1564"/>
      <c r="L231" s="1564"/>
      <c r="M231" s="1564"/>
      <c r="N231" s="1564"/>
      <c r="O231" s="1554"/>
      <c r="P231" s="1554"/>
      <c r="Q231" s="1554"/>
      <c r="R231" s="1554"/>
      <c r="S231" s="1554"/>
      <c r="T231" s="1554"/>
      <c r="U231" s="1554"/>
      <c r="V231" s="1555"/>
      <c r="W231" s="1555"/>
      <c r="X231" s="1555"/>
    </row>
    <row r="232" spans="1:24" ht="15.75" customHeight="1">
      <c r="A232" s="1554"/>
      <c r="B232" s="1554"/>
      <c r="C232" s="1564"/>
      <c r="D232" s="1564"/>
      <c r="E232" s="1564"/>
      <c r="F232" s="1564"/>
      <c r="G232" s="1564"/>
      <c r="H232" s="1564"/>
      <c r="I232" s="1564"/>
      <c r="J232" s="1564"/>
      <c r="K232" s="1564"/>
      <c r="L232" s="1564"/>
      <c r="M232" s="1564"/>
      <c r="N232" s="1564"/>
      <c r="O232" s="1554"/>
      <c r="P232" s="1554"/>
      <c r="Q232" s="1554"/>
      <c r="R232" s="1554"/>
      <c r="S232" s="1554"/>
      <c r="T232" s="1554"/>
      <c r="U232" s="1554"/>
      <c r="V232" s="1555"/>
      <c r="W232" s="1555"/>
      <c r="X232" s="1555"/>
    </row>
    <row r="233" spans="1:24" ht="15.75" customHeight="1">
      <c r="A233" s="1554"/>
      <c r="B233" s="1554"/>
      <c r="C233" s="1564"/>
      <c r="D233" s="1564"/>
      <c r="E233" s="1564"/>
      <c r="F233" s="1564"/>
      <c r="G233" s="1564"/>
      <c r="H233" s="1564"/>
      <c r="I233" s="1564"/>
      <c r="J233" s="1564"/>
      <c r="K233" s="1564"/>
      <c r="L233" s="1564"/>
      <c r="M233" s="1564"/>
      <c r="N233" s="1564"/>
      <c r="O233" s="1554"/>
      <c r="P233" s="1554"/>
      <c r="Q233" s="1554"/>
      <c r="R233" s="1554"/>
      <c r="S233" s="1554"/>
      <c r="T233" s="1554"/>
      <c r="U233" s="1554"/>
      <c r="V233" s="1555"/>
      <c r="W233" s="1555"/>
      <c r="X233" s="1555"/>
    </row>
    <row r="234" spans="1:24" ht="15.75" customHeight="1">
      <c r="A234" s="1554"/>
      <c r="B234" s="1554"/>
      <c r="C234" s="1564"/>
      <c r="D234" s="1564"/>
      <c r="E234" s="1564"/>
      <c r="F234" s="1564"/>
      <c r="G234" s="1564"/>
      <c r="H234" s="1564"/>
      <c r="I234" s="1564"/>
      <c r="J234" s="1564"/>
      <c r="K234" s="1564"/>
      <c r="L234" s="1564"/>
      <c r="M234" s="1564"/>
      <c r="N234" s="1564"/>
      <c r="O234" s="1554"/>
      <c r="P234" s="1554"/>
      <c r="Q234" s="1554"/>
      <c r="R234" s="1554"/>
      <c r="S234" s="1554"/>
      <c r="T234" s="1554"/>
      <c r="U234" s="1554"/>
      <c r="V234" s="1555"/>
      <c r="W234" s="1555"/>
      <c r="X234" s="1555"/>
    </row>
    <row r="235" spans="1:24" ht="15.75" customHeight="1">
      <c r="A235" s="1554"/>
      <c r="B235" s="1554"/>
      <c r="C235" s="1564"/>
      <c r="D235" s="1564"/>
      <c r="E235" s="1564"/>
      <c r="F235" s="1564"/>
      <c r="G235" s="1564"/>
      <c r="H235" s="1564"/>
      <c r="I235" s="1564"/>
      <c r="J235" s="1564"/>
      <c r="K235" s="1564"/>
      <c r="L235" s="1564"/>
      <c r="M235" s="1564"/>
      <c r="N235" s="1564"/>
      <c r="O235" s="1554"/>
      <c r="P235" s="1554"/>
      <c r="Q235" s="1554"/>
      <c r="R235" s="1554"/>
      <c r="S235" s="1554"/>
      <c r="T235" s="1554"/>
      <c r="U235" s="1554"/>
      <c r="V235" s="1555"/>
      <c r="W235" s="1555"/>
      <c r="X235" s="1555"/>
    </row>
    <row r="236" spans="1:24" ht="15.75" customHeight="1">
      <c r="A236" s="1554"/>
      <c r="B236" s="1554"/>
      <c r="C236" s="1564"/>
      <c r="D236" s="1564"/>
      <c r="E236" s="1564"/>
      <c r="F236" s="1564"/>
      <c r="G236" s="1564"/>
      <c r="H236" s="1564"/>
      <c r="I236" s="1564"/>
      <c r="J236" s="1564"/>
      <c r="K236" s="1564"/>
      <c r="L236" s="1564"/>
      <c r="M236" s="1564"/>
      <c r="N236" s="1564"/>
      <c r="O236" s="1554"/>
      <c r="P236" s="1554"/>
      <c r="Q236" s="1554"/>
      <c r="R236" s="1554"/>
      <c r="S236" s="1554"/>
      <c r="T236" s="1554"/>
      <c r="U236" s="1554"/>
      <c r="V236" s="1555"/>
      <c r="W236" s="1555"/>
      <c r="X236" s="1555"/>
    </row>
    <row r="237" spans="1:24" ht="15.75" customHeight="1">
      <c r="A237" s="1554"/>
      <c r="B237" s="1554"/>
      <c r="C237" s="1564"/>
      <c r="D237" s="1564"/>
      <c r="E237" s="1564"/>
      <c r="F237" s="1564"/>
      <c r="G237" s="1564"/>
      <c r="H237" s="1564"/>
      <c r="I237" s="1564"/>
      <c r="J237" s="1564"/>
      <c r="K237" s="1564"/>
      <c r="L237" s="1564"/>
      <c r="M237" s="1564"/>
      <c r="N237" s="1564"/>
      <c r="O237" s="1554"/>
      <c r="P237" s="1554"/>
      <c r="Q237" s="1554"/>
      <c r="R237" s="1554"/>
      <c r="S237" s="1554"/>
      <c r="T237" s="1554"/>
      <c r="U237" s="1554"/>
      <c r="V237" s="1555"/>
      <c r="W237" s="1555"/>
      <c r="X237" s="1555"/>
    </row>
    <row r="238" spans="1:24" ht="15.75" customHeight="1">
      <c r="A238" s="1554"/>
      <c r="B238" s="1554"/>
      <c r="C238" s="1564"/>
      <c r="D238" s="1564"/>
      <c r="E238" s="1564"/>
      <c r="F238" s="1564"/>
      <c r="G238" s="1564"/>
      <c r="H238" s="1564"/>
      <c r="I238" s="1564"/>
      <c r="J238" s="1564"/>
      <c r="K238" s="1564"/>
      <c r="L238" s="1564"/>
      <c r="M238" s="1564"/>
      <c r="N238" s="1564"/>
      <c r="O238" s="1554"/>
      <c r="P238" s="1554"/>
      <c r="Q238" s="1554"/>
      <c r="R238" s="1554"/>
      <c r="S238" s="1554"/>
      <c r="T238" s="1554"/>
      <c r="U238" s="1554"/>
      <c r="V238" s="1555"/>
      <c r="W238" s="1555"/>
      <c r="X238" s="1555"/>
    </row>
    <row r="239" spans="1:24" ht="15.75" customHeight="1">
      <c r="A239" s="1554"/>
      <c r="B239" s="1554"/>
      <c r="C239" s="1564"/>
      <c r="D239" s="1564"/>
      <c r="E239" s="1564"/>
      <c r="F239" s="1564"/>
      <c r="G239" s="1564"/>
      <c r="H239" s="1564"/>
      <c r="I239" s="1564"/>
      <c r="J239" s="1564"/>
      <c r="K239" s="1564"/>
      <c r="L239" s="1564"/>
      <c r="M239" s="1564"/>
      <c r="N239" s="1564"/>
      <c r="O239" s="1554"/>
      <c r="P239" s="1554"/>
      <c r="Q239" s="1554"/>
      <c r="R239" s="1554"/>
      <c r="S239" s="1554"/>
      <c r="T239" s="1554"/>
      <c r="U239" s="1554"/>
      <c r="V239" s="1555"/>
      <c r="W239" s="1555"/>
      <c r="X239" s="1555"/>
    </row>
    <row r="240" spans="1:24" ht="15.75" customHeight="1">
      <c r="A240" s="1554"/>
      <c r="B240" s="1554"/>
      <c r="C240" s="1564"/>
      <c r="D240" s="1564"/>
      <c r="E240" s="1564"/>
      <c r="F240" s="1564"/>
      <c r="G240" s="1564"/>
      <c r="H240" s="1564"/>
      <c r="I240" s="1564"/>
      <c r="J240" s="1564"/>
      <c r="K240" s="1564"/>
      <c r="L240" s="1564"/>
      <c r="M240" s="1564"/>
      <c r="N240" s="1564"/>
      <c r="O240" s="1554"/>
      <c r="P240" s="1554"/>
      <c r="Q240" s="1554"/>
      <c r="R240" s="1554"/>
      <c r="S240" s="1554"/>
      <c r="T240" s="1554"/>
      <c r="U240" s="1554"/>
      <c r="V240" s="1555"/>
      <c r="W240" s="1555"/>
      <c r="X240" s="1555"/>
    </row>
    <row r="241" spans="1:24" ht="15.75" customHeight="1">
      <c r="A241" s="1554"/>
      <c r="B241" s="1554"/>
      <c r="C241" s="1564"/>
      <c r="D241" s="1564"/>
      <c r="E241" s="1564"/>
      <c r="F241" s="1564"/>
      <c r="G241" s="1564"/>
      <c r="H241" s="1564"/>
      <c r="I241" s="1564"/>
      <c r="J241" s="1564"/>
      <c r="K241" s="1564"/>
      <c r="L241" s="1564"/>
      <c r="M241" s="1564"/>
      <c r="N241" s="1564"/>
      <c r="O241" s="1554"/>
      <c r="P241" s="1554"/>
      <c r="Q241" s="1554"/>
      <c r="R241" s="1554"/>
      <c r="S241" s="1554"/>
      <c r="T241" s="1554"/>
      <c r="U241" s="1554"/>
      <c r="V241" s="1555"/>
      <c r="W241" s="1555"/>
      <c r="X241" s="1555"/>
    </row>
    <row r="242" spans="1:24" ht="15.75" customHeight="1">
      <c r="A242" s="1554"/>
      <c r="B242" s="1554"/>
      <c r="C242" s="1564"/>
      <c r="D242" s="1564"/>
      <c r="E242" s="1564"/>
      <c r="F242" s="1564"/>
      <c r="G242" s="1564"/>
      <c r="H242" s="1564"/>
      <c r="I242" s="1564"/>
      <c r="J242" s="1564"/>
      <c r="K242" s="1564"/>
      <c r="L242" s="1564"/>
      <c r="M242" s="1564"/>
      <c r="N242" s="1564"/>
      <c r="O242" s="1554"/>
      <c r="P242" s="1554"/>
      <c r="Q242" s="1554"/>
      <c r="R242" s="1554"/>
      <c r="S242" s="1554"/>
      <c r="T242" s="1554"/>
      <c r="U242" s="1554"/>
      <c r="V242" s="1555"/>
      <c r="W242" s="1555"/>
      <c r="X242" s="1555"/>
    </row>
    <row r="243" spans="1:24" ht="15.75" customHeight="1">
      <c r="A243" s="1573"/>
      <c r="B243" s="1573"/>
      <c r="C243" s="1574"/>
      <c r="D243" s="1574"/>
      <c r="E243" s="1574"/>
      <c r="F243" s="1574"/>
      <c r="G243" s="1574"/>
      <c r="H243" s="1574"/>
      <c r="I243" s="1574"/>
      <c r="J243" s="1574"/>
      <c r="K243" s="1574"/>
      <c r="L243" s="1574"/>
      <c r="M243" s="1574"/>
      <c r="N243" s="1574"/>
      <c r="O243" s="1573"/>
      <c r="P243" s="1573"/>
      <c r="Q243" s="1573"/>
      <c r="R243" s="1573"/>
      <c r="S243" s="1573"/>
      <c r="T243" s="1573"/>
      <c r="U243" s="1573"/>
    </row>
    <row r="244" spans="1:24" ht="15.75" customHeight="1">
      <c r="A244" s="1573"/>
      <c r="B244" s="1573"/>
      <c r="C244" s="1574"/>
      <c r="D244" s="1574"/>
      <c r="E244" s="1574"/>
      <c r="F244" s="1574"/>
      <c r="G244" s="1574"/>
      <c r="H244" s="1574"/>
      <c r="I244" s="1574"/>
      <c r="J244" s="1574"/>
      <c r="K244" s="1574"/>
      <c r="L244" s="1574"/>
      <c r="M244" s="1574"/>
      <c r="N244" s="1574"/>
      <c r="O244" s="1573"/>
      <c r="P244" s="1573"/>
      <c r="Q244" s="1573"/>
      <c r="R244" s="1573"/>
      <c r="S244" s="1573"/>
      <c r="T244" s="1573"/>
      <c r="U244" s="1573"/>
    </row>
    <row r="245" spans="1:24" ht="15.75" customHeight="1">
      <c r="A245" s="1573"/>
      <c r="B245" s="1573"/>
      <c r="C245" s="1574"/>
      <c r="D245" s="1574"/>
      <c r="E245" s="1574"/>
      <c r="F245" s="1574"/>
      <c r="G245" s="1574"/>
      <c r="H245" s="1574"/>
      <c r="I245" s="1574"/>
      <c r="J245" s="1574"/>
      <c r="K245" s="1574"/>
      <c r="L245" s="1574"/>
      <c r="M245" s="1574"/>
      <c r="N245" s="1574"/>
      <c r="O245" s="1573"/>
      <c r="P245" s="1573"/>
      <c r="Q245" s="1573"/>
      <c r="R245" s="1573"/>
      <c r="S245" s="1573"/>
      <c r="T245" s="1573"/>
      <c r="U245" s="1573"/>
    </row>
    <row r="246" spans="1:24" ht="15.75" customHeight="1">
      <c r="A246" s="1573"/>
      <c r="B246" s="1573"/>
      <c r="C246" s="1574"/>
      <c r="D246" s="1574"/>
      <c r="E246" s="1574"/>
      <c r="F246" s="1574"/>
      <c r="G246" s="1574"/>
      <c r="H246" s="1574"/>
      <c r="I246" s="1574"/>
      <c r="J246" s="1574"/>
      <c r="K246" s="1574"/>
      <c r="L246" s="1574"/>
      <c r="M246" s="1574"/>
      <c r="N246" s="1574"/>
      <c r="O246" s="1573"/>
      <c r="P246" s="1573"/>
      <c r="Q246" s="1573"/>
      <c r="R246" s="1573"/>
      <c r="S246" s="1573"/>
      <c r="T246" s="1573"/>
      <c r="U246" s="1573"/>
    </row>
    <row r="247" spans="1:24" ht="15.75" customHeight="1">
      <c r="A247" s="1573"/>
      <c r="B247" s="1573"/>
      <c r="C247" s="1574"/>
      <c r="D247" s="1574"/>
      <c r="E247" s="1574"/>
      <c r="F247" s="1574"/>
      <c r="G247" s="1574"/>
      <c r="H247" s="1574"/>
      <c r="I247" s="1574"/>
      <c r="J247" s="1574"/>
      <c r="K247" s="1574"/>
      <c r="L247" s="1574"/>
      <c r="M247" s="1574"/>
      <c r="N247" s="1574"/>
      <c r="O247" s="1573"/>
      <c r="P247" s="1573"/>
      <c r="Q247" s="1573"/>
      <c r="R247" s="1573"/>
      <c r="S247" s="1573"/>
      <c r="T247" s="1573"/>
      <c r="U247" s="1573"/>
    </row>
    <row r="248" spans="1:24" ht="15.75" customHeight="1">
      <c r="A248" s="1573"/>
      <c r="B248" s="1573"/>
      <c r="C248" s="1574"/>
      <c r="D248" s="1574"/>
      <c r="E248" s="1574"/>
      <c r="F248" s="1574"/>
      <c r="G248" s="1574"/>
      <c r="H248" s="1574"/>
      <c r="I248" s="1574"/>
      <c r="J248" s="1574"/>
      <c r="K248" s="1574"/>
      <c r="L248" s="1574"/>
      <c r="M248" s="1574"/>
      <c r="N248" s="1574"/>
      <c r="O248" s="1573"/>
      <c r="P248" s="1573"/>
      <c r="Q248" s="1573"/>
      <c r="R248" s="1573"/>
      <c r="S248" s="1573"/>
      <c r="T248" s="1573"/>
      <c r="U248" s="1573"/>
    </row>
    <row r="249" spans="1:24" ht="15.75" customHeight="1">
      <c r="A249" s="1573"/>
      <c r="B249" s="1573"/>
      <c r="C249" s="1574"/>
      <c r="D249" s="1574"/>
      <c r="E249" s="1574"/>
      <c r="F249" s="1574"/>
      <c r="G249" s="1574"/>
      <c r="H249" s="1574"/>
      <c r="I249" s="1574"/>
      <c r="J249" s="1574"/>
      <c r="K249" s="1574"/>
      <c r="L249" s="1574"/>
      <c r="M249" s="1574"/>
      <c r="N249" s="1574"/>
      <c r="O249" s="1573"/>
      <c r="P249" s="1573"/>
      <c r="Q249" s="1573"/>
      <c r="R249" s="1573"/>
      <c r="S249" s="1573"/>
      <c r="T249" s="1573"/>
      <c r="U249" s="1573"/>
    </row>
    <row r="250" spans="1:24" ht="15.75" customHeight="1">
      <c r="A250" s="1573"/>
      <c r="B250" s="1573"/>
      <c r="C250" s="1574"/>
      <c r="D250" s="1574"/>
      <c r="E250" s="1574"/>
      <c r="F250" s="1574"/>
      <c r="G250" s="1574"/>
      <c r="H250" s="1574"/>
      <c r="I250" s="1574"/>
      <c r="J250" s="1574"/>
      <c r="K250" s="1574"/>
      <c r="L250" s="1574"/>
      <c r="M250" s="1574"/>
      <c r="N250" s="1574"/>
      <c r="O250" s="1573"/>
      <c r="P250" s="1573"/>
      <c r="Q250" s="1573"/>
      <c r="R250" s="1573"/>
      <c r="S250" s="1573"/>
      <c r="T250" s="1573"/>
      <c r="U250" s="1573"/>
    </row>
    <row r="251" spans="1:24" ht="15.75" customHeight="1">
      <c r="A251" s="1573"/>
      <c r="B251" s="1573"/>
      <c r="C251" s="1574"/>
      <c r="D251" s="1574"/>
      <c r="E251" s="1574"/>
      <c r="F251" s="1574"/>
      <c r="G251" s="1574"/>
      <c r="H251" s="1574"/>
      <c r="I251" s="1574"/>
      <c r="J251" s="1574"/>
      <c r="K251" s="1574"/>
      <c r="L251" s="1574"/>
      <c r="M251" s="1574"/>
      <c r="N251" s="1574"/>
      <c r="O251" s="1573"/>
      <c r="P251" s="1573"/>
      <c r="Q251" s="1573"/>
      <c r="R251" s="1573"/>
      <c r="S251" s="1573"/>
      <c r="T251" s="1573"/>
      <c r="U251" s="1573"/>
    </row>
    <row r="252" spans="1:24" ht="15.75" customHeight="1">
      <c r="A252" s="1573"/>
      <c r="B252" s="1573"/>
      <c r="C252" s="1574"/>
      <c r="D252" s="1574"/>
      <c r="E252" s="1574"/>
      <c r="F252" s="1574"/>
      <c r="G252" s="1574"/>
      <c r="H252" s="1574"/>
      <c r="I252" s="1574"/>
      <c r="J252" s="1574"/>
      <c r="K252" s="1574"/>
      <c r="L252" s="1574"/>
      <c r="M252" s="1574"/>
      <c r="N252" s="1574"/>
      <c r="O252" s="1573"/>
      <c r="P252" s="1573"/>
      <c r="Q252" s="1573"/>
      <c r="R252" s="1573"/>
      <c r="S252" s="1573"/>
      <c r="T252" s="1573"/>
      <c r="U252" s="1573"/>
    </row>
    <row r="253" spans="1:24" ht="15.75" customHeight="1">
      <c r="A253" s="1573"/>
      <c r="B253" s="1573"/>
      <c r="C253" s="1574"/>
      <c r="D253" s="1574"/>
      <c r="E253" s="1574"/>
      <c r="F253" s="1574"/>
      <c r="G253" s="1574"/>
      <c r="H253" s="1574"/>
      <c r="I253" s="1574"/>
      <c r="J253" s="1574"/>
      <c r="K253" s="1574"/>
      <c r="L253" s="1574"/>
      <c r="M253" s="1574"/>
      <c r="N253" s="1574"/>
      <c r="O253" s="1573"/>
      <c r="P253" s="1573"/>
      <c r="Q253" s="1573"/>
      <c r="R253" s="1573"/>
      <c r="S253" s="1573"/>
      <c r="T253" s="1573"/>
      <c r="U253" s="1573"/>
    </row>
    <row r="254" spans="1:24" ht="15.75" customHeight="1">
      <c r="A254" s="1573"/>
      <c r="B254" s="1573"/>
      <c r="C254" s="1574"/>
      <c r="D254" s="1574"/>
      <c r="E254" s="1574"/>
      <c r="F254" s="1574"/>
      <c r="G254" s="1574"/>
      <c r="H254" s="1574"/>
      <c r="I254" s="1574"/>
      <c r="J254" s="1574"/>
      <c r="K254" s="1574"/>
      <c r="L254" s="1574"/>
      <c r="M254" s="1574"/>
      <c r="N254" s="1574"/>
      <c r="O254" s="1573"/>
      <c r="P254" s="1573"/>
      <c r="Q254" s="1573"/>
      <c r="R254" s="1573"/>
      <c r="S254" s="1573"/>
      <c r="T254" s="1573"/>
      <c r="U254" s="1573"/>
    </row>
    <row r="255" spans="1:24" ht="15.75" customHeight="1">
      <c r="A255" s="1573"/>
      <c r="B255" s="1573"/>
      <c r="C255" s="1574"/>
      <c r="D255" s="1574"/>
      <c r="E255" s="1574"/>
      <c r="F255" s="1574"/>
      <c r="G255" s="1574"/>
      <c r="H255" s="1574"/>
      <c r="I255" s="1574"/>
      <c r="J255" s="1574"/>
      <c r="K255" s="1574"/>
      <c r="L255" s="1574"/>
      <c r="M255" s="1574"/>
      <c r="N255" s="1574"/>
      <c r="O255" s="1573"/>
      <c r="P255" s="1573"/>
      <c r="Q255" s="1573"/>
      <c r="R255" s="1573"/>
      <c r="S255" s="1573"/>
      <c r="T255" s="1573"/>
      <c r="U255" s="1573"/>
    </row>
    <row r="256" spans="1:24" ht="15.75" customHeight="1">
      <c r="A256" s="1573"/>
      <c r="B256" s="1573"/>
      <c r="C256" s="1574"/>
      <c r="D256" s="1574"/>
      <c r="E256" s="1574"/>
      <c r="F256" s="1574"/>
      <c r="G256" s="1574"/>
      <c r="H256" s="1574"/>
      <c r="I256" s="1574"/>
      <c r="J256" s="1574"/>
      <c r="K256" s="1574"/>
      <c r="L256" s="1574"/>
      <c r="M256" s="1574"/>
      <c r="N256" s="1574"/>
      <c r="O256" s="1573"/>
      <c r="P256" s="1573"/>
      <c r="Q256" s="1573"/>
      <c r="R256" s="1573"/>
      <c r="S256" s="1573"/>
      <c r="T256" s="1573"/>
      <c r="U256" s="1573"/>
    </row>
    <row r="257" spans="3:14" ht="15.75" customHeight="1">
      <c r="C257" s="1575"/>
      <c r="D257" s="1575"/>
      <c r="E257" s="1575"/>
      <c r="F257" s="1575"/>
      <c r="G257" s="1575"/>
      <c r="H257" s="1575"/>
      <c r="I257" s="1575"/>
      <c r="J257" s="1575"/>
      <c r="K257" s="1575"/>
      <c r="L257" s="1575"/>
      <c r="M257" s="1575"/>
      <c r="N257" s="1575"/>
    </row>
    <row r="258" spans="3:14" ht="15.75" customHeight="1">
      <c r="C258" s="1575"/>
      <c r="D258" s="1575"/>
      <c r="E258" s="1575"/>
      <c r="F258" s="1575"/>
      <c r="G258" s="1575"/>
      <c r="H258" s="1575"/>
      <c r="I258" s="1575"/>
      <c r="J258" s="1575"/>
      <c r="K258" s="1575"/>
      <c r="L258" s="1575"/>
      <c r="M258" s="1575"/>
      <c r="N258" s="1575"/>
    </row>
    <row r="259" spans="3:14" ht="15.75" customHeight="1">
      <c r="C259" s="1575"/>
      <c r="D259" s="1575"/>
      <c r="E259" s="1575"/>
      <c r="F259" s="1575"/>
      <c r="G259" s="1575"/>
      <c r="H259" s="1575"/>
      <c r="I259" s="1575"/>
      <c r="J259" s="1575"/>
      <c r="K259" s="1575"/>
      <c r="L259" s="1575"/>
      <c r="M259" s="1575"/>
      <c r="N259" s="1575"/>
    </row>
    <row r="260" spans="3:14" ht="15.75" customHeight="1">
      <c r="C260" s="1575"/>
      <c r="D260" s="1575"/>
      <c r="E260" s="1575"/>
      <c r="F260" s="1575"/>
      <c r="G260" s="1575"/>
      <c r="H260" s="1575"/>
      <c r="I260" s="1575"/>
      <c r="J260" s="1575"/>
      <c r="K260" s="1575"/>
      <c r="L260" s="1575"/>
      <c r="M260" s="1575"/>
      <c r="N260" s="1575"/>
    </row>
    <row r="261" spans="3:14" ht="15.75" customHeight="1">
      <c r="C261" s="1575"/>
      <c r="D261" s="1575"/>
      <c r="E261" s="1575"/>
      <c r="F261" s="1575"/>
      <c r="G261" s="1575"/>
      <c r="H261" s="1575"/>
      <c r="I261" s="1575"/>
      <c r="J261" s="1575"/>
      <c r="K261" s="1575"/>
      <c r="L261" s="1575"/>
      <c r="M261" s="1575"/>
      <c r="N261" s="1575"/>
    </row>
    <row r="262" spans="3:14" ht="15.75" customHeight="1">
      <c r="C262" s="1575"/>
      <c r="D262" s="1575"/>
      <c r="E262" s="1575"/>
      <c r="F262" s="1575"/>
      <c r="G262" s="1575"/>
      <c r="H262" s="1575"/>
      <c r="I262" s="1575"/>
      <c r="J262" s="1575"/>
      <c r="K262" s="1575"/>
      <c r="L262" s="1575"/>
      <c r="M262" s="1575"/>
      <c r="N262" s="1575"/>
    </row>
    <row r="263" spans="3:14" ht="15.75" customHeight="1">
      <c r="C263" s="1575"/>
      <c r="D263" s="1575"/>
      <c r="E263" s="1575"/>
      <c r="F263" s="1575"/>
      <c r="G263" s="1575"/>
      <c r="H263" s="1575"/>
      <c r="I263" s="1575"/>
      <c r="J263" s="1575"/>
      <c r="K263" s="1575"/>
      <c r="L263" s="1575"/>
      <c r="M263" s="1575"/>
      <c r="N263" s="1575"/>
    </row>
    <row r="264" spans="3:14" ht="15.75" customHeight="1">
      <c r="C264" s="1575"/>
      <c r="D264" s="1575"/>
      <c r="E264" s="1575"/>
      <c r="F264" s="1575"/>
      <c r="G264" s="1575"/>
      <c r="H264" s="1575"/>
      <c r="I264" s="1575"/>
      <c r="J264" s="1575"/>
      <c r="K264" s="1575"/>
      <c r="L264" s="1575"/>
      <c r="M264" s="1575"/>
      <c r="N264" s="1575"/>
    </row>
    <row r="265" spans="3:14" ht="15.75" customHeight="1">
      <c r="C265" s="1575"/>
      <c r="D265" s="1575"/>
      <c r="E265" s="1575"/>
      <c r="F265" s="1575"/>
      <c r="G265" s="1575"/>
      <c r="H265" s="1575"/>
      <c r="I265" s="1575"/>
      <c r="J265" s="1575"/>
      <c r="K265" s="1575"/>
      <c r="L265" s="1575"/>
      <c r="M265" s="1575"/>
      <c r="N265" s="1575"/>
    </row>
    <row r="266" spans="3:14" ht="15.75" customHeight="1">
      <c r="C266" s="1575"/>
      <c r="D266" s="1575"/>
      <c r="E266" s="1575"/>
      <c r="F266" s="1575"/>
      <c r="G266" s="1575"/>
      <c r="H266" s="1575"/>
      <c r="I266" s="1575"/>
      <c r="J266" s="1575"/>
      <c r="K266" s="1575"/>
      <c r="L266" s="1575"/>
      <c r="M266" s="1575"/>
      <c r="N266" s="1575"/>
    </row>
    <row r="267" spans="3:14" ht="15.75" customHeight="1">
      <c r="C267" s="1575"/>
      <c r="D267" s="1575"/>
      <c r="E267" s="1575"/>
      <c r="F267" s="1575"/>
      <c r="G267" s="1575"/>
      <c r="H267" s="1575"/>
      <c r="I267" s="1575"/>
      <c r="J267" s="1575"/>
      <c r="K267" s="1575"/>
      <c r="L267" s="1575"/>
      <c r="M267" s="1575"/>
      <c r="N267" s="1575"/>
    </row>
    <row r="268" spans="3:14" ht="15.75" customHeight="1">
      <c r="C268" s="1575"/>
      <c r="D268" s="1575"/>
      <c r="E268" s="1575"/>
      <c r="F268" s="1575"/>
      <c r="G268" s="1575"/>
      <c r="H268" s="1575"/>
      <c r="I268" s="1575"/>
      <c r="J268" s="1575"/>
      <c r="K268" s="1575"/>
      <c r="L268" s="1575"/>
      <c r="M268" s="1575"/>
      <c r="N268" s="1575"/>
    </row>
    <row r="269" spans="3:14" ht="15.75" customHeight="1">
      <c r="C269" s="1575"/>
      <c r="D269" s="1575"/>
      <c r="E269" s="1575"/>
      <c r="F269" s="1575"/>
      <c r="G269" s="1575"/>
      <c r="H269" s="1575"/>
      <c r="I269" s="1575"/>
      <c r="J269" s="1575"/>
      <c r="K269" s="1575"/>
      <c r="L269" s="1575"/>
      <c r="M269" s="1575"/>
      <c r="N269" s="1575"/>
    </row>
    <row r="270" spans="3:14" ht="15.75" customHeight="1">
      <c r="C270" s="1575"/>
      <c r="D270" s="1575"/>
      <c r="E270" s="1575"/>
      <c r="F270" s="1575"/>
      <c r="G270" s="1575"/>
      <c r="H270" s="1575"/>
      <c r="I270" s="1575"/>
      <c r="J270" s="1575"/>
      <c r="K270" s="1575"/>
      <c r="L270" s="1575"/>
      <c r="M270" s="1575"/>
      <c r="N270" s="1575"/>
    </row>
    <row r="271" spans="3:14" ht="15.75" customHeight="1">
      <c r="C271" s="1575"/>
      <c r="D271" s="1575"/>
      <c r="E271" s="1575"/>
      <c r="F271" s="1575"/>
      <c r="G271" s="1575"/>
      <c r="H271" s="1575"/>
      <c r="I271" s="1575"/>
      <c r="J271" s="1575"/>
      <c r="K271" s="1575"/>
      <c r="L271" s="1575"/>
      <c r="M271" s="1575"/>
      <c r="N271" s="1575"/>
    </row>
    <row r="272" spans="3:14" ht="15.75" customHeight="1">
      <c r="C272" s="1575"/>
      <c r="D272" s="1575"/>
      <c r="E272" s="1575"/>
      <c r="F272" s="1575"/>
      <c r="G272" s="1575"/>
      <c r="H272" s="1575"/>
      <c r="I272" s="1575"/>
      <c r="J272" s="1575"/>
      <c r="K272" s="1575"/>
      <c r="L272" s="1575"/>
      <c r="M272" s="1575"/>
      <c r="N272" s="1575"/>
    </row>
    <row r="273" spans="3:14" ht="15.75" customHeight="1">
      <c r="C273" s="1575"/>
      <c r="D273" s="1575"/>
      <c r="E273" s="1575"/>
      <c r="F273" s="1575"/>
      <c r="G273" s="1575"/>
      <c r="H273" s="1575"/>
      <c r="I273" s="1575"/>
      <c r="J273" s="1575"/>
      <c r="K273" s="1575"/>
      <c r="L273" s="1575"/>
      <c r="M273" s="1575"/>
      <c r="N273" s="1575"/>
    </row>
    <row r="274" spans="3:14" ht="15.75" customHeight="1">
      <c r="C274" s="1575"/>
      <c r="D274" s="1575"/>
      <c r="E274" s="1575"/>
      <c r="F274" s="1575"/>
      <c r="G274" s="1575"/>
      <c r="H274" s="1575"/>
      <c r="I274" s="1575"/>
      <c r="J274" s="1575"/>
      <c r="K274" s="1575"/>
      <c r="L274" s="1575"/>
      <c r="M274" s="1575"/>
      <c r="N274" s="1575"/>
    </row>
    <row r="275" spans="3:14" ht="15.75" customHeight="1">
      <c r="C275" s="1575"/>
      <c r="D275" s="1575"/>
      <c r="E275" s="1575"/>
      <c r="F275" s="1575"/>
      <c r="G275" s="1575"/>
      <c r="H275" s="1575"/>
      <c r="I275" s="1575"/>
      <c r="J275" s="1575"/>
      <c r="K275" s="1575"/>
      <c r="L275" s="1575"/>
      <c r="M275" s="1575"/>
      <c r="N275" s="1575"/>
    </row>
    <row r="276" spans="3:14" ht="15.75" customHeight="1">
      <c r="C276" s="1575"/>
      <c r="D276" s="1575"/>
      <c r="E276" s="1575"/>
      <c r="F276" s="1575"/>
      <c r="G276" s="1575"/>
      <c r="H276" s="1575"/>
      <c r="I276" s="1575"/>
      <c r="J276" s="1575"/>
      <c r="K276" s="1575"/>
      <c r="L276" s="1575"/>
      <c r="M276" s="1575"/>
      <c r="N276" s="1575"/>
    </row>
    <row r="277" spans="3:14" ht="15.75" customHeight="1">
      <c r="C277" s="1575"/>
      <c r="D277" s="1575"/>
      <c r="E277" s="1575"/>
      <c r="F277" s="1575"/>
      <c r="G277" s="1575"/>
      <c r="H277" s="1575"/>
      <c r="I277" s="1575"/>
      <c r="J277" s="1575"/>
      <c r="K277" s="1575"/>
      <c r="L277" s="1575"/>
      <c r="M277" s="1575"/>
      <c r="N277" s="1575"/>
    </row>
    <row r="278" spans="3:14" ht="15.75" customHeight="1">
      <c r="C278" s="1575"/>
      <c r="D278" s="1575"/>
      <c r="E278" s="1575"/>
      <c r="F278" s="1575"/>
      <c r="G278" s="1575"/>
      <c r="H278" s="1575"/>
      <c r="I278" s="1575"/>
      <c r="J278" s="1575"/>
      <c r="K278" s="1575"/>
      <c r="L278" s="1575"/>
      <c r="M278" s="1575"/>
      <c r="N278" s="1575"/>
    </row>
    <row r="279" spans="3:14" ht="15.75" customHeight="1">
      <c r="C279" s="1575"/>
      <c r="D279" s="1575"/>
      <c r="E279" s="1575"/>
      <c r="F279" s="1575"/>
      <c r="G279" s="1575"/>
      <c r="H279" s="1575"/>
      <c r="I279" s="1575"/>
      <c r="J279" s="1575"/>
      <c r="K279" s="1575"/>
      <c r="L279" s="1575"/>
      <c r="M279" s="1575"/>
      <c r="N279" s="1575"/>
    </row>
    <row r="280" spans="3:14" ht="15.75" customHeight="1">
      <c r="C280" s="1575"/>
      <c r="D280" s="1575"/>
      <c r="E280" s="1575"/>
      <c r="F280" s="1575"/>
      <c r="G280" s="1575"/>
      <c r="H280" s="1575"/>
      <c r="I280" s="1575"/>
      <c r="J280" s="1575"/>
      <c r="K280" s="1575"/>
      <c r="L280" s="1575"/>
      <c r="M280" s="1575"/>
      <c r="N280" s="1575"/>
    </row>
    <row r="281" spans="3:14" ht="15.75" customHeight="1">
      <c r="C281" s="1575"/>
      <c r="D281" s="1575"/>
      <c r="E281" s="1575"/>
      <c r="F281" s="1575"/>
      <c r="G281" s="1575"/>
      <c r="H281" s="1575"/>
      <c r="I281" s="1575"/>
      <c r="J281" s="1575"/>
      <c r="K281" s="1575"/>
      <c r="L281" s="1575"/>
      <c r="M281" s="1575"/>
      <c r="N281" s="1575"/>
    </row>
    <row r="282" spans="3:14" ht="15.75" customHeight="1">
      <c r="C282" s="1575"/>
      <c r="D282" s="1575"/>
      <c r="E282" s="1575"/>
      <c r="F282" s="1575"/>
      <c r="G282" s="1575"/>
      <c r="H282" s="1575"/>
      <c r="I282" s="1575"/>
      <c r="J282" s="1575"/>
      <c r="K282" s="1575"/>
      <c r="L282" s="1575"/>
      <c r="M282" s="1575"/>
      <c r="N282" s="1575"/>
    </row>
    <row r="283" spans="3:14" ht="15.75" customHeight="1">
      <c r="C283" s="1575"/>
      <c r="D283" s="1575"/>
      <c r="E283" s="1575"/>
      <c r="F283" s="1575"/>
      <c r="G283" s="1575"/>
      <c r="H283" s="1575"/>
      <c r="I283" s="1575"/>
      <c r="J283" s="1575"/>
      <c r="K283" s="1575"/>
      <c r="L283" s="1575"/>
      <c r="M283" s="1575"/>
      <c r="N283" s="1575"/>
    </row>
    <row r="284" spans="3:14" ht="14.25" customHeight="1">
      <c r="C284" s="1575"/>
      <c r="D284" s="1575"/>
      <c r="E284" s="1575"/>
      <c r="F284" s="1575"/>
      <c r="G284" s="1575"/>
      <c r="H284" s="1575"/>
      <c r="I284" s="1575"/>
      <c r="J284" s="1575"/>
      <c r="K284" s="1575"/>
      <c r="L284" s="1575"/>
      <c r="M284" s="1575"/>
      <c r="N284" s="1575"/>
    </row>
    <row r="285" spans="3:14" ht="14.25" customHeight="1">
      <c r="C285" s="1575"/>
      <c r="D285" s="1575"/>
      <c r="E285" s="1575"/>
      <c r="F285" s="1575"/>
      <c r="G285" s="1575"/>
      <c r="H285" s="1575"/>
      <c r="I285" s="1575"/>
      <c r="J285" s="1575"/>
      <c r="K285" s="1575"/>
      <c r="L285" s="1575"/>
      <c r="M285" s="1575"/>
      <c r="N285" s="1575"/>
    </row>
    <row r="286" spans="3:14" ht="14.25" customHeight="1">
      <c r="C286" s="1575"/>
      <c r="D286" s="1575"/>
      <c r="E286" s="1575"/>
      <c r="F286" s="1575"/>
      <c r="G286" s="1575"/>
      <c r="H286" s="1575"/>
      <c r="I286" s="1575"/>
      <c r="J286" s="1575"/>
      <c r="K286" s="1575"/>
      <c r="L286" s="1575"/>
      <c r="M286" s="1575"/>
      <c r="N286" s="1575"/>
    </row>
    <row r="287" spans="3:14" ht="14.25" customHeight="1">
      <c r="C287" s="1575"/>
      <c r="D287" s="1575"/>
      <c r="E287" s="1575"/>
      <c r="F287" s="1575"/>
      <c r="G287" s="1575"/>
      <c r="H287" s="1575"/>
      <c r="I287" s="1575"/>
      <c r="J287" s="1575"/>
      <c r="K287" s="1575"/>
      <c r="L287" s="1575"/>
      <c r="M287" s="1575"/>
      <c r="N287" s="1575"/>
    </row>
    <row r="288" spans="3:14" ht="14.25" customHeight="1">
      <c r="C288" s="1575"/>
      <c r="D288" s="1575"/>
      <c r="E288" s="1575"/>
      <c r="F288" s="1575"/>
      <c r="G288" s="1575"/>
      <c r="H288" s="1575"/>
      <c r="I288" s="1575"/>
      <c r="J288" s="1575"/>
      <c r="K288" s="1575"/>
      <c r="L288" s="1575"/>
      <c r="M288" s="1575"/>
      <c r="N288" s="1575"/>
    </row>
    <row r="289" spans="3:14" ht="14.25" customHeight="1">
      <c r="C289" s="1575"/>
      <c r="D289" s="1575"/>
      <c r="E289" s="1575"/>
      <c r="F289" s="1575"/>
      <c r="G289" s="1575"/>
      <c r="H289" s="1575"/>
      <c r="I289" s="1575"/>
      <c r="J289" s="1575"/>
      <c r="K289" s="1575"/>
      <c r="L289" s="1575"/>
      <c r="M289" s="1575"/>
      <c r="N289" s="1575"/>
    </row>
    <row r="290" spans="3:14" ht="14.25" customHeight="1">
      <c r="C290" s="1575"/>
      <c r="D290" s="1575"/>
      <c r="E290" s="1575"/>
      <c r="F290" s="1575"/>
      <c r="G290" s="1575"/>
      <c r="H290" s="1575"/>
      <c r="I290" s="1575"/>
      <c r="J290" s="1575"/>
      <c r="K290" s="1575"/>
      <c r="L290" s="1575"/>
      <c r="M290" s="1575"/>
      <c r="N290" s="1575"/>
    </row>
    <row r="291" spans="3:14" ht="14.25" customHeight="1">
      <c r="C291" s="1575"/>
      <c r="D291" s="1575"/>
      <c r="E291" s="1575"/>
      <c r="F291" s="1575"/>
      <c r="G291" s="1575"/>
      <c r="H291" s="1575"/>
      <c r="I291" s="1575"/>
      <c r="J291" s="1575"/>
      <c r="K291" s="1575"/>
      <c r="L291" s="1575"/>
      <c r="M291" s="1575"/>
      <c r="N291" s="1575"/>
    </row>
    <row r="292" spans="3:14" ht="14.25" customHeight="1">
      <c r="C292" s="1575"/>
      <c r="D292" s="1575"/>
      <c r="E292" s="1575"/>
      <c r="F292" s="1575"/>
      <c r="G292" s="1575"/>
      <c r="H292" s="1575"/>
      <c r="I292" s="1575"/>
      <c r="J292" s="1575"/>
      <c r="K292" s="1575"/>
      <c r="L292" s="1575"/>
      <c r="M292" s="1575"/>
      <c r="N292" s="1575"/>
    </row>
    <row r="293" spans="3:14" ht="14.25" customHeight="1">
      <c r="C293" s="1575"/>
      <c r="D293" s="1575"/>
      <c r="E293" s="1575"/>
      <c r="F293" s="1575"/>
      <c r="G293" s="1575"/>
      <c r="H293" s="1575"/>
      <c r="I293" s="1575"/>
      <c r="J293" s="1575"/>
      <c r="K293" s="1575"/>
      <c r="L293" s="1575"/>
      <c r="M293" s="1575"/>
      <c r="N293" s="1575"/>
    </row>
    <row r="294" spans="3:14" ht="14.25" customHeight="1">
      <c r="C294" s="1575"/>
      <c r="D294" s="1575"/>
      <c r="E294" s="1575"/>
      <c r="F294" s="1575"/>
      <c r="G294" s="1575"/>
      <c r="H294" s="1575"/>
      <c r="I294" s="1575"/>
      <c r="J294" s="1575"/>
      <c r="K294" s="1575"/>
      <c r="L294" s="1575"/>
      <c r="M294" s="1575"/>
      <c r="N294" s="1575"/>
    </row>
    <row r="295" spans="3:14" ht="14.25" customHeight="1">
      <c r="C295" s="1575"/>
      <c r="D295" s="1575"/>
      <c r="E295" s="1575"/>
      <c r="F295" s="1575"/>
      <c r="G295" s="1575"/>
      <c r="H295" s="1575"/>
      <c r="I295" s="1575"/>
      <c r="J295" s="1575"/>
      <c r="K295" s="1575"/>
      <c r="L295" s="1575"/>
      <c r="M295" s="1575"/>
      <c r="N295" s="1575"/>
    </row>
    <row r="296" spans="3:14" ht="14.25" customHeight="1">
      <c r="C296" s="1575"/>
      <c r="D296" s="1575"/>
      <c r="E296" s="1575"/>
      <c r="F296" s="1575"/>
      <c r="G296" s="1575"/>
      <c r="H296" s="1575"/>
      <c r="I296" s="1575"/>
      <c r="J296" s="1575"/>
      <c r="K296" s="1575"/>
      <c r="L296" s="1575"/>
      <c r="M296" s="1575"/>
      <c r="N296" s="1575"/>
    </row>
    <row r="297" spans="3:14" ht="14.25" customHeight="1">
      <c r="C297" s="1575"/>
      <c r="D297" s="1575"/>
      <c r="E297" s="1575"/>
      <c r="F297" s="1575"/>
      <c r="G297" s="1575"/>
      <c r="H297" s="1575"/>
      <c r="I297" s="1575"/>
      <c r="J297" s="1575"/>
      <c r="K297" s="1575"/>
      <c r="L297" s="1575"/>
      <c r="M297" s="1575"/>
      <c r="N297" s="1575"/>
    </row>
    <row r="298" spans="3:14" ht="14.25" customHeight="1">
      <c r="C298" s="1575"/>
      <c r="D298" s="1575"/>
      <c r="E298" s="1575"/>
      <c r="F298" s="1575"/>
      <c r="G298" s="1575"/>
      <c r="H298" s="1575"/>
      <c r="I298" s="1575"/>
      <c r="J298" s="1575"/>
      <c r="K298" s="1575"/>
      <c r="L298" s="1575"/>
      <c r="M298" s="1575"/>
      <c r="N298" s="1575"/>
    </row>
    <row r="299" spans="3:14" ht="14.25" customHeight="1">
      <c r="C299" s="1575"/>
      <c r="D299" s="1575"/>
      <c r="E299" s="1575"/>
      <c r="F299" s="1575"/>
      <c r="G299" s="1575"/>
      <c r="H299" s="1575"/>
      <c r="I299" s="1575"/>
      <c r="J299" s="1575"/>
      <c r="K299" s="1575"/>
      <c r="L299" s="1575"/>
      <c r="M299" s="1575"/>
      <c r="N299" s="1575"/>
    </row>
    <row r="300" spans="3:14" ht="14.25" customHeight="1">
      <c r="C300" s="1575"/>
      <c r="D300" s="1575"/>
      <c r="E300" s="1575"/>
      <c r="F300" s="1575"/>
      <c r="G300" s="1575"/>
      <c r="H300" s="1575"/>
      <c r="I300" s="1575"/>
      <c r="J300" s="1575"/>
      <c r="K300" s="1575"/>
      <c r="L300" s="1575"/>
      <c r="M300" s="1575"/>
      <c r="N300" s="1575"/>
    </row>
    <row r="301" spans="3:14" ht="14.25" customHeight="1">
      <c r="C301" s="1575"/>
      <c r="D301" s="1575"/>
      <c r="E301" s="1575"/>
      <c r="F301" s="1575"/>
      <c r="G301" s="1575"/>
      <c r="H301" s="1575"/>
      <c r="I301" s="1575"/>
      <c r="J301" s="1575"/>
      <c r="K301" s="1575"/>
      <c r="L301" s="1575"/>
      <c r="M301" s="1575"/>
      <c r="N301" s="1575"/>
    </row>
    <row r="302" spans="3:14" ht="14.25" customHeight="1">
      <c r="C302" s="1575"/>
      <c r="D302" s="1575"/>
      <c r="E302" s="1575"/>
      <c r="F302" s="1575"/>
      <c r="G302" s="1575"/>
      <c r="H302" s="1575"/>
      <c r="I302" s="1575"/>
      <c r="J302" s="1575"/>
      <c r="K302" s="1575"/>
      <c r="L302" s="1575"/>
      <c r="M302" s="1575"/>
      <c r="N302" s="1575"/>
    </row>
    <row r="303" spans="3:14" ht="14.25" customHeight="1">
      <c r="C303" s="1575"/>
      <c r="D303" s="1575"/>
      <c r="E303" s="1575"/>
      <c r="F303" s="1575"/>
      <c r="G303" s="1575"/>
      <c r="H303" s="1575"/>
      <c r="I303" s="1575"/>
      <c r="J303" s="1575"/>
      <c r="K303" s="1575"/>
      <c r="L303" s="1575"/>
      <c r="M303" s="1575"/>
      <c r="N303" s="1575"/>
    </row>
    <row r="304" spans="3:14" ht="14.25" customHeight="1">
      <c r="C304" s="1575"/>
      <c r="D304" s="1575"/>
      <c r="E304" s="1575"/>
      <c r="F304" s="1575"/>
      <c r="G304" s="1575"/>
      <c r="H304" s="1575"/>
      <c r="I304" s="1575"/>
      <c r="J304" s="1575"/>
      <c r="K304" s="1575"/>
      <c r="L304" s="1575"/>
      <c r="M304" s="1575"/>
      <c r="N304" s="1575"/>
    </row>
    <row r="305" spans="3:14" ht="14.25" customHeight="1">
      <c r="C305" s="1575"/>
      <c r="D305" s="1575"/>
      <c r="E305" s="1575"/>
      <c r="F305" s="1575"/>
      <c r="G305" s="1575"/>
      <c r="H305" s="1575"/>
      <c r="I305" s="1575"/>
      <c r="J305" s="1575"/>
      <c r="K305" s="1575"/>
      <c r="L305" s="1575"/>
      <c r="M305" s="1575"/>
      <c r="N305" s="1575"/>
    </row>
    <row r="306" spans="3:14" ht="14.25" customHeight="1">
      <c r="C306" s="1575"/>
      <c r="D306" s="1575"/>
      <c r="E306" s="1575"/>
      <c r="F306" s="1575"/>
      <c r="G306" s="1575"/>
      <c r="H306" s="1575"/>
      <c r="I306" s="1575"/>
      <c r="J306" s="1575"/>
      <c r="K306" s="1575"/>
      <c r="L306" s="1575"/>
      <c r="M306" s="1575"/>
      <c r="N306" s="1575"/>
    </row>
    <row r="307" spans="3:14" ht="14.25" customHeight="1">
      <c r="C307" s="1575"/>
      <c r="D307" s="1575"/>
      <c r="E307" s="1575"/>
      <c r="F307" s="1575"/>
      <c r="G307" s="1575"/>
      <c r="H307" s="1575"/>
      <c r="I307" s="1575"/>
      <c r="J307" s="1575"/>
      <c r="K307" s="1575"/>
      <c r="L307" s="1575"/>
      <c r="M307" s="1575"/>
      <c r="N307" s="1575"/>
    </row>
    <row r="308" spans="3:14" ht="14.25" customHeight="1">
      <c r="C308" s="1575"/>
      <c r="D308" s="1575"/>
      <c r="E308" s="1575"/>
      <c r="F308" s="1575"/>
      <c r="G308" s="1575"/>
      <c r="H308" s="1575"/>
      <c r="I308" s="1575"/>
      <c r="J308" s="1575"/>
      <c r="K308" s="1575"/>
      <c r="L308" s="1575"/>
      <c r="M308" s="1575"/>
      <c r="N308" s="1575"/>
    </row>
    <row r="309" spans="3:14" ht="14.25" customHeight="1">
      <c r="C309" s="1575"/>
      <c r="D309" s="1575"/>
      <c r="E309" s="1575"/>
      <c r="F309" s="1575"/>
      <c r="G309" s="1575"/>
      <c r="H309" s="1575"/>
      <c r="I309" s="1575"/>
      <c r="J309" s="1575"/>
      <c r="K309" s="1575"/>
      <c r="L309" s="1575"/>
      <c r="M309" s="1575"/>
      <c r="N309" s="1575"/>
    </row>
    <row r="310" spans="3:14" ht="14.25" customHeight="1">
      <c r="C310" s="1575"/>
      <c r="D310" s="1575"/>
      <c r="E310" s="1575"/>
      <c r="F310" s="1575"/>
      <c r="G310" s="1575"/>
      <c r="H310" s="1575"/>
      <c r="I310" s="1575"/>
      <c r="J310" s="1575"/>
      <c r="K310" s="1575"/>
      <c r="L310" s="1575"/>
      <c r="M310" s="1575"/>
      <c r="N310" s="1575"/>
    </row>
    <row r="311" spans="3:14" ht="14.25" customHeight="1">
      <c r="C311" s="1575"/>
      <c r="D311" s="1575"/>
      <c r="E311" s="1575"/>
      <c r="F311" s="1575"/>
      <c r="G311" s="1575"/>
      <c r="H311" s="1575"/>
      <c r="I311" s="1575"/>
      <c r="J311" s="1575"/>
      <c r="K311" s="1575"/>
      <c r="L311" s="1575"/>
      <c r="M311" s="1575"/>
      <c r="N311" s="1575"/>
    </row>
    <row r="312" spans="3:14" ht="14.25" customHeight="1">
      <c r="C312" s="1575"/>
      <c r="D312" s="1575"/>
      <c r="E312" s="1575"/>
      <c r="F312" s="1575"/>
      <c r="G312" s="1575"/>
      <c r="H312" s="1575"/>
      <c r="I312" s="1575"/>
      <c r="J312" s="1575"/>
      <c r="K312" s="1575"/>
      <c r="L312" s="1575"/>
      <c r="M312" s="1575"/>
      <c r="N312" s="1575"/>
    </row>
    <row r="313" spans="3:14" ht="14.25" customHeight="1">
      <c r="C313" s="1575"/>
      <c r="D313" s="1575"/>
      <c r="E313" s="1575"/>
      <c r="F313" s="1575"/>
      <c r="G313" s="1575"/>
      <c r="H313" s="1575"/>
      <c r="I313" s="1575"/>
      <c r="J313" s="1575"/>
      <c r="K313" s="1575"/>
      <c r="L313" s="1575"/>
      <c r="M313" s="1575"/>
      <c r="N313" s="1575"/>
    </row>
    <row r="314" spans="3:14" ht="14.25" customHeight="1">
      <c r="C314" s="1575"/>
      <c r="D314" s="1575"/>
      <c r="E314" s="1575"/>
      <c r="F314" s="1575"/>
      <c r="G314" s="1575"/>
      <c r="H314" s="1575"/>
      <c r="I314" s="1575"/>
      <c r="J314" s="1575"/>
      <c r="K314" s="1575"/>
      <c r="L314" s="1575"/>
      <c r="M314" s="1575"/>
      <c r="N314" s="1575"/>
    </row>
    <row r="315" spans="3:14" ht="14.25" customHeight="1">
      <c r="C315" s="1575"/>
      <c r="D315" s="1575"/>
      <c r="E315" s="1575"/>
      <c r="F315" s="1575"/>
      <c r="G315" s="1575"/>
      <c r="H315" s="1575"/>
      <c r="I315" s="1575"/>
      <c r="J315" s="1575"/>
      <c r="K315" s="1575"/>
      <c r="L315" s="1575"/>
      <c r="M315" s="1575"/>
      <c r="N315" s="1575"/>
    </row>
    <row r="316" spans="3:14" ht="14.25" customHeight="1">
      <c r="C316" s="1575"/>
      <c r="D316" s="1575"/>
      <c r="E316" s="1575"/>
      <c r="F316" s="1575"/>
      <c r="G316" s="1575"/>
      <c r="H316" s="1575"/>
      <c r="I316" s="1575"/>
      <c r="J316" s="1575"/>
      <c r="K316" s="1575"/>
      <c r="L316" s="1575"/>
      <c r="M316" s="1575"/>
      <c r="N316" s="1575"/>
    </row>
    <row r="317" spans="3:14" ht="14.25" customHeight="1">
      <c r="C317" s="1575"/>
      <c r="D317" s="1575"/>
      <c r="E317" s="1575"/>
      <c r="F317" s="1575"/>
      <c r="G317" s="1575"/>
      <c r="H317" s="1575"/>
      <c r="I317" s="1575"/>
      <c r="J317" s="1575"/>
      <c r="K317" s="1575"/>
      <c r="L317" s="1575"/>
      <c r="M317" s="1575"/>
      <c r="N317" s="1575"/>
    </row>
    <row r="318" spans="3:14" ht="14.25" customHeight="1">
      <c r="C318" s="1575"/>
      <c r="D318" s="1575"/>
      <c r="E318" s="1575"/>
      <c r="F318" s="1575"/>
      <c r="G318" s="1575"/>
      <c r="H318" s="1575"/>
      <c r="I318" s="1575"/>
      <c r="J318" s="1575"/>
      <c r="K318" s="1575"/>
      <c r="L318" s="1575"/>
      <c r="M318" s="1575"/>
      <c r="N318" s="1575"/>
    </row>
    <row r="319" spans="3:14" ht="14.25" customHeight="1">
      <c r="C319" s="1575"/>
      <c r="D319" s="1575"/>
      <c r="E319" s="1575"/>
      <c r="F319" s="1575"/>
      <c r="G319" s="1575"/>
      <c r="H319" s="1575"/>
      <c r="I319" s="1575"/>
      <c r="J319" s="1575"/>
      <c r="K319" s="1575"/>
      <c r="L319" s="1575"/>
      <c r="M319" s="1575"/>
      <c r="N319" s="1575"/>
    </row>
    <row r="320" spans="3:14" ht="14.25" customHeight="1">
      <c r="C320" s="1575"/>
      <c r="D320" s="1575"/>
      <c r="E320" s="1575"/>
      <c r="F320" s="1575"/>
      <c r="G320" s="1575"/>
      <c r="H320" s="1575"/>
      <c r="I320" s="1575"/>
      <c r="J320" s="1575"/>
      <c r="K320" s="1575"/>
      <c r="L320" s="1575"/>
      <c r="M320" s="1575"/>
      <c r="N320" s="1575"/>
    </row>
    <row r="321" spans="3:14" ht="14.25" customHeight="1">
      <c r="C321" s="1575"/>
      <c r="D321" s="1575"/>
      <c r="E321" s="1575"/>
      <c r="F321" s="1575"/>
      <c r="G321" s="1575"/>
      <c r="H321" s="1575"/>
      <c r="I321" s="1575"/>
      <c r="J321" s="1575"/>
      <c r="K321" s="1575"/>
      <c r="L321" s="1575"/>
      <c r="M321" s="1575"/>
      <c r="N321" s="1575"/>
    </row>
    <row r="322" spans="3:14" ht="14.25" customHeight="1">
      <c r="C322" s="1575"/>
      <c r="D322" s="1575"/>
      <c r="E322" s="1575"/>
      <c r="F322" s="1575"/>
      <c r="G322" s="1575"/>
      <c r="H322" s="1575"/>
      <c r="I322" s="1575"/>
      <c r="J322" s="1575"/>
      <c r="K322" s="1575"/>
      <c r="L322" s="1575"/>
      <c r="M322" s="1575"/>
      <c r="N322" s="1575"/>
    </row>
    <row r="323" spans="3:14" ht="14.25" customHeight="1">
      <c r="C323" s="1575"/>
      <c r="D323" s="1575"/>
      <c r="E323" s="1575"/>
      <c r="F323" s="1575"/>
      <c r="G323" s="1575"/>
      <c r="H323" s="1575"/>
      <c r="I323" s="1575"/>
      <c r="J323" s="1575"/>
      <c r="K323" s="1575"/>
      <c r="L323" s="1575"/>
      <c r="M323" s="1575"/>
      <c r="N323" s="1575"/>
    </row>
    <row r="324" spans="3:14" ht="14.25" customHeight="1">
      <c r="C324" s="1575"/>
      <c r="D324" s="1575"/>
      <c r="E324" s="1575"/>
      <c r="F324" s="1575"/>
      <c r="G324" s="1575"/>
      <c r="H324" s="1575"/>
      <c r="I324" s="1575"/>
      <c r="J324" s="1575"/>
      <c r="K324" s="1575"/>
      <c r="L324" s="1575"/>
      <c r="M324" s="1575"/>
      <c r="N324" s="1575"/>
    </row>
    <row r="325" spans="3:14" ht="14.25" customHeight="1">
      <c r="C325" s="1575"/>
      <c r="D325" s="1575"/>
      <c r="E325" s="1575"/>
      <c r="F325" s="1575"/>
      <c r="G325" s="1575"/>
      <c r="H325" s="1575"/>
      <c r="I325" s="1575"/>
      <c r="J325" s="1575"/>
      <c r="K325" s="1575"/>
      <c r="L325" s="1575"/>
      <c r="M325" s="1575"/>
      <c r="N325" s="1575"/>
    </row>
    <row r="326" spans="3:14" ht="14.25" customHeight="1">
      <c r="C326" s="1575"/>
      <c r="D326" s="1575"/>
      <c r="E326" s="1575"/>
      <c r="F326" s="1575"/>
      <c r="G326" s="1575"/>
      <c r="H326" s="1575"/>
      <c r="I326" s="1575"/>
      <c r="J326" s="1575"/>
      <c r="K326" s="1575"/>
      <c r="L326" s="1575"/>
      <c r="M326" s="1575"/>
      <c r="N326" s="1575"/>
    </row>
    <row r="327" spans="3:14" ht="14.25" customHeight="1">
      <c r="C327" s="1575"/>
      <c r="D327" s="1575"/>
      <c r="E327" s="1575"/>
      <c r="F327" s="1575"/>
      <c r="G327" s="1575"/>
      <c r="H327" s="1575"/>
      <c r="I327" s="1575"/>
      <c r="J327" s="1575"/>
      <c r="K327" s="1575"/>
      <c r="L327" s="1575"/>
      <c r="M327" s="1575"/>
      <c r="N327" s="1575"/>
    </row>
    <row r="328" spans="3:14" ht="14.25" customHeight="1">
      <c r="C328" s="1575"/>
      <c r="D328" s="1575"/>
      <c r="E328" s="1575"/>
      <c r="F328" s="1575"/>
      <c r="G328" s="1575"/>
      <c r="H328" s="1575"/>
      <c r="I328" s="1575"/>
      <c r="J328" s="1575"/>
      <c r="K328" s="1575"/>
      <c r="L328" s="1575"/>
      <c r="M328" s="1575"/>
      <c r="N328" s="1575"/>
    </row>
    <row r="329" spans="3:14" ht="14.25" customHeight="1">
      <c r="C329" s="1575"/>
      <c r="D329" s="1575"/>
      <c r="E329" s="1575"/>
      <c r="F329" s="1575"/>
      <c r="G329" s="1575"/>
      <c r="H329" s="1575"/>
      <c r="I329" s="1575"/>
      <c r="J329" s="1575"/>
      <c r="K329" s="1575"/>
      <c r="L329" s="1575"/>
      <c r="M329" s="1575"/>
      <c r="N329" s="1575"/>
    </row>
    <row r="330" spans="3:14" ht="14.25" customHeight="1">
      <c r="C330" s="1575"/>
      <c r="D330" s="1575"/>
      <c r="E330" s="1575"/>
      <c r="F330" s="1575"/>
      <c r="G330" s="1575"/>
      <c r="H330" s="1575"/>
      <c r="I330" s="1575"/>
      <c r="J330" s="1575"/>
      <c r="K330" s="1575"/>
      <c r="L330" s="1575"/>
      <c r="M330" s="1575"/>
      <c r="N330" s="1575"/>
    </row>
    <row r="331" spans="3:14" ht="14.25" customHeight="1">
      <c r="C331" s="1575"/>
      <c r="D331" s="1575"/>
      <c r="E331" s="1575"/>
      <c r="F331" s="1575"/>
      <c r="G331" s="1575"/>
      <c r="H331" s="1575"/>
      <c r="I331" s="1575"/>
      <c r="J331" s="1575"/>
      <c r="K331" s="1575"/>
      <c r="L331" s="1575"/>
      <c r="M331" s="1575"/>
      <c r="N331" s="1575"/>
    </row>
    <row r="332" spans="3:14" ht="14.25" customHeight="1">
      <c r="C332" s="1575"/>
      <c r="D332" s="1575"/>
      <c r="E332" s="1575"/>
      <c r="F332" s="1575"/>
      <c r="G332" s="1575"/>
      <c r="H332" s="1575"/>
      <c r="I332" s="1575"/>
      <c r="J332" s="1575"/>
      <c r="K332" s="1575"/>
      <c r="L332" s="1575"/>
      <c r="M332" s="1575"/>
      <c r="N332" s="1575"/>
    </row>
    <row r="333" spans="3:14" ht="14.25" customHeight="1">
      <c r="C333" s="1575"/>
      <c r="D333" s="1575"/>
      <c r="E333" s="1575"/>
      <c r="F333" s="1575"/>
      <c r="G333" s="1575"/>
      <c r="H333" s="1575"/>
      <c r="I333" s="1575"/>
      <c r="J333" s="1575"/>
      <c r="K333" s="1575"/>
      <c r="L333" s="1575"/>
      <c r="M333" s="1575"/>
      <c r="N333" s="1575"/>
    </row>
    <row r="334" spans="3:14" ht="14.25" customHeight="1">
      <c r="C334" s="1575"/>
      <c r="D334" s="1575"/>
      <c r="E334" s="1575"/>
      <c r="F334" s="1575"/>
      <c r="G334" s="1575"/>
      <c r="H334" s="1575"/>
      <c r="I334" s="1575"/>
      <c r="J334" s="1575"/>
      <c r="K334" s="1575"/>
      <c r="L334" s="1575"/>
      <c r="M334" s="1575"/>
      <c r="N334" s="1575"/>
    </row>
    <row r="335" spans="3:14" ht="14.25" customHeight="1">
      <c r="C335" s="1575"/>
      <c r="D335" s="1575"/>
      <c r="E335" s="1575"/>
      <c r="F335" s="1575"/>
      <c r="G335" s="1575"/>
      <c r="H335" s="1575"/>
      <c r="I335" s="1575"/>
      <c r="J335" s="1575"/>
      <c r="K335" s="1575"/>
      <c r="L335" s="1575"/>
      <c r="M335" s="1575"/>
      <c r="N335" s="1575"/>
    </row>
    <row r="336" spans="3:14" ht="14.25" customHeight="1">
      <c r="C336" s="1575"/>
      <c r="D336" s="1575"/>
      <c r="E336" s="1575"/>
      <c r="F336" s="1575"/>
      <c r="G336" s="1575"/>
      <c r="H336" s="1575"/>
      <c r="I336" s="1575"/>
      <c r="J336" s="1575"/>
      <c r="K336" s="1575"/>
      <c r="L336" s="1575"/>
      <c r="M336" s="1575"/>
      <c r="N336" s="1575"/>
    </row>
    <row r="337" spans="3:14" ht="14.25" customHeight="1">
      <c r="C337" s="1575"/>
      <c r="D337" s="1575"/>
      <c r="E337" s="1575"/>
      <c r="F337" s="1575"/>
      <c r="G337" s="1575"/>
      <c r="H337" s="1575"/>
      <c r="I337" s="1575"/>
      <c r="J337" s="1575"/>
      <c r="K337" s="1575"/>
      <c r="L337" s="1575"/>
      <c r="M337" s="1575"/>
      <c r="N337" s="1575"/>
    </row>
    <row r="338" spans="3:14" ht="14.25" customHeight="1">
      <c r="C338" s="1575"/>
      <c r="D338" s="1575"/>
      <c r="E338" s="1575"/>
      <c r="F338" s="1575"/>
      <c r="G338" s="1575"/>
      <c r="H338" s="1575"/>
      <c r="I338" s="1575"/>
      <c r="J338" s="1575"/>
      <c r="K338" s="1575"/>
      <c r="L338" s="1575"/>
      <c r="M338" s="1575"/>
      <c r="N338" s="1575"/>
    </row>
    <row r="339" spans="3:14" ht="14.25" customHeight="1">
      <c r="C339" s="1575"/>
      <c r="D339" s="1575"/>
      <c r="E339" s="1575"/>
      <c r="F339" s="1575"/>
      <c r="G339" s="1575"/>
      <c r="H339" s="1575"/>
      <c r="I339" s="1575"/>
      <c r="J339" s="1575"/>
      <c r="K339" s="1575"/>
      <c r="L339" s="1575"/>
      <c r="M339" s="1575"/>
      <c r="N339" s="1575"/>
    </row>
    <row r="340" spans="3:14" ht="14.25" customHeight="1">
      <c r="C340" s="1575"/>
      <c r="D340" s="1575"/>
      <c r="E340" s="1575"/>
      <c r="F340" s="1575"/>
      <c r="G340" s="1575"/>
      <c r="H340" s="1575"/>
      <c r="I340" s="1575"/>
      <c r="J340" s="1575"/>
      <c r="K340" s="1575"/>
      <c r="L340" s="1575"/>
      <c r="M340" s="1575"/>
      <c r="N340" s="1575"/>
    </row>
    <row r="341" spans="3:14" ht="14.25" customHeight="1">
      <c r="C341" s="1575"/>
      <c r="D341" s="1575"/>
      <c r="E341" s="1575"/>
      <c r="F341" s="1575"/>
      <c r="G341" s="1575"/>
      <c r="H341" s="1575"/>
      <c r="I341" s="1575"/>
      <c r="J341" s="1575"/>
      <c r="K341" s="1575"/>
      <c r="L341" s="1575"/>
      <c r="M341" s="1575"/>
      <c r="N341" s="1575"/>
    </row>
    <row r="342" spans="3:14" ht="14.25" customHeight="1">
      <c r="C342" s="1575"/>
      <c r="D342" s="1575"/>
      <c r="E342" s="1575"/>
      <c r="F342" s="1575"/>
      <c r="G342" s="1575"/>
      <c r="H342" s="1575"/>
      <c r="I342" s="1575"/>
      <c r="J342" s="1575"/>
      <c r="K342" s="1575"/>
      <c r="L342" s="1575"/>
      <c r="M342" s="1575"/>
      <c r="N342" s="1575"/>
    </row>
    <row r="343" spans="3:14" ht="14.25" customHeight="1">
      <c r="C343" s="1575"/>
      <c r="D343" s="1575"/>
      <c r="E343" s="1575"/>
      <c r="F343" s="1575"/>
      <c r="G343" s="1575"/>
      <c r="H343" s="1575"/>
      <c r="I343" s="1575"/>
      <c r="J343" s="1575"/>
      <c r="K343" s="1575"/>
      <c r="L343" s="1575"/>
      <c r="M343" s="1575"/>
      <c r="N343" s="1575"/>
    </row>
    <row r="344" spans="3:14" ht="14.25" customHeight="1">
      <c r="C344" s="1575"/>
      <c r="D344" s="1575"/>
      <c r="E344" s="1575"/>
      <c r="F344" s="1575"/>
      <c r="G344" s="1575"/>
      <c r="H344" s="1575"/>
      <c r="I344" s="1575"/>
      <c r="J344" s="1575"/>
      <c r="K344" s="1575"/>
      <c r="L344" s="1575"/>
      <c r="M344" s="1575"/>
      <c r="N344" s="1575"/>
    </row>
    <row r="345" spans="3:14" ht="14.25" customHeight="1">
      <c r="C345" s="1575"/>
      <c r="D345" s="1575"/>
      <c r="E345" s="1575"/>
      <c r="F345" s="1575"/>
      <c r="G345" s="1575"/>
      <c r="H345" s="1575"/>
      <c r="I345" s="1575"/>
      <c r="J345" s="1575"/>
      <c r="K345" s="1575"/>
      <c r="L345" s="1575"/>
      <c r="M345" s="1575"/>
      <c r="N345" s="1575"/>
    </row>
    <row r="346" spans="3:14" ht="14.25" customHeight="1">
      <c r="C346" s="1575"/>
      <c r="D346" s="1575"/>
      <c r="E346" s="1575"/>
      <c r="F346" s="1575"/>
      <c r="G346" s="1575"/>
      <c r="H346" s="1575"/>
      <c r="I346" s="1575"/>
      <c r="J346" s="1575"/>
      <c r="K346" s="1575"/>
      <c r="L346" s="1575"/>
      <c r="M346" s="1575"/>
      <c r="N346" s="1575"/>
    </row>
    <row r="347" spans="3:14" ht="14.25" customHeight="1">
      <c r="C347" s="1575"/>
      <c r="D347" s="1575"/>
      <c r="E347" s="1575"/>
      <c r="F347" s="1575"/>
      <c r="G347" s="1575"/>
      <c r="H347" s="1575"/>
      <c r="I347" s="1575"/>
      <c r="J347" s="1575"/>
      <c r="K347" s="1575"/>
      <c r="L347" s="1575"/>
      <c r="M347" s="1575"/>
      <c r="N347" s="1575"/>
    </row>
    <row r="348" spans="3:14" ht="14.25" customHeight="1">
      <c r="C348" s="1575"/>
      <c r="D348" s="1575"/>
      <c r="E348" s="1575"/>
      <c r="F348" s="1575"/>
      <c r="G348" s="1575"/>
      <c r="H348" s="1575"/>
      <c r="I348" s="1575"/>
      <c r="J348" s="1575"/>
      <c r="K348" s="1575"/>
      <c r="L348" s="1575"/>
      <c r="M348" s="1575"/>
      <c r="N348" s="1575"/>
    </row>
    <row r="349" spans="3:14" ht="14.25" customHeight="1">
      <c r="C349" s="1575"/>
      <c r="D349" s="1575"/>
      <c r="E349" s="1575"/>
      <c r="F349" s="1575"/>
      <c r="G349" s="1575"/>
      <c r="H349" s="1575"/>
      <c r="I349" s="1575"/>
      <c r="J349" s="1575"/>
      <c r="K349" s="1575"/>
      <c r="L349" s="1575"/>
      <c r="M349" s="1575"/>
      <c r="N349" s="1575"/>
    </row>
    <row r="350" spans="3:14" ht="14.25" customHeight="1">
      <c r="C350" s="1575"/>
      <c r="D350" s="1575"/>
      <c r="E350" s="1575"/>
      <c r="F350" s="1575"/>
      <c r="G350" s="1575"/>
      <c r="H350" s="1575"/>
      <c r="I350" s="1575"/>
      <c r="J350" s="1575"/>
      <c r="K350" s="1575"/>
      <c r="L350" s="1575"/>
      <c r="M350" s="1575"/>
      <c r="N350" s="1575"/>
    </row>
    <row r="351" spans="3:14" ht="14.25" customHeight="1">
      <c r="C351" s="1575"/>
      <c r="D351" s="1575"/>
      <c r="E351" s="1575"/>
      <c r="F351" s="1575"/>
      <c r="G351" s="1575"/>
      <c r="H351" s="1575"/>
      <c r="I351" s="1575"/>
      <c r="J351" s="1575"/>
      <c r="K351" s="1575"/>
      <c r="L351" s="1575"/>
      <c r="M351" s="1575"/>
      <c r="N351" s="1575"/>
    </row>
    <row r="352" spans="3:14" ht="14.25" customHeight="1">
      <c r="C352" s="1575"/>
      <c r="D352" s="1575"/>
      <c r="E352" s="1575"/>
      <c r="F352" s="1575"/>
      <c r="G352" s="1575"/>
      <c r="H352" s="1575"/>
      <c r="I352" s="1575"/>
      <c r="J352" s="1575"/>
      <c r="K352" s="1575"/>
      <c r="L352" s="1575"/>
      <c r="M352" s="1575"/>
      <c r="N352" s="1575"/>
    </row>
    <row r="353" spans="3:14" ht="14.25" customHeight="1">
      <c r="C353" s="1575"/>
      <c r="D353" s="1575"/>
      <c r="E353" s="1575"/>
      <c r="F353" s="1575"/>
      <c r="G353" s="1575"/>
      <c r="H353" s="1575"/>
      <c r="I353" s="1575"/>
      <c r="J353" s="1575"/>
      <c r="K353" s="1575"/>
      <c r="L353" s="1575"/>
      <c r="M353" s="1575"/>
      <c r="N353" s="1575"/>
    </row>
    <row r="354" spans="3:14" ht="14.25" customHeight="1">
      <c r="C354" s="1575"/>
      <c r="D354" s="1575"/>
      <c r="E354" s="1575"/>
      <c r="F354" s="1575"/>
      <c r="G354" s="1575"/>
      <c r="H354" s="1575"/>
      <c r="I354" s="1575"/>
      <c r="J354" s="1575"/>
      <c r="K354" s="1575"/>
      <c r="L354" s="1575"/>
      <c r="M354" s="1575"/>
      <c r="N354" s="1575"/>
    </row>
    <row r="355" spans="3:14" ht="14.25" customHeight="1">
      <c r="C355" s="1575"/>
      <c r="D355" s="1575"/>
      <c r="E355" s="1575"/>
      <c r="F355" s="1575"/>
      <c r="G355" s="1575"/>
      <c r="H355" s="1575"/>
      <c r="I355" s="1575"/>
      <c r="J355" s="1575"/>
      <c r="K355" s="1575"/>
      <c r="L355" s="1575"/>
      <c r="M355" s="1575"/>
      <c r="N355" s="1575"/>
    </row>
    <row r="356" spans="3:14" ht="14.25" customHeight="1">
      <c r="C356" s="1575"/>
      <c r="D356" s="1575"/>
      <c r="E356" s="1575"/>
      <c r="F356" s="1575"/>
      <c r="G356" s="1575"/>
      <c r="H356" s="1575"/>
      <c r="I356" s="1575"/>
      <c r="J356" s="1575"/>
      <c r="K356" s="1575"/>
      <c r="L356" s="1575"/>
      <c r="M356" s="1575"/>
      <c r="N356" s="1575"/>
    </row>
    <row r="357" spans="3:14" ht="14.25" customHeight="1">
      <c r="C357" s="1575"/>
      <c r="D357" s="1575"/>
      <c r="E357" s="1575"/>
      <c r="F357" s="1575"/>
      <c r="G357" s="1575"/>
      <c r="H357" s="1575"/>
      <c r="I357" s="1575"/>
      <c r="J357" s="1575"/>
      <c r="K357" s="1575"/>
      <c r="L357" s="1575"/>
      <c r="M357" s="1575"/>
      <c r="N357" s="1575"/>
    </row>
    <row r="358" spans="3:14" ht="14.25" customHeight="1">
      <c r="C358" s="1575"/>
      <c r="D358" s="1575"/>
      <c r="E358" s="1575"/>
      <c r="F358" s="1575"/>
      <c r="G358" s="1575"/>
      <c r="H358" s="1575"/>
      <c r="I358" s="1575"/>
      <c r="J358" s="1575"/>
      <c r="K358" s="1575"/>
      <c r="L358" s="1575"/>
      <c r="M358" s="1575"/>
      <c r="N358" s="1575"/>
    </row>
    <row r="359" spans="3:14" ht="14.25" customHeight="1">
      <c r="C359" s="1575"/>
      <c r="D359" s="1575"/>
      <c r="E359" s="1575"/>
      <c r="F359" s="1575"/>
      <c r="G359" s="1575"/>
      <c r="H359" s="1575"/>
      <c r="I359" s="1575"/>
      <c r="J359" s="1575"/>
      <c r="K359" s="1575"/>
      <c r="L359" s="1575"/>
      <c r="M359" s="1575"/>
      <c r="N359" s="1575"/>
    </row>
    <row r="360" spans="3:14" ht="14.25" customHeight="1">
      <c r="C360" s="1575"/>
      <c r="D360" s="1575"/>
      <c r="E360" s="1575"/>
      <c r="F360" s="1575"/>
      <c r="G360" s="1575"/>
      <c r="H360" s="1575"/>
      <c r="I360" s="1575"/>
      <c r="J360" s="1575"/>
      <c r="K360" s="1575"/>
      <c r="L360" s="1575"/>
      <c r="M360" s="1575"/>
      <c r="N360" s="1575"/>
    </row>
    <row r="361" spans="3:14" ht="14.25" customHeight="1">
      <c r="C361" s="1575"/>
      <c r="D361" s="1575"/>
      <c r="E361" s="1575"/>
      <c r="F361" s="1575"/>
      <c r="G361" s="1575"/>
      <c r="H361" s="1575"/>
      <c r="I361" s="1575"/>
      <c r="J361" s="1575"/>
      <c r="K361" s="1575"/>
      <c r="L361" s="1575"/>
      <c r="M361" s="1575"/>
      <c r="N361" s="1575"/>
    </row>
    <row r="362" spans="3:14" ht="14.25" customHeight="1">
      <c r="C362" s="1575"/>
      <c r="D362" s="1575"/>
      <c r="E362" s="1575"/>
      <c r="F362" s="1575"/>
      <c r="G362" s="1575"/>
      <c r="H362" s="1575"/>
      <c r="I362" s="1575"/>
      <c r="J362" s="1575"/>
      <c r="K362" s="1575"/>
      <c r="L362" s="1575"/>
      <c r="M362" s="1575"/>
      <c r="N362" s="1575"/>
    </row>
    <row r="363" spans="3:14" ht="14.25" customHeight="1">
      <c r="C363" s="1575"/>
      <c r="D363" s="1575"/>
      <c r="E363" s="1575"/>
      <c r="F363" s="1575"/>
      <c r="G363" s="1575"/>
      <c r="H363" s="1575"/>
      <c r="I363" s="1575"/>
      <c r="J363" s="1575"/>
      <c r="K363" s="1575"/>
      <c r="L363" s="1575"/>
      <c r="M363" s="1575"/>
      <c r="N363" s="1575"/>
    </row>
    <row r="364" spans="3:14" ht="14.25" customHeight="1">
      <c r="C364" s="1575"/>
      <c r="D364" s="1575"/>
      <c r="E364" s="1575"/>
      <c r="F364" s="1575"/>
      <c r="G364" s="1575"/>
      <c r="H364" s="1575"/>
      <c r="I364" s="1575"/>
      <c r="J364" s="1575"/>
      <c r="K364" s="1575"/>
      <c r="L364" s="1575"/>
      <c r="M364" s="1575"/>
      <c r="N364" s="1575"/>
    </row>
    <row r="365" spans="3:14" ht="14.25" customHeight="1">
      <c r="C365" s="1575"/>
      <c r="D365" s="1575"/>
      <c r="E365" s="1575"/>
      <c r="F365" s="1575"/>
      <c r="G365" s="1575"/>
      <c r="H365" s="1575"/>
      <c r="I365" s="1575"/>
      <c r="J365" s="1575"/>
      <c r="K365" s="1575"/>
      <c r="L365" s="1575"/>
      <c r="M365" s="1575"/>
      <c r="N365" s="1575"/>
    </row>
    <row r="366" spans="3:14" ht="14.25" customHeight="1">
      <c r="C366" s="1575"/>
      <c r="D366" s="1575"/>
      <c r="E366" s="1575"/>
      <c r="F366" s="1575"/>
      <c r="G366" s="1575"/>
      <c r="H366" s="1575"/>
      <c r="I366" s="1575"/>
      <c r="J366" s="1575"/>
      <c r="K366" s="1575"/>
      <c r="L366" s="1575"/>
      <c r="M366" s="1575"/>
      <c r="N366" s="1575"/>
    </row>
    <row r="367" spans="3:14" ht="14.25" customHeight="1">
      <c r="C367" s="1575"/>
      <c r="D367" s="1575"/>
      <c r="E367" s="1575"/>
      <c r="F367" s="1575"/>
      <c r="G367" s="1575"/>
      <c r="H367" s="1575"/>
      <c r="I367" s="1575"/>
      <c r="J367" s="1575"/>
      <c r="K367" s="1575"/>
      <c r="L367" s="1575"/>
      <c r="M367" s="1575"/>
      <c r="N367" s="1575"/>
    </row>
    <row r="368" spans="3:14" ht="14.25" customHeight="1">
      <c r="C368" s="1575"/>
      <c r="D368" s="1575"/>
      <c r="E368" s="1575"/>
      <c r="F368" s="1575"/>
      <c r="G368" s="1575"/>
      <c r="H368" s="1575"/>
      <c r="I368" s="1575"/>
      <c r="J368" s="1575"/>
      <c r="K368" s="1575"/>
      <c r="L368" s="1575"/>
      <c r="M368" s="1575"/>
      <c r="N368" s="1575"/>
    </row>
    <row r="369" spans="3:14" ht="14.25" customHeight="1">
      <c r="C369" s="1575"/>
      <c r="D369" s="1575"/>
      <c r="E369" s="1575"/>
      <c r="F369" s="1575"/>
      <c r="G369" s="1575"/>
      <c r="H369" s="1575"/>
      <c r="I369" s="1575"/>
      <c r="J369" s="1575"/>
      <c r="K369" s="1575"/>
      <c r="L369" s="1575"/>
      <c r="M369" s="1575"/>
      <c r="N369" s="1575"/>
    </row>
    <row r="370" spans="3:14" ht="14.25" customHeight="1">
      <c r="C370" s="1575"/>
      <c r="D370" s="1575"/>
      <c r="E370" s="1575"/>
      <c r="F370" s="1575"/>
      <c r="G370" s="1575"/>
      <c r="H370" s="1575"/>
      <c r="I370" s="1575"/>
      <c r="J370" s="1575"/>
      <c r="K370" s="1575"/>
      <c r="L370" s="1575"/>
      <c r="M370" s="1575"/>
      <c r="N370" s="1575"/>
    </row>
    <row r="371" spans="3:14" ht="14.25" customHeight="1">
      <c r="C371" s="1575"/>
      <c r="D371" s="1575"/>
      <c r="E371" s="1575"/>
      <c r="F371" s="1575"/>
      <c r="G371" s="1575"/>
      <c r="H371" s="1575"/>
      <c r="I371" s="1575"/>
      <c r="J371" s="1575"/>
      <c r="K371" s="1575"/>
      <c r="L371" s="1575"/>
      <c r="M371" s="1575"/>
      <c r="N371" s="1575"/>
    </row>
    <row r="372" spans="3:14" ht="14.25" customHeight="1">
      <c r="C372" s="1575"/>
      <c r="D372" s="1575"/>
      <c r="E372" s="1575"/>
      <c r="F372" s="1575"/>
      <c r="G372" s="1575"/>
      <c r="H372" s="1575"/>
      <c r="I372" s="1575"/>
      <c r="J372" s="1575"/>
      <c r="K372" s="1575"/>
      <c r="L372" s="1575"/>
      <c r="M372" s="1575"/>
      <c r="N372" s="1575"/>
    </row>
    <row r="373" spans="3:14" ht="14.25" customHeight="1">
      <c r="C373" s="1575"/>
      <c r="D373" s="1575"/>
      <c r="E373" s="1575"/>
      <c r="F373" s="1575"/>
      <c r="G373" s="1575"/>
      <c r="H373" s="1575"/>
      <c r="I373" s="1575"/>
      <c r="J373" s="1575"/>
      <c r="K373" s="1575"/>
      <c r="L373" s="1575"/>
      <c r="M373" s="1575"/>
      <c r="N373" s="1575"/>
    </row>
    <row r="374" spans="3:14" ht="14.25" customHeight="1">
      <c r="C374" s="1575"/>
      <c r="D374" s="1575"/>
      <c r="E374" s="1575"/>
      <c r="F374" s="1575"/>
      <c r="G374" s="1575"/>
      <c r="H374" s="1575"/>
      <c r="I374" s="1575"/>
      <c r="J374" s="1575"/>
      <c r="K374" s="1575"/>
      <c r="L374" s="1575"/>
      <c r="M374" s="1575"/>
      <c r="N374" s="1575"/>
    </row>
    <row r="375" spans="3:14" ht="14.25" customHeight="1">
      <c r="C375" s="1575"/>
      <c r="D375" s="1575"/>
      <c r="E375" s="1575"/>
      <c r="F375" s="1575"/>
      <c r="G375" s="1575"/>
      <c r="H375" s="1575"/>
      <c r="I375" s="1575"/>
      <c r="J375" s="1575"/>
      <c r="K375" s="1575"/>
      <c r="L375" s="1575"/>
      <c r="M375" s="1575"/>
      <c r="N375" s="1575"/>
    </row>
    <row r="376" spans="3:14" ht="14.25" customHeight="1">
      <c r="C376" s="1575"/>
      <c r="D376" s="1575"/>
      <c r="E376" s="1575"/>
      <c r="F376" s="1575"/>
      <c r="G376" s="1575"/>
      <c r="H376" s="1575"/>
      <c r="I376" s="1575"/>
      <c r="J376" s="1575"/>
      <c r="K376" s="1575"/>
      <c r="L376" s="1575"/>
      <c r="M376" s="1575"/>
      <c r="N376" s="1575"/>
    </row>
    <row r="377" spans="3:14" ht="14.25" customHeight="1">
      <c r="C377" s="1575"/>
      <c r="D377" s="1575"/>
      <c r="E377" s="1575"/>
      <c r="F377" s="1575"/>
      <c r="G377" s="1575"/>
      <c r="H377" s="1575"/>
      <c r="I377" s="1575"/>
      <c r="J377" s="1575"/>
      <c r="K377" s="1575"/>
      <c r="L377" s="1575"/>
      <c r="M377" s="1575"/>
      <c r="N377" s="1575"/>
    </row>
    <row r="378" spans="3:14" ht="14.25" customHeight="1">
      <c r="C378" s="1575"/>
      <c r="D378" s="1575"/>
      <c r="E378" s="1575"/>
      <c r="F378" s="1575"/>
      <c r="G378" s="1575"/>
      <c r="H378" s="1575"/>
      <c r="I378" s="1575"/>
      <c r="J378" s="1575"/>
      <c r="K378" s="1575"/>
      <c r="L378" s="1575"/>
      <c r="M378" s="1575"/>
      <c r="N378" s="1575"/>
    </row>
    <row r="379" spans="3:14" ht="14.25" customHeight="1">
      <c r="C379" s="1575"/>
      <c r="D379" s="1575"/>
      <c r="E379" s="1575"/>
      <c r="F379" s="1575"/>
      <c r="G379" s="1575"/>
      <c r="H379" s="1575"/>
      <c r="I379" s="1575"/>
      <c r="J379" s="1575"/>
      <c r="K379" s="1575"/>
      <c r="L379" s="1575"/>
      <c r="M379" s="1575"/>
      <c r="N379" s="1575"/>
    </row>
    <row r="380" spans="3:14" ht="14.25" customHeight="1">
      <c r="C380" s="1575"/>
      <c r="D380" s="1575"/>
      <c r="E380" s="1575"/>
      <c r="F380" s="1575"/>
      <c r="G380" s="1575"/>
      <c r="H380" s="1575"/>
      <c r="I380" s="1575"/>
      <c r="J380" s="1575"/>
      <c r="K380" s="1575"/>
      <c r="L380" s="1575"/>
      <c r="M380" s="1575"/>
      <c r="N380" s="1575"/>
    </row>
    <row r="381" spans="3:14" ht="14.25" customHeight="1">
      <c r="C381" s="1575"/>
      <c r="D381" s="1575"/>
      <c r="E381" s="1575"/>
      <c r="F381" s="1575"/>
      <c r="G381" s="1575"/>
      <c r="H381" s="1575"/>
      <c r="I381" s="1575"/>
      <c r="J381" s="1575"/>
      <c r="K381" s="1575"/>
      <c r="L381" s="1575"/>
      <c r="M381" s="1575"/>
      <c r="N381" s="1575"/>
    </row>
    <row r="382" spans="3:14" ht="14.25" customHeight="1">
      <c r="C382" s="1575"/>
      <c r="D382" s="1575"/>
      <c r="E382" s="1575"/>
      <c r="F382" s="1575"/>
      <c r="G382" s="1575"/>
      <c r="H382" s="1575"/>
      <c r="I382" s="1575"/>
      <c r="J382" s="1575"/>
      <c r="K382" s="1575"/>
      <c r="L382" s="1575"/>
      <c r="M382" s="1575"/>
      <c r="N382" s="1575"/>
    </row>
    <row r="383" spans="3:14" ht="14.25" customHeight="1">
      <c r="C383" s="1575"/>
      <c r="D383" s="1575"/>
      <c r="E383" s="1575"/>
      <c r="F383" s="1575"/>
      <c r="G383" s="1575"/>
      <c r="H383" s="1575"/>
      <c r="I383" s="1575"/>
      <c r="J383" s="1575"/>
      <c r="K383" s="1575"/>
      <c r="L383" s="1575"/>
      <c r="M383" s="1575"/>
      <c r="N383" s="1575"/>
    </row>
    <row r="384" spans="3:14" ht="14.25" customHeight="1">
      <c r="C384" s="1575"/>
      <c r="D384" s="1575"/>
      <c r="E384" s="1575"/>
      <c r="F384" s="1575"/>
      <c r="G384" s="1575"/>
      <c r="H384" s="1575"/>
      <c r="I384" s="1575"/>
      <c r="J384" s="1575"/>
      <c r="K384" s="1575"/>
      <c r="L384" s="1575"/>
      <c r="M384" s="1575"/>
      <c r="N384" s="1575"/>
    </row>
    <row r="385" spans="3:14" ht="14.25" customHeight="1">
      <c r="C385" s="1575"/>
      <c r="D385" s="1575"/>
      <c r="E385" s="1575"/>
      <c r="F385" s="1575"/>
      <c r="G385" s="1575"/>
      <c r="H385" s="1575"/>
      <c r="I385" s="1575"/>
      <c r="J385" s="1575"/>
      <c r="K385" s="1575"/>
      <c r="L385" s="1575"/>
      <c r="M385" s="1575"/>
      <c r="N385" s="1575"/>
    </row>
    <row r="386" spans="3:14" ht="14.25" customHeight="1">
      <c r="C386" s="1575"/>
      <c r="D386" s="1575"/>
      <c r="E386" s="1575"/>
      <c r="F386" s="1575"/>
      <c r="G386" s="1575"/>
      <c r="H386" s="1575"/>
      <c r="I386" s="1575"/>
      <c r="J386" s="1575"/>
      <c r="K386" s="1575"/>
      <c r="L386" s="1575"/>
      <c r="M386" s="1575"/>
      <c r="N386" s="1575"/>
    </row>
    <row r="387" spans="3:14" ht="14.25" customHeight="1">
      <c r="C387" s="1575"/>
      <c r="D387" s="1575"/>
      <c r="E387" s="1575"/>
      <c r="F387" s="1575"/>
      <c r="G387" s="1575"/>
      <c r="H387" s="1575"/>
      <c r="I387" s="1575"/>
      <c r="J387" s="1575"/>
      <c r="K387" s="1575"/>
      <c r="L387" s="1575"/>
      <c r="M387" s="1575"/>
      <c r="N387" s="1575"/>
    </row>
    <row r="388" spans="3:14" ht="14.25" customHeight="1">
      <c r="C388" s="1575"/>
      <c r="D388" s="1575"/>
      <c r="E388" s="1575"/>
      <c r="F388" s="1575"/>
      <c r="G388" s="1575"/>
      <c r="H388" s="1575"/>
      <c r="I388" s="1575"/>
      <c r="J388" s="1575"/>
      <c r="K388" s="1575"/>
      <c r="L388" s="1575"/>
      <c r="M388" s="1575"/>
      <c r="N388" s="1575"/>
    </row>
    <row r="389" spans="3:14" ht="14.25" customHeight="1">
      <c r="C389" s="1575"/>
      <c r="D389" s="1575"/>
      <c r="E389" s="1575"/>
      <c r="F389" s="1575"/>
      <c r="G389" s="1575"/>
      <c r="H389" s="1575"/>
      <c r="I389" s="1575"/>
      <c r="J389" s="1575"/>
      <c r="K389" s="1575"/>
      <c r="L389" s="1575"/>
      <c r="M389" s="1575"/>
      <c r="N389" s="1575"/>
    </row>
    <row r="390" spans="3:14" ht="14.25" customHeight="1">
      <c r="C390" s="1575"/>
      <c r="D390" s="1575"/>
      <c r="E390" s="1575"/>
      <c r="F390" s="1575"/>
      <c r="G390" s="1575"/>
      <c r="H390" s="1575"/>
      <c r="I390" s="1575"/>
      <c r="J390" s="1575"/>
      <c r="K390" s="1575"/>
      <c r="L390" s="1575"/>
      <c r="M390" s="1575"/>
      <c r="N390" s="1575"/>
    </row>
    <row r="391" spans="3:14" ht="14.25" customHeight="1">
      <c r="C391" s="1575"/>
      <c r="D391" s="1575"/>
      <c r="E391" s="1575"/>
      <c r="F391" s="1575"/>
      <c r="G391" s="1575"/>
      <c r="H391" s="1575"/>
      <c r="I391" s="1575"/>
      <c r="J391" s="1575"/>
      <c r="K391" s="1575"/>
      <c r="L391" s="1575"/>
      <c r="M391" s="1575"/>
      <c r="N391" s="1575"/>
    </row>
    <row r="392" spans="3:14" ht="14.25" customHeight="1">
      <c r="C392" s="1575"/>
      <c r="D392" s="1575"/>
      <c r="E392" s="1575"/>
      <c r="F392" s="1575"/>
      <c r="G392" s="1575"/>
      <c r="H392" s="1575"/>
      <c r="I392" s="1575"/>
      <c r="J392" s="1575"/>
      <c r="K392" s="1575"/>
      <c r="L392" s="1575"/>
      <c r="M392" s="1575"/>
      <c r="N392" s="1575"/>
    </row>
    <row r="393" spans="3:14" ht="14.25" customHeight="1">
      <c r="C393" s="1575"/>
      <c r="D393" s="1575"/>
      <c r="E393" s="1575"/>
      <c r="F393" s="1575"/>
      <c r="G393" s="1575"/>
      <c r="H393" s="1575"/>
      <c r="I393" s="1575"/>
      <c r="J393" s="1575"/>
      <c r="K393" s="1575"/>
      <c r="L393" s="1575"/>
      <c r="M393" s="1575"/>
      <c r="N393" s="1575"/>
    </row>
    <row r="394" spans="3:14" ht="14.25" customHeight="1">
      <c r="C394" s="1575"/>
      <c r="D394" s="1575"/>
      <c r="E394" s="1575"/>
      <c r="F394" s="1575"/>
      <c r="G394" s="1575"/>
      <c r="H394" s="1575"/>
      <c r="I394" s="1575"/>
      <c r="J394" s="1575"/>
      <c r="K394" s="1575"/>
      <c r="L394" s="1575"/>
      <c r="M394" s="1575"/>
      <c r="N394" s="1575"/>
    </row>
    <row r="395" spans="3:14" ht="14.25" customHeight="1">
      <c r="C395" s="1575"/>
      <c r="D395" s="1575"/>
      <c r="E395" s="1575"/>
      <c r="F395" s="1575"/>
      <c r="G395" s="1575"/>
      <c r="H395" s="1575"/>
      <c r="I395" s="1575"/>
      <c r="J395" s="1575"/>
      <c r="K395" s="1575"/>
      <c r="L395" s="1575"/>
      <c r="M395" s="1575"/>
      <c r="N395" s="1575"/>
    </row>
    <row r="396" spans="3:14" ht="14.25" customHeight="1">
      <c r="C396" s="1575"/>
      <c r="D396" s="1575"/>
      <c r="E396" s="1575"/>
      <c r="F396" s="1575"/>
      <c r="G396" s="1575"/>
      <c r="H396" s="1575"/>
      <c r="I396" s="1575"/>
      <c r="J396" s="1575"/>
      <c r="K396" s="1575"/>
      <c r="L396" s="1575"/>
      <c r="M396" s="1575"/>
      <c r="N396" s="1575"/>
    </row>
    <row r="397" spans="3:14" ht="14.25" customHeight="1">
      <c r="C397" s="1575"/>
      <c r="D397" s="1575"/>
      <c r="E397" s="1575"/>
      <c r="F397" s="1575"/>
      <c r="G397" s="1575"/>
      <c r="H397" s="1575"/>
      <c r="I397" s="1575"/>
      <c r="J397" s="1575"/>
      <c r="K397" s="1575"/>
      <c r="L397" s="1575"/>
      <c r="M397" s="1575"/>
      <c r="N397" s="1575"/>
    </row>
    <row r="398" spans="3:14" ht="14.25" customHeight="1">
      <c r="C398" s="1575"/>
      <c r="D398" s="1575"/>
      <c r="E398" s="1575"/>
      <c r="F398" s="1575"/>
      <c r="G398" s="1575"/>
      <c r="H398" s="1575"/>
      <c r="I398" s="1575"/>
      <c r="J398" s="1575"/>
      <c r="K398" s="1575"/>
      <c r="L398" s="1575"/>
      <c r="M398" s="1575"/>
      <c r="N398" s="1575"/>
    </row>
    <row r="399" spans="3:14" ht="14.25" customHeight="1">
      <c r="C399" s="1575"/>
      <c r="D399" s="1575"/>
      <c r="E399" s="1575"/>
      <c r="F399" s="1575"/>
      <c r="G399" s="1575"/>
      <c r="H399" s="1575"/>
      <c r="I399" s="1575"/>
      <c r="J399" s="1575"/>
      <c r="K399" s="1575"/>
      <c r="L399" s="1575"/>
      <c r="M399" s="1575"/>
      <c r="N399" s="1575"/>
    </row>
    <row r="400" spans="3:14" ht="14.25" customHeight="1">
      <c r="C400" s="1575"/>
      <c r="D400" s="1575"/>
      <c r="E400" s="1575"/>
      <c r="F400" s="1575"/>
      <c r="G400" s="1575"/>
      <c r="H400" s="1575"/>
      <c r="I400" s="1575"/>
      <c r="J400" s="1575"/>
      <c r="K400" s="1575"/>
      <c r="L400" s="1575"/>
      <c r="M400" s="1575"/>
      <c r="N400" s="1575"/>
    </row>
    <row r="401" spans="3:14" ht="14.25" customHeight="1">
      <c r="C401" s="1575"/>
      <c r="D401" s="1575"/>
      <c r="E401" s="1575"/>
      <c r="F401" s="1575"/>
      <c r="G401" s="1575"/>
      <c r="H401" s="1575"/>
      <c r="I401" s="1575"/>
      <c r="J401" s="1575"/>
      <c r="K401" s="1575"/>
      <c r="L401" s="1575"/>
      <c r="M401" s="1575"/>
      <c r="N401" s="1575"/>
    </row>
    <row r="402" spans="3:14" ht="14.25" customHeight="1">
      <c r="C402" s="1575"/>
      <c r="D402" s="1575"/>
      <c r="E402" s="1575"/>
      <c r="F402" s="1575"/>
      <c r="G402" s="1575"/>
      <c r="H402" s="1575"/>
      <c r="I402" s="1575"/>
      <c r="J402" s="1575"/>
      <c r="K402" s="1575"/>
      <c r="L402" s="1575"/>
      <c r="M402" s="1575"/>
      <c r="N402" s="1575"/>
    </row>
    <row r="403" spans="3:14" ht="14.25" customHeight="1">
      <c r="C403" s="1575"/>
      <c r="D403" s="1575"/>
      <c r="E403" s="1575"/>
      <c r="F403" s="1575"/>
      <c r="G403" s="1575"/>
      <c r="H403" s="1575"/>
      <c r="I403" s="1575"/>
      <c r="J403" s="1575"/>
      <c r="K403" s="1575"/>
      <c r="L403" s="1575"/>
      <c r="M403" s="1575"/>
      <c r="N403" s="1575"/>
    </row>
    <row r="404" spans="3:14" ht="14.25" customHeight="1">
      <c r="C404" s="1575"/>
      <c r="D404" s="1575"/>
      <c r="E404" s="1575"/>
      <c r="F404" s="1575"/>
      <c r="G404" s="1575"/>
      <c r="H404" s="1575"/>
      <c r="I404" s="1575"/>
      <c r="J404" s="1575"/>
      <c r="K404" s="1575"/>
      <c r="L404" s="1575"/>
      <c r="M404" s="1575"/>
      <c r="N404" s="1575"/>
    </row>
    <row r="405" spans="3:14" ht="14.25" customHeight="1">
      <c r="C405" s="1575"/>
      <c r="D405" s="1575"/>
      <c r="E405" s="1575"/>
      <c r="F405" s="1575"/>
      <c r="G405" s="1575"/>
      <c r="H405" s="1575"/>
      <c r="I405" s="1575"/>
      <c r="J405" s="1575"/>
      <c r="K405" s="1575"/>
      <c r="L405" s="1575"/>
      <c r="M405" s="1575"/>
      <c r="N405" s="1575"/>
    </row>
    <row r="406" spans="3:14" ht="14.25" customHeight="1">
      <c r="C406" s="1575"/>
      <c r="D406" s="1575"/>
      <c r="E406" s="1575"/>
      <c r="F406" s="1575"/>
      <c r="G406" s="1575"/>
      <c r="H406" s="1575"/>
      <c r="I406" s="1575"/>
      <c r="J406" s="1575"/>
      <c r="K406" s="1575"/>
      <c r="L406" s="1575"/>
      <c r="M406" s="1575"/>
      <c r="N406" s="1575"/>
    </row>
    <row r="407" spans="3:14" ht="14.25" customHeight="1">
      <c r="C407" s="1575"/>
      <c r="D407" s="1575"/>
      <c r="E407" s="1575"/>
      <c r="F407" s="1575"/>
      <c r="G407" s="1575"/>
      <c r="H407" s="1575"/>
      <c r="I407" s="1575"/>
      <c r="J407" s="1575"/>
      <c r="K407" s="1575"/>
      <c r="L407" s="1575"/>
      <c r="M407" s="1575"/>
      <c r="N407" s="1575"/>
    </row>
    <row r="408" spans="3:14" ht="14.25" customHeight="1">
      <c r="C408" s="1575"/>
      <c r="D408" s="1575"/>
      <c r="E408" s="1575"/>
      <c r="F408" s="1575"/>
      <c r="G408" s="1575"/>
      <c r="H408" s="1575"/>
      <c r="I408" s="1575"/>
      <c r="J408" s="1575"/>
      <c r="K408" s="1575"/>
      <c r="L408" s="1575"/>
      <c r="M408" s="1575"/>
      <c r="N408" s="1575"/>
    </row>
    <row r="409" spans="3:14" ht="14.25" customHeight="1">
      <c r="C409" s="1575"/>
      <c r="D409" s="1575"/>
      <c r="E409" s="1575"/>
      <c r="F409" s="1575"/>
      <c r="G409" s="1575"/>
      <c r="H409" s="1575"/>
      <c r="I409" s="1575"/>
      <c r="J409" s="1575"/>
      <c r="K409" s="1575"/>
      <c r="L409" s="1575"/>
      <c r="M409" s="1575"/>
      <c r="N409" s="1575"/>
    </row>
    <row r="410" spans="3:14" ht="14.25" customHeight="1">
      <c r="C410" s="1575"/>
      <c r="D410" s="1575"/>
      <c r="E410" s="1575"/>
      <c r="F410" s="1575"/>
      <c r="G410" s="1575"/>
      <c r="H410" s="1575"/>
      <c r="I410" s="1575"/>
      <c r="J410" s="1575"/>
      <c r="K410" s="1575"/>
      <c r="L410" s="1575"/>
      <c r="M410" s="1575"/>
      <c r="N410" s="1575"/>
    </row>
    <row r="411" spans="3:14" ht="14.25" customHeight="1">
      <c r="C411" s="1575"/>
      <c r="D411" s="1575"/>
      <c r="E411" s="1575"/>
      <c r="F411" s="1575"/>
      <c r="G411" s="1575"/>
      <c r="H411" s="1575"/>
      <c r="I411" s="1575"/>
      <c r="J411" s="1575"/>
      <c r="K411" s="1575"/>
      <c r="L411" s="1575"/>
      <c r="M411" s="1575"/>
      <c r="N411" s="1575"/>
    </row>
    <row r="412" spans="3:14" ht="14.25" customHeight="1">
      <c r="C412" s="1575"/>
      <c r="D412" s="1575"/>
      <c r="E412" s="1575"/>
      <c r="F412" s="1575"/>
      <c r="G412" s="1575"/>
      <c r="H412" s="1575"/>
      <c r="I412" s="1575"/>
      <c r="J412" s="1575"/>
      <c r="K412" s="1575"/>
      <c r="L412" s="1575"/>
      <c r="M412" s="1575"/>
      <c r="N412" s="1575"/>
    </row>
    <row r="413" spans="3:14" ht="14.25" customHeight="1">
      <c r="C413" s="1575"/>
      <c r="D413" s="1575"/>
      <c r="E413" s="1575"/>
      <c r="F413" s="1575"/>
      <c r="G413" s="1575"/>
      <c r="H413" s="1575"/>
      <c r="I413" s="1575"/>
      <c r="J413" s="1575"/>
      <c r="K413" s="1575"/>
      <c r="L413" s="1575"/>
      <c r="M413" s="1575"/>
      <c r="N413" s="1575"/>
    </row>
    <row r="414" spans="3:14" ht="14.25" customHeight="1">
      <c r="C414" s="1575"/>
      <c r="D414" s="1575"/>
      <c r="E414" s="1575"/>
      <c r="F414" s="1575"/>
      <c r="G414" s="1575"/>
      <c r="H414" s="1575"/>
      <c r="I414" s="1575"/>
      <c r="J414" s="1575"/>
      <c r="K414" s="1575"/>
      <c r="L414" s="1575"/>
      <c r="M414" s="1575"/>
      <c r="N414" s="1575"/>
    </row>
    <row r="415" spans="3:14" ht="14.25" customHeight="1">
      <c r="C415" s="1575"/>
      <c r="D415" s="1575"/>
      <c r="E415" s="1575"/>
      <c r="F415" s="1575"/>
      <c r="G415" s="1575"/>
      <c r="H415" s="1575"/>
      <c r="I415" s="1575"/>
      <c r="J415" s="1575"/>
      <c r="K415" s="1575"/>
      <c r="L415" s="1575"/>
      <c r="M415" s="1575"/>
      <c r="N415" s="1575"/>
    </row>
    <row r="416" spans="3:14" ht="14.25" customHeight="1">
      <c r="C416" s="1575"/>
      <c r="D416" s="1575"/>
      <c r="E416" s="1575"/>
      <c r="F416" s="1575"/>
      <c r="G416" s="1575"/>
      <c r="H416" s="1575"/>
      <c r="I416" s="1575"/>
      <c r="J416" s="1575"/>
      <c r="K416" s="1575"/>
      <c r="L416" s="1575"/>
      <c r="M416" s="1575"/>
      <c r="N416" s="1575"/>
    </row>
    <row r="417" spans="3:14" ht="14.25" customHeight="1">
      <c r="C417" s="1575"/>
      <c r="D417" s="1575"/>
      <c r="E417" s="1575"/>
      <c r="F417" s="1575"/>
      <c r="G417" s="1575"/>
      <c r="H417" s="1575"/>
      <c r="I417" s="1575"/>
      <c r="J417" s="1575"/>
      <c r="K417" s="1575"/>
      <c r="L417" s="1575"/>
      <c r="M417" s="1575"/>
      <c r="N417" s="1575"/>
    </row>
    <row r="418" spans="3:14" ht="14.25" customHeight="1">
      <c r="C418" s="1575"/>
      <c r="D418" s="1575"/>
      <c r="E418" s="1575"/>
      <c r="F418" s="1575"/>
      <c r="G418" s="1575"/>
      <c r="H418" s="1575"/>
      <c r="I418" s="1575"/>
      <c r="J418" s="1575"/>
      <c r="K418" s="1575"/>
      <c r="L418" s="1575"/>
      <c r="M418" s="1575"/>
      <c r="N418" s="1575"/>
    </row>
    <row r="419" spans="3:14" ht="14.25" customHeight="1">
      <c r="C419" s="1575"/>
      <c r="D419" s="1575"/>
      <c r="E419" s="1575"/>
      <c r="F419" s="1575"/>
      <c r="G419" s="1575"/>
      <c r="H419" s="1575"/>
      <c r="I419" s="1575"/>
      <c r="J419" s="1575"/>
      <c r="K419" s="1575"/>
      <c r="L419" s="1575"/>
      <c r="M419" s="1575"/>
      <c r="N419" s="1575"/>
    </row>
    <row r="420" spans="3:14" ht="14.25" customHeight="1">
      <c r="C420" s="1575"/>
      <c r="D420" s="1575"/>
      <c r="E420" s="1575"/>
      <c r="F420" s="1575"/>
      <c r="G420" s="1575"/>
      <c r="H420" s="1575"/>
      <c r="I420" s="1575"/>
      <c r="J420" s="1575"/>
      <c r="K420" s="1575"/>
      <c r="L420" s="1575"/>
      <c r="M420" s="1575"/>
      <c r="N420" s="1575"/>
    </row>
    <row r="421" spans="3:14" ht="14.25" customHeight="1">
      <c r="C421" s="1575"/>
      <c r="D421" s="1575"/>
      <c r="E421" s="1575"/>
      <c r="F421" s="1575"/>
      <c r="G421" s="1575"/>
      <c r="H421" s="1575"/>
      <c r="I421" s="1575"/>
      <c r="J421" s="1575"/>
      <c r="K421" s="1575"/>
      <c r="L421" s="1575"/>
      <c r="M421" s="1575"/>
      <c r="N421" s="1575"/>
    </row>
    <row r="422" spans="3:14" ht="14.25" customHeight="1">
      <c r="C422" s="1575"/>
      <c r="D422" s="1575"/>
      <c r="E422" s="1575"/>
      <c r="F422" s="1575"/>
      <c r="G422" s="1575"/>
      <c r="H422" s="1575"/>
      <c r="I422" s="1575"/>
      <c r="J422" s="1575"/>
      <c r="K422" s="1575"/>
      <c r="L422" s="1575"/>
      <c r="M422" s="1575"/>
      <c r="N422" s="1575"/>
    </row>
    <row r="423" spans="3:14" ht="14.25" customHeight="1">
      <c r="C423" s="1575"/>
      <c r="D423" s="1575"/>
      <c r="E423" s="1575"/>
      <c r="F423" s="1575"/>
      <c r="G423" s="1575"/>
      <c r="H423" s="1575"/>
      <c r="I423" s="1575"/>
      <c r="J423" s="1575"/>
      <c r="K423" s="1575"/>
      <c r="L423" s="1575"/>
      <c r="M423" s="1575"/>
      <c r="N423" s="1575"/>
    </row>
    <row r="424" spans="3:14" ht="14.25" customHeight="1">
      <c r="C424" s="1575"/>
      <c r="D424" s="1575"/>
      <c r="E424" s="1575"/>
      <c r="F424" s="1575"/>
      <c r="G424" s="1575"/>
      <c r="H424" s="1575"/>
      <c r="I424" s="1575"/>
      <c r="J424" s="1575"/>
      <c r="K424" s="1575"/>
      <c r="L424" s="1575"/>
      <c r="M424" s="1575"/>
      <c r="N424" s="1575"/>
    </row>
    <row r="425" spans="3:14" ht="14.25" customHeight="1">
      <c r="C425" s="1575"/>
      <c r="D425" s="1575"/>
      <c r="E425" s="1575"/>
      <c r="F425" s="1575"/>
      <c r="G425" s="1575"/>
      <c r="H425" s="1575"/>
      <c r="I425" s="1575"/>
      <c r="J425" s="1575"/>
      <c r="K425" s="1575"/>
      <c r="L425" s="1575"/>
      <c r="M425" s="1575"/>
      <c r="N425" s="1575"/>
    </row>
    <row r="426" spans="3:14" ht="14.25" customHeight="1">
      <c r="C426" s="1575"/>
      <c r="D426" s="1575"/>
      <c r="E426" s="1575"/>
      <c r="F426" s="1575"/>
      <c r="G426" s="1575"/>
      <c r="H426" s="1575"/>
      <c r="I426" s="1575"/>
      <c r="J426" s="1575"/>
      <c r="K426" s="1575"/>
      <c r="L426" s="1575"/>
      <c r="M426" s="1575"/>
      <c r="N426" s="1575"/>
    </row>
    <row r="427" spans="3:14" ht="14.25" customHeight="1">
      <c r="C427" s="1575"/>
      <c r="D427" s="1575"/>
      <c r="E427" s="1575"/>
      <c r="F427" s="1575"/>
      <c r="G427" s="1575"/>
      <c r="H427" s="1575"/>
      <c r="I427" s="1575"/>
      <c r="J427" s="1575"/>
      <c r="K427" s="1575"/>
      <c r="L427" s="1575"/>
      <c r="M427" s="1575"/>
      <c r="N427" s="1575"/>
    </row>
    <row r="428" spans="3:14" ht="14.25" customHeight="1">
      <c r="C428" s="1575"/>
      <c r="D428" s="1575"/>
      <c r="E428" s="1575"/>
      <c r="F428" s="1575"/>
      <c r="G428" s="1575"/>
      <c r="H428" s="1575"/>
      <c r="I428" s="1575"/>
      <c r="J428" s="1575"/>
      <c r="K428" s="1575"/>
      <c r="L428" s="1575"/>
      <c r="M428" s="1575"/>
      <c r="N428" s="1575"/>
    </row>
    <row r="429" spans="3:14" ht="14.25" customHeight="1">
      <c r="C429" s="1575"/>
      <c r="D429" s="1575"/>
      <c r="E429" s="1575"/>
      <c r="F429" s="1575"/>
      <c r="G429" s="1575"/>
      <c r="H429" s="1575"/>
      <c r="I429" s="1575"/>
      <c r="J429" s="1575"/>
      <c r="K429" s="1575"/>
      <c r="L429" s="1575"/>
      <c r="M429" s="1575"/>
      <c r="N429" s="1575"/>
    </row>
    <row r="430" spans="3:14" ht="14.25" customHeight="1">
      <c r="C430" s="1575"/>
      <c r="D430" s="1575"/>
      <c r="E430" s="1575"/>
      <c r="F430" s="1575"/>
      <c r="G430" s="1575"/>
      <c r="H430" s="1575"/>
      <c r="I430" s="1575"/>
      <c r="J430" s="1575"/>
      <c r="K430" s="1575"/>
      <c r="L430" s="1575"/>
      <c r="M430" s="1575"/>
      <c r="N430" s="1575"/>
    </row>
    <row r="431" spans="3:14" ht="14.25" customHeight="1">
      <c r="C431" s="1575"/>
      <c r="D431" s="1575"/>
      <c r="E431" s="1575"/>
      <c r="F431" s="1575"/>
      <c r="G431" s="1575"/>
      <c r="H431" s="1575"/>
      <c r="I431" s="1575"/>
      <c r="J431" s="1575"/>
      <c r="K431" s="1575"/>
      <c r="L431" s="1575"/>
      <c r="M431" s="1575"/>
      <c r="N431" s="1575"/>
    </row>
    <row r="432" spans="3:14" ht="14.25" customHeight="1">
      <c r="C432" s="1575"/>
      <c r="D432" s="1575"/>
      <c r="E432" s="1575"/>
      <c r="F432" s="1575"/>
      <c r="G432" s="1575"/>
      <c r="H432" s="1575"/>
      <c r="I432" s="1575"/>
      <c r="J432" s="1575"/>
      <c r="K432" s="1575"/>
      <c r="L432" s="1575"/>
      <c r="M432" s="1575"/>
      <c r="N432" s="1575"/>
    </row>
    <row r="433" spans="3:14" ht="14.25" customHeight="1">
      <c r="C433" s="1575"/>
      <c r="D433" s="1575"/>
      <c r="E433" s="1575"/>
      <c r="F433" s="1575"/>
      <c r="G433" s="1575"/>
      <c r="H433" s="1575"/>
      <c r="I433" s="1575"/>
      <c r="J433" s="1575"/>
      <c r="K433" s="1575"/>
      <c r="L433" s="1575"/>
      <c r="M433" s="1575"/>
      <c r="N433" s="1575"/>
    </row>
    <row r="434" spans="3:14" ht="14.25" customHeight="1">
      <c r="C434" s="1575"/>
      <c r="D434" s="1575"/>
      <c r="E434" s="1575"/>
      <c r="F434" s="1575"/>
      <c r="G434" s="1575"/>
      <c r="H434" s="1575"/>
      <c r="I434" s="1575"/>
      <c r="J434" s="1575"/>
      <c r="K434" s="1575"/>
      <c r="L434" s="1575"/>
      <c r="M434" s="1575"/>
      <c r="N434" s="1575"/>
    </row>
    <row r="435" spans="3:14" ht="14.25" customHeight="1">
      <c r="C435" s="1575"/>
      <c r="D435" s="1575"/>
      <c r="E435" s="1575"/>
      <c r="F435" s="1575"/>
      <c r="G435" s="1575"/>
      <c r="H435" s="1575"/>
      <c r="I435" s="1575"/>
      <c r="J435" s="1575"/>
      <c r="K435" s="1575"/>
      <c r="L435" s="1575"/>
      <c r="M435" s="1575"/>
      <c r="N435" s="1575"/>
    </row>
    <row r="436" spans="3:14" ht="14.25" customHeight="1">
      <c r="C436" s="1575"/>
      <c r="D436" s="1575"/>
      <c r="E436" s="1575"/>
      <c r="F436" s="1575"/>
      <c r="G436" s="1575"/>
      <c r="H436" s="1575"/>
      <c r="I436" s="1575"/>
      <c r="J436" s="1575"/>
      <c r="K436" s="1575"/>
      <c r="L436" s="1575"/>
      <c r="M436" s="1575"/>
      <c r="N436" s="1575"/>
    </row>
    <row r="437" spans="3:14" ht="14.25" customHeight="1">
      <c r="C437" s="1575"/>
      <c r="D437" s="1575"/>
      <c r="E437" s="1575"/>
      <c r="F437" s="1575"/>
      <c r="G437" s="1575"/>
      <c r="H437" s="1575"/>
      <c r="I437" s="1575"/>
      <c r="J437" s="1575"/>
      <c r="K437" s="1575"/>
      <c r="L437" s="1575"/>
      <c r="M437" s="1575"/>
      <c r="N437" s="1575"/>
    </row>
    <row r="438" spans="3:14" ht="14.25" customHeight="1">
      <c r="C438" s="1575"/>
      <c r="D438" s="1575"/>
      <c r="E438" s="1575"/>
      <c r="F438" s="1575"/>
      <c r="G438" s="1575"/>
      <c r="H438" s="1575"/>
      <c r="I438" s="1575"/>
      <c r="J438" s="1575"/>
      <c r="K438" s="1575"/>
      <c r="L438" s="1575"/>
      <c r="M438" s="1575"/>
      <c r="N438" s="1575"/>
    </row>
    <row r="439" spans="3:14" ht="14.25" customHeight="1">
      <c r="C439" s="1575"/>
      <c r="D439" s="1575"/>
      <c r="E439" s="1575"/>
      <c r="F439" s="1575"/>
      <c r="G439" s="1575"/>
      <c r="H439" s="1575"/>
      <c r="I439" s="1575"/>
      <c r="J439" s="1575"/>
      <c r="K439" s="1575"/>
      <c r="L439" s="1575"/>
      <c r="M439" s="1575"/>
      <c r="N439" s="1575"/>
    </row>
    <row r="440" spans="3:14" ht="14.25" customHeight="1">
      <c r="C440" s="1575"/>
      <c r="D440" s="1575"/>
      <c r="E440" s="1575"/>
      <c r="F440" s="1575"/>
      <c r="G440" s="1575"/>
      <c r="H440" s="1575"/>
      <c r="I440" s="1575"/>
      <c r="J440" s="1575"/>
      <c r="K440" s="1575"/>
      <c r="L440" s="1575"/>
      <c r="M440" s="1575"/>
      <c r="N440" s="1575"/>
    </row>
    <row r="441" spans="3:14" ht="14.25" customHeight="1">
      <c r="C441" s="1575"/>
      <c r="D441" s="1575"/>
      <c r="E441" s="1575"/>
      <c r="F441" s="1575"/>
      <c r="G441" s="1575"/>
      <c r="H441" s="1575"/>
      <c r="I441" s="1575"/>
      <c r="J441" s="1575"/>
      <c r="K441" s="1575"/>
      <c r="L441" s="1575"/>
      <c r="M441" s="1575"/>
      <c r="N441" s="1575"/>
    </row>
    <row r="442" spans="3:14" ht="14.25" customHeight="1">
      <c r="C442" s="1575"/>
      <c r="D442" s="1575"/>
      <c r="E442" s="1575"/>
      <c r="F442" s="1575"/>
      <c r="G442" s="1575"/>
      <c r="H442" s="1575"/>
      <c r="I442" s="1575"/>
      <c r="J442" s="1575"/>
      <c r="K442" s="1575"/>
      <c r="L442" s="1575"/>
      <c r="M442" s="1575"/>
      <c r="N442" s="1575"/>
    </row>
    <row r="443" spans="3:14" ht="14.25" customHeight="1">
      <c r="C443" s="1575"/>
      <c r="D443" s="1575"/>
      <c r="E443" s="1575"/>
      <c r="F443" s="1575"/>
      <c r="G443" s="1575"/>
      <c r="H443" s="1575"/>
      <c r="I443" s="1575"/>
      <c r="J443" s="1575"/>
      <c r="K443" s="1575"/>
      <c r="L443" s="1575"/>
      <c r="M443" s="1575"/>
      <c r="N443" s="1575"/>
    </row>
    <row r="444" spans="3:14" ht="14.25" customHeight="1">
      <c r="C444" s="1575"/>
      <c r="D444" s="1575"/>
      <c r="E444" s="1575"/>
      <c r="F444" s="1575"/>
      <c r="G444" s="1575"/>
      <c r="H444" s="1575"/>
      <c r="I444" s="1575"/>
      <c r="J444" s="1575"/>
      <c r="K444" s="1575"/>
      <c r="L444" s="1575"/>
      <c r="M444" s="1575"/>
      <c r="N444" s="1575"/>
    </row>
    <row r="445" spans="3:14" ht="14.25" customHeight="1">
      <c r="C445" s="1575"/>
      <c r="D445" s="1575"/>
      <c r="E445" s="1575"/>
      <c r="F445" s="1575"/>
      <c r="G445" s="1575"/>
      <c r="H445" s="1575"/>
      <c r="I445" s="1575"/>
      <c r="J445" s="1575"/>
      <c r="K445" s="1575"/>
      <c r="L445" s="1575"/>
      <c r="M445" s="1575"/>
      <c r="N445" s="1575"/>
    </row>
    <row r="446" spans="3:14" ht="14.25" customHeight="1">
      <c r="C446" s="1575"/>
      <c r="D446" s="1575"/>
      <c r="E446" s="1575"/>
      <c r="F446" s="1575"/>
      <c r="G446" s="1575"/>
      <c r="H446" s="1575"/>
      <c r="I446" s="1575"/>
      <c r="J446" s="1575"/>
      <c r="K446" s="1575"/>
      <c r="L446" s="1575"/>
      <c r="M446" s="1575"/>
      <c r="N446" s="1575"/>
    </row>
    <row r="447" spans="3:14" ht="14.25" customHeight="1">
      <c r="C447" s="1575"/>
      <c r="D447" s="1575"/>
      <c r="E447" s="1575"/>
      <c r="F447" s="1575"/>
      <c r="G447" s="1575"/>
      <c r="H447" s="1575"/>
      <c r="I447" s="1575"/>
      <c r="J447" s="1575"/>
      <c r="K447" s="1575"/>
      <c r="L447" s="1575"/>
      <c r="M447" s="1575"/>
      <c r="N447" s="1575"/>
    </row>
    <row r="448" spans="3:14" ht="14.25" customHeight="1">
      <c r="C448" s="1575"/>
      <c r="D448" s="1575"/>
      <c r="E448" s="1575"/>
      <c r="F448" s="1575"/>
      <c r="G448" s="1575"/>
      <c r="H448" s="1575"/>
      <c r="I448" s="1575"/>
      <c r="J448" s="1575"/>
      <c r="K448" s="1575"/>
      <c r="L448" s="1575"/>
      <c r="M448" s="1575"/>
      <c r="N448" s="1575"/>
    </row>
    <row r="449" spans="3:14" ht="14.25" customHeight="1">
      <c r="C449" s="1575"/>
      <c r="D449" s="1575"/>
      <c r="E449" s="1575"/>
      <c r="F449" s="1575"/>
      <c r="G449" s="1575"/>
      <c r="H449" s="1575"/>
      <c r="I449" s="1575"/>
      <c r="J449" s="1575"/>
      <c r="K449" s="1575"/>
      <c r="L449" s="1575"/>
      <c r="M449" s="1575"/>
      <c r="N449" s="1575"/>
    </row>
    <row r="450" spans="3:14" ht="14.25" customHeight="1">
      <c r="C450" s="1575"/>
      <c r="D450" s="1575"/>
      <c r="E450" s="1575"/>
      <c r="F450" s="1575"/>
      <c r="G450" s="1575"/>
      <c r="H450" s="1575"/>
      <c r="I450" s="1575"/>
      <c r="J450" s="1575"/>
      <c r="K450" s="1575"/>
      <c r="L450" s="1575"/>
      <c r="M450" s="1575"/>
      <c r="N450" s="1575"/>
    </row>
    <row r="451" spans="3:14" ht="14.25" customHeight="1">
      <c r="C451" s="1575"/>
      <c r="D451" s="1575"/>
      <c r="E451" s="1575"/>
      <c r="F451" s="1575"/>
      <c r="G451" s="1575"/>
      <c r="H451" s="1575"/>
      <c r="I451" s="1575"/>
      <c r="J451" s="1575"/>
      <c r="K451" s="1575"/>
      <c r="L451" s="1575"/>
      <c r="M451" s="1575"/>
      <c r="N451" s="1575"/>
    </row>
    <row r="452" spans="3:14" ht="14.25" customHeight="1">
      <c r="C452" s="1575"/>
      <c r="D452" s="1575"/>
      <c r="E452" s="1575"/>
      <c r="F452" s="1575"/>
      <c r="G452" s="1575"/>
      <c r="H452" s="1575"/>
      <c r="I452" s="1575"/>
      <c r="J452" s="1575"/>
      <c r="K452" s="1575"/>
      <c r="L452" s="1575"/>
      <c r="M452" s="1575"/>
      <c r="N452" s="1575"/>
    </row>
    <row r="453" spans="3:14" ht="14.25" customHeight="1">
      <c r="C453" s="1575"/>
      <c r="D453" s="1575"/>
      <c r="E453" s="1575"/>
      <c r="F453" s="1575"/>
      <c r="G453" s="1575"/>
      <c r="H453" s="1575"/>
      <c r="I453" s="1575"/>
      <c r="J453" s="1575"/>
      <c r="K453" s="1575"/>
      <c r="L453" s="1575"/>
      <c r="M453" s="1575"/>
      <c r="N453" s="1575"/>
    </row>
    <row r="454" spans="3:14" ht="14.25" customHeight="1">
      <c r="C454" s="1575"/>
      <c r="D454" s="1575"/>
      <c r="E454" s="1575"/>
      <c r="F454" s="1575"/>
      <c r="G454" s="1575"/>
      <c r="H454" s="1575"/>
      <c r="I454" s="1575"/>
      <c r="J454" s="1575"/>
      <c r="K454" s="1575"/>
      <c r="L454" s="1575"/>
      <c r="M454" s="1575"/>
      <c r="N454" s="1575"/>
    </row>
    <row r="455" spans="3:14" ht="14.25" customHeight="1">
      <c r="C455" s="1575"/>
      <c r="D455" s="1575"/>
      <c r="E455" s="1575"/>
      <c r="F455" s="1575"/>
      <c r="G455" s="1575"/>
      <c r="H455" s="1575"/>
      <c r="I455" s="1575"/>
      <c r="J455" s="1575"/>
      <c r="K455" s="1575"/>
      <c r="L455" s="1575"/>
      <c r="M455" s="1575"/>
      <c r="N455" s="1575"/>
    </row>
    <row r="456" spans="3:14" ht="14.25" customHeight="1">
      <c r="C456" s="1575"/>
      <c r="D456" s="1575"/>
      <c r="E456" s="1575"/>
      <c r="F456" s="1575"/>
      <c r="G456" s="1575"/>
      <c r="H456" s="1575"/>
      <c r="I456" s="1575"/>
      <c r="J456" s="1575"/>
      <c r="K456" s="1575"/>
      <c r="L456" s="1575"/>
      <c r="M456" s="1575"/>
      <c r="N456" s="1575"/>
    </row>
    <row r="457" spans="3:14" ht="14.25" customHeight="1">
      <c r="C457" s="1575"/>
      <c r="D457" s="1575"/>
      <c r="E457" s="1575"/>
      <c r="F457" s="1575"/>
      <c r="G457" s="1575"/>
      <c r="H457" s="1575"/>
      <c r="I457" s="1575"/>
      <c r="J457" s="1575"/>
      <c r="K457" s="1575"/>
      <c r="L457" s="1575"/>
      <c r="M457" s="1575"/>
      <c r="N457" s="1575"/>
    </row>
    <row r="458" spans="3:14" ht="14.25" customHeight="1">
      <c r="C458" s="1575"/>
      <c r="D458" s="1575"/>
      <c r="E458" s="1575"/>
      <c r="F458" s="1575"/>
      <c r="G458" s="1575"/>
      <c r="H458" s="1575"/>
      <c r="I458" s="1575"/>
      <c r="J458" s="1575"/>
      <c r="K458" s="1575"/>
      <c r="L458" s="1575"/>
      <c r="M458" s="1575"/>
      <c r="N458" s="1575"/>
    </row>
    <row r="459" spans="3:14" ht="14.25" customHeight="1">
      <c r="C459" s="1575"/>
      <c r="D459" s="1575"/>
      <c r="E459" s="1575"/>
      <c r="F459" s="1575"/>
      <c r="G459" s="1575"/>
      <c r="H459" s="1575"/>
      <c r="I459" s="1575"/>
      <c r="J459" s="1575"/>
      <c r="K459" s="1575"/>
      <c r="L459" s="1575"/>
      <c r="M459" s="1575"/>
      <c r="N459" s="1575"/>
    </row>
    <row r="460" spans="3:14" ht="14.25" customHeight="1">
      <c r="C460" s="1575"/>
      <c r="D460" s="1575"/>
      <c r="E460" s="1575"/>
      <c r="F460" s="1575"/>
      <c r="G460" s="1575"/>
      <c r="H460" s="1575"/>
      <c r="I460" s="1575"/>
      <c r="J460" s="1575"/>
      <c r="K460" s="1575"/>
      <c r="L460" s="1575"/>
      <c r="M460" s="1575"/>
      <c r="N460" s="1575"/>
    </row>
    <row r="461" spans="3:14" ht="14.25" customHeight="1">
      <c r="C461" s="1575"/>
      <c r="D461" s="1575"/>
      <c r="E461" s="1575"/>
      <c r="F461" s="1575"/>
      <c r="G461" s="1575"/>
      <c r="H461" s="1575"/>
      <c r="I461" s="1575"/>
      <c r="J461" s="1575"/>
      <c r="K461" s="1575"/>
      <c r="L461" s="1575"/>
      <c r="M461" s="1575"/>
      <c r="N461" s="1575"/>
    </row>
    <row r="462" spans="3:14" ht="14.25" customHeight="1">
      <c r="C462" s="1575"/>
      <c r="D462" s="1575"/>
      <c r="E462" s="1575"/>
      <c r="F462" s="1575"/>
      <c r="G462" s="1575"/>
      <c r="H462" s="1575"/>
      <c r="I462" s="1575"/>
      <c r="J462" s="1575"/>
      <c r="K462" s="1575"/>
      <c r="L462" s="1575"/>
      <c r="M462" s="1575"/>
      <c r="N462" s="1575"/>
    </row>
    <row r="463" spans="3:14" ht="14.25" customHeight="1">
      <c r="C463" s="1575"/>
      <c r="D463" s="1575"/>
      <c r="E463" s="1575"/>
      <c r="F463" s="1575"/>
      <c r="G463" s="1575"/>
      <c r="H463" s="1575"/>
      <c r="I463" s="1575"/>
      <c r="J463" s="1575"/>
      <c r="K463" s="1575"/>
      <c r="L463" s="1575"/>
      <c r="M463" s="1575"/>
      <c r="N463" s="1575"/>
    </row>
    <row r="464" spans="3:14" ht="14.25" customHeight="1">
      <c r="C464" s="1575"/>
      <c r="D464" s="1575"/>
      <c r="E464" s="1575"/>
      <c r="F464" s="1575"/>
      <c r="G464" s="1575"/>
      <c r="H464" s="1575"/>
      <c r="I464" s="1575"/>
      <c r="J464" s="1575"/>
      <c r="K464" s="1575"/>
      <c r="L464" s="1575"/>
      <c r="M464" s="1575"/>
      <c r="N464" s="1575"/>
    </row>
    <row r="465" spans="3:14" ht="14.25" customHeight="1">
      <c r="C465" s="1575"/>
      <c r="D465" s="1575"/>
      <c r="E465" s="1575"/>
      <c r="F465" s="1575"/>
      <c r="G465" s="1575"/>
      <c r="H465" s="1575"/>
      <c r="I465" s="1575"/>
      <c r="J465" s="1575"/>
      <c r="K465" s="1575"/>
      <c r="L465" s="1575"/>
      <c r="M465" s="1575"/>
      <c r="N465" s="1575"/>
    </row>
    <row r="466" spans="3:14" ht="14.25" customHeight="1">
      <c r="C466" s="1575"/>
      <c r="D466" s="1575"/>
      <c r="E466" s="1575"/>
      <c r="F466" s="1575"/>
      <c r="G466" s="1575"/>
      <c r="H466" s="1575"/>
      <c r="I466" s="1575"/>
      <c r="J466" s="1575"/>
      <c r="K466" s="1575"/>
      <c r="L466" s="1575"/>
      <c r="M466" s="1575"/>
      <c r="N466" s="1575"/>
    </row>
    <row r="467" spans="3:14" ht="14.25" customHeight="1">
      <c r="C467" s="1575"/>
      <c r="D467" s="1575"/>
      <c r="E467" s="1575"/>
      <c r="F467" s="1575"/>
      <c r="G467" s="1575"/>
      <c r="H467" s="1575"/>
      <c r="I467" s="1575"/>
      <c r="J467" s="1575"/>
      <c r="K467" s="1575"/>
      <c r="L467" s="1575"/>
      <c r="M467" s="1575"/>
      <c r="N467" s="1575"/>
    </row>
    <row r="468" spans="3:14" ht="14.25" customHeight="1">
      <c r="C468" s="1575"/>
      <c r="D468" s="1575"/>
      <c r="E468" s="1575"/>
      <c r="F468" s="1575"/>
      <c r="G468" s="1575"/>
      <c r="H468" s="1575"/>
      <c r="I468" s="1575"/>
      <c r="J468" s="1575"/>
      <c r="K468" s="1575"/>
      <c r="L468" s="1575"/>
      <c r="M468" s="1575"/>
      <c r="N468" s="1575"/>
    </row>
    <row r="469" spans="3:14" ht="14.25" customHeight="1">
      <c r="C469" s="1575"/>
      <c r="D469" s="1575"/>
      <c r="E469" s="1575"/>
      <c r="F469" s="1575"/>
      <c r="G469" s="1575"/>
      <c r="H469" s="1575"/>
      <c r="I469" s="1575"/>
      <c r="J469" s="1575"/>
      <c r="K469" s="1575"/>
      <c r="L469" s="1575"/>
      <c r="M469" s="1575"/>
      <c r="N469" s="1575"/>
    </row>
    <row r="470" spans="3:14" ht="14.25" customHeight="1">
      <c r="C470" s="1575"/>
      <c r="D470" s="1575"/>
      <c r="E470" s="1575"/>
      <c r="F470" s="1575"/>
      <c r="G470" s="1575"/>
      <c r="H470" s="1575"/>
      <c r="I470" s="1575"/>
      <c r="J470" s="1575"/>
      <c r="K470" s="1575"/>
      <c r="L470" s="1575"/>
      <c r="M470" s="1575"/>
      <c r="N470" s="1575"/>
    </row>
    <row r="471" spans="3:14" ht="14.25" customHeight="1">
      <c r="C471" s="1575"/>
      <c r="D471" s="1575"/>
      <c r="E471" s="1575"/>
      <c r="F471" s="1575"/>
      <c r="G471" s="1575"/>
      <c r="H471" s="1575"/>
      <c r="I471" s="1575"/>
      <c r="J471" s="1575"/>
      <c r="K471" s="1575"/>
      <c r="L471" s="1575"/>
      <c r="M471" s="1575"/>
      <c r="N471" s="1575"/>
    </row>
    <row r="472" spans="3:14" ht="14.25" customHeight="1">
      <c r="C472" s="1575"/>
      <c r="D472" s="1575"/>
      <c r="E472" s="1575"/>
      <c r="F472" s="1575"/>
      <c r="G472" s="1575"/>
      <c r="H472" s="1575"/>
      <c r="I472" s="1575"/>
      <c r="J472" s="1575"/>
      <c r="K472" s="1575"/>
      <c r="L472" s="1575"/>
      <c r="M472" s="1575"/>
      <c r="N472" s="1575"/>
    </row>
    <row r="473" spans="3:14" ht="14.25" customHeight="1">
      <c r="C473" s="1575"/>
      <c r="D473" s="1575"/>
      <c r="E473" s="1575"/>
      <c r="F473" s="1575"/>
      <c r="G473" s="1575"/>
      <c r="H473" s="1575"/>
      <c r="I473" s="1575"/>
      <c r="J473" s="1575"/>
      <c r="K473" s="1575"/>
      <c r="L473" s="1575"/>
      <c r="M473" s="1575"/>
      <c r="N473" s="1575"/>
    </row>
    <row r="474" spans="3:14" ht="14.25" customHeight="1">
      <c r="C474" s="1575"/>
      <c r="D474" s="1575"/>
      <c r="E474" s="1575"/>
      <c r="F474" s="1575"/>
      <c r="G474" s="1575"/>
      <c r="H474" s="1575"/>
      <c r="I474" s="1575"/>
      <c r="J474" s="1575"/>
      <c r="K474" s="1575"/>
      <c r="L474" s="1575"/>
      <c r="M474" s="1575"/>
      <c r="N474" s="1575"/>
    </row>
    <row r="475" spans="3:14" ht="14.25" customHeight="1">
      <c r="C475" s="1575"/>
      <c r="D475" s="1575"/>
      <c r="E475" s="1575"/>
      <c r="F475" s="1575"/>
      <c r="G475" s="1575"/>
      <c r="H475" s="1575"/>
      <c r="I475" s="1575"/>
      <c r="J475" s="1575"/>
      <c r="K475" s="1575"/>
      <c r="L475" s="1575"/>
      <c r="M475" s="1575"/>
      <c r="N475" s="1575"/>
    </row>
    <row r="476" spans="3:14" ht="14.25" customHeight="1">
      <c r="C476" s="1575"/>
      <c r="D476" s="1575"/>
      <c r="E476" s="1575"/>
      <c r="F476" s="1575"/>
      <c r="G476" s="1575"/>
      <c r="H476" s="1575"/>
      <c r="I476" s="1575"/>
      <c r="J476" s="1575"/>
      <c r="K476" s="1575"/>
      <c r="L476" s="1575"/>
      <c r="M476" s="1575"/>
      <c r="N476" s="1575"/>
    </row>
    <row r="477" spans="3:14" ht="14.25" customHeight="1">
      <c r="C477" s="1575"/>
      <c r="D477" s="1575"/>
      <c r="E477" s="1575"/>
      <c r="F477" s="1575"/>
      <c r="G477" s="1575"/>
      <c r="H477" s="1575"/>
      <c r="I477" s="1575"/>
      <c r="J477" s="1575"/>
      <c r="K477" s="1575"/>
      <c r="L477" s="1575"/>
      <c r="M477" s="1575"/>
      <c r="N477" s="1575"/>
    </row>
    <row r="478" spans="3:14" ht="14.25" customHeight="1">
      <c r="C478" s="1575"/>
      <c r="D478" s="1575"/>
      <c r="E478" s="1575"/>
      <c r="F478" s="1575"/>
      <c r="G478" s="1575"/>
      <c r="H478" s="1575"/>
      <c r="I478" s="1575"/>
      <c r="J478" s="1575"/>
      <c r="K478" s="1575"/>
      <c r="L478" s="1575"/>
      <c r="M478" s="1575"/>
      <c r="N478" s="1575"/>
    </row>
    <row r="479" spans="3:14" ht="14.25" customHeight="1">
      <c r="C479" s="1575"/>
      <c r="D479" s="1575"/>
      <c r="E479" s="1575"/>
      <c r="F479" s="1575"/>
      <c r="G479" s="1575"/>
      <c r="H479" s="1575"/>
      <c r="I479" s="1575"/>
      <c r="J479" s="1575"/>
      <c r="K479" s="1575"/>
      <c r="L479" s="1575"/>
      <c r="M479" s="1575"/>
      <c r="N479" s="1575"/>
    </row>
    <row r="480" spans="3:14" ht="14.25" customHeight="1">
      <c r="C480" s="1575"/>
      <c r="D480" s="1575"/>
      <c r="E480" s="1575"/>
      <c r="F480" s="1575"/>
      <c r="G480" s="1575"/>
      <c r="H480" s="1575"/>
      <c r="I480" s="1575"/>
      <c r="J480" s="1575"/>
      <c r="K480" s="1575"/>
      <c r="L480" s="1575"/>
      <c r="M480" s="1575"/>
      <c r="N480" s="1575"/>
    </row>
    <row r="481" spans="3:14" ht="14.25" customHeight="1">
      <c r="C481" s="1575"/>
      <c r="D481" s="1575"/>
      <c r="E481" s="1575"/>
      <c r="F481" s="1575"/>
      <c r="G481" s="1575"/>
      <c r="H481" s="1575"/>
      <c r="I481" s="1575"/>
      <c r="J481" s="1575"/>
      <c r="K481" s="1575"/>
      <c r="L481" s="1575"/>
      <c r="M481" s="1575"/>
      <c r="N481" s="1575"/>
    </row>
    <row r="482" spans="3:14" ht="14.25" customHeight="1">
      <c r="C482" s="1575"/>
      <c r="D482" s="1575"/>
      <c r="E482" s="1575"/>
      <c r="F482" s="1575"/>
      <c r="G482" s="1575"/>
      <c r="H482" s="1575"/>
      <c r="I482" s="1575"/>
      <c r="J482" s="1575"/>
      <c r="K482" s="1575"/>
      <c r="L482" s="1575"/>
      <c r="M482" s="1575"/>
      <c r="N482" s="1575"/>
    </row>
    <row r="483" spans="3:14" ht="14.25" customHeight="1">
      <c r="C483" s="1575"/>
      <c r="D483" s="1575"/>
      <c r="E483" s="1575"/>
      <c r="F483" s="1575"/>
      <c r="G483" s="1575"/>
      <c r="H483" s="1575"/>
      <c r="I483" s="1575"/>
      <c r="J483" s="1575"/>
      <c r="K483" s="1575"/>
      <c r="L483" s="1575"/>
      <c r="M483" s="1575"/>
      <c r="N483" s="1575"/>
    </row>
    <row r="484" spans="3:14" ht="14.25" customHeight="1">
      <c r="C484" s="1575"/>
      <c r="D484" s="1575"/>
      <c r="E484" s="1575"/>
      <c r="F484" s="1575"/>
      <c r="G484" s="1575"/>
      <c r="H484" s="1575"/>
      <c r="I484" s="1575"/>
      <c r="J484" s="1575"/>
      <c r="K484" s="1575"/>
      <c r="L484" s="1575"/>
      <c r="M484" s="1575"/>
      <c r="N484" s="1575"/>
    </row>
    <row r="485" spans="3:14" ht="14.25" customHeight="1">
      <c r="C485" s="1575"/>
      <c r="D485" s="1575"/>
      <c r="E485" s="1575"/>
      <c r="F485" s="1575"/>
      <c r="G485" s="1575"/>
      <c r="H485" s="1575"/>
      <c r="I485" s="1575"/>
      <c r="J485" s="1575"/>
      <c r="K485" s="1575"/>
      <c r="L485" s="1575"/>
      <c r="M485" s="1575"/>
      <c r="N485" s="1575"/>
    </row>
    <row r="486" spans="3:14" ht="14.25" customHeight="1">
      <c r="C486" s="1575"/>
      <c r="D486" s="1575"/>
      <c r="E486" s="1575"/>
      <c r="F486" s="1575"/>
      <c r="G486" s="1575"/>
      <c r="H486" s="1575"/>
      <c r="I486" s="1575"/>
      <c r="J486" s="1575"/>
      <c r="K486" s="1575"/>
      <c r="L486" s="1575"/>
      <c r="M486" s="1575"/>
      <c r="N486" s="1575"/>
    </row>
    <row r="487" spans="3:14" ht="14.25" customHeight="1">
      <c r="C487" s="1575"/>
      <c r="D487" s="1575"/>
      <c r="E487" s="1575"/>
      <c r="F487" s="1575"/>
      <c r="G487" s="1575"/>
      <c r="H487" s="1575"/>
      <c r="I487" s="1575"/>
      <c r="J487" s="1575"/>
      <c r="K487" s="1575"/>
      <c r="L487" s="1575"/>
      <c r="M487" s="1575"/>
      <c r="N487" s="1575"/>
    </row>
    <row r="488" spans="3:14" ht="14.25" customHeight="1">
      <c r="C488" s="1575"/>
      <c r="D488" s="1575"/>
      <c r="E488" s="1575"/>
      <c r="F488" s="1575"/>
      <c r="G488" s="1575"/>
      <c r="H488" s="1575"/>
      <c r="I488" s="1575"/>
      <c r="J488" s="1575"/>
      <c r="K488" s="1575"/>
      <c r="L488" s="1575"/>
      <c r="M488" s="1575"/>
      <c r="N488" s="1575"/>
    </row>
    <row r="489" spans="3:14" ht="14.25" customHeight="1">
      <c r="C489" s="1575"/>
      <c r="D489" s="1575"/>
      <c r="E489" s="1575"/>
      <c r="F489" s="1575"/>
      <c r="G489" s="1575"/>
      <c r="H489" s="1575"/>
      <c r="I489" s="1575"/>
      <c r="J489" s="1575"/>
      <c r="K489" s="1575"/>
      <c r="L489" s="1575"/>
      <c r="M489" s="1575"/>
      <c r="N489" s="1575"/>
    </row>
    <row r="490" spans="3:14" ht="14.25" customHeight="1">
      <c r="C490" s="1575"/>
      <c r="D490" s="1575"/>
      <c r="E490" s="1575"/>
      <c r="F490" s="1575"/>
      <c r="G490" s="1575"/>
      <c r="H490" s="1575"/>
      <c r="I490" s="1575"/>
      <c r="J490" s="1575"/>
      <c r="K490" s="1575"/>
      <c r="L490" s="1575"/>
      <c r="M490" s="1575"/>
      <c r="N490" s="1575"/>
    </row>
    <row r="491" spans="3:14" ht="14.25" customHeight="1">
      <c r="C491" s="1575"/>
      <c r="D491" s="1575"/>
      <c r="E491" s="1575"/>
      <c r="F491" s="1575"/>
      <c r="G491" s="1575"/>
      <c r="H491" s="1575"/>
      <c r="I491" s="1575"/>
      <c r="J491" s="1575"/>
      <c r="K491" s="1575"/>
      <c r="L491" s="1575"/>
      <c r="M491" s="1575"/>
      <c r="N491" s="1575"/>
    </row>
    <row r="492" spans="3:14" ht="14.25" customHeight="1">
      <c r="C492" s="1575"/>
      <c r="D492" s="1575"/>
      <c r="E492" s="1575"/>
      <c r="F492" s="1575"/>
      <c r="G492" s="1575"/>
      <c r="H492" s="1575"/>
      <c r="I492" s="1575"/>
      <c r="J492" s="1575"/>
      <c r="K492" s="1575"/>
      <c r="L492" s="1575"/>
      <c r="M492" s="1575"/>
      <c r="N492" s="1575"/>
    </row>
    <row r="493" spans="3:14" ht="14.25" customHeight="1">
      <c r="C493" s="1575"/>
      <c r="D493" s="1575"/>
      <c r="E493" s="1575"/>
      <c r="F493" s="1575"/>
      <c r="G493" s="1575"/>
      <c r="H493" s="1575"/>
      <c r="I493" s="1575"/>
      <c r="J493" s="1575"/>
      <c r="K493" s="1575"/>
      <c r="L493" s="1575"/>
      <c r="M493" s="1575"/>
      <c r="N493" s="1575"/>
    </row>
    <row r="494" spans="3:14" ht="14.25" customHeight="1">
      <c r="C494" s="1575"/>
      <c r="D494" s="1575"/>
      <c r="E494" s="1575"/>
      <c r="F494" s="1575"/>
      <c r="G494" s="1575"/>
      <c r="H494" s="1575"/>
      <c r="I494" s="1575"/>
      <c r="J494" s="1575"/>
      <c r="K494" s="1575"/>
      <c r="L494" s="1575"/>
      <c r="M494" s="1575"/>
      <c r="N494" s="1575"/>
    </row>
    <row r="495" spans="3:14" ht="14.25" customHeight="1">
      <c r="C495" s="1575"/>
      <c r="D495" s="1575"/>
      <c r="E495" s="1575"/>
      <c r="F495" s="1575"/>
      <c r="G495" s="1575"/>
      <c r="H495" s="1575"/>
      <c r="I495" s="1575"/>
      <c r="J495" s="1575"/>
      <c r="K495" s="1575"/>
      <c r="L495" s="1575"/>
      <c r="M495" s="1575"/>
      <c r="N495" s="1575"/>
    </row>
    <row r="496" spans="3:14" ht="14.25" customHeight="1">
      <c r="C496" s="1575"/>
      <c r="D496" s="1575"/>
      <c r="E496" s="1575"/>
      <c r="F496" s="1575"/>
      <c r="G496" s="1575"/>
      <c r="H496" s="1575"/>
      <c r="I496" s="1575"/>
      <c r="J496" s="1575"/>
      <c r="K496" s="1575"/>
      <c r="L496" s="1575"/>
      <c r="M496" s="1575"/>
      <c r="N496" s="1575"/>
    </row>
    <row r="497" spans="3:14" ht="14.25" customHeight="1">
      <c r="C497" s="1575"/>
      <c r="D497" s="1575"/>
      <c r="E497" s="1575"/>
      <c r="F497" s="1575"/>
      <c r="G497" s="1575"/>
      <c r="H497" s="1575"/>
      <c r="I497" s="1575"/>
      <c r="J497" s="1575"/>
      <c r="K497" s="1575"/>
      <c r="L497" s="1575"/>
      <c r="M497" s="1575"/>
      <c r="N497" s="1575"/>
    </row>
    <row r="498" spans="3:14" ht="14.25" customHeight="1">
      <c r="C498" s="1575"/>
      <c r="D498" s="1575"/>
      <c r="E498" s="1575"/>
      <c r="F498" s="1575"/>
      <c r="G498" s="1575"/>
      <c r="H498" s="1575"/>
      <c r="I498" s="1575"/>
      <c r="J498" s="1575"/>
      <c r="K498" s="1575"/>
      <c r="L498" s="1575"/>
      <c r="M498" s="1575"/>
      <c r="N498" s="1575"/>
    </row>
    <row r="499" spans="3:14" ht="14.25" customHeight="1">
      <c r="C499" s="1575"/>
      <c r="D499" s="1575"/>
      <c r="E499" s="1575"/>
      <c r="F499" s="1575"/>
      <c r="G499" s="1575"/>
      <c r="H499" s="1575"/>
      <c r="I499" s="1575"/>
      <c r="J499" s="1575"/>
      <c r="K499" s="1575"/>
      <c r="L499" s="1575"/>
      <c r="M499" s="1575"/>
      <c r="N499" s="1575"/>
    </row>
    <row r="500" spans="3:14" ht="14.25" customHeight="1">
      <c r="C500" s="1575"/>
      <c r="D500" s="1575"/>
      <c r="E500" s="1575"/>
      <c r="F500" s="1575"/>
      <c r="G500" s="1575"/>
      <c r="H500" s="1575"/>
      <c r="I500" s="1575"/>
      <c r="J500" s="1575"/>
      <c r="K500" s="1575"/>
      <c r="L500" s="1575"/>
      <c r="M500" s="1575"/>
      <c r="N500" s="1575"/>
    </row>
    <row r="501" spans="3:14" ht="14.25" customHeight="1">
      <c r="C501" s="1575"/>
      <c r="D501" s="1575"/>
      <c r="E501" s="1575"/>
      <c r="F501" s="1575"/>
      <c r="G501" s="1575"/>
      <c r="H501" s="1575"/>
      <c r="I501" s="1575"/>
      <c r="J501" s="1575"/>
      <c r="K501" s="1575"/>
      <c r="L501" s="1575"/>
      <c r="M501" s="1575"/>
      <c r="N501" s="1575"/>
    </row>
    <row r="502" spans="3:14" ht="14.25" customHeight="1">
      <c r="C502" s="1575"/>
      <c r="D502" s="1575"/>
      <c r="E502" s="1575"/>
      <c r="F502" s="1575"/>
      <c r="G502" s="1575"/>
      <c r="H502" s="1575"/>
      <c r="I502" s="1575"/>
      <c r="J502" s="1575"/>
      <c r="K502" s="1575"/>
      <c r="L502" s="1575"/>
      <c r="M502" s="1575"/>
      <c r="N502" s="1575"/>
    </row>
    <row r="503" spans="3:14" ht="14.25" customHeight="1">
      <c r="C503" s="1575"/>
      <c r="D503" s="1575"/>
      <c r="E503" s="1575"/>
      <c r="F503" s="1575"/>
      <c r="G503" s="1575"/>
      <c r="H503" s="1575"/>
      <c r="I503" s="1575"/>
      <c r="J503" s="1575"/>
      <c r="K503" s="1575"/>
      <c r="L503" s="1575"/>
      <c r="M503" s="1575"/>
      <c r="N503" s="1575"/>
    </row>
    <row r="504" spans="3:14" ht="14.25" customHeight="1">
      <c r="C504" s="1575"/>
      <c r="D504" s="1575"/>
      <c r="E504" s="1575"/>
      <c r="F504" s="1575"/>
      <c r="G504" s="1575"/>
      <c r="H504" s="1575"/>
      <c r="I504" s="1575"/>
      <c r="J504" s="1575"/>
      <c r="K504" s="1575"/>
      <c r="L504" s="1575"/>
      <c r="M504" s="1575"/>
      <c r="N504" s="1575"/>
    </row>
    <row r="505" spans="3:14" ht="14.25" customHeight="1">
      <c r="C505" s="1575"/>
      <c r="D505" s="1575"/>
      <c r="E505" s="1575"/>
      <c r="F505" s="1575"/>
      <c r="G505" s="1575"/>
      <c r="H505" s="1575"/>
      <c r="I505" s="1575"/>
      <c r="J505" s="1575"/>
      <c r="K505" s="1575"/>
      <c r="L505" s="1575"/>
      <c r="M505" s="1575"/>
      <c r="N505" s="1575"/>
    </row>
    <row r="506" spans="3:14" ht="14.25" customHeight="1">
      <c r="C506" s="1575"/>
      <c r="D506" s="1575"/>
      <c r="E506" s="1575"/>
      <c r="F506" s="1575"/>
      <c r="G506" s="1575"/>
      <c r="H506" s="1575"/>
      <c r="I506" s="1575"/>
      <c r="J506" s="1575"/>
      <c r="K506" s="1575"/>
      <c r="L506" s="1575"/>
      <c r="M506" s="1575"/>
      <c r="N506" s="1575"/>
    </row>
    <row r="507" spans="3:14" ht="14.25" customHeight="1">
      <c r="C507" s="1575"/>
      <c r="D507" s="1575"/>
      <c r="E507" s="1575"/>
      <c r="F507" s="1575"/>
      <c r="G507" s="1575"/>
      <c r="H507" s="1575"/>
      <c r="I507" s="1575"/>
      <c r="J507" s="1575"/>
      <c r="K507" s="1575"/>
      <c r="L507" s="1575"/>
      <c r="M507" s="1575"/>
      <c r="N507" s="1575"/>
    </row>
    <row r="508" spans="3:14" ht="14.25" customHeight="1">
      <c r="C508" s="1575"/>
      <c r="D508" s="1575"/>
      <c r="E508" s="1575"/>
      <c r="F508" s="1575"/>
      <c r="G508" s="1575"/>
      <c r="H508" s="1575"/>
      <c r="I508" s="1575"/>
      <c r="J508" s="1575"/>
      <c r="K508" s="1575"/>
      <c r="L508" s="1575"/>
      <c r="M508" s="1575"/>
      <c r="N508" s="1575"/>
    </row>
    <row r="509" spans="3:14" ht="14.25" customHeight="1">
      <c r="C509" s="1575"/>
      <c r="D509" s="1575"/>
      <c r="E509" s="1575"/>
      <c r="F509" s="1575"/>
      <c r="G509" s="1575"/>
      <c r="H509" s="1575"/>
      <c r="I509" s="1575"/>
      <c r="J509" s="1575"/>
      <c r="K509" s="1575"/>
      <c r="L509" s="1575"/>
      <c r="M509" s="1575"/>
      <c r="N509" s="1575"/>
    </row>
    <row r="510" spans="3:14" ht="14.25" customHeight="1">
      <c r="C510" s="1575"/>
      <c r="D510" s="1575"/>
      <c r="E510" s="1575"/>
      <c r="F510" s="1575"/>
      <c r="G510" s="1575"/>
      <c r="H510" s="1575"/>
      <c r="I510" s="1575"/>
      <c r="J510" s="1575"/>
      <c r="K510" s="1575"/>
      <c r="L510" s="1575"/>
      <c r="M510" s="1575"/>
      <c r="N510" s="1575"/>
    </row>
    <row r="511" spans="3:14" ht="14.25" customHeight="1">
      <c r="C511" s="1575"/>
      <c r="D511" s="1575"/>
      <c r="E511" s="1575"/>
      <c r="F511" s="1575"/>
      <c r="G511" s="1575"/>
      <c r="H511" s="1575"/>
      <c r="I511" s="1575"/>
      <c r="J511" s="1575"/>
      <c r="K511" s="1575"/>
      <c r="L511" s="1575"/>
      <c r="M511" s="1575"/>
      <c r="N511" s="1575"/>
    </row>
    <row r="512" spans="3:14" ht="14.25" customHeight="1">
      <c r="C512" s="1575"/>
      <c r="D512" s="1575"/>
      <c r="E512" s="1575"/>
      <c r="F512" s="1575"/>
      <c r="G512" s="1575"/>
      <c r="H512" s="1575"/>
      <c r="I512" s="1575"/>
      <c r="J512" s="1575"/>
      <c r="K512" s="1575"/>
      <c r="L512" s="1575"/>
      <c r="M512" s="1575"/>
      <c r="N512" s="1575"/>
    </row>
    <row r="513" spans="3:14" ht="14.25" customHeight="1">
      <c r="C513" s="1575"/>
      <c r="D513" s="1575"/>
      <c r="E513" s="1575"/>
      <c r="F513" s="1575"/>
      <c r="G513" s="1575"/>
      <c r="H513" s="1575"/>
      <c r="I513" s="1575"/>
      <c r="J513" s="1575"/>
      <c r="K513" s="1575"/>
      <c r="L513" s="1575"/>
      <c r="M513" s="1575"/>
      <c r="N513" s="1575"/>
    </row>
    <row r="514" spans="3:14" ht="14.25" customHeight="1">
      <c r="C514" s="1575"/>
      <c r="D514" s="1575"/>
      <c r="E514" s="1575"/>
      <c r="F514" s="1575"/>
      <c r="G514" s="1575"/>
      <c r="H514" s="1575"/>
      <c r="I514" s="1575"/>
      <c r="J514" s="1575"/>
      <c r="K514" s="1575"/>
      <c r="L514" s="1575"/>
      <c r="M514" s="1575"/>
      <c r="N514" s="1575"/>
    </row>
    <row r="515" spans="3:14" ht="14.25" customHeight="1">
      <c r="C515" s="1575"/>
      <c r="D515" s="1575"/>
      <c r="E515" s="1575"/>
      <c r="F515" s="1575"/>
      <c r="G515" s="1575"/>
      <c r="H515" s="1575"/>
      <c r="I515" s="1575"/>
      <c r="J515" s="1575"/>
      <c r="K515" s="1575"/>
      <c r="L515" s="1575"/>
      <c r="M515" s="1575"/>
      <c r="N515" s="1575"/>
    </row>
    <row r="516" spans="3:14" ht="14.25" customHeight="1">
      <c r="C516" s="1575"/>
      <c r="D516" s="1575"/>
      <c r="E516" s="1575"/>
      <c r="F516" s="1575"/>
      <c r="G516" s="1575"/>
      <c r="H516" s="1575"/>
      <c r="I516" s="1575"/>
      <c r="J516" s="1575"/>
      <c r="K516" s="1575"/>
      <c r="L516" s="1575"/>
      <c r="M516" s="1575"/>
      <c r="N516" s="1575"/>
    </row>
    <row r="517" spans="3:14" ht="14.25" customHeight="1">
      <c r="C517" s="1575"/>
      <c r="D517" s="1575"/>
      <c r="E517" s="1575"/>
      <c r="F517" s="1575"/>
      <c r="G517" s="1575"/>
      <c r="H517" s="1575"/>
      <c r="I517" s="1575"/>
      <c r="J517" s="1575"/>
      <c r="K517" s="1575"/>
      <c r="L517" s="1575"/>
      <c r="M517" s="1575"/>
      <c r="N517" s="1575"/>
    </row>
    <row r="518" spans="3:14" ht="14.25" customHeight="1">
      <c r="C518" s="1575"/>
      <c r="D518" s="1575"/>
      <c r="E518" s="1575"/>
      <c r="F518" s="1575"/>
      <c r="G518" s="1575"/>
      <c r="H518" s="1575"/>
      <c r="I518" s="1575"/>
      <c r="J518" s="1575"/>
      <c r="K518" s="1575"/>
      <c r="L518" s="1575"/>
      <c r="M518" s="1575"/>
      <c r="N518" s="1575"/>
    </row>
    <row r="519" spans="3:14" ht="14.25" customHeight="1">
      <c r="C519" s="1575"/>
      <c r="D519" s="1575"/>
      <c r="E519" s="1575"/>
      <c r="F519" s="1575"/>
      <c r="G519" s="1575"/>
      <c r="H519" s="1575"/>
      <c r="I519" s="1575"/>
      <c r="J519" s="1575"/>
      <c r="K519" s="1575"/>
      <c r="L519" s="1575"/>
      <c r="M519" s="1575"/>
      <c r="N519" s="1575"/>
    </row>
    <row r="520" spans="3:14" ht="14.25" customHeight="1">
      <c r="C520" s="1575"/>
      <c r="D520" s="1575"/>
      <c r="E520" s="1575"/>
      <c r="F520" s="1575"/>
      <c r="G520" s="1575"/>
      <c r="H520" s="1575"/>
      <c r="I520" s="1575"/>
      <c r="J520" s="1575"/>
      <c r="K520" s="1575"/>
      <c r="L520" s="1575"/>
      <c r="M520" s="1575"/>
      <c r="N520" s="1575"/>
    </row>
    <row r="521" spans="3:14" ht="14.25" customHeight="1">
      <c r="C521" s="1575"/>
      <c r="D521" s="1575"/>
      <c r="E521" s="1575"/>
      <c r="F521" s="1575"/>
      <c r="G521" s="1575"/>
      <c r="H521" s="1575"/>
      <c r="I521" s="1575"/>
      <c r="J521" s="1575"/>
      <c r="K521" s="1575"/>
      <c r="L521" s="1575"/>
      <c r="M521" s="1575"/>
      <c r="N521" s="1575"/>
    </row>
    <row r="522" spans="3:14" ht="14.25" customHeight="1">
      <c r="C522" s="1575"/>
      <c r="D522" s="1575"/>
      <c r="E522" s="1575"/>
      <c r="F522" s="1575"/>
      <c r="G522" s="1575"/>
      <c r="H522" s="1575"/>
      <c r="I522" s="1575"/>
      <c r="J522" s="1575"/>
      <c r="K522" s="1575"/>
      <c r="L522" s="1575"/>
      <c r="M522" s="1575"/>
      <c r="N522" s="1575"/>
    </row>
    <row r="523" spans="3:14" ht="14.25" customHeight="1">
      <c r="C523" s="1575"/>
      <c r="D523" s="1575"/>
      <c r="E523" s="1575"/>
      <c r="F523" s="1575"/>
      <c r="G523" s="1575"/>
      <c r="H523" s="1575"/>
      <c r="I523" s="1575"/>
      <c r="J523" s="1575"/>
      <c r="K523" s="1575"/>
      <c r="L523" s="1575"/>
      <c r="M523" s="1575"/>
      <c r="N523" s="1575"/>
    </row>
    <row r="524" spans="3:14" ht="14.25" customHeight="1">
      <c r="C524" s="1575"/>
      <c r="D524" s="1575"/>
      <c r="E524" s="1575"/>
      <c r="F524" s="1575"/>
      <c r="G524" s="1575"/>
      <c r="H524" s="1575"/>
      <c r="I524" s="1575"/>
      <c r="J524" s="1575"/>
      <c r="K524" s="1575"/>
      <c r="L524" s="1575"/>
      <c r="M524" s="1575"/>
      <c r="N524" s="1575"/>
    </row>
    <row r="525" spans="3:14" ht="14.25" customHeight="1">
      <c r="C525" s="1575"/>
      <c r="D525" s="1575"/>
      <c r="E525" s="1575"/>
      <c r="F525" s="1575"/>
      <c r="G525" s="1575"/>
      <c r="H525" s="1575"/>
      <c r="I525" s="1575"/>
      <c r="J525" s="1575"/>
      <c r="K525" s="1575"/>
      <c r="L525" s="1575"/>
      <c r="M525" s="1575"/>
      <c r="N525" s="1575"/>
    </row>
    <row r="526" spans="3:14" ht="14.25" customHeight="1">
      <c r="C526" s="1575"/>
      <c r="D526" s="1575"/>
      <c r="E526" s="1575"/>
      <c r="F526" s="1575"/>
      <c r="G526" s="1575"/>
      <c r="H526" s="1575"/>
      <c r="I526" s="1575"/>
      <c r="J526" s="1575"/>
      <c r="K526" s="1575"/>
      <c r="L526" s="1575"/>
      <c r="M526" s="1575"/>
      <c r="N526" s="1575"/>
    </row>
    <row r="527" spans="3:14" ht="14.25" customHeight="1">
      <c r="C527" s="1575"/>
      <c r="D527" s="1575"/>
      <c r="E527" s="1575"/>
      <c r="F527" s="1575"/>
      <c r="G527" s="1575"/>
      <c r="H527" s="1575"/>
      <c r="I527" s="1575"/>
      <c r="J527" s="1575"/>
      <c r="K527" s="1575"/>
      <c r="L527" s="1575"/>
      <c r="M527" s="1575"/>
      <c r="N527" s="1575"/>
    </row>
    <row r="528" spans="3:14" ht="14.25" customHeight="1">
      <c r="C528" s="1575"/>
      <c r="D528" s="1575"/>
      <c r="E528" s="1575"/>
      <c r="F528" s="1575"/>
      <c r="G528" s="1575"/>
      <c r="H528" s="1575"/>
      <c r="I528" s="1575"/>
      <c r="J528" s="1575"/>
      <c r="K528" s="1575"/>
      <c r="L528" s="1575"/>
      <c r="M528" s="1575"/>
      <c r="N528" s="1575"/>
    </row>
    <row r="529" spans="3:14" ht="14.25" customHeight="1">
      <c r="C529" s="1575"/>
      <c r="D529" s="1575"/>
      <c r="E529" s="1575"/>
      <c r="F529" s="1575"/>
      <c r="G529" s="1575"/>
      <c r="H529" s="1575"/>
      <c r="I529" s="1575"/>
      <c r="J529" s="1575"/>
      <c r="K529" s="1575"/>
      <c r="L529" s="1575"/>
      <c r="M529" s="1575"/>
      <c r="N529" s="1575"/>
    </row>
    <row r="530" spans="3:14" ht="14.25" customHeight="1">
      <c r="C530" s="1575"/>
      <c r="D530" s="1575"/>
      <c r="E530" s="1575"/>
      <c r="F530" s="1575"/>
      <c r="G530" s="1575"/>
      <c r="H530" s="1575"/>
      <c r="I530" s="1575"/>
      <c r="J530" s="1575"/>
      <c r="K530" s="1575"/>
      <c r="L530" s="1575"/>
      <c r="M530" s="1575"/>
      <c r="N530" s="1575"/>
    </row>
    <row r="531" spans="3:14" ht="14.25" customHeight="1">
      <c r="C531" s="1575"/>
      <c r="D531" s="1575"/>
      <c r="E531" s="1575"/>
      <c r="F531" s="1575"/>
      <c r="G531" s="1575"/>
      <c r="H531" s="1575"/>
      <c r="I531" s="1575"/>
      <c r="J531" s="1575"/>
      <c r="K531" s="1575"/>
      <c r="L531" s="1575"/>
      <c r="M531" s="1575"/>
      <c r="N531" s="1575"/>
    </row>
    <row r="532" spans="3:14" ht="14.25" customHeight="1">
      <c r="C532" s="1575"/>
      <c r="D532" s="1575"/>
      <c r="E532" s="1575"/>
      <c r="F532" s="1575"/>
      <c r="G532" s="1575"/>
      <c r="H532" s="1575"/>
      <c r="I532" s="1575"/>
      <c r="J532" s="1575"/>
      <c r="K532" s="1575"/>
      <c r="L532" s="1575"/>
      <c r="M532" s="1575"/>
      <c r="N532" s="1575"/>
    </row>
    <row r="533" spans="3:14" ht="14.25" customHeight="1">
      <c r="C533" s="1575"/>
      <c r="D533" s="1575"/>
      <c r="E533" s="1575"/>
      <c r="F533" s="1575"/>
      <c r="G533" s="1575"/>
      <c r="H533" s="1575"/>
      <c r="I533" s="1575"/>
      <c r="J533" s="1575"/>
      <c r="K533" s="1575"/>
      <c r="L533" s="1575"/>
      <c r="M533" s="1575"/>
      <c r="N533" s="1575"/>
    </row>
    <row r="534" spans="3:14" ht="14.25" customHeight="1">
      <c r="C534" s="1575"/>
      <c r="D534" s="1575"/>
      <c r="E534" s="1575"/>
      <c r="F534" s="1575"/>
      <c r="G534" s="1575"/>
      <c r="H534" s="1575"/>
      <c r="I534" s="1575"/>
      <c r="J534" s="1575"/>
      <c r="K534" s="1575"/>
      <c r="L534" s="1575"/>
      <c r="M534" s="1575"/>
      <c r="N534" s="1575"/>
    </row>
    <row r="535" spans="3:14" ht="14.25" customHeight="1">
      <c r="C535" s="1575"/>
      <c r="D535" s="1575"/>
      <c r="E535" s="1575"/>
      <c r="F535" s="1575"/>
      <c r="G535" s="1575"/>
      <c r="H535" s="1575"/>
      <c r="I535" s="1575"/>
      <c r="J535" s="1575"/>
      <c r="K535" s="1575"/>
      <c r="L535" s="1575"/>
      <c r="M535" s="1575"/>
      <c r="N535" s="1575"/>
    </row>
    <row r="536" spans="3:14" ht="14.25" customHeight="1">
      <c r="C536" s="1575"/>
      <c r="D536" s="1575"/>
      <c r="E536" s="1575"/>
      <c r="F536" s="1575"/>
      <c r="G536" s="1575"/>
      <c r="H536" s="1575"/>
      <c r="I536" s="1575"/>
      <c r="J536" s="1575"/>
      <c r="K536" s="1575"/>
      <c r="L536" s="1575"/>
      <c r="M536" s="1575"/>
      <c r="N536" s="1575"/>
    </row>
    <row r="537" spans="3:14" ht="14.25" customHeight="1">
      <c r="C537" s="1575"/>
      <c r="D537" s="1575"/>
      <c r="E537" s="1575"/>
      <c r="F537" s="1575"/>
      <c r="G537" s="1575"/>
      <c r="H537" s="1575"/>
      <c r="I537" s="1575"/>
      <c r="J537" s="1575"/>
      <c r="K537" s="1575"/>
      <c r="L537" s="1575"/>
      <c r="M537" s="1575"/>
      <c r="N537" s="1575"/>
    </row>
    <row r="538" spans="3:14" ht="14.25" customHeight="1">
      <c r="C538" s="1575"/>
      <c r="D538" s="1575"/>
      <c r="E538" s="1575"/>
      <c r="F538" s="1575"/>
      <c r="G538" s="1575"/>
      <c r="H538" s="1575"/>
      <c r="I538" s="1575"/>
      <c r="J538" s="1575"/>
      <c r="K538" s="1575"/>
      <c r="L538" s="1575"/>
      <c r="M538" s="1575"/>
      <c r="N538" s="1575"/>
    </row>
    <row r="539" spans="3:14" ht="14.25" customHeight="1">
      <c r="C539" s="1575"/>
      <c r="D539" s="1575"/>
      <c r="E539" s="1575"/>
      <c r="F539" s="1575"/>
      <c r="G539" s="1575"/>
      <c r="H539" s="1575"/>
      <c r="I539" s="1575"/>
      <c r="J539" s="1575"/>
      <c r="K539" s="1575"/>
      <c r="L539" s="1575"/>
      <c r="M539" s="1575"/>
      <c r="N539" s="1575"/>
    </row>
    <row r="540" spans="3:14" ht="14.25" customHeight="1">
      <c r="C540" s="1575"/>
      <c r="D540" s="1575"/>
      <c r="E540" s="1575"/>
      <c r="F540" s="1575"/>
      <c r="G540" s="1575"/>
      <c r="H540" s="1575"/>
      <c r="I540" s="1575"/>
      <c r="J540" s="1575"/>
      <c r="K540" s="1575"/>
      <c r="L540" s="1575"/>
      <c r="M540" s="1575"/>
      <c r="N540" s="1575"/>
    </row>
    <row r="541" spans="3:14" ht="14.25" customHeight="1">
      <c r="C541" s="1575"/>
      <c r="D541" s="1575"/>
      <c r="E541" s="1575"/>
      <c r="F541" s="1575"/>
      <c r="G541" s="1575"/>
      <c r="H541" s="1575"/>
      <c r="I541" s="1575"/>
      <c r="J541" s="1575"/>
      <c r="K541" s="1575"/>
      <c r="L541" s="1575"/>
      <c r="M541" s="1575"/>
      <c r="N541" s="1575"/>
    </row>
    <row r="542" spans="3:14" ht="14.25" customHeight="1">
      <c r="C542" s="1575"/>
      <c r="D542" s="1575"/>
      <c r="E542" s="1575"/>
      <c r="F542" s="1575"/>
      <c r="G542" s="1575"/>
      <c r="H542" s="1575"/>
      <c r="I542" s="1575"/>
      <c r="J542" s="1575"/>
      <c r="K542" s="1575"/>
      <c r="L542" s="1575"/>
      <c r="M542" s="1575"/>
      <c r="N542" s="1575"/>
    </row>
    <row r="543" spans="3:14" ht="14.25" customHeight="1">
      <c r="C543" s="1575"/>
      <c r="D543" s="1575"/>
      <c r="E543" s="1575"/>
      <c r="F543" s="1575"/>
      <c r="G543" s="1575"/>
      <c r="H543" s="1575"/>
      <c r="I543" s="1575"/>
      <c r="J543" s="1575"/>
      <c r="K543" s="1575"/>
      <c r="L543" s="1575"/>
      <c r="M543" s="1575"/>
      <c r="N543" s="1575"/>
    </row>
    <row r="544" spans="3:14" ht="14.25" customHeight="1">
      <c r="C544" s="1575"/>
      <c r="D544" s="1575"/>
      <c r="E544" s="1575"/>
      <c r="F544" s="1575"/>
      <c r="G544" s="1575"/>
      <c r="H544" s="1575"/>
      <c r="I544" s="1575"/>
      <c r="J544" s="1575"/>
      <c r="K544" s="1575"/>
      <c r="L544" s="1575"/>
      <c r="M544" s="1575"/>
      <c r="N544" s="1575"/>
    </row>
    <row r="545" spans="3:14" ht="14.25" customHeight="1">
      <c r="C545" s="1575"/>
      <c r="D545" s="1575"/>
      <c r="E545" s="1575"/>
      <c r="F545" s="1575"/>
      <c r="G545" s="1575"/>
      <c r="H545" s="1575"/>
      <c r="I545" s="1575"/>
      <c r="J545" s="1575"/>
      <c r="K545" s="1575"/>
      <c r="L545" s="1575"/>
      <c r="M545" s="1575"/>
      <c r="N545" s="1575"/>
    </row>
    <row r="546" spans="3:14" ht="14.25" customHeight="1">
      <c r="C546" s="1575"/>
      <c r="D546" s="1575"/>
      <c r="E546" s="1575"/>
      <c r="F546" s="1575"/>
      <c r="G546" s="1575"/>
      <c r="H546" s="1575"/>
      <c r="I546" s="1575"/>
      <c r="J546" s="1575"/>
      <c r="K546" s="1575"/>
      <c r="L546" s="1575"/>
      <c r="M546" s="1575"/>
      <c r="N546" s="1575"/>
    </row>
    <row r="547" spans="3:14" ht="14.25" customHeight="1">
      <c r="C547" s="1575"/>
      <c r="D547" s="1575"/>
      <c r="E547" s="1575"/>
      <c r="F547" s="1575"/>
      <c r="G547" s="1575"/>
      <c r="H547" s="1575"/>
      <c r="I547" s="1575"/>
      <c r="J547" s="1575"/>
      <c r="K547" s="1575"/>
      <c r="L547" s="1575"/>
      <c r="M547" s="1575"/>
      <c r="N547" s="1575"/>
    </row>
    <row r="548" spans="3:14" ht="14.25" customHeight="1">
      <c r="C548" s="1575"/>
      <c r="D548" s="1575"/>
      <c r="E548" s="1575"/>
      <c r="F548" s="1575"/>
      <c r="G548" s="1575"/>
      <c r="H548" s="1575"/>
      <c r="I548" s="1575"/>
      <c r="J548" s="1575"/>
      <c r="K548" s="1575"/>
      <c r="L548" s="1575"/>
      <c r="M548" s="1575"/>
      <c r="N548" s="1575"/>
    </row>
    <row r="549" spans="3:14" ht="14.25" customHeight="1">
      <c r="C549" s="1575"/>
      <c r="D549" s="1575"/>
      <c r="E549" s="1575"/>
      <c r="F549" s="1575"/>
      <c r="G549" s="1575"/>
      <c r="H549" s="1575"/>
      <c r="I549" s="1575"/>
      <c r="J549" s="1575"/>
      <c r="K549" s="1575"/>
      <c r="L549" s="1575"/>
      <c r="M549" s="1575"/>
      <c r="N549" s="1575"/>
    </row>
    <row r="550" spans="3:14" ht="14.25" customHeight="1">
      <c r="C550" s="1575"/>
      <c r="D550" s="1575"/>
      <c r="E550" s="1575"/>
      <c r="F550" s="1575"/>
      <c r="G550" s="1575"/>
      <c r="H550" s="1575"/>
      <c r="I550" s="1575"/>
      <c r="J550" s="1575"/>
      <c r="K550" s="1575"/>
      <c r="L550" s="1575"/>
      <c r="M550" s="1575"/>
      <c r="N550" s="1575"/>
    </row>
    <row r="551" spans="3:14" ht="14.25" customHeight="1">
      <c r="C551" s="1575"/>
      <c r="D551" s="1575"/>
      <c r="E551" s="1575"/>
      <c r="F551" s="1575"/>
      <c r="G551" s="1575"/>
      <c r="H551" s="1575"/>
      <c r="I551" s="1575"/>
      <c r="J551" s="1575"/>
      <c r="K551" s="1575"/>
      <c r="L551" s="1575"/>
      <c r="M551" s="1575"/>
      <c r="N551" s="1575"/>
    </row>
    <row r="552" spans="3:14" ht="14.25" customHeight="1">
      <c r="C552" s="1575"/>
      <c r="D552" s="1575"/>
      <c r="E552" s="1575"/>
      <c r="F552" s="1575"/>
      <c r="G552" s="1575"/>
      <c r="H552" s="1575"/>
      <c r="I552" s="1575"/>
      <c r="J552" s="1575"/>
      <c r="K552" s="1575"/>
      <c r="L552" s="1575"/>
      <c r="M552" s="1575"/>
      <c r="N552" s="1575"/>
    </row>
    <row r="553" spans="3:14" ht="14.25" customHeight="1">
      <c r="C553" s="1575"/>
      <c r="D553" s="1575"/>
      <c r="E553" s="1575"/>
      <c r="F553" s="1575"/>
      <c r="G553" s="1575"/>
      <c r="H553" s="1575"/>
      <c r="I553" s="1575"/>
      <c r="J553" s="1575"/>
      <c r="K553" s="1575"/>
      <c r="L553" s="1575"/>
      <c r="M553" s="1575"/>
      <c r="N553" s="1575"/>
    </row>
    <row r="554" spans="3:14" ht="14.25" customHeight="1">
      <c r="C554" s="1575"/>
      <c r="D554" s="1575"/>
      <c r="E554" s="1575"/>
      <c r="F554" s="1575"/>
      <c r="G554" s="1575"/>
      <c r="H554" s="1575"/>
      <c r="I554" s="1575"/>
      <c r="J554" s="1575"/>
      <c r="K554" s="1575"/>
      <c r="L554" s="1575"/>
      <c r="M554" s="1575"/>
      <c r="N554" s="1575"/>
    </row>
    <row r="555" spans="3:14" ht="14.25" customHeight="1">
      <c r="C555" s="1575"/>
      <c r="D555" s="1575"/>
      <c r="E555" s="1575"/>
      <c r="F555" s="1575"/>
      <c r="G555" s="1575"/>
      <c r="H555" s="1575"/>
      <c r="I555" s="1575"/>
      <c r="J555" s="1575"/>
      <c r="K555" s="1575"/>
      <c r="L555" s="1575"/>
      <c r="M555" s="1575"/>
      <c r="N555" s="1575"/>
    </row>
    <row r="556" spans="3:14" ht="14.25" customHeight="1">
      <c r="C556" s="1575"/>
      <c r="D556" s="1575"/>
      <c r="E556" s="1575"/>
      <c r="F556" s="1575"/>
      <c r="G556" s="1575"/>
      <c r="H556" s="1575"/>
      <c r="I556" s="1575"/>
      <c r="J556" s="1575"/>
      <c r="K556" s="1575"/>
      <c r="L556" s="1575"/>
      <c r="M556" s="1575"/>
      <c r="N556" s="1575"/>
    </row>
    <row r="557" spans="3:14" ht="14.25" customHeight="1">
      <c r="C557" s="1575"/>
      <c r="D557" s="1575"/>
      <c r="E557" s="1575"/>
      <c r="F557" s="1575"/>
      <c r="G557" s="1575"/>
      <c r="H557" s="1575"/>
      <c r="I557" s="1575"/>
      <c r="J557" s="1575"/>
      <c r="K557" s="1575"/>
      <c r="L557" s="1575"/>
      <c r="M557" s="1575"/>
      <c r="N557" s="1575"/>
    </row>
    <row r="558" spans="3:14" ht="14.25" customHeight="1">
      <c r="C558" s="1575"/>
      <c r="D558" s="1575"/>
      <c r="E558" s="1575"/>
      <c r="F558" s="1575"/>
      <c r="G558" s="1575"/>
      <c r="H558" s="1575"/>
      <c r="I558" s="1575"/>
      <c r="J558" s="1575"/>
      <c r="K558" s="1575"/>
      <c r="L558" s="1575"/>
      <c r="M558" s="1575"/>
      <c r="N558" s="1575"/>
    </row>
    <row r="559" spans="3:14" ht="14.25" customHeight="1">
      <c r="C559" s="1575"/>
      <c r="D559" s="1575"/>
      <c r="E559" s="1575"/>
      <c r="F559" s="1575"/>
      <c r="G559" s="1575"/>
      <c r="H559" s="1575"/>
      <c r="I559" s="1575"/>
      <c r="J559" s="1575"/>
      <c r="K559" s="1575"/>
      <c r="L559" s="1575"/>
      <c r="M559" s="1575"/>
      <c r="N559" s="1575"/>
    </row>
    <row r="560" spans="3:14" ht="14.25" customHeight="1">
      <c r="C560" s="1575"/>
      <c r="D560" s="1575"/>
      <c r="E560" s="1575"/>
      <c r="F560" s="1575"/>
      <c r="G560" s="1575"/>
      <c r="H560" s="1575"/>
      <c r="I560" s="1575"/>
      <c r="J560" s="1575"/>
      <c r="K560" s="1575"/>
      <c r="L560" s="1575"/>
      <c r="M560" s="1575"/>
      <c r="N560" s="1575"/>
    </row>
    <row r="561" spans="3:14" ht="14.25" customHeight="1">
      <c r="C561" s="1575"/>
      <c r="D561" s="1575"/>
      <c r="E561" s="1575"/>
      <c r="F561" s="1575"/>
      <c r="G561" s="1575"/>
      <c r="H561" s="1575"/>
      <c r="I561" s="1575"/>
      <c r="J561" s="1575"/>
      <c r="K561" s="1575"/>
      <c r="L561" s="1575"/>
      <c r="M561" s="1575"/>
      <c r="N561" s="1575"/>
    </row>
    <row r="562" spans="3:14" ht="14.25" customHeight="1">
      <c r="C562" s="1575"/>
      <c r="D562" s="1575"/>
      <c r="E562" s="1575"/>
      <c r="F562" s="1575"/>
      <c r="G562" s="1575"/>
      <c r="H562" s="1575"/>
      <c r="I562" s="1575"/>
      <c r="J562" s="1575"/>
      <c r="K562" s="1575"/>
      <c r="L562" s="1575"/>
      <c r="M562" s="1575"/>
      <c r="N562" s="1575"/>
    </row>
    <row r="563" spans="3:14" ht="14.25" customHeight="1">
      <c r="C563" s="1575"/>
      <c r="D563" s="1575"/>
      <c r="E563" s="1575"/>
      <c r="F563" s="1575"/>
      <c r="G563" s="1575"/>
      <c r="H563" s="1575"/>
      <c r="I563" s="1575"/>
      <c r="J563" s="1575"/>
      <c r="K563" s="1575"/>
      <c r="L563" s="1575"/>
      <c r="M563" s="1575"/>
      <c r="N563" s="1575"/>
    </row>
    <row r="564" spans="3:14" ht="14.25" customHeight="1">
      <c r="C564" s="1575"/>
      <c r="D564" s="1575"/>
      <c r="E564" s="1575"/>
      <c r="F564" s="1575"/>
      <c r="G564" s="1575"/>
      <c r="H564" s="1575"/>
      <c r="I564" s="1575"/>
      <c r="J564" s="1575"/>
      <c r="K564" s="1575"/>
      <c r="L564" s="1575"/>
      <c r="M564" s="1575"/>
      <c r="N564" s="1575"/>
    </row>
    <row r="565" spans="3:14" ht="14.25" customHeight="1">
      <c r="C565" s="1575"/>
      <c r="D565" s="1575"/>
      <c r="E565" s="1575"/>
      <c r="F565" s="1575"/>
      <c r="G565" s="1575"/>
      <c r="H565" s="1575"/>
      <c r="I565" s="1575"/>
      <c r="J565" s="1575"/>
      <c r="K565" s="1575"/>
      <c r="L565" s="1575"/>
      <c r="M565" s="1575"/>
      <c r="N565" s="1575"/>
    </row>
    <row r="566" spans="3:14" ht="14.25" customHeight="1">
      <c r="C566" s="1575"/>
      <c r="D566" s="1575"/>
      <c r="E566" s="1575"/>
      <c r="F566" s="1575"/>
      <c r="G566" s="1575"/>
      <c r="H566" s="1575"/>
      <c r="I566" s="1575"/>
      <c r="J566" s="1575"/>
      <c r="K566" s="1575"/>
      <c r="L566" s="1575"/>
      <c r="M566" s="1575"/>
      <c r="N566" s="1575"/>
    </row>
    <row r="567" spans="3:14" ht="14.25" customHeight="1">
      <c r="C567" s="1575"/>
      <c r="D567" s="1575"/>
      <c r="E567" s="1575"/>
      <c r="F567" s="1575"/>
      <c r="G567" s="1575"/>
      <c r="H567" s="1575"/>
      <c r="I567" s="1575"/>
      <c r="J567" s="1575"/>
      <c r="K567" s="1575"/>
      <c r="L567" s="1575"/>
      <c r="M567" s="1575"/>
      <c r="N567" s="1575"/>
    </row>
    <row r="568" spans="3:14" ht="14.25" customHeight="1">
      <c r="C568" s="1575"/>
      <c r="D568" s="1575"/>
      <c r="E568" s="1575"/>
      <c r="F568" s="1575"/>
      <c r="G568" s="1575"/>
      <c r="H568" s="1575"/>
      <c r="I568" s="1575"/>
      <c r="J568" s="1575"/>
      <c r="K568" s="1575"/>
      <c r="L568" s="1575"/>
      <c r="M568" s="1575"/>
      <c r="N568" s="1575"/>
    </row>
    <row r="569" spans="3:14" ht="14.25" customHeight="1">
      <c r="C569" s="1575"/>
      <c r="D569" s="1575"/>
      <c r="E569" s="1575"/>
      <c r="F569" s="1575"/>
      <c r="G569" s="1575"/>
      <c r="H569" s="1575"/>
      <c r="I569" s="1575"/>
      <c r="J569" s="1575"/>
      <c r="K569" s="1575"/>
      <c r="L569" s="1575"/>
      <c r="M569" s="1575"/>
      <c r="N569" s="1575"/>
    </row>
    <row r="570" spans="3:14" ht="14.25" customHeight="1">
      <c r="C570" s="1575"/>
      <c r="D570" s="1575"/>
      <c r="E570" s="1575"/>
      <c r="F570" s="1575"/>
      <c r="G570" s="1575"/>
      <c r="H570" s="1575"/>
      <c r="I570" s="1575"/>
      <c r="J570" s="1575"/>
      <c r="K570" s="1575"/>
      <c r="L570" s="1575"/>
      <c r="M570" s="1575"/>
      <c r="N570" s="1575"/>
    </row>
    <row r="571" spans="3:14" ht="14.25" customHeight="1">
      <c r="C571" s="1575"/>
      <c r="D571" s="1575"/>
      <c r="E571" s="1575"/>
      <c r="F571" s="1575"/>
      <c r="G571" s="1575"/>
      <c r="H571" s="1575"/>
      <c r="I571" s="1575"/>
      <c r="J571" s="1575"/>
      <c r="K571" s="1575"/>
      <c r="L571" s="1575"/>
      <c r="M571" s="1575"/>
      <c r="N571" s="1575"/>
    </row>
    <row r="572" spans="3:14" ht="14.25" customHeight="1">
      <c r="C572" s="1575"/>
      <c r="D572" s="1575"/>
      <c r="E572" s="1575"/>
      <c r="F572" s="1575"/>
      <c r="G572" s="1575"/>
      <c r="H572" s="1575"/>
      <c r="I572" s="1575"/>
      <c r="J572" s="1575"/>
      <c r="K572" s="1575"/>
      <c r="L572" s="1575"/>
      <c r="M572" s="1575"/>
      <c r="N572" s="1575"/>
    </row>
  </sheetData>
  <mergeCells count="15">
    <mergeCell ref="L3:L4"/>
    <mergeCell ref="M3:M4"/>
    <mergeCell ref="N3:N4"/>
    <mergeCell ref="O3:O4"/>
    <mergeCell ref="P3:P4"/>
    <mergeCell ref="F3:F4"/>
    <mergeCell ref="G3:G4"/>
    <mergeCell ref="H3:H4"/>
    <mergeCell ref="I3:I4"/>
    <mergeCell ref="J3:K3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orientation="portrait" horizontalDpi="300" verticalDpi="3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V1901"/>
  <sheetViews>
    <sheetView topLeftCell="F1" zoomScale="80" zoomScaleNormal="80" workbookViewId="0">
      <pane ySplit="4" topLeftCell="A101" activePane="bottomLeft" state="frozen"/>
      <selection activeCell="F1" sqref="F1"/>
      <selection pane="bottomLeft" activeCell="P131" sqref="P131"/>
    </sheetView>
  </sheetViews>
  <sheetFormatPr baseColWidth="10" defaultColWidth="9.1640625" defaultRowHeight="15"/>
  <cols>
    <col min="1" max="1" width="9.1640625" style="399"/>
    <col min="2" max="2" width="50.5" style="399" customWidth="1"/>
    <col min="3" max="10" width="12.5" style="399" customWidth="1"/>
    <col min="11" max="11" width="10.5" style="399" customWidth="1"/>
    <col min="12" max="12" width="8.5" style="399" customWidth="1"/>
    <col min="13" max="13" width="14.5" style="399" customWidth="1"/>
    <col min="14" max="14" width="10.5" style="399" customWidth="1"/>
    <col min="15" max="15" width="6.5" style="399" customWidth="1"/>
    <col min="16" max="16" width="15.5" style="399" customWidth="1"/>
    <col min="17" max="18" width="9.1640625" style="399"/>
    <col min="19" max="19" width="12.1640625" style="399" customWidth="1"/>
    <col min="20" max="16384" width="9.1640625" style="399"/>
  </cols>
  <sheetData>
    <row r="1" spans="1:22" ht="24" customHeight="1">
      <c r="A1" s="739" t="s">
        <v>1668</v>
      </c>
      <c r="B1" s="398"/>
      <c r="C1" s="398"/>
      <c r="D1" s="398"/>
      <c r="E1" s="398"/>
      <c r="F1" s="398"/>
      <c r="G1" s="398"/>
      <c r="H1" s="398"/>
      <c r="I1" s="398"/>
      <c r="J1" s="398"/>
      <c r="K1" s="398"/>
      <c r="L1" s="398"/>
      <c r="M1" s="398"/>
      <c r="N1" s="398"/>
      <c r="O1" s="398"/>
      <c r="P1" s="398"/>
      <c r="Q1" s="398"/>
      <c r="R1" s="398"/>
      <c r="S1" s="398"/>
      <c r="T1" s="738"/>
      <c r="U1" s="738"/>
      <c r="V1" s="738"/>
    </row>
    <row r="2" spans="1:22" ht="7.5" customHeight="1">
      <c r="A2" s="398"/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398"/>
      <c r="M2" s="398"/>
      <c r="N2" s="398"/>
      <c r="O2" s="398"/>
      <c r="P2" s="398"/>
      <c r="Q2" s="398"/>
      <c r="R2" s="398"/>
      <c r="S2" s="398"/>
      <c r="T2" s="738"/>
      <c r="U2" s="738"/>
      <c r="V2" s="738"/>
    </row>
    <row r="3" spans="1:22" s="487" customFormat="1" ht="27.75" customHeight="1">
      <c r="A3" s="3273" t="s">
        <v>1</v>
      </c>
      <c r="B3" s="3258" t="s">
        <v>68</v>
      </c>
      <c r="C3" s="3258" t="s">
        <v>77</v>
      </c>
      <c r="D3" s="3258" t="s">
        <v>78</v>
      </c>
      <c r="E3" s="3258" t="s">
        <v>79</v>
      </c>
      <c r="F3" s="3258" t="s">
        <v>6</v>
      </c>
      <c r="G3" s="3258" t="s">
        <v>999</v>
      </c>
      <c r="H3" s="3258" t="s">
        <v>977</v>
      </c>
      <c r="I3" s="3258" t="s">
        <v>978</v>
      </c>
      <c r="J3" s="3246" t="s">
        <v>1000</v>
      </c>
      <c r="K3" s="3246"/>
      <c r="L3" s="3258" t="s">
        <v>213</v>
      </c>
      <c r="M3" s="3258" t="s">
        <v>80</v>
      </c>
      <c r="N3" s="3258" t="s">
        <v>81</v>
      </c>
      <c r="O3" s="3258" t="s">
        <v>82</v>
      </c>
      <c r="P3" s="3274" t="s">
        <v>83</v>
      </c>
      <c r="Q3" s="398"/>
      <c r="R3" s="398"/>
      <c r="S3" s="398"/>
      <c r="T3" s="398"/>
      <c r="U3" s="398"/>
      <c r="V3" s="398"/>
    </row>
    <row r="4" spans="1:22" s="487" customFormat="1" ht="15.75" customHeight="1">
      <c r="A4" s="3273"/>
      <c r="B4" s="3258"/>
      <c r="C4" s="3258"/>
      <c r="D4" s="3258"/>
      <c r="E4" s="3258"/>
      <c r="F4" s="3258"/>
      <c r="G4" s="3258"/>
      <c r="H4" s="3258"/>
      <c r="I4" s="3258"/>
      <c r="J4" s="556" t="s">
        <v>1001</v>
      </c>
      <c r="K4" s="556" t="s">
        <v>1002</v>
      </c>
      <c r="L4" s="3258"/>
      <c r="M4" s="3258"/>
      <c r="N4" s="3258"/>
      <c r="O4" s="3258"/>
      <c r="P4" s="3274"/>
      <c r="Q4" s="398"/>
      <c r="R4" s="398"/>
      <c r="S4" s="398"/>
      <c r="T4" s="398"/>
      <c r="U4" s="398"/>
      <c r="V4" s="398"/>
    </row>
    <row r="5" spans="1:22" s="487" customFormat="1" ht="15.75" customHeight="1">
      <c r="A5" s="1576"/>
      <c r="B5" s="1576"/>
      <c r="C5" s="1576"/>
      <c r="D5" s="1576"/>
      <c r="E5" s="1576"/>
      <c r="F5" s="1576"/>
      <c r="G5" s="1576"/>
      <c r="H5" s="1576"/>
      <c r="I5" s="1576"/>
      <c r="J5" s="1577"/>
      <c r="K5" s="1577"/>
      <c r="L5" s="1576"/>
      <c r="M5" s="1576"/>
      <c r="N5" s="1576"/>
      <c r="O5" s="1576"/>
      <c r="P5" s="1578"/>
      <c r="Q5" s="398"/>
      <c r="R5" s="398"/>
      <c r="S5" s="398"/>
      <c r="T5" s="398"/>
      <c r="U5" s="398"/>
      <c r="V5" s="398"/>
    </row>
    <row r="6" spans="1:22" s="487" customFormat="1" ht="7.5" customHeight="1">
      <c r="A6" s="558"/>
      <c r="B6" s="559"/>
      <c r="C6" s="559"/>
      <c r="D6" s="559"/>
      <c r="E6" s="559"/>
      <c r="F6" s="559"/>
      <c r="G6" s="559"/>
      <c r="H6" s="559"/>
      <c r="I6" s="559"/>
      <c r="J6" s="559"/>
      <c r="K6" s="559"/>
      <c r="L6" s="559"/>
      <c r="M6" s="559"/>
      <c r="N6" s="1579"/>
      <c r="O6" s="559"/>
      <c r="P6" s="796"/>
      <c r="Q6" s="398"/>
      <c r="R6" s="398"/>
      <c r="S6" s="398"/>
      <c r="T6" s="398"/>
      <c r="U6" s="398"/>
      <c r="V6" s="398"/>
    </row>
    <row r="7" spans="1:22" s="487" customFormat="1" ht="15.75" customHeight="1">
      <c r="A7" s="341"/>
      <c r="B7" s="342" t="s">
        <v>1670</v>
      </c>
      <c r="C7" s="382"/>
      <c r="D7" s="382"/>
      <c r="E7" s="382"/>
      <c r="F7" s="382"/>
      <c r="G7" s="382"/>
      <c r="H7" s="382"/>
      <c r="I7" s="382"/>
      <c r="J7" s="382"/>
      <c r="K7" s="382"/>
      <c r="L7" s="382"/>
      <c r="M7" s="382"/>
      <c r="N7" s="351"/>
      <c r="O7" s="1580"/>
      <c r="P7" s="1581"/>
    </row>
    <row r="8" spans="1:22" s="487" customFormat="1" ht="15.75" customHeight="1">
      <c r="A8" s="346"/>
      <c r="B8" s="347" t="s">
        <v>395</v>
      </c>
      <c r="C8" s="382"/>
      <c r="D8" s="382"/>
      <c r="E8" s="382"/>
      <c r="F8" s="382"/>
      <c r="G8" s="382"/>
      <c r="H8" s="382"/>
      <c r="I8" s="382"/>
      <c r="J8" s="382"/>
      <c r="K8" s="382"/>
      <c r="L8" s="382"/>
      <c r="M8" s="382"/>
      <c r="N8" s="351"/>
      <c r="O8" s="1580"/>
      <c r="P8" s="1581"/>
    </row>
    <row r="9" spans="1:22" s="487" customFormat="1" ht="15.75" customHeight="1">
      <c r="A9" s="350">
        <v>1</v>
      </c>
      <c r="B9" s="351" t="s">
        <v>396</v>
      </c>
      <c r="C9" s="382"/>
      <c r="D9" s="382"/>
      <c r="E9" s="382"/>
      <c r="F9" s="382"/>
      <c r="G9" s="382"/>
      <c r="H9" s="382"/>
      <c r="I9" s="382"/>
      <c r="J9" s="382"/>
      <c r="K9" s="382"/>
      <c r="L9" s="382"/>
      <c r="M9" s="382"/>
      <c r="N9" s="351"/>
      <c r="O9" s="1580"/>
      <c r="P9" s="1581"/>
    </row>
    <row r="10" spans="1:22" s="487" customFormat="1" ht="15.75" customHeight="1">
      <c r="A10" s="350"/>
      <c r="B10" s="351"/>
      <c r="C10" s="382">
        <f>7+2*2</f>
        <v>11</v>
      </c>
      <c r="D10" s="382"/>
      <c r="E10" s="382"/>
      <c r="F10" s="382"/>
      <c r="G10" s="382">
        <v>2</v>
      </c>
      <c r="H10" s="382"/>
      <c r="I10" s="382"/>
      <c r="J10" s="382"/>
      <c r="K10" s="382"/>
      <c r="L10" s="382"/>
      <c r="M10" s="382"/>
      <c r="N10" s="382">
        <f>C10*G10</f>
        <v>22</v>
      </c>
      <c r="O10" s="351"/>
      <c r="P10" s="1581"/>
    </row>
    <row r="11" spans="1:22" s="487" customFormat="1" ht="15.75" customHeight="1">
      <c r="A11" s="350"/>
      <c r="B11" s="351"/>
      <c r="C11" s="382"/>
      <c r="D11" s="382">
        <f>2.5+2*2</f>
        <v>6.5</v>
      </c>
      <c r="E11" s="382"/>
      <c r="F11" s="382"/>
      <c r="G11" s="382">
        <v>2</v>
      </c>
      <c r="H11" s="382"/>
      <c r="I11" s="382"/>
      <c r="J11" s="382"/>
      <c r="K11" s="382"/>
      <c r="L11" s="382"/>
      <c r="M11" s="382"/>
      <c r="N11" s="624">
        <f>D11*G11</f>
        <v>13</v>
      </c>
      <c r="O11" s="351"/>
      <c r="P11" s="1581"/>
    </row>
    <row r="12" spans="1:22" s="487" customFormat="1" ht="15.75" customHeight="1">
      <c r="A12" s="350"/>
      <c r="B12" s="351"/>
      <c r="C12" s="382"/>
      <c r="D12" s="382"/>
      <c r="E12" s="382"/>
      <c r="F12" s="382"/>
      <c r="G12" s="382"/>
      <c r="H12" s="382"/>
      <c r="I12" s="382"/>
      <c r="J12" s="382"/>
      <c r="K12" s="382"/>
      <c r="L12" s="382"/>
      <c r="M12" s="382"/>
      <c r="N12" s="431">
        <f>SUM(N10:N11)</f>
        <v>35</v>
      </c>
      <c r="O12" s="351" t="s">
        <v>117</v>
      </c>
      <c r="P12" s="1582">
        <f>ROUND((N12),2)</f>
        <v>35</v>
      </c>
    </row>
    <row r="13" spans="1:22" s="487" customFormat="1" ht="15.75" customHeight="1">
      <c r="A13" s="1583">
        <f>A9+1</f>
        <v>2</v>
      </c>
      <c r="B13" s="1584" t="s">
        <v>1674</v>
      </c>
      <c r="C13" s="382"/>
      <c r="D13" s="382"/>
      <c r="E13" s="382"/>
      <c r="F13" s="382"/>
      <c r="G13" s="382"/>
      <c r="H13" s="382"/>
      <c r="I13" s="382"/>
      <c r="J13" s="382"/>
      <c r="K13" s="382"/>
      <c r="L13" s="382"/>
      <c r="M13" s="382"/>
      <c r="N13" s="431"/>
      <c r="O13" s="351"/>
      <c r="P13" s="1582"/>
    </row>
    <row r="14" spans="1:22" s="487" customFormat="1" ht="15.75" customHeight="1">
      <c r="A14" s="402" t="s">
        <v>95</v>
      </c>
      <c r="B14" s="354" t="s">
        <v>398</v>
      </c>
      <c r="C14" s="382">
        <v>1.8</v>
      </c>
      <c r="D14" s="382">
        <v>0.8</v>
      </c>
      <c r="E14" s="382">
        <v>0.9</v>
      </c>
      <c r="F14" s="382"/>
      <c r="G14" s="382"/>
      <c r="H14" s="382"/>
      <c r="I14" s="382"/>
      <c r="J14" s="382"/>
      <c r="K14" s="382"/>
      <c r="L14" s="382"/>
      <c r="M14" s="382">
        <v>0</v>
      </c>
      <c r="N14" s="431">
        <f>C14*D14*E14*M14</f>
        <v>0</v>
      </c>
      <c r="O14" s="351" t="s">
        <v>103</v>
      </c>
      <c r="P14" s="1582">
        <f>ROUND((N14),2)</f>
        <v>0</v>
      </c>
    </row>
    <row r="15" spans="1:22" s="487" customFormat="1" ht="15.75" customHeight="1">
      <c r="A15" s="402" t="s">
        <v>98</v>
      </c>
      <c r="B15" s="354" t="s">
        <v>399</v>
      </c>
      <c r="C15" s="382">
        <v>1.6</v>
      </c>
      <c r="D15" s="382">
        <v>0.6</v>
      </c>
      <c r="E15" s="382">
        <v>0.05</v>
      </c>
      <c r="F15" s="382"/>
      <c r="G15" s="382"/>
      <c r="H15" s="382"/>
      <c r="I15" s="382"/>
      <c r="J15" s="382"/>
      <c r="K15" s="382"/>
      <c r="L15" s="382"/>
      <c r="M15" s="382">
        <f>M14</f>
        <v>0</v>
      </c>
      <c r="N15" s="431">
        <f>C15*D15*E15*M15</f>
        <v>0</v>
      </c>
      <c r="O15" s="351" t="s">
        <v>103</v>
      </c>
      <c r="P15" s="1582">
        <f>ROUND((N15),2)</f>
        <v>0</v>
      </c>
    </row>
    <row r="16" spans="1:22" s="487" customFormat="1" ht="15.75" customHeight="1">
      <c r="A16" s="402" t="s">
        <v>101</v>
      </c>
      <c r="B16" s="354" t="s">
        <v>400</v>
      </c>
      <c r="C16" s="382">
        <f>C15</f>
        <v>1.6</v>
      </c>
      <c r="D16" s="382">
        <f>D15</f>
        <v>0.6</v>
      </c>
      <c r="E16" s="382">
        <v>0.05</v>
      </c>
      <c r="F16" s="382"/>
      <c r="G16" s="382"/>
      <c r="H16" s="382"/>
      <c r="I16" s="382"/>
      <c r="J16" s="382"/>
      <c r="K16" s="382"/>
      <c r="L16" s="382"/>
      <c r="M16" s="382">
        <f>M15</f>
        <v>0</v>
      </c>
      <c r="N16" s="431">
        <f>C16*D16*E16*M16</f>
        <v>0</v>
      </c>
      <c r="O16" s="351" t="s">
        <v>103</v>
      </c>
      <c r="P16" s="1582">
        <f>ROUND((N16),2)</f>
        <v>0</v>
      </c>
    </row>
    <row r="17" spans="1:16" s="487" customFormat="1" ht="15.75" customHeight="1">
      <c r="A17" s="402" t="s">
        <v>121</v>
      </c>
      <c r="B17" s="354" t="s">
        <v>401</v>
      </c>
      <c r="C17" s="382"/>
      <c r="D17" s="382"/>
      <c r="E17" s="382"/>
      <c r="F17" s="382"/>
      <c r="G17" s="382"/>
      <c r="H17" s="382"/>
      <c r="I17" s="382"/>
      <c r="J17" s="382"/>
      <c r="K17" s="382"/>
      <c r="L17" s="382"/>
      <c r="M17" s="382"/>
      <c r="N17" s="431"/>
      <c r="O17" s="351"/>
      <c r="P17" s="1582"/>
    </row>
    <row r="18" spans="1:16" s="487" customFormat="1" ht="15.75" customHeight="1">
      <c r="A18" s="402"/>
      <c r="B18" s="354"/>
      <c r="C18" s="382">
        <f>C14</f>
        <v>1.8</v>
      </c>
      <c r="D18" s="382"/>
      <c r="E18" s="382">
        <v>0.3</v>
      </c>
      <c r="F18" s="382"/>
      <c r="G18" s="382"/>
      <c r="H18" s="382">
        <v>2</v>
      </c>
      <c r="I18" s="382"/>
      <c r="J18" s="382"/>
      <c r="K18" s="382"/>
      <c r="L18" s="382"/>
      <c r="M18" s="382">
        <f>M16</f>
        <v>0</v>
      </c>
      <c r="N18" s="431">
        <f>C18*E18*H18*M18</f>
        <v>0</v>
      </c>
      <c r="O18" s="351"/>
      <c r="P18" s="1582"/>
    </row>
    <row r="19" spans="1:16" s="487" customFormat="1" ht="15.75" customHeight="1">
      <c r="A19" s="402"/>
      <c r="B19" s="354"/>
      <c r="C19" s="382">
        <f>D14</f>
        <v>0.8</v>
      </c>
      <c r="D19" s="382"/>
      <c r="E19" s="382">
        <f>E18</f>
        <v>0.3</v>
      </c>
      <c r="F19" s="382"/>
      <c r="G19" s="382"/>
      <c r="H19" s="382">
        <f>H18</f>
        <v>2</v>
      </c>
      <c r="I19" s="382"/>
      <c r="J19" s="382"/>
      <c r="K19" s="382"/>
      <c r="L19" s="382"/>
      <c r="M19" s="382">
        <f>M18</f>
        <v>0</v>
      </c>
      <c r="N19" s="624">
        <f>C19*E19*H19*M19</f>
        <v>0</v>
      </c>
      <c r="O19" s="351"/>
      <c r="P19" s="1582"/>
    </row>
    <row r="20" spans="1:16" s="487" customFormat="1" ht="15.75" customHeight="1">
      <c r="A20" s="402"/>
      <c r="B20" s="354"/>
      <c r="C20" s="382"/>
      <c r="D20" s="382"/>
      <c r="E20" s="382"/>
      <c r="F20" s="382"/>
      <c r="G20" s="382"/>
      <c r="H20" s="382"/>
      <c r="I20" s="382"/>
      <c r="J20" s="382"/>
      <c r="K20" s="382"/>
      <c r="L20" s="382"/>
      <c r="M20" s="382"/>
      <c r="N20" s="431">
        <f>SUM(N18:N19)</f>
        <v>0</v>
      </c>
      <c r="O20" s="351" t="s">
        <v>89</v>
      </c>
      <c r="P20" s="1582">
        <f>ROUND((N20),2)</f>
        <v>0</v>
      </c>
    </row>
    <row r="21" spans="1:16" s="487" customFormat="1" ht="15.75" customHeight="1">
      <c r="A21" s="402" t="s">
        <v>142</v>
      </c>
      <c r="B21" s="354" t="s">
        <v>895</v>
      </c>
      <c r="C21" s="382"/>
      <c r="D21" s="382"/>
      <c r="E21" s="382"/>
      <c r="F21" s="382"/>
      <c r="G21" s="382"/>
      <c r="H21" s="382"/>
      <c r="I21" s="382"/>
      <c r="J21" s="382"/>
      <c r="K21" s="382"/>
      <c r="L21" s="382"/>
      <c r="M21" s="382"/>
      <c r="N21" s="431"/>
      <c r="O21" s="351"/>
      <c r="P21" s="1582"/>
    </row>
    <row r="22" spans="1:16" s="487" customFormat="1" ht="15.75" customHeight="1">
      <c r="A22" s="402"/>
      <c r="B22" s="1585"/>
      <c r="C22" s="382">
        <f>C16-0.15</f>
        <v>1.4500000000000002</v>
      </c>
      <c r="D22" s="382"/>
      <c r="E22" s="382"/>
      <c r="F22" s="382"/>
      <c r="G22" s="382"/>
      <c r="H22" s="382">
        <v>4</v>
      </c>
      <c r="I22" s="382">
        <f>0.15*2</f>
        <v>0.3</v>
      </c>
      <c r="J22" s="382"/>
      <c r="K22" s="382"/>
      <c r="L22" s="382">
        <f>13*13*0.006165</f>
        <v>1.041885</v>
      </c>
      <c r="M22" s="382">
        <f>M19</f>
        <v>0</v>
      </c>
      <c r="N22" s="431">
        <f>(C22*I22)*H22*L22*M22</f>
        <v>0</v>
      </c>
      <c r="O22" s="351"/>
      <c r="P22" s="1582"/>
    </row>
    <row r="23" spans="1:16" s="487" customFormat="1" ht="15.75" customHeight="1">
      <c r="A23" s="402"/>
      <c r="B23" s="1585"/>
      <c r="C23" s="382">
        <f>D16-0.15</f>
        <v>0.44999999999999996</v>
      </c>
      <c r="D23" s="382"/>
      <c r="E23" s="382"/>
      <c r="F23" s="382"/>
      <c r="G23" s="382"/>
      <c r="H23" s="382">
        <f>H22</f>
        <v>4</v>
      </c>
      <c r="I23" s="382">
        <f>I22</f>
        <v>0.3</v>
      </c>
      <c r="J23" s="382"/>
      <c r="K23" s="382"/>
      <c r="L23" s="382">
        <f>L22</f>
        <v>1.041885</v>
      </c>
      <c r="M23" s="382">
        <f>M22</f>
        <v>0</v>
      </c>
      <c r="N23" s="624">
        <f>(C23*I23)*H23*L23*M23</f>
        <v>0</v>
      </c>
      <c r="O23" s="351"/>
      <c r="P23" s="1582"/>
    </row>
    <row r="24" spans="1:16" s="487" customFormat="1" ht="15.75" customHeight="1">
      <c r="A24" s="402"/>
      <c r="B24" s="1585"/>
      <c r="C24" s="382"/>
      <c r="D24" s="382"/>
      <c r="E24" s="382"/>
      <c r="F24" s="382"/>
      <c r="G24" s="382"/>
      <c r="H24" s="382"/>
      <c r="I24" s="382"/>
      <c r="J24" s="382"/>
      <c r="K24" s="382"/>
      <c r="L24" s="382"/>
      <c r="M24" s="382"/>
      <c r="N24" s="431">
        <f>SUM(N22:N23)</f>
        <v>0</v>
      </c>
      <c r="O24" s="351" t="s">
        <v>100</v>
      </c>
      <c r="P24" s="1582">
        <f>ROUND((N24),2)</f>
        <v>0</v>
      </c>
    </row>
    <row r="25" spans="1:16" s="487" customFormat="1" ht="15.75" customHeight="1">
      <c r="A25" s="402" t="s">
        <v>217</v>
      </c>
      <c r="B25" s="356" t="s">
        <v>420</v>
      </c>
      <c r="C25" s="382">
        <f>C16</f>
        <v>1.6</v>
      </c>
      <c r="D25" s="382">
        <f>D16</f>
        <v>0.6</v>
      </c>
      <c r="E25" s="382">
        <f>E19</f>
        <v>0.3</v>
      </c>
      <c r="F25" s="382"/>
      <c r="G25" s="382"/>
      <c r="H25" s="382"/>
      <c r="I25" s="382"/>
      <c r="J25" s="382"/>
      <c r="K25" s="382"/>
      <c r="L25" s="382"/>
      <c r="M25" s="382">
        <f>M23</f>
        <v>0</v>
      </c>
      <c r="N25" s="431">
        <f>C25*D25*E25*M25</f>
        <v>0</v>
      </c>
      <c r="O25" s="351" t="s">
        <v>103</v>
      </c>
      <c r="P25" s="1582">
        <f>ROUND((N25),2)</f>
        <v>0</v>
      </c>
    </row>
    <row r="26" spans="1:16" s="487" customFormat="1" ht="15.75" customHeight="1">
      <c r="A26" s="402" t="s">
        <v>366</v>
      </c>
      <c r="B26" s="354" t="s">
        <v>383</v>
      </c>
      <c r="C26" s="382"/>
      <c r="D26" s="382"/>
      <c r="E26" s="382">
        <v>4</v>
      </c>
      <c r="F26" s="382">
        <v>10</v>
      </c>
      <c r="G26" s="382"/>
      <c r="H26" s="382"/>
      <c r="I26" s="382"/>
      <c r="J26" s="382"/>
      <c r="K26" s="382"/>
      <c r="L26" s="382"/>
      <c r="M26" s="382">
        <f>M25</f>
        <v>0</v>
      </c>
      <c r="N26" s="431">
        <f>E26*F26*M26</f>
        <v>0</v>
      </c>
      <c r="O26" s="351" t="s">
        <v>117</v>
      </c>
      <c r="P26" s="1582">
        <f>ROUND((N26),2)</f>
        <v>0</v>
      </c>
    </row>
    <row r="27" spans="1:16" s="487" customFormat="1" ht="15.75" customHeight="1">
      <c r="A27" s="1583">
        <f>A13+1</f>
        <v>3</v>
      </c>
      <c r="B27" s="1584" t="s">
        <v>1675</v>
      </c>
      <c r="C27" s="382"/>
      <c r="D27" s="382"/>
      <c r="E27" s="382"/>
      <c r="F27" s="382"/>
      <c r="G27" s="382"/>
      <c r="H27" s="382"/>
      <c r="I27" s="382"/>
      <c r="J27" s="382"/>
      <c r="K27" s="382"/>
      <c r="L27" s="382"/>
      <c r="M27" s="382"/>
      <c r="N27" s="431"/>
      <c r="O27" s="351"/>
      <c r="P27" s="1582"/>
    </row>
    <row r="28" spans="1:16" s="487" customFormat="1" ht="15.75" customHeight="1">
      <c r="A28" s="402" t="s">
        <v>95</v>
      </c>
      <c r="B28" s="354" t="s">
        <v>398</v>
      </c>
      <c r="C28" s="382">
        <v>1.8</v>
      </c>
      <c r="D28" s="382">
        <v>1.2</v>
      </c>
      <c r="E28" s="382">
        <v>0.9</v>
      </c>
      <c r="F28" s="382"/>
      <c r="G28" s="382"/>
      <c r="H28" s="382"/>
      <c r="I28" s="382"/>
      <c r="J28" s="382"/>
      <c r="K28" s="382"/>
      <c r="L28" s="382"/>
      <c r="M28" s="382">
        <v>0</v>
      </c>
      <c r="N28" s="431">
        <f>C28*D28*E28*M28</f>
        <v>0</v>
      </c>
      <c r="O28" s="351" t="s">
        <v>103</v>
      </c>
      <c r="P28" s="1582">
        <f>ROUND((N28),2)</f>
        <v>0</v>
      </c>
    </row>
    <row r="29" spans="1:16" s="487" customFormat="1" ht="15.75" customHeight="1">
      <c r="A29" s="402" t="s">
        <v>98</v>
      </c>
      <c r="B29" s="354" t="s">
        <v>399</v>
      </c>
      <c r="C29" s="382">
        <v>1.6</v>
      </c>
      <c r="D29" s="382">
        <v>1</v>
      </c>
      <c r="E29" s="382">
        <v>7.0000000000000007E-2</v>
      </c>
      <c r="F29" s="382"/>
      <c r="G29" s="382"/>
      <c r="H29" s="382"/>
      <c r="I29" s="382"/>
      <c r="J29" s="382"/>
      <c r="K29" s="382"/>
      <c r="L29" s="382"/>
      <c r="M29" s="382">
        <f>M28</f>
        <v>0</v>
      </c>
      <c r="N29" s="431">
        <f>C29*D29*E29*M29</f>
        <v>0</v>
      </c>
      <c r="O29" s="351" t="s">
        <v>103</v>
      </c>
      <c r="P29" s="1582">
        <f>ROUND((N29),2)</f>
        <v>0</v>
      </c>
    </row>
    <row r="30" spans="1:16" s="487" customFormat="1" ht="15.75" customHeight="1">
      <c r="A30" s="402" t="s">
        <v>101</v>
      </c>
      <c r="B30" s="354" t="s">
        <v>400</v>
      </c>
      <c r="C30" s="382">
        <f>C29</f>
        <v>1.6</v>
      </c>
      <c r="D30" s="382">
        <f>D29</f>
        <v>1</v>
      </c>
      <c r="E30" s="382">
        <v>0.03</v>
      </c>
      <c r="F30" s="382"/>
      <c r="G30" s="382"/>
      <c r="H30" s="382"/>
      <c r="I30" s="382"/>
      <c r="J30" s="382"/>
      <c r="K30" s="382"/>
      <c r="L30" s="382"/>
      <c r="M30" s="382">
        <f>M29</f>
        <v>0</v>
      </c>
      <c r="N30" s="431">
        <f>C30*D30*E30*M30</f>
        <v>0</v>
      </c>
      <c r="O30" s="351" t="s">
        <v>103</v>
      </c>
      <c r="P30" s="1582">
        <f>ROUND((N30),2)</f>
        <v>0</v>
      </c>
    </row>
    <row r="31" spans="1:16" s="487" customFormat="1" ht="15.75" customHeight="1">
      <c r="A31" s="402" t="s">
        <v>121</v>
      </c>
      <c r="B31" s="354" t="s">
        <v>401</v>
      </c>
      <c r="C31" s="382"/>
      <c r="D31" s="382"/>
      <c r="E31" s="382"/>
      <c r="F31" s="382"/>
      <c r="G31" s="382"/>
      <c r="H31" s="382"/>
      <c r="I31" s="382"/>
      <c r="J31" s="382"/>
      <c r="K31" s="382"/>
      <c r="L31" s="382"/>
      <c r="M31" s="382"/>
      <c r="N31" s="431"/>
      <c r="O31" s="351"/>
      <c r="P31" s="1582"/>
    </row>
    <row r="32" spans="1:16" s="487" customFormat="1" ht="15.75" customHeight="1">
      <c r="A32" s="402"/>
      <c r="B32" s="354"/>
      <c r="C32" s="382">
        <f>C28</f>
        <v>1.8</v>
      </c>
      <c r="D32" s="382"/>
      <c r="E32" s="382">
        <v>0.3</v>
      </c>
      <c r="F32" s="382"/>
      <c r="G32" s="382"/>
      <c r="H32" s="382">
        <v>2</v>
      </c>
      <c r="I32" s="382"/>
      <c r="J32" s="382"/>
      <c r="K32" s="382"/>
      <c r="L32" s="382"/>
      <c r="M32" s="382">
        <f>M30</f>
        <v>0</v>
      </c>
      <c r="N32" s="431">
        <f>C32*E32*H32*M32</f>
        <v>0</v>
      </c>
      <c r="O32" s="351"/>
      <c r="P32" s="1582"/>
    </row>
    <row r="33" spans="1:20" s="487" customFormat="1" ht="15.75" customHeight="1">
      <c r="A33" s="402"/>
      <c r="B33" s="354"/>
      <c r="C33" s="382">
        <f>D28</f>
        <v>1.2</v>
      </c>
      <c r="D33" s="382"/>
      <c r="E33" s="382">
        <f>E32</f>
        <v>0.3</v>
      </c>
      <c r="F33" s="382"/>
      <c r="G33" s="382"/>
      <c r="H33" s="382">
        <f>H32</f>
        <v>2</v>
      </c>
      <c r="I33" s="382"/>
      <c r="J33" s="382"/>
      <c r="K33" s="382"/>
      <c r="L33" s="382"/>
      <c r="M33" s="382">
        <f>M32</f>
        <v>0</v>
      </c>
      <c r="N33" s="624">
        <f>C33*E33*H33*M33</f>
        <v>0</v>
      </c>
      <c r="O33" s="351"/>
      <c r="P33" s="1582"/>
    </row>
    <row r="34" spans="1:20" s="487" customFormat="1" ht="15.75" customHeight="1">
      <c r="A34" s="402"/>
      <c r="B34" s="354"/>
      <c r="C34" s="382"/>
      <c r="D34" s="382"/>
      <c r="E34" s="382"/>
      <c r="F34" s="382"/>
      <c r="G34" s="382"/>
      <c r="H34" s="382"/>
      <c r="I34" s="382"/>
      <c r="J34" s="382"/>
      <c r="K34" s="382"/>
      <c r="L34" s="382"/>
      <c r="M34" s="382"/>
      <c r="N34" s="431">
        <f>SUM(N32:N33)</f>
        <v>0</v>
      </c>
      <c r="O34" s="351" t="s">
        <v>89</v>
      </c>
      <c r="P34" s="1582">
        <f>ROUND((N34),2)</f>
        <v>0</v>
      </c>
    </row>
    <row r="35" spans="1:20" s="487" customFormat="1" ht="15.75" customHeight="1">
      <c r="A35" s="402" t="s">
        <v>142</v>
      </c>
      <c r="B35" s="354" t="s">
        <v>895</v>
      </c>
      <c r="C35" s="382"/>
      <c r="D35" s="382"/>
      <c r="E35" s="382"/>
      <c r="F35" s="382"/>
      <c r="G35" s="382"/>
      <c r="H35" s="382"/>
      <c r="I35" s="382"/>
      <c r="J35" s="382"/>
      <c r="K35" s="382"/>
      <c r="L35" s="382"/>
      <c r="M35" s="382"/>
      <c r="N35" s="431"/>
      <c r="O35" s="351"/>
      <c r="P35" s="1582"/>
    </row>
    <row r="36" spans="1:20" s="487" customFormat="1" ht="15.75" customHeight="1">
      <c r="A36" s="402"/>
      <c r="B36" s="1585"/>
      <c r="C36" s="382">
        <f>C30-0.15</f>
        <v>1.4500000000000002</v>
      </c>
      <c r="D36" s="382"/>
      <c r="E36" s="382"/>
      <c r="F36" s="382"/>
      <c r="G36" s="382"/>
      <c r="H36" s="382">
        <v>4</v>
      </c>
      <c r="I36" s="382">
        <f>0.15*2</f>
        <v>0.3</v>
      </c>
      <c r="J36" s="382"/>
      <c r="K36" s="382"/>
      <c r="L36" s="382">
        <f>13*13*0.006165</f>
        <v>1.041885</v>
      </c>
      <c r="M36" s="382">
        <f>M33</f>
        <v>0</v>
      </c>
      <c r="N36" s="431">
        <f>(C36*I36)*H36*L36*M36</f>
        <v>0</v>
      </c>
      <c r="O36" s="351"/>
      <c r="P36" s="1582"/>
    </row>
    <row r="37" spans="1:20" s="487" customFormat="1" ht="15.75" customHeight="1">
      <c r="A37" s="402"/>
      <c r="B37" s="1585"/>
      <c r="C37" s="382">
        <f>D30-0.15</f>
        <v>0.85</v>
      </c>
      <c r="D37" s="382"/>
      <c r="E37" s="382"/>
      <c r="F37" s="382"/>
      <c r="G37" s="382"/>
      <c r="H37" s="382">
        <f>H36</f>
        <v>4</v>
      </c>
      <c r="I37" s="382">
        <f>I36</f>
        <v>0.3</v>
      </c>
      <c r="J37" s="382"/>
      <c r="K37" s="382"/>
      <c r="L37" s="382">
        <f>L36</f>
        <v>1.041885</v>
      </c>
      <c r="M37" s="382">
        <f>M36</f>
        <v>0</v>
      </c>
      <c r="N37" s="624">
        <f>(C37*I37)*H37*L37*M37</f>
        <v>0</v>
      </c>
      <c r="O37" s="351"/>
      <c r="P37" s="1582"/>
    </row>
    <row r="38" spans="1:20" s="487" customFormat="1" ht="15.75" customHeight="1">
      <c r="A38" s="402"/>
      <c r="B38" s="1585"/>
      <c r="C38" s="382"/>
      <c r="D38" s="382"/>
      <c r="E38" s="382"/>
      <c r="F38" s="382"/>
      <c r="G38" s="382"/>
      <c r="H38" s="382"/>
      <c r="I38" s="382"/>
      <c r="J38" s="382"/>
      <c r="K38" s="382"/>
      <c r="L38" s="382"/>
      <c r="M38" s="382"/>
      <c r="N38" s="431">
        <f>SUM(N36:N37)</f>
        <v>0</v>
      </c>
      <c r="O38" s="351" t="s">
        <v>100</v>
      </c>
      <c r="P38" s="1582">
        <f>ROUND((N38),2)</f>
        <v>0</v>
      </c>
    </row>
    <row r="39" spans="1:20" s="487" customFormat="1" ht="15.75" customHeight="1">
      <c r="A39" s="402" t="s">
        <v>217</v>
      </c>
      <c r="B39" s="356" t="s">
        <v>420</v>
      </c>
      <c r="C39" s="382">
        <f>C30</f>
        <v>1.6</v>
      </c>
      <c r="D39" s="382">
        <f>D30</f>
        <v>1</v>
      </c>
      <c r="E39" s="382">
        <f>E33</f>
        <v>0.3</v>
      </c>
      <c r="F39" s="382"/>
      <c r="G39" s="382"/>
      <c r="H39" s="382"/>
      <c r="I39" s="382"/>
      <c r="J39" s="382"/>
      <c r="K39" s="382"/>
      <c r="L39" s="382"/>
      <c r="M39" s="382">
        <f>M37</f>
        <v>0</v>
      </c>
      <c r="N39" s="431">
        <f>C39*D39*E39*M39</f>
        <v>0</v>
      </c>
      <c r="O39" s="351" t="s">
        <v>103</v>
      </c>
      <c r="P39" s="1582">
        <f>ROUND((N39),2)</f>
        <v>0</v>
      </c>
    </row>
    <row r="40" spans="1:20" s="487" customFormat="1" ht="15.75" customHeight="1">
      <c r="A40" s="402" t="s">
        <v>366</v>
      </c>
      <c r="B40" s="354" t="s">
        <v>383</v>
      </c>
      <c r="C40" s="382"/>
      <c r="D40" s="382"/>
      <c r="E40" s="382">
        <v>4</v>
      </c>
      <c r="F40" s="382">
        <v>15</v>
      </c>
      <c r="G40" s="382"/>
      <c r="H40" s="382"/>
      <c r="I40" s="382"/>
      <c r="J40" s="382"/>
      <c r="K40" s="382"/>
      <c r="L40" s="382"/>
      <c r="M40" s="382">
        <f>M39</f>
        <v>0</v>
      </c>
      <c r="N40" s="431">
        <f>E40*F40*M40</f>
        <v>0</v>
      </c>
      <c r="O40" s="351" t="s">
        <v>117</v>
      </c>
      <c r="P40" s="1582">
        <f>ROUND((N40),2)</f>
        <v>0</v>
      </c>
    </row>
    <row r="41" spans="1:20" s="487" customFormat="1" ht="15.75" customHeight="1">
      <c r="A41" s="350">
        <f>A9+1</f>
        <v>2</v>
      </c>
      <c r="B41" s="351" t="s">
        <v>403</v>
      </c>
      <c r="C41" s="382"/>
      <c r="D41" s="382"/>
      <c r="E41" s="382"/>
      <c r="F41" s="382"/>
      <c r="G41" s="382"/>
      <c r="H41" s="382"/>
      <c r="I41" s="382"/>
      <c r="J41" s="382"/>
      <c r="K41" s="382"/>
      <c r="L41" s="382"/>
      <c r="M41" s="382"/>
      <c r="N41" s="382"/>
      <c r="O41" s="351"/>
      <c r="P41" s="1581"/>
    </row>
    <row r="42" spans="1:20" s="487" customFormat="1" ht="15.75" customHeight="1">
      <c r="A42" s="355" t="s">
        <v>95</v>
      </c>
      <c r="B42" s="351" t="s">
        <v>491</v>
      </c>
      <c r="C42" s="382"/>
      <c r="D42" s="382"/>
      <c r="E42" s="382"/>
      <c r="F42" s="382"/>
      <c r="G42" s="382"/>
      <c r="H42" s="382"/>
      <c r="I42" s="382"/>
      <c r="J42" s="382"/>
      <c r="K42" s="382"/>
      <c r="L42" s="382"/>
      <c r="M42" s="382"/>
      <c r="N42" s="382"/>
      <c r="O42" s="347"/>
      <c r="P42" s="1581"/>
    </row>
    <row r="43" spans="1:20" s="487" customFormat="1" ht="15.75" customHeight="1">
      <c r="A43" s="355"/>
      <c r="B43" s="589" t="s">
        <v>1676</v>
      </c>
      <c r="C43" s="382">
        <v>1.95</v>
      </c>
      <c r="D43" s="382">
        <v>1</v>
      </c>
      <c r="E43" s="382">
        <v>0.85</v>
      </c>
      <c r="F43" s="382"/>
      <c r="G43" s="382">
        <v>1</v>
      </c>
      <c r="H43" s="382"/>
      <c r="I43" s="382"/>
      <c r="J43" s="382"/>
      <c r="K43" s="382"/>
      <c r="L43" s="382"/>
      <c r="M43" s="382">
        <v>2</v>
      </c>
      <c r="N43" s="382">
        <f>C43*D43*E43*G43*M43</f>
        <v>3.3149999999999999</v>
      </c>
      <c r="O43" s="347"/>
      <c r="P43" s="1581"/>
    </row>
    <row r="44" spans="1:20" s="487" customFormat="1" ht="15.75" customHeight="1">
      <c r="A44" s="355"/>
      <c r="B44" s="589" t="s">
        <v>223</v>
      </c>
      <c r="C44" s="382">
        <v>1.8</v>
      </c>
      <c r="D44" s="382">
        <v>0.6</v>
      </c>
      <c r="E44" s="382">
        <f>E43</f>
        <v>0.85</v>
      </c>
      <c r="F44" s="382"/>
      <c r="G44" s="382">
        <v>2</v>
      </c>
      <c r="H44" s="382"/>
      <c r="I44" s="382"/>
      <c r="J44" s="382"/>
      <c r="K44" s="382"/>
      <c r="L44" s="382"/>
      <c r="M44" s="382">
        <f>M43</f>
        <v>2</v>
      </c>
      <c r="N44" s="382">
        <f>C44*D44*E44*G44*M44</f>
        <v>3.6720000000000002</v>
      </c>
      <c r="O44" s="347"/>
      <c r="P44" s="1581"/>
    </row>
    <row r="45" spans="1:20" s="487" customFormat="1" ht="15.75" customHeight="1">
      <c r="A45" s="355"/>
      <c r="B45" s="351"/>
      <c r="C45" s="382"/>
      <c r="D45" s="382"/>
      <c r="E45" s="382"/>
      <c r="F45" s="382"/>
      <c r="G45" s="382"/>
      <c r="H45" s="382"/>
      <c r="I45" s="382"/>
      <c r="J45" s="382"/>
      <c r="K45" s="382"/>
      <c r="L45" s="382"/>
      <c r="M45" s="382"/>
      <c r="N45" s="431">
        <f>SUM(N43:N44)</f>
        <v>6.9870000000000001</v>
      </c>
      <c r="O45" s="351" t="s">
        <v>103</v>
      </c>
      <c r="P45" s="1582">
        <f>ROUND((N45),2)</f>
        <v>6.99</v>
      </c>
    </row>
    <row r="46" spans="1:20" s="487" customFormat="1" ht="15.75" customHeight="1">
      <c r="A46" s="355" t="s">
        <v>98</v>
      </c>
      <c r="B46" s="357" t="s">
        <v>405</v>
      </c>
      <c r="C46" s="1465"/>
      <c r="D46" s="1465"/>
      <c r="E46" s="927"/>
      <c r="F46" s="927"/>
      <c r="G46" s="927"/>
      <c r="H46" s="927"/>
      <c r="I46" s="927"/>
      <c r="J46" s="928"/>
      <c r="K46" s="928"/>
      <c r="L46" s="929"/>
      <c r="M46" s="927"/>
      <c r="N46" s="930"/>
      <c r="O46" s="927"/>
      <c r="P46" s="1581"/>
      <c r="Q46" s="398"/>
      <c r="R46" s="568"/>
      <c r="S46" s="568"/>
      <c r="T46" s="568"/>
    </row>
    <row r="47" spans="1:20" s="487" customFormat="1" ht="15.75" customHeight="1">
      <c r="A47" s="355"/>
      <c r="B47" s="589" t="str">
        <f>B43</f>
        <v>area pilar</v>
      </c>
      <c r="C47" s="1465">
        <f>C43</f>
        <v>1.95</v>
      </c>
      <c r="D47" s="1465"/>
      <c r="E47" s="927"/>
      <c r="F47" s="927"/>
      <c r="G47" s="927"/>
      <c r="H47" s="927"/>
      <c r="I47" s="927"/>
      <c r="J47" s="928"/>
      <c r="K47" s="928"/>
      <c r="L47" s="929"/>
      <c r="M47" s="927">
        <f>M43</f>
        <v>2</v>
      </c>
      <c r="N47" s="930">
        <f>C47*M47</f>
        <v>3.9</v>
      </c>
      <c r="O47" s="1586"/>
      <c r="P47" s="1581"/>
      <c r="Q47" s="398"/>
      <c r="R47" s="568"/>
      <c r="S47" s="568"/>
      <c r="T47" s="568"/>
    </row>
    <row r="48" spans="1:20" s="487" customFormat="1" ht="15.75" customHeight="1">
      <c r="A48" s="355"/>
      <c r="B48" s="589" t="str">
        <f>B44</f>
        <v>sisi samping</v>
      </c>
      <c r="C48" s="1465">
        <f>C44</f>
        <v>1.8</v>
      </c>
      <c r="D48" s="1465"/>
      <c r="E48" s="927"/>
      <c r="F48" s="927"/>
      <c r="G48" s="927"/>
      <c r="H48" s="927"/>
      <c r="I48" s="927"/>
      <c r="J48" s="928"/>
      <c r="K48" s="928"/>
      <c r="L48" s="929"/>
      <c r="M48" s="927">
        <f>M44</f>
        <v>2</v>
      </c>
      <c r="N48" s="930">
        <f>C48*M48</f>
        <v>3.6</v>
      </c>
      <c r="O48" s="1586"/>
      <c r="P48" s="1581"/>
      <c r="Q48" s="398"/>
      <c r="R48" s="398"/>
      <c r="S48" s="568"/>
      <c r="T48" s="568"/>
    </row>
    <row r="49" spans="1:21" s="487" customFormat="1" ht="15.75" customHeight="1">
      <c r="A49" s="355"/>
      <c r="B49" s="357"/>
      <c r="C49" s="1465"/>
      <c r="D49" s="1465"/>
      <c r="E49" s="927"/>
      <c r="F49" s="927"/>
      <c r="G49" s="927"/>
      <c r="H49" s="927"/>
      <c r="I49" s="927"/>
      <c r="J49" s="928"/>
      <c r="K49" s="928"/>
      <c r="L49" s="929"/>
      <c r="M49" s="927"/>
      <c r="N49" s="930">
        <f>SUM(N47:N48)</f>
        <v>7.5</v>
      </c>
      <c r="O49" s="1586"/>
      <c r="P49" s="1581"/>
      <c r="Q49" s="398"/>
      <c r="R49" s="398"/>
      <c r="S49" s="568"/>
      <c r="T49" s="568"/>
    </row>
    <row r="50" spans="1:21" s="487" customFormat="1" ht="15.75" customHeight="1">
      <c r="A50" s="355"/>
      <c r="B50" s="357"/>
      <c r="C50" s="1465"/>
      <c r="D50" s="1465"/>
      <c r="E50" s="382">
        <v>4</v>
      </c>
      <c r="F50" s="382"/>
      <c r="G50" s="382"/>
      <c r="H50" s="382">
        <v>2</v>
      </c>
      <c r="I50" s="382"/>
      <c r="J50" s="382"/>
      <c r="K50" s="382"/>
      <c r="L50" s="382">
        <f>N49/0.5</f>
        <v>15</v>
      </c>
      <c r="M50" s="382"/>
      <c r="N50" s="382">
        <f>E50*H50*L50</f>
        <v>120</v>
      </c>
      <c r="O50" s="927" t="s">
        <v>117</v>
      </c>
      <c r="P50" s="1587">
        <f>ROUND((N50),2)</f>
        <v>120</v>
      </c>
      <c r="Q50" s="398"/>
      <c r="R50" s="398"/>
      <c r="S50" s="568"/>
      <c r="T50" s="568"/>
      <c r="U50" s="568"/>
    </row>
    <row r="51" spans="1:21" s="487" customFormat="1" ht="15.75" customHeight="1">
      <c r="A51" s="355"/>
      <c r="B51" s="357"/>
      <c r="C51" s="1465"/>
      <c r="D51" s="1465"/>
      <c r="E51" s="927"/>
      <c r="F51" s="927"/>
      <c r="G51" s="927"/>
      <c r="H51" s="927"/>
      <c r="I51" s="927"/>
      <c r="J51" s="928"/>
      <c r="K51" s="928"/>
      <c r="L51" s="929"/>
      <c r="M51" s="927"/>
      <c r="N51" s="930"/>
      <c r="O51" s="1586"/>
      <c r="P51" s="1581"/>
      <c r="Q51" s="398"/>
      <c r="R51" s="398"/>
      <c r="S51" s="568"/>
      <c r="T51" s="568"/>
    </row>
    <row r="52" spans="1:21" s="487" customFormat="1" ht="15.75" customHeight="1">
      <c r="A52" s="355" t="s">
        <v>101</v>
      </c>
      <c r="B52" s="351" t="s">
        <v>1678</v>
      </c>
      <c r="C52" s="382"/>
      <c r="D52" s="382"/>
      <c r="E52" s="382"/>
      <c r="F52" s="382"/>
      <c r="G52" s="382"/>
      <c r="H52" s="382"/>
      <c r="I52" s="382"/>
      <c r="J52" s="382"/>
      <c r="K52" s="382"/>
      <c r="L52" s="382"/>
      <c r="M52" s="382"/>
      <c r="N52" s="382"/>
      <c r="O52" s="351"/>
      <c r="P52" s="1581"/>
      <c r="Q52" s="398"/>
      <c r="R52" s="398"/>
      <c r="S52" s="568"/>
      <c r="T52" s="568"/>
    </row>
    <row r="53" spans="1:21" s="487" customFormat="1" ht="15.75" customHeight="1">
      <c r="A53" s="355"/>
      <c r="B53" s="589" t="str">
        <f t="shared" ref="B53:D54" si="0">B43</f>
        <v>area pilar</v>
      </c>
      <c r="C53" s="382">
        <f t="shared" si="0"/>
        <v>1.95</v>
      </c>
      <c r="D53" s="382">
        <f t="shared" si="0"/>
        <v>1</v>
      </c>
      <c r="E53" s="382">
        <v>0.05</v>
      </c>
      <c r="F53" s="382"/>
      <c r="G53" s="382">
        <f>G43</f>
        <v>1</v>
      </c>
      <c r="H53" s="382"/>
      <c r="I53" s="382"/>
      <c r="J53" s="382"/>
      <c r="K53" s="382"/>
      <c r="L53" s="382"/>
      <c r="M53" s="382">
        <f>M43</f>
        <v>2</v>
      </c>
      <c r="N53" s="382">
        <f>C53*D53*E53*G53*M53</f>
        <v>0.19500000000000001</v>
      </c>
      <c r="O53" s="347"/>
      <c r="P53" s="1581"/>
      <c r="Q53" s="398"/>
      <c r="R53" s="398"/>
    </row>
    <row r="54" spans="1:21" s="487" customFormat="1" ht="15.75" customHeight="1">
      <c r="A54" s="355"/>
      <c r="B54" s="589" t="str">
        <f t="shared" si="0"/>
        <v>sisi samping</v>
      </c>
      <c r="C54" s="382">
        <f t="shared" si="0"/>
        <v>1.8</v>
      </c>
      <c r="D54" s="382">
        <f t="shared" si="0"/>
        <v>0.6</v>
      </c>
      <c r="E54" s="382">
        <f>E53</f>
        <v>0.05</v>
      </c>
      <c r="F54" s="382"/>
      <c r="G54" s="382">
        <f>G44</f>
        <v>2</v>
      </c>
      <c r="H54" s="382"/>
      <c r="I54" s="382"/>
      <c r="J54" s="382"/>
      <c r="K54" s="382"/>
      <c r="L54" s="382"/>
      <c r="M54" s="382">
        <f>M44</f>
        <v>2</v>
      </c>
      <c r="N54" s="382">
        <f>C54*D54*E54*G54*M54</f>
        <v>0.21600000000000003</v>
      </c>
      <c r="O54" s="347"/>
      <c r="P54" s="1581"/>
      <c r="Q54" s="398"/>
      <c r="R54" s="398"/>
    </row>
    <row r="55" spans="1:21" s="487" customFormat="1" ht="15.75" customHeight="1">
      <c r="A55" s="355"/>
      <c r="B55" s="589"/>
      <c r="C55" s="382"/>
      <c r="D55" s="382"/>
      <c r="E55" s="382"/>
      <c r="F55" s="382"/>
      <c r="G55" s="382"/>
      <c r="H55" s="382"/>
      <c r="I55" s="382"/>
      <c r="J55" s="382"/>
      <c r="K55" s="382"/>
      <c r="L55" s="382"/>
      <c r="M55" s="382"/>
      <c r="N55" s="431">
        <f>SUM(N53:N54)</f>
        <v>0.41100000000000003</v>
      </c>
      <c r="O55" s="351" t="s">
        <v>103</v>
      </c>
      <c r="P55" s="1582">
        <f>ROUND((N55),2)</f>
        <v>0.41</v>
      </c>
      <c r="Q55" s="398"/>
      <c r="R55" s="398"/>
    </row>
    <row r="56" spans="1:21" s="487" customFormat="1" ht="15.75" customHeight="1">
      <c r="A56" s="355" t="s">
        <v>979</v>
      </c>
      <c r="B56" s="351" t="s">
        <v>407</v>
      </c>
      <c r="C56" s="382"/>
      <c r="D56" s="1588" t="s">
        <v>1679</v>
      </c>
      <c r="E56" s="382"/>
      <c r="F56" s="382"/>
      <c r="G56" s="382"/>
      <c r="H56" s="382"/>
      <c r="I56" s="382"/>
      <c r="J56" s="382"/>
      <c r="K56" s="382"/>
      <c r="L56" s="382"/>
      <c r="M56" s="382"/>
      <c r="N56" s="382"/>
      <c r="O56" s="351"/>
      <c r="P56" s="1581"/>
    </row>
    <row r="57" spans="1:21" s="487" customFormat="1" ht="15.75" customHeight="1">
      <c r="A57" s="355"/>
      <c r="B57" s="589" t="str">
        <f>B53</f>
        <v>area pilar</v>
      </c>
      <c r="C57" s="382">
        <f>C53</f>
        <v>1.95</v>
      </c>
      <c r="D57" s="382">
        <f>(0.3+0.6)/2</f>
        <v>0.44999999999999996</v>
      </c>
      <c r="E57" s="382">
        <v>0.6</v>
      </c>
      <c r="F57" s="382"/>
      <c r="G57" s="382">
        <f>G53</f>
        <v>1</v>
      </c>
      <c r="H57" s="382"/>
      <c r="I57" s="382"/>
      <c r="J57" s="382"/>
      <c r="K57" s="382"/>
      <c r="L57" s="382"/>
      <c r="M57" s="382">
        <f>M53</f>
        <v>2</v>
      </c>
      <c r="N57" s="382">
        <f>C57*D57*E57*G57*M57</f>
        <v>1.0529999999999999</v>
      </c>
      <c r="O57" s="347"/>
      <c r="P57" s="1581"/>
    </row>
    <row r="58" spans="1:21" s="487" customFormat="1" ht="15.75" customHeight="1">
      <c r="A58" s="355"/>
      <c r="B58" s="589" t="str">
        <f>B54</f>
        <v>sisi samping</v>
      </c>
      <c r="C58" s="382">
        <f>C54</f>
        <v>1.8</v>
      </c>
      <c r="D58" s="382">
        <f>(0.65+1)/2</f>
        <v>0.82499999999999996</v>
      </c>
      <c r="E58" s="382">
        <f>E57</f>
        <v>0.6</v>
      </c>
      <c r="F58" s="382"/>
      <c r="G58" s="382">
        <f>G54</f>
        <v>2</v>
      </c>
      <c r="H58" s="382"/>
      <c r="I58" s="382"/>
      <c r="J58" s="382"/>
      <c r="K58" s="382"/>
      <c r="L58" s="382"/>
      <c r="M58" s="382">
        <f>M54</f>
        <v>2</v>
      </c>
      <c r="N58" s="382">
        <f>C58*D58*E58*G58*M58</f>
        <v>3.5639999999999996</v>
      </c>
      <c r="O58" s="347"/>
      <c r="P58" s="1581"/>
    </row>
    <row r="59" spans="1:21" s="487" customFormat="1" ht="15.75" customHeight="1">
      <c r="A59" s="355"/>
      <c r="B59" s="351"/>
      <c r="C59" s="382"/>
      <c r="D59" s="382"/>
      <c r="E59" s="382"/>
      <c r="F59" s="382"/>
      <c r="G59" s="382"/>
      <c r="H59" s="382"/>
      <c r="I59" s="382"/>
      <c r="J59" s="382"/>
      <c r="K59" s="382"/>
      <c r="L59" s="382"/>
      <c r="M59" s="382"/>
      <c r="N59" s="431">
        <f>SUM(N57:N58)</f>
        <v>4.6169999999999991</v>
      </c>
      <c r="O59" s="351" t="s">
        <v>103</v>
      </c>
      <c r="P59" s="1582">
        <f>ROUND((N59),2)</f>
        <v>4.62</v>
      </c>
    </row>
    <row r="60" spans="1:21" s="487" customFormat="1" ht="15.75" customHeight="1">
      <c r="A60" s="350">
        <f>A41+1</f>
        <v>3</v>
      </c>
      <c r="B60" s="359" t="s">
        <v>1903</v>
      </c>
      <c r="C60" s="382"/>
      <c r="D60" s="382"/>
      <c r="E60" s="382"/>
      <c r="F60" s="382"/>
      <c r="G60" s="382"/>
      <c r="H60" s="382"/>
      <c r="I60" s="382"/>
      <c r="J60" s="382"/>
      <c r="K60" s="382"/>
      <c r="L60" s="382"/>
      <c r="M60" s="382"/>
      <c r="N60" s="382"/>
      <c r="O60" s="351"/>
      <c r="P60" s="1581"/>
    </row>
    <row r="61" spans="1:21" s="487" customFormat="1" ht="15.75" customHeight="1">
      <c r="A61" s="355" t="s">
        <v>95</v>
      </c>
      <c r="B61" s="351" t="s">
        <v>221</v>
      </c>
      <c r="C61" s="382"/>
      <c r="D61" s="382"/>
      <c r="E61" s="382"/>
      <c r="F61" s="382"/>
      <c r="G61" s="382"/>
      <c r="H61" s="382"/>
      <c r="I61" s="382"/>
      <c r="J61" s="382"/>
      <c r="K61" s="382"/>
      <c r="L61" s="382"/>
      <c r="M61" s="382"/>
      <c r="N61" s="382"/>
      <c r="O61" s="351"/>
      <c r="P61" s="1581"/>
    </row>
    <row r="62" spans="1:21" s="487" customFormat="1" ht="15.75" customHeight="1">
      <c r="A62" s="355"/>
      <c r="B62" s="589" t="str">
        <f>B57</f>
        <v>area pilar</v>
      </c>
      <c r="C62" s="382">
        <f>1.05+(0.5*2)</f>
        <v>2.0499999999999998</v>
      </c>
      <c r="D62" s="382"/>
      <c r="E62" s="382">
        <v>0.3</v>
      </c>
      <c r="F62" s="382"/>
      <c r="G62" s="382">
        <v>2</v>
      </c>
      <c r="H62" s="382">
        <v>2</v>
      </c>
      <c r="I62" s="382"/>
      <c r="J62" s="382"/>
      <c r="K62" s="382"/>
      <c r="L62" s="382"/>
      <c r="M62" s="382">
        <f>M57</f>
        <v>2</v>
      </c>
      <c r="N62" s="382">
        <f>C62*E62*G62*H62*M62</f>
        <v>4.919999999999999</v>
      </c>
      <c r="O62" s="351"/>
      <c r="P62" s="1581"/>
    </row>
    <row r="63" spans="1:21" s="487" customFormat="1" ht="15.75" customHeight="1">
      <c r="A63" s="355"/>
      <c r="B63" s="589" t="str">
        <f>B58</f>
        <v>sisi samping</v>
      </c>
      <c r="C63" s="382">
        <f>C58</f>
        <v>1.8</v>
      </c>
      <c r="D63" s="382"/>
      <c r="E63" s="382">
        <f>E62</f>
        <v>0.3</v>
      </c>
      <c r="F63" s="382"/>
      <c r="G63" s="382">
        <f>G58</f>
        <v>2</v>
      </c>
      <c r="H63" s="382">
        <f>H62</f>
        <v>2</v>
      </c>
      <c r="I63" s="382"/>
      <c r="J63" s="382"/>
      <c r="K63" s="382"/>
      <c r="L63" s="382"/>
      <c r="M63" s="382">
        <f>M58</f>
        <v>2</v>
      </c>
      <c r="N63" s="382">
        <f>C63*E63*G63*H63*M63</f>
        <v>4.32</v>
      </c>
      <c r="O63" s="351"/>
      <c r="P63" s="1581"/>
    </row>
    <row r="64" spans="1:21" s="487" customFormat="1" ht="15.75" customHeight="1">
      <c r="A64" s="355"/>
      <c r="B64" s="351"/>
      <c r="C64" s="382"/>
      <c r="D64" s="382"/>
      <c r="E64" s="382"/>
      <c r="F64" s="382"/>
      <c r="G64" s="382"/>
      <c r="H64" s="382"/>
      <c r="I64" s="382"/>
      <c r="J64" s="382"/>
      <c r="K64" s="382"/>
      <c r="L64" s="382"/>
      <c r="M64" s="382"/>
      <c r="N64" s="431">
        <f>SUM(N62:N63)</f>
        <v>9.2399999999999984</v>
      </c>
      <c r="O64" s="351" t="s">
        <v>89</v>
      </c>
      <c r="P64" s="1582">
        <f>ROUND((N64),2)</f>
        <v>9.24</v>
      </c>
    </row>
    <row r="65" spans="1:16" s="487" customFormat="1" ht="15.75" customHeight="1">
      <c r="A65" s="355" t="s">
        <v>98</v>
      </c>
      <c r="B65" s="351" t="s">
        <v>1904</v>
      </c>
      <c r="C65" s="382"/>
      <c r="D65" s="382"/>
      <c r="E65" s="382"/>
      <c r="F65" s="382"/>
      <c r="G65" s="382"/>
      <c r="H65" s="382"/>
      <c r="I65" s="382"/>
      <c r="J65" s="382"/>
      <c r="K65" s="382"/>
      <c r="L65" s="382"/>
      <c r="M65" s="382"/>
      <c r="N65" s="382"/>
      <c r="O65" s="403"/>
      <c r="P65" s="1581"/>
    </row>
    <row r="66" spans="1:16" s="487" customFormat="1" ht="15.75" customHeight="1">
      <c r="A66" s="355"/>
      <c r="B66" s="589" t="str">
        <f>B62</f>
        <v>area pilar</v>
      </c>
      <c r="C66" s="382">
        <f>C62</f>
        <v>2.0499999999999998</v>
      </c>
      <c r="D66" s="382"/>
      <c r="E66" s="382"/>
      <c r="F66" s="382">
        <v>8</v>
      </c>
      <c r="G66" s="382">
        <f>G62</f>
        <v>2</v>
      </c>
      <c r="H66" s="382"/>
      <c r="I66" s="382"/>
      <c r="J66" s="382"/>
      <c r="K66" s="382"/>
      <c r="L66" s="382">
        <f>12*12*0.006165</f>
        <v>0.8877600000000001</v>
      </c>
      <c r="M66" s="382">
        <f>M62</f>
        <v>2</v>
      </c>
      <c r="N66" s="382">
        <f>C66*F66*G66*L66*M66</f>
        <v>58.237056000000003</v>
      </c>
      <c r="O66" s="351"/>
      <c r="P66" s="1581"/>
    </row>
    <row r="67" spans="1:16" s="487" customFormat="1" ht="15.75" customHeight="1">
      <c r="A67" s="355"/>
      <c r="B67" s="589" t="str">
        <f>B63</f>
        <v>sisi samping</v>
      </c>
      <c r="C67" s="382">
        <f>C63</f>
        <v>1.8</v>
      </c>
      <c r="D67" s="382"/>
      <c r="E67" s="382"/>
      <c r="F67" s="382">
        <f>F66</f>
        <v>8</v>
      </c>
      <c r="G67" s="382">
        <f>G63</f>
        <v>2</v>
      </c>
      <c r="H67" s="382"/>
      <c r="I67" s="382"/>
      <c r="J67" s="382"/>
      <c r="K67" s="382"/>
      <c r="L67" s="382">
        <f>L66</f>
        <v>0.8877600000000001</v>
      </c>
      <c r="M67" s="382">
        <f>M63</f>
        <v>2</v>
      </c>
      <c r="N67" s="382">
        <f>C67*F67*G67*L67*M67</f>
        <v>51.134976000000009</v>
      </c>
      <c r="O67" s="351"/>
      <c r="P67" s="1581"/>
    </row>
    <row r="68" spans="1:16" s="487" customFormat="1" ht="15.75" customHeight="1">
      <c r="A68" s="355"/>
      <c r="B68" s="351"/>
      <c r="C68" s="382"/>
      <c r="D68" s="382"/>
      <c r="E68" s="382"/>
      <c r="F68" s="382"/>
      <c r="G68" s="382"/>
      <c r="H68" s="382"/>
      <c r="I68" s="382"/>
      <c r="J68" s="382"/>
      <c r="K68" s="382"/>
      <c r="L68" s="382"/>
      <c r="M68" s="382"/>
      <c r="N68" s="431">
        <f>SUM(N66:N67)</f>
        <v>109.37203200000002</v>
      </c>
      <c r="O68" s="351" t="s">
        <v>100</v>
      </c>
      <c r="P68" s="1582">
        <f>ROUND((N68),2)</f>
        <v>109.37</v>
      </c>
    </row>
    <row r="69" spans="1:16" s="487" customFormat="1" ht="15.75" customHeight="1">
      <c r="A69" s="355" t="s">
        <v>101</v>
      </c>
      <c r="B69" s="351" t="s">
        <v>525</v>
      </c>
      <c r="C69" s="382"/>
      <c r="D69" s="382"/>
      <c r="E69" s="382"/>
      <c r="F69" s="382"/>
      <c r="G69" s="382"/>
      <c r="H69" s="382"/>
      <c r="I69" s="382"/>
      <c r="J69" s="382"/>
      <c r="K69" s="382"/>
      <c r="L69" s="382"/>
      <c r="M69" s="382"/>
      <c r="N69" s="403"/>
      <c r="O69" s="359"/>
      <c r="P69" s="1581"/>
    </row>
    <row r="70" spans="1:16" s="487" customFormat="1" ht="15.75" customHeight="1">
      <c r="A70" s="355"/>
      <c r="B70" s="589" t="str">
        <f>B66</f>
        <v>area pilar</v>
      </c>
      <c r="C70" s="382">
        <f>(0.1+0.2)*2</f>
        <v>0.60000000000000009</v>
      </c>
      <c r="D70" s="382"/>
      <c r="E70" s="382"/>
      <c r="F70" s="382">
        <f>ROUNDDOWN((C66/0.125),0.1)+1</f>
        <v>17</v>
      </c>
      <c r="G70" s="382">
        <f>G66</f>
        <v>2</v>
      </c>
      <c r="H70" s="382"/>
      <c r="I70" s="382">
        <f>0.05*2</f>
        <v>0.1</v>
      </c>
      <c r="J70" s="382"/>
      <c r="K70" s="382"/>
      <c r="L70" s="382">
        <f>6*6*0.006165</f>
        <v>0.22194000000000003</v>
      </c>
      <c r="M70" s="382">
        <f>M66</f>
        <v>2</v>
      </c>
      <c r="N70" s="1589">
        <f>(C70+I70)*F70*G70*L70*M70</f>
        <v>10.564344000000002</v>
      </c>
      <c r="O70" s="359"/>
      <c r="P70" s="1581"/>
    </row>
    <row r="71" spans="1:16" s="487" customFormat="1" ht="15.75" customHeight="1">
      <c r="A71" s="355"/>
      <c r="B71" s="589" t="str">
        <f>B67</f>
        <v>sisi samping</v>
      </c>
      <c r="C71" s="382">
        <f>C70</f>
        <v>0.60000000000000009</v>
      </c>
      <c r="D71" s="382"/>
      <c r="E71" s="382"/>
      <c r="F71" s="382">
        <f>ROUNDDOWN((C67/0.125),0.1)+1</f>
        <v>15</v>
      </c>
      <c r="G71" s="382">
        <f>G67</f>
        <v>2</v>
      </c>
      <c r="H71" s="382"/>
      <c r="I71" s="382">
        <f>I70</f>
        <v>0.1</v>
      </c>
      <c r="J71" s="382"/>
      <c r="K71" s="382"/>
      <c r="L71" s="382">
        <f>L70</f>
        <v>0.22194000000000003</v>
      </c>
      <c r="M71" s="382">
        <f>M67</f>
        <v>2</v>
      </c>
      <c r="N71" s="1590">
        <f>(C71+I71)*F71*G71*L71*M71</f>
        <v>9.3214800000000029</v>
      </c>
      <c r="O71" s="359"/>
      <c r="P71" s="1581"/>
    </row>
    <row r="72" spans="1:16" s="487" customFormat="1" ht="15.75" customHeight="1">
      <c r="A72" s="355"/>
      <c r="B72" s="351"/>
      <c r="C72" s="382"/>
      <c r="D72" s="382"/>
      <c r="E72" s="382"/>
      <c r="F72" s="382"/>
      <c r="G72" s="382"/>
      <c r="H72" s="382"/>
      <c r="I72" s="382"/>
      <c r="J72" s="382"/>
      <c r="K72" s="382"/>
      <c r="L72" s="382"/>
      <c r="M72" s="382"/>
      <c r="N72" s="1591">
        <f>SUM(N70:N71)</f>
        <v>19.885824000000007</v>
      </c>
      <c r="O72" s="351" t="s">
        <v>100</v>
      </c>
      <c r="P72" s="1582">
        <f>ROUND((N72),2)</f>
        <v>19.89</v>
      </c>
    </row>
    <row r="73" spans="1:16" s="487" customFormat="1" ht="15.75" customHeight="1">
      <c r="A73" s="355" t="s">
        <v>121</v>
      </c>
      <c r="B73" s="351" t="s">
        <v>1043</v>
      </c>
      <c r="C73" s="382"/>
      <c r="D73" s="382"/>
      <c r="E73" s="382"/>
      <c r="F73" s="382"/>
      <c r="G73" s="382"/>
      <c r="H73" s="382"/>
      <c r="I73" s="382"/>
      <c r="J73" s="382"/>
      <c r="K73" s="382"/>
      <c r="L73" s="382"/>
      <c r="M73" s="382"/>
      <c r="N73" s="403"/>
      <c r="O73" s="359"/>
      <c r="P73" s="1581"/>
    </row>
    <row r="74" spans="1:16" s="487" customFormat="1" ht="15.75" customHeight="1">
      <c r="A74" s="355"/>
      <c r="B74" s="589" t="str">
        <f>B70</f>
        <v>area pilar</v>
      </c>
      <c r="C74" s="382">
        <f>C66</f>
        <v>2.0499999999999998</v>
      </c>
      <c r="D74" s="382">
        <v>0.2</v>
      </c>
      <c r="E74" s="382">
        <v>0.3</v>
      </c>
      <c r="F74" s="382"/>
      <c r="G74" s="382">
        <f>G70</f>
        <v>2</v>
      </c>
      <c r="H74" s="382"/>
      <c r="I74" s="382"/>
      <c r="J74" s="382"/>
      <c r="K74" s="382"/>
      <c r="L74" s="382"/>
      <c r="M74" s="382">
        <f>M70</f>
        <v>2</v>
      </c>
      <c r="N74" s="1589">
        <f>C74*D74*E74*G74*M74</f>
        <v>0.49199999999999994</v>
      </c>
      <c r="O74" s="359"/>
      <c r="P74" s="1581"/>
    </row>
    <row r="75" spans="1:16" s="487" customFormat="1" ht="15.75" customHeight="1">
      <c r="A75" s="355"/>
      <c r="B75" s="589" t="str">
        <f>B71</f>
        <v>sisi samping</v>
      </c>
      <c r="C75" s="382">
        <f>C67</f>
        <v>1.8</v>
      </c>
      <c r="D75" s="382">
        <f>D74</f>
        <v>0.2</v>
      </c>
      <c r="E75" s="382">
        <f>E74</f>
        <v>0.3</v>
      </c>
      <c r="F75" s="382"/>
      <c r="G75" s="382">
        <f>G71</f>
        <v>2</v>
      </c>
      <c r="H75" s="382"/>
      <c r="I75" s="382"/>
      <c r="J75" s="382"/>
      <c r="K75" s="382"/>
      <c r="L75" s="382"/>
      <c r="M75" s="382">
        <f>M71</f>
        <v>2</v>
      </c>
      <c r="N75" s="1590">
        <f>C75*D75*E75*G75*M75</f>
        <v>0.43200000000000005</v>
      </c>
      <c r="O75" s="359"/>
      <c r="P75" s="1581"/>
    </row>
    <row r="76" spans="1:16" s="487" customFormat="1" ht="15.75" customHeight="1">
      <c r="A76" s="355"/>
      <c r="B76" s="351"/>
      <c r="C76" s="382"/>
      <c r="D76" s="382"/>
      <c r="E76" s="382"/>
      <c r="F76" s="382"/>
      <c r="G76" s="382"/>
      <c r="H76" s="382"/>
      <c r="I76" s="382"/>
      <c r="J76" s="382"/>
      <c r="K76" s="382"/>
      <c r="L76" s="382"/>
      <c r="M76" s="382"/>
      <c r="N76" s="1591">
        <f>SUM(N74:N75)</f>
        <v>0.92399999999999993</v>
      </c>
      <c r="O76" s="359" t="s">
        <v>103</v>
      </c>
      <c r="P76" s="1582">
        <f>ROUND((N76),2)</f>
        <v>0.92</v>
      </c>
    </row>
    <row r="77" spans="1:16" s="487" customFormat="1" ht="27.75" customHeight="1">
      <c r="A77" s="350">
        <f>A60+1</f>
        <v>4</v>
      </c>
      <c r="B77" s="593" t="s">
        <v>1682</v>
      </c>
      <c r="C77" s="382" t="s">
        <v>1683</v>
      </c>
      <c r="D77" s="382">
        <f>ROUNDUP((8/1.8),0.1)</f>
        <v>5</v>
      </c>
      <c r="E77" s="382" t="s">
        <v>1684</v>
      </c>
      <c r="F77" s="382" t="s">
        <v>1685</v>
      </c>
      <c r="G77" s="382"/>
      <c r="H77" s="382" t="s">
        <v>1686</v>
      </c>
      <c r="I77" s="382"/>
      <c r="J77" s="382"/>
      <c r="K77" s="382"/>
      <c r="L77" s="382"/>
      <c r="M77" s="382"/>
      <c r="N77" s="1476"/>
      <c r="O77" s="359"/>
      <c r="P77" s="1581"/>
    </row>
    <row r="78" spans="1:16" s="487" customFormat="1" ht="15.75" customHeight="1">
      <c r="A78" s="355"/>
      <c r="B78" s="351"/>
      <c r="C78" s="382"/>
      <c r="D78" s="382"/>
      <c r="E78" s="382"/>
      <c r="F78" s="382">
        <f>D77*1.8</f>
        <v>9</v>
      </c>
      <c r="G78" s="382"/>
      <c r="H78" s="382">
        <v>4</v>
      </c>
      <c r="I78" s="382"/>
      <c r="J78" s="382"/>
      <c r="K78" s="382"/>
      <c r="L78" s="382"/>
      <c r="M78" s="382"/>
      <c r="N78" s="1476">
        <f>F78*H78</f>
        <v>36</v>
      </c>
      <c r="O78" s="359" t="s">
        <v>89</v>
      </c>
      <c r="P78" s="1582">
        <f>ROUND((N78),2)</f>
        <v>36</v>
      </c>
    </row>
    <row r="79" spans="1:16" s="487" customFormat="1" ht="15.75" customHeight="1">
      <c r="A79" s="1583">
        <f>A77+1</f>
        <v>5</v>
      </c>
      <c r="B79" s="1592" t="s">
        <v>416</v>
      </c>
      <c r="C79" s="382"/>
      <c r="D79" s="382"/>
      <c r="E79" s="382"/>
      <c r="F79" s="382"/>
      <c r="G79" s="382"/>
      <c r="H79" s="382"/>
      <c r="I79" s="382"/>
      <c r="J79" s="382"/>
      <c r="K79" s="382"/>
      <c r="L79" s="382"/>
      <c r="M79" s="382"/>
      <c r="N79" s="1475"/>
      <c r="O79" s="359"/>
      <c r="P79" s="1581"/>
    </row>
    <row r="80" spans="1:16" s="487" customFormat="1" ht="15.75" customHeight="1">
      <c r="A80" s="355" t="s">
        <v>95</v>
      </c>
      <c r="B80" s="351" t="s">
        <v>417</v>
      </c>
      <c r="C80" s="382"/>
      <c r="D80" s="382">
        <v>0.25</v>
      </c>
      <c r="E80" s="382">
        <v>1.2</v>
      </c>
      <c r="F80" s="382">
        <v>4</v>
      </c>
      <c r="G80" s="382"/>
      <c r="H80" s="382">
        <v>4</v>
      </c>
      <c r="I80" s="382"/>
      <c r="J80" s="382"/>
      <c r="K80" s="382"/>
      <c r="L80" s="382"/>
      <c r="M80" s="382">
        <v>0</v>
      </c>
      <c r="N80" s="1475">
        <f>D80*E80*F80*H80*M80</f>
        <v>0</v>
      </c>
      <c r="O80" s="359" t="s">
        <v>89</v>
      </c>
      <c r="P80" s="1582">
        <f>ROUND((N80),2)</f>
        <v>0</v>
      </c>
    </row>
    <row r="81" spans="1:16" s="487" customFormat="1" ht="15.75" customHeight="1">
      <c r="A81" s="355" t="s">
        <v>98</v>
      </c>
      <c r="B81" s="351" t="s">
        <v>1042</v>
      </c>
      <c r="C81" s="382"/>
      <c r="D81" s="382"/>
      <c r="E81" s="382">
        <f>E80</f>
        <v>1.2</v>
      </c>
      <c r="F81" s="382">
        <v>4</v>
      </c>
      <c r="G81" s="382"/>
      <c r="H81" s="382">
        <f>H80</f>
        <v>4</v>
      </c>
      <c r="I81" s="382"/>
      <c r="J81" s="382">
        <v>0.3</v>
      </c>
      <c r="K81" s="382"/>
      <c r="L81" s="382">
        <f>13*13*0.006165</f>
        <v>1.041885</v>
      </c>
      <c r="M81" s="382">
        <f>M80</f>
        <v>0</v>
      </c>
      <c r="N81" s="1475">
        <f>(E81+J81)*F81*H81*L81*M81</f>
        <v>0</v>
      </c>
      <c r="O81" s="359" t="s">
        <v>100</v>
      </c>
      <c r="P81" s="1582">
        <f>ROUND((N81),2)</f>
        <v>0</v>
      </c>
    </row>
    <row r="82" spans="1:16" s="487" customFormat="1" ht="15.75" customHeight="1">
      <c r="A82" s="355" t="s">
        <v>101</v>
      </c>
      <c r="B82" s="351" t="s">
        <v>428</v>
      </c>
      <c r="C82" s="382">
        <f>0.12*4</f>
        <v>0.48</v>
      </c>
      <c r="D82" s="382"/>
      <c r="E82" s="382"/>
      <c r="F82" s="382">
        <f>ROUNDDOWN((E81/0.125),0.1)+1</f>
        <v>10</v>
      </c>
      <c r="G82" s="382"/>
      <c r="H82" s="382">
        <f>H81</f>
        <v>4</v>
      </c>
      <c r="I82" s="382">
        <f>0.05*2</f>
        <v>0.1</v>
      </c>
      <c r="J82" s="382"/>
      <c r="K82" s="382"/>
      <c r="L82" s="382">
        <f>8*8*0.006165</f>
        <v>0.39456000000000002</v>
      </c>
      <c r="M82" s="382">
        <f>M81</f>
        <v>0</v>
      </c>
      <c r="N82" s="1475">
        <f>(C82+I82)*F82*H82*L82*M82</f>
        <v>0</v>
      </c>
      <c r="O82" s="359" t="s">
        <v>100</v>
      </c>
      <c r="P82" s="1582">
        <f>ROUND((N82),2)</f>
        <v>0</v>
      </c>
    </row>
    <row r="83" spans="1:16" s="487" customFormat="1" ht="15.75" customHeight="1">
      <c r="A83" s="355" t="s">
        <v>121</v>
      </c>
      <c r="B83" s="351" t="s">
        <v>1043</v>
      </c>
      <c r="C83" s="382">
        <v>0.25</v>
      </c>
      <c r="D83" s="382">
        <v>0.25</v>
      </c>
      <c r="E83" s="382">
        <f>E81</f>
        <v>1.2</v>
      </c>
      <c r="F83" s="382"/>
      <c r="G83" s="382"/>
      <c r="H83" s="382">
        <f>H82</f>
        <v>4</v>
      </c>
      <c r="I83" s="382"/>
      <c r="J83" s="382"/>
      <c r="K83" s="382"/>
      <c r="L83" s="382"/>
      <c r="M83" s="382">
        <f>M82</f>
        <v>0</v>
      </c>
      <c r="N83" s="1475">
        <f>C83*D83*E83*H83*M83</f>
        <v>0</v>
      </c>
      <c r="O83" s="359" t="s">
        <v>103</v>
      </c>
      <c r="P83" s="1582">
        <f>ROUND((N83),2)</f>
        <v>0</v>
      </c>
    </row>
    <row r="84" spans="1:16" s="487" customFormat="1" ht="15.75" customHeight="1">
      <c r="A84" s="350">
        <f>A77+1</f>
        <v>5</v>
      </c>
      <c r="B84" s="359" t="s">
        <v>1905</v>
      </c>
      <c r="C84" s="382"/>
      <c r="D84" s="382"/>
      <c r="E84" s="382"/>
      <c r="F84" s="382"/>
      <c r="G84" s="382"/>
      <c r="H84" s="382"/>
      <c r="I84" s="382"/>
      <c r="J84" s="382"/>
      <c r="K84" s="382"/>
      <c r="L84" s="382"/>
      <c r="M84" s="382"/>
      <c r="N84" s="1475"/>
      <c r="O84" s="359"/>
      <c r="P84" s="1581"/>
    </row>
    <row r="85" spans="1:16" s="487" customFormat="1" ht="15.75" customHeight="1">
      <c r="A85" s="355" t="s">
        <v>95</v>
      </c>
      <c r="B85" s="351" t="s">
        <v>417</v>
      </c>
      <c r="C85" s="382"/>
      <c r="D85" s="382"/>
      <c r="E85" s="382"/>
      <c r="F85" s="382"/>
      <c r="G85" s="382"/>
      <c r="H85" s="382"/>
      <c r="I85" s="382"/>
      <c r="J85" s="382"/>
      <c r="K85" s="382"/>
      <c r="L85" s="382"/>
      <c r="M85" s="382"/>
      <c r="N85" s="1475">
        <f>SUM(N86:N87)</f>
        <v>21.759999999999998</v>
      </c>
      <c r="O85" s="359" t="s">
        <v>89</v>
      </c>
      <c r="P85" s="1582">
        <f>ROUND((N85),2)</f>
        <v>21.76</v>
      </c>
    </row>
    <row r="86" spans="1:16" s="487" customFormat="1" ht="15.75" customHeight="1">
      <c r="A86" s="355"/>
      <c r="B86" s="589" t="str">
        <f>B74</f>
        <v>area pilar</v>
      </c>
      <c r="C86" s="382"/>
      <c r="D86" s="382">
        <v>0.2</v>
      </c>
      <c r="E86" s="382">
        <f>5-1.1</f>
        <v>3.9</v>
      </c>
      <c r="F86" s="382">
        <v>2</v>
      </c>
      <c r="G86" s="382"/>
      <c r="H86" s="382">
        <v>4</v>
      </c>
      <c r="I86" s="382"/>
      <c r="J86" s="382"/>
      <c r="K86" s="382"/>
      <c r="L86" s="382"/>
      <c r="M86" s="382">
        <v>2</v>
      </c>
      <c r="N86" s="1475">
        <f>D86*E86*F86*H86*M86</f>
        <v>12.48</v>
      </c>
      <c r="O86" s="359"/>
      <c r="P86" s="1582"/>
    </row>
    <row r="87" spans="1:16" s="487" customFormat="1" ht="15.75" customHeight="1">
      <c r="A87" s="355"/>
      <c r="B87" s="589" t="str">
        <f>B75</f>
        <v>sisi samping</v>
      </c>
      <c r="C87" s="382"/>
      <c r="D87" s="382">
        <v>0.2</v>
      </c>
      <c r="E87" s="382">
        <f>E86-1</f>
        <v>2.9</v>
      </c>
      <c r="F87" s="382">
        <f>F86</f>
        <v>2</v>
      </c>
      <c r="G87" s="382"/>
      <c r="H87" s="382">
        <f>H86</f>
        <v>4</v>
      </c>
      <c r="I87" s="382"/>
      <c r="J87" s="382"/>
      <c r="K87" s="382"/>
      <c r="L87" s="382"/>
      <c r="M87" s="382">
        <f>M86</f>
        <v>2</v>
      </c>
      <c r="N87" s="1475">
        <f>D87*E87*F87*H87*M87</f>
        <v>9.2799999999999994</v>
      </c>
      <c r="O87" s="359"/>
      <c r="P87" s="1582"/>
    </row>
    <row r="88" spans="1:16" s="487" customFormat="1" ht="15.75" customHeight="1">
      <c r="A88" s="355" t="s">
        <v>98</v>
      </c>
      <c r="B88" s="351" t="s">
        <v>928</v>
      </c>
      <c r="C88" s="382"/>
      <c r="D88" s="382"/>
      <c r="E88" s="382"/>
      <c r="F88" s="382"/>
      <c r="G88" s="382"/>
      <c r="H88" s="382"/>
      <c r="I88" s="382"/>
      <c r="J88" s="382"/>
      <c r="K88" s="382"/>
      <c r="L88" s="382"/>
      <c r="M88" s="382"/>
      <c r="N88" s="1475">
        <f>SUM(N89:N90)</f>
        <v>123.359184</v>
      </c>
      <c r="O88" s="359" t="s">
        <v>100</v>
      </c>
      <c r="P88" s="1582">
        <f>ROUND((N88),2)</f>
        <v>123.36</v>
      </c>
    </row>
    <row r="89" spans="1:16" s="487" customFormat="1" ht="15.75" customHeight="1">
      <c r="A89" s="355"/>
      <c r="B89" s="589" t="str">
        <f>B86</f>
        <v>area pilar</v>
      </c>
      <c r="C89" s="382">
        <f>E86</f>
        <v>3.9</v>
      </c>
      <c r="D89" s="382"/>
      <c r="E89" s="382"/>
      <c r="F89" s="382">
        <f>H86</f>
        <v>4</v>
      </c>
      <c r="G89" s="382"/>
      <c r="H89" s="382">
        <f>F86</f>
        <v>2</v>
      </c>
      <c r="I89" s="382"/>
      <c r="J89" s="382">
        <v>0.3</v>
      </c>
      <c r="K89" s="382"/>
      <c r="L89" s="382">
        <f>13*13*0.006165</f>
        <v>1.041885</v>
      </c>
      <c r="M89" s="382">
        <f>M86</f>
        <v>2</v>
      </c>
      <c r="N89" s="1475">
        <f>(C89+J89)*F89*H89*L89*M89</f>
        <v>70.014672000000004</v>
      </c>
      <c r="O89" s="359"/>
      <c r="P89" s="1582"/>
    </row>
    <row r="90" spans="1:16" s="487" customFormat="1" ht="15.75" customHeight="1">
      <c r="A90" s="355"/>
      <c r="B90" s="589" t="str">
        <f>B87</f>
        <v>sisi samping</v>
      </c>
      <c r="C90" s="382">
        <f>E87</f>
        <v>2.9</v>
      </c>
      <c r="D90" s="382"/>
      <c r="E90" s="382"/>
      <c r="F90" s="382">
        <f>F89</f>
        <v>4</v>
      </c>
      <c r="G90" s="382"/>
      <c r="H90" s="382">
        <f>H89</f>
        <v>2</v>
      </c>
      <c r="I90" s="382"/>
      <c r="J90" s="382">
        <f>J89</f>
        <v>0.3</v>
      </c>
      <c r="K90" s="382"/>
      <c r="L90" s="382">
        <f>L89</f>
        <v>1.041885</v>
      </c>
      <c r="M90" s="382">
        <f>M89</f>
        <v>2</v>
      </c>
      <c r="N90" s="1475">
        <f>(C90+J90)*F90*H90*L90*M90</f>
        <v>53.344511999999995</v>
      </c>
      <c r="O90" s="359"/>
      <c r="P90" s="1582"/>
    </row>
    <row r="91" spans="1:16" s="487" customFormat="1" ht="15.75" customHeight="1">
      <c r="A91" s="355" t="s">
        <v>101</v>
      </c>
      <c r="B91" s="351" t="s">
        <v>428</v>
      </c>
      <c r="C91" s="382"/>
      <c r="D91" s="382"/>
      <c r="E91" s="382"/>
      <c r="F91" s="382"/>
      <c r="G91" s="382"/>
      <c r="H91" s="382"/>
      <c r="I91" s="382"/>
      <c r="J91" s="382"/>
      <c r="K91" s="382"/>
      <c r="L91" s="382"/>
      <c r="M91" s="382"/>
      <c r="N91" s="1475">
        <f>SUM(N92:N93)</f>
        <v>51.261235200000002</v>
      </c>
      <c r="O91" s="359" t="s">
        <v>100</v>
      </c>
      <c r="P91" s="1582">
        <f>ROUND((N91),2)</f>
        <v>51.26</v>
      </c>
    </row>
    <row r="92" spans="1:16" s="487" customFormat="1" ht="15.75" customHeight="1">
      <c r="A92" s="355"/>
      <c r="B92" s="589" t="str">
        <f>B89</f>
        <v>area pilar</v>
      </c>
      <c r="C92" s="382">
        <f>0.12*4</f>
        <v>0.48</v>
      </c>
      <c r="D92" s="382"/>
      <c r="E92" s="382"/>
      <c r="F92" s="382">
        <f>ROUNDDOWN((C89/0.125),0.1)+1</f>
        <v>32</v>
      </c>
      <c r="G92" s="382"/>
      <c r="H92" s="382">
        <f>H89</f>
        <v>2</v>
      </c>
      <c r="I92" s="382">
        <f>0.05*2</f>
        <v>0.1</v>
      </c>
      <c r="J92" s="382"/>
      <c r="K92" s="382"/>
      <c r="L92" s="382">
        <f>8*8*0.006165</f>
        <v>0.39456000000000002</v>
      </c>
      <c r="M92" s="382">
        <f>M89</f>
        <v>2</v>
      </c>
      <c r="N92" s="1475">
        <f>(C92+I92)*F92*H92*L92*M92</f>
        <v>29.292134399999998</v>
      </c>
      <c r="O92" s="359"/>
      <c r="P92" s="1582"/>
    </row>
    <row r="93" spans="1:16" s="487" customFormat="1" ht="15.75" customHeight="1">
      <c r="A93" s="355"/>
      <c r="B93" s="589" t="str">
        <f>B90</f>
        <v>sisi samping</v>
      </c>
      <c r="C93" s="382">
        <f>C92</f>
        <v>0.48</v>
      </c>
      <c r="D93" s="382"/>
      <c r="E93" s="382"/>
      <c r="F93" s="382">
        <f>ROUNDDOWN((C90/0.125),0.1)+1</f>
        <v>24</v>
      </c>
      <c r="G93" s="382"/>
      <c r="H93" s="382">
        <f>H92</f>
        <v>2</v>
      </c>
      <c r="I93" s="382">
        <f>I92</f>
        <v>0.1</v>
      </c>
      <c r="J93" s="382"/>
      <c r="K93" s="382"/>
      <c r="L93" s="382">
        <f>L92</f>
        <v>0.39456000000000002</v>
      </c>
      <c r="M93" s="382">
        <f>M90</f>
        <v>2</v>
      </c>
      <c r="N93" s="1475">
        <f>(C93+I93)*F93*H93*L93*M93</f>
        <v>21.9691008</v>
      </c>
      <c r="O93" s="359"/>
      <c r="P93" s="1582"/>
    </row>
    <row r="94" spans="1:16" s="487" customFormat="1" ht="15.75" customHeight="1">
      <c r="A94" s="355" t="s">
        <v>121</v>
      </c>
      <c r="B94" s="351" t="s">
        <v>1043</v>
      </c>
      <c r="C94" s="382"/>
      <c r="D94" s="382"/>
      <c r="E94" s="382"/>
      <c r="F94" s="382"/>
      <c r="G94" s="382"/>
      <c r="H94" s="382"/>
      <c r="I94" s="382"/>
      <c r="J94" s="382"/>
      <c r="K94" s="382"/>
      <c r="L94" s="382"/>
      <c r="M94" s="382"/>
      <c r="N94" s="1475">
        <f>SUM(N95:N96)</f>
        <v>0.54400000000000004</v>
      </c>
      <c r="O94" s="359" t="s">
        <v>103</v>
      </c>
      <c r="P94" s="1582">
        <f>ROUND((N94),2)</f>
        <v>0.54</v>
      </c>
    </row>
    <row r="95" spans="1:16" s="487" customFormat="1" ht="15.75" customHeight="1">
      <c r="A95" s="355"/>
      <c r="B95" s="589" t="str">
        <f>B92</f>
        <v>area pilar</v>
      </c>
      <c r="C95" s="382">
        <v>0.2</v>
      </c>
      <c r="D95" s="382">
        <v>0.2</v>
      </c>
      <c r="E95" s="382">
        <f>E86</f>
        <v>3.9</v>
      </c>
      <c r="F95" s="382"/>
      <c r="G95" s="382"/>
      <c r="H95" s="382"/>
      <c r="I95" s="382"/>
      <c r="J95" s="382"/>
      <c r="K95" s="382"/>
      <c r="L95" s="382"/>
      <c r="M95" s="382">
        <f>M86</f>
        <v>2</v>
      </c>
      <c r="N95" s="1475">
        <f>C95*D95*E95*M95</f>
        <v>0.31200000000000006</v>
      </c>
      <c r="O95" s="359"/>
      <c r="P95" s="1582"/>
    </row>
    <row r="96" spans="1:16" s="487" customFormat="1" ht="15.75" customHeight="1">
      <c r="A96" s="355"/>
      <c r="B96" s="589" t="str">
        <f>B93</f>
        <v>sisi samping</v>
      </c>
      <c r="C96" s="382">
        <f>C95</f>
        <v>0.2</v>
      </c>
      <c r="D96" s="382">
        <f>D95</f>
        <v>0.2</v>
      </c>
      <c r="E96" s="382">
        <f>E87</f>
        <v>2.9</v>
      </c>
      <c r="F96" s="382"/>
      <c r="G96" s="382"/>
      <c r="H96" s="382"/>
      <c r="I96" s="382"/>
      <c r="J96" s="382"/>
      <c r="K96" s="382"/>
      <c r="L96" s="382"/>
      <c r="M96" s="382">
        <f>M87</f>
        <v>2</v>
      </c>
      <c r="N96" s="1475">
        <f>C96*D96*E96*M96</f>
        <v>0.23200000000000004</v>
      </c>
      <c r="O96" s="359"/>
      <c r="P96" s="1582"/>
    </row>
    <row r="97" spans="1:16" s="487" customFormat="1" ht="15.75" customHeight="1">
      <c r="A97" s="350">
        <f>A84+1</f>
        <v>6</v>
      </c>
      <c r="B97" s="359" t="s">
        <v>1906</v>
      </c>
      <c r="C97" s="382"/>
      <c r="D97" s="382"/>
      <c r="E97" s="382"/>
      <c r="F97" s="382"/>
      <c r="G97" s="382"/>
      <c r="H97" s="382"/>
      <c r="I97" s="382"/>
      <c r="J97" s="382"/>
      <c r="K97" s="382"/>
      <c r="L97" s="382"/>
      <c r="M97" s="382"/>
      <c r="N97" s="1475"/>
      <c r="O97" s="359"/>
      <c r="P97" s="1581"/>
    </row>
    <row r="98" spans="1:16" s="487" customFormat="1" ht="15.75" customHeight="1">
      <c r="A98" s="355" t="s">
        <v>95</v>
      </c>
      <c r="B98" s="351" t="s">
        <v>417</v>
      </c>
      <c r="C98" s="382"/>
      <c r="D98" s="382">
        <f>D87</f>
        <v>0.2</v>
      </c>
      <c r="E98" s="382">
        <f>E87</f>
        <v>2.9</v>
      </c>
      <c r="F98" s="382">
        <f>F87</f>
        <v>2</v>
      </c>
      <c r="G98" s="382"/>
      <c r="H98" s="382">
        <f>H87</f>
        <v>4</v>
      </c>
      <c r="I98" s="382"/>
      <c r="J98" s="382"/>
      <c r="K98" s="382"/>
      <c r="L98" s="382"/>
      <c r="M98" s="382">
        <f>M87</f>
        <v>2</v>
      </c>
      <c r="N98" s="1475">
        <f>D98*E98*F98*H98*M98</f>
        <v>9.2799999999999994</v>
      </c>
      <c r="O98" s="359" t="s">
        <v>89</v>
      </c>
      <c r="P98" s="1582">
        <f>ROUND((N98),2)</f>
        <v>9.2799999999999994</v>
      </c>
    </row>
    <row r="99" spans="1:16" s="487" customFormat="1" ht="15.75" customHeight="1">
      <c r="A99" s="355" t="s">
        <v>98</v>
      </c>
      <c r="B99" s="351" t="s">
        <v>928</v>
      </c>
      <c r="C99" s="382">
        <f>C90</f>
        <v>2.9</v>
      </c>
      <c r="D99" s="382"/>
      <c r="E99" s="382"/>
      <c r="F99" s="382">
        <f>F90</f>
        <v>4</v>
      </c>
      <c r="G99" s="382"/>
      <c r="H99" s="382">
        <f>H90</f>
        <v>2</v>
      </c>
      <c r="I99" s="382"/>
      <c r="J99" s="382">
        <f>J90</f>
        <v>0.3</v>
      </c>
      <c r="K99" s="382"/>
      <c r="L99" s="382">
        <f>L90</f>
        <v>1.041885</v>
      </c>
      <c r="M99" s="382">
        <f>M90</f>
        <v>2</v>
      </c>
      <c r="N99" s="1475">
        <f>(C99+J99)*F99*H99*L99*M99</f>
        <v>53.344511999999995</v>
      </c>
      <c r="O99" s="359" t="s">
        <v>100</v>
      </c>
      <c r="P99" s="1582">
        <f>ROUND((N99),2)</f>
        <v>53.34</v>
      </c>
    </row>
    <row r="100" spans="1:16" s="487" customFormat="1" ht="15.75" customHeight="1">
      <c r="A100" s="355" t="s">
        <v>101</v>
      </c>
      <c r="B100" s="351" t="s">
        <v>621</v>
      </c>
      <c r="C100" s="382">
        <f>0.09*4</f>
        <v>0.36</v>
      </c>
      <c r="D100" s="382"/>
      <c r="E100" s="382"/>
      <c r="F100" s="382">
        <f>ROUNDDOWN((C99/0.15),0.1)+1</f>
        <v>20</v>
      </c>
      <c r="G100" s="382"/>
      <c r="H100" s="382">
        <f>H99</f>
        <v>2</v>
      </c>
      <c r="I100" s="382">
        <f>I93</f>
        <v>0.1</v>
      </c>
      <c r="J100" s="382"/>
      <c r="K100" s="382"/>
      <c r="L100" s="382">
        <f>L93</f>
        <v>0.39456000000000002</v>
      </c>
      <c r="M100" s="382">
        <f>M93</f>
        <v>2</v>
      </c>
      <c r="N100" s="1475">
        <f>(C100+I100)*F100*H100*L100*M100</f>
        <v>14.519807999999999</v>
      </c>
      <c r="O100" s="359" t="s">
        <v>100</v>
      </c>
      <c r="P100" s="1582">
        <f>ROUND((N100),2)</f>
        <v>14.52</v>
      </c>
    </row>
    <row r="101" spans="1:16" s="487" customFormat="1" ht="15.75" customHeight="1">
      <c r="A101" s="355" t="s">
        <v>121</v>
      </c>
      <c r="B101" s="351" t="s">
        <v>1043</v>
      </c>
      <c r="C101" s="382">
        <v>0.15</v>
      </c>
      <c r="D101" s="382">
        <v>0.15</v>
      </c>
      <c r="E101" s="382">
        <f>E98</f>
        <v>2.9</v>
      </c>
      <c r="F101" s="382"/>
      <c r="G101" s="382"/>
      <c r="H101" s="382">
        <f>H100</f>
        <v>2</v>
      </c>
      <c r="I101" s="382"/>
      <c r="J101" s="382"/>
      <c r="K101" s="382"/>
      <c r="L101" s="382"/>
      <c r="M101" s="382">
        <v>2</v>
      </c>
      <c r="N101" s="1475">
        <f>C101*D101*E101*M101</f>
        <v>0.1305</v>
      </c>
      <c r="O101" s="359" t="s">
        <v>103</v>
      </c>
      <c r="P101" s="1582">
        <f>ROUND((N101),2)</f>
        <v>0.13</v>
      </c>
    </row>
    <row r="102" spans="1:16" s="487" customFormat="1" ht="15.75" customHeight="1">
      <c r="A102" s="350">
        <f>A97+1</f>
        <v>7</v>
      </c>
      <c r="B102" s="351" t="s">
        <v>1907</v>
      </c>
      <c r="C102" s="382"/>
      <c r="D102" s="382"/>
      <c r="E102" s="382"/>
      <c r="F102" s="382"/>
      <c r="G102" s="382"/>
      <c r="H102" s="382"/>
      <c r="I102" s="382"/>
      <c r="J102" s="382"/>
      <c r="K102" s="382"/>
      <c r="L102" s="382"/>
      <c r="M102" s="382"/>
      <c r="N102" s="1475"/>
      <c r="O102" s="359"/>
      <c r="P102" s="1581"/>
    </row>
    <row r="103" spans="1:16" s="487" customFormat="1" ht="15.75" customHeight="1">
      <c r="A103" s="355" t="s">
        <v>95</v>
      </c>
      <c r="B103" s="351" t="s">
        <v>211</v>
      </c>
      <c r="C103" s="382"/>
      <c r="D103" s="382"/>
      <c r="E103" s="382"/>
      <c r="F103" s="382"/>
      <c r="G103" s="382"/>
      <c r="H103" s="382"/>
      <c r="I103" s="382"/>
      <c r="J103" s="382"/>
      <c r="K103" s="382"/>
      <c r="L103" s="382"/>
      <c r="M103" s="382"/>
      <c r="N103" s="1475"/>
      <c r="O103" s="359"/>
      <c r="P103" s="1581"/>
    </row>
    <row r="104" spans="1:16" s="487" customFormat="1" ht="15.75" customHeight="1">
      <c r="A104" s="355"/>
      <c r="B104" s="589" t="s">
        <v>1089</v>
      </c>
      <c r="C104" s="382">
        <v>2</v>
      </c>
      <c r="D104" s="382">
        <v>0.8</v>
      </c>
      <c r="E104" s="382"/>
      <c r="F104" s="382"/>
      <c r="G104" s="382"/>
      <c r="H104" s="382">
        <v>1</v>
      </c>
      <c r="I104" s="382"/>
      <c r="J104" s="382"/>
      <c r="K104" s="382"/>
      <c r="L104" s="382"/>
      <c r="M104" s="382">
        <v>2</v>
      </c>
      <c r="N104" s="1475">
        <f>C104*D104*H104*M104</f>
        <v>3.2</v>
      </c>
      <c r="O104" s="359"/>
      <c r="P104" s="1581"/>
    </row>
    <row r="105" spans="1:16" s="487" customFormat="1" ht="15.75" customHeight="1">
      <c r="A105" s="355"/>
      <c r="B105" s="589" t="s">
        <v>223</v>
      </c>
      <c r="C105" s="382">
        <f>C104</f>
        <v>2</v>
      </c>
      <c r="D105" s="382"/>
      <c r="E105" s="382">
        <v>0.1</v>
      </c>
      <c r="F105" s="382"/>
      <c r="G105" s="382"/>
      <c r="H105" s="382">
        <v>2</v>
      </c>
      <c r="I105" s="382"/>
      <c r="J105" s="382"/>
      <c r="K105" s="382"/>
      <c r="L105" s="382"/>
      <c r="M105" s="382">
        <f>M104</f>
        <v>2</v>
      </c>
      <c r="N105" s="1475">
        <f>C105*E105*H105*M105</f>
        <v>0.8</v>
      </c>
      <c r="O105" s="359"/>
      <c r="P105" s="1581"/>
    </row>
    <row r="106" spans="1:16" s="487" customFormat="1" ht="15.75" customHeight="1">
      <c r="A106" s="355"/>
      <c r="B106" s="589"/>
      <c r="C106" s="382">
        <f>D104</f>
        <v>0.8</v>
      </c>
      <c r="D106" s="382"/>
      <c r="E106" s="382">
        <f>E105</f>
        <v>0.1</v>
      </c>
      <c r="F106" s="382"/>
      <c r="G106" s="382"/>
      <c r="H106" s="382">
        <v>2</v>
      </c>
      <c r="I106" s="382"/>
      <c r="J106" s="382"/>
      <c r="K106" s="382"/>
      <c r="L106" s="382"/>
      <c r="M106" s="382">
        <f>M105</f>
        <v>2</v>
      </c>
      <c r="N106" s="912">
        <f>C106*E106*H106*M106</f>
        <v>0.32000000000000006</v>
      </c>
      <c r="O106" s="359"/>
      <c r="P106" s="1581"/>
    </row>
    <row r="107" spans="1:16" s="487" customFormat="1" ht="15.75" customHeight="1">
      <c r="A107" s="355"/>
      <c r="B107" s="351"/>
      <c r="C107" s="382"/>
      <c r="D107" s="382"/>
      <c r="E107" s="382"/>
      <c r="F107" s="382"/>
      <c r="G107" s="382"/>
      <c r="H107" s="382"/>
      <c r="I107" s="382"/>
      <c r="J107" s="382"/>
      <c r="K107" s="382"/>
      <c r="L107" s="382"/>
      <c r="M107" s="382"/>
      <c r="N107" s="1476">
        <f>SUM(N104:N106)</f>
        <v>4.32</v>
      </c>
      <c r="O107" s="359" t="s">
        <v>89</v>
      </c>
      <c r="P107" s="1582">
        <f>ROUND((N107),2)</f>
        <v>4.32</v>
      </c>
    </row>
    <row r="108" spans="1:16" s="487" customFormat="1" ht="15.75" customHeight="1">
      <c r="A108" s="355" t="s">
        <v>98</v>
      </c>
      <c r="B108" s="1593" t="s">
        <v>1908</v>
      </c>
      <c r="C108" s="382"/>
      <c r="D108" s="382"/>
      <c r="E108" s="382"/>
      <c r="F108" s="382"/>
      <c r="G108" s="382"/>
      <c r="H108" s="382"/>
      <c r="I108" s="382"/>
      <c r="J108" s="382"/>
      <c r="K108" s="382"/>
      <c r="L108" s="382"/>
      <c r="M108" s="382"/>
      <c r="N108" s="1472"/>
      <c r="O108" s="359"/>
      <c r="P108" s="1581"/>
    </row>
    <row r="109" spans="1:16" s="487" customFormat="1" ht="15.75" customHeight="1">
      <c r="A109" s="355"/>
      <c r="B109" s="1594" t="s">
        <v>1044</v>
      </c>
      <c r="C109" s="382">
        <f>C105</f>
        <v>2</v>
      </c>
      <c r="D109" s="382"/>
      <c r="E109" s="382"/>
      <c r="F109" s="382">
        <f>ROUNDUP((C110/0.15),0.5)</f>
        <v>6</v>
      </c>
      <c r="G109" s="382">
        <v>0.5</v>
      </c>
      <c r="H109" s="382"/>
      <c r="I109" s="382"/>
      <c r="J109" s="382">
        <v>0.2</v>
      </c>
      <c r="K109" s="382"/>
      <c r="L109" s="382">
        <f>10*10*0.006165</f>
        <v>0.61650000000000005</v>
      </c>
      <c r="M109" s="382">
        <f>M104</f>
        <v>2</v>
      </c>
      <c r="N109" s="382">
        <f>(C109+G109+J109)*L109*F109*M109</f>
        <v>19.974600000000002</v>
      </c>
      <c r="O109" s="1472"/>
      <c r="P109" s="1581"/>
    </row>
    <row r="110" spans="1:16" s="487" customFormat="1" ht="15.75" customHeight="1">
      <c r="A110" s="355"/>
      <c r="B110" s="1594" t="s">
        <v>136</v>
      </c>
      <c r="C110" s="382">
        <f>C106</f>
        <v>0.8</v>
      </c>
      <c r="D110" s="382"/>
      <c r="E110" s="382"/>
      <c r="F110" s="382">
        <f>ROUNDUP((C109/0.15),0.5)</f>
        <v>14</v>
      </c>
      <c r="G110" s="382">
        <v>0.5</v>
      </c>
      <c r="H110" s="382"/>
      <c r="I110" s="382"/>
      <c r="J110" s="382">
        <v>0.2</v>
      </c>
      <c r="K110" s="382"/>
      <c r="L110" s="382">
        <f>L109</f>
        <v>0.61650000000000005</v>
      </c>
      <c r="M110" s="382">
        <f>M105</f>
        <v>2</v>
      </c>
      <c r="N110" s="912">
        <f>(C110+G110+J110)*L110*F110*M110</f>
        <v>25.893000000000001</v>
      </c>
      <c r="O110" s="1472"/>
      <c r="P110" s="1581"/>
    </row>
    <row r="111" spans="1:16" s="487" customFormat="1" ht="15.75" customHeight="1">
      <c r="A111" s="355"/>
      <c r="B111" s="1593"/>
      <c r="C111" s="382"/>
      <c r="D111" s="382"/>
      <c r="E111" s="382"/>
      <c r="F111" s="382"/>
      <c r="G111" s="382"/>
      <c r="H111" s="382"/>
      <c r="I111" s="382"/>
      <c r="J111" s="382"/>
      <c r="K111" s="382"/>
      <c r="L111" s="382"/>
      <c r="M111" s="382"/>
      <c r="N111" s="1476">
        <f>SUM(N109:N110)</f>
        <v>45.867600000000003</v>
      </c>
      <c r="O111" s="1472" t="s">
        <v>100</v>
      </c>
      <c r="P111" s="1582">
        <f>ROUND((N111),2)</f>
        <v>45.87</v>
      </c>
    </row>
    <row r="112" spans="1:16" s="487" customFormat="1" ht="15.75" customHeight="1">
      <c r="A112" s="355" t="s">
        <v>101</v>
      </c>
      <c r="B112" s="351" t="s">
        <v>1043</v>
      </c>
      <c r="C112" s="382">
        <f>C104</f>
        <v>2</v>
      </c>
      <c r="D112" s="382">
        <f>D104</f>
        <v>0.8</v>
      </c>
      <c r="E112" s="382">
        <v>0.1</v>
      </c>
      <c r="F112" s="382"/>
      <c r="G112" s="382"/>
      <c r="H112" s="382"/>
      <c r="I112" s="382"/>
      <c r="J112" s="382"/>
      <c r="K112" s="382"/>
      <c r="L112" s="382"/>
      <c r="M112" s="382">
        <f>M109</f>
        <v>2</v>
      </c>
      <c r="N112" s="1475">
        <f>C112*D112*E112*M112</f>
        <v>0.32000000000000006</v>
      </c>
      <c r="O112" s="359" t="s">
        <v>103</v>
      </c>
      <c r="P112" s="1582">
        <f>ROUND((N112),2)</f>
        <v>0.32</v>
      </c>
    </row>
    <row r="113" spans="1:16" s="487" customFormat="1" ht="15.75" customHeight="1">
      <c r="A113" s="350">
        <f>A102+1</f>
        <v>8</v>
      </c>
      <c r="B113" s="351" t="s">
        <v>1909</v>
      </c>
      <c r="C113" s="382"/>
      <c r="D113" s="382"/>
      <c r="E113" s="382"/>
      <c r="F113" s="382"/>
      <c r="G113" s="382"/>
      <c r="H113" s="382"/>
      <c r="I113" s="382"/>
      <c r="J113" s="382"/>
      <c r="K113" s="382"/>
      <c r="L113" s="382"/>
      <c r="M113" s="382"/>
      <c r="N113" s="1475"/>
      <c r="O113" s="359"/>
      <c r="P113" s="1581"/>
    </row>
    <row r="114" spans="1:16" s="487" customFormat="1" ht="15.75" customHeight="1">
      <c r="A114" s="355" t="s">
        <v>95</v>
      </c>
      <c r="B114" s="351" t="s">
        <v>211</v>
      </c>
      <c r="C114" s="382"/>
      <c r="D114" s="382"/>
      <c r="E114" s="382"/>
      <c r="F114" s="382"/>
      <c r="G114" s="382"/>
      <c r="H114" s="382"/>
      <c r="I114" s="382"/>
      <c r="J114" s="382"/>
      <c r="K114" s="382"/>
      <c r="L114" s="382"/>
      <c r="M114" s="382"/>
      <c r="N114" s="1475"/>
      <c r="O114" s="359"/>
      <c r="P114" s="1581"/>
    </row>
    <row r="115" spans="1:16" s="487" customFormat="1" ht="15.75" customHeight="1">
      <c r="A115" s="355"/>
      <c r="B115" s="589" t="s">
        <v>1089</v>
      </c>
      <c r="C115" s="382">
        <v>1.7</v>
      </c>
      <c r="D115" s="382">
        <f>D104-0.2</f>
        <v>0.60000000000000009</v>
      </c>
      <c r="E115" s="382"/>
      <c r="F115" s="382"/>
      <c r="G115" s="382"/>
      <c r="H115" s="382">
        <v>1</v>
      </c>
      <c r="I115" s="382"/>
      <c r="J115" s="382"/>
      <c r="K115" s="382"/>
      <c r="L115" s="382"/>
      <c r="M115" s="382">
        <v>2</v>
      </c>
      <c r="N115" s="1475">
        <f>C115*D115*H115*M115</f>
        <v>2.04</v>
      </c>
      <c r="O115" s="359"/>
      <c r="P115" s="1581"/>
    </row>
    <row r="116" spans="1:16" s="487" customFormat="1" ht="15.75" customHeight="1">
      <c r="A116" s="355"/>
      <c r="B116" s="589" t="s">
        <v>223</v>
      </c>
      <c r="C116" s="382">
        <f>C115</f>
        <v>1.7</v>
      </c>
      <c r="D116" s="382"/>
      <c r="E116" s="382">
        <v>0.1</v>
      </c>
      <c r="F116" s="382"/>
      <c r="G116" s="382"/>
      <c r="H116" s="382">
        <v>2</v>
      </c>
      <c r="I116" s="382"/>
      <c r="J116" s="382"/>
      <c r="K116" s="382"/>
      <c r="L116" s="382"/>
      <c r="M116" s="382">
        <f>M115</f>
        <v>2</v>
      </c>
      <c r="N116" s="1475">
        <f>C116*E116*H116*M116</f>
        <v>0.68</v>
      </c>
      <c r="O116" s="359"/>
      <c r="P116" s="1581"/>
    </row>
    <row r="117" spans="1:16" s="487" customFormat="1" ht="15.75" customHeight="1">
      <c r="A117" s="355"/>
      <c r="B117" s="589"/>
      <c r="C117" s="382">
        <f>D115</f>
        <v>0.60000000000000009</v>
      </c>
      <c r="D117" s="382"/>
      <c r="E117" s="382">
        <f>E116</f>
        <v>0.1</v>
      </c>
      <c r="F117" s="382"/>
      <c r="G117" s="382"/>
      <c r="H117" s="382">
        <v>2</v>
      </c>
      <c r="I117" s="382"/>
      <c r="J117" s="382"/>
      <c r="K117" s="382"/>
      <c r="L117" s="382"/>
      <c r="M117" s="382">
        <f>M116</f>
        <v>2</v>
      </c>
      <c r="N117" s="912">
        <f>C117*E117*H117*M117</f>
        <v>0.24000000000000005</v>
      </c>
      <c r="O117" s="359"/>
      <c r="P117" s="1581"/>
    </row>
    <row r="118" spans="1:16" s="487" customFormat="1" ht="15.75" customHeight="1">
      <c r="A118" s="355"/>
      <c r="B118" s="351"/>
      <c r="C118" s="382"/>
      <c r="D118" s="382"/>
      <c r="E118" s="382"/>
      <c r="F118" s="382"/>
      <c r="G118" s="382"/>
      <c r="H118" s="382"/>
      <c r="I118" s="382"/>
      <c r="J118" s="382"/>
      <c r="K118" s="382"/>
      <c r="L118" s="382"/>
      <c r="M118" s="382"/>
      <c r="N118" s="1476">
        <f>SUM(N115:N117)</f>
        <v>2.9600000000000004</v>
      </c>
      <c r="O118" s="359" t="s">
        <v>89</v>
      </c>
      <c r="P118" s="1582">
        <f>ROUND((N118),2)</f>
        <v>2.96</v>
      </c>
    </row>
    <row r="119" spans="1:16" s="487" customFormat="1" ht="15.75" customHeight="1">
      <c r="A119" s="355" t="s">
        <v>98</v>
      </c>
      <c r="B119" s="1593" t="s">
        <v>1908</v>
      </c>
      <c r="C119" s="382"/>
      <c r="D119" s="382"/>
      <c r="E119" s="382"/>
      <c r="F119" s="382"/>
      <c r="G119" s="382"/>
      <c r="H119" s="382"/>
      <c r="I119" s="382"/>
      <c r="J119" s="382"/>
      <c r="K119" s="382"/>
      <c r="L119" s="382"/>
      <c r="M119" s="382"/>
      <c r="N119" s="1472"/>
      <c r="O119" s="359"/>
      <c r="P119" s="1581"/>
    </row>
    <row r="120" spans="1:16" s="487" customFormat="1" ht="15.75" customHeight="1">
      <c r="A120" s="355"/>
      <c r="B120" s="1594" t="s">
        <v>1044</v>
      </c>
      <c r="C120" s="382">
        <f>C116</f>
        <v>1.7</v>
      </c>
      <c r="D120" s="382"/>
      <c r="E120" s="382"/>
      <c r="F120" s="382">
        <f>ROUNDUP((C121/0.15),0.5)</f>
        <v>4</v>
      </c>
      <c r="G120" s="382">
        <v>0.5</v>
      </c>
      <c r="H120" s="382"/>
      <c r="I120" s="382"/>
      <c r="J120" s="382">
        <v>0.2</v>
      </c>
      <c r="K120" s="382"/>
      <c r="L120" s="382">
        <f>10*10*0.006165</f>
        <v>0.61650000000000005</v>
      </c>
      <c r="M120" s="382">
        <f>M115</f>
        <v>2</v>
      </c>
      <c r="N120" s="382">
        <f>(C120+G120+J120)*L120*F120*M120</f>
        <v>11.836800000000002</v>
      </c>
      <c r="O120" s="1472"/>
      <c r="P120" s="1581"/>
    </row>
    <row r="121" spans="1:16" s="487" customFormat="1" ht="15.75" customHeight="1">
      <c r="A121" s="355"/>
      <c r="B121" s="1594" t="s">
        <v>136</v>
      </c>
      <c r="C121" s="382">
        <f>C117</f>
        <v>0.60000000000000009</v>
      </c>
      <c r="D121" s="382"/>
      <c r="E121" s="382"/>
      <c r="F121" s="382">
        <f>ROUNDUP((C120/0.15),0.5)</f>
        <v>12</v>
      </c>
      <c r="G121" s="382">
        <v>0.5</v>
      </c>
      <c r="H121" s="382"/>
      <c r="I121" s="382"/>
      <c r="J121" s="382">
        <v>0.2</v>
      </c>
      <c r="K121" s="382"/>
      <c r="L121" s="382">
        <f>L120</f>
        <v>0.61650000000000005</v>
      </c>
      <c r="M121" s="382">
        <f>M116</f>
        <v>2</v>
      </c>
      <c r="N121" s="912">
        <f>(C121+G121+J121)*L121*F121*M121</f>
        <v>19.234800000000003</v>
      </c>
      <c r="O121" s="1472"/>
      <c r="P121" s="1581"/>
    </row>
    <row r="122" spans="1:16" s="487" customFormat="1" ht="15.75" customHeight="1">
      <c r="A122" s="355"/>
      <c r="B122" s="1593"/>
      <c r="C122" s="382"/>
      <c r="D122" s="382"/>
      <c r="E122" s="382"/>
      <c r="F122" s="382"/>
      <c r="G122" s="382"/>
      <c r="H122" s="382"/>
      <c r="I122" s="382"/>
      <c r="J122" s="382"/>
      <c r="K122" s="382"/>
      <c r="L122" s="382"/>
      <c r="M122" s="382"/>
      <c r="N122" s="1476">
        <f>SUM(N120:N121)</f>
        <v>31.071600000000004</v>
      </c>
      <c r="O122" s="1472" t="s">
        <v>100</v>
      </c>
      <c r="P122" s="1582">
        <f>ROUND((N122),2)</f>
        <v>31.07</v>
      </c>
    </row>
    <row r="123" spans="1:16" s="487" customFormat="1" ht="15.75" customHeight="1">
      <c r="A123" s="355" t="s">
        <v>101</v>
      </c>
      <c r="B123" s="351" t="s">
        <v>1043</v>
      </c>
      <c r="C123" s="382">
        <f>C115</f>
        <v>1.7</v>
      </c>
      <c r="D123" s="382">
        <f>D115</f>
        <v>0.60000000000000009</v>
      </c>
      <c r="E123" s="382">
        <v>0.1</v>
      </c>
      <c r="F123" s="382"/>
      <c r="G123" s="382"/>
      <c r="H123" s="382"/>
      <c r="I123" s="382"/>
      <c r="J123" s="382"/>
      <c r="K123" s="382"/>
      <c r="L123" s="382"/>
      <c r="M123" s="382">
        <f>M120</f>
        <v>2</v>
      </c>
      <c r="N123" s="1475">
        <f>C123*D123*E123*M123</f>
        <v>0.20400000000000001</v>
      </c>
      <c r="O123" s="359" t="s">
        <v>103</v>
      </c>
      <c r="P123" s="1582">
        <f>ROUND((N123),2)</f>
        <v>0.2</v>
      </c>
    </row>
    <row r="124" spans="1:16" s="487" customFormat="1" ht="15.75" customHeight="1">
      <c r="A124" s="350">
        <f>A113+1</f>
        <v>9</v>
      </c>
      <c r="B124" s="351" t="s">
        <v>1910</v>
      </c>
      <c r="C124" s="382"/>
      <c r="D124" s="382"/>
      <c r="E124" s="382"/>
      <c r="F124" s="382"/>
      <c r="G124" s="382"/>
      <c r="H124" s="382"/>
      <c r="I124" s="382"/>
      <c r="J124" s="382"/>
      <c r="K124" s="382"/>
      <c r="L124" s="382"/>
      <c r="M124" s="382"/>
      <c r="N124" s="1472"/>
      <c r="O124" s="359"/>
      <c r="P124" s="1581"/>
    </row>
    <row r="125" spans="1:16" s="487" customFormat="1" ht="15.75" customHeight="1">
      <c r="A125" s="355" t="s">
        <v>95</v>
      </c>
      <c r="B125" s="351" t="s">
        <v>211</v>
      </c>
      <c r="C125" s="382"/>
      <c r="D125" s="382"/>
      <c r="E125" s="382"/>
      <c r="F125" s="382"/>
      <c r="G125" s="382"/>
      <c r="H125" s="382"/>
      <c r="I125" s="382"/>
      <c r="J125" s="382"/>
      <c r="K125" s="382"/>
      <c r="L125" s="382"/>
      <c r="M125" s="382"/>
      <c r="N125" s="1475"/>
      <c r="O125" s="359"/>
      <c r="P125" s="1581"/>
    </row>
    <row r="126" spans="1:16" s="487" customFormat="1" ht="15.75" customHeight="1">
      <c r="A126" s="355"/>
      <c r="B126" s="589" t="str">
        <f>B115</f>
        <v>lantai</v>
      </c>
      <c r="C126" s="382">
        <v>1.8</v>
      </c>
      <c r="D126" s="382">
        <v>0.5</v>
      </c>
      <c r="E126" s="382"/>
      <c r="F126" s="382"/>
      <c r="G126" s="382"/>
      <c r="H126" s="382">
        <v>1</v>
      </c>
      <c r="I126" s="382"/>
      <c r="J126" s="382"/>
      <c r="K126" s="382"/>
      <c r="L126" s="382"/>
      <c r="M126" s="382">
        <f>M120</f>
        <v>2</v>
      </c>
      <c r="N126" s="1475">
        <f>C126*D126*H126*M126</f>
        <v>1.8</v>
      </c>
      <c r="O126" s="359"/>
      <c r="P126" s="1581"/>
    </row>
    <row r="127" spans="1:16" s="487" customFormat="1" ht="15.75" customHeight="1">
      <c r="A127" s="355"/>
      <c r="B127" s="589" t="str">
        <f>B116</f>
        <v>sisi samping</v>
      </c>
      <c r="C127" s="382">
        <f>C126</f>
        <v>1.8</v>
      </c>
      <c r="D127" s="382"/>
      <c r="E127" s="382">
        <v>0.1</v>
      </c>
      <c r="F127" s="382"/>
      <c r="G127" s="382"/>
      <c r="H127" s="382">
        <v>2</v>
      </c>
      <c r="I127" s="382"/>
      <c r="J127" s="382"/>
      <c r="K127" s="382"/>
      <c r="L127" s="382"/>
      <c r="M127" s="382">
        <f>M126</f>
        <v>2</v>
      </c>
      <c r="N127" s="1475">
        <f>C127*E127*H127*M127</f>
        <v>0.72000000000000008</v>
      </c>
      <c r="O127" s="359"/>
      <c r="P127" s="1581"/>
    </row>
    <row r="128" spans="1:16" s="487" customFormat="1" ht="15.75" customHeight="1">
      <c r="A128" s="355"/>
      <c r="B128" s="589"/>
      <c r="C128" s="382">
        <f>D126</f>
        <v>0.5</v>
      </c>
      <c r="D128" s="382"/>
      <c r="E128" s="382">
        <f>E127</f>
        <v>0.1</v>
      </c>
      <c r="F128" s="382"/>
      <c r="G128" s="382"/>
      <c r="H128" s="382">
        <v>2</v>
      </c>
      <c r="I128" s="382"/>
      <c r="J128" s="382"/>
      <c r="K128" s="382"/>
      <c r="L128" s="382"/>
      <c r="M128" s="382">
        <f>M127</f>
        <v>2</v>
      </c>
      <c r="N128" s="912">
        <f>C128*E128*H128*M128</f>
        <v>0.2</v>
      </c>
      <c r="O128" s="359"/>
      <c r="P128" s="1581"/>
    </row>
    <row r="129" spans="1:16" s="487" customFormat="1" ht="15.75" customHeight="1">
      <c r="A129" s="355"/>
      <c r="B129" s="351"/>
      <c r="C129" s="382"/>
      <c r="D129" s="382"/>
      <c r="E129" s="382"/>
      <c r="F129" s="382"/>
      <c r="G129" s="382"/>
      <c r="H129" s="382"/>
      <c r="I129" s="382"/>
      <c r="J129" s="382"/>
      <c r="K129" s="382"/>
      <c r="L129" s="382"/>
      <c r="M129" s="382"/>
      <c r="N129" s="1476">
        <f>SUM(N126:N128)</f>
        <v>2.72</v>
      </c>
      <c r="O129" s="359" t="s">
        <v>89</v>
      </c>
      <c r="P129" s="1582">
        <f>ROUND((N129),2)</f>
        <v>2.72</v>
      </c>
    </row>
    <row r="130" spans="1:16" s="487" customFormat="1" ht="15.75" customHeight="1">
      <c r="A130" s="355" t="s">
        <v>98</v>
      </c>
      <c r="B130" s="351" t="s">
        <v>1688</v>
      </c>
      <c r="C130" s="382">
        <f>C126</f>
        <v>1.8</v>
      </c>
      <c r="D130" s="382">
        <f>D126</f>
        <v>0.5</v>
      </c>
      <c r="E130" s="382"/>
      <c r="F130" s="382"/>
      <c r="G130" s="382"/>
      <c r="H130" s="382"/>
      <c r="I130" s="382"/>
      <c r="J130" s="382"/>
      <c r="K130" s="382"/>
      <c r="L130" s="382"/>
      <c r="M130" s="382">
        <f>M128</f>
        <v>2</v>
      </c>
      <c r="N130" s="1472">
        <f>C130*D130*M130</f>
        <v>1.8</v>
      </c>
      <c r="O130" s="359" t="s">
        <v>89</v>
      </c>
      <c r="P130" s="1582">
        <f>ROUND((N130),2)</f>
        <v>1.8</v>
      </c>
    </row>
    <row r="131" spans="1:16" s="487" customFormat="1" ht="15.75" customHeight="1">
      <c r="A131" s="355" t="s">
        <v>101</v>
      </c>
      <c r="B131" s="351" t="s">
        <v>1043</v>
      </c>
      <c r="C131" s="382">
        <f>C130</f>
        <v>1.8</v>
      </c>
      <c r="D131" s="382">
        <f>D130</f>
        <v>0.5</v>
      </c>
      <c r="E131" s="382">
        <v>0.1</v>
      </c>
      <c r="F131" s="382"/>
      <c r="G131" s="382"/>
      <c r="H131" s="382"/>
      <c r="I131" s="382"/>
      <c r="J131" s="382"/>
      <c r="K131" s="382"/>
      <c r="L131" s="382"/>
      <c r="M131" s="382">
        <f>M130</f>
        <v>2</v>
      </c>
      <c r="N131" s="1475">
        <f>C131*D131*E131*M131</f>
        <v>0.18000000000000002</v>
      </c>
      <c r="O131" s="359" t="s">
        <v>103</v>
      </c>
      <c r="P131" s="1582">
        <f>ROUND((N131),2)</f>
        <v>0.18</v>
      </c>
    </row>
    <row r="132" spans="1:16" s="487" customFormat="1" ht="15.75" customHeight="1">
      <c r="A132" s="350"/>
      <c r="B132" s="363"/>
      <c r="C132" s="382"/>
      <c r="D132" s="382"/>
      <c r="E132" s="382"/>
      <c r="F132" s="382"/>
      <c r="G132" s="382"/>
      <c r="H132" s="382"/>
      <c r="I132" s="382"/>
      <c r="J132" s="382"/>
      <c r="K132" s="382"/>
      <c r="L132" s="382"/>
      <c r="M132" s="382"/>
      <c r="N132" s="1475"/>
      <c r="O132" s="359"/>
      <c r="P132" s="1581"/>
    </row>
    <row r="133" spans="1:16" s="487" customFormat="1" ht="15.75" customHeight="1">
      <c r="A133" s="341"/>
      <c r="B133" s="342" t="s">
        <v>434</v>
      </c>
      <c r="C133" s="382"/>
      <c r="D133" s="382"/>
      <c r="E133" s="382"/>
      <c r="F133" s="382"/>
      <c r="G133" s="382"/>
      <c r="H133" s="382"/>
      <c r="I133" s="382"/>
      <c r="J133" s="382"/>
      <c r="K133" s="382"/>
      <c r="L133" s="382"/>
      <c r="M133" s="382"/>
      <c r="N133" s="1475"/>
      <c r="O133" s="359"/>
      <c r="P133" s="1581"/>
    </row>
    <row r="134" spans="1:16" s="487" customFormat="1" ht="15.75" customHeight="1">
      <c r="A134" s="350">
        <v>1</v>
      </c>
      <c r="B134" s="351" t="s">
        <v>536</v>
      </c>
      <c r="C134" s="382"/>
      <c r="D134" s="382"/>
      <c r="E134" s="382"/>
      <c r="F134" s="382"/>
      <c r="G134" s="382"/>
      <c r="H134" s="382"/>
      <c r="I134" s="382"/>
      <c r="J134" s="382"/>
      <c r="K134" s="382"/>
      <c r="L134" s="382"/>
      <c r="M134" s="382"/>
      <c r="N134" s="1475"/>
      <c r="O134" s="359"/>
      <c r="P134" s="1581"/>
    </row>
    <row r="135" spans="1:16" s="487" customFormat="1" ht="15.75" customHeight="1">
      <c r="A135" s="350"/>
      <c r="B135" s="395" t="s">
        <v>1676</v>
      </c>
      <c r="C135" s="382"/>
      <c r="D135" s="382"/>
      <c r="E135" s="382"/>
      <c r="F135" s="382"/>
      <c r="G135" s="382"/>
      <c r="H135" s="382"/>
      <c r="I135" s="382"/>
      <c r="J135" s="382"/>
      <c r="K135" s="382"/>
      <c r="L135" s="382"/>
      <c r="M135" s="382"/>
      <c r="N135" s="1475"/>
      <c r="O135" s="359"/>
      <c r="P135" s="1581"/>
    </row>
    <row r="136" spans="1:16" s="487" customFormat="1" ht="15.75" customHeight="1">
      <c r="A136" s="350"/>
      <c r="B136" s="589" t="s">
        <v>1020</v>
      </c>
      <c r="C136" s="382">
        <v>2.4</v>
      </c>
      <c r="D136" s="382"/>
      <c r="E136" s="382">
        <v>0.6</v>
      </c>
      <c r="F136" s="382"/>
      <c r="G136" s="382"/>
      <c r="H136" s="382">
        <v>2</v>
      </c>
      <c r="I136" s="382"/>
      <c r="J136" s="382"/>
      <c r="K136" s="382"/>
      <c r="L136" s="382"/>
      <c r="M136" s="382">
        <v>2</v>
      </c>
      <c r="N136" s="1475">
        <f t="shared" ref="N136:N147" si="1">C136*E136*H136*M136</f>
        <v>5.76</v>
      </c>
      <c r="O136" s="359"/>
      <c r="P136" s="1581"/>
    </row>
    <row r="137" spans="1:16" s="487" customFormat="1" ht="15.75" customHeight="1">
      <c r="A137" s="350"/>
      <c r="B137" s="589"/>
      <c r="C137" s="382">
        <v>1</v>
      </c>
      <c r="D137" s="382"/>
      <c r="E137" s="382">
        <f>E136</f>
        <v>0.6</v>
      </c>
      <c r="F137" s="382"/>
      <c r="G137" s="382"/>
      <c r="H137" s="382">
        <f t="shared" ref="H137:H147" si="2">H136</f>
        <v>2</v>
      </c>
      <c r="I137" s="382"/>
      <c r="J137" s="382"/>
      <c r="K137" s="382"/>
      <c r="L137" s="382"/>
      <c r="M137" s="382">
        <f t="shared" ref="M137:M147" si="3">M136</f>
        <v>2</v>
      </c>
      <c r="N137" s="1475">
        <f t="shared" si="1"/>
        <v>2.4</v>
      </c>
      <c r="O137" s="359"/>
      <c r="P137" s="1581"/>
    </row>
    <row r="138" spans="1:16" s="487" customFormat="1" ht="15.75" customHeight="1">
      <c r="A138" s="350"/>
      <c r="B138" s="589" t="s">
        <v>1627</v>
      </c>
      <c r="C138" s="382">
        <f>C136-0.4</f>
        <v>2</v>
      </c>
      <c r="D138" s="382"/>
      <c r="E138" s="382">
        <v>0.7</v>
      </c>
      <c r="F138" s="382"/>
      <c r="G138" s="382"/>
      <c r="H138" s="382">
        <f t="shared" si="2"/>
        <v>2</v>
      </c>
      <c r="I138" s="382"/>
      <c r="J138" s="382"/>
      <c r="K138" s="382"/>
      <c r="L138" s="382"/>
      <c r="M138" s="382">
        <f t="shared" si="3"/>
        <v>2</v>
      </c>
      <c r="N138" s="1475">
        <f t="shared" si="1"/>
        <v>5.6</v>
      </c>
      <c r="O138" s="359"/>
      <c r="P138" s="1581"/>
    </row>
    <row r="139" spans="1:16" s="487" customFormat="1" ht="15.75" customHeight="1">
      <c r="A139" s="350"/>
      <c r="B139" s="589"/>
      <c r="C139" s="382">
        <f>C137-0.4</f>
        <v>0.6</v>
      </c>
      <c r="D139" s="382"/>
      <c r="E139" s="382">
        <f>E138</f>
        <v>0.7</v>
      </c>
      <c r="F139" s="382"/>
      <c r="G139" s="382"/>
      <c r="H139" s="382">
        <f t="shared" si="2"/>
        <v>2</v>
      </c>
      <c r="I139" s="382"/>
      <c r="J139" s="382"/>
      <c r="K139" s="382"/>
      <c r="L139" s="382"/>
      <c r="M139" s="382">
        <f t="shared" si="3"/>
        <v>2</v>
      </c>
      <c r="N139" s="1475">
        <f t="shared" si="1"/>
        <v>1.68</v>
      </c>
      <c r="O139" s="359"/>
      <c r="P139" s="1581"/>
    </row>
    <row r="140" spans="1:16" s="487" customFormat="1" ht="15.75" customHeight="1">
      <c r="A140" s="350"/>
      <c r="B140" s="589" t="s">
        <v>1911</v>
      </c>
      <c r="C140" s="382">
        <f>C138-0.3</f>
        <v>1.7</v>
      </c>
      <c r="D140" s="382"/>
      <c r="E140" s="382">
        <v>1.1000000000000001</v>
      </c>
      <c r="F140" s="382"/>
      <c r="G140" s="382"/>
      <c r="H140" s="382">
        <f t="shared" si="2"/>
        <v>2</v>
      </c>
      <c r="I140" s="382"/>
      <c r="J140" s="382"/>
      <c r="K140" s="382"/>
      <c r="L140" s="382"/>
      <c r="M140" s="382">
        <f t="shared" si="3"/>
        <v>2</v>
      </c>
      <c r="N140" s="1475">
        <f t="shared" si="1"/>
        <v>7.48</v>
      </c>
      <c r="O140" s="359"/>
      <c r="P140" s="1581"/>
    </row>
    <row r="141" spans="1:16" s="487" customFormat="1" ht="15.75" customHeight="1">
      <c r="A141" s="350"/>
      <c r="B141" s="589"/>
      <c r="C141" s="382">
        <f>C139-0.15</f>
        <v>0.44999999999999996</v>
      </c>
      <c r="D141" s="382"/>
      <c r="E141" s="382">
        <f>E140</f>
        <v>1.1000000000000001</v>
      </c>
      <c r="F141" s="382"/>
      <c r="G141" s="382"/>
      <c r="H141" s="382">
        <f t="shared" si="2"/>
        <v>2</v>
      </c>
      <c r="I141" s="382"/>
      <c r="J141" s="382"/>
      <c r="K141" s="382"/>
      <c r="L141" s="382"/>
      <c r="M141" s="382">
        <f t="shared" si="3"/>
        <v>2</v>
      </c>
      <c r="N141" s="1475">
        <f t="shared" si="1"/>
        <v>1.98</v>
      </c>
      <c r="O141" s="359"/>
      <c r="P141" s="1581"/>
    </row>
    <row r="142" spans="1:16" s="487" customFormat="1" ht="15.75" customHeight="1">
      <c r="A142" s="350"/>
      <c r="B142" s="589" t="s">
        <v>1912</v>
      </c>
      <c r="C142" s="382">
        <f>C140+0.3</f>
        <v>2</v>
      </c>
      <c r="D142" s="382"/>
      <c r="E142" s="382">
        <v>0.6</v>
      </c>
      <c r="F142" s="382"/>
      <c r="G142" s="382"/>
      <c r="H142" s="382">
        <f t="shared" si="2"/>
        <v>2</v>
      </c>
      <c r="I142" s="382"/>
      <c r="J142" s="382"/>
      <c r="K142" s="382"/>
      <c r="L142" s="382"/>
      <c r="M142" s="382">
        <f t="shared" si="3"/>
        <v>2</v>
      </c>
      <c r="N142" s="1475">
        <f t="shared" si="1"/>
        <v>4.8</v>
      </c>
      <c r="O142" s="359"/>
      <c r="P142" s="1581"/>
    </row>
    <row r="143" spans="1:16" s="487" customFormat="1" ht="15.75" customHeight="1">
      <c r="A143" s="350"/>
      <c r="B143" s="589"/>
      <c r="C143" s="382">
        <f>C141+0.15</f>
        <v>0.6</v>
      </c>
      <c r="D143" s="382"/>
      <c r="E143" s="382">
        <f>E142</f>
        <v>0.6</v>
      </c>
      <c r="F143" s="382"/>
      <c r="G143" s="382"/>
      <c r="H143" s="382">
        <f t="shared" si="2"/>
        <v>2</v>
      </c>
      <c r="I143" s="382"/>
      <c r="J143" s="382"/>
      <c r="K143" s="382"/>
      <c r="L143" s="382"/>
      <c r="M143" s="382">
        <f t="shared" si="3"/>
        <v>2</v>
      </c>
      <c r="N143" s="1475">
        <f t="shared" si="1"/>
        <v>1.44</v>
      </c>
      <c r="O143" s="359"/>
      <c r="P143" s="1581"/>
    </row>
    <row r="144" spans="1:16" s="487" customFormat="1" ht="15.75" customHeight="1">
      <c r="A144" s="350"/>
      <c r="B144" s="589" t="s">
        <v>1913</v>
      </c>
      <c r="C144" s="382">
        <f>C142-0.3</f>
        <v>1.7</v>
      </c>
      <c r="D144" s="382"/>
      <c r="E144" s="382">
        <v>1.7</v>
      </c>
      <c r="F144" s="382"/>
      <c r="G144" s="382"/>
      <c r="H144" s="382">
        <f t="shared" si="2"/>
        <v>2</v>
      </c>
      <c r="I144" s="382"/>
      <c r="J144" s="382"/>
      <c r="K144" s="382"/>
      <c r="L144" s="382"/>
      <c r="M144" s="382">
        <f t="shared" si="3"/>
        <v>2</v>
      </c>
      <c r="N144" s="1475">
        <f t="shared" si="1"/>
        <v>11.559999999999999</v>
      </c>
      <c r="O144" s="359"/>
      <c r="P144" s="1581"/>
    </row>
    <row r="145" spans="1:16" s="487" customFormat="1" ht="15.75" customHeight="1">
      <c r="A145" s="350"/>
      <c r="B145" s="589"/>
      <c r="C145" s="382">
        <f>C143-0.15</f>
        <v>0.44999999999999996</v>
      </c>
      <c r="D145" s="382"/>
      <c r="E145" s="382">
        <f>E144</f>
        <v>1.7</v>
      </c>
      <c r="F145" s="382"/>
      <c r="G145" s="382"/>
      <c r="H145" s="382">
        <f t="shared" si="2"/>
        <v>2</v>
      </c>
      <c r="I145" s="382"/>
      <c r="J145" s="382"/>
      <c r="K145" s="382"/>
      <c r="L145" s="382"/>
      <c r="M145" s="382">
        <f t="shared" si="3"/>
        <v>2</v>
      </c>
      <c r="N145" s="1475">
        <f t="shared" si="1"/>
        <v>3.0599999999999996</v>
      </c>
      <c r="O145" s="359"/>
      <c r="P145" s="1581"/>
    </row>
    <row r="146" spans="1:16" s="487" customFormat="1" ht="15.75" customHeight="1">
      <c r="A146" s="350"/>
      <c r="B146" s="589" t="s">
        <v>1914</v>
      </c>
      <c r="C146" s="382">
        <f>C144+0.3</f>
        <v>2</v>
      </c>
      <c r="D146" s="382"/>
      <c r="E146" s="382">
        <v>0.3</v>
      </c>
      <c r="F146" s="382"/>
      <c r="G146" s="382"/>
      <c r="H146" s="382">
        <f t="shared" si="2"/>
        <v>2</v>
      </c>
      <c r="I146" s="382"/>
      <c r="J146" s="382"/>
      <c r="K146" s="382"/>
      <c r="L146" s="382"/>
      <c r="M146" s="382">
        <f t="shared" si="3"/>
        <v>2</v>
      </c>
      <c r="N146" s="1475">
        <f t="shared" si="1"/>
        <v>2.4</v>
      </c>
      <c r="O146" s="359"/>
      <c r="P146" s="1581"/>
    </row>
    <row r="147" spans="1:16" s="487" customFormat="1" ht="15.75" customHeight="1">
      <c r="A147" s="350"/>
      <c r="B147" s="589"/>
      <c r="C147" s="382">
        <f>C145+0.3</f>
        <v>0.75</v>
      </c>
      <c r="D147" s="382"/>
      <c r="E147" s="382">
        <f>E146</f>
        <v>0.3</v>
      </c>
      <c r="F147" s="382"/>
      <c r="G147" s="382"/>
      <c r="H147" s="382">
        <f t="shared" si="2"/>
        <v>2</v>
      </c>
      <c r="I147" s="382"/>
      <c r="J147" s="382"/>
      <c r="K147" s="382"/>
      <c r="L147" s="382"/>
      <c r="M147" s="382">
        <f t="shared" si="3"/>
        <v>2</v>
      </c>
      <c r="N147" s="1475">
        <f t="shared" si="1"/>
        <v>0.89999999999999991</v>
      </c>
      <c r="O147" s="359"/>
      <c r="P147" s="1581"/>
    </row>
    <row r="148" spans="1:16" s="487" customFormat="1" ht="15.75" customHeight="1">
      <c r="A148" s="350"/>
      <c r="B148" s="589"/>
      <c r="C148" s="382"/>
      <c r="D148" s="382"/>
      <c r="E148" s="382"/>
      <c r="F148" s="382"/>
      <c r="G148" s="382"/>
      <c r="H148" s="382"/>
      <c r="I148" s="382"/>
      <c r="J148" s="382"/>
      <c r="K148" s="382"/>
      <c r="L148" s="382"/>
      <c r="M148" s="382"/>
      <c r="N148" s="1475"/>
      <c r="O148" s="359"/>
      <c r="P148" s="1581"/>
    </row>
    <row r="149" spans="1:16" s="487" customFormat="1" ht="15.75" customHeight="1">
      <c r="A149" s="350"/>
      <c r="B149" s="395" t="s">
        <v>223</v>
      </c>
      <c r="C149" s="382">
        <v>2</v>
      </c>
      <c r="D149" s="382"/>
      <c r="E149" s="382">
        <v>3.4</v>
      </c>
      <c r="F149" s="382"/>
      <c r="G149" s="382"/>
      <c r="H149" s="382">
        <f>H147</f>
        <v>2</v>
      </c>
      <c r="I149" s="382"/>
      <c r="J149" s="382"/>
      <c r="K149" s="382"/>
      <c r="L149" s="382"/>
      <c r="M149" s="382">
        <f>M147</f>
        <v>2</v>
      </c>
      <c r="N149" s="1475">
        <f>C149*E149*H149*M149</f>
        <v>27.2</v>
      </c>
      <c r="O149" s="359"/>
      <c r="P149" s="1581"/>
    </row>
    <row r="150" spans="1:16" s="487" customFormat="1" ht="15.75" customHeight="1">
      <c r="A150" s="350"/>
      <c r="B150" s="351"/>
      <c r="C150" s="382">
        <v>1.5</v>
      </c>
      <c r="D150" s="382"/>
      <c r="E150" s="382">
        <f>E149</f>
        <v>3.4</v>
      </c>
      <c r="F150" s="382"/>
      <c r="G150" s="382"/>
      <c r="H150" s="382">
        <f>H149</f>
        <v>2</v>
      </c>
      <c r="I150" s="382"/>
      <c r="J150" s="382"/>
      <c r="K150" s="382"/>
      <c r="L150" s="382"/>
      <c r="M150" s="382">
        <f>M149</f>
        <v>2</v>
      </c>
      <c r="N150" s="1475">
        <f>C150*E150*H150*M150</f>
        <v>20.399999999999999</v>
      </c>
      <c r="O150" s="359"/>
      <c r="P150" s="1581"/>
    </row>
    <row r="151" spans="1:16" s="487" customFormat="1" ht="15.75" customHeight="1">
      <c r="A151" s="350"/>
      <c r="B151" s="351"/>
      <c r="C151" s="382"/>
      <c r="D151" s="382"/>
      <c r="E151" s="382"/>
      <c r="F151" s="382"/>
      <c r="G151" s="382"/>
      <c r="H151" s="382"/>
      <c r="I151" s="382"/>
      <c r="J151" s="382"/>
      <c r="K151" s="382"/>
      <c r="L151" s="382"/>
      <c r="M151" s="382"/>
      <c r="N151" s="1475">
        <f>SUM(N136:N150)</f>
        <v>96.66</v>
      </c>
      <c r="O151" s="359" t="s">
        <v>89</v>
      </c>
      <c r="P151" s="1582">
        <f>ROUND((N151),2)</f>
        <v>96.66</v>
      </c>
    </row>
    <row r="152" spans="1:16" s="487" customFormat="1" ht="15.75" customHeight="1">
      <c r="A152" s="350">
        <f>A134+1</f>
        <v>2</v>
      </c>
      <c r="B152" s="351" t="s">
        <v>193</v>
      </c>
      <c r="C152" s="382"/>
      <c r="D152" s="382"/>
      <c r="E152" s="382"/>
      <c r="F152" s="382"/>
      <c r="G152" s="382"/>
      <c r="H152" s="382"/>
      <c r="I152" s="382"/>
      <c r="J152" s="382"/>
      <c r="K152" s="382"/>
      <c r="L152" s="382"/>
      <c r="M152" s="382"/>
      <c r="N152" s="351"/>
      <c r="O152" s="359"/>
      <c r="P152" s="1581"/>
    </row>
    <row r="153" spans="1:16" s="487" customFormat="1" ht="15.75" customHeight="1">
      <c r="A153" s="355"/>
      <c r="B153" s="569" t="s">
        <v>1543</v>
      </c>
      <c r="C153" s="382">
        <f>N151</f>
        <v>96.66</v>
      </c>
      <c r="D153" s="382"/>
      <c r="E153" s="382"/>
      <c r="F153" s="382"/>
      <c r="G153" s="382"/>
      <c r="H153" s="382">
        <v>2</v>
      </c>
      <c r="I153" s="382"/>
      <c r="J153" s="382"/>
      <c r="K153" s="382"/>
      <c r="L153" s="382"/>
      <c r="M153" s="382"/>
      <c r="N153" s="1595">
        <f>C153*H153</f>
        <v>193.32</v>
      </c>
      <c r="O153" s="359" t="s">
        <v>89</v>
      </c>
      <c r="P153" s="1582">
        <f>ROUND((N153),2)</f>
        <v>193.32</v>
      </c>
    </row>
    <row r="154" spans="1:16" s="487" customFormat="1" ht="15.75" customHeight="1">
      <c r="A154" s="350">
        <f>A152+1</f>
        <v>3</v>
      </c>
      <c r="B154" s="351" t="s">
        <v>194</v>
      </c>
      <c r="C154" s="382"/>
      <c r="D154" s="382"/>
      <c r="E154" s="382"/>
      <c r="F154" s="382"/>
      <c r="G154" s="382"/>
      <c r="H154" s="382"/>
      <c r="I154" s="382"/>
      <c r="J154" s="382"/>
      <c r="K154" s="382"/>
      <c r="L154" s="382"/>
      <c r="M154" s="382"/>
      <c r="N154" s="351"/>
      <c r="O154" s="359"/>
      <c r="P154" s="1581"/>
    </row>
    <row r="155" spans="1:16" s="487" customFormat="1" ht="15.75" customHeight="1">
      <c r="A155" s="355"/>
      <c r="B155" s="589" t="s">
        <v>1915</v>
      </c>
      <c r="C155" s="382"/>
      <c r="D155" s="382"/>
      <c r="E155" s="382"/>
      <c r="F155" s="382"/>
      <c r="G155" s="382"/>
      <c r="H155" s="382"/>
      <c r="I155" s="382"/>
      <c r="J155" s="382"/>
      <c r="K155" s="382"/>
      <c r="L155" s="382"/>
      <c r="M155" s="382"/>
      <c r="N155" s="1595">
        <f>N153</f>
        <v>193.32</v>
      </c>
      <c r="O155" s="359" t="s">
        <v>89</v>
      </c>
      <c r="P155" s="1582">
        <f>ROUND((N155),2)</f>
        <v>193.32</v>
      </c>
    </row>
    <row r="156" spans="1:16" s="487" customFormat="1" ht="15.75" customHeight="1">
      <c r="A156" s="350">
        <f>A154+1</f>
        <v>4</v>
      </c>
      <c r="B156" s="357" t="s">
        <v>910</v>
      </c>
      <c r="C156" s="382"/>
      <c r="D156" s="382"/>
      <c r="E156" s="382"/>
      <c r="F156" s="382"/>
      <c r="G156" s="382"/>
      <c r="H156" s="382"/>
      <c r="I156" s="382"/>
      <c r="J156" s="382"/>
      <c r="K156" s="382"/>
      <c r="L156" s="382"/>
      <c r="M156" s="382"/>
      <c r="N156" s="1475"/>
      <c r="O156" s="359"/>
      <c r="P156" s="1581"/>
    </row>
    <row r="157" spans="1:16" s="487" customFormat="1" ht="15.75" customHeight="1">
      <c r="A157" s="350"/>
      <c r="B157" s="569" t="s">
        <v>1916</v>
      </c>
      <c r="C157" s="382"/>
      <c r="D157" s="382"/>
      <c r="E157" s="382"/>
      <c r="F157" s="382"/>
      <c r="G157" s="382"/>
      <c r="H157" s="382"/>
      <c r="I157" s="382"/>
      <c r="J157" s="382"/>
      <c r="K157" s="382"/>
      <c r="L157" s="382"/>
      <c r="M157" s="382"/>
      <c r="N157" s="1475">
        <f>SUM(N136:N137)</f>
        <v>8.16</v>
      </c>
      <c r="O157" s="359"/>
      <c r="P157" s="1581"/>
    </row>
    <row r="158" spans="1:16" s="487" customFormat="1" ht="15.75" customHeight="1">
      <c r="A158" s="350"/>
      <c r="B158" s="569" t="s">
        <v>1917</v>
      </c>
      <c r="C158" s="382"/>
      <c r="D158" s="382"/>
      <c r="E158" s="382"/>
      <c r="F158" s="382"/>
      <c r="G158" s="382"/>
      <c r="H158" s="382"/>
      <c r="I158" s="382"/>
      <c r="J158" s="382"/>
      <c r="K158" s="382"/>
      <c r="L158" s="382"/>
      <c r="M158" s="382"/>
      <c r="N158" s="1475">
        <f>SUM(N142:N143)</f>
        <v>6.24</v>
      </c>
      <c r="O158" s="359"/>
      <c r="P158" s="1581"/>
    </row>
    <row r="159" spans="1:16" s="487" customFormat="1" ht="15.75" customHeight="1">
      <c r="A159" s="350"/>
      <c r="B159" s="569" t="s">
        <v>1918</v>
      </c>
      <c r="C159" s="382"/>
      <c r="D159" s="382"/>
      <c r="E159" s="382"/>
      <c r="F159" s="382"/>
      <c r="G159" s="382"/>
      <c r="H159" s="382"/>
      <c r="I159" s="382"/>
      <c r="J159" s="382"/>
      <c r="K159" s="382"/>
      <c r="L159" s="382"/>
      <c r="M159" s="382"/>
      <c r="N159" s="1475">
        <f>SUM(N146:N147)</f>
        <v>3.3</v>
      </c>
      <c r="O159" s="359"/>
      <c r="P159" s="1581"/>
    </row>
    <row r="160" spans="1:16" s="487" customFormat="1" ht="15.75" customHeight="1">
      <c r="A160" s="350"/>
      <c r="B160" s="569" t="s">
        <v>1919</v>
      </c>
      <c r="C160" s="382"/>
      <c r="D160" s="382"/>
      <c r="E160" s="382"/>
      <c r="F160" s="382"/>
      <c r="G160" s="382"/>
      <c r="H160" s="382"/>
      <c r="I160" s="382"/>
      <c r="J160" s="382"/>
      <c r="K160" s="382"/>
      <c r="L160" s="382"/>
      <c r="M160" s="382"/>
      <c r="N160" s="1475">
        <f>N149</f>
        <v>27.2</v>
      </c>
      <c r="O160" s="359"/>
      <c r="P160" s="1581"/>
    </row>
    <row r="161" spans="1:16" s="487" customFormat="1" ht="15.75" customHeight="1">
      <c r="A161" s="350"/>
      <c r="B161" s="569" t="s">
        <v>1920</v>
      </c>
      <c r="C161" s="382"/>
      <c r="D161" s="382"/>
      <c r="E161" s="382"/>
      <c r="F161" s="382"/>
      <c r="G161" s="382"/>
      <c r="H161" s="382"/>
      <c r="I161" s="382"/>
      <c r="J161" s="382"/>
      <c r="K161" s="382"/>
      <c r="L161" s="382"/>
      <c r="M161" s="382"/>
      <c r="N161" s="1475">
        <f>-N163</f>
        <v>-6.72</v>
      </c>
      <c r="O161" s="359"/>
      <c r="P161" s="1581"/>
    </row>
    <row r="162" spans="1:16" s="487" customFormat="1" ht="15.75" customHeight="1">
      <c r="A162" s="355"/>
      <c r="B162" s="1588"/>
      <c r="C162" s="382"/>
      <c r="D162" s="382"/>
      <c r="E162" s="382"/>
      <c r="F162" s="382"/>
      <c r="G162" s="382"/>
      <c r="H162" s="382"/>
      <c r="I162" s="382"/>
      <c r="J162" s="382"/>
      <c r="K162" s="382"/>
      <c r="L162" s="382"/>
      <c r="M162" s="382"/>
      <c r="N162" s="1475">
        <f>SUM(N157:N161)</f>
        <v>38.18</v>
      </c>
      <c r="O162" s="359" t="s">
        <v>89</v>
      </c>
      <c r="P162" s="1582">
        <f>ROUND((N162),2)</f>
        <v>38.18</v>
      </c>
    </row>
    <row r="163" spans="1:16" s="487" customFormat="1" ht="15.75" customHeight="1">
      <c r="A163" s="350">
        <f>A156+1</f>
        <v>5</v>
      </c>
      <c r="B163" s="351" t="s">
        <v>1921</v>
      </c>
      <c r="C163" s="382"/>
      <c r="D163" s="382">
        <v>0.7</v>
      </c>
      <c r="E163" s="382">
        <v>1.2</v>
      </c>
      <c r="F163" s="382">
        <v>2</v>
      </c>
      <c r="G163" s="382"/>
      <c r="H163" s="382">
        <v>2</v>
      </c>
      <c r="I163" s="382"/>
      <c r="J163" s="382"/>
      <c r="K163" s="382"/>
      <c r="L163" s="382"/>
      <c r="M163" s="382">
        <v>2</v>
      </c>
      <c r="N163" s="1475">
        <f>D163*E163*F163*H163*M163</f>
        <v>6.72</v>
      </c>
      <c r="O163" s="359" t="s">
        <v>89</v>
      </c>
      <c r="P163" s="1582">
        <f>ROUND((N163),2)</f>
        <v>6.72</v>
      </c>
    </row>
    <row r="164" spans="1:16" s="487" customFormat="1" ht="15.75" customHeight="1">
      <c r="A164" s="1135">
        <f>A163+1</f>
        <v>6</v>
      </c>
      <c r="B164" s="357" t="s">
        <v>1922</v>
      </c>
      <c r="C164" s="382"/>
      <c r="D164" s="382"/>
      <c r="E164" s="382"/>
      <c r="F164" s="382"/>
      <c r="G164" s="382"/>
      <c r="H164" s="382"/>
      <c r="I164" s="382"/>
      <c r="J164" s="382"/>
      <c r="K164" s="382"/>
      <c r="L164" s="382"/>
      <c r="M164" s="382"/>
      <c r="N164" s="1475"/>
      <c r="O164" s="359"/>
      <c r="P164" s="1582"/>
    </row>
    <row r="165" spans="1:16" s="487" customFormat="1" ht="15.75" customHeight="1">
      <c r="A165" s="1136" t="s">
        <v>95</v>
      </c>
      <c r="B165" s="357" t="s">
        <v>438</v>
      </c>
      <c r="C165" s="382"/>
      <c r="D165" s="382"/>
      <c r="E165" s="382"/>
      <c r="F165" s="382"/>
      <c r="G165" s="382"/>
      <c r="H165" s="382"/>
      <c r="I165" s="382"/>
      <c r="J165" s="382"/>
      <c r="K165" s="382"/>
      <c r="L165" s="382"/>
      <c r="M165" s="382"/>
      <c r="N165" s="1475"/>
      <c r="O165" s="359"/>
      <c r="P165" s="1582"/>
    </row>
    <row r="166" spans="1:16" s="487" customFormat="1" ht="15.75" customHeight="1">
      <c r="A166" s="1136"/>
      <c r="B166" s="569" t="s">
        <v>1020</v>
      </c>
      <c r="C166" s="382">
        <f>6.15*2+2.4</f>
        <v>14.700000000000001</v>
      </c>
      <c r="D166" s="382"/>
      <c r="E166" s="382">
        <v>0.15</v>
      </c>
      <c r="F166" s="382"/>
      <c r="G166" s="382"/>
      <c r="H166" s="382"/>
      <c r="I166" s="382"/>
      <c r="J166" s="382"/>
      <c r="K166" s="382"/>
      <c r="L166" s="382"/>
      <c r="M166" s="382">
        <v>2</v>
      </c>
      <c r="N166" s="1475">
        <f>C166*E166</f>
        <v>2.2050000000000001</v>
      </c>
      <c r="O166" s="359"/>
      <c r="P166" s="1582"/>
    </row>
    <row r="167" spans="1:16" s="487" customFormat="1" ht="15.75" customHeight="1">
      <c r="A167" s="1136"/>
      <c r="B167" s="569" t="s">
        <v>1021</v>
      </c>
      <c r="C167" s="382">
        <f>8.3+0.8</f>
        <v>9.1000000000000014</v>
      </c>
      <c r="D167" s="382"/>
      <c r="E167" s="382">
        <f>E166</f>
        <v>0.15</v>
      </c>
      <c r="F167" s="382"/>
      <c r="G167" s="382"/>
      <c r="H167" s="382"/>
      <c r="I167" s="382"/>
      <c r="J167" s="382"/>
      <c r="K167" s="382"/>
      <c r="L167" s="382"/>
      <c r="M167" s="382">
        <f>M166</f>
        <v>2</v>
      </c>
      <c r="N167" s="1475">
        <f>C167*E167</f>
        <v>1.3650000000000002</v>
      </c>
      <c r="O167" s="359"/>
      <c r="P167" s="1582"/>
    </row>
    <row r="168" spans="1:16" s="487" customFormat="1" ht="15.75" customHeight="1">
      <c r="A168" s="1136"/>
      <c r="B168" s="569" t="s">
        <v>1060</v>
      </c>
      <c r="C168" s="382">
        <v>8.4</v>
      </c>
      <c r="D168" s="382"/>
      <c r="E168" s="382">
        <f>E167</f>
        <v>0.15</v>
      </c>
      <c r="F168" s="382"/>
      <c r="G168" s="382"/>
      <c r="H168" s="382"/>
      <c r="I168" s="382"/>
      <c r="J168" s="382"/>
      <c r="K168" s="382"/>
      <c r="L168" s="382"/>
      <c r="M168" s="382">
        <f>M167</f>
        <v>2</v>
      </c>
      <c r="N168" s="1475">
        <f>C168*E168</f>
        <v>1.26</v>
      </c>
      <c r="O168" s="359"/>
      <c r="P168" s="1582"/>
    </row>
    <row r="169" spans="1:16" s="487" customFormat="1" ht="15.75" customHeight="1">
      <c r="A169" s="1136"/>
      <c r="B169" s="357"/>
      <c r="C169" s="382"/>
      <c r="D169" s="382"/>
      <c r="E169" s="382"/>
      <c r="F169" s="382"/>
      <c r="G169" s="382"/>
      <c r="H169" s="382"/>
      <c r="I169" s="382"/>
      <c r="J169" s="382"/>
      <c r="K169" s="382"/>
      <c r="L169" s="382"/>
      <c r="M169" s="382"/>
      <c r="N169" s="1475">
        <f>SUM(N166:N168)</f>
        <v>4.83</v>
      </c>
      <c r="O169" s="359" t="s">
        <v>89</v>
      </c>
      <c r="P169" s="1582">
        <f>ROUND((N169),2)</f>
        <v>4.83</v>
      </c>
    </row>
    <row r="170" spans="1:16" s="487" customFormat="1" ht="15.75" customHeight="1">
      <c r="A170" s="1136" t="s">
        <v>98</v>
      </c>
      <c r="B170" s="357" t="s">
        <v>439</v>
      </c>
      <c r="C170" s="382"/>
      <c r="D170" s="382"/>
      <c r="E170" s="382"/>
      <c r="F170" s="382"/>
      <c r="G170" s="382"/>
      <c r="H170" s="382"/>
      <c r="I170" s="382"/>
      <c r="J170" s="382"/>
      <c r="K170" s="382"/>
      <c r="L170" s="382"/>
      <c r="M170" s="382"/>
      <c r="N170" s="1475"/>
      <c r="O170" s="359"/>
      <c r="P170" s="1582"/>
    </row>
    <row r="171" spans="1:16" s="487" customFormat="1" ht="15.75" customHeight="1">
      <c r="A171" s="1136"/>
      <c r="B171" s="569" t="s">
        <v>1020</v>
      </c>
      <c r="C171" s="382">
        <f>C166</f>
        <v>14.700000000000001</v>
      </c>
      <c r="D171" s="382"/>
      <c r="E171" s="382">
        <f>0.15+E166</f>
        <v>0.3</v>
      </c>
      <c r="F171" s="382"/>
      <c r="G171" s="382"/>
      <c r="H171" s="382"/>
      <c r="I171" s="382"/>
      <c r="J171" s="382"/>
      <c r="K171" s="382"/>
      <c r="L171" s="382"/>
      <c r="M171" s="382">
        <f>M166</f>
        <v>2</v>
      </c>
      <c r="N171" s="1475">
        <f>C171*E171</f>
        <v>4.41</v>
      </c>
      <c r="O171" s="359"/>
      <c r="P171" s="1582"/>
    </row>
    <row r="172" spans="1:16" s="487" customFormat="1" ht="15.75" customHeight="1">
      <c r="A172" s="1136"/>
      <c r="B172" s="569" t="s">
        <v>1021</v>
      </c>
      <c r="C172" s="382">
        <f>C167</f>
        <v>9.1000000000000014</v>
      </c>
      <c r="D172" s="382"/>
      <c r="E172" s="382">
        <f>0.3+E167</f>
        <v>0.44999999999999996</v>
      </c>
      <c r="F172" s="382"/>
      <c r="G172" s="382"/>
      <c r="H172" s="382"/>
      <c r="I172" s="382"/>
      <c r="J172" s="382"/>
      <c r="K172" s="382"/>
      <c r="L172" s="382"/>
      <c r="M172" s="382">
        <f>M171</f>
        <v>2</v>
      </c>
      <c r="N172" s="1475">
        <f>C172*E172</f>
        <v>4.0950000000000006</v>
      </c>
      <c r="O172" s="359"/>
      <c r="P172" s="1582"/>
    </row>
    <row r="173" spans="1:16" s="487" customFormat="1" ht="15.75" customHeight="1">
      <c r="A173" s="1136"/>
      <c r="B173" s="569" t="s">
        <v>1060</v>
      </c>
      <c r="C173" s="382">
        <f>C168</f>
        <v>8.4</v>
      </c>
      <c r="D173" s="382"/>
      <c r="E173" s="382">
        <f>0.45+E168</f>
        <v>0.6</v>
      </c>
      <c r="F173" s="382"/>
      <c r="G173" s="382"/>
      <c r="H173" s="382"/>
      <c r="I173" s="382"/>
      <c r="J173" s="382"/>
      <c r="K173" s="382"/>
      <c r="L173" s="382"/>
      <c r="M173" s="382">
        <f>M172</f>
        <v>2</v>
      </c>
      <c r="N173" s="1475">
        <f>C173*E173</f>
        <v>5.04</v>
      </c>
      <c r="O173" s="359"/>
      <c r="P173" s="1582"/>
    </row>
    <row r="174" spans="1:16" s="487" customFormat="1" ht="15.75" customHeight="1">
      <c r="A174" s="1136"/>
      <c r="B174" s="357"/>
      <c r="C174" s="382"/>
      <c r="D174" s="382"/>
      <c r="E174" s="382"/>
      <c r="F174" s="382"/>
      <c r="G174" s="382"/>
      <c r="H174" s="382"/>
      <c r="I174" s="382"/>
      <c r="J174" s="382"/>
      <c r="K174" s="382"/>
      <c r="L174" s="382"/>
      <c r="M174" s="382"/>
      <c r="N174" s="1475">
        <f>SUM(N171:N173)</f>
        <v>13.545000000000002</v>
      </c>
      <c r="O174" s="359" t="s">
        <v>89</v>
      </c>
      <c r="P174" s="1582">
        <f>ROUND((N174),2)</f>
        <v>13.55</v>
      </c>
    </row>
    <row r="175" spans="1:16" s="487" customFormat="1" ht="15.75" customHeight="1">
      <c r="A175" s="1136" t="s">
        <v>101</v>
      </c>
      <c r="B175" s="357" t="s">
        <v>916</v>
      </c>
      <c r="C175" s="382"/>
      <c r="D175" s="382"/>
      <c r="E175" s="382"/>
      <c r="F175" s="382"/>
      <c r="G175" s="382"/>
      <c r="H175" s="382"/>
      <c r="I175" s="382"/>
      <c r="J175" s="382"/>
      <c r="K175" s="382"/>
      <c r="L175" s="382"/>
      <c r="M175" s="382"/>
      <c r="N175" s="1475"/>
      <c r="O175" s="359"/>
      <c r="P175" s="1582"/>
    </row>
    <row r="176" spans="1:16" s="487" customFormat="1" ht="15.75" customHeight="1">
      <c r="A176" s="1136"/>
      <c r="B176" s="569" t="s">
        <v>1020</v>
      </c>
      <c r="C176" s="382">
        <f>C171</f>
        <v>14.700000000000001</v>
      </c>
      <c r="D176" s="382">
        <v>0.4</v>
      </c>
      <c r="E176" s="382">
        <f>E171-0.25</f>
        <v>4.9999999999999989E-2</v>
      </c>
      <c r="F176" s="382"/>
      <c r="G176" s="382"/>
      <c r="H176" s="382"/>
      <c r="I176" s="382"/>
      <c r="J176" s="382"/>
      <c r="K176" s="382"/>
      <c r="L176" s="382"/>
      <c r="M176" s="382">
        <f>M171</f>
        <v>2</v>
      </c>
      <c r="N176" s="1475">
        <f>C176*D176*E176*M176</f>
        <v>0.58799999999999997</v>
      </c>
      <c r="O176" s="359"/>
      <c r="P176" s="1582"/>
    </row>
    <row r="177" spans="1:16" s="487" customFormat="1" ht="15.75" customHeight="1">
      <c r="A177" s="1136"/>
      <c r="B177" s="569" t="s">
        <v>1021</v>
      </c>
      <c r="C177" s="382">
        <f>C172</f>
        <v>9.1000000000000014</v>
      </c>
      <c r="D177" s="382">
        <f>D176</f>
        <v>0.4</v>
      </c>
      <c r="E177" s="382">
        <f>E176+0.05</f>
        <v>9.9999999999999992E-2</v>
      </c>
      <c r="F177" s="382"/>
      <c r="G177" s="382"/>
      <c r="H177" s="382"/>
      <c r="I177" s="382"/>
      <c r="J177" s="382"/>
      <c r="K177" s="382"/>
      <c r="L177" s="382"/>
      <c r="M177" s="382">
        <f>M176</f>
        <v>2</v>
      </c>
      <c r="N177" s="1475">
        <f>C177*D177*E177*M177</f>
        <v>0.72800000000000009</v>
      </c>
      <c r="O177" s="359"/>
      <c r="P177" s="1582"/>
    </row>
    <row r="178" spans="1:16" s="487" customFormat="1" ht="15.75" customHeight="1">
      <c r="A178" s="1136"/>
      <c r="B178" s="569" t="s">
        <v>1060</v>
      </c>
      <c r="C178" s="382">
        <f>C173</f>
        <v>8.4</v>
      </c>
      <c r="D178" s="382">
        <f>D177</f>
        <v>0.4</v>
      </c>
      <c r="E178" s="382">
        <f>E177+0.05</f>
        <v>0.15</v>
      </c>
      <c r="F178" s="382"/>
      <c r="G178" s="382"/>
      <c r="H178" s="382"/>
      <c r="I178" s="382"/>
      <c r="J178" s="382"/>
      <c r="K178" s="382"/>
      <c r="L178" s="382"/>
      <c r="M178" s="382">
        <f>M177</f>
        <v>2</v>
      </c>
      <c r="N178" s="1475">
        <f>C178*D178*E178*M178</f>
        <v>1.008</v>
      </c>
      <c r="O178" s="359"/>
      <c r="P178" s="1582"/>
    </row>
    <row r="179" spans="1:16" s="487" customFormat="1" ht="15.75" customHeight="1">
      <c r="A179" s="1136"/>
      <c r="B179" s="357"/>
      <c r="C179" s="382"/>
      <c r="D179" s="382"/>
      <c r="E179" s="382"/>
      <c r="F179" s="382"/>
      <c r="G179" s="382"/>
      <c r="H179" s="382"/>
      <c r="I179" s="382"/>
      <c r="J179" s="382"/>
      <c r="K179" s="382"/>
      <c r="L179" s="382"/>
      <c r="M179" s="382"/>
      <c r="N179" s="1475">
        <f>SUM(N176:N178)</f>
        <v>2.3239999999999998</v>
      </c>
      <c r="O179" s="359" t="s">
        <v>103</v>
      </c>
      <c r="P179" s="1582">
        <f>ROUND((N179),2)</f>
        <v>2.3199999999999998</v>
      </c>
    </row>
    <row r="180" spans="1:16" s="487" customFormat="1" ht="15.75" customHeight="1">
      <c r="A180" s="1136" t="s">
        <v>121</v>
      </c>
      <c r="B180" s="357" t="s">
        <v>917</v>
      </c>
      <c r="C180" s="382"/>
      <c r="D180" s="382"/>
      <c r="E180" s="382"/>
      <c r="F180" s="382"/>
      <c r="G180" s="382"/>
      <c r="H180" s="382"/>
      <c r="I180" s="382"/>
      <c r="J180" s="382"/>
      <c r="K180" s="382"/>
      <c r="L180" s="382"/>
      <c r="M180" s="382"/>
      <c r="N180" s="1475"/>
      <c r="O180" s="359"/>
      <c r="P180" s="1582"/>
    </row>
    <row r="181" spans="1:16" s="487" customFormat="1" ht="15.75" customHeight="1">
      <c r="A181" s="1136"/>
      <c r="B181" s="569" t="s">
        <v>1020</v>
      </c>
      <c r="C181" s="382">
        <f>C176</f>
        <v>14.700000000000001</v>
      </c>
      <c r="D181" s="382">
        <f>D176</f>
        <v>0.4</v>
      </c>
      <c r="E181" s="382">
        <f>E176</f>
        <v>4.9999999999999989E-2</v>
      </c>
      <c r="F181" s="382"/>
      <c r="G181" s="382"/>
      <c r="H181" s="382"/>
      <c r="I181" s="382"/>
      <c r="J181" s="382"/>
      <c r="K181" s="382"/>
      <c r="L181" s="382"/>
      <c r="M181" s="382">
        <f>M176</f>
        <v>2</v>
      </c>
      <c r="N181" s="1475">
        <f>C181*D181*E181*M181</f>
        <v>0.58799999999999997</v>
      </c>
      <c r="O181" s="359"/>
      <c r="P181" s="1582"/>
    </row>
    <row r="182" spans="1:16" s="487" customFormat="1" ht="15.75" customHeight="1">
      <c r="A182" s="1136"/>
      <c r="B182" s="569" t="s">
        <v>1021</v>
      </c>
      <c r="C182" s="382">
        <f>C177</f>
        <v>9.1000000000000014</v>
      </c>
      <c r="D182" s="382">
        <f>D177</f>
        <v>0.4</v>
      </c>
      <c r="E182" s="382">
        <f>E181</f>
        <v>4.9999999999999989E-2</v>
      </c>
      <c r="F182" s="382"/>
      <c r="G182" s="382"/>
      <c r="H182" s="382"/>
      <c r="I182" s="382"/>
      <c r="J182" s="382"/>
      <c r="K182" s="382"/>
      <c r="L182" s="382"/>
      <c r="M182" s="382">
        <f>M181</f>
        <v>2</v>
      </c>
      <c r="N182" s="1475">
        <f>C182*D182*E182*M182</f>
        <v>0.36399999999999999</v>
      </c>
      <c r="O182" s="359"/>
      <c r="P182" s="1582"/>
    </row>
    <row r="183" spans="1:16" s="487" customFormat="1" ht="15.75" customHeight="1">
      <c r="A183" s="1136"/>
      <c r="B183" s="569" t="s">
        <v>1060</v>
      </c>
      <c r="C183" s="382">
        <f>C178</f>
        <v>8.4</v>
      </c>
      <c r="D183" s="382">
        <f>D178</f>
        <v>0.4</v>
      </c>
      <c r="E183" s="382">
        <f>E182</f>
        <v>4.9999999999999989E-2</v>
      </c>
      <c r="F183" s="382"/>
      <c r="G183" s="382"/>
      <c r="H183" s="382"/>
      <c r="I183" s="382"/>
      <c r="J183" s="382"/>
      <c r="K183" s="382"/>
      <c r="L183" s="382"/>
      <c r="M183" s="382">
        <f>M182</f>
        <v>2</v>
      </c>
      <c r="N183" s="1475">
        <f>C183*D183*E183*M183</f>
        <v>0.33599999999999997</v>
      </c>
      <c r="O183" s="359"/>
      <c r="P183" s="1582"/>
    </row>
    <row r="184" spans="1:16" s="487" customFormat="1" ht="15.75" customHeight="1">
      <c r="A184" s="1136"/>
      <c r="B184" s="357"/>
      <c r="C184" s="382"/>
      <c r="D184" s="382"/>
      <c r="E184" s="382"/>
      <c r="F184" s="382"/>
      <c r="G184" s="382"/>
      <c r="H184" s="382"/>
      <c r="I184" s="382"/>
      <c r="J184" s="382"/>
      <c r="K184" s="382"/>
      <c r="L184" s="382"/>
      <c r="M184" s="382"/>
      <c r="N184" s="1475">
        <f>SUM(N181:N183)</f>
        <v>1.2879999999999998</v>
      </c>
      <c r="O184" s="359" t="s">
        <v>103</v>
      </c>
      <c r="P184" s="1582">
        <f>ROUND((N184),2)</f>
        <v>1.29</v>
      </c>
    </row>
    <row r="185" spans="1:16" s="487" customFormat="1" ht="15.75" customHeight="1">
      <c r="A185" s="1136" t="s">
        <v>142</v>
      </c>
      <c r="B185" s="357" t="s">
        <v>1923</v>
      </c>
      <c r="C185" s="382"/>
      <c r="D185" s="382"/>
      <c r="E185" s="382"/>
      <c r="F185" s="382"/>
      <c r="G185" s="382"/>
      <c r="H185" s="382"/>
      <c r="I185" s="382"/>
      <c r="J185" s="382"/>
      <c r="K185" s="382"/>
      <c r="L185" s="382"/>
      <c r="M185" s="382"/>
      <c r="N185" s="1475"/>
      <c r="O185" s="359"/>
      <c r="P185" s="1582"/>
    </row>
    <row r="186" spans="1:16" s="487" customFormat="1" ht="15.75" customHeight="1">
      <c r="A186" s="1147"/>
      <c r="B186" s="569" t="s">
        <v>1020</v>
      </c>
      <c r="C186" s="382">
        <f>C181</f>
        <v>14.700000000000001</v>
      </c>
      <c r="D186" s="382">
        <f>D181</f>
        <v>0.4</v>
      </c>
      <c r="E186" s="382"/>
      <c r="F186" s="382"/>
      <c r="G186" s="382"/>
      <c r="H186" s="382"/>
      <c r="I186" s="382"/>
      <c r="J186" s="382"/>
      <c r="K186" s="382"/>
      <c r="L186" s="382"/>
      <c r="M186" s="382">
        <f>M181</f>
        <v>2</v>
      </c>
      <c r="N186" s="1475">
        <f>C186*D186*M186</f>
        <v>11.760000000000002</v>
      </c>
      <c r="O186" s="359"/>
      <c r="P186" s="1582"/>
    </row>
    <row r="187" spans="1:16" s="487" customFormat="1" ht="15.75" customHeight="1">
      <c r="A187" s="1147"/>
      <c r="B187" s="569"/>
      <c r="C187" s="382">
        <f>C186</f>
        <v>14.700000000000001</v>
      </c>
      <c r="D187" s="382"/>
      <c r="E187" s="382">
        <f>E171</f>
        <v>0.3</v>
      </c>
      <c r="F187" s="382"/>
      <c r="G187" s="382"/>
      <c r="H187" s="382"/>
      <c r="I187" s="382"/>
      <c r="J187" s="382"/>
      <c r="K187" s="382"/>
      <c r="L187" s="382"/>
      <c r="M187" s="382">
        <f>M186</f>
        <v>2</v>
      </c>
      <c r="N187" s="1475">
        <f>C187*E187*M187</f>
        <v>8.82</v>
      </c>
      <c r="O187" s="359"/>
      <c r="P187" s="1582"/>
    </row>
    <row r="188" spans="1:16" s="487" customFormat="1" ht="15.75" customHeight="1">
      <c r="A188" s="1147"/>
      <c r="B188" s="569" t="s">
        <v>1021</v>
      </c>
      <c r="C188" s="382">
        <f>C182</f>
        <v>9.1000000000000014</v>
      </c>
      <c r="D188" s="382">
        <f>D186</f>
        <v>0.4</v>
      </c>
      <c r="E188" s="382"/>
      <c r="F188" s="382"/>
      <c r="G188" s="382"/>
      <c r="H188" s="382"/>
      <c r="I188" s="382"/>
      <c r="J188" s="382"/>
      <c r="K188" s="382"/>
      <c r="L188" s="382"/>
      <c r="M188" s="382">
        <f>M187</f>
        <v>2</v>
      </c>
      <c r="N188" s="1475">
        <f>C188*D188*M188</f>
        <v>7.2800000000000011</v>
      </c>
      <c r="O188" s="359"/>
      <c r="P188" s="1582"/>
    </row>
    <row r="189" spans="1:16" s="487" customFormat="1" ht="15.75" customHeight="1">
      <c r="A189" s="1147"/>
      <c r="B189" s="569"/>
      <c r="C189" s="382">
        <f>C188</f>
        <v>9.1000000000000014</v>
      </c>
      <c r="D189" s="382"/>
      <c r="E189" s="382">
        <f>E187</f>
        <v>0.3</v>
      </c>
      <c r="F189" s="382"/>
      <c r="G189" s="382"/>
      <c r="H189" s="382"/>
      <c r="I189" s="382"/>
      <c r="J189" s="382"/>
      <c r="K189" s="382"/>
      <c r="L189" s="382"/>
      <c r="M189" s="382">
        <f>M188</f>
        <v>2</v>
      </c>
      <c r="N189" s="1475">
        <f>C189*E189*M189</f>
        <v>5.4600000000000009</v>
      </c>
      <c r="O189" s="359"/>
      <c r="P189" s="1582"/>
    </row>
    <row r="190" spans="1:16" s="487" customFormat="1" ht="15.75" customHeight="1">
      <c r="A190" s="1147"/>
      <c r="B190" s="569" t="s">
        <v>1060</v>
      </c>
      <c r="C190" s="382">
        <f>C183</f>
        <v>8.4</v>
      </c>
      <c r="D190" s="382">
        <f>D188</f>
        <v>0.4</v>
      </c>
      <c r="E190" s="382"/>
      <c r="F190" s="382"/>
      <c r="G190" s="382"/>
      <c r="H190" s="382"/>
      <c r="I190" s="382"/>
      <c r="J190" s="382"/>
      <c r="K190" s="382"/>
      <c r="L190" s="382"/>
      <c r="M190" s="382">
        <f>M189</f>
        <v>2</v>
      </c>
      <c r="N190" s="1475">
        <f>C190*D190*M190</f>
        <v>6.7200000000000006</v>
      </c>
      <c r="O190" s="359"/>
      <c r="P190" s="1582"/>
    </row>
    <row r="191" spans="1:16" s="487" customFormat="1" ht="15.75" customHeight="1">
      <c r="A191" s="1147"/>
      <c r="B191" s="569"/>
      <c r="C191" s="382">
        <f>C190</f>
        <v>8.4</v>
      </c>
      <c r="D191" s="382"/>
      <c r="E191" s="382">
        <f>E189</f>
        <v>0.3</v>
      </c>
      <c r="F191" s="382"/>
      <c r="G191" s="382"/>
      <c r="H191" s="382"/>
      <c r="I191" s="382"/>
      <c r="J191" s="382"/>
      <c r="K191" s="382"/>
      <c r="L191" s="382"/>
      <c r="M191" s="382">
        <f>M190</f>
        <v>2</v>
      </c>
      <c r="N191" s="1475">
        <f>C191*E191*M191</f>
        <v>5.04</v>
      </c>
      <c r="O191" s="359"/>
      <c r="P191" s="1582"/>
    </row>
    <row r="192" spans="1:16" s="487" customFormat="1" ht="15.75" customHeight="1">
      <c r="A192" s="1147"/>
      <c r="B192" s="357"/>
      <c r="C192" s="382"/>
      <c r="D192" s="382"/>
      <c r="E192" s="382"/>
      <c r="F192" s="382"/>
      <c r="G192" s="382"/>
      <c r="H192" s="382"/>
      <c r="I192" s="382"/>
      <c r="J192" s="382"/>
      <c r="K192" s="382"/>
      <c r="L192" s="382"/>
      <c r="M192" s="382"/>
      <c r="N192" s="1475">
        <f>SUM(N186:N191)</f>
        <v>45.080000000000005</v>
      </c>
      <c r="O192" s="359" t="s">
        <v>89</v>
      </c>
      <c r="P192" s="1582">
        <f>ROUND((N192),2)</f>
        <v>45.08</v>
      </c>
    </row>
    <row r="193" spans="1:16" s="487" customFormat="1" ht="15.75" customHeight="1">
      <c r="A193" s="1147" t="s">
        <v>217</v>
      </c>
      <c r="B193" s="357" t="s">
        <v>1924</v>
      </c>
      <c r="C193" s="382"/>
      <c r="D193" s="382"/>
      <c r="E193" s="382"/>
      <c r="F193" s="382"/>
      <c r="G193" s="382"/>
      <c r="H193" s="382"/>
      <c r="I193" s="382"/>
      <c r="J193" s="382"/>
      <c r="K193" s="382"/>
      <c r="L193" s="382"/>
      <c r="M193" s="382"/>
      <c r="N193" s="1475"/>
      <c r="O193" s="359"/>
      <c r="P193" s="1582"/>
    </row>
    <row r="194" spans="1:16" s="487" customFormat="1" ht="15.75" customHeight="1">
      <c r="A194" s="350"/>
      <c r="B194" s="569" t="s">
        <v>1915</v>
      </c>
      <c r="C194" s="382"/>
      <c r="D194" s="382"/>
      <c r="E194" s="382"/>
      <c r="F194" s="382"/>
      <c r="G194" s="382"/>
      <c r="H194" s="382"/>
      <c r="I194" s="382"/>
      <c r="J194" s="382"/>
      <c r="K194" s="382"/>
      <c r="L194" s="382"/>
      <c r="M194" s="382"/>
      <c r="N194" s="1475">
        <f>N192</f>
        <v>45.080000000000005</v>
      </c>
      <c r="O194" s="359" t="s">
        <v>89</v>
      </c>
      <c r="P194" s="1582">
        <f t="shared" ref="P194:P199" si="4">ROUND((N194),2)</f>
        <v>45.08</v>
      </c>
    </row>
    <row r="195" spans="1:16" s="487" customFormat="1" ht="15.75" customHeight="1">
      <c r="A195" s="350">
        <f>A164+1</f>
        <v>7</v>
      </c>
      <c r="B195" s="351" t="s">
        <v>450</v>
      </c>
      <c r="C195" s="382" t="s">
        <v>1925</v>
      </c>
      <c r="D195" s="382"/>
      <c r="E195" s="382"/>
      <c r="F195" s="382"/>
      <c r="G195" s="382"/>
      <c r="H195" s="382"/>
      <c r="I195" s="382"/>
      <c r="J195" s="382"/>
      <c r="K195" s="382"/>
      <c r="L195" s="382"/>
      <c r="M195" s="382"/>
      <c r="N195" s="1475">
        <f>N155-N162-N163</f>
        <v>148.41999999999999</v>
      </c>
      <c r="O195" s="359" t="s">
        <v>89</v>
      </c>
      <c r="P195" s="1582">
        <f t="shared" si="4"/>
        <v>148.41999999999999</v>
      </c>
    </row>
    <row r="196" spans="1:16" s="487" customFormat="1" ht="27" customHeight="1">
      <c r="A196" s="350">
        <f>A195+1</f>
        <v>8</v>
      </c>
      <c r="B196" s="593" t="s">
        <v>1721</v>
      </c>
      <c r="C196" s="382"/>
      <c r="D196" s="382"/>
      <c r="E196" s="382"/>
      <c r="F196" s="382"/>
      <c r="G196" s="382"/>
      <c r="H196" s="382"/>
      <c r="I196" s="382"/>
      <c r="J196" s="382"/>
      <c r="K196" s="382"/>
      <c r="L196" s="382"/>
      <c r="M196" s="382"/>
      <c r="N196" s="1475">
        <v>1</v>
      </c>
      <c r="O196" s="359" t="s">
        <v>360</v>
      </c>
      <c r="P196" s="1582">
        <f t="shared" si="4"/>
        <v>1</v>
      </c>
    </row>
    <row r="197" spans="1:16" s="487" customFormat="1" ht="32.25" customHeight="1">
      <c r="A197" s="350">
        <f>A196+1</f>
        <v>9</v>
      </c>
      <c r="B197" s="593" t="s">
        <v>1722</v>
      </c>
      <c r="C197" s="382"/>
      <c r="D197" s="382"/>
      <c r="E197" s="382"/>
      <c r="F197" s="382"/>
      <c r="G197" s="382"/>
      <c r="H197" s="382"/>
      <c r="I197" s="382"/>
      <c r="J197" s="382"/>
      <c r="K197" s="382"/>
      <c r="L197" s="382"/>
      <c r="M197" s="382"/>
      <c r="N197" s="1475">
        <v>1</v>
      </c>
      <c r="O197" s="359" t="s">
        <v>360</v>
      </c>
      <c r="P197" s="1582">
        <f t="shared" si="4"/>
        <v>1</v>
      </c>
    </row>
    <row r="198" spans="1:16" s="487" customFormat="1" ht="28.5" customHeight="1">
      <c r="A198" s="350">
        <f>A197+1</f>
        <v>10</v>
      </c>
      <c r="B198" s="593" t="s">
        <v>1926</v>
      </c>
      <c r="C198" s="382">
        <v>13</v>
      </c>
      <c r="D198" s="382">
        <v>4</v>
      </c>
      <c r="E198" s="382"/>
      <c r="F198" s="382"/>
      <c r="G198" s="382"/>
      <c r="H198" s="382"/>
      <c r="I198" s="382"/>
      <c r="J198" s="382"/>
      <c r="K198" s="382"/>
      <c r="L198" s="382"/>
      <c r="M198" s="382"/>
      <c r="N198" s="1475">
        <f>C198+D198</f>
        <v>17</v>
      </c>
      <c r="O198" s="359" t="s">
        <v>124</v>
      </c>
      <c r="P198" s="1582">
        <f t="shared" si="4"/>
        <v>17</v>
      </c>
    </row>
    <row r="199" spans="1:16" s="487" customFormat="1" ht="42" customHeight="1">
      <c r="A199" s="350">
        <f>A198+1</f>
        <v>11</v>
      </c>
      <c r="B199" s="593" t="s">
        <v>1927</v>
      </c>
      <c r="C199" s="382">
        <v>24</v>
      </c>
      <c r="D199" s="382"/>
      <c r="E199" s="382"/>
      <c r="F199" s="382"/>
      <c r="G199" s="382"/>
      <c r="H199" s="382"/>
      <c r="I199" s="382"/>
      <c r="J199" s="382"/>
      <c r="K199" s="382"/>
      <c r="L199" s="382"/>
      <c r="M199" s="382"/>
      <c r="N199" s="1475">
        <f>C199</f>
        <v>24</v>
      </c>
      <c r="O199" s="359" t="s">
        <v>124</v>
      </c>
      <c r="P199" s="1582">
        <f t="shared" si="4"/>
        <v>24</v>
      </c>
    </row>
    <row r="200" spans="1:16" s="487" customFormat="1" ht="15.75" customHeight="1">
      <c r="A200" s="346" t="s">
        <v>1731</v>
      </c>
      <c r="B200" s="342" t="s">
        <v>457</v>
      </c>
      <c r="C200" s="382"/>
      <c r="D200" s="382"/>
      <c r="E200" s="382"/>
      <c r="F200" s="382"/>
      <c r="G200" s="382"/>
      <c r="H200" s="382"/>
      <c r="I200" s="382"/>
      <c r="J200" s="382"/>
      <c r="K200" s="382"/>
      <c r="L200" s="382"/>
      <c r="M200" s="382"/>
      <c r="N200" s="1475"/>
      <c r="O200" s="359"/>
      <c r="P200" s="1581"/>
    </row>
    <row r="201" spans="1:16" s="487" customFormat="1" ht="15.75" customHeight="1">
      <c r="A201" s="350">
        <v>1</v>
      </c>
      <c r="B201" s="351" t="s">
        <v>458</v>
      </c>
      <c r="C201" s="382"/>
      <c r="D201" s="382"/>
      <c r="E201" s="382"/>
      <c r="F201" s="382"/>
      <c r="G201" s="382"/>
      <c r="H201" s="382"/>
      <c r="I201" s="382"/>
      <c r="J201" s="382"/>
      <c r="K201" s="382"/>
      <c r="L201" s="382"/>
      <c r="M201" s="382"/>
      <c r="N201" s="1475">
        <v>6</v>
      </c>
      <c r="O201" s="359" t="s">
        <v>357</v>
      </c>
      <c r="P201" s="1582">
        <f>ROUND((N201),2)</f>
        <v>6</v>
      </c>
    </row>
    <row r="202" spans="1:16" s="487" customFormat="1" ht="15.75" customHeight="1">
      <c r="A202" s="350">
        <f>A201+1</f>
        <v>2</v>
      </c>
      <c r="B202" s="351" t="s">
        <v>1928</v>
      </c>
      <c r="C202" s="382"/>
      <c r="D202" s="382"/>
      <c r="E202" s="382"/>
      <c r="F202" s="382"/>
      <c r="G202" s="382"/>
      <c r="H202" s="382"/>
      <c r="I202" s="382"/>
      <c r="J202" s="382"/>
      <c r="K202" s="382"/>
      <c r="L202" s="382"/>
      <c r="M202" s="382"/>
      <c r="N202" s="1475">
        <v>6</v>
      </c>
      <c r="O202" s="359" t="s">
        <v>357</v>
      </c>
      <c r="P202" s="1582">
        <f>ROUND((N202),2)</f>
        <v>6</v>
      </c>
    </row>
    <row r="203" spans="1:16" s="487" customFormat="1" ht="15.75" customHeight="1">
      <c r="A203" s="350"/>
      <c r="B203" s="351"/>
      <c r="C203" s="382"/>
      <c r="D203" s="382"/>
      <c r="E203" s="382"/>
      <c r="F203" s="382"/>
      <c r="G203" s="382"/>
      <c r="H203" s="382"/>
      <c r="I203" s="382"/>
      <c r="J203" s="382"/>
      <c r="K203" s="382"/>
      <c r="L203" s="382"/>
      <c r="M203" s="382"/>
      <c r="N203" s="1475"/>
      <c r="O203" s="359"/>
      <c r="P203" s="1581"/>
    </row>
    <row r="204" spans="1:16" s="487" customFormat="1" ht="15.75" customHeight="1">
      <c r="A204" s="350"/>
      <c r="B204" s="351"/>
      <c r="C204" s="382"/>
      <c r="D204" s="382" t="s">
        <v>1732</v>
      </c>
      <c r="E204" s="382"/>
      <c r="F204" s="382"/>
      <c r="G204" s="382"/>
      <c r="H204" s="382"/>
      <c r="I204" s="382"/>
      <c r="J204" s="382"/>
      <c r="K204" s="382"/>
      <c r="L204" s="382"/>
      <c r="M204" s="382"/>
      <c r="N204" s="1475"/>
      <c r="O204" s="359"/>
      <c r="P204" s="1581"/>
    </row>
    <row r="205" spans="1:16" s="487" customFormat="1" ht="15.75" customHeight="1">
      <c r="A205" s="350"/>
      <c r="B205" s="351"/>
      <c r="C205" s="382"/>
      <c r="D205" s="382"/>
      <c r="E205" s="382"/>
      <c r="F205" s="382"/>
      <c r="G205" s="382"/>
      <c r="H205" s="382"/>
      <c r="I205" s="382"/>
      <c r="J205" s="382"/>
      <c r="K205" s="382"/>
      <c r="L205" s="382"/>
      <c r="M205" s="382"/>
      <c r="N205" s="1475"/>
      <c r="O205" s="359"/>
      <c r="P205" s="1581"/>
    </row>
    <row r="206" spans="1:16" s="487" customFormat="1" ht="15.75" customHeight="1">
      <c r="A206" s="350"/>
      <c r="B206" s="351"/>
      <c r="C206" s="382"/>
      <c r="D206" s="382"/>
      <c r="E206" s="382"/>
      <c r="F206" s="382"/>
      <c r="G206" s="382"/>
      <c r="H206" s="382"/>
      <c r="I206" s="382"/>
      <c r="J206" s="382"/>
      <c r="K206" s="382"/>
      <c r="L206" s="382"/>
      <c r="M206" s="382"/>
      <c r="N206" s="1475"/>
      <c r="O206" s="359"/>
      <c r="P206" s="1581"/>
    </row>
    <row r="207" spans="1:16" s="487" customFormat="1" ht="15.75" customHeight="1">
      <c r="A207" s="350"/>
      <c r="B207" s="351"/>
      <c r="C207" s="382"/>
      <c r="D207" s="382"/>
      <c r="E207" s="382"/>
      <c r="F207" s="382"/>
      <c r="G207" s="382"/>
      <c r="H207" s="382"/>
      <c r="I207" s="382"/>
      <c r="J207" s="382"/>
      <c r="K207" s="382"/>
      <c r="L207" s="382"/>
      <c r="M207" s="382"/>
      <c r="N207" s="1475"/>
      <c r="O207" s="359"/>
      <c r="P207" s="1581"/>
    </row>
    <row r="208" spans="1:16" s="487" customFormat="1" ht="15.75" customHeight="1">
      <c r="A208" s="350"/>
      <c r="B208" s="351"/>
      <c r="C208" s="382"/>
      <c r="D208" s="382"/>
      <c r="E208" s="382"/>
      <c r="F208" s="382"/>
      <c r="G208" s="382"/>
      <c r="H208" s="382"/>
      <c r="I208" s="382"/>
      <c r="J208" s="382"/>
      <c r="K208" s="382"/>
      <c r="L208" s="382"/>
      <c r="M208" s="382"/>
      <c r="N208" s="1475"/>
      <c r="O208" s="359"/>
      <c r="P208" s="1581"/>
    </row>
    <row r="209" spans="1:16" s="487" customFormat="1" ht="15.75" customHeight="1">
      <c r="A209" s="350"/>
      <c r="B209" s="351"/>
      <c r="C209" s="382"/>
      <c r="D209" s="382"/>
      <c r="E209" s="382"/>
      <c r="F209" s="382"/>
      <c r="G209" s="382"/>
      <c r="H209" s="382"/>
      <c r="I209" s="382"/>
      <c r="J209" s="382"/>
      <c r="K209" s="382"/>
      <c r="L209" s="382"/>
      <c r="M209" s="382"/>
      <c r="N209" s="1475"/>
      <c r="O209" s="359"/>
      <c r="P209" s="1581"/>
    </row>
    <row r="210" spans="1:16" s="487" customFormat="1" ht="15.75" customHeight="1">
      <c r="A210" s="350"/>
      <c r="B210" s="351"/>
      <c r="C210" s="382"/>
      <c r="D210" s="382"/>
      <c r="E210" s="382"/>
      <c r="F210" s="382"/>
      <c r="G210" s="382"/>
      <c r="H210" s="382"/>
      <c r="I210" s="382"/>
      <c r="J210" s="382"/>
      <c r="K210" s="382"/>
      <c r="L210" s="382"/>
      <c r="M210" s="382"/>
      <c r="N210" s="1475"/>
      <c r="O210" s="359"/>
      <c r="P210" s="1581"/>
    </row>
    <row r="211" spans="1:16" s="487" customFormat="1" ht="15.75" customHeight="1">
      <c r="A211" s="350"/>
      <c r="B211" s="351"/>
      <c r="C211" s="382"/>
      <c r="D211" s="382"/>
      <c r="E211" s="382"/>
      <c r="F211" s="382"/>
      <c r="G211" s="382"/>
      <c r="H211" s="382"/>
      <c r="I211" s="382"/>
      <c r="J211" s="382"/>
      <c r="K211" s="382"/>
      <c r="L211" s="382"/>
      <c r="M211" s="382"/>
      <c r="N211" s="1475"/>
      <c r="O211" s="359"/>
      <c r="P211" s="1581"/>
    </row>
    <row r="212" spans="1:16" s="487" customFormat="1" ht="15.75" customHeight="1">
      <c r="A212" s="350"/>
      <c r="B212" s="351"/>
      <c r="C212" s="382"/>
      <c r="D212" s="382"/>
      <c r="E212" s="382"/>
      <c r="F212" s="382"/>
      <c r="G212" s="382"/>
      <c r="H212" s="382"/>
      <c r="I212" s="382"/>
      <c r="J212" s="382"/>
      <c r="K212" s="382"/>
      <c r="L212" s="382"/>
      <c r="M212" s="382"/>
      <c r="N212" s="1475"/>
      <c r="O212" s="359"/>
      <c r="P212" s="1581"/>
    </row>
    <row r="213" spans="1:16" s="487" customFormat="1" ht="15.75" customHeight="1">
      <c r="A213" s="350"/>
      <c r="B213" s="351"/>
      <c r="C213" s="382"/>
      <c r="D213" s="382"/>
      <c r="E213" s="382"/>
      <c r="F213" s="382"/>
      <c r="G213" s="382"/>
      <c r="H213" s="382"/>
      <c r="I213" s="382"/>
      <c r="J213" s="382"/>
      <c r="K213" s="382"/>
      <c r="L213" s="382"/>
      <c r="M213" s="382"/>
      <c r="N213" s="1475"/>
      <c r="O213" s="359"/>
      <c r="P213" s="1581"/>
    </row>
    <row r="214" spans="1:16" s="487" customFormat="1" ht="15.75" customHeight="1">
      <c r="A214" s="350"/>
      <c r="B214" s="351"/>
      <c r="C214" s="382"/>
      <c r="D214" s="382"/>
      <c r="E214" s="382"/>
      <c r="F214" s="382"/>
      <c r="G214" s="382"/>
      <c r="H214" s="382"/>
      <c r="I214" s="382"/>
      <c r="J214" s="382"/>
      <c r="K214" s="382"/>
      <c r="L214" s="382"/>
      <c r="M214" s="382"/>
      <c r="N214" s="1475"/>
      <c r="O214" s="359"/>
      <c r="P214" s="1581"/>
    </row>
    <row r="215" spans="1:16" s="487" customFormat="1" ht="15.75" customHeight="1">
      <c r="A215" s="350"/>
      <c r="B215" s="351"/>
      <c r="C215" s="382"/>
      <c r="D215" s="382"/>
      <c r="E215" s="382"/>
      <c r="F215" s="382"/>
      <c r="G215" s="382"/>
      <c r="H215" s="382"/>
      <c r="I215" s="382"/>
      <c r="J215" s="382"/>
      <c r="K215" s="382"/>
      <c r="L215" s="382"/>
      <c r="M215" s="382"/>
      <c r="N215" s="1475"/>
      <c r="O215" s="359"/>
      <c r="P215" s="1581"/>
    </row>
    <row r="216" spans="1:16" s="487" customFormat="1" ht="15.75" customHeight="1">
      <c r="A216" s="350"/>
      <c r="B216" s="351"/>
      <c r="C216" s="382"/>
      <c r="D216" s="382"/>
      <c r="E216" s="382"/>
      <c r="F216" s="382"/>
      <c r="G216" s="382"/>
      <c r="H216" s="382"/>
      <c r="I216" s="382"/>
      <c r="J216" s="382"/>
      <c r="K216" s="382"/>
      <c r="L216" s="382"/>
      <c r="M216" s="382"/>
      <c r="N216" s="1475"/>
      <c r="O216" s="359"/>
      <c r="P216" s="1581"/>
    </row>
    <row r="217" spans="1:16" s="487" customFormat="1" ht="15.75" customHeight="1">
      <c r="A217" s="350"/>
      <c r="B217" s="351"/>
      <c r="C217" s="382"/>
      <c r="D217" s="382"/>
      <c r="E217" s="382"/>
      <c r="F217" s="382"/>
      <c r="G217" s="382"/>
      <c r="H217" s="382"/>
      <c r="I217" s="382"/>
      <c r="J217" s="382"/>
      <c r="K217" s="382"/>
      <c r="L217" s="382"/>
      <c r="M217" s="382"/>
      <c r="N217" s="1475"/>
      <c r="O217" s="359"/>
      <c r="P217" s="1581"/>
    </row>
    <row r="218" spans="1:16" s="487" customFormat="1" ht="15.75" customHeight="1">
      <c r="A218" s="350"/>
      <c r="B218" s="351"/>
      <c r="C218" s="382"/>
      <c r="D218" s="382"/>
      <c r="E218" s="382"/>
      <c r="F218" s="382"/>
      <c r="G218" s="382"/>
      <c r="H218" s="382"/>
      <c r="I218" s="382"/>
      <c r="J218" s="382"/>
      <c r="K218" s="382"/>
      <c r="L218" s="382"/>
      <c r="M218" s="382"/>
      <c r="N218" s="1475"/>
      <c r="O218" s="359"/>
      <c r="P218" s="1581"/>
    </row>
    <row r="219" spans="1:16" s="487" customFormat="1" ht="15.75" customHeight="1">
      <c r="A219" s="350"/>
      <c r="B219" s="351"/>
      <c r="C219" s="382"/>
      <c r="D219" s="382"/>
      <c r="E219" s="382"/>
      <c r="F219" s="382"/>
      <c r="G219" s="382"/>
      <c r="H219" s="382"/>
      <c r="I219" s="382"/>
      <c r="J219" s="382"/>
      <c r="K219" s="382"/>
      <c r="L219" s="382"/>
      <c r="M219" s="382"/>
      <c r="N219" s="1475"/>
      <c r="O219" s="359"/>
      <c r="P219" s="1581"/>
    </row>
    <row r="220" spans="1:16" s="487" customFormat="1" ht="15.75" customHeight="1">
      <c r="A220" s="350"/>
      <c r="B220" s="351"/>
      <c r="C220" s="382"/>
      <c r="D220" s="382"/>
      <c r="E220" s="382"/>
      <c r="F220" s="382"/>
      <c r="G220" s="382"/>
      <c r="H220" s="382"/>
      <c r="I220" s="382"/>
      <c r="J220" s="382"/>
      <c r="K220" s="382"/>
      <c r="L220" s="382"/>
      <c r="M220" s="382"/>
      <c r="N220" s="1475"/>
      <c r="O220" s="359"/>
      <c r="P220" s="1581"/>
    </row>
    <row r="221" spans="1:16" s="487" customFormat="1" ht="15.75" customHeight="1">
      <c r="A221" s="350"/>
      <c r="B221" s="351"/>
      <c r="C221" s="382"/>
      <c r="D221" s="382"/>
      <c r="E221" s="382"/>
      <c r="F221" s="382"/>
      <c r="G221" s="382"/>
      <c r="H221" s="382"/>
      <c r="I221" s="382"/>
      <c r="J221" s="382"/>
      <c r="K221" s="382"/>
      <c r="L221" s="382"/>
      <c r="M221" s="382"/>
      <c r="N221" s="1475"/>
      <c r="O221" s="359"/>
      <c r="P221" s="1581"/>
    </row>
    <row r="222" spans="1:16" s="487" customFormat="1" ht="15.75" customHeight="1">
      <c r="A222" s="350"/>
      <c r="B222" s="351"/>
      <c r="C222" s="382"/>
      <c r="D222" s="382"/>
      <c r="E222" s="382"/>
      <c r="F222" s="382"/>
      <c r="G222" s="382"/>
      <c r="H222" s="382"/>
      <c r="I222" s="382"/>
      <c r="J222" s="382"/>
      <c r="K222" s="382"/>
      <c r="L222" s="382"/>
      <c r="M222" s="382"/>
      <c r="N222" s="1475"/>
      <c r="O222" s="359"/>
      <c r="P222" s="1581"/>
    </row>
    <row r="223" spans="1:16" s="487" customFormat="1" ht="15.75" customHeight="1">
      <c r="A223" s="350"/>
      <c r="B223" s="351"/>
      <c r="C223" s="382"/>
      <c r="D223" s="382"/>
      <c r="E223" s="382"/>
      <c r="F223" s="382"/>
      <c r="G223" s="382"/>
      <c r="H223" s="382"/>
      <c r="I223" s="382"/>
      <c r="J223" s="382"/>
      <c r="K223" s="382"/>
      <c r="L223" s="382"/>
      <c r="M223" s="382"/>
      <c r="N223" s="1475"/>
      <c r="O223" s="359"/>
      <c r="P223" s="1581"/>
    </row>
    <row r="224" spans="1:16" s="487" customFormat="1" ht="15.75" customHeight="1">
      <c r="A224" s="350"/>
      <c r="B224" s="351"/>
      <c r="C224" s="382"/>
      <c r="D224" s="382"/>
      <c r="E224" s="382"/>
      <c r="F224" s="382"/>
      <c r="G224" s="382"/>
      <c r="H224" s="382"/>
      <c r="I224" s="382"/>
      <c r="J224" s="382"/>
      <c r="K224" s="382"/>
      <c r="L224" s="382"/>
      <c r="M224" s="382"/>
      <c r="N224" s="1475"/>
      <c r="O224" s="359"/>
      <c r="P224" s="1581"/>
    </row>
    <row r="225" spans="1:16" s="487" customFormat="1" ht="15.75" customHeight="1">
      <c r="A225" s="350"/>
      <c r="B225" s="351"/>
      <c r="C225" s="382"/>
      <c r="D225" s="382"/>
      <c r="E225" s="382"/>
      <c r="F225" s="382"/>
      <c r="G225" s="382"/>
      <c r="H225" s="382"/>
      <c r="I225" s="382"/>
      <c r="J225" s="382"/>
      <c r="K225" s="382"/>
      <c r="L225" s="382"/>
      <c r="M225" s="382"/>
      <c r="N225" s="1475"/>
      <c r="O225" s="359"/>
      <c r="P225" s="1581"/>
    </row>
    <row r="226" spans="1:16" s="487" customFormat="1" ht="15.75" customHeight="1">
      <c r="A226" s="350"/>
      <c r="B226" s="351"/>
      <c r="C226" s="382"/>
      <c r="D226" s="382"/>
      <c r="E226" s="382"/>
      <c r="F226" s="382"/>
      <c r="G226" s="382"/>
      <c r="H226" s="382"/>
      <c r="I226" s="382"/>
      <c r="J226" s="382"/>
      <c r="K226" s="382"/>
      <c r="L226" s="382"/>
      <c r="M226" s="382"/>
      <c r="N226" s="1475"/>
      <c r="O226" s="359"/>
      <c r="P226" s="1581"/>
    </row>
    <row r="227" spans="1:16" s="487" customFormat="1" ht="15.75" customHeight="1">
      <c r="A227" s="350"/>
      <c r="B227" s="351"/>
      <c r="C227" s="382"/>
      <c r="D227" s="382"/>
      <c r="E227" s="382"/>
      <c r="F227" s="382"/>
      <c r="G227" s="382"/>
      <c r="H227" s="382"/>
      <c r="I227" s="382"/>
      <c r="J227" s="382"/>
      <c r="K227" s="382"/>
      <c r="L227" s="382"/>
      <c r="M227" s="382"/>
      <c r="N227" s="1475"/>
      <c r="O227" s="359"/>
      <c r="P227" s="1581"/>
    </row>
    <row r="228" spans="1:16" s="487" customFormat="1" ht="15.75" customHeight="1">
      <c r="A228" s="350"/>
      <c r="B228" s="351"/>
      <c r="C228" s="382"/>
      <c r="D228" s="382"/>
      <c r="E228" s="382"/>
      <c r="F228" s="382"/>
      <c r="G228" s="382"/>
      <c r="H228" s="382"/>
      <c r="I228" s="382"/>
      <c r="J228" s="382"/>
      <c r="K228" s="382"/>
      <c r="L228" s="382"/>
      <c r="M228" s="382"/>
      <c r="N228" s="1475"/>
      <c r="O228" s="359"/>
      <c r="P228" s="1581"/>
    </row>
    <row r="229" spans="1:16" s="487" customFormat="1" ht="15.75" customHeight="1">
      <c r="A229" s="350"/>
      <c r="B229" s="351"/>
      <c r="C229" s="382"/>
      <c r="D229" s="382"/>
      <c r="E229" s="382"/>
      <c r="F229" s="382"/>
      <c r="G229" s="382"/>
      <c r="H229" s="382"/>
      <c r="I229" s="382"/>
      <c r="J229" s="382"/>
      <c r="K229" s="382"/>
      <c r="L229" s="382"/>
      <c r="M229" s="382"/>
      <c r="N229" s="1475"/>
      <c r="O229" s="359"/>
      <c r="P229" s="1581"/>
    </row>
    <row r="230" spans="1:16" s="487" customFormat="1" ht="15.75" customHeight="1">
      <c r="A230" s="350"/>
      <c r="B230" s="351"/>
      <c r="C230" s="382"/>
      <c r="D230" s="382"/>
      <c r="E230" s="382"/>
      <c r="F230" s="382"/>
      <c r="G230" s="382"/>
      <c r="H230" s="382"/>
      <c r="I230" s="382"/>
      <c r="J230" s="382"/>
      <c r="K230" s="382"/>
      <c r="L230" s="382"/>
      <c r="M230" s="382"/>
      <c r="N230" s="1475"/>
      <c r="O230" s="359"/>
      <c r="P230" s="1581"/>
    </row>
    <row r="231" spans="1:16" s="487" customFormat="1" ht="15.75" customHeight="1">
      <c r="A231" s="350"/>
      <c r="B231" s="351"/>
      <c r="C231" s="382"/>
      <c r="D231" s="382"/>
      <c r="E231" s="382"/>
      <c r="F231" s="382"/>
      <c r="G231" s="382"/>
      <c r="H231" s="382"/>
      <c r="I231" s="382"/>
      <c r="J231" s="382"/>
      <c r="K231" s="382"/>
      <c r="L231" s="382"/>
      <c r="M231" s="382"/>
      <c r="N231" s="1475"/>
      <c r="O231" s="359"/>
      <c r="P231" s="1581"/>
    </row>
    <row r="232" spans="1:16" s="487" customFormat="1" ht="15.75" customHeight="1">
      <c r="A232" s="350"/>
      <c r="B232" s="351"/>
      <c r="C232" s="382"/>
      <c r="D232" s="382"/>
      <c r="E232" s="382"/>
      <c r="F232" s="382"/>
      <c r="G232" s="382"/>
      <c r="H232" s="382"/>
      <c r="I232" s="382"/>
      <c r="J232" s="382"/>
      <c r="K232" s="382"/>
      <c r="L232" s="382"/>
      <c r="M232" s="382"/>
      <c r="N232" s="1475"/>
      <c r="O232" s="359"/>
      <c r="P232" s="1581"/>
    </row>
    <row r="233" spans="1:16" s="487" customFormat="1" ht="15.75" customHeight="1">
      <c r="A233" s="350"/>
      <c r="B233" s="351"/>
      <c r="C233" s="382"/>
      <c r="D233" s="382"/>
      <c r="E233" s="382"/>
      <c r="F233" s="382"/>
      <c r="G233" s="382"/>
      <c r="H233" s="382"/>
      <c r="I233" s="382"/>
      <c r="J233" s="382"/>
      <c r="K233" s="382"/>
      <c r="L233" s="382"/>
      <c r="M233" s="382"/>
      <c r="N233" s="1475"/>
      <c r="O233" s="359"/>
      <c r="P233" s="1581"/>
    </row>
    <row r="234" spans="1:16" s="487" customFormat="1" ht="15.75" customHeight="1">
      <c r="A234" s="350"/>
      <c r="B234" s="351"/>
      <c r="C234" s="382"/>
      <c r="D234" s="382"/>
      <c r="E234" s="382"/>
      <c r="F234" s="382"/>
      <c r="G234" s="382"/>
      <c r="H234" s="382"/>
      <c r="I234" s="382"/>
      <c r="J234" s="382"/>
      <c r="K234" s="382"/>
      <c r="L234" s="382"/>
      <c r="M234" s="382"/>
      <c r="N234" s="1475"/>
      <c r="O234" s="359"/>
      <c r="P234" s="1581"/>
    </row>
    <row r="235" spans="1:16" s="487" customFormat="1" ht="15.75" customHeight="1">
      <c r="A235" s="350"/>
      <c r="B235" s="351"/>
      <c r="C235" s="382"/>
      <c r="D235" s="382"/>
      <c r="E235" s="382"/>
      <c r="F235" s="382"/>
      <c r="G235" s="382"/>
      <c r="H235" s="382"/>
      <c r="I235" s="382"/>
      <c r="J235" s="382"/>
      <c r="K235" s="382"/>
      <c r="L235" s="382"/>
      <c r="M235" s="382"/>
      <c r="N235" s="1475"/>
      <c r="O235" s="359"/>
      <c r="P235" s="1581"/>
    </row>
    <row r="236" spans="1:16" s="487" customFormat="1" ht="15.75" customHeight="1">
      <c r="A236" s="350"/>
      <c r="B236" s="351"/>
      <c r="C236" s="382"/>
      <c r="D236" s="382"/>
      <c r="E236" s="382"/>
      <c r="F236" s="382"/>
      <c r="G236" s="382"/>
      <c r="H236" s="382"/>
      <c r="I236" s="382"/>
      <c r="J236" s="382"/>
      <c r="K236" s="382"/>
      <c r="L236" s="382"/>
      <c r="M236" s="382"/>
      <c r="N236" s="1475"/>
      <c r="O236" s="359"/>
      <c r="P236" s="1581"/>
    </row>
    <row r="237" spans="1:16" s="487" customFormat="1" ht="15.75" customHeight="1">
      <c r="A237" s="350"/>
      <c r="B237" s="351"/>
      <c r="C237" s="382"/>
      <c r="D237" s="382"/>
      <c r="E237" s="382"/>
      <c r="F237" s="382"/>
      <c r="G237" s="382"/>
      <c r="H237" s="382"/>
      <c r="I237" s="382"/>
      <c r="J237" s="382"/>
      <c r="K237" s="382"/>
      <c r="L237" s="382"/>
      <c r="M237" s="382"/>
      <c r="N237" s="1475"/>
      <c r="O237" s="359"/>
      <c r="P237" s="1581"/>
    </row>
    <row r="238" spans="1:16" s="487" customFormat="1" ht="15.75" customHeight="1">
      <c r="A238" s="350"/>
      <c r="B238" s="351"/>
      <c r="C238" s="382"/>
      <c r="D238" s="382"/>
      <c r="E238" s="382"/>
      <c r="F238" s="382"/>
      <c r="G238" s="382"/>
      <c r="H238" s="382"/>
      <c r="I238" s="382"/>
      <c r="J238" s="382"/>
      <c r="K238" s="382"/>
      <c r="L238" s="382"/>
      <c r="M238" s="382"/>
      <c r="N238" s="1475"/>
      <c r="O238" s="359"/>
      <c r="P238" s="1581"/>
    </row>
    <row r="239" spans="1:16" s="487" customFormat="1" ht="15.75" customHeight="1">
      <c r="A239" s="350"/>
      <c r="B239" s="351"/>
      <c r="C239" s="382"/>
      <c r="D239" s="382"/>
      <c r="E239" s="382"/>
      <c r="F239" s="382"/>
      <c r="G239" s="382"/>
      <c r="H239" s="382"/>
      <c r="I239" s="382"/>
      <c r="J239" s="382"/>
      <c r="K239" s="382"/>
      <c r="L239" s="382"/>
      <c r="M239" s="382"/>
      <c r="N239" s="1475"/>
      <c r="O239" s="359"/>
      <c r="P239" s="1581"/>
    </row>
    <row r="240" spans="1:16" s="487" customFormat="1" ht="15.75" customHeight="1">
      <c r="A240" s="350"/>
      <c r="B240" s="351"/>
      <c r="C240" s="382"/>
      <c r="D240" s="382"/>
      <c r="E240" s="382"/>
      <c r="F240" s="382"/>
      <c r="G240" s="382"/>
      <c r="H240" s="382"/>
      <c r="I240" s="382"/>
      <c r="J240" s="382"/>
      <c r="K240" s="382"/>
      <c r="L240" s="382"/>
      <c r="M240" s="382"/>
      <c r="N240" s="1475"/>
      <c r="O240" s="359"/>
      <c r="P240" s="1581"/>
    </row>
    <row r="241" spans="1:16" s="487" customFormat="1" ht="15.75" customHeight="1">
      <c r="A241" s="350"/>
      <c r="B241" s="351"/>
      <c r="C241" s="382"/>
      <c r="D241" s="382"/>
      <c r="E241" s="382"/>
      <c r="F241" s="382"/>
      <c r="G241" s="382"/>
      <c r="H241" s="382"/>
      <c r="I241" s="382"/>
      <c r="J241" s="382"/>
      <c r="K241" s="382"/>
      <c r="L241" s="382"/>
      <c r="M241" s="382"/>
      <c r="N241" s="1475"/>
      <c r="O241" s="359"/>
      <c r="P241" s="1581"/>
    </row>
    <row r="242" spans="1:16" s="487" customFormat="1" ht="15.75" customHeight="1">
      <c r="A242" s="350"/>
      <c r="B242" s="351"/>
      <c r="C242" s="382"/>
      <c r="D242" s="382"/>
      <c r="E242" s="382"/>
      <c r="F242" s="382"/>
      <c r="G242" s="382"/>
      <c r="H242" s="382"/>
      <c r="I242" s="382"/>
      <c r="J242" s="382"/>
      <c r="K242" s="382"/>
      <c r="L242" s="382"/>
      <c r="M242" s="382"/>
      <c r="N242" s="1475"/>
      <c r="O242" s="359"/>
      <c r="P242" s="1581"/>
    </row>
    <row r="243" spans="1:16" s="487" customFormat="1" ht="15.75" customHeight="1">
      <c r="A243" s="350"/>
      <c r="B243" s="351"/>
      <c r="C243" s="382"/>
      <c r="D243" s="382"/>
      <c r="E243" s="382"/>
      <c r="F243" s="382"/>
      <c r="G243" s="382"/>
      <c r="H243" s="382"/>
      <c r="I243" s="382"/>
      <c r="J243" s="382"/>
      <c r="K243" s="382"/>
      <c r="L243" s="382"/>
      <c r="M243" s="382"/>
      <c r="N243" s="1475"/>
      <c r="O243" s="359"/>
      <c r="P243" s="1581"/>
    </row>
    <row r="244" spans="1:16" s="487" customFormat="1" ht="15.75" customHeight="1">
      <c r="A244" s="350"/>
      <c r="B244" s="351"/>
      <c r="C244" s="382"/>
      <c r="D244" s="382"/>
      <c r="E244" s="382"/>
      <c r="F244" s="382"/>
      <c r="G244" s="382"/>
      <c r="H244" s="382"/>
      <c r="I244" s="382"/>
      <c r="J244" s="382"/>
      <c r="K244" s="382"/>
      <c r="L244" s="382"/>
      <c r="M244" s="382"/>
      <c r="N244" s="1475"/>
      <c r="O244" s="359"/>
      <c r="P244" s="1581"/>
    </row>
    <row r="245" spans="1:16" s="487" customFormat="1" ht="15.75" customHeight="1">
      <c r="A245" s="350"/>
      <c r="B245" s="351"/>
      <c r="C245" s="382"/>
      <c r="D245" s="382"/>
      <c r="E245" s="382"/>
      <c r="F245" s="382"/>
      <c r="G245" s="382"/>
      <c r="H245" s="382"/>
      <c r="I245" s="382"/>
      <c r="J245" s="382"/>
      <c r="K245" s="382"/>
      <c r="L245" s="382"/>
      <c r="M245" s="382"/>
      <c r="N245" s="1475"/>
      <c r="O245" s="359"/>
      <c r="P245" s="1581"/>
    </row>
    <row r="246" spans="1:16" s="487" customFormat="1" ht="15.75" customHeight="1">
      <c r="A246" s="350"/>
      <c r="B246" s="351"/>
      <c r="C246" s="382"/>
      <c r="D246" s="382"/>
      <c r="E246" s="382"/>
      <c r="F246" s="382"/>
      <c r="G246" s="382"/>
      <c r="H246" s="382"/>
      <c r="I246" s="382"/>
      <c r="J246" s="382"/>
      <c r="K246" s="382"/>
      <c r="L246" s="382"/>
      <c r="M246" s="382"/>
      <c r="N246" s="1475"/>
      <c r="O246" s="359"/>
      <c r="P246" s="1581"/>
    </row>
    <row r="247" spans="1:16" s="487" customFormat="1" ht="15.75" customHeight="1">
      <c r="A247" s="350"/>
      <c r="B247" s="351"/>
      <c r="C247" s="382"/>
      <c r="D247" s="382"/>
      <c r="E247" s="382"/>
      <c r="F247" s="382"/>
      <c r="G247" s="382"/>
      <c r="H247" s="382"/>
      <c r="I247" s="382"/>
      <c r="J247" s="382"/>
      <c r="K247" s="382"/>
      <c r="L247" s="382"/>
      <c r="M247" s="382"/>
      <c r="N247" s="1475"/>
      <c r="O247" s="359"/>
      <c r="P247" s="1581"/>
    </row>
    <row r="248" spans="1:16" s="487" customFormat="1" ht="15.75" customHeight="1">
      <c r="A248" s="350"/>
      <c r="B248" s="351"/>
      <c r="C248" s="382"/>
      <c r="D248" s="382"/>
      <c r="E248" s="382"/>
      <c r="F248" s="382"/>
      <c r="G248" s="382"/>
      <c r="H248" s="382"/>
      <c r="I248" s="382"/>
      <c r="J248" s="382"/>
      <c r="K248" s="382"/>
      <c r="L248" s="382"/>
      <c r="M248" s="382"/>
      <c r="N248" s="1475"/>
      <c r="O248" s="359"/>
      <c r="P248" s="1581"/>
    </row>
    <row r="249" spans="1:16" s="487" customFormat="1" ht="15.75" customHeight="1">
      <c r="A249" s="350"/>
      <c r="B249" s="351"/>
      <c r="C249" s="382"/>
      <c r="D249" s="382"/>
      <c r="E249" s="382"/>
      <c r="F249" s="382"/>
      <c r="G249" s="382"/>
      <c r="H249" s="382"/>
      <c r="I249" s="382"/>
      <c r="J249" s="382"/>
      <c r="K249" s="382"/>
      <c r="L249" s="382"/>
      <c r="M249" s="382"/>
      <c r="N249" s="1475"/>
      <c r="O249" s="359"/>
      <c r="P249" s="1581"/>
    </row>
    <row r="250" spans="1:16" s="487" customFormat="1" ht="15.75" customHeight="1">
      <c r="A250" s="350"/>
      <c r="B250" s="351"/>
      <c r="C250" s="382"/>
      <c r="D250" s="382"/>
      <c r="E250" s="382"/>
      <c r="F250" s="382"/>
      <c r="G250" s="382"/>
      <c r="H250" s="382"/>
      <c r="I250" s="382"/>
      <c r="J250" s="382"/>
      <c r="K250" s="382"/>
      <c r="L250" s="382"/>
      <c r="M250" s="382"/>
      <c r="N250" s="1475"/>
      <c r="O250" s="359"/>
      <c r="P250" s="1581"/>
    </row>
    <row r="251" spans="1:16" s="487" customFormat="1" ht="15.75" customHeight="1">
      <c r="A251" s="350"/>
      <c r="B251" s="351"/>
      <c r="C251" s="382"/>
      <c r="D251" s="382"/>
      <c r="E251" s="382"/>
      <c r="F251" s="382"/>
      <c r="G251" s="382"/>
      <c r="H251" s="382"/>
      <c r="I251" s="382"/>
      <c r="J251" s="382"/>
      <c r="K251" s="382"/>
      <c r="L251" s="382"/>
      <c r="M251" s="382"/>
      <c r="N251" s="1475"/>
      <c r="O251" s="359"/>
      <c r="P251" s="1581"/>
    </row>
    <row r="252" spans="1:16" s="487" customFormat="1" ht="15.75" customHeight="1">
      <c r="A252" s="350"/>
      <c r="B252" s="351"/>
      <c r="C252" s="382"/>
      <c r="D252" s="382"/>
      <c r="E252" s="382"/>
      <c r="F252" s="382"/>
      <c r="G252" s="382"/>
      <c r="H252" s="382"/>
      <c r="I252" s="382"/>
      <c r="J252" s="382"/>
      <c r="K252" s="382"/>
      <c r="L252" s="382"/>
      <c r="M252" s="382"/>
      <c r="N252" s="1475"/>
      <c r="O252" s="359"/>
      <c r="P252" s="1581"/>
    </row>
    <row r="253" spans="1:16" s="487" customFormat="1" ht="15.75" customHeight="1">
      <c r="A253" s="350"/>
      <c r="B253" s="351"/>
      <c r="C253" s="382"/>
      <c r="D253" s="382"/>
      <c r="E253" s="382"/>
      <c r="F253" s="382"/>
      <c r="G253" s="382"/>
      <c r="H253" s="382"/>
      <c r="I253" s="382"/>
      <c r="J253" s="382"/>
      <c r="K253" s="382"/>
      <c r="L253" s="382"/>
      <c r="M253" s="382"/>
      <c r="N253" s="1475"/>
      <c r="O253" s="359"/>
      <c r="P253" s="1581"/>
    </row>
    <row r="254" spans="1:16" s="487" customFormat="1" ht="15.75" customHeight="1">
      <c r="A254" s="350"/>
      <c r="B254" s="351"/>
      <c r="C254" s="382"/>
      <c r="D254" s="382"/>
      <c r="E254" s="382"/>
      <c r="F254" s="382"/>
      <c r="G254" s="382"/>
      <c r="H254" s="382"/>
      <c r="I254" s="382"/>
      <c r="J254" s="382"/>
      <c r="K254" s="382"/>
      <c r="L254" s="382"/>
      <c r="M254" s="382"/>
      <c r="N254" s="1475"/>
      <c r="O254" s="359"/>
      <c r="P254" s="1581"/>
    </row>
    <row r="255" spans="1:16" s="487" customFormat="1" ht="15.75" customHeight="1">
      <c r="A255" s="350"/>
      <c r="B255" s="351"/>
      <c r="C255" s="382"/>
      <c r="D255" s="382"/>
      <c r="E255" s="382"/>
      <c r="F255" s="382"/>
      <c r="G255" s="382"/>
      <c r="H255" s="382"/>
      <c r="I255" s="382"/>
      <c r="J255" s="382"/>
      <c r="K255" s="382"/>
      <c r="L255" s="382"/>
      <c r="M255" s="382"/>
      <c r="N255" s="1475"/>
      <c r="O255" s="359"/>
      <c r="P255" s="1581"/>
    </row>
    <row r="256" spans="1:16" s="487" customFormat="1" ht="15.75" customHeight="1">
      <c r="A256" s="350"/>
      <c r="B256" s="351"/>
      <c r="C256" s="382"/>
      <c r="D256" s="382"/>
      <c r="E256" s="382"/>
      <c r="F256" s="382"/>
      <c r="G256" s="382"/>
      <c r="H256" s="382"/>
      <c r="I256" s="382"/>
      <c r="J256" s="382"/>
      <c r="K256" s="382"/>
      <c r="L256" s="382"/>
      <c r="M256" s="382"/>
      <c r="N256" s="1475"/>
      <c r="O256" s="359"/>
      <c r="P256" s="1581"/>
    </row>
    <row r="257" spans="1:16" s="487" customFormat="1" ht="15.75" customHeight="1">
      <c r="A257" s="350"/>
      <c r="B257" s="351"/>
      <c r="C257" s="382"/>
      <c r="D257" s="382"/>
      <c r="E257" s="382"/>
      <c r="F257" s="382"/>
      <c r="G257" s="382"/>
      <c r="H257" s="382"/>
      <c r="I257" s="382"/>
      <c r="J257" s="382"/>
      <c r="K257" s="382"/>
      <c r="L257" s="382"/>
      <c r="M257" s="382"/>
      <c r="N257" s="1475"/>
      <c r="O257" s="359"/>
      <c r="P257" s="1581"/>
    </row>
    <row r="258" spans="1:16" s="487" customFormat="1" ht="15.75" customHeight="1">
      <c r="A258" s="350"/>
      <c r="B258" s="351"/>
      <c r="C258" s="382"/>
      <c r="D258" s="382"/>
      <c r="E258" s="382"/>
      <c r="F258" s="382"/>
      <c r="G258" s="382"/>
      <c r="H258" s="382"/>
      <c r="I258" s="382"/>
      <c r="J258" s="382"/>
      <c r="K258" s="382"/>
      <c r="L258" s="382"/>
      <c r="M258" s="382"/>
      <c r="N258" s="1475"/>
      <c r="O258" s="359"/>
      <c r="P258" s="1581"/>
    </row>
    <row r="259" spans="1:16" s="487" customFormat="1" ht="15.75" customHeight="1">
      <c r="A259" s="350"/>
      <c r="B259" s="351"/>
      <c r="C259" s="382"/>
      <c r="D259" s="382"/>
      <c r="E259" s="382"/>
      <c r="F259" s="382"/>
      <c r="G259" s="382"/>
      <c r="H259" s="382"/>
      <c r="I259" s="382"/>
      <c r="J259" s="382"/>
      <c r="K259" s="382"/>
      <c r="L259" s="382"/>
      <c r="M259" s="382"/>
      <c r="N259" s="1475"/>
      <c r="O259" s="359"/>
      <c r="P259" s="1581"/>
    </row>
    <row r="260" spans="1:16" s="487" customFormat="1" ht="15.75" customHeight="1">
      <c r="A260" s="350"/>
      <c r="B260" s="351"/>
      <c r="C260" s="382"/>
      <c r="D260" s="382"/>
      <c r="E260" s="382"/>
      <c r="F260" s="382"/>
      <c r="G260" s="382"/>
      <c r="H260" s="382"/>
      <c r="I260" s="382"/>
      <c r="J260" s="382"/>
      <c r="K260" s="382"/>
      <c r="L260" s="382"/>
      <c r="M260" s="382"/>
      <c r="N260" s="1475"/>
      <c r="O260" s="359"/>
      <c r="P260" s="1581"/>
    </row>
    <row r="261" spans="1:16" s="487" customFormat="1" ht="15.75" customHeight="1">
      <c r="A261" s="350"/>
      <c r="B261" s="351"/>
      <c r="C261" s="382"/>
      <c r="D261" s="382"/>
      <c r="E261" s="382"/>
      <c r="F261" s="382"/>
      <c r="G261" s="382"/>
      <c r="H261" s="382"/>
      <c r="I261" s="382"/>
      <c r="J261" s="382"/>
      <c r="K261" s="382"/>
      <c r="L261" s="382"/>
      <c r="M261" s="382"/>
      <c r="N261" s="1475"/>
      <c r="O261" s="359"/>
      <c r="P261" s="1581"/>
    </row>
    <row r="262" spans="1:16" s="487" customFormat="1" ht="15.75" customHeight="1">
      <c r="A262" s="350"/>
      <c r="B262" s="351"/>
      <c r="C262" s="382"/>
      <c r="D262" s="382"/>
      <c r="E262" s="382"/>
      <c r="F262" s="382"/>
      <c r="G262" s="382"/>
      <c r="H262" s="382"/>
      <c r="I262" s="382"/>
      <c r="J262" s="382"/>
      <c r="K262" s="382"/>
      <c r="L262" s="382"/>
      <c r="M262" s="382"/>
      <c r="N262" s="1475"/>
      <c r="O262" s="359"/>
      <c r="P262" s="1581"/>
    </row>
    <row r="263" spans="1:16" s="487" customFormat="1" ht="15.75" customHeight="1">
      <c r="A263" s="350"/>
      <c r="B263" s="351"/>
      <c r="C263" s="382"/>
      <c r="D263" s="382"/>
      <c r="E263" s="382"/>
      <c r="F263" s="382"/>
      <c r="G263" s="382"/>
      <c r="H263" s="382"/>
      <c r="I263" s="382"/>
      <c r="J263" s="382"/>
      <c r="K263" s="382"/>
      <c r="L263" s="382"/>
      <c r="M263" s="382"/>
      <c r="N263" s="1475"/>
      <c r="O263" s="359"/>
      <c r="P263" s="1581"/>
    </row>
    <row r="264" spans="1:16" s="487" customFormat="1" ht="15.75" customHeight="1">
      <c r="A264" s="350"/>
      <c r="B264" s="351"/>
      <c r="C264" s="382"/>
      <c r="D264" s="382"/>
      <c r="E264" s="382"/>
      <c r="F264" s="382"/>
      <c r="G264" s="382"/>
      <c r="H264" s="382"/>
      <c r="I264" s="382"/>
      <c r="J264" s="382"/>
      <c r="K264" s="382"/>
      <c r="L264" s="382"/>
      <c r="M264" s="382"/>
      <c r="N264" s="1475"/>
      <c r="O264" s="359"/>
      <c r="P264" s="1581"/>
    </row>
    <row r="265" spans="1:16" s="487" customFormat="1" ht="15.75" customHeight="1">
      <c r="A265" s="350"/>
      <c r="B265" s="351"/>
      <c r="C265" s="382"/>
      <c r="D265" s="382"/>
      <c r="E265" s="382"/>
      <c r="F265" s="382"/>
      <c r="G265" s="382"/>
      <c r="H265" s="382"/>
      <c r="I265" s="382"/>
      <c r="J265" s="382"/>
      <c r="K265" s="382"/>
      <c r="L265" s="382"/>
      <c r="M265" s="382"/>
      <c r="N265" s="1475"/>
      <c r="O265" s="359"/>
      <c r="P265" s="1581"/>
    </row>
    <row r="266" spans="1:16" s="487" customFormat="1" ht="15.75" customHeight="1">
      <c r="A266" s="350"/>
      <c r="B266" s="351"/>
      <c r="C266" s="382"/>
      <c r="D266" s="382"/>
      <c r="E266" s="382"/>
      <c r="F266" s="382"/>
      <c r="G266" s="382"/>
      <c r="H266" s="382"/>
      <c r="I266" s="382"/>
      <c r="J266" s="382"/>
      <c r="K266" s="382"/>
      <c r="L266" s="382"/>
      <c r="M266" s="382"/>
      <c r="N266" s="1475"/>
      <c r="O266" s="359"/>
      <c r="P266" s="1581"/>
    </row>
    <row r="267" spans="1:16" s="487" customFormat="1" ht="15.75" customHeight="1">
      <c r="A267" s="350"/>
      <c r="B267" s="351"/>
      <c r="C267" s="382"/>
      <c r="D267" s="382"/>
      <c r="E267" s="382"/>
      <c r="F267" s="382"/>
      <c r="G267" s="382"/>
      <c r="H267" s="382"/>
      <c r="I267" s="382"/>
      <c r="J267" s="382"/>
      <c r="K267" s="382"/>
      <c r="L267" s="382"/>
      <c r="M267" s="382"/>
      <c r="N267" s="1475"/>
      <c r="O267" s="359"/>
      <c r="P267" s="1581"/>
    </row>
    <row r="268" spans="1:16" s="487" customFormat="1" ht="15.75" customHeight="1">
      <c r="A268" s="350"/>
      <c r="B268" s="351"/>
      <c r="C268" s="382"/>
      <c r="D268" s="382"/>
      <c r="E268" s="382"/>
      <c r="F268" s="382"/>
      <c r="G268" s="382"/>
      <c r="H268" s="382"/>
      <c r="I268" s="382"/>
      <c r="J268" s="382"/>
      <c r="K268" s="382"/>
      <c r="L268" s="382"/>
      <c r="M268" s="382"/>
      <c r="N268" s="1475"/>
      <c r="O268" s="359"/>
      <c r="P268" s="1581"/>
    </row>
    <row r="269" spans="1:16" s="487" customFormat="1" ht="15.75" customHeight="1">
      <c r="A269" s="350"/>
      <c r="B269" s="351"/>
      <c r="C269" s="382"/>
      <c r="D269" s="382"/>
      <c r="E269" s="382"/>
      <c r="F269" s="382"/>
      <c r="G269" s="382"/>
      <c r="H269" s="382"/>
      <c r="I269" s="382"/>
      <c r="J269" s="382"/>
      <c r="K269" s="382"/>
      <c r="L269" s="382"/>
      <c r="M269" s="382"/>
      <c r="N269" s="1475"/>
      <c r="O269" s="359"/>
      <c r="P269" s="1581"/>
    </row>
    <row r="270" spans="1:16" s="487" customFormat="1" ht="15.75" customHeight="1">
      <c r="A270" s="350"/>
      <c r="B270" s="351"/>
      <c r="C270" s="382"/>
      <c r="D270" s="382"/>
      <c r="E270" s="382"/>
      <c r="F270" s="382"/>
      <c r="G270" s="382"/>
      <c r="H270" s="382"/>
      <c r="I270" s="382"/>
      <c r="J270" s="382"/>
      <c r="K270" s="382"/>
      <c r="L270" s="382"/>
      <c r="M270" s="382"/>
      <c r="N270" s="1475"/>
      <c r="O270" s="359"/>
      <c r="P270" s="1581"/>
    </row>
    <row r="271" spans="1:16" s="487" customFormat="1" ht="15.75" customHeight="1">
      <c r="A271" s="350"/>
      <c r="B271" s="351"/>
      <c r="C271" s="382"/>
      <c r="D271" s="382"/>
      <c r="E271" s="382"/>
      <c r="F271" s="382"/>
      <c r="G271" s="382"/>
      <c r="H271" s="382"/>
      <c r="I271" s="382"/>
      <c r="J271" s="382"/>
      <c r="K271" s="382"/>
      <c r="L271" s="382"/>
      <c r="M271" s="382"/>
      <c r="N271" s="1475"/>
      <c r="O271" s="359"/>
      <c r="P271" s="1581"/>
    </row>
    <row r="272" spans="1:16" s="487" customFormat="1" ht="15.75" customHeight="1">
      <c r="A272" s="350"/>
      <c r="B272" s="351"/>
      <c r="C272" s="382"/>
      <c r="D272" s="382"/>
      <c r="E272" s="382"/>
      <c r="F272" s="382"/>
      <c r="G272" s="382"/>
      <c r="H272" s="382"/>
      <c r="I272" s="382"/>
      <c r="J272" s="382"/>
      <c r="K272" s="382"/>
      <c r="L272" s="382"/>
      <c r="M272" s="382"/>
      <c r="N272" s="1475"/>
      <c r="O272" s="359"/>
      <c r="P272" s="1581"/>
    </row>
    <row r="273" spans="1:16" s="487" customFormat="1" ht="15.75" customHeight="1">
      <c r="A273" s="350"/>
      <c r="B273" s="351"/>
      <c r="C273" s="382"/>
      <c r="D273" s="382"/>
      <c r="E273" s="382"/>
      <c r="F273" s="382"/>
      <c r="G273" s="382"/>
      <c r="H273" s="382"/>
      <c r="I273" s="382"/>
      <c r="J273" s="382"/>
      <c r="K273" s="382"/>
      <c r="L273" s="382"/>
      <c r="M273" s="382"/>
      <c r="N273" s="1475"/>
      <c r="O273" s="359"/>
      <c r="P273" s="1581"/>
    </row>
    <row r="274" spans="1:16" s="487" customFormat="1" ht="15.75" customHeight="1">
      <c r="A274" s="350"/>
      <c r="B274" s="351"/>
      <c r="C274" s="382"/>
      <c r="D274" s="382"/>
      <c r="E274" s="382"/>
      <c r="F274" s="382"/>
      <c r="G274" s="382"/>
      <c r="H274" s="382"/>
      <c r="I274" s="382"/>
      <c r="J274" s="382"/>
      <c r="K274" s="382"/>
      <c r="L274" s="382"/>
      <c r="M274" s="382"/>
      <c r="N274" s="1475"/>
      <c r="O274" s="359"/>
      <c r="P274" s="1581"/>
    </row>
    <row r="275" spans="1:16" s="487" customFormat="1" ht="15.75" customHeight="1">
      <c r="A275" s="350"/>
      <c r="B275" s="351"/>
      <c r="C275" s="382"/>
      <c r="D275" s="382"/>
      <c r="E275" s="382"/>
      <c r="F275" s="382"/>
      <c r="G275" s="382"/>
      <c r="H275" s="382"/>
      <c r="I275" s="382"/>
      <c r="J275" s="382"/>
      <c r="K275" s="382"/>
      <c r="L275" s="382"/>
      <c r="M275" s="382"/>
      <c r="N275" s="1475"/>
      <c r="O275" s="359"/>
      <c r="P275" s="1581"/>
    </row>
    <row r="276" spans="1:16" s="487" customFormat="1" ht="15.75" customHeight="1">
      <c r="A276" s="350"/>
      <c r="B276" s="351"/>
      <c r="C276" s="382"/>
      <c r="D276" s="382"/>
      <c r="E276" s="382"/>
      <c r="F276" s="382"/>
      <c r="G276" s="382"/>
      <c r="H276" s="382"/>
      <c r="I276" s="382"/>
      <c r="J276" s="382"/>
      <c r="K276" s="382"/>
      <c r="L276" s="382"/>
      <c r="M276" s="382"/>
      <c r="N276" s="1475"/>
      <c r="O276" s="359"/>
      <c r="P276" s="1581"/>
    </row>
    <row r="277" spans="1:16" s="487" customFormat="1" ht="15.75" customHeight="1">
      <c r="A277" s="350"/>
      <c r="B277" s="351"/>
      <c r="C277" s="382"/>
      <c r="D277" s="382"/>
      <c r="E277" s="382"/>
      <c r="F277" s="382"/>
      <c r="G277" s="382"/>
      <c r="H277" s="382"/>
      <c r="I277" s="382"/>
      <c r="J277" s="382"/>
      <c r="K277" s="382"/>
      <c r="L277" s="382"/>
      <c r="M277" s="382"/>
      <c r="N277" s="1475"/>
      <c r="O277" s="359"/>
      <c r="P277" s="1581"/>
    </row>
    <row r="278" spans="1:16" s="487" customFormat="1" ht="15.75" customHeight="1">
      <c r="A278" s="350"/>
      <c r="B278" s="351"/>
      <c r="C278" s="382"/>
      <c r="D278" s="382"/>
      <c r="E278" s="382"/>
      <c r="F278" s="382"/>
      <c r="G278" s="382"/>
      <c r="H278" s="382"/>
      <c r="I278" s="382"/>
      <c r="J278" s="382"/>
      <c r="K278" s="382"/>
      <c r="L278" s="382"/>
      <c r="M278" s="382"/>
      <c r="N278" s="1475"/>
      <c r="O278" s="359"/>
      <c r="P278" s="1581"/>
    </row>
    <row r="279" spans="1:16" s="487" customFormat="1" ht="15.75" customHeight="1">
      <c r="A279" s="350"/>
      <c r="B279" s="351"/>
      <c r="C279" s="382"/>
      <c r="D279" s="382"/>
      <c r="E279" s="382"/>
      <c r="F279" s="382"/>
      <c r="G279" s="382"/>
      <c r="H279" s="382"/>
      <c r="I279" s="382"/>
      <c r="J279" s="382"/>
      <c r="K279" s="382"/>
      <c r="L279" s="382"/>
      <c r="M279" s="382"/>
      <c r="N279" s="1475"/>
      <c r="O279" s="359"/>
      <c r="P279" s="1581"/>
    </row>
    <row r="280" spans="1:16" s="487" customFormat="1" ht="15.75" customHeight="1">
      <c r="A280" s="350"/>
      <c r="B280" s="351"/>
      <c r="C280" s="382"/>
      <c r="D280" s="382"/>
      <c r="E280" s="382"/>
      <c r="F280" s="382"/>
      <c r="G280" s="382"/>
      <c r="H280" s="382"/>
      <c r="I280" s="382"/>
      <c r="J280" s="382"/>
      <c r="K280" s="382"/>
      <c r="L280" s="382"/>
      <c r="M280" s="382"/>
      <c r="N280" s="1475"/>
      <c r="O280" s="359"/>
      <c r="P280" s="1581"/>
    </row>
    <row r="281" spans="1:16" s="487" customFormat="1" ht="15.75" customHeight="1">
      <c r="A281" s="350"/>
      <c r="B281" s="351"/>
      <c r="C281" s="382"/>
      <c r="D281" s="382"/>
      <c r="E281" s="382"/>
      <c r="F281" s="382"/>
      <c r="G281" s="382"/>
      <c r="H281" s="382"/>
      <c r="I281" s="382"/>
      <c r="J281" s="382"/>
      <c r="K281" s="382"/>
      <c r="L281" s="382"/>
      <c r="M281" s="382"/>
      <c r="N281" s="1475"/>
      <c r="O281" s="359"/>
      <c r="P281" s="1581"/>
    </row>
    <row r="282" spans="1:16" s="487" customFormat="1" ht="15.75" customHeight="1">
      <c r="A282" s="350"/>
      <c r="B282" s="351"/>
      <c r="C282" s="382"/>
      <c r="D282" s="382"/>
      <c r="E282" s="382"/>
      <c r="F282" s="382"/>
      <c r="G282" s="382"/>
      <c r="H282" s="382"/>
      <c r="I282" s="382"/>
      <c r="J282" s="382"/>
      <c r="K282" s="382"/>
      <c r="L282" s="382"/>
      <c r="M282" s="382"/>
      <c r="N282" s="1475"/>
      <c r="O282" s="359"/>
      <c r="P282" s="1581"/>
    </row>
    <row r="283" spans="1:16" s="487" customFormat="1" ht="15.75" customHeight="1">
      <c r="A283" s="350"/>
      <c r="B283" s="351"/>
      <c r="C283" s="382"/>
      <c r="D283" s="382"/>
      <c r="E283" s="382"/>
      <c r="F283" s="382"/>
      <c r="G283" s="382"/>
      <c r="H283" s="382"/>
      <c r="I283" s="382"/>
      <c r="J283" s="382"/>
      <c r="K283" s="382"/>
      <c r="L283" s="382"/>
      <c r="M283" s="382"/>
      <c r="N283" s="1475"/>
      <c r="O283" s="359"/>
      <c r="P283" s="1581"/>
    </row>
    <row r="284" spans="1:16" s="487" customFormat="1" ht="15.75" customHeight="1">
      <c r="A284" s="350"/>
      <c r="B284" s="351"/>
      <c r="C284" s="382"/>
      <c r="D284" s="382"/>
      <c r="E284" s="382"/>
      <c r="F284" s="382"/>
      <c r="G284" s="382"/>
      <c r="H284" s="382"/>
      <c r="I284" s="382"/>
      <c r="J284" s="382"/>
      <c r="K284" s="382"/>
      <c r="L284" s="382"/>
      <c r="M284" s="382"/>
      <c r="N284" s="1475"/>
      <c r="O284" s="359"/>
      <c r="P284" s="1581"/>
    </row>
    <row r="285" spans="1:16" s="487" customFormat="1" ht="15.75" customHeight="1">
      <c r="A285" s="350"/>
      <c r="B285" s="351"/>
      <c r="C285" s="382"/>
      <c r="D285" s="382"/>
      <c r="E285" s="382"/>
      <c r="F285" s="382"/>
      <c r="G285" s="382"/>
      <c r="H285" s="382"/>
      <c r="I285" s="382"/>
      <c r="J285" s="382"/>
      <c r="K285" s="382"/>
      <c r="L285" s="382"/>
      <c r="M285" s="382"/>
      <c r="N285" s="1475"/>
      <c r="O285" s="359"/>
      <c r="P285" s="1581"/>
    </row>
    <row r="286" spans="1:16" s="487" customFormat="1" ht="15.75" customHeight="1">
      <c r="A286" s="350"/>
      <c r="B286" s="351"/>
      <c r="C286" s="382"/>
      <c r="D286" s="382"/>
      <c r="E286" s="382"/>
      <c r="F286" s="382"/>
      <c r="G286" s="382"/>
      <c r="H286" s="382"/>
      <c r="I286" s="382"/>
      <c r="J286" s="382"/>
      <c r="K286" s="382"/>
      <c r="L286" s="382"/>
      <c r="M286" s="382"/>
      <c r="N286" s="1475"/>
      <c r="O286" s="359"/>
      <c r="P286" s="1581"/>
    </row>
    <row r="287" spans="1:16" s="487" customFormat="1" ht="15.75" customHeight="1">
      <c r="A287" s="350"/>
      <c r="B287" s="351"/>
      <c r="C287" s="382"/>
      <c r="D287" s="382"/>
      <c r="E287" s="382"/>
      <c r="F287" s="382"/>
      <c r="G287" s="382"/>
      <c r="H287" s="382"/>
      <c r="I287" s="382"/>
      <c r="J287" s="382"/>
      <c r="K287" s="382"/>
      <c r="L287" s="382"/>
      <c r="M287" s="382"/>
      <c r="N287" s="1475"/>
      <c r="O287" s="359"/>
      <c r="P287" s="1581"/>
    </row>
    <row r="288" spans="1:16" s="487" customFormat="1" ht="15.75" customHeight="1">
      <c r="A288" s="350"/>
      <c r="B288" s="351"/>
      <c r="C288" s="382"/>
      <c r="D288" s="382"/>
      <c r="E288" s="382"/>
      <c r="F288" s="382"/>
      <c r="G288" s="382"/>
      <c r="H288" s="382"/>
      <c r="I288" s="382"/>
      <c r="J288" s="382"/>
      <c r="K288" s="382"/>
      <c r="L288" s="382"/>
      <c r="M288" s="382"/>
      <c r="N288" s="1475"/>
      <c r="O288" s="359"/>
      <c r="P288" s="1581"/>
    </row>
    <row r="289" spans="1:16" s="487" customFormat="1" ht="15.75" customHeight="1">
      <c r="A289" s="350"/>
      <c r="B289" s="351"/>
      <c r="C289" s="382"/>
      <c r="D289" s="382"/>
      <c r="E289" s="382"/>
      <c r="F289" s="382"/>
      <c r="G289" s="382"/>
      <c r="H289" s="382"/>
      <c r="I289" s="382"/>
      <c r="J289" s="382"/>
      <c r="K289" s="382"/>
      <c r="L289" s="382"/>
      <c r="M289" s="382"/>
      <c r="N289" s="1475"/>
      <c r="O289" s="359"/>
      <c r="P289" s="1581"/>
    </row>
    <row r="290" spans="1:16" s="487" customFormat="1" ht="15.75" customHeight="1">
      <c r="A290" s="350"/>
      <c r="B290" s="351"/>
      <c r="C290" s="382"/>
      <c r="D290" s="382"/>
      <c r="E290" s="382"/>
      <c r="F290" s="382"/>
      <c r="G290" s="382"/>
      <c r="H290" s="382"/>
      <c r="I290" s="382"/>
      <c r="J290" s="382"/>
      <c r="K290" s="382"/>
      <c r="L290" s="382"/>
      <c r="M290" s="382"/>
      <c r="N290" s="1475"/>
      <c r="O290" s="359"/>
      <c r="P290" s="1581"/>
    </row>
    <row r="291" spans="1:16" s="487" customFormat="1" ht="15.75" customHeight="1">
      <c r="A291" s="350"/>
      <c r="B291" s="351"/>
      <c r="C291" s="382"/>
      <c r="D291" s="382"/>
      <c r="E291" s="382"/>
      <c r="F291" s="382"/>
      <c r="G291" s="382"/>
      <c r="H291" s="382"/>
      <c r="I291" s="382"/>
      <c r="J291" s="382"/>
      <c r="K291" s="382"/>
      <c r="L291" s="382"/>
      <c r="M291" s="382"/>
      <c r="N291" s="1475"/>
      <c r="O291" s="359"/>
      <c r="P291" s="1581"/>
    </row>
    <row r="292" spans="1:16" s="487" customFormat="1" ht="15.75" customHeight="1">
      <c r="A292" s="350"/>
      <c r="B292" s="351"/>
      <c r="C292" s="382"/>
      <c r="D292" s="382"/>
      <c r="E292" s="382"/>
      <c r="F292" s="382"/>
      <c r="G292" s="382"/>
      <c r="H292" s="382"/>
      <c r="I292" s="382"/>
      <c r="J292" s="382"/>
      <c r="K292" s="382"/>
      <c r="L292" s="382"/>
      <c r="M292" s="382"/>
      <c r="N292" s="1475"/>
      <c r="O292" s="359"/>
      <c r="P292" s="1581"/>
    </row>
    <row r="293" spans="1:16" s="487" customFormat="1" ht="15.75" customHeight="1">
      <c r="A293" s="350"/>
      <c r="B293" s="351"/>
      <c r="C293" s="382"/>
      <c r="D293" s="382"/>
      <c r="E293" s="382"/>
      <c r="F293" s="382"/>
      <c r="G293" s="382"/>
      <c r="H293" s="382"/>
      <c r="I293" s="382"/>
      <c r="J293" s="382"/>
      <c r="K293" s="382"/>
      <c r="L293" s="382"/>
      <c r="M293" s="382"/>
      <c r="N293" s="1475"/>
      <c r="O293" s="359"/>
      <c r="P293" s="1581"/>
    </row>
    <row r="294" spans="1:16" s="487" customFormat="1" ht="15.75" customHeight="1">
      <c r="A294" s="350"/>
      <c r="B294" s="351"/>
      <c r="C294" s="382"/>
      <c r="D294" s="382"/>
      <c r="E294" s="382"/>
      <c r="F294" s="382"/>
      <c r="G294" s="382"/>
      <c r="H294" s="382"/>
      <c r="I294" s="382"/>
      <c r="J294" s="382"/>
      <c r="K294" s="382"/>
      <c r="L294" s="382"/>
      <c r="M294" s="382"/>
      <c r="N294" s="1475"/>
      <c r="O294" s="359"/>
      <c r="P294" s="1581"/>
    </row>
    <row r="295" spans="1:16" s="487" customFormat="1" ht="15.75" customHeight="1">
      <c r="A295" s="350"/>
      <c r="B295" s="351"/>
      <c r="C295" s="382"/>
      <c r="D295" s="382"/>
      <c r="E295" s="382"/>
      <c r="F295" s="382"/>
      <c r="G295" s="382"/>
      <c r="H295" s="382"/>
      <c r="I295" s="382"/>
      <c r="J295" s="382"/>
      <c r="K295" s="382"/>
      <c r="L295" s="382"/>
      <c r="M295" s="382"/>
      <c r="N295" s="1475"/>
      <c r="O295" s="359"/>
      <c r="P295" s="1581"/>
    </row>
    <row r="296" spans="1:16" s="487" customFormat="1" ht="15.75" customHeight="1">
      <c r="A296" s="350"/>
      <c r="B296" s="351"/>
      <c r="C296" s="382"/>
      <c r="D296" s="382"/>
      <c r="E296" s="382"/>
      <c r="F296" s="382"/>
      <c r="G296" s="382"/>
      <c r="H296" s="382"/>
      <c r="I296" s="382"/>
      <c r="J296" s="382"/>
      <c r="K296" s="382"/>
      <c r="L296" s="382"/>
      <c r="M296" s="382"/>
      <c r="N296" s="1475"/>
      <c r="O296" s="359"/>
      <c r="P296" s="1581"/>
    </row>
    <row r="297" spans="1:16" s="487" customFormat="1" ht="15.75" customHeight="1">
      <c r="A297" s="350"/>
      <c r="B297" s="351"/>
      <c r="C297" s="382"/>
      <c r="D297" s="382"/>
      <c r="E297" s="382"/>
      <c r="F297" s="382"/>
      <c r="G297" s="382"/>
      <c r="H297" s="382"/>
      <c r="I297" s="382"/>
      <c r="J297" s="382"/>
      <c r="K297" s="382"/>
      <c r="L297" s="382"/>
      <c r="M297" s="382"/>
      <c r="N297" s="1475"/>
      <c r="O297" s="359"/>
      <c r="P297" s="1581"/>
    </row>
    <row r="298" spans="1:16" s="487" customFormat="1" ht="15.75" customHeight="1">
      <c r="A298" s="350"/>
      <c r="B298" s="351"/>
      <c r="C298" s="382"/>
      <c r="D298" s="382"/>
      <c r="E298" s="382"/>
      <c r="F298" s="382"/>
      <c r="G298" s="382"/>
      <c r="H298" s="382"/>
      <c r="I298" s="382"/>
      <c r="J298" s="382"/>
      <c r="K298" s="382"/>
      <c r="L298" s="382"/>
      <c r="M298" s="382"/>
      <c r="N298" s="1475"/>
      <c r="O298" s="359"/>
      <c r="P298" s="1581"/>
    </row>
    <row r="299" spans="1:16" s="487" customFormat="1" ht="15.75" customHeight="1">
      <c r="A299" s="350"/>
      <c r="B299" s="351"/>
      <c r="C299" s="382"/>
      <c r="D299" s="382"/>
      <c r="E299" s="382"/>
      <c r="F299" s="382"/>
      <c r="G299" s="382"/>
      <c r="H299" s="382"/>
      <c r="I299" s="382"/>
      <c r="J299" s="382"/>
      <c r="K299" s="382"/>
      <c r="L299" s="382"/>
      <c r="M299" s="382"/>
      <c r="N299" s="1475"/>
      <c r="O299" s="359"/>
      <c r="P299" s="1581"/>
    </row>
    <row r="300" spans="1:16" s="487" customFormat="1" ht="15.75" customHeight="1">
      <c r="A300" s="350"/>
      <c r="B300" s="351"/>
      <c r="C300" s="382"/>
      <c r="D300" s="382"/>
      <c r="E300" s="382"/>
      <c r="F300" s="382"/>
      <c r="G300" s="382"/>
      <c r="H300" s="382"/>
      <c r="I300" s="382"/>
      <c r="J300" s="382"/>
      <c r="K300" s="382"/>
      <c r="L300" s="382"/>
      <c r="M300" s="382"/>
      <c r="N300" s="1475"/>
      <c r="O300" s="359"/>
      <c r="P300" s="1581"/>
    </row>
    <row r="301" spans="1:16" s="487" customFormat="1" ht="15.75" customHeight="1">
      <c r="A301" s="350"/>
      <c r="B301" s="351"/>
      <c r="C301" s="382"/>
      <c r="D301" s="382"/>
      <c r="E301" s="382"/>
      <c r="F301" s="382"/>
      <c r="G301" s="382"/>
      <c r="H301" s="382"/>
      <c r="I301" s="382"/>
      <c r="J301" s="382"/>
      <c r="K301" s="382"/>
      <c r="L301" s="382"/>
      <c r="M301" s="382"/>
      <c r="N301" s="1475"/>
      <c r="O301" s="359"/>
      <c r="P301" s="1581"/>
    </row>
    <row r="302" spans="1:16" s="487" customFormat="1" ht="15.75" customHeight="1">
      <c r="A302" s="350"/>
      <c r="B302" s="351"/>
      <c r="C302" s="382"/>
      <c r="D302" s="382"/>
      <c r="E302" s="382"/>
      <c r="F302" s="382"/>
      <c r="G302" s="382"/>
      <c r="H302" s="382"/>
      <c r="I302" s="382"/>
      <c r="J302" s="382"/>
      <c r="K302" s="382"/>
      <c r="L302" s="382"/>
      <c r="M302" s="382"/>
      <c r="N302" s="1475"/>
      <c r="O302" s="359"/>
      <c r="P302" s="1581"/>
    </row>
    <row r="303" spans="1:16" s="487" customFormat="1" ht="15.75" customHeight="1">
      <c r="A303" s="350"/>
      <c r="B303" s="351"/>
      <c r="C303" s="382"/>
      <c r="D303" s="382"/>
      <c r="E303" s="382"/>
      <c r="F303" s="382"/>
      <c r="G303" s="382"/>
      <c r="H303" s="382"/>
      <c r="I303" s="382"/>
      <c r="J303" s="382"/>
      <c r="K303" s="382"/>
      <c r="L303" s="382"/>
      <c r="M303" s="382"/>
      <c r="N303" s="1475"/>
      <c r="O303" s="359"/>
      <c r="P303" s="1581"/>
    </row>
    <row r="304" spans="1:16" s="487" customFormat="1" ht="15.75" customHeight="1">
      <c r="A304" s="350"/>
      <c r="B304" s="351"/>
      <c r="C304" s="382"/>
      <c r="D304" s="382"/>
      <c r="E304" s="382"/>
      <c r="F304" s="382"/>
      <c r="G304" s="382"/>
      <c r="H304" s="382"/>
      <c r="I304" s="382"/>
      <c r="J304" s="382"/>
      <c r="K304" s="382"/>
      <c r="L304" s="382"/>
      <c r="M304" s="382"/>
      <c r="N304" s="1475"/>
      <c r="O304" s="359"/>
      <c r="P304" s="1581"/>
    </row>
    <row r="305" spans="1:16" s="487" customFormat="1" ht="15.75" customHeight="1">
      <c r="A305" s="350"/>
      <c r="B305" s="351"/>
      <c r="C305" s="382"/>
      <c r="D305" s="382"/>
      <c r="E305" s="382"/>
      <c r="F305" s="382"/>
      <c r="G305" s="382"/>
      <c r="H305" s="382"/>
      <c r="I305" s="382"/>
      <c r="J305" s="382"/>
      <c r="K305" s="382"/>
      <c r="L305" s="382"/>
      <c r="M305" s="382"/>
      <c r="N305" s="1475"/>
      <c r="O305" s="359"/>
      <c r="P305" s="1581"/>
    </row>
    <row r="306" spans="1:16" s="487" customFormat="1" ht="15.75" customHeight="1">
      <c r="A306" s="350"/>
      <c r="B306" s="351"/>
      <c r="C306" s="382"/>
      <c r="D306" s="382"/>
      <c r="E306" s="382"/>
      <c r="F306" s="382"/>
      <c r="G306" s="382"/>
      <c r="H306" s="382"/>
      <c r="I306" s="382"/>
      <c r="J306" s="382"/>
      <c r="K306" s="382"/>
      <c r="L306" s="382"/>
      <c r="M306" s="382"/>
      <c r="N306" s="1475"/>
      <c r="O306" s="359"/>
      <c r="P306" s="1581"/>
    </row>
    <row r="307" spans="1:16" s="487" customFormat="1" ht="15.75" customHeight="1">
      <c r="A307" s="350"/>
      <c r="B307" s="351"/>
      <c r="C307" s="382"/>
      <c r="D307" s="382"/>
      <c r="E307" s="382"/>
      <c r="F307" s="382"/>
      <c r="G307" s="382"/>
      <c r="H307" s="382"/>
      <c r="I307" s="382"/>
      <c r="J307" s="382"/>
      <c r="K307" s="382"/>
      <c r="L307" s="382"/>
      <c r="M307" s="382"/>
      <c r="N307" s="1475"/>
      <c r="O307" s="359"/>
      <c r="P307" s="1581"/>
    </row>
    <row r="308" spans="1:16" s="487" customFormat="1" ht="15.75" customHeight="1">
      <c r="A308" s="350"/>
      <c r="B308" s="351"/>
      <c r="C308" s="382"/>
      <c r="D308" s="382"/>
      <c r="E308" s="382"/>
      <c r="F308" s="382"/>
      <c r="G308" s="382"/>
      <c r="H308" s="382"/>
      <c r="I308" s="382"/>
      <c r="J308" s="382"/>
      <c r="K308" s="382"/>
      <c r="L308" s="382"/>
      <c r="M308" s="382"/>
      <c r="N308" s="1475"/>
      <c r="O308" s="359"/>
      <c r="P308" s="1581"/>
    </row>
    <row r="309" spans="1:16" s="487" customFormat="1" ht="15.75" customHeight="1">
      <c r="A309" s="350"/>
      <c r="B309" s="351"/>
      <c r="C309" s="382"/>
      <c r="D309" s="382"/>
      <c r="E309" s="382"/>
      <c r="F309" s="382"/>
      <c r="G309" s="382"/>
      <c r="H309" s="382"/>
      <c r="I309" s="382"/>
      <c r="J309" s="382"/>
      <c r="K309" s="382"/>
      <c r="L309" s="382"/>
      <c r="M309" s="382"/>
      <c r="N309" s="1475"/>
      <c r="O309" s="359"/>
      <c r="P309" s="1581"/>
    </row>
    <row r="310" spans="1:16" s="487" customFormat="1" ht="15.75" customHeight="1">
      <c r="A310" s="350"/>
      <c r="B310" s="351"/>
      <c r="C310" s="382"/>
      <c r="D310" s="382"/>
      <c r="E310" s="382"/>
      <c r="F310" s="382"/>
      <c r="G310" s="382"/>
      <c r="H310" s="382"/>
      <c r="I310" s="382"/>
      <c r="J310" s="382"/>
      <c r="K310" s="382"/>
      <c r="L310" s="382"/>
      <c r="M310" s="382"/>
      <c r="N310" s="1475"/>
      <c r="O310" s="359"/>
      <c r="P310" s="1581"/>
    </row>
    <row r="311" spans="1:16" s="487" customFormat="1" ht="15.75" customHeight="1">
      <c r="A311" s="350"/>
      <c r="B311" s="351"/>
      <c r="C311" s="382"/>
      <c r="D311" s="382"/>
      <c r="E311" s="382"/>
      <c r="F311" s="382"/>
      <c r="G311" s="382"/>
      <c r="H311" s="382"/>
      <c r="I311" s="382"/>
      <c r="J311" s="382"/>
      <c r="K311" s="382"/>
      <c r="L311" s="382"/>
      <c r="M311" s="382"/>
      <c r="N311" s="1475"/>
      <c r="O311" s="359"/>
      <c r="P311" s="1581"/>
    </row>
    <row r="312" spans="1:16" s="487" customFormat="1" ht="15.75" customHeight="1">
      <c r="A312" s="350"/>
      <c r="B312" s="351"/>
      <c r="C312" s="382"/>
      <c r="D312" s="382"/>
      <c r="E312" s="382"/>
      <c r="F312" s="382"/>
      <c r="G312" s="382"/>
      <c r="H312" s="382"/>
      <c r="I312" s="382"/>
      <c r="J312" s="382"/>
      <c r="K312" s="382"/>
      <c r="L312" s="382"/>
      <c r="M312" s="382"/>
      <c r="N312" s="1475"/>
      <c r="O312" s="359"/>
      <c r="P312" s="1581"/>
    </row>
    <row r="313" spans="1:16" s="487" customFormat="1" ht="15.75" customHeight="1">
      <c r="A313" s="350"/>
      <c r="B313" s="351"/>
      <c r="C313" s="382"/>
      <c r="D313" s="382"/>
      <c r="E313" s="382"/>
      <c r="F313" s="382"/>
      <c r="G313" s="382"/>
      <c r="H313" s="382"/>
      <c r="I313" s="382"/>
      <c r="J313" s="382"/>
      <c r="K313" s="382"/>
      <c r="L313" s="382"/>
      <c r="M313" s="382"/>
      <c r="N313" s="1475"/>
      <c r="O313" s="359"/>
      <c r="P313" s="1581"/>
    </row>
    <row r="314" spans="1:16" s="487" customFormat="1" ht="15.75" customHeight="1">
      <c r="A314" s="350"/>
      <c r="B314" s="351"/>
      <c r="C314" s="382"/>
      <c r="D314" s="382"/>
      <c r="E314" s="382"/>
      <c r="F314" s="382"/>
      <c r="G314" s="382"/>
      <c r="H314" s="382"/>
      <c r="I314" s="382"/>
      <c r="J314" s="382"/>
      <c r="K314" s="382"/>
      <c r="L314" s="382"/>
      <c r="M314" s="382"/>
      <c r="N314" s="1475"/>
      <c r="O314" s="359"/>
      <c r="P314" s="1581"/>
    </row>
    <row r="315" spans="1:16" s="487" customFormat="1" ht="15.75" customHeight="1">
      <c r="A315" s="350"/>
      <c r="B315" s="351"/>
      <c r="C315" s="382"/>
      <c r="D315" s="382"/>
      <c r="E315" s="382"/>
      <c r="F315" s="382"/>
      <c r="G315" s="382"/>
      <c r="H315" s="382"/>
      <c r="I315" s="382"/>
      <c r="J315" s="382"/>
      <c r="K315" s="382"/>
      <c r="L315" s="382"/>
      <c r="M315" s="382"/>
      <c r="N315" s="1475"/>
      <c r="O315" s="359"/>
      <c r="P315" s="1581"/>
    </row>
    <row r="316" spans="1:16" s="487" customFormat="1" ht="15.75" customHeight="1">
      <c r="A316" s="350"/>
      <c r="B316" s="351"/>
      <c r="C316" s="382"/>
      <c r="D316" s="382"/>
      <c r="E316" s="382"/>
      <c r="F316" s="382"/>
      <c r="G316" s="382"/>
      <c r="H316" s="382"/>
      <c r="I316" s="382"/>
      <c r="J316" s="382"/>
      <c r="K316" s="382"/>
      <c r="L316" s="382"/>
      <c r="M316" s="382"/>
      <c r="N316" s="1475"/>
      <c r="O316" s="359"/>
      <c r="P316" s="1581"/>
    </row>
    <row r="317" spans="1:16" s="487" customFormat="1" ht="15.75" customHeight="1">
      <c r="A317" s="350"/>
      <c r="B317" s="351"/>
      <c r="C317" s="382"/>
      <c r="D317" s="382"/>
      <c r="E317" s="382"/>
      <c r="F317" s="382"/>
      <c r="G317" s="382"/>
      <c r="H317" s="382"/>
      <c r="I317" s="382"/>
      <c r="J317" s="382"/>
      <c r="K317" s="382"/>
      <c r="L317" s="382"/>
      <c r="M317" s="382"/>
      <c r="N317" s="1475"/>
      <c r="O317" s="359"/>
      <c r="P317" s="1581"/>
    </row>
    <row r="318" spans="1:16" s="487" customFormat="1" ht="15.75" customHeight="1">
      <c r="A318" s="350"/>
      <c r="B318" s="351"/>
      <c r="C318" s="382"/>
      <c r="D318" s="382"/>
      <c r="E318" s="382"/>
      <c r="F318" s="382"/>
      <c r="G318" s="382"/>
      <c r="H318" s="382"/>
      <c r="I318" s="382"/>
      <c r="J318" s="382"/>
      <c r="K318" s="382"/>
      <c r="L318" s="382"/>
      <c r="M318" s="382"/>
      <c r="N318" s="1475"/>
      <c r="O318" s="359"/>
      <c r="P318" s="1581"/>
    </row>
    <row r="319" spans="1:16" s="487" customFormat="1" ht="15.75" customHeight="1">
      <c r="A319" s="350"/>
      <c r="B319" s="351"/>
      <c r="C319" s="382"/>
      <c r="D319" s="382"/>
      <c r="E319" s="382"/>
      <c r="F319" s="382"/>
      <c r="G319" s="382"/>
      <c r="H319" s="382"/>
      <c r="I319" s="382"/>
      <c r="J319" s="382"/>
      <c r="K319" s="382"/>
      <c r="L319" s="382"/>
      <c r="M319" s="382"/>
      <c r="N319" s="1475"/>
      <c r="O319" s="359"/>
      <c r="P319" s="1581"/>
    </row>
    <row r="320" spans="1:16" s="487" customFormat="1" ht="15.75" customHeight="1">
      <c r="A320" s="350"/>
      <c r="B320" s="351"/>
      <c r="C320" s="382"/>
      <c r="D320" s="382"/>
      <c r="E320" s="382"/>
      <c r="F320" s="382"/>
      <c r="G320" s="382"/>
      <c r="H320" s="382"/>
      <c r="I320" s="382"/>
      <c r="J320" s="382"/>
      <c r="K320" s="382"/>
      <c r="L320" s="382"/>
      <c r="M320" s="382"/>
      <c r="N320" s="1475"/>
      <c r="O320" s="359"/>
      <c r="P320" s="1581"/>
    </row>
    <row r="321" spans="1:16" s="487" customFormat="1" ht="15.75" customHeight="1">
      <c r="A321" s="350"/>
      <c r="B321" s="351"/>
      <c r="C321" s="382"/>
      <c r="D321" s="382"/>
      <c r="E321" s="382"/>
      <c r="F321" s="382"/>
      <c r="G321" s="382"/>
      <c r="H321" s="382"/>
      <c r="I321" s="382"/>
      <c r="J321" s="382"/>
      <c r="K321" s="382"/>
      <c r="L321" s="382"/>
      <c r="M321" s="382"/>
      <c r="N321" s="1475"/>
      <c r="O321" s="359"/>
      <c r="P321" s="1581"/>
    </row>
    <row r="322" spans="1:16" s="487" customFormat="1" ht="15.75" customHeight="1">
      <c r="A322" s="350"/>
      <c r="B322" s="351"/>
      <c r="C322" s="382"/>
      <c r="D322" s="382"/>
      <c r="E322" s="382"/>
      <c r="F322" s="382"/>
      <c r="G322" s="382"/>
      <c r="H322" s="382"/>
      <c r="I322" s="382"/>
      <c r="J322" s="382"/>
      <c r="K322" s="382"/>
      <c r="L322" s="382"/>
      <c r="M322" s="382"/>
      <c r="N322" s="1475"/>
      <c r="O322" s="359"/>
      <c r="P322" s="1581"/>
    </row>
    <row r="323" spans="1:16" s="487" customFormat="1" ht="15.75" customHeight="1">
      <c r="A323" s="350"/>
      <c r="B323" s="351"/>
      <c r="C323" s="382"/>
      <c r="D323" s="382"/>
      <c r="E323" s="382"/>
      <c r="F323" s="382"/>
      <c r="G323" s="382"/>
      <c r="H323" s="382"/>
      <c r="I323" s="382"/>
      <c r="J323" s="382"/>
      <c r="K323" s="382"/>
      <c r="L323" s="382"/>
      <c r="M323" s="382"/>
      <c r="N323" s="1475"/>
      <c r="O323" s="359"/>
      <c r="P323" s="1581"/>
    </row>
    <row r="324" spans="1:16" s="487" customFormat="1" ht="15.75" customHeight="1">
      <c r="A324" s="350"/>
      <c r="B324" s="351"/>
      <c r="C324" s="382"/>
      <c r="D324" s="382"/>
      <c r="E324" s="382"/>
      <c r="F324" s="382"/>
      <c r="G324" s="382"/>
      <c r="H324" s="382"/>
      <c r="I324" s="382"/>
      <c r="J324" s="382"/>
      <c r="K324" s="382"/>
      <c r="L324" s="382"/>
      <c r="M324" s="382"/>
      <c r="N324" s="1475"/>
      <c r="O324" s="359"/>
      <c r="P324" s="1581"/>
    </row>
    <row r="325" spans="1:16" s="487" customFormat="1" ht="15.75" customHeight="1">
      <c r="A325" s="350"/>
      <c r="B325" s="351"/>
      <c r="C325" s="382"/>
      <c r="D325" s="382"/>
      <c r="E325" s="382"/>
      <c r="F325" s="382"/>
      <c r="G325" s="382"/>
      <c r="H325" s="382"/>
      <c r="I325" s="382"/>
      <c r="J325" s="382"/>
      <c r="K325" s="382"/>
      <c r="L325" s="382"/>
      <c r="M325" s="382"/>
      <c r="N325" s="1475"/>
      <c r="O325" s="359"/>
      <c r="P325" s="1581"/>
    </row>
    <row r="326" spans="1:16" s="487" customFormat="1" ht="15.75" customHeight="1">
      <c r="A326" s="350"/>
      <c r="B326" s="351"/>
      <c r="C326" s="382"/>
      <c r="D326" s="382"/>
      <c r="E326" s="382"/>
      <c r="F326" s="382"/>
      <c r="G326" s="382"/>
      <c r="H326" s="382"/>
      <c r="I326" s="382"/>
      <c r="J326" s="382"/>
      <c r="K326" s="382"/>
      <c r="L326" s="382"/>
      <c r="M326" s="382"/>
      <c r="N326" s="1475"/>
      <c r="O326" s="359"/>
      <c r="P326" s="1581"/>
    </row>
    <row r="327" spans="1:16" s="487" customFormat="1" ht="15.75" customHeight="1">
      <c r="A327" s="350"/>
      <c r="B327" s="351"/>
      <c r="C327" s="382"/>
      <c r="D327" s="382"/>
      <c r="E327" s="382"/>
      <c r="F327" s="382"/>
      <c r="G327" s="382"/>
      <c r="H327" s="382"/>
      <c r="I327" s="382"/>
      <c r="J327" s="382"/>
      <c r="K327" s="382"/>
      <c r="L327" s="382"/>
      <c r="M327" s="382"/>
      <c r="N327" s="1475"/>
      <c r="O327" s="359"/>
      <c r="P327" s="1581"/>
    </row>
    <row r="328" spans="1:16" s="487" customFormat="1" ht="15.75" customHeight="1">
      <c r="A328" s="350"/>
      <c r="B328" s="351"/>
      <c r="C328" s="382"/>
      <c r="D328" s="382"/>
      <c r="E328" s="382"/>
      <c r="F328" s="382"/>
      <c r="G328" s="382"/>
      <c r="H328" s="382"/>
      <c r="I328" s="382"/>
      <c r="J328" s="382"/>
      <c r="K328" s="382"/>
      <c r="L328" s="382"/>
      <c r="M328" s="382"/>
      <c r="N328" s="1475"/>
      <c r="O328" s="359"/>
      <c r="P328" s="1581"/>
    </row>
    <row r="329" spans="1:16" s="487" customFormat="1" ht="15.75" customHeight="1">
      <c r="A329" s="350"/>
      <c r="B329" s="351"/>
      <c r="C329" s="382"/>
      <c r="D329" s="382"/>
      <c r="E329" s="382"/>
      <c r="F329" s="382"/>
      <c r="G329" s="382"/>
      <c r="H329" s="382"/>
      <c r="I329" s="382"/>
      <c r="J329" s="382"/>
      <c r="K329" s="382"/>
      <c r="L329" s="382"/>
      <c r="M329" s="382"/>
      <c r="N329" s="1475"/>
      <c r="O329" s="359"/>
      <c r="P329" s="1581"/>
    </row>
    <row r="330" spans="1:16" s="487" customFormat="1" ht="15.75" customHeight="1">
      <c r="A330" s="350"/>
      <c r="B330" s="351"/>
      <c r="C330" s="382"/>
      <c r="D330" s="382"/>
      <c r="E330" s="382"/>
      <c r="F330" s="382"/>
      <c r="G330" s="382"/>
      <c r="H330" s="382"/>
      <c r="I330" s="382"/>
      <c r="J330" s="382"/>
      <c r="K330" s="382"/>
      <c r="L330" s="382"/>
      <c r="M330" s="382"/>
      <c r="N330" s="1475"/>
      <c r="O330" s="359"/>
      <c r="P330" s="1581"/>
    </row>
    <row r="331" spans="1:16" s="487" customFormat="1" ht="15.75" customHeight="1">
      <c r="A331" s="350"/>
      <c r="B331" s="351"/>
      <c r="C331" s="382"/>
      <c r="D331" s="382"/>
      <c r="E331" s="382"/>
      <c r="F331" s="382"/>
      <c r="G331" s="382"/>
      <c r="H331" s="382"/>
      <c r="I331" s="382"/>
      <c r="J331" s="382"/>
      <c r="K331" s="382"/>
      <c r="L331" s="382"/>
      <c r="M331" s="382"/>
      <c r="N331" s="1475"/>
      <c r="O331" s="359"/>
      <c r="P331" s="1581"/>
    </row>
    <row r="332" spans="1:16" s="487" customFormat="1" ht="15.75" customHeight="1">
      <c r="A332" s="350"/>
      <c r="B332" s="351"/>
      <c r="C332" s="382"/>
      <c r="D332" s="382"/>
      <c r="E332" s="382"/>
      <c r="F332" s="382"/>
      <c r="G332" s="382"/>
      <c r="H332" s="382"/>
      <c r="I332" s="382"/>
      <c r="J332" s="382"/>
      <c r="K332" s="382"/>
      <c r="L332" s="382"/>
      <c r="M332" s="382"/>
      <c r="N332" s="1475"/>
      <c r="O332" s="359"/>
      <c r="P332" s="1581"/>
    </row>
    <row r="333" spans="1:16" s="487" customFormat="1" ht="15.75" customHeight="1">
      <c r="A333" s="350"/>
      <c r="B333" s="351"/>
      <c r="C333" s="382"/>
      <c r="D333" s="382"/>
      <c r="E333" s="382"/>
      <c r="F333" s="382"/>
      <c r="G333" s="382"/>
      <c r="H333" s="382"/>
      <c r="I333" s="382"/>
      <c r="J333" s="382"/>
      <c r="K333" s="382"/>
      <c r="L333" s="382"/>
      <c r="M333" s="382"/>
      <c r="N333" s="1475"/>
      <c r="O333" s="359"/>
      <c r="P333" s="1581"/>
    </row>
    <row r="334" spans="1:16" s="487" customFormat="1" ht="15.75" customHeight="1">
      <c r="A334" s="350"/>
      <c r="B334" s="351"/>
      <c r="C334" s="382"/>
      <c r="D334" s="382"/>
      <c r="E334" s="382"/>
      <c r="F334" s="382"/>
      <c r="G334" s="382"/>
      <c r="H334" s="382"/>
      <c r="I334" s="382"/>
      <c r="J334" s="382"/>
      <c r="K334" s="382"/>
      <c r="L334" s="382"/>
      <c r="M334" s="382"/>
      <c r="N334" s="1475"/>
      <c r="O334" s="359"/>
      <c r="P334" s="1581"/>
    </row>
    <row r="335" spans="1:16" s="487" customFormat="1" ht="15.75" customHeight="1">
      <c r="A335" s="350"/>
      <c r="B335" s="351"/>
      <c r="C335" s="382"/>
      <c r="D335" s="382"/>
      <c r="E335" s="382"/>
      <c r="F335" s="382"/>
      <c r="G335" s="382"/>
      <c r="H335" s="382"/>
      <c r="I335" s="382"/>
      <c r="J335" s="382"/>
      <c r="K335" s="382"/>
      <c r="L335" s="382"/>
      <c r="M335" s="382"/>
      <c r="N335" s="1475"/>
      <c r="O335" s="359"/>
      <c r="P335" s="1581"/>
    </row>
    <row r="336" spans="1:16" s="487" customFormat="1" ht="15.75" customHeight="1">
      <c r="A336" s="350"/>
      <c r="B336" s="351"/>
      <c r="C336" s="382"/>
      <c r="D336" s="382"/>
      <c r="E336" s="382"/>
      <c r="F336" s="382"/>
      <c r="G336" s="382"/>
      <c r="H336" s="382"/>
      <c r="I336" s="382"/>
      <c r="J336" s="382"/>
      <c r="K336" s="382"/>
      <c r="L336" s="382"/>
      <c r="M336" s="382"/>
      <c r="N336" s="1475"/>
      <c r="O336" s="359"/>
      <c r="P336" s="1581"/>
    </row>
    <row r="337" spans="1:16" s="487" customFormat="1" ht="15.75" customHeight="1">
      <c r="A337" s="350"/>
      <c r="B337" s="351"/>
      <c r="C337" s="382"/>
      <c r="D337" s="382"/>
      <c r="E337" s="382"/>
      <c r="F337" s="382"/>
      <c r="G337" s="382"/>
      <c r="H337" s="382"/>
      <c r="I337" s="382"/>
      <c r="J337" s="382"/>
      <c r="K337" s="382"/>
      <c r="L337" s="382"/>
      <c r="M337" s="382"/>
      <c r="N337" s="1475"/>
      <c r="O337" s="359"/>
      <c r="P337" s="1581"/>
    </row>
    <row r="338" spans="1:16" s="487" customFormat="1" ht="15.75" customHeight="1">
      <c r="A338" s="350"/>
      <c r="B338" s="351"/>
      <c r="C338" s="382"/>
      <c r="D338" s="382"/>
      <c r="E338" s="382"/>
      <c r="F338" s="382"/>
      <c r="G338" s="382"/>
      <c r="H338" s="382"/>
      <c r="I338" s="382"/>
      <c r="J338" s="382"/>
      <c r="K338" s="382"/>
      <c r="L338" s="382"/>
      <c r="M338" s="382"/>
      <c r="N338" s="1475"/>
      <c r="O338" s="359"/>
      <c r="P338" s="1581"/>
    </row>
    <row r="339" spans="1:16" s="487" customFormat="1" ht="15.75" customHeight="1">
      <c r="A339" s="350"/>
      <c r="B339" s="351"/>
      <c r="C339" s="382"/>
      <c r="D339" s="382"/>
      <c r="E339" s="382"/>
      <c r="F339" s="382"/>
      <c r="G339" s="382"/>
      <c r="H339" s="382"/>
      <c r="I339" s="382"/>
      <c r="J339" s="382"/>
      <c r="K339" s="382"/>
      <c r="L339" s="382"/>
      <c r="M339" s="382"/>
      <c r="N339" s="1475"/>
      <c r="O339" s="359"/>
      <c r="P339" s="1581"/>
    </row>
    <row r="340" spans="1:16" s="487" customFormat="1" ht="15.75" customHeight="1">
      <c r="A340" s="350"/>
      <c r="B340" s="351"/>
      <c r="C340" s="382"/>
      <c r="D340" s="382"/>
      <c r="E340" s="382"/>
      <c r="F340" s="382"/>
      <c r="G340" s="382"/>
      <c r="H340" s="382"/>
      <c r="I340" s="382"/>
      <c r="J340" s="382"/>
      <c r="K340" s="382"/>
      <c r="L340" s="382"/>
      <c r="M340" s="382"/>
      <c r="N340" s="1475"/>
      <c r="O340" s="359"/>
      <c r="P340" s="1581"/>
    </row>
    <row r="341" spans="1:16" s="487" customFormat="1" ht="15.75" customHeight="1">
      <c r="A341" s="350"/>
      <c r="B341" s="351"/>
      <c r="C341" s="382"/>
      <c r="D341" s="382"/>
      <c r="E341" s="382"/>
      <c r="F341" s="382"/>
      <c r="G341" s="382"/>
      <c r="H341" s="382"/>
      <c r="I341" s="382"/>
      <c r="J341" s="382"/>
      <c r="K341" s="382"/>
      <c r="L341" s="382"/>
      <c r="M341" s="382"/>
      <c r="N341" s="1475"/>
      <c r="O341" s="359"/>
      <c r="P341" s="1581"/>
    </row>
    <row r="342" spans="1:16" s="487" customFormat="1" ht="15.75" customHeight="1">
      <c r="A342" s="350"/>
      <c r="B342" s="351"/>
      <c r="C342" s="382"/>
      <c r="D342" s="382"/>
      <c r="E342" s="382"/>
      <c r="F342" s="382"/>
      <c r="G342" s="382"/>
      <c r="H342" s="382"/>
      <c r="I342" s="382"/>
      <c r="J342" s="382"/>
      <c r="K342" s="382"/>
      <c r="L342" s="382"/>
      <c r="M342" s="382"/>
      <c r="N342" s="1475"/>
      <c r="O342" s="359"/>
      <c r="P342" s="1581"/>
    </row>
    <row r="343" spans="1:16" s="487" customFormat="1" ht="15.75" customHeight="1">
      <c r="A343" s="350"/>
      <c r="B343" s="351"/>
      <c r="C343" s="382"/>
      <c r="D343" s="382"/>
      <c r="E343" s="382"/>
      <c r="F343" s="382"/>
      <c r="G343" s="382"/>
      <c r="H343" s="382"/>
      <c r="I343" s="382"/>
      <c r="J343" s="382"/>
      <c r="K343" s="382"/>
      <c r="L343" s="382"/>
      <c r="M343" s="382"/>
      <c r="N343" s="1475"/>
      <c r="O343" s="359"/>
      <c r="P343" s="1581"/>
    </row>
    <row r="344" spans="1:16" s="487" customFormat="1" ht="15.75" customHeight="1">
      <c r="A344" s="350"/>
      <c r="B344" s="351"/>
      <c r="C344" s="382"/>
      <c r="D344" s="382"/>
      <c r="E344" s="382"/>
      <c r="F344" s="382"/>
      <c r="G344" s="382"/>
      <c r="H344" s="382"/>
      <c r="I344" s="382"/>
      <c r="J344" s="382"/>
      <c r="K344" s="382"/>
      <c r="L344" s="382"/>
      <c r="M344" s="382"/>
      <c r="N344" s="1475"/>
      <c r="O344" s="359"/>
      <c r="P344" s="1581"/>
    </row>
    <row r="345" spans="1:16" s="487" customFormat="1" ht="15.75" customHeight="1">
      <c r="A345" s="350"/>
      <c r="B345" s="351"/>
      <c r="C345" s="382"/>
      <c r="D345" s="382"/>
      <c r="E345" s="382"/>
      <c r="F345" s="382"/>
      <c r="G345" s="382"/>
      <c r="H345" s="382"/>
      <c r="I345" s="382"/>
      <c r="J345" s="382"/>
      <c r="K345" s="382"/>
      <c r="L345" s="382"/>
      <c r="M345" s="382"/>
      <c r="N345" s="1475"/>
      <c r="O345" s="359"/>
      <c r="P345" s="1581"/>
    </row>
    <row r="346" spans="1:16" s="487" customFormat="1" ht="15.75" customHeight="1">
      <c r="A346" s="350"/>
      <c r="B346" s="351"/>
      <c r="C346" s="382"/>
      <c r="D346" s="382"/>
      <c r="E346" s="382"/>
      <c r="F346" s="382"/>
      <c r="G346" s="382"/>
      <c r="H346" s="382"/>
      <c r="I346" s="382"/>
      <c r="J346" s="382"/>
      <c r="K346" s="382"/>
      <c r="L346" s="382"/>
      <c r="M346" s="382"/>
      <c r="N346" s="1475"/>
      <c r="O346" s="359"/>
      <c r="P346" s="1581"/>
    </row>
    <row r="347" spans="1:16" s="487" customFormat="1" ht="15.75" customHeight="1">
      <c r="A347" s="350"/>
      <c r="B347" s="351"/>
      <c r="C347" s="382"/>
      <c r="D347" s="382"/>
      <c r="E347" s="382"/>
      <c r="F347" s="382"/>
      <c r="G347" s="382"/>
      <c r="H347" s="382"/>
      <c r="I347" s="382"/>
      <c r="J347" s="382"/>
      <c r="K347" s="382"/>
      <c r="L347" s="382"/>
      <c r="M347" s="382"/>
      <c r="N347" s="1475"/>
      <c r="O347" s="359"/>
      <c r="P347" s="1581"/>
    </row>
    <row r="348" spans="1:16" s="487" customFormat="1" ht="15.75" customHeight="1">
      <c r="A348" s="350"/>
      <c r="B348" s="351"/>
      <c r="C348" s="382"/>
      <c r="D348" s="382"/>
      <c r="E348" s="382"/>
      <c r="F348" s="382"/>
      <c r="G348" s="382"/>
      <c r="H348" s="382"/>
      <c r="I348" s="382"/>
      <c r="J348" s="382"/>
      <c r="K348" s="382"/>
      <c r="L348" s="382"/>
      <c r="M348" s="382"/>
      <c r="N348" s="1475"/>
      <c r="O348" s="359"/>
      <c r="P348" s="1581"/>
    </row>
    <row r="349" spans="1:16" s="487" customFormat="1" ht="15.75" customHeight="1">
      <c r="A349" s="350"/>
      <c r="B349" s="351"/>
      <c r="C349" s="382"/>
      <c r="D349" s="382"/>
      <c r="E349" s="382"/>
      <c r="F349" s="382"/>
      <c r="G349" s="382"/>
      <c r="H349" s="382"/>
      <c r="I349" s="382"/>
      <c r="J349" s="382"/>
      <c r="K349" s="382"/>
      <c r="L349" s="382"/>
      <c r="M349" s="382"/>
      <c r="N349" s="1475"/>
      <c r="O349" s="359"/>
      <c r="P349" s="1581"/>
    </row>
    <row r="350" spans="1:16" s="487" customFormat="1" ht="15.75" customHeight="1">
      <c r="A350" s="350"/>
      <c r="B350" s="351"/>
      <c r="C350" s="382"/>
      <c r="D350" s="382"/>
      <c r="E350" s="382"/>
      <c r="F350" s="382"/>
      <c r="G350" s="382"/>
      <c r="H350" s="382"/>
      <c r="I350" s="382"/>
      <c r="J350" s="382"/>
      <c r="K350" s="382"/>
      <c r="L350" s="382"/>
      <c r="M350" s="382"/>
      <c r="N350" s="1475"/>
      <c r="O350" s="359"/>
      <c r="P350" s="1581"/>
    </row>
    <row r="351" spans="1:16" s="487" customFormat="1" ht="15.75" customHeight="1">
      <c r="A351" s="350"/>
      <c r="B351" s="351"/>
      <c r="C351" s="382"/>
      <c r="D351" s="382"/>
      <c r="E351" s="382"/>
      <c r="F351" s="382"/>
      <c r="G351" s="382"/>
      <c r="H351" s="382"/>
      <c r="I351" s="382"/>
      <c r="J351" s="382"/>
      <c r="K351" s="382"/>
      <c r="L351" s="382"/>
      <c r="M351" s="382"/>
      <c r="N351" s="1475"/>
      <c r="O351" s="359"/>
      <c r="P351" s="1581"/>
    </row>
    <row r="352" spans="1:16" s="487" customFormat="1" ht="15.75" customHeight="1">
      <c r="A352" s="350"/>
      <c r="B352" s="351"/>
      <c r="C352" s="382"/>
      <c r="D352" s="382"/>
      <c r="E352" s="382"/>
      <c r="F352" s="382"/>
      <c r="G352" s="382"/>
      <c r="H352" s="382"/>
      <c r="I352" s="382"/>
      <c r="J352" s="382"/>
      <c r="K352" s="382"/>
      <c r="L352" s="382"/>
      <c r="M352" s="382"/>
      <c r="N352" s="1475"/>
      <c r="O352" s="359"/>
      <c r="P352" s="1581"/>
    </row>
    <row r="353" spans="1:16" s="487" customFormat="1" ht="15.75" customHeight="1">
      <c r="A353" s="350"/>
      <c r="B353" s="351"/>
      <c r="C353" s="382"/>
      <c r="D353" s="382"/>
      <c r="E353" s="382"/>
      <c r="F353" s="382"/>
      <c r="G353" s="382"/>
      <c r="H353" s="382"/>
      <c r="I353" s="382"/>
      <c r="J353" s="382"/>
      <c r="K353" s="382"/>
      <c r="L353" s="382"/>
      <c r="M353" s="382"/>
      <c r="N353" s="1475"/>
      <c r="O353" s="359"/>
      <c r="P353" s="1581"/>
    </row>
    <row r="354" spans="1:16" s="487" customFormat="1" ht="15.75" customHeight="1">
      <c r="A354" s="350"/>
      <c r="B354" s="351"/>
      <c r="C354" s="382"/>
      <c r="D354" s="382"/>
      <c r="E354" s="382"/>
      <c r="F354" s="382"/>
      <c r="G354" s="382"/>
      <c r="H354" s="382"/>
      <c r="I354" s="382"/>
      <c r="J354" s="382"/>
      <c r="K354" s="382"/>
      <c r="L354" s="382"/>
      <c r="M354" s="382"/>
      <c r="N354" s="1475"/>
      <c r="O354" s="359"/>
      <c r="P354" s="1581"/>
    </row>
    <row r="355" spans="1:16" s="487" customFormat="1" ht="15.75" customHeight="1">
      <c r="A355" s="350"/>
      <c r="B355" s="351"/>
      <c r="C355" s="382"/>
      <c r="D355" s="382"/>
      <c r="E355" s="382"/>
      <c r="F355" s="382"/>
      <c r="G355" s="382"/>
      <c r="H355" s="382"/>
      <c r="I355" s="382"/>
      <c r="J355" s="382"/>
      <c r="K355" s="382"/>
      <c r="L355" s="382"/>
      <c r="M355" s="382"/>
      <c r="N355" s="1475"/>
      <c r="O355" s="359"/>
      <c r="P355" s="1581"/>
    </row>
    <row r="356" spans="1:16" s="487" customFormat="1" ht="15.75" customHeight="1">
      <c r="A356" s="350"/>
      <c r="B356" s="351"/>
      <c r="C356" s="382"/>
      <c r="D356" s="382"/>
      <c r="E356" s="382"/>
      <c r="F356" s="382"/>
      <c r="G356" s="382"/>
      <c r="H356" s="382"/>
      <c r="I356" s="382"/>
      <c r="J356" s="382"/>
      <c r="K356" s="382"/>
      <c r="L356" s="382"/>
      <c r="M356" s="382"/>
      <c r="N356" s="1475"/>
      <c r="O356" s="359"/>
      <c r="P356" s="1581"/>
    </row>
    <row r="357" spans="1:16" s="487" customFormat="1" ht="15.75" customHeight="1">
      <c r="A357" s="350"/>
      <c r="B357" s="351"/>
      <c r="C357" s="382"/>
      <c r="D357" s="382"/>
      <c r="E357" s="382"/>
      <c r="F357" s="382"/>
      <c r="G357" s="382"/>
      <c r="H357" s="382"/>
      <c r="I357" s="382"/>
      <c r="J357" s="382"/>
      <c r="K357" s="382"/>
      <c r="L357" s="382"/>
      <c r="M357" s="382"/>
      <c r="N357" s="1475"/>
      <c r="O357" s="359"/>
      <c r="P357" s="1581"/>
    </row>
    <row r="358" spans="1:16" s="487" customFormat="1" ht="15.75" customHeight="1">
      <c r="A358" s="350"/>
      <c r="B358" s="351"/>
      <c r="C358" s="382"/>
      <c r="D358" s="382"/>
      <c r="E358" s="382"/>
      <c r="F358" s="382"/>
      <c r="G358" s="382"/>
      <c r="H358" s="382"/>
      <c r="I358" s="382"/>
      <c r="J358" s="382"/>
      <c r="K358" s="382"/>
      <c r="L358" s="382"/>
      <c r="M358" s="382"/>
      <c r="N358" s="1475"/>
      <c r="O358" s="359"/>
      <c r="P358" s="1581"/>
    </row>
    <row r="359" spans="1:16" s="487" customFormat="1" ht="15.75" customHeight="1">
      <c r="A359" s="350"/>
      <c r="B359" s="351"/>
      <c r="C359" s="382"/>
      <c r="D359" s="382"/>
      <c r="E359" s="382"/>
      <c r="F359" s="382"/>
      <c r="G359" s="382"/>
      <c r="H359" s="382"/>
      <c r="I359" s="382"/>
      <c r="J359" s="382"/>
      <c r="K359" s="382"/>
      <c r="L359" s="382"/>
      <c r="M359" s="382"/>
      <c r="N359" s="1475"/>
      <c r="O359" s="359"/>
      <c r="P359" s="1581"/>
    </row>
    <row r="360" spans="1:16" s="487" customFormat="1" ht="15.75" customHeight="1">
      <c r="A360" s="350"/>
      <c r="B360" s="351"/>
      <c r="C360" s="382"/>
      <c r="D360" s="382"/>
      <c r="E360" s="382"/>
      <c r="F360" s="382"/>
      <c r="G360" s="382"/>
      <c r="H360" s="382"/>
      <c r="I360" s="382"/>
      <c r="J360" s="382"/>
      <c r="K360" s="382"/>
      <c r="L360" s="382"/>
      <c r="M360" s="382"/>
      <c r="N360" s="1475"/>
      <c r="O360" s="359"/>
      <c r="P360" s="1581"/>
    </row>
    <row r="361" spans="1:16" s="487" customFormat="1" ht="15.75" customHeight="1">
      <c r="A361" s="350"/>
      <c r="B361" s="351"/>
      <c r="C361" s="382"/>
      <c r="D361" s="382"/>
      <c r="E361" s="382"/>
      <c r="F361" s="382"/>
      <c r="G361" s="382"/>
      <c r="H361" s="382"/>
      <c r="I361" s="382"/>
      <c r="J361" s="382"/>
      <c r="K361" s="382"/>
      <c r="L361" s="382"/>
      <c r="M361" s="382"/>
      <c r="N361" s="1475"/>
      <c r="O361" s="359"/>
      <c r="P361" s="1581"/>
    </row>
    <row r="362" spans="1:16" s="487" customFormat="1" ht="15.75" customHeight="1">
      <c r="A362" s="350"/>
      <c r="B362" s="351"/>
      <c r="C362" s="382"/>
      <c r="D362" s="382"/>
      <c r="E362" s="382"/>
      <c r="F362" s="382"/>
      <c r="G362" s="382"/>
      <c r="H362" s="382"/>
      <c r="I362" s="382"/>
      <c r="J362" s="382"/>
      <c r="K362" s="382"/>
      <c r="L362" s="382"/>
      <c r="M362" s="382"/>
      <c r="N362" s="1475"/>
      <c r="O362" s="359"/>
      <c r="P362" s="1581"/>
    </row>
    <row r="363" spans="1:16" s="487" customFormat="1" ht="15.75" customHeight="1">
      <c r="A363" s="350"/>
      <c r="B363" s="351"/>
      <c r="C363" s="382"/>
      <c r="D363" s="382"/>
      <c r="E363" s="382"/>
      <c r="F363" s="382"/>
      <c r="G363" s="382"/>
      <c r="H363" s="382"/>
      <c r="I363" s="382"/>
      <c r="J363" s="382"/>
      <c r="K363" s="382"/>
      <c r="L363" s="382"/>
      <c r="M363" s="382"/>
      <c r="N363" s="1475"/>
      <c r="O363" s="359"/>
      <c r="P363" s="1581"/>
    </row>
    <row r="364" spans="1:16" s="487" customFormat="1" ht="15.75" customHeight="1">
      <c r="A364" s="350"/>
      <c r="B364" s="351"/>
      <c r="C364" s="382"/>
      <c r="D364" s="382"/>
      <c r="E364" s="382"/>
      <c r="F364" s="382"/>
      <c r="G364" s="382"/>
      <c r="H364" s="382"/>
      <c r="I364" s="382"/>
      <c r="J364" s="382"/>
      <c r="K364" s="382"/>
      <c r="L364" s="382"/>
      <c r="M364" s="382"/>
      <c r="N364" s="1475"/>
      <c r="O364" s="359"/>
      <c r="P364" s="1581"/>
    </row>
    <row r="365" spans="1:16" s="487" customFormat="1" ht="15.75" customHeight="1">
      <c r="A365" s="350"/>
      <c r="B365" s="351"/>
      <c r="C365" s="382"/>
      <c r="D365" s="382"/>
      <c r="E365" s="382"/>
      <c r="F365" s="382"/>
      <c r="G365" s="382"/>
      <c r="H365" s="382"/>
      <c r="I365" s="382"/>
      <c r="J365" s="382"/>
      <c r="K365" s="382"/>
      <c r="L365" s="382"/>
      <c r="M365" s="382"/>
      <c r="N365" s="1475"/>
      <c r="O365" s="359"/>
      <c r="P365" s="1581"/>
    </row>
    <row r="366" spans="1:16" s="487" customFormat="1" ht="15.75" customHeight="1">
      <c r="A366" s="350"/>
      <c r="B366" s="351"/>
      <c r="C366" s="382"/>
      <c r="D366" s="382"/>
      <c r="E366" s="382"/>
      <c r="F366" s="382"/>
      <c r="G366" s="382"/>
      <c r="H366" s="382"/>
      <c r="I366" s="382"/>
      <c r="J366" s="382"/>
      <c r="K366" s="382"/>
      <c r="L366" s="382"/>
      <c r="M366" s="382"/>
      <c r="N366" s="1475"/>
      <c r="O366" s="359"/>
      <c r="P366" s="1581"/>
    </row>
    <row r="367" spans="1:16" s="487" customFormat="1" ht="15.75" customHeight="1">
      <c r="A367" s="350"/>
      <c r="B367" s="351"/>
      <c r="C367" s="382"/>
      <c r="D367" s="382"/>
      <c r="E367" s="382"/>
      <c r="F367" s="382"/>
      <c r="G367" s="382"/>
      <c r="H367" s="382"/>
      <c r="I367" s="382"/>
      <c r="J367" s="382"/>
      <c r="K367" s="382"/>
      <c r="L367" s="382"/>
      <c r="M367" s="382"/>
      <c r="N367" s="1475"/>
      <c r="O367" s="359"/>
      <c r="P367" s="1581"/>
    </row>
    <row r="368" spans="1:16" s="487" customFormat="1" ht="15.75" customHeight="1">
      <c r="A368" s="350"/>
      <c r="B368" s="351"/>
      <c r="C368" s="382"/>
      <c r="D368" s="382"/>
      <c r="E368" s="382"/>
      <c r="F368" s="382"/>
      <c r="G368" s="382"/>
      <c r="H368" s="382"/>
      <c r="I368" s="382"/>
      <c r="J368" s="382"/>
      <c r="K368" s="382"/>
      <c r="L368" s="382"/>
      <c r="M368" s="382"/>
      <c r="N368" s="1475"/>
      <c r="O368" s="359"/>
      <c r="P368" s="1581"/>
    </row>
    <row r="369" spans="1:16" s="487" customFormat="1" ht="15.75" customHeight="1">
      <c r="A369" s="350"/>
      <c r="B369" s="351"/>
      <c r="C369" s="382"/>
      <c r="D369" s="382"/>
      <c r="E369" s="382"/>
      <c r="F369" s="382"/>
      <c r="G369" s="382"/>
      <c r="H369" s="382"/>
      <c r="I369" s="382"/>
      <c r="J369" s="382"/>
      <c r="K369" s="382"/>
      <c r="L369" s="382"/>
      <c r="M369" s="382"/>
      <c r="N369" s="1475"/>
      <c r="O369" s="359"/>
      <c r="P369" s="1581"/>
    </row>
    <row r="370" spans="1:16" s="487" customFormat="1" ht="15.75" customHeight="1">
      <c r="A370" s="350"/>
      <c r="B370" s="351"/>
      <c r="C370" s="382"/>
      <c r="D370" s="382"/>
      <c r="E370" s="382"/>
      <c r="F370" s="382"/>
      <c r="G370" s="382"/>
      <c r="H370" s="382"/>
      <c r="I370" s="382"/>
      <c r="J370" s="382"/>
      <c r="K370" s="382"/>
      <c r="L370" s="382"/>
      <c r="M370" s="382"/>
      <c r="N370" s="1475"/>
      <c r="O370" s="359"/>
      <c r="P370" s="1581"/>
    </row>
    <row r="371" spans="1:16" s="487" customFormat="1" ht="15.75" customHeight="1">
      <c r="A371" s="350"/>
      <c r="B371" s="351"/>
      <c r="C371" s="382"/>
      <c r="D371" s="382"/>
      <c r="E371" s="382"/>
      <c r="F371" s="382"/>
      <c r="G371" s="382"/>
      <c r="H371" s="382"/>
      <c r="I371" s="382"/>
      <c r="J371" s="382"/>
      <c r="K371" s="382"/>
      <c r="L371" s="382"/>
      <c r="M371" s="382"/>
      <c r="N371" s="1475"/>
      <c r="O371" s="359"/>
      <c r="P371" s="1581"/>
    </row>
    <row r="372" spans="1:16" s="487" customFormat="1" ht="15.75" customHeight="1">
      <c r="A372" s="350"/>
      <c r="B372" s="351"/>
      <c r="C372" s="382"/>
      <c r="D372" s="382"/>
      <c r="E372" s="382"/>
      <c r="F372" s="382"/>
      <c r="G372" s="382"/>
      <c r="H372" s="382"/>
      <c r="I372" s="382"/>
      <c r="J372" s="382"/>
      <c r="K372" s="382"/>
      <c r="L372" s="382"/>
      <c r="M372" s="382"/>
      <c r="N372" s="1475"/>
      <c r="O372" s="359"/>
      <c r="P372" s="1581"/>
    </row>
    <row r="373" spans="1:16" s="487" customFormat="1" ht="15.75" customHeight="1">
      <c r="A373" s="350"/>
      <c r="B373" s="351"/>
      <c r="C373" s="382"/>
      <c r="D373" s="382"/>
      <c r="E373" s="382"/>
      <c r="F373" s="382"/>
      <c r="G373" s="382"/>
      <c r="H373" s="382"/>
      <c r="I373" s="382"/>
      <c r="J373" s="382"/>
      <c r="K373" s="382"/>
      <c r="L373" s="382"/>
      <c r="M373" s="382"/>
      <c r="N373" s="1475"/>
      <c r="O373" s="359"/>
      <c r="P373" s="1581"/>
    </row>
    <row r="374" spans="1:16" s="487" customFormat="1" ht="15.75" customHeight="1">
      <c r="A374" s="350"/>
      <c r="B374" s="351"/>
      <c r="C374" s="382"/>
      <c r="D374" s="382"/>
      <c r="E374" s="382"/>
      <c r="F374" s="382"/>
      <c r="G374" s="382"/>
      <c r="H374" s="382"/>
      <c r="I374" s="382"/>
      <c r="J374" s="382"/>
      <c r="K374" s="382"/>
      <c r="L374" s="382"/>
      <c r="M374" s="382"/>
      <c r="N374" s="1475"/>
      <c r="O374" s="359"/>
      <c r="P374" s="1581"/>
    </row>
    <row r="375" spans="1:16" s="487" customFormat="1" ht="15.75" customHeight="1">
      <c r="A375" s="350"/>
      <c r="B375" s="351"/>
      <c r="C375" s="382"/>
      <c r="D375" s="382"/>
      <c r="E375" s="382"/>
      <c r="F375" s="382"/>
      <c r="G375" s="382"/>
      <c r="H375" s="382"/>
      <c r="I375" s="382"/>
      <c r="J375" s="382"/>
      <c r="K375" s="382"/>
      <c r="L375" s="382"/>
      <c r="M375" s="382"/>
      <c r="N375" s="1475"/>
      <c r="O375" s="359"/>
      <c r="P375" s="1581"/>
    </row>
    <row r="376" spans="1:16" s="487" customFormat="1" ht="15.75" customHeight="1">
      <c r="A376" s="350"/>
      <c r="B376" s="351"/>
      <c r="C376" s="382"/>
      <c r="D376" s="382"/>
      <c r="E376" s="382"/>
      <c r="F376" s="382"/>
      <c r="G376" s="382"/>
      <c r="H376" s="382"/>
      <c r="I376" s="382"/>
      <c r="J376" s="382"/>
      <c r="K376" s="382"/>
      <c r="L376" s="382"/>
      <c r="M376" s="382"/>
      <c r="N376" s="1475"/>
      <c r="O376" s="359"/>
      <c r="P376" s="1581"/>
    </row>
    <row r="377" spans="1:16" s="487" customFormat="1" ht="15.75" customHeight="1">
      <c r="A377" s="350"/>
      <c r="B377" s="351"/>
      <c r="C377" s="382"/>
      <c r="D377" s="382"/>
      <c r="E377" s="382"/>
      <c r="F377" s="382"/>
      <c r="G377" s="382"/>
      <c r="H377" s="382"/>
      <c r="I377" s="382"/>
      <c r="J377" s="382"/>
      <c r="K377" s="382"/>
      <c r="L377" s="382"/>
      <c r="M377" s="382"/>
      <c r="N377" s="1475"/>
      <c r="O377" s="359"/>
      <c r="P377" s="1581"/>
    </row>
    <row r="378" spans="1:16" s="487" customFormat="1" ht="15.75" customHeight="1">
      <c r="A378" s="350"/>
      <c r="B378" s="351"/>
      <c r="C378" s="382"/>
      <c r="D378" s="382"/>
      <c r="E378" s="382"/>
      <c r="F378" s="382"/>
      <c r="G378" s="382"/>
      <c r="H378" s="382"/>
      <c r="I378" s="382"/>
      <c r="J378" s="382"/>
      <c r="K378" s="382"/>
      <c r="L378" s="382"/>
      <c r="M378" s="382"/>
      <c r="N378" s="1475"/>
      <c r="O378" s="359"/>
      <c r="P378" s="1581"/>
    </row>
    <row r="379" spans="1:16" s="487" customFormat="1" ht="15.75" customHeight="1">
      <c r="A379" s="350"/>
      <c r="B379" s="351"/>
      <c r="C379" s="382"/>
      <c r="D379" s="382"/>
      <c r="E379" s="382"/>
      <c r="F379" s="382"/>
      <c r="G379" s="382"/>
      <c r="H379" s="382"/>
      <c r="I379" s="382"/>
      <c r="J379" s="382"/>
      <c r="K379" s="382"/>
      <c r="L379" s="382"/>
      <c r="M379" s="382"/>
      <c r="N379" s="1475"/>
      <c r="O379" s="359"/>
      <c r="P379" s="1581"/>
    </row>
    <row r="380" spans="1:16" s="487" customFormat="1" ht="15.75" customHeight="1">
      <c r="A380" s="350"/>
      <c r="B380" s="351"/>
      <c r="C380" s="382"/>
      <c r="D380" s="382"/>
      <c r="E380" s="382"/>
      <c r="F380" s="382"/>
      <c r="G380" s="382"/>
      <c r="H380" s="382"/>
      <c r="I380" s="382"/>
      <c r="J380" s="382"/>
      <c r="K380" s="382"/>
      <c r="L380" s="382"/>
      <c r="M380" s="382"/>
      <c r="N380" s="1475"/>
      <c r="O380" s="359"/>
      <c r="P380" s="1581"/>
    </row>
    <row r="381" spans="1:16" s="487" customFormat="1" ht="15.75" customHeight="1">
      <c r="A381" s="350"/>
      <c r="B381" s="351"/>
      <c r="C381" s="382"/>
      <c r="D381" s="382"/>
      <c r="E381" s="382"/>
      <c r="F381" s="382"/>
      <c r="G381" s="382"/>
      <c r="H381" s="382"/>
      <c r="I381" s="382"/>
      <c r="J381" s="382"/>
      <c r="K381" s="382"/>
      <c r="L381" s="382"/>
      <c r="M381" s="382"/>
      <c r="N381" s="1475"/>
      <c r="O381" s="359"/>
      <c r="P381" s="1581"/>
    </row>
    <row r="382" spans="1:16" s="487" customFormat="1" ht="15.75" customHeight="1">
      <c r="A382" s="350"/>
      <c r="B382" s="351"/>
      <c r="C382" s="382"/>
      <c r="D382" s="382"/>
      <c r="E382" s="382"/>
      <c r="F382" s="382"/>
      <c r="G382" s="382"/>
      <c r="H382" s="382"/>
      <c r="I382" s="382"/>
      <c r="J382" s="382"/>
      <c r="K382" s="382"/>
      <c r="L382" s="382"/>
      <c r="M382" s="382"/>
      <c r="N382" s="1475"/>
      <c r="O382" s="359"/>
      <c r="P382" s="1581"/>
    </row>
    <row r="383" spans="1:16" s="487" customFormat="1" ht="15.75" customHeight="1">
      <c r="A383" s="350"/>
      <c r="B383" s="351"/>
      <c r="C383" s="382"/>
      <c r="D383" s="382"/>
      <c r="E383" s="382"/>
      <c r="F383" s="382"/>
      <c r="G383" s="382"/>
      <c r="H383" s="382"/>
      <c r="I383" s="382"/>
      <c r="J383" s="382"/>
      <c r="K383" s="382"/>
      <c r="L383" s="382"/>
      <c r="M383" s="382"/>
      <c r="N383" s="1475"/>
      <c r="O383" s="359"/>
      <c r="P383" s="1581"/>
    </row>
    <row r="384" spans="1:16" s="487" customFormat="1" ht="15.75" customHeight="1">
      <c r="A384" s="350"/>
      <c r="B384" s="351"/>
      <c r="C384" s="382"/>
      <c r="D384" s="382"/>
      <c r="E384" s="382"/>
      <c r="F384" s="382"/>
      <c r="G384" s="382"/>
      <c r="H384" s="382"/>
      <c r="I384" s="382"/>
      <c r="J384" s="382"/>
      <c r="K384" s="382"/>
      <c r="L384" s="382"/>
      <c r="M384" s="382"/>
      <c r="N384" s="1475"/>
      <c r="O384" s="359"/>
      <c r="P384" s="1581"/>
    </row>
    <row r="385" spans="1:16" s="487" customFormat="1" ht="15.75" customHeight="1">
      <c r="A385" s="350"/>
      <c r="B385" s="351"/>
      <c r="C385" s="382"/>
      <c r="D385" s="382"/>
      <c r="E385" s="382"/>
      <c r="F385" s="382"/>
      <c r="G385" s="382"/>
      <c r="H385" s="382"/>
      <c r="I385" s="382"/>
      <c r="J385" s="382"/>
      <c r="K385" s="382"/>
      <c r="L385" s="382"/>
      <c r="M385" s="382"/>
      <c r="N385" s="1475"/>
      <c r="O385" s="359"/>
      <c r="P385" s="1581"/>
    </row>
    <row r="386" spans="1:16" s="487" customFormat="1" ht="15.75" customHeight="1">
      <c r="A386" s="350"/>
      <c r="B386" s="351"/>
      <c r="C386" s="382"/>
      <c r="D386" s="382"/>
      <c r="E386" s="382"/>
      <c r="F386" s="382"/>
      <c r="G386" s="382"/>
      <c r="H386" s="382"/>
      <c r="I386" s="382"/>
      <c r="J386" s="382"/>
      <c r="K386" s="382"/>
      <c r="L386" s="382"/>
      <c r="M386" s="382"/>
      <c r="N386" s="1475"/>
      <c r="O386" s="359"/>
      <c r="P386" s="1581"/>
    </row>
    <row r="387" spans="1:16" s="487" customFormat="1" ht="15.75" customHeight="1">
      <c r="A387" s="350"/>
      <c r="B387" s="351"/>
      <c r="C387" s="382"/>
      <c r="D387" s="382"/>
      <c r="E387" s="382"/>
      <c r="F387" s="382"/>
      <c r="G387" s="382"/>
      <c r="H387" s="382"/>
      <c r="I387" s="382"/>
      <c r="J387" s="382"/>
      <c r="K387" s="382"/>
      <c r="L387" s="382"/>
      <c r="M387" s="382"/>
      <c r="N387" s="1475"/>
      <c r="O387" s="359"/>
      <c r="P387" s="1581"/>
    </row>
    <row r="388" spans="1:16" s="487" customFormat="1" ht="15.75" customHeight="1">
      <c r="A388" s="350"/>
      <c r="B388" s="351"/>
      <c r="C388" s="382"/>
      <c r="D388" s="382"/>
      <c r="E388" s="382"/>
      <c r="F388" s="382"/>
      <c r="G388" s="382"/>
      <c r="H388" s="382"/>
      <c r="I388" s="382"/>
      <c r="J388" s="382"/>
      <c r="K388" s="382"/>
      <c r="L388" s="382"/>
      <c r="M388" s="382"/>
      <c r="N388" s="1475"/>
      <c r="O388" s="359"/>
      <c r="P388" s="1581"/>
    </row>
    <row r="389" spans="1:16" s="487" customFormat="1" ht="15.75" customHeight="1">
      <c r="A389" s="350"/>
      <c r="B389" s="351"/>
      <c r="C389" s="382"/>
      <c r="D389" s="382"/>
      <c r="E389" s="382"/>
      <c r="F389" s="382"/>
      <c r="G389" s="382"/>
      <c r="H389" s="382"/>
      <c r="I389" s="382"/>
      <c r="J389" s="382"/>
      <c r="K389" s="382"/>
      <c r="L389" s="382"/>
      <c r="M389" s="382"/>
      <c r="N389" s="1475"/>
      <c r="O389" s="359"/>
      <c r="P389" s="1581"/>
    </row>
    <row r="390" spans="1:16" s="487" customFormat="1" ht="15.75" customHeight="1">
      <c r="A390" s="350"/>
      <c r="B390" s="351"/>
      <c r="C390" s="382"/>
      <c r="D390" s="382"/>
      <c r="E390" s="382"/>
      <c r="F390" s="382"/>
      <c r="G390" s="382"/>
      <c r="H390" s="382"/>
      <c r="I390" s="382"/>
      <c r="J390" s="382"/>
      <c r="K390" s="382"/>
      <c r="L390" s="382"/>
      <c r="M390" s="382"/>
      <c r="N390" s="1475"/>
      <c r="O390" s="359"/>
      <c r="P390" s="1581"/>
    </row>
    <row r="391" spans="1:16" s="487" customFormat="1" ht="15.75" customHeight="1">
      <c r="A391" s="350"/>
      <c r="B391" s="351"/>
      <c r="C391" s="382"/>
      <c r="D391" s="382"/>
      <c r="E391" s="382"/>
      <c r="F391" s="382"/>
      <c r="G391" s="382"/>
      <c r="H391" s="382"/>
      <c r="I391" s="382"/>
      <c r="J391" s="382"/>
      <c r="K391" s="382"/>
      <c r="L391" s="382"/>
      <c r="M391" s="382"/>
      <c r="N391" s="1475"/>
      <c r="O391" s="359"/>
      <c r="P391" s="1581"/>
    </row>
    <row r="392" spans="1:16" s="487" customFormat="1" ht="15.75" customHeight="1">
      <c r="A392" s="350"/>
      <c r="B392" s="351"/>
      <c r="C392" s="382"/>
      <c r="D392" s="382"/>
      <c r="E392" s="382"/>
      <c r="F392" s="382"/>
      <c r="G392" s="382"/>
      <c r="H392" s="382"/>
      <c r="I392" s="382"/>
      <c r="J392" s="382"/>
      <c r="K392" s="382"/>
      <c r="L392" s="382"/>
      <c r="M392" s="382"/>
      <c r="N392" s="1475"/>
      <c r="O392" s="359"/>
      <c r="P392" s="1581"/>
    </row>
    <row r="393" spans="1:16" s="487" customFormat="1" ht="15.75" customHeight="1">
      <c r="A393" s="350"/>
      <c r="B393" s="351"/>
      <c r="C393" s="382"/>
      <c r="D393" s="382"/>
      <c r="E393" s="382"/>
      <c r="F393" s="382"/>
      <c r="G393" s="382"/>
      <c r="H393" s="382"/>
      <c r="I393" s="382"/>
      <c r="J393" s="382"/>
      <c r="K393" s="382"/>
      <c r="L393" s="382"/>
      <c r="M393" s="382"/>
      <c r="N393" s="1475"/>
      <c r="O393" s="359"/>
      <c r="P393" s="1581"/>
    </row>
    <row r="394" spans="1:16" s="487" customFormat="1" ht="15.75" customHeight="1">
      <c r="A394" s="350"/>
      <c r="B394" s="351"/>
      <c r="C394" s="382"/>
      <c r="D394" s="382"/>
      <c r="E394" s="382"/>
      <c r="F394" s="382"/>
      <c r="G394" s="382"/>
      <c r="H394" s="382"/>
      <c r="I394" s="382"/>
      <c r="J394" s="382"/>
      <c r="K394" s="382"/>
      <c r="L394" s="382"/>
      <c r="M394" s="382"/>
      <c r="N394" s="1475"/>
      <c r="O394" s="359"/>
      <c r="P394" s="1581"/>
    </row>
    <row r="395" spans="1:16" s="487" customFormat="1" ht="15.75" customHeight="1">
      <c r="A395" s="350"/>
      <c r="B395" s="351"/>
      <c r="C395" s="382"/>
      <c r="D395" s="382"/>
      <c r="E395" s="382"/>
      <c r="F395" s="382"/>
      <c r="G395" s="382"/>
      <c r="H395" s="382"/>
      <c r="I395" s="382"/>
      <c r="J395" s="382"/>
      <c r="K395" s="382"/>
      <c r="L395" s="382"/>
      <c r="M395" s="382"/>
      <c r="N395" s="1475"/>
      <c r="O395" s="359"/>
      <c r="P395" s="1581"/>
    </row>
    <row r="396" spans="1:16" s="487" customFormat="1" ht="15.75" customHeight="1">
      <c r="A396" s="350"/>
      <c r="B396" s="351"/>
      <c r="C396" s="382"/>
      <c r="D396" s="382"/>
      <c r="E396" s="382"/>
      <c r="F396" s="382"/>
      <c r="G396" s="382"/>
      <c r="H396" s="382"/>
      <c r="I396" s="382"/>
      <c r="J396" s="382"/>
      <c r="K396" s="382"/>
      <c r="L396" s="382"/>
      <c r="M396" s="382"/>
      <c r="N396" s="1475"/>
      <c r="O396" s="359"/>
      <c r="P396" s="1581"/>
    </row>
    <row r="397" spans="1:16" s="487" customFormat="1" ht="15.75" customHeight="1">
      <c r="A397" s="350"/>
      <c r="B397" s="351"/>
      <c r="C397" s="382"/>
      <c r="D397" s="382"/>
      <c r="E397" s="382"/>
      <c r="F397" s="382"/>
      <c r="G397" s="382"/>
      <c r="H397" s="382"/>
      <c r="I397" s="382"/>
      <c r="J397" s="382"/>
      <c r="K397" s="382"/>
      <c r="L397" s="382"/>
      <c r="M397" s="382"/>
      <c r="N397" s="1475"/>
      <c r="O397" s="359"/>
      <c r="P397" s="1581"/>
    </row>
    <row r="398" spans="1:16" s="487" customFormat="1" ht="15.75" customHeight="1">
      <c r="A398" s="350"/>
      <c r="B398" s="351"/>
      <c r="C398" s="382"/>
      <c r="D398" s="382"/>
      <c r="E398" s="382"/>
      <c r="F398" s="382"/>
      <c r="G398" s="382"/>
      <c r="H398" s="382"/>
      <c r="I398" s="382"/>
      <c r="J398" s="382"/>
      <c r="K398" s="382"/>
      <c r="L398" s="382"/>
      <c r="M398" s="382"/>
      <c r="N398" s="1475"/>
      <c r="O398" s="359"/>
      <c r="P398" s="1581"/>
    </row>
    <row r="399" spans="1:16" s="487" customFormat="1" ht="15.75" customHeight="1">
      <c r="A399" s="350"/>
      <c r="B399" s="351"/>
      <c r="C399" s="382"/>
      <c r="D399" s="382"/>
      <c r="E399" s="382"/>
      <c r="F399" s="382"/>
      <c r="G399" s="382"/>
      <c r="H399" s="382"/>
      <c r="I399" s="382"/>
      <c r="J399" s="382"/>
      <c r="K399" s="382"/>
      <c r="L399" s="382"/>
      <c r="M399" s="382"/>
      <c r="N399" s="1475"/>
      <c r="O399" s="359"/>
      <c r="P399" s="1581"/>
    </row>
    <row r="400" spans="1:16" s="487" customFormat="1" ht="15.75" customHeight="1">
      <c r="A400" s="350"/>
      <c r="B400" s="351"/>
      <c r="C400" s="382"/>
      <c r="D400" s="382"/>
      <c r="E400" s="382"/>
      <c r="F400" s="382"/>
      <c r="G400" s="382"/>
      <c r="H400" s="382"/>
      <c r="I400" s="382"/>
      <c r="J400" s="382"/>
      <c r="K400" s="382"/>
      <c r="L400" s="382"/>
      <c r="M400" s="382"/>
      <c r="N400" s="1475"/>
      <c r="O400" s="359"/>
      <c r="P400" s="1581"/>
    </row>
    <row r="401" spans="1:16" s="487" customFormat="1" ht="15.75" customHeight="1">
      <c r="A401" s="350"/>
      <c r="B401" s="351"/>
      <c r="C401" s="382"/>
      <c r="D401" s="382"/>
      <c r="E401" s="382"/>
      <c r="F401" s="382"/>
      <c r="G401" s="382"/>
      <c r="H401" s="382"/>
      <c r="I401" s="382"/>
      <c r="J401" s="382"/>
      <c r="K401" s="382"/>
      <c r="L401" s="382"/>
      <c r="M401" s="382"/>
      <c r="N401" s="1475"/>
      <c r="O401" s="359"/>
      <c r="P401" s="1581"/>
    </row>
    <row r="402" spans="1:16" s="487" customFormat="1" ht="15.75" customHeight="1">
      <c r="A402" s="350"/>
      <c r="B402" s="351"/>
      <c r="C402" s="382"/>
      <c r="D402" s="382"/>
      <c r="E402" s="382"/>
      <c r="F402" s="382"/>
      <c r="G402" s="382"/>
      <c r="H402" s="382"/>
      <c r="I402" s="382"/>
      <c r="J402" s="382"/>
      <c r="K402" s="382"/>
      <c r="L402" s="382"/>
      <c r="M402" s="382"/>
      <c r="N402" s="1475"/>
      <c r="O402" s="359"/>
      <c r="P402" s="1581"/>
    </row>
    <row r="403" spans="1:16" s="487" customFormat="1" ht="15.75" customHeight="1">
      <c r="A403" s="350"/>
      <c r="B403" s="351"/>
      <c r="C403" s="382"/>
      <c r="D403" s="382"/>
      <c r="E403" s="382"/>
      <c r="F403" s="382"/>
      <c r="G403" s="382"/>
      <c r="H403" s="382"/>
      <c r="I403" s="382"/>
      <c r="J403" s="382"/>
      <c r="K403" s="382"/>
      <c r="L403" s="382"/>
      <c r="M403" s="382"/>
      <c r="N403" s="1475"/>
      <c r="O403" s="359"/>
      <c r="P403" s="1581"/>
    </row>
    <row r="404" spans="1:16" s="487" customFormat="1" ht="15.75" customHeight="1">
      <c r="A404" s="350"/>
      <c r="B404" s="351"/>
      <c r="C404" s="382"/>
      <c r="D404" s="382"/>
      <c r="E404" s="382"/>
      <c r="F404" s="382"/>
      <c r="G404" s="382"/>
      <c r="H404" s="382"/>
      <c r="I404" s="382"/>
      <c r="J404" s="382"/>
      <c r="K404" s="382"/>
      <c r="L404" s="382"/>
      <c r="M404" s="382"/>
      <c r="N404" s="1475"/>
      <c r="O404" s="359"/>
      <c r="P404" s="1581"/>
    </row>
    <row r="405" spans="1:16" s="487" customFormat="1" ht="15.75" customHeight="1">
      <c r="A405" s="350"/>
      <c r="B405" s="351"/>
      <c r="C405" s="382"/>
      <c r="D405" s="382"/>
      <c r="E405" s="382"/>
      <c r="F405" s="382"/>
      <c r="G405" s="382"/>
      <c r="H405" s="382"/>
      <c r="I405" s="382"/>
      <c r="J405" s="382"/>
      <c r="K405" s="382"/>
      <c r="L405" s="382"/>
      <c r="M405" s="382"/>
      <c r="N405" s="1475"/>
      <c r="O405" s="359"/>
      <c r="P405" s="1581"/>
    </row>
    <row r="406" spans="1:16" s="487" customFormat="1" ht="15.75" customHeight="1">
      <c r="A406" s="350"/>
      <c r="B406" s="351"/>
      <c r="C406" s="382"/>
      <c r="D406" s="382"/>
      <c r="E406" s="382"/>
      <c r="F406" s="382"/>
      <c r="G406" s="382"/>
      <c r="H406" s="382"/>
      <c r="I406" s="382"/>
      <c r="J406" s="382"/>
      <c r="K406" s="382"/>
      <c r="L406" s="382"/>
      <c r="M406" s="382"/>
      <c r="N406" s="1475"/>
      <c r="O406" s="359"/>
      <c r="P406" s="1581"/>
    </row>
    <row r="407" spans="1:16" s="487" customFormat="1" ht="15.75" customHeight="1">
      <c r="A407" s="350"/>
      <c r="B407" s="351"/>
      <c r="C407" s="382"/>
      <c r="D407" s="382"/>
      <c r="E407" s="382"/>
      <c r="F407" s="382"/>
      <c r="G407" s="382"/>
      <c r="H407" s="382"/>
      <c r="I407" s="382"/>
      <c r="J407" s="382"/>
      <c r="K407" s="382"/>
      <c r="L407" s="382"/>
      <c r="M407" s="382"/>
      <c r="N407" s="1475"/>
      <c r="O407" s="359"/>
      <c r="P407" s="1581"/>
    </row>
    <row r="408" spans="1:16" s="487" customFormat="1" ht="15.75" customHeight="1">
      <c r="A408" s="350"/>
      <c r="B408" s="351"/>
      <c r="C408" s="382"/>
      <c r="D408" s="382"/>
      <c r="E408" s="382"/>
      <c r="F408" s="382"/>
      <c r="G408" s="382"/>
      <c r="H408" s="382"/>
      <c r="I408" s="382"/>
      <c r="J408" s="382"/>
      <c r="K408" s="382"/>
      <c r="L408" s="382"/>
      <c r="M408" s="382"/>
      <c r="N408" s="1475"/>
      <c r="O408" s="359"/>
      <c r="P408" s="1581"/>
    </row>
    <row r="409" spans="1:16" s="487" customFormat="1" ht="15.75" customHeight="1">
      <c r="A409" s="350"/>
      <c r="B409" s="351"/>
      <c r="C409" s="382"/>
      <c r="D409" s="382"/>
      <c r="E409" s="382"/>
      <c r="F409" s="382"/>
      <c r="G409" s="382"/>
      <c r="H409" s="382"/>
      <c r="I409" s="382"/>
      <c r="J409" s="382"/>
      <c r="K409" s="382"/>
      <c r="L409" s="382"/>
      <c r="M409" s="382"/>
      <c r="N409" s="1475"/>
      <c r="O409" s="359"/>
      <c r="P409" s="1581"/>
    </row>
    <row r="410" spans="1:16" s="487" customFormat="1" ht="15.75" customHeight="1">
      <c r="A410" s="350"/>
      <c r="B410" s="351"/>
      <c r="C410" s="382"/>
      <c r="D410" s="382"/>
      <c r="E410" s="382"/>
      <c r="F410" s="382"/>
      <c r="G410" s="382"/>
      <c r="H410" s="382"/>
      <c r="I410" s="382"/>
      <c r="J410" s="382"/>
      <c r="K410" s="382"/>
      <c r="L410" s="382"/>
      <c r="M410" s="382"/>
      <c r="N410" s="1475"/>
      <c r="O410" s="359"/>
      <c r="P410" s="1581"/>
    </row>
    <row r="411" spans="1:16" s="487" customFormat="1" ht="15.75" customHeight="1">
      <c r="A411" s="350"/>
      <c r="B411" s="351"/>
      <c r="C411" s="382"/>
      <c r="D411" s="382"/>
      <c r="E411" s="382"/>
      <c r="F411" s="382"/>
      <c r="G411" s="382"/>
      <c r="H411" s="382"/>
      <c r="I411" s="382"/>
      <c r="J411" s="382"/>
      <c r="K411" s="382"/>
      <c r="L411" s="382"/>
      <c r="M411" s="382"/>
      <c r="N411" s="1475"/>
      <c r="O411" s="359"/>
      <c r="P411" s="1581"/>
    </row>
    <row r="412" spans="1:16" s="487" customFormat="1" ht="15.75" customHeight="1">
      <c r="A412" s="350"/>
      <c r="B412" s="351"/>
      <c r="C412" s="382"/>
      <c r="D412" s="382"/>
      <c r="E412" s="382"/>
      <c r="F412" s="382"/>
      <c r="G412" s="382"/>
      <c r="H412" s="382"/>
      <c r="I412" s="382"/>
      <c r="J412" s="382"/>
      <c r="K412" s="382"/>
      <c r="L412" s="382"/>
      <c r="M412" s="382"/>
      <c r="N412" s="1475"/>
      <c r="O412" s="359"/>
      <c r="P412" s="1581"/>
    </row>
    <row r="413" spans="1:16" s="487" customFormat="1" ht="15.75" customHeight="1">
      <c r="A413" s="350"/>
      <c r="B413" s="351"/>
      <c r="C413" s="382"/>
      <c r="D413" s="382"/>
      <c r="E413" s="382"/>
      <c r="F413" s="382"/>
      <c r="G413" s="382"/>
      <c r="H413" s="382"/>
      <c r="I413" s="382"/>
      <c r="J413" s="382"/>
      <c r="K413" s="382"/>
      <c r="L413" s="382"/>
      <c r="M413" s="382"/>
      <c r="N413" s="1475"/>
      <c r="O413" s="359"/>
      <c r="P413" s="1581"/>
    </row>
    <row r="414" spans="1:16" s="487" customFormat="1" ht="15.75" customHeight="1">
      <c r="A414" s="350"/>
      <c r="B414" s="351"/>
      <c r="C414" s="382"/>
      <c r="D414" s="382"/>
      <c r="E414" s="382"/>
      <c r="F414" s="382"/>
      <c r="G414" s="382"/>
      <c r="H414" s="382"/>
      <c r="I414" s="382"/>
      <c r="J414" s="382"/>
      <c r="K414" s="382"/>
      <c r="L414" s="382"/>
      <c r="M414" s="382"/>
      <c r="N414" s="1475"/>
      <c r="O414" s="359"/>
      <c r="P414" s="1581"/>
    </row>
    <row r="415" spans="1:16" s="487" customFormat="1" ht="15.75" customHeight="1">
      <c r="A415" s="350"/>
      <c r="B415" s="351"/>
      <c r="C415" s="382"/>
      <c r="D415" s="382"/>
      <c r="E415" s="382"/>
      <c r="F415" s="382"/>
      <c r="G415" s="382"/>
      <c r="H415" s="382"/>
      <c r="I415" s="382"/>
      <c r="J415" s="382"/>
      <c r="K415" s="382"/>
      <c r="L415" s="382"/>
      <c r="M415" s="382"/>
      <c r="N415" s="1475"/>
      <c r="O415" s="359"/>
      <c r="P415" s="1581"/>
    </row>
    <row r="416" spans="1:16" s="487" customFormat="1" ht="15.75" customHeight="1">
      <c r="A416" s="350"/>
      <c r="B416" s="351"/>
      <c r="C416" s="382"/>
      <c r="D416" s="382"/>
      <c r="E416" s="382"/>
      <c r="F416" s="382"/>
      <c r="G416" s="382"/>
      <c r="H416" s="382"/>
      <c r="I416" s="382"/>
      <c r="J416" s="382"/>
      <c r="K416" s="382"/>
      <c r="L416" s="382"/>
      <c r="M416" s="382"/>
      <c r="N416" s="1475"/>
      <c r="O416" s="359"/>
      <c r="P416" s="1581"/>
    </row>
    <row r="417" spans="1:16" s="487" customFormat="1" ht="15.75" customHeight="1">
      <c r="A417" s="350"/>
      <c r="B417" s="351"/>
      <c r="C417" s="382"/>
      <c r="D417" s="382"/>
      <c r="E417" s="382"/>
      <c r="F417" s="382"/>
      <c r="G417" s="382"/>
      <c r="H417" s="382"/>
      <c r="I417" s="382"/>
      <c r="J417" s="382"/>
      <c r="K417" s="382"/>
      <c r="L417" s="382"/>
      <c r="M417" s="382"/>
      <c r="N417" s="1475"/>
      <c r="O417" s="359"/>
      <c r="P417" s="1581"/>
    </row>
    <row r="418" spans="1:16" s="487" customFormat="1" ht="15.75" customHeight="1">
      <c r="A418" s="350"/>
      <c r="B418" s="351"/>
      <c r="C418" s="382"/>
      <c r="D418" s="382"/>
      <c r="E418" s="382"/>
      <c r="F418" s="382"/>
      <c r="G418" s="382"/>
      <c r="H418" s="382"/>
      <c r="I418" s="382"/>
      <c r="J418" s="382"/>
      <c r="K418" s="382"/>
      <c r="L418" s="382"/>
      <c r="M418" s="382"/>
      <c r="N418" s="1475"/>
      <c r="O418" s="359"/>
      <c r="P418" s="1581"/>
    </row>
    <row r="419" spans="1:16" s="487" customFormat="1" ht="15.75" customHeight="1">
      <c r="A419" s="350"/>
      <c r="B419" s="351"/>
      <c r="C419" s="382"/>
      <c r="D419" s="382"/>
      <c r="E419" s="382"/>
      <c r="F419" s="382"/>
      <c r="G419" s="382"/>
      <c r="H419" s="382"/>
      <c r="I419" s="382"/>
      <c r="J419" s="382"/>
      <c r="K419" s="382"/>
      <c r="L419" s="382"/>
      <c r="M419" s="382"/>
      <c r="N419" s="1475"/>
      <c r="O419" s="359"/>
      <c r="P419" s="1581"/>
    </row>
    <row r="420" spans="1:16" s="487" customFormat="1" ht="15.75" customHeight="1">
      <c r="A420" s="350"/>
      <c r="B420" s="351"/>
      <c r="C420" s="382"/>
      <c r="D420" s="382"/>
      <c r="E420" s="382"/>
      <c r="F420" s="382"/>
      <c r="G420" s="382"/>
      <c r="H420" s="382"/>
      <c r="I420" s="382"/>
      <c r="J420" s="382"/>
      <c r="K420" s="382"/>
      <c r="L420" s="382"/>
      <c r="M420" s="382"/>
      <c r="N420" s="1475"/>
      <c r="O420" s="359"/>
      <c r="P420" s="1581"/>
    </row>
    <row r="421" spans="1:16" s="487" customFormat="1" ht="15.75" customHeight="1">
      <c r="A421" s="350"/>
      <c r="B421" s="351"/>
      <c r="C421" s="382"/>
      <c r="D421" s="382"/>
      <c r="E421" s="382"/>
      <c r="F421" s="382"/>
      <c r="G421" s="382"/>
      <c r="H421" s="382"/>
      <c r="I421" s="382"/>
      <c r="J421" s="382"/>
      <c r="K421" s="382"/>
      <c r="L421" s="382"/>
      <c r="M421" s="382"/>
      <c r="N421" s="1475"/>
      <c r="O421" s="359"/>
      <c r="P421" s="1581"/>
    </row>
    <row r="422" spans="1:16" s="487" customFormat="1" ht="15.75" customHeight="1">
      <c r="A422" s="350"/>
      <c r="B422" s="351"/>
      <c r="C422" s="382"/>
      <c r="D422" s="382"/>
      <c r="E422" s="382"/>
      <c r="F422" s="382"/>
      <c r="G422" s="382"/>
      <c r="H422" s="382"/>
      <c r="I422" s="382"/>
      <c r="J422" s="382"/>
      <c r="K422" s="382"/>
      <c r="L422" s="382"/>
      <c r="M422" s="382"/>
      <c r="N422" s="1475"/>
      <c r="O422" s="359"/>
      <c r="P422" s="1581"/>
    </row>
    <row r="423" spans="1:16" s="487" customFormat="1" ht="15.75" customHeight="1">
      <c r="A423" s="350"/>
      <c r="B423" s="351"/>
      <c r="C423" s="382"/>
      <c r="D423" s="382"/>
      <c r="E423" s="382"/>
      <c r="F423" s="382"/>
      <c r="G423" s="382"/>
      <c r="H423" s="382"/>
      <c r="I423" s="382"/>
      <c r="J423" s="382"/>
      <c r="K423" s="382"/>
      <c r="L423" s="382"/>
      <c r="M423" s="382"/>
      <c r="N423" s="1475"/>
      <c r="O423" s="359"/>
      <c r="P423" s="1581"/>
    </row>
    <row r="424" spans="1:16" s="487" customFormat="1" ht="15.75" customHeight="1">
      <c r="A424" s="350"/>
      <c r="B424" s="351"/>
      <c r="C424" s="382"/>
      <c r="D424" s="382"/>
      <c r="E424" s="382"/>
      <c r="F424" s="382"/>
      <c r="G424" s="382"/>
      <c r="H424" s="382"/>
      <c r="I424" s="382"/>
      <c r="J424" s="382"/>
      <c r="K424" s="382"/>
      <c r="L424" s="382"/>
      <c r="M424" s="382"/>
      <c r="N424" s="1475"/>
      <c r="O424" s="359"/>
      <c r="P424" s="1581"/>
    </row>
    <row r="425" spans="1:16" s="487" customFormat="1" ht="15.75" customHeight="1">
      <c r="A425" s="350"/>
      <c r="B425" s="351"/>
      <c r="C425" s="382"/>
      <c r="D425" s="382"/>
      <c r="E425" s="382"/>
      <c r="F425" s="382"/>
      <c r="G425" s="382"/>
      <c r="H425" s="382"/>
      <c r="I425" s="382"/>
      <c r="J425" s="382"/>
      <c r="K425" s="382"/>
      <c r="L425" s="382"/>
      <c r="M425" s="382"/>
      <c r="N425" s="1475"/>
      <c r="O425" s="359"/>
      <c r="P425" s="1581"/>
    </row>
    <row r="426" spans="1:16" s="487" customFormat="1" ht="15.75" customHeight="1">
      <c r="A426" s="350"/>
      <c r="B426" s="351"/>
      <c r="C426" s="382"/>
      <c r="D426" s="382"/>
      <c r="E426" s="382"/>
      <c r="F426" s="382"/>
      <c r="G426" s="382"/>
      <c r="H426" s="382"/>
      <c r="I426" s="382"/>
      <c r="J426" s="382"/>
      <c r="K426" s="382"/>
      <c r="L426" s="382"/>
      <c r="M426" s="382"/>
      <c r="N426" s="1475"/>
      <c r="O426" s="359"/>
      <c r="P426" s="1581"/>
    </row>
    <row r="427" spans="1:16" s="487" customFormat="1" ht="15.75" customHeight="1">
      <c r="A427" s="350"/>
      <c r="B427" s="351"/>
      <c r="C427" s="382"/>
      <c r="D427" s="382"/>
      <c r="E427" s="382"/>
      <c r="F427" s="382"/>
      <c r="G427" s="382"/>
      <c r="H427" s="382"/>
      <c r="I427" s="382"/>
      <c r="J427" s="382"/>
      <c r="K427" s="382"/>
      <c r="L427" s="382"/>
      <c r="M427" s="382"/>
      <c r="N427" s="1475"/>
      <c r="O427" s="359"/>
      <c r="P427" s="1581"/>
    </row>
    <row r="428" spans="1:16" s="487" customFormat="1" ht="15.75" customHeight="1">
      <c r="A428" s="350"/>
      <c r="B428" s="351"/>
      <c r="C428" s="382"/>
      <c r="D428" s="382"/>
      <c r="E428" s="382"/>
      <c r="F428" s="382"/>
      <c r="G428" s="382"/>
      <c r="H428" s="382"/>
      <c r="I428" s="382"/>
      <c r="J428" s="382"/>
      <c r="K428" s="382"/>
      <c r="L428" s="382"/>
      <c r="M428" s="382"/>
      <c r="N428" s="1475"/>
      <c r="O428" s="359"/>
      <c r="P428" s="1581"/>
    </row>
    <row r="429" spans="1:16" s="487" customFormat="1" ht="15.75" customHeight="1">
      <c r="A429" s="350"/>
      <c r="B429" s="589"/>
      <c r="C429" s="382"/>
      <c r="D429" s="382"/>
      <c r="E429" s="382"/>
      <c r="F429" s="382"/>
      <c r="G429" s="382"/>
      <c r="H429" s="382"/>
      <c r="I429" s="382"/>
      <c r="J429" s="382"/>
      <c r="K429" s="382"/>
      <c r="L429" s="382"/>
      <c r="M429" s="382"/>
      <c r="N429" s="1475"/>
      <c r="O429" s="359"/>
      <c r="P429" s="1581"/>
    </row>
    <row r="430" spans="1:16" s="487" customFormat="1" ht="15.75" customHeight="1">
      <c r="A430" s="350"/>
      <c r="B430" s="589"/>
      <c r="C430" s="382"/>
      <c r="D430" s="382"/>
      <c r="E430" s="382"/>
      <c r="F430" s="382"/>
      <c r="G430" s="382"/>
      <c r="H430" s="382"/>
      <c r="I430" s="382"/>
      <c r="J430" s="382"/>
      <c r="K430" s="382"/>
      <c r="L430" s="382"/>
      <c r="M430" s="382"/>
      <c r="N430" s="1475"/>
      <c r="O430" s="359"/>
      <c r="P430" s="1581"/>
    </row>
    <row r="431" spans="1:16" s="487" customFormat="1" ht="15.75" customHeight="1">
      <c r="A431" s="350"/>
      <c r="B431" s="351"/>
      <c r="C431" s="382"/>
      <c r="D431" s="382"/>
      <c r="E431" s="382"/>
      <c r="F431" s="382"/>
      <c r="G431" s="382"/>
      <c r="H431" s="382"/>
      <c r="I431" s="382"/>
      <c r="J431" s="382"/>
      <c r="K431" s="382"/>
      <c r="L431" s="382"/>
      <c r="M431" s="382"/>
      <c r="N431" s="1475"/>
      <c r="O431" s="359"/>
      <c r="P431" s="1581"/>
    </row>
    <row r="432" spans="1:16" s="487" customFormat="1" ht="15.75" customHeight="1">
      <c r="A432" s="350"/>
      <c r="B432" s="351"/>
      <c r="C432" s="382"/>
      <c r="D432" s="382"/>
      <c r="E432" s="382"/>
      <c r="F432" s="382"/>
      <c r="G432" s="382"/>
      <c r="H432" s="382"/>
      <c r="I432" s="382"/>
      <c r="J432" s="382"/>
      <c r="K432" s="382"/>
      <c r="L432" s="382"/>
      <c r="M432" s="382"/>
      <c r="N432" s="1475"/>
      <c r="O432" s="359"/>
      <c r="P432" s="1581"/>
    </row>
    <row r="433" spans="1:16" s="487" customFormat="1" ht="15.75" customHeight="1">
      <c r="A433" s="350"/>
      <c r="B433" s="351"/>
      <c r="C433" s="382"/>
      <c r="D433" s="382"/>
      <c r="E433" s="382"/>
      <c r="F433" s="382"/>
      <c r="G433" s="382"/>
      <c r="H433" s="382"/>
      <c r="I433" s="382"/>
      <c r="J433" s="382"/>
      <c r="K433" s="382"/>
      <c r="L433" s="382"/>
      <c r="M433" s="382"/>
      <c r="N433" s="1475"/>
      <c r="O433" s="359"/>
      <c r="P433" s="1581"/>
    </row>
    <row r="434" spans="1:16" s="487" customFormat="1" ht="15.75" customHeight="1">
      <c r="A434" s="350"/>
      <c r="B434" s="351"/>
      <c r="C434" s="382"/>
      <c r="D434" s="382"/>
      <c r="E434" s="382"/>
      <c r="F434" s="382"/>
      <c r="G434" s="382"/>
      <c r="H434" s="382"/>
      <c r="I434" s="382"/>
      <c r="J434" s="382"/>
      <c r="K434" s="382"/>
      <c r="L434" s="382"/>
      <c r="M434" s="382"/>
      <c r="N434" s="1475"/>
      <c r="O434" s="359"/>
      <c r="P434" s="1581"/>
    </row>
    <row r="435" spans="1:16" s="487" customFormat="1" ht="15.75" customHeight="1">
      <c r="A435" s="350"/>
      <c r="B435" s="351"/>
      <c r="C435" s="382"/>
      <c r="D435" s="382"/>
      <c r="E435" s="382"/>
      <c r="F435" s="382"/>
      <c r="G435" s="382"/>
      <c r="H435" s="382"/>
      <c r="I435" s="382"/>
      <c r="J435" s="382"/>
      <c r="K435" s="382"/>
      <c r="L435" s="382"/>
      <c r="M435" s="382"/>
      <c r="N435" s="1475"/>
      <c r="O435" s="359"/>
      <c r="P435" s="1581"/>
    </row>
    <row r="436" spans="1:16" s="487" customFormat="1" ht="7.5" customHeight="1">
      <c r="A436" s="777"/>
      <c r="B436" s="602"/>
      <c r="C436" s="653"/>
      <c r="D436" s="653"/>
      <c r="E436" s="653"/>
      <c r="F436" s="653"/>
      <c r="G436" s="653"/>
      <c r="H436" s="653"/>
      <c r="I436" s="653"/>
      <c r="J436" s="653"/>
      <c r="K436" s="653"/>
      <c r="L436" s="653"/>
      <c r="M436" s="653"/>
      <c r="N436" s="1482"/>
      <c r="O436" s="602"/>
      <c r="P436" s="1596"/>
    </row>
    <row r="437" spans="1:16" s="487" customFormat="1" ht="15.75" customHeight="1">
      <c r="A437" s="398"/>
      <c r="B437" s="398"/>
      <c r="C437" s="621"/>
      <c r="D437" s="621"/>
      <c r="E437" s="621"/>
      <c r="F437" s="621"/>
      <c r="G437" s="621"/>
      <c r="H437" s="621"/>
      <c r="I437" s="621"/>
      <c r="J437" s="621"/>
      <c r="K437" s="621"/>
      <c r="L437" s="621"/>
      <c r="M437" s="621"/>
      <c r="N437" s="1484"/>
      <c r="O437" s="398"/>
    </row>
    <row r="438" spans="1:16" s="487" customFormat="1" ht="15.75" customHeight="1">
      <c r="A438" s="398"/>
      <c r="B438" s="398"/>
      <c r="C438" s="621"/>
      <c r="D438" s="621"/>
      <c r="E438" s="621"/>
      <c r="F438" s="621"/>
      <c r="G438" s="621"/>
      <c r="H438" s="621"/>
      <c r="I438" s="621"/>
      <c r="J438" s="621"/>
      <c r="K438" s="621"/>
      <c r="L438" s="621"/>
      <c r="M438" s="621"/>
      <c r="N438" s="1484"/>
      <c r="O438" s="398"/>
    </row>
    <row r="439" spans="1:16" s="487" customFormat="1" ht="15.75" customHeight="1">
      <c r="A439" s="398"/>
      <c r="B439" s="398"/>
      <c r="C439" s="621"/>
      <c r="D439" s="621"/>
      <c r="E439" s="621"/>
      <c r="F439" s="621"/>
      <c r="G439" s="621"/>
      <c r="H439" s="621"/>
      <c r="I439" s="621"/>
      <c r="J439" s="621"/>
      <c r="K439" s="621"/>
      <c r="L439" s="621"/>
      <c r="M439" s="621"/>
      <c r="N439" s="1484"/>
      <c r="O439" s="398"/>
    </row>
    <row r="440" spans="1:16" s="487" customFormat="1" ht="15.75" customHeight="1">
      <c r="A440" s="398"/>
      <c r="B440" s="398"/>
      <c r="C440" s="621"/>
      <c r="D440" s="621"/>
      <c r="E440" s="621"/>
      <c r="F440" s="621"/>
      <c r="G440" s="621"/>
      <c r="H440" s="621"/>
      <c r="I440" s="621"/>
      <c r="J440" s="621"/>
      <c r="K440" s="621"/>
      <c r="L440" s="621"/>
      <c r="M440" s="621"/>
      <c r="N440" s="1484"/>
      <c r="O440" s="398"/>
    </row>
    <row r="441" spans="1:16" s="487" customFormat="1" ht="15.75" customHeight="1">
      <c r="A441" s="398"/>
      <c r="B441" s="398"/>
      <c r="C441" s="621"/>
      <c r="D441" s="621"/>
      <c r="E441" s="621"/>
      <c r="F441" s="621"/>
      <c r="G441" s="621"/>
      <c r="H441" s="621"/>
      <c r="I441" s="621"/>
      <c r="J441" s="621"/>
      <c r="K441" s="621"/>
      <c r="L441" s="621"/>
      <c r="M441" s="621"/>
      <c r="N441" s="1484"/>
      <c r="O441" s="398"/>
    </row>
    <row r="442" spans="1:16" s="487" customFormat="1" ht="15.75" customHeight="1">
      <c r="A442" s="398"/>
      <c r="B442" s="398"/>
      <c r="C442" s="621"/>
      <c r="D442" s="621"/>
      <c r="E442" s="621"/>
      <c r="F442" s="621"/>
      <c r="G442" s="621"/>
      <c r="H442" s="621"/>
      <c r="I442" s="621"/>
      <c r="J442" s="621"/>
      <c r="K442" s="621"/>
      <c r="L442" s="621"/>
      <c r="M442" s="621"/>
      <c r="N442" s="1484"/>
      <c r="O442" s="398"/>
    </row>
    <row r="443" spans="1:16" s="487" customFormat="1" ht="15.75" customHeight="1">
      <c r="A443" s="398"/>
      <c r="B443" s="398"/>
      <c r="C443" s="621"/>
      <c r="D443" s="621"/>
      <c r="E443" s="621"/>
      <c r="F443" s="621"/>
      <c r="G443" s="621"/>
      <c r="H443" s="621"/>
      <c r="I443" s="621"/>
      <c r="J443" s="621"/>
      <c r="K443" s="621"/>
      <c r="L443" s="621"/>
      <c r="M443" s="621"/>
      <c r="N443" s="1484"/>
      <c r="O443" s="398"/>
    </row>
    <row r="444" spans="1:16" s="487" customFormat="1" ht="15.75" customHeight="1">
      <c r="A444" s="398"/>
      <c r="B444" s="398"/>
      <c r="C444" s="621"/>
      <c r="D444" s="621"/>
      <c r="E444" s="621"/>
      <c r="F444" s="621"/>
      <c r="G444" s="621"/>
      <c r="H444" s="621"/>
      <c r="I444" s="621"/>
      <c r="J444" s="621"/>
      <c r="K444" s="621"/>
      <c r="L444" s="621"/>
      <c r="M444" s="621"/>
      <c r="N444" s="1484"/>
      <c r="O444" s="398"/>
    </row>
    <row r="445" spans="1:16" s="487" customFormat="1" ht="15.75" customHeight="1">
      <c r="A445" s="398"/>
      <c r="B445" s="398"/>
      <c r="C445" s="621"/>
      <c r="D445" s="621"/>
      <c r="E445" s="621"/>
      <c r="F445" s="621"/>
      <c r="G445" s="621"/>
      <c r="H445" s="621"/>
      <c r="I445" s="621"/>
      <c r="J445" s="621"/>
      <c r="K445" s="621"/>
      <c r="L445" s="621"/>
      <c r="M445" s="621"/>
      <c r="N445" s="1484"/>
      <c r="O445" s="398"/>
    </row>
    <row r="446" spans="1:16" s="487" customFormat="1" ht="15.75" customHeight="1">
      <c r="A446" s="398"/>
      <c r="B446" s="398"/>
      <c r="C446" s="621"/>
      <c r="D446" s="621"/>
      <c r="E446" s="621"/>
      <c r="F446" s="621"/>
      <c r="G446" s="621"/>
      <c r="H446" s="621"/>
      <c r="I446" s="621"/>
      <c r="J446" s="621"/>
      <c r="K446" s="621"/>
      <c r="L446" s="621"/>
      <c r="M446" s="621"/>
      <c r="N446" s="1484"/>
      <c r="O446" s="398"/>
    </row>
    <row r="447" spans="1:16" s="487" customFormat="1" ht="15.75" customHeight="1">
      <c r="A447" s="398"/>
      <c r="B447" s="398"/>
      <c r="C447" s="621"/>
      <c r="D447" s="621"/>
      <c r="E447" s="621"/>
      <c r="F447" s="621"/>
      <c r="G447" s="621"/>
      <c r="H447" s="621"/>
      <c r="I447" s="621"/>
      <c r="J447" s="621"/>
      <c r="K447" s="621"/>
      <c r="L447" s="621"/>
      <c r="M447" s="621"/>
      <c r="N447" s="1484"/>
      <c r="O447" s="398"/>
    </row>
    <row r="448" spans="1:16" s="487" customFormat="1" ht="15.75" customHeight="1">
      <c r="A448" s="398"/>
      <c r="B448" s="398"/>
      <c r="C448" s="621"/>
      <c r="D448" s="621"/>
      <c r="E448" s="621"/>
      <c r="F448" s="621"/>
      <c r="G448" s="621"/>
      <c r="H448" s="621"/>
      <c r="I448" s="621"/>
      <c r="J448" s="621"/>
      <c r="K448" s="621"/>
      <c r="L448" s="621"/>
      <c r="M448" s="621"/>
      <c r="N448" s="1484"/>
      <c r="O448" s="398"/>
    </row>
    <row r="449" spans="1:15" s="487" customFormat="1" ht="15.75" customHeight="1">
      <c r="A449" s="398"/>
      <c r="B449" s="398"/>
      <c r="C449" s="621"/>
      <c r="D449" s="621"/>
      <c r="E449" s="621"/>
      <c r="F449" s="621"/>
      <c r="G449" s="621"/>
      <c r="H449" s="621"/>
      <c r="I449" s="621"/>
      <c r="J449" s="621"/>
      <c r="K449" s="621"/>
      <c r="L449" s="621"/>
      <c r="M449" s="621"/>
      <c r="N449" s="1484"/>
      <c r="O449" s="398"/>
    </row>
    <row r="450" spans="1:15" s="487" customFormat="1" ht="15.75" customHeight="1">
      <c r="A450" s="398"/>
      <c r="B450" s="398"/>
      <c r="C450" s="621"/>
      <c r="D450" s="621"/>
      <c r="E450" s="621"/>
      <c r="F450" s="621"/>
      <c r="G450" s="621"/>
      <c r="H450" s="621"/>
      <c r="I450" s="621"/>
      <c r="J450" s="621"/>
      <c r="K450" s="621"/>
      <c r="L450" s="621"/>
      <c r="M450" s="621"/>
      <c r="N450" s="1484"/>
      <c r="O450" s="398"/>
    </row>
    <row r="451" spans="1:15" s="487" customFormat="1" ht="15.75" customHeight="1">
      <c r="A451" s="398"/>
      <c r="B451" s="398"/>
      <c r="C451" s="621"/>
      <c r="D451" s="621"/>
      <c r="E451" s="621"/>
      <c r="F451" s="621"/>
      <c r="G451" s="621"/>
      <c r="H451" s="621"/>
      <c r="I451" s="621"/>
      <c r="J451" s="621"/>
      <c r="K451" s="621"/>
      <c r="L451" s="621"/>
      <c r="M451" s="621"/>
      <c r="N451" s="1484"/>
      <c r="O451" s="398"/>
    </row>
    <row r="452" spans="1:15" s="487" customFormat="1" ht="15.75" customHeight="1">
      <c r="A452" s="398"/>
      <c r="B452" s="398"/>
      <c r="C452" s="621"/>
      <c r="D452" s="621"/>
      <c r="E452" s="621"/>
      <c r="F452" s="621"/>
      <c r="G452" s="621"/>
      <c r="H452" s="621"/>
      <c r="I452" s="621"/>
      <c r="J452" s="621"/>
      <c r="K452" s="621"/>
      <c r="L452" s="621"/>
      <c r="M452" s="621"/>
      <c r="N452" s="1484"/>
      <c r="O452" s="398"/>
    </row>
    <row r="453" spans="1:15" s="487" customFormat="1" ht="15.75" customHeight="1">
      <c r="A453" s="398"/>
      <c r="B453" s="398"/>
      <c r="C453" s="621"/>
      <c r="D453" s="621"/>
      <c r="E453" s="621"/>
      <c r="F453" s="621"/>
      <c r="G453" s="621"/>
      <c r="H453" s="621"/>
      <c r="I453" s="621"/>
      <c r="J453" s="621"/>
      <c r="K453" s="621"/>
      <c r="L453" s="621"/>
      <c r="M453" s="621"/>
      <c r="N453" s="1484"/>
      <c r="O453" s="398"/>
    </row>
    <row r="454" spans="1:15" s="487" customFormat="1" ht="15.75" customHeight="1">
      <c r="A454" s="398"/>
      <c r="B454" s="398"/>
      <c r="C454" s="621"/>
      <c r="D454" s="621"/>
      <c r="E454" s="621"/>
      <c r="F454" s="621"/>
      <c r="G454" s="621"/>
      <c r="H454" s="621"/>
      <c r="I454" s="621"/>
      <c r="J454" s="621"/>
      <c r="K454" s="621"/>
      <c r="L454" s="621"/>
      <c r="M454" s="621"/>
      <c r="N454" s="1484"/>
      <c r="O454" s="398"/>
    </row>
    <row r="455" spans="1:15" s="487" customFormat="1" ht="15.75" customHeight="1">
      <c r="A455" s="398"/>
      <c r="B455" s="398"/>
      <c r="C455" s="621"/>
      <c r="D455" s="621"/>
      <c r="E455" s="621"/>
      <c r="F455" s="621"/>
      <c r="G455" s="621"/>
      <c r="H455" s="621"/>
      <c r="I455" s="621"/>
      <c r="J455" s="621"/>
      <c r="K455" s="621"/>
      <c r="L455" s="621"/>
      <c r="M455" s="621"/>
      <c r="N455" s="1484"/>
      <c r="O455" s="398"/>
    </row>
    <row r="456" spans="1:15" s="487" customFormat="1" ht="15.75" customHeight="1">
      <c r="A456" s="398"/>
      <c r="B456" s="398"/>
      <c r="C456" s="621"/>
      <c r="D456" s="621"/>
      <c r="E456" s="621"/>
      <c r="F456" s="621"/>
      <c r="G456" s="621"/>
      <c r="H456" s="621"/>
      <c r="I456" s="621"/>
      <c r="J456" s="621"/>
      <c r="K456" s="621"/>
      <c r="L456" s="621"/>
      <c r="M456" s="621"/>
      <c r="N456" s="1484"/>
      <c r="O456" s="398"/>
    </row>
    <row r="457" spans="1:15" s="487" customFormat="1" ht="15.75" customHeight="1">
      <c r="A457" s="398"/>
      <c r="B457" s="398"/>
      <c r="C457" s="621"/>
      <c r="D457" s="621"/>
      <c r="E457" s="621"/>
      <c r="F457" s="621"/>
      <c r="G457" s="621"/>
      <c r="H457" s="621"/>
      <c r="I457" s="621"/>
      <c r="J457" s="621"/>
      <c r="K457" s="621"/>
      <c r="L457" s="621"/>
      <c r="M457" s="621"/>
      <c r="N457" s="1484"/>
      <c r="O457" s="398"/>
    </row>
    <row r="458" spans="1:15" s="487" customFormat="1" ht="15.75" customHeight="1">
      <c r="A458" s="398"/>
      <c r="B458" s="398"/>
      <c r="C458" s="621"/>
      <c r="D458" s="621"/>
      <c r="E458" s="621"/>
      <c r="F458" s="621"/>
      <c r="G458" s="621"/>
      <c r="H458" s="621"/>
      <c r="I458" s="621"/>
      <c r="J458" s="621"/>
      <c r="K458" s="621"/>
      <c r="L458" s="621"/>
      <c r="M458" s="621"/>
      <c r="N458" s="1484"/>
      <c r="O458" s="398"/>
    </row>
    <row r="459" spans="1:15" s="487" customFormat="1" ht="15.75" customHeight="1">
      <c r="A459" s="398"/>
      <c r="B459" s="398"/>
      <c r="C459" s="621"/>
      <c r="D459" s="621"/>
      <c r="E459" s="621"/>
      <c r="F459" s="621"/>
      <c r="G459" s="621"/>
      <c r="H459" s="621"/>
      <c r="I459" s="621"/>
      <c r="J459" s="621"/>
      <c r="K459" s="621"/>
      <c r="L459" s="621"/>
      <c r="M459" s="621"/>
      <c r="N459" s="1484"/>
      <c r="O459" s="398"/>
    </row>
    <row r="460" spans="1:15" s="487" customFormat="1" ht="15.75" customHeight="1">
      <c r="A460" s="398"/>
      <c r="B460" s="398"/>
      <c r="C460" s="621"/>
      <c r="D460" s="621"/>
      <c r="E460" s="621"/>
      <c r="F460" s="621"/>
      <c r="G460" s="621"/>
      <c r="H460" s="621"/>
      <c r="I460" s="621"/>
      <c r="J460" s="621"/>
      <c r="K460" s="621"/>
      <c r="L460" s="621"/>
      <c r="M460" s="621"/>
      <c r="N460" s="1484"/>
      <c r="O460" s="398"/>
    </row>
    <row r="461" spans="1:15" s="487" customFormat="1" ht="15.75" customHeight="1">
      <c r="A461" s="398"/>
      <c r="B461" s="398"/>
      <c r="C461" s="621"/>
      <c r="D461" s="621"/>
      <c r="E461" s="621"/>
      <c r="F461" s="621"/>
      <c r="G461" s="621"/>
      <c r="H461" s="621"/>
      <c r="I461" s="621"/>
      <c r="J461" s="621"/>
      <c r="K461" s="621"/>
      <c r="L461" s="621"/>
      <c r="M461" s="621"/>
      <c r="N461" s="1484"/>
      <c r="O461" s="398"/>
    </row>
    <row r="462" spans="1:15" s="487" customFormat="1" ht="15.75" customHeight="1">
      <c r="A462" s="398"/>
      <c r="B462" s="398"/>
      <c r="C462" s="621"/>
      <c r="D462" s="621"/>
      <c r="E462" s="621"/>
      <c r="F462" s="621"/>
      <c r="G462" s="621"/>
      <c r="H462" s="621"/>
      <c r="I462" s="621"/>
      <c r="J462" s="621"/>
      <c r="K462" s="621"/>
      <c r="L462" s="621"/>
      <c r="M462" s="621"/>
      <c r="N462" s="1484"/>
      <c r="O462" s="398"/>
    </row>
    <row r="463" spans="1:15" s="487" customFormat="1" ht="15.75" customHeight="1">
      <c r="A463" s="398"/>
      <c r="B463" s="398"/>
      <c r="C463" s="621"/>
      <c r="D463" s="621"/>
      <c r="E463" s="621"/>
      <c r="F463" s="621"/>
      <c r="G463" s="621"/>
      <c r="H463" s="621"/>
      <c r="I463" s="621"/>
      <c r="J463" s="621"/>
      <c r="K463" s="621"/>
      <c r="L463" s="621"/>
      <c r="M463" s="621"/>
      <c r="N463" s="1484"/>
      <c r="O463" s="398"/>
    </row>
    <row r="464" spans="1:15" s="487" customFormat="1" ht="15.75" customHeight="1">
      <c r="A464" s="398"/>
      <c r="B464" s="398"/>
      <c r="C464" s="621"/>
      <c r="D464" s="621"/>
      <c r="E464" s="621"/>
      <c r="F464" s="621"/>
      <c r="G464" s="621"/>
      <c r="H464" s="621"/>
      <c r="I464" s="621"/>
      <c r="J464" s="621"/>
      <c r="K464" s="621"/>
      <c r="L464" s="621"/>
      <c r="M464" s="621"/>
      <c r="N464" s="1484"/>
      <c r="O464" s="398"/>
    </row>
    <row r="465" spans="1:15" s="487" customFormat="1" ht="15.75" customHeight="1">
      <c r="A465" s="398"/>
      <c r="B465" s="398"/>
      <c r="C465" s="621"/>
      <c r="D465" s="621"/>
      <c r="E465" s="621"/>
      <c r="F465" s="621"/>
      <c r="G465" s="621"/>
      <c r="H465" s="621"/>
      <c r="I465" s="621"/>
      <c r="J465" s="621"/>
      <c r="K465" s="621"/>
      <c r="L465" s="621"/>
      <c r="M465" s="621"/>
      <c r="N465" s="1484"/>
      <c r="O465" s="398"/>
    </row>
    <row r="466" spans="1:15" s="487" customFormat="1" ht="15.75" customHeight="1">
      <c r="A466" s="398"/>
      <c r="B466" s="398"/>
      <c r="C466" s="621"/>
      <c r="D466" s="621"/>
      <c r="E466" s="621"/>
      <c r="F466" s="621"/>
      <c r="G466" s="621"/>
      <c r="H466" s="621"/>
      <c r="I466" s="621"/>
      <c r="J466" s="621"/>
      <c r="K466" s="621"/>
      <c r="L466" s="621"/>
      <c r="M466" s="621"/>
      <c r="N466" s="1484"/>
      <c r="O466" s="398"/>
    </row>
    <row r="467" spans="1:15" s="487" customFormat="1" ht="15.75" customHeight="1">
      <c r="A467" s="398"/>
      <c r="B467" s="398"/>
      <c r="C467" s="621"/>
      <c r="D467" s="621"/>
      <c r="E467" s="621"/>
      <c r="F467" s="621"/>
      <c r="G467" s="621"/>
      <c r="H467" s="621"/>
      <c r="I467" s="621"/>
      <c r="J467" s="621"/>
      <c r="K467" s="621"/>
      <c r="L467" s="621"/>
      <c r="M467" s="621"/>
      <c r="N467" s="1484"/>
      <c r="O467" s="398"/>
    </row>
    <row r="468" spans="1:15" s="487" customFormat="1" ht="15.75" customHeight="1">
      <c r="A468" s="398"/>
      <c r="B468" s="398"/>
      <c r="C468" s="621"/>
      <c r="D468" s="621"/>
      <c r="E468" s="621"/>
      <c r="F468" s="621"/>
      <c r="G468" s="621"/>
      <c r="H468" s="621"/>
      <c r="I468" s="621"/>
      <c r="J468" s="621"/>
      <c r="K468" s="621"/>
      <c r="L468" s="621"/>
      <c r="M468" s="621"/>
      <c r="N468" s="1484"/>
      <c r="O468" s="398"/>
    </row>
    <row r="469" spans="1:15" s="487" customFormat="1" ht="15.75" customHeight="1">
      <c r="A469" s="398"/>
      <c r="B469" s="398"/>
      <c r="C469" s="621"/>
      <c r="D469" s="621"/>
      <c r="E469" s="621"/>
      <c r="F469" s="621"/>
      <c r="G469" s="621"/>
      <c r="H469" s="621"/>
      <c r="I469" s="621"/>
      <c r="J469" s="621"/>
      <c r="K469" s="621"/>
      <c r="L469" s="621"/>
      <c r="M469" s="621"/>
      <c r="N469" s="1484"/>
      <c r="O469" s="398"/>
    </row>
    <row r="470" spans="1:15" s="487" customFormat="1" ht="15.75" customHeight="1">
      <c r="A470" s="398"/>
      <c r="B470" s="398"/>
      <c r="C470" s="621"/>
      <c r="D470" s="621"/>
      <c r="E470" s="621"/>
      <c r="F470" s="621"/>
      <c r="G470" s="621"/>
      <c r="H470" s="621"/>
      <c r="I470" s="621"/>
      <c r="J470" s="621"/>
      <c r="K470" s="621"/>
      <c r="L470" s="621"/>
      <c r="M470" s="621"/>
      <c r="N470" s="1484"/>
      <c r="O470" s="398"/>
    </row>
    <row r="471" spans="1:15" s="487" customFormat="1" ht="15.75" customHeight="1">
      <c r="A471" s="398"/>
      <c r="B471" s="398"/>
      <c r="C471" s="621"/>
      <c r="D471" s="621"/>
      <c r="E471" s="621"/>
      <c r="F471" s="621"/>
      <c r="G471" s="621"/>
      <c r="H471" s="621"/>
      <c r="I471" s="621"/>
      <c r="J471" s="621"/>
      <c r="K471" s="621"/>
      <c r="L471" s="621"/>
      <c r="M471" s="621"/>
      <c r="N471" s="1484"/>
      <c r="O471" s="398"/>
    </row>
    <row r="472" spans="1:15" s="487" customFormat="1" ht="15.75" customHeight="1">
      <c r="A472" s="398"/>
      <c r="B472" s="398"/>
      <c r="C472" s="621"/>
      <c r="D472" s="621"/>
      <c r="E472" s="621"/>
      <c r="F472" s="621"/>
      <c r="G472" s="621"/>
      <c r="H472" s="621"/>
      <c r="I472" s="621"/>
      <c r="J472" s="621"/>
      <c r="K472" s="621"/>
      <c r="L472" s="621"/>
      <c r="M472" s="621"/>
      <c r="N472" s="1484"/>
      <c r="O472" s="398"/>
    </row>
    <row r="473" spans="1:15" s="487" customFormat="1" ht="15.75" customHeight="1">
      <c r="A473" s="398"/>
      <c r="B473" s="398"/>
      <c r="C473" s="621"/>
      <c r="D473" s="621"/>
      <c r="E473" s="621"/>
      <c r="F473" s="621"/>
      <c r="G473" s="621"/>
      <c r="H473" s="621"/>
      <c r="I473" s="621"/>
      <c r="J473" s="621"/>
      <c r="K473" s="621"/>
      <c r="L473" s="621"/>
      <c r="M473" s="621"/>
      <c r="N473" s="1484"/>
      <c r="O473" s="398"/>
    </row>
    <row r="474" spans="1:15" s="487" customFormat="1" ht="15.75" customHeight="1">
      <c r="A474" s="398"/>
      <c r="B474" s="398"/>
      <c r="C474" s="621"/>
      <c r="D474" s="621"/>
      <c r="E474" s="621"/>
      <c r="F474" s="621"/>
      <c r="G474" s="621"/>
      <c r="H474" s="621"/>
      <c r="I474" s="621"/>
      <c r="J474" s="621"/>
      <c r="K474" s="621"/>
      <c r="L474" s="621"/>
      <c r="M474" s="621"/>
      <c r="N474" s="1484"/>
      <c r="O474" s="398"/>
    </row>
    <row r="475" spans="1:15" s="487" customFormat="1" ht="15.75" customHeight="1">
      <c r="A475" s="398"/>
      <c r="B475" s="398"/>
      <c r="C475" s="621"/>
      <c r="D475" s="621"/>
      <c r="E475" s="621"/>
      <c r="F475" s="621"/>
      <c r="G475" s="621"/>
      <c r="H475" s="621"/>
      <c r="I475" s="621"/>
      <c r="J475" s="621"/>
      <c r="K475" s="621"/>
      <c r="L475" s="621"/>
      <c r="M475" s="621"/>
      <c r="N475" s="1484"/>
      <c r="O475" s="398"/>
    </row>
    <row r="476" spans="1:15" s="487" customFormat="1" ht="15.75" customHeight="1">
      <c r="A476" s="398"/>
      <c r="B476" s="398"/>
      <c r="C476" s="621"/>
      <c r="D476" s="621"/>
      <c r="E476" s="621"/>
      <c r="F476" s="621"/>
      <c r="G476" s="621"/>
      <c r="H476" s="621"/>
      <c r="I476" s="621"/>
      <c r="J476" s="621"/>
      <c r="K476" s="621"/>
      <c r="L476" s="621"/>
      <c r="M476" s="621"/>
      <c r="N476" s="1484"/>
      <c r="O476" s="398"/>
    </row>
    <row r="477" spans="1:15" s="487" customFormat="1" ht="15.75" customHeight="1">
      <c r="A477" s="398"/>
      <c r="B477" s="398"/>
      <c r="C477" s="621"/>
      <c r="D477" s="621"/>
      <c r="E477" s="621"/>
      <c r="F477" s="621"/>
      <c r="G477" s="621"/>
      <c r="H477" s="621"/>
      <c r="I477" s="621"/>
      <c r="J477" s="621"/>
      <c r="K477" s="621"/>
      <c r="L477" s="621"/>
      <c r="M477" s="621"/>
      <c r="N477" s="1484"/>
      <c r="O477" s="398"/>
    </row>
    <row r="478" spans="1:15" s="487" customFormat="1" ht="15.75" customHeight="1">
      <c r="A478" s="398"/>
      <c r="B478" s="398"/>
      <c r="C478" s="621"/>
      <c r="D478" s="621"/>
      <c r="E478" s="621"/>
      <c r="F478" s="621"/>
      <c r="G478" s="621"/>
      <c r="H478" s="621"/>
      <c r="I478" s="621"/>
      <c r="J478" s="621"/>
      <c r="K478" s="621"/>
      <c r="L478" s="621"/>
      <c r="M478" s="621"/>
      <c r="N478" s="1484"/>
      <c r="O478" s="398"/>
    </row>
    <row r="479" spans="1:15" s="487" customFormat="1" ht="15.75" customHeight="1">
      <c r="A479" s="398"/>
      <c r="B479" s="398"/>
      <c r="C479" s="621"/>
      <c r="D479" s="621"/>
      <c r="E479" s="621"/>
      <c r="F479" s="621"/>
      <c r="G479" s="621"/>
      <c r="H479" s="621"/>
      <c r="I479" s="621"/>
      <c r="J479" s="621"/>
      <c r="K479" s="621"/>
      <c r="L479" s="621"/>
      <c r="M479" s="621"/>
      <c r="N479" s="1484"/>
      <c r="O479" s="398"/>
    </row>
    <row r="480" spans="1:15" s="487" customFormat="1" ht="15.75" customHeight="1">
      <c r="A480" s="398"/>
      <c r="B480" s="398"/>
      <c r="C480" s="621"/>
      <c r="D480" s="621"/>
      <c r="E480" s="621"/>
      <c r="F480" s="621"/>
      <c r="G480" s="621"/>
      <c r="H480" s="621"/>
      <c r="I480" s="621"/>
      <c r="J480" s="621"/>
      <c r="K480" s="621"/>
      <c r="L480" s="621"/>
      <c r="M480" s="621"/>
      <c r="N480" s="1484"/>
      <c r="O480" s="398"/>
    </row>
    <row r="481" spans="1:15" s="487" customFormat="1" ht="15.75" customHeight="1">
      <c r="A481" s="398"/>
      <c r="B481" s="398"/>
      <c r="C481" s="621"/>
      <c r="D481" s="621"/>
      <c r="E481" s="621"/>
      <c r="F481" s="621"/>
      <c r="G481" s="621"/>
      <c r="H481" s="621"/>
      <c r="I481" s="621"/>
      <c r="J481" s="621"/>
      <c r="K481" s="621"/>
      <c r="L481" s="621"/>
      <c r="M481" s="621"/>
      <c r="N481" s="1484"/>
      <c r="O481" s="398"/>
    </row>
    <row r="482" spans="1:15" s="487" customFormat="1" ht="15.75" customHeight="1">
      <c r="A482" s="398"/>
      <c r="B482" s="398"/>
      <c r="C482" s="621"/>
      <c r="D482" s="621"/>
      <c r="E482" s="621"/>
      <c r="F482" s="621"/>
      <c r="G482" s="621"/>
      <c r="H482" s="621"/>
      <c r="I482" s="621"/>
      <c r="J482" s="621"/>
      <c r="K482" s="621"/>
      <c r="L482" s="621"/>
      <c r="M482" s="621"/>
      <c r="N482" s="1484"/>
      <c r="O482" s="398"/>
    </row>
    <row r="483" spans="1:15" s="487" customFormat="1" ht="15.75" customHeight="1">
      <c r="A483" s="398"/>
      <c r="B483" s="398"/>
      <c r="C483" s="621"/>
      <c r="D483" s="621"/>
      <c r="E483" s="621"/>
      <c r="F483" s="621"/>
      <c r="G483" s="621"/>
      <c r="H483" s="621"/>
      <c r="I483" s="621"/>
      <c r="J483" s="621"/>
      <c r="K483" s="621"/>
      <c r="L483" s="621"/>
      <c r="M483" s="621"/>
      <c r="N483" s="1484"/>
      <c r="O483" s="398"/>
    </row>
    <row r="484" spans="1:15" s="487" customFormat="1" ht="15.75" customHeight="1">
      <c r="A484" s="398"/>
      <c r="B484" s="398"/>
      <c r="C484" s="621"/>
      <c r="D484" s="621"/>
      <c r="E484" s="621"/>
      <c r="F484" s="621"/>
      <c r="G484" s="621"/>
      <c r="H484" s="621"/>
      <c r="I484" s="621"/>
      <c r="J484" s="621"/>
      <c r="K484" s="621"/>
      <c r="L484" s="621"/>
      <c r="M484" s="621"/>
      <c r="N484" s="1484"/>
      <c r="O484" s="398"/>
    </row>
    <row r="485" spans="1:15" s="487" customFormat="1" ht="15.75" customHeight="1">
      <c r="A485" s="398"/>
      <c r="B485" s="398"/>
      <c r="C485" s="621"/>
      <c r="D485" s="621"/>
      <c r="E485" s="621"/>
      <c r="F485" s="621"/>
      <c r="G485" s="621"/>
      <c r="H485" s="621"/>
      <c r="I485" s="621"/>
      <c r="J485" s="621"/>
      <c r="K485" s="621"/>
      <c r="L485" s="621"/>
      <c r="M485" s="621"/>
      <c r="N485" s="1484"/>
      <c r="O485" s="398"/>
    </row>
    <row r="486" spans="1:15" s="487" customFormat="1" ht="15.75" customHeight="1">
      <c r="A486" s="398"/>
      <c r="B486" s="398"/>
      <c r="C486" s="621"/>
      <c r="D486" s="621"/>
      <c r="E486" s="621"/>
      <c r="F486" s="621"/>
      <c r="G486" s="621"/>
      <c r="H486" s="621"/>
      <c r="I486" s="621"/>
      <c r="J486" s="621"/>
      <c r="K486" s="621"/>
      <c r="L486" s="621"/>
      <c r="M486" s="621"/>
      <c r="N486" s="1484"/>
      <c r="O486" s="398"/>
    </row>
    <row r="487" spans="1:15" s="487" customFormat="1" ht="15.75" customHeight="1">
      <c r="A487" s="398"/>
      <c r="B487" s="398"/>
      <c r="C487" s="621"/>
      <c r="D487" s="621"/>
      <c r="E487" s="621"/>
      <c r="F487" s="621"/>
      <c r="G487" s="621"/>
      <c r="H487" s="621"/>
      <c r="I487" s="621"/>
      <c r="J487" s="621"/>
      <c r="K487" s="621"/>
      <c r="L487" s="621"/>
      <c r="M487" s="621"/>
      <c r="N487" s="1484"/>
      <c r="O487" s="398"/>
    </row>
    <row r="488" spans="1:15" s="487" customFormat="1" ht="15.75" customHeight="1">
      <c r="A488" s="398"/>
      <c r="B488" s="398"/>
      <c r="C488" s="621"/>
      <c r="D488" s="621"/>
      <c r="E488" s="621"/>
      <c r="F488" s="621"/>
      <c r="G488" s="621"/>
      <c r="H488" s="621"/>
      <c r="I488" s="621"/>
      <c r="J488" s="621"/>
      <c r="K488" s="621"/>
      <c r="L488" s="621"/>
      <c r="M488" s="621"/>
      <c r="N488" s="1484"/>
      <c r="O488" s="398"/>
    </row>
    <row r="489" spans="1:15" s="487" customFormat="1" ht="15.75" customHeight="1">
      <c r="A489" s="398"/>
      <c r="B489" s="398"/>
      <c r="C489" s="621"/>
      <c r="D489" s="621"/>
      <c r="E489" s="621"/>
      <c r="F489" s="621"/>
      <c r="G489" s="621"/>
      <c r="H489" s="621"/>
      <c r="I489" s="621"/>
      <c r="J489" s="621"/>
      <c r="K489" s="621"/>
      <c r="L489" s="621"/>
      <c r="M489" s="621"/>
      <c r="N489" s="1484"/>
      <c r="O489" s="398"/>
    </row>
    <row r="490" spans="1:15" s="487" customFormat="1" ht="15.75" customHeight="1">
      <c r="A490" s="398"/>
      <c r="B490" s="398"/>
      <c r="C490" s="621"/>
      <c r="D490" s="621"/>
      <c r="E490" s="621"/>
      <c r="F490" s="621"/>
      <c r="G490" s="621"/>
      <c r="H490" s="621"/>
      <c r="I490" s="621"/>
      <c r="J490" s="621"/>
      <c r="K490" s="621"/>
      <c r="L490" s="621"/>
      <c r="M490" s="621"/>
      <c r="N490" s="1484"/>
      <c r="O490" s="398"/>
    </row>
    <row r="491" spans="1:15" s="487" customFormat="1" ht="15.75" customHeight="1">
      <c r="A491" s="398"/>
      <c r="B491" s="398"/>
      <c r="C491" s="621"/>
      <c r="D491" s="621"/>
      <c r="E491" s="621"/>
      <c r="F491" s="621"/>
      <c r="G491" s="621"/>
      <c r="H491" s="621"/>
      <c r="I491" s="621"/>
      <c r="J491" s="621"/>
      <c r="K491" s="621"/>
      <c r="L491" s="621"/>
      <c r="M491" s="621"/>
      <c r="N491" s="1484"/>
      <c r="O491" s="398"/>
    </row>
    <row r="492" spans="1:15" s="487" customFormat="1" ht="15.75" customHeight="1">
      <c r="A492" s="398"/>
      <c r="B492" s="398"/>
      <c r="C492" s="621"/>
      <c r="D492" s="621"/>
      <c r="E492" s="621"/>
      <c r="F492" s="621"/>
      <c r="G492" s="621"/>
      <c r="H492" s="621"/>
      <c r="I492" s="621"/>
      <c r="J492" s="621"/>
      <c r="K492" s="621"/>
      <c r="L492" s="621"/>
      <c r="M492" s="621"/>
      <c r="N492" s="1484"/>
      <c r="O492" s="398"/>
    </row>
    <row r="493" spans="1:15" s="487" customFormat="1" ht="15.75" customHeight="1">
      <c r="A493" s="398"/>
      <c r="B493" s="398"/>
      <c r="C493" s="621"/>
      <c r="D493" s="621"/>
      <c r="E493" s="621"/>
      <c r="F493" s="621"/>
      <c r="G493" s="621"/>
      <c r="H493" s="621"/>
      <c r="I493" s="621"/>
      <c r="J493" s="621"/>
      <c r="K493" s="621"/>
      <c r="L493" s="621"/>
      <c r="M493" s="621"/>
      <c r="N493" s="1484"/>
      <c r="O493" s="398"/>
    </row>
    <row r="494" spans="1:15" s="487" customFormat="1" ht="15.75" customHeight="1">
      <c r="A494" s="398"/>
      <c r="B494" s="398"/>
      <c r="C494" s="621"/>
      <c r="D494" s="621"/>
      <c r="E494" s="621"/>
      <c r="F494" s="621"/>
      <c r="G494" s="621"/>
      <c r="H494" s="621"/>
      <c r="I494" s="621"/>
      <c r="J494" s="621"/>
      <c r="K494" s="621"/>
      <c r="L494" s="621"/>
      <c r="M494" s="621"/>
      <c r="N494" s="1484"/>
      <c r="O494" s="398"/>
    </row>
    <row r="495" spans="1:15" s="487" customFormat="1" ht="15.75" customHeight="1">
      <c r="A495" s="398"/>
      <c r="B495" s="398"/>
      <c r="C495" s="621"/>
      <c r="D495" s="621"/>
      <c r="E495" s="621"/>
      <c r="F495" s="621"/>
      <c r="G495" s="621"/>
      <c r="H495" s="621"/>
      <c r="I495" s="621"/>
      <c r="J495" s="621"/>
      <c r="K495" s="621"/>
      <c r="L495" s="621"/>
      <c r="M495" s="621"/>
      <c r="N495" s="1484"/>
      <c r="O495" s="398"/>
    </row>
    <row r="496" spans="1:15" s="487" customFormat="1" ht="15.75" customHeight="1">
      <c r="A496" s="398"/>
      <c r="B496" s="398"/>
      <c r="C496" s="621"/>
      <c r="D496" s="621"/>
      <c r="E496" s="621"/>
      <c r="F496" s="621"/>
      <c r="G496" s="621"/>
      <c r="H496" s="621"/>
      <c r="I496" s="621"/>
      <c r="J496" s="621"/>
      <c r="K496" s="621"/>
      <c r="L496" s="621"/>
      <c r="M496" s="621"/>
      <c r="N496" s="1484"/>
      <c r="O496" s="398"/>
    </row>
    <row r="497" spans="1:15" s="487" customFormat="1" ht="15.75" customHeight="1">
      <c r="A497" s="398"/>
      <c r="B497" s="398"/>
      <c r="C497" s="621"/>
      <c r="D497" s="621"/>
      <c r="E497" s="621"/>
      <c r="F497" s="621"/>
      <c r="G497" s="621"/>
      <c r="H497" s="621"/>
      <c r="I497" s="621"/>
      <c r="J497" s="621"/>
      <c r="K497" s="621"/>
      <c r="L497" s="621"/>
      <c r="M497" s="621"/>
      <c r="N497" s="1484"/>
      <c r="O497" s="398"/>
    </row>
    <row r="498" spans="1:15" s="487" customFormat="1" ht="15.75" customHeight="1">
      <c r="A498" s="398"/>
      <c r="B498" s="398"/>
      <c r="C498" s="621"/>
      <c r="D498" s="621"/>
      <c r="E498" s="621"/>
      <c r="F498" s="621"/>
      <c r="G498" s="621"/>
      <c r="H498" s="621"/>
      <c r="I498" s="621"/>
      <c r="J498" s="621"/>
      <c r="K498" s="621"/>
      <c r="L498" s="621"/>
      <c r="M498" s="621"/>
      <c r="N498" s="1484"/>
      <c r="O498" s="398"/>
    </row>
    <row r="499" spans="1:15" s="487" customFormat="1" ht="15.75" customHeight="1">
      <c r="A499" s="398"/>
      <c r="B499" s="398"/>
      <c r="C499" s="621"/>
      <c r="D499" s="621"/>
      <c r="E499" s="621"/>
      <c r="F499" s="621"/>
      <c r="G499" s="621"/>
      <c r="H499" s="621"/>
      <c r="I499" s="621"/>
      <c r="J499" s="621"/>
      <c r="K499" s="621"/>
      <c r="L499" s="621"/>
      <c r="M499" s="621"/>
      <c r="N499" s="1484"/>
      <c r="O499" s="398"/>
    </row>
    <row r="500" spans="1:15" s="487" customFormat="1" ht="15.75" customHeight="1">
      <c r="A500" s="398"/>
      <c r="B500" s="398"/>
      <c r="C500" s="621"/>
      <c r="D500" s="621"/>
      <c r="E500" s="621"/>
      <c r="F500" s="621"/>
      <c r="G500" s="621"/>
      <c r="H500" s="621"/>
      <c r="I500" s="621"/>
      <c r="J500" s="621"/>
      <c r="K500" s="621"/>
      <c r="L500" s="621"/>
      <c r="M500" s="621"/>
      <c r="N500" s="1484"/>
      <c r="O500" s="398"/>
    </row>
    <row r="501" spans="1:15" s="487" customFormat="1" ht="15.75" customHeight="1">
      <c r="A501" s="398"/>
      <c r="B501" s="398"/>
      <c r="C501" s="621"/>
      <c r="D501" s="621"/>
      <c r="E501" s="621"/>
      <c r="F501" s="621"/>
      <c r="G501" s="621"/>
      <c r="H501" s="621"/>
      <c r="I501" s="621"/>
      <c r="J501" s="621"/>
      <c r="K501" s="621"/>
      <c r="L501" s="621"/>
      <c r="M501" s="621"/>
      <c r="N501" s="1484"/>
      <c r="O501" s="398"/>
    </row>
    <row r="502" spans="1:15" s="487" customFormat="1" ht="15.75" customHeight="1">
      <c r="A502" s="398"/>
      <c r="B502" s="398"/>
      <c r="C502" s="621"/>
      <c r="D502" s="621"/>
      <c r="E502" s="621"/>
      <c r="F502" s="621"/>
      <c r="G502" s="621"/>
      <c r="H502" s="621"/>
      <c r="I502" s="621"/>
      <c r="J502" s="621"/>
      <c r="K502" s="621"/>
      <c r="L502" s="621"/>
      <c r="M502" s="621"/>
      <c r="N502" s="1484"/>
      <c r="O502" s="398"/>
    </row>
    <row r="503" spans="1:15" s="487" customFormat="1" ht="15.75" customHeight="1">
      <c r="A503" s="398"/>
      <c r="B503" s="398"/>
      <c r="C503" s="621"/>
      <c r="D503" s="621"/>
      <c r="E503" s="621"/>
      <c r="F503" s="621"/>
      <c r="G503" s="621"/>
      <c r="H503" s="621"/>
      <c r="I503" s="621"/>
      <c r="J503" s="621"/>
      <c r="K503" s="621"/>
      <c r="L503" s="621"/>
      <c r="M503" s="621"/>
      <c r="N503" s="1484"/>
      <c r="O503" s="398"/>
    </row>
    <row r="504" spans="1:15" s="487" customFormat="1" ht="15.75" customHeight="1">
      <c r="A504" s="398"/>
      <c r="B504" s="398"/>
      <c r="C504" s="621"/>
      <c r="D504" s="621"/>
      <c r="E504" s="621"/>
      <c r="F504" s="621"/>
      <c r="G504" s="621"/>
      <c r="H504" s="621"/>
      <c r="I504" s="621"/>
      <c r="J504" s="621"/>
      <c r="K504" s="621"/>
      <c r="L504" s="621"/>
      <c r="M504" s="621"/>
      <c r="N504" s="1484"/>
      <c r="O504" s="398"/>
    </row>
    <row r="505" spans="1:15" s="487" customFormat="1" ht="15.75" customHeight="1">
      <c r="A505" s="398"/>
      <c r="B505" s="398"/>
      <c r="C505" s="621"/>
      <c r="D505" s="621"/>
      <c r="E505" s="621"/>
      <c r="F505" s="621"/>
      <c r="G505" s="621"/>
      <c r="H505" s="621"/>
      <c r="I505" s="621"/>
      <c r="J505" s="621"/>
      <c r="K505" s="621"/>
      <c r="L505" s="621"/>
      <c r="M505" s="621"/>
      <c r="N505" s="1484"/>
      <c r="O505" s="398"/>
    </row>
    <row r="506" spans="1:15" s="487" customFormat="1" ht="15.75" customHeight="1">
      <c r="A506" s="398"/>
      <c r="B506" s="398"/>
      <c r="C506" s="621"/>
      <c r="D506" s="621"/>
      <c r="E506" s="621"/>
      <c r="F506" s="621"/>
      <c r="G506" s="621"/>
      <c r="H506" s="621"/>
      <c r="I506" s="621"/>
      <c r="J506" s="621"/>
      <c r="K506" s="621"/>
      <c r="L506" s="621"/>
      <c r="M506" s="621"/>
      <c r="N506" s="1484"/>
      <c r="O506" s="398"/>
    </row>
    <row r="507" spans="1:15" s="487" customFormat="1" ht="15.75" customHeight="1">
      <c r="A507" s="398"/>
      <c r="B507" s="398"/>
      <c r="C507" s="621"/>
      <c r="D507" s="621"/>
      <c r="E507" s="621"/>
      <c r="F507" s="621"/>
      <c r="G507" s="621"/>
      <c r="H507" s="621"/>
      <c r="I507" s="621"/>
      <c r="J507" s="621"/>
      <c r="K507" s="621"/>
      <c r="L507" s="621"/>
      <c r="M507" s="621"/>
      <c r="N507" s="1484"/>
      <c r="O507" s="398"/>
    </row>
    <row r="508" spans="1:15" s="487" customFormat="1" ht="15.75" customHeight="1">
      <c r="A508" s="398"/>
      <c r="B508" s="398"/>
      <c r="C508" s="621"/>
      <c r="D508" s="621"/>
      <c r="E508" s="621"/>
      <c r="F508" s="621"/>
      <c r="G508" s="621"/>
      <c r="H508" s="621"/>
      <c r="I508" s="621"/>
      <c r="J508" s="621"/>
      <c r="K508" s="621"/>
      <c r="L508" s="621"/>
      <c r="M508" s="621"/>
      <c r="N508" s="1484"/>
      <c r="O508" s="398"/>
    </row>
    <row r="509" spans="1:15" s="487" customFormat="1" ht="15.75" customHeight="1">
      <c r="A509" s="398"/>
      <c r="B509" s="398"/>
      <c r="C509" s="621"/>
      <c r="D509" s="621"/>
      <c r="E509" s="621"/>
      <c r="F509" s="621"/>
      <c r="G509" s="621"/>
      <c r="H509" s="621"/>
      <c r="I509" s="621"/>
      <c r="J509" s="621"/>
      <c r="K509" s="621"/>
      <c r="L509" s="621"/>
      <c r="M509" s="621"/>
      <c r="N509" s="1484"/>
      <c r="O509" s="398"/>
    </row>
    <row r="510" spans="1:15" s="487" customFormat="1" ht="15.75" customHeight="1">
      <c r="A510" s="398"/>
      <c r="B510" s="398"/>
      <c r="C510" s="621"/>
      <c r="D510" s="621"/>
      <c r="E510" s="621"/>
      <c r="F510" s="621"/>
      <c r="G510" s="621"/>
      <c r="H510" s="621"/>
      <c r="I510" s="621"/>
      <c r="J510" s="621"/>
      <c r="K510" s="621"/>
      <c r="L510" s="621"/>
      <c r="M510" s="621"/>
      <c r="N510" s="1484"/>
      <c r="O510" s="398"/>
    </row>
    <row r="511" spans="1:15" s="487" customFormat="1" ht="15.75" customHeight="1">
      <c r="A511" s="398"/>
      <c r="B511" s="398"/>
      <c r="C511" s="621"/>
      <c r="D511" s="621"/>
      <c r="E511" s="621"/>
      <c r="F511" s="621"/>
      <c r="G511" s="621"/>
      <c r="H511" s="621"/>
      <c r="I511" s="621"/>
      <c r="J511" s="621"/>
      <c r="K511" s="621"/>
      <c r="L511" s="621"/>
      <c r="M511" s="621"/>
      <c r="N511" s="1484"/>
      <c r="O511" s="398"/>
    </row>
    <row r="512" spans="1:15" s="487" customFormat="1" ht="15.75" customHeight="1">
      <c r="A512" s="398"/>
      <c r="B512" s="398"/>
      <c r="C512" s="621"/>
      <c r="D512" s="621"/>
      <c r="E512" s="621"/>
      <c r="F512" s="621"/>
      <c r="G512" s="621"/>
      <c r="H512" s="621"/>
      <c r="I512" s="621"/>
      <c r="J512" s="621"/>
      <c r="K512" s="621"/>
      <c r="L512" s="621"/>
      <c r="M512" s="621"/>
      <c r="N512" s="1484"/>
      <c r="O512" s="398"/>
    </row>
    <row r="513" spans="1:15" s="487" customFormat="1" ht="15.75" customHeight="1">
      <c r="A513" s="398"/>
      <c r="B513" s="398"/>
      <c r="C513" s="621"/>
      <c r="D513" s="621"/>
      <c r="E513" s="621"/>
      <c r="F513" s="621"/>
      <c r="G513" s="621"/>
      <c r="H513" s="621"/>
      <c r="I513" s="621"/>
      <c r="J513" s="621"/>
      <c r="K513" s="621"/>
      <c r="L513" s="621"/>
      <c r="M513" s="621"/>
      <c r="N513" s="1484"/>
      <c r="O513" s="398"/>
    </row>
    <row r="514" spans="1:15" s="487" customFormat="1" ht="15.75" customHeight="1">
      <c r="A514" s="398"/>
      <c r="B514" s="398"/>
      <c r="C514" s="621"/>
      <c r="D514" s="621"/>
      <c r="E514" s="621"/>
      <c r="F514" s="621"/>
      <c r="G514" s="621"/>
      <c r="H514" s="621"/>
      <c r="I514" s="621"/>
      <c r="J514" s="621"/>
      <c r="K514" s="621"/>
      <c r="L514" s="621"/>
      <c r="M514" s="621"/>
      <c r="N514" s="1484"/>
      <c r="O514" s="398"/>
    </row>
    <row r="515" spans="1:15" s="487" customFormat="1" ht="15.75" customHeight="1">
      <c r="A515" s="398"/>
      <c r="B515" s="398"/>
      <c r="C515" s="621"/>
      <c r="D515" s="621"/>
      <c r="E515" s="621"/>
      <c r="F515" s="621"/>
      <c r="G515" s="621"/>
      <c r="H515" s="621"/>
      <c r="I515" s="621"/>
      <c r="J515" s="621"/>
      <c r="K515" s="621"/>
      <c r="L515" s="621"/>
      <c r="M515" s="621"/>
      <c r="N515" s="1484"/>
      <c r="O515" s="398"/>
    </row>
    <row r="516" spans="1:15" s="487" customFormat="1" ht="15.75" customHeight="1">
      <c r="A516" s="398"/>
      <c r="B516" s="398"/>
      <c r="C516" s="621"/>
      <c r="D516" s="621"/>
      <c r="E516" s="621"/>
      <c r="F516" s="621"/>
      <c r="G516" s="621"/>
      <c r="H516" s="621"/>
      <c r="I516" s="621"/>
      <c r="J516" s="621"/>
      <c r="K516" s="621"/>
      <c r="L516" s="621"/>
      <c r="M516" s="621"/>
      <c r="N516" s="1484"/>
      <c r="O516" s="398"/>
    </row>
    <row r="517" spans="1:15" s="487" customFormat="1" ht="15.75" customHeight="1">
      <c r="A517" s="398"/>
      <c r="B517" s="398"/>
      <c r="C517" s="621"/>
      <c r="D517" s="621"/>
      <c r="E517" s="621"/>
      <c r="F517" s="621"/>
      <c r="G517" s="621"/>
      <c r="H517" s="621"/>
      <c r="I517" s="621"/>
      <c r="J517" s="621"/>
      <c r="K517" s="621"/>
      <c r="L517" s="621"/>
      <c r="M517" s="621"/>
      <c r="N517" s="1484"/>
      <c r="O517" s="398"/>
    </row>
    <row r="518" spans="1:15" s="487" customFormat="1" ht="15.75" customHeight="1">
      <c r="A518" s="398"/>
      <c r="B518" s="398"/>
      <c r="C518" s="621"/>
      <c r="D518" s="621"/>
      <c r="E518" s="621"/>
      <c r="F518" s="621"/>
      <c r="G518" s="621"/>
      <c r="H518" s="621"/>
      <c r="I518" s="621"/>
      <c r="J518" s="621"/>
      <c r="K518" s="621"/>
      <c r="L518" s="621"/>
      <c r="M518" s="621"/>
      <c r="N518" s="1484"/>
      <c r="O518" s="398"/>
    </row>
    <row r="519" spans="1:15" s="487" customFormat="1" ht="15.75" customHeight="1">
      <c r="A519" s="398"/>
      <c r="B519" s="398"/>
      <c r="C519" s="621"/>
      <c r="D519" s="621"/>
      <c r="E519" s="621"/>
      <c r="F519" s="621"/>
      <c r="G519" s="621"/>
      <c r="H519" s="621"/>
      <c r="I519" s="621"/>
      <c r="J519" s="621"/>
      <c r="K519" s="621"/>
      <c r="L519" s="621"/>
      <c r="M519" s="621"/>
      <c r="N519" s="1484"/>
      <c r="O519" s="398"/>
    </row>
    <row r="520" spans="1:15" s="487" customFormat="1" ht="15.75" customHeight="1">
      <c r="A520" s="398"/>
      <c r="B520" s="398"/>
      <c r="C520" s="621"/>
      <c r="D520" s="621"/>
      <c r="E520" s="621"/>
      <c r="F520" s="621"/>
      <c r="G520" s="621"/>
      <c r="H520" s="621"/>
      <c r="I520" s="621"/>
      <c r="J520" s="621"/>
      <c r="K520" s="621"/>
      <c r="L520" s="621"/>
      <c r="M520" s="621"/>
      <c r="N520" s="1484"/>
      <c r="O520" s="398"/>
    </row>
    <row r="521" spans="1:15" s="487" customFormat="1" ht="15.75" customHeight="1">
      <c r="A521" s="398"/>
      <c r="B521" s="398"/>
      <c r="C521" s="621"/>
      <c r="D521" s="621"/>
      <c r="E521" s="621"/>
      <c r="F521" s="621"/>
      <c r="G521" s="621"/>
      <c r="H521" s="621"/>
      <c r="I521" s="621"/>
      <c r="J521" s="621"/>
      <c r="K521" s="621"/>
      <c r="L521" s="621"/>
      <c r="M521" s="621"/>
      <c r="N521" s="1484"/>
      <c r="O521" s="398"/>
    </row>
    <row r="522" spans="1:15" s="487" customFormat="1" ht="15.75" customHeight="1">
      <c r="A522" s="398"/>
      <c r="B522" s="398"/>
      <c r="C522" s="621"/>
      <c r="D522" s="621"/>
      <c r="E522" s="621"/>
      <c r="F522" s="621"/>
      <c r="G522" s="621"/>
      <c r="H522" s="621"/>
      <c r="I522" s="621"/>
      <c r="J522" s="621"/>
      <c r="K522" s="621"/>
      <c r="L522" s="621"/>
      <c r="M522" s="621"/>
      <c r="N522" s="1484"/>
      <c r="O522" s="398"/>
    </row>
    <row r="523" spans="1:15" s="487" customFormat="1" ht="15.75" customHeight="1">
      <c r="A523" s="398"/>
      <c r="B523" s="398"/>
      <c r="C523" s="621"/>
      <c r="D523" s="621"/>
      <c r="E523" s="621"/>
      <c r="F523" s="621"/>
      <c r="G523" s="621"/>
      <c r="H523" s="621"/>
      <c r="I523" s="621"/>
      <c r="J523" s="621"/>
      <c r="K523" s="621"/>
      <c r="L523" s="621"/>
      <c r="M523" s="621"/>
      <c r="N523" s="1484"/>
      <c r="O523" s="398"/>
    </row>
    <row r="524" spans="1:15" s="487" customFormat="1" ht="15.75" customHeight="1">
      <c r="A524" s="398"/>
      <c r="B524" s="398"/>
      <c r="C524" s="621"/>
      <c r="D524" s="621"/>
      <c r="E524" s="621"/>
      <c r="F524" s="621"/>
      <c r="G524" s="621"/>
      <c r="H524" s="621"/>
      <c r="I524" s="621"/>
      <c r="J524" s="621"/>
      <c r="K524" s="621"/>
      <c r="L524" s="621"/>
      <c r="M524" s="621"/>
      <c r="N524" s="1484"/>
      <c r="O524" s="398"/>
    </row>
    <row r="525" spans="1:15" s="487" customFormat="1" ht="15.75" customHeight="1">
      <c r="A525" s="398"/>
      <c r="B525" s="398"/>
      <c r="C525" s="621"/>
      <c r="D525" s="621"/>
      <c r="E525" s="621"/>
      <c r="F525" s="621"/>
      <c r="G525" s="621"/>
      <c r="H525" s="621"/>
      <c r="I525" s="621"/>
      <c r="J525" s="621"/>
      <c r="K525" s="621"/>
      <c r="L525" s="621"/>
      <c r="M525" s="621"/>
      <c r="N525" s="1484"/>
      <c r="O525" s="398"/>
    </row>
    <row r="526" spans="1:15" s="487" customFormat="1" ht="15.75" customHeight="1">
      <c r="A526" s="398"/>
      <c r="B526" s="398"/>
      <c r="C526" s="621"/>
      <c r="D526" s="621"/>
      <c r="E526" s="621"/>
      <c r="F526" s="621"/>
      <c r="G526" s="621"/>
      <c r="H526" s="621"/>
      <c r="I526" s="621"/>
      <c r="J526" s="621"/>
      <c r="K526" s="621"/>
      <c r="L526" s="621"/>
      <c r="M526" s="621"/>
      <c r="N526" s="1484"/>
      <c r="O526" s="398"/>
    </row>
    <row r="527" spans="1:15" s="487" customFormat="1" ht="15.75" customHeight="1">
      <c r="A527" s="398"/>
      <c r="B527" s="398"/>
      <c r="C527" s="621"/>
      <c r="D527" s="621"/>
      <c r="E527" s="621"/>
      <c r="F527" s="621"/>
      <c r="G527" s="621"/>
      <c r="H527" s="621"/>
      <c r="I527" s="621"/>
      <c r="J527" s="621"/>
      <c r="K527" s="621"/>
      <c r="L527" s="621"/>
      <c r="M527" s="621"/>
      <c r="N527" s="1484"/>
      <c r="O527" s="398"/>
    </row>
    <row r="528" spans="1:15" s="487" customFormat="1" ht="15.75" customHeight="1">
      <c r="A528" s="398"/>
      <c r="B528" s="398"/>
      <c r="C528" s="621"/>
      <c r="D528" s="621"/>
      <c r="E528" s="621"/>
      <c r="F528" s="621"/>
      <c r="G528" s="621"/>
      <c r="H528" s="621"/>
      <c r="I528" s="621"/>
      <c r="J528" s="621"/>
      <c r="K528" s="621"/>
      <c r="L528" s="621"/>
      <c r="M528" s="621"/>
      <c r="N528" s="1484"/>
      <c r="O528" s="398"/>
    </row>
    <row r="529" spans="1:15" s="487" customFormat="1" ht="15.75" customHeight="1">
      <c r="A529" s="398"/>
      <c r="B529" s="398"/>
      <c r="C529" s="621"/>
      <c r="D529" s="621"/>
      <c r="E529" s="621"/>
      <c r="F529" s="621"/>
      <c r="G529" s="621"/>
      <c r="H529" s="621"/>
      <c r="I529" s="621"/>
      <c r="J529" s="621"/>
      <c r="K529" s="621"/>
      <c r="L529" s="621"/>
      <c r="M529" s="621"/>
      <c r="N529" s="1484"/>
      <c r="O529" s="398"/>
    </row>
    <row r="530" spans="1:15" s="487" customFormat="1" ht="15.75" customHeight="1">
      <c r="A530" s="398"/>
      <c r="B530" s="398"/>
      <c r="C530" s="621"/>
      <c r="D530" s="621"/>
      <c r="E530" s="621"/>
      <c r="F530" s="621"/>
      <c r="G530" s="621"/>
      <c r="H530" s="621"/>
      <c r="I530" s="621"/>
      <c r="J530" s="621"/>
      <c r="K530" s="621"/>
      <c r="L530" s="621"/>
      <c r="M530" s="621"/>
      <c r="N530" s="1484"/>
      <c r="O530" s="398"/>
    </row>
    <row r="531" spans="1:15" s="487" customFormat="1" ht="15.75" customHeight="1">
      <c r="A531" s="398"/>
      <c r="B531" s="398"/>
      <c r="C531" s="621"/>
      <c r="D531" s="621"/>
      <c r="E531" s="621"/>
      <c r="F531" s="621"/>
      <c r="G531" s="621"/>
      <c r="H531" s="621"/>
      <c r="I531" s="621"/>
      <c r="J531" s="621"/>
      <c r="K531" s="621"/>
      <c r="L531" s="621"/>
      <c r="M531" s="621"/>
      <c r="N531" s="1484"/>
      <c r="O531" s="398"/>
    </row>
    <row r="532" spans="1:15" s="487" customFormat="1" ht="15.75" customHeight="1">
      <c r="A532" s="398"/>
      <c r="B532" s="398"/>
      <c r="C532" s="621"/>
      <c r="D532" s="621"/>
      <c r="E532" s="621"/>
      <c r="F532" s="621"/>
      <c r="G532" s="621"/>
      <c r="H532" s="621"/>
      <c r="I532" s="621"/>
      <c r="J532" s="621"/>
      <c r="K532" s="621"/>
      <c r="L532" s="621"/>
      <c r="M532" s="621"/>
      <c r="N532" s="1484"/>
      <c r="O532" s="398"/>
    </row>
    <row r="533" spans="1:15" s="487" customFormat="1" ht="15.75" customHeight="1">
      <c r="A533" s="398"/>
      <c r="B533" s="398"/>
      <c r="C533" s="621"/>
      <c r="D533" s="621"/>
      <c r="E533" s="621"/>
      <c r="F533" s="621"/>
      <c r="G533" s="621"/>
      <c r="H533" s="621"/>
      <c r="I533" s="621"/>
      <c r="J533" s="621"/>
      <c r="K533" s="621"/>
      <c r="L533" s="621"/>
      <c r="M533" s="621"/>
      <c r="N533" s="1484"/>
      <c r="O533" s="398"/>
    </row>
    <row r="534" spans="1:15" s="487" customFormat="1" ht="15.75" customHeight="1">
      <c r="A534" s="398"/>
      <c r="B534" s="398"/>
      <c r="C534" s="621"/>
      <c r="D534" s="621"/>
      <c r="E534" s="621"/>
      <c r="F534" s="621"/>
      <c r="G534" s="621"/>
      <c r="H534" s="621"/>
      <c r="I534" s="621"/>
      <c r="J534" s="621"/>
      <c r="K534" s="621"/>
      <c r="L534" s="621"/>
      <c r="M534" s="621"/>
      <c r="N534" s="1484"/>
      <c r="O534" s="398"/>
    </row>
    <row r="535" spans="1:15" s="487" customFormat="1" ht="15.75" customHeight="1">
      <c r="A535" s="398"/>
      <c r="B535" s="398"/>
      <c r="C535" s="621"/>
      <c r="D535" s="621"/>
      <c r="E535" s="621"/>
      <c r="F535" s="621"/>
      <c r="G535" s="621"/>
      <c r="H535" s="621"/>
      <c r="I535" s="621"/>
      <c r="J535" s="621"/>
      <c r="K535" s="621"/>
      <c r="L535" s="621"/>
      <c r="M535" s="621"/>
      <c r="N535" s="1484"/>
      <c r="O535" s="398"/>
    </row>
    <row r="536" spans="1:15" s="487" customFormat="1" ht="15.75" customHeight="1">
      <c r="A536" s="398"/>
      <c r="B536" s="398"/>
      <c r="C536" s="621"/>
      <c r="D536" s="621"/>
      <c r="E536" s="621"/>
      <c r="F536" s="621"/>
      <c r="G536" s="621"/>
      <c r="H536" s="621"/>
      <c r="I536" s="621"/>
      <c r="J536" s="621"/>
      <c r="K536" s="621"/>
      <c r="L536" s="621"/>
      <c r="M536" s="621"/>
      <c r="N536" s="1484"/>
      <c r="O536" s="398"/>
    </row>
    <row r="537" spans="1:15" s="487" customFormat="1" ht="15.75" customHeight="1">
      <c r="A537" s="398"/>
      <c r="B537" s="398"/>
      <c r="C537" s="621"/>
      <c r="D537" s="621"/>
      <c r="E537" s="621"/>
      <c r="F537" s="621"/>
      <c r="G537" s="621"/>
      <c r="H537" s="621"/>
      <c r="I537" s="621"/>
      <c r="J537" s="621"/>
      <c r="K537" s="621"/>
      <c r="L537" s="621"/>
      <c r="M537" s="621"/>
      <c r="N537" s="1484"/>
      <c r="O537" s="398"/>
    </row>
    <row r="538" spans="1:15" s="487" customFormat="1" ht="15.75" customHeight="1">
      <c r="A538" s="398"/>
      <c r="B538" s="398"/>
      <c r="C538" s="621"/>
      <c r="D538" s="621"/>
      <c r="E538" s="621"/>
      <c r="F538" s="621"/>
      <c r="G538" s="621"/>
      <c r="H538" s="621"/>
      <c r="I538" s="621"/>
      <c r="J538" s="621"/>
      <c r="K538" s="621"/>
      <c r="L538" s="621"/>
      <c r="M538" s="621"/>
      <c r="N538" s="1484"/>
      <c r="O538" s="398"/>
    </row>
    <row r="539" spans="1:15" s="487" customFormat="1" ht="15.75" customHeight="1">
      <c r="A539" s="398"/>
      <c r="B539" s="398"/>
      <c r="C539" s="621"/>
      <c r="D539" s="621"/>
      <c r="E539" s="621"/>
      <c r="F539" s="621"/>
      <c r="G539" s="621"/>
      <c r="H539" s="621"/>
      <c r="I539" s="621"/>
      <c r="J539" s="621"/>
      <c r="K539" s="621"/>
      <c r="L539" s="621"/>
      <c r="M539" s="621"/>
      <c r="N539" s="1484"/>
      <c r="O539" s="398"/>
    </row>
    <row r="540" spans="1:15" s="487" customFormat="1" ht="15.75" customHeight="1">
      <c r="A540" s="398"/>
      <c r="B540" s="398"/>
      <c r="C540" s="621"/>
      <c r="D540" s="621"/>
      <c r="E540" s="621"/>
      <c r="F540" s="621"/>
      <c r="G540" s="621"/>
      <c r="H540" s="621"/>
      <c r="I540" s="621"/>
      <c r="J540" s="621"/>
      <c r="K540" s="621"/>
      <c r="L540" s="621"/>
      <c r="M540" s="621"/>
      <c r="N540" s="1484"/>
      <c r="O540" s="398"/>
    </row>
    <row r="541" spans="1:15" s="487" customFormat="1" ht="15.75" customHeight="1">
      <c r="A541" s="398"/>
      <c r="B541" s="398"/>
      <c r="C541" s="621"/>
      <c r="D541" s="621"/>
      <c r="E541" s="621"/>
      <c r="F541" s="621"/>
      <c r="G541" s="621"/>
      <c r="H541" s="621"/>
      <c r="I541" s="621"/>
      <c r="J541" s="621"/>
      <c r="K541" s="621"/>
      <c r="L541" s="621"/>
      <c r="M541" s="621"/>
      <c r="N541" s="1484"/>
      <c r="O541" s="398"/>
    </row>
    <row r="542" spans="1:15" s="487" customFormat="1" ht="15.75" customHeight="1">
      <c r="A542" s="398"/>
      <c r="B542" s="398"/>
      <c r="C542" s="621"/>
      <c r="D542" s="621"/>
      <c r="E542" s="621"/>
      <c r="F542" s="621"/>
      <c r="G542" s="621"/>
      <c r="H542" s="621"/>
      <c r="I542" s="621"/>
      <c r="J542" s="621"/>
      <c r="K542" s="621"/>
      <c r="L542" s="621"/>
      <c r="M542" s="621"/>
      <c r="N542" s="1484"/>
      <c r="O542" s="398"/>
    </row>
    <row r="543" spans="1:15" s="487" customFormat="1" ht="15.75" customHeight="1">
      <c r="A543" s="398"/>
      <c r="B543" s="398"/>
      <c r="C543" s="621"/>
      <c r="D543" s="621"/>
      <c r="E543" s="621"/>
      <c r="F543" s="621"/>
      <c r="G543" s="621"/>
      <c r="H543" s="621"/>
      <c r="I543" s="621"/>
      <c r="J543" s="621"/>
      <c r="K543" s="621"/>
      <c r="L543" s="621"/>
      <c r="M543" s="621"/>
      <c r="N543" s="1484"/>
      <c r="O543" s="398"/>
    </row>
    <row r="544" spans="1:15" s="487" customFormat="1" ht="15.75" customHeight="1">
      <c r="A544" s="398"/>
      <c r="B544" s="398"/>
      <c r="C544" s="621"/>
      <c r="D544" s="621"/>
      <c r="E544" s="621"/>
      <c r="F544" s="621"/>
      <c r="G544" s="621"/>
      <c r="H544" s="621"/>
      <c r="I544" s="621"/>
      <c r="J544" s="621"/>
      <c r="K544" s="621"/>
      <c r="L544" s="621"/>
      <c r="M544" s="621"/>
      <c r="N544" s="1484"/>
      <c r="O544" s="398"/>
    </row>
    <row r="545" spans="1:15" s="487" customFormat="1" ht="15.75" customHeight="1">
      <c r="A545" s="398"/>
      <c r="B545" s="398"/>
      <c r="C545" s="621"/>
      <c r="D545" s="621"/>
      <c r="E545" s="621"/>
      <c r="F545" s="621"/>
      <c r="G545" s="621"/>
      <c r="H545" s="621"/>
      <c r="I545" s="621"/>
      <c r="J545" s="621"/>
      <c r="K545" s="621"/>
      <c r="L545" s="621"/>
      <c r="M545" s="621"/>
      <c r="N545" s="1484"/>
      <c r="O545" s="398"/>
    </row>
    <row r="546" spans="1:15" s="487" customFormat="1" ht="15.75" customHeight="1">
      <c r="A546" s="398"/>
      <c r="B546" s="398"/>
      <c r="C546" s="621"/>
      <c r="D546" s="621"/>
      <c r="E546" s="621"/>
      <c r="F546" s="621"/>
      <c r="G546" s="621"/>
      <c r="H546" s="621"/>
      <c r="I546" s="621"/>
      <c r="J546" s="621"/>
      <c r="K546" s="621"/>
      <c r="L546" s="621"/>
      <c r="M546" s="621"/>
      <c r="N546" s="1484"/>
      <c r="O546" s="398"/>
    </row>
    <row r="547" spans="1:15" s="487" customFormat="1" ht="15.75" customHeight="1">
      <c r="A547" s="398"/>
      <c r="B547" s="398"/>
      <c r="C547" s="621"/>
      <c r="D547" s="621"/>
      <c r="E547" s="621"/>
      <c r="F547" s="621"/>
      <c r="G547" s="621"/>
      <c r="H547" s="621"/>
      <c r="I547" s="621"/>
      <c r="J547" s="621"/>
      <c r="K547" s="621"/>
      <c r="L547" s="621"/>
      <c r="M547" s="621"/>
      <c r="N547" s="1484"/>
      <c r="O547" s="398"/>
    </row>
    <row r="548" spans="1:15" s="487" customFormat="1" ht="15.75" customHeight="1">
      <c r="A548" s="398"/>
      <c r="B548" s="398"/>
      <c r="C548" s="621"/>
      <c r="D548" s="621"/>
      <c r="E548" s="621"/>
      <c r="F548" s="621"/>
      <c r="G548" s="621"/>
      <c r="H548" s="621"/>
      <c r="I548" s="621"/>
      <c r="J548" s="621"/>
      <c r="K548" s="621"/>
      <c r="L548" s="621"/>
      <c r="M548" s="621"/>
      <c r="N548" s="1484"/>
      <c r="O548" s="398"/>
    </row>
    <row r="549" spans="1:15" s="487" customFormat="1" ht="15.75" customHeight="1">
      <c r="A549" s="398"/>
      <c r="B549" s="398"/>
      <c r="C549" s="621"/>
      <c r="D549" s="621"/>
      <c r="E549" s="621"/>
      <c r="F549" s="621"/>
      <c r="G549" s="621"/>
      <c r="H549" s="621"/>
      <c r="I549" s="621"/>
      <c r="J549" s="621"/>
      <c r="K549" s="621"/>
      <c r="L549" s="621"/>
      <c r="M549" s="621"/>
      <c r="N549" s="1484"/>
      <c r="O549" s="398"/>
    </row>
    <row r="550" spans="1:15" s="487" customFormat="1" ht="15.75" customHeight="1">
      <c r="A550" s="398"/>
      <c r="B550" s="398"/>
      <c r="C550" s="621"/>
      <c r="D550" s="621"/>
      <c r="E550" s="621"/>
      <c r="F550" s="621"/>
      <c r="G550" s="621"/>
      <c r="H550" s="621"/>
      <c r="I550" s="621"/>
      <c r="J550" s="621"/>
      <c r="K550" s="621"/>
      <c r="L550" s="621"/>
      <c r="M550" s="621"/>
      <c r="N550" s="1484"/>
      <c r="O550" s="398"/>
    </row>
    <row r="551" spans="1:15" s="487" customFormat="1" ht="15.75" customHeight="1">
      <c r="A551" s="398"/>
      <c r="B551" s="398"/>
      <c r="C551" s="621"/>
      <c r="D551" s="621"/>
      <c r="E551" s="621"/>
      <c r="F551" s="621"/>
      <c r="G551" s="621"/>
      <c r="H551" s="621"/>
      <c r="I551" s="621"/>
      <c r="J551" s="621"/>
      <c r="K551" s="621"/>
      <c r="L551" s="621"/>
      <c r="M551" s="621"/>
      <c r="N551" s="1484"/>
      <c r="O551" s="398"/>
    </row>
    <row r="552" spans="1:15" s="487" customFormat="1" ht="15.75" customHeight="1">
      <c r="A552" s="398"/>
      <c r="B552" s="398"/>
      <c r="C552" s="621"/>
      <c r="D552" s="621"/>
      <c r="E552" s="621"/>
      <c r="F552" s="621"/>
      <c r="G552" s="621"/>
      <c r="H552" s="621"/>
      <c r="I552" s="621"/>
      <c r="J552" s="621"/>
      <c r="K552" s="621"/>
      <c r="L552" s="621"/>
      <c r="M552" s="621"/>
      <c r="N552" s="1484"/>
      <c r="O552" s="398"/>
    </row>
    <row r="553" spans="1:15" s="487" customFormat="1" ht="15.75" customHeight="1">
      <c r="A553" s="398"/>
      <c r="B553" s="398"/>
      <c r="C553" s="621"/>
      <c r="D553" s="621"/>
      <c r="E553" s="621"/>
      <c r="F553" s="621"/>
      <c r="G553" s="621"/>
      <c r="H553" s="621"/>
      <c r="I553" s="621"/>
      <c r="J553" s="621"/>
      <c r="K553" s="621"/>
      <c r="L553" s="621"/>
      <c r="M553" s="621"/>
      <c r="N553" s="1484"/>
      <c r="O553" s="398"/>
    </row>
    <row r="554" spans="1:15" s="487" customFormat="1" ht="15.75" customHeight="1">
      <c r="A554" s="398"/>
      <c r="B554" s="398"/>
      <c r="C554" s="398"/>
      <c r="D554" s="398"/>
      <c r="E554" s="398"/>
      <c r="F554" s="398"/>
      <c r="G554" s="398"/>
      <c r="H554" s="398"/>
      <c r="I554" s="398"/>
      <c r="J554" s="398"/>
      <c r="K554" s="398"/>
      <c r="L554" s="398"/>
      <c r="M554" s="398"/>
      <c r="N554" s="1484"/>
      <c r="O554" s="398"/>
    </row>
    <row r="555" spans="1:15" s="487" customFormat="1" ht="15.75" customHeight="1">
      <c r="A555" s="398"/>
      <c r="B555" s="398"/>
      <c r="C555" s="398"/>
      <c r="D555" s="398"/>
      <c r="E555" s="398"/>
      <c r="F555" s="398"/>
      <c r="G555" s="398"/>
      <c r="H555" s="398"/>
      <c r="I555" s="398"/>
      <c r="J555" s="398"/>
      <c r="K555" s="398"/>
      <c r="L555" s="398"/>
      <c r="M555" s="398"/>
      <c r="N555" s="1484"/>
      <c r="O555" s="398"/>
    </row>
    <row r="556" spans="1:15" s="487" customFormat="1" ht="15.75" customHeight="1">
      <c r="A556" s="398"/>
      <c r="B556" s="398"/>
      <c r="C556" s="398"/>
      <c r="D556" s="398"/>
      <c r="E556" s="398"/>
      <c r="F556" s="398"/>
      <c r="G556" s="398"/>
      <c r="H556" s="398"/>
      <c r="I556" s="398"/>
      <c r="J556" s="398"/>
      <c r="K556" s="398"/>
      <c r="L556" s="398"/>
      <c r="M556" s="398"/>
      <c r="N556" s="1484"/>
      <c r="O556" s="398"/>
    </row>
    <row r="557" spans="1:15" s="487" customFormat="1" ht="15.75" customHeight="1">
      <c r="A557" s="398"/>
      <c r="B557" s="398"/>
      <c r="C557" s="398"/>
      <c r="D557" s="398"/>
      <c r="E557" s="398"/>
      <c r="F557" s="398"/>
      <c r="G557" s="398"/>
      <c r="H557" s="398"/>
      <c r="I557" s="398"/>
      <c r="J557" s="398"/>
      <c r="K557" s="398"/>
      <c r="L557" s="398"/>
      <c r="M557" s="398"/>
      <c r="N557" s="1484"/>
      <c r="O557" s="398"/>
    </row>
    <row r="558" spans="1:15" s="487" customFormat="1" ht="15.75" customHeight="1">
      <c r="A558" s="398"/>
      <c r="B558" s="398"/>
      <c r="C558" s="398"/>
      <c r="D558" s="398"/>
      <c r="E558" s="398"/>
      <c r="F558" s="398"/>
      <c r="G558" s="398"/>
      <c r="H558" s="398"/>
      <c r="I558" s="398"/>
      <c r="J558" s="398"/>
      <c r="K558" s="398"/>
      <c r="L558" s="398"/>
      <c r="M558" s="398"/>
      <c r="N558" s="1484"/>
      <c r="O558" s="398"/>
    </row>
    <row r="559" spans="1:15" s="487" customFormat="1" ht="15.75" customHeight="1">
      <c r="A559" s="398"/>
      <c r="B559" s="398"/>
      <c r="C559" s="398"/>
      <c r="D559" s="398"/>
      <c r="E559" s="398"/>
      <c r="F559" s="398"/>
      <c r="G559" s="398"/>
      <c r="H559" s="398"/>
      <c r="I559" s="398"/>
      <c r="J559" s="398"/>
      <c r="K559" s="398"/>
      <c r="L559" s="398"/>
      <c r="M559" s="398"/>
      <c r="N559" s="1484"/>
      <c r="O559" s="398"/>
    </row>
    <row r="560" spans="1:15" s="487" customFormat="1" ht="15.75" customHeight="1">
      <c r="A560" s="398"/>
      <c r="B560" s="398"/>
      <c r="C560" s="398"/>
      <c r="D560" s="398"/>
      <c r="E560" s="398"/>
      <c r="F560" s="398"/>
      <c r="G560" s="398"/>
      <c r="H560" s="398"/>
      <c r="I560" s="398"/>
      <c r="J560" s="398"/>
      <c r="K560" s="398"/>
      <c r="L560" s="398"/>
      <c r="M560" s="398"/>
      <c r="N560" s="1484"/>
      <c r="O560" s="398"/>
    </row>
    <row r="561" spans="1:15" s="487" customFormat="1" ht="15.75" customHeight="1">
      <c r="A561" s="398"/>
      <c r="B561" s="398"/>
      <c r="C561" s="398"/>
      <c r="D561" s="398"/>
      <c r="E561" s="398"/>
      <c r="F561" s="398"/>
      <c r="G561" s="398"/>
      <c r="H561" s="398"/>
      <c r="I561" s="398"/>
      <c r="J561" s="398"/>
      <c r="K561" s="398"/>
      <c r="L561" s="398"/>
      <c r="M561" s="398"/>
      <c r="N561" s="1484"/>
      <c r="O561" s="398"/>
    </row>
    <row r="562" spans="1:15" s="487" customFormat="1" ht="15.75" customHeight="1">
      <c r="A562" s="398"/>
      <c r="B562" s="398"/>
      <c r="C562" s="398"/>
      <c r="D562" s="398"/>
      <c r="E562" s="398"/>
      <c r="F562" s="398"/>
      <c r="G562" s="398"/>
      <c r="H562" s="398"/>
      <c r="I562" s="398"/>
      <c r="J562" s="398"/>
      <c r="K562" s="398"/>
      <c r="L562" s="398"/>
      <c r="M562" s="398"/>
      <c r="N562" s="1484"/>
      <c r="O562" s="398"/>
    </row>
    <row r="563" spans="1:15" s="487" customFormat="1" ht="15.75" customHeight="1">
      <c r="A563" s="398"/>
      <c r="B563" s="398"/>
      <c r="C563" s="398"/>
      <c r="D563" s="398"/>
      <c r="E563" s="398"/>
      <c r="F563" s="398"/>
      <c r="G563" s="398"/>
      <c r="H563" s="398"/>
      <c r="I563" s="398"/>
      <c r="J563" s="398"/>
      <c r="K563" s="398"/>
      <c r="L563" s="398"/>
      <c r="M563" s="398"/>
      <c r="N563" s="1484"/>
      <c r="O563" s="398"/>
    </row>
    <row r="564" spans="1:15" s="487" customFormat="1" ht="15.75" customHeight="1">
      <c r="A564" s="398"/>
      <c r="B564" s="398"/>
      <c r="C564" s="398"/>
      <c r="D564" s="398"/>
      <c r="E564" s="398"/>
      <c r="F564" s="398"/>
      <c r="G564" s="398"/>
      <c r="H564" s="398"/>
      <c r="I564" s="398"/>
      <c r="J564" s="398"/>
      <c r="K564" s="398"/>
      <c r="L564" s="398"/>
      <c r="M564" s="398"/>
      <c r="N564" s="1484"/>
      <c r="O564" s="398"/>
    </row>
    <row r="565" spans="1:15" s="487" customFormat="1" ht="15.75" customHeight="1">
      <c r="A565" s="398"/>
      <c r="B565" s="398"/>
      <c r="C565" s="398"/>
      <c r="D565" s="398"/>
      <c r="E565" s="398"/>
      <c r="F565" s="398"/>
      <c r="G565" s="398"/>
      <c r="H565" s="398"/>
      <c r="I565" s="398"/>
      <c r="J565" s="398"/>
      <c r="K565" s="398"/>
      <c r="L565" s="398"/>
      <c r="M565" s="398"/>
      <c r="N565" s="1484"/>
      <c r="O565" s="398"/>
    </row>
    <row r="566" spans="1:15" s="487" customFormat="1" ht="15.75" customHeight="1">
      <c r="A566" s="398"/>
      <c r="B566" s="398"/>
      <c r="C566" s="398"/>
      <c r="D566" s="398"/>
      <c r="E566" s="398"/>
      <c r="F566" s="398"/>
      <c r="G566" s="398"/>
      <c r="H566" s="398"/>
      <c r="I566" s="398"/>
      <c r="J566" s="398"/>
      <c r="K566" s="398"/>
      <c r="L566" s="398"/>
      <c r="M566" s="398"/>
      <c r="N566" s="1484"/>
      <c r="O566" s="398"/>
    </row>
    <row r="567" spans="1:15" s="487" customFormat="1" ht="15.75" customHeight="1">
      <c r="A567" s="398"/>
      <c r="B567" s="398"/>
      <c r="C567" s="398"/>
      <c r="D567" s="398"/>
      <c r="E567" s="398"/>
      <c r="F567" s="398"/>
      <c r="G567" s="398"/>
      <c r="H567" s="398"/>
      <c r="I567" s="398"/>
      <c r="J567" s="398"/>
      <c r="K567" s="398"/>
      <c r="L567" s="398"/>
      <c r="M567" s="398"/>
      <c r="N567" s="1484"/>
      <c r="O567" s="398"/>
    </row>
    <row r="568" spans="1:15" s="487" customFormat="1" ht="15.75" customHeight="1">
      <c r="A568" s="398"/>
      <c r="B568" s="398"/>
      <c r="C568" s="398"/>
      <c r="D568" s="398"/>
      <c r="E568" s="398"/>
      <c r="F568" s="398"/>
      <c r="G568" s="398"/>
      <c r="H568" s="398"/>
      <c r="I568" s="398"/>
      <c r="J568" s="398"/>
      <c r="K568" s="398"/>
      <c r="L568" s="398"/>
      <c r="M568" s="398"/>
      <c r="N568" s="1484"/>
      <c r="O568" s="398"/>
    </row>
    <row r="569" spans="1:15" s="487" customFormat="1" ht="15.75" customHeight="1">
      <c r="A569" s="398"/>
      <c r="B569" s="398"/>
      <c r="C569" s="398"/>
      <c r="D569" s="398"/>
      <c r="E569" s="398"/>
      <c r="F569" s="398"/>
      <c r="G569" s="398"/>
      <c r="H569" s="398"/>
      <c r="I569" s="398"/>
      <c r="J569" s="398"/>
      <c r="K569" s="398"/>
      <c r="L569" s="398"/>
      <c r="M569" s="398"/>
      <c r="N569" s="1484"/>
      <c r="O569" s="398"/>
    </row>
    <row r="570" spans="1:15" s="487" customFormat="1" ht="15.75" customHeight="1">
      <c r="A570" s="398"/>
      <c r="B570" s="398"/>
      <c r="C570" s="398"/>
      <c r="D570" s="398"/>
      <c r="E570" s="398"/>
      <c r="F570" s="398"/>
      <c r="G570" s="398"/>
      <c r="H570" s="398"/>
      <c r="I570" s="398"/>
      <c r="J570" s="398"/>
      <c r="K570" s="398"/>
      <c r="L570" s="398"/>
      <c r="M570" s="398"/>
      <c r="N570" s="1484"/>
      <c r="O570" s="398"/>
    </row>
    <row r="571" spans="1:15" s="487" customFormat="1" ht="15.75" customHeight="1">
      <c r="A571" s="398"/>
      <c r="B571" s="398"/>
      <c r="C571" s="398"/>
      <c r="D571" s="398"/>
      <c r="E571" s="398"/>
      <c r="F571" s="398"/>
      <c r="G571" s="398"/>
      <c r="H571" s="398"/>
      <c r="I571" s="398"/>
      <c r="J571" s="398"/>
      <c r="K571" s="398"/>
      <c r="L571" s="398"/>
      <c r="M571" s="398"/>
      <c r="N571" s="1484"/>
      <c r="O571" s="398"/>
    </row>
    <row r="572" spans="1:15" s="487" customFormat="1" ht="15.75" customHeight="1">
      <c r="A572" s="398"/>
      <c r="B572" s="398"/>
      <c r="C572" s="398"/>
      <c r="D572" s="398"/>
      <c r="E572" s="398"/>
      <c r="F572" s="398"/>
      <c r="G572" s="398"/>
      <c r="H572" s="398"/>
      <c r="I572" s="398"/>
      <c r="J572" s="398"/>
      <c r="K572" s="398"/>
      <c r="L572" s="398"/>
      <c r="M572" s="398"/>
      <c r="N572" s="1484"/>
      <c r="O572" s="398"/>
    </row>
    <row r="573" spans="1:15" s="487" customFormat="1" ht="15.75" customHeight="1">
      <c r="A573" s="398"/>
      <c r="B573" s="398"/>
      <c r="C573" s="398"/>
      <c r="D573" s="398"/>
      <c r="E573" s="398"/>
      <c r="F573" s="398"/>
      <c r="G573" s="398"/>
      <c r="H573" s="398"/>
      <c r="I573" s="398"/>
      <c r="J573" s="398"/>
      <c r="K573" s="398"/>
      <c r="L573" s="398"/>
      <c r="M573" s="398"/>
      <c r="N573" s="1484"/>
      <c r="O573" s="398"/>
    </row>
    <row r="574" spans="1:15" s="487" customFormat="1" ht="15.75" customHeight="1">
      <c r="A574" s="398"/>
      <c r="B574" s="398"/>
      <c r="C574" s="398"/>
      <c r="D574" s="398"/>
      <c r="E574" s="398"/>
      <c r="F574" s="398"/>
      <c r="G574" s="398"/>
      <c r="H574" s="398"/>
      <c r="I574" s="398"/>
      <c r="J574" s="398"/>
      <c r="K574" s="398"/>
      <c r="L574" s="398"/>
      <c r="M574" s="398"/>
      <c r="N574" s="1484"/>
      <c r="O574" s="398"/>
    </row>
    <row r="575" spans="1:15" s="487" customFormat="1" ht="15.75" customHeight="1">
      <c r="A575" s="398"/>
      <c r="B575" s="398"/>
      <c r="C575" s="398"/>
      <c r="D575" s="398"/>
      <c r="E575" s="398"/>
      <c r="F575" s="398"/>
      <c r="G575" s="398"/>
      <c r="H575" s="398"/>
      <c r="I575" s="398"/>
      <c r="J575" s="398"/>
      <c r="K575" s="398"/>
      <c r="L575" s="398"/>
      <c r="M575" s="398"/>
      <c r="N575" s="1484"/>
      <c r="O575" s="398"/>
    </row>
    <row r="576" spans="1:15" s="487" customFormat="1" ht="15.75" customHeight="1">
      <c r="A576" s="398"/>
      <c r="B576" s="398"/>
      <c r="C576" s="398"/>
      <c r="D576" s="398"/>
      <c r="E576" s="398"/>
      <c r="F576" s="398"/>
      <c r="G576" s="398"/>
      <c r="H576" s="398"/>
      <c r="I576" s="398"/>
      <c r="J576" s="398"/>
      <c r="K576" s="398"/>
      <c r="L576" s="398"/>
      <c r="M576" s="398"/>
      <c r="N576" s="1484"/>
      <c r="O576" s="398"/>
    </row>
    <row r="577" spans="1:15" s="487" customFormat="1" ht="15.75" customHeight="1">
      <c r="A577" s="398"/>
      <c r="B577" s="398"/>
      <c r="C577" s="398"/>
      <c r="D577" s="398"/>
      <c r="E577" s="398"/>
      <c r="F577" s="398"/>
      <c r="G577" s="398"/>
      <c r="H577" s="398"/>
      <c r="I577" s="398"/>
      <c r="J577" s="398"/>
      <c r="K577" s="398"/>
      <c r="L577" s="398"/>
      <c r="M577" s="398"/>
      <c r="N577" s="1484"/>
      <c r="O577" s="398"/>
    </row>
    <row r="578" spans="1:15" s="487" customFormat="1" ht="15.75" customHeight="1">
      <c r="A578" s="398"/>
      <c r="B578" s="398"/>
      <c r="C578" s="398"/>
      <c r="D578" s="398"/>
      <c r="E578" s="398"/>
      <c r="F578" s="398"/>
      <c r="G578" s="398"/>
      <c r="H578" s="398"/>
      <c r="I578" s="398"/>
      <c r="J578" s="398"/>
      <c r="K578" s="398"/>
      <c r="L578" s="398"/>
      <c r="M578" s="398"/>
      <c r="N578" s="1484"/>
      <c r="O578" s="398"/>
    </row>
    <row r="579" spans="1:15" s="487" customFormat="1" ht="15.75" customHeight="1">
      <c r="A579" s="398"/>
      <c r="B579" s="398"/>
      <c r="C579" s="398"/>
      <c r="D579" s="398"/>
      <c r="E579" s="398"/>
      <c r="F579" s="398"/>
      <c r="G579" s="398"/>
      <c r="H579" s="398"/>
      <c r="I579" s="398"/>
      <c r="J579" s="398"/>
      <c r="K579" s="398"/>
      <c r="L579" s="398"/>
      <c r="M579" s="398"/>
      <c r="N579" s="1484"/>
      <c r="O579" s="398"/>
    </row>
    <row r="580" spans="1:15" s="487" customFormat="1" ht="15.75" customHeight="1">
      <c r="A580" s="398"/>
      <c r="B580" s="398"/>
      <c r="C580" s="398"/>
      <c r="D580" s="398"/>
      <c r="E580" s="398"/>
      <c r="F580" s="398"/>
      <c r="G580" s="398"/>
      <c r="H580" s="398"/>
      <c r="I580" s="398"/>
      <c r="J580" s="398"/>
      <c r="K580" s="398"/>
      <c r="L580" s="398"/>
      <c r="M580" s="398"/>
      <c r="N580" s="1484"/>
      <c r="O580" s="398"/>
    </row>
    <row r="581" spans="1:15" s="487" customFormat="1" ht="15.75" customHeight="1">
      <c r="A581" s="398"/>
      <c r="B581" s="398"/>
      <c r="C581" s="398"/>
      <c r="D581" s="398"/>
      <c r="E581" s="398"/>
      <c r="F581" s="398"/>
      <c r="G581" s="398"/>
      <c r="H581" s="398"/>
      <c r="I581" s="398"/>
      <c r="J581" s="398"/>
      <c r="K581" s="398"/>
      <c r="L581" s="398"/>
      <c r="M581" s="398"/>
      <c r="N581" s="1484"/>
      <c r="O581" s="398"/>
    </row>
    <row r="582" spans="1:15" s="487" customFormat="1" ht="15.75" customHeight="1">
      <c r="A582" s="398"/>
      <c r="B582" s="398"/>
      <c r="C582" s="398"/>
      <c r="D582" s="398"/>
      <c r="E582" s="398"/>
      <c r="F582" s="398"/>
      <c r="G582" s="398"/>
      <c r="H582" s="398"/>
      <c r="I582" s="398"/>
      <c r="J582" s="398"/>
      <c r="K582" s="398"/>
      <c r="L582" s="398"/>
      <c r="M582" s="398"/>
      <c r="N582" s="1484"/>
      <c r="O582" s="398"/>
    </row>
    <row r="583" spans="1:15" s="487" customFormat="1" ht="15.75" customHeight="1">
      <c r="A583" s="398"/>
      <c r="B583" s="398"/>
      <c r="C583" s="398"/>
      <c r="D583" s="398"/>
      <c r="E583" s="398"/>
      <c r="F583" s="398"/>
      <c r="G583" s="398"/>
      <c r="H583" s="398"/>
      <c r="I583" s="398"/>
      <c r="J583" s="398"/>
      <c r="K583" s="398"/>
      <c r="L583" s="398"/>
      <c r="M583" s="398"/>
      <c r="N583" s="1484"/>
      <c r="O583" s="398"/>
    </row>
    <row r="584" spans="1:15" s="487" customFormat="1" ht="15.75" customHeight="1">
      <c r="A584" s="398"/>
      <c r="B584" s="398"/>
      <c r="C584" s="398"/>
      <c r="D584" s="398"/>
      <c r="E584" s="398"/>
      <c r="F584" s="398"/>
      <c r="G584" s="398"/>
      <c r="H584" s="398"/>
      <c r="I584" s="398"/>
      <c r="J584" s="398"/>
      <c r="K584" s="398"/>
      <c r="L584" s="398"/>
      <c r="M584" s="398"/>
      <c r="N584" s="1484"/>
      <c r="O584" s="398"/>
    </row>
    <row r="585" spans="1:15" s="487" customFormat="1" ht="15.75" customHeight="1">
      <c r="A585" s="398"/>
      <c r="B585" s="398"/>
      <c r="C585" s="398"/>
      <c r="D585" s="398"/>
      <c r="E585" s="398"/>
      <c r="F585" s="398"/>
      <c r="G585" s="398"/>
      <c r="H585" s="398"/>
      <c r="I585" s="398"/>
      <c r="J585" s="398"/>
      <c r="K585" s="398"/>
      <c r="L585" s="398"/>
      <c r="M585" s="398"/>
      <c r="N585" s="1484"/>
      <c r="O585" s="398"/>
    </row>
    <row r="586" spans="1:15" s="487" customFormat="1" ht="15.75" customHeight="1">
      <c r="A586" s="398"/>
      <c r="B586" s="398"/>
      <c r="C586" s="398"/>
      <c r="D586" s="398"/>
      <c r="E586" s="398"/>
      <c r="F586" s="398"/>
      <c r="G586" s="398"/>
      <c r="H586" s="398"/>
      <c r="I586" s="398"/>
      <c r="J586" s="398"/>
      <c r="K586" s="398"/>
      <c r="L586" s="398"/>
      <c r="M586" s="398"/>
      <c r="N586" s="1484"/>
      <c r="O586" s="398"/>
    </row>
    <row r="587" spans="1:15" s="487" customFormat="1" ht="15.75" customHeight="1">
      <c r="A587" s="398"/>
      <c r="B587" s="398"/>
      <c r="C587" s="398"/>
      <c r="D587" s="398"/>
      <c r="E587" s="398"/>
      <c r="F587" s="398"/>
      <c r="G587" s="398"/>
      <c r="H587" s="398"/>
      <c r="I587" s="398"/>
      <c r="J587" s="398"/>
      <c r="K587" s="398"/>
      <c r="L587" s="398"/>
      <c r="M587" s="398"/>
      <c r="N587" s="1484"/>
      <c r="O587" s="398"/>
    </row>
    <row r="588" spans="1:15" s="487" customFormat="1" ht="15.75" customHeight="1">
      <c r="A588" s="398"/>
      <c r="B588" s="398"/>
      <c r="C588" s="398"/>
      <c r="D588" s="398"/>
      <c r="E588" s="398"/>
      <c r="F588" s="398"/>
      <c r="G588" s="398"/>
      <c r="H588" s="398"/>
      <c r="I588" s="398"/>
      <c r="J588" s="398"/>
      <c r="K588" s="398"/>
      <c r="L588" s="398"/>
      <c r="M588" s="398"/>
      <c r="N588" s="1484"/>
      <c r="O588" s="398"/>
    </row>
    <row r="589" spans="1:15" s="487" customFormat="1" ht="15.75" customHeight="1">
      <c r="A589" s="398"/>
      <c r="B589" s="398"/>
      <c r="C589" s="398"/>
      <c r="D589" s="398"/>
      <c r="E589" s="398"/>
      <c r="F589" s="398"/>
      <c r="G589" s="398"/>
      <c r="H589" s="398"/>
      <c r="I589" s="398"/>
      <c r="J589" s="398"/>
      <c r="K589" s="398"/>
      <c r="L589" s="398"/>
      <c r="M589" s="398"/>
      <c r="N589" s="1484"/>
      <c r="O589" s="398"/>
    </row>
    <row r="590" spans="1:15" s="487" customFormat="1" ht="15.75" customHeight="1">
      <c r="A590" s="398"/>
      <c r="B590" s="398"/>
      <c r="C590" s="398"/>
      <c r="D590" s="398"/>
      <c r="E590" s="398"/>
      <c r="F590" s="398"/>
      <c r="G590" s="398"/>
      <c r="H590" s="398"/>
      <c r="I590" s="398"/>
      <c r="J590" s="398"/>
      <c r="K590" s="398"/>
      <c r="L590" s="398"/>
      <c r="M590" s="398"/>
      <c r="N590" s="1484"/>
      <c r="O590" s="398"/>
    </row>
    <row r="591" spans="1:15" s="487" customFormat="1" ht="15.75" customHeight="1">
      <c r="A591" s="398"/>
      <c r="B591" s="398"/>
      <c r="C591" s="398"/>
      <c r="D591" s="398"/>
      <c r="E591" s="398"/>
      <c r="F591" s="398"/>
      <c r="G591" s="398"/>
      <c r="H591" s="398"/>
      <c r="I591" s="398"/>
      <c r="J591" s="398"/>
      <c r="K591" s="398"/>
      <c r="L591" s="398"/>
      <c r="M591" s="398"/>
      <c r="N591" s="1484"/>
      <c r="O591" s="398"/>
    </row>
    <row r="592" spans="1:15" s="487" customFormat="1" ht="15.75" customHeight="1">
      <c r="A592" s="398"/>
      <c r="B592" s="398"/>
      <c r="C592" s="398"/>
      <c r="D592" s="398"/>
      <c r="E592" s="398"/>
      <c r="F592" s="398"/>
      <c r="G592" s="398"/>
      <c r="H592" s="398"/>
      <c r="I592" s="398"/>
      <c r="J592" s="398"/>
      <c r="K592" s="398"/>
      <c r="L592" s="398"/>
      <c r="M592" s="398"/>
      <c r="N592" s="1484"/>
      <c r="O592" s="398"/>
    </row>
    <row r="593" spans="1:15" s="487" customFormat="1" ht="15.75" customHeight="1">
      <c r="A593" s="398"/>
      <c r="B593" s="398"/>
      <c r="C593" s="398"/>
      <c r="D593" s="398"/>
      <c r="E593" s="398"/>
      <c r="F593" s="398"/>
      <c r="G593" s="398"/>
      <c r="H593" s="398"/>
      <c r="I593" s="398"/>
      <c r="J593" s="398"/>
      <c r="K593" s="398"/>
      <c r="L593" s="398"/>
      <c r="M593" s="398"/>
      <c r="N593" s="1484"/>
      <c r="O593" s="398"/>
    </row>
    <row r="594" spans="1:15" s="487" customFormat="1" ht="15.75" customHeight="1">
      <c r="A594" s="398"/>
      <c r="B594" s="398"/>
      <c r="C594" s="398"/>
      <c r="D594" s="398"/>
      <c r="E594" s="398"/>
      <c r="F594" s="398"/>
      <c r="G594" s="398"/>
      <c r="H594" s="398"/>
      <c r="I594" s="398"/>
      <c r="J594" s="398"/>
      <c r="K594" s="398"/>
      <c r="L594" s="398"/>
      <c r="M594" s="398"/>
      <c r="N594" s="1484"/>
      <c r="O594" s="398"/>
    </row>
    <row r="595" spans="1:15" s="487" customFormat="1" ht="15.75" customHeight="1">
      <c r="A595" s="398"/>
      <c r="B595" s="398"/>
      <c r="C595" s="398"/>
      <c r="D595" s="398"/>
      <c r="E595" s="398"/>
      <c r="F595" s="398"/>
      <c r="G595" s="398"/>
      <c r="H595" s="398"/>
      <c r="I595" s="398"/>
      <c r="J595" s="398"/>
      <c r="K595" s="398"/>
      <c r="L595" s="398"/>
      <c r="M595" s="398"/>
      <c r="N595" s="1484"/>
      <c r="O595" s="398"/>
    </row>
    <row r="596" spans="1:15" s="487" customFormat="1" ht="15.75" customHeight="1">
      <c r="A596" s="398"/>
      <c r="B596" s="398"/>
      <c r="C596" s="398"/>
      <c r="D596" s="398"/>
      <c r="E596" s="398"/>
      <c r="F596" s="398"/>
      <c r="G596" s="398"/>
      <c r="H596" s="398"/>
      <c r="I596" s="398"/>
      <c r="J596" s="398"/>
      <c r="K596" s="398"/>
      <c r="L596" s="398"/>
      <c r="M596" s="398"/>
      <c r="N596" s="1484"/>
      <c r="O596" s="398"/>
    </row>
    <row r="597" spans="1:15" s="487" customFormat="1" ht="15.75" customHeight="1">
      <c r="A597" s="398"/>
      <c r="B597" s="398"/>
      <c r="C597" s="398"/>
      <c r="D597" s="398"/>
      <c r="E597" s="398"/>
      <c r="F597" s="398"/>
      <c r="G597" s="398"/>
      <c r="H597" s="398"/>
      <c r="I597" s="398"/>
      <c r="J597" s="398"/>
      <c r="K597" s="398"/>
      <c r="L597" s="398"/>
      <c r="M597" s="398"/>
      <c r="N597" s="1484"/>
      <c r="O597" s="398"/>
    </row>
    <row r="598" spans="1:15" s="487" customFormat="1" ht="15.75" customHeight="1">
      <c r="A598" s="398"/>
      <c r="B598" s="398"/>
      <c r="C598" s="398"/>
      <c r="D598" s="398"/>
      <c r="E598" s="398"/>
      <c r="F598" s="398"/>
      <c r="G598" s="398"/>
      <c r="H598" s="398"/>
      <c r="I598" s="398"/>
      <c r="J598" s="398"/>
      <c r="K598" s="398"/>
      <c r="L598" s="398"/>
      <c r="M598" s="398"/>
      <c r="N598" s="1484"/>
      <c r="O598" s="398"/>
    </row>
    <row r="599" spans="1:15" s="487" customFormat="1" ht="15.75" customHeight="1">
      <c r="A599" s="398"/>
      <c r="B599" s="398"/>
      <c r="C599" s="398"/>
      <c r="D599" s="398"/>
      <c r="E599" s="398"/>
      <c r="F599" s="398"/>
      <c r="G599" s="398"/>
      <c r="H599" s="398"/>
      <c r="I599" s="398"/>
      <c r="J599" s="398"/>
      <c r="K599" s="398"/>
      <c r="L599" s="398"/>
      <c r="M599" s="398"/>
      <c r="N599" s="1484"/>
      <c r="O599" s="398"/>
    </row>
    <row r="600" spans="1:15" s="487" customFormat="1" ht="15.75" customHeight="1">
      <c r="A600" s="398"/>
      <c r="B600" s="398"/>
      <c r="C600" s="398"/>
      <c r="D600" s="398"/>
      <c r="E600" s="398"/>
      <c r="F600" s="398"/>
      <c r="G600" s="398"/>
      <c r="H600" s="398"/>
      <c r="I600" s="398"/>
      <c r="J600" s="398"/>
      <c r="K600" s="398"/>
      <c r="L600" s="398"/>
      <c r="M600" s="398"/>
      <c r="N600" s="1484"/>
      <c r="O600" s="398"/>
    </row>
    <row r="601" spans="1:15" s="487" customFormat="1" ht="15.75" customHeight="1">
      <c r="A601" s="398"/>
      <c r="B601" s="398"/>
      <c r="C601" s="398"/>
      <c r="D601" s="398"/>
      <c r="E601" s="398"/>
      <c r="F601" s="398"/>
      <c r="G601" s="398"/>
      <c r="H601" s="398"/>
      <c r="I601" s="398"/>
      <c r="J601" s="398"/>
      <c r="K601" s="398"/>
      <c r="L601" s="398"/>
      <c r="M601" s="398"/>
      <c r="N601" s="1484"/>
      <c r="O601" s="398"/>
    </row>
    <row r="602" spans="1:15" s="487" customFormat="1" ht="15.75" customHeight="1">
      <c r="A602" s="398"/>
      <c r="B602" s="398"/>
      <c r="C602" s="398"/>
      <c r="D602" s="398"/>
      <c r="E602" s="398"/>
      <c r="F602" s="398"/>
      <c r="G602" s="398"/>
      <c r="H602" s="398"/>
      <c r="I602" s="398"/>
      <c r="J602" s="398"/>
      <c r="K602" s="398"/>
      <c r="L602" s="398"/>
      <c r="M602" s="398"/>
      <c r="N602" s="1484"/>
      <c r="O602" s="398"/>
    </row>
    <row r="603" spans="1:15" s="487" customFormat="1" ht="15.75" customHeight="1">
      <c r="A603" s="398"/>
      <c r="B603" s="398"/>
      <c r="C603" s="398"/>
      <c r="D603" s="398"/>
      <c r="E603" s="398"/>
      <c r="F603" s="398"/>
      <c r="G603" s="398"/>
      <c r="H603" s="398"/>
      <c r="I603" s="398"/>
      <c r="J603" s="398"/>
      <c r="K603" s="398"/>
      <c r="L603" s="398"/>
      <c r="M603" s="398"/>
      <c r="N603" s="1484"/>
      <c r="O603" s="398"/>
    </row>
    <row r="604" spans="1:15" s="487" customFormat="1" ht="15.75" customHeight="1">
      <c r="A604" s="398"/>
      <c r="B604" s="398"/>
      <c r="C604" s="398"/>
      <c r="D604" s="398"/>
      <c r="E604" s="398"/>
      <c r="F604" s="398"/>
      <c r="G604" s="398"/>
      <c r="H604" s="398"/>
      <c r="I604" s="398"/>
      <c r="J604" s="398"/>
      <c r="K604" s="398"/>
      <c r="L604" s="398"/>
      <c r="M604" s="398"/>
      <c r="N604" s="1484"/>
      <c r="O604" s="398"/>
    </row>
    <row r="605" spans="1:15" s="487" customFormat="1" ht="15.75" customHeight="1">
      <c r="A605" s="398"/>
      <c r="B605" s="398"/>
      <c r="C605" s="398"/>
      <c r="D605" s="398"/>
      <c r="E605" s="398"/>
      <c r="F605" s="398"/>
      <c r="G605" s="398"/>
      <c r="H605" s="398"/>
      <c r="I605" s="398"/>
      <c r="J605" s="398"/>
      <c r="K605" s="398"/>
      <c r="L605" s="398"/>
      <c r="M605" s="398"/>
      <c r="N605" s="1484"/>
      <c r="O605" s="398"/>
    </row>
    <row r="606" spans="1:15" s="487" customFormat="1" ht="15.75" customHeight="1">
      <c r="A606" s="398"/>
      <c r="B606" s="398"/>
      <c r="C606" s="398"/>
      <c r="D606" s="398"/>
      <c r="E606" s="398"/>
      <c r="F606" s="398"/>
      <c r="G606" s="398"/>
      <c r="H606" s="398"/>
      <c r="I606" s="398"/>
      <c r="J606" s="398"/>
      <c r="K606" s="398"/>
      <c r="L606" s="398"/>
      <c r="M606" s="398"/>
      <c r="N606" s="1484"/>
      <c r="O606" s="398"/>
    </row>
    <row r="607" spans="1:15" s="487" customFormat="1" ht="15.75" customHeight="1">
      <c r="A607" s="398"/>
      <c r="B607" s="398"/>
      <c r="C607" s="398"/>
      <c r="D607" s="398"/>
      <c r="E607" s="398"/>
      <c r="F607" s="398"/>
      <c r="G607" s="398"/>
      <c r="H607" s="398"/>
      <c r="I607" s="398"/>
      <c r="J607" s="398"/>
      <c r="K607" s="398"/>
      <c r="L607" s="398"/>
      <c r="M607" s="398"/>
      <c r="N607" s="1484"/>
      <c r="O607" s="398"/>
    </row>
    <row r="608" spans="1:15" s="487" customFormat="1" ht="15.75" customHeight="1">
      <c r="A608" s="398"/>
      <c r="B608" s="398"/>
      <c r="C608" s="398"/>
      <c r="D608" s="398"/>
      <c r="E608" s="398"/>
      <c r="F608" s="398"/>
      <c r="G608" s="398"/>
      <c r="H608" s="398"/>
      <c r="I608" s="398"/>
      <c r="J608" s="398"/>
      <c r="K608" s="398"/>
      <c r="L608" s="398"/>
      <c r="M608" s="398"/>
      <c r="N608" s="1484"/>
      <c r="O608" s="398"/>
    </row>
    <row r="609" spans="1:15" s="487" customFormat="1" ht="15.75" customHeight="1">
      <c r="A609" s="398"/>
      <c r="B609" s="398"/>
      <c r="C609" s="398"/>
      <c r="D609" s="398"/>
      <c r="E609" s="398"/>
      <c r="F609" s="398"/>
      <c r="G609" s="398"/>
      <c r="H609" s="398"/>
      <c r="I609" s="398"/>
      <c r="J609" s="398"/>
      <c r="K609" s="398"/>
      <c r="L609" s="398"/>
      <c r="M609" s="398"/>
      <c r="N609" s="1484"/>
      <c r="O609" s="398"/>
    </row>
    <row r="610" spans="1:15" s="487" customFormat="1" ht="15.75" customHeight="1">
      <c r="A610" s="398"/>
      <c r="B610" s="398"/>
      <c r="C610" s="398"/>
      <c r="D610" s="398"/>
      <c r="E610" s="398"/>
      <c r="F610" s="398"/>
      <c r="G610" s="398"/>
      <c r="H610" s="398"/>
      <c r="I610" s="398"/>
      <c r="J610" s="398"/>
      <c r="K610" s="398"/>
      <c r="L610" s="398"/>
      <c r="M610" s="398"/>
      <c r="N610" s="1484"/>
      <c r="O610" s="398"/>
    </row>
    <row r="611" spans="1:15" s="487" customFormat="1" ht="15.75" customHeight="1">
      <c r="A611" s="398"/>
      <c r="B611" s="398"/>
      <c r="C611" s="398"/>
      <c r="D611" s="398"/>
      <c r="E611" s="398"/>
      <c r="F611" s="398"/>
      <c r="G611" s="398"/>
      <c r="H611" s="398"/>
      <c r="I611" s="398"/>
      <c r="J611" s="398"/>
      <c r="K611" s="398"/>
      <c r="L611" s="398"/>
      <c r="M611" s="398"/>
      <c r="N611" s="1484"/>
      <c r="O611" s="398"/>
    </row>
    <row r="612" spans="1:15" s="487" customFormat="1" ht="15.75" customHeight="1">
      <c r="A612" s="398"/>
      <c r="B612" s="398"/>
      <c r="C612" s="398"/>
      <c r="D612" s="398"/>
      <c r="E612" s="398"/>
      <c r="F612" s="398"/>
      <c r="G612" s="398"/>
      <c r="H612" s="398"/>
      <c r="I612" s="398"/>
      <c r="J612" s="398"/>
      <c r="K612" s="398"/>
      <c r="L612" s="398"/>
      <c r="M612" s="398"/>
      <c r="N612" s="1484"/>
      <c r="O612" s="398"/>
    </row>
    <row r="613" spans="1:15" s="487" customFormat="1" ht="15.75" customHeight="1">
      <c r="A613" s="398"/>
      <c r="B613" s="398"/>
      <c r="C613" s="398"/>
      <c r="D613" s="398"/>
      <c r="E613" s="398"/>
      <c r="F613" s="398"/>
      <c r="G613" s="398"/>
      <c r="H613" s="398"/>
      <c r="I613" s="398"/>
      <c r="J613" s="398"/>
      <c r="K613" s="398"/>
      <c r="L613" s="398"/>
      <c r="M613" s="398"/>
      <c r="N613" s="1484"/>
      <c r="O613" s="398"/>
    </row>
    <row r="614" spans="1:15" s="487" customFormat="1" ht="15.75" customHeight="1">
      <c r="A614" s="398"/>
      <c r="B614" s="398"/>
      <c r="C614" s="398"/>
      <c r="D614" s="398"/>
      <c r="E614" s="398"/>
      <c r="F614" s="398"/>
      <c r="G614" s="398"/>
      <c r="H614" s="398"/>
      <c r="I614" s="398"/>
      <c r="J614" s="398"/>
      <c r="K614" s="398"/>
      <c r="L614" s="398"/>
      <c r="M614" s="398"/>
      <c r="N614" s="1484"/>
      <c r="O614" s="398"/>
    </row>
    <row r="615" spans="1:15" s="487" customFormat="1" ht="15.75" customHeight="1">
      <c r="A615" s="398"/>
      <c r="B615" s="398"/>
      <c r="C615" s="398"/>
      <c r="D615" s="398"/>
      <c r="E615" s="398"/>
      <c r="F615" s="398"/>
      <c r="G615" s="398"/>
      <c r="H615" s="398"/>
      <c r="I615" s="398"/>
      <c r="J615" s="398"/>
      <c r="K615" s="398"/>
      <c r="L615" s="398"/>
      <c r="M615" s="398"/>
      <c r="N615" s="1484"/>
      <c r="O615" s="398"/>
    </row>
    <row r="616" spans="1:15" s="487" customFormat="1" ht="15.75" customHeight="1">
      <c r="A616" s="398"/>
      <c r="B616" s="398"/>
      <c r="C616" s="398"/>
      <c r="D616" s="398"/>
      <c r="E616" s="398"/>
      <c r="F616" s="398"/>
      <c r="G616" s="398"/>
      <c r="H616" s="398"/>
      <c r="I616" s="398"/>
      <c r="J616" s="398"/>
      <c r="K616" s="398"/>
      <c r="L616" s="398"/>
      <c r="M616" s="398"/>
      <c r="N616" s="1484"/>
      <c r="O616" s="398"/>
    </row>
    <row r="617" spans="1:15" s="487" customFormat="1" ht="15.75" customHeight="1">
      <c r="A617" s="398"/>
      <c r="B617" s="398"/>
      <c r="C617" s="398"/>
      <c r="D617" s="398"/>
      <c r="E617" s="398"/>
      <c r="F617" s="398"/>
      <c r="G617" s="398"/>
      <c r="H617" s="398"/>
      <c r="I617" s="398"/>
      <c r="J617" s="398"/>
      <c r="K617" s="398"/>
      <c r="L617" s="398"/>
      <c r="M617" s="398"/>
      <c r="N617" s="1484"/>
      <c r="O617" s="398"/>
    </row>
    <row r="618" spans="1:15" s="487" customFormat="1" ht="15.75" customHeight="1">
      <c r="A618" s="398"/>
      <c r="B618" s="398"/>
      <c r="C618" s="398"/>
      <c r="D618" s="398"/>
      <c r="E618" s="398"/>
      <c r="F618" s="398"/>
      <c r="G618" s="398"/>
      <c r="H618" s="398"/>
      <c r="I618" s="398"/>
      <c r="J618" s="398"/>
      <c r="K618" s="398"/>
      <c r="L618" s="398"/>
      <c r="M618" s="398"/>
      <c r="N618" s="1484"/>
      <c r="O618" s="398"/>
    </row>
    <row r="619" spans="1:15" s="487" customFormat="1" ht="15.75" customHeight="1">
      <c r="A619" s="398"/>
      <c r="B619" s="398"/>
      <c r="C619" s="398"/>
      <c r="D619" s="398"/>
      <c r="E619" s="398"/>
      <c r="F619" s="398"/>
      <c r="G619" s="398"/>
      <c r="H619" s="398"/>
      <c r="I619" s="398"/>
      <c r="J619" s="398"/>
      <c r="K619" s="398"/>
      <c r="L619" s="398"/>
      <c r="M619" s="398"/>
      <c r="N619" s="1484"/>
      <c r="O619" s="398"/>
    </row>
    <row r="620" spans="1:15" s="487" customFormat="1" ht="15.75" customHeight="1">
      <c r="A620" s="398"/>
      <c r="B620" s="398"/>
      <c r="C620" s="398"/>
      <c r="D620" s="398"/>
      <c r="E620" s="398"/>
      <c r="F620" s="398"/>
      <c r="G620" s="398"/>
      <c r="H620" s="398"/>
      <c r="I620" s="398"/>
      <c r="J620" s="398"/>
      <c r="K620" s="398"/>
      <c r="L620" s="398"/>
      <c r="M620" s="398"/>
      <c r="N620" s="1484"/>
      <c r="O620" s="398"/>
    </row>
    <row r="621" spans="1:15" s="487" customFormat="1" ht="15.75" customHeight="1">
      <c r="A621" s="398"/>
      <c r="B621" s="398"/>
      <c r="C621" s="398"/>
      <c r="D621" s="398"/>
      <c r="E621" s="398"/>
      <c r="F621" s="398"/>
      <c r="G621" s="398"/>
      <c r="H621" s="398"/>
      <c r="I621" s="398"/>
      <c r="J621" s="398"/>
      <c r="K621" s="398"/>
      <c r="L621" s="398"/>
      <c r="M621" s="398"/>
      <c r="N621" s="1484"/>
      <c r="O621" s="398"/>
    </row>
    <row r="622" spans="1:15" s="487" customFormat="1" ht="15.75" customHeight="1">
      <c r="A622" s="398"/>
      <c r="B622" s="398"/>
      <c r="C622" s="398"/>
      <c r="D622" s="398"/>
      <c r="E622" s="398"/>
      <c r="F622" s="398"/>
      <c r="G622" s="398"/>
      <c r="H622" s="398"/>
      <c r="I622" s="398"/>
      <c r="J622" s="398"/>
      <c r="K622" s="398"/>
      <c r="L622" s="398"/>
      <c r="M622" s="398"/>
      <c r="N622" s="1484"/>
      <c r="O622" s="398"/>
    </row>
    <row r="623" spans="1:15" s="487" customFormat="1" ht="15.75" customHeight="1">
      <c r="A623" s="398"/>
      <c r="B623" s="398"/>
      <c r="C623" s="398"/>
      <c r="D623" s="398"/>
      <c r="E623" s="398"/>
      <c r="F623" s="398"/>
      <c r="G623" s="398"/>
      <c r="H623" s="398"/>
      <c r="I623" s="398"/>
      <c r="J623" s="398"/>
      <c r="K623" s="398"/>
      <c r="L623" s="398"/>
      <c r="M623" s="398"/>
      <c r="N623" s="1484"/>
      <c r="O623" s="398"/>
    </row>
    <row r="624" spans="1:15" s="487" customFormat="1" ht="15.75" customHeight="1">
      <c r="A624" s="398"/>
      <c r="B624" s="398"/>
      <c r="C624" s="398"/>
      <c r="D624" s="398"/>
      <c r="E624" s="398"/>
      <c r="F624" s="398"/>
      <c r="G624" s="398"/>
      <c r="H624" s="398"/>
      <c r="I624" s="398"/>
      <c r="J624" s="398"/>
      <c r="K624" s="398"/>
      <c r="L624" s="398"/>
      <c r="M624" s="398"/>
      <c r="N624" s="1484"/>
      <c r="O624" s="398"/>
    </row>
    <row r="625" spans="1:15" s="487" customFormat="1" ht="15.75" customHeight="1">
      <c r="A625" s="398"/>
      <c r="B625" s="398"/>
      <c r="C625" s="398"/>
      <c r="D625" s="398"/>
      <c r="E625" s="398"/>
      <c r="F625" s="398"/>
      <c r="G625" s="398"/>
      <c r="H625" s="398"/>
      <c r="I625" s="398"/>
      <c r="J625" s="398"/>
      <c r="K625" s="398"/>
      <c r="L625" s="398"/>
      <c r="M625" s="398"/>
      <c r="N625" s="1484"/>
      <c r="O625" s="398"/>
    </row>
    <row r="626" spans="1:15" s="487" customFormat="1" ht="15.75" customHeight="1">
      <c r="A626" s="398"/>
      <c r="B626" s="398"/>
      <c r="C626" s="398"/>
      <c r="D626" s="398"/>
      <c r="E626" s="398"/>
      <c r="F626" s="398"/>
      <c r="G626" s="398"/>
      <c r="H626" s="398"/>
      <c r="I626" s="398"/>
      <c r="J626" s="398"/>
      <c r="K626" s="398"/>
      <c r="L626" s="398"/>
      <c r="M626" s="398"/>
      <c r="N626" s="1484"/>
      <c r="O626" s="398"/>
    </row>
    <row r="627" spans="1:15" s="487" customFormat="1" ht="15.75" customHeight="1">
      <c r="A627" s="398"/>
      <c r="B627" s="398"/>
      <c r="C627" s="398"/>
      <c r="D627" s="398"/>
      <c r="E627" s="398"/>
      <c r="F627" s="398"/>
      <c r="G627" s="398"/>
      <c r="H627" s="398"/>
      <c r="I627" s="398"/>
      <c r="J627" s="398"/>
      <c r="K627" s="398"/>
      <c r="L627" s="398"/>
      <c r="M627" s="398"/>
      <c r="N627" s="1484"/>
      <c r="O627" s="398"/>
    </row>
    <row r="628" spans="1:15" s="487" customFormat="1" ht="15.75" customHeight="1">
      <c r="A628" s="398"/>
      <c r="B628" s="398"/>
      <c r="C628" s="398"/>
      <c r="D628" s="398"/>
      <c r="E628" s="398"/>
      <c r="F628" s="398"/>
      <c r="G628" s="398"/>
      <c r="H628" s="398"/>
      <c r="I628" s="398"/>
      <c r="J628" s="398"/>
      <c r="K628" s="398"/>
      <c r="L628" s="398"/>
      <c r="M628" s="398"/>
      <c r="N628" s="1484"/>
      <c r="O628" s="398"/>
    </row>
    <row r="629" spans="1:15" s="487" customFormat="1" ht="15.75" customHeight="1">
      <c r="A629" s="398"/>
      <c r="B629" s="398"/>
      <c r="C629" s="398"/>
      <c r="D629" s="398"/>
      <c r="E629" s="398"/>
      <c r="F629" s="398"/>
      <c r="G629" s="398"/>
      <c r="H629" s="398"/>
      <c r="I629" s="398"/>
      <c r="J629" s="398"/>
      <c r="K629" s="398"/>
      <c r="L629" s="398"/>
      <c r="M629" s="398"/>
      <c r="N629" s="1484"/>
      <c r="O629" s="398"/>
    </row>
    <row r="630" spans="1:15" s="487" customFormat="1" ht="15.75" customHeight="1">
      <c r="A630" s="398"/>
      <c r="B630" s="398"/>
      <c r="C630" s="398"/>
      <c r="D630" s="398"/>
      <c r="E630" s="398"/>
      <c r="F630" s="398"/>
      <c r="G630" s="398"/>
      <c r="H630" s="398"/>
      <c r="I630" s="398"/>
      <c r="J630" s="398"/>
      <c r="K630" s="398"/>
      <c r="L630" s="398"/>
      <c r="M630" s="398"/>
      <c r="N630" s="1484"/>
      <c r="O630" s="398"/>
    </row>
    <row r="631" spans="1:15" s="487" customFormat="1" ht="15.75" customHeight="1">
      <c r="A631" s="398"/>
      <c r="B631" s="398"/>
      <c r="C631" s="398"/>
      <c r="D631" s="398"/>
      <c r="E631" s="398"/>
      <c r="F631" s="398"/>
      <c r="G631" s="398"/>
      <c r="H631" s="398"/>
      <c r="I631" s="398"/>
      <c r="J631" s="398"/>
      <c r="K631" s="398"/>
      <c r="L631" s="398"/>
      <c r="M631" s="398"/>
      <c r="N631" s="1484"/>
      <c r="O631" s="398"/>
    </row>
    <row r="632" spans="1:15" s="487" customFormat="1" ht="15.75" customHeight="1">
      <c r="A632" s="398"/>
      <c r="B632" s="398"/>
      <c r="C632" s="398"/>
      <c r="D632" s="398"/>
      <c r="E632" s="398"/>
      <c r="F632" s="398"/>
      <c r="G632" s="398"/>
      <c r="H632" s="398"/>
      <c r="I632" s="398"/>
      <c r="J632" s="398"/>
      <c r="K632" s="398"/>
      <c r="L632" s="398"/>
      <c r="M632" s="398"/>
      <c r="N632" s="1484"/>
      <c r="O632" s="398"/>
    </row>
    <row r="633" spans="1:15" s="487" customFormat="1" ht="15.75" customHeight="1">
      <c r="A633" s="398"/>
      <c r="B633" s="398"/>
      <c r="C633" s="398"/>
      <c r="D633" s="398"/>
      <c r="E633" s="398"/>
      <c r="F633" s="398"/>
      <c r="G633" s="398"/>
      <c r="H633" s="398"/>
      <c r="I633" s="398"/>
      <c r="J633" s="398"/>
      <c r="K633" s="398"/>
      <c r="L633" s="398"/>
      <c r="M633" s="398"/>
      <c r="N633" s="1484"/>
      <c r="O633" s="398"/>
    </row>
    <row r="634" spans="1:15" s="487" customFormat="1" ht="15.75" customHeight="1">
      <c r="A634" s="398"/>
      <c r="B634" s="398"/>
      <c r="C634" s="398"/>
      <c r="D634" s="398"/>
      <c r="E634" s="398"/>
      <c r="F634" s="398"/>
      <c r="G634" s="398"/>
      <c r="H634" s="398"/>
      <c r="I634" s="398"/>
      <c r="J634" s="398"/>
      <c r="K634" s="398"/>
      <c r="L634" s="398"/>
      <c r="M634" s="398"/>
      <c r="N634" s="1484"/>
      <c r="O634" s="398"/>
    </row>
    <row r="635" spans="1:15" s="487" customFormat="1" ht="15.75" customHeight="1">
      <c r="A635" s="398"/>
      <c r="B635" s="398"/>
      <c r="C635" s="398"/>
      <c r="D635" s="398"/>
      <c r="E635" s="398"/>
      <c r="F635" s="398"/>
      <c r="G635" s="398"/>
      <c r="H635" s="398"/>
      <c r="I635" s="398"/>
      <c r="J635" s="398"/>
      <c r="K635" s="398"/>
      <c r="L635" s="398"/>
      <c r="M635" s="398"/>
      <c r="N635" s="1484"/>
      <c r="O635" s="398"/>
    </row>
    <row r="636" spans="1:15" s="487" customFormat="1" ht="15.75" customHeight="1">
      <c r="A636" s="398"/>
      <c r="B636" s="398"/>
      <c r="C636" s="398"/>
      <c r="D636" s="398"/>
      <c r="E636" s="398"/>
      <c r="F636" s="398"/>
      <c r="G636" s="398"/>
      <c r="H636" s="398"/>
      <c r="I636" s="398"/>
      <c r="J636" s="398"/>
      <c r="K636" s="398"/>
      <c r="L636" s="398"/>
      <c r="M636" s="398"/>
      <c r="N636" s="1484"/>
      <c r="O636" s="398"/>
    </row>
    <row r="637" spans="1:15" s="487" customFormat="1" ht="15.75" customHeight="1">
      <c r="A637" s="398"/>
      <c r="B637" s="398"/>
      <c r="C637" s="398"/>
      <c r="D637" s="398"/>
      <c r="E637" s="398"/>
      <c r="F637" s="398"/>
      <c r="G637" s="398"/>
      <c r="H637" s="398"/>
      <c r="I637" s="398"/>
      <c r="J637" s="398"/>
      <c r="K637" s="398"/>
      <c r="L637" s="398"/>
      <c r="M637" s="398"/>
      <c r="N637" s="1484"/>
      <c r="O637" s="398"/>
    </row>
    <row r="638" spans="1:15" s="487" customFormat="1" ht="15.75" customHeight="1">
      <c r="A638" s="398"/>
      <c r="B638" s="398"/>
      <c r="C638" s="398"/>
      <c r="D638" s="398"/>
      <c r="E638" s="398"/>
      <c r="F638" s="398"/>
      <c r="G638" s="398"/>
      <c r="H638" s="398"/>
      <c r="I638" s="398"/>
      <c r="J638" s="398"/>
      <c r="K638" s="398"/>
      <c r="L638" s="398"/>
      <c r="M638" s="398"/>
      <c r="N638" s="1484"/>
      <c r="O638" s="398"/>
    </row>
    <row r="639" spans="1:15" s="487" customFormat="1" ht="15.75" customHeight="1">
      <c r="A639" s="398"/>
      <c r="B639" s="398"/>
      <c r="C639" s="398"/>
      <c r="D639" s="398"/>
      <c r="E639" s="398"/>
      <c r="F639" s="398"/>
      <c r="G639" s="398"/>
      <c r="H639" s="398"/>
      <c r="I639" s="398"/>
      <c r="J639" s="398"/>
      <c r="K639" s="398"/>
      <c r="L639" s="398"/>
      <c r="M639" s="398"/>
      <c r="N639" s="1484"/>
      <c r="O639" s="398"/>
    </row>
    <row r="640" spans="1:15" s="487" customFormat="1" ht="15.75" customHeight="1">
      <c r="A640" s="398"/>
      <c r="B640" s="398"/>
      <c r="C640" s="398"/>
      <c r="D640" s="398"/>
      <c r="E640" s="398"/>
      <c r="F640" s="398"/>
      <c r="G640" s="398"/>
      <c r="H640" s="398"/>
      <c r="I640" s="398"/>
      <c r="J640" s="398"/>
      <c r="K640" s="398"/>
      <c r="L640" s="398"/>
      <c r="M640" s="398"/>
      <c r="N640" s="1484"/>
      <c r="O640" s="398"/>
    </row>
    <row r="641" spans="1:15" s="487" customFormat="1" ht="15.75" customHeight="1">
      <c r="A641" s="398"/>
      <c r="B641" s="398"/>
      <c r="C641" s="398"/>
      <c r="D641" s="398"/>
      <c r="E641" s="398"/>
      <c r="F641" s="398"/>
      <c r="G641" s="398"/>
      <c r="H641" s="398"/>
      <c r="I641" s="398"/>
      <c r="J641" s="398"/>
      <c r="K641" s="398"/>
      <c r="L641" s="398"/>
      <c r="M641" s="398"/>
      <c r="N641" s="1484"/>
      <c r="O641" s="398"/>
    </row>
    <row r="642" spans="1:15" s="487" customFormat="1" ht="15.75" customHeight="1">
      <c r="A642" s="398"/>
      <c r="B642" s="398"/>
      <c r="C642" s="398"/>
      <c r="D642" s="398"/>
      <c r="E642" s="398"/>
      <c r="F642" s="398"/>
      <c r="G642" s="398"/>
      <c r="H642" s="398"/>
      <c r="I642" s="398"/>
      <c r="J642" s="398"/>
      <c r="K642" s="398"/>
      <c r="L642" s="398"/>
      <c r="M642" s="398"/>
      <c r="N642" s="1484"/>
      <c r="O642" s="398"/>
    </row>
    <row r="643" spans="1:15" s="487" customFormat="1" ht="15.75" customHeight="1">
      <c r="A643" s="398"/>
      <c r="B643" s="398"/>
      <c r="C643" s="398"/>
      <c r="D643" s="398"/>
      <c r="E643" s="398"/>
      <c r="F643" s="398"/>
      <c r="G643" s="398"/>
      <c r="H643" s="398"/>
      <c r="I643" s="398"/>
      <c r="J643" s="398"/>
      <c r="K643" s="398"/>
      <c r="L643" s="398"/>
      <c r="M643" s="398"/>
      <c r="N643" s="1484"/>
      <c r="O643" s="398"/>
    </row>
    <row r="644" spans="1:15" s="487" customFormat="1" ht="15.75" customHeight="1">
      <c r="A644" s="398"/>
      <c r="B644" s="398"/>
      <c r="C644" s="398"/>
      <c r="D644" s="398"/>
      <c r="E644" s="398"/>
      <c r="F644" s="398"/>
      <c r="G644" s="398"/>
      <c r="H644" s="398"/>
      <c r="I644" s="398"/>
      <c r="J644" s="398"/>
      <c r="K644" s="398"/>
      <c r="L644" s="398"/>
      <c r="M644" s="398"/>
      <c r="N644" s="1484"/>
      <c r="O644" s="398"/>
    </row>
    <row r="645" spans="1:15" s="487" customFormat="1" ht="15.75" customHeight="1">
      <c r="A645" s="398"/>
      <c r="B645" s="398"/>
      <c r="C645" s="398"/>
      <c r="D645" s="398"/>
      <c r="E645" s="398"/>
      <c r="F645" s="398"/>
      <c r="G645" s="398"/>
      <c r="H645" s="398"/>
      <c r="I645" s="398"/>
      <c r="J645" s="398"/>
      <c r="K645" s="398"/>
      <c r="L645" s="398"/>
      <c r="M645" s="398"/>
      <c r="N645" s="1484"/>
      <c r="O645" s="398"/>
    </row>
    <row r="646" spans="1:15" s="487" customFormat="1" ht="15.75" customHeight="1">
      <c r="A646" s="398"/>
      <c r="B646" s="398"/>
      <c r="C646" s="398"/>
      <c r="D646" s="398"/>
      <c r="E646" s="398"/>
      <c r="F646" s="398"/>
      <c r="G646" s="398"/>
      <c r="H646" s="398"/>
      <c r="I646" s="398"/>
      <c r="J646" s="398"/>
      <c r="K646" s="398"/>
      <c r="L646" s="398"/>
      <c r="M646" s="398"/>
      <c r="N646" s="1484"/>
      <c r="O646" s="398"/>
    </row>
    <row r="647" spans="1:15" s="487" customFormat="1" ht="15.75" customHeight="1">
      <c r="A647" s="398"/>
      <c r="B647" s="398"/>
      <c r="C647" s="398"/>
      <c r="D647" s="398"/>
      <c r="E647" s="398"/>
      <c r="F647" s="398"/>
      <c r="G647" s="398"/>
      <c r="H647" s="398"/>
      <c r="I647" s="398"/>
      <c r="J647" s="398"/>
      <c r="K647" s="398"/>
      <c r="L647" s="398"/>
      <c r="M647" s="398"/>
      <c r="N647" s="1484"/>
      <c r="O647" s="398"/>
    </row>
    <row r="648" spans="1:15" s="487" customFormat="1" ht="15.75" customHeight="1">
      <c r="A648" s="398"/>
      <c r="B648" s="398"/>
      <c r="C648" s="398"/>
      <c r="D648" s="398"/>
      <c r="E648" s="398"/>
      <c r="F648" s="398"/>
      <c r="G648" s="398"/>
      <c r="H648" s="398"/>
      <c r="I648" s="398"/>
      <c r="J648" s="398"/>
      <c r="K648" s="398"/>
      <c r="L648" s="398"/>
      <c r="M648" s="398"/>
      <c r="N648" s="1484"/>
      <c r="O648" s="398"/>
    </row>
    <row r="649" spans="1:15" s="487" customFormat="1" ht="15.75" customHeight="1">
      <c r="A649" s="398"/>
      <c r="B649" s="398"/>
      <c r="C649" s="398"/>
      <c r="D649" s="398"/>
      <c r="E649" s="398"/>
      <c r="F649" s="398"/>
      <c r="G649" s="398"/>
      <c r="H649" s="398"/>
      <c r="I649" s="398"/>
      <c r="J649" s="398"/>
      <c r="K649" s="398"/>
      <c r="L649" s="398"/>
      <c r="M649" s="398"/>
      <c r="N649" s="1484"/>
      <c r="O649" s="398"/>
    </row>
    <row r="650" spans="1:15" s="487" customFormat="1" ht="15.75" customHeight="1">
      <c r="A650" s="398"/>
      <c r="B650" s="398"/>
      <c r="C650" s="398"/>
      <c r="D650" s="398"/>
      <c r="E650" s="398"/>
      <c r="F650" s="398"/>
      <c r="G650" s="398"/>
      <c r="H650" s="398"/>
      <c r="I650" s="398"/>
      <c r="J650" s="398"/>
      <c r="K650" s="398"/>
      <c r="L650" s="398"/>
      <c r="M650" s="398"/>
      <c r="N650" s="1484"/>
      <c r="O650" s="398"/>
    </row>
    <row r="651" spans="1:15" s="487" customFormat="1" ht="15.75" customHeight="1">
      <c r="A651" s="398"/>
      <c r="B651" s="398"/>
      <c r="C651" s="398"/>
      <c r="D651" s="398"/>
      <c r="E651" s="398"/>
      <c r="F651" s="398"/>
      <c r="G651" s="398"/>
      <c r="H651" s="398"/>
      <c r="I651" s="398"/>
      <c r="J651" s="398"/>
      <c r="K651" s="398"/>
      <c r="L651" s="398"/>
      <c r="M651" s="398"/>
      <c r="N651" s="1484"/>
      <c r="O651" s="398"/>
    </row>
    <row r="652" spans="1:15" s="487" customFormat="1" ht="15.75" customHeight="1">
      <c r="A652" s="398"/>
      <c r="B652" s="398"/>
      <c r="C652" s="398"/>
      <c r="D652" s="398"/>
      <c r="E652" s="398"/>
      <c r="F652" s="398"/>
      <c r="G652" s="398"/>
      <c r="H652" s="398"/>
      <c r="I652" s="398"/>
      <c r="J652" s="398"/>
      <c r="K652" s="398"/>
      <c r="L652" s="398"/>
      <c r="M652" s="398"/>
      <c r="N652" s="1484"/>
      <c r="O652" s="398"/>
    </row>
    <row r="653" spans="1:15" s="487" customFormat="1" ht="15.75" customHeight="1">
      <c r="A653" s="398"/>
      <c r="B653" s="398"/>
      <c r="C653" s="398"/>
      <c r="D653" s="398"/>
      <c r="E653" s="398"/>
      <c r="F653" s="398"/>
      <c r="G653" s="398"/>
      <c r="H653" s="398"/>
      <c r="I653" s="398"/>
      <c r="J653" s="398"/>
      <c r="K653" s="398"/>
      <c r="L653" s="398"/>
      <c r="M653" s="398"/>
      <c r="N653" s="1484"/>
      <c r="O653" s="398"/>
    </row>
    <row r="654" spans="1:15" s="487" customFormat="1" ht="15.75" customHeight="1">
      <c r="A654" s="398"/>
      <c r="B654" s="398"/>
      <c r="C654" s="398"/>
      <c r="D654" s="398"/>
      <c r="E654" s="398"/>
      <c r="F654" s="398"/>
      <c r="G654" s="398"/>
      <c r="H654" s="398"/>
      <c r="I654" s="398"/>
      <c r="J654" s="398"/>
      <c r="K654" s="398"/>
      <c r="L654" s="398"/>
      <c r="M654" s="398"/>
      <c r="N654" s="1484"/>
      <c r="O654" s="398"/>
    </row>
    <row r="655" spans="1:15" s="487" customFormat="1" ht="15.75" customHeight="1">
      <c r="A655" s="398"/>
      <c r="B655" s="398"/>
      <c r="C655" s="398"/>
      <c r="D655" s="398"/>
      <c r="E655" s="398"/>
      <c r="F655" s="398"/>
      <c r="G655" s="398"/>
      <c r="H655" s="398"/>
      <c r="I655" s="398"/>
      <c r="J655" s="398"/>
      <c r="K655" s="398"/>
      <c r="L655" s="398"/>
      <c r="M655" s="398"/>
      <c r="N655" s="1484"/>
      <c r="O655" s="398"/>
    </row>
    <row r="656" spans="1:15" s="487" customFormat="1" ht="15.75" customHeight="1">
      <c r="A656" s="398"/>
      <c r="B656" s="398"/>
      <c r="C656" s="398"/>
      <c r="D656" s="398"/>
      <c r="E656" s="398"/>
      <c r="F656" s="398"/>
      <c r="G656" s="398"/>
      <c r="H656" s="398"/>
      <c r="I656" s="398"/>
      <c r="J656" s="398"/>
      <c r="K656" s="398"/>
      <c r="L656" s="398"/>
      <c r="M656" s="398"/>
      <c r="N656" s="1484"/>
      <c r="O656" s="398"/>
    </row>
    <row r="657" spans="1:15" s="487" customFormat="1" ht="15.75" customHeight="1">
      <c r="A657" s="398"/>
      <c r="B657" s="398"/>
      <c r="C657" s="398"/>
      <c r="D657" s="398"/>
      <c r="E657" s="398"/>
      <c r="F657" s="398"/>
      <c r="G657" s="398"/>
      <c r="H657" s="398"/>
      <c r="I657" s="398"/>
      <c r="J657" s="398"/>
      <c r="K657" s="398"/>
      <c r="L657" s="398"/>
      <c r="M657" s="398"/>
      <c r="N657" s="1484"/>
      <c r="O657" s="398"/>
    </row>
    <row r="658" spans="1:15" s="487" customFormat="1" ht="15.75" customHeight="1">
      <c r="A658" s="398"/>
      <c r="B658" s="398"/>
      <c r="C658" s="398"/>
      <c r="D658" s="398"/>
      <c r="E658" s="398"/>
      <c r="F658" s="398"/>
      <c r="G658" s="398"/>
      <c r="H658" s="398"/>
      <c r="I658" s="398"/>
      <c r="J658" s="398"/>
      <c r="K658" s="398"/>
      <c r="L658" s="398"/>
      <c r="M658" s="398"/>
      <c r="N658" s="1484"/>
      <c r="O658" s="398"/>
    </row>
    <row r="659" spans="1:15" s="487" customFormat="1" ht="15.75" customHeight="1">
      <c r="A659" s="398"/>
      <c r="B659" s="398"/>
      <c r="C659" s="398"/>
      <c r="D659" s="398"/>
      <c r="E659" s="398"/>
      <c r="F659" s="398"/>
      <c r="G659" s="398"/>
      <c r="H659" s="398"/>
      <c r="I659" s="398"/>
      <c r="J659" s="398"/>
      <c r="K659" s="398"/>
      <c r="L659" s="398"/>
      <c r="M659" s="398"/>
      <c r="N659" s="1484"/>
      <c r="O659" s="398"/>
    </row>
    <row r="660" spans="1:15" s="487" customFormat="1" ht="15.75" customHeight="1">
      <c r="A660" s="398"/>
      <c r="B660" s="398"/>
      <c r="C660" s="398"/>
      <c r="D660" s="398"/>
      <c r="E660" s="398"/>
      <c r="F660" s="398"/>
      <c r="G660" s="398"/>
      <c r="H660" s="398"/>
      <c r="I660" s="398"/>
      <c r="J660" s="398"/>
      <c r="K660" s="398"/>
      <c r="L660" s="398"/>
      <c r="M660" s="398"/>
      <c r="N660" s="1484"/>
      <c r="O660" s="398"/>
    </row>
    <row r="661" spans="1:15" s="487" customFormat="1" ht="15.75" customHeight="1">
      <c r="A661" s="398"/>
      <c r="B661" s="398"/>
      <c r="C661" s="398"/>
      <c r="D661" s="398"/>
      <c r="E661" s="398"/>
      <c r="F661" s="398"/>
      <c r="G661" s="398"/>
      <c r="H661" s="398"/>
      <c r="I661" s="398"/>
      <c r="J661" s="398"/>
      <c r="K661" s="398"/>
      <c r="L661" s="398"/>
      <c r="M661" s="398"/>
      <c r="N661" s="1484"/>
      <c r="O661" s="398"/>
    </row>
    <row r="662" spans="1:15" s="487" customFormat="1" ht="15.75" customHeight="1">
      <c r="A662" s="398"/>
      <c r="B662" s="398"/>
      <c r="C662" s="398"/>
      <c r="D662" s="398"/>
      <c r="E662" s="398"/>
      <c r="F662" s="398"/>
      <c r="G662" s="398"/>
      <c r="H662" s="398"/>
      <c r="I662" s="398"/>
      <c r="J662" s="398"/>
      <c r="K662" s="398"/>
      <c r="L662" s="398"/>
      <c r="M662" s="398"/>
      <c r="N662" s="1484"/>
      <c r="O662" s="398"/>
    </row>
    <row r="663" spans="1:15" s="487" customFormat="1" ht="15.75" customHeight="1">
      <c r="A663" s="398"/>
      <c r="B663" s="398"/>
      <c r="C663" s="398"/>
      <c r="D663" s="398"/>
      <c r="E663" s="398"/>
      <c r="F663" s="398"/>
      <c r="G663" s="398"/>
      <c r="H663" s="398"/>
      <c r="I663" s="398"/>
      <c r="J663" s="398"/>
      <c r="K663" s="398"/>
      <c r="L663" s="398"/>
      <c r="M663" s="398"/>
      <c r="N663" s="1484"/>
      <c r="O663" s="398"/>
    </row>
    <row r="664" spans="1:15" s="487" customFormat="1" ht="15.75" customHeight="1">
      <c r="A664" s="398"/>
      <c r="B664" s="398"/>
      <c r="C664" s="398"/>
      <c r="D664" s="398"/>
      <c r="E664" s="398"/>
      <c r="F664" s="398"/>
      <c r="G664" s="398"/>
      <c r="H664" s="398"/>
      <c r="I664" s="398"/>
      <c r="J664" s="398"/>
      <c r="K664" s="398"/>
      <c r="L664" s="398"/>
      <c r="M664" s="398"/>
      <c r="N664" s="1484"/>
      <c r="O664" s="398"/>
    </row>
    <row r="665" spans="1:15" s="487" customFormat="1" ht="15.75" customHeight="1">
      <c r="A665" s="398"/>
      <c r="B665" s="398"/>
      <c r="C665" s="398"/>
      <c r="D665" s="398"/>
      <c r="E665" s="398"/>
      <c r="F665" s="398"/>
      <c r="G665" s="398"/>
      <c r="H665" s="398"/>
      <c r="I665" s="398"/>
      <c r="J665" s="398"/>
      <c r="K665" s="398"/>
      <c r="L665" s="398"/>
      <c r="M665" s="398"/>
      <c r="N665" s="1484"/>
      <c r="O665" s="398"/>
    </row>
    <row r="666" spans="1:15" s="487" customFormat="1" ht="15.75" customHeight="1">
      <c r="A666" s="398"/>
      <c r="B666" s="398"/>
      <c r="C666" s="398"/>
      <c r="D666" s="398"/>
      <c r="E666" s="398"/>
      <c r="F666" s="398"/>
      <c r="G666" s="398"/>
      <c r="H666" s="398"/>
      <c r="I666" s="398"/>
      <c r="J666" s="398"/>
      <c r="K666" s="398"/>
      <c r="L666" s="398"/>
      <c r="M666" s="398"/>
      <c r="N666" s="1484"/>
      <c r="O666" s="398"/>
    </row>
    <row r="667" spans="1:15" s="487" customFormat="1" ht="15.75" customHeight="1">
      <c r="A667" s="398"/>
      <c r="B667" s="398"/>
      <c r="C667" s="398"/>
      <c r="D667" s="398"/>
      <c r="E667" s="398"/>
      <c r="F667" s="398"/>
      <c r="G667" s="398"/>
      <c r="H667" s="398"/>
      <c r="I667" s="398"/>
      <c r="J667" s="398"/>
      <c r="K667" s="398"/>
      <c r="L667" s="398"/>
      <c r="M667" s="398"/>
      <c r="N667" s="1484"/>
      <c r="O667" s="398"/>
    </row>
    <row r="668" spans="1:15" s="487" customFormat="1" ht="15.75" customHeight="1">
      <c r="A668" s="398"/>
      <c r="B668" s="398"/>
      <c r="C668" s="398"/>
      <c r="D668" s="398"/>
      <c r="E668" s="398"/>
      <c r="F668" s="398"/>
      <c r="G668" s="398"/>
      <c r="H668" s="398"/>
      <c r="I668" s="398"/>
      <c r="J668" s="398"/>
      <c r="K668" s="398"/>
      <c r="L668" s="398"/>
      <c r="M668" s="398"/>
      <c r="N668" s="1484"/>
      <c r="O668" s="398"/>
    </row>
    <row r="669" spans="1:15" s="487" customFormat="1" ht="15.75" customHeight="1">
      <c r="A669" s="398"/>
      <c r="B669" s="398"/>
      <c r="C669" s="398"/>
      <c r="D669" s="398"/>
      <c r="E669" s="398"/>
      <c r="F669" s="398"/>
      <c r="G669" s="398"/>
      <c r="H669" s="398"/>
      <c r="I669" s="398"/>
      <c r="J669" s="398"/>
      <c r="K669" s="398"/>
      <c r="L669" s="398"/>
      <c r="M669" s="398"/>
      <c r="N669" s="1484"/>
      <c r="O669" s="398"/>
    </row>
    <row r="670" spans="1:15" s="487" customFormat="1" ht="15.75" customHeight="1">
      <c r="A670" s="398"/>
      <c r="B670" s="398"/>
      <c r="C670" s="398"/>
      <c r="D670" s="398"/>
      <c r="E670" s="398"/>
      <c r="F670" s="398"/>
      <c r="G670" s="398"/>
      <c r="H670" s="398"/>
      <c r="I670" s="398"/>
      <c r="J670" s="398"/>
      <c r="K670" s="398"/>
      <c r="L670" s="398"/>
      <c r="M670" s="398"/>
      <c r="N670" s="1484"/>
      <c r="O670" s="398"/>
    </row>
    <row r="671" spans="1:15" s="487" customFormat="1" ht="15.75" customHeight="1">
      <c r="A671" s="398"/>
      <c r="B671" s="398"/>
      <c r="C671" s="398"/>
      <c r="D671" s="398"/>
      <c r="E671" s="398"/>
      <c r="F671" s="398"/>
      <c r="G671" s="398"/>
      <c r="H671" s="398"/>
      <c r="I671" s="398"/>
      <c r="J671" s="398"/>
      <c r="K671" s="398"/>
      <c r="L671" s="398"/>
      <c r="M671" s="398"/>
      <c r="N671" s="1484"/>
      <c r="O671" s="398"/>
    </row>
    <row r="672" spans="1:15" s="487" customFormat="1" ht="15.75" customHeight="1">
      <c r="A672" s="398"/>
      <c r="B672" s="398"/>
      <c r="C672" s="398"/>
      <c r="D672" s="398"/>
      <c r="E672" s="398"/>
      <c r="F672" s="398"/>
      <c r="G672" s="398"/>
      <c r="H672" s="398"/>
      <c r="I672" s="398"/>
      <c r="J672" s="398"/>
      <c r="K672" s="398"/>
      <c r="L672" s="398"/>
      <c r="M672" s="398"/>
      <c r="N672" s="1484"/>
      <c r="O672" s="398"/>
    </row>
    <row r="673" spans="1:15" s="487" customFormat="1" ht="15.75" customHeight="1">
      <c r="A673" s="398"/>
      <c r="B673" s="398"/>
      <c r="C673" s="398"/>
      <c r="D673" s="398"/>
      <c r="E673" s="398"/>
      <c r="F673" s="398"/>
      <c r="G673" s="398"/>
      <c r="H673" s="398"/>
      <c r="I673" s="398"/>
      <c r="J673" s="398"/>
      <c r="K673" s="398"/>
      <c r="L673" s="398"/>
      <c r="M673" s="398"/>
      <c r="N673" s="1484"/>
      <c r="O673" s="398"/>
    </row>
    <row r="674" spans="1:15" s="487" customFormat="1" ht="15.75" customHeight="1">
      <c r="A674" s="398"/>
      <c r="B674" s="398"/>
      <c r="C674" s="398"/>
      <c r="D674" s="398"/>
      <c r="E674" s="398"/>
      <c r="F674" s="398"/>
      <c r="G674" s="398"/>
      <c r="H674" s="398"/>
      <c r="I674" s="398"/>
      <c r="J674" s="398"/>
      <c r="K674" s="398"/>
      <c r="L674" s="398"/>
      <c r="M674" s="398"/>
      <c r="N674" s="1484"/>
      <c r="O674" s="398"/>
    </row>
    <row r="675" spans="1:15" s="487" customFormat="1" ht="15.75" customHeight="1">
      <c r="A675" s="398"/>
      <c r="B675" s="398"/>
      <c r="C675" s="398"/>
      <c r="D675" s="398"/>
      <c r="E675" s="398"/>
      <c r="F675" s="398"/>
      <c r="G675" s="398"/>
      <c r="H675" s="398"/>
      <c r="I675" s="398"/>
      <c r="J675" s="398"/>
      <c r="K675" s="398"/>
      <c r="L675" s="398"/>
      <c r="M675" s="398"/>
      <c r="N675" s="1484"/>
      <c r="O675" s="398"/>
    </row>
    <row r="676" spans="1:15" s="487" customFormat="1" ht="15.75" customHeight="1">
      <c r="A676" s="398"/>
      <c r="B676" s="398"/>
      <c r="C676" s="398"/>
      <c r="D676" s="398"/>
      <c r="E676" s="398"/>
      <c r="F676" s="398"/>
      <c r="G676" s="398"/>
      <c r="H676" s="398"/>
      <c r="I676" s="398"/>
      <c r="J676" s="398"/>
      <c r="K676" s="398"/>
      <c r="L676" s="398"/>
      <c r="M676" s="398"/>
      <c r="N676" s="1484"/>
      <c r="O676" s="398"/>
    </row>
    <row r="677" spans="1:15" s="487" customFormat="1" ht="15.75" customHeight="1">
      <c r="A677" s="398"/>
      <c r="B677" s="398"/>
      <c r="C677" s="398"/>
      <c r="D677" s="398"/>
      <c r="E677" s="398"/>
      <c r="F677" s="398"/>
      <c r="G677" s="398"/>
      <c r="H677" s="398"/>
      <c r="I677" s="398"/>
      <c r="J677" s="398"/>
      <c r="K677" s="398"/>
      <c r="L677" s="398"/>
      <c r="M677" s="398"/>
      <c r="N677" s="1484"/>
      <c r="O677" s="398"/>
    </row>
    <row r="678" spans="1:15" s="487" customFormat="1" ht="15.75" customHeight="1">
      <c r="A678" s="398"/>
      <c r="B678" s="398"/>
      <c r="C678" s="398"/>
      <c r="D678" s="398"/>
      <c r="E678" s="398"/>
      <c r="F678" s="398"/>
      <c r="G678" s="398"/>
      <c r="H678" s="398"/>
      <c r="I678" s="398"/>
      <c r="J678" s="398"/>
      <c r="K678" s="398"/>
      <c r="L678" s="398"/>
      <c r="M678" s="398"/>
      <c r="N678" s="1484"/>
      <c r="O678" s="398"/>
    </row>
    <row r="679" spans="1:15" s="487" customFormat="1" ht="15.75" customHeight="1">
      <c r="A679" s="398"/>
      <c r="B679" s="398"/>
      <c r="C679" s="398"/>
      <c r="D679" s="398"/>
      <c r="E679" s="398"/>
      <c r="F679" s="398"/>
      <c r="G679" s="398"/>
      <c r="H679" s="398"/>
      <c r="I679" s="398"/>
      <c r="J679" s="398"/>
      <c r="K679" s="398"/>
      <c r="L679" s="398"/>
      <c r="M679" s="398"/>
      <c r="N679" s="1484"/>
      <c r="O679" s="398"/>
    </row>
    <row r="680" spans="1:15" s="487" customFormat="1" ht="15.75" customHeight="1">
      <c r="A680" s="398"/>
      <c r="B680" s="398"/>
      <c r="C680" s="398"/>
      <c r="D680" s="398"/>
      <c r="E680" s="398"/>
      <c r="F680" s="398"/>
      <c r="G680" s="398"/>
      <c r="H680" s="398"/>
      <c r="I680" s="398"/>
      <c r="J680" s="398"/>
      <c r="K680" s="398"/>
      <c r="L680" s="398"/>
      <c r="M680" s="398"/>
      <c r="N680" s="1484"/>
      <c r="O680" s="398"/>
    </row>
    <row r="681" spans="1:15" s="487" customFormat="1" ht="15.75" customHeight="1">
      <c r="A681" s="398"/>
      <c r="B681" s="398"/>
      <c r="C681" s="398"/>
      <c r="D681" s="398"/>
      <c r="E681" s="398"/>
      <c r="F681" s="398"/>
      <c r="G681" s="398"/>
      <c r="H681" s="398"/>
      <c r="I681" s="398"/>
      <c r="J681" s="398"/>
      <c r="K681" s="398"/>
      <c r="L681" s="398"/>
      <c r="M681" s="398"/>
      <c r="N681" s="1484"/>
      <c r="O681" s="398"/>
    </row>
    <row r="682" spans="1:15" s="487" customFormat="1" ht="15.75" customHeight="1">
      <c r="A682" s="398"/>
      <c r="B682" s="398"/>
      <c r="C682" s="398"/>
      <c r="D682" s="398"/>
      <c r="E682" s="398"/>
      <c r="F682" s="398"/>
      <c r="G682" s="398"/>
      <c r="H682" s="398"/>
      <c r="I682" s="398"/>
      <c r="J682" s="398"/>
      <c r="K682" s="398"/>
      <c r="L682" s="398"/>
      <c r="M682" s="398"/>
      <c r="N682" s="1484"/>
      <c r="O682" s="398"/>
    </row>
    <row r="683" spans="1:15" s="487" customFormat="1" ht="15.75" customHeight="1">
      <c r="A683" s="398"/>
      <c r="B683" s="398"/>
      <c r="C683" s="398"/>
      <c r="D683" s="398"/>
      <c r="E683" s="398"/>
      <c r="F683" s="398"/>
      <c r="G683" s="398"/>
      <c r="H683" s="398"/>
      <c r="I683" s="398"/>
      <c r="J683" s="398"/>
      <c r="K683" s="398"/>
      <c r="L683" s="398"/>
      <c r="M683" s="398"/>
      <c r="N683" s="1484"/>
      <c r="O683" s="398"/>
    </row>
    <row r="684" spans="1:15" s="487" customFormat="1" ht="15.75" customHeight="1">
      <c r="A684" s="398"/>
      <c r="B684" s="398"/>
      <c r="C684" s="398"/>
      <c r="D684" s="398"/>
      <c r="E684" s="398"/>
      <c r="F684" s="398"/>
      <c r="G684" s="398"/>
      <c r="H684" s="398"/>
      <c r="I684" s="398"/>
      <c r="J684" s="398"/>
      <c r="K684" s="398"/>
      <c r="L684" s="398"/>
      <c r="M684" s="398"/>
      <c r="N684" s="1484"/>
      <c r="O684" s="398"/>
    </row>
    <row r="685" spans="1:15" s="487" customFormat="1" ht="15.75" customHeight="1">
      <c r="A685" s="398"/>
      <c r="B685" s="398"/>
      <c r="C685" s="398"/>
      <c r="D685" s="398"/>
      <c r="E685" s="398"/>
      <c r="F685" s="398"/>
      <c r="G685" s="398"/>
      <c r="H685" s="398"/>
      <c r="I685" s="398"/>
      <c r="J685" s="398"/>
      <c r="K685" s="398"/>
      <c r="L685" s="398"/>
      <c r="M685" s="398"/>
      <c r="N685" s="1484"/>
      <c r="O685" s="398"/>
    </row>
    <row r="686" spans="1:15" s="487" customFormat="1" ht="15.75" customHeight="1">
      <c r="A686" s="398"/>
      <c r="B686" s="398"/>
      <c r="C686" s="398"/>
      <c r="D686" s="398"/>
      <c r="E686" s="398"/>
      <c r="F686" s="398"/>
      <c r="G686" s="398"/>
      <c r="H686" s="398"/>
      <c r="I686" s="398"/>
      <c r="J686" s="398"/>
      <c r="K686" s="398"/>
      <c r="L686" s="398"/>
      <c r="M686" s="398"/>
      <c r="N686" s="1484"/>
      <c r="O686" s="398"/>
    </row>
    <row r="687" spans="1:15" s="487" customFormat="1" ht="15.75" customHeight="1">
      <c r="A687" s="398"/>
      <c r="B687" s="398"/>
      <c r="C687" s="398"/>
      <c r="D687" s="398"/>
      <c r="E687" s="398"/>
      <c r="F687" s="398"/>
      <c r="G687" s="398"/>
      <c r="H687" s="398"/>
      <c r="I687" s="398"/>
      <c r="J687" s="398"/>
      <c r="K687" s="398"/>
      <c r="L687" s="398"/>
      <c r="M687" s="398"/>
      <c r="N687" s="1484"/>
      <c r="O687" s="398"/>
    </row>
    <row r="688" spans="1:15" s="487" customFormat="1" ht="15.75" customHeight="1">
      <c r="A688" s="398"/>
      <c r="B688" s="398"/>
      <c r="C688" s="398"/>
      <c r="D688" s="398"/>
      <c r="E688" s="398"/>
      <c r="F688" s="398"/>
      <c r="G688" s="398"/>
      <c r="H688" s="398"/>
      <c r="I688" s="398"/>
      <c r="J688" s="398"/>
      <c r="K688" s="398"/>
      <c r="L688" s="398"/>
      <c r="M688" s="398"/>
      <c r="N688" s="1484"/>
      <c r="O688" s="398"/>
    </row>
    <row r="689" spans="1:15" s="487" customFormat="1" ht="15.75" customHeight="1">
      <c r="A689" s="398"/>
      <c r="B689" s="398"/>
      <c r="C689" s="398"/>
      <c r="D689" s="398"/>
      <c r="E689" s="398"/>
      <c r="F689" s="398"/>
      <c r="G689" s="398"/>
      <c r="H689" s="398"/>
      <c r="I689" s="398"/>
      <c r="J689" s="398"/>
      <c r="K689" s="398"/>
      <c r="L689" s="398"/>
      <c r="M689" s="398"/>
      <c r="N689" s="1484"/>
      <c r="O689" s="398"/>
    </row>
    <row r="690" spans="1:15" s="487" customFormat="1" ht="15.75" customHeight="1">
      <c r="A690" s="398"/>
      <c r="B690" s="398"/>
      <c r="C690" s="398"/>
      <c r="D690" s="398"/>
      <c r="E690" s="398"/>
      <c r="F690" s="398"/>
      <c r="G690" s="398"/>
      <c r="H690" s="398"/>
      <c r="I690" s="398"/>
      <c r="J690" s="398"/>
      <c r="K690" s="398"/>
      <c r="L690" s="398"/>
      <c r="M690" s="398"/>
      <c r="N690" s="1484"/>
      <c r="O690" s="398"/>
    </row>
    <row r="691" spans="1:15" s="487" customFormat="1" ht="15.75" customHeight="1">
      <c r="A691" s="398"/>
      <c r="B691" s="398"/>
      <c r="C691" s="398"/>
      <c r="D691" s="398"/>
      <c r="E691" s="398"/>
      <c r="F691" s="398"/>
      <c r="G691" s="398"/>
      <c r="H691" s="398"/>
      <c r="I691" s="398"/>
      <c r="J691" s="398"/>
      <c r="K691" s="398"/>
      <c r="L691" s="398"/>
      <c r="M691" s="398"/>
      <c r="N691" s="1484"/>
      <c r="O691" s="398"/>
    </row>
    <row r="692" spans="1:15" s="487" customFormat="1" ht="15.75" customHeight="1">
      <c r="A692" s="398"/>
      <c r="B692" s="398"/>
      <c r="C692" s="398"/>
      <c r="D692" s="398"/>
      <c r="E692" s="398"/>
      <c r="F692" s="398"/>
      <c r="G692" s="398"/>
      <c r="H692" s="398"/>
      <c r="I692" s="398"/>
      <c r="J692" s="398"/>
      <c r="K692" s="398"/>
      <c r="L692" s="398"/>
      <c r="M692" s="398"/>
      <c r="N692" s="1484"/>
      <c r="O692" s="398"/>
    </row>
    <row r="693" spans="1:15" s="487" customFormat="1" ht="15.75" customHeight="1">
      <c r="A693" s="398"/>
      <c r="B693" s="398"/>
      <c r="C693" s="398"/>
      <c r="D693" s="398"/>
      <c r="E693" s="398"/>
      <c r="F693" s="398"/>
      <c r="G693" s="398"/>
      <c r="H693" s="398"/>
      <c r="I693" s="398"/>
      <c r="J693" s="398"/>
      <c r="K693" s="398"/>
      <c r="L693" s="398"/>
      <c r="M693" s="398"/>
      <c r="N693" s="1484"/>
      <c r="O693" s="398"/>
    </row>
    <row r="694" spans="1:15" s="487" customFormat="1" ht="15.75" customHeight="1">
      <c r="A694" s="398"/>
      <c r="B694" s="398"/>
      <c r="C694" s="398"/>
      <c r="D694" s="398"/>
      <c r="E694" s="398"/>
      <c r="F694" s="398"/>
      <c r="G694" s="398"/>
      <c r="H694" s="398"/>
      <c r="I694" s="398"/>
      <c r="J694" s="398"/>
      <c r="K694" s="398"/>
      <c r="L694" s="398"/>
      <c r="M694" s="398"/>
      <c r="N694" s="1484"/>
      <c r="O694" s="398"/>
    </row>
    <row r="695" spans="1:15" s="487" customFormat="1" ht="15.75" customHeight="1">
      <c r="A695" s="398"/>
      <c r="B695" s="398"/>
      <c r="C695" s="398"/>
      <c r="D695" s="398"/>
      <c r="E695" s="398"/>
      <c r="F695" s="398"/>
      <c r="G695" s="398"/>
      <c r="H695" s="398"/>
      <c r="I695" s="398"/>
      <c r="J695" s="398"/>
      <c r="K695" s="398"/>
      <c r="L695" s="398"/>
      <c r="M695" s="398"/>
      <c r="N695" s="1484"/>
      <c r="O695" s="398"/>
    </row>
    <row r="696" spans="1:15" s="487" customFormat="1" ht="15.75" customHeight="1">
      <c r="A696" s="398"/>
      <c r="B696" s="398"/>
      <c r="C696" s="398"/>
      <c r="D696" s="398"/>
      <c r="E696" s="398"/>
      <c r="F696" s="398"/>
      <c r="G696" s="398"/>
      <c r="H696" s="398"/>
      <c r="I696" s="398"/>
      <c r="J696" s="398"/>
      <c r="K696" s="398"/>
      <c r="L696" s="398"/>
      <c r="M696" s="398"/>
      <c r="N696" s="1484"/>
      <c r="O696" s="398"/>
    </row>
    <row r="697" spans="1:15" s="487" customFormat="1" ht="15.75" customHeight="1">
      <c r="A697" s="398"/>
      <c r="B697" s="398"/>
      <c r="C697" s="398"/>
      <c r="D697" s="398"/>
      <c r="E697" s="398"/>
      <c r="F697" s="398"/>
      <c r="G697" s="398"/>
      <c r="H697" s="398"/>
      <c r="I697" s="398"/>
      <c r="J697" s="398"/>
      <c r="K697" s="398"/>
      <c r="L697" s="398"/>
      <c r="M697" s="398"/>
      <c r="N697" s="1484"/>
      <c r="O697" s="398"/>
    </row>
    <row r="698" spans="1:15" s="487" customFormat="1" ht="15.75" customHeight="1">
      <c r="A698" s="398"/>
      <c r="B698" s="398"/>
      <c r="C698" s="398"/>
      <c r="D698" s="398"/>
      <c r="E698" s="398"/>
      <c r="F698" s="398"/>
      <c r="G698" s="398"/>
      <c r="H698" s="398"/>
      <c r="I698" s="398"/>
      <c r="J698" s="398"/>
      <c r="K698" s="398"/>
      <c r="L698" s="398"/>
      <c r="M698" s="398"/>
      <c r="N698" s="1484"/>
      <c r="O698" s="398"/>
    </row>
    <row r="699" spans="1:15" s="487" customFormat="1" ht="15.75" customHeight="1">
      <c r="A699" s="398"/>
      <c r="B699" s="398"/>
      <c r="C699" s="398"/>
      <c r="D699" s="398"/>
      <c r="E699" s="398"/>
      <c r="F699" s="398"/>
      <c r="G699" s="398"/>
      <c r="H699" s="398"/>
      <c r="I699" s="398"/>
      <c r="J699" s="398"/>
      <c r="K699" s="398"/>
      <c r="L699" s="398"/>
      <c r="M699" s="398"/>
      <c r="N699" s="1484"/>
      <c r="O699" s="398"/>
    </row>
    <row r="700" spans="1:15" s="487" customFormat="1" ht="15.75" customHeight="1">
      <c r="A700" s="398"/>
      <c r="B700" s="398"/>
      <c r="C700" s="398"/>
      <c r="D700" s="398"/>
      <c r="E700" s="398"/>
      <c r="F700" s="398"/>
      <c r="G700" s="398"/>
      <c r="H700" s="398"/>
      <c r="I700" s="398"/>
      <c r="J700" s="398"/>
      <c r="K700" s="398"/>
      <c r="L700" s="398"/>
      <c r="M700" s="398"/>
      <c r="N700" s="1484"/>
      <c r="O700" s="398"/>
    </row>
    <row r="701" spans="1:15" s="487" customFormat="1" ht="15.75" customHeight="1">
      <c r="A701" s="398"/>
      <c r="B701" s="398"/>
      <c r="C701" s="398"/>
      <c r="D701" s="398"/>
      <c r="E701" s="398"/>
      <c r="F701" s="398"/>
      <c r="G701" s="398"/>
      <c r="H701" s="398"/>
      <c r="I701" s="398"/>
      <c r="J701" s="398"/>
      <c r="K701" s="398"/>
      <c r="L701" s="398"/>
      <c r="M701" s="398"/>
      <c r="N701" s="1484"/>
      <c r="O701" s="398"/>
    </row>
    <row r="702" spans="1:15" s="487" customFormat="1" ht="15.75" customHeight="1">
      <c r="A702" s="398"/>
      <c r="B702" s="398"/>
      <c r="C702" s="398"/>
      <c r="D702" s="398"/>
      <c r="E702" s="398"/>
      <c r="F702" s="398"/>
      <c r="G702" s="398"/>
      <c r="H702" s="398"/>
      <c r="I702" s="398"/>
      <c r="J702" s="398"/>
      <c r="K702" s="398"/>
      <c r="L702" s="398"/>
      <c r="M702" s="398"/>
      <c r="N702" s="1484"/>
      <c r="O702" s="398"/>
    </row>
    <row r="703" spans="1:15" s="487" customFormat="1" ht="15.75" customHeight="1">
      <c r="A703" s="398"/>
      <c r="B703" s="398"/>
      <c r="C703" s="398"/>
      <c r="D703" s="398"/>
      <c r="E703" s="398"/>
      <c r="F703" s="398"/>
      <c r="G703" s="398"/>
      <c r="H703" s="398"/>
      <c r="I703" s="398"/>
      <c r="J703" s="398"/>
      <c r="K703" s="398"/>
      <c r="L703" s="398"/>
      <c r="M703" s="398"/>
      <c r="N703" s="1484"/>
      <c r="O703" s="398"/>
    </row>
    <row r="704" spans="1:15" s="487" customFormat="1" ht="15.75" customHeight="1">
      <c r="A704" s="398"/>
      <c r="B704" s="398"/>
      <c r="C704" s="398"/>
      <c r="D704" s="398"/>
      <c r="E704" s="398"/>
      <c r="F704" s="398"/>
      <c r="G704" s="398"/>
      <c r="H704" s="398"/>
      <c r="I704" s="398"/>
      <c r="J704" s="398"/>
      <c r="K704" s="398"/>
      <c r="L704" s="398"/>
      <c r="M704" s="398"/>
      <c r="N704" s="1484"/>
      <c r="O704" s="398"/>
    </row>
    <row r="705" spans="1:15" s="487" customFormat="1" ht="15.75" customHeight="1">
      <c r="A705" s="398"/>
      <c r="B705" s="398"/>
      <c r="C705" s="398"/>
      <c r="D705" s="398"/>
      <c r="E705" s="398"/>
      <c r="F705" s="398"/>
      <c r="G705" s="398"/>
      <c r="H705" s="398"/>
      <c r="I705" s="398"/>
      <c r="J705" s="398"/>
      <c r="K705" s="398"/>
      <c r="L705" s="398"/>
      <c r="M705" s="398"/>
      <c r="N705" s="1484"/>
      <c r="O705" s="398"/>
    </row>
    <row r="706" spans="1:15" s="487" customFormat="1" ht="15.75" customHeight="1">
      <c r="A706" s="398"/>
      <c r="B706" s="398"/>
      <c r="C706" s="398"/>
      <c r="D706" s="398"/>
      <c r="E706" s="398"/>
      <c r="F706" s="398"/>
      <c r="G706" s="398"/>
      <c r="H706" s="398"/>
      <c r="I706" s="398"/>
      <c r="J706" s="398"/>
      <c r="K706" s="398"/>
      <c r="L706" s="398"/>
      <c r="M706" s="398"/>
      <c r="N706" s="1484"/>
      <c r="O706" s="398"/>
    </row>
    <row r="707" spans="1:15" s="487" customFormat="1" ht="15.75" customHeight="1">
      <c r="A707" s="398"/>
      <c r="B707" s="398"/>
      <c r="C707" s="398"/>
      <c r="D707" s="398"/>
      <c r="E707" s="398"/>
      <c r="F707" s="398"/>
      <c r="G707" s="398"/>
      <c r="H707" s="398"/>
      <c r="I707" s="398"/>
      <c r="J707" s="398"/>
      <c r="K707" s="398"/>
      <c r="L707" s="398"/>
      <c r="M707" s="398"/>
      <c r="N707" s="1484"/>
      <c r="O707" s="398"/>
    </row>
    <row r="708" spans="1:15" s="487" customFormat="1" ht="15.75" customHeight="1">
      <c r="A708" s="398"/>
      <c r="B708" s="398"/>
      <c r="C708" s="398"/>
      <c r="D708" s="398"/>
      <c r="E708" s="398"/>
      <c r="F708" s="398"/>
      <c r="G708" s="398"/>
      <c r="H708" s="398"/>
      <c r="I708" s="398"/>
      <c r="J708" s="398"/>
      <c r="K708" s="398"/>
      <c r="L708" s="398"/>
      <c r="M708" s="398"/>
      <c r="N708" s="1484"/>
      <c r="O708" s="398"/>
    </row>
    <row r="709" spans="1:15" s="487" customFormat="1" ht="15.75" customHeight="1">
      <c r="A709" s="398"/>
      <c r="B709" s="398"/>
      <c r="C709" s="398"/>
      <c r="D709" s="398"/>
      <c r="E709" s="398"/>
      <c r="F709" s="398"/>
      <c r="G709" s="398"/>
      <c r="H709" s="398"/>
      <c r="I709" s="398"/>
      <c r="J709" s="398"/>
      <c r="K709" s="398"/>
      <c r="L709" s="398"/>
      <c r="M709" s="398"/>
      <c r="N709" s="1484"/>
      <c r="O709" s="398"/>
    </row>
    <row r="710" spans="1:15" s="487" customFormat="1" ht="15.75" customHeight="1">
      <c r="A710" s="398"/>
      <c r="B710" s="398"/>
      <c r="C710" s="398"/>
      <c r="D710" s="398"/>
      <c r="E710" s="398"/>
      <c r="F710" s="398"/>
      <c r="G710" s="398"/>
      <c r="H710" s="398"/>
      <c r="I710" s="398"/>
      <c r="J710" s="398"/>
      <c r="K710" s="398"/>
      <c r="L710" s="398"/>
      <c r="M710" s="398"/>
      <c r="N710" s="1484"/>
      <c r="O710" s="398"/>
    </row>
    <row r="711" spans="1:15" s="487" customFormat="1" ht="15.75" customHeight="1">
      <c r="A711" s="398"/>
      <c r="B711" s="398"/>
      <c r="C711" s="398"/>
      <c r="D711" s="398"/>
      <c r="E711" s="398"/>
      <c r="F711" s="398"/>
      <c r="G711" s="398"/>
      <c r="H711" s="398"/>
      <c r="I711" s="398"/>
      <c r="J711" s="398"/>
      <c r="K711" s="398"/>
      <c r="L711" s="398"/>
      <c r="M711" s="398"/>
      <c r="N711" s="1484"/>
      <c r="O711" s="398"/>
    </row>
    <row r="712" spans="1:15" s="487" customFormat="1" ht="15.75" customHeight="1">
      <c r="A712" s="398"/>
      <c r="B712" s="398"/>
      <c r="C712" s="398"/>
      <c r="D712" s="398"/>
      <c r="E712" s="398"/>
      <c r="F712" s="398"/>
      <c r="G712" s="398"/>
      <c r="H712" s="398"/>
      <c r="I712" s="398"/>
      <c r="J712" s="398"/>
      <c r="K712" s="398"/>
      <c r="L712" s="398"/>
      <c r="M712" s="398"/>
      <c r="N712" s="1484"/>
      <c r="O712" s="398"/>
    </row>
    <row r="713" spans="1:15" s="487" customFormat="1" ht="15.75" customHeight="1">
      <c r="A713" s="398"/>
      <c r="B713" s="398"/>
      <c r="C713" s="398"/>
      <c r="D713" s="398"/>
      <c r="E713" s="398"/>
      <c r="F713" s="398"/>
      <c r="G713" s="398"/>
      <c r="H713" s="398"/>
      <c r="I713" s="398"/>
      <c r="J713" s="398"/>
      <c r="K713" s="398"/>
      <c r="L713" s="398"/>
      <c r="M713" s="398"/>
      <c r="N713" s="1484"/>
      <c r="O713" s="398"/>
    </row>
    <row r="714" spans="1:15" s="487" customFormat="1" ht="15.75" customHeight="1">
      <c r="A714" s="398"/>
      <c r="B714" s="398"/>
      <c r="C714" s="398"/>
      <c r="D714" s="398"/>
      <c r="E714" s="398"/>
      <c r="F714" s="398"/>
      <c r="G714" s="398"/>
      <c r="H714" s="398"/>
      <c r="I714" s="398"/>
      <c r="J714" s="398"/>
      <c r="K714" s="398"/>
      <c r="L714" s="398"/>
      <c r="M714" s="398"/>
      <c r="N714" s="1484"/>
      <c r="O714" s="398"/>
    </row>
    <row r="715" spans="1:15" s="487" customFormat="1" ht="15.75" customHeight="1">
      <c r="A715" s="398"/>
      <c r="B715" s="398"/>
      <c r="C715" s="398"/>
      <c r="D715" s="398"/>
      <c r="E715" s="398"/>
      <c r="F715" s="398"/>
      <c r="G715" s="398"/>
      <c r="H715" s="398"/>
      <c r="I715" s="398"/>
      <c r="J715" s="398"/>
      <c r="K715" s="398"/>
      <c r="L715" s="398"/>
      <c r="M715" s="398"/>
      <c r="N715" s="1484"/>
      <c r="O715" s="398"/>
    </row>
    <row r="716" spans="1:15" s="487" customFormat="1" ht="15.75" customHeight="1">
      <c r="A716" s="398"/>
      <c r="B716" s="398"/>
      <c r="C716" s="398"/>
      <c r="D716" s="398"/>
      <c r="E716" s="398"/>
      <c r="F716" s="398"/>
      <c r="G716" s="398"/>
      <c r="H716" s="398"/>
      <c r="I716" s="398"/>
      <c r="J716" s="398"/>
      <c r="K716" s="398"/>
      <c r="L716" s="398"/>
      <c r="M716" s="398"/>
      <c r="N716" s="1484"/>
      <c r="O716" s="398"/>
    </row>
    <row r="717" spans="1:15" s="487" customFormat="1" ht="15.75" customHeight="1">
      <c r="A717" s="398"/>
      <c r="B717" s="398"/>
      <c r="C717" s="398"/>
      <c r="D717" s="398"/>
      <c r="E717" s="398"/>
      <c r="F717" s="398"/>
      <c r="G717" s="398"/>
      <c r="H717" s="398"/>
      <c r="I717" s="398"/>
      <c r="J717" s="398"/>
      <c r="K717" s="398"/>
      <c r="L717" s="398"/>
      <c r="M717" s="398"/>
      <c r="N717" s="1484"/>
      <c r="O717" s="398"/>
    </row>
    <row r="718" spans="1:15" s="487" customFormat="1" ht="15.75" customHeight="1">
      <c r="A718" s="398"/>
      <c r="B718" s="398"/>
      <c r="C718" s="398"/>
      <c r="D718" s="398"/>
      <c r="E718" s="398"/>
      <c r="F718" s="398"/>
      <c r="G718" s="398"/>
      <c r="H718" s="398"/>
      <c r="I718" s="398"/>
      <c r="J718" s="398"/>
      <c r="K718" s="398"/>
      <c r="L718" s="398"/>
      <c r="M718" s="398"/>
      <c r="N718" s="1484"/>
      <c r="O718" s="398"/>
    </row>
    <row r="719" spans="1:15" s="487" customFormat="1" ht="15.75" customHeight="1">
      <c r="A719" s="398"/>
      <c r="B719" s="398"/>
      <c r="C719" s="398"/>
      <c r="D719" s="398"/>
      <c r="E719" s="398"/>
      <c r="F719" s="398"/>
      <c r="G719" s="398"/>
      <c r="H719" s="398"/>
      <c r="I719" s="398"/>
      <c r="J719" s="398"/>
      <c r="K719" s="398"/>
      <c r="L719" s="398"/>
      <c r="M719" s="398"/>
      <c r="N719" s="1484"/>
      <c r="O719" s="398"/>
    </row>
    <row r="720" spans="1:15" s="487" customFormat="1" ht="15.75" customHeight="1">
      <c r="A720" s="398"/>
      <c r="B720" s="398"/>
      <c r="C720" s="398"/>
      <c r="D720" s="398"/>
      <c r="E720" s="398"/>
      <c r="F720" s="398"/>
      <c r="G720" s="398"/>
      <c r="H720" s="398"/>
      <c r="I720" s="398"/>
      <c r="J720" s="398"/>
      <c r="K720" s="398"/>
      <c r="L720" s="398"/>
      <c r="M720" s="398"/>
      <c r="N720" s="1484"/>
      <c r="O720" s="398"/>
    </row>
    <row r="721" spans="1:15" s="487" customFormat="1" ht="15.75" customHeight="1">
      <c r="A721" s="398"/>
      <c r="B721" s="398"/>
      <c r="C721" s="398"/>
      <c r="D721" s="398"/>
      <c r="E721" s="398"/>
      <c r="F721" s="398"/>
      <c r="G721" s="398"/>
      <c r="H721" s="398"/>
      <c r="I721" s="398"/>
      <c r="J721" s="398"/>
      <c r="K721" s="398"/>
      <c r="L721" s="398"/>
      <c r="M721" s="398"/>
      <c r="N721" s="1484"/>
      <c r="O721" s="398"/>
    </row>
    <row r="722" spans="1:15" s="487" customFormat="1" ht="15.75" customHeight="1">
      <c r="A722" s="398"/>
      <c r="B722" s="398"/>
      <c r="C722" s="398"/>
      <c r="D722" s="398"/>
      <c r="E722" s="398"/>
      <c r="F722" s="398"/>
      <c r="G722" s="398"/>
      <c r="H722" s="398"/>
      <c r="I722" s="398"/>
      <c r="J722" s="398"/>
      <c r="K722" s="398"/>
      <c r="L722" s="398"/>
      <c r="M722" s="398"/>
      <c r="N722" s="1484"/>
      <c r="O722" s="398"/>
    </row>
    <row r="723" spans="1:15" s="487" customFormat="1" ht="15.75" customHeight="1">
      <c r="A723" s="398"/>
      <c r="B723" s="398"/>
      <c r="C723" s="398"/>
      <c r="D723" s="398"/>
      <c r="E723" s="398"/>
      <c r="F723" s="398"/>
      <c r="G723" s="398"/>
      <c r="H723" s="398"/>
      <c r="I723" s="398"/>
      <c r="J723" s="398"/>
      <c r="K723" s="398"/>
      <c r="L723" s="398"/>
      <c r="M723" s="398"/>
      <c r="N723" s="1484"/>
      <c r="O723" s="398"/>
    </row>
    <row r="724" spans="1:15" s="487" customFormat="1" ht="15.75" customHeight="1">
      <c r="A724" s="398"/>
      <c r="B724" s="398"/>
      <c r="C724" s="398"/>
      <c r="D724" s="398"/>
      <c r="E724" s="398"/>
      <c r="F724" s="398"/>
      <c r="G724" s="398"/>
      <c r="H724" s="398"/>
      <c r="I724" s="398"/>
      <c r="J724" s="398"/>
      <c r="K724" s="398"/>
      <c r="L724" s="398"/>
      <c r="M724" s="398"/>
      <c r="N724" s="1484"/>
      <c r="O724" s="398"/>
    </row>
    <row r="725" spans="1:15" s="487" customFormat="1" ht="15.75" customHeight="1">
      <c r="A725" s="398"/>
      <c r="B725" s="398"/>
      <c r="C725" s="398"/>
      <c r="D725" s="398"/>
      <c r="E725" s="398"/>
      <c r="F725" s="398"/>
      <c r="G725" s="398"/>
      <c r="H725" s="398"/>
      <c r="I725" s="398"/>
      <c r="J725" s="398"/>
      <c r="K725" s="398"/>
      <c r="L725" s="398"/>
      <c r="M725" s="398"/>
      <c r="N725" s="1484"/>
      <c r="O725" s="398"/>
    </row>
    <row r="726" spans="1:15" s="487" customFormat="1" ht="15.75" customHeight="1">
      <c r="A726" s="398"/>
      <c r="B726" s="398"/>
      <c r="C726" s="398"/>
      <c r="D726" s="398"/>
      <c r="E726" s="398"/>
      <c r="F726" s="398"/>
      <c r="G726" s="398"/>
      <c r="H726" s="398"/>
      <c r="I726" s="398"/>
      <c r="J726" s="398"/>
      <c r="K726" s="398"/>
      <c r="L726" s="398"/>
      <c r="M726" s="398"/>
      <c r="N726" s="1484"/>
      <c r="O726" s="398"/>
    </row>
    <row r="727" spans="1:15" s="487" customFormat="1" ht="15.75" customHeight="1">
      <c r="A727" s="398"/>
      <c r="B727" s="398"/>
      <c r="C727" s="398"/>
      <c r="D727" s="398"/>
      <c r="E727" s="398"/>
      <c r="F727" s="398"/>
      <c r="G727" s="398"/>
      <c r="H727" s="398"/>
      <c r="I727" s="398"/>
      <c r="J727" s="398"/>
      <c r="K727" s="398"/>
      <c r="L727" s="398"/>
      <c r="M727" s="398"/>
      <c r="N727" s="1484"/>
      <c r="O727" s="398"/>
    </row>
    <row r="728" spans="1:15" s="487" customFormat="1" ht="15.75" customHeight="1">
      <c r="A728" s="398"/>
      <c r="B728" s="398"/>
      <c r="C728" s="398"/>
      <c r="D728" s="398"/>
      <c r="E728" s="398"/>
      <c r="F728" s="398"/>
      <c r="G728" s="398"/>
      <c r="H728" s="398"/>
      <c r="I728" s="398"/>
      <c r="J728" s="398"/>
      <c r="K728" s="398"/>
      <c r="L728" s="398"/>
      <c r="M728" s="398"/>
      <c r="N728" s="1484"/>
      <c r="O728" s="398"/>
    </row>
    <row r="729" spans="1:15" s="487" customFormat="1" ht="15.75" customHeight="1">
      <c r="A729" s="398"/>
      <c r="B729" s="398"/>
      <c r="C729" s="398"/>
      <c r="D729" s="398"/>
      <c r="E729" s="398"/>
      <c r="F729" s="398"/>
      <c r="G729" s="398"/>
      <c r="H729" s="398"/>
      <c r="I729" s="398"/>
      <c r="J729" s="398"/>
      <c r="K729" s="398"/>
      <c r="L729" s="398"/>
      <c r="M729" s="398"/>
      <c r="N729" s="1484"/>
      <c r="O729" s="398"/>
    </row>
    <row r="730" spans="1:15" s="487" customFormat="1" ht="15.75" customHeight="1">
      <c r="A730" s="398"/>
      <c r="B730" s="398"/>
      <c r="C730" s="398"/>
      <c r="D730" s="398"/>
      <c r="E730" s="398"/>
      <c r="F730" s="398"/>
      <c r="G730" s="398"/>
      <c r="H730" s="398"/>
      <c r="I730" s="398"/>
      <c r="J730" s="398"/>
      <c r="K730" s="398"/>
      <c r="L730" s="398"/>
      <c r="M730" s="398"/>
      <c r="N730" s="1484"/>
      <c r="O730" s="398"/>
    </row>
    <row r="731" spans="1:15" s="487" customFormat="1" ht="15.75" customHeight="1">
      <c r="A731" s="398"/>
      <c r="B731" s="398"/>
      <c r="C731" s="398"/>
      <c r="D731" s="398"/>
      <c r="E731" s="398"/>
      <c r="F731" s="398"/>
      <c r="G731" s="398"/>
      <c r="H731" s="398"/>
      <c r="I731" s="398"/>
      <c r="J731" s="398"/>
      <c r="K731" s="398"/>
      <c r="L731" s="398"/>
      <c r="M731" s="398"/>
      <c r="N731" s="1484"/>
      <c r="O731" s="398"/>
    </row>
    <row r="732" spans="1:15" s="487" customFormat="1" ht="15.75" customHeight="1">
      <c r="A732" s="398"/>
      <c r="B732" s="398"/>
      <c r="C732" s="398"/>
      <c r="D732" s="398"/>
      <c r="E732" s="398"/>
      <c r="F732" s="398"/>
      <c r="G732" s="398"/>
      <c r="H732" s="398"/>
      <c r="I732" s="398"/>
      <c r="J732" s="398"/>
      <c r="K732" s="398"/>
      <c r="L732" s="398"/>
      <c r="M732" s="398"/>
      <c r="N732" s="1484"/>
      <c r="O732" s="398"/>
    </row>
    <row r="733" spans="1:15" s="487" customFormat="1" ht="15.75" customHeight="1">
      <c r="A733" s="398"/>
      <c r="B733" s="398"/>
      <c r="C733" s="398"/>
      <c r="D733" s="398"/>
      <c r="E733" s="398"/>
      <c r="F733" s="398"/>
      <c r="G733" s="398"/>
      <c r="H733" s="398"/>
      <c r="I733" s="398"/>
      <c r="J733" s="398"/>
      <c r="K733" s="398"/>
      <c r="L733" s="398"/>
      <c r="M733" s="398"/>
      <c r="N733" s="1484"/>
      <c r="O733" s="398"/>
    </row>
    <row r="734" spans="1:15" s="487" customFormat="1" ht="15.75" customHeight="1">
      <c r="A734" s="398"/>
      <c r="B734" s="398"/>
      <c r="C734" s="398"/>
      <c r="D734" s="398"/>
      <c r="E734" s="398"/>
      <c r="F734" s="398"/>
      <c r="G734" s="398"/>
      <c r="H734" s="398"/>
      <c r="I734" s="398"/>
      <c r="J734" s="398"/>
      <c r="K734" s="398"/>
      <c r="L734" s="398"/>
      <c r="M734" s="398"/>
      <c r="N734" s="1484"/>
      <c r="O734" s="398"/>
    </row>
    <row r="735" spans="1:15" s="487" customFormat="1" ht="15.75" customHeight="1">
      <c r="A735" s="398"/>
      <c r="B735" s="398"/>
      <c r="C735" s="398"/>
      <c r="D735" s="398"/>
      <c r="E735" s="398"/>
      <c r="F735" s="398"/>
      <c r="G735" s="398"/>
      <c r="H735" s="398"/>
      <c r="I735" s="398"/>
      <c r="J735" s="398"/>
      <c r="K735" s="398"/>
      <c r="L735" s="398"/>
      <c r="M735" s="398"/>
      <c r="N735" s="1484"/>
      <c r="O735" s="398"/>
    </row>
    <row r="736" spans="1:15" s="487" customFormat="1" ht="15.75" customHeight="1">
      <c r="A736" s="398"/>
      <c r="B736" s="398"/>
      <c r="C736" s="398"/>
      <c r="D736" s="398"/>
      <c r="E736" s="398"/>
      <c r="F736" s="398"/>
      <c r="G736" s="398"/>
      <c r="H736" s="398"/>
      <c r="I736" s="398"/>
      <c r="J736" s="398"/>
      <c r="K736" s="398"/>
      <c r="L736" s="398"/>
      <c r="M736" s="398"/>
      <c r="N736" s="1484"/>
      <c r="O736" s="398"/>
    </row>
    <row r="737" spans="1:15" s="487" customFormat="1" ht="15.75" customHeight="1">
      <c r="A737" s="398"/>
      <c r="B737" s="398"/>
      <c r="C737" s="398"/>
      <c r="D737" s="398"/>
      <c r="E737" s="398"/>
      <c r="F737" s="398"/>
      <c r="G737" s="398"/>
      <c r="H737" s="398"/>
      <c r="I737" s="398"/>
      <c r="J737" s="398"/>
      <c r="K737" s="398"/>
      <c r="L737" s="398"/>
      <c r="M737" s="398"/>
      <c r="N737" s="1484"/>
      <c r="O737" s="398"/>
    </row>
    <row r="738" spans="1:15" s="487" customFormat="1" ht="15.75" customHeight="1">
      <c r="A738" s="398"/>
      <c r="B738" s="398"/>
      <c r="C738" s="398"/>
      <c r="D738" s="398"/>
      <c r="E738" s="398"/>
      <c r="F738" s="398"/>
      <c r="G738" s="398"/>
      <c r="H738" s="398"/>
      <c r="I738" s="398"/>
      <c r="J738" s="398"/>
      <c r="K738" s="398"/>
      <c r="L738" s="398"/>
      <c r="M738" s="398"/>
      <c r="N738" s="1484"/>
      <c r="O738" s="398"/>
    </row>
    <row r="739" spans="1:15" s="487" customFormat="1" ht="15.75" customHeight="1">
      <c r="A739" s="398"/>
      <c r="B739" s="398"/>
      <c r="C739" s="398"/>
      <c r="D739" s="398"/>
      <c r="E739" s="398"/>
      <c r="F739" s="398"/>
      <c r="G739" s="398"/>
      <c r="H739" s="398"/>
      <c r="I739" s="398"/>
      <c r="J739" s="398"/>
      <c r="K739" s="398"/>
      <c r="L739" s="398"/>
      <c r="M739" s="398"/>
      <c r="N739" s="1484"/>
      <c r="O739" s="398"/>
    </row>
    <row r="740" spans="1:15" s="487" customFormat="1" ht="15.75" customHeight="1">
      <c r="A740" s="398"/>
      <c r="B740" s="398"/>
      <c r="C740" s="398"/>
      <c r="D740" s="398"/>
      <c r="E740" s="398"/>
      <c r="F740" s="398"/>
      <c r="G740" s="398"/>
      <c r="H740" s="398"/>
      <c r="I740" s="398"/>
      <c r="J740" s="398"/>
      <c r="K740" s="398"/>
      <c r="L740" s="398"/>
      <c r="M740" s="398"/>
      <c r="N740" s="1484"/>
      <c r="O740" s="398"/>
    </row>
    <row r="741" spans="1:15" s="487" customFormat="1" ht="15.75" customHeight="1">
      <c r="A741" s="398"/>
      <c r="B741" s="398"/>
      <c r="C741" s="398"/>
      <c r="D741" s="398"/>
      <c r="E741" s="398"/>
      <c r="F741" s="398"/>
      <c r="G741" s="398"/>
      <c r="H741" s="398"/>
      <c r="I741" s="398"/>
      <c r="J741" s="398"/>
      <c r="K741" s="398"/>
      <c r="L741" s="398"/>
      <c r="M741" s="398"/>
      <c r="N741" s="1484"/>
      <c r="O741" s="398"/>
    </row>
    <row r="742" spans="1:15" s="487" customFormat="1" ht="15.75" customHeight="1">
      <c r="A742" s="398"/>
      <c r="B742" s="398"/>
      <c r="C742" s="398"/>
      <c r="D742" s="398"/>
      <c r="E742" s="398"/>
      <c r="F742" s="398"/>
      <c r="G742" s="398"/>
      <c r="H742" s="398"/>
      <c r="I742" s="398"/>
      <c r="J742" s="398"/>
      <c r="K742" s="398"/>
      <c r="L742" s="398"/>
      <c r="M742" s="398"/>
      <c r="N742" s="1484"/>
      <c r="O742" s="398"/>
    </row>
    <row r="743" spans="1:15" s="487" customFormat="1" ht="15.75" customHeight="1">
      <c r="A743" s="398"/>
      <c r="B743" s="398"/>
      <c r="C743" s="398"/>
      <c r="D743" s="398"/>
      <c r="E743" s="398"/>
      <c r="F743" s="398"/>
      <c r="G743" s="398"/>
      <c r="H743" s="398"/>
      <c r="I743" s="398"/>
      <c r="J743" s="398"/>
      <c r="K743" s="398"/>
      <c r="L743" s="398"/>
      <c r="M743" s="398"/>
      <c r="N743" s="1484"/>
      <c r="O743" s="398"/>
    </row>
    <row r="744" spans="1:15" s="487" customFormat="1" ht="15.75" customHeight="1">
      <c r="A744" s="398"/>
      <c r="B744" s="398"/>
      <c r="C744" s="398"/>
      <c r="D744" s="398"/>
      <c r="E744" s="398"/>
      <c r="F744" s="398"/>
      <c r="G744" s="398"/>
      <c r="H744" s="398"/>
      <c r="I744" s="398"/>
      <c r="J744" s="398"/>
      <c r="K744" s="398"/>
      <c r="L744" s="398"/>
      <c r="M744" s="398"/>
      <c r="N744" s="1484"/>
      <c r="O744" s="398"/>
    </row>
    <row r="745" spans="1:15" s="487" customFormat="1" ht="15.75" customHeight="1">
      <c r="A745" s="398"/>
      <c r="B745" s="398"/>
      <c r="C745" s="398"/>
      <c r="D745" s="398"/>
      <c r="E745" s="398"/>
      <c r="F745" s="398"/>
      <c r="G745" s="398"/>
      <c r="H745" s="398"/>
      <c r="I745" s="398"/>
      <c r="J745" s="398"/>
      <c r="K745" s="398"/>
      <c r="L745" s="398"/>
      <c r="M745" s="398"/>
      <c r="N745" s="1484"/>
      <c r="O745" s="398"/>
    </row>
    <row r="746" spans="1:15" s="487" customFormat="1" ht="15.75" customHeight="1">
      <c r="A746" s="398"/>
      <c r="B746" s="398"/>
      <c r="C746" s="398"/>
      <c r="D746" s="398"/>
      <c r="E746" s="398"/>
      <c r="F746" s="398"/>
      <c r="G746" s="398"/>
      <c r="H746" s="398"/>
      <c r="I746" s="398"/>
      <c r="J746" s="398"/>
      <c r="K746" s="398"/>
      <c r="L746" s="398"/>
      <c r="M746" s="398"/>
      <c r="N746" s="1484"/>
      <c r="O746" s="398"/>
    </row>
    <row r="747" spans="1:15" s="487" customFormat="1" ht="15.75" customHeight="1">
      <c r="A747" s="398"/>
      <c r="B747" s="398"/>
      <c r="C747" s="398"/>
      <c r="D747" s="398"/>
      <c r="E747" s="398"/>
      <c r="F747" s="398"/>
      <c r="G747" s="398"/>
      <c r="H747" s="398"/>
      <c r="I747" s="398"/>
      <c r="J747" s="398"/>
      <c r="K747" s="398"/>
      <c r="L747" s="398"/>
      <c r="M747" s="398"/>
      <c r="N747" s="1484"/>
      <c r="O747" s="398"/>
    </row>
    <row r="748" spans="1:15" s="487" customFormat="1" ht="15.75" customHeight="1">
      <c r="A748" s="398"/>
      <c r="B748" s="398"/>
      <c r="C748" s="398"/>
      <c r="D748" s="398"/>
      <c r="E748" s="398"/>
      <c r="F748" s="398"/>
      <c r="G748" s="398"/>
      <c r="H748" s="398"/>
      <c r="I748" s="398"/>
      <c r="J748" s="398"/>
      <c r="K748" s="398"/>
      <c r="L748" s="398"/>
      <c r="M748" s="398"/>
      <c r="N748" s="1484"/>
      <c r="O748" s="398"/>
    </row>
    <row r="749" spans="1:15" s="487" customFormat="1" ht="15.75" customHeight="1">
      <c r="A749" s="398"/>
      <c r="B749" s="398"/>
      <c r="C749" s="398"/>
      <c r="D749" s="398"/>
      <c r="E749" s="398"/>
      <c r="F749" s="398"/>
      <c r="G749" s="398"/>
      <c r="H749" s="398"/>
      <c r="I749" s="398"/>
      <c r="J749" s="398"/>
      <c r="K749" s="398"/>
      <c r="L749" s="398"/>
      <c r="M749" s="398"/>
      <c r="N749" s="1484"/>
      <c r="O749" s="398"/>
    </row>
    <row r="750" spans="1:15" s="487" customFormat="1" ht="15.75" customHeight="1">
      <c r="A750" s="398"/>
      <c r="B750" s="398"/>
      <c r="C750" s="398"/>
      <c r="D750" s="398"/>
      <c r="E750" s="398"/>
      <c r="F750" s="398"/>
      <c r="G750" s="398"/>
      <c r="H750" s="398"/>
      <c r="I750" s="398"/>
      <c r="J750" s="398"/>
      <c r="K750" s="398"/>
      <c r="L750" s="398"/>
      <c r="M750" s="398"/>
      <c r="N750" s="1484"/>
      <c r="O750" s="398"/>
    </row>
    <row r="751" spans="1:15" s="487" customFormat="1" ht="15.75" customHeight="1">
      <c r="A751" s="398"/>
      <c r="B751" s="398"/>
      <c r="C751" s="398"/>
      <c r="D751" s="398"/>
      <c r="E751" s="398"/>
      <c r="F751" s="398"/>
      <c r="G751" s="398"/>
      <c r="H751" s="398"/>
      <c r="I751" s="398"/>
      <c r="J751" s="398"/>
      <c r="K751" s="398"/>
      <c r="L751" s="398"/>
      <c r="M751" s="398"/>
      <c r="N751" s="1484"/>
      <c r="O751" s="398"/>
    </row>
    <row r="752" spans="1:15" s="487" customFormat="1" ht="15.75" customHeight="1">
      <c r="A752" s="398"/>
      <c r="B752" s="398"/>
      <c r="C752" s="398"/>
      <c r="D752" s="398"/>
      <c r="E752" s="398"/>
      <c r="F752" s="398"/>
      <c r="G752" s="398"/>
      <c r="H752" s="398"/>
      <c r="I752" s="398"/>
      <c r="J752" s="398"/>
      <c r="K752" s="398"/>
      <c r="L752" s="398"/>
      <c r="M752" s="398"/>
      <c r="N752" s="1484"/>
      <c r="O752" s="398"/>
    </row>
    <row r="753" spans="1:15" s="487" customFormat="1" ht="15.75" customHeight="1">
      <c r="A753" s="398"/>
      <c r="B753" s="398"/>
      <c r="C753" s="398"/>
      <c r="D753" s="398"/>
      <c r="E753" s="398"/>
      <c r="F753" s="398"/>
      <c r="G753" s="398"/>
      <c r="H753" s="398"/>
      <c r="I753" s="398"/>
      <c r="J753" s="398"/>
      <c r="K753" s="398"/>
      <c r="L753" s="398"/>
      <c r="M753" s="398"/>
      <c r="N753" s="1484"/>
      <c r="O753" s="398"/>
    </row>
    <row r="754" spans="1:15" s="487" customFormat="1" ht="15.75" customHeight="1">
      <c r="A754" s="398"/>
      <c r="B754" s="398"/>
      <c r="C754" s="398"/>
      <c r="D754" s="398"/>
      <c r="E754" s="398"/>
      <c r="F754" s="398"/>
      <c r="G754" s="398"/>
      <c r="H754" s="398"/>
      <c r="I754" s="398"/>
      <c r="J754" s="398"/>
      <c r="K754" s="398"/>
      <c r="L754" s="398"/>
      <c r="M754" s="398"/>
      <c r="N754" s="1484"/>
      <c r="O754" s="398"/>
    </row>
    <row r="755" spans="1:15" s="487" customFormat="1" ht="15.75" customHeight="1">
      <c r="A755" s="398"/>
      <c r="B755" s="398"/>
      <c r="C755" s="398"/>
      <c r="D755" s="398"/>
      <c r="E755" s="398"/>
      <c r="F755" s="398"/>
      <c r="G755" s="398"/>
      <c r="H755" s="398"/>
      <c r="I755" s="398"/>
      <c r="J755" s="398"/>
      <c r="K755" s="398"/>
      <c r="L755" s="398"/>
      <c r="M755" s="398"/>
      <c r="N755" s="1484"/>
      <c r="O755" s="398"/>
    </row>
    <row r="756" spans="1:15" s="487" customFormat="1" ht="15.75" customHeight="1">
      <c r="A756" s="398"/>
      <c r="B756" s="398"/>
      <c r="C756" s="398"/>
      <c r="D756" s="398"/>
      <c r="E756" s="398"/>
      <c r="F756" s="398"/>
      <c r="G756" s="398"/>
      <c r="H756" s="398"/>
      <c r="I756" s="398"/>
      <c r="J756" s="398"/>
      <c r="K756" s="398"/>
      <c r="L756" s="398"/>
      <c r="M756" s="398"/>
      <c r="N756" s="1484"/>
      <c r="O756" s="398"/>
    </row>
    <row r="757" spans="1:15" s="487" customFormat="1" ht="15.75" customHeight="1">
      <c r="A757" s="398"/>
      <c r="B757" s="398"/>
      <c r="C757" s="398"/>
      <c r="D757" s="398"/>
      <c r="E757" s="398"/>
      <c r="F757" s="398"/>
      <c r="G757" s="398"/>
      <c r="H757" s="398"/>
      <c r="I757" s="398"/>
      <c r="J757" s="398"/>
      <c r="K757" s="398"/>
      <c r="L757" s="398"/>
      <c r="M757" s="398"/>
      <c r="N757" s="1484"/>
      <c r="O757" s="398"/>
    </row>
    <row r="758" spans="1:15" s="487" customFormat="1" ht="15.75" customHeight="1">
      <c r="A758" s="398"/>
      <c r="B758" s="398"/>
      <c r="C758" s="398"/>
      <c r="D758" s="398"/>
      <c r="E758" s="398"/>
      <c r="F758" s="398"/>
      <c r="G758" s="398"/>
      <c r="H758" s="398"/>
      <c r="I758" s="398"/>
      <c r="J758" s="398"/>
      <c r="K758" s="398"/>
      <c r="L758" s="398"/>
      <c r="M758" s="398"/>
      <c r="N758" s="1484"/>
      <c r="O758" s="398"/>
    </row>
    <row r="759" spans="1:15" s="487" customFormat="1" ht="15.75" customHeight="1">
      <c r="A759" s="398"/>
      <c r="B759" s="398"/>
      <c r="C759" s="398"/>
      <c r="D759" s="398"/>
      <c r="E759" s="398"/>
      <c r="F759" s="398"/>
      <c r="G759" s="398"/>
      <c r="H759" s="398"/>
      <c r="I759" s="398"/>
      <c r="J759" s="398"/>
      <c r="K759" s="398"/>
      <c r="L759" s="398"/>
      <c r="M759" s="398"/>
      <c r="N759" s="1484"/>
      <c r="O759" s="398"/>
    </row>
    <row r="760" spans="1:15" s="487" customFormat="1" ht="15.75" customHeight="1">
      <c r="A760" s="398"/>
      <c r="B760" s="398"/>
      <c r="C760" s="398"/>
      <c r="D760" s="398"/>
      <c r="E760" s="398"/>
      <c r="F760" s="398"/>
      <c r="G760" s="398"/>
      <c r="H760" s="398"/>
      <c r="I760" s="398"/>
      <c r="J760" s="398"/>
      <c r="K760" s="398"/>
      <c r="L760" s="398"/>
      <c r="M760" s="398"/>
      <c r="N760" s="1484"/>
      <c r="O760" s="398"/>
    </row>
    <row r="761" spans="1:15" s="487" customFormat="1" ht="15.75" customHeight="1">
      <c r="A761" s="398"/>
      <c r="B761" s="398"/>
      <c r="C761" s="398"/>
      <c r="D761" s="398"/>
      <c r="E761" s="398"/>
      <c r="F761" s="398"/>
      <c r="G761" s="398"/>
      <c r="H761" s="398"/>
      <c r="I761" s="398"/>
      <c r="J761" s="398"/>
      <c r="K761" s="398"/>
      <c r="L761" s="398"/>
      <c r="M761" s="398"/>
      <c r="N761" s="1484"/>
      <c r="O761" s="398"/>
    </row>
    <row r="762" spans="1:15" s="487" customFormat="1" ht="15.75" customHeight="1">
      <c r="A762" s="398"/>
      <c r="B762" s="398"/>
      <c r="C762" s="398"/>
      <c r="D762" s="398"/>
      <c r="E762" s="398"/>
      <c r="F762" s="398"/>
      <c r="G762" s="398"/>
      <c r="H762" s="398"/>
      <c r="I762" s="398"/>
      <c r="J762" s="398"/>
      <c r="K762" s="398"/>
      <c r="L762" s="398"/>
      <c r="M762" s="398"/>
      <c r="N762" s="1484"/>
      <c r="O762" s="398"/>
    </row>
    <row r="763" spans="1:15" s="487" customFormat="1" ht="15.75" customHeight="1">
      <c r="A763" s="398"/>
      <c r="B763" s="398"/>
      <c r="C763" s="398"/>
      <c r="D763" s="398"/>
      <c r="E763" s="398"/>
      <c r="F763" s="398"/>
      <c r="G763" s="398"/>
      <c r="H763" s="398"/>
      <c r="I763" s="398"/>
      <c r="J763" s="398"/>
      <c r="K763" s="398"/>
      <c r="L763" s="398"/>
      <c r="M763" s="398"/>
      <c r="N763" s="1484"/>
      <c r="O763" s="398"/>
    </row>
    <row r="764" spans="1:15" s="487" customFormat="1" ht="15.75" customHeight="1">
      <c r="A764" s="398"/>
      <c r="B764" s="398"/>
      <c r="C764" s="398"/>
      <c r="D764" s="398"/>
      <c r="E764" s="398"/>
      <c r="F764" s="398"/>
      <c r="G764" s="398"/>
      <c r="H764" s="398"/>
      <c r="I764" s="398"/>
      <c r="J764" s="398"/>
      <c r="K764" s="398"/>
      <c r="L764" s="398"/>
      <c r="M764" s="398"/>
      <c r="N764" s="1484"/>
      <c r="O764" s="398"/>
    </row>
    <row r="765" spans="1:15" s="487" customFormat="1" ht="15.75" customHeight="1">
      <c r="A765" s="398"/>
      <c r="B765" s="398"/>
      <c r="C765" s="398"/>
      <c r="D765" s="398"/>
      <c r="E765" s="398"/>
      <c r="F765" s="398"/>
      <c r="G765" s="398"/>
      <c r="H765" s="398"/>
      <c r="I765" s="398"/>
      <c r="J765" s="398"/>
      <c r="K765" s="398"/>
      <c r="L765" s="398"/>
      <c r="M765" s="398"/>
      <c r="N765" s="1484"/>
      <c r="O765" s="398"/>
    </row>
    <row r="766" spans="1:15" s="487" customFormat="1" ht="15.75" customHeight="1">
      <c r="A766" s="398"/>
      <c r="B766" s="398"/>
      <c r="C766" s="398"/>
      <c r="D766" s="398"/>
      <c r="E766" s="398"/>
      <c r="F766" s="398"/>
      <c r="G766" s="398"/>
      <c r="H766" s="398"/>
      <c r="I766" s="398"/>
      <c r="J766" s="398"/>
      <c r="K766" s="398"/>
      <c r="L766" s="398"/>
      <c r="M766" s="398"/>
      <c r="N766" s="1484"/>
      <c r="O766" s="398"/>
    </row>
    <row r="767" spans="1:15" s="487" customFormat="1" ht="15.75" customHeight="1">
      <c r="A767" s="398"/>
      <c r="B767" s="398"/>
      <c r="C767" s="398"/>
      <c r="D767" s="398"/>
      <c r="E767" s="398"/>
      <c r="F767" s="398"/>
      <c r="G767" s="398"/>
      <c r="H767" s="398"/>
      <c r="I767" s="398"/>
      <c r="J767" s="398"/>
      <c r="K767" s="398"/>
      <c r="L767" s="398"/>
      <c r="M767" s="398"/>
      <c r="N767" s="1484"/>
      <c r="O767" s="398"/>
    </row>
    <row r="768" spans="1:15" s="487" customFormat="1" ht="15.75" customHeight="1">
      <c r="A768" s="398"/>
      <c r="B768" s="398"/>
      <c r="C768" s="398"/>
      <c r="D768" s="398"/>
      <c r="E768" s="398"/>
      <c r="F768" s="398"/>
      <c r="G768" s="398"/>
      <c r="H768" s="398"/>
      <c r="I768" s="398"/>
      <c r="J768" s="398"/>
      <c r="K768" s="398"/>
      <c r="L768" s="398"/>
      <c r="M768" s="398"/>
      <c r="N768" s="1484"/>
      <c r="O768" s="398"/>
    </row>
    <row r="769" spans="1:15" s="487" customFormat="1" ht="15.75" customHeight="1">
      <c r="A769" s="398"/>
      <c r="B769" s="398"/>
      <c r="C769" s="398"/>
      <c r="D769" s="398"/>
      <c r="E769" s="398"/>
      <c r="F769" s="398"/>
      <c r="G769" s="398"/>
      <c r="H769" s="398"/>
      <c r="I769" s="398"/>
      <c r="J769" s="398"/>
      <c r="K769" s="398"/>
      <c r="L769" s="398"/>
      <c r="M769" s="398"/>
      <c r="N769" s="1484"/>
      <c r="O769" s="398"/>
    </row>
    <row r="770" spans="1:15" s="487" customFormat="1" ht="15.75" customHeight="1">
      <c r="A770" s="398"/>
      <c r="B770" s="398"/>
      <c r="C770" s="398"/>
      <c r="D770" s="398"/>
      <c r="E770" s="398"/>
      <c r="F770" s="398"/>
      <c r="G770" s="398"/>
      <c r="H770" s="398"/>
      <c r="I770" s="398"/>
      <c r="J770" s="398"/>
      <c r="K770" s="398"/>
      <c r="L770" s="398"/>
      <c r="M770" s="398"/>
      <c r="N770" s="1484"/>
      <c r="O770" s="398"/>
    </row>
    <row r="771" spans="1:15" s="487" customFormat="1" ht="15.75" customHeight="1">
      <c r="A771" s="398"/>
      <c r="B771" s="398"/>
      <c r="C771" s="398"/>
      <c r="D771" s="398"/>
      <c r="E771" s="398"/>
      <c r="F771" s="398"/>
      <c r="G771" s="398"/>
      <c r="H771" s="398"/>
      <c r="I771" s="398"/>
      <c r="J771" s="398"/>
      <c r="K771" s="398"/>
      <c r="L771" s="398"/>
      <c r="M771" s="398"/>
      <c r="N771" s="1484"/>
      <c r="O771" s="398"/>
    </row>
    <row r="772" spans="1:15" s="487" customFormat="1" ht="15.75" customHeight="1">
      <c r="A772" s="398"/>
      <c r="B772" s="398"/>
      <c r="C772" s="398"/>
      <c r="D772" s="398"/>
      <c r="E772" s="398"/>
      <c r="F772" s="398"/>
      <c r="G772" s="398"/>
      <c r="H772" s="398"/>
      <c r="I772" s="398"/>
      <c r="J772" s="398"/>
      <c r="K772" s="398"/>
      <c r="L772" s="398"/>
      <c r="M772" s="398"/>
      <c r="N772" s="1484"/>
      <c r="O772" s="398"/>
    </row>
    <row r="773" spans="1:15" s="487" customFormat="1" ht="15.75" customHeight="1">
      <c r="A773" s="398"/>
      <c r="B773" s="398"/>
      <c r="C773" s="398"/>
      <c r="D773" s="398"/>
      <c r="E773" s="398"/>
      <c r="F773" s="398"/>
      <c r="G773" s="398"/>
      <c r="H773" s="398"/>
      <c r="I773" s="398"/>
      <c r="J773" s="398"/>
      <c r="K773" s="398"/>
      <c r="L773" s="398"/>
      <c r="M773" s="398"/>
      <c r="N773" s="1484"/>
      <c r="O773" s="398"/>
    </row>
    <row r="774" spans="1:15" s="487" customFormat="1" ht="15.75" customHeight="1">
      <c r="A774" s="398"/>
      <c r="B774" s="398"/>
      <c r="C774" s="398"/>
      <c r="D774" s="398"/>
      <c r="E774" s="398"/>
      <c r="F774" s="398"/>
      <c r="G774" s="398"/>
      <c r="H774" s="398"/>
      <c r="I774" s="398"/>
      <c r="J774" s="398"/>
      <c r="K774" s="398"/>
      <c r="L774" s="398"/>
      <c r="M774" s="398"/>
      <c r="N774" s="1484"/>
      <c r="O774" s="398"/>
    </row>
    <row r="775" spans="1:15" s="487" customFormat="1" ht="15.75" customHeight="1">
      <c r="A775" s="398"/>
      <c r="B775" s="398"/>
      <c r="C775" s="398"/>
      <c r="D775" s="398"/>
      <c r="E775" s="398"/>
      <c r="F775" s="398"/>
      <c r="G775" s="398"/>
      <c r="H775" s="398"/>
      <c r="I775" s="398"/>
      <c r="J775" s="398"/>
      <c r="K775" s="398"/>
      <c r="L775" s="398"/>
      <c r="M775" s="398"/>
      <c r="N775" s="1484"/>
      <c r="O775" s="398"/>
    </row>
    <row r="776" spans="1:15" s="487" customFormat="1" ht="15.75" customHeight="1">
      <c r="A776" s="398"/>
      <c r="B776" s="398"/>
      <c r="C776" s="398"/>
      <c r="D776" s="398"/>
      <c r="E776" s="398"/>
      <c r="F776" s="398"/>
      <c r="G776" s="398"/>
      <c r="H776" s="398"/>
      <c r="I776" s="398"/>
      <c r="J776" s="398"/>
      <c r="K776" s="398"/>
      <c r="L776" s="398"/>
      <c r="M776" s="398"/>
      <c r="N776" s="1484"/>
      <c r="O776" s="398"/>
    </row>
    <row r="777" spans="1:15" s="487" customFormat="1" ht="15.75" customHeight="1">
      <c r="A777" s="398"/>
      <c r="B777" s="398"/>
      <c r="C777" s="398"/>
      <c r="D777" s="398"/>
      <c r="E777" s="398"/>
      <c r="F777" s="398"/>
      <c r="G777" s="398"/>
      <c r="H777" s="398"/>
      <c r="I777" s="398"/>
      <c r="J777" s="398"/>
      <c r="K777" s="398"/>
      <c r="L777" s="398"/>
      <c r="M777" s="398"/>
      <c r="N777" s="1484"/>
      <c r="O777" s="398"/>
    </row>
    <row r="778" spans="1:15" s="487" customFormat="1" ht="15.75" customHeight="1">
      <c r="A778" s="398"/>
      <c r="B778" s="398"/>
      <c r="C778" s="398"/>
      <c r="D778" s="398"/>
      <c r="E778" s="398"/>
      <c r="F778" s="398"/>
      <c r="G778" s="398"/>
      <c r="H778" s="398"/>
      <c r="I778" s="398"/>
      <c r="J778" s="398"/>
      <c r="K778" s="398"/>
      <c r="L778" s="398"/>
      <c r="M778" s="398"/>
      <c r="N778" s="1484"/>
      <c r="O778" s="398"/>
    </row>
    <row r="779" spans="1:15" s="487" customFormat="1" ht="15.75" customHeight="1">
      <c r="A779" s="398"/>
      <c r="B779" s="398"/>
      <c r="C779" s="398"/>
      <c r="D779" s="398"/>
      <c r="E779" s="398"/>
      <c r="F779" s="398"/>
      <c r="G779" s="398"/>
      <c r="H779" s="398"/>
      <c r="I779" s="398"/>
      <c r="J779" s="398"/>
      <c r="K779" s="398"/>
      <c r="L779" s="398"/>
      <c r="M779" s="398"/>
      <c r="N779" s="1484"/>
      <c r="O779" s="398"/>
    </row>
    <row r="780" spans="1:15" s="487" customFormat="1" ht="15.75" customHeight="1">
      <c r="A780" s="398"/>
      <c r="B780" s="398"/>
      <c r="C780" s="398"/>
      <c r="D780" s="398"/>
      <c r="E780" s="398"/>
      <c r="F780" s="398"/>
      <c r="G780" s="398"/>
      <c r="H780" s="398"/>
      <c r="I780" s="398"/>
      <c r="J780" s="398"/>
      <c r="K780" s="398"/>
      <c r="L780" s="398"/>
      <c r="M780" s="398"/>
      <c r="N780" s="1484"/>
      <c r="O780" s="398"/>
    </row>
    <row r="781" spans="1:15" s="487" customFormat="1" ht="15.75" customHeight="1">
      <c r="A781" s="398"/>
      <c r="B781" s="398"/>
      <c r="C781" s="398"/>
      <c r="D781" s="398"/>
      <c r="E781" s="398"/>
      <c r="F781" s="398"/>
      <c r="G781" s="398"/>
      <c r="H781" s="398"/>
      <c r="I781" s="398"/>
      <c r="J781" s="398"/>
      <c r="K781" s="398"/>
      <c r="L781" s="398"/>
      <c r="M781" s="398"/>
      <c r="N781" s="1484"/>
      <c r="O781" s="398"/>
    </row>
    <row r="782" spans="1:15" s="487" customFormat="1" ht="15.75" customHeight="1">
      <c r="A782" s="398"/>
      <c r="B782" s="398"/>
      <c r="C782" s="398"/>
      <c r="D782" s="398"/>
      <c r="E782" s="398"/>
      <c r="F782" s="398"/>
      <c r="G782" s="398"/>
      <c r="H782" s="398"/>
      <c r="I782" s="398"/>
      <c r="J782" s="398"/>
      <c r="K782" s="398"/>
      <c r="L782" s="398"/>
      <c r="M782" s="398"/>
      <c r="N782" s="1484"/>
      <c r="O782" s="398"/>
    </row>
    <row r="783" spans="1:15" s="487" customFormat="1" ht="15.75" customHeight="1">
      <c r="A783" s="398"/>
      <c r="B783" s="398"/>
      <c r="C783" s="398"/>
      <c r="D783" s="398"/>
      <c r="E783" s="398"/>
      <c r="F783" s="398"/>
      <c r="G783" s="398"/>
      <c r="H783" s="398"/>
      <c r="I783" s="398"/>
      <c r="J783" s="398"/>
      <c r="K783" s="398"/>
      <c r="L783" s="398"/>
      <c r="M783" s="398"/>
      <c r="N783" s="1484"/>
      <c r="O783" s="398"/>
    </row>
    <row r="784" spans="1:15" s="487" customFormat="1" ht="15.75" customHeight="1">
      <c r="A784" s="398"/>
      <c r="B784" s="398"/>
      <c r="C784" s="398"/>
      <c r="D784" s="398"/>
      <c r="E784" s="398"/>
      <c r="F784" s="398"/>
      <c r="G784" s="398"/>
      <c r="H784" s="398"/>
      <c r="I784" s="398"/>
      <c r="J784" s="398"/>
      <c r="K784" s="398"/>
      <c r="L784" s="398"/>
      <c r="M784" s="398"/>
      <c r="N784" s="1484"/>
      <c r="O784" s="398"/>
    </row>
    <row r="785" spans="1:15" s="487" customFormat="1" ht="15.75" customHeight="1">
      <c r="A785" s="398"/>
      <c r="B785" s="398"/>
      <c r="C785" s="398"/>
      <c r="D785" s="398"/>
      <c r="E785" s="398"/>
      <c r="F785" s="398"/>
      <c r="G785" s="398"/>
      <c r="H785" s="398"/>
      <c r="I785" s="398"/>
      <c r="J785" s="398"/>
      <c r="K785" s="398"/>
      <c r="L785" s="398"/>
      <c r="M785" s="398"/>
      <c r="N785" s="1484"/>
      <c r="O785" s="398"/>
    </row>
    <row r="786" spans="1:15" s="487" customFormat="1" ht="15.75" customHeight="1">
      <c r="A786" s="398"/>
      <c r="B786" s="398"/>
      <c r="C786" s="398"/>
      <c r="D786" s="398"/>
      <c r="E786" s="398"/>
      <c r="F786" s="398"/>
      <c r="G786" s="398"/>
      <c r="H786" s="398"/>
      <c r="I786" s="398"/>
      <c r="J786" s="398"/>
      <c r="K786" s="398"/>
      <c r="L786" s="398"/>
      <c r="M786" s="398"/>
      <c r="N786" s="1484"/>
      <c r="O786" s="398"/>
    </row>
    <row r="787" spans="1:15" s="487" customFormat="1" ht="15.75" customHeight="1">
      <c r="A787" s="398"/>
      <c r="B787" s="398"/>
      <c r="C787" s="398"/>
      <c r="D787" s="398"/>
      <c r="E787" s="398"/>
      <c r="F787" s="398"/>
      <c r="G787" s="398"/>
      <c r="H787" s="398"/>
      <c r="I787" s="398"/>
      <c r="J787" s="398"/>
      <c r="K787" s="398"/>
      <c r="L787" s="398"/>
      <c r="M787" s="398"/>
      <c r="N787" s="1484"/>
      <c r="O787" s="398"/>
    </row>
    <row r="788" spans="1:15" s="487" customFormat="1" ht="15.75" customHeight="1">
      <c r="A788" s="398"/>
      <c r="B788" s="398"/>
      <c r="C788" s="398"/>
      <c r="D788" s="398"/>
      <c r="E788" s="398"/>
      <c r="F788" s="398"/>
      <c r="G788" s="398"/>
      <c r="H788" s="398"/>
      <c r="I788" s="398"/>
      <c r="J788" s="398"/>
      <c r="K788" s="398"/>
      <c r="L788" s="398"/>
      <c r="M788" s="398"/>
      <c r="N788" s="1484"/>
      <c r="O788" s="398"/>
    </row>
    <row r="789" spans="1:15" s="487" customFormat="1" ht="15.75" customHeight="1">
      <c r="A789" s="398"/>
      <c r="B789" s="398"/>
      <c r="C789" s="398"/>
      <c r="D789" s="398"/>
      <c r="E789" s="398"/>
      <c r="F789" s="398"/>
      <c r="G789" s="398"/>
      <c r="H789" s="398"/>
      <c r="I789" s="398"/>
      <c r="J789" s="398"/>
      <c r="K789" s="398"/>
      <c r="L789" s="398"/>
      <c r="M789" s="398"/>
      <c r="N789" s="1484"/>
      <c r="O789" s="398"/>
    </row>
    <row r="790" spans="1:15" s="487" customFormat="1" ht="15.75" customHeight="1">
      <c r="A790" s="398"/>
      <c r="B790" s="398"/>
      <c r="C790" s="398"/>
      <c r="D790" s="398"/>
      <c r="E790" s="398"/>
      <c r="F790" s="398"/>
      <c r="G790" s="398"/>
      <c r="H790" s="398"/>
      <c r="I790" s="398"/>
      <c r="J790" s="398"/>
      <c r="K790" s="398"/>
      <c r="L790" s="398"/>
      <c r="M790" s="398"/>
      <c r="N790" s="1484"/>
      <c r="O790" s="398"/>
    </row>
    <row r="791" spans="1:15" s="487" customFormat="1" ht="15.75" customHeight="1">
      <c r="A791" s="398"/>
      <c r="B791" s="398"/>
      <c r="C791" s="398"/>
      <c r="D791" s="398"/>
      <c r="E791" s="398"/>
      <c r="F791" s="398"/>
      <c r="G791" s="398"/>
      <c r="H791" s="398"/>
      <c r="I791" s="398"/>
      <c r="J791" s="398"/>
      <c r="K791" s="398"/>
      <c r="L791" s="398"/>
      <c r="M791" s="398"/>
      <c r="N791" s="1484"/>
      <c r="O791" s="398"/>
    </row>
    <row r="792" spans="1:15" s="487" customFormat="1" ht="15.75" customHeight="1">
      <c r="A792" s="398"/>
      <c r="B792" s="398"/>
      <c r="C792" s="398"/>
      <c r="D792" s="398"/>
      <c r="E792" s="398"/>
      <c r="F792" s="398"/>
      <c r="G792" s="398"/>
      <c r="H792" s="398"/>
      <c r="I792" s="398"/>
      <c r="J792" s="398"/>
      <c r="K792" s="398"/>
      <c r="L792" s="398"/>
      <c r="M792" s="398"/>
      <c r="N792" s="1484"/>
      <c r="O792" s="398"/>
    </row>
    <row r="793" spans="1:15" s="487" customFormat="1" ht="15.75" customHeight="1">
      <c r="A793" s="398"/>
      <c r="B793" s="398"/>
      <c r="C793" s="398"/>
      <c r="D793" s="398"/>
      <c r="E793" s="398"/>
      <c r="F793" s="398"/>
      <c r="G793" s="398"/>
      <c r="H793" s="398"/>
      <c r="I793" s="398"/>
      <c r="J793" s="398"/>
      <c r="K793" s="398"/>
      <c r="L793" s="398"/>
      <c r="M793" s="398"/>
      <c r="N793" s="1484"/>
      <c r="O793" s="398"/>
    </row>
    <row r="794" spans="1:15" s="487" customFormat="1" ht="15.75" customHeight="1">
      <c r="A794" s="398"/>
      <c r="B794" s="398"/>
      <c r="C794" s="398"/>
      <c r="D794" s="398"/>
      <c r="E794" s="398"/>
      <c r="F794" s="398"/>
      <c r="G794" s="398"/>
      <c r="H794" s="398"/>
      <c r="I794" s="398"/>
      <c r="J794" s="398"/>
      <c r="K794" s="398"/>
      <c r="L794" s="398"/>
      <c r="M794" s="398"/>
      <c r="N794" s="1484"/>
      <c r="O794" s="398"/>
    </row>
    <row r="795" spans="1:15" s="487" customFormat="1" ht="15.75" customHeight="1">
      <c r="A795" s="398"/>
      <c r="B795" s="398"/>
      <c r="C795" s="398"/>
      <c r="D795" s="398"/>
      <c r="E795" s="398"/>
      <c r="F795" s="398"/>
      <c r="G795" s="398"/>
      <c r="H795" s="398"/>
      <c r="I795" s="398"/>
      <c r="J795" s="398"/>
      <c r="K795" s="398"/>
      <c r="L795" s="398"/>
      <c r="M795" s="398"/>
      <c r="N795" s="1484"/>
      <c r="O795" s="398"/>
    </row>
    <row r="796" spans="1:15" s="487" customFormat="1" ht="15.75" customHeight="1">
      <c r="A796" s="398"/>
      <c r="B796" s="398"/>
      <c r="C796" s="398"/>
      <c r="D796" s="398"/>
      <c r="E796" s="398"/>
      <c r="F796" s="398"/>
      <c r="G796" s="398"/>
      <c r="H796" s="398"/>
      <c r="I796" s="398"/>
      <c r="J796" s="398"/>
      <c r="K796" s="398"/>
      <c r="L796" s="398"/>
      <c r="M796" s="398"/>
      <c r="N796" s="1484"/>
      <c r="O796" s="398"/>
    </row>
    <row r="797" spans="1:15" s="487" customFormat="1" ht="15.75" customHeight="1">
      <c r="A797" s="398"/>
      <c r="B797" s="398"/>
      <c r="C797" s="398"/>
      <c r="D797" s="398"/>
      <c r="E797" s="398"/>
      <c r="F797" s="398"/>
      <c r="G797" s="398"/>
      <c r="H797" s="398"/>
      <c r="I797" s="398"/>
      <c r="J797" s="398"/>
      <c r="K797" s="398"/>
      <c r="L797" s="398"/>
      <c r="M797" s="398"/>
      <c r="N797" s="1484"/>
      <c r="O797" s="398"/>
    </row>
    <row r="798" spans="1:15" s="487" customFormat="1" ht="15.75" customHeight="1">
      <c r="A798" s="398"/>
      <c r="B798" s="398"/>
      <c r="C798" s="398"/>
      <c r="D798" s="398"/>
      <c r="E798" s="398"/>
      <c r="F798" s="398"/>
      <c r="G798" s="398"/>
      <c r="H798" s="398"/>
      <c r="I798" s="398"/>
      <c r="J798" s="398"/>
      <c r="K798" s="398"/>
      <c r="L798" s="398"/>
      <c r="M798" s="398"/>
      <c r="N798" s="1484"/>
      <c r="O798" s="398"/>
    </row>
    <row r="799" spans="1:15" s="487" customFormat="1" ht="15.75" customHeight="1">
      <c r="A799" s="398"/>
      <c r="B799" s="398"/>
      <c r="C799" s="398"/>
      <c r="D799" s="398"/>
      <c r="E799" s="398"/>
      <c r="F799" s="398"/>
      <c r="G799" s="398"/>
      <c r="H799" s="398"/>
      <c r="I799" s="398"/>
      <c r="J799" s="398"/>
      <c r="K799" s="398"/>
      <c r="L799" s="398"/>
      <c r="M799" s="398"/>
      <c r="N799" s="1484"/>
      <c r="O799" s="398"/>
    </row>
    <row r="800" spans="1:15" s="487" customFormat="1" ht="15.75" customHeight="1">
      <c r="A800" s="398"/>
      <c r="B800" s="398"/>
      <c r="C800" s="398"/>
      <c r="D800" s="398"/>
      <c r="E800" s="398"/>
      <c r="F800" s="398"/>
      <c r="G800" s="398"/>
      <c r="H800" s="398"/>
      <c r="I800" s="398"/>
      <c r="J800" s="398"/>
      <c r="K800" s="398"/>
      <c r="L800" s="398"/>
      <c r="M800" s="398"/>
      <c r="N800" s="1484"/>
      <c r="O800" s="398"/>
    </row>
    <row r="801" spans="1:15" s="487" customFormat="1" ht="15.75" customHeight="1">
      <c r="A801" s="398"/>
      <c r="B801" s="398"/>
      <c r="C801" s="398"/>
      <c r="D801" s="398"/>
      <c r="E801" s="398"/>
      <c r="F801" s="398"/>
      <c r="G801" s="398"/>
      <c r="H801" s="398"/>
      <c r="I801" s="398"/>
      <c r="J801" s="398"/>
      <c r="K801" s="398"/>
      <c r="L801" s="398"/>
      <c r="M801" s="398"/>
      <c r="N801" s="1484"/>
      <c r="O801" s="398"/>
    </row>
    <row r="802" spans="1:15" s="487" customFormat="1" ht="15.75" customHeight="1">
      <c r="A802" s="398"/>
      <c r="B802" s="398"/>
      <c r="C802" s="398"/>
      <c r="D802" s="398"/>
      <c r="E802" s="398"/>
      <c r="F802" s="398"/>
      <c r="G802" s="398"/>
      <c r="H802" s="398"/>
      <c r="I802" s="398"/>
      <c r="J802" s="398"/>
      <c r="K802" s="398"/>
      <c r="L802" s="398"/>
      <c r="M802" s="398"/>
      <c r="N802" s="1484"/>
      <c r="O802" s="398"/>
    </row>
    <row r="803" spans="1:15" s="487" customFormat="1" ht="15.75" customHeight="1">
      <c r="A803" s="398"/>
      <c r="B803" s="398"/>
      <c r="C803" s="398"/>
      <c r="D803" s="398"/>
      <c r="E803" s="398"/>
      <c r="F803" s="398"/>
      <c r="G803" s="398"/>
      <c r="H803" s="398"/>
      <c r="I803" s="398"/>
      <c r="J803" s="398"/>
      <c r="K803" s="398"/>
      <c r="L803" s="398"/>
      <c r="M803" s="398"/>
      <c r="N803" s="1484"/>
      <c r="O803" s="398"/>
    </row>
    <row r="804" spans="1:15" s="487" customFormat="1" ht="15.75" customHeight="1">
      <c r="A804" s="398"/>
      <c r="B804" s="398"/>
      <c r="C804" s="398"/>
      <c r="D804" s="398"/>
      <c r="E804" s="398"/>
      <c r="F804" s="398"/>
      <c r="G804" s="398"/>
      <c r="H804" s="398"/>
      <c r="I804" s="398"/>
      <c r="J804" s="398"/>
      <c r="K804" s="398"/>
      <c r="L804" s="398"/>
      <c r="M804" s="398"/>
      <c r="N804" s="1484"/>
      <c r="O804" s="398"/>
    </row>
    <row r="805" spans="1:15" s="487" customFormat="1" ht="15.75" customHeight="1">
      <c r="A805" s="398"/>
      <c r="B805" s="398"/>
      <c r="C805" s="398"/>
      <c r="D805" s="398"/>
      <c r="E805" s="398"/>
      <c r="F805" s="398"/>
      <c r="G805" s="398"/>
      <c r="H805" s="398"/>
      <c r="I805" s="398"/>
      <c r="J805" s="398"/>
      <c r="K805" s="398"/>
      <c r="L805" s="398"/>
      <c r="M805" s="398"/>
      <c r="N805" s="1484"/>
      <c r="O805" s="398"/>
    </row>
    <row r="806" spans="1:15" s="487" customFormat="1" ht="15.75" customHeight="1">
      <c r="A806" s="398"/>
      <c r="B806" s="398"/>
      <c r="C806" s="398"/>
      <c r="D806" s="398"/>
      <c r="E806" s="398"/>
      <c r="F806" s="398"/>
      <c r="G806" s="398"/>
      <c r="H806" s="398"/>
      <c r="I806" s="398"/>
      <c r="J806" s="398"/>
      <c r="K806" s="398"/>
      <c r="L806" s="398"/>
      <c r="M806" s="398"/>
      <c r="N806" s="1484"/>
      <c r="O806" s="398"/>
    </row>
    <row r="807" spans="1:15" s="487" customFormat="1" ht="15.75" customHeight="1">
      <c r="A807" s="398"/>
      <c r="B807" s="398"/>
      <c r="C807" s="398"/>
      <c r="D807" s="398"/>
      <c r="E807" s="398"/>
      <c r="F807" s="398"/>
      <c r="G807" s="398"/>
      <c r="H807" s="398"/>
      <c r="I807" s="398"/>
      <c r="J807" s="398"/>
      <c r="K807" s="398"/>
      <c r="L807" s="398"/>
      <c r="M807" s="398"/>
      <c r="N807" s="1484"/>
      <c r="O807" s="398"/>
    </row>
    <row r="808" spans="1:15" s="487" customFormat="1" ht="15.75" customHeight="1">
      <c r="A808" s="398"/>
      <c r="B808" s="398"/>
      <c r="C808" s="398"/>
      <c r="D808" s="398"/>
      <c r="E808" s="398"/>
      <c r="F808" s="398"/>
      <c r="G808" s="398"/>
      <c r="H808" s="398"/>
      <c r="I808" s="398"/>
      <c r="J808" s="398"/>
      <c r="K808" s="398"/>
      <c r="L808" s="398"/>
      <c r="M808" s="398"/>
      <c r="N808" s="1484"/>
      <c r="O808" s="398"/>
    </row>
    <row r="809" spans="1:15" s="487" customFormat="1" ht="15.75" customHeight="1">
      <c r="A809" s="398"/>
      <c r="B809" s="398"/>
      <c r="C809" s="398"/>
      <c r="D809" s="398"/>
      <c r="E809" s="398"/>
      <c r="F809" s="398"/>
      <c r="G809" s="398"/>
      <c r="H809" s="398"/>
      <c r="I809" s="398"/>
      <c r="J809" s="398"/>
      <c r="K809" s="398"/>
      <c r="L809" s="398"/>
      <c r="M809" s="398"/>
      <c r="N809" s="1484"/>
      <c r="O809" s="398"/>
    </row>
    <row r="810" spans="1:15" s="487" customFormat="1" ht="15.75" customHeight="1">
      <c r="A810" s="398"/>
      <c r="B810" s="398"/>
      <c r="C810" s="398"/>
      <c r="D810" s="398"/>
      <c r="E810" s="398"/>
      <c r="F810" s="398"/>
      <c r="G810" s="398"/>
      <c r="H810" s="398"/>
      <c r="I810" s="398"/>
      <c r="J810" s="398"/>
      <c r="K810" s="398"/>
      <c r="L810" s="398"/>
      <c r="M810" s="398"/>
      <c r="N810" s="1484"/>
      <c r="O810" s="398"/>
    </row>
    <row r="811" spans="1:15" s="487" customFormat="1" ht="15.75" customHeight="1">
      <c r="A811" s="398"/>
      <c r="B811" s="398"/>
      <c r="C811" s="398"/>
      <c r="D811" s="398"/>
      <c r="E811" s="398"/>
      <c r="F811" s="398"/>
      <c r="G811" s="398"/>
      <c r="H811" s="398"/>
      <c r="I811" s="398"/>
      <c r="J811" s="398"/>
      <c r="K811" s="398"/>
      <c r="L811" s="398"/>
      <c r="M811" s="398"/>
      <c r="N811" s="1484"/>
      <c r="O811" s="398"/>
    </row>
    <row r="812" spans="1:15" s="487" customFormat="1" ht="15.75" customHeight="1">
      <c r="A812" s="398"/>
      <c r="B812" s="398"/>
      <c r="C812" s="398"/>
      <c r="D812" s="398"/>
      <c r="E812" s="398"/>
      <c r="F812" s="398"/>
      <c r="G812" s="398"/>
      <c r="H812" s="398"/>
      <c r="I812" s="398"/>
      <c r="J812" s="398"/>
      <c r="K812" s="398"/>
      <c r="L812" s="398"/>
      <c r="M812" s="398"/>
      <c r="N812" s="1484"/>
      <c r="O812" s="398"/>
    </row>
    <row r="813" spans="1:15" s="487" customFormat="1" ht="15.75" customHeight="1">
      <c r="A813" s="398"/>
      <c r="B813" s="398"/>
      <c r="C813" s="398"/>
      <c r="D813" s="398"/>
      <c r="E813" s="398"/>
      <c r="F813" s="398"/>
      <c r="G813" s="398"/>
      <c r="H813" s="398"/>
      <c r="I813" s="398"/>
      <c r="J813" s="398"/>
      <c r="K813" s="398"/>
      <c r="L813" s="398"/>
      <c r="M813" s="398"/>
      <c r="N813" s="1484"/>
      <c r="O813" s="398"/>
    </row>
    <row r="814" spans="1:15" s="487" customFormat="1" ht="15.75" customHeight="1">
      <c r="A814" s="398"/>
      <c r="B814" s="398"/>
      <c r="C814" s="398"/>
      <c r="D814" s="398"/>
      <c r="E814" s="398"/>
      <c r="F814" s="398"/>
      <c r="G814" s="398"/>
      <c r="H814" s="398"/>
      <c r="I814" s="398"/>
      <c r="J814" s="398"/>
      <c r="K814" s="398"/>
      <c r="L814" s="398"/>
      <c r="M814" s="398"/>
      <c r="N814" s="1484"/>
      <c r="O814" s="398"/>
    </row>
    <row r="815" spans="1:15" s="487" customFormat="1" ht="15.75" customHeight="1">
      <c r="A815" s="398"/>
      <c r="B815" s="398"/>
      <c r="C815" s="398"/>
      <c r="D815" s="398"/>
      <c r="E815" s="398"/>
      <c r="F815" s="398"/>
      <c r="G815" s="398"/>
      <c r="H815" s="398"/>
      <c r="I815" s="398"/>
      <c r="J815" s="398"/>
      <c r="K815" s="398"/>
      <c r="L815" s="398"/>
      <c r="M815" s="398"/>
      <c r="N815" s="1484"/>
      <c r="O815" s="398"/>
    </row>
    <row r="816" spans="1:15" s="487" customFormat="1" ht="15.75" customHeight="1">
      <c r="A816" s="398"/>
      <c r="B816" s="398"/>
      <c r="C816" s="398"/>
      <c r="D816" s="398"/>
      <c r="E816" s="398"/>
      <c r="F816" s="398"/>
      <c r="G816" s="398"/>
      <c r="H816" s="398"/>
      <c r="I816" s="398"/>
      <c r="J816" s="398"/>
      <c r="K816" s="398"/>
      <c r="L816" s="398"/>
      <c r="M816" s="398"/>
      <c r="N816" s="1484"/>
      <c r="O816" s="398"/>
    </row>
    <row r="817" spans="1:15" s="487" customFormat="1" ht="15.75" customHeight="1">
      <c r="A817" s="398"/>
      <c r="B817" s="398"/>
      <c r="C817" s="398"/>
      <c r="D817" s="398"/>
      <c r="E817" s="398"/>
      <c r="F817" s="398"/>
      <c r="G817" s="398"/>
      <c r="H817" s="398"/>
      <c r="I817" s="398"/>
      <c r="J817" s="398"/>
      <c r="K817" s="398"/>
      <c r="L817" s="398"/>
      <c r="M817" s="398"/>
      <c r="N817" s="1484"/>
      <c r="O817" s="398"/>
    </row>
    <row r="818" spans="1:15" s="487" customFormat="1" ht="15.75" customHeight="1">
      <c r="A818" s="398"/>
      <c r="B818" s="398"/>
      <c r="C818" s="398"/>
      <c r="D818" s="398"/>
      <c r="E818" s="398"/>
      <c r="F818" s="398"/>
      <c r="G818" s="398"/>
      <c r="H818" s="398"/>
      <c r="I818" s="398"/>
      <c r="J818" s="398"/>
      <c r="K818" s="398"/>
      <c r="L818" s="398"/>
      <c r="M818" s="398"/>
      <c r="N818" s="1484"/>
      <c r="O818" s="398"/>
    </row>
    <row r="819" spans="1:15" s="487" customFormat="1" ht="15.75" customHeight="1">
      <c r="A819" s="398"/>
      <c r="B819" s="398"/>
      <c r="C819" s="398"/>
      <c r="D819" s="398"/>
      <c r="E819" s="398"/>
      <c r="F819" s="398"/>
      <c r="G819" s="398"/>
      <c r="H819" s="398"/>
      <c r="I819" s="398"/>
      <c r="J819" s="398"/>
      <c r="K819" s="398"/>
      <c r="L819" s="398"/>
      <c r="M819" s="398"/>
      <c r="N819" s="1484"/>
      <c r="O819" s="398"/>
    </row>
    <row r="820" spans="1:15" s="487" customFormat="1" ht="15.75" customHeight="1">
      <c r="A820" s="398"/>
      <c r="B820" s="398"/>
      <c r="C820" s="398"/>
      <c r="D820" s="398"/>
      <c r="E820" s="398"/>
      <c r="F820" s="398"/>
      <c r="G820" s="398"/>
      <c r="H820" s="398"/>
      <c r="I820" s="398"/>
      <c r="J820" s="398"/>
      <c r="K820" s="398"/>
      <c r="L820" s="398"/>
      <c r="M820" s="398"/>
      <c r="N820" s="1484"/>
      <c r="O820" s="398"/>
    </row>
    <row r="821" spans="1:15" s="487" customFormat="1" ht="15.75" customHeight="1">
      <c r="A821" s="398"/>
      <c r="B821" s="398"/>
      <c r="C821" s="398"/>
      <c r="D821" s="398"/>
      <c r="E821" s="398"/>
      <c r="F821" s="398"/>
      <c r="G821" s="398"/>
      <c r="H821" s="398"/>
      <c r="I821" s="398"/>
      <c r="J821" s="398"/>
      <c r="K821" s="398"/>
      <c r="L821" s="398"/>
      <c r="M821" s="398"/>
      <c r="N821" s="1484"/>
      <c r="O821" s="398"/>
    </row>
    <row r="822" spans="1:15" s="487" customFormat="1" ht="15.75" customHeight="1">
      <c r="A822" s="398"/>
      <c r="B822" s="398"/>
      <c r="C822" s="398"/>
      <c r="D822" s="398"/>
      <c r="E822" s="398"/>
      <c r="F822" s="398"/>
      <c r="G822" s="398"/>
      <c r="H822" s="398"/>
      <c r="I822" s="398"/>
      <c r="J822" s="398"/>
      <c r="K822" s="398"/>
      <c r="L822" s="398"/>
      <c r="M822" s="398"/>
      <c r="N822" s="1484"/>
      <c r="O822" s="398"/>
    </row>
    <row r="823" spans="1:15" s="487" customFormat="1" ht="15.75" customHeight="1">
      <c r="A823" s="398"/>
      <c r="B823" s="398"/>
      <c r="C823" s="398"/>
      <c r="D823" s="398"/>
      <c r="E823" s="398"/>
      <c r="F823" s="398"/>
      <c r="G823" s="398"/>
      <c r="H823" s="398"/>
      <c r="I823" s="398"/>
      <c r="J823" s="398"/>
      <c r="K823" s="398"/>
      <c r="L823" s="398"/>
      <c r="M823" s="398"/>
      <c r="N823" s="1484"/>
      <c r="O823" s="398"/>
    </row>
    <row r="824" spans="1:15" s="487" customFormat="1" ht="15.75" customHeight="1">
      <c r="A824" s="398"/>
      <c r="B824" s="398"/>
      <c r="C824" s="398"/>
      <c r="D824" s="398"/>
      <c r="E824" s="398"/>
      <c r="F824" s="398"/>
      <c r="G824" s="398"/>
      <c r="H824" s="398"/>
      <c r="I824" s="398"/>
      <c r="J824" s="398"/>
      <c r="K824" s="398"/>
      <c r="L824" s="398"/>
      <c r="M824" s="398"/>
      <c r="N824" s="1484"/>
      <c r="O824" s="398"/>
    </row>
    <row r="825" spans="1:15" s="487" customFormat="1" ht="15.75" customHeight="1">
      <c r="A825" s="398"/>
      <c r="B825" s="398"/>
      <c r="C825" s="398"/>
      <c r="D825" s="398"/>
      <c r="E825" s="398"/>
      <c r="F825" s="398"/>
      <c r="G825" s="398"/>
      <c r="H825" s="398"/>
      <c r="I825" s="398"/>
      <c r="J825" s="398"/>
      <c r="K825" s="398"/>
      <c r="L825" s="398"/>
      <c r="M825" s="398"/>
      <c r="N825" s="1484"/>
      <c r="O825" s="398"/>
    </row>
    <row r="826" spans="1:15" s="487" customFormat="1" ht="15.75" customHeight="1">
      <c r="A826" s="398"/>
      <c r="B826" s="398"/>
      <c r="C826" s="398"/>
      <c r="D826" s="398"/>
      <c r="E826" s="398"/>
      <c r="F826" s="398"/>
      <c r="G826" s="398"/>
      <c r="H826" s="398"/>
      <c r="I826" s="398"/>
      <c r="J826" s="398"/>
      <c r="K826" s="398"/>
      <c r="L826" s="398"/>
      <c r="M826" s="398"/>
      <c r="N826" s="1484"/>
      <c r="O826" s="398"/>
    </row>
    <row r="827" spans="1:15" s="487" customFormat="1" ht="15.75" customHeight="1">
      <c r="A827" s="398"/>
      <c r="B827" s="398"/>
      <c r="C827" s="398"/>
      <c r="D827" s="398"/>
      <c r="E827" s="398"/>
      <c r="F827" s="398"/>
      <c r="G827" s="398"/>
      <c r="H827" s="398"/>
      <c r="I827" s="398"/>
      <c r="J827" s="398"/>
      <c r="K827" s="398"/>
      <c r="L827" s="398"/>
      <c r="M827" s="398"/>
      <c r="N827" s="1484"/>
      <c r="O827" s="398"/>
    </row>
    <row r="828" spans="1:15" s="487" customFormat="1" ht="15.75" customHeight="1">
      <c r="A828" s="398"/>
      <c r="B828" s="398"/>
      <c r="C828" s="398"/>
      <c r="D828" s="398"/>
      <c r="E828" s="398"/>
      <c r="F828" s="398"/>
      <c r="G828" s="398"/>
      <c r="H828" s="398"/>
      <c r="I828" s="398"/>
      <c r="J828" s="398"/>
      <c r="K828" s="398"/>
      <c r="L828" s="398"/>
      <c r="M828" s="398"/>
      <c r="N828" s="1484"/>
      <c r="O828" s="398"/>
    </row>
    <row r="829" spans="1:15" s="487" customFormat="1" ht="15.75" customHeight="1">
      <c r="A829" s="398"/>
      <c r="B829" s="398"/>
      <c r="C829" s="398"/>
      <c r="D829" s="398"/>
      <c r="E829" s="398"/>
      <c r="F829" s="398"/>
      <c r="G829" s="398"/>
      <c r="H829" s="398"/>
      <c r="I829" s="398"/>
      <c r="J829" s="398"/>
      <c r="K829" s="398"/>
      <c r="L829" s="398"/>
      <c r="M829" s="398"/>
      <c r="N829" s="1484"/>
      <c r="O829" s="398"/>
    </row>
    <row r="830" spans="1:15" s="487" customFormat="1" ht="15.75" customHeight="1">
      <c r="A830" s="398"/>
      <c r="B830" s="398"/>
      <c r="C830" s="398"/>
      <c r="D830" s="398"/>
      <c r="E830" s="398"/>
      <c r="F830" s="398"/>
      <c r="G830" s="398"/>
      <c r="H830" s="398"/>
      <c r="I830" s="398"/>
      <c r="J830" s="398"/>
      <c r="K830" s="398"/>
      <c r="L830" s="398"/>
      <c r="M830" s="398"/>
      <c r="N830" s="1484"/>
      <c r="O830" s="398"/>
    </row>
    <row r="831" spans="1:15" s="487" customFormat="1" ht="15.75" customHeight="1">
      <c r="A831" s="398"/>
      <c r="B831" s="398"/>
      <c r="C831" s="398"/>
      <c r="D831" s="398"/>
      <c r="E831" s="398"/>
      <c r="F831" s="398"/>
      <c r="G831" s="398"/>
      <c r="H831" s="398"/>
      <c r="I831" s="398"/>
      <c r="J831" s="398"/>
      <c r="K831" s="398"/>
      <c r="L831" s="398"/>
      <c r="M831" s="398"/>
      <c r="N831" s="1484"/>
      <c r="O831" s="398"/>
    </row>
    <row r="832" spans="1:15" s="487" customFormat="1" ht="15.75" customHeight="1">
      <c r="A832" s="398"/>
      <c r="B832" s="398"/>
      <c r="C832" s="398"/>
      <c r="D832" s="398"/>
      <c r="E832" s="398"/>
      <c r="F832" s="398"/>
      <c r="G832" s="398"/>
      <c r="H832" s="398"/>
      <c r="I832" s="398"/>
      <c r="J832" s="398"/>
      <c r="K832" s="398"/>
      <c r="L832" s="398"/>
      <c r="M832" s="398"/>
      <c r="N832" s="1484"/>
      <c r="O832" s="398"/>
    </row>
    <row r="833" spans="1:15" s="487" customFormat="1" ht="15.75" customHeight="1">
      <c r="A833" s="398"/>
      <c r="B833" s="398"/>
      <c r="C833" s="398"/>
      <c r="D833" s="398"/>
      <c r="E833" s="398"/>
      <c r="F833" s="398"/>
      <c r="G833" s="398"/>
      <c r="H833" s="398"/>
      <c r="I833" s="398"/>
      <c r="J833" s="398"/>
      <c r="K833" s="398"/>
      <c r="L833" s="398"/>
      <c r="M833" s="398"/>
      <c r="N833" s="1484"/>
      <c r="O833" s="398"/>
    </row>
    <row r="834" spans="1:15" s="487" customFormat="1" ht="15.75" customHeight="1">
      <c r="A834" s="398"/>
      <c r="B834" s="398"/>
      <c r="C834" s="398"/>
      <c r="D834" s="398"/>
      <c r="E834" s="398"/>
      <c r="F834" s="398"/>
      <c r="G834" s="398"/>
      <c r="H834" s="398"/>
      <c r="I834" s="398"/>
      <c r="J834" s="398"/>
      <c r="K834" s="398"/>
      <c r="L834" s="398"/>
      <c r="M834" s="398"/>
      <c r="N834" s="1484"/>
      <c r="O834" s="398"/>
    </row>
    <row r="835" spans="1:15" s="487" customFormat="1" ht="15.75" customHeight="1">
      <c r="A835" s="398"/>
      <c r="B835" s="398"/>
      <c r="C835" s="398"/>
      <c r="D835" s="398"/>
      <c r="E835" s="398"/>
      <c r="F835" s="398"/>
      <c r="G835" s="398"/>
      <c r="H835" s="398"/>
      <c r="I835" s="398"/>
      <c r="J835" s="398"/>
      <c r="K835" s="398"/>
      <c r="L835" s="398"/>
      <c r="M835" s="398"/>
      <c r="N835" s="1484"/>
      <c r="O835" s="398"/>
    </row>
    <row r="836" spans="1:15" s="487" customFormat="1" ht="15.75" customHeight="1">
      <c r="A836" s="398"/>
      <c r="B836" s="398"/>
      <c r="C836" s="398"/>
      <c r="D836" s="398"/>
      <c r="E836" s="398"/>
      <c r="F836" s="398"/>
      <c r="G836" s="398"/>
      <c r="H836" s="398"/>
      <c r="I836" s="398"/>
      <c r="J836" s="398"/>
      <c r="K836" s="398"/>
      <c r="L836" s="398"/>
      <c r="M836" s="398"/>
      <c r="N836" s="1484"/>
      <c r="O836" s="398"/>
    </row>
    <row r="837" spans="1:15" s="487" customFormat="1" ht="15.75" customHeight="1">
      <c r="A837" s="398"/>
      <c r="B837" s="398"/>
      <c r="C837" s="398"/>
      <c r="D837" s="398"/>
      <c r="E837" s="398"/>
      <c r="F837" s="398"/>
      <c r="G837" s="398"/>
      <c r="H837" s="398"/>
      <c r="I837" s="398"/>
      <c r="J837" s="398"/>
      <c r="K837" s="398"/>
      <c r="L837" s="398"/>
      <c r="M837" s="398"/>
      <c r="N837" s="1484"/>
      <c r="O837" s="398"/>
    </row>
    <row r="838" spans="1:15" s="487" customFormat="1" ht="15.75" customHeight="1">
      <c r="A838" s="398"/>
      <c r="B838" s="398"/>
      <c r="C838" s="398"/>
      <c r="D838" s="398"/>
      <c r="E838" s="398"/>
      <c r="F838" s="398"/>
      <c r="G838" s="398"/>
      <c r="H838" s="398"/>
      <c r="I838" s="398"/>
      <c r="J838" s="398"/>
      <c r="K838" s="398"/>
      <c r="L838" s="398"/>
      <c r="M838" s="398"/>
      <c r="N838" s="1484"/>
      <c r="O838" s="398"/>
    </row>
    <row r="839" spans="1:15" s="487" customFormat="1" ht="15.75" customHeight="1">
      <c r="A839" s="398"/>
      <c r="B839" s="398"/>
      <c r="C839" s="398"/>
      <c r="D839" s="398"/>
      <c r="E839" s="398"/>
      <c r="F839" s="398"/>
      <c r="G839" s="398"/>
      <c r="H839" s="398"/>
      <c r="I839" s="398"/>
      <c r="J839" s="398"/>
      <c r="K839" s="398"/>
      <c r="L839" s="398"/>
      <c r="M839" s="398"/>
      <c r="N839" s="1484"/>
      <c r="O839" s="398"/>
    </row>
    <row r="840" spans="1:15" s="487" customFormat="1" ht="15.75" customHeight="1">
      <c r="A840" s="398"/>
      <c r="B840" s="398"/>
      <c r="C840" s="398"/>
      <c r="D840" s="398"/>
      <c r="E840" s="398"/>
      <c r="F840" s="398"/>
      <c r="G840" s="398"/>
      <c r="H840" s="398"/>
      <c r="I840" s="398"/>
      <c r="J840" s="398"/>
      <c r="K840" s="398"/>
      <c r="L840" s="398"/>
      <c r="M840" s="398"/>
      <c r="N840" s="1484"/>
      <c r="O840" s="398"/>
    </row>
    <row r="841" spans="1:15" s="487" customFormat="1" ht="15.75" customHeight="1">
      <c r="A841" s="398"/>
      <c r="B841" s="398"/>
      <c r="C841" s="398"/>
      <c r="D841" s="398"/>
      <c r="E841" s="398"/>
      <c r="F841" s="398"/>
      <c r="G841" s="398"/>
      <c r="H841" s="398"/>
      <c r="I841" s="398"/>
      <c r="J841" s="398"/>
      <c r="K841" s="398"/>
      <c r="L841" s="398"/>
      <c r="M841" s="398"/>
      <c r="N841" s="1484"/>
      <c r="O841" s="398"/>
    </row>
    <row r="842" spans="1:15" s="487" customFormat="1" ht="15.75" customHeight="1">
      <c r="A842" s="398"/>
      <c r="B842" s="398"/>
      <c r="C842" s="398"/>
      <c r="D842" s="398"/>
      <c r="E842" s="398"/>
      <c r="F842" s="398"/>
      <c r="G842" s="398"/>
      <c r="H842" s="398"/>
      <c r="I842" s="398"/>
      <c r="J842" s="398"/>
      <c r="K842" s="398"/>
      <c r="L842" s="398"/>
      <c r="M842" s="398"/>
      <c r="N842" s="1484"/>
      <c r="O842" s="398"/>
    </row>
    <row r="843" spans="1:15" s="487" customFormat="1" ht="15.75" customHeight="1">
      <c r="A843" s="398"/>
      <c r="B843" s="398"/>
      <c r="C843" s="398"/>
      <c r="D843" s="398"/>
      <c r="E843" s="398"/>
      <c r="F843" s="398"/>
      <c r="G843" s="398"/>
      <c r="H843" s="398"/>
      <c r="I843" s="398"/>
      <c r="J843" s="398"/>
      <c r="K843" s="398"/>
      <c r="L843" s="398"/>
      <c r="M843" s="398"/>
      <c r="N843" s="1484"/>
      <c r="O843" s="398"/>
    </row>
    <row r="844" spans="1:15" s="487" customFormat="1" ht="15.75" customHeight="1">
      <c r="A844" s="398"/>
      <c r="B844" s="398"/>
      <c r="C844" s="398"/>
      <c r="D844" s="398"/>
      <c r="E844" s="398"/>
      <c r="F844" s="398"/>
      <c r="G844" s="398"/>
      <c r="H844" s="398"/>
      <c r="I844" s="398"/>
      <c r="J844" s="398"/>
      <c r="K844" s="398"/>
      <c r="L844" s="398"/>
      <c r="M844" s="398"/>
      <c r="N844" s="1484"/>
      <c r="O844" s="398"/>
    </row>
    <row r="845" spans="1:15" s="487" customFormat="1" ht="15.75" customHeight="1">
      <c r="A845" s="398"/>
      <c r="B845" s="398"/>
      <c r="C845" s="398"/>
      <c r="D845" s="398"/>
      <c r="E845" s="398"/>
      <c r="F845" s="398"/>
      <c r="G845" s="398"/>
      <c r="H845" s="398"/>
      <c r="I845" s="398"/>
      <c r="J845" s="398"/>
      <c r="K845" s="398"/>
      <c r="L845" s="398"/>
      <c r="M845" s="398"/>
      <c r="N845" s="1484"/>
      <c r="O845" s="398"/>
    </row>
    <row r="846" spans="1:15" s="487" customFormat="1" ht="15.75" customHeight="1">
      <c r="A846" s="398"/>
      <c r="B846" s="398"/>
      <c r="C846" s="398"/>
      <c r="D846" s="398"/>
      <c r="E846" s="398"/>
      <c r="F846" s="398"/>
      <c r="G846" s="398"/>
      <c r="H846" s="398"/>
      <c r="I846" s="398"/>
      <c r="J846" s="398"/>
      <c r="K846" s="398"/>
      <c r="L846" s="398"/>
      <c r="M846" s="398"/>
      <c r="N846" s="1484"/>
      <c r="O846" s="398"/>
    </row>
    <row r="847" spans="1:15" s="487" customFormat="1" ht="15.75" customHeight="1">
      <c r="A847" s="398"/>
      <c r="B847" s="398"/>
      <c r="C847" s="398"/>
      <c r="D847" s="398"/>
      <c r="E847" s="398"/>
      <c r="F847" s="398"/>
      <c r="G847" s="398"/>
      <c r="H847" s="398"/>
      <c r="I847" s="398"/>
      <c r="J847" s="398"/>
      <c r="K847" s="398"/>
      <c r="L847" s="398"/>
      <c r="M847" s="398"/>
      <c r="N847" s="1484"/>
      <c r="O847" s="398"/>
    </row>
    <row r="848" spans="1:15" s="487" customFormat="1" ht="15.75" customHeight="1">
      <c r="A848" s="398"/>
      <c r="B848" s="398"/>
      <c r="C848" s="398"/>
      <c r="D848" s="398"/>
      <c r="E848" s="398"/>
      <c r="F848" s="398"/>
      <c r="G848" s="398"/>
      <c r="H848" s="398"/>
      <c r="I848" s="398"/>
      <c r="J848" s="398"/>
      <c r="K848" s="398"/>
      <c r="L848" s="398"/>
      <c r="M848" s="398"/>
      <c r="N848" s="1484"/>
      <c r="O848" s="398"/>
    </row>
    <row r="849" spans="1:15" s="487" customFormat="1" ht="15.75" customHeight="1">
      <c r="A849" s="398"/>
      <c r="B849" s="398"/>
      <c r="C849" s="398"/>
      <c r="D849" s="398"/>
      <c r="E849" s="398"/>
      <c r="F849" s="398"/>
      <c r="G849" s="398"/>
      <c r="H849" s="398"/>
      <c r="I849" s="398"/>
      <c r="J849" s="398"/>
      <c r="K849" s="398"/>
      <c r="L849" s="398"/>
      <c r="M849" s="398"/>
      <c r="N849" s="1484"/>
      <c r="O849" s="398"/>
    </row>
    <row r="850" spans="1:15" s="487" customFormat="1" ht="15.75" customHeight="1">
      <c r="A850" s="398"/>
      <c r="B850" s="398"/>
      <c r="C850" s="398"/>
      <c r="D850" s="398"/>
      <c r="E850" s="398"/>
      <c r="F850" s="398"/>
      <c r="G850" s="398"/>
      <c r="H850" s="398"/>
      <c r="I850" s="398"/>
      <c r="J850" s="398"/>
      <c r="K850" s="398"/>
      <c r="L850" s="398"/>
      <c r="M850" s="398"/>
      <c r="N850" s="1484"/>
      <c r="O850" s="398"/>
    </row>
    <row r="851" spans="1:15" s="487" customFormat="1" ht="15.75" customHeight="1">
      <c r="A851" s="398"/>
      <c r="B851" s="398"/>
      <c r="C851" s="398"/>
      <c r="D851" s="398"/>
      <c r="E851" s="398"/>
      <c r="F851" s="398"/>
      <c r="G851" s="398"/>
      <c r="H851" s="398"/>
      <c r="I851" s="398"/>
      <c r="J851" s="398"/>
      <c r="K851" s="398"/>
      <c r="L851" s="398"/>
      <c r="M851" s="398"/>
      <c r="N851" s="1484"/>
      <c r="O851" s="398"/>
    </row>
    <row r="852" spans="1:15" s="487" customFormat="1" ht="15.75" customHeight="1">
      <c r="A852" s="398"/>
      <c r="B852" s="398"/>
      <c r="C852" s="398"/>
      <c r="D852" s="398"/>
      <c r="E852" s="398"/>
      <c r="F852" s="398"/>
      <c r="G852" s="398"/>
      <c r="H852" s="398"/>
      <c r="I852" s="398"/>
      <c r="J852" s="398"/>
      <c r="K852" s="398"/>
      <c r="L852" s="398"/>
      <c r="M852" s="398"/>
      <c r="N852" s="1484"/>
      <c r="O852" s="398"/>
    </row>
    <row r="853" spans="1:15" s="487" customFormat="1" ht="15.75" customHeight="1">
      <c r="A853" s="398"/>
      <c r="B853" s="398"/>
      <c r="C853" s="398"/>
      <c r="D853" s="398"/>
      <c r="E853" s="398"/>
      <c r="F853" s="398"/>
      <c r="G853" s="398"/>
      <c r="H853" s="398"/>
      <c r="I853" s="398"/>
      <c r="J853" s="398"/>
      <c r="K853" s="398"/>
      <c r="L853" s="398"/>
      <c r="M853" s="398"/>
      <c r="N853" s="1484"/>
      <c r="O853" s="398"/>
    </row>
    <row r="854" spans="1:15" s="487" customFormat="1" ht="15.75" customHeight="1">
      <c r="A854" s="398"/>
      <c r="B854" s="398"/>
      <c r="C854" s="398"/>
      <c r="D854" s="398"/>
      <c r="E854" s="398"/>
      <c r="F854" s="398"/>
      <c r="G854" s="398"/>
      <c r="H854" s="398"/>
      <c r="I854" s="398"/>
      <c r="J854" s="398"/>
      <c r="K854" s="398"/>
      <c r="L854" s="398"/>
      <c r="M854" s="398"/>
      <c r="N854" s="1484"/>
      <c r="O854" s="398"/>
    </row>
    <row r="855" spans="1:15" s="487" customFormat="1" ht="15.75" customHeight="1">
      <c r="A855" s="398"/>
      <c r="B855" s="398"/>
      <c r="C855" s="398"/>
      <c r="D855" s="398"/>
      <c r="E855" s="398"/>
      <c r="F855" s="398"/>
      <c r="G855" s="398"/>
      <c r="H855" s="398"/>
      <c r="I855" s="398"/>
      <c r="J855" s="398"/>
      <c r="K855" s="398"/>
      <c r="L855" s="398"/>
      <c r="M855" s="398"/>
      <c r="N855" s="1484"/>
      <c r="O855" s="398"/>
    </row>
    <row r="856" spans="1:15" s="487" customFormat="1" ht="15.75" customHeight="1">
      <c r="A856" s="398"/>
      <c r="B856" s="398"/>
      <c r="C856" s="398"/>
      <c r="D856" s="398"/>
      <c r="E856" s="398"/>
      <c r="F856" s="398"/>
      <c r="G856" s="398"/>
      <c r="H856" s="398"/>
      <c r="I856" s="398"/>
      <c r="J856" s="398"/>
      <c r="K856" s="398"/>
      <c r="L856" s="398"/>
      <c r="M856" s="398"/>
      <c r="N856" s="1484"/>
      <c r="O856" s="398"/>
    </row>
    <row r="857" spans="1:15" s="487" customFormat="1" ht="15.75" customHeight="1">
      <c r="A857" s="398"/>
      <c r="B857" s="398"/>
      <c r="C857" s="398"/>
      <c r="D857" s="398"/>
      <c r="E857" s="398"/>
      <c r="F857" s="398"/>
      <c r="G857" s="398"/>
      <c r="H857" s="398"/>
      <c r="I857" s="398"/>
      <c r="J857" s="398"/>
      <c r="K857" s="398"/>
      <c r="L857" s="398"/>
      <c r="M857" s="398"/>
      <c r="N857" s="1484"/>
      <c r="O857" s="398"/>
    </row>
    <row r="858" spans="1:15" s="487" customFormat="1" ht="15.75" customHeight="1">
      <c r="A858" s="398"/>
      <c r="B858" s="398"/>
      <c r="C858" s="398"/>
      <c r="D858" s="398"/>
      <c r="E858" s="398"/>
      <c r="F858" s="398"/>
      <c r="G858" s="398"/>
      <c r="H858" s="398"/>
      <c r="I858" s="398"/>
      <c r="J858" s="398"/>
      <c r="K858" s="398"/>
      <c r="L858" s="398"/>
      <c r="M858" s="398"/>
      <c r="N858" s="1484"/>
      <c r="O858" s="398"/>
    </row>
    <row r="859" spans="1:15" s="487" customFormat="1" ht="15.75" customHeight="1">
      <c r="A859" s="398"/>
      <c r="B859" s="398"/>
      <c r="C859" s="398"/>
      <c r="D859" s="398"/>
      <c r="E859" s="398"/>
      <c r="F859" s="398"/>
      <c r="G859" s="398"/>
      <c r="H859" s="398"/>
      <c r="I859" s="398"/>
      <c r="J859" s="398"/>
      <c r="K859" s="398"/>
      <c r="L859" s="398"/>
      <c r="M859" s="398"/>
      <c r="N859" s="1484"/>
      <c r="O859" s="398"/>
    </row>
    <row r="860" spans="1:15" s="487" customFormat="1" ht="15.75" customHeight="1">
      <c r="A860" s="398"/>
      <c r="B860" s="398"/>
      <c r="C860" s="398"/>
      <c r="D860" s="398"/>
      <c r="E860" s="398"/>
      <c r="F860" s="398"/>
      <c r="G860" s="398"/>
      <c r="H860" s="398"/>
      <c r="I860" s="398"/>
      <c r="J860" s="398"/>
      <c r="K860" s="398"/>
      <c r="L860" s="398"/>
      <c r="M860" s="398"/>
      <c r="N860" s="1484"/>
      <c r="O860" s="398"/>
    </row>
    <row r="861" spans="1:15" s="487" customFormat="1" ht="15.75" customHeight="1">
      <c r="A861" s="398"/>
      <c r="B861" s="398"/>
      <c r="C861" s="398"/>
      <c r="D861" s="398"/>
      <c r="E861" s="398"/>
      <c r="F861" s="398"/>
      <c r="G861" s="398"/>
      <c r="H861" s="398"/>
      <c r="I861" s="398"/>
      <c r="J861" s="398"/>
      <c r="K861" s="398"/>
      <c r="L861" s="398"/>
      <c r="M861" s="398"/>
      <c r="N861" s="1484"/>
      <c r="O861" s="398"/>
    </row>
    <row r="862" spans="1:15" s="487" customFormat="1" ht="15.75" customHeight="1">
      <c r="A862" s="398"/>
      <c r="B862" s="398"/>
      <c r="C862" s="398"/>
      <c r="D862" s="398"/>
      <c r="E862" s="398"/>
      <c r="F862" s="398"/>
      <c r="G862" s="398"/>
      <c r="H862" s="398"/>
      <c r="I862" s="398"/>
      <c r="J862" s="398"/>
      <c r="K862" s="398"/>
      <c r="L862" s="398"/>
      <c r="M862" s="398"/>
      <c r="N862" s="1484"/>
      <c r="O862" s="398"/>
    </row>
    <row r="863" spans="1:15" s="487" customFormat="1" ht="15.75" customHeight="1">
      <c r="A863" s="398"/>
      <c r="B863" s="398"/>
      <c r="C863" s="398"/>
      <c r="D863" s="398"/>
      <c r="E863" s="398"/>
      <c r="F863" s="398"/>
      <c r="G863" s="398"/>
      <c r="H863" s="398"/>
      <c r="I863" s="398"/>
      <c r="J863" s="398"/>
      <c r="K863" s="398"/>
      <c r="L863" s="398"/>
      <c r="M863" s="398"/>
      <c r="N863" s="1484"/>
      <c r="O863" s="398"/>
    </row>
    <row r="864" spans="1:15" s="487" customFormat="1" ht="15.75" customHeight="1">
      <c r="A864" s="398"/>
      <c r="B864" s="398"/>
      <c r="C864" s="398"/>
      <c r="D864" s="398"/>
      <c r="E864" s="398"/>
      <c r="F864" s="398"/>
      <c r="G864" s="398"/>
      <c r="H864" s="398"/>
      <c r="I864" s="398"/>
      <c r="J864" s="398"/>
      <c r="K864" s="398"/>
      <c r="L864" s="398"/>
      <c r="M864" s="398"/>
      <c r="N864" s="1484"/>
      <c r="O864" s="398"/>
    </row>
    <row r="865" spans="1:15" s="487" customFormat="1" ht="15.75" customHeight="1">
      <c r="A865" s="398"/>
      <c r="B865" s="398"/>
      <c r="C865" s="398"/>
      <c r="D865" s="398"/>
      <c r="E865" s="398"/>
      <c r="F865" s="398"/>
      <c r="G865" s="398"/>
      <c r="H865" s="398"/>
      <c r="I865" s="398"/>
      <c r="J865" s="398"/>
      <c r="K865" s="398"/>
      <c r="L865" s="398"/>
      <c r="M865" s="398"/>
      <c r="N865" s="1484"/>
      <c r="O865" s="398"/>
    </row>
    <row r="866" spans="1:15" s="487" customFormat="1" ht="15.75" customHeight="1">
      <c r="A866" s="398"/>
      <c r="B866" s="398"/>
      <c r="C866" s="398"/>
      <c r="D866" s="398"/>
      <c r="E866" s="398"/>
      <c r="F866" s="398"/>
      <c r="G866" s="398"/>
      <c r="H866" s="398"/>
      <c r="I866" s="398"/>
      <c r="J866" s="398"/>
      <c r="K866" s="398"/>
      <c r="L866" s="398"/>
      <c r="M866" s="398"/>
      <c r="N866" s="1484"/>
      <c r="O866" s="398"/>
    </row>
    <row r="867" spans="1:15" s="487" customFormat="1" ht="15.75" customHeight="1">
      <c r="A867" s="398"/>
      <c r="B867" s="398"/>
      <c r="C867" s="398"/>
      <c r="D867" s="398"/>
      <c r="E867" s="398"/>
      <c r="F867" s="398"/>
      <c r="G867" s="398"/>
      <c r="H867" s="398"/>
      <c r="I867" s="398"/>
      <c r="J867" s="398"/>
      <c r="K867" s="398"/>
      <c r="L867" s="398"/>
      <c r="M867" s="398"/>
      <c r="N867" s="1484"/>
      <c r="O867" s="398"/>
    </row>
    <row r="868" spans="1:15" s="487" customFormat="1" ht="15.75" customHeight="1">
      <c r="A868" s="398"/>
      <c r="B868" s="398"/>
      <c r="C868" s="398"/>
      <c r="D868" s="398"/>
      <c r="E868" s="398"/>
      <c r="F868" s="398"/>
      <c r="G868" s="398"/>
      <c r="H868" s="398"/>
      <c r="I868" s="398"/>
      <c r="J868" s="398"/>
      <c r="K868" s="398"/>
      <c r="L868" s="398"/>
      <c r="M868" s="398"/>
      <c r="N868" s="1484"/>
      <c r="O868" s="398"/>
    </row>
    <row r="869" spans="1:15" s="487" customFormat="1" ht="15.75" customHeight="1">
      <c r="A869" s="398"/>
      <c r="B869" s="398"/>
      <c r="C869" s="398"/>
      <c r="D869" s="398"/>
      <c r="E869" s="398"/>
      <c r="F869" s="398"/>
      <c r="G869" s="398"/>
      <c r="H869" s="398"/>
      <c r="I869" s="398"/>
      <c r="J869" s="398"/>
      <c r="K869" s="398"/>
      <c r="L869" s="398"/>
      <c r="M869" s="398"/>
      <c r="N869" s="1484"/>
      <c r="O869" s="398"/>
    </row>
    <row r="870" spans="1:15" s="487" customFormat="1" ht="15.75" customHeight="1">
      <c r="A870" s="398"/>
      <c r="B870" s="398"/>
      <c r="C870" s="398"/>
      <c r="D870" s="398"/>
      <c r="E870" s="398"/>
      <c r="F870" s="398"/>
      <c r="G870" s="398"/>
      <c r="H870" s="398"/>
      <c r="I870" s="398"/>
      <c r="J870" s="398"/>
      <c r="K870" s="398"/>
      <c r="L870" s="398"/>
      <c r="M870" s="398"/>
      <c r="N870" s="1484"/>
      <c r="O870" s="398"/>
    </row>
    <row r="871" spans="1:15" s="487" customFormat="1" ht="15.75" customHeight="1">
      <c r="A871" s="398"/>
      <c r="B871" s="398"/>
      <c r="C871" s="398"/>
      <c r="D871" s="398"/>
      <c r="E871" s="398"/>
      <c r="F871" s="398"/>
      <c r="G871" s="398"/>
      <c r="H871" s="398"/>
      <c r="I871" s="398"/>
      <c r="J871" s="398"/>
      <c r="K871" s="398"/>
      <c r="L871" s="398"/>
      <c r="M871" s="398"/>
      <c r="N871" s="1484"/>
      <c r="O871" s="398"/>
    </row>
    <row r="872" spans="1:15" s="487" customFormat="1" ht="15.75" customHeight="1">
      <c r="A872" s="398"/>
      <c r="B872" s="398"/>
      <c r="C872" s="398"/>
      <c r="D872" s="398"/>
      <c r="E872" s="398"/>
      <c r="F872" s="398"/>
      <c r="G872" s="398"/>
      <c r="H872" s="398"/>
      <c r="I872" s="398"/>
      <c r="J872" s="398"/>
      <c r="K872" s="398"/>
      <c r="L872" s="398"/>
      <c r="M872" s="398"/>
      <c r="N872" s="1484"/>
      <c r="O872" s="398"/>
    </row>
    <row r="873" spans="1:15" s="487" customFormat="1" ht="15.75" customHeight="1">
      <c r="A873" s="398"/>
      <c r="B873" s="398"/>
      <c r="C873" s="398"/>
      <c r="D873" s="398"/>
      <c r="E873" s="398"/>
      <c r="F873" s="398"/>
      <c r="G873" s="398"/>
      <c r="H873" s="398"/>
      <c r="I873" s="398"/>
      <c r="J873" s="398"/>
      <c r="K873" s="398"/>
      <c r="L873" s="398"/>
      <c r="M873" s="398"/>
      <c r="N873" s="1484"/>
      <c r="O873" s="398"/>
    </row>
    <row r="874" spans="1:15" s="487" customFormat="1" ht="15.75" customHeight="1">
      <c r="A874" s="398"/>
      <c r="B874" s="398"/>
      <c r="C874" s="398"/>
      <c r="D874" s="398"/>
      <c r="E874" s="398"/>
      <c r="F874" s="398"/>
      <c r="G874" s="398"/>
      <c r="H874" s="398"/>
      <c r="I874" s="398"/>
      <c r="J874" s="398"/>
      <c r="K874" s="398"/>
      <c r="L874" s="398"/>
      <c r="M874" s="398"/>
      <c r="N874" s="1484"/>
      <c r="O874" s="398"/>
    </row>
    <row r="875" spans="1:15" s="487" customFormat="1" ht="15.75" customHeight="1">
      <c r="A875" s="398"/>
      <c r="B875" s="398"/>
      <c r="C875" s="398"/>
      <c r="D875" s="398"/>
      <c r="E875" s="398"/>
      <c r="F875" s="398"/>
      <c r="G875" s="398"/>
      <c r="H875" s="398"/>
      <c r="I875" s="398"/>
      <c r="J875" s="398"/>
      <c r="K875" s="398"/>
      <c r="L875" s="398"/>
      <c r="M875" s="398"/>
      <c r="N875" s="1484"/>
      <c r="O875" s="398"/>
    </row>
    <row r="876" spans="1:15" s="487" customFormat="1" ht="15.75" customHeight="1">
      <c r="A876" s="398"/>
      <c r="B876" s="398"/>
      <c r="C876" s="398"/>
      <c r="D876" s="398"/>
      <c r="E876" s="398"/>
      <c r="F876" s="398"/>
      <c r="G876" s="398"/>
      <c r="H876" s="398"/>
      <c r="I876" s="398"/>
      <c r="J876" s="398"/>
      <c r="K876" s="398"/>
      <c r="L876" s="398"/>
      <c r="M876" s="398"/>
      <c r="N876" s="1484"/>
      <c r="O876" s="398"/>
    </row>
    <row r="877" spans="1:15" s="487" customFormat="1" ht="15.75" customHeight="1">
      <c r="A877" s="398"/>
      <c r="B877" s="398"/>
      <c r="C877" s="398"/>
      <c r="D877" s="398"/>
      <c r="E877" s="398"/>
      <c r="F877" s="398"/>
      <c r="G877" s="398"/>
      <c r="H877" s="398"/>
      <c r="I877" s="398"/>
      <c r="J877" s="398"/>
      <c r="K877" s="398"/>
      <c r="L877" s="398"/>
      <c r="M877" s="398"/>
      <c r="N877" s="1484"/>
      <c r="O877" s="398"/>
    </row>
    <row r="878" spans="1:15" s="487" customFormat="1" ht="15.75" customHeight="1">
      <c r="A878" s="398"/>
      <c r="B878" s="398"/>
      <c r="C878" s="398"/>
      <c r="D878" s="398"/>
      <c r="E878" s="398"/>
      <c r="F878" s="398"/>
      <c r="G878" s="398"/>
      <c r="H878" s="398"/>
      <c r="I878" s="398"/>
      <c r="J878" s="398"/>
      <c r="K878" s="398"/>
      <c r="L878" s="398"/>
      <c r="M878" s="398"/>
      <c r="N878" s="1484"/>
      <c r="O878" s="398"/>
    </row>
    <row r="879" spans="1:15" s="487" customFormat="1" ht="15.75" customHeight="1">
      <c r="A879" s="398"/>
      <c r="B879" s="398"/>
      <c r="C879" s="398"/>
      <c r="D879" s="398"/>
      <c r="E879" s="398"/>
      <c r="F879" s="398"/>
      <c r="G879" s="398"/>
      <c r="H879" s="398"/>
      <c r="I879" s="398"/>
      <c r="J879" s="398"/>
      <c r="K879" s="398"/>
      <c r="L879" s="398"/>
      <c r="M879" s="398"/>
      <c r="N879" s="1484"/>
      <c r="O879" s="398"/>
    </row>
    <row r="880" spans="1:15" s="487" customFormat="1" ht="15.75" customHeight="1">
      <c r="A880" s="398"/>
      <c r="B880" s="398"/>
      <c r="C880" s="398"/>
      <c r="D880" s="398"/>
      <c r="E880" s="398"/>
      <c r="F880" s="398"/>
      <c r="G880" s="398"/>
      <c r="H880" s="398"/>
      <c r="I880" s="398"/>
      <c r="J880" s="398"/>
      <c r="K880" s="398"/>
      <c r="L880" s="398"/>
      <c r="M880" s="398"/>
      <c r="N880" s="1484"/>
      <c r="O880" s="398"/>
    </row>
    <row r="881" spans="1:15" s="487" customFormat="1" ht="15.75" customHeight="1">
      <c r="A881" s="398"/>
      <c r="B881" s="398"/>
      <c r="C881" s="398"/>
      <c r="D881" s="398"/>
      <c r="E881" s="398"/>
      <c r="F881" s="398"/>
      <c r="G881" s="398"/>
      <c r="H881" s="398"/>
      <c r="I881" s="398"/>
      <c r="J881" s="398"/>
      <c r="K881" s="398"/>
      <c r="L881" s="398"/>
      <c r="M881" s="398"/>
      <c r="N881" s="1484"/>
      <c r="O881" s="398"/>
    </row>
    <row r="882" spans="1:15" s="487" customFormat="1" ht="15.75" customHeight="1">
      <c r="A882" s="398"/>
      <c r="B882" s="398"/>
      <c r="C882" s="398"/>
      <c r="D882" s="398"/>
      <c r="E882" s="398"/>
      <c r="F882" s="398"/>
      <c r="G882" s="398"/>
      <c r="H882" s="398"/>
      <c r="I882" s="398"/>
      <c r="J882" s="398"/>
      <c r="K882" s="398"/>
      <c r="L882" s="398"/>
      <c r="M882" s="398"/>
      <c r="N882" s="1484"/>
      <c r="O882" s="398"/>
    </row>
    <row r="883" spans="1:15" s="487" customFormat="1" ht="15.75" customHeight="1">
      <c r="A883" s="398"/>
      <c r="B883" s="398"/>
      <c r="C883" s="398"/>
      <c r="D883" s="398"/>
      <c r="E883" s="398"/>
      <c r="F883" s="398"/>
      <c r="G883" s="398"/>
      <c r="H883" s="398"/>
      <c r="I883" s="398"/>
      <c r="J883" s="398"/>
      <c r="K883" s="398"/>
      <c r="L883" s="398"/>
      <c r="M883" s="398"/>
      <c r="N883" s="398"/>
      <c r="O883" s="398"/>
    </row>
    <row r="884" spans="1:15" s="487" customFormat="1" ht="15.75" customHeight="1">
      <c r="A884" s="398"/>
      <c r="B884" s="398"/>
      <c r="C884" s="398"/>
      <c r="D884" s="398"/>
      <c r="E884" s="398"/>
      <c r="F884" s="398"/>
      <c r="G884" s="398"/>
      <c r="H884" s="398"/>
      <c r="I884" s="398"/>
      <c r="J884" s="398"/>
      <c r="K884" s="398"/>
      <c r="L884" s="398"/>
      <c r="M884" s="398"/>
      <c r="N884" s="398"/>
      <c r="O884" s="398"/>
    </row>
    <row r="885" spans="1:15" s="487" customFormat="1" ht="15.75" customHeight="1">
      <c r="A885" s="398"/>
      <c r="B885" s="398"/>
      <c r="C885" s="398"/>
      <c r="D885" s="398"/>
      <c r="E885" s="398"/>
      <c r="F885" s="398"/>
      <c r="G885" s="398"/>
      <c r="H885" s="398"/>
      <c r="I885" s="398"/>
      <c r="J885" s="398"/>
      <c r="K885" s="398"/>
      <c r="L885" s="398"/>
      <c r="M885" s="398"/>
      <c r="N885" s="398"/>
      <c r="O885" s="398"/>
    </row>
    <row r="886" spans="1:15" s="487" customFormat="1" ht="15.75" customHeight="1">
      <c r="A886" s="398"/>
      <c r="B886" s="398"/>
      <c r="C886" s="398"/>
      <c r="D886" s="398"/>
      <c r="E886" s="398"/>
      <c r="F886" s="398"/>
      <c r="G886" s="398"/>
      <c r="H886" s="398"/>
      <c r="I886" s="398"/>
      <c r="J886" s="398"/>
      <c r="K886" s="398"/>
      <c r="L886" s="398"/>
      <c r="M886" s="398"/>
      <c r="N886" s="398"/>
      <c r="O886" s="398"/>
    </row>
    <row r="887" spans="1:15" s="487" customFormat="1" ht="15.75" customHeight="1">
      <c r="A887" s="398"/>
      <c r="B887" s="398"/>
      <c r="C887" s="398"/>
      <c r="D887" s="398"/>
      <c r="E887" s="398"/>
      <c r="F887" s="398"/>
      <c r="G887" s="398"/>
      <c r="H887" s="398"/>
      <c r="I887" s="398"/>
      <c r="J887" s="398"/>
      <c r="K887" s="398"/>
      <c r="L887" s="398"/>
      <c r="M887" s="398"/>
      <c r="N887" s="398"/>
      <c r="O887" s="398"/>
    </row>
    <row r="888" spans="1:15" s="487" customFormat="1" ht="15.75" customHeight="1">
      <c r="A888" s="398"/>
      <c r="B888" s="398"/>
      <c r="C888" s="398"/>
      <c r="D888" s="398"/>
      <c r="E888" s="398"/>
      <c r="F888" s="398"/>
      <c r="G888" s="398"/>
      <c r="H888" s="398"/>
      <c r="I888" s="398"/>
      <c r="J888" s="398"/>
      <c r="K888" s="398"/>
      <c r="L888" s="398"/>
      <c r="M888" s="398"/>
      <c r="N888" s="398"/>
      <c r="O888" s="398"/>
    </row>
    <row r="889" spans="1:15" s="487" customFormat="1" ht="15.75" customHeight="1">
      <c r="A889" s="398"/>
      <c r="B889" s="398"/>
      <c r="C889" s="398"/>
      <c r="D889" s="398"/>
      <c r="E889" s="398"/>
      <c r="F889" s="398"/>
      <c r="G889" s="398"/>
      <c r="H889" s="398"/>
      <c r="I889" s="398"/>
      <c r="J889" s="398"/>
      <c r="K889" s="398"/>
      <c r="L889" s="398"/>
      <c r="M889" s="398"/>
      <c r="N889" s="398"/>
      <c r="O889" s="398"/>
    </row>
    <row r="890" spans="1:15" s="487" customFormat="1" ht="15.75" customHeight="1">
      <c r="A890" s="398"/>
      <c r="B890" s="398"/>
      <c r="C890" s="398"/>
      <c r="D890" s="398"/>
      <c r="E890" s="398"/>
      <c r="F890" s="398"/>
      <c r="G890" s="398"/>
      <c r="H890" s="398"/>
      <c r="I890" s="398"/>
      <c r="J890" s="398"/>
      <c r="K890" s="398"/>
      <c r="L890" s="398"/>
      <c r="M890" s="398"/>
      <c r="N890" s="398"/>
      <c r="O890" s="398"/>
    </row>
    <row r="891" spans="1:15" s="487" customFormat="1" ht="15.75" customHeight="1">
      <c r="A891" s="398"/>
      <c r="B891" s="398"/>
      <c r="C891" s="398"/>
      <c r="D891" s="398"/>
      <c r="E891" s="398"/>
      <c r="F891" s="398"/>
      <c r="G891" s="398"/>
      <c r="H891" s="398"/>
      <c r="I891" s="398"/>
      <c r="J891" s="398"/>
      <c r="K891" s="398"/>
      <c r="L891" s="398"/>
      <c r="M891" s="398"/>
      <c r="N891" s="398"/>
      <c r="O891" s="398"/>
    </row>
    <row r="892" spans="1:15" s="487" customFormat="1" ht="15.75" customHeight="1">
      <c r="A892" s="398"/>
      <c r="B892" s="398"/>
      <c r="C892" s="398"/>
      <c r="D892" s="398"/>
      <c r="E892" s="398"/>
      <c r="F892" s="398"/>
      <c r="G892" s="398"/>
      <c r="H892" s="398"/>
      <c r="I892" s="398"/>
      <c r="J892" s="398"/>
      <c r="K892" s="398"/>
      <c r="L892" s="398"/>
      <c r="M892" s="398"/>
      <c r="N892" s="398"/>
      <c r="O892" s="398"/>
    </row>
    <row r="893" spans="1:15" s="487" customFormat="1" ht="15.75" customHeight="1">
      <c r="A893" s="398"/>
      <c r="B893" s="398"/>
      <c r="C893" s="398"/>
      <c r="D893" s="398"/>
      <c r="E893" s="398"/>
      <c r="F893" s="398"/>
      <c r="G893" s="398"/>
      <c r="H893" s="398"/>
      <c r="I893" s="398"/>
      <c r="J893" s="398"/>
      <c r="K893" s="398"/>
      <c r="L893" s="398"/>
      <c r="M893" s="398"/>
      <c r="N893" s="398"/>
      <c r="O893" s="398"/>
    </row>
    <row r="894" spans="1:15" s="487" customFormat="1" ht="15.75" customHeight="1">
      <c r="A894" s="398"/>
      <c r="B894" s="398"/>
      <c r="C894" s="398"/>
      <c r="D894" s="398"/>
      <c r="E894" s="398"/>
      <c r="F894" s="398"/>
      <c r="G894" s="398"/>
      <c r="H894" s="398"/>
      <c r="I894" s="398"/>
      <c r="J894" s="398"/>
      <c r="K894" s="398"/>
      <c r="L894" s="398"/>
      <c r="M894" s="398"/>
      <c r="N894" s="398"/>
      <c r="O894" s="398"/>
    </row>
    <row r="895" spans="1:15" s="487" customFormat="1" ht="15.75" customHeight="1">
      <c r="A895" s="398"/>
      <c r="B895" s="398"/>
      <c r="C895" s="398"/>
      <c r="D895" s="398"/>
      <c r="E895" s="398"/>
      <c r="F895" s="398"/>
      <c r="G895" s="398"/>
      <c r="H895" s="398"/>
      <c r="I895" s="398"/>
      <c r="J895" s="398"/>
      <c r="K895" s="398"/>
      <c r="L895" s="398"/>
      <c r="M895" s="398"/>
      <c r="N895" s="398"/>
      <c r="O895" s="398"/>
    </row>
    <row r="896" spans="1:15" s="487" customFormat="1" ht="15.75" customHeight="1">
      <c r="A896" s="398"/>
      <c r="B896" s="398"/>
      <c r="C896" s="398"/>
      <c r="D896" s="398"/>
      <c r="E896" s="398"/>
      <c r="F896" s="398"/>
      <c r="G896" s="398"/>
      <c r="H896" s="398"/>
      <c r="I896" s="398"/>
      <c r="J896" s="398"/>
      <c r="K896" s="398"/>
      <c r="L896" s="398"/>
      <c r="M896" s="398"/>
      <c r="N896" s="398"/>
      <c r="O896" s="398"/>
    </row>
    <row r="897" spans="1:15" s="487" customFormat="1" ht="15.75" customHeight="1">
      <c r="A897" s="398"/>
      <c r="B897" s="398"/>
      <c r="C897" s="398"/>
      <c r="D897" s="398"/>
      <c r="E897" s="398"/>
      <c r="F897" s="398"/>
      <c r="G897" s="398"/>
      <c r="H897" s="398"/>
      <c r="I897" s="398"/>
      <c r="J897" s="398"/>
      <c r="K897" s="398"/>
      <c r="L897" s="398"/>
      <c r="M897" s="398"/>
      <c r="N897" s="398"/>
      <c r="O897" s="398"/>
    </row>
    <row r="898" spans="1:15" s="487" customFormat="1" ht="15.75" customHeight="1">
      <c r="A898" s="398"/>
      <c r="B898" s="398"/>
      <c r="C898" s="398"/>
      <c r="D898" s="398"/>
      <c r="E898" s="398"/>
      <c r="F898" s="398"/>
      <c r="G898" s="398"/>
      <c r="H898" s="398"/>
      <c r="I898" s="398"/>
      <c r="J898" s="398"/>
      <c r="K898" s="398"/>
      <c r="L898" s="398"/>
      <c r="M898" s="398"/>
      <c r="N898" s="398"/>
      <c r="O898" s="398"/>
    </row>
    <row r="899" spans="1:15" s="487" customFormat="1" ht="15.75" customHeight="1">
      <c r="A899" s="398"/>
      <c r="B899" s="398"/>
      <c r="C899" s="398"/>
      <c r="D899" s="398"/>
      <c r="E899" s="398"/>
      <c r="F899" s="398"/>
      <c r="G899" s="398"/>
      <c r="H899" s="398"/>
      <c r="I899" s="398"/>
      <c r="J899" s="398"/>
      <c r="K899" s="398"/>
      <c r="L899" s="398"/>
      <c r="M899" s="398"/>
      <c r="N899" s="398"/>
      <c r="O899" s="398"/>
    </row>
    <row r="900" spans="1:15" s="487" customFormat="1" ht="15.75" customHeight="1">
      <c r="A900" s="398"/>
      <c r="B900" s="398"/>
      <c r="C900" s="398"/>
      <c r="D900" s="398"/>
      <c r="E900" s="398"/>
      <c r="F900" s="398"/>
      <c r="G900" s="398"/>
      <c r="H900" s="398"/>
      <c r="I900" s="398"/>
      <c r="J900" s="398"/>
      <c r="K900" s="398"/>
      <c r="L900" s="398"/>
      <c r="M900" s="398"/>
      <c r="N900" s="398"/>
      <c r="O900" s="398"/>
    </row>
    <row r="901" spans="1:15" s="487" customFormat="1" ht="15.75" customHeight="1">
      <c r="A901" s="398"/>
      <c r="B901" s="398"/>
      <c r="C901" s="398"/>
      <c r="D901" s="398"/>
      <c r="E901" s="398"/>
      <c r="F901" s="398"/>
      <c r="G901" s="398"/>
      <c r="H901" s="398"/>
      <c r="I901" s="398"/>
      <c r="J901" s="398"/>
      <c r="K901" s="398"/>
      <c r="L901" s="398"/>
      <c r="M901" s="398"/>
      <c r="N901" s="398"/>
      <c r="O901" s="398"/>
    </row>
    <row r="902" spans="1:15" s="487" customFormat="1" ht="15.75" customHeight="1">
      <c r="A902" s="398"/>
      <c r="B902" s="398"/>
      <c r="C902" s="398"/>
      <c r="D902" s="398"/>
      <c r="E902" s="398"/>
      <c r="F902" s="398"/>
      <c r="G902" s="398"/>
      <c r="H902" s="398"/>
      <c r="I902" s="398"/>
      <c r="J902" s="398"/>
      <c r="K902" s="398"/>
      <c r="L902" s="398"/>
      <c r="M902" s="398"/>
      <c r="N902" s="398"/>
      <c r="O902" s="398"/>
    </row>
    <row r="903" spans="1:15" s="487" customFormat="1" ht="15.75" customHeight="1">
      <c r="A903" s="398"/>
      <c r="B903" s="398"/>
      <c r="C903" s="398"/>
      <c r="D903" s="398"/>
      <c r="E903" s="398"/>
      <c r="F903" s="398"/>
      <c r="G903" s="398"/>
      <c r="H903" s="398"/>
      <c r="I903" s="398"/>
      <c r="J903" s="398"/>
      <c r="K903" s="398"/>
      <c r="L903" s="398"/>
      <c r="M903" s="398"/>
      <c r="N903" s="398"/>
      <c r="O903" s="398"/>
    </row>
    <row r="904" spans="1:15" s="487" customFormat="1" ht="15.75" customHeight="1">
      <c r="A904" s="398"/>
      <c r="B904" s="398"/>
      <c r="C904" s="398"/>
      <c r="D904" s="398"/>
      <c r="E904" s="398"/>
      <c r="F904" s="398"/>
      <c r="G904" s="398"/>
      <c r="H904" s="398"/>
      <c r="I904" s="398"/>
      <c r="J904" s="398"/>
      <c r="K904" s="398"/>
      <c r="L904" s="398"/>
      <c r="M904" s="398"/>
      <c r="N904" s="398"/>
      <c r="O904" s="398"/>
    </row>
    <row r="905" spans="1:15" s="487" customFormat="1" ht="15.75" customHeight="1">
      <c r="A905" s="398"/>
      <c r="B905" s="398"/>
      <c r="C905" s="398"/>
      <c r="D905" s="398"/>
      <c r="E905" s="398"/>
      <c r="F905" s="398"/>
      <c r="G905" s="398"/>
      <c r="H905" s="398"/>
      <c r="I905" s="398"/>
      <c r="J905" s="398"/>
      <c r="K905" s="398"/>
      <c r="L905" s="398"/>
      <c r="M905" s="398"/>
      <c r="N905" s="398"/>
      <c r="O905" s="398"/>
    </row>
    <row r="906" spans="1:15" s="487" customFormat="1" ht="15.75" customHeight="1">
      <c r="A906" s="398"/>
      <c r="B906" s="398"/>
      <c r="C906" s="398"/>
      <c r="D906" s="398"/>
      <c r="E906" s="398"/>
      <c r="F906" s="398"/>
      <c r="G906" s="398"/>
      <c r="H906" s="398"/>
      <c r="I906" s="398"/>
      <c r="J906" s="398"/>
      <c r="K906" s="398"/>
      <c r="L906" s="398"/>
      <c r="M906" s="398"/>
      <c r="N906" s="398"/>
      <c r="O906" s="398"/>
    </row>
    <row r="907" spans="1:15" s="487" customFormat="1" ht="15.75" customHeight="1">
      <c r="A907" s="398"/>
      <c r="B907" s="398"/>
      <c r="C907" s="398"/>
      <c r="D907" s="398"/>
      <c r="E907" s="398"/>
      <c r="F907" s="398"/>
      <c r="G907" s="398"/>
      <c r="H907" s="398"/>
      <c r="I907" s="398"/>
      <c r="J907" s="398"/>
      <c r="K907" s="398"/>
      <c r="L907" s="398"/>
      <c r="M907" s="398"/>
      <c r="N907" s="398"/>
      <c r="O907" s="398"/>
    </row>
    <row r="908" spans="1:15" s="487" customFormat="1" ht="15.75" customHeight="1">
      <c r="A908" s="398"/>
      <c r="B908" s="398"/>
      <c r="C908" s="398"/>
      <c r="D908" s="398"/>
      <c r="E908" s="398"/>
      <c r="F908" s="398"/>
      <c r="G908" s="398"/>
      <c r="H908" s="398"/>
      <c r="I908" s="398"/>
      <c r="J908" s="398"/>
      <c r="K908" s="398"/>
      <c r="L908" s="398"/>
      <c r="M908" s="398"/>
      <c r="N908" s="398"/>
      <c r="O908" s="398"/>
    </row>
    <row r="909" spans="1:15" s="487" customFormat="1" ht="15.75" customHeight="1">
      <c r="A909" s="398"/>
      <c r="B909" s="398"/>
      <c r="C909" s="398"/>
      <c r="D909" s="398"/>
      <c r="E909" s="398"/>
      <c r="F909" s="398"/>
      <c r="G909" s="398"/>
      <c r="H909" s="398"/>
      <c r="I909" s="398"/>
      <c r="J909" s="398"/>
      <c r="K909" s="398"/>
      <c r="L909" s="398"/>
      <c r="M909" s="398"/>
      <c r="N909" s="398"/>
      <c r="O909" s="398"/>
    </row>
    <row r="910" spans="1:15" s="487" customFormat="1" ht="15.75" customHeight="1">
      <c r="A910" s="398"/>
      <c r="B910" s="398"/>
      <c r="C910" s="398"/>
      <c r="D910" s="398"/>
      <c r="E910" s="398"/>
      <c r="F910" s="398"/>
      <c r="G910" s="398"/>
      <c r="H910" s="398"/>
      <c r="I910" s="398"/>
      <c r="J910" s="398"/>
      <c r="K910" s="398"/>
      <c r="L910" s="398"/>
      <c r="M910" s="398"/>
      <c r="N910" s="398"/>
      <c r="O910" s="398"/>
    </row>
    <row r="911" spans="1:15" s="487" customFormat="1" ht="15.75" customHeight="1">
      <c r="A911" s="398"/>
      <c r="B911" s="398"/>
      <c r="C911" s="398"/>
      <c r="D911" s="398"/>
      <c r="E911" s="398"/>
      <c r="F911" s="398"/>
      <c r="G911" s="398"/>
      <c r="H911" s="398"/>
      <c r="I911" s="398"/>
      <c r="J911" s="398"/>
      <c r="K911" s="398"/>
      <c r="L911" s="398"/>
      <c r="M911" s="398"/>
      <c r="N911" s="398"/>
      <c r="O911" s="398"/>
    </row>
    <row r="912" spans="1:15" s="487" customFormat="1" ht="15.75" customHeight="1">
      <c r="A912" s="398"/>
      <c r="B912" s="398"/>
      <c r="C912" s="398"/>
      <c r="D912" s="398"/>
      <c r="E912" s="398"/>
      <c r="F912" s="398"/>
      <c r="G912" s="398"/>
      <c r="H912" s="398"/>
      <c r="I912" s="398"/>
      <c r="J912" s="398"/>
      <c r="K912" s="398"/>
      <c r="L912" s="398"/>
      <c r="M912" s="398"/>
      <c r="N912" s="398"/>
      <c r="O912" s="398"/>
    </row>
    <row r="913" spans="1:15" s="487" customFormat="1" ht="15.75" customHeight="1">
      <c r="A913" s="398"/>
      <c r="B913" s="398"/>
      <c r="C913" s="398"/>
      <c r="D913" s="398"/>
      <c r="E913" s="398"/>
      <c r="F913" s="398"/>
      <c r="G913" s="398"/>
      <c r="H913" s="398"/>
      <c r="I913" s="398"/>
      <c r="J913" s="398"/>
      <c r="K913" s="398"/>
      <c r="L913" s="398"/>
      <c r="M913" s="398"/>
      <c r="N913" s="398"/>
      <c r="O913" s="398"/>
    </row>
    <row r="914" spans="1:15" s="487" customFormat="1" ht="15.75" customHeight="1">
      <c r="A914" s="398"/>
      <c r="B914" s="398"/>
      <c r="C914" s="398"/>
      <c r="D914" s="398"/>
      <c r="E914" s="398"/>
      <c r="F914" s="398"/>
      <c r="G914" s="398"/>
      <c r="H914" s="398"/>
      <c r="I914" s="398"/>
      <c r="J914" s="398"/>
      <c r="K914" s="398"/>
      <c r="L914" s="398"/>
      <c r="M914" s="398"/>
      <c r="N914" s="398"/>
      <c r="O914" s="398"/>
    </row>
    <row r="915" spans="1:15" s="487" customFormat="1" ht="15.75" customHeight="1">
      <c r="A915" s="398"/>
      <c r="B915" s="398"/>
      <c r="C915" s="398"/>
      <c r="D915" s="398"/>
      <c r="E915" s="398"/>
      <c r="F915" s="398"/>
      <c r="G915" s="398"/>
      <c r="H915" s="398"/>
      <c r="I915" s="398"/>
      <c r="J915" s="398"/>
      <c r="K915" s="398"/>
      <c r="L915" s="398"/>
      <c r="M915" s="398"/>
      <c r="N915" s="398"/>
      <c r="O915" s="398"/>
    </row>
    <row r="916" spans="1:15" s="487" customFormat="1" ht="15.75" customHeight="1">
      <c r="A916" s="398"/>
      <c r="B916" s="398"/>
      <c r="C916" s="398"/>
      <c r="D916" s="398"/>
      <c r="E916" s="398"/>
      <c r="F916" s="398"/>
      <c r="G916" s="398"/>
      <c r="H916" s="398"/>
      <c r="I916" s="398"/>
      <c r="J916" s="398"/>
      <c r="K916" s="398"/>
      <c r="L916" s="398"/>
      <c r="M916" s="398"/>
      <c r="N916" s="398"/>
      <c r="O916" s="398"/>
    </row>
    <row r="917" spans="1:15" s="487" customFormat="1" ht="15.75" customHeight="1">
      <c r="A917" s="398"/>
      <c r="B917" s="398"/>
      <c r="C917" s="398"/>
      <c r="D917" s="398"/>
      <c r="E917" s="398"/>
      <c r="F917" s="398"/>
      <c r="G917" s="398"/>
      <c r="H917" s="398"/>
      <c r="I917" s="398"/>
      <c r="J917" s="398"/>
      <c r="K917" s="398"/>
      <c r="L917" s="398"/>
      <c r="M917" s="398"/>
      <c r="N917" s="398"/>
      <c r="O917" s="398"/>
    </row>
    <row r="918" spans="1:15" s="487" customFormat="1" ht="15.75" customHeight="1">
      <c r="A918" s="398"/>
      <c r="B918" s="398"/>
      <c r="C918" s="398"/>
      <c r="D918" s="398"/>
      <c r="E918" s="398"/>
      <c r="F918" s="398"/>
      <c r="G918" s="398"/>
      <c r="H918" s="398"/>
      <c r="I918" s="398"/>
      <c r="J918" s="398"/>
      <c r="K918" s="398"/>
      <c r="L918" s="398"/>
      <c r="M918" s="398"/>
      <c r="N918" s="398"/>
      <c r="O918" s="398"/>
    </row>
    <row r="919" spans="1:15" s="487" customFormat="1" ht="15.75" customHeight="1">
      <c r="A919" s="398"/>
      <c r="B919" s="398"/>
      <c r="C919" s="398"/>
      <c r="D919" s="398"/>
      <c r="E919" s="398"/>
      <c r="F919" s="398"/>
      <c r="G919" s="398"/>
      <c r="H919" s="398"/>
      <c r="I919" s="398"/>
      <c r="J919" s="398"/>
      <c r="K919" s="398"/>
      <c r="L919" s="398"/>
      <c r="M919" s="398"/>
      <c r="N919" s="398"/>
      <c r="O919" s="398"/>
    </row>
    <row r="920" spans="1:15" s="487" customFormat="1" ht="15.75" customHeight="1">
      <c r="A920" s="398"/>
      <c r="B920" s="398"/>
      <c r="C920" s="398"/>
      <c r="D920" s="398"/>
      <c r="E920" s="398"/>
      <c r="F920" s="398"/>
      <c r="G920" s="398"/>
      <c r="H920" s="398"/>
      <c r="I920" s="398"/>
      <c r="J920" s="398"/>
      <c r="K920" s="398"/>
      <c r="L920" s="398"/>
      <c r="M920" s="398"/>
      <c r="N920" s="398"/>
      <c r="O920" s="398"/>
    </row>
    <row r="921" spans="1:15" s="487" customFormat="1" ht="15.75" customHeight="1">
      <c r="A921" s="398"/>
      <c r="B921" s="398"/>
      <c r="C921" s="398"/>
      <c r="D921" s="398"/>
      <c r="E921" s="398"/>
      <c r="F921" s="398"/>
      <c r="G921" s="398"/>
      <c r="H921" s="398"/>
      <c r="I921" s="398"/>
      <c r="J921" s="398"/>
      <c r="K921" s="398"/>
      <c r="L921" s="398"/>
      <c r="M921" s="398"/>
      <c r="N921" s="398"/>
      <c r="O921" s="398"/>
    </row>
    <row r="922" spans="1:15" s="487" customFormat="1" ht="15.75" customHeight="1">
      <c r="A922" s="398"/>
      <c r="B922" s="398"/>
      <c r="C922" s="398"/>
      <c r="D922" s="398"/>
      <c r="E922" s="398"/>
      <c r="F922" s="398"/>
      <c r="G922" s="398"/>
      <c r="H922" s="398"/>
      <c r="I922" s="398"/>
      <c r="J922" s="398"/>
      <c r="K922" s="398"/>
      <c r="L922" s="398"/>
      <c r="M922" s="398"/>
      <c r="N922" s="398"/>
      <c r="O922" s="398"/>
    </row>
    <row r="923" spans="1:15" s="487" customFormat="1" ht="15.75" customHeight="1">
      <c r="A923" s="398"/>
      <c r="B923" s="398"/>
      <c r="C923" s="398"/>
      <c r="D923" s="398"/>
      <c r="E923" s="398"/>
      <c r="F923" s="398"/>
      <c r="G923" s="398"/>
      <c r="H923" s="398"/>
      <c r="I923" s="398"/>
      <c r="J923" s="398"/>
      <c r="K923" s="398"/>
      <c r="L923" s="398"/>
      <c r="M923" s="398"/>
      <c r="N923" s="398"/>
      <c r="O923" s="398"/>
    </row>
    <row r="924" spans="1:15" s="487" customFormat="1" ht="15.75" customHeight="1">
      <c r="A924" s="398"/>
      <c r="B924" s="398"/>
      <c r="C924" s="398"/>
      <c r="D924" s="398"/>
      <c r="E924" s="398"/>
      <c r="F924" s="398"/>
      <c r="G924" s="398"/>
      <c r="H924" s="398"/>
      <c r="I924" s="398"/>
      <c r="J924" s="398"/>
      <c r="K924" s="398"/>
      <c r="L924" s="398"/>
      <c r="M924" s="398"/>
      <c r="N924" s="398"/>
      <c r="O924" s="398"/>
    </row>
    <row r="925" spans="1:15" s="487" customFormat="1" ht="15.75" customHeight="1">
      <c r="A925" s="398"/>
      <c r="B925" s="398"/>
      <c r="C925" s="398"/>
      <c r="D925" s="398"/>
      <c r="E925" s="398"/>
      <c r="F925" s="398"/>
      <c r="G925" s="398"/>
      <c r="H925" s="398"/>
      <c r="I925" s="398"/>
      <c r="J925" s="398"/>
      <c r="K925" s="398"/>
      <c r="L925" s="398"/>
      <c r="M925" s="398"/>
      <c r="N925" s="398"/>
      <c r="O925" s="398"/>
    </row>
    <row r="926" spans="1:15" s="487" customFormat="1" ht="15.75" customHeight="1">
      <c r="A926" s="398"/>
      <c r="B926" s="398"/>
      <c r="C926" s="398"/>
      <c r="D926" s="398"/>
      <c r="E926" s="398"/>
      <c r="F926" s="398"/>
      <c r="G926" s="398"/>
      <c r="H926" s="398"/>
      <c r="I926" s="398"/>
      <c r="J926" s="398"/>
      <c r="K926" s="398"/>
      <c r="L926" s="398"/>
      <c r="M926" s="398"/>
      <c r="N926" s="398"/>
      <c r="O926" s="398"/>
    </row>
    <row r="927" spans="1:15" s="487" customFormat="1" ht="15.75" customHeight="1">
      <c r="A927" s="398"/>
      <c r="B927" s="398"/>
      <c r="C927" s="398"/>
      <c r="D927" s="398"/>
      <c r="E927" s="398"/>
      <c r="F927" s="398"/>
      <c r="G927" s="398"/>
      <c r="H927" s="398"/>
      <c r="I927" s="398"/>
      <c r="J927" s="398"/>
      <c r="K927" s="398"/>
      <c r="L927" s="398"/>
      <c r="M927" s="398"/>
      <c r="N927" s="398"/>
      <c r="O927" s="398"/>
    </row>
    <row r="928" spans="1:15" s="487" customFormat="1" ht="15.75" customHeight="1">
      <c r="A928" s="398"/>
      <c r="B928" s="398"/>
      <c r="C928" s="398"/>
      <c r="D928" s="398"/>
      <c r="E928" s="398"/>
      <c r="F928" s="398"/>
      <c r="G928" s="398"/>
      <c r="H928" s="398"/>
      <c r="I928" s="398"/>
      <c r="J928" s="398"/>
      <c r="K928" s="398"/>
      <c r="L928" s="398"/>
      <c r="M928" s="398"/>
      <c r="N928" s="398"/>
      <c r="O928" s="398"/>
    </row>
    <row r="929" spans="1:15" s="487" customFormat="1" ht="15.75" customHeight="1">
      <c r="A929" s="398"/>
      <c r="B929" s="398"/>
      <c r="C929" s="398"/>
      <c r="D929" s="398"/>
      <c r="E929" s="398"/>
      <c r="F929" s="398"/>
      <c r="G929" s="398"/>
      <c r="H929" s="398"/>
      <c r="I929" s="398"/>
      <c r="J929" s="398"/>
      <c r="K929" s="398"/>
      <c r="L929" s="398"/>
      <c r="M929" s="398"/>
      <c r="N929" s="398"/>
      <c r="O929" s="398"/>
    </row>
    <row r="930" spans="1:15" s="487" customFormat="1" ht="15.75" customHeight="1">
      <c r="A930" s="398"/>
      <c r="B930" s="398"/>
      <c r="C930" s="398"/>
      <c r="D930" s="398"/>
      <c r="E930" s="398"/>
      <c r="F930" s="398"/>
      <c r="G930" s="398"/>
      <c r="H930" s="398"/>
      <c r="I930" s="398"/>
      <c r="J930" s="398"/>
      <c r="K930" s="398"/>
      <c r="L930" s="398"/>
      <c r="M930" s="398"/>
      <c r="N930" s="398"/>
      <c r="O930" s="398"/>
    </row>
    <row r="931" spans="1:15" s="487" customFormat="1" ht="15.75" customHeight="1">
      <c r="A931" s="398"/>
      <c r="B931" s="398"/>
      <c r="C931" s="398"/>
      <c r="D931" s="398"/>
      <c r="E931" s="398"/>
      <c r="F931" s="398"/>
      <c r="G931" s="398"/>
      <c r="H931" s="398"/>
      <c r="I931" s="398"/>
      <c r="J931" s="398"/>
      <c r="K931" s="398"/>
      <c r="L931" s="398"/>
      <c r="M931" s="398"/>
      <c r="N931" s="398"/>
      <c r="O931" s="398"/>
    </row>
    <row r="932" spans="1:15" s="487" customFormat="1" ht="15.75" customHeight="1">
      <c r="A932" s="398"/>
      <c r="B932" s="398"/>
      <c r="C932" s="398"/>
      <c r="D932" s="398"/>
      <c r="E932" s="398"/>
      <c r="F932" s="398"/>
      <c r="G932" s="398"/>
      <c r="H932" s="398"/>
      <c r="I932" s="398"/>
      <c r="J932" s="398"/>
      <c r="K932" s="398"/>
      <c r="L932" s="398"/>
      <c r="M932" s="398"/>
      <c r="N932" s="398"/>
      <c r="O932" s="398"/>
    </row>
    <row r="933" spans="1:15" s="487" customFormat="1" ht="15.75" customHeight="1">
      <c r="A933" s="398"/>
      <c r="B933" s="398"/>
      <c r="C933" s="398"/>
      <c r="D933" s="398"/>
      <c r="E933" s="398"/>
      <c r="F933" s="398"/>
      <c r="G933" s="398"/>
      <c r="H933" s="398"/>
      <c r="I933" s="398"/>
      <c r="J933" s="398"/>
      <c r="K933" s="398"/>
      <c r="L933" s="398"/>
      <c r="M933" s="398"/>
      <c r="N933" s="398"/>
      <c r="O933" s="398"/>
    </row>
    <row r="934" spans="1:15" s="487" customFormat="1" ht="15.75" customHeight="1">
      <c r="A934" s="398"/>
      <c r="B934" s="398"/>
      <c r="C934" s="398"/>
      <c r="D934" s="398"/>
      <c r="E934" s="398"/>
      <c r="F934" s="398"/>
      <c r="G934" s="398"/>
      <c r="H934" s="398"/>
      <c r="I934" s="398"/>
      <c r="J934" s="398"/>
      <c r="K934" s="398"/>
      <c r="L934" s="398"/>
      <c r="M934" s="398"/>
      <c r="N934" s="398"/>
      <c r="O934" s="398"/>
    </row>
    <row r="935" spans="1:15" s="487" customFormat="1" ht="15.75" customHeight="1">
      <c r="A935" s="398"/>
      <c r="B935" s="398"/>
      <c r="C935" s="398"/>
      <c r="D935" s="398"/>
      <c r="E935" s="398"/>
      <c r="F935" s="398"/>
      <c r="G935" s="398"/>
      <c r="H935" s="398"/>
      <c r="I935" s="398"/>
      <c r="J935" s="398"/>
      <c r="K935" s="398"/>
      <c r="L935" s="398"/>
      <c r="M935" s="398"/>
      <c r="N935" s="398"/>
      <c r="O935" s="398"/>
    </row>
    <row r="936" spans="1:15" s="487" customFormat="1" ht="15.75" customHeight="1">
      <c r="A936" s="398"/>
      <c r="B936" s="398"/>
      <c r="C936" s="398"/>
      <c r="D936" s="398"/>
      <c r="E936" s="398"/>
      <c r="F936" s="398"/>
      <c r="G936" s="398"/>
      <c r="H936" s="398"/>
      <c r="I936" s="398"/>
      <c r="J936" s="398"/>
      <c r="K936" s="398"/>
      <c r="L936" s="398"/>
      <c r="M936" s="398"/>
      <c r="N936" s="398"/>
      <c r="O936" s="398"/>
    </row>
    <row r="937" spans="1:15" s="487" customFormat="1" ht="15.75" customHeight="1">
      <c r="A937" s="398"/>
      <c r="B937" s="398"/>
      <c r="C937" s="398"/>
      <c r="D937" s="398"/>
      <c r="E937" s="398"/>
      <c r="F937" s="398"/>
      <c r="G937" s="398"/>
      <c r="H937" s="398"/>
      <c r="I937" s="398"/>
      <c r="J937" s="398"/>
      <c r="K937" s="398"/>
      <c r="L937" s="398"/>
      <c r="M937" s="398"/>
      <c r="N937" s="398"/>
      <c r="O937" s="398"/>
    </row>
    <row r="938" spans="1:15" s="487" customFormat="1" ht="15.75" customHeight="1">
      <c r="A938" s="398"/>
      <c r="B938" s="398"/>
      <c r="C938" s="398"/>
      <c r="D938" s="398"/>
      <c r="E938" s="398"/>
      <c r="F938" s="398"/>
      <c r="G938" s="398"/>
      <c r="H938" s="398"/>
      <c r="I938" s="398"/>
      <c r="J938" s="398"/>
      <c r="K938" s="398"/>
      <c r="L938" s="398"/>
      <c r="M938" s="398"/>
      <c r="N938" s="398"/>
      <c r="O938" s="398"/>
    </row>
    <row r="939" spans="1:15" s="487" customFormat="1" ht="15.75" customHeight="1">
      <c r="A939" s="398"/>
      <c r="B939" s="398"/>
      <c r="C939" s="398"/>
      <c r="D939" s="398"/>
      <c r="E939" s="398"/>
      <c r="F939" s="398"/>
      <c r="G939" s="398"/>
      <c r="H939" s="398"/>
      <c r="I939" s="398"/>
      <c r="J939" s="398"/>
      <c r="K939" s="398"/>
      <c r="L939" s="398"/>
      <c r="M939" s="398"/>
      <c r="N939" s="398"/>
      <c r="O939" s="398"/>
    </row>
    <row r="940" spans="1:15" s="487" customFormat="1" ht="15.75" customHeight="1">
      <c r="A940" s="398"/>
      <c r="B940" s="398"/>
      <c r="C940" s="398"/>
      <c r="D940" s="398"/>
      <c r="E940" s="398"/>
      <c r="F940" s="398"/>
      <c r="G940" s="398"/>
      <c r="H940" s="398"/>
      <c r="I940" s="398"/>
      <c r="J940" s="398"/>
      <c r="K940" s="398"/>
      <c r="L940" s="398"/>
      <c r="M940" s="398"/>
      <c r="N940" s="398"/>
      <c r="O940" s="398"/>
    </row>
    <row r="941" spans="1:15" s="487" customFormat="1" ht="15.75" customHeight="1">
      <c r="A941" s="398"/>
      <c r="B941" s="398"/>
      <c r="C941" s="398"/>
      <c r="D941" s="398"/>
      <c r="E941" s="398"/>
      <c r="F941" s="398"/>
      <c r="G941" s="398"/>
      <c r="H941" s="398"/>
      <c r="I941" s="398"/>
      <c r="J941" s="398"/>
      <c r="K941" s="398"/>
      <c r="L941" s="398"/>
      <c r="M941" s="398"/>
      <c r="N941" s="398"/>
      <c r="O941" s="398"/>
    </row>
    <row r="942" spans="1:15" s="487" customFormat="1" ht="15.75" customHeight="1">
      <c r="A942" s="398"/>
      <c r="B942" s="398"/>
      <c r="C942" s="398"/>
      <c r="D942" s="398"/>
      <c r="E942" s="398"/>
      <c r="F942" s="398"/>
      <c r="G942" s="398"/>
      <c r="H942" s="398"/>
      <c r="I942" s="398"/>
      <c r="J942" s="398"/>
      <c r="K942" s="398"/>
      <c r="L942" s="398"/>
      <c r="M942" s="398"/>
      <c r="N942" s="398"/>
      <c r="O942" s="398"/>
    </row>
    <row r="943" spans="1:15" s="487" customFormat="1" ht="15.75" customHeight="1">
      <c r="A943" s="398"/>
      <c r="B943" s="398"/>
      <c r="C943" s="398"/>
      <c r="D943" s="398"/>
      <c r="E943" s="398"/>
      <c r="F943" s="398"/>
      <c r="G943" s="398"/>
      <c r="H943" s="398"/>
      <c r="I943" s="398"/>
      <c r="J943" s="398"/>
      <c r="K943" s="398"/>
      <c r="L943" s="398"/>
      <c r="M943" s="398"/>
      <c r="N943" s="398"/>
      <c r="O943" s="398"/>
    </row>
    <row r="944" spans="1:15" s="487" customFormat="1" ht="15.75" customHeight="1">
      <c r="A944" s="398"/>
      <c r="B944" s="398"/>
      <c r="C944" s="398"/>
      <c r="D944" s="398"/>
      <c r="E944" s="398"/>
      <c r="F944" s="398"/>
      <c r="G944" s="398"/>
      <c r="H944" s="398"/>
      <c r="I944" s="398"/>
      <c r="J944" s="398"/>
      <c r="K944" s="398"/>
      <c r="L944" s="398"/>
      <c r="M944" s="398"/>
      <c r="N944" s="398"/>
      <c r="O944" s="398"/>
    </row>
    <row r="945" spans="1:15" s="487" customFormat="1" ht="15.75" customHeight="1">
      <c r="A945" s="398"/>
      <c r="B945" s="398"/>
      <c r="C945" s="398"/>
      <c r="D945" s="398"/>
      <c r="E945" s="398"/>
      <c r="F945" s="398"/>
      <c r="G945" s="398"/>
      <c r="H945" s="398"/>
      <c r="I945" s="398"/>
      <c r="J945" s="398"/>
      <c r="K945" s="398"/>
      <c r="L945" s="398"/>
      <c r="M945" s="398"/>
      <c r="N945" s="398"/>
      <c r="O945" s="398"/>
    </row>
    <row r="946" spans="1:15" s="487" customFormat="1" ht="15.75" customHeight="1">
      <c r="A946" s="398"/>
      <c r="B946" s="398"/>
      <c r="C946" s="398"/>
      <c r="D946" s="398"/>
      <c r="E946" s="398"/>
      <c r="F946" s="398"/>
      <c r="G946" s="398"/>
      <c r="H946" s="398"/>
      <c r="I946" s="398"/>
      <c r="J946" s="398"/>
      <c r="K946" s="398"/>
      <c r="L946" s="398"/>
      <c r="M946" s="398"/>
      <c r="N946" s="398"/>
      <c r="O946" s="398"/>
    </row>
    <row r="947" spans="1:15" s="487" customFormat="1" ht="15.75" customHeight="1">
      <c r="A947" s="398"/>
      <c r="B947" s="398"/>
      <c r="C947" s="398"/>
      <c r="D947" s="398"/>
      <c r="E947" s="398"/>
      <c r="F947" s="398"/>
      <c r="G947" s="398"/>
      <c r="H947" s="398"/>
      <c r="I947" s="398"/>
      <c r="J947" s="398"/>
      <c r="K947" s="398"/>
      <c r="L947" s="398"/>
      <c r="M947" s="398"/>
      <c r="N947" s="398"/>
      <c r="O947" s="398"/>
    </row>
    <row r="948" spans="1:15" s="487" customFormat="1" ht="15.75" customHeight="1">
      <c r="A948" s="398"/>
      <c r="B948" s="398"/>
      <c r="C948" s="398"/>
      <c r="D948" s="398"/>
      <c r="E948" s="398"/>
      <c r="F948" s="398"/>
      <c r="G948" s="398"/>
      <c r="H948" s="398"/>
      <c r="I948" s="398"/>
      <c r="J948" s="398"/>
      <c r="K948" s="398"/>
      <c r="L948" s="398"/>
      <c r="M948" s="398"/>
      <c r="N948" s="398"/>
      <c r="O948" s="398"/>
    </row>
    <row r="949" spans="1:15" s="487" customFormat="1" ht="15.75" customHeight="1">
      <c r="A949" s="398"/>
      <c r="B949" s="398"/>
      <c r="C949" s="398"/>
      <c r="D949" s="398"/>
      <c r="E949" s="398"/>
      <c r="F949" s="398"/>
      <c r="G949" s="398"/>
      <c r="H949" s="398"/>
      <c r="I949" s="398"/>
      <c r="J949" s="398"/>
      <c r="K949" s="398"/>
      <c r="L949" s="398"/>
      <c r="M949" s="398"/>
      <c r="N949" s="398"/>
      <c r="O949" s="398"/>
    </row>
    <row r="950" spans="1:15" s="487" customFormat="1" ht="15.75" customHeight="1">
      <c r="A950" s="398"/>
      <c r="B950" s="398"/>
      <c r="C950" s="398"/>
      <c r="D950" s="398"/>
      <c r="E950" s="398"/>
      <c r="F950" s="398"/>
      <c r="G950" s="398"/>
      <c r="H950" s="398"/>
      <c r="I950" s="398"/>
      <c r="J950" s="398"/>
      <c r="K950" s="398"/>
      <c r="L950" s="398"/>
      <c r="M950" s="398"/>
      <c r="N950" s="398"/>
      <c r="O950" s="398"/>
    </row>
    <row r="951" spans="1:15" s="487" customFormat="1" ht="15.75" customHeight="1">
      <c r="A951" s="398"/>
      <c r="B951" s="398"/>
      <c r="C951" s="398"/>
      <c r="D951" s="398"/>
      <c r="E951" s="398"/>
      <c r="F951" s="398"/>
      <c r="G951" s="398"/>
      <c r="H951" s="398"/>
      <c r="I951" s="398"/>
      <c r="J951" s="398"/>
      <c r="K951" s="398"/>
      <c r="L951" s="398"/>
      <c r="M951" s="398"/>
      <c r="N951" s="398"/>
      <c r="O951" s="398"/>
    </row>
    <row r="952" spans="1:15" s="487" customFormat="1" ht="15.75" customHeight="1">
      <c r="A952" s="398"/>
      <c r="B952" s="398"/>
      <c r="C952" s="398"/>
      <c r="D952" s="398"/>
      <c r="E952" s="398"/>
      <c r="F952" s="398"/>
      <c r="G952" s="398"/>
      <c r="H952" s="398"/>
      <c r="I952" s="398"/>
      <c r="J952" s="398"/>
      <c r="K952" s="398"/>
      <c r="L952" s="398"/>
      <c r="M952" s="398"/>
      <c r="N952" s="398"/>
      <c r="O952" s="398"/>
    </row>
    <row r="953" spans="1:15" s="487" customFormat="1" ht="15.75" customHeight="1">
      <c r="A953" s="398"/>
      <c r="B953" s="398"/>
      <c r="C953" s="398"/>
      <c r="D953" s="398"/>
      <c r="E953" s="398"/>
      <c r="F953" s="398"/>
      <c r="G953" s="398"/>
      <c r="H953" s="398"/>
      <c r="I953" s="398"/>
      <c r="J953" s="398"/>
      <c r="K953" s="398"/>
      <c r="L953" s="398"/>
      <c r="M953" s="398"/>
      <c r="N953" s="398"/>
      <c r="O953" s="398"/>
    </row>
    <row r="954" spans="1:15" s="487" customFormat="1" ht="15.75" customHeight="1">
      <c r="A954" s="398"/>
      <c r="B954" s="398"/>
      <c r="C954" s="398"/>
      <c r="D954" s="398"/>
      <c r="E954" s="398"/>
      <c r="F954" s="398"/>
      <c r="G954" s="398"/>
      <c r="H954" s="398"/>
      <c r="I954" s="398"/>
      <c r="J954" s="398"/>
      <c r="K954" s="398"/>
      <c r="L954" s="398"/>
      <c r="M954" s="398"/>
      <c r="N954" s="398"/>
      <c r="O954" s="398"/>
    </row>
    <row r="955" spans="1:15" s="487" customFormat="1" ht="15.75" customHeight="1">
      <c r="A955" s="398"/>
      <c r="B955" s="398"/>
      <c r="C955" s="398"/>
      <c r="D955" s="398"/>
      <c r="E955" s="398"/>
      <c r="F955" s="398"/>
      <c r="G955" s="398"/>
      <c r="H955" s="398"/>
      <c r="I955" s="398"/>
      <c r="J955" s="398"/>
      <c r="K955" s="398"/>
      <c r="L955" s="398"/>
      <c r="M955" s="398"/>
      <c r="N955" s="398"/>
      <c r="O955" s="398"/>
    </row>
    <row r="956" spans="1:15" s="487" customFormat="1" ht="15.75" customHeight="1">
      <c r="A956" s="398"/>
      <c r="B956" s="398"/>
      <c r="C956" s="398"/>
      <c r="D956" s="398"/>
      <c r="E956" s="398"/>
      <c r="F956" s="398"/>
      <c r="G956" s="398"/>
      <c r="H956" s="398"/>
      <c r="I956" s="398"/>
      <c r="J956" s="398"/>
      <c r="K956" s="398"/>
      <c r="L956" s="398"/>
      <c r="M956" s="398"/>
      <c r="N956" s="398"/>
      <c r="O956" s="398"/>
    </row>
    <row r="957" spans="1:15" s="487" customFormat="1" ht="15.75" customHeight="1">
      <c r="A957" s="398"/>
      <c r="B957" s="398"/>
      <c r="C957" s="398"/>
      <c r="D957" s="398"/>
      <c r="E957" s="398"/>
      <c r="F957" s="398"/>
      <c r="G957" s="398"/>
      <c r="H957" s="398"/>
      <c r="I957" s="398"/>
      <c r="J957" s="398"/>
      <c r="K957" s="398"/>
      <c r="L957" s="398"/>
      <c r="M957" s="398"/>
      <c r="N957" s="398"/>
      <c r="O957" s="398"/>
    </row>
    <row r="958" spans="1:15" s="487" customFormat="1" ht="15.75" customHeight="1">
      <c r="A958" s="398"/>
      <c r="B958" s="398"/>
      <c r="C958" s="398"/>
      <c r="D958" s="398"/>
      <c r="E958" s="398"/>
      <c r="F958" s="398"/>
      <c r="G958" s="398"/>
      <c r="H958" s="398"/>
      <c r="I958" s="398"/>
      <c r="J958" s="398"/>
      <c r="K958" s="398"/>
      <c r="L958" s="398"/>
      <c r="M958" s="398"/>
      <c r="N958" s="398"/>
      <c r="O958" s="398"/>
    </row>
    <row r="959" spans="1:15" s="487" customFormat="1" ht="15.75" customHeight="1">
      <c r="A959" s="398"/>
      <c r="B959" s="398"/>
      <c r="C959" s="398"/>
      <c r="D959" s="398"/>
      <c r="E959" s="398"/>
      <c r="F959" s="398"/>
      <c r="G959" s="398"/>
      <c r="H959" s="398"/>
      <c r="I959" s="398"/>
      <c r="J959" s="398"/>
      <c r="K959" s="398"/>
      <c r="L959" s="398"/>
      <c r="M959" s="398"/>
      <c r="N959" s="398"/>
      <c r="O959" s="398"/>
    </row>
    <row r="960" spans="1:15" s="487" customFormat="1" ht="15.75" customHeight="1">
      <c r="A960" s="398"/>
      <c r="B960" s="398"/>
      <c r="C960" s="398"/>
      <c r="D960" s="398"/>
      <c r="E960" s="398"/>
      <c r="F960" s="398"/>
      <c r="G960" s="398"/>
      <c r="H960" s="398"/>
      <c r="I960" s="398"/>
      <c r="J960" s="398"/>
      <c r="K960" s="398"/>
      <c r="L960" s="398"/>
      <c r="M960" s="398"/>
      <c r="N960" s="398"/>
      <c r="O960" s="398"/>
    </row>
    <row r="961" spans="1:15" s="487" customFormat="1" ht="15.75" customHeight="1">
      <c r="A961" s="398"/>
      <c r="B961" s="398"/>
      <c r="C961" s="398"/>
      <c r="D961" s="398"/>
      <c r="E961" s="398"/>
      <c r="F961" s="398"/>
      <c r="G961" s="398"/>
      <c r="H961" s="398"/>
      <c r="I961" s="398"/>
      <c r="J961" s="398"/>
      <c r="K961" s="398"/>
      <c r="L961" s="398"/>
      <c r="M961" s="398"/>
      <c r="N961" s="398"/>
      <c r="O961" s="398"/>
    </row>
    <row r="962" spans="1:15" s="487" customFormat="1" ht="15.75" customHeight="1">
      <c r="A962" s="398"/>
      <c r="B962" s="398"/>
      <c r="C962" s="398"/>
      <c r="D962" s="398"/>
      <c r="E962" s="398"/>
      <c r="F962" s="398"/>
      <c r="G962" s="398"/>
      <c r="H962" s="398"/>
      <c r="I962" s="398"/>
      <c r="J962" s="398"/>
      <c r="K962" s="398"/>
      <c r="L962" s="398"/>
      <c r="M962" s="398"/>
      <c r="N962" s="398"/>
      <c r="O962" s="398"/>
    </row>
    <row r="963" spans="1:15" s="487" customFormat="1" ht="15.75" customHeight="1">
      <c r="A963" s="398"/>
      <c r="B963" s="398"/>
      <c r="C963" s="398"/>
      <c r="D963" s="398"/>
      <c r="E963" s="398"/>
      <c r="F963" s="398"/>
      <c r="G963" s="398"/>
      <c r="H963" s="398"/>
      <c r="I963" s="398"/>
      <c r="J963" s="398"/>
      <c r="K963" s="398"/>
      <c r="L963" s="398"/>
      <c r="M963" s="398"/>
      <c r="N963" s="398"/>
      <c r="O963" s="398"/>
    </row>
    <row r="964" spans="1:15" s="487" customFormat="1" ht="15.75" customHeight="1">
      <c r="A964" s="398"/>
      <c r="B964" s="398"/>
      <c r="C964" s="398"/>
      <c r="D964" s="398"/>
      <c r="E964" s="398"/>
      <c r="F964" s="398"/>
      <c r="G964" s="398"/>
      <c r="H964" s="398"/>
      <c r="I964" s="398"/>
      <c r="J964" s="398"/>
      <c r="K964" s="398"/>
      <c r="L964" s="398"/>
      <c r="M964" s="398"/>
      <c r="N964" s="398"/>
      <c r="O964" s="398"/>
    </row>
    <row r="965" spans="1:15" s="487" customFormat="1" ht="15.75" customHeight="1">
      <c r="A965" s="398"/>
      <c r="B965" s="398"/>
      <c r="C965" s="398"/>
      <c r="D965" s="398"/>
      <c r="E965" s="398"/>
      <c r="F965" s="398"/>
      <c r="G965" s="398"/>
      <c r="H965" s="398"/>
      <c r="I965" s="398"/>
      <c r="J965" s="398"/>
      <c r="K965" s="398"/>
      <c r="L965" s="398"/>
      <c r="M965" s="398"/>
      <c r="N965" s="398"/>
      <c r="O965" s="398"/>
    </row>
    <row r="966" spans="1:15" s="487" customFormat="1" ht="15.75" customHeight="1">
      <c r="A966" s="398"/>
      <c r="B966" s="398"/>
      <c r="C966" s="398"/>
      <c r="D966" s="398"/>
      <c r="E966" s="398"/>
      <c r="F966" s="398"/>
      <c r="G966" s="398"/>
      <c r="H966" s="398"/>
      <c r="I966" s="398"/>
      <c r="J966" s="398"/>
      <c r="K966" s="398"/>
      <c r="L966" s="398"/>
      <c r="M966" s="398"/>
      <c r="N966" s="398"/>
      <c r="O966" s="398"/>
    </row>
    <row r="967" spans="1:15" s="487" customFormat="1" ht="15.75" customHeight="1">
      <c r="A967" s="398"/>
      <c r="B967" s="398"/>
      <c r="C967" s="398"/>
      <c r="D967" s="398"/>
      <c r="E967" s="398"/>
      <c r="F967" s="398"/>
      <c r="G967" s="398"/>
      <c r="H967" s="398"/>
      <c r="I967" s="398"/>
      <c r="J967" s="398"/>
      <c r="K967" s="398"/>
      <c r="L967" s="398"/>
      <c r="M967" s="398"/>
      <c r="N967" s="398"/>
      <c r="O967" s="398"/>
    </row>
    <row r="968" spans="1:15" s="487" customFormat="1" ht="15.75" customHeight="1">
      <c r="A968" s="398"/>
      <c r="B968" s="398"/>
      <c r="C968" s="398"/>
      <c r="D968" s="398"/>
      <c r="E968" s="398"/>
      <c r="F968" s="398"/>
      <c r="G968" s="398"/>
      <c r="H968" s="398"/>
      <c r="I968" s="398"/>
      <c r="J968" s="398"/>
      <c r="K968" s="398"/>
      <c r="L968" s="398"/>
      <c r="M968" s="398"/>
      <c r="N968" s="398"/>
      <c r="O968" s="398"/>
    </row>
    <row r="969" spans="1:15" s="487" customFormat="1" ht="15.75" customHeight="1">
      <c r="A969" s="398"/>
      <c r="B969" s="398"/>
      <c r="C969" s="398"/>
      <c r="D969" s="398"/>
      <c r="E969" s="398"/>
      <c r="F969" s="398"/>
      <c r="G969" s="398"/>
      <c r="H969" s="398"/>
      <c r="I969" s="398"/>
      <c r="J969" s="398"/>
      <c r="K969" s="398"/>
      <c r="L969" s="398"/>
      <c r="M969" s="398"/>
      <c r="N969" s="398"/>
      <c r="O969" s="398"/>
    </row>
    <row r="970" spans="1:15" s="487" customFormat="1" ht="15.75" customHeight="1">
      <c r="A970" s="398"/>
      <c r="B970" s="398"/>
      <c r="C970" s="398"/>
      <c r="D970" s="398"/>
      <c r="E970" s="398"/>
      <c r="F970" s="398"/>
      <c r="G970" s="398"/>
      <c r="H970" s="398"/>
      <c r="I970" s="398"/>
      <c r="J970" s="398"/>
      <c r="K970" s="398"/>
      <c r="L970" s="398"/>
      <c r="M970" s="398"/>
      <c r="N970" s="398"/>
      <c r="O970" s="398"/>
    </row>
    <row r="971" spans="1:15" s="487" customFormat="1" ht="15.75" customHeight="1">
      <c r="A971" s="398"/>
      <c r="B971" s="398"/>
      <c r="C971" s="398"/>
      <c r="D971" s="398"/>
      <c r="E971" s="398"/>
      <c r="F971" s="398"/>
      <c r="G971" s="398"/>
      <c r="H971" s="398"/>
      <c r="I971" s="398"/>
      <c r="J971" s="398"/>
      <c r="K971" s="398"/>
      <c r="L971" s="398"/>
      <c r="M971" s="398"/>
      <c r="N971" s="398"/>
      <c r="O971" s="398"/>
    </row>
    <row r="972" spans="1:15" s="487" customFormat="1" ht="15.75" customHeight="1">
      <c r="A972" s="398"/>
      <c r="B972" s="398"/>
      <c r="C972" s="398"/>
      <c r="D972" s="398"/>
      <c r="E972" s="398"/>
      <c r="F972" s="398"/>
      <c r="G972" s="398"/>
      <c r="H972" s="398"/>
      <c r="I972" s="398"/>
      <c r="J972" s="398"/>
      <c r="K972" s="398"/>
      <c r="L972" s="398"/>
      <c r="M972" s="398"/>
      <c r="N972" s="398"/>
      <c r="O972" s="398"/>
    </row>
    <row r="973" spans="1:15" s="487" customFormat="1" ht="15.75" customHeight="1">
      <c r="A973" s="398"/>
      <c r="B973" s="398"/>
      <c r="C973" s="398"/>
      <c r="D973" s="398"/>
      <c r="E973" s="398"/>
      <c r="F973" s="398"/>
      <c r="G973" s="398"/>
      <c r="H973" s="398"/>
      <c r="I973" s="398"/>
      <c r="J973" s="398"/>
      <c r="K973" s="398"/>
      <c r="L973" s="398"/>
      <c r="M973" s="398"/>
      <c r="N973" s="398"/>
      <c r="O973" s="398"/>
    </row>
    <row r="974" spans="1:15" s="487" customFormat="1" ht="15.75" customHeight="1">
      <c r="A974" s="398"/>
      <c r="B974" s="398"/>
      <c r="C974" s="398"/>
      <c r="D974" s="398"/>
      <c r="E974" s="398"/>
      <c r="F974" s="398"/>
      <c r="G974" s="398"/>
      <c r="H974" s="398"/>
      <c r="I974" s="398"/>
      <c r="J974" s="398"/>
      <c r="K974" s="398"/>
      <c r="L974" s="398"/>
      <c r="M974" s="398"/>
      <c r="N974" s="398"/>
      <c r="O974" s="398"/>
    </row>
    <row r="975" spans="1:15" s="487" customFormat="1" ht="15.75" customHeight="1">
      <c r="A975" s="398"/>
      <c r="B975" s="398"/>
      <c r="C975" s="398"/>
      <c r="D975" s="398"/>
      <c r="E975" s="398"/>
      <c r="F975" s="398"/>
      <c r="G975" s="398"/>
      <c r="H975" s="398"/>
      <c r="I975" s="398"/>
      <c r="J975" s="398"/>
      <c r="K975" s="398"/>
      <c r="L975" s="398"/>
      <c r="M975" s="398"/>
      <c r="N975" s="398"/>
      <c r="O975" s="398"/>
    </row>
    <row r="976" spans="1:15" s="487" customFormat="1" ht="15.75" customHeight="1">
      <c r="A976" s="398"/>
      <c r="B976" s="398"/>
      <c r="C976" s="398"/>
      <c r="D976" s="398"/>
      <c r="E976" s="398"/>
      <c r="F976" s="398"/>
      <c r="G976" s="398"/>
      <c r="H976" s="398"/>
      <c r="I976" s="398"/>
      <c r="J976" s="398"/>
      <c r="K976" s="398"/>
      <c r="L976" s="398"/>
      <c r="M976" s="398"/>
      <c r="N976" s="398"/>
      <c r="O976" s="398"/>
    </row>
    <row r="977" spans="1:15" s="487" customFormat="1" ht="15.75" customHeight="1">
      <c r="A977" s="398"/>
      <c r="B977" s="398"/>
      <c r="C977" s="398"/>
      <c r="D977" s="398"/>
      <c r="E977" s="398"/>
      <c r="F977" s="398"/>
      <c r="G977" s="398"/>
      <c r="H977" s="398"/>
      <c r="I977" s="398"/>
      <c r="J977" s="398"/>
      <c r="K977" s="398"/>
      <c r="L977" s="398"/>
      <c r="M977" s="398"/>
      <c r="N977" s="398"/>
      <c r="O977" s="398"/>
    </row>
    <row r="978" spans="1:15" s="487" customFormat="1" ht="15.75" customHeight="1">
      <c r="A978" s="398"/>
      <c r="B978" s="398"/>
      <c r="C978" s="398"/>
      <c r="D978" s="398"/>
      <c r="E978" s="398"/>
      <c r="F978" s="398"/>
      <c r="G978" s="398"/>
      <c r="H978" s="398"/>
      <c r="I978" s="398"/>
      <c r="J978" s="398"/>
      <c r="K978" s="398"/>
      <c r="L978" s="398"/>
      <c r="M978" s="398"/>
      <c r="N978" s="398"/>
      <c r="O978" s="398"/>
    </row>
    <row r="979" spans="1:15" s="487" customFormat="1" ht="15.75" customHeight="1">
      <c r="A979" s="398"/>
      <c r="B979" s="398"/>
      <c r="C979" s="398"/>
      <c r="D979" s="398"/>
      <c r="E979" s="398"/>
      <c r="F979" s="398"/>
      <c r="G979" s="398"/>
      <c r="H979" s="398"/>
      <c r="I979" s="398"/>
      <c r="J979" s="398"/>
      <c r="K979" s="398"/>
      <c r="L979" s="398"/>
      <c r="M979" s="398"/>
      <c r="N979" s="398"/>
      <c r="O979" s="398"/>
    </row>
    <row r="980" spans="1:15" s="487" customFormat="1" ht="15.75" customHeight="1">
      <c r="A980" s="398"/>
      <c r="B980" s="398"/>
      <c r="C980" s="398"/>
      <c r="D980" s="398"/>
      <c r="E980" s="398"/>
      <c r="F980" s="398"/>
      <c r="G980" s="398"/>
      <c r="H980" s="398"/>
      <c r="I980" s="398"/>
      <c r="J980" s="398"/>
      <c r="K980" s="398"/>
      <c r="L980" s="398"/>
      <c r="M980" s="398"/>
      <c r="N980" s="398"/>
      <c r="O980" s="398"/>
    </row>
    <row r="981" spans="1:15" s="487" customFormat="1" ht="15.75" customHeight="1">
      <c r="A981" s="398"/>
      <c r="B981" s="398"/>
      <c r="C981" s="398"/>
      <c r="D981" s="398"/>
      <c r="E981" s="398"/>
      <c r="F981" s="398"/>
      <c r="G981" s="398"/>
      <c r="H981" s="398"/>
      <c r="I981" s="398"/>
      <c r="J981" s="398"/>
      <c r="K981" s="398"/>
      <c r="L981" s="398"/>
      <c r="M981" s="398"/>
      <c r="N981" s="398"/>
      <c r="O981" s="398"/>
    </row>
    <row r="982" spans="1:15" s="487" customFormat="1" ht="15.75" customHeight="1">
      <c r="A982" s="398"/>
      <c r="B982" s="398"/>
      <c r="C982" s="398"/>
      <c r="D982" s="398"/>
      <c r="E982" s="398"/>
      <c r="F982" s="398"/>
      <c r="G982" s="398"/>
      <c r="H982" s="398"/>
      <c r="I982" s="398"/>
      <c r="J982" s="398"/>
      <c r="K982" s="398"/>
      <c r="L982" s="398"/>
      <c r="M982" s="398"/>
      <c r="N982" s="398"/>
      <c r="O982" s="398"/>
    </row>
    <row r="983" spans="1:15" s="487" customFormat="1" ht="15.75" customHeight="1">
      <c r="A983" s="398"/>
      <c r="B983" s="398"/>
      <c r="C983" s="398"/>
      <c r="D983" s="398"/>
      <c r="E983" s="398"/>
      <c r="F983" s="398"/>
      <c r="G983" s="398"/>
      <c r="H983" s="398"/>
      <c r="I983" s="398"/>
      <c r="J983" s="398"/>
      <c r="K983" s="398"/>
      <c r="L983" s="398"/>
      <c r="M983" s="398"/>
      <c r="N983" s="398"/>
      <c r="O983" s="398"/>
    </row>
    <row r="984" spans="1:15" s="487" customFormat="1" ht="15.75" customHeight="1">
      <c r="A984" s="398"/>
      <c r="B984" s="398"/>
      <c r="C984" s="398"/>
      <c r="D984" s="398"/>
      <c r="E984" s="398"/>
      <c r="F984" s="398"/>
      <c r="G984" s="398"/>
      <c r="H984" s="398"/>
      <c r="I984" s="398"/>
      <c r="J984" s="398"/>
      <c r="K984" s="398"/>
      <c r="L984" s="398"/>
      <c r="M984" s="398"/>
      <c r="N984" s="398"/>
      <c r="O984" s="398"/>
    </row>
    <row r="985" spans="1:15" s="487" customFormat="1" ht="15.75" customHeight="1">
      <c r="A985" s="398"/>
      <c r="B985" s="398"/>
      <c r="C985" s="398"/>
      <c r="D985" s="398"/>
      <c r="E985" s="398"/>
      <c r="F985" s="398"/>
      <c r="G985" s="398"/>
      <c r="H985" s="398"/>
      <c r="I985" s="398"/>
      <c r="J985" s="398"/>
      <c r="K985" s="398"/>
      <c r="L985" s="398"/>
      <c r="M985" s="398"/>
      <c r="N985" s="398"/>
      <c r="O985" s="398"/>
    </row>
    <row r="986" spans="1:15" s="487" customFormat="1" ht="15.75" customHeight="1">
      <c r="A986" s="398"/>
      <c r="B986" s="398"/>
      <c r="C986" s="398"/>
      <c r="D986" s="398"/>
      <c r="E986" s="398"/>
      <c r="F986" s="398"/>
      <c r="G986" s="398"/>
      <c r="H986" s="398"/>
      <c r="I986" s="398"/>
      <c r="J986" s="398"/>
      <c r="K986" s="398"/>
      <c r="L986" s="398"/>
      <c r="M986" s="398"/>
      <c r="N986" s="398"/>
      <c r="O986" s="398"/>
    </row>
    <row r="987" spans="1:15" s="487" customFormat="1" ht="15.75" customHeight="1">
      <c r="A987" s="398"/>
      <c r="B987" s="398"/>
      <c r="C987" s="398"/>
      <c r="D987" s="398"/>
      <c r="E987" s="398"/>
      <c r="F987" s="398"/>
      <c r="G987" s="398"/>
      <c r="H987" s="398"/>
      <c r="I987" s="398"/>
      <c r="J987" s="398"/>
      <c r="K987" s="398"/>
      <c r="L987" s="398"/>
      <c r="M987" s="398"/>
      <c r="N987" s="398"/>
      <c r="O987" s="398"/>
    </row>
    <row r="988" spans="1:15" s="487" customFormat="1" ht="15.75" customHeight="1">
      <c r="A988" s="398"/>
      <c r="B988" s="398"/>
      <c r="C988" s="398"/>
      <c r="D988" s="398"/>
      <c r="E988" s="398"/>
      <c r="F988" s="398"/>
      <c r="G988" s="398"/>
      <c r="H988" s="398"/>
      <c r="I988" s="398"/>
      <c r="J988" s="398"/>
      <c r="K988" s="398"/>
      <c r="L988" s="398"/>
      <c r="M988" s="398"/>
      <c r="N988" s="398"/>
      <c r="O988" s="398"/>
    </row>
    <row r="989" spans="1:15" s="487" customFormat="1" ht="15.75" customHeight="1">
      <c r="A989" s="398"/>
      <c r="B989" s="398"/>
      <c r="C989" s="398"/>
      <c r="D989" s="398"/>
      <c r="E989" s="398"/>
      <c r="F989" s="398"/>
      <c r="G989" s="398"/>
      <c r="H989" s="398"/>
      <c r="I989" s="398"/>
      <c r="J989" s="398"/>
      <c r="K989" s="398"/>
      <c r="L989" s="398"/>
      <c r="M989" s="398"/>
      <c r="N989" s="398"/>
      <c r="O989" s="398"/>
    </row>
    <row r="990" spans="1:15" s="487" customFormat="1" ht="15.75" customHeight="1">
      <c r="A990" s="398"/>
      <c r="B990" s="398"/>
      <c r="C990" s="398"/>
      <c r="D990" s="398"/>
      <c r="E990" s="398"/>
      <c r="F990" s="398"/>
      <c r="G990" s="398"/>
      <c r="H990" s="398"/>
      <c r="I990" s="398"/>
      <c r="J990" s="398"/>
      <c r="K990" s="398"/>
      <c r="L990" s="398"/>
      <c r="M990" s="398"/>
      <c r="N990" s="398"/>
      <c r="O990" s="398"/>
    </row>
    <row r="991" spans="1:15" s="487" customFormat="1" ht="15.75" customHeight="1">
      <c r="A991" s="398"/>
      <c r="B991" s="398"/>
      <c r="C991" s="398"/>
      <c r="D991" s="398"/>
      <c r="E991" s="398"/>
      <c r="F991" s="398"/>
      <c r="G991" s="398"/>
      <c r="H991" s="398"/>
      <c r="I991" s="398"/>
      <c r="J991" s="398"/>
      <c r="K991" s="398"/>
      <c r="L991" s="398"/>
      <c r="M991" s="398"/>
      <c r="N991" s="398"/>
      <c r="O991" s="398"/>
    </row>
    <row r="992" spans="1:15" s="487" customFormat="1" ht="15.75" customHeight="1">
      <c r="A992" s="398"/>
      <c r="B992" s="398"/>
      <c r="C992" s="398"/>
      <c r="D992" s="398"/>
      <c r="E992" s="398"/>
      <c r="F992" s="398"/>
      <c r="G992" s="398"/>
      <c r="H992" s="398"/>
      <c r="I992" s="398"/>
      <c r="J992" s="398"/>
      <c r="K992" s="398"/>
      <c r="L992" s="398"/>
      <c r="M992" s="398"/>
      <c r="N992" s="398"/>
      <c r="O992" s="398"/>
    </row>
    <row r="993" spans="1:15" s="487" customFormat="1" ht="15.75" customHeight="1">
      <c r="A993" s="398"/>
      <c r="B993" s="398"/>
      <c r="C993" s="398"/>
      <c r="D993" s="398"/>
      <c r="E993" s="398"/>
      <c r="F993" s="398"/>
      <c r="G993" s="398"/>
      <c r="H993" s="398"/>
      <c r="I993" s="398"/>
      <c r="J993" s="398"/>
      <c r="K993" s="398"/>
      <c r="L993" s="398"/>
      <c r="M993" s="398"/>
      <c r="N993" s="398"/>
      <c r="O993" s="398"/>
    </row>
    <row r="994" spans="1:15" s="487" customFormat="1" ht="15.75" customHeight="1">
      <c r="A994" s="398"/>
      <c r="B994" s="398"/>
      <c r="C994" s="398"/>
      <c r="D994" s="398"/>
      <c r="E994" s="398"/>
      <c r="F994" s="398"/>
      <c r="G994" s="398"/>
      <c r="H994" s="398"/>
      <c r="I994" s="398"/>
      <c r="J994" s="398"/>
      <c r="K994" s="398"/>
      <c r="L994" s="398"/>
      <c r="M994" s="398"/>
      <c r="N994" s="398"/>
      <c r="O994" s="398"/>
    </row>
    <row r="995" spans="1:15" s="487" customFormat="1" ht="15.75" customHeight="1">
      <c r="A995" s="398"/>
      <c r="B995" s="398"/>
      <c r="C995" s="398"/>
      <c r="D995" s="398"/>
      <c r="E995" s="398"/>
      <c r="F995" s="398"/>
      <c r="G995" s="398"/>
      <c r="H995" s="398"/>
      <c r="I995" s="398"/>
      <c r="J995" s="398"/>
      <c r="K995" s="398"/>
      <c r="L995" s="398"/>
      <c r="M995" s="398"/>
      <c r="N995" s="398"/>
      <c r="O995" s="398"/>
    </row>
    <row r="996" spans="1:15" s="487" customFormat="1" ht="15.75" customHeight="1">
      <c r="A996" s="398"/>
      <c r="B996" s="398"/>
      <c r="C996" s="398"/>
      <c r="D996" s="398"/>
      <c r="E996" s="398"/>
      <c r="F996" s="398"/>
      <c r="G996" s="398"/>
      <c r="H996" s="398"/>
      <c r="I996" s="398"/>
      <c r="J996" s="398"/>
      <c r="K996" s="398"/>
      <c r="L996" s="398"/>
      <c r="M996" s="398"/>
      <c r="N996" s="398"/>
      <c r="O996" s="398"/>
    </row>
    <row r="997" spans="1:15" s="487" customFormat="1" ht="15.75" customHeight="1">
      <c r="A997" s="398"/>
      <c r="B997" s="398"/>
      <c r="C997" s="398"/>
      <c r="D997" s="398"/>
      <c r="E997" s="398"/>
      <c r="F997" s="398"/>
      <c r="G997" s="398"/>
      <c r="H997" s="398"/>
      <c r="I997" s="398"/>
      <c r="J997" s="398"/>
      <c r="K997" s="398"/>
      <c r="L997" s="398"/>
      <c r="M997" s="398"/>
      <c r="N997" s="398"/>
      <c r="O997" s="398"/>
    </row>
    <row r="998" spans="1:15" s="487" customFormat="1" ht="15.75" customHeight="1">
      <c r="A998" s="398"/>
      <c r="B998" s="398"/>
      <c r="C998" s="398"/>
      <c r="D998" s="398"/>
      <c r="E998" s="398"/>
      <c r="F998" s="398"/>
      <c r="G998" s="398"/>
      <c r="H998" s="398"/>
      <c r="I998" s="398"/>
      <c r="J998" s="398"/>
      <c r="K998" s="398"/>
      <c r="L998" s="398"/>
      <c r="M998" s="398"/>
      <c r="N998" s="398"/>
      <c r="O998" s="398"/>
    </row>
    <row r="999" spans="1:15" s="487" customFormat="1" ht="15.75" customHeight="1">
      <c r="A999" s="398"/>
      <c r="B999" s="398"/>
      <c r="C999" s="398"/>
      <c r="D999" s="398"/>
      <c r="E999" s="398"/>
      <c r="F999" s="398"/>
      <c r="G999" s="398"/>
      <c r="H999" s="398"/>
      <c r="I999" s="398"/>
      <c r="J999" s="398"/>
      <c r="K999" s="398"/>
      <c r="L999" s="398"/>
      <c r="M999" s="398"/>
      <c r="N999" s="398"/>
      <c r="O999" s="398"/>
    </row>
    <row r="1000" spans="1:15" s="487" customFormat="1" ht="15.75" customHeight="1">
      <c r="A1000" s="398"/>
      <c r="B1000" s="398"/>
      <c r="C1000" s="398"/>
      <c r="D1000" s="398"/>
      <c r="E1000" s="398"/>
      <c r="F1000" s="398"/>
      <c r="G1000" s="398"/>
      <c r="H1000" s="398"/>
      <c r="I1000" s="398"/>
      <c r="J1000" s="398"/>
      <c r="K1000" s="398"/>
      <c r="L1000" s="398"/>
      <c r="M1000" s="398"/>
      <c r="N1000" s="398"/>
      <c r="O1000" s="398"/>
    </row>
    <row r="1001" spans="1:15" s="487" customFormat="1" ht="15.75" customHeight="1">
      <c r="A1001" s="398"/>
      <c r="B1001" s="398"/>
      <c r="C1001" s="398"/>
      <c r="D1001" s="398"/>
      <c r="E1001" s="398"/>
      <c r="F1001" s="398"/>
      <c r="G1001" s="398"/>
      <c r="H1001" s="398"/>
      <c r="I1001" s="398"/>
      <c r="J1001" s="398"/>
      <c r="K1001" s="398"/>
      <c r="L1001" s="398"/>
      <c r="M1001" s="398"/>
      <c r="N1001" s="398"/>
      <c r="O1001" s="398"/>
    </row>
    <row r="1002" spans="1:15" s="487" customFormat="1" ht="15.75" customHeight="1">
      <c r="A1002" s="398"/>
      <c r="B1002" s="398"/>
      <c r="C1002" s="398"/>
      <c r="D1002" s="398"/>
      <c r="E1002" s="398"/>
      <c r="F1002" s="398"/>
      <c r="G1002" s="398"/>
      <c r="H1002" s="398"/>
      <c r="I1002" s="398"/>
      <c r="J1002" s="398"/>
      <c r="K1002" s="398"/>
      <c r="L1002" s="398"/>
      <c r="M1002" s="398"/>
      <c r="N1002" s="398"/>
      <c r="O1002" s="398"/>
    </row>
    <row r="1003" spans="1:15" s="487" customFormat="1" ht="15.75" customHeight="1">
      <c r="A1003" s="398"/>
      <c r="B1003" s="398"/>
      <c r="C1003" s="398"/>
      <c r="D1003" s="398"/>
      <c r="E1003" s="398"/>
      <c r="F1003" s="398"/>
      <c r="G1003" s="398"/>
      <c r="H1003" s="398"/>
      <c r="I1003" s="398"/>
      <c r="J1003" s="398"/>
      <c r="K1003" s="398"/>
      <c r="L1003" s="398"/>
      <c r="M1003" s="398"/>
      <c r="N1003" s="398"/>
      <c r="O1003" s="398"/>
    </row>
    <row r="1004" spans="1:15" s="487" customFormat="1" ht="15.75" customHeight="1">
      <c r="A1004" s="398"/>
      <c r="B1004" s="398"/>
      <c r="C1004" s="398"/>
      <c r="D1004" s="398"/>
      <c r="E1004" s="398"/>
      <c r="F1004" s="398"/>
      <c r="G1004" s="398"/>
      <c r="H1004" s="398"/>
      <c r="I1004" s="398"/>
      <c r="J1004" s="398"/>
      <c r="K1004" s="398"/>
      <c r="L1004" s="398"/>
      <c r="M1004" s="398"/>
      <c r="N1004" s="398"/>
      <c r="O1004" s="398"/>
    </row>
    <row r="1005" spans="1:15" s="487" customFormat="1" ht="15.75" customHeight="1">
      <c r="A1005" s="398"/>
      <c r="B1005" s="398"/>
      <c r="C1005" s="398"/>
      <c r="D1005" s="398"/>
      <c r="E1005" s="398"/>
      <c r="F1005" s="398"/>
      <c r="G1005" s="398"/>
      <c r="H1005" s="398"/>
      <c r="I1005" s="398"/>
      <c r="J1005" s="398"/>
      <c r="K1005" s="398"/>
      <c r="L1005" s="398"/>
      <c r="M1005" s="398"/>
      <c r="N1005" s="398"/>
      <c r="O1005" s="398"/>
    </row>
    <row r="1006" spans="1:15" s="487" customFormat="1" ht="15.75" customHeight="1">
      <c r="A1006" s="398"/>
      <c r="B1006" s="398"/>
      <c r="C1006" s="398"/>
      <c r="D1006" s="398"/>
      <c r="E1006" s="398"/>
      <c r="F1006" s="398"/>
      <c r="G1006" s="398"/>
      <c r="H1006" s="398"/>
      <c r="I1006" s="398"/>
      <c r="J1006" s="398"/>
      <c r="K1006" s="398"/>
      <c r="L1006" s="398"/>
      <c r="M1006" s="398"/>
      <c r="N1006" s="398"/>
      <c r="O1006" s="398"/>
    </row>
    <row r="1007" spans="1:15" s="487" customFormat="1" ht="15.75" customHeight="1">
      <c r="A1007" s="398"/>
      <c r="B1007" s="398"/>
      <c r="C1007" s="398"/>
      <c r="D1007" s="398"/>
      <c r="E1007" s="398"/>
      <c r="F1007" s="398"/>
      <c r="G1007" s="398"/>
      <c r="H1007" s="398"/>
      <c r="I1007" s="398"/>
      <c r="J1007" s="398"/>
      <c r="K1007" s="398"/>
      <c r="L1007" s="398"/>
      <c r="M1007" s="398"/>
      <c r="N1007" s="398"/>
      <c r="O1007" s="398"/>
    </row>
    <row r="1008" spans="1:15" s="487" customFormat="1" ht="15.75" customHeight="1">
      <c r="A1008" s="398"/>
      <c r="B1008" s="398"/>
      <c r="C1008" s="398"/>
      <c r="D1008" s="398"/>
      <c r="E1008" s="398"/>
      <c r="F1008" s="398"/>
      <c r="G1008" s="398"/>
      <c r="H1008" s="398"/>
      <c r="I1008" s="398"/>
      <c r="J1008" s="398"/>
      <c r="K1008" s="398"/>
      <c r="L1008" s="398"/>
      <c r="M1008" s="398"/>
      <c r="N1008" s="398"/>
      <c r="O1008" s="398"/>
    </row>
    <row r="1009" spans="1:15" s="487" customFormat="1" ht="15.75" customHeight="1">
      <c r="A1009" s="398"/>
      <c r="B1009" s="398"/>
      <c r="C1009" s="398"/>
      <c r="D1009" s="398"/>
      <c r="E1009" s="398"/>
      <c r="F1009" s="398"/>
      <c r="G1009" s="398"/>
      <c r="H1009" s="398"/>
      <c r="I1009" s="398"/>
      <c r="J1009" s="398"/>
      <c r="K1009" s="398"/>
      <c r="L1009" s="398"/>
      <c r="M1009" s="398"/>
      <c r="N1009" s="398"/>
      <c r="O1009" s="398"/>
    </row>
    <row r="1010" spans="1:15" s="487" customFormat="1" ht="15.75" customHeight="1">
      <c r="A1010" s="398"/>
      <c r="B1010" s="398"/>
      <c r="C1010" s="398"/>
      <c r="D1010" s="398"/>
      <c r="E1010" s="398"/>
      <c r="F1010" s="398"/>
      <c r="G1010" s="398"/>
      <c r="H1010" s="398"/>
      <c r="I1010" s="398"/>
      <c r="J1010" s="398"/>
      <c r="K1010" s="398"/>
      <c r="L1010" s="398"/>
      <c r="M1010" s="398"/>
      <c r="N1010" s="398"/>
      <c r="O1010" s="398"/>
    </row>
    <row r="1011" spans="1:15" s="487" customFormat="1" ht="15.75" customHeight="1">
      <c r="A1011" s="398"/>
      <c r="B1011" s="398"/>
      <c r="C1011" s="398"/>
      <c r="D1011" s="398"/>
      <c r="E1011" s="398"/>
      <c r="F1011" s="398"/>
      <c r="G1011" s="398"/>
      <c r="H1011" s="398"/>
      <c r="I1011" s="398"/>
      <c r="J1011" s="398"/>
      <c r="K1011" s="398"/>
      <c r="L1011" s="398"/>
      <c r="M1011" s="398"/>
      <c r="N1011" s="398"/>
      <c r="O1011" s="398"/>
    </row>
    <row r="1012" spans="1:15" s="487" customFormat="1" ht="15.75" customHeight="1">
      <c r="A1012" s="398"/>
      <c r="B1012" s="398"/>
      <c r="C1012" s="398"/>
      <c r="D1012" s="398"/>
      <c r="E1012" s="398"/>
      <c r="F1012" s="398"/>
      <c r="G1012" s="398"/>
      <c r="H1012" s="398"/>
      <c r="I1012" s="398"/>
      <c r="J1012" s="398"/>
      <c r="K1012" s="398"/>
      <c r="L1012" s="398"/>
      <c r="M1012" s="398"/>
      <c r="N1012" s="398"/>
      <c r="O1012" s="398"/>
    </row>
    <row r="1013" spans="1:15" s="487" customFormat="1" ht="15.75" customHeight="1">
      <c r="A1013" s="398"/>
      <c r="B1013" s="398"/>
      <c r="C1013" s="398"/>
      <c r="D1013" s="398"/>
      <c r="E1013" s="398"/>
      <c r="F1013" s="398"/>
      <c r="G1013" s="398"/>
      <c r="H1013" s="398"/>
      <c r="I1013" s="398"/>
      <c r="J1013" s="398"/>
      <c r="K1013" s="398"/>
      <c r="L1013" s="398"/>
      <c r="M1013" s="398"/>
      <c r="N1013" s="398"/>
      <c r="O1013" s="398"/>
    </row>
    <row r="1014" spans="1:15" s="487" customFormat="1" ht="15.75" customHeight="1">
      <c r="A1014" s="398"/>
      <c r="B1014" s="398"/>
      <c r="C1014" s="398"/>
      <c r="D1014" s="398"/>
      <c r="E1014" s="398"/>
      <c r="F1014" s="398"/>
      <c r="G1014" s="398"/>
      <c r="H1014" s="398"/>
      <c r="I1014" s="398"/>
      <c r="J1014" s="398"/>
      <c r="K1014" s="398"/>
      <c r="L1014" s="398"/>
      <c r="M1014" s="398"/>
      <c r="N1014" s="398"/>
      <c r="O1014" s="398"/>
    </row>
    <row r="1015" spans="1:15" s="487" customFormat="1" ht="15.75" customHeight="1">
      <c r="A1015" s="398"/>
      <c r="B1015" s="398"/>
      <c r="C1015" s="398"/>
      <c r="D1015" s="398"/>
      <c r="E1015" s="398"/>
      <c r="F1015" s="398"/>
      <c r="G1015" s="398"/>
      <c r="H1015" s="398"/>
      <c r="I1015" s="398"/>
      <c r="J1015" s="398"/>
      <c r="K1015" s="398"/>
      <c r="L1015" s="398"/>
      <c r="M1015" s="398"/>
      <c r="N1015" s="398"/>
      <c r="O1015" s="398"/>
    </row>
    <row r="1016" spans="1:15" s="487" customFormat="1" ht="15.75" customHeight="1">
      <c r="A1016" s="398"/>
      <c r="B1016" s="398"/>
      <c r="C1016" s="398"/>
      <c r="D1016" s="398"/>
      <c r="E1016" s="398"/>
      <c r="F1016" s="398"/>
      <c r="G1016" s="398"/>
      <c r="H1016" s="398"/>
      <c r="I1016" s="398"/>
      <c r="J1016" s="398"/>
      <c r="K1016" s="398"/>
      <c r="L1016" s="398"/>
      <c r="M1016" s="398"/>
      <c r="N1016" s="398"/>
      <c r="O1016" s="398"/>
    </row>
    <row r="1017" spans="1:15" s="487" customFormat="1" ht="15.75" customHeight="1">
      <c r="A1017" s="398"/>
      <c r="B1017" s="398"/>
      <c r="C1017" s="398"/>
      <c r="D1017" s="398"/>
      <c r="E1017" s="398"/>
      <c r="F1017" s="398"/>
      <c r="G1017" s="398"/>
      <c r="H1017" s="398"/>
      <c r="I1017" s="398"/>
      <c r="J1017" s="398"/>
      <c r="K1017" s="398"/>
      <c r="L1017" s="398"/>
      <c r="M1017" s="398"/>
      <c r="N1017" s="398"/>
      <c r="O1017" s="398"/>
    </row>
    <row r="1018" spans="1:15" s="487" customFormat="1" ht="15.75" customHeight="1">
      <c r="A1018" s="398"/>
      <c r="B1018" s="398"/>
      <c r="C1018" s="398"/>
      <c r="D1018" s="398"/>
      <c r="E1018" s="398"/>
      <c r="F1018" s="398"/>
      <c r="G1018" s="398"/>
      <c r="H1018" s="398"/>
      <c r="I1018" s="398"/>
      <c r="J1018" s="398"/>
      <c r="K1018" s="398"/>
      <c r="L1018" s="398"/>
      <c r="M1018" s="398"/>
      <c r="N1018" s="398"/>
      <c r="O1018" s="398"/>
    </row>
    <row r="1019" spans="1:15" s="487" customFormat="1" ht="15.75" customHeight="1">
      <c r="A1019" s="398"/>
      <c r="B1019" s="398"/>
      <c r="C1019" s="398"/>
      <c r="D1019" s="398"/>
      <c r="E1019" s="398"/>
      <c r="F1019" s="398"/>
      <c r="G1019" s="398"/>
      <c r="H1019" s="398"/>
      <c r="I1019" s="398"/>
      <c r="J1019" s="398"/>
      <c r="K1019" s="398"/>
      <c r="L1019" s="398"/>
      <c r="M1019" s="398"/>
      <c r="N1019" s="398"/>
      <c r="O1019" s="398"/>
    </row>
    <row r="1020" spans="1:15" s="487" customFormat="1" ht="15.75" customHeight="1">
      <c r="A1020" s="398"/>
      <c r="B1020" s="398"/>
      <c r="C1020" s="398"/>
      <c r="D1020" s="398"/>
      <c r="E1020" s="398"/>
      <c r="F1020" s="398"/>
      <c r="G1020" s="398"/>
      <c r="H1020" s="398"/>
      <c r="I1020" s="398"/>
      <c r="J1020" s="398"/>
      <c r="K1020" s="398"/>
      <c r="L1020" s="398"/>
      <c r="M1020" s="398"/>
      <c r="N1020" s="398"/>
      <c r="O1020" s="398"/>
    </row>
    <row r="1021" spans="1:15" s="487" customFormat="1" ht="15.75" customHeight="1">
      <c r="A1021" s="398"/>
      <c r="B1021" s="398"/>
      <c r="C1021" s="398"/>
      <c r="D1021" s="398"/>
      <c r="E1021" s="398"/>
      <c r="F1021" s="398"/>
      <c r="G1021" s="398"/>
      <c r="H1021" s="398"/>
      <c r="I1021" s="398"/>
      <c r="J1021" s="398"/>
      <c r="K1021" s="398"/>
      <c r="L1021" s="398"/>
      <c r="M1021" s="398"/>
      <c r="N1021" s="398"/>
      <c r="O1021" s="398"/>
    </row>
    <row r="1022" spans="1:15" s="487" customFormat="1" ht="15.75" customHeight="1">
      <c r="A1022" s="398"/>
      <c r="B1022" s="398"/>
      <c r="C1022" s="398"/>
      <c r="D1022" s="398"/>
      <c r="E1022" s="398"/>
      <c r="F1022" s="398"/>
      <c r="G1022" s="398"/>
      <c r="H1022" s="398"/>
      <c r="I1022" s="398"/>
      <c r="J1022" s="398"/>
      <c r="K1022" s="398"/>
      <c r="L1022" s="398"/>
      <c r="M1022" s="398"/>
      <c r="N1022" s="398"/>
      <c r="O1022" s="398"/>
    </row>
    <row r="1023" spans="1:15" s="487" customFormat="1" ht="15.75" customHeight="1">
      <c r="A1023" s="398"/>
      <c r="B1023" s="398"/>
      <c r="C1023" s="398"/>
      <c r="D1023" s="398"/>
      <c r="E1023" s="398"/>
      <c r="F1023" s="398"/>
      <c r="G1023" s="398"/>
      <c r="H1023" s="398"/>
      <c r="I1023" s="398"/>
      <c r="J1023" s="398"/>
      <c r="K1023" s="398"/>
      <c r="L1023" s="398"/>
      <c r="M1023" s="398"/>
      <c r="N1023" s="398"/>
      <c r="O1023" s="398"/>
    </row>
    <row r="1024" spans="1:15" s="487" customFormat="1" ht="15.75" customHeight="1">
      <c r="A1024" s="398"/>
      <c r="B1024" s="398"/>
      <c r="C1024" s="398"/>
      <c r="D1024" s="398"/>
      <c r="E1024" s="398"/>
      <c r="F1024" s="398"/>
      <c r="G1024" s="398"/>
      <c r="H1024" s="398"/>
      <c r="I1024" s="398"/>
      <c r="J1024" s="398"/>
      <c r="K1024" s="398"/>
      <c r="L1024" s="398"/>
      <c r="M1024" s="398"/>
      <c r="N1024" s="398"/>
      <c r="O1024" s="398"/>
    </row>
    <row r="1025" spans="1:15" s="487" customFormat="1" ht="15.75" customHeight="1">
      <c r="A1025" s="398"/>
      <c r="B1025" s="398"/>
      <c r="C1025" s="398"/>
      <c r="D1025" s="398"/>
      <c r="E1025" s="398"/>
      <c r="F1025" s="398"/>
      <c r="G1025" s="398"/>
      <c r="H1025" s="398"/>
      <c r="I1025" s="398"/>
      <c r="J1025" s="398"/>
      <c r="K1025" s="398"/>
      <c r="L1025" s="398"/>
      <c r="M1025" s="398"/>
      <c r="N1025" s="398"/>
      <c r="O1025" s="398"/>
    </row>
    <row r="1026" spans="1:15" s="487" customFormat="1" ht="15.75" customHeight="1">
      <c r="A1026" s="398"/>
      <c r="B1026" s="398"/>
      <c r="C1026" s="398"/>
      <c r="D1026" s="398"/>
      <c r="E1026" s="398"/>
      <c r="F1026" s="398"/>
      <c r="G1026" s="398"/>
      <c r="H1026" s="398"/>
      <c r="I1026" s="398"/>
      <c r="J1026" s="398"/>
      <c r="K1026" s="398"/>
      <c r="L1026" s="398"/>
      <c r="M1026" s="398"/>
      <c r="N1026" s="398"/>
      <c r="O1026" s="398"/>
    </row>
    <row r="1027" spans="1:15" s="487" customFormat="1" ht="15.75" customHeight="1">
      <c r="A1027" s="398"/>
      <c r="B1027" s="398"/>
      <c r="C1027" s="398"/>
      <c r="D1027" s="398"/>
      <c r="E1027" s="398"/>
      <c r="F1027" s="398"/>
      <c r="G1027" s="398"/>
      <c r="H1027" s="398"/>
      <c r="I1027" s="398"/>
      <c r="J1027" s="398"/>
      <c r="K1027" s="398"/>
      <c r="L1027" s="398"/>
      <c r="M1027" s="398"/>
      <c r="N1027" s="398"/>
      <c r="O1027" s="398"/>
    </row>
    <row r="1028" spans="1:15" s="487" customFormat="1" ht="15.75" customHeight="1">
      <c r="A1028" s="398"/>
      <c r="B1028" s="398"/>
      <c r="C1028" s="398"/>
      <c r="D1028" s="398"/>
      <c r="E1028" s="398"/>
      <c r="F1028" s="398"/>
      <c r="G1028" s="398"/>
      <c r="H1028" s="398"/>
      <c r="I1028" s="398"/>
      <c r="J1028" s="398"/>
      <c r="K1028" s="398"/>
      <c r="L1028" s="398"/>
      <c r="M1028" s="398"/>
      <c r="N1028" s="398"/>
      <c r="O1028" s="398"/>
    </row>
    <row r="1029" spans="1:15" s="487" customFormat="1" ht="15.75" customHeight="1">
      <c r="A1029" s="398"/>
      <c r="B1029" s="398"/>
      <c r="C1029" s="398"/>
      <c r="D1029" s="398"/>
      <c r="E1029" s="398"/>
      <c r="F1029" s="398"/>
      <c r="G1029" s="398"/>
      <c r="H1029" s="398"/>
      <c r="I1029" s="398"/>
      <c r="J1029" s="398"/>
      <c r="K1029" s="398"/>
      <c r="L1029" s="398"/>
      <c r="M1029" s="398"/>
      <c r="N1029" s="398"/>
      <c r="O1029" s="398"/>
    </row>
    <row r="1030" spans="1:15" s="487" customFormat="1" ht="15.75" customHeight="1">
      <c r="A1030" s="398"/>
      <c r="B1030" s="398"/>
      <c r="C1030" s="398"/>
      <c r="D1030" s="398"/>
      <c r="E1030" s="398"/>
      <c r="F1030" s="398"/>
      <c r="G1030" s="398"/>
      <c r="H1030" s="398"/>
      <c r="I1030" s="398"/>
      <c r="J1030" s="398"/>
      <c r="K1030" s="398"/>
      <c r="L1030" s="398"/>
      <c r="M1030" s="398"/>
      <c r="N1030" s="398"/>
      <c r="O1030" s="398"/>
    </row>
    <row r="1031" spans="1:15" s="487" customFormat="1" ht="15.75" customHeight="1">
      <c r="A1031" s="398"/>
      <c r="B1031" s="398"/>
      <c r="C1031" s="398"/>
      <c r="D1031" s="398"/>
      <c r="E1031" s="398"/>
      <c r="F1031" s="398"/>
      <c r="G1031" s="398"/>
      <c r="H1031" s="398"/>
      <c r="I1031" s="398"/>
      <c r="J1031" s="398"/>
      <c r="K1031" s="398"/>
      <c r="L1031" s="398"/>
      <c r="M1031" s="398"/>
      <c r="N1031" s="398"/>
      <c r="O1031" s="398"/>
    </row>
    <row r="1032" spans="1:15" s="487" customFormat="1" ht="15.75" customHeight="1">
      <c r="A1032" s="398"/>
      <c r="B1032" s="398"/>
      <c r="C1032" s="398"/>
      <c r="D1032" s="398"/>
      <c r="E1032" s="398"/>
      <c r="F1032" s="398"/>
      <c r="G1032" s="398"/>
      <c r="H1032" s="398"/>
      <c r="I1032" s="398"/>
      <c r="J1032" s="398"/>
      <c r="K1032" s="398"/>
      <c r="L1032" s="398"/>
      <c r="M1032" s="398"/>
      <c r="N1032" s="398"/>
      <c r="O1032" s="398"/>
    </row>
    <row r="1033" spans="1:15" s="487" customFormat="1" ht="15.75" customHeight="1">
      <c r="A1033" s="398"/>
      <c r="B1033" s="398"/>
      <c r="C1033" s="398"/>
      <c r="D1033" s="398"/>
      <c r="E1033" s="398"/>
      <c r="F1033" s="398"/>
      <c r="G1033" s="398"/>
      <c r="H1033" s="398"/>
      <c r="I1033" s="398"/>
      <c r="J1033" s="398"/>
      <c r="K1033" s="398"/>
      <c r="L1033" s="398"/>
      <c r="M1033" s="398"/>
      <c r="N1033" s="398"/>
      <c r="O1033" s="398"/>
    </row>
    <row r="1034" spans="1:15" s="487" customFormat="1" ht="15.75" customHeight="1">
      <c r="A1034" s="398"/>
      <c r="B1034" s="398"/>
      <c r="C1034" s="398"/>
      <c r="D1034" s="398"/>
      <c r="E1034" s="398"/>
      <c r="F1034" s="398"/>
      <c r="G1034" s="398"/>
      <c r="H1034" s="398"/>
      <c r="I1034" s="398"/>
      <c r="J1034" s="398"/>
      <c r="K1034" s="398"/>
      <c r="L1034" s="398"/>
      <c r="M1034" s="398"/>
      <c r="N1034" s="398"/>
      <c r="O1034" s="398"/>
    </row>
    <row r="1035" spans="1:15" s="487" customFormat="1" ht="15.75" customHeight="1">
      <c r="A1035" s="398"/>
      <c r="B1035" s="398"/>
      <c r="C1035" s="398"/>
      <c r="D1035" s="398"/>
      <c r="E1035" s="398"/>
      <c r="F1035" s="398"/>
      <c r="G1035" s="398"/>
      <c r="H1035" s="398"/>
      <c r="I1035" s="398"/>
      <c r="J1035" s="398"/>
      <c r="K1035" s="398"/>
      <c r="L1035" s="398"/>
      <c r="M1035" s="398"/>
      <c r="N1035" s="398"/>
      <c r="O1035" s="398"/>
    </row>
    <row r="1036" spans="1:15" s="487" customFormat="1" ht="15.75" customHeight="1">
      <c r="A1036" s="398"/>
      <c r="B1036" s="398"/>
      <c r="C1036" s="398"/>
      <c r="D1036" s="398"/>
      <c r="E1036" s="398"/>
      <c r="F1036" s="398"/>
      <c r="G1036" s="398"/>
      <c r="H1036" s="398"/>
      <c r="I1036" s="398"/>
      <c r="J1036" s="398"/>
      <c r="K1036" s="398"/>
      <c r="L1036" s="398"/>
      <c r="M1036" s="398"/>
      <c r="N1036" s="398"/>
      <c r="O1036" s="398"/>
    </row>
    <row r="1037" spans="1:15" s="487" customFormat="1" ht="15.75" customHeight="1">
      <c r="A1037" s="398"/>
      <c r="B1037" s="398"/>
      <c r="C1037" s="398"/>
      <c r="D1037" s="398"/>
      <c r="E1037" s="398"/>
      <c r="F1037" s="398"/>
      <c r="G1037" s="398"/>
      <c r="H1037" s="398"/>
      <c r="I1037" s="398"/>
      <c r="J1037" s="398"/>
      <c r="K1037" s="398"/>
      <c r="L1037" s="398"/>
      <c r="M1037" s="398"/>
      <c r="N1037" s="398"/>
      <c r="O1037" s="398"/>
    </row>
    <row r="1038" spans="1:15" s="487" customFormat="1" ht="15.75" customHeight="1">
      <c r="A1038" s="398"/>
      <c r="B1038" s="398"/>
      <c r="C1038" s="398"/>
      <c r="D1038" s="398"/>
      <c r="E1038" s="398"/>
      <c r="F1038" s="398"/>
      <c r="G1038" s="398"/>
      <c r="H1038" s="398"/>
      <c r="I1038" s="398"/>
      <c r="J1038" s="398"/>
      <c r="K1038" s="398"/>
      <c r="L1038" s="398"/>
      <c r="M1038" s="398"/>
      <c r="N1038" s="398"/>
      <c r="O1038" s="398"/>
    </row>
    <row r="1039" spans="1:15" s="487" customFormat="1" ht="15.75" customHeight="1">
      <c r="A1039" s="398"/>
      <c r="B1039" s="398"/>
      <c r="C1039" s="398"/>
      <c r="D1039" s="398"/>
      <c r="E1039" s="398"/>
      <c r="F1039" s="398"/>
      <c r="G1039" s="398"/>
      <c r="H1039" s="398"/>
      <c r="I1039" s="398"/>
      <c r="J1039" s="398"/>
      <c r="K1039" s="398"/>
      <c r="L1039" s="398"/>
      <c r="M1039" s="398"/>
      <c r="N1039" s="398"/>
      <c r="O1039" s="398"/>
    </row>
    <row r="1040" spans="1:15" s="487" customFormat="1" ht="15.75" customHeight="1">
      <c r="A1040" s="398"/>
      <c r="B1040" s="398"/>
      <c r="C1040" s="398"/>
      <c r="D1040" s="398"/>
      <c r="E1040" s="398"/>
      <c r="F1040" s="398"/>
      <c r="G1040" s="398"/>
      <c r="H1040" s="398"/>
      <c r="I1040" s="398"/>
      <c r="J1040" s="398"/>
      <c r="K1040" s="398"/>
      <c r="L1040" s="398"/>
      <c r="M1040" s="398"/>
      <c r="N1040" s="398"/>
      <c r="O1040" s="398"/>
    </row>
    <row r="1041" spans="1:15" s="487" customFormat="1" ht="15.75" customHeight="1">
      <c r="A1041" s="398"/>
      <c r="B1041" s="398"/>
      <c r="C1041" s="398"/>
      <c r="D1041" s="398"/>
      <c r="E1041" s="398"/>
      <c r="F1041" s="398"/>
      <c r="G1041" s="398"/>
      <c r="H1041" s="398"/>
      <c r="I1041" s="398"/>
      <c r="J1041" s="398"/>
      <c r="K1041" s="398"/>
      <c r="L1041" s="398"/>
      <c r="M1041" s="398"/>
      <c r="N1041" s="398"/>
      <c r="O1041" s="398"/>
    </row>
    <row r="1042" spans="1:15" s="487" customFormat="1" ht="15.75" customHeight="1">
      <c r="A1042" s="398"/>
      <c r="B1042" s="398"/>
      <c r="C1042" s="398"/>
      <c r="D1042" s="398"/>
      <c r="E1042" s="398"/>
      <c r="F1042" s="398"/>
      <c r="G1042" s="398"/>
      <c r="H1042" s="398"/>
      <c r="I1042" s="398"/>
      <c r="J1042" s="398"/>
      <c r="K1042" s="398"/>
      <c r="L1042" s="398"/>
      <c r="M1042" s="398"/>
      <c r="N1042" s="398"/>
      <c r="O1042" s="398"/>
    </row>
    <row r="1043" spans="1:15" s="487" customFormat="1" ht="15.75" customHeight="1">
      <c r="A1043" s="398"/>
      <c r="B1043" s="398"/>
      <c r="C1043" s="398"/>
      <c r="D1043" s="398"/>
      <c r="E1043" s="398"/>
      <c r="F1043" s="398"/>
      <c r="G1043" s="398"/>
      <c r="H1043" s="398"/>
      <c r="I1043" s="398"/>
      <c r="J1043" s="398"/>
      <c r="K1043" s="398"/>
      <c r="L1043" s="398"/>
      <c r="M1043" s="398"/>
      <c r="N1043" s="398"/>
      <c r="O1043" s="398"/>
    </row>
    <row r="1044" spans="1:15" s="487" customFormat="1" ht="15.75" customHeight="1">
      <c r="A1044" s="398"/>
      <c r="B1044" s="398"/>
      <c r="C1044" s="398"/>
      <c r="D1044" s="398"/>
      <c r="E1044" s="398"/>
      <c r="F1044" s="398"/>
      <c r="G1044" s="398"/>
      <c r="H1044" s="398"/>
      <c r="I1044" s="398"/>
      <c r="J1044" s="398"/>
      <c r="K1044" s="398"/>
      <c r="L1044" s="398"/>
      <c r="M1044" s="398"/>
      <c r="N1044" s="398"/>
      <c r="O1044" s="398"/>
    </row>
    <row r="1045" spans="1:15" s="487" customFormat="1" ht="15.75" customHeight="1">
      <c r="A1045" s="398"/>
      <c r="B1045" s="398"/>
      <c r="C1045" s="398"/>
      <c r="D1045" s="398"/>
      <c r="E1045" s="398"/>
      <c r="F1045" s="398"/>
      <c r="G1045" s="398"/>
      <c r="H1045" s="398"/>
      <c r="I1045" s="398"/>
      <c r="J1045" s="398"/>
      <c r="K1045" s="398"/>
      <c r="L1045" s="398"/>
      <c r="M1045" s="398"/>
      <c r="N1045" s="398"/>
      <c r="O1045" s="398"/>
    </row>
    <row r="1046" spans="1:15" s="487" customFormat="1" ht="15.75" customHeight="1">
      <c r="A1046" s="398"/>
      <c r="B1046" s="398"/>
      <c r="C1046" s="398"/>
      <c r="D1046" s="398"/>
      <c r="E1046" s="398"/>
      <c r="F1046" s="398"/>
      <c r="G1046" s="398"/>
      <c r="H1046" s="398"/>
      <c r="I1046" s="398"/>
      <c r="J1046" s="398"/>
      <c r="K1046" s="398"/>
      <c r="L1046" s="398"/>
      <c r="M1046" s="398"/>
      <c r="N1046" s="398"/>
      <c r="O1046" s="398"/>
    </row>
    <row r="1047" spans="1:15" s="487" customFormat="1" ht="15.75" customHeight="1">
      <c r="A1047" s="398"/>
      <c r="B1047" s="398"/>
      <c r="C1047" s="398"/>
      <c r="D1047" s="398"/>
      <c r="E1047" s="398"/>
      <c r="F1047" s="398"/>
      <c r="G1047" s="398"/>
      <c r="H1047" s="398"/>
      <c r="I1047" s="398"/>
      <c r="J1047" s="398"/>
      <c r="K1047" s="398"/>
      <c r="L1047" s="398"/>
      <c r="M1047" s="398"/>
      <c r="N1047" s="398"/>
      <c r="O1047" s="398"/>
    </row>
    <row r="1048" spans="1:15" s="487" customFormat="1" ht="15.75" customHeight="1">
      <c r="A1048" s="398"/>
      <c r="B1048" s="398"/>
      <c r="C1048" s="398"/>
      <c r="D1048" s="398"/>
      <c r="E1048" s="398"/>
      <c r="F1048" s="398"/>
      <c r="G1048" s="398"/>
      <c r="H1048" s="398"/>
      <c r="I1048" s="398"/>
      <c r="J1048" s="398"/>
      <c r="K1048" s="398"/>
      <c r="L1048" s="398"/>
      <c r="M1048" s="398"/>
      <c r="N1048" s="398"/>
      <c r="O1048" s="398"/>
    </row>
    <row r="1049" spans="1:15" s="487" customFormat="1" ht="15.75" customHeight="1">
      <c r="A1049" s="398"/>
      <c r="B1049" s="398"/>
      <c r="C1049" s="398"/>
      <c r="D1049" s="398"/>
      <c r="E1049" s="398"/>
      <c r="F1049" s="398"/>
      <c r="G1049" s="398"/>
      <c r="H1049" s="398"/>
      <c r="I1049" s="398"/>
      <c r="J1049" s="398"/>
      <c r="K1049" s="398"/>
      <c r="L1049" s="398"/>
      <c r="M1049" s="398"/>
      <c r="N1049" s="398"/>
      <c r="O1049" s="398"/>
    </row>
    <row r="1050" spans="1:15" s="487" customFormat="1" ht="15.75" customHeight="1">
      <c r="A1050" s="398"/>
      <c r="B1050" s="398"/>
      <c r="C1050" s="398"/>
      <c r="D1050" s="398"/>
      <c r="E1050" s="398"/>
      <c r="F1050" s="398"/>
      <c r="G1050" s="398"/>
      <c r="H1050" s="398"/>
      <c r="I1050" s="398"/>
      <c r="J1050" s="398"/>
      <c r="K1050" s="398"/>
      <c r="L1050" s="398"/>
      <c r="M1050" s="398"/>
      <c r="N1050" s="398"/>
      <c r="O1050" s="398"/>
    </row>
    <row r="1051" spans="1:15" s="487" customFormat="1" ht="15.75" customHeight="1">
      <c r="A1051" s="398"/>
      <c r="B1051" s="398"/>
      <c r="C1051" s="398"/>
      <c r="D1051" s="398"/>
      <c r="E1051" s="398"/>
      <c r="F1051" s="398"/>
      <c r="G1051" s="398"/>
      <c r="H1051" s="398"/>
      <c r="I1051" s="398"/>
      <c r="J1051" s="398"/>
      <c r="K1051" s="398"/>
      <c r="L1051" s="398"/>
      <c r="M1051" s="398"/>
      <c r="N1051" s="398"/>
      <c r="O1051" s="398"/>
    </row>
    <row r="1052" spans="1:15" s="487" customFormat="1" ht="15.75" customHeight="1">
      <c r="A1052" s="398"/>
      <c r="B1052" s="398"/>
      <c r="C1052" s="398"/>
      <c r="D1052" s="398"/>
      <c r="E1052" s="398"/>
      <c r="F1052" s="398"/>
      <c r="G1052" s="398"/>
      <c r="H1052" s="398"/>
      <c r="I1052" s="398"/>
      <c r="J1052" s="398"/>
      <c r="K1052" s="398"/>
      <c r="L1052" s="398"/>
      <c r="M1052" s="398"/>
      <c r="N1052" s="398"/>
      <c r="O1052" s="398"/>
    </row>
    <row r="1053" spans="1:15" s="487" customFormat="1" ht="15.75" customHeight="1">
      <c r="A1053" s="398"/>
      <c r="B1053" s="398"/>
      <c r="C1053" s="398"/>
      <c r="D1053" s="398"/>
      <c r="E1053" s="398"/>
      <c r="F1053" s="398"/>
      <c r="G1053" s="398"/>
      <c r="H1053" s="398"/>
      <c r="I1053" s="398"/>
      <c r="J1053" s="398"/>
      <c r="K1053" s="398"/>
      <c r="L1053" s="398"/>
      <c r="M1053" s="398"/>
      <c r="N1053" s="398"/>
      <c r="O1053" s="398"/>
    </row>
    <row r="1054" spans="1:15" s="487" customFormat="1" ht="15.75" customHeight="1">
      <c r="A1054" s="398"/>
      <c r="B1054" s="398"/>
      <c r="C1054" s="398"/>
      <c r="D1054" s="398"/>
      <c r="E1054" s="398"/>
      <c r="F1054" s="398"/>
      <c r="G1054" s="398"/>
      <c r="H1054" s="398"/>
      <c r="I1054" s="398"/>
      <c r="J1054" s="398"/>
      <c r="K1054" s="398"/>
      <c r="L1054" s="398"/>
      <c r="M1054" s="398"/>
      <c r="N1054" s="398"/>
      <c r="O1054" s="398"/>
    </row>
    <row r="1055" spans="1:15" s="487" customFormat="1" ht="15.75" customHeight="1">
      <c r="A1055" s="398"/>
      <c r="B1055" s="398"/>
      <c r="C1055" s="398"/>
      <c r="D1055" s="398"/>
      <c r="E1055" s="398"/>
      <c r="F1055" s="398"/>
      <c r="G1055" s="398"/>
      <c r="H1055" s="398"/>
      <c r="I1055" s="398"/>
      <c r="J1055" s="398"/>
      <c r="K1055" s="398"/>
      <c r="L1055" s="398"/>
      <c r="M1055" s="398"/>
      <c r="N1055" s="398"/>
      <c r="O1055" s="398"/>
    </row>
    <row r="1056" spans="1:15" s="487" customFormat="1" ht="15.75" customHeight="1">
      <c r="A1056" s="398"/>
      <c r="B1056" s="398"/>
      <c r="C1056" s="398"/>
      <c r="D1056" s="398"/>
      <c r="E1056" s="398"/>
      <c r="F1056" s="398"/>
      <c r="G1056" s="398"/>
      <c r="H1056" s="398"/>
      <c r="I1056" s="398"/>
      <c r="J1056" s="398"/>
      <c r="K1056" s="398"/>
      <c r="L1056" s="398"/>
      <c r="M1056" s="398"/>
      <c r="N1056" s="398"/>
      <c r="O1056" s="398"/>
    </row>
    <row r="1057" spans="1:15" s="487" customFormat="1" ht="15.75" customHeight="1">
      <c r="A1057" s="398"/>
      <c r="B1057" s="398"/>
      <c r="C1057" s="398"/>
      <c r="D1057" s="398"/>
      <c r="E1057" s="398"/>
      <c r="F1057" s="398"/>
      <c r="G1057" s="398"/>
      <c r="H1057" s="398"/>
      <c r="I1057" s="398"/>
      <c r="J1057" s="398"/>
      <c r="K1057" s="398"/>
      <c r="L1057" s="398"/>
      <c r="M1057" s="398"/>
      <c r="N1057" s="398"/>
      <c r="O1057" s="398"/>
    </row>
    <row r="1058" spans="1:15" s="487" customFormat="1" ht="15.75" customHeight="1">
      <c r="A1058" s="398"/>
      <c r="B1058" s="398"/>
      <c r="C1058" s="398"/>
      <c r="D1058" s="398"/>
      <c r="E1058" s="398"/>
      <c r="F1058" s="398"/>
      <c r="G1058" s="398"/>
      <c r="H1058" s="398"/>
      <c r="I1058" s="398"/>
      <c r="J1058" s="398"/>
      <c r="K1058" s="398"/>
      <c r="L1058" s="398"/>
      <c r="M1058" s="398"/>
      <c r="N1058" s="398"/>
      <c r="O1058" s="398"/>
    </row>
    <row r="1059" spans="1:15" s="487" customFormat="1" ht="15.75" customHeight="1">
      <c r="A1059" s="398"/>
      <c r="B1059" s="398"/>
      <c r="C1059" s="398"/>
      <c r="D1059" s="398"/>
      <c r="E1059" s="398"/>
      <c r="F1059" s="398"/>
      <c r="G1059" s="398"/>
      <c r="H1059" s="398"/>
      <c r="I1059" s="398"/>
      <c r="J1059" s="398"/>
      <c r="K1059" s="398"/>
      <c r="L1059" s="398"/>
      <c r="M1059" s="398"/>
      <c r="N1059" s="398"/>
      <c r="O1059" s="398"/>
    </row>
    <row r="1060" spans="1:15" s="487" customFormat="1" ht="15.75" customHeight="1">
      <c r="A1060" s="398"/>
      <c r="B1060" s="398"/>
      <c r="C1060" s="398"/>
      <c r="D1060" s="398"/>
      <c r="E1060" s="398"/>
      <c r="F1060" s="398"/>
      <c r="G1060" s="398"/>
      <c r="H1060" s="398"/>
      <c r="I1060" s="398"/>
      <c r="J1060" s="398"/>
      <c r="K1060" s="398"/>
      <c r="L1060" s="398"/>
      <c r="M1060" s="398"/>
      <c r="N1060" s="398"/>
      <c r="O1060" s="398"/>
    </row>
    <row r="1061" spans="1:15" s="487" customFormat="1" ht="15.75" customHeight="1">
      <c r="A1061" s="398"/>
      <c r="B1061" s="398"/>
      <c r="C1061" s="398"/>
      <c r="D1061" s="398"/>
      <c r="E1061" s="398"/>
      <c r="F1061" s="398"/>
      <c r="G1061" s="398"/>
      <c r="H1061" s="398"/>
      <c r="I1061" s="398"/>
      <c r="J1061" s="398"/>
      <c r="K1061" s="398"/>
      <c r="L1061" s="398"/>
      <c r="M1061" s="398"/>
      <c r="N1061" s="398"/>
      <c r="O1061" s="398"/>
    </row>
    <row r="1062" spans="1:15" s="487" customFormat="1" ht="15.75" customHeight="1">
      <c r="A1062" s="398"/>
      <c r="B1062" s="398"/>
      <c r="C1062" s="398"/>
      <c r="D1062" s="398"/>
      <c r="E1062" s="398"/>
      <c r="F1062" s="398"/>
      <c r="G1062" s="398"/>
      <c r="H1062" s="398"/>
      <c r="I1062" s="398"/>
      <c r="J1062" s="398"/>
      <c r="K1062" s="398"/>
      <c r="L1062" s="398"/>
      <c r="M1062" s="398"/>
      <c r="N1062" s="398"/>
      <c r="O1062" s="398"/>
    </row>
    <row r="1063" spans="1:15" s="487" customFormat="1" ht="15.75" customHeight="1">
      <c r="A1063" s="398"/>
      <c r="B1063" s="398"/>
      <c r="C1063" s="398"/>
      <c r="D1063" s="398"/>
      <c r="E1063" s="398"/>
      <c r="F1063" s="398"/>
      <c r="G1063" s="398"/>
      <c r="H1063" s="398"/>
      <c r="I1063" s="398"/>
      <c r="J1063" s="398"/>
      <c r="K1063" s="398"/>
      <c r="L1063" s="398"/>
      <c r="M1063" s="398"/>
      <c r="N1063" s="398"/>
      <c r="O1063" s="398"/>
    </row>
    <row r="1064" spans="1:15" s="487" customFormat="1" ht="15.75" customHeight="1">
      <c r="A1064" s="398"/>
      <c r="B1064" s="398"/>
      <c r="C1064" s="398"/>
      <c r="D1064" s="398"/>
      <c r="E1064" s="398"/>
      <c r="F1064" s="398"/>
      <c r="G1064" s="398"/>
      <c r="H1064" s="398"/>
      <c r="I1064" s="398"/>
      <c r="J1064" s="398"/>
      <c r="K1064" s="398"/>
      <c r="L1064" s="398"/>
      <c r="M1064" s="398"/>
      <c r="N1064" s="398"/>
      <c r="O1064" s="398"/>
    </row>
    <row r="1065" spans="1:15" s="487" customFormat="1" ht="15.75" customHeight="1">
      <c r="A1065" s="398"/>
      <c r="B1065" s="398"/>
      <c r="C1065" s="398"/>
      <c r="D1065" s="398"/>
      <c r="E1065" s="398"/>
      <c r="F1065" s="398"/>
      <c r="G1065" s="398"/>
      <c r="H1065" s="398"/>
      <c r="I1065" s="398"/>
      <c r="J1065" s="398"/>
      <c r="K1065" s="398"/>
      <c r="L1065" s="398"/>
      <c r="M1065" s="398"/>
      <c r="N1065" s="398"/>
      <c r="O1065" s="398"/>
    </row>
    <row r="1066" spans="1:15" s="487" customFormat="1" ht="15.75" customHeight="1">
      <c r="A1066" s="398"/>
      <c r="B1066" s="398"/>
      <c r="C1066" s="398"/>
      <c r="D1066" s="398"/>
      <c r="E1066" s="398"/>
      <c r="F1066" s="398"/>
      <c r="G1066" s="398"/>
      <c r="H1066" s="398"/>
      <c r="I1066" s="398"/>
      <c r="J1066" s="398"/>
      <c r="K1066" s="398"/>
      <c r="L1066" s="398"/>
      <c r="M1066" s="398"/>
      <c r="N1066" s="398"/>
      <c r="O1066" s="398"/>
    </row>
    <row r="1067" spans="1:15" s="487" customFormat="1" ht="15.75" customHeight="1">
      <c r="A1067" s="398"/>
      <c r="B1067" s="398"/>
      <c r="C1067" s="398"/>
      <c r="D1067" s="398"/>
      <c r="E1067" s="398"/>
      <c r="F1067" s="398"/>
      <c r="G1067" s="398"/>
      <c r="H1067" s="398"/>
      <c r="I1067" s="398"/>
      <c r="J1067" s="398"/>
      <c r="K1067" s="398"/>
      <c r="L1067" s="398"/>
      <c r="M1067" s="398"/>
      <c r="N1067" s="398"/>
      <c r="O1067" s="398"/>
    </row>
    <row r="1068" spans="1:15" s="487" customFormat="1" ht="15.75" customHeight="1">
      <c r="A1068" s="398"/>
      <c r="B1068" s="398"/>
      <c r="C1068" s="398"/>
      <c r="D1068" s="398"/>
      <c r="E1068" s="398"/>
      <c r="F1068" s="398"/>
      <c r="G1068" s="398"/>
      <c r="H1068" s="398"/>
      <c r="I1068" s="398"/>
      <c r="J1068" s="398"/>
      <c r="K1068" s="398"/>
      <c r="L1068" s="398"/>
      <c r="M1068" s="398"/>
      <c r="N1068" s="398"/>
      <c r="O1068" s="398"/>
    </row>
    <row r="1069" spans="1:15" s="487" customFormat="1" ht="15.75" customHeight="1">
      <c r="A1069" s="398"/>
      <c r="B1069" s="398"/>
      <c r="C1069" s="398"/>
      <c r="D1069" s="398"/>
      <c r="E1069" s="398"/>
      <c r="F1069" s="398"/>
      <c r="G1069" s="398"/>
      <c r="H1069" s="398"/>
      <c r="I1069" s="398"/>
      <c r="J1069" s="398"/>
      <c r="K1069" s="398"/>
      <c r="L1069" s="398"/>
      <c r="M1069" s="398"/>
      <c r="N1069" s="398"/>
      <c r="O1069" s="398"/>
    </row>
    <row r="1070" spans="1:15" s="487" customFormat="1" ht="15.75" customHeight="1">
      <c r="A1070" s="398"/>
      <c r="B1070" s="398"/>
      <c r="C1070" s="398"/>
      <c r="D1070" s="398"/>
      <c r="E1070" s="398"/>
      <c r="F1070" s="398"/>
      <c r="G1070" s="398"/>
      <c r="H1070" s="398"/>
      <c r="I1070" s="398"/>
      <c r="J1070" s="398"/>
      <c r="K1070" s="398"/>
      <c r="L1070" s="398"/>
      <c r="M1070" s="398"/>
      <c r="N1070" s="398"/>
      <c r="O1070" s="398"/>
    </row>
    <row r="1071" spans="1:15" s="487" customFormat="1" ht="15.75" customHeight="1">
      <c r="A1071" s="398"/>
      <c r="B1071" s="398"/>
      <c r="C1071" s="398"/>
      <c r="D1071" s="398"/>
      <c r="E1071" s="398"/>
      <c r="F1071" s="398"/>
      <c r="G1071" s="398"/>
      <c r="H1071" s="398"/>
      <c r="I1071" s="398"/>
      <c r="J1071" s="398"/>
      <c r="K1071" s="398"/>
      <c r="L1071" s="398"/>
      <c r="M1071" s="398"/>
      <c r="N1071" s="398"/>
      <c r="O1071" s="398"/>
    </row>
    <row r="1072" spans="1:15" s="487" customFormat="1" ht="15.75" customHeight="1">
      <c r="A1072" s="398"/>
      <c r="B1072" s="398"/>
      <c r="C1072" s="398"/>
      <c r="D1072" s="398"/>
      <c r="E1072" s="398"/>
      <c r="F1072" s="398"/>
      <c r="G1072" s="398"/>
      <c r="H1072" s="398"/>
      <c r="I1072" s="398"/>
      <c r="J1072" s="398"/>
      <c r="K1072" s="398"/>
      <c r="L1072" s="398"/>
      <c r="M1072" s="398"/>
      <c r="N1072" s="398"/>
      <c r="O1072" s="398"/>
    </row>
    <row r="1073" spans="1:15" s="487" customFormat="1" ht="15.75" customHeight="1">
      <c r="A1073" s="398"/>
      <c r="B1073" s="398"/>
      <c r="C1073" s="398"/>
      <c r="D1073" s="398"/>
      <c r="E1073" s="398"/>
      <c r="F1073" s="398"/>
      <c r="G1073" s="398"/>
      <c r="H1073" s="398"/>
      <c r="I1073" s="398"/>
      <c r="J1073" s="398"/>
      <c r="K1073" s="398"/>
      <c r="L1073" s="398"/>
      <c r="M1073" s="398"/>
      <c r="N1073" s="398"/>
      <c r="O1073" s="398"/>
    </row>
    <row r="1074" spans="1:15" s="487" customFormat="1" ht="15.75" customHeight="1">
      <c r="A1074" s="398"/>
      <c r="B1074" s="398"/>
      <c r="C1074" s="398"/>
      <c r="D1074" s="398"/>
      <c r="E1074" s="398"/>
      <c r="F1074" s="398"/>
      <c r="G1074" s="398"/>
      <c r="H1074" s="398"/>
      <c r="I1074" s="398"/>
      <c r="J1074" s="398"/>
      <c r="K1074" s="398"/>
      <c r="L1074" s="398"/>
      <c r="M1074" s="398"/>
      <c r="N1074" s="398"/>
      <c r="O1074" s="398"/>
    </row>
    <row r="1075" spans="1:15" s="487" customFormat="1" ht="15.75" customHeight="1">
      <c r="A1075" s="398"/>
      <c r="B1075" s="398"/>
      <c r="C1075" s="398"/>
      <c r="D1075" s="398"/>
      <c r="E1075" s="398"/>
      <c r="F1075" s="398"/>
      <c r="G1075" s="398"/>
      <c r="H1075" s="398"/>
      <c r="I1075" s="398"/>
      <c r="J1075" s="398"/>
      <c r="K1075" s="398"/>
      <c r="L1075" s="398"/>
      <c r="M1075" s="398"/>
      <c r="N1075" s="398"/>
      <c r="O1075" s="398"/>
    </row>
    <row r="1076" spans="1:15" s="487" customFormat="1" ht="15.75" customHeight="1">
      <c r="A1076" s="398"/>
      <c r="B1076" s="398"/>
      <c r="C1076" s="398"/>
      <c r="D1076" s="398"/>
      <c r="E1076" s="398"/>
      <c r="F1076" s="398"/>
      <c r="G1076" s="398"/>
      <c r="H1076" s="398"/>
      <c r="I1076" s="398"/>
      <c r="J1076" s="398"/>
      <c r="K1076" s="398"/>
      <c r="L1076" s="398"/>
      <c r="M1076" s="398"/>
      <c r="N1076" s="398"/>
      <c r="O1076" s="398"/>
    </row>
    <row r="1077" spans="1:15" s="487" customFormat="1" ht="15.75" customHeight="1">
      <c r="A1077" s="398"/>
      <c r="B1077" s="398"/>
      <c r="C1077" s="398"/>
      <c r="D1077" s="398"/>
      <c r="E1077" s="398"/>
      <c r="F1077" s="398"/>
      <c r="G1077" s="398"/>
      <c r="H1077" s="398"/>
      <c r="I1077" s="398"/>
      <c r="J1077" s="398"/>
      <c r="K1077" s="398"/>
      <c r="L1077" s="398"/>
      <c r="M1077" s="398"/>
      <c r="N1077" s="398"/>
      <c r="O1077" s="398"/>
    </row>
    <row r="1078" spans="1:15" s="487" customFormat="1" ht="15.75" customHeight="1">
      <c r="A1078" s="398"/>
      <c r="B1078" s="398"/>
      <c r="C1078" s="398"/>
      <c r="D1078" s="398"/>
      <c r="E1078" s="398"/>
      <c r="F1078" s="398"/>
      <c r="G1078" s="398"/>
      <c r="H1078" s="398"/>
      <c r="I1078" s="398"/>
      <c r="J1078" s="398"/>
      <c r="K1078" s="398"/>
      <c r="L1078" s="398"/>
      <c r="M1078" s="398"/>
      <c r="N1078" s="398"/>
      <c r="O1078" s="398"/>
    </row>
    <row r="1079" spans="1:15" s="487" customFormat="1" ht="15.75" customHeight="1">
      <c r="A1079" s="398"/>
      <c r="B1079" s="398"/>
      <c r="C1079" s="398"/>
      <c r="D1079" s="398"/>
      <c r="E1079" s="398"/>
      <c r="F1079" s="398"/>
      <c r="G1079" s="398"/>
      <c r="H1079" s="398"/>
      <c r="I1079" s="398"/>
      <c r="J1079" s="398"/>
      <c r="K1079" s="398"/>
      <c r="L1079" s="398"/>
      <c r="M1079" s="398"/>
      <c r="N1079" s="398"/>
      <c r="O1079" s="398"/>
    </row>
    <row r="1080" spans="1:15" s="487" customFormat="1" ht="15.75" customHeight="1">
      <c r="A1080" s="398"/>
      <c r="B1080" s="398"/>
      <c r="C1080" s="398"/>
      <c r="D1080" s="398"/>
      <c r="E1080" s="398"/>
      <c r="F1080" s="398"/>
      <c r="G1080" s="398"/>
      <c r="H1080" s="398"/>
      <c r="I1080" s="398"/>
      <c r="J1080" s="398"/>
      <c r="K1080" s="398"/>
      <c r="L1080" s="398"/>
      <c r="M1080" s="398"/>
      <c r="N1080" s="398"/>
      <c r="O1080" s="398"/>
    </row>
    <row r="1081" spans="1:15" s="487" customFormat="1" ht="15.75" customHeight="1">
      <c r="A1081" s="398"/>
      <c r="B1081" s="398"/>
      <c r="C1081" s="398"/>
      <c r="D1081" s="398"/>
      <c r="E1081" s="398"/>
      <c r="F1081" s="398"/>
      <c r="G1081" s="398"/>
      <c r="H1081" s="398"/>
      <c r="I1081" s="398"/>
      <c r="J1081" s="398"/>
      <c r="K1081" s="398"/>
      <c r="L1081" s="398"/>
      <c r="M1081" s="398"/>
      <c r="N1081" s="398"/>
      <c r="O1081" s="398"/>
    </row>
    <row r="1082" spans="1:15" s="487" customFormat="1" ht="15.75" customHeight="1">
      <c r="A1082" s="398"/>
      <c r="B1082" s="398"/>
      <c r="C1082" s="398"/>
      <c r="D1082" s="398"/>
      <c r="E1082" s="398"/>
      <c r="F1082" s="398"/>
      <c r="G1082" s="398"/>
      <c r="H1082" s="398"/>
      <c r="I1082" s="398"/>
      <c r="J1082" s="398"/>
      <c r="K1082" s="398"/>
      <c r="L1082" s="398"/>
      <c r="M1082" s="398"/>
      <c r="N1082" s="398"/>
      <c r="O1082" s="398"/>
    </row>
    <row r="1083" spans="1:15" s="487" customFormat="1" ht="15.75" customHeight="1">
      <c r="A1083" s="398"/>
      <c r="B1083" s="398"/>
      <c r="C1083" s="398"/>
      <c r="D1083" s="398"/>
      <c r="E1083" s="398"/>
      <c r="F1083" s="398"/>
      <c r="G1083" s="398"/>
      <c r="H1083" s="398"/>
      <c r="I1083" s="398"/>
      <c r="J1083" s="398"/>
      <c r="K1083" s="398"/>
      <c r="L1083" s="398"/>
      <c r="M1083" s="398"/>
      <c r="N1083" s="398"/>
      <c r="O1083" s="398"/>
    </row>
    <row r="1084" spans="1:15" s="487" customFormat="1" ht="15.75" customHeight="1">
      <c r="A1084" s="398"/>
      <c r="B1084" s="398"/>
      <c r="C1084" s="398"/>
      <c r="D1084" s="398"/>
      <c r="E1084" s="398"/>
      <c r="F1084" s="398"/>
      <c r="G1084" s="398"/>
      <c r="H1084" s="398"/>
      <c r="I1084" s="398"/>
      <c r="J1084" s="398"/>
      <c r="K1084" s="398"/>
      <c r="L1084" s="398"/>
      <c r="M1084" s="398"/>
      <c r="N1084" s="398"/>
      <c r="O1084" s="398"/>
    </row>
    <row r="1085" spans="1:15" s="487" customFormat="1" ht="15.75" customHeight="1">
      <c r="A1085" s="398"/>
      <c r="B1085" s="398"/>
      <c r="C1085" s="398"/>
      <c r="D1085" s="398"/>
      <c r="E1085" s="398"/>
      <c r="F1085" s="398"/>
      <c r="G1085" s="398"/>
      <c r="H1085" s="398"/>
      <c r="I1085" s="398"/>
      <c r="J1085" s="398"/>
      <c r="K1085" s="398"/>
      <c r="L1085" s="398"/>
      <c r="M1085" s="398"/>
      <c r="N1085" s="398"/>
      <c r="O1085" s="398"/>
    </row>
    <row r="1086" spans="1:15" s="487" customFormat="1" ht="15.75" customHeight="1">
      <c r="A1086" s="398"/>
      <c r="B1086" s="398"/>
      <c r="C1086" s="398"/>
      <c r="D1086" s="398"/>
      <c r="E1086" s="398"/>
      <c r="F1086" s="398"/>
      <c r="G1086" s="398"/>
      <c r="H1086" s="398"/>
      <c r="I1086" s="398"/>
      <c r="J1086" s="398"/>
      <c r="K1086" s="398"/>
      <c r="L1086" s="398"/>
      <c r="M1086" s="398"/>
      <c r="N1086" s="398"/>
      <c r="O1086" s="398"/>
    </row>
    <row r="1087" spans="1:15" s="487" customFormat="1" ht="15.75" customHeight="1">
      <c r="A1087" s="398"/>
      <c r="B1087" s="398"/>
      <c r="C1087" s="398"/>
      <c r="D1087" s="398"/>
      <c r="E1087" s="398"/>
      <c r="F1087" s="398"/>
      <c r="G1087" s="398"/>
      <c r="H1087" s="398"/>
      <c r="I1087" s="398"/>
      <c r="J1087" s="398"/>
      <c r="K1087" s="398"/>
      <c r="L1087" s="398"/>
      <c r="M1087" s="398"/>
      <c r="N1087" s="398"/>
      <c r="O1087" s="398"/>
    </row>
    <row r="1088" spans="1:15" s="487" customFormat="1" ht="15.75" customHeight="1">
      <c r="A1088" s="398"/>
      <c r="B1088" s="398"/>
      <c r="C1088" s="398"/>
      <c r="D1088" s="398"/>
      <c r="E1088" s="398"/>
      <c r="F1088" s="398"/>
      <c r="G1088" s="398"/>
      <c r="H1088" s="398"/>
      <c r="I1088" s="398"/>
      <c r="J1088" s="398"/>
      <c r="K1088" s="398"/>
      <c r="L1088" s="398"/>
      <c r="M1088" s="398"/>
      <c r="N1088" s="398"/>
      <c r="O1088" s="398"/>
    </row>
    <row r="1089" spans="1:15" s="487" customFormat="1" ht="15.75" customHeight="1">
      <c r="A1089" s="398"/>
      <c r="B1089" s="398"/>
      <c r="C1089" s="398"/>
      <c r="D1089" s="398"/>
      <c r="E1089" s="398"/>
      <c r="F1089" s="398"/>
      <c r="G1089" s="398"/>
      <c r="H1089" s="398"/>
      <c r="I1089" s="398"/>
      <c r="J1089" s="398"/>
      <c r="K1089" s="398"/>
      <c r="L1089" s="398"/>
      <c r="M1089" s="398"/>
      <c r="N1089" s="398"/>
      <c r="O1089" s="398"/>
    </row>
    <row r="1090" spans="1:15" s="487" customFormat="1" ht="15.75" customHeight="1">
      <c r="A1090" s="398"/>
      <c r="B1090" s="398"/>
      <c r="C1090" s="398"/>
      <c r="D1090" s="398"/>
      <c r="E1090" s="398"/>
      <c r="F1090" s="398"/>
      <c r="G1090" s="398"/>
      <c r="H1090" s="398"/>
      <c r="I1090" s="398"/>
      <c r="J1090" s="398"/>
      <c r="K1090" s="398"/>
      <c r="L1090" s="398"/>
      <c r="M1090" s="398"/>
      <c r="N1090" s="398"/>
      <c r="O1090" s="398"/>
    </row>
    <row r="1091" spans="1:15" s="487" customFormat="1" ht="15.75" customHeight="1">
      <c r="A1091" s="398"/>
      <c r="B1091" s="398"/>
      <c r="C1091" s="398"/>
      <c r="D1091" s="398"/>
      <c r="E1091" s="398"/>
      <c r="F1091" s="398"/>
      <c r="G1091" s="398"/>
      <c r="H1091" s="398"/>
      <c r="I1091" s="398"/>
      <c r="J1091" s="398"/>
      <c r="K1091" s="398"/>
      <c r="L1091" s="398"/>
      <c r="M1091" s="398"/>
      <c r="N1091" s="398"/>
      <c r="O1091" s="398"/>
    </row>
    <row r="1092" spans="1:15" s="487" customFormat="1" ht="15.75" customHeight="1">
      <c r="A1092" s="398"/>
      <c r="B1092" s="398"/>
      <c r="C1092" s="398"/>
      <c r="D1092" s="398"/>
      <c r="E1092" s="398"/>
      <c r="F1092" s="398"/>
      <c r="G1092" s="398"/>
      <c r="H1092" s="398"/>
      <c r="I1092" s="398"/>
      <c r="J1092" s="398"/>
      <c r="K1092" s="398"/>
      <c r="L1092" s="398"/>
      <c r="M1092" s="398"/>
      <c r="N1092" s="398"/>
      <c r="O1092" s="398"/>
    </row>
    <row r="1093" spans="1:15" s="487" customFormat="1" ht="15.75" customHeight="1">
      <c r="A1093" s="398"/>
      <c r="B1093" s="398"/>
      <c r="C1093" s="398"/>
      <c r="D1093" s="398"/>
      <c r="E1093" s="398"/>
      <c r="F1093" s="398"/>
      <c r="G1093" s="398"/>
      <c r="H1093" s="398"/>
      <c r="I1093" s="398"/>
      <c r="J1093" s="398"/>
      <c r="K1093" s="398"/>
      <c r="L1093" s="398"/>
      <c r="M1093" s="398"/>
      <c r="N1093" s="398"/>
      <c r="O1093" s="398"/>
    </row>
    <row r="1094" spans="1:15" s="487" customFormat="1" ht="15.75" customHeight="1">
      <c r="A1094" s="398"/>
      <c r="B1094" s="398"/>
      <c r="C1094" s="398"/>
      <c r="D1094" s="398"/>
      <c r="E1094" s="398"/>
      <c r="F1094" s="398"/>
      <c r="G1094" s="398"/>
      <c r="H1094" s="398"/>
      <c r="I1094" s="398"/>
      <c r="J1094" s="398"/>
      <c r="K1094" s="398"/>
      <c r="L1094" s="398"/>
      <c r="M1094" s="398"/>
      <c r="N1094" s="398"/>
      <c r="O1094" s="398"/>
    </row>
    <row r="1095" spans="1:15" s="487" customFormat="1" ht="15.75" customHeight="1">
      <c r="A1095" s="398"/>
      <c r="B1095" s="398"/>
      <c r="C1095" s="398"/>
      <c r="D1095" s="398"/>
      <c r="E1095" s="398"/>
      <c r="F1095" s="398"/>
      <c r="G1095" s="398"/>
      <c r="H1095" s="398"/>
      <c r="I1095" s="398"/>
      <c r="J1095" s="398"/>
      <c r="K1095" s="398"/>
      <c r="L1095" s="398"/>
      <c r="M1095" s="398"/>
      <c r="N1095" s="398"/>
      <c r="O1095" s="398"/>
    </row>
    <row r="1096" spans="1:15" s="487" customFormat="1" ht="15.75" customHeight="1">
      <c r="A1096" s="398"/>
      <c r="B1096" s="398"/>
      <c r="C1096" s="398"/>
      <c r="D1096" s="398"/>
      <c r="E1096" s="398"/>
      <c r="F1096" s="398"/>
      <c r="G1096" s="398"/>
      <c r="H1096" s="398"/>
      <c r="I1096" s="398"/>
      <c r="J1096" s="398"/>
      <c r="K1096" s="398"/>
      <c r="L1096" s="398"/>
      <c r="M1096" s="398"/>
      <c r="N1096" s="398"/>
      <c r="O1096" s="398"/>
    </row>
    <row r="1097" spans="1:15" s="487" customFormat="1" ht="15.75" customHeight="1">
      <c r="A1097" s="398"/>
      <c r="B1097" s="398"/>
      <c r="C1097" s="398"/>
      <c r="D1097" s="398"/>
      <c r="E1097" s="398"/>
      <c r="F1097" s="398"/>
      <c r="G1097" s="398"/>
      <c r="H1097" s="398"/>
      <c r="I1097" s="398"/>
      <c r="J1097" s="398"/>
      <c r="K1097" s="398"/>
      <c r="L1097" s="398"/>
      <c r="M1097" s="398"/>
      <c r="N1097" s="398"/>
      <c r="O1097" s="398"/>
    </row>
    <row r="1098" spans="1:15" s="487" customFormat="1" ht="15.75" customHeight="1">
      <c r="A1098" s="398"/>
      <c r="B1098" s="398"/>
      <c r="C1098" s="398"/>
      <c r="D1098" s="398"/>
      <c r="E1098" s="398"/>
      <c r="F1098" s="398"/>
      <c r="G1098" s="398"/>
      <c r="H1098" s="398"/>
      <c r="I1098" s="398"/>
      <c r="J1098" s="398"/>
      <c r="K1098" s="398"/>
      <c r="L1098" s="398"/>
      <c r="M1098" s="398"/>
      <c r="N1098" s="398"/>
      <c r="O1098" s="398"/>
    </row>
    <row r="1099" spans="1:15" s="487" customFormat="1" ht="15.75" customHeight="1">
      <c r="A1099" s="398"/>
      <c r="B1099" s="398"/>
      <c r="C1099" s="398"/>
      <c r="D1099" s="398"/>
      <c r="E1099" s="398"/>
      <c r="F1099" s="398"/>
      <c r="G1099" s="398"/>
      <c r="H1099" s="398"/>
      <c r="I1099" s="398"/>
      <c r="J1099" s="398"/>
      <c r="K1099" s="398"/>
      <c r="L1099" s="398"/>
      <c r="M1099" s="398"/>
      <c r="N1099" s="398"/>
      <c r="O1099" s="398"/>
    </row>
    <row r="1100" spans="1:15" s="487" customFormat="1" ht="15.75" customHeight="1">
      <c r="A1100" s="398"/>
      <c r="B1100" s="398"/>
      <c r="C1100" s="398"/>
      <c r="D1100" s="398"/>
      <c r="E1100" s="398"/>
      <c r="F1100" s="398"/>
      <c r="G1100" s="398"/>
      <c r="H1100" s="398"/>
      <c r="I1100" s="398"/>
      <c r="J1100" s="398"/>
      <c r="K1100" s="398"/>
      <c r="L1100" s="398"/>
      <c r="M1100" s="398"/>
      <c r="N1100" s="398"/>
      <c r="O1100" s="398"/>
    </row>
    <row r="1101" spans="1:15" s="487" customFormat="1" ht="15.75" customHeight="1">
      <c r="A1101" s="398"/>
      <c r="B1101" s="398"/>
      <c r="C1101" s="398"/>
      <c r="D1101" s="398"/>
      <c r="E1101" s="398"/>
      <c r="F1101" s="398"/>
      <c r="G1101" s="398"/>
      <c r="H1101" s="398"/>
      <c r="I1101" s="398"/>
      <c r="J1101" s="398"/>
      <c r="K1101" s="398"/>
      <c r="L1101" s="398"/>
      <c r="M1101" s="398"/>
      <c r="N1101" s="398"/>
      <c r="O1101" s="398"/>
    </row>
    <row r="1102" spans="1:15" s="487" customFormat="1" ht="15.75" customHeight="1">
      <c r="O1102" s="398"/>
    </row>
    <row r="1103" spans="1:15" s="487" customFormat="1" ht="15.75" customHeight="1">
      <c r="O1103" s="398"/>
    </row>
    <row r="1104" spans="1:15" s="487" customFormat="1" ht="15.75" customHeight="1">
      <c r="O1104" s="398"/>
    </row>
    <row r="1105" spans="15:15" s="487" customFormat="1" ht="15.75" customHeight="1">
      <c r="O1105" s="398"/>
    </row>
    <row r="1106" spans="15:15" s="487" customFormat="1" ht="15.75" customHeight="1">
      <c r="O1106" s="398"/>
    </row>
    <row r="1107" spans="15:15" s="487" customFormat="1" ht="15.75" customHeight="1">
      <c r="O1107" s="398"/>
    </row>
    <row r="1108" spans="15:15" s="487" customFormat="1" ht="15.75" customHeight="1">
      <c r="O1108" s="398"/>
    </row>
    <row r="1109" spans="15:15" s="487" customFormat="1" ht="15.75" customHeight="1">
      <c r="O1109" s="398"/>
    </row>
    <row r="1110" spans="15:15" s="487" customFormat="1" ht="15.75" customHeight="1">
      <c r="O1110" s="398"/>
    </row>
    <row r="1111" spans="15:15" s="487" customFormat="1" ht="15.75" customHeight="1">
      <c r="O1111" s="398"/>
    </row>
    <row r="1112" spans="15:15" s="487" customFormat="1" ht="15.75" customHeight="1">
      <c r="O1112" s="398"/>
    </row>
    <row r="1113" spans="15:15" s="487" customFormat="1" ht="15.75" customHeight="1">
      <c r="O1113" s="398"/>
    </row>
    <row r="1114" spans="15:15" s="487" customFormat="1" ht="15.75" customHeight="1">
      <c r="O1114" s="398"/>
    </row>
    <row r="1115" spans="15:15" s="487" customFormat="1" ht="15.75" customHeight="1">
      <c r="O1115" s="398"/>
    </row>
    <row r="1116" spans="15:15" s="487" customFormat="1" ht="15.75" customHeight="1">
      <c r="O1116" s="398"/>
    </row>
    <row r="1117" spans="15:15" s="487" customFormat="1" ht="15.75" customHeight="1">
      <c r="O1117" s="398"/>
    </row>
    <row r="1118" spans="15:15" s="487" customFormat="1" ht="15.75" customHeight="1">
      <c r="O1118" s="398"/>
    </row>
    <row r="1119" spans="15:15" s="487" customFormat="1" ht="15.75" customHeight="1">
      <c r="O1119" s="398"/>
    </row>
    <row r="1120" spans="15:15" s="487" customFormat="1" ht="15.75" customHeight="1">
      <c r="O1120" s="398"/>
    </row>
    <row r="1121" spans="15:15" s="487" customFormat="1" ht="15.75" customHeight="1">
      <c r="O1121" s="398"/>
    </row>
    <row r="1122" spans="15:15" s="487" customFormat="1" ht="15.75" customHeight="1">
      <c r="O1122" s="398"/>
    </row>
    <row r="1123" spans="15:15" s="487" customFormat="1" ht="15.75" customHeight="1">
      <c r="O1123" s="398"/>
    </row>
    <row r="1124" spans="15:15" s="487" customFormat="1" ht="15.75" customHeight="1">
      <c r="O1124" s="398"/>
    </row>
    <row r="1125" spans="15:15" s="487" customFormat="1" ht="15.75" customHeight="1">
      <c r="O1125" s="398"/>
    </row>
    <row r="1126" spans="15:15" s="487" customFormat="1" ht="15.75" customHeight="1">
      <c r="O1126" s="398"/>
    </row>
    <row r="1127" spans="15:15" s="487" customFormat="1" ht="15.75" customHeight="1">
      <c r="O1127" s="398"/>
    </row>
    <row r="1128" spans="15:15" s="487" customFormat="1" ht="15.75" customHeight="1">
      <c r="O1128" s="398"/>
    </row>
    <row r="1129" spans="15:15" s="487" customFormat="1" ht="15.75" customHeight="1">
      <c r="O1129" s="398"/>
    </row>
    <row r="1130" spans="15:15" s="487" customFormat="1" ht="15.75" customHeight="1">
      <c r="O1130" s="398"/>
    </row>
    <row r="1131" spans="15:15" s="487" customFormat="1" ht="15.75" customHeight="1">
      <c r="O1131" s="398"/>
    </row>
    <row r="1132" spans="15:15" s="487" customFormat="1" ht="15.75" customHeight="1">
      <c r="O1132" s="398"/>
    </row>
    <row r="1133" spans="15:15" s="487" customFormat="1" ht="15.75" customHeight="1">
      <c r="O1133" s="398"/>
    </row>
    <row r="1134" spans="15:15" s="487" customFormat="1" ht="15.75" customHeight="1">
      <c r="O1134" s="398"/>
    </row>
    <row r="1135" spans="15:15" s="487" customFormat="1" ht="15.75" customHeight="1">
      <c r="O1135" s="398"/>
    </row>
    <row r="1136" spans="15:15" s="487" customFormat="1" ht="15.75" customHeight="1">
      <c r="O1136" s="398"/>
    </row>
    <row r="1137" spans="15:15" s="487" customFormat="1" ht="15.75" customHeight="1">
      <c r="O1137" s="398"/>
    </row>
    <row r="1138" spans="15:15" s="487" customFormat="1" ht="15.75" customHeight="1">
      <c r="O1138" s="398"/>
    </row>
    <row r="1139" spans="15:15" s="487" customFormat="1" ht="15.75" customHeight="1">
      <c r="O1139" s="398"/>
    </row>
    <row r="1140" spans="15:15" s="487" customFormat="1" ht="15.75" customHeight="1">
      <c r="O1140" s="398"/>
    </row>
    <row r="1141" spans="15:15" s="487" customFormat="1" ht="15.75" customHeight="1">
      <c r="O1141" s="398"/>
    </row>
    <row r="1142" spans="15:15" s="487" customFormat="1" ht="15.75" customHeight="1">
      <c r="O1142" s="398"/>
    </row>
    <row r="1143" spans="15:15" s="487" customFormat="1" ht="15.75" customHeight="1">
      <c r="O1143" s="398"/>
    </row>
    <row r="1144" spans="15:15" s="487" customFormat="1" ht="15.75" customHeight="1">
      <c r="O1144" s="398"/>
    </row>
    <row r="1145" spans="15:15" s="487" customFormat="1" ht="15.75" customHeight="1">
      <c r="O1145" s="398"/>
    </row>
    <row r="1146" spans="15:15" s="487" customFormat="1" ht="15.75" customHeight="1">
      <c r="O1146" s="398"/>
    </row>
    <row r="1147" spans="15:15" s="487" customFormat="1" ht="15.75" customHeight="1">
      <c r="O1147" s="398"/>
    </row>
    <row r="1148" spans="15:15" s="487" customFormat="1" ht="15.75" customHeight="1">
      <c r="O1148" s="398"/>
    </row>
    <row r="1149" spans="15:15" s="487" customFormat="1" ht="15.75" customHeight="1">
      <c r="O1149" s="398"/>
    </row>
    <row r="1150" spans="15:15" s="487" customFormat="1" ht="15.75" customHeight="1">
      <c r="O1150" s="398"/>
    </row>
    <row r="1151" spans="15:15" s="487" customFormat="1" ht="15.75" customHeight="1">
      <c r="O1151" s="398"/>
    </row>
    <row r="1152" spans="15:15" s="487" customFormat="1" ht="15.75" customHeight="1">
      <c r="O1152" s="398"/>
    </row>
    <row r="1153" spans="15:15" s="487" customFormat="1" ht="15.75" customHeight="1">
      <c r="O1153" s="398"/>
    </row>
    <row r="1154" spans="15:15" s="487" customFormat="1" ht="15.75" customHeight="1">
      <c r="O1154" s="398"/>
    </row>
    <row r="1155" spans="15:15" s="487" customFormat="1" ht="15.75" customHeight="1">
      <c r="O1155" s="398"/>
    </row>
    <row r="1156" spans="15:15" s="487" customFormat="1" ht="15.75" customHeight="1">
      <c r="O1156" s="398"/>
    </row>
    <row r="1157" spans="15:15" s="487" customFormat="1" ht="15.75" customHeight="1">
      <c r="O1157" s="398"/>
    </row>
    <row r="1158" spans="15:15" s="487" customFormat="1" ht="15.75" customHeight="1">
      <c r="O1158" s="398"/>
    </row>
    <row r="1159" spans="15:15" s="487" customFormat="1" ht="15.75" customHeight="1">
      <c r="O1159" s="398"/>
    </row>
    <row r="1160" spans="15:15" s="487" customFormat="1" ht="15.75" customHeight="1">
      <c r="O1160" s="398"/>
    </row>
    <row r="1161" spans="15:15" s="487" customFormat="1" ht="15.75" customHeight="1">
      <c r="O1161" s="398"/>
    </row>
    <row r="1162" spans="15:15" s="487" customFormat="1" ht="15.75" customHeight="1">
      <c r="O1162" s="398"/>
    </row>
    <row r="1163" spans="15:15" s="487" customFormat="1" ht="15.75" customHeight="1">
      <c r="O1163" s="398"/>
    </row>
    <row r="1164" spans="15:15" s="487" customFormat="1" ht="15.75" customHeight="1"/>
    <row r="1165" spans="15:15" s="487" customFormat="1" ht="15.75" customHeight="1"/>
    <row r="1166" spans="15:15" s="487" customFormat="1" ht="15.75" customHeight="1"/>
    <row r="1167" spans="15:15" s="487" customFormat="1" ht="15.75" customHeight="1"/>
    <row r="1168" spans="15:15" s="487" customFormat="1" ht="15.75" customHeight="1"/>
    <row r="1169" s="487" customFormat="1" ht="15.75" customHeight="1"/>
    <row r="1170" s="487" customFormat="1" ht="15.75" customHeight="1"/>
    <row r="1171" s="487" customFormat="1" ht="15.75" customHeight="1"/>
    <row r="1172" s="487" customFormat="1" ht="15.75" customHeight="1"/>
    <row r="1173" s="487" customFormat="1" ht="15.75" customHeight="1"/>
    <row r="1174" s="487" customFormat="1" ht="15.75" customHeight="1"/>
    <row r="1175" s="487" customFormat="1" ht="15.75" customHeight="1"/>
    <row r="1176" s="487" customFormat="1" ht="15.75" customHeight="1"/>
    <row r="1177" s="487" customFormat="1" ht="15.75" customHeight="1"/>
    <row r="1178" s="487" customFormat="1" ht="15.75" customHeight="1"/>
    <row r="1179" s="487" customFormat="1" ht="15.75" customHeight="1"/>
    <row r="1180" s="487" customFormat="1" ht="15.75" customHeight="1"/>
    <row r="1181" s="487" customFormat="1" ht="15.75" customHeight="1"/>
    <row r="1182" s="487" customFormat="1" ht="15.75" customHeight="1"/>
    <row r="1183" s="487" customFormat="1" ht="15.75" customHeight="1"/>
    <row r="1184" s="487" customFormat="1" ht="15.75" customHeight="1"/>
    <row r="1185" s="487" customFormat="1" ht="15.75" customHeight="1"/>
    <row r="1186" s="487" customFormat="1" ht="15.75" customHeight="1"/>
    <row r="1187" s="487" customFormat="1" ht="15.75" customHeight="1"/>
    <row r="1188" s="487" customFormat="1" ht="15.75" customHeight="1"/>
    <row r="1189" s="487" customFormat="1" ht="15.75" customHeight="1"/>
    <row r="1190" s="487" customFormat="1" ht="15.75" customHeight="1"/>
    <row r="1191" s="487" customFormat="1" ht="15.75" customHeight="1"/>
    <row r="1192" s="487" customFormat="1" ht="15.75" customHeight="1"/>
    <row r="1193" s="487" customFormat="1" ht="15.75" customHeight="1"/>
    <row r="1194" s="487" customFormat="1" ht="15.75" customHeight="1"/>
    <row r="1195" s="487" customFormat="1" ht="15.75" customHeight="1"/>
    <row r="1196" s="487" customFormat="1" ht="15.75" customHeight="1"/>
    <row r="1197" s="487" customFormat="1" ht="15.75" customHeight="1"/>
    <row r="1198" s="487" customFormat="1" ht="15.75" customHeight="1"/>
    <row r="1199" s="487" customFormat="1" ht="15.75" customHeight="1"/>
    <row r="1200" s="487" customFormat="1" ht="15.75" customHeight="1"/>
    <row r="1201" s="487" customFormat="1" ht="15.75" customHeight="1"/>
    <row r="1202" s="487" customFormat="1" ht="15.75" customHeight="1"/>
    <row r="1203" s="487" customFormat="1" ht="15.75" customHeight="1"/>
    <row r="1204" s="487" customFormat="1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</sheetData>
  <mergeCells count="15">
    <mergeCell ref="L3:L4"/>
    <mergeCell ref="M3:M4"/>
    <mergeCell ref="N3:N4"/>
    <mergeCell ref="O3:O4"/>
    <mergeCell ref="P3:P4"/>
    <mergeCell ref="F3:F4"/>
    <mergeCell ref="G3:G4"/>
    <mergeCell ref="H3:H4"/>
    <mergeCell ref="I3:I4"/>
    <mergeCell ref="J3:K3"/>
    <mergeCell ref="A3:A4"/>
    <mergeCell ref="B3:B4"/>
    <mergeCell ref="C3:C4"/>
    <mergeCell ref="D3:D4"/>
    <mergeCell ref="E3:E4"/>
  </mergeCells>
  <pageMargins left="0.7" right="0.45" top="0.75" bottom="0.5" header="0.511811023622047" footer="0.511811023622047"/>
  <pageSetup paperSize="9" scale="67" orientation="landscape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V560"/>
  <sheetViews>
    <sheetView topLeftCell="A6" zoomScale="50" zoomScaleNormal="50" workbookViewId="0">
      <pane ySplit="1" topLeftCell="A7" activePane="bottomLeft" state="frozen"/>
      <selection activeCell="A6" sqref="A6"/>
      <selection pane="bottomLeft" activeCell="A134" sqref="A134"/>
    </sheetView>
  </sheetViews>
  <sheetFormatPr baseColWidth="10" defaultColWidth="9.1640625" defaultRowHeight="15"/>
  <cols>
    <col min="1" max="1" width="9.1640625" style="1144"/>
    <col min="2" max="2" width="50.5" style="1144" customWidth="1"/>
    <col min="3" max="10" width="12.5" style="1144" customWidth="1"/>
    <col min="11" max="11" width="10.5" style="1144" customWidth="1"/>
    <col min="12" max="12" width="9.5" style="1144" customWidth="1"/>
    <col min="13" max="13" width="14.5" style="1144" customWidth="1"/>
    <col min="14" max="14" width="6.5" style="1144" customWidth="1"/>
    <col min="15" max="15" width="11.83203125" style="1144" customWidth="1"/>
    <col min="16" max="16" width="21.83203125" style="1144" customWidth="1"/>
    <col min="17" max="17" width="17.1640625" style="1144" customWidth="1"/>
    <col min="18" max="18" width="9.1640625" style="1144"/>
    <col min="19" max="19" width="12.1640625" style="1144" customWidth="1"/>
    <col min="20" max="16384" width="9.1640625" style="1144"/>
  </cols>
  <sheetData>
    <row r="1" spans="1:22" ht="15.75" customHeight="1">
      <c r="A1" s="1142"/>
      <c r="B1" s="1142"/>
      <c r="C1" s="1142"/>
      <c r="D1" s="1142"/>
      <c r="E1" s="1142"/>
      <c r="F1" s="1142"/>
      <c r="G1" s="1142"/>
      <c r="H1" s="1142"/>
      <c r="I1" s="1142"/>
      <c r="J1" s="1142"/>
      <c r="K1" s="1142"/>
      <c r="L1" s="1142"/>
      <c r="M1" s="1142"/>
      <c r="N1" s="1142"/>
      <c r="O1" s="1142"/>
      <c r="P1" s="1142"/>
      <c r="Q1" s="1142"/>
      <c r="R1" s="1142"/>
      <c r="S1" s="1142"/>
      <c r="T1" s="1143"/>
      <c r="U1" s="1143"/>
      <c r="V1" s="1143"/>
    </row>
    <row r="2" spans="1:22" ht="15.75" customHeight="1">
      <c r="A2" s="1142"/>
      <c r="B2" s="1142"/>
      <c r="C2" s="1142"/>
      <c r="D2" s="1142"/>
      <c r="E2" s="1142"/>
      <c r="F2" s="1142"/>
      <c r="G2" s="1142"/>
      <c r="H2" s="1142"/>
      <c r="I2" s="1142"/>
      <c r="J2" s="1142"/>
      <c r="K2" s="1142"/>
      <c r="L2" s="1142"/>
      <c r="M2" s="1142"/>
      <c r="N2" s="1142"/>
      <c r="O2" s="1142"/>
      <c r="P2" s="1142"/>
      <c r="Q2" s="1142"/>
      <c r="R2" s="1142"/>
      <c r="S2" s="1142"/>
      <c r="T2" s="1143"/>
      <c r="U2" s="1143"/>
      <c r="V2" s="1143"/>
    </row>
    <row r="3" spans="1:22" ht="15.75" customHeight="1">
      <c r="A3" s="1142"/>
      <c r="B3" s="1142"/>
      <c r="C3" s="1142"/>
      <c r="D3" s="1142"/>
      <c r="E3" s="1142"/>
      <c r="F3" s="1142"/>
      <c r="G3" s="1142"/>
      <c r="H3" s="1142"/>
      <c r="I3" s="1142"/>
      <c r="J3" s="1142"/>
      <c r="K3" s="1142"/>
      <c r="L3" s="1142"/>
      <c r="M3" s="1142"/>
      <c r="N3" s="1142"/>
      <c r="O3" s="1142"/>
      <c r="P3" s="1142"/>
      <c r="Q3" s="1142"/>
      <c r="R3" s="1142"/>
      <c r="S3" s="1142"/>
      <c r="T3" s="1143"/>
      <c r="U3" s="1143"/>
      <c r="V3" s="1143"/>
    </row>
    <row r="4" spans="1:22" ht="24" customHeight="1">
      <c r="A4" s="1597" t="s">
        <v>76</v>
      </c>
      <c r="B4" s="1142"/>
      <c r="C4" s="1142"/>
      <c r="D4" s="1142"/>
      <c r="E4" s="1142"/>
      <c r="F4" s="1142"/>
      <c r="G4" s="1142"/>
      <c r="H4" s="1142"/>
      <c r="I4" s="1142"/>
      <c r="J4" s="1142"/>
      <c r="K4" s="1142"/>
      <c r="L4" s="1142"/>
      <c r="M4" s="1142"/>
      <c r="N4" s="1142"/>
      <c r="O4" s="1142"/>
      <c r="P4" s="1142"/>
      <c r="Q4" s="1142"/>
      <c r="R4" s="1142"/>
      <c r="S4" s="1142"/>
      <c r="T4" s="1143"/>
      <c r="U4" s="1143"/>
      <c r="V4" s="1143"/>
    </row>
    <row r="5" spans="1:22" ht="15.75" customHeight="1">
      <c r="A5" s="1142"/>
      <c r="B5" s="1142"/>
      <c r="C5" s="1142"/>
      <c r="D5" s="1142"/>
      <c r="E5" s="1142"/>
      <c r="F5" s="1142"/>
      <c r="G5" s="1142"/>
      <c r="H5" s="1142"/>
      <c r="I5" s="1142"/>
      <c r="J5" s="1142"/>
      <c r="K5" s="1142"/>
      <c r="L5" s="1142"/>
      <c r="M5" s="1142"/>
      <c r="N5" s="1142"/>
      <c r="O5" s="1142"/>
      <c r="P5" s="1142"/>
      <c r="Q5" s="1142"/>
      <c r="R5" s="1142"/>
      <c r="S5" s="1142"/>
      <c r="T5" s="1143"/>
      <c r="U5" s="1143"/>
      <c r="V5" s="1143"/>
    </row>
    <row r="6" spans="1:22" ht="30" customHeight="1">
      <c r="A6" s="1598" t="s">
        <v>1</v>
      </c>
      <c r="B6" s="1599" t="s">
        <v>68</v>
      </c>
      <c r="C6" s="1599" t="s">
        <v>77</v>
      </c>
      <c r="D6" s="1599" t="s">
        <v>78</v>
      </c>
      <c r="E6" s="1599" t="s">
        <v>79</v>
      </c>
      <c r="F6" s="1599" t="s">
        <v>213</v>
      </c>
      <c r="G6" s="1599" t="s">
        <v>978</v>
      </c>
      <c r="H6" s="1599" t="s">
        <v>977</v>
      </c>
      <c r="I6" s="1600" t="s">
        <v>1095</v>
      </c>
      <c r="J6" s="1600" t="s">
        <v>1096</v>
      </c>
      <c r="K6" s="1599" t="s">
        <v>6</v>
      </c>
      <c r="L6" s="1599" t="s">
        <v>80</v>
      </c>
      <c r="M6" s="1599" t="s">
        <v>81</v>
      </c>
      <c r="N6" s="1601" t="s">
        <v>82</v>
      </c>
      <c r="O6" s="1142"/>
      <c r="P6" s="1142"/>
      <c r="Q6" s="1142"/>
      <c r="R6" s="1142"/>
      <c r="S6" s="1142"/>
      <c r="T6" s="1143"/>
      <c r="U6" s="1143"/>
      <c r="V6" s="1143"/>
    </row>
    <row r="7" spans="1:22" ht="7.5" customHeight="1">
      <c r="A7" s="1142"/>
      <c r="B7" s="1142"/>
      <c r="C7" s="1142"/>
      <c r="D7" s="1142"/>
      <c r="E7" s="1142"/>
      <c r="F7" s="1142"/>
      <c r="G7" s="1142"/>
      <c r="H7" s="1142"/>
      <c r="I7" s="1142"/>
      <c r="J7" s="1142"/>
      <c r="K7" s="1142"/>
      <c r="L7" s="1142"/>
      <c r="M7" s="1142"/>
      <c r="N7" s="1142"/>
      <c r="O7" s="1142"/>
      <c r="P7" s="1142"/>
      <c r="Q7" s="1142"/>
      <c r="R7" s="1142"/>
      <c r="S7" s="1142"/>
      <c r="T7" s="1143"/>
      <c r="U7" s="1143"/>
      <c r="V7" s="1143"/>
    </row>
    <row r="8" spans="1:22" ht="7.5" customHeight="1">
      <c r="A8" s="1602"/>
      <c r="B8" s="1603"/>
      <c r="C8" s="1603"/>
      <c r="D8" s="1603"/>
      <c r="E8" s="1603"/>
      <c r="F8" s="1603"/>
      <c r="G8" s="1603"/>
      <c r="H8" s="1603"/>
      <c r="I8" s="1603"/>
      <c r="J8" s="1603"/>
      <c r="K8" s="1603"/>
      <c r="L8" s="1603"/>
      <c r="M8" s="1603"/>
      <c r="N8" s="1604"/>
      <c r="O8" s="1142"/>
      <c r="P8" s="1142"/>
      <c r="Q8" s="1142"/>
      <c r="R8" s="1142"/>
      <c r="S8" s="1142"/>
      <c r="T8" s="1143"/>
      <c r="U8" s="1143"/>
      <c r="V8" s="1143"/>
    </row>
    <row r="9" spans="1:22" ht="21.75" customHeight="1">
      <c r="A9" s="1605"/>
      <c r="B9" s="1606" t="s">
        <v>1929</v>
      </c>
      <c r="C9" s="1607"/>
      <c r="D9" s="1607"/>
      <c r="E9" s="1607"/>
      <c r="F9" s="1607"/>
      <c r="G9" s="1607"/>
      <c r="H9" s="1607"/>
      <c r="I9" s="1607"/>
      <c r="J9" s="1607"/>
      <c r="K9" s="1607"/>
      <c r="L9" s="1607"/>
      <c r="M9" s="1607"/>
      <c r="N9" s="1608"/>
      <c r="O9" s="1142"/>
      <c r="P9" s="1142"/>
      <c r="Q9" s="1142"/>
      <c r="R9" s="1142"/>
      <c r="S9" s="1142"/>
      <c r="T9" s="1143"/>
      <c r="U9" s="1143"/>
      <c r="V9" s="1143"/>
    </row>
    <row r="10" spans="1:22" ht="15.75" customHeight="1">
      <c r="A10" s="1145"/>
      <c r="B10" s="1609" t="s">
        <v>395</v>
      </c>
      <c r="C10" s="382"/>
      <c r="D10" s="382"/>
      <c r="E10" s="382"/>
      <c r="F10" s="382"/>
      <c r="G10" s="382"/>
      <c r="H10" s="382"/>
      <c r="I10" s="382"/>
      <c r="J10" s="382"/>
      <c r="K10" s="382"/>
      <c r="L10" s="382"/>
      <c r="M10" s="382"/>
      <c r="N10" s="1141"/>
      <c r="O10" s="1142"/>
      <c r="P10" s="621"/>
      <c r="Q10" s="1142"/>
      <c r="R10" s="1142"/>
      <c r="S10" s="1142"/>
      <c r="T10" s="1143"/>
      <c r="U10" s="1143"/>
      <c r="V10" s="1143"/>
    </row>
    <row r="11" spans="1:22" ht="15.75" customHeight="1">
      <c r="A11" s="464">
        <v>1</v>
      </c>
      <c r="B11" s="391" t="s">
        <v>396</v>
      </c>
      <c r="C11" s="382"/>
      <c r="D11" s="382"/>
      <c r="E11" s="382"/>
      <c r="F11" s="382"/>
      <c r="G11" s="382"/>
      <c r="H11" s="382"/>
      <c r="I11" s="382"/>
      <c r="J11" s="382"/>
      <c r="K11" s="382"/>
      <c r="L11" s="382"/>
      <c r="M11" s="382"/>
      <c r="N11" s="1141"/>
      <c r="O11" s="1142"/>
      <c r="P11" s="621"/>
      <c r="Q11" s="1142"/>
      <c r="R11" s="1142"/>
      <c r="S11" s="1142"/>
      <c r="T11" s="1143"/>
      <c r="U11" s="1143"/>
      <c r="V11" s="1143"/>
    </row>
    <row r="12" spans="1:22" ht="15.75" customHeight="1">
      <c r="A12" s="469"/>
      <c r="B12" s="1610" t="s">
        <v>155</v>
      </c>
      <c r="C12" s="382">
        <v>22</v>
      </c>
      <c r="D12" s="382"/>
      <c r="E12" s="382"/>
      <c r="F12" s="382"/>
      <c r="G12" s="382"/>
      <c r="H12" s="382">
        <v>2</v>
      </c>
      <c r="I12" s="382"/>
      <c r="J12" s="382"/>
      <c r="K12" s="382"/>
      <c r="L12" s="382"/>
      <c r="M12" s="382">
        <f>C12*H12</f>
        <v>44</v>
      </c>
      <c r="N12" s="1141"/>
      <c r="O12" s="1142"/>
      <c r="P12" s="621"/>
      <c r="Q12" s="1142"/>
      <c r="R12" s="1142"/>
      <c r="S12" s="1142"/>
      <c r="T12" s="1143"/>
      <c r="U12" s="1143"/>
      <c r="V12" s="1143"/>
    </row>
    <row r="13" spans="1:22" ht="15.75" customHeight="1">
      <c r="A13" s="1611"/>
      <c r="B13" s="1610" t="s">
        <v>154</v>
      </c>
      <c r="C13" s="382"/>
      <c r="D13" s="382">
        <v>12</v>
      </c>
      <c r="E13" s="382"/>
      <c r="F13" s="382"/>
      <c r="G13" s="382"/>
      <c r="H13" s="382">
        <v>2</v>
      </c>
      <c r="I13" s="382"/>
      <c r="J13" s="382"/>
      <c r="K13" s="382"/>
      <c r="L13" s="382"/>
      <c r="M13" s="382">
        <f>D13*H13</f>
        <v>24</v>
      </c>
      <c r="N13" s="1141"/>
      <c r="O13" s="1142"/>
      <c r="P13" s="621"/>
      <c r="Q13" s="1142"/>
      <c r="R13" s="1142"/>
      <c r="S13" s="1142"/>
      <c r="T13" s="1143"/>
      <c r="U13" s="1143"/>
      <c r="V13" s="1143"/>
    </row>
    <row r="14" spans="1:22" ht="15.75" customHeight="1">
      <c r="A14" s="1611"/>
      <c r="B14" s="370"/>
      <c r="C14" s="382"/>
      <c r="D14" s="382"/>
      <c r="E14" s="382"/>
      <c r="F14" s="382"/>
      <c r="G14" s="382"/>
      <c r="H14" s="382"/>
      <c r="I14" s="382"/>
      <c r="J14" s="382"/>
      <c r="K14" s="382"/>
      <c r="L14" s="382"/>
      <c r="M14" s="382">
        <f>SUM(M12:M13)</f>
        <v>68</v>
      </c>
      <c r="N14" s="1141" t="s">
        <v>117</v>
      </c>
      <c r="O14" s="1142"/>
      <c r="P14" s="621"/>
      <c r="Q14" s="1142"/>
      <c r="R14" s="1142"/>
      <c r="S14" s="1142"/>
      <c r="T14" s="1143"/>
      <c r="U14" s="1143"/>
      <c r="V14" s="1143"/>
    </row>
    <row r="15" spans="1:22" ht="15.75" customHeight="1">
      <c r="A15" s="1612">
        <f>A11+1</f>
        <v>2</v>
      </c>
      <c r="B15" s="1613" t="s">
        <v>1930</v>
      </c>
      <c r="C15" s="348"/>
      <c r="D15" s="348"/>
      <c r="E15" s="348"/>
      <c r="F15" s="348"/>
      <c r="G15" s="348"/>
      <c r="H15" s="348"/>
      <c r="I15" s="348"/>
      <c r="J15" s="348"/>
      <c r="K15" s="348"/>
      <c r="L15" s="348"/>
      <c r="M15" s="348"/>
      <c r="N15" s="1141"/>
      <c r="O15" s="1142"/>
      <c r="P15" s="621" t="s">
        <v>1931</v>
      </c>
      <c r="Q15" s="1142"/>
      <c r="R15" s="1142"/>
      <c r="S15" s="1142"/>
      <c r="T15" s="1143"/>
      <c r="U15" s="1143"/>
      <c r="V15" s="1143"/>
    </row>
    <row r="16" spans="1:22" ht="15.75" customHeight="1">
      <c r="A16" s="1611" t="s">
        <v>95</v>
      </c>
      <c r="B16" s="370" t="s">
        <v>610</v>
      </c>
      <c r="C16" s="348">
        <f>0.8+0.2</f>
        <v>1</v>
      </c>
      <c r="D16" s="348">
        <f>C16</f>
        <v>1</v>
      </c>
      <c r="E16" s="348">
        <v>1.27</v>
      </c>
      <c r="F16" s="348"/>
      <c r="G16" s="348"/>
      <c r="H16" s="348"/>
      <c r="I16" s="348">
        <v>0.4</v>
      </c>
      <c r="J16" s="348"/>
      <c r="K16" s="348"/>
      <c r="L16" s="348">
        <v>17</v>
      </c>
      <c r="M16" s="348">
        <f>C16*D16*(E16+I16)*L16</f>
        <v>28.39</v>
      </c>
      <c r="N16" s="1141" t="s">
        <v>103</v>
      </c>
      <c r="O16" s="1142"/>
      <c r="P16" s="621"/>
      <c r="Q16" s="1142"/>
      <c r="R16" s="1142"/>
      <c r="S16" s="1142"/>
      <c r="T16" s="1143"/>
      <c r="U16" s="1143"/>
      <c r="V16" s="1143"/>
    </row>
    <row r="17" spans="1:22" ht="15.75" customHeight="1">
      <c r="A17" s="1614" t="s">
        <v>98</v>
      </c>
      <c r="B17" s="1615" t="s">
        <v>399</v>
      </c>
      <c r="C17" s="348">
        <v>0.8</v>
      </c>
      <c r="D17" s="348">
        <v>0.8</v>
      </c>
      <c r="E17" s="348">
        <v>7.0000000000000007E-2</v>
      </c>
      <c r="F17" s="348"/>
      <c r="G17" s="348"/>
      <c r="H17" s="348"/>
      <c r="I17" s="348"/>
      <c r="J17" s="348"/>
      <c r="K17" s="348"/>
      <c r="L17" s="348">
        <f>L16</f>
        <v>17</v>
      </c>
      <c r="M17" s="348">
        <f>C17*D17*E17*L17</f>
        <v>0.76160000000000028</v>
      </c>
      <c r="N17" s="1141" t="s">
        <v>103</v>
      </c>
      <c r="O17" s="1142"/>
      <c r="P17" s="621"/>
      <c r="Q17" s="1142"/>
      <c r="R17" s="1142"/>
      <c r="S17" s="1142"/>
      <c r="T17" s="1143"/>
      <c r="U17" s="1143"/>
      <c r="V17" s="1143"/>
    </row>
    <row r="18" spans="1:22" ht="15.75" customHeight="1">
      <c r="A18" s="1614" t="s">
        <v>101</v>
      </c>
      <c r="B18" s="1615" t="s">
        <v>400</v>
      </c>
      <c r="C18" s="348">
        <v>0.8</v>
      </c>
      <c r="D18" s="348">
        <v>0.8</v>
      </c>
      <c r="E18" s="348">
        <v>0.03</v>
      </c>
      <c r="F18" s="348"/>
      <c r="G18" s="348"/>
      <c r="H18" s="348"/>
      <c r="I18" s="348"/>
      <c r="J18" s="348"/>
      <c r="K18" s="348"/>
      <c r="L18" s="348">
        <f>L17</f>
        <v>17</v>
      </c>
      <c r="M18" s="348">
        <f>C18*D18*E18*L18</f>
        <v>0.32640000000000002</v>
      </c>
      <c r="N18" s="1141" t="s">
        <v>103</v>
      </c>
      <c r="O18" s="1142"/>
      <c r="P18" s="621"/>
      <c r="Q18" s="1142"/>
      <c r="R18" s="1142"/>
      <c r="S18" s="1142"/>
      <c r="T18" s="1143"/>
      <c r="U18" s="1143"/>
      <c r="V18" s="1143"/>
    </row>
    <row r="19" spans="1:22" ht="15.75" customHeight="1">
      <c r="A19" s="1611" t="s">
        <v>121</v>
      </c>
      <c r="B19" s="468" t="s">
        <v>941</v>
      </c>
      <c r="C19" s="348"/>
      <c r="D19" s="348">
        <f>D16</f>
        <v>1</v>
      </c>
      <c r="E19" s="348">
        <v>0.3</v>
      </c>
      <c r="F19" s="348"/>
      <c r="G19" s="348"/>
      <c r="H19" s="348">
        <v>4</v>
      </c>
      <c r="I19" s="348"/>
      <c r="J19" s="348"/>
      <c r="K19" s="348"/>
      <c r="L19" s="348">
        <f>L16</f>
        <v>17</v>
      </c>
      <c r="M19" s="348">
        <f>D19*E19*H19*L19</f>
        <v>20.399999999999999</v>
      </c>
      <c r="N19" s="1141" t="s">
        <v>89</v>
      </c>
      <c r="O19" s="1142"/>
      <c r="P19" s="621"/>
      <c r="Q19" s="1142"/>
      <c r="R19" s="1142"/>
      <c r="S19" s="1142"/>
      <c r="T19" s="1143"/>
      <c r="U19" s="1143"/>
      <c r="V19" s="1143"/>
    </row>
    <row r="20" spans="1:22" ht="15.75" customHeight="1">
      <c r="A20" s="1611" t="s">
        <v>142</v>
      </c>
      <c r="B20" s="370" t="s">
        <v>131</v>
      </c>
      <c r="C20" s="348">
        <f>C17-0.075*2</f>
        <v>0.65</v>
      </c>
      <c r="D20" s="348"/>
      <c r="E20" s="348"/>
      <c r="F20" s="348">
        <f>13*13*0.006165</f>
        <v>1.041885</v>
      </c>
      <c r="G20" s="348">
        <f>0.15*2</f>
        <v>0.3</v>
      </c>
      <c r="H20" s="348">
        <v>4</v>
      </c>
      <c r="I20" s="348"/>
      <c r="J20" s="348"/>
      <c r="K20" s="348">
        <f>ROUNDUP((C20/0.15),0.5)+1</f>
        <v>6</v>
      </c>
      <c r="L20" s="348">
        <f>L19</f>
        <v>17</v>
      </c>
      <c r="M20" s="348">
        <f>(C20+G20)*F20*H20*K20*L20</f>
        <v>403.83462599999996</v>
      </c>
      <c r="N20" s="1141" t="s">
        <v>100</v>
      </c>
      <c r="O20" s="1142"/>
      <c r="P20" s="621"/>
      <c r="Q20" s="1142"/>
      <c r="R20" s="1142"/>
      <c r="S20" s="1142"/>
      <c r="T20" s="1143"/>
      <c r="U20" s="1143"/>
      <c r="V20" s="1143"/>
    </row>
    <row r="21" spans="1:22" ht="15.75" customHeight="1">
      <c r="A21" s="1136" t="s">
        <v>217</v>
      </c>
      <c r="B21" s="358" t="s">
        <v>420</v>
      </c>
      <c r="C21" s="348">
        <f>C17</f>
        <v>0.8</v>
      </c>
      <c r="D21" s="348">
        <f>D17</f>
        <v>0.8</v>
      </c>
      <c r="E21" s="348">
        <v>0.3</v>
      </c>
      <c r="F21" s="348"/>
      <c r="G21" s="348"/>
      <c r="H21" s="348"/>
      <c r="I21" s="348"/>
      <c r="J21" s="348"/>
      <c r="K21" s="348"/>
      <c r="L21" s="348">
        <f>L20</f>
        <v>17</v>
      </c>
      <c r="M21" s="348">
        <f>C21*D21*E21*L21</f>
        <v>3.2640000000000007</v>
      </c>
      <c r="N21" s="1141" t="s">
        <v>103</v>
      </c>
      <c r="O21" s="1142"/>
      <c r="P21" s="621"/>
      <c r="Q21" s="1142"/>
      <c r="R21" s="1142"/>
      <c r="S21" s="1142"/>
      <c r="T21" s="1143"/>
      <c r="U21" s="1143"/>
      <c r="V21" s="1143"/>
    </row>
    <row r="22" spans="1:22" ht="15.75" customHeight="1">
      <c r="A22" s="1136" t="s">
        <v>366</v>
      </c>
      <c r="B22" s="370" t="s">
        <v>405</v>
      </c>
      <c r="C22" s="348"/>
      <c r="D22" s="348"/>
      <c r="E22" s="348">
        <v>4</v>
      </c>
      <c r="F22" s="348"/>
      <c r="G22" s="348"/>
      <c r="H22" s="348"/>
      <c r="I22" s="348"/>
      <c r="J22" s="348"/>
      <c r="K22" s="348">
        <v>9</v>
      </c>
      <c r="L22" s="348">
        <f>L21</f>
        <v>17</v>
      </c>
      <c r="M22" s="348">
        <f>E22*K22*L22</f>
        <v>612</v>
      </c>
      <c r="N22" s="1141" t="s">
        <v>117</v>
      </c>
      <c r="O22" s="1142"/>
      <c r="P22" s="621"/>
      <c r="Q22" s="1142"/>
      <c r="R22" s="1142"/>
      <c r="S22" s="1142"/>
      <c r="T22" s="1143"/>
      <c r="U22" s="1143"/>
      <c r="V22" s="1143"/>
    </row>
    <row r="23" spans="1:22" ht="15.75" customHeight="1">
      <c r="A23" s="1135">
        <f>A11+1</f>
        <v>2</v>
      </c>
      <c r="B23" s="354" t="s">
        <v>693</v>
      </c>
      <c r="C23" s="382"/>
      <c r="D23" s="382"/>
      <c r="E23" s="382"/>
      <c r="F23" s="382"/>
      <c r="G23" s="382"/>
      <c r="H23" s="382"/>
      <c r="I23" s="382"/>
      <c r="J23" s="382"/>
      <c r="K23" s="382"/>
      <c r="L23" s="382"/>
      <c r="M23" s="382"/>
      <c r="N23" s="1141"/>
      <c r="O23" s="1142"/>
      <c r="P23" s="621"/>
      <c r="Q23" s="1142"/>
      <c r="R23" s="1142"/>
      <c r="S23" s="1142"/>
      <c r="T23" s="1143"/>
      <c r="U23" s="1143"/>
      <c r="V23" s="1143"/>
    </row>
    <row r="24" spans="1:22" ht="15.75" customHeight="1">
      <c r="A24" s="1136" t="s">
        <v>95</v>
      </c>
      <c r="B24" s="358" t="s">
        <v>383</v>
      </c>
      <c r="C24" s="382"/>
      <c r="D24" s="382"/>
      <c r="E24" s="382"/>
      <c r="F24" s="382"/>
      <c r="G24" s="382"/>
      <c r="H24" s="382"/>
      <c r="I24" s="382"/>
      <c r="J24" s="382"/>
      <c r="K24" s="382"/>
      <c r="L24" s="382"/>
      <c r="M24" s="382"/>
      <c r="N24" s="1141"/>
      <c r="O24" s="1142"/>
      <c r="P24" s="621"/>
      <c r="Q24" s="1142"/>
      <c r="R24" s="1142"/>
      <c r="S24" s="1142"/>
      <c r="T24" s="1143"/>
      <c r="U24" s="1143"/>
      <c r="V24" s="1143"/>
    </row>
    <row r="25" spans="1:22" ht="15.75" customHeight="1">
      <c r="A25" s="1136"/>
      <c r="B25" s="472" t="s">
        <v>1517</v>
      </c>
      <c r="C25" s="382"/>
      <c r="D25" s="382"/>
      <c r="E25" s="382"/>
      <c r="F25" s="382"/>
      <c r="G25" s="382"/>
      <c r="H25" s="382"/>
      <c r="I25" s="382"/>
      <c r="J25" s="382"/>
      <c r="K25" s="382"/>
      <c r="L25" s="382"/>
      <c r="M25" s="382"/>
      <c r="N25" s="1141"/>
      <c r="O25" s="1142"/>
      <c r="P25" s="621"/>
      <c r="Q25" s="1142"/>
      <c r="R25" s="1142"/>
      <c r="S25" s="1142"/>
      <c r="T25" s="1143"/>
      <c r="U25" s="1143"/>
      <c r="V25" s="1143"/>
    </row>
    <row r="26" spans="1:22" ht="15.75" customHeight="1">
      <c r="A26" s="1136"/>
      <c r="B26" s="1137" t="s">
        <v>226</v>
      </c>
      <c r="C26" s="382">
        <f>C33</f>
        <v>20</v>
      </c>
      <c r="D26" s="382"/>
      <c r="E26" s="382"/>
      <c r="F26" s="382"/>
      <c r="G26" s="382"/>
      <c r="H26" s="382"/>
      <c r="I26" s="382"/>
      <c r="J26" s="382"/>
      <c r="K26" s="382"/>
      <c r="L26" s="382">
        <f>L33</f>
        <v>2</v>
      </c>
      <c r="M26" s="382">
        <f>C26*L26</f>
        <v>40</v>
      </c>
      <c r="N26" s="1141"/>
      <c r="O26" s="1142"/>
      <c r="P26" s="621"/>
      <c r="Q26" s="1142"/>
      <c r="R26" s="1142"/>
      <c r="S26" s="1142"/>
      <c r="T26" s="1143"/>
      <c r="U26" s="1143"/>
      <c r="V26" s="1143"/>
    </row>
    <row r="27" spans="1:22" ht="15.75" customHeight="1">
      <c r="A27" s="1145"/>
      <c r="B27" s="569"/>
      <c r="C27" s="382">
        <f>C34</f>
        <v>16</v>
      </c>
      <c r="D27" s="382"/>
      <c r="E27" s="382"/>
      <c r="F27" s="382"/>
      <c r="G27" s="382"/>
      <c r="H27" s="382"/>
      <c r="I27" s="382"/>
      <c r="J27" s="382"/>
      <c r="K27" s="382"/>
      <c r="L27" s="382">
        <f>L34</f>
        <v>1</v>
      </c>
      <c r="M27" s="382">
        <f>C27*L27</f>
        <v>16</v>
      </c>
      <c r="N27" s="1141"/>
      <c r="O27" s="1142"/>
      <c r="P27" s="621"/>
      <c r="Q27" s="1142"/>
      <c r="R27" s="1142"/>
      <c r="S27" s="1142"/>
      <c r="T27" s="1143"/>
      <c r="U27" s="1143"/>
      <c r="V27" s="1143"/>
    </row>
    <row r="28" spans="1:22" ht="15.75" customHeight="1">
      <c r="A28" s="1145"/>
      <c r="B28" s="569" t="s">
        <v>227</v>
      </c>
      <c r="C28" s="382">
        <f>C35</f>
        <v>10</v>
      </c>
      <c r="D28" s="382"/>
      <c r="E28" s="382"/>
      <c r="F28" s="382"/>
      <c r="G28" s="382"/>
      <c r="H28" s="382"/>
      <c r="I28" s="382"/>
      <c r="J28" s="382"/>
      <c r="K28" s="382"/>
      <c r="L28" s="382">
        <f>L35</f>
        <v>5</v>
      </c>
      <c r="M28" s="382">
        <f>C28*L28</f>
        <v>50</v>
      </c>
      <c r="N28" s="1141"/>
      <c r="O28" s="1142"/>
      <c r="P28" s="621"/>
      <c r="Q28" s="1142"/>
      <c r="R28" s="1142"/>
      <c r="S28" s="1142"/>
      <c r="T28" s="1143"/>
      <c r="U28" s="1143"/>
      <c r="V28" s="1143"/>
    </row>
    <row r="29" spans="1:22" ht="15.75" customHeight="1">
      <c r="A29" s="1145"/>
      <c r="B29" s="357"/>
      <c r="C29" s="382">
        <f>C36</f>
        <v>5</v>
      </c>
      <c r="D29" s="382"/>
      <c r="E29" s="382"/>
      <c r="F29" s="382"/>
      <c r="G29" s="382"/>
      <c r="H29" s="382"/>
      <c r="I29" s="382"/>
      <c r="J29" s="382"/>
      <c r="K29" s="382"/>
      <c r="L29" s="382">
        <f>L36</f>
        <v>1</v>
      </c>
      <c r="M29" s="382">
        <f>C29*L29</f>
        <v>5</v>
      </c>
      <c r="N29" s="1141"/>
      <c r="O29" s="1142"/>
      <c r="P29" s="621"/>
      <c r="Q29" s="1142"/>
      <c r="R29" s="1142"/>
      <c r="S29" s="1142"/>
      <c r="T29" s="1143"/>
      <c r="U29" s="1143"/>
      <c r="V29" s="1143"/>
    </row>
    <row r="30" spans="1:22" ht="15.75" customHeight="1">
      <c r="A30" s="1145"/>
      <c r="B30" s="357"/>
      <c r="C30" s="382"/>
      <c r="D30" s="382"/>
      <c r="E30" s="382"/>
      <c r="F30" s="382"/>
      <c r="G30" s="382"/>
      <c r="H30" s="382"/>
      <c r="I30" s="382"/>
      <c r="J30" s="382"/>
      <c r="K30" s="382"/>
      <c r="L30" s="382"/>
      <c r="M30" s="382">
        <f>SUM(M26:M29)</f>
        <v>111</v>
      </c>
      <c r="N30" s="1141"/>
      <c r="O30" s="1142"/>
      <c r="P30" s="621"/>
      <c r="Q30" s="1142"/>
      <c r="R30" s="1142"/>
      <c r="S30" s="1142"/>
      <c r="T30" s="1143"/>
      <c r="U30" s="1143"/>
      <c r="V30" s="1143"/>
    </row>
    <row r="31" spans="1:22" ht="15.75" customHeight="1">
      <c r="A31" s="1145"/>
      <c r="B31" s="357"/>
      <c r="C31" s="382"/>
      <c r="D31" s="382"/>
      <c r="E31" s="382">
        <v>4</v>
      </c>
      <c r="F31" s="382"/>
      <c r="G31" s="382"/>
      <c r="H31" s="382">
        <v>2</v>
      </c>
      <c r="I31" s="382"/>
      <c r="J31" s="382"/>
      <c r="K31" s="382">
        <f>M30/0.5</f>
        <v>222</v>
      </c>
      <c r="L31" s="382"/>
      <c r="M31" s="382">
        <f>E31*H31*K31</f>
        <v>1776</v>
      </c>
      <c r="N31" s="1141" t="s">
        <v>117</v>
      </c>
      <c r="O31" s="1142"/>
      <c r="P31" s="621"/>
      <c r="Q31" s="1142"/>
      <c r="R31" s="1142"/>
      <c r="S31" s="1142"/>
      <c r="T31" s="1143"/>
      <c r="U31" s="1143"/>
      <c r="V31" s="1143"/>
    </row>
    <row r="32" spans="1:22" ht="15.75" customHeight="1">
      <c r="A32" s="1145" t="s">
        <v>98</v>
      </c>
      <c r="B32" s="357" t="s">
        <v>398</v>
      </c>
      <c r="C32" s="382"/>
      <c r="D32" s="382"/>
      <c r="E32" s="382"/>
      <c r="F32" s="382"/>
      <c r="G32" s="382"/>
      <c r="H32" s="382"/>
      <c r="I32" s="382"/>
      <c r="J32" s="382"/>
      <c r="K32" s="382"/>
      <c r="L32" s="382"/>
      <c r="M32" s="382"/>
      <c r="N32" s="1141"/>
      <c r="O32" s="1142"/>
      <c r="P32" s="621"/>
      <c r="Q32" s="1142"/>
      <c r="R32" s="1142"/>
      <c r="S32" s="1142"/>
      <c r="T32" s="1143"/>
      <c r="U32" s="1143"/>
      <c r="V32" s="1143"/>
    </row>
    <row r="33" spans="1:22" ht="15.75" customHeight="1">
      <c r="A33" s="1145"/>
      <c r="B33" s="569" t="s">
        <v>226</v>
      </c>
      <c r="C33" s="382">
        <v>20</v>
      </c>
      <c r="D33" s="382">
        <v>0.8</v>
      </c>
      <c r="E33" s="382">
        <f>0.8+0.07</f>
        <v>0.87000000000000011</v>
      </c>
      <c r="F33" s="382"/>
      <c r="G33" s="382"/>
      <c r="H33" s="382"/>
      <c r="I33" s="382"/>
      <c r="J33" s="382"/>
      <c r="K33" s="382"/>
      <c r="L33" s="382">
        <v>2</v>
      </c>
      <c r="M33" s="382">
        <f>C33*D33*E33*L33</f>
        <v>27.840000000000003</v>
      </c>
      <c r="N33" s="1141"/>
      <c r="O33" s="1142"/>
      <c r="P33" s="621"/>
      <c r="Q33" s="1142"/>
      <c r="R33" s="1142"/>
      <c r="S33" s="1142"/>
      <c r="T33" s="1143"/>
      <c r="U33" s="1143"/>
      <c r="V33" s="1143"/>
    </row>
    <row r="34" spans="1:22" ht="15.75" customHeight="1">
      <c r="A34" s="1145"/>
      <c r="B34" s="569"/>
      <c r="C34" s="382">
        <v>16</v>
      </c>
      <c r="D34" s="382">
        <f t="shared" ref="D34:E36" si="0">D33</f>
        <v>0.8</v>
      </c>
      <c r="E34" s="382">
        <f t="shared" si="0"/>
        <v>0.87000000000000011</v>
      </c>
      <c r="F34" s="382"/>
      <c r="G34" s="382"/>
      <c r="H34" s="382"/>
      <c r="I34" s="382"/>
      <c r="J34" s="382"/>
      <c r="K34" s="382"/>
      <c r="L34" s="382">
        <v>1</v>
      </c>
      <c r="M34" s="382">
        <f>C34*D34*E34*L34</f>
        <v>11.136000000000003</v>
      </c>
      <c r="N34" s="1141"/>
      <c r="O34" s="1142"/>
      <c r="P34" s="621"/>
      <c r="Q34" s="1142"/>
      <c r="R34" s="1142"/>
      <c r="S34" s="1142"/>
      <c r="T34" s="1143"/>
      <c r="U34" s="1143"/>
      <c r="V34" s="1143"/>
    </row>
    <row r="35" spans="1:22" ht="15.75" customHeight="1">
      <c r="A35" s="1145"/>
      <c r="B35" s="569" t="s">
        <v>227</v>
      </c>
      <c r="C35" s="382">
        <v>10</v>
      </c>
      <c r="D35" s="382">
        <f t="shared" si="0"/>
        <v>0.8</v>
      </c>
      <c r="E35" s="382">
        <f t="shared" si="0"/>
        <v>0.87000000000000011</v>
      </c>
      <c r="F35" s="382"/>
      <c r="G35" s="382"/>
      <c r="H35" s="382"/>
      <c r="I35" s="382"/>
      <c r="J35" s="382"/>
      <c r="K35" s="382"/>
      <c r="L35" s="382">
        <v>5</v>
      </c>
      <c r="M35" s="382">
        <f>C35*D35*E35*L35</f>
        <v>34.800000000000004</v>
      </c>
      <c r="N35" s="1141"/>
      <c r="O35" s="1142"/>
      <c r="P35" s="621"/>
      <c r="Q35" s="1142"/>
      <c r="R35" s="1142"/>
      <c r="S35" s="1142"/>
      <c r="T35" s="1143"/>
      <c r="U35" s="1143"/>
      <c r="V35" s="1143"/>
    </row>
    <row r="36" spans="1:22" ht="15.75" customHeight="1">
      <c r="A36" s="1145"/>
      <c r="B36" s="569"/>
      <c r="C36" s="382">
        <v>5</v>
      </c>
      <c r="D36" s="382">
        <f t="shared" si="0"/>
        <v>0.8</v>
      </c>
      <c r="E36" s="382">
        <f t="shared" si="0"/>
        <v>0.87000000000000011</v>
      </c>
      <c r="F36" s="382"/>
      <c r="G36" s="382"/>
      <c r="H36" s="382"/>
      <c r="I36" s="382"/>
      <c r="J36" s="382"/>
      <c r="K36" s="382"/>
      <c r="L36" s="382">
        <v>1</v>
      </c>
      <c r="M36" s="382">
        <f>C36*D36*E36*L36</f>
        <v>3.4800000000000004</v>
      </c>
      <c r="N36" s="1141"/>
      <c r="O36" s="1142"/>
      <c r="P36" s="621"/>
      <c r="Q36" s="1142"/>
      <c r="R36" s="1142"/>
      <c r="S36" s="1142"/>
      <c r="T36" s="1143"/>
      <c r="U36" s="1143"/>
      <c r="V36" s="1143"/>
    </row>
    <row r="37" spans="1:22" ht="15.75" customHeight="1">
      <c r="A37" s="1145"/>
      <c r="B37" s="357"/>
      <c r="C37" s="382"/>
      <c r="D37" s="382"/>
      <c r="E37" s="382"/>
      <c r="F37" s="382"/>
      <c r="G37" s="382"/>
      <c r="H37" s="382"/>
      <c r="I37" s="382"/>
      <c r="J37" s="382"/>
      <c r="K37" s="382"/>
      <c r="L37" s="382"/>
      <c r="M37" s="382">
        <f>SUM(M33:M36)</f>
        <v>77.256000000000014</v>
      </c>
      <c r="N37" s="1141" t="s">
        <v>103</v>
      </c>
      <c r="O37" s="1142"/>
      <c r="P37" s="621"/>
      <c r="Q37" s="1142"/>
      <c r="R37" s="1142"/>
      <c r="S37" s="1142"/>
      <c r="T37" s="1143"/>
      <c r="U37" s="1143"/>
      <c r="V37" s="1143"/>
    </row>
    <row r="38" spans="1:22" ht="15.75" customHeight="1">
      <c r="A38" s="1145" t="s">
        <v>101</v>
      </c>
      <c r="B38" s="357" t="s">
        <v>896</v>
      </c>
      <c r="C38" s="382"/>
      <c r="D38" s="382"/>
      <c r="E38" s="382"/>
      <c r="F38" s="382"/>
      <c r="G38" s="382"/>
      <c r="H38" s="382"/>
      <c r="I38" s="382"/>
      <c r="J38" s="382"/>
      <c r="K38" s="382"/>
      <c r="L38" s="382"/>
      <c r="M38" s="382"/>
      <c r="N38" s="1141"/>
      <c r="O38" s="1142"/>
      <c r="P38" s="621"/>
      <c r="Q38" s="1142"/>
      <c r="R38" s="1142"/>
      <c r="S38" s="1142"/>
      <c r="T38" s="1143"/>
      <c r="U38" s="1143"/>
      <c r="V38" s="1143"/>
    </row>
    <row r="39" spans="1:22" ht="15.75" customHeight="1">
      <c r="A39" s="1145"/>
      <c r="B39" s="569" t="s">
        <v>226</v>
      </c>
      <c r="C39" s="382">
        <f t="shared" ref="C39:D42" si="1">C33</f>
        <v>20</v>
      </c>
      <c r="D39" s="382">
        <f t="shared" si="1"/>
        <v>0.8</v>
      </c>
      <c r="E39" s="382">
        <f>E33-0.8</f>
        <v>7.0000000000000062E-2</v>
      </c>
      <c r="F39" s="382"/>
      <c r="G39" s="382"/>
      <c r="H39" s="382"/>
      <c r="I39" s="382"/>
      <c r="J39" s="382"/>
      <c r="K39" s="382"/>
      <c r="L39" s="382">
        <f>L33</f>
        <v>2</v>
      </c>
      <c r="M39" s="382">
        <f>C39*D39*E39*L39</f>
        <v>2.240000000000002</v>
      </c>
      <c r="N39" s="1141"/>
      <c r="O39" s="1142"/>
      <c r="P39" s="621"/>
      <c r="Q39" s="1142"/>
      <c r="R39" s="1142"/>
      <c r="S39" s="1142"/>
      <c r="T39" s="1143"/>
      <c r="U39" s="1143"/>
      <c r="V39" s="1143"/>
    </row>
    <row r="40" spans="1:22" ht="15.75" customHeight="1">
      <c r="A40" s="1145"/>
      <c r="B40" s="569"/>
      <c r="C40" s="382">
        <f t="shared" si="1"/>
        <v>16</v>
      </c>
      <c r="D40" s="382">
        <f t="shared" si="1"/>
        <v>0.8</v>
      </c>
      <c r="E40" s="382">
        <f>E39</f>
        <v>7.0000000000000062E-2</v>
      </c>
      <c r="F40" s="382"/>
      <c r="G40" s="382"/>
      <c r="H40" s="382"/>
      <c r="I40" s="382"/>
      <c r="J40" s="382"/>
      <c r="K40" s="382"/>
      <c r="L40" s="382">
        <f>L34</f>
        <v>1</v>
      </c>
      <c r="M40" s="382">
        <f>C40*D40*E40*L40</f>
        <v>0.8960000000000008</v>
      </c>
      <c r="N40" s="1141"/>
      <c r="O40" s="1142"/>
      <c r="P40" s="621"/>
      <c r="Q40" s="1142"/>
      <c r="R40" s="1142"/>
      <c r="S40" s="1142"/>
      <c r="T40" s="1143"/>
      <c r="U40" s="1143"/>
      <c r="V40" s="1143"/>
    </row>
    <row r="41" spans="1:22" ht="15.75" customHeight="1">
      <c r="A41" s="1145"/>
      <c r="B41" s="569" t="s">
        <v>227</v>
      </c>
      <c r="C41" s="382">
        <f t="shared" si="1"/>
        <v>10</v>
      </c>
      <c r="D41" s="382">
        <f t="shared" si="1"/>
        <v>0.8</v>
      </c>
      <c r="E41" s="382">
        <f>E40</f>
        <v>7.0000000000000062E-2</v>
      </c>
      <c r="F41" s="382"/>
      <c r="G41" s="382"/>
      <c r="H41" s="382"/>
      <c r="I41" s="382"/>
      <c r="J41" s="382"/>
      <c r="K41" s="382"/>
      <c r="L41" s="382">
        <f>L35</f>
        <v>5</v>
      </c>
      <c r="M41" s="382">
        <f>C41*D41*E41*L41</f>
        <v>2.8000000000000025</v>
      </c>
      <c r="N41" s="1141"/>
      <c r="O41" s="1142"/>
      <c r="P41" s="621"/>
      <c r="Q41" s="1142"/>
      <c r="R41" s="1142"/>
      <c r="S41" s="1142"/>
      <c r="T41" s="1143"/>
      <c r="U41" s="1143"/>
      <c r="V41" s="1143"/>
    </row>
    <row r="42" spans="1:22" ht="15.75" customHeight="1">
      <c r="A42" s="1145"/>
      <c r="B42" s="569"/>
      <c r="C42" s="382">
        <f t="shared" si="1"/>
        <v>5</v>
      </c>
      <c r="D42" s="382">
        <f t="shared" si="1"/>
        <v>0.8</v>
      </c>
      <c r="E42" s="382">
        <f>E41</f>
        <v>7.0000000000000062E-2</v>
      </c>
      <c r="F42" s="382"/>
      <c r="G42" s="382"/>
      <c r="H42" s="382"/>
      <c r="I42" s="382"/>
      <c r="J42" s="382"/>
      <c r="K42" s="382"/>
      <c r="L42" s="382">
        <f>L36</f>
        <v>1</v>
      </c>
      <c r="M42" s="382">
        <f>C42*D42*E42*L42</f>
        <v>0.28000000000000025</v>
      </c>
      <c r="N42" s="1141"/>
      <c r="O42" s="1142"/>
      <c r="P42" s="621"/>
      <c r="Q42" s="1142"/>
      <c r="R42" s="1142"/>
      <c r="S42" s="1142"/>
      <c r="T42" s="1143"/>
      <c r="U42" s="1143"/>
      <c r="V42" s="1143"/>
    </row>
    <row r="43" spans="1:22" ht="15.75" customHeight="1">
      <c r="A43" s="1145"/>
      <c r="B43" s="357"/>
      <c r="C43" s="382"/>
      <c r="D43" s="382"/>
      <c r="E43" s="382"/>
      <c r="F43" s="382"/>
      <c r="G43" s="382"/>
      <c r="H43" s="382"/>
      <c r="I43" s="382"/>
      <c r="J43" s="382"/>
      <c r="K43" s="382"/>
      <c r="L43" s="382"/>
      <c r="M43" s="382">
        <f>SUM(M39:M42)</f>
        <v>6.2160000000000055</v>
      </c>
      <c r="N43" s="1141" t="s">
        <v>103</v>
      </c>
      <c r="O43" s="1142"/>
      <c r="P43" s="621"/>
      <c r="Q43" s="1142"/>
      <c r="R43" s="1142"/>
      <c r="S43" s="1142"/>
      <c r="T43" s="1143"/>
      <c r="U43" s="1143"/>
      <c r="V43" s="1143"/>
    </row>
    <row r="44" spans="1:22" ht="15.75" hidden="1" customHeight="1">
      <c r="A44" s="1616" t="s">
        <v>121</v>
      </c>
      <c r="B44" s="1617" t="s">
        <v>400</v>
      </c>
      <c r="C44" s="382"/>
      <c r="D44" s="382"/>
      <c r="E44" s="382"/>
      <c r="F44" s="382"/>
      <c r="G44" s="382"/>
      <c r="H44" s="382"/>
      <c r="I44" s="382"/>
      <c r="J44" s="382"/>
      <c r="K44" s="382"/>
      <c r="L44" s="382"/>
      <c r="M44" s="382"/>
      <c r="N44" s="1141"/>
      <c r="O44" s="1142"/>
      <c r="P44" s="621" t="s">
        <v>1932</v>
      </c>
      <c r="Q44" s="1142"/>
      <c r="R44" s="1142"/>
      <c r="S44" s="1142"/>
      <c r="T44" s="1143"/>
      <c r="U44" s="1143"/>
      <c r="V44" s="1143"/>
    </row>
    <row r="45" spans="1:22" ht="15.75" hidden="1" customHeight="1">
      <c r="A45" s="1145"/>
      <c r="B45" s="569" t="s">
        <v>226</v>
      </c>
      <c r="C45" s="382">
        <f t="shared" ref="C45:D48" si="2">C39</f>
        <v>20</v>
      </c>
      <c r="D45" s="382">
        <f t="shared" si="2"/>
        <v>0.8</v>
      </c>
      <c r="E45" s="382">
        <v>0.03</v>
      </c>
      <c r="F45" s="382"/>
      <c r="G45" s="382"/>
      <c r="H45" s="382"/>
      <c r="I45" s="382"/>
      <c r="J45" s="382"/>
      <c r="K45" s="382"/>
      <c r="L45" s="382">
        <f>L39</f>
        <v>2</v>
      </c>
      <c r="M45" s="382">
        <f>C45*D45*E45*L45</f>
        <v>0.96</v>
      </c>
      <c r="N45" s="1141"/>
      <c r="O45" s="1142"/>
      <c r="P45" s="621"/>
      <c r="Q45" s="1142"/>
      <c r="R45" s="1142"/>
      <c r="S45" s="1142"/>
      <c r="T45" s="1143"/>
      <c r="U45" s="1143"/>
      <c r="V45" s="1143"/>
    </row>
    <row r="46" spans="1:22" ht="15.75" hidden="1" customHeight="1">
      <c r="A46" s="1145"/>
      <c r="B46" s="569"/>
      <c r="C46" s="382">
        <f t="shared" si="2"/>
        <v>16</v>
      </c>
      <c r="D46" s="382">
        <f t="shared" si="2"/>
        <v>0.8</v>
      </c>
      <c r="E46" s="382">
        <f>E45</f>
        <v>0.03</v>
      </c>
      <c r="F46" s="382"/>
      <c r="G46" s="382"/>
      <c r="H46" s="382"/>
      <c r="I46" s="382"/>
      <c r="J46" s="382"/>
      <c r="K46" s="382"/>
      <c r="L46" s="382">
        <f>L40</f>
        <v>1</v>
      </c>
      <c r="M46" s="382">
        <f>C46*D46*E46*L46</f>
        <v>0.38400000000000001</v>
      </c>
      <c r="N46" s="1141"/>
      <c r="O46" s="1142"/>
      <c r="P46" s="621"/>
      <c r="Q46" s="1142"/>
      <c r="R46" s="1142"/>
      <c r="S46" s="1142"/>
      <c r="T46" s="1143"/>
      <c r="U46" s="1143"/>
      <c r="V46" s="1143"/>
    </row>
    <row r="47" spans="1:22" ht="15.75" hidden="1" customHeight="1">
      <c r="A47" s="1145"/>
      <c r="B47" s="569" t="s">
        <v>227</v>
      </c>
      <c r="C47" s="382">
        <f t="shared" si="2"/>
        <v>10</v>
      </c>
      <c r="D47" s="382">
        <f t="shared" si="2"/>
        <v>0.8</v>
      </c>
      <c r="E47" s="382">
        <f>E46</f>
        <v>0.03</v>
      </c>
      <c r="F47" s="382"/>
      <c r="G47" s="382"/>
      <c r="H47" s="382"/>
      <c r="I47" s="382"/>
      <c r="J47" s="382"/>
      <c r="K47" s="382"/>
      <c r="L47" s="382">
        <f>L41</f>
        <v>5</v>
      </c>
      <c r="M47" s="382">
        <f>C47*D47*E47*L47</f>
        <v>1.2</v>
      </c>
      <c r="N47" s="1141"/>
      <c r="O47" s="1142"/>
      <c r="P47" s="621"/>
      <c r="Q47" s="1142"/>
      <c r="R47" s="1142"/>
      <c r="S47" s="1142"/>
      <c r="T47" s="1143"/>
      <c r="U47" s="1143"/>
      <c r="V47" s="1143"/>
    </row>
    <row r="48" spans="1:22" ht="15.75" hidden="1" customHeight="1">
      <c r="A48" s="1145"/>
      <c r="B48" s="357"/>
      <c r="C48" s="382">
        <f t="shared" si="2"/>
        <v>5</v>
      </c>
      <c r="D48" s="382">
        <f t="shared" si="2"/>
        <v>0.8</v>
      </c>
      <c r="E48" s="382">
        <f>E47</f>
        <v>0.03</v>
      </c>
      <c r="F48" s="382"/>
      <c r="G48" s="382"/>
      <c r="H48" s="382"/>
      <c r="I48" s="382"/>
      <c r="J48" s="382"/>
      <c r="K48" s="382"/>
      <c r="L48" s="382">
        <f>L42</f>
        <v>1</v>
      </c>
      <c r="M48" s="382">
        <f>C48*D48*E48*L48</f>
        <v>0.12</v>
      </c>
      <c r="N48" s="1141"/>
      <c r="O48" s="1142"/>
      <c r="P48" s="621"/>
      <c r="Q48" s="1142"/>
      <c r="R48" s="1142"/>
      <c r="S48" s="1142"/>
      <c r="T48" s="1143"/>
      <c r="U48" s="1143"/>
      <c r="V48" s="1143"/>
    </row>
    <row r="49" spans="1:22" ht="15.75" hidden="1" customHeight="1">
      <c r="A49" s="1145"/>
      <c r="B49" s="357"/>
      <c r="C49" s="382"/>
      <c r="D49" s="382"/>
      <c r="E49" s="382"/>
      <c r="F49" s="382"/>
      <c r="G49" s="382"/>
      <c r="H49" s="382"/>
      <c r="I49" s="382"/>
      <c r="J49" s="382"/>
      <c r="K49" s="382"/>
      <c r="L49" s="382"/>
      <c r="M49" s="382">
        <f>SUM(M45:M48)*0</f>
        <v>0</v>
      </c>
      <c r="N49" s="1141" t="s">
        <v>103</v>
      </c>
      <c r="O49" s="1142"/>
      <c r="P49" s="621"/>
      <c r="Q49" s="1142"/>
      <c r="R49" s="1142"/>
      <c r="S49" s="1142"/>
      <c r="T49" s="1143"/>
      <c r="U49" s="1143"/>
      <c r="V49" s="1143"/>
    </row>
    <row r="50" spans="1:22" ht="15.75" customHeight="1">
      <c r="A50" s="1145" t="s">
        <v>121</v>
      </c>
      <c r="B50" s="357" t="s">
        <v>897</v>
      </c>
      <c r="C50" s="382"/>
      <c r="D50" s="382"/>
      <c r="E50" s="382"/>
      <c r="F50" s="382"/>
      <c r="G50" s="382"/>
      <c r="H50" s="382"/>
      <c r="I50" s="382"/>
      <c r="J50" s="382"/>
      <c r="K50" s="382"/>
      <c r="L50" s="382"/>
      <c r="M50" s="382"/>
      <c r="N50" s="1141"/>
      <c r="O50" s="1142"/>
      <c r="P50" s="621"/>
      <c r="Q50" s="1142"/>
      <c r="R50" s="1142"/>
      <c r="S50" s="1142"/>
      <c r="T50" s="1143"/>
      <c r="U50" s="1143"/>
      <c r="V50" s="1143"/>
    </row>
    <row r="51" spans="1:22" ht="15.75" customHeight="1">
      <c r="A51" s="1145"/>
      <c r="B51" s="569" t="s">
        <v>226</v>
      </c>
      <c r="C51" s="382">
        <f>C45</f>
        <v>20</v>
      </c>
      <c r="D51" s="382">
        <f>(0.3+D48)/2</f>
        <v>0.55000000000000004</v>
      </c>
      <c r="E51" s="382">
        <f>E33-E39</f>
        <v>0.8</v>
      </c>
      <c r="F51" s="382"/>
      <c r="G51" s="382"/>
      <c r="H51" s="382"/>
      <c r="I51" s="382"/>
      <c r="J51" s="382"/>
      <c r="K51" s="382"/>
      <c r="L51" s="382">
        <f>L45</f>
        <v>2</v>
      </c>
      <c r="M51" s="382">
        <f>C51*D51*E51*L51</f>
        <v>17.600000000000001</v>
      </c>
      <c r="N51" s="1141"/>
      <c r="O51" s="1142"/>
      <c r="P51" s="621"/>
      <c r="Q51" s="1142"/>
      <c r="R51" s="1142"/>
      <c r="S51" s="1142"/>
      <c r="T51" s="1143"/>
      <c r="U51" s="1143"/>
      <c r="V51" s="1143"/>
    </row>
    <row r="52" spans="1:22" ht="15.75" customHeight="1">
      <c r="A52" s="1145"/>
      <c r="B52" s="357"/>
      <c r="C52" s="382">
        <f>C46</f>
        <v>16</v>
      </c>
      <c r="D52" s="382">
        <f t="shared" ref="D52:E54" si="3">D51</f>
        <v>0.55000000000000004</v>
      </c>
      <c r="E52" s="382">
        <f t="shared" si="3"/>
        <v>0.8</v>
      </c>
      <c r="F52" s="382"/>
      <c r="G52" s="382"/>
      <c r="H52" s="382"/>
      <c r="I52" s="382"/>
      <c r="J52" s="382"/>
      <c r="K52" s="382"/>
      <c r="L52" s="382">
        <f>L46</f>
        <v>1</v>
      </c>
      <c r="M52" s="382">
        <f>C52*D52*E52*L52</f>
        <v>7.0400000000000009</v>
      </c>
      <c r="N52" s="1141"/>
      <c r="O52" s="1142"/>
      <c r="P52" s="621"/>
      <c r="Q52" s="1142"/>
      <c r="R52" s="1142"/>
      <c r="S52" s="1142"/>
      <c r="T52" s="1143"/>
      <c r="U52" s="1143"/>
      <c r="V52" s="1143"/>
    </row>
    <row r="53" spans="1:22" ht="15.75" customHeight="1">
      <c r="A53" s="1145"/>
      <c r="B53" s="569" t="s">
        <v>227</v>
      </c>
      <c r="C53" s="382">
        <f>C47</f>
        <v>10</v>
      </c>
      <c r="D53" s="382">
        <f t="shared" si="3"/>
        <v>0.55000000000000004</v>
      </c>
      <c r="E53" s="382">
        <f t="shared" si="3"/>
        <v>0.8</v>
      </c>
      <c r="F53" s="382"/>
      <c r="G53" s="382"/>
      <c r="H53" s="382"/>
      <c r="I53" s="382"/>
      <c r="J53" s="382"/>
      <c r="K53" s="382"/>
      <c r="L53" s="382">
        <f>L47</f>
        <v>5</v>
      </c>
      <c r="M53" s="382">
        <f>C53*D53*E53*L53</f>
        <v>22</v>
      </c>
      <c r="N53" s="1141"/>
      <c r="O53" s="1142"/>
      <c r="P53" s="621"/>
      <c r="Q53" s="1142"/>
      <c r="R53" s="1142"/>
      <c r="S53" s="1142"/>
      <c r="T53" s="1143"/>
      <c r="U53" s="1143"/>
      <c r="V53" s="1143"/>
    </row>
    <row r="54" spans="1:22" ht="15.75" customHeight="1">
      <c r="A54" s="1145"/>
      <c r="B54" s="357"/>
      <c r="C54" s="382">
        <f>C48</f>
        <v>5</v>
      </c>
      <c r="D54" s="382">
        <f t="shared" si="3"/>
        <v>0.55000000000000004</v>
      </c>
      <c r="E54" s="382">
        <f t="shared" si="3"/>
        <v>0.8</v>
      </c>
      <c r="F54" s="382"/>
      <c r="G54" s="382"/>
      <c r="H54" s="382"/>
      <c r="I54" s="382"/>
      <c r="J54" s="382"/>
      <c r="K54" s="382"/>
      <c r="L54" s="382">
        <f>L48</f>
        <v>1</v>
      </c>
      <c r="M54" s="382">
        <f>C54*D54*E54*L54</f>
        <v>2.2000000000000002</v>
      </c>
      <c r="N54" s="1141"/>
      <c r="O54" s="1142"/>
      <c r="P54" s="621"/>
      <c r="Q54" s="1142"/>
      <c r="R54" s="1142"/>
      <c r="S54" s="1142"/>
      <c r="T54" s="1143"/>
      <c r="U54" s="1143"/>
      <c r="V54" s="1143"/>
    </row>
    <row r="55" spans="1:22" ht="15.75" customHeight="1">
      <c r="A55" s="1145"/>
      <c r="B55" s="357"/>
      <c r="C55" s="382"/>
      <c r="D55" s="382"/>
      <c r="E55" s="382"/>
      <c r="F55" s="382"/>
      <c r="G55" s="382"/>
      <c r="H55" s="382"/>
      <c r="I55" s="382"/>
      <c r="J55" s="382"/>
      <c r="K55" s="382"/>
      <c r="L55" s="382"/>
      <c r="M55" s="382">
        <f>SUM(M51:M54)</f>
        <v>48.84</v>
      </c>
      <c r="N55" s="1141" t="s">
        <v>103</v>
      </c>
      <c r="O55" s="1142"/>
      <c r="P55" s="621"/>
      <c r="Q55" s="1142"/>
      <c r="R55" s="1142"/>
      <c r="S55" s="1142"/>
      <c r="T55" s="1143"/>
      <c r="U55" s="1143"/>
      <c r="V55" s="1143"/>
    </row>
    <row r="56" spans="1:22" ht="15.75" hidden="1" customHeight="1">
      <c r="A56" s="1616" t="s">
        <v>217</v>
      </c>
      <c r="B56" s="1617" t="s">
        <v>1933</v>
      </c>
      <c r="C56" s="382"/>
      <c r="D56" s="382"/>
      <c r="E56" s="382"/>
      <c r="F56" s="382"/>
      <c r="G56" s="382"/>
      <c r="H56" s="382"/>
      <c r="I56" s="382"/>
      <c r="J56" s="382"/>
      <c r="K56" s="382"/>
      <c r="L56" s="382"/>
      <c r="M56" s="382"/>
      <c r="N56" s="1141"/>
      <c r="O56" s="1142"/>
      <c r="P56" s="621" t="s">
        <v>1934</v>
      </c>
      <c r="Q56" s="1142"/>
      <c r="R56" s="1142"/>
      <c r="S56" s="1142"/>
      <c r="T56" s="1143"/>
      <c r="U56" s="1143"/>
      <c r="V56" s="1143"/>
    </row>
    <row r="57" spans="1:22" ht="15.75" hidden="1" customHeight="1">
      <c r="A57" s="1145"/>
      <c r="B57" s="569" t="s">
        <v>1935</v>
      </c>
      <c r="C57" s="382"/>
      <c r="D57" s="382"/>
      <c r="E57" s="382"/>
      <c r="F57" s="382"/>
      <c r="G57" s="382"/>
      <c r="H57" s="382"/>
      <c r="I57" s="382"/>
      <c r="J57" s="382"/>
      <c r="K57" s="382"/>
      <c r="L57" s="382"/>
      <c r="M57" s="382">
        <f>M16</f>
        <v>28.39</v>
      </c>
      <c r="N57" s="1141"/>
      <c r="O57" s="1142"/>
      <c r="P57" s="621"/>
      <c r="Q57" s="1142"/>
      <c r="R57" s="1142"/>
      <c r="S57" s="1142"/>
      <c r="T57" s="1143"/>
      <c r="U57" s="1143"/>
      <c r="V57" s="1143"/>
    </row>
    <row r="58" spans="1:22" ht="15.75" hidden="1" customHeight="1">
      <c r="A58" s="1145"/>
      <c r="B58" s="569" t="s">
        <v>1936</v>
      </c>
      <c r="C58" s="382"/>
      <c r="D58" s="382"/>
      <c r="E58" s="382"/>
      <c r="F58" s="382"/>
      <c r="G58" s="382"/>
      <c r="H58" s="382"/>
      <c r="I58" s="382"/>
      <c r="J58" s="382"/>
      <c r="K58" s="382"/>
      <c r="L58" s="382"/>
      <c r="M58" s="382">
        <f>M37</f>
        <v>77.256000000000014</v>
      </c>
      <c r="N58" s="1141"/>
      <c r="O58" s="1142"/>
      <c r="P58" s="621"/>
      <c r="Q58" s="1142"/>
      <c r="R58" s="1142"/>
      <c r="S58" s="1142"/>
      <c r="T58" s="1143"/>
      <c r="U58" s="1143"/>
      <c r="V58" s="1143"/>
    </row>
    <row r="59" spans="1:22" ht="15.75" hidden="1" customHeight="1">
      <c r="A59" s="1145"/>
      <c r="B59" s="357"/>
      <c r="C59" s="382"/>
      <c r="D59" s="382"/>
      <c r="E59" s="382"/>
      <c r="F59" s="382"/>
      <c r="G59" s="382"/>
      <c r="H59" s="382"/>
      <c r="I59" s="382"/>
      <c r="J59" s="382"/>
      <c r="K59" s="382"/>
      <c r="L59" s="382"/>
      <c r="M59" s="382">
        <f>SUM(M57:M58)*0</f>
        <v>0</v>
      </c>
      <c r="N59" s="1141" t="s">
        <v>103</v>
      </c>
      <c r="O59" s="1142"/>
      <c r="P59" s="621"/>
      <c r="Q59" s="1142"/>
      <c r="R59" s="1142"/>
      <c r="S59" s="1142"/>
      <c r="T59" s="1143"/>
      <c r="U59" s="1143"/>
      <c r="V59" s="1143"/>
    </row>
    <row r="60" spans="1:22" ht="15.75" hidden="1" customHeight="1">
      <c r="A60" s="1616" t="s">
        <v>366</v>
      </c>
      <c r="B60" s="1617" t="s">
        <v>1937</v>
      </c>
      <c r="C60" s="382"/>
      <c r="D60" s="382"/>
      <c r="E60" s="382"/>
      <c r="F60" s="382"/>
      <c r="G60" s="382"/>
      <c r="H60" s="382"/>
      <c r="I60" s="382"/>
      <c r="J60" s="382"/>
      <c r="K60" s="382"/>
      <c r="L60" s="382"/>
      <c r="M60" s="382"/>
      <c r="N60" s="1141"/>
      <c r="O60" s="1142"/>
      <c r="P60" s="621" t="s">
        <v>1934</v>
      </c>
      <c r="Q60" s="1142"/>
      <c r="R60" s="1142"/>
      <c r="S60" s="1142"/>
      <c r="T60" s="1143"/>
      <c r="U60" s="1143"/>
      <c r="V60" s="1143"/>
    </row>
    <row r="61" spans="1:22" ht="15.75" hidden="1" customHeight="1">
      <c r="A61" s="1145"/>
      <c r="B61" s="569" t="s">
        <v>1938</v>
      </c>
      <c r="C61" s="382"/>
      <c r="D61" s="382"/>
      <c r="E61" s="382"/>
      <c r="F61" s="382"/>
      <c r="G61" s="382"/>
      <c r="H61" s="382"/>
      <c r="I61" s="382"/>
      <c r="J61" s="382"/>
      <c r="K61" s="382"/>
      <c r="L61" s="382"/>
      <c r="M61" s="382">
        <f>-M59</f>
        <v>0</v>
      </c>
      <c r="N61" s="1141"/>
      <c r="O61" s="1142"/>
      <c r="P61" s="621"/>
      <c r="Q61" s="1142"/>
      <c r="R61" s="1142"/>
      <c r="S61" s="1142"/>
      <c r="T61" s="1143"/>
      <c r="U61" s="1143"/>
      <c r="V61" s="1143"/>
    </row>
    <row r="62" spans="1:22" ht="15.75" hidden="1" customHeight="1">
      <c r="A62" s="1145"/>
      <c r="B62" s="569" t="s">
        <v>1939</v>
      </c>
      <c r="C62" s="382"/>
      <c r="D62" s="382"/>
      <c r="E62" s="382"/>
      <c r="F62" s="382"/>
      <c r="G62" s="382"/>
      <c r="H62" s="382"/>
      <c r="I62" s="382"/>
      <c r="J62" s="382"/>
      <c r="K62" s="382"/>
      <c r="L62" s="382"/>
      <c r="M62" s="382">
        <f>-M43</f>
        <v>-6.2160000000000055</v>
      </c>
      <c r="N62" s="1141"/>
      <c r="O62" s="1142"/>
      <c r="P62" s="621"/>
      <c r="Q62" s="1142"/>
      <c r="R62" s="1142"/>
      <c r="S62" s="1142"/>
      <c r="T62" s="1143"/>
      <c r="U62" s="1143"/>
      <c r="V62" s="1143"/>
    </row>
    <row r="63" spans="1:22" ht="15.75" hidden="1" customHeight="1">
      <c r="A63" s="1145"/>
      <c r="B63" s="569" t="s">
        <v>1940</v>
      </c>
      <c r="C63" s="382"/>
      <c r="D63" s="382"/>
      <c r="E63" s="382"/>
      <c r="F63" s="382"/>
      <c r="G63" s="382"/>
      <c r="H63" s="382"/>
      <c r="I63" s="382"/>
      <c r="J63" s="382"/>
      <c r="K63" s="382"/>
      <c r="L63" s="382"/>
      <c r="M63" s="382">
        <f>-M49</f>
        <v>0</v>
      </c>
      <c r="N63" s="1141"/>
      <c r="O63" s="1142"/>
      <c r="P63" s="621"/>
      <c r="Q63" s="1142"/>
      <c r="R63" s="1142"/>
      <c r="S63" s="1142"/>
      <c r="T63" s="1143"/>
      <c r="U63" s="1143"/>
      <c r="V63" s="1143"/>
    </row>
    <row r="64" spans="1:22" ht="15.75" hidden="1" customHeight="1">
      <c r="A64" s="1145"/>
      <c r="B64" s="569" t="s">
        <v>1941</v>
      </c>
      <c r="C64" s="382">
        <v>20</v>
      </c>
      <c r="D64" s="382">
        <v>5.5</v>
      </c>
      <c r="E64" s="382">
        <v>0.45</v>
      </c>
      <c r="F64" s="382"/>
      <c r="G64" s="382"/>
      <c r="H64" s="382"/>
      <c r="I64" s="382"/>
      <c r="J64" s="382"/>
      <c r="K64" s="382"/>
      <c r="L64" s="382"/>
      <c r="M64" s="382">
        <f>C64*D64*E64</f>
        <v>49.5</v>
      </c>
      <c r="N64" s="1141"/>
      <c r="O64" s="1142"/>
      <c r="P64" s="621"/>
      <c r="Q64" s="1142"/>
      <c r="R64" s="1142"/>
      <c r="S64" s="1142"/>
      <c r="T64" s="1143"/>
      <c r="U64" s="1143"/>
      <c r="V64" s="1143"/>
    </row>
    <row r="65" spans="1:22" ht="15.75" hidden="1" customHeight="1">
      <c r="A65" s="1145"/>
      <c r="B65" s="569"/>
      <c r="C65" s="382">
        <v>16</v>
      </c>
      <c r="D65" s="382">
        <v>5.5</v>
      </c>
      <c r="E65" s="382">
        <f>E64</f>
        <v>0.45</v>
      </c>
      <c r="F65" s="382"/>
      <c r="G65" s="382"/>
      <c r="H65" s="382"/>
      <c r="I65" s="382"/>
      <c r="J65" s="382"/>
      <c r="K65" s="382"/>
      <c r="L65" s="382"/>
      <c r="M65" s="382">
        <f>C65*D65*E65</f>
        <v>39.6</v>
      </c>
      <c r="N65" s="1141"/>
      <c r="O65" s="1142"/>
      <c r="P65" s="621"/>
      <c r="Q65" s="1142"/>
      <c r="R65" s="1142"/>
      <c r="S65" s="1142"/>
      <c r="T65" s="1143"/>
      <c r="U65" s="1143"/>
      <c r="V65" s="1143"/>
    </row>
    <row r="66" spans="1:22" ht="15.75" hidden="1" customHeight="1">
      <c r="A66" s="1145"/>
      <c r="B66" s="569"/>
      <c r="C66" s="382">
        <v>5.0999999999999996</v>
      </c>
      <c r="D66" s="382">
        <v>1.8</v>
      </c>
      <c r="E66" s="382">
        <f>E65</f>
        <v>0.45</v>
      </c>
      <c r="F66" s="382"/>
      <c r="G66" s="382"/>
      <c r="H66" s="382"/>
      <c r="I66" s="382"/>
      <c r="J66" s="382"/>
      <c r="K66" s="382"/>
      <c r="L66" s="382"/>
      <c r="M66" s="382">
        <f>C66*D66*E66</f>
        <v>4.1310000000000002</v>
      </c>
      <c r="N66" s="1141"/>
      <c r="O66" s="1142"/>
      <c r="P66" s="621"/>
      <c r="Q66" s="1142"/>
      <c r="R66" s="1142"/>
      <c r="S66" s="1142"/>
      <c r="T66" s="1143"/>
      <c r="U66" s="1143"/>
      <c r="V66" s="1143"/>
    </row>
    <row r="67" spans="1:22" ht="15.75" hidden="1" customHeight="1">
      <c r="A67" s="1145"/>
      <c r="B67" s="569"/>
      <c r="C67" s="382">
        <v>4.0999999999999996</v>
      </c>
      <c r="D67" s="382">
        <v>3.75</v>
      </c>
      <c r="E67" s="382">
        <f>E66</f>
        <v>0.45</v>
      </c>
      <c r="F67" s="382">
        <v>0.5</v>
      </c>
      <c r="G67" s="382"/>
      <c r="H67" s="382"/>
      <c r="I67" s="382"/>
      <c r="J67" s="382"/>
      <c r="K67" s="382"/>
      <c r="L67" s="382"/>
      <c r="M67" s="382">
        <f>C67*D67*E67*F67</f>
        <v>3.4593749999999996</v>
      </c>
      <c r="N67" s="1141"/>
      <c r="O67" s="1142"/>
      <c r="P67" s="621"/>
      <c r="Q67" s="1142"/>
      <c r="R67" s="1142"/>
      <c r="S67" s="1142"/>
      <c r="T67" s="1143"/>
      <c r="U67" s="1143"/>
      <c r="V67" s="1143"/>
    </row>
    <row r="68" spans="1:22" ht="15.75" hidden="1" customHeight="1">
      <c r="A68" s="1145"/>
      <c r="B68" s="569"/>
      <c r="C68" s="382"/>
      <c r="D68" s="382"/>
      <c r="E68" s="382"/>
      <c r="F68" s="382"/>
      <c r="G68" s="382"/>
      <c r="H68" s="382"/>
      <c r="I68" s="382"/>
      <c r="J68" s="382"/>
      <c r="K68" s="382"/>
      <c r="L68" s="382"/>
      <c r="M68" s="382">
        <f>SUM(M61:M67)*0</f>
        <v>0</v>
      </c>
      <c r="N68" s="1141" t="s">
        <v>103</v>
      </c>
      <c r="O68" s="1142"/>
      <c r="P68" s="621"/>
      <c r="Q68" s="1142"/>
      <c r="R68" s="1142"/>
      <c r="S68" s="1142"/>
      <c r="T68" s="1143"/>
      <c r="U68" s="1143"/>
      <c r="V68" s="1143"/>
    </row>
    <row r="69" spans="1:22" ht="15.75" hidden="1" customHeight="1">
      <c r="A69" s="1616" t="s">
        <v>476</v>
      </c>
      <c r="B69" s="1617" t="s">
        <v>1942</v>
      </c>
      <c r="C69" s="382"/>
      <c r="D69" s="382"/>
      <c r="E69" s="382"/>
      <c r="F69" s="382"/>
      <c r="G69" s="382"/>
      <c r="H69" s="382"/>
      <c r="I69" s="382"/>
      <c r="J69" s="382"/>
      <c r="K69" s="382"/>
      <c r="L69" s="382"/>
      <c r="M69" s="382"/>
      <c r="N69" s="1141"/>
      <c r="O69" s="1142"/>
      <c r="P69" s="621" t="s">
        <v>1934</v>
      </c>
      <c r="Q69" s="1142"/>
      <c r="R69" s="1142"/>
      <c r="S69" s="1142"/>
      <c r="T69" s="1143"/>
      <c r="U69" s="1143"/>
      <c r="V69" s="1143"/>
    </row>
    <row r="70" spans="1:22" ht="15.75" hidden="1" customHeight="1">
      <c r="A70" s="1145"/>
      <c r="B70" s="569" t="s">
        <v>226</v>
      </c>
      <c r="C70" s="382">
        <f>C64</f>
        <v>20</v>
      </c>
      <c r="D70" s="382"/>
      <c r="E70" s="382">
        <v>0.45</v>
      </c>
      <c r="F70" s="382"/>
      <c r="G70" s="382"/>
      <c r="H70" s="382"/>
      <c r="I70" s="382"/>
      <c r="J70" s="382"/>
      <c r="K70" s="382"/>
      <c r="L70" s="382"/>
      <c r="M70" s="382">
        <f t="shared" ref="M70:M75" si="4">C70*E70</f>
        <v>9</v>
      </c>
      <c r="N70" s="1141"/>
      <c r="O70" s="1142"/>
      <c r="P70" s="621"/>
      <c r="Q70" s="1142"/>
      <c r="R70" s="1142"/>
      <c r="S70" s="1142"/>
      <c r="T70" s="1143"/>
      <c r="U70" s="1143"/>
      <c r="V70" s="1143"/>
    </row>
    <row r="71" spans="1:22" ht="15.75" hidden="1" customHeight="1">
      <c r="A71" s="1145"/>
      <c r="B71" s="357"/>
      <c r="C71" s="382">
        <f>C65</f>
        <v>16</v>
      </c>
      <c r="D71" s="382"/>
      <c r="E71" s="382">
        <f>E70</f>
        <v>0.45</v>
      </c>
      <c r="F71" s="382"/>
      <c r="G71" s="382"/>
      <c r="H71" s="382"/>
      <c r="I71" s="382"/>
      <c r="J71" s="382"/>
      <c r="K71" s="382"/>
      <c r="L71" s="382"/>
      <c r="M71" s="382">
        <f t="shared" si="4"/>
        <v>7.2</v>
      </c>
      <c r="N71" s="1141"/>
      <c r="O71" s="1142"/>
      <c r="P71" s="621"/>
      <c r="Q71" s="1142"/>
      <c r="R71" s="1142"/>
      <c r="S71" s="1142"/>
      <c r="T71" s="1143"/>
      <c r="U71" s="1143"/>
      <c r="V71" s="1143"/>
    </row>
    <row r="72" spans="1:22" ht="15.75" hidden="1" customHeight="1">
      <c r="A72" s="1145"/>
      <c r="B72" s="569" t="s">
        <v>1943</v>
      </c>
      <c r="C72" s="382">
        <v>11</v>
      </c>
      <c r="D72" s="382"/>
      <c r="E72" s="382">
        <f>E71</f>
        <v>0.45</v>
      </c>
      <c r="F72" s="382"/>
      <c r="G72" s="382"/>
      <c r="H72" s="382"/>
      <c r="I72" s="382"/>
      <c r="J72" s="382"/>
      <c r="K72" s="382"/>
      <c r="L72" s="382"/>
      <c r="M72" s="382">
        <f t="shared" si="4"/>
        <v>4.95</v>
      </c>
      <c r="N72" s="1141"/>
      <c r="O72" s="1142"/>
      <c r="P72" s="621"/>
      <c r="Q72" s="1142"/>
      <c r="R72" s="1142"/>
      <c r="S72" s="1142"/>
      <c r="T72" s="1143"/>
      <c r="U72" s="1143"/>
      <c r="V72" s="1143"/>
    </row>
    <row r="73" spans="1:22" ht="15.75" hidden="1" customHeight="1">
      <c r="A73" s="1145"/>
      <c r="B73" s="357"/>
      <c r="C73" s="382">
        <f>D65</f>
        <v>5.5</v>
      </c>
      <c r="D73" s="382"/>
      <c r="E73" s="382">
        <f>E72</f>
        <v>0.45</v>
      </c>
      <c r="F73" s="382"/>
      <c r="G73" s="382"/>
      <c r="H73" s="382"/>
      <c r="I73" s="382"/>
      <c r="J73" s="382"/>
      <c r="K73" s="382"/>
      <c r="L73" s="382"/>
      <c r="M73" s="382">
        <f t="shared" si="4"/>
        <v>2.4750000000000001</v>
      </c>
      <c r="N73" s="1141"/>
      <c r="O73" s="1142"/>
      <c r="P73" s="621"/>
      <c r="Q73" s="1142"/>
      <c r="R73" s="1142"/>
      <c r="S73" s="1142"/>
      <c r="T73" s="1143"/>
      <c r="U73" s="1143"/>
      <c r="V73" s="1143"/>
    </row>
    <row r="74" spans="1:22" ht="15.75" hidden="1" customHeight="1">
      <c r="A74" s="1145"/>
      <c r="B74" s="357"/>
      <c r="C74" s="382">
        <f>D66</f>
        <v>1.8</v>
      </c>
      <c r="D74" s="382"/>
      <c r="E74" s="382">
        <f>E73</f>
        <v>0.45</v>
      </c>
      <c r="F74" s="382"/>
      <c r="G74" s="382"/>
      <c r="H74" s="382"/>
      <c r="I74" s="382"/>
      <c r="J74" s="382"/>
      <c r="K74" s="382"/>
      <c r="L74" s="382"/>
      <c r="M74" s="382">
        <f t="shared" si="4"/>
        <v>0.81</v>
      </c>
      <c r="N74" s="1141"/>
      <c r="O74" s="1142"/>
      <c r="P74" s="621"/>
      <c r="Q74" s="1142"/>
      <c r="R74" s="1142"/>
      <c r="S74" s="1142"/>
      <c r="T74" s="1143"/>
      <c r="U74" s="1143"/>
      <c r="V74" s="1143"/>
    </row>
    <row r="75" spans="1:22" ht="15.75" hidden="1" customHeight="1">
      <c r="A75" s="1145"/>
      <c r="B75" s="357"/>
      <c r="C75" s="382">
        <v>5.6</v>
      </c>
      <c r="D75" s="382"/>
      <c r="E75" s="382">
        <f>E74</f>
        <v>0.45</v>
      </c>
      <c r="F75" s="382"/>
      <c r="G75" s="382"/>
      <c r="H75" s="382"/>
      <c r="I75" s="382"/>
      <c r="J75" s="382"/>
      <c r="K75" s="382"/>
      <c r="L75" s="382"/>
      <c r="M75" s="382">
        <f t="shared" si="4"/>
        <v>2.52</v>
      </c>
      <c r="N75" s="1141"/>
      <c r="O75" s="1142"/>
      <c r="P75" s="621"/>
      <c r="Q75" s="1142"/>
      <c r="R75" s="1142"/>
      <c r="S75" s="1142"/>
      <c r="T75" s="1143"/>
      <c r="U75" s="1143"/>
      <c r="V75" s="1143"/>
    </row>
    <row r="76" spans="1:22" ht="15.75" hidden="1" customHeight="1">
      <c r="A76" s="1145"/>
      <c r="B76" s="357"/>
      <c r="C76" s="382"/>
      <c r="D76" s="382"/>
      <c r="E76" s="382"/>
      <c r="F76" s="382"/>
      <c r="G76" s="382"/>
      <c r="H76" s="382"/>
      <c r="I76" s="382"/>
      <c r="J76" s="382"/>
      <c r="K76" s="382"/>
      <c r="L76" s="382"/>
      <c r="M76" s="382">
        <f>SUM(M70:M75)*0</f>
        <v>0</v>
      </c>
      <c r="N76" s="1141" t="s">
        <v>89</v>
      </c>
      <c r="O76" s="1142"/>
      <c r="P76" s="621"/>
      <c r="Q76" s="1142"/>
      <c r="R76" s="1142"/>
      <c r="S76" s="1142"/>
      <c r="T76" s="1143"/>
      <c r="U76" s="1143"/>
      <c r="V76" s="1143"/>
    </row>
    <row r="77" spans="1:22" ht="15.75" hidden="1" customHeight="1">
      <c r="A77" s="1616" t="s">
        <v>728</v>
      </c>
      <c r="B77" s="1617" t="s">
        <v>857</v>
      </c>
      <c r="C77" s="382"/>
      <c r="D77" s="382"/>
      <c r="E77" s="382"/>
      <c r="F77" s="382"/>
      <c r="G77" s="382"/>
      <c r="H77" s="382"/>
      <c r="I77" s="382"/>
      <c r="J77" s="382"/>
      <c r="K77" s="382"/>
      <c r="L77" s="382"/>
      <c r="M77" s="382">
        <f>M76</f>
        <v>0</v>
      </c>
      <c r="N77" s="1141" t="s">
        <v>89</v>
      </c>
      <c r="O77" s="1142"/>
      <c r="P77" s="621"/>
      <c r="Q77" s="1142"/>
      <c r="R77" s="1142"/>
      <c r="S77" s="1142"/>
      <c r="T77" s="1143"/>
      <c r="U77" s="1143"/>
      <c r="V77" s="1143"/>
    </row>
    <row r="78" spans="1:22" ht="15.75" customHeight="1">
      <c r="A78" s="1140">
        <f>A23+1</f>
        <v>3</v>
      </c>
      <c r="B78" s="357" t="s">
        <v>409</v>
      </c>
      <c r="C78" s="382"/>
      <c r="D78" s="382"/>
      <c r="E78" s="382"/>
      <c r="F78" s="382"/>
      <c r="G78" s="382"/>
      <c r="H78" s="382"/>
      <c r="I78" s="382"/>
      <c r="J78" s="382"/>
      <c r="K78" s="382"/>
      <c r="L78" s="382"/>
      <c r="M78" s="382"/>
      <c r="N78" s="1141"/>
      <c r="O78" s="1142"/>
      <c r="P78" s="621"/>
      <c r="Q78" s="1142"/>
      <c r="R78" s="1142"/>
      <c r="S78" s="1142"/>
      <c r="T78" s="1143"/>
      <c r="U78" s="1143"/>
      <c r="V78" s="1143"/>
    </row>
    <row r="79" spans="1:22" ht="15.75" customHeight="1">
      <c r="A79" s="1145" t="s">
        <v>95</v>
      </c>
      <c r="B79" s="357" t="s">
        <v>423</v>
      </c>
      <c r="C79" s="382"/>
      <c r="D79" s="382"/>
      <c r="E79" s="382"/>
      <c r="F79" s="382"/>
      <c r="G79" s="382"/>
      <c r="H79" s="382"/>
      <c r="I79" s="382"/>
      <c r="J79" s="382"/>
      <c r="K79" s="382"/>
      <c r="L79" s="382"/>
      <c r="M79" s="382"/>
      <c r="N79" s="1141"/>
      <c r="O79" s="1142"/>
      <c r="P79" s="621"/>
      <c r="Q79" s="1142"/>
      <c r="R79" s="1142"/>
      <c r="S79" s="1142"/>
      <c r="T79" s="1143"/>
      <c r="U79" s="1143"/>
      <c r="V79" s="1143"/>
    </row>
    <row r="80" spans="1:22" ht="15.75" customHeight="1">
      <c r="A80" s="1145"/>
      <c r="B80" s="569" t="s">
        <v>226</v>
      </c>
      <c r="C80" s="382">
        <f>C51</f>
        <v>20</v>
      </c>
      <c r="D80" s="382"/>
      <c r="E80" s="382">
        <v>0.3</v>
      </c>
      <c r="F80" s="382"/>
      <c r="G80" s="382"/>
      <c r="H80" s="382"/>
      <c r="I80" s="382"/>
      <c r="J80" s="382">
        <v>2</v>
      </c>
      <c r="K80" s="382"/>
      <c r="L80" s="382">
        <v>2</v>
      </c>
      <c r="M80" s="382">
        <f>C80*E80*J80*L80</f>
        <v>24</v>
      </c>
      <c r="N80" s="1141"/>
      <c r="O80" s="1142"/>
      <c r="P80" s="621"/>
      <c r="Q80" s="1142"/>
      <c r="R80" s="1142"/>
      <c r="S80" s="1142"/>
      <c r="T80" s="1143"/>
      <c r="U80" s="1143"/>
      <c r="V80" s="1143"/>
    </row>
    <row r="81" spans="1:22" ht="15.75" customHeight="1">
      <c r="A81" s="1145"/>
      <c r="B81" s="569"/>
      <c r="C81" s="382">
        <f>C52</f>
        <v>16</v>
      </c>
      <c r="D81" s="382"/>
      <c r="E81" s="382">
        <f>E80</f>
        <v>0.3</v>
      </c>
      <c r="F81" s="382"/>
      <c r="G81" s="382"/>
      <c r="H81" s="382"/>
      <c r="I81" s="382"/>
      <c r="J81" s="382">
        <f>J80</f>
        <v>2</v>
      </c>
      <c r="K81" s="382"/>
      <c r="L81" s="382">
        <v>1</v>
      </c>
      <c r="M81" s="382">
        <f>C81*E81*J81*L81</f>
        <v>9.6</v>
      </c>
      <c r="N81" s="1141"/>
      <c r="O81" s="1142"/>
      <c r="P81" s="621"/>
      <c r="Q81" s="1142"/>
      <c r="R81" s="1142"/>
      <c r="S81" s="1142"/>
      <c r="T81" s="1143"/>
      <c r="U81" s="1143"/>
      <c r="V81" s="1143"/>
    </row>
    <row r="82" spans="1:22" ht="15.75" customHeight="1">
      <c r="A82" s="1145"/>
      <c r="B82" s="569" t="s">
        <v>227</v>
      </c>
      <c r="C82" s="382">
        <f>C53</f>
        <v>10</v>
      </c>
      <c r="D82" s="382"/>
      <c r="E82" s="382">
        <f>E81</f>
        <v>0.3</v>
      </c>
      <c r="F82" s="382"/>
      <c r="G82" s="382"/>
      <c r="H82" s="382"/>
      <c r="I82" s="382"/>
      <c r="J82" s="382">
        <f>J81</f>
        <v>2</v>
      </c>
      <c r="K82" s="382"/>
      <c r="L82" s="382">
        <v>5</v>
      </c>
      <c r="M82" s="382">
        <f>C82*E82*J82*L82</f>
        <v>30</v>
      </c>
      <c r="N82" s="1141"/>
      <c r="O82" s="1142"/>
      <c r="P82" s="621"/>
      <c r="Q82" s="1142"/>
      <c r="R82" s="1142"/>
      <c r="S82" s="1142"/>
      <c r="T82" s="1143"/>
      <c r="U82" s="1143"/>
      <c r="V82" s="1143"/>
    </row>
    <row r="83" spans="1:22" ht="15.75" customHeight="1">
      <c r="A83" s="1145"/>
      <c r="B83" s="357"/>
      <c r="C83" s="382">
        <f>C54</f>
        <v>5</v>
      </c>
      <c r="D83" s="382"/>
      <c r="E83" s="382">
        <f>E82</f>
        <v>0.3</v>
      </c>
      <c r="F83" s="382"/>
      <c r="G83" s="382"/>
      <c r="H83" s="382"/>
      <c r="I83" s="382"/>
      <c r="J83" s="382">
        <f>J82</f>
        <v>2</v>
      </c>
      <c r="K83" s="382"/>
      <c r="L83" s="382">
        <v>1</v>
      </c>
      <c r="M83" s="382">
        <f>C83*E83*J83*L83</f>
        <v>3</v>
      </c>
      <c r="N83" s="1141"/>
      <c r="O83" s="1142"/>
      <c r="P83" s="621"/>
      <c r="Q83" s="1142"/>
      <c r="R83" s="1142"/>
      <c r="S83" s="1142"/>
      <c r="T83" s="1143"/>
      <c r="U83" s="1143"/>
      <c r="V83" s="1143"/>
    </row>
    <row r="84" spans="1:22" ht="15.75" customHeight="1">
      <c r="A84" s="1145"/>
      <c r="B84" s="357"/>
      <c r="C84" s="382"/>
      <c r="D84" s="382"/>
      <c r="E84" s="382"/>
      <c r="F84" s="382"/>
      <c r="G84" s="382"/>
      <c r="H84" s="382"/>
      <c r="I84" s="382"/>
      <c r="J84" s="382"/>
      <c r="K84" s="382"/>
      <c r="L84" s="382"/>
      <c r="M84" s="382">
        <f>SUM(M80:M83)</f>
        <v>66.599999999999994</v>
      </c>
      <c r="N84" s="1141" t="s">
        <v>89</v>
      </c>
      <c r="O84" s="1142"/>
      <c r="P84" s="621"/>
      <c r="Q84" s="1142"/>
      <c r="R84" s="1142"/>
      <c r="S84" s="1142"/>
      <c r="T84" s="1143"/>
      <c r="U84" s="1143"/>
      <c r="V84" s="1143"/>
    </row>
    <row r="85" spans="1:22" ht="15.75" customHeight="1">
      <c r="A85" s="1145" t="s">
        <v>98</v>
      </c>
      <c r="B85" s="357" t="s">
        <v>898</v>
      </c>
      <c r="C85" s="382"/>
      <c r="D85" s="382"/>
      <c r="E85" s="382"/>
      <c r="F85" s="382"/>
      <c r="G85" s="382"/>
      <c r="H85" s="382"/>
      <c r="I85" s="382"/>
      <c r="J85" s="382"/>
      <c r="K85" s="382"/>
      <c r="L85" s="382"/>
      <c r="M85" s="382"/>
      <c r="N85" s="1141"/>
      <c r="O85" s="1142"/>
      <c r="P85" s="621"/>
      <c r="Q85" s="1142"/>
      <c r="R85" s="1142"/>
      <c r="S85" s="1142"/>
      <c r="T85" s="1143"/>
      <c r="U85" s="1143"/>
      <c r="V85" s="1143"/>
    </row>
    <row r="86" spans="1:22" ht="15.75" customHeight="1">
      <c r="A86" s="1145"/>
      <c r="B86" s="569" t="s">
        <v>226</v>
      </c>
      <c r="C86" s="382">
        <f>C80</f>
        <v>20</v>
      </c>
      <c r="D86" s="382"/>
      <c r="E86" s="382"/>
      <c r="F86" s="382">
        <f>13*13*0.006165</f>
        <v>1.041885</v>
      </c>
      <c r="G86" s="382"/>
      <c r="H86" s="382"/>
      <c r="I86" s="382"/>
      <c r="J86" s="382"/>
      <c r="K86" s="382">
        <v>5</v>
      </c>
      <c r="L86" s="382">
        <f>L80</f>
        <v>2</v>
      </c>
      <c r="M86" s="382">
        <f>C86*F86*K86*L86</f>
        <v>208.37699999999998</v>
      </c>
      <c r="N86" s="1141"/>
      <c r="O86" s="1142"/>
      <c r="P86" s="621"/>
      <c r="Q86" s="1142"/>
      <c r="R86" s="1142"/>
      <c r="S86" s="1142"/>
      <c r="T86" s="1143"/>
      <c r="U86" s="1143"/>
      <c r="V86" s="1143"/>
    </row>
    <row r="87" spans="1:22" ht="15.75" customHeight="1">
      <c r="A87" s="1145"/>
      <c r="B87" s="569" t="s">
        <v>1944</v>
      </c>
      <c r="C87" s="382">
        <v>0</v>
      </c>
      <c r="D87" s="382"/>
      <c r="E87" s="382"/>
      <c r="F87" s="382">
        <f>F86</f>
        <v>1.041885</v>
      </c>
      <c r="G87" s="382"/>
      <c r="H87" s="382"/>
      <c r="I87" s="382"/>
      <c r="J87" s="382"/>
      <c r="K87" s="382">
        <f>K86</f>
        <v>5</v>
      </c>
      <c r="L87" s="382">
        <f>L86*0</f>
        <v>0</v>
      </c>
      <c r="M87" s="382">
        <f>C87*F87*K87*L87</f>
        <v>0</v>
      </c>
      <c r="N87" s="1141"/>
      <c r="O87" s="1142"/>
      <c r="P87" s="621"/>
      <c r="Q87" s="1142"/>
      <c r="R87" s="1142"/>
      <c r="S87" s="1142"/>
      <c r="T87" s="1143"/>
      <c r="U87" s="1143"/>
      <c r="V87" s="1143"/>
    </row>
    <row r="88" spans="1:22" ht="15.75" customHeight="1">
      <c r="A88" s="1145"/>
      <c r="B88" s="569"/>
      <c r="C88" s="382">
        <f>C81</f>
        <v>16</v>
      </c>
      <c r="D88" s="382"/>
      <c r="E88" s="382"/>
      <c r="F88" s="382">
        <f>F87</f>
        <v>1.041885</v>
      </c>
      <c r="G88" s="382"/>
      <c r="H88" s="382"/>
      <c r="I88" s="382"/>
      <c r="J88" s="382"/>
      <c r="K88" s="382">
        <f>K87</f>
        <v>5</v>
      </c>
      <c r="L88" s="382">
        <f>L81</f>
        <v>1</v>
      </c>
      <c r="M88" s="382">
        <f>C88*F88*K88*L88</f>
        <v>83.350799999999992</v>
      </c>
      <c r="N88" s="1141"/>
      <c r="O88" s="1142"/>
      <c r="P88" s="621"/>
      <c r="Q88" s="1142"/>
      <c r="R88" s="1142"/>
      <c r="S88" s="1142"/>
      <c r="T88" s="1143"/>
      <c r="U88" s="1143"/>
      <c r="V88" s="1143"/>
    </row>
    <row r="89" spans="1:22" ht="15.75" customHeight="1">
      <c r="A89" s="1145"/>
      <c r="B89" s="569" t="s">
        <v>227</v>
      </c>
      <c r="C89" s="382">
        <f>C82</f>
        <v>10</v>
      </c>
      <c r="D89" s="382"/>
      <c r="E89" s="382"/>
      <c r="F89" s="382">
        <f>F88</f>
        <v>1.041885</v>
      </c>
      <c r="G89" s="382"/>
      <c r="H89" s="382"/>
      <c r="I89" s="382"/>
      <c r="J89" s="382"/>
      <c r="K89" s="382">
        <f>K88</f>
        <v>5</v>
      </c>
      <c r="L89" s="382">
        <f>L82</f>
        <v>5</v>
      </c>
      <c r="M89" s="382">
        <f>C89*F89*K89</f>
        <v>52.094249999999995</v>
      </c>
      <c r="N89" s="1141"/>
      <c r="O89" s="1142"/>
      <c r="P89" s="621"/>
      <c r="Q89" s="1142"/>
      <c r="R89" s="1142"/>
      <c r="S89" s="1142"/>
      <c r="T89" s="1143"/>
      <c r="U89" s="1143"/>
      <c r="V89" s="1143"/>
    </row>
    <row r="90" spans="1:22" ht="15.75" customHeight="1">
      <c r="A90" s="1145"/>
      <c r="B90" s="357"/>
      <c r="C90" s="382">
        <f>C83</f>
        <v>5</v>
      </c>
      <c r="D90" s="382"/>
      <c r="E90" s="382"/>
      <c r="F90" s="382">
        <f>F89</f>
        <v>1.041885</v>
      </c>
      <c r="G90" s="382"/>
      <c r="H90" s="382"/>
      <c r="I90" s="382"/>
      <c r="J90" s="382"/>
      <c r="K90" s="382">
        <f>K89</f>
        <v>5</v>
      </c>
      <c r="L90" s="382">
        <f>L83</f>
        <v>1</v>
      </c>
      <c r="M90" s="382">
        <f>C90*F90*K90</f>
        <v>26.047124999999998</v>
      </c>
      <c r="N90" s="1141"/>
      <c r="O90" s="1142"/>
      <c r="P90" s="621"/>
      <c r="Q90" s="1142"/>
      <c r="R90" s="1142"/>
      <c r="S90" s="1142"/>
      <c r="T90" s="1143"/>
      <c r="U90" s="1143"/>
      <c r="V90" s="1143"/>
    </row>
    <row r="91" spans="1:22" ht="15.75" customHeight="1">
      <c r="A91" s="1145"/>
      <c r="B91" s="357"/>
      <c r="C91" s="382"/>
      <c r="D91" s="382"/>
      <c r="E91" s="382"/>
      <c r="F91" s="382"/>
      <c r="G91" s="382"/>
      <c r="H91" s="382"/>
      <c r="I91" s="382"/>
      <c r="J91" s="382"/>
      <c r="K91" s="382"/>
      <c r="L91" s="382"/>
      <c r="M91" s="382">
        <f>SUM(M86:M90)</f>
        <v>369.86917499999998</v>
      </c>
      <c r="N91" s="1141" t="s">
        <v>100</v>
      </c>
      <c r="O91" s="1142"/>
      <c r="P91" s="621"/>
      <c r="Q91" s="1142"/>
      <c r="R91" s="1142"/>
      <c r="S91" s="1142"/>
      <c r="T91" s="1143"/>
      <c r="U91" s="1143"/>
      <c r="V91" s="1143"/>
    </row>
    <row r="92" spans="1:22" ht="15.75" customHeight="1">
      <c r="A92" s="1145" t="s">
        <v>101</v>
      </c>
      <c r="B92" s="357" t="s">
        <v>899</v>
      </c>
      <c r="C92" s="382"/>
      <c r="D92" s="382"/>
      <c r="E92" s="382"/>
      <c r="F92" s="382"/>
      <c r="G92" s="382"/>
      <c r="H92" s="382"/>
      <c r="I92" s="382"/>
      <c r="J92" s="382"/>
      <c r="K92" s="382"/>
      <c r="L92" s="382"/>
      <c r="M92" s="382"/>
      <c r="N92" s="1141"/>
      <c r="O92" s="1142"/>
      <c r="P92" s="621"/>
      <c r="Q92" s="1142"/>
      <c r="R92" s="1142"/>
      <c r="S92" s="1142"/>
      <c r="T92" s="1143"/>
      <c r="U92" s="1143"/>
      <c r="V92" s="1143"/>
    </row>
    <row r="93" spans="1:22" ht="15.75" customHeight="1">
      <c r="A93" s="1145"/>
      <c r="B93" s="569" t="s">
        <v>226</v>
      </c>
      <c r="C93" s="382">
        <f>(0.1+0.15)*2</f>
        <v>0.5</v>
      </c>
      <c r="D93" s="382"/>
      <c r="E93" s="382"/>
      <c r="F93" s="382">
        <f>8*8*0.006165</f>
        <v>0.39456000000000002</v>
      </c>
      <c r="G93" s="382"/>
      <c r="H93" s="382"/>
      <c r="I93" s="382">
        <v>0.1</v>
      </c>
      <c r="J93" s="382"/>
      <c r="K93" s="382">
        <f>ROUNDUP((C80/0.125),0.5)</f>
        <v>160</v>
      </c>
      <c r="L93" s="382">
        <f>L80</f>
        <v>2</v>
      </c>
      <c r="M93" s="382">
        <f>(C93+I93)*F93*K93*L93</f>
        <v>75.755520000000004</v>
      </c>
      <c r="N93" s="1141"/>
      <c r="O93" s="1142"/>
      <c r="P93" s="621"/>
      <c r="Q93" s="1142"/>
      <c r="R93" s="1142"/>
      <c r="S93" s="1142"/>
      <c r="T93" s="1143"/>
      <c r="U93" s="1143"/>
      <c r="V93" s="1143"/>
    </row>
    <row r="94" spans="1:22" ht="15.75" customHeight="1">
      <c r="A94" s="1145"/>
      <c r="B94" s="569"/>
      <c r="C94" s="382">
        <f>C93</f>
        <v>0.5</v>
      </c>
      <c r="D94" s="382"/>
      <c r="E94" s="382"/>
      <c r="F94" s="382">
        <f>F93</f>
        <v>0.39456000000000002</v>
      </c>
      <c r="G94" s="382"/>
      <c r="H94" s="382"/>
      <c r="I94" s="382">
        <f>I93</f>
        <v>0.1</v>
      </c>
      <c r="J94" s="382"/>
      <c r="K94" s="382">
        <f>ROUNDUP((C81/0.125),0.5)</f>
        <v>128</v>
      </c>
      <c r="L94" s="382">
        <f>L81</f>
        <v>1</v>
      </c>
      <c r="M94" s="382">
        <f>(C94+I94)*F94*K94*L94</f>
        <v>30.302208</v>
      </c>
      <c r="N94" s="1141"/>
      <c r="O94" s="1142"/>
      <c r="P94" s="621"/>
      <c r="Q94" s="1142"/>
      <c r="R94" s="1142"/>
      <c r="S94" s="1142"/>
      <c r="T94" s="1143"/>
      <c r="U94" s="1143"/>
      <c r="V94" s="1143"/>
    </row>
    <row r="95" spans="1:22" ht="15.75" customHeight="1">
      <c r="A95" s="1145"/>
      <c r="B95" s="569" t="s">
        <v>227</v>
      </c>
      <c r="C95" s="382">
        <f>C94</f>
        <v>0.5</v>
      </c>
      <c r="D95" s="382"/>
      <c r="E95" s="382"/>
      <c r="F95" s="382">
        <f>F94</f>
        <v>0.39456000000000002</v>
      </c>
      <c r="G95" s="382"/>
      <c r="H95" s="382"/>
      <c r="I95" s="382">
        <f>I94</f>
        <v>0.1</v>
      </c>
      <c r="J95" s="382"/>
      <c r="K95" s="382">
        <f>ROUNDUP((C82/0.125),0.5)</f>
        <v>80</v>
      </c>
      <c r="L95" s="382">
        <f>L82</f>
        <v>5</v>
      </c>
      <c r="M95" s="382">
        <f>(C95+I95)*F95*K95*L95</f>
        <v>94.694400000000002</v>
      </c>
      <c r="N95" s="1141"/>
      <c r="O95" s="1142"/>
      <c r="P95" s="621"/>
      <c r="Q95" s="1142"/>
      <c r="R95" s="1142"/>
      <c r="S95" s="1142"/>
      <c r="T95" s="1143"/>
      <c r="U95" s="1143"/>
      <c r="V95" s="1143"/>
    </row>
    <row r="96" spans="1:22" ht="15.75" customHeight="1">
      <c r="A96" s="1145"/>
      <c r="B96" s="569"/>
      <c r="C96" s="382">
        <f>C95</f>
        <v>0.5</v>
      </c>
      <c r="D96" s="382"/>
      <c r="E96" s="382"/>
      <c r="F96" s="382">
        <f>F95</f>
        <v>0.39456000000000002</v>
      </c>
      <c r="G96" s="382"/>
      <c r="H96" s="382"/>
      <c r="I96" s="382">
        <f>I95</f>
        <v>0.1</v>
      </c>
      <c r="J96" s="382"/>
      <c r="K96" s="382">
        <f>ROUNDUP((C83/0.125),0.5)</f>
        <v>40</v>
      </c>
      <c r="L96" s="382">
        <f>L83</f>
        <v>1</v>
      </c>
      <c r="M96" s="382">
        <f>(C96+I96)*F96*K96*L96</f>
        <v>9.4694400000000005</v>
      </c>
      <c r="N96" s="1141"/>
      <c r="O96" s="1142"/>
      <c r="P96" s="621"/>
      <c r="Q96" s="1142"/>
      <c r="R96" s="1142"/>
      <c r="S96" s="1142"/>
      <c r="T96" s="1143"/>
      <c r="U96" s="1143"/>
      <c r="V96" s="1143"/>
    </row>
    <row r="97" spans="1:22" ht="15.75" customHeight="1">
      <c r="A97" s="1145"/>
      <c r="B97" s="357"/>
      <c r="C97" s="382"/>
      <c r="D97" s="382"/>
      <c r="E97" s="382"/>
      <c r="F97" s="382"/>
      <c r="G97" s="382"/>
      <c r="H97" s="382"/>
      <c r="I97" s="382"/>
      <c r="J97" s="382"/>
      <c r="K97" s="382"/>
      <c r="L97" s="382"/>
      <c r="M97" s="382">
        <f>SUM(M93:M96)</f>
        <v>210.22156799999999</v>
      </c>
      <c r="N97" s="1141" t="s">
        <v>100</v>
      </c>
      <c r="O97" s="1142"/>
      <c r="P97" s="621"/>
      <c r="Q97" s="1142"/>
      <c r="R97" s="1142"/>
      <c r="S97" s="1142"/>
      <c r="T97" s="1143"/>
      <c r="U97" s="1143"/>
      <c r="V97" s="1143"/>
    </row>
    <row r="98" spans="1:22" ht="15.75" customHeight="1">
      <c r="A98" s="1145" t="s">
        <v>121</v>
      </c>
      <c r="B98" s="357" t="s">
        <v>945</v>
      </c>
      <c r="C98" s="382"/>
      <c r="D98" s="382"/>
      <c r="E98" s="382"/>
      <c r="F98" s="382"/>
      <c r="G98" s="382"/>
      <c r="H98" s="382"/>
      <c r="I98" s="382"/>
      <c r="J98" s="382"/>
      <c r="K98" s="382"/>
      <c r="L98" s="382"/>
      <c r="M98" s="382"/>
      <c r="N98" s="1141"/>
      <c r="O98" s="1142"/>
      <c r="P98" s="621"/>
      <c r="Q98" s="1142"/>
      <c r="R98" s="1142"/>
      <c r="S98" s="1142"/>
      <c r="T98" s="1143"/>
      <c r="U98" s="1143"/>
      <c r="V98" s="1143"/>
    </row>
    <row r="99" spans="1:22" ht="15.75" customHeight="1">
      <c r="A99" s="1145"/>
      <c r="B99" s="569" t="s">
        <v>1111</v>
      </c>
      <c r="C99" s="382">
        <f>C86+C87+C88</f>
        <v>36</v>
      </c>
      <c r="D99" s="382"/>
      <c r="E99" s="382"/>
      <c r="F99" s="382"/>
      <c r="G99" s="382"/>
      <c r="H99" s="382"/>
      <c r="I99" s="382"/>
      <c r="J99" s="382"/>
      <c r="K99" s="382"/>
      <c r="L99" s="382">
        <f>L86+L87+L88</f>
        <v>3</v>
      </c>
      <c r="M99" s="382">
        <f>C99*L99</f>
        <v>108</v>
      </c>
      <c r="N99" s="1141"/>
      <c r="O99" s="1142"/>
      <c r="P99" s="621"/>
      <c r="Q99" s="1142"/>
      <c r="R99" s="1142"/>
      <c r="S99" s="1142"/>
      <c r="T99" s="1143"/>
      <c r="U99" s="1143"/>
      <c r="V99" s="1143"/>
    </row>
    <row r="100" spans="1:22" ht="15.75" customHeight="1">
      <c r="A100" s="1145"/>
      <c r="B100" s="357"/>
      <c r="C100" s="382">
        <f>C89+C90</f>
        <v>15</v>
      </c>
      <c r="D100" s="382"/>
      <c r="E100" s="382"/>
      <c r="F100" s="382"/>
      <c r="G100" s="382"/>
      <c r="H100" s="382"/>
      <c r="I100" s="382"/>
      <c r="J100" s="382"/>
      <c r="K100" s="382"/>
      <c r="L100" s="382">
        <f>L89+L90</f>
        <v>6</v>
      </c>
      <c r="M100" s="382">
        <f>C100*L100</f>
        <v>90</v>
      </c>
      <c r="N100" s="1141"/>
      <c r="O100" s="1142"/>
      <c r="P100" s="621"/>
      <c r="Q100" s="1142"/>
      <c r="R100" s="1142"/>
      <c r="S100" s="1142"/>
      <c r="T100" s="1143"/>
      <c r="U100" s="1143"/>
      <c r="V100" s="1143"/>
    </row>
    <row r="101" spans="1:22" ht="15.75" customHeight="1">
      <c r="A101" s="1145"/>
      <c r="B101" s="357"/>
      <c r="C101" s="382"/>
      <c r="D101" s="382"/>
      <c r="E101" s="382"/>
      <c r="F101" s="382"/>
      <c r="G101" s="382"/>
      <c r="H101" s="382"/>
      <c r="I101" s="382"/>
      <c r="J101" s="382"/>
      <c r="K101" s="382"/>
      <c r="L101" s="382"/>
      <c r="M101" s="382">
        <f>SUM(M99:M100)</f>
        <v>198</v>
      </c>
      <c r="N101" s="1141" t="s">
        <v>117</v>
      </c>
      <c r="O101" s="1142"/>
      <c r="P101" s="621"/>
      <c r="Q101" s="1142"/>
      <c r="R101" s="1142"/>
      <c r="S101" s="1142"/>
      <c r="T101" s="1143"/>
      <c r="U101" s="1143"/>
      <c r="V101" s="1143"/>
    </row>
    <row r="102" spans="1:22" ht="15.75" customHeight="1">
      <c r="A102" s="1145"/>
      <c r="B102" s="357"/>
      <c r="C102" s="382">
        <f>M101</f>
        <v>198</v>
      </c>
      <c r="D102" s="382">
        <v>0.5</v>
      </c>
      <c r="E102" s="382"/>
      <c r="F102" s="382"/>
      <c r="G102" s="382"/>
      <c r="H102" s="382"/>
      <c r="I102" s="382"/>
      <c r="J102" s="382"/>
      <c r="K102" s="382"/>
      <c r="L102" s="382"/>
      <c r="M102" s="382">
        <f>ROUNDDOWN((C102/D102),0.5)</f>
        <v>396</v>
      </c>
      <c r="N102" s="1141" t="s">
        <v>124</v>
      </c>
      <c r="O102" s="1142"/>
      <c r="P102" s="621"/>
      <c r="Q102" s="1142"/>
      <c r="R102" s="1142"/>
      <c r="S102" s="1142"/>
      <c r="T102" s="1143"/>
      <c r="U102" s="1143"/>
      <c r="V102" s="1143"/>
    </row>
    <row r="103" spans="1:22" ht="15.75" customHeight="1">
      <c r="A103" s="1145" t="s">
        <v>142</v>
      </c>
      <c r="B103" s="357" t="s">
        <v>420</v>
      </c>
      <c r="C103" s="382"/>
      <c r="D103" s="382"/>
      <c r="E103" s="382"/>
      <c r="F103" s="382"/>
      <c r="G103" s="382"/>
      <c r="H103" s="382"/>
      <c r="I103" s="382"/>
      <c r="J103" s="382"/>
      <c r="K103" s="382"/>
      <c r="L103" s="382"/>
      <c r="M103" s="382"/>
      <c r="N103" s="1141"/>
      <c r="O103" s="1142"/>
      <c r="P103" s="621"/>
      <c r="Q103" s="1142"/>
      <c r="R103" s="1142"/>
      <c r="S103" s="1142"/>
      <c r="T103" s="1143"/>
      <c r="U103" s="1143"/>
      <c r="V103" s="1143"/>
    </row>
    <row r="104" spans="1:22" ht="15.75" customHeight="1">
      <c r="A104" s="1145"/>
      <c r="B104" s="569" t="s">
        <v>226</v>
      </c>
      <c r="C104" s="382">
        <f>C80</f>
        <v>20</v>
      </c>
      <c r="D104" s="382">
        <v>0.25</v>
      </c>
      <c r="E104" s="382">
        <v>0.3</v>
      </c>
      <c r="F104" s="382"/>
      <c r="G104" s="382"/>
      <c r="H104" s="382"/>
      <c r="I104" s="382"/>
      <c r="J104" s="382"/>
      <c r="K104" s="382"/>
      <c r="L104" s="382">
        <f>L93</f>
        <v>2</v>
      </c>
      <c r="M104" s="382">
        <f>C104*D104*E104*L104</f>
        <v>3</v>
      </c>
      <c r="N104" s="1141"/>
      <c r="O104" s="1142"/>
      <c r="P104" s="621"/>
      <c r="Q104" s="1142"/>
      <c r="R104" s="1142"/>
      <c r="S104" s="1142"/>
      <c r="T104" s="1143"/>
      <c r="U104" s="1143"/>
      <c r="V104" s="1143"/>
    </row>
    <row r="105" spans="1:22" ht="15.75" customHeight="1">
      <c r="A105" s="1145"/>
      <c r="B105" s="569"/>
      <c r="C105" s="382">
        <f>C81</f>
        <v>16</v>
      </c>
      <c r="D105" s="382">
        <f t="shared" ref="D105:E107" si="5">D104</f>
        <v>0.25</v>
      </c>
      <c r="E105" s="382">
        <f t="shared" si="5"/>
        <v>0.3</v>
      </c>
      <c r="F105" s="382"/>
      <c r="G105" s="382"/>
      <c r="H105" s="382"/>
      <c r="I105" s="382"/>
      <c r="J105" s="382"/>
      <c r="K105" s="382"/>
      <c r="L105" s="382">
        <f>L94</f>
        <v>1</v>
      </c>
      <c r="M105" s="382">
        <f>C105*D105*E105*L105</f>
        <v>1.2</v>
      </c>
      <c r="N105" s="1141"/>
      <c r="O105" s="1142"/>
      <c r="P105" s="621"/>
      <c r="Q105" s="1142"/>
      <c r="R105" s="1142"/>
      <c r="S105" s="1142"/>
      <c r="T105" s="1143"/>
      <c r="U105" s="1143"/>
      <c r="V105" s="1143"/>
    </row>
    <row r="106" spans="1:22" ht="15.75" customHeight="1">
      <c r="A106" s="1145"/>
      <c r="B106" s="569" t="s">
        <v>227</v>
      </c>
      <c r="C106" s="382">
        <f>C82</f>
        <v>10</v>
      </c>
      <c r="D106" s="382">
        <f t="shared" si="5"/>
        <v>0.25</v>
      </c>
      <c r="E106" s="382">
        <f t="shared" si="5"/>
        <v>0.3</v>
      </c>
      <c r="F106" s="382"/>
      <c r="G106" s="382"/>
      <c r="H106" s="382"/>
      <c r="I106" s="382"/>
      <c r="J106" s="382"/>
      <c r="K106" s="382"/>
      <c r="L106" s="382">
        <f>L95</f>
        <v>5</v>
      </c>
      <c r="M106" s="382">
        <f>C106*D106*E106*L106</f>
        <v>3.75</v>
      </c>
      <c r="N106" s="1141"/>
      <c r="O106" s="1142"/>
      <c r="P106" s="621"/>
      <c r="Q106" s="1142"/>
      <c r="R106" s="1142"/>
      <c r="S106" s="1142"/>
      <c r="T106" s="1143"/>
      <c r="U106" s="1143"/>
      <c r="V106" s="1143"/>
    </row>
    <row r="107" spans="1:22" ht="15.75" customHeight="1">
      <c r="A107" s="1145"/>
      <c r="B107" s="357"/>
      <c r="C107" s="382">
        <f>C83</f>
        <v>5</v>
      </c>
      <c r="D107" s="382">
        <f t="shared" si="5"/>
        <v>0.25</v>
      </c>
      <c r="E107" s="382">
        <f t="shared" si="5"/>
        <v>0.3</v>
      </c>
      <c r="F107" s="382"/>
      <c r="G107" s="382"/>
      <c r="H107" s="382"/>
      <c r="I107" s="382"/>
      <c r="J107" s="382"/>
      <c r="K107" s="382"/>
      <c r="L107" s="382">
        <f>L96</f>
        <v>1</v>
      </c>
      <c r="M107" s="382">
        <f>C107*D107*E107*L107</f>
        <v>0.375</v>
      </c>
      <c r="N107" s="1141"/>
      <c r="O107" s="1142"/>
      <c r="P107" s="621"/>
      <c r="Q107" s="1142"/>
      <c r="R107" s="1142"/>
      <c r="S107" s="1142"/>
      <c r="T107" s="1143"/>
      <c r="U107" s="1143"/>
      <c r="V107" s="1143"/>
    </row>
    <row r="108" spans="1:22" ht="15.75" customHeight="1">
      <c r="A108" s="1145"/>
      <c r="B108" s="357"/>
      <c r="C108" s="382"/>
      <c r="D108" s="382"/>
      <c r="E108" s="382"/>
      <c r="F108" s="382"/>
      <c r="G108" s="382"/>
      <c r="H108" s="382"/>
      <c r="I108" s="382"/>
      <c r="J108" s="382"/>
      <c r="K108" s="382"/>
      <c r="L108" s="382"/>
      <c r="M108" s="382">
        <f>SUM(M104:M107)</f>
        <v>8.3249999999999993</v>
      </c>
      <c r="N108" s="1141" t="s">
        <v>103</v>
      </c>
      <c r="O108" s="1142"/>
      <c r="P108" s="621"/>
      <c r="Q108" s="1142"/>
      <c r="R108" s="1142"/>
      <c r="S108" s="1142"/>
      <c r="T108" s="1143"/>
      <c r="U108" s="1143"/>
      <c r="V108" s="1143"/>
    </row>
    <row r="109" spans="1:22" ht="15.75" customHeight="1">
      <c r="A109" s="1140">
        <f>A78+1</f>
        <v>4</v>
      </c>
      <c r="B109" s="357" t="s">
        <v>483</v>
      </c>
      <c r="C109" s="382"/>
      <c r="D109" s="382"/>
      <c r="E109" s="382"/>
      <c r="F109" s="382"/>
      <c r="G109" s="382"/>
      <c r="H109" s="382"/>
      <c r="I109" s="382"/>
      <c r="J109" s="382"/>
      <c r="K109" s="382"/>
      <c r="L109" s="382"/>
      <c r="M109" s="382"/>
      <c r="N109" s="1141"/>
      <c r="O109" s="1142"/>
      <c r="P109" s="621"/>
      <c r="Q109" s="1142"/>
      <c r="R109" s="1142"/>
      <c r="S109" s="1142"/>
      <c r="T109" s="1143"/>
      <c r="U109" s="1143"/>
      <c r="V109" s="1143"/>
    </row>
    <row r="110" spans="1:22" ht="15.75" customHeight="1">
      <c r="A110" s="1145" t="s">
        <v>95</v>
      </c>
      <c r="B110" s="351" t="s">
        <v>624</v>
      </c>
      <c r="C110" s="382">
        <v>20</v>
      </c>
      <c r="D110" s="382">
        <v>5</v>
      </c>
      <c r="E110" s="382">
        <v>0.15</v>
      </c>
      <c r="F110" s="382"/>
      <c r="G110" s="382"/>
      <c r="H110" s="382"/>
      <c r="I110" s="382"/>
      <c r="J110" s="382"/>
      <c r="K110" s="382"/>
      <c r="L110" s="382"/>
      <c r="M110" s="382">
        <f>C110*D110*E110</f>
        <v>15</v>
      </c>
      <c r="N110" s="1141"/>
      <c r="O110" s="1142"/>
      <c r="P110" s="621"/>
      <c r="Q110" s="1142"/>
      <c r="R110" s="1142"/>
      <c r="S110" s="1142"/>
      <c r="T110" s="1143"/>
      <c r="U110" s="1143"/>
      <c r="V110" s="1143"/>
    </row>
    <row r="111" spans="1:22" ht="15.75" customHeight="1">
      <c r="A111" s="1145"/>
      <c r="B111" s="351"/>
      <c r="C111" s="382">
        <v>16</v>
      </c>
      <c r="D111" s="382">
        <v>5</v>
      </c>
      <c r="E111" s="382">
        <f>E110</f>
        <v>0.15</v>
      </c>
      <c r="F111" s="382"/>
      <c r="G111" s="382"/>
      <c r="H111" s="382"/>
      <c r="I111" s="382"/>
      <c r="J111" s="382"/>
      <c r="K111" s="382"/>
      <c r="L111" s="382"/>
      <c r="M111" s="382">
        <f>C111*D111*E111</f>
        <v>12</v>
      </c>
      <c r="N111" s="1141"/>
      <c r="O111" s="1142"/>
      <c r="P111" s="621"/>
      <c r="Q111" s="1142"/>
      <c r="R111" s="1142"/>
      <c r="S111" s="1142"/>
      <c r="T111" s="1143"/>
      <c r="U111" s="1143"/>
      <c r="V111" s="1143"/>
    </row>
    <row r="112" spans="1:22" ht="15.75" customHeight="1">
      <c r="A112" s="1145"/>
      <c r="B112" s="351"/>
      <c r="C112" s="382"/>
      <c r="D112" s="382"/>
      <c r="E112" s="382"/>
      <c r="F112" s="382"/>
      <c r="G112" s="382"/>
      <c r="H112" s="382"/>
      <c r="I112" s="382"/>
      <c r="J112" s="382"/>
      <c r="K112" s="382"/>
      <c r="L112" s="382"/>
      <c r="M112" s="382">
        <f>SUM(M110:M111)</f>
        <v>27</v>
      </c>
      <c r="N112" s="1141" t="s">
        <v>103</v>
      </c>
      <c r="O112" s="1142"/>
      <c r="P112" s="621"/>
      <c r="Q112" s="1142"/>
      <c r="R112" s="1142"/>
      <c r="S112" s="1142"/>
      <c r="T112" s="1143"/>
      <c r="U112" s="1143"/>
      <c r="V112" s="1143"/>
    </row>
    <row r="113" spans="1:22" ht="15.75" customHeight="1">
      <c r="A113" s="1145" t="s">
        <v>98</v>
      </c>
      <c r="B113" s="351" t="s">
        <v>625</v>
      </c>
      <c r="C113" s="382"/>
      <c r="D113" s="382"/>
      <c r="E113" s="382"/>
      <c r="F113" s="382"/>
      <c r="G113" s="382"/>
      <c r="H113" s="382"/>
      <c r="I113" s="382"/>
      <c r="J113" s="382"/>
      <c r="K113" s="382"/>
      <c r="L113" s="382"/>
      <c r="M113" s="382">
        <f>M112</f>
        <v>27</v>
      </c>
      <c r="N113" s="1141" t="s">
        <v>103</v>
      </c>
      <c r="O113" s="1142"/>
      <c r="P113" s="621"/>
      <c r="Q113" s="1142"/>
      <c r="R113" s="1142"/>
      <c r="S113" s="1142"/>
      <c r="T113" s="1143"/>
      <c r="U113" s="1143"/>
      <c r="V113" s="1143"/>
    </row>
    <row r="114" spans="1:22" ht="15.75" customHeight="1">
      <c r="A114" s="1145" t="s">
        <v>101</v>
      </c>
      <c r="B114" s="357" t="s">
        <v>1945</v>
      </c>
      <c r="C114" s="382"/>
      <c r="D114" s="382"/>
      <c r="E114" s="382"/>
      <c r="F114" s="382"/>
      <c r="G114" s="382"/>
      <c r="H114" s="382"/>
      <c r="I114" s="382"/>
      <c r="J114" s="382"/>
      <c r="K114" s="382"/>
      <c r="L114" s="382"/>
      <c r="M114" s="382"/>
      <c r="N114" s="1141"/>
      <c r="O114" s="1142"/>
      <c r="P114" s="621"/>
      <c r="Q114" s="1142"/>
      <c r="R114" s="1142"/>
      <c r="S114" s="1142"/>
      <c r="T114" s="1143"/>
      <c r="U114" s="1143"/>
      <c r="V114" s="1143"/>
    </row>
    <row r="115" spans="1:22" ht="15.75" customHeight="1">
      <c r="A115" s="1145"/>
      <c r="B115" s="357"/>
      <c r="C115" s="382">
        <f>C110</f>
        <v>20</v>
      </c>
      <c r="D115" s="382">
        <f>D110</f>
        <v>5</v>
      </c>
      <c r="E115" s="382">
        <v>0.05</v>
      </c>
      <c r="F115" s="382"/>
      <c r="G115" s="382"/>
      <c r="H115" s="382"/>
      <c r="I115" s="382"/>
      <c r="J115" s="382"/>
      <c r="K115" s="382"/>
      <c r="L115" s="382"/>
      <c r="M115" s="382">
        <f>C115*D115*E115</f>
        <v>5</v>
      </c>
      <c r="N115" s="1141"/>
      <c r="O115" s="1142"/>
      <c r="P115" s="621"/>
      <c r="Q115" s="1142"/>
      <c r="R115" s="1142"/>
      <c r="S115" s="1142"/>
      <c r="T115" s="1143"/>
      <c r="U115" s="1143"/>
      <c r="V115" s="1143"/>
    </row>
    <row r="116" spans="1:22" ht="15.75" customHeight="1">
      <c r="A116" s="1145"/>
      <c r="B116" s="357"/>
      <c r="C116" s="382">
        <f>C111</f>
        <v>16</v>
      </c>
      <c r="D116" s="382">
        <f>D111</f>
        <v>5</v>
      </c>
      <c r="E116" s="382">
        <v>0.05</v>
      </c>
      <c r="F116" s="382"/>
      <c r="G116" s="382"/>
      <c r="H116" s="382"/>
      <c r="I116" s="382"/>
      <c r="J116" s="382"/>
      <c r="K116" s="382"/>
      <c r="L116" s="382"/>
      <c r="M116" s="382">
        <f>C116*D116*E116</f>
        <v>4</v>
      </c>
      <c r="N116" s="1141"/>
      <c r="O116" s="1142"/>
      <c r="P116" s="621"/>
      <c r="Q116" s="1142"/>
      <c r="R116" s="1142"/>
      <c r="S116" s="1142"/>
      <c r="T116" s="1143"/>
      <c r="U116" s="1143"/>
      <c r="V116" s="1143"/>
    </row>
    <row r="117" spans="1:22" ht="15.75" customHeight="1">
      <c r="A117" s="1145"/>
      <c r="B117" s="357"/>
      <c r="C117" s="382"/>
      <c r="D117" s="382"/>
      <c r="E117" s="382"/>
      <c r="F117" s="382"/>
      <c r="G117" s="382"/>
      <c r="H117" s="382"/>
      <c r="I117" s="382"/>
      <c r="J117" s="382"/>
      <c r="K117" s="382"/>
      <c r="L117" s="382"/>
      <c r="M117" s="382">
        <f>SUM(M115:M116)</f>
        <v>9</v>
      </c>
      <c r="N117" s="1141" t="s">
        <v>103</v>
      </c>
      <c r="O117" s="1142"/>
      <c r="P117" s="621"/>
      <c r="Q117" s="1142"/>
      <c r="R117" s="1142"/>
      <c r="S117" s="1142"/>
      <c r="T117" s="1143"/>
      <c r="U117" s="1143"/>
      <c r="V117" s="1143"/>
    </row>
    <row r="118" spans="1:22" ht="15.75" customHeight="1">
      <c r="A118" s="1145" t="s">
        <v>121</v>
      </c>
      <c r="B118" s="357" t="s">
        <v>1946</v>
      </c>
      <c r="C118" s="382">
        <f>C115</f>
        <v>20</v>
      </c>
      <c r="D118" s="382">
        <f>D115</f>
        <v>5</v>
      </c>
      <c r="E118" s="382">
        <v>0.05</v>
      </c>
      <c r="F118" s="382"/>
      <c r="G118" s="382"/>
      <c r="H118" s="382"/>
      <c r="I118" s="382"/>
      <c r="J118" s="382"/>
      <c r="K118" s="382"/>
      <c r="L118" s="382"/>
      <c r="M118" s="382">
        <f>C118*D118*E118</f>
        <v>5</v>
      </c>
      <c r="N118" s="1141"/>
      <c r="O118" s="1142"/>
      <c r="P118" s="621"/>
      <c r="Q118" s="1142"/>
      <c r="R118" s="1142"/>
      <c r="S118" s="1142"/>
      <c r="T118" s="1143"/>
      <c r="U118" s="1143"/>
      <c r="V118" s="1143"/>
    </row>
    <row r="119" spans="1:22" ht="15.75" customHeight="1">
      <c r="A119" s="1145"/>
      <c r="B119" s="357"/>
      <c r="C119" s="382">
        <f>C116</f>
        <v>16</v>
      </c>
      <c r="D119" s="382">
        <f>D116</f>
        <v>5</v>
      </c>
      <c r="E119" s="382">
        <f>E118</f>
        <v>0.05</v>
      </c>
      <c r="F119" s="382"/>
      <c r="G119" s="382"/>
      <c r="H119" s="382"/>
      <c r="I119" s="382"/>
      <c r="J119" s="382"/>
      <c r="K119" s="382"/>
      <c r="L119" s="382"/>
      <c r="M119" s="382">
        <f>C119*D119*E119</f>
        <v>4</v>
      </c>
      <c r="N119" s="1141"/>
      <c r="O119" s="1142"/>
      <c r="P119" s="621"/>
      <c r="Q119" s="1142"/>
      <c r="R119" s="1142"/>
      <c r="S119" s="1142"/>
      <c r="T119" s="1143"/>
      <c r="U119" s="1143"/>
      <c r="V119" s="1143"/>
    </row>
    <row r="120" spans="1:22" ht="15.75" customHeight="1">
      <c r="A120" s="1145"/>
      <c r="B120" s="357"/>
      <c r="C120" s="382"/>
      <c r="D120" s="382"/>
      <c r="E120" s="382"/>
      <c r="F120" s="382"/>
      <c r="G120" s="382"/>
      <c r="H120" s="382"/>
      <c r="I120" s="382"/>
      <c r="J120" s="382"/>
      <c r="K120" s="382"/>
      <c r="L120" s="382"/>
      <c r="M120" s="382">
        <f>SUM(M118:M119)</f>
        <v>9</v>
      </c>
      <c r="N120" s="1141" t="s">
        <v>103</v>
      </c>
      <c r="O120" s="1142"/>
      <c r="P120" s="621"/>
      <c r="Q120" s="1142"/>
      <c r="R120" s="1142"/>
      <c r="S120" s="1142"/>
      <c r="T120" s="1143"/>
      <c r="U120" s="1143"/>
      <c r="V120" s="1143"/>
    </row>
    <row r="121" spans="1:22" ht="15.75" customHeight="1">
      <c r="A121" s="1145" t="s">
        <v>142</v>
      </c>
      <c r="B121" s="357" t="s">
        <v>211</v>
      </c>
      <c r="C121" s="382"/>
      <c r="D121" s="382"/>
      <c r="E121" s="382"/>
      <c r="F121" s="382"/>
      <c r="G121" s="382"/>
      <c r="H121" s="382"/>
      <c r="I121" s="382"/>
      <c r="J121" s="382"/>
      <c r="K121" s="382"/>
      <c r="L121" s="382"/>
      <c r="M121" s="382"/>
      <c r="N121" s="1141"/>
      <c r="O121" s="1142"/>
      <c r="P121" s="621"/>
      <c r="Q121" s="1142"/>
      <c r="R121" s="1142"/>
      <c r="S121" s="1142"/>
      <c r="T121" s="1143"/>
      <c r="U121" s="1143"/>
      <c r="V121" s="1143"/>
    </row>
    <row r="122" spans="1:22" ht="15.75" customHeight="1">
      <c r="A122" s="1145"/>
      <c r="B122" s="569" t="s">
        <v>226</v>
      </c>
      <c r="C122" s="382">
        <v>20</v>
      </c>
      <c r="D122" s="382"/>
      <c r="E122" s="382">
        <v>0.15</v>
      </c>
      <c r="F122" s="382"/>
      <c r="G122" s="382"/>
      <c r="H122" s="382"/>
      <c r="I122" s="382"/>
      <c r="J122" s="382">
        <v>2</v>
      </c>
      <c r="K122" s="382"/>
      <c r="L122" s="382"/>
      <c r="M122" s="382">
        <f>C122*E122*J122</f>
        <v>6</v>
      </c>
      <c r="N122" s="1141"/>
      <c r="O122" s="1142"/>
      <c r="P122" s="621"/>
      <c r="Q122" s="1142"/>
      <c r="R122" s="1142"/>
      <c r="S122" s="1142"/>
      <c r="T122" s="1143"/>
      <c r="U122" s="1143"/>
      <c r="V122" s="1143"/>
    </row>
    <row r="123" spans="1:22" ht="15.75" customHeight="1">
      <c r="A123" s="1145"/>
      <c r="B123" s="569" t="s">
        <v>227</v>
      </c>
      <c r="C123" s="382">
        <v>10</v>
      </c>
      <c r="D123" s="382"/>
      <c r="E123" s="382">
        <f>E122</f>
        <v>0.15</v>
      </c>
      <c r="F123" s="382"/>
      <c r="G123" s="382"/>
      <c r="H123" s="382"/>
      <c r="I123" s="382"/>
      <c r="J123" s="382">
        <f>J122</f>
        <v>2</v>
      </c>
      <c r="K123" s="382"/>
      <c r="L123" s="382"/>
      <c r="M123" s="382">
        <f>C123*E123*J123</f>
        <v>3</v>
      </c>
      <c r="N123" s="1141"/>
      <c r="O123" s="1142"/>
      <c r="P123" s="621"/>
      <c r="Q123" s="1142"/>
      <c r="R123" s="1142"/>
      <c r="S123" s="1142"/>
      <c r="T123" s="1143"/>
      <c r="U123" s="1143"/>
      <c r="V123" s="1143"/>
    </row>
    <row r="124" spans="1:22" ht="15.75" customHeight="1">
      <c r="A124" s="1145"/>
      <c r="B124" s="357"/>
      <c r="C124" s="382"/>
      <c r="D124" s="382"/>
      <c r="E124" s="382"/>
      <c r="F124" s="382"/>
      <c r="G124" s="382"/>
      <c r="H124" s="382"/>
      <c r="I124" s="382"/>
      <c r="J124" s="382"/>
      <c r="K124" s="382"/>
      <c r="L124" s="382"/>
      <c r="M124" s="382">
        <f>SUM(M122:M123)</f>
        <v>9</v>
      </c>
      <c r="N124" s="1141" t="s">
        <v>89</v>
      </c>
      <c r="O124" s="1142"/>
      <c r="P124" s="621"/>
      <c r="Q124" s="1142"/>
      <c r="R124" s="1142"/>
      <c r="S124" s="1142"/>
      <c r="T124" s="1143"/>
      <c r="U124" s="1143"/>
      <c r="V124" s="1143"/>
    </row>
    <row r="125" spans="1:22" ht="15.75" customHeight="1">
      <c r="A125" s="1145" t="s">
        <v>217</v>
      </c>
      <c r="B125" s="357" t="s">
        <v>1947</v>
      </c>
      <c r="C125" s="382"/>
      <c r="D125" s="382"/>
      <c r="E125" s="382"/>
      <c r="F125" s="382"/>
      <c r="G125" s="382"/>
      <c r="H125" s="382"/>
      <c r="I125" s="382"/>
      <c r="J125" s="382"/>
      <c r="K125" s="382"/>
      <c r="L125" s="382"/>
      <c r="M125" s="382"/>
      <c r="N125" s="1141"/>
      <c r="O125" s="1142"/>
      <c r="P125" s="621"/>
      <c r="Q125" s="1142"/>
      <c r="R125" s="1142"/>
      <c r="S125" s="1142"/>
      <c r="T125" s="1143"/>
      <c r="U125" s="1143"/>
      <c r="V125" s="1143"/>
    </row>
    <row r="126" spans="1:22" ht="15.75" customHeight="1">
      <c r="A126" s="1145"/>
      <c r="B126" s="357"/>
      <c r="C126" s="382">
        <f>C104</f>
        <v>20</v>
      </c>
      <c r="D126" s="382">
        <f>C107</f>
        <v>5</v>
      </c>
      <c r="E126" s="382"/>
      <c r="F126" s="382"/>
      <c r="G126" s="382"/>
      <c r="H126" s="382"/>
      <c r="I126" s="382"/>
      <c r="J126" s="382"/>
      <c r="K126" s="382"/>
      <c r="L126" s="382"/>
      <c r="M126" s="382">
        <f>C126*D126</f>
        <v>100</v>
      </c>
      <c r="N126" s="1141"/>
      <c r="O126" s="1142"/>
      <c r="P126" s="621"/>
      <c r="Q126" s="1142"/>
      <c r="R126" s="1142"/>
      <c r="S126" s="1142"/>
      <c r="T126" s="1143"/>
      <c r="U126" s="1143"/>
      <c r="V126" s="1143"/>
    </row>
    <row r="127" spans="1:22" ht="15.75" customHeight="1">
      <c r="A127" s="1145"/>
      <c r="B127" s="357"/>
      <c r="C127" s="382">
        <f>C105</f>
        <v>16</v>
      </c>
      <c r="D127" s="382">
        <f>D126</f>
        <v>5</v>
      </c>
      <c r="E127" s="382"/>
      <c r="F127" s="382"/>
      <c r="G127" s="382"/>
      <c r="H127" s="382"/>
      <c r="I127" s="382"/>
      <c r="J127" s="382"/>
      <c r="K127" s="382"/>
      <c r="L127" s="382"/>
      <c r="M127" s="382">
        <f>C127*D127</f>
        <v>80</v>
      </c>
      <c r="N127" s="1141"/>
      <c r="O127" s="1142"/>
      <c r="P127" s="621"/>
      <c r="Q127" s="1142"/>
      <c r="R127" s="1142"/>
      <c r="S127" s="1142"/>
      <c r="T127" s="1143"/>
      <c r="U127" s="1143"/>
      <c r="V127" s="1143"/>
    </row>
    <row r="128" spans="1:22" ht="15.75" customHeight="1">
      <c r="A128" s="1145"/>
      <c r="B128" s="357"/>
      <c r="C128" s="382"/>
      <c r="D128" s="382"/>
      <c r="E128" s="382"/>
      <c r="F128" s="382"/>
      <c r="G128" s="382"/>
      <c r="H128" s="382"/>
      <c r="I128" s="382"/>
      <c r="J128" s="382"/>
      <c r="K128" s="382"/>
      <c r="L128" s="382"/>
      <c r="M128" s="382">
        <f>SUM(M126:M127)</f>
        <v>180</v>
      </c>
      <c r="N128" s="1141" t="s">
        <v>89</v>
      </c>
      <c r="O128" s="1142"/>
      <c r="P128" s="621"/>
      <c r="Q128" s="1142"/>
      <c r="R128" s="1142"/>
      <c r="S128" s="1142"/>
      <c r="T128" s="1143"/>
      <c r="U128" s="1143"/>
      <c r="V128" s="1143"/>
    </row>
    <row r="129" spans="1:22" ht="15.75" customHeight="1">
      <c r="A129" s="1145" t="s">
        <v>366</v>
      </c>
      <c r="B129" s="357" t="s">
        <v>420</v>
      </c>
      <c r="C129" s="382"/>
      <c r="D129" s="382"/>
      <c r="E129" s="382"/>
      <c r="F129" s="382"/>
      <c r="G129" s="382"/>
      <c r="H129" s="382"/>
      <c r="I129" s="382"/>
      <c r="J129" s="382"/>
      <c r="K129" s="382"/>
      <c r="L129" s="382"/>
      <c r="M129" s="382"/>
      <c r="N129" s="1141"/>
      <c r="O129" s="1142"/>
      <c r="P129" s="621"/>
      <c r="Q129" s="1142"/>
      <c r="R129" s="1142"/>
      <c r="S129" s="1142"/>
      <c r="T129" s="1143"/>
      <c r="U129" s="1143"/>
      <c r="V129" s="1143"/>
    </row>
    <row r="130" spans="1:22" ht="15.75" customHeight="1">
      <c r="A130" s="1145"/>
      <c r="B130" s="357"/>
      <c r="C130" s="382">
        <f>C126</f>
        <v>20</v>
      </c>
      <c r="D130" s="382">
        <f>D126</f>
        <v>5</v>
      </c>
      <c r="E130" s="382">
        <v>0.15</v>
      </c>
      <c r="F130" s="382"/>
      <c r="G130" s="382"/>
      <c r="H130" s="382"/>
      <c r="I130" s="382"/>
      <c r="J130" s="382"/>
      <c r="K130" s="382"/>
      <c r="L130" s="382"/>
      <c r="M130" s="382">
        <f>C130*D130*E130</f>
        <v>15</v>
      </c>
      <c r="N130" s="1141"/>
      <c r="O130" s="1142"/>
      <c r="P130" s="621"/>
      <c r="Q130" s="1142"/>
      <c r="R130" s="1142"/>
      <c r="S130" s="1142"/>
      <c r="T130" s="1143"/>
      <c r="U130" s="1143"/>
      <c r="V130" s="1143"/>
    </row>
    <row r="131" spans="1:22" ht="15.75" customHeight="1">
      <c r="A131" s="1145"/>
      <c r="B131" s="357"/>
      <c r="C131" s="382">
        <f>C127</f>
        <v>16</v>
      </c>
      <c r="D131" s="382">
        <f>D127</f>
        <v>5</v>
      </c>
      <c r="E131" s="382">
        <f>E130</f>
        <v>0.15</v>
      </c>
      <c r="F131" s="382"/>
      <c r="G131" s="382"/>
      <c r="H131" s="382"/>
      <c r="I131" s="382"/>
      <c r="J131" s="382"/>
      <c r="K131" s="382"/>
      <c r="L131" s="382"/>
      <c r="M131" s="382">
        <f>C131*D131*E131</f>
        <v>12</v>
      </c>
      <c r="N131" s="1141"/>
      <c r="O131" s="1142"/>
      <c r="P131" s="621"/>
      <c r="Q131" s="1142"/>
      <c r="R131" s="1142"/>
      <c r="S131" s="1142"/>
      <c r="T131" s="1143"/>
      <c r="U131" s="1143"/>
      <c r="V131" s="1143"/>
    </row>
    <row r="132" spans="1:22" ht="15.75" customHeight="1">
      <c r="A132" s="1145"/>
      <c r="B132" s="357"/>
      <c r="C132" s="382"/>
      <c r="D132" s="382"/>
      <c r="E132" s="382"/>
      <c r="F132" s="382"/>
      <c r="G132" s="382"/>
      <c r="H132" s="382"/>
      <c r="I132" s="382"/>
      <c r="J132" s="382"/>
      <c r="K132" s="382"/>
      <c r="L132" s="382"/>
      <c r="M132" s="382">
        <f>SUM(M130:M131)</f>
        <v>27</v>
      </c>
      <c r="N132" s="1141" t="s">
        <v>103</v>
      </c>
      <c r="O132" s="1142"/>
      <c r="P132" s="621"/>
      <c r="Q132" s="1142"/>
      <c r="R132" s="1142"/>
      <c r="S132" s="1142"/>
      <c r="T132" s="1143"/>
      <c r="U132" s="1143"/>
      <c r="V132" s="1143"/>
    </row>
    <row r="133" spans="1:22" ht="15.75" customHeight="1">
      <c r="A133" s="1618">
        <f>A109+1</f>
        <v>5</v>
      </c>
      <c r="B133" s="1617" t="s">
        <v>1948</v>
      </c>
      <c r="C133" s="382"/>
      <c r="D133" s="382"/>
      <c r="E133" s="382"/>
      <c r="F133" s="382"/>
      <c r="G133" s="382"/>
      <c r="H133" s="382"/>
      <c r="I133" s="382"/>
      <c r="J133" s="382"/>
      <c r="K133" s="382"/>
      <c r="L133" s="382"/>
      <c r="M133" s="382"/>
      <c r="N133" s="1141"/>
      <c r="O133" s="1142"/>
      <c r="P133" s="621" t="s">
        <v>1949</v>
      </c>
      <c r="Q133" s="1142"/>
      <c r="R133" s="1142"/>
      <c r="S133" s="1142"/>
      <c r="T133" s="1143"/>
      <c r="U133" s="1143"/>
      <c r="V133" s="1143"/>
    </row>
    <row r="134" spans="1:22" ht="15.75" customHeight="1">
      <c r="A134" s="1145" t="s">
        <v>95</v>
      </c>
      <c r="B134" s="357" t="s">
        <v>1522</v>
      </c>
      <c r="C134" s="348"/>
      <c r="D134" s="348">
        <v>0.25</v>
      </c>
      <c r="E134" s="348">
        <v>0.87</v>
      </c>
      <c r="F134" s="348"/>
      <c r="G134" s="348"/>
      <c r="H134" s="348">
        <v>4</v>
      </c>
      <c r="I134" s="348">
        <f>0.8</f>
        <v>0.8</v>
      </c>
      <c r="J134" s="348"/>
      <c r="K134" s="348"/>
      <c r="L134" s="348">
        <v>17</v>
      </c>
      <c r="M134" s="348">
        <f>D134*(E134+I134)*H134*L134</f>
        <v>28.39</v>
      </c>
      <c r="N134" s="1141" t="s">
        <v>89</v>
      </c>
      <c r="O134" s="1142"/>
      <c r="P134" s="621"/>
      <c r="Q134" s="1142"/>
      <c r="R134" s="1142"/>
      <c r="S134" s="1142"/>
      <c r="T134" s="1143"/>
      <c r="U134" s="1143"/>
      <c r="V134" s="1143"/>
    </row>
    <row r="135" spans="1:22" ht="15.75" customHeight="1">
      <c r="A135" s="1145" t="s">
        <v>98</v>
      </c>
      <c r="B135" s="357" t="s">
        <v>902</v>
      </c>
      <c r="C135" s="348"/>
      <c r="D135" s="348"/>
      <c r="E135" s="348">
        <v>0.87</v>
      </c>
      <c r="F135" s="348">
        <f>13*13*0.006165</f>
        <v>1.041885</v>
      </c>
      <c r="G135" s="348">
        <v>0.2</v>
      </c>
      <c r="H135" s="348"/>
      <c r="I135" s="348">
        <v>0.2</v>
      </c>
      <c r="J135" s="348"/>
      <c r="K135" s="348">
        <v>8</v>
      </c>
      <c r="L135" s="348">
        <f>L134</f>
        <v>17</v>
      </c>
      <c r="M135" s="348">
        <f>(E135+G135+I135)*F135*K135*L135</f>
        <v>179.95437720000001</v>
      </c>
      <c r="N135" s="1141" t="s">
        <v>100</v>
      </c>
      <c r="O135" s="1142"/>
      <c r="P135" s="621"/>
      <c r="Q135" s="1142"/>
      <c r="R135" s="1142"/>
      <c r="S135" s="1142"/>
      <c r="T135" s="1143"/>
      <c r="U135" s="1143"/>
      <c r="V135" s="1143"/>
    </row>
    <row r="136" spans="1:22" ht="15.75" customHeight="1">
      <c r="A136" s="1145" t="s">
        <v>101</v>
      </c>
      <c r="B136" s="357" t="s">
        <v>899</v>
      </c>
      <c r="C136" s="348">
        <f>0.17*4</f>
        <v>0.68</v>
      </c>
      <c r="D136" s="348"/>
      <c r="E136" s="348"/>
      <c r="F136" s="348">
        <f>8*8*0.006165</f>
        <v>0.39456000000000002</v>
      </c>
      <c r="G136" s="348">
        <v>0.1</v>
      </c>
      <c r="H136" s="348"/>
      <c r="I136" s="348"/>
      <c r="J136" s="348"/>
      <c r="K136" s="348">
        <f>ROUNDDOWN(((E134+I134)/0.125),0.5)+1</f>
        <v>14</v>
      </c>
      <c r="L136" s="348">
        <f>L135</f>
        <v>17</v>
      </c>
      <c r="M136" s="348">
        <f>(C136+G136)*F136*K136*L136</f>
        <v>73.246118400000015</v>
      </c>
      <c r="N136" s="1141" t="s">
        <v>100</v>
      </c>
      <c r="O136" s="1142"/>
      <c r="P136" s="621"/>
      <c r="Q136" s="1142"/>
      <c r="R136" s="1142"/>
      <c r="S136" s="1142"/>
      <c r="T136" s="1143"/>
      <c r="U136" s="1143"/>
      <c r="V136" s="1143"/>
    </row>
    <row r="137" spans="1:22" ht="15.75" customHeight="1">
      <c r="A137" s="1145" t="s">
        <v>121</v>
      </c>
      <c r="B137" s="357" t="s">
        <v>420</v>
      </c>
      <c r="C137" s="348">
        <v>0.25</v>
      </c>
      <c r="D137" s="348">
        <v>0.25</v>
      </c>
      <c r="E137" s="348">
        <f>E135</f>
        <v>0.87</v>
      </c>
      <c r="F137" s="348"/>
      <c r="G137" s="348"/>
      <c r="H137" s="348"/>
      <c r="I137" s="348"/>
      <c r="J137" s="348"/>
      <c r="K137" s="348"/>
      <c r="L137" s="348">
        <f>L136</f>
        <v>17</v>
      </c>
      <c r="M137" s="348">
        <f>C137*D137*E137*L137</f>
        <v>0.92437499999999995</v>
      </c>
      <c r="N137" s="1141" t="s">
        <v>103</v>
      </c>
      <c r="O137" s="1142"/>
      <c r="P137" s="621"/>
      <c r="Q137" s="1142"/>
      <c r="R137" s="1142"/>
      <c r="S137" s="1142"/>
      <c r="T137" s="1143"/>
      <c r="U137" s="1143"/>
      <c r="V137" s="1143"/>
    </row>
    <row r="138" spans="1:22" ht="15.75" customHeight="1">
      <c r="A138" s="1140">
        <f>A109+1</f>
        <v>5</v>
      </c>
      <c r="B138" s="357" t="s">
        <v>949</v>
      </c>
      <c r="C138" s="382"/>
      <c r="D138" s="382"/>
      <c r="E138" s="382"/>
      <c r="F138" s="382"/>
      <c r="G138" s="382"/>
      <c r="H138" s="382"/>
      <c r="I138" s="382"/>
      <c r="J138" s="382"/>
      <c r="K138" s="382"/>
      <c r="L138" s="382"/>
      <c r="M138" s="382"/>
      <c r="N138" s="1141"/>
      <c r="O138" s="1142"/>
      <c r="P138" s="621"/>
      <c r="Q138" s="1142"/>
      <c r="R138" s="1142"/>
      <c r="S138" s="1142"/>
      <c r="T138" s="1143"/>
      <c r="U138" s="1143"/>
      <c r="V138" s="1143"/>
    </row>
    <row r="139" spans="1:22" ht="15.75" customHeight="1">
      <c r="A139" s="1145" t="s">
        <v>95</v>
      </c>
      <c r="B139" s="357" t="s">
        <v>1522</v>
      </c>
      <c r="C139" s="382"/>
      <c r="D139" s="382">
        <v>0.25</v>
      </c>
      <c r="E139" s="382">
        <f>3.88-0.3</f>
        <v>3.58</v>
      </c>
      <c r="F139" s="382"/>
      <c r="G139" s="382"/>
      <c r="H139" s="382">
        <v>4</v>
      </c>
      <c r="I139" s="382"/>
      <c r="J139" s="382">
        <v>0.35</v>
      </c>
      <c r="K139" s="382"/>
      <c r="L139" s="382">
        <f>L22</f>
        <v>17</v>
      </c>
      <c r="M139" s="382">
        <f>D139*(E139+J139)*H139*L139</f>
        <v>66.81</v>
      </c>
      <c r="N139" s="1141" t="s">
        <v>89</v>
      </c>
      <c r="O139" s="1142"/>
      <c r="P139" s="621"/>
      <c r="Q139" s="1142"/>
      <c r="R139" s="1142"/>
      <c r="S139" s="1142"/>
      <c r="T139" s="1143"/>
      <c r="U139" s="1143"/>
      <c r="V139" s="1143"/>
    </row>
    <row r="140" spans="1:22" ht="15.75" customHeight="1">
      <c r="A140" s="1145" t="s">
        <v>98</v>
      </c>
      <c r="B140" s="357" t="s">
        <v>902</v>
      </c>
      <c r="C140" s="382"/>
      <c r="D140" s="382"/>
      <c r="E140" s="382">
        <f>(E139+J139)</f>
        <v>3.93</v>
      </c>
      <c r="F140" s="382">
        <f>13*13*0.006165</f>
        <v>1.041885</v>
      </c>
      <c r="G140" s="382">
        <v>0.2</v>
      </c>
      <c r="H140" s="382"/>
      <c r="I140" s="382"/>
      <c r="J140" s="382">
        <v>0.2</v>
      </c>
      <c r="K140" s="382">
        <v>8</v>
      </c>
      <c r="L140" s="382">
        <f>L139</f>
        <v>17</v>
      </c>
      <c r="M140" s="382">
        <f>(E140+G140+J140)*F140*K140*L140</f>
        <v>613.54523879999999</v>
      </c>
      <c r="N140" s="1141" t="s">
        <v>100</v>
      </c>
      <c r="O140" s="1142"/>
      <c r="P140" s="621"/>
      <c r="Q140" s="1142"/>
      <c r="R140" s="1142"/>
      <c r="S140" s="1142"/>
      <c r="T140" s="1143"/>
      <c r="U140" s="1143"/>
      <c r="V140" s="1143"/>
    </row>
    <row r="141" spans="1:22" ht="15.75" customHeight="1">
      <c r="A141" s="1145" t="s">
        <v>101</v>
      </c>
      <c r="B141" s="357" t="s">
        <v>899</v>
      </c>
      <c r="C141" s="382">
        <f>0.17*4</f>
        <v>0.68</v>
      </c>
      <c r="D141" s="382"/>
      <c r="E141" s="382"/>
      <c r="F141" s="382">
        <f>8*8*0.006165</f>
        <v>0.39456000000000002</v>
      </c>
      <c r="G141" s="382">
        <v>0.1</v>
      </c>
      <c r="H141" s="382"/>
      <c r="I141" s="382"/>
      <c r="J141" s="382"/>
      <c r="K141" s="382">
        <f>ROUNDDOWN(((E139+I139)/0.125),0.5)+1</f>
        <v>29</v>
      </c>
      <c r="L141" s="382">
        <f>L140</f>
        <v>17</v>
      </c>
      <c r="M141" s="382">
        <f>(C141+G141)*F141*K141*L141</f>
        <v>151.72410240000002</v>
      </c>
      <c r="N141" s="1141" t="s">
        <v>100</v>
      </c>
      <c r="O141" s="1142"/>
      <c r="P141" s="621"/>
      <c r="Q141" s="1142"/>
      <c r="R141" s="1142"/>
      <c r="S141" s="1142"/>
      <c r="T141" s="1143"/>
      <c r="U141" s="1143"/>
      <c r="V141" s="1143"/>
    </row>
    <row r="142" spans="1:22" ht="15.75" customHeight="1">
      <c r="A142" s="1145" t="s">
        <v>121</v>
      </c>
      <c r="B142" s="357" t="s">
        <v>420</v>
      </c>
      <c r="C142" s="382">
        <v>0.25</v>
      </c>
      <c r="D142" s="382">
        <v>0.25</v>
      </c>
      <c r="E142" s="382">
        <f>E139</f>
        <v>3.58</v>
      </c>
      <c r="F142" s="382"/>
      <c r="G142" s="382"/>
      <c r="H142" s="382"/>
      <c r="I142" s="382"/>
      <c r="J142" s="382"/>
      <c r="K142" s="382"/>
      <c r="L142" s="382">
        <f>L141</f>
        <v>17</v>
      </c>
      <c r="M142" s="382">
        <f>C142*D142*E142*L142</f>
        <v>3.80375</v>
      </c>
      <c r="N142" s="1141" t="s">
        <v>103</v>
      </c>
      <c r="O142" s="1142"/>
      <c r="P142" s="621"/>
      <c r="Q142" s="1142"/>
      <c r="R142" s="1142"/>
      <c r="S142" s="1142"/>
      <c r="T142" s="1143"/>
      <c r="U142" s="1143"/>
      <c r="V142" s="1143"/>
    </row>
    <row r="143" spans="1:22" ht="15.75" customHeight="1">
      <c r="A143" s="1140">
        <f>A138+1</f>
        <v>6</v>
      </c>
      <c r="B143" s="357" t="s">
        <v>1950</v>
      </c>
      <c r="C143" s="382"/>
      <c r="D143" s="382"/>
      <c r="E143" s="382"/>
      <c r="F143" s="382"/>
      <c r="G143" s="382"/>
      <c r="H143" s="382"/>
      <c r="I143" s="382"/>
      <c r="J143" s="382"/>
      <c r="K143" s="382"/>
      <c r="L143" s="382"/>
      <c r="M143" s="382"/>
      <c r="N143" s="1141"/>
      <c r="O143" s="1142"/>
      <c r="P143" s="621"/>
      <c r="Q143" s="1142"/>
      <c r="R143" s="1142"/>
      <c r="S143" s="1142"/>
      <c r="T143" s="1143"/>
      <c r="U143" s="1143"/>
      <c r="V143" s="1143"/>
    </row>
    <row r="144" spans="1:22" ht="15.75" customHeight="1">
      <c r="A144" s="1145" t="s">
        <v>95</v>
      </c>
      <c r="B144" s="357" t="s">
        <v>1522</v>
      </c>
      <c r="C144" s="382"/>
      <c r="D144" s="382">
        <v>0.15</v>
      </c>
      <c r="E144" s="382">
        <f>E139</f>
        <v>3.58</v>
      </c>
      <c r="F144" s="382"/>
      <c r="G144" s="382"/>
      <c r="H144" s="382">
        <v>2</v>
      </c>
      <c r="I144" s="382"/>
      <c r="J144" s="382"/>
      <c r="K144" s="382"/>
      <c r="L144" s="382">
        <v>14</v>
      </c>
      <c r="M144" s="382">
        <f>D144*H144*E144*L144</f>
        <v>15.036000000000001</v>
      </c>
      <c r="N144" s="1141" t="s">
        <v>89</v>
      </c>
      <c r="O144" s="1142"/>
      <c r="P144" s="621"/>
      <c r="Q144" s="1142"/>
      <c r="R144" s="1142"/>
      <c r="S144" s="1142"/>
      <c r="T144" s="1143"/>
      <c r="U144" s="1143"/>
      <c r="V144" s="1143"/>
    </row>
    <row r="145" spans="1:22" ht="15" customHeight="1">
      <c r="A145" s="1145" t="s">
        <v>98</v>
      </c>
      <c r="B145" s="357" t="s">
        <v>900</v>
      </c>
      <c r="C145" s="382"/>
      <c r="D145" s="382"/>
      <c r="E145" s="382">
        <f>E144+0.2</f>
        <v>3.7800000000000002</v>
      </c>
      <c r="F145" s="382">
        <f>13*13*0.006165</f>
        <v>1.041885</v>
      </c>
      <c r="G145" s="382">
        <v>0.1</v>
      </c>
      <c r="H145" s="382"/>
      <c r="I145" s="382"/>
      <c r="J145" s="382"/>
      <c r="K145" s="382">
        <v>4</v>
      </c>
      <c r="L145" s="382">
        <f>L144</f>
        <v>14</v>
      </c>
      <c r="M145" s="382">
        <f>(E145+G145)*F145*K145*L145</f>
        <v>226.38077279999999</v>
      </c>
      <c r="N145" s="1141" t="s">
        <v>100</v>
      </c>
      <c r="O145" s="1142"/>
      <c r="P145" s="621"/>
      <c r="Q145" s="1142"/>
      <c r="R145" s="1142"/>
      <c r="S145" s="1142"/>
      <c r="T145" s="1143"/>
      <c r="U145" s="1143"/>
      <c r="V145" s="1143"/>
    </row>
    <row r="146" spans="1:22" ht="15.75" customHeight="1">
      <c r="A146" s="1145" t="s">
        <v>101</v>
      </c>
      <c r="B146" s="357" t="s">
        <v>1951</v>
      </c>
      <c r="C146" s="382">
        <f>0.07*4</f>
        <v>0.28000000000000003</v>
      </c>
      <c r="D146" s="382"/>
      <c r="E146" s="382"/>
      <c r="F146" s="382">
        <f>8*8*0.006165</f>
        <v>0.39456000000000002</v>
      </c>
      <c r="G146" s="382">
        <v>0.1</v>
      </c>
      <c r="H146" s="382"/>
      <c r="I146" s="382"/>
      <c r="J146" s="382"/>
      <c r="K146" s="382">
        <f>ROUNDUP((E145/0.15),0.5)+1</f>
        <v>27</v>
      </c>
      <c r="L146" s="382">
        <f>L145</f>
        <v>14</v>
      </c>
      <c r="M146" s="382">
        <f>(C146+G146)*F146*K146*L146</f>
        <v>56.674598400000001</v>
      </c>
      <c r="N146" s="1141" t="s">
        <v>100</v>
      </c>
      <c r="O146" s="1142"/>
      <c r="P146" s="621"/>
      <c r="Q146" s="1142"/>
      <c r="R146" s="1142"/>
      <c r="S146" s="1142"/>
      <c r="T146" s="1143"/>
      <c r="U146" s="1143"/>
      <c r="V146" s="1143"/>
    </row>
    <row r="147" spans="1:22" ht="15.75" customHeight="1">
      <c r="A147" s="1145" t="s">
        <v>121</v>
      </c>
      <c r="B147" s="357" t="s">
        <v>420</v>
      </c>
      <c r="C147" s="382">
        <v>0.15</v>
      </c>
      <c r="D147" s="382">
        <v>0.15</v>
      </c>
      <c r="E147" s="382">
        <f>E144</f>
        <v>3.58</v>
      </c>
      <c r="F147" s="382"/>
      <c r="G147" s="382"/>
      <c r="H147" s="382"/>
      <c r="I147" s="382"/>
      <c r="J147" s="382"/>
      <c r="K147" s="382"/>
      <c r="L147" s="382">
        <f>L146</f>
        <v>14</v>
      </c>
      <c r="M147" s="382">
        <f>C147*D147*E147*L147</f>
        <v>1.1276999999999999</v>
      </c>
      <c r="N147" s="1141" t="s">
        <v>103</v>
      </c>
      <c r="O147" s="1142"/>
      <c r="P147" s="621"/>
      <c r="Q147" s="1142"/>
      <c r="R147" s="1142"/>
      <c r="S147" s="1142"/>
      <c r="T147" s="1143"/>
      <c r="U147" s="1143"/>
      <c r="V147" s="1143"/>
    </row>
    <row r="148" spans="1:22" ht="15.75" customHeight="1">
      <c r="A148" s="1140">
        <f>A143+1</f>
        <v>7</v>
      </c>
      <c r="B148" s="357" t="s">
        <v>1952</v>
      </c>
      <c r="C148" s="382"/>
      <c r="D148" s="382"/>
      <c r="E148" s="382"/>
      <c r="F148" s="382"/>
      <c r="G148" s="382"/>
      <c r="H148" s="382"/>
      <c r="I148" s="382"/>
      <c r="J148" s="382"/>
      <c r="K148" s="382"/>
      <c r="L148" s="382"/>
      <c r="M148" s="382"/>
      <c r="N148" s="1141"/>
      <c r="O148" s="1142"/>
      <c r="P148" s="621"/>
      <c r="Q148" s="1142"/>
      <c r="R148" s="1142"/>
      <c r="S148" s="1142"/>
      <c r="T148" s="1143"/>
      <c r="U148" s="1143"/>
      <c r="V148" s="1143"/>
    </row>
    <row r="149" spans="1:22" ht="15.75" customHeight="1">
      <c r="A149" s="1145" t="s">
        <v>95</v>
      </c>
      <c r="B149" s="357" t="s">
        <v>423</v>
      </c>
      <c r="C149" s="382"/>
      <c r="D149" s="382"/>
      <c r="E149" s="382"/>
      <c r="F149" s="382"/>
      <c r="G149" s="382"/>
      <c r="H149" s="382"/>
      <c r="I149" s="382"/>
      <c r="J149" s="382"/>
      <c r="K149" s="382"/>
      <c r="L149" s="382"/>
      <c r="M149" s="382"/>
      <c r="N149" s="1141"/>
      <c r="O149" s="1142"/>
      <c r="P149" s="621"/>
      <c r="Q149" s="1142"/>
      <c r="R149" s="1142"/>
      <c r="S149" s="1142"/>
      <c r="T149" s="1143"/>
      <c r="U149" s="1143"/>
      <c r="V149" s="1143"/>
    </row>
    <row r="150" spans="1:22" ht="15.75" customHeight="1">
      <c r="A150" s="1145"/>
      <c r="B150" s="569" t="s">
        <v>226</v>
      </c>
      <c r="C150" s="382">
        <f>C104</f>
        <v>20</v>
      </c>
      <c r="D150" s="382"/>
      <c r="E150" s="382">
        <v>0.35</v>
      </c>
      <c r="F150" s="382"/>
      <c r="G150" s="382"/>
      <c r="H150" s="382"/>
      <c r="I150" s="382"/>
      <c r="J150" s="382">
        <v>2</v>
      </c>
      <c r="K150" s="382"/>
      <c r="L150" s="382">
        <f>L160</f>
        <v>2</v>
      </c>
      <c r="M150" s="382">
        <f>C150*E150*J150*L150</f>
        <v>28</v>
      </c>
      <c r="N150" s="1141"/>
      <c r="O150" s="1142"/>
      <c r="P150" s="621"/>
      <c r="Q150" s="1142"/>
      <c r="R150" s="1142"/>
      <c r="S150" s="1142"/>
      <c r="T150" s="1143"/>
      <c r="U150" s="1143"/>
      <c r="V150" s="1143"/>
    </row>
    <row r="151" spans="1:22" ht="15.75" customHeight="1">
      <c r="A151" s="1145"/>
      <c r="B151" s="569"/>
      <c r="C151" s="382">
        <f>C105</f>
        <v>16</v>
      </c>
      <c r="D151" s="382"/>
      <c r="E151" s="382">
        <f>E150</f>
        <v>0.35</v>
      </c>
      <c r="F151" s="382"/>
      <c r="G151" s="382"/>
      <c r="H151" s="382"/>
      <c r="I151" s="382"/>
      <c r="J151" s="382">
        <f>J150</f>
        <v>2</v>
      </c>
      <c r="K151" s="382"/>
      <c r="L151" s="382">
        <f>L161</f>
        <v>1</v>
      </c>
      <c r="M151" s="382">
        <f>C151*E151*J151*L151</f>
        <v>11.2</v>
      </c>
      <c r="N151" s="1141"/>
      <c r="O151" s="1142"/>
      <c r="P151" s="621"/>
      <c r="Q151" s="1142"/>
      <c r="R151" s="1142"/>
      <c r="S151" s="1142"/>
      <c r="T151" s="1143"/>
      <c r="U151" s="1143"/>
      <c r="V151" s="1143"/>
    </row>
    <row r="152" spans="1:22" ht="15.75" customHeight="1">
      <c r="A152" s="1145"/>
      <c r="B152" s="569"/>
      <c r="C152" s="382">
        <f>C150</f>
        <v>20</v>
      </c>
      <c r="D152" s="382">
        <v>0.2</v>
      </c>
      <c r="E152" s="382"/>
      <c r="F152" s="382"/>
      <c r="G152" s="382"/>
      <c r="H152" s="382"/>
      <c r="I152" s="382"/>
      <c r="J152" s="382">
        <v>1</v>
      </c>
      <c r="K152" s="382"/>
      <c r="L152" s="382">
        <f>L150</f>
        <v>2</v>
      </c>
      <c r="M152" s="382">
        <f>C152*D152*J152*L152</f>
        <v>8</v>
      </c>
      <c r="N152" s="1141"/>
      <c r="O152" s="1142"/>
      <c r="P152" s="621"/>
      <c r="Q152" s="1142"/>
      <c r="R152" s="1142"/>
      <c r="S152" s="1142"/>
      <c r="T152" s="1143"/>
      <c r="U152" s="1143"/>
      <c r="V152" s="1143"/>
    </row>
    <row r="153" spans="1:22" ht="15.75" customHeight="1">
      <c r="A153" s="1145"/>
      <c r="B153" s="569"/>
      <c r="C153" s="382">
        <f>C151</f>
        <v>16</v>
      </c>
      <c r="D153" s="382">
        <f>D152</f>
        <v>0.2</v>
      </c>
      <c r="E153" s="382"/>
      <c r="F153" s="382"/>
      <c r="G153" s="382"/>
      <c r="H153" s="382"/>
      <c r="I153" s="382"/>
      <c r="J153" s="382">
        <f>J152</f>
        <v>1</v>
      </c>
      <c r="K153" s="382"/>
      <c r="L153" s="382">
        <f>L151</f>
        <v>1</v>
      </c>
      <c r="M153" s="382">
        <f>C153*D153*J153*L153</f>
        <v>3.2</v>
      </c>
      <c r="N153" s="1141"/>
      <c r="O153" s="1142"/>
      <c r="P153" s="621"/>
      <c r="Q153" s="1142"/>
      <c r="R153" s="1142"/>
      <c r="S153" s="1142"/>
      <c r="T153" s="1143"/>
      <c r="U153" s="1143"/>
      <c r="V153" s="1143"/>
    </row>
    <row r="154" spans="1:22" ht="15.75" customHeight="1">
      <c r="A154" s="1145"/>
      <c r="B154" s="569" t="s">
        <v>227</v>
      </c>
      <c r="C154" s="382">
        <f>C106</f>
        <v>10</v>
      </c>
      <c r="D154" s="382"/>
      <c r="E154" s="382">
        <f>E151</f>
        <v>0.35</v>
      </c>
      <c r="F154" s="382"/>
      <c r="G154" s="382"/>
      <c r="H154" s="382"/>
      <c r="I154" s="382"/>
      <c r="J154" s="382">
        <f>J150</f>
        <v>2</v>
      </c>
      <c r="K154" s="382"/>
      <c r="L154" s="382">
        <f>L162</f>
        <v>5</v>
      </c>
      <c r="M154" s="382">
        <f>C154*E154*J154*L154</f>
        <v>35</v>
      </c>
      <c r="N154" s="1141"/>
      <c r="O154" s="1142"/>
      <c r="P154" s="621"/>
      <c r="Q154" s="1142"/>
      <c r="R154" s="1142"/>
      <c r="S154" s="1142"/>
      <c r="T154" s="1143"/>
      <c r="U154" s="1143"/>
      <c r="V154" s="1143"/>
    </row>
    <row r="155" spans="1:22" ht="15.75" customHeight="1">
      <c r="A155" s="1145"/>
      <c r="B155" s="569"/>
      <c r="C155" s="382">
        <f>C107</f>
        <v>5</v>
      </c>
      <c r="D155" s="382"/>
      <c r="E155" s="382">
        <f>E154</f>
        <v>0.35</v>
      </c>
      <c r="F155" s="382"/>
      <c r="G155" s="382"/>
      <c r="H155" s="382"/>
      <c r="I155" s="382"/>
      <c r="J155" s="382">
        <f>J151</f>
        <v>2</v>
      </c>
      <c r="K155" s="382"/>
      <c r="L155" s="382">
        <f>L163</f>
        <v>1</v>
      </c>
      <c r="M155" s="382">
        <f>C155*E155*J155*L155</f>
        <v>3.5</v>
      </c>
      <c r="N155" s="1141"/>
      <c r="O155" s="1142"/>
      <c r="P155" s="621"/>
      <c r="Q155" s="1142"/>
      <c r="R155" s="1142"/>
      <c r="S155" s="1142"/>
      <c r="T155" s="1143"/>
      <c r="U155" s="1143"/>
      <c r="V155" s="1143"/>
    </row>
    <row r="156" spans="1:22" ht="15.75" customHeight="1">
      <c r="A156" s="1145"/>
      <c r="B156" s="569"/>
      <c r="C156" s="382">
        <f>C154</f>
        <v>10</v>
      </c>
      <c r="D156" s="382">
        <f>D153</f>
        <v>0.2</v>
      </c>
      <c r="E156" s="382"/>
      <c r="F156" s="382"/>
      <c r="G156" s="382"/>
      <c r="H156" s="382"/>
      <c r="I156" s="382"/>
      <c r="J156" s="382">
        <f>J152</f>
        <v>1</v>
      </c>
      <c r="K156" s="382"/>
      <c r="L156" s="382">
        <f>L154</f>
        <v>5</v>
      </c>
      <c r="M156" s="382">
        <f>C156*D156*J156*L156</f>
        <v>10</v>
      </c>
      <c r="N156" s="1141"/>
      <c r="O156" s="1142"/>
      <c r="P156" s="621"/>
      <c r="Q156" s="1142"/>
      <c r="R156" s="1142"/>
      <c r="S156" s="1142"/>
      <c r="T156" s="1143"/>
      <c r="U156" s="1143"/>
      <c r="V156" s="1143"/>
    </row>
    <row r="157" spans="1:22" ht="15.75" customHeight="1">
      <c r="A157" s="1145"/>
      <c r="B157" s="357"/>
      <c r="C157" s="382">
        <f>C155</f>
        <v>5</v>
      </c>
      <c r="D157" s="382">
        <f>D156</f>
        <v>0.2</v>
      </c>
      <c r="E157" s="382"/>
      <c r="F157" s="382"/>
      <c r="G157" s="382"/>
      <c r="H157" s="382"/>
      <c r="I157" s="382"/>
      <c r="J157" s="382">
        <f>J153</f>
        <v>1</v>
      </c>
      <c r="K157" s="382"/>
      <c r="L157" s="382">
        <f>L155</f>
        <v>1</v>
      </c>
      <c r="M157" s="382">
        <f>C157*D157*J157*L157</f>
        <v>1</v>
      </c>
      <c r="N157" s="1141"/>
      <c r="O157" s="1142"/>
      <c r="P157" s="621"/>
      <c r="Q157" s="1142"/>
      <c r="R157" s="1142"/>
      <c r="S157" s="1142"/>
      <c r="T157" s="1143"/>
      <c r="U157" s="1143"/>
      <c r="V157" s="1143"/>
    </row>
    <row r="158" spans="1:22" ht="15.75" customHeight="1">
      <c r="A158" s="1145"/>
      <c r="B158" s="357"/>
      <c r="C158" s="382"/>
      <c r="D158" s="382"/>
      <c r="E158" s="382"/>
      <c r="F158" s="382"/>
      <c r="G158" s="382"/>
      <c r="H158" s="382"/>
      <c r="I158" s="382"/>
      <c r="J158" s="382"/>
      <c r="K158" s="382"/>
      <c r="L158" s="382"/>
      <c r="M158" s="382">
        <f>SUM(M150:M157)</f>
        <v>99.9</v>
      </c>
      <c r="N158" s="1141" t="s">
        <v>89</v>
      </c>
      <c r="O158" s="1142"/>
      <c r="P158" s="1142"/>
      <c r="Q158" s="1142"/>
      <c r="R158" s="1142"/>
      <c r="S158" s="1142"/>
      <c r="T158" s="1143"/>
      <c r="U158" s="1143"/>
      <c r="V158" s="1143"/>
    </row>
    <row r="159" spans="1:22" ht="15.75" customHeight="1">
      <c r="A159" s="1145" t="s">
        <v>98</v>
      </c>
      <c r="B159" s="357" t="s">
        <v>902</v>
      </c>
      <c r="C159" s="382"/>
      <c r="D159" s="382"/>
      <c r="E159" s="382"/>
      <c r="F159" s="382"/>
      <c r="G159" s="382"/>
      <c r="H159" s="382"/>
      <c r="I159" s="382"/>
      <c r="J159" s="382"/>
      <c r="K159" s="382"/>
      <c r="L159" s="382"/>
      <c r="M159" s="382"/>
      <c r="N159" s="1141"/>
      <c r="O159" s="1142"/>
      <c r="P159" s="1142"/>
      <c r="Q159" s="1142"/>
      <c r="R159" s="1142"/>
      <c r="S159" s="1142"/>
      <c r="T159" s="1143"/>
      <c r="U159" s="1143"/>
      <c r="V159" s="1143"/>
    </row>
    <row r="160" spans="1:22" ht="15.75" customHeight="1">
      <c r="A160" s="1145"/>
      <c r="B160" s="569" t="s">
        <v>226</v>
      </c>
      <c r="C160" s="382">
        <f>C104</f>
        <v>20</v>
      </c>
      <c r="D160" s="382"/>
      <c r="E160" s="382"/>
      <c r="F160" s="382">
        <f>13*13*0.006165</f>
        <v>1.041885</v>
      </c>
      <c r="G160" s="382"/>
      <c r="H160" s="382"/>
      <c r="I160" s="382"/>
      <c r="J160" s="382"/>
      <c r="K160" s="382">
        <v>8</v>
      </c>
      <c r="L160" s="382">
        <f>L104</f>
        <v>2</v>
      </c>
      <c r="M160" s="382">
        <f>C160*F160*K160*L160</f>
        <v>333.40319999999997</v>
      </c>
      <c r="N160" s="1141"/>
      <c r="O160" s="1142"/>
      <c r="P160" s="1142"/>
      <c r="Q160" s="1142"/>
      <c r="R160" s="1142"/>
      <c r="S160" s="1142"/>
      <c r="T160" s="1143"/>
      <c r="U160" s="1143"/>
      <c r="V160" s="1143"/>
    </row>
    <row r="161" spans="1:22" ht="15.75" customHeight="1">
      <c r="A161" s="1145"/>
      <c r="B161" s="357"/>
      <c r="C161" s="382">
        <f>C105</f>
        <v>16</v>
      </c>
      <c r="D161" s="382"/>
      <c r="E161" s="382"/>
      <c r="F161" s="382">
        <f>F160</f>
        <v>1.041885</v>
      </c>
      <c r="G161" s="382"/>
      <c r="H161" s="382"/>
      <c r="I161" s="382"/>
      <c r="J161" s="382"/>
      <c r="K161" s="382">
        <f>K160</f>
        <v>8</v>
      </c>
      <c r="L161" s="382">
        <f>L105</f>
        <v>1</v>
      </c>
      <c r="M161" s="382">
        <f>C161*F161*K161*L161</f>
        <v>133.36127999999999</v>
      </c>
      <c r="N161" s="1141"/>
      <c r="O161" s="1142"/>
      <c r="P161" s="1142"/>
      <c r="Q161" s="1142"/>
      <c r="R161" s="1142"/>
      <c r="S161" s="1142"/>
      <c r="T161" s="1143"/>
      <c r="U161" s="1143"/>
      <c r="V161" s="1143"/>
    </row>
    <row r="162" spans="1:22" ht="15.75" customHeight="1">
      <c r="A162" s="1145"/>
      <c r="B162" s="569" t="s">
        <v>227</v>
      </c>
      <c r="C162" s="382">
        <f>C106</f>
        <v>10</v>
      </c>
      <c r="D162" s="382"/>
      <c r="E162" s="382"/>
      <c r="F162" s="382">
        <f>F161</f>
        <v>1.041885</v>
      </c>
      <c r="G162" s="382"/>
      <c r="H162" s="382"/>
      <c r="I162" s="382"/>
      <c r="J162" s="382"/>
      <c r="K162" s="382">
        <f>K161</f>
        <v>8</v>
      </c>
      <c r="L162" s="382">
        <f>L106</f>
        <v>5</v>
      </c>
      <c r="M162" s="382">
        <f>C162*F162*K162*L162</f>
        <v>416.75399999999996</v>
      </c>
      <c r="N162" s="1141"/>
      <c r="O162" s="1142"/>
      <c r="P162" s="1142"/>
      <c r="Q162" s="1142"/>
      <c r="R162" s="1142"/>
      <c r="S162" s="1142"/>
      <c r="T162" s="1143"/>
      <c r="U162" s="1143"/>
      <c r="V162" s="1143"/>
    </row>
    <row r="163" spans="1:22" ht="15.75" customHeight="1">
      <c r="A163" s="1145"/>
      <c r="B163" s="357"/>
      <c r="C163" s="382">
        <f>C107</f>
        <v>5</v>
      </c>
      <c r="D163" s="382"/>
      <c r="E163" s="382"/>
      <c r="F163" s="382">
        <f>F162</f>
        <v>1.041885</v>
      </c>
      <c r="G163" s="382"/>
      <c r="H163" s="382"/>
      <c r="I163" s="382"/>
      <c r="J163" s="382"/>
      <c r="K163" s="382">
        <f>K162</f>
        <v>8</v>
      </c>
      <c r="L163" s="382">
        <f>L107</f>
        <v>1</v>
      </c>
      <c r="M163" s="382">
        <f>C163*F163*K163*L163</f>
        <v>41.675399999999996</v>
      </c>
      <c r="N163" s="1141"/>
      <c r="O163" s="1142"/>
      <c r="P163" s="1142"/>
      <c r="Q163" s="1142"/>
      <c r="R163" s="1142"/>
      <c r="S163" s="1142"/>
      <c r="T163" s="1143"/>
      <c r="U163" s="1143"/>
      <c r="V163" s="1143"/>
    </row>
    <row r="164" spans="1:22" ht="15.75" customHeight="1">
      <c r="A164" s="1145"/>
      <c r="B164" s="357"/>
      <c r="C164" s="382"/>
      <c r="D164" s="382"/>
      <c r="E164" s="382"/>
      <c r="F164" s="382"/>
      <c r="G164" s="382"/>
      <c r="H164" s="382"/>
      <c r="I164" s="382"/>
      <c r="J164" s="382"/>
      <c r="K164" s="382"/>
      <c r="L164" s="382"/>
      <c r="M164" s="382">
        <f>SUM(M160:M163)</f>
        <v>925.19387999999992</v>
      </c>
      <c r="N164" s="1141" t="s">
        <v>100</v>
      </c>
      <c r="O164" s="1142"/>
      <c r="P164" s="1142"/>
      <c r="Q164" s="1142"/>
      <c r="R164" s="1142"/>
      <c r="S164" s="1142"/>
      <c r="T164" s="1143"/>
      <c r="U164" s="1143"/>
      <c r="V164" s="1143"/>
    </row>
    <row r="165" spans="1:22" ht="15.75" customHeight="1">
      <c r="A165" s="1145" t="s">
        <v>101</v>
      </c>
      <c r="B165" s="357" t="s">
        <v>899</v>
      </c>
      <c r="C165" s="382"/>
      <c r="D165" s="382"/>
      <c r="E165" s="382"/>
      <c r="F165" s="382"/>
      <c r="G165" s="382"/>
      <c r="H165" s="382"/>
      <c r="I165" s="382"/>
      <c r="J165" s="382"/>
      <c r="K165" s="382"/>
      <c r="L165" s="382"/>
      <c r="M165" s="382"/>
      <c r="N165" s="1141"/>
      <c r="O165" s="1142"/>
      <c r="P165" s="1142"/>
      <c r="Q165" s="1142"/>
      <c r="R165" s="1142"/>
      <c r="S165" s="1142"/>
      <c r="T165" s="1143"/>
      <c r="U165" s="1143"/>
      <c r="V165" s="1143"/>
    </row>
    <row r="166" spans="1:22" ht="15.75" customHeight="1">
      <c r="A166" s="1145"/>
      <c r="B166" s="569" t="s">
        <v>226</v>
      </c>
      <c r="C166" s="382">
        <f>(0.12+0.27)*2</f>
        <v>0.78</v>
      </c>
      <c r="D166" s="382"/>
      <c r="E166" s="382"/>
      <c r="F166" s="382">
        <f>8*8*0.006165</f>
        <v>0.39456000000000002</v>
      </c>
      <c r="G166" s="382"/>
      <c r="H166" s="382"/>
      <c r="I166" s="382">
        <v>0.1</v>
      </c>
      <c r="J166" s="382"/>
      <c r="K166" s="382">
        <f>ROUNDUP((C160/0.125),0.5)</f>
        <v>160</v>
      </c>
      <c r="L166" s="382">
        <f>L160</f>
        <v>2</v>
      </c>
      <c r="M166" s="382">
        <f>(C166+I166)*F166*K166*L166</f>
        <v>111.10809600000002</v>
      </c>
      <c r="N166" s="1141"/>
      <c r="O166" s="1142"/>
      <c r="P166" s="1142"/>
      <c r="Q166" s="1142"/>
      <c r="R166" s="1142"/>
      <c r="S166" s="1142"/>
      <c r="T166" s="1143"/>
      <c r="U166" s="1143"/>
      <c r="V166" s="1143"/>
    </row>
    <row r="167" spans="1:22" ht="15.75" customHeight="1">
      <c r="A167" s="1145"/>
      <c r="B167" s="357"/>
      <c r="C167" s="382">
        <f>C166</f>
        <v>0.78</v>
      </c>
      <c r="D167" s="382"/>
      <c r="E167" s="382"/>
      <c r="F167" s="382">
        <f>F166</f>
        <v>0.39456000000000002</v>
      </c>
      <c r="G167" s="382"/>
      <c r="H167" s="382"/>
      <c r="I167" s="382">
        <f>I166</f>
        <v>0.1</v>
      </c>
      <c r="J167" s="382"/>
      <c r="K167" s="382">
        <f>ROUNDUP((C161/0.125),0.5)</f>
        <v>128</v>
      </c>
      <c r="L167" s="382">
        <f>L161</f>
        <v>1</v>
      </c>
      <c r="M167" s="382">
        <f>(C167+I167)*F167*K167*L167</f>
        <v>44.443238400000006</v>
      </c>
      <c r="N167" s="1141"/>
      <c r="O167" s="1142"/>
      <c r="P167" s="1142"/>
      <c r="Q167" s="1142"/>
      <c r="R167" s="1142"/>
      <c r="S167" s="1142"/>
      <c r="T167" s="1143"/>
      <c r="U167" s="1143"/>
      <c r="V167" s="1143"/>
    </row>
    <row r="168" spans="1:22" ht="15.75" customHeight="1">
      <c r="A168" s="1145"/>
      <c r="B168" s="569" t="s">
        <v>227</v>
      </c>
      <c r="C168" s="382">
        <f>C167</f>
        <v>0.78</v>
      </c>
      <c r="D168" s="382"/>
      <c r="E168" s="382"/>
      <c r="F168" s="382">
        <f>F167</f>
        <v>0.39456000000000002</v>
      </c>
      <c r="G168" s="382"/>
      <c r="H168" s="382"/>
      <c r="I168" s="382">
        <f>I167</f>
        <v>0.1</v>
      </c>
      <c r="J168" s="382"/>
      <c r="K168" s="382">
        <f>ROUNDUP((C162/0.125),0.5)</f>
        <v>80</v>
      </c>
      <c r="L168" s="382">
        <f>L162</f>
        <v>5</v>
      </c>
      <c r="M168" s="382">
        <f>(C168+I168)*F168*K168*L168</f>
        <v>138.88512000000003</v>
      </c>
      <c r="N168" s="1141"/>
      <c r="O168" s="1142"/>
      <c r="P168" s="1142"/>
      <c r="Q168" s="1142"/>
      <c r="R168" s="1142"/>
      <c r="S168" s="1142"/>
      <c r="T168" s="1143"/>
      <c r="U168" s="1143"/>
      <c r="V168" s="1143"/>
    </row>
    <row r="169" spans="1:22" ht="15.75" customHeight="1">
      <c r="A169" s="1145"/>
      <c r="B169" s="357"/>
      <c r="C169" s="382">
        <f>C168</f>
        <v>0.78</v>
      </c>
      <c r="D169" s="382"/>
      <c r="E169" s="382"/>
      <c r="F169" s="382">
        <f>F168</f>
        <v>0.39456000000000002</v>
      </c>
      <c r="G169" s="382"/>
      <c r="H169" s="382"/>
      <c r="I169" s="382">
        <f>I168</f>
        <v>0.1</v>
      </c>
      <c r="J169" s="382"/>
      <c r="K169" s="382">
        <f>ROUNDUP((C163/0.125),0.5)</f>
        <v>40</v>
      </c>
      <c r="L169" s="382">
        <f>L163</f>
        <v>1</v>
      </c>
      <c r="M169" s="382">
        <f>(C169+I169)*F169*K169*L169</f>
        <v>13.888512000000002</v>
      </c>
      <c r="N169" s="1141"/>
      <c r="O169" s="1142"/>
      <c r="P169" s="1142"/>
      <c r="Q169" s="1142"/>
      <c r="R169" s="1142"/>
      <c r="S169" s="1142"/>
      <c r="T169" s="1143"/>
      <c r="U169" s="1143"/>
      <c r="V169" s="1143"/>
    </row>
    <row r="170" spans="1:22" ht="15.75" customHeight="1">
      <c r="A170" s="1145"/>
      <c r="B170" s="357"/>
      <c r="C170" s="382"/>
      <c r="D170" s="382"/>
      <c r="E170" s="382"/>
      <c r="F170" s="382"/>
      <c r="G170" s="382"/>
      <c r="H170" s="382"/>
      <c r="I170" s="382"/>
      <c r="J170" s="382"/>
      <c r="K170" s="382"/>
      <c r="L170" s="382"/>
      <c r="M170" s="382">
        <f>SUM(M166:M169)</f>
        <v>308.32496640000005</v>
      </c>
      <c r="N170" s="1141" t="s">
        <v>100</v>
      </c>
      <c r="O170" s="1142"/>
      <c r="P170" s="1142"/>
      <c r="Q170" s="1142"/>
      <c r="R170" s="1142"/>
      <c r="S170" s="1142"/>
      <c r="T170" s="1143"/>
      <c r="U170" s="1143"/>
      <c r="V170" s="1143"/>
    </row>
    <row r="171" spans="1:22" ht="15.75" customHeight="1">
      <c r="A171" s="1145" t="s">
        <v>121</v>
      </c>
      <c r="B171" s="357" t="s">
        <v>420</v>
      </c>
      <c r="C171" s="382"/>
      <c r="D171" s="382"/>
      <c r="E171" s="382"/>
      <c r="F171" s="382"/>
      <c r="G171" s="382"/>
      <c r="H171" s="382"/>
      <c r="I171" s="382"/>
      <c r="J171" s="382"/>
      <c r="K171" s="382"/>
      <c r="L171" s="382"/>
      <c r="M171" s="382"/>
      <c r="N171" s="1141"/>
      <c r="O171" s="1142"/>
      <c r="P171" s="1142"/>
      <c r="Q171" s="1142"/>
      <c r="R171" s="1142"/>
      <c r="S171" s="1142"/>
      <c r="T171" s="1143"/>
      <c r="U171" s="1143"/>
      <c r="V171" s="1143"/>
    </row>
    <row r="172" spans="1:22" ht="15.75" customHeight="1">
      <c r="A172" s="1145"/>
      <c r="B172" s="569" t="s">
        <v>226</v>
      </c>
      <c r="C172" s="382">
        <f>C160</f>
        <v>20</v>
      </c>
      <c r="D172" s="382">
        <v>0.2</v>
      </c>
      <c r="E172" s="382">
        <v>0.35</v>
      </c>
      <c r="F172" s="382"/>
      <c r="G172" s="382"/>
      <c r="H172" s="382"/>
      <c r="I172" s="382"/>
      <c r="J172" s="382"/>
      <c r="K172" s="382"/>
      <c r="L172" s="382">
        <f>L166</f>
        <v>2</v>
      </c>
      <c r="M172" s="382">
        <f>C172*D172*E172*L172</f>
        <v>2.8</v>
      </c>
      <c r="N172" s="1141"/>
      <c r="O172" s="1142"/>
      <c r="P172" s="1142"/>
      <c r="Q172" s="1142"/>
      <c r="R172" s="1142"/>
      <c r="S172" s="1142"/>
      <c r="T172" s="1143"/>
      <c r="U172" s="1143"/>
      <c r="V172" s="1143"/>
    </row>
    <row r="173" spans="1:22" ht="15.75" customHeight="1">
      <c r="A173" s="1145"/>
      <c r="B173" s="569"/>
      <c r="C173" s="382">
        <f>C161</f>
        <v>16</v>
      </c>
      <c r="D173" s="382">
        <f t="shared" ref="D173:E175" si="6">D172</f>
        <v>0.2</v>
      </c>
      <c r="E173" s="382">
        <f t="shared" si="6"/>
        <v>0.35</v>
      </c>
      <c r="F173" s="382"/>
      <c r="G173" s="382"/>
      <c r="H173" s="382"/>
      <c r="I173" s="382"/>
      <c r="J173" s="382"/>
      <c r="K173" s="382"/>
      <c r="L173" s="382">
        <f>L167</f>
        <v>1</v>
      </c>
      <c r="M173" s="382">
        <f>C173*D173*E173*L173</f>
        <v>1.1199999999999999</v>
      </c>
      <c r="N173" s="1141"/>
      <c r="O173" s="1142"/>
      <c r="P173" s="1142"/>
      <c r="Q173" s="1142"/>
      <c r="R173" s="1142"/>
      <c r="S173" s="1142"/>
      <c r="T173" s="1143"/>
      <c r="U173" s="1143"/>
      <c r="V173" s="1143"/>
    </row>
    <row r="174" spans="1:22" ht="15.75" customHeight="1">
      <c r="A174" s="1145"/>
      <c r="B174" s="569" t="s">
        <v>227</v>
      </c>
      <c r="C174" s="382">
        <f>C162</f>
        <v>10</v>
      </c>
      <c r="D174" s="382">
        <f t="shared" si="6"/>
        <v>0.2</v>
      </c>
      <c r="E174" s="382">
        <f t="shared" si="6"/>
        <v>0.35</v>
      </c>
      <c r="F174" s="382"/>
      <c r="G174" s="382"/>
      <c r="H174" s="382"/>
      <c r="I174" s="382"/>
      <c r="J174" s="382"/>
      <c r="K174" s="382"/>
      <c r="L174" s="382">
        <f>L168</f>
        <v>5</v>
      </c>
      <c r="M174" s="382">
        <f>C174*D174*E174*L174</f>
        <v>3.5</v>
      </c>
      <c r="N174" s="1141"/>
      <c r="O174" s="1142"/>
      <c r="P174" s="1142"/>
      <c r="Q174" s="1142"/>
      <c r="R174" s="1142"/>
      <c r="S174" s="1142"/>
      <c r="T174" s="1143"/>
      <c r="U174" s="1143"/>
      <c r="V174" s="1143"/>
    </row>
    <row r="175" spans="1:22" ht="15.75" customHeight="1">
      <c r="A175" s="1145"/>
      <c r="B175" s="357"/>
      <c r="C175" s="382">
        <f>C163</f>
        <v>5</v>
      </c>
      <c r="D175" s="382">
        <f t="shared" si="6"/>
        <v>0.2</v>
      </c>
      <c r="E175" s="382">
        <f t="shared" si="6"/>
        <v>0.35</v>
      </c>
      <c r="F175" s="382"/>
      <c r="G175" s="382"/>
      <c r="H175" s="382"/>
      <c r="I175" s="382"/>
      <c r="J175" s="382"/>
      <c r="K175" s="382"/>
      <c r="L175" s="382">
        <f>L169</f>
        <v>1</v>
      </c>
      <c r="M175" s="382">
        <f>C175*D175*E175*L175</f>
        <v>0.35</v>
      </c>
      <c r="N175" s="1141"/>
      <c r="O175" s="1142"/>
      <c r="P175" s="1142"/>
      <c r="Q175" s="1142"/>
      <c r="R175" s="1142"/>
      <c r="S175" s="1142"/>
      <c r="T175" s="1143"/>
      <c r="U175" s="1143"/>
      <c r="V175" s="1143"/>
    </row>
    <row r="176" spans="1:22" ht="15.75" customHeight="1">
      <c r="A176" s="1145"/>
      <c r="B176" s="357"/>
      <c r="C176" s="382"/>
      <c r="D176" s="382"/>
      <c r="E176" s="382"/>
      <c r="F176" s="382"/>
      <c r="G176" s="382"/>
      <c r="H176" s="382"/>
      <c r="I176" s="382"/>
      <c r="J176" s="382"/>
      <c r="K176" s="382"/>
      <c r="L176" s="382"/>
      <c r="M176" s="382">
        <f>SUM(M172:M175)</f>
        <v>7.77</v>
      </c>
      <c r="N176" s="1141" t="s">
        <v>103</v>
      </c>
      <c r="O176" s="1142"/>
      <c r="P176" s="1142"/>
      <c r="Q176" s="1142"/>
      <c r="R176" s="1142"/>
      <c r="S176" s="1142"/>
      <c r="T176" s="1143"/>
      <c r="U176" s="1143"/>
      <c r="V176" s="1143"/>
    </row>
    <row r="177" spans="1:22" ht="15.75" customHeight="1">
      <c r="A177" s="1140">
        <f>A148+1</f>
        <v>8</v>
      </c>
      <c r="B177" s="357" t="s">
        <v>1527</v>
      </c>
      <c r="C177" s="382"/>
      <c r="D177" s="382"/>
      <c r="E177" s="382"/>
      <c r="F177" s="382"/>
      <c r="G177" s="382"/>
      <c r="H177" s="382"/>
      <c r="I177" s="382"/>
      <c r="J177" s="382"/>
      <c r="K177" s="382"/>
      <c r="L177" s="382"/>
      <c r="M177" s="382"/>
      <c r="N177" s="1141"/>
      <c r="O177" s="1142"/>
      <c r="P177" s="1142"/>
      <c r="Q177" s="1142"/>
      <c r="R177" s="1142"/>
      <c r="S177" s="1142"/>
      <c r="T177" s="1143"/>
      <c r="U177" s="1143"/>
      <c r="V177" s="1143"/>
    </row>
    <row r="178" spans="1:22" ht="15.75" customHeight="1">
      <c r="A178" s="1145" t="s">
        <v>95</v>
      </c>
      <c r="B178" s="357" t="s">
        <v>423</v>
      </c>
      <c r="C178" s="382"/>
      <c r="D178" s="382"/>
      <c r="E178" s="382"/>
      <c r="F178" s="382"/>
      <c r="G178" s="382"/>
      <c r="H178" s="382"/>
      <c r="I178" s="382"/>
      <c r="J178" s="382"/>
      <c r="K178" s="382"/>
      <c r="L178" s="382"/>
      <c r="M178" s="382"/>
      <c r="N178" s="1141"/>
      <c r="O178" s="1142"/>
      <c r="P178" s="1142"/>
      <c r="Q178" s="1142"/>
      <c r="R178" s="1142"/>
      <c r="S178" s="1142"/>
      <c r="T178" s="1143"/>
      <c r="U178" s="1143"/>
      <c r="V178" s="1143"/>
    </row>
    <row r="179" spans="1:22" ht="15.75" customHeight="1">
      <c r="A179" s="1145"/>
      <c r="B179" s="569" t="s">
        <v>1528</v>
      </c>
      <c r="C179" s="382">
        <v>5</v>
      </c>
      <c r="D179" s="382">
        <v>0.15</v>
      </c>
      <c r="E179" s="382"/>
      <c r="F179" s="382"/>
      <c r="G179" s="382"/>
      <c r="H179" s="382"/>
      <c r="I179" s="382"/>
      <c r="J179" s="382">
        <v>1</v>
      </c>
      <c r="K179" s="382"/>
      <c r="L179" s="382"/>
      <c r="M179" s="382">
        <f>C179*D179*J179</f>
        <v>0.75</v>
      </c>
      <c r="N179" s="1141"/>
      <c r="O179" s="1142"/>
      <c r="P179" s="1142"/>
      <c r="Q179" s="1142"/>
      <c r="R179" s="1142"/>
      <c r="S179" s="1142"/>
      <c r="T179" s="1143"/>
      <c r="U179" s="1143"/>
      <c r="V179" s="1143"/>
    </row>
    <row r="180" spans="1:22" ht="15.75" customHeight="1">
      <c r="A180" s="1145"/>
      <c r="B180" s="569"/>
      <c r="C180" s="382">
        <f>C179</f>
        <v>5</v>
      </c>
      <c r="D180" s="382"/>
      <c r="E180" s="382">
        <v>0.2</v>
      </c>
      <c r="F180" s="382"/>
      <c r="G180" s="382"/>
      <c r="H180" s="382"/>
      <c r="I180" s="382"/>
      <c r="J180" s="382">
        <v>2</v>
      </c>
      <c r="K180" s="382"/>
      <c r="L180" s="382"/>
      <c r="M180" s="382">
        <f>C180*E180*J180</f>
        <v>2</v>
      </c>
      <c r="N180" s="1141"/>
      <c r="O180" s="1142"/>
      <c r="P180" s="1142"/>
      <c r="Q180" s="1142"/>
      <c r="R180" s="1142"/>
      <c r="S180" s="1142"/>
      <c r="T180" s="1143"/>
      <c r="U180" s="1143"/>
      <c r="V180" s="1143"/>
    </row>
    <row r="181" spans="1:22" ht="15.75" customHeight="1">
      <c r="A181" s="1145"/>
      <c r="B181" s="357"/>
      <c r="C181" s="382"/>
      <c r="D181" s="382"/>
      <c r="E181" s="382"/>
      <c r="F181" s="382"/>
      <c r="G181" s="382"/>
      <c r="H181" s="382"/>
      <c r="I181" s="382"/>
      <c r="J181" s="382"/>
      <c r="K181" s="382"/>
      <c r="L181" s="382"/>
      <c r="M181" s="382">
        <f>SUM(M179:M180)</f>
        <v>2.75</v>
      </c>
      <c r="N181" s="1141" t="s">
        <v>89</v>
      </c>
      <c r="O181" s="1142"/>
      <c r="P181" s="1142"/>
      <c r="Q181" s="1142"/>
      <c r="R181" s="1142"/>
      <c r="S181" s="1142"/>
      <c r="T181" s="1143"/>
      <c r="U181" s="1143"/>
      <c r="V181" s="1143"/>
    </row>
    <row r="182" spans="1:22" ht="15.75" customHeight="1">
      <c r="A182" s="1145" t="s">
        <v>98</v>
      </c>
      <c r="B182" s="357" t="s">
        <v>900</v>
      </c>
      <c r="C182" s="382">
        <f>C179</f>
        <v>5</v>
      </c>
      <c r="D182" s="382"/>
      <c r="E182" s="382"/>
      <c r="F182" s="382">
        <f>13*13*0.006165</f>
        <v>1.041885</v>
      </c>
      <c r="G182" s="382"/>
      <c r="H182" s="382"/>
      <c r="I182" s="382"/>
      <c r="J182" s="382"/>
      <c r="K182" s="382">
        <v>4</v>
      </c>
      <c r="L182" s="382"/>
      <c r="M182" s="382">
        <f>C182*F182*K182</f>
        <v>20.837699999999998</v>
      </c>
      <c r="N182" s="1141" t="s">
        <v>100</v>
      </c>
      <c r="O182" s="1142"/>
      <c r="P182" s="1142"/>
      <c r="Q182" s="1142"/>
      <c r="R182" s="1142"/>
      <c r="S182" s="1142"/>
      <c r="T182" s="1143"/>
      <c r="U182" s="1143"/>
      <c r="V182" s="1143"/>
    </row>
    <row r="183" spans="1:22" ht="15.75" customHeight="1">
      <c r="A183" s="1145" t="s">
        <v>101</v>
      </c>
      <c r="B183" s="357" t="s">
        <v>899</v>
      </c>
      <c r="C183" s="382">
        <f>(0.09+0.12)*2</f>
        <v>0.42</v>
      </c>
      <c r="D183" s="382"/>
      <c r="E183" s="382"/>
      <c r="F183" s="382">
        <f>8*8*0.006165</f>
        <v>0.39456000000000002</v>
      </c>
      <c r="G183" s="382"/>
      <c r="H183" s="382"/>
      <c r="I183" s="382">
        <v>0.1</v>
      </c>
      <c r="J183" s="382"/>
      <c r="K183" s="382">
        <f>ROUNDUP((C182/0.125),0.5)</f>
        <v>40</v>
      </c>
      <c r="L183" s="382"/>
      <c r="M183" s="382">
        <f>(C183+I183)*F183*K183</f>
        <v>8.2068480000000008</v>
      </c>
      <c r="N183" s="1141" t="s">
        <v>100</v>
      </c>
      <c r="O183" s="1142"/>
      <c r="P183" s="1142"/>
      <c r="Q183" s="1142"/>
      <c r="R183" s="1142"/>
      <c r="S183" s="1142"/>
      <c r="T183" s="1143"/>
      <c r="U183" s="1143"/>
      <c r="V183" s="1143"/>
    </row>
    <row r="184" spans="1:22" ht="15.75" customHeight="1">
      <c r="A184" s="1145" t="s">
        <v>121</v>
      </c>
      <c r="B184" s="357" t="s">
        <v>420</v>
      </c>
      <c r="C184" s="382">
        <f>C179</f>
        <v>5</v>
      </c>
      <c r="D184" s="382">
        <f>D179</f>
        <v>0.15</v>
      </c>
      <c r="E184" s="382">
        <f>E180</f>
        <v>0.2</v>
      </c>
      <c r="F184" s="382"/>
      <c r="G184" s="382"/>
      <c r="H184" s="382"/>
      <c r="I184" s="382"/>
      <c r="J184" s="382"/>
      <c r="K184" s="382"/>
      <c r="L184" s="382"/>
      <c r="M184" s="382">
        <f>C184*D184*E184</f>
        <v>0.15000000000000002</v>
      </c>
      <c r="N184" s="1141" t="s">
        <v>103</v>
      </c>
      <c r="O184" s="1142"/>
      <c r="P184" s="1142"/>
      <c r="Q184" s="1142"/>
      <c r="R184" s="1142"/>
      <c r="S184" s="1142"/>
      <c r="T184" s="1143"/>
      <c r="U184" s="1143"/>
      <c r="V184" s="1143"/>
    </row>
    <row r="185" spans="1:22" ht="15.75" customHeight="1">
      <c r="A185" s="1140">
        <f>A177+1</f>
        <v>9</v>
      </c>
      <c r="B185" s="357" t="s">
        <v>500</v>
      </c>
      <c r="C185" s="382"/>
      <c r="D185" s="382"/>
      <c r="E185" s="382"/>
      <c r="F185" s="382"/>
      <c r="G185" s="382"/>
      <c r="H185" s="382"/>
      <c r="I185" s="382"/>
      <c r="J185" s="382"/>
      <c r="K185" s="382"/>
      <c r="L185" s="382"/>
      <c r="M185" s="382"/>
      <c r="N185" s="1141"/>
      <c r="O185" s="1142"/>
      <c r="P185" s="1142"/>
      <c r="Q185" s="1142"/>
      <c r="R185" s="1142"/>
      <c r="S185" s="1142"/>
      <c r="T185" s="1143"/>
      <c r="U185" s="1143"/>
      <c r="V185" s="1143"/>
    </row>
    <row r="186" spans="1:22" ht="15.75" customHeight="1">
      <c r="A186" s="1145" t="s">
        <v>95</v>
      </c>
      <c r="B186" s="357" t="s">
        <v>423</v>
      </c>
      <c r="C186" s="382"/>
      <c r="D186" s="382"/>
      <c r="E186" s="382"/>
      <c r="F186" s="382"/>
      <c r="G186" s="382"/>
      <c r="H186" s="382"/>
      <c r="I186" s="382"/>
      <c r="J186" s="382"/>
      <c r="K186" s="382"/>
      <c r="L186" s="382"/>
      <c r="M186" s="382"/>
      <c r="N186" s="1141"/>
      <c r="O186" s="1142"/>
      <c r="P186" s="1142"/>
      <c r="Q186" s="1142"/>
      <c r="R186" s="1142"/>
      <c r="S186" s="1142"/>
      <c r="T186" s="1143"/>
      <c r="U186" s="1143"/>
      <c r="V186" s="1143"/>
    </row>
    <row r="187" spans="1:22" ht="15.75" customHeight="1">
      <c r="A187" s="1145"/>
      <c r="B187" s="569" t="s">
        <v>1953</v>
      </c>
      <c r="C187" s="382">
        <v>10</v>
      </c>
      <c r="D187" s="382"/>
      <c r="E187" s="382">
        <v>0.15</v>
      </c>
      <c r="F187" s="382"/>
      <c r="G187" s="382"/>
      <c r="H187" s="382">
        <v>2</v>
      </c>
      <c r="I187" s="382"/>
      <c r="J187" s="382"/>
      <c r="K187" s="382"/>
      <c r="L187" s="382">
        <v>2</v>
      </c>
      <c r="M187" s="382">
        <f>C187*E187*H187*L187</f>
        <v>6</v>
      </c>
      <c r="N187" s="1141"/>
      <c r="O187" s="1142"/>
      <c r="P187" s="1142"/>
      <c r="Q187" s="1142"/>
      <c r="R187" s="1142"/>
      <c r="S187" s="1142"/>
      <c r="T187" s="1143"/>
      <c r="U187" s="1143"/>
      <c r="V187" s="1143"/>
    </row>
    <row r="188" spans="1:22" ht="15.75" customHeight="1">
      <c r="A188" s="1145"/>
      <c r="B188" s="569" t="s">
        <v>1954</v>
      </c>
      <c r="C188" s="382">
        <v>5</v>
      </c>
      <c r="D188" s="382"/>
      <c r="E188" s="382">
        <f>E187</f>
        <v>0.15</v>
      </c>
      <c r="F188" s="382"/>
      <c r="G188" s="382"/>
      <c r="H188" s="382">
        <f>H187</f>
        <v>2</v>
      </c>
      <c r="I188" s="382"/>
      <c r="J188" s="382"/>
      <c r="K188" s="382"/>
      <c r="L188" s="382">
        <v>3</v>
      </c>
      <c r="M188" s="382">
        <f>C188*E188*H188*L188</f>
        <v>4.5</v>
      </c>
      <c r="N188" s="1141"/>
      <c r="O188" s="1142"/>
      <c r="P188" s="1142"/>
      <c r="Q188" s="1142"/>
      <c r="R188" s="1142"/>
      <c r="S188" s="1142"/>
      <c r="T188" s="1143"/>
      <c r="U188" s="1143"/>
      <c r="V188" s="1143"/>
    </row>
    <row r="189" spans="1:22" ht="15.75" customHeight="1">
      <c r="A189" s="1145"/>
      <c r="B189" s="569"/>
      <c r="C189" s="382">
        <v>3</v>
      </c>
      <c r="D189" s="382"/>
      <c r="E189" s="382">
        <v>0.15</v>
      </c>
      <c r="F189" s="382"/>
      <c r="G189" s="382"/>
      <c r="H189" s="382">
        <f>H188</f>
        <v>2</v>
      </c>
      <c r="I189" s="382"/>
      <c r="J189" s="382"/>
      <c r="K189" s="382"/>
      <c r="L189" s="382">
        <v>2</v>
      </c>
      <c r="M189" s="382">
        <f>C189*E189*H189*L189</f>
        <v>1.7999999999999998</v>
      </c>
      <c r="N189" s="1141"/>
      <c r="O189" s="1142"/>
      <c r="P189" s="1142"/>
      <c r="Q189" s="1142"/>
      <c r="R189" s="1142"/>
      <c r="S189" s="1142"/>
      <c r="T189" s="1143"/>
      <c r="U189" s="1143"/>
      <c r="V189" s="1143"/>
    </row>
    <row r="190" spans="1:22" ht="15.75" customHeight="1">
      <c r="A190" s="1145"/>
      <c r="B190" s="569"/>
      <c r="C190" s="382"/>
      <c r="D190" s="382"/>
      <c r="E190" s="382"/>
      <c r="F190" s="382"/>
      <c r="G190" s="382"/>
      <c r="H190" s="382"/>
      <c r="I190" s="382"/>
      <c r="J190" s="382"/>
      <c r="K190" s="382"/>
      <c r="L190" s="382"/>
      <c r="M190" s="382">
        <f>SUM(M187:M189)</f>
        <v>12.3</v>
      </c>
      <c r="N190" s="1141" t="s">
        <v>89</v>
      </c>
      <c r="O190" s="1142"/>
      <c r="P190" s="1142"/>
      <c r="Q190" s="1142"/>
      <c r="R190" s="1142"/>
      <c r="S190" s="1142"/>
      <c r="T190" s="1143"/>
      <c r="U190" s="1143"/>
      <c r="V190" s="1143"/>
    </row>
    <row r="191" spans="1:22" ht="15.75" customHeight="1">
      <c r="A191" s="1145" t="s">
        <v>98</v>
      </c>
      <c r="B191" s="357" t="s">
        <v>900</v>
      </c>
      <c r="C191" s="382"/>
      <c r="D191" s="382"/>
      <c r="E191" s="382"/>
      <c r="F191" s="382"/>
      <c r="G191" s="382"/>
      <c r="H191" s="382"/>
      <c r="I191" s="382"/>
      <c r="J191" s="382"/>
      <c r="K191" s="382"/>
      <c r="L191" s="382"/>
      <c r="M191" s="382"/>
      <c r="N191" s="1141"/>
      <c r="O191" s="1142"/>
      <c r="P191" s="1142"/>
      <c r="Q191" s="1142"/>
      <c r="R191" s="1142"/>
      <c r="S191" s="1142"/>
      <c r="T191" s="1143"/>
      <c r="U191" s="1143"/>
      <c r="V191" s="1143"/>
    </row>
    <row r="192" spans="1:22" ht="15.75" customHeight="1">
      <c r="A192" s="1145"/>
      <c r="B192" s="569" t="s">
        <v>1953</v>
      </c>
      <c r="C192" s="382">
        <f>C187</f>
        <v>10</v>
      </c>
      <c r="D192" s="382"/>
      <c r="E192" s="382"/>
      <c r="F192" s="382">
        <f>13*13*0.006165</f>
        <v>1.041885</v>
      </c>
      <c r="G192" s="382"/>
      <c r="H192" s="382"/>
      <c r="I192" s="382"/>
      <c r="J192" s="382"/>
      <c r="K192" s="382">
        <v>4</v>
      </c>
      <c r="L192" s="382">
        <f>L187</f>
        <v>2</v>
      </c>
      <c r="M192" s="382">
        <f>C192*F192*K192*L192</f>
        <v>83.350799999999992</v>
      </c>
      <c r="N192" s="1141"/>
      <c r="O192" s="1142"/>
      <c r="P192" s="1142"/>
      <c r="Q192" s="1142"/>
      <c r="R192" s="1142"/>
      <c r="S192" s="1142"/>
      <c r="T192" s="1143"/>
      <c r="U192" s="1143"/>
      <c r="V192" s="1143"/>
    </row>
    <row r="193" spans="1:22" ht="15.75" customHeight="1">
      <c r="A193" s="1145"/>
      <c r="B193" s="569" t="s">
        <v>1954</v>
      </c>
      <c r="C193" s="382">
        <f>C188</f>
        <v>5</v>
      </c>
      <c r="D193" s="382"/>
      <c r="E193" s="382"/>
      <c r="F193" s="382">
        <f>F192</f>
        <v>1.041885</v>
      </c>
      <c r="G193" s="382"/>
      <c r="H193" s="382"/>
      <c r="I193" s="382"/>
      <c r="J193" s="382"/>
      <c r="K193" s="382">
        <f>K192</f>
        <v>4</v>
      </c>
      <c r="L193" s="382">
        <f>L188</f>
        <v>3</v>
      </c>
      <c r="M193" s="382">
        <f>C193*F193*K193*L193</f>
        <v>62.513099999999994</v>
      </c>
      <c r="N193" s="1141"/>
      <c r="O193" s="1142"/>
      <c r="P193" s="1142"/>
      <c r="Q193" s="1142"/>
      <c r="R193" s="1142"/>
      <c r="S193" s="1142"/>
      <c r="T193" s="1143"/>
      <c r="U193" s="1143"/>
      <c r="V193" s="1143"/>
    </row>
    <row r="194" spans="1:22" ht="15.75" customHeight="1">
      <c r="A194" s="1145"/>
      <c r="B194" s="569"/>
      <c r="C194" s="382">
        <f>C189</f>
        <v>3</v>
      </c>
      <c r="D194" s="382"/>
      <c r="E194" s="382"/>
      <c r="F194" s="382">
        <f>F193</f>
        <v>1.041885</v>
      </c>
      <c r="G194" s="382"/>
      <c r="H194" s="382"/>
      <c r="I194" s="382"/>
      <c r="J194" s="382"/>
      <c r="K194" s="382">
        <f>K193</f>
        <v>4</v>
      </c>
      <c r="L194" s="382">
        <f>L189</f>
        <v>2</v>
      </c>
      <c r="M194" s="382">
        <f>C194*F194*K194*L194</f>
        <v>25.005240000000001</v>
      </c>
      <c r="N194" s="1141"/>
      <c r="O194" s="1142"/>
      <c r="P194" s="1142"/>
      <c r="Q194" s="1142"/>
      <c r="R194" s="1142"/>
      <c r="S194" s="1142"/>
      <c r="T194" s="1143"/>
      <c r="U194" s="1143"/>
      <c r="V194" s="1143"/>
    </row>
    <row r="195" spans="1:22" ht="15.75" customHeight="1">
      <c r="A195" s="1145"/>
      <c r="B195" s="357"/>
      <c r="C195" s="382"/>
      <c r="D195" s="382"/>
      <c r="E195" s="382"/>
      <c r="F195" s="382"/>
      <c r="G195" s="382"/>
      <c r="H195" s="382"/>
      <c r="I195" s="382"/>
      <c r="J195" s="382"/>
      <c r="K195" s="382"/>
      <c r="L195" s="382"/>
      <c r="M195" s="382">
        <f>SUM(M192:M194)</f>
        <v>170.86914000000002</v>
      </c>
      <c r="N195" s="1141" t="s">
        <v>100</v>
      </c>
      <c r="O195" s="1142"/>
      <c r="P195" s="1142"/>
      <c r="Q195" s="1142"/>
      <c r="R195" s="1142"/>
      <c r="S195" s="1142"/>
      <c r="T195" s="1143"/>
      <c r="U195" s="1143"/>
      <c r="V195" s="1143"/>
    </row>
    <row r="196" spans="1:22" ht="15.75" customHeight="1">
      <c r="A196" s="1145" t="s">
        <v>101</v>
      </c>
      <c r="B196" s="357" t="s">
        <v>1951</v>
      </c>
      <c r="C196" s="382"/>
      <c r="D196" s="382"/>
      <c r="E196" s="382"/>
      <c r="F196" s="382"/>
      <c r="G196" s="382"/>
      <c r="H196" s="382"/>
      <c r="I196" s="382"/>
      <c r="J196" s="382"/>
      <c r="K196" s="382"/>
      <c r="L196" s="382"/>
      <c r="M196" s="382"/>
      <c r="N196" s="1141"/>
      <c r="O196" s="1142"/>
      <c r="P196" s="1142"/>
      <c r="Q196" s="1142"/>
      <c r="R196" s="1142"/>
      <c r="S196" s="1142"/>
      <c r="T196" s="1143"/>
      <c r="U196" s="1143"/>
      <c r="V196" s="1143"/>
    </row>
    <row r="197" spans="1:22" ht="15.75" customHeight="1">
      <c r="A197" s="1145"/>
      <c r="B197" s="569" t="s">
        <v>1953</v>
      </c>
      <c r="C197" s="382">
        <f>0.09*4</f>
        <v>0.36</v>
      </c>
      <c r="D197" s="382"/>
      <c r="E197" s="382"/>
      <c r="F197" s="382">
        <f>8*8*0.006165</f>
        <v>0.39456000000000002</v>
      </c>
      <c r="G197" s="382">
        <v>0.1</v>
      </c>
      <c r="H197" s="382"/>
      <c r="I197" s="382"/>
      <c r="J197" s="382"/>
      <c r="K197" s="382">
        <f>ROUNDUP((C192/0.15),0.5)+1</f>
        <v>68</v>
      </c>
      <c r="L197" s="382">
        <f>L192</f>
        <v>2</v>
      </c>
      <c r="M197" s="382">
        <f>(C197+G197)*F197*K197*L197</f>
        <v>24.683673600000002</v>
      </c>
      <c r="N197" s="1141"/>
      <c r="O197" s="1142"/>
      <c r="P197" s="1142"/>
      <c r="Q197" s="1142"/>
      <c r="R197" s="1142"/>
      <c r="S197" s="1142"/>
      <c r="T197" s="1143"/>
      <c r="U197" s="1143"/>
      <c r="V197" s="1143"/>
    </row>
    <row r="198" spans="1:22" ht="15.75" customHeight="1">
      <c r="A198" s="1145"/>
      <c r="B198" s="569" t="s">
        <v>1954</v>
      </c>
      <c r="C198" s="382">
        <f>C197</f>
        <v>0.36</v>
      </c>
      <c r="D198" s="382"/>
      <c r="E198" s="382"/>
      <c r="F198" s="382">
        <f>F197</f>
        <v>0.39456000000000002</v>
      </c>
      <c r="G198" s="382">
        <f>G197</f>
        <v>0.1</v>
      </c>
      <c r="H198" s="382"/>
      <c r="I198" s="382"/>
      <c r="J198" s="382"/>
      <c r="K198" s="382">
        <f>ROUNDUP((C193/0.15),0.5)+1</f>
        <v>35</v>
      </c>
      <c r="L198" s="382">
        <f>L193</f>
        <v>3</v>
      </c>
      <c r="M198" s="382">
        <f>(C198+G198)*F198*K198*L198</f>
        <v>19.057248000000001</v>
      </c>
      <c r="N198" s="1141"/>
      <c r="O198" s="1142"/>
      <c r="P198" s="1142"/>
      <c r="Q198" s="1142"/>
      <c r="R198" s="1142"/>
      <c r="S198" s="1142"/>
      <c r="T198" s="1143"/>
      <c r="U198" s="1143"/>
      <c r="V198" s="1143"/>
    </row>
    <row r="199" spans="1:22" ht="15.75" customHeight="1">
      <c r="A199" s="1145"/>
      <c r="B199" s="569"/>
      <c r="C199" s="382">
        <f>C198</f>
        <v>0.36</v>
      </c>
      <c r="D199" s="382"/>
      <c r="E199" s="382"/>
      <c r="F199" s="382">
        <f>F198</f>
        <v>0.39456000000000002</v>
      </c>
      <c r="G199" s="382">
        <f>G198</f>
        <v>0.1</v>
      </c>
      <c r="H199" s="382"/>
      <c r="I199" s="382"/>
      <c r="J199" s="382"/>
      <c r="K199" s="382">
        <f>ROUNDUP((C194/0.15),0.5)+1</f>
        <v>21</v>
      </c>
      <c r="L199" s="382">
        <f>L194</f>
        <v>2</v>
      </c>
      <c r="M199" s="382">
        <f>(C199+G199)*F199*K199*L199</f>
        <v>7.6228992</v>
      </c>
      <c r="N199" s="1141"/>
      <c r="O199" s="1142"/>
      <c r="P199" s="1142"/>
      <c r="Q199" s="1142"/>
      <c r="R199" s="1142"/>
      <c r="S199" s="1142"/>
      <c r="T199" s="1143"/>
      <c r="U199" s="1143"/>
      <c r="V199" s="1143"/>
    </row>
    <row r="200" spans="1:22" ht="15.75" customHeight="1">
      <c r="A200" s="1145"/>
      <c r="B200" s="357"/>
      <c r="C200" s="382"/>
      <c r="D200" s="382"/>
      <c r="E200" s="382"/>
      <c r="F200" s="382"/>
      <c r="G200" s="382"/>
      <c r="H200" s="382"/>
      <c r="I200" s="382"/>
      <c r="J200" s="382"/>
      <c r="K200" s="382"/>
      <c r="L200" s="382"/>
      <c r="M200" s="382">
        <f>SUM(M197:M199)</f>
        <v>51.363820800000006</v>
      </c>
      <c r="N200" s="1141" t="s">
        <v>100</v>
      </c>
      <c r="O200" s="1142"/>
      <c r="P200" s="1142"/>
      <c r="Q200" s="1142"/>
      <c r="R200" s="1142"/>
      <c r="S200" s="1142"/>
      <c r="T200" s="1143"/>
      <c r="U200" s="1143"/>
      <c r="V200" s="1143"/>
    </row>
    <row r="201" spans="1:22" ht="15.75" customHeight="1">
      <c r="A201" s="1145" t="s">
        <v>121</v>
      </c>
      <c r="B201" s="357" t="s">
        <v>420</v>
      </c>
      <c r="C201" s="382"/>
      <c r="D201" s="382"/>
      <c r="E201" s="382"/>
      <c r="F201" s="382"/>
      <c r="G201" s="382"/>
      <c r="H201" s="382"/>
      <c r="I201" s="382"/>
      <c r="J201" s="382"/>
      <c r="K201" s="382"/>
      <c r="L201" s="382"/>
      <c r="M201" s="382"/>
      <c r="N201" s="1141"/>
      <c r="O201" s="1142"/>
      <c r="P201" s="1142"/>
      <c r="Q201" s="1142"/>
      <c r="R201" s="1142"/>
      <c r="S201" s="1142"/>
      <c r="T201" s="1143"/>
      <c r="U201" s="1143"/>
      <c r="V201" s="1143"/>
    </row>
    <row r="202" spans="1:22" ht="15.75" customHeight="1">
      <c r="A202" s="1145"/>
      <c r="B202" s="569" t="s">
        <v>1953</v>
      </c>
      <c r="C202" s="382">
        <f>C192</f>
        <v>10</v>
      </c>
      <c r="D202" s="382">
        <v>0.15</v>
      </c>
      <c r="E202" s="382">
        <v>0.15</v>
      </c>
      <c r="F202" s="382"/>
      <c r="G202" s="382"/>
      <c r="H202" s="382"/>
      <c r="I202" s="382"/>
      <c r="J202" s="382"/>
      <c r="K202" s="382"/>
      <c r="L202" s="382">
        <f>L197</f>
        <v>2</v>
      </c>
      <c r="M202" s="382">
        <f>C202*D202*E202*L202</f>
        <v>0.44999999999999996</v>
      </c>
      <c r="N202" s="1141"/>
      <c r="O202" s="1142"/>
      <c r="P202" s="1142"/>
      <c r="Q202" s="1142"/>
      <c r="R202" s="1142"/>
      <c r="S202" s="1142"/>
      <c r="T202" s="1143"/>
      <c r="U202" s="1143"/>
      <c r="V202" s="1143"/>
    </row>
    <row r="203" spans="1:22" ht="15.75" customHeight="1">
      <c r="A203" s="1145"/>
      <c r="B203" s="569" t="s">
        <v>1954</v>
      </c>
      <c r="C203" s="382">
        <f>C193</f>
        <v>5</v>
      </c>
      <c r="D203" s="382">
        <f>D202</f>
        <v>0.15</v>
      </c>
      <c r="E203" s="382">
        <f>E202</f>
        <v>0.15</v>
      </c>
      <c r="F203" s="382"/>
      <c r="G203" s="382"/>
      <c r="H203" s="382"/>
      <c r="I203" s="382"/>
      <c r="J203" s="382"/>
      <c r="K203" s="382"/>
      <c r="L203" s="382">
        <f>L198</f>
        <v>3</v>
      </c>
      <c r="M203" s="382">
        <f>C203*D203*E203*L203</f>
        <v>0.33749999999999997</v>
      </c>
      <c r="N203" s="1141"/>
      <c r="O203" s="1142"/>
      <c r="P203" s="1142"/>
      <c r="Q203" s="1142"/>
      <c r="R203" s="1142"/>
      <c r="S203" s="1142"/>
      <c r="T203" s="1143"/>
      <c r="U203" s="1143"/>
      <c r="V203" s="1143"/>
    </row>
    <row r="204" spans="1:22" ht="15.75" customHeight="1">
      <c r="A204" s="1145"/>
      <c r="B204" s="569"/>
      <c r="C204" s="382">
        <f>C194</f>
        <v>3</v>
      </c>
      <c r="D204" s="382">
        <f>D203</f>
        <v>0.15</v>
      </c>
      <c r="E204" s="382">
        <f>E203</f>
        <v>0.15</v>
      </c>
      <c r="F204" s="382"/>
      <c r="G204" s="382"/>
      <c r="H204" s="382"/>
      <c r="I204" s="382"/>
      <c r="J204" s="382"/>
      <c r="K204" s="382"/>
      <c r="L204" s="382">
        <f>L199</f>
        <v>2</v>
      </c>
      <c r="M204" s="382">
        <f>C204*D204*E204*L204</f>
        <v>0.13499999999999998</v>
      </c>
      <c r="N204" s="1141"/>
      <c r="O204" s="1142"/>
      <c r="P204" s="1142"/>
      <c r="Q204" s="1142"/>
      <c r="R204" s="1142"/>
      <c r="S204" s="1142"/>
      <c r="T204" s="1143"/>
      <c r="U204" s="1143"/>
      <c r="V204" s="1143"/>
    </row>
    <row r="205" spans="1:22" ht="15.75" customHeight="1">
      <c r="A205" s="1145"/>
      <c r="B205" s="357"/>
      <c r="C205" s="382"/>
      <c r="D205" s="382"/>
      <c r="E205" s="382"/>
      <c r="F205" s="382"/>
      <c r="G205" s="382"/>
      <c r="H205" s="382"/>
      <c r="I205" s="382"/>
      <c r="J205" s="382"/>
      <c r="K205" s="382"/>
      <c r="L205" s="382"/>
      <c r="M205" s="382">
        <f>SUM(M202:M204)</f>
        <v>0.92249999999999988</v>
      </c>
      <c r="N205" s="1141" t="s">
        <v>103</v>
      </c>
      <c r="O205" s="1142"/>
      <c r="P205" s="1142"/>
      <c r="Q205" s="1142"/>
      <c r="R205" s="1142"/>
      <c r="S205" s="1142"/>
      <c r="T205" s="1143"/>
      <c r="U205" s="1143"/>
      <c r="V205" s="1143"/>
    </row>
    <row r="206" spans="1:22" ht="15.75" customHeight="1">
      <c r="A206" s="1140">
        <f>A185+1</f>
        <v>10</v>
      </c>
      <c r="B206" s="357" t="s">
        <v>1955</v>
      </c>
      <c r="C206" s="382"/>
      <c r="D206" s="382"/>
      <c r="E206" s="382"/>
      <c r="F206" s="382"/>
      <c r="G206" s="382"/>
      <c r="H206" s="382"/>
      <c r="I206" s="382"/>
      <c r="J206" s="382"/>
      <c r="K206" s="382"/>
      <c r="L206" s="382"/>
      <c r="M206" s="382"/>
      <c r="N206" s="1141"/>
      <c r="O206" s="1142"/>
      <c r="P206" s="1142"/>
      <c r="Q206" s="1142"/>
      <c r="R206" s="1142"/>
      <c r="S206" s="1142"/>
      <c r="T206" s="1143"/>
      <c r="U206" s="1143"/>
      <c r="V206" s="1143"/>
    </row>
    <row r="207" spans="1:22" ht="15.75" customHeight="1">
      <c r="A207" s="1145" t="s">
        <v>95</v>
      </c>
      <c r="B207" s="1619" t="s">
        <v>148</v>
      </c>
      <c r="C207" s="382"/>
      <c r="D207" s="382"/>
      <c r="E207" s="382"/>
      <c r="F207" s="382"/>
      <c r="G207" s="382"/>
      <c r="H207" s="382"/>
      <c r="I207" s="382"/>
      <c r="J207" s="382"/>
      <c r="K207" s="382"/>
      <c r="L207" s="382"/>
      <c r="M207" s="382"/>
      <c r="N207" s="1141"/>
      <c r="O207" s="1142"/>
      <c r="P207" s="1142"/>
      <c r="Q207" s="1142"/>
      <c r="R207" s="1142"/>
      <c r="S207" s="1142"/>
      <c r="T207" s="1143"/>
      <c r="U207" s="1143"/>
      <c r="V207" s="1143"/>
    </row>
    <row r="208" spans="1:22" ht="15.75" customHeight="1">
      <c r="A208" s="1145"/>
      <c r="B208" s="1619"/>
      <c r="C208" s="382">
        <v>5</v>
      </c>
      <c r="D208" s="382">
        <v>0.7</v>
      </c>
      <c r="E208" s="382"/>
      <c r="F208" s="382"/>
      <c r="G208" s="382"/>
      <c r="H208" s="382"/>
      <c r="I208" s="382"/>
      <c r="J208" s="382"/>
      <c r="K208" s="382"/>
      <c r="L208" s="382"/>
      <c r="M208" s="382">
        <f>C208*D208</f>
        <v>3.5</v>
      </c>
      <c r="N208" s="1141"/>
      <c r="O208" s="1142"/>
      <c r="P208" s="1142"/>
      <c r="Q208" s="1142"/>
      <c r="R208" s="1142"/>
      <c r="S208" s="1142"/>
      <c r="T208" s="1143"/>
      <c r="U208" s="1143"/>
      <c r="V208" s="1143"/>
    </row>
    <row r="209" spans="1:22" ht="15.75" customHeight="1">
      <c r="A209" s="1145"/>
      <c r="B209" s="357"/>
      <c r="C209" s="382">
        <v>5</v>
      </c>
      <c r="D209" s="382"/>
      <c r="E209" s="382">
        <v>0.15</v>
      </c>
      <c r="F209" s="382"/>
      <c r="G209" s="382"/>
      <c r="H209" s="382"/>
      <c r="I209" s="382"/>
      <c r="J209" s="382"/>
      <c r="K209" s="382"/>
      <c r="L209" s="382"/>
      <c r="M209" s="382">
        <f>C209*E209</f>
        <v>0.75</v>
      </c>
      <c r="N209" s="1141"/>
      <c r="O209" s="1142"/>
      <c r="P209" s="1142"/>
      <c r="Q209" s="1142"/>
      <c r="R209" s="1142"/>
      <c r="S209" s="1142"/>
      <c r="T209" s="1143"/>
      <c r="U209" s="1143"/>
      <c r="V209" s="1143"/>
    </row>
    <row r="210" spans="1:22" ht="15.75" customHeight="1">
      <c r="A210" s="1145"/>
      <c r="B210" s="357"/>
      <c r="C210" s="382">
        <v>0.7</v>
      </c>
      <c r="D210" s="382"/>
      <c r="E210" s="382">
        <f>E209</f>
        <v>0.15</v>
      </c>
      <c r="F210" s="382"/>
      <c r="G210" s="382"/>
      <c r="H210" s="382"/>
      <c r="I210" s="382"/>
      <c r="J210" s="382"/>
      <c r="K210" s="382"/>
      <c r="L210" s="382"/>
      <c r="M210" s="382">
        <f>C210*E210</f>
        <v>0.105</v>
      </c>
      <c r="N210" s="1141"/>
      <c r="O210" s="1142"/>
      <c r="P210" s="1142"/>
      <c r="Q210" s="1142"/>
      <c r="R210" s="1142"/>
      <c r="S210" s="1142"/>
      <c r="T210" s="1143"/>
      <c r="U210" s="1143"/>
      <c r="V210" s="1143"/>
    </row>
    <row r="211" spans="1:22" ht="15.75" customHeight="1">
      <c r="A211" s="1145"/>
      <c r="B211" s="357"/>
      <c r="C211" s="382"/>
      <c r="D211" s="382"/>
      <c r="E211" s="382"/>
      <c r="F211" s="382"/>
      <c r="G211" s="382"/>
      <c r="H211" s="382"/>
      <c r="I211" s="382"/>
      <c r="J211" s="382"/>
      <c r="K211" s="382"/>
      <c r="L211" s="382"/>
      <c r="M211" s="382">
        <f>SUM(M208:M210)</f>
        <v>4.3550000000000004</v>
      </c>
      <c r="N211" s="1141" t="s">
        <v>89</v>
      </c>
      <c r="O211" s="1142"/>
      <c r="P211" s="1142"/>
      <c r="Q211" s="1142"/>
      <c r="R211" s="1142"/>
      <c r="S211" s="1142"/>
      <c r="T211" s="1143"/>
      <c r="U211" s="1143"/>
      <c r="V211" s="1143"/>
    </row>
    <row r="212" spans="1:22" ht="15.75" customHeight="1">
      <c r="A212" s="1145" t="s">
        <v>98</v>
      </c>
      <c r="B212" s="1593" t="s">
        <v>1956</v>
      </c>
      <c r="C212" s="382"/>
      <c r="D212" s="382"/>
      <c r="E212" s="382"/>
      <c r="F212" s="382"/>
      <c r="G212" s="382"/>
      <c r="H212" s="382"/>
      <c r="I212" s="382"/>
      <c r="J212" s="382"/>
      <c r="K212" s="382"/>
      <c r="L212" s="382"/>
      <c r="M212" s="382"/>
      <c r="N212" s="1141"/>
      <c r="O212" s="1142"/>
      <c r="P212" s="1142"/>
      <c r="Q212" s="1142"/>
      <c r="R212" s="1142"/>
      <c r="S212" s="1142"/>
      <c r="T212" s="1143"/>
      <c r="U212" s="1143"/>
      <c r="V212" s="1143"/>
    </row>
    <row r="213" spans="1:22" ht="15.75" customHeight="1">
      <c r="A213" s="1145"/>
      <c r="B213" s="1594" t="s">
        <v>1044</v>
      </c>
      <c r="C213" s="382">
        <f>C209</f>
        <v>5</v>
      </c>
      <c r="D213" s="382"/>
      <c r="E213" s="382"/>
      <c r="F213" s="490">
        <v>0.39456000000000002</v>
      </c>
      <c r="G213" s="490">
        <v>0.5</v>
      </c>
      <c r="H213" s="382"/>
      <c r="I213" s="490">
        <v>0.2</v>
      </c>
      <c r="J213" s="382"/>
      <c r="K213" s="348">
        <f>ROUNDUP((C214/0.15),0.5)</f>
        <v>5</v>
      </c>
      <c r="L213" s="382"/>
      <c r="M213" s="382">
        <f>(C213+G213+I213)*F213*K213</f>
        <v>11.244960000000003</v>
      </c>
      <c r="N213" s="1141"/>
      <c r="O213" s="1142"/>
      <c r="P213" s="1142"/>
      <c r="Q213" s="1142"/>
      <c r="R213" s="1142"/>
      <c r="S213" s="1142"/>
      <c r="T213" s="1143"/>
      <c r="U213" s="1143"/>
      <c r="V213" s="1143"/>
    </row>
    <row r="214" spans="1:22" ht="15.75" customHeight="1">
      <c r="A214" s="1145"/>
      <c r="B214" s="1594" t="s">
        <v>136</v>
      </c>
      <c r="C214" s="382">
        <f>C210</f>
        <v>0.7</v>
      </c>
      <c r="D214" s="382"/>
      <c r="E214" s="382"/>
      <c r="F214" s="490">
        <v>0.39456000000000002</v>
      </c>
      <c r="G214" s="490">
        <v>0.5</v>
      </c>
      <c r="H214" s="382"/>
      <c r="I214" s="490">
        <v>0.2</v>
      </c>
      <c r="J214" s="382"/>
      <c r="K214" s="348">
        <f>ROUNDUP((C213/0.15),0.5)</f>
        <v>34</v>
      </c>
      <c r="L214" s="382"/>
      <c r="M214" s="382">
        <f>(C214+G214+I214)*F214*K214</f>
        <v>18.781056</v>
      </c>
      <c r="N214" s="1141"/>
      <c r="O214" s="1142"/>
      <c r="P214" s="1142"/>
      <c r="Q214" s="1142"/>
      <c r="R214" s="1142"/>
      <c r="S214" s="1142"/>
      <c r="T214" s="1143"/>
      <c r="U214" s="1143"/>
      <c r="V214" s="1143"/>
    </row>
    <row r="215" spans="1:22" ht="15.75" customHeight="1">
      <c r="A215" s="1145"/>
      <c r="B215" s="357"/>
      <c r="C215" s="382"/>
      <c r="D215" s="382"/>
      <c r="E215" s="382"/>
      <c r="F215" s="382"/>
      <c r="G215" s="382"/>
      <c r="H215" s="382"/>
      <c r="I215" s="382"/>
      <c r="J215" s="382"/>
      <c r="K215" s="382"/>
      <c r="L215" s="382"/>
      <c r="M215" s="382">
        <f>SUM(M213:M214)</f>
        <v>30.026016000000002</v>
      </c>
      <c r="N215" s="1141" t="s">
        <v>100</v>
      </c>
      <c r="O215" s="1142"/>
      <c r="P215" s="1142"/>
      <c r="Q215" s="1142"/>
      <c r="R215" s="1142"/>
      <c r="S215" s="1142"/>
      <c r="T215" s="1143"/>
      <c r="U215" s="1143"/>
      <c r="V215" s="1143"/>
    </row>
    <row r="216" spans="1:22" ht="15.75" customHeight="1">
      <c r="A216" s="1145" t="s">
        <v>101</v>
      </c>
      <c r="B216" s="1620" t="s">
        <v>420</v>
      </c>
      <c r="C216" s="382">
        <f>C213</f>
        <v>5</v>
      </c>
      <c r="D216" s="382">
        <f>C214</f>
        <v>0.7</v>
      </c>
      <c r="E216" s="382">
        <f>E209</f>
        <v>0.15</v>
      </c>
      <c r="F216" s="382"/>
      <c r="G216" s="382"/>
      <c r="H216" s="382"/>
      <c r="I216" s="382"/>
      <c r="J216" s="382"/>
      <c r="K216" s="382"/>
      <c r="L216" s="382"/>
      <c r="M216" s="382">
        <f>C216*D216*E216</f>
        <v>0.52500000000000002</v>
      </c>
      <c r="N216" s="1141" t="s">
        <v>103</v>
      </c>
      <c r="O216" s="1142"/>
      <c r="P216" s="1142"/>
      <c r="Q216" s="1142"/>
      <c r="R216" s="1142"/>
      <c r="S216" s="1142"/>
      <c r="T216" s="1143"/>
      <c r="U216" s="1143"/>
      <c r="V216" s="1143"/>
    </row>
    <row r="217" spans="1:22" ht="15.75" customHeight="1">
      <c r="A217" s="1140">
        <f>A206+1</f>
        <v>11</v>
      </c>
      <c r="B217" s="357" t="s">
        <v>1957</v>
      </c>
      <c r="C217" s="382"/>
      <c r="D217" s="382"/>
      <c r="E217" s="382"/>
      <c r="F217" s="382"/>
      <c r="G217" s="382"/>
      <c r="H217" s="382"/>
      <c r="I217" s="382"/>
      <c r="J217" s="382"/>
      <c r="K217" s="382"/>
      <c r="L217" s="382"/>
      <c r="M217" s="382"/>
      <c r="N217" s="1141"/>
      <c r="O217" s="1142"/>
      <c r="P217" s="1142"/>
      <c r="Q217" s="1142"/>
      <c r="R217" s="1142"/>
      <c r="S217" s="1142"/>
      <c r="T217" s="1143"/>
      <c r="U217" s="1143"/>
      <c r="V217" s="1143"/>
    </row>
    <row r="218" spans="1:22" ht="15.75" customHeight="1">
      <c r="A218" s="1145" t="s">
        <v>95</v>
      </c>
      <c r="B218" s="1619" t="s">
        <v>148</v>
      </c>
      <c r="C218" s="382"/>
      <c r="D218" s="382"/>
      <c r="E218" s="382"/>
      <c r="F218" s="382"/>
      <c r="G218" s="382"/>
      <c r="H218" s="382"/>
      <c r="I218" s="382"/>
      <c r="J218" s="382"/>
      <c r="K218" s="382"/>
      <c r="L218" s="382"/>
      <c r="M218" s="382"/>
      <c r="N218" s="1141"/>
      <c r="O218" s="1142"/>
      <c r="P218" s="1142"/>
      <c r="Q218" s="1142"/>
      <c r="R218" s="1142"/>
      <c r="S218" s="1142"/>
      <c r="T218" s="1143"/>
      <c r="U218" s="1143"/>
      <c r="V218" s="1143"/>
    </row>
    <row r="219" spans="1:22" ht="15.75" customHeight="1">
      <c r="A219" s="1145"/>
      <c r="B219" s="1621" t="s">
        <v>1645</v>
      </c>
      <c r="C219" s="382">
        <v>5</v>
      </c>
      <c r="D219" s="382">
        <v>0.5</v>
      </c>
      <c r="E219" s="382"/>
      <c r="F219" s="382"/>
      <c r="G219" s="382"/>
      <c r="H219" s="382"/>
      <c r="I219" s="382"/>
      <c r="J219" s="382"/>
      <c r="K219" s="382"/>
      <c r="L219" s="382"/>
      <c r="M219" s="382">
        <f>C219*D219</f>
        <v>2.5</v>
      </c>
      <c r="N219" s="1141"/>
      <c r="O219" s="1142"/>
      <c r="P219" s="1142"/>
      <c r="Q219" s="1142"/>
      <c r="R219" s="1142"/>
      <c r="S219" s="1142"/>
      <c r="T219" s="1143"/>
      <c r="U219" s="1143"/>
      <c r="V219" s="1143"/>
    </row>
    <row r="220" spans="1:22" ht="15.75" customHeight="1">
      <c r="A220" s="1145"/>
      <c r="B220" s="569"/>
      <c r="C220" s="382">
        <v>5</v>
      </c>
      <c r="D220" s="382"/>
      <c r="E220" s="382">
        <v>0.15</v>
      </c>
      <c r="F220" s="382"/>
      <c r="G220" s="382"/>
      <c r="H220" s="382"/>
      <c r="I220" s="382"/>
      <c r="J220" s="382"/>
      <c r="K220" s="382"/>
      <c r="L220" s="382"/>
      <c r="M220" s="382">
        <f>C220*E220</f>
        <v>0.75</v>
      </c>
      <c r="N220" s="1141"/>
      <c r="O220" s="1142"/>
      <c r="P220" s="1142"/>
      <c r="Q220" s="1142"/>
      <c r="R220" s="1142"/>
      <c r="S220" s="1142"/>
      <c r="T220" s="1143"/>
      <c r="U220" s="1143"/>
      <c r="V220" s="1143"/>
    </row>
    <row r="221" spans="1:22" ht="15.75" customHeight="1">
      <c r="A221" s="1145"/>
      <c r="B221" s="569"/>
      <c r="C221" s="382">
        <f>D219</f>
        <v>0.5</v>
      </c>
      <c r="D221" s="382"/>
      <c r="E221" s="382">
        <f>E220</f>
        <v>0.15</v>
      </c>
      <c r="F221" s="382"/>
      <c r="G221" s="382"/>
      <c r="H221" s="382"/>
      <c r="I221" s="382"/>
      <c r="J221" s="382"/>
      <c r="K221" s="382"/>
      <c r="L221" s="382"/>
      <c r="M221" s="382">
        <f>C221*E221</f>
        <v>7.4999999999999997E-2</v>
      </c>
      <c r="N221" s="1141"/>
      <c r="O221" s="1142"/>
      <c r="P221" s="1142"/>
      <c r="Q221" s="1142"/>
      <c r="R221" s="1142"/>
      <c r="S221" s="1142"/>
      <c r="T221" s="1143"/>
      <c r="U221" s="1143"/>
      <c r="V221" s="1143"/>
    </row>
    <row r="222" spans="1:22" ht="15.75" customHeight="1">
      <c r="A222" s="1145"/>
      <c r="B222" s="569" t="s">
        <v>1185</v>
      </c>
      <c r="C222" s="382">
        <v>3</v>
      </c>
      <c r="D222" s="382">
        <f>D219</f>
        <v>0.5</v>
      </c>
      <c r="E222" s="382"/>
      <c r="F222" s="382"/>
      <c r="G222" s="382"/>
      <c r="H222" s="382"/>
      <c r="I222" s="382"/>
      <c r="J222" s="382"/>
      <c r="K222" s="382"/>
      <c r="L222" s="382"/>
      <c r="M222" s="382">
        <f>C222*D222</f>
        <v>1.5</v>
      </c>
      <c r="N222" s="1141"/>
      <c r="O222" s="1142"/>
      <c r="P222" s="1142"/>
      <c r="Q222" s="1142"/>
      <c r="R222" s="1142"/>
      <c r="S222" s="1142"/>
      <c r="T222" s="1143"/>
      <c r="U222" s="1143"/>
      <c r="V222" s="1143"/>
    </row>
    <row r="223" spans="1:22" ht="15.75" customHeight="1">
      <c r="A223" s="1145"/>
      <c r="B223" s="357"/>
      <c r="C223" s="382">
        <v>3</v>
      </c>
      <c r="D223" s="382"/>
      <c r="E223" s="382">
        <f>E220</f>
        <v>0.15</v>
      </c>
      <c r="F223" s="382"/>
      <c r="G223" s="382"/>
      <c r="H223" s="382"/>
      <c r="I223" s="382"/>
      <c r="J223" s="382"/>
      <c r="K223" s="382"/>
      <c r="L223" s="382"/>
      <c r="M223" s="382">
        <f>C223*E223</f>
        <v>0.44999999999999996</v>
      </c>
      <c r="N223" s="1141"/>
      <c r="O223" s="1142"/>
      <c r="P223" s="1142"/>
      <c r="Q223" s="1142"/>
      <c r="R223" s="1142"/>
      <c r="S223" s="1142"/>
      <c r="T223" s="1143"/>
      <c r="U223" s="1143"/>
      <c r="V223" s="1143"/>
    </row>
    <row r="224" spans="1:22" ht="15.75" customHeight="1">
      <c r="A224" s="1145"/>
      <c r="B224" s="357"/>
      <c r="C224" s="382">
        <f>D222</f>
        <v>0.5</v>
      </c>
      <c r="D224" s="382"/>
      <c r="E224" s="382">
        <f>E221</f>
        <v>0.15</v>
      </c>
      <c r="F224" s="382"/>
      <c r="G224" s="382"/>
      <c r="H224" s="382"/>
      <c r="I224" s="382"/>
      <c r="J224" s="382"/>
      <c r="K224" s="382"/>
      <c r="L224" s="382"/>
      <c r="M224" s="382">
        <f>C224*E224</f>
        <v>7.4999999999999997E-2</v>
      </c>
      <c r="N224" s="1141"/>
      <c r="O224" s="1142"/>
      <c r="P224" s="1142"/>
      <c r="Q224" s="1142"/>
      <c r="R224" s="1142"/>
      <c r="S224" s="1142"/>
      <c r="T224" s="1143"/>
      <c r="U224" s="1143"/>
      <c r="V224" s="1143"/>
    </row>
    <row r="225" spans="1:22" ht="15.75" customHeight="1">
      <c r="A225" s="1145"/>
      <c r="B225" s="357"/>
      <c r="C225" s="382"/>
      <c r="D225" s="382"/>
      <c r="E225" s="382"/>
      <c r="F225" s="382"/>
      <c r="G225" s="382"/>
      <c r="H225" s="382"/>
      <c r="I225" s="382"/>
      <c r="J225" s="382"/>
      <c r="K225" s="382"/>
      <c r="L225" s="382"/>
      <c r="M225" s="382">
        <f>SUM(M219:M224)</f>
        <v>5.3500000000000005</v>
      </c>
      <c r="N225" s="1141" t="s">
        <v>89</v>
      </c>
      <c r="O225" s="1142"/>
      <c r="P225" s="1142"/>
      <c r="Q225" s="1142"/>
      <c r="R225" s="1142"/>
      <c r="S225" s="1142"/>
      <c r="T225" s="1143"/>
      <c r="U225" s="1143"/>
      <c r="V225" s="1143"/>
    </row>
    <row r="226" spans="1:22" ht="15.75" customHeight="1">
      <c r="A226" s="1145" t="s">
        <v>98</v>
      </c>
      <c r="B226" s="1593" t="s">
        <v>1956</v>
      </c>
      <c r="C226" s="382"/>
      <c r="D226" s="382"/>
      <c r="E226" s="382"/>
      <c r="F226" s="382"/>
      <c r="G226" s="382"/>
      <c r="H226" s="382"/>
      <c r="I226" s="382"/>
      <c r="J226" s="382"/>
      <c r="K226" s="382"/>
      <c r="L226" s="382"/>
      <c r="M226" s="382"/>
      <c r="N226" s="1141"/>
      <c r="O226" s="1142"/>
      <c r="P226" s="1142"/>
      <c r="Q226" s="1142"/>
      <c r="R226" s="1142"/>
      <c r="S226" s="1142"/>
      <c r="T226" s="1143"/>
      <c r="U226" s="1143"/>
      <c r="V226" s="1143"/>
    </row>
    <row r="227" spans="1:22" ht="15.75" customHeight="1">
      <c r="A227" s="1145"/>
      <c r="B227" s="1622" t="s">
        <v>1645</v>
      </c>
      <c r="C227" s="382"/>
      <c r="D227" s="382"/>
      <c r="E227" s="382"/>
      <c r="F227" s="382"/>
      <c r="G227" s="382"/>
      <c r="H227" s="382"/>
      <c r="I227" s="382"/>
      <c r="J227" s="382"/>
      <c r="K227" s="382"/>
      <c r="L227" s="382"/>
      <c r="M227" s="382"/>
      <c r="N227" s="1141"/>
      <c r="O227" s="1142"/>
      <c r="P227" s="1142"/>
      <c r="Q227" s="1142"/>
      <c r="R227" s="1142"/>
      <c r="S227" s="1142"/>
      <c r="T227" s="1143"/>
      <c r="U227" s="1143"/>
      <c r="V227" s="1143"/>
    </row>
    <row r="228" spans="1:22" ht="15.75" customHeight="1">
      <c r="A228" s="1145"/>
      <c r="B228" s="1594" t="s">
        <v>1044</v>
      </c>
      <c r="C228" s="382">
        <f>C220</f>
        <v>5</v>
      </c>
      <c r="D228" s="382"/>
      <c r="E228" s="382"/>
      <c r="F228" s="490">
        <v>0.39456000000000002</v>
      </c>
      <c r="G228" s="490">
        <v>0.5</v>
      </c>
      <c r="H228" s="382"/>
      <c r="I228" s="490">
        <v>0.2</v>
      </c>
      <c r="J228" s="382"/>
      <c r="K228" s="348">
        <f>ROUNDUP((C229/0.15),0.5)</f>
        <v>4</v>
      </c>
      <c r="L228" s="382"/>
      <c r="M228" s="382">
        <f>(C228+G228+I228)*F228*K228</f>
        <v>8.9959680000000013</v>
      </c>
      <c r="N228" s="1141"/>
      <c r="O228" s="1142"/>
      <c r="P228" s="1142"/>
      <c r="Q228" s="1142"/>
      <c r="R228" s="1142"/>
      <c r="S228" s="1142"/>
      <c r="T228" s="1143"/>
      <c r="U228" s="1143"/>
      <c r="V228" s="1143"/>
    </row>
    <row r="229" spans="1:22" ht="15.75" customHeight="1">
      <c r="A229" s="1145"/>
      <c r="B229" s="1594" t="s">
        <v>136</v>
      </c>
      <c r="C229" s="382">
        <f>C221</f>
        <v>0.5</v>
      </c>
      <c r="D229" s="382"/>
      <c r="E229" s="382"/>
      <c r="F229" s="490">
        <v>0.39456000000000002</v>
      </c>
      <c r="G229" s="490">
        <v>0.5</v>
      </c>
      <c r="H229" s="382"/>
      <c r="I229" s="490">
        <v>0.2</v>
      </c>
      <c r="J229" s="382"/>
      <c r="K229" s="348">
        <f>ROUNDUP((C228/0.15),0.5)</f>
        <v>34</v>
      </c>
      <c r="L229" s="382"/>
      <c r="M229" s="382">
        <f>(C229+G229+I229)*F229*K229</f>
        <v>16.098047999999999</v>
      </c>
      <c r="N229" s="1141"/>
      <c r="O229" s="1142"/>
      <c r="P229" s="1142"/>
      <c r="Q229" s="1142"/>
      <c r="R229" s="1142"/>
      <c r="S229" s="1142"/>
      <c r="T229" s="1143"/>
      <c r="U229" s="1143"/>
      <c r="V229" s="1143"/>
    </row>
    <row r="230" spans="1:22" ht="15.75" customHeight="1">
      <c r="A230" s="1145"/>
      <c r="B230" s="1622" t="s">
        <v>1185</v>
      </c>
      <c r="C230" s="382"/>
      <c r="D230" s="382"/>
      <c r="E230" s="382"/>
      <c r="F230" s="382"/>
      <c r="G230" s="382"/>
      <c r="H230" s="382"/>
      <c r="I230" s="382"/>
      <c r="J230" s="382"/>
      <c r="K230" s="382"/>
      <c r="L230" s="382"/>
      <c r="M230" s="382"/>
      <c r="N230" s="1141"/>
      <c r="O230" s="1142"/>
      <c r="P230" s="1142"/>
      <c r="Q230" s="1142"/>
      <c r="R230" s="1142"/>
      <c r="S230" s="1142"/>
      <c r="T230" s="1143"/>
      <c r="U230" s="1143"/>
      <c r="V230" s="1143"/>
    </row>
    <row r="231" spans="1:22" ht="15.75" customHeight="1">
      <c r="A231" s="1145"/>
      <c r="B231" s="1594" t="s">
        <v>1044</v>
      </c>
      <c r="C231" s="382">
        <f>C223</f>
        <v>3</v>
      </c>
      <c r="D231" s="382"/>
      <c r="E231" s="382"/>
      <c r="F231" s="490">
        <v>0.39456000000000002</v>
      </c>
      <c r="G231" s="490">
        <v>0.5</v>
      </c>
      <c r="H231" s="382"/>
      <c r="I231" s="490">
        <v>0.2</v>
      </c>
      <c r="J231" s="382"/>
      <c r="K231" s="348">
        <f>ROUNDUP((C232/0.15),0.5)</f>
        <v>4</v>
      </c>
      <c r="L231" s="382"/>
      <c r="M231" s="382">
        <f>(C231+G231+I231)*F231*K231</f>
        <v>5.8394880000000002</v>
      </c>
      <c r="N231" s="1141"/>
      <c r="O231" s="1142"/>
      <c r="P231" s="1142"/>
      <c r="Q231" s="1142"/>
      <c r="R231" s="1142"/>
      <c r="S231" s="1142"/>
      <c r="T231" s="1143"/>
      <c r="U231" s="1143"/>
      <c r="V231" s="1143"/>
    </row>
    <row r="232" spans="1:22" ht="15.75" customHeight="1">
      <c r="A232" s="1145"/>
      <c r="B232" s="1594" t="s">
        <v>136</v>
      </c>
      <c r="C232" s="382">
        <f>C224</f>
        <v>0.5</v>
      </c>
      <c r="D232" s="382"/>
      <c r="E232" s="382"/>
      <c r="F232" s="490">
        <v>0.39456000000000002</v>
      </c>
      <c r="G232" s="490">
        <v>0.5</v>
      </c>
      <c r="H232" s="382"/>
      <c r="I232" s="490">
        <v>0.2</v>
      </c>
      <c r="J232" s="382"/>
      <c r="K232" s="348">
        <f>ROUNDUP((C231/0.15),0.5)</f>
        <v>20</v>
      </c>
      <c r="L232" s="382"/>
      <c r="M232" s="382">
        <f>(C232+G232+I232)*F232*K232</f>
        <v>9.4694400000000005</v>
      </c>
      <c r="N232" s="1141"/>
      <c r="O232" s="1142"/>
      <c r="P232" s="1142"/>
      <c r="Q232" s="1142"/>
      <c r="R232" s="1142"/>
      <c r="S232" s="1142"/>
      <c r="T232" s="1143"/>
      <c r="U232" s="1143"/>
      <c r="V232" s="1143"/>
    </row>
    <row r="233" spans="1:22" ht="15.75" customHeight="1">
      <c r="A233" s="1145"/>
      <c r="B233" s="357"/>
      <c r="C233" s="382"/>
      <c r="D233" s="382"/>
      <c r="E233" s="382"/>
      <c r="F233" s="382"/>
      <c r="G233" s="382"/>
      <c r="H233" s="382"/>
      <c r="I233" s="382"/>
      <c r="J233" s="382"/>
      <c r="K233" s="382"/>
      <c r="L233" s="382"/>
      <c r="M233" s="382">
        <f>SUM(M228:M232)</f>
        <v>40.402943999999998</v>
      </c>
      <c r="N233" s="1141" t="s">
        <v>100</v>
      </c>
      <c r="O233" s="1142"/>
      <c r="P233" s="1142"/>
      <c r="Q233" s="1142"/>
      <c r="R233" s="1142"/>
      <c r="S233" s="1142"/>
      <c r="T233" s="1143"/>
      <c r="U233" s="1143"/>
      <c r="V233" s="1143"/>
    </row>
    <row r="234" spans="1:22" ht="15.75" customHeight="1">
      <c r="A234" s="1145" t="s">
        <v>101</v>
      </c>
      <c r="B234" s="1620" t="s">
        <v>420</v>
      </c>
      <c r="C234" s="382"/>
      <c r="D234" s="382"/>
      <c r="E234" s="382"/>
      <c r="F234" s="382"/>
      <c r="G234" s="382"/>
      <c r="H234" s="382"/>
      <c r="I234" s="382"/>
      <c r="J234" s="382"/>
      <c r="K234" s="382"/>
      <c r="L234" s="382"/>
      <c r="M234" s="382"/>
      <c r="N234" s="1141"/>
      <c r="O234" s="1142"/>
      <c r="P234" s="1142"/>
      <c r="Q234" s="1142"/>
      <c r="R234" s="1142"/>
      <c r="S234" s="1142"/>
      <c r="T234" s="1143"/>
      <c r="U234" s="1143"/>
      <c r="V234" s="1143"/>
    </row>
    <row r="235" spans="1:22" ht="15.75" customHeight="1">
      <c r="A235" s="1145"/>
      <c r="B235" s="569" t="s">
        <v>1645</v>
      </c>
      <c r="C235" s="382">
        <f>C219</f>
        <v>5</v>
      </c>
      <c r="D235" s="382">
        <f>D219</f>
        <v>0.5</v>
      </c>
      <c r="E235" s="382">
        <f>E221</f>
        <v>0.15</v>
      </c>
      <c r="F235" s="382"/>
      <c r="G235" s="382"/>
      <c r="H235" s="382"/>
      <c r="I235" s="382"/>
      <c r="J235" s="382"/>
      <c r="K235" s="382"/>
      <c r="L235" s="382"/>
      <c r="M235" s="382">
        <f>C235*D235*E235</f>
        <v>0.375</v>
      </c>
      <c r="N235" s="1141"/>
      <c r="O235" s="1142"/>
      <c r="P235" s="1142"/>
      <c r="Q235" s="1142"/>
      <c r="R235" s="1142"/>
      <c r="S235" s="1142"/>
      <c r="T235" s="1143"/>
      <c r="U235" s="1143"/>
      <c r="V235" s="1143"/>
    </row>
    <row r="236" spans="1:22" ht="15.75" customHeight="1">
      <c r="A236" s="1145"/>
      <c r="B236" s="569" t="s">
        <v>1185</v>
      </c>
      <c r="C236" s="382">
        <f>C222</f>
        <v>3</v>
      </c>
      <c r="D236" s="382">
        <f>D222</f>
        <v>0.5</v>
      </c>
      <c r="E236" s="382">
        <f>E235</f>
        <v>0.15</v>
      </c>
      <c r="F236" s="382"/>
      <c r="G236" s="382"/>
      <c r="H236" s="382"/>
      <c r="I236" s="382"/>
      <c r="J236" s="382"/>
      <c r="K236" s="382"/>
      <c r="L236" s="382"/>
      <c r="M236" s="382">
        <f>C236*D236*E236</f>
        <v>0.22499999999999998</v>
      </c>
      <c r="N236" s="1141"/>
      <c r="O236" s="1142"/>
      <c r="P236" s="1142"/>
      <c r="Q236" s="1142"/>
      <c r="R236" s="1142"/>
      <c r="S236" s="1142"/>
      <c r="T236" s="1143"/>
      <c r="U236" s="1143"/>
      <c r="V236" s="1143"/>
    </row>
    <row r="237" spans="1:22" ht="15.75" customHeight="1">
      <c r="A237" s="1145"/>
      <c r="B237" s="357"/>
      <c r="C237" s="382"/>
      <c r="D237" s="382"/>
      <c r="E237" s="382"/>
      <c r="F237" s="382"/>
      <c r="G237" s="382"/>
      <c r="H237" s="382"/>
      <c r="I237" s="382"/>
      <c r="J237" s="382"/>
      <c r="K237" s="382"/>
      <c r="L237" s="382"/>
      <c r="M237" s="382">
        <f>SUM(M235:M236)</f>
        <v>0.6</v>
      </c>
      <c r="N237" s="1141" t="s">
        <v>103</v>
      </c>
      <c r="O237" s="1142"/>
      <c r="P237" s="1142"/>
      <c r="Q237" s="1142"/>
      <c r="R237" s="1142"/>
      <c r="S237" s="1142"/>
      <c r="T237" s="1143"/>
      <c r="U237" s="1143"/>
      <c r="V237" s="1143"/>
    </row>
    <row r="238" spans="1:22" ht="15.75" customHeight="1">
      <c r="A238" s="1145"/>
      <c r="B238" s="357"/>
      <c r="C238" s="382"/>
      <c r="D238" s="382"/>
      <c r="E238" s="382"/>
      <c r="F238" s="382"/>
      <c r="G238" s="382"/>
      <c r="H238" s="382"/>
      <c r="I238" s="382"/>
      <c r="J238" s="382"/>
      <c r="K238" s="382"/>
      <c r="L238" s="382"/>
      <c r="M238" s="382"/>
      <c r="N238" s="1141"/>
      <c r="O238" s="1142"/>
      <c r="P238" s="1142"/>
      <c r="Q238" s="1142"/>
      <c r="R238" s="1142"/>
      <c r="S238" s="1142"/>
      <c r="T238" s="1143"/>
      <c r="U238" s="1143"/>
      <c r="V238" s="1143"/>
    </row>
    <row r="239" spans="1:22" ht="15.75" customHeight="1">
      <c r="A239" s="1145"/>
      <c r="B239" s="1609" t="s">
        <v>434</v>
      </c>
      <c r="C239" s="382"/>
      <c r="D239" s="382"/>
      <c r="E239" s="382"/>
      <c r="F239" s="382"/>
      <c r="G239" s="382"/>
      <c r="H239" s="382"/>
      <c r="I239" s="382"/>
      <c r="J239" s="382"/>
      <c r="K239" s="382"/>
      <c r="L239" s="382"/>
      <c r="M239" s="382"/>
      <c r="N239" s="1141"/>
      <c r="O239" s="1142"/>
      <c r="P239" s="1142"/>
      <c r="Q239" s="1142"/>
      <c r="R239" s="1142"/>
      <c r="S239" s="1142"/>
      <c r="T239" s="1143"/>
      <c r="U239" s="1143"/>
      <c r="V239" s="1143"/>
    </row>
    <row r="240" spans="1:22" ht="15.75" customHeight="1">
      <c r="A240" s="1140">
        <v>1</v>
      </c>
      <c r="B240" s="357" t="s">
        <v>907</v>
      </c>
      <c r="C240" s="382"/>
      <c r="D240" s="382"/>
      <c r="E240" s="382"/>
      <c r="F240" s="382"/>
      <c r="G240" s="382"/>
      <c r="H240" s="382"/>
      <c r="I240" s="382"/>
      <c r="J240" s="382"/>
      <c r="K240" s="382"/>
      <c r="L240" s="382"/>
      <c r="M240" s="382"/>
      <c r="N240" s="1141"/>
      <c r="O240" s="1142"/>
      <c r="P240" s="1142"/>
      <c r="Q240" s="1142"/>
      <c r="R240" s="1142"/>
      <c r="S240" s="1142"/>
      <c r="T240" s="1143"/>
      <c r="U240" s="1143"/>
      <c r="V240" s="1143"/>
    </row>
    <row r="241" spans="1:22" ht="15.75" customHeight="1">
      <c r="A241" s="1140"/>
      <c r="B241" s="569" t="s">
        <v>1531</v>
      </c>
      <c r="C241" s="382">
        <v>10</v>
      </c>
      <c r="D241" s="382"/>
      <c r="E241" s="382">
        <f>3.88-0.3</f>
        <v>3.58</v>
      </c>
      <c r="F241" s="382"/>
      <c r="G241" s="382"/>
      <c r="H241" s="382"/>
      <c r="I241" s="382"/>
      <c r="J241" s="382"/>
      <c r="K241" s="382"/>
      <c r="L241" s="382"/>
      <c r="M241" s="382">
        <f>C241*E241</f>
        <v>35.799999999999997</v>
      </c>
      <c r="N241" s="1141"/>
      <c r="O241" s="1142"/>
      <c r="P241" s="1142"/>
      <c r="Q241" s="1142"/>
      <c r="R241" s="1142"/>
      <c r="S241" s="1142"/>
      <c r="T241" s="1143"/>
      <c r="U241" s="1143"/>
      <c r="V241" s="1143"/>
    </row>
    <row r="242" spans="1:22" ht="15.75" customHeight="1">
      <c r="A242" s="1140"/>
      <c r="B242" s="569" t="s">
        <v>1532</v>
      </c>
      <c r="C242" s="382">
        <f>C241</f>
        <v>10</v>
      </c>
      <c r="D242" s="382"/>
      <c r="E242" s="382">
        <f>E241</f>
        <v>3.58</v>
      </c>
      <c r="F242" s="382"/>
      <c r="G242" s="382"/>
      <c r="H242" s="382"/>
      <c r="I242" s="382"/>
      <c r="J242" s="382"/>
      <c r="K242" s="382"/>
      <c r="L242" s="382"/>
      <c r="M242" s="382">
        <f>C242*E242</f>
        <v>35.799999999999997</v>
      </c>
      <c r="N242" s="1141"/>
      <c r="O242" s="1142"/>
      <c r="P242" s="1142"/>
      <c r="Q242" s="1142"/>
      <c r="R242" s="1142"/>
      <c r="S242" s="1142"/>
      <c r="T242" s="1143"/>
      <c r="U242" s="1143"/>
      <c r="V242" s="1143"/>
    </row>
    <row r="243" spans="1:22" ht="15.75" customHeight="1">
      <c r="A243" s="1140"/>
      <c r="B243" s="569" t="s">
        <v>1533</v>
      </c>
      <c r="C243" s="382">
        <v>3</v>
      </c>
      <c r="D243" s="382"/>
      <c r="E243" s="382">
        <f>E242</f>
        <v>3.58</v>
      </c>
      <c r="F243" s="382"/>
      <c r="G243" s="382"/>
      <c r="H243" s="382"/>
      <c r="I243" s="382"/>
      <c r="J243" s="382"/>
      <c r="K243" s="382"/>
      <c r="L243" s="382">
        <v>4</v>
      </c>
      <c r="M243" s="382">
        <f>C243*E243*L243</f>
        <v>42.96</v>
      </c>
      <c r="N243" s="1141"/>
      <c r="O243" s="1142"/>
      <c r="P243" s="1142"/>
      <c r="Q243" s="1142"/>
      <c r="R243" s="1142"/>
      <c r="S243" s="1142"/>
      <c r="T243" s="1143"/>
      <c r="U243" s="1143"/>
      <c r="V243" s="1143"/>
    </row>
    <row r="244" spans="1:22" ht="15.75" customHeight="1">
      <c r="A244" s="1140"/>
      <c r="B244" s="569" t="s">
        <v>1534</v>
      </c>
      <c r="C244" s="382">
        <v>1</v>
      </c>
      <c r="D244" s="382"/>
      <c r="E244" s="382">
        <v>1</v>
      </c>
      <c r="F244" s="382"/>
      <c r="G244" s="382"/>
      <c r="H244" s="382"/>
      <c r="I244" s="382"/>
      <c r="J244" s="382"/>
      <c r="K244" s="382"/>
      <c r="L244" s="382">
        <v>2</v>
      </c>
      <c r="M244" s="382">
        <f>C244*E244*L244</f>
        <v>2</v>
      </c>
      <c r="N244" s="1141"/>
      <c r="O244" s="1142"/>
      <c r="P244" s="1142"/>
      <c r="Q244" s="1142"/>
      <c r="R244" s="1142"/>
      <c r="S244" s="1142"/>
      <c r="T244" s="1143"/>
      <c r="U244" s="1143"/>
      <c r="V244" s="1143"/>
    </row>
    <row r="245" spans="1:22" ht="15.75" customHeight="1">
      <c r="A245" s="1140"/>
      <c r="B245" s="569" t="s">
        <v>1535</v>
      </c>
      <c r="C245" s="382">
        <f>C242</f>
        <v>10</v>
      </c>
      <c r="D245" s="382"/>
      <c r="E245" s="382">
        <f>E243</f>
        <v>3.58</v>
      </c>
      <c r="F245" s="382"/>
      <c r="G245" s="382"/>
      <c r="H245" s="382"/>
      <c r="I245" s="382"/>
      <c r="J245" s="382"/>
      <c r="K245" s="382"/>
      <c r="L245" s="382"/>
      <c r="M245" s="382">
        <f>C245*E245</f>
        <v>35.799999999999997</v>
      </c>
      <c r="N245" s="1141"/>
      <c r="O245" s="1142"/>
      <c r="P245" s="1142"/>
      <c r="Q245" s="1142"/>
      <c r="R245" s="1142"/>
      <c r="S245" s="1142"/>
      <c r="T245" s="1143"/>
      <c r="U245" s="1143"/>
      <c r="V245" s="1143"/>
    </row>
    <row r="246" spans="1:22" ht="15.75" customHeight="1">
      <c r="A246" s="1140"/>
      <c r="B246" s="569" t="s">
        <v>1536</v>
      </c>
      <c r="C246" s="382">
        <v>5</v>
      </c>
      <c r="D246" s="382"/>
      <c r="E246" s="382">
        <f>E245</f>
        <v>3.58</v>
      </c>
      <c r="F246" s="382"/>
      <c r="G246" s="382"/>
      <c r="H246" s="382"/>
      <c r="I246" s="382"/>
      <c r="J246" s="382"/>
      <c r="K246" s="382"/>
      <c r="L246" s="382"/>
      <c r="M246" s="382">
        <f>C246*E246</f>
        <v>17.899999999999999</v>
      </c>
      <c r="N246" s="1141"/>
      <c r="O246" s="1142"/>
      <c r="P246" s="1142"/>
      <c r="Q246" s="1142"/>
      <c r="R246" s="1142"/>
      <c r="S246" s="1142"/>
      <c r="T246" s="1143"/>
      <c r="U246" s="1143"/>
      <c r="V246" s="1143"/>
    </row>
    <row r="247" spans="1:22" ht="15.75" customHeight="1">
      <c r="A247" s="1140"/>
      <c r="B247" s="569" t="s">
        <v>1537</v>
      </c>
      <c r="C247" s="382">
        <v>3</v>
      </c>
      <c r="D247" s="382"/>
      <c r="E247" s="382">
        <f>E246</f>
        <v>3.58</v>
      </c>
      <c r="F247" s="382"/>
      <c r="G247" s="382"/>
      <c r="H247" s="382"/>
      <c r="I247" s="382"/>
      <c r="J247" s="382"/>
      <c r="K247" s="382"/>
      <c r="L247" s="382"/>
      <c r="M247" s="382">
        <f>C247*E247</f>
        <v>10.74</v>
      </c>
      <c r="N247" s="1141"/>
      <c r="O247" s="1142"/>
      <c r="P247" s="1142"/>
      <c r="Q247" s="1142"/>
      <c r="R247" s="1142"/>
      <c r="S247" s="1142"/>
      <c r="T247" s="1143"/>
      <c r="U247" s="1143"/>
      <c r="V247" s="1143"/>
    </row>
    <row r="248" spans="1:22" ht="15.75" customHeight="1">
      <c r="A248" s="1140"/>
      <c r="B248" s="569" t="s">
        <v>1538</v>
      </c>
      <c r="C248" s="382">
        <v>4</v>
      </c>
      <c r="D248" s="382"/>
      <c r="E248" s="382">
        <f>E247</f>
        <v>3.58</v>
      </c>
      <c r="F248" s="382"/>
      <c r="G248" s="382"/>
      <c r="H248" s="382"/>
      <c r="I248" s="382"/>
      <c r="J248" s="382"/>
      <c r="K248" s="382"/>
      <c r="L248" s="382">
        <v>2</v>
      </c>
      <c r="M248" s="382">
        <f>C248*E248*L248</f>
        <v>28.64</v>
      </c>
      <c r="N248" s="1141"/>
      <c r="O248" s="1142"/>
      <c r="P248" s="1142"/>
      <c r="Q248" s="1142"/>
      <c r="R248" s="1142"/>
      <c r="S248" s="1142"/>
      <c r="T248" s="1143"/>
      <c r="U248" s="1143"/>
      <c r="V248" s="1143"/>
    </row>
    <row r="249" spans="1:22" ht="15.75" customHeight="1">
      <c r="A249" s="1140"/>
      <c r="B249" s="569" t="s">
        <v>1539</v>
      </c>
      <c r="C249" s="382"/>
      <c r="D249" s="382"/>
      <c r="E249" s="382"/>
      <c r="F249" s="382"/>
      <c r="G249" s="382"/>
      <c r="H249" s="382"/>
      <c r="I249" s="382"/>
      <c r="J249" s="382"/>
      <c r="K249" s="382"/>
      <c r="L249" s="382"/>
      <c r="M249" s="382"/>
      <c r="N249" s="1141"/>
      <c r="O249" s="1142"/>
      <c r="P249" s="1142"/>
      <c r="Q249" s="1142"/>
      <c r="R249" s="1142"/>
      <c r="S249" s="1142"/>
      <c r="T249" s="1143"/>
      <c r="U249" s="1143"/>
      <c r="V249" s="1143"/>
    </row>
    <row r="250" spans="1:22" ht="15.75" customHeight="1">
      <c r="A250" s="1140"/>
      <c r="B250" s="1623" t="s">
        <v>1540</v>
      </c>
      <c r="C250" s="382"/>
      <c r="D250" s="382"/>
      <c r="E250" s="382"/>
      <c r="F250" s="382"/>
      <c r="G250" s="382"/>
      <c r="H250" s="382"/>
      <c r="I250" s="382"/>
      <c r="J250" s="382"/>
      <c r="K250" s="382"/>
      <c r="L250" s="382"/>
      <c r="M250" s="382"/>
      <c r="N250" s="1141"/>
      <c r="O250" s="1142"/>
      <c r="P250" s="1142"/>
      <c r="Q250" s="1142"/>
      <c r="R250" s="1142"/>
      <c r="S250" s="1142"/>
      <c r="T250" s="1143"/>
      <c r="U250" s="1143"/>
      <c r="V250" s="1143"/>
    </row>
    <row r="251" spans="1:22" ht="15.75" customHeight="1">
      <c r="A251" s="1140"/>
      <c r="B251" s="569" t="str">
        <f>B242</f>
        <v>as E'</v>
      </c>
      <c r="C251" s="382">
        <v>1.75</v>
      </c>
      <c r="D251" s="382"/>
      <c r="E251" s="382">
        <v>2.4</v>
      </c>
      <c r="F251" s="382"/>
      <c r="G251" s="382"/>
      <c r="H251" s="382"/>
      <c r="I251" s="382"/>
      <c r="J251" s="382"/>
      <c r="K251" s="382"/>
      <c r="L251" s="382">
        <v>5</v>
      </c>
      <c r="M251" s="382">
        <f>-C251*E251*L251</f>
        <v>-21</v>
      </c>
      <c r="N251" s="1141"/>
      <c r="O251" s="1142"/>
      <c r="P251" s="1142"/>
      <c r="Q251" s="1142"/>
      <c r="R251" s="1142"/>
      <c r="S251" s="1142"/>
      <c r="T251" s="1143"/>
      <c r="U251" s="1143"/>
      <c r="V251" s="1143"/>
    </row>
    <row r="252" spans="1:22" ht="15.75" customHeight="1">
      <c r="A252" s="1140"/>
      <c r="B252" s="569" t="str">
        <f>B245</f>
        <v>as B</v>
      </c>
      <c r="C252" s="382">
        <v>1.75</v>
      </c>
      <c r="D252" s="382"/>
      <c r="E252" s="382">
        <v>2.4</v>
      </c>
      <c r="F252" s="382"/>
      <c r="G252" s="382"/>
      <c r="H252" s="382"/>
      <c r="I252" s="382"/>
      <c r="J252" s="382"/>
      <c r="K252" s="382"/>
      <c r="L252" s="382">
        <v>2</v>
      </c>
      <c r="M252" s="382">
        <f>-C252*E252*L252</f>
        <v>-8.4</v>
      </c>
      <c r="N252" s="1141"/>
      <c r="O252" s="1142"/>
      <c r="P252" s="1142"/>
      <c r="Q252" s="1142"/>
      <c r="R252" s="1142"/>
      <c r="S252" s="1142"/>
      <c r="T252" s="1143"/>
      <c r="U252" s="1143"/>
      <c r="V252" s="1143"/>
    </row>
    <row r="253" spans="1:22" ht="15.75" customHeight="1">
      <c r="A253" s="1140"/>
      <c r="B253" s="569"/>
      <c r="C253" s="382">
        <v>5</v>
      </c>
      <c r="D253" s="382"/>
      <c r="E253" s="382">
        <v>3</v>
      </c>
      <c r="F253" s="382"/>
      <c r="G253" s="382"/>
      <c r="H253" s="382"/>
      <c r="I253" s="382"/>
      <c r="J253" s="382"/>
      <c r="K253" s="382"/>
      <c r="L253" s="382"/>
      <c r="M253" s="382">
        <f>-C253*E253</f>
        <v>-15</v>
      </c>
      <c r="N253" s="1141"/>
      <c r="O253" s="1142"/>
      <c r="P253" s="1142"/>
      <c r="Q253" s="1142"/>
      <c r="R253" s="1142"/>
      <c r="S253" s="1142"/>
      <c r="T253" s="1143"/>
      <c r="U253" s="1143"/>
      <c r="V253" s="1143"/>
    </row>
    <row r="254" spans="1:22" ht="15.75" customHeight="1">
      <c r="A254" s="1140"/>
      <c r="B254" s="569" t="s">
        <v>1541</v>
      </c>
      <c r="C254" s="382">
        <v>2.25</v>
      </c>
      <c r="D254" s="382"/>
      <c r="E254" s="382">
        <v>1.75</v>
      </c>
      <c r="F254" s="382"/>
      <c r="G254" s="382"/>
      <c r="H254" s="382"/>
      <c r="I254" s="382"/>
      <c r="J254" s="382"/>
      <c r="K254" s="382"/>
      <c r="L254" s="382">
        <v>2</v>
      </c>
      <c r="M254" s="382">
        <f>-C254*E254*L254</f>
        <v>-7.875</v>
      </c>
      <c r="N254" s="1141"/>
      <c r="O254" s="1142"/>
      <c r="P254" s="1142"/>
      <c r="Q254" s="1142"/>
      <c r="R254" s="1142"/>
      <c r="S254" s="1142"/>
      <c r="T254" s="1143"/>
      <c r="U254" s="1143"/>
      <c r="V254" s="1143"/>
    </row>
    <row r="255" spans="1:22" ht="15.75" customHeight="1">
      <c r="A255" s="1140"/>
      <c r="B255" s="569" t="s">
        <v>1542</v>
      </c>
      <c r="C255" s="382">
        <v>2.75</v>
      </c>
      <c r="D255" s="382"/>
      <c r="E255" s="382">
        <v>1.75</v>
      </c>
      <c r="F255" s="382"/>
      <c r="G255" s="382"/>
      <c r="H255" s="382"/>
      <c r="I255" s="382"/>
      <c r="J255" s="382"/>
      <c r="K255" s="382"/>
      <c r="L255" s="382"/>
      <c r="M255" s="382">
        <f>-C255*E255</f>
        <v>-4.8125</v>
      </c>
      <c r="N255" s="1141"/>
      <c r="O255" s="1142"/>
      <c r="P255" s="1142"/>
      <c r="Q255" s="1142"/>
      <c r="R255" s="1142"/>
      <c r="S255" s="1142"/>
      <c r="T255" s="1143"/>
      <c r="U255" s="1143"/>
      <c r="V255" s="1143"/>
    </row>
    <row r="256" spans="1:22" ht="15.75" customHeight="1">
      <c r="A256" s="1140"/>
      <c r="B256" s="569"/>
      <c r="C256" s="382"/>
      <c r="D256" s="382"/>
      <c r="E256" s="382"/>
      <c r="F256" s="382"/>
      <c r="G256" s="382"/>
      <c r="H256" s="382"/>
      <c r="I256" s="382"/>
      <c r="J256" s="382"/>
      <c r="K256" s="382"/>
      <c r="L256" s="382"/>
      <c r="M256" s="382">
        <f>SUM(M241:M255)</f>
        <v>152.55250000000004</v>
      </c>
      <c r="N256" s="1141" t="s">
        <v>89</v>
      </c>
      <c r="O256" s="1142"/>
      <c r="P256" s="1142"/>
      <c r="Q256" s="1142"/>
      <c r="R256" s="1142"/>
      <c r="S256" s="1142"/>
      <c r="T256" s="1143"/>
      <c r="U256" s="1143"/>
      <c r="V256" s="1143"/>
    </row>
    <row r="257" spans="1:22" ht="15.75" customHeight="1">
      <c r="A257" s="1140">
        <f>A240+1</f>
        <v>2</v>
      </c>
      <c r="B257" s="357" t="s">
        <v>908</v>
      </c>
      <c r="C257" s="382"/>
      <c r="D257" s="382"/>
      <c r="E257" s="382"/>
      <c r="F257" s="382"/>
      <c r="G257" s="382"/>
      <c r="H257" s="382"/>
      <c r="I257" s="382"/>
      <c r="J257" s="382"/>
      <c r="K257" s="382"/>
      <c r="L257" s="382"/>
      <c r="M257" s="382"/>
      <c r="N257" s="1141"/>
      <c r="O257" s="1142"/>
      <c r="P257" s="1142"/>
      <c r="Q257" s="1142"/>
      <c r="R257" s="1142"/>
      <c r="S257" s="1142"/>
      <c r="T257" s="1143"/>
      <c r="U257" s="1143"/>
      <c r="V257" s="1143"/>
    </row>
    <row r="258" spans="1:22" ht="15.75" customHeight="1">
      <c r="A258" s="1140"/>
      <c r="B258" s="569" t="s">
        <v>1543</v>
      </c>
      <c r="C258" s="382"/>
      <c r="D258" s="382"/>
      <c r="E258" s="382"/>
      <c r="F258" s="382"/>
      <c r="G258" s="382"/>
      <c r="H258" s="382">
        <v>2</v>
      </c>
      <c r="I258" s="382"/>
      <c r="J258" s="382"/>
      <c r="K258" s="382"/>
      <c r="L258" s="382"/>
      <c r="M258" s="382">
        <f>M256*H258</f>
        <v>305.10500000000008</v>
      </c>
      <c r="N258" s="1141" t="s">
        <v>89</v>
      </c>
      <c r="O258" s="1142"/>
      <c r="P258" s="1142"/>
      <c r="Q258" s="1142"/>
      <c r="R258" s="1142"/>
      <c r="S258" s="1142"/>
      <c r="T258" s="1143"/>
      <c r="U258" s="1143"/>
      <c r="V258" s="1143"/>
    </row>
    <row r="259" spans="1:22" ht="15.75" customHeight="1">
      <c r="A259" s="1140">
        <f>A257+1</f>
        <v>3</v>
      </c>
      <c r="B259" s="357" t="s">
        <v>909</v>
      </c>
      <c r="C259" s="382"/>
      <c r="D259" s="382"/>
      <c r="E259" s="382"/>
      <c r="F259" s="382"/>
      <c r="G259" s="382"/>
      <c r="H259" s="382"/>
      <c r="I259" s="382"/>
      <c r="J259" s="382"/>
      <c r="K259" s="382"/>
      <c r="L259" s="382"/>
      <c r="M259" s="382"/>
      <c r="N259" s="1141"/>
      <c r="O259" s="1624"/>
      <c r="P259" s="1624"/>
      <c r="Q259" s="1624"/>
      <c r="R259" s="1624"/>
      <c r="S259" s="1624"/>
    </row>
    <row r="260" spans="1:22" ht="15.75" customHeight="1">
      <c r="A260" s="1145"/>
      <c r="B260" s="569" t="s">
        <v>1248</v>
      </c>
      <c r="C260" s="382"/>
      <c r="D260" s="382"/>
      <c r="E260" s="382"/>
      <c r="F260" s="382"/>
      <c r="G260" s="382"/>
      <c r="H260" s="382"/>
      <c r="I260" s="382"/>
      <c r="J260" s="382"/>
      <c r="K260" s="382"/>
      <c r="L260" s="382"/>
      <c r="M260" s="382">
        <f>M258</f>
        <v>305.10500000000008</v>
      </c>
      <c r="N260" s="1141"/>
      <c r="O260" s="1624"/>
      <c r="P260" s="1624"/>
      <c r="Q260" s="1624"/>
      <c r="R260" s="1624"/>
      <c r="S260" s="1624"/>
    </row>
    <row r="261" spans="1:22" ht="15.75" customHeight="1">
      <c r="A261" s="1145"/>
      <c r="B261" s="569" t="s">
        <v>1544</v>
      </c>
      <c r="C261" s="382"/>
      <c r="D261" s="382"/>
      <c r="E261" s="382"/>
      <c r="F261" s="382"/>
      <c r="G261" s="382"/>
      <c r="H261" s="382"/>
      <c r="I261" s="382"/>
      <c r="J261" s="382"/>
      <c r="K261" s="382"/>
      <c r="L261" s="382"/>
      <c r="M261" s="382">
        <f>-M276</f>
        <v>-6.9749999999999996</v>
      </c>
      <c r="N261" s="1141"/>
      <c r="O261" s="1624"/>
      <c r="P261" s="1624"/>
      <c r="Q261" s="1624"/>
      <c r="R261" s="1624"/>
      <c r="S261" s="1624"/>
    </row>
    <row r="262" spans="1:22" ht="15.75" customHeight="1">
      <c r="A262" s="1145"/>
      <c r="B262" s="569" t="s">
        <v>1545</v>
      </c>
      <c r="C262" s="382"/>
      <c r="D262" s="382"/>
      <c r="E262" s="382"/>
      <c r="F262" s="382"/>
      <c r="G262" s="382"/>
      <c r="H262" s="382"/>
      <c r="I262" s="382"/>
      <c r="J262" s="382"/>
      <c r="K262" s="382"/>
      <c r="L262" s="382"/>
      <c r="M262" s="382">
        <f>-M280</f>
        <v>-1.4524999999999999</v>
      </c>
      <c r="N262" s="1141"/>
      <c r="O262" s="1624"/>
      <c r="P262" s="1624"/>
      <c r="Q262" s="1624"/>
      <c r="R262" s="1624"/>
      <c r="S262" s="1624"/>
    </row>
    <row r="263" spans="1:22" ht="15.75" hidden="1" customHeight="1">
      <c r="A263" s="1616"/>
      <c r="B263" s="1625" t="s">
        <v>1546</v>
      </c>
      <c r="C263" s="382"/>
      <c r="D263" s="382"/>
      <c r="E263" s="382"/>
      <c r="F263" s="382"/>
      <c r="G263" s="382"/>
      <c r="H263" s="382"/>
      <c r="I263" s="382"/>
      <c r="J263" s="382"/>
      <c r="K263" s="382"/>
      <c r="L263" s="382"/>
      <c r="M263" s="382">
        <f>-M286</f>
        <v>0</v>
      </c>
      <c r="N263" s="1141"/>
      <c r="O263" s="1624"/>
      <c r="P263" s="1624"/>
      <c r="Q263" s="1624"/>
      <c r="R263" s="1624"/>
      <c r="S263" s="1624"/>
    </row>
    <row r="264" spans="1:22" ht="15.75" customHeight="1">
      <c r="A264" s="1145"/>
      <c r="B264" s="357"/>
      <c r="C264" s="382"/>
      <c r="D264" s="382"/>
      <c r="E264" s="382"/>
      <c r="F264" s="382"/>
      <c r="G264" s="382"/>
      <c r="H264" s="382"/>
      <c r="I264" s="382"/>
      <c r="J264" s="382"/>
      <c r="K264" s="382"/>
      <c r="L264" s="382"/>
      <c r="M264" s="382">
        <f>SUM(M260:M263)</f>
        <v>296.67750000000007</v>
      </c>
      <c r="N264" s="1141" t="s">
        <v>89</v>
      </c>
      <c r="O264" s="1624"/>
      <c r="P264" s="1624"/>
      <c r="Q264" s="1624"/>
      <c r="R264" s="1624"/>
      <c r="S264" s="1624"/>
    </row>
    <row r="265" spans="1:22" ht="15.75" customHeight="1">
      <c r="A265" s="1140">
        <f>A259+1</f>
        <v>4</v>
      </c>
      <c r="B265" s="357" t="s">
        <v>858</v>
      </c>
      <c r="C265" s="382"/>
      <c r="D265" s="382"/>
      <c r="E265" s="382"/>
      <c r="F265" s="382"/>
      <c r="G265" s="382"/>
      <c r="H265" s="382"/>
      <c r="I265" s="382"/>
      <c r="J265" s="382"/>
      <c r="K265" s="382"/>
      <c r="L265" s="382"/>
      <c r="M265" s="382"/>
      <c r="N265" s="1141"/>
    </row>
    <row r="266" spans="1:22" ht="15.75" customHeight="1">
      <c r="A266" s="1145" t="s">
        <v>95</v>
      </c>
      <c r="B266" s="357" t="s">
        <v>1547</v>
      </c>
      <c r="C266" s="382"/>
      <c r="D266" s="382"/>
      <c r="E266" s="382"/>
      <c r="F266" s="382"/>
      <c r="G266" s="382"/>
      <c r="H266" s="382"/>
      <c r="I266" s="382"/>
      <c r="J266" s="382"/>
      <c r="K266" s="382"/>
      <c r="L266" s="382"/>
      <c r="M266" s="382"/>
      <c r="N266" s="1141"/>
    </row>
    <row r="267" spans="1:22" ht="15.75" customHeight="1">
      <c r="A267" s="1140"/>
      <c r="B267" s="569" t="s">
        <v>1548</v>
      </c>
      <c r="C267" s="382"/>
      <c r="D267" s="382"/>
      <c r="E267" s="382">
        <v>3.58</v>
      </c>
      <c r="F267" s="382"/>
      <c r="G267" s="382"/>
      <c r="H267" s="382">
        <v>4</v>
      </c>
      <c r="I267" s="382"/>
      <c r="J267" s="382"/>
      <c r="K267" s="382"/>
      <c r="L267" s="382">
        <v>10</v>
      </c>
      <c r="M267" s="382">
        <f>E267*H267*L267</f>
        <v>143.19999999999999</v>
      </c>
      <c r="N267" s="1141"/>
    </row>
    <row r="268" spans="1:22" ht="15.75" customHeight="1">
      <c r="A268" s="1140"/>
      <c r="B268" s="569" t="s">
        <v>1549</v>
      </c>
      <c r="C268" s="382"/>
      <c r="D268" s="382"/>
      <c r="E268" s="382">
        <f>E267</f>
        <v>3.58</v>
      </c>
      <c r="F268" s="382"/>
      <c r="G268" s="382"/>
      <c r="H268" s="382">
        <v>3</v>
      </c>
      <c r="I268" s="382"/>
      <c r="J268" s="382"/>
      <c r="K268" s="382"/>
      <c r="L268" s="382">
        <v>2</v>
      </c>
      <c r="M268" s="382">
        <f>E268*H268*L268</f>
        <v>21.48</v>
      </c>
      <c r="N268" s="1141"/>
    </row>
    <row r="269" spans="1:22" ht="15.75" customHeight="1">
      <c r="A269" s="1140"/>
      <c r="B269" s="569" t="s">
        <v>1550</v>
      </c>
      <c r="C269" s="382">
        <v>12</v>
      </c>
      <c r="D269" s="382"/>
      <c r="E269" s="382"/>
      <c r="F269" s="382"/>
      <c r="G269" s="382"/>
      <c r="H269" s="382">
        <v>3</v>
      </c>
      <c r="I269" s="382"/>
      <c r="J269" s="382"/>
      <c r="K269" s="382"/>
      <c r="L269" s="382">
        <v>2</v>
      </c>
      <c r="M269" s="382">
        <f>C269*H269*L269</f>
        <v>72</v>
      </c>
      <c r="N269" s="1141"/>
    </row>
    <row r="270" spans="1:22" ht="15.75" customHeight="1">
      <c r="A270" s="1140"/>
      <c r="B270" s="357"/>
      <c r="C270" s="382"/>
      <c r="D270" s="382"/>
      <c r="E270" s="382"/>
      <c r="F270" s="382"/>
      <c r="G270" s="382"/>
      <c r="H270" s="382"/>
      <c r="I270" s="382"/>
      <c r="J270" s="382"/>
      <c r="K270" s="382"/>
      <c r="L270" s="382"/>
      <c r="M270" s="382">
        <f>SUM(M267:M269)</f>
        <v>236.67999999999998</v>
      </c>
      <c r="N270" s="1141" t="s">
        <v>117</v>
      </c>
    </row>
    <row r="271" spans="1:22" ht="14.25" customHeight="1">
      <c r="A271" s="1140">
        <f>A265+1</f>
        <v>5</v>
      </c>
      <c r="B271" s="357" t="s">
        <v>1551</v>
      </c>
      <c r="C271" s="382"/>
      <c r="D271" s="382"/>
      <c r="E271" s="382"/>
      <c r="F271" s="382"/>
      <c r="G271" s="382"/>
      <c r="H271" s="382"/>
      <c r="I271" s="382"/>
      <c r="J271" s="382"/>
      <c r="K271" s="382"/>
      <c r="L271" s="382"/>
      <c r="M271" s="382"/>
      <c r="N271" s="1141"/>
    </row>
    <row r="272" spans="1:22" ht="14.25" customHeight="1">
      <c r="A272" s="1140"/>
      <c r="B272" s="569" t="s">
        <v>1552</v>
      </c>
      <c r="C272" s="382">
        <v>5</v>
      </c>
      <c r="D272" s="382"/>
      <c r="E272" s="382">
        <v>0.5</v>
      </c>
      <c r="F272" s="382"/>
      <c r="G272" s="382"/>
      <c r="H272" s="382"/>
      <c r="I272" s="382"/>
      <c r="J272" s="382"/>
      <c r="K272" s="382"/>
      <c r="L272" s="382"/>
      <c r="M272" s="382">
        <f>C272*E272</f>
        <v>2.5</v>
      </c>
      <c r="N272" s="1141"/>
    </row>
    <row r="273" spans="1:16" ht="14.25" customHeight="1">
      <c r="A273" s="1140"/>
      <c r="B273" s="569" t="s">
        <v>1553</v>
      </c>
      <c r="C273" s="382">
        <f>C248-1</f>
        <v>3</v>
      </c>
      <c r="D273" s="382"/>
      <c r="E273" s="382">
        <f>E248</f>
        <v>3.58</v>
      </c>
      <c r="F273" s="382"/>
      <c r="G273" s="382"/>
      <c r="H273" s="382"/>
      <c r="I273" s="382"/>
      <c r="J273" s="382"/>
      <c r="K273" s="382"/>
      <c r="L273" s="382"/>
      <c r="M273" s="382">
        <f>C273*E273</f>
        <v>10.74</v>
      </c>
      <c r="N273" s="1141"/>
    </row>
    <row r="274" spans="1:16" ht="14.25" customHeight="1">
      <c r="A274" s="1140"/>
      <c r="B274" s="569" t="s">
        <v>1545</v>
      </c>
      <c r="C274" s="382"/>
      <c r="D274" s="382"/>
      <c r="E274" s="382"/>
      <c r="F274" s="382"/>
      <c r="G274" s="382"/>
      <c r="H274" s="382"/>
      <c r="I274" s="382"/>
      <c r="J274" s="382"/>
      <c r="K274" s="382"/>
      <c r="L274" s="382"/>
      <c r="M274" s="382">
        <f>-M280</f>
        <v>-1.4524999999999999</v>
      </c>
      <c r="N274" s="1141"/>
    </row>
    <row r="275" spans="1:16" ht="14.25" customHeight="1">
      <c r="A275" s="1140"/>
      <c r="B275" s="569" t="s">
        <v>1554</v>
      </c>
      <c r="C275" s="382"/>
      <c r="D275" s="382"/>
      <c r="E275" s="382"/>
      <c r="F275" s="382"/>
      <c r="G275" s="382"/>
      <c r="H275" s="382"/>
      <c r="I275" s="382"/>
      <c r="J275" s="382"/>
      <c r="K275" s="382"/>
      <c r="L275" s="382"/>
      <c r="M275" s="382">
        <f>M255</f>
        <v>-4.8125</v>
      </c>
      <c r="N275" s="1141"/>
    </row>
    <row r="276" spans="1:16" ht="14.25" customHeight="1">
      <c r="A276" s="1140"/>
      <c r="B276" s="357"/>
      <c r="C276" s="382"/>
      <c r="D276" s="382"/>
      <c r="E276" s="382"/>
      <c r="F276" s="382"/>
      <c r="G276" s="382"/>
      <c r="H276" s="382"/>
      <c r="I276" s="382"/>
      <c r="J276" s="382"/>
      <c r="K276" s="382"/>
      <c r="L276" s="382"/>
      <c r="M276" s="382">
        <f>SUM(M272:M275)</f>
        <v>6.9749999999999996</v>
      </c>
      <c r="N276" s="1141" t="s">
        <v>89</v>
      </c>
    </row>
    <row r="277" spans="1:16" ht="14.25" customHeight="1">
      <c r="A277" s="1140">
        <f>A271+1</f>
        <v>6</v>
      </c>
      <c r="B277" s="357" t="s">
        <v>911</v>
      </c>
      <c r="C277" s="382"/>
      <c r="D277" s="382"/>
      <c r="E277" s="382"/>
      <c r="F277" s="382"/>
      <c r="G277" s="382"/>
      <c r="H277" s="382"/>
      <c r="I277" s="382"/>
      <c r="J277" s="382"/>
      <c r="K277" s="382"/>
      <c r="L277" s="382"/>
      <c r="M277" s="382"/>
      <c r="N277" s="1141"/>
    </row>
    <row r="278" spans="1:16" ht="14.25" customHeight="1">
      <c r="A278" s="1140"/>
      <c r="B278" s="569" t="s">
        <v>1555</v>
      </c>
      <c r="C278" s="382">
        <v>2.5</v>
      </c>
      <c r="D278" s="382"/>
      <c r="E278" s="382">
        <v>0.35</v>
      </c>
      <c r="F278" s="382"/>
      <c r="G278" s="382"/>
      <c r="H278" s="382"/>
      <c r="I278" s="382"/>
      <c r="J278" s="382"/>
      <c r="K278" s="382"/>
      <c r="L278" s="382"/>
      <c r="M278" s="382">
        <f>C278*E278</f>
        <v>0.875</v>
      </c>
      <c r="N278" s="1141"/>
    </row>
    <row r="279" spans="1:16" ht="14.25" customHeight="1">
      <c r="A279" s="1140"/>
      <c r="B279" s="569" t="s">
        <v>1556</v>
      </c>
      <c r="C279" s="382">
        <v>1.65</v>
      </c>
      <c r="D279" s="382"/>
      <c r="E279" s="382">
        <f>E278</f>
        <v>0.35</v>
      </c>
      <c r="F279" s="382"/>
      <c r="G279" s="382"/>
      <c r="H279" s="382"/>
      <c r="I279" s="382"/>
      <c r="J279" s="382"/>
      <c r="K279" s="382"/>
      <c r="L279" s="382"/>
      <c r="M279" s="382">
        <f>C279*E279</f>
        <v>0.5774999999999999</v>
      </c>
      <c r="N279" s="1141"/>
    </row>
    <row r="280" spans="1:16" ht="14.25" customHeight="1">
      <c r="A280" s="1140"/>
      <c r="B280" s="357"/>
      <c r="C280" s="382"/>
      <c r="D280" s="382"/>
      <c r="E280" s="382"/>
      <c r="F280" s="382"/>
      <c r="G280" s="382"/>
      <c r="H280" s="382"/>
      <c r="I280" s="382"/>
      <c r="J280" s="382"/>
      <c r="K280" s="382"/>
      <c r="L280" s="382"/>
      <c r="M280" s="382">
        <f>SUM(M278:M279)</f>
        <v>1.4524999999999999</v>
      </c>
      <c r="N280" s="1141" t="s">
        <v>89</v>
      </c>
    </row>
    <row r="281" spans="1:16" ht="14.25" hidden="1" customHeight="1">
      <c r="A281" s="1618">
        <f>A277+1</f>
        <v>7</v>
      </c>
      <c r="B281" s="1617" t="s">
        <v>1557</v>
      </c>
      <c r="C281" s="382"/>
      <c r="D281" s="382"/>
      <c r="E281" s="382"/>
      <c r="F281" s="382"/>
      <c r="G281" s="382"/>
      <c r="H281" s="382"/>
      <c r="I281" s="382"/>
      <c r="J281" s="382"/>
      <c r="K281" s="382"/>
      <c r="L281" s="382"/>
      <c r="M281" s="382"/>
      <c r="N281" s="1141"/>
      <c r="P281" s="1144" t="s">
        <v>1958</v>
      </c>
    </row>
    <row r="282" spans="1:16" ht="14.25" hidden="1" customHeight="1">
      <c r="A282" s="1140"/>
      <c r="B282" s="357"/>
      <c r="C282" s="382">
        <v>5.3</v>
      </c>
      <c r="D282" s="382"/>
      <c r="E282" s="382">
        <v>3</v>
      </c>
      <c r="F282" s="382"/>
      <c r="G282" s="382"/>
      <c r="H282" s="382"/>
      <c r="I282" s="382"/>
      <c r="J282" s="382"/>
      <c r="K282" s="382"/>
      <c r="L282" s="382">
        <v>2</v>
      </c>
      <c r="M282" s="382">
        <f>C282*E282*L282</f>
        <v>31.799999999999997</v>
      </c>
      <c r="N282" s="1141"/>
    </row>
    <row r="283" spans="1:16" ht="14.25" hidden="1" customHeight="1">
      <c r="A283" s="1140"/>
      <c r="B283" s="357"/>
      <c r="C283" s="382">
        <v>3.8</v>
      </c>
      <c r="D283" s="382"/>
      <c r="E283" s="382">
        <f>E282</f>
        <v>3</v>
      </c>
      <c r="F283" s="382"/>
      <c r="G283" s="382"/>
      <c r="H283" s="382"/>
      <c r="I283" s="382"/>
      <c r="J283" s="382"/>
      <c r="K283" s="382"/>
      <c r="L283" s="382">
        <f>L282</f>
        <v>2</v>
      </c>
      <c r="M283" s="382">
        <f>C283*E283*L283</f>
        <v>22.799999999999997</v>
      </c>
      <c r="N283" s="1141"/>
    </row>
    <row r="284" spans="1:16" ht="14.25" hidden="1" customHeight="1">
      <c r="A284" s="1140"/>
      <c r="B284" s="569" t="s">
        <v>1558</v>
      </c>
      <c r="C284" s="382"/>
      <c r="D284" s="382">
        <v>1.2</v>
      </c>
      <c r="E284" s="382">
        <v>2.15</v>
      </c>
      <c r="F284" s="382"/>
      <c r="G284" s="382"/>
      <c r="H284" s="382"/>
      <c r="I284" s="382"/>
      <c r="J284" s="382"/>
      <c r="K284" s="382"/>
      <c r="L284" s="382"/>
      <c r="M284" s="382">
        <f>-D284*E284</f>
        <v>-2.5799999999999996</v>
      </c>
      <c r="N284" s="1141"/>
    </row>
    <row r="285" spans="1:16" ht="14.25" hidden="1" customHeight="1">
      <c r="A285" s="1140"/>
      <c r="B285" s="569" t="s">
        <v>1559</v>
      </c>
      <c r="C285" s="382">
        <v>1.8</v>
      </c>
      <c r="D285" s="382"/>
      <c r="E285" s="382">
        <v>2.4</v>
      </c>
      <c r="F285" s="382"/>
      <c r="G285" s="382"/>
      <c r="H285" s="382"/>
      <c r="I285" s="382"/>
      <c r="J285" s="382"/>
      <c r="K285" s="382"/>
      <c r="L285" s="382">
        <v>1</v>
      </c>
      <c r="M285" s="382">
        <f>-C285*E285*L285</f>
        <v>-4.32</v>
      </c>
      <c r="N285" s="1141"/>
    </row>
    <row r="286" spans="1:16" ht="14.25" hidden="1" customHeight="1">
      <c r="A286" s="1140"/>
      <c r="B286" s="357"/>
      <c r="C286" s="382"/>
      <c r="D286" s="382"/>
      <c r="E286" s="382"/>
      <c r="F286" s="382"/>
      <c r="G286" s="382"/>
      <c r="H286" s="382"/>
      <c r="I286" s="382"/>
      <c r="J286" s="382"/>
      <c r="K286" s="382"/>
      <c r="L286" s="382"/>
      <c r="M286" s="382">
        <f>SUM(M282:M285)*0</f>
        <v>0</v>
      </c>
      <c r="N286" s="1141" t="s">
        <v>89</v>
      </c>
    </row>
    <row r="287" spans="1:16" ht="14.25" hidden="1" customHeight="1">
      <c r="A287" s="1618">
        <f>A277+1</f>
        <v>7</v>
      </c>
      <c r="B287" s="1617" t="s">
        <v>1560</v>
      </c>
      <c r="C287" s="382"/>
      <c r="D287" s="382"/>
      <c r="E287" s="382"/>
      <c r="F287" s="382"/>
      <c r="G287" s="382"/>
      <c r="H287" s="382"/>
      <c r="I287" s="382"/>
      <c r="J287" s="382"/>
      <c r="K287" s="382"/>
      <c r="L287" s="382"/>
      <c r="M287" s="382"/>
      <c r="N287" s="1141"/>
      <c r="P287" s="1144" t="s">
        <v>1958</v>
      </c>
    </row>
    <row r="288" spans="1:16" ht="14.25" hidden="1" customHeight="1">
      <c r="A288" s="1140"/>
      <c r="B288" s="569" t="s">
        <v>1561</v>
      </c>
      <c r="C288" s="382">
        <v>12</v>
      </c>
      <c r="D288" s="382">
        <v>11</v>
      </c>
      <c r="E288" s="382"/>
      <c r="F288" s="382"/>
      <c r="G288" s="382"/>
      <c r="H288" s="382"/>
      <c r="I288" s="382"/>
      <c r="J288" s="382"/>
      <c r="K288" s="382"/>
      <c r="L288" s="382"/>
      <c r="M288" s="382">
        <f>C288*D288</f>
        <v>132</v>
      </c>
      <c r="N288" s="1141"/>
    </row>
    <row r="289" spans="1:16" ht="14.25" hidden="1" customHeight="1">
      <c r="A289" s="1140"/>
      <c r="B289" s="569" t="s">
        <v>1562</v>
      </c>
      <c r="C289" s="382">
        <v>5.5</v>
      </c>
      <c r="D289" s="382">
        <v>4</v>
      </c>
      <c r="E289" s="382"/>
      <c r="F289" s="382"/>
      <c r="G289" s="382"/>
      <c r="H289" s="382"/>
      <c r="I289" s="382"/>
      <c r="J289" s="382"/>
      <c r="K289" s="382"/>
      <c r="L289" s="382"/>
      <c r="M289" s="382">
        <f>C289*D289</f>
        <v>22</v>
      </c>
      <c r="N289" s="1141"/>
    </row>
    <row r="290" spans="1:16" ht="14.25" hidden="1" customHeight="1">
      <c r="A290" s="1140"/>
      <c r="B290" s="569" t="s">
        <v>1563</v>
      </c>
      <c r="C290" s="382">
        <v>5.5</v>
      </c>
      <c r="D290" s="382">
        <v>4</v>
      </c>
      <c r="E290" s="382"/>
      <c r="F290" s="382"/>
      <c r="G290" s="382"/>
      <c r="H290" s="382"/>
      <c r="I290" s="382"/>
      <c r="J290" s="382"/>
      <c r="K290" s="382"/>
      <c r="L290" s="382"/>
      <c r="M290" s="382">
        <f>C290*D290</f>
        <v>22</v>
      </c>
      <c r="N290" s="1141"/>
    </row>
    <row r="291" spans="1:16" ht="14.25" hidden="1" customHeight="1">
      <c r="A291" s="1140"/>
      <c r="B291" s="357"/>
      <c r="C291" s="382"/>
      <c r="D291" s="382"/>
      <c r="E291" s="382"/>
      <c r="F291" s="382"/>
      <c r="G291" s="382"/>
      <c r="H291" s="382"/>
      <c r="I291" s="382"/>
      <c r="J291" s="382"/>
      <c r="K291" s="382"/>
      <c r="L291" s="382"/>
      <c r="M291" s="382">
        <f>SUM(M288:M290)*0</f>
        <v>0</v>
      </c>
      <c r="N291" s="1141" t="s">
        <v>89</v>
      </c>
    </row>
    <row r="292" spans="1:16" ht="14.25" hidden="1" customHeight="1">
      <c r="A292" s="1618">
        <f>A287+1</f>
        <v>8</v>
      </c>
      <c r="B292" s="1617" t="s">
        <v>1564</v>
      </c>
      <c r="C292" s="382"/>
      <c r="D292" s="382"/>
      <c r="E292" s="382"/>
      <c r="F292" s="382"/>
      <c r="G292" s="382"/>
      <c r="H292" s="382"/>
      <c r="I292" s="382"/>
      <c r="J292" s="382"/>
      <c r="K292" s="382"/>
      <c r="L292" s="382"/>
      <c r="M292" s="382"/>
      <c r="N292" s="1141"/>
      <c r="P292" s="1144" t="s">
        <v>1958</v>
      </c>
    </row>
    <row r="293" spans="1:16" ht="14.25" hidden="1" customHeight="1">
      <c r="A293" s="1140"/>
      <c r="B293" s="569" t="s">
        <v>155</v>
      </c>
      <c r="C293" s="382">
        <v>20</v>
      </c>
      <c r="D293" s="382"/>
      <c r="E293" s="382"/>
      <c r="F293" s="382"/>
      <c r="G293" s="382"/>
      <c r="H293" s="382">
        <v>2</v>
      </c>
      <c r="I293" s="382"/>
      <c r="J293" s="382"/>
      <c r="K293" s="382"/>
      <c r="L293" s="382"/>
      <c r="M293" s="382">
        <f>C293*H293</f>
        <v>40</v>
      </c>
      <c r="N293" s="1141"/>
    </row>
    <row r="294" spans="1:16" ht="14.25" hidden="1" customHeight="1">
      <c r="A294" s="1140"/>
      <c r="B294" s="569" t="s">
        <v>154</v>
      </c>
      <c r="C294" s="382">
        <v>11</v>
      </c>
      <c r="D294" s="382"/>
      <c r="E294" s="382"/>
      <c r="F294" s="382"/>
      <c r="G294" s="382"/>
      <c r="H294" s="382">
        <v>2</v>
      </c>
      <c r="I294" s="382"/>
      <c r="J294" s="382"/>
      <c r="K294" s="382"/>
      <c r="L294" s="382"/>
      <c r="M294" s="382">
        <f>C294*H294</f>
        <v>22</v>
      </c>
      <c r="N294" s="1141"/>
    </row>
    <row r="295" spans="1:16" ht="14.25" hidden="1" customHeight="1">
      <c r="A295" s="1140"/>
      <c r="B295" s="357"/>
      <c r="C295" s="382"/>
      <c r="D295" s="382"/>
      <c r="E295" s="382"/>
      <c r="F295" s="382"/>
      <c r="G295" s="382"/>
      <c r="H295" s="382"/>
      <c r="I295" s="382"/>
      <c r="J295" s="382"/>
      <c r="K295" s="382"/>
      <c r="L295" s="382"/>
      <c r="M295" s="382">
        <f>SUM(M293:M294)*0</f>
        <v>0</v>
      </c>
      <c r="N295" s="1141" t="s">
        <v>117</v>
      </c>
    </row>
    <row r="296" spans="1:16" ht="14.25" customHeight="1">
      <c r="A296" s="1140">
        <f>A277+1</f>
        <v>7</v>
      </c>
      <c r="B296" s="357" t="s">
        <v>912</v>
      </c>
      <c r="C296" s="382"/>
      <c r="D296" s="382"/>
      <c r="E296" s="382"/>
      <c r="F296" s="382"/>
      <c r="G296" s="382"/>
      <c r="H296" s="382"/>
      <c r="I296" s="382"/>
      <c r="J296" s="382"/>
      <c r="K296" s="382"/>
      <c r="L296" s="382"/>
      <c r="M296" s="382"/>
      <c r="N296" s="1141"/>
    </row>
    <row r="297" spans="1:16" ht="14.25" customHeight="1">
      <c r="A297" s="1140"/>
      <c r="B297" s="569" t="s">
        <v>1565</v>
      </c>
      <c r="C297" s="382">
        <v>10</v>
      </c>
      <c r="D297" s="382">
        <v>3</v>
      </c>
      <c r="E297" s="382"/>
      <c r="F297" s="382"/>
      <c r="G297" s="382"/>
      <c r="H297" s="382"/>
      <c r="I297" s="382"/>
      <c r="J297" s="382"/>
      <c r="K297" s="382"/>
      <c r="L297" s="382"/>
      <c r="M297" s="382">
        <f>C297*D297</f>
        <v>30</v>
      </c>
      <c r="N297" s="1141"/>
    </row>
    <row r="298" spans="1:16" ht="14.25" customHeight="1">
      <c r="A298" s="1140"/>
      <c r="B298" s="569"/>
      <c r="C298" s="382">
        <v>5</v>
      </c>
      <c r="D298" s="382">
        <v>3</v>
      </c>
      <c r="E298" s="382"/>
      <c r="F298" s="382"/>
      <c r="G298" s="382"/>
      <c r="H298" s="382"/>
      <c r="I298" s="382"/>
      <c r="J298" s="382"/>
      <c r="K298" s="382"/>
      <c r="L298" s="382"/>
      <c r="M298" s="382">
        <f>C298*D298</f>
        <v>15</v>
      </c>
      <c r="N298" s="1141"/>
    </row>
    <row r="299" spans="1:16" ht="14.25" customHeight="1">
      <c r="A299" s="1140"/>
      <c r="B299" s="569" t="s">
        <v>1566</v>
      </c>
      <c r="C299" s="382">
        <v>14</v>
      </c>
      <c r="D299" s="382">
        <v>5</v>
      </c>
      <c r="E299" s="382"/>
      <c r="F299" s="382"/>
      <c r="G299" s="382"/>
      <c r="H299" s="382"/>
      <c r="I299" s="382"/>
      <c r="J299" s="382"/>
      <c r="K299" s="382"/>
      <c r="L299" s="382"/>
      <c r="M299" s="382">
        <f>C299*D299</f>
        <v>70</v>
      </c>
      <c r="N299" s="1141"/>
    </row>
    <row r="300" spans="1:16" ht="14.25" customHeight="1">
      <c r="A300" s="1140"/>
      <c r="B300" s="569"/>
      <c r="C300" s="382">
        <v>13</v>
      </c>
      <c r="D300" s="382">
        <v>5</v>
      </c>
      <c r="E300" s="382"/>
      <c r="F300" s="382"/>
      <c r="G300" s="382"/>
      <c r="H300" s="382"/>
      <c r="I300" s="382"/>
      <c r="J300" s="382"/>
      <c r="K300" s="382"/>
      <c r="L300" s="382"/>
      <c r="M300" s="382">
        <f>C300*D300</f>
        <v>65</v>
      </c>
      <c r="N300" s="1141"/>
    </row>
    <row r="301" spans="1:16" ht="14.25" customHeight="1">
      <c r="A301" s="1140"/>
      <c r="B301" s="357"/>
      <c r="C301" s="382"/>
      <c r="D301" s="382"/>
      <c r="E301" s="382"/>
      <c r="F301" s="382"/>
      <c r="G301" s="382"/>
      <c r="H301" s="382"/>
      <c r="I301" s="382"/>
      <c r="J301" s="382"/>
      <c r="K301" s="382"/>
      <c r="L301" s="382"/>
      <c r="M301" s="382">
        <f>SUM(M297:M300)</f>
        <v>180</v>
      </c>
      <c r="N301" s="1141" t="s">
        <v>89</v>
      </c>
    </row>
    <row r="302" spans="1:16" ht="24.75" customHeight="1">
      <c r="A302" s="1140">
        <f>A296+1</f>
        <v>8</v>
      </c>
      <c r="B302" s="1626" t="s">
        <v>913</v>
      </c>
      <c r="C302" s="382"/>
      <c r="D302" s="382"/>
      <c r="E302" s="382"/>
      <c r="F302" s="382"/>
      <c r="G302" s="382"/>
      <c r="H302" s="382"/>
      <c r="I302" s="382"/>
      <c r="J302" s="382"/>
      <c r="K302" s="382"/>
      <c r="L302" s="382"/>
      <c r="M302" s="382"/>
      <c r="N302" s="1141"/>
    </row>
    <row r="303" spans="1:16" ht="14.25" customHeight="1">
      <c r="A303" s="1140"/>
      <c r="B303" s="569" t="s">
        <v>1565</v>
      </c>
      <c r="C303" s="382">
        <v>10</v>
      </c>
      <c r="D303" s="382">
        <v>3</v>
      </c>
      <c r="E303" s="382"/>
      <c r="F303" s="382"/>
      <c r="G303" s="382"/>
      <c r="H303" s="382"/>
      <c r="I303" s="382"/>
      <c r="J303" s="382"/>
      <c r="K303" s="382"/>
      <c r="L303" s="382"/>
      <c r="M303" s="382">
        <f>C303*D303</f>
        <v>30</v>
      </c>
      <c r="N303" s="1141"/>
    </row>
    <row r="304" spans="1:16" ht="14.25" customHeight="1">
      <c r="A304" s="1140"/>
      <c r="B304" s="569"/>
      <c r="C304" s="382">
        <v>5</v>
      </c>
      <c r="D304" s="382">
        <v>3</v>
      </c>
      <c r="E304" s="382"/>
      <c r="F304" s="382"/>
      <c r="G304" s="382"/>
      <c r="H304" s="382"/>
      <c r="I304" s="382"/>
      <c r="J304" s="382"/>
      <c r="K304" s="382"/>
      <c r="L304" s="382"/>
      <c r="M304" s="382">
        <f>C304*D304</f>
        <v>15</v>
      </c>
      <c r="N304" s="1141"/>
    </row>
    <row r="305" spans="1:14" ht="14.25" customHeight="1">
      <c r="A305" s="1140"/>
      <c r="B305" s="569" t="s">
        <v>1566</v>
      </c>
      <c r="C305" s="382">
        <v>14</v>
      </c>
      <c r="D305" s="382">
        <v>5</v>
      </c>
      <c r="E305" s="382"/>
      <c r="F305" s="382"/>
      <c r="G305" s="382"/>
      <c r="H305" s="382"/>
      <c r="I305" s="382"/>
      <c r="J305" s="382"/>
      <c r="K305" s="382"/>
      <c r="L305" s="382"/>
      <c r="M305" s="382">
        <f>C305*D305</f>
        <v>70</v>
      </c>
      <c r="N305" s="1141"/>
    </row>
    <row r="306" spans="1:14" ht="14.25" customHeight="1">
      <c r="A306" s="1140"/>
      <c r="B306" s="569"/>
      <c r="C306" s="382">
        <v>13</v>
      </c>
      <c r="D306" s="382">
        <v>5</v>
      </c>
      <c r="E306" s="382"/>
      <c r="F306" s="382"/>
      <c r="G306" s="382"/>
      <c r="H306" s="382"/>
      <c r="I306" s="382"/>
      <c r="J306" s="382"/>
      <c r="K306" s="382"/>
      <c r="L306" s="382"/>
      <c r="M306" s="382">
        <f>C306*D306</f>
        <v>65</v>
      </c>
      <c r="N306" s="1141"/>
    </row>
    <row r="307" spans="1:14" ht="14.25" customHeight="1">
      <c r="A307" s="1140"/>
      <c r="B307" s="1627" t="s">
        <v>1567</v>
      </c>
      <c r="C307" s="382"/>
      <c r="D307" s="382"/>
      <c r="E307" s="382"/>
      <c r="F307" s="382"/>
      <c r="G307" s="382"/>
      <c r="H307" s="382"/>
      <c r="I307" s="382"/>
      <c r="J307" s="382"/>
      <c r="K307" s="382"/>
      <c r="L307" s="382"/>
      <c r="M307" s="382"/>
      <c r="N307" s="1141"/>
    </row>
    <row r="308" spans="1:14" ht="14.25" customHeight="1">
      <c r="A308" s="1140"/>
      <c r="B308" s="569" t="s">
        <v>155</v>
      </c>
      <c r="C308" s="382">
        <f>20+(0.75*2)</f>
        <v>21.5</v>
      </c>
      <c r="D308" s="382">
        <v>0.75</v>
      </c>
      <c r="E308" s="382"/>
      <c r="F308" s="382"/>
      <c r="G308" s="382"/>
      <c r="H308" s="382">
        <v>2</v>
      </c>
      <c r="I308" s="382"/>
      <c r="J308" s="382"/>
      <c r="K308" s="382"/>
      <c r="L308" s="382"/>
      <c r="M308" s="382">
        <f>C308*D308*H308</f>
        <v>32.25</v>
      </c>
      <c r="N308" s="1141"/>
    </row>
    <row r="309" spans="1:14" ht="14.25" customHeight="1">
      <c r="A309" s="1140"/>
      <c r="B309" s="569" t="s">
        <v>154</v>
      </c>
      <c r="C309" s="382">
        <f>10+(0.75*2)</f>
        <v>11.5</v>
      </c>
      <c r="D309" s="382">
        <f>D308</f>
        <v>0.75</v>
      </c>
      <c r="E309" s="382"/>
      <c r="F309" s="382"/>
      <c r="G309" s="382"/>
      <c r="H309" s="382">
        <f>H308</f>
        <v>2</v>
      </c>
      <c r="I309" s="382"/>
      <c r="J309" s="382"/>
      <c r="K309" s="382"/>
      <c r="L309" s="382"/>
      <c r="M309" s="382">
        <f>C309*D309*H309</f>
        <v>17.25</v>
      </c>
      <c r="N309" s="1141"/>
    </row>
    <row r="310" spans="1:14" ht="14.25" customHeight="1">
      <c r="A310" s="1140"/>
      <c r="B310" s="357"/>
      <c r="C310" s="382"/>
      <c r="D310" s="382"/>
      <c r="E310" s="382"/>
      <c r="F310" s="382"/>
      <c r="G310" s="382"/>
      <c r="H310" s="382"/>
      <c r="I310" s="382"/>
      <c r="J310" s="382"/>
      <c r="K310" s="382"/>
      <c r="L310" s="382"/>
      <c r="M310" s="382">
        <f>SUM(M303:M309)</f>
        <v>229.5</v>
      </c>
      <c r="N310" s="1141" t="s">
        <v>89</v>
      </c>
    </row>
    <row r="311" spans="1:14" ht="14.25" customHeight="1">
      <c r="A311" s="1140">
        <f>A302+1</f>
        <v>9</v>
      </c>
      <c r="B311" s="357" t="s">
        <v>1568</v>
      </c>
      <c r="C311" s="382" t="s">
        <v>1569</v>
      </c>
      <c r="D311" s="382"/>
      <c r="E311" s="382"/>
      <c r="F311" s="382"/>
      <c r="G311" s="382"/>
      <c r="H311" s="382"/>
      <c r="I311" s="382"/>
      <c r="J311" s="382"/>
      <c r="K311" s="382"/>
      <c r="L311" s="382"/>
      <c r="M311" s="382">
        <f>M264</f>
        <v>296.67750000000007</v>
      </c>
      <c r="N311" s="1141" t="s">
        <v>89</v>
      </c>
    </row>
    <row r="312" spans="1:14" ht="14.25" customHeight="1">
      <c r="A312" s="1140">
        <f>A311+1</f>
        <v>10</v>
      </c>
      <c r="B312" s="357" t="s">
        <v>581</v>
      </c>
      <c r="C312" s="382" t="s">
        <v>1570</v>
      </c>
      <c r="D312" s="382"/>
      <c r="E312" s="382"/>
      <c r="F312" s="382"/>
      <c r="G312" s="382"/>
      <c r="H312" s="382"/>
      <c r="I312" s="382"/>
      <c r="J312" s="382"/>
      <c r="K312" s="382"/>
      <c r="L312" s="382"/>
      <c r="M312" s="382">
        <f>M310</f>
        <v>229.5</v>
      </c>
      <c r="N312" s="1141" t="s">
        <v>89</v>
      </c>
    </row>
    <row r="313" spans="1:14" ht="14.25" customHeight="1">
      <c r="A313" s="1140">
        <f>A312+1</f>
        <v>11</v>
      </c>
      <c r="B313" s="357" t="s">
        <v>914</v>
      </c>
      <c r="C313" s="382" t="s">
        <v>1290</v>
      </c>
      <c r="D313" s="382"/>
      <c r="E313" s="382"/>
      <c r="F313" s="382"/>
      <c r="G313" s="382"/>
      <c r="H313" s="382"/>
      <c r="I313" s="382"/>
      <c r="J313" s="382"/>
      <c r="K313" s="382"/>
      <c r="L313" s="382"/>
      <c r="M313" s="382" t="e">
        <f>(#REF!+M347)*0.3</f>
        <v>#REF!</v>
      </c>
      <c r="N313" s="1141" t="s">
        <v>89</v>
      </c>
    </row>
    <row r="314" spans="1:14" ht="14.25" customHeight="1">
      <c r="A314" s="1140">
        <f>A313+1</f>
        <v>12</v>
      </c>
      <c r="B314" s="357" t="s">
        <v>437</v>
      </c>
      <c r="C314" s="382"/>
      <c r="D314" s="382"/>
      <c r="E314" s="382"/>
      <c r="F314" s="382"/>
      <c r="G314" s="382"/>
      <c r="H314" s="382"/>
      <c r="I314" s="382"/>
      <c r="J314" s="382"/>
      <c r="K314" s="382"/>
      <c r="L314" s="382"/>
      <c r="M314" s="382"/>
      <c r="N314" s="1141"/>
    </row>
    <row r="315" spans="1:14" ht="14.25" customHeight="1">
      <c r="A315" s="1145" t="s">
        <v>95</v>
      </c>
      <c r="B315" s="357" t="s">
        <v>438</v>
      </c>
      <c r="C315" s="382"/>
      <c r="D315" s="382"/>
      <c r="E315" s="382"/>
      <c r="F315" s="382"/>
      <c r="G315" s="382"/>
      <c r="H315" s="382"/>
      <c r="I315" s="382"/>
      <c r="J315" s="382"/>
      <c r="K315" s="382"/>
      <c r="L315" s="382"/>
      <c r="M315" s="382"/>
      <c r="N315" s="1141"/>
    </row>
    <row r="316" spans="1:14" ht="14.25" customHeight="1">
      <c r="A316" s="1145"/>
      <c r="B316" s="569" t="s">
        <v>1020</v>
      </c>
      <c r="C316" s="382">
        <v>5</v>
      </c>
      <c r="D316" s="382"/>
      <c r="E316" s="382">
        <v>0.15</v>
      </c>
      <c r="F316" s="382"/>
      <c r="G316" s="382"/>
      <c r="H316" s="382"/>
      <c r="I316" s="382"/>
      <c r="J316" s="382"/>
      <c r="K316" s="382"/>
      <c r="L316" s="382"/>
      <c r="M316" s="382">
        <f>C316*E316</f>
        <v>0.75</v>
      </c>
      <c r="N316" s="1141"/>
    </row>
    <row r="317" spans="1:14" ht="14.25" customHeight="1">
      <c r="A317" s="1145"/>
      <c r="B317" s="569" t="s">
        <v>1021</v>
      </c>
      <c r="C317" s="382">
        <f>C316</f>
        <v>5</v>
      </c>
      <c r="D317" s="382"/>
      <c r="E317" s="382">
        <v>0.15</v>
      </c>
      <c r="F317" s="382"/>
      <c r="G317" s="382"/>
      <c r="H317" s="382"/>
      <c r="I317" s="382"/>
      <c r="J317" s="382"/>
      <c r="K317" s="382"/>
      <c r="L317" s="382"/>
      <c r="M317" s="382">
        <f>C317*E317</f>
        <v>0.75</v>
      </c>
      <c r="N317" s="1141"/>
    </row>
    <row r="318" spans="1:14" ht="14.25" customHeight="1">
      <c r="A318" s="1145"/>
      <c r="B318" s="357"/>
      <c r="C318" s="382"/>
      <c r="D318" s="382"/>
      <c r="E318" s="382"/>
      <c r="F318" s="382"/>
      <c r="G318" s="382"/>
      <c r="H318" s="382"/>
      <c r="I318" s="382"/>
      <c r="J318" s="382"/>
      <c r="K318" s="382"/>
      <c r="L318" s="382"/>
      <c r="M318" s="431">
        <f>SUM(M315:M317)</f>
        <v>1.5</v>
      </c>
      <c r="N318" s="1141" t="s">
        <v>89</v>
      </c>
    </row>
    <row r="319" spans="1:14" ht="14.25" customHeight="1">
      <c r="A319" s="1145" t="s">
        <v>98</v>
      </c>
      <c r="B319" s="357" t="s">
        <v>439</v>
      </c>
      <c r="C319" s="382"/>
      <c r="D319" s="382"/>
      <c r="E319" s="382"/>
      <c r="F319" s="382"/>
      <c r="G319" s="382"/>
      <c r="H319" s="382"/>
      <c r="I319" s="382"/>
      <c r="J319" s="382"/>
      <c r="K319" s="382"/>
      <c r="L319" s="382"/>
      <c r="M319" s="382"/>
      <c r="N319" s="1141"/>
    </row>
    <row r="320" spans="1:14" ht="14.25" customHeight="1">
      <c r="A320" s="1145"/>
      <c r="B320" s="569" t="s">
        <v>1020</v>
      </c>
      <c r="C320" s="382">
        <f>C316</f>
        <v>5</v>
      </c>
      <c r="D320" s="382"/>
      <c r="E320" s="382">
        <f>0.15+E316</f>
        <v>0.3</v>
      </c>
      <c r="F320" s="382"/>
      <c r="G320" s="382"/>
      <c r="H320" s="382"/>
      <c r="I320" s="382"/>
      <c r="J320" s="382"/>
      <c r="K320" s="382"/>
      <c r="L320" s="382"/>
      <c r="M320" s="382">
        <f>C320*E320</f>
        <v>1.5</v>
      </c>
      <c r="N320" s="1141"/>
    </row>
    <row r="321" spans="1:14" ht="14.25" customHeight="1">
      <c r="A321" s="1145"/>
      <c r="B321" s="569" t="s">
        <v>1021</v>
      </c>
      <c r="C321" s="382">
        <f>C317</f>
        <v>5</v>
      </c>
      <c r="D321" s="382"/>
      <c r="E321" s="382">
        <f>0.3+E317</f>
        <v>0.44999999999999996</v>
      </c>
      <c r="F321" s="382"/>
      <c r="G321" s="382"/>
      <c r="H321" s="382"/>
      <c r="I321" s="382"/>
      <c r="J321" s="382"/>
      <c r="K321" s="382"/>
      <c r="L321" s="382"/>
      <c r="M321" s="382">
        <f>C321*E321</f>
        <v>2.25</v>
      </c>
      <c r="N321" s="1141"/>
    </row>
    <row r="322" spans="1:14" ht="14.25" customHeight="1">
      <c r="A322" s="1145"/>
      <c r="B322" s="357"/>
      <c r="C322" s="382"/>
      <c r="D322" s="382"/>
      <c r="E322" s="382"/>
      <c r="F322" s="382"/>
      <c r="G322" s="382"/>
      <c r="H322" s="382"/>
      <c r="I322" s="382"/>
      <c r="J322" s="382"/>
      <c r="K322" s="382"/>
      <c r="L322" s="382"/>
      <c r="M322" s="431">
        <f>SUM(M319:M321)</f>
        <v>3.75</v>
      </c>
      <c r="N322" s="1141" t="s">
        <v>89</v>
      </c>
    </row>
    <row r="323" spans="1:14" ht="14.25" customHeight="1">
      <c r="A323" s="1145" t="s">
        <v>101</v>
      </c>
      <c r="B323" s="357" t="s">
        <v>916</v>
      </c>
      <c r="C323" s="382"/>
      <c r="D323" s="382"/>
      <c r="E323" s="382"/>
      <c r="F323" s="382"/>
      <c r="G323" s="382"/>
      <c r="H323" s="382"/>
      <c r="I323" s="382"/>
      <c r="J323" s="382"/>
      <c r="K323" s="382"/>
      <c r="L323" s="382"/>
      <c r="M323" s="382"/>
      <c r="N323" s="1141"/>
    </row>
    <row r="324" spans="1:14" ht="14.25" customHeight="1">
      <c r="A324" s="1145"/>
      <c r="B324" s="569" t="s">
        <v>1020</v>
      </c>
      <c r="C324" s="382">
        <f>C320</f>
        <v>5</v>
      </c>
      <c r="D324" s="382">
        <v>0.3</v>
      </c>
      <c r="E324" s="382">
        <v>0.05</v>
      </c>
      <c r="F324" s="382"/>
      <c r="G324" s="382"/>
      <c r="H324" s="382"/>
      <c r="I324" s="382"/>
      <c r="J324" s="382"/>
      <c r="K324" s="382"/>
      <c r="L324" s="382"/>
      <c r="M324" s="382">
        <f>C324*D324*E324</f>
        <v>7.5000000000000011E-2</v>
      </c>
      <c r="N324" s="1141" t="s">
        <v>103</v>
      </c>
    </row>
    <row r="325" spans="1:14" ht="14.25" customHeight="1">
      <c r="A325" s="1145" t="s">
        <v>121</v>
      </c>
      <c r="B325" s="357" t="s">
        <v>917</v>
      </c>
      <c r="C325" s="382"/>
      <c r="D325" s="382"/>
      <c r="E325" s="382"/>
      <c r="F325" s="382"/>
      <c r="G325" s="382"/>
      <c r="H325" s="382"/>
      <c r="I325" s="382"/>
      <c r="J325" s="382"/>
      <c r="K325" s="382"/>
      <c r="L325" s="382"/>
      <c r="M325" s="382"/>
      <c r="N325" s="1141"/>
    </row>
    <row r="326" spans="1:14" ht="14.25" customHeight="1">
      <c r="A326" s="1145"/>
      <c r="B326" s="569" t="s">
        <v>1020</v>
      </c>
      <c r="C326" s="382">
        <f>C324</f>
        <v>5</v>
      </c>
      <c r="D326" s="382">
        <v>0.3</v>
      </c>
      <c r="E326" s="382">
        <v>0.05</v>
      </c>
      <c r="F326" s="382"/>
      <c r="G326" s="382"/>
      <c r="H326" s="382"/>
      <c r="I326" s="382"/>
      <c r="J326" s="382"/>
      <c r="K326" s="382"/>
      <c r="L326" s="382"/>
      <c r="M326" s="382">
        <f>C326*D326*E326</f>
        <v>7.5000000000000011E-2</v>
      </c>
      <c r="N326" s="1141" t="s">
        <v>103</v>
      </c>
    </row>
    <row r="327" spans="1:14" ht="14.25" customHeight="1">
      <c r="A327" s="1145" t="s">
        <v>142</v>
      </c>
      <c r="B327" s="357" t="s">
        <v>912</v>
      </c>
      <c r="C327" s="382"/>
      <c r="D327" s="382"/>
      <c r="E327" s="382"/>
      <c r="F327" s="382"/>
      <c r="G327" s="382"/>
      <c r="H327" s="382"/>
      <c r="I327" s="382"/>
      <c r="J327" s="382"/>
      <c r="K327" s="382"/>
      <c r="L327" s="382"/>
      <c r="M327" s="382"/>
      <c r="N327" s="1141"/>
    </row>
    <row r="328" spans="1:14" ht="14.25" customHeight="1">
      <c r="A328" s="1140"/>
      <c r="B328" s="357"/>
      <c r="C328" s="382">
        <f>C326</f>
        <v>5</v>
      </c>
      <c r="D328" s="382">
        <f>D326</f>
        <v>0.3</v>
      </c>
      <c r="E328" s="382"/>
      <c r="F328" s="382"/>
      <c r="G328" s="382"/>
      <c r="H328" s="382"/>
      <c r="I328" s="382"/>
      <c r="J328" s="382"/>
      <c r="K328" s="382"/>
      <c r="L328" s="382"/>
      <c r="M328" s="431">
        <f>C328*D328</f>
        <v>1.5</v>
      </c>
      <c r="N328" s="1141" t="s">
        <v>89</v>
      </c>
    </row>
    <row r="329" spans="1:14" ht="14.25" customHeight="1">
      <c r="A329" s="1140">
        <f>A313+1</f>
        <v>12</v>
      </c>
      <c r="B329" s="1156" t="s">
        <v>1395</v>
      </c>
      <c r="C329" s="382"/>
      <c r="D329" s="382"/>
      <c r="E329" s="382"/>
      <c r="F329" s="382"/>
      <c r="G329" s="382"/>
      <c r="H329" s="382"/>
      <c r="I329" s="382"/>
      <c r="J329" s="382"/>
      <c r="K329" s="382"/>
      <c r="L329" s="382"/>
      <c r="M329" s="382"/>
      <c r="N329" s="1141"/>
    </row>
    <row r="330" spans="1:14" ht="14.25" customHeight="1">
      <c r="A330" s="1145"/>
      <c r="B330" s="569" t="s">
        <v>1571</v>
      </c>
      <c r="C330" s="382">
        <f>16+(0.75*2)</f>
        <v>17.5</v>
      </c>
      <c r="D330" s="382">
        <f>10+(0.75*2)</f>
        <v>11.5</v>
      </c>
      <c r="E330" s="382"/>
      <c r="F330" s="382"/>
      <c r="G330" s="382"/>
      <c r="H330" s="382"/>
      <c r="I330" s="382"/>
      <c r="J330" s="382"/>
      <c r="K330" s="382"/>
      <c r="L330" s="382"/>
      <c r="M330" s="382">
        <f>C330*D330</f>
        <v>201.25</v>
      </c>
      <c r="N330" s="1141"/>
    </row>
    <row r="331" spans="1:14" ht="14.25" customHeight="1">
      <c r="A331" s="1145"/>
      <c r="B331" s="569" t="s">
        <v>1572</v>
      </c>
      <c r="C331" s="382">
        <f>4+(0.75*2)</f>
        <v>5.5</v>
      </c>
      <c r="D331" s="382">
        <f>5+0.75</f>
        <v>5.75</v>
      </c>
      <c r="E331" s="382"/>
      <c r="F331" s="382"/>
      <c r="G331" s="382"/>
      <c r="H331" s="382"/>
      <c r="I331" s="382"/>
      <c r="J331" s="382"/>
      <c r="K331" s="382"/>
      <c r="L331" s="382"/>
      <c r="M331" s="382">
        <f>C331*D331</f>
        <v>31.625</v>
      </c>
      <c r="N331" s="1141"/>
    </row>
    <row r="332" spans="1:14" ht="14.25" customHeight="1">
      <c r="A332" s="1145"/>
      <c r="B332" s="569"/>
      <c r="C332" s="382"/>
      <c r="D332" s="382"/>
      <c r="E332" s="382"/>
      <c r="F332" s="382"/>
      <c r="G332" s="382"/>
      <c r="H332" s="382"/>
      <c r="I332" s="382"/>
      <c r="J332" s="382"/>
      <c r="K332" s="382"/>
      <c r="L332" s="382"/>
      <c r="M332" s="382">
        <f>SUM(M330:M331)</f>
        <v>232.875</v>
      </c>
      <c r="N332" s="1141" t="s">
        <v>89</v>
      </c>
    </row>
    <row r="333" spans="1:14" ht="14.25" customHeight="1">
      <c r="A333" s="1140">
        <f>A329+1</f>
        <v>13</v>
      </c>
      <c r="B333" s="409" t="s">
        <v>1573</v>
      </c>
      <c r="C333" s="382"/>
      <c r="D333" s="382"/>
      <c r="E333" s="382"/>
      <c r="F333" s="382"/>
      <c r="G333" s="382"/>
      <c r="H333" s="382"/>
      <c r="I333" s="382"/>
      <c r="J333" s="382"/>
      <c r="K333" s="382"/>
      <c r="L333" s="382"/>
      <c r="M333" s="382"/>
      <c r="N333" s="1141"/>
    </row>
    <row r="334" spans="1:14" ht="14.25" customHeight="1">
      <c r="A334" s="1145"/>
      <c r="B334" s="569" t="s">
        <v>1571</v>
      </c>
      <c r="C334" s="382"/>
      <c r="D334" s="382"/>
      <c r="E334" s="382"/>
      <c r="F334" s="382"/>
      <c r="G334" s="382"/>
      <c r="H334" s="382"/>
      <c r="I334" s="382"/>
      <c r="J334" s="382"/>
      <c r="K334" s="382"/>
      <c r="L334" s="382"/>
      <c r="M334" s="382">
        <f>M330</f>
        <v>201.25</v>
      </c>
      <c r="N334" s="1141"/>
    </row>
    <row r="335" spans="1:14" ht="14.25" customHeight="1">
      <c r="A335" s="1145"/>
      <c r="B335" s="569" t="s">
        <v>1572</v>
      </c>
      <c r="C335" s="382"/>
      <c r="D335" s="382"/>
      <c r="E335" s="382"/>
      <c r="F335" s="382"/>
      <c r="G335" s="382"/>
      <c r="H335" s="382"/>
      <c r="I335" s="382"/>
      <c r="J335" s="382"/>
      <c r="K335" s="382"/>
      <c r="L335" s="382"/>
      <c r="M335" s="382">
        <f>M331</f>
        <v>31.625</v>
      </c>
      <c r="N335" s="1141"/>
    </row>
    <row r="336" spans="1:14" ht="14.25" customHeight="1">
      <c r="A336" s="1145"/>
      <c r="B336" s="569"/>
      <c r="C336" s="382"/>
      <c r="D336" s="382"/>
      <c r="E336" s="382"/>
      <c r="F336" s="382"/>
      <c r="G336" s="382"/>
      <c r="H336" s="382"/>
      <c r="I336" s="382"/>
      <c r="J336" s="382"/>
      <c r="K336" s="382"/>
      <c r="L336" s="382"/>
      <c r="M336" s="382">
        <f>SUM(M334:M335)</f>
        <v>232.875</v>
      </c>
      <c r="N336" s="1141" t="s">
        <v>89</v>
      </c>
    </row>
    <row r="337" spans="1:14" ht="14.25" customHeight="1">
      <c r="A337" s="1140">
        <f>A333+1</f>
        <v>14</v>
      </c>
      <c r="B337" s="1157" t="s">
        <v>1574</v>
      </c>
      <c r="C337" s="382"/>
      <c r="D337" s="382"/>
      <c r="E337" s="382"/>
      <c r="F337" s="382"/>
      <c r="G337" s="382"/>
      <c r="H337" s="382"/>
      <c r="I337" s="382"/>
      <c r="J337" s="382"/>
      <c r="K337" s="382"/>
      <c r="L337" s="382"/>
      <c r="M337" s="382"/>
      <c r="N337" s="1141"/>
    </row>
    <row r="338" spans="1:14" ht="14.25" customHeight="1">
      <c r="A338" s="1145"/>
      <c r="B338" s="569" t="s">
        <v>1571</v>
      </c>
      <c r="C338" s="382">
        <f>C330</f>
        <v>17.5</v>
      </c>
      <c r="D338" s="382"/>
      <c r="E338" s="382"/>
      <c r="F338" s="382"/>
      <c r="G338" s="382"/>
      <c r="H338" s="382"/>
      <c r="I338" s="382"/>
      <c r="J338" s="382"/>
      <c r="K338" s="382"/>
      <c r="L338" s="382"/>
      <c r="M338" s="382">
        <f>C338</f>
        <v>17.5</v>
      </c>
      <c r="N338" s="1141"/>
    </row>
    <row r="339" spans="1:14" ht="14.25" customHeight="1">
      <c r="A339" s="1145"/>
      <c r="B339" s="569" t="s">
        <v>1572</v>
      </c>
      <c r="C339" s="382">
        <f>5*2+0.7</f>
        <v>10.7</v>
      </c>
      <c r="D339" s="382"/>
      <c r="E339" s="382"/>
      <c r="F339" s="382"/>
      <c r="G339" s="382"/>
      <c r="H339" s="382"/>
      <c r="I339" s="382"/>
      <c r="J339" s="382"/>
      <c r="K339" s="382"/>
      <c r="L339" s="382"/>
      <c r="M339" s="382">
        <f>C339</f>
        <v>10.7</v>
      </c>
      <c r="N339" s="1141"/>
    </row>
    <row r="340" spans="1:14" ht="14.25" customHeight="1">
      <c r="A340" s="1145"/>
      <c r="B340" s="569"/>
      <c r="C340" s="382"/>
      <c r="D340" s="382"/>
      <c r="E340" s="382"/>
      <c r="F340" s="382"/>
      <c r="G340" s="382"/>
      <c r="H340" s="382"/>
      <c r="I340" s="382"/>
      <c r="J340" s="382"/>
      <c r="K340" s="382"/>
      <c r="L340" s="382"/>
      <c r="M340" s="382">
        <f>SUM(M338:M339)</f>
        <v>28.2</v>
      </c>
      <c r="N340" s="1141" t="s">
        <v>117</v>
      </c>
    </row>
    <row r="341" spans="1:14" ht="14.25" customHeight="1">
      <c r="A341" s="1140">
        <f>A337+1</f>
        <v>15</v>
      </c>
      <c r="B341" s="357" t="s">
        <v>915</v>
      </c>
      <c r="C341" s="382"/>
      <c r="D341" s="382"/>
      <c r="E341" s="382"/>
      <c r="F341" s="382"/>
      <c r="G341" s="382"/>
      <c r="H341" s="382"/>
      <c r="I341" s="382"/>
      <c r="J341" s="382"/>
      <c r="K341" s="382"/>
      <c r="L341" s="382"/>
      <c r="M341" s="382"/>
      <c r="N341" s="1141"/>
    </row>
    <row r="342" spans="1:14" ht="14.25" customHeight="1">
      <c r="A342" s="1145"/>
      <c r="B342" s="569" t="s">
        <v>1571</v>
      </c>
      <c r="C342" s="382">
        <f>C330</f>
        <v>17.5</v>
      </c>
      <c r="D342" s="382"/>
      <c r="E342" s="382"/>
      <c r="F342" s="382"/>
      <c r="G342" s="382"/>
      <c r="H342" s="382">
        <v>2</v>
      </c>
      <c r="I342" s="382"/>
      <c r="J342" s="382"/>
      <c r="K342" s="382"/>
      <c r="L342" s="382"/>
      <c r="M342" s="382">
        <f>C342*H342</f>
        <v>35</v>
      </c>
      <c r="N342" s="1141"/>
    </row>
    <row r="343" spans="1:14" ht="14.25" customHeight="1">
      <c r="A343" s="1145"/>
      <c r="B343" s="569"/>
      <c r="C343" s="382"/>
      <c r="D343" s="382">
        <f>D330</f>
        <v>11.5</v>
      </c>
      <c r="E343" s="382"/>
      <c r="F343" s="382"/>
      <c r="G343" s="382"/>
      <c r="H343" s="382">
        <v>2</v>
      </c>
      <c r="I343" s="382"/>
      <c r="J343" s="382"/>
      <c r="K343" s="382"/>
      <c r="L343" s="382"/>
      <c r="M343" s="382">
        <f>D343*H343</f>
        <v>23</v>
      </c>
      <c r="N343" s="1141"/>
    </row>
    <row r="344" spans="1:14" ht="14.25" customHeight="1">
      <c r="A344" s="1145"/>
      <c r="B344" s="569" t="s">
        <v>1572</v>
      </c>
      <c r="C344" s="382"/>
      <c r="D344" s="382"/>
      <c r="E344" s="382"/>
      <c r="F344" s="382"/>
      <c r="G344" s="382"/>
      <c r="H344" s="382"/>
      <c r="I344" s="382"/>
      <c r="J344" s="382"/>
      <c r="K344" s="382"/>
      <c r="L344" s="382"/>
      <c r="M344" s="382"/>
      <c r="N344" s="1141"/>
    </row>
    <row r="345" spans="1:14" ht="14.25" customHeight="1">
      <c r="A345" s="1145"/>
      <c r="B345" s="357"/>
      <c r="C345" s="382"/>
      <c r="D345" s="382">
        <f>C331</f>
        <v>5.5</v>
      </c>
      <c r="E345" s="382"/>
      <c r="F345" s="382"/>
      <c r="G345" s="382"/>
      <c r="H345" s="382">
        <v>2</v>
      </c>
      <c r="I345" s="382"/>
      <c r="J345" s="382"/>
      <c r="K345" s="382"/>
      <c r="L345" s="382"/>
      <c r="M345" s="382">
        <f>D345*H345</f>
        <v>11</v>
      </c>
      <c r="N345" s="1141"/>
    </row>
    <row r="346" spans="1:14" ht="14.25" customHeight="1">
      <c r="A346" s="1145"/>
      <c r="B346" s="357"/>
      <c r="C346" s="382">
        <f>D331</f>
        <v>5.75</v>
      </c>
      <c r="D346" s="382"/>
      <c r="E346" s="382"/>
      <c r="F346" s="382"/>
      <c r="G346" s="382"/>
      <c r="H346" s="382">
        <v>1</v>
      </c>
      <c r="I346" s="382"/>
      <c r="J346" s="382"/>
      <c r="K346" s="382"/>
      <c r="L346" s="382"/>
      <c r="M346" s="382">
        <f>C346*H346</f>
        <v>5.75</v>
      </c>
      <c r="N346" s="1141"/>
    </row>
    <row r="347" spans="1:14" ht="14.25" customHeight="1">
      <c r="A347" s="1145"/>
      <c r="B347" s="357"/>
      <c r="C347" s="382"/>
      <c r="D347" s="382"/>
      <c r="E347" s="382"/>
      <c r="F347" s="382"/>
      <c r="G347" s="382"/>
      <c r="H347" s="382"/>
      <c r="I347" s="382"/>
      <c r="J347" s="382"/>
      <c r="K347" s="382"/>
      <c r="L347" s="382"/>
      <c r="M347" s="382">
        <f>SUM(M342:M346)</f>
        <v>74.75</v>
      </c>
      <c r="N347" s="1141" t="s">
        <v>117</v>
      </c>
    </row>
    <row r="348" spans="1:14" ht="31.5" customHeight="1">
      <c r="A348" s="1140">
        <f>A341+1</f>
        <v>16</v>
      </c>
      <c r="B348" s="1626" t="s">
        <v>918</v>
      </c>
      <c r="C348" s="385"/>
      <c r="D348" s="385"/>
      <c r="E348" s="382"/>
      <c r="F348" s="382"/>
      <c r="G348" s="382"/>
      <c r="H348" s="382"/>
      <c r="I348" s="382"/>
      <c r="J348" s="382"/>
      <c r="K348" s="382">
        <v>13</v>
      </c>
      <c r="L348" s="382"/>
      <c r="M348" s="382">
        <f>K348</f>
        <v>13</v>
      </c>
      <c r="N348" s="1141" t="s">
        <v>124</v>
      </c>
    </row>
    <row r="349" spans="1:14" ht="24.75" customHeight="1">
      <c r="A349" s="1140">
        <f>A348+1</f>
        <v>17</v>
      </c>
      <c r="B349" s="1626" t="s">
        <v>919</v>
      </c>
      <c r="C349" s="382"/>
      <c r="D349" s="382"/>
      <c r="E349" s="382"/>
      <c r="F349" s="382"/>
      <c r="G349" s="382"/>
      <c r="H349" s="382"/>
      <c r="I349" s="382"/>
      <c r="J349" s="382"/>
      <c r="K349" s="382">
        <v>10</v>
      </c>
      <c r="L349" s="382"/>
      <c r="M349" s="382">
        <f>K349</f>
        <v>10</v>
      </c>
      <c r="N349" s="1141" t="s">
        <v>124</v>
      </c>
    </row>
    <row r="350" spans="1:14" ht="14.25" customHeight="1">
      <c r="A350" s="1145"/>
      <c r="B350" s="357"/>
      <c r="C350" s="382"/>
      <c r="D350" s="382"/>
      <c r="E350" s="382"/>
      <c r="F350" s="382"/>
      <c r="G350" s="382"/>
      <c r="H350" s="382"/>
      <c r="I350" s="382"/>
      <c r="J350" s="382"/>
      <c r="K350" s="382"/>
      <c r="L350" s="382"/>
      <c r="M350" s="382"/>
      <c r="N350" s="1141"/>
    </row>
    <row r="351" spans="1:14" ht="14.25" customHeight="1">
      <c r="A351" s="1145"/>
      <c r="B351" s="1609" t="s">
        <v>585</v>
      </c>
      <c r="C351" s="382"/>
      <c r="D351" s="382"/>
      <c r="E351" s="382"/>
      <c r="F351" s="382"/>
      <c r="G351" s="382"/>
      <c r="H351" s="382"/>
      <c r="I351" s="382"/>
      <c r="J351" s="382"/>
      <c r="K351" s="382"/>
      <c r="L351" s="382"/>
      <c r="M351" s="382"/>
      <c r="N351" s="1141"/>
    </row>
    <row r="352" spans="1:14" ht="14.25" customHeight="1">
      <c r="A352" s="1140">
        <v>1</v>
      </c>
      <c r="B352" s="357" t="s">
        <v>586</v>
      </c>
      <c r="C352" s="382"/>
      <c r="D352" s="382"/>
      <c r="E352" s="382"/>
      <c r="F352" s="382"/>
      <c r="G352" s="382"/>
      <c r="H352" s="382"/>
      <c r="I352" s="382"/>
      <c r="J352" s="382"/>
      <c r="K352" s="382"/>
      <c r="L352" s="382"/>
      <c r="M352" s="382"/>
      <c r="N352" s="1141"/>
    </row>
    <row r="353" spans="1:14" ht="14.25" customHeight="1">
      <c r="A353" s="1140"/>
      <c r="B353" s="569" t="s">
        <v>1565</v>
      </c>
      <c r="C353" s="382"/>
      <c r="D353" s="382"/>
      <c r="E353" s="382">
        <v>2</v>
      </c>
      <c r="F353" s="382"/>
      <c r="G353" s="382"/>
      <c r="H353" s="382"/>
      <c r="I353" s="382"/>
      <c r="J353" s="382"/>
      <c r="K353" s="382">
        <v>7</v>
      </c>
      <c r="L353" s="382"/>
      <c r="M353" s="382">
        <f>E353*K353</f>
        <v>14</v>
      </c>
      <c r="N353" s="1141"/>
    </row>
    <row r="354" spans="1:14" ht="14.25" customHeight="1">
      <c r="A354" s="1140"/>
      <c r="B354" s="569" t="s">
        <v>1563</v>
      </c>
      <c r="C354" s="382"/>
      <c r="D354" s="382"/>
      <c r="E354" s="382">
        <v>2</v>
      </c>
      <c r="F354" s="382"/>
      <c r="G354" s="382"/>
      <c r="H354" s="382"/>
      <c r="I354" s="382"/>
      <c r="J354" s="382"/>
      <c r="K354" s="382">
        <v>2</v>
      </c>
      <c r="L354" s="382"/>
      <c r="M354" s="382">
        <f>E354*K354</f>
        <v>4</v>
      </c>
      <c r="N354" s="1141"/>
    </row>
    <row r="355" spans="1:14" ht="14.25" customHeight="1">
      <c r="A355" s="1140"/>
      <c r="B355" s="357"/>
      <c r="C355" s="382"/>
      <c r="D355" s="382"/>
      <c r="E355" s="382"/>
      <c r="F355" s="382"/>
      <c r="G355" s="382"/>
      <c r="H355" s="382"/>
      <c r="I355" s="382"/>
      <c r="J355" s="382"/>
      <c r="K355" s="382"/>
      <c r="L355" s="382"/>
      <c r="M355" s="382">
        <f>SUM(M353:M354)</f>
        <v>18</v>
      </c>
      <c r="N355" s="1141" t="s">
        <v>117</v>
      </c>
    </row>
    <row r="356" spans="1:14" ht="14.25" customHeight="1">
      <c r="A356" s="1140">
        <f>A352+1</f>
        <v>2</v>
      </c>
      <c r="B356" s="357" t="s">
        <v>587</v>
      </c>
      <c r="C356" s="382"/>
      <c r="D356" s="382"/>
      <c r="E356" s="382"/>
      <c r="F356" s="382"/>
      <c r="G356" s="382"/>
      <c r="H356" s="382"/>
      <c r="I356" s="382"/>
      <c r="J356" s="382"/>
      <c r="K356" s="382"/>
      <c r="L356" s="382"/>
      <c r="M356" s="382"/>
      <c r="N356" s="1141"/>
    </row>
    <row r="357" spans="1:14" ht="14.25" customHeight="1">
      <c r="A357" s="1140"/>
      <c r="B357" s="569" t="s">
        <v>1565</v>
      </c>
      <c r="C357" s="382"/>
      <c r="D357" s="382"/>
      <c r="E357" s="382"/>
      <c r="F357" s="382"/>
      <c r="G357" s="382"/>
      <c r="H357" s="382"/>
      <c r="I357" s="382">
        <f>4+5.5+4+5</f>
        <v>18.5</v>
      </c>
      <c r="J357" s="382"/>
      <c r="K357" s="382"/>
      <c r="L357" s="382"/>
      <c r="M357" s="382">
        <f>I357</f>
        <v>18.5</v>
      </c>
      <c r="N357" s="1141"/>
    </row>
    <row r="358" spans="1:14" ht="14.25" customHeight="1">
      <c r="A358" s="1140"/>
      <c r="B358" s="569" t="s">
        <v>1563</v>
      </c>
      <c r="C358" s="382"/>
      <c r="D358" s="382"/>
      <c r="E358" s="382"/>
      <c r="F358" s="382"/>
      <c r="G358" s="382"/>
      <c r="H358" s="382"/>
      <c r="I358" s="382">
        <f>3.5+4+5</f>
        <v>12.5</v>
      </c>
      <c r="J358" s="382"/>
      <c r="K358" s="382"/>
      <c r="L358" s="382"/>
      <c r="M358" s="382">
        <f>I358</f>
        <v>12.5</v>
      </c>
      <c r="N358" s="1141"/>
    </row>
    <row r="359" spans="1:14" ht="14.25" customHeight="1">
      <c r="A359" s="1140"/>
      <c r="B359" s="357"/>
      <c r="C359" s="382"/>
      <c r="D359" s="382"/>
      <c r="E359" s="382"/>
      <c r="F359" s="382"/>
      <c r="G359" s="382"/>
      <c r="H359" s="382"/>
      <c r="I359" s="382"/>
      <c r="J359" s="382"/>
      <c r="K359" s="382"/>
      <c r="L359" s="382"/>
      <c r="M359" s="382">
        <f>SUM(M357:M358)</f>
        <v>31</v>
      </c>
      <c r="N359" s="1141" t="s">
        <v>117</v>
      </c>
    </row>
    <row r="360" spans="1:14" ht="14.25" customHeight="1">
      <c r="A360" s="1140">
        <f>A356+1</f>
        <v>3</v>
      </c>
      <c r="B360" s="357" t="s">
        <v>920</v>
      </c>
      <c r="C360" s="382"/>
      <c r="D360" s="382"/>
      <c r="E360" s="382"/>
      <c r="F360" s="382"/>
      <c r="G360" s="382"/>
      <c r="H360" s="382"/>
      <c r="I360" s="382"/>
      <c r="J360" s="382"/>
      <c r="K360" s="382"/>
      <c r="L360" s="382"/>
      <c r="M360" s="382"/>
      <c r="N360" s="1141"/>
    </row>
    <row r="361" spans="1:14" ht="14.25" customHeight="1">
      <c r="A361" s="1140"/>
      <c r="B361" s="569" t="s">
        <v>1565</v>
      </c>
      <c r="C361" s="382"/>
      <c r="D361" s="382"/>
      <c r="E361" s="382">
        <v>1.5</v>
      </c>
      <c r="F361" s="382"/>
      <c r="G361" s="382"/>
      <c r="H361" s="382"/>
      <c r="I361" s="382"/>
      <c r="J361" s="382"/>
      <c r="K361" s="382">
        <f>K353</f>
        <v>7</v>
      </c>
      <c r="L361" s="382"/>
      <c r="M361" s="382">
        <f>E361*K361</f>
        <v>10.5</v>
      </c>
      <c r="N361" s="1141"/>
    </row>
    <row r="362" spans="1:14" ht="14.25" customHeight="1">
      <c r="A362" s="1140"/>
      <c r="B362" s="569" t="s">
        <v>1563</v>
      </c>
      <c r="C362" s="382"/>
      <c r="D362" s="382"/>
      <c r="E362" s="382">
        <v>1.5</v>
      </c>
      <c r="F362" s="382"/>
      <c r="G362" s="382"/>
      <c r="H362" s="382"/>
      <c r="I362" s="382"/>
      <c r="J362" s="382"/>
      <c r="K362" s="382">
        <f>K354</f>
        <v>2</v>
      </c>
      <c r="L362" s="382"/>
      <c r="M362" s="382">
        <f>E362*K362</f>
        <v>3</v>
      </c>
      <c r="N362" s="1141"/>
    </row>
    <row r="363" spans="1:14" ht="14.25" customHeight="1">
      <c r="A363" s="1140"/>
      <c r="B363" s="357"/>
      <c r="C363" s="382"/>
      <c r="D363" s="382"/>
      <c r="E363" s="382"/>
      <c r="F363" s="382"/>
      <c r="G363" s="382"/>
      <c r="H363" s="382"/>
      <c r="I363" s="382"/>
      <c r="J363" s="382"/>
      <c r="K363" s="382"/>
      <c r="L363" s="382"/>
      <c r="M363" s="382">
        <f>SUM(M361:M362)</f>
        <v>13.5</v>
      </c>
      <c r="N363" s="1141" t="s">
        <v>117</v>
      </c>
    </row>
    <row r="364" spans="1:14" ht="14.25" customHeight="1">
      <c r="A364" s="1140"/>
      <c r="B364" s="357"/>
      <c r="C364" s="382"/>
      <c r="D364" s="382"/>
      <c r="E364" s="382"/>
      <c r="F364" s="382"/>
      <c r="G364" s="382"/>
      <c r="H364" s="382"/>
      <c r="I364" s="382"/>
      <c r="J364" s="382"/>
      <c r="K364" s="382"/>
      <c r="L364" s="382"/>
      <c r="M364" s="382"/>
      <c r="N364" s="1141"/>
    </row>
    <row r="365" spans="1:14" ht="14.25" customHeight="1">
      <c r="A365" s="1140">
        <f>A360+1</f>
        <v>4</v>
      </c>
      <c r="B365" s="357" t="s">
        <v>588</v>
      </c>
      <c r="C365" s="382"/>
      <c r="D365" s="382"/>
      <c r="E365" s="382"/>
      <c r="F365" s="382"/>
      <c r="G365" s="382"/>
      <c r="H365" s="382"/>
      <c r="I365" s="382"/>
      <c r="J365" s="382"/>
      <c r="K365" s="382"/>
      <c r="L365" s="382"/>
      <c r="M365" s="382"/>
      <c r="N365" s="1141"/>
    </row>
    <row r="366" spans="1:14" ht="14.25" customHeight="1">
      <c r="A366" s="1140"/>
      <c r="B366" s="569" t="s">
        <v>1576</v>
      </c>
      <c r="C366" s="382">
        <f>20+10</f>
        <v>30</v>
      </c>
      <c r="D366" s="382"/>
      <c r="E366" s="382"/>
      <c r="F366" s="382"/>
      <c r="G366" s="382"/>
      <c r="H366" s="382"/>
      <c r="I366" s="382">
        <v>1.5</v>
      </c>
      <c r="J366" s="382"/>
      <c r="K366" s="382"/>
      <c r="L366" s="382"/>
      <c r="M366" s="382">
        <f>C366+I366</f>
        <v>31.5</v>
      </c>
      <c r="N366" s="1141" t="s">
        <v>117</v>
      </c>
    </row>
    <row r="367" spans="1:14" ht="14.25" customHeight="1">
      <c r="A367" s="1140">
        <f>A365+1</f>
        <v>5</v>
      </c>
      <c r="B367" s="357" t="s">
        <v>712</v>
      </c>
      <c r="C367" s="382"/>
      <c r="D367" s="382"/>
      <c r="E367" s="382"/>
      <c r="F367" s="382"/>
      <c r="G367" s="382"/>
      <c r="H367" s="382"/>
      <c r="I367" s="382"/>
      <c r="J367" s="382"/>
      <c r="K367" s="382"/>
      <c r="L367" s="382"/>
      <c r="M367" s="382"/>
      <c r="N367" s="1141"/>
    </row>
    <row r="368" spans="1:14" ht="14.25" customHeight="1">
      <c r="A368" s="1140"/>
      <c r="B368" s="569" t="s">
        <v>1565</v>
      </c>
      <c r="C368" s="382"/>
      <c r="D368" s="382"/>
      <c r="E368" s="382"/>
      <c r="F368" s="382"/>
      <c r="G368" s="382"/>
      <c r="H368" s="382"/>
      <c r="I368" s="382"/>
      <c r="J368" s="382"/>
      <c r="K368" s="382">
        <f>K361</f>
        <v>7</v>
      </c>
      <c r="L368" s="382"/>
      <c r="M368" s="382">
        <f>K368</f>
        <v>7</v>
      </c>
      <c r="N368" s="1141"/>
    </row>
    <row r="369" spans="1:14" ht="14.25" customHeight="1">
      <c r="A369" s="1140"/>
      <c r="B369" s="569" t="s">
        <v>1563</v>
      </c>
      <c r="C369" s="382"/>
      <c r="D369" s="382"/>
      <c r="E369" s="382"/>
      <c r="F369" s="382"/>
      <c r="G369" s="382"/>
      <c r="H369" s="382"/>
      <c r="I369" s="382"/>
      <c r="J369" s="382"/>
      <c r="K369" s="382">
        <f>K362</f>
        <v>2</v>
      </c>
      <c r="L369" s="382"/>
      <c r="M369" s="382">
        <f>K369</f>
        <v>2</v>
      </c>
      <c r="N369" s="1141"/>
    </row>
    <row r="370" spans="1:14" ht="14.25" customHeight="1">
      <c r="A370" s="1140"/>
      <c r="B370" s="357"/>
      <c r="C370" s="382"/>
      <c r="D370" s="382"/>
      <c r="E370" s="382"/>
      <c r="F370" s="382"/>
      <c r="G370" s="382"/>
      <c r="H370" s="382"/>
      <c r="I370" s="382"/>
      <c r="J370" s="382"/>
      <c r="K370" s="382"/>
      <c r="L370" s="382"/>
      <c r="M370" s="382">
        <f>SUM(M368:M369)</f>
        <v>9</v>
      </c>
      <c r="N370" s="1141" t="s">
        <v>124</v>
      </c>
    </row>
    <row r="371" spans="1:14" ht="14.25" customHeight="1">
      <c r="A371" s="1140">
        <f>A367+1</f>
        <v>6</v>
      </c>
      <c r="B371" s="357" t="s">
        <v>458</v>
      </c>
      <c r="C371" s="382"/>
      <c r="D371" s="382"/>
      <c r="E371" s="382"/>
      <c r="F371" s="382"/>
      <c r="G371" s="382"/>
      <c r="H371" s="382"/>
      <c r="I371" s="382"/>
      <c r="J371" s="382"/>
      <c r="K371" s="382"/>
      <c r="L371" s="382"/>
      <c r="M371" s="382"/>
      <c r="N371" s="1141"/>
    </row>
    <row r="372" spans="1:14" ht="14.25" customHeight="1">
      <c r="A372" s="1140"/>
      <c r="B372" s="569" t="s">
        <v>1577</v>
      </c>
      <c r="C372" s="382"/>
      <c r="D372" s="382"/>
      <c r="E372" s="382"/>
      <c r="F372" s="382"/>
      <c r="G372" s="382"/>
      <c r="H372" s="382"/>
      <c r="I372" s="382"/>
      <c r="J372" s="382"/>
      <c r="K372" s="382">
        <v>7</v>
      </c>
      <c r="L372" s="382"/>
      <c r="M372" s="382">
        <f>K372</f>
        <v>7</v>
      </c>
      <c r="N372" s="1141"/>
    </row>
    <row r="373" spans="1:14" ht="24.75" customHeight="1">
      <c r="A373" s="1140"/>
      <c r="B373" s="1628" t="s">
        <v>1578</v>
      </c>
      <c r="C373" s="382"/>
      <c r="D373" s="382"/>
      <c r="E373" s="382"/>
      <c r="F373" s="382"/>
      <c r="G373" s="382"/>
      <c r="H373" s="382"/>
      <c r="I373" s="382"/>
      <c r="J373" s="382"/>
      <c r="K373" s="382">
        <v>6</v>
      </c>
      <c r="L373" s="382"/>
      <c r="M373" s="382">
        <f>K373</f>
        <v>6</v>
      </c>
      <c r="N373" s="1141"/>
    </row>
    <row r="374" spans="1:14" ht="14.25" customHeight="1">
      <c r="A374" s="1140"/>
      <c r="B374" s="357"/>
      <c r="C374" s="382"/>
      <c r="D374" s="382"/>
      <c r="E374" s="382"/>
      <c r="F374" s="382"/>
      <c r="G374" s="382"/>
      <c r="H374" s="382"/>
      <c r="I374" s="382"/>
      <c r="J374" s="382"/>
      <c r="K374" s="382"/>
      <c r="L374" s="382"/>
      <c r="M374" s="382">
        <f>SUM(M372:M373)</f>
        <v>13</v>
      </c>
      <c r="N374" s="1141" t="s">
        <v>357</v>
      </c>
    </row>
    <row r="375" spans="1:14" ht="14.25" customHeight="1">
      <c r="A375" s="1140">
        <f>A371+1</f>
        <v>7</v>
      </c>
      <c r="B375" s="357" t="s">
        <v>718</v>
      </c>
      <c r="C375" s="382"/>
      <c r="D375" s="382"/>
      <c r="E375" s="382"/>
      <c r="F375" s="382"/>
      <c r="G375" s="382"/>
      <c r="H375" s="382"/>
      <c r="I375" s="382"/>
      <c r="J375" s="382"/>
      <c r="K375" s="382"/>
      <c r="L375" s="382"/>
      <c r="M375" s="382"/>
      <c r="N375" s="1141"/>
    </row>
    <row r="376" spans="1:14" ht="14.25" customHeight="1">
      <c r="A376" s="1140"/>
      <c r="B376" s="569" t="s">
        <v>1565</v>
      </c>
      <c r="C376" s="382"/>
      <c r="D376" s="382"/>
      <c r="E376" s="382"/>
      <c r="F376" s="382"/>
      <c r="G376" s="382"/>
      <c r="H376" s="382"/>
      <c r="I376" s="382"/>
      <c r="J376" s="382"/>
      <c r="K376" s="382">
        <v>7</v>
      </c>
      <c r="L376" s="382"/>
      <c r="M376" s="382">
        <f>K376</f>
        <v>7</v>
      </c>
      <c r="N376" s="1141"/>
    </row>
    <row r="377" spans="1:14" ht="14.25" customHeight="1">
      <c r="A377" s="1140"/>
      <c r="B377" s="569" t="s">
        <v>1566</v>
      </c>
      <c r="C377" s="382"/>
      <c r="D377" s="382"/>
      <c r="E377" s="382"/>
      <c r="F377" s="382"/>
      <c r="G377" s="382"/>
      <c r="H377" s="382"/>
      <c r="I377" s="382"/>
      <c r="J377" s="382"/>
      <c r="K377" s="382">
        <v>6</v>
      </c>
      <c r="L377" s="382"/>
      <c r="M377" s="382">
        <f>K377</f>
        <v>6</v>
      </c>
      <c r="N377" s="1141"/>
    </row>
    <row r="378" spans="1:14" ht="14.25" customHeight="1">
      <c r="A378" s="1140"/>
      <c r="B378" s="569" t="s">
        <v>1579</v>
      </c>
      <c r="C378" s="382"/>
      <c r="D378" s="382"/>
      <c r="E378" s="382"/>
      <c r="F378" s="382"/>
      <c r="G378" s="382"/>
      <c r="H378" s="382"/>
      <c r="I378" s="382"/>
      <c r="J378" s="382"/>
      <c r="K378" s="382">
        <v>5</v>
      </c>
      <c r="L378" s="382"/>
      <c r="M378" s="382">
        <f>K378</f>
        <v>5</v>
      </c>
      <c r="N378" s="1141"/>
    </row>
    <row r="379" spans="1:14" ht="14.25" customHeight="1">
      <c r="A379" s="1140"/>
      <c r="B379" s="357"/>
      <c r="C379" s="382"/>
      <c r="D379" s="382"/>
      <c r="E379" s="382"/>
      <c r="F379" s="382"/>
      <c r="G379" s="382"/>
      <c r="H379" s="382"/>
      <c r="I379" s="382"/>
      <c r="J379" s="382"/>
      <c r="K379" s="382"/>
      <c r="L379" s="382"/>
      <c r="M379" s="382">
        <f>SUM(M376:M378)</f>
        <v>18</v>
      </c>
      <c r="N379" s="1141" t="s">
        <v>357</v>
      </c>
    </row>
    <row r="380" spans="1:14" ht="14.25" customHeight="1">
      <c r="A380" s="1140">
        <f>A375+1</f>
        <v>8</v>
      </c>
      <c r="B380" s="358" t="s">
        <v>1580</v>
      </c>
      <c r="C380" s="382"/>
      <c r="D380" s="382"/>
      <c r="E380" s="382"/>
      <c r="F380" s="382"/>
      <c r="G380" s="382"/>
      <c r="H380" s="382"/>
      <c r="I380" s="382"/>
      <c r="J380" s="382"/>
      <c r="K380" s="382"/>
      <c r="L380" s="382"/>
      <c r="M380" s="382">
        <v>7</v>
      </c>
      <c r="N380" s="1141" t="s">
        <v>357</v>
      </c>
    </row>
    <row r="381" spans="1:14" ht="14.25" customHeight="1">
      <c r="A381" s="1140">
        <f t="shared" ref="A381:A388" si="7">A380+1</f>
        <v>9</v>
      </c>
      <c r="B381" s="358" t="s">
        <v>1581</v>
      </c>
      <c r="C381" s="382"/>
      <c r="D381" s="382"/>
      <c r="E381" s="382"/>
      <c r="F381" s="382"/>
      <c r="G381" s="382"/>
      <c r="H381" s="382"/>
      <c r="I381" s="382"/>
      <c r="J381" s="382"/>
      <c r="K381" s="382"/>
      <c r="L381" s="382"/>
      <c r="M381" s="382">
        <v>3</v>
      </c>
      <c r="N381" s="1141" t="s">
        <v>357</v>
      </c>
    </row>
    <row r="382" spans="1:14" ht="14.25" customHeight="1">
      <c r="A382" s="1140">
        <f t="shared" si="7"/>
        <v>10</v>
      </c>
      <c r="B382" s="358" t="s">
        <v>921</v>
      </c>
      <c r="C382" s="382"/>
      <c r="D382" s="382"/>
      <c r="E382" s="382"/>
      <c r="F382" s="382"/>
      <c r="G382" s="382"/>
      <c r="H382" s="382"/>
      <c r="I382" s="382"/>
      <c r="J382" s="382"/>
      <c r="K382" s="382"/>
      <c r="L382" s="382"/>
      <c r="M382" s="382">
        <f>M372</f>
        <v>7</v>
      </c>
      <c r="N382" s="1141" t="s">
        <v>124</v>
      </c>
    </row>
    <row r="383" spans="1:14" ht="14.25" customHeight="1">
      <c r="A383" s="1140">
        <f t="shared" si="7"/>
        <v>11</v>
      </c>
      <c r="B383" s="357" t="s">
        <v>922</v>
      </c>
      <c r="C383" s="382"/>
      <c r="D383" s="382"/>
      <c r="E383" s="382"/>
      <c r="F383" s="382"/>
      <c r="G383" s="382"/>
      <c r="H383" s="382"/>
      <c r="I383" s="382"/>
      <c r="J383" s="382"/>
      <c r="K383" s="382"/>
      <c r="L383" s="382"/>
      <c r="M383" s="382">
        <f>M373</f>
        <v>6</v>
      </c>
      <c r="N383" s="1141" t="s">
        <v>124</v>
      </c>
    </row>
    <row r="384" spans="1:14" ht="14.25" customHeight="1">
      <c r="A384" s="1140">
        <f t="shared" si="7"/>
        <v>12</v>
      </c>
      <c r="B384" s="357" t="s">
        <v>614</v>
      </c>
      <c r="C384" s="382"/>
      <c r="D384" s="382"/>
      <c r="E384" s="382"/>
      <c r="F384" s="382"/>
      <c r="G384" s="382"/>
      <c r="H384" s="382"/>
      <c r="I384" s="382"/>
      <c r="J384" s="382"/>
      <c r="K384" s="382"/>
      <c r="L384" s="382"/>
      <c r="M384" s="382">
        <f>M380</f>
        <v>7</v>
      </c>
      <c r="N384" s="1141" t="s">
        <v>124</v>
      </c>
    </row>
    <row r="385" spans="1:14" ht="14.25" customHeight="1">
      <c r="A385" s="1140">
        <f t="shared" si="7"/>
        <v>13</v>
      </c>
      <c r="B385" s="357" t="s">
        <v>846</v>
      </c>
      <c r="C385" s="382"/>
      <c r="D385" s="382"/>
      <c r="E385" s="382"/>
      <c r="F385" s="382"/>
      <c r="G385" s="382"/>
      <c r="H385" s="382"/>
      <c r="I385" s="382"/>
      <c r="J385" s="382"/>
      <c r="K385" s="382"/>
      <c r="L385" s="382"/>
      <c r="M385" s="382">
        <f>M381</f>
        <v>3</v>
      </c>
      <c r="N385" s="1141" t="s">
        <v>124</v>
      </c>
    </row>
    <row r="386" spans="1:14" ht="14.25" customHeight="1">
      <c r="A386" s="1140">
        <f t="shared" si="7"/>
        <v>14</v>
      </c>
      <c r="B386" s="357" t="s">
        <v>923</v>
      </c>
      <c r="C386" s="382"/>
      <c r="D386" s="382"/>
      <c r="E386" s="382"/>
      <c r="F386" s="382"/>
      <c r="G386" s="382"/>
      <c r="H386" s="382"/>
      <c r="I386" s="382"/>
      <c r="J386" s="382"/>
      <c r="K386" s="382"/>
      <c r="L386" s="382"/>
      <c r="M386" s="382">
        <f>M379</f>
        <v>18</v>
      </c>
      <c r="N386" s="1141" t="s">
        <v>124</v>
      </c>
    </row>
    <row r="387" spans="1:14" ht="14.25" customHeight="1">
      <c r="A387" s="1140">
        <f t="shared" si="7"/>
        <v>15</v>
      </c>
      <c r="B387" s="357" t="s">
        <v>924</v>
      </c>
      <c r="C387" s="382"/>
      <c r="D387" s="382"/>
      <c r="E387" s="382"/>
      <c r="F387" s="382"/>
      <c r="G387" s="382"/>
      <c r="H387" s="382"/>
      <c r="I387" s="382"/>
      <c r="J387" s="382"/>
      <c r="K387" s="382"/>
      <c r="L387" s="382"/>
      <c r="M387" s="382">
        <v>5</v>
      </c>
      <c r="N387" s="1141" t="s">
        <v>124</v>
      </c>
    </row>
    <row r="388" spans="1:14" ht="14.25" customHeight="1">
      <c r="A388" s="1140">
        <f t="shared" si="7"/>
        <v>16</v>
      </c>
      <c r="B388" s="357" t="s">
        <v>687</v>
      </c>
      <c r="C388" s="382"/>
      <c r="D388" s="382"/>
      <c r="E388" s="382"/>
      <c r="F388" s="382"/>
      <c r="G388" s="382"/>
      <c r="H388" s="382"/>
      <c r="I388" s="382"/>
      <c r="J388" s="382"/>
      <c r="K388" s="382"/>
      <c r="L388" s="382"/>
      <c r="M388" s="382">
        <v>1</v>
      </c>
      <c r="N388" s="1141" t="s">
        <v>360</v>
      </c>
    </row>
    <row r="389" spans="1:14" ht="7.5" customHeight="1">
      <c r="A389" s="1629"/>
      <c r="B389" s="1630"/>
      <c r="C389" s="653"/>
      <c r="D389" s="653"/>
      <c r="E389" s="653"/>
      <c r="F389" s="653"/>
      <c r="G389" s="653"/>
      <c r="H389" s="653"/>
      <c r="I389" s="653"/>
      <c r="J389" s="653"/>
      <c r="K389" s="653"/>
      <c r="L389" s="653"/>
      <c r="M389" s="653"/>
      <c r="N389" s="1631"/>
    </row>
    <row r="390" spans="1:14" ht="14.25" customHeight="1">
      <c r="C390" s="659"/>
      <c r="D390" s="659"/>
      <c r="E390" s="659"/>
      <c r="F390" s="659"/>
      <c r="G390" s="659"/>
      <c r="H390" s="659"/>
      <c r="I390" s="659"/>
      <c r="J390" s="659"/>
      <c r="K390" s="659"/>
      <c r="L390" s="659"/>
      <c r="M390" s="659"/>
    </row>
    <row r="391" spans="1:14" ht="14.25" customHeight="1">
      <c r="C391" s="659"/>
      <c r="D391" s="659"/>
      <c r="E391" s="659"/>
      <c r="F391" s="659"/>
      <c r="G391" s="659"/>
      <c r="H391" s="659"/>
      <c r="I391" s="659"/>
      <c r="J391" s="659"/>
      <c r="K391" s="659"/>
      <c r="L391" s="659"/>
      <c r="M391" s="659"/>
    </row>
    <row r="392" spans="1:14" ht="14.25" customHeight="1">
      <c r="C392" s="659"/>
      <c r="D392" s="659"/>
      <c r="E392" s="659"/>
      <c r="F392" s="659"/>
      <c r="G392" s="659"/>
      <c r="H392" s="659"/>
      <c r="I392" s="659"/>
      <c r="J392" s="659"/>
      <c r="K392" s="659"/>
      <c r="L392" s="659"/>
      <c r="M392" s="659"/>
    </row>
    <row r="393" spans="1:14" ht="14.25" customHeight="1">
      <c r="C393" s="659"/>
      <c r="D393" s="659"/>
      <c r="E393" s="659"/>
      <c r="F393" s="659"/>
      <c r="G393" s="659"/>
      <c r="H393" s="659"/>
      <c r="I393" s="659"/>
      <c r="J393" s="659"/>
      <c r="K393" s="659"/>
      <c r="L393" s="659"/>
      <c r="M393" s="659"/>
    </row>
    <row r="394" spans="1:14" ht="14.25" customHeight="1">
      <c r="C394" s="659"/>
      <c r="D394" s="659"/>
      <c r="E394" s="659"/>
      <c r="F394" s="659"/>
      <c r="G394" s="659"/>
      <c r="H394" s="659"/>
      <c r="I394" s="659"/>
      <c r="J394" s="659"/>
      <c r="K394" s="659"/>
      <c r="L394" s="659"/>
      <c r="M394" s="659"/>
    </row>
    <row r="395" spans="1:14" ht="14.25" customHeight="1">
      <c r="C395" s="659"/>
      <c r="D395" s="659"/>
      <c r="E395" s="659"/>
      <c r="F395" s="659"/>
      <c r="G395" s="659"/>
      <c r="H395" s="659"/>
      <c r="I395" s="659"/>
      <c r="J395" s="659"/>
      <c r="K395" s="659"/>
      <c r="L395" s="659"/>
      <c r="M395" s="659"/>
    </row>
    <row r="396" spans="1:14" ht="14.25" customHeight="1">
      <c r="C396" s="659"/>
      <c r="D396" s="659"/>
      <c r="E396" s="659"/>
      <c r="F396" s="659"/>
      <c r="G396" s="659"/>
      <c r="H396" s="659"/>
      <c r="I396" s="659"/>
      <c r="J396" s="659"/>
      <c r="K396" s="659"/>
      <c r="L396" s="659"/>
      <c r="M396" s="659"/>
    </row>
    <row r="397" spans="1:14" ht="14.25" customHeight="1">
      <c r="C397" s="659"/>
      <c r="D397" s="659"/>
      <c r="E397" s="659"/>
      <c r="F397" s="659"/>
      <c r="G397" s="659"/>
      <c r="H397" s="659"/>
      <c r="I397" s="659"/>
      <c r="J397" s="659"/>
      <c r="K397" s="659"/>
      <c r="L397" s="659"/>
      <c r="M397" s="659"/>
    </row>
    <row r="398" spans="1:14" ht="14.25" customHeight="1">
      <c r="C398" s="659"/>
      <c r="D398" s="659"/>
      <c r="E398" s="659"/>
      <c r="F398" s="659"/>
      <c r="G398" s="659"/>
      <c r="H398" s="659"/>
      <c r="I398" s="659"/>
      <c r="J398" s="659"/>
      <c r="K398" s="659"/>
      <c r="L398" s="659"/>
      <c r="M398" s="659"/>
    </row>
    <row r="399" spans="1:14" ht="14.25" customHeight="1">
      <c r="C399" s="659"/>
      <c r="D399" s="659"/>
      <c r="E399" s="659"/>
      <c r="F399" s="659"/>
      <c r="G399" s="659"/>
      <c r="H399" s="659"/>
      <c r="I399" s="659"/>
      <c r="J399" s="659"/>
      <c r="K399" s="659"/>
      <c r="L399" s="659"/>
      <c r="M399" s="659"/>
    </row>
    <row r="400" spans="1:14" ht="14.25" customHeight="1">
      <c r="C400" s="659"/>
      <c r="D400" s="659"/>
      <c r="E400" s="659"/>
      <c r="F400" s="659"/>
      <c r="G400" s="659"/>
      <c r="H400" s="659"/>
      <c r="I400" s="659"/>
      <c r="J400" s="659"/>
      <c r="K400" s="659"/>
      <c r="L400" s="659"/>
      <c r="M400" s="659"/>
    </row>
    <row r="401" spans="3:13" ht="14.25" customHeight="1">
      <c r="C401" s="659"/>
      <c r="D401" s="659"/>
      <c r="E401" s="659"/>
      <c r="F401" s="659"/>
      <c r="G401" s="659"/>
      <c r="H401" s="659"/>
      <c r="I401" s="659"/>
      <c r="J401" s="659"/>
      <c r="K401" s="659"/>
      <c r="L401" s="659"/>
      <c r="M401" s="659"/>
    </row>
    <row r="402" spans="3:13" ht="14.25" customHeight="1">
      <c r="C402" s="659"/>
      <c r="D402" s="659"/>
      <c r="E402" s="659"/>
      <c r="F402" s="659"/>
      <c r="G402" s="659"/>
      <c r="H402" s="659"/>
      <c r="I402" s="659"/>
      <c r="J402" s="659"/>
      <c r="K402" s="659"/>
      <c r="L402" s="659"/>
      <c r="M402" s="659"/>
    </row>
    <row r="403" spans="3:13" ht="14.25" customHeight="1">
      <c r="C403" s="659"/>
      <c r="D403" s="659"/>
      <c r="E403" s="659"/>
      <c r="F403" s="659"/>
      <c r="G403" s="659"/>
      <c r="H403" s="659"/>
      <c r="I403" s="659"/>
      <c r="J403" s="659"/>
      <c r="K403" s="659"/>
      <c r="L403" s="659"/>
      <c r="M403" s="659"/>
    </row>
    <row r="404" spans="3:13" ht="14.25" customHeight="1">
      <c r="C404" s="659"/>
      <c r="D404" s="659"/>
      <c r="E404" s="659"/>
      <c r="F404" s="659"/>
      <c r="G404" s="659"/>
      <c r="H404" s="659"/>
      <c r="I404" s="659"/>
      <c r="J404" s="659"/>
      <c r="K404" s="659"/>
      <c r="L404" s="659"/>
      <c r="M404" s="659"/>
    </row>
    <row r="405" spans="3:13" ht="14.25" customHeight="1">
      <c r="C405" s="659"/>
      <c r="D405" s="659"/>
      <c r="E405" s="659"/>
      <c r="F405" s="659"/>
      <c r="G405" s="659"/>
      <c r="H405" s="659"/>
      <c r="I405" s="659"/>
      <c r="J405" s="659"/>
      <c r="K405" s="659"/>
      <c r="L405" s="659"/>
      <c r="M405" s="659"/>
    </row>
    <row r="406" spans="3:13" ht="14.25" customHeight="1">
      <c r="C406" s="659"/>
      <c r="D406" s="659"/>
      <c r="E406" s="659"/>
      <c r="F406" s="659"/>
      <c r="G406" s="659"/>
      <c r="H406" s="659"/>
      <c r="I406" s="659"/>
      <c r="J406" s="659"/>
      <c r="K406" s="659"/>
      <c r="L406" s="659"/>
      <c r="M406" s="659"/>
    </row>
    <row r="407" spans="3:13" ht="14.25" customHeight="1">
      <c r="C407" s="659"/>
      <c r="D407" s="659"/>
      <c r="E407" s="659"/>
      <c r="F407" s="659"/>
      <c r="G407" s="659"/>
      <c r="H407" s="659"/>
      <c r="I407" s="659"/>
      <c r="J407" s="659"/>
      <c r="K407" s="659"/>
      <c r="L407" s="659"/>
      <c r="M407" s="659"/>
    </row>
    <row r="408" spans="3:13" ht="14.25" customHeight="1">
      <c r="C408" s="659"/>
      <c r="D408" s="659"/>
      <c r="E408" s="659"/>
      <c r="F408" s="659"/>
      <c r="G408" s="659"/>
      <c r="H408" s="659"/>
      <c r="I408" s="659"/>
      <c r="J408" s="659"/>
      <c r="K408" s="659"/>
      <c r="L408" s="659"/>
      <c r="M408" s="659"/>
    </row>
    <row r="409" spans="3:13" ht="14.25" customHeight="1">
      <c r="C409" s="659"/>
      <c r="D409" s="659"/>
      <c r="E409" s="659"/>
      <c r="F409" s="659"/>
      <c r="G409" s="659"/>
      <c r="H409" s="659"/>
      <c r="I409" s="659"/>
      <c r="J409" s="659"/>
      <c r="K409" s="659"/>
      <c r="L409" s="659"/>
      <c r="M409" s="659"/>
    </row>
    <row r="410" spans="3:13" ht="14.25" customHeight="1">
      <c r="C410" s="659"/>
      <c r="D410" s="659"/>
      <c r="E410" s="659"/>
      <c r="F410" s="659"/>
      <c r="G410" s="659"/>
      <c r="H410" s="659"/>
      <c r="I410" s="659"/>
      <c r="J410" s="659"/>
      <c r="K410" s="659"/>
      <c r="L410" s="659"/>
      <c r="M410" s="659"/>
    </row>
    <row r="411" spans="3:13" ht="14.25" customHeight="1">
      <c r="C411" s="659"/>
      <c r="D411" s="659"/>
      <c r="E411" s="659"/>
      <c r="F411" s="659"/>
      <c r="G411" s="659"/>
      <c r="H411" s="659"/>
      <c r="I411" s="659"/>
      <c r="J411" s="659"/>
      <c r="K411" s="659"/>
      <c r="L411" s="659"/>
      <c r="M411" s="659"/>
    </row>
    <row r="412" spans="3:13" ht="14.25" customHeight="1">
      <c r="C412" s="659"/>
      <c r="D412" s="659"/>
      <c r="E412" s="659"/>
      <c r="F412" s="659"/>
      <c r="G412" s="659"/>
      <c r="H412" s="659"/>
      <c r="I412" s="659"/>
      <c r="J412" s="659"/>
      <c r="K412" s="659"/>
      <c r="L412" s="659"/>
      <c r="M412" s="659"/>
    </row>
    <row r="413" spans="3:13" ht="14.25" customHeight="1">
      <c r="C413" s="659"/>
      <c r="D413" s="659"/>
      <c r="E413" s="659"/>
      <c r="F413" s="659"/>
      <c r="G413" s="659"/>
      <c r="H413" s="659"/>
      <c r="I413" s="659"/>
      <c r="J413" s="659"/>
      <c r="K413" s="659"/>
      <c r="L413" s="659"/>
      <c r="M413" s="659"/>
    </row>
    <row r="414" spans="3:13" ht="14.25" customHeight="1">
      <c r="C414" s="659"/>
      <c r="D414" s="659"/>
      <c r="E414" s="659"/>
      <c r="F414" s="659"/>
      <c r="G414" s="659"/>
      <c r="H414" s="659"/>
      <c r="I414" s="659"/>
      <c r="J414" s="659"/>
      <c r="K414" s="659"/>
      <c r="L414" s="659"/>
      <c r="M414" s="659"/>
    </row>
    <row r="415" spans="3:13" ht="14.25" customHeight="1">
      <c r="C415" s="659"/>
      <c r="D415" s="659"/>
      <c r="E415" s="659"/>
      <c r="F415" s="659"/>
      <c r="G415" s="659"/>
      <c r="H415" s="659"/>
      <c r="I415" s="659"/>
      <c r="J415" s="659"/>
      <c r="K415" s="659"/>
      <c r="L415" s="659"/>
      <c r="M415" s="659"/>
    </row>
    <row r="416" spans="3:13" ht="14.25" customHeight="1">
      <c r="C416" s="659"/>
      <c r="D416" s="659"/>
      <c r="E416" s="659"/>
      <c r="F416" s="659"/>
      <c r="G416" s="659"/>
      <c r="H416" s="659"/>
      <c r="I416" s="659"/>
      <c r="J416" s="659"/>
      <c r="K416" s="659"/>
      <c r="L416" s="659"/>
      <c r="M416" s="659"/>
    </row>
    <row r="417" spans="3:13" ht="14.25" customHeight="1">
      <c r="C417" s="659"/>
      <c r="D417" s="659"/>
      <c r="E417" s="659"/>
      <c r="F417" s="659"/>
      <c r="G417" s="659"/>
      <c r="H417" s="659"/>
      <c r="I417" s="659"/>
      <c r="J417" s="659"/>
      <c r="K417" s="659"/>
      <c r="L417" s="659"/>
      <c r="M417" s="659"/>
    </row>
    <row r="418" spans="3:13" ht="14.25" customHeight="1">
      <c r="C418" s="659"/>
      <c r="D418" s="659"/>
      <c r="E418" s="659"/>
      <c r="F418" s="659"/>
      <c r="G418" s="659"/>
      <c r="H418" s="659"/>
      <c r="I418" s="659"/>
      <c r="J418" s="659"/>
      <c r="K418" s="659"/>
      <c r="L418" s="659"/>
      <c r="M418" s="659"/>
    </row>
    <row r="419" spans="3:13" ht="14.25" customHeight="1">
      <c r="C419" s="659"/>
      <c r="D419" s="659"/>
      <c r="E419" s="659"/>
      <c r="F419" s="659"/>
      <c r="G419" s="659"/>
      <c r="H419" s="659"/>
      <c r="I419" s="659"/>
      <c r="J419" s="659"/>
      <c r="K419" s="659"/>
      <c r="L419" s="659"/>
      <c r="M419" s="659"/>
    </row>
    <row r="420" spans="3:13" ht="14.25" customHeight="1">
      <c r="C420" s="659"/>
      <c r="D420" s="659"/>
      <c r="E420" s="659"/>
      <c r="F420" s="659"/>
      <c r="G420" s="659"/>
      <c r="H420" s="659"/>
      <c r="I420" s="659"/>
      <c r="J420" s="659"/>
      <c r="K420" s="659"/>
      <c r="L420" s="659"/>
      <c r="M420" s="659"/>
    </row>
    <row r="421" spans="3:13" ht="14.25" customHeight="1">
      <c r="C421" s="659"/>
      <c r="D421" s="659"/>
      <c r="E421" s="659"/>
      <c r="F421" s="659"/>
      <c r="G421" s="659"/>
      <c r="H421" s="659"/>
      <c r="I421" s="659"/>
      <c r="J421" s="659"/>
      <c r="K421" s="659"/>
      <c r="L421" s="659"/>
      <c r="M421" s="659"/>
    </row>
    <row r="422" spans="3:13" ht="14.25" customHeight="1">
      <c r="C422" s="659"/>
      <c r="D422" s="659"/>
      <c r="E422" s="659"/>
      <c r="F422" s="659"/>
      <c r="G422" s="659"/>
      <c r="H422" s="659"/>
      <c r="I422" s="659"/>
      <c r="J422" s="659"/>
      <c r="K422" s="659"/>
      <c r="L422" s="659"/>
      <c r="M422" s="659"/>
    </row>
    <row r="423" spans="3:13" ht="14.25" customHeight="1">
      <c r="C423" s="659"/>
      <c r="D423" s="659"/>
      <c r="E423" s="659"/>
      <c r="F423" s="659"/>
      <c r="G423" s="659"/>
      <c r="H423" s="659"/>
      <c r="I423" s="659"/>
      <c r="J423" s="659"/>
      <c r="K423" s="659"/>
      <c r="L423" s="659"/>
      <c r="M423" s="659"/>
    </row>
    <row r="424" spans="3:13" ht="14.25" customHeight="1">
      <c r="C424" s="659"/>
      <c r="D424" s="659"/>
      <c r="E424" s="659"/>
      <c r="F424" s="659"/>
      <c r="G424" s="659"/>
      <c r="H424" s="659"/>
      <c r="I424" s="659"/>
      <c r="J424" s="659"/>
      <c r="K424" s="659"/>
      <c r="L424" s="659"/>
      <c r="M424" s="659"/>
    </row>
    <row r="425" spans="3:13" ht="14.25" customHeight="1">
      <c r="C425" s="659"/>
      <c r="D425" s="659"/>
      <c r="E425" s="659"/>
      <c r="F425" s="659"/>
      <c r="G425" s="659"/>
      <c r="H425" s="659"/>
      <c r="I425" s="659"/>
      <c r="J425" s="659"/>
      <c r="K425" s="659"/>
      <c r="L425" s="659"/>
      <c r="M425" s="659"/>
    </row>
    <row r="426" spans="3:13" ht="14.25" customHeight="1">
      <c r="C426" s="659"/>
      <c r="D426" s="659"/>
      <c r="E426" s="659"/>
      <c r="F426" s="659"/>
      <c r="G426" s="659"/>
      <c r="H426" s="659"/>
      <c r="I426" s="659"/>
      <c r="J426" s="659"/>
      <c r="K426" s="659"/>
      <c r="L426" s="659"/>
      <c r="M426" s="659"/>
    </row>
    <row r="427" spans="3:13" ht="14.25" customHeight="1">
      <c r="C427" s="659"/>
      <c r="D427" s="659"/>
      <c r="E427" s="659"/>
      <c r="F427" s="659"/>
      <c r="G427" s="659"/>
      <c r="H427" s="659"/>
      <c r="I427" s="659"/>
      <c r="J427" s="659"/>
      <c r="K427" s="659"/>
      <c r="L427" s="659"/>
      <c r="M427" s="659"/>
    </row>
    <row r="428" spans="3:13" ht="14.25" customHeight="1">
      <c r="C428" s="659"/>
      <c r="D428" s="659"/>
      <c r="E428" s="659"/>
      <c r="F428" s="659"/>
      <c r="G428" s="659"/>
      <c r="H428" s="659"/>
      <c r="I428" s="659"/>
      <c r="J428" s="659"/>
      <c r="K428" s="659"/>
      <c r="L428" s="659"/>
      <c r="M428" s="659"/>
    </row>
    <row r="429" spans="3:13" ht="14.25" customHeight="1">
      <c r="C429" s="659"/>
      <c r="D429" s="659"/>
      <c r="E429" s="659"/>
      <c r="F429" s="659"/>
      <c r="G429" s="659"/>
      <c r="H429" s="659"/>
      <c r="I429" s="659"/>
      <c r="J429" s="659"/>
      <c r="K429" s="659"/>
      <c r="L429" s="659"/>
      <c r="M429" s="659"/>
    </row>
    <row r="430" spans="3:13" ht="14.25" customHeight="1">
      <c r="C430" s="659"/>
      <c r="D430" s="659"/>
      <c r="E430" s="659"/>
      <c r="F430" s="659"/>
      <c r="G430" s="659"/>
      <c r="H430" s="659"/>
      <c r="I430" s="659"/>
      <c r="J430" s="659"/>
      <c r="K430" s="659"/>
      <c r="L430" s="659"/>
      <c r="M430" s="659"/>
    </row>
    <row r="431" spans="3:13" ht="14.25" customHeight="1">
      <c r="C431" s="659"/>
      <c r="D431" s="659"/>
      <c r="E431" s="659"/>
      <c r="F431" s="659"/>
      <c r="G431" s="659"/>
      <c r="H431" s="659"/>
      <c r="I431" s="659"/>
      <c r="J431" s="659"/>
      <c r="K431" s="659"/>
      <c r="L431" s="659"/>
      <c r="M431" s="659"/>
    </row>
    <row r="432" spans="3:13" ht="14.25" customHeight="1">
      <c r="C432" s="659"/>
      <c r="D432" s="659"/>
      <c r="E432" s="659"/>
      <c r="F432" s="659"/>
      <c r="G432" s="659"/>
      <c r="H432" s="659"/>
      <c r="I432" s="659"/>
      <c r="J432" s="659"/>
      <c r="K432" s="659"/>
      <c r="L432" s="659"/>
      <c r="M432" s="659"/>
    </row>
    <row r="433" spans="3:13" ht="14.25" customHeight="1">
      <c r="C433" s="659"/>
      <c r="D433" s="659"/>
      <c r="E433" s="659"/>
      <c r="F433" s="659"/>
      <c r="G433" s="659"/>
      <c r="H433" s="659"/>
      <c r="I433" s="659"/>
      <c r="J433" s="659"/>
      <c r="K433" s="659"/>
      <c r="L433" s="659"/>
      <c r="M433" s="659"/>
    </row>
    <row r="434" spans="3:13" ht="14.25" customHeight="1">
      <c r="C434" s="659"/>
      <c r="D434" s="659"/>
      <c r="E434" s="659"/>
      <c r="F434" s="659"/>
      <c r="G434" s="659"/>
      <c r="H434" s="659"/>
      <c r="I434" s="659"/>
      <c r="J434" s="659"/>
      <c r="K434" s="659"/>
      <c r="L434" s="659"/>
      <c r="M434" s="659"/>
    </row>
    <row r="435" spans="3:13" ht="14.25" customHeight="1">
      <c r="C435" s="659"/>
      <c r="D435" s="659"/>
      <c r="E435" s="659"/>
      <c r="F435" s="659"/>
      <c r="G435" s="659"/>
      <c r="H435" s="659"/>
      <c r="I435" s="659"/>
      <c r="J435" s="659"/>
      <c r="K435" s="659"/>
      <c r="L435" s="659"/>
      <c r="M435" s="659"/>
    </row>
    <row r="436" spans="3:13" ht="14.25" customHeight="1">
      <c r="C436" s="659"/>
      <c r="D436" s="659"/>
      <c r="E436" s="659"/>
      <c r="F436" s="659"/>
      <c r="G436" s="659"/>
      <c r="H436" s="659"/>
      <c r="I436" s="659"/>
      <c r="J436" s="659"/>
      <c r="K436" s="659"/>
      <c r="L436" s="659"/>
      <c r="M436" s="659"/>
    </row>
    <row r="437" spans="3:13" ht="14.25" customHeight="1">
      <c r="C437" s="659"/>
      <c r="D437" s="659"/>
      <c r="E437" s="659"/>
      <c r="F437" s="659"/>
      <c r="G437" s="659"/>
      <c r="H437" s="659"/>
      <c r="I437" s="659"/>
      <c r="J437" s="659"/>
      <c r="K437" s="659"/>
      <c r="L437" s="659"/>
      <c r="M437" s="659"/>
    </row>
    <row r="438" spans="3:13" ht="14.25" customHeight="1">
      <c r="C438" s="659"/>
      <c r="D438" s="659"/>
      <c r="E438" s="659"/>
      <c r="F438" s="659"/>
      <c r="G438" s="659"/>
      <c r="H438" s="659"/>
      <c r="I438" s="659"/>
      <c r="J438" s="659"/>
      <c r="K438" s="659"/>
      <c r="L438" s="659"/>
      <c r="M438" s="659"/>
    </row>
    <row r="439" spans="3:13" ht="14.25" customHeight="1">
      <c r="C439" s="659"/>
      <c r="D439" s="659"/>
      <c r="E439" s="659"/>
      <c r="F439" s="659"/>
      <c r="G439" s="659"/>
      <c r="H439" s="659"/>
      <c r="I439" s="659"/>
      <c r="J439" s="659"/>
      <c r="K439" s="659"/>
      <c r="L439" s="659"/>
      <c r="M439" s="659"/>
    </row>
    <row r="440" spans="3:13" ht="14.25" customHeight="1">
      <c r="C440" s="659"/>
      <c r="D440" s="659"/>
      <c r="E440" s="659"/>
      <c r="F440" s="659"/>
      <c r="G440" s="659"/>
      <c r="H440" s="659"/>
      <c r="I440" s="659"/>
      <c r="J440" s="659"/>
      <c r="K440" s="659"/>
      <c r="L440" s="659"/>
      <c r="M440" s="659"/>
    </row>
    <row r="441" spans="3:13" ht="14.25" customHeight="1">
      <c r="C441" s="659"/>
      <c r="D441" s="659"/>
      <c r="E441" s="659"/>
      <c r="F441" s="659"/>
      <c r="G441" s="659"/>
      <c r="H441" s="659"/>
      <c r="I441" s="659"/>
      <c r="J441" s="659"/>
      <c r="K441" s="659"/>
      <c r="L441" s="659"/>
      <c r="M441" s="659"/>
    </row>
    <row r="442" spans="3:13" ht="14.25" customHeight="1">
      <c r="C442" s="659"/>
      <c r="D442" s="659"/>
      <c r="E442" s="659"/>
      <c r="F442" s="659"/>
      <c r="G442" s="659"/>
      <c r="H442" s="659"/>
      <c r="I442" s="659"/>
      <c r="J442" s="659"/>
      <c r="K442" s="659"/>
      <c r="L442" s="659"/>
      <c r="M442" s="659"/>
    </row>
    <row r="443" spans="3:13" ht="14.25" customHeight="1">
      <c r="C443" s="659"/>
      <c r="D443" s="659"/>
      <c r="E443" s="659"/>
      <c r="F443" s="659"/>
      <c r="G443" s="659"/>
      <c r="H443" s="659"/>
      <c r="I443" s="659"/>
      <c r="J443" s="659"/>
      <c r="K443" s="659"/>
      <c r="L443" s="659"/>
      <c r="M443" s="659"/>
    </row>
    <row r="444" spans="3:13" ht="14.25" customHeight="1">
      <c r="C444" s="659"/>
      <c r="D444" s="659"/>
      <c r="E444" s="659"/>
      <c r="F444" s="659"/>
      <c r="G444" s="659"/>
      <c r="H444" s="659"/>
      <c r="I444" s="659"/>
      <c r="J444" s="659"/>
      <c r="K444" s="659"/>
      <c r="L444" s="659"/>
      <c r="M444" s="659"/>
    </row>
    <row r="445" spans="3:13" ht="14.25" customHeight="1">
      <c r="C445" s="659"/>
      <c r="D445" s="659"/>
      <c r="E445" s="659"/>
      <c r="F445" s="659"/>
      <c r="G445" s="659"/>
      <c r="H445" s="659"/>
      <c r="I445" s="659"/>
      <c r="J445" s="659"/>
      <c r="K445" s="659"/>
      <c r="L445" s="659"/>
      <c r="M445" s="659"/>
    </row>
    <row r="446" spans="3:13" ht="14.25" customHeight="1">
      <c r="C446" s="659"/>
      <c r="D446" s="659"/>
      <c r="E446" s="659"/>
      <c r="F446" s="659"/>
      <c r="G446" s="659"/>
      <c r="H446" s="659"/>
      <c r="I446" s="659"/>
      <c r="J446" s="659"/>
      <c r="K446" s="659"/>
      <c r="L446" s="659"/>
      <c r="M446" s="659"/>
    </row>
    <row r="447" spans="3:13" ht="14.25" customHeight="1">
      <c r="C447" s="659"/>
      <c r="D447" s="659"/>
      <c r="E447" s="659"/>
      <c r="F447" s="659"/>
      <c r="G447" s="659"/>
      <c r="H447" s="659"/>
      <c r="I447" s="659"/>
      <c r="J447" s="659"/>
      <c r="K447" s="659"/>
      <c r="L447" s="659"/>
      <c r="M447" s="659"/>
    </row>
    <row r="448" spans="3:13" ht="14.25" customHeight="1">
      <c r="C448" s="659"/>
      <c r="D448" s="659"/>
      <c r="E448" s="659"/>
      <c r="F448" s="659"/>
      <c r="G448" s="659"/>
      <c r="H448" s="659"/>
      <c r="I448" s="659"/>
      <c r="J448" s="659"/>
      <c r="K448" s="659"/>
      <c r="L448" s="659"/>
      <c r="M448" s="659"/>
    </row>
    <row r="449" spans="3:13" ht="14.25" customHeight="1">
      <c r="C449" s="659"/>
      <c r="D449" s="659"/>
      <c r="E449" s="659"/>
      <c r="F449" s="659"/>
      <c r="G449" s="659"/>
      <c r="H449" s="659"/>
      <c r="I449" s="659"/>
      <c r="J449" s="659"/>
      <c r="K449" s="659"/>
      <c r="L449" s="659"/>
      <c r="M449" s="659"/>
    </row>
    <row r="450" spans="3:13" ht="14.25" customHeight="1">
      <c r="C450" s="659"/>
      <c r="D450" s="659"/>
      <c r="E450" s="659"/>
      <c r="F450" s="659"/>
      <c r="G450" s="659"/>
      <c r="H450" s="659"/>
      <c r="I450" s="659"/>
      <c r="J450" s="659"/>
      <c r="K450" s="659"/>
      <c r="L450" s="659"/>
      <c r="M450" s="659"/>
    </row>
    <row r="451" spans="3:13" ht="14.25" customHeight="1">
      <c r="C451" s="659"/>
      <c r="D451" s="659"/>
      <c r="E451" s="659"/>
      <c r="F451" s="659"/>
      <c r="G451" s="659"/>
      <c r="H451" s="659"/>
      <c r="I451" s="659"/>
      <c r="J451" s="659"/>
      <c r="K451" s="659"/>
      <c r="L451" s="659"/>
      <c r="M451" s="659"/>
    </row>
    <row r="452" spans="3:13" ht="14.25" customHeight="1">
      <c r="C452" s="659"/>
      <c r="D452" s="659"/>
      <c r="E452" s="659"/>
      <c r="F452" s="659"/>
      <c r="G452" s="659"/>
      <c r="H452" s="659"/>
      <c r="I452" s="659"/>
      <c r="J452" s="659"/>
      <c r="K452" s="659"/>
      <c r="L452" s="659"/>
      <c r="M452" s="659"/>
    </row>
    <row r="453" spans="3:13" ht="14.25" customHeight="1">
      <c r="C453" s="659"/>
      <c r="D453" s="659"/>
      <c r="E453" s="659"/>
      <c r="F453" s="659"/>
      <c r="G453" s="659"/>
      <c r="H453" s="659"/>
      <c r="I453" s="659"/>
      <c r="J453" s="659"/>
      <c r="K453" s="659"/>
      <c r="L453" s="659"/>
      <c r="M453" s="659"/>
    </row>
    <row r="454" spans="3:13" ht="14.25" customHeight="1">
      <c r="C454" s="659"/>
      <c r="D454" s="659"/>
      <c r="E454" s="659"/>
      <c r="F454" s="659"/>
      <c r="G454" s="659"/>
      <c r="H454" s="659"/>
      <c r="I454" s="659"/>
      <c r="J454" s="659"/>
      <c r="K454" s="659"/>
      <c r="L454" s="659"/>
      <c r="M454" s="659"/>
    </row>
    <row r="455" spans="3:13" ht="14.25" customHeight="1">
      <c r="C455" s="659"/>
      <c r="D455" s="659"/>
      <c r="E455" s="659"/>
      <c r="F455" s="659"/>
      <c r="G455" s="659"/>
      <c r="H455" s="659"/>
      <c r="I455" s="659"/>
      <c r="J455" s="659"/>
      <c r="K455" s="659"/>
      <c r="L455" s="659"/>
      <c r="M455" s="659"/>
    </row>
    <row r="456" spans="3:13" ht="14.25" customHeight="1">
      <c r="C456" s="659"/>
      <c r="D456" s="659"/>
      <c r="E456" s="659"/>
      <c r="F456" s="659"/>
      <c r="G456" s="659"/>
      <c r="H456" s="659"/>
      <c r="I456" s="659"/>
      <c r="J456" s="659"/>
      <c r="K456" s="659"/>
      <c r="L456" s="659"/>
      <c r="M456" s="659"/>
    </row>
    <row r="457" spans="3:13" ht="14.25" customHeight="1">
      <c r="C457" s="659"/>
      <c r="D457" s="659"/>
      <c r="E457" s="659"/>
      <c r="F457" s="659"/>
      <c r="G457" s="659"/>
      <c r="H457" s="659"/>
      <c r="I457" s="659"/>
      <c r="J457" s="659"/>
      <c r="K457" s="659"/>
      <c r="L457" s="659"/>
      <c r="M457" s="659"/>
    </row>
    <row r="458" spans="3:13" ht="14.25" customHeight="1">
      <c r="C458" s="659"/>
      <c r="D458" s="659"/>
      <c r="E458" s="659"/>
      <c r="F458" s="659"/>
      <c r="G458" s="659"/>
      <c r="H458" s="659"/>
      <c r="I458" s="659"/>
      <c r="J458" s="659"/>
      <c r="K458" s="659"/>
      <c r="L458" s="659"/>
      <c r="M458" s="659"/>
    </row>
    <row r="459" spans="3:13" ht="14.25" customHeight="1">
      <c r="C459" s="659"/>
      <c r="D459" s="659"/>
      <c r="E459" s="659"/>
      <c r="F459" s="659"/>
      <c r="G459" s="659"/>
      <c r="H459" s="659"/>
      <c r="I459" s="659"/>
      <c r="J459" s="659"/>
      <c r="K459" s="659"/>
      <c r="L459" s="659"/>
      <c r="M459" s="659"/>
    </row>
    <row r="460" spans="3:13" ht="14.25" customHeight="1">
      <c r="C460" s="659"/>
      <c r="D460" s="659"/>
      <c r="E460" s="659"/>
      <c r="F460" s="659"/>
      <c r="G460" s="659"/>
      <c r="H460" s="659"/>
      <c r="I460" s="659"/>
      <c r="J460" s="659"/>
      <c r="K460" s="659"/>
      <c r="L460" s="659"/>
      <c r="M460" s="659"/>
    </row>
    <row r="461" spans="3:13" ht="14.25" customHeight="1">
      <c r="C461" s="659"/>
      <c r="D461" s="659"/>
      <c r="E461" s="659"/>
      <c r="F461" s="659"/>
      <c r="G461" s="659"/>
      <c r="H461" s="659"/>
      <c r="I461" s="659"/>
      <c r="J461" s="659"/>
      <c r="K461" s="659"/>
      <c r="L461" s="659"/>
      <c r="M461" s="659"/>
    </row>
    <row r="462" spans="3:13" ht="14.25" customHeight="1">
      <c r="C462" s="659"/>
      <c r="D462" s="659"/>
      <c r="E462" s="659"/>
      <c r="F462" s="659"/>
      <c r="G462" s="659"/>
      <c r="H462" s="659"/>
      <c r="I462" s="659"/>
      <c r="J462" s="659"/>
      <c r="K462" s="659"/>
      <c r="L462" s="659"/>
      <c r="M462" s="659"/>
    </row>
    <row r="463" spans="3:13" ht="14.25" customHeight="1">
      <c r="C463" s="659"/>
      <c r="D463" s="659"/>
      <c r="E463" s="659"/>
      <c r="F463" s="659"/>
      <c r="G463" s="659"/>
      <c r="H463" s="659"/>
      <c r="I463" s="659"/>
      <c r="J463" s="659"/>
      <c r="K463" s="659"/>
      <c r="L463" s="659"/>
      <c r="M463" s="659"/>
    </row>
    <row r="464" spans="3:13" ht="14.25" customHeight="1">
      <c r="C464" s="659"/>
      <c r="D464" s="659"/>
      <c r="E464" s="659"/>
      <c r="F464" s="659"/>
      <c r="G464" s="659"/>
      <c r="H464" s="659"/>
      <c r="I464" s="659"/>
      <c r="J464" s="659"/>
      <c r="K464" s="659"/>
      <c r="L464" s="659"/>
      <c r="M464" s="659"/>
    </row>
    <row r="465" spans="3:13" ht="14.25" customHeight="1">
      <c r="C465" s="659"/>
      <c r="D465" s="659"/>
      <c r="E465" s="659"/>
      <c r="F465" s="659"/>
      <c r="G465" s="659"/>
      <c r="H465" s="659"/>
      <c r="I465" s="659"/>
      <c r="J465" s="659"/>
      <c r="K465" s="659"/>
      <c r="L465" s="659"/>
      <c r="M465" s="659"/>
    </row>
    <row r="466" spans="3:13" ht="14.25" customHeight="1">
      <c r="C466" s="659"/>
      <c r="D466" s="659"/>
      <c r="E466" s="659"/>
      <c r="F466" s="659"/>
      <c r="G466" s="659"/>
      <c r="H466" s="659"/>
      <c r="I466" s="659"/>
      <c r="J466" s="659"/>
      <c r="K466" s="659"/>
      <c r="L466" s="659"/>
      <c r="M466" s="659"/>
    </row>
    <row r="467" spans="3:13" ht="14.25" customHeight="1">
      <c r="C467" s="659"/>
      <c r="D467" s="659"/>
      <c r="E467" s="659"/>
      <c r="F467" s="659"/>
      <c r="G467" s="659"/>
      <c r="H467" s="659"/>
      <c r="I467" s="659"/>
      <c r="J467" s="659"/>
      <c r="K467" s="659"/>
      <c r="L467" s="659"/>
      <c r="M467" s="659"/>
    </row>
    <row r="468" spans="3:13" ht="14.25" customHeight="1">
      <c r="C468" s="659"/>
      <c r="D468" s="659"/>
      <c r="E468" s="659"/>
      <c r="F468" s="659"/>
      <c r="G468" s="659"/>
      <c r="H468" s="659"/>
      <c r="I468" s="659"/>
      <c r="J468" s="659"/>
      <c r="K468" s="659"/>
      <c r="L468" s="659"/>
      <c r="M468" s="659"/>
    </row>
    <row r="469" spans="3:13" ht="14.25" customHeight="1">
      <c r="C469" s="659"/>
      <c r="D469" s="659"/>
      <c r="E469" s="659"/>
      <c r="F469" s="659"/>
      <c r="G469" s="659"/>
      <c r="H469" s="659"/>
      <c r="I469" s="659"/>
      <c r="J469" s="659"/>
      <c r="K469" s="659"/>
      <c r="L469" s="659"/>
      <c r="M469" s="659"/>
    </row>
    <row r="470" spans="3:13" ht="14.25" customHeight="1">
      <c r="C470" s="659"/>
      <c r="D470" s="659"/>
      <c r="E470" s="659"/>
      <c r="F470" s="659"/>
      <c r="G470" s="659"/>
      <c r="H470" s="659"/>
      <c r="I470" s="659"/>
      <c r="J470" s="659"/>
      <c r="K470" s="659"/>
      <c r="L470" s="659"/>
      <c r="M470" s="659"/>
    </row>
    <row r="471" spans="3:13" ht="14.25" customHeight="1">
      <c r="C471" s="659"/>
      <c r="D471" s="659"/>
      <c r="E471" s="659"/>
      <c r="F471" s="659"/>
      <c r="G471" s="659"/>
      <c r="H471" s="659"/>
      <c r="I471" s="659"/>
      <c r="J471" s="659"/>
      <c r="K471" s="659"/>
      <c r="L471" s="659"/>
      <c r="M471" s="659"/>
    </row>
    <row r="472" spans="3:13" ht="14.25" customHeight="1">
      <c r="C472" s="659"/>
      <c r="D472" s="659"/>
      <c r="E472" s="659"/>
      <c r="F472" s="659"/>
      <c r="G472" s="659"/>
      <c r="H472" s="659"/>
      <c r="I472" s="659"/>
      <c r="J472" s="659"/>
      <c r="K472" s="659"/>
      <c r="L472" s="659"/>
      <c r="M472" s="659"/>
    </row>
    <row r="473" spans="3:13" ht="14.25" customHeight="1">
      <c r="C473" s="659"/>
      <c r="D473" s="659"/>
      <c r="E473" s="659"/>
      <c r="F473" s="659"/>
      <c r="G473" s="659"/>
      <c r="H473" s="659"/>
      <c r="I473" s="659"/>
      <c r="J473" s="659"/>
      <c r="K473" s="659"/>
      <c r="L473" s="659"/>
      <c r="M473" s="659"/>
    </row>
    <row r="474" spans="3:13" ht="14.25" customHeight="1">
      <c r="C474" s="659"/>
      <c r="D474" s="659"/>
      <c r="E474" s="659"/>
      <c r="F474" s="659"/>
      <c r="G474" s="659"/>
      <c r="H474" s="659"/>
      <c r="I474" s="659"/>
      <c r="J474" s="659"/>
      <c r="K474" s="659"/>
      <c r="L474" s="659"/>
      <c r="M474" s="659"/>
    </row>
    <row r="475" spans="3:13" ht="14.25" customHeight="1">
      <c r="C475" s="659"/>
      <c r="D475" s="659"/>
      <c r="E475" s="659"/>
      <c r="F475" s="659"/>
      <c r="G475" s="659"/>
      <c r="H475" s="659"/>
      <c r="I475" s="659"/>
      <c r="J475" s="659"/>
      <c r="K475" s="659"/>
      <c r="L475" s="659"/>
      <c r="M475" s="659"/>
    </row>
    <row r="476" spans="3:13" ht="14.25" customHeight="1">
      <c r="C476" s="659"/>
      <c r="D476" s="659"/>
      <c r="E476" s="659"/>
      <c r="F476" s="659"/>
      <c r="G476" s="659"/>
      <c r="H476" s="659"/>
      <c r="I476" s="659"/>
      <c r="J476" s="659"/>
      <c r="K476" s="659"/>
      <c r="L476" s="659"/>
      <c r="M476" s="659"/>
    </row>
    <row r="477" spans="3:13" ht="14.25" customHeight="1">
      <c r="C477" s="659"/>
      <c r="D477" s="659"/>
      <c r="E477" s="659"/>
      <c r="F477" s="659"/>
      <c r="G477" s="659"/>
      <c r="H477" s="659"/>
      <c r="I477" s="659"/>
      <c r="J477" s="659"/>
      <c r="K477" s="659"/>
      <c r="L477" s="659"/>
      <c r="M477" s="659"/>
    </row>
    <row r="478" spans="3:13" ht="14.25" customHeight="1">
      <c r="C478" s="659"/>
      <c r="D478" s="659"/>
      <c r="E478" s="659"/>
      <c r="F478" s="659"/>
      <c r="G478" s="659"/>
      <c r="H478" s="659"/>
      <c r="I478" s="659"/>
      <c r="J478" s="659"/>
      <c r="K478" s="659"/>
      <c r="L478" s="659"/>
      <c r="M478" s="659"/>
    </row>
    <row r="479" spans="3:13" ht="14.25" customHeight="1">
      <c r="C479" s="659"/>
      <c r="D479" s="659"/>
      <c r="E479" s="659"/>
      <c r="F479" s="659"/>
      <c r="G479" s="659"/>
      <c r="H479" s="659"/>
      <c r="I479" s="659"/>
      <c r="J479" s="659"/>
      <c r="K479" s="659"/>
      <c r="L479" s="659"/>
      <c r="M479" s="659"/>
    </row>
    <row r="480" spans="3:13" ht="14.25" customHeight="1">
      <c r="C480" s="659"/>
      <c r="D480" s="659"/>
      <c r="E480" s="659"/>
      <c r="F480" s="659"/>
      <c r="G480" s="659"/>
      <c r="H480" s="659"/>
      <c r="I480" s="659"/>
      <c r="J480" s="659"/>
      <c r="K480" s="659"/>
      <c r="L480" s="659"/>
      <c r="M480" s="659"/>
    </row>
    <row r="481" spans="3:13" ht="14.25" customHeight="1">
      <c r="C481" s="659"/>
      <c r="D481" s="659"/>
      <c r="E481" s="659"/>
      <c r="F481" s="659"/>
      <c r="G481" s="659"/>
      <c r="H481" s="659"/>
      <c r="I481" s="659"/>
      <c r="J481" s="659"/>
      <c r="K481" s="659"/>
      <c r="L481" s="659"/>
      <c r="M481" s="659"/>
    </row>
    <row r="482" spans="3:13" ht="14.25" customHeight="1">
      <c r="C482" s="659"/>
      <c r="D482" s="659"/>
      <c r="E482" s="659"/>
      <c r="F482" s="659"/>
      <c r="G482" s="659"/>
      <c r="H482" s="659"/>
      <c r="I482" s="659"/>
      <c r="J482" s="659"/>
      <c r="K482" s="659"/>
      <c r="L482" s="659"/>
      <c r="M482" s="659"/>
    </row>
    <row r="483" spans="3:13" ht="14.25" customHeight="1">
      <c r="C483" s="659"/>
      <c r="D483" s="659"/>
      <c r="E483" s="659"/>
      <c r="F483" s="659"/>
      <c r="G483" s="659"/>
      <c r="H483" s="659"/>
      <c r="I483" s="659"/>
      <c r="J483" s="659"/>
      <c r="K483" s="659"/>
      <c r="L483" s="659"/>
      <c r="M483" s="659"/>
    </row>
    <row r="484" spans="3:13" ht="14.25" customHeight="1">
      <c r="C484" s="659"/>
      <c r="D484" s="659"/>
      <c r="E484" s="659"/>
      <c r="F484" s="659"/>
      <c r="G484" s="659"/>
      <c r="H484" s="659"/>
      <c r="I484" s="659"/>
      <c r="J484" s="659"/>
      <c r="K484" s="659"/>
      <c r="L484" s="659"/>
      <c r="M484" s="659"/>
    </row>
    <row r="485" spans="3:13" ht="14.25" customHeight="1">
      <c r="C485" s="659"/>
      <c r="D485" s="659"/>
      <c r="E485" s="659"/>
      <c r="F485" s="659"/>
      <c r="G485" s="659"/>
      <c r="H485" s="659"/>
      <c r="I485" s="659"/>
      <c r="J485" s="659"/>
      <c r="K485" s="659"/>
      <c r="L485" s="659"/>
      <c r="M485" s="659"/>
    </row>
    <row r="486" spans="3:13" ht="14.25" customHeight="1">
      <c r="C486" s="659"/>
      <c r="D486" s="659"/>
      <c r="E486" s="659"/>
      <c r="F486" s="659"/>
      <c r="G486" s="659"/>
      <c r="H486" s="659"/>
      <c r="I486" s="659"/>
      <c r="J486" s="659"/>
      <c r="K486" s="659"/>
      <c r="L486" s="659"/>
      <c r="M486" s="659"/>
    </row>
    <row r="487" spans="3:13" ht="14.25" customHeight="1">
      <c r="C487" s="659"/>
      <c r="D487" s="659"/>
      <c r="E487" s="659"/>
      <c r="F487" s="659"/>
      <c r="G487" s="659"/>
      <c r="H487" s="659"/>
      <c r="I487" s="659"/>
      <c r="J487" s="659"/>
      <c r="K487" s="659"/>
      <c r="L487" s="659"/>
      <c r="M487" s="659"/>
    </row>
    <row r="488" spans="3:13" ht="14.25" customHeight="1">
      <c r="C488" s="659"/>
      <c r="D488" s="659"/>
      <c r="E488" s="659"/>
      <c r="F488" s="659"/>
      <c r="G488" s="659"/>
      <c r="H488" s="659"/>
      <c r="I488" s="659"/>
      <c r="J488" s="659"/>
      <c r="K488" s="659"/>
      <c r="L488" s="659"/>
      <c r="M488" s="659"/>
    </row>
    <row r="489" spans="3:13" ht="14.25" customHeight="1">
      <c r="C489" s="659"/>
      <c r="D489" s="659"/>
      <c r="E489" s="659"/>
      <c r="F489" s="659"/>
      <c r="G489" s="659"/>
      <c r="H489" s="659"/>
      <c r="I489" s="659"/>
      <c r="J489" s="659"/>
      <c r="K489" s="659"/>
      <c r="L489" s="659"/>
      <c r="M489" s="659"/>
    </row>
    <row r="490" spans="3:13" ht="14.25" customHeight="1">
      <c r="C490" s="659"/>
      <c r="D490" s="659"/>
      <c r="E490" s="659"/>
      <c r="F490" s="659"/>
      <c r="G490" s="659"/>
      <c r="H490" s="659"/>
      <c r="I490" s="659"/>
      <c r="J490" s="659"/>
      <c r="K490" s="659"/>
      <c r="L490" s="659"/>
      <c r="M490" s="659"/>
    </row>
    <row r="491" spans="3:13" ht="14.25" customHeight="1">
      <c r="C491" s="659"/>
      <c r="D491" s="659"/>
      <c r="E491" s="659"/>
      <c r="F491" s="659"/>
      <c r="G491" s="659"/>
      <c r="H491" s="659"/>
      <c r="I491" s="659"/>
      <c r="J491" s="659"/>
      <c r="K491" s="659"/>
      <c r="L491" s="659"/>
      <c r="M491" s="659"/>
    </row>
    <row r="492" spans="3:13" ht="14.25" customHeight="1">
      <c r="C492" s="659"/>
      <c r="D492" s="659"/>
      <c r="E492" s="659"/>
      <c r="F492" s="659"/>
      <c r="G492" s="659"/>
      <c r="H492" s="659"/>
      <c r="I492" s="659"/>
      <c r="J492" s="659"/>
      <c r="K492" s="659"/>
      <c r="L492" s="659"/>
      <c r="M492" s="659"/>
    </row>
    <row r="493" spans="3:13" ht="14.25" customHeight="1">
      <c r="C493" s="659"/>
      <c r="D493" s="659"/>
      <c r="E493" s="659"/>
      <c r="F493" s="659"/>
      <c r="G493" s="659"/>
      <c r="H493" s="659"/>
      <c r="I493" s="659"/>
      <c r="J493" s="659"/>
      <c r="K493" s="659"/>
      <c r="L493" s="659"/>
      <c r="M493" s="659"/>
    </row>
    <row r="494" spans="3:13" ht="14.25" customHeight="1">
      <c r="C494" s="659"/>
      <c r="D494" s="659"/>
      <c r="E494" s="659"/>
      <c r="F494" s="659"/>
      <c r="G494" s="659"/>
      <c r="H494" s="659"/>
      <c r="I494" s="659"/>
      <c r="J494" s="659"/>
      <c r="K494" s="659"/>
      <c r="L494" s="659"/>
      <c r="M494" s="659"/>
    </row>
    <row r="495" spans="3:13" ht="14.25" customHeight="1">
      <c r="C495" s="659"/>
      <c r="D495" s="659"/>
      <c r="E495" s="659"/>
      <c r="F495" s="659"/>
      <c r="G495" s="659"/>
      <c r="H495" s="659"/>
      <c r="I495" s="659"/>
      <c r="J495" s="659"/>
      <c r="K495" s="659"/>
      <c r="L495" s="659"/>
      <c r="M495" s="659"/>
    </row>
    <row r="496" spans="3:13" ht="14.25" customHeight="1">
      <c r="C496" s="659"/>
      <c r="D496" s="659"/>
      <c r="E496" s="659"/>
      <c r="F496" s="659"/>
      <c r="G496" s="659"/>
      <c r="H496" s="659"/>
      <c r="I496" s="659"/>
      <c r="J496" s="659"/>
      <c r="K496" s="659"/>
      <c r="L496" s="659"/>
      <c r="M496" s="659"/>
    </row>
    <row r="497" spans="3:13" ht="14.25" customHeight="1">
      <c r="C497" s="659"/>
      <c r="D497" s="659"/>
      <c r="E497" s="659"/>
      <c r="F497" s="659"/>
      <c r="G497" s="659"/>
      <c r="H497" s="659"/>
      <c r="I497" s="659"/>
      <c r="J497" s="659"/>
      <c r="K497" s="659"/>
      <c r="L497" s="659"/>
      <c r="M497" s="659"/>
    </row>
    <row r="498" spans="3:13" ht="14.25" customHeight="1">
      <c r="C498" s="659"/>
      <c r="D498" s="659"/>
      <c r="E498" s="659"/>
      <c r="F498" s="659"/>
      <c r="G498" s="659"/>
      <c r="H498" s="659"/>
      <c r="I498" s="659"/>
      <c r="J498" s="659"/>
      <c r="K498" s="659"/>
      <c r="L498" s="659"/>
      <c r="M498" s="659"/>
    </row>
    <row r="499" spans="3:13" ht="14.25" customHeight="1">
      <c r="C499" s="659"/>
      <c r="D499" s="659"/>
      <c r="E499" s="659"/>
      <c r="F499" s="659"/>
      <c r="G499" s="659"/>
      <c r="H499" s="659"/>
      <c r="I499" s="659"/>
      <c r="J499" s="659"/>
      <c r="K499" s="659"/>
      <c r="L499" s="659"/>
      <c r="M499" s="659"/>
    </row>
    <row r="500" spans="3:13" ht="14.25" customHeight="1">
      <c r="C500" s="659"/>
      <c r="D500" s="659"/>
      <c r="E500" s="659"/>
      <c r="F500" s="659"/>
      <c r="G500" s="659"/>
      <c r="H500" s="659"/>
      <c r="I500" s="659"/>
      <c r="J500" s="659"/>
      <c r="K500" s="659"/>
      <c r="L500" s="659"/>
      <c r="M500" s="659"/>
    </row>
    <row r="501" spans="3:13" ht="14.25" customHeight="1">
      <c r="C501" s="659"/>
      <c r="D501" s="659"/>
      <c r="E501" s="659"/>
      <c r="F501" s="659"/>
      <c r="G501" s="659"/>
      <c r="H501" s="659"/>
      <c r="I501" s="659"/>
      <c r="J501" s="659"/>
      <c r="K501" s="659"/>
      <c r="L501" s="659"/>
      <c r="M501" s="659"/>
    </row>
    <row r="502" spans="3:13" ht="14.25" customHeight="1">
      <c r="C502" s="659"/>
      <c r="D502" s="659"/>
      <c r="E502" s="659"/>
      <c r="F502" s="659"/>
      <c r="G502" s="659"/>
      <c r="H502" s="659"/>
      <c r="I502" s="659"/>
      <c r="J502" s="659"/>
      <c r="K502" s="659"/>
      <c r="L502" s="659"/>
      <c r="M502" s="659"/>
    </row>
    <row r="503" spans="3:13" ht="14.25" customHeight="1">
      <c r="C503" s="659"/>
      <c r="D503" s="659"/>
      <c r="E503" s="659"/>
      <c r="F503" s="659"/>
      <c r="G503" s="659"/>
      <c r="H503" s="659"/>
      <c r="I503" s="659"/>
      <c r="J503" s="659"/>
      <c r="K503" s="659"/>
      <c r="L503" s="659"/>
      <c r="M503" s="659"/>
    </row>
    <row r="504" spans="3:13" ht="14.25" customHeight="1">
      <c r="C504" s="659"/>
      <c r="D504" s="659"/>
      <c r="E504" s="659"/>
      <c r="F504" s="659"/>
      <c r="G504" s="659"/>
      <c r="H504" s="659"/>
      <c r="I504" s="659"/>
      <c r="J504" s="659"/>
      <c r="K504" s="659"/>
      <c r="L504" s="659"/>
      <c r="M504" s="659"/>
    </row>
    <row r="505" spans="3:13" ht="14.25" customHeight="1">
      <c r="C505" s="659"/>
      <c r="D505" s="659"/>
      <c r="E505" s="659"/>
      <c r="F505" s="659"/>
      <c r="G505" s="659"/>
      <c r="H505" s="659"/>
      <c r="I505" s="659"/>
      <c r="J505" s="659"/>
      <c r="K505" s="659"/>
      <c r="L505" s="659"/>
      <c r="M505" s="659"/>
    </row>
    <row r="506" spans="3:13" ht="14.25" customHeight="1">
      <c r="C506" s="659"/>
      <c r="D506" s="659"/>
      <c r="E506" s="659"/>
      <c r="F506" s="659"/>
      <c r="G506" s="659"/>
      <c r="H506" s="659"/>
      <c r="I506" s="659"/>
      <c r="J506" s="659"/>
      <c r="K506" s="659"/>
      <c r="L506" s="659"/>
      <c r="M506" s="659"/>
    </row>
    <row r="507" spans="3:13" ht="14.25" customHeight="1">
      <c r="C507" s="659"/>
      <c r="D507" s="659"/>
      <c r="E507" s="659"/>
      <c r="F507" s="659"/>
      <c r="G507" s="659"/>
      <c r="H507" s="659"/>
      <c r="I507" s="659"/>
      <c r="J507" s="659"/>
      <c r="K507" s="659"/>
      <c r="L507" s="659"/>
      <c r="M507" s="659"/>
    </row>
    <row r="508" spans="3:13" ht="14.25" customHeight="1">
      <c r="C508" s="659"/>
      <c r="D508" s="659"/>
      <c r="E508" s="659"/>
      <c r="F508" s="659"/>
      <c r="G508" s="659"/>
      <c r="H508" s="659"/>
      <c r="I508" s="659"/>
      <c r="J508" s="659"/>
      <c r="K508" s="659"/>
      <c r="L508" s="659"/>
      <c r="M508" s="659"/>
    </row>
    <row r="509" spans="3:13" ht="14.25" customHeight="1">
      <c r="C509" s="659"/>
      <c r="D509" s="659"/>
      <c r="E509" s="659"/>
      <c r="F509" s="659"/>
      <c r="G509" s="659"/>
      <c r="H509" s="659"/>
      <c r="I509" s="659"/>
      <c r="J509" s="659"/>
      <c r="K509" s="659"/>
      <c r="L509" s="659"/>
      <c r="M509" s="659"/>
    </row>
    <row r="510" spans="3:13" ht="14.25" customHeight="1">
      <c r="C510" s="659"/>
      <c r="D510" s="659"/>
      <c r="E510" s="659"/>
      <c r="F510" s="659"/>
      <c r="G510" s="659"/>
      <c r="H510" s="659"/>
      <c r="I510" s="659"/>
      <c r="J510" s="659"/>
      <c r="K510" s="659"/>
      <c r="L510" s="659"/>
      <c r="M510" s="659"/>
    </row>
    <row r="511" spans="3:13" ht="14.25" customHeight="1">
      <c r="C511" s="659"/>
      <c r="D511" s="659"/>
      <c r="E511" s="659"/>
      <c r="F511" s="659"/>
      <c r="G511" s="659"/>
      <c r="H511" s="659"/>
      <c r="I511" s="659"/>
      <c r="J511" s="659"/>
      <c r="K511" s="659"/>
      <c r="L511" s="659"/>
      <c r="M511" s="659"/>
    </row>
    <row r="512" spans="3:13" ht="14.25" customHeight="1">
      <c r="C512" s="659"/>
      <c r="D512" s="659"/>
      <c r="E512" s="659"/>
      <c r="F512" s="659"/>
      <c r="G512" s="659"/>
      <c r="H512" s="659"/>
      <c r="I512" s="659"/>
      <c r="J512" s="659"/>
      <c r="K512" s="659"/>
      <c r="L512" s="659"/>
      <c r="M512" s="659"/>
    </row>
    <row r="513" spans="3:13" ht="14.25" customHeight="1">
      <c r="C513" s="659"/>
      <c r="D513" s="659"/>
      <c r="E513" s="659"/>
      <c r="F513" s="659"/>
      <c r="G513" s="659"/>
      <c r="H513" s="659"/>
      <c r="I513" s="659"/>
      <c r="J513" s="659"/>
      <c r="K513" s="659"/>
      <c r="L513" s="659"/>
      <c r="M513" s="659"/>
    </row>
    <row r="514" spans="3:13" ht="14.25" customHeight="1">
      <c r="C514" s="659"/>
      <c r="D514" s="659"/>
      <c r="E514" s="659"/>
      <c r="F514" s="659"/>
      <c r="G514" s="659"/>
      <c r="H514" s="659"/>
      <c r="I514" s="659"/>
      <c r="J514" s="659"/>
      <c r="K514" s="659"/>
      <c r="L514" s="659"/>
      <c r="M514" s="659"/>
    </row>
    <row r="515" spans="3:13" ht="14.25" customHeight="1">
      <c r="C515" s="659"/>
      <c r="D515" s="659"/>
      <c r="E515" s="659"/>
      <c r="F515" s="659"/>
      <c r="G515" s="659"/>
      <c r="H515" s="659"/>
      <c r="I515" s="659"/>
      <c r="J515" s="659"/>
      <c r="K515" s="659"/>
      <c r="L515" s="659"/>
      <c r="M515" s="659"/>
    </row>
    <row r="516" spans="3:13" ht="14.25" customHeight="1">
      <c r="C516" s="659"/>
      <c r="D516" s="659"/>
      <c r="E516" s="659"/>
      <c r="F516" s="659"/>
      <c r="G516" s="659"/>
      <c r="H516" s="659"/>
      <c r="I516" s="659"/>
      <c r="J516" s="659"/>
      <c r="K516" s="659"/>
      <c r="L516" s="659"/>
      <c r="M516" s="659"/>
    </row>
    <row r="517" spans="3:13" ht="14.25" customHeight="1">
      <c r="C517" s="659"/>
      <c r="D517" s="659"/>
      <c r="E517" s="659"/>
      <c r="F517" s="659"/>
      <c r="G517" s="659"/>
      <c r="H517" s="659"/>
      <c r="I517" s="659"/>
      <c r="J517" s="659"/>
      <c r="K517" s="659"/>
      <c r="L517" s="659"/>
      <c r="M517" s="659"/>
    </row>
    <row r="518" spans="3:13" ht="14.25" customHeight="1">
      <c r="C518" s="659"/>
      <c r="D518" s="659"/>
      <c r="E518" s="659"/>
      <c r="F518" s="659"/>
      <c r="G518" s="659"/>
      <c r="H518" s="659"/>
      <c r="I518" s="659"/>
      <c r="J518" s="659"/>
      <c r="K518" s="659"/>
      <c r="L518" s="659"/>
      <c r="M518" s="659"/>
    </row>
    <row r="519" spans="3:13" ht="14.25" customHeight="1">
      <c r="C519" s="659"/>
      <c r="D519" s="659"/>
      <c r="E519" s="659"/>
      <c r="F519" s="659"/>
      <c r="G519" s="659"/>
      <c r="H519" s="659"/>
      <c r="I519" s="659"/>
      <c r="J519" s="659"/>
      <c r="K519" s="659"/>
      <c r="L519" s="659"/>
      <c r="M519" s="659"/>
    </row>
    <row r="520" spans="3:13" ht="14.25" customHeight="1">
      <c r="C520" s="659"/>
      <c r="D520" s="659"/>
      <c r="E520" s="659"/>
      <c r="F520" s="659"/>
      <c r="G520" s="659"/>
      <c r="H520" s="659"/>
      <c r="I520" s="659"/>
      <c r="J520" s="659"/>
      <c r="K520" s="659"/>
      <c r="L520" s="659"/>
      <c r="M520" s="659"/>
    </row>
    <row r="521" spans="3:13" ht="14.25" customHeight="1">
      <c r="C521" s="659"/>
      <c r="D521" s="659"/>
      <c r="E521" s="659"/>
      <c r="F521" s="659"/>
      <c r="G521" s="659"/>
      <c r="H521" s="659"/>
      <c r="I521" s="659"/>
      <c r="J521" s="659"/>
      <c r="K521" s="659"/>
      <c r="L521" s="659"/>
      <c r="M521" s="659"/>
    </row>
    <row r="522" spans="3:13" ht="14.25" customHeight="1">
      <c r="C522" s="659"/>
      <c r="D522" s="659"/>
      <c r="E522" s="659"/>
      <c r="F522" s="659"/>
      <c r="G522" s="659"/>
      <c r="H522" s="659"/>
      <c r="I522" s="659"/>
      <c r="J522" s="659"/>
      <c r="K522" s="659"/>
      <c r="L522" s="659"/>
      <c r="M522" s="659"/>
    </row>
    <row r="523" spans="3:13" ht="14.25" customHeight="1">
      <c r="C523" s="659"/>
      <c r="D523" s="659"/>
      <c r="E523" s="659"/>
      <c r="F523" s="659"/>
      <c r="G523" s="659"/>
      <c r="H523" s="659"/>
      <c r="I523" s="659"/>
      <c r="J523" s="659"/>
      <c r="K523" s="659"/>
      <c r="L523" s="659"/>
      <c r="M523" s="659"/>
    </row>
    <row r="524" spans="3:13" ht="14.25" customHeight="1">
      <c r="C524" s="659"/>
      <c r="D524" s="659"/>
      <c r="E524" s="659"/>
      <c r="F524" s="659"/>
      <c r="G524" s="659"/>
      <c r="H524" s="659"/>
      <c r="I524" s="659"/>
      <c r="J524" s="659"/>
      <c r="K524" s="659"/>
      <c r="L524" s="659"/>
      <c r="M524" s="659"/>
    </row>
    <row r="525" spans="3:13" ht="14.25" customHeight="1">
      <c r="C525" s="659"/>
      <c r="D525" s="659"/>
      <c r="E525" s="659"/>
      <c r="F525" s="659"/>
      <c r="G525" s="659"/>
      <c r="H525" s="659"/>
      <c r="I525" s="659"/>
      <c r="J525" s="659"/>
      <c r="K525" s="659"/>
      <c r="L525" s="659"/>
      <c r="M525" s="659"/>
    </row>
    <row r="526" spans="3:13" ht="14.25" customHeight="1">
      <c r="C526" s="659"/>
      <c r="D526" s="659"/>
      <c r="E526" s="659"/>
      <c r="F526" s="659"/>
      <c r="G526" s="659"/>
      <c r="H526" s="659"/>
      <c r="I526" s="659"/>
      <c r="J526" s="659"/>
      <c r="K526" s="659"/>
      <c r="L526" s="659"/>
      <c r="M526" s="659"/>
    </row>
    <row r="527" spans="3:13" ht="14.25" customHeight="1">
      <c r="C527" s="659"/>
      <c r="D527" s="659"/>
      <c r="E527" s="659"/>
      <c r="F527" s="659"/>
      <c r="G527" s="659"/>
      <c r="H527" s="659"/>
      <c r="I527" s="659"/>
      <c r="J527" s="659"/>
      <c r="K527" s="659"/>
      <c r="L527" s="659"/>
      <c r="M527" s="659"/>
    </row>
    <row r="528" spans="3:13" ht="14.25" customHeight="1">
      <c r="C528" s="659"/>
      <c r="D528" s="659"/>
      <c r="E528" s="659"/>
      <c r="F528" s="659"/>
      <c r="G528" s="659"/>
      <c r="H528" s="659"/>
      <c r="I528" s="659"/>
      <c r="J528" s="659"/>
      <c r="K528" s="659"/>
      <c r="L528" s="659"/>
      <c r="M528" s="659"/>
    </row>
    <row r="529" spans="3:13" ht="14.25" customHeight="1">
      <c r="C529" s="659"/>
      <c r="D529" s="659"/>
      <c r="E529" s="659"/>
      <c r="F529" s="659"/>
      <c r="G529" s="659"/>
      <c r="H529" s="659"/>
      <c r="I529" s="659"/>
      <c r="J529" s="659"/>
      <c r="K529" s="659"/>
      <c r="L529" s="659"/>
      <c r="M529" s="659"/>
    </row>
    <row r="530" spans="3:13" ht="14.25" customHeight="1">
      <c r="C530" s="659"/>
      <c r="D530" s="659"/>
      <c r="E530" s="659"/>
      <c r="F530" s="659"/>
      <c r="G530" s="659"/>
      <c r="H530" s="659"/>
      <c r="I530" s="659"/>
      <c r="J530" s="659"/>
      <c r="K530" s="659"/>
      <c r="L530" s="659"/>
      <c r="M530" s="659"/>
    </row>
    <row r="531" spans="3:13" ht="14.25" customHeight="1">
      <c r="C531" s="659"/>
      <c r="D531" s="659"/>
      <c r="E531" s="659"/>
      <c r="F531" s="659"/>
      <c r="G531" s="659"/>
      <c r="H531" s="659"/>
      <c r="I531" s="659"/>
      <c r="J531" s="659"/>
      <c r="K531" s="659"/>
      <c r="L531" s="659"/>
      <c r="M531" s="659"/>
    </row>
    <row r="532" spans="3:13" ht="14.25" customHeight="1">
      <c r="C532" s="659"/>
      <c r="D532" s="659"/>
      <c r="E532" s="659"/>
      <c r="F532" s="659"/>
      <c r="G532" s="659"/>
      <c r="H532" s="659"/>
      <c r="I532" s="659"/>
      <c r="J532" s="659"/>
      <c r="K532" s="659"/>
      <c r="L532" s="659"/>
      <c r="M532" s="659"/>
    </row>
    <row r="533" spans="3:13" ht="14.25" customHeight="1">
      <c r="C533" s="659"/>
      <c r="D533" s="659"/>
      <c r="E533" s="659"/>
      <c r="F533" s="659"/>
      <c r="G533" s="659"/>
      <c r="H533" s="659"/>
      <c r="I533" s="659"/>
      <c r="J533" s="659"/>
      <c r="K533" s="659"/>
      <c r="L533" s="659"/>
      <c r="M533" s="659"/>
    </row>
    <row r="534" spans="3:13" ht="14.25" customHeight="1">
      <c r="C534" s="659"/>
      <c r="D534" s="659"/>
      <c r="E534" s="659"/>
      <c r="F534" s="659"/>
      <c r="G534" s="659"/>
      <c r="H534" s="659"/>
      <c r="I534" s="659"/>
      <c r="J534" s="659"/>
      <c r="K534" s="659"/>
      <c r="L534" s="659"/>
      <c r="M534" s="659"/>
    </row>
    <row r="535" spans="3:13" ht="14.25" customHeight="1">
      <c r="C535" s="659"/>
      <c r="D535" s="659"/>
      <c r="E535" s="659"/>
      <c r="F535" s="659"/>
      <c r="G535" s="659"/>
      <c r="H535" s="659"/>
      <c r="I535" s="659"/>
      <c r="J535" s="659"/>
      <c r="K535" s="659"/>
      <c r="L535" s="659"/>
      <c r="M535" s="659"/>
    </row>
    <row r="536" spans="3:13" ht="14.25" customHeight="1">
      <c r="C536" s="659"/>
      <c r="D536" s="659"/>
      <c r="E536" s="659"/>
      <c r="F536" s="659"/>
      <c r="G536" s="659"/>
      <c r="H536" s="659"/>
      <c r="I536" s="659"/>
      <c r="J536" s="659"/>
      <c r="K536" s="659"/>
      <c r="L536" s="659"/>
      <c r="M536" s="659"/>
    </row>
    <row r="537" spans="3:13" ht="14.25" customHeight="1">
      <c r="C537" s="659"/>
      <c r="D537" s="659"/>
      <c r="E537" s="659"/>
      <c r="F537" s="659"/>
      <c r="G537" s="659"/>
      <c r="H537" s="659"/>
      <c r="I537" s="659"/>
      <c r="J537" s="659"/>
      <c r="K537" s="659"/>
      <c r="L537" s="659"/>
      <c r="M537" s="659"/>
    </row>
    <row r="538" spans="3:13" ht="14.25" customHeight="1">
      <c r="C538" s="659"/>
      <c r="D538" s="659"/>
      <c r="E538" s="659"/>
      <c r="F538" s="659"/>
      <c r="G538" s="659"/>
      <c r="H538" s="659"/>
      <c r="I538" s="659"/>
      <c r="J538" s="659"/>
      <c r="K538" s="659"/>
      <c r="L538" s="659"/>
      <c r="M538" s="659"/>
    </row>
    <row r="539" spans="3:13" ht="14.25" customHeight="1">
      <c r="C539" s="659"/>
      <c r="D539" s="659"/>
      <c r="E539" s="659"/>
      <c r="F539" s="659"/>
      <c r="G539" s="659"/>
      <c r="H539" s="659"/>
      <c r="I539" s="659"/>
      <c r="J539" s="659"/>
      <c r="K539" s="659"/>
      <c r="L539" s="659"/>
      <c r="M539" s="659"/>
    </row>
    <row r="540" spans="3:13" ht="14.25" customHeight="1">
      <c r="C540" s="659"/>
      <c r="D540" s="659"/>
      <c r="E540" s="659"/>
      <c r="F540" s="659"/>
      <c r="G540" s="659"/>
      <c r="H540" s="659"/>
      <c r="I540" s="659"/>
      <c r="J540" s="659"/>
      <c r="K540" s="659"/>
      <c r="L540" s="659"/>
      <c r="M540" s="659"/>
    </row>
    <row r="541" spans="3:13" ht="14.25" customHeight="1">
      <c r="C541" s="659"/>
      <c r="D541" s="659"/>
      <c r="E541" s="659"/>
      <c r="F541" s="659"/>
      <c r="G541" s="659"/>
      <c r="H541" s="659"/>
      <c r="I541" s="659"/>
      <c r="J541" s="659"/>
      <c r="K541" s="659"/>
      <c r="L541" s="659"/>
      <c r="M541" s="659"/>
    </row>
    <row r="542" spans="3:13" ht="14.25" customHeight="1">
      <c r="C542" s="659"/>
      <c r="D542" s="659"/>
      <c r="E542" s="659"/>
      <c r="F542" s="659"/>
      <c r="G542" s="659"/>
      <c r="H542" s="659"/>
      <c r="I542" s="659"/>
      <c r="J542" s="659"/>
      <c r="K542" s="659"/>
      <c r="L542" s="659"/>
      <c r="M542" s="659"/>
    </row>
    <row r="543" spans="3:13" ht="14.25" customHeight="1">
      <c r="C543" s="659"/>
      <c r="D543" s="659"/>
      <c r="E543" s="659"/>
      <c r="F543" s="659"/>
      <c r="G543" s="659"/>
      <c r="H543" s="659"/>
      <c r="I543" s="659"/>
      <c r="J543" s="659"/>
      <c r="K543" s="659"/>
      <c r="L543" s="659"/>
      <c r="M543" s="659"/>
    </row>
    <row r="544" spans="3:13" ht="14.25" customHeight="1">
      <c r="C544" s="659"/>
      <c r="D544" s="659"/>
      <c r="E544" s="659"/>
      <c r="F544" s="659"/>
      <c r="G544" s="659"/>
      <c r="H544" s="659"/>
      <c r="I544" s="659"/>
      <c r="J544" s="659"/>
      <c r="K544" s="659"/>
      <c r="L544" s="659"/>
      <c r="M544" s="659"/>
    </row>
    <row r="545" spans="3:13" ht="14.25" customHeight="1">
      <c r="C545" s="659"/>
      <c r="D545" s="659"/>
      <c r="E545" s="659"/>
      <c r="F545" s="659"/>
      <c r="G545" s="659"/>
      <c r="H545" s="659"/>
      <c r="I545" s="659"/>
      <c r="J545" s="659"/>
      <c r="K545" s="659"/>
      <c r="L545" s="659"/>
      <c r="M545" s="659"/>
    </row>
    <row r="546" spans="3:13" ht="14.25" customHeight="1">
      <c r="C546" s="659"/>
      <c r="D546" s="659"/>
      <c r="E546" s="659"/>
      <c r="F546" s="659"/>
      <c r="G546" s="659"/>
      <c r="H546" s="659"/>
      <c r="I546" s="659"/>
      <c r="J546" s="659"/>
      <c r="K546" s="659"/>
      <c r="L546" s="659"/>
      <c r="M546" s="659"/>
    </row>
    <row r="547" spans="3:13" ht="14.25" customHeight="1">
      <c r="C547" s="659"/>
      <c r="D547" s="659"/>
      <c r="E547" s="659"/>
      <c r="F547" s="659"/>
      <c r="G547" s="659"/>
      <c r="H547" s="659"/>
      <c r="I547" s="659"/>
      <c r="J547" s="659"/>
      <c r="K547" s="659"/>
      <c r="L547" s="659"/>
      <c r="M547" s="659"/>
    </row>
    <row r="548" spans="3:13" ht="14.25" customHeight="1">
      <c r="C548" s="659"/>
      <c r="D548" s="659"/>
      <c r="E548" s="659"/>
      <c r="F548" s="659"/>
      <c r="G548" s="659"/>
      <c r="H548" s="659"/>
      <c r="I548" s="659"/>
      <c r="J548" s="659"/>
      <c r="K548" s="659"/>
      <c r="L548" s="659"/>
      <c r="M548" s="659"/>
    </row>
    <row r="549" spans="3:13" ht="14.25" customHeight="1">
      <c r="C549" s="659"/>
      <c r="D549" s="659"/>
      <c r="E549" s="659"/>
      <c r="F549" s="659"/>
      <c r="G549" s="659"/>
      <c r="H549" s="659"/>
      <c r="I549" s="659"/>
      <c r="J549" s="659"/>
      <c r="K549" s="659"/>
      <c r="L549" s="659"/>
      <c r="M549" s="659"/>
    </row>
    <row r="550" spans="3:13" ht="14.25" customHeight="1">
      <c r="C550" s="659"/>
      <c r="D550" s="659"/>
      <c r="E550" s="659"/>
      <c r="F550" s="659"/>
      <c r="G550" s="659"/>
      <c r="H550" s="659"/>
      <c r="I550" s="659"/>
      <c r="J550" s="659"/>
      <c r="K550" s="659"/>
      <c r="L550" s="659"/>
      <c r="M550" s="659"/>
    </row>
    <row r="551" spans="3:13" ht="14.25" customHeight="1">
      <c r="C551" s="659"/>
      <c r="D551" s="659"/>
      <c r="E551" s="659"/>
      <c r="F551" s="659"/>
      <c r="G551" s="659"/>
      <c r="H551" s="659"/>
      <c r="I551" s="659"/>
      <c r="J551" s="659"/>
      <c r="K551" s="659"/>
      <c r="L551" s="659"/>
      <c r="M551" s="659"/>
    </row>
    <row r="552" spans="3:13" ht="14.25" customHeight="1">
      <c r="C552" s="659"/>
      <c r="D552" s="659"/>
      <c r="E552" s="659"/>
      <c r="F552" s="659"/>
      <c r="G552" s="659"/>
      <c r="H552" s="659"/>
      <c r="I552" s="659"/>
      <c r="J552" s="659"/>
      <c r="K552" s="659"/>
      <c r="L552" s="659"/>
      <c r="M552" s="659"/>
    </row>
    <row r="553" spans="3:13" ht="14.25" customHeight="1">
      <c r="C553" s="659"/>
      <c r="D553" s="659"/>
      <c r="E553" s="659"/>
      <c r="F553" s="659"/>
      <c r="G553" s="659"/>
      <c r="H553" s="659"/>
      <c r="I553" s="659"/>
      <c r="J553" s="659"/>
      <c r="K553" s="659"/>
      <c r="L553" s="659"/>
      <c r="M553" s="659"/>
    </row>
    <row r="554" spans="3:13" ht="14.25" customHeight="1">
      <c r="C554" s="659"/>
      <c r="D554" s="659"/>
      <c r="E554" s="659"/>
      <c r="F554" s="659"/>
      <c r="G554" s="659"/>
      <c r="H554" s="659"/>
      <c r="I554" s="659"/>
      <c r="J554" s="659"/>
      <c r="K554" s="659"/>
      <c r="L554" s="659"/>
      <c r="M554" s="659"/>
    </row>
    <row r="555" spans="3:13" ht="14.25" customHeight="1">
      <c r="C555" s="659"/>
      <c r="D555" s="659"/>
      <c r="E555" s="659"/>
      <c r="F555" s="659"/>
      <c r="G555" s="659"/>
      <c r="H555" s="659"/>
      <c r="I555" s="659"/>
      <c r="J555" s="659"/>
      <c r="K555" s="659"/>
      <c r="L555" s="659"/>
      <c r="M555" s="659"/>
    </row>
    <row r="556" spans="3:13" ht="14.25" customHeight="1">
      <c r="C556" s="659"/>
      <c r="D556" s="659"/>
      <c r="E556" s="659"/>
      <c r="F556" s="659"/>
      <c r="G556" s="659"/>
      <c r="H556" s="659"/>
      <c r="I556" s="659"/>
      <c r="J556" s="659"/>
      <c r="K556" s="659"/>
      <c r="L556" s="659"/>
      <c r="M556" s="659"/>
    </row>
    <row r="557" spans="3:13" ht="14.25" customHeight="1">
      <c r="C557" s="659"/>
      <c r="D557" s="659"/>
      <c r="E557" s="659"/>
      <c r="F557" s="659"/>
      <c r="G557" s="659"/>
      <c r="H557" s="659"/>
      <c r="I557" s="659"/>
      <c r="J557" s="659"/>
      <c r="K557" s="659"/>
      <c r="L557" s="659"/>
      <c r="M557" s="659"/>
    </row>
    <row r="558" spans="3:13" ht="14.25" customHeight="1">
      <c r="C558" s="659"/>
      <c r="D558" s="659"/>
      <c r="E558" s="659"/>
      <c r="F558" s="659"/>
      <c r="G558" s="659"/>
      <c r="H558" s="659"/>
      <c r="I558" s="659"/>
      <c r="J558" s="659"/>
      <c r="K558" s="659"/>
      <c r="L558" s="659"/>
      <c r="M558" s="659"/>
    </row>
    <row r="559" spans="3:13" ht="14.25" customHeight="1">
      <c r="C559" s="659"/>
      <c r="D559" s="659"/>
      <c r="E559" s="659"/>
      <c r="F559" s="659"/>
      <c r="G559" s="659"/>
      <c r="H559" s="659"/>
      <c r="I559" s="659"/>
      <c r="J559" s="659"/>
      <c r="K559" s="659"/>
      <c r="L559" s="659"/>
      <c r="M559" s="659"/>
    </row>
    <row r="560" spans="3:13" ht="14.25" customHeight="1">
      <c r="C560" s="659"/>
      <c r="D560" s="659"/>
      <c r="E560" s="659"/>
      <c r="F560" s="659"/>
      <c r="G560" s="659"/>
      <c r="H560" s="659"/>
      <c r="I560" s="659"/>
      <c r="J560" s="659"/>
      <c r="K560" s="659"/>
      <c r="L560" s="659"/>
      <c r="M560" s="659"/>
    </row>
  </sheetData>
  <pageMargins left="0.7" right="0.7" top="0.75" bottom="0.75" header="0.511811023622047" footer="0.511811023622047"/>
  <pageSetup orientation="portrait" horizontalDpi="300" verticalDpi="3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7030A0"/>
  </sheetPr>
  <dimension ref="A1:T406"/>
  <sheetViews>
    <sheetView topLeftCell="A3" zoomScale="50" zoomScaleNormal="50" workbookViewId="0">
      <pane ySplit="2" topLeftCell="A5" activePane="bottomLeft" state="frozen"/>
      <selection activeCell="A3" sqref="A3"/>
      <selection pane="bottomLeft" activeCell="P12" sqref="P12"/>
    </sheetView>
  </sheetViews>
  <sheetFormatPr baseColWidth="10" defaultColWidth="6.83203125" defaultRowHeight="14"/>
  <cols>
    <col min="1" max="1" width="8.83203125" style="1632" customWidth="1"/>
    <col min="2" max="2" width="40.83203125" style="1633" customWidth="1"/>
    <col min="3" max="4" width="12.83203125" style="1634" customWidth="1"/>
    <col min="5" max="6" width="12.83203125" style="1635" customWidth="1"/>
    <col min="7" max="7" width="12.83203125" style="1636" customWidth="1"/>
    <col min="8" max="8" width="12.83203125" style="1635" customWidth="1"/>
    <col min="9" max="9" width="12.83203125" style="1637" customWidth="1"/>
    <col min="10" max="11" width="12.83203125" style="1638" customWidth="1"/>
    <col min="12" max="12" width="12.83203125" style="1639" customWidth="1"/>
    <col min="13" max="13" width="12.83203125" style="1640" customWidth="1"/>
    <col min="14" max="14" width="12.83203125" style="1635" customWidth="1"/>
    <col min="15" max="15" width="6.83203125" style="1633"/>
    <col min="16" max="16" width="20.83203125" style="1635" customWidth="1"/>
    <col min="17" max="17" width="8.83203125" style="1635" customWidth="1"/>
    <col min="18" max="16384" width="6.83203125" style="1635"/>
  </cols>
  <sheetData>
    <row r="1" spans="1:17" ht="17.25" customHeight="1">
      <c r="A1" s="1641" t="s">
        <v>1959</v>
      </c>
      <c r="B1" s="1642"/>
      <c r="C1" s="1643"/>
      <c r="D1" s="1644"/>
      <c r="E1" s="1642"/>
      <c r="F1" s="1642"/>
      <c r="G1" s="1645"/>
      <c r="H1" s="1645"/>
      <c r="I1" s="1646"/>
      <c r="J1" s="1647"/>
      <c r="K1" s="1645"/>
      <c r="L1" s="1648"/>
      <c r="M1" s="1649"/>
      <c r="N1" s="1645"/>
      <c r="O1" s="1645"/>
      <c r="P1" s="1645"/>
      <c r="Q1" s="1650"/>
    </row>
    <row r="2" spans="1:17" ht="14.25" customHeight="1">
      <c r="A2" s="1651"/>
      <c r="B2" s="1652"/>
      <c r="C2" s="1653"/>
      <c r="D2" s="1653"/>
      <c r="E2" s="1650"/>
      <c r="F2" s="1650"/>
      <c r="G2" s="1654"/>
      <c r="H2" s="1650"/>
      <c r="I2" s="1655"/>
      <c r="J2" s="1656"/>
      <c r="K2" s="1656"/>
      <c r="L2" s="1657"/>
      <c r="M2" s="1658"/>
      <c r="N2" s="1650"/>
      <c r="O2" s="1652"/>
      <c r="P2" s="1650"/>
      <c r="Q2" s="1650"/>
    </row>
    <row r="3" spans="1:17" ht="15.75" customHeight="1">
      <c r="A3" s="3245" t="s">
        <v>1</v>
      </c>
      <c r="B3" s="3246" t="s">
        <v>68</v>
      </c>
      <c r="C3" s="3246" t="s">
        <v>77</v>
      </c>
      <c r="D3" s="3246" t="s">
        <v>78</v>
      </c>
      <c r="E3" s="3246" t="s">
        <v>79</v>
      </c>
      <c r="F3" s="3246" t="s">
        <v>6</v>
      </c>
      <c r="G3" s="3246" t="s">
        <v>999</v>
      </c>
      <c r="H3" s="3246" t="s">
        <v>977</v>
      </c>
      <c r="I3" s="3246" t="s">
        <v>978</v>
      </c>
      <c r="J3" s="3246" t="s">
        <v>1000</v>
      </c>
      <c r="K3" s="3246"/>
      <c r="L3" s="3246" t="s">
        <v>213</v>
      </c>
      <c r="M3" s="3246" t="s">
        <v>80</v>
      </c>
      <c r="N3" s="3246" t="s">
        <v>81</v>
      </c>
      <c r="O3" s="3246" t="s">
        <v>82</v>
      </c>
      <c r="P3" s="3256" t="s">
        <v>83</v>
      </c>
    </row>
    <row r="4" spans="1:17" ht="15.75" customHeight="1">
      <c r="A4" s="3245"/>
      <c r="B4" s="3246"/>
      <c r="C4" s="3246"/>
      <c r="D4" s="3246"/>
      <c r="E4" s="3246"/>
      <c r="F4" s="3246"/>
      <c r="G4" s="3246"/>
      <c r="H4" s="3246"/>
      <c r="I4" s="3246"/>
      <c r="J4" s="556" t="s">
        <v>1001</v>
      </c>
      <c r="K4" s="556" t="s">
        <v>1002</v>
      </c>
      <c r="L4" s="3246"/>
      <c r="M4" s="3246"/>
      <c r="N4" s="3246"/>
      <c r="O4" s="3246"/>
      <c r="P4" s="3256"/>
    </row>
    <row r="5" spans="1:17" ht="7.5" customHeight="1"/>
    <row r="6" spans="1:17" ht="7.5" customHeight="1">
      <c r="A6" s="1659"/>
      <c r="B6" s="1660"/>
      <c r="C6" s="1661"/>
      <c r="D6" s="1661"/>
      <c r="E6" s="1662"/>
      <c r="F6" s="1662"/>
      <c r="G6" s="1663"/>
      <c r="H6" s="1662"/>
      <c r="I6" s="1664"/>
      <c r="J6" s="1665"/>
      <c r="K6" s="1665"/>
      <c r="L6" s="1666"/>
      <c r="M6" s="1667"/>
      <c r="N6" s="1662"/>
      <c r="O6" s="1660"/>
      <c r="P6" s="1668"/>
    </row>
    <row r="7" spans="1:17" ht="15.75" customHeight="1">
      <c r="A7" s="341" t="s">
        <v>1960</v>
      </c>
      <c r="B7" s="342" t="s">
        <v>1961</v>
      </c>
      <c r="C7" s="1669"/>
      <c r="D7" s="1669"/>
      <c r="E7" s="1670"/>
      <c r="F7" s="1670"/>
      <c r="G7" s="1671"/>
      <c r="H7" s="1670"/>
      <c r="I7" s="1672"/>
      <c r="J7" s="1673"/>
      <c r="K7" s="1673"/>
      <c r="L7" s="1674"/>
      <c r="M7" s="1675"/>
      <c r="N7" s="1670"/>
      <c r="O7" s="1676"/>
      <c r="P7" s="1677"/>
    </row>
    <row r="8" spans="1:17" ht="15.75" customHeight="1">
      <c r="A8" s="341" t="s">
        <v>1962</v>
      </c>
      <c r="B8" s="1678" t="s">
        <v>1963</v>
      </c>
      <c r="C8" s="1669"/>
      <c r="D8" s="1669"/>
      <c r="E8" s="1670"/>
      <c r="F8" s="1670"/>
      <c r="G8" s="1671"/>
      <c r="H8" s="1670"/>
      <c r="I8" s="1672"/>
      <c r="J8" s="1673"/>
      <c r="K8" s="1673"/>
      <c r="L8" s="1674"/>
      <c r="M8" s="1675"/>
      <c r="N8" s="1670"/>
      <c r="O8" s="1676"/>
      <c r="P8" s="1677"/>
    </row>
    <row r="9" spans="1:17" ht="15.75" customHeight="1">
      <c r="A9" s="400">
        <v>1</v>
      </c>
      <c r="B9" s="363" t="s">
        <v>1964</v>
      </c>
      <c r="C9" s="1465"/>
      <c r="D9" s="1465"/>
      <c r="E9" s="927"/>
      <c r="F9" s="927"/>
      <c r="G9" s="927"/>
      <c r="H9" s="927"/>
      <c r="I9" s="927"/>
      <c r="J9" s="928"/>
      <c r="K9" s="928"/>
      <c r="L9" s="929"/>
      <c r="M9" s="927"/>
      <c r="N9" s="927"/>
      <c r="O9" s="927"/>
      <c r="P9" s="1679"/>
    </row>
    <row r="10" spans="1:17" ht="15.75" customHeight="1">
      <c r="A10" s="400"/>
      <c r="B10" s="811" t="s">
        <v>227</v>
      </c>
      <c r="C10" s="1465">
        <f>7+2</f>
        <v>9</v>
      </c>
      <c r="D10" s="1465"/>
      <c r="E10" s="927"/>
      <c r="F10" s="927"/>
      <c r="G10" s="927"/>
      <c r="H10" s="927">
        <v>2</v>
      </c>
      <c r="I10" s="927"/>
      <c r="J10" s="928"/>
      <c r="K10" s="928"/>
      <c r="L10" s="929"/>
      <c r="M10" s="927"/>
      <c r="N10" s="927">
        <f>C10*H10</f>
        <v>18</v>
      </c>
      <c r="O10" s="927"/>
      <c r="P10" s="1679"/>
    </row>
    <row r="11" spans="1:17" ht="15.75" customHeight="1">
      <c r="A11" s="400"/>
      <c r="B11" s="811" t="s">
        <v>226</v>
      </c>
      <c r="C11" s="1465"/>
      <c r="D11" s="1465">
        <f>2+2</f>
        <v>4</v>
      </c>
      <c r="E11" s="927"/>
      <c r="F11" s="927"/>
      <c r="G11" s="927"/>
      <c r="H11" s="927">
        <v>2</v>
      </c>
      <c r="I11" s="927"/>
      <c r="J11" s="928"/>
      <c r="K11" s="928"/>
      <c r="L11" s="929"/>
      <c r="M11" s="927"/>
      <c r="N11" s="1680">
        <f>D11*H11</f>
        <v>8</v>
      </c>
      <c r="O11" s="927"/>
      <c r="P11" s="1679"/>
    </row>
    <row r="12" spans="1:17" ht="15.75" customHeight="1">
      <c r="A12" s="400"/>
      <c r="B12" s="363"/>
      <c r="C12" s="1465"/>
      <c r="D12" s="1465"/>
      <c r="E12" s="927"/>
      <c r="F12" s="927"/>
      <c r="G12" s="927"/>
      <c r="H12" s="927"/>
      <c r="I12" s="927"/>
      <c r="J12" s="928"/>
      <c r="K12" s="928"/>
      <c r="L12" s="929"/>
      <c r="M12" s="927"/>
      <c r="N12" s="930">
        <f>SUM(N10:N11)</f>
        <v>26</v>
      </c>
      <c r="O12" s="927" t="s">
        <v>117</v>
      </c>
      <c r="P12" s="1587">
        <f>ROUND((N12),2)</f>
        <v>26</v>
      </c>
    </row>
    <row r="13" spans="1:17" ht="15.75" customHeight="1">
      <c r="A13" s="341" t="s">
        <v>1965</v>
      </c>
      <c r="B13" s="1678" t="s">
        <v>1966</v>
      </c>
      <c r="C13" s="1465"/>
      <c r="D13" s="1465"/>
      <c r="E13" s="927"/>
      <c r="F13" s="927"/>
      <c r="G13" s="927"/>
      <c r="H13" s="927"/>
      <c r="I13" s="927"/>
      <c r="J13" s="928"/>
      <c r="K13" s="928"/>
      <c r="L13" s="929"/>
      <c r="M13" s="927"/>
      <c r="N13" s="927"/>
      <c r="O13" s="927"/>
      <c r="P13" s="1679"/>
    </row>
    <row r="14" spans="1:17" ht="15.75" customHeight="1">
      <c r="A14" s="350">
        <v>1</v>
      </c>
      <c r="B14" s="363" t="s">
        <v>1967</v>
      </c>
      <c r="C14" s="1465"/>
      <c r="D14" s="1465"/>
      <c r="E14" s="927"/>
      <c r="F14" s="927"/>
      <c r="G14" s="927"/>
      <c r="H14" s="927"/>
      <c r="I14" s="927"/>
      <c r="J14" s="928"/>
      <c r="K14" s="928"/>
      <c r="L14" s="929"/>
      <c r="M14" s="927"/>
      <c r="N14" s="927"/>
      <c r="O14" s="927"/>
      <c r="P14" s="1679"/>
    </row>
    <row r="15" spans="1:17" ht="15.75" customHeight="1">
      <c r="A15" s="350"/>
      <c r="B15" s="811" t="str">
        <f>B10</f>
        <v>vertikal</v>
      </c>
      <c r="C15" s="1465">
        <v>7</v>
      </c>
      <c r="D15" s="1465">
        <v>0.8</v>
      </c>
      <c r="E15" s="927">
        <v>1</v>
      </c>
      <c r="F15" s="927"/>
      <c r="G15" s="927"/>
      <c r="H15" s="927"/>
      <c r="I15" s="927"/>
      <c r="J15" s="928"/>
      <c r="K15" s="928"/>
      <c r="L15" s="929"/>
      <c r="M15" s="927">
        <v>2</v>
      </c>
      <c r="N15" s="927">
        <f>C15*D15*E15*M15</f>
        <v>11.200000000000001</v>
      </c>
      <c r="O15" s="927"/>
      <c r="P15" s="1679"/>
    </row>
    <row r="16" spans="1:17" ht="15.75" customHeight="1">
      <c r="A16" s="350"/>
      <c r="B16" s="811" t="str">
        <f>B11</f>
        <v>horisontal</v>
      </c>
      <c r="C16" s="1465">
        <v>2</v>
      </c>
      <c r="D16" s="1465">
        <f>D15</f>
        <v>0.8</v>
      </c>
      <c r="E16" s="927">
        <f>E15</f>
        <v>1</v>
      </c>
      <c r="F16" s="927"/>
      <c r="G16" s="927"/>
      <c r="H16" s="927"/>
      <c r="I16" s="927"/>
      <c r="J16" s="928"/>
      <c r="K16" s="928"/>
      <c r="L16" s="929"/>
      <c r="M16" s="927">
        <v>4</v>
      </c>
      <c r="N16" s="1680">
        <f>C16*D16*E16*M16</f>
        <v>6.4</v>
      </c>
      <c r="O16" s="927"/>
      <c r="P16" s="1679"/>
    </row>
    <row r="17" spans="1:20" ht="15.75" customHeight="1">
      <c r="A17" s="350"/>
      <c r="B17" s="363"/>
      <c r="C17" s="1465"/>
      <c r="D17" s="1465"/>
      <c r="E17" s="927"/>
      <c r="F17" s="927"/>
      <c r="G17" s="927"/>
      <c r="H17" s="927"/>
      <c r="I17" s="927"/>
      <c r="J17" s="928"/>
      <c r="K17" s="928"/>
      <c r="L17" s="929"/>
      <c r="M17" s="927"/>
      <c r="N17" s="930">
        <f>SUM(N15:N16)</f>
        <v>17.600000000000001</v>
      </c>
      <c r="O17" s="927" t="s">
        <v>103</v>
      </c>
      <c r="P17" s="1587">
        <f>ROUND((N17),2)</f>
        <v>17.600000000000001</v>
      </c>
    </row>
    <row r="18" spans="1:20" ht="15.75" customHeight="1">
      <c r="A18" s="350">
        <f>A14+1</f>
        <v>2</v>
      </c>
      <c r="B18" s="357" t="s">
        <v>405</v>
      </c>
      <c r="C18" s="1465">
        <f>T18</f>
        <v>18</v>
      </c>
      <c r="D18" s="1465">
        <f>T19</f>
        <v>5</v>
      </c>
      <c r="E18" s="927">
        <v>4</v>
      </c>
      <c r="F18" s="927"/>
      <c r="G18" s="927"/>
      <c r="H18" s="927"/>
      <c r="I18" s="927"/>
      <c r="J18" s="928"/>
      <c r="K18" s="928"/>
      <c r="L18" s="929"/>
      <c r="M18" s="927"/>
      <c r="N18" s="930">
        <f>C18*D18*E18</f>
        <v>360</v>
      </c>
      <c r="O18" s="927" t="s">
        <v>117</v>
      </c>
      <c r="P18" s="1587">
        <f>ROUND((N18),2)</f>
        <v>360</v>
      </c>
      <c r="Q18" s="398" t="s">
        <v>1677</v>
      </c>
      <c r="R18" s="568">
        <v>7</v>
      </c>
      <c r="S18" s="568">
        <f>R18/0.4</f>
        <v>17.5</v>
      </c>
      <c r="T18" s="568">
        <f>ROUNDUP(S18,-0.5)</f>
        <v>18</v>
      </c>
    </row>
    <row r="19" spans="1:20" ht="15.75" customHeight="1">
      <c r="A19" s="350">
        <f>A18+1</f>
        <v>3</v>
      </c>
      <c r="B19" s="363" t="s">
        <v>1968</v>
      </c>
      <c r="C19" s="1465"/>
      <c r="D19" s="1465"/>
      <c r="E19" s="927"/>
      <c r="F19" s="927"/>
      <c r="G19" s="927"/>
      <c r="H19" s="927"/>
      <c r="I19" s="927"/>
      <c r="J19" s="928"/>
      <c r="K19" s="928"/>
      <c r="L19" s="929"/>
      <c r="M19" s="927"/>
      <c r="N19" s="927"/>
      <c r="O19" s="927"/>
      <c r="P19" s="1679"/>
      <c r="Q19" s="398"/>
      <c r="R19" s="568">
        <v>2</v>
      </c>
      <c r="S19" s="568">
        <f>R19/0.4</f>
        <v>5</v>
      </c>
      <c r="T19" s="568">
        <f>ROUNDUP(S19,-0.5)</f>
        <v>5</v>
      </c>
    </row>
    <row r="20" spans="1:20" ht="15.75" customHeight="1">
      <c r="A20" s="350"/>
      <c r="B20" s="811" t="str">
        <f>B15</f>
        <v>vertikal</v>
      </c>
      <c r="C20" s="1465">
        <f>C15</f>
        <v>7</v>
      </c>
      <c r="D20" s="1465">
        <f>D15</f>
        <v>0.8</v>
      </c>
      <c r="E20" s="1465">
        <v>0.05</v>
      </c>
      <c r="F20" s="927"/>
      <c r="G20" s="927"/>
      <c r="H20" s="927"/>
      <c r="I20" s="927"/>
      <c r="J20" s="928"/>
      <c r="K20" s="928"/>
      <c r="L20" s="929"/>
      <c r="M20" s="927">
        <f>M15</f>
        <v>2</v>
      </c>
      <c r="N20" s="927">
        <f>C20*D20*E20*M20</f>
        <v>0.56000000000000005</v>
      </c>
      <c r="O20" s="927"/>
      <c r="P20" s="1679"/>
    </row>
    <row r="21" spans="1:20" ht="15.75" customHeight="1">
      <c r="A21" s="350"/>
      <c r="B21" s="811" t="str">
        <f>B16</f>
        <v>horisontal</v>
      </c>
      <c r="C21" s="1465">
        <v>2</v>
      </c>
      <c r="D21" s="1465">
        <f>D16</f>
        <v>0.8</v>
      </c>
      <c r="E21" s="1465">
        <f>E20</f>
        <v>0.05</v>
      </c>
      <c r="F21" s="927"/>
      <c r="G21" s="927"/>
      <c r="H21" s="927"/>
      <c r="I21" s="927"/>
      <c r="J21" s="928"/>
      <c r="K21" s="928"/>
      <c r="L21" s="929"/>
      <c r="M21" s="927">
        <f>M16</f>
        <v>4</v>
      </c>
      <c r="N21" s="1680">
        <f>C21*D21*E21*M21</f>
        <v>0.32000000000000006</v>
      </c>
      <c r="O21" s="927"/>
      <c r="P21" s="1679"/>
    </row>
    <row r="22" spans="1:20" ht="15.75" customHeight="1">
      <c r="A22" s="350"/>
      <c r="B22" s="363"/>
      <c r="C22" s="1465"/>
      <c r="D22" s="1465"/>
      <c r="E22" s="927"/>
      <c r="F22" s="927"/>
      <c r="G22" s="927"/>
      <c r="H22" s="927"/>
      <c r="I22" s="927"/>
      <c r="J22" s="928"/>
      <c r="K22" s="928"/>
      <c r="L22" s="929"/>
      <c r="M22" s="927"/>
      <c r="N22" s="930">
        <f>SUM(N20:N21)</f>
        <v>0.88000000000000012</v>
      </c>
      <c r="O22" s="927" t="s">
        <v>103</v>
      </c>
      <c r="P22" s="1587">
        <f>ROUND((N22),2)</f>
        <v>0.88</v>
      </c>
    </row>
    <row r="23" spans="1:20" ht="15.75" customHeight="1">
      <c r="A23" s="350">
        <f>A19+1</f>
        <v>4</v>
      </c>
      <c r="B23" s="363" t="s">
        <v>1969</v>
      </c>
      <c r="C23" s="1465">
        <f>C20</f>
        <v>7</v>
      </c>
      <c r="D23" s="1465">
        <f>C21</f>
        <v>2</v>
      </c>
      <c r="E23" s="927">
        <v>0.15</v>
      </c>
      <c r="F23" s="927"/>
      <c r="G23" s="927"/>
      <c r="H23" s="927"/>
      <c r="I23" s="927"/>
      <c r="J23" s="928"/>
      <c r="K23" s="928"/>
      <c r="L23" s="929"/>
      <c r="M23" s="927"/>
      <c r="N23" s="927">
        <f>C23*D23*E23</f>
        <v>2.1</v>
      </c>
      <c r="O23" s="927" t="s">
        <v>103</v>
      </c>
      <c r="P23" s="1587">
        <f>ROUND((N23),2)</f>
        <v>2.1</v>
      </c>
    </row>
    <row r="24" spans="1:20" ht="15.75" customHeight="1">
      <c r="A24" s="350">
        <f>A23+1</f>
        <v>5</v>
      </c>
      <c r="B24" s="351" t="s">
        <v>474</v>
      </c>
      <c r="C24" s="1465"/>
      <c r="D24" s="1465"/>
      <c r="E24" s="927"/>
      <c r="F24" s="927"/>
      <c r="G24" s="927"/>
      <c r="H24" s="927"/>
      <c r="I24" s="927"/>
      <c r="J24" s="928"/>
      <c r="K24" s="928"/>
      <c r="L24" s="929"/>
      <c r="M24" s="927"/>
      <c r="N24" s="927"/>
      <c r="O24" s="927"/>
      <c r="P24" s="1679"/>
    </row>
    <row r="25" spans="1:20" ht="15.75" customHeight="1">
      <c r="A25" s="350"/>
      <c r="B25" s="1681" t="s">
        <v>1970</v>
      </c>
      <c r="C25" s="1465"/>
      <c r="D25" s="1465"/>
      <c r="E25" s="927"/>
      <c r="F25" s="927"/>
      <c r="G25" s="927"/>
      <c r="H25" s="927"/>
      <c r="I25" s="927"/>
      <c r="J25" s="928"/>
      <c r="K25" s="928"/>
      <c r="L25" s="929"/>
      <c r="M25" s="927"/>
      <c r="N25" s="927">
        <f>N17</f>
        <v>17.600000000000001</v>
      </c>
      <c r="O25" s="927"/>
      <c r="P25" s="1679"/>
    </row>
    <row r="26" spans="1:20" ht="15.75" customHeight="1">
      <c r="A26" s="350"/>
      <c r="B26" s="1681" t="s">
        <v>1971</v>
      </c>
      <c r="C26" s="1465"/>
      <c r="D26" s="1465"/>
      <c r="E26" s="927"/>
      <c r="F26" s="927"/>
      <c r="G26" s="927"/>
      <c r="H26" s="927"/>
      <c r="I26" s="927"/>
      <c r="J26" s="928"/>
      <c r="K26" s="928"/>
      <c r="L26" s="929"/>
      <c r="M26" s="927"/>
      <c r="N26" s="927">
        <f>-N22</f>
        <v>-0.88000000000000012</v>
      </c>
      <c r="O26" s="927"/>
      <c r="P26" s="1679"/>
    </row>
    <row r="27" spans="1:20" ht="15.75" customHeight="1">
      <c r="A27" s="350"/>
      <c r="B27" s="1681" t="s">
        <v>1972</v>
      </c>
      <c r="C27" s="1465"/>
      <c r="D27" s="1465"/>
      <c r="E27" s="927"/>
      <c r="F27" s="927"/>
      <c r="G27" s="927"/>
      <c r="H27" s="927"/>
      <c r="I27" s="927"/>
      <c r="J27" s="928"/>
      <c r="K27" s="928"/>
      <c r="L27" s="929"/>
      <c r="M27" s="927"/>
      <c r="N27" s="927">
        <f>-N35</f>
        <v>-2.64</v>
      </c>
      <c r="O27" s="927"/>
      <c r="P27" s="1679"/>
    </row>
    <row r="28" spans="1:20" ht="15.75" customHeight="1">
      <c r="A28" s="350"/>
      <c r="B28" s="1681" t="s">
        <v>1973</v>
      </c>
      <c r="C28" s="1465"/>
      <c r="D28" s="1465"/>
      <c r="E28" s="927"/>
      <c r="F28" s="927"/>
      <c r="G28" s="927"/>
      <c r="H28" s="927"/>
      <c r="I28" s="927"/>
      <c r="J28" s="928"/>
      <c r="K28" s="928"/>
      <c r="L28" s="929"/>
      <c r="M28" s="927"/>
      <c r="N28" s="1680">
        <f>-N39</f>
        <v>-5.6099999999999994</v>
      </c>
      <c r="O28" s="927"/>
      <c r="P28" s="1679"/>
    </row>
    <row r="29" spans="1:20" ht="15.75" customHeight="1">
      <c r="A29" s="350"/>
      <c r="B29" s="1682"/>
      <c r="C29" s="1465"/>
      <c r="D29" s="1465"/>
      <c r="E29" s="927"/>
      <c r="F29" s="927"/>
      <c r="G29" s="927"/>
      <c r="H29" s="927"/>
      <c r="I29" s="927"/>
      <c r="J29" s="928"/>
      <c r="K29" s="928"/>
      <c r="L29" s="929"/>
      <c r="M29" s="927"/>
      <c r="N29" s="930">
        <f>SUM(N25:N28)</f>
        <v>8.4700000000000024</v>
      </c>
      <c r="O29" s="927" t="s">
        <v>103</v>
      </c>
      <c r="P29" s="1587">
        <f>ROUND((N29),2)</f>
        <v>8.4700000000000006</v>
      </c>
    </row>
    <row r="30" spans="1:20" ht="15.75" customHeight="1">
      <c r="A30" s="350">
        <f>A24+1</f>
        <v>6</v>
      </c>
      <c r="B30" s="1682" t="s">
        <v>1974</v>
      </c>
      <c r="C30" s="1465" t="s">
        <v>1975</v>
      </c>
      <c r="D30" s="1465"/>
      <c r="E30" s="927"/>
      <c r="F30" s="927"/>
      <c r="G30" s="927"/>
      <c r="H30" s="927"/>
      <c r="I30" s="927"/>
      <c r="J30" s="928"/>
      <c r="K30" s="928"/>
      <c r="L30" s="929"/>
      <c r="M30" s="927"/>
      <c r="N30" s="927">
        <f>N29</f>
        <v>8.4700000000000024</v>
      </c>
      <c r="O30" s="927" t="s">
        <v>103</v>
      </c>
      <c r="P30" s="1587">
        <f>ROUND((N30),2)</f>
        <v>8.4700000000000006</v>
      </c>
    </row>
    <row r="31" spans="1:20" ht="15.75" customHeight="1">
      <c r="A31" s="341" t="s">
        <v>1976</v>
      </c>
      <c r="B31" s="1678" t="s">
        <v>395</v>
      </c>
      <c r="C31" s="1465"/>
      <c r="D31" s="1465"/>
      <c r="E31" s="927"/>
      <c r="F31" s="927"/>
      <c r="G31" s="927"/>
      <c r="H31" s="927"/>
      <c r="I31" s="927"/>
      <c r="J31" s="928"/>
      <c r="K31" s="928"/>
      <c r="L31" s="929"/>
      <c r="M31" s="927"/>
      <c r="N31" s="927"/>
      <c r="O31" s="927"/>
      <c r="P31" s="1679"/>
    </row>
    <row r="32" spans="1:20" ht="15.75" customHeight="1">
      <c r="A32" s="350">
        <v>1</v>
      </c>
      <c r="B32" s="363" t="s">
        <v>1977</v>
      </c>
      <c r="C32" s="1465"/>
      <c r="D32" s="1465"/>
      <c r="E32" s="927"/>
      <c r="F32" s="927"/>
      <c r="G32" s="927"/>
      <c r="H32" s="927"/>
      <c r="I32" s="927"/>
      <c r="J32" s="928"/>
      <c r="K32" s="928"/>
      <c r="L32" s="929"/>
      <c r="M32" s="927"/>
      <c r="N32" s="927"/>
      <c r="O32" s="927"/>
      <c r="P32" s="1679"/>
    </row>
    <row r="33" spans="1:16" ht="15.75" customHeight="1">
      <c r="A33" s="350"/>
      <c r="B33" s="811" t="str">
        <f>B20</f>
        <v>vertikal</v>
      </c>
      <c r="C33" s="1465">
        <f>C20</f>
        <v>7</v>
      </c>
      <c r="D33" s="1465">
        <f>D21</f>
        <v>0.8</v>
      </c>
      <c r="E33" s="927">
        <v>0.15</v>
      </c>
      <c r="F33" s="927"/>
      <c r="G33" s="927"/>
      <c r="H33" s="927"/>
      <c r="I33" s="927"/>
      <c r="J33" s="928"/>
      <c r="K33" s="928"/>
      <c r="L33" s="929"/>
      <c r="M33" s="927">
        <f>M20</f>
        <v>2</v>
      </c>
      <c r="N33" s="927">
        <f>C33*D33*E33*M33</f>
        <v>1.6800000000000002</v>
      </c>
      <c r="O33" s="927"/>
      <c r="P33" s="1679"/>
    </row>
    <row r="34" spans="1:16" ht="15.75" customHeight="1">
      <c r="A34" s="350"/>
      <c r="B34" s="811" t="str">
        <f>B21</f>
        <v>horisontal</v>
      </c>
      <c r="C34" s="1465">
        <f>C21</f>
        <v>2</v>
      </c>
      <c r="D34" s="1465">
        <f>D33</f>
        <v>0.8</v>
      </c>
      <c r="E34" s="927">
        <f>E33</f>
        <v>0.15</v>
      </c>
      <c r="F34" s="927"/>
      <c r="G34" s="927"/>
      <c r="H34" s="927"/>
      <c r="I34" s="927"/>
      <c r="J34" s="928"/>
      <c r="K34" s="928"/>
      <c r="L34" s="929"/>
      <c r="M34" s="927">
        <f>M21</f>
        <v>4</v>
      </c>
      <c r="N34" s="1680">
        <f>C34*D34*E34*M34</f>
        <v>0.96</v>
      </c>
      <c r="O34" s="927"/>
      <c r="P34" s="1679"/>
    </row>
    <row r="35" spans="1:16" ht="15.75" customHeight="1">
      <c r="A35" s="350"/>
      <c r="B35" s="363"/>
      <c r="C35" s="1465"/>
      <c r="D35" s="1465"/>
      <c r="E35" s="927"/>
      <c r="F35" s="927"/>
      <c r="G35" s="927"/>
      <c r="H35" s="927"/>
      <c r="I35" s="927"/>
      <c r="J35" s="928"/>
      <c r="K35" s="928"/>
      <c r="L35" s="929"/>
      <c r="M35" s="927"/>
      <c r="N35" s="930">
        <f>SUM(N33:N34)</f>
        <v>2.64</v>
      </c>
      <c r="O35" s="927" t="s">
        <v>103</v>
      </c>
      <c r="P35" s="1587">
        <f>ROUND((N35),2)</f>
        <v>2.64</v>
      </c>
    </row>
    <row r="36" spans="1:16" ht="15.75" customHeight="1">
      <c r="A36" s="350">
        <f>A32+1</f>
        <v>2</v>
      </c>
      <c r="B36" s="363" t="s">
        <v>403</v>
      </c>
      <c r="C36" s="1465"/>
      <c r="D36" s="1465"/>
      <c r="E36" s="927"/>
      <c r="F36" s="927"/>
      <c r="G36" s="927"/>
      <c r="H36" s="927"/>
      <c r="I36" s="927"/>
      <c r="J36" s="928"/>
      <c r="K36" s="928"/>
      <c r="L36" s="929"/>
      <c r="M36" s="927"/>
      <c r="N36" s="927"/>
      <c r="O36" s="927"/>
      <c r="P36" s="1679"/>
    </row>
    <row r="37" spans="1:16" ht="15.75" customHeight="1">
      <c r="A37" s="1683"/>
      <c r="B37" s="811" t="str">
        <f>B33</f>
        <v>vertikal</v>
      </c>
      <c r="C37" s="1465">
        <f>C33</f>
        <v>7</v>
      </c>
      <c r="D37" s="1465">
        <f>(0.25+0.6)/2</f>
        <v>0.42499999999999999</v>
      </c>
      <c r="E37" s="927">
        <v>0.6</v>
      </c>
      <c r="F37" s="927"/>
      <c r="G37" s="927"/>
      <c r="H37" s="927"/>
      <c r="I37" s="927"/>
      <c r="J37" s="928"/>
      <c r="K37" s="928"/>
      <c r="L37" s="929"/>
      <c r="M37" s="927">
        <f>M33</f>
        <v>2</v>
      </c>
      <c r="N37" s="927">
        <f>C37*D37*E37*M37</f>
        <v>3.57</v>
      </c>
      <c r="O37" s="927"/>
      <c r="P37" s="1679"/>
    </row>
    <row r="38" spans="1:16" ht="15.75" customHeight="1">
      <c r="A38" s="1683"/>
      <c r="B38" s="811" t="str">
        <f>B34</f>
        <v>horisontal</v>
      </c>
      <c r="C38" s="1465">
        <f>C34</f>
        <v>2</v>
      </c>
      <c r="D38" s="1465">
        <f>D37</f>
        <v>0.42499999999999999</v>
      </c>
      <c r="E38" s="927">
        <f>E37</f>
        <v>0.6</v>
      </c>
      <c r="F38" s="927"/>
      <c r="G38" s="927"/>
      <c r="H38" s="927"/>
      <c r="I38" s="927"/>
      <c r="J38" s="928"/>
      <c r="K38" s="928"/>
      <c r="L38" s="929"/>
      <c r="M38" s="927">
        <f>M34</f>
        <v>4</v>
      </c>
      <c r="N38" s="1680">
        <f>C38*D38*E38*M38</f>
        <v>2.04</v>
      </c>
      <c r="O38" s="927"/>
      <c r="P38" s="1679"/>
    </row>
    <row r="39" spans="1:16" ht="15.75" customHeight="1">
      <c r="A39" s="1683"/>
      <c r="B39" s="363"/>
      <c r="C39" s="1465"/>
      <c r="D39" s="1465"/>
      <c r="E39" s="927"/>
      <c r="F39" s="927"/>
      <c r="G39" s="927"/>
      <c r="H39" s="927"/>
      <c r="I39" s="927"/>
      <c r="J39" s="928"/>
      <c r="K39" s="928"/>
      <c r="L39" s="929"/>
      <c r="M39" s="927"/>
      <c r="N39" s="930">
        <f>SUM(N37:N38)</f>
        <v>5.6099999999999994</v>
      </c>
      <c r="O39" s="927" t="s">
        <v>103</v>
      </c>
      <c r="P39" s="1587">
        <f>ROUND((N39),2)</f>
        <v>5.61</v>
      </c>
    </row>
    <row r="40" spans="1:16" ht="15.75" customHeight="1">
      <c r="A40" s="1683">
        <f>A36+1</f>
        <v>3</v>
      </c>
      <c r="B40" s="357" t="s">
        <v>409</v>
      </c>
      <c r="C40" s="1465"/>
      <c r="D40" s="1465"/>
      <c r="E40" s="927"/>
      <c r="F40" s="927"/>
      <c r="G40" s="927"/>
      <c r="H40" s="927"/>
      <c r="I40" s="927"/>
      <c r="J40" s="928"/>
      <c r="K40" s="928"/>
      <c r="L40" s="929"/>
      <c r="M40" s="927"/>
      <c r="N40" s="927"/>
      <c r="O40" s="927"/>
      <c r="P40" s="1679"/>
    </row>
    <row r="41" spans="1:16" ht="15.75" customHeight="1">
      <c r="A41" s="811" t="s">
        <v>95</v>
      </c>
      <c r="B41" s="351" t="s">
        <v>221</v>
      </c>
      <c r="C41" s="1465"/>
      <c r="D41" s="1465"/>
      <c r="E41" s="927"/>
      <c r="F41" s="927"/>
      <c r="G41" s="927"/>
      <c r="H41" s="927"/>
      <c r="I41" s="927"/>
      <c r="J41" s="928"/>
      <c r="K41" s="928"/>
      <c r="L41" s="929"/>
      <c r="M41" s="927"/>
      <c r="N41" s="927"/>
      <c r="O41" s="927"/>
      <c r="P41" s="1679"/>
    </row>
    <row r="42" spans="1:16" ht="15.75" customHeight="1">
      <c r="A42" s="811"/>
      <c r="B42" s="811" t="str">
        <f>B37</f>
        <v>vertikal</v>
      </c>
      <c r="C42" s="1465">
        <f>C37</f>
        <v>7</v>
      </c>
      <c r="D42" s="1465"/>
      <c r="E42" s="927">
        <v>0.3</v>
      </c>
      <c r="F42" s="927"/>
      <c r="G42" s="927"/>
      <c r="H42" s="927">
        <v>2</v>
      </c>
      <c r="I42" s="927"/>
      <c r="J42" s="928"/>
      <c r="K42" s="928"/>
      <c r="L42" s="929"/>
      <c r="M42" s="927">
        <f>M37</f>
        <v>2</v>
      </c>
      <c r="N42" s="927">
        <f>C42*E42*H42*M42</f>
        <v>8.4</v>
      </c>
      <c r="O42" s="927"/>
      <c r="P42" s="1679"/>
    </row>
    <row r="43" spans="1:16" ht="15.75" customHeight="1">
      <c r="A43" s="811"/>
      <c r="B43" s="811" t="str">
        <f>B38</f>
        <v>horisontal</v>
      </c>
      <c r="C43" s="1465">
        <f>C38</f>
        <v>2</v>
      </c>
      <c r="D43" s="1465"/>
      <c r="E43" s="927">
        <f>E42</f>
        <v>0.3</v>
      </c>
      <c r="F43" s="927"/>
      <c r="G43" s="927"/>
      <c r="H43" s="927">
        <f>H42</f>
        <v>2</v>
      </c>
      <c r="I43" s="927"/>
      <c r="J43" s="928"/>
      <c r="K43" s="928"/>
      <c r="L43" s="929"/>
      <c r="M43" s="927">
        <f>M38</f>
        <v>4</v>
      </c>
      <c r="N43" s="1680">
        <f>C43*E43*H43*M43</f>
        <v>4.8</v>
      </c>
      <c r="O43" s="927"/>
      <c r="P43" s="1679"/>
    </row>
    <row r="44" spans="1:16" ht="15.75" customHeight="1">
      <c r="A44" s="811"/>
      <c r="B44" s="363"/>
      <c r="C44" s="1465"/>
      <c r="D44" s="1465"/>
      <c r="E44" s="927"/>
      <c r="F44" s="927"/>
      <c r="G44" s="927"/>
      <c r="H44" s="927"/>
      <c r="I44" s="927"/>
      <c r="J44" s="928"/>
      <c r="K44" s="928"/>
      <c r="L44" s="929"/>
      <c r="M44" s="927"/>
      <c r="N44" s="930">
        <f>SUM(N42:N43)</f>
        <v>13.2</v>
      </c>
      <c r="O44" s="927" t="s">
        <v>89</v>
      </c>
      <c r="P44" s="1587">
        <f>ROUND((N44),2)</f>
        <v>13.2</v>
      </c>
    </row>
    <row r="45" spans="1:16" ht="15.75" customHeight="1">
      <c r="A45" s="811" t="s">
        <v>98</v>
      </c>
      <c r="B45" s="357" t="s">
        <v>898</v>
      </c>
      <c r="C45" s="1465"/>
      <c r="D45" s="1465"/>
      <c r="E45" s="927"/>
      <c r="F45" s="927"/>
      <c r="G45" s="927"/>
      <c r="H45" s="927"/>
      <c r="I45" s="927"/>
      <c r="J45" s="928"/>
      <c r="K45" s="928"/>
      <c r="L45" s="929"/>
      <c r="M45" s="927"/>
      <c r="N45" s="927"/>
      <c r="O45" s="927"/>
      <c r="P45" s="1679"/>
    </row>
    <row r="46" spans="1:16" ht="15.75" customHeight="1">
      <c r="A46" s="811"/>
      <c r="B46" s="811" t="str">
        <f>B42</f>
        <v>vertikal</v>
      </c>
      <c r="C46" s="1465">
        <f>C42</f>
        <v>7</v>
      </c>
      <c r="D46" s="1465"/>
      <c r="E46" s="927"/>
      <c r="F46" s="927">
        <v>5</v>
      </c>
      <c r="G46" s="927"/>
      <c r="H46" s="927"/>
      <c r="I46" s="927"/>
      <c r="J46" s="928"/>
      <c r="K46" s="928"/>
      <c r="L46" s="929">
        <f>13*13*0.006165</f>
        <v>1.041885</v>
      </c>
      <c r="M46" s="927">
        <f>M42</f>
        <v>2</v>
      </c>
      <c r="N46" s="927">
        <f>C46*F46*L46*M46</f>
        <v>72.931950000000001</v>
      </c>
      <c r="O46" s="927"/>
      <c r="P46" s="1679"/>
    </row>
    <row r="47" spans="1:16" ht="15.75" customHeight="1">
      <c r="A47" s="811"/>
      <c r="B47" s="811" t="str">
        <f>B43</f>
        <v>horisontal</v>
      </c>
      <c r="C47" s="1465">
        <f>C43</f>
        <v>2</v>
      </c>
      <c r="D47" s="1465"/>
      <c r="E47" s="927"/>
      <c r="F47" s="927">
        <f>F46</f>
        <v>5</v>
      </c>
      <c r="G47" s="927"/>
      <c r="H47" s="927"/>
      <c r="I47" s="927"/>
      <c r="J47" s="928"/>
      <c r="K47" s="928"/>
      <c r="L47" s="929">
        <f>L46</f>
        <v>1.041885</v>
      </c>
      <c r="M47" s="927">
        <f>M43</f>
        <v>4</v>
      </c>
      <c r="N47" s="1680">
        <f>C47*F47*L47*M47</f>
        <v>41.675399999999996</v>
      </c>
      <c r="O47" s="927"/>
      <c r="P47" s="1679"/>
    </row>
    <row r="48" spans="1:16" ht="15.75" customHeight="1">
      <c r="A48" s="811"/>
      <c r="B48" s="363"/>
      <c r="C48" s="1465"/>
      <c r="D48" s="1465"/>
      <c r="E48" s="927"/>
      <c r="F48" s="927"/>
      <c r="G48" s="927"/>
      <c r="H48" s="927"/>
      <c r="I48" s="927"/>
      <c r="J48" s="928"/>
      <c r="K48" s="928"/>
      <c r="L48" s="929"/>
      <c r="M48" s="927"/>
      <c r="N48" s="930">
        <f>SUM(N46:N47)</f>
        <v>114.60735</v>
      </c>
      <c r="O48" s="927" t="s">
        <v>100</v>
      </c>
      <c r="P48" s="1587">
        <f>ROUND((N48),2)</f>
        <v>114.61</v>
      </c>
    </row>
    <row r="49" spans="1:16" ht="15.75" customHeight="1">
      <c r="A49" s="811" t="s">
        <v>101</v>
      </c>
      <c r="B49" s="357" t="s">
        <v>899</v>
      </c>
      <c r="C49" s="1465"/>
      <c r="D49" s="1465"/>
      <c r="E49" s="927"/>
      <c r="F49" s="927"/>
      <c r="G49" s="927"/>
      <c r="H49" s="927"/>
      <c r="I49" s="927"/>
      <c r="J49" s="928"/>
      <c r="K49" s="928"/>
      <c r="L49" s="929"/>
      <c r="M49" s="927"/>
      <c r="N49" s="927"/>
      <c r="O49" s="927"/>
      <c r="P49" s="1679"/>
    </row>
    <row r="50" spans="1:16" ht="15.75" customHeight="1">
      <c r="A50" s="811"/>
      <c r="B50" s="811" t="str">
        <f>B46</f>
        <v>vertikal</v>
      </c>
      <c r="C50" s="348">
        <f>(0.1+0.15)*2</f>
        <v>0.5</v>
      </c>
      <c r="D50" s="1465"/>
      <c r="E50" s="927"/>
      <c r="F50" s="927">
        <f>ROUNDDOWN((C46/0.125),0.1)+1</f>
        <v>57</v>
      </c>
      <c r="G50" s="927"/>
      <c r="H50" s="927"/>
      <c r="I50" s="927">
        <f>0.05*2</f>
        <v>0.1</v>
      </c>
      <c r="J50" s="928"/>
      <c r="K50" s="928"/>
      <c r="L50" s="929">
        <f>8*8*0.006165</f>
        <v>0.39456000000000002</v>
      </c>
      <c r="M50" s="927">
        <f>M46</f>
        <v>2</v>
      </c>
      <c r="N50" s="927">
        <f>(C50+I50)*F50*L50*M50</f>
        <v>26.987903999999997</v>
      </c>
      <c r="O50" s="927"/>
      <c r="P50" s="1679"/>
    </row>
    <row r="51" spans="1:16" ht="15.75" customHeight="1">
      <c r="A51" s="811"/>
      <c r="B51" s="811" t="str">
        <f>B47</f>
        <v>horisontal</v>
      </c>
      <c r="C51" s="1465">
        <f>C50</f>
        <v>0.5</v>
      </c>
      <c r="D51" s="1465"/>
      <c r="E51" s="927"/>
      <c r="F51" s="927">
        <f>ROUNDDOWN((C47/0.125),0.1)+1</f>
        <v>17</v>
      </c>
      <c r="G51" s="927"/>
      <c r="H51" s="927"/>
      <c r="I51" s="927">
        <f>I50</f>
        <v>0.1</v>
      </c>
      <c r="J51" s="928"/>
      <c r="K51" s="928"/>
      <c r="L51" s="929">
        <f>L50</f>
        <v>0.39456000000000002</v>
      </c>
      <c r="M51" s="927">
        <f>M47</f>
        <v>4</v>
      </c>
      <c r="N51" s="1680">
        <f>(C51+I51)*F51*L51*M51</f>
        <v>16.098047999999999</v>
      </c>
      <c r="O51" s="927"/>
      <c r="P51" s="1679"/>
    </row>
    <row r="52" spans="1:16" ht="15.75" customHeight="1">
      <c r="A52" s="811"/>
      <c r="B52" s="363"/>
      <c r="C52" s="1465"/>
      <c r="D52" s="1465"/>
      <c r="E52" s="927"/>
      <c r="F52" s="927"/>
      <c r="G52" s="927"/>
      <c r="H52" s="927"/>
      <c r="I52" s="927"/>
      <c r="J52" s="928"/>
      <c r="K52" s="928"/>
      <c r="L52" s="929"/>
      <c r="M52" s="927"/>
      <c r="N52" s="930">
        <f>SUM(N50:N51)</f>
        <v>43.085951999999992</v>
      </c>
      <c r="O52" s="927" t="s">
        <v>100</v>
      </c>
      <c r="P52" s="1587">
        <f>ROUND((N52),2)</f>
        <v>43.09</v>
      </c>
    </row>
    <row r="53" spans="1:16" ht="15.75" customHeight="1">
      <c r="A53" s="811" t="s">
        <v>121</v>
      </c>
      <c r="B53" s="351" t="s">
        <v>1043</v>
      </c>
      <c r="C53" s="1465"/>
      <c r="D53" s="1465"/>
      <c r="E53" s="927"/>
      <c r="F53" s="927"/>
      <c r="G53" s="927"/>
      <c r="H53" s="927"/>
      <c r="I53" s="927"/>
      <c r="J53" s="928"/>
      <c r="K53" s="928"/>
      <c r="L53" s="929"/>
      <c r="M53" s="927"/>
      <c r="N53" s="927"/>
      <c r="O53" s="927"/>
      <c r="P53" s="1679"/>
    </row>
    <row r="54" spans="1:16" ht="15.75" customHeight="1">
      <c r="A54" s="1684"/>
      <c r="B54" s="811" t="str">
        <f>B50</f>
        <v>vertikal</v>
      </c>
      <c r="C54" s="1465">
        <f>C46</f>
        <v>7</v>
      </c>
      <c r="D54" s="1465">
        <v>0.25</v>
      </c>
      <c r="E54" s="927">
        <v>0.3</v>
      </c>
      <c r="F54" s="927"/>
      <c r="G54" s="927"/>
      <c r="H54" s="927"/>
      <c r="I54" s="927"/>
      <c r="J54" s="928"/>
      <c r="K54" s="928"/>
      <c r="L54" s="929"/>
      <c r="M54" s="927">
        <f>M50</f>
        <v>2</v>
      </c>
      <c r="N54" s="927">
        <f>C54*D54*E54*M54</f>
        <v>1.05</v>
      </c>
      <c r="O54" s="927"/>
      <c r="P54" s="1679"/>
    </row>
    <row r="55" spans="1:16" ht="15.75" customHeight="1">
      <c r="A55" s="1684"/>
      <c r="B55" s="811" t="str">
        <f>B51</f>
        <v>horisontal</v>
      </c>
      <c r="C55" s="1465">
        <f>C47</f>
        <v>2</v>
      </c>
      <c r="D55" s="1465">
        <f>D54</f>
        <v>0.25</v>
      </c>
      <c r="E55" s="927">
        <f>E54</f>
        <v>0.3</v>
      </c>
      <c r="F55" s="927"/>
      <c r="G55" s="927"/>
      <c r="H55" s="927"/>
      <c r="I55" s="927"/>
      <c r="J55" s="928"/>
      <c r="K55" s="928"/>
      <c r="L55" s="929"/>
      <c r="M55" s="927">
        <f>M51</f>
        <v>4</v>
      </c>
      <c r="N55" s="1680">
        <f>C55*D55*E55*M55</f>
        <v>0.6</v>
      </c>
      <c r="O55" s="927"/>
      <c r="P55" s="1679"/>
    </row>
    <row r="56" spans="1:16" ht="15.75" customHeight="1">
      <c r="A56" s="1684"/>
      <c r="B56" s="363"/>
      <c r="C56" s="1465"/>
      <c r="D56" s="1465"/>
      <c r="E56" s="927"/>
      <c r="F56" s="927"/>
      <c r="G56" s="927"/>
      <c r="H56" s="927"/>
      <c r="I56" s="927"/>
      <c r="J56" s="928"/>
      <c r="K56" s="928"/>
      <c r="L56" s="929"/>
      <c r="M56" s="927"/>
      <c r="N56" s="930">
        <f>SUM(N54:N55)</f>
        <v>1.65</v>
      </c>
      <c r="O56" s="927" t="s">
        <v>103</v>
      </c>
      <c r="P56" s="1587">
        <f>ROUND((N56),2)</f>
        <v>1.65</v>
      </c>
    </row>
    <row r="57" spans="1:16" ht="15.75" customHeight="1">
      <c r="A57" s="737">
        <f>A40+1</f>
        <v>4</v>
      </c>
      <c r="B57" s="1685" t="s">
        <v>1978</v>
      </c>
      <c r="C57" s="1465"/>
      <c r="D57" s="1465"/>
      <c r="E57" s="927"/>
      <c r="F57" s="927"/>
      <c r="G57" s="927"/>
      <c r="H57" s="927"/>
      <c r="I57" s="927"/>
      <c r="J57" s="928"/>
      <c r="K57" s="928"/>
      <c r="L57" s="929"/>
      <c r="M57" s="927"/>
      <c r="N57" s="927"/>
      <c r="O57" s="927"/>
      <c r="P57" s="1679"/>
    </row>
    <row r="58" spans="1:16" ht="15.75" customHeight="1">
      <c r="A58" s="811" t="s">
        <v>95</v>
      </c>
      <c r="B58" s="351" t="s">
        <v>417</v>
      </c>
      <c r="C58" s="1465"/>
      <c r="D58" s="1465"/>
      <c r="E58" s="927"/>
      <c r="F58" s="927"/>
      <c r="G58" s="927"/>
      <c r="H58" s="927"/>
      <c r="I58" s="927"/>
      <c r="J58" s="928"/>
      <c r="K58" s="928"/>
      <c r="L58" s="929"/>
      <c r="M58" s="927"/>
      <c r="N58" s="927"/>
      <c r="O58" s="927"/>
      <c r="P58" s="1679"/>
    </row>
    <row r="59" spans="1:16" ht="15.75" customHeight="1">
      <c r="A59" s="811"/>
      <c r="B59" s="811" t="s">
        <v>1979</v>
      </c>
      <c r="C59" s="1465">
        <v>0.25</v>
      </c>
      <c r="D59" s="1465"/>
      <c r="E59" s="927">
        <v>3.6</v>
      </c>
      <c r="F59" s="927"/>
      <c r="G59" s="927"/>
      <c r="H59" s="927">
        <v>2</v>
      </c>
      <c r="I59" s="927"/>
      <c r="J59" s="928"/>
      <c r="K59" s="928"/>
      <c r="L59" s="929"/>
      <c r="M59" s="927">
        <v>4</v>
      </c>
      <c r="N59" s="927">
        <f>C59*E59*H59*M59</f>
        <v>7.2</v>
      </c>
      <c r="O59" s="927"/>
      <c r="P59" s="1679"/>
    </row>
    <row r="60" spans="1:16" ht="15.75" customHeight="1">
      <c r="A60" s="811"/>
      <c r="B60" s="811"/>
      <c r="C60" s="1465"/>
      <c r="D60" s="1465">
        <v>0.25</v>
      </c>
      <c r="E60" s="927">
        <f>E59</f>
        <v>3.6</v>
      </c>
      <c r="F60" s="927"/>
      <c r="G60" s="927"/>
      <c r="H60" s="927">
        <f>H59</f>
        <v>2</v>
      </c>
      <c r="I60" s="927"/>
      <c r="J60" s="928"/>
      <c r="K60" s="928"/>
      <c r="L60" s="929"/>
      <c r="M60" s="927">
        <f>M59</f>
        <v>4</v>
      </c>
      <c r="N60" s="927">
        <f>D60*E60*H60*M60</f>
        <v>7.2</v>
      </c>
      <c r="O60" s="927"/>
      <c r="P60" s="1679"/>
    </row>
    <row r="61" spans="1:16" ht="15.75" customHeight="1">
      <c r="A61" s="811"/>
      <c r="B61" s="811" t="s">
        <v>1980</v>
      </c>
      <c r="C61" s="1465">
        <f>C59</f>
        <v>0.25</v>
      </c>
      <c r="D61" s="1465"/>
      <c r="E61" s="927">
        <v>3.25</v>
      </c>
      <c r="F61" s="927"/>
      <c r="G61" s="927"/>
      <c r="H61" s="927">
        <f>H60</f>
        <v>2</v>
      </c>
      <c r="I61" s="927"/>
      <c r="J61" s="928"/>
      <c r="K61" s="928"/>
      <c r="L61" s="929"/>
      <c r="M61" s="927">
        <v>4</v>
      </c>
      <c r="N61" s="927">
        <f>C61*E61*H61*M61</f>
        <v>6.5</v>
      </c>
      <c r="O61" s="927"/>
      <c r="P61" s="1679"/>
    </row>
    <row r="62" spans="1:16" ht="15.75" customHeight="1">
      <c r="A62" s="811"/>
      <c r="B62" s="363"/>
      <c r="C62" s="1465"/>
      <c r="D62" s="1465">
        <f>D60</f>
        <v>0.25</v>
      </c>
      <c r="E62" s="927">
        <f>E61</f>
        <v>3.25</v>
      </c>
      <c r="F62" s="927"/>
      <c r="G62" s="927"/>
      <c r="H62" s="927">
        <f>H61</f>
        <v>2</v>
      </c>
      <c r="I62" s="927"/>
      <c r="J62" s="928"/>
      <c r="K62" s="928"/>
      <c r="L62" s="929"/>
      <c r="M62" s="927">
        <f>M61</f>
        <v>4</v>
      </c>
      <c r="N62" s="1680">
        <f>D62*E62*H62*M62</f>
        <v>6.5</v>
      </c>
      <c r="O62" s="927"/>
      <c r="P62" s="1679"/>
    </row>
    <row r="63" spans="1:16" ht="15.75" customHeight="1">
      <c r="A63" s="811"/>
      <c r="B63" s="363"/>
      <c r="C63" s="1465"/>
      <c r="D63" s="1465"/>
      <c r="E63" s="927"/>
      <c r="F63" s="927"/>
      <c r="G63" s="927"/>
      <c r="H63" s="927"/>
      <c r="I63" s="927"/>
      <c r="J63" s="928"/>
      <c r="K63" s="928"/>
      <c r="L63" s="929"/>
      <c r="M63" s="927"/>
      <c r="N63" s="930">
        <f>SUM(N59:N62)</f>
        <v>27.4</v>
      </c>
      <c r="O63" s="927" t="s">
        <v>89</v>
      </c>
      <c r="P63" s="1587">
        <f>ROUND((N63),2)</f>
        <v>27.4</v>
      </c>
    </row>
    <row r="64" spans="1:16" ht="15.75" customHeight="1">
      <c r="A64" s="811" t="s">
        <v>98</v>
      </c>
      <c r="B64" s="357" t="s">
        <v>902</v>
      </c>
      <c r="C64" s="1465"/>
      <c r="D64" s="1465"/>
      <c r="E64" s="927"/>
      <c r="F64" s="927"/>
      <c r="G64" s="927"/>
      <c r="H64" s="927"/>
      <c r="I64" s="927"/>
      <c r="J64" s="928"/>
      <c r="K64" s="928"/>
      <c r="L64" s="929"/>
      <c r="M64" s="927"/>
      <c r="N64" s="927"/>
      <c r="O64" s="927"/>
      <c r="P64" s="1679"/>
    </row>
    <row r="65" spans="1:16" ht="15.75" customHeight="1">
      <c r="A65" s="811"/>
      <c r="B65" s="811" t="str">
        <f>B59</f>
        <v>Tinggi 360 cm</v>
      </c>
      <c r="C65" s="1465"/>
      <c r="D65" s="1465"/>
      <c r="E65" s="927">
        <f>E60</f>
        <v>3.6</v>
      </c>
      <c r="F65" s="927">
        <v>8</v>
      </c>
      <c r="G65" s="927"/>
      <c r="H65" s="927"/>
      <c r="I65" s="927"/>
      <c r="J65" s="928">
        <v>0.5</v>
      </c>
      <c r="K65" s="928">
        <v>0.1</v>
      </c>
      <c r="L65" s="929">
        <f>13*13*0.006165</f>
        <v>1.041885</v>
      </c>
      <c r="M65" s="927">
        <f>M60</f>
        <v>4</v>
      </c>
      <c r="N65" s="927">
        <f>(E65+J65+K65)*F65*L65*M65</f>
        <v>140.02934399999998</v>
      </c>
      <c r="O65" s="927"/>
      <c r="P65" s="1679"/>
    </row>
    <row r="66" spans="1:16" ht="15.75" customHeight="1">
      <c r="A66" s="811"/>
      <c r="B66" s="811" t="str">
        <f>B61</f>
        <v>Tinggi 325 cm</v>
      </c>
      <c r="C66" s="1465"/>
      <c r="D66" s="1465"/>
      <c r="E66" s="927">
        <f>E62</f>
        <v>3.25</v>
      </c>
      <c r="F66" s="927">
        <f>F65</f>
        <v>8</v>
      </c>
      <c r="G66" s="927"/>
      <c r="H66" s="927"/>
      <c r="I66" s="927"/>
      <c r="J66" s="928">
        <f>J65</f>
        <v>0.5</v>
      </c>
      <c r="K66" s="928">
        <f>K65</f>
        <v>0.1</v>
      </c>
      <c r="L66" s="929">
        <f>L65</f>
        <v>1.041885</v>
      </c>
      <c r="M66" s="927">
        <f>M62</f>
        <v>4</v>
      </c>
      <c r="N66" s="1680">
        <f>(E66+J66+K66)*F66*L66*M66</f>
        <v>128.360232</v>
      </c>
      <c r="O66" s="927"/>
      <c r="P66" s="1679"/>
    </row>
    <row r="67" spans="1:16" ht="15.75" customHeight="1">
      <c r="A67" s="811"/>
      <c r="B67" s="363"/>
      <c r="C67" s="1465"/>
      <c r="D67" s="1465"/>
      <c r="E67" s="927"/>
      <c r="F67" s="927"/>
      <c r="G67" s="927"/>
      <c r="H67" s="927"/>
      <c r="I67" s="927"/>
      <c r="J67" s="928"/>
      <c r="K67" s="928"/>
      <c r="L67" s="929"/>
      <c r="M67" s="927"/>
      <c r="N67" s="930">
        <f>SUM(N65:N66)</f>
        <v>268.38957599999998</v>
      </c>
      <c r="O67" s="927" t="s">
        <v>100</v>
      </c>
      <c r="P67" s="1587">
        <f>ROUND((N67),2)</f>
        <v>268.39</v>
      </c>
    </row>
    <row r="68" spans="1:16" ht="15.75" customHeight="1">
      <c r="A68" s="811" t="s">
        <v>101</v>
      </c>
      <c r="B68" s="357" t="s">
        <v>899</v>
      </c>
      <c r="C68" s="1465"/>
      <c r="D68" s="1465"/>
      <c r="E68" s="927"/>
      <c r="F68" s="927"/>
      <c r="G68" s="927"/>
      <c r="H68" s="927"/>
      <c r="I68" s="927"/>
      <c r="J68" s="928"/>
      <c r="K68" s="928"/>
      <c r="L68" s="929"/>
      <c r="M68" s="927"/>
      <c r="N68" s="927"/>
      <c r="O68" s="927"/>
      <c r="P68" s="1679"/>
    </row>
    <row r="69" spans="1:16" ht="15.75" customHeight="1">
      <c r="A69" s="811"/>
      <c r="B69" s="811" t="str">
        <f>B65</f>
        <v>Tinggi 360 cm</v>
      </c>
      <c r="C69" s="348">
        <f>0.17*4</f>
        <v>0.68</v>
      </c>
      <c r="D69" s="1465"/>
      <c r="E69" s="927"/>
      <c r="F69" s="927">
        <f>ROUNDDOWN((E65/0.125),0.1)+1</f>
        <v>29</v>
      </c>
      <c r="G69" s="927"/>
      <c r="H69" s="927"/>
      <c r="I69" s="927">
        <f>0.05*2</f>
        <v>0.1</v>
      </c>
      <c r="J69" s="928"/>
      <c r="K69" s="928"/>
      <c r="L69" s="929">
        <f>8*8*0.006165</f>
        <v>0.39456000000000002</v>
      </c>
      <c r="M69" s="927">
        <f>M65</f>
        <v>4</v>
      </c>
      <c r="N69" s="927">
        <f>(C69+I69)*F69*L69*M69</f>
        <v>35.6997888</v>
      </c>
      <c r="O69" s="927"/>
      <c r="P69" s="1679"/>
    </row>
    <row r="70" spans="1:16" ht="15.75" customHeight="1">
      <c r="A70" s="811"/>
      <c r="B70" s="811" t="str">
        <f>B66</f>
        <v>Tinggi 325 cm</v>
      </c>
      <c r="C70" s="1465">
        <f>C69</f>
        <v>0.68</v>
      </c>
      <c r="D70" s="1465"/>
      <c r="E70" s="927"/>
      <c r="F70" s="927">
        <f>ROUNDDOWN((E66/0.125),0.1)+1</f>
        <v>27</v>
      </c>
      <c r="G70" s="927"/>
      <c r="H70" s="927"/>
      <c r="I70" s="927">
        <f>I69</f>
        <v>0.1</v>
      </c>
      <c r="J70" s="928"/>
      <c r="K70" s="928"/>
      <c r="L70" s="929">
        <f>L69</f>
        <v>0.39456000000000002</v>
      </c>
      <c r="M70" s="927">
        <f>M66</f>
        <v>4</v>
      </c>
      <c r="N70" s="1680">
        <f>(C70+I70)*F70*L70*M70</f>
        <v>33.237734400000008</v>
      </c>
      <c r="O70" s="927"/>
      <c r="P70" s="1679"/>
    </row>
    <row r="71" spans="1:16" ht="15.75" customHeight="1">
      <c r="A71" s="811"/>
      <c r="B71" s="363"/>
      <c r="C71" s="1465"/>
      <c r="D71" s="1465"/>
      <c r="E71" s="927"/>
      <c r="F71" s="927"/>
      <c r="G71" s="927"/>
      <c r="H71" s="927"/>
      <c r="I71" s="927"/>
      <c r="J71" s="928"/>
      <c r="K71" s="928"/>
      <c r="L71" s="929"/>
      <c r="M71" s="927"/>
      <c r="N71" s="930">
        <f>SUM(N69:N70)</f>
        <v>68.937523200000015</v>
      </c>
      <c r="O71" s="927" t="s">
        <v>100</v>
      </c>
      <c r="P71" s="1587">
        <f>ROUND((N71),2)</f>
        <v>68.94</v>
      </c>
    </row>
    <row r="72" spans="1:16" ht="15.75" customHeight="1">
      <c r="A72" s="811" t="s">
        <v>121</v>
      </c>
      <c r="B72" s="351" t="s">
        <v>1043</v>
      </c>
      <c r="C72" s="1465"/>
      <c r="D72" s="1465"/>
      <c r="E72" s="927"/>
      <c r="F72" s="927"/>
      <c r="G72" s="927"/>
      <c r="H72" s="927"/>
      <c r="I72" s="927"/>
      <c r="J72" s="928"/>
      <c r="K72" s="928"/>
      <c r="L72" s="929"/>
      <c r="M72" s="927"/>
      <c r="N72" s="927"/>
      <c r="O72" s="927"/>
      <c r="P72" s="1679"/>
    </row>
    <row r="73" spans="1:16" ht="15.75" customHeight="1">
      <c r="A73" s="1684"/>
      <c r="B73" s="811" t="str">
        <f>B69</f>
        <v>Tinggi 360 cm</v>
      </c>
      <c r="C73" s="1465">
        <v>0.25</v>
      </c>
      <c r="D73" s="1465">
        <v>0.25</v>
      </c>
      <c r="E73" s="927">
        <f>E65</f>
        <v>3.6</v>
      </c>
      <c r="F73" s="927"/>
      <c r="G73" s="927"/>
      <c r="H73" s="927"/>
      <c r="I73" s="927"/>
      <c r="J73" s="928"/>
      <c r="K73" s="928"/>
      <c r="L73" s="929"/>
      <c r="M73" s="927">
        <f>M69</f>
        <v>4</v>
      </c>
      <c r="N73" s="927">
        <f>C73*D73*E73*M73</f>
        <v>0.9</v>
      </c>
      <c r="O73" s="927"/>
      <c r="P73" s="1679"/>
    </row>
    <row r="74" spans="1:16" ht="15.75" customHeight="1">
      <c r="A74" s="1684"/>
      <c r="B74" s="811" t="str">
        <f>B70</f>
        <v>Tinggi 325 cm</v>
      </c>
      <c r="C74" s="1465">
        <f>C73</f>
        <v>0.25</v>
      </c>
      <c r="D74" s="1465">
        <f>D73</f>
        <v>0.25</v>
      </c>
      <c r="E74" s="927">
        <f>E66</f>
        <v>3.25</v>
      </c>
      <c r="F74" s="927"/>
      <c r="G74" s="927"/>
      <c r="H74" s="927"/>
      <c r="I74" s="927"/>
      <c r="J74" s="928"/>
      <c r="K74" s="928"/>
      <c r="L74" s="929"/>
      <c r="M74" s="927">
        <f>M70</f>
        <v>4</v>
      </c>
      <c r="N74" s="1680">
        <f>C74*D74*E74*M74</f>
        <v>0.8125</v>
      </c>
      <c r="O74" s="927"/>
      <c r="P74" s="1679"/>
    </row>
    <row r="75" spans="1:16" ht="15.75" customHeight="1">
      <c r="A75" s="1684"/>
      <c r="B75" s="363"/>
      <c r="C75" s="1465"/>
      <c r="D75" s="1465"/>
      <c r="E75" s="927"/>
      <c r="F75" s="927"/>
      <c r="G75" s="927"/>
      <c r="H75" s="927"/>
      <c r="I75" s="927"/>
      <c r="J75" s="928"/>
      <c r="K75" s="928"/>
      <c r="L75" s="929"/>
      <c r="M75" s="927"/>
      <c r="N75" s="930">
        <f>SUM(N73:N74)</f>
        <v>1.7124999999999999</v>
      </c>
      <c r="O75" s="927" t="s">
        <v>103</v>
      </c>
      <c r="P75" s="1587">
        <f>ROUND((N75),2)</f>
        <v>1.71</v>
      </c>
    </row>
    <row r="76" spans="1:16" ht="15.75" customHeight="1">
      <c r="A76" s="737">
        <f>A57+1</f>
        <v>5</v>
      </c>
      <c r="B76" s="363" t="s">
        <v>1981</v>
      </c>
      <c r="C76" s="1465"/>
      <c r="D76" s="1465"/>
      <c r="E76" s="927"/>
      <c r="F76" s="927"/>
      <c r="G76" s="927"/>
      <c r="H76" s="927"/>
      <c r="I76" s="927"/>
      <c r="J76" s="928"/>
      <c r="K76" s="928"/>
      <c r="L76" s="929"/>
      <c r="M76" s="927"/>
      <c r="N76" s="927"/>
      <c r="O76" s="927"/>
      <c r="P76" s="1679"/>
    </row>
    <row r="77" spans="1:16" ht="15.75" customHeight="1">
      <c r="A77" s="811" t="s">
        <v>95</v>
      </c>
      <c r="B77" s="351" t="s">
        <v>417</v>
      </c>
      <c r="C77" s="1465"/>
      <c r="D77" s="1465"/>
      <c r="E77" s="927"/>
      <c r="F77" s="927"/>
      <c r="G77" s="927"/>
      <c r="H77" s="927"/>
      <c r="I77" s="927"/>
      <c r="J77" s="928"/>
      <c r="K77" s="928"/>
      <c r="L77" s="929"/>
      <c r="M77" s="927"/>
      <c r="N77" s="927"/>
      <c r="O77" s="927"/>
      <c r="P77" s="1679"/>
    </row>
    <row r="78" spans="1:16" ht="15.75" customHeight="1">
      <c r="A78" s="811"/>
      <c r="B78" s="811" t="str">
        <f>B73</f>
        <v>Tinggi 360 cm</v>
      </c>
      <c r="C78" s="1465"/>
      <c r="D78" s="1465">
        <v>0.15</v>
      </c>
      <c r="E78" s="927">
        <f>E73</f>
        <v>3.6</v>
      </c>
      <c r="F78" s="927"/>
      <c r="G78" s="927"/>
      <c r="H78" s="927">
        <v>2</v>
      </c>
      <c r="I78" s="927"/>
      <c r="J78" s="928"/>
      <c r="K78" s="928"/>
      <c r="L78" s="929"/>
      <c r="M78" s="927">
        <v>1</v>
      </c>
      <c r="N78" s="927">
        <f>D78*E78*H78*M78</f>
        <v>1.08</v>
      </c>
      <c r="O78" s="927"/>
      <c r="P78" s="1679"/>
    </row>
    <row r="79" spans="1:16" ht="15.75" customHeight="1">
      <c r="A79" s="811"/>
      <c r="B79" s="811"/>
      <c r="C79" s="1465"/>
      <c r="D79" s="1465">
        <f>D78</f>
        <v>0.15</v>
      </c>
      <c r="E79" s="927">
        <f>E78</f>
        <v>3.6</v>
      </c>
      <c r="F79" s="927"/>
      <c r="G79" s="927"/>
      <c r="H79" s="927">
        <f>H78</f>
        <v>2</v>
      </c>
      <c r="I79" s="927"/>
      <c r="J79" s="928"/>
      <c r="K79" s="928"/>
      <c r="L79" s="929"/>
      <c r="M79" s="927">
        <f>M78</f>
        <v>1</v>
      </c>
      <c r="N79" s="927">
        <f>D79*E79*H79*M79</f>
        <v>1.08</v>
      </c>
      <c r="O79" s="927"/>
      <c r="P79" s="1679"/>
    </row>
    <row r="80" spans="1:16" ht="15.75" customHeight="1">
      <c r="A80" s="811"/>
      <c r="B80" s="811" t="str">
        <f>B74</f>
        <v>Tinggi 325 cm</v>
      </c>
      <c r="C80" s="1465"/>
      <c r="D80" s="1465">
        <f>D79</f>
        <v>0.15</v>
      </c>
      <c r="E80" s="927">
        <f>E74</f>
        <v>3.25</v>
      </c>
      <c r="F80" s="927"/>
      <c r="G80" s="927"/>
      <c r="H80" s="927">
        <f>H79</f>
        <v>2</v>
      </c>
      <c r="I80" s="927"/>
      <c r="J80" s="928"/>
      <c r="K80" s="928"/>
      <c r="L80" s="929"/>
      <c r="M80" s="927">
        <v>5</v>
      </c>
      <c r="N80" s="927">
        <f>D80*E80*H80*M80</f>
        <v>4.875</v>
      </c>
      <c r="O80" s="927"/>
      <c r="P80" s="1679"/>
    </row>
    <row r="81" spans="1:16" ht="15.75" customHeight="1">
      <c r="A81" s="811"/>
      <c r="B81" s="363"/>
      <c r="C81" s="1465"/>
      <c r="D81" s="1465">
        <f>D80</f>
        <v>0.15</v>
      </c>
      <c r="E81" s="927">
        <f>E80</f>
        <v>3.25</v>
      </c>
      <c r="F81" s="927"/>
      <c r="G81" s="927"/>
      <c r="H81" s="927">
        <f>H80</f>
        <v>2</v>
      </c>
      <c r="I81" s="927"/>
      <c r="J81" s="928"/>
      <c r="K81" s="928"/>
      <c r="L81" s="929"/>
      <c r="M81" s="927">
        <f>M80</f>
        <v>5</v>
      </c>
      <c r="N81" s="1680">
        <f>D81*E81*H81*M81</f>
        <v>4.875</v>
      </c>
      <c r="O81" s="927"/>
      <c r="P81" s="1679"/>
    </row>
    <row r="82" spans="1:16" ht="15.75" customHeight="1">
      <c r="A82" s="811"/>
      <c r="B82" s="363"/>
      <c r="C82" s="1465"/>
      <c r="D82" s="1465"/>
      <c r="E82" s="927"/>
      <c r="F82" s="927"/>
      <c r="G82" s="927"/>
      <c r="H82" s="927"/>
      <c r="I82" s="927"/>
      <c r="J82" s="928"/>
      <c r="K82" s="928"/>
      <c r="L82" s="929"/>
      <c r="M82" s="927"/>
      <c r="N82" s="930">
        <f>SUM(N78:N81)</f>
        <v>11.91</v>
      </c>
      <c r="O82" s="927" t="s">
        <v>89</v>
      </c>
      <c r="P82" s="1587">
        <f>ROUND((N82),2)</f>
        <v>11.91</v>
      </c>
    </row>
    <row r="83" spans="1:16" ht="15.75" customHeight="1">
      <c r="A83" s="811" t="s">
        <v>98</v>
      </c>
      <c r="B83" s="357" t="s">
        <v>900</v>
      </c>
      <c r="C83" s="1465"/>
      <c r="D83" s="1465"/>
      <c r="E83" s="927"/>
      <c r="F83" s="927"/>
      <c r="G83" s="927"/>
      <c r="H83" s="927"/>
      <c r="I83" s="927"/>
      <c r="J83" s="928"/>
      <c r="K83" s="928"/>
      <c r="L83" s="929"/>
      <c r="M83" s="927"/>
      <c r="N83" s="927"/>
      <c r="O83" s="927"/>
      <c r="P83" s="1679"/>
    </row>
    <row r="84" spans="1:16" ht="15.75" customHeight="1">
      <c r="A84" s="811"/>
      <c r="B84" s="811" t="str">
        <f>B78</f>
        <v>Tinggi 360 cm</v>
      </c>
      <c r="C84" s="1465"/>
      <c r="D84" s="1465"/>
      <c r="E84" s="927">
        <f>E79</f>
        <v>3.6</v>
      </c>
      <c r="F84" s="927">
        <v>4</v>
      </c>
      <c r="G84" s="927"/>
      <c r="H84" s="927"/>
      <c r="I84" s="927"/>
      <c r="J84" s="928">
        <v>0.1</v>
      </c>
      <c r="K84" s="928">
        <v>0.05</v>
      </c>
      <c r="L84" s="929">
        <f>13*13*0.006165</f>
        <v>1.041885</v>
      </c>
      <c r="M84" s="927">
        <f>M79</f>
        <v>1</v>
      </c>
      <c r="N84" s="927">
        <f>(E84+J84+K84)*F84*L84*M84</f>
        <v>15.628274999999999</v>
      </c>
      <c r="O84" s="927"/>
      <c r="P84" s="1679"/>
    </row>
    <row r="85" spans="1:16" ht="15.75" customHeight="1">
      <c r="A85" s="811"/>
      <c r="B85" s="811" t="str">
        <f>B80</f>
        <v>Tinggi 325 cm</v>
      </c>
      <c r="C85" s="1465"/>
      <c r="D85" s="1465"/>
      <c r="E85" s="927">
        <f>E81</f>
        <v>3.25</v>
      </c>
      <c r="F85" s="927">
        <f>F84</f>
        <v>4</v>
      </c>
      <c r="G85" s="927"/>
      <c r="H85" s="927"/>
      <c r="I85" s="927"/>
      <c r="J85" s="928">
        <f>J84</f>
        <v>0.1</v>
      </c>
      <c r="K85" s="928">
        <f>K84</f>
        <v>0.05</v>
      </c>
      <c r="L85" s="929">
        <f>L84</f>
        <v>1.041885</v>
      </c>
      <c r="M85" s="927">
        <f>M81</f>
        <v>5</v>
      </c>
      <c r="N85" s="1680">
        <f>(E85+J85+K85)*F85*L85*M85</f>
        <v>70.848179999999999</v>
      </c>
      <c r="O85" s="927"/>
      <c r="P85" s="1679"/>
    </row>
    <row r="86" spans="1:16" ht="15.75" customHeight="1">
      <c r="A86" s="811"/>
      <c r="B86" s="363"/>
      <c r="C86" s="1465"/>
      <c r="D86" s="1465"/>
      <c r="E86" s="927"/>
      <c r="F86" s="927"/>
      <c r="G86" s="927"/>
      <c r="H86" s="927"/>
      <c r="I86" s="927"/>
      <c r="J86" s="928"/>
      <c r="K86" s="928"/>
      <c r="L86" s="929"/>
      <c r="M86" s="927"/>
      <c r="N86" s="930">
        <f>SUM(N84:N85)</f>
        <v>86.476455000000001</v>
      </c>
      <c r="O86" s="927" t="s">
        <v>100</v>
      </c>
      <c r="P86" s="1587">
        <f>ROUND((N86),2)</f>
        <v>86.48</v>
      </c>
    </row>
    <row r="87" spans="1:16" ht="15.75" customHeight="1">
      <c r="A87" s="811" t="s">
        <v>101</v>
      </c>
      <c r="B87" s="357" t="s">
        <v>1951</v>
      </c>
      <c r="C87" s="1465"/>
      <c r="D87" s="1465"/>
      <c r="E87" s="927"/>
      <c r="F87" s="927"/>
      <c r="G87" s="927"/>
      <c r="H87" s="927"/>
      <c r="I87" s="927"/>
      <c r="J87" s="928"/>
      <c r="K87" s="928"/>
      <c r="L87" s="929"/>
      <c r="M87" s="927"/>
      <c r="N87" s="927"/>
      <c r="O87" s="927"/>
      <c r="P87" s="1679"/>
    </row>
    <row r="88" spans="1:16" ht="15.75" customHeight="1">
      <c r="A88" s="811"/>
      <c r="B88" s="811" t="str">
        <f>B84</f>
        <v>Tinggi 360 cm</v>
      </c>
      <c r="C88" s="1465">
        <f>0.09*4</f>
        <v>0.36</v>
      </c>
      <c r="D88" s="1465"/>
      <c r="E88" s="927"/>
      <c r="F88" s="927">
        <f>ROUNDDOWN((E84/0.15),0.1)+1</f>
        <v>25</v>
      </c>
      <c r="G88" s="927"/>
      <c r="H88" s="927"/>
      <c r="I88" s="927">
        <f>0.05*2</f>
        <v>0.1</v>
      </c>
      <c r="J88" s="928"/>
      <c r="K88" s="928"/>
      <c r="L88" s="929">
        <f>8*8*0.006165</f>
        <v>0.39456000000000002</v>
      </c>
      <c r="M88" s="927">
        <f>M84</f>
        <v>1</v>
      </c>
      <c r="N88" s="927">
        <f>(C88+I88)*F88*L88*M88</f>
        <v>4.5374400000000001</v>
      </c>
      <c r="O88" s="927"/>
      <c r="P88" s="1679"/>
    </row>
    <row r="89" spans="1:16" ht="15.75" customHeight="1">
      <c r="A89" s="811"/>
      <c r="B89" s="811" t="str">
        <f>B85</f>
        <v>Tinggi 325 cm</v>
      </c>
      <c r="C89" s="1465">
        <f>C88</f>
        <v>0.36</v>
      </c>
      <c r="D89" s="1465"/>
      <c r="E89" s="927"/>
      <c r="F89" s="927">
        <f>ROUNDDOWN((E85/0.15),0.1)+1</f>
        <v>22</v>
      </c>
      <c r="G89" s="927"/>
      <c r="H89" s="927"/>
      <c r="I89" s="927">
        <f>I88</f>
        <v>0.1</v>
      </c>
      <c r="J89" s="928"/>
      <c r="K89" s="928"/>
      <c r="L89" s="929">
        <f>L88</f>
        <v>0.39456000000000002</v>
      </c>
      <c r="M89" s="927">
        <f>M85</f>
        <v>5</v>
      </c>
      <c r="N89" s="1680">
        <f>(C89+I89)*F89*L89*M89</f>
        <v>19.964735999999998</v>
      </c>
      <c r="O89" s="927"/>
      <c r="P89" s="1679"/>
    </row>
    <row r="90" spans="1:16" ht="15.75" customHeight="1">
      <c r="A90" s="811"/>
      <c r="B90" s="363"/>
      <c r="C90" s="1465"/>
      <c r="D90" s="1465"/>
      <c r="E90" s="927"/>
      <c r="F90" s="927"/>
      <c r="G90" s="927"/>
      <c r="H90" s="927"/>
      <c r="I90" s="927"/>
      <c r="J90" s="928"/>
      <c r="K90" s="928"/>
      <c r="L90" s="929"/>
      <c r="M90" s="927"/>
      <c r="N90" s="930">
        <f>SUM(N88:N89)</f>
        <v>24.502175999999999</v>
      </c>
      <c r="O90" s="927" t="s">
        <v>100</v>
      </c>
      <c r="P90" s="1587">
        <f>ROUND((N90),2)</f>
        <v>24.5</v>
      </c>
    </row>
    <row r="91" spans="1:16" ht="15.75" customHeight="1">
      <c r="A91" s="811" t="s">
        <v>121</v>
      </c>
      <c r="B91" s="351" t="s">
        <v>1043</v>
      </c>
      <c r="C91" s="1465"/>
      <c r="D91" s="1465"/>
      <c r="E91" s="927"/>
      <c r="F91" s="927"/>
      <c r="G91" s="927"/>
      <c r="H91" s="927"/>
      <c r="I91" s="927"/>
      <c r="J91" s="928"/>
      <c r="K91" s="928"/>
      <c r="L91" s="929"/>
      <c r="M91" s="927"/>
      <c r="N91" s="927"/>
      <c r="O91" s="927"/>
      <c r="P91" s="1679"/>
    </row>
    <row r="92" spans="1:16" ht="15.75" customHeight="1">
      <c r="A92" s="1686"/>
      <c r="B92" s="811" t="str">
        <f>B88</f>
        <v>Tinggi 360 cm</v>
      </c>
      <c r="C92" s="1465">
        <v>0.15</v>
      </c>
      <c r="D92" s="1465">
        <v>0.15</v>
      </c>
      <c r="E92" s="927">
        <f>E84</f>
        <v>3.6</v>
      </c>
      <c r="F92" s="927"/>
      <c r="G92" s="927"/>
      <c r="H92" s="927"/>
      <c r="I92" s="927"/>
      <c r="J92" s="928"/>
      <c r="K92" s="928"/>
      <c r="L92" s="929"/>
      <c r="M92" s="927">
        <f>M88</f>
        <v>1</v>
      </c>
      <c r="N92" s="927">
        <f>C92*D92*E92*M92</f>
        <v>8.1000000000000003E-2</v>
      </c>
      <c r="O92" s="927"/>
      <c r="P92" s="1679"/>
    </row>
    <row r="93" spans="1:16" ht="15.75" customHeight="1">
      <c r="A93" s="1686"/>
      <c r="B93" s="811" t="str">
        <f>B89</f>
        <v>Tinggi 325 cm</v>
      </c>
      <c r="C93" s="1465">
        <f>C92</f>
        <v>0.15</v>
      </c>
      <c r="D93" s="1465">
        <f>D92</f>
        <v>0.15</v>
      </c>
      <c r="E93" s="927">
        <f>E85</f>
        <v>3.25</v>
      </c>
      <c r="F93" s="927"/>
      <c r="G93" s="927"/>
      <c r="H93" s="927"/>
      <c r="I93" s="927"/>
      <c r="J93" s="928"/>
      <c r="K93" s="928"/>
      <c r="L93" s="929"/>
      <c r="M93" s="927">
        <f>M89</f>
        <v>5</v>
      </c>
      <c r="N93" s="1680">
        <f>C93*D93*E93*M93</f>
        <v>0.36562499999999998</v>
      </c>
      <c r="O93" s="927"/>
      <c r="P93" s="1679"/>
    </row>
    <row r="94" spans="1:16" ht="15.75" customHeight="1">
      <c r="A94" s="1686"/>
      <c r="B94" s="363"/>
      <c r="C94" s="1465"/>
      <c r="D94" s="1465"/>
      <c r="E94" s="927"/>
      <c r="F94" s="927"/>
      <c r="G94" s="927"/>
      <c r="H94" s="927"/>
      <c r="I94" s="927"/>
      <c r="J94" s="928"/>
      <c r="K94" s="928"/>
      <c r="L94" s="929"/>
      <c r="M94" s="927"/>
      <c r="N94" s="930">
        <f>SUM(N92:N93)</f>
        <v>0.44662499999999999</v>
      </c>
      <c r="O94" s="927" t="s">
        <v>103</v>
      </c>
      <c r="P94" s="1587">
        <f>ROUND((N94),2)</f>
        <v>0.45</v>
      </c>
    </row>
    <row r="95" spans="1:16" ht="15.75" customHeight="1">
      <c r="A95" s="1683">
        <f>A76+1</f>
        <v>6</v>
      </c>
      <c r="B95" s="363" t="s">
        <v>422</v>
      </c>
      <c r="C95" s="1465"/>
      <c r="D95" s="1465"/>
      <c r="E95" s="927"/>
      <c r="F95" s="927"/>
      <c r="G95" s="927"/>
      <c r="H95" s="927"/>
      <c r="I95" s="927"/>
      <c r="J95" s="928"/>
      <c r="K95" s="928"/>
      <c r="L95" s="929"/>
      <c r="M95" s="927"/>
      <c r="N95" s="927"/>
      <c r="O95" s="927"/>
      <c r="P95" s="1679"/>
    </row>
    <row r="96" spans="1:16" ht="15.75" customHeight="1">
      <c r="A96" s="811" t="s">
        <v>95</v>
      </c>
      <c r="B96" s="351" t="s">
        <v>423</v>
      </c>
      <c r="C96" s="1465"/>
      <c r="D96" s="1465"/>
      <c r="E96" s="927"/>
      <c r="F96" s="927"/>
      <c r="G96" s="927"/>
      <c r="H96" s="927"/>
      <c r="I96" s="927"/>
      <c r="J96" s="928"/>
      <c r="K96" s="928"/>
      <c r="L96" s="929"/>
      <c r="M96" s="927"/>
      <c r="N96" s="927"/>
      <c r="O96" s="927"/>
      <c r="P96" s="1679"/>
    </row>
    <row r="97" spans="1:16" ht="15.75" customHeight="1">
      <c r="A97" s="811"/>
      <c r="B97" s="811" t="s">
        <v>1044</v>
      </c>
      <c r="C97" s="1465">
        <v>2</v>
      </c>
      <c r="D97" s="1465"/>
      <c r="E97" s="927">
        <v>0.35</v>
      </c>
      <c r="F97" s="927"/>
      <c r="G97" s="927"/>
      <c r="H97" s="927">
        <v>2</v>
      </c>
      <c r="I97" s="927"/>
      <c r="J97" s="928"/>
      <c r="K97" s="928"/>
      <c r="L97" s="929"/>
      <c r="M97" s="927">
        <v>5</v>
      </c>
      <c r="N97" s="927">
        <f>C97*E97*H97*M97</f>
        <v>7</v>
      </c>
      <c r="O97" s="927"/>
      <c r="P97" s="1679"/>
    </row>
    <row r="98" spans="1:16" ht="15.75" customHeight="1">
      <c r="A98" s="811"/>
      <c r="B98" s="811"/>
      <c r="C98" s="1465">
        <f>C97</f>
        <v>2</v>
      </c>
      <c r="D98" s="1465">
        <v>0.2</v>
      </c>
      <c r="E98" s="927"/>
      <c r="F98" s="927"/>
      <c r="G98" s="927"/>
      <c r="H98" s="927">
        <v>1</v>
      </c>
      <c r="I98" s="927"/>
      <c r="J98" s="928"/>
      <c r="K98" s="928"/>
      <c r="L98" s="929"/>
      <c r="M98" s="927">
        <f>M97</f>
        <v>5</v>
      </c>
      <c r="N98" s="927">
        <f>C98*D98*H98*M98</f>
        <v>2</v>
      </c>
      <c r="O98" s="927"/>
      <c r="P98" s="1679"/>
    </row>
    <row r="99" spans="1:16" ht="15.75" customHeight="1">
      <c r="A99" s="811"/>
      <c r="B99" s="811" t="s">
        <v>136</v>
      </c>
      <c r="C99" s="1465">
        <v>7</v>
      </c>
      <c r="D99" s="1465"/>
      <c r="E99" s="927">
        <f>E97</f>
        <v>0.35</v>
      </c>
      <c r="F99" s="927"/>
      <c r="G99" s="927"/>
      <c r="H99" s="927">
        <f>H97</f>
        <v>2</v>
      </c>
      <c r="I99" s="927"/>
      <c r="J99" s="928"/>
      <c r="K99" s="928"/>
      <c r="L99" s="929"/>
      <c r="M99" s="927">
        <v>2</v>
      </c>
      <c r="N99" s="927">
        <f>C99*E99*H99*M99</f>
        <v>9.7999999999999989</v>
      </c>
      <c r="O99" s="927"/>
      <c r="P99" s="1679"/>
    </row>
    <row r="100" spans="1:16" ht="15.75" customHeight="1">
      <c r="A100" s="811"/>
      <c r="B100" s="811"/>
      <c r="C100" s="1465">
        <f>C99</f>
        <v>7</v>
      </c>
      <c r="D100" s="1465">
        <f>D98</f>
        <v>0.2</v>
      </c>
      <c r="E100" s="927"/>
      <c r="F100" s="927"/>
      <c r="G100" s="927"/>
      <c r="H100" s="927">
        <f>H98</f>
        <v>1</v>
      </c>
      <c r="I100" s="927"/>
      <c r="J100" s="928"/>
      <c r="K100" s="928"/>
      <c r="L100" s="929"/>
      <c r="M100" s="927">
        <f>M99</f>
        <v>2</v>
      </c>
      <c r="N100" s="1680">
        <f>C100*D100*H100*M100</f>
        <v>2.8000000000000003</v>
      </c>
      <c r="O100" s="927"/>
      <c r="P100" s="1679"/>
    </row>
    <row r="101" spans="1:16" ht="15.75" customHeight="1">
      <c r="A101" s="811"/>
      <c r="B101" s="811"/>
      <c r="C101" s="1465"/>
      <c r="D101" s="1465"/>
      <c r="E101" s="927"/>
      <c r="F101" s="927"/>
      <c r="G101" s="927"/>
      <c r="H101" s="927"/>
      <c r="I101" s="927"/>
      <c r="J101" s="928"/>
      <c r="K101" s="928"/>
      <c r="L101" s="929"/>
      <c r="M101" s="927"/>
      <c r="N101" s="930">
        <f>SUM(N97:N100)</f>
        <v>21.599999999999998</v>
      </c>
      <c r="O101" s="927" t="s">
        <v>89</v>
      </c>
      <c r="P101" s="1587">
        <f>ROUND((N101),2)</f>
        <v>21.6</v>
      </c>
    </row>
    <row r="102" spans="1:16" ht="15.75" customHeight="1">
      <c r="A102" s="811" t="s">
        <v>98</v>
      </c>
      <c r="B102" s="357" t="s">
        <v>902</v>
      </c>
      <c r="C102" s="1465"/>
      <c r="D102" s="1465"/>
      <c r="E102" s="927"/>
      <c r="F102" s="927"/>
      <c r="G102" s="927"/>
      <c r="H102" s="927"/>
      <c r="I102" s="927"/>
      <c r="J102" s="928"/>
      <c r="K102" s="928"/>
      <c r="L102" s="929"/>
      <c r="M102" s="927"/>
      <c r="N102" s="927"/>
      <c r="O102" s="927"/>
      <c r="P102" s="1679"/>
    </row>
    <row r="103" spans="1:16" ht="15.75" customHeight="1">
      <c r="A103" s="811"/>
      <c r="B103" s="811" t="str">
        <f>B97</f>
        <v>Horisontal</v>
      </c>
      <c r="C103" s="1465">
        <f>C98</f>
        <v>2</v>
      </c>
      <c r="D103" s="1465"/>
      <c r="E103" s="927"/>
      <c r="F103" s="927">
        <v>8</v>
      </c>
      <c r="G103" s="927"/>
      <c r="H103" s="927"/>
      <c r="I103" s="927"/>
      <c r="J103" s="928"/>
      <c r="K103" s="928"/>
      <c r="L103" s="929">
        <f>13*13*0.006165</f>
        <v>1.041885</v>
      </c>
      <c r="M103" s="927">
        <f>M98</f>
        <v>5</v>
      </c>
      <c r="N103" s="927">
        <f>C103*F103*L103*M103</f>
        <v>83.350799999999992</v>
      </c>
      <c r="O103" s="927"/>
      <c r="P103" s="1679"/>
    </row>
    <row r="104" spans="1:16" ht="15.75" customHeight="1">
      <c r="A104" s="811"/>
      <c r="B104" s="811" t="str">
        <f>B99</f>
        <v>Vertikal</v>
      </c>
      <c r="C104" s="1465">
        <f>C100</f>
        <v>7</v>
      </c>
      <c r="D104" s="1465"/>
      <c r="E104" s="927"/>
      <c r="F104" s="927">
        <f>F103</f>
        <v>8</v>
      </c>
      <c r="G104" s="927"/>
      <c r="H104" s="927"/>
      <c r="I104" s="927"/>
      <c r="J104" s="928"/>
      <c r="K104" s="928"/>
      <c r="L104" s="929">
        <f>L103</f>
        <v>1.041885</v>
      </c>
      <c r="M104" s="927">
        <f>M100</f>
        <v>2</v>
      </c>
      <c r="N104" s="1680">
        <f>C104*F104*L104*M104</f>
        <v>116.69112</v>
      </c>
      <c r="O104" s="927"/>
      <c r="P104" s="1679"/>
    </row>
    <row r="105" spans="1:16" ht="15.75" customHeight="1">
      <c r="A105" s="811"/>
      <c r="B105" s="363"/>
      <c r="C105" s="1465"/>
      <c r="D105" s="1465"/>
      <c r="E105" s="927"/>
      <c r="F105" s="927"/>
      <c r="G105" s="927"/>
      <c r="H105" s="927"/>
      <c r="I105" s="927"/>
      <c r="J105" s="928"/>
      <c r="K105" s="928"/>
      <c r="L105" s="929"/>
      <c r="M105" s="927"/>
      <c r="N105" s="930">
        <f>SUM(N103:N104)</f>
        <v>200.04192</v>
      </c>
      <c r="O105" s="927" t="s">
        <v>100</v>
      </c>
      <c r="P105" s="1587">
        <f>ROUND((N105),2)</f>
        <v>200.04</v>
      </c>
    </row>
    <row r="106" spans="1:16" ht="15.75" customHeight="1">
      <c r="A106" s="811" t="s">
        <v>101</v>
      </c>
      <c r="B106" s="357" t="s">
        <v>899</v>
      </c>
      <c r="C106" s="1465"/>
      <c r="D106" s="1465"/>
      <c r="E106" s="927"/>
      <c r="F106" s="927"/>
      <c r="G106" s="927"/>
      <c r="H106" s="927"/>
      <c r="I106" s="927"/>
      <c r="J106" s="928"/>
      <c r="K106" s="928"/>
      <c r="L106" s="929"/>
      <c r="M106" s="927"/>
      <c r="N106" s="927"/>
      <c r="O106" s="927"/>
      <c r="P106" s="1679"/>
    </row>
    <row r="107" spans="1:16" ht="15.75" customHeight="1">
      <c r="A107" s="811"/>
      <c r="B107" s="811" t="str">
        <f>B103</f>
        <v>Horisontal</v>
      </c>
      <c r="C107" s="348">
        <f>(0.12+0.27)*2</f>
        <v>0.78</v>
      </c>
      <c r="D107" s="1465"/>
      <c r="E107" s="927"/>
      <c r="F107" s="927">
        <f>ROUNDDOWN((C103/0.125),0.1)+1</f>
        <v>17</v>
      </c>
      <c r="G107" s="927"/>
      <c r="H107" s="927"/>
      <c r="I107" s="927">
        <f>0.05*2</f>
        <v>0.1</v>
      </c>
      <c r="J107" s="928"/>
      <c r="K107" s="928"/>
      <c r="L107" s="929">
        <f>8*8*0.006165</f>
        <v>0.39456000000000002</v>
      </c>
      <c r="M107" s="927">
        <f>M103</f>
        <v>5</v>
      </c>
      <c r="N107" s="927">
        <f>(C107+I107)*F107*L107*M107</f>
        <v>29.513088000000003</v>
      </c>
      <c r="O107" s="927"/>
      <c r="P107" s="1679"/>
    </row>
    <row r="108" spans="1:16" ht="15.75" customHeight="1">
      <c r="A108" s="811"/>
      <c r="B108" s="811" t="str">
        <f>B104</f>
        <v>Vertikal</v>
      </c>
      <c r="C108" s="1465">
        <f>C107</f>
        <v>0.78</v>
      </c>
      <c r="D108" s="1465"/>
      <c r="E108" s="927"/>
      <c r="F108" s="927">
        <f>ROUNDDOWN((C104/0.125),0.1)+1</f>
        <v>57</v>
      </c>
      <c r="G108" s="927"/>
      <c r="H108" s="927"/>
      <c r="I108" s="927">
        <f>I107</f>
        <v>0.1</v>
      </c>
      <c r="J108" s="928"/>
      <c r="K108" s="928"/>
      <c r="L108" s="929">
        <f>L107</f>
        <v>0.39456000000000002</v>
      </c>
      <c r="M108" s="927">
        <f>M104</f>
        <v>2</v>
      </c>
      <c r="N108" s="1680">
        <f>(C108+I108)*F108*L108*M108</f>
        <v>39.582259200000003</v>
      </c>
      <c r="O108" s="927"/>
      <c r="P108" s="1679"/>
    </row>
    <row r="109" spans="1:16" ht="15.75" customHeight="1">
      <c r="A109" s="811"/>
      <c r="B109" s="363"/>
      <c r="C109" s="1465"/>
      <c r="D109" s="1465"/>
      <c r="E109" s="927"/>
      <c r="F109" s="927"/>
      <c r="G109" s="927"/>
      <c r="H109" s="927"/>
      <c r="I109" s="927"/>
      <c r="J109" s="928"/>
      <c r="K109" s="928"/>
      <c r="L109" s="929"/>
      <c r="M109" s="927"/>
      <c r="N109" s="930">
        <f>SUM(N107:N108)</f>
        <v>69.095347200000006</v>
      </c>
      <c r="O109" s="927" t="s">
        <v>100</v>
      </c>
      <c r="P109" s="1587">
        <f>ROUND((N109),2)</f>
        <v>69.099999999999994</v>
      </c>
    </row>
    <row r="110" spans="1:16" ht="15.75" customHeight="1">
      <c r="A110" s="811" t="s">
        <v>121</v>
      </c>
      <c r="B110" s="351" t="s">
        <v>1043</v>
      </c>
      <c r="C110" s="1465"/>
      <c r="D110" s="1465"/>
      <c r="E110" s="927"/>
      <c r="F110" s="927"/>
      <c r="G110" s="927"/>
      <c r="H110" s="927"/>
      <c r="I110" s="927"/>
      <c r="J110" s="928"/>
      <c r="K110" s="928"/>
      <c r="L110" s="929"/>
      <c r="M110" s="927"/>
      <c r="N110" s="927"/>
      <c r="O110" s="927"/>
      <c r="P110" s="1679"/>
    </row>
    <row r="111" spans="1:16" ht="15.75" customHeight="1">
      <c r="A111" s="1686"/>
      <c r="B111" s="811" t="str">
        <f>B107</f>
        <v>Horisontal</v>
      </c>
      <c r="C111" s="1465">
        <f>C103</f>
        <v>2</v>
      </c>
      <c r="D111" s="1465">
        <v>0.25</v>
      </c>
      <c r="E111" s="927">
        <v>0.35</v>
      </c>
      <c r="F111" s="927"/>
      <c r="G111" s="927"/>
      <c r="H111" s="927"/>
      <c r="I111" s="927"/>
      <c r="J111" s="928"/>
      <c r="K111" s="928"/>
      <c r="L111" s="929"/>
      <c r="M111" s="927">
        <f>M107</f>
        <v>5</v>
      </c>
      <c r="N111" s="927">
        <f>C111*D111*E111</f>
        <v>0.17499999999999999</v>
      </c>
      <c r="O111" s="927"/>
      <c r="P111" s="1679"/>
    </row>
    <row r="112" spans="1:16" ht="15.75" customHeight="1">
      <c r="A112" s="1686"/>
      <c r="B112" s="811" t="str">
        <f>B108</f>
        <v>Vertikal</v>
      </c>
      <c r="C112" s="1465">
        <f>C104</f>
        <v>7</v>
      </c>
      <c r="D112" s="1465">
        <f>D111</f>
        <v>0.25</v>
      </c>
      <c r="E112" s="927">
        <f>E111</f>
        <v>0.35</v>
      </c>
      <c r="F112" s="927"/>
      <c r="G112" s="927"/>
      <c r="H112" s="927"/>
      <c r="I112" s="927"/>
      <c r="J112" s="928"/>
      <c r="K112" s="928"/>
      <c r="L112" s="929"/>
      <c r="M112" s="927">
        <f>M108</f>
        <v>2</v>
      </c>
      <c r="N112" s="1680">
        <f>C112*D112*E112</f>
        <v>0.61249999999999993</v>
      </c>
      <c r="O112" s="927"/>
      <c r="P112" s="1679"/>
    </row>
    <row r="113" spans="1:16" ht="15.75" customHeight="1">
      <c r="A113" s="1686"/>
      <c r="B113" s="363"/>
      <c r="C113" s="1465"/>
      <c r="D113" s="1465"/>
      <c r="E113" s="927"/>
      <c r="F113" s="927"/>
      <c r="G113" s="927"/>
      <c r="H113" s="927"/>
      <c r="I113" s="927"/>
      <c r="J113" s="928"/>
      <c r="K113" s="928"/>
      <c r="L113" s="929"/>
      <c r="M113" s="927"/>
      <c r="N113" s="930">
        <f>SUM(N111:N112)</f>
        <v>0.78749999999999987</v>
      </c>
      <c r="O113" s="927" t="s">
        <v>103</v>
      </c>
      <c r="P113" s="1587">
        <f>ROUND((N113),2)</f>
        <v>0.79</v>
      </c>
    </row>
    <row r="114" spans="1:16" ht="15.75" customHeight="1">
      <c r="A114" s="1683">
        <f>A95+1</f>
        <v>7</v>
      </c>
      <c r="B114" s="363" t="s">
        <v>1982</v>
      </c>
      <c r="C114" s="1465"/>
      <c r="D114" s="1465"/>
      <c r="E114" s="927"/>
      <c r="F114" s="927"/>
      <c r="G114" s="927"/>
      <c r="H114" s="927"/>
      <c r="I114" s="927"/>
      <c r="J114" s="928"/>
      <c r="K114" s="928"/>
      <c r="L114" s="929"/>
      <c r="M114" s="927"/>
      <c r="N114" s="927"/>
      <c r="O114" s="927"/>
      <c r="P114" s="1679"/>
    </row>
    <row r="115" spans="1:16" ht="15.75" customHeight="1">
      <c r="A115" s="811" t="s">
        <v>95</v>
      </c>
      <c r="B115" s="351" t="s">
        <v>423</v>
      </c>
      <c r="C115" s="1465">
        <v>2</v>
      </c>
      <c r="D115" s="1465"/>
      <c r="E115" s="927">
        <v>0.15</v>
      </c>
      <c r="F115" s="927"/>
      <c r="G115" s="927"/>
      <c r="H115" s="927">
        <v>2</v>
      </c>
      <c r="I115" s="927"/>
      <c r="J115" s="928"/>
      <c r="K115" s="928"/>
      <c r="L115" s="929"/>
      <c r="M115" s="927">
        <v>3</v>
      </c>
      <c r="N115" s="927">
        <f>C115*E115*H115*M115</f>
        <v>1.7999999999999998</v>
      </c>
      <c r="O115" s="927" t="s">
        <v>89</v>
      </c>
      <c r="P115" s="1587">
        <f>ROUND((N115),2)</f>
        <v>1.8</v>
      </c>
    </row>
    <row r="116" spans="1:16" ht="15.75" customHeight="1">
      <c r="A116" s="811" t="s">
        <v>98</v>
      </c>
      <c r="B116" s="363" t="s">
        <v>1983</v>
      </c>
      <c r="C116" s="1465">
        <f>C115</f>
        <v>2</v>
      </c>
      <c r="D116" s="1465"/>
      <c r="E116" s="927"/>
      <c r="F116" s="927">
        <v>4</v>
      </c>
      <c r="G116" s="927"/>
      <c r="H116" s="927"/>
      <c r="I116" s="927"/>
      <c r="J116" s="928"/>
      <c r="K116" s="928"/>
      <c r="L116" s="929">
        <f>10*10*0.006165</f>
        <v>0.61650000000000005</v>
      </c>
      <c r="M116" s="927">
        <f>M115</f>
        <v>3</v>
      </c>
      <c r="N116" s="927">
        <f>C116*F116*L116*M116</f>
        <v>14.796000000000001</v>
      </c>
      <c r="O116" s="927" t="s">
        <v>100</v>
      </c>
      <c r="P116" s="1587">
        <f>ROUND((N116),2)</f>
        <v>14.8</v>
      </c>
    </row>
    <row r="117" spans="1:16" ht="15.75" customHeight="1">
      <c r="A117" s="811" t="s">
        <v>101</v>
      </c>
      <c r="B117" s="363" t="s">
        <v>623</v>
      </c>
      <c r="C117" s="1465">
        <f>0.09*4</f>
        <v>0.36</v>
      </c>
      <c r="D117" s="1465"/>
      <c r="E117" s="927"/>
      <c r="F117" s="927">
        <f>ROUNDDOWN((C116/0.15),0.1)+1</f>
        <v>14</v>
      </c>
      <c r="G117" s="927"/>
      <c r="H117" s="927"/>
      <c r="I117" s="927">
        <f>0.05*2</f>
        <v>0.1</v>
      </c>
      <c r="J117" s="928"/>
      <c r="K117" s="928"/>
      <c r="L117" s="929">
        <f>6*6*0.006165</f>
        <v>0.22194000000000003</v>
      </c>
      <c r="M117" s="927">
        <f>M116</f>
        <v>3</v>
      </c>
      <c r="N117" s="927">
        <f>(C117+I117)*F117*L117*M117</f>
        <v>4.2878807999999999</v>
      </c>
      <c r="O117" s="927" t="s">
        <v>100</v>
      </c>
      <c r="P117" s="1587">
        <f>ROUND((N117),2)</f>
        <v>4.29</v>
      </c>
    </row>
    <row r="118" spans="1:16" ht="15.75" customHeight="1">
      <c r="A118" s="811" t="s">
        <v>121</v>
      </c>
      <c r="B118" s="351" t="s">
        <v>1043</v>
      </c>
      <c r="C118" s="1465">
        <f>C116</f>
        <v>2</v>
      </c>
      <c r="D118" s="1465">
        <v>0.15</v>
      </c>
      <c r="E118" s="1465">
        <v>0.15</v>
      </c>
      <c r="F118" s="927"/>
      <c r="G118" s="927"/>
      <c r="H118" s="927"/>
      <c r="I118" s="927"/>
      <c r="J118" s="928"/>
      <c r="K118" s="928"/>
      <c r="L118" s="929"/>
      <c r="M118" s="927">
        <f>M117</f>
        <v>3</v>
      </c>
      <c r="N118" s="927">
        <f>C118*D118*E118*M118</f>
        <v>0.13500000000000001</v>
      </c>
      <c r="O118" s="927" t="s">
        <v>103</v>
      </c>
      <c r="P118" s="1587">
        <f>ROUND((N118),2)</f>
        <v>0.14000000000000001</v>
      </c>
    </row>
    <row r="119" spans="1:16" ht="15.75" customHeight="1">
      <c r="A119" s="737">
        <f>A114+1</f>
        <v>8</v>
      </c>
      <c r="B119" s="1687" t="s">
        <v>1227</v>
      </c>
      <c r="C119" s="1465"/>
      <c r="D119" s="1465"/>
      <c r="E119" s="927"/>
      <c r="F119" s="927"/>
      <c r="G119" s="927"/>
      <c r="H119" s="927"/>
      <c r="I119" s="927"/>
      <c r="J119" s="928"/>
      <c r="K119" s="928"/>
      <c r="L119" s="929"/>
      <c r="M119" s="927"/>
      <c r="N119" s="927"/>
      <c r="O119" s="927"/>
      <c r="P119" s="1679"/>
    </row>
    <row r="120" spans="1:16" ht="15.75" customHeight="1">
      <c r="A120" s="811" t="s">
        <v>95</v>
      </c>
      <c r="B120" s="351" t="s">
        <v>211</v>
      </c>
      <c r="C120" s="1465"/>
      <c r="D120" s="1465"/>
      <c r="E120" s="927"/>
      <c r="F120" s="927"/>
      <c r="G120" s="927"/>
      <c r="H120" s="927"/>
      <c r="I120" s="927"/>
      <c r="J120" s="928"/>
      <c r="K120" s="928"/>
      <c r="L120" s="929"/>
      <c r="M120" s="927"/>
      <c r="N120" s="927"/>
      <c r="O120" s="927"/>
      <c r="P120" s="1679"/>
    </row>
    <row r="121" spans="1:16" ht="15.75" customHeight="1">
      <c r="A121" s="811"/>
      <c r="B121" s="363"/>
      <c r="C121" s="1465">
        <v>7.6</v>
      </c>
      <c r="D121" s="1465">
        <v>2</v>
      </c>
      <c r="E121" s="927"/>
      <c r="F121" s="927"/>
      <c r="G121" s="927"/>
      <c r="H121" s="927"/>
      <c r="I121" s="927"/>
      <c r="J121" s="928"/>
      <c r="K121" s="928"/>
      <c r="L121" s="929"/>
      <c r="M121" s="927"/>
      <c r="N121" s="927">
        <f>C121*D121</f>
        <v>15.2</v>
      </c>
      <c r="O121" s="927"/>
      <c r="P121" s="1679"/>
    </row>
    <row r="122" spans="1:16" ht="15.75" customHeight="1">
      <c r="A122" s="811"/>
      <c r="B122" s="363"/>
      <c r="C122" s="1465">
        <f>C121</f>
        <v>7.6</v>
      </c>
      <c r="D122" s="1465"/>
      <c r="E122" s="927">
        <v>0.12</v>
      </c>
      <c r="F122" s="927"/>
      <c r="G122" s="927"/>
      <c r="H122" s="927">
        <v>2</v>
      </c>
      <c r="I122" s="927"/>
      <c r="J122" s="928"/>
      <c r="K122" s="928"/>
      <c r="L122" s="929"/>
      <c r="M122" s="927"/>
      <c r="N122" s="927">
        <f>C122*E122*H122</f>
        <v>1.8239999999999998</v>
      </c>
      <c r="O122" s="927"/>
      <c r="P122" s="1679"/>
    </row>
    <row r="123" spans="1:16" ht="15.75" customHeight="1">
      <c r="A123" s="811"/>
      <c r="B123" s="363"/>
      <c r="C123" s="1465"/>
      <c r="D123" s="1465">
        <f>D121</f>
        <v>2</v>
      </c>
      <c r="E123" s="927">
        <f>E122</f>
        <v>0.12</v>
      </c>
      <c r="F123" s="927"/>
      <c r="G123" s="927"/>
      <c r="H123" s="927">
        <v>2</v>
      </c>
      <c r="I123" s="927"/>
      <c r="J123" s="928"/>
      <c r="K123" s="928"/>
      <c r="L123" s="929"/>
      <c r="M123" s="927"/>
      <c r="N123" s="1680">
        <f>D123*E123*H123</f>
        <v>0.48</v>
      </c>
      <c r="O123" s="927"/>
      <c r="P123" s="1679"/>
    </row>
    <row r="124" spans="1:16" ht="15.75" customHeight="1">
      <c r="A124" s="811"/>
      <c r="B124" s="363"/>
      <c r="C124" s="1465"/>
      <c r="D124" s="1465"/>
      <c r="E124" s="927"/>
      <c r="F124" s="927"/>
      <c r="G124" s="927"/>
      <c r="H124" s="927"/>
      <c r="I124" s="927"/>
      <c r="J124" s="928"/>
      <c r="K124" s="928"/>
      <c r="L124" s="929"/>
      <c r="M124" s="927"/>
      <c r="N124" s="930">
        <f>SUM(N121:N123)</f>
        <v>17.504000000000001</v>
      </c>
      <c r="O124" s="927" t="s">
        <v>89</v>
      </c>
      <c r="P124" s="1587">
        <f>ROUND((N124),2)</f>
        <v>17.5</v>
      </c>
    </row>
    <row r="125" spans="1:16" ht="15.75" customHeight="1">
      <c r="A125" s="811" t="s">
        <v>98</v>
      </c>
      <c r="B125" s="363" t="s">
        <v>1635</v>
      </c>
      <c r="C125" s="1465">
        <f>C121</f>
        <v>7.6</v>
      </c>
      <c r="D125" s="1465">
        <f>D121</f>
        <v>2</v>
      </c>
      <c r="E125" s="927"/>
      <c r="F125" s="927"/>
      <c r="G125" s="927"/>
      <c r="H125" s="927"/>
      <c r="I125" s="927"/>
      <c r="J125" s="928"/>
      <c r="K125" s="928"/>
      <c r="L125" s="929"/>
      <c r="M125" s="927"/>
      <c r="N125" s="927">
        <f>C125*D125</f>
        <v>15.2</v>
      </c>
      <c r="O125" s="927" t="s">
        <v>89</v>
      </c>
      <c r="P125" s="1587">
        <f>ROUND((N125),2)</f>
        <v>15.2</v>
      </c>
    </row>
    <row r="126" spans="1:16" ht="15.75" customHeight="1">
      <c r="A126" s="811" t="s">
        <v>101</v>
      </c>
      <c r="B126" s="351" t="s">
        <v>1043</v>
      </c>
      <c r="C126" s="1465">
        <f>C125</f>
        <v>7.6</v>
      </c>
      <c r="D126" s="1465">
        <f>D125</f>
        <v>2</v>
      </c>
      <c r="E126" s="927">
        <v>0.12</v>
      </c>
      <c r="F126" s="927"/>
      <c r="G126" s="927"/>
      <c r="H126" s="927"/>
      <c r="I126" s="927"/>
      <c r="J126" s="928"/>
      <c r="K126" s="928"/>
      <c r="L126" s="929"/>
      <c r="M126" s="927"/>
      <c r="N126" s="927">
        <f>C126*D126*E126</f>
        <v>1.8239999999999998</v>
      </c>
      <c r="O126" s="927" t="s">
        <v>103</v>
      </c>
      <c r="P126" s="1587">
        <f>ROUND((N126),2)</f>
        <v>1.82</v>
      </c>
    </row>
    <row r="127" spans="1:16" ht="15.75" customHeight="1">
      <c r="A127" s="737">
        <f>A119+1</f>
        <v>9</v>
      </c>
      <c r="B127" s="1687" t="s">
        <v>1984</v>
      </c>
      <c r="C127" s="1465"/>
      <c r="D127" s="1465"/>
      <c r="E127" s="927"/>
      <c r="F127" s="927"/>
      <c r="G127" s="927"/>
      <c r="H127" s="927"/>
      <c r="I127" s="927"/>
      <c r="J127" s="928"/>
      <c r="K127" s="928"/>
      <c r="L127" s="929"/>
      <c r="M127" s="927"/>
      <c r="N127" s="927"/>
      <c r="O127" s="927"/>
      <c r="P127" s="1679"/>
    </row>
    <row r="128" spans="1:16" ht="15.75" customHeight="1">
      <c r="A128" s="811" t="s">
        <v>95</v>
      </c>
      <c r="B128" s="351" t="s">
        <v>211</v>
      </c>
      <c r="C128" s="1465"/>
      <c r="D128" s="1465"/>
      <c r="E128" s="927"/>
      <c r="F128" s="927"/>
      <c r="G128" s="927"/>
      <c r="H128" s="927"/>
      <c r="I128" s="927"/>
      <c r="J128" s="928"/>
      <c r="K128" s="928"/>
      <c r="L128" s="929"/>
      <c r="M128" s="927"/>
      <c r="N128" s="927"/>
      <c r="O128" s="927"/>
      <c r="P128" s="1679"/>
    </row>
    <row r="129" spans="1:16" ht="15.75" customHeight="1">
      <c r="A129" s="811"/>
      <c r="B129" s="363"/>
      <c r="C129" s="1465">
        <v>2</v>
      </c>
      <c r="D129" s="1465">
        <v>0.25</v>
      </c>
      <c r="E129" s="927"/>
      <c r="F129" s="927"/>
      <c r="G129" s="927"/>
      <c r="H129" s="927"/>
      <c r="I129" s="927"/>
      <c r="J129" s="928"/>
      <c r="K129" s="928"/>
      <c r="L129" s="929"/>
      <c r="M129" s="927"/>
      <c r="N129" s="927">
        <f>C129*D129</f>
        <v>0.5</v>
      </c>
      <c r="O129" s="927"/>
      <c r="P129" s="1679"/>
    </row>
    <row r="130" spans="1:16" ht="15.75" customHeight="1">
      <c r="A130" s="811"/>
      <c r="B130" s="363"/>
      <c r="C130" s="1465">
        <f>C129</f>
        <v>2</v>
      </c>
      <c r="D130" s="1465"/>
      <c r="E130" s="927">
        <v>0.1</v>
      </c>
      <c r="F130" s="927"/>
      <c r="G130" s="927"/>
      <c r="H130" s="927">
        <v>2</v>
      </c>
      <c r="I130" s="927"/>
      <c r="J130" s="928"/>
      <c r="K130" s="928"/>
      <c r="L130" s="929"/>
      <c r="M130" s="927"/>
      <c r="N130" s="927">
        <f>C130*E130*H130</f>
        <v>0.4</v>
      </c>
      <c r="O130" s="927"/>
      <c r="P130" s="1679"/>
    </row>
    <row r="131" spans="1:16" ht="15.75" customHeight="1">
      <c r="A131" s="811"/>
      <c r="B131" s="363"/>
      <c r="C131" s="1465"/>
      <c r="D131" s="1465">
        <v>0.25</v>
      </c>
      <c r="E131" s="927">
        <f>E130</f>
        <v>0.1</v>
      </c>
      <c r="F131" s="927"/>
      <c r="G131" s="927"/>
      <c r="H131" s="927">
        <v>2</v>
      </c>
      <c r="I131" s="927"/>
      <c r="J131" s="928"/>
      <c r="K131" s="928"/>
      <c r="L131" s="929"/>
      <c r="M131" s="927"/>
      <c r="N131" s="1680">
        <f>D131*E131*H131</f>
        <v>0.05</v>
      </c>
      <c r="O131" s="927"/>
      <c r="P131" s="1679"/>
    </row>
    <row r="132" spans="1:16" ht="15.75" customHeight="1">
      <c r="A132" s="811"/>
      <c r="B132" s="363"/>
      <c r="C132" s="1465"/>
      <c r="D132" s="1465"/>
      <c r="E132" s="927"/>
      <c r="F132" s="927"/>
      <c r="G132" s="927"/>
      <c r="H132" s="927"/>
      <c r="I132" s="927"/>
      <c r="J132" s="928"/>
      <c r="K132" s="928"/>
      <c r="L132" s="929"/>
      <c r="M132" s="927"/>
      <c r="N132" s="930">
        <f>SUM(N129:N131)</f>
        <v>0.95000000000000007</v>
      </c>
      <c r="O132" s="927" t="s">
        <v>89</v>
      </c>
      <c r="P132" s="1587">
        <f>ROUND((N132),2)</f>
        <v>0.95</v>
      </c>
    </row>
    <row r="133" spans="1:16" ht="15.75" customHeight="1">
      <c r="A133" s="811" t="s">
        <v>98</v>
      </c>
      <c r="B133" s="363" t="s">
        <v>623</v>
      </c>
      <c r="C133" s="1465"/>
      <c r="D133" s="1465"/>
      <c r="E133" s="927"/>
      <c r="F133" s="927"/>
      <c r="G133" s="927"/>
      <c r="H133" s="927"/>
      <c r="I133" s="927"/>
      <c r="J133" s="928"/>
      <c r="K133" s="928"/>
      <c r="L133" s="929"/>
      <c r="M133" s="927"/>
      <c r="N133" s="927"/>
      <c r="O133" s="927"/>
      <c r="P133" s="1679"/>
    </row>
    <row r="134" spans="1:16" ht="15.75" customHeight="1">
      <c r="A134" s="811"/>
      <c r="B134" s="363"/>
      <c r="C134" s="1465">
        <f>C130-0.1</f>
        <v>1.9</v>
      </c>
      <c r="D134" s="1465"/>
      <c r="E134" s="927"/>
      <c r="F134" s="927">
        <v>2</v>
      </c>
      <c r="G134" s="927"/>
      <c r="H134" s="927"/>
      <c r="I134" s="927"/>
      <c r="J134" s="928"/>
      <c r="K134" s="928"/>
      <c r="L134" s="929">
        <f>6*6*0.006165</f>
        <v>0.22194000000000003</v>
      </c>
      <c r="M134" s="927"/>
      <c r="N134" s="927">
        <f>C134*F134*L134</f>
        <v>0.84337200000000001</v>
      </c>
      <c r="O134" s="927"/>
      <c r="P134" s="1679"/>
    </row>
    <row r="135" spans="1:16" ht="15.75" customHeight="1">
      <c r="A135" s="811"/>
      <c r="B135" s="363"/>
      <c r="C135" s="1465">
        <f>D131-0.1</f>
        <v>0.15</v>
      </c>
      <c r="D135" s="1465"/>
      <c r="E135" s="927"/>
      <c r="F135" s="927">
        <f>ROUNDDOWN((C134/0.15),0.1)+1</f>
        <v>13</v>
      </c>
      <c r="G135" s="927"/>
      <c r="H135" s="927"/>
      <c r="I135" s="927"/>
      <c r="J135" s="928"/>
      <c r="K135" s="928"/>
      <c r="L135" s="929">
        <f>L134</f>
        <v>0.22194000000000003</v>
      </c>
      <c r="M135" s="927"/>
      <c r="N135" s="1680">
        <f>C135*F135*L135</f>
        <v>0.43278300000000003</v>
      </c>
      <c r="O135" s="927"/>
      <c r="P135" s="1679"/>
    </row>
    <row r="136" spans="1:16" ht="15.75" customHeight="1">
      <c r="A136" s="811"/>
      <c r="B136" s="363"/>
      <c r="C136" s="1465"/>
      <c r="D136" s="1465"/>
      <c r="E136" s="927"/>
      <c r="F136" s="927"/>
      <c r="G136" s="927"/>
      <c r="H136" s="927"/>
      <c r="I136" s="927"/>
      <c r="J136" s="928"/>
      <c r="K136" s="928"/>
      <c r="L136" s="929"/>
      <c r="M136" s="927"/>
      <c r="N136" s="930">
        <f>SUM(N134:N135)</f>
        <v>1.2761550000000002</v>
      </c>
      <c r="O136" s="927" t="s">
        <v>100</v>
      </c>
      <c r="P136" s="1587">
        <f>ROUND((N136),2)</f>
        <v>1.28</v>
      </c>
    </row>
    <row r="137" spans="1:16" ht="15.75" customHeight="1">
      <c r="A137" s="811" t="s">
        <v>101</v>
      </c>
      <c r="B137" s="351" t="s">
        <v>1043</v>
      </c>
      <c r="C137" s="1465">
        <f>C129</f>
        <v>2</v>
      </c>
      <c r="D137" s="1465">
        <f>D129</f>
        <v>0.25</v>
      </c>
      <c r="E137" s="927">
        <f>E131</f>
        <v>0.1</v>
      </c>
      <c r="F137" s="927"/>
      <c r="G137" s="927"/>
      <c r="H137" s="927"/>
      <c r="I137" s="927"/>
      <c r="J137" s="928"/>
      <c r="K137" s="928"/>
      <c r="L137" s="929"/>
      <c r="M137" s="927"/>
      <c r="N137" s="927">
        <f>C137*D137*E137</f>
        <v>0.05</v>
      </c>
      <c r="O137" s="927" t="s">
        <v>103</v>
      </c>
      <c r="P137" s="1587">
        <f>ROUND((N137),2)</f>
        <v>0.05</v>
      </c>
    </row>
    <row r="138" spans="1:16" ht="15.75" customHeight="1">
      <c r="A138" s="737">
        <f>A127+1</f>
        <v>10</v>
      </c>
      <c r="B138" s="1687" t="s">
        <v>1985</v>
      </c>
      <c r="C138" s="1465"/>
      <c r="D138" s="1465"/>
      <c r="E138" s="927"/>
      <c r="F138" s="927"/>
      <c r="G138" s="927"/>
      <c r="H138" s="927"/>
      <c r="I138" s="927"/>
      <c r="J138" s="928"/>
      <c r="K138" s="928"/>
      <c r="L138" s="929"/>
      <c r="M138" s="927"/>
      <c r="N138" s="927"/>
      <c r="O138" s="927"/>
      <c r="P138" s="1679"/>
    </row>
    <row r="139" spans="1:16" ht="15.75" customHeight="1">
      <c r="A139" s="811" t="s">
        <v>95</v>
      </c>
      <c r="B139" s="351" t="s">
        <v>211</v>
      </c>
      <c r="C139" s="1465"/>
      <c r="D139" s="1465"/>
      <c r="E139" s="927"/>
      <c r="F139" s="927"/>
      <c r="G139" s="927"/>
      <c r="H139" s="927"/>
      <c r="I139" s="927"/>
      <c r="J139" s="928"/>
      <c r="K139" s="928"/>
      <c r="L139" s="929"/>
      <c r="M139" s="927"/>
      <c r="N139" s="927"/>
      <c r="O139" s="927"/>
      <c r="P139" s="1679"/>
    </row>
    <row r="140" spans="1:16" ht="15.75" customHeight="1">
      <c r="A140" s="811"/>
      <c r="B140" s="363"/>
      <c r="C140" s="1465">
        <v>2</v>
      </c>
      <c r="D140" s="1688">
        <v>0.4</v>
      </c>
      <c r="E140" s="927"/>
      <c r="F140" s="927"/>
      <c r="G140" s="927"/>
      <c r="H140" s="927">
        <v>1</v>
      </c>
      <c r="I140" s="927"/>
      <c r="J140" s="928"/>
      <c r="K140" s="928"/>
      <c r="L140" s="929"/>
      <c r="M140" s="927"/>
      <c r="N140" s="927">
        <f>C140*D140*H140</f>
        <v>0.8</v>
      </c>
      <c r="O140" s="927"/>
      <c r="P140" s="1679"/>
    </row>
    <row r="141" spans="1:16" ht="15.75" customHeight="1">
      <c r="A141" s="811"/>
      <c r="B141" s="363"/>
      <c r="C141" s="1688">
        <v>0.85</v>
      </c>
      <c r="D141" s="1688">
        <f>D140</f>
        <v>0.4</v>
      </c>
      <c r="E141" s="927"/>
      <c r="F141" s="927"/>
      <c r="G141" s="927"/>
      <c r="H141" s="927">
        <v>2</v>
      </c>
      <c r="I141" s="927"/>
      <c r="J141" s="928"/>
      <c r="K141" s="928"/>
      <c r="L141" s="929"/>
      <c r="M141" s="927"/>
      <c r="N141" s="927">
        <f>C141*D141*H141</f>
        <v>0.68</v>
      </c>
      <c r="O141" s="927"/>
      <c r="P141" s="1679"/>
    </row>
    <row r="142" spans="1:16" ht="15.75" customHeight="1">
      <c r="A142" s="811"/>
      <c r="B142" s="363"/>
      <c r="C142" s="1465">
        <f>C140</f>
        <v>2</v>
      </c>
      <c r="D142" s="1465"/>
      <c r="E142" s="927">
        <v>0.1</v>
      </c>
      <c r="F142" s="927"/>
      <c r="G142" s="927"/>
      <c r="H142" s="927">
        <v>1</v>
      </c>
      <c r="I142" s="927"/>
      <c r="J142" s="928"/>
      <c r="K142" s="928"/>
      <c r="L142" s="929"/>
      <c r="M142" s="927"/>
      <c r="N142" s="927">
        <f>C142*E142*H142</f>
        <v>0.2</v>
      </c>
      <c r="O142" s="927"/>
      <c r="P142" s="1679"/>
    </row>
    <row r="143" spans="1:16" ht="15.75" customHeight="1">
      <c r="A143" s="811"/>
      <c r="B143" s="363"/>
      <c r="C143" s="1465"/>
      <c r="D143" s="1688">
        <f>C141</f>
        <v>0.85</v>
      </c>
      <c r="E143" s="927">
        <f>E142</f>
        <v>0.1</v>
      </c>
      <c r="F143" s="927"/>
      <c r="G143" s="927"/>
      <c r="H143" s="927">
        <v>2</v>
      </c>
      <c r="I143" s="927"/>
      <c r="J143" s="928"/>
      <c r="K143" s="928"/>
      <c r="L143" s="929"/>
      <c r="M143" s="927"/>
      <c r="N143" s="1680">
        <f>D143*E143*H143</f>
        <v>0.17</v>
      </c>
      <c r="O143" s="927"/>
      <c r="P143" s="1679"/>
    </row>
    <row r="144" spans="1:16" ht="15.75" customHeight="1">
      <c r="A144" s="811"/>
      <c r="B144" s="363"/>
      <c r="C144" s="1465"/>
      <c r="D144" s="1465"/>
      <c r="E144" s="927"/>
      <c r="F144" s="927"/>
      <c r="G144" s="927"/>
      <c r="H144" s="927"/>
      <c r="I144" s="927"/>
      <c r="J144" s="928"/>
      <c r="K144" s="928"/>
      <c r="L144" s="929"/>
      <c r="M144" s="927"/>
      <c r="N144" s="930">
        <f>SUM(N140:N143)</f>
        <v>1.8499999999999999</v>
      </c>
      <c r="O144" s="927" t="s">
        <v>89</v>
      </c>
      <c r="P144" s="1587">
        <f>ROUND((N144),2)</f>
        <v>1.85</v>
      </c>
    </row>
    <row r="145" spans="1:16" ht="15.75" customHeight="1">
      <c r="A145" s="811" t="s">
        <v>98</v>
      </c>
      <c r="B145" s="363" t="s">
        <v>623</v>
      </c>
      <c r="C145" s="1465"/>
      <c r="D145" s="1465"/>
      <c r="E145" s="927"/>
      <c r="F145" s="927"/>
      <c r="G145" s="927"/>
      <c r="H145" s="927"/>
      <c r="I145" s="927"/>
      <c r="J145" s="928"/>
      <c r="K145" s="928"/>
      <c r="L145" s="929"/>
      <c r="M145" s="927"/>
      <c r="N145" s="927"/>
      <c r="O145" s="927"/>
      <c r="P145" s="1679"/>
    </row>
    <row r="146" spans="1:16" ht="15.75" customHeight="1">
      <c r="A146" s="811"/>
      <c r="B146" s="811" t="s">
        <v>224</v>
      </c>
      <c r="C146" s="1465">
        <f>C140-0.1</f>
        <v>1.9</v>
      </c>
      <c r="D146" s="1465"/>
      <c r="E146" s="927"/>
      <c r="F146" s="927">
        <f>ROUNDDOWN((C147/0.15),0.1)+1</f>
        <v>3</v>
      </c>
      <c r="G146" s="927"/>
      <c r="H146" s="927"/>
      <c r="I146" s="927"/>
      <c r="J146" s="928"/>
      <c r="K146" s="928"/>
      <c r="L146" s="929">
        <f>6*6*0.006165</f>
        <v>0.22194000000000003</v>
      </c>
      <c r="M146" s="927">
        <v>1</v>
      </c>
      <c r="N146" s="927">
        <f>C146*F146*L146*M146</f>
        <v>1.265058</v>
      </c>
      <c r="O146" s="927"/>
      <c r="P146" s="1679"/>
    </row>
    <row r="147" spans="1:16" ht="15.75" customHeight="1">
      <c r="A147" s="811"/>
      <c r="B147" s="363"/>
      <c r="C147" s="1465">
        <f>D140-0.1</f>
        <v>0.30000000000000004</v>
      </c>
      <c r="D147" s="1465"/>
      <c r="E147" s="927"/>
      <c r="F147" s="927">
        <f>ROUNDDOWN((C146/0.15),0.1)+1</f>
        <v>13</v>
      </c>
      <c r="G147" s="927"/>
      <c r="H147" s="927"/>
      <c r="I147" s="927"/>
      <c r="J147" s="928"/>
      <c r="K147" s="928"/>
      <c r="L147" s="929">
        <f>L146</f>
        <v>0.22194000000000003</v>
      </c>
      <c r="M147" s="927">
        <f>M146</f>
        <v>1</v>
      </c>
      <c r="N147" s="927">
        <f>C147*F147*L147*M147</f>
        <v>0.86556600000000017</v>
      </c>
      <c r="O147" s="927"/>
      <c r="P147" s="1679"/>
    </row>
    <row r="148" spans="1:16" ht="15.75" customHeight="1">
      <c r="A148" s="811"/>
      <c r="B148" s="811" t="s">
        <v>223</v>
      </c>
      <c r="C148" s="1465">
        <f>C141-0.1</f>
        <v>0.75</v>
      </c>
      <c r="D148" s="1465"/>
      <c r="E148" s="927"/>
      <c r="F148" s="927">
        <f>ROUNDDOWN((C149/0.15),0.1)+1</f>
        <v>3</v>
      </c>
      <c r="G148" s="927"/>
      <c r="H148" s="927"/>
      <c r="I148" s="927"/>
      <c r="J148" s="928"/>
      <c r="K148" s="928"/>
      <c r="L148" s="929">
        <f>L147</f>
        <v>0.22194000000000003</v>
      </c>
      <c r="M148" s="927">
        <v>2</v>
      </c>
      <c r="N148" s="927">
        <f>C148*F148*L148*M148</f>
        <v>0.99873000000000012</v>
      </c>
      <c r="O148" s="927"/>
      <c r="P148" s="1679"/>
    </row>
    <row r="149" spans="1:16" ht="15.75" customHeight="1">
      <c r="A149" s="811"/>
      <c r="B149" s="363"/>
      <c r="C149" s="1465">
        <f>D141-0.1</f>
        <v>0.30000000000000004</v>
      </c>
      <c r="D149" s="1465"/>
      <c r="E149" s="927"/>
      <c r="F149" s="927">
        <f>ROUNDDOWN((C148/0.15),0.1)+1</f>
        <v>6</v>
      </c>
      <c r="G149" s="927"/>
      <c r="H149" s="927"/>
      <c r="I149" s="927"/>
      <c r="J149" s="928"/>
      <c r="K149" s="928"/>
      <c r="L149" s="929">
        <f>L148</f>
        <v>0.22194000000000003</v>
      </c>
      <c r="M149" s="927">
        <f>M148</f>
        <v>2</v>
      </c>
      <c r="N149" s="1680">
        <f>C149*F149*L149*M149</f>
        <v>0.79898400000000025</v>
      </c>
      <c r="O149" s="927"/>
      <c r="P149" s="1679"/>
    </row>
    <row r="150" spans="1:16" ht="15.75" customHeight="1">
      <c r="A150" s="811"/>
      <c r="B150" s="363"/>
      <c r="C150" s="1465"/>
      <c r="D150" s="1465"/>
      <c r="E150" s="927"/>
      <c r="F150" s="927"/>
      <c r="G150" s="927"/>
      <c r="H150" s="927"/>
      <c r="I150" s="927"/>
      <c r="J150" s="928"/>
      <c r="K150" s="928"/>
      <c r="L150" s="929"/>
      <c r="M150" s="927"/>
      <c r="N150" s="930">
        <f>SUM(N146:N149)</f>
        <v>3.9283380000000006</v>
      </c>
      <c r="O150" s="927" t="s">
        <v>100</v>
      </c>
      <c r="P150" s="1587">
        <f>ROUND((N150),2)</f>
        <v>3.93</v>
      </c>
    </row>
    <row r="151" spans="1:16" ht="15.75" customHeight="1">
      <c r="A151" s="811" t="s">
        <v>101</v>
      </c>
      <c r="B151" s="351" t="s">
        <v>1043</v>
      </c>
      <c r="C151" s="1465">
        <f>C140</f>
        <v>2</v>
      </c>
      <c r="D151" s="1465">
        <f>D140</f>
        <v>0.4</v>
      </c>
      <c r="E151" s="927">
        <f>E143</f>
        <v>0.1</v>
      </c>
      <c r="F151" s="927"/>
      <c r="G151" s="927"/>
      <c r="H151" s="927"/>
      <c r="I151" s="927"/>
      <c r="J151" s="928"/>
      <c r="K151" s="928"/>
      <c r="L151" s="929"/>
      <c r="M151" s="927"/>
      <c r="N151" s="927">
        <f>C151*D151*E151</f>
        <v>8.0000000000000016E-2</v>
      </c>
      <c r="O151" s="927" t="s">
        <v>103</v>
      </c>
      <c r="P151" s="1587">
        <f>ROUND((N151),2)</f>
        <v>0.08</v>
      </c>
    </row>
    <row r="152" spans="1:16" ht="15.75" customHeight="1">
      <c r="A152" s="737">
        <f>A138+1</f>
        <v>11</v>
      </c>
      <c r="B152" s="1687" t="s">
        <v>1986</v>
      </c>
      <c r="C152" s="1465"/>
      <c r="D152" s="1465"/>
      <c r="E152" s="927"/>
      <c r="F152" s="927"/>
      <c r="G152" s="927"/>
      <c r="H152" s="927"/>
      <c r="I152" s="927"/>
      <c r="J152" s="928"/>
      <c r="K152" s="928"/>
      <c r="L152" s="929"/>
      <c r="M152" s="927"/>
      <c r="N152" s="927"/>
      <c r="O152" s="927"/>
      <c r="P152" s="1679"/>
    </row>
    <row r="153" spans="1:16" ht="15.75" customHeight="1">
      <c r="A153" s="811" t="s">
        <v>95</v>
      </c>
      <c r="B153" s="351" t="s">
        <v>211</v>
      </c>
      <c r="C153" s="1465"/>
      <c r="D153" s="1465"/>
      <c r="E153" s="927"/>
      <c r="F153" s="927"/>
      <c r="G153" s="927"/>
      <c r="H153" s="927"/>
      <c r="I153" s="927"/>
      <c r="J153" s="928"/>
      <c r="K153" s="928"/>
      <c r="L153" s="929"/>
      <c r="M153" s="927"/>
      <c r="N153" s="927"/>
      <c r="O153" s="927"/>
      <c r="P153" s="1679"/>
    </row>
    <row r="154" spans="1:16" ht="15.75" customHeight="1">
      <c r="A154" s="811"/>
      <c r="B154" s="363"/>
      <c r="C154" s="1465">
        <v>1.2</v>
      </c>
      <c r="D154" s="1465">
        <v>0.4</v>
      </c>
      <c r="E154" s="927"/>
      <c r="F154" s="927"/>
      <c r="G154" s="927"/>
      <c r="H154" s="927">
        <v>1</v>
      </c>
      <c r="I154" s="927"/>
      <c r="J154" s="928"/>
      <c r="K154" s="928"/>
      <c r="L154" s="929"/>
      <c r="M154" s="927">
        <v>2</v>
      </c>
      <c r="N154" s="927">
        <f>C154*D154*H154*M154</f>
        <v>0.96</v>
      </c>
      <c r="O154" s="927"/>
      <c r="P154" s="1679"/>
    </row>
    <row r="155" spans="1:16" ht="15.75" customHeight="1">
      <c r="A155" s="811"/>
      <c r="B155" s="363"/>
      <c r="C155" s="1465">
        <f>C154</f>
        <v>1.2</v>
      </c>
      <c r="D155" s="1465"/>
      <c r="E155" s="927">
        <v>0.1</v>
      </c>
      <c r="F155" s="927"/>
      <c r="G155" s="927"/>
      <c r="H155" s="927">
        <v>1</v>
      </c>
      <c r="I155" s="927"/>
      <c r="J155" s="928"/>
      <c r="K155" s="928"/>
      <c r="L155" s="929"/>
      <c r="M155" s="927">
        <f>M154</f>
        <v>2</v>
      </c>
      <c r="N155" s="927">
        <f>C155*E155*H155*M155</f>
        <v>0.24</v>
      </c>
      <c r="O155" s="927"/>
      <c r="P155" s="1679"/>
    </row>
    <row r="156" spans="1:16" ht="15.75" customHeight="1">
      <c r="A156" s="811"/>
      <c r="B156" s="363"/>
      <c r="C156" s="1465"/>
      <c r="D156" s="1465">
        <f>D154</f>
        <v>0.4</v>
      </c>
      <c r="E156" s="927">
        <f>E155</f>
        <v>0.1</v>
      </c>
      <c r="F156" s="927"/>
      <c r="G156" s="927"/>
      <c r="H156" s="927">
        <v>2</v>
      </c>
      <c r="I156" s="927"/>
      <c r="J156" s="928"/>
      <c r="K156" s="928"/>
      <c r="L156" s="929"/>
      <c r="M156" s="927">
        <f>M155</f>
        <v>2</v>
      </c>
      <c r="N156" s="1680">
        <f>D156*E156*H156*M156</f>
        <v>0.16000000000000003</v>
      </c>
      <c r="O156" s="927"/>
      <c r="P156" s="1679"/>
    </row>
    <row r="157" spans="1:16" ht="15.75" customHeight="1">
      <c r="A157" s="811"/>
      <c r="B157" s="363"/>
      <c r="C157" s="1465"/>
      <c r="D157" s="1465"/>
      <c r="E157" s="927"/>
      <c r="F157" s="927"/>
      <c r="G157" s="927"/>
      <c r="H157" s="927"/>
      <c r="I157" s="927"/>
      <c r="J157" s="928"/>
      <c r="K157" s="928"/>
      <c r="L157" s="929"/>
      <c r="M157" s="927"/>
      <c r="N157" s="930">
        <f>SUM(N154:N156)</f>
        <v>1.3599999999999999</v>
      </c>
      <c r="O157" s="927" t="s">
        <v>89</v>
      </c>
      <c r="P157" s="1587">
        <f>ROUND((N157),2)</f>
        <v>1.36</v>
      </c>
    </row>
    <row r="158" spans="1:16" ht="15.75" customHeight="1">
      <c r="A158" s="811" t="s">
        <v>98</v>
      </c>
      <c r="B158" s="363" t="s">
        <v>623</v>
      </c>
      <c r="C158" s="1465"/>
      <c r="D158" s="1465"/>
      <c r="E158" s="927"/>
      <c r="F158" s="927"/>
      <c r="G158" s="927"/>
      <c r="H158" s="927"/>
      <c r="I158" s="927"/>
      <c r="J158" s="928"/>
      <c r="K158" s="928"/>
      <c r="L158" s="929"/>
      <c r="M158" s="927"/>
      <c r="N158" s="927"/>
      <c r="O158" s="927"/>
      <c r="P158" s="1679"/>
    </row>
    <row r="159" spans="1:16" ht="15.75" customHeight="1">
      <c r="A159" s="811"/>
      <c r="B159" s="363"/>
      <c r="C159" s="1465">
        <f>C154-0.1</f>
        <v>1.0999999999999999</v>
      </c>
      <c r="D159" s="1465"/>
      <c r="E159" s="927"/>
      <c r="F159" s="927">
        <f>ROUNDDOWN((C160/0.15),0.1)+1</f>
        <v>3</v>
      </c>
      <c r="G159" s="927"/>
      <c r="H159" s="927"/>
      <c r="I159" s="927"/>
      <c r="J159" s="928"/>
      <c r="K159" s="928"/>
      <c r="L159" s="929">
        <f>6*6*0.006165</f>
        <v>0.22194000000000003</v>
      </c>
      <c r="M159" s="927">
        <f>M156</f>
        <v>2</v>
      </c>
      <c r="N159" s="927">
        <f>C159*F159*L159*M159</f>
        <v>1.464804</v>
      </c>
      <c r="O159" s="927"/>
      <c r="P159" s="1679"/>
    </row>
    <row r="160" spans="1:16" ht="15.75" customHeight="1">
      <c r="A160" s="811"/>
      <c r="B160" s="363"/>
      <c r="C160" s="1465">
        <f>D154-0.1</f>
        <v>0.30000000000000004</v>
      </c>
      <c r="D160" s="1465"/>
      <c r="E160" s="927"/>
      <c r="F160" s="927">
        <f>ROUNDDOWN((C159/0.15),0.1)+1</f>
        <v>8</v>
      </c>
      <c r="G160" s="927"/>
      <c r="H160" s="927"/>
      <c r="I160" s="927"/>
      <c r="J160" s="928"/>
      <c r="K160" s="928"/>
      <c r="L160" s="929">
        <f>L159</f>
        <v>0.22194000000000003</v>
      </c>
      <c r="M160" s="927">
        <f>M159</f>
        <v>2</v>
      </c>
      <c r="N160" s="1680">
        <f>C160*F160*L160*M160</f>
        <v>1.0653120000000003</v>
      </c>
      <c r="O160" s="927"/>
      <c r="P160" s="1679"/>
    </row>
    <row r="161" spans="1:16" ht="15.75" customHeight="1">
      <c r="A161" s="811"/>
      <c r="B161" s="363"/>
      <c r="C161" s="1465"/>
      <c r="D161" s="1465"/>
      <c r="E161" s="927"/>
      <c r="F161" s="927"/>
      <c r="G161" s="927"/>
      <c r="H161" s="927"/>
      <c r="I161" s="927"/>
      <c r="J161" s="928"/>
      <c r="K161" s="928"/>
      <c r="L161" s="929"/>
      <c r="M161" s="927"/>
      <c r="N161" s="930">
        <f>SUM(N159:N160)</f>
        <v>2.5301160000000005</v>
      </c>
      <c r="O161" s="927" t="s">
        <v>100</v>
      </c>
      <c r="P161" s="1587">
        <f>ROUND((N161),2)</f>
        <v>2.5299999999999998</v>
      </c>
    </row>
    <row r="162" spans="1:16" ht="15.75" customHeight="1">
      <c r="A162" s="811" t="s">
        <v>101</v>
      </c>
      <c r="B162" s="351" t="s">
        <v>1043</v>
      </c>
      <c r="C162" s="1465">
        <f>C154</f>
        <v>1.2</v>
      </c>
      <c r="D162" s="1465">
        <f>D154</f>
        <v>0.4</v>
      </c>
      <c r="E162" s="927">
        <f>E156</f>
        <v>0.1</v>
      </c>
      <c r="F162" s="927"/>
      <c r="G162" s="927"/>
      <c r="H162" s="927"/>
      <c r="I162" s="927"/>
      <c r="J162" s="928"/>
      <c r="K162" s="928"/>
      <c r="L162" s="929"/>
      <c r="M162" s="927">
        <f>M160</f>
        <v>2</v>
      </c>
      <c r="N162" s="927">
        <f>C162*D162*E162*M162</f>
        <v>9.6000000000000002E-2</v>
      </c>
      <c r="O162" s="927" t="s">
        <v>103</v>
      </c>
      <c r="P162" s="1587">
        <f>ROUND((N162),2)</f>
        <v>0.1</v>
      </c>
    </row>
    <row r="163" spans="1:16" ht="15.75" customHeight="1">
      <c r="A163" s="1689">
        <f>A152+1</f>
        <v>12</v>
      </c>
      <c r="B163" s="403" t="s">
        <v>1987</v>
      </c>
      <c r="C163" s="1465"/>
      <c r="D163" s="1465"/>
      <c r="E163" s="927"/>
      <c r="F163" s="927"/>
      <c r="G163" s="927"/>
      <c r="H163" s="927"/>
      <c r="I163" s="927"/>
      <c r="J163" s="928"/>
      <c r="K163" s="928"/>
      <c r="L163" s="929"/>
      <c r="M163" s="927"/>
      <c r="N163" s="927"/>
      <c r="O163" s="927"/>
      <c r="P163" s="1587"/>
    </row>
    <row r="164" spans="1:16" ht="15.75" customHeight="1">
      <c r="A164" s="589" t="s">
        <v>95</v>
      </c>
      <c r="B164" s="351" t="s">
        <v>211</v>
      </c>
      <c r="C164" s="1465"/>
      <c r="D164" s="1465"/>
      <c r="E164" s="927"/>
      <c r="F164" s="927"/>
      <c r="G164" s="927"/>
      <c r="H164" s="927"/>
      <c r="I164" s="927"/>
      <c r="J164" s="928"/>
      <c r="K164" s="928"/>
      <c r="L164" s="929"/>
      <c r="M164" s="927"/>
      <c r="N164" s="927"/>
      <c r="O164" s="927"/>
      <c r="P164" s="1587"/>
    </row>
    <row r="165" spans="1:16" ht="15.75" customHeight="1">
      <c r="A165" s="589"/>
      <c r="B165" s="351"/>
      <c r="C165" s="1465">
        <v>1.8</v>
      </c>
      <c r="D165" s="1465">
        <v>0.4</v>
      </c>
      <c r="E165" s="927"/>
      <c r="F165" s="927"/>
      <c r="G165" s="927"/>
      <c r="H165" s="927">
        <v>1</v>
      </c>
      <c r="I165" s="927"/>
      <c r="J165" s="928"/>
      <c r="K165" s="928"/>
      <c r="L165" s="929"/>
      <c r="M165" s="927">
        <v>1</v>
      </c>
      <c r="N165" s="927">
        <f>C165*D165*H165*M165</f>
        <v>0.72000000000000008</v>
      </c>
      <c r="O165" s="927"/>
      <c r="P165" s="1679"/>
    </row>
    <row r="166" spans="1:16" ht="15.75" customHeight="1">
      <c r="A166" s="589"/>
      <c r="B166" s="351"/>
      <c r="C166" s="1465">
        <f>C165</f>
        <v>1.8</v>
      </c>
      <c r="D166" s="1465"/>
      <c r="E166" s="927">
        <v>0.1</v>
      </c>
      <c r="F166" s="927"/>
      <c r="G166" s="927"/>
      <c r="H166" s="927">
        <v>1</v>
      </c>
      <c r="I166" s="927"/>
      <c r="J166" s="928"/>
      <c r="K166" s="928"/>
      <c r="L166" s="929"/>
      <c r="M166" s="927">
        <f>M165</f>
        <v>1</v>
      </c>
      <c r="N166" s="927">
        <f>C166*E166*H166*M166</f>
        <v>0.18000000000000002</v>
      </c>
      <c r="O166" s="927"/>
      <c r="P166" s="1679"/>
    </row>
    <row r="167" spans="1:16" ht="15.75" customHeight="1">
      <c r="A167" s="589"/>
      <c r="B167" s="351"/>
      <c r="C167" s="1465"/>
      <c r="D167" s="1465">
        <f>D165</f>
        <v>0.4</v>
      </c>
      <c r="E167" s="927">
        <f>E166</f>
        <v>0.1</v>
      </c>
      <c r="F167" s="927"/>
      <c r="G167" s="927"/>
      <c r="H167" s="927">
        <v>2</v>
      </c>
      <c r="I167" s="927"/>
      <c r="J167" s="928"/>
      <c r="K167" s="928"/>
      <c r="L167" s="929"/>
      <c r="M167" s="927">
        <f>M166</f>
        <v>1</v>
      </c>
      <c r="N167" s="1680">
        <f>D167*E167*H167*M167</f>
        <v>8.0000000000000016E-2</v>
      </c>
      <c r="O167" s="927"/>
      <c r="P167" s="1679"/>
    </row>
    <row r="168" spans="1:16" ht="15.75" customHeight="1">
      <c r="A168" s="589"/>
      <c r="B168" s="351"/>
      <c r="C168" s="1465"/>
      <c r="D168" s="1465"/>
      <c r="E168" s="927"/>
      <c r="F168" s="927"/>
      <c r="G168" s="927"/>
      <c r="H168" s="927"/>
      <c r="I168" s="927"/>
      <c r="J168" s="928"/>
      <c r="K168" s="928"/>
      <c r="L168" s="929"/>
      <c r="M168" s="927"/>
      <c r="N168" s="930">
        <f>SUM(N165:N167)</f>
        <v>0.9800000000000002</v>
      </c>
      <c r="O168" s="927" t="s">
        <v>89</v>
      </c>
      <c r="P168" s="1587">
        <f>ROUND((N168),2)</f>
        <v>0.98</v>
      </c>
    </row>
    <row r="169" spans="1:16" ht="15.75" customHeight="1">
      <c r="A169" s="589" t="s">
        <v>98</v>
      </c>
      <c r="B169" s="351" t="s">
        <v>623</v>
      </c>
      <c r="C169" s="1465"/>
      <c r="D169" s="1465"/>
      <c r="E169" s="927"/>
      <c r="F169" s="927"/>
      <c r="G169" s="927"/>
      <c r="H169" s="927"/>
      <c r="I169" s="927"/>
      <c r="J169" s="928"/>
      <c r="K169" s="928"/>
      <c r="L169" s="929"/>
      <c r="M169" s="927"/>
      <c r="N169" s="927"/>
      <c r="O169" s="927"/>
      <c r="P169" s="1679"/>
    </row>
    <row r="170" spans="1:16" ht="15.75" customHeight="1">
      <c r="A170" s="1681"/>
      <c r="B170" s="356"/>
      <c r="C170" s="1465">
        <f>C165-0.1</f>
        <v>1.7</v>
      </c>
      <c r="D170" s="1465"/>
      <c r="E170" s="927"/>
      <c r="F170" s="927">
        <f>ROUNDDOWN((C171/0.15),0.1)+1</f>
        <v>3</v>
      </c>
      <c r="G170" s="927"/>
      <c r="H170" s="927"/>
      <c r="I170" s="927"/>
      <c r="J170" s="928"/>
      <c r="K170" s="928"/>
      <c r="L170" s="929">
        <f>6*6*0.006165</f>
        <v>0.22194000000000003</v>
      </c>
      <c r="M170" s="927">
        <f>M167</f>
        <v>1</v>
      </c>
      <c r="N170" s="927">
        <f>C170*F170*L170*M170</f>
        <v>1.131894</v>
      </c>
      <c r="O170" s="927"/>
      <c r="P170" s="1679"/>
    </row>
    <row r="171" spans="1:16" ht="15.75" customHeight="1">
      <c r="A171" s="1681"/>
      <c r="B171" s="356"/>
      <c r="C171" s="1465">
        <f>D165-0.1</f>
        <v>0.30000000000000004</v>
      </c>
      <c r="D171" s="1465"/>
      <c r="E171" s="927"/>
      <c r="F171" s="927">
        <f>ROUNDDOWN((C170/0.15),0.1)+1</f>
        <v>12</v>
      </c>
      <c r="G171" s="927"/>
      <c r="H171" s="927"/>
      <c r="I171" s="927"/>
      <c r="J171" s="928"/>
      <c r="K171" s="928"/>
      <c r="L171" s="929">
        <f>L170</f>
        <v>0.22194000000000003</v>
      </c>
      <c r="M171" s="927">
        <f>M170</f>
        <v>1</v>
      </c>
      <c r="N171" s="1680">
        <f>C171*F171*L171*M171</f>
        <v>0.79898400000000025</v>
      </c>
      <c r="O171" s="927"/>
      <c r="P171" s="1679"/>
    </row>
    <row r="172" spans="1:16" ht="15.75" customHeight="1">
      <c r="A172" s="1681"/>
      <c r="B172" s="356"/>
      <c r="C172" s="1465"/>
      <c r="D172" s="1465"/>
      <c r="E172" s="927"/>
      <c r="F172" s="927"/>
      <c r="G172" s="927"/>
      <c r="H172" s="927"/>
      <c r="I172" s="927"/>
      <c r="J172" s="928"/>
      <c r="K172" s="928"/>
      <c r="L172" s="929"/>
      <c r="M172" s="927"/>
      <c r="N172" s="930">
        <f>SUM(N170:N171)</f>
        <v>1.9308780000000003</v>
      </c>
      <c r="O172" s="927" t="s">
        <v>100</v>
      </c>
      <c r="P172" s="1587">
        <f>ROUND((N172),2)</f>
        <v>1.93</v>
      </c>
    </row>
    <row r="173" spans="1:16" ht="15.75" customHeight="1">
      <c r="A173" s="1681" t="s">
        <v>101</v>
      </c>
      <c r="B173" s="356" t="s">
        <v>1043</v>
      </c>
      <c r="C173" s="1465">
        <f>C165</f>
        <v>1.8</v>
      </c>
      <c r="D173" s="1465">
        <f>D165</f>
        <v>0.4</v>
      </c>
      <c r="E173" s="927">
        <f>E167</f>
        <v>0.1</v>
      </c>
      <c r="F173" s="927"/>
      <c r="G173" s="927"/>
      <c r="H173" s="927"/>
      <c r="I173" s="927"/>
      <c r="J173" s="928"/>
      <c r="K173" s="928"/>
      <c r="L173" s="929"/>
      <c r="M173" s="927">
        <f>M171</f>
        <v>1</v>
      </c>
      <c r="N173" s="927">
        <f>C173*D173*E173*M173</f>
        <v>7.2000000000000008E-2</v>
      </c>
      <c r="O173" s="927" t="s">
        <v>103</v>
      </c>
      <c r="P173" s="1587">
        <f>ROUND((N173),2)</f>
        <v>7.0000000000000007E-2</v>
      </c>
    </row>
    <row r="174" spans="1:16" ht="15.75" customHeight="1">
      <c r="A174" s="341" t="s">
        <v>1988</v>
      </c>
      <c r="B174" s="1678" t="s">
        <v>1989</v>
      </c>
      <c r="C174" s="1465"/>
      <c r="D174" s="1465"/>
      <c r="E174" s="927"/>
      <c r="F174" s="927"/>
      <c r="G174" s="927"/>
      <c r="H174" s="927"/>
      <c r="I174" s="927"/>
      <c r="J174" s="928"/>
      <c r="K174" s="928"/>
      <c r="L174" s="929"/>
      <c r="M174" s="927"/>
      <c r="N174" s="927"/>
      <c r="O174" s="927"/>
      <c r="P174" s="1679"/>
    </row>
    <row r="175" spans="1:16" ht="15.75" customHeight="1">
      <c r="A175" s="400">
        <v>1</v>
      </c>
      <c r="B175" s="363" t="s">
        <v>1990</v>
      </c>
      <c r="C175" s="1465"/>
      <c r="D175" s="1465"/>
      <c r="E175" s="927"/>
      <c r="F175" s="927"/>
      <c r="G175" s="927"/>
      <c r="H175" s="927"/>
      <c r="I175" s="927"/>
      <c r="J175" s="928"/>
      <c r="K175" s="928"/>
      <c r="L175" s="929"/>
      <c r="M175" s="927"/>
      <c r="N175" s="927"/>
      <c r="O175" s="927"/>
      <c r="P175" s="1679"/>
    </row>
    <row r="176" spans="1:16" ht="15.75" customHeight="1">
      <c r="A176" s="400"/>
      <c r="B176" s="811" t="s">
        <v>1991</v>
      </c>
      <c r="C176" s="1465">
        <f>2-0.25*2</f>
        <v>1.5</v>
      </c>
      <c r="D176" s="1465"/>
      <c r="E176" s="927">
        <f>3.5-0.12</f>
        <v>3.38</v>
      </c>
      <c r="F176" s="927"/>
      <c r="G176" s="927"/>
      <c r="H176" s="927">
        <v>1</v>
      </c>
      <c r="I176" s="927"/>
      <c r="J176" s="928"/>
      <c r="K176" s="928"/>
      <c r="L176" s="929"/>
      <c r="M176" s="927"/>
      <c r="N176" s="927">
        <f t="shared" ref="N176:N181" si="0">C176*E176*H176</f>
        <v>5.07</v>
      </c>
      <c r="O176" s="927"/>
      <c r="P176" s="1679"/>
    </row>
    <row r="177" spans="1:16" ht="15.75" customHeight="1">
      <c r="A177" s="400"/>
      <c r="B177" s="811"/>
      <c r="C177" s="1465">
        <f>2-0.15*3</f>
        <v>1.55</v>
      </c>
      <c r="D177" s="1465"/>
      <c r="E177" s="927">
        <f>E176</f>
        <v>3.38</v>
      </c>
      <c r="F177" s="927"/>
      <c r="G177" s="927"/>
      <c r="H177" s="927">
        <v>1</v>
      </c>
      <c r="I177" s="927"/>
      <c r="J177" s="928"/>
      <c r="K177" s="928"/>
      <c r="L177" s="929"/>
      <c r="M177" s="927"/>
      <c r="N177" s="927">
        <f t="shared" si="0"/>
        <v>5.2389999999999999</v>
      </c>
      <c r="O177" s="927"/>
      <c r="P177" s="1679"/>
    </row>
    <row r="178" spans="1:16" ht="15.75" customHeight="1">
      <c r="A178" s="400"/>
      <c r="B178" s="811"/>
      <c r="C178" s="1465">
        <f>2-0.15*3</f>
        <v>1.55</v>
      </c>
      <c r="D178" s="1465"/>
      <c r="E178" s="927">
        <f>E177</f>
        <v>3.38</v>
      </c>
      <c r="F178" s="927"/>
      <c r="G178" s="927"/>
      <c r="H178" s="927">
        <v>1</v>
      </c>
      <c r="I178" s="927"/>
      <c r="J178" s="928"/>
      <c r="K178" s="928"/>
      <c r="L178" s="929"/>
      <c r="M178" s="927"/>
      <c r="N178" s="927">
        <f t="shared" si="0"/>
        <v>5.2389999999999999</v>
      </c>
      <c r="O178" s="927"/>
      <c r="P178" s="1679"/>
    </row>
    <row r="179" spans="1:16" ht="15.75" customHeight="1">
      <c r="A179" s="400"/>
      <c r="B179" s="811" t="s">
        <v>1496</v>
      </c>
      <c r="C179" s="1465">
        <f>2-0.15*2</f>
        <v>1.7</v>
      </c>
      <c r="D179" s="1465"/>
      <c r="E179" s="927">
        <f>E178</f>
        <v>3.38</v>
      </c>
      <c r="F179" s="927"/>
      <c r="G179" s="927"/>
      <c r="H179" s="927">
        <v>1</v>
      </c>
      <c r="I179" s="927"/>
      <c r="J179" s="928"/>
      <c r="K179" s="928"/>
      <c r="L179" s="929"/>
      <c r="M179" s="927"/>
      <c r="N179" s="927">
        <f t="shared" si="0"/>
        <v>5.7459999999999996</v>
      </c>
      <c r="O179" s="927"/>
      <c r="P179" s="1679"/>
    </row>
    <row r="180" spans="1:16" ht="15.75" customHeight="1">
      <c r="A180" s="400"/>
      <c r="B180" s="811" t="s">
        <v>1992</v>
      </c>
      <c r="C180" s="1465">
        <f>2-0.15*2</f>
        <v>1.7</v>
      </c>
      <c r="D180" s="1465"/>
      <c r="E180" s="927">
        <f>E179</f>
        <v>3.38</v>
      </c>
      <c r="F180" s="927"/>
      <c r="G180" s="927"/>
      <c r="H180" s="927">
        <v>1</v>
      </c>
      <c r="I180" s="927"/>
      <c r="J180" s="928"/>
      <c r="K180" s="928"/>
      <c r="L180" s="929"/>
      <c r="M180" s="927"/>
      <c r="N180" s="927">
        <f t="shared" si="0"/>
        <v>5.7459999999999996</v>
      </c>
      <c r="O180" s="927"/>
      <c r="P180" s="1679"/>
    </row>
    <row r="181" spans="1:16" ht="15.75" customHeight="1">
      <c r="A181" s="400"/>
      <c r="B181" s="811" t="s">
        <v>1993</v>
      </c>
      <c r="C181" s="1465">
        <f>7-(0.15*3+0.25*2)</f>
        <v>6.05</v>
      </c>
      <c r="D181" s="1465"/>
      <c r="E181" s="927">
        <f>E180</f>
        <v>3.38</v>
      </c>
      <c r="F181" s="927"/>
      <c r="G181" s="927"/>
      <c r="H181" s="927">
        <v>2</v>
      </c>
      <c r="I181" s="927"/>
      <c r="J181" s="928"/>
      <c r="K181" s="928"/>
      <c r="L181" s="929"/>
      <c r="M181" s="927"/>
      <c r="N181" s="927">
        <f t="shared" si="0"/>
        <v>40.897999999999996</v>
      </c>
      <c r="O181" s="927"/>
      <c r="P181" s="1679"/>
    </row>
    <row r="182" spans="1:16" ht="15.75" customHeight="1">
      <c r="A182" s="400"/>
      <c r="B182" s="811" t="s">
        <v>1994</v>
      </c>
      <c r="C182" s="1465"/>
      <c r="D182" s="1465">
        <v>0.78</v>
      </c>
      <c r="E182" s="927">
        <v>2.04</v>
      </c>
      <c r="F182" s="927"/>
      <c r="G182" s="927"/>
      <c r="H182" s="927">
        <v>1</v>
      </c>
      <c r="I182" s="927"/>
      <c r="J182" s="928"/>
      <c r="K182" s="928"/>
      <c r="L182" s="929"/>
      <c r="M182" s="927"/>
      <c r="N182" s="927">
        <f t="shared" ref="N182:N187" si="1">-D182*E182*H182</f>
        <v>-1.5912000000000002</v>
      </c>
      <c r="O182" s="927"/>
      <c r="P182" s="1679"/>
    </row>
    <row r="183" spans="1:16" ht="15.75" customHeight="1">
      <c r="A183" s="400"/>
      <c r="B183" s="811" t="s">
        <v>1995</v>
      </c>
      <c r="C183" s="1465"/>
      <c r="D183" s="1465">
        <v>0.78</v>
      </c>
      <c r="E183" s="927">
        <v>2.04</v>
      </c>
      <c r="F183" s="927"/>
      <c r="G183" s="927"/>
      <c r="H183" s="927">
        <v>1</v>
      </c>
      <c r="I183" s="927"/>
      <c r="J183" s="928"/>
      <c r="K183" s="928"/>
      <c r="L183" s="929"/>
      <c r="M183" s="927"/>
      <c r="N183" s="927">
        <f t="shared" si="1"/>
        <v>-1.5912000000000002</v>
      </c>
      <c r="O183" s="927"/>
      <c r="P183" s="1679"/>
    </row>
    <row r="184" spans="1:16" ht="15.75" customHeight="1">
      <c r="A184" s="400"/>
      <c r="B184" s="811" t="s">
        <v>1996</v>
      </c>
      <c r="C184" s="1465"/>
      <c r="D184" s="1465">
        <v>1.72</v>
      </c>
      <c r="E184" s="927">
        <v>0.4</v>
      </c>
      <c r="F184" s="927"/>
      <c r="G184" s="927"/>
      <c r="H184" s="927">
        <v>1</v>
      </c>
      <c r="I184" s="927"/>
      <c r="J184" s="928"/>
      <c r="K184" s="928"/>
      <c r="L184" s="929"/>
      <c r="M184" s="927"/>
      <c r="N184" s="927">
        <f t="shared" si="1"/>
        <v>-0.68800000000000006</v>
      </c>
      <c r="O184" s="927"/>
      <c r="P184" s="1679"/>
    </row>
    <row r="185" spans="1:16" ht="15.75" customHeight="1">
      <c r="A185" s="400"/>
      <c r="B185" s="811" t="s">
        <v>1997</v>
      </c>
      <c r="C185" s="1465"/>
      <c r="D185" s="1688">
        <v>1.8560000000000001</v>
      </c>
      <c r="E185" s="927">
        <v>1.6</v>
      </c>
      <c r="F185" s="927"/>
      <c r="G185" s="927"/>
      <c r="H185" s="927">
        <v>1</v>
      </c>
      <c r="I185" s="927"/>
      <c r="J185" s="928"/>
      <c r="K185" s="928"/>
      <c r="L185" s="929"/>
      <c r="M185" s="927"/>
      <c r="N185" s="927">
        <f t="shared" si="1"/>
        <v>-2.9696000000000002</v>
      </c>
      <c r="O185" s="927"/>
      <c r="P185" s="1679"/>
    </row>
    <row r="186" spans="1:16" ht="15.75" customHeight="1">
      <c r="A186" s="400"/>
      <c r="B186" s="811"/>
      <c r="C186" s="1465"/>
      <c r="D186" s="1688">
        <v>0.67200000000000004</v>
      </c>
      <c r="E186" s="927">
        <v>1.6</v>
      </c>
      <c r="F186" s="927"/>
      <c r="G186" s="927"/>
      <c r="H186" s="927">
        <v>2</v>
      </c>
      <c r="I186" s="927"/>
      <c r="J186" s="928"/>
      <c r="K186" s="928"/>
      <c r="L186" s="929"/>
      <c r="M186" s="927"/>
      <c r="N186" s="927">
        <f t="shared" si="1"/>
        <v>-2.1504000000000003</v>
      </c>
      <c r="O186" s="927"/>
      <c r="P186" s="1679"/>
    </row>
    <row r="187" spans="1:16" ht="15.75" customHeight="1">
      <c r="A187" s="400"/>
      <c r="B187" s="811" t="s">
        <v>1998</v>
      </c>
      <c r="C187" s="1465"/>
      <c r="D187" s="1465">
        <v>0.78</v>
      </c>
      <c r="E187" s="927">
        <v>0.4</v>
      </c>
      <c r="F187" s="927"/>
      <c r="G187" s="927"/>
      <c r="H187" s="927">
        <v>1</v>
      </c>
      <c r="I187" s="927"/>
      <c r="J187" s="928"/>
      <c r="K187" s="928"/>
      <c r="L187" s="929"/>
      <c r="M187" s="927"/>
      <c r="N187" s="1680">
        <f t="shared" si="1"/>
        <v>-0.31200000000000006</v>
      </c>
      <c r="O187" s="927"/>
      <c r="P187" s="1679"/>
    </row>
    <row r="188" spans="1:16" ht="15.75" customHeight="1">
      <c r="A188" s="400"/>
      <c r="B188" s="811"/>
      <c r="C188" s="1465"/>
      <c r="D188" s="1465"/>
      <c r="E188" s="927"/>
      <c r="F188" s="927"/>
      <c r="G188" s="927"/>
      <c r="H188" s="927"/>
      <c r="I188" s="927"/>
      <c r="J188" s="928"/>
      <c r="K188" s="928"/>
      <c r="L188" s="929"/>
      <c r="M188" s="927"/>
      <c r="N188" s="930">
        <f>SUM(N176:N187)</f>
        <v>58.63559999999999</v>
      </c>
      <c r="O188" s="927" t="s">
        <v>89</v>
      </c>
      <c r="P188" s="1587">
        <f>ROUND((N188),2)</f>
        <v>58.64</v>
      </c>
    </row>
    <row r="189" spans="1:16" ht="15.75" customHeight="1">
      <c r="A189" s="350">
        <f>A175+1</f>
        <v>2</v>
      </c>
      <c r="B189" s="363" t="s">
        <v>1999</v>
      </c>
      <c r="C189" s="1465" t="s">
        <v>2000</v>
      </c>
      <c r="D189" s="1465"/>
      <c r="E189" s="927"/>
      <c r="F189" s="927">
        <f>N188</f>
        <v>58.63559999999999</v>
      </c>
      <c r="G189" s="927"/>
      <c r="H189" s="927">
        <v>2</v>
      </c>
      <c r="I189" s="927"/>
      <c r="J189" s="928"/>
      <c r="K189" s="928"/>
      <c r="L189" s="929"/>
      <c r="M189" s="927"/>
      <c r="N189" s="927">
        <f>F189*H189</f>
        <v>117.27119999999998</v>
      </c>
      <c r="O189" s="927" t="s">
        <v>89</v>
      </c>
      <c r="P189" s="1587">
        <f>ROUND((N189),2)</f>
        <v>117.27</v>
      </c>
    </row>
    <row r="190" spans="1:16" ht="15.75" customHeight="1">
      <c r="A190" s="350">
        <f>A189+1</f>
        <v>3</v>
      </c>
      <c r="B190" s="363" t="s">
        <v>2001</v>
      </c>
      <c r="C190" s="1465"/>
      <c r="D190" s="1465"/>
      <c r="E190" s="927"/>
      <c r="F190" s="927"/>
      <c r="G190" s="927"/>
      <c r="H190" s="927"/>
      <c r="I190" s="927"/>
      <c r="J190" s="928"/>
      <c r="K190" s="928"/>
      <c r="L190" s="929"/>
      <c r="M190" s="927"/>
      <c r="N190" s="927"/>
      <c r="O190" s="927"/>
      <c r="P190" s="1679"/>
    </row>
    <row r="191" spans="1:16" ht="15.75" customHeight="1">
      <c r="A191" s="350"/>
      <c r="B191" s="363"/>
      <c r="C191" s="1465" t="s">
        <v>1148</v>
      </c>
      <c r="D191" s="1465"/>
      <c r="E191" s="927"/>
      <c r="F191" s="927"/>
      <c r="G191" s="927"/>
      <c r="H191" s="927"/>
      <c r="I191" s="927"/>
      <c r="J191" s="928"/>
      <c r="K191" s="928"/>
      <c r="L191" s="929"/>
      <c r="M191" s="927"/>
      <c r="N191" s="927">
        <f>N189</f>
        <v>117.27119999999998</v>
      </c>
      <c r="O191" s="927"/>
      <c r="P191" s="1679"/>
    </row>
    <row r="192" spans="1:16" ht="15.75" customHeight="1">
      <c r="A192" s="350"/>
      <c r="B192" s="811" t="s">
        <v>2002</v>
      </c>
      <c r="C192" s="1465">
        <f>2-0.15</f>
        <v>1.85</v>
      </c>
      <c r="D192" s="1465"/>
      <c r="E192" s="927">
        <v>2</v>
      </c>
      <c r="F192" s="927"/>
      <c r="G192" s="927"/>
      <c r="H192" s="927">
        <v>2</v>
      </c>
      <c r="I192" s="927"/>
      <c r="J192" s="928"/>
      <c r="K192" s="928"/>
      <c r="L192" s="929"/>
      <c r="M192" s="927"/>
      <c r="N192" s="927">
        <f>-C192*E192*H192</f>
        <v>-7.4</v>
      </c>
      <c r="O192" s="927"/>
      <c r="P192" s="1679"/>
    </row>
    <row r="193" spans="1:16" ht="15.75" customHeight="1">
      <c r="A193" s="350"/>
      <c r="B193" s="363"/>
      <c r="C193" s="1465"/>
      <c r="D193" s="1465">
        <f>1.5-0.15</f>
        <v>1.35</v>
      </c>
      <c r="E193" s="927">
        <f>E192</f>
        <v>2</v>
      </c>
      <c r="F193" s="927"/>
      <c r="G193" s="927"/>
      <c r="H193" s="927">
        <f>H192</f>
        <v>2</v>
      </c>
      <c r="I193" s="927"/>
      <c r="J193" s="928"/>
      <c r="K193" s="928"/>
      <c r="L193" s="929"/>
      <c r="M193" s="927"/>
      <c r="N193" s="1680">
        <f>-D193*E193*H193</f>
        <v>-5.4</v>
      </c>
      <c r="O193" s="927"/>
      <c r="P193" s="1679"/>
    </row>
    <row r="194" spans="1:16" ht="15.75" customHeight="1">
      <c r="A194" s="350"/>
      <c r="B194" s="363"/>
      <c r="C194" s="1465"/>
      <c r="D194" s="1465"/>
      <c r="E194" s="927"/>
      <c r="F194" s="927"/>
      <c r="G194" s="927"/>
      <c r="H194" s="927"/>
      <c r="I194" s="927"/>
      <c r="J194" s="928"/>
      <c r="K194" s="928"/>
      <c r="L194" s="929"/>
      <c r="M194" s="927"/>
      <c r="N194" s="930">
        <f>SUM(N191:N193)</f>
        <v>104.47119999999997</v>
      </c>
      <c r="O194" s="927" t="s">
        <v>89</v>
      </c>
      <c r="P194" s="1587">
        <f>ROUND((N194),2)</f>
        <v>104.47</v>
      </c>
    </row>
    <row r="195" spans="1:16" ht="15.75" customHeight="1">
      <c r="A195" s="350">
        <f>A190+1</f>
        <v>4</v>
      </c>
      <c r="B195" s="363" t="s">
        <v>2003</v>
      </c>
      <c r="C195" s="1465"/>
      <c r="D195" s="1465"/>
      <c r="E195" s="927"/>
      <c r="F195" s="927"/>
      <c r="G195" s="927"/>
      <c r="H195" s="927"/>
      <c r="I195" s="927"/>
      <c r="J195" s="928"/>
      <c r="K195" s="928"/>
      <c r="L195" s="929"/>
      <c r="M195" s="927"/>
      <c r="N195" s="927"/>
      <c r="O195" s="927"/>
      <c r="P195" s="1679"/>
    </row>
    <row r="196" spans="1:16" ht="15.75" customHeight="1">
      <c r="A196" s="350"/>
      <c r="B196" s="811" t="s">
        <v>2004</v>
      </c>
      <c r="C196" s="1465">
        <v>7</v>
      </c>
      <c r="D196" s="1465"/>
      <c r="E196" s="927">
        <v>0.25</v>
      </c>
      <c r="F196" s="927"/>
      <c r="G196" s="927"/>
      <c r="H196" s="927">
        <v>2</v>
      </c>
      <c r="I196" s="927"/>
      <c r="J196" s="928"/>
      <c r="K196" s="928"/>
      <c r="L196" s="929"/>
      <c r="M196" s="927"/>
      <c r="N196" s="927">
        <f>C196*E196*H196</f>
        <v>3.5</v>
      </c>
      <c r="O196" s="927"/>
      <c r="P196" s="1679"/>
    </row>
    <row r="197" spans="1:16" ht="15.75" customHeight="1">
      <c r="A197" s="350"/>
      <c r="B197" s="811"/>
      <c r="C197" s="1465">
        <v>2</v>
      </c>
      <c r="D197" s="1465"/>
      <c r="E197" s="927">
        <f>E196</f>
        <v>0.25</v>
      </c>
      <c r="F197" s="927"/>
      <c r="G197" s="927"/>
      <c r="H197" s="927">
        <v>2</v>
      </c>
      <c r="I197" s="927"/>
      <c r="J197" s="928"/>
      <c r="K197" s="928"/>
      <c r="L197" s="929"/>
      <c r="M197" s="927"/>
      <c r="N197" s="927">
        <f>C197*E197*H197</f>
        <v>1</v>
      </c>
      <c r="O197" s="927"/>
      <c r="P197" s="1679"/>
    </row>
    <row r="198" spans="1:16" ht="15.75" customHeight="1">
      <c r="A198" s="350"/>
      <c r="B198" s="811" t="s">
        <v>1496</v>
      </c>
      <c r="C198" s="1465">
        <v>1</v>
      </c>
      <c r="D198" s="1465"/>
      <c r="E198" s="927">
        <f>E197</f>
        <v>0.25</v>
      </c>
      <c r="F198" s="927"/>
      <c r="G198" s="927"/>
      <c r="H198" s="927">
        <v>2</v>
      </c>
      <c r="I198" s="927"/>
      <c r="J198" s="928"/>
      <c r="K198" s="928"/>
      <c r="L198" s="929"/>
      <c r="M198" s="927"/>
      <c r="N198" s="927">
        <f>-C198*E198*H198</f>
        <v>-0.5</v>
      </c>
      <c r="O198" s="927"/>
      <c r="P198" s="1679"/>
    </row>
    <row r="199" spans="1:16" ht="15.75" customHeight="1">
      <c r="A199" s="350"/>
      <c r="B199" s="811" t="s">
        <v>2005</v>
      </c>
      <c r="C199" s="1465"/>
      <c r="D199" s="1465"/>
      <c r="E199" s="927"/>
      <c r="F199" s="927"/>
      <c r="G199" s="927"/>
      <c r="H199" s="927"/>
      <c r="I199" s="927"/>
      <c r="J199" s="928"/>
      <c r="K199" s="928"/>
      <c r="L199" s="929"/>
      <c r="M199" s="927"/>
      <c r="N199" s="927"/>
      <c r="O199" s="927"/>
      <c r="P199" s="1679"/>
    </row>
    <row r="200" spans="1:16" ht="15.75" customHeight="1">
      <c r="A200" s="350"/>
      <c r="B200" s="811" t="str">
        <f>B73</f>
        <v>Tinggi 360 cm</v>
      </c>
      <c r="C200" s="1465"/>
      <c r="D200" s="1465">
        <v>0.25</v>
      </c>
      <c r="E200" s="927">
        <v>3.6</v>
      </c>
      <c r="F200" s="927"/>
      <c r="G200" s="927"/>
      <c r="H200" s="927">
        <v>2</v>
      </c>
      <c r="I200" s="927"/>
      <c r="J200" s="928"/>
      <c r="K200" s="928"/>
      <c r="L200" s="929"/>
      <c r="M200" s="927">
        <f>M73</f>
        <v>4</v>
      </c>
      <c r="N200" s="927">
        <f>D200*E200*H200</f>
        <v>1.8</v>
      </c>
      <c r="O200" s="927"/>
      <c r="P200" s="1679"/>
    </row>
    <row r="201" spans="1:16" ht="15.75" customHeight="1">
      <c r="A201" s="350"/>
      <c r="B201" s="811" t="str">
        <f>B74</f>
        <v>Tinggi 325 cm</v>
      </c>
      <c r="C201" s="1465"/>
      <c r="D201" s="1465">
        <f>D200</f>
        <v>0.25</v>
      </c>
      <c r="E201" s="927">
        <v>3.25</v>
      </c>
      <c r="F201" s="927"/>
      <c r="G201" s="927"/>
      <c r="H201" s="927">
        <f>H200</f>
        <v>2</v>
      </c>
      <c r="I201" s="927"/>
      <c r="J201" s="928"/>
      <c r="K201" s="928"/>
      <c r="L201" s="929"/>
      <c r="M201" s="927">
        <f>M74</f>
        <v>4</v>
      </c>
      <c r="N201" s="927">
        <f>D201*E201*H201</f>
        <v>1.625</v>
      </c>
      <c r="O201" s="927"/>
      <c r="P201" s="1679"/>
    </row>
    <row r="202" spans="1:16" ht="15.75" customHeight="1">
      <c r="A202" s="350"/>
      <c r="B202" s="811" t="s">
        <v>2006</v>
      </c>
      <c r="C202" s="1465"/>
      <c r="D202" s="1465"/>
      <c r="E202" s="927"/>
      <c r="F202" s="927"/>
      <c r="G202" s="927"/>
      <c r="H202" s="927"/>
      <c r="I202" s="927"/>
      <c r="J202" s="928"/>
      <c r="K202" s="928"/>
      <c r="L202" s="929"/>
      <c r="M202" s="927"/>
      <c r="N202" s="927"/>
      <c r="O202" s="927"/>
      <c r="P202" s="1679"/>
    </row>
    <row r="203" spans="1:16" ht="15.75" customHeight="1">
      <c r="A203" s="350"/>
      <c r="B203" s="1690" t="str">
        <f>B92</f>
        <v>Tinggi 360 cm</v>
      </c>
      <c r="C203" s="1465"/>
      <c r="D203" s="1465">
        <v>0.15</v>
      </c>
      <c r="E203" s="927">
        <f>E200</f>
        <v>3.6</v>
      </c>
      <c r="F203" s="927"/>
      <c r="G203" s="927"/>
      <c r="H203" s="927">
        <v>2</v>
      </c>
      <c r="I203" s="927"/>
      <c r="J203" s="928"/>
      <c r="K203" s="928"/>
      <c r="L203" s="929"/>
      <c r="M203" s="927">
        <f>M92</f>
        <v>1</v>
      </c>
      <c r="N203" s="927">
        <f>D203*E203*H203</f>
        <v>1.08</v>
      </c>
      <c r="O203" s="927"/>
      <c r="P203" s="1679"/>
    </row>
    <row r="204" spans="1:16" ht="15.75" customHeight="1">
      <c r="A204" s="350"/>
      <c r="B204" s="1690" t="str">
        <f>B93</f>
        <v>Tinggi 325 cm</v>
      </c>
      <c r="C204" s="1465"/>
      <c r="D204" s="1465">
        <f>D203</f>
        <v>0.15</v>
      </c>
      <c r="E204" s="927">
        <f>E201</f>
        <v>3.25</v>
      </c>
      <c r="F204" s="927"/>
      <c r="G204" s="927"/>
      <c r="H204" s="927">
        <f>H203</f>
        <v>2</v>
      </c>
      <c r="I204" s="927"/>
      <c r="J204" s="928"/>
      <c r="K204" s="928"/>
      <c r="L204" s="929"/>
      <c r="M204" s="927">
        <f>M93</f>
        <v>5</v>
      </c>
      <c r="N204" s="927">
        <f>D204*E204*H204</f>
        <v>0.97499999999999998</v>
      </c>
      <c r="O204" s="927"/>
      <c r="P204" s="1679"/>
    </row>
    <row r="205" spans="1:16" ht="15.75" customHeight="1">
      <c r="A205" s="350"/>
      <c r="B205" s="811" t="s">
        <v>2007</v>
      </c>
      <c r="C205" s="1465">
        <v>7</v>
      </c>
      <c r="D205" s="1465"/>
      <c r="E205" s="927">
        <v>0.25</v>
      </c>
      <c r="F205" s="927"/>
      <c r="G205" s="927"/>
      <c r="H205" s="927">
        <v>2</v>
      </c>
      <c r="I205" s="927"/>
      <c r="J205" s="928"/>
      <c r="K205" s="928"/>
      <c r="L205" s="929"/>
      <c r="M205" s="927"/>
      <c r="N205" s="927">
        <f>C205*E205*H205</f>
        <v>3.5</v>
      </c>
      <c r="O205" s="927"/>
      <c r="P205" s="1679"/>
    </row>
    <row r="206" spans="1:16" ht="15.75" customHeight="1">
      <c r="A206" s="350"/>
      <c r="B206" s="811"/>
      <c r="C206" s="1465">
        <v>2</v>
      </c>
      <c r="D206" s="1465"/>
      <c r="E206" s="927">
        <f>E205</f>
        <v>0.25</v>
      </c>
      <c r="F206" s="927"/>
      <c r="G206" s="927"/>
      <c r="H206" s="927">
        <f>H205</f>
        <v>2</v>
      </c>
      <c r="I206" s="927"/>
      <c r="J206" s="928"/>
      <c r="K206" s="928"/>
      <c r="L206" s="929"/>
      <c r="M206" s="927"/>
      <c r="N206" s="927">
        <f>C206*E206*H206</f>
        <v>1</v>
      </c>
      <c r="O206" s="927"/>
      <c r="P206" s="1679"/>
    </row>
    <row r="207" spans="1:16" ht="15.75" customHeight="1">
      <c r="A207" s="350"/>
      <c r="B207" s="811" t="s">
        <v>2008</v>
      </c>
      <c r="C207" s="1465"/>
      <c r="D207" s="1465"/>
      <c r="E207" s="927"/>
      <c r="F207" s="927"/>
      <c r="G207" s="927"/>
      <c r="H207" s="927"/>
      <c r="I207" s="927"/>
      <c r="J207" s="928"/>
      <c r="K207" s="928"/>
      <c r="L207" s="929"/>
      <c r="M207" s="927"/>
      <c r="N207" s="927"/>
      <c r="O207" s="927"/>
      <c r="P207" s="1679"/>
    </row>
    <row r="208" spans="1:16" ht="15.75" customHeight="1">
      <c r="A208" s="350"/>
      <c r="B208" s="811" t="s">
        <v>2009</v>
      </c>
      <c r="C208" s="1465">
        <v>7.6</v>
      </c>
      <c r="D208" s="1465">
        <v>2</v>
      </c>
      <c r="E208" s="927"/>
      <c r="F208" s="927"/>
      <c r="G208" s="927"/>
      <c r="H208" s="927"/>
      <c r="I208" s="927"/>
      <c r="J208" s="928"/>
      <c r="K208" s="928"/>
      <c r="L208" s="929"/>
      <c r="M208" s="927"/>
      <c r="N208" s="927">
        <f>C208*D208</f>
        <v>15.2</v>
      </c>
      <c r="O208" s="927"/>
      <c r="P208" s="1679"/>
    </row>
    <row r="209" spans="1:16" ht="15.75" customHeight="1">
      <c r="A209" s="350"/>
      <c r="B209" s="811" t="s">
        <v>1185</v>
      </c>
      <c r="C209" s="1465">
        <f>C208</f>
        <v>7.6</v>
      </c>
      <c r="D209" s="1465"/>
      <c r="E209" s="927">
        <v>0.1</v>
      </c>
      <c r="F209" s="927"/>
      <c r="G209" s="927"/>
      <c r="H209" s="927">
        <v>2</v>
      </c>
      <c r="I209" s="927"/>
      <c r="J209" s="928"/>
      <c r="K209" s="928"/>
      <c r="L209" s="929"/>
      <c r="M209" s="927"/>
      <c r="N209" s="927">
        <f>C209*E209*H209</f>
        <v>1.52</v>
      </c>
      <c r="O209" s="927"/>
      <c r="P209" s="1679"/>
    </row>
    <row r="210" spans="1:16" ht="15.75" customHeight="1">
      <c r="A210" s="350"/>
      <c r="B210" s="811"/>
      <c r="C210" s="1465">
        <f>D208</f>
        <v>2</v>
      </c>
      <c r="D210" s="1465"/>
      <c r="E210" s="927">
        <f>E209</f>
        <v>0.1</v>
      </c>
      <c r="F210" s="927"/>
      <c r="G210" s="927"/>
      <c r="H210" s="927">
        <f>H209</f>
        <v>2</v>
      </c>
      <c r="I210" s="927"/>
      <c r="J210" s="928"/>
      <c r="K210" s="928"/>
      <c r="L210" s="929"/>
      <c r="M210" s="927"/>
      <c r="N210" s="927">
        <f>C210*E210*H210</f>
        <v>0.4</v>
      </c>
      <c r="O210" s="927"/>
      <c r="P210" s="1679"/>
    </row>
    <row r="211" spans="1:16" ht="15.75" customHeight="1">
      <c r="A211" s="350"/>
      <c r="B211" s="811" t="s">
        <v>1784</v>
      </c>
      <c r="C211" s="1465">
        <v>2</v>
      </c>
      <c r="D211" s="1465">
        <v>0.6</v>
      </c>
      <c r="E211" s="927"/>
      <c r="F211" s="927"/>
      <c r="G211" s="927"/>
      <c r="H211" s="927"/>
      <c r="I211" s="927"/>
      <c r="J211" s="928"/>
      <c r="K211" s="928"/>
      <c r="L211" s="929"/>
      <c r="M211" s="927"/>
      <c r="N211" s="927">
        <f>C211*D211</f>
        <v>1.2</v>
      </c>
      <c r="O211" s="927"/>
      <c r="P211" s="1679"/>
    </row>
    <row r="212" spans="1:16" ht="15.75" customHeight="1">
      <c r="A212" s="350"/>
      <c r="B212" s="811" t="s">
        <v>2010</v>
      </c>
      <c r="C212" s="1465"/>
      <c r="D212" s="1465"/>
      <c r="E212" s="927"/>
      <c r="F212" s="927"/>
      <c r="G212" s="927"/>
      <c r="H212" s="927"/>
      <c r="I212" s="927"/>
      <c r="J212" s="928"/>
      <c r="K212" s="928"/>
      <c r="L212" s="929"/>
      <c r="M212" s="927"/>
      <c r="N212" s="927"/>
      <c r="O212" s="927"/>
      <c r="P212" s="1679"/>
    </row>
    <row r="213" spans="1:16" ht="15.75" customHeight="1">
      <c r="A213" s="350"/>
      <c r="B213" s="811" t="s">
        <v>2009</v>
      </c>
      <c r="C213" s="1465">
        <v>2</v>
      </c>
      <c r="D213" s="1465">
        <v>0.3</v>
      </c>
      <c r="E213" s="927"/>
      <c r="F213" s="927"/>
      <c r="G213" s="927"/>
      <c r="H213" s="927"/>
      <c r="I213" s="927"/>
      <c r="J213" s="928"/>
      <c r="K213" s="928"/>
      <c r="L213" s="929"/>
      <c r="M213" s="927"/>
      <c r="N213" s="927">
        <f>C213*D213</f>
        <v>0.6</v>
      </c>
      <c r="O213" s="927"/>
      <c r="P213" s="1679"/>
    </row>
    <row r="214" spans="1:16" ht="15.75" customHeight="1">
      <c r="A214" s="350"/>
      <c r="B214" s="811" t="s">
        <v>1185</v>
      </c>
      <c r="C214" s="1465">
        <f>C213</f>
        <v>2</v>
      </c>
      <c r="D214" s="1465"/>
      <c r="E214" s="927">
        <v>0.1</v>
      </c>
      <c r="F214" s="927"/>
      <c r="G214" s="927"/>
      <c r="H214" s="927">
        <v>1</v>
      </c>
      <c r="I214" s="927"/>
      <c r="J214" s="928"/>
      <c r="K214" s="928"/>
      <c r="L214" s="929"/>
      <c r="M214" s="927"/>
      <c r="N214" s="927">
        <f>C214*E214*H214</f>
        <v>0.2</v>
      </c>
      <c r="O214" s="927"/>
      <c r="P214" s="1679"/>
    </row>
    <row r="215" spans="1:16" ht="15.75" customHeight="1">
      <c r="A215" s="350"/>
      <c r="B215" s="811"/>
      <c r="C215" s="1465">
        <f>D213</f>
        <v>0.3</v>
      </c>
      <c r="D215" s="1465"/>
      <c r="E215" s="927">
        <v>0.1</v>
      </c>
      <c r="F215" s="927"/>
      <c r="G215" s="927"/>
      <c r="H215" s="927">
        <v>2</v>
      </c>
      <c r="I215" s="927"/>
      <c r="J215" s="928"/>
      <c r="K215" s="928"/>
      <c r="L215" s="929"/>
      <c r="M215" s="927"/>
      <c r="N215" s="927">
        <f>C215*E215*H215</f>
        <v>0.06</v>
      </c>
      <c r="O215" s="927"/>
      <c r="P215" s="1679"/>
    </row>
    <row r="216" spans="1:16" ht="15.75" customHeight="1">
      <c r="A216" s="350"/>
      <c r="B216" s="811" t="s">
        <v>1784</v>
      </c>
      <c r="C216" s="1465">
        <f>C214</f>
        <v>2</v>
      </c>
      <c r="D216" s="1465">
        <v>0.15</v>
      </c>
      <c r="E216" s="927"/>
      <c r="F216" s="927"/>
      <c r="G216" s="927"/>
      <c r="H216" s="927"/>
      <c r="I216" s="927"/>
      <c r="J216" s="928"/>
      <c r="K216" s="928"/>
      <c r="L216" s="929"/>
      <c r="M216" s="927"/>
      <c r="N216" s="927">
        <f>C216*D216</f>
        <v>0.3</v>
      </c>
      <c r="O216" s="927"/>
      <c r="P216" s="1679"/>
    </row>
    <row r="217" spans="1:16" ht="15.75" customHeight="1">
      <c r="A217" s="350"/>
      <c r="B217" s="589" t="s">
        <v>2011</v>
      </c>
      <c r="C217" s="1465"/>
      <c r="D217" s="1465"/>
      <c r="E217" s="927"/>
      <c r="F217" s="927"/>
      <c r="G217" s="927"/>
      <c r="H217" s="927"/>
      <c r="I217" s="927"/>
      <c r="J217" s="928"/>
      <c r="K217" s="928"/>
      <c r="L217" s="929"/>
      <c r="M217" s="927"/>
      <c r="N217" s="927"/>
      <c r="O217" s="927"/>
      <c r="P217" s="1679"/>
    </row>
    <row r="218" spans="1:16" ht="15.75" customHeight="1">
      <c r="A218" s="350"/>
      <c r="B218" s="811" t="s">
        <v>2009</v>
      </c>
      <c r="C218" s="1465">
        <v>2</v>
      </c>
      <c r="D218" s="1465">
        <v>0.4</v>
      </c>
      <c r="E218" s="927"/>
      <c r="F218" s="927"/>
      <c r="G218" s="927"/>
      <c r="H218" s="927"/>
      <c r="I218" s="927"/>
      <c r="J218" s="928"/>
      <c r="K218" s="928"/>
      <c r="L218" s="929"/>
      <c r="M218" s="927"/>
      <c r="N218" s="927">
        <f>C218*D218</f>
        <v>0.8</v>
      </c>
      <c r="O218" s="927"/>
      <c r="P218" s="1679"/>
    </row>
    <row r="219" spans="1:16" ht="15.75" customHeight="1">
      <c r="A219" s="350"/>
      <c r="B219" s="811" t="s">
        <v>1185</v>
      </c>
      <c r="C219" s="1465">
        <f>C218</f>
        <v>2</v>
      </c>
      <c r="D219" s="1465"/>
      <c r="E219" s="927">
        <v>0.1</v>
      </c>
      <c r="F219" s="927"/>
      <c r="G219" s="927"/>
      <c r="H219" s="927">
        <v>1</v>
      </c>
      <c r="I219" s="927"/>
      <c r="J219" s="928"/>
      <c r="K219" s="928"/>
      <c r="L219" s="929"/>
      <c r="M219" s="927"/>
      <c r="N219" s="927">
        <f>C219*E219*H219</f>
        <v>0.2</v>
      </c>
      <c r="O219" s="927"/>
      <c r="P219" s="1679"/>
    </row>
    <row r="220" spans="1:16" ht="15.75" customHeight="1">
      <c r="A220" s="350"/>
      <c r="B220" s="811"/>
      <c r="C220" s="1465">
        <f>D218</f>
        <v>0.4</v>
      </c>
      <c r="D220" s="1465"/>
      <c r="E220" s="927">
        <v>0.1</v>
      </c>
      <c r="F220" s="927"/>
      <c r="G220" s="927"/>
      <c r="H220" s="927">
        <v>2</v>
      </c>
      <c r="I220" s="927"/>
      <c r="J220" s="928"/>
      <c r="K220" s="928"/>
      <c r="L220" s="929"/>
      <c r="M220" s="927"/>
      <c r="N220" s="927">
        <f>C220*E220*H220</f>
        <v>8.0000000000000016E-2</v>
      </c>
      <c r="O220" s="927"/>
      <c r="P220" s="1679"/>
    </row>
    <row r="221" spans="1:16" ht="15.75" customHeight="1">
      <c r="A221" s="350"/>
      <c r="B221" s="811" t="s">
        <v>1784</v>
      </c>
      <c r="C221" s="1465">
        <f>C219</f>
        <v>2</v>
      </c>
      <c r="D221" s="1465">
        <v>0.15</v>
      </c>
      <c r="E221" s="927"/>
      <c r="F221" s="927"/>
      <c r="G221" s="927"/>
      <c r="H221" s="927"/>
      <c r="I221" s="927"/>
      <c r="J221" s="928"/>
      <c r="K221" s="928"/>
      <c r="L221" s="929"/>
      <c r="M221" s="927"/>
      <c r="N221" s="927">
        <f>C221*D221</f>
        <v>0.3</v>
      </c>
      <c r="O221" s="927"/>
      <c r="P221" s="1679"/>
    </row>
    <row r="222" spans="1:16" ht="15.75" customHeight="1">
      <c r="A222" s="350"/>
      <c r="B222" s="589" t="s">
        <v>2012</v>
      </c>
      <c r="C222" s="1465"/>
      <c r="D222" s="1465"/>
      <c r="E222" s="927"/>
      <c r="F222" s="927"/>
      <c r="G222" s="927"/>
      <c r="H222" s="927"/>
      <c r="I222" s="927"/>
      <c r="J222" s="928"/>
      <c r="K222" s="928"/>
      <c r="L222" s="929"/>
      <c r="M222" s="927"/>
      <c r="N222" s="927"/>
      <c r="O222" s="927"/>
      <c r="P222" s="1679"/>
    </row>
    <row r="223" spans="1:16" ht="15.75" customHeight="1">
      <c r="A223" s="350"/>
      <c r="B223" s="811" t="s">
        <v>2009</v>
      </c>
      <c r="C223" s="1465">
        <v>1.2</v>
      </c>
      <c r="D223" s="1465">
        <v>0.4</v>
      </c>
      <c r="E223" s="927"/>
      <c r="F223" s="927"/>
      <c r="G223" s="927"/>
      <c r="H223" s="927"/>
      <c r="I223" s="927"/>
      <c r="J223" s="928"/>
      <c r="K223" s="928"/>
      <c r="L223" s="929"/>
      <c r="M223" s="927">
        <v>2</v>
      </c>
      <c r="N223" s="927">
        <f>C223*D223*M223</f>
        <v>0.96</v>
      </c>
      <c r="O223" s="927"/>
      <c r="P223" s="1679"/>
    </row>
    <row r="224" spans="1:16" ht="15.75" customHeight="1">
      <c r="A224" s="350"/>
      <c r="B224" s="811" t="s">
        <v>1185</v>
      </c>
      <c r="C224" s="1465">
        <f>C223</f>
        <v>1.2</v>
      </c>
      <c r="D224" s="1465"/>
      <c r="E224" s="927">
        <v>0.1</v>
      </c>
      <c r="F224" s="927"/>
      <c r="G224" s="927"/>
      <c r="H224" s="927">
        <v>1</v>
      </c>
      <c r="I224" s="927"/>
      <c r="J224" s="928"/>
      <c r="K224" s="928"/>
      <c r="L224" s="929"/>
      <c r="M224" s="927">
        <f>M223</f>
        <v>2</v>
      </c>
      <c r="N224" s="927">
        <f>C224*E224*H224*M224</f>
        <v>0.24</v>
      </c>
      <c r="O224" s="927"/>
      <c r="P224" s="1679"/>
    </row>
    <row r="225" spans="1:16" ht="15.75" customHeight="1">
      <c r="A225" s="350"/>
      <c r="B225" s="811"/>
      <c r="C225" s="1465">
        <f>D223</f>
        <v>0.4</v>
      </c>
      <c r="D225" s="1465"/>
      <c r="E225" s="927">
        <v>0.1</v>
      </c>
      <c r="F225" s="927"/>
      <c r="G225" s="927"/>
      <c r="H225" s="927">
        <v>2</v>
      </c>
      <c r="I225" s="927"/>
      <c r="J225" s="928"/>
      <c r="K225" s="928"/>
      <c r="L225" s="929"/>
      <c r="M225" s="927">
        <f>M224</f>
        <v>2</v>
      </c>
      <c r="N225" s="927">
        <f>C225*E225*H225*M225</f>
        <v>0.16000000000000003</v>
      </c>
      <c r="O225" s="927"/>
      <c r="P225" s="1679"/>
    </row>
    <row r="226" spans="1:16" ht="15.75" customHeight="1">
      <c r="A226" s="350"/>
      <c r="B226" s="811" t="s">
        <v>1784</v>
      </c>
      <c r="C226" s="1465">
        <f>C224</f>
        <v>1.2</v>
      </c>
      <c r="D226" s="1465">
        <v>0.15</v>
      </c>
      <c r="E226" s="927"/>
      <c r="F226" s="927"/>
      <c r="G226" s="927"/>
      <c r="H226" s="927"/>
      <c r="I226" s="927"/>
      <c r="J226" s="928"/>
      <c r="K226" s="928"/>
      <c r="L226" s="929"/>
      <c r="M226" s="927">
        <f>M225</f>
        <v>2</v>
      </c>
      <c r="N226" s="927">
        <f>C226*D226*M226</f>
        <v>0.36</v>
      </c>
      <c r="O226" s="927"/>
      <c r="P226" s="1679"/>
    </row>
    <row r="227" spans="1:16" ht="15.75" customHeight="1">
      <c r="A227" s="350"/>
      <c r="B227" s="589" t="s">
        <v>2013</v>
      </c>
      <c r="C227" s="1465"/>
      <c r="D227" s="1465"/>
      <c r="E227" s="927"/>
      <c r="F227" s="927"/>
      <c r="G227" s="927"/>
      <c r="H227" s="927"/>
      <c r="I227" s="927"/>
      <c r="J227" s="928"/>
      <c r="K227" s="928"/>
      <c r="L227" s="929"/>
      <c r="M227" s="927"/>
      <c r="N227" s="927"/>
      <c r="O227" s="927"/>
      <c r="P227" s="1679"/>
    </row>
    <row r="228" spans="1:16" ht="15.75" customHeight="1">
      <c r="A228" s="350"/>
      <c r="B228" s="811" t="s">
        <v>2009</v>
      </c>
      <c r="C228" s="1465">
        <v>1.8</v>
      </c>
      <c r="D228" s="1465">
        <v>0.4</v>
      </c>
      <c r="E228" s="927"/>
      <c r="F228" s="927"/>
      <c r="G228" s="927"/>
      <c r="H228" s="927"/>
      <c r="I228" s="927"/>
      <c r="J228" s="928"/>
      <c r="K228" s="928"/>
      <c r="L228" s="929"/>
      <c r="M228" s="927"/>
      <c r="N228" s="927">
        <f>C228*D228</f>
        <v>0.72000000000000008</v>
      </c>
      <c r="O228" s="927"/>
      <c r="P228" s="1679"/>
    </row>
    <row r="229" spans="1:16" ht="15.75" customHeight="1">
      <c r="A229" s="350"/>
      <c r="B229" s="811" t="s">
        <v>1185</v>
      </c>
      <c r="C229" s="1465">
        <f>C228</f>
        <v>1.8</v>
      </c>
      <c r="D229" s="1465"/>
      <c r="E229" s="927">
        <v>0.1</v>
      </c>
      <c r="F229" s="927"/>
      <c r="G229" s="927"/>
      <c r="H229" s="927">
        <v>1</v>
      </c>
      <c r="I229" s="927"/>
      <c r="J229" s="928"/>
      <c r="K229" s="928"/>
      <c r="L229" s="929"/>
      <c r="M229" s="927"/>
      <c r="N229" s="927">
        <f>C229*E229*H229</f>
        <v>0.18000000000000002</v>
      </c>
      <c r="O229" s="927"/>
      <c r="P229" s="1679"/>
    </row>
    <row r="230" spans="1:16" ht="15.75" customHeight="1">
      <c r="A230" s="350"/>
      <c r="B230" s="811"/>
      <c r="C230" s="1465">
        <f>D228</f>
        <v>0.4</v>
      </c>
      <c r="D230" s="1465"/>
      <c r="E230" s="927">
        <v>0.1</v>
      </c>
      <c r="F230" s="927"/>
      <c r="G230" s="927"/>
      <c r="H230" s="927">
        <v>2</v>
      </c>
      <c r="I230" s="927"/>
      <c r="J230" s="928"/>
      <c r="K230" s="928"/>
      <c r="L230" s="929"/>
      <c r="M230" s="927"/>
      <c r="N230" s="927">
        <f>C230*E230*H230</f>
        <v>8.0000000000000016E-2</v>
      </c>
      <c r="O230" s="927"/>
      <c r="P230" s="1679"/>
    </row>
    <row r="231" spans="1:16" ht="15.75" customHeight="1">
      <c r="A231" s="350"/>
      <c r="B231" s="811" t="s">
        <v>1784</v>
      </c>
      <c r="C231" s="1465">
        <f>C229</f>
        <v>1.8</v>
      </c>
      <c r="D231" s="1465">
        <v>0.15</v>
      </c>
      <c r="E231" s="927"/>
      <c r="F231" s="927"/>
      <c r="G231" s="927"/>
      <c r="H231" s="927"/>
      <c r="I231" s="927"/>
      <c r="J231" s="928"/>
      <c r="K231" s="928"/>
      <c r="L231" s="929"/>
      <c r="M231" s="927"/>
      <c r="N231" s="1680">
        <f>C231*D231</f>
        <v>0.27</v>
      </c>
      <c r="O231" s="927"/>
      <c r="P231" s="1679"/>
    </row>
    <row r="232" spans="1:16" ht="15.75" customHeight="1">
      <c r="A232" s="350"/>
      <c r="B232" s="811"/>
      <c r="C232" s="1465"/>
      <c r="D232" s="1465"/>
      <c r="E232" s="927"/>
      <c r="F232" s="927"/>
      <c r="G232" s="927"/>
      <c r="H232" s="927"/>
      <c r="I232" s="927"/>
      <c r="J232" s="928"/>
      <c r="K232" s="928"/>
      <c r="L232" s="929"/>
      <c r="M232" s="927"/>
      <c r="N232" s="930">
        <f>SUM(N196:N231)</f>
        <v>37.809999999999995</v>
      </c>
      <c r="O232" s="927" t="s">
        <v>89</v>
      </c>
      <c r="P232" s="1587">
        <f>ROUND((N232),2)</f>
        <v>37.81</v>
      </c>
    </row>
    <row r="233" spans="1:16" ht="15.75" customHeight="1">
      <c r="A233" s="350">
        <f>A195+1</f>
        <v>5</v>
      </c>
      <c r="B233" s="363" t="s">
        <v>2014</v>
      </c>
      <c r="C233" s="1465"/>
      <c r="D233" s="1465"/>
      <c r="E233" s="927"/>
      <c r="F233" s="927"/>
      <c r="G233" s="927"/>
      <c r="H233" s="927"/>
      <c r="I233" s="927"/>
      <c r="J233" s="928"/>
      <c r="K233" s="928"/>
      <c r="L233" s="929"/>
      <c r="M233" s="927"/>
      <c r="N233" s="927"/>
      <c r="O233" s="927"/>
      <c r="P233" s="1679"/>
    </row>
    <row r="234" spans="1:16" ht="15.75" customHeight="1">
      <c r="A234" s="350"/>
      <c r="B234" s="811" t="s">
        <v>2015</v>
      </c>
      <c r="C234" s="1465"/>
      <c r="D234" s="1465">
        <v>1.2</v>
      </c>
      <c r="E234" s="927">
        <v>0.3</v>
      </c>
      <c r="F234" s="927"/>
      <c r="G234" s="927"/>
      <c r="H234" s="927">
        <v>2</v>
      </c>
      <c r="I234" s="927"/>
      <c r="J234" s="928"/>
      <c r="K234" s="928"/>
      <c r="L234" s="929"/>
      <c r="M234" s="927"/>
      <c r="N234" s="927">
        <f>D234*E234*H234</f>
        <v>0.72</v>
      </c>
      <c r="O234" s="927" t="s">
        <v>89</v>
      </c>
      <c r="P234" s="1587">
        <f>ROUND((N234),2)</f>
        <v>0.72</v>
      </c>
    </row>
    <row r="235" spans="1:16" ht="15.75" customHeight="1">
      <c r="A235" s="350">
        <f>A233+1</f>
        <v>6</v>
      </c>
      <c r="B235" s="363" t="s">
        <v>2016</v>
      </c>
      <c r="C235" s="1465"/>
      <c r="D235" s="1465"/>
      <c r="E235" s="927"/>
      <c r="F235" s="927"/>
      <c r="G235" s="927"/>
      <c r="H235" s="927"/>
      <c r="I235" s="927"/>
      <c r="J235" s="928"/>
      <c r="K235" s="928"/>
      <c r="L235" s="929"/>
      <c r="M235" s="927"/>
      <c r="N235" s="927"/>
      <c r="O235" s="927"/>
      <c r="P235" s="1679"/>
    </row>
    <row r="236" spans="1:16" ht="15.75" customHeight="1">
      <c r="A236" s="355" t="s">
        <v>95</v>
      </c>
      <c r="B236" s="363" t="s">
        <v>1994</v>
      </c>
      <c r="C236" s="1465"/>
      <c r="D236" s="1465"/>
      <c r="E236" s="927"/>
      <c r="F236" s="927"/>
      <c r="G236" s="927"/>
      <c r="H236" s="927"/>
      <c r="I236" s="927"/>
      <c r="J236" s="928"/>
      <c r="K236" s="928"/>
      <c r="L236" s="929"/>
      <c r="M236" s="927"/>
      <c r="N236" s="927"/>
      <c r="O236" s="927"/>
      <c r="P236" s="1679"/>
    </row>
    <row r="237" spans="1:16" ht="15.75" customHeight="1">
      <c r="A237" s="355"/>
      <c r="B237" s="363"/>
      <c r="C237" s="1465"/>
      <c r="D237" s="1465">
        <v>0.78</v>
      </c>
      <c r="E237" s="927"/>
      <c r="F237" s="927"/>
      <c r="G237" s="927"/>
      <c r="H237" s="927">
        <v>1</v>
      </c>
      <c r="I237" s="927"/>
      <c r="J237" s="928"/>
      <c r="K237" s="928"/>
      <c r="L237" s="929"/>
      <c r="M237" s="927"/>
      <c r="N237" s="927">
        <f>D237*H237</f>
        <v>0.78</v>
      </c>
      <c r="O237" s="927"/>
      <c r="P237" s="1679"/>
    </row>
    <row r="238" spans="1:16" ht="15.75" customHeight="1">
      <c r="A238" s="355"/>
      <c r="B238" s="363"/>
      <c r="C238" s="1465"/>
      <c r="D238" s="1465"/>
      <c r="E238" s="927">
        <v>2.04</v>
      </c>
      <c r="F238" s="927"/>
      <c r="G238" s="927"/>
      <c r="H238" s="927">
        <v>2</v>
      </c>
      <c r="I238" s="927"/>
      <c r="J238" s="928"/>
      <c r="K238" s="928"/>
      <c r="L238" s="929"/>
      <c r="M238" s="927"/>
      <c r="N238" s="1680">
        <f>E238*H238</f>
        <v>4.08</v>
      </c>
      <c r="O238" s="927"/>
      <c r="P238" s="1679"/>
    </row>
    <row r="239" spans="1:16" ht="15.75" customHeight="1">
      <c r="A239" s="355"/>
      <c r="B239" s="363"/>
      <c r="C239" s="1465"/>
      <c r="D239" s="1465"/>
      <c r="E239" s="927"/>
      <c r="F239" s="927"/>
      <c r="G239" s="927"/>
      <c r="H239" s="927"/>
      <c r="I239" s="927"/>
      <c r="J239" s="928"/>
      <c r="K239" s="928"/>
      <c r="L239" s="929"/>
      <c r="M239" s="927"/>
      <c r="N239" s="930">
        <f>SUM(N237:N238)</f>
        <v>4.8600000000000003</v>
      </c>
      <c r="O239" s="927" t="s">
        <v>117</v>
      </c>
      <c r="P239" s="1587">
        <f>ROUND((N239),2)</f>
        <v>4.8600000000000003</v>
      </c>
    </row>
    <row r="240" spans="1:16" ht="15.75" customHeight="1">
      <c r="A240" s="355" t="s">
        <v>98</v>
      </c>
      <c r="B240" s="363" t="s">
        <v>1995</v>
      </c>
      <c r="C240" s="1465"/>
      <c r="D240" s="1465"/>
      <c r="E240" s="927"/>
      <c r="F240" s="927"/>
      <c r="G240" s="927"/>
      <c r="H240" s="927"/>
      <c r="I240" s="927"/>
      <c r="J240" s="928"/>
      <c r="K240" s="928"/>
      <c r="L240" s="929"/>
      <c r="M240" s="927"/>
      <c r="N240" s="927"/>
      <c r="O240" s="927"/>
      <c r="P240" s="1679"/>
    </row>
    <row r="241" spans="1:16" ht="15.75" customHeight="1">
      <c r="A241" s="355"/>
      <c r="B241" s="363"/>
      <c r="C241" s="1465"/>
      <c r="D241" s="1465">
        <v>0.78</v>
      </c>
      <c r="E241" s="927"/>
      <c r="F241" s="927"/>
      <c r="G241" s="927"/>
      <c r="H241" s="927">
        <v>1</v>
      </c>
      <c r="I241" s="927"/>
      <c r="J241" s="928"/>
      <c r="K241" s="928"/>
      <c r="L241" s="929"/>
      <c r="M241" s="927"/>
      <c r="N241" s="927">
        <f>D241*H241</f>
        <v>0.78</v>
      </c>
      <c r="O241" s="927"/>
      <c r="P241" s="1679"/>
    </row>
    <row r="242" spans="1:16" ht="15.75" customHeight="1">
      <c r="A242" s="355"/>
      <c r="B242" s="363"/>
      <c r="C242" s="1465"/>
      <c r="D242" s="1465"/>
      <c r="E242" s="927">
        <v>2.04</v>
      </c>
      <c r="F242" s="927"/>
      <c r="G242" s="927"/>
      <c r="H242" s="927">
        <v>2</v>
      </c>
      <c r="I242" s="927"/>
      <c r="J242" s="928"/>
      <c r="K242" s="928"/>
      <c r="L242" s="929"/>
      <c r="M242" s="927"/>
      <c r="N242" s="1680">
        <f>E242*H242</f>
        <v>4.08</v>
      </c>
      <c r="O242" s="927"/>
      <c r="P242" s="1679"/>
    </row>
    <row r="243" spans="1:16" ht="15.75" customHeight="1">
      <c r="A243" s="355"/>
      <c r="B243" s="363"/>
      <c r="C243" s="1465"/>
      <c r="D243" s="1465"/>
      <c r="E243" s="927"/>
      <c r="F243" s="927"/>
      <c r="G243" s="927"/>
      <c r="H243" s="927"/>
      <c r="I243" s="927"/>
      <c r="J243" s="928"/>
      <c r="K243" s="928"/>
      <c r="L243" s="929"/>
      <c r="M243" s="927"/>
      <c r="N243" s="930">
        <f>SUM(N241:N242)</f>
        <v>4.8600000000000003</v>
      </c>
      <c r="O243" s="927" t="s">
        <v>117</v>
      </c>
      <c r="P243" s="1587">
        <f>ROUND((N243),2)</f>
        <v>4.8600000000000003</v>
      </c>
    </row>
    <row r="244" spans="1:16" ht="15.75" customHeight="1">
      <c r="A244" s="355" t="s">
        <v>101</v>
      </c>
      <c r="B244" s="363" t="s">
        <v>1996</v>
      </c>
      <c r="C244" s="1465"/>
      <c r="D244" s="1465"/>
      <c r="E244" s="927"/>
      <c r="F244" s="927"/>
      <c r="G244" s="927"/>
      <c r="H244" s="927"/>
      <c r="I244" s="927"/>
      <c r="J244" s="928"/>
      <c r="K244" s="928"/>
      <c r="L244" s="929"/>
      <c r="M244" s="927"/>
      <c r="N244" s="927"/>
      <c r="O244" s="927"/>
      <c r="P244" s="1679"/>
    </row>
    <row r="245" spans="1:16" ht="15.75" customHeight="1">
      <c r="A245" s="355"/>
      <c r="B245" s="363"/>
      <c r="C245" s="1465"/>
      <c r="D245" s="1465">
        <v>1.72</v>
      </c>
      <c r="E245" s="927"/>
      <c r="F245" s="927"/>
      <c r="G245" s="927"/>
      <c r="H245" s="927">
        <v>2</v>
      </c>
      <c r="I245" s="927"/>
      <c r="J245" s="928"/>
      <c r="K245" s="928"/>
      <c r="L245" s="929"/>
      <c r="M245" s="927"/>
      <c r="N245" s="927">
        <f>D245*H245</f>
        <v>3.44</v>
      </c>
      <c r="O245" s="927"/>
      <c r="P245" s="1679"/>
    </row>
    <row r="246" spans="1:16" ht="15.75" customHeight="1">
      <c r="A246" s="355"/>
      <c r="B246" s="363"/>
      <c r="C246" s="1465"/>
      <c r="D246" s="1465"/>
      <c r="E246" s="927">
        <v>0.4</v>
      </c>
      <c r="F246" s="927"/>
      <c r="G246" s="927"/>
      <c r="H246" s="927">
        <v>2</v>
      </c>
      <c r="I246" s="927"/>
      <c r="J246" s="928"/>
      <c r="K246" s="928"/>
      <c r="L246" s="929"/>
      <c r="M246" s="927"/>
      <c r="N246" s="1680">
        <f>E246*H246</f>
        <v>0.8</v>
      </c>
      <c r="O246" s="927"/>
      <c r="P246" s="1679"/>
    </row>
    <row r="247" spans="1:16" ht="15.75" customHeight="1">
      <c r="A247" s="355"/>
      <c r="B247" s="363"/>
      <c r="C247" s="1465"/>
      <c r="D247" s="1465"/>
      <c r="E247" s="927"/>
      <c r="F247" s="927"/>
      <c r="G247" s="927"/>
      <c r="H247" s="927"/>
      <c r="I247" s="927"/>
      <c r="J247" s="928"/>
      <c r="K247" s="928"/>
      <c r="L247" s="929"/>
      <c r="M247" s="927"/>
      <c r="N247" s="930">
        <f>SUM(N245:N246)</f>
        <v>4.24</v>
      </c>
      <c r="O247" s="927" t="s">
        <v>117</v>
      </c>
      <c r="P247" s="1587">
        <f>ROUND((N247),2)</f>
        <v>4.24</v>
      </c>
    </row>
    <row r="248" spans="1:16" ht="15.75" customHeight="1">
      <c r="A248" s="355" t="s">
        <v>121</v>
      </c>
      <c r="B248" s="363" t="s">
        <v>1997</v>
      </c>
      <c r="C248" s="1465"/>
      <c r="D248" s="1465"/>
      <c r="E248" s="927"/>
      <c r="F248" s="927"/>
      <c r="G248" s="927"/>
      <c r="H248" s="927"/>
      <c r="I248" s="927"/>
      <c r="J248" s="928"/>
      <c r="K248" s="928"/>
      <c r="L248" s="929"/>
      <c r="M248" s="927"/>
      <c r="N248" s="927"/>
      <c r="O248" s="927"/>
      <c r="P248" s="1679"/>
    </row>
    <row r="249" spans="1:16" ht="15.75" customHeight="1">
      <c r="A249" s="355"/>
      <c r="B249" s="363"/>
      <c r="C249" s="1465"/>
      <c r="D249" s="1465">
        <v>6.72</v>
      </c>
      <c r="E249" s="927"/>
      <c r="F249" s="927"/>
      <c r="G249" s="927"/>
      <c r="H249" s="927">
        <v>4</v>
      </c>
      <c r="I249" s="927"/>
      <c r="J249" s="928"/>
      <c r="K249" s="928"/>
      <c r="L249" s="929"/>
      <c r="M249" s="927"/>
      <c r="N249" s="927">
        <f>D249*H249</f>
        <v>26.88</v>
      </c>
      <c r="O249" s="927"/>
      <c r="P249" s="1679"/>
    </row>
    <row r="250" spans="1:16" ht="15.75" customHeight="1">
      <c r="A250" s="355"/>
      <c r="B250" s="363"/>
      <c r="C250" s="1465"/>
      <c r="D250" s="1688">
        <v>1.8560000000000001</v>
      </c>
      <c r="E250" s="927"/>
      <c r="F250" s="927"/>
      <c r="G250" s="927"/>
      <c r="H250" s="927">
        <v>2</v>
      </c>
      <c r="I250" s="927"/>
      <c r="J250" s="928"/>
      <c r="K250" s="928"/>
      <c r="L250" s="929"/>
      <c r="M250" s="927"/>
      <c r="N250" s="927">
        <f>D250*H250</f>
        <v>3.7120000000000002</v>
      </c>
      <c r="O250" s="927"/>
      <c r="P250" s="1679"/>
    </row>
    <row r="251" spans="1:16" ht="15.75" customHeight="1">
      <c r="A251" s="355"/>
      <c r="B251" s="363"/>
      <c r="C251" s="1465"/>
      <c r="D251" s="1465"/>
      <c r="E251" s="927">
        <v>1.6</v>
      </c>
      <c r="F251" s="927"/>
      <c r="G251" s="927"/>
      <c r="H251" s="927">
        <v>2</v>
      </c>
      <c r="I251" s="927"/>
      <c r="J251" s="928"/>
      <c r="K251" s="928"/>
      <c r="L251" s="929"/>
      <c r="M251" s="927"/>
      <c r="N251" s="1680">
        <f>E251*H251</f>
        <v>3.2</v>
      </c>
      <c r="O251" s="927"/>
      <c r="P251" s="1679"/>
    </row>
    <row r="252" spans="1:16" ht="15.75" customHeight="1">
      <c r="A252" s="355"/>
      <c r="B252" s="363"/>
      <c r="C252" s="1465"/>
      <c r="D252" s="1465"/>
      <c r="E252" s="927"/>
      <c r="F252" s="927"/>
      <c r="G252" s="927"/>
      <c r="H252" s="927"/>
      <c r="I252" s="927"/>
      <c r="J252" s="928"/>
      <c r="K252" s="928"/>
      <c r="L252" s="929"/>
      <c r="M252" s="927"/>
      <c r="N252" s="930">
        <f>SUM(N249:N251)</f>
        <v>33.792000000000002</v>
      </c>
      <c r="O252" s="927" t="s">
        <v>117</v>
      </c>
      <c r="P252" s="1587">
        <f>ROUND((N252),2)</f>
        <v>33.79</v>
      </c>
    </row>
    <row r="253" spans="1:16" ht="15.75" customHeight="1">
      <c r="A253" s="355" t="s">
        <v>142</v>
      </c>
      <c r="B253" s="363" t="s">
        <v>1998</v>
      </c>
      <c r="C253" s="1465"/>
      <c r="D253" s="1465"/>
      <c r="E253" s="927"/>
      <c r="F253" s="927"/>
      <c r="G253" s="927"/>
      <c r="H253" s="927"/>
      <c r="I253" s="927"/>
      <c r="J253" s="928"/>
      <c r="K253" s="928"/>
      <c r="L253" s="929"/>
      <c r="M253" s="927"/>
      <c r="N253" s="927"/>
      <c r="O253" s="927"/>
      <c r="P253" s="1679"/>
    </row>
    <row r="254" spans="1:16" ht="15.75" customHeight="1">
      <c r="A254" s="355"/>
      <c r="B254" s="363"/>
      <c r="C254" s="1465"/>
      <c r="D254" s="1465">
        <v>0.78</v>
      </c>
      <c r="E254" s="927"/>
      <c r="F254" s="927"/>
      <c r="G254" s="927"/>
      <c r="H254" s="927">
        <v>2</v>
      </c>
      <c r="I254" s="927"/>
      <c r="J254" s="928"/>
      <c r="K254" s="928"/>
      <c r="L254" s="929"/>
      <c r="M254" s="927"/>
      <c r="N254" s="927">
        <f>D254*H254</f>
        <v>1.56</v>
      </c>
      <c r="O254" s="927"/>
      <c r="P254" s="1679"/>
    </row>
    <row r="255" spans="1:16" ht="15.75" customHeight="1">
      <c r="A255" s="355"/>
      <c r="B255" s="363"/>
      <c r="C255" s="1465"/>
      <c r="D255" s="1465"/>
      <c r="E255" s="927">
        <v>0.4</v>
      </c>
      <c r="F255" s="927"/>
      <c r="G255" s="927"/>
      <c r="H255" s="927">
        <v>2</v>
      </c>
      <c r="I255" s="927"/>
      <c r="J255" s="928"/>
      <c r="K255" s="928"/>
      <c r="L255" s="929"/>
      <c r="M255" s="927"/>
      <c r="N255" s="1680">
        <f>E255*H255</f>
        <v>0.8</v>
      </c>
      <c r="O255" s="927"/>
      <c r="P255" s="1679"/>
    </row>
    <row r="256" spans="1:16" ht="15.75" customHeight="1">
      <c r="A256" s="355"/>
      <c r="B256" s="363"/>
      <c r="C256" s="1465"/>
      <c r="D256" s="1465"/>
      <c r="E256" s="927"/>
      <c r="F256" s="927"/>
      <c r="G256" s="927"/>
      <c r="H256" s="927"/>
      <c r="I256" s="927"/>
      <c r="J256" s="928"/>
      <c r="K256" s="928"/>
      <c r="L256" s="929"/>
      <c r="M256" s="927"/>
      <c r="N256" s="930">
        <f>SUM(N254:N255)</f>
        <v>2.3600000000000003</v>
      </c>
      <c r="O256" s="927" t="s">
        <v>117</v>
      </c>
      <c r="P256" s="1587">
        <f>ROUND((N256),2)</f>
        <v>2.36</v>
      </c>
    </row>
    <row r="257" spans="1:16" ht="15.75" customHeight="1">
      <c r="A257" s="350">
        <f>A235+1</f>
        <v>7</v>
      </c>
      <c r="B257" s="363" t="s">
        <v>2017</v>
      </c>
      <c r="C257" s="1465"/>
      <c r="D257" s="1465"/>
      <c r="E257" s="927"/>
      <c r="F257" s="927"/>
      <c r="G257" s="927"/>
      <c r="H257" s="927"/>
      <c r="I257" s="927"/>
      <c r="J257" s="928"/>
      <c r="K257" s="928"/>
      <c r="L257" s="929"/>
      <c r="M257" s="927"/>
      <c r="N257" s="927"/>
      <c r="O257" s="927"/>
      <c r="P257" s="1679"/>
    </row>
    <row r="258" spans="1:16" ht="15.75" customHeight="1">
      <c r="A258" s="350"/>
      <c r="B258" s="811" t="s">
        <v>2018</v>
      </c>
      <c r="C258" s="1465">
        <v>2</v>
      </c>
      <c r="D258" s="1465">
        <v>2</v>
      </c>
      <c r="E258" s="927"/>
      <c r="F258" s="927"/>
      <c r="G258" s="927"/>
      <c r="H258" s="927"/>
      <c r="I258" s="927"/>
      <c r="J258" s="928"/>
      <c r="K258" s="928"/>
      <c r="L258" s="929"/>
      <c r="M258" s="927"/>
      <c r="N258" s="927">
        <f>C258*D258</f>
        <v>4</v>
      </c>
      <c r="O258" s="927"/>
      <c r="P258" s="1679"/>
    </row>
    <row r="259" spans="1:16" ht="15.75" customHeight="1">
      <c r="A259" s="350"/>
      <c r="B259" s="811" t="s">
        <v>2019</v>
      </c>
      <c r="C259" s="1465">
        <v>2.5</v>
      </c>
      <c r="D259" s="1465">
        <v>2</v>
      </c>
      <c r="E259" s="927"/>
      <c r="F259" s="927"/>
      <c r="G259" s="927"/>
      <c r="H259" s="927"/>
      <c r="I259" s="927"/>
      <c r="J259" s="928"/>
      <c r="K259" s="928"/>
      <c r="L259" s="929"/>
      <c r="M259" s="927"/>
      <c r="N259" s="1680">
        <f>C259*D259</f>
        <v>5</v>
      </c>
      <c r="O259" s="927"/>
      <c r="P259" s="1679"/>
    </row>
    <row r="260" spans="1:16" ht="15.75" customHeight="1">
      <c r="A260" s="350"/>
      <c r="B260" s="363"/>
      <c r="C260" s="1465"/>
      <c r="D260" s="1465"/>
      <c r="E260" s="927"/>
      <c r="F260" s="927"/>
      <c r="G260" s="927"/>
      <c r="H260" s="927"/>
      <c r="I260" s="927"/>
      <c r="J260" s="928"/>
      <c r="K260" s="928"/>
      <c r="L260" s="929"/>
      <c r="M260" s="927"/>
      <c r="N260" s="930">
        <f>SUM(N258:N259)</f>
        <v>9</v>
      </c>
      <c r="O260" s="927" t="s">
        <v>89</v>
      </c>
      <c r="P260" s="1587">
        <f>ROUND((N260),2)</f>
        <v>9</v>
      </c>
    </row>
    <row r="261" spans="1:16" ht="15.75" customHeight="1">
      <c r="A261" s="350">
        <f>A257+1</f>
        <v>8</v>
      </c>
      <c r="B261" s="363" t="s">
        <v>2020</v>
      </c>
      <c r="C261" s="1465"/>
      <c r="D261" s="1465"/>
      <c r="E261" s="927"/>
      <c r="F261" s="927"/>
      <c r="G261" s="927"/>
      <c r="H261" s="927"/>
      <c r="I261" s="927"/>
      <c r="J261" s="928"/>
      <c r="K261" s="928"/>
      <c r="L261" s="929"/>
      <c r="M261" s="927"/>
      <c r="N261" s="927"/>
      <c r="O261" s="927"/>
      <c r="P261" s="1679"/>
    </row>
    <row r="262" spans="1:16" ht="15.75" customHeight="1">
      <c r="A262" s="350"/>
      <c r="B262" s="811" t="s">
        <v>2021</v>
      </c>
      <c r="C262" s="1465">
        <v>1</v>
      </c>
      <c r="D262" s="1465">
        <v>2</v>
      </c>
      <c r="E262" s="927"/>
      <c r="F262" s="927"/>
      <c r="G262" s="927"/>
      <c r="H262" s="927"/>
      <c r="I262" s="927"/>
      <c r="J262" s="928"/>
      <c r="K262" s="928"/>
      <c r="L262" s="929"/>
      <c r="M262" s="927"/>
      <c r="N262" s="927">
        <f>C262*D262</f>
        <v>2</v>
      </c>
      <c r="O262" s="927"/>
      <c r="P262" s="1679"/>
    </row>
    <row r="263" spans="1:16" ht="15.75" customHeight="1">
      <c r="A263" s="350"/>
      <c r="B263" s="811" t="s">
        <v>2022</v>
      </c>
      <c r="C263" s="1465">
        <v>1.2</v>
      </c>
      <c r="D263" s="1465">
        <v>0.3</v>
      </c>
      <c r="E263" s="927"/>
      <c r="F263" s="927"/>
      <c r="G263" s="927"/>
      <c r="H263" s="927"/>
      <c r="I263" s="927"/>
      <c r="J263" s="928"/>
      <c r="K263" s="928"/>
      <c r="L263" s="929"/>
      <c r="M263" s="927">
        <v>2</v>
      </c>
      <c r="N263" s="927">
        <f>C263*D263*M263</f>
        <v>0.72</v>
      </c>
      <c r="O263" s="927"/>
      <c r="P263" s="1679"/>
    </row>
    <row r="264" spans="1:16" ht="15.75" customHeight="1">
      <c r="A264" s="350"/>
      <c r="B264" s="811"/>
      <c r="C264" s="1465">
        <v>1.2</v>
      </c>
      <c r="D264" s="1465"/>
      <c r="E264" s="927">
        <v>0.2</v>
      </c>
      <c r="F264" s="927"/>
      <c r="G264" s="927"/>
      <c r="H264" s="927"/>
      <c r="I264" s="927"/>
      <c r="J264" s="928"/>
      <c r="K264" s="928"/>
      <c r="L264" s="929"/>
      <c r="M264" s="927">
        <f>M263</f>
        <v>2</v>
      </c>
      <c r="N264" s="1680">
        <f>C264*E264*M264</f>
        <v>0.48</v>
      </c>
      <c r="O264" s="927"/>
      <c r="P264" s="1679"/>
    </row>
    <row r="265" spans="1:16" ht="15.75" customHeight="1">
      <c r="A265" s="350"/>
      <c r="B265" s="363"/>
      <c r="C265" s="1465"/>
      <c r="D265" s="1465"/>
      <c r="E265" s="927"/>
      <c r="F265" s="927"/>
      <c r="G265" s="927"/>
      <c r="H265" s="927"/>
      <c r="I265" s="927"/>
      <c r="J265" s="928"/>
      <c r="K265" s="928"/>
      <c r="L265" s="929"/>
      <c r="M265" s="927"/>
      <c r="N265" s="930">
        <f>SUM(N262:N264)</f>
        <v>3.1999999999999997</v>
      </c>
      <c r="O265" s="927" t="s">
        <v>89</v>
      </c>
      <c r="P265" s="1587">
        <f>ROUND((N265),2)</f>
        <v>3.2</v>
      </c>
    </row>
    <row r="266" spans="1:16" ht="15.75" customHeight="1">
      <c r="A266" s="350">
        <f>A261+1</f>
        <v>9</v>
      </c>
      <c r="B266" s="363" t="s">
        <v>2023</v>
      </c>
      <c r="C266" s="1465"/>
      <c r="D266" s="1465"/>
      <c r="E266" s="927"/>
      <c r="F266" s="927"/>
      <c r="G266" s="927"/>
      <c r="H266" s="927"/>
      <c r="I266" s="927"/>
      <c r="J266" s="928"/>
      <c r="K266" s="928"/>
      <c r="L266" s="929"/>
      <c r="M266" s="927"/>
      <c r="N266" s="927"/>
      <c r="O266" s="927"/>
      <c r="P266" s="1679"/>
    </row>
    <row r="267" spans="1:16" ht="15.75" customHeight="1">
      <c r="A267" s="350"/>
      <c r="B267" s="811" t="s">
        <v>2018</v>
      </c>
      <c r="C267" s="1465">
        <f>C258</f>
        <v>2</v>
      </c>
      <c r="D267" s="1465"/>
      <c r="E267" s="927"/>
      <c r="F267" s="927"/>
      <c r="G267" s="927"/>
      <c r="H267" s="927">
        <v>2</v>
      </c>
      <c r="I267" s="927"/>
      <c r="J267" s="928"/>
      <c r="K267" s="928"/>
      <c r="L267" s="929"/>
      <c r="M267" s="927"/>
      <c r="N267" s="927">
        <f>C267*H267</f>
        <v>4</v>
      </c>
      <c r="O267" s="927"/>
      <c r="P267" s="1679"/>
    </row>
    <row r="268" spans="1:16" ht="15.75" customHeight="1">
      <c r="A268" s="350"/>
      <c r="B268" s="363"/>
      <c r="C268" s="1465">
        <f>D258</f>
        <v>2</v>
      </c>
      <c r="D268" s="1465"/>
      <c r="E268" s="927"/>
      <c r="F268" s="927"/>
      <c r="G268" s="927"/>
      <c r="H268" s="927">
        <v>1</v>
      </c>
      <c r="I268" s="927"/>
      <c r="J268" s="928"/>
      <c r="K268" s="928"/>
      <c r="L268" s="929"/>
      <c r="M268" s="927"/>
      <c r="N268" s="927">
        <f>C268*H268</f>
        <v>2</v>
      </c>
      <c r="O268" s="927"/>
      <c r="P268" s="1679"/>
    </row>
    <row r="269" spans="1:16" ht="15.75" customHeight="1">
      <c r="A269" s="350"/>
      <c r="B269" s="811" t="s">
        <v>2019</v>
      </c>
      <c r="C269" s="1465">
        <f>C259</f>
        <v>2.5</v>
      </c>
      <c r="D269" s="1465"/>
      <c r="E269" s="927"/>
      <c r="F269" s="927"/>
      <c r="G269" s="927"/>
      <c r="H269" s="927">
        <v>2</v>
      </c>
      <c r="I269" s="927"/>
      <c r="J269" s="928"/>
      <c r="K269" s="928"/>
      <c r="L269" s="929"/>
      <c r="M269" s="927"/>
      <c r="N269" s="927">
        <f>C269*H269</f>
        <v>5</v>
      </c>
      <c r="O269" s="927"/>
      <c r="P269" s="1679"/>
    </row>
    <row r="270" spans="1:16" ht="15.75" customHeight="1">
      <c r="A270" s="350"/>
      <c r="B270" s="363"/>
      <c r="C270" s="1465">
        <f>D259</f>
        <v>2</v>
      </c>
      <c r="D270" s="1465"/>
      <c r="E270" s="927"/>
      <c r="F270" s="927"/>
      <c r="G270" s="927"/>
      <c r="H270" s="927">
        <v>1</v>
      </c>
      <c r="I270" s="927"/>
      <c r="J270" s="928"/>
      <c r="K270" s="928"/>
      <c r="L270" s="929"/>
      <c r="M270" s="927"/>
      <c r="N270" s="927">
        <f>C270*H270</f>
        <v>2</v>
      </c>
      <c r="O270" s="927"/>
      <c r="P270" s="1679"/>
    </row>
    <row r="271" spans="1:16" ht="15.75" customHeight="1">
      <c r="A271" s="350"/>
      <c r="B271" s="811" t="s">
        <v>2024</v>
      </c>
      <c r="C271" s="1465"/>
      <c r="D271" s="1465">
        <v>0.78</v>
      </c>
      <c r="E271" s="927"/>
      <c r="F271" s="927"/>
      <c r="G271" s="927"/>
      <c r="H271" s="927">
        <v>1</v>
      </c>
      <c r="I271" s="927"/>
      <c r="J271" s="928"/>
      <c r="K271" s="928"/>
      <c r="L271" s="929"/>
      <c r="M271" s="927"/>
      <c r="N271" s="1680">
        <f>-D271*H271</f>
        <v>-0.78</v>
      </c>
      <c r="O271" s="927"/>
      <c r="P271" s="1679"/>
    </row>
    <row r="272" spans="1:16" ht="15.75" customHeight="1">
      <c r="A272" s="350"/>
      <c r="B272" s="363"/>
      <c r="C272" s="1465"/>
      <c r="D272" s="1465"/>
      <c r="E272" s="927"/>
      <c r="F272" s="927"/>
      <c r="G272" s="927"/>
      <c r="H272" s="927"/>
      <c r="I272" s="927"/>
      <c r="J272" s="928"/>
      <c r="K272" s="928"/>
      <c r="L272" s="929"/>
      <c r="M272" s="927"/>
      <c r="N272" s="930">
        <f>SUM(N267:N271)</f>
        <v>12.22</v>
      </c>
      <c r="O272" s="927" t="s">
        <v>117</v>
      </c>
      <c r="P272" s="1587">
        <f>ROUND((N272),2)</f>
        <v>12.22</v>
      </c>
    </row>
    <row r="273" spans="1:16" ht="15.75" customHeight="1">
      <c r="A273" s="350">
        <f>A266+1</f>
        <v>10</v>
      </c>
      <c r="B273" s="363" t="s">
        <v>2025</v>
      </c>
      <c r="C273" s="1465"/>
      <c r="D273" s="1465"/>
      <c r="E273" s="927"/>
      <c r="F273" s="927"/>
      <c r="G273" s="927"/>
      <c r="H273" s="927"/>
      <c r="I273" s="927"/>
      <c r="J273" s="928"/>
      <c r="K273" s="928"/>
      <c r="L273" s="929"/>
      <c r="M273" s="927"/>
      <c r="N273" s="927"/>
      <c r="O273" s="927"/>
      <c r="P273" s="1679"/>
    </row>
    <row r="274" spans="1:16" ht="15.75" customHeight="1">
      <c r="A274" s="350"/>
      <c r="B274" s="811" t="s">
        <v>2026</v>
      </c>
      <c r="C274" s="1465">
        <v>2</v>
      </c>
      <c r="D274" s="1465"/>
      <c r="E274" s="927"/>
      <c r="F274" s="927"/>
      <c r="G274" s="927"/>
      <c r="H274" s="927">
        <v>1</v>
      </c>
      <c r="I274" s="927"/>
      <c r="J274" s="928"/>
      <c r="K274" s="928"/>
      <c r="L274" s="929"/>
      <c r="M274" s="927"/>
      <c r="N274" s="927">
        <f>C274*H274</f>
        <v>2</v>
      </c>
      <c r="O274" s="927"/>
      <c r="P274" s="1679"/>
    </row>
    <row r="275" spans="1:16" ht="15.75" customHeight="1">
      <c r="A275" s="350"/>
      <c r="B275" s="811" t="s">
        <v>2027</v>
      </c>
      <c r="C275" s="1465"/>
      <c r="D275" s="1465">
        <v>0.15</v>
      </c>
      <c r="E275" s="927"/>
      <c r="F275" s="927"/>
      <c r="G275" s="927"/>
      <c r="H275" s="927">
        <v>2</v>
      </c>
      <c r="I275" s="927"/>
      <c r="J275" s="928"/>
      <c r="K275" s="928"/>
      <c r="L275" s="929"/>
      <c r="M275" s="927"/>
      <c r="N275" s="927">
        <f>D275*H275</f>
        <v>0.3</v>
      </c>
      <c r="O275" s="927"/>
      <c r="P275" s="1679"/>
    </row>
    <row r="276" spans="1:16" ht="15.75" customHeight="1">
      <c r="A276" s="350"/>
      <c r="B276" s="811" t="s">
        <v>2024</v>
      </c>
      <c r="C276" s="1465"/>
      <c r="D276" s="1465">
        <v>0.78</v>
      </c>
      <c r="E276" s="927"/>
      <c r="F276" s="927"/>
      <c r="G276" s="927"/>
      <c r="H276" s="927">
        <v>1</v>
      </c>
      <c r="I276" s="927"/>
      <c r="J276" s="928"/>
      <c r="K276" s="928"/>
      <c r="L276" s="929"/>
      <c r="M276" s="927"/>
      <c r="N276" s="1680">
        <f>-D276*H276</f>
        <v>-0.78</v>
      </c>
      <c r="O276" s="927"/>
      <c r="P276" s="1679"/>
    </row>
    <row r="277" spans="1:16" ht="15.75" customHeight="1">
      <c r="A277" s="350"/>
      <c r="B277" s="363"/>
      <c r="C277" s="1465"/>
      <c r="D277" s="1465"/>
      <c r="E277" s="927"/>
      <c r="F277" s="927"/>
      <c r="G277" s="927"/>
      <c r="H277" s="927"/>
      <c r="I277" s="927"/>
      <c r="J277" s="928"/>
      <c r="K277" s="928"/>
      <c r="L277" s="929"/>
      <c r="M277" s="927"/>
      <c r="N277" s="930">
        <f>SUM(N274:N276)</f>
        <v>1.5199999999999998</v>
      </c>
      <c r="O277" s="927" t="s">
        <v>117</v>
      </c>
      <c r="P277" s="1587">
        <f>ROUND((N277),2)</f>
        <v>1.52</v>
      </c>
    </row>
    <row r="278" spans="1:16" ht="15.75" customHeight="1">
      <c r="A278" s="350">
        <f>A273+1</f>
        <v>11</v>
      </c>
      <c r="B278" s="363" t="s">
        <v>2028</v>
      </c>
      <c r="C278" s="1465">
        <f>2-0.15</f>
        <v>1.85</v>
      </c>
      <c r="D278" s="1465">
        <f>1.5-0.15</f>
        <v>1.35</v>
      </c>
      <c r="E278" s="927"/>
      <c r="F278" s="927"/>
      <c r="G278" s="927"/>
      <c r="H278" s="927"/>
      <c r="I278" s="927"/>
      <c r="J278" s="928"/>
      <c r="K278" s="928"/>
      <c r="L278" s="929"/>
      <c r="M278" s="927"/>
      <c r="N278" s="927">
        <f>C278*D278</f>
        <v>2.4975000000000005</v>
      </c>
      <c r="O278" s="927" t="s">
        <v>89</v>
      </c>
      <c r="P278" s="1587">
        <f>ROUND((N278),2)</f>
        <v>2.5</v>
      </c>
    </row>
    <row r="279" spans="1:16" ht="15.75" customHeight="1">
      <c r="A279" s="350">
        <f>A278+1</f>
        <v>12</v>
      </c>
      <c r="B279" s="363" t="s">
        <v>2029</v>
      </c>
      <c r="C279" s="1465"/>
      <c r="D279" s="1465"/>
      <c r="E279" s="927"/>
      <c r="F279" s="927"/>
      <c r="G279" s="927"/>
      <c r="H279" s="927"/>
      <c r="I279" s="927"/>
      <c r="J279" s="928"/>
      <c r="K279" s="928"/>
      <c r="L279" s="929"/>
      <c r="M279" s="927"/>
      <c r="N279" s="927"/>
      <c r="O279" s="927"/>
      <c r="P279" s="1679"/>
    </row>
    <row r="280" spans="1:16" ht="15.75" customHeight="1">
      <c r="A280" s="350"/>
      <c r="B280" s="811"/>
      <c r="C280" s="1465">
        <f>2-0.15</f>
        <v>1.85</v>
      </c>
      <c r="D280" s="1465"/>
      <c r="E280" s="927">
        <v>2</v>
      </c>
      <c r="F280" s="927"/>
      <c r="G280" s="927"/>
      <c r="H280" s="927">
        <v>2</v>
      </c>
      <c r="I280" s="927"/>
      <c r="J280" s="928"/>
      <c r="K280" s="928"/>
      <c r="L280" s="929"/>
      <c r="M280" s="927"/>
      <c r="N280" s="927">
        <f>C280*E280*H280</f>
        <v>7.4</v>
      </c>
      <c r="O280" s="927"/>
      <c r="P280" s="1679"/>
    </row>
    <row r="281" spans="1:16" ht="15.75" customHeight="1">
      <c r="A281" s="350"/>
      <c r="B281" s="363"/>
      <c r="C281" s="1465"/>
      <c r="D281" s="1465">
        <f>1.5-0.15</f>
        <v>1.35</v>
      </c>
      <c r="E281" s="927">
        <f>E280</f>
        <v>2</v>
      </c>
      <c r="F281" s="927"/>
      <c r="G281" s="927"/>
      <c r="H281" s="927">
        <f>H280</f>
        <v>2</v>
      </c>
      <c r="I281" s="927"/>
      <c r="J281" s="928"/>
      <c r="K281" s="928"/>
      <c r="L281" s="929"/>
      <c r="M281" s="927"/>
      <c r="N281" s="927">
        <f>D281*E281*H281</f>
        <v>5.4</v>
      </c>
      <c r="O281" s="927"/>
      <c r="P281" s="1679"/>
    </row>
    <row r="282" spans="1:16" ht="15.75" customHeight="1">
      <c r="A282" s="350"/>
      <c r="B282" s="811" t="s">
        <v>2024</v>
      </c>
      <c r="C282" s="1465"/>
      <c r="D282" s="1465">
        <v>0.78</v>
      </c>
      <c r="E282" s="927"/>
      <c r="F282" s="927"/>
      <c r="G282" s="927"/>
      <c r="H282" s="927">
        <v>1</v>
      </c>
      <c r="I282" s="927"/>
      <c r="J282" s="928"/>
      <c r="K282" s="928"/>
      <c r="L282" s="929"/>
      <c r="M282" s="927"/>
      <c r="N282" s="934">
        <f>-D282*H282</f>
        <v>-0.78</v>
      </c>
      <c r="O282" s="927"/>
      <c r="P282" s="1679"/>
    </row>
    <row r="283" spans="1:16" ht="15.75" customHeight="1">
      <c r="A283" s="350"/>
      <c r="B283" s="351"/>
      <c r="C283" s="1465"/>
      <c r="D283" s="1465"/>
      <c r="E283" s="927"/>
      <c r="F283" s="927"/>
      <c r="G283" s="927"/>
      <c r="H283" s="927"/>
      <c r="I283" s="927"/>
      <c r="J283" s="928"/>
      <c r="K283" s="928"/>
      <c r="L283" s="929"/>
      <c r="M283" s="927"/>
      <c r="N283" s="930">
        <f>SUM(N280:N282)</f>
        <v>12.020000000000001</v>
      </c>
      <c r="O283" s="927" t="s">
        <v>89</v>
      </c>
      <c r="P283" s="1587">
        <f>ROUND((N283),2)</f>
        <v>12.02</v>
      </c>
    </row>
    <row r="284" spans="1:16" ht="15.75" customHeight="1">
      <c r="A284" s="350">
        <f>A279+1</f>
        <v>13</v>
      </c>
      <c r="B284" s="351" t="s">
        <v>2030</v>
      </c>
      <c r="C284" s="1465">
        <v>7</v>
      </c>
      <c r="D284" s="1465">
        <v>2</v>
      </c>
      <c r="E284" s="927"/>
      <c r="F284" s="927"/>
      <c r="G284" s="927"/>
      <c r="H284" s="927"/>
      <c r="I284" s="927"/>
      <c r="J284" s="928"/>
      <c r="K284" s="928"/>
      <c r="L284" s="929"/>
      <c r="M284" s="927"/>
      <c r="N284" s="927">
        <f>C284*D284</f>
        <v>14</v>
      </c>
      <c r="O284" s="927" t="s">
        <v>89</v>
      </c>
      <c r="P284" s="1587">
        <f>ROUND((N284),2)</f>
        <v>14</v>
      </c>
    </row>
    <row r="285" spans="1:16" ht="15.75" customHeight="1">
      <c r="A285" s="350">
        <f>A284+1</f>
        <v>14</v>
      </c>
      <c r="B285" s="351" t="s">
        <v>2031</v>
      </c>
      <c r="C285" s="1465"/>
      <c r="D285" s="1465"/>
      <c r="E285" s="927"/>
      <c r="F285" s="927"/>
      <c r="G285" s="927"/>
      <c r="H285" s="927"/>
      <c r="I285" s="927"/>
      <c r="J285" s="928"/>
      <c r="K285" s="928"/>
      <c r="L285" s="929"/>
      <c r="M285" s="927"/>
      <c r="N285" s="927"/>
      <c r="O285" s="927"/>
      <c r="P285" s="1679"/>
    </row>
    <row r="286" spans="1:16" ht="15.75" customHeight="1">
      <c r="A286" s="350"/>
      <c r="B286" s="811" t="s">
        <v>2018</v>
      </c>
      <c r="C286" s="1465">
        <f>2.5-0.15</f>
        <v>2.35</v>
      </c>
      <c r="D286" s="1465"/>
      <c r="E286" s="927"/>
      <c r="F286" s="927"/>
      <c r="G286" s="927"/>
      <c r="H286" s="927">
        <v>2</v>
      </c>
      <c r="I286" s="927"/>
      <c r="J286" s="928"/>
      <c r="K286" s="928"/>
      <c r="L286" s="929"/>
      <c r="M286" s="927"/>
      <c r="N286" s="927">
        <f t="shared" ref="N286:N293" si="2">C286*H286</f>
        <v>4.7</v>
      </c>
      <c r="O286" s="927"/>
      <c r="P286" s="1679"/>
    </row>
    <row r="287" spans="1:16" ht="15.75" customHeight="1">
      <c r="A287" s="350"/>
      <c r="B287" s="811"/>
      <c r="C287" s="1465">
        <f>2-0.15</f>
        <v>1.85</v>
      </c>
      <c r="D287" s="1465"/>
      <c r="E287" s="927"/>
      <c r="F287" s="927"/>
      <c r="G287" s="927"/>
      <c r="H287" s="927">
        <f t="shared" ref="H287:H293" si="3">H286</f>
        <v>2</v>
      </c>
      <c r="I287" s="927"/>
      <c r="J287" s="928"/>
      <c r="K287" s="928"/>
      <c r="L287" s="929"/>
      <c r="M287" s="927"/>
      <c r="N287" s="927">
        <f t="shared" si="2"/>
        <v>3.7</v>
      </c>
      <c r="O287" s="927"/>
      <c r="P287" s="1679"/>
    </row>
    <row r="288" spans="1:16" ht="15.75" customHeight="1">
      <c r="A288" s="350"/>
      <c r="B288" s="811" t="s">
        <v>2019</v>
      </c>
      <c r="C288" s="1465">
        <f>2-0.15</f>
        <v>1.85</v>
      </c>
      <c r="D288" s="1465"/>
      <c r="E288" s="927"/>
      <c r="F288" s="927"/>
      <c r="G288" s="927"/>
      <c r="H288" s="927">
        <f t="shared" si="3"/>
        <v>2</v>
      </c>
      <c r="I288" s="927"/>
      <c r="J288" s="928"/>
      <c r="K288" s="928"/>
      <c r="L288" s="929"/>
      <c r="M288" s="927"/>
      <c r="N288" s="927">
        <f t="shared" si="2"/>
        <v>3.7</v>
      </c>
      <c r="O288" s="927"/>
      <c r="P288" s="1679"/>
    </row>
    <row r="289" spans="1:16" ht="15.75" customHeight="1">
      <c r="A289" s="350"/>
      <c r="B289" s="811"/>
      <c r="C289" s="1465">
        <f>2-0.15</f>
        <v>1.85</v>
      </c>
      <c r="D289" s="1465"/>
      <c r="E289" s="927"/>
      <c r="F289" s="927"/>
      <c r="G289" s="927"/>
      <c r="H289" s="927">
        <f t="shared" si="3"/>
        <v>2</v>
      </c>
      <c r="I289" s="927"/>
      <c r="J289" s="928"/>
      <c r="K289" s="928"/>
      <c r="L289" s="929"/>
      <c r="M289" s="927"/>
      <c r="N289" s="927">
        <f t="shared" si="2"/>
        <v>3.7</v>
      </c>
      <c r="O289" s="927"/>
      <c r="P289" s="1679"/>
    </row>
    <row r="290" spans="1:16" ht="15.75" customHeight="1">
      <c r="A290" s="350"/>
      <c r="B290" s="589" t="s">
        <v>2021</v>
      </c>
      <c r="C290" s="1465">
        <f>2-0.15</f>
        <v>1.85</v>
      </c>
      <c r="D290" s="1465"/>
      <c r="E290" s="927"/>
      <c r="F290" s="927"/>
      <c r="G290" s="927"/>
      <c r="H290" s="927">
        <f t="shared" si="3"/>
        <v>2</v>
      </c>
      <c r="I290" s="927"/>
      <c r="J290" s="928"/>
      <c r="K290" s="928"/>
      <c r="L290" s="929"/>
      <c r="M290" s="927"/>
      <c r="N290" s="927">
        <f t="shared" si="2"/>
        <v>3.7</v>
      </c>
      <c r="O290" s="927"/>
      <c r="P290" s="1679"/>
    </row>
    <row r="291" spans="1:16" ht="15.75" customHeight="1">
      <c r="A291" s="350"/>
      <c r="B291" s="589"/>
      <c r="C291" s="1465">
        <f>1-0.15</f>
        <v>0.85</v>
      </c>
      <c r="D291" s="1465"/>
      <c r="E291" s="927"/>
      <c r="F291" s="927"/>
      <c r="G291" s="927"/>
      <c r="H291" s="927">
        <f t="shared" si="3"/>
        <v>2</v>
      </c>
      <c r="I291" s="927"/>
      <c r="J291" s="928"/>
      <c r="K291" s="928"/>
      <c r="L291" s="929"/>
      <c r="M291" s="927"/>
      <c r="N291" s="927">
        <f t="shared" si="2"/>
        <v>1.7</v>
      </c>
      <c r="O291" s="927"/>
      <c r="P291" s="1679"/>
    </row>
    <row r="292" spans="1:16" ht="15.75" customHeight="1">
      <c r="A292" s="350"/>
      <c r="B292" s="589" t="s">
        <v>2032</v>
      </c>
      <c r="C292" s="1465">
        <f>2-0.15</f>
        <v>1.85</v>
      </c>
      <c r="D292" s="1465"/>
      <c r="E292" s="927"/>
      <c r="F292" s="927"/>
      <c r="G292" s="927"/>
      <c r="H292" s="927">
        <f t="shared" si="3"/>
        <v>2</v>
      </c>
      <c r="I292" s="927"/>
      <c r="J292" s="928"/>
      <c r="K292" s="928"/>
      <c r="L292" s="929"/>
      <c r="M292" s="927"/>
      <c r="N292" s="927">
        <f t="shared" si="2"/>
        <v>3.7</v>
      </c>
      <c r="O292" s="927"/>
      <c r="P292" s="1679"/>
    </row>
    <row r="293" spans="1:16" ht="15.75" customHeight="1">
      <c r="A293" s="350"/>
      <c r="B293" s="589"/>
      <c r="C293" s="1465">
        <f>1.5-0.15</f>
        <v>1.35</v>
      </c>
      <c r="D293" s="1465"/>
      <c r="E293" s="927"/>
      <c r="F293" s="927"/>
      <c r="G293" s="927"/>
      <c r="H293" s="927">
        <f t="shared" si="3"/>
        <v>2</v>
      </c>
      <c r="I293" s="927"/>
      <c r="J293" s="928"/>
      <c r="K293" s="928"/>
      <c r="L293" s="929"/>
      <c r="M293" s="927"/>
      <c r="N293" s="1680">
        <f t="shared" si="2"/>
        <v>2.7</v>
      </c>
      <c r="O293" s="927"/>
      <c r="P293" s="1679"/>
    </row>
    <row r="294" spans="1:16" ht="15.75" customHeight="1">
      <c r="A294" s="350"/>
      <c r="B294" s="351"/>
      <c r="C294" s="1465"/>
      <c r="D294" s="1465"/>
      <c r="E294" s="927"/>
      <c r="F294" s="927"/>
      <c r="G294" s="927"/>
      <c r="H294" s="927"/>
      <c r="I294" s="927"/>
      <c r="J294" s="928"/>
      <c r="K294" s="928"/>
      <c r="L294" s="929"/>
      <c r="M294" s="927"/>
      <c r="N294" s="930">
        <f>SUM(N286:N293)</f>
        <v>27.599999999999998</v>
      </c>
      <c r="O294" s="927" t="s">
        <v>117</v>
      </c>
      <c r="P294" s="1587">
        <f>ROUND((N294),2)</f>
        <v>27.6</v>
      </c>
    </row>
    <row r="295" spans="1:16" ht="15.75" customHeight="1">
      <c r="A295" s="346" t="s">
        <v>2033</v>
      </c>
      <c r="B295" s="347" t="s">
        <v>2034</v>
      </c>
      <c r="C295" s="1465"/>
      <c r="D295" s="1465"/>
      <c r="E295" s="927"/>
      <c r="F295" s="927"/>
      <c r="G295" s="927"/>
      <c r="H295" s="927"/>
      <c r="I295" s="927"/>
      <c r="J295" s="928"/>
      <c r="K295" s="928"/>
      <c r="L295" s="929"/>
      <c r="M295" s="927"/>
      <c r="N295" s="927"/>
      <c r="O295" s="927"/>
      <c r="P295" s="1679"/>
    </row>
    <row r="296" spans="1:16" ht="15.75" customHeight="1">
      <c r="A296" s="350">
        <v>1</v>
      </c>
      <c r="B296" s="351" t="s">
        <v>2035</v>
      </c>
      <c r="C296" s="1465"/>
      <c r="D296" s="1465"/>
      <c r="E296" s="927"/>
      <c r="F296" s="927"/>
      <c r="G296" s="927"/>
      <c r="H296" s="927"/>
      <c r="I296" s="927"/>
      <c r="J296" s="928"/>
      <c r="K296" s="928"/>
      <c r="L296" s="929"/>
      <c r="M296" s="927"/>
      <c r="N296" s="927"/>
      <c r="O296" s="927"/>
      <c r="P296" s="1679"/>
    </row>
    <row r="297" spans="1:16" ht="15.75" customHeight="1">
      <c r="A297" s="355" t="s">
        <v>95</v>
      </c>
      <c r="B297" s="351" t="s">
        <v>566</v>
      </c>
      <c r="C297" s="1465"/>
      <c r="D297" s="1465"/>
      <c r="E297" s="927"/>
      <c r="F297" s="927"/>
      <c r="G297" s="927"/>
      <c r="H297" s="927"/>
      <c r="I297" s="927"/>
      <c r="J297" s="928"/>
      <c r="K297" s="928"/>
      <c r="L297" s="929"/>
      <c r="M297" s="927"/>
      <c r="N297" s="927"/>
      <c r="O297" s="927"/>
      <c r="P297" s="1679"/>
    </row>
    <row r="298" spans="1:16" ht="15.75" customHeight="1">
      <c r="A298" s="355"/>
      <c r="B298" s="351"/>
      <c r="C298" s="1465"/>
      <c r="D298" s="1465">
        <v>0.78</v>
      </c>
      <c r="E298" s="927"/>
      <c r="F298" s="927"/>
      <c r="G298" s="927"/>
      <c r="H298" s="927">
        <v>1</v>
      </c>
      <c r="I298" s="927"/>
      <c r="J298" s="928"/>
      <c r="K298" s="928"/>
      <c r="L298" s="929"/>
      <c r="M298" s="927"/>
      <c r="N298" s="927">
        <f>D298*H298</f>
        <v>0.78</v>
      </c>
      <c r="O298" s="927"/>
      <c r="P298" s="1679"/>
    </row>
    <row r="299" spans="1:16" ht="15.75" customHeight="1">
      <c r="A299" s="355"/>
      <c r="B299" s="351"/>
      <c r="C299" s="1465"/>
      <c r="D299" s="1465"/>
      <c r="E299" s="927">
        <v>2.04</v>
      </c>
      <c r="F299" s="927"/>
      <c r="G299" s="927"/>
      <c r="H299" s="927">
        <v>2</v>
      </c>
      <c r="I299" s="927"/>
      <c r="J299" s="928"/>
      <c r="K299" s="928"/>
      <c r="L299" s="929"/>
      <c r="M299" s="927"/>
      <c r="N299" s="1680">
        <f>E299*H299</f>
        <v>4.08</v>
      </c>
      <c r="O299" s="927"/>
      <c r="P299" s="1679"/>
    </row>
    <row r="300" spans="1:16" ht="15.75" customHeight="1">
      <c r="A300" s="355"/>
      <c r="B300" s="351"/>
      <c r="C300" s="1465"/>
      <c r="D300" s="1465"/>
      <c r="E300" s="927"/>
      <c r="F300" s="927"/>
      <c r="G300" s="927"/>
      <c r="H300" s="927"/>
      <c r="I300" s="927"/>
      <c r="J300" s="928"/>
      <c r="K300" s="928"/>
      <c r="L300" s="929"/>
      <c r="M300" s="927"/>
      <c r="N300" s="930">
        <f>SUM(N298:N299)</f>
        <v>4.8600000000000003</v>
      </c>
      <c r="O300" s="927" t="s">
        <v>117</v>
      </c>
      <c r="P300" s="1587">
        <f t="shared" ref="P300:P306" si="4">ROUND((N300),2)</f>
        <v>4.8600000000000003</v>
      </c>
    </row>
    <row r="301" spans="1:16" ht="15.75" customHeight="1">
      <c r="A301" s="355" t="s">
        <v>98</v>
      </c>
      <c r="B301" s="351" t="s">
        <v>2036</v>
      </c>
      <c r="C301" s="1465"/>
      <c r="D301" s="1465">
        <f>D298-0.05*2</f>
        <v>0.68</v>
      </c>
      <c r="E301" s="927">
        <f>E299-0.05*2</f>
        <v>1.94</v>
      </c>
      <c r="F301" s="927"/>
      <c r="G301" s="927"/>
      <c r="H301" s="927"/>
      <c r="I301" s="927"/>
      <c r="J301" s="928"/>
      <c r="K301" s="928"/>
      <c r="L301" s="929"/>
      <c r="M301" s="927"/>
      <c r="N301" s="927">
        <f>D301*E301</f>
        <v>1.3192000000000002</v>
      </c>
      <c r="O301" s="927" t="s">
        <v>89</v>
      </c>
      <c r="P301" s="1587">
        <f t="shared" si="4"/>
        <v>1.32</v>
      </c>
    </row>
    <row r="302" spans="1:16" ht="15.75" customHeight="1">
      <c r="A302" s="355" t="s">
        <v>101</v>
      </c>
      <c r="B302" s="351" t="s">
        <v>657</v>
      </c>
      <c r="C302" s="1465"/>
      <c r="D302" s="1465"/>
      <c r="E302" s="927"/>
      <c r="F302" s="927"/>
      <c r="G302" s="927"/>
      <c r="H302" s="927"/>
      <c r="I302" s="927"/>
      <c r="J302" s="928"/>
      <c r="K302" s="928"/>
      <c r="L302" s="929"/>
      <c r="M302" s="927"/>
      <c r="N302" s="927">
        <v>1.5</v>
      </c>
      <c r="O302" s="927" t="s">
        <v>328</v>
      </c>
      <c r="P302" s="1587">
        <f t="shared" si="4"/>
        <v>1.5</v>
      </c>
    </row>
    <row r="303" spans="1:16" ht="15.75" customHeight="1">
      <c r="A303" s="355" t="s">
        <v>121</v>
      </c>
      <c r="B303" s="351" t="s">
        <v>658</v>
      </c>
      <c r="C303" s="1465"/>
      <c r="D303" s="1465"/>
      <c r="E303" s="927"/>
      <c r="F303" s="927"/>
      <c r="G303" s="927"/>
      <c r="H303" s="927"/>
      <c r="I303" s="927"/>
      <c r="J303" s="928"/>
      <c r="K303" s="928"/>
      <c r="L303" s="929"/>
      <c r="M303" s="927"/>
      <c r="N303" s="927">
        <v>1</v>
      </c>
      <c r="O303" s="927" t="s">
        <v>124</v>
      </c>
      <c r="P303" s="1587">
        <f t="shared" si="4"/>
        <v>1</v>
      </c>
    </row>
    <row r="304" spans="1:16" ht="15.75" customHeight="1">
      <c r="A304" s="355" t="s">
        <v>142</v>
      </c>
      <c r="B304" s="351" t="s">
        <v>1253</v>
      </c>
      <c r="C304" s="1465"/>
      <c r="D304" s="1465">
        <f>D301-0.07*2</f>
        <v>0.54</v>
      </c>
      <c r="E304" s="927">
        <f>E301-0.07*2</f>
        <v>1.7999999999999998</v>
      </c>
      <c r="F304" s="927"/>
      <c r="G304" s="927"/>
      <c r="H304" s="927"/>
      <c r="I304" s="927"/>
      <c r="J304" s="928"/>
      <c r="K304" s="928"/>
      <c r="L304" s="929"/>
      <c r="M304" s="927"/>
      <c r="N304" s="927">
        <f>D304*E304</f>
        <v>0.97199999999999998</v>
      </c>
      <c r="O304" s="927" t="s">
        <v>89</v>
      </c>
      <c r="P304" s="1587">
        <f t="shared" si="4"/>
        <v>0.97</v>
      </c>
    </row>
    <row r="305" spans="1:16" ht="15.75" customHeight="1">
      <c r="A305" s="355" t="s">
        <v>217</v>
      </c>
      <c r="B305" s="351" t="s">
        <v>659</v>
      </c>
      <c r="C305" s="1465"/>
      <c r="D305" s="1465"/>
      <c r="E305" s="927"/>
      <c r="F305" s="927"/>
      <c r="G305" s="927"/>
      <c r="H305" s="927"/>
      <c r="I305" s="927"/>
      <c r="J305" s="928"/>
      <c r="K305" s="928"/>
      <c r="L305" s="929"/>
      <c r="M305" s="927"/>
      <c r="N305" s="927">
        <v>1</v>
      </c>
      <c r="O305" s="927" t="s">
        <v>124</v>
      </c>
      <c r="P305" s="1587">
        <f t="shared" si="4"/>
        <v>1</v>
      </c>
    </row>
    <row r="306" spans="1:16" ht="15.75" customHeight="1">
      <c r="A306" s="350">
        <f>A296+1</f>
        <v>2</v>
      </c>
      <c r="B306" s="403" t="s">
        <v>2037</v>
      </c>
      <c r="C306" s="1465"/>
      <c r="D306" s="1465"/>
      <c r="E306" s="927"/>
      <c r="F306" s="927"/>
      <c r="G306" s="927"/>
      <c r="H306" s="927"/>
      <c r="I306" s="927"/>
      <c r="J306" s="928"/>
      <c r="K306" s="928"/>
      <c r="L306" s="929"/>
      <c r="M306" s="927"/>
      <c r="N306" s="927">
        <v>1</v>
      </c>
      <c r="O306" s="927" t="s">
        <v>360</v>
      </c>
      <c r="P306" s="1587">
        <f t="shared" si="4"/>
        <v>1</v>
      </c>
    </row>
    <row r="307" spans="1:16" ht="15.75" customHeight="1">
      <c r="A307" s="350">
        <f>A306+1</f>
        <v>3</v>
      </c>
      <c r="B307" s="363" t="s">
        <v>2038</v>
      </c>
      <c r="C307" s="1465"/>
      <c r="D307" s="1465"/>
      <c r="E307" s="927"/>
      <c r="F307" s="927"/>
      <c r="G307" s="927"/>
      <c r="H307" s="927"/>
      <c r="I307" s="927"/>
      <c r="J307" s="928"/>
      <c r="K307" s="928"/>
      <c r="L307" s="929"/>
      <c r="M307" s="927"/>
      <c r="N307" s="927"/>
      <c r="O307" s="927"/>
      <c r="P307" s="1679"/>
    </row>
    <row r="308" spans="1:16" ht="15.75" customHeight="1">
      <c r="A308" s="355" t="s">
        <v>95</v>
      </c>
      <c r="B308" s="351" t="s">
        <v>566</v>
      </c>
      <c r="C308" s="1465"/>
      <c r="D308" s="1465"/>
      <c r="E308" s="927"/>
      <c r="F308" s="927"/>
      <c r="G308" s="927"/>
      <c r="H308" s="927"/>
      <c r="I308" s="927"/>
      <c r="J308" s="928"/>
      <c r="K308" s="928"/>
      <c r="L308" s="929"/>
      <c r="M308" s="927"/>
      <c r="N308" s="927"/>
      <c r="O308" s="927"/>
      <c r="P308" s="1679"/>
    </row>
    <row r="309" spans="1:16" ht="15.75" customHeight="1">
      <c r="A309" s="355"/>
      <c r="B309" s="351"/>
      <c r="C309" s="1465"/>
      <c r="D309" s="1465">
        <v>1.72</v>
      </c>
      <c r="E309" s="927"/>
      <c r="F309" s="927"/>
      <c r="G309" s="927"/>
      <c r="H309" s="927">
        <v>2</v>
      </c>
      <c r="I309" s="927"/>
      <c r="J309" s="928"/>
      <c r="K309" s="928"/>
      <c r="L309" s="929"/>
      <c r="M309" s="927"/>
      <c r="N309" s="927">
        <f>D309*H309</f>
        <v>3.44</v>
      </c>
      <c r="O309" s="927"/>
      <c r="P309" s="1679"/>
    </row>
    <row r="310" spans="1:16" ht="15.75" customHeight="1">
      <c r="A310" s="355"/>
      <c r="B310" s="351"/>
      <c r="C310" s="1465"/>
      <c r="D310" s="1465"/>
      <c r="E310" s="927">
        <v>0.4</v>
      </c>
      <c r="F310" s="927"/>
      <c r="G310" s="927"/>
      <c r="H310" s="927">
        <v>3</v>
      </c>
      <c r="I310" s="927"/>
      <c r="J310" s="928"/>
      <c r="K310" s="928"/>
      <c r="L310" s="929"/>
      <c r="M310" s="927"/>
      <c r="N310" s="1680">
        <f>E310*H310</f>
        <v>1.2000000000000002</v>
      </c>
      <c r="O310" s="927"/>
      <c r="P310" s="1679"/>
    </row>
    <row r="311" spans="1:16" ht="15.75" customHeight="1">
      <c r="A311" s="355"/>
      <c r="B311" s="351"/>
      <c r="C311" s="1465"/>
      <c r="D311" s="1465"/>
      <c r="E311" s="927"/>
      <c r="F311" s="927"/>
      <c r="G311" s="927"/>
      <c r="H311" s="927"/>
      <c r="I311" s="927"/>
      <c r="J311" s="928"/>
      <c r="K311" s="928"/>
      <c r="L311" s="929"/>
      <c r="M311" s="927"/>
      <c r="N311" s="930">
        <f>SUM(N309:N310)</f>
        <v>4.6400000000000006</v>
      </c>
      <c r="O311" s="927" t="s">
        <v>117</v>
      </c>
      <c r="P311" s="1587">
        <f t="shared" ref="P311:P316" si="5">ROUND((N311),2)</f>
        <v>4.6399999999999997</v>
      </c>
    </row>
    <row r="312" spans="1:16" ht="15.75" customHeight="1">
      <c r="A312" s="355" t="s">
        <v>98</v>
      </c>
      <c r="B312" s="351" t="s">
        <v>663</v>
      </c>
      <c r="C312" s="1465"/>
      <c r="D312" s="1465">
        <v>0.8</v>
      </c>
      <c r="E312" s="927">
        <v>0.32</v>
      </c>
      <c r="F312" s="927"/>
      <c r="G312" s="927"/>
      <c r="H312" s="927"/>
      <c r="I312" s="927"/>
      <c r="J312" s="928"/>
      <c r="K312" s="928"/>
      <c r="L312" s="929"/>
      <c r="M312" s="927">
        <v>2</v>
      </c>
      <c r="N312" s="927">
        <f>D312*E312*M312</f>
        <v>0.51200000000000001</v>
      </c>
      <c r="O312" s="927" t="s">
        <v>89</v>
      </c>
      <c r="P312" s="1587">
        <f t="shared" si="5"/>
        <v>0.51</v>
      </c>
    </row>
    <row r="313" spans="1:16" ht="15.75" customHeight="1">
      <c r="A313" s="355" t="s">
        <v>101</v>
      </c>
      <c r="B313" s="351" t="s">
        <v>664</v>
      </c>
      <c r="C313" s="1465"/>
      <c r="D313" s="1465">
        <f>D312-0.07*2</f>
        <v>0.66</v>
      </c>
      <c r="E313" s="927">
        <f>E312-0.07*2</f>
        <v>0.18</v>
      </c>
      <c r="F313" s="927"/>
      <c r="G313" s="927"/>
      <c r="H313" s="927"/>
      <c r="I313" s="927"/>
      <c r="J313" s="928"/>
      <c r="K313" s="928"/>
      <c r="L313" s="929"/>
      <c r="M313" s="927">
        <f>M312</f>
        <v>2</v>
      </c>
      <c r="N313" s="927">
        <f>D313*E313*M313</f>
        <v>0.23760000000000001</v>
      </c>
      <c r="O313" s="927" t="s">
        <v>89</v>
      </c>
      <c r="P313" s="1587">
        <f t="shared" si="5"/>
        <v>0.24</v>
      </c>
    </row>
    <row r="314" spans="1:16" ht="15.75" customHeight="1">
      <c r="A314" s="355" t="s">
        <v>121</v>
      </c>
      <c r="B314" s="351" t="s">
        <v>665</v>
      </c>
      <c r="C314" s="1465"/>
      <c r="D314" s="1465"/>
      <c r="E314" s="927"/>
      <c r="F314" s="927">
        <v>1</v>
      </c>
      <c r="G314" s="927"/>
      <c r="H314" s="927"/>
      <c r="I314" s="927"/>
      <c r="J314" s="928"/>
      <c r="K314" s="928"/>
      <c r="L314" s="929"/>
      <c r="M314" s="927">
        <f>M313</f>
        <v>2</v>
      </c>
      <c r="N314" s="927">
        <f>F314*M314</f>
        <v>2</v>
      </c>
      <c r="O314" s="927" t="s">
        <v>328</v>
      </c>
      <c r="P314" s="1587">
        <f t="shared" si="5"/>
        <v>2</v>
      </c>
    </row>
    <row r="315" spans="1:16" ht="15.75" customHeight="1">
      <c r="A315" s="355" t="s">
        <v>142</v>
      </c>
      <c r="B315" s="351" t="s">
        <v>666</v>
      </c>
      <c r="C315" s="1465"/>
      <c r="D315" s="1465"/>
      <c r="E315" s="927"/>
      <c r="F315" s="927">
        <v>1</v>
      </c>
      <c r="G315" s="927"/>
      <c r="H315" s="927"/>
      <c r="I315" s="927"/>
      <c r="J315" s="928"/>
      <c r="K315" s="928"/>
      <c r="L315" s="929"/>
      <c r="M315" s="927">
        <f>M314</f>
        <v>2</v>
      </c>
      <c r="N315" s="927">
        <f>F315*M315</f>
        <v>2</v>
      </c>
      <c r="O315" s="927" t="s">
        <v>328</v>
      </c>
      <c r="P315" s="1587">
        <f t="shared" si="5"/>
        <v>2</v>
      </c>
    </row>
    <row r="316" spans="1:16" ht="15.75" customHeight="1">
      <c r="A316" s="355" t="s">
        <v>217</v>
      </c>
      <c r="B316" s="351" t="s">
        <v>667</v>
      </c>
      <c r="C316" s="1465"/>
      <c r="D316" s="1465"/>
      <c r="E316" s="927"/>
      <c r="F316" s="927">
        <v>1</v>
      </c>
      <c r="G316" s="927"/>
      <c r="H316" s="927"/>
      <c r="I316" s="927"/>
      <c r="J316" s="928"/>
      <c r="K316" s="928"/>
      <c r="L316" s="929"/>
      <c r="M316" s="927">
        <f>M315</f>
        <v>2</v>
      </c>
      <c r="N316" s="927">
        <f>F316*M316</f>
        <v>2</v>
      </c>
      <c r="O316" s="927" t="s">
        <v>124</v>
      </c>
      <c r="P316" s="1587">
        <f t="shared" si="5"/>
        <v>2</v>
      </c>
    </row>
    <row r="317" spans="1:16" ht="15.75" customHeight="1">
      <c r="A317" s="350">
        <f>A307+1</f>
        <v>4</v>
      </c>
      <c r="B317" s="363" t="s">
        <v>2039</v>
      </c>
      <c r="C317" s="1465"/>
      <c r="D317" s="1465"/>
      <c r="E317" s="927"/>
      <c r="F317" s="927"/>
      <c r="G317" s="927"/>
      <c r="H317" s="927"/>
      <c r="I317" s="927"/>
      <c r="J317" s="928"/>
      <c r="K317" s="928"/>
      <c r="L317" s="929"/>
      <c r="M317" s="927"/>
      <c r="N317" s="927"/>
      <c r="O317" s="927"/>
      <c r="P317" s="1679"/>
    </row>
    <row r="318" spans="1:16" ht="15.75" customHeight="1">
      <c r="A318" s="350"/>
      <c r="B318" s="351" t="s">
        <v>2040</v>
      </c>
      <c r="C318" s="1465"/>
      <c r="D318" s="1465"/>
      <c r="E318" s="927"/>
      <c r="F318" s="927"/>
      <c r="G318" s="927"/>
      <c r="H318" s="927"/>
      <c r="I318" s="927"/>
      <c r="J318" s="928"/>
      <c r="K318" s="928"/>
      <c r="L318" s="929"/>
      <c r="M318" s="927"/>
      <c r="N318" s="927"/>
      <c r="O318" s="927"/>
      <c r="P318" s="1679"/>
    </row>
    <row r="319" spans="1:16" ht="15.75" customHeight="1">
      <c r="A319" s="350"/>
      <c r="B319" s="363"/>
      <c r="C319" s="1465"/>
      <c r="D319" s="1688">
        <v>0.67200000000000004</v>
      </c>
      <c r="E319" s="927">
        <v>1.6</v>
      </c>
      <c r="F319" s="927"/>
      <c r="G319" s="927"/>
      <c r="H319" s="927">
        <v>2</v>
      </c>
      <c r="I319" s="927"/>
      <c r="J319" s="928"/>
      <c r="K319" s="928"/>
      <c r="L319" s="929"/>
      <c r="M319" s="927"/>
      <c r="N319" s="927">
        <f>D319*E319*H319</f>
        <v>2.1504000000000003</v>
      </c>
      <c r="O319" s="927"/>
      <c r="P319" s="1679"/>
    </row>
    <row r="320" spans="1:16" ht="15.75" customHeight="1">
      <c r="A320" s="350"/>
      <c r="B320" s="363"/>
      <c r="C320" s="1465"/>
      <c r="D320" s="1688">
        <v>1.8560000000000001</v>
      </c>
      <c r="E320" s="927">
        <f>E319</f>
        <v>1.6</v>
      </c>
      <c r="F320" s="927"/>
      <c r="G320" s="927"/>
      <c r="H320" s="927">
        <v>1</v>
      </c>
      <c r="I320" s="927"/>
      <c r="J320" s="928"/>
      <c r="K320" s="928"/>
      <c r="L320" s="929"/>
      <c r="M320" s="927"/>
      <c r="N320" s="1680">
        <f>D320*E320*H320</f>
        <v>2.9696000000000002</v>
      </c>
      <c r="O320" s="927"/>
      <c r="P320" s="1679"/>
    </row>
    <row r="321" spans="1:16" ht="15.75" customHeight="1">
      <c r="A321" s="350"/>
      <c r="B321" s="363"/>
      <c r="C321" s="1465"/>
      <c r="D321" s="1465"/>
      <c r="E321" s="927"/>
      <c r="F321" s="927"/>
      <c r="G321" s="927"/>
      <c r="H321" s="927"/>
      <c r="I321" s="927"/>
      <c r="J321" s="928"/>
      <c r="K321" s="928"/>
      <c r="L321" s="929"/>
      <c r="M321" s="927"/>
      <c r="N321" s="930">
        <f>SUM(N319:N320)</f>
        <v>5.120000000000001</v>
      </c>
      <c r="O321" s="927" t="s">
        <v>89</v>
      </c>
      <c r="P321" s="1587">
        <f>ROUND((N321),2)</f>
        <v>5.12</v>
      </c>
    </row>
    <row r="322" spans="1:16" ht="15.75" customHeight="1">
      <c r="A322" s="350">
        <f>A317+1</f>
        <v>5</v>
      </c>
      <c r="B322" s="363" t="s">
        <v>2041</v>
      </c>
      <c r="C322" s="1465"/>
      <c r="D322" s="1465"/>
      <c r="E322" s="927"/>
      <c r="F322" s="927"/>
      <c r="G322" s="927"/>
      <c r="H322" s="927"/>
      <c r="I322" s="927"/>
      <c r="J322" s="928"/>
      <c r="K322" s="928"/>
      <c r="L322" s="929"/>
      <c r="M322" s="927"/>
      <c r="N322" s="927"/>
      <c r="O322" s="927"/>
      <c r="P322" s="1679"/>
    </row>
    <row r="323" spans="1:16" ht="15.75" customHeight="1">
      <c r="A323" s="355" t="s">
        <v>95</v>
      </c>
      <c r="B323" s="351" t="s">
        <v>566</v>
      </c>
      <c r="C323" s="1465"/>
      <c r="D323" s="1465"/>
      <c r="E323" s="927"/>
      <c r="F323" s="927"/>
      <c r="G323" s="927"/>
      <c r="H323" s="927"/>
      <c r="I323" s="927"/>
      <c r="J323" s="928"/>
      <c r="K323" s="928"/>
      <c r="L323" s="929"/>
      <c r="M323" s="927"/>
      <c r="N323" s="927"/>
      <c r="O323" s="927"/>
      <c r="P323" s="1679"/>
    </row>
    <row r="324" spans="1:16" ht="15.75" customHeight="1">
      <c r="A324" s="355"/>
      <c r="B324" s="351"/>
      <c r="C324" s="1465"/>
      <c r="D324" s="1465">
        <v>0.78</v>
      </c>
      <c r="E324" s="927"/>
      <c r="F324" s="927"/>
      <c r="G324" s="927"/>
      <c r="H324" s="927">
        <v>2</v>
      </c>
      <c r="I324" s="927"/>
      <c r="J324" s="928"/>
      <c r="K324" s="928"/>
      <c r="L324" s="929"/>
      <c r="M324" s="927"/>
      <c r="N324" s="927">
        <f>D324*H324</f>
        <v>1.56</v>
      </c>
      <c r="O324" s="927"/>
      <c r="P324" s="1679"/>
    </row>
    <row r="325" spans="1:16" ht="15.75" customHeight="1">
      <c r="A325" s="355"/>
      <c r="B325" s="351"/>
      <c r="C325" s="1465"/>
      <c r="D325" s="1465"/>
      <c r="E325" s="927">
        <v>0.4</v>
      </c>
      <c r="F325" s="927"/>
      <c r="G325" s="927"/>
      <c r="H325" s="927">
        <v>2</v>
      </c>
      <c r="I325" s="927"/>
      <c r="J325" s="928"/>
      <c r="K325" s="928"/>
      <c r="L325" s="929"/>
      <c r="M325" s="927"/>
      <c r="N325" s="1680">
        <f>E325*H325</f>
        <v>0.8</v>
      </c>
      <c r="O325" s="927"/>
      <c r="P325" s="1679"/>
    </row>
    <row r="326" spans="1:16" ht="15.75" customHeight="1">
      <c r="A326" s="355"/>
      <c r="B326" s="351"/>
      <c r="C326" s="1465"/>
      <c r="D326" s="1465"/>
      <c r="E326" s="927"/>
      <c r="F326" s="927"/>
      <c r="G326" s="927"/>
      <c r="H326" s="927"/>
      <c r="I326" s="927"/>
      <c r="J326" s="928"/>
      <c r="K326" s="928"/>
      <c r="L326" s="929"/>
      <c r="M326" s="927"/>
      <c r="N326" s="930">
        <f>SUM(N324:N325)</f>
        <v>2.3600000000000003</v>
      </c>
      <c r="O326" s="927" t="s">
        <v>117</v>
      </c>
      <c r="P326" s="1587">
        <f>ROUND((N326),2)</f>
        <v>2.36</v>
      </c>
    </row>
    <row r="327" spans="1:16" ht="15.75" customHeight="1">
      <c r="A327" s="355" t="s">
        <v>98</v>
      </c>
      <c r="B327" s="351" t="s">
        <v>567</v>
      </c>
      <c r="C327" s="1465"/>
      <c r="D327" s="1465">
        <f>D324</f>
        <v>0.78</v>
      </c>
      <c r="E327" s="927">
        <f>E325</f>
        <v>0.4</v>
      </c>
      <c r="F327" s="927"/>
      <c r="G327" s="927"/>
      <c r="H327" s="927"/>
      <c r="I327" s="927"/>
      <c r="J327" s="928"/>
      <c r="K327" s="928"/>
      <c r="L327" s="929"/>
      <c r="M327" s="927"/>
      <c r="N327" s="927">
        <f>D327*E327</f>
        <v>0.31200000000000006</v>
      </c>
      <c r="O327" s="927" t="s">
        <v>89</v>
      </c>
      <c r="P327" s="1587">
        <f>ROUND((N327),2)</f>
        <v>0.31</v>
      </c>
    </row>
    <row r="328" spans="1:16" ht="15.75" customHeight="1">
      <c r="A328" s="341" t="s">
        <v>2042</v>
      </c>
      <c r="B328" s="347" t="s">
        <v>2043</v>
      </c>
      <c r="C328" s="1465"/>
      <c r="D328" s="1465"/>
      <c r="E328" s="927"/>
      <c r="F328" s="927"/>
      <c r="G328" s="927"/>
      <c r="H328" s="927"/>
      <c r="I328" s="927"/>
      <c r="J328" s="928"/>
      <c r="K328" s="928"/>
      <c r="L328" s="929"/>
      <c r="M328" s="927"/>
      <c r="N328" s="927"/>
      <c r="O328" s="927"/>
      <c r="P328" s="1679"/>
    </row>
    <row r="329" spans="1:16" ht="15.75" customHeight="1">
      <c r="A329" s="350">
        <v>1</v>
      </c>
      <c r="B329" s="351" t="s">
        <v>962</v>
      </c>
      <c r="C329" s="1465"/>
      <c r="D329" s="1465"/>
      <c r="E329" s="927"/>
      <c r="F329" s="927"/>
      <c r="G329" s="927"/>
      <c r="H329" s="927"/>
      <c r="I329" s="927"/>
      <c r="J329" s="928"/>
      <c r="K329" s="928"/>
      <c r="L329" s="929"/>
      <c r="M329" s="927"/>
      <c r="N329" s="927"/>
      <c r="O329" s="927"/>
      <c r="P329" s="1679"/>
    </row>
    <row r="330" spans="1:16" ht="15.75" customHeight="1">
      <c r="A330" s="350"/>
      <c r="B330" s="1691" t="s">
        <v>1821</v>
      </c>
      <c r="C330" s="1465"/>
      <c r="D330" s="1465">
        <v>2</v>
      </c>
      <c r="E330" s="927">
        <v>3.5</v>
      </c>
      <c r="F330" s="927"/>
      <c r="G330" s="927"/>
      <c r="H330" s="927">
        <v>1</v>
      </c>
      <c r="I330" s="927"/>
      <c r="J330" s="928"/>
      <c r="K330" s="928"/>
      <c r="L330" s="929"/>
      <c r="M330" s="927"/>
      <c r="N330" s="927">
        <f>D330*E330*H330</f>
        <v>7</v>
      </c>
      <c r="O330" s="927"/>
      <c r="P330" s="1679"/>
    </row>
    <row r="331" spans="1:16" ht="15.75" customHeight="1">
      <c r="A331" s="350"/>
      <c r="B331" s="589" t="s">
        <v>2044</v>
      </c>
      <c r="C331" s="1465"/>
      <c r="D331" s="1688">
        <v>1.8560000000000001</v>
      </c>
      <c r="E331" s="927">
        <v>1.6</v>
      </c>
      <c r="F331" s="927"/>
      <c r="G331" s="927"/>
      <c r="H331" s="927">
        <v>1</v>
      </c>
      <c r="I331" s="927"/>
      <c r="J331" s="928"/>
      <c r="K331" s="928"/>
      <c r="L331" s="929"/>
      <c r="M331" s="927"/>
      <c r="N331" s="927">
        <f>-D331*E331*H331</f>
        <v>-2.9696000000000002</v>
      </c>
      <c r="O331" s="927"/>
      <c r="P331" s="1679"/>
    </row>
    <row r="332" spans="1:16" ht="15.75" customHeight="1">
      <c r="A332" s="350"/>
      <c r="B332" s="1691" t="s">
        <v>1791</v>
      </c>
      <c r="C332" s="1465"/>
      <c r="D332" s="1465">
        <v>2</v>
      </c>
      <c r="E332" s="927">
        <v>3.5</v>
      </c>
      <c r="F332" s="927"/>
      <c r="G332" s="927"/>
      <c r="H332" s="927">
        <v>1</v>
      </c>
      <c r="I332" s="927"/>
      <c r="J332" s="928"/>
      <c r="K332" s="928"/>
      <c r="L332" s="929"/>
      <c r="M332" s="927"/>
      <c r="N332" s="927">
        <f>D332*E332*H332</f>
        <v>7</v>
      </c>
      <c r="O332" s="927"/>
      <c r="P332" s="1679"/>
    </row>
    <row r="333" spans="1:16" ht="15.75" customHeight="1">
      <c r="A333" s="350"/>
      <c r="B333" s="589"/>
      <c r="C333" s="1465"/>
      <c r="D333" s="1465">
        <v>0.15</v>
      </c>
      <c r="E333" s="927">
        <v>1.2</v>
      </c>
      <c r="F333" s="927"/>
      <c r="G333" s="927"/>
      <c r="H333" s="927">
        <v>2</v>
      </c>
      <c r="I333" s="927"/>
      <c r="J333" s="928"/>
      <c r="K333" s="928"/>
      <c r="L333" s="929"/>
      <c r="M333" s="927"/>
      <c r="N333" s="927">
        <f>D333*E333*H333</f>
        <v>0.36</v>
      </c>
      <c r="O333" s="927"/>
      <c r="P333" s="1679"/>
    </row>
    <row r="334" spans="1:16" ht="15.75" customHeight="1">
      <c r="A334" s="350"/>
      <c r="B334" s="1691" t="s">
        <v>2045</v>
      </c>
      <c r="C334" s="1465"/>
      <c r="D334" s="1465">
        <v>1.5</v>
      </c>
      <c r="E334" s="927">
        <v>4.7</v>
      </c>
      <c r="F334" s="927"/>
      <c r="G334" s="927"/>
      <c r="H334" s="927">
        <v>1</v>
      </c>
      <c r="I334" s="927"/>
      <c r="J334" s="928"/>
      <c r="K334" s="928"/>
      <c r="L334" s="929"/>
      <c r="M334" s="927"/>
      <c r="N334" s="927">
        <f>D334*E334*H334</f>
        <v>7.0500000000000007</v>
      </c>
      <c r="O334" s="927"/>
      <c r="P334" s="1679"/>
    </row>
    <row r="335" spans="1:16" ht="15.75" customHeight="1">
      <c r="A335" s="350"/>
      <c r="B335" s="589"/>
      <c r="C335" s="1465"/>
      <c r="D335" s="1465">
        <v>5.5</v>
      </c>
      <c r="E335" s="927">
        <v>3.5</v>
      </c>
      <c r="F335" s="927"/>
      <c r="G335" s="927"/>
      <c r="H335" s="927">
        <v>1</v>
      </c>
      <c r="I335" s="927"/>
      <c r="J335" s="928"/>
      <c r="K335" s="928"/>
      <c r="L335" s="929"/>
      <c r="M335" s="927"/>
      <c r="N335" s="927">
        <f>D335*E335*H335</f>
        <v>19.25</v>
      </c>
      <c r="O335" s="927"/>
      <c r="P335" s="1679"/>
    </row>
    <row r="336" spans="1:16" ht="15.75" customHeight="1">
      <c r="A336" s="350"/>
      <c r="B336" s="589" t="s">
        <v>2046</v>
      </c>
      <c r="C336" s="1465"/>
      <c r="D336" s="1465">
        <f>D319</f>
        <v>0.67200000000000004</v>
      </c>
      <c r="E336" s="927">
        <f>E319</f>
        <v>1.6</v>
      </c>
      <c r="F336" s="927"/>
      <c r="G336" s="927"/>
      <c r="H336" s="927">
        <v>1</v>
      </c>
      <c r="I336" s="927"/>
      <c r="J336" s="928"/>
      <c r="K336" s="928"/>
      <c r="L336" s="929"/>
      <c r="M336" s="927"/>
      <c r="N336" s="927">
        <f>-D336*E336*H336</f>
        <v>-1.0752000000000002</v>
      </c>
      <c r="O336" s="927"/>
      <c r="P336" s="1679"/>
    </row>
    <row r="337" spans="1:16" ht="15.75" customHeight="1">
      <c r="A337" s="350"/>
      <c r="B337" s="589" t="s">
        <v>1496</v>
      </c>
      <c r="C337" s="1465"/>
      <c r="D337" s="1465">
        <v>0.85</v>
      </c>
      <c r="E337" s="927">
        <v>1.85</v>
      </c>
      <c r="F337" s="927"/>
      <c r="G337" s="927"/>
      <c r="H337" s="927">
        <v>1</v>
      </c>
      <c r="I337" s="927"/>
      <c r="J337" s="928"/>
      <c r="K337" s="928"/>
      <c r="L337" s="929"/>
      <c r="M337" s="927"/>
      <c r="N337" s="927">
        <f>-D337*E337*H337</f>
        <v>-1.5725</v>
      </c>
      <c r="O337" s="927"/>
      <c r="P337" s="1679"/>
    </row>
    <row r="338" spans="1:16" ht="15.75" customHeight="1">
      <c r="A338" s="350"/>
      <c r="B338" s="589" t="s">
        <v>2047</v>
      </c>
      <c r="C338" s="1465"/>
      <c r="D338" s="1465">
        <v>1.72</v>
      </c>
      <c r="E338" s="927">
        <v>0.4</v>
      </c>
      <c r="F338" s="927"/>
      <c r="G338" s="927"/>
      <c r="H338" s="927">
        <v>1</v>
      </c>
      <c r="I338" s="927"/>
      <c r="J338" s="928"/>
      <c r="K338" s="928"/>
      <c r="L338" s="929"/>
      <c r="M338" s="927"/>
      <c r="N338" s="927">
        <f>-D338*E338*H338</f>
        <v>-0.68800000000000006</v>
      </c>
      <c r="O338" s="927"/>
      <c r="P338" s="1679"/>
    </row>
    <row r="339" spans="1:16" ht="15.75" customHeight="1">
      <c r="A339" s="350"/>
      <c r="B339" s="1691" t="s">
        <v>2048</v>
      </c>
      <c r="C339" s="1465"/>
      <c r="D339" s="1465">
        <v>1.5</v>
      </c>
      <c r="E339" s="927">
        <v>4.7</v>
      </c>
      <c r="F339" s="927"/>
      <c r="G339" s="927"/>
      <c r="H339" s="927">
        <v>1</v>
      </c>
      <c r="I339" s="927"/>
      <c r="J339" s="928"/>
      <c r="K339" s="928"/>
      <c r="L339" s="929"/>
      <c r="M339" s="927"/>
      <c r="N339" s="927">
        <f>D339*E339*H339</f>
        <v>7.0500000000000007</v>
      </c>
      <c r="O339" s="927"/>
      <c r="P339" s="1679"/>
    </row>
    <row r="340" spans="1:16" ht="15.75" customHeight="1">
      <c r="A340" s="350"/>
      <c r="B340" s="589"/>
      <c r="C340" s="1465"/>
      <c r="D340" s="1465">
        <v>5.5</v>
      </c>
      <c r="E340" s="927">
        <v>3.5</v>
      </c>
      <c r="F340" s="927"/>
      <c r="G340" s="927"/>
      <c r="H340" s="927">
        <v>1</v>
      </c>
      <c r="I340" s="927"/>
      <c r="J340" s="928"/>
      <c r="K340" s="928"/>
      <c r="L340" s="929"/>
      <c r="M340" s="927"/>
      <c r="N340" s="927">
        <f>D340*E340*H340</f>
        <v>19.25</v>
      </c>
      <c r="O340" s="927"/>
      <c r="P340" s="1679"/>
    </row>
    <row r="341" spans="1:16" ht="15.75" customHeight="1">
      <c r="A341" s="350"/>
      <c r="B341" s="589" t="s">
        <v>2046</v>
      </c>
      <c r="C341" s="1465"/>
      <c r="D341" s="1465">
        <f>D336</f>
        <v>0.67200000000000004</v>
      </c>
      <c r="E341" s="927">
        <f>E336</f>
        <v>1.6</v>
      </c>
      <c r="F341" s="927"/>
      <c r="G341" s="927"/>
      <c r="H341" s="927">
        <v>1</v>
      </c>
      <c r="I341" s="927"/>
      <c r="J341" s="928"/>
      <c r="K341" s="928"/>
      <c r="L341" s="929"/>
      <c r="M341" s="927"/>
      <c r="N341" s="927">
        <f>-D341*E341*H341</f>
        <v>-1.0752000000000002</v>
      </c>
      <c r="O341" s="927"/>
      <c r="P341" s="1679"/>
    </row>
    <row r="342" spans="1:16" ht="15.75" customHeight="1">
      <c r="A342" s="350"/>
      <c r="B342" s="589" t="s">
        <v>1496</v>
      </c>
      <c r="C342" s="1465"/>
      <c r="D342" s="1465">
        <v>0.85</v>
      </c>
      <c r="E342" s="927">
        <v>1.85</v>
      </c>
      <c r="F342" s="927"/>
      <c r="G342" s="927"/>
      <c r="H342" s="927">
        <v>1</v>
      </c>
      <c r="I342" s="927"/>
      <c r="J342" s="928"/>
      <c r="K342" s="928"/>
      <c r="L342" s="929"/>
      <c r="M342" s="927"/>
      <c r="N342" s="927">
        <f>-D342*E342*H342</f>
        <v>-1.5725</v>
      </c>
      <c r="O342" s="927"/>
      <c r="P342" s="1679"/>
    </row>
    <row r="343" spans="1:16" ht="15.75" customHeight="1">
      <c r="A343" s="350"/>
      <c r="B343" s="589" t="s">
        <v>2047</v>
      </c>
      <c r="C343" s="1465"/>
      <c r="D343" s="1465">
        <v>1.72</v>
      </c>
      <c r="E343" s="927">
        <v>0.4</v>
      </c>
      <c r="F343" s="927"/>
      <c r="G343" s="927"/>
      <c r="H343" s="927">
        <v>1</v>
      </c>
      <c r="I343" s="927"/>
      <c r="J343" s="928"/>
      <c r="K343" s="928"/>
      <c r="L343" s="929"/>
      <c r="M343" s="927"/>
      <c r="N343" s="927">
        <f>-D343*E343*H343</f>
        <v>-0.68800000000000006</v>
      </c>
      <c r="O343" s="927"/>
      <c r="P343" s="1679"/>
    </row>
    <row r="344" spans="1:16" ht="15.75" customHeight="1">
      <c r="A344" s="350"/>
      <c r="B344" s="811" t="s">
        <v>2008</v>
      </c>
      <c r="C344" s="1465"/>
      <c r="D344" s="1465"/>
      <c r="E344" s="927"/>
      <c r="F344" s="927"/>
      <c r="G344" s="927"/>
      <c r="H344" s="927"/>
      <c r="I344" s="927"/>
      <c r="J344" s="928"/>
      <c r="K344" s="928"/>
      <c r="L344" s="929"/>
      <c r="M344" s="927"/>
      <c r="N344" s="927"/>
      <c r="O344" s="927"/>
      <c r="P344" s="1679"/>
    </row>
    <row r="345" spans="1:16" ht="15.75" customHeight="1">
      <c r="A345" s="350"/>
      <c r="B345" s="811" t="s">
        <v>2009</v>
      </c>
      <c r="C345" s="1465">
        <v>7.6</v>
      </c>
      <c r="D345" s="1465">
        <v>2</v>
      </c>
      <c r="E345" s="927"/>
      <c r="F345" s="927"/>
      <c r="G345" s="927"/>
      <c r="H345" s="927"/>
      <c r="I345" s="927"/>
      <c r="J345" s="928"/>
      <c r="K345" s="928"/>
      <c r="L345" s="929"/>
      <c r="M345" s="927"/>
      <c r="N345" s="927">
        <f>C345*D345</f>
        <v>15.2</v>
      </c>
      <c r="O345" s="927"/>
      <c r="P345" s="1679"/>
    </row>
    <row r="346" spans="1:16" ht="15.75" customHeight="1">
      <c r="A346" s="350"/>
      <c r="B346" s="811" t="s">
        <v>1185</v>
      </c>
      <c r="C346" s="1465">
        <f>C345</f>
        <v>7.6</v>
      </c>
      <c r="D346" s="1465"/>
      <c r="E346" s="927">
        <v>0.1</v>
      </c>
      <c r="F346" s="927"/>
      <c r="G346" s="927"/>
      <c r="H346" s="927">
        <v>2</v>
      </c>
      <c r="I346" s="927"/>
      <c r="J346" s="928"/>
      <c r="K346" s="928"/>
      <c r="L346" s="929"/>
      <c r="M346" s="927"/>
      <c r="N346" s="927">
        <f>C346*E346*H346</f>
        <v>1.52</v>
      </c>
      <c r="O346" s="927"/>
      <c r="P346" s="1679"/>
    </row>
    <row r="347" spans="1:16" ht="15.75" customHeight="1">
      <c r="A347" s="350"/>
      <c r="B347" s="811"/>
      <c r="C347" s="1465">
        <f>D345</f>
        <v>2</v>
      </c>
      <c r="D347" s="1465"/>
      <c r="E347" s="927">
        <f>E346</f>
        <v>0.1</v>
      </c>
      <c r="F347" s="927"/>
      <c r="G347" s="927"/>
      <c r="H347" s="927">
        <f>H346</f>
        <v>2</v>
      </c>
      <c r="I347" s="927"/>
      <c r="J347" s="928"/>
      <c r="K347" s="928"/>
      <c r="L347" s="929"/>
      <c r="M347" s="927"/>
      <c r="N347" s="927">
        <f>C347*E347*H347</f>
        <v>0.4</v>
      </c>
      <c r="O347" s="927"/>
      <c r="P347" s="1679"/>
    </row>
    <row r="348" spans="1:16" ht="15.75" customHeight="1">
      <c r="A348" s="350"/>
      <c r="B348" s="811" t="s">
        <v>1784</v>
      </c>
      <c r="C348" s="1465">
        <v>2</v>
      </c>
      <c r="D348" s="1465">
        <v>0.6</v>
      </c>
      <c r="E348" s="927"/>
      <c r="F348" s="927"/>
      <c r="G348" s="927"/>
      <c r="H348" s="927"/>
      <c r="I348" s="927"/>
      <c r="J348" s="928"/>
      <c r="K348" s="928"/>
      <c r="L348" s="929"/>
      <c r="M348" s="927"/>
      <c r="N348" s="927">
        <f>C348*D348</f>
        <v>1.2</v>
      </c>
      <c r="O348" s="927"/>
      <c r="P348" s="1679"/>
    </row>
    <row r="349" spans="1:16" ht="15.75" customHeight="1">
      <c r="A349" s="350"/>
      <c r="B349" s="811" t="s">
        <v>2010</v>
      </c>
      <c r="C349" s="1465"/>
      <c r="D349" s="1465"/>
      <c r="E349" s="927"/>
      <c r="F349" s="927"/>
      <c r="G349" s="927"/>
      <c r="H349" s="927"/>
      <c r="I349" s="927"/>
      <c r="J349" s="928"/>
      <c r="K349" s="928"/>
      <c r="L349" s="929"/>
      <c r="M349" s="927"/>
      <c r="N349" s="927"/>
      <c r="O349" s="927"/>
      <c r="P349" s="1679"/>
    </row>
    <row r="350" spans="1:16" ht="15.75" customHeight="1">
      <c r="A350" s="350"/>
      <c r="B350" s="811" t="s">
        <v>2009</v>
      </c>
      <c r="C350" s="1465">
        <v>2</v>
      </c>
      <c r="D350" s="1465">
        <v>0.3</v>
      </c>
      <c r="E350" s="927"/>
      <c r="F350" s="927"/>
      <c r="G350" s="927"/>
      <c r="H350" s="927"/>
      <c r="I350" s="927"/>
      <c r="J350" s="928"/>
      <c r="K350" s="928"/>
      <c r="L350" s="929"/>
      <c r="M350" s="927"/>
      <c r="N350" s="927">
        <f>C350*D350</f>
        <v>0.6</v>
      </c>
      <c r="O350" s="927"/>
      <c r="P350" s="1679"/>
    </row>
    <row r="351" spans="1:16" ht="15.75" customHeight="1">
      <c r="A351" s="350"/>
      <c r="B351" s="811" t="s">
        <v>1185</v>
      </c>
      <c r="C351" s="1465">
        <f>C350</f>
        <v>2</v>
      </c>
      <c r="D351" s="1465"/>
      <c r="E351" s="927">
        <v>0.1</v>
      </c>
      <c r="F351" s="927"/>
      <c r="G351" s="927"/>
      <c r="H351" s="927">
        <v>1</v>
      </c>
      <c r="I351" s="927"/>
      <c r="J351" s="928"/>
      <c r="K351" s="928"/>
      <c r="L351" s="929"/>
      <c r="M351" s="927"/>
      <c r="N351" s="927">
        <f>C351*E351*H351</f>
        <v>0.2</v>
      </c>
      <c r="O351" s="927"/>
      <c r="P351" s="1679"/>
    </row>
    <row r="352" spans="1:16" ht="15.75" customHeight="1">
      <c r="A352" s="350"/>
      <c r="B352" s="811"/>
      <c r="C352" s="1465">
        <f>D350</f>
        <v>0.3</v>
      </c>
      <c r="D352" s="1465"/>
      <c r="E352" s="927">
        <v>0.1</v>
      </c>
      <c r="F352" s="927"/>
      <c r="G352" s="927"/>
      <c r="H352" s="927">
        <v>2</v>
      </c>
      <c r="I352" s="927"/>
      <c r="J352" s="928"/>
      <c r="K352" s="928"/>
      <c r="L352" s="929"/>
      <c r="M352" s="927"/>
      <c r="N352" s="927">
        <f>C352*E352*H352</f>
        <v>0.06</v>
      </c>
      <c r="O352" s="927"/>
      <c r="P352" s="1679"/>
    </row>
    <row r="353" spans="1:16" ht="15.75" customHeight="1">
      <c r="A353" s="350"/>
      <c r="B353" s="811" t="s">
        <v>1784</v>
      </c>
      <c r="C353" s="1465">
        <f>C351</f>
        <v>2</v>
      </c>
      <c r="D353" s="1465">
        <v>0.15</v>
      </c>
      <c r="E353" s="927"/>
      <c r="F353" s="927"/>
      <c r="G353" s="927"/>
      <c r="H353" s="927"/>
      <c r="I353" s="927"/>
      <c r="J353" s="928"/>
      <c r="K353" s="928"/>
      <c r="L353" s="929"/>
      <c r="M353" s="927"/>
      <c r="N353" s="927">
        <f>C353*D353</f>
        <v>0.3</v>
      </c>
      <c r="O353" s="927"/>
      <c r="P353" s="1679"/>
    </row>
    <row r="354" spans="1:16" ht="15.75" customHeight="1">
      <c r="A354" s="350"/>
      <c r="B354" s="589" t="s">
        <v>2011</v>
      </c>
      <c r="C354" s="1465"/>
      <c r="D354" s="1465"/>
      <c r="E354" s="927"/>
      <c r="F354" s="927"/>
      <c r="G354" s="927"/>
      <c r="H354" s="927"/>
      <c r="I354" s="927"/>
      <c r="J354" s="928"/>
      <c r="K354" s="928"/>
      <c r="L354" s="929"/>
      <c r="M354" s="927"/>
      <c r="N354" s="927"/>
      <c r="O354" s="927"/>
      <c r="P354" s="1679"/>
    </row>
    <row r="355" spans="1:16" ht="15.75" customHeight="1">
      <c r="A355" s="350"/>
      <c r="B355" s="811" t="s">
        <v>2009</v>
      </c>
      <c r="C355" s="1465">
        <v>2</v>
      </c>
      <c r="D355" s="1465">
        <v>0.4</v>
      </c>
      <c r="E355" s="927"/>
      <c r="F355" s="927"/>
      <c r="G355" s="927"/>
      <c r="H355" s="927"/>
      <c r="I355" s="927"/>
      <c r="J355" s="928"/>
      <c r="K355" s="928"/>
      <c r="L355" s="929"/>
      <c r="M355" s="927"/>
      <c r="N355" s="927">
        <f>C355*D355</f>
        <v>0.8</v>
      </c>
      <c r="O355" s="927"/>
      <c r="P355" s="1679"/>
    </row>
    <row r="356" spans="1:16" ht="15.75" customHeight="1">
      <c r="A356" s="350"/>
      <c r="B356" s="811" t="s">
        <v>1185</v>
      </c>
      <c r="C356" s="1465">
        <f>C355</f>
        <v>2</v>
      </c>
      <c r="D356" s="1465"/>
      <c r="E356" s="927">
        <v>0.1</v>
      </c>
      <c r="F356" s="927"/>
      <c r="G356" s="927"/>
      <c r="H356" s="927">
        <v>1</v>
      </c>
      <c r="I356" s="927"/>
      <c r="J356" s="928"/>
      <c r="K356" s="928"/>
      <c r="L356" s="929"/>
      <c r="M356" s="927"/>
      <c r="N356" s="927">
        <f>C356*E356*H356</f>
        <v>0.2</v>
      </c>
      <c r="O356" s="927"/>
      <c r="P356" s="1679"/>
    </row>
    <row r="357" spans="1:16" ht="15.75" customHeight="1">
      <c r="A357" s="350"/>
      <c r="B357" s="811"/>
      <c r="C357" s="1465">
        <f>D355</f>
        <v>0.4</v>
      </c>
      <c r="D357" s="1465"/>
      <c r="E357" s="927">
        <v>0.1</v>
      </c>
      <c r="F357" s="927"/>
      <c r="G357" s="927"/>
      <c r="H357" s="927">
        <v>2</v>
      </c>
      <c r="I357" s="927"/>
      <c r="J357" s="928"/>
      <c r="K357" s="928"/>
      <c r="L357" s="929"/>
      <c r="M357" s="927"/>
      <c r="N357" s="927">
        <f>C357*E357*H357</f>
        <v>8.0000000000000016E-2</v>
      </c>
      <c r="O357" s="927"/>
      <c r="P357" s="1679"/>
    </row>
    <row r="358" spans="1:16" ht="15.75" customHeight="1">
      <c r="A358" s="350"/>
      <c r="B358" s="811" t="s">
        <v>1784</v>
      </c>
      <c r="C358" s="1465">
        <f>C356</f>
        <v>2</v>
      </c>
      <c r="D358" s="1465">
        <v>0.15</v>
      </c>
      <c r="E358" s="927"/>
      <c r="F358" s="927"/>
      <c r="G358" s="927"/>
      <c r="H358" s="927"/>
      <c r="I358" s="927"/>
      <c r="J358" s="928"/>
      <c r="K358" s="928"/>
      <c r="L358" s="929"/>
      <c r="M358" s="927"/>
      <c r="N358" s="927">
        <f>C358*D358</f>
        <v>0.3</v>
      </c>
      <c r="O358" s="927"/>
      <c r="P358" s="1679"/>
    </row>
    <row r="359" spans="1:16" ht="15.75" customHeight="1">
      <c r="A359" s="350"/>
      <c r="B359" s="589" t="s">
        <v>2012</v>
      </c>
      <c r="C359" s="1465"/>
      <c r="D359" s="1465"/>
      <c r="E359" s="927"/>
      <c r="F359" s="927"/>
      <c r="G359" s="927"/>
      <c r="H359" s="927"/>
      <c r="I359" s="927"/>
      <c r="J359" s="928"/>
      <c r="K359" s="928"/>
      <c r="L359" s="929"/>
      <c r="M359" s="927"/>
      <c r="N359" s="927"/>
      <c r="O359" s="927"/>
      <c r="P359" s="1679"/>
    </row>
    <row r="360" spans="1:16" ht="15.75" customHeight="1">
      <c r="A360" s="350"/>
      <c r="B360" s="811" t="s">
        <v>2009</v>
      </c>
      <c r="C360" s="1465">
        <v>1.2</v>
      </c>
      <c r="D360" s="1465">
        <v>0.4</v>
      </c>
      <c r="E360" s="927"/>
      <c r="F360" s="927"/>
      <c r="G360" s="927"/>
      <c r="H360" s="927"/>
      <c r="I360" s="927"/>
      <c r="J360" s="928"/>
      <c r="K360" s="928"/>
      <c r="L360" s="929"/>
      <c r="M360" s="927">
        <v>2</v>
      </c>
      <c r="N360" s="927">
        <f>C360*D360*M360</f>
        <v>0.96</v>
      </c>
      <c r="O360" s="927"/>
      <c r="P360" s="1679"/>
    </row>
    <row r="361" spans="1:16" ht="15.75" customHeight="1">
      <c r="A361" s="350"/>
      <c r="B361" s="811" t="s">
        <v>1185</v>
      </c>
      <c r="C361" s="1465">
        <f>C360</f>
        <v>1.2</v>
      </c>
      <c r="D361" s="1465"/>
      <c r="E361" s="927">
        <v>0.1</v>
      </c>
      <c r="F361" s="927"/>
      <c r="G361" s="927"/>
      <c r="H361" s="927">
        <v>1</v>
      </c>
      <c r="I361" s="927"/>
      <c r="J361" s="928"/>
      <c r="K361" s="928"/>
      <c r="L361" s="929"/>
      <c r="M361" s="927">
        <f>M360</f>
        <v>2</v>
      </c>
      <c r="N361" s="927">
        <f>C361*E361*H361*M361</f>
        <v>0.24</v>
      </c>
      <c r="O361" s="927"/>
      <c r="P361" s="1679"/>
    </row>
    <row r="362" spans="1:16" ht="15.75" customHeight="1">
      <c r="A362" s="350"/>
      <c r="B362" s="811"/>
      <c r="C362" s="1465">
        <f>D360</f>
        <v>0.4</v>
      </c>
      <c r="D362" s="1465"/>
      <c r="E362" s="927">
        <v>0.1</v>
      </c>
      <c r="F362" s="927"/>
      <c r="G362" s="927"/>
      <c r="H362" s="927">
        <v>2</v>
      </c>
      <c r="I362" s="927"/>
      <c r="J362" s="928"/>
      <c r="K362" s="928"/>
      <c r="L362" s="929"/>
      <c r="M362" s="927">
        <f>M361</f>
        <v>2</v>
      </c>
      <c r="N362" s="927">
        <f>C362*E362*H362*M362</f>
        <v>0.16000000000000003</v>
      </c>
      <c r="O362" s="927"/>
      <c r="P362" s="1679"/>
    </row>
    <row r="363" spans="1:16" ht="15.75" customHeight="1">
      <c r="A363" s="350"/>
      <c r="B363" s="811" t="s">
        <v>1784</v>
      </c>
      <c r="C363" s="1465">
        <f>C361</f>
        <v>1.2</v>
      </c>
      <c r="D363" s="1465">
        <v>0.15</v>
      </c>
      <c r="E363" s="927"/>
      <c r="F363" s="927"/>
      <c r="G363" s="927"/>
      <c r="H363" s="927"/>
      <c r="I363" s="927"/>
      <c r="J363" s="928"/>
      <c r="K363" s="928"/>
      <c r="L363" s="929"/>
      <c r="M363" s="927">
        <f>M362</f>
        <v>2</v>
      </c>
      <c r="N363" s="927">
        <f>C363*D363*M363</f>
        <v>0.36</v>
      </c>
      <c r="O363" s="927"/>
      <c r="P363" s="1679"/>
    </row>
    <row r="364" spans="1:16" ht="15.75" customHeight="1">
      <c r="A364" s="350"/>
      <c r="B364" s="589" t="s">
        <v>2013</v>
      </c>
      <c r="C364" s="1465"/>
      <c r="D364" s="1465"/>
      <c r="E364" s="927"/>
      <c r="F364" s="927"/>
      <c r="G364" s="927"/>
      <c r="H364" s="927"/>
      <c r="I364" s="927"/>
      <c r="J364" s="928"/>
      <c r="K364" s="928"/>
      <c r="L364" s="929"/>
      <c r="M364" s="927"/>
      <c r="N364" s="927"/>
      <c r="O364" s="927"/>
      <c r="P364" s="1679"/>
    </row>
    <row r="365" spans="1:16" ht="15.75" customHeight="1">
      <c r="A365" s="350"/>
      <c r="B365" s="811" t="s">
        <v>2009</v>
      </c>
      <c r="C365" s="1465">
        <v>1.8</v>
      </c>
      <c r="D365" s="1465">
        <v>0.4</v>
      </c>
      <c r="E365" s="927"/>
      <c r="F365" s="927"/>
      <c r="G365" s="927"/>
      <c r="H365" s="927"/>
      <c r="I365" s="927"/>
      <c r="J365" s="928"/>
      <c r="K365" s="928"/>
      <c r="L365" s="929"/>
      <c r="M365" s="927"/>
      <c r="N365" s="927">
        <f>C365*D365</f>
        <v>0.72000000000000008</v>
      </c>
      <c r="O365" s="927"/>
      <c r="P365" s="1679"/>
    </row>
    <row r="366" spans="1:16" ht="15.75" customHeight="1">
      <c r="A366" s="350"/>
      <c r="B366" s="811" t="s">
        <v>1185</v>
      </c>
      <c r="C366" s="1465">
        <f>C365</f>
        <v>1.8</v>
      </c>
      <c r="D366" s="1465"/>
      <c r="E366" s="927">
        <v>0.1</v>
      </c>
      <c r="F366" s="927"/>
      <c r="G366" s="927"/>
      <c r="H366" s="927">
        <v>1</v>
      </c>
      <c r="I366" s="927"/>
      <c r="J366" s="928"/>
      <c r="K366" s="928"/>
      <c r="L366" s="929"/>
      <c r="M366" s="927"/>
      <c r="N366" s="927">
        <f>C366*E366*H366</f>
        <v>0.18000000000000002</v>
      </c>
      <c r="O366" s="927"/>
      <c r="P366" s="1679"/>
    </row>
    <row r="367" spans="1:16" ht="15.75" customHeight="1">
      <c r="A367" s="350"/>
      <c r="B367" s="811"/>
      <c r="C367" s="1465">
        <f>D365</f>
        <v>0.4</v>
      </c>
      <c r="D367" s="1465"/>
      <c r="E367" s="927">
        <v>0.1</v>
      </c>
      <c r="F367" s="927"/>
      <c r="G367" s="927"/>
      <c r="H367" s="927">
        <v>2</v>
      </c>
      <c r="I367" s="927"/>
      <c r="J367" s="928"/>
      <c r="K367" s="928"/>
      <c r="L367" s="929"/>
      <c r="M367" s="927"/>
      <c r="N367" s="927">
        <f>C367*E367*H367</f>
        <v>8.0000000000000016E-2</v>
      </c>
      <c r="O367" s="927"/>
      <c r="P367" s="1679"/>
    </row>
    <row r="368" spans="1:16" ht="15.75" customHeight="1">
      <c r="A368" s="350"/>
      <c r="B368" s="811" t="s">
        <v>1784</v>
      </c>
      <c r="C368" s="1465">
        <f>C366</f>
        <v>1.8</v>
      </c>
      <c r="D368" s="1465">
        <v>0.15</v>
      </c>
      <c r="E368" s="927"/>
      <c r="F368" s="927"/>
      <c r="G368" s="927"/>
      <c r="H368" s="927"/>
      <c r="I368" s="927"/>
      <c r="J368" s="928"/>
      <c r="K368" s="928"/>
      <c r="L368" s="929"/>
      <c r="M368" s="927"/>
      <c r="N368" s="1680">
        <f>C368*D368</f>
        <v>0.27</v>
      </c>
      <c r="O368" s="927"/>
      <c r="P368" s="1679"/>
    </row>
    <row r="369" spans="1:16" ht="15.75" customHeight="1">
      <c r="A369" s="350"/>
      <c r="B369" s="811"/>
      <c r="C369" s="1465"/>
      <c r="D369" s="1465"/>
      <c r="E369" s="927"/>
      <c r="F369" s="927"/>
      <c r="G369" s="927"/>
      <c r="H369" s="927"/>
      <c r="I369" s="927"/>
      <c r="J369" s="928"/>
      <c r="K369" s="928"/>
      <c r="L369" s="929"/>
      <c r="M369" s="927"/>
      <c r="N369" s="930">
        <f>SUM(N330:N368)</f>
        <v>81.148999999999972</v>
      </c>
      <c r="O369" s="927" t="s">
        <v>89</v>
      </c>
      <c r="P369" s="1587">
        <f>ROUND((N369),2)</f>
        <v>81.150000000000006</v>
      </c>
    </row>
    <row r="370" spans="1:16" ht="15.75" customHeight="1">
      <c r="A370" s="350">
        <f>A329+1</f>
        <v>2</v>
      </c>
      <c r="B370" s="351" t="s">
        <v>828</v>
      </c>
      <c r="C370" s="1465"/>
      <c r="D370" s="1465"/>
      <c r="E370" s="927"/>
      <c r="F370" s="927"/>
      <c r="G370" s="927"/>
      <c r="H370" s="927"/>
      <c r="I370" s="927"/>
      <c r="J370" s="928"/>
      <c r="K370" s="928"/>
      <c r="L370" s="929"/>
      <c r="M370" s="927"/>
      <c r="N370" s="927"/>
      <c r="O370" s="927"/>
      <c r="P370" s="1679"/>
    </row>
    <row r="371" spans="1:16" ht="15.75" customHeight="1">
      <c r="A371" s="350"/>
      <c r="B371" s="589" t="s">
        <v>2049</v>
      </c>
      <c r="C371" s="1465"/>
      <c r="D371" s="1465"/>
      <c r="E371" s="927"/>
      <c r="F371" s="927"/>
      <c r="G371" s="927"/>
      <c r="H371" s="927"/>
      <c r="I371" s="927"/>
      <c r="J371" s="928"/>
      <c r="K371" s="928"/>
      <c r="L371" s="929"/>
      <c r="M371" s="927"/>
      <c r="N371" s="927">
        <f>N194</f>
        <v>104.47119999999997</v>
      </c>
      <c r="O371" s="927"/>
      <c r="P371" s="1679"/>
    </row>
    <row r="372" spans="1:16" ht="15.75" customHeight="1">
      <c r="A372" s="350"/>
      <c r="B372" s="589" t="s">
        <v>2050</v>
      </c>
      <c r="C372" s="1465"/>
      <c r="D372" s="1465"/>
      <c r="E372" s="927"/>
      <c r="F372" s="927"/>
      <c r="G372" s="927"/>
      <c r="H372" s="927"/>
      <c r="I372" s="927"/>
      <c r="J372" s="928"/>
      <c r="K372" s="928"/>
      <c r="L372" s="929"/>
      <c r="M372" s="927"/>
      <c r="N372" s="927">
        <f>N232</f>
        <v>37.809999999999995</v>
      </c>
      <c r="O372" s="927"/>
      <c r="P372" s="1679"/>
    </row>
    <row r="373" spans="1:16" ht="15.75" customHeight="1">
      <c r="A373" s="350"/>
      <c r="B373" s="589" t="s">
        <v>2051</v>
      </c>
      <c r="C373" s="1465"/>
      <c r="D373" s="1465"/>
      <c r="E373" s="927"/>
      <c r="F373" s="927"/>
      <c r="G373" s="927"/>
      <c r="H373" s="927"/>
      <c r="I373" s="927"/>
      <c r="J373" s="928"/>
      <c r="K373" s="928"/>
      <c r="L373" s="929"/>
      <c r="M373" s="927"/>
      <c r="N373" s="1680">
        <f>-N369</f>
        <v>-81.148999999999972</v>
      </c>
      <c r="O373" s="927"/>
      <c r="P373" s="1679"/>
    </row>
    <row r="374" spans="1:16" ht="15.75" customHeight="1">
      <c r="A374" s="350"/>
      <c r="B374" s="351"/>
      <c r="C374" s="1465"/>
      <c r="D374" s="1465"/>
      <c r="E374" s="927"/>
      <c r="F374" s="927"/>
      <c r="G374" s="927"/>
      <c r="H374" s="927"/>
      <c r="I374" s="927"/>
      <c r="J374" s="928"/>
      <c r="K374" s="928"/>
      <c r="L374" s="929"/>
      <c r="M374" s="927"/>
      <c r="N374" s="930">
        <f>SUM(N371:N373)</f>
        <v>61.132199999999983</v>
      </c>
      <c r="O374" s="927" t="s">
        <v>89</v>
      </c>
      <c r="P374" s="1587">
        <f>ROUND((N374),2)</f>
        <v>61.13</v>
      </c>
    </row>
    <row r="375" spans="1:16" ht="15.75" customHeight="1">
      <c r="A375" s="350">
        <f>A370+1</f>
        <v>3</v>
      </c>
      <c r="B375" s="351" t="s">
        <v>451</v>
      </c>
      <c r="C375" s="1465" t="s">
        <v>1288</v>
      </c>
      <c r="D375" s="1465"/>
      <c r="E375" s="927"/>
      <c r="F375" s="927"/>
      <c r="G375" s="927"/>
      <c r="H375" s="927"/>
      <c r="I375" s="927"/>
      <c r="J375" s="928"/>
      <c r="K375" s="928"/>
      <c r="L375" s="929"/>
      <c r="M375" s="927"/>
      <c r="N375" s="927">
        <f>N284</f>
        <v>14</v>
      </c>
      <c r="O375" s="927" t="s">
        <v>89</v>
      </c>
      <c r="P375" s="1587">
        <f>ROUND((N375),2)</f>
        <v>14</v>
      </c>
    </row>
    <row r="376" spans="1:16" ht="42" customHeight="1">
      <c r="A376" s="350">
        <f>A375+1</f>
        <v>4</v>
      </c>
      <c r="B376" s="593" t="s">
        <v>2052</v>
      </c>
      <c r="C376" s="1465" t="s">
        <v>2053</v>
      </c>
      <c r="D376" s="1465"/>
      <c r="E376" s="927"/>
      <c r="F376" s="927"/>
      <c r="G376" s="927"/>
      <c r="H376" s="927"/>
      <c r="I376" s="927"/>
      <c r="J376" s="928"/>
      <c r="K376" s="928"/>
      <c r="L376" s="929"/>
      <c r="M376" s="927"/>
      <c r="N376" s="927">
        <f>N345</f>
        <v>15.2</v>
      </c>
      <c r="O376" s="927" t="s">
        <v>89</v>
      </c>
      <c r="P376" s="1587">
        <f>ROUND((N376),2)</f>
        <v>15.2</v>
      </c>
    </row>
    <row r="377" spans="1:16" ht="15.75" customHeight="1">
      <c r="A377" s="341" t="s">
        <v>2054</v>
      </c>
      <c r="B377" s="347" t="s">
        <v>457</v>
      </c>
      <c r="C377" s="1465"/>
      <c r="D377" s="1465"/>
      <c r="E377" s="927"/>
      <c r="F377" s="927"/>
      <c r="G377" s="927"/>
      <c r="H377" s="927"/>
      <c r="I377" s="927"/>
      <c r="J377" s="928"/>
      <c r="K377" s="928"/>
      <c r="L377" s="929"/>
      <c r="M377" s="927"/>
      <c r="N377" s="927"/>
      <c r="O377" s="927"/>
      <c r="P377" s="1679"/>
    </row>
    <row r="378" spans="1:16" ht="15.75" customHeight="1">
      <c r="A378" s="350">
        <v>1</v>
      </c>
      <c r="B378" s="351" t="s">
        <v>681</v>
      </c>
      <c r="C378" s="1465"/>
      <c r="D378" s="1465"/>
      <c r="E378" s="927"/>
      <c r="F378" s="927"/>
      <c r="G378" s="927"/>
      <c r="H378" s="927"/>
      <c r="I378" s="927"/>
      <c r="J378" s="928"/>
      <c r="K378" s="928"/>
      <c r="L378" s="929"/>
      <c r="M378" s="927"/>
      <c r="N378" s="927">
        <v>8</v>
      </c>
      <c r="O378" s="927" t="s">
        <v>357</v>
      </c>
      <c r="P378" s="1587">
        <f t="shared" ref="P378:P386" si="6">ROUND((N378),2)</f>
        <v>8</v>
      </c>
    </row>
    <row r="379" spans="1:16" ht="15.75" customHeight="1">
      <c r="A379" s="350">
        <f t="shared" ref="A379:A386" si="7">A378+1</f>
        <v>2</v>
      </c>
      <c r="B379" s="351" t="s">
        <v>682</v>
      </c>
      <c r="C379" s="1465"/>
      <c r="D379" s="1465"/>
      <c r="E379" s="927"/>
      <c r="F379" s="927"/>
      <c r="G379" s="927"/>
      <c r="H379" s="927"/>
      <c r="I379" s="927"/>
      <c r="J379" s="928"/>
      <c r="K379" s="928"/>
      <c r="L379" s="929"/>
      <c r="M379" s="927"/>
      <c r="N379" s="927">
        <v>3</v>
      </c>
      <c r="O379" s="927" t="s">
        <v>357</v>
      </c>
      <c r="P379" s="1587">
        <f t="shared" si="6"/>
        <v>3</v>
      </c>
    </row>
    <row r="380" spans="1:16" ht="15.75" customHeight="1">
      <c r="A380" s="350">
        <f t="shared" si="7"/>
        <v>3</v>
      </c>
      <c r="B380" s="351" t="s">
        <v>614</v>
      </c>
      <c r="C380" s="1465"/>
      <c r="D380" s="1465"/>
      <c r="E380" s="927"/>
      <c r="F380" s="927"/>
      <c r="G380" s="927"/>
      <c r="H380" s="927"/>
      <c r="I380" s="927"/>
      <c r="J380" s="928"/>
      <c r="K380" s="928"/>
      <c r="L380" s="929"/>
      <c r="M380" s="927"/>
      <c r="N380" s="927">
        <v>4</v>
      </c>
      <c r="O380" s="927" t="s">
        <v>124</v>
      </c>
      <c r="P380" s="1587">
        <f t="shared" si="6"/>
        <v>4</v>
      </c>
    </row>
    <row r="381" spans="1:16" ht="15.75" customHeight="1">
      <c r="A381" s="350">
        <f t="shared" si="7"/>
        <v>4</v>
      </c>
      <c r="B381" s="351" t="s">
        <v>639</v>
      </c>
      <c r="C381" s="1465"/>
      <c r="D381" s="1465"/>
      <c r="E381" s="927"/>
      <c r="F381" s="927"/>
      <c r="G381" s="927"/>
      <c r="H381" s="927"/>
      <c r="I381" s="927"/>
      <c r="J381" s="928"/>
      <c r="K381" s="928"/>
      <c r="L381" s="929"/>
      <c r="M381" s="927"/>
      <c r="N381" s="927">
        <v>1</v>
      </c>
      <c r="O381" s="927" t="s">
        <v>124</v>
      </c>
      <c r="P381" s="1587">
        <f t="shared" si="6"/>
        <v>1</v>
      </c>
    </row>
    <row r="382" spans="1:16" ht="15.75" customHeight="1">
      <c r="A382" s="350">
        <f t="shared" si="7"/>
        <v>5</v>
      </c>
      <c r="B382" s="351" t="s">
        <v>615</v>
      </c>
      <c r="C382" s="1465"/>
      <c r="D382" s="1465"/>
      <c r="E382" s="927"/>
      <c r="F382" s="927"/>
      <c r="G382" s="927"/>
      <c r="H382" s="927"/>
      <c r="I382" s="927"/>
      <c r="J382" s="928"/>
      <c r="K382" s="928"/>
      <c r="L382" s="929"/>
      <c r="M382" s="927"/>
      <c r="N382" s="927">
        <f>N379</f>
        <v>3</v>
      </c>
      <c r="O382" s="927" t="s">
        <v>124</v>
      </c>
      <c r="P382" s="1587">
        <f t="shared" si="6"/>
        <v>3</v>
      </c>
    </row>
    <row r="383" spans="1:16" ht="15.75" customHeight="1">
      <c r="A383" s="350">
        <f t="shared" si="7"/>
        <v>6</v>
      </c>
      <c r="B383" s="351" t="s">
        <v>2055</v>
      </c>
      <c r="C383" s="1465"/>
      <c r="D383" s="1465"/>
      <c r="E383" s="927"/>
      <c r="F383" s="927"/>
      <c r="G383" s="927"/>
      <c r="H383" s="927"/>
      <c r="I383" s="927"/>
      <c r="J383" s="928"/>
      <c r="K383" s="928"/>
      <c r="L383" s="929"/>
      <c r="M383" s="927"/>
      <c r="N383" s="927">
        <v>1</v>
      </c>
      <c r="O383" s="927" t="s">
        <v>124</v>
      </c>
      <c r="P383" s="1587">
        <f t="shared" si="6"/>
        <v>1</v>
      </c>
    </row>
    <row r="384" spans="1:16" ht="15.75" customHeight="1">
      <c r="A384" s="350">
        <f t="shared" si="7"/>
        <v>7</v>
      </c>
      <c r="B384" s="356" t="s">
        <v>1515</v>
      </c>
      <c r="C384" s="1465"/>
      <c r="D384" s="1465"/>
      <c r="E384" s="927"/>
      <c r="F384" s="927"/>
      <c r="G384" s="927"/>
      <c r="H384" s="927"/>
      <c r="I384" s="927"/>
      <c r="J384" s="928"/>
      <c r="K384" s="928"/>
      <c r="L384" s="929"/>
      <c r="M384" s="927"/>
      <c r="N384" s="927">
        <v>5</v>
      </c>
      <c r="O384" s="927" t="s">
        <v>124</v>
      </c>
      <c r="P384" s="1587">
        <f t="shared" si="6"/>
        <v>5</v>
      </c>
    </row>
    <row r="385" spans="1:16" ht="15.75" customHeight="1">
      <c r="A385" s="350">
        <f t="shared" si="7"/>
        <v>8</v>
      </c>
      <c r="B385" s="351" t="s">
        <v>641</v>
      </c>
      <c r="C385" s="1465"/>
      <c r="D385" s="1465"/>
      <c r="E385" s="927"/>
      <c r="F385" s="927"/>
      <c r="G385" s="927"/>
      <c r="H385" s="927"/>
      <c r="I385" s="927"/>
      <c r="J385" s="928"/>
      <c r="K385" s="928"/>
      <c r="L385" s="929"/>
      <c r="M385" s="927"/>
      <c r="N385" s="927">
        <v>2</v>
      </c>
      <c r="O385" s="927" t="s">
        <v>124</v>
      </c>
      <c r="P385" s="1587">
        <f t="shared" si="6"/>
        <v>2</v>
      </c>
    </row>
    <row r="386" spans="1:16" ht="15.75" customHeight="1">
      <c r="A386" s="350">
        <f t="shared" si="7"/>
        <v>9</v>
      </c>
      <c r="B386" s="351" t="s">
        <v>2056</v>
      </c>
      <c r="C386" s="1465"/>
      <c r="D386" s="1465"/>
      <c r="E386" s="927"/>
      <c r="F386" s="927"/>
      <c r="G386" s="927"/>
      <c r="H386" s="927"/>
      <c r="I386" s="927"/>
      <c r="J386" s="928"/>
      <c r="K386" s="928"/>
      <c r="L386" s="929"/>
      <c r="M386" s="927"/>
      <c r="N386" s="927">
        <v>1</v>
      </c>
      <c r="O386" s="927" t="s">
        <v>360</v>
      </c>
      <c r="P386" s="1587">
        <f t="shared" si="6"/>
        <v>1</v>
      </c>
    </row>
    <row r="387" spans="1:16" ht="15.75" customHeight="1">
      <c r="A387" s="341" t="s">
        <v>2057</v>
      </c>
      <c r="B387" s="347" t="s">
        <v>2058</v>
      </c>
      <c r="C387" s="1465"/>
      <c r="D387" s="1465"/>
      <c r="E387" s="927"/>
      <c r="F387" s="927"/>
      <c r="G387" s="927"/>
      <c r="H387" s="927"/>
      <c r="I387" s="927"/>
      <c r="J387" s="928"/>
      <c r="K387" s="928"/>
      <c r="L387" s="929"/>
      <c r="M387" s="927"/>
      <c r="N387" s="927"/>
      <c r="O387" s="927"/>
      <c r="P387" s="1679"/>
    </row>
    <row r="388" spans="1:16" ht="15.75" customHeight="1">
      <c r="A388" s="350">
        <v>1</v>
      </c>
      <c r="B388" s="351" t="s">
        <v>586</v>
      </c>
      <c r="C388" s="1465"/>
      <c r="D388" s="1465"/>
      <c r="E388" s="927">
        <f>4-0.8</f>
        <v>3.2</v>
      </c>
      <c r="F388" s="927"/>
      <c r="G388" s="927"/>
      <c r="H388" s="927"/>
      <c r="I388" s="927"/>
      <c r="J388" s="928"/>
      <c r="K388" s="928"/>
      <c r="L388" s="929"/>
      <c r="M388" s="927"/>
      <c r="N388" s="927">
        <f>E388</f>
        <v>3.2</v>
      </c>
      <c r="O388" s="927" t="s">
        <v>117</v>
      </c>
      <c r="P388" s="1587">
        <f t="shared" ref="P388:P395" si="8">ROUND((N388),2)</f>
        <v>3.2</v>
      </c>
    </row>
    <row r="389" spans="1:16" ht="15.75" customHeight="1">
      <c r="A389" s="350">
        <f t="shared" ref="A389:A396" si="9">A388+1</f>
        <v>2</v>
      </c>
      <c r="B389" s="351" t="s">
        <v>587</v>
      </c>
      <c r="C389" s="1465">
        <v>1</v>
      </c>
      <c r="D389" s="1465">
        <v>1.5</v>
      </c>
      <c r="E389" s="927">
        <v>0.5</v>
      </c>
      <c r="F389" s="927"/>
      <c r="G389" s="927"/>
      <c r="H389" s="927"/>
      <c r="I389" s="927"/>
      <c r="J389" s="928"/>
      <c r="K389" s="928"/>
      <c r="L389" s="929"/>
      <c r="M389" s="927"/>
      <c r="N389" s="927">
        <f>SUM(C389:E389)</f>
        <v>3</v>
      </c>
      <c r="O389" s="927" t="s">
        <v>117</v>
      </c>
      <c r="P389" s="1587">
        <f t="shared" si="8"/>
        <v>3</v>
      </c>
    </row>
    <row r="390" spans="1:16" ht="15.75" customHeight="1">
      <c r="A390" s="350">
        <f t="shared" si="9"/>
        <v>3</v>
      </c>
      <c r="B390" s="351" t="s">
        <v>588</v>
      </c>
      <c r="C390" s="1465">
        <v>9</v>
      </c>
      <c r="D390" s="1465"/>
      <c r="E390" s="927"/>
      <c r="F390" s="927"/>
      <c r="G390" s="927"/>
      <c r="H390" s="927"/>
      <c r="I390" s="927"/>
      <c r="J390" s="928"/>
      <c r="K390" s="928"/>
      <c r="L390" s="929"/>
      <c r="M390" s="927"/>
      <c r="N390" s="927">
        <f>SUM(C390:E390)</f>
        <v>9</v>
      </c>
      <c r="O390" s="927" t="s">
        <v>117</v>
      </c>
      <c r="P390" s="1587">
        <f t="shared" si="8"/>
        <v>9</v>
      </c>
    </row>
    <row r="391" spans="1:16" ht="15.75" customHeight="1">
      <c r="A391" s="350">
        <f t="shared" si="9"/>
        <v>4</v>
      </c>
      <c r="B391" s="351" t="s">
        <v>589</v>
      </c>
      <c r="C391" s="1465">
        <v>1.5</v>
      </c>
      <c r="D391" s="1465">
        <v>1</v>
      </c>
      <c r="E391" s="927">
        <v>0.5</v>
      </c>
      <c r="F391" s="927"/>
      <c r="G391" s="927"/>
      <c r="H391" s="927"/>
      <c r="I391" s="927"/>
      <c r="J391" s="928"/>
      <c r="K391" s="928"/>
      <c r="L391" s="929"/>
      <c r="M391" s="927"/>
      <c r="N391" s="927">
        <f>SUM(C391:E391)</f>
        <v>3</v>
      </c>
      <c r="O391" s="927" t="s">
        <v>117</v>
      </c>
      <c r="P391" s="1587">
        <f t="shared" si="8"/>
        <v>3</v>
      </c>
    </row>
    <row r="392" spans="1:16" ht="15.75" customHeight="1">
      <c r="A392" s="350">
        <f t="shared" si="9"/>
        <v>5</v>
      </c>
      <c r="B392" s="351" t="s">
        <v>711</v>
      </c>
      <c r="C392" s="1465"/>
      <c r="D392" s="1465"/>
      <c r="E392" s="927"/>
      <c r="F392" s="927"/>
      <c r="G392" s="927"/>
      <c r="H392" s="927"/>
      <c r="I392" s="927"/>
      <c r="J392" s="928"/>
      <c r="K392" s="928"/>
      <c r="L392" s="929"/>
      <c r="M392" s="927"/>
      <c r="N392" s="927">
        <v>1</v>
      </c>
      <c r="O392" s="927" t="s">
        <v>124</v>
      </c>
      <c r="P392" s="1587">
        <f t="shared" si="8"/>
        <v>1</v>
      </c>
    </row>
    <row r="393" spans="1:16" ht="15.75" customHeight="1">
      <c r="A393" s="350">
        <f t="shared" si="9"/>
        <v>6</v>
      </c>
      <c r="B393" s="351" t="s">
        <v>712</v>
      </c>
      <c r="C393" s="1465"/>
      <c r="D393" s="1465"/>
      <c r="E393" s="927"/>
      <c r="F393" s="927"/>
      <c r="G393" s="927"/>
      <c r="H393" s="927"/>
      <c r="I393" s="927"/>
      <c r="J393" s="928"/>
      <c r="K393" s="928"/>
      <c r="L393" s="929"/>
      <c r="M393" s="927"/>
      <c r="N393" s="927">
        <v>1</v>
      </c>
      <c r="O393" s="927" t="s">
        <v>124</v>
      </c>
      <c r="P393" s="1587">
        <f t="shared" si="8"/>
        <v>1</v>
      </c>
    </row>
    <row r="394" spans="1:16" ht="15.75" customHeight="1">
      <c r="A394" s="350">
        <f t="shared" si="9"/>
        <v>7</v>
      </c>
      <c r="B394" s="351" t="s">
        <v>593</v>
      </c>
      <c r="C394" s="1465"/>
      <c r="D394" s="1465"/>
      <c r="E394" s="927"/>
      <c r="F394" s="927"/>
      <c r="G394" s="927"/>
      <c r="H394" s="927"/>
      <c r="I394" s="927"/>
      <c r="J394" s="928"/>
      <c r="K394" s="928"/>
      <c r="L394" s="929"/>
      <c r="M394" s="927"/>
      <c r="N394" s="927">
        <v>1</v>
      </c>
      <c r="O394" s="927" t="s">
        <v>124</v>
      </c>
      <c r="P394" s="1587">
        <f t="shared" si="8"/>
        <v>1</v>
      </c>
    </row>
    <row r="395" spans="1:16" ht="15.75" customHeight="1">
      <c r="A395" s="350">
        <f t="shared" si="9"/>
        <v>8</v>
      </c>
      <c r="B395" s="351" t="s">
        <v>713</v>
      </c>
      <c r="C395" s="1465"/>
      <c r="D395" s="1465"/>
      <c r="E395" s="927"/>
      <c r="F395" s="927"/>
      <c r="G395" s="927"/>
      <c r="H395" s="927"/>
      <c r="I395" s="927"/>
      <c r="J395" s="928"/>
      <c r="K395" s="928"/>
      <c r="L395" s="929"/>
      <c r="M395" s="927"/>
      <c r="N395" s="927">
        <v>1</v>
      </c>
      <c r="O395" s="927" t="s">
        <v>360</v>
      </c>
      <c r="P395" s="1587">
        <f t="shared" si="8"/>
        <v>1</v>
      </c>
    </row>
    <row r="396" spans="1:16" ht="15.75" customHeight="1">
      <c r="A396" s="350">
        <f t="shared" si="9"/>
        <v>9</v>
      </c>
      <c r="B396" s="403" t="s">
        <v>2059</v>
      </c>
      <c r="C396" s="1465"/>
      <c r="D396" s="1465"/>
      <c r="E396" s="927"/>
      <c r="F396" s="927"/>
      <c r="G396" s="927"/>
      <c r="H396" s="927"/>
      <c r="I396" s="927"/>
      <c r="J396" s="928"/>
      <c r="K396" s="928"/>
      <c r="L396" s="929"/>
      <c r="M396" s="927"/>
      <c r="N396" s="927"/>
      <c r="O396" s="927"/>
      <c r="P396" s="1679"/>
    </row>
    <row r="397" spans="1:16" ht="15.75" customHeight="1">
      <c r="A397" s="355" t="s">
        <v>95</v>
      </c>
      <c r="B397" s="414" t="s">
        <v>596</v>
      </c>
      <c r="C397" s="1465"/>
      <c r="D397" s="1465"/>
      <c r="E397" s="927"/>
      <c r="F397" s="927"/>
      <c r="G397" s="927"/>
      <c r="H397" s="927"/>
      <c r="I397" s="927"/>
      <c r="J397" s="928"/>
      <c r="K397" s="928"/>
      <c r="L397" s="929"/>
      <c r="M397" s="927"/>
      <c r="N397" s="927">
        <v>1</v>
      </c>
      <c r="O397" s="927" t="s">
        <v>360</v>
      </c>
      <c r="P397" s="1587">
        <f>ROUND((N397),2)</f>
        <v>1</v>
      </c>
    </row>
    <row r="398" spans="1:16" ht="15.75" customHeight="1">
      <c r="A398" s="355" t="s">
        <v>98</v>
      </c>
      <c r="B398" s="414" t="s">
        <v>597</v>
      </c>
      <c r="C398" s="1465"/>
      <c r="D398" s="1465"/>
      <c r="E398" s="927"/>
      <c r="F398" s="927"/>
      <c r="G398" s="927"/>
      <c r="H398" s="927"/>
      <c r="I398" s="927"/>
      <c r="J398" s="928"/>
      <c r="K398" s="928"/>
      <c r="L398" s="929"/>
      <c r="M398" s="927"/>
      <c r="N398" s="927">
        <v>1</v>
      </c>
      <c r="O398" s="927" t="s">
        <v>360</v>
      </c>
      <c r="P398" s="1587">
        <f>ROUND((N398),2)</f>
        <v>1</v>
      </c>
    </row>
    <row r="399" spans="1:16" ht="15.75" customHeight="1">
      <c r="A399" s="355" t="s">
        <v>101</v>
      </c>
      <c r="B399" s="414" t="s">
        <v>2060</v>
      </c>
      <c r="C399" s="1465"/>
      <c r="D399" s="1465"/>
      <c r="E399" s="927"/>
      <c r="F399" s="927"/>
      <c r="G399" s="927"/>
      <c r="H399" s="927"/>
      <c r="I399" s="927"/>
      <c r="J399" s="928"/>
      <c r="K399" s="928"/>
      <c r="L399" s="929"/>
      <c r="M399" s="927"/>
      <c r="N399" s="927">
        <v>1</v>
      </c>
      <c r="O399" s="927" t="s">
        <v>360</v>
      </c>
      <c r="P399" s="1587">
        <f>ROUND((N399),2)</f>
        <v>1</v>
      </c>
    </row>
    <row r="400" spans="1:16" ht="15.75" customHeight="1">
      <c r="A400" s="350">
        <f>A396+1</f>
        <v>10</v>
      </c>
      <c r="B400" s="447" t="s">
        <v>680</v>
      </c>
      <c r="C400" s="1465"/>
      <c r="D400" s="1465"/>
      <c r="E400" s="927"/>
      <c r="F400" s="927"/>
      <c r="G400" s="927"/>
      <c r="H400" s="927"/>
      <c r="I400" s="927"/>
      <c r="J400" s="928"/>
      <c r="K400" s="928"/>
      <c r="L400" s="929"/>
      <c r="M400" s="927"/>
      <c r="N400" s="927"/>
      <c r="O400" s="927"/>
      <c r="P400" s="1679"/>
    </row>
    <row r="401" spans="1:16" ht="15.75" customHeight="1">
      <c r="A401" s="355" t="s">
        <v>95</v>
      </c>
      <c r="B401" s="447" t="s">
        <v>610</v>
      </c>
      <c r="C401" s="1465">
        <f>1.2+0.5*2</f>
        <v>2.2000000000000002</v>
      </c>
      <c r="D401" s="1465">
        <f>1.2+0.5*2</f>
        <v>2.2000000000000002</v>
      </c>
      <c r="E401" s="1465">
        <f>1.1+(0.5+0.15)</f>
        <v>1.75</v>
      </c>
      <c r="F401" s="927"/>
      <c r="G401" s="927"/>
      <c r="H401" s="927"/>
      <c r="I401" s="927"/>
      <c r="J401" s="928"/>
      <c r="K401" s="928"/>
      <c r="L401" s="929"/>
      <c r="M401" s="927"/>
      <c r="N401" s="927">
        <f>C401*D401*E401</f>
        <v>8.4700000000000006</v>
      </c>
      <c r="O401" s="927" t="s">
        <v>103</v>
      </c>
      <c r="P401" s="1587">
        <f>ROUND((N401),2)</f>
        <v>8.4700000000000006</v>
      </c>
    </row>
    <row r="402" spans="1:16" ht="15.75" customHeight="1">
      <c r="A402" s="355" t="s">
        <v>98</v>
      </c>
      <c r="B402" s="447" t="s">
        <v>611</v>
      </c>
      <c r="C402" s="1465">
        <f>C401</f>
        <v>2.2000000000000002</v>
      </c>
      <c r="D402" s="1465">
        <f>D401</f>
        <v>2.2000000000000002</v>
      </c>
      <c r="E402" s="927">
        <v>0.1</v>
      </c>
      <c r="F402" s="927"/>
      <c r="G402" s="927"/>
      <c r="H402" s="927"/>
      <c r="I402" s="927"/>
      <c r="J402" s="928"/>
      <c r="K402" s="928"/>
      <c r="L402" s="929"/>
      <c r="M402" s="927"/>
      <c r="N402" s="927">
        <f>C402*D402*E402</f>
        <v>0.4840000000000001</v>
      </c>
      <c r="O402" s="927" t="s">
        <v>103</v>
      </c>
      <c r="P402" s="1587">
        <f>ROUND((N402),2)</f>
        <v>0.48</v>
      </c>
    </row>
    <row r="403" spans="1:16" ht="15.75" customHeight="1">
      <c r="A403" s="355" t="s">
        <v>101</v>
      </c>
      <c r="B403" s="447" t="s">
        <v>496</v>
      </c>
      <c r="C403" s="1465">
        <f>C402</f>
        <v>2.2000000000000002</v>
      </c>
      <c r="D403" s="1465">
        <f>D402</f>
        <v>2.2000000000000002</v>
      </c>
      <c r="E403" s="927">
        <v>0.05</v>
      </c>
      <c r="F403" s="927"/>
      <c r="G403" s="927"/>
      <c r="H403" s="927"/>
      <c r="I403" s="927"/>
      <c r="J403" s="928"/>
      <c r="K403" s="928"/>
      <c r="L403" s="929"/>
      <c r="M403" s="927"/>
      <c r="N403" s="927">
        <f>C403*D403*E403</f>
        <v>0.24200000000000005</v>
      </c>
      <c r="O403" s="927" t="s">
        <v>103</v>
      </c>
      <c r="P403" s="1587">
        <f>ROUND((N403),2)</f>
        <v>0.24</v>
      </c>
    </row>
    <row r="404" spans="1:16" ht="15.75" customHeight="1">
      <c r="A404" s="355" t="s">
        <v>121</v>
      </c>
      <c r="B404" s="447" t="s">
        <v>612</v>
      </c>
      <c r="C404" s="1465"/>
      <c r="D404" s="1465"/>
      <c r="E404" s="927"/>
      <c r="F404" s="927"/>
      <c r="G404" s="927"/>
      <c r="H404" s="927"/>
      <c r="I404" s="927"/>
      <c r="J404" s="928"/>
      <c r="K404" s="928"/>
      <c r="L404" s="929"/>
      <c r="M404" s="927"/>
      <c r="N404" s="927">
        <v>1</v>
      </c>
      <c r="O404" s="927" t="s">
        <v>360</v>
      </c>
      <c r="P404" s="1587">
        <f>ROUND((N404),2)</f>
        <v>1</v>
      </c>
    </row>
    <row r="405" spans="1:16" ht="15.75" customHeight="1">
      <c r="A405" s="1692"/>
      <c r="B405" s="1693"/>
      <c r="C405" s="1694"/>
      <c r="D405" s="1694"/>
      <c r="E405" s="1695"/>
      <c r="F405" s="1695"/>
      <c r="G405" s="1695"/>
      <c r="H405" s="1695"/>
      <c r="I405" s="1695"/>
      <c r="J405" s="1696"/>
      <c r="K405" s="1696"/>
      <c r="L405" s="1697"/>
      <c r="M405" s="1695"/>
      <c r="N405" s="1695"/>
      <c r="O405" s="1695"/>
      <c r="P405" s="1698"/>
    </row>
    <row r="406" spans="1:16" ht="15.75" customHeight="1">
      <c r="C406" s="1699"/>
      <c r="D406" s="1699"/>
      <c r="E406" s="1700"/>
      <c r="F406" s="1700"/>
      <c r="G406" s="1700"/>
      <c r="H406" s="1700"/>
      <c r="I406" s="1700"/>
      <c r="J406" s="1701"/>
      <c r="K406" s="1701"/>
      <c r="L406" s="1702"/>
      <c r="M406" s="1700"/>
      <c r="N406" s="1700"/>
      <c r="O406" s="1700"/>
      <c r="P406" s="1699"/>
    </row>
  </sheetData>
  <mergeCells count="15">
    <mergeCell ref="L3:L4"/>
    <mergeCell ref="M3:M4"/>
    <mergeCell ref="N3:N4"/>
    <mergeCell ref="O3:O4"/>
    <mergeCell ref="P3:P4"/>
    <mergeCell ref="F3:F4"/>
    <mergeCell ref="G3:G4"/>
    <mergeCell ref="H3:H4"/>
    <mergeCell ref="I3:I4"/>
    <mergeCell ref="J3:K3"/>
    <mergeCell ref="A3:A4"/>
    <mergeCell ref="B3:B4"/>
    <mergeCell ref="C3:C4"/>
    <mergeCell ref="D3:D4"/>
    <mergeCell ref="E3:E4"/>
  </mergeCells>
  <printOptions horizontalCentered="1"/>
  <pageMargins left="0.39374999999999999" right="0.39374999999999999" top="0.59027777777777801" bottom="0.39305555555555599" header="0.511811023622047" footer="7.8472222222222193E-2"/>
  <pageSetup paperSize="9" scale="74" orientation="landscape" horizontalDpi="300" verticalDpi="300" r:id="rId1"/>
  <headerFooter>
    <oddFooter>&amp;C&amp;A&amp;RPage 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M6339"/>
  <sheetViews>
    <sheetView view="pageBreakPreview" zoomScale="60" zoomScaleNormal="84" workbookViewId="0">
      <selection activeCell="D21" sqref="D21"/>
    </sheetView>
  </sheetViews>
  <sheetFormatPr baseColWidth="10" defaultColWidth="8.83203125" defaultRowHeight="13"/>
  <cols>
    <col min="1" max="1" width="9.1640625" customWidth="1"/>
    <col min="2" max="2" width="12.5" customWidth="1"/>
    <col min="3" max="3" width="48.5" customWidth="1"/>
    <col min="4" max="4" width="15.5" customWidth="1"/>
    <col min="5" max="5" width="11.5" customWidth="1"/>
    <col min="6" max="6" width="20.5" customWidth="1"/>
    <col min="7" max="7" width="24.5" customWidth="1"/>
    <col min="8" max="8" width="10.5" customWidth="1"/>
    <col min="9" max="9" width="12.5" customWidth="1"/>
    <col min="10" max="10" width="10.5" customWidth="1"/>
    <col min="12" max="12" width="14.83203125" customWidth="1"/>
  </cols>
  <sheetData>
    <row r="1" spans="1:13" ht="19.5" customHeight="1">
      <c r="A1" s="3175" t="s">
        <v>3415</v>
      </c>
      <c r="B1" s="3175"/>
      <c r="C1" s="3175"/>
      <c r="D1" s="3175"/>
      <c r="E1" s="3175"/>
      <c r="F1" s="3175"/>
      <c r="G1" s="3175"/>
      <c r="H1" s="3175"/>
      <c r="I1" s="3175"/>
      <c r="J1" s="3175"/>
    </row>
    <row r="2" spans="1:13" ht="19.5" customHeight="1">
      <c r="A2" s="30"/>
      <c r="B2" s="1733"/>
      <c r="C2" s="1733"/>
      <c r="I2" s="1734" t="s">
        <v>2063</v>
      </c>
    </row>
    <row r="3" spans="1:13" ht="15.75" customHeight="1">
      <c r="A3" s="31"/>
      <c r="B3" s="1733"/>
      <c r="C3" s="1733"/>
      <c r="L3" s="18" t="s">
        <v>2064</v>
      </c>
    </row>
    <row r="4" spans="1:13" ht="15.75" customHeight="1">
      <c r="A4" s="3144"/>
      <c r="L4" s="1735"/>
      <c r="M4" s="1735">
        <v>0.15</v>
      </c>
    </row>
    <row r="5" spans="1:13" ht="30" customHeight="1">
      <c r="A5" s="1736">
        <v>1</v>
      </c>
      <c r="B5" s="1737" t="s">
        <v>2065</v>
      </c>
      <c r="C5" s="3275" t="s">
        <v>2066</v>
      </c>
      <c r="D5" s="3275"/>
      <c r="E5" s="3275"/>
      <c r="F5" s="3275"/>
      <c r="G5" s="3275"/>
      <c r="H5" s="3275"/>
      <c r="I5" s="3275"/>
      <c r="J5" s="1738"/>
    </row>
    <row r="6" spans="1:13" ht="15.75" customHeight="1">
      <c r="A6" s="440"/>
      <c r="B6" s="1739" t="s">
        <v>1004</v>
      </c>
      <c r="C6" s="1740" t="s">
        <v>2067</v>
      </c>
      <c r="D6" s="1741"/>
      <c r="E6" s="1742"/>
      <c r="F6" s="320"/>
      <c r="G6" s="1743"/>
      <c r="H6" s="1744"/>
      <c r="I6" s="1744"/>
      <c r="J6" s="1745"/>
    </row>
    <row r="7" spans="1:13" ht="15.75" customHeight="1">
      <c r="A7" s="440"/>
      <c r="B7" s="1739"/>
      <c r="C7" s="317" t="s">
        <v>2068</v>
      </c>
      <c r="D7" s="1746">
        <v>2</v>
      </c>
      <c r="E7" s="326" t="s">
        <v>2069</v>
      </c>
      <c r="F7" s="1747">
        <f>'Bahan &amp; Upah'!C$336</f>
        <v>96332.65</v>
      </c>
      <c r="G7" s="1748">
        <f>D7*F7</f>
        <v>192665.3</v>
      </c>
      <c r="H7" s="1749">
        <v>1</v>
      </c>
      <c r="I7" s="1749">
        <f>(G7/G$29)*H7</f>
        <v>0.16262796885966802</v>
      </c>
      <c r="J7" s="1750"/>
    </row>
    <row r="8" spans="1:13" ht="15.75" customHeight="1">
      <c r="A8" s="440"/>
      <c r="B8" s="1739"/>
      <c r="C8" s="317" t="s">
        <v>2070</v>
      </c>
      <c r="D8" s="1746">
        <v>2</v>
      </c>
      <c r="E8" s="326" t="s">
        <v>2069</v>
      </c>
      <c r="F8" s="1747">
        <f>'Bahan &amp; Upah'!C$337</f>
        <v>114133.55</v>
      </c>
      <c r="G8" s="1748">
        <f>D8*F8</f>
        <v>228267.1</v>
      </c>
      <c r="H8" s="1749">
        <v>1</v>
      </c>
      <c r="I8" s="1749">
        <f>(G8/G$29)*H8</f>
        <v>0.19267929840239384</v>
      </c>
      <c r="J8" s="1750"/>
    </row>
    <row r="9" spans="1:13" ht="15.75" customHeight="1">
      <c r="A9" s="440"/>
      <c r="B9" s="1739"/>
      <c r="C9" s="317" t="s">
        <v>2071</v>
      </c>
      <c r="D9" s="1746">
        <v>1</v>
      </c>
      <c r="E9" s="326" t="s">
        <v>2069</v>
      </c>
      <c r="F9" s="1747">
        <f>'Bahan &amp; Upah'!C$337</f>
        <v>114133.55</v>
      </c>
      <c r="G9" s="1748"/>
      <c r="H9" s="1749">
        <v>1</v>
      </c>
      <c r="I9" s="1749">
        <f>(G9/G$29)*H9</f>
        <v>0</v>
      </c>
      <c r="J9" s="1750"/>
    </row>
    <row r="10" spans="1:13" ht="15.75" customHeight="1">
      <c r="A10" s="440"/>
      <c r="B10" s="1739"/>
      <c r="C10" s="317" t="s">
        <v>2072</v>
      </c>
      <c r="D10" s="1746">
        <v>0.3</v>
      </c>
      <c r="E10" s="326" t="s">
        <v>2069</v>
      </c>
      <c r="F10" s="1748">
        <f>'Bahan &amp; Upah'!C$338</f>
        <v>125485.75</v>
      </c>
      <c r="G10" s="1748"/>
      <c r="H10" s="1749">
        <v>1</v>
      </c>
      <c r="I10" s="1749">
        <f>(G10/G$29)*H10</f>
        <v>0</v>
      </c>
      <c r="J10" s="1750"/>
    </row>
    <row r="11" spans="1:13" ht="15.75" customHeight="1">
      <c r="A11" s="440"/>
      <c r="B11" s="1739"/>
      <c r="C11" s="317" t="s">
        <v>2073</v>
      </c>
      <c r="D11" s="1746">
        <v>0.1</v>
      </c>
      <c r="E11" s="326" t="s">
        <v>2069</v>
      </c>
      <c r="F11" s="1751">
        <f>'Bahan &amp; Upah'!C$339</f>
        <v>102689.88</v>
      </c>
      <c r="G11" s="1748">
        <f>D11*F11</f>
        <v>10268.988000000001</v>
      </c>
      <c r="H11" s="1749">
        <v>1</v>
      </c>
      <c r="I11" s="1752">
        <f>(G11/G$29)*H11</f>
        <v>8.6680095517163956E-3</v>
      </c>
      <c r="J11" s="1750"/>
    </row>
    <row r="12" spans="1:13" ht="15.75" customHeight="1">
      <c r="A12" s="440"/>
      <c r="B12" s="1739"/>
      <c r="C12" s="1753" t="s">
        <v>2074</v>
      </c>
      <c r="D12" s="428"/>
      <c r="E12" s="333"/>
      <c r="F12" s="1748"/>
      <c r="G12" s="1743">
        <f>SUM(G7:G11)</f>
        <v>431201.38800000004</v>
      </c>
      <c r="H12" s="1749"/>
      <c r="I12" s="1754">
        <f>SUM(I7:I11)</f>
        <v>0.36397527681377823</v>
      </c>
      <c r="J12" s="1750"/>
    </row>
    <row r="13" spans="1:13" ht="15.75" customHeight="1">
      <c r="A13" s="440"/>
      <c r="B13" s="1739" t="s">
        <v>1015</v>
      </c>
      <c r="C13" s="1755" t="s">
        <v>2075</v>
      </c>
      <c r="D13" s="428"/>
      <c r="E13" s="333"/>
      <c r="F13" s="1748"/>
      <c r="G13" s="328"/>
      <c r="H13" s="1749"/>
      <c r="I13" s="1749"/>
      <c r="J13" s="1750"/>
    </row>
    <row r="14" spans="1:13" ht="15.75" customHeight="1">
      <c r="A14" s="440"/>
      <c r="B14" s="1739"/>
      <c r="C14" s="317" t="s">
        <v>2076</v>
      </c>
      <c r="D14" s="1756">
        <v>1.25</v>
      </c>
      <c r="E14" s="333" t="s">
        <v>888</v>
      </c>
      <c r="F14" s="1748">
        <f>'Bahan &amp; Upah'!C$101</f>
        <v>29763.69</v>
      </c>
      <c r="G14" s="1748">
        <f>D14*F14</f>
        <v>37204.612499999996</v>
      </c>
      <c r="H14" s="1749">
        <v>1</v>
      </c>
      <c r="I14" s="1749">
        <f t="shared" ref="I14:I27" si="0">(G14/G$29)*H14</f>
        <v>3.1404256828219797E-2</v>
      </c>
      <c r="J14" s="1750"/>
    </row>
    <row r="15" spans="1:13" ht="15.75" customHeight="1">
      <c r="A15" s="440"/>
      <c r="B15" s="1739"/>
      <c r="C15" s="317" t="s">
        <v>2077</v>
      </c>
      <c r="D15" s="1756">
        <v>0.1</v>
      </c>
      <c r="E15" s="326" t="s">
        <v>103</v>
      </c>
      <c r="F15" s="1748">
        <f>'Bahan &amp; Upah'!C$97</f>
        <v>6503424.4100000001</v>
      </c>
      <c r="G15" s="1748">
        <f>D15*F15</f>
        <v>650342.44100000011</v>
      </c>
      <c r="H15" s="1749">
        <v>1</v>
      </c>
      <c r="I15" s="1749">
        <f t="shared" si="0"/>
        <v>0.54895131735226066</v>
      </c>
      <c r="J15" s="1750"/>
    </row>
    <row r="16" spans="1:13" ht="15.75" customHeight="1">
      <c r="A16" s="440"/>
      <c r="B16" s="1739"/>
      <c r="C16" s="317" t="s">
        <v>2078</v>
      </c>
      <c r="D16" s="1756">
        <v>0.08</v>
      </c>
      <c r="E16" s="326" t="s">
        <v>100</v>
      </c>
      <c r="F16" s="1748">
        <f>'Bahan &amp; Upah'!C$54</f>
        <v>36067.67</v>
      </c>
      <c r="G16" s="1748">
        <f>D16*F16</f>
        <v>2885.4135999999999</v>
      </c>
      <c r="H16" s="1749">
        <v>0.27879999999999999</v>
      </c>
      <c r="I16" s="1749">
        <f t="shared" si="0"/>
        <v>6.7903565468691994E-4</v>
      </c>
      <c r="J16" s="1750"/>
    </row>
    <row r="17" spans="1:10" ht="15.75" customHeight="1">
      <c r="A17" s="440"/>
      <c r="B17" s="1739"/>
      <c r="C17" s="317" t="s">
        <v>2079</v>
      </c>
      <c r="D17" s="1756">
        <v>1.1000000000000001</v>
      </c>
      <c r="E17" s="326" t="s">
        <v>100</v>
      </c>
      <c r="F17" s="1748">
        <f>'Bahan &amp; Upah'!C74</f>
        <v>17635.73</v>
      </c>
      <c r="G17" s="1748">
        <f>D17*F17</f>
        <v>19399.303</v>
      </c>
      <c r="H17" s="1749">
        <f>H16</f>
        <v>0.27879999999999999</v>
      </c>
      <c r="I17" s="1749">
        <f t="shared" si="0"/>
        <v>4.5653137605904861E-3</v>
      </c>
      <c r="J17" s="1757"/>
    </row>
    <row r="18" spans="1:10" ht="15.75" customHeight="1">
      <c r="A18" s="440"/>
      <c r="B18" s="1739"/>
      <c r="C18" s="317" t="s">
        <v>2080</v>
      </c>
      <c r="D18" s="1756">
        <v>35</v>
      </c>
      <c r="E18" s="326" t="s">
        <v>100</v>
      </c>
      <c r="F18" s="1748">
        <f>'Bahan &amp; Upah'!C27</f>
        <v>1792.44</v>
      </c>
      <c r="G18" s="1748"/>
      <c r="H18" s="1749">
        <v>0.91900000000000004</v>
      </c>
      <c r="I18" s="1749">
        <f t="shared" si="0"/>
        <v>0</v>
      </c>
      <c r="J18" s="1757"/>
    </row>
    <row r="19" spans="1:10" ht="15.75" customHeight="1">
      <c r="A19" s="440"/>
      <c r="B19" s="1739"/>
      <c r="C19" s="317" t="s">
        <v>2081</v>
      </c>
      <c r="D19" s="1756">
        <v>0.15</v>
      </c>
      <c r="E19" s="326" t="s">
        <v>103</v>
      </c>
      <c r="F19" s="1748">
        <f>'Bahan &amp; Upah'!C11</f>
        <v>362812.55</v>
      </c>
      <c r="G19" s="1748"/>
      <c r="H19" s="1749">
        <v>1</v>
      </c>
      <c r="I19" s="1749">
        <f t="shared" si="0"/>
        <v>0</v>
      </c>
      <c r="J19" s="1757"/>
    </row>
    <row r="20" spans="1:10" ht="15.75" customHeight="1">
      <c r="A20" s="440"/>
      <c r="B20" s="1739"/>
      <c r="C20" s="317" t="s">
        <v>2082</v>
      </c>
      <c r="D20" s="1756">
        <v>0.1</v>
      </c>
      <c r="E20" s="326" t="s">
        <v>103</v>
      </c>
      <c r="F20" s="1748">
        <f>'Bahan &amp; Upah'!C12</f>
        <v>426564.14</v>
      </c>
      <c r="G20" s="1748"/>
      <c r="H20" s="1749">
        <v>1</v>
      </c>
      <c r="I20" s="1749">
        <f t="shared" si="0"/>
        <v>0</v>
      </c>
      <c r="J20" s="1757"/>
    </row>
    <row r="21" spans="1:10" ht="15.75" customHeight="1">
      <c r="A21" s="440"/>
      <c r="B21" s="1739"/>
      <c r="C21" s="317" t="s">
        <v>2083</v>
      </c>
      <c r="D21" s="1756">
        <v>0.15</v>
      </c>
      <c r="E21" s="326" t="s">
        <v>103</v>
      </c>
      <c r="F21" s="1748">
        <f>'Bahan &amp; Upah'!C16</f>
        <v>321445.17</v>
      </c>
      <c r="G21" s="1748"/>
      <c r="H21" s="1749">
        <v>1</v>
      </c>
      <c r="I21" s="1749">
        <f t="shared" si="0"/>
        <v>0</v>
      </c>
      <c r="J21" s="1757"/>
    </row>
    <row r="22" spans="1:10" ht="15.75" customHeight="1">
      <c r="A22" s="440"/>
      <c r="B22" s="1739"/>
      <c r="C22" s="317" t="s">
        <v>2084</v>
      </c>
      <c r="D22" s="1756">
        <v>30</v>
      </c>
      <c r="E22" s="326" t="s">
        <v>124</v>
      </c>
      <c r="F22" s="1748">
        <f>'Bahan &amp; Upah'!C20</f>
        <v>1030.79</v>
      </c>
      <c r="G22" s="1748"/>
      <c r="H22" s="1749">
        <v>1</v>
      </c>
      <c r="I22" s="1749">
        <f t="shared" si="0"/>
        <v>0</v>
      </c>
      <c r="J22" s="1757"/>
    </row>
    <row r="23" spans="1:10" ht="15.75" customHeight="1">
      <c r="A23" s="440"/>
      <c r="B23" s="1739"/>
      <c r="C23" s="317" t="s">
        <v>2085</v>
      </c>
      <c r="D23" s="1756">
        <v>0.25</v>
      </c>
      <c r="E23" s="326" t="s">
        <v>2086</v>
      </c>
      <c r="F23" s="1748">
        <f>'Bahan &amp; Upah'!C75</f>
        <v>103603.57</v>
      </c>
      <c r="G23" s="1748">
        <f>D23*F23</f>
        <v>25900.892500000002</v>
      </c>
      <c r="H23" s="1749">
        <v>0.4214</v>
      </c>
      <c r="I23" s="1749">
        <f t="shared" si="0"/>
        <v>9.2129983951655774E-3</v>
      </c>
      <c r="J23" s="1757"/>
    </row>
    <row r="24" spans="1:10" ht="15.75" customHeight="1">
      <c r="A24" s="440"/>
      <c r="B24" s="1739"/>
      <c r="C24" s="317" t="s">
        <v>2087</v>
      </c>
      <c r="D24" s="1756">
        <v>0.2</v>
      </c>
      <c r="E24" s="326" t="s">
        <v>124</v>
      </c>
      <c r="F24" s="1748">
        <f>'Bahan &amp; Upah'!C77</f>
        <v>2109988.66</v>
      </c>
      <c r="G24" s="1748"/>
      <c r="H24" s="1749">
        <f>H23</f>
        <v>0.4214</v>
      </c>
      <c r="I24" s="1749">
        <f t="shared" si="0"/>
        <v>0</v>
      </c>
      <c r="J24" s="1757"/>
    </row>
    <row r="25" spans="1:10" ht="15.75" customHeight="1">
      <c r="A25" s="440"/>
      <c r="B25" s="1739"/>
      <c r="C25" s="317" t="s">
        <v>2088</v>
      </c>
      <c r="D25" s="1756">
        <v>0.08</v>
      </c>
      <c r="E25" s="326" t="s">
        <v>89</v>
      </c>
      <c r="F25" s="1748">
        <f>'Bahan &amp; Upah'!C107</f>
        <v>313982.99</v>
      </c>
      <c r="G25" s="1748"/>
      <c r="H25" s="1749">
        <f>H24</f>
        <v>0.4214</v>
      </c>
      <c r="I25" s="1749">
        <f t="shared" si="0"/>
        <v>0</v>
      </c>
      <c r="J25" s="1757"/>
    </row>
    <row r="26" spans="1:10" ht="15.75" customHeight="1">
      <c r="A26" s="440"/>
      <c r="B26" s="1739"/>
      <c r="C26" s="317" t="s">
        <v>2089</v>
      </c>
      <c r="D26" s="1756">
        <v>0.15</v>
      </c>
      <c r="E26" s="326" t="s">
        <v>124</v>
      </c>
      <c r="F26" s="1748">
        <f>'Bahan &amp; Upah'!C110</f>
        <v>87383.26</v>
      </c>
      <c r="G26" s="1748">
        <f>D26*F26</f>
        <v>13107.489</v>
      </c>
      <c r="H26" s="1749">
        <f>H25</f>
        <v>0.4214</v>
      </c>
      <c r="I26" s="1749">
        <f t="shared" si="0"/>
        <v>4.6623596125751439E-3</v>
      </c>
      <c r="J26" s="1757"/>
    </row>
    <row r="27" spans="1:10" ht="15.75" customHeight="1">
      <c r="A27" s="440"/>
      <c r="B27" s="1739"/>
      <c r="C27" s="317" t="s">
        <v>2090</v>
      </c>
      <c r="D27" s="1756">
        <v>0.06</v>
      </c>
      <c r="E27" s="326" t="s">
        <v>2086</v>
      </c>
      <c r="F27" s="1748">
        <f>'Bahan &amp; Upah'!C95</f>
        <v>77635.399999999994</v>
      </c>
      <c r="G27" s="1758">
        <f>D27*F27</f>
        <v>4658.1239999999998</v>
      </c>
      <c r="H27" s="1749">
        <v>1</v>
      </c>
      <c r="I27" s="1752">
        <f t="shared" si="0"/>
        <v>3.9319028637563288E-3</v>
      </c>
      <c r="J27" s="1757"/>
    </row>
    <row r="28" spans="1:10" ht="15.75" customHeight="1">
      <c r="A28" s="440"/>
      <c r="B28" s="1759"/>
      <c r="C28" s="1753" t="s">
        <v>2091</v>
      </c>
      <c r="D28" s="428"/>
      <c r="E28" s="333"/>
      <c r="F28" s="328"/>
      <c r="G28" s="1743">
        <f>SUM(G14:G27)</f>
        <v>753498.27559999994</v>
      </c>
      <c r="H28" s="1749"/>
      <c r="I28" s="1754">
        <f>SUM(I14:I27)</f>
        <v>0.60340718446725483</v>
      </c>
      <c r="J28" s="1757"/>
    </row>
    <row r="29" spans="1:10" ht="15.75" customHeight="1">
      <c r="A29" s="1760"/>
      <c r="B29" s="1761" t="s">
        <v>979</v>
      </c>
      <c r="C29" s="1762" t="s">
        <v>2092</v>
      </c>
      <c r="D29" s="1763"/>
      <c r="E29" s="1764"/>
      <c r="F29" s="1765"/>
      <c r="G29" s="1765">
        <f>G12+G28</f>
        <v>1184699.6636000001</v>
      </c>
      <c r="H29" s="1749"/>
      <c r="I29" s="1766">
        <f>I12+I28</f>
        <v>0.96738246128103311</v>
      </c>
      <c r="J29" s="1757"/>
    </row>
    <row r="30" spans="1:10" ht="15.75" customHeight="1">
      <c r="A30" s="1760"/>
      <c r="B30" s="1761" t="s">
        <v>2093</v>
      </c>
      <c r="C30" s="1762" t="s">
        <v>2094</v>
      </c>
      <c r="D30" s="1767">
        <f>M$4</f>
        <v>0.15</v>
      </c>
      <c r="E30" s="1768"/>
      <c r="F30" s="1765"/>
      <c r="G30" s="1765">
        <f>G29*D30</f>
        <v>177704.94954</v>
      </c>
      <c r="H30" s="1749"/>
      <c r="I30" s="1749"/>
      <c r="J30" s="1757"/>
    </row>
    <row r="31" spans="1:10" ht="15.75" customHeight="1">
      <c r="A31" s="1769"/>
      <c r="B31" s="1770" t="s">
        <v>2095</v>
      </c>
      <c r="C31" s="1771" t="s">
        <v>2096</v>
      </c>
      <c r="D31" s="1772"/>
      <c r="E31" s="1773"/>
      <c r="F31" s="1774"/>
      <c r="G31" s="1775">
        <f>ROUNDUP((G29+G30),2)</f>
        <v>1362404.62</v>
      </c>
      <c r="H31" s="1776"/>
      <c r="I31" s="1776"/>
      <c r="J31" s="1777"/>
    </row>
    <row r="32" spans="1:10" ht="15.75" customHeight="1">
      <c r="A32" s="1733"/>
      <c r="B32" s="1733"/>
      <c r="C32" s="1733"/>
      <c r="D32" s="1733"/>
      <c r="E32" s="1733"/>
      <c r="F32" s="1733"/>
      <c r="G32" s="1733"/>
      <c r="H32" s="1733"/>
      <c r="I32" s="1733"/>
      <c r="J32" s="1733"/>
    </row>
    <row r="33" spans="1:10" ht="30" customHeight="1">
      <c r="A33" s="1778">
        <f>A5+1</f>
        <v>2</v>
      </c>
      <c r="B33" s="1779" t="s">
        <v>2097</v>
      </c>
      <c r="C33" s="3276" t="s">
        <v>2098</v>
      </c>
      <c r="D33" s="3276"/>
      <c r="E33" s="3276"/>
      <c r="F33" s="3276"/>
      <c r="G33" s="3276"/>
      <c r="H33" s="3276"/>
      <c r="I33" s="3276"/>
      <c r="J33" s="3276"/>
    </row>
    <row r="34" spans="1:10" ht="15.75" customHeight="1">
      <c r="A34" s="1780"/>
      <c r="B34" s="1739" t="s">
        <v>1004</v>
      </c>
      <c r="C34" s="1755" t="s">
        <v>2075</v>
      </c>
      <c r="D34" s="1781"/>
      <c r="E34" s="413"/>
      <c r="F34" s="320"/>
      <c r="G34" s="320"/>
      <c r="H34" s="1782"/>
      <c r="I34" s="1782"/>
      <c r="J34" s="1783"/>
    </row>
    <row r="35" spans="1:10" ht="15.75" customHeight="1">
      <c r="A35" s="1780"/>
      <c r="B35" s="1784"/>
      <c r="C35" s="317" t="s">
        <v>2099</v>
      </c>
      <c r="D35" s="1781">
        <v>0.35</v>
      </c>
      <c r="E35" s="326" t="s">
        <v>2086</v>
      </c>
      <c r="F35" s="1748">
        <f>'Bahan &amp; Upah'!C92</f>
        <v>212109.86</v>
      </c>
      <c r="G35" s="332">
        <f>F35*D35</f>
        <v>74238.450999999986</v>
      </c>
      <c r="H35" s="1749">
        <v>1</v>
      </c>
      <c r="I35" s="1749">
        <f>(G35/G$51)*H35</f>
        <v>5.5234040822378788E-2</v>
      </c>
      <c r="J35" s="1750"/>
    </row>
    <row r="36" spans="1:10" ht="15.75" customHeight="1">
      <c r="A36" s="1780"/>
      <c r="B36" s="1784"/>
      <c r="C36" s="317" t="s">
        <v>2100</v>
      </c>
      <c r="D36" s="1781">
        <v>7.6999999999999999E-2</v>
      </c>
      <c r="E36" s="326" t="s">
        <v>103</v>
      </c>
      <c r="F36" s="1748">
        <f>'Bahan &amp; Upah'!C$97</f>
        <v>6503424.4100000001</v>
      </c>
      <c r="G36" s="332">
        <f>F36*D36</f>
        <v>500763.67956999998</v>
      </c>
      <c r="H36" s="1749">
        <v>1</v>
      </c>
      <c r="I36" s="1749">
        <f>(G36/G$51)*H36</f>
        <v>0.37257244927879751</v>
      </c>
      <c r="J36" s="1750"/>
    </row>
    <row r="37" spans="1:10" ht="15.75" customHeight="1">
      <c r="A37" s="1780"/>
      <c r="B37" s="1784"/>
      <c r="C37" s="317" t="s">
        <v>2101</v>
      </c>
      <c r="D37" s="1781">
        <v>5.8</v>
      </c>
      <c r="E37" s="413" t="s">
        <v>100</v>
      </c>
      <c r="F37" s="1748">
        <f>'Bahan &amp; Upah'!C53</f>
        <v>16527.099999999999</v>
      </c>
      <c r="G37" s="332">
        <f>F37*D37</f>
        <v>95857.18</v>
      </c>
      <c r="H37" s="1749">
        <f>H38</f>
        <v>0.27879999999999999</v>
      </c>
      <c r="I37" s="1749">
        <f>(G37/G$51)*H37</f>
        <v>1.9883614420171371E-2</v>
      </c>
      <c r="J37" s="1750"/>
    </row>
    <row r="38" spans="1:10" ht="15.75" customHeight="1">
      <c r="A38" s="1780"/>
      <c r="B38" s="1784"/>
      <c r="C38" s="317" t="s">
        <v>2078</v>
      </c>
      <c r="D38" s="1781">
        <v>1.25</v>
      </c>
      <c r="E38" s="413" t="s">
        <v>100</v>
      </c>
      <c r="F38" s="1748">
        <f>'Bahan &amp; Upah'!C$54</f>
        <v>36067.67</v>
      </c>
      <c r="G38" s="332">
        <f>F38*D38</f>
        <v>45084.587499999994</v>
      </c>
      <c r="H38" s="1749">
        <f>H16</f>
        <v>0.27879999999999999</v>
      </c>
      <c r="I38" s="1749">
        <f>(G38/G$51)*H38</f>
        <v>9.3518769709528046E-3</v>
      </c>
      <c r="J38" s="1750"/>
    </row>
    <row r="39" spans="1:10" ht="15.75" customHeight="1">
      <c r="A39" s="1780"/>
      <c r="B39" s="1784"/>
      <c r="C39" s="317" t="s">
        <v>2102</v>
      </c>
      <c r="D39" s="1781">
        <v>2.5</v>
      </c>
      <c r="E39" s="413" t="s">
        <v>100</v>
      </c>
      <c r="F39" s="1748">
        <f>'Bahan &amp; Upah'!C$144</f>
        <v>89457.05</v>
      </c>
      <c r="G39" s="1785">
        <f>F39*D39</f>
        <v>223642.625</v>
      </c>
      <c r="H39" s="1749">
        <v>0.27879999999999999</v>
      </c>
      <c r="I39" s="1752">
        <f>(G39/G$51)*H39</f>
        <v>4.6390095383725849E-2</v>
      </c>
      <c r="J39" s="1750"/>
    </row>
    <row r="40" spans="1:10" ht="15.75" customHeight="1">
      <c r="A40" s="1780"/>
      <c r="B40" s="1784"/>
      <c r="C40" s="1753" t="s">
        <v>2074</v>
      </c>
      <c r="D40" s="1781"/>
      <c r="E40" s="413"/>
      <c r="F40" s="320"/>
      <c r="G40" s="361">
        <f>SUM(G35:G39)</f>
        <v>939586.52307</v>
      </c>
      <c r="H40" s="1749"/>
      <c r="I40" s="1754">
        <f>SUM(I35:I39)</f>
        <v>0.50343207687602631</v>
      </c>
      <c r="J40" s="1750"/>
    </row>
    <row r="41" spans="1:10" ht="15.75" customHeight="1">
      <c r="A41" s="1780"/>
      <c r="B41" s="1739" t="s">
        <v>1015</v>
      </c>
      <c r="C41" s="1755" t="s">
        <v>2067</v>
      </c>
      <c r="D41" s="1781"/>
      <c r="E41" s="413"/>
      <c r="F41" s="320"/>
      <c r="G41" s="320"/>
      <c r="H41" s="1749"/>
      <c r="I41" s="1749"/>
      <c r="J41" s="1750"/>
    </row>
    <row r="42" spans="1:10" ht="15.75" customHeight="1">
      <c r="A42" s="1780"/>
      <c r="B42" s="1784"/>
      <c r="C42" s="317" t="s">
        <v>2103</v>
      </c>
      <c r="D42" s="1781">
        <v>1</v>
      </c>
      <c r="E42" s="413" t="s">
        <v>2069</v>
      </c>
      <c r="F42" s="1747">
        <f>'Bahan &amp; Upah'!C$336</f>
        <v>96332.65</v>
      </c>
      <c r="G42" s="332">
        <f>F42*D42</f>
        <v>96332.65</v>
      </c>
      <c r="H42" s="1749">
        <v>1</v>
      </c>
      <c r="I42" s="1749">
        <f>(G42/G$51)*H42</f>
        <v>7.1672313349155525E-2</v>
      </c>
      <c r="J42" s="1750"/>
    </row>
    <row r="43" spans="1:10" ht="15.75" customHeight="1">
      <c r="A43" s="1780"/>
      <c r="B43" s="1784"/>
      <c r="C43" s="317" t="s">
        <v>2104</v>
      </c>
      <c r="D43" s="1781">
        <v>1</v>
      </c>
      <c r="E43" s="413" t="s">
        <v>2069</v>
      </c>
      <c r="F43" s="1747">
        <f>'Bahan &amp; Upah'!C$337</f>
        <v>114133.55</v>
      </c>
      <c r="G43" s="332">
        <f>F43*D43</f>
        <v>114133.55</v>
      </c>
      <c r="H43" s="1749">
        <v>1</v>
      </c>
      <c r="I43" s="1749">
        <f>(G43/G$51)*H43</f>
        <v>8.4916334796681189E-2</v>
      </c>
      <c r="J43" s="1750"/>
    </row>
    <row r="44" spans="1:10" ht="15.75" customHeight="1">
      <c r="A44" s="1780"/>
      <c r="B44" s="1784"/>
      <c r="C44" s="317" t="s">
        <v>2105</v>
      </c>
      <c r="D44" s="1781">
        <v>0.1</v>
      </c>
      <c r="E44" s="413" t="s">
        <v>2069</v>
      </c>
      <c r="F44" s="1748">
        <f>'Bahan &amp; Upah'!C$338</f>
        <v>125485.75</v>
      </c>
      <c r="G44" s="332">
        <f>F44*D44</f>
        <v>12548.575000000001</v>
      </c>
      <c r="H44" s="1749">
        <v>1</v>
      </c>
      <c r="I44" s="1749">
        <f>(G44/G$51)*H44</f>
        <v>9.3362468434677066E-3</v>
      </c>
      <c r="J44" s="1750"/>
    </row>
    <row r="45" spans="1:10" ht="15.75" customHeight="1">
      <c r="A45" s="1780"/>
      <c r="B45" s="1784"/>
      <c r="C45" s="317" t="s">
        <v>2106</v>
      </c>
      <c r="D45" s="1781">
        <v>1.5</v>
      </c>
      <c r="E45" s="413" t="s">
        <v>2069</v>
      </c>
      <c r="F45" s="1747">
        <f>'Bahan &amp; Upah'!C$337</f>
        <v>114133.55</v>
      </c>
      <c r="G45" s="332">
        <f>F45*D45</f>
        <v>171200.32500000001</v>
      </c>
      <c r="H45" s="1749">
        <v>1</v>
      </c>
      <c r="I45" s="1749">
        <f>(G45/G$51)*H45</f>
        <v>0.1273745021950218</v>
      </c>
      <c r="J45" s="1750"/>
    </row>
    <row r="46" spans="1:10" ht="15.75" customHeight="1">
      <c r="A46" s="1780"/>
      <c r="B46" s="1784"/>
      <c r="C46" s="317" t="s">
        <v>2107</v>
      </c>
      <c r="D46" s="1781">
        <v>0.1</v>
      </c>
      <c r="E46" s="413" t="s">
        <v>2069</v>
      </c>
      <c r="F46" s="1751">
        <f>'Bahan &amp; Upah'!C$339</f>
        <v>102689.88</v>
      </c>
      <c r="G46" s="1785">
        <f>F46*D46</f>
        <v>10268.988000000001</v>
      </c>
      <c r="H46" s="1749">
        <v>1</v>
      </c>
      <c r="I46" s="1752">
        <f>(G46/G$51)*H46</f>
        <v>7.6402146698416173E-3</v>
      </c>
      <c r="J46" s="1750"/>
    </row>
    <row r="47" spans="1:10" ht="15.75" customHeight="1">
      <c r="A47" s="1780"/>
      <c r="B47" s="1784"/>
      <c r="C47" s="1753" t="s">
        <v>2108</v>
      </c>
      <c r="D47" s="1781"/>
      <c r="E47" s="413"/>
      <c r="F47" s="320"/>
      <c r="G47" s="361">
        <f>SUM(G42:G46)</f>
        <v>404484.08800000005</v>
      </c>
      <c r="H47" s="1749"/>
      <c r="I47" s="1754">
        <f>SUM(I42:I46)</f>
        <v>0.30093961185416784</v>
      </c>
      <c r="J47" s="1750"/>
    </row>
    <row r="48" spans="1:10" ht="15.75" customHeight="1">
      <c r="A48" s="1780"/>
      <c r="B48" s="1739" t="s">
        <v>1048</v>
      </c>
      <c r="C48" s="1755" t="s">
        <v>2109</v>
      </c>
      <c r="D48" s="1781"/>
      <c r="E48" s="413"/>
      <c r="F48" s="320"/>
      <c r="G48" s="320"/>
      <c r="H48" s="1749"/>
      <c r="I48" s="1749"/>
      <c r="J48" s="1750"/>
    </row>
    <row r="49" spans="1:10" ht="15.75" customHeight="1">
      <c r="A49" s="1780"/>
      <c r="B49" s="1739"/>
      <c r="C49" s="1755"/>
      <c r="D49" s="1781"/>
      <c r="E49" s="413"/>
      <c r="F49" s="320"/>
      <c r="G49" s="1785">
        <f>F49*D49</f>
        <v>0</v>
      </c>
      <c r="H49" s="1749"/>
      <c r="I49" s="1749"/>
      <c r="J49" s="1750"/>
    </row>
    <row r="50" spans="1:10" ht="15.75" customHeight="1">
      <c r="A50" s="1780"/>
      <c r="B50" s="1784"/>
      <c r="C50" s="1753" t="s">
        <v>2110</v>
      </c>
      <c r="D50" s="1781"/>
      <c r="E50" s="413"/>
      <c r="F50" s="320"/>
      <c r="G50" s="361">
        <f>SUM(G49)</f>
        <v>0</v>
      </c>
      <c r="H50" s="1749"/>
      <c r="I50" s="1749"/>
      <c r="J50" s="1750"/>
    </row>
    <row r="51" spans="1:10" ht="15.75" customHeight="1">
      <c r="A51" s="1780"/>
      <c r="B51" s="1739" t="s">
        <v>979</v>
      </c>
      <c r="C51" s="1762" t="s">
        <v>2092</v>
      </c>
      <c r="D51" s="1763"/>
      <c r="E51" s="1764"/>
      <c r="F51" s="1765"/>
      <c r="G51" s="1765">
        <f>G40+G47+G50</f>
        <v>1344070.6110700001</v>
      </c>
      <c r="H51" s="1749"/>
      <c r="I51" s="1766">
        <f>I40+I47</f>
        <v>0.80437168873019416</v>
      </c>
      <c r="J51" s="1750"/>
    </row>
    <row r="52" spans="1:10" ht="15.75" customHeight="1">
      <c r="A52" s="1780"/>
      <c r="B52" s="1739" t="s">
        <v>2093</v>
      </c>
      <c r="C52" s="1762" t="s">
        <v>2094</v>
      </c>
      <c r="D52" s="1767">
        <f>M$4</f>
        <v>0.15</v>
      </c>
      <c r="E52" s="1768"/>
      <c r="F52" s="1765"/>
      <c r="G52" s="1765">
        <f>G51*D52</f>
        <v>201610.59166050001</v>
      </c>
      <c r="H52" s="1749"/>
      <c r="I52" s="1749"/>
      <c r="J52" s="1750"/>
    </row>
    <row r="53" spans="1:10" ht="15.75" customHeight="1">
      <c r="A53" s="1786"/>
      <c r="B53" s="1787" t="s">
        <v>2095</v>
      </c>
      <c r="C53" s="1788" t="s">
        <v>2111</v>
      </c>
      <c r="D53" s="1772"/>
      <c r="E53" s="1773"/>
      <c r="F53" s="1774"/>
      <c r="G53" s="1775">
        <f>ROUNDUP((G51+G52),2)</f>
        <v>1545681.21</v>
      </c>
      <c r="H53" s="1776"/>
      <c r="I53" s="1776"/>
      <c r="J53" s="1789"/>
    </row>
    <row r="54" spans="1:10" ht="15.75" customHeight="1">
      <c r="A54" s="1733"/>
      <c r="B54" s="1733"/>
      <c r="C54" s="1733"/>
      <c r="D54" s="1733"/>
      <c r="E54" s="1733"/>
      <c r="F54" s="1733"/>
      <c r="G54" s="1733"/>
      <c r="H54" s="1733"/>
      <c r="I54" s="1733"/>
      <c r="J54" s="1733"/>
    </row>
    <row r="55" spans="1:10" ht="30" customHeight="1">
      <c r="A55" s="1736">
        <f>A33+1</f>
        <v>3</v>
      </c>
      <c r="B55" s="1790" t="s">
        <v>2112</v>
      </c>
      <c r="C55" s="3277" t="s">
        <v>2113</v>
      </c>
      <c r="D55" s="3277"/>
      <c r="E55" s="3277"/>
      <c r="F55" s="3277"/>
      <c r="G55" s="3277"/>
      <c r="H55" s="3277"/>
      <c r="I55" s="3277"/>
      <c r="J55" s="3277"/>
    </row>
    <row r="56" spans="1:10" ht="15.75" customHeight="1">
      <c r="A56" s="1791"/>
      <c r="B56" s="1739" t="s">
        <v>1004</v>
      </c>
      <c r="C56" s="1740" t="s">
        <v>2075</v>
      </c>
      <c r="D56" s="1781"/>
      <c r="E56" s="413"/>
      <c r="F56" s="320"/>
      <c r="G56" s="320"/>
      <c r="H56" s="1744"/>
      <c r="I56" s="1744"/>
      <c r="J56" s="1745"/>
    </row>
    <row r="57" spans="1:10" ht="15.75" customHeight="1">
      <c r="A57" s="1792"/>
      <c r="B57" s="1784"/>
      <c r="C57" s="317" t="s">
        <v>2114</v>
      </c>
      <c r="D57" s="1781">
        <v>3.1E-2</v>
      </c>
      <c r="E57" s="326" t="s">
        <v>103</v>
      </c>
      <c r="F57" s="1748">
        <f>'Bahan &amp; Upah'!C97</f>
        <v>6503424.4100000001</v>
      </c>
      <c r="G57" s="332">
        <f>F57*D57</f>
        <v>201606.15671000001</v>
      </c>
      <c r="H57" s="1793">
        <v>1</v>
      </c>
      <c r="I57" s="1793">
        <f t="shared" ref="I57:I63" si="1">(G57/G$75)*H57</f>
        <v>0.49224392352616791</v>
      </c>
      <c r="J57" s="1750"/>
    </row>
    <row r="58" spans="1:10" ht="15.75" customHeight="1">
      <c r="A58" s="1792"/>
      <c r="B58" s="1784"/>
      <c r="C58" s="317" t="s">
        <v>2115</v>
      </c>
      <c r="D58" s="1781">
        <v>1.3125</v>
      </c>
      <c r="E58" s="326" t="s">
        <v>2086</v>
      </c>
      <c r="F58" s="1748">
        <f>'Bahan &amp; Upah'!C$75</f>
        <v>103603.57</v>
      </c>
      <c r="G58" s="332">
        <f>F58*D58</f>
        <v>135979.68562500001</v>
      </c>
      <c r="H58" s="1793">
        <v>1</v>
      </c>
      <c r="I58" s="1793">
        <f t="shared" si="1"/>
        <v>0.33200957284349025</v>
      </c>
      <c r="J58" s="1750"/>
    </row>
    <row r="59" spans="1:10" ht="15.75" customHeight="1">
      <c r="A59" s="1792"/>
      <c r="B59" s="1784"/>
      <c r="C59" s="317" t="s">
        <v>2116</v>
      </c>
      <c r="D59" s="1781">
        <v>0.42709999999999998</v>
      </c>
      <c r="E59" s="413" t="s">
        <v>2117</v>
      </c>
      <c r="F59" s="1748">
        <f>'Bahan &amp; Upah'!C54</f>
        <v>36067.67</v>
      </c>
      <c r="G59" s="332">
        <f>F59*D59</f>
        <v>15404.501856999999</v>
      </c>
      <c r="H59" s="1749">
        <v>0.27879999999999999</v>
      </c>
      <c r="I59" s="1793">
        <f t="shared" si="1"/>
        <v>1.0486172590729719E-2</v>
      </c>
      <c r="J59" s="1750"/>
    </row>
    <row r="60" spans="1:10" ht="15.75" customHeight="1">
      <c r="A60" s="1792"/>
      <c r="B60" s="1784"/>
      <c r="C60" s="317" t="s">
        <v>2118</v>
      </c>
      <c r="D60" s="1781">
        <v>26.405999999999999</v>
      </c>
      <c r="E60" s="413" t="s">
        <v>100</v>
      </c>
      <c r="F60" s="1748">
        <f>'Bahan &amp; Upah'!C27</f>
        <v>1792.44</v>
      </c>
      <c r="G60" s="332"/>
      <c r="H60" s="1749">
        <v>0.91900000000000004</v>
      </c>
      <c r="I60" s="1793">
        <f t="shared" si="1"/>
        <v>0</v>
      </c>
      <c r="J60" s="1750"/>
    </row>
    <row r="61" spans="1:10" ht="15.75" customHeight="1">
      <c r="A61" s="1792"/>
      <c r="B61" s="1784"/>
      <c r="C61" s="317" t="s">
        <v>2082</v>
      </c>
      <c r="D61" s="1781">
        <f>61.56/1600</f>
        <v>3.8475000000000002E-2</v>
      </c>
      <c r="E61" s="413" t="s">
        <v>100</v>
      </c>
      <c r="F61" s="1748">
        <f>'Bahan &amp; Upah'!C12</f>
        <v>426564.14</v>
      </c>
      <c r="G61" s="332"/>
      <c r="H61" s="1793">
        <v>1</v>
      </c>
      <c r="I61" s="1793">
        <f t="shared" si="1"/>
        <v>0</v>
      </c>
      <c r="J61" s="1750"/>
    </row>
    <row r="62" spans="1:10" ht="15.75" customHeight="1">
      <c r="A62" s="1792"/>
      <c r="B62" s="1784"/>
      <c r="C62" s="317" t="s">
        <v>2119</v>
      </c>
      <c r="D62" s="1781">
        <f>83.349/1450</f>
        <v>5.7482068965517247E-2</v>
      </c>
      <c r="E62" s="413" t="s">
        <v>2117</v>
      </c>
      <c r="F62" s="1748">
        <f>'Bahan &amp; Upah'!C16</f>
        <v>321445.17</v>
      </c>
      <c r="G62" s="332"/>
      <c r="H62" s="1793">
        <v>1</v>
      </c>
      <c r="I62" s="1793">
        <f t="shared" si="1"/>
        <v>0</v>
      </c>
      <c r="J62" s="1750"/>
    </row>
    <row r="63" spans="1:10" ht="15.75" customHeight="1">
      <c r="A63" s="1792"/>
      <c r="B63" s="1784"/>
      <c r="C63" s="317" t="s">
        <v>2120</v>
      </c>
      <c r="D63" s="1781">
        <v>17.414999999999999</v>
      </c>
      <c r="E63" s="413" t="s">
        <v>2121</v>
      </c>
      <c r="F63" s="1748">
        <f>'Bahan &amp; Upah'!C32</f>
        <v>546.59</v>
      </c>
      <c r="G63" s="1794"/>
      <c r="H63" s="1793">
        <v>1</v>
      </c>
      <c r="I63" s="1795">
        <f t="shared" si="1"/>
        <v>0</v>
      </c>
      <c r="J63" s="1750"/>
    </row>
    <row r="64" spans="1:10" ht="15.75" customHeight="1">
      <c r="A64" s="1792"/>
      <c r="B64" s="1784"/>
      <c r="C64" s="1753" t="s">
        <v>2122</v>
      </c>
      <c r="D64" s="1781"/>
      <c r="E64" s="413"/>
      <c r="F64" s="320"/>
      <c r="G64" s="361">
        <f>SUM(G57:G63)</f>
        <v>352990.34419200005</v>
      </c>
      <c r="H64" s="1793"/>
      <c r="I64" s="1796">
        <f>SUM(I57:I63)</f>
        <v>0.83473966896038787</v>
      </c>
      <c r="J64" s="1750"/>
    </row>
    <row r="65" spans="1:10" ht="15.75" customHeight="1">
      <c r="A65" s="1792"/>
      <c r="B65" s="1739" t="s">
        <v>1015</v>
      </c>
      <c r="C65" s="1755" t="s">
        <v>2123</v>
      </c>
      <c r="D65" s="1781"/>
      <c r="E65" s="413"/>
      <c r="F65" s="320"/>
      <c r="G65" s="332"/>
      <c r="H65" s="1793"/>
      <c r="I65" s="1793"/>
      <c r="J65" s="1750"/>
    </row>
    <row r="66" spans="1:10" ht="15.75" customHeight="1">
      <c r="A66" s="1792"/>
      <c r="B66" s="1784"/>
      <c r="C66" s="317" t="s">
        <v>2103</v>
      </c>
      <c r="D66" s="1781">
        <v>0.25</v>
      </c>
      <c r="E66" s="413" t="s">
        <v>2069</v>
      </c>
      <c r="F66" s="1747">
        <f>'Bahan &amp; Upah'!C$336</f>
        <v>96332.65</v>
      </c>
      <c r="G66" s="332">
        <f>F66*D66</f>
        <v>24083.162499999999</v>
      </c>
      <c r="H66" s="1793">
        <v>1</v>
      </c>
      <c r="I66" s="1793">
        <f>(G66/G$75)*H66</f>
        <v>5.8801728049261787E-2</v>
      </c>
      <c r="J66" s="1750"/>
    </row>
    <row r="67" spans="1:10" ht="15.75" customHeight="1">
      <c r="A67" s="1792"/>
      <c r="B67" s="1784"/>
      <c r="C67" s="317" t="s">
        <v>2104</v>
      </c>
      <c r="D67" s="1781">
        <v>0.125</v>
      </c>
      <c r="E67" s="413" t="s">
        <v>2069</v>
      </c>
      <c r="F67" s="1747">
        <f>'Bahan &amp; Upah'!C$337</f>
        <v>114133.55</v>
      </c>
      <c r="G67" s="332">
        <f>F67*D67</f>
        <v>14266.69375</v>
      </c>
      <c r="H67" s="1793">
        <v>1</v>
      </c>
      <c r="I67" s="1793">
        <f>(G67/G$75)*H67</f>
        <v>3.4833724435053032E-2</v>
      </c>
      <c r="J67" s="1750"/>
    </row>
    <row r="68" spans="1:10" ht="15.75" customHeight="1">
      <c r="A68" s="1792"/>
      <c r="B68" s="1784"/>
      <c r="C68" s="317" t="s">
        <v>2124</v>
      </c>
      <c r="D68" s="1781">
        <v>0.125</v>
      </c>
      <c r="E68" s="413" t="s">
        <v>2069</v>
      </c>
      <c r="F68" s="1747">
        <f>'Bahan &amp; Upah'!C$337</f>
        <v>114133.55</v>
      </c>
      <c r="G68" s="332">
        <f>F68*D68</f>
        <v>14266.69375</v>
      </c>
      <c r="H68" s="1793">
        <v>1</v>
      </c>
      <c r="I68" s="1793">
        <f>(G68/G$75)*H68</f>
        <v>3.4833724435053032E-2</v>
      </c>
      <c r="J68" s="1750"/>
    </row>
    <row r="69" spans="1:10" ht="15.75" customHeight="1">
      <c r="A69" s="1792"/>
      <c r="B69" s="1784"/>
      <c r="C69" s="317" t="s">
        <v>2072</v>
      </c>
      <c r="D69" s="1781">
        <v>2.5000000000000001E-2</v>
      </c>
      <c r="E69" s="413" t="s">
        <v>2069</v>
      </c>
      <c r="F69" s="1748">
        <f>'Bahan &amp; Upah'!C$338</f>
        <v>125485.75</v>
      </c>
      <c r="G69" s="332">
        <f>F69*D69</f>
        <v>3137.1437500000002</v>
      </c>
      <c r="H69" s="1793">
        <v>1</v>
      </c>
      <c r="I69" s="1793">
        <f>(G69/G$75)*H69</f>
        <v>7.6596864568322914E-3</v>
      </c>
      <c r="J69" s="1750"/>
    </row>
    <row r="70" spans="1:10" ht="15.75" customHeight="1">
      <c r="A70" s="1792"/>
      <c r="B70" s="1784"/>
      <c r="C70" s="317" t="s">
        <v>2107</v>
      </c>
      <c r="D70" s="1781">
        <v>8.0000000000000002E-3</v>
      </c>
      <c r="E70" s="413" t="s">
        <v>2069</v>
      </c>
      <c r="F70" s="1751">
        <f>'Bahan &amp; Upah'!C$339</f>
        <v>102689.88</v>
      </c>
      <c r="G70" s="1794">
        <f>F70*D70</f>
        <v>821.51904000000002</v>
      </c>
      <c r="H70" s="1793">
        <v>1</v>
      </c>
      <c r="I70" s="1795">
        <f>(G70/G$75)*H70</f>
        <v>2.0058303878226383E-3</v>
      </c>
      <c r="J70" s="1750"/>
    </row>
    <row r="71" spans="1:10" ht="15.75" customHeight="1">
      <c r="A71" s="1792"/>
      <c r="B71" s="1784"/>
      <c r="C71" s="1753" t="s">
        <v>2108</v>
      </c>
      <c r="D71" s="1781"/>
      <c r="E71" s="413"/>
      <c r="F71" s="320"/>
      <c r="G71" s="361">
        <f>SUM(G66:G70)</f>
        <v>56575.212789999998</v>
      </c>
      <c r="H71" s="1793"/>
      <c r="I71" s="1796">
        <f>SUM(I66:I70)</f>
        <v>0.13813469376402279</v>
      </c>
      <c r="J71" s="1750"/>
    </row>
    <row r="72" spans="1:10" ht="15.75" customHeight="1">
      <c r="A72" s="1792"/>
      <c r="B72" s="1739" t="s">
        <v>1048</v>
      </c>
      <c r="C72" s="1755" t="s">
        <v>2109</v>
      </c>
      <c r="D72" s="1781"/>
      <c r="E72" s="413"/>
      <c r="F72" s="320"/>
      <c r="G72" s="320"/>
      <c r="H72" s="1793"/>
      <c r="I72" s="1793"/>
      <c r="J72" s="1750"/>
    </row>
    <row r="73" spans="1:10" ht="15.75" customHeight="1">
      <c r="A73" s="1792"/>
      <c r="B73" s="1739"/>
      <c r="C73" s="1755"/>
      <c r="D73" s="1781"/>
      <c r="E73" s="413"/>
      <c r="F73" s="320"/>
      <c r="G73" s="1785">
        <f>F73*D73</f>
        <v>0</v>
      </c>
      <c r="H73" s="1793"/>
      <c r="I73" s="1793"/>
      <c r="J73" s="1750"/>
    </row>
    <row r="74" spans="1:10" ht="15.75" customHeight="1">
      <c r="A74" s="1792"/>
      <c r="B74" s="1784"/>
      <c r="C74" s="1753" t="s">
        <v>2110</v>
      </c>
      <c r="D74" s="1781"/>
      <c r="E74" s="413"/>
      <c r="F74" s="320"/>
      <c r="G74" s="361">
        <f>SUM(G73)</f>
        <v>0</v>
      </c>
      <c r="H74" s="1793"/>
      <c r="I74" s="1793"/>
      <c r="J74" s="1750"/>
    </row>
    <row r="75" spans="1:10" ht="15.75" customHeight="1">
      <c r="A75" s="1792"/>
      <c r="B75" s="1739" t="s">
        <v>979</v>
      </c>
      <c r="C75" s="1762" t="s">
        <v>2092</v>
      </c>
      <c r="D75" s="1763"/>
      <c r="E75" s="1764"/>
      <c r="F75" s="1765"/>
      <c r="G75" s="1765">
        <f>G64+G71+G74</f>
        <v>409565.55698200007</v>
      </c>
      <c r="H75" s="1793"/>
      <c r="I75" s="1797">
        <f>I64+I71</f>
        <v>0.97287436272441064</v>
      </c>
      <c r="J75" s="1750"/>
    </row>
    <row r="76" spans="1:10" ht="15.75" customHeight="1">
      <c r="A76" s="1792"/>
      <c r="B76" s="1739" t="s">
        <v>2093</v>
      </c>
      <c r="C76" s="1762" t="s">
        <v>2094</v>
      </c>
      <c r="D76" s="1767">
        <f>M$4</f>
        <v>0.15</v>
      </c>
      <c r="E76" s="1768"/>
      <c r="F76" s="1765"/>
      <c r="G76" s="1765">
        <f>G75*D76</f>
        <v>61434.833547300004</v>
      </c>
      <c r="H76" s="1793"/>
      <c r="I76" s="1793"/>
      <c r="J76" s="1750"/>
    </row>
    <row r="77" spans="1:10" ht="15.75" customHeight="1">
      <c r="A77" s="1798"/>
      <c r="B77" s="1787" t="s">
        <v>2095</v>
      </c>
      <c r="C77" s="1788" t="s">
        <v>2111</v>
      </c>
      <c r="D77" s="1772"/>
      <c r="E77" s="1773"/>
      <c r="F77" s="1774"/>
      <c r="G77" s="1775">
        <f>ROUNDUP((G75+G76),2)</f>
        <v>471000.4</v>
      </c>
      <c r="H77" s="1799"/>
      <c r="I77" s="1799"/>
      <c r="J77" s="1789"/>
    </row>
    <row r="78" spans="1:10" ht="15.75" customHeight="1">
      <c r="A78" s="1733"/>
      <c r="B78" s="1733"/>
      <c r="C78" s="1733"/>
      <c r="D78" s="1733"/>
      <c r="E78" s="1733"/>
      <c r="F78" s="1733"/>
      <c r="G78" s="1733"/>
      <c r="H78" s="28"/>
      <c r="I78" s="28"/>
      <c r="J78" s="1733"/>
    </row>
    <row r="79" spans="1:10" ht="30" customHeight="1">
      <c r="A79" s="1778">
        <f>A55+1</f>
        <v>4</v>
      </c>
      <c r="B79" s="1779" t="s">
        <v>2125</v>
      </c>
      <c r="C79" s="3278" t="s">
        <v>2126</v>
      </c>
      <c r="D79" s="3278"/>
      <c r="E79" s="3278"/>
      <c r="F79" s="3278"/>
      <c r="G79" s="3278"/>
      <c r="H79" s="1800"/>
      <c r="I79" s="1800"/>
      <c r="J79" s="1801"/>
    </row>
    <row r="80" spans="1:10" ht="15.75" customHeight="1">
      <c r="A80" s="1780"/>
      <c r="B80" s="1739" t="s">
        <v>1004</v>
      </c>
      <c r="C80" s="1755" t="s">
        <v>2075</v>
      </c>
      <c r="D80" s="1781"/>
      <c r="E80" s="413"/>
      <c r="F80" s="320"/>
      <c r="G80" s="320"/>
      <c r="H80" s="1802"/>
      <c r="I80" s="1802"/>
      <c r="J80" s="1803"/>
    </row>
    <row r="81" spans="1:10" ht="15.75" customHeight="1">
      <c r="A81" s="1780"/>
      <c r="B81" s="1784"/>
      <c r="C81" s="317" t="s">
        <v>2127</v>
      </c>
      <c r="D81" s="1781">
        <v>1.2999999999999999E-2</v>
      </c>
      <c r="E81" s="326" t="s">
        <v>103</v>
      </c>
      <c r="F81" s="1748">
        <f>'Bahan &amp; Upah'!C98</f>
        <v>8395042.6699999999</v>
      </c>
      <c r="G81" s="332">
        <f>F81*D81</f>
        <v>109135.55471</v>
      </c>
      <c r="H81" s="1749">
        <v>1</v>
      </c>
      <c r="I81" s="1749">
        <f>(G81/G$94)*H81</f>
        <v>0.71774141802206948</v>
      </c>
      <c r="J81" s="1750"/>
    </row>
    <row r="82" spans="1:10" ht="15.75" customHeight="1">
      <c r="A82" s="1780"/>
      <c r="B82" s="1784"/>
      <c r="C82" s="317" t="s">
        <v>2128</v>
      </c>
      <c r="D82" s="1781">
        <v>7.0000000000000001E-3</v>
      </c>
      <c r="E82" s="326" t="s">
        <v>103</v>
      </c>
      <c r="F82" s="1748">
        <f>'Bahan &amp; Upah'!C100</f>
        <v>5736845.7699999996</v>
      </c>
      <c r="G82" s="332">
        <f>F82*D82</f>
        <v>40157.920389999999</v>
      </c>
      <c r="H82" s="1749">
        <v>1</v>
      </c>
      <c r="I82" s="1749">
        <f>(G82/G$94)*H82</f>
        <v>0.26410277385885639</v>
      </c>
      <c r="J82" s="1750"/>
    </row>
    <row r="83" spans="1:10" ht="15.75" customHeight="1">
      <c r="A83" s="1780"/>
      <c r="B83" s="1784"/>
      <c r="C83" s="317" t="s">
        <v>2078</v>
      </c>
      <c r="D83" s="1781">
        <v>0.02</v>
      </c>
      <c r="E83" s="413" t="s">
        <v>100</v>
      </c>
      <c r="F83" s="1748">
        <f>'Bahan &amp; Upah'!C54</f>
        <v>36067.67</v>
      </c>
      <c r="G83" s="1785">
        <f>F83*D83</f>
        <v>721.35339999999997</v>
      </c>
      <c r="H83" s="1749">
        <v>0.27879999999999999</v>
      </c>
      <c r="I83" s="1752">
        <f>(G83/G$94)*H83</f>
        <v>1.3226428870774945E-3</v>
      </c>
      <c r="J83" s="1750"/>
    </row>
    <row r="84" spans="1:10" ht="15.75" customHeight="1">
      <c r="A84" s="1780"/>
      <c r="B84" s="1784"/>
      <c r="C84" s="1753" t="s">
        <v>2074</v>
      </c>
      <c r="D84" s="1781"/>
      <c r="E84" s="413"/>
      <c r="F84" s="320"/>
      <c r="G84" s="361">
        <f>SUM(G81:G83)</f>
        <v>150014.82849999997</v>
      </c>
      <c r="H84" s="1749"/>
      <c r="I84" s="1754">
        <f>SUM(I81:I83)</f>
        <v>0.98316683476800337</v>
      </c>
      <c r="J84" s="1750"/>
    </row>
    <row r="85" spans="1:10" ht="15.75" customHeight="1">
      <c r="A85" s="1780"/>
      <c r="B85" s="1739" t="s">
        <v>1015</v>
      </c>
      <c r="C85" s="1755" t="s">
        <v>2067</v>
      </c>
      <c r="D85" s="1781"/>
      <c r="E85" s="413"/>
      <c r="F85" s="320"/>
      <c r="G85" s="320"/>
      <c r="H85" s="1749"/>
      <c r="I85" s="1749"/>
      <c r="J85" s="1750"/>
    </row>
    <row r="86" spans="1:10" ht="15.75" customHeight="1">
      <c r="A86" s="1780"/>
      <c r="B86" s="1784"/>
      <c r="C86" s="317" t="s">
        <v>2103</v>
      </c>
      <c r="D86" s="1781">
        <v>1.2E-2</v>
      </c>
      <c r="E86" s="413" t="s">
        <v>2069</v>
      </c>
      <c r="F86" s="1747">
        <f>'Bahan &amp; Upah'!C$336</f>
        <v>96332.65</v>
      </c>
      <c r="G86" s="332">
        <f>F86*D86</f>
        <v>1155.9918</v>
      </c>
      <c r="H86" s="1749">
        <v>1</v>
      </c>
      <c r="I86" s="1749">
        <f>(G86/G$94)*H86</f>
        <v>7.6025012742969968E-3</v>
      </c>
      <c r="J86" s="1750"/>
    </row>
    <row r="87" spans="1:10" ht="15.75" customHeight="1">
      <c r="A87" s="1780"/>
      <c r="B87" s="1784"/>
      <c r="C87" s="317" t="s">
        <v>2104</v>
      </c>
      <c r="D87" s="1781">
        <v>6.0000000000000001E-3</v>
      </c>
      <c r="E87" s="413" t="s">
        <v>2069</v>
      </c>
      <c r="F87" s="1747">
        <f>'Bahan &amp; Upah'!C$337</f>
        <v>114133.55</v>
      </c>
      <c r="G87" s="332">
        <f>F87*D87</f>
        <v>684.80130000000008</v>
      </c>
      <c r="H87" s="1749">
        <v>1</v>
      </c>
      <c r="I87" s="1749">
        <f>(G87/G$94)*H87</f>
        <v>4.5036675484118839E-3</v>
      </c>
      <c r="J87" s="1750"/>
    </row>
    <row r="88" spans="1:10" ht="15.75" customHeight="1">
      <c r="A88" s="1780"/>
      <c r="B88" s="1784"/>
      <c r="C88" s="317" t="s">
        <v>2105</v>
      </c>
      <c r="D88" s="1781">
        <v>5.9999999999999995E-4</v>
      </c>
      <c r="E88" s="413" t="s">
        <v>2069</v>
      </c>
      <c r="F88" s="1748">
        <f>'Bahan &amp; Upah'!C$338</f>
        <v>125485.75</v>
      </c>
      <c r="G88" s="332">
        <f>F88*D88</f>
        <v>75.291449999999998</v>
      </c>
      <c r="H88" s="1749">
        <v>1</v>
      </c>
      <c r="I88" s="1749">
        <f>(G88/G$94)*H88</f>
        <v>4.9516211496367763E-4</v>
      </c>
      <c r="J88" s="1750"/>
    </row>
    <row r="89" spans="1:10" ht="15.75" customHeight="1">
      <c r="A89" s="1780"/>
      <c r="B89" s="1784"/>
      <c r="C89" s="317" t="s">
        <v>2107</v>
      </c>
      <c r="D89" s="1781">
        <v>1.1999999999999999E-3</v>
      </c>
      <c r="E89" s="413" t="s">
        <v>2069</v>
      </c>
      <c r="F89" s="1751">
        <f>'Bahan &amp; Upah'!C$339</f>
        <v>102689.88</v>
      </c>
      <c r="G89" s="1785">
        <f>F89*D89</f>
        <v>123.22785599999999</v>
      </c>
      <c r="H89" s="1749">
        <v>1</v>
      </c>
      <c r="I89" s="1752">
        <f>(G89/G$94)*H89</f>
        <v>8.1042091498303602E-4</v>
      </c>
      <c r="J89" s="1750"/>
    </row>
    <row r="90" spans="1:10" ht="15.75" customHeight="1">
      <c r="A90" s="1780"/>
      <c r="B90" s="1784"/>
      <c r="C90" s="1753" t="s">
        <v>2108</v>
      </c>
      <c r="D90" s="1781"/>
      <c r="E90" s="413"/>
      <c r="F90" s="317"/>
      <c r="G90" s="361">
        <f>SUM(G86:G89)</f>
        <v>2039.312406</v>
      </c>
      <c r="H90" s="1749"/>
      <c r="I90" s="1754">
        <f>SUM(I86:I89)</f>
        <v>1.3411751852655595E-2</v>
      </c>
      <c r="J90" s="1750"/>
    </row>
    <row r="91" spans="1:10" ht="15.75" customHeight="1">
      <c r="A91" s="1780"/>
      <c r="B91" s="1739" t="s">
        <v>1048</v>
      </c>
      <c r="C91" s="1755" t="s">
        <v>2109</v>
      </c>
      <c r="D91" s="1781"/>
      <c r="E91" s="413"/>
      <c r="F91" s="320"/>
      <c r="G91" s="320"/>
      <c r="H91" s="1749"/>
      <c r="I91" s="1749"/>
      <c r="J91" s="1750"/>
    </row>
    <row r="92" spans="1:10" ht="15.75" customHeight="1">
      <c r="A92" s="1780"/>
      <c r="B92" s="1739"/>
      <c r="C92" s="1755"/>
      <c r="D92" s="1781"/>
      <c r="E92" s="413"/>
      <c r="F92" s="320"/>
      <c r="G92" s="1785">
        <f>F92*D92</f>
        <v>0</v>
      </c>
      <c r="H92" s="1749"/>
      <c r="I92" s="1749"/>
      <c r="J92" s="1750"/>
    </row>
    <row r="93" spans="1:10" ht="15.75" customHeight="1">
      <c r="A93" s="1780"/>
      <c r="B93" s="1784"/>
      <c r="C93" s="1753" t="s">
        <v>2110</v>
      </c>
      <c r="D93" s="1781"/>
      <c r="E93" s="413"/>
      <c r="F93" s="320"/>
      <c r="G93" s="361">
        <f>SUM(G92)</f>
        <v>0</v>
      </c>
      <c r="H93" s="1749"/>
      <c r="I93" s="1749"/>
      <c r="J93" s="1750"/>
    </row>
    <row r="94" spans="1:10" ht="15.75" customHeight="1">
      <c r="A94" s="1780"/>
      <c r="B94" s="1739" t="s">
        <v>979</v>
      </c>
      <c r="C94" s="1804" t="s">
        <v>2129</v>
      </c>
      <c r="D94" s="1763"/>
      <c r="E94" s="1764"/>
      <c r="F94" s="1765"/>
      <c r="G94" s="1765">
        <f>G84+G90+G93</f>
        <v>152054.14090599999</v>
      </c>
      <c r="H94" s="1749"/>
      <c r="I94" s="1766">
        <f>I84+I90</f>
        <v>0.99657858662065901</v>
      </c>
      <c r="J94" s="1750"/>
    </row>
    <row r="95" spans="1:10" ht="15.75" customHeight="1">
      <c r="A95" s="1780"/>
      <c r="B95" s="1739" t="s">
        <v>2093</v>
      </c>
      <c r="C95" s="1762" t="s">
        <v>2094</v>
      </c>
      <c r="D95" s="1767">
        <f>M$4</f>
        <v>0.15</v>
      </c>
      <c r="E95" s="1768"/>
      <c r="F95" s="1765"/>
      <c r="G95" s="1765">
        <f>G94*D95</f>
        <v>22808.121135899997</v>
      </c>
      <c r="H95" s="1749"/>
      <c r="I95" s="1749"/>
      <c r="J95" s="1750"/>
    </row>
    <row r="96" spans="1:10" ht="15.75" customHeight="1">
      <c r="A96" s="1786"/>
      <c r="B96" s="1787" t="s">
        <v>2095</v>
      </c>
      <c r="C96" s="1788" t="s">
        <v>2111</v>
      </c>
      <c r="D96" s="1772"/>
      <c r="E96" s="1773"/>
      <c r="F96" s="1774"/>
      <c r="G96" s="1775">
        <f>ROUNDUP((G94+G95),2)</f>
        <v>174862.27000000002</v>
      </c>
      <c r="H96" s="1776"/>
      <c r="I96" s="1776"/>
      <c r="J96" s="1789"/>
    </row>
    <row r="97" spans="1:10" ht="15.75" customHeight="1">
      <c r="A97" s="1733"/>
      <c r="B97" s="1733"/>
      <c r="C97" s="1733"/>
      <c r="D97" s="1733"/>
      <c r="E97" s="1733"/>
      <c r="F97" s="1733"/>
      <c r="G97" s="1733"/>
      <c r="H97" s="28"/>
      <c r="I97" s="28"/>
      <c r="J97" s="1733"/>
    </row>
    <row r="98" spans="1:10" ht="15.75" customHeight="1">
      <c r="A98" s="1778">
        <f>A79+1</f>
        <v>5</v>
      </c>
      <c r="B98" s="1805" t="s">
        <v>2130</v>
      </c>
      <c r="C98" s="1806" t="s">
        <v>2131</v>
      </c>
      <c r="D98" s="1807"/>
      <c r="E98" s="1807"/>
      <c r="F98" s="1807"/>
      <c r="G98" s="1808"/>
      <c r="H98" s="1800"/>
      <c r="I98" s="1800"/>
      <c r="J98" s="1801"/>
    </row>
    <row r="99" spans="1:10" ht="15.75" customHeight="1">
      <c r="A99" s="1780"/>
      <c r="B99" s="1739" t="s">
        <v>1004</v>
      </c>
      <c r="C99" s="1755" t="s">
        <v>2075</v>
      </c>
      <c r="D99" s="1781"/>
      <c r="E99" s="413"/>
      <c r="F99" s="320"/>
      <c r="G99" s="320"/>
      <c r="H99" s="1802"/>
      <c r="I99" s="1802"/>
      <c r="J99" s="1803"/>
    </row>
    <row r="100" spans="1:10" ht="15.75" customHeight="1">
      <c r="A100" s="1780"/>
      <c r="B100" s="1784"/>
      <c r="C100" s="1753" t="s">
        <v>2074</v>
      </c>
      <c r="D100" s="1781"/>
      <c r="E100" s="413"/>
      <c r="F100" s="320"/>
      <c r="G100" s="361"/>
      <c r="H100" s="1749"/>
      <c r="I100" s="1754"/>
      <c r="J100" s="1750"/>
    </row>
    <row r="101" spans="1:10" ht="15.75" customHeight="1">
      <c r="A101" s="1780"/>
      <c r="B101" s="1739" t="s">
        <v>1015</v>
      </c>
      <c r="C101" s="1755" t="s">
        <v>2067</v>
      </c>
      <c r="D101" s="1781"/>
      <c r="E101" s="413"/>
      <c r="F101" s="320"/>
      <c r="G101" s="320"/>
      <c r="H101" s="1749"/>
      <c r="I101" s="1749"/>
      <c r="J101" s="1750"/>
    </row>
    <row r="102" spans="1:10" ht="15.75" customHeight="1">
      <c r="A102" s="1780"/>
      <c r="B102" s="1784"/>
      <c r="C102" s="317" t="s">
        <v>2103</v>
      </c>
      <c r="D102" s="1781">
        <v>1.2E-2</v>
      </c>
      <c r="E102" s="413" t="s">
        <v>2069</v>
      </c>
      <c r="F102" s="1747">
        <f>'Bahan &amp; Upah'!C$336</f>
        <v>96332.65</v>
      </c>
      <c r="G102" s="332">
        <f>F102*D102</f>
        <v>1155.9918</v>
      </c>
      <c r="H102" s="1749">
        <v>1</v>
      </c>
      <c r="I102" s="1749">
        <f>(G102/G$110)*H102</f>
        <v>0.30244594268924785</v>
      </c>
      <c r="J102" s="1750"/>
    </row>
    <row r="103" spans="1:10" ht="15.75" customHeight="1">
      <c r="A103" s="1780"/>
      <c r="B103" s="1784"/>
      <c r="C103" s="317" t="s">
        <v>2132</v>
      </c>
      <c r="D103" s="1781">
        <v>4.0000000000000001E-3</v>
      </c>
      <c r="E103" s="413" t="s">
        <v>2069</v>
      </c>
      <c r="F103" s="1747">
        <f>'Bahan &amp; Upah'!C$341</f>
        <v>235192.79</v>
      </c>
      <c r="G103" s="332">
        <f>F103*D103</f>
        <v>940.77116000000001</v>
      </c>
      <c r="H103" s="1749">
        <v>1</v>
      </c>
      <c r="I103" s="1749">
        <f>(G103/G$110)*H103</f>
        <v>0.24613705766862465</v>
      </c>
      <c r="J103" s="1750"/>
    </row>
    <row r="104" spans="1:10" ht="15.75" customHeight="1">
      <c r="A104" s="1780"/>
      <c r="B104" s="1784"/>
      <c r="C104" s="317" t="s">
        <v>2133</v>
      </c>
      <c r="D104" s="1781">
        <v>4.0000000000000001E-3</v>
      </c>
      <c r="E104" s="413" t="s">
        <v>2069</v>
      </c>
      <c r="F104" s="1748">
        <f>'Bahan &amp; Upah'!C$340</f>
        <v>168893.05</v>
      </c>
      <c r="G104" s="1794">
        <f>F104*D104</f>
        <v>675.57219999999995</v>
      </c>
      <c r="H104" s="1749">
        <v>1</v>
      </c>
      <c r="I104" s="1752">
        <f>(G104/G$110)*H104</f>
        <v>0.17675218014837912</v>
      </c>
      <c r="J104" s="1750"/>
    </row>
    <row r="105" spans="1:10" ht="15.75" customHeight="1">
      <c r="A105" s="1780"/>
      <c r="B105" s="1784"/>
      <c r="C105" s="1753" t="s">
        <v>2108</v>
      </c>
      <c r="D105" s="1781"/>
      <c r="E105" s="413"/>
      <c r="F105" s="320"/>
      <c r="G105" s="361">
        <f>SUM(G102:G104)</f>
        <v>2772.3351600000001</v>
      </c>
      <c r="H105" s="1749"/>
      <c r="I105" s="1754">
        <f>SUM(I102:I104)</f>
        <v>0.72533518050625156</v>
      </c>
      <c r="J105" s="1750"/>
    </row>
    <row r="106" spans="1:10" ht="15.75" customHeight="1">
      <c r="A106" s="1780"/>
      <c r="B106" s="1739" t="s">
        <v>1048</v>
      </c>
      <c r="C106" s="1755" t="s">
        <v>2109</v>
      </c>
      <c r="D106" s="1781"/>
      <c r="E106" s="413"/>
      <c r="F106" s="320"/>
      <c r="G106" s="320"/>
      <c r="H106" s="1749"/>
      <c r="I106" s="1749"/>
      <c r="J106" s="1750"/>
    </row>
    <row r="107" spans="1:10" ht="15.75" customHeight="1">
      <c r="A107" s="1780"/>
      <c r="B107" s="1739"/>
      <c r="C107" s="317" t="s">
        <v>2134</v>
      </c>
      <c r="D107" s="1781">
        <v>4.0000000000000001E-3</v>
      </c>
      <c r="E107" s="413" t="s">
        <v>2135</v>
      </c>
      <c r="F107" s="1747">
        <f>'Bahan &amp; Upah'!C$206</f>
        <v>105088.02</v>
      </c>
      <c r="G107" s="325">
        <f>F107*D107</f>
        <v>420.35208</v>
      </c>
      <c r="H107" s="1749">
        <v>1</v>
      </c>
      <c r="I107" s="1749">
        <f>(G107/G$110)*H107</f>
        <v>0.10997809940951668</v>
      </c>
      <c r="J107" s="1750"/>
    </row>
    <row r="108" spans="1:10" ht="15.75" customHeight="1">
      <c r="A108" s="1780"/>
      <c r="B108" s="1739"/>
      <c r="C108" s="317" t="s">
        <v>2136</v>
      </c>
      <c r="D108" s="1781">
        <v>4.0000000000000001E-3</v>
      </c>
      <c r="E108" s="413" t="s">
        <v>2135</v>
      </c>
      <c r="F108" s="1747">
        <f>'Bahan &amp; Upah'!C$207</f>
        <v>157364.07</v>
      </c>
      <c r="G108" s="1794">
        <f>F108*D108</f>
        <v>629.45627999999999</v>
      </c>
      <c r="H108" s="1749">
        <v>1</v>
      </c>
      <c r="I108" s="1752">
        <f>(G108/G$110)*H108</f>
        <v>0.16468672008423169</v>
      </c>
      <c r="J108" s="1750"/>
    </row>
    <row r="109" spans="1:10" ht="15.75" customHeight="1">
      <c r="A109" s="1780"/>
      <c r="B109" s="1784"/>
      <c r="C109" s="1753" t="s">
        <v>2110</v>
      </c>
      <c r="D109" s="1781"/>
      <c r="E109" s="413"/>
      <c r="F109" s="320"/>
      <c r="G109" s="361">
        <f>SUM(G107:G108)</f>
        <v>1049.80836</v>
      </c>
      <c r="H109" s="1749"/>
      <c r="I109" s="1754">
        <f>SUM(I107:I108)</f>
        <v>0.27466481949374838</v>
      </c>
      <c r="J109" s="1750"/>
    </row>
    <row r="110" spans="1:10" ht="15.75" customHeight="1">
      <c r="A110" s="1780"/>
      <c r="B110" s="1739" t="s">
        <v>979</v>
      </c>
      <c r="C110" s="1804" t="s">
        <v>2129</v>
      </c>
      <c r="D110" s="1763"/>
      <c r="E110" s="1764"/>
      <c r="F110" s="1765"/>
      <c r="G110" s="1765">
        <f>G100+G105+G109</f>
        <v>3822.1435200000001</v>
      </c>
      <c r="H110" s="1749"/>
      <c r="I110" s="1766">
        <f>I105+I109</f>
        <v>1</v>
      </c>
      <c r="J110" s="1750"/>
    </row>
    <row r="111" spans="1:10" ht="15.75" customHeight="1">
      <c r="A111" s="1780"/>
      <c r="B111" s="1739" t="s">
        <v>2093</v>
      </c>
      <c r="C111" s="1762" t="s">
        <v>2094</v>
      </c>
      <c r="D111" s="1767">
        <f>M$4</f>
        <v>0.15</v>
      </c>
      <c r="E111" s="1768"/>
      <c r="F111" s="1765"/>
      <c r="G111" s="1765">
        <f>G110*D111</f>
        <v>573.32152799999994</v>
      </c>
      <c r="H111" s="1749"/>
      <c r="I111" s="1749"/>
      <c r="J111" s="1750"/>
    </row>
    <row r="112" spans="1:10" ht="15.75" customHeight="1">
      <c r="A112" s="1786"/>
      <c r="B112" s="1787" t="s">
        <v>2095</v>
      </c>
      <c r="C112" s="1788" t="s">
        <v>2111</v>
      </c>
      <c r="D112" s="1772"/>
      <c r="E112" s="1773"/>
      <c r="F112" s="1774"/>
      <c r="G112" s="1775">
        <f>ROUNDUP((G110+G111),2)</f>
        <v>4395.47</v>
      </c>
      <c r="H112" s="1776"/>
      <c r="I112" s="1776"/>
      <c r="J112" s="1789"/>
    </row>
    <row r="113" spans="1:10" ht="15.75" customHeight="1">
      <c r="A113" s="1733"/>
      <c r="B113" s="1733"/>
      <c r="C113" s="1733"/>
      <c r="D113" s="1733"/>
      <c r="E113" s="1733"/>
      <c r="F113" s="1733"/>
      <c r="G113" s="1733"/>
      <c r="H113" s="28"/>
      <c r="I113" s="28"/>
      <c r="J113" s="1733"/>
    </row>
    <row r="114" spans="1:10" ht="15.75" customHeight="1">
      <c r="A114" s="1778">
        <f>A98+1</f>
        <v>6</v>
      </c>
      <c r="B114" s="1779" t="s">
        <v>2137</v>
      </c>
      <c r="C114" s="1806" t="s">
        <v>2138</v>
      </c>
      <c r="D114" s="1807"/>
      <c r="E114" s="1807"/>
      <c r="F114" s="1807"/>
      <c r="G114" s="1808"/>
      <c r="H114" s="1800"/>
      <c r="I114" s="1800"/>
      <c r="J114" s="1801"/>
    </row>
    <row r="115" spans="1:10" ht="15.75" customHeight="1">
      <c r="A115" s="1780"/>
      <c r="B115" s="1739" t="s">
        <v>1004</v>
      </c>
      <c r="C115" s="1755" t="s">
        <v>2075</v>
      </c>
      <c r="D115" s="1781"/>
      <c r="E115" s="413"/>
      <c r="F115" s="320"/>
      <c r="G115" s="320"/>
      <c r="H115" s="1802"/>
      <c r="I115" s="1802"/>
      <c r="J115" s="1803"/>
    </row>
    <row r="116" spans="1:10" ht="15.75" customHeight="1">
      <c r="A116" s="1780"/>
      <c r="B116" s="1739"/>
      <c r="C116" s="317" t="s">
        <v>2139</v>
      </c>
      <c r="D116" s="1781">
        <v>0.151</v>
      </c>
      <c r="E116" s="413" t="s">
        <v>103</v>
      </c>
      <c r="F116" s="1747">
        <f>'Bahan &amp; Upah'!C98</f>
        <v>8395042.6699999999</v>
      </c>
      <c r="G116" s="332">
        <f>F116*D116</f>
        <v>1267651.4431699999</v>
      </c>
      <c r="H116" s="1793">
        <v>1</v>
      </c>
      <c r="I116" s="1749">
        <f>(G116/G$130)*H116</f>
        <v>0.44438221602968536</v>
      </c>
      <c r="J116" s="1803"/>
    </row>
    <row r="117" spans="1:10" ht="15.75" customHeight="1">
      <c r="A117" s="1780"/>
      <c r="B117" s="1739"/>
      <c r="C117" s="317" t="s">
        <v>2140</v>
      </c>
      <c r="D117" s="1781">
        <v>0.50800000000000001</v>
      </c>
      <c r="E117" s="413" t="s">
        <v>100</v>
      </c>
      <c r="F117" s="1747">
        <f>'Bahan &amp; Upah'!C55</f>
        <v>200974.51</v>
      </c>
      <c r="G117" s="1794">
        <f>F117*D117</f>
        <v>102095.05108</v>
      </c>
      <c r="H117" s="1793">
        <v>0.27879999999999999</v>
      </c>
      <c r="I117" s="1752">
        <f>(G117/G$130)*H117</f>
        <v>9.9782475779003187E-3</v>
      </c>
      <c r="J117" s="1803"/>
    </row>
    <row r="118" spans="1:10" ht="15.75" customHeight="1">
      <c r="A118" s="1780"/>
      <c r="B118" s="1784"/>
      <c r="C118" s="1753" t="s">
        <v>2074</v>
      </c>
      <c r="D118" s="1781"/>
      <c r="E118" s="413"/>
      <c r="F118" s="320"/>
      <c r="G118" s="361">
        <f>SUM(G116:G117)</f>
        <v>1369746.49425</v>
      </c>
      <c r="H118" s="1749"/>
      <c r="I118" s="1754">
        <f>SUM(I116:I117)</f>
        <v>0.4543604636075857</v>
      </c>
      <c r="J118" s="1750"/>
    </row>
    <row r="119" spans="1:10" ht="15.75" customHeight="1">
      <c r="A119" s="1780"/>
      <c r="B119" s="1739" t="s">
        <v>1015</v>
      </c>
      <c r="C119" s="1755" t="s">
        <v>2067</v>
      </c>
      <c r="D119" s="1781"/>
      <c r="E119" s="413"/>
      <c r="F119" s="320"/>
      <c r="G119" s="320"/>
      <c r="H119" s="1749"/>
      <c r="I119" s="1749"/>
      <c r="J119" s="1750"/>
    </row>
    <row r="120" spans="1:10" ht="15.75" customHeight="1">
      <c r="A120" s="1780"/>
      <c r="B120" s="1784"/>
      <c r="C120" s="317" t="s">
        <v>2103</v>
      </c>
      <c r="D120" s="1781">
        <v>0.125</v>
      </c>
      <c r="E120" s="413" t="s">
        <v>2069</v>
      </c>
      <c r="F120" s="1747">
        <f>'Bahan &amp; Upah'!C$336</f>
        <v>96332.65</v>
      </c>
      <c r="G120" s="332">
        <f>F120*D120</f>
        <v>12041.581249999999</v>
      </c>
      <c r="H120" s="1749">
        <v>1</v>
      </c>
      <c r="I120" s="1749">
        <f>(G120/G$130)*H120</f>
        <v>4.2212428260209834E-3</v>
      </c>
      <c r="J120" s="1750"/>
    </row>
    <row r="121" spans="1:10" ht="15.75" customHeight="1">
      <c r="A121" s="1780"/>
      <c r="B121" s="1784"/>
      <c r="C121" s="317" t="s">
        <v>2132</v>
      </c>
      <c r="D121" s="1781">
        <v>0.25</v>
      </c>
      <c r="E121" s="413" t="s">
        <v>2069</v>
      </c>
      <c r="F121" s="1747">
        <f>'Bahan &amp; Upah'!C342</f>
        <v>263758.45</v>
      </c>
      <c r="G121" s="332">
        <f>F121*D121</f>
        <v>65939.612500000003</v>
      </c>
      <c r="H121" s="1749">
        <v>1</v>
      </c>
      <c r="I121" s="1749">
        <f>(G121/G$130)*H121</f>
        <v>2.3115495418529738E-2</v>
      </c>
      <c r="J121" s="1750"/>
    </row>
    <row r="122" spans="1:10" ht="15.75" customHeight="1">
      <c r="A122" s="1780"/>
      <c r="B122" s="1784"/>
      <c r="C122" s="317" t="s">
        <v>2133</v>
      </c>
      <c r="D122" s="1781">
        <v>0.25</v>
      </c>
      <c r="E122" s="413" t="s">
        <v>2069</v>
      </c>
      <c r="F122" s="1748">
        <f>'Bahan &amp; Upah'!C343</f>
        <v>148535.57999999999</v>
      </c>
      <c r="G122" s="325">
        <f>F122*D122</f>
        <v>37133.894999999997</v>
      </c>
      <c r="H122" s="1749">
        <v>1</v>
      </c>
      <c r="I122" s="1749">
        <f>(G122/G$130)*H122</f>
        <v>1.301749202339738E-2</v>
      </c>
      <c r="J122" s="1750"/>
    </row>
    <row r="123" spans="1:10" ht="15.75" customHeight="1">
      <c r="A123" s="1780"/>
      <c r="B123" s="1784"/>
      <c r="C123" s="317" t="s">
        <v>2141</v>
      </c>
      <c r="D123" s="1781">
        <v>2</v>
      </c>
      <c r="E123" s="413" t="s">
        <v>2069</v>
      </c>
      <c r="F123" s="1743">
        <f>'Bahan &amp; Upah'!C344</f>
        <v>281311.21999999997</v>
      </c>
      <c r="G123" s="325">
        <f>F123*D123</f>
        <v>562622.43999999994</v>
      </c>
      <c r="H123" s="1749">
        <v>1</v>
      </c>
      <c r="I123" s="1749">
        <f>(G123/G$130)*H123</f>
        <v>0.19723040432156042</v>
      </c>
      <c r="J123" s="1750"/>
    </row>
    <row r="124" spans="1:10" ht="15.75" customHeight="1">
      <c r="A124" s="1780"/>
      <c r="B124" s="1784"/>
      <c r="C124" s="317" t="s">
        <v>2142</v>
      </c>
      <c r="D124" s="1781">
        <v>2</v>
      </c>
      <c r="E124" s="413" t="s">
        <v>2069</v>
      </c>
      <c r="F124" s="1743">
        <f>'Bahan &amp; Upah'!C349</f>
        <v>271339.52000000002</v>
      </c>
      <c r="G124" s="1794">
        <f>F124*D124</f>
        <v>542679.04000000004</v>
      </c>
      <c r="H124" s="1749">
        <v>1</v>
      </c>
      <c r="I124" s="1752">
        <f>(G124/G$130)*H124</f>
        <v>0.19023913528233299</v>
      </c>
      <c r="J124" s="1750"/>
    </row>
    <row r="125" spans="1:10" ht="15.75" customHeight="1">
      <c r="A125" s="1780"/>
      <c r="B125" s="1784"/>
      <c r="C125" s="1753" t="s">
        <v>2108</v>
      </c>
      <c r="D125" s="1781"/>
      <c r="E125" s="413"/>
      <c r="F125" s="320"/>
      <c r="G125" s="361">
        <f>SUM(G120:G124)</f>
        <v>1220416.5687500001</v>
      </c>
      <c r="H125" s="1749"/>
      <c r="I125" s="1754">
        <f>SUM(I120:I124)</f>
        <v>0.42782376987184151</v>
      </c>
      <c r="J125" s="1750"/>
    </row>
    <row r="126" spans="1:10" ht="15.75" customHeight="1">
      <c r="A126" s="1780"/>
      <c r="B126" s="1739" t="s">
        <v>1048</v>
      </c>
      <c r="C126" s="1755" t="s">
        <v>2109</v>
      </c>
      <c r="D126" s="1781"/>
      <c r="E126" s="413"/>
      <c r="F126" s="320"/>
      <c r="G126" s="320"/>
      <c r="H126" s="1749"/>
      <c r="I126" s="1749"/>
      <c r="J126" s="1750"/>
    </row>
    <row r="127" spans="1:10" ht="15.75" customHeight="1">
      <c r="A127" s="1780"/>
      <c r="B127" s="1739"/>
      <c r="C127" s="317" t="s">
        <v>2134</v>
      </c>
      <c r="D127" s="1781">
        <v>1</v>
      </c>
      <c r="E127" s="413" t="s">
        <v>2135</v>
      </c>
      <c r="F127" s="1747">
        <f>'Bahan &amp; Upah'!C$206</f>
        <v>105088.02</v>
      </c>
      <c r="G127" s="325">
        <f>F127*D127</f>
        <v>105088.02</v>
      </c>
      <c r="H127" s="1749">
        <v>1</v>
      </c>
      <c r="I127" s="1749">
        <f>(G127/G$130)*H127</f>
        <v>3.6839185927159665E-2</v>
      </c>
      <c r="J127" s="1750"/>
    </row>
    <row r="128" spans="1:10" ht="15.75" customHeight="1">
      <c r="A128" s="1780"/>
      <c r="B128" s="1739"/>
      <c r="C128" s="317" t="s">
        <v>2136</v>
      </c>
      <c r="D128" s="1781">
        <v>1</v>
      </c>
      <c r="E128" s="413" t="s">
        <v>2135</v>
      </c>
      <c r="F128" s="1747">
        <f>'Bahan &amp; Upah'!C$207</f>
        <v>157364.07</v>
      </c>
      <c r="G128" s="1794">
        <f>F128*D128</f>
        <v>157364.07</v>
      </c>
      <c r="H128" s="1749">
        <v>1</v>
      </c>
      <c r="I128" s="1752">
        <f>(G128/G$130)*H128</f>
        <v>5.5164844032503116E-2</v>
      </c>
      <c r="J128" s="1750"/>
    </row>
    <row r="129" spans="1:10" ht="15.75" customHeight="1">
      <c r="A129" s="1780"/>
      <c r="B129" s="1784"/>
      <c r="C129" s="1753" t="s">
        <v>2110</v>
      </c>
      <c r="D129" s="1781"/>
      <c r="E129" s="413"/>
      <c r="F129" s="320"/>
      <c r="G129" s="361">
        <f>SUM(G127:G128)</f>
        <v>262452.09000000003</v>
      </c>
      <c r="H129" s="1749"/>
      <c r="I129" s="1754">
        <f>SUM(I127:I128)</f>
        <v>9.2004029959662781E-2</v>
      </c>
      <c r="J129" s="1750"/>
    </row>
    <row r="130" spans="1:10" ht="15.75" customHeight="1">
      <c r="A130" s="1780"/>
      <c r="B130" s="1739" t="s">
        <v>979</v>
      </c>
      <c r="C130" s="1804" t="s">
        <v>2129</v>
      </c>
      <c r="D130" s="1763"/>
      <c r="E130" s="1764"/>
      <c r="F130" s="1765"/>
      <c r="G130" s="1765">
        <f>G118+G125+G129</f>
        <v>2852615.1529999999</v>
      </c>
      <c r="H130" s="1749"/>
      <c r="I130" s="1766">
        <f>I125+I129</f>
        <v>0.51982779983150429</v>
      </c>
      <c r="J130" s="1750"/>
    </row>
    <row r="131" spans="1:10" ht="15.75" customHeight="1">
      <c r="A131" s="1780"/>
      <c r="B131" s="1739" t="s">
        <v>2093</v>
      </c>
      <c r="C131" s="1762" t="s">
        <v>2094</v>
      </c>
      <c r="D131" s="1767">
        <f>M$4</f>
        <v>0.15</v>
      </c>
      <c r="E131" s="1768"/>
      <c r="F131" s="1765"/>
      <c r="G131" s="1765">
        <f>G130*D131</f>
        <v>427892.27294999996</v>
      </c>
      <c r="H131" s="1749"/>
      <c r="I131" s="1749"/>
      <c r="J131" s="1750"/>
    </row>
    <row r="132" spans="1:10" ht="15.75" customHeight="1">
      <c r="A132" s="1786"/>
      <c r="B132" s="1787" t="s">
        <v>2095</v>
      </c>
      <c r="C132" s="1788" t="s">
        <v>2111</v>
      </c>
      <c r="D132" s="1772"/>
      <c r="E132" s="1773"/>
      <c r="F132" s="1774"/>
      <c r="G132" s="1775">
        <f>ROUNDUP((G130+G131),2)</f>
        <v>3280507.4299999997</v>
      </c>
      <c r="H132" s="1776"/>
      <c r="I132" s="1776"/>
      <c r="J132" s="1789"/>
    </row>
    <row r="133" spans="1:10" ht="15.75" customHeight="1">
      <c r="A133" s="1809"/>
      <c r="B133" s="1810"/>
      <c r="C133" s="1811"/>
      <c r="D133" s="1812"/>
      <c r="E133" s="1809"/>
      <c r="F133" s="1813"/>
      <c r="G133" s="1814"/>
      <c r="H133" s="1815"/>
      <c r="I133" s="1815"/>
      <c r="J133" s="1816"/>
    </row>
    <row r="134" spans="1:10" ht="15.75" customHeight="1">
      <c r="A134" s="1778">
        <f>A114+1</f>
        <v>7</v>
      </c>
      <c r="B134" s="1779" t="s">
        <v>2143</v>
      </c>
      <c r="C134" s="1806" t="s">
        <v>2144</v>
      </c>
      <c r="D134" s="1807"/>
      <c r="E134" s="1807"/>
      <c r="F134" s="1807"/>
      <c r="G134" s="1808"/>
      <c r="H134" s="1800"/>
      <c r="I134" s="1800"/>
      <c r="J134" s="1801"/>
    </row>
    <row r="135" spans="1:10" ht="15.75" customHeight="1">
      <c r="A135" s="1780"/>
      <c r="B135" s="1739" t="s">
        <v>1004</v>
      </c>
      <c r="C135" s="1755" t="s">
        <v>2075</v>
      </c>
      <c r="D135" s="1781"/>
      <c r="E135" s="413"/>
      <c r="F135" s="320"/>
      <c r="G135" s="320"/>
      <c r="H135" s="1802"/>
      <c r="I135" s="1802"/>
      <c r="J135" s="1803"/>
    </row>
    <row r="136" spans="1:10" ht="15.75" customHeight="1">
      <c r="A136" s="1780"/>
      <c r="B136" s="1784"/>
      <c r="C136" s="1753" t="s">
        <v>2074</v>
      </c>
      <c r="D136" s="1781"/>
      <c r="E136" s="413"/>
      <c r="F136" s="320"/>
      <c r="G136" s="361"/>
      <c r="H136" s="1817"/>
      <c r="I136" s="1818"/>
      <c r="J136" s="1819"/>
    </row>
    <row r="137" spans="1:10" ht="15.75" customHeight="1">
      <c r="A137" s="1780"/>
      <c r="B137" s="1739" t="s">
        <v>1015</v>
      </c>
      <c r="C137" s="1755" t="s">
        <v>2067</v>
      </c>
      <c r="D137" s="1781"/>
      <c r="E137" s="413"/>
      <c r="F137" s="320"/>
      <c r="G137" s="320"/>
      <c r="H137" s="1817"/>
      <c r="I137" s="1817"/>
      <c r="J137" s="1819"/>
    </row>
    <row r="138" spans="1:10" ht="15.75" customHeight="1">
      <c r="A138" s="1780"/>
      <c r="B138" s="1784"/>
      <c r="C138" s="317" t="s">
        <v>2103</v>
      </c>
      <c r="D138" s="1820">
        <v>9.5999999999999992E-3</v>
      </c>
      <c r="E138" s="413" t="s">
        <v>2069</v>
      </c>
      <c r="F138" s="1747">
        <f>'Bahan &amp; Upah'!C$336</f>
        <v>96332.65</v>
      </c>
      <c r="G138" s="332">
        <f>F138*D138</f>
        <v>924.79343999999992</v>
      </c>
      <c r="H138" s="1817">
        <v>1</v>
      </c>
      <c r="I138" s="1817">
        <f>(G138/G$147)*H138</f>
        <v>0.31986270633783281</v>
      </c>
      <c r="J138" s="1819"/>
    </row>
    <row r="139" spans="1:10" ht="15.75" customHeight="1">
      <c r="A139" s="1780"/>
      <c r="B139" s="1784"/>
      <c r="C139" s="317" t="s">
        <v>2104</v>
      </c>
      <c r="D139" s="1820">
        <v>4.7999999999999996E-3</v>
      </c>
      <c r="E139" s="413" t="s">
        <v>2069</v>
      </c>
      <c r="F139" s="1747">
        <f>'Bahan &amp; Upah'!C$337</f>
        <v>114133.55</v>
      </c>
      <c r="G139" s="332">
        <f>F139*D139</f>
        <v>547.84104000000002</v>
      </c>
      <c r="H139" s="1817">
        <v>1</v>
      </c>
      <c r="I139" s="1817">
        <f>(G139/G$147)*H139</f>
        <v>0.18948438658619046</v>
      </c>
      <c r="J139" s="1819"/>
    </row>
    <row r="140" spans="1:10" ht="15.75" customHeight="1">
      <c r="A140" s="1780"/>
      <c r="B140" s="1784"/>
      <c r="C140" s="317" t="s">
        <v>2105</v>
      </c>
      <c r="D140" s="1820">
        <v>4.8000000000000001E-4</v>
      </c>
      <c r="E140" s="413" t="s">
        <v>2069</v>
      </c>
      <c r="F140" s="1748">
        <f>'Bahan &amp; Upah'!C$338</f>
        <v>125485.75</v>
      </c>
      <c r="G140" s="325">
        <f>F140*D140</f>
        <v>60.233159999999998</v>
      </c>
      <c r="H140" s="1817">
        <v>1</v>
      </c>
      <c r="I140" s="1817">
        <f>(G140/G$147)*H140</f>
        <v>2.0833129578513986E-2</v>
      </c>
      <c r="J140" s="1819"/>
    </row>
    <row r="141" spans="1:10" ht="15.75" customHeight="1">
      <c r="A141" s="1780"/>
      <c r="B141" s="1784"/>
      <c r="C141" s="317" t="s">
        <v>2107</v>
      </c>
      <c r="D141" s="1820">
        <v>9.6000000000000002E-4</v>
      </c>
      <c r="E141" s="413" t="s">
        <v>2069</v>
      </c>
      <c r="F141" s="1751">
        <f>'Bahan &amp; Upah'!C$339</f>
        <v>102689.88</v>
      </c>
      <c r="G141" s="1794">
        <f>F141*D141</f>
        <v>98.582284800000011</v>
      </c>
      <c r="H141" s="1817">
        <v>1</v>
      </c>
      <c r="I141" s="1821">
        <f>(G141/G$147)*H141</f>
        <v>3.4097123799986084E-2</v>
      </c>
      <c r="J141" s="1819"/>
    </row>
    <row r="142" spans="1:10" ht="15.75" customHeight="1">
      <c r="A142" s="1780"/>
      <c r="B142" s="1784"/>
      <c r="C142" s="1753" t="s">
        <v>2108</v>
      </c>
      <c r="D142" s="1781"/>
      <c r="E142" s="413"/>
      <c r="F142" s="320"/>
      <c r="G142" s="361">
        <f>SUM(G138:G141)</f>
        <v>1631.4499248</v>
      </c>
      <c r="H142" s="1817"/>
      <c r="I142" s="1818">
        <f>SUM(I138:I141)</f>
        <v>0.56427734630252335</v>
      </c>
      <c r="J142" s="1819"/>
    </row>
    <row r="143" spans="1:10" ht="15.75" customHeight="1">
      <c r="A143" s="1780"/>
      <c r="B143" s="1739" t="s">
        <v>1048</v>
      </c>
      <c r="C143" s="1755" t="s">
        <v>2109</v>
      </c>
      <c r="D143" s="1781"/>
      <c r="E143" s="413"/>
      <c r="F143" s="320"/>
      <c r="G143" s="320"/>
      <c r="H143" s="1817"/>
      <c r="I143" s="1817"/>
      <c r="J143" s="1819"/>
    </row>
    <row r="144" spans="1:10" ht="15.75" customHeight="1">
      <c r="A144" s="1780"/>
      <c r="B144" s="1739"/>
      <c r="C144" s="317" t="s">
        <v>2134</v>
      </c>
      <c r="D144" s="1781">
        <v>4.7999999999999996E-3</v>
      </c>
      <c r="E144" s="413" t="s">
        <v>2135</v>
      </c>
      <c r="F144" s="1747">
        <f>'Bahan &amp; Upah'!C$206</f>
        <v>105088.02</v>
      </c>
      <c r="G144" s="325">
        <f>F144*D144</f>
        <v>504.42249599999997</v>
      </c>
      <c r="H144" s="1817">
        <v>1</v>
      </c>
      <c r="I144" s="1817">
        <f>(G144/G$147)*H144</f>
        <v>0.17446700823077274</v>
      </c>
      <c r="J144" s="1819"/>
    </row>
    <row r="145" spans="1:10" ht="15.75" customHeight="1">
      <c r="A145" s="1780"/>
      <c r="B145" s="1739"/>
      <c r="C145" s="317" t="s">
        <v>2136</v>
      </c>
      <c r="D145" s="1781">
        <v>4.7999999999999996E-3</v>
      </c>
      <c r="E145" s="413" t="s">
        <v>2135</v>
      </c>
      <c r="F145" s="1747">
        <f>'Bahan &amp; Upah'!C$207</f>
        <v>157364.07</v>
      </c>
      <c r="G145" s="1794">
        <f>F145*D145</f>
        <v>755.34753599999999</v>
      </c>
      <c r="H145" s="1817">
        <v>1</v>
      </c>
      <c r="I145" s="1821">
        <f>(G145/G$147)*H145</f>
        <v>0.26125564546670399</v>
      </c>
      <c r="J145" s="1819"/>
    </row>
    <row r="146" spans="1:10" ht="15.75" customHeight="1">
      <c r="A146" s="1780"/>
      <c r="B146" s="1784"/>
      <c r="C146" s="1753" t="s">
        <v>2110</v>
      </c>
      <c r="D146" s="1781"/>
      <c r="E146" s="413"/>
      <c r="F146" s="320"/>
      <c r="G146" s="361">
        <f>SUM(G144:G145)</f>
        <v>1259.7700319999999</v>
      </c>
      <c r="H146" s="1817"/>
      <c r="I146" s="1818">
        <f>SUM(I144:I145)</f>
        <v>0.43572265369747676</v>
      </c>
      <c r="J146" s="1819"/>
    </row>
    <row r="147" spans="1:10" ht="15.75" customHeight="1">
      <c r="A147" s="1780"/>
      <c r="B147" s="1739" t="s">
        <v>979</v>
      </c>
      <c r="C147" s="1804" t="s">
        <v>2129</v>
      </c>
      <c r="D147" s="1763"/>
      <c r="E147" s="1764"/>
      <c r="F147" s="1765"/>
      <c r="G147" s="1765">
        <f>G136+G142+G146</f>
        <v>2891.2199567999996</v>
      </c>
      <c r="H147" s="1817"/>
      <c r="I147" s="1822">
        <f>I142+I146</f>
        <v>1</v>
      </c>
      <c r="J147" s="1819"/>
    </row>
    <row r="148" spans="1:10" ht="15.75" customHeight="1">
      <c r="A148" s="1780"/>
      <c r="B148" s="1739" t="s">
        <v>2093</v>
      </c>
      <c r="C148" s="1762" t="s">
        <v>2094</v>
      </c>
      <c r="D148" s="1823">
        <f>M$4</f>
        <v>0.15</v>
      </c>
      <c r="E148" s="1768"/>
      <c r="F148" s="1765"/>
      <c r="G148" s="1765">
        <f>G147*D148</f>
        <v>433.68299351999991</v>
      </c>
      <c r="H148" s="1817"/>
      <c r="I148" s="1817"/>
      <c r="J148" s="1819"/>
    </row>
    <row r="149" spans="1:10" ht="15.75" customHeight="1">
      <c r="A149" s="1786"/>
      <c r="B149" s="1787" t="s">
        <v>2095</v>
      </c>
      <c r="C149" s="1788" t="s">
        <v>2111</v>
      </c>
      <c r="D149" s="1772"/>
      <c r="E149" s="1773"/>
      <c r="F149" s="1774"/>
      <c r="G149" s="1775">
        <f>ROUNDUP((G147+G148),2)</f>
        <v>3324.9100000000003</v>
      </c>
      <c r="H149" s="1824"/>
      <c r="I149" s="1824"/>
      <c r="J149" s="1825"/>
    </row>
    <row r="150" spans="1:10" ht="15.75" customHeight="1">
      <c r="A150" s="1809"/>
      <c r="B150" s="1810"/>
      <c r="C150" s="1811"/>
      <c r="D150" s="1812"/>
      <c r="E150" s="1809"/>
      <c r="F150" s="1813"/>
      <c r="G150" s="1814"/>
      <c r="H150" s="1815"/>
      <c r="I150" s="1815"/>
      <c r="J150" s="1816"/>
    </row>
    <row r="151" spans="1:10" ht="15.75" customHeight="1">
      <c r="A151" s="1778">
        <f>A134+1</f>
        <v>8</v>
      </c>
      <c r="B151" s="1779" t="s">
        <v>2145</v>
      </c>
      <c r="C151" s="1806" t="s">
        <v>2146</v>
      </c>
      <c r="D151" s="1807"/>
      <c r="E151" s="1807"/>
      <c r="F151" s="1807"/>
      <c r="G151" s="1808"/>
      <c r="H151" s="1800"/>
      <c r="I151" s="1800"/>
      <c r="J151" s="1801"/>
    </row>
    <row r="152" spans="1:10" ht="15.75" customHeight="1">
      <c r="A152" s="1780"/>
      <c r="B152" s="1739" t="s">
        <v>1004</v>
      </c>
      <c r="C152" s="1755" t="s">
        <v>2075</v>
      </c>
      <c r="D152" s="1781"/>
      <c r="E152" s="413"/>
      <c r="F152" s="320"/>
      <c r="G152" s="320"/>
      <c r="H152" s="1802"/>
      <c r="I152" s="1802"/>
      <c r="J152" s="1803"/>
    </row>
    <row r="153" spans="1:10" ht="15.75" customHeight="1">
      <c r="A153" s="1780"/>
      <c r="B153" s="1784"/>
      <c r="C153" s="1753" t="s">
        <v>2074</v>
      </c>
      <c r="D153" s="1781"/>
      <c r="E153" s="413"/>
      <c r="F153" s="320"/>
      <c r="G153" s="361"/>
      <c r="H153" s="1749"/>
      <c r="I153" s="1754"/>
      <c r="J153" s="1750"/>
    </row>
    <row r="154" spans="1:10" ht="15.75" customHeight="1">
      <c r="A154" s="1780"/>
      <c r="B154" s="1739" t="s">
        <v>1015</v>
      </c>
      <c r="C154" s="1755" t="s">
        <v>2067</v>
      </c>
      <c r="D154" s="1781"/>
      <c r="E154" s="413"/>
      <c r="F154" s="320"/>
      <c r="G154" s="320"/>
      <c r="H154" s="1749"/>
      <c r="I154" s="1749"/>
      <c r="J154" s="1750"/>
    </row>
    <row r="155" spans="1:10" ht="15.75" customHeight="1">
      <c r="A155" s="1780"/>
      <c r="B155" s="1784"/>
      <c r="C155" s="317" t="s">
        <v>2103</v>
      </c>
      <c r="D155" s="1781">
        <v>0.05</v>
      </c>
      <c r="E155" s="413" t="s">
        <v>2069</v>
      </c>
      <c r="F155" s="1747">
        <f>'Bahan &amp; Upah'!C$336</f>
        <v>96332.65</v>
      </c>
      <c r="G155" s="332">
        <f>F155*D155</f>
        <v>4816.6324999999997</v>
      </c>
      <c r="H155" s="1749">
        <v>1</v>
      </c>
      <c r="I155" s="1749">
        <f>(G155/G$160)*H155</f>
        <v>0.90366951021897046</v>
      </c>
      <c r="J155" s="1750"/>
    </row>
    <row r="156" spans="1:10" ht="15.75" customHeight="1">
      <c r="A156" s="1780"/>
      <c r="B156" s="1784"/>
      <c r="C156" s="317" t="s">
        <v>2107</v>
      </c>
      <c r="D156" s="1781">
        <v>5.0000000000000001E-3</v>
      </c>
      <c r="E156" s="413" t="s">
        <v>2069</v>
      </c>
      <c r="F156" s="1751">
        <f>'Bahan &amp; Upah'!C$339</f>
        <v>102689.88</v>
      </c>
      <c r="G156" s="1794">
        <f>F156*D156</f>
        <v>513.44940000000008</v>
      </c>
      <c r="H156" s="1749">
        <v>1</v>
      </c>
      <c r="I156" s="1752">
        <f>(G156/G$160)*H156</f>
        <v>9.6330489781029455E-2</v>
      </c>
      <c r="J156" s="1750"/>
    </row>
    <row r="157" spans="1:10" ht="15.75" customHeight="1">
      <c r="A157" s="1780"/>
      <c r="B157" s="1784"/>
      <c r="C157" s="1753" t="s">
        <v>2108</v>
      </c>
      <c r="D157" s="1781"/>
      <c r="E157" s="413"/>
      <c r="F157" s="320"/>
      <c r="G157" s="361">
        <f>SUM(G155:G156)</f>
        <v>5330.0819000000001</v>
      </c>
      <c r="H157" s="1749"/>
      <c r="I157" s="1754">
        <f>SUM(I155:I156)</f>
        <v>0.99999999999999989</v>
      </c>
      <c r="J157" s="1750"/>
    </row>
    <row r="158" spans="1:10" ht="15.75" customHeight="1">
      <c r="A158" s="1780"/>
      <c r="B158" s="1739" t="s">
        <v>1048</v>
      </c>
      <c r="C158" s="1755" t="s">
        <v>2109</v>
      </c>
      <c r="D158" s="1781"/>
      <c r="E158" s="413"/>
      <c r="F158" s="320"/>
      <c r="G158" s="320"/>
      <c r="H158" s="1749"/>
      <c r="I158" s="1749"/>
      <c r="J158" s="1750"/>
    </row>
    <row r="159" spans="1:10" ht="15.75" customHeight="1">
      <c r="A159" s="1780"/>
      <c r="B159" s="1784"/>
      <c r="C159" s="1753" t="s">
        <v>2110</v>
      </c>
      <c r="D159" s="1781"/>
      <c r="E159" s="413"/>
      <c r="F159" s="320"/>
      <c r="G159" s="361"/>
      <c r="H159" s="1749"/>
      <c r="I159" s="1754"/>
      <c r="J159" s="1750"/>
    </row>
    <row r="160" spans="1:10" ht="15.75" customHeight="1">
      <c r="A160" s="1780"/>
      <c r="B160" s="1739" t="s">
        <v>979</v>
      </c>
      <c r="C160" s="1804" t="s">
        <v>2129</v>
      </c>
      <c r="D160" s="1763"/>
      <c r="E160" s="1764"/>
      <c r="F160" s="1765"/>
      <c r="G160" s="1765">
        <f>G153+G157+G159</f>
        <v>5330.0819000000001</v>
      </c>
      <c r="H160" s="1749"/>
      <c r="I160" s="1766">
        <f>I157</f>
        <v>0.99999999999999989</v>
      </c>
      <c r="J160" s="1750"/>
    </row>
    <row r="161" spans="1:10" ht="15.75" customHeight="1">
      <c r="A161" s="1780"/>
      <c r="B161" s="1739" t="s">
        <v>2093</v>
      </c>
      <c r="C161" s="1762" t="s">
        <v>2094</v>
      </c>
      <c r="D161" s="1767">
        <f>M$4</f>
        <v>0.15</v>
      </c>
      <c r="E161" s="1768"/>
      <c r="F161" s="1765"/>
      <c r="G161" s="1765">
        <f>G160*D161</f>
        <v>799.51228500000002</v>
      </c>
      <c r="H161" s="1749"/>
      <c r="I161" s="1749"/>
      <c r="J161" s="1750"/>
    </row>
    <row r="162" spans="1:10" ht="15.75" customHeight="1">
      <c r="A162" s="1786"/>
      <c r="B162" s="1787" t="s">
        <v>2095</v>
      </c>
      <c r="C162" s="1788" t="s">
        <v>2111</v>
      </c>
      <c r="D162" s="1772"/>
      <c r="E162" s="1773"/>
      <c r="F162" s="1774"/>
      <c r="G162" s="1775">
        <f>ROUNDUP((G160+G161),2)</f>
        <v>6129.6</v>
      </c>
      <c r="H162" s="1776"/>
      <c r="I162" s="1776"/>
      <c r="J162" s="1789"/>
    </row>
    <row r="163" spans="1:10" ht="15.75" customHeight="1">
      <c r="A163" s="1733"/>
      <c r="B163" s="1733"/>
      <c r="C163" s="1733"/>
      <c r="D163" s="1733"/>
      <c r="E163" s="1733"/>
      <c r="F163" s="1733"/>
      <c r="G163" s="1733"/>
      <c r="H163" s="28"/>
      <c r="I163" s="28"/>
      <c r="J163" s="1733"/>
    </row>
    <row r="164" spans="1:10" ht="15.75" customHeight="1">
      <c r="A164" s="1733"/>
      <c r="B164" s="1733"/>
      <c r="C164" s="1733"/>
      <c r="D164" s="1733"/>
      <c r="E164" s="1733"/>
      <c r="F164" s="1733"/>
      <c r="G164" s="1733"/>
      <c r="H164" s="28"/>
      <c r="I164" s="28"/>
      <c r="J164" s="1733"/>
    </row>
    <row r="165" spans="1:10" ht="30" customHeight="1">
      <c r="A165" s="1736">
        <f>A151+1</f>
        <v>9</v>
      </c>
      <c r="B165" s="1826" t="s">
        <v>2147</v>
      </c>
      <c r="C165" s="3275" t="s">
        <v>2148</v>
      </c>
      <c r="D165" s="3275"/>
      <c r="E165" s="3275"/>
      <c r="F165" s="3275"/>
      <c r="G165" s="1827"/>
      <c r="H165" s="1827"/>
      <c r="I165" s="1827"/>
      <c r="J165" s="1828"/>
    </row>
    <row r="166" spans="1:10" ht="15.75" customHeight="1">
      <c r="A166" s="440"/>
      <c r="B166" s="1739">
        <v>1</v>
      </c>
      <c r="C166" s="1740" t="s">
        <v>2149</v>
      </c>
      <c r="D166" s="1741"/>
      <c r="E166" s="1742"/>
      <c r="F166" s="320"/>
      <c r="G166" s="1743"/>
      <c r="H166" s="1829"/>
      <c r="I166" s="1829"/>
      <c r="J166" s="1830"/>
    </row>
    <row r="167" spans="1:10" ht="15.75" customHeight="1">
      <c r="A167" s="440"/>
      <c r="B167" s="1831" t="s">
        <v>95</v>
      </c>
      <c r="C167" s="380" t="s">
        <v>2150</v>
      </c>
      <c r="D167" s="390">
        <v>102</v>
      </c>
      <c r="E167" s="1832" t="s">
        <v>1087</v>
      </c>
      <c r="F167" s="320" t="s">
        <v>95</v>
      </c>
      <c r="G167" s="320"/>
      <c r="H167" s="318"/>
      <c r="I167" s="318"/>
      <c r="J167" s="1783"/>
    </row>
    <row r="168" spans="1:10" ht="15.75" customHeight="1">
      <c r="A168" s="440"/>
      <c r="B168" s="1831"/>
      <c r="C168" s="380" t="s">
        <v>2151</v>
      </c>
      <c r="D168" s="390">
        <v>5</v>
      </c>
      <c r="E168" s="1832" t="s">
        <v>117</v>
      </c>
      <c r="F168" s="320" t="s">
        <v>98</v>
      </c>
      <c r="G168" s="320"/>
      <c r="H168" s="318"/>
      <c r="I168" s="318"/>
      <c r="J168" s="1783"/>
    </row>
    <row r="169" spans="1:10" ht="15.75" customHeight="1">
      <c r="A169" s="440"/>
      <c r="B169" s="1831"/>
      <c r="C169" s="380" t="s">
        <v>2152</v>
      </c>
      <c r="D169" s="390">
        <f>2.5*2</f>
        <v>5</v>
      </c>
      <c r="E169" s="1832" t="s">
        <v>117</v>
      </c>
      <c r="F169" s="320" t="s">
        <v>101</v>
      </c>
      <c r="G169" s="320"/>
      <c r="H169" s="318"/>
      <c r="I169" s="318"/>
      <c r="J169" s="1783"/>
    </row>
    <row r="170" spans="1:10" ht="15.75" customHeight="1">
      <c r="A170" s="440"/>
      <c r="B170" s="1831"/>
      <c r="C170" s="380" t="s">
        <v>2153</v>
      </c>
      <c r="D170" s="590">
        <f>D169*D167</f>
        <v>510</v>
      </c>
      <c r="E170" s="1832" t="s">
        <v>117</v>
      </c>
      <c r="F170" s="320" t="s">
        <v>121</v>
      </c>
      <c r="G170" s="320"/>
      <c r="H170" s="318"/>
      <c r="I170" s="318"/>
      <c r="J170" s="1783"/>
    </row>
    <row r="171" spans="1:10" ht="15.75" customHeight="1">
      <c r="A171" s="440"/>
      <c r="B171" s="1831"/>
      <c r="C171" s="380" t="s">
        <v>2154</v>
      </c>
      <c r="D171" s="841">
        <f>D170/D168</f>
        <v>102</v>
      </c>
      <c r="E171" s="1833" t="s">
        <v>888</v>
      </c>
      <c r="F171" s="320" t="s">
        <v>142</v>
      </c>
      <c r="G171" s="320"/>
      <c r="H171" s="318"/>
      <c r="I171" s="318"/>
      <c r="J171" s="1783"/>
    </row>
    <row r="172" spans="1:10" ht="15.75" customHeight="1">
      <c r="A172" s="440"/>
      <c r="B172" s="1831"/>
      <c r="C172" s="380"/>
      <c r="D172" s="841"/>
      <c r="E172" s="1832"/>
      <c r="F172" s="320"/>
      <c r="G172" s="320"/>
      <c r="H172" s="318"/>
      <c r="I172" s="318"/>
      <c r="J172" s="1783"/>
    </row>
    <row r="173" spans="1:10" ht="27.75" customHeight="1">
      <c r="A173" s="440"/>
      <c r="B173" s="1831" t="s">
        <v>98</v>
      </c>
      <c r="C173" s="1834" t="s">
        <v>2155</v>
      </c>
      <c r="D173" s="390">
        <f>34</f>
        <v>34</v>
      </c>
      <c r="E173" s="1832" t="s">
        <v>2156</v>
      </c>
      <c r="F173" s="320" t="s">
        <v>95</v>
      </c>
      <c r="G173" s="1748"/>
      <c r="H173" s="1782"/>
      <c r="I173" s="1782"/>
      <c r="J173" s="1783"/>
    </row>
    <row r="174" spans="1:10" ht="15.75" customHeight="1">
      <c r="A174" s="440"/>
      <c r="B174" s="1831"/>
      <c r="C174" s="1834" t="s">
        <v>2157</v>
      </c>
      <c r="D174" s="390">
        <v>2</v>
      </c>
      <c r="E174" s="1832" t="s">
        <v>1686</v>
      </c>
      <c r="F174" s="320" t="s">
        <v>98</v>
      </c>
      <c r="G174" s="1748"/>
      <c r="H174" s="1782"/>
      <c r="I174" s="1782"/>
      <c r="J174" s="1783"/>
    </row>
    <row r="175" spans="1:10" ht="15.75" customHeight="1">
      <c r="A175" s="440"/>
      <c r="B175" s="1831"/>
      <c r="C175" s="380" t="s">
        <v>2158</v>
      </c>
      <c r="D175" s="390">
        <v>5</v>
      </c>
      <c r="E175" s="1832" t="s">
        <v>117</v>
      </c>
      <c r="F175" s="320" t="s">
        <v>101</v>
      </c>
      <c r="G175" s="1748"/>
      <c r="H175" s="1782"/>
      <c r="I175" s="1782"/>
      <c r="J175" s="1783"/>
    </row>
    <row r="176" spans="1:10" ht="15.75" customHeight="1">
      <c r="A176" s="440"/>
      <c r="B176" s="1831"/>
      <c r="C176" s="380" t="s">
        <v>2159</v>
      </c>
      <c r="D176" s="590">
        <v>1</v>
      </c>
      <c r="E176" s="1832" t="s">
        <v>888</v>
      </c>
      <c r="F176" s="320" t="s">
        <v>121</v>
      </c>
      <c r="G176" s="1748"/>
      <c r="H176" s="1782"/>
      <c r="I176" s="1782"/>
      <c r="J176" s="1783"/>
    </row>
    <row r="177" spans="1:10" ht="15.75" customHeight="1">
      <c r="A177" s="440"/>
      <c r="B177" s="1831"/>
      <c r="C177" s="380" t="s">
        <v>2160</v>
      </c>
      <c r="D177" s="841">
        <f>D173*D174*D176</f>
        <v>68</v>
      </c>
      <c r="E177" s="1833" t="s">
        <v>888</v>
      </c>
      <c r="F177" s="320" t="s">
        <v>142</v>
      </c>
      <c r="G177" s="1748"/>
      <c r="H177" s="1782"/>
      <c r="I177" s="1782"/>
      <c r="J177" s="1783"/>
    </row>
    <row r="178" spans="1:10" ht="15.75" customHeight="1">
      <c r="A178" s="440"/>
      <c r="B178" s="1831"/>
      <c r="C178" s="380"/>
      <c r="D178" s="841"/>
      <c r="E178" s="1833"/>
      <c r="F178" s="320"/>
      <c r="G178" s="1748"/>
      <c r="H178" s="1782"/>
      <c r="I178" s="1782"/>
      <c r="J178" s="1783"/>
    </row>
    <row r="179" spans="1:10" ht="27.75" customHeight="1">
      <c r="A179" s="440"/>
      <c r="B179" s="1831" t="s">
        <v>101</v>
      </c>
      <c r="C179" s="1834" t="s">
        <v>2161</v>
      </c>
      <c r="D179" s="390">
        <f>49.5/4.5</f>
        <v>11</v>
      </c>
      <c r="E179" s="1832" t="s">
        <v>2162</v>
      </c>
      <c r="F179" s="320" t="s">
        <v>95</v>
      </c>
      <c r="G179" s="1748"/>
      <c r="H179" s="1782"/>
      <c r="I179" s="1782"/>
      <c r="J179" s="1783"/>
    </row>
    <row r="180" spans="1:10" ht="15.75" customHeight="1">
      <c r="A180" s="440"/>
      <c r="B180" s="1831"/>
      <c r="C180" s="1834" t="s">
        <v>2163</v>
      </c>
      <c r="D180" s="390">
        <v>3</v>
      </c>
      <c r="E180" s="1832" t="s">
        <v>2156</v>
      </c>
      <c r="F180" s="320" t="s">
        <v>98</v>
      </c>
      <c r="G180" s="1748"/>
      <c r="H180" s="1782"/>
      <c r="I180" s="1782"/>
      <c r="J180" s="1783"/>
    </row>
    <row r="181" spans="1:10" ht="15.75" customHeight="1">
      <c r="A181" s="440"/>
      <c r="B181" s="1831"/>
      <c r="C181" s="1834" t="s">
        <v>2164</v>
      </c>
      <c r="D181" s="390">
        <f>D179*D180</f>
        <v>33</v>
      </c>
      <c r="E181" s="1832" t="s">
        <v>2165</v>
      </c>
      <c r="F181" s="320" t="s">
        <v>101</v>
      </c>
      <c r="G181" s="1748"/>
      <c r="H181" s="1782"/>
      <c r="I181" s="1782"/>
      <c r="J181" s="1783"/>
    </row>
    <row r="182" spans="1:10" ht="15.75" customHeight="1">
      <c r="A182" s="440"/>
      <c r="B182" s="1831"/>
      <c r="C182" s="1834" t="s">
        <v>2166</v>
      </c>
      <c r="D182" s="390">
        <v>1</v>
      </c>
      <c r="E182" s="1832" t="s">
        <v>888</v>
      </c>
      <c r="F182" s="320" t="s">
        <v>121</v>
      </c>
      <c r="G182" s="1748"/>
      <c r="H182" s="1782"/>
      <c r="I182" s="1782"/>
      <c r="J182" s="1783"/>
    </row>
    <row r="183" spans="1:10" ht="15.75" customHeight="1">
      <c r="A183" s="440"/>
      <c r="B183" s="1831"/>
      <c r="C183" s="1834" t="s">
        <v>2167</v>
      </c>
      <c r="D183" s="590">
        <v>2</v>
      </c>
      <c r="E183" s="1832" t="s">
        <v>1686</v>
      </c>
      <c r="F183" s="320" t="s">
        <v>142</v>
      </c>
      <c r="G183" s="1748"/>
      <c r="H183" s="1782"/>
      <c r="I183" s="1782"/>
      <c r="J183" s="1783"/>
    </row>
    <row r="184" spans="1:10" ht="15.75" customHeight="1">
      <c r="A184" s="440"/>
      <c r="B184" s="1831"/>
      <c r="C184" s="380" t="s">
        <v>2168</v>
      </c>
      <c r="D184" s="841">
        <f>D181*D182*D183</f>
        <v>66</v>
      </c>
      <c r="E184" s="1833" t="s">
        <v>888</v>
      </c>
      <c r="F184" s="320" t="s">
        <v>217</v>
      </c>
      <c r="G184" s="1748"/>
      <c r="H184" s="1782"/>
      <c r="I184" s="1782"/>
      <c r="J184" s="1783"/>
    </row>
    <row r="185" spans="1:10" ht="15.75" customHeight="1">
      <c r="A185" s="440"/>
      <c r="B185" s="1831"/>
      <c r="C185" s="380"/>
      <c r="D185" s="841"/>
      <c r="E185" s="1832"/>
      <c r="F185" s="320"/>
      <c r="G185" s="1748"/>
      <c r="H185" s="1782"/>
      <c r="I185" s="1782"/>
      <c r="J185" s="1783"/>
    </row>
    <row r="186" spans="1:10" ht="27.75" customHeight="1">
      <c r="A186" s="440"/>
      <c r="B186" s="1831" t="s">
        <v>121</v>
      </c>
      <c r="C186" s="1834" t="s">
        <v>2169</v>
      </c>
      <c r="D186" s="390">
        <v>4</v>
      </c>
      <c r="E186" s="1832" t="s">
        <v>2170</v>
      </c>
      <c r="F186" s="320" t="s">
        <v>95</v>
      </c>
      <c r="G186" s="1748"/>
      <c r="H186" s="1782"/>
      <c r="I186" s="1782"/>
      <c r="J186" s="1783"/>
    </row>
    <row r="187" spans="1:10" ht="15.75" customHeight="1">
      <c r="A187" s="440"/>
      <c r="B187" s="1831"/>
      <c r="C187" s="380" t="s">
        <v>2171</v>
      </c>
      <c r="D187" s="390">
        <v>34</v>
      </c>
      <c r="E187" s="1832" t="s">
        <v>2156</v>
      </c>
      <c r="F187" s="320" t="s">
        <v>98</v>
      </c>
      <c r="G187" s="1748"/>
      <c r="H187" s="1782"/>
      <c r="I187" s="1782"/>
      <c r="J187" s="1783"/>
    </row>
    <row r="188" spans="1:10" ht="15.75" customHeight="1">
      <c r="A188" s="440"/>
      <c r="B188" s="1831"/>
      <c r="C188" s="380" t="s">
        <v>2172</v>
      </c>
      <c r="D188" s="390">
        <f>D186*D187</f>
        <v>136</v>
      </c>
      <c r="E188" s="1832" t="s">
        <v>2170</v>
      </c>
      <c r="F188" s="320" t="s">
        <v>101</v>
      </c>
      <c r="G188" s="1748"/>
      <c r="H188" s="1782"/>
      <c r="I188" s="1782"/>
      <c r="J188" s="1783"/>
    </row>
    <row r="189" spans="1:10" ht="15.75" customHeight="1">
      <c r="A189" s="440"/>
      <c r="B189" s="1831"/>
      <c r="C189" s="380" t="s">
        <v>2173</v>
      </c>
      <c r="D189" s="390">
        <f>D188*2</f>
        <v>272</v>
      </c>
      <c r="E189" s="1832" t="s">
        <v>117</v>
      </c>
      <c r="F189" s="320" t="s">
        <v>121</v>
      </c>
      <c r="G189" s="1748"/>
      <c r="H189" s="1782"/>
      <c r="I189" s="1782"/>
      <c r="J189" s="1783"/>
    </row>
    <row r="190" spans="1:10" ht="15.75" customHeight="1">
      <c r="A190" s="440"/>
      <c r="B190" s="1831"/>
      <c r="C190" s="380" t="s">
        <v>2151</v>
      </c>
      <c r="D190" s="590">
        <v>6</v>
      </c>
      <c r="E190" s="1832" t="s">
        <v>117</v>
      </c>
      <c r="F190" s="320" t="s">
        <v>142</v>
      </c>
      <c r="G190" s="1748"/>
      <c r="H190" s="1782"/>
      <c r="I190" s="1782"/>
      <c r="J190" s="1783"/>
    </row>
    <row r="191" spans="1:10" ht="15.75" customHeight="1">
      <c r="A191" s="440"/>
      <c r="B191" s="1831"/>
      <c r="C191" s="380" t="s">
        <v>2174</v>
      </c>
      <c r="D191" s="841">
        <f>D189/D190</f>
        <v>45.333333333333336</v>
      </c>
      <c r="E191" s="1833" t="s">
        <v>888</v>
      </c>
      <c r="F191" s="320" t="s">
        <v>217</v>
      </c>
      <c r="G191" s="1748"/>
      <c r="H191" s="1782"/>
      <c r="I191" s="1782"/>
      <c r="J191" s="1783"/>
    </row>
    <row r="192" spans="1:10" ht="15.75" customHeight="1">
      <c r="A192" s="440"/>
      <c r="B192" s="1831"/>
      <c r="C192" s="380"/>
      <c r="D192" s="390"/>
      <c r="E192" s="1832"/>
      <c r="F192" s="320"/>
      <c r="G192" s="1748"/>
      <c r="H192" s="1782"/>
      <c r="I192" s="1782"/>
      <c r="J192" s="1783"/>
    </row>
    <row r="193" spans="1:10" ht="27.75" customHeight="1">
      <c r="A193" s="440"/>
      <c r="B193" s="1831" t="s">
        <v>142</v>
      </c>
      <c r="C193" s="1834" t="s">
        <v>2175</v>
      </c>
      <c r="D193" s="390">
        <v>4</v>
      </c>
      <c r="E193" s="1832" t="s">
        <v>2170</v>
      </c>
      <c r="F193" s="320" t="s">
        <v>95</v>
      </c>
      <c r="G193" s="1748"/>
      <c r="H193" s="1782"/>
      <c r="I193" s="1782"/>
      <c r="J193" s="1783"/>
    </row>
    <row r="194" spans="1:10" ht="15.75" customHeight="1">
      <c r="A194" s="440"/>
      <c r="B194" s="1831"/>
      <c r="C194" s="380" t="s">
        <v>2176</v>
      </c>
      <c r="D194" s="390">
        <f>33*2</f>
        <v>66</v>
      </c>
      <c r="E194" s="1832" t="s">
        <v>2165</v>
      </c>
      <c r="F194" s="320" t="s">
        <v>98</v>
      </c>
      <c r="G194" s="1748"/>
      <c r="H194" s="1782"/>
      <c r="I194" s="1782"/>
      <c r="J194" s="1783"/>
    </row>
    <row r="195" spans="1:10" ht="15.75" customHeight="1">
      <c r="A195" s="440"/>
      <c r="B195" s="1831"/>
      <c r="C195" s="380" t="s">
        <v>2177</v>
      </c>
      <c r="D195" s="390">
        <f>D193*D194</f>
        <v>264</v>
      </c>
      <c r="E195" s="1832" t="s">
        <v>2170</v>
      </c>
      <c r="F195" s="320" t="s">
        <v>101</v>
      </c>
      <c r="G195" s="1748"/>
      <c r="H195" s="1782"/>
      <c r="I195" s="1782"/>
      <c r="J195" s="1783"/>
    </row>
    <row r="196" spans="1:10" ht="15.75" customHeight="1">
      <c r="A196" s="440"/>
      <c r="B196" s="1831"/>
      <c r="C196" s="380" t="s">
        <v>2173</v>
      </c>
      <c r="D196" s="390">
        <f>D195*2</f>
        <v>528</v>
      </c>
      <c r="E196" s="1832" t="s">
        <v>117</v>
      </c>
      <c r="F196" s="320" t="s">
        <v>121</v>
      </c>
      <c r="G196" s="1748"/>
      <c r="H196" s="1782"/>
      <c r="I196" s="1782"/>
      <c r="J196" s="1783"/>
    </row>
    <row r="197" spans="1:10" ht="15.75" customHeight="1">
      <c r="A197" s="440"/>
      <c r="B197" s="1831"/>
      <c r="C197" s="380" t="s">
        <v>2151</v>
      </c>
      <c r="D197" s="590">
        <v>6</v>
      </c>
      <c r="E197" s="1832" t="s">
        <v>117</v>
      </c>
      <c r="F197" s="320" t="s">
        <v>142</v>
      </c>
      <c r="G197" s="1748"/>
      <c r="H197" s="1782"/>
      <c r="I197" s="1782"/>
      <c r="J197" s="1783"/>
    </row>
    <row r="198" spans="1:10" ht="15.75" customHeight="1">
      <c r="A198" s="440"/>
      <c r="B198" s="1831"/>
      <c r="C198" s="380" t="s">
        <v>2174</v>
      </c>
      <c r="D198" s="841">
        <f>D196/D197</f>
        <v>88</v>
      </c>
      <c r="E198" s="1833" t="s">
        <v>888</v>
      </c>
      <c r="F198" s="320" t="s">
        <v>217</v>
      </c>
      <c r="G198" s="1748"/>
      <c r="H198" s="1782"/>
      <c r="I198" s="1782"/>
      <c r="J198" s="1783"/>
    </row>
    <row r="199" spans="1:10" ht="15.75" customHeight="1">
      <c r="A199" s="440"/>
      <c r="B199" s="1831"/>
      <c r="C199" s="380"/>
      <c r="D199" s="390"/>
      <c r="E199" s="1832"/>
      <c r="F199" s="320"/>
      <c r="G199" s="1748"/>
      <c r="H199" s="1782"/>
      <c r="I199" s="1782"/>
      <c r="J199" s="1783"/>
    </row>
    <row r="200" spans="1:10" ht="15.75" customHeight="1">
      <c r="A200" s="440"/>
      <c r="B200" s="1831" t="s">
        <v>217</v>
      </c>
      <c r="C200" s="1740" t="s">
        <v>2178</v>
      </c>
      <c r="D200" s="390"/>
      <c r="E200" s="1832"/>
      <c r="F200" s="320"/>
      <c r="G200" s="1748"/>
      <c r="H200" s="1782"/>
      <c r="I200" s="1782"/>
      <c r="J200" s="1783"/>
    </row>
    <row r="201" spans="1:10" ht="15.75" customHeight="1">
      <c r="A201" s="440"/>
      <c r="B201" s="1831"/>
      <c r="C201" s="1740" t="s">
        <v>2179</v>
      </c>
      <c r="D201" s="390">
        <v>0.5</v>
      </c>
      <c r="E201" s="1832" t="s">
        <v>888</v>
      </c>
      <c r="F201" s="320"/>
      <c r="G201" s="1748"/>
      <c r="H201" s="1782"/>
      <c r="I201" s="1782"/>
      <c r="J201" s="1783"/>
    </row>
    <row r="202" spans="1:10" ht="15.75" customHeight="1">
      <c r="A202" s="440"/>
      <c r="B202" s="1831"/>
      <c r="C202" s="380" t="s">
        <v>2180</v>
      </c>
      <c r="D202" s="390">
        <f>50/1</f>
        <v>50</v>
      </c>
      <c r="E202" s="1832" t="s">
        <v>357</v>
      </c>
      <c r="F202" s="320"/>
      <c r="G202" s="1748"/>
      <c r="H202" s="1782"/>
      <c r="I202" s="1782"/>
      <c r="J202" s="1783"/>
    </row>
    <row r="203" spans="1:10" ht="15.75" customHeight="1">
      <c r="A203" s="440"/>
      <c r="B203" s="1831"/>
      <c r="C203" s="380" t="s">
        <v>2181</v>
      </c>
      <c r="D203" s="590">
        <v>2</v>
      </c>
      <c r="E203" s="1835" t="s">
        <v>107</v>
      </c>
      <c r="F203" s="320"/>
      <c r="G203" s="1748"/>
      <c r="H203" s="1782"/>
      <c r="I203" s="1782"/>
      <c r="J203" s="1783"/>
    </row>
    <row r="204" spans="1:10" ht="15.75" customHeight="1">
      <c r="A204" s="440"/>
      <c r="B204" s="1831"/>
      <c r="C204" s="380"/>
      <c r="D204" s="452">
        <f>D201*D202*D203</f>
        <v>50</v>
      </c>
      <c r="E204" s="1832" t="s">
        <v>888</v>
      </c>
      <c r="F204" s="320"/>
      <c r="G204" s="1748"/>
      <c r="H204" s="1782"/>
      <c r="I204" s="1782"/>
      <c r="J204" s="1783"/>
    </row>
    <row r="205" spans="1:10" ht="15.75" customHeight="1">
      <c r="A205" s="440"/>
      <c r="B205" s="1831"/>
      <c r="C205" s="380" t="s">
        <v>2182</v>
      </c>
      <c r="D205" s="841">
        <f>D204*2</f>
        <v>100</v>
      </c>
      <c r="E205" s="1833" t="s">
        <v>888</v>
      </c>
      <c r="F205" s="320"/>
      <c r="G205" s="1748"/>
      <c r="H205" s="1782"/>
      <c r="I205" s="1782"/>
      <c r="J205" s="1783"/>
    </row>
    <row r="206" spans="1:10" ht="15.75" customHeight="1">
      <c r="A206" s="440"/>
      <c r="B206" s="1831"/>
      <c r="C206" s="380"/>
      <c r="D206" s="390"/>
      <c r="E206" s="1832"/>
      <c r="F206" s="320"/>
      <c r="G206" s="1748"/>
      <c r="H206" s="1782"/>
      <c r="I206" s="1782"/>
      <c r="J206" s="1783"/>
    </row>
    <row r="207" spans="1:10" ht="30" customHeight="1">
      <c r="A207" s="440"/>
      <c r="B207" s="1831"/>
      <c r="C207" s="1836" t="s">
        <v>2183</v>
      </c>
      <c r="D207" s="390">
        <f>34</f>
        <v>34</v>
      </c>
      <c r="E207" s="1832" t="s">
        <v>2156</v>
      </c>
      <c r="F207" s="320" t="s">
        <v>95</v>
      </c>
      <c r="G207" s="1748"/>
      <c r="H207" s="1782"/>
      <c r="I207" s="1782"/>
      <c r="J207" s="1783"/>
    </row>
    <row r="208" spans="1:10" ht="15.75" customHeight="1">
      <c r="A208" s="440"/>
      <c r="B208" s="1831"/>
      <c r="C208" s="1834" t="s">
        <v>2157</v>
      </c>
      <c r="D208" s="390">
        <v>2</v>
      </c>
      <c r="E208" s="1832" t="s">
        <v>1686</v>
      </c>
      <c r="F208" s="320" t="s">
        <v>98</v>
      </c>
      <c r="G208" s="1748"/>
      <c r="H208" s="1782"/>
      <c r="I208" s="1782"/>
      <c r="J208" s="1783"/>
    </row>
    <row r="209" spans="1:10" ht="15.75" customHeight="1">
      <c r="A209" s="440"/>
      <c r="B209" s="1831"/>
      <c r="C209" s="380" t="s">
        <v>2158</v>
      </c>
      <c r="D209" s="390">
        <v>1.5</v>
      </c>
      <c r="E209" s="1832" t="s">
        <v>117</v>
      </c>
      <c r="F209" s="320" t="s">
        <v>101</v>
      </c>
      <c r="G209" s="1748"/>
      <c r="H209" s="1782"/>
      <c r="I209" s="1782"/>
      <c r="J209" s="1783"/>
    </row>
    <row r="210" spans="1:10" ht="15.75" customHeight="1">
      <c r="A210" s="440"/>
      <c r="B210" s="1831"/>
      <c r="C210" s="380" t="s">
        <v>2159</v>
      </c>
      <c r="D210" s="590">
        <v>0.5</v>
      </c>
      <c r="E210" s="1835" t="s">
        <v>888</v>
      </c>
      <c r="F210" s="320" t="s">
        <v>121</v>
      </c>
      <c r="G210" s="1748"/>
      <c r="H210" s="1782"/>
      <c r="I210" s="1782"/>
      <c r="J210" s="1783"/>
    </row>
    <row r="211" spans="1:10" ht="15.75" customHeight="1">
      <c r="A211" s="440"/>
      <c r="B211" s="1831"/>
      <c r="C211" s="380" t="s">
        <v>2160</v>
      </c>
      <c r="D211" s="841">
        <f>D207*D208*D210</f>
        <v>34</v>
      </c>
      <c r="E211" s="1833" t="s">
        <v>888</v>
      </c>
      <c r="F211" s="320" t="s">
        <v>142</v>
      </c>
      <c r="G211" s="1748"/>
      <c r="H211" s="1782"/>
      <c r="I211" s="1782"/>
      <c r="J211" s="1783"/>
    </row>
    <row r="212" spans="1:10" ht="15.75" customHeight="1">
      <c r="A212" s="440"/>
      <c r="B212" s="1831"/>
      <c r="C212" s="380"/>
      <c r="D212" s="841"/>
      <c r="E212" s="1833"/>
      <c r="F212" s="320"/>
      <c r="G212" s="1748"/>
      <c r="H212" s="1782"/>
      <c r="I212" s="1782"/>
      <c r="J212" s="1783"/>
    </row>
    <row r="213" spans="1:10" ht="30" customHeight="1">
      <c r="A213" s="440"/>
      <c r="B213" s="1831"/>
      <c r="C213" s="1836" t="s">
        <v>2161</v>
      </c>
      <c r="D213" s="390">
        <f>49.5/4.5</f>
        <v>11</v>
      </c>
      <c r="E213" s="1832" t="s">
        <v>2162</v>
      </c>
      <c r="F213" s="320" t="s">
        <v>95</v>
      </c>
      <c r="G213" s="1748"/>
      <c r="H213" s="1782"/>
      <c r="I213" s="1782"/>
      <c r="J213" s="1783"/>
    </row>
    <row r="214" spans="1:10" ht="15.75" customHeight="1">
      <c r="A214" s="440"/>
      <c r="B214" s="1831"/>
      <c r="C214" s="1834" t="s">
        <v>2163</v>
      </c>
      <c r="D214" s="390">
        <v>2</v>
      </c>
      <c r="E214" s="1832" t="s">
        <v>2156</v>
      </c>
      <c r="F214" s="320" t="s">
        <v>98</v>
      </c>
      <c r="G214" s="1748"/>
      <c r="H214" s="1782"/>
      <c r="I214" s="1782"/>
      <c r="J214" s="1783"/>
    </row>
    <row r="215" spans="1:10" ht="15.75" customHeight="1">
      <c r="A215" s="440"/>
      <c r="B215" s="1831"/>
      <c r="C215" s="1834" t="s">
        <v>2164</v>
      </c>
      <c r="D215" s="390">
        <f>D213*D214</f>
        <v>22</v>
      </c>
      <c r="E215" s="1832" t="s">
        <v>2165</v>
      </c>
      <c r="F215" s="320" t="s">
        <v>101</v>
      </c>
      <c r="G215" s="1748"/>
      <c r="H215" s="1782"/>
      <c r="I215" s="1782"/>
      <c r="J215" s="1783"/>
    </row>
    <row r="216" spans="1:10" ht="15.75" customHeight="1">
      <c r="A216" s="440"/>
      <c r="B216" s="1831"/>
      <c r="C216" s="1834" t="s">
        <v>2166</v>
      </c>
      <c r="D216" s="390">
        <v>1</v>
      </c>
      <c r="E216" s="1832" t="s">
        <v>888</v>
      </c>
      <c r="F216" s="320" t="s">
        <v>121</v>
      </c>
      <c r="G216" s="1748"/>
      <c r="H216" s="1782"/>
      <c r="I216" s="1782"/>
      <c r="J216" s="1783"/>
    </row>
    <row r="217" spans="1:10" ht="15.75" customHeight="1">
      <c r="A217" s="440"/>
      <c r="B217" s="1831"/>
      <c r="C217" s="1834" t="s">
        <v>2167</v>
      </c>
      <c r="D217" s="590">
        <v>2</v>
      </c>
      <c r="E217" s="1835" t="s">
        <v>1686</v>
      </c>
      <c r="F217" s="320" t="s">
        <v>142</v>
      </c>
      <c r="G217" s="1748"/>
      <c r="H217" s="1782"/>
      <c r="I217" s="1782"/>
      <c r="J217" s="1783"/>
    </row>
    <row r="218" spans="1:10" ht="15.75" customHeight="1">
      <c r="A218" s="440"/>
      <c r="B218" s="1831"/>
      <c r="C218" s="380" t="s">
        <v>2168</v>
      </c>
      <c r="D218" s="841">
        <f>D215*D216*D217</f>
        <v>44</v>
      </c>
      <c r="E218" s="1833" t="s">
        <v>888</v>
      </c>
      <c r="F218" s="320" t="s">
        <v>217</v>
      </c>
      <c r="G218" s="1748"/>
      <c r="H218" s="1782"/>
      <c r="I218" s="1782"/>
      <c r="J218" s="1783"/>
    </row>
    <row r="219" spans="1:10" ht="15.75" customHeight="1">
      <c r="A219" s="440"/>
      <c r="B219" s="1831"/>
      <c r="C219" s="1831"/>
      <c r="D219" s="390"/>
      <c r="E219" s="1832"/>
      <c r="F219" s="320"/>
      <c r="G219" s="1748"/>
      <c r="H219" s="1782"/>
      <c r="I219" s="1782"/>
      <c r="J219" s="1783"/>
    </row>
    <row r="220" spans="1:10" ht="15.75" customHeight="1">
      <c r="A220" s="440"/>
      <c r="B220" s="1831"/>
      <c r="C220" s="1740" t="s">
        <v>2184</v>
      </c>
      <c r="D220" s="390"/>
      <c r="E220" s="1832"/>
      <c r="F220" s="320"/>
      <c r="G220" s="1748"/>
      <c r="H220" s="1782"/>
      <c r="I220" s="1782"/>
      <c r="J220" s="1783"/>
    </row>
    <row r="221" spans="1:10" ht="15.75" customHeight="1">
      <c r="A221" s="440"/>
      <c r="B221" s="1831"/>
      <c r="C221" s="380" t="s">
        <v>2185</v>
      </c>
      <c r="D221" s="390">
        <v>10</v>
      </c>
      <c r="E221" s="1832" t="s">
        <v>888</v>
      </c>
      <c r="F221" s="320" t="s">
        <v>95</v>
      </c>
      <c r="G221" s="1748"/>
      <c r="H221" s="1782"/>
      <c r="I221" s="1782"/>
      <c r="J221" s="1783"/>
    </row>
    <row r="222" spans="1:10" ht="15.75" customHeight="1">
      <c r="A222" s="440"/>
      <c r="B222" s="1831"/>
      <c r="C222" s="380" t="s">
        <v>2186</v>
      </c>
      <c r="D222" s="590">
        <v>4</v>
      </c>
      <c r="E222" s="1835" t="s">
        <v>2187</v>
      </c>
      <c r="F222" s="320" t="s">
        <v>98</v>
      </c>
      <c r="G222" s="1748"/>
      <c r="H222" s="1782"/>
      <c r="I222" s="1782"/>
      <c r="J222" s="1783"/>
    </row>
    <row r="223" spans="1:10" ht="15.75" customHeight="1">
      <c r="A223" s="440"/>
      <c r="B223" s="1831"/>
      <c r="C223" s="380" t="s">
        <v>2188</v>
      </c>
      <c r="D223" s="841">
        <f>D221*D222</f>
        <v>40</v>
      </c>
      <c r="E223" s="1833" t="s">
        <v>888</v>
      </c>
      <c r="F223" s="320" t="s">
        <v>101</v>
      </c>
      <c r="G223" s="1748"/>
      <c r="H223" s="1782"/>
      <c r="I223" s="1782"/>
      <c r="J223" s="1783"/>
    </row>
    <row r="224" spans="1:10" ht="15.75" customHeight="1">
      <c r="A224" s="440"/>
      <c r="B224" s="1831"/>
      <c r="C224" s="380"/>
      <c r="D224" s="390"/>
      <c r="E224" s="1832"/>
      <c r="F224" s="320"/>
      <c r="G224" s="1748"/>
      <c r="H224" s="1782"/>
      <c r="I224" s="1782"/>
      <c r="J224" s="1783"/>
    </row>
    <row r="225" spans="1:10" ht="15.75" customHeight="1">
      <c r="A225" s="440"/>
      <c r="B225" s="1831"/>
      <c r="C225" s="380" t="s">
        <v>2189</v>
      </c>
      <c r="D225" s="390">
        <v>0.2</v>
      </c>
      <c r="E225" s="1832" t="s">
        <v>888</v>
      </c>
      <c r="F225" s="320" t="s">
        <v>95</v>
      </c>
      <c r="G225" s="1748"/>
      <c r="H225" s="1782"/>
      <c r="I225" s="1782"/>
      <c r="J225" s="1783"/>
    </row>
    <row r="226" spans="1:10" ht="15.75" customHeight="1">
      <c r="A226" s="440"/>
      <c r="B226" s="1831"/>
      <c r="C226" s="380" t="s">
        <v>2190</v>
      </c>
      <c r="D226" s="590">
        <v>35</v>
      </c>
      <c r="E226" s="1832" t="s">
        <v>2156</v>
      </c>
      <c r="F226" s="320" t="s">
        <v>98</v>
      </c>
      <c r="G226" s="1748"/>
      <c r="H226" s="1782"/>
      <c r="I226" s="1782"/>
      <c r="J226" s="1783"/>
    </row>
    <row r="227" spans="1:10" ht="15.75" customHeight="1">
      <c r="A227" s="440"/>
      <c r="B227" s="1831"/>
      <c r="C227" s="380" t="s">
        <v>2160</v>
      </c>
      <c r="D227" s="841">
        <f>D225*D226</f>
        <v>7</v>
      </c>
      <c r="E227" s="1833" t="s">
        <v>888</v>
      </c>
      <c r="F227" s="320" t="s">
        <v>217</v>
      </c>
      <c r="G227" s="1748"/>
      <c r="H227" s="1782"/>
      <c r="I227" s="1782"/>
      <c r="J227" s="1783"/>
    </row>
    <row r="228" spans="1:10" ht="15.75" customHeight="1">
      <c r="A228" s="440"/>
      <c r="B228" s="1831"/>
      <c r="C228" s="1831" t="s">
        <v>2191</v>
      </c>
      <c r="D228" s="390">
        <f>+D205+D211+D218+D223+D227</f>
        <v>225</v>
      </c>
      <c r="E228" s="1832"/>
      <c r="F228" s="320"/>
      <c r="G228" s="1748"/>
      <c r="H228" s="1782"/>
      <c r="I228" s="1782"/>
      <c r="J228" s="1783"/>
    </row>
    <row r="229" spans="1:10" ht="15.75" customHeight="1">
      <c r="A229" s="440"/>
      <c r="B229" s="1831"/>
      <c r="C229" s="1739" t="s">
        <v>2192</v>
      </c>
      <c r="D229" s="841">
        <f>D228*2</f>
        <v>450</v>
      </c>
      <c r="E229" s="1833" t="s">
        <v>888</v>
      </c>
      <c r="F229" s="320"/>
      <c r="G229" s="1748"/>
      <c r="H229" s="1782"/>
      <c r="I229" s="1782"/>
      <c r="J229" s="1783"/>
    </row>
    <row r="230" spans="1:10" ht="15.75" customHeight="1">
      <c r="A230" s="440"/>
      <c r="B230" s="1831"/>
      <c r="C230" s="380"/>
      <c r="D230" s="390"/>
      <c r="E230" s="1832"/>
      <c r="F230" s="320"/>
      <c r="G230" s="1748"/>
      <c r="H230" s="1782"/>
      <c r="I230" s="1782"/>
      <c r="J230" s="1783"/>
    </row>
    <row r="231" spans="1:10" ht="15.75" customHeight="1">
      <c r="A231" s="440"/>
      <c r="B231" s="1831"/>
      <c r="C231" s="1831" t="s">
        <v>2193</v>
      </c>
      <c r="D231" s="390">
        <f>D171+D177+D184+D191+D198+D229</f>
        <v>819.33333333333326</v>
      </c>
      <c r="E231" s="1832" t="s">
        <v>888</v>
      </c>
      <c r="F231" s="1748">
        <v>19596.8</v>
      </c>
      <c r="G231" s="1837">
        <f>D231*F231</f>
        <v>16056311.466666665</v>
      </c>
      <c r="H231" s="1838">
        <v>1</v>
      </c>
      <c r="I231" s="1749">
        <f>(G231/G$383)*H231</f>
        <v>0.26536301449278393</v>
      </c>
      <c r="J231" s="1783"/>
    </row>
    <row r="232" spans="1:10" ht="15.75" customHeight="1">
      <c r="A232" s="440"/>
      <c r="B232" s="1831"/>
      <c r="C232" s="1831" t="s">
        <v>2194</v>
      </c>
      <c r="D232" s="390">
        <f>(1.2*50*2)/(1.2*2.4)</f>
        <v>41.666666666666671</v>
      </c>
      <c r="E232" s="1832" t="s">
        <v>2086</v>
      </c>
      <c r="F232" s="1748"/>
      <c r="G232" s="1837"/>
      <c r="H232" s="1839"/>
      <c r="I232" s="1782"/>
      <c r="J232" s="1783"/>
    </row>
    <row r="233" spans="1:10" ht="15.75" customHeight="1">
      <c r="A233" s="440"/>
      <c r="B233" s="1831"/>
      <c r="C233" s="1831" t="s">
        <v>2195</v>
      </c>
      <c r="D233" s="390">
        <f>ROUNDUP(D232,-0.5)</f>
        <v>42</v>
      </c>
      <c r="E233" s="1832" t="s">
        <v>2086</v>
      </c>
      <c r="F233" s="1748">
        <f>'Bahan &amp; Upah'!C$93</f>
        <v>278348.95</v>
      </c>
      <c r="G233" s="1837">
        <f>D233*F233</f>
        <v>11690655.9</v>
      </c>
      <c r="H233" s="1838">
        <v>1</v>
      </c>
      <c r="I233" s="1749">
        <f>(G233/G$383)*H233</f>
        <v>0.1932117284509734</v>
      </c>
      <c r="J233" s="1783"/>
    </row>
    <row r="234" spans="1:10" ht="15.75" customHeight="1">
      <c r="A234" s="440"/>
      <c r="B234" s="1831"/>
      <c r="C234" s="380"/>
      <c r="D234" s="390"/>
      <c r="E234" s="1832"/>
      <c r="F234" s="1748"/>
      <c r="G234" s="1748"/>
      <c r="H234" s="1839"/>
      <c r="I234" s="1782"/>
      <c r="J234" s="1783"/>
    </row>
    <row r="235" spans="1:10" ht="15.75" customHeight="1">
      <c r="A235" s="440"/>
      <c r="B235" s="1739">
        <v>2</v>
      </c>
      <c r="C235" s="1740" t="s">
        <v>2196</v>
      </c>
      <c r="D235" s="390"/>
      <c r="E235" s="1832"/>
      <c r="F235" s="1748"/>
      <c r="G235" s="1748"/>
      <c r="H235" s="1839"/>
      <c r="I235" s="1782"/>
      <c r="J235" s="1783"/>
    </row>
    <row r="236" spans="1:10" ht="15.75" customHeight="1">
      <c r="A236" s="440"/>
      <c r="B236" s="1831" t="s">
        <v>95</v>
      </c>
      <c r="C236" s="380" t="s">
        <v>2197</v>
      </c>
      <c r="D236" s="390">
        <f>D171*2*2</f>
        <v>408</v>
      </c>
      <c r="E236" s="1832" t="s">
        <v>357</v>
      </c>
      <c r="F236" s="1748"/>
      <c r="G236" s="1748"/>
      <c r="H236" s="1839"/>
      <c r="I236" s="1782"/>
      <c r="J236" s="1783"/>
    </row>
    <row r="237" spans="1:10" ht="27.75" customHeight="1">
      <c r="A237" s="440"/>
      <c r="B237" s="1831" t="s">
        <v>98</v>
      </c>
      <c r="C237" s="1834" t="s">
        <v>2155</v>
      </c>
      <c r="D237" s="390">
        <f>D177*2</f>
        <v>136</v>
      </c>
      <c r="E237" s="1832" t="s">
        <v>357</v>
      </c>
      <c r="F237" s="1748"/>
      <c r="G237" s="1748"/>
      <c r="H237" s="1839"/>
      <c r="I237" s="1782"/>
      <c r="J237" s="1783"/>
    </row>
    <row r="238" spans="1:10" ht="27.75" customHeight="1">
      <c r="A238" s="440"/>
      <c r="B238" s="1831" t="s">
        <v>101</v>
      </c>
      <c r="C238" s="1834" t="s">
        <v>2161</v>
      </c>
      <c r="D238" s="390">
        <f>D184*3</f>
        <v>198</v>
      </c>
      <c r="E238" s="1832" t="s">
        <v>357</v>
      </c>
      <c r="F238" s="1748"/>
      <c r="G238" s="1748"/>
      <c r="H238" s="1839"/>
      <c r="I238" s="1782"/>
      <c r="J238" s="1783"/>
    </row>
    <row r="239" spans="1:10" ht="27.75" customHeight="1">
      <c r="A239" s="440"/>
      <c r="B239" s="1831" t="s">
        <v>121</v>
      </c>
      <c r="C239" s="1834" t="s">
        <v>2169</v>
      </c>
      <c r="D239" s="390">
        <f>D191*3*2</f>
        <v>272</v>
      </c>
      <c r="E239" s="1832" t="s">
        <v>357</v>
      </c>
      <c r="F239" s="1748"/>
      <c r="G239" s="1748"/>
      <c r="H239" s="1839"/>
      <c r="I239" s="1782"/>
      <c r="J239" s="1783"/>
    </row>
    <row r="240" spans="1:10" ht="27.75" customHeight="1">
      <c r="A240" s="440"/>
      <c r="B240" s="1831" t="s">
        <v>142</v>
      </c>
      <c r="C240" s="1834" t="s">
        <v>2175</v>
      </c>
      <c r="D240" s="390">
        <f>D198*3*2</f>
        <v>528</v>
      </c>
      <c r="E240" s="1832" t="s">
        <v>357</v>
      </c>
      <c r="F240" s="1748"/>
      <c r="G240" s="1748"/>
      <c r="H240" s="1839"/>
      <c r="I240" s="1782"/>
      <c r="J240" s="1783"/>
    </row>
    <row r="241" spans="1:10" ht="27.75" customHeight="1">
      <c r="A241" s="440"/>
      <c r="B241" s="1831" t="s">
        <v>217</v>
      </c>
      <c r="C241" s="1834" t="s">
        <v>2178</v>
      </c>
      <c r="D241" s="590">
        <f>D205*2+D211*4*2+D218*3+D223*3+D227*4*2</f>
        <v>780</v>
      </c>
      <c r="E241" s="1835" t="s">
        <v>357</v>
      </c>
      <c r="F241" s="1748"/>
      <c r="G241" s="1748"/>
      <c r="H241" s="1839"/>
      <c r="I241" s="1782"/>
      <c r="J241" s="1783"/>
    </row>
    <row r="242" spans="1:10" ht="15.75" customHeight="1">
      <c r="A242" s="440"/>
      <c r="B242" s="1831"/>
      <c r="C242" s="1831" t="s">
        <v>11</v>
      </c>
      <c r="D242" s="390">
        <f>SUM(D236:D241)</f>
        <v>2322</v>
      </c>
      <c r="E242" s="1832" t="s">
        <v>357</v>
      </c>
      <c r="F242" s="1748"/>
      <c r="G242" s="1748"/>
      <c r="H242" s="1839"/>
      <c r="I242" s="1782"/>
      <c r="J242" s="1783"/>
    </row>
    <row r="243" spans="1:10" ht="15.75" customHeight="1">
      <c r="A243" s="440"/>
      <c r="B243" s="1831"/>
      <c r="C243" s="380" t="s">
        <v>2198</v>
      </c>
      <c r="D243" s="590">
        <v>1.5</v>
      </c>
      <c r="E243" s="1832" t="s">
        <v>10</v>
      </c>
      <c r="F243" s="1748"/>
      <c r="G243" s="1748"/>
      <c r="H243" s="1839"/>
      <c r="I243" s="1782"/>
      <c r="J243" s="1783"/>
    </row>
    <row r="244" spans="1:10" ht="15.75" customHeight="1">
      <c r="A244" s="440"/>
      <c r="B244" s="1831"/>
      <c r="C244" s="1739" t="s">
        <v>2199</v>
      </c>
      <c r="D244" s="841">
        <f>D242*D243</f>
        <v>3483</v>
      </c>
      <c r="E244" s="1833" t="s">
        <v>10</v>
      </c>
      <c r="F244" s="1748">
        <v>1542.11</v>
      </c>
      <c r="G244" s="1837">
        <f>D244*F244</f>
        <v>5371169.1299999999</v>
      </c>
      <c r="H244" s="1838">
        <v>1</v>
      </c>
      <c r="I244" s="1749">
        <f>(G244/G$383)*H244</f>
        <v>8.8769430927293905E-2</v>
      </c>
      <c r="J244" s="1783"/>
    </row>
    <row r="245" spans="1:10" ht="15.75" customHeight="1">
      <c r="A245" s="440"/>
      <c r="B245" s="1831"/>
      <c r="C245" s="380"/>
      <c r="D245" s="390"/>
      <c r="E245" s="1832"/>
      <c r="F245" s="1748"/>
      <c r="G245" s="1748"/>
      <c r="H245" s="1838"/>
      <c r="I245" s="1840"/>
      <c r="J245" s="1783"/>
    </row>
    <row r="246" spans="1:10" ht="15.75" customHeight="1">
      <c r="A246" s="440"/>
      <c r="B246" s="1831"/>
      <c r="C246" s="1740" t="s">
        <v>2200</v>
      </c>
      <c r="D246" s="390"/>
      <c r="E246" s="1832"/>
      <c r="F246" s="1748"/>
      <c r="G246" s="1748"/>
      <c r="H246" s="1838"/>
      <c r="I246" s="1840"/>
      <c r="J246" s="1783"/>
    </row>
    <row r="247" spans="1:10" ht="15.75" customHeight="1">
      <c r="A247" s="440"/>
      <c r="B247" s="1831"/>
      <c r="C247" s="380" t="s">
        <v>2201</v>
      </c>
      <c r="D247" s="390">
        <f>D229*3</f>
        <v>1350</v>
      </c>
      <c r="E247" s="1832" t="s">
        <v>357</v>
      </c>
      <c r="F247" s="1748">
        <f>G253</f>
        <v>3320.1728333333331</v>
      </c>
      <c r="G247" s="1837">
        <f>D247*F247</f>
        <v>4482233.3249999993</v>
      </c>
      <c r="H247" s="1838">
        <v>1</v>
      </c>
      <c r="I247" s="1749">
        <f>(G247/G$383)*H247</f>
        <v>7.4077969230434998E-2</v>
      </c>
      <c r="J247" s="1783"/>
    </row>
    <row r="248" spans="1:10" ht="15.75" customHeight="1">
      <c r="A248" s="440"/>
      <c r="B248" s="1831"/>
      <c r="C248" s="380" t="s">
        <v>2202</v>
      </c>
      <c r="D248" s="390">
        <v>5</v>
      </c>
      <c r="E248" s="1832" t="s">
        <v>2203</v>
      </c>
      <c r="F248" s="1748"/>
      <c r="G248" s="1748"/>
      <c r="H248" s="1838"/>
      <c r="I248" s="1840"/>
      <c r="J248" s="1783"/>
    </row>
    <row r="249" spans="1:10" ht="15.75" customHeight="1">
      <c r="A249" s="440"/>
      <c r="B249" s="1831"/>
      <c r="C249" s="380" t="s">
        <v>2204</v>
      </c>
      <c r="D249" s="590">
        <v>2</v>
      </c>
      <c r="E249" s="1835" t="s">
        <v>2203</v>
      </c>
      <c r="F249" s="1748"/>
      <c r="G249" s="1748"/>
      <c r="H249" s="1838"/>
      <c r="I249" s="1840"/>
      <c r="J249" s="1783"/>
    </row>
    <row r="250" spans="1:10" ht="15.75" customHeight="1">
      <c r="A250" s="440"/>
      <c r="B250" s="1831"/>
      <c r="C250" s="380"/>
      <c r="D250" s="390">
        <f>SUM(D248:D249)</f>
        <v>7</v>
      </c>
      <c r="E250" s="1832" t="s">
        <v>2203</v>
      </c>
      <c r="F250" s="1748"/>
      <c r="G250" s="1748"/>
      <c r="H250" s="1838"/>
      <c r="I250" s="1840"/>
      <c r="J250" s="1783"/>
    </row>
    <row r="251" spans="1:10" ht="15.75" customHeight="1">
      <c r="A251" s="440"/>
      <c r="B251" s="1831"/>
      <c r="C251" s="380" t="s">
        <v>2205</v>
      </c>
      <c r="D251" s="390">
        <v>7</v>
      </c>
      <c r="E251" s="1832" t="s">
        <v>1340</v>
      </c>
      <c r="F251" s="1748"/>
      <c r="G251" s="1748"/>
      <c r="H251" s="1838"/>
      <c r="I251" s="1840"/>
      <c r="J251" s="1783"/>
    </row>
    <row r="252" spans="1:10" ht="15.75" customHeight="1">
      <c r="A252" s="440"/>
      <c r="B252" s="1831"/>
      <c r="C252" s="380"/>
      <c r="D252" s="390">
        <f>D251*60</f>
        <v>420</v>
      </c>
      <c r="E252" s="1832" t="s">
        <v>2203</v>
      </c>
      <c r="F252" s="1748"/>
      <c r="G252" s="1748"/>
      <c r="H252" s="1838"/>
      <c r="I252" s="1840"/>
      <c r="J252" s="1783"/>
    </row>
    <row r="253" spans="1:10" ht="15.75" customHeight="1">
      <c r="A253" s="440"/>
      <c r="B253" s="1831"/>
      <c r="C253" s="1831" t="s">
        <v>2206</v>
      </c>
      <c r="D253" s="1841">
        <f>D250/D252</f>
        <v>1.6666666666666666E-2</v>
      </c>
      <c r="E253" s="1832"/>
      <c r="F253" s="1748">
        <v>199210.37</v>
      </c>
      <c r="G253" s="1748">
        <f>D253*F253</f>
        <v>3320.1728333333331</v>
      </c>
      <c r="H253" s="1838"/>
      <c r="I253" s="1840"/>
      <c r="J253" s="1783"/>
    </row>
    <row r="254" spans="1:10" ht="15.75" customHeight="1">
      <c r="A254" s="440"/>
      <c r="B254" s="1831"/>
      <c r="C254" s="1740" t="s">
        <v>2207</v>
      </c>
      <c r="D254" s="390"/>
      <c r="E254" s="1832"/>
      <c r="F254" s="1748"/>
      <c r="G254" s="1748"/>
      <c r="H254" s="1838"/>
      <c r="I254" s="1840"/>
      <c r="J254" s="1783"/>
    </row>
    <row r="255" spans="1:10" ht="15.75" customHeight="1">
      <c r="A255" s="440"/>
      <c r="B255" s="1831"/>
      <c r="C255" s="380" t="s">
        <v>2208</v>
      </c>
      <c r="D255" s="1841">
        <f>(3.14*(0.035^2))*6</f>
        <v>2.3079000000000002E-2</v>
      </c>
      <c r="E255" s="1832" t="s">
        <v>103</v>
      </c>
      <c r="F255" s="1748"/>
      <c r="G255" s="1748"/>
      <c r="H255" s="1838"/>
      <c r="I255" s="1840"/>
      <c r="J255" s="1783"/>
    </row>
    <row r="256" spans="1:10" ht="15.75" customHeight="1">
      <c r="A256" s="440"/>
      <c r="B256" s="1831"/>
      <c r="C256" s="1831" t="s">
        <v>2209</v>
      </c>
      <c r="D256" s="390">
        <f>D231</f>
        <v>819.33333333333326</v>
      </c>
      <c r="E256" s="1832" t="s">
        <v>888</v>
      </c>
      <c r="F256" s="1748"/>
      <c r="G256" s="1748"/>
      <c r="H256" s="1838"/>
      <c r="I256" s="1840"/>
      <c r="J256" s="1783"/>
    </row>
    <row r="257" spans="1:10" ht="15.75" customHeight="1">
      <c r="A257" s="440"/>
      <c r="B257" s="1831"/>
      <c r="C257" s="1831" t="s">
        <v>2210</v>
      </c>
      <c r="D257" s="390">
        <f>D255*D256</f>
        <v>18.909393999999999</v>
      </c>
      <c r="E257" s="1832" t="s">
        <v>103</v>
      </c>
      <c r="F257" s="1748">
        <f>G410</f>
        <v>377554.88641711895</v>
      </c>
      <c r="G257" s="1837">
        <f>D257*F257</f>
        <v>7139334.1038865503</v>
      </c>
      <c r="H257" s="1838">
        <v>1</v>
      </c>
      <c r="I257" s="1749">
        <f>(G257/G$383)*H257</f>
        <v>0.11799193253142465</v>
      </c>
      <c r="J257" s="1783"/>
    </row>
    <row r="258" spans="1:10" ht="15.75" customHeight="1">
      <c r="A258" s="440"/>
      <c r="B258" s="1831"/>
      <c r="C258" s="380"/>
      <c r="D258" s="390"/>
      <c r="E258" s="1832"/>
      <c r="F258" s="1748"/>
      <c r="G258" s="1748"/>
      <c r="H258" s="1838"/>
      <c r="I258" s="1840"/>
      <c r="J258" s="1783"/>
    </row>
    <row r="259" spans="1:10" ht="15.75" customHeight="1">
      <c r="A259" s="440"/>
      <c r="B259" s="1831"/>
      <c r="C259" s="1740" t="s">
        <v>2211</v>
      </c>
      <c r="D259" s="390"/>
      <c r="E259" s="1832"/>
      <c r="F259" s="1748"/>
      <c r="G259" s="1748"/>
      <c r="H259" s="1838"/>
      <c r="I259" s="1840"/>
      <c r="J259" s="1783"/>
    </row>
    <row r="260" spans="1:10" ht="15.75" customHeight="1">
      <c r="A260" s="440"/>
      <c r="B260" s="1831" t="s">
        <v>95</v>
      </c>
      <c r="C260" s="380" t="s">
        <v>2197</v>
      </c>
      <c r="D260" s="390">
        <f>D171*2</f>
        <v>204</v>
      </c>
      <c r="E260" s="1832" t="s">
        <v>2212</v>
      </c>
      <c r="F260" s="1748">
        <f>G271</f>
        <v>10597.117571428571</v>
      </c>
      <c r="G260" s="1837">
        <f>D260*F260</f>
        <v>2161811.9845714285</v>
      </c>
      <c r="H260" s="1838">
        <v>1</v>
      </c>
      <c r="I260" s="1749">
        <f>(G260/G$383)*H260</f>
        <v>3.5728314450267473E-2</v>
      </c>
      <c r="J260" s="1783"/>
    </row>
    <row r="261" spans="1:10" ht="15.75" customHeight="1">
      <c r="A261" s="440"/>
      <c r="B261" s="1831"/>
      <c r="C261" s="380" t="s">
        <v>2213</v>
      </c>
      <c r="D261" s="390">
        <v>5</v>
      </c>
      <c r="E261" s="1832" t="s">
        <v>2203</v>
      </c>
      <c r="F261" s="1748"/>
      <c r="G261" s="1748"/>
      <c r="H261" s="1838"/>
      <c r="I261" s="1840"/>
      <c r="J261" s="1783"/>
    </row>
    <row r="262" spans="1:10" ht="15.75" customHeight="1">
      <c r="A262" s="440"/>
      <c r="B262" s="1831"/>
      <c r="C262" s="380" t="s">
        <v>2214</v>
      </c>
      <c r="D262" s="390">
        <v>2</v>
      </c>
      <c r="E262" s="1832" t="s">
        <v>2203</v>
      </c>
      <c r="F262" s="1748"/>
      <c r="G262" s="1748"/>
      <c r="H262" s="1838"/>
      <c r="I262" s="1840"/>
      <c r="J262" s="1783"/>
    </row>
    <row r="263" spans="1:10" ht="15.75" customHeight="1">
      <c r="A263" s="440"/>
      <c r="B263" s="1831"/>
      <c r="C263" s="380" t="s">
        <v>2215</v>
      </c>
      <c r="D263" s="590">
        <v>10</v>
      </c>
      <c r="E263" s="1835" t="s">
        <v>2203</v>
      </c>
      <c r="F263" s="1748"/>
      <c r="G263" s="1748"/>
      <c r="H263" s="1838"/>
      <c r="I263" s="1840"/>
      <c r="J263" s="1783"/>
    </row>
    <row r="264" spans="1:10" ht="15.75" customHeight="1">
      <c r="A264" s="440"/>
      <c r="B264" s="1831"/>
      <c r="C264" s="1831" t="s">
        <v>11</v>
      </c>
      <c r="D264" s="390">
        <f>SUM(D261:D263)</f>
        <v>17</v>
      </c>
      <c r="E264" s="1832" t="s">
        <v>2203</v>
      </c>
      <c r="F264" s="1748"/>
      <c r="G264" s="1748"/>
      <c r="H264" s="1838"/>
      <c r="I264" s="1840"/>
      <c r="J264" s="1783"/>
    </row>
    <row r="265" spans="1:10" ht="15.75" customHeight="1">
      <c r="A265" s="440"/>
      <c r="B265" s="1831"/>
      <c r="C265" s="1831" t="s">
        <v>2216</v>
      </c>
      <c r="D265" s="390">
        <v>7</v>
      </c>
      <c r="E265" s="1832" t="s">
        <v>1340</v>
      </c>
      <c r="F265" s="1748"/>
      <c r="G265" s="1748"/>
      <c r="H265" s="1838"/>
      <c r="I265" s="1840"/>
      <c r="J265" s="1783"/>
    </row>
    <row r="266" spans="1:10" ht="15.75" customHeight="1">
      <c r="A266" s="440"/>
      <c r="B266" s="1831"/>
      <c r="C266" s="1831"/>
      <c r="D266" s="390">
        <f>D265*60</f>
        <v>420</v>
      </c>
      <c r="E266" s="1832" t="s">
        <v>2203</v>
      </c>
      <c r="F266" s="1748"/>
      <c r="G266" s="1748"/>
      <c r="H266" s="1838"/>
      <c r="I266" s="1840"/>
      <c r="J266" s="1783"/>
    </row>
    <row r="267" spans="1:10" ht="15.75" customHeight="1">
      <c r="A267" s="440"/>
      <c r="B267" s="1831"/>
      <c r="C267" s="1831" t="s">
        <v>2211</v>
      </c>
      <c r="D267" s="1841">
        <f>D264/D266</f>
        <v>4.0476190476190478E-2</v>
      </c>
      <c r="E267" s="1832"/>
      <c r="F267" s="1748"/>
      <c r="G267" s="1748"/>
      <c r="H267" s="1838"/>
      <c r="I267" s="1840"/>
      <c r="J267" s="1783"/>
    </row>
    <row r="268" spans="1:10" ht="15.75" customHeight="1">
      <c r="A268" s="440"/>
      <c r="B268" s="1831"/>
      <c r="C268" s="380" t="s">
        <v>2103</v>
      </c>
      <c r="D268" s="1841">
        <f>D267</f>
        <v>4.0476190476190478E-2</v>
      </c>
      <c r="E268" s="1832" t="s">
        <v>2069</v>
      </c>
      <c r="F268" s="1748">
        <f>'Bahan &amp; Upah'!C$336</f>
        <v>96332.65</v>
      </c>
      <c r="G268" s="1748">
        <f>D268*F268</f>
        <v>3899.1786904761902</v>
      </c>
      <c r="H268" s="1838"/>
      <c r="I268" s="1840"/>
      <c r="J268" s="1783"/>
    </row>
    <row r="269" spans="1:10" ht="15.75" customHeight="1">
      <c r="A269" s="440"/>
      <c r="B269" s="1831"/>
      <c r="C269" s="380" t="s">
        <v>2070</v>
      </c>
      <c r="D269" s="1841">
        <f>D267</f>
        <v>4.0476190476190478E-2</v>
      </c>
      <c r="E269" s="1832" t="s">
        <v>2069</v>
      </c>
      <c r="F269" s="1748">
        <f>'Bahan &amp; Upah'!C$337</f>
        <v>114133.55</v>
      </c>
      <c r="G269" s="1748">
        <f>D269*F269</f>
        <v>4619.6913095238097</v>
      </c>
      <c r="H269" s="1838"/>
      <c r="I269" s="1840"/>
      <c r="J269" s="1783"/>
    </row>
    <row r="270" spans="1:10" ht="15.75" customHeight="1">
      <c r="A270" s="440"/>
      <c r="B270" s="1831"/>
      <c r="C270" s="380" t="s">
        <v>2107</v>
      </c>
      <c r="D270" s="1841">
        <f>D269/2</f>
        <v>2.0238095238095239E-2</v>
      </c>
      <c r="E270" s="1832" t="s">
        <v>2069</v>
      </c>
      <c r="F270" s="1748">
        <f>'Bahan &amp; Upah'!C$339</f>
        <v>102689.88</v>
      </c>
      <c r="G270" s="1758">
        <f>D270*F270</f>
        <v>2078.2475714285715</v>
      </c>
      <c r="H270" s="1838"/>
      <c r="I270" s="1840"/>
      <c r="J270" s="1783"/>
    </row>
    <row r="271" spans="1:10" ht="15.75" customHeight="1">
      <c r="A271" s="440"/>
      <c r="B271" s="1831"/>
      <c r="C271" s="380"/>
      <c r="D271" s="1841"/>
      <c r="E271" s="1832"/>
      <c r="F271" s="1748"/>
      <c r="G271" s="1743">
        <f>SUM(G268:G270)</f>
        <v>10597.117571428571</v>
      </c>
      <c r="H271" s="1838"/>
      <c r="I271" s="1840"/>
      <c r="J271" s="1783"/>
    </row>
    <row r="272" spans="1:10" ht="27.75" customHeight="1">
      <c r="A272" s="440"/>
      <c r="B272" s="1831" t="s">
        <v>98</v>
      </c>
      <c r="C272" s="1834" t="s">
        <v>2155</v>
      </c>
      <c r="D272" s="390">
        <f>D177</f>
        <v>68</v>
      </c>
      <c r="E272" s="1832" t="s">
        <v>2217</v>
      </c>
      <c r="F272" s="1748">
        <f>G283</f>
        <v>18700.795714285712</v>
      </c>
      <c r="G272" s="1837">
        <f>D272*F272</f>
        <v>1271654.1085714283</v>
      </c>
      <c r="H272" s="1842">
        <v>1</v>
      </c>
      <c r="I272" s="1749">
        <f>(G272/G$383)*H272</f>
        <v>2.1016655558980864E-2</v>
      </c>
      <c r="J272" s="1783"/>
    </row>
    <row r="273" spans="1:10" ht="15.75" customHeight="1">
      <c r="A273" s="440"/>
      <c r="B273" s="1831"/>
      <c r="C273" s="380" t="s">
        <v>2213</v>
      </c>
      <c r="D273" s="390">
        <v>10</v>
      </c>
      <c r="E273" s="1832" t="s">
        <v>2203</v>
      </c>
      <c r="F273" s="1748"/>
      <c r="G273" s="1748"/>
      <c r="H273" s="1842"/>
      <c r="I273" s="1840"/>
      <c r="J273" s="1783"/>
    </row>
    <row r="274" spans="1:10" ht="15.75" customHeight="1">
      <c r="A274" s="440"/>
      <c r="B274" s="1831"/>
      <c r="C274" s="380" t="s">
        <v>2214</v>
      </c>
      <c r="D274" s="390">
        <v>5</v>
      </c>
      <c r="E274" s="1832" t="s">
        <v>2203</v>
      </c>
      <c r="F274" s="1748"/>
      <c r="G274" s="1748"/>
      <c r="H274" s="1842"/>
      <c r="I274" s="1840"/>
      <c r="J274" s="1783"/>
    </row>
    <row r="275" spans="1:10" ht="15.75" customHeight="1">
      <c r="A275" s="440"/>
      <c r="B275" s="1831"/>
      <c r="C275" s="380" t="s">
        <v>2215</v>
      </c>
      <c r="D275" s="590">
        <v>15</v>
      </c>
      <c r="E275" s="1835" t="s">
        <v>2203</v>
      </c>
      <c r="F275" s="1748"/>
      <c r="G275" s="1748"/>
      <c r="H275" s="1842"/>
      <c r="I275" s="1840"/>
      <c r="J275" s="1783"/>
    </row>
    <row r="276" spans="1:10" ht="15.75" customHeight="1">
      <c r="A276" s="440"/>
      <c r="B276" s="1831"/>
      <c r="C276" s="1831" t="s">
        <v>11</v>
      </c>
      <c r="D276" s="390">
        <f>SUM(D273:D275)</f>
        <v>30</v>
      </c>
      <c r="E276" s="1832" t="s">
        <v>2203</v>
      </c>
      <c r="F276" s="1748"/>
      <c r="G276" s="1748"/>
      <c r="H276" s="1842"/>
      <c r="I276" s="1840"/>
      <c r="J276" s="1783"/>
    </row>
    <row r="277" spans="1:10" ht="15.75" customHeight="1">
      <c r="A277" s="440"/>
      <c r="B277" s="1831"/>
      <c r="C277" s="1831" t="s">
        <v>2216</v>
      </c>
      <c r="D277" s="390">
        <v>7</v>
      </c>
      <c r="E277" s="1832" t="s">
        <v>1340</v>
      </c>
      <c r="F277" s="1748"/>
      <c r="G277" s="1748"/>
      <c r="H277" s="1842"/>
      <c r="I277" s="1840"/>
      <c r="J277" s="1783"/>
    </row>
    <row r="278" spans="1:10" ht="15.75" customHeight="1">
      <c r="A278" s="440"/>
      <c r="B278" s="1831"/>
      <c r="C278" s="1831"/>
      <c r="D278" s="390">
        <f>D277*60</f>
        <v>420</v>
      </c>
      <c r="E278" s="1832" t="s">
        <v>2203</v>
      </c>
      <c r="F278" s="1748"/>
      <c r="G278" s="1748"/>
      <c r="H278" s="1842"/>
      <c r="I278" s="1840"/>
      <c r="J278" s="1783"/>
    </row>
    <row r="279" spans="1:10" ht="15.75" customHeight="1">
      <c r="A279" s="440"/>
      <c r="B279" s="1831"/>
      <c r="C279" s="1831" t="s">
        <v>2211</v>
      </c>
      <c r="D279" s="1841">
        <f>D276/D278</f>
        <v>7.1428571428571425E-2</v>
      </c>
      <c r="E279" s="1832"/>
      <c r="F279" s="1748"/>
      <c r="G279" s="1748"/>
      <c r="H279" s="1842"/>
      <c r="I279" s="1840"/>
      <c r="J279" s="1783"/>
    </row>
    <row r="280" spans="1:10" ht="15.75" customHeight="1">
      <c r="A280" s="440"/>
      <c r="B280" s="1831"/>
      <c r="C280" s="380" t="s">
        <v>2103</v>
      </c>
      <c r="D280" s="1841">
        <f>D279</f>
        <v>7.1428571428571425E-2</v>
      </c>
      <c r="E280" s="1832" t="s">
        <v>2069</v>
      </c>
      <c r="F280" s="1748">
        <f>'Bahan &amp; Upah'!C$336</f>
        <v>96332.65</v>
      </c>
      <c r="G280" s="1748">
        <f>D280*F280</f>
        <v>6880.903571428571</v>
      </c>
      <c r="H280" s="1842"/>
      <c r="I280" s="1840"/>
      <c r="J280" s="1783"/>
    </row>
    <row r="281" spans="1:10" ht="15.75" customHeight="1">
      <c r="A281" s="440"/>
      <c r="B281" s="1831"/>
      <c r="C281" s="380" t="s">
        <v>2070</v>
      </c>
      <c r="D281" s="1841">
        <f>D279</f>
        <v>7.1428571428571425E-2</v>
      </c>
      <c r="E281" s="1832" t="s">
        <v>2069</v>
      </c>
      <c r="F281" s="1748">
        <f>'Bahan &amp; Upah'!C$337</f>
        <v>114133.55</v>
      </c>
      <c r="G281" s="1748">
        <f>D281*F281</f>
        <v>8152.3964285714283</v>
      </c>
      <c r="H281" s="1842"/>
      <c r="I281" s="1840"/>
      <c r="J281" s="1783"/>
    </row>
    <row r="282" spans="1:10" ht="15.75" customHeight="1">
      <c r="A282" s="440"/>
      <c r="B282" s="1831"/>
      <c r="C282" s="380" t="s">
        <v>2107</v>
      </c>
      <c r="D282" s="1841">
        <f>D281/2</f>
        <v>3.5714285714285712E-2</v>
      </c>
      <c r="E282" s="1832" t="s">
        <v>2069</v>
      </c>
      <c r="F282" s="1748">
        <f>'Bahan &amp; Upah'!C$339</f>
        <v>102689.88</v>
      </c>
      <c r="G282" s="1758">
        <f>D282*F282</f>
        <v>3667.4957142857143</v>
      </c>
      <c r="H282" s="1842"/>
      <c r="I282" s="1840"/>
      <c r="J282" s="1783"/>
    </row>
    <row r="283" spans="1:10" ht="15.75" customHeight="1">
      <c r="A283" s="440"/>
      <c r="B283" s="1831"/>
      <c r="C283" s="380"/>
      <c r="D283" s="1841"/>
      <c r="E283" s="1832"/>
      <c r="F283" s="1748"/>
      <c r="G283" s="1743">
        <f>SUM(G280:G282)</f>
        <v>18700.795714285712</v>
      </c>
      <c r="H283" s="1842"/>
      <c r="I283" s="1840"/>
      <c r="J283" s="1783"/>
    </row>
    <row r="284" spans="1:10" ht="27.75" customHeight="1">
      <c r="A284" s="440"/>
      <c r="B284" s="1831" t="s">
        <v>101</v>
      </c>
      <c r="C284" s="1834" t="s">
        <v>2161</v>
      </c>
      <c r="D284" s="390">
        <f>D184</f>
        <v>66</v>
      </c>
      <c r="E284" s="1832" t="s">
        <v>2217</v>
      </c>
      <c r="F284" s="1748">
        <f>G295</f>
        <v>15583.996428571429</v>
      </c>
      <c r="G284" s="1837">
        <f>D284*F284</f>
        <v>1028543.7642857142</v>
      </c>
      <c r="H284" s="1842">
        <v>1</v>
      </c>
      <c r="I284" s="1749">
        <f>(G284/G$383)*H284</f>
        <v>1.6998765525646289E-2</v>
      </c>
      <c r="J284" s="1783"/>
    </row>
    <row r="285" spans="1:10" ht="15.75" customHeight="1">
      <c r="A285" s="440"/>
      <c r="B285" s="1831"/>
      <c r="C285" s="380" t="s">
        <v>2213</v>
      </c>
      <c r="D285" s="390">
        <v>8</v>
      </c>
      <c r="E285" s="1832" t="s">
        <v>2203</v>
      </c>
      <c r="F285" s="1748"/>
      <c r="G285" s="1748"/>
      <c r="H285" s="1842"/>
      <c r="I285" s="1840"/>
      <c r="J285" s="1783"/>
    </row>
    <row r="286" spans="1:10" ht="15.75" customHeight="1">
      <c r="A286" s="440"/>
      <c r="B286" s="1831"/>
      <c r="C286" s="380" t="s">
        <v>2214</v>
      </c>
      <c r="D286" s="390">
        <v>5</v>
      </c>
      <c r="E286" s="1832" t="s">
        <v>2203</v>
      </c>
      <c r="F286" s="1748"/>
      <c r="G286" s="1748"/>
      <c r="H286" s="1842"/>
      <c r="I286" s="1840"/>
      <c r="J286" s="1783"/>
    </row>
    <row r="287" spans="1:10" ht="15.75" customHeight="1">
      <c r="A287" s="440"/>
      <c r="B287" s="1831"/>
      <c r="C287" s="380" t="s">
        <v>2215</v>
      </c>
      <c r="D287" s="590">
        <v>12</v>
      </c>
      <c r="E287" s="1835" t="s">
        <v>2203</v>
      </c>
      <c r="F287" s="1748"/>
      <c r="G287" s="1748"/>
      <c r="H287" s="1842"/>
      <c r="I287" s="1840"/>
      <c r="J287" s="1783"/>
    </row>
    <row r="288" spans="1:10" ht="15.75" customHeight="1">
      <c r="A288" s="440"/>
      <c r="B288" s="1831"/>
      <c r="C288" s="1831" t="s">
        <v>11</v>
      </c>
      <c r="D288" s="390">
        <f>SUM(D285:D287)</f>
        <v>25</v>
      </c>
      <c r="E288" s="1832" t="s">
        <v>2203</v>
      </c>
      <c r="F288" s="1748"/>
      <c r="G288" s="1748"/>
      <c r="H288" s="1842"/>
      <c r="I288" s="1840"/>
      <c r="J288" s="1783"/>
    </row>
    <row r="289" spans="1:10" ht="15.75" customHeight="1">
      <c r="A289" s="440"/>
      <c r="B289" s="1831"/>
      <c r="C289" s="1831" t="s">
        <v>2216</v>
      </c>
      <c r="D289" s="390">
        <v>7</v>
      </c>
      <c r="E289" s="1832" t="s">
        <v>1340</v>
      </c>
      <c r="F289" s="1748"/>
      <c r="G289" s="1748"/>
      <c r="H289" s="1842"/>
      <c r="I289" s="1840"/>
      <c r="J289" s="1783"/>
    </row>
    <row r="290" spans="1:10" ht="15.75" customHeight="1">
      <c r="A290" s="440"/>
      <c r="B290" s="1831"/>
      <c r="C290" s="1831"/>
      <c r="D290" s="390">
        <f>D289*60</f>
        <v>420</v>
      </c>
      <c r="E290" s="1832" t="s">
        <v>2203</v>
      </c>
      <c r="F290" s="1748"/>
      <c r="G290" s="1748"/>
      <c r="H290" s="1842"/>
      <c r="I290" s="1840"/>
      <c r="J290" s="1783"/>
    </row>
    <row r="291" spans="1:10" ht="15.75" customHeight="1">
      <c r="A291" s="440"/>
      <c r="B291" s="1831"/>
      <c r="C291" s="1831" t="s">
        <v>2211</v>
      </c>
      <c r="D291" s="1841">
        <f>D288/D290</f>
        <v>5.9523809523809521E-2</v>
      </c>
      <c r="E291" s="1832"/>
      <c r="F291" s="1748"/>
      <c r="G291" s="1748"/>
      <c r="H291" s="1842"/>
      <c r="I291" s="1840"/>
      <c r="J291" s="1783"/>
    </row>
    <row r="292" spans="1:10" ht="15.75" customHeight="1">
      <c r="A292" s="440"/>
      <c r="B292" s="1831"/>
      <c r="C292" s="380" t="s">
        <v>2103</v>
      </c>
      <c r="D292" s="1841">
        <f>D291</f>
        <v>5.9523809523809521E-2</v>
      </c>
      <c r="E292" s="1832" t="s">
        <v>2069</v>
      </c>
      <c r="F292" s="1748">
        <f>'Bahan &amp; Upah'!C$336</f>
        <v>96332.65</v>
      </c>
      <c r="G292" s="1748">
        <f>D292*F292</f>
        <v>5734.0863095238092</v>
      </c>
      <c r="H292" s="1842"/>
      <c r="I292" s="1840"/>
      <c r="J292" s="1783"/>
    </row>
    <row r="293" spans="1:10" ht="15.75" customHeight="1">
      <c r="A293" s="440"/>
      <c r="B293" s="1831"/>
      <c r="C293" s="380" t="s">
        <v>2070</v>
      </c>
      <c r="D293" s="1841">
        <f>D291</f>
        <v>5.9523809523809521E-2</v>
      </c>
      <c r="E293" s="1832" t="s">
        <v>2069</v>
      </c>
      <c r="F293" s="1748">
        <f>'Bahan &amp; Upah'!C$337</f>
        <v>114133.55</v>
      </c>
      <c r="G293" s="1748">
        <f>D293*F293</f>
        <v>6793.6636904761899</v>
      </c>
      <c r="H293" s="1842"/>
      <c r="I293" s="1840"/>
      <c r="J293" s="1783"/>
    </row>
    <row r="294" spans="1:10" ht="15.75" customHeight="1">
      <c r="A294" s="440"/>
      <c r="B294" s="1831"/>
      <c r="C294" s="380" t="s">
        <v>2107</v>
      </c>
      <c r="D294" s="1841">
        <f>D293/2</f>
        <v>2.976190476190476E-2</v>
      </c>
      <c r="E294" s="1832" t="s">
        <v>2069</v>
      </c>
      <c r="F294" s="1748">
        <f>'Bahan &amp; Upah'!C$339</f>
        <v>102689.88</v>
      </c>
      <c r="G294" s="1758">
        <f>D294*F294</f>
        <v>3056.2464285714286</v>
      </c>
      <c r="H294" s="1842"/>
      <c r="I294" s="1840"/>
      <c r="J294" s="1783"/>
    </row>
    <row r="295" spans="1:10" ht="15.75" customHeight="1">
      <c r="A295" s="440"/>
      <c r="B295" s="1831"/>
      <c r="C295" s="380"/>
      <c r="D295" s="1841"/>
      <c r="E295" s="1832"/>
      <c r="F295" s="1748"/>
      <c r="G295" s="1743">
        <f>SUM(G292:G294)</f>
        <v>15583.996428571429</v>
      </c>
      <c r="H295" s="1842"/>
      <c r="I295" s="1840"/>
      <c r="J295" s="1783"/>
    </row>
    <row r="296" spans="1:10" ht="27.75" customHeight="1">
      <c r="A296" s="440"/>
      <c r="B296" s="1831" t="s">
        <v>121</v>
      </c>
      <c r="C296" s="1834" t="s">
        <v>2169</v>
      </c>
      <c r="D296" s="390">
        <f>D188</f>
        <v>136</v>
      </c>
      <c r="E296" s="1832" t="s">
        <v>2212</v>
      </c>
      <c r="F296" s="1743">
        <f>G307</f>
        <v>12467.197142857143</v>
      </c>
      <c r="G296" s="1837">
        <f>D296*F296</f>
        <v>1695538.8114285716</v>
      </c>
      <c r="H296" s="1842">
        <v>1</v>
      </c>
      <c r="I296" s="1749">
        <f>(G296/G$383)*H296</f>
        <v>2.8022207411974493E-2</v>
      </c>
      <c r="J296" s="1783"/>
    </row>
    <row r="297" spans="1:10" ht="15.75" customHeight="1">
      <c r="A297" s="440"/>
      <c r="B297" s="1831"/>
      <c r="C297" s="380" t="s">
        <v>2213</v>
      </c>
      <c r="D297" s="390">
        <v>7</v>
      </c>
      <c r="E297" s="1832" t="s">
        <v>2203</v>
      </c>
      <c r="F297" s="1748"/>
      <c r="G297" s="1748"/>
      <c r="H297" s="1842"/>
      <c r="I297" s="1840"/>
      <c r="J297" s="1783"/>
    </row>
    <row r="298" spans="1:10" ht="15.75" customHeight="1">
      <c r="A298" s="440"/>
      <c r="B298" s="1831"/>
      <c r="C298" s="380" t="s">
        <v>2214</v>
      </c>
      <c r="D298" s="390">
        <v>3</v>
      </c>
      <c r="E298" s="1832" t="s">
        <v>2203</v>
      </c>
      <c r="F298" s="1748"/>
      <c r="G298" s="1748"/>
      <c r="H298" s="1842"/>
      <c r="I298" s="1840"/>
      <c r="J298" s="1783"/>
    </row>
    <row r="299" spans="1:10" ht="15.75" customHeight="1">
      <c r="A299" s="440"/>
      <c r="B299" s="1831"/>
      <c r="C299" s="380" t="s">
        <v>2215</v>
      </c>
      <c r="D299" s="590">
        <v>10</v>
      </c>
      <c r="E299" s="1835" t="s">
        <v>2203</v>
      </c>
      <c r="F299" s="1748"/>
      <c r="G299" s="1748"/>
      <c r="H299" s="1842"/>
      <c r="I299" s="1840"/>
      <c r="J299" s="1783"/>
    </row>
    <row r="300" spans="1:10" ht="15.75" customHeight="1">
      <c r="A300" s="440"/>
      <c r="B300" s="1831"/>
      <c r="C300" s="1831" t="s">
        <v>11</v>
      </c>
      <c r="D300" s="390">
        <f>SUM(D297:D299)</f>
        <v>20</v>
      </c>
      <c r="E300" s="1832" t="s">
        <v>2203</v>
      </c>
      <c r="F300" s="1748"/>
      <c r="G300" s="1748"/>
      <c r="H300" s="1842"/>
      <c r="I300" s="1840"/>
      <c r="J300" s="1783"/>
    </row>
    <row r="301" spans="1:10" ht="15.75" customHeight="1">
      <c r="A301" s="440"/>
      <c r="B301" s="1831"/>
      <c r="C301" s="1831" t="s">
        <v>2216</v>
      </c>
      <c r="D301" s="390">
        <v>7</v>
      </c>
      <c r="E301" s="1832" t="s">
        <v>1340</v>
      </c>
      <c r="F301" s="1748"/>
      <c r="G301" s="1748"/>
      <c r="H301" s="1842"/>
      <c r="I301" s="1840"/>
      <c r="J301" s="1783"/>
    </row>
    <row r="302" spans="1:10" ht="15.75" customHeight="1">
      <c r="A302" s="440"/>
      <c r="B302" s="1831"/>
      <c r="C302" s="1831"/>
      <c r="D302" s="390">
        <f>D301*60</f>
        <v>420</v>
      </c>
      <c r="E302" s="1832" t="s">
        <v>2203</v>
      </c>
      <c r="F302" s="1748"/>
      <c r="G302" s="1748"/>
      <c r="H302" s="1842"/>
      <c r="I302" s="1840"/>
      <c r="J302" s="1783"/>
    </row>
    <row r="303" spans="1:10" ht="15.75" customHeight="1">
      <c r="A303" s="440"/>
      <c r="B303" s="1831"/>
      <c r="C303" s="1831" t="s">
        <v>2211</v>
      </c>
      <c r="D303" s="1841">
        <f>D300/D302</f>
        <v>4.7619047619047616E-2</v>
      </c>
      <c r="E303" s="1832"/>
      <c r="F303" s="1748"/>
      <c r="G303" s="1748"/>
      <c r="H303" s="1842"/>
      <c r="I303" s="1840"/>
      <c r="J303" s="1783"/>
    </row>
    <row r="304" spans="1:10" ht="15.75" customHeight="1">
      <c r="A304" s="440"/>
      <c r="B304" s="1831"/>
      <c r="C304" s="380" t="s">
        <v>2103</v>
      </c>
      <c r="D304" s="1841">
        <f>D303</f>
        <v>4.7619047619047616E-2</v>
      </c>
      <c r="E304" s="1832" t="s">
        <v>2069</v>
      </c>
      <c r="F304" s="1748">
        <f>'Bahan &amp; Upah'!C$336</f>
        <v>96332.65</v>
      </c>
      <c r="G304" s="1748">
        <f>D304*F304</f>
        <v>4587.2690476190473</v>
      </c>
      <c r="H304" s="1842"/>
      <c r="I304" s="1840"/>
      <c r="J304" s="1783"/>
    </row>
    <row r="305" spans="1:10" ht="15.75" customHeight="1">
      <c r="A305" s="440"/>
      <c r="B305" s="1831"/>
      <c r="C305" s="380" t="s">
        <v>2070</v>
      </c>
      <c r="D305" s="1841">
        <f>D303</f>
        <v>4.7619047619047616E-2</v>
      </c>
      <c r="E305" s="1832" t="s">
        <v>2069</v>
      </c>
      <c r="F305" s="1748">
        <f>'Bahan &amp; Upah'!C$337</f>
        <v>114133.55</v>
      </c>
      <c r="G305" s="1748">
        <f>D305*F305</f>
        <v>5434.9309523809525</v>
      </c>
      <c r="H305" s="1842"/>
      <c r="I305" s="1840"/>
      <c r="J305" s="1783"/>
    </row>
    <row r="306" spans="1:10" ht="15.75" customHeight="1">
      <c r="A306" s="440"/>
      <c r="B306" s="1831"/>
      <c r="C306" s="380" t="s">
        <v>2107</v>
      </c>
      <c r="D306" s="1841">
        <f>D305/2</f>
        <v>2.3809523809523808E-2</v>
      </c>
      <c r="E306" s="1832" t="s">
        <v>2069</v>
      </c>
      <c r="F306" s="1748">
        <f>'Bahan &amp; Upah'!C$339</f>
        <v>102689.88</v>
      </c>
      <c r="G306" s="1758">
        <f>D306*F306</f>
        <v>2444.997142857143</v>
      </c>
      <c r="H306" s="1842"/>
      <c r="I306" s="1840"/>
      <c r="J306" s="1783"/>
    </row>
    <row r="307" spans="1:10" ht="15.75" customHeight="1">
      <c r="A307" s="440"/>
      <c r="B307" s="1831"/>
      <c r="C307" s="380"/>
      <c r="D307" s="1841"/>
      <c r="E307" s="1832"/>
      <c r="F307" s="1748"/>
      <c r="G307" s="1743">
        <f>SUM(G304:G306)</f>
        <v>12467.197142857143</v>
      </c>
      <c r="H307" s="1842"/>
      <c r="I307" s="1840"/>
      <c r="J307" s="1783"/>
    </row>
    <row r="308" spans="1:10" ht="27.75" customHeight="1">
      <c r="A308" s="440"/>
      <c r="B308" s="1831" t="s">
        <v>142</v>
      </c>
      <c r="C308" s="1834" t="s">
        <v>2175</v>
      </c>
      <c r="D308" s="390">
        <f>D195</f>
        <v>264</v>
      </c>
      <c r="E308" s="1832" t="s">
        <v>2212</v>
      </c>
      <c r="F308" s="1743">
        <f>G319</f>
        <v>11843.837285714286</v>
      </c>
      <c r="G308" s="1837">
        <f>D308*F308</f>
        <v>3126773.0434285714</v>
      </c>
      <c r="H308" s="1842">
        <v>1</v>
      </c>
      <c r="I308" s="1749">
        <f>(G308/G$383)*H308</f>
        <v>5.1676247197964723E-2</v>
      </c>
      <c r="J308" s="1783"/>
    </row>
    <row r="309" spans="1:10" ht="15.75" customHeight="1">
      <c r="A309" s="440"/>
      <c r="B309" s="1831"/>
      <c r="C309" s="380" t="s">
        <v>2213</v>
      </c>
      <c r="D309" s="390">
        <v>6</v>
      </c>
      <c r="E309" s="1832" t="s">
        <v>2203</v>
      </c>
      <c r="F309" s="1748"/>
      <c r="G309" s="1748"/>
      <c r="H309" s="1842"/>
      <c r="I309" s="1840"/>
      <c r="J309" s="1783"/>
    </row>
    <row r="310" spans="1:10" ht="15.75" customHeight="1">
      <c r="A310" s="440"/>
      <c r="B310" s="1831"/>
      <c r="C310" s="380" t="s">
        <v>2214</v>
      </c>
      <c r="D310" s="390">
        <v>3</v>
      </c>
      <c r="E310" s="1832" t="s">
        <v>2203</v>
      </c>
      <c r="F310" s="1748"/>
      <c r="G310" s="1748"/>
      <c r="H310" s="1842"/>
      <c r="I310" s="1840"/>
      <c r="J310" s="1783"/>
    </row>
    <row r="311" spans="1:10" ht="15.75" customHeight="1">
      <c r="A311" s="440"/>
      <c r="B311" s="1831"/>
      <c r="C311" s="380" t="s">
        <v>2215</v>
      </c>
      <c r="D311" s="590">
        <v>10</v>
      </c>
      <c r="E311" s="1835" t="s">
        <v>2203</v>
      </c>
      <c r="F311" s="1748"/>
      <c r="G311" s="1748"/>
      <c r="H311" s="1842"/>
      <c r="I311" s="1840"/>
      <c r="J311" s="1783"/>
    </row>
    <row r="312" spans="1:10" ht="15.75" customHeight="1">
      <c r="A312" s="440"/>
      <c r="B312" s="1831"/>
      <c r="C312" s="1831" t="s">
        <v>11</v>
      </c>
      <c r="D312" s="390">
        <f>SUM(D309:D311)</f>
        <v>19</v>
      </c>
      <c r="E312" s="1832" t="s">
        <v>2203</v>
      </c>
      <c r="F312" s="1748"/>
      <c r="G312" s="1748"/>
      <c r="H312" s="1842"/>
      <c r="I312" s="1840"/>
      <c r="J312" s="1783"/>
    </row>
    <row r="313" spans="1:10" ht="15.75" customHeight="1">
      <c r="A313" s="440"/>
      <c r="B313" s="1831"/>
      <c r="C313" s="1831" t="s">
        <v>2216</v>
      </c>
      <c r="D313" s="390">
        <v>7</v>
      </c>
      <c r="E313" s="1832" t="s">
        <v>1340</v>
      </c>
      <c r="F313" s="1748"/>
      <c r="G313" s="1748"/>
      <c r="H313" s="1842"/>
      <c r="I313" s="1840"/>
      <c r="J313" s="1783"/>
    </row>
    <row r="314" spans="1:10" ht="15.75" customHeight="1">
      <c r="A314" s="440"/>
      <c r="B314" s="1831"/>
      <c r="C314" s="1831"/>
      <c r="D314" s="390">
        <f>D313*60</f>
        <v>420</v>
      </c>
      <c r="E314" s="1832" t="s">
        <v>2203</v>
      </c>
      <c r="F314" s="1748"/>
      <c r="G314" s="1748"/>
      <c r="H314" s="1842"/>
      <c r="I314" s="1840"/>
      <c r="J314" s="1783"/>
    </row>
    <row r="315" spans="1:10" ht="15.75" customHeight="1">
      <c r="A315" s="440"/>
      <c r="B315" s="1831"/>
      <c r="C315" s="1831" t="s">
        <v>2211</v>
      </c>
      <c r="D315" s="1841">
        <f>D312/D314</f>
        <v>4.5238095238095237E-2</v>
      </c>
      <c r="E315" s="1832"/>
      <c r="F315" s="1748"/>
      <c r="G315" s="1748"/>
      <c r="H315" s="1842"/>
      <c r="I315" s="1840"/>
      <c r="J315" s="1783"/>
    </row>
    <row r="316" spans="1:10" ht="15.75" customHeight="1">
      <c r="A316" s="440"/>
      <c r="B316" s="1831"/>
      <c r="C316" s="380" t="s">
        <v>2103</v>
      </c>
      <c r="D316" s="1841">
        <f>D315</f>
        <v>4.5238095238095237E-2</v>
      </c>
      <c r="E316" s="1832" t="s">
        <v>2069</v>
      </c>
      <c r="F316" s="1748">
        <f>'Bahan &amp; Upah'!C$336</f>
        <v>96332.65</v>
      </c>
      <c r="G316" s="1748">
        <f>D316*F316</f>
        <v>4357.905595238095</v>
      </c>
      <c r="H316" s="1842"/>
      <c r="I316" s="1840"/>
      <c r="J316" s="1783"/>
    </row>
    <row r="317" spans="1:10" ht="15.75" customHeight="1">
      <c r="A317" s="440"/>
      <c r="B317" s="1831"/>
      <c r="C317" s="380" t="s">
        <v>2070</v>
      </c>
      <c r="D317" s="1841">
        <f>D315</f>
        <v>4.5238095238095237E-2</v>
      </c>
      <c r="E317" s="1832" t="s">
        <v>2069</v>
      </c>
      <c r="F317" s="1748">
        <f>'Bahan &amp; Upah'!C$337</f>
        <v>114133.55</v>
      </c>
      <c r="G317" s="1748">
        <f>D317*F317</f>
        <v>5163.1844047619052</v>
      </c>
      <c r="H317" s="1842"/>
      <c r="I317" s="1840"/>
      <c r="J317" s="1783"/>
    </row>
    <row r="318" spans="1:10" ht="15.75" customHeight="1">
      <c r="A318" s="440"/>
      <c r="B318" s="1831"/>
      <c r="C318" s="380" t="s">
        <v>2107</v>
      </c>
      <c r="D318" s="1841">
        <f>D317/2</f>
        <v>2.2619047619047618E-2</v>
      </c>
      <c r="E318" s="1832" t="s">
        <v>2069</v>
      </c>
      <c r="F318" s="1748">
        <f>'Bahan &amp; Upah'!C$339</f>
        <v>102689.88</v>
      </c>
      <c r="G318" s="1758">
        <f>D318*F318</f>
        <v>2322.7472857142857</v>
      </c>
      <c r="H318" s="1842"/>
      <c r="I318" s="1840"/>
      <c r="J318" s="1783"/>
    </row>
    <row r="319" spans="1:10" ht="15.75" customHeight="1">
      <c r="A319" s="440"/>
      <c r="B319" s="1831"/>
      <c r="C319" s="380"/>
      <c r="D319" s="1841"/>
      <c r="E319" s="1832"/>
      <c r="F319" s="1748"/>
      <c r="G319" s="1743">
        <f>SUM(G316:G318)</f>
        <v>11843.837285714286</v>
      </c>
      <c r="H319" s="1842"/>
      <c r="I319" s="1840"/>
      <c r="J319" s="1783"/>
    </row>
    <row r="320" spans="1:10" ht="27.75" customHeight="1">
      <c r="A320" s="440"/>
      <c r="B320" s="1831" t="s">
        <v>217</v>
      </c>
      <c r="C320" s="1834" t="s">
        <v>2178</v>
      </c>
      <c r="D320" s="390"/>
      <c r="E320" s="1832"/>
      <c r="F320" s="320"/>
      <c r="G320" s="1748"/>
      <c r="H320" s="1842"/>
      <c r="I320" s="1840"/>
      <c r="J320" s="1783"/>
    </row>
    <row r="321" spans="1:10" ht="15.75" customHeight="1">
      <c r="A321" s="440"/>
      <c r="B321" s="1831"/>
      <c r="C321" s="380" t="s">
        <v>2218</v>
      </c>
      <c r="D321" s="390">
        <f>D202*D203*2</f>
        <v>200</v>
      </c>
      <c r="E321" s="1832" t="s">
        <v>2219</v>
      </c>
      <c r="F321" s="1743">
        <f>G332</f>
        <v>13090.557000000001</v>
      </c>
      <c r="G321" s="1837">
        <f>D321*F321</f>
        <v>2618111.4000000004</v>
      </c>
      <c r="H321" s="1842">
        <v>1</v>
      </c>
      <c r="I321" s="1749">
        <f>(G321/G$383)*H321</f>
        <v>4.3269584974372381E-2</v>
      </c>
      <c r="J321" s="1783"/>
    </row>
    <row r="322" spans="1:10" ht="15.75" customHeight="1">
      <c r="A322" s="440"/>
      <c r="B322" s="1831"/>
      <c r="C322" s="380" t="s">
        <v>2213</v>
      </c>
      <c r="D322" s="390">
        <v>8</v>
      </c>
      <c r="E322" s="1832" t="s">
        <v>2203</v>
      </c>
      <c r="F322" s="1748"/>
      <c r="G322" s="1748"/>
      <c r="H322" s="1842"/>
      <c r="I322" s="1840"/>
      <c r="J322" s="1783"/>
    </row>
    <row r="323" spans="1:10" ht="15.75" customHeight="1">
      <c r="A323" s="440"/>
      <c r="B323" s="1831"/>
      <c r="C323" s="380" t="s">
        <v>2214</v>
      </c>
      <c r="D323" s="390">
        <v>3</v>
      </c>
      <c r="E323" s="1832" t="s">
        <v>2203</v>
      </c>
      <c r="F323" s="1748"/>
      <c r="G323" s="1748"/>
      <c r="H323" s="1842"/>
      <c r="I323" s="1840"/>
      <c r="J323" s="1783"/>
    </row>
    <row r="324" spans="1:10" ht="15.75" customHeight="1">
      <c r="A324" s="440"/>
      <c r="B324" s="1831"/>
      <c r="C324" s="380" t="s">
        <v>2215</v>
      </c>
      <c r="D324" s="590">
        <v>10</v>
      </c>
      <c r="E324" s="1835" t="s">
        <v>2203</v>
      </c>
      <c r="F324" s="1748"/>
      <c r="G324" s="1748"/>
      <c r="H324" s="1842"/>
      <c r="I324" s="1840"/>
      <c r="J324" s="1783"/>
    </row>
    <row r="325" spans="1:10" ht="15.75" customHeight="1">
      <c r="A325" s="440"/>
      <c r="B325" s="1831"/>
      <c r="C325" s="1831" t="s">
        <v>11</v>
      </c>
      <c r="D325" s="390">
        <f>SUM(D322:D324)</f>
        <v>21</v>
      </c>
      <c r="E325" s="1832" t="s">
        <v>2203</v>
      </c>
      <c r="F325" s="1748"/>
      <c r="G325" s="1748"/>
      <c r="H325" s="1842"/>
      <c r="I325" s="1840"/>
      <c r="J325" s="1783"/>
    </row>
    <row r="326" spans="1:10" ht="15.75" customHeight="1">
      <c r="A326" s="440"/>
      <c r="B326" s="1831"/>
      <c r="C326" s="1831" t="s">
        <v>2216</v>
      </c>
      <c r="D326" s="390">
        <v>7</v>
      </c>
      <c r="E326" s="1832" t="s">
        <v>1340</v>
      </c>
      <c r="F326" s="1748"/>
      <c r="G326" s="1748"/>
      <c r="H326" s="1842"/>
      <c r="I326" s="1840"/>
      <c r="J326" s="1783"/>
    </row>
    <row r="327" spans="1:10" ht="15.75" customHeight="1">
      <c r="A327" s="440"/>
      <c r="B327" s="1831"/>
      <c r="C327" s="1831"/>
      <c r="D327" s="390">
        <f>D326*60</f>
        <v>420</v>
      </c>
      <c r="E327" s="1832" t="s">
        <v>2203</v>
      </c>
      <c r="F327" s="1748"/>
      <c r="G327" s="1748"/>
      <c r="H327" s="1842"/>
      <c r="I327" s="1840"/>
      <c r="J327" s="1783"/>
    </row>
    <row r="328" spans="1:10" ht="15.75" customHeight="1">
      <c r="A328" s="440"/>
      <c r="B328" s="1831"/>
      <c r="C328" s="1831" t="s">
        <v>2211</v>
      </c>
      <c r="D328" s="1841">
        <f>D325/D327</f>
        <v>0.05</v>
      </c>
      <c r="E328" s="1832"/>
      <c r="F328" s="1748"/>
      <c r="G328" s="1748"/>
      <c r="H328" s="1842"/>
      <c r="I328" s="1840"/>
      <c r="J328" s="1783"/>
    </row>
    <row r="329" spans="1:10" ht="15.75" customHeight="1">
      <c r="A329" s="440"/>
      <c r="B329" s="1831"/>
      <c r="C329" s="380" t="s">
        <v>2103</v>
      </c>
      <c r="D329" s="1841">
        <f>D328</f>
        <v>0.05</v>
      </c>
      <c r="E329" s="1832" t="s">
        <v>2069</v>
      </c>
      <c r="F329" s="1748">
        <f>'Bahan &amp; Upah'!C$336</f>
        <v>96332.65</v>
      </c>
      <c r="G329" s="1748">
        <f>D329*F329</f>
        <v>4816.6324999999997</v>
      </c>
      <c r="H329" s="1842"/>
      <c r="I329" s="1840"/>
      <c r="J329" s="1783"/>
    </row>
    <row r="330" spans="1:10" ht="12.75" customHeight="1">
      <c r="A330" s="440"/>
      <c r="B330" s="1831"/>
      <c r="C330" s="380" t="s">
        <v>2070</v>
      </c>
      <c r="D330" s="1841">
        <f>D328</f>
        <v>0.05</v>
      </c>
      <c r="E330" s="1832" t="s">
        <v>2069</v>
      </c>
      <c r="F330" s="1748">
        <f>'Bahan &amp; Upah'!C$337</f>
        <v>114133.55</v>
      </c>
      <c r="G330" s="1748">
        <f>D330*F330</f>
        <v>5706.6775000000007</v>
      </c>
      <c r="H330" s="1842"/>
      <c r="I330" s="1840"/>
      <c r="J330" s="1783"/>
    </row>
    <row r="331" spans="1:10" ht="12.75" customHeight="1">
      <c r="A331" s="440"/>
      <c r="B331" s="1831"/>
      <c r="C331" s="380" t="s">
        <v>2107</v>
      </c>
      <c r="D331" s="1841">
        <f>D330/2</f>
        <v>2.5000000000000001E-2</v>
      </c>
      <c r="E331" s="1832" t="s">
        <v>2069</v>
      </c>
      <c r="F331" s="1748">
        <f>'Bahan &amp; Upah'!C$339</f>
        <v>102689.88</v>
      </c>
      <c r="G331" s="1758">
        <f>D331*F331</f>
        <v>2567.2470000000003</v>
      </c>
      <c r="H331" s="1842"/>
      <c r="I331" s="1840"/>
      <c r="J331" s="1783"/>
    </row>
    <row r="332" spans="1:10" ht="12.75" customHeight="1">
      <c r="A332" s="440"/>
      <c r="B332" s="1831"/>
      <c r="C332" s="380"/>
      <c r="D332" s="1841"/>
      <c r="E332" s="1832"/>
      <c r="F332" s="1748"/>
      <c r="G332" s="1743">
        <f>SUM(G329:G331)</f>
        <v>13090.557000000001</v>
      </c>
      <c r="H332" s="1842"/>
      <c r="I332" s="1840"/>
      <c r="J332" s="1783"/>
    </row>
    <row r="333" spans="1:10" ht="24.75" customHeight="1">
      <c r="A333" s="440"/>
      <c r="B333" s="1831"/>
      <c r="C333" s="1834" t="s">
        <v>2220</v>
      </c>
      <c r="D333" s="390">
        <f>D211*2*2</f>
        <v>136</v>
      </c>
      <c r="E333" s="1832" t="s">
        <v>2221</v>
      </c>
      <c r="F333" s="1743">
        <f>G344</f>
        <v>10597.117571428571</v>
      </c>
      <c r="G333" s="1837">
        <f>D333*F333</f>
        <v>1441207.9897142856</v>
      </c>
      <c r="H333" s="1842">
        <v>1</v>
      </c>
      <c r="I333" s="1749">
        <f>(G333/G$383)*H333</f>
        <v>2.3818876300178315E-2</v>
      </c>
      <c r="J333" s="1783"/>
    </row>
    <row r="334" spans="1:10" ht="12.75" customHeight="1">
      <c r="A334" s="440"/>
      <c r="B334" s="1831"/>
      <c r="C334" s="380" t="s">
        <v>2213</v>
      </c>
      <c r="D334" s="390">
        <v>6</v>
      </c>
      <c r="E334" s="1832" t="s">
        <v>2203</v>
      </c>
      <c r="F334" s="1748"/>
      <c r="G334" s="1748"/>
      <c r="H334" s="1842"/>
      <c r="I334" s="1840"/>
      <c r="J334" s="1783"/>
    </row>
    <row r="335" spans="1:10" ht="12.75" customHeight="1">
      <c r="A335" s="440"/>
      <c r="B335" s="1831"/>
      <c r="C335" s="380" t="s">
        <v>2214</v>
      </c>
      <c r="D335" s="390">
        <v>3</v>
      </c>
      <c r="E335" s="1832" t="s">
        <v>2203</v>
      </c>
      <c r="F335" s="1748"/>
      <c r="G335" s="1748"/>
      <c r="H335" s="1842"/>
      <c r="I335" s="1840"/>
      <c r="J335" s="1783"/>
    </row>
    <row r="336" spans="1:10" ht="12.75" customHeight="1">
      <c r="A336" s="440"/>
      <c r="B336" s="1831"/>
      <c r="C336" s="380" t="s">
        <v>2215</v>
      </c>
      <c r="D336" s="590">
        <v>8</v>
      </c>
      <c r="E336" s="1835" t="s">
        <v>2203</v>
      </c>
      <c r="F336" s="1748"/>
      <c r="G336" s="1748"/>
      <c r="H336" s="1842"/>
      <c r="I336" s="1840"/>
      <c r="J336" s="1783"/>
    </row>
    <row r="337" spans="1:10" ht="12.75" customHeight="1">
      <c r="A337" s="440"/>
      <c r="B337" s="1831"/>
      <c r="C337" s="1831" t="s">
        <v>11</v>
      </c>
      <c r="D337" s="390">
        <f>SUM(D334:D336)</f>
        <v>17</v>
      </c>
      <c r="E337" s="1832" t="s">
        <v>2203</v>
      </c>
      <c r="F337" s="1748"/>
      <c r="G337" s="1748"/>
      <c r="H337" s="1842"/>
      <c r="I337" s="1840"/>
      <c r="J337" s="1783"/>
    </row>
    <row r="338" spans="1:10" ht="12.75" customHeight="1">
      <c r="A338" s="440"/>
      <c r="B338" s="1831"/>
      <c r="C338" s="1831" t="s">
        <v>2216</v>
      </c>
      <c r="D338" s="390">
        <v>7</v>
      </c>
      <c r="E338" s="1832" t="s">
        <v>1340</v>
      </c>
      <c r="F338" s="1748"/>
      <c r="G338" s="1748"/>
      <c r="H338" s="1842"/>
      <c r="I338" s="1840"/>
      <c r="J338" s="1783"/>
    </row>
    <row r="339" spans="1:10" ht="12.75" customHeight="1">
      <c r="A339" s="440"/>
      <c r="B339" s="1831"/>
      <c r="C339" s="1831"/>
      <c r="D339" s="390">
        <f>D338*60</f>
        <v>420</v>
      </c>
      <c r="E339" s="1832" t="s">
        <v>2203</v>
      </c>
      <c r="F339" s="1748"/>
      <c r="G339" s="1748"/>
      <c r="H339" s="1842"/>
      <c r="I339" s="1840"/>
      <c r="J339" s="1783"/>
    </row>
    <row r="340" spans="1:10" ht="12.75" customHeight="1">
      <c r="A340" s="440"/>
      <c r="B340" s="1831"/>
      <c r="C340" s="1831" t="s">
        <v>2211</v>
      </c>
      <c r="D340" s="1841">
        <f>D337/D339</f>
        <v>4.0476190476190478E-2</v>
      </c>
      <c r="E340" s="1832"/>
      <c r="F340" s="1748"/>
      <c r="G340" s="1748"/>
      <c r="H340" s="1842"/>
      <c r="I340" s="1840"/>
      <c r="J340" s="1783"/>
    </row>
    <row r="341" spans="1:10" ht="12.75" customHeight="1">
      <c r="A341" s="440"/>
      <c r="B341" s="1831"/>
      <c r="C341" s="380" t="s">
        <v>2103</v>
      </c>
      <c r="D341" s="1841">
        <f>D340</f>
        <v>4.0476190476190478E-2</v>
      </c>
      <c r="E341" s="1832" t="s">
        <v>2069</v>
      </c>
      <c r="F341" s="1748">
        <f>'Bahan &amp; Upah'!C$336</f>
        <v>96332.65</v>
      </c>
      <c r="G341" s="1748">
        <f>D341*F341</f>
        <v>3899.1786904761902</v>
      </c>
      <c r="H341" s="1842"/>
      <c r="I341" s="1840"/>
      <c r="J341" s="1783"/>
    </row>
    <row r="342" spans="1:10" ht="12.75" customHeight="1">
      <c r="A342" s="440"/>
      <c r="B342" s="1831"/>
      <c r="C342" s="380" t="s">
        <v>2070</v>
      </c>
      <c r="D342" s="1841">
        <f>D340</f>
        <v>4.0476190476190478E-2</v>
      </c>
      <c r="E342" s="1832" t="s">
        <v>2069</v>
      </c>
      <c r="F342" s="1748">
        <f>'Bahan &amp; Upah'!C$337</f>
        <v>114133.55</v>
      </c>
      <c r="G342" s="1748">
        <f>D342*F342</f>
        <v>4619.6913095238097</v>
      </c>
      <c r="H342" s="1842"/>
      <c r="I342" s="1840"/>
      <c r="J342" s="1783"/>
    </row>
    <row r="343" spans="1:10" ht="12.75" customHeight="1">
      <c r="A343" s="440"/>
      <c r="B343" s="1831"/>
      <c r="C343" s="380" t="s">
        <v>2107</v>
      </c>
      <c r="D343" s="1841">
        <f>D342/2</f>
        <v>2.0238095238095239E-2</v>
      </c>
      <c r="E343" s="1832" t="s">
        <v>2069</v>
      </c>
      <c r="F343" s="1748">
        <f>'Bahan &amp; Upah'!C$339</f>
        <v>102689.88</v>
      </c>
      <c r="G343" s="1758">
        <f>D343*F343</f>
        <v>2078.2475714285715</v>
      </c>
      <c r="H343" s="1842"/>
      <c r="I343" s="1840"/>
      <c r="J343" s="1783"/>
    </row>
    <row r="344" spans="1:10" ht="12.75" customHeight="1">
      <c r="A344" s="440"/>
      <c r="B344" s="1831"/>
      <c r="C344" s="380"/>
      <c r="D344" s="1841"/>
      <c r="E344" s="1832"/>
      <c r="F344" s="1748"/>
      <c r="G344" s="1743">
        <f>SUM(G341:G343)</f>
        <v>10597.117571428571</v>
      </c>
      <c r="H344" s="1842"/>
      <c r="I344" s="1840"/>
      <c r="J344" s="1783"/>
    </row>
    <row r="345" spans="1:10" ht="27.75" customHeight="1">
      <c r="A345" s="440"/>
      <c r="B345" s="1831"/>
      <c r="C345" s="1834" t="s">
        <v>2222</v>
      </c>
      <c r="D345" s="390">
        <f>D284</f>
        <v>66</v>
      </c>
      <c r="E345" s="1832" t="s">
        <v>2223</v>
      </c>
      <c r="F345" s="1743">
        <f>G356</f>
        <v>15583.996428571429</v>
      </c>
      <c r="G345" s="1837">
        <f>D345*F345</f>
        <v>1028543.7642857142</v>
      </c>
      <c r="H345" s="1842">
        <v>1</v>
      </c>
      <c r="I345" s="1749">
        <f>(G345/G$383)*H345</f>
        <v>1.6998765525646289E-2</v>
      </c>
      <c r="J345" s="1783"/>
    </row>
    <row r="346" spans="1:10" ht="12.75" customHeight="1">
      <c r="A346" s="440"/>
      <c r="B346" s="1831"/>
      <c r="C346" s="380" t="s">
        <v>2213</v>
      </c>
      <c r="D346" s="390">
        <v>8</v>
      </c>
      <c r="E346" s="1832" t="s">
        <v>2203</v>
      </c>
      <c r="F346" s="1748"/>
      <c r="G346" s="1748"/>
      <c r="H346" s="1842"/>
      <c r="I346" s="1840"/>
      <c r="J346" s="1783"/>
    </row>
    <row r="347" spans="1:10" ht="12.75" customHeight="1">
      <c r="A347" s="440"/>
      <c r="B347" s="1831"/>
      <c r="C347" s="380" t="s">
        <v>2214</v>
      </c>
      <c r="D347" s="390">
        <v>5</v>
      </c>
      <c r="E347" s="1832" t="s">
        <v>2203</v>
      </c>
      <c r="F347" s="1748"/>
      <c r="G347" s="1748"/>
      <c r="H347" s="1842"/>
      <c r="I347" s="1840"/>
      <c r="J347" s="1783"/>
    </row>
    <row r="348" spans="1:10" ht="12.75" customHeight="1">
      <c r="A348" s="440"/>
      <c r="B348" s="1831"/>
      <c r="C348" s="380" t="s">
        <v>2215</v>
      </c>
      <c r="D348" s="590">
        <v>12</v>
      </c>
      <c r="E348" s="1835" t="s">
        <v>2203</v>
      </c>
      <c r="F348" s="1748"/>
      <c r="G348" s="1748"/>
      <c r="H348" s="1842"/>
      <c r="I348" s="1840"/>
      <c r="J348" s="1783"/>
    </row>
    <row r="349" spans="1:10" ht="12.75" customHeight="1">
      <c r="A349" s="440"/>
      <c r="B349" s="1831"/>
      <c r="C349" s="1831" t="s">
        <v>11</v>
      </c>
      <c r="D349" s="390">
        <f>SUM(D346:D348)</f>
        <v>25</v>
      </c>
      <c r="E349" s="1832" t="s">
        <v>2203</v>
      </c>
      <c r="F349" s="1748"/>
      <c r="G349" s="1748"/>
      <c r="H349" s="1842"/>
      <c r="I349" s="1840"/>
      <c r="J349" s="1783"/>
    </row>
    <row r="350" spans="1:10" ht="12.75" customHeight="1">
      <c r="A350" s="440"/>
      <c r="B350" s="1831"/>
      <c r="C350" s="1831" t="s">
        <v>2216</v>
      </c>
      <c r="D350" s="390">
        <v>7</v>
      </c>
      <c r="E350" s="1832" t="s">
        <v>1340</v>
      </c>
      <c r="F350" s="1748"/>
      <c r="G350" s="1748"/>
      <c r="H350" s="1842"/>
      <c r="I350" s="1840"/>
      <c r="J350" s="1783"/>
    </row>
    <row r="351" spans="1:10" ht="12.75" customHeight="1">
      <c r="A351" s="440"/>
      <c r="B351" s="1831"/>
      <c r="C351" s="1831"/>
      <c r="D351" s="390">
        <f>D350*60</f>
        <v>420</v>
      </c>
      <c r="E351" s="1832" t="s">
        <v>2203</v>
      </c>
      <c r="F351" s="1748"/>
      <c r="G351" s="1748"/>
      <c r="H351" s="1842"/>
      <c r="I351" s="1840"/>
      <c r="J351" s="1783"/>
    </row>
    <row r="352" spans="1:10" ht="12.75" customHeight="1">
      <c r="A352" s="440"/>
      <c r="B352" s="1831"/>
      <c r="C352" s="1831" t="s">
        <v>2211</v>
      </c>
      <c r="D352" s="1841">
        <f>D349/D351</f>
        <v>5.9523809523809521E-2</v>
      </c>
      <c r="E352" s="1832"/>
      <c r="F352" s="1748"/>
      <c r="G352" s="1748"/>
      <c r="H352" s="1842"/>
      <c r="I352" s="1840"/>
      <c r="J352" s="1783"/>
    </row>
    <row r="353" spans="1:10" ht="12.75" customHeight="1">
      <c r="A353" s="440"/>
      <c r="B353" s="1831"/>
      <c r="C353" s="380" t="s">
        <v>2103</v>
      </c>
      <c r="D353" s="1841">
        <f>D352</f>
        <v>5.9523809523809521E-2</v>
      </c>
      <c r="E353" s="1832" t="s">
        <v>2069</v>
      </c>
      <c r="F353" s="1748">
        <f>'Bahan &amp; Upah'!C$336</f>
        <v>96332.65</v>
      </c>
      <c r="G353" s="1748">
        <f>D353*F353</f>
        <v>5734.0863095238092</v>
      </c>
      <c r="H353" s="1842"/>
      <c r="I353" s="1840"/>
      <c r="J353" s="1783"/>
    </row>
    <row r="354" spans="1:10" ht="12.75" customHeight="1">
      <c r="A354" s="440"/>
      <c r="B354" s="1831"/>
      <c r="C354" s="380" t="s">
        <v>2070</v>
      </c>
      <c r="D354" s="1841">
        <f>D352</f>
        <v>5.9523809523809521E-2</v>
      </c>
      <c r="E354" s="1832" t="s">
        <v>2069</v>
      </c>
      <c r="F354" s="1748">
        <f>'Bahan &amp; Upah'!C$337</f>
        <v>114133.55</v>
      </c>
      <c r="G354" s="1748">
        <f>D354*F354</f>
        <v>6793.6636904761899</v>
      </c>
      <c r="H354" s="1842"/>
      <c r="I354" s="1840"/>
      <c r="J354" s="1783"/>
    </row>
    <row r="355" spans="1:10" ht="12.75" customHeight="1">
      <c r="A355" s="440"/>
      <c r="B355" s="1831"/>
      <c r="C355" s="380" t="s">
        <v>2107</v>
      </c>
      <c r="D355" s="1841">
        <f>D354/2</f>
        <v>2.976190476190476E-2</v>
      </c>
      <c r="E355" s="1832" t="s">
        <v>2069</v>
      </c>
      <c r="F355" s="1748">
        <f>'Bahan &amp; Upah'!C$339</f>
        <v>102689.88</v>
      </c>
      <c r="G355" s="1758">
        <f>D355*F355</f>
        <v>3056.2464285714286</v>
      </c>
      <c r="H355" s="1842"/>
      <c r="I355" s="1840"/>
      <c r="J355" s="1783"/>
    </row>
    <row r="356" spans="1:10" ht="12.75" customHeight="1">
      <c r="A356" s="440"/>
      <c r="B356" s="1831"/>
      <c r="C356" s="380"/>
      <c r="D356" s="1841"/>
      <c r="E356" s="1832"/>
      <c r="F356" s="1748"/>
      <c r="G356" s="1743">
        <f>SUM(G353:G355)</f>
        <v>15583.996428571429</v>
      </c>
      <c r="H356" s="1842"/>
      <c r="I356" s="1840"/>
      <c r="J356" s="1783"/>
    </row>
    <row r="357" spans="1:10" ht="12.75" customHeight="1">
      <c r="A357" s="440"/>
      <c r="B357" s="1831"/>
      <c r="C357" s="380" t="s">
        <v>2224</v>
      </c>
      <c r="D357" s="390"/>
      <c r="E357" s="1832"/>
      <c r="F357" s="320"/>
      <c r="G357" s="1748"/>
      <c r="H357" s="1842"/>
      <c r="I357" s="1840"/>
      <c r="J357" s="1783"/>
    </row>
    <row r="358" spans="1:10" ht="12.75" customHeight="1">
      <c r="A358" s="440"/>
      <c r="B358" s="1831"/>
      <c r="C358" s="380" t="s">
        <v>155</v>
      </c>
      <c r="D358" s="390">
        <f>D223*2</f>
        <v>80</v>
      </c>
      <c r="E358" s="1832" t="s">
        <v>2223</v>
      </c>
      <c r="F358" s="1743">
        <f>G369</f>
        <v>15583.996428571429</v>
      </c>
      <c r="G358" s="1837">
        <f>D358*F358</f>
        <v>1246719.7142857143</v>
      </c>
      <c r="H358" s="1842">
        <v>1</v>
      </c>
      <c r="I358" s="1749">
        <f>(G358/G$383)*H358</f>
        <v>2.0604564273510654E-2</v>
      </c>
      <c r="J358" s="1783"/>
    </row>
    <row r="359" spans="1:10" ht="12.75" customHeight="1">
      <c r="A359" s="440"/>
      <c r="B359" s="1831"/>
      <c r="C359" s="380" t="s">
        <v>2213</v>
      </c>
      <c r="D359" s="390">
        <v>8</v>
      </c>
      <c r="E359" s="1832" t="s">
        <v>2203</v>
      </c>
      <c r="F359" s="1748"/>
      <c r="G359" s="1748"/>
      <c r="H359" s="1842"/>
      <c r="I359" s="1840"/>
      <c r="J359" s="1783"/>
    </row>
    <row r="360" spans="1:10" ht="12.75" customHeight="1">
      <c r="A360" s="440"/>
      <c r="B360" s="1831"/>
      <c r="C360" s="380" t="s">
        <v>2214</v>
      </c>
      <c r="D360" s="390">
        <v>5</v>
      </c>
      <c r="E360" s="1832" t="s">
        <v>2203</v>
      </c>
      <c r="F360" s="1748"/>
      <c r="G360" s="1748"/>
      <c r="H360" s="1842"/>
      <c r="I360" s="1840"/>
      <c r="J360" s="1783"/>
    </row>
    <row r="361" spans="1:10" ht="12.75" customHeight="1">
      <c r="A361" s="440"/>
      <c r="B361" s="1831"/>
      <c r="C361" s="380" t="s">
        <v>2215</v>
      </c>
      <c r="D361" s="590">
        <v>12</v>
      </c>
      <c r="E361" s="1835" t="s">
        <v>2203</v>
      </c>
      <c r="F361" s="1748"/>
      <c r="G361" s="1748"/>
      <c r="H361" s="1842"/>
      <c r="I361" s="1840"/>
      <c r="J361" s="1783"/>
    </row>
    <row r="362" spans="1:10" ht="12.75" customHeight="1">
      <c r="A362" s="440"/>
      <c r="B362" s="1831"/>
      <c r="C362" s="1831" t="s">
        <v>11</v>
      </c>
      <c r="D362" s="390">
        <f>SUM(D359:D361)</f>
        <v>25</v>
      </c>
      <c r="E362" s="1832" t="s">
        <v>2203</v>
      </c>
      <c r="F362" s="1748"/>
      <c r="G362" s="1748"/>
      <c r="H362" s="1842"/>
      <c r="I362" s="1840"/>
      <c r="J362" s="1783"/>
    </row>
    <row r="363" spans="1:10" ht="12.75" customHeight="1">
      <c r="A363" s="440"/>
      <c r="B363" s="1831"/>
      <c r="C363" s="1831" t="s">
        <v>2216</v>
      </c>
      <c r="D363" s="390">
        <v>7</v>
      </c>
      <c r="E363" s="1832" t="s">
        <v>1340</v>
      </c>
      <c r="F363" s="1748"/>
      <c r="G363" s="1748"/>
      <c r="H363" s="1842"/>
      <c r="I363" s="1840"/>
      <c r="J363" s="1783"/>
    </row>
    <row r="364" spans="1:10" ht="12.75" customHeight="1">
      <c r="A364" s="440"/>
      <c r="B364" s="1831"/>
      <c r="C364" s="1831"/>
      <c r="D364" s="390">
        <f>D363*60</f>
        <v>420</v>
      </c>
      <c r="E364" s="1832" t="s">
        <v>2203</v>
      </c>
      <c r="F364" s="1748"/>
      <c r="G364" s="1748"/>
      <c r="H364" s="1842"/>
      <c r="I364" s="1840"/>
      <c r="J364" s="1783"/>
    </row>
    <row r="365" spans="1:10" ht="12.75" customHeight="1">
      <c r="A365" s="440"/>
      <c r="B365" s="1831"/>
      <c r="C365" s="1831" t="s">
        <v>2211</v>
      </c>
      <c r="D365" s="1841">
        <f>D362/D364</f>
        <v>5.9523809523809521E-2</v>
      </c>
      <c r="E365" s="1832"/>
      <c r="F365" s="1748"/>
      <c r="G365" s="1748"/>
      <c r="H365" s="1842"/>
      <c r="I365" s="1840"/>
      <c r="J365" s="1783"/>
    </row>
    <row r="366" spans="1:10" ht="12.75" customHeight="1">
      <c r="A366" s="440"/>
      <c r="B366" s="1831"/>
      <c r="C366" s="380" t="s">
        <v>2103</v>
      </c>
      <c r="D366" s="1841">
        <f>D365</f>
        <v>5.9523809523809521E-2</v>
      </c>
      <c r="E366" s="1832" t="s">
        <v>2069</v>
      </c>
      <c r="F366" s="1748">
        <f>'Bahan &amp; Upah'!C$336</f>
        <v>96332.65</v>
      </c>
      <c r="G366" s="1748">
        <f>D366*F366</f>
        <v>5734.0863095238092</v>
      </c>
      <c r="H366" s="1842"/>
      <c r="I366" s="1840"/>
      <c r="J366" s="1783"/>
    </row>
    <row r="367" spans="1:10" ht="12.75" customHeight="1">
      <c r="A367" s="440"/>
      <c r="B367" s="1831"/>
      <c r="C367" s="380" t="s">
        <v>2070</v>
      </c>
      <c r="D367" s="1841">
        <f>D365</f>
        <v>5.9523809523809521E-2</v>
      </c>
      <c r="E367" s="1832" t="s">
        <v>2069</v>
      </c>
      <c r="F367" s="1748">
        <f>'Bahan &amp; Upah'!C$337</f>
        <v>114133.55</v>
      </c>
      <c r="G367" s="1748">
        <f>D367*F367</f>
        <v>6793.6636904761899</v>
      </c>
      <c r="H367" s="1842"/>
      <c r="I367" s="1840"/>
      <c r="J367" s="1783"/>
    </row>
    <row r="368" spans="1:10" ht="12.75" customHeight="1">
      <c r="A368" s="440"/>
      <c r="B368" s="1831"/>
      <c r="C368" s="380" t="s">
        <v>2107</v>
      </c>
      <c r="D368" s="1841">
        <f>D367/2</f>
        <v>2.976190476190476E-2</v>
      </c>
      <c r="E368" s="1832" t="s">
        <v>2069</v>
      </c>
      <c r="F368" s="1748">
        <f>'Bahan &amp; Upah'!C$339</f>
        <v>102689.88</v>
      </c>
      <c r="G368" s="1758">
        <f>D368*F368</f>
        <v>3056.2464285714286</v>
      </c>
      <c r="H368" s="1842"/>
      <c r="I368" s="1840"/>
      <c r="J368" s="1783"/>
    </row>
    <row r="369" spans="1:10" ht="12.75" customHeight="1">
      <c r="A369" s="440"/>
      <c r="B369" s="1831"/>
      <c r="C369" s="380"/>
      <c r="D369" s="1841"/>
      <c r="E369" s="1832"/>
      <c r="F369" s="1748"/>
      <c r="G369" s="1743">
        <f>SUM(G366:G368)</f>
        <v>15583.996428571429</v>
      </c>
      <c r="H369" s="1842"/>
      <c r="I369" s="1840"/>
      <c r="J369" s="1783"/>
    </row>
    <row r="370" spans="1:10" ht="12.75" customHeight="1">
      <c r="A370" s="440"/>
      <c r="B370" s="1831"/>
      <c r="C370" s="380" t="s">
        <v>154</v>
      </c>
      <c r="D370" s="390">
        <f>D227*2</f>
        <v>14</v>
      </c>
      <c r="E370" s="1832" t="s">
        <v>2225</v>
      </c>
      <c r="F370" s="1743">
        <f>G381</f>
        <v>10597.117571428571</v>
      </c>
      <c r="G370" s="1837">
        <f>D370*F370</f>
        <v>148359.64600000001</v>
      </c>
      <c r="H370" s="1842">
        <v>1</v>
      </c>
      <c r="I370" s="1749">
        <f>(G370/G$383)*H370</f>
        <v>2.4519431485477681E-3</v>
      </c>
      <c r="J370" s="1783"/>
    </row>
    <row r="371" spans="1:10" ht="12.75" customHeight="1">
      <c r="A371" s="440"/>
      <c r="B371" s="1831"/>
      <c r="C371" s="380" t="s">
        <v>2213</v>
      </c>
      <c r="D371" s="390">
        <v>6</v>
      </c>
      <c r="E371" s="1832" t="s">
        <v>2203</v>
      </c>
      <c r="F371" s="1748"/>
      <c r="G371" s="1748"/>
      <c r="H371" s="1842"/>
      <c r="I371" s="1840"/>
      <c r="J371" s="1783"/>
    </row>
    <row r="372" spans="1:10" ht="12.75" customHeight="1">
      <c r="A372" s="440"/>
      <c r="B372" s="1831"/>
      <c r="C372" s="380" t="s">
        <v>2214</v>
      </c>
      <c r="D372" s="390">
        <v>3</v>
      </c>
      <c r="E372" s="1832" t="s">
        <v>2203</v>
      </c>
      <c r="F372" s="1748"/>
      <c r="G372" s="1748"/>
      <c r="H372" s="1842"/>
      <c r="I372" s="1840"/>
      <c r="J372" s="1783"/>
    </row>
    <row r="373" spans="1:10" ht="12.75" customHeight="1">
      <c r="A373" s="440"/>
      <c r="B373" s="1831"/>
      <c r="C373" s="380" t="s">
        <v>2215</v>
      </c>
      <c r="D373" s="590">
        <v>8</v>
      </c>
      <c r="E373" s="1835" t="s">
        <v>2203</v>
      </c>
      <c r="F373" s="1748"/>
      <c r="G373" s="1748"/>
      <c r="H373" s="1842"/>
      <c r="I373" s="1840"/>
      <c r="J373" s="1783"/>
    </row>
    <row r="374" spans="1:10" ht="12.75" customHeight="1">
      <c r="A374" s="440"/>
      <c r="B374" s="1831"/>
      <c r="C374" s="1831" t="s">
        <v>11</v>
      </c>
      <c r="D374" s="390">
        <f>SUM(D371:D373)</f>
        <v>17</v>
      </c>
      <c r="E374" s="1832" t="s">
        <v>2203</v>
      </c>
      <c r="F374" s="1748"/>
      <c r="G374" s="1748"/>
      <c r="H374" s="1842"/>
      <c r="I374" s="1840"/>
      <c r="J374" s="1783"/>
    </row>
    <row r="375" spans="1:10" ht="12.75" customHeight="1">
      <c r="A375" s="440"/>
      <c r="B375" s="1831"/>
      <c r="C375" s="1831" t="s">
        <v>2216</v>
      </c>
      <c r="D375" s="390">
        <v>7</v>
      </c>
      <c r="E375" s="1832" t="s">
        <v>1340</v>
      </c>
      <c r="F375" s="1748"/>
      <c r="G375" s="1748"/>
      <c r="H375" s="1842"/>
      <c r="I375" s="1840"/>
      <c r="J375" s="1783"/>
    </row>
    <row r="376" spans="1:10" ht="12.75" customHeight="1">
      <c r="A376" s="440"/>
      <c r="B376" s="1831"/>
      <c r="C376" s="1831"/>
      <c r="D376" s="390">
        <f>D375*60</f>
        <v>420</v>
      </c>
      <c r="E376" s="1832" t="s">
        <v>2203</v>
      </c>
      <c r="F376" s="1748"/>
      <c r="G376" s="1748"/>
      <c r="H376" s="1842"/>
      <c r="I376" s="1840"/>
      <c r="J376" s="1783"/>
    </row>
    <row r="377" spans="1:10" ht="12.75" customHeight="1">
      <c r="A377" s="440"/>
      <c r="B377" s="1831"/>
      <c r="C377" s="1831" t="s">
        <v>2211</v>
      </c>
      <c r="D377" s="1841">
        <f>D374/D376</f>
        <v>4.0476190476190478E-2</v>
      </c>
      <c r="E377" s="1832"/>
      <c r="F377" s="1748"/>
      <c r="G377" s="1748"/>
      <c r="H377" s="1842"/>
      <c r="I377" s="1840"/>
      <c r="J377" s="1783"/>
    </row>
    <row r="378" spans="1:10" ht="12.75" customHeight="1">
      <c r="A378" s="440"/>
      <c r="B378" s="1831"/>
      <c r="C378" s="380" t="s">
        <v>2103</v>
      </c>
      <c r="D378" s="1841">
        <f>D377</f>
        <v>4.0476190476190478E-2</v>
      </c>
      <c r="E378" s="1832" t="s">
        <v>2069</v>
      </c>
      <c r="F378" s="1748">
        <f>'Bahan &amp; Upah'!C$336</f>
        <v>96332.65</v>
      </c>
      <c r="G378" s="1748">
        <f>D378*F378</f>
        <v>3899.1786904761902</v>
      </c>
      <c r="H378" s="1842"/>
      <c r="I378" s="1840"/>
      <c r="J378" s="1783"/>
    </row>
    <row r="379" spans="1:10" ht="12.75" customHeight="1">
      <c r="A379" s="440"/>
      <c r="B379" s="1831"/>
      <c r="C379" s="380" t="s">
        <v>2070</v>
      </c>
      <c r="D379" s="1841">
        <f>D377</f>
        <v>4.0476190476190478E-2</v>
      </c>
      <c r="E379" s="1832" t="s">
        <v>2069</v>
      </c>
      <c r="F379" s="1748">
        <f>'Bahan &amp; Upah'!C$337</f>
        <v>114133.55</v>
      </c>
      <c r="G379" s="1748">
        <f>D379*F379</f>
        <v>4619.6913095238097</v>
      </c>
      <c r="H379" s="1842"/>
      <c r="I379" s="1840"/>
      <c r="J379" s="1783"/>
    </row>
    <row r="380" spans="1:10" ht="12.75" customHeight="1">
      <c r="A380" s="440"/>
      <c r="B380" s="1831"/>
      <c r="C380" s="380" t="s">
        <v>2107</v>
      </c>
      <c r="D380" s="1841">
        <f>D379/2</f>
        <v>2.0238095238095239E-2</v>
      </c>
      <c r="E380" s="1832" t="s">
        <v>2069</v>
      </c>
      <c r="F380" s="1748">
        <f>'Bahan &amp; Upah'!C$339</f>
        <v>102689.88</v>
      </c>
      <c r="G380" s="1758">
        <f>D380*F380</f>
        <v>2078.2475714285715</v>
      </c>
      <c r="H380" s="1842"/>
      <c r="I380" s="1840"/>
      <c r="J380" s="1783"/>
    </row>
    <row r="381" spans="1:10" ht="12.75" customHeight="1">
      <c r="A381" s="440"/>
      <c r="B381" s="1831"/>
      <c r="C381" s="380"/>
      <c r="D381" s="390"/>
      <c r="E381" s="1832"/>
      <c r="F381" s="320"/>
      <c r="G381" s="1748">
        <f>SUM(G378:G380)</f>
        <v>10597.117571428571</v>
      </c>
      <c r="H381" s="318"/>
      <c r="I381" s="1782"/>
      <c r="J381" s="1783"/>
    </row>
    <row r="382" spans="1:10" ht="13.5" customHeight="1">
      <c r="A382" s="440"/>
      <c r="B382" s="1831"/>
      <c r="C382" s="448"/>
      <c r="D382" s="1843"/>
      <c r="E382" s="1844"/>
      <c r="F382" s="1845"/>
      <c r="G382" s="1846"/>
      <c r="H382" s="318"/>
      <c r="I382" s="1782"/>
      <c r="J382" s="1783"/>
    </row>
    <row r="383" spans="1:10" ht="12.75" customHeight="1">
      <c r="A383" s="440"/>
      <c r="B383" s="1831"/>
      <c r="C383" s="1847" t="s">
        <v>2226</v>
      </c>
      <c r="D383" s="1848"/>
      <c r="E383" s="1849"/>
      <c r="F383" s="1850"/>
      <c r="G383" s="1851">
        <f>G231+G233+G244+G247+G257+G260+G272+G284+G296+G308+G321+G333+G345+G358+G370</f>
        <v>60506968.152124636</v>
      </c>
      <c r="H383" s="318"/>
      <c r="I383" s="1782"/>
      <c r="J383" s="1783"/>
    </row>
    <row r="384" spans="1:10" ht="13.5" customHeight="1">
      <c r="A384" s="440"/>
      <c r="B384" s="1831"/>
      <c r="C384" s="1852" t="s">
        <v>2227</v>
      </c>
      <c r="D384" s="1853">
        <f>6.4*50</f>
        <v>320</v>
      </c>
      <c r="E384" s="1854" t="s">
        <v>89</v>
      </c>
      <c r="F384" s="1855"/>
      <c r="G384" s="1856"/>
      <c r="H384" s="318"/>
      <c r="I384" s="1782"/>
      <c r="J384" s="1783"/>
    </row>
    <row r="385" spans="1:10" ht="12.75" customHeight="1">
      <c r="A385" s="440"/>
      <c r="B385" s="1831"/>
      <c r="C385" s="380"/>
      <c r="D385" s="390"/>
      <c r="E385" s="1832"/>
      <c r="F385" s="320"/>
      <c r="G385" s="1743"/>
      <c r="H385" s="318"/>
      <c r="I385" s="1782"/>
      <c r="J385" s="1783"/>
    </row>
    <row r="386" spans="1:10" ht="15.75" customHeight="1">
      <c r="A386" s="440"/>
      <c r="B386" s="1739"/>
      <c r="C386" s="1804" t="s">
        <v>2228</v>
      </c>
      <c r="D386" s="1763"/>
      <c r="E386" s="1764"/>
      <c r="F386" s="1765"/>
      <c r="G386" s="1765">
        <f>G383/D384</f>
        <v>189084.2754753895</v>
      </c>
      <c r="H386" s="318"/>
      <c r="I386" s="1782"/>
      <c r="J386" s="1783"/>
    </row>
    <row r="387" spans="1:10" ht="15.75" customHeight="1">
      <c r="A387" s="440"/>
      <c r="B387" s="1739"/>
      <c r="C387" s="1804" t="s">
        <v>2094</v>
      </c>
      <c r="D387" s="1767">
        <f>M$4</f>
        <v>0.15</v>
      </c>
      <c r="E387" s="1764"/>
      <c r="F387" s="1765"/>
      <c r="G387" s="1765">
        <f>G386*D387</f>
        <v>28362.641321308423</v>
      </c>
      <c r="H387" s="318"/>
      <c r="I387" s="1782"/>
      <c r="J387" s="1783"/>
    </row>
    <row r="388" spans="1:10" ht="15.75" customHeight="1">
      <c r="A388" s="440"/>
      <c r="B388" s="1739"/>
      <c r="C388" s="1857" t="s">
        <v>2111</v>
      </c>
      <c r="D388" s="1858"/>
      <c r="E388" s="1859"/>
      <c r="F388" s="1860"/>
      <c r="G388" s="1861">
        <f>ROUNDUP((G386+G387),2)</f>
        <v>217446.92</v>
      </c>
      <c r="H388" s="318"/>
      <c r="I388" s="1862">
        <f>SUM(I231:I370)</f>
        <v>1</v>
      </c>
      <c r="J388" s="1783"/>
    </row>
    <row r="389" spans="1:10" ht="13.5" customHeight="1">
      <c r="A389" s="1863"/>
      <c r="B389" s="1787"/>
      <c r="C389" s="1864"/>
      <c r="D389" s="1865"/>
      <c r="E389" s="1866"/>
      <c r="F389" s="1867"/>
      <c r="G389" s="1867"/>
      <c r="H389" s="1868"/>
      <c r="I389" s="1869"/>
      <c r="J389" s="1870"/>
    </row>
    <row r="390" spans="1:10" ht="13.5" customHeight="1">
      <c r="A390" s="1733"/>
      <c r="B390" s="1733"/>
      <c r="C390" s="1733"/>
      <c r="D390" s="1733"/>
      <c r="E390" s="1733"/>
      <c r="F390" s="1733"/>
      <c r="G390" s="1733"/>
      <c r="H390" s="28"/>
      <c r="I390" s="1733"/>
      <c r="J390" s="1733"/>
    </row>
    <row r="391" spans="1:10" ht="30" customHeight="1">
      <c r="A391" s="1778">
        <f>A165+1</f>
        <v>10</v>
      </c>
      <c r="B391" s="1871" t="s">
        <v>2147</v>
      </c>
      <c r="C391" s="1872" t="s">
        <v>2229</v>
      </c>
      <c r="D391" s="1873"/>
      <c r="E391" s="1874"/>
      <c r="F391" s="1875"/>
      <c r="G391" s="1875"/>
      <c r="H391" s="1875"/>
      <c r="I391" s="1875"/>
      <c r="J391" s="1876"/>
    </row>
    <row r="392" spans="1:10" ht="15.75" customHeight="1">
      <c r="A392" s="1780"/>
      <c r="B392" s="1739" t="s">
        <v>1004</v>
      </c>
      <c r="C392" s="1877" t="s">
        <v>2067</v>
      </c>
      <c r="D392" s="390"/>
      <c r="E392" s="413"/>
      <c r="F392" s="320"/>
      <c r="G392" s="320"/>
      <c r="H392" s="318"/>
      <c r="I392" s="1782"/>
      <c r="J392" s="1783"/>
    </row>
    <row r="393" spans="1:10" ht="15.75" customHeight="1">
      <c r="A393" s="1780"/>
      <c r="B393" s="1739"/>
      <c r="C393" s="1878" t="s">
        <v>2103</v>
      </c>
      <c r="D393" s="1841">
        <f>D408</f>
        <v>3.5417362575340441</v>
      </c>
      <c r="E393" s="413" t="s">
        <v>2069</v>
      </c>
      <c r="F393" s="1747">
        <f>'Bahan &amp; Upah'!C$336</f>
        <v>96332.65</v>
      </c>
      <c r="G393" s="361">
        <f>F393*D393</f>
        <v>341184.83928933693</v>
      </c>
      <c r="H393" s="1842">
        <v>1</v>
      </c>
      <c r="I393" s="1749">
        <f>(G393/G$410)*H393</f>
        <v>0.90366951021897057</v>
      </c>
      <c r="J393" s="1783"/>
    </row>
    <row r="394" spans="1:10" ht="15.75" customHeight="1">
      <c r="A394" s="1879"/>
      <c r="B394" s="1759"/>
      <c r="C394" s="1880" t="s">
        <v>2107</v>
      </c>
      <c r="D394" s="1881">
        <f>D409</f>
        <v>0.35417362575340439</v>
      </c>
      <c r="E394" s="1882" t="s">
        <v>2069</v>
      </c>
      <c r="F394" s="1883">
        <f>'Bahan &amp; Upah'!C$339</f>
        <v>102689.88</v>
      </c>
      <c r="G394" s="388">
        <f>F394*D394</f>
        <v>36370.047127782011</v>
      </c>
      <c r="H394" s="1842">
        <v>1</v>
      </c>
      <c r="I394" s="1749">
        <f>(G394/G$410)*H394</f>
        <v>9.6330489781029441E-2</v>
      </c>
      <c r="J394" s="1783"/>
    </row>
    <row r="395" spans="1:10" ht="15.75" customHeight="1">
      <c r="A395" s="1780"/>
      <c r="B395" s="1884"/>
      <c r="C395" s="1878" t="s">
        <v>2230</v>
      </c>
      <c r="D395" s="1885"/>
      <c r="E395" s="333"/>
      <c r="F395" s="1748"/>
      <c r="G395" s="332"/>
      <c r="H395" s="318"/>
      <c r="I395" s="1782"/>
      <c r="J395" s="1783"/>
    </row>
    <row r="396" spans="1:10" ht="15.75" customHeight="1">
      <c r="A396" s="1780"/>
      <c r="B396" s="1884"/>
      <c r="C396" s="1878" t="s">
        <v>2231</v>
      </c>
      <c r="D396" s="1885">
        <v>1</v>
      </c>
      <c r="E396" s="333" t="s">
        <v>2203</v>
      </c>
      <c r="F396" s="1748"/>
      <c r="G396" s="332"/>
      <c r="H396" s="318"/>
      <c r="I396" s="1782"/>
      <c r="J396" s="1783"/>
    </row>
    <row r="397" spans="1:10" ht="15.75" customHeight="1">
      <c r="A397" s="1780"/>
      <c r="B397" s="1884"/>
      <c r="C397" s="1878" t="s">
        <v>2232</v>
      </c>
      <c r="D397" s="1885">
        <v>12</v>
      </c>
      <c r="E397" s="333" t="s">
        <v>2203</v>
      </c>
      <c r="F397" s="1748"/>
      <c r="G397" s="332"/>
      <c r="H397" s="318"/>
      <c r="I397" s="1782"/>
      <c r="J397" s="1783"/>
    </row>
    <row r="398" spans="1:10" ht="15.75" customHeight="1">
      <c r="A398" s="1780"/>
      <c r="B398" s="1884"/>
      <c r="C398" s="1878" t="s">
        <v>2233</v>
      </c>
      <c r="D398" s="1885">
        <v>3</v>
      </c>
      <c r="E398" s="333" t="s">
        <v>2203</v>
      </c>
      <c r="F398" s="1748"/>
      <c r="G398" s="332"/>
      <c r="H398" s="318"/>
      <c r="I398" s="1782"/>
      <c r="J398" s="1783"/>
    </row>
    <row r="399" spans="1:10" ht="15.75" customHeight="1">
      <c r="A399" s="1780"/>
      <c r="B399" s="1884"/>
      <c r="C399" s="1878" t="s">
        <v>2234</v>
      </c>
      <c r="D399" s="1885">
        <v>1</v>
      </c>
      <c r="E399" s="333" t="s">
        <v>2203</v>
      </c>
      <c r="F399" s="1748"/>
      <c r="G399" s="332"/>
      <c r="H399" s="318"/>
      <c r="I399" s="1782"/>
      <c r="J399" s="1783"/>
    </row>
    <row r="400" spans="1:10" ht="15.75" customHeight="1">
      <c r="A400" s="1780"/>
      <c r="B400" s="1884"/>
      <c r="C400" s="1878" t="s">
        <v>2235</v>
      </c>
      <c r="D400" s="1886">
        <v>5</v>
      </c>
      <c r="E400" s="1887" t="s">
        <v>2203</v>
      </c>
      <c r="F400" s="1748"/>
      <c r="G400" s="332"/>
      <c r="H400" s="318"/>
      <c r="I400" s="1782"/>
      <c r="J400" s="1783"/>
    </row>
    <row r="401" spans="1:10" ht="15.75" customHeight="1">
      <c r="A401" s="1780"/>
      <c r="B401" s="1884"/>
      <c r="C401" s="1878"/>
      <c r="D401" s="1841">
        <f>SUM(D396:D400)</f>
        <v>22</v>
      </c>
      <c r="E401" s="413" t="s">
        <v>2203</v>
      </c>
      <c r="F401" s="1748"/>
      <c r="G401" s="332"/>
      <c r="H401" s="318"/>
      <c r="I401" s="1782"/>
      <c r="J401" s="1783"/>
    </row>
    <row r="402" spans="1:10" ht="15.75" customHeight="1">
      <c r="A402" s="1780"/>
      <c r="B402" s="1884"/>
      <c r="C402" s="1888" t="s">
        <v>2236</v>
      </c>
      <c r="D402" s="390">
        <v>7</v>
      </c>
      <c r="E402" s="413" t="s">
        <v>1340</v>
      </c>
      <c r="F402" s="1748"/>
      <c r="G402" s="332"/>
      <c r="H402" s="318"/>
      <c r="I402" s="1782"/>
      <c r="J402" s="1783"/>
    </row>
    <row r="403" spans="1:10" ht="15.75" customHeight="1">
      <c r="A403" s="1780"/>
      <c r="B403" s="1884"/>
      <c r="C403" s="1888"/>
      <c r="D403" s="390">
        <f>D402*60</f>
        <v>420</v>
      </c>
      <c r="E403" s="413" t="s">
        <v>2203</v>
      </c>
      <c r="F403" s="1748"/>
      <c r="G403" s="332"/>
      <c r="H403" s="318"/>
      <c r="I403" s="1782"/>
      <c r="J403" s="1783"/>
    </row>
    <row r="404" spans="1:10" ht="15.75" customHeight="1">
      <c r="A404" s="1780"/>
      <c r="B404" s="1884"/>
      <c r="C404" s="1878" t="s">
        <v>2237</v>
      </c>
      <c r="D404" s="1885">
        <f>(3.14*(0.1256^2))*0.15*2</f>
        <v>1.4860389119999998E-2</v>
      </c>
      <c r="E404" s="333" t="s">
        <v>103</v>
      </c>
      <c r="F404" s="1748"/>
      <c r="G404" s="332"/>
      <c r="H404" s="318"/>
      <c r="I404" s="1782"/>
      <c r="J404" s="1783"/>
    </row>
    <row r="405" spans="1:10" ht="15.75" customHeight="1">
      <c r="A405" s="1780"/>
      <c r="B405" s="1884"/>
      <c r="C405" s="1878" t="s">
        <v>2238</v>
      </c>
      <c r="D405" s="1885">
        <f>D403/D401</f>
        <v>19.09090909090909</v>
      </c>
      <c r="E405" s="333" t="s">
        <v>2239</v>
      </c>
      <c r="F405" s="1748"/>
      <c r="G405" s="332"/>
      <c r="H405" s="318"/>
      <c r="I405" s="1782"/>
      <c r="J405" s="1783"/>
    </row>
    <row r="406" spans="1:10" ht="15.75" customHeight="1">
      <c r="A406" s="1780"/>
      <c r="B406" s="1884"/>
      <c r="C406" s="1889" t="s">
        <v>2195</v>
      </c>
      <c r="D406" s="1885">
        <f>ROUNDDOWN(D405,-0.5)</f>
        <v>19</v>
      </c>
      <c r="E406" s="333" t="s">
        <v>2239</v>
      </c>
      <c r="F406" s="1748"/>
      <c r="G406" s="332"/>
      <c r="H406" s="318"/>
      <c r="I406" s="1782"/>
      <c r="J406" s="1783"/>
    </row>
    <row r="407" spans="1:10" ht="15.75" customHeight="1">
      <c r="A407" s="1780"/>
      <c r="B407" s="1884"/>
      <c r="C407" s="1878" t="s">
        <v>2240</v>
      </c>
      <c r="D407" s="1885">
        <f>D404*D406</f>
        <v>0.28234739327999997</v>
      </c>
      <c r="E407" s="333" t="s">
        <v>103</v>
      </c>
      <c r="F407" s="1748"/>
      <c r="G407" s="332"/>
      <c r="H407" s="318"/>
      <c r="I407" s="1782"/>
      <c r="J407" s="1783"/>
    </row>
    <row r="408" spans="1:10" ht="15.75" customHeight="1">
      <c r="A408" s="1780"/>
      <c r="B408" s="1884"/>
      <c r="C408" s="1878" t="s">
        <v>2206</v>
      </c>
      <c r="D408" s="1885">
        <f>1/D407</f>
        <v>3.5417362575340441</v>
      </c>
      <c r="E408" s="333"/>
      <c r="F408" s="1748"/>
      <c r="G408" s="332"/>
      <c r="H408" s="318"/>
      <c r="I408" s="1782"/>
      <c r="J408" s="1783"/>
    </row>
    <row r="409" spans="1:10" ht="15.75" customHeight="1">
      <c r="A409" s="1780"/>
      <c r="B409" s="1884"/>
      <c r="C409" s="1880" t="s">
        <v>2241</v>
      </c>
      <c r="D409" s="1885">
        <f>D408/10</f>
        <v>0.35417362575340439</v>
      </c>
      <c r="E409" s="333"/>
      <c r="F409" s="1748"/>
      <c r="G409" s="332"/>
      <c r="H409" s="318"/>
      <c r="I409" s="1782"/>
      <c r="J409" s="1783"/>
    </row>
    <row r="410" spans="1:10" ht="15.75" customHeight="1">
      <c r="A410" s="1780"/>
      <c r="B410" s="1784"/>
      <c r="C410" s="1804" t="s">
        <v>2242</v>
      </c>
      <c r="D410" s="1763"/>
      <c r="E410" s="1764"/>
      <c r="F410" s="1765"/>
      <c r="G410" s="1765">
        <f>SUM(G393:G394)</f>
        <v>377554.88641711895</v>
      </c>
      <c r="H410" s="318"/>
      <c r="I410" s="1782"/>
      <c r="J410" s="1783"/>
    </row>
    <row r="411" spans="1:10" ht="15.75" customHeight="1">
      <c r="A411" s="1780"/>
      <c r="B411" s="1784"/>
      <c r="C411" s="1804" t="s">
        <v>2094</v>
      </c>
      <c r="D411" s="1767">
        <f>M$4</f>
        <v>0.15</v>
      </c>
      <c r="E411" s="1764"/>
      <c r="F411" s="1765"/>
      <c r="G411" s="1765">
        <f>G410*D411</f>
        <v>56633.232962567839</v>
      </c>
      <c r="H411" s="318"/>
      <c r="I411" s="1782"/>
      <c r="J411" s="1783"/>
    </row>
    <row r="412" spans="1:10" ht="15.75" customHeight="1">
      <c r="A412" s="1786"/>
      <c r="B412" s="1890"/>
      <c r="C412" s="1788" t="s">
        <v>2111</v>
      </c>
      <c r="D412" s="1772"/>
      <c r="E412" s="1773"/>
      <c r="F412" s="1774"/>
      <c r="G412" s="1861">
        <f>ROUNDUP((G410+G411),2)</f>
        <v>434188.12</v>
      </c>
      <c r="H412" s="1891"/>
      <c r="I412" s="1892">
        <f>SUM(I393:I411)</f>
        <v>1</v>
      </c>
      <c r="J412" s="1893"/>
    </row>
    <row r="413" spans="1:10" ht="15.75" customHeight="1">
      <c r="A413" s="1733"/>
      <c r="B413" s="1733"/>
      <c r="C413" s="1733"/>
      <c r="D413" s="1733"/>
      <c r="E413" s="1733"/>
      <c r="F413" s="1733"/>
      <c r="G413" s="1733"/>
      <c r="H413" s="28"/>
      <c r="I413" s="1733"/>
      <c r="J413" s="1733"/>
    </row>
    <row r="414" spans="1:10" ht="30" customHeight="1">
      <c r="A414" s="1778">
        <f>A391+1</f>
        <v>11</v>
      </c>
      <c r="B414" s="1871" t="s">
        <v>2147</v>
      </c>
      <c r="C414" s="1872" t="s">
        <v>2243</v>
      </c>
      <c r="D414" s="1873"/>
      <c r="E414" s="1874"/>
      <c r="F414" s="1875"/>
      <c r="G414" s="1875"/>
      <c r="H414" s="1875"/>
      <c r="I414" s="1875"/>
      <c r="J414" s="1876"/>
    </row>
    <row r="415" spans="1:10" ht="15.75" customHeight="1">
      <c r="A415" s="1780"/>
      <c r="B415" s="1739" t="s">
        <v>1004</v>
      </c>
      <c r="C415" s="1877" t="s">
        <v>2067</v>
      </c>
      <c r="D415" s="390"/>
      <c r="E415" s="413"/>
      <c r="F415" s="320"/>
      <c r="G415" s="320"/>
      <c r="H415" s="318"/>
      <c r="I415" s="1782"/>
      <c r="J415" s="1783"/>
    </row>
    <row r="416" spans="1:10" ht="15.75" customHeight="1">
      <c r="A416" s="1780"/>
      <c r="B416" s="1739"/>
      <c r="C416" s="1878" t="s">
        <v>2103</v>
      </c>
      <c r="D416" s="1841">
        <f>D431</f>
        <v>6.1175444448315304</v>
      </c>
      <c r="E416" s="413" t="s">
        <v>2069</v>
      </c>
      <c r="F416" s="1747">
        <f>'Bahan &amp; Upah'!C$336</f>
        <v>96332.65</v>
      </c>
      <c r="G416" s="361">
        <f>F416*D416</f>
        <v>589319.26786340005</v>
      </c>
      <c r="H416" s="1842">
        <v>1</v>
      </c>
      <c r="I416" s="1749">
        <f>(G416/G$433)*H416</f>
        <v>0.82426742541791465</v>
      </c>
      <c r="J416" s="1783"/>
    </row>
    <row r="417" spans="1:10" ht="15.75" customHeight="1">
      <c r="A417" s="1879"/>
      <c r="B417" s="1759"/>
      <c r="C417" s="1880" t="s">
        <v>2107</v>
      </c>
      <c r="D417" s="1881">
        <f>D432</f>
        <v>1.2235088889663062</v>
      </c>
      <c r="E417" s="1882" t="s">
        <v>2069</v>
      </c>
      <c r="F417" s="1883">
        <f>'Bahan &amp; Upah'!C$339</f>
        <v>102689.88</v>
      </c>
      <c r="G417" s="388">
        <f>F417*D417</f>
        <v>125641.98098688331</v>
      </c>
      <c r="H417" s="1842">
        <v>1</v>
      </c>
      <c r="I417" s="1749">
        <f>(G417/G$433)*H417</f>
        <v>0.17573257458208535</v>
      </c>
      <c r="J417" s="1783"/>
    </row>
    <row r="418" spans="1:10" ht="15.75" customHeight="1">
      <c r="A418" s="1780"/>
      <c r="B418" s="1884"/>
      <c r="C418" s="1878" t="s">
        <v>2230</v>
      </c>
      <c r="D418" s="1885"/>
      <c r="E418" s="333"/>
      <c r="F418" s="1748"/>
      <c r="G418" s="332"/>
      <c r="H418" s="318"/>
      <c r="I418" s="1782"/>
      <c r="J418" s="1783"/>
    </row>
    <row r="419" spans="1:10" ht="15.75" customHeight="1">
      <c r="A419" s="1780"/>
      <c r="B419" s="1884"/>
      <c r="C419" s="1878" t="s">
        <v>2231</v>
      </c>
      <c r="D419" s="1885">
        <v>1</v>
      </c>
      <c r="E419" s="333" t="s">
        <v>2203</v>
      </c>
      <c r="F419" s="1748"/>
      <c r="G419" s="332"/>
      <c r="H419" s="318"/>
      <c r="I419" s="1782"/>
      <c r="J419" s="1783"/>
    </row>
    <row r="420" spans="1:10" ht="15.75" customHeight="1">
      <c r="A420" s="1780"/>
      <c r="B420" s="1884"/>
      <c r="C420" s="1878" t="s">
        <v>2232</v>
      </c>
      <c r="D420" s="1885">
        <v>18</v>
      </c>
      <c r="E420" s="333" t="s">
        <v>2203</v>
      </c>
      <c r="F420" s="1748"/>
      <c r="G420" s="332"/>
      <c r="H420" s="318"/>
      <c r="I420" s="1782"/>
      <c r="J420" s="1783"/>
    </row>
    <row r="421" spans="1:10" ht="15.75" customHeight="1">
      <c r="A421" s="1780"/>
      <c r="B421" s="1884"/>
      <c r="C421" s="1878" t="s">
        <v>2233</v>
      </c>
      <c r="D421" s="1885">
        <v>7</v>
      </c>
      <c r="E421" s="333" t="s">
        <v>2203</v>
      </c>
      <c r="F421" s="1748"/>
      <c r="G421" s="332"/>
      <c r="H421" s="318"/>
      <c r="I421" s="1782"/>
      <c r="J421" s="1783"/>
    </row>
    <row r="422" spans="1:10" ht="15.75" customHeight="1">
      <c r="A422" s="1780"/>
      <c r="B422" s="1884"/>
      <c r="C422" s="1878" t="s">
        <v>2234</v>
      </c>
      <c r="D422" s="1885">
        <v>2</v>
      </c>
      <c r="E422" s="333" t="s">
        <v>2203</v>
      </c>
      <c r="F422" s="1748"/>
      <c r="G422" s="332"/>
      <c r="H422" s="318"/>
      <c r="I422" s="1782"/>
      <c r="J422" s="1783"/>
    </row>
    <row r="423" spans="1:10" ht="15.75" customHeight="1">
      <c r="A423" s="1780"/>
      <c r="B423" s="1884"/>
      <c r="C423" s="1878" t="s">
        <v>2235</v>
      </c>
      <c r="D423" s="1886">
        <v>8</v>
      </c>
      <c r="E423" s="1887" t="s">
        <v>2203</v>
      </c>
      <c r="F423" s="1748"/>
      <c r="G423" s="332"/>
      <c r="H423" s="318"/>
      <c r="I423" s="1782"/>
      <c r="J423" s="1783"/>
    </row>
    <row r="424" spans="1:10" ht="15.75" customHeight="1">
      <c r="A424" s="1780"/>
      <c r="B424" s="1884"/>
      <c r="C424" s="1878"/>
      <c r="D424" s="1841">
        <f>SUM(D419:D423)</f>
        <v>36</v>
      </c>
      <c r="E424" s="413" t="s">
        <v>2203</v>
      </c>
      <c r="F424" s="1748"/>
      <c r="G424" s="332"/>
      <c r="H424" s="318"/>
      <c r="I424" s="1782"/>
      <c r="J424" s="1783"/>
    </row>
    <row r="425" spans="1:10" ht="15.75" customHeight="1">
      <c r="A425" s="1780"/>
      <c r="B425" s="1884"/>
      <c r="C425" s="1888" t="s">
        <v>2236</v>
      </c>
      <c r="D425" s="390">
        <v>7</v>
      </c>
      <c r="E425" s="413" t="s">
        <v>1340</v>
      </c>
      <c r="F425" s="1748"/>
      <c r="G425" s="332"/>
      <c r="H425" s="318"/>
      <c r="I425" s="1782"/>
      <c r="J425" s="1783"/>
    </row>
    <row r="426" spans="1:10" ht="15.75" customHeight="1">
      <c r="A426" s="1780"/>
      <c r="B426" s="1884"/>
      <c r="C426" s="1888"/>
      <c r="D426" s="390">
        <f>D425*60</f>
        <v>420</v>
      </c>
      <c r="E426" s="413" t="s">
        <v>2203</v>
      </c>
      <c r="F426" s="1748"/>
      <c r="G426" s="332"/>
      <c r="H426" s="318"/>
      <c r="I426" s="1782"/>
      <c r="J426" s="1783"/>
    </row>
    <row r="427" spans="1:10" ht="15.75" customHeight="1">
      <c r="A427" s="1780"/>
      <c r="B427" s="1884"/>
      <c r="C427" s="1878" t="s">
        <v>2237</v>
      </c>
      <c r="D427" s="1885">
        <f>(3.14*(0.1256^2))*0.15*2</f>
        <v>1.4860389119999998E-2</v>
      </c>
      <c r="E427" s="333" t="s">
        <v>103</v>
      </c>
      <c r="F427" s="1748"/>
      <c r="G427" s="332"/>
      <c r="H427" s="318"/>
      <c r="I427" s="1782"/>
      <c r="J427" s="1783"/>
    </row>
    <row r="428" spans="1:10" ht="15.75" customHeight="1">
      <c r="A428" s="1780"/>
      <c r="B428" s="1884"/>
      <c r="C428" s="1878" t="s">
        <v>2238</v>
      </c>
      <c r="D428" s="1885">
        <f>D426/D424</f>
        <v>11.666666666666666</v>
      </c>
      <c r="E428" s="333" t="s">
        <v>2239</v>
      </c>
      <c r="F428" s="1748"/>
      <c r="G428" s="332"/>
      <c r="H428" s="318"/>
      <c r="I428" s="1782"/>
      <c r="J428" s="1783"/>
    </row>
    <row r="429" spans="1:10" ht="15.75" customHeight="1">
      <c r="A429" s="1780"/>
      <c r="B429" s="1884"/>
      <c r="C429" s="1889" t="s">
        <v>2195</v>
      </c>
      <c r="D429" s="1885">
        <f>ROUNDDOWN(D428,-0.5)</f>
        <v>11</v>
      </c>
      <c r="E429" s="333" t="s">
        <v>2239</v>
      </c>
      <c r="F429" s="1748"/>
      <c r="G429" s="332"/>
      <c r="H429" s="318"/>
      <c r="I429" s="1782"/>
      <c r="J429" s="1783"/>
    </row>
    <row r="430" spans="1:10" ht="15.75" customHeight="1">
      <c r="A430" s="1780"/>
      <c r="B430" s="1884"/>
      <c r="C430" s="1878" t="s">
        <v>2240</v>
      </c>
      <c r="D430" s="1885">
        <f>D427*D429</f>
        <v>0.16346428031999999</v>
      </c>
      <c r="E430" s="333" t="s">
        <v>103</v>
      </c>
      <c r="F430" s="1748"/>
      <c r="G430" s="332"/>
      <c r="H430" s="318"/>
      <c r="I430" s="1782"/>
      <c r="J430" s="1783"/>
    </row>
    <row r="431" spans="1:10" ht="15.75" customHeight="1">
      <c r="A431" s="1780"/>
      <c r="B431" s="1884"/>
      <c r="C431" s="1878" t="s">
        <v>2206</v>
      </c>
      <c r="D431" s="1885">
        <f>1/D430</f>
        <v>6.1175444448315304</v>
      </c>
      <c r="E431" s="333"/>
      <c r="F431" s="1748"/>
      <c r="G431" s="332"/>
      <c r="H431" s="318"/>
      <c r="I431" s="1782"/>
      <c r="J431" s="1783"/>
    </row>
    <row r="432" spans="1:10" ht="15.75" customHeight="1">
      <c r="A432" s="1780"/>
      <c r="B432" s="1884"/>
      <c r="C432" s="1880" t="s">
        <v>2244</v>
      </c>
      <c r="D432" s="1885">
        <f>D431/5</f>
        <v>1.2235088889663062</v>
      </c>
      <c r="E432" s="333"/>
      <c r="F432" s="1748"/>
      <c r="G432" s="332"/>
      <c r="H432" s="318"/>
      <c r="I432" s="1782"/>
      <c r="J432" s="1783"/>
    </row>
    <row r="433" spans="1:10" ht="15.75" customHeight="1">
      <c r="A433" s="1780"/>
      <c r="B433" s="1784"/>
      <c r="C433" s="1804" t="s">
        <v>2242</v>
      </c>
      <c r="D433" s="1763"/>
      <c r="E433" s="1764"/>
      <c r="F433" s="1765"/>
      <c r="G433" s="1765">
        <f>SUM(G416:G417)</f>
        <v>714961.24885028333</v>
      </c>
      <c r="H433" s="318"/>
      <c r="I433" s="1782"/>
      <c r="J433" s="1783"/>
    </row>
    <row r="434" spans="1:10" ht="15.75" customHeight="1">
      <c r="A434" s="1780"/>
      <c r="B434" s="1784"/>
      <c r="C434" s="1804" t="s">
        <v>2094</v>
      </c>
      <c r="D434" s="1767">
        <f>M$4</f>
        <v>0.15</v>
      </c>
      <c r="E434" s="1764"/>
      <c r="F434" s="1765"/>
      <c r="G434" s="1765">
        <f>G433*D434</f>
        <v>107244.1873275425</v>
      </c>
      <c r="H434" s="318"/>
      <c r="I434" s="1782"/>
      <c r="J434" s="1783"/>
    </row>
    <row r="435" spans="1:10" ht="15.75" customHeight="1">
      <c r="A435" s="1786"/>
      <c r="B435" s="1890"/>
      <c r="C435" s="1788" t="s">
        <v>2111</v>
      </c>
      <c r="D435" s="1772"/>
      <c r="E435" s="1773"/>
      <c r="F435" s="1774"/>
      <c r="G435" s="1861">
        <f>ROUNDUP((G433+G434),2)</f>
        <v>822205.44000000006</v>
      </c>
      <c r="H435" s="1891"/>
      <c r="I435" s="1894">
        <f>SUM(I416:I434)</f>
        <v>1</v>
      </c>
      <c r="J435" s="1893"/>
    </row>
    <row r="436" spans="1:10" ht="15.75" customHeight="1">
      <c r="A436" s="1733"/>
      <c r="B436" s="1733"/>
      <c r="C436" s="1733"/>
      <c r="D436" s="1733"/>
      <c r="E436" s="1733"/>
      <c r="F436" s="1733"/>
      <c r="G436" s="1733"/>
      <c r="H436" s="28"/>
      <c r="I436" s="1733"/>
      <c r="J436" s="1733"/>
    </row>
    <row r="437" spans="1:10" ht="30" customHeight="1">
      <c r="A437" s="1736">
        <f>A414+1</f>
        <v>12</v>
      </c>
      <c r="B437" s="1826" t="s">
        <v>2147</v>
      </c>
      <c r="C437" s="3275" t="s">
        <v>2245</v>
      </c>
      <c r="D437" s="3275"/>
      <c r="E437" s="3275"/>
      <c r="F437" s="1827"/>
      <c r="G437" s="1827"/>
      <c r="H437" s="1895"/>
      <c r="I437" s="1895"/>
      <c r="J437" s="1828"/>
    </row>
    <row r="438" spans="1:10" ht="15.75" customHeight="1">
      <c r="A438" s="440"/>
      <c r="B438" s="1739"/>
      <c r="C438" s="1896" t="s">
        <v>2246</v>
      </c>
      <c r="D438" s="390"/>
      <c r="E438" s="413"/>
      <c r="F438" s="320"/>
      <c r="G438" s="320"/>
      <c r="H438" s="1897"/>
      <c r="I438" s="1744"/>
      <c r="J438" s="1745"/>
    </row>
    <row r="439" spans="1:10" ht="15.75" customHeight="1">
      <c r="A439" s="440"/>
      <c r="B439" s="1739"/>
      <c r="C439" s="1888" t="s">
        <v>2247</v>
      </c>
      <c r="D439" s="431">
        <f>(0.25*0.8*0.8+0.25*0.25)*2400</f>
        <v>534.00000000000011</v>
      </c>
      <c r="E439" s="413" t="s">
        <v>100</v>
      </c>
      <c r="F439" s="320"/>
      <c r="G439" s="320"/>
      <c r="H439" s="1842"/>
      <c r="I439" s="1749"/>
      <c r="J439" s="1783"/>
    </row>
    <row r="440" spans="1:10" ht="15.75" customHeight="1">
      <c r="A440" s="440"/>
      <c r="B440" s="1739" t="s">
        <v>1004</v>
      </c>
      <c r="C440" s="1896" t="s">
        <v>2248</v>
      </c>
      <c r="D440" s="648"/>
      <c r="E440" s="1898"/>
      <c r="F440" s="320"/>
      <c r="G440" s="320"/>
      <c r="H440" s="1842"/>
      <c r="I440" s="1749"/>
      <c r="J440" s="1783"/>
    </row>
    <row r="441" spans="1:10" ht="15.75" customHeight="1">
      <c r="A441" s="440"/>
      <c r="B441" s="1739"/>
      <c r="C441" s="1888" t="s">
        <v>2249</v>
      </c>
      <c r="D441" s="431">
        <v>5</v>
      </c>
      <c r="E441" s="413" t="s">
        <v>2203</v>
      </c>
      <c r="F441" s="1747"/>
      <c r="G441" s="361"/>
      <c r="H441" s="318"/>
      <c r="I441" s="1782"/>
      <c r="J441" s="1783"/>
    </row>
    <row r="442" spans="1:10" ht="15.75" customHeight="1">
      <c r="A442" s="440"/>
      <c r="B442" s="1739"/>
      <c r="C442" s="1888" t="s">
        <v>2250</v>
      </c>
      <c r="D442" s="431">
        <v>25</v>
      </c>
      <c r="E442" s="413" t="s">
        <v>2203</v>
      </c>
      <c r="F442" s="1747"/>
      <c r="G442" s="361"/>
      <c r="H442" s="318"/>
      <c r="I442" s="1782"/>
      <c r="J442" s="1783"/>
    </row>
    <row r="443" spans="1:10" ht="15.75" customHeight="1">
      <c r="A443" s="440"/>
      <c r="B443" s="1739"/>
      <c r="C443" s="1888" t="s">
        <v>2251</v>
      </c>
      <c r="D443" s="624">
        <v>10</v>
      </c>
      <c r="E443" s="1887" t="s">
        <v>2203</v>
      </c>
      <c r="F443" s="1747"/>
      <c r="G443" s="361"/>
      <c r="H443" s="318"/>
      <c r="I443" s="1782"/>
      <c r="J443" s="1783"/>
    </row>
    <row r="444" spans="1:10" ht="15.75" customHeight="1">
      <c r="A444" s="440"/>
      <c r="B444" s="1739"/>
      <c r="C444" s="1899" t="s">
        <v>11</v>
      </c>
      <c r="D444" s="431">
        <f>SUM(D441:D443)</f>
        <v>40</v>
      </c>
      <c r="E444" s="413" t="s">
        <v>2203</v>
      </c>
      <c r="F444" s="1747"/>
      <c r="G444" s="361"/>
      <c r="H444" s="318"/>
      <c r="I444" s="1782"/>
      <c r="J444" s="1783"/>
    </row>
    <row r="445" spans="1:10" ht="15.75" customHeight="1">
      <c r="A445" s="440"/>
      <c r="B445" s="1739"/>
      <c r="C445" s="1888" t="s">
        <v>2236</v>
      </c>
      <c r="D445" s="431">
        <v>7</v>
      </c>
      <c r="E445" s="413" t="s">
        <v>1340</v>
      </c>
      <c r="F445" s="320"/>
      <c r="G445" s="320"/>
      <c r="H445" s="318"/>
      <c r="I445" s="1782"/>
      <c r="J445" s="1783"/>
    </row>
    <row r="446" spans="1:10" ht="15.75" customHeight="1">
      <c r="A446" s="440"/>
      <c r="B446" s="1739"/>
      <c r="C446" s="1888"/>
      <c r="D446" s="431">
        <f>D445*60</f>
        <v>420</v>
      </c>
      <c r="E446" s="413" t="s">
        <v>2203</v>
      </c>
      <c r="F446" s="320"/>
      <c r="G446" s="320"/>
      <c r="H446" s="318"/>
      <c r="I446" s="1782"/>
      <c r="J446" s="1783"/>
    </row>
    <row r="447" spans="1:10" ht="15.75" customHeight="1">
      <c r="A447" s="440"/>
      <c r="B447" s="1739"/>
      <c r="C447" s="1888" t="s">
        <v>2252</v>
      </c>
      <c r="D447" s="431">
        <f>D446/D444</f>
        <v>10.5</v>
      </c>
      <c r="E447" s="413" t="s">
        <v>2253</v>
      </c>
      <c r="F447" s="320"/>
      <c r="G447" s="320"/>
      <c r="H447" s="318"/>
      <c r="I447" s="1782"/>
      <c r="J447" s="1783"/>
    </row>
    <row r="448" spans="1:10" ht="15.75" customHeight="1">
      <c r="A448" s="440"/>
      <c r="B448" s="1739"/>
      <c r="C448" s="1899" t="s">
        <v>2195</v>
      </c>
      <c r="D448" s="431">
        <f>ROUNDDOWN(D447,-0.5)</f>
        <v>10</v>
      </c>
      <c r="E448" s="413" t="s">
        <v>2253</v>
      </c>
      <c r="F448" s="320"/>
      <c r="G448" s="320"/>
      <c r="H448" s="318"/>
      <c r="I448" s="1782"/>
      <c r="J448" s="1783"/>
    </row>
    <row r="449" spans="1:10" ht="15.75" customHeight="1">
      <c r="A449" s="440"/>
      <c r="B449" s="1739"/>
      <c r="C449" s="1888" t="s">
        <v>2254</v>
      </c>
      <c r="D449" s="431">
        <v>6</v>
      </c>
      <c r="E449" s="413" t="s">
        <v>2069</v>
      </c>
      <c r="F449" s="320"/>
      <c r="G449" s="320"/>
      <c r="H449" s="318"/>
      <c r="I449" s="1782"/>
      <c r="J449" s="1783"/>
    </row>
    <row r="450" spans="1:10" ht="15.75" customHeight="1">
      <c r="A450" s="440"/>
      <c r="B450" s="1739"/>
      <c r="C450" s="1900" t="s">
        <v>2206</v>
      </c>
      <c r="D450" s="1901">
        <f>D449/D448</f>
        <v>0.6</v>
      </c>
      <c r="E450" s="413"/>
      <c r="F450" s="320"/>
      <c r="G450" s="320"/>
      <c r="H450" s="318"/>
      <c r="I450" s="1782"/>
      <c r="J450" s="1783"/>
    </row>
    <row r="451" spans="1:10" ht="15.75" customHeight="1">
      <c r="A451" s="440"/>
      <c r="B451" s="1739"/>
      <c r="C451" s="1900" t="s">
        <v>2255</v>
      </c>
      <c r="D451" s="1901">
        <f>D450/4</f>
        <v>0.15</v>
      </c>
      <c r="E451" s="413"/>
      <c r="F451" s="320"/>
      <c r="G451" s="320"/>
      <c r="H451" s="318"/>
      <c r="I451" s="1782"/>
      <c r="J451" s="1783"/>
    </row>
    <row r="452" spans="1:10" ht="15.75" customHeight="1">
      <c r="A452" s="440"/>
      <c r="B452" s="1739" t="s">
        <v>1015</v>
      </c>
      <c r="C452" s="1896" t="s">
        <v>2256</v>
      </c>
      <c r="D452" s="431"/>
      <c r="E452" s="413"/>
      <c r="F452" s="320"/>
      <c r="G452" s="320"/>
      <c r="H452" s="318"/>
      <c r="I452" s="1782"/>
      <c r="J452" s="1783"/>
    </row>
    <row r="453" spans="1:10" ht="27.75" customHeight="1">
      <c r="A453" s="440"/>
      <c r="B453" s="1739"/>
      <c r="C453" s="1902" t="s">
        <v>2257</v>
      </c>
      <c r="D453" s="431">
        <f>3*4</f>
        <v>12</v>
      </c>
      <c r="E453" s="413" t="s">
        <v>888</v>
      </c>
      <c r="F453" s="320"/>
      <c r="G453" s="320"/>
      <c r="H453" s="318"/>
      <c r="I453" s="1782"/>
      <c r="J453" s="1783"/>
    </row>
    <row r="454" spans="1:10" ht="27.75" customHeight="1">
      <c r="A454" s="1780"/>
      <c r="B454" s="1884"/>
      <c r="C454" s="1902" t="s">
        <v>2258</v>
      </c>
      <c r="D454" s="624">
        <f>2*102</f>
        <v>204</v>
      </c>
      <c r="E454" s="1887" t="s">
        <v>888</v>
      </c>
      <c r="F454" s="1747"/>
      <c r="G454" s="332"/>
      <c r="H454" s="318"/>
      <c r="I454" s="1782"/>
      <c r="J454" s="1783"/>
    </row>
    <row r="455" spans="1:10" ht="15.75" customHeight="1">
      <c r="A455" s="1780"/>
      <c r="B455" s="1884"/>
      <c r="C455" s="1903" t="s">
        <v>11</v>
      </c>
      <c r="D455" s="431">
        <f>SUM(D453:D454)</f>
        <v>216</v>
      </c>
      <c r="E455" s="413" t="s">
        <v>888</v>
      </c>
      <c r="F455" s="1748"/>
      <c r="G455" s="332"/>
      <c r="H455" s="318"/>
      <c r="I455" s="1782"/>
      <c r="J455" s="1783"/>
    </row>
    <row r="456" spans="1:10" ht="15.75" customHeight="1">
      <c r="A456" s="1780"/>
      <c r="B456" s="1884"/>
      <c r="C456" s="1904" t="s">
        <v>2259</v>
      </c>
      <c r="D456" s="1901">
        <f>D455/102</f>
        <v>2.1176470588235294</v>
      </c>
      <c r="E456" s="1898" t="s">
        <v>888</v>
      </c>
      <c r="F456" s="1748"/>
      <c r="G456" s="332"/>
      <c r="H456" s="318"/>
      <c r="I456" s="1782"/>
      <c r="J456" s="1783"/>
    </row>
    <row r="457" spans="1:10" ht="15.75" customHeight="1">
      <c r="A457" s="1780"/>
      <c r="B457" s="1884"/>
      <c r="C457" s="1878" t="s">
        <v>2260</v>
      </c>
      <c r="D457" s="1905"/>
      <c r="E457" s="333"/>
      <c r="F457" s="1748"/>
      <c r="G457" s="332"/>
      <c r="H457" s="318"/>
      <c r="I457" s="1782"/>
      <c r="J457" s="1783"/>
    </row>
    <row r="458" spans="1:10" ht="15.75" customHeight="1">
      <c r="A458" s="1780"/>
      <c r="B458" s="1884"/>
      <c r="C458" s="1878" t="s">
        <v>2261</v>
      </c>
      <c r="D458" s="382">
        <f>5*3</f>
        <v>15</v>
      </c>
      <c r="E458" s="333" t="s">
        <v>117</v>
      </c>
      <c r="F458" s="1748"/>
      <c r="G458" s="332"/>
      <c r="H458" s="318"/>
      <c r="I458" s="1782"/>
      <c r="J458" s="1783"/>
    </row>
    <row r="459" spans="1:10" ht="15.75" customHeight="1">
      <c r="A459" s="1780"/>
      <c r="B459" s="1884"/>
      <c r="C459" s="1878" t="s">
        <v>2262</v>
      </c>
      <c r="D459" s="382">
        <f>D458*4</f>
        <v>60</v>
      </c>
      <c r="E459" s="333" t="s">
        <v>117</v>
      </c>
      <c r="F459" s="1748"/>
      <c r="G459" s="332"/>
      <c r="H459" s="318"/>
      <c r="I459" s="1782"/>
      <c r="J459" s="1783"/>
    </row>
    <row r="460" spans="1:10" ht="15.75" customHeight="1">
      <c r="A460" s="1780"/>
      <c r="B460" s="1884"/>
      <c r="C460" s="1878" t="s">
        <v>2263</v>
      </c>
      <c r="D460" s="1905">
        <f>D459/102</f>
        <v>0.58823529411764708</v>
      </c>
      <c r="E460" s="333"/>
      <c r="F460" s="1748"/>
      <c r="G460" s="332"/>
      <c r="H460" s="318"/>
      <c r="I460" s="1782"/>
      <c r="J460" s="1783"/>
    </row>
    <row r="461" spans="1:10" ht="15.75" customHeight="1">
      <c r="A461" s="1780"/>
      <c r="B461" s="1884"/>
      <c r="C461" s="1904" t="s">
        <v>2264</v>
      </c>
      <c r="D461" s="1906">
        <f>D460</f>
        <v>0.58823529411764708</v>
      </c>
      <c r="E461" s="1907" t="s">
        <v>117</v>
      </c>
      <c r="F461" s="1748"/>
      <c r="G461" s="332"/>
      <c r="H461" s="318"/>
      <c r="I461" s="1782"/>
      <c r="J461" s="1783"/>
    </row>
    <row r="462" spans="1:10" ht="15.75" customHeight="1">
      <c r="A462" s="1780"/>
      <c r="B462" s="1884"/>
      <c r="C462" s="1878" t="s">
        <v>2265</v>
      </c>
      <c r="D462" s="1905"/>
      <c r="E462" s="333"/>
      <c r="F462" s="1747"/>
      <c r="G462" s="332"/>
      <c r="H462" s="318"/>
      <c r="I462" s="1782"/>
      <c r="J462" s="1783"/>
    </row>
    <row r="463" spans="1:10" ht="15.75" customHeight="1">
      <c r="A463" s="1780"/>
      <c r="B463" s="1884"/>
      <c r="C463" s="1908" t="s">
        <v>2266</v>
      </c>
      <c r="D463" s="1905"/>
      <c r="E463" s="333"/>
      <c r="F463" s="328"/>
      <c r="G463" s="332"/>
      <c r="H463" s="318"/>
      <c r="I463" s="1782"/>
      <c r="J463" s="1783"/>
    </row>
    <row r="464" spans="1:10" ht="15.75" customHeight="1">
      <c r="A464" s="1780"/>
      <c r="B464" s="1884"/>
      <c r="C464" s="1878" t="s">
        <v>2267</v>
      </c>
      <c r="D464" s="1905">
        <v>3</v>
      </c>
      <c r="E464" s="333" t="s">
        <v>117</v>
      </c>
      <c r="F464" s="328"/>
      <c r="G464" s="328"/>
      <c r="H464" s="318"/>
      <c r="I464" s="1782"/>
      <c r="J464" s="1783"/>
    </row>
    <row r="465" spans="1:10" ht="15.75" customHeight="1">
      <c r="A465" s="1780"/>
      <c r="B465" s="1884"/>
      <c r="C465" s="1878" t="s">
        <v>2268</v>
      </c>
      <c r="D465" s="1905">
        <v>4</v>
      </c>
      <c r="E465" s="333" t="s">
        <v>357</v>
      </c>
      <c r="F465" s="1747"/>
      <c r="G465" s="332"/>
      <c r="H465" s="318"/>
      <c r="I465" s="1782"/>
      <c r="J465" s="1783"/>
    </row>
    <row r="466" spans="1:10" ht="15.75" customHeight="1">
      <c r="A466" s="1780"/>
      <c r="B466" s="1909"/>
      <c r="C466" s="1904" t="s">
        <v>2269</v>
      </c>
      <c r="D466" s="645">
        <f>D464*D465</f>
        <v>12</v>
      </c>
      <c r="E466" s="1907" t="s">
        <v>117</v>
      </c>
      <c r="F466" s="1747"/>
      <c r="G466" s="332"/>
      <c r="H466" s="318"/>
      <c r="I466" s="1782"/>
      <c r="J466" s="1783"/>
    </row>
    <row r="467" spans="1:10" ht="15.75" customHeight="1">
      <c r="A467" s="1780"/>
      <c r="B467" s="1884"/>
      <c r="C467" s="1878"/>
      <c r="D467" s="1885"/>
      <c r="E467" s="333"/>
      <c r="F467" s="1747"/>
      <c r="G467" s="332"/>
      <c r="H467" s="318"/>
      <c r="I467" s="1782"/>
      <c r="J467" s="1783"/>
    </row>
    <row r="468" spans="1:10" ht="15.75" customHeight="1">
      <c r="A468" s="1780"/>
      <c r="B468" s="1884"/>
      <c r="C468" s="1877" t="s">
        <v>2067</v>
      </c>
      <c r="D468" s="1885"/>
      <c r="E468" s="333"/>
      <c r="F468" s="1747"/>
      <c r="G468" s="332"/>
      <c r="H468" s="318"/>
      <c r="I468" s="1782"/>
      <c r="J468" s="1783"/>
    </row>
    <row r="469" spans="1:10" ht="15.75" customHeight="1">
      <c r="A469" s="1780"/>
      <c r="B469" s="1884"/>
      <c r="C469" s="1878" t="s">
        <v>2103</v>
      </c>
      <c r="D469" s="1885">
        <f>D450</f>
        <v>0.6</v>
      </c>
      <c r="E469" s="333" t="s">
        <v>2069</v>
      </c>
      <c r="F469" s="1747">
        <f>'Bahan &amp; Upah'!C$336</f>
        <v>96332.65</v>
      </c>
      <c r="G469" s="361">
        <f>F469*D469</f>
        <v>57799.59</v>
      </c>
      <c r="H469" s="1842">
        <v>1</v>
      </c>
      <c r="I469" s="1749">
        <f>(G469/G$477)*H469</f>
        <v>0.26617851564481038</v>
      </c>
      <c r="J469" s="1783"/>
    </row>
    <row r="470" spans="1:10" ht="15.75" customHeight="1">
      <c r="A470" s="1780"/>
      <c r="B470" s="1884"/>
      <c r="C470" s="1878" t="s">
        <v>2107</v>
      </c>
      <c r="D470" s="1885">
        <f>D451</f>
        <v>0.15</v>
      </c>
      <c r="E470" s="333" t="s">
        <v>2069</v>
      </c>
      <c r="F470" s="1747">
        <f>'Bahan &amp; Upah'!C$339</f>
        <v>102689.88</v>
      </c>
      <c r="G470" s="1785">
        <f>F470*D470</f>
        <v>15403.482</v>
      </c>
      <c r="H470" s="1842">
        <v>1</v>
      </c>
      <c r="I470" s="1752">
        <f>(G470/G$477)*H470</f>
        <v>7.0936073673213876E-2</v>
      </c>
      <c r="J470" s="1783"/>
    </row>
    <row r="471" spans="1:10" ht="15.75" customHeight="1">
      <c r="A471" s="1780"/>
      <c r="B471" s="1884"/>
      <c r="C471" s="1878"/>
      <c r="D471" s="1885"/>
      <c r="E471" s="333"/>
      <c r="F471" s="1747"/>
      <c r="G471" s="361">
        <f>SUM(G468:G470)</f>
        <v>73203.072</v>
      </c>
      <c r="H471" s="318"/>
      <c r="I471" s="1910">
        <f>SUM(I469:I470)</f>
        <v>0.33711458931802424</v>
      </c>
      <c r="J471" s="1783"/>
    </row>
    <row r="472" spans="1:10" ht="15.75" customHeight="1">
      <c r="A472" s="1780"/>
      <c r="B472" s="1884"/>
      <c r="C472" s="1877" t="s">
        <v>2075</v>
      </c>
      <c r="D472" s="1885"/>
      <c r="E472" s="333"/>
      <c r="F472" s="1883"/>
      <c r="G472" s="332"/>
      <c r="H472" s="318"/>
      <c r="I472" s="1782"/>
      <c r="J472" s="1783"/>
    </row>
    <row r="473" spans="1:10" ht="15.75" customHeight="1">
      <c r="A473" s="1780"/>
      <c r="B473" s="1884"/>
      <c r="C473" s="1878" t="s">
        <v>2270</v>
      </c>
      <c r="D473" s="1885">
        <f>D456</f>
        <v>2.1176470588235294</v>
      </c>
      <c r="E473" s="333" t="s">
        <v>888</v>
      </c>
      <c r="F473" s="1748">
        <f>'Bahan &amp; Upah'!C$103</f>
        <v>35283.919999999998</v>
      </c>
      <c r="G473" s="361">
        <f>F473*D473</f>
        <v>74718.8894117647</v>
      </c>
      <c r="H473" s="1842">
        <v>1</v>
      </c>
      <c r="I473" s="1749">
        <f>(G473/G$477)*H473</f>
        <v>0.34409522756566735</v>
      </c>
      <c r="J473" s="1783"/>
    </row>
    <row r="474" spans="1:10" ht="15.75" customHeight="1">
      <c r="A474" s="1780"/>
      <c r="B474" s="1884"/>
      <c r="C474" s="1878" t="s">
        <v>2271</v>
      </c>
      <c r="D474" s="1885">
        <f>D461</f>
        <v>0.58823529411764708</v>
      </c>
      <c r="E474" s="333" t="s">
        <v>117</v>
      </c>
      <c r="F474" s="1883">
        <v>87035.31</v>
      </c>
      <c r="G474" s="361">
        <f>F474*D474</f>
        <v>51197.24117647059</v>
      </c>
      <c r="H474" s="1842">
        <v>1</v>
      </c>
      <c r="I474" s="1749">
        <f>(G474/G$477)*H474</f>
        <v>0.23577339668780192</v>
      </c>
      <c r="J474" s="1783"/>
    </row>
    <row r="475" spans="1:10" ht="15.75" customHeight="1">
      <c r="A475" s="1780"/>
      <c r="B475" s="1884"/>
      <c r="C475" s="1878" t="s">
        <v>2265</v>
      </c>
      <c r="D475" s="1885">
        <f>D466</f>
        <v>12</v>
      </c>
      <c r="E475" s="333" t="s">
        <v>117</v>
      </c>
      <c r="F475" s="1883">
        <v>1502.23</v>
      </c>
      <c r="G475" s="1785">
        <f>F475*D475</f>
        <v>18026.760000000002</v>
      </c>
      <c r="H475" s="1842">
        <v>1</v>
      </c>
      <c r="I475" s="1752">
        <f>(G475/G$477)*H475</f>
        <v>8.3016786428506559E-2</v>
      </c>
      <c r="J475" s="1783"/>
    </row>
    <row r="476" spans="1:10" ht="15.75" customHeight="1">
      <c r="A476" s="1780"/>
      <c r="B476" s="1884"/>
      <c r="C476" s="1878"/>
      <c r="D476" s="1885"/>
      <c r="E476" s="333"/>
      <c r="F476" s="1883"/>
      <c r="G476" s="361">
        <f>SUM(G473:G475)</f>
        <v>143942.89058823528</v>
      </c>
      <c r="H476" s="318"/>
      <c r="I476" s="1910">
        <f>SUM(I473:I475)</f>
        <v>0.66288541068197582</v>
      </c>
      <c r="J476" s="1783"/>
    </row>
    <row r="477" spans="1:10" ht="15.75" customHeight="1">
      <c r="A477" s="1780"/>
      <c r="B477" s="1784"/>
      <c r="C477" s="1804" t="s">
        <v>2242</v>
      </c>
      <c r="D477" s="1763"/>
      <c r="E477" s="1764"/>
      <c r="F477" s="1765"/>
      <c r="G477" s="1765">
        <f>G471+G476</f>
        <v>217145.96258823527</v>
      </c>
      <c r="H477" s="318"/>
      <c r="I477" s="1782"/>
      <c r="J477" s="1783"/>
    </row>
    <row r="478" spans="1:10" ht="15.75" customHeight="1">
      <c r="A478" s="1780"/>
      <c r="B478" s="1784"/>
      <c r="C478" s="1804" t="s">
        <v>2094</v>
      </c>
      <c r="D478" s="1767">
        <f>M$4</f>
        <v>0.15</v>
      </c>
      <c r="E478" s="1764"/>
      <c r="F478" s="1765"/>
      <c r="G478" s="1765">
        <f>G477*D478</f>
        <v>32571.894388235291</v>
      </c>
      <c r="H478" s="318"/>
      <c r="I478" s="1782"/>
      <c r="J478" s="1783"/>
    </row>
    <row r="479" spans="1:10" ht="15.75" customHeight="1">
      <c r="A479" s="1786"/>
      <c r="B479" s="1890"/>
      <c r="C479" s="1788" t="s">
        <v>2111</v>
      </c>
      <c r="D479" s="1772"/>
      <c r="E479" s="1773"/>
      <c r="F479" s="1774"/>
      <c r="G479" s="1861">
        <f>ROUNDUP((G477+G478),2)</f>
        <v>249717.86000000002</v>
      </c>
      <c r="H479" s="1891"/>
      <c r="I479" s="1894">
        <f>I471+I476</f>
        <v>1</v>
      </c>
      <c r="J479" s="1893"/>
    </row>
    <row r="480" spans="1:10" ht="15.75" customHeight="1">
      <c r="A480" s="1733"/>
      <c r="B480" s="1733"/>
      <c r="C480" s="1733"/>
      <c r="D480" s="1733"/>
      <c r="E480" s="1733"/>
      <c r="F480" s="1733"/>
      <c r="G480" s="1733"/>
      <c r="H480" s="28"/>
      <c r="I480" s="1733"/>
      <c r="J480" s="1733"/>
    </row>
    <row r="481" spans="1:10" ht="15.75" customHeight="1">
      <c r="A481" s="1778">
        <f>A437+1</f>
        <v>13</v>
      </c>
      <c r="B481" s="1779" t="s">
        <v>2272</v>
      </c>
      <c r="C481" s="1872" t="s">
        <v>2273</v>
      </c>
      <c r="D481" s="1911"/>
      <c r="E481" s="1911"/>
      <c r="F481" s="1911"/>
      <c r="G481" s="1912"/>
      <c r="H481" s="1800"/>
      <c r="I481" s="1800"/>
      <c r="J481" s="1801"/>
    </row>
    <row r="482" spans="1:10" ht="15.75" customHeight="1">
      <c r="A482" s="1780"/>
      <c r="B482" s="1739" t="s">
        <v>1004</v>
      </c>
      <c r="C482" s="1755" t="s">
        <v>2075</v>
      </c>
      <c r="D482" s="1781"/>
      <c r="E482" s="413"/>
      <c r="F482" s="320"/>
      <c r="G482" s="320"/>
      <c r="H482" s="1802"/>
      <c r="I482" s="1802"/>
      <c r="J482" s="1803"/>
    </row>
    <row r="483" spans="1:10" ht="15.75" customHeight="1">
      <c r="A483" s="1780"/>
      <c r="B483" s="1784"/>
      <c r="C483" s="1753" t="s">
        <v>2091</v>
      </c>
      <c r="D483" s="1781"/>
      <c r="E483" s="413"/>
      <c r="F483" s="320"/>
      <c r="G483" s="361"/>
      <c r="H483" s="1749"/>
      <c r="I483" s="1754"/>
      <c r="J483" s="1750"/>
    </row>
    <row r="484" spans="1:10" ht="15.75" customHeight="1">
      <c r="A484" s="1780"/>
      <c r="B484" s="1739" t="s">
        <v>1015</v>
      </c>
      <c r="C484" s="1755" t="s">
        <v>2067</v>
      </c>
      <c r="D484" s="1781"/>
      <c r="E484" s="413"/>
      <c r="F484" s="320"/>
      <c r="G484" s="320"/>
      <c r="H484" s="1749"/>
      <c r="I484" s="1749"/>
      <c r="J484" s="1750"/>
    </row>
    <row r="485" spans="1:10" ht="15.75" customHeight="1">
      <c r="A485" s="1780"/>
      <c r="B485" s="1784"/>
      <c r="C485" s="317" t="s">
        <v>2103</v>
      </c>
      <c r="D485" s="1781">
        <v>0.4</v>
      </c>
      <c r="E485" s="413" t="s">
        <v>2069</v>
      </c>
      <c r="F485" s="1747">
        <f>'Bahan &amp; Upah'!C$336</f>
        <v>96332.65</v>
      </c>
      <c r="G485" s="332">
        <f>F485*D485</f>
        <v>38533.06</v>
      </c>
      <c r="H485" s="1749">
        <v>1</v>
      </c>
      <c r="I485" s="1749">
        <f>(G485/G$490)*H485</f>
        <v>0.90366951021897046</v>
      </c>
      <c r="J485" s="1750"/>
    </row>
    <row r="486" spans="1:10" ht="15.75" customHeight="1">
      <c r="A486" s="1780"/>
      <c r="B486" s="1784"/>
      <c r="C486" s="317" t="s">
        <v>2107</v>
      </c>
      <c r="D486" s="1781">
        <v>0.04</v>
      </c>
      <c r="E486" s="413" t="s">
        <v>2069</v>
      </c>
      <c r="F486" s="1751">
        <f>'Bahan &amp; Upah'!C$339</f>
        <v>102689.88</v>
      </c>
      <c r="G486" s="1785">
        <f>F486*D486</f>
        <v>4107.5952000000007</v>
      </c>
      <c r="H486" s="1749">
        <v>1</v>
      </c>
      <c r="I486" s="1749">
        <f>(G486/G$490)*H486</f>
        <v>9.6330489781029455E-2</v>
      </c>
      <c r="J486" s="1750"/>
    </row>
    <row r="487" spans="1:10" ht="15.75" customHeight="1">
      <c r="A487" s="1780"/>
      <c r="B487" s="1784"/>
      <c r="C487" s="1753" t="s">
        <v>2108</v>
      </c>
      <c r="D487" s="1781"/>
      <c r="E487" s="413"/>
      <c r="F487" s="320"/>
      <c r="G487" s="361">
        <f>SUM(G485:G486)</f>
        <v>42640.655200000001</v>
      </c>
      <c r="H487" s="1749"/>
      <c r="I487" s="1754">
        <f>SUM(I485:I486)</f>
        <v>0.99999999999999989</v>
      </c>
      <c r="J487" s="1750"/>
    </row>
    <row r="488" spans="1:10" ht="15.75" customHeight="1">
      <c r="A488" s="1780"/>
      <c r="B488" s="1739" t="s">
        <v>1048</v>
      </c>
      <c r="C488" s="1755" t="s">
        <v>2109</v>
      </c>
      <c r="D488" s="1781"/>
      <c r="E488" s="413"/>
      <c r="F488" s="320"/>
      <c r="G488" s="320"/>
      <c r="H488" s="1749"/>
      <c r="I488" s="1749"/>
      <c r="J488" s="1750"/>
    </row>
    <row r="489" spans="1:10" ht="15.75" customHeight="1">
      <c r="A489" s="1780"/>
      <c r="B489" s="1784"/>
      <c r="C489" s="1753" t="s">
        <v>2110</v>
      </c>
      <c r="D489" s="1781"/>
      <c r="E489" s="413"/>
      <c r="F489" s="320"/>
      <c r="G489" s="361"/>
      <c r="H489" s="1749"/>
      <c r="I489" s="1754"/>
      <c r="J489" s="1750"/>
    </row>
    <row r="490" spans="1:10" ht="15.75" customHeight="1">
      <c r="A490" s="1780"/>
      <c r="B490" s="1739" t="s">
        <v>979</v>
      </c>
      <c r="C490" s="1804" t="s">
        <v>2129</v>
      </c>
      <c r="D490" s="1763"/>
      <c r="E490" s="1764"/>
      <c r="F490" s="1765"/>
      <c r="G490" s="1765">
        <f>G487</f>
        <v>42640.655200000001</v>
      </c>
      <c r="H490" s="1749"/>
      <c r="I490" s="1766">
        <f>I487+I489</f>
        <v>0.99999999999999989</v>
      </c>
      <c r="J490" s="1750"/>
    </row>
    <row r="491" spans="1:10" ht="15.75" customHeight="1">
      <c r="A491" s="1780"/>
      <c r="B491" s="1739" t="s">
        <v>2093</v>
      </c>
      <c r="C491" s="1762" t="s">
        <v>2094</v>
      </c>
      <c r="D491" s="1767">
        <f>M$4</f>
        <v>0.15</v>
      </c>
      <c r="E491" s="1768"/>
      <c r="F491" s="1765"/>
      <c r="G491" s="1765">
        <f>G490*D491</f>
        <v>6396.0982800000002</v>
      </c>
      <c r="H491" s="1749"/>
      <c r="I491" s="1749"/>
      <c r="J491" s="1750"/>
    </row>
    <row r="492" spans="1:10" ht="15.75" customHeight="1">
      <c r="A492" s="1786"/>
      <c r="B492" s="1787" t="s">
        <v>2095</v>
      </c>
      <c r="C492" s="1788" t="s">
        <v>2111</v>
      </c>
      <c r="D492" s="1772"/>
      <c r="E492" s="1773"/>
      <c r="F492" s="1774"/>
      <c r="G492" s="1775">
        <f>ROUNDUP((G490+G491),2)</f>
        <v>49036.76</v>
      </c>
      <c r="H492" s="1776"/>
      <c r="I492" s="1776"/>
      <c r="J492" s="1789"/>
    </row>
    <row r="493" spans="1:10" ht="15.75" customHeight="1">
      <c r="A493" s="1733"/>
      <c r="B493" s="1733"/>
      <c r="C493" s="1733"/>
      <c r="D493" s="1733"/>
      <c r="E493" s="1733"/>
      <c r="F493" s="1733"/>
      <c r="G493" s="1733"/>
      <c r="H493" s="28"/>
      <c r="I493" s="1733"/>
      <c r="J493" s="1733"/>
    </row>
    <row r="494" spans="1:10" ht="15.75" customHeight="1">
      <c r="A494" s="1778">
        <f>A481+1</f>
        <v>14</v>
      </c>
      <c r="B494" s="1779" t="s">
        <v>2274</v>
      </c>
      <c r="C494" s="1872" t="s">
        <v>2275</v>
      </c>
      <c r="D494" s="1911"/>
      <c r="E494" s="1911"/>
      <c r="F494" s="1911"/>
      <c r="G494" s="1912"/>
      <c r="H494" s="1800"/>
      <c r="I494" s="1800"/>
      <c r="J494" s="1801"/>
    </row>
    <row r="495" spans="1:10" ht="15.75" customHeight="1">
      <c r="A495" s="1780"/>
      <c r="B495" s="1739" t="s">
        <v>1004</v>
      </c>
      <c r="C495" s="1755" t="s">
        <v>2075</v>
      </c>
      <c r="D495" s="1781"/>
      <c r="E495" s="413"/>
      <c r="F495" s="320"/>
      <c r="G495" s="320"/>
      <c r="H495" s="1802"/>
      <c r="I495" s="1802"/>
      <c r="J495" s="1803"/>
    </row>
    <row r="496" spans="1:10" ht="15.75" customHeight="1">
      <c r="A496" s="1780"/>
      <c r="B496" s="1784"/>
      <c r="C496" s="1753" t="s">
        <v>2091</v>
      </c>
      <c r="D496" s="1781"/>
      <c r="E496" s="413"/>
      <c r="F496" s="320"/>
      <c r="G496" s="361"/>
      <c r="H496" s="1749"/>
      <c r="I496" s="1754"/>
      <c r="J496" s="1750"/>
    </row>
    <row r="497" spans="1:10" ht="15.75" customHeight="1">
      <c r="A497" s="1780"/>
      <c r="B497" s="1739" t="s">
        <v>1015</v>
      </c>
      <c r="C497" s="1755" t="s">
        <v>2067</v>
      </c>
      <c r="D497" s="1781"/>
      <c r="E497" s="413"/>
      <c r="F497" s="320"/>
      <c r="G497" s="320"/>
      <c r="H497" s="1749"/>
      <c r="I497" s="1749"/>
      <c r="J497" s="1750"/>
    </row>
    <row r="498" spans="1:10" ht="15.75" customHeight="1">
      <c r="A498" s="1780"/>
      <c r="B498" s="1784"/>
      <c r="C498" s="317" t="s">
        <v>2103</v>
      </c>
      <c r="D498" s="1781">
        <v>0.9</v>
      </c>
      <c r="E498" s="413" t="s">
        <v>2069</v>
      </c>
      <c r="F498" s="1747">
        <f>'Bahan &amp; Upah'!C$336</f>
        <v>96332.65</v>
      </c>
      <c r="G498" s="332">
        <f>F498*D498</f>
        <v>86699.384999999995</v>
      </c>
      <c r="H498" s="1749">
        <v>1</v>
      </c>
      <c r="I498" s="1749">
        <f>(G498/G$503)*H498</f>
        <v>0.9493974719540742</v>
      </c>
      <c r="J498" s="1750"/>
    </row>
    <row r="499" spans="1:10" ht="15.75" customHeight="1">
      <c r="A499" s="1780"/>
      <c r="B499" s="1784"/>
      <c r="C499" s="317" t="s">
        <v>2107</v>
      </c>
      <c r="D499" s="1781">
        <v>4.4999999999999998E-2</v>
      </c>
      <c r="E499" s="413" t="s">
        <v>2069</v>
      </c>
      <c r="F499" s="1751">
        <f>'Bahan &amp; Upah'!C$339</f>
        <v>102689.88</v>
      </c>
      <c r="G499" s="1785">
        <f>F499*D499</f>
        <v>4621.0446000000002</v>
      </c>
      <c r="H499" s="1749">
        <v>1</v>
      </c>
      <c r="I499" s="1752">
        <f>(G499/G$503)*H499</f>
        <v>5.0602528045925889E-2</v>
      </c>
      <c r="J499" s="1750"/>
    </row>
    <row r="500" spans="1:10" ht="15.75" customHeight="1">
      <c r="A500" s="1780"/>
      <c r="B500" s="1784"/>
      <c r="C500" s="1753" t="s">
        <v>2108</v>
      </c>
      <c r="D500" s="1781"/>
      <c r="E500" s="413"/>
      <c r="F500" s="320"/>
      <c r="G500" s="361">
        <f>SUM(G498:G499)</f>
        <v>91320.429599999989</v>
      </c>
      <c r="H500" s="1749"/>
      <c r="I500" s="1754">
        <f>SUM(I498:I499)</f>
        <v>1</v>
      </c>
      <c r="J500" s="1750"/>
    </row>
    <row r="501" spans="1:10" ht="15.75" customHeight="1">
      <c r="A501" s="1780"/>
      <c r="B501" s="1739" t="s">
        <v>1048</v>
      </c>
      <c r="C501" s="1755" t="s">
        <v>2109</v>
      </c>
      <c r="D501" s="1781"/>
      <c r="E501" s="413"/>
      <c r="F501" s="320"/>
      <c r="G501" s="320"/>
      <c r="H501" s="1749"/>
      <c r="I501" s="1749"/>
      <c r="J501" s="1750"/>
    </row>
    <row r="502" spans="1:10" ht="15.75" customHeight="1">
      <c r="A502" s="1780"/>
      <c r="B502" s="1784"/>
      <c r="C502" s="1753" t="s">
        <v>2110</v>
      </c>
      <c r="D502" s="1781"/>
      <c r="E502" s="413"/>
      <c r="F502" s="320"/>
      <c r="G502" s="361"/>
      <c r="H502" s="1749"/>
      <c r="I502" s="1754"/>
      <c r="J502" s="1750"/>
    </row>
    <row r="503" spans="1:10" ht="15.75" customHeight="1">
      <c r="A503" s="1780"/>
      <c r="B503" s="1739" t="s">
        <v>979</v>
      </c>
      <c r="C503" s="1804" t="s">
        <v>2129</v>
      </c>
      <c r="D503" s="1763"/>
      <c r="E503" s="1764"/>
      <c r="F503" s="1765"/>
      <c r="G503" s="1765">
        <f>G500</f>
        <v>91320.429599999989</v>
      </c>
      <c r="H503" s="1749"/>
      <c r="I503" s="1766">
        <f>I500+I502</f>
        <v>1</v>
      </c>
      <c r="J503" s="1750"/>
    </row>
    <row r="504" spans="1:10" ht="15.75" customHeight="1">
      <c r="A504" s="1780"/>
      <c r="B504" s="1739" t="s">
        <v>2093</v>
      </c>
      <c r="C504" s="1762" t="s">
        <v>2094</v>
      </c>
      <c r="D504" s="1767">
        <f>M$4</f>
        <v>0.15</v>
      </c>
      <c r="E504" s="1768"/>
      <c r="F504" s="1765"/>
      <c r="G504" s="1765">
        <f>G503*D504</f>
        <v>13698.064439999998</v>
      </c>
      <c r="H504" s="1749"/>
      <c r="I504" s="1749"/>
      <c r="J504" s="1750"/>
    </row>
    <row r="505" spans="1:10" ht="15.75" customHeight="1">
      <c r="A505" s="1786"/>
      <c r="B505" s="1787" t="s">
        <v>2095</v>
      </c>
      <c r="C505" s="1788" t="s">
        <v>2111</v>
      </c>
      <c r="D505" s="1772"/>
      <c r="E505" s="1773"/>
      <c r="F505" s="1774"/>
      <c r="G505" s="1775">
        <f>ROUNDUP((G503+G504),2)</f>
        <v>105018.5</v>
      </c>
      <c r="H505" s="1776"/>
      <c r="I505" s="1776"/>
      <c r="J505" s="1789"/>
    </row>
    <row r="506" spans="1:10" ht="15.75" customHeight="1">
      <c r="A506" s="1733"/>
      <c r="B506" s="1733"/>
      <c r="C506" s="1733"/>
      <c r="D506" s="1733"/>
      <c r="E506" s="1733"/>
      <c r="F506" s="1733"/>
      <c r="G506" s="1733"/>
      <c r="H506" s="28"/>
      <c r="I506" s="1733"/>
      <c r="J506" s="1733"/>
    </row>
    <row r="507" spans="1:10" ht="15.75" customHeight="1">
      <c r="A507" s="1778">
        <f>A494+1</f>
        <v>15</v>
      </c>
      <c r="B507" s="1779" t="s">
        <v>2276</v>
      </c>
      <c r="C507" s="1872" t="s">
        <v>2277</v>
      </c>
      <c r="D507" s="1911"/>
      <c r="E507" s="1911"/>
      <c r="F507" s="1911"/>
      <c r="G507" s="1912"/>
      <c r="H507" s="1800"/>
      <c r="I507" s="1800"/>
      <c r="J507" s="1801"/>
    </row>
    <row r="508" spans="1:10" ht="15.75" customHeight="1">
      <c r="A508" s="1780"/>
      <c r="B508" s="1739" t="s">
        <v>1004</v>
      </c>
      <c r="C508" s="1755" t="s">
        <v>2075</v>
      </c>
      <c r="D508" s="1781"/>
      <c r="E508" s="413"/>
      <c r="F508" s="320"/>
      <c r="G508" s="320"/>
      <c r="H508" s="1802"/>
      <c r="I508" s="1802"/>
      <c r="J508" s="1803"/>
    </row>
    <row r="509" spans="1:10" ht="15.75" customHeight="1">
      <c r="A509" s="1780"/>
      <c r="B509" s="1784"/>
      <c r="C509" s="1753" t="s">
        <v>2091</v>
      </c>
      <c r="D509" s="1781"/>
      <c r="E509" s="413"/>
      <c r="F509" s="320"/>
      <c r="G509" s="361"/>
      <c r="H509" s="1749"/>
      <c r="I509" s="1754"/>
      <c r="J509" s="1750"/>
    </row>
    <row r="510" spans="1:10" ht="15.75" customHeight="1">
      <c r="A510" s="1780"/>
      <c r="B510" s="1739" t="s">
        <v>1015</v>
      </c>
      <c r="C510" s="1755" t="s">
        <v>2067</v>
      </c>
      <c r="D510" s="1781"/>
      <c r="E510" s="413"/>
      <c r="F510" s="320"/>
      <c r="G510" s="320"/>
      <c r="H510" s="1749"/>
      <c r="I510" s="1749"/>
      <c r="J510" s="1750"/>
    </row>
    <row r="511" spans="1:10" ht="15.75" customHeight="1">
      <c r="A511" s="1780"/>
      <c r="B511" s="1784"/>
      <c r="C511" s="317" t="s">
        <v>2103</v>
      </c>
      <c r="D511" s="1781">
        <v>1.05</v>
      </c>
      <c r="E511" s="413" t="s">
        <v>2069</v>
      </c>
      <c r="F511" s="1747">
        <f>'Bahan &amp; Upah'!C$336</f>
        <v>96332.65</v>
      </c>
      <c r="G511" s="332">
        <f>F511*D511</f>
        <v>101149.2825</v>
      </c>
      <c r="H511" s="1749">
        <v>1</v>
      </c>
      <c r="I511" s="1749">
        <f>(G511/G$516)*H511</f>
        <v>0.9363116400987701</v>
      </c>
      <c r="J511" s="1750"/>
    </row>
    <row r="512" spans="1:10" ht="15.75" customHeight="1">
      <c r="A512" s="1780"/>
      <c r="B512" s="1784"/>
      <c r="C512" s="317" t="s">
        <v>2107</v>
      </c>
      <c r="D512" s="1781">
        <v>6.7000000000000004E-2</v>
      </c>
      <c r="E512" s="413" t="s">
        <v>2069</v>
      </c>
      <c r="F512" s="1751">
        <f>'Bahan &amp; Upah'!C$339</f>
        <v>102689.88</v>
      </c>
      <c r="G512" s="1785">
        <f>F512*D512</f>
        <v>6880.2219600000008</v>
      </c>
      <c r="H512" s="1749">
        <v>1</v>
      </c>
      <c r="I512" s="1752">
        <f>(G512/G$516)*H512</f>
        <v>6.368835990122991E-2</v>
      </c>
      <c r="J512" s="1750"/>
    </row>
    <row r="513" spans="1:10" ht="15.75" customHeight="1">
      <c r="A513" s="1780"/>
      <c r="B513" s="1784"/>
      <c r="C513" s="1753" t="s">
        <v>2108</v>
      </c>
      <c r="D513" s="1781"/>
      <c r="E513" s="413"/>
      <c r="F513" s="320"/>
      <c r="G513" s="361">
        <f>SUM(G511:G512)</f>
        <v>108029.50446</v>
      </c>
      <c r="H513" s="1749"/>
      <c r="I513" s="1754">
        <f>SUM(I511:I512)</f>
        <v>1</v>
      </c>
      <c r="J513" s="1750"/>
    </row>
    <row r="514" spans="1:10" ht="15.75" customHeight="1">
      <c r="A514" s="1780"/>
      <c r="B514" s="1739" t="s">
        <v>1048</v>
      </c>
      <c r="C514" s="1755" t="s">
        <v>2109</v>
      </c>
      <c r="D514" s="1781"/>
      <c r="E514" s="413"/>
      <c r="F514" s="320"/>
      <c r="G514" s="320"/>
      <c r="H514" s="1749"/>
      <c r="I514" s="1749"/>
      <c r="J514" s="1750"/>
    </row>
    <row r="515" spans="1:10" ht="15.75" customHeight="1">
      <c r="A515" s="1780"/>
      <c r="B515" s="1784"/>
      <c r="C515" s="1753" t="s">
        <v>2110</v>
      </c>
      <c r="D515" s="1781"/>
      <c r="E515" s="413"/>
      <c r="F515" s="320"/>
      <c r="G515" s="361"/>
      <c r="H515" s="1749"/>
      <c r="I515" s="1754"/>
      <c r="J515" s="1750"/>
    </row>
    <row r="516" spans="1:10" ht="15.75" customHeight="1">
      <c r="A516" s="1780"/>
      <c r="B516" s="1739" t="s">
        <v>979</v>
      </c>
      <c r="C516" s="1804" t="s">
        <v>2129</v>
      </c>
      <c r="D516" s="1763"/>
      <c r="E516" s="1764"/>
      <c r="F516" s="1765"/>
      <c r="G516" s="1765">
        <f>G513</f>
        <v>108029.50446</v>
      </c>
      <c r="H516" s="1749"/>
      <c r="I516" s="1766">
        <f>I513+I515</f>
        <v>1</v>
      </c>
      <c r="J516" s="1750"/>
    </row>
    <row r="517" spans="1:10" ht="15.75" customHeight="1">
      <c r="A517" s="1780"/>
      <c r="B517" s="1739" t="s">
        <v>2093</v>
      </c>
      <c r="C517" s="1762" t="s">
        <v>2094</v>
      </c>
      <c r="D517" s="1767">
        <f>M$4</f>
        <v>0.15</v>
      </c>
      <c r="E517" s="1768"/>
      <c r="F517" s="1765"/>
      <c r="G517" s="1765">
        <f>G516*D517</f>
        <v>16204.425668999998</v>
      </c>
      <c r="H517" s="1749"/>
      <c r="I517" s="1749"/>
      <c r="J517" s="1750"/>
    </row>
    <row r="518" spans="1:10" ht="15.75" customHeight="1">
      <c r="A518" s="1786"/>
      <c r="B518" s="1787" t="s">
        <v>2095</v>
      </c>
      <c r="C518" s="1788" t="s">
        <v>2111</v>
      </c>
      <c r="D518" s="1772"/>
      <c r="E518" s="1773"/>
      <c r="F518" s="1774"/>
      <c r="G518" s="1775">
        <f>ROUNDUP((G516+G517),2)</f>
        <v>124233.93999999999</v>
      </c>
      <c r="H518" s="1776"/>
      <c r="I518" s="1776"/>
      <c r="J518" s="1789"/>
    </row>
    <row r="519" spans="1:10" ht="15.75" customHeight="1">
      <c r="A519" s="1733"/>
      <c r="B519" s="1733"/>
      <c r="C519" s="1733"/>
      <c r="D519" s="1733"/>
      <c r="E519" s="1733"/>
      <c r="F519" s="1733"/>
      <c r="G519" s="1733"/>
      <c r="H519" s="28"/>
      <c r="I519" s="1733"/>
      <c r="J519" s="1733"/>
    </row>
    <row r="520" spans="1:10" ht="15.75" customHeight="1">
      <c r="A520" s="1778">
        <f>A507+1</f>
        <v>16</v>
      </c>
      <c r="B520" s="1779" t="s">
        <v>2278</v>
      </c>
      <c r="C520" s="1872" t="s">
        <v>2279</v>
      </c>
      <c r="D520" s="1911"/>
      <c r="E520" s="1911"/>
      <c r="F520" s="1911"/>
      <c r="G520" s="1912"/>
      <c r="H520" s="1800"/>
      <c r="I520" s="1800"/>
      <c r="J520" s="1801"/>
    </row>
    <row r="521" spans="1:10" ht="15.75" customHeight="1">
      <c r="A521" s="1780"/>
      <c r="B521" s="1739" t="s">
        <v>1004</v>
      </c>
      <c r="C521" s="1755" t="s">
        <v>2075</v>
      </c>
      <c r="D521" s="1781"/>
      <c r="E521" s="413"/>
      <c r="F521" s="320"/>
      <c r="G521" s="320"/>
      <c r="H521" s="1802"/>
      <c r="I521" s="1802"/>
      <c r="J521" s="1803"/>
    </row>
    <row r="522" spans="1:10" ht="15.75" customHeight="1">
      <c r="A522" s="1780"/>
      <c r="B522" s="1784"/>
      <c r="C522" s="1753" t="s">
        <v>2091</v>
      </c>
      <c r="D522" s="1781"/>
      <c r="E522" s="413"/>
      <c r="F522" s="320"/>
      <c r="G522" s="361"/>
      <c r="H522" s="1749"/>
      <c r="I522" s="1754"/>
      <c r="J522" s="1750"/>
    </row>
    <row r="523" spans="1:10" ht="15.75" customHeight="1">
      <c r="A523" s="1780"/>
      <c r="B523" s="1739" t="s">
        <v>1015</v>
      </c>
      <c r="C523" s="1755" t="s">
        <v>2067</v>
      </c>
      <c r="D523" s="1781"/>
      <c r="E523" s="413"/>
      <c r="F523" s="320"/>
      <c r="G523" s="320"/>
      <c r="H523" s="1749"/>
      <c r="I523" s="1749"/>
      <c r="J523" s="1750"/>
    </row>
    <row r="524" spans="1:10" ht="15.75" customHeight="1">
      <c r="A524" s="1780"/>
      <c r="B524" s="1784"/>
      <c r="C524" s="317" t="s">
        <v>2103</v>
      </c>
      <c r="D524" s="1781">
        <v>0.3024</v>
      </c>
      <c r="E524" s="413" t="s">
        <v>2069</v>
      </c>
      <c r="F524" s="1747">
        <f>'Bahan &amp; Upah'!C$336</f>
        <v>96332.65</v>
      </c>
      <c r="G524" s="332">
        <f>F524*D524</f>
        <v>29130.993359999997</v>
      </c>
      <c r="H524" s="1749">
        <v>1</v>
      </c>
      <c r="I524" s="1749">
        <f>(G524/G$530)*H524</f>
        <v>0.37621604079257576</v>
      </c>
      <c r="J524" s="1750"/>
    </row>
    <row r="525" spans="1:10" ht="15.75" customHeight="1">
      <c r="A525" s="1780"/>
      <c r="B525" s="1784"/>
      <c r="C525" s="317" t="s">
        <v>2107</v>
      </c>
      <c r="D525" s="1781">
        <v>3.0200000000000001E-2</v>
      </c>
      <c r="E525" s="413" t="s">
        <v>2069</v>
      </c>
      <c r="F525" s="1751">
        <f>'Bahan &amp; Upah'!C$339</f>
        <v>102689.88</v>
      </c>
      <c r="G525" s="1785">
        <f>F525*D525</f>
        <v>3101.2343760000003</v>
      </c>
      <c r="H525" s="1749">
        <v>1</v>
      </c>
      <c r="I525" s="1752">
        <f>(G525/G$530)*H525</f>
        <v>4.0051298769324034E-2</v>
      </c>
      <c r="J525" s="1750"/>
    </row>
    <row r="526" spans="1:10" ht="15.75" customHeight="1">
      <c r="A526" s="1780"/>
      <c r="B526" s="1784"/>
      <c r="C526" s="1753" t="s">
        <v>2108</v>
      </c>
      <c r="D526" s="1781"/>
      <c r="E526" s="413"/>
      <c r="F526" s="320"/>
      <c r="G526" s="361">
        <f>SUM(G524:G525)</f>
        <v>32232.227735999997</v>
      </c>
      <c r="H526" s="1749"/>
      <c r="I526" s="1754">
        <f>SUM(I524:I525)</f>
        <v>0.41626733956189976</v>
      </c>
      <c r="J526" s="1750"/>
    </row>
    <row r="527" spans="1:10" ht="15.75" customHeight="1">
      <c r="A527" s="1780"/>
      <c r="B527" s="1739" t="s">
        <v>1048</v>
      </c>
      <c r="C527" s="1755" t="s">
        <v>2109</v>
      </c>
      <c r="D527" s="1781"/>
      <c r="E527" s="413"/>
      <c r="F527" s="320"/>
      <c r="G527" s="320"/>
      <c r="H527" s="1749"/>
      <c r="I527" s="1749"/>
      <c r="J527" s="1750"/>
    </row>
    <row r="528" spans="1:10" ht="15.75" customHeight="1">
      <c r="A528" s="1780"/>
      <c r="B528" s="1739"/>
      <c r="C528" s="317" t="s">
        <v>2280</v>
      </c>
      <c r="D528" s="1781">
        <v>7.5600000000000001E-2</v>
      </c>
      <c r="E528" s="413" t="s">
        <v>2281</v>
      </c>
      <c r="F528" s="1747">
        <f>'Bahan &amp; Upah'!C$180</f>
        <v>597874.71</v>
      </c>
      <c r="G528" s="332">
        <f>F528*D528</f>
        <v>45199.328075999998</v>
      </c>
      <c r="H528" s="1749">
        <v>1</v>
      </c>
      <c r="I528" s="1752">
        <f>(G528/G$530)*H528</f>
        <v>0.58373266043810024</v>
      </c>
      <c r="J528" s="1750"/>
    </row>
    <row r="529" spans="1:10" ht="15.75" customHeight="1">
      <c r="A529" s="1780"/>
      <c r="B529" s="1784"/>
      <c r="C529" s="1753" t="s">
        <v>2110</v>
      </c>
      <c r="D529" s="1781"/>
      <c r="E529" s="413"/>
      <c r="F529" s="320"/>
      <c r="G529" s="361"/>
      <c r="H529" s="1749"/>
      <c r="I529" s="1754">
        <f>SUM(I528)</f>
        <v>0.58373266043810024</v>
      </c>
      <c r="J529" s="1750"/>
    </row>
    <row r="530" spans="1:10" ht="15.75" customHeight="1">
      <c r="A530" s="1780"/>
      <c r="B530" s="1739" t="s">
        <v>979</v>
      </c>
      <c r="C530" s="1804" t="s">
        <v>2129</v>
      </c>
      <c r="D530" s="1763"/>
      <c r="E530" s="1764"/>
      <c r="F530" s="1765"/>
      <c r="G530" s="1765">
        <f>G526+G528</f>
        <v>77431.555811999991</v>
      </c>
      <c r="H530" s="1749"/>
      <c r="I530" s="1766">
        <f>I526+I529</f>
        <v>1</v>
      </c>
      <c r="J530" s="1750"/>
    </row>
    <row r="531" spans="1:10" ht="15.75" customHeight="1">
      <c r="A531" s="1780"/>
      <c r="B531" s="1739" t="s">
        <v>2093</v>
      </c>
      <c r="C531" s="1762" t="s">
        <v>2094</v>
      </c>
      <c r="D531" s="1767">
        <f>M$4</f>
        <v>0.15</v>
      </c>
      <c r="E531" s="1768"/>
      <c r="F531" s="1765"/>
      <c r="G531" s="1765">
        <f>G530*D531</f>
        <v>11614.733371799999</v>
      </c>
      <c r="H531" s="1749"/>
      <c r="I531" s="1749"/>
      <c r="J531" s="1750"/>
    </row>
    <row r="532" spans="1:10" ht="15.75" customHeight="1">
      <c r="A532" s="1786"/>
      <c r="B532" s="1787" t="s">
        <v>2095</v>
      </c>
      <c r="C532" s="1788" t="s">
        <v>2111</v>
      </c>
      <c r="D532" s="1772"/>
      <c r="E532" s="1773"/>
      <c r="F532" s="1774"/>
      <c r="G532" s="1775">
        <f>ROUNDUP((G530+G531),2)</f>
        <v>89046.29</v>
      </c>
      <c r="H532" s="1776"/>
      <c r="I532" s="1776"/>
      <c r="J532" s="1789"/>
    </row>
    <row r="533" spans="1:10" ht="15.75" customHeight="1">
      <c r="A533" s="1733"/>
      <c r="B533" s="1733"/>
      <c r="C533" s="1733"/>
      <c r="D533" s="1733"/>
      <c r="E533" s="1733"/>
      <c r="F533" s="1733"/>
      <c r="G533" s="1733"/>
      <c r="H533" s="28"/>
      <c r="I533" s="1733"/>
      <c r="J533" s="1733"/>
    </row>
    <row r="534" spans="1:10" ht="15.75" customHeight="1">
      <c r="A534" s="1778">
        <f>A520+1</f>
        <v>17</v>
      </c>
      <c r="B534" s="1779" t="s">
        <v>2282</v>
      </c>
      <c r="C534" s="1872" t="s">
        <v>2283</v>
      </c>
      <c r="D534" s="1911"/>
      <c r="E534" s="1911"/>
      <c r="F534" s="1911"/>
      <c r="G534" s="1912"/>
      <c r="H534" s="1800"/>
      <c r="I534" s="1800"/>
      <c r="J534" s="1801"/>
    </row>
    <row r="535" spans="1:10" ht="15.75" customHeight="1">
      <c r="A535" s="1780"/>
      <c r="B535" s="1739" t="s">
        <v>1004</v>
      </c>
      <c r="C535" s="1755" t="s">
        <v>2075</v>
      </c>
      <c r="D535" s="1781"/>
      <c r="E535" s="413"/>
      <c r="F535" s="320"/>
      <c r="G535" s="320"/>
      <c r="H535" s="1802"/>
      <c r="I535" s="1802"/>
      <c r="J535" s="1803"/>
    </row>
    <row r="536" spans="1:10" ht="15.75" customHeight="1">
      <c r="A536" s="1780"/>
      <c r="B536" s="1784"/>
      <c r="C536" s="1753" t="s">
        <v>2091</v>
      </c>
      <c r="D536" s="1781"/>
      <c r="E536" s="413"/>
      <c r="F536" s="320"/>
      <c r="G536" s="361"/>
      <c r="H536" s="1749"/>
      <c r="I536" s="1754"/>
      <c r="J536" s="1750"/>
    </row>
    <row r="537" spans="1:10" ht="15.75" customHeight="1">
      <c r="A537" s="1780"/>
      <c r="B537" s="1739" t="s">
        <v>1015</v>
      </c>
      <c r="C537" s="1755" t="s">
        <v>2067</v>
      </c>
      <c r="D537" s="1781"/>
      <c r="E537" s="413"/>
      <c r="F537" s="320"/>
      <c r="G537" s="320"/>
      <c r="H537" s="1749"/>
      <c r="I537" s="1749"/>
      <c r="J537" s="1750"/>
    </row>
    <row r="538" spans="1:10" ht="15.75" customHeight="1">
      <c r="A538" s="1780"/>
      <c r="B538" s="1784"/>
      <c r="C538" s="317" t="s">
        <v>2103</v>
      </c>
      <c r="D538" s="1781">
        <v>0.39500000000000002</v>
      </c>
      <c r="E538" s="413" t="s">
        <v>2069</v>
      </c>
      <c r="F538" s="1747">
        <f>'Bahan &amp; Upah'!C$336</f>
        <v>96332.65</v>
      </c>
      <c r="G538" s="332">
        <f>F538*D538</f>
        <v>38051.39675</v>
      </c>
      <c r="H538" s="1749">
        <v>1</v>
      </c>
      <c r="I538" s="1749">
        <f>(G538/G$544)*H538</f>
        <v>0.42591788239082934</v>
      </c>
      <c r="J538" s="1750"/>
    </row>
    <row r="539" spans="1:10" ht="15.75" customHeight="1">
      <c r="A539" s="1780"/>
      <c r="B539" s="1784"/>
      <c r="C539" s="317" t="s">
        <v>2107</v>
      </c>
      <c r="D539" s="1781">
        <v>3.95E-2</v>
      </c>
      <c r="E539" s="413" t="s">
        <v>2069</v>
      </c>
      <c r="F539" s="1751">
        <f>'Bahan &amp; Upah'!C$339</f>
        <v>102689.88</v>
      </c>
      <c r="G539" s="1785">
        <f>F539*D539</f>
        <v>4056.2502600000003</v>
      </c>
      <c r="H539" s="1749">
        <v>1</v>
      </c>
      <c r="I539" s="1752">
        <f>(G539/G$544)*H539</f>
        <v>4.5402525761066861E-2</v>
      </c>
      <c r="J539" s="1750"/>
    </row>
    <row r="540" spans="1:10" ht="15.75" customHeight="1">
      <c r="A540" s="1780"/>
      <c r="B540" s="1784"/>
      <c r="C540" s="1753" t="s">
        <v>2108</v>
      </c>
      <c r="D540" s="1781"/>
      <c r="E540" s="413"/>
      <c r="F540" s="320"/>
      <c r="G540" s="361">
        <f>SUM(G538:G539)</f>
        <v>42107.647010000001</v>
      </c>
      <c r="H540" s="1749"/>
      <c r="I540" s="1754">
        <f>SUM(I538:I539)</f>
        <v>0.47132040815189619</v>
      </c>
      <c r="J540" s="1750"/>
    </row>
    <row r="541" spans="1:10" ht="15.75" customHeight="1">
      <c r="A541" s="1780"/>
      <c r="B541" s="1739" t="s">
        <v>1048</v>
      </c>
      <c r="C541" s="1755" t="s">
        <v>2109</v>
      </c>
      <c r="D541" s="1781"/>
      <c r="E541" s="413"/>
      <c r="F541" s="320"/>
      <c r="G541" s="320"/>
      <c r="H541" s="1749"/>
      <c r="I541" s="1749"/>
      <c r="J541" s="1750"/>
    </row>
    <row r="542" spans="1:10" ht="15.75" customHeight="1">
      <c r="A542" s="1780"/>
      <c r="B542" s="1739"/>
      <c r="C542" s="317" t="s">
        <v>2280</v>
      </c>
      <c r="D542" s="1781">
        <v>7.9000000000000001E-2</v>
      </c>
      <c r="E542" s="413" t="s">
        <v>2281</v>
      </c>
      <c r="F542" s="1747">
        <f>'Bahan &amp; Upah'!C$180</f>
        <v>597874.71</v>
      </c>
      <c r="G542" s="332">
        <f>F542*D542</f>
        <v>47232.10209</v>
      </c>
      <c r="H542" s="1749">
        <v>1</v>
      </c>
      <c r="I542" s="1752">
        <f>(G542/G$544)*H542</f>
        <v>0.52867959184810376</v>
      </c>
      <c r="J542" s="1750"/>
    </row>
    <row r="543" spans="1:10" ht="15.75" customHeight="1">
      <c r="A543" s="1780"/>
      <c r="B543" s="1784"/>
      <c r="C543" s="1753" t="s">
        <v>2110</v>
      </c>
      <c r="D543" s="1781"/>
      <c r="E543" s="413"/>
      <c r="F543" s="320"/>
      <c r="G543" s="361"/>
      <c r="H543" s="1749"/>
      <c r="I543" s="1754">
        <f>SUM(I542)</f>
        <v>0.52867959184810376</v>
      </c>
      <c r="J543" s="1750"/>
    </row>
    <row r="544" spans="1:10" ht="15.75" customHeight="1">
      <c r="A544" s="1780"/>
      <c r="B544" s="1739" t="s">
        <v>979</v>
      </c>
      <c r="C544" s="1804" t="s">
        <v>2129</v>
      </c>
      <c r="D544" s="1763"/>
      <c r="E544" s="1764"/>
      <c r="F544" s="1765"/>
      <c r="G544" s="1765">
        <f>G540+G542</f>
        <v>89339.749100000001</v>
      </c>
      <c r="H544" s="1749"/>
      <c r="I544" s="1766">
        <f>I540+I543</f>
        <v>1</v>
      </c>
      <c r="J544" s="1750"/>
    </row>
    <row r="545" spans="1:12" ht="15.75" customHeight="1">
      <c r="A545" s="1780"/>
      <c r="B545" s="1739" t="s">
        <v>2093</v>
      </c>
      <c r="C545" s="1762" t="s">
        <v>2094</v>
      </c>
      <c r="D545" s="1767">
        <f>M$4</f>
        <v>0.15</v>
      </c>
      <c r="E545" s="1768"/>
      <c r="F545" s="1765"/>
      <c r="G545" s="1765">
        <f>G544*D545</f>
        <v>13400.962364999999</v>
      </c>
      <c r="H545" s="1749"/>
      <c r="I545" s="1749"/>
      <c r="J545" s="1750"/>
    </row>
    <row r="546" spans="1:12" ht="15.75" customHeight="1">
      <c r="A546" s="1786"/>
      <c r="B546" s="1787" t="s">
        <v>2095</v>
      </c>
      <c r="C546" s="1788" t="s">
        <v>2111</v>
      </c>
      <c r="D546" s="1772"/>
      <c r="E546" s="1773"/>
      <c r="F546" s="1774"/>
      <c r="G546" s="1775">
        <f>ROUNDUP((G544+G545),2)</f>
        <v>102740.72</v>
      </c>
      <c r="H546" s="1776"/>
      <c r="I546" s="1776"/>
      <c r="J546" s="1789"/>
    </row>
    <row r="547" spans="1:12" ht="15.75" customHeight="1">
      <c r="A547" s="1809"/>
      <c r="B547" s="1810"/>
      <c r="C547" s="1811"/>
      <c r="D547" s="1812"/>
      <c r="E547" s="1809"/>
      <c r="F547" s="1813"/>
      <c r="G547" s="1814"/>
      <c r="H547" s="1815"/>
      <c r="I547" s="1815"/>
      <c r="J547" s="1816"/>
    </row>
    <row r="548" spans="1:12" ht="15.75" customHeight="1">
      <c r="A548" s="1778">
        <f>A534+1</f>
        <v>18</v>
      </c>
      <c r="B548" s="1779" t="s">
        <v>2284</v>
      </c>
      <c r="C548" s="1872" t="s">
        <v>2285</v>
      </c>
      <c r="D548" s="1911"/>
      <c r="E548" s="1911"/>
      <c r="F548" s="1911"/>
      <c r="G548" s="1912"/>
      <c r="H548" s="1800"/>
      <c r="I548" s="1800"/>
      <c r="J548" s="1801"/>
    </row>
    <row r="549" spans="1:12" ht="15.75" customHeight="1">
      <c r="A549" s="1780"/>
      <c r="B549" s="1739" t="s">
        <v>1004</v>
      </c>
      <c r="C549" s="1755" t="s">
        <v>2075</v>
      </c>
      <c r="D549" s="1781"/>
      <c r="E549" s="413"/>
      <c r="F549" s="320"/>
      <c r="G549" s="320"/>
      <c r="H549" s="1802"/>
      <c r="I549" s="1802"/>
      <c r="J549" s="1803"/>
    </row>
    <row r="550" spans="1:12" ht="15.75" customHeight="1">
      <c r="A550" s="1780"/>
      <c r="B550" s="1739"/>
      <c r="C550" s="317" t="s">
        <v>2286</v>
      </c>
      <c r="D550" s="1781">
        <v>1.05</v>
      </c>
      <c r="E550" s="413" t="s">
        <v>10</v>
      </c>
      <c r="F550" s="1747">
        <f>'Bahan &amp; Upah'!C268</f>
        <v>1635733.84</v>
      </c>
      <c r="G550" s="1794">
        <f>F550*D550</f>
        <v>1717520.5320000001</v>
      </c>
      <c r="H550" s="1749">
        <v>0.49109999999999998</v>
      </c>
      <c r="I550" s="1749">
        <f>(G550/G$561)*H550</f>
        <v>0.45211250067057079</v>
      </c>
      <c r="J550" s="1803"/>
    </row>
    <row r="551" spans="1:12" ht="15.75" customHeight="1">
      <c r="A551" s="1780"/>
      <c r="B551" s="1784"/>
      <c r="C551" s="1753" t="s">
        <v>2091</v>
      </c>
      <c r="D551" s="1781"/>
      <c r="E551" s="413"/>
      <c r="F551" s="320"/>
      <c r="G551" s="361">
        <f>SUM(G550:G550)</f>
        <v>1717520.5320000001</v>
      </c>
      <c r="H551" s="1749"/>
      <c r="I551" s="1754">
        <f>SUM(I550:I550)</f>
        <v>0.45211250067057079</v>
      </c>
      <c r="J551" s="1750"/>
    </row>
    <row r="552" spans="1:12" ht="15.75" customHeight="1">
      <c r="A552" s="1780"/>
      <c r="B552" s="1739" t="s">
        <v>1015</v>
      </c>
      <c r="C552" s="1755" t="s">
        <v>2067</v>
      </c>
      <c r="D552" s="1781"/>
      <c r="E552" s="413"/>
      <c r="F552" s="320"/>
      <c r="G552" s="320"/>
      <c r="H552" s="1749"/>
      <c r="I552" s="1749"/>
      <c r="J552" s="1750"/>
    </row>
    <row r="553" spans="1:12" ht="15.75" customHeight="1">
      <c r="A553" s="1780"/>
      <c r="B553" s="1784"/>
      <c r="C553" s="317" t="s">
        <v>2103</v>
      </c>
      <c r="D553" s="1781">
        <v>0.47299999999999998</v>
      </c>
      <c r="E553" s="413" t="s">
        <v>2069</v>
      </c>
      <c r="F553" s="1747">
        <f>'Bahan &amp; Upah'!C$336</f>
        <v>96332.65</v>
      </c>
      <c r="G553" s="332">
        <f>F553*D553</f>
        <v>45565.343449999993</v>
      </c>
      <c r="H553" s="1749">
        <v>1</v>
      </c>
      <c r="I553" s="1749">
        <f>(G553/G$561)*H553</f>
        <v>2.4423578239002295E-2</v>
      </c>
      <c r="J553" s="1750"/>
    </row>
    <row r="554" spans="1:12" ht="15.75" customHeight="1">
      <c r="A554" s="1780"/>
      <c r="B554" s="1784"/>
      <c r="C554" s="317" t="s">
        <v>2287</v>
      </c>
      <c r="D554" s="1781">
        <v>0.79</v>
      </c>
      <c r="E554" s="413" t="s">
        <v>2069</v>
      </c>
      <c r="F554" s="1883">
        <f>'Bahan &amp; Upah'!C$337</f>
        <v>114133.55</v>
      </c>
      <c r="G554" s="332">
        <f>F554*D554</f>
        <v>90165.50450000001</v>
      </c>
      <c r="H554" s="1749">
        <v>1</v>
      </c>
      <c r="I554" s="1749">
        <f>(G554/G$561)*H554</f>
        <v>4.8329806973393154E-2</v>
      </c>
      <c r="J554" s="1750"/>
    </row>
    <row r="555" spans="1:12" ht="15.75" customHeight="1">
      <c r="A555" s="1780"/>
      <c r="B555" s="1784"/>
      <c r="C555" s="317" t="s">
        <v>2105</v>
      </c>
      <c r="D555" s="1781">
        <v>7.9000000000000001E-2</v>
      </c>
      <c r="E555" s="413" t="s">
        <v>2069</v>
      </c>
      <c r="F555" s="1883">
        <f>'Bahan &amp; Upah'!C$338</f>
        <v>125485.75</v>
      </c>
      <c r="G555" s="332">
        <f>F555*D555</f>
        <v>9913.3742500000008</v>
      </c>
      <c r="H555" s="1749">
        <v>1</v>
      </c>
      <c r="I555" s="1749">
        <f>(G555/G$561)*H555</f>
        <v>5.3136891609973317E-3</v>
      </c>
      <c r="J555" s="1750"/>
    </row>
    <row r="556" spans="1:12" ht="15.75" customHeight="1">
      <c r="A556" s="1780"/>
      <c r="B556" s="1784"/>
      <c r="C556" s="317" t="s">
        <v>2107</v>
      </c>
      <c r="D556" s="1781">
        <v>2.4E-2</v>
      </c>
      <c r="E556" s="413" t="s">
        <v>2069</v>
      </c>
      <c r="F556" s="1751">
        <f>'Bahan &amp; Upah'!C$339</f>
        <v>102689.88</v>
      </c>
      <c r="G556" s="1785">
        <f>F556*D556</f>
        <v>2464.5571199999999</v>
      </c>
      <c r="H556" s="1749">
        <v>1</v>
      </c>
      <c r="I556" s="1752">
        <f>(G556/G$561)*H556</f>
        <v>1.3210325894034312E-3</v>
      </c>
      <c r="J556" s="1750"/>
    </row>
    <row r="557" spans="1:12" ht="15.75" customHeight="1">
      <c r="A557" s="1780"/>
      <c r="B557" s="1784"/>
      <c r="C557" s="1753" t="s">
        <v>2108</v>
      </c>
      <c r="D557" s="1781"/>
      <c r="E557" s="413"/>
      <c r="F557" s="320"/>
      <c r="G557" s="361">
        <f>SUM(G553:G556)</f>
        <v>148108.77932</v>
      </c>
      <c r="H557" s="1749"/>
      <c r="I557" s="1754">
        <f>SUM(I553:I556)</f>
        <v>7.9388106962796218E-2</v>
      </c>
      <c r="J557" s="1750"/>
    </row>
    <row r="558" spans="1:12" ht="15.75" customHeight="1">
      <c r="A558" s="1780"/>
      <c r="B558" s="1739" t="s">
        <v>1048</v>
      </c>
      <c r="C558" s="1755" t="s">
        <v>2109</v>
      </c>
      <c r="D558" s="1781"/>
      <c r="E558" s="413"/>
      <c r="F558" s="320"/>
      <c r="G558" s="320"/>
      <c r="H558" s="1749"/>
      <c r="I558" s="1749"/>
      <c r="J558" s="1750"/>
    </row>
    <row r="559" spans="1:12" ht="15.75" customHeight="1">
      <c r="A559" s="1780"/>
      <c r="B559" s="1739"/>
      <c r="C559" s="317"/>
      <c r="D559" s="1781"/>
      <c r="E559" s="413"/>
      <c r="F559" s="1747"/>
      <c r="G559" s="1794"/>
      <c r="H559" s="1749"/>
      <c r="I559" s="1752"/>
      <c r="J559" s="1750"/>
      <c r="L559" s="18"/>
    </row>
    <row r="560" spans="1:12" ht="15.75" customHeight="1">
      <c r="A560" s="1780"/>
      <c r="B560" s="1784"/>
      <c r="C560" s="1753" t="s">
        <v>2110</v>
      </c>
      <c r="D560" s="1781"/>
      <c r="E560" s="413"/>
      <c r="F560" s="320"/>
      <c r="G560" s="361">
        <f>SUM(G559)</f>
        <v>0</v>
      </c>
      <c r="H560" s="1749"/>
      <c r="I560" s="1754">
        <f>SUM(I559)</f>
        <v>0</v>
      </c>
      <c r="J560" s="1750"/>
    </row>
    <row r="561" spans="1:10" ht="15.75" customHeight="1">
      <c r="A561" s="1780"/>
      <c r="B561" s="1739" t="s">
        <v>979</v>
      </c>
      <c r="C561" s="1804" t="s">
        <v>2129</v>
      </c>
      <c r="D561" s="1763"/>
      <c r="E561" s="1764"/>
      <c r="F561" s="1765"/>
      <c r="G561" s="1765">
        <f>G551+G557+G560</f>
        <v>1865629.3113200001</v>
      </c>
      <c r="H561" s="1749"/>
      <c r="I561" s="1766">
        <f>I551+I557+I560</f>
        <v>0.53150060763336704</v>
      </c>
      <c r="J561" s="1750"/>
    </row>
    <row r="562" spans="1:10" ht="15.75" customHeight="1">
      <c r="A562" s="1780"/>
      <c r="B562" s="1739" t="s">
        <v>2093</v>
      </c>
      <c r="C562" s="1762" t="s">
        <v>2094</v>
      </c>
      <c r="D562" s="1767">
        <f>M$4</f>
        <v>0.15</v>
      </c>
      <c r="E562" s="1768"/>
      <c r="F562" s="1765"/>
      <c r="G562" s="1765">
        <f>G561*D562</f>
        <v>279844.39669800003</v>
      </c>
      <c r="H562" s="1749"/>
      <c r="I562" s="1749"/>
      <c r="J562" s="1750"/>
    </row>
    <row r="563" spans="1:10" ht="15.75" customHeight="1">
      <c r="A563" s="1786"/>
      <c r="B563" s="1787" t="s">
        <v>2095</v>
      </c>
      <c r="C563" s="1788" t="s">
        <v>2111</v>
      </c>
      <c r="D563" s="1772"/>
      <c r="E563" s="1773"/>
      <c r="F563" s="1774"/>
      <c r="G563" s="1775">
        <f>ROUNDUP((G561+G562),2)</f>
        <v>2145473.71</v>
      </c>
      <c r="H563" s="1776"/>
      <c r="I563" s="1776"/>
      <c r="J563" s="1789"/>
    </row>
    <row r="564" spans="1:10" ht="15.75" customHeight="1">
      <c r="A564" s="1809"/>
      <c r="B564" s="1810"/>
      <c r="C564" s="1811"/>
      <c r="D564" s="1812"/>
      <c r="E564" s="1809"/>
      <c r="F564" s="1813"/>
      <c r="G564" s="1814"/>
      <c r="H564" s="1815"/>
      <c r="I564" s="1815"/>
      <c r="J564" s="1816"/>
    </row>
    <row r="565" spans="1:10" ht="15.75" customHeight="1">
      <c r="A565" s="1778">
        <f>A548+1</f>
        <v>19</v>
      </c>
      <c r="B565" s="1779" t="s">
        <v>2288</v>
      </c>
      <c r="C565" s="1872" t="s">
        <v>2289</v>
      </c>
      <c r="D565" s="1911"/>
      <c r="E565" s="1911"/>
      <c r="F565" s="1911"/>
      <c r="G565" s="1912"/>
      <c r="H565" s="1800"/>
      <c r="I565" s="1800"/>
      <c r="J565" s="1801"/>
    </row>
    <row r="566" spans="1:10" ht="15.75" customHeight="1">
      <c r="A566" s="1780"/>
      <c r="B566" s="1739" t="s">
        <v>1004</v>
      </c>
      <c r="C566" s="1755" t="s">
        <v>2075</v>
      </c>
      <c r="D566" s="1781"/>
      <c r="E566" s="413"/>
      <c r="F566" s="320"/>
      <c r="G566" s="320"/>
      <c r="H566" s="1802"/>
      <c r="I566" s="1802"/>
      <c r="J566" s="1803"/>
    </row>
    <row r="567" spans="1:10" ht="15.75" customHeight="1">
      <c r="A567" s="1780"/>
      <c r="B567" s="1739"/>
      <c r="C567" s="317" t="s">
        <v>2290</v>
      </c>
      <c r="D567" s="1781">
        <v>1.05</v>
      </c>
      <c r="E567" s="413" t="s">
        <v>10</v>
      </c>
      <c r="F567" s="1747">
        <f>'Bahan &amp; Upah'!C272</f>
        <v>248540.16</v>
      </c>
      <c r="G567" s="1794">
        <f>F567*D567</f>
        <v>260967.16800000001</v>
      </c>
      <c r="H567" s="1749">
        <v>0.49109999999999998</v>
      </c>
      <c r="I567" s="1749">
        <f>(G567/G$578)*H567</f>
        <v>0.38204881924219242</v>
      </c>
      <c r="J567" s="1803"/>
    </row>
    <row r="568" spans="1:10" ht="15.75" customHeight="1">
      <c r="A568" s="1780"/>
      <c r="B568" s="1784"/>
      <c r="C568" s="1753" t="s">
        <v>2091</v>
      </c>
      <c r="D568" s="1781"/>
      <c r="E568" s="413"/>
      <c r="F568" s="320"/>
      <c r="G568" s="361">
        <f>SUM(G567:G567)</f>
        <v>260967.16800000001</v>
      </c>
      <c r="H568" s="1749"/>
      <c r="I568" s="1754">
        <f>SUM(I567:I567)</f>
        <v>0.38204881924219242</v>
      </c>
      <c r="J568" s="1750"/>
    </row>
    <row r="569" spans="1:10" ht="15.75" customHeight="1">
      <c r="A569" s="1780"/>
      <c r="B569" s="1739" t="s">
        <v>1015</v>
      </c>
      <c r="C569" s="1755" t="s">
        <v>2067</v>
      </c>
      <c r="D569" s="1781"/>
      <c r="E569" s="413"/>
      <c r="F569" s="320"/>
      <c r="G569" s="320"/>
      <c r="H569" s="1749"/>
      <c r="I569" s="1749"/>
      <c r="J569" s="1750"/>
    </row>
    <row r="570" spans="1:10" ht="15.75" customHeight="1">
      <c r="A570" s="1780"/>
      <c r="B570" s="1784"/>
      <c r="C570" s="317" t="s">
        <v>2103</v>
      </c>
      <c r="D570" s="1781">
        <v>0.23799999999999999</v>
      </c>
      <c r="E570" s="413" t="s">
        <v>2069</v>
      </c>
      <c r="F570" s="1747">
        <f>'Bahan &amp; Upah'!C$336</f>
        <v>96332.65</v>
      </c>
      <c r="G570" s="332">
        <f>F570*D570</f>
        <v>22927.170699999999</v>
      </c>
      <c r="H570" s="1749">
        <v>1</v>
      </c>
      <c r="I570" s="1749">
        <f>(G570/G$578)*H570</f>
        <v>6.8346065658097963E-2</v>
      </c>
      <c r="J570" s="1750"/>
    </row>
    <row r="571" spans="1:10" ht="15.75" customHeight="1">
      <c r="A571" s="1780"/>
      <c r="B571" s="1784"/>
      <c r="C571" s="317" t="s">
        <v>2287</v>
      </c>
      <c r="D571" s="1781">
        <v>0.39700000000000002</v>
      </c>
      <c r="E571" s="413" t="s">
        <v>2069</v>
      </c>
      <c r="F571" s="1883">
        <f>'Bahan &amp; Upah'!C$337</f>
        <v>114133.55</v>
      </c>
      <c r="G571" s="332">
        <f>F571*D571</f>
        <v>45311.019350000002</v>
      </c>
      <c r="H571" s="1749">
        <v>1</v>
      </c>
      <c r="I571" s="1749">
        <f>(G571/G$578)*H571</f>
        <v>0.13507248426123714</v>
      </c>
      <c r="J571" s="1750"/>
    </row>
    <row r="572" spans="1:10" ht="15.75" customHeight="1">
      <c r="A572" s="1780"/>
      <c r="B572" s="1784"/>
      <c r="C572" s="317" t="s">
        <v>2105</v>
      </c>
      <c r="D572" s="1781">
        <v>0.04</v>
      </c>
      <c r="E572" s="413" t="s">
        <v>2069</v>
      </c>
      <c r="F572" s="1883">
        <f>'Bahan &amp; Upah'!C$338</f>
        <v>125485.75</v>
      </c>
      <c r="G572" s="332">
        <f>F572*D572</f>
        <v>5019.43</v>
      </c>
      <c r="H572" s="1749">
        <v>1</v>
      </c>
      <c r="I572" s="1749">
        <f>(G572/G$578)*H572</f>
        <v>1.49629580045054E-2</v>
      </c>
      <c r="J572" s="1750"/>
    </row>
    <row r="573" spans="1:10" ht="15.75" customHeight="1">
      <c r="A573" s="1780"/>
      <c r="B573" s="1784"/>
      <c r="C573" s="317" t="s">
        <v>2107</v>
      </c>
      <c r="D573" s="1781">
        <v>1.2E-2</v>
      </c>
      <c r="E573" s="413" t="s">
        <v>2069</v>
      </c>
      <c r="F573" s="1751">
        <f>'Bahan &amp; Upah'!C$339</f>
        <v>102689.88</v>
      </c>
      <c r="G573" s="1785">
        <f>F573*D573</f>
        <v>1232.27856</v>
      </c>
      <c r="H573" s="1749">
        <v>1</v>
      </c>
      <c r="I573" s="1749">
        <f>(G573/G$578)*H573</f>
        <v>3.6734315137639906E-3</v>
      </c>
      <c r="J573" s="1750"/>
    </row>
    <row r="574" spans="1:10" ht="15.75" customHeight="1">
      <c r="A574" s="1780"/>
      <c r="B574" s="1784"/>
      <c r="C574" s="1753" t="s">
        <v>2108</v>
      </c>
      <c r="D574" s="1781"/>
      <c r="E574" s="413"/>
      <c r="F574" s="320"/>
      <c r="G574" s="361">
        <f>SUM(G570:G573)</f>
        <v>74489.898610000004</v>
      </c>
      <c r="H574" s="1749"/>
      <c r="I574" s="1754">
        <f>SUM(I570:I573)</f>
        <v>0.22205493943760449</v>
      </c>
      <c r="J574" s="1750"/>
    </row>
    <row r="575" spans="1:10" ht="15.75" customHeight="1">
      <c r="A575" s="1780"/>
      <c r="B575" s="1739" t="s">
        <v>1048</v>
      </c>
      <c r="C575" s="1755" t="s">
        <v>2109</v>
      </c>
      <c r="D575" s="1781"/>
      <c r="E575" s="413"/>
      <c r="F575" s="320"/>
      <c r="G575" s="320"/>
      <c r="H575" s="1749"/>
      <c r="I575" s="1749"/>
      <c r="J575" s="1750"/>
    </row>
    <row r="576" spans="1:10" ht="15.75" customHeight="1">
      <c r="A576" s="1780"/>
      <c r="B576" s="1739"/>
      <c r="C576" s="317"/>
      <c r="D576" s="1781"/>
      <c r="E576" s="413"/>
      <c r="F576" s="1747"/>
      <c r="G576" s="1794"/>
      <c r="H576" s="1749"/>
      <c r="I576" s="1752"/>
      <c r="J576" s="1750"/>
    </row>
    <row r="577" spans="1:10" ht="15.75" customHeight="1">
      <c r="A577" s="1780"/>
      <c r="B577" s="1784"/>
      <c r="C577" s="1753" t="s">
        <v>2110</v>
      </c>
      <c r="D577" s="1781"/>
      <c r="E577" s="413"/>
      <c r="F577" s="320"/>
      <c r="G577" s="361">
        <f>SUM(G576)</f>
        <v>0</v>
      </c>
      <c r="H577" s="1749"/>
      <c r="I577" s="1754">
        <f>SUM(I576)</f>
        <v>0</v>
      </c>
      <c r="J577" s="1750"/>
    </row>
    <row r="578" spans="1:10" ht="15.75" customHeight="1">
      <c r="A578" s="1780"/>
      <c r="B578" s="1739" t="s">
        <v>979</v>
      </c>
      <c r="C578" s="1804" t="s">
        <v>2129</v>
      </c>
      <c r="D578" s="1763"/>
      <c r="E578" s="1764"/>
      <c r="F578" s="1765"/>
      <c r="G578" s="1765">
        <f>G568+G574+G577</f>
        <v>335457.06660999998</v>
      </c>
      <c r="H578" s="1749"/>
      <c r="I578" s="1766">
        <f>I568+I574+I577</f>
        <v>0.60410375867979693</v>
      </c>
      <c r="J578" s="1750"/>
    </row>
    <row r="579" spans="1:10" ht="15.75" customHeight="1">
      <c r="A579" s="1780"/>
      <c r="B579" s="1739" t="s">
        <v>2093</v>
      </c>
      <c r="C579" s="1762" t="s">
        <v>2094</v>
      </c>
      <c r="D579" s="1767">
        <f>M$4</f>
        <v>0.15</v>
      </c>
      <c r="E579" s="1768"/>
      <c r="F579" s="1765"/>
      <c r="G579" s="1765">
        <f>G578*D579</f>
        <v>50318.559991499998</v>
      </c>
      <c r="H579" s="1749"/>
      <c r="I579" s="1749"/>
      <c r="J579" s="1750"/>
    </row>
    <row r="580" spans="1:10" ht="15.75" customHeight="1">
      <c r="A580" s="1786"/>
      <c r="B580" s="1787" t="s">
        <v>2095</v>
      </c>
      <c r="C580" s="1788" t="s">
        <v>2111</v>
      </c>
      <c r="D580" s="1772"/>
      <c r="E580" s="1773"/>
      <c r="F580" s="1774"/>
      <c r="G580" s="1775">
        <f>ROUNDUP((G578+G579),2)</f>
        <v>385775.63</v>
      </c>
      <c r="H580" s="1776"/>
      <c r="I580" s="1776"/>
      <c r="J580" s="1789"/>
    </row>
    <row r="581" spans="1:10" ht="15.75" customHeight="1">
      <c r="A581" s="1809"/>
      <c r="B581" s="1810"/>
      <c r="C581" s="1811"/>
      <c r="D581" s="1812"/>
      <c r="E581" s="1809"/>
      <c r="F581" s="1813"/>
      <c r="G581" s="1814"/>
      <c r="H581" s="1815"/>
      <c r="I581" s="1815"/>
      <c r="J581" s="1816"/>
    </row>
    <row r="582" spans="1:10" ht="15.75" customHeight="1">
      <c r="A582" s="1778">
        <f>A565+1</f>
        <v>20</v>
      </c>
      <c r="B582" s="1779" t="s">
        <v>2291</v>
      </c>
      <c r="C582" s="1872" t="s">
        <v>2292</v>
      </c>
      <c r="D582" s="1911"/>
      <c r="E582" s="1911"/>
      <c r="F582" s="1911"/>
      <c r="G582" s="1912"/>
      <c r="H582" s="1800"/>
      <c r="I582" s="1800"/>
      <c r="J582" s="1801"/>
    </row>
    <row r="583" spans="1:10" ht="15.75" customHeight="1">
      <c r="A583" s="1780"/>
      <c r="B583" s="1739" t="s">
        <v>1004</v>
      </c>
      <c r="C583" s="1755" t="s">
        <v>2075</v>
      </c>
      <c r="D583" s="1781"/>
      <c r="E583" s="413"/>
      <c r="F583" s="320"/>
      <c r="G583" s="320"/>
      <c r="H583" s="1802"/>
      <c r="I583" s="1802"/>
      <c r="J583" s="1803"/>
    </row>
    <row r="584" spans="1:10" ht="15.75" customHeight="1">
      <c r="A584" s="1780"/>
      <c r="B584" s="1739"/>
      <c r="C584" s="317" t="s">
        <v>2293</v>
      </c>
      <c r="D584" s="1781">
        <v>1.05</v>
      </c>
      <c r="E584" s="413" t="s">
        <v>10</v>
      </c>
      <c r="F584" s="1747">
        <f>'Bahan &amp; Upah'!C$270</f>
        <v>434418.52</v>
      </c>
      <c r="G584" s="1794">
        <f>F584*D584</f>
        <v>456139.44600000005</v>
      </c>
      <c r="H584" s="1749">
        <v>0.49109999999999998</v>
      </c>
      <c r="I584" s="1749">
        <f>(G584/G$595)*H584</f>
        <v>0.46396537423126072</v>
      </c>
      <c r="J584" s="1803"/>
    </row>
    <row r="585" spans="1:10" ht="15.75" customHeight="1">
      <c r="A585" s="1780"/>
      <c r="B585" s="1784"/>
      <c r="C585" s="1753" t="s">
        <v>2091</v>
      </c>
      <c r="D585" s="1781"/>
      <c r="E585" s="413"/>
      <c r="F585" s="320"/>
      <c r="G585" s="361">
        <f>SUM(G584:G584)</f>
        <v>456139.44600000005</v>
      </c>
      <c r="H585" s="1749"/>
      <c r="I585" s="1754">
        <f>SUM(I584:I584)</f>
        <v>0.46396537423126072</v>
      </c>
      <c r="J585" s="1750"/>
    </row>
    <row r="586" spans="1:10" ht="15.75" customHeight="1">
      <c r="A586" s="1780"/>
      <c r="B586" s="1739" t="s">
        <v>1015</v>
      </c>
      <c r="C586" s="1755" t="s">
        <v>2067</v>
      </c>
      <c r="D586" s="1781"/>
      <c r="E586" s="413"/>
      <c r="F586" s="320"/>
      <c r="G586" s="320"/>
      <c r="H586" s="1749"/>
      <c r="I586" s="1749"/>
      <c r="J586" s="1750"/>
    </row>
    <row r="587" spans="1:10" ht="15.75" customHeight="1">
      <c r="A587" s="1780"/>
      <c r="B587" s="1784"/>
      <c r="C587" s="317" t="s">
        <v>2103</v>
      </c>
      <c r="D587" s="1781">
        <v>8.5000000000000006E-2</v>
      </c>
      <c r="E587" s="413" t="s">
        <v>2069</v>
      </c>
      <c r="F587" s="1747">
        <f>'Bahan &amp; Upah'!C$336</f>
        <v>96332.65</v>
      </c>
      <c r="G587" s="332">
        <f>F587*D587</f>
        <v>8188.2752499999997</v>
      </c>
      <c r="H587" s="1749">
        <v>1</v>
      </c>
      <c r="I587" s="1749">
        <f>(G587/G$595)*H587</f>
        <v>1.6959398246422685E-2</v>
      </c>
      <c r="J587" s="1750"/>
    </row>
    <row r="588" spans="1:10" ht="15.75" customHeight="1">
      <c r="A588" s="1780"/>
      <c r="B588" s="1784"/>
      <c r="C588" s="317" t="s">
        <v>2287</v>
      </c>
      <c r="D588" s="1781">
        <v>0.14299999999999999</v>
      </c>
      <c r="E588" s="413" t="s">
        <v>2069</v>
      </c>
      <c r="F588" s="1883">
        <f>'Bahan &amp; Upah'!C$337</f>
        <v>114133.55</v>
      </c>
      <c r="G588" s="332">
        <f>F588*D588</f>
        <v>16321.09765</v>
      </c>
      <c r="H588" s="1749">
        <v>1</v>
      </c>
      <c r="I588" s="1749">
        <f>(G588/G$595)*H588</f>
        <v>3.3803943616221674E-2</v>
      </c>
      <c r="J588" s="1750"/>
    </row>
    <row r="589" spans="1:10" ht="15.75" customHeight="1">
      <c r="A589" s="1780"/>
      <c r="B589" s="1784"/>
      <c r="C589" s="317" t="s">
        <v>2105</v>
      </c>
      <c r="D589" s="1781">
        <v>1.4E-2</v>
      </c>
      <c r="E589" s="413" t="s">
        <v>2069</v>
      </c>
      <c r="F589" s="1883">
        <f>'Bahan &amp; Upah'!C$338</f>
        <v>125485.75</v>
      </c>
      <c r="G589" s="332">
        <f>F589*D589</f>
        <v>1756.8005000000001</v>
      </c>
      <c r="H589" s="1749">
        <v>1</v>
      </c>
      <c r="I589" s="1749">
        <f>(G589/G$595)*H589</f>
        <v>3.6386514142907568E-3</v>
      </c>
      <c r="J589" s="1750"/>
    </row>
    <row r="590" spans="1:10" ht="15.75" customHeight="1">
      <c r="A590" s="1780"/>
      <c r="B590" s="1784"/>
      <c r="C590" s="317" t="s">
        <v>2107</v>
      </c>
      <c r="D590" s="1781">
        <v>4.0000000000000001E-3</v>
      </c>
      <c r="E590" s="413" t="s">
        <v>2069</v>
      </c>
      <c r="F590" s="1751">
        <f>'Bahan &amp; Upah'!C$339</f>
        <v>102689.88</v>
      </c>
      <c r="G590" s="1785">
        <f>F590*D590</f>
        <v>410.75952000000001</v>
      </c>
      <c r="H590" s="1749">
        <v>1</v>
      </c>
      <c r="I590" s="1752">
        <f>(G590/G$595)*H590</f>
        <v>8.5075721937772242E-4</v>
      </c>
      <c r="J590" s="1750"/>
    </row>
    <row r="591" spans="1:10" ht="15.75" customHeight="1">
      <c r="A591" s="1780"/>
      <c r="B591" s="1784"/>
      <c r="C591" s="1753" t="s">
        <v>2108</v>
      </c>
      <c r="D591" s="1781"/>
      <c r="E591" s="413"/>
      <c r="F591" s="320"/>
      <c r="G591" s="361">
        <f>SUM(G587:G590)</f>
        <v>26676.932919999999</v>
      </c>
      <c r="H591" s="1749"/>
      <c r="I591" s="1754">
        <f>SUM(I587:I590)</f>
        <v>5.5252750496312841E-2</v>
      </c>
      <c r="J591" s="1750"/>
    </row>
    <row r="592" spans="1:10" ht="15.75" customHeight="1">
      <c r="A592" s="1780"/>
      <c r="B592" s="1739" t="s">
        <v>1048</v>
      </c>
      <c r="C592" s="1755" t="s">
        <v>2109</v>
      </c>
      <c r="D592" s="1781"/>
      <c r="E592" s="413"/>
      <c r="F592" s="320"/>
      <c r="G592" s="320"/>
      <c r="H592" s="1749"/>
      <c r="I592" s="1749"/>
      <c r="J592" s="1750"/>
    </row>
    <row r="593" spans="1:10" ht="15.75" customHeight="1">
      <c r="A593" s="1780"/>
      <c r="B593" s="1739"/>
      <c r="C593" s="317"/>
      <c r="D593" s="1781"/>
      <c r="E593" s="413"/>
      <c r="F593" s="1747"/>
      <c r="G593" s="1794"/>
      <c r="H593" s="1749"/>
      <c r="I593" s="1752"/>
      <c r="J593" s="1750"/>
    </row>
    <row r="594" spans="1:10" ht="15.75" customHeight="1">
      <c r="A594" s="1780"/>
      <c r="B594" s="1784"/>
      <c r="C594" s="1753" t="s">
        <v>2110</v>
      </c>
      <c r="D594" s="1781"/>
      <c r="E594" s="413"/>
      <c r="F594" s="320"/>
      <c r="G594" s="361">
        <f>SUM(G593)</f>
        <v>0</v>
      </c>
      <c r="H594" s="1749"/>
      <c r="I594" s="1754">
        <f>SUM(I593)</f>
        <v>0</v>
      </c>
      <c r="J594" s="1750"/>
    </row>
    <row r="595" spans="1:10" ht="15.75" customHeight="1">
      <c r="A595" s="1780"/>
      <c r="B595" s="1739" t="s">
        <v>979</v>
      </c>
      <c r="C595" s="1804" t="s">
        <v>2129</v>
      </c>
      <c r="D595" s="1763"/>
      <c r="E595" s="1764"/>
      <c r="F595" s="1765"/>
      <c r="G595" s="1765">
        <f>G585+G591+G594</f>
        <v>482816.37892000005</v>
      </c>
      <c r="H595" s="1749"/>
      <c r="I595" s="1766">
        <f>I585+I591+I594</f>
        <v>0.51921812472757356</v>
      </c>
      <c r="J595" s="1750"/>
    </row>
    <row r="596" spans="1:10" ht="15.75" customHeight="1">
      <c r="A596" s="1780"/>
      <c r="B596" s="1739" t="s">
        <v>2093</v>
      </c>
      <c r="C596" s="1762" t="s">
        <v>2094</v>
      </c>
      <c r="D596" s="1767">
        <f>M$4</f>
        <v>0.15</v>
      </c>
      <c r="E596" s="1768"/>
      <c r="F596" s="1765"/>
      <c r="G596" s="1765">
        <f>G595*D596</f>
        <v>72422.456837999998</v>
      </c>
      <c r="H596" s="1749"/>
      <c r="I596" s="1749"/>
      <c r="J596" s="1750"/>
    </row>
    <row r="597" spans="1:10" ht="15.75" customHeight="1">
      <c r="A597" s="1786"/>
      <c r="B597" s="1787" t="s">
        <v>2095</v>
      </c>
      <c r="C597" s="1788" t="s">
        <v>2111</v>
      </c>
      <c r="D597" s="1772"/>
      <c r="E597" s="1773"/>
      <c r="F597" s="1774"/>
      <c r="G597" s="1775">
        <f>ROUNDUP((G595+G596),2)</f>
        <v>555238.84</v>
      </c>
      <c r="H597" s="1776"/>
      <c r="I597" s="1776"/>
      <c r="J597" s="1789"/>
    </row>
    <row r="598" spans="1:10" ht="15.75" customHeight="1">
      <c r="A598" s="1809"/>
      <c r="B598" s="1810"/>
      <c r="C598" s="1811"/>
      <c r="D598" s="1812"/>
      <c r="E598" s="1809"/>
      <c r="F598" s="1813"/>
      <c r="G598" s="1814"/>
      <c r="H598" s="1815"/>
      <c r="I598" s="1815"/>
      <c r="J598" s="1816"/>
    </row>
    <row r="599" spans="1:10" ht="30" customHeight="1">
      <c r="A599" s="1778">
        <f>A582+1</f>
        <v>21</v>
      </c>
      <c r="B599" s="1871" t="s">
        <v>2147</v>
      </c>
      <c r="C599" s="1872" t="s">
        <v>2294</v>
      </c>
      <c r="D599" s="1911"/>
      <c r="E599" s="1911"/>
      <c r="F599" s="1911"/>
      <c r="G599" s="1912"/>
      <c r="H599" s="1800"/>
      <c r="I599" s="1800"/>
      <c r="J599" s="1801"/>
    </row>
    <row r="600" spans="1:10" ht="15.75" customHeight="1">
      <c r="A600" s="1780"/>
      <c r="B600" s="1739" t="s">
        <v>1004</v>
      </c>
      <c r="C600" s="1755" t="s">
        <v>2075</v>
      </c>
      <c r="D600" s="1781">
        <v>0.5</v>
      </c>
      <c r="E600" s="413"/>
      <c r="F600" s="320"/>
      <c r="G600" s="320"/>
      <c r="H600" s="1802"/>
      <c r="I600" s="1802"/>
      <c r="J600" s="1803"/>
    </row>
    <row r="601" spans="1:10" ht="15.75" customHeight="1">
      <c r="A601" s="1780"/>
      <c r="B601" s="1784"/>
      <c r="C601" s="1753" t="s">
        <v>2091</v>
      </c>
      <c r="D601" s="1781"/>
      <c r="E601" s="413"/>
      <c r="F601" s="320"/>
      <c r="G601" s="361"/>
      <c r="H601" s="1749"/>
      <c r="I601" s="1754"/>
      <c r="J601" s="1750"/>
    </row>
    <row r="602" spans="1:10" ht="15.75" customHeight="1">
      <c r="A602" s="1780"/>
      <c r="B602" s="1739" t="s">
        <v>1015</v>
      </c>
      <c r="C602" s="1755" t="s">
        <v>2067</v>
      </c>
      <c r="D602" s="1781"/>
      <c r="E602" s="413"/>
      <c r="F602" s="320"/>
      <c r="G602" s="320"/>
      <c r="H602" s="1749"/>
      <c r="I602" s="1749"/>
      <c r="J602" s="1750"/>
    </row>
    <row r="603" spans="1:10" ht="15.75" customHeight="1">
      <c r="A603" s="1780"/>
      <c r="B603" s="1784"/>
      <c r="C603" s="317" t="s">
        <v>2103</v>
      </c>
      <c r="D603" s="1781">
        <f>0.395*D600</f>
        <v>0.19750000000000001</v>
      </c>
      <c r="E603" s="413" t="s">
        <v>2069</v>
      </c>
      <c r="F603" s="1747">
        <f>'Bahan &amp; Upah'!C$336</f>
        <v>96332.65</v>
      </c>
      <c r="G603" s="332">
        <f>F603*D603</f>
        <v>19025.698375</v>
      </c>
      <c r="H603" s="1749">
        <v>1</v>
      </c>
      <c r="I603" s="1749">
        <f>(G603/G$608)*H603</f>
        <v>0.90366951021897057</v>
      </c>
      <c r="J603" s="1750"/>
    </row>
    <row r="604" spans="1:10" ht="15.75" customHeight="1">
      <c r="A604" s="1780"/>
      <c r="B604" s="1784"/>
      <c r="C604" s="317" t="s">
        <v>2107</v>
      </c>
      <c r="D604" s="1781">
        <f>0.0395*D600</f>
        <v>1.975E-2</v>
      </c>
      <c r="E604" s="413" t="s">
        <v>2069</v>
      </c>
      <c r="F604" s="1751">
        <f>'Bahan &amp; Upah'!C$339</f>
        <v>102689.88</v>
      </c>
      <c r="G604" s="1785">
        <f>F604*D604</f>
        <v>2028.1251300000001</v>
      </c>
      <c r="H604" s="1749">
        <v>1</v>
      </c>
      <c r="I604" s="1752">
        <f>(G604/G$608)*H604</f>
        <v>9.6330489781029455E-2</v>
      </c>
      <c r="J604" s="1750"/>
    </row>
    <row r="605" spans="1:10" ht="15.75" customHeight="1">
      <c r="A605" s="1780"/>
      <c r="B605" s="1784"/>
      <c r="C605" s="1753" t="s">
        <v>2108</v>
      </c>
      <c r="D605" s="1781"/>
      <c r="E605" s="413"/>
      <c r="F605" s="320"/>
      <c r="G605" s="361">
        <f>SUM(G603:G604)</f>
        <v>21053.823505</v>
      </c>
      <c r="H605" s="1749"/>
      <c r="I605" s="1754">
        <f>SUM(I603:I604)</f>
        <v>1</v>
      </c>
      <c r="J605" s="1750"/>
    </row>
    <row r="606" spans="1:10" ht="15.75" customHeight="1">
      <c r="A606" s="1780"/>
      <c r="B606" s="1739" t="s">
        <v>1048</v>
      </c>
      <c r="C606" s="1755" t="s">
        <v>2109</v>
      </c>
      <c r="D606" s="1781"/>
      <c r="E606" s="413"/>
      <c r="F606" s="320"/>
      <c r="G606" s="320"/>
      <c r="H606" s="1749"/>
      <c r="I606" s="1749"/>
      <c r="J606" s="1750"/>
    </row>
    <row r="607" spans="1:10" ht="15.75" customHeight="1">
      <c r="A607" s="1780"/>
      <c r="B607" s="1784"/>
      <c r="C607" s="1753" t="s">
        <v>2110</v>
      </c>
      <c r="D607" s="1781"/>
      <c r="E607" s="413"/>
      <c r="F607" s="320"/>
      <c r="G607" s="361"/>
      <c r="H607" s="1749"/>
      <c r="I607" s="1754">
        <v>0</v>
      </c>
      <c r="J607" s="1750"/>
    </row>
    <row r="608" spans="1:10" ht="15.75" customHeight="1">
      <c r="A608" s="1780"/>
      <c r="B608" s="1739" t="s">
        <v>979</v>
      </c>
      <c r="C608" s="1804" t="s">
        <v>2129</v>
      </c>
      <c r="D608" s="1763"/>
      <c r="E608" s="1764"/>
      <c r="F608" s="1765"/>
      <c r="G608" s="1765">
        <f>G605</f>
        <v>21053.823505</v>
      </c>
      <c r="H608" s="1749"/>
      <c r="I608" s="1766">
        <f>I605+I607</f>
        <v>1</v>
      </c>
      <c r="J608" s="1750"/>
    </row>
    <row r="609" spans="1:10" ht="15.75" customHeight="1">
      <c r="A609" s="1780"/>
      <c r="B609" s="1739" t="s">
        <v>2093</v>
      </c>
      <c r="C609" s="1762" t="s">
        <v>2094</v>
      </c>
      <c r="D609" s="1767">
        <f>M$4</f>
        <v>0.15</v>
      </c>
      <c r="E609" s="1768"/>
      <c r="F609" s="1765"/>
      <c r="G609" s="1765">
        <f>G608*D609</f>
        <v>3158.07352575</v>
      </c>
      <c r="H609" s="1749"/>
      <c r="I609" s="1749"/>
      <c r="J609" s="1750"/>
    </row>
    <row r="610" spans="1:10" ht="15.75" customHeight="1">
      <c r="A610" s="1786"/>
      <c r="B610" s="1787" t="s">
        <v>2095</v>
      </c>
      <c r="C610" s="1788" t="s">
        <v>2111</v>
      </c>
      <c r="D610" s="1772"/>
      <c r="E610" s="1773"/>
      <c r="F610" s="1774"/>
      <c r="G610" s="1775">
        <f>ROUNDUP((G608+G609),2)</f>
        <v>24211.899999999998</v>
      </c>
      <c r="H610" s="1776"/>
      <c r="I610" s="1776"/>
      <c r="J610" s="1789"/>
    </row>
    <row r="611" spans="1:10" ht="15.75" customHeight="1">
      <c r="A611" s="1809"/>
      <c r="B611" s="1810"/>
      <c r="C611" s="1811"/>
      <c r="D611" s="1812"/>
      <c r="E611" s="1809"/>
      <c r="F611" s="1813"/>
      <c r="G611" s="1814"/>
      <c r="H611" s="1815"/>
      <c r="I611" s="1815"/>
      <c r="J611" s="1816"/>
    </row>
    <row r="612" spans="1:10" ht="42.75" customHeight="1">
      <c r="A612" s="1778">
        <f>A599+1</f>
        <v>22</v>
      </c>
      <c r="B612" s="1779" t="s">
        <v>2295</v>
      </c>
      <c r="C612" s="3278" t="s">
        <v>2296</v>
      </c>
      <c r="D612" s="3278"/>
      <c r="E612" s="3278"/>
      <c r="F612" s="3278"/>
      <c r="G612" s="3278"/>
      <c r="H612" s="3278"/>
      <c r="I612" s="3278"/>
      <c r="J612" s="1801"/>
    </row>
    <row r="613" spans="1:10" ht="15.75" customHeight="1">
      <c r="A613" s="1780"/>
      <c r="B613" s="1739" t="s">
        <v>1004</v>
      </c>
      <c r="C613" s="1877" t="s">
        <v>2067</v>
      </c>
      <c r="D613" s="390"/>
      <c r="E613" s="413"/>
      <c r="F613" s="320"/>
      <c r="G613" s="320"/>
      <c r="H613" s="1802"/>
      <c r="I613" s="1802"/>
      <c r="J613" s="1803"/>
    </row>
    <row r="614" spans="1:10" ht="15.75" customHeight="1">
      <c r="A614" s="1780"/>
      <c r="B614" s="1739"/>
      <c r="C614" s="1878" t="s">
        <v>2103</v>
      </c>
      <c r="D614" s="1781">
        <v>0.1</v>
      </c>
      <c r="E614" s="413" t="s">
        <v>2069</v>
      </c>
      <c r="F614" s="1747">
        <f>'Bahan &amp; Upah'!C$336</f>
        <v>96332.65</v>
      </c>
      <c r="G614" s="361">
        <f>F614*D614</f>
        <v>9633.2649999999994</v>
      </c>
      <c r="H614" s="1749">
        <v>1</v>
      </c>
      <c r="I614" s="1749">
        <f>(G614/G$620)*H614</f>
        <v>5.8410424797589372E-2</v>
      </c>
      <c r="J614" s="1750"/>
    </row>
    <row r="615" spans="1:10" ht="15.75" customHeight="1">
      <c r="A615" s="1780"/>
      <c r="B615" s="1739"/>
      <c r="C615" s="1878" t="s">
        <v>2107</v>
      </c>
      <c r="D615" s="1781">
        <v>0.01</v>
      </c>
      <c r="E615" s="413" t="s">
        <v>2069</v>
      </c>
      <c r="F615" s="1751">
        <f>'Bahan &amp; Upah'!C$339</f>
        <v>102689.88</v>
      </c>
      <c r="G615" s="1785">
        <f>F615*D615</f>
        <v>1026.8988000000002</v>
      </c>
      <c r="H615" s="1749">
        <v>1</v>
      </c>
      <c r="I615" s="1752">
        <f>(G615/G$620)*H615</f>
        <v>6.226507329771867E-3</v>
      </c>
      <c r="J615" s="1750"/>
    </row>
    <row r="616" spans="1:10" ht="15.75" customHeight="1">
      <c r="A616" s="1780"/>
      <c r="B616" s="1739"/>
      <c r="C616" s="1889" t="s">
        <v>2108</v>
      </c>
      <c r="D616" s="1781"/>
      <c r="E616" s="413"/>
      <c r="F616" s="320"/>
      <c r="G616" s="361">
        <f>SUM(G614:G615)</f>
        <v>10660.1638</v>
      </c>
      <c r="H616" s="1749"/>
      <c r="I616" s="1913">
        <f>SUM(I614:I615)</f>
        <v>6.4636932127361241E-2</v>
      </c>
      <c r="J616" s="1750"/>
    </row>
    <row r="617" spans="1:10" ht="15.75" customHeight="1">
      <c r="A617" s="1780"/>
      <c r="B617" s="1739" t="s">
        <v>1015</v>
      </c>
      <c r="C617" s="1877" t="s">
        <v>2075</v>
      </c>
      <c r="D617" s="1781"/>
      <c r="E617" s="1914"/>
      <c r="F617" s="320"/>
      <c r="G617" s="320"/>
      <c r="H617" s="1749"/>
      <c r="I617" s="1754"/>
      <c r="J617" s="1750"/>
    </row>
    <row r="618" spans="1:10" ht="15.75" customHeight="1">
      <c r="A618" s="1780"/>
      <c r="B618" s="1739"/>
      <c r="C618" s="1878" t="s">
        <v>2297</v>
      </c>
      <c r="D618" s="1781">
        <v>1.4</v>
      </c>
      <c r="E618" s="413" t="s">
        <v>103</v>
      </c>
      <c r="F618" s="1883">
        <f>'Bahan &amp; Upah'!C24</f>
        <v>110188.26</v>
      </c>
      <c r="G618" s="1785">
        <f>F618*D618</f>
        <v>154263.56399999998</v>
      </c>
      <c r="H618" s="1749">
        <v>1</v>
      </c>
      <c r="I618" s="1752">
        <f>(G618/G$620)*H618</f>
        <v>0.93536306787263868</v>
      </c>
      <c r="J618" s="1750"/>
    </row>
    <row r="619" spans="1:10" ht="15.75" customHeight="1">
      <c r="A619" s="1780"/>
      <c r="B619" s="1784"/>
      <c r="C619" s="1753" t="s">
        <v>2091</v>
      </c>
      <c r="D619" s="1781"/>
      <c r="E619" s="413"/>
      <c r="F619" s="320"/>
      <c r="G619" s="361">
        <f>SUM(G618:G618)</f>
        <v>154263.56399999998</v>
      </c>
      <c r="H619" s="1749"/>
      <c r="I619" s="1754">
        <f>SUM(I618)</f>
        <v>0.93536306787263868</v>
      </c>
      <c r="J619" s="1750"/>
    </row>
    <row r="620" spans="1:10" ht="15.75" customHeight="1">
      <c r="A620" s="1780"/>
      <c r="B620" s="1784"/>
      <c r="C620" s="1804" t="s">
        <v>2298</v>
      </c>
      <c r="D620" s="1763"/>
      <c r="E620" s="1764"/>
      <c r="F620" s="1765"/>
      <c r="G620" s="1765">
        <f>G616+G619</f>
        <v>164923.72779999999</v>
      </c>
      <c r="H620" s="1749"/>
      <c r="I620" s="1915">
        <f>I616+I619</f>
        <v>0.99999999999999989</v>
      </c>
      <c r="J620" s="1750"/>
    </row>
    <row r="621" spans="1:10" ht="15.75" customHeight="1">
      <c r="A621" s="1780"/>
      <c r="B621" s="1784"/>
      <c r="C621" s="1762" t="s">
        <v>2094</v>
      </c>
      <c r="D621" s="1767">
        <f>M$4</f>
        <v>0.15</v>
      </c>
      <c r="E621" s="1764"/>
      <c r="F621" s="1765"/>
      <c r="G621" s="1765">
        <f>G620*D621</f>
        <v>24738.559169999997</v>
      </c>
      <c r="H621" s="1749"/>
      <c r="I621" s="1754"/>
      <c r="J621" s="1750"/>
    </row>
    <row r="622" spans="1:10" ht="15.75" customHeight="1">
      <c r="A622" s="1786"/>
      <c r="B622" s="1890"/>
      <c r="C622" s="1788" t="s">
        <v>2111</v>
      </c>
      <c r="D622" s="1772"/>
      <c r="E622" s="1773"/>
      <c r="F622" s="1774"/>
      <c r="G622" s="1775">
        <f>ROUNDUP((G620+G621),2)</f>
        <v>189662.29</v>
      </c>
      <c r="H622" s="1776"/>
      <c r="I622" s="1776"/>
      <c r="J622" s="1789"/>
    </row>
    <row r="623" spans="1:10" ht="15.7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</row>
    <row r="624" spans="1:10" ht="15.75" customHeight="1">
      <c r="A624" s="1778">
        <f>A612+1</f>
        <v>23</v>
      </c>
      <c r="B624" s="1779" t="s">
        <v>2299</v>
      </c>
      <c r="C624" s="1872" t="s">
        <v>2300</v>
      </c>
      <c r="D624" s="1911"/>
      <c r="E624" s="1911"/>
      <c r="F624" s="1911"/>
      <c r="G624" s="1911"/>
      <c r="H624" s="1911"/>
      <c r="I624" s="1912"/>
      <c r="J624" s="1801"/>
    </row>
    <row r="625" spans="1:12" ht="15.75" customHeight="1">
      <c r="A625" s="1780"/>
      <c r="B625" s="1739" t="s">
        <v>1004</v>
      </c>
      <c r="C625" s="1877" t="s">
        <v>2067</v>
      </c>
      <c r="D625" s="390"/>
      <c r="E625" s="413"/>
      <c r="F625" s="320"/>
      <c r="G625" s="320"/>
      <c r="H625" s="1802"/>
      <c r="I625" s="1802"/>
      <c r="J625" s="1803"/>
    </row>
    <row r="626" spans="1:12" ht="15.75" customHeight="1">
      <c r="A626" s="1780"/>
      <c r="B626" s="1739"/>
      <c r="C626" s="1878" t="s">
        <v>2103</v>
      </c>
      <c r="D626" s="1781">
        <v>0.5</v>
      </c>
      <c r="E626" s="413" t="s">
        <v>2069</v>
      </c>
      <c r="F626" s="1747">
        <f>'Bahan &amp; Upah'!C$336</f>
        <v>96332.65</v>
      </c>
      <c r="G626" s="361">
        <f>F626*D626</f>
        <v>48166.324999999997</v>
      </c>
      <c r="H626" s="1749">
        <v>1</v>
      </c>
      <c r="I626" s="1749">
        <f>(G626/G$620)*H626</f>
        <v>0.29205212398794689</v>
      </c>
      <c r="J626" s="1750"/>
    </row>
    <row r="627" spans="1:12" ht="15.75" customHeight="1">
      <c r="A627" s="1780"/>
      <c r="B627" s="1739"/>
      <c r="C627" s="1878" t="s">
        <v>2107</v>
      </c>
      <c r="D627" s="1781">
        <v>2.5000000000000001E-2</v>
      </c>
      <c r="E627" s="413" t="s">
        <v>2069</v>
      </c>
      <c r="F627" s="1751">
        <f>'Bahan &amp; Upah'!C$339</f>
        <v>102689.88</v>
      </c>
      <c r="G627" s="1785">
        <f>F627*D627</f>
        <v>2567.2470000000003</v>
      </c>
      <c r="H627" s="1749">
        <v>1</v>
      </c>
      <c r="I627" s="1752">
        <f>(G627/G$620)*H627</f>
        <v>1.5566268324429667E-2</v>
      </c>
      <c r="J627" s="1750"/>
    </row>
    <row r="628" spans="1:12" ht="15.75" customHeight="1">
      <c r="A628" s="1780"/>
      <c r="B628" s="1739"/>
      <c r="C628" s="1889" t="s">
        <v>2108</v>
      </c>
      <c r="D628" s="1781"/>
      <c r="E628" s="413"/>
      <c r="F628" s="320"/>
      <c r="G628" s="361">
        <f>SUM(G626:G627)</f>
        <v>50733.572</v>
      </c>
      <c r="H628" s="1749"/>
      <c r="I628" s="1913">
        <f>SUM(I626:I627)</f>
        <v>0.30761839231237653</v>
      </c>
      <c r="J628" s="1750"/>
    </row>
    <row r="629" spans="1:12" ht="15.75" customHeight="1">
      <c r="A629" s="1780"/>
      <c r="B629" s="1739" t="s">
        <v>1015</v>
      </c>
      <c r="C629" s="1877" t="s">
        <v>2075</v>
      </c>
      <c r="D629" s="1781"/>
      <c r="E629" s="1914"/>
      <c r="F629" s="320"/>
      <c r="G629" s="320"/>
      <c r="H629" s="1749"/>
      <c r="I629" s="1754"/>
      <c r="J629" s="1750"/>
    </row>
    <row r="630" spans="1:12" ht="15.75" customHeight="1">
      <c r="A630" s="1780"/>
      <c r="B630" s="1739"/>
      <c r="C630" s="1878"/>
      <c r="D630" s="1781"/>
      <c r="E630" s="413"/>
      <c r="F630" s="320"/>
      <c r="G630" s="1785"/>
      <c r="H630" s="1749"/>
      <c r="I630" s="1752"/>
      <c r="J630" s="1750"/>
    </row>
    <row r="631" spans="1:12" ht="15.75" customHeight="1">
      <c r="A631" s="1780"/>
      <c r="B631" s="1784"/>
      <c r="C631" s="1753" t="s">
        <v>2091</v>
      </c>
      <c r="D631" s="1781"/>
      <c r="E631" s="413"/>
      <c r="F631" s="320"/>
      <c r="G631" s="361">
        <f>SUM(G630:G630)</f>
        <v>0</v>
      </c>
      <c r="H631" s="1749"/>
      <c r="I631" s="1754">
        <f>SUM(I630)</f>
        <v>0</v>
      </c>
      <c r="J631" s="1750"/>
    </row>
    <row r="632" spans="1:12" ht="15.75" customHeight="1">
      <c r="A632" s="1780"/>
      <c r="B632" s="1784"/>
      <c r="C632" s="1804" t="s">
        <v>2298</v>
      </c>
      <c r="D632" s="1763"/>
      <c r="E632" s="1764"/>
      <c r="F632" s="1765"/>
      <c r="G632" s="1765">
        <f>G628+G631</f>
        <v>50733.572</v>
      </c>
      <c r="H632" s="1749"/>
      <c r="I632" s="1915">
        <f>I628+I631</f>
        <v>0.30761839231237653</v>
      </c>
      <c r="J632" s="1750"/>
    </row>
    <row r="633" spans="1:12" ht="15.75" customHeight="1">
      <c r="A633" s="1780"/>
      <c r="B633" s="1784"/>
      <c r="C633" s="1762" t="s">
        <v>2094</v>
      </c>
      <c r="D633" s="1767">
        <f>M$4</f>
        <v>0.15</v>
      </c>
      <c r="E633" s="1764"/>
      <c r="F633" s="1765"/>
      <c r="G633" s="1765">
        <f>G632*D633</f>
        <v>7610.0357999999997</v>
      </c>
      <c r="H633" s="1749"/>
      <c r="I633" s="1754"/>
      <c r="J633" s="1750"/>
    </row>
    <row r="634" spans="1:12" ht="15.75" customHeight="1">
      <c r="A634" s="1786"/>
      <c r="B634" s="1890"/>
      <c r="C634" s="1788" t="s">
        <v>2111</v>
      </c>
      <c r="D634" s="1772"/>
      <c r="E634" s="1773"/>
      <c r="F634" s="1774"/>
      <c r="G634" s="1775">
        <f>ROUNDUP((G632+G633),2)</f>
        <v>58343.61</v>
      </c>
      <c r="H634" s="1776"/>
      <c r="I634" s="1776"/>
      <c r="J634" s="1789"/>
    </row>
    <row r="635" spans="1:12" ht="15.7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</row>
    <row r="636" spans="1:12" ht="15.75" customHeight="1">
      <c r="A636" s="1916">
        <f>A624+1</f>
        <v>24</v>
      </c>
      <c r="B636" s="1917" t="s">
        <v>2301</v>
      </c>
      <c r="C636" s="3279" t="s">
        <v>2302</v>
      </c>
      <c r="D636" s="3279"/>
      <c r="E636" s="3279"/>
      <c r="F636" s="3279"/>
      <c r="G636" s="1918"/>
      <c r="H636" s="1919"/>
      <c r="I636" s="1919"/>
      <c r="J636" s="1920"/>
      <c r="L636" s="28" t="s">
        <v>2303</v>
      </c>
    </row>
    <row r="637" spans="1:12" ht="15.75" customHeight="1">
      <c r="A637" s="1921"/>
      <c r="B637" s="1922" t="s">
        <v>84</v>
      </c>
      <c r="C637" s="1923" t="s">
        <v>2304</v>
      </c>
      <c r="D637" s="1924"/>
      <c r="E637" s="1924"/>
      <c r="F637" s="1924"/>
      <c r="G637" s="1924"/>
      <c r="H637" s="1925"/>
      <c r="I637" s="1925"/>
      <c r="J637" s="1926"/>
    </row>
    <row r="638" spans="1:12" ht="15.75" customHeight="1">
      <c r="A638" s="1780"/>
      <c r="B638" s="1753">
        <v>1</v>
      </c>
      <c r="C638" s="328" t="s">
        <v>2305</v>
      </c>
      <c r="D638" s="1755"/>
      <c r="E638" s="1755"/>
      <c r="F638" s="1755"/>
      <c r="G638" s="1755"/>
      <c r="H638" s="1802"/>
      <c r="I638" s="1802"/>
      <c r="J638" s="1803"/>
    </row>
    <row r="639" spans="1:12" ht="15.75" customHeight="1">
      <c r="A639" s="1780"/>
      <c r="B639" s="1753">
        <f t="shared" ref="B639:B646" si="2">B638+1</f>
        <v>2</v>
      </c>
      <c r="C639" s="328" t="s">
        <v>2306</v>
      </c>
      <c r="D639" s="1755"/>
      <c r="E639" s="1755"/>
      <c r="F639" s="1755"/>
      <c r="G639" s="1755"/>
      <c r="H639" s="1802"/>
      <c r="I639" s="1802"/>
      <c r="J639" s="1803"/>
    </row>
    <row r="640" spans="1:12" ht="15.75" customHeight="1">
      <c r="A640" s="1780"/>
      <c r="B640" s="1753">
        <f t="shared" si="2"/>
        <v>3</v>
      </c>
      <c r="C640" s="328" t="s">
        <v>2307</v>
      </c>
      <c r="D640" s="326"/>
      <c r="E640" s="1755"/>
      <c r="F640" s="1755"/>
      <c r="G640" s="1755"/>
      <c r="H640" s="1802"/>
      <c r="I640" s="1802"/>
      <c r="J640" s="1803"/>
    </row>
    <row r="641" spans="1:10" ht="15.75" customHeight="1">
      <c r="A641" s="1780"/>
      <c r="B641" s="1753">
        <f t="shared" si="2"/>
        <v>4</v>
      </c>
      <c r="C641" s="328" t="s">
        <v>2308</v>
      </c>
      <c r="D641" s="326" t="s">
        <v>2309</v>
      </c>
      <c r="E641" s="322">
        <v>7</v>
      </c>
      <c r="F641" s="317" t="s">
        <v>1340</v>
      </c>
      <c r="G641" s="1755"/>
      <c r="H641" s="1802"/>
      <c r="I641" s="1802"/>
      <c r="J641" s="1803"/>
    </row>
    <row r="642" spans="1:10" ht="15.75" customHeight="1">
      <c r="A642" s="1780"/>
      <c r="B642" s="1753">
        <f t="shared" si="2"/>
        <v>5</v>
      </c>
      <c r="C642" s="328" t="s">
        <v>2310</v>
      </c>
      <c r="D642" s="326" t="s">
        <v>2311</v>
      </c>
      <c r="E642" s="322">
        <v>1.2</v>
      </c>
      <c r="F642" s="317"/>
      <c r="G642" s="317"/>
      <c r="H642" s="1802"/>
      <c r="I642" s="1802"/>
      <c r="J642" s="1803"/>
    </row>
    <row r="643" spans="1:10" ht="15.75" customHeight="1">
      <c r="A643" s="1780"/>
      <c r="B643" s="1753">
        <f t="shared" si="2"/>
        <v>6</v>
      </c>
      <c r="C643" s="328" t="s">
        <v>2312</v>
      </c>
      <c r="D643" s="326" t="s">
        <v>2313</v>
      </c>
      <c r="E643" s="322">
        <v>0.81</v>
      </c>
      <c r="F643" s="317" t="s">
        <v>2314</v>
      </c>
      <c r="G643" s="317"/>
      <c r="H643" s="1802"/>
      <c r="I643" s="1802"/>
      <c r="J643" s="1803"/>
    </row>
    <row r="644" spans="1:10" ht="15.75" customHeight="1">
      <c r="A644" s="1780"/>
      <c r="B644" s="1753">
        <f t="shared" si="2"/>
        <v>7</v>
      </c>
      <c r="C644" s="328" t="s">
        <v>2315</v>
      </c>
      <c r="D644" s="326" t="s">
        <v>2316</v>
      </c>
      <c r="E644" s="322">
        <v>1.05</v>
      </c>
      <c r="F644" s="317"/>
      <c r="G644" s="317"/>
      <c r="H644" s="1802"/>
      <c r="I644" s="1802"/>
      <c r="J644" s="1803"/>
    </row>
    <row r="645" spans="1:10" ht="15.75" customHeight="1">
      <c r="A645" s="1780"/>
      <c r="B645" s="1753">
        <f t="shared" si="2"/>
        <v>8</v>
      </c>
      <c r="C645" s="328" t="s">
        <v>2317</v>
      </c>
      <c r="D645" s="326" t="s">
        <v>2318</v>
      </c>
      <c r="E645" s="322">
        <v>0.2</v>
      </c>
      <c r="F645" s="317" t="s">
        <v>117</v>
      </c>
      <c r="G645" s="317"/>
      <c r="H645" s="1802"/>
      <c r="I645" s="1802"/>
      <c r="J645" s="1803"/>
    </row>
    <row r="646" spans="1:10" ht="15.75" customHeight="1">
      <c r="A646" s="1780"/>
      <c r="B646" s="1753">
        <f t="shared" si="2"/>
        <v>9</v>
      </c>
      <c r="C646" s="328" t="s">
        <v>2319</v>
      </c>
      <c r="D646" s="326" t="s">
        <v>2320</v>
      </c>
      <c r="E646" s="322">
        <v>300</v>
      </c>
      <c r="F646" s="317" t="s">
        <v>117</v>
      </c>
      <c r="G646" s="317"/>
      <c r="H646" s="1802"/>
      <c r="I646" s="1802"/>
      <c r="J646" s="1803"/>
    </row>
    <row r="647" spans="1:10" ht="15.75" customHeight="1">
      <c r="A647" s="1780"/>
      <c r="B647" s="1884" t="s">
        <v>2321</v>
      </c>
      <c r="C647" s="316" t="s">
        <v>2322</v>
      </c>
      <c r="D647" s="1755"/>
      <c r="E647" s="1755"/>
      <c r="F647" s="1755"/>
      <c r="G647" s="1755"/>
      <c r="H647" s="1802"/>
      <c r="I647" s="1802"/>
      <c r="J647" s="1803"/>
    </row>
    <row r="648" spans="1:10" ht="15.75" customHeight="1">
      <c r="A648" s="1780"/>
      <c r="B648" s="1753">
        <v>1</v>
      </c>
      <c r="C648" s="328" t="s">
        <v>2323</v>
      </c>
      <c r="D648" s="1755"/>
      <c r="E648" s="1755"/>
      <c r="F648" s="1755"/>
      <c r="G648" s="1755"/>
      <c r="H648" s="1802"/>
      <c r="I648" s="1802"/>
      <c r="J648" s="1803"/>
    </row>
    <row r="649" spans="1:10" ht="15.75" customHeight="1">
      <c r="A649" s="1780"/>
      <c r="B649" s="1753">
        <f>B648+1</f>
        <v>2</v>
      </c>
      <c r="C649" s="328" t="s">
        <v>2324</v>
      </c>
      <c r="D649" s="1755"/>
      <c r="E649" s="1755"/>
      <c r="F649" s="1755"/>
      <c r="G649" s="1755"/>
      <c r="H649" s="1802"/>
      <c r="I649" s="1802"/>
      <c r="J649" s="1803"/>
    </row>
    <row r="650" spans="1:10" ht="27.75" customHeight="1">
      <c r="A650" s="1780"/>
      <c r="B650" s="1753">
        <f>B649+1</f>
        <v>3</v>
      </c>
      <c r="C650" s="886" t="s">
        <v>2325</v>
      </c>
      <c r="D650" s="1755"/>
      <c r="E650" s="1755"/>
      <c r="F650" s="1755"/>
      <c r="G650" s="1755"/>
      <c r="H650" s="1802"/>
      <c r="I650" s="1802"/>
      <c r="J650" s="1803"/>
    </row>
    <row r="651" spans="1:10" ht="15.75" customHeight="1">
      <c r="A651" s="1780"/>
      <c r="B651" s="1753" t="s">
        <v>2326</v>
      </c>
      <c r="C651" s="316" t="s">
        <v>2327</v>
      </c>
      <c r="D651" s="1755"/>
      <c r="E651" s="1755"/>
      <c r="F651" s="1755"/>
      <c r="G651" s="1755"/>
      <c r="H651" s="1802"/>
      <c r="I651" s="1802"/>
      <c r="J651" s="1803"/>
    </row>
    <row r="652" spans="1:10" ht="15.75" customHeight="1">
      <c r="A652" s="1780"/>
      <c r="B652" s="1753">
        <v>1</v>
      </c>
      <c r="C652" s="328" t="s">
        <v>2328</v>
      </c>
      <c r="D652" s="1755"/>
      <c r="E652" s="1477">
        <f>1*(E644/E643)</f>
        <v>1.2962962962962963</v>
      </c>
      <c r="F652" s="317" t="s">
        <v>103</v>
      </c>
      <c r="G652" s="1755"/>
      <c r="H652" s="1802"/>
      <c r="I652" s="1802"/>
      <c r="J652" s="1803"/>
    </row>
    <row r="653" spans="1:10" ht="15.75" customHeight="1">
      <c r="A653" s="1780"/>
      <c r="B653" s="1753">
        <f>B652+1</f>
        <v>2</v>
      </c>
      <c r="C653" s="328" t="s">
        <v>2246</v>
      </c>
      <c r="D653" s="1755"/>
      <c r="E653" s="1755"/>
      <c r="F653" s="1755"/>
      <c r="G653" s="1755"/>
      <c r="H653" s="1802"/>
      <c r="I653" s="1802"/>
      <c r="J653" s="1803"/>
    </row>
    <row r="654" spans="1:10" ht="15.75" customHeight="1">
      <c r="A654" s="1780"/>
      <c r="B654" s="1753" t="s">
        <v>2329</v>
      </c>
      <c r="C654" s="316" t="s">
        <v>2330</v>
      </c>
      <c r="D654" s="1755"/>
      <c r="E654" s="1755"/>
      <c r="F654" s="1755"/>
      <c r="G654" s="1755"/>
      <c r="H654" s="1802"/>
      <c r="I654" s="1802"/>
      <c r="J654" s="1803"/>
    </row>
    <row r="655" spans="1:10" ht="15.75" customHeight="1">
      <c r="A655" s="1780"/>
      <c r="B655" s="1753"/>
      <c r="C655" s="328" t="s">
        <v>2331</v>
      </c>
      <c r="D655" s="326" t="s">
        <v>2332</v>
      </c>
      <c r="E655" s="322">
        <v>15</v>
      </c>
      <c r="F655" s="317" t="s">
        <v>10</v>
      </c>
      <c r="G655" s="317" t="s">
        <v>2333</v>
      </c>
      <c r="H655" s="1802"/>
      <c r="I655" s="1802"/>
      <c r="J655" s="1803"/>
    </row>
    <row r="656" spans="1:10" ht="15.75" customHeight="1">
      <c r="A656" s="1780"/>
      <c r="B656" s="1753"/>
      <c r="C656" s="328" t="s">
        <v>2334</v>
      </c>
      <c r="D656" s="326" t="s">
        <v>2335</v>
      </c>
      <c r="E656" s="322">
        <v>3.5</v>
      </c>
      <c r="F656" s="317" t="s">
        <v>10</v>
      </c>
      <c r="G656" s="317"/>
      <c r="H656" s="1802"/>
      <c r="I656" s="1802"/>
      <c r="J656" s="1803"/>
    </row>
    <row r="657" spans="1:12" ht="15.75" customHeight="1">
      <c r="A657" s="1780"/>
      <c r="B657" s="1753"/>
      <c r="C657" s="328" t="s">
        <v>2336</v>
      </c>
      <c r="D657" s="326" t="s">
        <v>98</v>
      </c>
      <c r="E657" s="322">
        <v>2.6</v>
      </c>
      <c r="F657" s="317" t="s">
        <v>10</v>
      </c>
      <c r="G657" s="317"/>
      <c r="H657" s="1802"/>
      <c r="I657" s="1802"/>
      <c r="J657" s="1803"/>
    </row>
    <row r="658" spans="1:12" ht="15.75" customHeight="1">
      <c r="A658" s="1780"/>
      <c r="B658" s="1753"/>
      <c r="C658" s="328" t="s">
        <v>2337</v>
      </c>
      <c r="D658" s="326" t="s">
        <v>2338</v>
      </c>
      <c r="E658" s="322">
        <v>0.3</v>
      </c>
      <c r="F658" s="317" t="s">
        <v>10</v>
      </c>
      <c r="G658" s="317"/>
      <c r="H658" s="1802"/>
      <c r="I658" s="1802"/>
      <c r="J658" s="1803"/>
    </row>
    <row r="659" spans="1:12" ht="15.75" customHeight="1">
      <c r="A659" s="1780"/>
      <c r="B659" s="1753"/>
      <c r="C659" s="328" t="s">
        <v>2339</v>
      </c>
      <c r="D659" s="326" t="s">
        <v>2340</v>
      </c>
      <c r="E659" s="322">
        <v>0.83</v>
      </c>
      <c r="F659" s="317"/>
      <c r="G659" s="317"/>
      <c r="H659" s="1802"/>
      <c r="I659" s="1802"/>
      <c r="J659" s="1803"/>
    </row>
    <row r="660" spans="1:12" ht="15.75" customHeight="1">
      <c r="A660" s="1780"/>
      <c r="B660" s="1753"/>
      <c r="C660" s="328" t="s">
        <v>2341</v>
      </c>
      <c r="D660" s="326" t="s">
        <v>2342</v>
      </c>
      <c r="E660" s="322">
        <v>4</v>
      </c>
      <c r="F660" s="317" t="s">
        <v>2343</v>
      </c>
      <c r="G660" s="317"/>
      <c r="H660" s="1802"/>
      <c r="I660" s="1802"/>
      <c r="J660" s="1803"/>
    </row>
    <row r="661" spans="1:12" ht="15.75" customHeight="1">
      <c r="A661" s="1780"/>
      <c r="B661" s="1753"/>
      <c r="C661" s="328" t="s">
        <v>2344</v>
      </c>
      <c r="D661" s="326" t="s">
        <v>2345</v>
      </c>
      <c r="E661" s="322">
        <v>6</v>
      </c>
      <c r="F661" s="317" t="s">
        <v>2346</v>
      </c>
      <c r="G661" s="317"/>
      <c r="H661" s="1802"/>
      <c r="I661" s="1802"/>
      <c r="J661" s="1803"/>
    </row>
    <row r="662" spans="1:12" ht="15.75" customHeight="1">
      <c r="A662" s="1780"/>
      <c r="B662" s="1753"/>
      <c r="C662" s="328" t="s">
        <v>2347</v>
      </c>
      <c r="D662" s="326" t="s">
        <v>1312</v>
      </c>
      <c r="E662" s="322">
        <f>ROUNDUP((E656/(E657-E658)),0.5)</f>
        <v>2</v>
      </c>
      <c r="F662" s="317" t="s">
        <v>2187</v>
      </c>
      <c r="G662" s="317"/>
      <c r="H662" s="1802"/>
      <c r="I662" s="1802"/>
      <c r="J662" s="1803"/>
    </row>
    <row r="663" spans="1:12" ht="15.75" customHeight="1">
      <c r="A663" s="1780"/>
      <c r="B663" s="1753"/>
      <c r="C663" s="328" t="s">
        <v>2348</v>
      </c>
      <c r="D663" s="326"/>
      <c r="E663" s="322"/>
      <c r="F663" s="317"/>
      <c r="G663" s="317"/>
      <c r="H663" s="1802"/>
      <c r="I663" s="1802"/>
      <c r="J663" s="1803"/>
    </row>
    <row r="664" spans="1:12" ht="15.75" customHeight="1">
      <c r="A664" s="1780"/>
      <c r="B664" s="1909"/>
      <c r="C664" s="328" t="s">
        <v>2349</v>
      </c>
      <c r="D664" s="326" t="s">
        <v>2350</v>
      </c>
      <c r="E664" s="322">
        <f>E655/(E660*1000)*60</f>
        <v>0.22499999999999998</v>
      </c>
      <c r="F664" s="317" t="s">
        <v>2203</v>
      </c>
      <c r="G664" s="317"/>
      <c r="H664" s="1802"/>
      <c r="I664" s="1802"/>
      <c r="J664" s="1803"/>
    </row>
    <row r="665" spans="1:12" ht="15.75" customHeight="1">
      <c r="A665" s="1780"/>
      <c r="B665" s="1909"/>
      <c r="C665" s="328" t="s">
        <v>2351</v>
      </c>
      <c r="D665" s="326" t="s">
        <v>2352</v>
      </c>
      <c r="E665" s="912">
        <v>1</v>
      </c>
      <c r="F665" s="317" t="s">
        <v>2203</v>
      </c>
      <c r="G665" s="317"/>
      <c r="H665" s="1802"/>
      <c r="I665" s="1802"/>
      <c r="J665" s="1803"/>
    </row>
    <row r="666" spans="1:12" ht="15.75" customHeight="1">
      <c r="A666" s="1780"/>
      <c r="B666" s="1909"/>
      <c r="C666" s="328"/>
      <c r="D666" s="326" t="s">
        <v>2353</v>
      </c>
      <c r="E666" s="321">
        <f>SUM(E664:E665)</f>
        <v>1.2250000000000001</v>
      </c>
      <c r="F666" s="317" t="s">
        <v>2203</v>
      </c>
      <c r="G666" s="317"/>
      <c r="H666" s="1802"/>
      <c r="I666" s="1802"/>
      <c r="J666" s="1803"/>
    </row>
    <row r="667" spans="1:12" ht="15.75" customHeight="1">
      <c r="A667" s="1780"/>
      <c r="B667" s="1909"/>
      <c r="C667" s="328" t="s">
        <v>2354</v>
      </c>
      <c r="D667" s="326" t="s">
        <v>2355</v>
      </c>
      <c r="E667" s="321">
        <f>E646/(E660*(1000/60))</f>
        <v>4.5</v>
      </c>
      <c r="F667" s="317" t="s">
        <v>2203</v>
      </c>
      <c r="G667" s="317"/>
      <c r="H667" s="1802"/>
      <c r="I667" s="1802"/>
      <c r="J667" s="1803"/>
    </row>
    <row r="668" spans="1:12" ht="15.75" customHeight="1">
      <c r="A668" s="1780"/>
      <c r="B668" s="1909"/>
      <c r="C668" s="328" t="s">
        <v>2356</v>
      </c>
      <c r="D668" s="326"/>
      <c r="E668" s="321"/>
      <c r="F668" s="317"/>
      <c r="G668" s="317"/>
      <c r="H668" s="1802"/>
      <c r="I668" s="1802"/>
      <c r="J668" s="1803"/>
    </row>
    <row r="669" spans="1:12" ht="15.75" customHeight="1">
      <c r="A669" s="1780"/>
      <c r="B669" s="1909"/>
      <c r="C669" s="328" t="s">
        <v>2357</v>
      </c>
      <c r="D669" s="326"/>
      <c r="E669" s="321"/>
      <c r="F669" s="317"/>
      <c r="G669" s="317"/>
      <c r="H669" s="1802"/>
      <c r="I669" s="1802"/>
      <c r="J669" s="1803"/>
    </row>
    <row r="670" spans="1:12" ht="15.75" customHeight="1">
      <c r="A670" s="1780"/>
      <c r="B670" s="1909"/>
      <c r="C670" s="328" t="s">
        <v>2358</v>
      </c>
      <c r="D670" s="326" t="s">
        <v>2359</v>
      </c>
      <c r="E670" s="321">
        <f>(E655*((E661/(E657-E658)+E658)*E659*60))/(E662*E661*(E666+E667))</f>
        <v>31.627302069489268</v>
      </c>
      <c r="F670" s="317" t="s">
        <v>89</v>
      </c>
      <c r="G670" s="459"/>
      <c r="H670" s="1927"/>
      <c r="I670" s="1802"/>
      <c r="J670" s="1803"/>
      <c r="L670" s="1928">
        <f>G670*H669</f>
        <v>0</v>
      </c>
    </row>
    <row r="671" spans="1:12" ht="15.75" customHeight="1">
      <c r="A671" s="1780"/>
      <c r="B671" s="1909"/>
      <c r="C671" s="328" t="s">
        <v>2360</v>
      </c>
      <c r="D671" s="326"/>
      <c r="E671" s="321"/>
      <c r="F671" s="317"/>
      <c r="G671" s="459"/>
      <c r="H671" s="1802"/>
      <c r="I671" s="1802"/>
      <c r="J671" s="1803"/>
      <c r="L671" s="1928"/>
    </row>
    <row r="672" spans="1:12" ht="15.75" customHeight="1">
      <c r="A672" s="1780"/>
      <c r="B672" s="1909"/>
      <c r="C672" s="316" t="s">
        <v>2361</v>
      </c>
      <c r="D672" s="326"/>
      <c r="E672" s="1929">
        <f>1/E670</f>
        <v>3.1618251781415654E-2</v>
      </c>
      <c r="F672" s="317" t="s">
        <v>1340</v>
      </c>
      <c r="G672" s="317"/>
      <c r="H672" s="1802"/>
      <c r="I672" s="1802"/>
      <c r="J672" s="1803"/>
    </row>
    <row r="673" spans="1:10" ht="15.75" customHeight="1">
      <c r="A673" s="1780"/>
      <c r="B673" s="1753" t="s">
        <v>2362</v>
      </c>
      <c r="C673" s="316" t="s">
        <v>2363</v>
      </c>
      <c r="D673" s="326"/>
      <c r="E673" s="322"/>
      <c r="F673" s="317"/>
      <c r="G673" s="317"/>
      <c r="H673" s="1802"/>
      <c r="I673" s="1802"/>
      <c r="J673" s="1803"/>
    </row>
    <row r="674" spans="1:10" ht="15.75" customHeight="1">
      <c r="A674" s="1780"/>
      <c r="B674" s="1909"/>
      <c r="C674" s="328" t="s">
        <v>2341</v>
      </c>
      <c r="D674" s="326" t="s">
        <v>2342</v>
      </c>
      <c r="E674" s="322">
        <v>4</v>
      </c>
      <c r="F674" s="317" t="s">
        <v>2343</v>
      </c>
      <c r="G674" s="459"/>
      <c r="H674" s="1802"/>
      <c r="I674" s="1802"/>
      <c r="J674" s="1803"/>
    </row>
    <row r="675" spans="1:10" ht="15.75" customHeight="1">
      <c r="A675" s="1780"/>
      <c r="B675" s="1909"/>
      <c r="C675" s="328" t="s">
        <v>2334</v>
      </c>
      <c r="D675" s="326" t="s">
        <v>2335</v>
      </c>
      <c r="E675" s="322">
        <v>3.5</v>
      </c>
      <c r="F675" s="317" t="s">
        <v>10</v>
      </c>
      <c r="G675" s="459"/>
      <c r="H675" s="1802"/>
      <c r="I675" s="1802"/>
      <c r="J675" s="1803"/>
    </row>
    <row r="676" spans="1:10" ht="15.75" customHeight="1">
      <c r="A676" s="1780"/>
      <c r="B676" s="1909"/>
      <c r="C676" s="328" t="s">
        <v>2364</v>
      </c>
      <c r="D676" s="326" t="s">
        <v>98</v>
      </c>
      <c r="E676" s="322">
        <v>1.68</v>
      </c>
      <c r="F676" s="317" t="s">
        <v>10</v>
      </c>
      <c r="G676" s="322"/>
      <c r="H676" s="1802"/>
      <c r="I676" s="1802"/>
      <c r="J676" s="1803"/>
    </row>
    <row r="677" spans="1:10" ht="15.75" customHeight="1">
      <c r="A677" s="1780"/>
      <c r="B677" s="1909"/>
      <c r="C677" s="328" t="s">
        <v>2344</v>
      </c>
      <c r="D677" s="326" t="s">
        <v>2345</v>
      </c>
      <c r="E677" s="322">
        <v>6</v>
      </c>
      <c r="F677" s="317" t="s">
        <v>2346</v>
      </c>
      <c r="G677" s="322"/>
      <c r="H677" s="1802"/>
      <c r="I677" s="1802"/>
      <c r="J677" s="1803"/>
    </row>
    <row r="678" spans="1:10" ht="15.75" customHeight="1">
      <c r="A678" s="1780"/>
      <c r="B678" s="1909"/>
      <c r="C678" s="328" t="s">
        <v>2337</v>
      </c>
      <c r="D678" s="326" t="s">
        <v>2338</v>
      </c>
      <c r="E678" s="322">
        <v>0.2</v>
      </c>
      <c r="F678" s="317" t="s">
        <v>10</v>
      </c>
      <c r="G678" s="459"/>
      <c r="H678" s="1802"/>
      <c r="I678" s="1802"/>
      <c r="J678" s="1803"/>
    </row>
    <row r="679" spans="1:10" ht="15.75" customHeight="1">
      <c r="A679" s="1780"/>
      <c r="B679" s="1909"/>
      <c r="C679" s="328" t="s">
        <v>2347</v>
      </c>
      <c r="D679" s="326" t="s">
        <v>1312</v>
      </c>
      <c r="E679" s="322">
        <v>2</v>
      </c>
      <c r="F679" s="317"/>
      <c r="G679" s="317"/>
      <c r="H679" s="1802"/>
      <c r="I679" s="1802"/>
      <c r="J679" s="1803"/>
    </row>
    <row r="680" spans="1:10" ht="15.75" customHeight="1">
      <c r="A680" s="1780"/>
      <c r="B680" s="1909"/>
      <c r="C680" s="328" t="s">
        <v>2339</v>
      </c>
      <c r="D680" s="326" t="s">
        <v>2340</v>
      </c>
      <c r="E680" s="322">
        <v>0.83</v>
      </c>
      <c r="F680" s="317"/>
      <c r="G680" s="317"/>
      <c r="H680" s="1802"/>
      <c r="I680" s="1802"/>
      <c r="J680" s="1803"/>
    </row>
    <row r="681" spans="1:10" ht="15.75" customHeight="1">
      <c r="A681" s="1780"/>
      <c r="B681" s="1909"/>
      <c r="C681" s="328" t="s">
        <v>2365</v>
      </c>
      <c r="D681" s="326"/>
      <c r="E681" s="322"/>
      <c r="F681" s="317"/>
      <c r="G681" s="317"/>
      <c r="H681" s="1802"/>
      <c r="I681" s="1802"/>
      <c r="J681" s="1803"/>
    </row>
    <row r="682" spans="1:10" ht="15.75" customHeight="1">
      <c r="A682" s="1780"/>
      <c r="B682" s="1909"/>
      <c r="C682" s="1930" t="s">
        <v>2366</v>
      </c>
      <c r="D682" s="326" t="s">
        <v>2367</v>
      </c>
      <c r="E682" s="322">
        <f>(E646/(E660*1000/60))*E655*E656</f>
        <v>236.25</v>
      </c>
      <c r="F682" s="317" t="s">
        <v>1340</v>
      </c>
      <c r="G682" s="317"/>
      <c r="H682" s="1802"/>
      <c r="I682" s="1802"/>
      <c r="J682" s="1803"/>
    </row>
    <row r="683" spans="1:10" ht="15.75" customHeight="1">
      <c r="A683" s="1780"/>
      <c r="B683" s="1909"/>
      <c r="C683" s="328" t="s">
        <v>2357</v>
      </c>
      <c r="D683" s="326"/>
      <c r="E683" s="322"/>
      <c r="F683" s="317"/>
      <c r="G683" s="322"/>
      <c r="H683" s="1802"/>
      <c r="I683" s="1802"/>
      <c r="J683" s="1803"/>
    </row>
    <row r="684" spans="1:10" ht="15.75" customHeight="1">
      <c r="A684" s="1780"/>
      <c r="B684" s="1909"/>
      <c r="C684" s="328" t="s">
        <v>2368</v>
      </c>
      <c r="D684" s="326" t="s">
        <v>2369</v>
      </c>
      <c r="E684" s="322">
        <f>((E$674*1000)*((E$679/((E$676-E$678)+E$678))*E$680))/E$677-E$682</f>
        <v>422.48015873015868</v>
      </c>
      <c r="F684" s="317" t="s">
        <v>2370</v>
      </c>
      <c r="G684" s="322"/>
      <c r="H684" s="1802"/>
      <c r="I684" s="1802"/>
      <c r="J684" s="1803"/>
    </row>
    <row r="685" spans="1:10" ht="15.75" customHeight="1">
      <c r="A685" s="1780"/>
      <c r="B685" s="1909"/>
      <c r="C685" s="316" t="s">
        <v>2371</v>
      </c>
      <c r="D685" s="326"/>
      <c r="E685" s="1929">
        <f>1/E684</f>
        <v>2.3669750622270233E-3</v>
      </c>
      <c r="F685" s="317"/>
      <c r="G685" s="322"/>
      <c r="H685" s="1802"/>
      <c r="I685" s="1802"/>
      <c r="J685" s="1803"/>
    </row>
    <row r="686" spans="1:10" ht="15.75" customHeight="1">
      <c r="A686" s="1780"/>
      <c r="B686" s="1884">
        <v>3</v>
      </c>
      <c r="C686" s="316" t="s">
        <v>2372</v>
      </c>
      <c r="D686" s="326"/>
      <c r="E686" s="322"/>
      <c r="F686" s="317"/>
      <c r="G686" s="322"/>
      <c r="H686" s="1802"/>
      <c r="I686" s="1802"/>
      <c r="J686" s="1803"/>
    </row>
    <row r="687" spans="1:10" ht="15.75" customHeight="1">
      <c r="A687" s="1780"/>
      <c r="B687" s="1884"/>
      <c r="C687" s="328" t="s">
        <v>2373</v>
      </c>
      <c r="D687" s="326" t="s">
        <v>2369</v>
      </c>
      <c r="E687" s="322">
        <f>E684</f>
        <v>422.48015873015868</v>
      </c>
      <c r="F687" s="317" t="s">
        <v>2374</v>
      </c>
      <c r="G687" s="1755"/>
      <c r="H687" s="1802"/>
      <c r="I687" s="1802"/>
      <c r="J687" s="1803"/>
    </row>
    <row r="688" spans="1:10" ht="15.75" customHeight="1">
      <c r="A688" s="1780"/>
      <c r="B688" s="1884"/>
      <c r="C688" s="328" t="s">
        <v>2375</v>
      </c>
      <c r="D688" s="326" t="s">
        <v>2376</v>
      </c>
      <c r="E688" s="322">
        <f>E641*E687</f>
        <v>2957.3611111111109</v>
      </c>
      <c r="F688" s="317" t="s">
        <v>89</v>
      </c>
      <c r="G688" s="1755"/>
      <c r="H688" s="1802"/>
      <c r="I688" s="1802"/>
      <c r="J688" s="1803"/>
    </row>
    <row r="689" spans="1:10" ht="15.75" customHeight="1">
      <c r="A689" s="1780"/>
      <c r="B689" s="1884"/>
      <c r="C689" s="328" t="s">
        <v>2377</v>
      </c>
      <c r="D689" s="326"/>
      <c r="E689" s="322"/>
      <c r="F689" s="317"/>
      <c r="G689" s="1755"/>
      <c r="H689" s="1802"/>
      <c r="I689" s="1802"/>
      <c r="J689" s="1803"/>
    </row>
    <row r="690" spans="1:10" ht="15.75" customHeight="1">
      <c r="A690" s="1780"/>
      <c r="B690" s="1884"/>
      <c r="C690" s="328" t="s">
        <v>2378</v>
      </c>
      <c r="D690" s="326" t="s">
        <v>2379</v>
      </c>
      <c r="E690" s="322">
        <v>10</v>
      </c>
      <c r="F690" s="317" t="s">
        <v>2380</v>
      </c>
      <c r="G690" s="1755"/>
      <c r="H690" s="1802"/>
      <c r="I690" s="1802"/>
      <c r="J690" s="1803"/>
    </row>
    <row r="691" spans="1:10" ht="15.75" customHeight="1">
      <c r="A691" s="1780"/>
      <c r="B691" s="1884"/>
      <c r="C691" s="328" t="s">
        <v>2381</v>
      </c>
      <c r="D691" s="326" t="s">
        <v>2382</v>
      </c>
      <c r="E691" s="322">
        <v>1</v>
      </c>
      <c r="F691" s="317" t="s">
        <v>2380</v>
      </c>
      <c r="G691" s="1755"/>
      <c r="H691" s="1802"/>
      <c r="I691" s="1802"/>
      <c r="J691" s="1803"/>
    </row>
    <row r="692" spans="1:10" ht="15.75" customHeight="1">
      <c r="A692" s="1780"/>
      <c r="B692" s="1909"/>
      <c r="C692" s="316" t="s">
        <v>2383</v>
      </c>
      <c r="D692" s="326"/>
      <c r="E692" s="322"/>
      <c r="F692" s="317"/>
      <c r="G692" s="1755"/>
      <c r="H692" s="1802"/>
      <c r="I692" s="1802"/>
      <c r="J692" s="1803"/>
    </row>
    <row r="693" spans="1:10" ht="15.75" customHeight="1">
      <c r="A693" s="1780"/>
      <c r="B693" s="1909"/>
      <c r="C693" s="316" t="s">
        <v>2384</v>
      </c>
      <c r="D693" s="326"/>
      <c r="E693" s="1929">
        <f>(E641*E690)/E688</f>
        <v>2.3669750622270232E-2</v>
      </c>
      <c r="F693" s="317" t="s">
        <v>2385</v>
      </c>
      <c r="G693" s="1755"/>
      <c r="H693" s="1802"/>
      <c r="I693" s="1802"/>
      <c r="J693" s="1803"/>
    </row>
    <row r="694" spans="1:10" ht="15.75" customHeight="1">
      <c r="A694" s="1780"/>
      <c r="B694" s="1909"/>
      <c r="C694" s="316" t="s">
        <v>2386</v>
      </c>
      <c r="D694" s="326"/>
      <c r="E694" s="1929">
        <f>(E641*E691)/E688</f>
        <v>2.3669750622270233E-3</v>
      </c>
      <c r="F694" s="317" t="s">
        <v>2385</v>
      </c>
      <c r="G694" s="1755"/>
      <c r="H694" s="1802"/>
      <c r="I694" s="1802"/>
      <c r="J694" s="1803"/>
    </row>
    <row r="695" spans="1:10" ht="15.75" customHeight="1">
      <c r="A695" s="1780"/>
      <c r="B695" s="1909"/>
      <c r="C695" s="316"/>
      <c r="D695" s="1755"/>
      <c r="E695" s="322"/>
      <c r="F695" s="1755"/>
      <c r="G695" s="1755"/>
      <c r="H695" s="1802"/>
      <c r="I695" s="1802"/>
      <c r="J695" s="1803"/>
    </row>
    <row r="696" spans="1:10" ht="15.75" customHeight="1">
      <c r="A696" s="1780"/>
      <c r="B696" s="1884" t="s">
        <v>1004</v>
      </c>
      <c r="C696" s="316" t="s">
        <v>2075</v>
      </c>
      <c r="D696" s="1756"/>
      <c r="E696" s="324"/>
      <c r="F696" s="317"/>
      <c r="G696" s="317"/>
      <c r="H696" s="1802"/>
      <c r="I696" s="1802"/>
      <c r="J696" s="1803"/>
    </row>
    <row r="697" spans="1:10" ht="15.75" customHeight="1">
      <c r="A697" s="1780"/>
      <c r="B697" s="1784"/>
      <c r="C697" s="328" t="s">
        <v>2297</v>
      </c>
      <c r="D697" s="1781">
        <f>E652</f>
        <v>1.2962962962962963</v>
      </c>
      <c r="E697" s="326" t="s">
        <v>103</v>
      </c>
      <c r="F697" s="1747"/>
      <c r="G697" s="1794">
        <f>F697*D697</f>
        <v>0</v>
      </c>
      <c r="H697" s="1749">
        <v>1</v>
      </c>
      <c r="I697" s="1752">
        <f>(G697/G$707)*H697</f>
        <v>0</v>
      </c>
      <c r="J697" s="1750"/>
    </row>
    <row r="698" spans="1:10" ht="15.75" customHeight="1">
      <c r="A698" s="1780"/>
      <c r="B698" s="1784"/>
      <c r="C698" s="1753" t="s">
        <v>2074</v>
      </c>
      <c r="D698" s="1781"/>
      <c r="E698" s="413"/>
      <c r="F698" s="320"/>
      <c r="G698" s="361">
        <f>SUM(G697:G697)</f>
        <v>0</v>
      </c>
      <c r="H698" s="1749"/>
      <c r="I698" s="1754">
        <f>SUM(I697:I697)</f>
        <v>0</v>
      </c>
      <c r="J698" s="1750"/>
    </row>
    <row r="699" spans="1:10" ht="15.75" customHeight="1">
      <c r="A699" s="1780"/>
      <c r="B699" s="1739" t="s">
        <v>1015</v>
      </c>
      <c r="C699" s="1755" t="s">
        <v>2067</v>
      </c>
      <c r="D699" s="1781"/>
      <c r="E699" s="413"/>
      <c r="F699" s="320"/>
      <c r="G699" s="320"/>
      <c r="H699" s="1749"/>
      <c r="I699" s="1749"/>
      <c r="J699" s="1750"/>
    </row>
    <row r="700" spans="1:10" ht="15.75" customHeight="1">
      <c r="A700" s="1780"/>
      <c r="B700" s="1784"/>
      <c r="C700" s="317" t="s">
        <v>2103</v>
      </c>
      <c r="D700" s="1781">
        <f>E693</f>
        <v>2.3669750622270232E-2</v>
      </c>
      <c r="E700" s="413" t="s">
        <v>2385</v>
      </c>
      <c r="F700" s="1747">
        <f>'Bahan &amp; Upah'!C336/7</f>
        <v>13761.807142857142</v>
      </c>
      <c r="G700" s="332">
        <f>F700*D700</f>
        <v>325.73854318320576</v>
      </c>
      <c r="H700" s="1749">
        <v>1</v>
      </c>
      <c r="I700" s="1749">
        <f>(G700/G$707)*H700</f>
        <v>1.1137378265779816E-2</v>
      </c>
      <c r="J700" s="1750"/>
    </row>
    <row r="701" spans="1:10" ht="15.75" customHeight="1">
      <c r="A701" s="1780"/>
      <c r="B701" s="1784"/>
      <c r="C701" s="317" t="s">
        <v>2107</v>
      </c>
      <c r="D701" s="1781">
        <f>E694</f>
        <v>2.3669750622270233E-3</v>
      </c>
      <c r="E701" s="413" t="s">
        <v>2385</v>
      </c>
      <c r="F701" s="1747">
        <f>'Bahan &amp; Upah'!C339/7</f>
        <v>14669.982857142857</v>
      </c>
      <c r="G701" s="1785">
        <f>F701*D701</f>
        <v>34.723483586155076</v>
      </c>
      <c r="H701" s="1749">
        <v>1</v>
      </c>
      <c r="I701" s="1752">
        <f>(G701/G$707)*H701</f>
        <v>1.1872361422918787E-3</v>
      </c>
      <c r="J701" s="1750"/>
    </row>
    <row r="702" spans="1:10" ht="15.75" customHeight="1">
      <c r="A702" s="1780"/>
      <c r="B702" s="1784"/>
      <c r="C702" s="1753" t="s">
        <v>2108</v>
      </c>
      <c r="D702" s="1781"/>
      <c r="E702" s="413"/>
      <c r="F702" s="320"/>
      <c r="G702" s="361">
        <f>SUM(G700:G701)</f>
        <v>360.46202676936082</v>
      </c>
      <c r="H702" s="1749"/>
      <c r="I702" s="1754">
        <f>SUM(I700:I701)</f>
        <v>1.2324614408071696E-2</v>
      </c>
      <c r="J702" s="1750"/>
    </row>
    <row r="703" spans="1:10" ht="15.75" customHeight="1">
      <c r="A703" s="1780"/>
      <c r="B703" s="1739" t="s">
        <v>1048</v>
      </c>
      <c r="C703" s="1755" t="s">
        <v>2109</v>
      </c>
      <c r="D703" s="1781"/>
      <c r="E703" s="413"/>
      <c r="F703" s="320"/>
      <c r="G703" s="320"/>
      <c r="H703" s="1749"/>
      <c r="I703" s="1749"/>
      <c r="J703" s="1750"/>
    </row>
    <row r="704" spans="1:10" ht="27.75" customHeight="1">
      <c r="A704" s="1780"/>
      <c r="B704" s="1739"/>
      <c r="C704" s="2" t="s">
        <v>2387</v>
      </c>
      <c r="D704" s="1781">
        <f>E672</f>
        <v>3.1618251781415654E-2</v>
      </c>
      <c r="E704" s="413" t="s">
        <v>1340</v>
      </c>
      <c r="F704" s="1747">
        <f>'Bahan &amp; Upah'!C209</f>
        <v>970073.21</v>
      </c>
      <c r="G704" s="325">
        <f>F704*D704</f>
        <v>30672.019000186101</v>
      </c>
      <c r="H704" s="1793">
        <v>1</v>
      </c>
      <c r="I704" s="1793">
        <f>(G704/G$707)*H704</f>
        <v>1.0487118731544403</v>
      </c>
      <c r="J704" s="1750"/>
    </row>
    <row r="705" spans="1:10" ht="15.75" customHeight="1">
      <c r="A705" s="1780"/>
      <c r="B705" s="1739"/>
      <c r="C705" s="317" t="s">
        <v>2388</v>
      </c>
      <c r="D705" s="1781">
        <f>E685</f>
        <v>2.3669750622270233E-3</v>
      </c>
      <c r="E705" s="413" t="s">
        <v>1340</v>
      </c>
      <c r="F705" s="1747">
        <f>'Bahan &amp; Upah'!C213</f>
        <v>-754192.19</v>
      </c>
      <c r="G705" s="1794">
        <f>F705*D705</f>
        <v>-1785.1541058563848</v>
      </c>
      <c r="H705" s="1793">
        <v>1</v>
      </c>
      <c r="I705" s="1795">
        <f>(G705/G$707)*H705</f>
        <v>-6.1036487562511954E-2</v>
      </c>
      <c r="J705" s="1750"/>
    </row>
    <row r="706" spans="1:10" ht="15.75" customHeight="1">
      <c r="A706" s="1780"/>
      <c r="B706" s="1784"/>
      <c r="C706" s="1753" t="s">
        <v>2110</v>
      </c>
      <c r="D706" s="1781"/>
      <c r="E706" s="413"/>
      <c r="F706" s="320"/>
      <c r="G706" s="361">
        <f>SUM(G704:G705)</f>
        <v>28886.864894329716</v>
      </c>
      <c r="H706" s="1749"/>
      <c r="I706" s="1754">
        <f>SUM(I704:I705)</f>
        <v>0.98767538559192825</v>
      </c>
      <c r="J706" s="1750"/>
    </row>
    <row r="707" spans="1:10" ht="15.75" customHeight="1">
      <c r="A707" s="1780"/>
      <c r="B707" s="1739" t="s">
        <v>979</v>
      </c>
      <c r="C707" s="1804" t="s">
        <v>2129</v>
      </c>
      <c r="D707" s="1763"/>
      <c r="E707" s="1764"/>
      <c r="F707" s="1765"/>
      <c r="G707" s="1765">
        <f>G698+G702+G706</f>
        <v>29247.326921099077</v>
      </c>
      <c r="H707" s="1749"/>
      <c r="I707" s="1766">
        <f>I698+I702+I706</f>
        <v>0.99999999999999989</v>
      </c>
      <c r="J707" s="1750"/>
    </row>
    <row r="708" spans="1:10" ht="15.75" customHeight="1">
      <c r="A708" s="1780"/>
      <c r="B708" s="1739" t="s">
        <v>2093</v>
      </c>
      <c r="C708" s="1762" t="s">
        <v>2094</v>
      </c>
      <c r="D708" s="1767">
        <f>M$4</f>
        <v>0.15</v>
      </c>
      <c r="E708" s="1764"/>
      <c r="F708" s="1765"/>
      <c r="G708" s="1765">
        <f>G707*D708</f>
        <v>4387.0990381648617</v>
      </c>
      <c r="H708" s="1749"/>
      <c r="I708" s="1749"/>
      <c r="J708" s="1750"/>
    </row>
    <row r="709" spans="1:10" ht="15.75" customHeight="1">
      <c r="A709" s="1780"/>
      <c r="B709" s="1739" t="s">
        <v>2095</v>
      </c>
      <c r="C709" s="1857" t="s">
        <v>2389</v>
      </c>
      <c r="D709" s="1858"/>
      <c r="E709" s="1859"/>
      <c r="F709" s="1860"/>
      <c r="G709" s="1931">
        <f>ROUNDUP((G707+G708),2)</f>
        <v>33634.43</v>
      </c>
      <c r="H709" s="1749"/>
      <c r="I709" s="1749"/>
      <c r="J709" s="1750"/>
    </row>
    <row r="710" spans="1:10" ht="15.75" customHeight="1">
      <c r="A710" s="1863"/>
      <c r="B710" s="1787" t="s">
        <v>2390</v>
      </c>
      <c r="C710" s="1932" t="s">
        <v>2391</v>
      </c>
      <c r="D710" s="1933"/>
      <c r="E710" s="1934"/>
      <c r="F710" s="1935"/>
      <c r="G710" s="1936">
        <f>G709*5</f>
        <v>168172.15</v>
      </c>
      <c r="H710" s="1937"/>
      <c r="I710" s="1937"/>
      <c r="J710" s="1938"/>
    </row>
    <row r="711" spans="1:10" ht="15.7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</row>
    <row r="712" spans="1:10" ht="30" customHeight="1">
      <c r="A712" s="1778">
        <f>A636+1</f>
        <v>25</v>
      </c>
      <c r="B712" s="1779" t="s">
        <v>2392</v>
      </c>
      <c r="C712" s="3278" t="s">
        <v>2393</v>
      </c>
      <c r="D712" s="3278"/>
      <c r="E712" s="3278"/>
      <c r="F712" s="3278"/>
      <c r="G712" s="3278"/>
      <c r="H712" s="3278"/>
      <c r="I712" s="3278"/>
      <c r="J712" s="1801"/>
    </row>
    <row r="713" spans="1:10" ht="15.75" customHeight="1">
      <c r="A713" s="1780"/>
      <c r="B713" s="1739" t="s">
        <v>1004</v>
      </c>
      <c r="C713" s="1877" t="s">
        <v>2067</v>
      </c>
      <c r="D713" s="390"/>
      <c r="E713" s="413"/>
      <c r="F713" s="320"/>
      <c r="G713" s="320"/>
      <c r="H713" s="1802"/>
      <c r="I713" s="1802"/>
      <c r="J713" s="1803"/>
    </row>
    <row r="714" spans="1:10" ht="15.75" customHeight="1">
      <c r="A714" s="1780"/>
      <c r="B714" s="1739"/>
      <c r="C714" s="1878" t="s">
        <v>2103</v>
      </c>
      <c r="D714" s="1781">
        <v>0.3</v>
      </c>
      <c r="E714" s="413" t="s">
        <v>2069</v>
      </c>
      <c r="F714" s="1747">
        <f>'Bahan &amp; Upah'!C$336</f>
        <v>96332.65</v>
      </c>
      <c r="G714" s="361">
        <f>F714*D714</f>
        <v>28899.794999999998</v>
      </c>
      <c r="H714" s="1749">
        <v>1</v>
      </c>
      <c r="I714" s="1749">
        <f>(G714/G$720)*H714</f>
        <v>6.9915137942219915E-2</v>
      </c>
      <c r="J714" s="1750"/>
    </row>
    <row r="715" spans="1:10" ht="15.75" customHeight="1">
      <c r="A715" s="1780"/>
      <c r="B715" s="1739"/>
      <c r="C715" s="1878" t="s">
        <v>2107</v>
      </c>
      <c r="D715" s="1781">
        <v>1.4999999999999999E-2</v>
      </c>
      <c r="E715" s="413" t="s">
        <v>2069</v>
      </c>
      <c r="F715" s="1751">
        <f>'Bahan &amp; Upah'!C$339</f>
        <v>102689.88</v>
      </c>
      <c r="G715" s="1785">
        <f>F715*D715</f>
        <v>1540.3481999999999</v>
      </c>
      <c r="H715" s="1749">
        <v>1</v>
      </c>
      <c r="I715" s="1752">
        <f>(G715/G$720)*H715</f>
        <v>3.7264505468654762E-3</v>
      </c>
      <c r="J715" s="1750"/>
    </row>
    <row r="716" spans="1:10" ht="15.75" customHeight="1">
      <c r="A716" s="1780"/>
      <c r="B716" s="1739"/>
      <c r="C716" s="1889" t="s">
        <v>2108</v>
      </c>
      <c r="D716" s="1781"/>
      <c r="E716" s="413"/>
      <c r="F716" s="320"/>
      <c r="G716" s="361">
        <f>SUM(G714:G715)</f>
        <v>30440.143199999999</v>
      </c>
      <c r="H716" s="1749"/>
      <c r="I716" s="1913">
        <f>SUM(I714:I715)</f>
        <v>7.3641588489085391E-2</v>
      </c>
      <c r="J716" s="1750"/>
    </row>
    <row r="717" spans="1:10" ht="15.75" customHeight="1">
      <c r="A717" s="1780"/>
      <c r="B717" s="1739" t="s">
        <v>1015</v>
      </c>
      <c r="C717" s="1877" t="s">
        <v>2075</v>
      </c>
      <c r="D717" s="1781"/>
      <c r="E717" s="1914"/>
      <c r="F717" s="320"/>
      <c r="G717" s="320"/>
      <c r="H717" s="1749"/>
      <c r="I717" s="1754"/>
      <c r="J717" s="1750"/>
    </row>
    <row r="718" spans="1:10" ht="15.75" customHeight="1">
      <c r="A718" s="1780"/>
      <c r="B718" s="1739"/>
      <c r="C718" s="1878" t="s">
        <v>2394</v>
      </c>
      <c r="D718" s="1781">
        <v>1.2</v>
      </c>
      <c r="E718" s="413" t="s">
        <v>103</v>
      </c>
      <c r="F718" s="1883">
        <f>'Bahan &amp; Upah'!C$13</f>
        <v>319095.99</v>
      </c>
      <c r="G718" s="1785">
        <f>F718*D718</f>
        <v>382915.18799999997</v>
      </c>
      <c r="H718" s="1749">
        <v>1</v>
      </c>
      <c r="I718" s="1752">
        <f>(G718/G$720)*H718</f>
        <v>0.92635841151091458</v>
      </c>
      <c r="J718" s="1750"/>
    </row>
    <row r="719" spans="1:10" ht="15.75" customHeight="1">
      <c r="A719" s="1780"/>
      <c r="B719" s="1784"/>
      <c r="C719" s="1753" t="s">
        <v>2091</v>
      </c>
      <c r="D719" s="1781"/>
      <c r="E719" s="413"/>
      <c r="F719" s="320"/>
      <c r="G719" s="361">
        <f>SUM(G718:G718)</f>
        <v>382915.18799999997</v>
      </c>
      <c r="H719" s="1749"/>
      <c r="I719" s="1754">
        <f>SUM(I718)</f>
        <v>0.92635841151091458</v>
      </c>
      <c r="J719" s="1750"/>
    </row>
    <row r="720" spans="1:10" ht="15.75" customHeight="1">
      <c r="A720" s="1780"/>
      <c r="B720" s="1784"/>
      <c r="C720" s="1804" t="s">
        <v>2298</v>
      </c>
      <c r="D720" s="1763"/>
      <c r="E720" s="1764"/>
      <c r="F720" s="1765"/>
      <c r="G720" s="1765">
        <f>G716+G719</f>
        <v>413355.33119999996</v>
      </c>
      <c r="H720" s="1749"/>
      <c r="I720" s="1915">
        <f>I716+I719</f>
        <v>1</v>
      </c>
      <c r="J720" s="1750"/>
    </row>
    <row r="721" spans="1:10" ht="15.75" customHeight="1">
      <c r="A721" s="1780"/>
      <c r="B721" s="1784"/>
      <c r="C721" s="1762" t="s">
        <v>2094</v>
      </c>
      <c r="D721" s="1767">
        <f>M$4</f>
        <v>0.15</v>
      </c>
      <c r="E721" s="1764"/>
      <c r="F721" s="1765"/>
      <c r="G721" s="1765">
        <f>G720*D721</f>
        <v>62003.299679999989</v>
      </c>
      <c r="H721" s="1749"/>
      <c r="I721" s="1754"/>
      <c r="J721" s="1750"/>
    </row>
    <row r="722" spans="1:10" ht="15.75" customHeight="1">
      <c r="A722" s="1786"/>
      <c r="B722" s="1890"/>
      <c r="C722" s="1788" t="s">
        <v>2111</v>
      </c>
      <c r="D722" s="1772"/>
      <c r="E722" s="1773"/>
      <c r="F722" s="1774"/>
      <c r="G722" s="1775">
        <f>ROUNDUP((G720+G721),2)</f>
        <v>475358.64</v>
      </c>
      <c r="H722" s="1776"/>
      <c r="I722" s="1776"/>
      <c r="J722" s="1789"/>
    </row>
    <row r="723" spans="1:10" ht="15.7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</row>
    <row r="724" spans="1:10" ht="15.75" customHeight="1">
      <c r="A724" s="1778">
        <f>A712+1</f>
        <v>26</v>
      </c>
      <c r="B724" s="1779" t="s">
        <v>2395</v>
      </c>
      <c r="C724" s="1872" t="s">
        <v>2396</v>
      </c>
      <c r="D724" s="1911"/>
      <c r="E724" s="1911"/>
      <c r="F724" s="1911"/>
      <c r="G724" s="1911"/>
      <c r="H724" s="1911"/>
      <c r="I724" s="1912"/>
      <c r="J724" s="1801"/>
    </row>
    <row r="725" spans="1:10" ht="15.75" customHeight="1">
      <c r="A725" s="1780"/>
      <c r="B725" s="1739" t="s">
        <v>1004</v>
      </c>
      <c r="C725" s="1877" t="s">
        <v>2067</v>
      </c>
      <c r="D725" s="390"/>
      <c r="E725" s="413"/>
      <c r="F725" s="320"/>
      <c r="G725" s="320"/>
      <c r="H725" s="1802"/>
      <c r="I725" s="1802"/>
      <c r="J725" s="1803"/>
    </row>
    <row r="726" spans="1:10" ht="15.75" customHeight="1">
      <c r="A726" s="1780"/>
      <c r="B726" s="1739"/>
      <c r="C726" s="1878" t="s">
        <v>2103</v>
      </c>
      <c r="D726" s="1781">
        <v>0.3</v>
      </c>
      <c r="E726" s="413" t="s">
        <v>2069</v>
      </c>
      <c r="F726" s="1747">
        <f>'Bahan &amp; Upah'!C$336</f>
        <v>96332.65</v>
      </c>
      <c r="G726" s="361">
        <f>F726*D726</f>
        <v>28899.794999999998</v>
      </c>
      <c r="H726" s="1749">
        <v>1</v>
      </c>
      <c r="I726" s="1749">
        <f>(G726/G$732)*H726</f>
        <v>6.548227739862203E-2</v>
      </c>
      <c r="J726" s="1750"/>
    </row>
    <row r="727" spans="1:10" ht="15.75" customHeight="1">
      <c r="A727" s="1780"/>
      <c r="B727" s="1739"/>
      <c r="C727" s="1878" t="s">
        <v>2107</v>
      </c>
      <c r="D727" s="1781">
        <v>1.4999999999999999E-2</v>
      </c>
      <c r="E727" s="413" t="s">
        <v>2069</v>
      </c>
      <c r="F727" s="1751">
        <f>'Bahan &amp; Upah'!C$339</f>
        <v>102689.88</v>
      </c>
      <c r="G727" s="1785">
        <f>F727*D727</f>
        <v>1540.3481999999999</v>
      </c>
      <c r="H727" s="1749">
        <v>1</v>
      </c>
      <c r="I727" s="1752">
        <f>(G727/G$732)*H727</f>
        <v>3.4901807477481458E-3</v>
      </c>
      <c r="J727" s="1750"/>
    </row>
    <row r="728" spans="1:10" ht="15.75" customHeight="1">
      <c r="A728" s="1780"/>
      <c r="B728" s="1739"/>
      <c r="C728" s="1889" t="s">
        <v>2108</v>
      </c>
      <c r="D728" s="1781"/>
      <c r="E728" s="413"/>
      <c r="F728" s="320"/>
      <c r="G728" s="361">
        <f>SUM(G726:G727)</f>
        <v>30440.143199999999</v>
      </c>
      <c r="H728" s="1749"/>
      <c r="I728" s="1913">
        <f>SUM(I726:I727)</f>
        <v>6.897245814637018E-2</v>
      </c>
      <c r="J728" s="1750"/>
    </row>
    <row r="729" spans="1:10" ht="15.75" customHeight="1">
      <c r="A729" s="1780"/>
      <c r="B729" s="1739" t="s">
        <v>1015</v>
      </c>
      <c r="C729" s="1877" t="s">
        <v>2075</v>
      </c>
      <c r="D729" s="1781"/>
      <c r="E729" s="1914"/>
      <c r="F729" s="320"/>
      <c r="G729" s="320"/>
      <c r="H729" s="1749"/>
      <c r="I729" s="1754"/>
      <c r="J729" s="1750"/>
    </row>
    <row r="730" spans="1:10" ht="15.75" customHeight="1">
      <c r="A730" s="1780"/>
      <c r="B730" s="1739"/>
      <c r="C730" s="1878" t="s">
        <v>2397</v>
      </c>
      <c r="D730" s="1781">
        <v>1.1299999999999999</v>
      </c>
      <c r="E730" s="413" t="s">
        <v>103</v>
      </c>
      <c r="F730" s="1883">
        <f>'Bahan &amp; Upah'!C$17</f>
        <v>363626.12</v>
      </c>
      <c r="G730" s="1785">
        <f>F730*D730</f>
        <v>410897.51559999998</v>
      </c>
      <c r="H730" s="1749">
        <v>1</v>
      </c>
      <c r="I730" s="1749">
        <f>(G730/G$732)*H730</f>
        <v>0.93102754185362979</v>
      </c>
      <c r="J730" s="1750"/>
    </row>
    <row r="731" spans="1:10" ht="15.75" customHeight="1">
      <c r="A731" s="1780"/>
      <c r="B731" s="1784"/>
      <c r="C731" s="1753" t="s">
        <v>2091</v>
      </c>
      <c r="D731" s="1781"/>
      <c r="E731" s="413"/>
      <c r="F731" s="320"/>
      <c r="G731" s="361">
        <f>SUM(G730:G730)</f>
        <v>410897.51559999998</v>
      </c>
      <c r="H731" s="1749"/>
      <c r="I731" s="1754">
        <f>SUM(I730)</f>
        <v>0.93102754185362979</v>
      </c>
      <c r="J731" s="1750"/>
    </row>
    <row r="732" spans="1:10" ht="15.75" customHeight="1">
      <c r="A732" s="1780"/>
      <c r="B732" s="1784"/>
      <c r="C732" s="1804" t="s">
        <v>2298</v>
      </c>
      <c r="D732" s="1763"/>
      <c r="E732" s="1764"/>
      <c r="F732" s="1765"/>
      <c r="G732" s="1765">
        <f>G728+G731</f>
        <v>441337.65879999998</v>
      </c>
      <c r="H732" s="1749"/>
      <c r="I732" s="1915">
        <f>I728+I731</f>
        <v>1</v>
      </c>
      <c r="J732" s="1750"/>
    </row>
    <row r="733" spans="1:10" ht="15.75" customHeight="1">
      <c r="A733" s="1780"/>
      <c r="B733" s="1784"/>
      <c r="C733" s="1762" t="s">
        <v>2094</v>
      </c>
      <c r="D733" s="1767">
        <f>M$4</f>
        <v>0.15</v>
      </c>
      <c r="E733" s="1764"/>
      <c r="F733" s="1765"/>
      <c r="G733" s="1765">
        <f>G732*D733</f>
        <v>66200.648819999988</v>
      </c>
      <c r="H733" s="1749"/>
      <c r="I733" s="1754"/>
      <c r="J733" s="1750"/>
    </row>
    <row r="734" spans="1:10" ht="15.75" customHeight="1">
      <c r="A734" s="1786"/>
      <c r="B734" s="1890"/>
      <c r="C734" s="1788" t="s">
        <v>2111</v>
      </c>
      <c r="D734" s="1772"/>
      <c r="E734" s="1773"/>
      <c r="F734" s="1774"/>
      <c r="G734" s="1775">
        <f>ROUNDUP((G732+G733),2)</f>
        <v>507538.31</v>
      </c>
      <c r="H734" s="1776"/>
      <c r="I734" s="1776"/>
      <c r="J734" s="1789"/>
    </row>
    <row r="735" spans="1:10" ht="15.75" customHeight="1">
      <c r="A735" s="1733"/>
      <c r="B735" s="1733"/>
      <c r="C735" s="1733"/>
      <c r="D735" s="1733"/>
      <c r="E735" s="1733"/>
      <c r="F735" s="1733"/>
      <c r="G735" s="1733"/>
      <c r="H735" s="28"/>
      <c r="I735" s="1733"/>
      <c r="J735" s="1733"/>
    </row>
    <row r="736" spans="1:10" ht="15.75" customHeight="1">
      <c r="A736" s="1778">
        <f>A724+1</f>
        <v>27</v>
      </c>
      <c r="B736" s="1779" t="s">
        <v>2395</v>
      </c>
      <c r="C736" s="1872" t="s">
        <v>2398</v>
      </c>
      <c r="D736" s="1911"/>
      <c r="E736" s="1911"/>
      <c r="F736" s="1911"/>
      <c r="G736" s="1911"/>
      <c r="H736" s="1911"/>
      <c r="I736" s="1912"/>
      <c r="J736" s="1801"/>
    </row>
    <row r="737" spans="1:10" ht="15.75" customHeight="1">
      <c r="A737" s="1780"/>
      <c r="B737" s="1739" t="s">
        <v>1004</v>
      </c>
      <c r="C737" s="1877" t="s">
        <v>2067</v>
      </c>
      <c r="D737" s="390"/>
      <c r="E737" s="413"/>
      <c r="F737" s="320"/>
      <c r="G737" s="320"/>
      <c r="H737" s="1802"/>
      <c r="I737" s="1802"/>
      <c r="J737" s="1803"/>
    </row>
    <row r="738" spans="1:10" ht="15.75" customHeight="1">
      <c r="A738" s="1780"/>
      <c r="B738" s="1739"/>
      <c r="C738" s="1878" t="s">
        <v>2103</v>
      </c>
      <c r="D738" s="1781">
        <v>0.3</v>
      </c>
      <c r="E738" s="413" t="s">
        <v>2069</v>
      </c>
      <c r="F738" s="1747">
        <f>'Bahan &amp; Upah'!C$336</f>
        <v>96332.65</v>
      </c>
      <c r="G738" s="361">
        <f>F738*D738</f>
        <v>28899.794999999998</v>
      </c>
      <c r="H738" s="1749">
        <v>1</v>
      </c>
      <c r="I738" s="1749">
        <f>(G738/G$744)*H738</f>
        <v>7.5750870145605498E-2</v>
      </c>
      <c r="J738" s="1750"/>
    </row>
    <row r="739" spans="1:10" ht="15.75" customHeight="1">
      <c r="A739" s="1780"/>
      <c r="B739" s="1739"/>
      <c r="C739" s="1878" t="s">
        <v>2107</v>
      </c>
      <c r="D739" s="1781">
        <v>1.4999999999999999E-2</v>
      </c>
      <c r="E739" s="413" t="s">
        <v>2069</v>
      </c>
      <c r="F739" s="1751">
        <f>'Bahan &amp; Upah'!C$339</f>
        <v>102689.88</v>
      </c>
      <c r="G739" s="1785">
        <f>F739*D739</f>
        <v>1540.3481999999999</v>
      </c>
      <c r="H739" s="1749">
        <v>1</v>
      </c>
      <c r="I739" s="1752">
        <f>(G739/G$744)*H739</f>
        <v>4.0374928776213525E-3</v>
      </c>
      <c r="J739" s="1750"/>
    </row>
    <row r="740" spans="1:10" ht="15.75" customHeight="1">
      <c r="A740" s="1780"/>
      <c r="B740" s="1739"/>
      <c r="C740" s="1889" t="s">
        <v>2108</v>
      </c>
      <c r="D740" s="1781"/>
      <c r="E740" s="413"/>
      <c r="F740" s="320"/>
      <c r="G740" s="361">
        <f>SUM(G738:G739)</f>
        <v>30440.143199999999</v>
      </c>
      <c r="H740" s="1749"/>
      <c r="I740" s="1913">
        <f>SUM(I738:I739)</f>
        <v>7.9788363023226852E-2</v>
      </c>
      <c r="J740" s="1750"/>
    </row>
    <row r="741" spans="1:10" ht="15.75" customHeight="1">
      <c r="A741" s="1780"/>
      <c r="B741" s="1739" t="s">
        <v>1015</v>
      </c>
      <c r="C741" s="1877" t="s">
        <v>2075</v>
      </c>
      <c r="D741" s="1781"/>
      <c r="E741" s="1914"/>
      <c r="F741" s="320"/>
      <c r="G741" s="320"/>
      <c r="H741" s="1749"/>
      <c r="I741" s="1754"/>
      <c r="J741" s="1750"/>
    </row>
    <row r="742" spans="1:10" ht="15.75" customHeight="1">
      <c r="A742" s="1780"/>
      <c r="B742" s="1739"/>
      <c r="C742" s="1878" t="s">
        <v>2399</v>
      </c>
      <c r="D742" s="1781">
        <v>1.1299999999999999</v>
      </c>
      <c r="E742" s="413" t="s">
        <v>103</v>
      </c>
      <c r="F742" s="1883">
        <f>'Bahan &amp; Upah'!C14</f>
        <v>310682.23</v>
      </c>
      <c r="G742" s="1785">
        <f>F742*D742</f>
        <v>351070.91989999992</v>
      </c>
      <c r="H742" s="1749">
        <v>1</v>
      </c>
      <c r="I742" s="1752">
        <f>(G742/G$744)*H742</f>
        <v>0.92021163697677322</v>
      </c>
      <c r="J742" s="1750"/>
    </row>
    <row r="743" spans="1:10" ht="15.75" customHeight="1">
      <c r="A743" s="1780"/>
      <c r="B743" s="1784"/>
      <c r="C743" s="1753" t="s">
        <v>2091</v>
      </c>
      <c r="D743" s="1781"/>
      <c r="E743" s="413"/>
      <c r="F743" s="320"/>
      <c r="G743" s="361">
        <f>SUM(G742:G742)</f>
        <v>351070.91989999992</v>
      </c>
      <c r="H743" s="1749"/>
      <c r="I743" s="1754">
        <f>SUM(I742)</f>
        <v>0.92021163697677322</v>
      </c>
      <c r="J743" s="1750"/>
    </row>
    <row r="744" spans="1:10" ht="15.75" customHeight="1">
      <c r="A744" s="1780"/>
      <c r="B744" s="1784"/>
      <c r="C744" s="1804" t="s">
        <v>2298</v>
      </c>
      <c r="D744" s="1763"/>
      <c r="E744" s="1764"/>
      <c r="F744" s="1765"/>
      <c r="G744" s="1765">
        <f>G740+G743</f>
        <v>381511.06309999991</v>
      </c>
      <c r="H744" s="1749"/>
      <c r="I744" s="1915">
        <f>I740+I743</f>
        <v>1</v>
      </c>
      <c r="J744" s="1750"/>
    </row>
    <row r="745" spans="1:10" ht="15.75" customHeight="1">
      <c r="A745" s="1780"/>
      <c r="B745" s="1784"/>
      <c r="C745" s="1762" t="s">
        <v>2094</v>
      </c>
      <c r="D745" s="1767">
        <f>M$4</f>
        <v>0.15</v>
      </c>
      <c r="E745" s="1764"/>
      <c r="F745" s="1765"/>
      <c r="G745" s="1765">
        <f>G744*D745</f>
        <v>57226.659464999982</v>
      </c>
      <c r="H745" s="1749"/>
      <c r="I745" s="1754"/>
      <c r="J745" s="1750"/>
    </row>
    <row r="746" spans="1:10" ht="15.75" customHeight="1">
      <c r="A746" s="1786"/>
      <c r="B746" s="1890"/>
      <c r="C746" s="1788" t="s">
        <v>2111</v>
      </c>
      <c r="D746" s="1772"/>
      <c r="E746" s="1773"/>
      <c r="F746" s="1774"/>
      <c r="G746" s="1775">
        <f>ROUNDUP((G744+G745),2)</f>
        <v>438737.73</v>
      </c>
      <c r="H746" s="1776"/>
      <c r="I746" s="1776"/>
      <c r="J746" s="1789"/>
    </row>
    <row r="747" spans="1:10" ht="15.75" customHeight="1">
      <c r="A747" s="1733"/>
      <c r="B747" s="1733"/>
      <c r="C747" s="1733"/>
      <c r="D747" s="1733"/>
      <c r="E747" s="1733"/>
      <c r="F747" s="1733"/>
      <c r="G747" s="1733"/>
      <c r="H747" s="28"/>
      <c r="I747" s="1733"/>
      <c r="J747" s="1733"/>
    </row>
    <row r="748" spans="1:10" ht="15.75" customHeight="1">
      <c r="A748" s="1778">
        <f>A736+1</f>
        <v>28</v>
      </c>
      <c r="B748" s="1779" t="s">
        <v>2395</v>
      </c>
      <c r="C748" s="1872" t="s">
        <v>2400</v>
      </c>
      <c r="D748" s="1911"/>
      <c r="E748" s="1911"/>
      <c r="F748" s="1911"/>
      <c r="G748" s="1911"/>
      <c r="H748" s="1911"/>
      <c r="I748" s="1912"/>
      <c r="J748" s="1801"/>
    </row>
    <row r="749" spans="1:10" ht="15.75" customHeight="1">
      <c r="A749" s="1780"/>
      <c r="B749" s="1739" t="s">
        <v>1004</v>
      </c>
      <c r="C749" s="1877" t="s">
        <v>2067</v>
      </c>
      <c r="D749" s="390"/>
      <c r="E749" s="413"/>
      <c r="F749" s="320"/>
      <c r="G749" s="320"/>
      <c r="H749" s="1802"/>
      <c r="I749" s="1802"/>
      <c r="J749" s="1803"/>
    </row>
    <row r="750" spans="1:10" ht="15.75" customHeight="1">
      <c r="A750" s="1780"/>
      <c r="B750" s="1739"/>
      <c r="C750" s="1878" t="s">
        <v>2103</v>
      </c>
      <c r="D750" s="1781">
        <v>0.3</v>
      </c>
      <c r="E750" s="413" t="s">
        <v>2069</v>
      </c>
      <c r="F750" s="1747">
        <f>'Bahan &amp; Upah'!C$336</f>
        <v>96332.65</v>
      </c>
      <c r="G750" s="361">
        <f>F750*D750</f>
        <v>28899.794999999998</v>
      </c>
      <c r="H750" s="1749">
        <v>1</v>
      </c>
      <c r="I750" s="1749">
        <f>(G750/G$756)*H750</f>
        <v>4.0174984886484001E-2</v>
      </c>
      <c r="J750" s="1750"/>
    </row>
    <row r="751" spans="1:10" ht="15.75" customHeight="1">
      <c r="A751" s="1780"/>
      <c r="B751" s="1739"/>
      <c r="C751" s="1878" t="s">
        <v>2107</v>
      </c>
      <c r="D751" s="1781">
        <v>1.4999999999999999E-2</v>
      </c>
      <c r="E751" s="413" t="s">
        <v>2069</v>
      </c>
      <c r="F751" s="1751">
        <f>'Bahan &amp; Upah'!C$339</f>
        <v>102689.88</v>
      </c>
      <c r="G751" s="1785">
        <f>F751*D751</f>
        <v>1540.3481999999999</v>
      </c>
      <c r="H751" s="1749">
        <v>1</v>
      </c>
      <c r="I751" s="1752">
        <f>(G751/G$756)*H751</f>
        <v>2.141311578678078E-3</v>
      </c>
      <c r="J751" s="1750"/>
    </row>
    <row r="752" spans="1:10" ht="15.75" customHeight="1">
      <c r="A752" s="1780"/>
      <c r="B752" s="1739"/>
      <c r="C752" s="1889" t="s">
        <v>2108</v>
      </c>
      <c r="D752" s="1781"/>
      <c r="E752" s="413"/>
      <c r="F752" s="320"/>
      <c r="G752" s="361">
        <f>SUM(G750:G751)</f>
        <v>30440.143199999999</v>
      </c>
      <c r="H752" s="1749"/>
      <c r="I752" s="1913">
        <f>SUM(I750:I751)</f>
        <v>4.2316296465162079E-2</v>
      </c>
      <c r="J752" s="1750"/>
    </row>
    <row r="753" spans="1:10" ht="15.75" customHeight="1">
      <c r="A753" s="1780"/>
      <c r="B753" s="1739" t="s">
        <v>1015</v>
      </c>
      <c r="C753" s="1877" t="s">
        <v>2075</v>
      </c>
      <c r="D753" s="1781"/>
      <c r="E753" s="1914"/>
      <c r="F753" s="320"/>
      <c r="G753" s="320"/>
      <c r="H753" s="1749"/>
      <c r="I753" s="1754"/>
      <c r="J753" s="1750"/>
    </row>
    <row r="754" spans="1:10" ht="15.75" customHeight="1">
      <c r="A754" s="1780"/>
      <c r="B754" s="1739"/>
      <c r="C754" s="1878" t="s">
        <v>2401</v>
      </c>
      <c r="D754" s="1781">
        <v>1.1299999999999999</v>
      </c>
      <c r="E754" s="413" t="s">
        <v>103</v>
      </c>
      <c r="F754" s="1883">
        <f>'Bahan &amp; Upah'!C19</f>
        <v>609652.97</v>
      </c>
      <c r="G754" s="1785">
        <f>F754*D754</f>
        <v>688907.85609999986</v>
      </c>
      <c r="H754" s="1749">
        <v>1</v>
      </c>
      <c r="I754" s="1752">
        <f>(G754/G$756)*H754</f>
        <v>0.95768370353483789</v>
      </c>
      <c r="J754" s="1750"/>
    </row>
    <row r="755" spans="1:10" ht="15.75" customHeight="1">
      <c r="A755" s="1780"/>
      <c r="B755" s="1784"/>
      <c r="C755" s="1753" t="s">
        <v>2091</v>
      </c>
      <c r="D755" s="1781"/>
      <c r="E755" s="413"/>
      <c r="F755" s="320"/>
      <c r="G755" s="361">
        <f>SUM(G754:G754)</f>
        <v>688907.85609999986</v>
      </c>
      <c r="H755" s="1749"/>
      <c r="I755" s="1754">
        <f>SUM(I754)</f>
        <v>0.95768370353483789</v>
      </c>
      <c r="J755" s="1750"/>
    </row>
    <row r="756" spans="1:10" ht="15.75" customHeight="1">
      <c r="A756" s="1780"/>
      <c r="B756" s="1784"/>
      <c r="C756" s="1804" t="s">
        <v>2298</v>
      </c>
      <c r="D756" s="1763"/>
      <c r="E756" s="1764"/>
      <c r="F756" s="1765"/>
      <c r="G756" s="1765">
        <f>G752+G755</f>
        <v>719347.99929999991</v>
      </c>
      <c r="H756" s="1749"/>
      <c r="I756" s="1915">
        <f>I752+I755</f>
        <v>1</v>
      </c>
      <c r="J756" s="1750"/>
    </row>
    <row r="757" spans="1:10" ht="15.75" customHeight="1">
      <c r="A757" s="1780"/>
      <c r="B757" s="1784"/>
      <c r="C757" s="1762" t="s">
        <v>2094</v>
      </c>
      <c r="D757" s="1767">
        <f>M$4</f>
        <v>0.15</v>
      </c>
      <c r="E757" s="1764"/>
      <c r="F757" s="1765"/>
      <c r="G757" s="1765">
        <f>G756*D757</f>
        <v>107902.19989499998</v>
      </c>
      <c r="H757" s="1749"/>
      <c r="I757" s="1754"/>
      <c r="J757" s="1750"/>
    </row>
    <row r="758" spans="1:10" ht="15.75" customHeight="1">
      <c r="A758" s="1786"/>
      <c r="B758" s="1890"/>
      <c r="C758" s="1788" t="s">
        <v>2111</v>
      </c>
      <c r="D758" s="1772"/>
      <c r="E758" s="1773"/>
      <c r="F758" s="1774"/>
      <c r="G758" s="1775">
        <f>ROUNDUP((G756+G757),2)</f>
        <v>827250.2</v>
      </c>
      <c r="H758" s="1776"/>
      <c r="I758" s="1776"/>
      <c r="J758" s="1789"/>
    </row>
    <row r="759" spans="1:10" ht="15.75" customHeight="1">
      <c r="A759" s="1733"/>
      <c r="B759" s="1733"/>
      <c r="C759" s="1733"/>
      <c r="D759" s="1733"/>
      <c r="E759" s="1733"/>
      <c r="F759" s="1733"/>
      <c r="G759" s="1733"/>
      <c r="H759" s="28"/>
      <c r="I759" s="1733"/>
      <c r="J759" s="1733"/>
    </row>
    <row r="760" spans="1:10" ht="15.75" customHeight="1">
      <c r="A760" s="1778">
        <f>A748+1</f>
        <v>29</v>
      </c>
      <c r="B760" s="1779" t="s">
        <v>2402</v>
      </c>
      <c r="C760" s="1939" t="s">
        <v>2403</v>
      </c>
      <c r="D760" s="1873"/>
      <c r="E760" s="1874"/>
      <c r="F760" s="1875"/>
      <c r="G760" s="1940"/>
      <c r="H760" s="1911"/>
      <c r="I760" s="1912"/>
      <c r="J760" s="1801"/>
    </row>
    <row r="761" spans="1:10" ht="15.75" customHeight="1">
      <c r="A761" s="1780"/>
      <c r="B761" s="1739" t="s">
        <v>1004</v>
      </c>
      <c r="C761" s="1877" t="s">
        <v>2067</v>
      </c>
      <c r="D761" s="390"/>
      <c r="E761" s="413"/>
      <c r="F761" s="320"/>
      <c r="G761" s="380"/>
      <c r="H761" s="1941"/>
      <c r="I761" s="1802"/>
      <c r="J761" s="1803"/>
    </row>
    <row r="762" spans="1:10" ht="15.75" customHeight="1">
      <c r="A762" s="1780"/>
      <c r="B762" s="1739"/>
      <c r="C762" s="1878" t="s">
        <v>2103</v>
      </c>
      <c r="D762" s="1841">
        <v>0.3</v>
      </c>
      <c r="E762" s="413" t="s">
        <v>2069</v>
      </c>
      <c r="F762" s="1747">
        <f>'Bahan &amp; Upah'!C$336</f>
        <v>96332.65</v>
      </c>
      <c r="G762" s="345">
        <f>F762*D762</f>
        <v>28899.794999999998</v>
      </c>
      <c r="H762" s="1942">
        <v>1</v>
      </c>
      <c r="I762" s="1749">
        <f>(G762/G$768)*H762</f>
        <v>7.1370740926318607E-2</v>
      </c>
      <c r="J762" s="1750"/>
    </row>
    <row r="763" spans="1:10" ht="15.75" customHeight="1">
      <c r="A763" s="1780"/>
      <c r="B763" s="1739"/>
      <c r="C763" s="1878" t="s">
        <v>2107</v>
      </c>
      <c r="D763" s="1841">
        <v>1.4999999999999999E-2</v>
      </c>
      <c r="E763" s="413" t="s">
        <v>2069</v>
      </c>
      <c r="F763" s="1751">
        <f>'Bahan &amp; Upah'!C$339</f>
        <v>102689.88</v>
      </c>
      <c r="G763" s="1794">
        <f>F763*D763</f>
        <v>1540.3481999999999</v>
      </c>
      <c r="H763" s="1942">
        <v>1</v>
      </c>
      <c r="I763" s="1752">
        <f>(G763/G$768)*H763</f>
        <v>3.8040336382497248E-3</v>
      </c>
      <c r="J763" s="1750"/>
    </row>
    <row r="764" spans="1:10" ht="15.75" customHeight="1">
      <c r="A764" s="1780"/>
      <c r="B764" s="1739"/>
      <c r="C764" s="1889" t="s">
        <v>2108</v>
      </c>
      <c r="D764" s="1841"/>
      <c r="E764" s="413"/>
      <c r="F764" s="320"/>
      <c r="G764" s="345">
        <f>SUM(G762:G763)</f>
        <v>30440.143199999999</v>
      </c>
      <c r="H764" s="1942"/>
      <c r="I764" s="1913">
        <f>SUM(I762:I763)</f>
        <v>7.5174774564568336E-2</v>
      </c>
      <c r="J764" s="1750"/>
    </row>
    <row r="765" spans="1:10" ht="15.75" customHeight="1">
      <c r="A765" s="1780"/>
      <c r="B765" s="1739" t="s">
        <v>1015</v>
      </c>
      <c r="C765" s="1877" t="s">
        <v>2075</v>
      </c>
      <c r="D765" s="1841"/>
      <c r="E765" s="1832"/>
      <c r="F765" s="320"/>
      <c r="G765" s="380"/>
      <c r="H765" s="1942"/>
      <c r="I765" s="1754"/>
      <c r="J765" s="1750"/>
    </row>
    <row r="766" spans="1:10" ht="15.75" customHeight="1">
      <c r="A766" s="1780"/>
      <c r="B766" s="1739"/>
      <c r="C766" s="1878" t="s">
        <v>2404</v>
      </c>
      <c r="D766" s="1841">
        <f>(2.5*5)*1.13</f>
        <v>14.124999999999998</v>
      </c>
      <c r="E766" s="413" t="s">
        <v>2405</v>
      </c>
      <c r="F766" s="1883">
        <f>'Bahan &amp; Upah'!C$25</f>
        <v>26512.2</v>
      </c>
      <c r="G766" s="1794">
        <f>F766*D766</f>
        <v>374484.82499999995</v>
      </c>
      <c r="H766" s="1942">
        <v>1</v>
      </c>
      <c r="I766" s="1752">
        <f>(G766/G$768)*H766</f>
        <v>0.92482522543543166</v>
      </c>
      <c r="J766" s="1750"/>
    </row>
    <row r="767" spans="1:10" ht="15.75" customHeight="1">
      <c r="A767" s="1780"/>
      <c r="B767" s="1784"/>
      <c r="C767" s="1878"/>
      <c r="D767" s="1841"/>
      <c r="E767" s="413"/>
      <c r="F767" s="320"/>
      <c r="G767" s="345">
        <f>SUM(G766:G766)</f>
        <v>374484.82499999995</v>
      </c>
      <c r="H767" s="1942"/>
      <c r="I767" s="1754">
        <f>SUM(I766)</f>
        <v>0.92482522543543166</v>
      </c>
      <c r="J767" s="1750"/>
    </row>
    <row r="768" spans="1:10" ht="15.75" customHeight="1">
      <c r="A768" s="1780"/>
      <c r="B768" s="1784"/>
      <c r="C768" s="1804" t="s">
        <v>2298</v>
      </c>
      <c r="D768" s="1763"/>
      <c r="E768" s="1764"/>
      <c r="F768" s="1765"/>
      <c r="G768" s="1943">
        <f>G764+G767</f>
        <v>404924.96819999994</v>
      </c>
      <c r="H768" s="1942"/>
      <c r="I768" s="1915">
        <f>I764+I767</f>
        <v>1</v>
      </c>
      <c r="J768" s="1750"/>
    </row>
    <row r="769" spans="1:10" ht="15.75" customHeight="1">
      <c r="A769" s="1780"/>
      <c r="B769" s="1784"/>
      <c r="C769" s="1762" t="s">
        <v>2094</v>
      </c>
      <c r="D769" s="1767">
        <f>M$4</f>
        <v>0.15</v>
      </c>
      <c r="E769" s="1768"/>
      <c r="F769" s="1765"/>
      <c r="G769" s="1943">
        <f>G768*D769</f>
        <v>60738.745229999986</v>
      </c>
      <c r="H769" s="1942"/>
      <c r="I769" s="1754"/>
      <c r="J769" s="1750"/>
    </row>
    <row r="770" spans="1:10" ht="15.75" customHeight="1">
      <c r="A770" s="1786"/>
      <c r="B770" s="1890"/>
      <c r="C770" s="1788" t="s">
        <v>2111</v>
      </c>
      <c r="D770" s="1772"/>
      <c r="E770" s="1773"/>
      <c r="F770" s="1774"/>
      <c r="G770" s="1944">
        <f>ROUNDUP((G768+G769),2)</f>
        <v>465663.72000000003</v>
      </c>
      <c r="H770" s="1945"/>
      <c r="I770" s="1776"/>
      <c r="J770" s="1789"/>
    </row>
    <row r="771" spans="1:10" ht="15.75" customHeight="1">
      <c r="A771" s="1733"/>
      <c r="B771" s="1733"/>
      <c r="C771" s="1733"/>
      <c r="D771" s="1733"/>
      <c r="E771" s="1733"/>
      <c r="F771" s="1733"/>
      <c r="G771" s="1733"/>
      <c r="H771" s="28"/>
      <c r="I771" s="1733"/>
      <c r="J771" s="1733"/>
    </row>
    <row r="772" spans="1:10" ht="15.75" customHeight="1">
      <c r="A772" s="1778">
        <f>A760+1</f>
        <v>30</v>
      </c>
      <c r="B772" s="1779" t="s">
        <v>2406</v>
      </c>
      <c r="C772" s="1872" t="s">
        <v>2407</v>
      </c>
      <c r="D772" s="1911"/>
      <c r="E772" s="1911"/>
      <c r="F772" s="1911"/>
      <c r="G772" s="1912"/>
      <c r="H772" s="1800"/>
      <c r="I772" s="1800"/>
      <c r="J772" s="1801"/>
    </row>
    <row r="773" spans="1:10" ht="15.75" customHeight="1">
      <c r="A773" s="1780"/>
      <c r="B773" s="1739" t="s">
        <v>1004</v>
      </c>
      <c r="C773" s="1877" t="s">
        <v>2067</v>
      </c>
      <c r="D773" s="390"/>
      <c r="E773" s="413"/>
      <c r="F773" s="320"/>
      <c r="G773" s="320"/>
      <c r="H773" s="1802"/>
      <c r="I773" s="1802"/>
      <c r="J773" s="1803"/>
    </row>
    <row r="774" spans="1:10" ht="15.75" customHeight="1">
      <c r="A774" s="1780"/>
      <c r="B774" s="1739"/>
      <c r="C774" s="1889" t="s">
        <v>2108</v>
      </c>
      <c r="D774" s="1781"/>
      <c r="E774" s="413"/>
      <c r="F774" s="320"/>
      <c r="G774" s="361"/>
      <c r="H774" s="1749"/>
      <c r="I774" s="1754"/>
      <c r="J774" s="1750"/>
    </row>
    <row r="775" spans="1:10" ht="15.75" customHeight="1">
      <c r="A775" s="1780"/>
      <c r="B775" s="1739" t="s">
        <v>1015</v>
      </c>
      <c r="C775" s="1877" t="s">
        <v>2246</v>
      </c>
      <c r="D775" s="1781"/>
      <c r="E775" s="1914"/>
      <c r="F775" s="320"/>
      <c r="G775" s="320"/>
      <c r="H775" s="1749"/>
      <c r="I775" s="1754"/>
      <c r="J775" s="1750"/>
    </row>
    <row r="776" spans="1:10" ht="15.75" customHeight="1">
      <c r="A776" s="1780"/>
      <c r="B776" s="1739"/>
      <c r="C776" s="1878" t="s">
        <v>2408</v>
      </c>
      <c r="D776" s="1781">
        <v>7.6999999999999999E-2</v>
      </c>
      <c r="E776" s="413" t="s">
        <v>2135</v>
      </c>
      <c r="F776" s="361">
        <f>'Bahan &amp; Upah'!C208</f>
        <v>428533.21</v>
      </c>
      <c r="G776" s="1785">
        <f>F776*D776</f>
        <v>32997.05717</v>
      </c>
      <c r="H776" s="1749">
        <v>1</v>
      </c>
      <c r="I776" s="1752">
        <f>(G776/G$778)*H776</f>
        <v>1</v>
      </c>
      <c r="J776" s="1750"/>
    </row>
    <row r="777" spans="1:10" ht="15.75" customHeight="1">
      <c r="A777" s="1780"/>
      <c r="B777" s="1784"/>
      <c r="C777" s="1889" t="s">
        <v>2110</v>
      </c>
      <c r="D777" s="1781"/>
      <c r="E777" s="413"/>
      <c r="F777" s="320"/>
      <c r="G777" s="361">
        <f>SUM(G776:G776)</f>
        <v>32997.05717</v>
      </c>
      <c r="H777" s="1749"/>
      <c r="I777" s="1754">
        <f>SUM(I776)</f>
        <v>1</v>
      </c>
      <c r="J777" s="1750"/>
    </row>
    <row r="778" spans="1:10" ht="15.75" customHeight="1">
      <c r="A778" s="1780"/>
      <c r="B778" s="1784"/>
      <c r="C778" s="1804" t="s">
        <v>2298</v>
      </c>
      <c r="D778" s="1763"/>
      <c r="E778" s="1764"/>
      <c r="F778" s="320"/>
      <c r="G778" s="1765">
        <f>G774+G777</f>
        <v>32997.05717</v>
      </c>
      <c r="H778" s="1749"/>
      <c r="I778" s="1915">
        <f>I774+I777</f>
        <v>1</v>
      </c>
      <c r="J778" s="1750"/>
    </row>
    <row r="779" spans="1:10" ht="15.75" customHeight="1">
      <c r="A779" s="1780"/>
      <c r="B779" s="1784"/>
      <c r="C779" s="1762" t="s">
        <v>2094</v>
      </c>
      <c r="D779" s="1767">
        <f>M$4</f>
        <v>0.15</v>
      </c>
      <c r="E779" s="1768"/>
      <c r="F779" s="1765"/>
      <c r="G779" s="1943">
        <f>G778*D779</f>
        <v>4949.5585755000002</v>
      </c>
      <c r="H779" s="1749"/>
      <c r="I779" s="1754"/>
      <c r="J779" s="1750"/>
    </row>
    <row r="780" spans="1:10" ht="15.75" customHeight="1">
      <c r="A780" s="1786"/>
      <c r="B780" s="1890"/>
      <c r="C780" s="1788" t="s">
        <v>2111</v>
      </c>
      <c r="D780" s="1772"/>
      <c r="E780" s="1773"/>
      <c r="F780" s="1774"/>
      <c r="G780" s="1775">
        <f>ROUNDUP((G778+G779),2)</f>
        <v>37946.620000000003</v>
      </c>
      <c r="H780" s="1776"/>
      <c r="I780" s="1776"/>
      <c r="J780" s="1789"/>
    </row>
    <row r="781" spans="1:10" ht="15.75" customHeight="1">
      <c r="A781" s="1733"/>
      <c r="B781" s="1733"/>
      <c r="C781" s="1733"/>
      <c r="D781" s="1733"/>
      <c r="E781" s="1733"/>
      <c r="F781" s="1733"/>
      <c r="G781" s="1733"/>
      <c r="H781" s="28"/>
      <c r="I781" s="1733"/>
      <c r="J781" s="1733"/>
    </row>
    <row r="782" spans="1:10" ht="30" customHeight="1">
      <c r="A782" s="1946">
        <f>A772+1</f>
        <v>31</v>
      </c>
      <c r="B782" s="1871" t="s">
        <v>2147</v>
      </c>
      <c r="C782" s="1939" t="s">
        <v>2409</v>
      </c>
      <c r="D782" s="1873"/>
      <c r="E782" s="1874"/>
      <c r="F782" s="1875"/>
      <c r="G782" s="1940"/>
      <c r="H782" s="1911"/>
      <c r="I782" s="1912"/>
      <c r="J782" s="1947"/>
    </row>
    <row r="783" spans="1:10" ht="15.75" customHeight="1">
      <c r="A783" s="1948"/>
      <c r="B783" s="1884" t="s">
        <v>1004</v>
      </c>
      <c r="C783" s="1755" t="s">
        <v>2075</v>
      </c>
      <c r="D783" s="1841"/>
      <c r="E783" s="413"/>
      <c r="F783" s="320"/>
      <c r="G783" s="380"/>
      <c r="H783" s="1941"/>
      <c r="I783" s="1802"/>
      <c r="J783" s="1803"/>
    </row>
    <row r="784" spans="1:10" ht="15.75" customHeight="1">
      <c r="A784" s="1948"/>
      <c r="B784" s="1884"/>
      <c r="C784" s="317" t="s">
        <v>2410</v>
      </c>
      <c r="D784" s="1841">
        <v>1.1000000000000001</v>
      </c>
      <c r="E784" s="413" t="s">
        <v>89</v>
      </c>
      <c r="F784" s="361">
        <f>'Bahan &amp; Upah'!C26</f>
        <v>44245.440000000002</v>
      </c>
      <c r="G784" s="325">
        <f>F784*D784</f>
        <v>48669.984000000004</v>
      </c>
      <c r="H784" s="1942">
        <v>1</v>
      </c>
      <c r="I784" s="1749">
        <f>(G784/G$790)*H784</f>
        <v>0.41889515029424146</v>
      </c>
      <c r="J784" s="1750"/>
    </row>
    <row r="785" spans="1:10" ht="15.75" customHeight="1">
      <c r="A785" s="1948"/>
      <c r="B785" s="1884"/>
      <c r="C785" s="317" t="s">
        <v>2411</v>
      </c>
      <c r="D785" s="1841">
        <v>2</v>
      </c>
      <c r="E785" s="413" t="s">
        <v>2412</v>
      </c>
      <c r="F785" s="361">
        <f>'Bahan &amp; Upah'!C$25</f>
        <v>26512.2</v>
      </c>
      <c r="G785" s="1794">
        <f>F785*D785</f>
        <v>53024.4</v>
      </c>
      <c r="H785" s="1942">
        <v>1</v>
      </c>
      <c r="I785" s="1749">
        <f>(G785/G$790)*H785</f>
        <v>0.45637294656316257</v>
      </c>
      <c r="J785" s="1750"/>
    </row>
    <row r="786" spans="1:10" ht="15.75" customHeight="1">
      <c r="A786" s="1948"/>
      <c r="B786" s="1909"/>
      <c r="C786" s="1753" t="s">
        <v>2110</v>
      </c>
      <c r="D786" s="1841"/>
      <c r="E786" s="413"/>
      <c r="F786" s="361"/>
      <c r="G786" s="345">
        <f>SUM(G784:G785)</f>
        <v>101694.38400000001</v>
      </c>
      <c r="H786" s="1942"/>
      <c r="I786" s="1913">
        <f>SUM(I784:I785)</f>
        <v>0.87526809685740403</v>
      </c>
      <c r="J786" s="1750"/>
    </row>
    <row r="787" spans="1:10" ht="15.75" customHeight="1">
      <c r="A787" s="1948"/>
      <c r="B787" s="1884" t="s">
        <v>1015</v>
      </c>
      <c r="C787" s="1755" t="s">
        <v>2067</v>
      </c>
      <c r="D787" s="1841"/>
      <c r="E787" s="413"/>
      <c r="F787" s="320"/>
      <c r="G787" s="380"/>
      <c r="H787" s="1942"/>
      <c r="I787" s="1754"/>
      <c r="J787" s="1750"/>
    </row>
    <row r="788" spans="1:10" ht="15.75" customHeight="1">
      <c r="A788" s="1948"/>
      <c r="B788" s="1884"/>
      <c r="C788" s="317" t="s">
        <v>2413</v>
      </c>
      <c r="D788" s="1841">
        <v>1</v>
      </c>
      <c r="E788" s="413" t="s">
        <v>89</v>
      </c>
      <c r="F788" s="1748">
        <v>14492.17</v>
      </c>
      <c r="G788" s="1794">
        <f>F788*D788</f>
        <v>14492.17</v>
      </c>
      <c r="H788" s="1942">
        <v>1</v>
      </c>
      <c r="I788" s="1749">
        <f>(G788/G$790)*H788</f>
        <v>0.124731903142596</v>
      </c>
      <c r="J788" s="1750"/>
    </row>
    <row r="789" spans="1:10" ht="15.75" customHeight="1">
      <c r="A789" s="1948"/>
      <c r="B789" s="1909"/>
      <c r="C789" s="1753" t="s">
        <v>2108</v>
      </c>
      <c r="D789" s="1841"/>
      <c r="E789" s="413"/>
      <c r="F789" s="320"/>
      <c r="G789" s="345">
        <f>SUM(G788:G788)</f>
        <v>14492.17</v>
      </c>
      <c r="H789" s="1942"/>
      <c r="I789" s="1754">
        <f>SUM(I788)</f>
        <v>0.124731903142596</v>
      </c>
      <c r="J789" s="1750"/>
    </row>
    <row r="790" spans="1:10" ht="15.75" customHeight="1">
      <c r="A790" s="1948"/>
      <c r="B790" s="1884" t="s">
        <v>979</v>
      </c>
      <c r="C790" s="1804" t="s">
        <v>2129</v>
      </c>
      <c r="D790" s="1763"/>
      <c r="E790" s="1764"/>
      <c r="F790" s="1765"/>
      <c r="G790" s="1943">
        <f>G765+G771+G786+G789</f>
        <v>116186.554</v>
      </c>
      <c r="H790" s="1942"/>
      <c r="I790" s="1915">
        <f>I786+I789</f>
        <v>1</v>
      </c>
      <c r="J790" s="1750"/>
    </row>
    <row r="791" spans="1:10" ht="15.75" customHeight="1">
      <c r="A791" s="1948"/>
      <c r="B791" s="1884" t="s">
        <v>2093</v>
      </c>
      <c r="C791" s="1762" t="s">
        <v>2094</v>
      </c>
      <c r="D791" s="1767">
        <f>M$4</f>
        <v>0.15</v>
      </c>
      <c r="E791" s="1768"/>
      <c r="F791" s="1765"/>
      <c r="G791" s="1943">
        <f>G790*D791</f>
        <v>17427.983100000001</v>
      </c>
      <c r="H791" s="1942"/>
      <c r="I791" s="1754"/>
      <c r="J791" s="1750"/>
    </row>
    <row r="792" spans="1:10" ht="15.75" customHeight="1">
      <c r="A792" s="1949"/>
      <c r="B792" s="1787" t="s">
        <v>2095</v>
      </c>
      <c r="C792" s="1788" t="s">
        <v>2111</v>
      </c>
      <c r="D792" s="1772"/>
      <c r="E792" s="1773"/>
      <c r="F792" s="1774"/>
      <c r="G792" s="1950">
        <f>ROUNDUP((G790+G791),2)</f>
        <v>133614.54</v>
      </c>
      <c r="H792" s="1945"/>
      <c r="I792" s="1776"/>
      <c r="J792" s="1789"/>
    </row>
    <row r="793" spans="1:10" ht="15.75" customHeight="1">
      <c r="B793" s="1810"/>
      <c r="C793" s="1811"/>
      <c r="D793" s="1812"/>
      <c r="E793" s="1809"/>
      <c r="F793" s="1813"/>
      <c r="G793" s="1951"/>
      <c r="H793" s="1815"/>
      <c r="I793" s="1815"/>
      <c r="J793" s="1816"/>
    </row>
    <row r="794" spans="1:10" ht="15.75" customHeight="1">
      <c r="A794" s="1952">
        <f>A782+1</f>
        <v>32</v>
      </c>
      <c r="B794" s="1826" t="s">
        <v>2414</v>
      </c>
      <c r="C794" s="1953" t="s">
        <v>2415</v>
      </c>
      <c r="D794" s="1954"/>
      <c r="E794" s="1955"/>
      <c r="F794" s="1827"/>
      <c r="G794" s="1895"/>
      <c r="H794" s="1956"/>
      <c r="I794" s="1957"/>
      <c r="J794" s="1958"/>
    </row>
    <row r="795" spans="1:10" ht="15.75" customHeight="1">
      <c r="A795" s="1959"/>
      <c r="B795" s="1884" t="s">
        <v>1004</v>
      </c>
      <c r="C795" s="1755" t="s">
        <v>2416</v>
      </c>
      <c r="D795" s="1841"/>
      <c r="E795" s="413"/>
      <c r="F795" s="320"/>
      <c r="G795" s="380"/>
      <c r="H795" s="1960"/>
      <c r="I795" s="1961"/>
      <c r="J795" s="1962"/>
    </row>
    <row r="796" spans="1:10" ht="50.25" customHeight="1">
      <c r="A796" s="1959"/>
      <c r="B796" s="1963">
        <v>1</v>
      </c>
      <c r="C796" s="1964" t="s">
        <v>2417</v>
      </c>
      <c r="D796" s="1841"/>
      <c r="E796" s="413"/>
      <c r="F796" s="320"/>
      <c r="G796" s="380"/>
      <c r="H796" s="1960"/>
      <c r="I796" s="1961"/>
      <c r="J796" s="1962"/>
    </row>
    <row r="797" spans="1:10" ht="50.25" customHeight="1">
      <c r="A797" s="1959"/>
      <c r="B797" s="1963">
        <f>B796+1</f>
        <v>2</v>
      </c>
      <c r="C797" s="1964" t="s">
        <v>2418</v>
      </c>
      <c r="D797" s="1841"/>
      <c r="E797" s="413"/>
      <c r="F797" s="320"/>
      <c r="G797" s="380"/>
      <c r="H797" s="1960"/>
      <c r="I797" s="1961"/>
      <c r="J797" s="1962"/>
    </row>
    <row r="798" spans="1:10" ht="27.75" customHeight="1">
      <c r="A798" s="1959"/>
      <c r="B798" s="1963">
        <f>B797+1</f>
        <v>3</v>
      </c>
      <c r="C798" s="1964" t="s">
        <v>2419</v>
      </c>
      <c r="D798" s="1841"/>
      <c r="E798" s="413"/>
      <c r="F798" s="320"/>
      <c r="G798" s="380"/>
      <c r="H798" s="1960"/>
      <c r="I798" s="1961"/>
      <c r="J798" s="1962"/>
    </row>
    <row r="799" spans="1:10" ht="15.75" customHeight="1">
      <c r="A799" s="1959"/>
      <c r="B799" s="1884" t="s">
        <v>1015</v>
      </c>
      <c r="C799" s="1755" t="s">
        <v>2322</v>
      </c>
      <c r="D799" s="1841"/>
      <c r="E799" s="413"/>
      <c r="F799" s="320"/>
      <c r="G799" s="380"/>
      <c r="H799" s="1960"/>
      <c r="I799" s="1961"/>
      <c r="J799" s="1962"/>
    </row>
    <row r="800" spans="1:10" ht="27.75" customHeight="1">
      <c r="A800" s="1959"/>
      <c r="B800" s="1963">
        <v>1</v>
      </c>
      <c r="C800" s="1964" t="s">
        <v>2420</v>
      </c>
      <c r="D800" s="1841"/>
      <c r="E800" s="413"/>
      <c r="F800" s="320"/>
      <c r="G800" s="380"/>
      <c r="H800" s="1960"/>
      <c r="I800" s="1961"/>
      <c r="J800" s="1962"/>
    </row>
    <row r="801" spans="1:10" ht="27.75" customHeight="1">
      <c r="A801" s="1959"/>
      <c r="B801" s="1963">
        <f>B800+1</f>
        <v>2</v>
      </c>
      <c r="C801" s="1964" t="s">
        <v>2421</v>
      </c>
      <c r="D801" s="1841"/>
      <c r="E801" s="413"/>
      <c r="F801" s="320"/>
      <c r="G801" s="380"/>
      <c r="H801" s="1960"/>
      <c r="I801" s="1961"/>
      <c r="J801" s="1962"/>
    </row>
    <row r="802" spans="1:10" ht="27.75" customHeight="1">
      <c r="A802" s="1959"/>
      <c r="B802" s="1963">
        <f>B801+1</f>
        <v>3</v>
      </c>
      <c r="C802" s="380" t="s">
        <v>2422</v>
      </c>
      <c r="D802" s="1841"/>
      <c r="E802" s="413"/>
      <c r="F802" s="320"/>
      <c r="G802" s="380"/>
      <c r="H802" s="1960"/>
      <c r="I802" s="1961"/>
      <c r="J802" s="1962"/>
    </row>
    <row r="803" spans="1:10" ht="15.75" customHeight="1">
      <c r="A803" s="1959"/>
      <c r="B803" s="1884" t="s">
        <v>1048</v>
      </c>
      <c r="C803" s="1755" t="s">
        <v>2423</v>
      </c>
      <c r="D803" s="1841"/>
      <c r="E803" s="413"/>
      <c r="F803" s="320"/>
      <c r="G803" s="380"/>
      <c r="H803" s="1960"/>
      <c r="I803" s="1961"/>
      <c r="J803" s="1962"/>
    </row>
    <row r="804" spans="1:10" ht="15.75" customHeight="1">
      <c r="A804" s="1959"/>
      <c r="B804" s="1963">
        <v>1</v>
      </c>
      <c r="C804" s="380" t="s">
        <v>2424</v>
      </c>
      <c r="D804" s="1841">
        <v>1</v>
      </c>
      <c r="E804" s="413" t="s">
        <v>360</v>
      </c>
      <c r="F804" s="361">
        <v>969151.77</v>
      </c>
      <c r="G804" s="325">
        <f>F804*D804</f>
        <v>969151.77</v>
      </c>
      <c r="H804" s="1965">
        <v>1</v>
      </c>
      <c r="I804" s="1817">
        <f>(G804/G$813)*H804</f>
        <v>0.10046954106236261</v>
      </c>
      <c r="J804" s="1962"/>
    </row>
    <row r="805" spans="1:10" ht="15.75" customHeight="1">
      <c r="A805" s="1959"/>
      <c r="B805" s="1963">
        <f>B804+1</f>
        <v>2</v>
      </c>
      <c r="C805" s="380" t="s">
        <v>2425</v>
      </c>
      <c r="D805" s="1841">
        <v>1</v>
      </c>
      <c r="E805" s="413" t="s">
        <v>49</v>
      </c>
      <c r="F805" s="361">
        <v>2467980.0699999998</v>
      </c>
      <c r="G805" s="325">
        <f>F805*D805</f>
        <v>2467980.0699999998</v>
      </c>
      <c r="H805" s="1965">
        <v>1</v>
      </c>
      <c r="I805" s="1817">
        <f>(G805/G$813)*H805</f>
        <v>0.25584932376892583</v>
      </c>
      <c r="J805" s="1962"/>
    </row>
    <row r="806" spans="1:10" ht="15.75" customHeight="1">
      <c r="A806" s="1959"/>
      <c r="B806" s="1963">
        <f>B805+1</f>
        <v>3</v>
      </c>
      <c r="C806" s="380" t="s">
        <v>2426</v>
      </c>
      <c r="D806" s="1841">
        <v>1</v>
      </c>
      <c r="E806" s="413" t="s">
        <v>124</v>
      </c>
      <c r="F806" s="361">
        <v>699437.63</v>
      </c>
      <c r="G806" s="325">
        <f>F806*D806</f>
        <v>699437.63</v>
      </c>
      <c r="H806" s="1965">
        <v>1</v>
      </c>
      <c r="I806" s="1817">
        <f>(G806/G$813)*H806</f>
        <v>7.2508950468972044E-2</v>
      </c>
      <c r="J806" s="1962"/>
    </row>
    <row r="807" spans="1:10" ht="15.75" customHeight="1">
      <c r="A807" s="1959"/>
      <c r="B807" s="1963">
        <f>B806+1</f>
        <v>4</v>
      </c>
      <c r="C807" s="380" t="s">
        <v>2427</v>
      </c>
      <c r="D807" s="1841">
        <v>1</v>
      </c>
      <c r="E807" s="413" t="s">
        <v>49</v>
      </c>
      <c r="F807" s="361">
        <v>2049474.78</v>
      </c>
      <c r="G807" s="325">
        <f>F807*D807</f>
        <v>2049474.78</v>
      </c>
      <c r="H807" s="1965">
        <v>1</v>
      </c>
      <c r="I807" s="1817">
        <f>(G807/G$813)*H807</f>
        <v>0.21246392664121799</v>
      </c>
      <c r="J807" s="1962"/>
    </row>
    <row r="808" spans="1:10" ht="15.75" customHeight="1">
      <c r="A808" s="1959"/>
      <c r="B808" s="1963">
        <f>B807+1</f>
        <v>5</v>
      </c>
      <c r="C808" s="380" t="s">
        <v>2428</v>
      </c>
      <c r="D808" s="1841">
        <v>13.2</v>
      </c>
      <c r="E808" s="413" t="s">
        <v>117</v>
      </c>
      <c r="F808" s="361">
        <f>'Bahan &amp; Upah'!C274*2</f>
        <v>63149.32</v>
      </c>
      <c r="G808" s="325">
        <f>F808*D808</f>
        <v>833571.02399999998</v>
      </c>
      <c r="H808" s="1965">
        <v>1</v>
      </c>
      <c r="I808" s="1817">
        <f>(G808/G$813)*H808</f>
        <v>8.6414224083977725E-2</v>
      </c>
      <c r="J808" s="1962"/>
    </row>
    <row r="809" spans="1:10" ht="15.75" customHeight="1">
      <c r="A809" s="1948"/>
      <c r="B809" s="1884" t="s">
        <v>979</v>
      </c>
      <c r="C809" s="1755" t="s">
        <v>2429</v>
      </c>
      <c r="D809" s="1841"/>
      <c r="E809" s="413"/>
      <c r="F809" s="320"/>
      <c r="G809" s="380"/>
      <c r="H809" s="1941"/>
      <c r="I809" s="1802"/>
      <c r="J809" s="1803"/>
    </row>
    <row r="810" spans="1:10" ht="15.75" customHeight="1">
      <c r="A810" s="1948"/>
      <c r="B810" s="1884"/>
      <c r="C810" s="317" t="s">
        <v>2430</v>
      </c>
      <c r="D810" s="1841">
        <v>1</v>
      </c>
      <c r="E810" s="413" t="s">
        <v>2069</v>
      </c>
      <c r="F810" s="361">
        <f>'Bahan &amp; Upah'!C$349</f>
        <v>271339.52000000002</v>
      </c>
      <c r="G810" s="325">
        <f>F810*D810</f>
        <v>271339.52000000002</v>
      </c>
      <c r="H810" s="1965">
        <v>1</v>
      </c>
      <c r="I810" s="1817">
        <f>(G810/G$813)*H810</f>
        <v>2.8129089674449815E-2</v>
      </c>
      <c r="J810" s="1819"/>
    </row>
    <row r="811" spans="1:10" ht="15.75" customHeight="1">
      <c r="A811" s="1948"/>
      <c r="B811" s="1884"/>
      <c r="C811" s="317" t="s">
        <v>2431</v>
      </c>
      <c r="D811" s="1841">
        <v>4</v>
      </c>
      <c r="E811" s="413" t="s">
        <v>2069</v>
      </c>
      <c r="F811" s="1966">
        <f>'Bahan &amp; Upah'!C$342</f>
        <v>263758.45</v>
      </c>
      <c r="G811" s="325">
        <f>F811*D811</f>
        <v>1055033.8</v>
      </c>
      <c r="H811" s="1965">
        <v>1</v>
      </c>
      <c r="I811" s="1817">
        <f>(G811/G$813)*H811</f>
        <v>0.10937271640259241</v>
      </c>
      <c r="J811" s="1819"/>
    </row>
    <row r="812" spans="1:10" ht="15.75" customHeight="1">
      <c r="A812" s="1948"/>
      <c r="B812" s="1884"/>
      <c r="C812" s="317" t="s">
        <v>2432</v>
      </c>
      <c r="D812" s="1841">
        <v>1</v>
      </c>
      <c r="E812" s="413" t="s">
        <v>49</v>
      </c>
      <c r="F812" s="1883">
        <v>1300236.1200000001</v>
      </c>
      <c r="G812" s="1794">
        <f>F812*D812</f>
        <v>1300236.1200000001</v>
      </c>
      <c r="H812" s="1965">
        <v>1</v>
      </c>
      <c r="I812" s="1821">
        <f>(G812/G$813)*H812</f>
        <v>0.13479222789750159</v>
      </c>
      <c r="J812" s="1819"/>
    </row>
    <row r="813" spans="1:10" ht="15.75" customHeight="1">
      <c r="A813" s="1948"/>
      <c r="B813" s="1909"/>
      <c r="C813" s="1753" t="s">
        <v>2433</v>
      </c>
      <c r="D813" s="1841"/>
      <c r="E813" s="413"/>
      <c r="F813" s="320"/>
      <c r="G813" s="345">
        <f>SUM(G804:G812)</f>
        <v>9646224.7139999997</v>
      </c>
      <c r="H813" s="1965"/>
      <c r="I813" s="1818">
        <f>SUM(I804:I812)</f>
        <v>1</v>
      </c>
      <c r="J813" s="1819"/>
    </row>
    <row r="814" spans="1:10" ht="15.75" customHeight="1">
      <c r="A814" s="1948"/>
      <c r="B814" s="1884" t="s">
        <v>979</v>
      </c>
      <c r="C814" s="1804" t="s">
        <v>2129</v>
      </c>
      <c r="D814" s="1763"/>
      <c r="E814" s="1764"/>
      <c r="F814" s="1765"/>
      <c r="G814" s="1943">
        <f>G813</f>
        <v>9646224.7139999997</v>
      </c>
      <c r="H814" s="1965"/>
      <c r="I814" s="1967">
        <f>I813</f>
        <v>1</v>
      </c>
      <c r="J814" s="1819"/>
    </row>
    <row r="815" spans="1:10" ht="15.75" customHeight="1">
      <c r="A815" s="1948"/>
      <c r="B815" s="1884" t="s">
        <v>2093</v>
      </c>
      <c r="C815" s="1762" t="s">
        <v>2094</v>
      </c>
      <c r="D815" s="1823">
        <f>M$4</f>
        <v>0.15</v>
      </c>
      <c r="E815" s="1768"/>
      <c r="F815" s="1765"/>
      <c r="G815" s="1943">
        <f>G814*D815</f>
        <v>1446933.7071</v>
      </c>
      <c r="H815" s="1965"/>
      <c r="I815" s="1818"/>
      <c r="J815" s="1819"/>
    </row>
    <row r="816" spans="1:10" ht="15.75" customHeight="1">
      <c r="A816" s="1949"/>
      <c r="B816" s="1787" t="s">
        <v>2095</v>
      </c>
      <c r="C816" s="1788" t="s">
        <v>2111</v>
      </c>
      <c r="D816" s="1772"/>
      <c r="E816" s="1773"/>
      <c r="F816" s="1774"/>
      <c r="G816" s="1950">
        <f>ROUNDUP((G814+G815),2)</f>
        <v>11093158.43</v>
      </c>
      <c r="H816" s="1968"/>
      <c r="I816" s="1824"/>
      <c r="J816" s="1825"/>
    </row>
    <row r="817" spans="1:10" ht="15.75" customHeight="1">
      <c r="A817" s="1733"/>
      <c r="B817" s="1733"/>
      <c r="C817" s="1733"/>
      <c r="D817" s="1733"/>
      <c r="E817" s="1733"/>
      <c r="F817" s="1733"/>
      <c r="G817" s="1733"/>
      <c r="H817" s="28"/>
      <c r="I817" s="1733"/>
      <c r="J817" s="1733"/>
    </row>
    <row r="818" spans="1:10" ht="15.75" customHeight="1">
      <c r="A818" s="1778">
        <f>A782+1</f>
        <v>32</v>
      </c>
      <c r="B818" s="1779" t="s">
        <v>2434</v>
      </c>
      <c r="C818" s="1872" t="s">
        <v>2435</v>
      </c>
      <c r="D818" s="1911"/>
      <c r="E818" s="1911"/>
      <c r="F818" s="1911"/>
      <c r="G818" s="1912"/>
      <c r="H818" s="1800"/>
      <c r="I818" s="1800"/>
      <c r="J818" s="1801"/>
    </row>
    <row r="819" spans="1:10" ht="15.75" customHeight="1">
      <c r="A819" s="1780"/>
      <c r="B819" s="1739" t="s">
        <v>1004</v>
      </c>
      <c r="C819" s="1755" t="s">
        <v>2075</v>
      </c>
      <c r="D819" s="1781"/>
      <c r="E819" s="413"/>
      <c r="F819" s="320"/>
      <c r="G819" s="320"/>
      <c r="H819" s="1802"/>
      <c r="I819" s="1802"/>
      <c r="J819" s="1803"/>
    </row>
    <row r="820" spans="1:10" ht="15.75" customHeight="1">
      <c r="A820" s="1780"/>
      <c r="B820" s="1784"/>
      <c r="C820" s="317" t="s">
        <v>2436</v>
      </c>
      <c r="D820" s="1781">
        <v>1.2</v>
      </c>
      <c r="E820" s="326" t="s">
        <v>103</v>
      </c>
      <c r="F820" s="1748">
        <f>'Bahan &amp; Upah'!C$15</f>
        <v>362172.63</v>
      </c>
      <c r="G820" s="332">
        <f>F820*D820</f>
        <v>434607.15600000002</v>
      </c>
      <c r="H820" s="1749">
        <v>1</v>
      </c>
      <c r="I820" s="1749">
        <f>(G820/G$832)*H820</f>
        <v>0.60595849974191318</v>
      </c>
      <c r="J820" s="1750"/>
    </row>
    <row r="821" spans="1:10" ht="15.75" customHeight="1">
      <c r="A821" s="1780"/>
      <c r="B821" s="1784"/>
      <c r="C821" s="317" t="s">
        <v>2394</v>
      </c>
      <c r="D821" s="1781">
        <v>0.432</v>
      </c>
      <c r="E821" s="326" t="s">
        <v>103</v>
      </c>
      <c r="F821" s="1748">
        <f>'Bahan &amp; Upah'!C$11</f>
        <v>362812.55</v>
      </c>
      <c r="G821" s="1785">
        <f>F821*D821</f>
        <v>156735.02160000001</v>
      </c>
      <c r="H821" s="1749">
        <v>1</v>
      </c>
      <c r="I821" s="1752">
        <f>(G821/G$832)*H821</f>
        <v>0.21853049871491845</v>
      </c>
      <c r="J821" s="1750"/>
    </row>
    <row r="822" spans="1:10" ht="15.75" customHeight="1">
      <c r="A822" s="1780"/>
      <c r="B822" s="1784"/>
      <c r="C822" s="1753" t="s">
        <v>2091</v>
      </c>
      <c r="D822" s="1781"/>
      <c r="E822" s="413"/>
      <c r="F822" s="320"/>
      <c r="G822" s="361">
        <f>SUM(G820:G821)</f>
        <v>591342.17760000005</v>
      </c>
      <c r="H822" s="1749"/>
      <c r="I822" s="1754">
        <f>SUM(I820:I821)</f>
        <v>0.82448899845683166</v>
      </c>
      <c r="J822" s="1750"/>
    </row>
    <row r="823" spans="1:10" ht="15.75" customHeight="1">
      <c r="A823" s="1780"/>
      <c r="B823" s="1739" t="s">
        <v>1015</v>
      </c>
      <c r="C823" s="1755" t="s">
        <v>2067</v>
      </c>
      <c r="D823" s="1781"/>
      <c r="E823" s="413"/>
      <c r="F823" s="320"/>
      <c r="G823" s="320"/>
      <c r="H823" s="1749"/>
      <c r="I823" s="1749"/>
      <c r="J823" s="1750"/>
    </row>
    <row r="824" spans="1:10" ht="15.75" customHeight="1">
      <c r="A824" s="1780"/>
      <c r="B824" s="1784"/>
      <c r="C824" s="317" t="s">
        <v>2103</v>
      </c>
      <c r="D824" s="1781">
        <v>0.78</v>
      </c>
      <c r="E824" s="413" t="s">
        <v>2069</v>
      </c>
      <c r="F824" s="1747">
        <f>'Bahan &amp; Upah'!C$336</f>
        <v>96332.65</v>
      </c>
      <c r="G824" s="332">
        <f>F824*D824</f>
        <v>75139.467000000004</v>
      </c>
      <c r="H824" s="1749">
        <v>1</v>
      </c>
      <c r="I824" s="1749">
        <f>(G824/G$832)*H824</f>
        <v>0.10476449378741245</v>
      </c>
      <c r="J824" s="1750"/>
    </row>
    <row r="825" spans="1:10" ht="15.75" customHeight="1">
      <c r="A825" s="1780"/>
      <c r="B825" s="1784"/>
      <c r="C825" s="317" t="s">
        <v>2124</v>
      </c>
      <c r="D825" s="1781">
        <v>0.39</v>
      </c>
      <c r="E825" s="413" t="s">
        <v>2069</v>
      </c>
      <c r="F825" s="1747">
        <f>'Bahan &amp; Upah'!C$337</f>
        <v>114133.55</v>
      </c>
      <c r="G825" s="332">
        <f>F825*D825</f>
        <v>44512.084500000004</v>
      </c>
      <c r="H825" s="1749">
        <v>1</v>
      </c>
      <c r="I825" s="1749">
        <f>(G825/G$832)*H825</f>
        <v>6.2061739139898722E-2</v>
      </c>
      <c r="J825" s="1750"/>
    </row>
    <row r="826" spans="1:10" ht="15.75" customHeight="1">
      <c r="A826" s="1780"/>
      <c r="B826" s="1784"/>
      <c r="C826" s="317" t="s">
        <v>2105</v>
      </c>
      <c r="D826" s="1781">
        <v>3.9E-2</v>
      </c>
      <c r="E826" s="413" t="s">
        <v>2069</v>
      </c>
      <c r="F826" s="1883">
        <f>'Bahan &amp; Upah'!C$338</f>
        <v>125485.75</v>
      </c>
      <c r="G826" s="332">
        <f>F826*D826</f>
        <v>4893.9442499999996</v>
      </c>
      <c r="H826" s="1749">
        <v>1</v>
      </c>
      <c r="I826" s="1749">
        <f>(G826/G$832)*H826</f>
        <v>6.8234659153899486E-3</v>
      </c>
      <c r="J826" s="1750"/>
    </row>
    <row r="827" spans="1:10" ht="15.75" customHeight="1">
      <c r="A827" s="1780"/>
      <c r="B827" s="1784"/>
      <c r="C827" s="317" t="s">
        <v>2107</v>
      </c>
      <c r="D827" s="1781">
        <v>1.2999999999999999E-2</v>
      </c>
      <c r="E827" s="413" t="s">
        <v>2069</v>
      </c>
      <c r="F827" s="1751">
        <f>'Bahan &amp; Upah'!C$339</f>
        <v>102689.88</v>
      </c>
      <c r="G827" s="1785">
        <f>F827*D827</f>
        <v>1334.9684400000001</v>
      </c>
      <c r="H827" s="1749">
        <v>1</v>
      </c>
      <c r="I827" s="1752">
        <f>(G827/G$832)*H827</f>
        <v>1.8613027004672751E-3</v>
      </c>
      <c r="J827" s="1750"/>
    </row>
    <row r="828" spans="1:10" ht="15.75" customHeight="1">
      <c r="A828" s="1780"/>
      <c r="B828" s="1784"/>
      <c r="C828" s="1753" t="s">
        <v>2108</v>
      </c>
      <c r="D828" s="1781"/>
      <c r="E828" s="413"/>
      <c r="F828" s="317"/>
      <c r="G828" s="361">
        <f>SUM(G824:G827)</f>
        <v>125880.46419</v>
      </c>
      <c r="H828" s="1749"/>
      <c r="I828" s="1754">
        <f>SUM(I824:I827)</f>
        <v>0.17551100154316843</v>
      </c>
      <c r="J828" s="1750"/>
    </row>
    <row r="829" spans="1:10" ht="15.75" customHeight="1">
      <c r="A829" s="1780"/>
      <c r="B829" s="1739" t="s">
        <v>1048</v>
      </c>
      <c r="C829" s="1755" t="s">
        <v>2109</v>
      </c>
      <c r="D829" s="1781"/>
      <c r="E829" s="413"/>
      <c r="F829" s="320"/>
      <c r="G829" s="320"/>
      <c r="H829" s="1749"/>
      <c r="I829" s="1749"/>
      <c r="J829" s="1750"/>
    </row>
    <row r="830" spans="1:10" ht="15.75" customHeight="1">
      <c r="A830" s="1780"/>
      <c r="B830" s="1739"/>
      <c r="C830" s="1755"/>
      <c r="D830" s="1781"/>
      <c r="E830" s="413"/>
      <c r="F830" s="320"/>
      <c r="G830" s="1785">
        <f>F830*D830</f>
        <v>0</v>
      </c>
      <c r="H830" s="1749"/>
      <c r="I830" s="1749"/>
      <c r="J830" s="1750"/>
    </row>
    <row r="831" spans="1:10" ht="15.75" customHeight="1">
      <c r="A831" s="1780"/>
      <c r="B831" s="1784"/>
      <c r="C831" s="1753" t="s">
        <v>2110</v>
      </c>
      <c r="D831" s="1781"/>
      <c r="E831" s="413"/>
      <c r="F831" s="320"/>
      <c r="G831" s="361">
        <f>SUM(G830)</f>
        <v>0</v>
      </c>
      <c r="H831" s="1749"/>
      <c r="I831" s="1749"/>
      <c r="J831" s="1750"/>
    </row>
    <row r="832" spans="1:10" ht="15.75" customHeight="1">
      <c r="A832" s="1780"/>
      <c r="B832" s="1739" t="s">
        <v>979</v>
      </c>
      <c r="C832" s="1804" t="s">
        <v>2129</v>
      </c>
      <c r="D832" s="1763"/>
      <c r="E832" s="1764"/>
      <c r="F832" s="1765"/>
      <c r="G832" s="1765">
        <f>G822+G828+G831</f>
        <v>717222.64179000002</v>
      </c>
      <c r="H832" s="1749"/>
      <c r="I832" s="1766">
        <f>I822+I828</f>
        <v>1</v>
      </c>
      <c r="J832" s="1750"/>
    </row>
    <row r="833" spans="1:10" ht="15.75" customHeight="1">
      <c r="A833" s="1780"/>
      <c r="B833" s="1739" t="s">
        <v>2093</v>
      </c>
      <c r="C833" s="1762" t="s">
        <v>2094</v>
      </c>
      <c r="D833" s="1767">
        <f>M$4</f>
        <v>0.15</v>
      </c>
      <c r="E833" s="1768"/>
      <c r="F833" s="1765"/>
      <c r="G833" s="1765">
        <f>G832*D833</f>
        <v>107583.3962685</v>
      </c>
      <c r="H833" s="1749"/>
      <c r="I833" s="1749"/>
      <c r="J833" s="1750"/>
    </row>
    <row r="834" spans="1:10" ht="15.75" customHeight="1">
      <c r="A834" s="1786"/>
      <c r="B834" s="1787" t="s">
        <v>2095</v>
      </c>
      <c r="C834" s="1788" t="s">
        <v>2111</v>
      </c>
      <c r="D834" s="1772"/>
      <c r="E834" s="1773"/>
      <c r="F834" s="1774"/>
      <c r="G834" s="1775">
        <f>ROUNDUP((G832+G833),2)</f>
        <v>824806.04</v>
      </c>
      <c r="H834" s="1776"/>
      <c r="I834" s="1776"/>
      <c r="J834" s="1789"/>
    </row>
    <row r="835" spans="1:10" ht="15.75" customHeight="1">
      <c r="A835" s="1733"/>
      <c r="B835" s="1733"/>
      <c r="C835" s="1733"/>
      <c r="D835" s="1733"/>
      <c r="E835" s="1733"/>
      <c r="F835" s="1733"/>
      <c r="G835" s="1733"/>
      <c r="H835" s="28"/>
      <c r="I835" s="1733"/>
      <c r="J835" s="1733"/>
    </row>
    <row r="836" spans="1:10" ht="15.75" customHeight="1">
      <c r="A836" s="1778">
        <f>A818+1</f>
        <v>33</v>
      </c>
      <c r="B836" s="1779" t="s">
        <v>2437</v>
      </c>
      <c r="C836" s="1872" t="s">
        <v>2438</v>
      </c>
      <c r="D836" s="1911"/>
      <c r="E836" s="1911"/>
      <c r="F836" s="1911"/>
      <c r="G836" s="1912"/>
      <c r="H836" s="1800"/>
      <c r="I836" s="1800"/>
      <c r="J836" s="1801"/>
    </row>
    <row r="837" spans="1:10" ht="15.75" customHeight="1">
      <c r="A837" s="1780"/>
      <c r="B837" s="1739" t="s">
        <v>1004</v>
      </c>
      <c r="C837" s="1755" t="s">
        <v>2075</v>
      </c>
      <c r="D837" s="1781"/>
      <c r="E837" s="413"/>
      <c r="F837" s="320"/>
      <c r="G837" s="320"/>
      <c r="H837" s="1802"/>
      <c r="I837" s="1802"/>
      <c r="J837" s="1803"/>
    </row>
    <row r="838" spans="1:10" ht="15.75" customHeight="1">
      <c r="A838" s="1780"/>
      <c r="B838" s="1784"/>
      <c r="C838" s="317" t="s">
        <v>2436</v>
      </c>
      <c r="D838" s="1781">
        <v>1.2</v>
      </c>
      <c r="E838" s="326" t="s">
        <v>103</v>
      </c>
      <c r="F838" s="1748">
        <f>'Bahan &amp; Upah'!C$15</f>
        <v>362172.63</v>
      </c>
      <c r="G838" s="332">
        <f>F838*D838</f>
        <v>434607.15600000002</v>
      </c>
      <c r="H838" s="1749">
        <v>1</v>
      </c>
      <c r="I838" s="1749">
        <f>(G838/G$850)*H838</f>
        <v>0.41884800153390911</v>
      </c>
      <c r="J838" s="1750"/>
    </row>
    <row r="839" spans="1:10" ht="15.75" customHeight="1">
      <c r="A839" s="1780"/>
      <c r="B839" s="1784"/>
      <c r="C839" s="317" t="s">
        <v>2080</v>
      </c>
      <c r="D839" s="1781">
        <v>135</v>
      </c>
      <c r="E839" s="413" t="s">
        <v>100</v>
      </c>
      <c r="F839" s="1748">
        <f>'Bahan &amp; Upah'!C$27</f>
        <v>1792.44</v>
      </c>
      <c r="G839" s="332">
        <f>F839*D839</f>
        <v>241979.4</v>
      </c>
      <c r="H839" s="1749">
        <v>1</v>
      </c>
      <c r="I839" s="1749">
        <f>(G839/G$850)*H839</f>
        <v>0.23320506048541548</v>
      </c>
      <c r="J839" s="1750"/>
    </row>
    <row r="840" spans="1:10" ht="15.75" customHeight="1">
      <c r="A840" s="1780"/>
      <c r="B840" s="1784"/>
      <c r="C840" s="317" t="s">
        <v>2081</v>
      </c>
      <c r="D840" s="1781">
        <v>0.54400000000000004</v>
      </c>
      <c r="E840" s="326" t="s">
        <v>103</v>
      </c>
      <c r="F840" s="1748">
        <f>'Bahan &amp; Upah'!C$11</f>
        <v>362812.55</v>
      </c>
      <c r="G840" s="1785">
        <f>F840*D840</f>
        <v>197370.02720000001</v>
      </c>
      <c r="H840" s="1749">
        <v>1</v>
      </c>
      <c r="I840" s="1752">
        <f>(G840/G$850)*H840</f>
        <v>0.19021325423231938</v>
      </c>
      <c r="J840" s="1750"/>
    </row>
    <row r="841" spans="1:10" ht="15.75" customHeight="1">
      <c r="A841" s="1780"/>
      <c r="B841" s="1784"/>
      <c r="C841" s="1753" t="s">
        <v>2091</v>
      </c>
      <c r="D841" s="1781"/>
      <c r="E841" s="413"/>
      <c r="F841" s="320"/>
      <c r="G841" s="361">
        <f>SUM(G838:G840)</f>
        <v>873956.58319999999</v>
      </c>
      <c r="H841" s="1749"/>
      <c r="I841" s="1754">
        <f>SUM(I838:I840)</f>
        <v>0.84226631625164394</v>
      </c>
      <c r="J841" s="1750"/>
    </row>
    <row r="842" spans="1:10" ht="15.75" customHeight="1">
      <c r="A842" s="1780"/>
      <c r="B842" s="1739" t="s">
        <v>1015</v>
      </c>
      <c r="C842" s="1755" t="s">
        <v>2067</v>
      </c>
      <c r="D842" s="1781"/>
      <c r="E842" s="413"/>
      <c r="F842" s="320"/>
      <c r="G842" s="320"/>
      <c r="H842" s="1749"/>
      <c r="I842" s="1749"/>
      <c r="J842" s="1750"/>
    </row>
    <row r="843" spans="1:10" ht="15.75" customHeight="1">
      <c r="A843" s="1780"/>
      <c r="B843" s="1784"/>
      <c r="C843" s="317" t="s">
        <v>2103</v>
      </c>
      <c r="D843" s="1781">
        <v>1</v>
      </c>
      <c r="E843" s="413" t="s">
        <v>2069</v>
      </c>
      <c r="F843" s="1747">
        <f>'Bahan &amp; Upah'!C$336</f>
        <v>96332.65</v>
      </c>
      <c r="G843" s="332">
        <f>F843*D843</f>
        <v>96332.65</v>
      </c>
      <c r="H843" s="1749">
        <v>1</v>
      </c>
      <c r="I843" s="1749">
        <f>(G843/G$850)*H843</f>
        <v>9.2839561838612542E-2</v>
      </c>
      <c r="J843" s="1750"/>
    </row>
    <row r="844" spans="1:10" ht="15.75" customHeight="1">
      <c r="A844" s="1780"/>
      <c r="B844" s="1784"/>
      <c r="C844" s="317" t="s">
        <v>2124</v>
      </c>
      <c r="D844" s="1781">
        <v>0.5</v>
      </c>
      <c r="E844" s="413" t="s">
        <v>2069</v>
      </c>
      <c r="F844" s="1747">
        <f>'Bahan &amp; Upah'!C$337</f>
        <v>114133.55</v>
      </c>
      <c r="G844" s="332">
        <f>F844*D844</f>
        <v>57066.775000000001</v>
      </c>
      <c r="H844" s="1749">
        <v>1</v>
      </c>
      <c r="I844" s="1749">
        <f>(G844/G$850)*H844</f>
        <v>5.49974944792102E-2</v>
      </c>
      <c r="J844" s="1750"/>
    </row>
    <row r="845" spans="1:10" ht="15.75" customHeight="1">
      <c r="A845" s="1780"/>
      <c r="B845" s="1784"/>
      <c r="C845" s="317" t="s">
        <v>2107</v>
      </c>
      <c r="D845" s="1781">
        <v>0.1</v>
      </c>
      <c r="E845" s="413" t="s">
        <v>2069</v>
      </c>
      <c r="F845" s="1751">
        <f>'Bahan &amp; Upah'!C$339</f>
        <v>102689.88</v>
      </c>
      <c r="G845" s="1785">
        <f>F845*D845</f>
        <v>10268.988000000001</v>
      </c>
      <c r="H845" s="1749">
        <v>1</v>
      </c>
      <c r="I845" s="1752">
        <f>(G845/G$850)*H845</f>
        <v>9.8966274305333675E-3</v>
      </c>
      <c r="J845" s="1750"/>
    </row>
    <row r="846" spans="1:10" ht="15.75" customHeight="1">
      <c r="A846" s="1780"/>
      <c r="B846" s="1784"/>
      <c r="C846" s="1753" t="s">
        <v>2108</v>
      </c>
      <c r="D846" s="1781"/>
      <c r="E846" s="413"/>
      <c r="F846" s="317"/>
      <c r="G846" s="361">
        <f>SUM(G843:G845)</f>
        <v>163668.413</v>
      </c>
      <c r="H846" s="1749"/>
      <c r="I846" s="1754">
        <f>SUM(I843:I845)</f>
        <v>0.15773368374835611</v>
      </c>
      <c r="J846" s="1750"/>
    </row>
    <row r="847" spans="1:10" ht="15.75" customHeight="1">
      <c r="A847" s="1780"/>
      <c r="B847" s="1739" t="s">
        <v>1048</v>
      </c>
      <c r="C847" s="1755" t="s">
        <v>2109</v>
      </c>
      <c r="D847" s="1781"/>
      <c r="E847" s="413"/>
      <c r="F847" s="320"/>
      <c r="G847" s="320"/>
      <c r="H847" s="1749"/>
      <c r="I847" s="1749"/>
      <c r="J847" s="1750"/>
    </row>
    <row r="848" spans="1:10" ht="15.75" customHeight="1">
      <c r="A848" s="1780"/>
      <c r="B848" s="1739"/>
      <c r="C848" s="1755"/>
      <c r="D848" s="1781"/>
      <c r="E848" s="413"/>
      <c r="F848" s="320"/>
      <c r="G848" s="1785">
        <f>F848*D848</f>
        <v>0</v>
      </c>
      <c r="H848" s="1749"/>
      <c r="I848" s="1749"/>
      <c r="J848" s="1750"/>
    </row>
    <row r="849" spans="1:10" ht="15.75" customHeight="1">
      <c r="A849" s="1780"/>
      <c r="B849" s="1784"/>
      <c r="C849" s="1753" t="s">
        <v>2110</v>
      </c>
      <c r="D849" s="1781"/>
      <c r="E849" s="413"/>
      <c r="F849" s="320"/>
      <c r="G849" s="361">
        <f>SUM(G848)</f>
        <v>0</v>
      </c>
      <c r="H849" s="1749"/>
      <c r="I849" s="1749"/>
      <c r="J849" s="1750"/>
    </row>
    <row r="850" spans="1:10" ht="15.75" customHeight="1">
      <c r="A850" s="1780"/>
      <c r="B850" s="1739" t="s">
        <v>979</v>
      </c>
      <c r="C850" s="1804" t="s">
        <v>2129</v>
      </c>
      <c r="D850" s="1763"/>
      <c r="E850" s="1764"/>
      <c r="F850" s="1765"/>
      <c r="G850" s="1765">
        <f>G841+G846+G849</f>
        <v>1037624.9961999999</v>
      </c>
      <c r="H850" s="1749"/>
      <c r="I850" s="1766">
        <f>I841+I846</f>
        <v>1</v>
      </c>
      <c r="J850" s="1750"/>
    </row>
    <row r="851" spans="1:10" ht="15.75" customHeight="1">
      <c r="A851" s="1780"/>
      <c r="B851" s="1739" t="s">
        <v>2093</v>
      </c>
      <c r="C851" s="1762" t="s">
        <v>2094</v>
      </c>
      <c r="D851" s="1767">
        <f>M$4</f>
        <v>0.15</v>
      </c>
      <c r="E851" s="1768"/>
      <c r="F851" s="1765"/>
      <c r="G851" s="1765">
        <f>G850*D851</f>
        <v>155643.74943</v>
      </c>
      <c r="H851" s="1749"/>
      <c r="I851" s="1749"/>
      <c r="J851" s="1750"/>
    </row>
    <row r="852" spans="1:10" ht="15.75" customHeight="1">
      <c r="A852" s="1786"/>
      <c r="B852" s="1787" t="s">
        <v>2095</v>
      </c>
      <c r="C852" s="1788" t="s">
        <v>2111</v>
      </c>
      <c r="D852" s="1772"/>
      <c r="E852" s="1773"/>
      <c r="F852" s="1774"/>
      <c r="G852" s="1775">
        <f>ROUNDUP((G850+G851),2)</f>
        <v>1193268.75</v>
      </c>
      <c r="H852" s="1776"/>
      <c r="I852" s="1776"/>
      <c r="J852" s="1789"/>
    </row>
    <row r="853" spans="1:10" ht="15.75" customHeight="1">
      <c r="A853" s="1733"/>
      <c r="B853" s="1733"/>
      <c r="C853" s="1733"/>
      <c r="D853" s="1733"/>
      <c r="E853" s="1733"/>
      <c r="F853" s="1733"/>
      <c r="G853" s="1733"/>
      <c r="H853" s="28"/>
      <c r="I853" s="1733"/>
      <c r="J853" s="1733"/>
    </row>
    <row r="854" spans="1:10" ht="15.75" customHeight="1">
      <c r="A854" s="1778">
        <f>A836+1</f>
        <v>34</v>
      </c>
      <c r="B854" s="1779" t="s">
        <v>2439</v>
      </c>
      <c r="C854" s="1872" t="s">
        <v>2440</v>
      </c>
      <c r="D854" s="1911"/>
      <c r="E854" s="1911"/>
      <c r="F854" s="1911"/>
      <c r="G854" s="1912"/>
      <c r="H854" s="1800"/>
      <c r="I854" s="1800"/>
      <c r="J854" s="1801"/>
    </row>
    <row r="855" spans="1:10" ht="15.75" customHeight="1">
      <c r="A855" s="1780"/>
      <c r="B855" s="1739" t="s">
        <v>1004</v>
      </c>
      <c r="C855" s="1755" t="s">
        <v>2075</v>
      </c>
      <c r="D855" s="1781"/>
      <c r="E855" s="413"/>
      <c r="F855" s="320"/>
      <c r="G855" s="320"/>
      <c r="H855" s="1802"/>
      <c r="I855" s="1802"/>
      <c r="J855" s="1803"/>
    </row>
    <row r="856" spans="1:10" ht="15.75" customHeight="1">
      <c r="A856" s="1780"/>
      <c r="B856" s="1784"/>
      <c r="C856" s="317" t="s">
        <v>2436</v>
      </c>
      <c r="D856" s="1781">
        <v>1.2</v>
      </c>
      <c r="E856" s="326" t="s">
        <v>103</v>
      </c>
      <c r="F856" s="1748">
        <f>'Bahan &amp; Upah'!C$15</f>
        <v>362172.63</v>
      </c>
      <c r="G856" s="332">
        <f>F856*D856</f>
        <v>434607.15600000002</v>
      </c>
      <c r="H856" s="1749">
        <v>1</v>
      </c>
      <c r="I856" s="1749">
        <f>(G856/G$868)*H856</f>
        <v>0.34413186402796359</v>
      </c>
      <c r="J856" s="1750"/>
    </row>
    <row r="857" spans="1:10" ht="15.75" customHeight="1">
      <c r="A857" s="1780"/>
      <c r="B857" s="1784"/>
      <c r="C857" s="317" t="s">
        <v>2080</v>
      </c>
      <c r="D857" s="1781">
        <v>252</v>
      </c>
      <c r="E857" s="413" t="s">
        <v>100</v>
      </c>
      <c r="F857" s="1748">
        <f>'Bahan &amp; Upah'!C$27</f>
        <v>1792.44</v>
      </c>
      <c r="G857" s="332">
        <f>F857*D857</f>
        <v>451694.88</v>
      </c>
      <c r="H857" s="1749">
        <v>1</v>
      </c>
      <c r="I857" s="1749">
        <f>(G857/G$868)*H857</f>
        <v>0.35766231383978253</v>
      </c>
      <c r="J857" s="1750"/>
    </row>
    <row r="858" spans="1:10" ht="15.75" customHeight="1">
      <c r="A858" s="1780"/>
      <c r="B858" s="1784"/>
      <c r="C858" s="317" t="s">
        <v>2081</v>
      </c>
      <c r="D858" s="1781">
        <v>0.44</v>
      </c>
      <c r="E858" s="326" t="s">
        <v>103</v>
      </c>
      <c r="F858" s="1748">
        <f>'Bahan &amp; Upah'!C$11</f>
        <v>362812.55</v>
      </c>
      <c r="G858" s="1785">
        <f>F858*D858</f>
        <v>159637.522</v>
      </c>
      <c r="H858" s="1749">
        <v>1</v>
      </c>
      <c r="I858" s="1752">
        <f>(G858/G$868)*H858</f>
        <v>0.12640463291098006</v>
      </c>
      <c r="J858" s="1750"/>
    </row>
    <row r="859" spans="1:10" ht="15.75" customHeight="1">
      <c r="A859" s="1780"/>
      <c r="B859" s="1784"/>
      <c r="C859" s="1753" t="s">
        <v>2091</v>
      </c>
      <c r="D859" s="1781"/>
      <c r="E859" s="413"/>
      <c r="F859" s="320"/>
      <c r="G859" s="361">
        <f>SUM(G856:G858)</f>
        <v>1045939.5580000001</v>
      </c>
      <c r="H859" s="1749"/>
      <c r="I859" s="1754">
        <f>SUM(I856:I858)</f>
        <v>0.82819881077872615</v>
      </c>
      <c r="J859" s="1750"/>
    </row>
    <row r="860" spans="1:10" ht="15.75" customHeight="1">
      <c r="A860" s="1780"/>
      <c r="B860" s="1739" t="s">
        <v>1015</v>
      </c>
      <c r="C860" s="1755" t="s">
        <v>2067</v>
      </c>
      <c r="D860" s="1781"/>
      <c r="E860" s="413"/>
      <c r="F860" s="320"/>
      <c r="G860" s="320"/>
      <c r="H860" s="1749"/>
      <c r="I860" s="1749"/>
      <c r="J860" s="1750"/>
    </row>
    <row r="861" spans="1:10" ht="15.75" customHeight="1">
      <c r="A861" s="1780"/>
      <c r="B861" s="1784"/>
      <c r="C861" s="317" t="s">
        <v>2103</v>
      </c>
      <c r="D861" s="1781">
        <v>1.5</v>
      </c>
      <c r="E861" s="413" t="s">
        <v>2069</v>
      </c>
      <c r="F861" s="1747">
        <f>'Bahan &amp; Upah'!C$336</f>
        <v>96332.65</v>
      </c>
      <c r="G861" s="332">
        <f>F861*D861</f>
        <v>144498.97499999998</v>
      </c>
      <c r="H861" s="1749">
        <v>1</v>
      </c>
      <c r="I861" s="1749">
        <f>(G861/G$868)*H861</f>
        <v>0.11441758592875102</v>
      </c>
      <c r="J861" s="1750"/>
    </row>
    <row r="862" spans="1:10" ht="15.75" customHeight="1">
      <c r="A862" s="1780"/>
      <c r="B862" s="1784"/>
      <c r="C862" s="317" t="s">
        <v>2124</v>
      </c>
      <c r="D862" s="1781">
        <v>0.5</v>
      </c>
      <c r="E862" s="413" t="s">
        <v>2069</v>
      </c>
      <c r="F862" s="1747">
        <f>'Bahan &amp; Upah'!C$337</f>
        <v>114133.55</v>
      </c>
      <c r="G862" s="332">
        <f>F862*D862</f>
        <v>57066.775000000001</v>
      </c>
      <c r="H862" s="1749">
        <v>1</v>
      </c>
      <c r="I862" s="1749">
        <f>(G862/G$868)*H862</f>
        <v>4.518677473137233E-2</v>
      </c>
      <c r="J862" s="1750"/>
    </row>
    <row r="863" spans="1:10" ht="15.75" customHeight="1">
      <c r="A863" s="1780"/>
      <c r="B863" s="1784"/>
      <c r="C863" s="317" t="s">
        <v>2107</v>
      </c>
      <c r="D863" s="1781">
        <v>0.15</v>
      </c>
      <c r="E863" s="413" t="s">
        <v>2069</v>
      </c>
      <c r="F863" s="1751">
        <f>'Bahan &amp; Upah'!C$339</f>
        <v>102689.88</v>
      </c>
      <c r="G863" s="1785">
        <f>F863*D863</f>
        <v>15403.482</v>
      </c>
      <c r="H863" s="1749">
        <v>1</v>
      </c>
      <c r="I863" s="1752">
        <f>(G863/G$868)*H863</f>
        <v>1.2196828561150485E-2</v>
      </c>
      <c r="J863" s="1750"/>
    </row>
    <row r="864" spans="1:10" ht="15.75" customHeight="1">
      <c r="A864" s="1780"/>
      <c r="B864" s="1784"/>
      <c r="C864" s="1753" t="s">
        <v>2108</v>
      </c>
      <c r="D864" s="1781"/>
      <c r="E864" s="413"/>
      <c r="F864" s="317"/>
      <c r="G864" s="361">
        <f>SUM(G861:G863)</f>
        <v>216969.23199999996</v>
      </c>
      <c r="H864" s="1749"/>
      <c r="I864" s="1754">
        <f>SUM(I861:I863)</f>
        <v>0.17180118922127383</v>
      </c>
      <c r="J864" s="1750"/>
    </row>
    <row r="865" spans="1:10" ht="15.75" customHeight="1">
      <c r="A865" s="1780"/>
      <c r="B865" s="1739" t="s">
        <v>1048</v>
      </c>
      <c r="C865" s="1755" t="s">
        <v>2109</v>
      </c>
      <c r="D865" s="1781"/>
      <c r="E865" s="413"/>
      <c r="F865" s="320"/>
      <c r="G865" s="320"/>
      <c r="H865" s="1749"/>
      <c r="I865" s="1749"/>
      <c r="J865" s="1750"/>
    </row>
    <row r="866" spans="1:10" ht="15.75" customHeight="1">
      <c r="A866" s="1780"/>
      <c r="B866" s="1739"/>
      <c r="C866" s="1755"/>
      <c r="D866" s="1781"/>
      <c r="E866" s="413"/>
      <c r="F866" s="320"/>
      <c r="G866" s="1785">
        <f>F866*D866</f>
        <v>0</v>
      </c>
      <c r="H866" s="1749"/>
      <c r="I866" s="1749"/>
      <c r="J866" s="1750"/>
    </row>
    <row r="867" spans="1:10" ht="15.75" customHeight="1">
      <c r="A867" s="1780"/>
      <c r="B867" s="1784"/>
      <c r="C867" s="1753" t="s">
        <v>2110</v>
      </c>
      <c r="D867" s="1781"/>
      <c r="E867" s="413"/>
      <c r="F867" s="320"/>
      <c r="G867" s="361">
        <f>SUM(G866)</f>
        <v>0</v>
      </c>
      <c r="H867" s="1749"/>
      <c r="I867" s="1749"/>
      <c r="J867" s="1750"/>
    </row>
    <row r="868" spans="1:10" ht="15.75" customHeight="1">
      <c r="A868" s="1780"/>
      <c r="B868" s="1739" t="s">
        <v>979</v>
      </c>
      <c r="C868" s="1804" t="s">
        <v>2129</v>
      </c>
      <c r="D868" s="1763"/>
      <c r="E868" s="1764"/>
      <c r="F868" s="1765"/>
      <c r="G868" s="1765">
        <f>G859+G864+G867</f>
        <v>1262908.79</v>
      </c>
      <c r="H868" s="1749"/>
      <c r="I868" s="1766">
        <f>I859+I864</f>
        <v>1</v>
      </c>
      <c r="J868" s="1750"/>
    </row>
    <row r="869" spans="1:10" ht="15.75" customHeight="1">
      <c r="A869" s="1780"/>
      <c r="B869" s="1739" t="s">
        <v>2093</v>
      </c>
      <c r="C869" s="1762" t="s">
        <v>2094</v>
      </c>
      <c r="D869" s="1767">
        <f>M$4</f>
        <v>0.15</v>
      </c>
      <c r="E869" s="1768"/>
      <c r="F869" s="1765"/>
      <c r="G869" s="1765">
        <f>G868*D869</f>
        <v>189436.31849999999</v>
      </c>
      <c r="H869" s="1749"/>
      <c r="I869" s="1749"/>
      <c r="J869" s="1750"/>
    </row>
    <row r="870" spans="1:10" ht="15.75" customHeight="1">
      <c r="A870" s="1786"/>
      <c r="B870" s="1787" t="s">
        <v>2095</v>
      </c>
      <c r="C870" s="1788" t="s">
        <v>2111</v>
      </c>
      <c r="D870" s="1772"/>
      <c r="E870" s="1773"/>
      <c r="F870" s="1774"/>
      <c r="G870" s="1775">
        <f>ROUNDUP((G868+G869),2)</f>
        <v>1452345.11</v>
      </c>
      <c r="H870" s="1776"/>
      <c r="I870" s="1776"/>
      <c r="J870" s="1789"/>
    </row>
    <row r="871" spans="1:10" ht="15.75" customHeight="1">
      <c r="A871" s="1733"/>
      <c r="B871" s="1733"/>
      <c r="C871" s="1733"/>
      <c r="D871" s="1733"/>
      <c r="E871" s="1733"/>
      <c r="F871" s="1733"/>
      <c r="G871" s="1733"/>
      <c r="H871" s="28"/>
      <c r="I871" s="1733"/>
      <c r="J871" s="1733"/>
    </row>
    <row r="872" spans="1:10" ht="30" customHeight="1">
      <c r="A872" s="1778">
        <f>A854+1</f>
        <v>35</v>
      </c>
      <c r="B872" s="1871" t="s">
        <v>2441</v>
      </c>
      <c r="C872" s="1872" t="s">
        <v>2442</v>
      </c>
      <c r="D872" s="1911"/>
      <c r="E872" s="1911"/>
      <c r="F872" s="1911"/>
      <c r="G872" s="1912"/>
      <c r="H872" s="1800"/>
      <c r="I872" s="1800"/>
      <c r="J872" s="1733"/>
    </row>
    <row r="873" spans="1:10" ht="15.75" customHeight="1">
      <c r="A873" s="1780"/>
      <c r="B873" s="1739" t="s">
        <v>1004</v>
      </c>
      <c r="C873" s="1755" t="s">
        <v>2075</v>
      </c>
      <c r="D873" s="1781"/>
      <c r="E873" s="413"/>
      <c r="F873" s="320"/>
      <c r="G873" s="320"/>
      <c r="H873" s="1802"/>
      <c r="I873" s="1802"/>
      <c r="J873" s="1733"/>
    </row>
    <row r="874" spans="1:10" ht="15.75" customHeight="1">
      <c r="A874" s="1780"/>
      <c r="B874" s="1784"/>
      <c r="C874" s="317" t="s">
        <v>2443</v>
      </c>
      <c r="D874" s="1781">
        <v>1.1000000000000001</v>
      </c>
      <c r="E874" s="326" t="s">
        <v>10</v>
      </c>
      <c r="F874" s="1748">
        <f>'Bahan &amp; Upah'!C$101/4</f>
        <v>7440.9224999999997</v>
      </c>
      <c r="G874" s="361">
        <f>F874*D874</f>
        <v>8185.0147500000003</v>
      </c>
      <c r="H874" s="1817">
        <v>1</v>
      </c>
      <c r="I874" s="1817">
        <f>(G874/G$885)*H874</f>
        <v>0.28137100629337269</v>
      </c>
      <c r="J874" s="1733"/>
    </row>
    <row r="875" spans="1:10" ht="15.75" customHeight="1">
      <c r="A875" s="1780"/>
      <c r="B875" s="1784"/>
      <c r="C875" s="317" t="s">
        <v>2444</v>
      </c>
      <c r="D875" s="1781">
        <v>0.25</v>
      </c>
      <c r="E875" s="413" t="s">
        <v>124</v>
      </c>
      <c r="F875" s="1748">
        <f>'Bahan &amp; Upah'!C$102</f>
        <v>15963.76</v>
      </c>
      <c r="G875" s="1969">
        <f>F875*D875</f>
        <v>3990.94</v>
      </c>
      <c r="H875" s="1817"/>
      <c r="I875" s="1818"/>
      <c r="J875" s="1733"/>
    </row>
    <row r="876" spans="1:10" ht="15.75" customHeight="1">
      <c r="A876" s="1780"/>
      <c r="B876" s="1784"/>
      <c r="C876" s="1753" t="s">
        <v>2091</v>
      </c>
      <c r="D876" s="1781"/>
      <c r="E876" s="413"/>
      <c r="F876" s="320"/>
      <c r="G876" s="361">
        <f>SUM(G874:G875)</f>
        <v>12175.954750000001</v>
      </c>
      <c r="H876" s="1817"/>
      <c r="I876" s="1818">
        <f>SUM(I874:I874)</f>
        <v>0.28137100629337269</v>
      </c>
      <c r="J876" s="1733"/>
    </row>
    <row r="877" spans="1:10" ht="15.75" customHeight="1">
      <c r="A877" s="1780"/>
      <c r="B877" s="1739" t="s">
        <v>1015</v>
      </c>
      <c r="C877" s="1755" t="s">
        <v>2067</v>
      </c>
      <c r="D877" s="1781"/>
      <c r="E877" s="413"/>
      <c r="F877" s="320"/>
      <c r="G877" s="361"/>
      <c r="H877" s="1817"/>
      <c r="I877" s="1817"/>
      <c r="J877" s="1733"/>
    </row>
    <row r="878" spans="1:10" ht="15.75" customHeight="1">
      <c r="A878" s="1780"/>
      <c r="B878" s="1784"/>
      <c r="C878" s="1878" t="s">
        <v>2103</v>
      </c>
      <c r="D878" s="1781">
        <v>6.0499999999999998E-2</v>
      </c>
      <c r="E878" s="413" t="s">
        <v>2069</v>
      </c>
      <c r="F878" s="1747">
        <v>126217.56</v>
      </c>
      <c r="G878" s="361">
        <f>F878*D878</f>
        <v>7636.1623799999998</v>
      </c>
      <c r="H878" s="1817">
        <v>1</v>
      </c>
      <c r="I878" s="1817">
        <f>(G878/G$885)*H878</f>
        <v>0.26250346012879155</v>
      </c>
      <c r="J878" s="1733"/>
    </row>
    <row r="879" spans="1:10" ht="15.75" customHeight="1">
      <c r="A879" s="1780"/>
      <c r="B879" s="1784"/>
      <c r="C879" s="1878" t="s">
        <v>2445</v>
      </c>
      <c r="D879" s="1781">
        <v>6.0499999999999998E-2</v>
      </c>
      <c r="E879" s="413" t="s">
        <v>2069</v>
      </c>
      <c r="F879" s="1883">
        <v>135155.73000000001</v>
      </c>
      <c r="G879" s="361">
        <f>F879*D879</f>
        <v>8176.9216650000008</v>
      </c>
      <c r="H879" s="1817"/>
      <c r="I879" s="1818"/>
      <c r="J879" s="1733"/>
    </row>
    <row r="880" spans="1:10" ht="15.75" customHeight="1">
      <c r="A880" s="1780"/>
      <c r="B880" s="1784"/>
      <c r="C880" s="1878" t="s">
        <v>2107</v>
      </c>
      <c r="D880" s="1781">
        <v>6.0000000000000001E-3</v>
      </c>
      <c r="E880" s="413" t="s">
        <v>2069</v>
      </c>
      <c r="F880" s="1883">
        <v>183453.36</v>
      </c>
      <c r="G880" s="1794">
        <f>F880*D880</f>
        <v>1100.7201599999999</v>
      </c>
      <c r="H880" s="1817"/>
      <c r="I880" s="1818"/>
      <c r="J880" s="1733"/>
    </row>
    <row r="881" spans="1:10" ht="15.75" customHeight="1">
      <c r="A881" s="1780"/>
      <c r="B881" s="1784"/>
      <c r="C881" s="1753" t="s">
        <v>2108</v>
      </c>
      <c r="D881" s="1781"/>
      <c r="E881" s="413"/>
      <c r="F881" s="317"/>
      <c r="G881" s="1970">
        <f>SUM(G878:G880)</f>
        <v>16913.804205</v>
      </c>
      <c r="H881" s="1817"/>
      <c r="I881" s="1818">
        <f>SUM(I878:I878)</f>
        <v>0.26250346012879155</v>
      </c>
      <c r="J881" s="1733"/>
    </row>
    <row r="882" spans="1:10" ht="15.75" customHeight="1">
      <c r="A882" s="1780"/>
      <c r="B882" s="1739" t="s">
        <v>1048</v>
      </c>
      <c r="C882" s="1755" t="s">
        <v>2109</v>
      </c>
      <c r="D882" s="1781"/>
      <c r="E882" s="413"/>
      <c r="F882" s="320"/>
      <c r="G882" s="320"/>
      <c r="H882" s="1817"/>
      <c r="I882" s="1817"/>
      <c r="J882" s="1733"/>
    </row>
    <row r="883" spans="1:10" ht="15.75" customHeight="1">
      <c r="A883" s="1780"/>
      <c r="B883" s="1739"/>
      <c r="C883" s="1755"/>
      <c r="D883" s="1781"/>
      <c r="E883" s="413"/>
      <c r="F883" s="320"/>
      <c r="G883" s="1785">
        <f>F883*D883</f>
        <v>0</v>
      </c>
      <c r="H883" s="1817"/>
      <c r="I883" s="1817"/>
      <c r="J883" s="1733"/>
    </row>
    <row r="884" spans="1:10" ht="15.75" customHeight="1">
      <c r="A884" s="1780"/>
      <c r="B884" s="1784"/>
      <c r="C884" s="1753" t="s">
        <v>2110</v>
      </c>
      <c r="D884" s="1781"/>
      <c r="E884" s="413"/>
      <c r="F884" s="320"/>
      <c r="G884" s="361">
        <f>SUM(G883)</f>
        <v>0</v>
      </c>
      <c r="H884" s="1817"/>
      <c r="I884" s="1817"/>
      <c r="J884" s="1733"/>
    </row>
    <row r="885" spans="1:10" ht="15.75" customHeight="1">
      <c r="A885" s="1780"/>
      <c r="B885" s="1739" t="s">
        <v>979</v>
      </c>
      <c r="C885" s="1804" t="s">
        <v>2129</v>
      </c>
      <c r="D885" s="1763"/>
      <c r="E885" s="1764"/>
      <c r="F885" s="1765"/>
      <c r="G885" s="1765">
        <f>G876+G881+G884</f>
        <v>29089.758955000001</v>
      </c>
      <c r="H885" s="1817"/>
      <c r="I885" s="1822">
        <f>I876+I881</f>
        <v>0.54387446642216419</v>
      </c>
      <c r="J885" s="1733"/>
    </row>
    <row r="886" spans="1:10" ht="15.75" customHeight="1">
      <c r="A886" s="1780"/>
      <c r="B886" s="1739" t="s">
        <v>2093</v>
      </c>
      <c r="C886" s="1762" t="s">
        <v>2094</v>
      </c>
      <c r="D886" s="1823">
        <f>M$4</f>
        <v>0.15</v>
      </c>
      <c r="E886" s="1768"/>
      <c r="F886" s="1765"/>
      <c r="G886" s="1765">
        <f>G885*D886</f>
        <v>4363.4638432499996</v>
      </c>
      <c r="H886" s="1817"/>
      <c r="I886" s="1817"/>
      <c r="J886" s="1733"/>
    </row>
    <row r="887" spans="1:10" ht="15.75" customHeight="1">
      <c r="A887" s="1786"/>
      <c r="B887" s="1787" t="s">
        <v>2095</v>
      </c>
      <c r="C887" s="1788" t="s">
        <v>2111</v>
      </c>
      <c r="D887" s="1772"/>
      <c r="E887" s="1773"/>
      <c r="F887" s="1774"/>
      <c r="G887" s="1775">
        <f>ROUNDUP((G885+G886),2)</f>
        <v>33453.230000000003</v>
      </c>
      <c r="H887" s="1824"/>
      <c r="I887" s="1824"/>
      <c r="J887" s="1733"/>
    </row>
    <row r="888" spans="1:10" ht="15.75" customHeight="1">
      <c r="A888" s="1733"/>
      <c r="B888" s="1733"/>
      <c r="C888" s="1733"/>
      <c r="D888" s="1733"/>
      <c r="E888" s="1733"/>
      <c r="F888" s="1733"/>
      <c r="G888" s="1733"/>
      <c r="H888" s="28"/>
      <c r="I888" s="1733"/>
      <c r="J888" s="1733"/>
    </row>
    <row r="889" spans="1:10" ht="15.75" customHeight="1">
      <c r="A889" s="1778">
        <f>A872+1</f>
        <v>36</v>
      </c>
      <c r="B889" s="1779" t="s">
        <v>2446</v>
      </c>
      <c r="C889" s="1872" t="s">
        <v>2447</v>
      </c>
      <c r="D889" s="1971"/>
      <c r="E889" s="1874"/>
      <c r="F889" s="1875"/>
      <c r="G889" s="1875"/>
      <c r="H889" s="1972"/>
      <c r="I889" s="1972"/>
      <c r="J889" s="1973"/>
    </row>
    <row r="890" spans="1:10" ht="15.75" customHeight="1">
      <c r="A890" s="1780"/>
      <c r="B890" s="1739" t="s">
        <v>1004</v>
      </c>
      <c r="C890" s="1877" t="s">
        <v>2067</v>
      </c>
      <c r="D890" s="390"/>
      <c r="E890" s="413"/>
      <c r="F890" s="320"/>
      <c r="G890" s="320"/>
      <c r="H890" s="318"/>
      <c r="I890" s="318"/>
      <c r="J890" s="1783"/>
    </row>
    <row r="891" spans="1:10" ht="15.75" customHeight="1">
      <c r="A891" s="1780"/>
      <c r="B891" s="1739"/>
      <c r="C891" s="1878" t="s">
        <v>2103</v>
      </c>
      <c r="D891" s="1781">
        <v>0.52</v>
      </c>
      <c r="E891" s="413" t="s">
        <v>2069</v>
      </c>
      <c r="F891" s="1747">
        <f>'Bahan &amp; Upah'!C$336</f>
        <v>96332.65</v>
      </c>
      <c r="G891" s="361">
        <f>F891*D891</f>
        <v>50092.977999999996</v>
      </c>
      <c r="H891" s="1793">
        <v>1</v>
      </c>
      <c r="I891" s="1793">
        <f>(G891/G$903)*H891</f>
        <v>0.26288432946077855</v>
      </c>
      <c r="J891" s="1750"/>
    </row>
    <row r="892" spans="1:10" ht="15.75" customHeight="1">
      <c r="A892" s="1780"/>
      <c r="B892" s="1739"/>
      <c r="C892" s="1878" t="s">
        <v>2070</v>
      </c>
      <c r="D892" s="1781">
        <v>0.26</v>
      </c>
      <c r="E892" s="413" t="s">
        <v>2069</v>
      </c>
      <c r="F892" s="1883">
        <f>'Bahan &amp; Upah'!C$337</f>
        <v>114133.55</v>
      </c>
      <c r="G892" s="361">
        <f>F892*D892</f>
        <v>29674.723000000002</v>
      </c>
      <c r="H892" s="1793">
        <v>1</v>
      </c>
      <c r="I892" s="1793">
        <f>(G892/G$903)*H892</f>
        <v>0.15573080238490403</v>
      </c>
      <c r="J892" s="1974"/>
    </row>
    <row r="893" spans="1:10" ht="15.75" customHeight="1">
      <c r="A893" s="1780"/>
      <c r="B893" s="1739"/>
      <c r="C893" s="1878" t="s">
        <v>2072</v>
      </c>
      <c r="D893" s="1781">
        <v>2.5999999999999999E-2</v>
      </c>
      <c r="E893" s="413" t="s">
        <v>2069</v>
      </c>
      <c r="F893" s="1748">
        <f>'Bahan &amp; Upah'!C$338</f>
        <v>125485.75</v>
      </c>
      <c r="G893" s="361">
        <f>F893*D893</f>
        <v>3262.6295</v>
      </c>
      <c r="H893" s="1793">
        <v>1</v>
      </c>
      <c r="I893" s="1793">
        <f>(G893/G$903)*H893</f>
        <v>1.7122043899774841E-2</v>
      </c>
      <c r="J893" s="1974"/>
    </row>
    <row r="894" spans="1:10" ht="15.75" customHeight="1">
      <c r="A894" s="1780"/>
      <c r="B894" s="1739"/>
      <c r="C894" s="1878" t="s">
        <v>2107</v>
      </c>
      <c r="D894" s="1781">
        <v>8.9999999999999993E-3</v>
      </c>
      <c r="E894" s="413" t="s">
        <v>2069</v>
      </c>
      <c r="F894" s="1883">
        <f>'Bahan &amp; Upah'!C$339</f>
        <v>102689.88</v>
      </c>
      <c r="G894" s="1785">
        <f>F894*D894</f>
        <v>924.20891999999992</v>
      </c>
      <c r="H894" s="1793">
        <v>1</v>
      </c>
      <c r="I894" s="1795">
        <f>(G894/G$903)*H894</f>
        <v>4.8501816405459135E-3</v>
      </c>
      <c r="J894" s="1974"/>
    </row>
    <row r="895" spans="1:10" ht="15.75" customHeight="1">
      <c r="A895" s="1780"/>
      <c r="B895" s="1739"/>
      <c r="C895" s="1889" t="s">
        <v>2108</v>
      </c>
      <c r="D895" s="1781"/>
      <c r="E895" s="413"/>
      <c r="F895" s="320"/>
      <c r="G895" s="361">
        <f>SUM(G891:G894)</f>
        <v>83954.539420000001</v>
      </c>
      <c r="H895" s="1975"/>
      <c r="I895" s="1975">
        <f>SUM(I891:I894)</f>
        <v>0.4405873573860033</v>
      </c>
      <c r="J895" s="1974"/>
    </row>
    <row r="896" spans="1:10" ht="15.75" customHeight="1">
      <c r="A896" s="1780"/>
      <c r="B896" s="1739" t="s">
        <v>1015</v>
      </c>
      <c r="C896" s="1877" t="s">
        <v>2075</v>
      </c>
      <c r="D896" s="1781"/>
      <c r="E896" s="413"/>
      <c r="F896" s="320"/>
      <c r="G896" s="320"/>
      <c r="H896" s="1975"/>
      <c r="I896" s="1975"/>
      <c r="J896" s="1974"/>
    </row>
    <row r="897" spans="1:10" ht="15.75" customHeight="1">
      <c r="A897" s="1780"/>
      <c r="B897" s="1739"/>
      <c r="C897" s="1878" t="s">
        <v>2448</v>
      </c>
      <c r="D897" s="1781">
        <v>1.6E-2</v>
      </c>
      <c r="E897" s="413" t="s">
        <v>103</v>
      </c>
      <c r="F897" s="1883">
        <f>'Bahan &amp; Upah'!C$100</f>
        <v>5736845.7699999996</v>
      </c>
      <c r="G897" s="361">
        <f>F897*D897</f>
        <v>91789.532319999998</v>
      </c>
      <c r="H897" s="1975">
        <v>1</v>
      </c>
      <c r="I897" s="1793">
        <f>(G897/G$903)*H897</f>
        <v>0.4817048340679938</v>
      </c>
      <c r="J897" s="1974"/>
    </row>
    <row r="898" spans="1:10" ht="15.75" customHeight="1">
      <c r="A898" s="1780"/>
      <c r="B898" s="1739"/>
      <c r="C898" s="1878" t="s">
        <v>2078</v>
      </c>
      <c r="D898" s="1781">
        <v>0.3</v>
      </c>
      <c r="E898" s="413" t="s">
        <v>100</v>
      </c>
      <c r="F898" s="1883">
        <f>'Bahan &amp; Upah'!C$54</f>
        <v>36067.67</v>
      </c>
      <c r="G898" s="361">
        <f>F898*D898</f>
        <v>10820.300999999999</v>
      </c>
      <c r="H898" s="1749">
        <v>0.27879999999999999</v>
      </c>
      <c r="I898" s="1793">
        <f>(G898/G$903)*H898</f>
        <v>1.5831423225389458E-2</v>
      </c>
      <c r="J898" s="1974"/>
    </row>
    <row r="899" spans="1:10" ht="15.75" customHeight="1">
      <c r="A899" s="1780"/>
      <c r="B899" s="1739"/>
      <c r="C899" s="1878" t="s">
        <v>2449</v>
      </c>
      <c r="D899" s="1781">
        <v>0.1</v>
      </c>
      <c r="E899" s="413" t="s">
        <v>2450</v>
      </c>
      <c r="F899" s="1883">
        <f>'Bahan &amp; Upah'!C$156</f>
        <v>39870.31</v>
      </c>
      <c r="G899" s="1794">
        <f>F899*D899</f>
        <v>3987.0309999999999</v>
      </c>
      <c r="H899" s="1975">
        <v>0.55000000000000004</v>
      </c>
      <c r="I899" s="1795">
        <f>(G899/G$903)*H899</f>
        <v>1.1508007849640836E-2</v>
      </c>
      <c r="J899" s="1974"/>
    </row>
    <row r="900" spans="1:10" ht="15.75" customHeight="1">
      <c r="A900" s="1780"/>
      <c r="B900" s="1784"/>
      <c r="C900" s="1753" t="s">
        <v>2091</v>
      </c>
      <c r="D900" s="1781"/>
      <c r="E900" s="413"/>
      <c r="F900" s="1883"/>
      <c r="G900" s="361">
        <f>SUM(G897:G899)</f>
        <v>106596.86432000001</v>
      </c>
      <c r="H900" s="1975"/>
      <c r="I900" s="1975">
        <f>SUM(I898:I899)</f>
        <v>2.7339431075030292E-2</v>
      </c>
      <c r="J900" s="1974"/>
    </row>
    <row r="901" spans="1:10" ht="15.75" customHeight="1">
      <c r="A901" s="1780"/>
      <c r="B901" s="1739" t="s">
        <v>1048</v>
      </c>
      <c r="C901" s="1877" t="s">
        <v>2246</v>
      </c>
      <c r="D901" s="1756"/>
      <c r="E901" s="333"/>
      <c r="F901" s="1883"/>
      <c r="G901" s="332"/>
      <c r="H901" s="1975"/>
      <c r="I901" s="1975"/>
      <c r="J901" s="1974"/>
    </row>
    <row r="902" spans="1:10" ht="15.75" customHeight="1">
      <c r="A902" s="1780"/>
      <c r="B902" s="1909"/>
      <c r="C902" s="1878"/>
      <c r="D902" s="1756"/>
      <c r="E902" s="333"/>
      <c r="F902" s="328"/>
      <c r="G902" s="361">
        <v>0</v>
      </c>
      <c r="H902" s="1975"/>
      <c r="I902" s="1975"/>
      <c r="J902" s="1974"/>
    </row>
    <row r="903" spans="1:10" ht="15.75" customHeight="1">
      <c r="A903" s="1780"/>
      <c r="B903" s="1784"/>
      <c r="C903" s="1804" t="s">
        <v>2242</v>
      </c>
      <c r="D903" s="1763"/>
      <c r="E903" s="1764"/>
      <c r="F903" s="1765"/>
      <c r="G903" s="1765">
        <f>G895+G900+G902</f>
        <v>190551.40374000001</v>
      </c>
      <c r="H903" s="1975"/>
      <c r="I903" s="1976">
        <f>I895+I900+I902</f>
        <v>0.46792678846103358</v>
      </c>
      <c r="J903" s="1974"/>
    </row>
    <row r="904" spans="1:10" ht="15.75" customHeight="1">
      <c r="A904" s="1780"/>
      <c r="B904" s="1784"/>
      <c r="C904" s="1762" t="s">
        <v>2094</v>
      </c>
      <c r="D904" s="1767">
        <f>M$4</f>
        <v>0.15</v>
      </c>
      <c r="E904" s="1768"/>
      <c r="F904" s="1765"/>
      <c r="G904" s="1765">
        <f>G903*D904</f>
        <v>28582.710561</v>
      </c>
      <c r="H904" s="1975"/>
      <c r="I904" s="1975"/>
      <c r="J904" s="1974"/>
    </row>
    <row r="905" spans="1:10" ht="15.75" customHeight="1">
      <c r="A905" s="1786"/>
      <c r="B905" s="1890"/>
      <c r="C905" s="1788" t="s">
        <v>2111</v>
      </c>
      <c r="D905" s="1772"/>
      <c r="E905" s="1773"/>
      <c r="F905" s="1774"/>
      <c r="G905" s="1775">
        <f>ROUNDUP((G903+G904),2)</f>
        <v>219134.12</v>
      </c>
      <c r="H905" s="1977"/>
      <c r="I905" s="1977"/>
      <c r="J905" s="1938"/>
    </row>
    <row r="906" spans="1:10" ht="15.75" customHeight="1">
      <c r="A906" s="1733"/>
      <c r="B906" s="1733"/>
      <c r="C906" s="1733"/>
      <c r="D906" s="1733"/>
      <c r="E906" s="1733"/>
      <c r="F906" s="1733"/>
      <c r="G906" s="1733"/>
      <c r="H906" s="28"/>
      <c r="I906" s="1733"/>
      <c r="J906" s="1733"/>
    </row>
    <row r="907" spans="1:10" ht="15.75" customHeight="1">
      <c r="A907" s="1778">
        <f>A889+1</f>
        <v>37</v>
      </c>
      <c r="B907" s="1779" t="s">
        <v>2451</v>
      </c>
      <c r="C907" s="1872" t="s">
        <v>2452</v>
      </c>
      <c r="D907" s="1971"/>
      <c r="E907" s="1874"/>
      <c r="F907" s="1875"/>
      <c r="G907" s="1875"/>
      <c r="H907" s="1978"/>
      <c r="I907" s="1978"/>
      <c r="J907" s="1801"/>
    </row>
    <row r="908" spans="1:10" ht="15.75" customHeight="1">
      <c r="A908" s="1780"/>
      <c r="B908" s="1739" t="s">
        <v>1004</v>
      </c>
      <c r="C908" s="1877" t="s">
        <v>2067</v>
      </c>
      <c r="D908" s="390"/>
      <c r="E908" s="413"/>
      <c r="F908" s="320"/>
      <c r="G908" s="320"/>
      <c r="H908" s="1979"/>
      <c r="I908" s="1979"/>
      <c r="J908" s="1803"/>
    </row>
    <row r="909" spans="1:10" ht="15.75" customHeight="1">
      <c r="A909" s="1780"/>
      <c r="B909" s="1739"/>
      <c r="C909" s="1878" t="s">
        <v>2103</v>
      </c>
      <c r="D909" s="1781">
        <v>0.52</v>
      </c>
      <c r="E909" s="413" t="s">
        <v>2069</v>
      </c>
      <c r="F909" s="1747">
        <f>'Bahan &amp; Upah'!C$336</f>
        <v>96332.65</v>
      </c>
      <c r="G909" s="361">
        <f>F909*D909</f>
        <v>50092.977999999996</v>
      </c>
      <c r="H909" s="1793">
        <v>1</v>
      </c>
      <c r="I909" s="1793">
        <f>(G909/G$921)*H909</f>
        <v>0.2479542352427693</v>
      </c>
      <c r="J909" s="1750"/>
    </row>
    <row r="910" spans="1:10" ht="15.75" customHeight="1">
      <c r="A910" s="1780"/>
      <c r="B910" s="1739"/>
      <c r="C910" s="1878" t="s">
        <v>2070</v>
      </c>
      <c r="D910" s="1781">
        <v>0.26</v>
      </c>
      <c r="E910" s="413" t="s">
        <v>2069</v>
      </c>
      <c r="F910" s="1883">
        <f>'Bahan &amp; Upah'!C$337</f>
        <v>114133.55</v>
      </c>
      <c r="G910" s="361">
        <f>F910*D910</f>
        <v>29674.723000000002</v>
      </c>
      <c r="H910" s="1793">
        <v>1</v>
      </c>
      <c r="I910" s="1793">
        <f>(G910/G$921)*H910</f>
        <v>0.14688632102299884</v>
      </c>
      <c r="J910" s="1974"/>
    </row>
    <row r="911" spans="1:10" ht="15.75" customHeight="1">
      <c r="A911" s="1780"/>
      <c r="B911" s="1739"/>
      <c r="C911" s="1878" t="s">
        <v>2072</v>
      </c>
      <c r="D911" s="1781">
        <v>2.5999999999999999E-2</v>
      </c>
      <c r="E911" s="413" t="s">
        <v>2069</v>
      </c>
      <c r="F911" s="1748">
        <f>'Bahan &amp; Upah'!C$338</f>
        <v>125485.75</v>
      </c>
      <c r="G911" s="361">
        <f>F911*D911</f>
        <v>3262.6295</v>
      </c>
      <c r="H911" s="1793">
        <v>1</v>
      </c>
      <c r="I911" s="1793">
        <f>(G911/G$921)*H911</f>
        <v>1.6149624854665236E-2</v>
      </c>
      <c r="J911" s="1974"/>
    </row>
    <row r="912" spans="1:10" ht="15.75" customHeight="1">
      <c r="A912" s="1780"/>
      <c r="B912" s="1739"/>
      <c r="C912" s="1878" t="s">
        <v>2107</v>
      </c>
      <c r="D912" s="1781">
        <v>8.9999999999999993E-3</v>
      </c>
      <c r="E912" s="413" t="s">
        <v>2069</v>
      </c>
      <c r="F912" s="1883">
        <f>'Bahan &amp; Upah'!C$339</f>
        <v>102689.88</v>
      </c>
      <c r="G912" s="1785">
        <f>F912*D912</f>
        <v>924.20891999999992</v>
      </c>
      <c r="H912" s="1793">
        <v>1</v>
      </c>
      <c r="I912" s="1795">
        <f>(G912/G$921)*H912</f>
        <v>4.5747233467162956E-3</v>
      </c>
      <c r="J912" s="1974"/>
    </row>
    <row r="913" spans="1:10" ht="15.75" customHeight="1">
      <c r="A913" s="1780"/>
      <c r="B913" s="1739"/>
      <c r="C913" s="1889" t="s">
        <v>2108</v>
      </c>
      <c r="D913" s="1781"/>
      <c r="E913" s="413"/>
      <c r="F913" s="320"/>
      <c r="G913" s="361">
        <f>SUM(G909:G912)</f>
        <v>83954.539420000001</v>
      </c>
      <c r="H913" s="1975"/>
      <c r="I913" s="1975">
        <f>SUM(I909:I912)</f>
        <v>0.41556490446714967</v>
      </c>
      <c r="J913" s="1974"/>
    </row>
    <row r="914" spans="1:10" ht="15.75" customHeight="1">
      <c r="A914" s="1780"/>
      <c r="B914" s="1739" t="s">
        <v>1015</v>
      </c>
      <c r="C914" s="1877" t="s">
        <v>2075</v>
      </c>
      <c r="D914" s="1781"/>
      <c r="E914" s="413"/>
      <c r="F914" s="320"/>
      <c r="G914" s="320"/>
      <c r="H914" s="1975"/>
      <c r="I914" s="1975"/>
      <c r="J914" s="1974"/>
    </row>
    <row r="915" spans="1:10" ht="15.75" customHeight="1">
      <c r="A915" s="1780"/>
      <c r="B915" s="1739"/>
      <c r="C915" s="1878" t="s">
        <v>2453</v>
      </c>
      <c r="D915" s="1781">
        <v>1.7999999999999999E-2</v>
      </c>
      <c r="E915" s="413" t="s">
        <v>103</v>
      </c>
      <c r="F915" s="1883">
        <f>'Bahan &amp; Upah'!C$100</f>
        <v>5736845.7699999996</v>
      </c>
      <c r="G915" s="361">
        <f>F915*D915</f>
        <v>103263.22385999998</v>
      </c>
      <c r="H915" s="1975">
        <v>1</v>
      </c>
      <c r="I915" s="1793">
        <f>(G915/G$921)*H915</f>
        <v>0.51114057744598829</v>
      </c>
      <c r="J915" s="1974"/>
    </row>
    <row r="916" spans="1:10" ht="15.75" customHeight="1">
      <c r="A916" s="1780"/>
      <c r="B916" s="1739"/>
      <c r="C916" s="1878" t="s">
        <v>2078</v>
      </c>
      <c r="D916" s="1781">
        <v>0.3</v>
      </c>
      <c r="E916" s="413" t="s">
        <v>100</v>
      </c>
      <c r="F916" s="1883">
        <f>'Bahan &amp; Upah'!C$54</f>
        <v>36067.67</v>
      </c>
      <c r="G916" s="361">
        <f>F916*D916</f>
        <v>10820.300999999999</v>
      </c>
      <c r="H916" s="1749">
        <v>0.27879999999999999</v>
      </c>
      <c r="I916" s="1793">
        <f>(G916/G$921)*H916</f>
        <v>1.4932302913254194E-2</v>
      </c>
      <c r="J916" s="1974"/>
    </row>
    <row r="917" spans="1:10" ht="15.75" customHeight="1">
      <c r="A917" s="1780"/>
      <c r="B917" s="1739"/>
      <c r="C917" s="1878" t="s">
        <v>2449</v>
      </c>
      <c r="D917" s="1781">
        <v>0.1</v>
      </c>
      <c r="E917" s="413" t="s">
        <v>2450</v>
      </c>
      <c r="F917" s="1883">
        <f>'Bahan &amp; Upah'!C$156</f>
        <v>39870.31</v>
      </c>
      <c r="G917" s="361">
        <f>F917*D917</f>
        <v>3987.0309999999999</v>
      </c>
      <c r="H917" s="1975">
        <v>0.55000000000000004</v>
      </c>
      <c r="I917" s="1795">
        <f>(G917/G$921)*H917</f>
        <v>1.0854428985472129E-2</v>
      </c>
      <c r="J917" s="1974"/>
    </row>
    <row r="918" spans="1:10" ht="15.75" customHeight="1">
      <c r="A918" s="1780"/>
      <c r="B918" s="1784"/>
      <c r="C918" s="1753" t="s">
        <v>2091</v>
      </c>
      <c r="D918" s="1781"/>
      <c r="E918" s="413"/>
      <c r="F918" s="1883"/>
      <c r="G918" s="361">
        <f>SUM(G915:G917)</f>
        <v>118070.55585999998</v>
      </c>
      <c r="H918" s="1975"/>
      <c r="I918" s="1975">
        <f>SUM(I915:I917)</f>
        <v>0.53692730934471466</v>
      </c>
      <c r="J918" s="1974"/>
    </row>
    <row r="919" spans="1:10" ht="15.75" customHeight="1">
      <c r="A919" s="1780"/>
      <c r="B919" s="1739" t="s">
        <v>1048</v>
      </c>
      <c r="C919" s="1877" t="s">
        <v>2246</v>
      </c>
      <c r="D919" s="1756"/>
      <c r="E919" s="333"/>
      <c r="F919" s="1883"/>
      <c r="G919" s="332"/>
      <c r="H919" s="1975"/>
      <c r="I919" s="1975"/>
      <c r="J919" s="1974"/>
    </row>
    <row r="920" spans="1:10" ht="15.75" customHeight="1">
      <c r="A920" s="1780"/>
      <c r="B920" s="1909"/>
      <c r="C920" s="1878"/>
      <c r="D920" s="1756"/>
      <c r="E920" s="333"/>
      <c r="F920" s="328"/>
      <c r="G920" s="361">
        <v>0</v>
      </c>
      <c r="H920" s="1975"/>
      <c r="I920" s="1975"/>
      <c r="J920" s="1974"/>
    </row>
    <row r="921" spans="1:10" ht="15.75" customHeight="1">
      <c r="A921" s="1780"/>
      <c r="B921" s="1784"/>
      <c r="C921" s="1804" t="s">
        <v>2242</v>
      </c>
      <c r="D921" s="1763"/>
      <c r="E921" s="1764"/>
      <c r="F921" s="1765"/>
      <c r="G921" s="1765">
        <f>G913+G918+G920</f>
        <v>202025.09527999998</v>
      </c>
      <c r="H921" s="1975"/>
      <c r="I921" s="1976">
        <f>I913+I918+I920</f>
        <v>0.95249221381186433</v>
      </c>
      <c r="J921" s="1974"/>
    </row>
    <row r="922" spans="1:10" ht="15.75" customHeight="1">
      <c r="A922" s="1780"/>
      <c r="B922" s="1784"/>
      <c r="C922" s="1762" t="s">
        <v>2094</v>
      </c>
      <c r="D922" s="1767">
        <f>M$4</f>
        <v>0.15</v>
      </c>
      <c r="E922" s="1768"/>
      <c r="F922" s="1765"/>
      <c r="G922" s="1765">
        <f>G921*D922</f>
        <v>30303.764291999996</v>
      </c>
      <c r="H922" s="1975"/>
      <c r="I922" s="1975"/>
      <c r="J922" s="1974"/>
    </row>
    <row r="923" spans="1:10" ht="15.75" customHeight="1">
      <c r="A923" s="1786"/>
      <c r="B923" s="1890"/>
      <c r="C923" s="1788" t="s">
        <v>2111</v>
      </c>
      <c r="D923" s="1772"/>
      <c r="E923" s="1773"/>
      <c r="F923" s="1774"/>
      <c r="G923" s="1775">
        <f>ROUNDUP((G921+G922),2)</f>
        <v>232328.86000000002</v>
      </c>
      <c r="H923" s="1977"/>
      <c r="I923" s="1977"/>
      <c r="J923" s="1938"/>
    </row>
    <row r="924" spans="1:10" ht="15.75" customHeight="1">
      <c r="A924" s="1733"/>
      <c r="B924" s="1733"/>
      <c r="C924" s="1733"/>
      <c r="D924" s="1733"/>
      <c r="E924" s="1733"/>
      <c r="F924" s="1733"/>
      <c r="G924" s="1733"/>
      <c r="H924" s="28"/>
      <c r="I924" s="1733"/>
      <c r="J924" s="1733"/>
    </row>
    <row r="925" spans="1:10" ht="15.75" customHeight="1">
      <c r="A925" s="1778">
        <f>A907+1</f>
        <v>38</v>
      </c>
      <c r="B925" s="1779" t="s">
        <v>2454</v>
      </c>
      <c r="C925" s="1872" t="s">
        <v>2455</v>
      </c>
      <c r="D925" s="1971"/>
      <c r="E925" s="1874"/>
      <c r="F925" s="1875"/>
      <c r="G925" s="1875"/>
      <c r="H925" s="1972"/>
      <c r="I925" s="1972"/>
      <c r="J925" s="1973"/>
    </row>
    <row r="926" spans="1:10" ht="15.75" customHeight="1">
      <c r="A926" s="1780"/>
      <c r="B926" s="1739" t="s">
        <v>1004</v>
      </c>
      <c r="C926" s="1877" t="s">
        <v>2067</v>
      </c>
      <c r="D926" s="390"/>
      <c r="E926" s="413"/>
      <c r="F926" s="320"/>
      <c r="G926" s="320"/>
      <c r="H926" s="318"/>
      <c r="I926" s="318"/>
      <c r="J926" s="1783"/>
    </row>
    <row r="927" spans="1:10" ht="15.75" customHeight="1">
      <c r="A927" s="1780"/>
      <c r="B927" s="1739"/>
      <c r="C927" s="1878" t="s">
        <v>2103</v>
      </c>
      <c r="D927" s="1781">
        <v>0.66</v>
      </c>
      <c r="E927" s="413" t="s">
        <v>2069</v>
      </c>
      <c r="F927" s="1747">
        <f>'Bahan &amp; Upah'!C$336</f>
        <v>96332.65</v>
      </c>
      <c r="G927" s="361">
        <f>F927*D927</f>
        <v>63579.548999999999</v>
      </c>
      <c r="H927" s="1793">
        <v>1</v>
      </c>
      <c r="I927" s="1793">
        <f>(G927/G$941)*H927</f>
        <v>0.29728556199090761</v>
      </c>
      <c r="J927" s="1750"/>
    </row>
    <row r="928" spans="1:10" ht="15.75" customHeight="1">
      <c r="A928" s="1780"/>
      <c r="B928" s="1739"/>
      <c r="C928" s="1878" t="s">
        <v>2070</v>
      </c>
      <c r="D928" s="1781">
        <v>0.33</v>
      </c>
      <c r="E928" s="413" t="s">
        <v>2069</v>
      </c>
      <c r="F928" s="1883">
        <f>'Bahan &amp; Upah'!C$337</f>
        <v>114133.55</v>
      </c>
      <c r="G928" s="361">
        <f>F928*D928</f>
        <v>37664.071500000005</v>
      </c>
      <c r="H928" s="1793">
        <v>1</v>
      </c>
      <c r="I928" s="1793">
        <f>(G928/G$941)*H928</f>
        <v>0.17610984725203427</v>
      </c>
      <c r="J928" s="1974"/>
    </row>
    <row r="929" spans="1:10" ht="15.75" customHeight="1">
      <c r="A929" s="1780"/>
      <c r="B929" s="1739"/>
      <c r="C929" s="1878" t="s">
        <v>2072</v>
      </c>
      <c r="D929" s="1781">
        <v>3.3000000000000002E-2</v>
      </c>
      <c r="E929" s="413" t="s">
        <v>2069</v>
      </c>
      <c r="F929" s="1748">
        <f>'Bahan &amp; Upah'!C$338</f>
        <v>125485.75</v>
      </c>
      <c r="G929" s="361">
        <f>F929*D929</f>
        <v>4141.0297500000006</v>
      </c>
      <c r="H929" s="1793">
        <v>1</v>
      </c>
      <c r="I929" s="1793">
        <f>(G929/G$941)*H929</f>
        <v>1.9362646885869195E-2</v>
      </c>
      <c r="J929" s="1974"/>
    </row>
    <row r="930" spans="1:10" ht="15.75" customHeight="1">
      <c r="A930" s="1780"/>
      <c r="B930" s="1739"/>
      <c r="C930" s="1878" t="s">
        <v>2107</v>
      </c>
      <c r="D930" s="1781">
        <v>1.0999999999999999E-2</v>
      </c>
      <c r="E930" s="413" t="s">
        <v>2069</v>
      </c>
      <c r="F930" s="1883">
        <f>'Bahan &amp; Upah'!C$339</f>
        <v>102689.88</v>
      </c>
      <c r="G930" s="1785">
        <f>F930*D930</f>
        <v>1129.5886800000001</v>
      </c>
      <c r="H930" s="1793">
        <v>1</v>
      </c>
      <c r="I930" s="1795">
        <f>(G930/G$941)*H930</f>
        <v>5.2817362003050308E-3</v>
      </c>
      <c r="J930" s="1974"/>
    </row>
    <row r="931" spans="1:10" ht="15.75" customHeight="1">
      <c r="A931" s="1780"/>
      <c r="B931" s="1739"/>
      <c r="C931" s="1889" t="s">
        <v>2108</v>
      </c>
      <c r="D931" s="1781"/>
      <c r="E931" s="413"/>
      <c r="F931" s="320"/>
      <c r="G931" s="361">
        <f>SUM(G927:G930)</f>
        <v>106514.23893000001</v>
      </c>
      <c r="H931" s="1975"/>
      <c r="I931" s="1975">
        <f>SUM(I927:I930)</f>
        <v>0.4980397923291161</v>
      </c>
      <c r="J931" s="1974"/>
    </row>
    <row r="932" spans="1:10" ht="15.75" customHeight="1">
      <c r="A932" s="1780"/>
      <c r="B932" s="1739" t="s">
        <v>1015</v>
      </c>
      <c r="C932" s="1877" t="s">
        <v>2075</v>
      </c>
      <c r="D932" s="1781"/>
      <c r="E932" s="413"/>
      <c r="F932" s="320"/>
      <c r="G932" s="320"/>
      <c r="H932" s="1975"/>
      <c r="I932" s="1975"/>
      <c r="J932" s="1974"/>
    </row>
    <row r="933" spans="1:10" ht="15.75" customHeight="1">
      <c r="A933" s="1780"/>
      <c r="B933" s="1739"/>
      <c r="C933" s="1878" t="s">
        <v>2078</v>
      </c>
      <c r="D933" s="1781">
        <v>0.4</v>
      </c>
      <c r="E933" s="413" t="s">
        <v>100</v>
      </c>
      <c r="F933" s="1883">
        <f>'Bahan &amp; Upah'!C$54</f>
        <v>36067.67</v>
      </c>
      <c r="G933" s="361">
        <f>F933*D933</f>
        <v>14427.067999999999</v>
      </c>
      <c r="H933" s="1749">
        <v>0.27879999999999999</v>
      </c>
      <c r="I933" s="1793">
        <f>(G933/G$941)*H933</f>
        <v>1.8807333381543452E-2</v>
      </c>
      <c r="J933" s="1974"/>
    </row>
    <row r="934" spans="1:10" ht="15.75" customHeight="1">
      <c r="A934" s="1780"/>
      <c r="B934" s="1739"/>
      <c r="C934" s="1878" t="s">
        <v>2449</v>
      </c>
      <c r="D934" s="1781">
        <v>0.2</v>
      </c>
      <c r="E934" s="413" t="s">
        <v>2450</v>
      </c>
      <c r="F934" s="1883">
        <f>'Bahan &amp; Upah'!C$156</f>
        <v>39870.31</v>
      </c>
      <c r="G934" s="361">
        <f>F934*D934</f>
        <v>7974.0619999999999</v>
      </c>
      <c r="H934" s="1975">
        <v>0.55000000000000004</v>
      </c>
      <c r="I934" s="1793">
        <f>(G934/G$941)*H934</f>
        <v>2.05068366663184E-2</v>
      </c>
      <c r="J934" s="1974"/>
    </row>
    <row r="935" spans="1:10" ht="15.75" customHeight="1">
      <c r="A935" s="1780"/>
      <c r="B935" s="1739"/>
      <c r="C935" s="1878" t="s">
        <v>2456</v>
      </c>
      <c r="D935" s="1820">
        <v>4.6499999999999996E-3</v>
      </c>
      <c r="E935" s="413" t="s">
        <v>103</v>
      </c>
      <c r="F935" s="1883">
        <f>'Bahan &amp; Upah'!C$97</f>
        <v>6503424.4100000001</v>
      </c>
      <c r="G935" s="361">
        <f>F935*D935</f>
        <v>30240.923506499999</v>
      </c>
      <c r="H935" s="1975">
        <v>1</v>
      </c>
      <c r="I935" s="1793">
        <f>(G935/G$941)*H935</f>
        <v>0.14140065604670932</v>
      </c>
      <c r="J935" s="1974"/>
    </row>
    <row r="936" spans="1:10" ht="15.75" customHeight="1">
      <c r="A936" s="1780"/>
      <c r="B936" s="1739"/>
      <c r="C936" s="1878" t="s">
        <v>2457</v>
      </c>
      <c r="D936" s="1820">
        <v>0.12705</v>
      </c>
      <c r="E936" s="413" t="s">
        <v>2086</v>
      </c>
      <c r="F936" s="1883">
        <f>'Bahan &amp; Upah'!C$93</f>
        <v>278348.95</v>
      </c>
      <c r="G936" s="361">
        <f>F936*D936</f>
        <v>35364.234097499997</v>
      </c>
      <c r="H936" s="1975">
        <v>1</v>
      </c>
      <c r="I936" s="1793">
        <f>(G936/G$941)*H936</f>
        <v>0.16535625642851451</v>
      </c>
      <c r="J936" s="1974"/>
    </row>
    <row r="937" spans="1:10" ht="15.75" customHeight="1">
      <c r="A937" s="1780"/>
      <c r="B937" s="1739"/>
      <c r="C937" s="1878" t="s">
        <v>2458</v>
      </c>
      <c r="D937" s="1781">
        <v>0.65</v>
      </c>
      <c r="E937" s="413" t="s">
        <v>888</v>
      </c>
      <c r="F937" s="1883">
        <f>'Bahan &amp; Upah'!C$101</f>
        <v>29763.69</v>
      </c>
      <c r="G937" s="1794">
        <f>F937*D937</f>
        <v>19346.398499999999</v>
      </c>
      <c r="H937" s="1975">
        <v>1</v>
      </c>
      <c r="I937" s="1795">
        <f>(G937/G$941)*H937</f>
        <v>9.0459983454310944E-2</v>
      </c>
      <c r="J937" s="1974"/>
    </row>
    <row r="938" spans="1:10" ht="15.75" customHeight="1">
      <c r="A938" s="1780"/>
      <c r="B938" s="1784"/>
      <c r="C938" s="1753" t="s">
        <v>2091</v>
      </c>
      <c r="D938" s="1781"/>
      <c r="E938" s="413"/>
      <c r="F938" s="1883"/>
      <c r="G938" s="361">
        <f>SUM(G933:G937)</f>
        <v>107352.68610399999</v>
      </c>
      <c r="H938" s="1975"/>
      <c r="I938" s="1975">
        <f>SUM(I933:I937)</f>
        <v>0.43653106597739666</v>
      </c>
      <c r="J938" s="1974"/>
    </row>
    <row r="939" spans="1:10" ht="15.75" customHeight="1">
      <c r="A939" s="1780"/>
      <c r="B939" s="1739" t="s">
        <v>1048</v>
      </c>
      <c r="C939" s="1877" t="s">
        <v>2246</v>
      </c>
      <c r="D939" s="1756"/>
      <c r="E939" s="333"/>
      <c r="F939" s="1883"/>
      <c r="G939" s="332"/>
      <c r="H939" s="1975"/>
      <c r="I939" s="1975"/>
      <c r="J939" s="1974"/>
    </row>
    <row r="940" spans="1:10" ht="15.75" customHeight="1">
      <c r="A940" s="1780"/>
      <c r="B940" s="1909"/>
      <c r="C940" s="1878"/>
      <c r="D940" s="1756"/>
      <c r="E940" s="333"/>
      <c r="F940" s="328"/>
      <c r="G940" s="361">
        <v>0</v>
      </c>
      <c r="H940" s="1975"/>
      <c r="I940" s="1975"/>
      <c r="J940" s="1974"/>
    </row>
    <row r="941" spans="1:10" ht="15.75" customHeight="1">
      <c r="A941" s="1780"/>
      <c r="B941" s="1784"/>
      <c r="C941" s="1804" t="s">
        <v>2242</v>
      </c>
      <c r="D941" s="1763"/>
      <c r="E941" s="1764"/>
      <c r="F941" s="1765"/>
      <c r="G941" s="1765">
        <f>G931+G938+G940</f>
        <v>213866.92503400001</v>
      </c>
      <c r="H941" s="1975"/>
      <c r="I941" s="1976">
        <f>I931+I938+I940</f>
        <v>0.93457085830651276</v>
      </c>
      <c r="J941" s="1974"/>
    </row>
    <row r="942" spans="1:10" ht="15.75" customHeight="1">
      <c r="A942" s="1780"/>
      <c r="B942" s="1784"/>
      <c r="C942" s="1762" t="s">
        <v>2094</v>
      </c>
      <c r="D942" s="1767">
        <f>M$4</f>
        <v>0.15</v>
      </c>
      <c r="E942" s="1768"/>
      <c r="F942" s="1765"/>
      <c r="G942" s="1765">
        <f>G941*D942</f>
        <v>32080.038755100002</v>
      </c>
      <c r="H942" s="1975"/>
      <c r="I942" s="1975"/>
      <c r="J942" s="1974"/>
    </row>
    <row r="943" spans="1:10" ht="15.75" customHeight="1">
      <c r="A943" s="1786"/>
      <c r="B943" s="1890"/>
      <c r="C943" s="1788" t="s">
        <v>2111</v>
      </c>
      <c r="D943" s="1772"/>
      <c r="E943" s="1773"/>
      <c r="F943" s="1774"/>
      <c r="G943" s="1775">
        <f>ROUNDUP((G941+G942),2)</f>
        <v>245946.97</v>
      </c>
      <c r="H943" s="1977"/>
      <c r="I943" s="1977"/>
      <c r="J943" s="1938"/>
    </row>
    <row r="944" spans="1:10" ht="15.75" customHeight="1">
      <c r="A944" s="1809"/>
      <c r="B944" s="1809"/>
      <c r="C944" s="1811"/>
      <c r="D944" s="1812"/>
      <c r="E944" s="1809"/>
      <c r="F944" s="1813"/>
      <c r="G944" s="1814"/>
      <c r="H944" s="1816"/>
      <c r="I944" s="1816"/>
      <c r="J944" s="1816"/>
    </row>
    <row r="945" spans="1:10" ht="15.7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</row>
    <row r="946" spans="1:10" ht="15.75" customHeight="1">
      <c r="A946" s="1778">
        <f>A925+1</f>
        <v>39</v>
      </c>
      <c r="B946" s="1779" t="s">
        <v>2459</v>
      </c>
      <c r="C946" s="1872" t="s">
        <v>2460</v>
      </c>
      <c r="D946" s="1971"/>
      <c r="E946" s="1874"/>
      <c r="F946" s="1875"/>
      <c r="G946" s="1875"/>
      <c r="H946" s="1972"/>
      <c r="I946" s="1972"/>
      <c r="J946" s="1973"/>
    </row>
    <row r="947" spans="1:10" ht="15.75" customHeight="1">
      <c r="A947" s="1780"/>
      <c r="B947" s="1739" t="s">
        <v>1004</v>
      </c>
      <c r="C947" s="1877" t="s">
        <v>2067</v>
      </c>
      <c r="D947" s="390"/>
      <c r="E947" s="413"/>
      <c r="F947" s="320"/>
      <c r="G947" s="320"/>
      <c r="H947" s="318"/>
      <c r="I947" s="318"/>
      <c r="J947" s="1783"/>
    </row>
    <row r="948" spans="1:10" ht="15.75" customHeight="1">
      <c r="A948" s="1780"/>
      <c r="B948" s="1739"/>
      <c r="C948" s="1878" t="s">
        <v>2103</v>
      </c>
      <c r="D948" s="1781">
        <v>0.66</v>
      </c>
      <c r="E948" s="413" t="s">
        <v>2069</v>
      </c>
      <c r="F948" s="1747">
        <f>'Bahan &amp; Upah'!C$336</f>
        <v>96332.65</v>
      </c>
      <c r="G948" s="361">
        <f>F948*D948</f>
        <v>63579.548999999999</v>
      </c>
      <c r="H948" s="1793">
        <v>1</v>
      </c>
      <c r="I948" s="1793">
        <f>(G948/G$962)*H948</f>
        <v>0.25174065162869014</v>
      </c>
      <c r="J948" s="1750"/>
    </row>
    <row r="949" spans="1:10" ht="15.75" customHeight="1">
      <c r="A949" s="1780"/>
      <c r="B949" s="1739"/>
      <c r="C949" s="1878" t="s">
        <v>2070</v>
      </c>
      <c r="D949" s="1781">
        <v>0.33</v>
      </c>
      <c r="E949" s="413" t="s">
        <v>2069</v>
      </c>
      <c r="F949" s="1883">
        <f>'Bahan &amp; Upah'!C$337</f>
        <v>114133.55</v>
      </c>
      <c r="G949" s="361">
        <f>F949*D949</f>
        <v>37664.071500000005</v>
      </c>
      <c r="H949" s="1793">
        <v>1</v>
      </c>
      <c r="I949" s="1793">
        <f>(G949/G$962)*H949</f>
        <v>0.14912936709254695</v>
      </c>
      <c r="J949" s="1974"/>
    </row>
    <row r="950" spans="1:10" ht="15.75" customHeight="1">
      <c r="A950" s="1780"/>
      <c r="B950" s="1739"/>
      <c r="C950" s="1878" t="s">
        <v>2072</v>
      </c>
      <c r="D950" s="1781">
        <v>3.3000000000000002E-2</v>
      </c>
      <c r="E950" s="413" t="s">
        <v>2069</v>
      </c>
      <c r="F950" s="1748">
        <f>'Bahan &amp; Upah'!C$338</f>
        <v>125485.75</v>
      </c>
      <c r="G950" s="361">
        <f>F950*D950</f>
        <v>4141.0297500000006</v>
      </c>
      <c r="H950" s="1793">
        <v>1</v>
      </c>
      <c r="I950" s="1793">
        <f>(G950/G$962)*H950</f>
        <v>1.6396239735497208E-2</v>
      </c>
      <c r="J950" s="1974"/>
    </row>
    <row r="951" spans="1:10" ht="15.75" customHeight="1">
      <c r="A951" s="1780"/>
      <c r="B951" s="1739"/>
      <c r="C951" s="1878" t="s">
        <v>2107</v>
      </c>
      <c r="D951" s="1781">
        <v>1.0999999999999999E-2</v>
      </c>
      <c r="E951" s="413" t="s">
        <v>2069</v>
      </c>
      <c r="F951" s="1883">
        <f>'Bahan &amp; Upah'!C$339</f>
        <v>102689.88</v>
      </c>
      <c r="G951" s="1785">
        <f>F951*D951</f>
        <v>1129.5886800000001</v>
      </c>
      <c r="H951" s="1793">
        <v>1</v>
      </c>
      <c r="I951" s="1795">
        <f>(G951/G$962)*H951</f>
        <v>4.4725606716019949E-3</v>
      </c>
      <c r="J951" s="1974"/>
    </row>
    <row r="952" spans="1:10" ht="15.75" customHeight="1">
      <c r="A952" s="1780"/>
      <c r="B952" s="1739"/>
      <c r="C952" s="1889" t="s">
        <v>2108</v>
      </c>
      <c r="D952" s="1781"/>
      <c r="E952" s="413"/>
      <c r="F952" s="320"/>
      <c r="G952" s="361">
        <f>SUM(G948:G951)</f>
        <v>106514.23893000001</v>
      </c>
      <c r="H952" s="1975"/>
      <c r="I952" s="1975">
        <f>SUM(I948:I951)</f>
        <v>0.42173881912833627</v>
      </c>
      <c r="J952" s="1974"/>
    </row>
    <row r="953" spans="1:10" ht="15.75" customHeight="1">
      <c r="A953" s="1780"/>
      <c r="B953" s="1739" t="s">
        <v>1015</v>
      </c>
      <c r="C953" s="1877" t="s">
        <v>2075</v>
      </c>
      <c r="D953" s="1781"/>
      <c r="E953" s="413"/>
      <c r="F953" s="320"/>
      <c r="G953" s="320"/>
      <c r="H953" s="1975"/>
      <c r="I953" s="1975"/>
      <c r="J953" s="1974"/>
    </row>
    <row r="954" spans="1:10" ht="15.75" customHeight="1">
      <c r="A954" s="1780"/>
      <c r="B954" s="1739"/>
      <c r="C954" s="1878" t="s">
        <v>2078</v>
      </c>
      <c r="D954" s="1781">
        <v>0.4</v>
      </c>
      <c r="E954" s="413" t="s">
        <v>100</v>
      </c>
      <c r="F954" s="1883">
        <f>'Bahan &amp; Upah'!C$54</f>
        <v>36067.67</v>
      </c>
      <c r="G954" s="361">
        <f>F954*D954</f>
        <v>14427.067999999999</v>
      </c>
      <c r="H954" s="1749">
        <v>0.27879999999999999</v>
      </c>
      <c r="I954" s="1793">
        <f>(G954/G$962)*H954</f>
        <v>1.5926001683904751E-2</v>
      </c>
      <c r="J954" s="1974"/>
    </row>
    <row r="955" spans="1:10" ht="15.75" customHeight="1">
      <c r="A955" s="1780"/>
      <c r="B955" s="1739"/>
      <c r="C955" s="1878" t="s">
        <v>2449</v>
      </c>
      <c r="D955" s="1781">
        <v>0.2</v>
      </c>
      <c r="E955" s="413" t="s">
        <v>2450</v>
      </c>
      <c r="F955" s="1883">
        <f>'Bahan &amp; Upah'!C$156</f>
        <v>39870.31</v>
      </c>
      <c r="G955" s="361">
        <f>F955*D955</f>
        <v>7974.0619999999999</v>
      </c>
      <c r="H955" s="1975">
        <f>H934</f>
        <v>0.55000000000000004</v>
      </c>
      <c r="I955" s="1793">
        <f>(G955/G$962)*H955</f>
        <v>1.7365136707782669E-2</v>
      </c>
      <c r="J955" s="1974"/>
    </row>
    <row r="956" spans="1:10" ht="15.75" customHeight="1">
      <c r="A956" s="1780"/>
      <c r="B956" s="1739"/>
      <c r="C956" s="1878" t="s">
        <v>2456</v>
      </c>
      <c r="D956" s="1820">
        <v>4.6499999999999996E-3</v>
      </c>
      <c r="E956" s="413" t="s">
        <v>103</v>
      </c>
      <c r="F956" s="1883">
        <f>'Bahan &amp; Upah'!C$97</f>
        <v>6503424.4100000001</v>
      </c>
      <c r="G956" s="361">
        <f>F956*D956</f>
        <v>30240.923506499999</v>
      </c>
      <c r="H956" s="1975">
        <f>H935</f>
        <v>1</v>
      </c>
      <c r="I956" s="1793">
        <f>(G956/G$962)*H956</f>
        <v>0.11973771297716633</v>
      </c>
      <c r="J956" s="1974"/>
    </row>
    <row r="957" spans="1:10" ht="15.75" customHeight="1">
      <c r="A957" s="1780"/>
      <c r="B957" s="1739"/>
      <c r="C957" s="1878" t="s">
        <v>2457</v>
      </c>
      <c r="D957" s="1820">
        <v>0.12705</v>
      </c>
      <c r="E957" s="413" t="s">
        <v>2086</v>
      </c>
      <c r="F957" s="1883">
        <f>'Bahan &amp; Upah'!C$93</f>
        <v>278348.95</v>
      </c>
      <c r="G957" s="361">
        <f>F957*D957</f>
        <v>35364.234097499997</v>
      </c>
      <c r="H957" s="1975">
        <f>H936</f>
        <v>1</v>
      </c>
      <c r="I957" s="1793">
        <f>(G957/G$962)*H957</f>
        <v>0.14002325395630269</v>
      </c>
      <c r="J957" s="1974"/>
    </row>
    <row r="958" spans="1:10" ht="15.75" customHeight="1">
      <c r="A958" s="1780"/>
      <c r="B958" s="1739"/>
      <c r="C958" s="1878" t="s">
        <v>2458</v>
      </c>
      <c r="D958" s="1781">
        <v>1.95</v>
      </c>
      <c r="E958" s="413" t="s">
        <v>888</v>
      </c>
      <c r="F958" s="1883">
        <f>'Bahan &amp; Upah'!C$101</f>
        <v>29763.69</v>
      </c>
      <c r="G958" s="361">
        <f>F958*D958</f>
        <v>58039.195499999994</v>
      </c>
      <c r="H958" s="1975">
        <f>H937</f>
        <v>1</v>
      </c>
      <c r="I958" s="1795">
        <f>(G958/G$962)*H958</f>
        <v>0.22980384612629035</v>
      </c>
      <c r="J958" s="1974"/>
    </row>
    <row r="959" spans="1:10" ht="15.75" customHeight="1">
      <c r="A959" s="1780"/>
      <c r="B959" s="1784"/>
      <c r="C959" s="1753" t="s">
        <v>2091</v>
      </c>
      <c r="D959" s="1781"/>
      <c r="E959" s="413"/>
      <c r="F959" s="1883"/>
      <c r="G959" s="361">
        <f>SUM(G954:G958)</f>
        <v>146045.48310399998</v>
      </c>
      <c r="H959" s="1975"/>
      <c r="I959" s="1975">
        <f>SUM(I954:I958)</f>
        <v>0.52285595145144681</v>
      </c>
      <c r="J959" s="1974"/>
    </row>
    <row r="960" spans="1:10" ht="15.75" customHeight="1">
      <c r="A960" s="1780"/>
      <c r="B960" s="1739" t="s">
        <v>1048</v>
      </c>
      <c r="C960" s="1877" t="s">
        <v>2246</v>
      </c>
      <c r="D960" s="1756"/>
      <c r="E960" s="333"/>
      <c r="F960" s="1883"/>
      <c r="G960" s="332"/>
      <c r="H960" s="1975"/>
      <c r="I960" s="1975"/>
      <c r="J960" s="1974"/>
    </row>
    <row r="961" spans="1:10" ht="15.75" customHeight="1">
      <c r="A961" s="1780"/>
      <c r="B961" s="1909"/>
      <c r="C961" s="1878"/>
      <c r="D961" s="1756"/>
      <c r="E961" s="333"/>
      <c r="F961" s="328"/>
      <c r="G961" s="361">
        <v>0</v>
      </c>
      <c r="H961" s="1975"/>
      <c r="I961" s="1975"/>
      <c r="J961" s="1974"/>
    </row>
    <row r="962" spans="1:10" ht="15.75" customHeight="1">
      <c r="A962" s="1780"/>
      <c r="B962" s="1784"/>
      <c r="C962" s="1804" t="s">
        <v>2242</v>
      </c>
      <c r="D962" s="1763"/>
      <c r="E962" s="1764"/>
      <c r="F962" s="1765"/>
      <c r="G962" s="1765">
        <f>G952+G959+G961</f>
        <v>252559.72203399998</v>
      </c>
      <c r="H962" s="1975"/>
      <c r="I962" s="1976">
        <f>I952+I959+I961</f>
        <v>0.94459477057978303</v>
      </c>
      <c r="J962" s="1974"/>
    </row>
    <row r="963" spans="1:10" ht="15.75" customHeight="1">
      <c r="A963" s="1780"/>
      <c r="B963" s="1784"/>
      <c r="C963" s="1762" t="s">
        <v>2094</v>
      </c>
      <c r="D963" s="1767">
        <f>M$4</f>
        <v>0.15</v>
      </c>
      <c r="E963" s="1768"/>
      <c r="F963" s="1765"/>
      <c r="G963" s="1765">
        <f>G962*D963</f>
        <v>37883.958305099994</v>
      </c>
      <c r="H963" s="1975"/>
      <c r="I963" s="1975"/>
      <c r="J963" s="1974"/>
    </row>
    <row r="964" spans="1:10" ht="15.75" customHeight="1">
      <c r="A964" s="1786"/>
      <c r="B964" s="1890"/>
      <c r="C964" s="1788" t="s">
        <v>2111</v>
      </c>
      <c r="D964" s="1772"/>
      <c r="E964" s="1773"/>
      <c r="F964" s="1774"/>
      <c r="G964" s="1775">
        <f>ROUNDUP((G962+G963),2)</f>
        <v>290443.69</v>
      </c>
      <c r="H964" s="1977"/>
      <c r="I964" s="1977"/>
      <c r="J964" s="1938"/>
    </row>
    <row r="965" spans="1:10" ht="15.7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</row>
    <row r="966" spans="1:10" ht="15.75" customHeight="1">
      <c r="A966" s="1778">
        <f>A946+1</f>
        <v>40</v>
      </c>
      <c r="B966" s="1779" t="s">
        <v>2461</v>
      </c>
      <c r="C966" s="1872" t="s">
        <v>2462</v>
      </c>
      <c r="D966" s="1971"/>
      <c r="E966" s="1874"/>
      <c r="F966" s="1875"/>
      <c r="G966" s="1875"/>
      <c r="H966" s="1972"/>
      <c r="I966" s="1972"/>
      <c r="J966" s="1973"/>
    </row>
    <row r="967" spans="1:10" ht="15.75" customHeight="1">
      <c r="A967" s="1780"/>
      <c r="B967" s="1739" t="s">
        <v>1004</v>
      </c>
      <c r="C967" s="1877" t="s">
        <v>2067</v>
      </c>
      <c r="D967" s="390"/>
      <c r="E967" s="413"/>
      <c r="F967" s="320"/>
      <c r="G967" s="320"/>
      <c r="H967" s="318"/>
      <c r="I967" s="318"/>
      <c r="J967" s="1783"/>
    </row>
    <row r="968" spans="1:10" ht="15.75" customHeight="1">
      <c r="A968" s="1780"/>
      <c r="B968" s="1739"/>
      <c r="C968" s="1878" t="s">
        <v>2103</v>
      </c>
      <c r="D968" s="1781">
        <v>0.66</v>
      </c>
      <c r="E968" s="413" t="s">
        <v>2069</v>
      </c>
      <c r="F968" s="1747">
        <f>'Bahan &amp; Upah'!C$336</f>
        <v>96332.65</v>
      </c>
      <c r="G968" s="361">
        <f>F968*D968</f>
        <v>63579.548999999999</v>
      </c>
      <c r="H968" s="1793">
        <v>1</v>
      </c>
      <c r="I968" s="1793">
        <f>(G968/G$982)*H968</f>
        <v>0.28910950719360429</v>
      </c>
      <c r="J968" s="1750"/>
    </row>
    <row r="969" spans="1:10" ht="15.75" customHeight="1">
      <c r="A969" s="1780"/>
      <c r="B969" s="1739"/>
      <c r="C969" s="1878" t="s">
        <v>2070</v>
      </c>
      <c r="D969" s="1781">
        <v>0.33</v>
      </c>
      <c r="E969" s="413" t="s">
        <v>2069</v>
      </c>
      <c r="F969" s="1883">
        <f>'Bahan &amp; Upah'!C$337</f>
        <v>114133.55</v>
      </c>
      <c r="G969" s="361">
        <f>F969*D969</f>
        <v>37664.071500000005</v>
      </c>
      <c r="H969" s="1793">
        <v>1</v>
      </c>
      <c r="I969" s="1793">
        <f>(G969/G$982)*H969</f>
        <v>0.17126641068607892</v>
      </c>
      <c r="J969" s="1974"/>
    </row>
    <row r="970" spans="1:10" ht="15.75" customHeight="1">
      <c r="A970" s="1780"/>
      <c r="B970" s="1739"/>
      <c r="C970" s="1878" t="s">
        <v>2072</v>
      </c>
      <c r="D970" s="1781">
        <v>3.3000000000000002E-2</v>
      </c>
      <c r="E970" s="413" t="s">
        <v>2069</v>
      </c>
      <c r="F970" s="1748">
        <f>'Bahan &amp; Upah'!C$338</f>
        <v>125485.75</v>
      </c>
      <c r="G970" s="361">
        <f>F970*D970</f>
        <v>4141.0297500000006</v>
      </c>
      <c r="H970" s="1793">
        <v>1</v>
      </c>
      <c r="I970" s="1793">
        <f>(G970/G$982)*H970</f>
        <v>1.8830128384467695E-2</v>
      </c>
      <c r="J970" s="1974"/>
    </row>
    <row r="971" spans="1:10" ht="15.75" customHeight="1">
      <c r="A971" s="1780"/>
      <c r="B971" s="1739"/>
      <c r="C971" s="1878" t="s">
        <v>2107</v>
      </c>
      <c r="D971" s="1781">
        <v>1.0999999999999999E-2</v>
      </c>
      <c r="E971" s="413" t="s">
        <v>2069</v>
      </c>
      <c r="F971" s="1883">
        <f>'Bahan &amp; Upah'!C$339</f>
        <v>102689.88</v>
      </c>
      <c r="G971" s="1785">
        <f>F971*D971</f>
        <v>1129.5886800000001</v>
      </c>
      <c r="H971" s="1793">
        <v>1</v>
      </c>
      <c r="I971" s="1795">
        <f>(G971/G$982)*H971</f>
        <v>5.1364759854819675E-3</v>
      </c>
      <c r="J971" s="1974"/>
    </row>
    <row r="972" spans="1:10" ht="15.75" customHeight="1">
      <c r="A972" s="1780"/>
      <c r="B972" s="1739"/>
      <c r="C972" s="1889" t="s">
        <v>2108</v>
      </c>
      <c r="D972" s="1781"/>
      <c r="E972" s="413"/>
      <c r="F972" s="320"/>
      <c r="G972" s="361">
        <f>SUM(G968:G971)</f>
        <v>106514.23893000001</v>
      </c>
      <c r="H972" s="1975"/>
      <c r="I972" s="1975">
        <f>SUM(I968:I971)</f>
        <v>0.48434252224963287</v>
      </c>
      <c r="J972" s="1974"/>
    </row>
    <row r="973" spans="1:10" ht="15.75" customHeight="1">
      <c r="A973" s="1780"/>
      <c r="B973" s="1739" t="s">
        <v>1015</v>
      </c>
      <c r="C973" s="1877" t="s">
        <v>2075</v>
      </c>
      <c r="D973" s="1781"/>
      <c r="E973" s="413"/>
      <c r="F973" s="320"/>
      <c r="G973" s="320"/>
      <c r="H973" s="1975"/>
      <c r="I973" s="1975"/>
      <c r="J973" s="1974"/>
    </row>
    <row r="974" spans="1:10" ht="15.75" customHeight="1">
      <c r="A974" s="1780"/>
      <c r="B974" s="1739"/>
      <c r="C974" s="1878" t="s">
        <v>2078</v>
      </c>
      <c r="D974" s="1781">
        <v>0.4</v>
      </c>
      <c r="E974" s="413" t="s">
        <v>100</v>
      </c>
      <c r="F974" s="1883">
        <f>'Bahan &amp; Upah'!C$54</f>
        <v>36067.67</v>
      </c>
      <c r="G974" s="361">
        <f>F974*D974</f>
        <v>14427.067999999999</v>
      </c>
      <c r="H974" s="1975">
        <f>H954</f>
        <v>0.27879999999999999</v>
      </c>
      <c r="I974" s="1793">
        <f>(G974/G$982)*H974</f>
        <v>1.8290087312515205E-2</v>
      </c>
      <c r="J974" s="1974"/>
    </row>
    <row r="975" spans="1:10" ht="15.75" customHeight="1">
      <c r="A975" s="1780"/>
      <c r="B975" s="1739"/>
      <c r="C975" s="1878" t="s">
        <v>2449</v>
      </c>
      <c r="D975" s="1781">
        <v>0.2</v>
      </c>
      <c r="E975" s="413" t="s">
        <v>2450</v>
      </c>
      <c r="F975" s="1883">
        <f>'Bahan &amp; Upah'!C$156</f>
        <v>39870.31</v>
      </c>
      <c r="G975" s="361">
        <f>F975*D975</f>
        <v>7974.0619999999999</v>
      </c>
      <c r="H975" s="1975">
        <f>H955</f>
        <v>0.55000000000000004</v>
      </c>
      <c r="I975" s="1793">
        <f>(G975/G$982)*H975</f>
        <v>1.9942850244709754E-2</v>
      </c>
      <c r="J975" s="1974"/>
    </row>
    <row r="976" spans="1:10" ht="15.75" customHeight="1">
      <c r="A976" s="1780"/>
      <c r="B976" s="1739"/>
      <c r="C976" s="1878" t="s">
        <v>2456</v>
      </c>
      <c r="D976" s="1820">
        <v>5.5799999999999999E-3</v>
      </c>
      <c r="E976" s="413" t="s">
        <v>103</v>
      </c>
      <c r="F976" s="1883">
        <f>'Bahan &amp; Upah'!C$97</f>
        <v>6503424.4100000001</v>
      </c>
      <c r="G976" s="361">
        <f>F976*D976</f>
        <v>36289.108207800004</v>
      </c>
      <c r="H976" s="1975">
        <f>H956</f>
        <v>1</v>
      </c>
      <c r="I976" s="1793">
        <f>(G976/G$982)*H976</f>
        <v>0.16501416501794375</v>
      </c>
      <c r="J976" s="1974"/>
    </row>
    <row r="977" spans="1:10" ht="15.75" customHeight="1">
      <c r="A977" s="1780"/>
      <c r="B977" s="1739"/>
      <c r="C977" s="1878" t="s">
        <v>2457</v>
      </c>
      <c r="D977" s="1820">
        <v>0.12705</v>
      </c>
      <c r="E977" s="413" t="s">
        <v>2086</v>
      </c>
      <c r="F977" s="1883">
        <f>'Bahan &amp; Upah'!C$93</f>
        <v>278348.95</v>
      </c>
      <c r="G977" s="361">
        <f>F977*D977</f>
        <v>35364.234097499997</v>
      </c>
      <c r="H977" s="1975">
        <f>H957</f>
        <v>1</v>
      </c>
      <c r="I977" s="1793">
        <f>(G977/G$982)*H977</f>
        <v>0.16080856899767379</v>
      </c>
      <c r="J977" s="1974"/>
    </row>
    <row r="978" spans="1:10" ht="15.75" customHeight="1">
      <c r="A978" s="1780"/>
      <c r="B978" s="1739"/>
      <c r="C978" s="1878" t="s">
        <v>2458</v>
      </c>
      <c r="D978" s="1781">
        <v>0.65</v>
      </c>
      <c r="E978" s="413" t="s">
        <v>888</v>
      </c>
      <c r="F978" s="1883">
        <f>'Bahan &amp; Upah'!C$101</f>
        <v>29763.69</v>
      </c>
      <c r="G978" s="361">
        <f>F978*D978</f>
        <v>19346.398499999999</v>
      </c>
      <c r="H978" s="1975">
        <f>H958</f>
        <v>1</v>
      </c>
      <c r="I978" s="1795">
        <f>(G978/G$982)*H978</f>
        <v>8.7972120348102589E-2</v>
      </c>
      <c r="J978" s="1974"/>
    </row>
    <row r="979" spans="1:10" ht="15.75" customHeight="1">
      <c r="A979" s="1780"/>
      <c r="B979" s="1784"/>
      <c r="C979" s="1753" t="s">
        <v>2091</v>
      </c>
      <c r="D979" s="1781"/>
      <c r="E979" s="413"/>
      <c r="F979" s="1883"/>
      <c r="G979" s="361">
        <f>SUM(G974:G978)</f>
        <v>113400.8708053</v>
      </c>
      <c r="H979" s="1975"/>
      <c r="I979" s="1975">
        <f>SUM(I974:I978)</f>
        <v>0.45202779192094505</v>
      </c>
      <c r="J979" s="1974"/>
    </row>
    <row r="980" spans="1:10" ht="15.75" customHeight="1">
      <c r="A980" s="1780"/>
      <c r="B980" s="1739" t="s">
        <v>1048</v>
      </c>
      <c r="C980" s="1877" t="s">
        <v>2246</v>
      </c>
      <c r="D980" s="1756"/>
      <c r="E980" s="333"/>
      <c r="F980" s="1883"/>
      <c r="G980" s="332"/>
      <c r="H980" s="1975"/>
      <c r="I980" s="1975"/>
      <c r="J980" s="1974"/>
    </row>
    <row r="981" spans="1:10" ht="15.75" customHeight="1">
      <c r="A981" s="1780"/>
      <c r="B981" s="1909"/>
      <c r="C981" s="1878"/>
      <c r="D981" s="1756"/>
      <c r="E981" s="333"/>
      <c r="F981" s="328"/>
      <c r="G981" s="361">
        <v>0</v>
      </c>
      <c r="H981" s="1975"/>
      <c r="I981" s="1975"/>
      <c r="J981" s="1974"/>
    </row>
    <row r="982" spans="1:10" ht="15.75" customHeight="1">
      <c r="A982" s="1780"/>
      <c r="B982" s="1784"/>
      <c r="C982" s="1804" t="s">
        <v>2242</v>
      </c>
      <c r="D982" s="1763"/>
      <c r="E982" s="1764"/>
      <c r="F982" s="1765"/>
      <c r="G982" s="1765">
        <f>G972+G979+G981</f>
        <v>219915.10973530001</v>
      </c>
      <c r="H982" s="1975"/>
      <c r="I982" s="1976">
        <f>I972+I979+I981</f>
        <v>0.93637031417057792</v>
      </c>
      <c r="J982" s="1974"/>
    </row>
    <row r="983" spans="1:10" ht="15.75" customHeight="1">
      <c r="A983" s="1780"/>
      <c r="B983" s="1784"/>
      <c r="C983" s="1762" t="s">
        <v>2094</v>
      </c>
      <c r="D983" s="1767">
        <f>M$4</f>
        <v>0.15</v>
      </c>
      <c r="E983" s="1768"/>
      <c r="F983" s="1765"/>
      <c r="G983" s="1765">
        <f>G982*D983</f>
        <v>32987.266460295003</v>
      </c>
      <c r="H983" s="1975"/>
      <c r="I983" s="1975"/>
      <c r="J983" s="1974"/>
    </row>
    <row r="984" spans="1:10" ht="15.75" customHeight="1">
      <c r="A984" s="1786"/>
      <c r="B984" s="1890"/>
      <c r="C984" s="1788" t="s">
        <v>2111</v>
      </c>
      <c r="D984" s="1772"/>
      <c r="E984" s="1773"/>
      <c r="F984" s="1774"/>
      <c r="G984" s="1775">
        <f>ROUNDUP((G982+G983),2)</f>
        <v>252902.38</v>
      </c>
      <c r="H984" s="1977"/>
      <c r="I984" s="1977"/>
      <c r="J984" s="1938"/>
    </row>
    <row r="985" spans="1:10" ht="15.75" customHeight="1">
      <c r="A985" s="1733"/>
      <c r="B985" s="1733"/>
      <c r="C985" s="1733"/>
      <c r="D985" s="1733"/>
      <c r="E985" s="1733"/>
      <c r="F985" s="1733"/>
      <c r="G985" s="1733"/>
      <c r="H985" s="1733"/>
      <c r="I985" s="1733"/>
      <c r="J985" s="1733"/>
    </row>
    <row r="986" spans="1:10" ht="15.75" customHeight="1">
      <c r="A986" s="1946">
        <f>A966+1</f>
        <v>41</v>
      </c>
      <c r="B986" s="1779" t="s">
        <v>2463</v>
      </c>
      <c r="C986" s="1939" t="s">
        <v>2464</v>
      </c>
      <c r="D986" s="1873"/>
      <c r="E986" s="1874"/>
      <c r="F986" s="1875"/>
      <c r="G986" s="1875"/>
      <c r="H986" s="1800"/>
      <c r="I986" s="1800"/>
      <c r="J986" s="1801"/>
    </row>
    <row r="987" spans="1:10" ht="15.75" customHeight="1">
      <c r="A987" s="1780"/>
      <c r="B987" s="1739" t="s">
        <v>1004</v>
      </c>
      <c r="C987" s="1755" t="s">
        <v>2075</v>
      </c>
      <c r="D987" s="1841"/>
      <c r="E987" s="413"/>
      <c r="F987" s="320"/>
      <c r="G987" s="320"/>
      <c r="H987" s="1802"/>
      <c r="I987" s="1802"/>
      <c r="J987" s="1803"/>
    </row>
    <row r="988" spans="1:10" ht="15.75" customHeight="1">
      <c r="A988" s="1780"/>
      <c r="B988" s="1784"/>
      <c r="C988" s="317" t="s">
        <v>2465</v>
      </c>
      <c r="D988" s="1841">
        <v>0.4</v>
      </c>
      <c r="E988" s="413" t="s">
        <v>100</v>
      </c>
      <c r="F988" s="1883">
        <f>'Bahan &amp; Upah'!C$54</f>
        <v>36067.67</v>
      </c>
      <c r="G988" s="332">
        <f t="shared" ref="G988:G993" si="3">F988*D988</f>
        <v>14427.067999999999</v>
      </c>
      <c r="H988" s="1980">
        <f>H974</f>
        <v>0.27879999999999999</v>
      </c>
      <c r="I988" s="1980">
        <f t="shared" ref="I988:I993" si="4">(G988/G$1004)*H988</f>
        <v>9.6844295321667044E-3</v>
      </c>
      <c r="J988" s="1981"/>
    </row>
    <row r="989" spans="1:10" ht="15.75" customHeight="1">
      <c r="A989" s="1780"/>
      <c r="B989" s="1784"/>
      <c r="C989" s="317" t="s">
        <v>2466</v>
      </c>
      <c r="D989" s="1841">
        <v>0.2</v>
      </c>
      <c r="E989" s="413" t="s">
        <v>2467</v>
      </c>
      <c r="F989" s="1883">
        <f>'Bahan &amp; Upah'!C$156</f>
        <v>39870.31</v>
      </c>
      <c r="G989" s="332">
        <f t="shared" si="3"/>
        <v>7974.0619999999999</v>
      </c>
      <c r="H989" s="1980">
        <f>H975</f>
        <v>0.55000000000000004</v>
      </c>
      <c r="I989" s="1980">
        <f t="shared" si="4"/>
        <v>1.0559551989305714E-2</v>
      </c>
      <c r="J989" s="1981"/>
    </row>
    <row r="990" spans="1:10" ht="15.75" customHeight="1">
      <c r="A990" s="1780"/>
      <c r="B990" s="1784"/>
      <c r="C990" s="317" t="s">
        <v>2468</v>
      </c>
      <c r="D990" s="1841">
        <v>6.0000000000000001E-3</v>
      </c>
      <c r="E990" s="413" t="s">
        <v>103</v>
      </c>
      <c r="F990" s="1883">
        <f>'Bahan &amp; Upah'!C$97</f>
        <v>6503424.4100000001</v>
      </c>
      <c r="G990" s="332">
        <f t="shared" si="3"/>
        <v>39020.546460000005</v>
      </c>
      <c r="H990" s="1980">
        <v>1</v>
      </c>
      <c r="I990" s="1980">
        <f t="shared" si="4"/>
        <v>9.3949947625755301E-2</v>
      </c>
      <c r="J990" s="1981"/>
    </row>
    <row r="991" spans="1:10" ht="15.75" customHeight="1">
      <c r="A991" s="1780"/>
      <c r="B991" s="1784"/>
      <c r="C991" s="317" t="s">
        <v>2469</v>
      </c>
      <c r="D991" s="1841">
        <v>0.127</v>
      </c>
      <c r="E991" s="413" t="s">
        <v>2086</v>
      </c>
      <c r="F991" s="1883">
        <f>'Bahan &amp; Upah'!C$93</f>
        <v>278348.95</v>
      </c>
      <c r="G991" s="332">
        <f t="shared" si="3"/>
        <v>35350.316650000001</v>
      </c>
      <c r="H991" s="1980">
        <v>1</v>
      </c>
      <c r="I991" s="1980">
        <f t="shared" si="4"/>
        <v>8.5113118577821292E-2</v>
      </c>
      <c r="J991" s="1981"/>
    </row>
    <row r="992" spans="1:10" ht="15.75" customHeight="1">
      <c r="A992" s="1780"/>
      <c r="B992" s="1784"/>
      <c r="C992" s="317" t="s">
        <v>2470</v>
      </c>
      <c r="D992" s="1841">
        <v>0.97499999999999998</v>
      </c>
      <c r="E992" s="413" t="s">
        <v>888</v>
      </c>
      <c r="F992" s="1883">
        <f>'Bahan &amp; Upah'!C$101</f>
        <v>29763.69</v>
      </c>
      <c r="G992" s="332">
        <f t="shared" si="3"/>
        <v>29019.597749999997</v>
      </c>
      <c r="H992" s="1980">
        <v>1</v>
      </c>
      <c r="I992" s="1980">
        <f t="shared" si="4"/>
        <v>6.9870617817405764E-2</v>
      </c>
      <c r="J992" s="1981"/>
    </row>
    <row r="993" spans="1:10" ht="15.75" customHeight="1">
      <c r="A993" s="1780"/>
      <c r="B993" s="1784"/>
      <c r="C993" s="317" t="s">
        <v>2471</v>
      </c>
      <c r="D993" s="1841">
        <v>4</v>
      </c>
      <c r="E993" s="413" t="s">
        <v>124</v>
      </c>
      <c r="F993" s="1748">
        <f>'Bahan &amp; Upah'!C$58</f>
        <v>45756.88</v>
      </c>
      <c r="G993" s="1785">
        <f t="shared" si="3"/>
        <v>183027.52</v>
      </c>
      <c r="H993" s="1980">
        <v>1</v>
      </c>
      <c r="I993" s="1982">
        <f t="shared" si="4"/>
        <v>0.44067619441718797</v>
      </c>
      <c r="J993" s="1981"/>
    </row>
    <row r="994" spans="1:10" ht="15.75" customHeight="1">
      <c r="A994" s="1780"/>
      <c r="B994" s="1784"/>
      <c r="C994" s="1753" t="s">
        <v>2091</v>
      </c>
      <c r="D994" s="1841"/>
      <c r="E994" s="413"/>
      <c r="F994" s="320"/>
      <c r="G994" s="361">
        <f>SUM(G988:G993)</f>
        <v>308819.11086000002</v>
      </c>
      <c r="H994" s="1980"/>
      <c r="I994" s="1983">
        <f>SUM(I988:I993)</f>
        <v>0.70985385995964267</v>
      </c>
      <c r="J994" s="1981"/>
    </row>
    <row r="995" spans="1:10" ht="15.75" customHeight="1">
      <c r="A995" s="1780"/>
      <c r="B995" s="1739" t="s">
        <v>1015</v>
      </c>
      <c r="C995" s="1755" t="s">
        <v>2067</v>
      </c>
      <c r="D995" s="1841"/>
      <c r="E995" s="413"/>
      <c r="F995" s="320"/>
      <c r="G995" s="320"/>
      <c r="H995" s="1980"/>
      <c r="I995" s="1980"/>
      <c r="J995" s="1981"/>
    </row>
    <row r="996" spans="1:10" ht="15.75" customHeight="1">
      <c r="A996" s="1780"/>
      <c r="B996" s="1784"/>
      <c r="C996" s="317" t="s">
        <v>2103</v>
      </c>
      <c r="D996" s="1841">
        <v>0.66</v>
      </c>
      <c r="E996" s="413" t="s">
        <v>2069</v>
      </c>
      <c r="F996" s="1747">
        <f>'Bahan &amp; Upah'!C$336</f>
        <v>96332.65</v>
      </c>
      <c r="G996" s="332">
        <f>F996*D996</f>
        <v>63579.548999999999</v>
      </c>
      <c r="H996" s="1980">
        <v>1</v>
      </c>
      <c r="I996" s="1980">
        <f>(G996/G$1004)*H996</f>
        <v>0.15308077001797943</v>
      </c>
      <c r="J996" s="1981"/>
    </row>
    <row r="997" spans="1:10" ht="15.75" customHeight="1">
      <c r="A997" s="1780"/>
      <c r="B997" s="1784"/>
      <c r="C997" s="317" t="s">
        <v>2104</v>
      </c>
      <c r="D997" s="1841">
        <v>0.33</v>
      </c>
      <c r="E997" s="413" t="s">
        <v>2069</v>
      </c>
      <c r="F997" s="1883">
        <f>'Bahan &amp; Upah'!C$337</f>
        <v>114133.55</v>
      </c>
      <c r="G997" s="332">
        <f>F997*D997</f>
        <v>37664.071500000005</v>
      </c>
      <c r="H997" s="1980">
        <v>1</v>
      </c>
      <c r="I997" s="1980">
        <f>(G997/G$1004)*H997</f>
        <v>9.0683956679721567E-2</v>
      </c>
      <c r="J997" s="1981"/>
    </row>
    <row r="998" spans="1:10" ht="15.75" customHeight="1">
      <c r="A998" s="1780"/>
      <c r="B998" s="1784"/>
      <c r="C998" s="317" t="s">
        <v>2105</v>
      </c>
      <c r="D998" s="1841">
        <v>3.3000000000000002E-2</v>
      </c>
      <c r="E998" s="413" t="s">
        <v>2069</v>
      </c>
      <c r="F998" s="1748">
        <f>'Bahan &amp; Upah'!C$338</f>
        <v>125485.75</v>
      </c>
      <c r="G998" s="332">
        <f>F998*D998</f>
        <v>4141.0297500000006</v>
      </c>
      <c r="H998" s="1980">
        <v>1</v>
      </c>
      <c r="I998" s="1980">
        <f>(G998/G$1004)*H998</f>
        <v>9.9703762100822862E-3</v>
      </c>
      <c r="J998" s="1981"/>
    </row>
    <row r="999" spans="1:10" ht="15.75" customHeight="1">
      <c r="A999" s="1780"/>
      <c r="B999" s="1784"/>
      <c r="C999" s="317" t="s">
        <v>2107</v>
      </c>
      <c r="D999" s="1841">
        <v>1.0999999999999999E-2</v>
      </c>
      <c r="E999" s="413" t="s">
        <v>2069</v>
      </c>
      <c r="F999" s="1883">
        <f>'Bahan &amp; Upah'!C$339</f>
        <v>102689.88</v>
      </c>
      <c r="G999" s="1785">
        <f>F999*D999</f>
        <v>1129.5886800000001</v>
      </c>
      <c r="H999" s="1980">
        <v>1</v>
      </c>
      <c r="I999" s="1982">
        <f>(G999/G$1004)*H999</f>
        <v>2.7197158151907146E-3</v>
      </c>
      <c r="J999" s="1981"/>
    </row>
    <row r="1000" spans="1:10" ht="15.75" customHeight="1">
      <c r="A1000" s="1780"/>
      <c r="B1000" s="1784"/>
      <c r="C1000" s="1753" t="s">
        <v>2108</v>
      </c>
      <c r="D1000" s="1841"/>
      <c r="E1000" s="413"/>
      <c r="F1000" s="320"/>
      <c r="G1000" s="361">
        <f>SUM(G996:G999)</f>
        <v>106514.23893000001</v>
      </c>
      <c r="H1000" s="1980"/>
      <c r="I1000" s="1983">
        <f>SUM(I996:I999)</f>
        <v>0.25645481872297399</v>
      </c>
      <c r="J1000" s="1981"/>
    </row>
    <row r="1001" spans="1:10" ht="15.75" customHeight="1">
      <c r="A1001" s="1780"/>
      <c r="B1001" s="1739" t="s">
        <v>1048</v>
      </c>
      <c r="C1001" s="1755" t="s">
        <v>2109</v>
      </c>
      <c r="D1001" s="1841"/>
      <c r="E1001" s="413"/>
      <c r="F1001" s="320"/>
      <c r="G1001" s="320"/>
      <c r="H1001" s="1980"/>
      <c r="I1001" s="1980"/>
      <c r="J1001" s="1981"/>
    </row>
    <row r="1002" spans="1:10" ht="15.75" customHeight="1">
      <c r="A1002" s="1780"/>
      <c r="B1002" s="1739"/>
      <c r="C1002" s="1755"/>
      <c r="D1002" s="1841"/>
      <c r="E1002" s="413"/>
      <c r="F1002" s="320"/>
      <c r="G1002" s="1785">
        <f>F1002*D1002</f>
        <v>0</v>
      </c>
      <c r="H1002" s="1980"/>
      <c r="I1002" s="1984"/>
      <c r="J1002" s="1981"/>
    </row>
    <row r="1003" spans="1:10" ht="15.75" customHeight="1">
      <c r="A1003" s="1780"/>
      <c r="B1003" s="1784"/>
      <c r="C1003" s="1753" t="s">
        <v>2110</v>
      </c>
      <c r="D1003" s="1841"/>
      <c r="E1003" s="413"/>
      <c r="F1003" s="320"/>
      <c r="G1003" s="361">
        <f>SUM(G1002)</f>
        <v>0</v>
      </c>
      <c r="H1003" s="1980"/>
      <c r="I1003" s="1980"/>
      <c r="J1003" s="1981"/>
    </row>
    <row r="1004" spans="1:10" ht="15.75" customHeight="1">
      <c r="A1004" s="1780"/>
      <c r="B1004" s="1739" t="s">
        <v>979</v>
      </c>
      <c r="C1004" s="1804" t="s">
        <v>2129</v>
      </c>
      <c r="D1004" s="1763"/>
      <c r="E1004" s="1764"/>
      <c r="F1004" s="1765"/>
      <c r="G1004" s="1765">
        <f>G994+G1000+G1003</f>
        <v>415333.34979000001</v>
      </c>
      <c r="H1004" s="1980"/>
      <c r="I1004" s="1984">
        <f>I994+I1000</f>
        <v>0.96630867868261672</v>
      </c>
      <c r="J1004" s="1981"/>
    </row>
    <row r="1005" spans="1:10" ht="15.75" customHeight="1">
      <c r="A1005" s="1780"/>
      <c r="B1005" s="1739" t="s">
        <v>2093</v>
      </c>
      <c r="C1005" s="1762" t="s">
        <v>2094</v>
      </c>
      <c r="D1005" s="1767">
        <f>M$4</f>
        <v>0.15</v>
      </c>
      <c r="E1005" s="1768"/>
      <c r="F1005" s="1765"/>
      <c r="G1005" s="1765">
        <f>G1004*D1005</f>
        <v>62300.002468499995</v>
      </c>
      <c r="H1005" s="1980"/>
      <c r="I1005" s="1980"/>
      <c r="J1005" s="1981"/>
    </row>
    <row r="1006" spans="1:10" ht="15.75" customHeight="1">
      <c r="A1006" s="1786"/>
      <c r="B1006" s="1787" t="s">
        <v>2095</v>
      </c>
      <c r="C1006" s="1788" t="s">
        <v>2111</v>
      </c>
      <c r="D1006" s="1772"/>
      <c r="E1006" s="1773"/>
      <c r="F1006" s="1774"/>
      <c r="G1006" s="1861">
        <f>ROUNDUP((G1004+G1005),2)</f>
        <v>477633.36</v>
      </c>
      <c r="H1006" s="1985"/>
      <c r="I1006" s="1985"/>
      <c r="J1006" s="1986"/>
    </row>
    <row r="1007" spans="1:10" ht="15.75" customHeight="1">
      <c r="A1007" s="1733"/>
      <c r="B1007" s="1733"/>
      <c r="C1007" s="1733"/>
      <c r="D1007" s="1733"/>
      <c r="E1007" s="1733"/>
      <c r="F1007" s="1733"/>
      <c r="G1007" s="1733"/>
      <c r="H1007" s="1733"/>
      <c r="I1007" s="1733"/>
      <c r="J1007" s="1733"/>
    </row>
    <row r="1008" spans="1:10" ht="15.75" customHeight="1">
      <c r="A1008" s="1946">
        <f>A986+1</f>
        <v>42</v>
      </c>
      <c r="B1008" s="1779" t="s">
        <v>2472</v>
      </c>
      <c r="C1008" s="1939" t="s">
        <v>2473</v>
      </c>
      <c r="D1008" s="1873"/>
      <c r="E1008" s="1874"/>
      <c r="F1008" s="1875"/>
      <c r="G1008" s="1875"/>
      <c r="H1008" s="1800"/>
      <c r="I1008" s="1800"/>
      <c r="J1008" s="1801"/>
    </row>
    <row r="1009" spans="1:10" ht="15.75" customHeight="1">
      <c r="A1009" s="1780"/>
      <c r="B1009" s="1739" t="s">
        <v>1004</v>
      </c>
      <c r="C1009" s="1755" t="s">
        <v>2075</v>
      </c>
      <c r="D1009" s="1841"/>
      <c r="E1009" s="413"/>
      <c r="F1009" s="320"/>
      <c r="G1009" s="320"/>
      <c r="H1009" s="1802"/>
      <c r="I1009" s="1802"/>
      <c r="J1009" s="1803"/>
    </row>
    <row r="1010" spans="1:10" ht="15.75" customHeight="1">
      <c r="A1010" s="1780"/>
      <c r="B1010" s="1784"/>
      <c r="C1010" s="317" t="s">
        <v>2465</v>
      </c>
      <c r="D1010" s="1841">
        <v>0.4</v>
      </c>
      <c r="E1010" s="413" t="s">
        <v>100</v>
      </c>
      <c r="F1010" s="1883">
        <f>'Bahan &amp; Upah'!C$54</f>
        <v>36067.67</v>
      </c>
      <c r="G1010" s="332">
        <f>F1010*D1010</f>
        <v>14427.067999999999</v>
      </c>
      <c r="H1010" s="1980">
        <f>H988</f>
        <v>0.27879999999999999</v>
      </c>
      <c r="I1010" s="1980">
        <f>(G1010/G$1025)*H1010</f>
        <v>1.8783727955700661E-2</v>
      </c>
      <c r="J1010" s="1981"/>
    </row>
    <row r="1011" spans="1:10" ht="15.75" customHeight="1">
      <c r="A1011" s="1780"/>
      <c r="B1011" s="1784"/>
      <c r="C1011" s="317" t="s">
        <v>2466</v>
      </c>
      <c r="D1011" s="1841">
        <v>0.15</v>
      </c>
      <c r="E1011" s="413" t="s">
        <v>2467</v>
      </c>
      <c r="F1011" s="1883">
        <f>'Bahan &amp; Upah'!C$156</f>
        <v>39870.31</v>
      </c>
      <c r="G1011" s="332">
        <f>F1011*D1011</f>
        <v>5980.5464999999995</v>
      </c>
      <c r="H1011" s="1980">
        <f>H989</f>
        <v>0.55000000000000004</v>
      </c>
      <c r="I1011" s="1980">
        <f>(G1011/G$1004)*H1011</f>
        <v>7.9196639919792838E-3</v>
      </c>
      <c r="J1011" s="1981"/>
    </row>
    <row r="1012" spans="1:10" ht="15.75" customHeight="1">
      <c r="A1012" s="1780"/>
      <c r="B1012" s="1784"/>
      <c r="C1012" s="317" t="s">
        <v>2468</v>
      </c>
      <c r="D1012" s="1841">
        <v>5.0000000000000001E-3</v>
      </c>
      <c r="E1012" s="413" t="s">
        <v>103</v>
      </c>
      <c r="F1012" s="1883">
        <f>'Bahan &amp; Upah'!C$97</f>
        <v>6503424.4100000001</v>
      </c>
      <c r="G1012" s="332">
        <f>F1012*D1012</f>
        <v>32517.122050000002</v>
      </c>
      <c r="H1012" s="1980">
        <v>1</v>
      </c>
      <c r="I1012" s="1980">
        <f>(G1012/G$1025)*H1012</f>
        <v>0.15185288334855662</v>
      </c>
      <c r="J1012" s="1981"/>
    </row>
    <row r="1013" spans="1:10" ht="15.75" customHeight="1">
      <c r="A1013" s="1780"/>
      <c r="B1013" s="1784"/>
      <c r="C1013" s="317" t="s">
        <v>2469</v>
      </c>
      <c r="D1013" s="1841">
        <v>0.127</v>
      </c>
      <c r="E1013" s="413" t="s">
        <v>2086</v>
      </c>
      <c r="F1013" s="1883">
        <f>'Bahan &amp; Upah'!C$93</f>
        <v>278348.95</v>
      </c>
      <c r="G1013" s="332">
        <f>F1013*D1013</f>
        <v>35350.316650000001</v>
      </c>
      <c r="H1013" s="1980">
        <v>1</v>
      </c>
      <c r="I1013" s="1980">
        <f>(G1013/G$1025)*H1013</f>
        <v>0.16508372119564588</v>
      </c>
      <c r="J1013" s="1981"/>
    </row>
    <row r="1014" spans="1:10" ht="15.75" customHeight="1">
      <c r="A1014" s="1780"/>
      <c r="B1014" s="1784"/>
      <c r="C1014" s="317" t="s">
        <v>2470</v>
      </c>
      <c r="D1014" s="1841">
        <v>0.65</v>
      </c>
      <c r="E1014" s="413" t="s">
        <v>888</v>
      </c>
      <c r="F1014" s="1883">
        <f>'Bahan &amp; Upah'!C$101</f>
        <v>29763.69</v>
      </c>
      <c r="G1014" s="1794">
        <f>F1014*D1014</f>
        <v>19346.398499999999</v>
      </c>
      <c r="H1014" s="1980">
        <v>1</v>
      </c>
      <c r="I1014" s="1982">
        <f>(G1014/G$1025)*H1014</f>
        <v>9.0346445485485108E-2</v>
      </c>
      <c r="J1014" s="1981"/>
    </row>
    <row r="1015" spans="1:10" ht="15.75" customHeight="1">
      <c r="A1015" s="1780"/>
      <c r="B1015" s="1784"/>
      <c r="C1015" s="1753" t="s">
        <v>2091</v>
      </c>
      <c r="D1015" s="1841"/>
      <c r="E1015" s="413"/>
      <c r="F1015" s="320"/>
      <c r="G1015" s="361">
        <f>SUM(G1010:G1014)</f>
        <v>107621.45169999999</v>
      </c>
      <c r="H1015" s="1980"/>
      <c r="I1015" s="1983">
        <f>SUM(I1010:I1014)</f>
        <v>0.43398644197736758</v>
      </c>
      <c r="J1015" s="1981"/>
    </row>
    <row r="1016" spans="1:10" ht="15.75" customHeight="1">
      <c r="A1016" s="1780"/>
      <c r="B1016" s="1739" t="s">
        <v>1015</v>
      </c>
      <c r="C1016" s="1755" t="s">
        <v>2067</v>
      </c>
      <c r="D1016" s="1841"/>
      <c r="E1016" s="413"/>
      <c r="F1016" s="320"/>
      <c r="G1016" s="320"/>
      <c r="H1016" s="1980"/>
      <c r="I1016" s="1980"/>
      <c r="J1016" s="1981"/>
    </row>
    <row r="1017" spans="1:10" ht="15.75" customHeight="1">
      <c r="A1017" s="1780"/>
      <c r="B1017" s="1784"/>
      <c r="C1017" s="317" t="s">
        <v>2103</v>
      </c>
      <c r="D1017" s="1841">
        <v>0.66</v>
      </c>
      <c r="E1017" s="413" t="s">
        <v>2069</v>
      </c>
      <c r="F1017" s="1747">
        <f>'Bahan &amp; Upah'!C$336</f>
        <v>96332.65</v>
      </c>
      <c r="G1017" s="332">
        <f>F1017*D1017</f>
        <v>63579.548999999999</v>
      </c>
      <c r="H1017" s="1980">
        <v>1</v>
      </c>
      <c r="I1017" s="1980">
        <f>(G1017/G$1025)*H1017</f>
        <v>0.29691243348058965</v>
      </c>
      <c r="J1017" s="1981"/>
    </row>
    <row r="1018" spans="1:10" ht="15.75" customHeight="1">
      <c r="A1018" s="1780"/>
      <c r="B1018" s="1784"/>
      <c r="C1018" s="317" t="s">
        <v>2104</v>
      </c>
      <c r="D1018" s="1841">
        <v>0.33</v>
      </c>
      <c r="E1018" s="413" t="s">
        <v>2069</v>
      </c>
      <c r="F1018" s="1883">
        <f>'Bahan &amp; Upah'!C$337</f>
        <v>114133.55</v>
      </c>
      <c r="G1018" s="332">
        <f>F1018*D1018</f>
        <v>37664.071500000005</v>
      </c>
      <c r="H1018" s="1980">
        <v>1</v>
      </c>
      <c r="I1018" s="1980">
        <f>(G1018/G$1025)*H1018</f>
        <v>0.17588880858295997</v>
      </c>
      <c r="J1018" s="1981"/>
    </row>
    <row r="1019" spans="1:10" ht="15.75" customHeight="1">
      <c r="A1019" s="1780"/>
      <c r="B1019" s="1784"/>
      <c r="C1019" s="317" t="s">
        <v>2105</v>
      </c>
      <c r="D1019" s="1841">
        <v>3.3000000000000002E-2</v>
      </c>
      <c r="E1019" s="413" t="s">
        <v>2069</v>
      </c>
      <c r="F1019" s="1748">
        <f>'Bahan &amp; Upah'!C$338</f>
        <v>125485.75</v>
      </c>
      <c r="G1019" s="332">
        <f>F1019*D1019</f>
        <v>4141.0297500000006</v>
      </c>
      <c r="H1019" s="1980">
        <v>1</v>
      </c>
      <c r="I1019" s="1980">
        <f>(G1019/G$1025)*H1019</f>
        <v>1.9338344475957482E-2</v>
      </c>
      <c r="J1019" s="1981"/>
    </row>
    <row r="1020" spans="1:10" ht="15.75" customHeight="1">
      <c r="A1020" s="1780"/>
      <c r="B1020" s="1784"/>
      <c r="C1020" s="317" t="s">
        <v>2107</v>
      </c>
      <c r="D1020" s="1841">
        <v>1.0999999999999999E-2</v>
      </c>
      <c r="E1020" s="413" t="s">
        <v>2069</v>
      </c>
      <c r="F1020" s="1883">
        <f>'Bahan &amp; Upah'!C$339</f>
        <v>102689.88</v>
      </c>
      <c r="G1020" s="1785">
        <f>F1020*D1020</f>
        <v>1129.5886800000001</v>
      </c>
      <c r="H1020" s="1980">
        <v>1</v>
      </c>
      <c r="I1020" s="1982">
        <f>(G1020/G$1025)*H1020</f>
        <v>5.2751069972347096E-3</v>
      </c>
      <c r="J1020" s="1981"/>
    </row>
    <row r="1021" spans="1:10" ht="15.75" customHeight="1">
      <c r="A1021" s="1780"/>
      <c r="B1021" s="1784"/>
      <c r="C1021" s="1753" t="s">
        <v>2108</v>
      </c>
      <c r="D1021" s="1841"/>
      <c r="E1021" s="413"/>
      <c r="F1021" s="320"/>
      <c r="G1021" s="361">
        <f>SUM(G1017:G1020)</f>
        <v>106514.23893000001</v>
      </c>
      <c r="H1021" s="1980"/>
      <c r="I1021" s="1983">
        <f>SUM(I1017:I1020)</f>
        <v>0.49741469353674184</v>
      </c>
      <c r="J1021" s="1981"/>
    </row>
    <row r="1022" spans="1:10" ht="15.75" customHeight="1">
      <c r="A1022" s="1780"/>
      <c r="B1022" s="1739" t="s">
        <v>1048</v>
      </c>
      <c r="C1022" s="1755" t="s">
        <v>2109</v>
      </c>
      <c r="D1022" s="1841"/>
      <c r="E1022" s="413"/>
      <c r="F1022" s="320"/>
      <c r="G1022" s="320"/>
      <c r="H1022" s="1980"/>
      <c r="I1022" s="1980"/>
      <c r="J1022" s="1981"/>
    </row>
    <row r="1023" spans="1:10" ht="15.75" customHeight="1">
      <c r="A1023" s="1780"/>
      <c r="B1023" s="1739"/>
      <c r="C1023" s="1755"/>
      <c r="D1023" s="1841"/>
      <c r="E1023" s="413"/>
      <c r="F1023" s="320"/>
      <c r="G1023" s="1785">
        <f>F1023*D1023</f>
        <v>0</v>
      </c>
      <c r="H1023" s="1980"/>
      <c r="I1023" s="1984"/>
      <c r="J1023" s="1981"/>
    </row>
    <row r="1024" spans="1:10" ht="15.75" customHeight="1">
      <c r="A1024" s="1780"/>
      <c r="B1024" s="1784"/>
      <c r="C1024" s="1753" t="s">
        <v>2110</v>
      </c>
      <c r="D1024" s="1841"/>
      <c r="E1024" s="413"/>
      <c r="F1024" s="320"/>
      <c r="G1024" s="361">
        <f>SUM(G1023)</f>
        <v>0</v>
      </c>
      <c r="H1024" s="1980"/>
      <c r="I1024" s="1980"/>
      <c r="J1024" s="1981"/>
    </row>
    <row r="1025" spans="1:10" ht="15.75" customHeight="1">
      <c r="A1025" s="1780"/>
      <c r="B1025" s="1739" t="s">
        <v>979</v>
      </c>
      <c r="C1025" s="1804" t="s">
        <v>2129</v>
      </c>
      <c r="D1025" s="1763"/>
      <c r="E1025" s="1764"/>
      <c r="F1025" s="1765"/>
      <c r="G1025" s="1765">
        <f>G1015+G1021+G1024</f>
        <v>214135.69063</v>
      </c>
      <c r="H1025" s="1980"/>
      <c r="I1025" s="1984">
        <f>I1015+I1021</f>
        <v>0.93140113551410941</v>
      </c>
      <c r="J1025" s="1981"/>
    </row>
    <row r="1026" spans="1:10" ht="15.75" customHeight="1">
      <c r="A1026" s="1780"/>
      <c r="B1026" s="1739" t="s">
        <v>2093</v>
      </c>
      <c r="C1026" s="1762" t="s">
        <v>2094</v>
      </c>
      <c r="D1026" s="1767">
        <f>M$4</f>
        <v>0.15</v>
      </c>
      <c r="E1026" s="1768"/>
      <c r="F1026" s="1765"/>
      <c r="G1026" s="1765">
        <f>G1025*D1026</f>
        <v>32120.353594499997</v>
      </c>
      <c r="H1026" s="1980"/>
      <c r="I1026" s="1980"/>
      <c r="J1026" s="1981"/>
    </row>
    <row r="1027" spans="1:10" ht="15.75" customHeight="1">
      <c r="A1027" s="1786"/>
      <c r="B1027" s="1787" t="s">
        <v>2095</v>
      </c>
      <c r="C1027" s="1788" t="s">
        <v>2111</v>
      </c>
      <c r="D1027" s="1772"/>
      <c r="E1027" s="1773"/>
      <c r="F1027" s="1774"/>
      <c r="G1027" s="1861">
        <f>ROUNDUP((G1025+G1026),2)</f>
        <v>246256.05000000002</v>
      </c>
      <c r="H1027" s="1985"/>
      <c r="I1027" s="1985"/>
      <c r="J1027" s="1986"/>
    </row>
    <row r="1028" spans="1:10" ht="15.75" customHeight="1">
      <c r="A1028" s="1733"/>
      <c r="B1028" s="1733"/>
      <c r="C1028" s="1733"/>
      <c r="D1028" s="1733"/>
      <c r="E1028" s="1733"/>
      <c r="F1028" s="1733"/>
      <c r="G1028" s="1733"/>
      <c r="H1028" s="1733"/>
      <c r="I1028" s="1733"/>
      <c r="J1028" s="1733"/>
    </row>
    <row r="1029" spans="1:10" ht="30" customHeight="1">
      <c r="A1029" s="1946">
        <f>A1008+1</f>
        <v>43</v>
      </c>
      <c r="B1029" s="1871" t="s">
        <v>2147</v>
      </c>
      <c r="C1029" s="1939" t="s">
        <v>2474</v>
      </c>
      <c r="D1029" s="1873"/>
      <c r="E1029" s="1874"/>
      <c r="F1029" s="1875"/>
      <c r="G1029" s="1875"/>
      <c r="H1029" s="1800"/>
      <c r="I1029" s="1800"/>
      <c r="J1029" s="1801"/>
    </row>
    <row r="1030" spans="1:10" ht="15.75" customHeight="1">
      <c r="A1030" s="1780"/>
      <c r="B1030" s="1739" t="s">
        <v>1004</v>
      </c>
      <c r="C1030" s="1755" t="s">
        <v>2075</v>
      </c>
      <c r="D1030" s="1841"/>
      <c r="E1030" s="413"/>
      <c r="F1030" s="320"/>
      <c r="G1030" s="320"/>
      <c r="H1030" s="1802"/>
      <c r="I1030" s="1802"/>
      <c r="J1030" s="1803"/>
    </row>
    <row r="1031" spans="1:10" ht="15.75" customHeight="1">
      <c r="A1031" s="1780"/>
      <c r="B1031" s="1784"/>
      <c r="C1031" s="317" t="s">
        <v>2475</v>
      </c>
      <c r="D1031" s="1841">
        <v>1</v>
      </c>
      <c r="E1031" s="413" t="s">
        <v>313</v>
      </c>
      <c r="F1031" s="1883">
        <f>'Bahan &amp; Upah'!C136</f>
        <v>1376018.59</v>
      </c>
      <c r="G1031" s="1794">
        <f>F1031*D1031</f>
        <v>1376018.59</v>
      </c>
      <c r="H1031" s="1980">
        <v>1</v>
      </c>
      <c r="I1031" s="1980">
        <f>(G1031/G$1040)*H1031</f>
        <v>0.94349631202833628</v>
      </c>
      <c r="J1031" s="1981"/>
    </row>
    <row r="1032" spans="1:10" ht="15.75" customHeight="1">
      <c r="A1032" s="1780"/>
      <c r="B1032" s="1784"/>
      <c r="C1032" s="1753" t="s">
        <v>2091</v>
      </c>
      <c r="D1032" s="1841"/>
      <c r="E1032" s="413"/>
      <c r="F1032" s="320"/>
      <c r="G1032" s="361">
        <f>SUM(G1031:G1031)</f>
        <v>1376018.59</v>
      </c>
      <c r="H1032" s="1980"/>
      <c r="I1032" s="1983">
        <f>SUM(I1031:I1031)</f>
        <v>0.94349631202833628</v>
      </c>
      <c r="J1032" s="1981"/>
    </row>
    <row r="1033" spans="1:10" ht="15.75" customHeight="1">
      <c r="A1033" s="1780"/>
      <c r="B1033" s="1739" t="s">
        <v>1015</v>
      </c>
      <c r="C1033" s="1755" t="s">
        <v>2067</v>
      </c>
      <c r="D1033" s="1841"/>
      <c r="E1033" s="413"/>
      <c r="F1033" s="320"/>
      <c r="G1033" s="320"/>
      <c r="H1033" s="1980"/>
      <c r="I1033" s="1980"/>
      <c r="J1033" s="1981"/>
    </row>
    <row r="1034" spans="1:10" ht="15.75" customHeight="1">
      <c r="A1034" s="1780"/>
      <c r="B1034" s="1784"/>
      <c r="C1034" s="317" t="s">
        <v>2103</v>
      </c>
      <c r="D1034" s="1841">
        <v>0.5</v>
      </c>
      <c r="E1034" s="413" t="s">
        <v>2069</v>
      </c>
      <c r="F1034" s="1747">
        <f>'Bahan &amp; Upah'!C$336</f>
        <v>96332.65</v>
      </c>
      <c r="G1034" s="332">
        <f>F1034*D1034</f>
        <v>48166.324999999997</v>
      </c>
      <c r="H1034" s="1980">
        <v>1</v>
      </c>
      <c r="I1034" s="1980">
        <f>(G1034/G$1040)*H1034</f>
        <v>3.3026261659341569E-2</v>
      </c>
      <c r="J1034" s="1981"/>
    </row>
    <row r="1035" spans="1:10" ht="15.75" customHeight="1">
      <c r="A1035" s="1780"/>
      <c r="B1035" s="1784"/>
      <c r="C1035" s="317" t="s">
        <v>2104</v>
      </c>
      <c r="D1035" s="1841">
        <v>0.3</v>
      </c>
      <c r="E1035" s="413" t="s">
        <v>2069</v>
      </c>
      <c r="F1035" s="1883">
        <f>'Bahan &amp; Upah'!C$337</f>
        <v>114133.55</v>
      </c>
      <c r="G1035" s="1794">
        <f>F1035*D1035</f>
        <v>34240.065000000002</v>
      </c>
      <c r="H1035" s="1980">
        <v>1</v>
      </c>
      <c r="I1035" s="1982">
        <f>(G1035/G$1040)*H1035</f>
        <v>2.3477426312322216E-2</v>
      </c>
      <c r="J1035" s="1981"/>
    </row>
    <row r="1036" spans="1:10" ht="15.75" customHeight="1">
      <c r="A1036" s="1780"/>
      <c r="B1036" s="1784"/>
      <c r="C1036" s="1753" t="s">
        <v>2108</v>
      </c>
      <c r="D1036" s="1841"/>
      <c r="E1036" s="413"/>
      <c r="F1036" s="320"/>
      <c r="G1036" s="361">
        <f>SUM(G1034:G1035)</f>
        <v>82406.39</v>
      </c>
      <c r="H1036" s="1980"/>
      <c r="I1036" s="1983">
        <f>SUM(I1034:I1035)</f>
        <v>5.6503687971663788E-2</v>
      </c>
      <c r="J1036" s="1981"/>
    </row>
    <row r="1037" spans="1:10" ht="15.75" customHeight="1">
      <c r="A1037" s="1780"/>
      <c r="B1037" s="1739" t="s">
        <v>1048</v>
      </c>
      <c r="C1037" s="1755" t="s">
        <v>2109</v>
      </c>
      <c r="D1037" s="1841"/>
      <c r="E1037" s="413"/>
      <c r="F1037" s="320"/>
      <c r="G1037" s="320"/>
      <c r="H1037" s="1980"/>
      <c r="I1037" s="1980"/>
      <c r="J1037" s="1981"/>
    </row>
    <row r="1038" spans="1:10" ht="15.75" customHeight="1">
      <c r="A1038" s="1780"/>
      <c r="B1038" s="1739"/>
      <c r="C1038" s="1755"/>
      <c r="D1038" s="1841"/>
      <c r="E1038" s="413"/>
      <c r="F1038" s="320"/>
      <c r="G1038" s="1785">
        <f>F1038*D1038</f>
        <v>0</v>
      </c>
      <c r="H1038" s="1980"/>
      <c r="I1038" s="1984"/>
      <c r="J1038" s="1981"/>
    </row>
    <row r="1039" spans="1:10" ht="15.75" customHeight="1">
      <c r="A1039" s="1780"/>
      <c r="B1039" s="1784"/>
      <c r="C1039" s="1753" t="s">
        <v>2110</v>
      </c>
      <c r="D1039" s="1841"/>
      <c r="E1039" s="413"/>
      <c r="F1039" s="320"/>
      <c r="G1039" s="361">
        <f>SUM(G1038)</f>
        <v>0</v>
      </c>
      <c r="H1039" s="1980"/>
      <c r="I1039" s="1980"/>
      <c r="J1039" s="1981"/>
    </row>
    <row r="1040" spans="1:10" ht="15.75" customHeight="1">
      <c r="A1040" s="1780"/>
      <c r="B1040" s="1739" t="s">
        <v>979</v>
      </c>
      <c r="C1040" s="1804" t="s">
        <v>2129</v>
      </c>
      <c r="D1040" s="1763"/>
      <c r="E1040" s="1764"/>
      <c r="F1040" s="1765"/>
      <c r="G1040" s="1765">
        <f>G1032+G1036+G1039</f>
        <v>1458424.98</v>
      </c>
      <c r="H1040" s="1980"/>
      <c r="I1040" s="1984">
        <f>I1032+I1036</f>
        <v>1</v>
      </c>
      <c r="J1040" s="1981"/>
    </row>
    <row r="1041" spans="1:10" ht="15.75" customHeight="1">
      <c r="A1041" s="1780"/>
      <c r="B1041" s="1739" t="s">
        <v>2093</v>
      </c>
      <c r="C1041" s="1762" t="s">
        <v>2094</v>
      </c>
      <c r="D1041" s="1767">
        <f>M$4</f>
        <v>0.15</v>
      </c>
      <c r="E1041" s="1768"/>
      <c r="F1041" s="1765"/>
      <c r="G1041" s="1765">
        <f>G1040*D1041</f>
        <v>218763.747</v>
      </c>
      <c r="H1041" s="1980"/>
      <c r="I1041" s="1980"/>
      <c r="J1041" s="1981"/>
    </row>
    <row r="1042" spans="1:10" ht="15.75" customHeight="1">
      <c r="A1042" s="1786"/>
      <c r="B1042" s="1787" t="s">
        <v>2095</v>
      </c>
      <c r="C1042" s="1788" t="s">
        <v>2111</v>
      </c>
      <c r="D1042" s="1772"/>
      <c r="E1042" s="1773"/>
      <c r="F1042" s="1774"/>
      <c r="G1042" s="1861">
        <f>ROUNDUP((G1040+G1041),2)</f>
        <v>1677188.73</v>
      </c>
      <c r="H1042" s="1985"/>
      <c r="I1042" s="1985"/>
      <c r="J1042" s="1986"/>
    </row>
    <row r="1043" spans="1:10" ht="15.75" customHeight="1">
      <c r="A1043" s="1733"/>
      <c r="B1043" s="1733"/>
      <c r="C1043" s="1733"/>
      <c r="D1043" s="1733"/>
      <c r="E1043" s="1733"/>
      <c r="F1043" s="1733"/>
      <c r="G1043" s="1733"/>
      <c r="H1043" s="1733"/>
      <c r="I1043" s="1733"/>
      <c r="J1043" s="1733"/>
    </row>
    <row r="1044" spans="1:10" ht="30" customHeight="1">
      <c r="A1044" s="1778">
        <f>A1029+1</f>
        <v>44</v>
      </c>
      <c r="B1044" s="1871" t="s">
        <v>2476</v>
      </c>
      <c r="C1044" s="1939" t="s">
        <v>2477</v>
      </c>
      <c r="D1044" s="1873"/>
      <c r="E1044" s="1874"/>
      <c r="F1044" s="1875"/>
      <c r="G1044" s="1875"/>
      <c r="H1044" s="1800"/>
      <c r="I1044" s="1800"/>
      <c r="J1044" s="1801"/>
    </row>
    <row r="1045" spans="1:10" ht="15.75" customHeight="1">
      <c r="A1045" s="1780"/>
      <c r="B1045" s="1739" t="s">
        <v>1004</v>
      </c>
      <c r="C1045" s="1755" t="s">
        <v>2075</v>
      </c>
      <c r="D1045" s="1841"/>
      <c r="E1045" s="413"/>
      <c r="F1045" s="320"/>
      <c r="G1045" s="320"/>
      <c r="H1045" s="1802"/>
      <c r="I1045" s="1802"/>
      <c r="J1045" s="1803"/>
    </row>
    <row r="1046" spans="1:10" ht="15.75" customHeight="1">
      <c r="A1046" s="1780"/>
      <c r="B1046" s="1784"/>
      <c r="C1046" s="317" t="s">
        <v>2478</v>
      </c>
      <c r="D1046" s="1841">
        <v>1.25</v>
      </c>
      <c r="E1046" s="413" t="s">
        <v>888</v>
      </c>
      <c r="F1046" s="1883">
        <f>'Bahan &amp; Upah'!C103</f>
        <v>35283.919999999998</v>
      </c>
      <c r="G1046" s="332">
        <f>F1046*D1046</f>
        <v>44104.899999999994</v>
      </c>
      <c r="H1046" s="1980">
        <v>1</v>
      </c>
      <c r="I1046" s="1980">
        <f>(G1046/G$1058)*H1046</f>
        <v>0.13096726525593436</v>
      </c>
      <c r="J1046" s="1981"/>
    </row>
    <row r="1047" spans="1:10" ht="15.75" customHeight="1">
      <c r="A1047" s="1780"/>
      <c r="B1047" s="1784"/>
      <c r="C1047" s="317" t="s">
        <v>2479</v>
      </c>
      <c r="D1047" s="1841">
        <v>0.186</v>
      </c>
      <c r="E1047" s="413" t="s">
        <v>103</v>
      </c>
      <c r="F1047" s="1883">
        <f>'Bahan &amp; Upah'!C104</f>
        <v>1000772.25</v>
      </c>
      <c r="G1047" s="1794">
        <f>F1047*D1047</f>
        <v>186143.6385</v>
      </c>
      <c r="H1047" s="1980">
        <v>1</v>
      </c>
      <c r="I1047" s="1982">
        <f>(G1047/G$1058)*H1047</f>
        <v>0.55274410052248746</v>
      </c>
      <c r="J1047" s="1981"/>
    </row>
    <row r="1048" spans="1:10" ht="15.75" customHeight="1">
      <c r="A1048" s="1780"/>
      <c r="B1048" s="1784"/>
      <c r="C1048" s="1753" t="s">
        <v>2091</v>
      </c>
      <c r="D1048" s="1841"/>
      <c r="E1048" s="413"/>
      <c r="F1048" s="320"/>
      <c r="G1048" s="361">
        <f>SUM(G1046:G1047)</f>
        <v>230248.5385</v>
      </c>
      <c r="H1048" s="1980"/>
      <c r="I1048" s="1983">
        <f>SUM(I1046:I1047)</f>
        <v>0.68371136577842184</v>
      </c>
      <c r="J1048" s="1981"/>
    </row>
    <row r="1049" spans="1:10" ht="15.75" customHeight="1">
      <c r="A1049" s="1780"/>
      <c r="B1049" s="1739" t="s">
        <v>1015</v>
      </c>
      <c r="C1049" s="1755" t="s">
        <v>2067</v>
      </c>
      <c r="D1049" s="1841"/>
      <c r="E1049" s="413"/>
      <c r="F1049" s="320"/>
      <c r="G1049" s="320"/>
      <c r="H1049" s="1980"/>
      <c r="I1049" s="1980"/>
      <c r="J1049" s="1981"/>
    </row>
    <row r="1050" spans="1:10" ht="15.75" customHeight="1">
      <c r="A1050" s="1780"/>
      <c r="B1050" s="1784"/>
      <c r="C1050" s="317" t="s">
        <v>2103</v>
      </c>
      <c r="D1050" s="1841">
        <v>0.66</v>
      </c>
      <c r="E1050" s="413" t="s">
        <v>2069</v>
      </c>
      <c r="F1050" s="1747">
        <f>'Bahan &amp; Upah'!C$336</f>
        <v>96332.65</v>
      </c>
      <c r="G1050" s="332">
        <f>F1050*D1050</f>
        <v>63579.548999999999</v>
      </c>
      <c r="H1050" s="1980">
        <v>1</v>
      </c>
      <c r="I1050" s="1980">
        <f>(G1050/G$1058)*H1050</f>
        <v>0.18879624846073059</v>
      </c>
      <c r="J1050" s="1981"/>
    </row>
    <row r="1051" spans="1:10" ht="15.75" customHeight="1">
      <c r="A1051" s="1780"/>
      <c r="B1051" s="1784"/>
      <c r="C1051" s="317" t="s">
        <v>2104</v>
      </c>
      <c r="D1051" s="1841">
        <v>0.33</v>
      </c>
      <c r="E1051" s="413" t="s">
        <v>2069</v>
      </c>
      <c r="F1051" s="1883">
        <f>'Bahan &amp; Upah'!C$337</f>
        <v>114133.55</v>
      </c>
      <c r="G1051" s="332">
        <f>F1051*D1051</f>
        <v>37664.071500000005</v>
      </c>
      <c r="H1051" s="1980">
        <v>1</v>
      </c>
      <c r="I1051" s="1980">
        <f>(G1051/G$1058)*H1051</f>
        <v>0.11184155145480386</v>
      </c>
      <c r="J1051" s="1981"/>
    </row>
    <row r="1052" spans="1:10" ht="15.75" customHeight="1">
      <c r="A1052" s="1780"/>
      <c r="B1052" s="1784"/>
      <c r="C1052" s="317" t="s">
        <v>2105</v>
      </c>
      <c r="D1052" s="1841">
        <v>3.3000000000000002E-2</v>
      </c>
      <c r="E1052" s="413" t="s">
        <v>2069</v>
      </c>
      <c r="F1052" s="1748">
        <f>'Bahan &amp; Upah'!C$338</f>
        <v>125485.75</v>
      </c>
      <c r="G1052" s="332">
        <f>F1052*D1052</f>
        <v>4141.0297500000006</v>
      </c>
      <c r="H1052" s="1980">
        <v>1</v>
      </c>
      <c r="I1052" s="1980">
        <f>(G1052/G$1058)*H1052</f>
        <v>1.2296577969816634E-2</v>
      </c>
      <c r="J1052" s="1981"/>
    </row>
    <row r="1053" spans="1:10" ht="15.75" customHeight="1">
      <c r="A1053" s="1780"/>
      <c r="B1053" s="1784"/>
      <c r="C1053" s="317" t="s">
        <v>2107</v>
      </c>
      <c r="D1053" s="1841">
        <v>1.0999999999999999E-2</v>
      </c>
      <c r="E1053" s="413" t="s">
        <v>2069</v>
      </c>
      <c r="F1053" s="1883">
        <f>'Bahan &amp; Upah'!C$339</f>
        <v>102689.88</v>
      </c>
      <c r="G1053" s="1785">
        <f>F1053*D1053</f>
        <v>1129.5886800000001</v>
      </c>
      <c r="H1053" s="1980">
        <v>1</v>
      </c>
      <c r="I1053" s="1982">
        <f>(G1053/G$1058)*H1053</f>
        <v>3.3542563362270583E-3</v>
      </c>
      <c r="J1053" s="1981"/>
    </row>
    <row r="1054" spans="1:10" ht="15.75" customHeight="1">
      <c r="A1054" s="1780"/>
      <c r="B1054" s="1784"/>
      <c r="C1054" s="1753" t="s">
        <v>2108</v>
      </c>
      <c r="D1054" s="1841"/>
      <c r="E1054" s="413"/>
      <c r="F1054" s="320"/>
      <c r="G1054" s="361">
        <f>SUM(G1050:G1053)</f>
        <v>106514.23893000001</v>
      </c>
      <c r="H1054" s="1980"/>
      <c r="I1054" s="1983">
        <f>SUM(I1050:I1053)</f>
        <v>0.31628863422157816</v>
      </c>
      <c r="J1054" s="1981"/>
    </row>
    <row r="1055" spans="1:10" ht="15.75" customHeight="1">
      <c r="A1055" s="1780"/>
      <c r="B1055" s="1739" t="s">
        <v>1048</v>
      </c>
      <c r="C1055" s="1755" t="s">
        <v>2109</v>
      </c>
      <c r="D1055" s="1841"/>
      <c r="E1055" s="413"/>
      <c r="F1055" s="320"/>
      <c r="G1055" s="320"/>
      <c r="H1055" s="1980"/>
      <c r="I1055" s="1980"/>
      <c r="J1055" s="1981"/>
    </row>
    <row r="1056" spans="1:10" ht="15.75" customHeight="1">
      <c r="A1056" s="1780"/>
      <c r="B1056" s="1739"/>
      <c r="C1056" s="1755"/>
      <c r="D1056" s="1841"/>
      <c r="E1056" s="413"/>
      <c r="F1056" s="320"/>
      <c r="G1056" s="1785">
        <f>F1056*D1056</f>
        <v>0</v>
      </c>
      <c r="H1056" s="1980"/>
      <c r="I1056" s="1984"/>
      <c r="J1056" s="1981"/>
    </row>
    <row r="1057" spans="1:12" ht="15.75" customHeight="1">
      <c r="A1057" s="1780"/>
      <c r="B1057" s="1784"/>
      <c r="C1057" s="1753" t="s">
        <v>2110</v>
      </c>
      <c r="D1057" s="1841"/>
      <c r="E1057" s="413"/>
      <c r="F1057" s="320"/>
      <c r="G1057" s="361">
        <f>SUM(G1056)</f>
        <v>0</v>
      </c>
      <c r="H1057" s="1980"/>
      <c r="I1057" s="1980"/>
      <c r="J1057" s="1981"/>
    </row>
    <row r="1058" spans="1:12" ht="15.75" customHeight="1">
      <c r="A1058" s="1780"/>
      <c r="B1058" s="1739" t="s">
        <v>979</v>
      </c>
      <c r="C1058" s="1804" t="s">
        <v>2129</v>
      </c>
      <c r="D1058" s="1763"/>
      <c r="E1058" s="1764"/>
      <c r="F1058" s="1765"/>
      <c r="G1058" s="1765">
        <f>G1048+G1054+G1057</f>
        <v>336762.77743000002</v>
      </c>
      <c r="H1058" s="1980"/>
      <c r="I1058" s="1984">
        <f>I1048+I1054</f>
        <v>1</v>
      </c>
      <c r="J1058" s="1981"/>
    </row>
    <row r="1059" spans="1:12" ht="15.75" customHeight="1">
      <c r="A1059" s="1780"/>
      <c r="B1059" s="1739" t="s">
        <v>2093</v>
      </c>
      <c r="C1059" s="1762" t="s">
        <v>2094</v>
      </c>
      <c r="D1059" s="1767">
        <f>M$4</f>
        <v>0.15</v>
      </c>
      <c r="E1059" s="1768"/>
      <c r="F1059" s="1765"/>
      <c r="G1059" s="1765">
        <f>G1058*D1059</f>
        <v>50514.416614499998</v>
      </c>
      <c r="H1059" s="1980"/>
      <c r="I1059" s="1980"/>
      <c r="J1059" s="1981"/>
    </row>
    <row r="1060" spans="1:12" ht="15.75" customHeight="1">
      <c r="A1060" s="1786"/>
      <c r="B1060" s="1787" t="s">
        <v>2095</v>
      </c>
      <c r="C1060" s="1788" t="s">
        <v>2111</v>
      </c>
      <c r="D1060" s="1772"/>
      <c r="E1060" s="1773"/>
      <c r="F1060" s="1774"/>
      <c r="G1060" s="1861">
        <f>ROUNDUP((G1058+G1059),2)</f>
        <v>387277.2</v>
      </c>
      <c r="H1060" s="1985"/>
      <c r="I1060" s="1985"/>
      <c r="J1060" s="1986"/>
    </row>
    <row r="1061" spans="1:12" ht="15.75" customHeight="1">
      <c r="A1061" s="1733"/>
      <c r="B1061" s="1733"/>
      <c r="C1061" s="1733"/>
      <c r="D1061" s="1733"/>
      <c r="E1061" s="1733"/>
      <c r="F1061" s="1733"/>
      <c r="G1061" s="1733"/>
      <c r="H1061" s="1733"/>
      <c r="I1061" s="1733"/>
      <c r="J1061" s="1733"/>
    </row>
    <row r="1062" spans="1:12" ht="15.75" customHeight="1">
      <c r="A1062" s="1778">
        <f>A1044+1</f>
        <v>45</v>
      </c>
      <c r="B1062" s="1779" t="s">
        <v>2480</v>
      </c>
      <c r="C1062" s="1939" t="s">
        <v>2481</v>
      </c>
      <c r="D1062" s="1971"/>
      <c r="E1062" s="1874"/>
      <c r="F1062" s="1875"/>
      <c r="G1062" s="1875"/>
      <c r="H1062" s="1987"/>
      <c r="I1062" s="1987"/>
      <c r="J1062" s="1973"/>
      <c r="L1062" t="s">
        <v>2482</v>
      </c>
    </row>
    <row r="1063" spans="1:12" ht="15.75" customHeight="1">
      <c r="A1063" s="1780"/>
      <c r="B1063" s="1739" t="s">
        <v>1004</v>
      </c>
      <c r="C1063" s="1877" t="s">
        <v>2067</v>
      </c>
      <c r="D1063" s="390"/>
      <c r="E1063" s="413"/>
      <c r="F1063" s="320"/>
      <c r="G1063" s="320"/>
      <c r="H1063" s="1782"/>
      <c r="I1063" s="1782"/>
      <c r="J1063" s="1783"/>
    </row>
    <row r="1064" spans="1:12" ht="15.75" customHeight="1">
      <c r="A1064" s="1780"/>
      <c r="B1064" s="1739"/>
      <c r="C1064" s="1878" t="s">
        <v>2103</v>
      </c>
      <c r="D1064" s="1781">
        <v>1.6000000000000001E-3</v>
      </c>
      <c r="E1064" s="413" t="s">
        <v>2069</v>
      </c>
      <c r="F1064" s="1747">
        <f>'Bahan &amp; Upah'!C$336</f>
        <v>96332.65</v>
      </c>
      <c r="G1064" s="361">
        <f>F1064*D1064</f>
        <v>154.13224</v>
      </c>
      <c r="H1064" s="1749">
        <v>1</v>
      </c>
      <c r="I1064" s="1749">
        <f>(G1064/G$1077)*H1064</f>
        <v>6.770598033835111E-3</v>
      </c>
      <c r="J1064" s="1750"/>
    </row>
    <row r="1065" spans="1:12" ht="15.75" customHeight="1">
      <c r="A1065" s="1780"/>
      <c r="B1065" s="1739"/>
      <c r="C1065" s="1878" t="s">
        <v>2483</v>
      </c>
      <c r="D1065" s="1781">
        <v>1.6000000000000001E-3</v>
      </c>
      <c r="E1065" s="413" t="s">
        <v>2069</v>
      </c>
      <c r="F1065" s="1883">
        <f>'Bahan &amp; Upah'!C$337</f>
        <v>114133.55</v>
      </c>
      <c r="G1065" s="361">
        <f>F1065*D1065</f>
        <v>182.61368000000002</v>
      </c>
      <c r="H1065" s="1749">
        <v>1</v>
      </c>
      <c r="I1065" s="1749">
        <f>(G1065/G$1077)*H1065</f>
        <v>8.0217080006064548E-3</v>
      </c>
      <c r="J1065" s="1750"/>
    </row>
    <row r="1066" spans="1:12" ht="15.75" customHeight="1">
      <c r="A1066" s="1780"/>
      <c r="B1066" s="1739"/>
      <c r="C1066" s="1878" t="s">
        <v>2105</v>
      </c>
      <c r="D1066" s="1820">
        <v>1.6000000000000001E-4</v>
      </c>
      <c r="E1066" s="413" t="s">
        <v>2069</v>
      </c>
      <c r="F1066" s="1748">
        <f>'Bahan &amp; Upah'!C$338</f>
        <v>125485.75</v>
      </c>
      <c r="G1066" s="361">
        <f>F1066*D1066</f>
        <v>20.077720000000003</v>
      </c>
      <c r="H1066" s="1749">
        <v>1</v>
      </c>
      <c r="I1066" s="1749">
        <f>(G1066/G$1077)*H1066</f>
        <v>8.819580611810476E-4</v>
      </c>
      <c r="J1066" s="1750"/>
    </row>
    <row r="1067" spans="1:12" ht="15.75" customHeight="1">
      <c r="A1067" s="1780"/>
      <c r="B1067" s="1739"/>
      <c r="C1067" s="1878" t="s">
        <v>2107</v>
      </c>
      <c r="D1067" s="1820">
        <v>1.6000000000000001E-4</v>
      </c>
      <c r="E1067" s="413" t="s">
        <v>2069</v>
      </c>
      <c r="F1067" s="1883">
        <f>'Bahan &amp; Upah'!C$339</f>
        <v>102689.88</v>
      </c>
      <c r="G1067" s="1785">
        <f>F1067*D1067</f>
        <v>16.430380800000002</v>
      </c>
      <c r="H1067" s="1749">
        <v>1</v>
      </c>
      <c r="I1067" s="1752">
        <f>(G1067/G$1077)*H1067</f>
        <v>7.2174065555423168E-4</v>
      </c>
      <c r="J1067" s="1750"/>
    </row>
    <row r="1068" spans="1:12" ht="15.75" customHeight="1">
      <c r="A1068" s="1780"/>
      <c r="B1068" s="1739"/>
      <c r="C1068" s="1889" t="s">
        <v>2108</v>
      </c>
      <c r="D1068" s="1781"/>
      <c r="E1068" s="413"/>
      <c r="F1068" s="320"/>
      <c r="G1068" s="361">
        <f>SUM(G1064:G1067)</f>
        <v>373.25402080000003</v>
      </c>
      <c r="H1068" s="1749"/>
      <c r="I1068" s="1754">
        <f>SUM(I1064:I1067)</f>
        <v>1.6396004751176845E-2</v>
      </c>
      <c r="J1068" s="1750"/>
    </row>
    <row r="1069" spans="1:12" ht="15.75" customHeight="1">
      <c r="A1069" s="1780"/>
      <c r="B1069" s="1739" t="s">
        <v>1015</v>
      </c>
      <c r="C1069" s="1877" t="s">
        <v>2075</v>
      </c>
      <c r="D1069" s="1781"/>
      <c r="E1069" s="413"/>
      <c r="F1069" s="320"/>
      <c r="G1069" s="320"/>
      <c r="H1069" s="1749"/>
      <c r="I1069" s="1749"/>
      <c r="J1069" s="1750"/>
    </row>
    <row r="1070" spans="1:12" ht="15.75" customHeight="1">
      <c r="A1070" s="1780"/>
      <c r="B1070" s="1739"/>
      <c r="C1070" s="1878" t="s">
        <v>2484</v>
      </c>
      <c r="D1070" s="1781">
        <v>1.02</v>
      </c>
      <c r="E1070" s="413" t="s">
        <v>100</v>
      </c>
      <c r="F1070" s="1883">
        <f>'Bahan &amp; Upah'!C$46</f>
        <v>15594.61</v>
      </c>
      <c r="G1070" s="332">
        <f>F1070*D1070</f>
        <v>15906.502200000001</v>
      </c>
      <c r="H1070" s="1749">
        <v>0.43819999999999998</v>
      </c>
      <c r="I1070" s="1749">
        <f>(G1070/G$1077)*H1070</f>
        <v>0.30618266853507853</v>
      </c>
      <c r="J1070" s="1750"/>
    </row>
    <row r="1071" spans="1:12" ht="15.75" customHeight="1">
      <c r="A1071" s="1780"/>
      <c r="B1071" s="1784"/>
      <c r="C1071" s="1878" t="s">
        <v>2485</v>
      </c>
      <c r="D1071" s="1781">
        <v>2.8000000000000001E-2</v>
      </c>
      <c r="E1071" s="413" t="s">
        <v>100</v>
      </c>
      <c r="F1071" s="1883">
        <f>'Bahan &amp; Upah'!C$59</f>
        <v>32859.14</v>
      </c>
      <c r="G1071" s="1785">
        <f>F1071*D1071</f>
        <v>920.05592000000001</v>
      </c>
      <c r="H1071" s="1749">
        <v>0.54969999999999997</v>
      </c>
      <c r="I1071" s="1752">
        <f>(G1071/G$1077)*H1071</f>
        <v>2.2216390568208205E-2</v>
      </c>
      <c r="J1071" s="1750"/>
    </row>
    <row r="1072" spans="1:12" ht="15.75" customHeight="1">
      <c r="A1072" s="1780"/>
      <c r="B1072" s="1784"/>
      <c r="C1072" s="1878"/>
      <c r="D1072" s="1781"/>
      <c r="E1072" s="413"/>
      <c r="F1072" s="1883"/>
      <c r="G1072" s="361">
        <f>SUM(G1070:G1071)</f>
        <v>16826.558120000002</v>
      </c>
      <c r="H1072" s="1749"/>
      <c r="I1072" s="1754">
        <f>SUM(I1070:I1071)</f>
        <v>0.32839905910328671</v>
      </c>
      <c r="J1072" s="1750"/>
    </row>
    <row r="1073" spans="1:12" ht="15.75" customHeight="1">
      <c r="A1073" s="1780"/>
      <c r="B1073" s="1739" t="s">
        <v>1048</v>
      </c>
      <c r="C1073" s="1877" t="s">
        <v>2246</v>
      </c>
      <c r="D1073" s="1756"/>
      <c r="E1073" s="333"/>
      <c r="F1073" s="328"/>
      <c r="G1073" s="332"/>
      <c r="H1073" s="1749"/>
      <c r="I1073" s="1749"/>
      <c r="J1073" s="1750"/>
    </row>
    <row r="1074" spans="1:12" ht="15.75" customHeight="1">
      <c r="A1074" s="1780"/>
      <c r="B1074" s="1909"/>
      <c r="C1074" s="1878" t="s">
        <v>2486</v>
      </c>
      <c r="D1074" s="1756">
        <v>0.04</v>
      </c>
      <c r="E1074" s="333" t="s">
        <v>2281</v>
      </c>
      <c r="F1074" s="1883">
        <f>'Bahan &amp; Upah'!C$217</f>
        <v>139128.13</v>
      </c>
      <c r="G1074" s="332">
        <f>F1074*D1074</f>
        <v>5565.1252000000004</v>
      </c>
      <c r="H1074" s="1749">
        <v>1</v>
      </c>
      <c r="I1074" s="1749">
        <f>(G1074/G$1077)*H1074</f>
        <v>0.24446037855004399</v>
      </c>
      <c r="J1074" s="1750"/>
    </row>
    <row r="1075" spans="1:12" ht="15.75" customHeight="1">
      <c r="A1075" s="1780"/>
      <c r="B1075" s="1784"/>
      <c r="C1075" s="1878" t="s">
        <v>2487</v>
      </c>
      <c r="D1075" s="1756">
        <v>0.04</v>
      </c>
      <c r="E1075" s="333" t="s">
        <v>2281</v>
      </c>
      <c r="F1075" s="1883">
        <f>'Bahan &amp; Upah'!C$218*0</f>
        <v>0</v>
      </c>
      <c r="G1075" s="1785">
        <f>F1075*D1075</f>
        <v>0</v>
      </c>
      <c r="H1075" s="1749">
        <v>1</v>
      </c>
      <c r="I1075" s="1752">
        <f>(G1075/G$1077)*H1075</f>
        <v>0</v>
      </c>
      <c r="J1075" s="1750"/>
    </row>
    <row r="1076" spans="1:12" ht="15.75" customHeight="1">
      <c r="A1076" s="1780"/>
      <c r="B1076" s="1784"/>
      <c r="C1076" s="1988"/>
      <c r="D1076" s="1989"/>
      <c r="E1076" s="1882"/>
      <c r="F1076" s="1883"/>
      <c r="G1076" s="361">
        <f>SUM(G1074:G1075)</f>
        <v>5565.1252000000004</v>
      </c>
      <c r="H1076" s="1749"/>
      <c r="I1076" s="1754">
        <f>SUM(I1074:I1075)</f>
        <v>0.24446037855004399</v>
      </c>
      <c r="J1076" s="1990"/>
    </row>
    <row r="1077" spans="1:12" ht="15.75" customHeight="1">
      <c r="A1077" s="1780"/>
      <c r="B1077" s="1784"/>
      <c r="C1077" s="1804" t="s">
        <v>2298</v>
      </c>
      <c r="D1077" s="1763"/>
      <c r="E1077" s="1764"/>
      <c r="F1077" s="1765"/>
      <c r="G1077" s="1765">
        <f>G1068+G1072+G1076</f>
        <v>22764.937340800003</v>
      </c>
      <c r="H1077" s="1749"/>
      <c r="I1077" s="1766">
        <f>I1068+I1072+I1076</f>
        <v>0.58925544240450756</v>
      </c>
      <c r="J1077" s="1750"/>
    </row>
    <row r="1078" spans="1:12" ht="15.75" customHeight="1">
      <c r="A1078" s="1780"/>
      <c r="B1078" s="1784"/>
      <c r="C1078" s="1762" t="s">
        <v>2094</v>
      </c>
      <c r="D1078" s="1767">
        <f>M$4</f>
        <v>0.15</v>
      </c>
      <c r="E1078" s="1768"/>
      <c r="F1078" s="1765"/>
      <c r="G1078" s="1765">
        <f>G1077*D1078</f>
        <v>3414.7406011200005</v>
      </c>
      <c r="H1078" s="1749"/>
      <c r="I1078" s="1749"/>
      <c r="J1078" s="1750"/>
    </row>
    <row r="1079" spans="1:12" ht="15.75" customHeight="1">
      <c r="A1079" s="1786"/>
      <c r="B1079" s="1890"/>
      <c r="C1079" s="1788" t="s">
        <v>2111</v>
      </c>
      <c r="D1079" s="1772"/>
      <c r="E1079" s="1773"/>
      <c r="F1079" s="1774"/>
      <c r="G1079" s="1775">
        <f>ROUNDUP((G1077+G1078),2)</f>
        <v>26179.679999999997</v>
      </c>
      <c r="H1079" s="1776"/>
      <c r="I1079" s="1776"/>
      <c r="J1079" s="1789"/>
    </row>
    <row r="1080" spans="1:12" ht="15.75" customHeight="1">
      <c r="A1080" s="28"/>
      <c r="B1080" s="28"/>
      <c r="C1080" s="28"/>
      <c r="D1080" s="28"/>
      <c r="E1080" s="28"/>
      <c r="F1080" s="28"/>
      <c r="G1080" s="28"/>
      <c r="H1080" s="28"/>
      <c r="I1080" s="28"/>
      <c r="J1080" s="28"/>
    </row>
    <row r="1081" spans="1:12" ht="15.75" customHeight="1">
      <c r="A1081" s="1778">
        <f>A1062+1</f>
        <v>46</v>
      </c>
      <c r="B1081" s="1779" t="s">
        <v>2488</v>
      </c>
      <c r="C1081" s="1939" t="s">
        <v>2489</v>
      </c>
      <c r="D1081" s="1971"/>
      <c r="E1081" s="1874"/>
      <c r="F1081" s="1875"/>
      <c r="G1081" s="1875"/>
      <c r="H1081" s="1987"/>
      <c r="I1081" s="1987"/>
      <c r="J1081" s="1973"/>
      <c r="L1081" t="s">
        <v>2482</v>
      </c>
    </row>
    <row r="1082" spans="1:12" ht="15.75" customHeight="1">
      <c r="A1082" s="1780"/>
      <c r="B1082" s="1739" t="s">
        <v>1004</v>
      </c>
      <c r="C1082" s="1877" t="s">
        <v>2067</v>
      </c>
      <c r="D1082" s="390"/>
      <c r="E1082" s="413"/>
      <c r="F1082" s="320"/>
      <c r="G1082" s="320"/>
      <c r="H1082" s="1782"/>
      <c r="I1082" s="1782"/>
      <c r="J1082" s="1783"/>
    </row>
    <row r="1083" spans="1:12" ht="15.75" customHeight="1">
      <c r="A1083" s="1780"/>
      <c r="B1083" s="1739"/>
      <c r="C1083" s="1878" t="s">
        <v>2103</v>
      </c>
      <c r="D1083" s="1781">
        <v>1.6000000000000001E-3</v>
      </c>
      <c r="E1083" s="413" t="s">
        <v>2069</v>
      </c>
      <c r="F1083" s="1747">
        <f>'Bahan &amp; Upah'!C$336</f>
        <v>96332.65</v>
      </c>
      <c r="G1083" s="361">
        <f>F1083*D1083</f>
        <v>154.13224</v>
      </c>
      <c r="H1083" s="1749">
        <v>1</v>
      </c>
      <c r="I1083" s="1749">
        <f>(G1083/G$1092)*H1083</f>
        <v>9.432833477237515E-3</v>
      </c>
      <c r="J1083" s="1750"/>
    </row>
    <row r="1084" spans="1:12" ht="15.75" customHeight="1">
      <c r="A1084" s="1780"/>
      <c r="B1084" s="1739"/>
      <c r="C1084" s="1878" t="s">
        <v>2483</v>
      </c>
      <c r="D1084" s="1781">
        <v>1.6000000000000001E-3</v>
      </c>
      <c r="E1084" s="413" t="s">
        <v>2069</v>
      </c>
      <c r="F1084" s="1883">
        <f>'Bahan &amp; Upah'!C$337</f>
        <v>114133.55</v>
      </c>
      <c r="G1084" s="361">
        <f>F1084*D1084</f>
        <v>182.61368000000002</v>
      </c>
      <c r="H1084" s="1749">
        <v>1</v>
      </c>
      <c r="I1084" s="1749">
        <f>(G1084/G$1092)*H1084</f>
        <v>1.1175886590018669E-2</v>
      </c>
      <c r="J1084" s="1750"/>
    </row>
    <row r="1085" spans="1:12" ht="15.75" customHeight="1">
      <c r="A1085" s="1780"/>
      <c r="B1085" s="1739"/>
      <c r="C1085" s="1878" t="s">
        <v>2105</v>
      </c>
      <c r="D1085" s="1820">
        <v>1.6000000000000001E-4</v>
      </c>
      <c r="E1085" s="413" t="s">
        <v>2069</v>
      </c>
      <c r="F1085" s="1748">
        <f>'Bahan &amp; Upah'!C$338</f>
        <v>125485.75</v>
      </c>
      <c r="G1085" s="361">
        <f>F1085*D1085</f>
        <v>20.077720000000003</v>
      </c>
      <c r="H1085" s="1749">
        <v>1</v>
      </c>
      <c r="I1085" s="1749">
        <f>(G1085/G$1092)*H1085</f>
        <v>1.2287486989263326E-3</v>
      </c>
      <c r="J1085" s="1750"/>
    </row>
    <row r="1086" spans="1:12" ht="15.75" customHeight="1">
      <c r="A1086" s="1780"/>
      <c r="B1086" s="1739"/>
      <c r="C1086" s="1878" t="s">
        <v>2107</v>
      </c>
      <c r="D1086" s="1820">
        <v>1.6000000000000001E-4</v>
      </c>
      <c r="E1086" s="413" t="s">
        <v>2069</v>
      </c>
      <c r="F1086" s="1883">
        <f>'Bahan &amp; Upah'!C$339</f>
        <v>102689.88</v>
      </c>
      <c r="G1086" s="1785">
        <f>F1086*D1086</f>
        <v>16.430380800000002</v>
      </c>
      <c r="H1086" s="1749">
        <v>1</v>
      </c>
      <c r="I1086" s="1752">
        <f>(G1086/G$1092)*H1086</f>
        <v>1.0055329504975762E-3</v>
      </c>
      <c r="J1086" s="1750"/>
    </row>
    <row r="1087" spans="1:12" ht="15.75" customHeight="1">
      <c r="A1087" s="1780"/>
      <c r="B1087" s="1739"/>
      <c r="C1087" s="1889" t="s">
        <v>2108</v>
      </c>
      <c r="D1087" s="1781"/>
      <c r="E1087" s="413"/>
      <c r="F1087" s="320"/>
      <c r="G1087" s="361">
        <f>SUM(G1083:G1086)</f>
        <v>373.25402080000003</v>
      </c>
      <c r="H1087" s="1749"/>
      <c r="I1087" s="1754">
        <f>SUM(I1083:I1086)</f>
        <v>2.2843001716680092E-2</v>
      </c>
      <c r="J1087" s="1750"/>
    </row>
    <row r="1088" spans="1:12" ht="15.75" customHeight="1">
      <c r="A1088" s="1780"/>
      <c r="B1088" s="1739" t="s">
        <v>1015</v>
      </c>
      <c r="C1088" s="1877" t="s">
        <v>2075</v>
      </c>
      <c r="D1088" s="1781"/>
      <c r="E1088" s="413"/>
      <c r="F1088" s="320"/>
      <c r="G1088" s="320"/>
      <c r="H1088" s="1749"/>
      <c r="I1088" s="1749"/>
      <c r="J1088" s="1750"/>
    </row>
    <row r="1089" spans="1:10" ht="15.75" customHeight="1">
      <c r="A1089" s="1780"/>
      <c r="B1089" s="1739"/>
      <c r="C1089" s="1878" t="s">
        <v>2490</v>
      </c>
      <c r="D1089" s="1781">
        <v>1.02</v>
      </c>
      <c r="E1089" s="413" t="s">
        <v>100</v>
      </c>
      <c r="F1089" s="1883">
        <f>'Bahan &amp; Upah'!C$43</f>
        <v>14751.63</v>
      </c>
      <c r="G1089" s="332">
        <f>F1089*D1089</f>
        <v>15046.6626</v>
      </c>
      <c r="H1089" s="1749">
        <v>0.43819999999999998</v>
      </c>
      <c r="I1089" s="1749">
        <f>(G1089/G$1092)*H1089</f>
        <v>0.40351644011986731</v>
      </c>
      <c r="J1089" s="1750"/>
    </row>
    <row r="1090" spans="1:10" ht="15.75" customHeight="1">
      <c r="A1090" s="1780"/>
      <c r="B1090" s="1784"/>
      <c r="C1090" s="1878" t="s">
        <v>2485</v>
      </c>
      <c r="D1090" s="1781">
        <v>2.8000000000000001E-2</v>
      </c>
      <c r="E1090" s="413" t="s">
        <v>100</v>
      </c>
      <c r="F1090" s="1883">
        <f>'Bahan &amp; Upah'!C$59</f>
        <v>32859.14</v>
      </c>
      <c r="G1090" s="1785">
        <f>F1090*D1090</f>
        <v>920.05592000000001</v>
      </c>
      <c r="H1090" s="1749">
        <v>0.54969999999999997</v>
      </c>
      <c r="I1090" s="1752">
        <f>(G1090/G$1092)*H1090</f>
        <v>3.0951994439474027E-2</v>
      </c>
      <c r="J1090" s="1750"/>
    </row>
    <row r="1091" spans="1:10" ht="15.75" customHeight="1">
      <c r="A1091" s="1780"/>
      <c r="B1091" s="1784"/>
      <c r="C1091" s="1878"/>
      <c r="D1091" s="1781"/>
      <c r="E1091" s="413"/>
      <c r="F1091" s="1883"/>
      <c r="G1091" s="361">
        <f>SUM(G1089:G1090)</f>
        <v>15966.71852</v>
      </c>
      <c r="H1091" s="1749"/>
      <c r="I1091" s="1754">
        <f>SUM(I1089:I1090)</f>
        <v>0.43446843455934137</v>
      </c>
      <c r="J1091" s="1750"/>
    </row>
    <row r="1092" spans="1:10" ht="15.75" customHeight="1">
      <c r="A1092" s="1780"/>
      <c r="B1092" s="1784"/>
      <c r="C1092" s="1804" t="s">
        <v>2298</v>
      </c>
      <c r="D1092" s="1763"/>
      <c r="E1092" s="1764"/>
      <c r="F1092" s="1765"/>
      <c r="G1092" s="1765">
        <f>G1087+G1091</f>
        <v>16339.972540800001</v>
      </c>
      <c r="H1092" s="1749"/>
      <c r="I1092" s="1766">
        <f>I1087+I1091</f>
        <v>0.45731143627602144</v>
      </c>
      <c r="J1092" s="1750"/>
    </row>
    <row r="1093" spans="1:10" ht="15.75" customHeight="1">
      <c r="A1093" s="1780"/>
      <c r="B1093" s="1784"/>
      <c r="C1093" s="1762" t="s">
        <v>2094</v>
      </c>
      <c r="D1093" s="1767">
        <f>M$4</f>
        <v>0.15</v>
      </c>
      <c r="E1093" s="1768"/>
      <c r="F1093" s="1765"/>
      <c r="G1093" s="1765">
        <f>G1092*D1093</f>
        <v>2450.9958811199999</v>
      </c>
      <c r="H1093" s="1749"/>
      <c r="I1093" s="1749"/>
      <c r="J1093" s="1750"/>
    </row>
    <row r="1094" spans="1:10" ht="15.75" customHeight="1">
      <c r="A1094" s="1786"/>
      <c r="B1094" s="1890"/>
      <c r="C1094" s="1788" t="s">
        <v>2111</v>
      </c>
      <c r="D1094" s="1772"/>
      <c r="E1094" s="1773"/>
      <c r="F1094" s="1774"/>
      <c r="G1094" s="1775">
        <f>ROUNDUP((G1092+G1093),2)</f>
        <v>18790.969999999998</v>
      </c>
      <c r="H1094" s="1776"/>
      <c r="I1094" s="1776"/>
      <c r="J1094" s="1789"/>
    </row>
    <row r="1095" spans="1:10" ht="15.75" customHeight="1">
      <c r="A1095" s="1809"/>
      <c r="B1095" s="1809"/>
      <c r="C1095" s="1811"/>
      <c r="D1095" s="1812"/>
      <c r="E1095" s="1809"/>
      <c r="F1095" s="1813"/>
      <c r="G1095" s="1814"/>
      <c r="H1095" s="1815"/>
      <c r="I1095" s="1815"/>
      <c r="J1095" s="1816"/>
    </row>
    <row r="1096" spans="1:10" ht="24" customHeight="1">
      <c r="A1096" s="1778">
        <f>A1081+1</f>
        <v>47</v>
      </c>
      <c r="B1096" s="1991" t="s">
        <v>2147</v>
      </c>
      <c r="C1096" s="1939" t="s">
        <v>2491</v>
      </c>
      <c r="D1096" s="1971"/>
      <c r="E1096" s="1874"/>
      <c r="F1096" s="1875"/>
      <c r="G1096" s="1875"/>
      <c r="H1096" s="1987"/>
      <c r="I1096" s="1987"/>
      <c r="J1096" s="1973"/>
    </row>
    <row r="1097" spans="1:10" ht="15.75" customHeight="1">
      <c r="A1097" s="1780"/>
      <c r="B1097" s="1739" t="s">
        <v>1004</v>
      </c>
      <c r="C1097" s="1877" t="s">
        <v>2067</v>
      </c>
      <c r="D1097" s="390"/>
      <c r="E1097" s="413"/>
      <c r="F1097" s="320"/>
      <c r="G1097" s="320"/>
      <c r="H1097" s="1782"/>
      <c r="I1097" s="1782"/>
      <c r="J1097" s="1783"/>
    </row>
    <row r="1098" spans="1:10" ht="15.75" customHeight="1">
      <c r="A1098" s="1780"/>
      <c r="B1098" s="1739"/>
      <c r="C1098" s="1878" t="s">
        <v>2492</v>
      </c>
      <c r="D1098" s="1781">
        <v>1</v>
      </c>
      <c r="E1098" s="413" t="s">
        <v>49</v>
      </c>
      <c r="F1098" s="1747">
        <v>5357.74</v>
      </c>
      <c r="G1098" s="1794">
        <f>F1098*D1098</f>
        <v>5357.74</v>
      </c>
      <c r="H1098" s="1817">
        <v>1</v>
      </c>
      <c r="I1098" s="1749">
        <f>(G1098/G$1103)*H1098</f>
        <v>0.42310560490415722</v>
      </c>
      <c r="J1098" s="1819"/>
    </row>
    <row r="1099" spans="1:10" ht="15.75" customHeight="1">
      <c r="A1099" s="1780"/>
      <c r="B1099" s="1739"/>
      <c r="C1099" s="1889" t="s">
        <v>2108</v>
      </c>
      <c r="D1099" s="1781"/>
      <c r="E1099" s="413"/>
      <c r="F1099" s="320"/>
      <c r="G1099" s="361">
        <f>SUM(G1098:G1098)</f>
        <v>5357.74</v>
      </c>
      <c r="H1099" s="1817"/>
      <c r="I1099" s="1818">
        <f>SUM(I1098:I1098)</f>
        <v>0.42310560490415722</v>
      </c>
      <c r="J1099" s="1819"/>
    </row>
    <row r="1100" spans="1:10" ht="15.75" customHeight="1">
      <c r="A1100" s="1780"/>
      <c r="B1100" s="1739" t="s">
        <v>1015</v>
      </c>
      <c r="C1100" s="1877" t="s">
        <v>2075</v>
      </c>
      <c r="D1100" s="1781"/>
      <c r="E1100" s="413"/>
      <c r="F1100" s="320"/>
      <c r="G1100" s="320"/>
      <c r="H1100" s="1817"/>
      <c r="I1100" s="1817"/>
      <c r="J1100" s="1819"/>
    </row>
    <row r="1101" spans="1:10" ht="15.75" customHeight="1">
      <c r="A1101" s="1780"/>
      <c r="B1101" s="1739"/>
      <c r="C1101" s="1878" t="s">
        <v>2493</v>
      </c>
      <c r="D1101" s="1781">
        <f>13*13*0.006165*0.5</f>
        <v>0.52094249999999998</v>
      </c>
      <c r="E1101" s="413" t="s">
        <v>100</v>
      </c>
      <c r="F1101" s="1747">
        <f>'Bahan &amp; Upah'!C$45</f>
        <v>14022.95</v>
      </c>
      <c r="G1101" s="332">
        <f>F1101*D1101</f>
        <v>7305.1506303750002</v>
      </c>
      <c r="H1101" s="1817">
        <v>0.43819999999999998</v>
      </c>
      <c r="I1101" s="1749">
        <f>(G1101/G$1103)*H1101</f>
        <v>0.25279512393099829</v>
      </c>
      <c r="J1101" s="1819"/>
    </row>
    <row r="1102" spans="1:10" ht="15.75" customHeight="1">
      <c r="A1102" s="1780"/>
      <c r="B1102" s="1784"/>
      <c r="C1102" s="1878"/>
      <c r="D1102" s="1781"/>
      <c r="E1102" s="413"/>
      <c r="F1102" s="320"/>
      <c r="G1102" s="361">
        <f>SUM(G1101:G1101)</f>
        <v>7305.1506303750002</v>
      </c>
      <c r="H1102" s="1817"/>
      <c r="I1102" s="1818">
        <f>SUM(I1101:I1101)</f>
        <v>0.25279512393099829</v>
      </c>
      <c r="J1102" s="1819"/>
    </row>
    <row r="1103" spans="1:10" ht="15.75" customHeight="1">
      <c r="A1103" s="1780"/>
      <c r="B1103" s="1784"/>
      <c r="C1103" s="1804" t="s">
        <v>2298</v>
      </c>
      <c r="D1103" s="1763"/>
      <c r="E1103" s="1764"/>
      <c r="F1103" s="1765"/>
      <c r="G1103" s="1765">
        <f>G1099+G1102</f>
        <v>12662.890630375001</v>
      </c>
      <c r="H1103" s="1817"/>
      <c r="I1103" s="1822">
        <f>I1099+I1102</f>
        <v>0.67590072883515551</v>
      </c>
      <c r="J1103" s="1819"/>
    </row>
    <row r="1104" spans="1:10" ht="15.75" customHeight="1">
      <c r="A1104" s="1780"/>
      <c r="B1104" s="1784"/>
      <c r="C1104" s="1762" t="s">
        <v>2094</v>
      </c>
      <c r="D1104" s="1823">
        <f>M$4</f>
        <v>0.15</v>
      </c>
      <c r="E1104" s="1768"/>
      <c r="F1104" s="1765"/>
      <c r="G1104" s="1765">
        <f>G1103*D1104</f>
        <v>1899.43359455625</v>
      </c>
      <c r="H1104" s="1817"/>
      <c r="I1104" s="1817"/>
      <c r="J1104" s="1819"/>
    </row>
    <row r="1105" spans="1:10" ht="15.75" customHeight="1">
      <c r="A1105" s="1786"/>
      <c r="B1105" s="1890"/>
      <c r="C1105" s="1788" t="s">
        <v>2111</v>
      </c>
      <c r="D1105" s="1772"/>
      <c r="E1105" s="1773"/>
      <c r="F1105" s="1774"/>
      <c r="G1105" s="1775">
        <f>ROUNDUP((G1103+G1104),2)</f>
        <v>14562.33</v>
      </c>
      <c r="H1105" s="1824"/>
      <c r="I1105" s="1824"/>
      <c r="J1105" s="1825"/>
    </row>
    <row r="1106" spans="1:10" ht="15.75" customHeight="1">
      <c r="A1106" s="1809"/>
      <c r="B1106" s="1809"/>
      <c r="C1106" s="1811"/>
      <c r="D1106" s="1812"/>
      <c r="E1106" s="1809"/>
      <c r="F1106" s="1813"/>
      <c r="G1106" s="1814"/>
      <c r="H1106" s="1815"/>
      <c r="I1106" s="1815"/>
      <c r="J1106" s="1816"/>
    </row>
    <row r="1107" spans="1:10" ht="15.75" customHeight="1">
      <c r="A1107" s="1778">
        <f>A1081+1</f>
        <v>47</v>
      </c>
      <c r="B1107" s="1779" t="s">
        <v>2494</v>
      </c>
      <c r="C1107" s="1939" t="s">
        <v>2495</v>
      </c>
      <c r="D1107" s="1971"/>
      <c r="E1107" s="1874"/>
      <c r="F1107" s="1875"/>
      <c r="G1107" s="1875"/>
      <c r="H1107" s="1987"/>
      <c r="I1107" s="1987"/>
      <c r="J1107" s="1973"/>
    </row>
    <row r="1108" spans="1:10" ht="15.75" customHeight="1">
      <c r="A1108" s="1780"/>
      <c r="B1108" s="1739" t="s">
        <v>1004</v>
      </c>
      <c r="C1108" s="1877" t="s">
        <v>2067</v>
      </c>
      <c r="D1108" s="390">
        <f>34.76/(2.1*5.4)</f>
        <v>3.0652557319223979</v>
      </c>
      <c r="E1108" s="413"/>
      <c r="F1108" s="320"/>
      <c r="G1108" s="320"/>
      <c r="H1108" s="1782"/>
      <c r="I1108" s="1782"/>
      <c r="J1108" s="1783"/>
    </row>
    <row r="1109" spans="1:10" ht="15.75" customHeight="1">
      <c r="A1109" s="1780"/>
      <c r="B1109" s="1739"/>
      <c r="C1109" s="1878" t="s">
        <v>2103</v>
      </c>
      <c r="D1109" s="1781">
        <f>0.0025*D$1108</f>
        <v>7.6631393298059952E-3</v>
      </c>
      <c r="E1109" s="413" t="s">
        <v>2069</v>
      </c>
      <c r="F1109" s="1747">
        <f>'Bahan &amp; Upah'!C$336</f>
        <v>96332.65</v>
      </c>
      <c r="G1109" s="361">
        <f>F1109*D1109</f>
        <v>738.21051895943549</v>
      </c>
      <c r="H1109" s="1749">
        <v>1</v>
      </c>
      <c r="I1109" s="1749">
        <f>(G1109/G$1118)*H1109</f>
        <v>1.851749587945796E-2</v>
      </c>
      <c r="J1109" s="1750"/>
    </row>
    <row r="1110" spans="1:10" ht="15.75" customHeight="1">
      <c r="A1110" s="1780"/>
      <c r="B1110" s="1739"/>
      <c r="C1110" s="1878" t="s">
        <v>2483</v>
      </c>
      <c r="D1110" s="1781">
        <f>0.0025*D$1108</f>
        <v>7.6631393298059952E-3</v>
      </c>
      <c r="E1110" s="413" t="s">
        <v>2069</v>
      </c>
      <c r="F1110" s="1883">
        <f>'Bahan &amp; Upah'!C$337</f>
        <v>114133.55</v>
      </c>
      <c r="G1110" s="361">
        <f>F1110*D1110</f>
        <v>874.62129585537912</v>
      </c>
      <c r="H1110" s="1749">
        <v>1</v>
      </c>
      <c r="I1110" s="1749">
        <f>(G1110/G$1118)*H1110</f>
        <v>2.1939265055335957E-2</v>
      </c>
      <c r="J1110" s="1750"/>
    </row>
    <row r="1111" spans="1:10" ht="15.75" customHeight="1">
      <c r="A1111" s="1780"/>
      <c r="B1111" s="1739"/>
      <c r="C1111" s="1878" t="s">
        <v>2105</v>
      </c>
      <c r="D1111" s="1820">
        <f>0.00025*D1108</f>
        <v>7.6631393298059948E-4</v>
      </c>
      <c r="E1111" s="413" t="s">
        <v>2069</v>
      </c>
      <c r="F1111" s="1748">
        <f>'Bahan &amp; Upah'!C$338</f>
        <v>125485.75</v>
      </c>
      <c r="G1111" s="361">
        <f>F1111*D1111</f>
        <v>96.161478615520267</v>
      </c>
      <c r="H1111" s="1749">
        <v>1</v>
      </c>
      <c r="I1111" s="1749">
        <f>(G1111/G$1118)*H1111</f>
        <v>2.4121436071318416E-3</v>
      </c>
      <c r="J1111" s="1750"/>
    </row>
    <row r="1112" spans="1:10" ht="15.75" customHeight="1">
      <c r="A1112" s="1780"/>
      <c r="B1112" s="1739"/>
      <c r="C1112" s="1878" t="s">
        <v>2107</v>
      </c>
      <c r="D1112" s="1820">
        <f>0.00025*D1108</f>
        <v>7.6631393298059948E-4</v>
      </c>
      <c r="E1112" s="413" t="s">
        <v>2069</v>
      </c>
      <c r="F1112" s="1883">
        <f>'Bahan &amp; Upah'!C$339</f>
        <v>102689.88</v>
      </c>
      <c r="G1112" s="1785">
        <f>F1112*D1112</f>
        <v>78.692685820105808</v>
      </c>
      <c r="H1112" s="1749">
        <v>1</v>
      </c>
      <c r="I1112" s="1752">
        <f>(G1112/G$1118)*H1112</f>
        <v>1.9739511263959131E-3</v>
      </c>
      <c r="J1112" s="1750"/>
    </row>
    <row r="1113" spans="1:10" ht="15.75" customHeight="1">
      <c r="A1113" s="1780"/>
      <c r="B1113" s="1739"/>
      <c r="C1113" s="1889" t="s">
        <v>2108</v>
      </c>
      <c r="D1113" s="1781"/>
      <c r="E1113" s="413"/>
      <c r="F1113" s="320"/>
      <c r="G1113" s="361">
        <f>SUM(G1109:G1112)</f>
        <v>1787.6859792504408</v>
      </c>
      <c r="H1113" s="1749"/>
      <c r="I1113" s="1754">
        <f>SUM(I1109:I1112)</f>
        <v>4.4842855668321677E-2</v>
      </c>
      <c r="J1113" s="1750"/>
    </row>
    <row r="1114" spans="1:10" ht="15.75" customHeight="1">
      <c r="A1114" s="1780"/>
      <c r="B1114" s="1739" t="s">
        <v>1015</v>
      </c>
      <c r="C1114" s="1877" t="s">
        <v>2075</v>
      </c>
      <c r="D1114" s="1781"/>
      <c r="E1114" s="413"/>
      <c r="F1114" s="320"/>
      <c r="G1114" s="320"/>
      <c r="H1114" s="1749"/>
      <c r="I1114" s="1749"/>
      <c r="J1114" s="1750"/>
    </row>
    <row r="1115" spans="1:10" ht="15.75" customHeight="1">
      <c r="A1115" s="1780"/>
      <c r="B1115" s="1739"/>
      <c r="C1115" s="1878" t="s">
        <v>2496</v>
      </c>
      <c r="D1115" s="1781">
        <v>1.02</v>
      </c>
      <c r="E1115" s="413" t="s">
        <v>89</v>
      </c>
      <c r="F1115" s="1883">
        <f>'Bahan &amp; Upah'!C61/(2.1*5.4)</f>
        <v>36837.524691358019</v>
      </c>
      <c r="G1115" s="332">
        <f>F1115*D1115</f>
        <v>37574.275185185179</v>
      </c>
      <c r="H1115" s="1749">
        <v>0.43819999999999998</v>
      </c>
      <c r="I1115" s="1749">
        <f>(G1115/G$1118)*H1115</f>
        <v>0.41301422737493132</v>
      </c>
      <c r="J1115" s="1750"/>
    </row>
    <row r="1116" spans="1:10" ht="15.75" customHeight="1">
      <c r="A1116" s="1780"/>
      <c r="B1116" s="1784"/>
      <c r="C1116" s="1878" t="s">
        <v>2485</v>
      </c>
      <c r="D1116" s="1781">
        <f>0.005*D1108</f>
        <v>1.532627865961199E-2</v>
      </c>
      <c r="E1116" s="413" t="s">
        <v>100</v>
      </c>
      <c r="F1116" s="1883">
        <f>'Bahan &amp; Upah'!C$59</f>
        <v>32859.14</v>
      </c>
      <c r="G1116" s="1785">
        <f>F1116*D1116</f>
        <v>503.60833615520272</v>
      </c>
      <c r="H1116" s="1749">
        <v>0.54969999999999997</v>
      </c>
      <c r="I1116" s="1752">
        <f>(G1116/G$1118)*H1116</f>
        <v>6.9441752833961689E-3</v>
      </c>
      <c r="J1116" s="1750"/>
    </row>
    <row r="1117" spans="1:10" ht="15.75" customHeight="1">
      <c r="A1117" s="1780"/>
      <c r="B1117" s="1784"/>
      <c r="C1117" s="1878"/>
      <c r="D1117" s="1781"/>
      <c r="E1117" s="413"/>
      <c r="F1117" s="320"/>
      <c r="G1117" s="361">
        <f>SUM(G1115:G1116)</f>
        <v>38077.88352134038</v>
      </c>
      <c r="H1117" s="1749"/>
      <c r="I1117" s="1754">
        <f>SUM(I1115:I1116)</f>
        <v>0.41995840265832751</v>
      </c>
      <c r="J1117" s="1750"/>
    </row>
    <row r="1118" spans="1:10" ht="15.75" customHeight="1">
      <c r="A1118" s="1780"/>
      <c r="B1118" s="1784"/>
      <c r="C1118" s="1804" t="s">
        <v>2298</v>
      </c>
      <c r="D1118" s="1763"/>
      <c r="E1118" s="1764"/>
      <c r="F1118" s="1765"/>
      <c r="G1118" s="1765">
        <f>G1113+G1117</f>
        <v>39865.56950059082</v>
      </c>
      <c r="H1118" s="1749"/>
      <c r="I1118" s="1766">
        <f>I1113+I1117</f>
        <v>0.4648012583266492</v>
      </c>
      <c r="J1118" s="1750"/>
    </row>
    <row r="1119" spans="1:10" ht="15.75" customHeight="1">
      <c r="A1119" s="1780"/>
      <c r="B1119" s="1784"/>
      <c r="C1119" s="1762" t="s">
        <v>2094</v>
      </c>
      <c r="D1119" s="1767">
        <f>M$4</f>
        <v>0.15</v>
      </c>
      <c r="E1119" s="1768"/>
      <c r="F1119" s="1765"/>
      <c r="G1119" s="1765">
        <f>G1118*D1119</f>
        <v>5979.8354250886232</v>
      </c>
      <c r="H1119" s="1749"/>
      <c r="I1119" s="1749"/>
      <c r="J1119" s="1750"/>
    </row>
    <row r="1120" spans="1:10" ht="15.75" customHeight="1">
      <c r="A1120" s="1786"/>
      <c r="B1120" s="1890"/>
      <c r="C1120" s="1788" t="s">
        <v>2111</v>
      </c>
      <c r="D1120" s="1772"/>
      <c r="E1120" s="1773"/>
      <c r="F1120" s="1774"/>
      <c r="G1120" s="1775">
        <f>ROUNDUP((G1118+G1119),2)</f>
        <v>45845.41</v>
      </c>
      <c r="H1120" s="1776"/>
      <c r="I1120" s="1776"/>
      <c r="J1120" s="1789"/>
    </row>
    <row r="1121" spans="1:10" ht="15.75" customHeight="1">
      <c r="A1121" s="1809"/>
      <c r="B1121" s="1809"/>
      <c r="C1121" s="1811"/>
      <c r="D1121" s="1812"/>
      <c r="E1121" s="1809"/>
      <c r="F1121" s="1813"/>
      <c r="G1121" s="1814"/>
      <c r="H1121" s="1815"/>
      <c r="I1121" s="1815"/>
      <c r="J1121" s="1816"/>
    </row>
    <row r="1122" spans="1:10" ht="15.75" customHeight="1">
      <c r="A1122" s="1778">
        <f>A1107+1</f>
        <v>48</v>
      </c>
      <c r="B1122" s="1779" t="s">
        <v>2497</v>
      </c>
      <c r="C1122" s="1939" t="s">
        <v>2498</v>
      </c>
      <c r="D1122" s="1971"/>
      <c r="E1122" s="1874"/>
      <c r="F1122" s="1875"/>
      <c r="G1122" s="1875"/>
      <c r="H1122" s="1987"/>
      <c r="I1122" s="1987"/>
      <c r="J1122" s="1973"/>
    </row>
    <row r="1123" spans="1:10" ht="15.75" customHeight="1">
      <c r="A1123" s="1780"/>
      <c r="B1123" s="1739" t="s">
        <v>1004</v>
      </c>
      <c r="C1123" s="1877" t="s">
        <v>2067</v>
      </c>
      <c r="D1123" s="390">
        <f>61.79/(2.1*5.4)</f>
        <v>5.4488536155202816</v>
      </c>
      <c r="E1123" s="413"/>
      <c r="F1123" s="320"/>
      <c r="G1123" s="320"/>
      <c r="H1123" s="1782"/>
      <c r="I1123" s="1782"/>
      <c r="J1123" s="1783"/>
    </row>
    <row r="1124" spans="1:10" ht="15.75" customHeight="1">
      <c r="A1124" s="1780"/>
      <c r="B1124" s="1739"/>
      <c r="C1124" s="1878" t="s">
        <v>2103</v>
      </c>
      <c r="D1124" s="1781">
        <f>0.0025*D$1123</f>
        <v>1.3622134038800705E-2</v>
      </c>
      <c r="E1124" s="413" t="s">
        <v>2069</v>
      </c>
      <c r="F1124" s="1747">
        <f>'Bahan &amp; Upah'!C$336</f>
        <v>96332.65</v>
      </c>
      <c r="G1124" s="361">
        <f>F1124*D1124</f>
        <v>1312.2562706128747</v>
      </c>
      <c r="H1124" s="1749">
        <v>1</v>
      </c>
      <c r="I1124" s="1749">
        <f>(G1124/G$1133)*H1124</f>
        <v>1.9311709611998108E-2</v>
      </c>
      <c r="J1124" s="1750"/>
    </row>
    <row r="1125" spans="1:10" ht="15.75" customHeight="1">
      <c r="A1125" s="1780"/>
      <c r="B1125" s="1739"/>
      <c r="C1125" s="1878" t="s">
        <v>2483</v>
      </c>
      <c r="D1125" s="1781">
        <f>0.0025*D$1123</f>
        <v>1.3622134038800705E-2</v>
      </c>
      <c r="E1125" s="413" t="s">
        <v>2069</v>
      </c>
      <c r="F1125" s="1883">
        <f>'Bahan &amp; Upah'!C$337</f>
        <v>114133.55</v>
      </c>
      <c r="G1125" s="361">
        <f>F1125*D1125</f>
        <v>1554.7425164241622</v>
      </c>
      <c r="H1125" s="1749">
        <v>1</v>
      </c>
      <c r="I1125" s="1749">
        <f>(G1125/G$1133)*H1125</f>
        <v>2.2880238160026396E-2</v>
      </c>
      <c r="J1125" s="1750"/>
    </row>
    <row r="1126" spans="1:10" ht="15.75" customHeight="1">
      <c r="A1126" s="1780"/>
      <c r="B1126" s="1739"/>
      <c r="C1126" s="1878" t="s">
        <v>2105</v>
      </c>
      <c r="D1126" s="1820">
        <f>0.00025*D1123</f>
        <v>1.3622134038800704E-3</v>
      </c>
      <c r="E1126" s="413" t="s">
        <v>2069</v>
      </c>
      <c r="F1126" s="1748">
        <f>'Bahan &amp; Upah'!C$338</f>
        <v>125485.75</v>
      </c>
      <c r="G1126" s="361">
        <f>F1126*D1126</f>
        <v>170.93837064594354</v>
      </c>
      <c r="H1126" s="1749">
        <v>1</v>
      </c>
      <c r="I1126" s="1749">
        <f>(G1126/G$1133)*H1126</f>
        <v>2.5156002294588506E-3</v>
      </c>
      <c r="J1126" s="1750"/>
    </row>
    <row r="1127" spans="1:10" ht="15.75" customHeight="1">
      <c r="A1127" s="1780"/>
      <c r="B1127" s="1739"/>
      <c r="C1127" s="1878" t="s">
        <v>2107</v>
      </c>
      <c r="D1127" s="1820">
        <f>0.00025*D1123</f>
        <v>1.3622134038800704E-3</v>
      </c>
      <c r="E1127" s="413" t="s">
        <v>2069</v>
      </c>
      <c r="F1127" s="1883">
        <f>'Bahan &amp; Upah'!C$339</f>
        <v>102689.88</v>
      </c>
      <c r="G1127" s="1785">
        <f>F1127*D1127</f>
        <v>139.88553097883596</v>
      </c>
      <c r="H1127" s="1749">
        <v>1</v>
      </c>
      <c r="I1127" s="1752">
        <f>(G1127/G$1133)*H1127</f>
        <v>2.05861371264149E-3</v>
      </c>
      <c r="J1127" s="1750"/>
    </row>
    <row r="1128" spans="1:10" ht="15.75" customHeight="1">
      <c r="A1128" s="1780"/>
      <c r="B1128" s="1739"/>
      <c r="C1128" s="1889" t="s">
        <v>2108</v>
      </c>
      <c r="D1128" s="1781"/>
      <c r="E1128" s="413"/>
      <c r="F1128" s="320"/>
      <c r="G1128" s="361">
        <f>SUM(G1124:G1127)</f>
        <v>3177.8226886618163</v>
      </c>
      <c r="H1128" s="1749"/>
      <c r="I1128" s="1754">
        <f>SUM(I1124:I1127)</f>
        <v>4.6766161714124843E-2</v>
      </c>
      <c r="J1128" s="1750"/>
    </row>
    <row r="1129" spans="1:10" ht="15.75" customHeight="1">
      <c r="A1129" s="1780"/>
      <c r="B1129" s="1739" t="s">
        <v>1015</v>
      </c>
      <c r="C1129" s="1877" t="s">
        <v>2075</v>
      </c>
      <c r="D1129" s="1781"/>
      <c r="E1129" s="413"/>
      <c r="F1129" s="320"/>
      <c r="G1129" s="320"/>
      <c r="H1129" s="1749"/>
      <c r="I1129" s="1749"/>
      <c r="J1129" s="1750"/>
    </row>
    <row r="1130" spans="1:10" ht="15.75" customHeight="1">
      <c r="A1130" s="1780"/>
      <c r="B1130" s="1739"/>
      <c r="C1130" s="1878" t="s">
        <v>2499</v>
      </c>
      <c r="D1130" s="1781">
        <v>1.02</v>
      </c>
      <c r="E1130" s="413" t="s">
        <v>89</v>
      </c>
      <c r="F1130" s="1883">
        <f>'Bahan &amp; Upah'!C62/(2.1*5.4)</f>
        <v>62625.764550264546</v>
      </c>
      <c r="G1130" s="332">
        <f>F1130*D1130</f>
        <v>63878.279841269839</v>
      </c>
      <c r="H1130" s="1749">
        <v>0.43819999999999998</v>
      </c>
      <c r="I1130" s="1749">
        <f>(G1130/G$1133)*H1130</f>
        <v>0.41193401185261258</v>
      </c>
      <c r="J1130" s="1750"/>
    </row>
    <row r="1131" spans="1:10" ht="15.75" customHeight="1">
      <c r="A1131" s="1780"/>
      <c r="B1131" s="1784"/>
      <c r="C1131" s="1878" t="s">
        <v>2485</v>
      </c>
      <c r="D1131" s="1781">
        <f>0.005*D1123</f>
        <v>2.724426807760141E-2</v>
      </c>
      <c r="E1131" s="413" t="s">
        <v>100</v>
      </c>
      <c r="F1131" s="1883">
        <f>'Bahan &amp; Upah'!C$59</f>
        <v>32859.14</v>
      </c>
      <c r="G1131" s="1785">
        <f>F1131*D1131</f>
        <v>895.2232189594356</v>
      </c>
      <c r="H1131" s="1749">
        <v>0.54969999999999997</v>
      </c>
      <c r="I1131" s="1752">
        <f>(G1131/G$1133)*H1131</f>
        <v>7.2420103366420702E-3</v>
      </c>
      <c r="J1131" s="1750"/>
    </row>
    <row r="1132" spans="1:10" ht="15.75" customHeight="1">
      <c r="A1132" s="1780"/>
      <c r="B1132" s="1784"/>
      <c r="C1132" s="1878"/>
      <c r="D1132" s="1781"/>
      <c r="E1132" s="413"/>
      <c r="F1132" s="320"/>
      <c r="G1132" s="361">
        <f>SUM(G1130:G1131)</f>
        <v>64773.503060229275</v>
      </c>
      <c r="H1132" s="1749"/>
      <c r="I1132" s="1754">
        <f>SUM(I1130:I1131)</f>
        <v>0.41917602218925465</v>
      </c>
      <c r="J1132" s="1750"/>
    </row>
    <row r="1133" spans="1:10" ht="15.75" customHeight="1">
      <c r="A1133" s="1780"/>
      <c r="B1133" s="1784"/>
      <c r="C1133" s="1804" t="s">
        <v>2298</v>
      </c>
      <c r="D1133" s="1763"/>
      <c r="E1133" s="1764"/>
      <c r="F1133" s="1765"/>
      <c r="G1133" s="1765">
        <f>G1128+G1132</f>
        <v>67951.325748891089</v>
      </c>
      <c r="H1133" s="1749"/>
      <c r="I1133" s="1766">
        <f>I1128+I1132</f>
        <v>0.46594218390337949</v>
      </c>
      <c r="J1133" s="1750"/>
    </row>
    <row r="1134" spans="1:10" ht="15.75" customHeight="1">
      <c r="A1134" s="1780"/>
      <c r="B1134" s="1784"/>
      <c r="C1134" s="1762" t="s">
        <v>2094</v>
      </c>
      <c r="D1134" s="1767">
        <f>M$4</f>
        <v>0.15</v>
      </c>
      <c r="E1134" s="1768"/>
      <c r="F1134" s="1765"/>
      <c r="G1134" s="1765">
        <f>G1133*D1134</f>
        <v>10192.698862333664</v>
      </c>
      <c r="H1134" s="1749"/>
      <c r="I1134" s="1749"/>
      <c r="J1134" s="1750"/>
    </row>
    <row r="1135" spans="1:10" ht="15.75" customHeight="1">
      <c r="A1135" s="1786"/>
      <c r="B1135" s="1890"/>
      <c r="C1135" s="1788" t="s">
        <v>2111</v>
      </c>
      <c r="D1135" s="1772"/>
      <c r="E1135" s="1773"/>
      <c r="F1135" s="1774"/>
      <c r="G1135" s="1775">
        <f>ROUNDUP((G1133+G1134),2)</f>
        <v>78144.03</v>
      </c>
      <c r="H1135" s="1776"/>
      <c r="I1135" s="1776"/>
      <c r="J1135" s="1789"/>
    </row>
    <row r="1136" spans="1:10" ht="15.75" customHeight="1">
      <c r="A1136" s="1733"/>
      <c r="B1136" s="1733"/>
      <c r="C1136" s="1733"/>
      <c r="D1136" s="1733"/>
      <c r="E1136" s="1733"/>
      <c r="F1136" s="1733"/>
      <c r="G1136" s="1733"/>
      <c r="H1136" s="1733"/>
      <c r="I1136" s="1733"/>
      <c r="J1136" s="1733"/>
    </row>
    <row r="1137" spans="1:10" ht="15.75" customHeight="1">
      <c r="A1137" s="1778">
        <f>A1122+1</f>
        <v>49</v>
      </c>
      <c r="B1137" s="1779" t="s">
        <v>2500</v>
      </c>
      <c r="C1137" s="1939" t="s">
        <v>2501</v>
      </c>
      <c r="D1137" s="1971"/>
      <c r="E1137" s="1874"/>
      <c r="F1137" s="1875"/>
      <c r="G1137" s="1875"/>
      <c r="H1137" s="1987"/>
      <c r="I1137" s="1987"/>
      <c r="J1137" s="1973"/>
    </row>
    <row r="1138" spans="1:10" ht="15.75" customHeight="1">
      <c r="A1138" s="1780"/>
      <c r="B1138" s="1739" t="s">
        <v>1004</v>
      </c>
      <c r="C1138" s="1877" t="s">
        <v>2067</v>
      </c>
      <c r="D1138" s="390"/>
      <c r="E1138" s="413"/>
      <c r="F1138" s="320"/>
      <c r="G1138" s="320"/>
      <c r="H1138" s="1782"/>
      <c r="I1138" s="1782"/>
      <c r="J1138" s="1783"/>
    </row>
    <row r="1139" spans="1:10" ht="15.75" customHeight="1">
      <c r="A1139" s="1780"/>
      <c r="B1139" s="1739"/>
      <c r="C1139" s="1878" t="s">
        <v>2103</v>
      </c>
      <c r="D1139" s="1781">
        <v>3.7499999999999999E-2</v>
      </c>
      <c r="E1139" s="413" t="s">
        <v>2069</v>
      </c>
      <c r="F1139" s="1747">
        <f>'Bahan &amp; Upah'!C$336</f>
        <v>96332.65</v>
      </c>
      <c r="G1139" s="361">
        <f>F1139*D1139</f>
        <v>3612.4743749999998</v>
      </c>
      <c r="H1139" s="1749">
        <v>1</v>
      </c>
      <c r="I1139" s="1749">
        <f>(G1139/G$1152)*H1139</f>
        <v>7.5069366552051403E-2</v>
      </c>
      <c r="J1139" s="1750"/>
    </row>
    <row r="1140" spans="1:10" ht="15.75" customHeight="1">
      <c r="A1140" s="1780"/>
      <c r="B1140" s="1739"/>
      <c r="C1140" s="1878" t="s">
        <v>2483</v>
      </c>
      <c r="D1140" s="1781">
        <v>1.2500000000000001E-2</v>
      </c>
      <c r="E1140" s="413" t="s">
        <v>2069</v>
      </c>
      <c r="F1140" s="1883">
        <f>'Bahan &amp; Upah'!C$337</f>
        <v>114133.55</v>
      </c>
      <c r="G1140" s="361">
        <f>F1140*D1140</f>
        <v>1426.6693750000002</v>
      </c>
      <c r="H1140" s="1749">
        <v>1</v>
      </c>
      <c r="I1140" s="1749">
        <f>(G1140/G$1152)*H1140</f>
        <v>2.9647038329638283E-2</v>
      </c>
      <c r="J1140" s="1750"/>
    </row>
    <row r="1141" spans="1:10" ht="15.75" customHeight="1">
      <c r="A1141" s="1780"/>
      <c r="B1141" s="1739"/>
      <c r="C1141" s="1878" t="s">
        <v>2105</v>
      </c>
      <c r="D1141" s="1820">
        <v>2.5000000000000001E-3</v>
      </c>
      <c r="E1141" s="413" t="s">
        <v>2069</v>
      </c>
      <c r="F1141" s="1748">
        <f>'Bahan &amp; Upah'!C$338</f>
        <v>125485.75</v>
      </c>
      <c r="G1141" s="361">
        <f>F1141*D1141</f>
        <v>313.71437500000002</v>
      </c>
      <c r="H1141" s="1749">
        <v>1</v>
      </c>
      <c r="I1141" s="1749">
        <f>(G1141/G$1152)*H1141</f>
        <v>6.5191713393185557E-3</v>
      </c>
      <c r="J1141" s="1750"/>
    </row>
    <row r="1142" spans="1:10" ht="15.75" customHeight="1">
      <c r="A1142" s="1780"/>
      <c r="B1142" s="1739"/>
      <c r="C1142" s="1878" t="s">
        <v>2107</v>
      </c>
      <c r="D1142" s="1820">
        <v>8.0000000000000004E-4</v>
      </c>
      <c r="E1142" s="413" t="s">
        <v>2069</v>
      </c>
      <c r="F1142" s="1883">
        <f>'Bahan &amp; Upah'!C$339</f>
        <v>102689.88</v>
      </c>
      <c r="G1142" s="1785">
        <f>F1142*D1142</f>
        <v>82.151904000000002</v>
      </c>
      <c r="H1142" s="1749">
        <v>1</v>
      </c>
      <c r="I1142" s="1752">
        <f>(G1142/G$1152)*H1142</f>
        <v>1.7071654367997941E-3</v>
      </c>
      <c r="J1142" s="1750"/>
    </row>
    <row r="1143" spans="1:10" ht="15.75" customHeight="1">
      <c r="A1143" s="1780"/>
      <c r="B1143" s="1739"/>
      <c r="C1143" s="1889" t="s">
        <v>2108</v>
      </c>
      <c r="D1143" s="1781"/>
      <c r="E1143" s="413"/>
      <c r="F1143" s="320"/>
      <c r="G1143" s="361">
        <f>SUM(G1139:G1142)</f>
        <v>5435.0100290000009</v>
      </c>
      <c r="H1143" s="1749"/>
      <c r="I1143" s="1754">
        <f>SUM(I1139:I1142)</f>
        <v>0.11294274165780802</v>
      </c>
      <c r="J1143" s="1750"/>
    </row>
    <row r="1144" spans="1:10" ht="15.75" customHeight="1">
      <c r="A1144" s="1780"/>
      <c r="B1144" s="1739" t="s">
        <v>1015</v>
      </c>
      <c r="C1144" s="1877" t="s">
        <v>2075</v>
      </c>
      <c r="D1144" s="1781"/>
      <c r="E1144" s="413"/>
      <c r="F1144" s="320"/>
      <c r="G1144" s="320"/>
      <c r="H1144" s="1749"/>
      <c r="I1144" s="1749"/>
      <c r="J1144" s="1750"/>
    </row>
    <row r="1145" spans="1:10" ht="15.75" customHeight="1">
      <c r="A1145" s="1780"/>
      <c r="B1145" s="1739"/>
      <c r="C1145" s="1878" t="s">
        <v>2502</v>
      </c>
      <c r="D1145" s="1781">
        <v>1.1499999999999999</v>
      </c>
      <c r="E1145" s="413" t="s">
        <v>100</v>
      </c>
      <c r="F1145" s="1883">
        <f>'Bahan &amp; Upah'!C$41</f>
        <v>22095.119999999999</v>
      </c>
      <c r="G1145" s="332">
        <f>F1145*D1145</f>
        <v>25409.387999999995</v>
      </c>
      <c r="H1145" s="1749">
        <v>0.43819999999999998</v>
      </c>
      <c r="I1145" s="1749">
        <f>(G1145/G$1152)*H1145</f>
        <v>0.23137932739760589</v>
      </c>
      <c r="J1145" s="1750"/>
    </row>
    <row r="1146" spans="1:10" ht="15.75" customHeight="1">
      <c r="A1146" s="1780"/>
      <c r="B1146" s="1784"/>
      <c r="C1146" s="1878" t="s">
        <v>2503</v>
      </c>
      <c r="D1146" s="1781">
        <v>5.2999999999999999E-2</v>
      </c>
      <c r="E1146" s="413" t="s">
        <v>100</v>
      </c>
      <c r="F1146" s="1883">
        <f>'Bahan &amp; Upah'!C$60</f>
        <v>63394.53</v>
      </c>
      <c r="G1146" s="1785">
        <f>F1146*D1146</f>
        <v>3359.9100899999999</v>
      </c>
      <c r="H1146" s="1749">
        <v>0.54969999999999997</v>
      </c>
      <c r="I1146" s="1752">
        <f>(G1146/G$1152)*H1146</f>
        <v>3.8380565474278795E-2</v>
      </c>
      <c r="J1146" s="1750"/>
    </row>
    <row r="1147" spans="1:10" ht="15.75" customHeight="1">
      <c r="A1147" s="1780"/>
      <c r="B1147" s="1784"/>
      <c r="C1147" s="1878"/>
      <c r="D1147" s="1781"/>
      <c r="E1147" s="413"/>
      <c r="F1147" s="320"/>
      <c r="G1147" s="361">
        <f>SUM(G1145:G1146)</f>
        <v>28769.298089999997</v>
      </c>
      <c r="H1147" s="1749"/>
      <c r="I1147" s="1754">
        <f>SUM(I1145:I1146)</f>
        <v>0.26975989287188468</v>
      </c>
      <c r="J1147" s="1750"/>
    </row>
    <row r="1148" spans="1:10" ht="15.75" customHeight="1">
      <c r="A1148" s="1780"/>
      <c r="B1148" s="1739" t="s">
        <v>1048</v>
      </c>
      <c r="C1148" s="1877" t="s">
        <v>2246</v>
      </c>
      <c r="D1148" s="1756"/>
      <c r="E1148" s="333"/>
      <c r="F1148" s="328"/>
      <c r="G1148" s="332"/>
      <c r="H1148" s="1749"/>
      <c r="I1148" s="1749"/>
      <c r="J1148" s="1750"/>
    </row>
    <row r="1149" spans="1:10" ht="15.75" customHeight="1">
      <c r="A1149" s="1780"/>
      <c r="B1149" s="1909"/>
      <c r="C1149" s="1878" t="s">
        <v>2504</v>
      </c>
      <c r="D1149" s="1756">
        <v>3.3000000000000002E-2</v>
      </c>
      <c r="E1149" s="333" t="s">
        <v>1340</v>
      </c>
      <c r="F1149" s="1883">
        <f>'Bahan &amp; Upah'!C$183</f>
        <v>359255.99</v>
      </c>
      <c r="G1149" s="332">
        <f>F1149*D1149</f>
        <v>11855.44767</v>
      </c>
      <c r="H1149" s="1749">
        <v>1</v>
      </c>
      <c r="I1149" s="1749">
        <f>(G1149/G$1152)*H1149</f>
        <v>0.24636325531801004</v>
      </c>
      <c r="J1149" s="1750"/>
    </row>
    <row r="1150" spans="1:10" ht="15.75" customHeight="1">
      <c r="A1150" s="1780"/>
      <c r="B1150" s="1784"/>
      <c r="C1150" s="1878" t="s">
        <v>2505</v>
      </c>
      <c r="D1150" s="1756">
        <v>1.2999999999999999E-3</v>
      </c>
      <c r="E1150" s="333" t="s">
        <v>1340</v>
      </c>
      <c r="F1150" s="1883">
        <f>'Bahan &amp; Upah'!C$184</f>
        <v>1586201.5</v>
      </c>
      <c r="G1150" s="1785">
        <f>F1150*D1150</f>
        <v>2062.0619499999998</v>
      </c>
      <c r="H1150" s="1749">
        <v>1</v>
      </c>
      <c r="I1150" s="1752">
        <f>(G1150/G$1152)*H1150</f>
        <v>4.2850874029407585E-2</v>
      </c>
      <c r="J1150" s="1750"/>
    </row>
    <row r="1151" spans="1:10" ht="15.75" customHeight="1">
      <c r="A1151" s="1780"/>
      <c r="B1151" s="1784"/>
      <c r="C1151" s="1988"/>
      <c r="D1151" s="1989"/>
      <c r="E1151" s="1882"/>
      <c r="F1151" s="1845"/>
      <c r="G1151" s="361">
        <f>SUM(G1149:G1150)</f>
        <v>13917.509619999999</v>
      </c>
      <c r="H1151" s="1749"/>
      <c r="I1151" s="1754">
        <f>SUM(I1149:I1150)</f>
        <v>0.28921412934741764</v>
      </c>
      <c r="J1151" s="1990"/>
    </row>
    <row r="1152" spans="1:10" ht="15.75" customHeight="1">
      <c r="A1152" s="1780"/>
      <c r="B1152" s="1784"/>
      <c r="C1152" s="1804" t="s">
        <v>2298</v>
      </c>
      <c r="D1152" s="1763"/>
      <c r="E1152" s="1764"/>
      <c r="F1152" s="1765"/>
      <c r="G1152" s="1765">
        <f>G1143+G1147+G1151</f>
        <v>48121.817738999991</v>
      </c>
      <c r="H1152" s="1749"/>
      <c r="I1152" s="1766">
        <f>I1143+I1147+I1151</f>
        <v>0.6719167638771103</v>
      </c>
      <c r="J1152" s="1750"/>
    </row>
    <row r="1153" spans="1:10" ht="15.75" customHeight="1">
      <c r="A1153" s="1780"/>
      <c r="B1153" s="1784"/>
      <c r="C1153" s="1762" t="s">
        <v>2094</v>
      </c>
      <c r="D1153" s="1767">
        <f>M$4</f>
        <v>0.15</v>
      </c>
      <c r="E1153" s="1768"/>
      <c r="F1153" s="1765"/>
      <c r="G1153" s="1765">
        <f>G1152*D1153</f>
        <v>7218.2726608499988</v>
      </c>
      <c r="H1153" s="1749"/>
      <c r="I1153" s="1749"/>
      <c r="J1153" s="1750"/>
    </row>
    <row r="1154" spans="1:10" ht="15.75" customHeight="1">
      <c r="A1154" s="1786"/>
      <c r="B1154" s="1890"/>
      <c r="C1154" s="1788" t="s">
        <v>2111</v>
      </c>
      <c r="D1154" s="1772"/>
      <c r="E1154" s="1773"/>
      <c r="F1154" s="1774"/>
      <c r="G1154" s="1775">
        <f>ROUNDUP((G1152+G1153),2)</f>
        <v>55340.1</v>
      </c>
      <c r="H1154" s="1776"/>
      <c r="I1154" s="1776"/>
      <c r="J1154" s="1789"/>
    </row>
    <row r="1155" spans="1:10" ht="15.75" customHeight="1">
      <c r="A1155" s="1733"/>
      <c r="B1155" s="1733"/>
      <c r="C1155" s="1733"/>
      <c r="D1155" s="1733"/>
      <c r="E1155" s="1733"/>
      <c r="F1155" s="1733"/>
      <c r="G1155" s="1733"/>
      <c r="H1155" s="1733"/>
      <c r="I1155" s="1733"/>
      <c r="J1155" s="1733"/>
    </row>
    <row r="1156" spans="1:10" ht="15.75" customHeight="1">
      <c r="A1156" s="1778">
        <f>A1137+1</f>
        <v>50</v>
      </c>
      <c r="B1156" s="1779" t="s">
        <v>2506</v>
      </c>
      <c r="C1156" s="1939" t="s">
        <v>2507</v>
      </c>
      <c r="D1156" s="1971"/>
      <c r="E1156" s="1874"/>
      <c r="F1156" s="1875"/>
      <c r="G1156" s="1875"/>
      <c r="H1156" s="1987"/>
      <c r="I1156" s="1987"/>
      <c r="J1156" s="1973"/>
    </row>
    <row r="1157" spans="1:10" ht="15.75" customHeight="1">
      <c r="A1157" s="1780"/>
      <c r="B1157" s="1739" t="s">
        <v>1004</v>
      </c>
      <c r="C1157" s="1877" t="s">
        <v>2067</v>
      </c>
      <c r="D1157" s="390"/>
      <c r="E1157" s="413"/>
      <c r="F1157" s="320"/>
      <c r="G1157" s="320"/>
      <c r="H1157" s="1782"/>
      <c r="I1157" s="1782"/>
      <c r="J1157" s="1783"/>
    </row>
    <row r="1158" spans="1:10" ht="15.75" customHeight="1">
      <c r="A1158" s="1780"/>
      <c r="B1158" s="1739"/>
      <c r="C1158" s="1878" t="s">
        <v>2103</v>
      </c>
      <c r="D1158" s="1781">
        <v>1.2E-2</v>
      </c>
      <c r="E1158" s="413" t="s">
        <v>2069</v>
      </c>
      <c r="F1158" s="1747">
        <f>'Bahan &amp; Upah'!C$336</f>
        <v>96332.65</v>
      </c>
      <c r="G1158" s="361">
        <f>F1158*D1158</f>
        <v>1155.9918</v>
      </c>
      <c r="H1158" s="1749">
        <v>1</v>
      </c>
      <c r="I1158" s="1749">
        <f>(G1158/G$1168)*H1158</f>
        <v>2.5586102827625155E-2</v>
      </c>
      <c r="J1158" s="1750"/>
    </row>
    <row r="1159" spans="1:10" ht="15.75" customHeight="1">
      <c r="A1159" s="1780"/>
      <c r="B1159" s="1739"/>
      <c r="C1159" s="1878" t="s">
        <v>2483</v>
      </c>
      <c r="D1159" s="1781">
        <v>1.2E-2</v>
      </c>
      <c r="E1159" s="413" t="s">
        <v>2069</v>
      </c>
      <c r="F1159" s="1883">
        <f>'Bahan &amp; Upah'!C$337</f>
        <v>114133.55</v>
      </c>
      <c r="G1159" s="361">
        <f>F1159*D1159</f>
        <v>1369.6026000000002</v>
      </c>
      <c r="H1159" s="1749">
        <v>1</v>
      </c>
      <c r="I1159" s="1749">
        <f>(G1159/G$1168)*H1159</f>
        <v>3.0314049767985178E-2</v>
      </c>
      <c r="J1159" s="1750"/>
    </row>
    <row r="1160" spans="1:10" ht="15.75" customHeight="1">
      <c r="A1160" s="1780"/>
      <c r="B1160" s="1739"/>
      <c r="C1160" s="1878" t="s">
        <v>2107</v>
      </c>
      <c r="D1160" s="1781">
        <v>1.1999999999999999E-3</v>
      </c>
      <c r="E1160" s="413" t="s">
        <v>2069</v>
      </c>
      <c r="F1160" s="1883">
        <f>'Bahan &amp; Upah'!C$339</f>
        <v>102689.88</v>
      </c>
      <c r="G1160" s="1785">
        <f>F1160*D1160</f>
        <v>123.22785599999999</v>
      </c>
      <c r="H1160" s="1749">
        <v>1</v>
      </c>
      <c r="I1160" s="1752">
        <f>(G1160/G$1168)*H1160</f>
        <v>2.7274593079672236E-3</v>
      </c>
      <c r="J1160" s="1750"/>
    </row>
    <row r="1161" spans="1:10" ht="15.75" customHeight="1">
      <c r="A1161" s="1780"/>
      <c r="B1161" s="1739"/>
      <c r="C1161" s="1889" t="s">
        <v>2108</v>
      </c>
      <c r="D1161" s="1781"/>
      <c r="E1161" s="413"/>
      <c r="F1161" s="320"/>
      <c r="G1161" s="361">
        <f>SUM(G1158:G1160)</f>
        <v>2648.8222559999999</v>
      </c>
      <c r="H1161" s="1749"/>
      <c r="I1161" s="1754">
        <f>SUM(I1158:I1160)</f>
        <v>5.8627611903577556E-2</v>
      </c>
      <c r="J1161" s="1750"/>
    </row>
    <row r="1162" spans="1:10" ht="15.75" customHeight="1">
      <c r="A1162" s="1780"/>
      <c r="B1162" s="1739" t="s">
        <v>1015</v>
      </c>
      <c r="C1162" s="1877" t="s">
        <v>2075</v>
      </c>
      <c r="D1162" s="1781"/>
      <c r="E1162" s="413"/>
      <c r="F1162" s="320"/>
      <c r="G1162" s="320"/>
      <c r="H1162" s="1749"/>
      <c r="I1162" s="1749"/>
      <c r="J1162" s="1750"/>
    </row>
    <row r="1163" spans="1:10" ht="15.75" customHeight="1">
      <c r="A1163" s="1780"/>
      <c r="B1163" s="1784"/>
      <c r="C1163" s="1878" t="s">
        <v>2503</v>
      </c>
      <c r="D1163" s="1781">
        <v>0.60289999999999999</v>
      </c>
      <c r="E1163" s="413" t="s">
        <v>100</v>
      </c>
      <c r="F1163" s="1883">
        <f>'Bahan &amp; Upah'!C$60</f>
        <v>63394.53</v>
      </c>
      <c r="G1163" s="1785">
        <f>F1163*D1163</f>
        <v>38220.562137000001</v>
      </c>
      <c r="H1163" s="1749">
        <v>0.54969999999999997</v>
      </c>
      <c r="I1163" s="1752">
        <f>(G1163/G$1168)*H1163</f>
        <v>0.4650206027083541</v>
      </c>
      <c r="J1163" s="1750"/>
    </row>
    <row r="1164" spans="1:10" ht="15.75" customHeight="1">
      <c r="A1164" s="1780"/>
      <c r="B1164" s="1784"/>
      <c r="C1164" s="1878"/>
      <c r="D1164" s="1781"/>
      <c r="E1164" s="413"/>
      <c r="F1164" s="320"/>
      <c r="G1164" s="361">
        <f>SUM(G1163:G1163)</f>
        <v>38220.562137000001</v>
      </c>
      <c r="H1164" s="1749"/>
      <c r="I1164" s="1754">
        <f>SUM(I1163:I1163)</f>
        <v>0.4650206027083541</v>
      </c>
      <c r="J1164" s="1750"/>
    </row>
    <row r="1165" spans="1:10" ht="15.75" customHeight="1">
      <c r="A1165" s="1780"/>
      <c r="B1165" s="1739" t="s">
        <v>1048</v>
      </c>
      <c r="C1165" s="1877" t="s">
        <v>2246</v>
      </c>
      <c r="D1165" s="1756"/>
      <c r="E1165" s="333"/>
      <c r="F1165" s="328"/>
      <c r="G1165" s="332"/>
      <c r="H1165" s="1749"/>
      <c r="I1165" s="1749"/>
      <c r="J1165" s="1750"/>
    </row>
    <row r="1166" spans="1:10" ht="15.75" customHeight="1">
      <c r="A1166" s="1780"/>
      <c r="B1166" s="1909"/>
      <c r="C1166" s="1878" t="s">
        <v>2504</v>
      </c>
      <c r="D1166" s="1756">
        <v>1.2E-2</v>
      </c>
      <c r="E1166" s="333" t="s">
        <v>1340</v>
      </c>
      <c r="F1166" s="1883">
        <f>'Bahan &amp; Upah'!C$183</f>
        <v>359255.99</v>
      </c>
      <c r="G1166" s="1794">
        <f>F1166*D1166</f>
        <v>4311.0718800000004</v>
      </c>
      <c r="H1166" s="1749">
        <v>1</v>
      </c>
      <c r="I1166" s="1749">
        <f>(G1166/G$1168)*H1166</f>
        <v>9.5418954026285738E-2</v>
      </c>
      <c r="J1166" s="1750"/>
    </row>
    <row r="1167" spans="1:10" ht="15.75" customHeight="1">
      <c r="A1167" s="1780"/>
      <c r="B1167" s="1784"/>
      <c r="C1167" s="1988"/>
      <c r="D1167" s="1989"/>
      <c r="E1167" s="1882"/>
      <c r="F1167" s="1845"/>
      <c r="G1167" s="361">
        <f>SUM(G1166:G1166)</f>
        <v>4311.0718800000004</v>
      </c>
      <c r="H1167" s="1749"/>
      <c r="I1167" s="1754">
        <f>SUM(I1166:I1166)</f>
        <v>9.5418954026285738E-2</v>
      </c>
      <c r="J1167" s="1990"/>
    </row>
    <row r="1168" spans="1:10" ht="15.75" customHeight="1">
      <c r="A1168" s="1780"/>
      <c r="B1168" s="1784"/>
      <c r="C1168" s="1804" t="s">
        <v>2298</v>
      </c>
      <c r="D1168" s="1763"/>
      <c r="E1168" s="1764"/>
      <c r="F1168" s="1765"/>
      <c r="G1168" s="1765">
        <f>G1161+G1164+G1167</f>
        <v>45180.456273000003</v>
      </c>
      <c r="H1168" s="1749"/>
      <c r="I1168" s="1766">
        <f>I1161+I1164+I1167</f>
        <v>0.61906716863821742</v>
      </c>
      <c r="J1168" s="1750"/>
    </row>
    <row r="1169" spans="1:10" ht="15.75" customHeight="1">
      <c r="A1169" s="1780"/>
      <c r="B1169" s="1784"/>
      <c r="C1169" s="1762" t="s">
        <v>2094</v>
      </c>
      <c r="D1169" s="1767">
        <f>M$4</f>
        <v>0.15</v>
      </c>
      <c r="E1169" s="1768"/>
      <c r="F1169" s="1765"/>
      <c r="G1169" s="1765">
        <f>G1168*D1169</f>
        <v>6777.06844095</v>
      </c>
      <c r="H1169" s="1749"/>
      <c r="I1169" s="1749"/>
      <c r="J1169" s="1750"/>
    </row>
    <row r="1170" spans="1:10" ht="15.75" customHeight="1">
      <c r="A1170" s="1786"/>
      <c r="B1170" s="1890"/>
      <c r="C1170" s="1788" t="s">
        <v>2111</v>
      </c>
      <c r="D1170" s="1772"/>
      <c r="E1170" s="1773"/>
      <c r="F1170" s="1774"/>
      <c r="G1170" s="1775">
        <f>ROUNDUP((G1168+G1169),2)</f>
        <v>51957.53</v>
      </c>
      <c r="H1170" s="1776"/>
      <c r="I1170" s="1776"/>
      <c r="J1170" s="1789"/>
    </row>
    <row r="1171" spans="1:10" ht="15.75" customHeight="1">
      <c r="A1171" s="1733"/>
      <c r="B1171" s="1733"/>
      <c r="C1171" s="1733"/>
      <c r="D1171" s="1733"/>
      <c r="E1171" s="1733"/>
      <c r="F1171" s="1733"/>
      <c r="G1171" s="1733"/>
      <c r="H1171" s="1733"/>
      <c r="I1171" s="1733"/>
      <c r="J1171" s="1733"/>
    </row>
    <row r="1172" spans="1:10" ht="15.75" customHeight="1">
      <c r="A1172" s="1778">
        <f>A1156+1</f>
        <v>51</v>
      </c>
      <c r="B1172" s="1779" t="s">
        <v>2508</v>
      </c>
      <c r="C1172" s="1872" t="s">
        <v>2509</v>
      </c>
      <c r="D1172" s="1971"/>
      <c r="E1172" s="1874"/>
      <c r="F1172" s="1875"/>
      <c r="G1172" s="1875"/>
      <c r="H1172" s="1800"/>
      <c r="I1172" s="1800"/>
      <c r="J1172" s="1801"/>
    </row>
    <row r="1173" spans="1:10" ht="15.75" customHeight="1">
      <c r="A1173" s="1780"/>
      <c r="B1173" s="1739" t="s">
        <v>1004</v>
      </c>
      <c r="C1173" s="1877" t="s">
        <v>2067</v>
      </c>
      <c r="D1173" s="390"/>
      <c r="E1173" s="413"/>
      <c r="F1173" s="320"/>
      <c r="G1173" s="320"/>
      <c r="H1173" s="1802"/>
      <c r="I1173" s="1802"/>
      <c r="J1173" s="1803"/>
    </row>
    <row r="1174" spans="1:10" ht="15.75" customHeight="1">
      <c r="A1174" s="1780"/>
      <c r="B1174" s="1739"/>
      <c r="C1174" s="1878" t="s">
        <v>2103</v>
      </c>
      <c r="D1174" s="1781">
        <v>1.65</v>
      </c>
      <c r="E1174" s="413" t="s">
        <v>2069</v>
      </c>
      <c r="F1174" s="1747">
        <f>'Bahan &amp; Upah'!C$336</f>
        <v>96332.65</v>
      </c>
      <c r="G1174" s="361">
        <f>F1174*D1174</f>
        <v>158948.87249999997</v>
      </c>
      <c r="H1174" s="1749">
        <v>1</v>
      </c>
      <c r="I1174" s="1749">
        <f>(G1174/G$1185)*H1174</f>
        <v>0.13201917130696039</v>
      </c>
      <c r="J1174" s="1750"/>
    </row>
    <row r="1175" spans="1:10" ht="15.75" customHeight="1">
      <c r="A1175" s="1780"/>
      <c r="B1175" s="1739"/>
      <c r="C1175" s="1878" t="s">
        <v>2124</v>
      </c>
      <c r="D1175" s="1781">
        <v>0.27500000000000002</v>
      </c>
      <c r="E1175" s="413" t="s">
        <v>2069</v>
      </c>
      <c r="F1175" s="1883">
        <f>'Bahan &amp; Upah'!C$337</f>
        <v>114133.55</v>
      </c>
      <c r="G1175" s="361">
        <f>F1175*D1175</f>
        <v>31386.726250000003</v>
      </c>
      <c r="H1175" s="1749">
        <v>1</v>
      </c>
      <c r="I1175" s="1749">
        <f>(G1175/G$1185)*H1175</f>
        <v>2.60690719247689E-2</v>
      </c>
      <c r="J1175" s="1750"/>
    </row>
    <row r="1176" spans="1:10" ht="15.75" customHeight="1">
      <c r="A1176" s="1780"/>
      <c r="B1176" s="1739"/>
      <c r="C1176" s="1878" t="s">
        <v>2105</v>
      </c>
      <c r="D1176" s="1781">
        <v>2.75E-2</v>
      </c>
      <c r="E1176" s="413" t="s">
        <v>2069</v>
      </c>
      <c r="F1176" s="1748">
        <f>'Bahan &amp; Upah'!C$338</f>
        <v>125485.75</v>
      </c>
      <c r="G1176" s="361">
        <f>F1176*D1176</f>
        <v>3450.8581250000002</v>
      </c>
      <c r="H1176" s="1749">
        <v>1</v>
      </c>
      <c r="I1176" s="1749">
        <f>(G1176/G$1185)*H1176</f>
        <v>2.86620107959804E-3</v>
      </c>
      <c r="J1176" s="1750"/>
    </row>
    <row r="1177" spans="1:10" ht="15.75" customHeight="1">
      <c r="A1177" s="1780"/>
      <c r="B1177" s="1739"/>
      <c r="C1177" s="1878" t="s">
        <v>2107</v>
      </c>
      <c r="D1177" s="1781">
        <v>8.9999999999999993E-3</v>
      </c>
      <c r="E1177" s="413" t="s">
        <v>2069</v>
      </c>
      <c r="F1177" s="1883">
        <f>'Bahan &amp; Upah'!C$339</f>
        <v>102689.88</v>
      </c>
      <c r="G1177" s="1785">
        <f>F1177*D1177</f>
        <v>924.20891999999992</v>
      </c>
      <c r="H1177" s="1749">
        <v>1</v>
      </c>
      <c r="I1177" s="1752">
        <f>(G1177/G$1185)*H1177</f>
        <v>7.676260536727044E-4</v>
      </c>
      <c r="J1177" s="1750"/>
    </row>
    <row r="1178" spans="1:10" ht="15.75" customHeight="1">
      <c r="A1178" s="1780"/>
      <c r="B1178" s="1739"/>
      <c r="C1178" s="1889" t="s">
        <v>2108</v>
      </c>
      <c r="D1178" s="1781"/>
      <c r="E1178" s="413"/>
      <c r="F1178" s="320"/>
      <c r="G1178" s="361">
        <f>SUM(G1174:G1177)</f>
        <v>194710.66579499998</v>
      </c>
      <c r="H1178" s="1749"/>
      <c r="I1178" s="1754">
        <f>SUM(I1174:I1177)</f>
        <v>0.16172207036500003</v>
      </c>
      <c r="J1178" s="1750"/>
    </row>
    <row r="1179" spans="1:10" ht="15.75" customHeight="1">
      <c r="A1179" s="1780"/>
      <c r="B1179" s="1739" t="s">
        <v>1015</v>
      </c>
      <c r="C1179" s="1877" t="s">
        <v>2075</v>
      </c>
      <c r="D1179" s="1781"/>
      <c r="E1179" s="413"/>
      <c r="F1179" s="320"/>
      <c r="G1179" s="320"/>
      <c r="H1179" s="1749"/>
      <c r="I1179" s="1749"/>
      <c r="J1179" s="1750"/>
    </row>
    <row r="1180" spans="1:10" ht="15.75" customHeight="1">
      <c r="A1180" s="1780"/>
      <c r="B1180" s="1784"/>
      <c r="C1180" s="1878" t="s">
        <v>2080</v>
      </c>
      <c r="D1180" s="1781">
        <v>250</v>
      </c>
      <c r="E1180" s="413" t="s">
        <v>100</v>
      </c>
      <c r="F1180" s="1883">
        <f>'Bahan &amp; Upah'!C$27</f>
        <v>1792.44</v>
      </c>
      <c r="G1180" s="332">
        <f>F1180*D1180</f>
        <v>448110</v>
      </c>
      <c r="H1180" s="1749">
        <v>0.91900000000000004</v>
      </c>
      <c r="I1180" s="1749">
        <f>(G1180/G$1185)*H1180</f>
        <v>0.34204220527049484</v>
      </c>
      <c r="J1180" s="1750"/>
    </row>
    <row r="1181" spans="1:10" ht="15.75" customHeight="1">
      <c r="A1181" s="1780"/>
      <c r="B1181" s="1784"/>
      <c r="C1181" s="1878" t="s">
        <v>2082</v>
      </c>
      <c r="D1181" s="1781">
        <f>888</f>
        <v>888</v>
      </c>
      <c r="E1181" s="413" t="s">
        <v>100</v>
      </c>
      <c r="F1181" s="1883">
        <f>'Bahan &amp; Upah'!C$12/1400</f>
        <v>304.68867142857141</v>
      </c>
      <c r="G1181" s="361">
        <f>F1181*D1181</f>
        <v>270563.54022857139</v>
      </c>
      <c r="H1181" s="1749">
        <v>1</v>
      </c>
      <c r="I1181" s="1749">
        <f>(G1181/G$1185)*H1181</f>
        <v>0.22472367249320022</v>
      </c>
      <c r="J1181" s="1750"/>
    </row>
    <row r="1182" spans="1:10" ht="15.75" customHeight="1">
      <c r="A1182" s="1780"/>
      <c r="B1182" s="1784"/>
      <c r="C1182" s="1878" t="s">
        <v>2510</v>
      </c>
      <c r="D1182" s="1781">
        <f>1009</f>
        <v>1009</v>
      </c>
      <c r="E1182" s="413" t="s">
        <v>100</v>
      </c>
      <c r="F1182" s="1883">
        <f>'Bahan &amp; Upah'!C$16/1800</f>
        <v>178.58064999999999</v>
      </c>
      <c r="G1182" s="361">
        <f>F1182*D1182</f>
        <v>180187.87584999998</v>
      </c>
      <c r="H1182" s="1749">
        <v>1</v>
      </c>
      <c r="I1182" s="1749">
        <f>(G1182/G$1185)*H1182</f>
        <v>0.14965978477940106</v>
      </c>
      <c r="J1182" s="1750"/>
    </row>
    <row r="1183" spans="1:10" ht="15.75" customHeight="1">
      <c r="A1183" s="1780"/>
      <c r="B1183" s="1784"/>
      <c r="C1183" s="1878" t="s">
        <v>2120</v>
      </c>
      <c r="D1183" s="1781">
        <v>202</v>
      </c>
      <c r="E1183" s="413" t="s">
        <v>2450</v>
      </c>
      <c r="F1183" s="1883">
        <f>'Bahan &amp; Upah'!C$32</f>
        <v>546.59</v>
      </c>
      <c r="G1183" s="1794">
        <f>F1183*D1183</f>
        <v>110411.18000000001</v>
      </c>
      <c r="H1183" s="1749">
        <v>1</v>
      </c>
      <c r="I1183" s="1752">
        <f>(G1183/G$1185)*H1183</f>
        <v>9.1704912764471749E-2</v>
      </c>
      <c r="J1183" s="1750"/>
    </row>
    <row r="1184" spans="1:10" ht="15.75" customHeight="1">
      <c r="A1184" s="1780"/>
      <c r="B1184" s="1784"/>
      <c r="C1184" s="1878"/>
      <c r="D1184" s="1781"/>
      <c r="E1184" s="413"/>
      <c r="F1184" s="1883"/>
      <c r="G1184" s="361">
        <f>SUM(G1180:G1183)</f>
        <v>1009272.5960785714</v>
      </c>
      <c r="H1184" s="1749"/>
      <c r="I1184" s="1754">
        <f>SUM(I1180:I1183)</f>
        <v>0.80813057530756782</v>
      </c>
      <c r="J1184" s="1750"/>
    </row>
    <row r="1185" spans="1:10" ht="15.75" customHeight="1">
      <c r="A1185" s="1780"/>
      <c r="B1185" s="1784"/>
      <c r="C1185" s="1804" t="s">
        <v>2298</v>
      </c>
      <c r="D1185" s="1763"/>
      <c r="E1185" s="1764"/>
      <c r="F1185" s="1765"/>
      <c r="G1185" s="1765">
        <f>G1178+G1184</f>
        <v>1203983.2618735714</v>
      </c>
      <c r="H1185" s="1749"/>
      <c r="I1185" s="1797">
        <f>I1178+I1184</f>
        <v>0.96985264567256779</v>
      </c>
      <c r="J1185" s="1750"/>
    </row>
    <row r="1186" spans="1:10" ht="15.75" customHeight="1">
      <c r="A1186" s="1780"/>
      <c r="B1186" s="1784"/>
      <c r="C1186" s="1762" t="s">
        <v>2094</v>
      </c>
      <c r="D1186" s="1767">
        <f>M$4</f>
        <v>0.15</v>
      </c>
      <c r="E1186" s="1768"/>
      <c r="F1186" s="1765"/>
      <c r="G1186" s="1765">
        <f>G1185*D1186</f>
        <v>180597.4892810357</v>
      </c>
      <c r="H1186" s="1749"/>
      <c r="I1186" s="1749"/>
      <c r="J1186" s="1750"/>
    </row>
    <row r="1187" spans="1:10" ht="15.75" customHeight="1">
      <c r="A1187" s="1786"/>
      <c r="B1187" s="1890"/>
      <c r="C1187" s="1788" t="s">
        <v>2111</v>
      </c>
      <c r="D1187" s="1772"/>
      <c r="E1187" s="1773"/>
      <c r="F1187" s="1774"/>
      <c r="G1187" s="1775">
        <f>ROUNDUP((G1185+G1186),2)</f>
        <v>1384580.76</v>
      </c>
      <c r="H1187" s="1776"/>
      <c r="I1187" s="1776"/>
      <c r="J1187" s="1789"/>
    </row>
    <row r="1188" spans="1:10" ht="15.75" customHeight="1">
      <c r="A1188" s="1733"/>
      <c r="B1188" s="1733"/>
      <c r="C1188" s="1733"/>
      <c r="D1188" s="1733"/>
      <c r="E1188" s="1733"/>
      <c r="F1188" s="1733"/>
      <c r="G1188" s="1733"/>
      <c r="H1188" s="1733"/>
      <c r="I1188" s="1733"/>
      <c r="J1188" s="1733"/>
    </row>
    <row r="1189" spans="1:10" ht="15.75" customHeight="1">
      <c r="A1189" s="1778">
        <f>A1172+1</f>
        <v>52</v>
      </c>
      <c r="B1189" s="1779" t="s">
        <v>2511</v>
      </c>
      <c r="C1189" s="1872" t="s">
        <v>2512</v>
      </c>
      <c r="D1189" s="1971"/>
      <c r="E1189" s="1874"/>
      <c r="F1189" s="1875"/>
      <c r="G1189" s="1875"/>
      <c r="H1189" s="1800"/>
      <c r="I1189" s="1800"/>
      <c r="J1189" s="1801"/>
    </row>
    <row r="1190" spans="1:10" ht="15.75" customHeight="1">
      <c r="A1190" s="1780"/>
      <c r="B1190" s="1739" t="s">
        <v>1004</v>
      </c>
      <c r="C1190" s="1877" t="s">
        <v>2067</v>
      </c>
      <c r="D1190" s="390"/>
      <c r="E1190" s="413"/>
      <c r="F1190" s="320"/>
      <c r="G1190" s="320"/>
      <c r="H1190" s="1802"/>
      <c r="I1190" s="1802"/>
      <c r="J1190" s="1803"/>
    </row>
    <row r="1191" spans="1:10" ht="15.75" customHeight="1">
      <c r="A1191" s="1780"/>
      <c r="B1191" s="1739"/>
      <c r="C1191" s="1878" t="s">
        <v>2103</v>
      </c>
      <c r="D1191" s="1781">
        <v>1</v>
      </c>
      <c r="E1191" s="413" t="s">
        <v>2069</v>
      </c>
      <c r="F1191" s="1747">
        <f>'Bahan &amp; Upah'!C$336</f>
        <v>96332.65</v>
      </c>
      <c r="G1191" s="361">
        <f>F1191*D1191</f>
        <v>96332.65</v>
      </c>
      <c r="H1191" s="1749">
        <v>1</v>
      </c>
      <c r="I1191" s="1749">
        <f>(G1191/G$1205)*H1191</f>
        <v>7.2170611637978263E-2</v>
      </c>
      <c r="J1191" s="1750"/>
    </row>
    <row r="1192" spans="1:10" ht="15.75" customHeight="1">
      <c r="A1192" s="1780"/>
      <c r="B1192" s="1739"/>
      <c r="C1192" s="1878" t="s">
        <v>2124</v>
      </c>
      <c r="D1192" s="1781">
        <v>0.25</v>
      </c>
      <c r="E1192" s="413" t="s">
        <v>2069</v>
      </c>
      <c r="F1192" s="1883">
        <f>'Bahan &amp; Upah'!C$337</f>
        <v>114133.55</v>
      </c>
      <c r="G1192" s="361">
        <f>F1192*D1192</f>
        <v>28533.387500000001</v>
      </c>
      <c r="H1192" s="1749">
        <v>1</v>
      </c>
      <c r="I1192" s="1749">
        <f>(G1192/G$1205)*H1192</f>
        <v>2.1376677875864971E-2</v>
      </c>
      <c r="J1192" s="1750"/>
    </row>
    <row r="1193" spans="1:10" ht="15.75" customHeight="1">
      <c r="A1193" s="1780"/>
      <c r="B1193" s="1739"/>
      <c r="C1193" s="1878" t="s">
        <v>2105</v>
      </c>
      <c r="D1193" s="1781">
        <v>2.5000000000000001E-2</v>
      </c>
      <c r="E1193" s="413" t="s">
        <v>2069</v>
      </c>
      <c r="F1193" s="1748">
        <f>'Bahan &amp; Upah'!C$338</f>
        <v>125485.75</v>
      </c>
      <c r="G1193" s="361">
        <f>F1193*D1193</f>
        <v>3137.1437500000002</v>
      </c>
      <c r="H1193" s="1749">
        <v>1</v>
      </c>
      <c r="I1193" s="1749">
        <f>(G1193/G$1205)*H1193</f>
        <v>2.3502891619171778E-3</v>
      </c>
      <c r="J1193" s="1750"/>
    </row>
    <row r="1194" spans="1:10" ht="15.75" customHeight="1">
      <c r="A1194" s="1780"/>
      <c r="B1194" s="1739"/>
      <c r="C1194" s="1878" t="s">
        <v>2107</v>
      </c>
      <c r="D1194" s="1781">
        <v>0.1</v>
      </c>
      <c r="E1194" s="413" t="s">
        <v>2069</v>
      </c>
      <c r="F1194" s="1883">
        <f>'Bahan &amp; Upah'!C$339</f>
        <v>102689.88</v>
      </c>
      <c r="G1194" s="1785">
        <f>F1194*D1194</f>
        <v>10268.988000000001</v>
      </c>
      <c r="H1194" s="1749">
        <v>1</v>
      </c>
      <c r="I1194" s="1752">
        <f>(G1194/G$1205)*H1194</f>
        <v>7.6933328924623087E-3</v>
      </c>
      <c r="J1194" s="1750"/>
    </row>
    <row r="1195" spans="1:10" ht="15.75" customHeight="1">
      <c r="A1195" s="1780"/>
      <c r="B1195" s="1739"/>
      <c r="C1195" s="1889" t="s">
        <v>2108</v>
      </c>
      <c r="D1195" s="1781"/>
      <c r="E1195" s="413"/>
      <c r="F1195" s="320"/>
      <c r="G1195" s="361">
        <f>SUM(G1191:G1194)</f>
        <v>138272.16925000001</v>
      </c>
      <c r="H1195" s="1749"/>
      <c r="I1195" s="1754">
        <f>SUM(I1191:I1194)</f>
        <v>0.10359091156822273</v>
      </c>
      <c r="J1195" s="1750"/>
    </row>
    <row r="1196" spans="1:10" ht="15.75" customHeight="1">
      <c r="A1196" s="1780"/>
      <c r="B1196" s="1739" t="s">
        <v>1015</v>
      </c>
      <c r="C1196" s="1877" t="s">
        <v>2075</v>
      </c>
      <c r="D1196" s="1781"/>
      <c r="E1196" s="413"/>
      <c r="F1196" s="320"/>
      <c r="G1196" s="320"/>
      <c r="H1196" s="1749"/>
      <c r="I1196" s="1749"/>
      <c r="J1196" s="1750"/>
    </row>
    <row r="1197" spans="1:10" ht="15.75" customHeight="1">
      <c r="A1197" s="1780"/>
      <c r="B1197" s="1784"/>
      <c r="C1197" s="1878" t="s">
        <v>2080</v>
      </c>
      <c r="D1197" s="1781">
        <v>348</v>
      </c>
      <c r="E1197" s="413" t="s">
        <v>100</v>
      </c>
      <c r="F1197" s="1883">
        <f>'Bahan &amp; Upah'!C$27</f>
        <v>1792.44</v>
      </c>
      <c r="G1197" s="332">
        <f>F1197*D1197</f>
        <v>623769.12</v>
      </c>
      <c r="H1197" s="1749">
        <v>0.91900000000000004</v>
      </c>
      <c r="I1197" s="1749">
        <f>(G1197/G$1205)*H1197</f>
        <v>0.42946350172521469</v>
      </c>
      <c r="J1197" s="1750"/>
    </row>
    <row r="1198" spans="1:10" ht="15.75" customHeight="1">
      <c r="A1198" s="1780"/>
      <c r="B1198" s="1784"/>
      <c r="C1198" s="1878" t="s">
        <v>2082</v>
      </c>
      <c r="D1198" s="1781">
        <f>790</f>
        <v>790</v>
      </c>
      <c r="E1198" s="413" t="s">
        <v>100</v>
      </c>
      <c r="F1198" s="1883">
        <f>'Bahan &amp; Upah'!C$12/1400</f>
        <v>304.68867142857141</v>
      </c>
      <c r="G1198" s="361">
        <f>F1198*D1198</f>
        <v>240704.05042857141</v>
      </c>
      <c r="H1198" s="1749">
        <v>1</v>
      </c>
      <c r="I1198" s="1749">
        <f>(G1198/G$1205)*H1198</f>
        <v>0.18033095262269608</v>
      </c>
      <c r="J1198" s="1750"/>
    </row>
    <row r="1199" spans="1:10" ht="15.75" customHeight="1">
      <c r="A1199" s="1780"/>
      <c r="B1199" s="1784"/>
      <c r="C1199" s="1878" t="s">
        <v>2513</v>
      </c>
      <c r="D1199" s="1781">
        <f>1009</f>
        <v>1009</v>
      </c>
      <c r="E1199" s="413" t="s">
        <v>100</v>
      </c>
      <c r="F1199" s="1883">
        <f>'Bahan &amp; Upah'!C$16/1800</f>
        <v>178.58064999999999</v>
      </c>
      <c r="G1199" s="361">
        <f>F1199*D1199</f>
        <v>180187.87584999998</v>
      </c>
      <c r="H1199" s="1749">
        <v>1</v>
      </c>
      <c r="I1199" s="1749">
        <f>(G1199/G$1205)*H1199</f>
        <v>0.13499337150844071</v>
      </c>
      <c r="J1199" s="1750"/>
    </row>
    <row r="1200" spans="1:10" ht="15.75" customHeight="1">
      <c r="A1200" s="1780"/>
      <c r="B1200" s="1784"/>
      <c r="C1200" s="1878" t="s">
        <v>2120</v>
      </c>
      <c r="D1200" s="1781">
        <v>202</v>
      </c>
      <c r="E1200" s="413" t="s">
        <v>2450</v>
      </c>
      <c r="F1200" s="1883">
        <f>'Bahan &amp; Upah'!C$32</f>
        <v>546.59</v>
      </c>
      <c r="G1200" s="1794">
        <f>F1200*D1200</f>
        <v>110411.18000000001</v>
      </c>
      <c r="H1200" s="1749">
        <v>1</v>
      </c>
      <c r="I1200" s="1752">
        <f>(G1200/G$1205)*H1200</f>
        <v>8.2717981829326964E-2</v>
      </c>
      <c r="J1200" s="1750"/>
    </row>
    <row r="1201" spans="1:10" ht="15.75" customHeight="1">
      <c r="A1201" s="1780"/>
      <c r="B1201" s="1784"/>
      <c r="C1201" s="1878"/>
      <c r="D1201" s="1781"/>
      <c r="E1201" s="413"/>
      <c r="F1201" s="1883"/>
      <c r="G1201" s="361">
        <f>SUM(G1197:G1200)</f>
        <v>1155072.2262785714</v>
      </c>
      <c r="H1201" s="1749"/>
      <c r="I1201" s="1992">
        <f>SUM(I1197:I1200)</f>
        <v>0.8275058076856785</v>
      </c>
      <c r="J1201" s="1750"/>
    </row>
    <row r="1202" spans="1:10" ht="15.75" customHeight="1">
      <c r="A1202" s="1780"/>
      <c r="B1202" s="1739" t="s">
        <v>1048</v>
      </c>
      <c r="C1202" s="1877" t="s">
        <v>2246</v>
      </c>
      <c r="D1202" s="1756"/>
      <c r="E1202" s="333"/>
      <c r="F1202" s="1883"/>
      <c r="G1202" s="332"/>
      <c r="H1202" s="1749"/>
      <c r="I1202" s="1749"/>
      <c r="J1202" s="1750"/>
    </row>
    <row r="1203" spans="1:10" ht="15.75" customHeight="1">
      <c r="A1203" s="1780"/>
      <c r="B1203" s="1909"/>
      <c r="C1203" s="1878" t="s">
        <v>2514</v>
      </c>
      <c r="D1203" s="1756">
        <v>0.14749999999999999</v>
      </c>
      <c r="E1203" s="333" t="s">
        <v>2281</v>
      </c>
      <c r="F1203" s="1883">
        <f>'Bahan &amp; Upah'!C$196</f>
        <v>280990.84000000003</v>
      </c>
      <c r="G1203" s="1794">
        <f>F1203*D1203</f>
        <v>41446.1489</v>
      </c>
      <c r="H1203" s="1749">
        <v>1</v>
      </c>
      <c r="I1203" s="1752">
        <f>(G1203/G$1205)*H1203</f>
        <v>3.1050676132668625E-2</v>
      </c>
      <c r="J1203" s="1750"/>
    </row>
    <row r="1204" spans="1:10" ht="15.75" customHeight="1">
      <c r="A1204" s="1780"/>
      <c r="B1204" s="1784"/>
      <c r="C1204" s="1988"/>
      <c r="D1204" s="1989"/>
      <c r="E1204" s="1882"/>
      <c r="F1204" s="1883"/>
      <c r="G1204" s="361">
        <f>SUM(G1203)</f>
        <v>41446.1489</v>
      </c>
      <c r="H1204" s="1749"/>
      <c r="I1204" s="1754">
        <f>SUM(I1203)</f>
        <v>3.1050676132668625E-2</v>
      </c>
      <c r="J1204" s="1750"/>
    </row>
    <row r="1205" spans="1:10" ht="15.75" customHeight="1">
      <c r="A1205" s="1780"/>
      <c r="B1205" s="1784"/>
      <c r="C1205" s="1804" t="s">
        <v>2298</v>
      </c>
      <c r="D1205" s="1763"/>
      <c r="E1205" s="1764"/>
      <c r="F1205" s="1765"/>
      <c r="G1205" s="1765">
        <f>G1195+G1201+G1204</f>
        <v>1334790.5444285714</v>
      </c>
      <c r="H1205" s="1749"/>
      <c r="I1205" s="1797">
        <f>I1195+I1201+I1204</f>
        <v>0.9621473953865699</v>
      </c>
      <c r="J1205" s="1750"/>
    </row>
    <row r="1206" spans="1:10" ht="15.75" customHeight="1">
      <c r="A1206" s="1780"/>
      <c r="B1206" s="1784"/>
      <c r="C1206" s="1762" t="s">
        <v>2094</v>
      </c>
      <c r="D1206" s="1767">
        <f>M$4</f>
        <v>0.15</v>
      </c>
      <c r="E1206" s="1768"/>
      <c r="F1206" s="1765"/>
      <c r="G1206" s="1765">
        <f>G1205*D1206</f>
        <v>200218.58166428571</v>
      </c>
      <c r="H1206" s="1749"/>
      <c r="I1206" s="1749"/>
      <c r="J1206" s="1750"/>
    </row>
    <row r="1207" spans="1:10" ht="15.75" customHeight="1">
      <c r="A1207" s="1786"/>
      <c r="B1207" s="1890"/>
      <c r="C1207" s="1788" t="s">
        <v>2111</v>
      </c>
      <c r="D1207" s="1772"/>
      <c r="E1207" s="1773"/>
      <c r="F1207" s="1774"/>
      <c r="G1207" s="1775">
        <f>ROUNDUP((G1205+G1206),2)</f>
        <v>1535009.1300000001</v>
      </c>
      <c r="H1207" s="1776"/>
      <c r="I1207" s="1776"/>
      <c r="J1207" s="1789"/>
    </row>
    <row r="1208" spans="1:10" ht="15.75" customHeight="1">
      <c r="A1208" s="1733"/>
      <c r="B1208" s="1733"/>
      <c r="C1208" s="1733"/>
      <c r="D1208" s="1733"/>
      <c r="E1208" s="1733"/>
      <c r="F1208" s="1733"/>
      <c r="G1208" s="1733"/>
      <c r="H1208" s="1733"/>
      <c r="I1208" s="1733"/>
      <c r="J1208" s="1733"/>
    </row>
    <row r="1209" spans="1:10" ht="15.75" customHeight="1">
      <c r="A1209" s="1778">
        <f>A1189+1</f>
        <v>53</v>
      </c>
      <c r="B1209" s="1779" t="s">
        <v>2515</v>
      </c>
      <c r="C1209" s="1872" t="s">
        <v>2516</v>
      </c>
      <c r="D1209" s="1971"/>
      <c r="E1209" s="1874"/>
      <c r="F1209" s="1875"/>
      <c r="G1209" s="1875"/>
      <c r="H1209" s="1800"/>
      <c r="I1209" s="1800"/>
      <c r="J1209" s="1801"/>
    </row>
    <row r="1210" spans="1:10" ht="15.75" customHeight="1">
      <c r="A1210" s="1780"/>
      <c r="B1210" s="1739" t="s">
        <v>1004</v>
      </c>
      <c r="C1210" s="1877" t="s">
        <v>2067</v>
      </c>
      <c r="D1210" s="390"/>
      <c r="E1210" s="413"/>
      <c r="F1210" s="320"/>
      <c r="G1210" s="320"/>
      <c r="H1210" s="1802"/>
      <c r="I1210" s="1802"/>
      <c r="J1210" s="1803"/>
    </row>
    <row r="1211" spans="1:10" ht="15.75" customHeight="1">
      <c r="A1211" s="1780"/>
      <c r="B1211" s="1739"/>
      <c r="C1211" s="1878" t="s">
        <v>2103</v>
      </c>
      <c r="D1211" s="1781">
        <v>1</v>
      </c>
      <c r="E1211" s="413" t="s">
        <v>2069</v>
      </c>
      <c r="F1211" s="1747">
        <f>'Bahan &amp; Upah'!C$336</f>
        <v>96332.65</v>
      </c>
      <c r="G1211" s="361">
        <f>F1211*D1211</f>
        <v>96332.65</v>
      </c>
      <c r="H1211" s="1749">
        <v>1</v>
      </c>
      <c r="I1211" s="1749">
        <f>(G1211/G$1225)*H1211</f>
        <v>6.7717436785229651E-2</v>
      </c>
      <c r="J1211" s="1750"/>
    </row>
    <row r="1212" spans="1:10" ht="15.75" customHeight="1">
      <c r="A1212" s="1780"/>
      <c r="B1212" s="1739"/>
      <c r="C1212" s="1878" t="s">
        <v>2124</v>
      </c>
      <c r="D1212" s="1781">
        <v>0.25</v>
      </c>
      <c r="E1212" s="413" t="s">
        <v>2069</v>
      </c>
      <c r="F1212" s="1883">
        <f>'Bahan &amp; Upah'!C$337</f>
        <v>114133.55</v>
      </c>
      <c r="G1212" s="361">
        <f>F1212*D1212</f>
        <v>28533.387500000001</v>
      </c>
      <c r="H1212" s="1749">
        <v>1</v>
      </c>
      <c r="I1212" s="1749">
        <f>(G1212/G$1225)*H1212</f>
        <v>2.0057663360238839E-2</v>
      </c>
      <c r="J1212" s="1750"/>
    </row>
    <row r="1213" spans="1:10" ht="15.75" customHeight="1">
      <c r="A1213" s="1780"/>
      <c r="B1213" s="1739"/>
      <c r="C1213" s="1878" t="s">
        <v>2105</v>
      </c>
      <c r="D1213" s="1781">
        <v>2.5000000000000001E-2</v>
      </c>
      <c r="E1213" s="413" t="s">
        <v>2069</v>
      </c>
      <c r="F1213" s="1883">
        <f>'Bahan &amp; Upah'!C$338</f>
        <v>125485.75</v>
      </c>
      <c r="G1213" s="361">
        <f>F1213*D1213</f>
        <v>3137.1437500000002</v>
      </c>
      <c r="H1213" s="1749">
        <v>1</v>
      </c>
      <c r="I1213" s="1749">
        <f>(G1213/G$1225)*H1213</f>
        <v>2.2052682405892844E-3</v>
      </c>
      <c r="J1213" s="1750"/>
    </row>
    <row r="1214" spans="1:10" ht="15.75" customHeight="1">
      <c r="A1214" s="1780"/>
      <c r="B1214" s="1739"/>
      <c r="C1214" s="1878" t="s">
        <v>2107</v>
      </c>
      <c r="D1214" s="1781">
        <v>0.1</v>
      </c>
      <c r="E1214" s="413" t="s">
        <v>2069</v>
      </c>
      <c r="F1214" s="1883">
        <f>'Bahan &amp; Upah'!C$339</f>
        <v>102689.88</v>
      </c>
      <c r="G1214" s="1785">
        <f>F1214*D1214</f>
        <v>10268.988000000001</v>
      </c>
      <c r="H1214" s="1749">
        <v>1</v>
      </c>
      <c r="I1214" s="1752">
        <f>(G1214/G$1225)*H1214</f>
        <v>7.2186278041586312E-3</v>
      </c>
      <c r="J1214" s="1750"/>
    </row>
    <row r="1215" spans="1:10" ht="15.75" customHeight="1">
      <c r="A1215" s="1780"/>
      <c r="B1215" s="1739"/>
      <c r="C1215" s="1889" t="s">
        <v>2108</v>
      </c>
      <c r="D1215" s="1781"/>
      <c r="E1215" s="413"/>
      <c r="F1215" s="1883"/>
      <c r="G1215" s="361">
        <f>SUM(G1211:G1214)</f>
        <v>138272.16925000001</v>
      </c>
      <c r="H1215" s="1749"/>
      <c r="I1215" s="1754">
        <f>SUM(I1211:I1214)</f>
        <v>9.7198996190216408E-2</v>
      </c>
      <c r="J1215" s="1750"/>
    </row>
    <row r="1216" spans="1:10" ht="15.75" customHeight="1">
      <c r="A1216" s="1780"/>
      <c r="B1216" s="1739" t="s">
        <v>1015</v>
      </c>
      <c r="C1216" s="1877" t="s">
        <v>2075</v>
      </c>
      <c r="D1216" s="1781"/>
      <c r="E1216" s="413"/>
      <c r="F1216" s="1883"/>
      <c r="G1216" s="320"/>
      <c r="H1216" s="1749"/>
      <c r="I1216" s="1749"/>
      <c r="J1216" s="1750"/>
    </row>
    <row r="1217" spans="1:10" ht="15.75" customHeight="1">
      <c r="A1217" s="1780"/>
      <c r="B1217" s="1784"/>
      <c r="C1217" s="1878" t="s">
        <v>2080</v>
      </c>
      <c r="D1217" s="1781">
        <v>407</v>
      </c>
      <c r="E1217" s="413" t="s">
        <v>100</v>
      </c>
      <c r="F1217" s="1883">
        <f>'Bahan &amp; Upah'!C$27</f>
        <v>1792.44</v>
      </c>
      <c r="G1217" s="332">
        <f>F1217*D1217</f>
        <v>729523.08000000007</v>
      </c>
      <c r="H1217" s="1749">
        <v>0.91900000000000004</v>
      </c>
      <c r="I1217" s="1749">
        <f>(G1217/G$1225)*H1217</f>
        <v>0.47128275798445796</v>
      </c>
      <c r="J1217" s="1750"/>
    </row>
    <row r="1218" spans="1:10" ht="15.75" customHeight="1">
      <c r="A1218" s="1780"/>
      <c r="B1218" s="1784"/>
      <c r="C1218" s="1878" t="s">
        <v>2082</v>
      </c>
      <c r="D1218" s="1781">
        <f>731</f>
        <v>731</v>
      </c>
      <c r="E1218" s="413" t="s">
        <v>100</v>
      </c>
      <c r="F1218" s="1883">
        <f>'Bahan &amp; Upah'!C$12/1400</f>
        <v>304.68867142857141</v>
      </c>
      <c r="G1218" s="361">
        <f>F1218*D1218</f>
        <v>222727.41881428569</v>
      </c>
      <c r="H1218" s="1749">
        <v>1</v>
      </c>
      <c r="I1218" s="1749">
        <f>(G1218/G$1225)*H1218</f>
        <v>0.15656716496321613</v>
      </c>
      <c r="J1218" s="1750"/>
    </row>
    <row r="1219" spans="1:10" ht="15.75" customHeight="1">
      <c r="A1219" s="1780"/>
      <c r="B1219" s="1784"/>
      <c r="C1219" s="1878" t="s">
        <v>2513</v>
      </c>
      <c r="D1219" s="1781">
        <f>1009</f>
        <v>1009</v>
      </c>
      <c r="E1219" s="413" t="s">
        <v>100</v>
      </c>
      <c r="F1219" s="1883">
        <f>'Bahan &amp; Upah'!C$16/1800</f>
        <v>178.58064999999999</v>
      </c>
      <c r="G1219" s="361">
        <f>F1219*D1219</f>
        <v>180187.87584999998</v>
      </c>
      <c r="H1219" s="1749">
        <v>1</v>
      </c>
      <c r="I1219" s="1749">
        <f>(G1219/G$1225)*H1219</f>
        <v>0.12666381639389326</v>
      </c>
      <c r="J1219" s="1750"/>
    </row>
    <row r="1220" spans="1:10" ht="15.75" customHeight="1">
      <c r="A1220" s="1780"/>
      <c r="B1220" s="1784"/>
      <c r="C1220" s="1878" t="s">
        <v>2120</v>
      </c>
      <c r="D1220" s="1781">
        <v>202</v>
      </c>
      <c r="E1220" s="413" t="s">
        <v>2450</v>
      </c>
      <c r="F1220" s="1883">
        <f>'Bahan &amp; Upah'!C$32</f>
        <v>546.59</v>
      </c>
      <c r="G1220" s="1794">
        <f>F1220*D1220</f>
        <v>110411.18000000001</v>
      </c>
      <c r="H1220" s="1749">
        <v>1</v>
      </c>
      <c r="I1220" s="1752">
        <f>(G1220/G$1225)*H1220</f>
        <v>7.7613997975064658E-2</v>
      </c>
      <c r="J1220" s="1750"/>
    </row>
    <row r="1221" spans="1:10" ht="15.75" customHeight="1">
      <c r="A1221" s="1780"/>
      <c r="B1221" s="1784"/>
      <c r="C1221" s="1878"/>
      <c r="D1221" s="1781"/>
      <c r="E1221" s="413"/>
      <c r="F1221" s="1883"/>
      <c r="G1221" s="361">
        <f>SUM(G1217:G1220)</f>
        <v>1242849.5546642856</v>
      </c>
      <c r="H1221" s="1749"/>
      <c r="I1221" s="1754">
        <f>SUM(I1217:I1220)</f>
        <v>0.83212773731663192</v>
      </c>
      <c r="J1221" s="1750"/>
    </row>
    <row r="1222" spans="1:10" ht="15.75" customHeight="1">
      <c r="A1222" s="1780"/>
      <c r="B1222" s="1739" t="s">
        <v>1048</v>
      </c>
      <c r="C1222" s="1877" t="s">
        <v>2246</v>
      </c>
      <c r="D1222" s="1756"/>
      <c r="E1222" s="333"/>
      <c r="F1222" s="328"/>
      <c r="G1222" s="332"/>
      <c r="H1222" s="1749"/>
      <c r="I1222" s="1749"/>
      <c r="J1222" s="1750"/>
    </row>
    <row r="1223" spans="1:10" ht="15.75" customHeight="1">
      <c r="A1223" s="1780"/>
      <c r="B1223" s="1909"/>
      <c r="C1223" s="1878" t="s">
        <v>2514</v>
      </c>
      <c r="D1223" s="1756">
        <v>0.14749999999999999</v>
      </c>
      <c r="E1223" s="333" t="s">
        <v>2281</v>
      </c>
      <c r="F1223" s="1993">
        <f>'Bahan &amp; Upah'!C$196</f>
        <v>280990.84000000003</v>
      </c>
      <c r="G1223" s="1794">
        <f>F1223*D1223</f>
        <v>41446.1489</v>
      </c>
      <c r="H1223" s="1749">
        <v>1</v>
      </c>
      <c r="I1223" s="1752">
        <f>(G1223/G$1225)*H1223</f>
        <v>2.9134742666447621E-2</v>
      </c>
      <c r="J1223" s="1750"/>
    </row>
    <row r="1224" spans="1:10" ht="15.75" customHeight="1">
      <c r="A1224" s="1780"/>
      <c r="B1224" s="1784"/>
      <c r="C1224" s="1988"/>
      <c r="D1224" s="1989"/>
      <c r="E1224" s="1882"/>
      <c r="F1224" s="1883"/>
      <c r="G1224" s="361">
        <f>SUM(G1223)</f>
        <v>41446.1489</v>
      </c>
      <c r="H1224" s="1749"/>
      <c r="I1224" s="1754">
        <f>SUM(I1223)</f>
        <v>2.9134742666447621E-2</v>
      </c>
      <c r="J1224" s="1990"/>
    </row>
    <row r="1225" spans="1:10" ht="15.75" customHeight="1">
      <c r="A1225" s="1780"/>
      <c r="B1225" s="1784"/>
      <c r="C1225" s="1804" t="s">
        <v>2298</v>
      </c>
      <c r="D1225" s="1763"/>
      <c r="E1225" s="1764"/>
      <c r="F1225" s="1765"/>
      <c r="G1225" s="1765">
        <f>G1215+G1221+G1224</f>
        <v>1422567.8728142856</v>
      </c>
      <c r="H1225" s="1749"/>
      <c r="I1225" s="1797">
        <f>I1215+I1221+I1224</f>
        <v>0.95846147617329602</v>
      </c>
      <c r="J1225" s="1750"/>
    </row>
    <row r="1226" spans="1:10" ht="15.75" customHeight="1">
      <c r="A1226" s="1780"/>
      <c r="B1226" s="1784"/>
      <c r="C1226" s="1762" t="s">
        <v>2094</v>
      </c>
      <c r="D1226" s="1767">
        <f>M$4</f>
        <v>0.15</v>
      </c>
      <c r="E1226" s="1768"/>
      <c r="F1226" s="1765"/>
      <c r="G1226" s="1765">
        <f>G1225*D1226</f>
        <v>213385.18092214284</v>
      </c>
      <c r="H1226" s="1749"/>
      <c r="I1226" s="1749"/>
      <c r="J1226" s="1750"/>
    </row>
    <row r="1227" spans="1:10" ht="15.75" customHeight="1">
      <c r="A1227" s="1786"/>
      <c r="B1227" s="1890"/>
      <c r="C1227" s="1788" t="s">
        <v>2111</v>
      </c>
      <c r="D1227" s="1772"/>
      <c r="E1227" s="1773"/>
      <c r="F1227" s="1774"/>
      <c r="G1227" s="1775">
        <f>ROUNDUP((G1225+G1226),2)</f>
        <v>1635953.06</v>
      </c>
      <c r="H1227" s="1776"/>
      <c r="I1227" s="1776"/>
      <c r="J1227" s="1789"/>
    </row>
    <row r="1228" spans="1:10" ht="15.75" customHeight="1">
      <c r="A1228" s="1733"/>
      <c r="B1228" s="1733"/>
      <c r="C1228" s="1733"/>
      <c r="D1228" s="1733"/>
      <c r="E1228" s="1733"/>
      <c r="F1228" s="1733"/>
      <c r="G1228" s="1733"/>
      <c r="H1228" s="1733"/>
      <c r="I1228" s="1733"/>
      <c r="J1228" s="1733"/>
    </row>
    <row r="1229" spans="1:10" ht="15.75" customHeight="1">
      <c r="A1229" s="1778">
        <f>A1209+1</f>
        <v>54</v>
      </c>
      <c r="B1229" s="1779" t="s">
        <v>2517</v>
      </c>
      <c r="C1229" s="1872" t="s">
        <v>2518</v>
      </c>
      <c r="D1229" s="1971"/>
      <c r="E1229" s="1874"/>
      <c r="F1229" s="1875"/>
      <c r="G1229" s="1875"/>
      <c r="H1229" s="1800"/>
      <c r="I1229" s="1800"/>
      <c r="J1229" s="1801"/>
    </row>
    <row r="1230" spans="1:10" ht="15.75" customHeight="1">
      <c r="A1230" s="1780"/>
      <c r="B1230" s="1739" t="s">
        <v>1004</v>
      </c>
      <c r="C1230" s="1877" t="s">
        <v>2067</v>
      </c>
      <c r="D1230" s="390"/>
      <c r="E1230" s="413"/>
      <c r="F1230" s="320"/>
      <c r="G1230" s="320"/>
      <c r="H1230" s="1802"/>
      <c r="I1230" s="1802"/>
      <c r="J1230" s="1803"/>
    </row>
    <row r="1231" spans="1:10" ht="15.75" customHeight="1">
      <c r="A1231" s="1780"/>
      <c r="B1231" s="1739"/>
      <c r="C1231" s="1878" t="s">
        <v>2103</v>
      </c>
      <c r="D1231" s="1781">
        <v>0.4</v>
      </c>
      <c r="E1231" s="413" t="s">
        <v>2069</v>
      </c>
      <c r="F1231" s="1747">
        <f>'Bahan &amp; Upah'!C$336</f>
        <v>96332.65</v>
      </c>
      <c r="G1231" s="361">
        <f>F1231*D1231</f>
        <v>38533.06</v>
      </c>
      <c r="H1231" s="1749">
        <v>1</v>
      </c>
      <c r="I1231" s="1749">
        <f>(G1231/G$1241)*H1231</f>
        <v>2.3224117785074695E-2</v>
      </c>
      <c r="J1231" s="1750"/>
    </row>
    <row r="1232" spans="1:10" ht="15.75" customHeight="1">
      <c r="A1232" s="1780"/>
      <c r="B1232" s="1739"/>
      <c r="C1232" s="1878" t="s">
        <v>2124</v>
      </c>
      <c r="D1232" s="1781">
        <v>0.1</v>
      </c>
      <c r="E1232" s="413" t="s">
        <v>2069</v>
      </c>
      <c r="F1232" s="1883">
        <f>'Bahan &amp; Upah'!C$337</f>
        <v>114133.55</v>
      </c>
      <c r="G1232" s="361">
        <f>F1232*D1232</f>
        <v>11413.355000000001</v>
      </c>
      <c r="H1232" s="1749">
        <v>1</v>
      </c>
      <c r="I1232" s="1749">
        <f>(G1232/G$1241)*H1232</f>
        <v>6.8789008929701209E-3</v>
      </c>
      <c r="J1232" s="1750"/>
    </row>
    <row r="1233" spans="1:10" ht="15.75" customHeight="1">
      <c r="A1233" s="1780"/>
      <c r="B1233" s="1739"/>
      <c r="C1233" s="1878" t="s">
        <v>2105</v>
      </c>
      <c r="D1233" s="1781">
        <v>0.01</v>
      </c>
      <c r="E1233" s="413" t="s">
        <v>2069</v>
      </c>
      <c r="F1233" s="1748">
        <f>'Bahan &amp; Upah'!C$338</f>
        <v>125485.75</v>
      </c>
      <c r="G1233" s="361">
        <f>F1233*D1233</f>
        <v>1254.8575000000001</v>
      </c>
      <c r="H1233" s="1749">
        <v>1</v>
      </c>
      <c r="I1233" s="1749">
        <f>(G1233/G$1241)*H1233</f>
        <v>7.5631051319268111E-4</v>
      </c>
      <c r="J1233" s="1750"/>
    </row>
    <row r="1234" spans="1:10" ht="15.75" customHeight="1">
      <c r="A1234" s="1780"/>
      <c r="B1234" s="1739"/>
      <c r="C1234" s="1878" t="s">
        <v>2107</v>
      </c>
      <c r="D1234" s="1781">
        <v>0.04</v>
      </c>
      <c r="E1234" s="413" t="s">
        <v>2069</v>
      </c>
      <c r="F1234" s="1883">
        <f>'Bahan &amp; Upah'!C$339</f>
        <v>102689.88</v>
      </c>
      <c r="G1234" s="1785">
        <f>F1234*D1234</f>
        <v>4107.5952000000007</v>
      </c>
      <c r="H1234" s="1749">
        <v>1</v>
      </c>
      <c r="I1234" s="1752">
        <f>(G1234/G$1241)*H1234</f>
        <v>2.4756734798172652E-3</v>
      </c>
      <c r="J1234" s="1974"/>
    </row>
    <row r="1235" spans="1:10" ht="15.75" customHeight="1">
      <c r="A1235" s="1780"/>
      <c r="B1235" s="1739"/>
      <c r="C1235" s="1889" t="s">
        <v>2108</v>
      </c>
      <c r="D1235" s="1781"/>
      <c r="E1235" s="413"/>
      <c r="F1235" s="320"/>
      <c r="G1235" s="361">
        <f>SUM(G1231:G1234)</f>
        <v>55308.867700000003</v>
      </c>
      <c r="H1235" s="1994"/>
      <c r="I1235" s="1994">
        <f>SUM(I1231:I1234)</f>
        <v>3.3335002671054763E-2</v>
      </c>
      <c r="J1235" s="1974"/>
    </row>
    <row r="1236" spans="1:10" ht="15.75" customHeight="1">
      <c r="A1236" s="1780"/>
      <c r="B1236" s="1739" t="s">
        <v>1015</v>
      </c>
      <c r="C1236" s="1877" t="s">
        <v>2075</v>
      </c>
      <c r="D1236" s="1781"/>
      <c r="E1236" s="413"/>
      <c r="F1236" s="320"/>
      <c r="G1236" s="320"/>
      <c r="H1236" s="1994"/>
      <c r="I1236" s="1994"/>
      <c r="J1236" s="1974"/>
    </row>
    <row r="1237" spans="1:10" ht="15.75" customHeight="1">
      <c r="A1237" s="1780"/>
      <c r="B1237" s="1739"/>
      <c r="C1237" s="1878" t="s">
        <v>2519</v>
      </c>
      <c r="D1237" s="1781">
        <v>1.02</v>
      </c>
      <c r="E1237" s="413" t="s">
        <v>103</v>
      </c>
      <c r="F1237" s="1883">
        <f>'Bahan &amp; Upah'!C33</f>
        <v>1572425.56</v>
      </c>
      <c r="G1237" s="1785">
        <f>F1237*D1237</f>
        <v>1603874.0712000001</v>
      </c>
      <c r="H1237" s="1749">
        <v>0.88590000000000002</v>
      </c>
      <c r="I1237" s="1752">
        <f>(G1237/G$1241)*H1237</f>
        <v>0.85636852113371253</v>
      </c>
      <c r="J1237" s="1974"/>
    </row>
    <row r="1238" spans="1:10" ht="15.75" customHeight="1">
      <c r="A1238" s="1780"/>
      <c r="B1238" s="1784"/>
      <c r="C1238" s="1878"/>
      <c r="D1238" s="1781"/>
      <c r="E1238" s="413"/>
      <c r="F1238" s="1883"/>
      <c r="G1238" s="361">
        <f>SUM(G1237:G1237)</f>
        <v>1603874.0712000001</v>
      </c>
      <c r="H1238" s="1994"/>
      <c r="I1238" s="1994">
        <f>SUM(I1237)</f>
        <v>0.85636852113371253</v>
      </c>
      <c r="J1238" s="1974"/>
    </row>
    <row r="1239" spans="1:10" ht="15.75" customHeight="1">
      <c r="A1239" s="1780"/>
      <c r="B1239" s="1739" t="s">
        <v>1048</v>
      </c>
      <c r="C1239" s="1877" t="s">
        <v>2246</v>
      </c>
      <c r="D1239" s="1756"/>
      <c r="E1239" s="333"/>
      <c r="F1239" s="1883"/>
      <c r="G1239" s="332"/>
      <c r="H1239" s="1994"/>
      <c r="I1239" s="1994"/>
      <c r="J1239" s="1974"/>
    </row>
    <row r="1240" spans="1:10" ht="15.75" customHeight="1">
      <c r="A1240" s="1780"/>
      <c r="B1240" s="1909"/>
      <c r="C1240" s="1878"/>
      <c r="D1240" s="1756"/>
      <c r="E1240" s="333"/>
      <c r="F1240" s="328"/>
      <c r="G1240" s="361">
        <v>0</v>
      </c>
      <c r="H1240" s="1994"/>
      <c r="I1240" s="1994">
        <v>0</v>
      </c>
      <c r="J1240" s="1974"/>
    </row>
    <row r="1241" spans="1:10" ht="15.75" customHeight="1">
      <c r="A1241" s="1780"/>
      <c r="B1241" s="1784"/>
      <c r="C1241" s="1804" t="s">
        <v>2242</v>
      </c>
      <c r="D1241" s="1763"/>
      <c r="E1241" s="1764"/>
      <c r="F1241" s="1765"/>
      <c r="G1241" s="1765">
        <f>G1235+G1238+G1240</f>
        <v>1659182.9389000002</v>
      </c>
      <c r="H1241" s="1994"/>
      <c r="I1241" s="1995">
        <f>I1235+I1238+I1240</f>
        <v>0.88970352380476725</v>
      </c>
      <c r="J1241" s="1974"/>
    </row>
    <row r="1242" spans="1:10" ht="15.75" customHeight="1">
      <c r="A1242" s="1780"/>
      <c r="B1242" s="1784"/>
      <c r="C1242" s="1762" t="s">
        <v>2094</v>
      </c>
      <c r="D1242" s="1767">
        <f>M$4</f>
        <v>0.15</v>
      </c>
      <c r="E1242" s="1768"/>
      <c r="F1242" s="1765"/>
      <c r="G1242" s="1765">
        <f>G1241*D1242</f>
        <v>248877.44083500002</v>
      </c>
      <c r="H1242" s="1994"/>
      <c r="I1242" s="1994"/>
      <c r="J1242" s="1974"/>
    </row>
    <row r="1243" spans="1:10" ht="15.75" customHeight="1">
      <c r="A1243" s="1786"/>
      <c r="B1243" s="1890"/>
      <c r="C1243" s="1788" t="s">
        <v>2111</v>
      </c>
      <c r="D1243" s="1772"/>
      <c r="E1243" s="1773"/>
      <c r="F1243" s="1774"/>
      <c r="G1243" s="1775">
        <f>ROUNDUP((G1241+G1242),2)</f>
        <v>1908060.3800000001</v>
      </c>
      <c r="H1243" s="1937"/>
      <c r="I1243" s="1937"/>
      <c r="J1243" s="1938"/>
    </row>
    <row r="1244" spans="1:10" ht="15.75" customHeight="1"/>
    <row r="1245" spans="1:10" ht="15.75" customHeight="1">
      <c r="A1245" s="1778">
        <f>A1229+1</f>
        <v>55</v>
      </c>
      <c r="B1245" s="1779" t="s">
        <v>2517</v>
      </c>
      <c r="C1245" s="1872" t="s">
        <v>2520</v>
      </c>
      <c r="D1245" s="1971"/>
      <c r="E1245" s="1874"/>
      <c r="F1245" s="1875"/>
      <c r="G1245" s="1875"/>
      <c r="H1245" s="1800"/>
      <c r="I1245" s="1800"/>
      <c r="J1245" s="1801"/>
    </row>
    <row r="1246" spans="1:10" ht="15.75" customHeight="1">
      <c r="A1246" s="1780"/>
      <c r="B1246" s="1739" t="s">
        <v>1004</v>
      </c>
      <c r="C1246" s="1877" t="s">
        <v>2067</v>
      </c>
      <c r="D1246" s="390"/>
      <c r="E1246" s="413"/>
      <c r="F1246" s="320"/>
      <c r="G1246" s="320"/>
      <c r="H1246" s="1802"/>
      <c r="I1246" s="1802"/>
      <c r="J1246" s="1803"/>
    </row>
    <row r="1247" spans="1:10" ht="15.75" customHeight="1">
      <c r="A1247" s="1780"/>
      <c r="B1247" s="1739"/>
      <c r="C1247" s="1878" t="s">
        <v>2103</v>
      </c>
      <c r="D1247" s="1781">
        <v>0.4</v>
      </c>
      <c r="E1247" s="413" t="s">
        <v>2069</v>
      </c>
      <c r="F1247" s="1747">
        <f>'Bahan &amp; Upah'!C$336</f>
        <v>96332.65</v>
      </c>
      <c r="G1247" s="361">
        <f>F1247*D1247</f>
        <v>38533.06</v>
      </c>
      <c r="H1247" s="1749">
        <v>1</v>
      </c>
      <c r="I1247" s="1749">
        <f>(G1247/G$1257)*H1247</f>
        <v>2.6406701856906124E-2</v>
      </c>
      <c r="J1247" s="1750"/>
    </row>
    <row r="1248" spans="1:10" ht="15.75" customHeight="1">
      <c r="A1248" s="1780"/>
      <c r="B1248" s="1739"/>
      <c r="C1248" s="1878" t="s">
        <v>2124</v>
      </c>
      <c r="D1248" s="1781">
        <v>0.1</v>
      </c>
      <c r="E1248" s="413" t="s">
        <v>2069</v>
      </c>
      <c r="F1248" s="1883">
        <f>'Bahan &amp; Upah'!C$337</f>
        <v>114133.55</v>
      </c>
      <c r="G1248" s="361">
        <f>F1248*D1248</f>
        <v>11413.355000000001</v>
      </c>
      <c r="H1248" s="1749">
        <v>1</v>
      </c>
      <c r="I1248" s="1749">
        <f>(G1248/G$1257)*H1248</f>
        <v>7.8215709489988291E-3</v>
      </c>
      <c r="J1248" s="1750"/>
    </row>
    <row r="1249" spans="1:10" ht="15.75" customHeight="1">
      <c r="A1249" s="1780"/>
      <c r="B1249" s="1739"/>
      <c r="C1249" s="1878" t="s">
        <v>2105</v>
      </c>
      <c r="D1249" s="1781">
        <v>0.01</v>
      </c>
      <c r="E1249" s="413" t="s">
        <v>2069</v>
      </c>
      <c r="F1249" s="1748">
        <f>'Bahan &amp; Upah'!C$338</f>
        <v>125485.75</v>
      </c>
      <c r="G1249" s="361">
        <f>F1249*D1249</f>
        <v>1254.8575000000001</v>
      </c>
      <c r="H1249" s="1749">
        <v>1</v>
      </c>
      <c r="I1249" s="1749">
        <f>(G1249/G$1257)*H1249</f>
        <v>8.5995370924091101E-4</v>
      </c>
      <c r="J1249" s="1750"/>
    </row>
    <row r="1250" spans="1:10" ht="15.75" customHeight="1">
      <c r="A1250" s="1780"/>
      <c r="B1250" s="1739"/>
      <c r="C1250" s="1878" t="s">
        <v>2107</v>
      </c>
      <c r="D1250" s="1781">
        <v>0.04</v>
      </c>
      <c r="E1250" s="413" t="s">
        <v>2069</v>
      </c>
      <c r="F1250" s="1883">
        <f>'Bahan &amp; Upah'!C$339</f>
        <v>102689.88</v>
      </c>
      <c r="G1250" s="1785">
        <f>F1250*D1250</f>
        <v>4107.5952000000007</v>
      </c>
      <c r="H1250" s="1749">
        <v>1</v>
      </c>
      <c r="I1250" s="1752">
        <f>(G1250/G$1257)*H1250</f>
        <v>2.8149345469905248E-3</v>
      </c>
      <c r="J1250" s="1974"/>
    </row>
    <row r="1251" spans="1:10" ht="15.75" customHeight="1">
      <c r="A1251" s="1780"/>
      <c r="B1251" s="1739"/>
      <c r="C1251" s="1889" t="s">
        <v>2108</v>
      </c>
      <c r="D1251" s="1781"/>
      <c r="E1251" s="413"/>
      <c r="F1251" s="320"/>
      <c r="G1251" s="361">
        <f>SUM(G1247:G1250)</f>
        <v>55308.867700000003</v>
      </c>
      <c r="H1251" s="1994"/>
      <c r="I1251" s="1994">
        <f>SUM(I1247:I1250)</f>
        <v>3.7903161062136391E-2</v>
      </c>
      <c r="J1251" s="1974"/>
    </row>
    <row r="1252" spans="1:10" ht="15.75" customHeight="1">
      <c r="A1252" s="1780"/>
      <c r="B1252" s="1739" t="s">
        <v>1015</v>
      </c>
      <c r="C1252" s="1877" t="s">
        <v>2075</v>
      </c>
      <c r="D1252" s="1781"/>
      <c r="E1252" s="413"/>
      <c r="F1252" s="320"/>
      <c r="G1252" s="320"/>
      <c r="H1252" s="1994"/>
      <c r="I1252" s="1994"/>
      <c r="J1252" s="1974"/>
    </row>
    <row r="1253" spans="1:10" ht="15.75" customHeight="1">
      <c r="A1253" s="1780"/>
      <c r="B1253" s="1739"/>
      <c r="C1253" s="1878" t="s">
        <v>2521</v>
      </c>
      <c r="D1253" s="1781">
        <v>1.02</v>
      </c>
      <c r="E1253" s="413" t="s">
        <v>103</v>
      </c>
      <c r="F1253" s="1883">
        <f>'Bahan &amp; Upah'!C34</f>
        <v>1376378.73</v>
      </c>
      <c r="G1253" s="1785">
        <f>F1253*D1253</f>
        <v>1403906.3045999999</v>
      </c>
      <c r="H1253" s="1749">
        <v>0.88590000000000002</v>
      </c>
      <c r="I1253" s="1752">
        <f>(G1253/G$1257)*H1253</f>
        <v>0.85232158961505333</v>
      </c>
      <c r="J1253" s="1974"/>
    </row>
    <row r="1254" spans="1:10" ht="15.75" customHeight="1">
      <c r="A1254" s="1780"/>
      <c r="B1254" s="1784"/>
      <c r="C1254" s="1878"/>
      <c r="D1254" s="1781"/>
      <c r="E1254" s="413"/>
      <c r="F1254" s="1883"/>
      <c r="G1254" s="361">
        <f>SUM(G1253:G1253)</f>
        <v>1403906.3045999999</v>
      </c>
      <c r="H1254" s="1994"/>
      <c r="I1254" s="1994">
        <f>SUM(I1253)</f>
        <v>0.85232158961505333</v>
      </c>
      <c r="J1254" s="1974"/>
    </row>
    <row r="1255" spans="1:10" ht="15.75" customHeight="1">
      <c r="A1255" s="1780"/>
      <c r="B1255" s="1739" t="s">
        <v>1048</v>
      </c>
      <c r="C1255" s="1877" t="s">
        <v>2246</v>
      </c>
      <c r="D1255" s="1756"/>
      <c r="E1255" s="333"/>
      <c r="F1255" s="1883"/>
      <c r="G1255" s="332"/>
      <c r="H1255" s="1994"/>
      <c r="I1255" s="1994"/>
      <c r="J1255" s="1974"/>
    </row>
    <row r="1256" spans="1:10" ht="15.75" customHeight="1">
      <c r="A1256" s="1780"/>
      <c r="B1256" s="1909"/>
      <c r="C1256" s="1878"/>
      <c r="D1256" s="1756"/>
      <c r="E1256" s="333"/>
      <c r="F1256" s="328"/>
      <c r="G1256" s="361">
        <v>0</v>
      </c>
      <c r="H1256" s="1994"/>
      <c r="I1256" s="1994">
        <v>0</v>
      </c>
      <c r="J1256" s="1974"/>
    </row>
    <row r="1257" spans="1:10" ht="15.75" customHeight="1">
      <c r="A1257" s="1780"/>
      <c r="B1257" s="1784"/>
      <c r="C1257" s="1804" t="s">
        <v>2242</v>
      </c>
      <c r="D1257" s="1763"/>
      <c r="E1257" s="1764"/>
      <c r="F1257" s="1765"/>
      <c r="G1257" s="1765">
        <f>G1251+G1254+G1256</f>
        <v>1459215.1723</v>
      </c>
      <c r="H1257" s="1994"/>
      <c r="I1257" s="1995">
        <f>I1251+I1254+I1256</f>
        <v>0.89022475067718976</v>
      </c>
      <c r="J1257" s="1974"/>
    </row>
    <row r="1258" spans="1:10" ht="15.75" customHeight="1">
      <c r="A1258" s="1780"/>
      <c r="B1258" s="1784"/>
      <c r="C1258" s="1762" t="s">
        <v>2094</v>
      </c>
      <c r="D1258" s="1767">
        <f>M$4</f>
        <v>0.15</v>
      </c>
      <c r="E1258" s="1768"/>
      <c r="F1258" s="1765"/>
      <c r="G1258" s="1765">
        <f>G1257*D1258</f>
        <v>218882.275845</v>
      </c>
      <c r="H1258" s="1994"/>
      <c r="I1258" s="1994"/>
      <c r="J1258" s="1974"/>
    </row>
    <row r="1259" spans="1:10" ht="15.75" customHeight="1">
      <c r="A1259" s="1786"/>
      <c r="B1259" s="1890"/>
      <c r="C1259" s="1788" t="s">
        <v>2111</v>
      </c>
      <c r="D1259" s="1772"/>
      <c r="E1259" s="1773"/>
      <c r="F1259" s="1774"/>
      <c r="G1259" s="1775">
        <f>ROUNDUP((G1257+G1258),2)</f>
        <v>1678097.45</v>
      </c>
      <c r="H1259" s="1937"/>
      <c r="I1259" s="1937"/>
      <c r="J1259" s="1938"/>
    </row>
    <row r="1260" spans="1:10" ht="15.75" customHeight="1"/>
    <row r="1261" spans="1:10" ht="15.75" customHeight="1">
      <c r="A1261" s="1778">
        <f>A1245+1</f>
        <v>56</v>
      </c>
      <c r="B1261" s="1779" t="s">
        <v>2522</v>
      </c>
      <c r="C1261" s="1872" t="s">
        <v>2523</v>
      </c>
      <c r="D1261" s="1971"/>
      <c r="E1261" s="1874"/>
      <c r="F1261" s="1875"/>
      <c r="G1261" s="1875"/>
      <c r="H1261" s="1800"/>
      <c r="I1261" s="1800"/>
      <c r="J1261" s="1801"/>
    </row>
    <row r="1262" spans="1:10" ht="15.75" customHeight="1">
      <c r="A1262" s="1780"/>
      <c r="B1262" s="1739" t="s">
        <v>1004</v>
      </c>
      <c r="C1262" s="1877" t="s">
        <v>2067</v>
      </c>
      <c r="D1262" s="390"/>
      <c r="E1262" s="413"/>
      <c r="F1262" s="320"/>
      <c r="G1262" s="320"/>
      <c r="H1262" s="1802"/>
      <c r="I1262" s="1802"/>
      <c r="J1262" s="1803"/>
    </row>
    <row r="1263" spans="1:10" ht="15.75" customHeight="1">
      <c r="A1263" s="1780"/>
      <c r="B1263" s="1739"/>
      <c r="C1263" s="1878" t="s">
        <v>2103</v>
      </c>
      <c r="D1263" s="1781">
        <v>0.12</v>
      </c>
      <c r="E1263" s="413" t="s">
        <v>2069</v>
      </c>
      <c r="F1263" s="1747">
        <f>'Bahan &amp; Upah'!C$336</f>
        <v>96332.65</v>
      </c>
      <c r="G1263" s="361">
        <f>F1263*D1263</f>
        <v>11559.918</v>
      </c>
      <c r="H1263" s="1749">
        <v>1</v>
      </c>
      <c r="I1263" s="1749">
        <f>(G1263/G$1271)*H1263</f>
        <v>2.6039902822415563E-2</v>
      </c>
      <c r="J1263" s="1750"/>
    </row>
    <row r="1264" spans="1:10" ht="15.75" customHeight="1">
      <c r="A1264" s="1780"/>
      <c r="B1264" s="1739"/>
      <c r="C1264" s="1878" t="s">
        <v>2107</v>
      </c>
      <c r="D1264" s="1781">
        <v>1.2E-2</v>
      </c>
      <c r="E1264" s="413" t="s">
        <v>2069</v>
      </c>
      <c r="F1264" s="1883">
        <f>'Bahan &amp; Upah'!C$339</f>
        <v>102689.88</v>
      </c>
      <c r="G1264" s="1785">
        <f>F1264*D1264</f>
        <v>1232.27856</v>
      </c>
      <c r="H1264" s="1749">
        <v>1</v>
      </c>
      <c r="I1264" s="1752">
        <f>(G1264/G$1271)*H1264</f>
        <v>2.7758340459288888E-3</v>
      </c>
      <c r="J1264" s="1974"/>
    </row>
    <row r="1265" spans="1:10" ht="15.75" customHeight="1">
      <c r="A1265" s="1780"/>
      <c r="B1265" s="1739"/>
      <c r="C1265" s="1889" t="s">
        <v>2108</v>
      </c>
      <c r="D1265" s="1781"/>
      <c r="E1265" s="413"/>
      <c r="F1265" s="320"/>
      <c r="G1265" s="361">
        <f>SUM(G1263:G1264)</f>
        <v>12792.19656</v>
      </c>
      <c r="H1265" s="1994"/>
      <c r="I1265" s="1994">
        <f>SUM(I1263:I1264)</f>
        <v>2.8815736868344453E-2</v>
      </c>
      <c r="J1265" s="1974"/>
    </row>
    <row r="1266" spans="1:10" ht="15.75" customHeight="1">
      <c r="A1266" s="1780"/>
      <c r="B1266" s="1739" t="s">
        <v>1015</v>
      </c>
      <c r="C1266" s="1877" t="s">
        <v>2075</v>
      </c>
      <c r="D1266" s="1781"/>
      <c r="E1266" s="413"/>
      <c r="F1266" s="320"/>
      <c r="G1266" s="320"/>
      <c r="H1266" s="1994"/>
      <c r="I1266" s="1994"/>
      <c r="J1266" s="1974"/>
    </row>
    <row r="1267" spans="1:10" ht="15.75" customHeight="1">
      <c r="A1267" s="1780"/>
      <c r="B1267" s="1784"/>
      <c r="C1267" s="1878"/>
      <c r="D1267" s="1781"/>
      <c r="E1267" s="413"/>
      <c r="F1267" s="1883"/>
      <c r="G1267" s="361">
        <v>0</v>
      </c>
      <c r="H1267" s="1994"/>
      <c r="I1267" s="1994"/>
      <c r="J1267" s="1974"/>
    </row>
    <row r="1268" spans="1:10" ht="15.75" customHeight="1">
      <c r="A1268" s="1780"/>
      <c r="B1268" s="1739" t="s">
        <v>1048</v>
      </c>
      <c r="C1268" s="1877" t="s">
        <v>2246</v>
      </c>
      <c r="D1268" s="1756"/>
      <c r="E1268" s="333"/>
      <c r="F1268" s="1883"/>
      <c r="G1268" s="332"/>
      <c r="H1268" s="1994"/>
      <c r="I1268" s="1994"/>
      <c r="J1268" s="1974"/>
    </row>
    <row r="1269" spans="1:10" ht="15.75" customHeight="1">
      <c r="A1269" s="1780"/>
      <c r="B1269" s="1739"/>
      <c r="C1269" s="1878" t="s">
        <v>2524</v>
      </c>
      <c r="D1269" s="1781">
        <v>0.12</v>
      </c>
      <c r="E1269" s="413" t="s">
        <v>2135</v>
      </c>
      <c r="F1269" s="1883">
        <f>'Bahan &amp; Upah'!C181</f>
        <v>3592822.69</v>
      </c>
      <c r="G1269" s="1785">
        <f>F1269*D1269</f>
        <v>431138.72279999999</v>
      </c>
      <c r="H1269" s="1749">
        <v>0.88590000000000002</v>
      </c>
      <c r="I1269" s="1752">
        <f>(G1269/G$1271)*H1269</f>
        <v>0.86037213870833362</v>
      </c>
      <c r="J1269" s="1974"/>
    </row>
    <row r="1270" spans="1:10" ht="15.75" customHeight="1">
      <c r="A1270" s="1780"/>
      <c r="B1270" s="1909"/>
      <c r="C1270" s="1889" t="s">
        <v>2110</v>
      </c>
      <c r="D1270" s="1781"/>
      <c r="E1270" s="413"/>
      <c r="F1270" s="1883"/>
      <c r="G1270" s="361">
        <f>SUM(G1269:G1269)</f>
        <v>431138.72279999999</v>
      </c>
      <c r="H1270" s="1994"/>
      <c r="I1270" s="1994">
        <f>SUM(I1269)</f>
        <v>0.86037213870833362</v>
      </c>
      <c r="J1270" s="1974"/>
    </row>
    <row r="1271" spans="1:10" ht="15.75" customHeight="1">
      <c r="A1271" s="1780"/>
      <c r="B1271" s="1784"/>
      <c r="C1271" s="1804" t="s">
        <v>2242</v>
      </c>
      <c r="D1271" s="1763"/>
      <c r="E1271" s="1764"/>
      <c r="F1271" s="1765"/>
      <c r="G1271" s="1765">
        <f>G1265+G1267+G1270</f>
        <v>443930.91936</v>
      </c>
      <c r="H1271" s="1994"/>
      <c r="I1271" s="1995">
        <f>I1265+I1267+I1270</f>
        <v>0.88918787557667811</v>
      </c>
      <c r="J1271" s="1974"/>
    </row>
    <row r="1272" spans="1:10" ht="15.75" customHeight="1">
      <c r="A1272" s="1780"/>
      <c r="B1272" s="1784"/>
      <c r="C1272" s="1762" t="s">
        <v>2094</v>
      </c>
      <c r="D1272" s="1767">
        <f>M$4</f>
        <v>0.15</v>
      </c>
      <c r="E1272" s="1768"/>
      <c r="F1272" s="1765"/>
      <c r="G1272" s="1765">
        <f>G1271*D1272</f>
        <v>66589.637904000003</v>
      </c>
      <c r="H1272" s="1994"/>
      <c r="I1272" s="1994"/>
      <c r="J1272" s="1974"/>
    </row>
    <row r="1273" spans="1:10" ht="15.75" customHeight="1">
      <c r="A1273" s="1786"/>
      <c r="B1273" s="1890"/>
      <c r="C1273" s="1788" t="s">
        <v>2111</v>
      </c>
      <c r="D1273" s="1772"/>
      <c r="E1273" s="1773"/>
      <c r="F1273" s="1774"/>
      <c r="G1273" s="1775">
        <f>ROUNDUP((G1271+G1272),2)</f>
        <v>510520.56</v>
      </c>
      <c r="H1273" s="1937"/>
      <c r="I1273" s="1937"/>
      <c r="J1273" s="1938"/>
    </row>
    <row r="1274" spans="1:10" ht="15.75" customHeight="1"/>
    <row r="1275" spans="1:10" ht="15.75" customHeight="1">
      <c r="A1275" s="1778">
        <f>A1261+1</f>
        <v>57</v>
      </c>
      <c r="B1275" s="1779" t="s">
        <v>2525</v>
      </c>
      <c r="C1275" s="1872" t="s">
        <v>2526</v>
      </c>
      <c r="D1275" s="1971"/>
      <c r="E1275" s="1874"/>
      <c r="F1275" s="1875"/>
      <c r="G1275" s="1875"/>
      <c r="H1275" s="1800"/>
      <c r="I1275" s="1800"/>
      <c r="J1275" s="1801"/>
    </row>
    <row r="1276" spans="1:10" ht="15.75" customHeight="1">
      <c r="A1276" s="1780"/>
      <c r="B1276" s="1739" t="s">
        <v>1004</v>
      </c>
      <c r="C1276" s="1877" t="s">
        <v>2067</v>
      </c>
      <c r="D1276" s="390"/>
      <c r="E1276" s="413"/>
      <c r="F1276" s="320"/>
      <c r="G1276" s="320"/>
      <c r="H1276" s="1802"/>
      <c r="I1276" s="1802"/>
      <c r="J1276" s="1803"/>
    </row>
    <row r="1277" spans="1:10" ht="15.75" customHeight="1">
      <c r="A1277" s="1780"/>
      <c r="B1277" s="1739"/>
      <c r="C1277" s="1878" t="s">
        <v>2103</v>
      </c>
      <c r="D1277" s="1781">
        <v>0.08</v>
      </c>
      <c r="E1277" s="413" t="s">
        <v>2069</v>
      </c>
      <c r="F1277" s="1747">
        <f>'Bahan &amp; Upah'!C$336</f>
        <v>96332.65</v>
      </c>
      <c r="G1277" s="361">
        <f>F1277*D1277</f>
        <v>7706.6120000000001</v>
      </c>
      <c r="H1277" s="1749">
        <v>1</v>
      </c>
      <c r="I1277" s="1749">
        <f>(G1277/G$1285)*H1277</f>
        <v>0.20949318444754422</v>
      </c>
      <c r="J1277" s="1750"/>
    </row>
    <row r="1278" spans="1:10" ht="15.75" customHeight="1">
      <c r="A1278" s="1780"/>
      <c r="B1278" s="1739"/>
      <c r="C1278" s="1878" t="s">
        <v>2107</v>
      </c>
      <c r="D1278" s="1781">
        <v>8.0000000000000002E-3</v>
      </c>
      <c r="E1278" s="413" t="s">
        <v>2069</v>
      </c>
      <c r="F1278" s="1883">
        <f>'Bahan &amp; Upah'!C$339</f>
        <v>102689.88</v>
      </c>
      <c r="G1278" s="1785">
        <f>F1278*D1278</f>
        <v>821.51904000000002</v>
      </c>
      <c r="H1278" s="1749">
        <v>1</v>
      </c>
      <c r="I1278" s="1752">
        <f>(G1278/G$1285)*H1278</f>
        <v>2.2331815819180912E-2</v>
      </c>
      <c r="J1278" s="1974"/>
    </row>
    <row r="1279" spans="1:10" ht="15.75" customHeight="1">
      <c r="A1279" s="1780"/>
      <c r="B1279" s="1739"/>
      <c r="C1279" s="1889" t="s">
        <v>2108</v>
      </c>
      <c r="D1279" s="1781"/>
      <c r="E1279" s="413"/>
      <c r="F1279" s="320"/>
      <c r="G1279" s="361">
        <f>SUM(G1277:G1278)</f>
        <v>8528.1310400000002</v>
      </c>
      <c r="H1279" s="1994"/>
      <c r="I1279" s="1994">
        <f>SUM(I1277:I1278)</f>
        <v>0.23182500026672515</v>
      </c>
      <c r="J1279" s="1974"/>
    </row>
    <row r="1280" spans="1:10" ht="15.75" customHeight="1">
      <c r="A1280" s="1780"/>
      <c r="B1280" s="1739" t="s">
        <v>1015</v>
      </c>
      <c r="C1280" s="1877" t="s">
        <v>2075</v>
      </c>
      <c r="D1280" s="1781"/>
      <c r="E1280" s="413"/>
      <c r="F1280" s="320"/>
      <c r="G1280" s="320"/>
      <c r="H1280" s="1994"/>
      <c r="I1280" s="1994"/>
      <c r="J1280" s="1974"/>
    </row>
    <row r="1281" spans="1:10" ht="15.75" customHeight="1">
      <c r="A1281" s="1780"/>
      <c r="B1281" s="1739"/>
      <c r="C1281" s="1878" t="s">
        <v>2527</v>
      </c>
      <c r="D1281" s="1781">
        <v>0.08</v>
      </c>
      <c r="E1281" s="413" t="s">
        <v>2135</v>
      </c>
      <c r="F1281" s="1883">
        <f>'Bahan &amp; Upah'!C182*8</f>
        <v>353235.04</v>
      </c>
      <c r="G1281" s="1785">
        <f>F1281*D1281</f>
        <v>28258.803199999998</v>
      </c>
      <c r="H1281" s="1749">
        <v>0.88590000000000002</v>
      </c>
      <c r="I1281" s="1752">
        <f>(G1281/G$1285)*H1281</f>
        <v>0.68052623226370812</v>
      </c>
      <c r="J1281" s="1974"/>
    </row>
    <row r="1282" spans="1:10" ht="15.75" customHeight="1">
      <c r="A1282" s="1780"/>
      <c r="B1282" s="1784"/>
      <c r="C1282" s="1878"/>
      <c r="D1282" s="1781"/>
      <c r="E1282" s="413"/>
      <c r="F1282" s="1883"/>
      <c r="G1282" s="361">
        <f>SUM(G1281:G1281)</f>
        <v>28258.803199999998</v>
      </c>
      <c r="H1282" s="1994"/>
      <c r="I1282" s="1994">
        <f>SUM(I1281)</f>
        <v>0.68052623226370812</v>
      </c>
      <c r="J1282" s="1974"/>
    </row>
    <row r="1283" spans="1:10" ht="15.75" customHeight="1">
      <c r="A1283" s="1780"/>
      <c r="B1283" s="1739" t="s">
        <v>1048</v>
      </c>
      <c r="C1283" s="1877" t="s">
        <v>2246</v>
      </c>
      <c r="D1283" s="1756"/>
      <c r="E1283" s="333"/>
      <c r="F1283" s="1883"/>
      <c r="G1283" s="332"/>
      <c r="H1283" s="1994"/>
      <c r="I1283" s="1994"/>
      <c r="J1283" s="1974"/>
    </row>
    <row r="1284" spans="1:10" ht="15.75" customHeight="1">
      <c r="A1284" s="1780"/>
      <c r="B1284" s="1909"/>
      <c r="C1284" s="1878"/>
      <c r="D1284" s="1756"/>
      <c r="E1284" s="333"/>
      <c r="F1284" s="328"/>
      <c r="G1284" s="361">
        <v>0</v>
      </c>
      <c r="H1284" s="1994"/>
      <c r="I1284" s="1994">
        <v>0</v>
      </c>
      <c r="J1284" s="1974"/>
    </row>
    <row r="1285" spans="1:10" ht="15.75" customHeight="1">
      <c r="A1285" s="1780"/>
      <c r="B1285" s="1784"/>
      <c r="C1285" s="1804" t="s">
        <v>2242</v>
      </c>
      <c r="D1285" s="1763"/>
      <c r="E1285" s="1764"/>
      <c r="F1285" s="1765"/>
      <c r="G1285" s="1765">
        <f>G1279+G1282+G1284</f>
        <v>36786.934240000002</v>
      </c>
      <c r="H1285" s="1994"/>
      <c r="I1285" s="1995">
        <f>I1279+I1282+I1284</f>
        <v>0.91235123253043326</v>
      </c>
      <c r="J1285" s="1974"/>
    </row>
    <row r="1286" spans="1:10" ht="15.75" customHeight="1">
      <c r="A1286" s="1780"/>
      <c r="B1286" s="1784"/>
      <c r="C1286" s="1762" t="s">
        <v>2094</v>
      </c>
      <c r="D1286" s="1767">
        <f>M$4</f>
        <v>0.15</v>
      </c>
      <c r="E1286" s="1768"/>
      <c r="F1286" s="1765"/>
      <c r="G1286" s="1765">
        <f>G1285*D1286</f>
        <v>5518.0401360000005</v>
      </c>
      <c r="H1286" s="1994"/>
      <c r="I1286" s="1994"/>
      <c r="J1286" s="1974"/>
    </row>
    <row r="1287" spans="1:10" ht="15.75" customHeight="1">
      <c r="A1287" s="1786"/>
      <c r="B1287" s="1890"/>
      <c r="C1287" s="1788" t="s">
        <v>2111</v>
      </c>
      <c r="D1287" s="1772"/>
      <c r="E1287" s="1773"/>
      <c r="F1287" s="1774"/>
      <c r="G1287" s="1775">
        <f>ROUNDUP((G1285+G1286),2)</f>
        <v>42304.98</v>
      </c>
      <c r="H1287" s="1937"/>
      <c r="I1287" s="1937"/>
      <c r="J1287" s="1938"/>
    </row>
    <row r="1288" spans="1:10" ht="15.75" customHeight="1">
      <c r="A1288" s="1733"/>
      <c r="B1288" s="1733"/>
      <c r="C1288" s="1733"/>
      <c r="D1288" s="1733"/>
      <c r="E1288" s="1733"/>
      <c r="F1288" s="1733"/>
      <c r="G1288" s="1733"/>
      <c r="H1288" s="1733"/>
      <c r="I1288" s="1733"/>
      <c r="J1288" s="1733"/>
    </row>
    <row r="1289" spans="1:10" ht="15.75" customHeight="1">
      <c r="A1289" s="1778">
        <f>A1275+1</f>
        <v>58</v>
      </c>
      <c r="B1289" s="1779" t="s">
        <v>2528</v>
      </c>
      <c r="C1289" s="1872" t="s">
        <v>2529</v>
      </c>
      <c r="D1289" s="1971"/>
      <c r="E1289" s="1874"/>
      <c r="F1289" s="1875"/>
      <c r="G1289" s="1875"/>
      <c r="H1289" s="1800"/>
      <c r="I1289" s="1800"/>
      <c r="J1289" s="1801"/>
    </row>
    <row r="1290" spans="1:10" ht="15.75" customHeight="1">
      <c r="A1290" s="1780"/>
      <c r="B1290" s="1739" t="s">
        <v>1004</v>
      </c>
      <c r="C1290" s="1877" t="s">
        <v>2067</v>
      </c>
      <c r="D1290" s="390"/>
      <c r="E1290" s="413"/>
      <c r="F1290" s="320"/>
      <c r="G1290" s="320"/>
      <c r="H1290" s="1802"/>
      <c r="I1290" s="1802"/>
      <c r="J1290" s="1803"/>
    </row>
    <row r="1291" spans="1:10" ht="15.75" customHeight="1">
      <c r="A1291" s="1780"/>
      <c r="B1291" s="1739"/>
      <c r="C1291" s="1878" t="s">
        <v>2103</v>
      </c>
      <c r="D1291" s="1781">
        <v>0.83330000000000004</v>
      </c>
      <c r="E1291" s="413" t="s">
        <v>2069</v>
      </c>
      <c r="F1291" s="1747">
        <f>'Bahan &amp; Upah'!C$336</f>
        <v>96332.65</v>
      </c>
      <c r="G1291" s="361">
        <f>F1291*D1291</f>
        <v>80273.997245000006</v>
      </c>
      <c r="H1291" s="1749">
        <v>1</v>
      </c>
      <c r="I1291" s="1749">
        <f>(G1291/G$1302)*H1291</f>
        <v>3.2602859310267482E-3</v>
      </c>
      <c r="J1291" s="1750"/>
    </row>
    <row r="1292" spans="1:10" ht="15.75" customHeight="1">
      <c r="A1292" s="1780"/>
      <c r="B1292" s="1739"/>
      <c r="C1292" s="1878" t="s">
        <v>2124</v>
      </c>
      <c r="D1292" s="1781">
        <v>0.27779999999999999</v>
      </c>
      <c r="E1292" s="413" t="s">
        <v>2069</v>
      </c>
      <c r="F1292" s="1883">
        <f>'Bahan &amp; Upah'!C$337</f>
        <v>114133.55</v>
      </c>
      <c r="G1292" s="361">
        <f>F1292*D1292</f>
        <v>31706.300189999998</v>
      </c>
      <c r="H1292" s="1749">
        <v>1</v>
      </c>
      <c r="I1292" s="1749">
        <f>(G1292/G$1302)*H1292</f>
        <v>1.2877346087410188E-3</v>
      </c>
      <c r="J1292" s="1974"/>
    </row>
    <row r="1293" spans="1:10" ht="15.75" customHeight="1">
      <c r="A1293" s="1780"/>
      <c r="B1293" s="1739"/>
      <c r="C1293" s="1878" t="s">
        <v>2105</v>
      </c>
      <c r="D1293" s="1781">
        <v>2.7799999999999998E-2</v>
      </c>
      <c r="E1293" s="413" t="s">
        <v>2069</v>
      </c>
      <c r="F1293" s="1748">
        <f>'Bahan &amp; Upah'!C$338</f>
        <v>125485.75</v>
      </c>
      <c r="G1293" s="361">
        <f>F1293*D1293</f>
        <v>3488.5038499999996</v>
      </c>
      <c r="H1293" s="1749">
        <v>1</v>
      </c>
      <c r="I1293" s="1749">
        <f>(G1293/G$1302)*H1293</f>
        <v>1.4168373835645842E-4</v>
      </c>
      <c r="J1293" s="1974"/>
    </row>
    <row r="1294" spans="1:10" ht="15.75" customHeight="1">
      <c r="A1294" s="1780"/>
      <c r="B1294" s="1739"/>
      <c r="C1294" s="1878" t="s">
        <v>2107</v>
      </c>
      <c r="D1294" s="1781">
        <v>9.2999999999999992E-3</v>
      </c>
      <c r="E1294" s="413" t="s">
        <v>2069</v>
      </c>
      <c r="F1294" s="1883">
        <f>'Bahan &amp; Upah'!C$339</f>
        <v>102689.88</v>
      </c>
      <c r="G1294" s="1785">
        <f>F1294*D1294</f>
        <v>955.01588399999991</v>
      </c>
      <c r="H1294" s="1749">
        <v>1</v>
      </c>
      <c r="I1294" s="1752">
        <f>(G1294/G$1302)*H1294</f>
        <v>3.8787464899864692E-5</v>
      </c>
      <c r="J1294" s="1974"/>
    </row>
    <row r="1295" spans="1:10" ht="15.75" customHeight="1">
      <c r="A1295" s="1780"/>
      <c r="B1295" s="1739"/>
      <c r="C1295" s="1889" t="s">
        <v>2108</v>
      </c>
      <c r="D1295" s="1781"/>
      <c r="E1295" s="413"/>
      <c r="F1295" s="320"/>
      <c r="G1295" s="361">
        <f>SUM(G1291:G1294)</f>
        <v>116423.81716899999</v>
      </c>
      <c r="H1295" s="1994"/>
      <c r="I1295" s="1994">
        <f>SUM(I1291:I1294)</f>
        <v>4.7284917430240898E-3</v>
      </c>
      <c r="J1295" s="1974"/>
    </row>
    <row r="1296" spans="1:10" ht="15.75" customHeight="1">
      <c r="A1296" s="1780"/>
      <c r="B1296" s="1739" t="s">
        <v>1015</v>
      </c>
      <c r="C1296" s="1877" t="s">
        <v>2075</v>
      </c>
      <c r="D1296" s="1781"/>
      <c r="E1296" s="413"/>
      <c r="F1296" s="320"/>
      <c r="G1296" s="320"/>
      <c r="H1296" s="1994"/>
      <c r="I1296" s="1994"/>
      <c r="J1296" s="1974"/>
    </row>
    <row r="1297" spans="1:10" ht="15.75" customHeight="1">
      <c r="A1297" s="1780"/>
      <c r="B1297" s="1739"/>
      <c r="C1297" s="1878" t="s">
        <v>2530</v>
      </c>
      <c r="D1297" s="321">
        <v>1920</v>
      </c>
      <c r="E1297" s="413" t="s">
        <v>100</v>
      </c>
      <c r="F1297" s="1748">
        <f>'Bahan &amp; Upah'!C$28</f>
        <v>12489.05</v>
      </c>
      <c r="G1297" s="361">
        <f>F1297*D1297</f>
        <v>23978976</v>
      </c>
      <c r="H1297" s="1749">
        <v>0.88590000000000002</v>
      </c>
      <c r="I1297" s="1749">
        <f>(G1297/G$1302)*H1297</f>
        <v>0.8627721849631026</v>
      </c>
      <c r="J1297" s="1974"/>
    </row>
    <row r="1298" spans="1:10" ht="15.75" customHeight="1">
      <c r="A1298" s="1780"/>
      <c r="B1298" s="1739"/>
      <c r="C1298" s="1878" t="s">
        <v>2120</v>
      </c>
      <c r="D1298" s="321">
        <v>963</v>
      </c>
      <c r="E1298" s="413" t="s">
        <v>2450</v>
      </c>
      <c r="F1298" s="1748">
        <f>'Bahan &amp; Upah'!C32</f>
        <v>546.59</v>
      </c>
      <c r="G1298" s="1785">
        <f>F1298*D1298</f>
        <v>526366.17000000004</v>
      </c>
      <c r="H1298" s="1749">
        <v>1</v>
      </c>
      <c r="I1298" s="1752">
        <f>(G1298/G$1302)*H1298</f>
        <v>2.1378083532850659E-2</v>
      </c>
      <c r="J1298" s="1974"/>
    </row>
    <row r="1299" spans="1:10" ht="15.75" customHeight="1">
      <c r="A1299" s="1780"/>
      <c r="B1299" s="1784"/>
      <c r="C1299" s="1878"/>
      <c r="D1299" s="1781"/>
      <c r="E1299" s="413"/>
      <c r="F1299" s="1883"/>
      <c r="G1299" s="361">
        <f>SUM(G1297:G1298)</f>
        <v>24505342.170000002</v>
      </c>
      <c r="H1299" s="1994"/>
      <c r="I1299" s="1994">
        <f>SUM(I1297:I1298)</f>
        <v>0.88415026849595324</v>
      </c>
      <c r="J1299" s="1974"/>
    </row>
    <row r="1300" spans="1:10" ht="15.75" customHeight="1">
      <c r="A1300" s="1780"/>
      <c r="B1300" s="1739" t="s">
        <v>1048</v>
      </c>
      <c r="C1300" s="1877" t="s">
        <v>2246</v>
      </c>
      <c r="D1300" s="1756"/>
      <c r="E1300" s="333"/>
      <c r="F1300" s="1883"/>
      <c r="G1300" s="332"/>
      <c r="H1300" s="1994"/>
      <c r="I1300" s="1994"/>
      <c r="J1300" s="1974"/>
    </row>
    <row r="1301" spans="1:10" ht="15.75" customHeight="1">
      <c r="A1301" s="1780"/>
      <c r="B1301" s="1909"/>
      <c r="C1301" s="1878"/>
      <c r="D1301" s="1756"/>
      <c r="E1301" s="333"/>
      <c r="F1301" s="328"/>
      <c r="G1301" s="361">
        <v>0</v>
      </c>
      <c r="H1301" s="1994"/>
      <c r="I1301" s="1994">
        <v>0</v>
      </c>
      <c r="J1301" s="1974"/>
    </row>
    <row r="1302" spans="1:10" ht="15.75" customHeight="1">
      <c r="A1302" s="1780"/>
      <c r="B1302" s="1784"/>
      <c r="C1302" s="1804" t="s">
        <v>2242</v>
      </c>
      <c r="D1302" s="1763"/>
      <c r="E1302" s="1764"/>
      <c r="F1302" s="1765"/>
      <c r="G1302" s="1765">
        <f>G1295+G1299+G1301</f>
        <v>24621765.987169001</v>
      </c>
      <c r="H1302" s="1994"/>
      <c r="I1302" s="1995">
        <f>I1295+I1299+I1301</f>
        <v>0.88887876023897738</v>
      </c>
      <c r="J1302" s="1974"/>
    </row>
    <row r="1303" spans="1:10" ht="15.75" customHeight="1">
      <c r="A1303" s="1780"/>
      <c r="B1303" s="1784"/>
      <c r="C1303" s="1762" t="s">
        <v>2094</v>
      </c>
      <c r="D1303" s="1767">
        <f>M$4</f>
        <v>0.15</v>
      </c>
      <c r="E1303" s="1768"/>
      <c r="F1303" s="1765"/>
      <c r="G1303" s="1765">
        <f>G1302*D1303</f>
        <v>3693264.8980753501</v>
      </c>
      <c r="H1303" s="1994"/>
      <c r="I1303" s="1994"/>
      <c r="J1303" s="1974"/>
    </row>
    <row r="1304" spans="1:10" ht="15.75" customHeight="1">
      <c r="A1304" s="1786"/>
      <c r="B1304" s="1890"/>
      <c r="C1304" s="1788" t="s">
        <v>2111</v>
      </c>
      <c r="D1304" s="1772"/>
      <c r="E1304" s="1773"/>
      <c r="F1304" s="1774"/>
      <c r="G1304" s="1775">
        <f>ROUNDUP((G1302+G1303),2)</f>
        <v>28315030.890000001</v>
      </c>
      <c r="H1304" s="1937"/>
      <c r="I1304" s="1937"/>
      <c r="J1304" s="1938"/>
    </row>
    <row r="1305" spans="1:10" ht="15.75" customHeight="1">
      <c r="A1305" s="1733"/>
      <c r="B1305" s="1733"/>
      <c r="C1305" s="1733"/>
      <c r="D1305" s="1733"/>
      <c r="E1305" s="1733"/>
      <c r="F1305" s="1733"/>
      <c r="G1305" s="1733"/>
      <c r="H1305" s="1733"/>
      <c r="I1305" s="1733"/>
      <c r="J1305" s="1733"/>
    </row>
    <row r="1306" spans="1:10" ht="15.75" customHeight="1">
      <c r="A1306" s="1778">
        <f>A1289+1</f>
        <v>59</v>
      </c>
      <c r="B1306" s="1779" t="s">
        <v>2531</v>
      </c>
      <c r="C1306" s="1872" t="s">
        <v>2532</v>
      </c>
      <c r="D1306" s="1971"/>
      <c r="E1306" s="1874"/>
      <c r="F1306" s="1875"/>
      <c r="G1306" s="1875"/>
      <c r="H1306" s="1978"/>
      <c r="I1306" s="1978"/>
      <c r="J1306" s="1801"/>
    </row>
    <row r="1307" spans="1:10" ht="15.75" customHeight="1">
      <c r="A1307" s="1780"/>
      <c r="B1307" s="1739" t="s">
        <v>1004</v>
      </c>
      <c r="C1307" s="1877" t="s">
        <v>2067</v>
      </c>
      <c r="D1307" s="390">
        <v>2.5</v>
      </c>
      <c r="E1307" s="413"/>
      <c r="F1307" s="320"/>
      <c r="G1307" s="320"/>
      <c r="H1307" s="1979"/>
      <c r="I1307" s="1979"/>
      <c r="J1307" s="1803"/>
    </row>
    <row r="1308" spans="1:10" ht="15.75" customHeight="1">
      <c r="A1308" s="1780"/>
      <c r="B1308" s="1739"/>
      <c r="C1308" s="1878" t="s">
        <v>2103</v>
      </c>
      <c r="D1308" s="1781">
        <f>0.734/D1307</f>
        <v>0.29359999999999997</v>
      </c>
      <c r="E1308" s="413" t="s">
        <v>2069</v>
      </c>
      <c r="F1308" s="1747">
        <f>'Bahan &amp; Upah'!C$336</f>
        <v>96332.65</v>
      </c>
      <c r="G1308" s="361">
        <f>F1308*D1308</f>
        <v>28283.266039999995</v>
      </c>
      <c r="H1308" s="1793">
        <v>1</v>
      </c>
      <c r="I1308" s="1793">
        <f>(G1308/G$1318)*H1308</f>
        <v>0.18529911614404471</v>
      </c>
      <c r="J1308" s="1750"/>
    </row>
    <row r="1309" spans="1:10" ht="15.75" customHeight="1">
      <c r="A1309" s="1780"/>
      <c r="B1309" s="1739"/>
      <c r="C1309" s="1878" t="s">
        <v>2104</v>
      </c>
      <c r="D1309" s="1781">
        <f>0.734/D1307</f>
        <v>0.29359999999999997</v>
      </c>
      <c r="E1309" s="413" t="s">
        <v>2069</v>
      </c>
      <c r="F1309" s="1883">
        <f>'Bahan &amp; Upah'!C$337</f>
        <v>114133.55</v>
      </c>
      <c r="G1309" s="361">
        <f>F1309*D1309</f>
        <v>33509.610280000001</v>
      </c>
      <c r="H1309" s="1793">
        <v>1</v>
      </c>
      <c r="I1309" s="1793">
        <f>(G1309/G$1318)*H1309</f>
        <v>0.21953975041050089</v>
      </c>
      <c r="J1309" s="1974"/>
    </row>
    <row r="1310" spans="1:10" ht="15.75" customHeight="1">
      <c r="A1310" s="1780"/>
      <c r="B1310" s="1739"/>
      <c r="C1310" s="1878" t="s">
        <v>2072</v>
      </c>
      <c r="D1310" s="1781">
        <f>0.0734/D1307</f>
        <v>2.9360000000000004E-2</v>
      </c>
      <c r="E1310" s="413" t="s">
        <v>2069</v>
      </c>
      <c r="F1310" s="1748">
        <f>'Bahan &amp; Upah'!C$338</f>
        <v>125485.75</v>
      </c>
      <c r="G1310" s="361">
        <f>F1310*D1310</f>
        <v>3684.2616200000007</v>
      </c>
      <c r="H1310" s="1793">
        <v>1</v>
      </c>
      <c r="I1310" s="1793">
        <f>(G1310/G$1318)*H1310</f>
        <v>2.4137609173704416E-2</v>
      </c>
      <c r="J1310" s="1974"/>
    </row>
    <row r="1311" spans="1:10" ht="15.75" customHeight="1">
      <c r="A1311" s="1780"/>
      <c r="B1311" s="1739"/>
      <c r="C1311" s="1878" t="s">
        <v>2107</v>
      </c>
      <c r="D1311" s="1781">
        <f>0.024/D1307</f>
        <v>9.6000000000000009E-3</v>
      </c>
      <c r="E1311" s="413" t="s">
        <v>2069</v>
      </c>
      <c r="F1311" s="1883">
        <f>'Bahan &amp; Upah'!C$339</f>
        <v>102689.88</v>
      </c>
      <c r="G1311" s="1785">
        <f>F1311*D1311</f>
        <v>985.82284800000014</v>
      </c>
      <c r="H1311" s="1793">
        <v>1</v>
      </c>
      <c r="I1311" s="1795">
        <f>(G1311/G$1318)*H1311</f>
        <v>6.4586636547087047E-3</v>
      </c>
      <c r="J1311" s="1974"/>
    </row>
    <row r="1312" spans="1:10" ht="15.75" customHeight="1">
      <c r="A1312" s="1780"/>
      <c r="B1312" s="1739"/>
      <c r="C1312" s="1889" t="s">
        <v>2108</v>
      </c>
      <c r="D1312" s="1781"/>
      <c r="E1312" s="413"/>
      <c r="F1312" s="320"/>
      <c r="G1312" s="361">
        <f>SUM(G1308:G1311)</f>
        <v>66462.960787999997</v>
      </c>
      <c r="H1312" s="1975"/>
      <c r="I1312" s="1975">
        <f>SUM(I1308:I1311)</f>
        <v>0.43543513938295875</v>
      </c>
      <c r="J1312" s="1974"/>
    </row>
    <row r="1313" spans="1:10" ht="15.75" customHeight="1">
      <c r="A1313" s="1780"/>
      <c r="B1313" s="1739" t="s">
        <v>1015</v>
      </c>
      <c r="C1313" s="1877" t="s">
        <v>2075</v>
      </c>
      <c r="D1313" s="1781"/>
      <c r="E1313" s="413"/>
      <c r="F1313" s="320"/>
      <c r="G1313" s="320"/>
      <c r="H1313" s="1975"/>
      <c r="I1313" s="1975"/>
      <c r="J1313" s="1974"/>
    </row>
    <row r="1314" spans="1:10" ht="15.75" customHeight="1">
      <c r="A1314" s="1780"/>
      <c r="B1314" s="1739"/>
      <c r="C1314" s="1878" t="s">
        <v>2533</v>
      </c>
      <c r="D1314" s="1781">
        <v>0.96030000000000004</v>
      </c>
      <c r="E1314" s="413" t="s">
        <v>888</v>
      </c>
      <c r="F1314" s="1883">
        <f>'Bahan &amp; Upah'!C$69</f>
        <v>89735.26</v>
      </c>
      <c r="G1314" s="1969">
        <f>F1314*D1314</f>
        <v>86172.770177999992</v>
      </c>
      <c r="H1314" s="1975">
        <v>0.27879999999999999</v>
      </c>
      <c r="I1314" s="1795">
        <f>(G1314/G$1318)*H1314</f>
        <v>0.15740068314003108</v>
      </c>
      <c r="J1314" s="1974"/>
    </row>
    <row r="1315" spans="1:10" ht="15.75" customHeight="1">
      <c r="A1315" s="1780"/>
      <c r="B1315" s="1784"/>
      <c r="C1315" s="1878"/>
      <c r="D1315" s="1781"/>
      <c r="E1315" s="413"/>
      <c r="F1315" s="1883"/>
      <c r="G1315" s="361">
        <f>SUM(G1314:G1314)</f>
        <v>86172.770177999992</v>
      </c>
      <c r="H1315" s="1975"/>
      <c r="I1315" s="1975">
        <f>SUM(I1314:I1314)</f>
        <v>0.15740068314003108</v>
      </c>
      <c r="J1315" s="1974"/>
    </row>
    <row r="1316" spans="1:10" ht="15.75" customHeight="1">
      <c r="A1316" s="1780"/>
      <c r="B1316" s="1739" t="s">
        <v>1048</v>
      </c>
      <c r="C1316" s="1877" t="s">
        <v>2246</v>
      </c>
      <c r="D1316" s="1756"/>
      <c r="E1316" s="333"/>
      <c r="F1316" s="1883"/>
      <c r="G1316" s="332"/>
      <c r="H1316" s="1975"/>
      <c r="I1316" s="1975"/>
      <c r="J1316" s="1974"/>
    </row>
    <row r="1317" spans="1:10" ht="15.75" customHeight="1">
      <c r="A1317" s="1780"/>
      <c r="B1317" s="1909"/>
      <c r="C1317" s="1878"/>
      <c r="D1317" s="1756"/>
      <c r="E1317" s="333"/>
      <c r="F1317" s="328"/>
      <c r="G1317" s="361">
        <v>0</v>
      </c>
      <c r="H1317" s="1975"/>
      <c r="I1317" s="1975"/>
      <c r="J1317" s="1974"/>
    </row>
    <row r="1318" spans="1:10" ht="15.75" customHeight="1">
      <c r="A1318" s="1780"/>
      <c r="B1318" s="1784"/>
      <c r="C1318" s="1804" t="s">
        <v>2242</v>
      </c>
      <c r="D1318" s="1763"/>
      <c r="E1318" s="1764"/>
      <c r="F1318" s="1765"/>
      <c r="G1318" s="1765">
        <f>G1312+G1315+G1317</f>
        <v>152635.730966</v>
      </c>
      <c r="H1318" s="1975"/>
      <c r="I1318" s="1976">
        <f>I1312+I1315+I1317</f>
        <v>0.59283582252298983</v>
      </c>
      <c r="J1318" s="1974"/>
    </row>
    <row r="1319" spans="1:10" ht="15.75" customHeight="1">
      <c r="A1319" s="1780"/>
      <c r="B1319" s="1784"/>
      <c r="C1319" s="1762" t="s">
        <v>2094</v>
      </c>
      <c r="D1319" s="1767">
        <f>M$4</f>
        <v>0.15</v>
      </c>
      <c r="E1319" s="1768"/>
      <c r="F1319" s="1765"/>
      <c r="G1319" s="1765">
        <f>G1318*D1319</f>
        <v>22895.3596449</v>
      </c>
      <c r="H1319" s="1975"/>
      <c r="I1319" s="1975"/>
      <c r="J1319" s="1974"/>
    </row>
    <row r="1320" spans="1:10" ht="15.75" customHeight="1">
      <c r="A1320" s="1786"/>
      <c r="B1320" s="1890"/>
      <c r="C1320" s="1788" t="s">
        <v>2111</v>
      </c>
      <c r="D1320" s="1772"/>
      <c r="E1320" s="1773"/>
      <c r="F1320" s="1774"/>
      <c r="G1320" s="1775">
        <f>ROUNDUP((G1318+G1319),2)</f>
        <v>175531.1</v>
      </c>
      <c r="H1320" s="1977"/>
      <c r="I1320" s="1977"/>
      <c r="J1320" s="1938"/>
    </row>
    <row r="1321" spans="1:10" ht="15.75" customHeight="1">
      <c r="A1321" s="1733"/>
      <c r="B1321" s="1733"/>
      <c r="C1321" s="1733"/>
      <c r="D1321" s="1733"/>
      <c r="E1321" s="1733"/>
      <c r="F1321" s="1733"/>
      <c r="G1321" s="1733"/>
      <c r="H1321" s="1733"/>
      <c r="I1321" s="1733"/>
      <c r="J1321" s="1733"/>
    </row>
    <row r="1322" spans="1:10" ht="15.75" customHeight="1">
      <c r="A1322" s="1778">
        <f>A1306+1</f>
        <v>60</v>
      </c>
      <c r="B1322" s="1779" t="s">
        <v>2534</v>
      </c>
      <c r="C1322" s="1872" t="s">
        <v>2535</v>
      </c>
      <c r="D1322" s="1971"/>
      <c r="E1322" s="1874"/>
      <c r="F1322" s="1875"/>
      <c r="G1322" s="1875"/>
      <c r="H1322" s="1978"/>
      <c r="I1322" s="1978"/>
      <c r="J1322" s="1801"/>
    </row>
    <row r="1323" spans="1:10" ht="15.75" customHeight="1">
      <c r="A1323" s="1780"/>
      <c r="B1323" s="1739" t="s">
        <v>1004</v>
      </c>
      <c r="C1323" s="1877" t="s">
        <v>2067</v>
      </c>
      <c r="D1323" s="390">
        <v>2.5</v>
      </c>
      <c r="E1323" s="413"/>
      <c r="F1323" s="320"/>
      <c r="G1323" s="320"/>
      <c r="H1323" s="1979"/>
      <c r="I1323" s="1979"/>
      <c r="J1323" s="1803"/>
    </row>
    <row r="1324" spans="1:10" ht="15.75" customHeight="1">
      <c r="A1324" s="1780"/>
      <c r="B1324" s="1739"/>
      <c r="C1324" s="1878" t="s">
        <v>2103</v>
      </c>
      <c r="D1324" s="1781">
        <f>0.7604/D1323</f>
        <v>0.30415999999999999</v>
      </c>
      <c r="E1324" s="413" t="s">
        <v>2069</v>
      </c>
      <c r="F1324" s="1747">
        <f>'Bahan &amp; Upah'!C$336</f>
        <v>96332.65</v>
      </c>
      <c r="G1324" s="361">
        <f>F1324*D1324</f>
        <v>29300.538823999996</v>
      </c>
      <c r="H1324" s="1793">
        <v>1</v>
      </c>
      <c r="I1324" s="1793">
        <f>(G1324/G$1334)*H1324</f>
        <v>0.18898188581619166</v>
      </c>
      <c r="J1324" s="1750"/>
    </row>
    <row r="1325" spans="1:10" ht="15.75" customHeight="1">
      <c r="A1325" s="1780"/>
      <c r="B1325" s="1739"/>
      <c r="C1325" s="1878" t="s">
        <v>2104</v>
      </c>
      <c r="D1325" s="1781">
        <f>0.7604/D1323</f>
        <v>0.30415999999999999</v>
      </c>
      <c r="E1325" s="413" t="s">
        <v>2069</v>
      </c>
      <c r="F1325" s="1883">
        <f>'Bahan &amp; Upah'!C$337</f>
        <v>114133.55</v>
      </c>
      <c r="G1325" s="361">
        <f>F1325*D1325</f>
        <v>34714.860567999996</v>
      </c>
      <c r="H1325" s="1793">
        <v>1</v>
      </c>
      <c r="I1325" s="1793">
        <f>(G1325/G$1334)*H1325</f>
        <v>0.22390304340113765</v>
      </c>
      <c r="J1325" s="1974"/>
    </row>
    <row r="1326" spans="1:10" ht="15.75" customHeight="1">
      <c r="A1326" s="1780"/>
      <c r="B1326" s="1739"/>
      <c r="C1326" s="1878" t="s">
        <v>2072</v>
      </c>
      <c r="D1326" s="1781">
        <f>0.07604/D1323</f>
        <v>3.0415999999999999E-2</v>
      </c>
      <c r="E1326" s="413" t="s">
        <v>2069</v>
      </c>
      <c r="F1326" s="1748">
        <f>'Bahan &amp; Upah'!C$338</f>
        <v>125485.75</v>
      </c>
      <c r="G1326" s="361">
        <f>F1326*D1326</f>
        <v>3816.7745719999998</v>
      </c>
      <c r="H1326" s="1793">
        <v>1</v>
      </c>
      <c r="I1326" s="1793">
        <f>(G1326/G$1334)*H1326</f>
        <v>2.4617337608857613E-2</v>
      </c>
      <c r="J1326" s="1974"/>
    </row>
    <row r="1327" spans="1:10" ht="15.75" customHeight="1">
      <c r="A1327" s="1780"/>
      <c r="B1327" s="1739"/>
      <c r="C1327" s="1878" t="s">
        <v>2107</v>
      </c>
      <c r="D1327" s="1781">
        <f>0.0253/D1323</f>
        <v>1.0120000000000001E-2</v>
      </c>
      <c r="E1327" s="413" t="s">
        <v>2069</v>
      </c>
      <c r="F1327" s="1883">
        <f>'Bahan &amp; Upah'!C$339</f>
        <v>102689.88</v>
      </c>
      <c r="G1327" s="1785">
        <f>F1327*D1327</f>
        <v>1039.2215856</v>
      </c>
      <c r="H1327" s="1793">
        <v>1</v>
      </c>
      <c r="I1327" s="1795">
        <f>(G1327/G$1334)*H1327</f>
        <v>6.7027455094687532E-3</v>
      </c>
      <c r="J1327" s="1974"/>
    </row>
    <row r="1328" spans="1:10" ht="15.75" customHeight="1">
      <c r="A1328" s="1780"/>
      <c r="B1328" s="1739"/>
      <c r="C1328" s="1889" t="s">
        <v>2108</v>
      </c>
      <c r="D1328" s="1781"/>
      <c r="E1328" s="413"/>
      <c r="F1328" s="320"/>
      <c r="G1328" s="361">
        <f>SUM(G1324:G1327)</f>
        <v>68871.395549599983</v>
      </c>
      <c r="H1328" s="1975"/>
      <c r="I1328" s="1975">
        <f>SUM(I1324:I1327)</f>
        <v>0.44420501233565568</v>
      </c>
      <c r="J1328" s="1974"/>
    </row>
    <row r="1329" spans="1:10" ht="15.75" customHeight="1">
      <c r="A1329" s="1780"/>
      <c r="B1329" s="1739" t="s">
        <v>1015</v>
      </c>
      <c r="C1329" s="1877" t="s">
        <v>2075</v>
      </c>
      <c r="D1329" s="1781"/>
      <c r="E1329" s="413"/>
      <c r="F1329" s="320"/>
      <c r="G1329" s="320"/>
      <c r="H1329" s="1975"/>
      <c r="I1329" s="1975"/>
      <c r="J1329" s="1974"/>
    </row>
    <row r="1330" spans="1:10" ht="15.75" customHeight="1">
      <c r="A1330" s="1780"/>
      <c r="B1330" s="1739"/>
      <c r="C1330" s="1878" t="s">
        <v>2536</v>
      </c>
      <c r="D1330" s="1781">
        <v>0.96030000000000004</v>
      </c>
      <c r="E1330" s="413" t="s">
        <v>888</v>
      </c>
      <c r="F1330" s="1883">
        <f>'Bahan &amp; Upah'!C$69</f>
        <v>89735.26</v>
      </c>
      <c r="G1330" s="1969">
        <f>F1330*D1330</f>
        <v>86172.770177999992</v>
      </c>
      <c r="H1330" s="1975">
        <v>0.27879999999999999</v>
      </c>
      <c r="I1330" s="1795">
        <f>(G1330/G$1334)*H1330</f>
        <v>0.1549556425608192</v>
      </c>
      <c r="J1330" s="1974"/>
    </row>
    <row r="1331" spans="1:10" ht="15.75" customHeight="1">
      <c r="A1331" s="1780"/>
      <c r="B1331" s="1784"/>
      <c r="C1331" s="1878"/>
      <c r="D1331" s="1781"/>
      <c r="E1331" s="413"/>
      <c r="F1331" s="1883"/>
      <c r="G1331" s="361">
        <f>SUM(G1330:G1330)</f>
        <v>86172.770177999992</v>
      </c>
      <c r="H1331" s="1975"/>
      <c r="I1331" s="1975">
        <f>SUM(I1330:I1330)</f>
        <v>0.1549556425608192</v>
      </c>
      <c r="J1331" s="1974"/>
    </row>
    <row r="1332" spans="1:10" ht="15.75" customHeight="1">
      <c r="A1332" s="1780"/>
      <c r="B1332" s="1739" t="s">
        <v>1048</v>
      </c>
      <c r="C1332" s="1877" t="s">
        <v>2246</v>
      </c>
      <c r="D1332" s="1756"/>
      <c r="E1332" s="333"/>
      <c r="F1332" s="1883"/>
      <c r="G1332" s="332"/>
      <c r="H1332" s="1975"/>
      <c r="I1332" s="1975"/>
      <c r="J1332" s="1974"/>
    </row>
    <row r="1333" spans="1:10" ht="15.75" customHeight="1">
      <c r="A1333" s="1780"/>
      <c r="B1333" s="1909"/>
      <c r="C1333" s="1878"/>
      <c r="D1333" s="1756"/>
      <c r="E1333" s="333"/>
      <c r="F1333" s="328"/>
      <c r="G1333" s="361">
        <v>0</v>
      </c>
      <c r="H1333" s="1975"/>
      <c r="I1333" s="1975"/>
      <c r="J1333" s="1974"/>
    </row>
    <row r="1334" spans="1:10" ht="15.75" customHeight="1">
      <c r="A1334" s="1780"/>
      <c r="B1334" s="1784"/>
      <c r="C1334" s="1804" t="s">
        <v>2242</v>
      </c>
      <c r="D1334" s="1763"/>
      <c r="E1334" s="1764"/>
      <c r="F1334" s="1765"/>
      <c r="G1334" s="1765">
        <f>G1328+G1331+G1333</f>
        <v>155044.16572759999</v>
      </c>
      <c r="H1334" s="1975"/>
      <c r="I1334" s="1976">
        <f>I1328+I1331+I1333</f>
        <v>0.59916065489647485</v>
      </c>
      <c r="J1334" s="1974"/>
    </row>
    <row r="1335" spans="1:10" ht="15.75" customHeight="1">
      <c r="A1335" s="1780"/>
      <c r="B1335" s="1784"/>
      <c r="C1335" s="1762" t="s">
        <v>2094</v>
      </c>
      <c r="D1335" s="1767">
        <f>M$4</f>
        <v>0.15</v>
      </c>
      <c r="E1335" s="1768"/>
      <c r="F1335" s="1765"/>
      <c r="G1335" s="1765">
        <f>G1334*D1335</f>
        <v>23256.624859139996</v>
      </c>
      <c r="H1335" s="1975"/>
      <c r="I1335" s="1975"/>
      <c r="J1335" s="1974"/>
    </row>
    <row r="1336" spans="1:10" ht="15.75" customHeight="1">
      <c r="A1336" s="1786"/>
      <c r="B1336" s="1890"/>
      <c r="C1336" s="1788" t="s">
        <v>2111</v>
      </c>
      <c r="D1336" s="1772"/>
      <c r="E1336" s="1773"/>
      <c r="F1336" s="1774"/>
      <c r="G1336" s="1775">
        <f>ROUNDUP((G1334+G1335),2)</f>
        <v>178300.80000000002</v>
      </c>
      <c r="H1336" s="1977"/>
      <c r="I1336" s="1977"/>
      <c r="J1336" s="1938"/>
    </row>
    <row r="1337" spans="1:10" ht="15.75" customHeight="1">
      <c r="A1337" s="1733"/>
      <c r="B1337" s="1733"/>
      <c r="C1337" s="1733"/>
      <c r="D1337" s="1733"/>
      <c r="E1337" s="1733"/>
      <c r="F1337" s="1733"/>
      <c r="G1337" s="1733"/>
      <c r="H1337" s="1733"/>
      <c r="I1337" s="1733"/>
      <c r="J1337" s="1733"/>
    </row>
    <row r="1338" spans="1:10" ht="15.75" customHeight="1">
      <c r="A1338" s="1778">
        <f>A1275+1</f>
        <v>58</v>
      </c>
      <c r="B1338" s="1779" t="s">
        <v>2537</v>
      </c>
      <c r="C1338" s="1872" t="s">
        <v>2538</v>
      </c>
      <c r="D1338" s="1971"/>
      <c r="E1338" s="1874"/>
      <c r="F1338" s="1875"/>
      <c r="G1338" s="1875"/>
      <c r="H1338" s="1978"/>
      <c r="I1338" s="1978"/>
      <c r="J1338" s="1801"/>
    </row>
    <row r="1339" spans="1:10" ht="15.75" customHeight="1">
      <c r="A1339" s="1780"/>
      <c r="B1339" s="1739" t="s">
        <v>1004</v>
      </c>
      <c r="C1339" s="1877" t="s">
        <v>2067</v>
      </c>
      <c r="D1339" s="390"/>
      <c r="E1339" s="413"/>
      <c r="F1339" s="320"/>
      <c r="G1339" s="320"/>
      <c r="H1339" s="1979"/>
      <c r="I1339" s="1979"/>
      <c r="J1339" s="1803"/>
    </row>
    <row r="1340" spans="1:10" ht="15.75" customHeight="1">
      <c r="A1340" s="1780"/>
      <c r="B1340" s="1739"/>
      <c r="C1340" s="1878" t="s">
        <v>2103</v>
      </c>
      <c r="D1340" s="1781">
        <v>0.08</v>
      </c>
      <c r="E1340" s="413" t="s">
        <v>2069</v>
      </c>
      <c r="F1340" s="1747">
        <f>'Bahan &amp; Upah'!C$336</f>
        <v>96332.65</v>
      </c>
      <c r="G1340" s="361">
        <f>F1340*D1340</f>
        <v>7706.6120000000001</v>
      </c>
      <c r="H1340" s="1793">
        <v>1</v>
      </c>
      <c r="I1340" s="1793">
        <f>(G1340/G$1351)*H1340</f>
        <v>3.6867994745380835E-2</v>
      </c>
      <c r="J1340" s="1750"/>
    </row>
    <row r="1341" spans="1:10" ht="15.75" customHeight="1">
      <c r="A1341" s="1780"/>
      <c r="B1341" s="1739"/>
      <c r="C1341" s="1878" t="s">
        <v>2104</v>
      </c>
      <c r="D1341" s="1781">
        <v>0.04</v>
      </c>
      <c r="E1341" s="413" t="s">
        <v>2069</v>
      </c>
      <c r="F1341" s="1883">
        <f>'Bahan &amp; Upah'!C$337</f>
        <v>114133.55</v>
      </c>
      <c r="G1341" s="361">
        <f>F1341*D1341</f>
        <v>4565.3420000000006</v>
      </c>
      <c r="H1341" s="1793">
        <v>1</v>
      </c>
      <c r="I1341" s="1793">
        <f>(G1341/G$1351)*H1341</f>
        <v>2.1840337215220704E-2</v>
      </c>
      <c r="J1341" s="1974"/>
    </row>
    <row r="1342" spans="1:10" ht="15.75" customHeight="1">
      <c r="A1342" s="1780"/>
      <c r="B1342" s="1739"/>
      <c r="C1342" s="1878" t="s">
        <v>2072</v>
      </c>
      <c r="D1342" s="1781">
        <v>4.0000000000000001E-3</v>
      </c>
      <c r="E1342" s="413" t="s">
        <v>2069</v>
      </c>
      <c r="F1342" s="1748">
        <f>'Bahan &amp; Upah'!C$338</f>
        <v>125485.75</v>
      </c>
      <c r="G1342" s="361">
        <f>F1342*D1342</f>
        <v>501.94299999999998</v>
      </c>
      <c r="H1342" s="1793">
        <v>1</v>
      </c>
      <c r="I1342" s="1793">
        <f>(G1342/G$1351)*H1342</f>
        <v>2.4012668454673329E-3</v>
      </c>
      <c r="J1342" s="1974"/>
    </row>
    <row r="1343" spans="1:10" ht="15.75" customHeight="1">
      <c r="A1343" s="1780"/>
      <c r="B1343" s="1739"/>
      <c r="C1343" s="1878" t="s">
        <v>2107</v>
      </c>
      <c r="D1343" s="1781">
        <v>1.2999999999999999E-3</v>
      </c>
      <c r="E1343" s="413" t="s">
        <v>2069</v>
      </c>
      <c r="F1343" s="1883">
        <f>'Bahan &amp; Upah'!C$339</f>
        <v>102689.88</v>
      </c>
      <c r="G1343" s="1785">
        <f>F1343*D1343</f>
        <v>133.49684400000001</v>
      </c>
      <c r="H1343" s="1793">
        <v>1</v>
      </c>
      <c r="I1343" s="1795">
        <f>(G1343/G$1351)*H1343</f>
        <v>6.3864133073222385E-4</v>
      </c>
      <c r="J1343" s="1974"/>
    </row>
    <row r="1344" spans="1:10" ht="15.75" customHeight="1">
      <c r="A1344" s="1780"/>
      <c r="B1344" s="1739"/>
      <c r="C1344" s="1889" t="s">
        <v>2108</v>
      </c>
      <c r="D1344" s="1781"/>
      <c r="E1344" s="413"/>
      <c r="F1344" s="320"/>
      <c r="G1344" s="361">
        <f>SUM(G1340:G1343)</f>
        <v>12907.393844</v>
      </c>
      <c r="H1344" s="1975"/>
      <c r="I1344" s="1975">
        <f>SUM(I1340:I1343)</f>
        <v>6.1748240136801094E-2</v>
      </c>
      <c r="J1344" s="1974"/>
    </row>
    <row r="1345" spans="1:10" ht="15.75" customHeight="1">
      <c r="A1345" s="1780"/>
      <c r="B1345" s="1739" t="s">
        <v>1015</v>
      </c>
      <c r="C1345" s="1877" t="s">
        <v>2075</v>
      </c>
      <c r="D1345" s="1781"/>
      <c r="E1345" s="413"/>
      <c r="F1345" s="320"/>
      <c r="G1345" s="320"/>
      <c r="H1345" s="1975"/>
      <c r="I1345" s="1975"/>
      <c r="J1345" s="1974"/>
    </row>
    <row r="1346" spans="1:10" ht="15.75" customHeight="1">
      <c r="A1346" s="1780"/>
      <c r="B1346" s="1739"/>
      <c r="C1346" s="1878" t="s">
        <v>2539</v>
      </c>
      <c r="D1346" s="1781">
        <v>1.3</v>
      </c>
      <c r="E1346" s="413" t="s">
        <v>89</v>
      </c>
      <c r="F1346" s="1883">
        <f>'Bahan &amp; Upah'!C72</f>
        <v>127676.16</v>
      </c>
      <c r="G1346" s="325">
        <f>F1346*D1346</f>
        <v>165979.008</v>
      </c>
      <c r="H1346" s="1975">
        <v>0.65100000000000002</v>
      </c>
      <c r="I1346" s="1793">
        <f>(G1346/G$1351)*H1346</f>
        <v>0.51691623891363392</v>
      </c>
      <c r="J1346" s="1974"/>
    </row>
    <row r="1347" spans="1:10" ht="15.75" customHeight="1">
      <c r="A1347" s="1780"/>
      <c r="B1347" s="1739"/>
      <c r="C1347" s="1878" t="s">
        <v>2540</v>
      </c>
      <c r="D1347" s="1781">
        <v>0.15</v>
      </c>
      <c r="E1347" s="413" t="s">
        <v>100</v>
      </c>
      <c r="F1347" s="1883">
        <f>'Bahan &amp; Upah'!C55</f>
        <v>200974.51</v>
      </c>
      <c r="G1347" s="1969">
        <f>F1347*D1347</f>
        <v>30146.176500000001</v>
      </c>
      <c r="H1347" s="1975">
        <v>0.27879999999999999</v>
      </c>
      <c r="I1347" s="1795">
        <f>(G1347/G$1351)*H1347</f>
        <v>4.0207866519105427E-2</v>
      </c>
      <c r="J1347" s="1974"/>
    </row>
    <row r="1348" spans="1:10" ht="15.75" customHeight="1">
      <c r="A1348" s="1780"/>
      <c r="B1348" s="1784"/>
      <c r="C1348" s="1878"/>
      <c r="D1348" s="1781"/>
      <c r="E1348" s="413"/>
      <c r="F1348" s="1883"/>
      <c r="G1348" s="361">
        <f>SUM(G1346:G1347)</f>
        <v>196125.1845</v>
      </c>
      <c r="H1348" s="1975"/>
      <c r="I1348" s="1975">
        <f>SUM(I1346:I1347)</f>
        <v>0.55712410543273938</v>
      </c>
      <c r="J1348" s="1974"/>
    </row>
    <row r="1349" spans="1:10" ht="15.75" customHeight="1">
      <c r="A1349" s="1780"/>
      <c r="B1349" s="1739" t="s">
        <v>1048</v>
      </c>
      <c r="C1349" s="1877" t="s">
        <v>2246</v>
      </c>
      <c r="D1349" s="1756"/>
      <c r="E1349" s="333"/>
      <c r="F1349" s="1883"/>
      <c r="G1349" s="332"/>
      <c r="H1349" s="1975"/>
      <c r="I1349" s="1975"/>
      <c r="J1349" s="1974"/>
    </row>
    <row r="1350" spans="1:10" ht="15.75" customHeight="1">
      <c r="A1350" s="1780"/>
      <c r="B1350" s="1909"/>
      <c r="C1350" s="1878"/>
      <c r="D1350" s="1756"/>
      <c r="E1350" s="333"/>
      <c r="F1350" s="328"/>
      <c r="G1350" s="361">
        <v>0</v>
      </c>
      <c r="H1350" s="1975"/>
      <c r="I1350" s="1975"/>
      <c r="J1350" s="1974"/>
    </row>
    <row r="1351" spans="1:10" ht="15.75" customHeight="1">
      <c r="A1351" s="1780"/>
      <c r="B1351" s="1784"/>
      <c r="C1351" s="1804" t="s">
        <v>2242</v>
      </c>
      <c r="D1351" s="1763"/>
      <c r="E1351" s="1764"/>
      <c r="F1351" s="1765"/>
      <c r="G1351" s="1765">
        <f>G1344+G1348+G1350</f>
        <v>209032.57834400001</v>
      </c>
      <c r="H1351" s="1975"/>
      <c r="I1351" s="1976">
        <f>I1344+I1348+I1350</f>
        <v>0.61887234556954052</v>
      </c>
      <c r="J1351" s="1974"/>
    </row>
    <row r="1352" spans="1:10" ht="15.75" customHeight="1">
      <c r="A1352" s="1780"/>
      <c r="B1352" s="1784"/>
      <c r="C1352" s="1762" t="s">
        <v>2094</v>
      </c>
      <c r="D1352" s="1767">
        <f>M$4</f>
        <v>0.15</v>
      </c>
      <c r="E1352" s="1768"/>
      <c r="F1352" s="1765"/>
      <c r="G1352" s="1765">
        <f>G1351*D1352</f>
        <v>31354.886751599999</v>
      </c>
      <c r="H1352" s="1975"/>
      <c r="I1352" s="1975"/>
      <c r="J1352" s="1974"/>
    </row>
    <row r="1353" spans="1:10" ht="15.75" customHeight="1">
      <c r="A1353" s="1786"/>
      <c r="B1353" s="1890"/>
      <c r="C1353" s="1788" t="s">
        <v>2111</v>
      </c>
      <c r="D1353" s="1772"/>
      <c r="E1353" s="1773"/>
      <c r="F1353" s="1774"/>
      <c r="G1353" s="1775">
        <f>ROUNDUP((G1351+G1352),2)</f>
        <v>240387.47</v>
      </c>
      <c r="H1353" s="1977"/>
      <c r="I1353" s="1977"/>
      <c r="J1353" s="1938"/>
    </row>
    <row r="1354" spans="1:10" ht="15.75" customHeight="1">
      <c r="H1354" s="1996"/>
      <c r="I1354" s="1996"/>
    </row>
    <row r="1355" spans="1:10" ht="15.75" customHeight="1">
      <c r="A1355" s="1778">
        <f>A1338+1</f>
        <v>59</v>
      </c>
      <c r="B1355" s="1779" t="s">
        <v>2541</v>
      </c>
      <c r="C1355" s="1872" t="s">
        <v>2542</v>
      </c>
      <c r="D1355" s="1971"/>
      <c r="E1355" s="1874"/>
      <c r="F1355" s="1875"/>
      <c r="G1355" s="1875"/>
      <c r="H1355" s="1978"/>
      <c r="I1355" s="1978"/>
      <c r="J1355" s="1801"/>
    </row>
    <row r="1356" spans="1:10" ht="15.75" customHeight="1">
      <c r="A1356" s="1780"/>
      <c r="B1356" s="1739" t="s">
        <v>1004</v>
      </c>
      <c r="C1356" s="1877" t="s">
        <v>2067</v>
      </c>
      <c r="D1356" s="390"/>
      <c r="E1356" s="413"/>
      <c r="F1356" s="320"/>
      <c r="G1356" s="320"/>
      <c r="H1356" s="1979"/>
      <c r="I1356" s="1979"/>
      <c r="J1356" s="1803"/>
    </row>
    <row r="1357" spans="1:10" ht="15.75" customHeight="1">
      <c r="A1357" s="1780"/>
      <c r="B1357" s="1739"/>
      <c r="C1357" s="1878" t="s">
        <v>2103</v>
      </c>
      <c r="D1357" s="1781">
        <v>0.25</v>
      </c>
      <c r="E1357" s="413" t="s">
        <v>2069</v>
      </c>
      <c r="F1357" s="1747">
        <f>'Bahan &amp; Upah'!C$336</f>
        <v>96332.65</v>
      </c>
      <c r="G1357" s="361">
        <f>F1357*D1357</f>
        <v>24083.162499999999</v>
      </c>
      <c r="H1357" s="1793">
        <v>1</v>
      </c>
      <c r="I1357" s="1793">
        <f>(G1357/G$1368)*H1357</f>
        <v>0.16094434893354284</v>
      </c>
      <c r="J1357" s="1750"/>
    </row>
    <row r="1358" spans="1:10" ht="15.75" customHeight="1">
      <c r="A1358" s="1780"/>
      <c r="B1358" s="1739"/>
      <c r="C1358" s="1878" t="s">
        <v>2104</v>
      </c>
      <c r="D1358" s="1781">
        <v>0.15</v>
      </c>
      <c r="E1358" s="413" t="s">
        <v>2069</v>
      </c>
      <c r="F1358" s="1883">
        <f>'Bahan &amp; Upah'!C$337</f>
        <v>114133.55</v>
      </c>
      <c r="G1358" s="361">
        <f>F1358*D1358</f>
        <v>17120.032500000001</v>
      </c>
      <c r="H1358" s="1793">
        <v>1</v>
      </c>
      <c r="I1358" s="1793">
        <f>(G1358/G$1368)*H1358</f>
        <v>0.11441074171357662</v>
      </c>
      <c r="J1358" s="1974"/>
    </row>
    <row r="1359" spans="1:10" ht="15.75" customHeight="1">
      <c r="A1359" s="1780"/>
      <c r="B1359" s="1739"/>
      <c r="C1359" s="1878" t="s">
        <v>2072</v>
      </c>
      <c r="D1359" s="1781">
        <v>1.4999999999999999E-2</v>
      </c>
      <c r="E1359" s="413" t="s">
        <v>2069</v>
      </c>
      <c r="F1359" s="1748">
        <f>'Bahan &amp; Upah'!C$338</f>
        <v>125485.75</v>
      </c>
      <c r="G1359" s="361">
        <f>F1359*D1359</f>
        <v>1882.2862499999999</v>
      </c>
      <c r="H1359" s="1793">
        <v>1</v>
      </c>
      <c r="I1359" s="1793">
        <f>(G1359/G$1368)*H1359</f>
        <v>1.2579051236016443E-2</v>
      </c>
      <c r="J1359" s="1974"/>
    </row>
    <row r="1360" spans="1:10" ht="15.75" customHeight="1">
      <c r="A1360" s="1780"/>
      <c r="B1360" s="1739"/>
      <c r="C1360" s="1878" t="s">
        <v>2107</v>
      </c>
      <c r="D1360" s="1781">
        <v>5.0000000000000001E-3</v>
      </c>
      <c r="E1360" s="413" t="s">
        <v>2069</v>
      </c>
      <c r="F1360" s="1883">
        <f>'Bahan &amp; Upah'!C$339</f>
        <v>102689.88</v>
      </c>
      <c r="G1360" s="1785">
        <f>F1360*D1360</f>
        <v>513.44940000000008</v>
      </c>
      <c r="H1360" s="1793">
        <v>1</v>
      </c>
      <c r="I1360" s="1795">
        <f>(G1360/G$1368)*H1360</f>
        <v>3.4313092972452532E-3</v>
      </c>
      <c r="J1360" s="1974"/>
    </row>
    <row r="1361" spans="1:10" ht="15.75" customHeight="1">
      <c r="A1361" s="1780"/>
      <c r="B1361" s="1739"/>
      <c r="C1361" s="1889" t="s">
        <v>2108</v>
      </c>
      <c r="D1361" s="1781"/>
      <c r="E1361" s="413"/>
      <c r="F1361" s="320"/>
      <c r="G1361" s="361">
        <f>SUM(G1357:G1360)</f>
        <v>43598.930649999995</v>
      </c>
      <c r="H1361" s="1975"/>
      <c r="I1361" s="1975">
        <f>SUM(I1357:I1360)</f>
        <v>0.29136545118038121</v>
      </c>
      <c r="J1361" s="1974"/>
    </row>
    <row r="1362" spans="1:10" ht="15.75" customHeight="1">
      <c r="A1362" s="1780"/>
      <c r="B1362" s="1739" t="s">
        <v>1015</v>
      </c>
      <c r="C1362" s="1877" t="s">
        <v>2075</v>
      </c>
      <c r="D1362" s="1781"/>
      <c r="E1362" s="413"/>
      <c r="F1362" s="320"/>
      <c r="G1362" s="320"/>
      <c r="H1362" s="1975"/>
      <c r="I1362" s="1975"/>
      <c r="J1362" s="1974"/>
    </row>
    <row r="1363" spans="1:10" ht="15.75" customHeight="1">
      <c r="A1363" s="1780"/>
      <c r="B1363" s="1739"/>
      <c r="C1363" s="1878" t="s">
        <v>2543</v>
      </c>
      <c r="D1363" s="1781">
        <v>1.2</v>
      </c>
      <c r="E1363" s="413" t="s">
        <v>2086</v>
      </c>
      <c r="F1363" s="1883">
        <f>'Bahan &amp; Upah'!C73</f>
        <v>87706.559999999998</v>
      </c>
      <c r="G1363" s="325">
        <f>F1363*D1363</f>
        <v>105247.87199999999</v>
      </c>
      <c r="H1363" s="1975">
        <v>0.65100000000000002</v>
      </c>
      <c r="I1363" s="1793">
        <f>(G1363/G$1368)*H1363</f>
        <v>0.45788511801256315</v>
      </c>
      <c r="J1363" s="1974"/>
    </row>
    <row r="1364" spans="1:10" ht="15.75" customHeight="1">
      <c r="A1364" s="1780"/>
      <c r="B1364" s="1739"/>
      <c r="C1364" s="1878" t="s">
        <v>2544</v>
      </c>
      <c r="D1364" s="1781">
        <v>0.02</v>
      </c>
      <c r="E1364" s="413" t="s">
        <v>100</v>
      </c>
      <c r="F1364" s="1883">
        <f>'Bahan &amp; Upah'!C56</f>
        <v>39489.040000000001</v>
      </c>
      <c r="G1364" s="1969">
        <f>F1364*D1364</f>
        <v>789.7808</v>
      </c>
      <c r="H1364" s="1975">
        <v>0.27879999999999999</v>
      </c>
      <c r="I1364" s="1795">
        <f>(G1364/G$1368)*H1364</f>
        <v>1.4715043738857834E-3</v>
      </c>
      <c r="J1364" s="1974"/>
    </row>
    <row r="1365" spans="1:10" ht="15.75" customHeight="1">
      <c r="A1365" s="1780"/>
      <c r="B1365" s="1784"/>
      <c r="C1365" s="1878"/>
      <c r="D1365" s="1781"/>
      <c r="E1365" s="413"/>
      <c r="F1365" s="1883"/>
      <c r="G1365" s="361">
        <f>SUM(G1363:G1364)</f>
        <v>106037.65279999998</v>
      </c>
      <c r="H1365" s="1975"/>
      <c r="I1365" s="1975">
        <f>SUM(I1363:I1364)</f>
        <v>0.45935662238644892</v>
      </c>
      <c r="J1365" s="1974"/>
    </row>
    <row r="1366" spans="1:10" ht="15.75" customHeight="1">
      <c r="A1366" s="1780"/>
      <c r="B1366" s="1739" t="s">
        <v>1048</v>
      </c>
      <c r="C1366" s="1877" t="s">
        <v>2246</v>
      </c>
      <c r="D1366" s="1756"/>
      <c r="E1366" s="333"/>
      <c r="F1366" s="1883"/>
      <c r="G1366" s="332"/>
      <c r="H1366" s="1975"/>
      <c r="I1366" s="1975"/>
      <c r="J1366" s="1974"/>
    </row>
    <row r="1367" spans="1:10" ht="15.75" customHeight="1">
      <c r="A1367" s="1780"/>
      <c r="B1367" s="1909"/>
      <c r="C1367" s="1878"/>
      <c r="D1367" s="1756"/>
      <c r="E1367" s="333"/>
      <c r="F1367" s="328"/>
      <c r="G1367" s="361">
        <v>0</v>
      </c>
      <c r="H1367" s="1975"/>
      <c r="I1367" s="1975"/>
      <c r="J1367" s="1974"/>
    </row>
    <row r="1368" spans="1:10" ht="15.75" customHeight="1">
      <c r="A1368" s="1780"/>
      <c r="B1368" s="1784"/>
      <c r="C1368" s="1804" t="s">
        <v>2242</v>
      </c>
      <c r="D1368" s="1763"/>
      <c r="E1368" s="1764"/>
      <c r="F1368" s="1765"/>
      <c r="G1368" s="1765">
        <f>G1361+G1365+G1367</f>
        <v>149636.58344999998</v>
      </c>
      <c r="H1368" s="1975"/>
      <c r="I1368" s="1976">
        <f>I1361+I1365+I1367</f>
        <v>0.75072207356683007</v>
      </c>
      <c r="J1368" s="1974"/>
    </row>
    <row r="1369" spans="1:10" ht="15.75" customHeight="1">
      <c r="A1369" s="1780"/>
      <c r="B1369" s="1784"/>
      <c r="C1369" s="1762" t="s">
        <v>2094</v>
      </c>
      <c r="D1369" s="1767">
        <f>M$4</f>
        <v>0.15</v>
      </c>
      <c r="E1369" s="1768"/>
      <c r="F1369" s="1765"/>
      <c r="G1369" s="1765">
        <f>G1368*D1369</f>
        <v>22445.487517499994</v>
      </c>
      <c r="H1369" s="1975"/>
      <c r="I1369" s="1975"/>
      <c r="J1369" s="1974"/>
    </row>
    <row r="1370" spans="1:10" ht="15.75" customHeight="1">
      <c r="A1370" s="1786"/>
      <c r="B1370" s="1890"/>
      <c r="C1370" s="1788" t="s">
        <v>2111</v>
      </c>
      <c r="D1370" s="1772"/>
      <c r="E1370" s="1773"/>
      <c r="F1370" s="1774"/>
      <c r="G1370" s="1775">
        <f>ROUNDUP((G1368+G1369),2)</f>
        <v>172082.08000000002</v>
      </c>
      <c r="H1370" s="1977"/>
      <c r="I1370" s="1977"/>
      <c r="J1370" s="1938"/>
    </row>
    <row r="1371" spans="1:10" ht="15.75" customHeight="1">
      <c r="A1371" s="1733"/>
      <c r="B1371" s="1733"/>
      <c r="C1371" s="1733"/>
      <c r="D1371" s="1733"/>
      <c r="E1371" s="1733"/>
      <c r="F1371" s="1733"/>
      <c r="G1371" s="1733"/>
      <c r="H1371" s="1733"/>
      <c r="I1371" s="1733"/>
      <c r="J1371" s="1733"/>
    </row>
    <row r="1372" spans="1:10" ht="15.75" customHeight="1">
      <c r="A1372" s="1778">
        <f>A1355+1</f>
        <v>60</v>
      </c>
      <c r="B1372" s="1779" t="s">
        <v>2545</v>
      </c>
      <c r="C1372" s="1872" t="s">
        <v>2546</v>
      </c>
      <c r="D1372" s="1873"/>
      <c r="E1372" s="1874"/>
      <c r="F1372" s="1875"/>
      <c r="G1372" s="1875"/>
      <c r="H1372" s="1997"/>
      <c r="I1372" s="1997"/>
      <c r="J1372" s="1947"/>
    </row>
    <row r="1373" spans="1:10" ht="15.75" customHeight="1">
      <c r="A1373" s="1780"/>
      <c r="B1373" s="1739" t="s">
        <v>1004</v>
      </c>
      <c r="C1373" s="1877" t="s">
        <v>2067</v>
      </c>
      <c r="D1373" s="390"/>
      <c r="E1373" s="413"/>
      <c r="F1373" s="320"/>
      <c r="G1373" s="320"/>
      <c r="H1373" s="1802"/>
      <c r="I1373" s="1802"/>
      <c r="J1373" s="1803"/>
    </row>
    <row r="1374" spans="1:10" ht="15.75" customHeight="1">
      <c r="A1374" s="1780"/>
      <c r="B1374" s="1739"/>
      <c r="C1374" s="1878" t="s">
        <v>2103</v>
      </c>
      <c r="D1374" s="1841">
        <v>0.2</v>
      </c>
      <c r="E1374" s="413" t="s">
        <v>2069</v>
      </c>
      <c r="F1374" s="1747">
        <f>'Bahan &amp; Upah'!C$336</f>
        <v>96332.65</v>
      </c>
      <c r="G1374" s="361">
        <f>F1374*D1374</f>
        <v>19266.53</v>
      </c>
      <c r="H1374" s="1980">
        <v>1</v>
      </c>
      <c r="I1374" s="1980">
        <f>(G1374/G$1386)*H1374</f>
        <v>8.3940882333947323E-2</v>
      </c>
      <c r="J1374" s="1981"/>
    </row>
    <row r="1375" spans="1:10" ht="15.75" customHeight="1">
      <c r="A1375" s="1780"/>
      <c r="B1375" s="1739"/>
      <c r="C1375" s="1878" t="s">
        <v>2104</v>
      </c>
      <c r="D1375" s="1841">
        <v>0.2</v>
      </c>
      <c r="E1375" s="413" t="s">
        <v>2069</v>
      </c>
      <c r="F1375" s="1883">
        <f>'Bahan &amp; Upah'!C$337</f>
        <v>114133.55</v>
      </c>
      <c r="G1375" s="361">
        <f>F1375*D1375</f>
        <v>22826.710000000003</v>
      </c>
      <c r="H1375" s="1980">
        <v>1</v>
      </c>
      <c r="I1375" s="1980">
        <f>(G1375/G$1386)*H1375</f>
        <v>9.9451960377978751E-2</v>
      </c>
      <c r="J1375" s="1981"/>
    </row>
    <row r="1376" spans="1:10" ht="15.75" customHeight="1">
      <c r="A1376" s="1780"/>
      <c r="B1376" s="1739"/>
      <c r="C1376" s="1878" t="s">
        <v>2072</v>
      </c>
      <c r="D1376" s="1841">
        <v>0.02</v>
      </c>
      <c r="E1376" s="413" t="s">
        <v>2069</v>
      </c>
      <c r="F1376" s="1748">
        <f>'Bahan &amp; Upah'!C$338</f>
        <v>125485.75</v>
      </c>
      <c r="G1376" s="361">
        <f>F1376*D1376</f>
        <v>2509.7150000000001</v>
      </c>
      <c r="H1376" s="1980">
        <v>1</v>
      </c>
      <c r="I1376" s="1980">
        <f>(G1376/G$1386)*H1376</f>
        <v>1.0934386810014187E-2</v>
      </c>
      <c r="J1376" s="1981"/>
    </row>
    <row r="1377" spans="1:10" ht="15.75" customHeight="1">
      <c r="A1377" s="1780"/>
      <c r="B1377" s="1739"/>
      <c r="C1377" s="1878" t="s">
        <v>2107</v>
      </c>
      <c r="D1377" s="1841">
        <v>6.7000000000000002E-3</v>
      </c>
      <c r="E1377" s="413" t="s">
        <v>2069</v>
      </c>
      <c r="F1377" s="1883">
        <f>'Bahan &amp; Upah'!C$339</f>
        <v>102689.88</v>
      </c>
      <c r="G1377" s="1785">
        <f>F1377*D1377</f>
        <v>688.02219600000001</v>
      </c>
      <c r="H1377" s="1980">
        <v>1</v>
      </c>
      <c r="I1377" s="1982">
        <f>(G1377/G$1386)*H1377</f>
        <v>2.9975916886735726E-3</v>
      </c>
      <c r="J1377" s="1981"/>
    </row>
    <row r="1378" spans="1:10" ht="15.75" customHeight="1">
      <c r="A1378" s="1780"/>
      <c r="B1378" s="1739"/>
      <c r="C1378" s="1889" t="s">
        <v>2108</v>
      </c>
      <c r="D1378" s="1841"/>
      <c r="E1378" s="413"/>
      <c r="F1378" s="320"/>
      <c r="G1378" s="361">
        <f>SUM(G1374:G1377)</f>
        <v>45290.977196</v>
      </c>
      <c r="H1378" s="1980"/>
      <c r="I1378" s="1983">
        <f>SUM(I1374:I1377)</f>
        <v>0.19732482121061384</v>
      </c>
      <c r="J1378" s="1981"/>
    </row>
    <row r="1379" spans="1:10" ht="15.75" customHeight="1">
      <c r="A1379" s="1780"/>
      <c r="B1379" s="1739" t="s">
        <v>1015</v>
      </c>
      <c r="C1379" s="1877" t="s">
        <v>2075</v>
      </c>
      <c r="D1379" s="1841"/>
      <c r="E1379" s="413"/>
      <c r="F1379" s="317"/>
      <c r="G1379" s="320"/>
      <c r="H1379" s="1980"/>
      <c r="I1379" s="1980"/>
      <c r="J1379" s="1981"/>
    </row>
    <row r="1380" spans="1:10" ht="15.75" customHeight="1">
      <c r="A1380" s="1780"/>
      <c r="B1380" s="1739"/>
      <c r="C1380" s="1878" t="s">
        <v>2547</v>
      </c>
      <c r="D1380" s="1841">
        <v>1.05</v>
      </c>
      <c r="E1380" s="413" t="s">
        <v>117</v>
      </c>
      <c r="F1380" s="1747">
        <f>'Bahan &amp; Upah'!C89</f>
        <v>71136.12</v>
      </c>
      <c r="G1380" s="361">
        <f>F1380*D1380</f>
        <v>74692.925999999992</v>
      </c>
      <c r="H1380" s="1980">
        <v>0.83589999999999998</v>
      </c>
      <c r="I1380" s="1980">
        <f>(G1380/G$1386)*H1380</f>
        <v>0.27202187187187965</v>
      </c>
      <c r="J1380" s="1981"/>
    </row>
    <row r="1381" spans="1:10" ht="15.75" customHeight="1">
      <c r="A1381" s="1780"/>
      <c r="B1381" s="1739"/>
      <c r="C1381" s="1878" t="s">
        <v>2078</v>
      </c>
      <c r="D1381" s="1841">
        <v>1.4999999999999999E-2</v>
      </c>
      <c r="E1381" s="413" t="s">
        <v>100</v>
      </c>
      <c r="F1381" s="1747">
        <f>'Bahan &amp; Upah'!C$54</f>
        <v>36067.67</v>
      </c>
      <c r="G1381" s="361">
        <f>F1381*D1381</f>
        <v>541.01504999999997</v>
      </c>
      <c r="H1381" s="1980">
        <f>H1364</f>
        <v>0.27879999999999999</v>
      </c>
      <c r="I1381" s="1980">
        <f>(G1381/G$1386)*H1381</f>
        <v>6.5716154626914967E-4</v>
      </c>
      <c r="J1381" s="1981"/>
    </row>
    <row r="1382" spans="1:10" ht="15.75" customHeight="1">
      <c r="A1382" s="1780"/>
      <c r="B1382" s="1739"/>
      <c r="C1382" s="1878" t="s">
        <v>2548</v>
      </c>
      <c r="D1382" s="1841">
        <v>1.9E-2</v>
      </c>
      <c r="E1382" s="413" t="s">
        <v>103</v>
      </c>
      <c r="F1382" s="1743">
        <f>'Bahan &amp; Upah'!C$100</f>
        <v>5736845.7699999996</v>
      </c>
      <c r="G1382" s="1794">
        <f>F1382*D1382</f>
        <v>109000.06962999998</v>
      </c>
      <c r="H1382" s="1980">
        <v>1</v>
      </c>
      <c r="I1382" s="1982">
        <f>(G1382/G$1386)*H1382</f>
        <v>0.47489413086860449</v>
      </c>
      <c r="J1382" s="1981"/>
    </row>
    <row r="1383" spans="1:10" ht="15.75" customHeight="1">
      <c r="A1383" s="1780"/>
      <c r="B1383" s="1784"/>
      <c r="C1383" s="1889" t="s">
        <v>2091</v>
      </c>
      <c r="D1383" s="1841"/>
      <c r="E1383" s="413"/>
      <c r="F1383" s="320"/>
      <c r="G1383" s="361">
        <f>SUM(G1380:G1382)</f>
        <v>184234.01067999998</v>
      </c>
      <c r="H1383" s="1980"/>
      <c r="I1383" s="1983">
        <f>SUM(I1380:I1382)</f>
        <v>0.74757316428675336</v>
      </c>
      <c r="J1383" s="1981"/>
    </row>
    <row r="1384" spans="1:10" ht="15.75" customHeight="1">
      <c r="A1384" s="1780"/>
      <c r="B1384" s="1739" t="s">
        <v>1048</v>
      </c>
      <c r="C1384" s="1877" t="s">
        <v>2246</v>
      </c>
      <c r="D1384" s="1841"/>
      <c r="E1384" s="413"/>
      <c r="F1384" s="317"/>
      <c r="G1384" s="320"/>
      <c r="H1384" s="1980"/>
      <c r="I1384" s="1980"/>
      <c r="J1384" s="1981"/>
    </row>
    <row r="1385" spans="1:10" ht="15.75" customHeight="1">
      <c r="A1385" s="1780"/>
      <c r="B1385" s="1784"/>
      <c r="C1385" s="1878"/>
      <c r="D1385" s="1841"/>
      <c r="E1385" s="413"/>
      <c r="F1385" s="320"/>
      <c r="G1385" s="361">
        <v>0</v>
      </c>
      <c r="H1385" s="1980"/>
      <c r="I1385" s="1980"/>
      <c r="J1385" s="1981"/>
    </row>
    <row r="1386" spans="1:10" ht="15.75" customHeight="1">
      <c r="A1386" s="1780"/>
      <c r="B1386" s="1784"/>
      <c r="C1386" s="1804" t="s">
        <v>2298</v>
      </c>
      <c r="D1386" s="1763"/>
      <c r="E1386" s="1764"/>
      <c r="F1386" s="1765"/>
      <c r="G1386" s="1765">
        <f>G1378+G1383+G1385</f>
        <v>229524.98787599997</v>
      </c>
      <c r="H1386" s="1980"/>
      <c r="I1386" s="1984">
        <f>I1378+I1383</f>
        <v>0.94489798549736714</v>
      </c>
      <c r="J1386" s="1981"/>
    </row>
    <row r="1387" spans="1:10" ht="15.75" customHeight="1">
      <c r="A1387" s="1780"/>
      <c r="B1387" s="1784"/>
      <c r="C1387" s="1762" t="s">
        <v>2094</v>
      </c>
      <c r="D1387" s="1767">
        <f>M$4</f>
        <v>0.15</v>
      </c>
      <c r="E1387" s="1768"/>
      <c r="F1387" s="1765"/>
      <c r="G1387" s="1765">
        <f>G1386*D1387</f>
        <v>34428.748181399991</v>
      </c>
      <c r="H1387" s="1980"/>
      <c r="I1387" s="1980"/>
      <c r="J1387" s="1981"/>
    </row>
    <row r="1388" spans="1:10" ht="15.75" customHeight="1">
      <c r="A1388" s="1786"/>
      <c r="B1388" s="1890"/>
      <c r="C1388" s="1788" t="s">
        <v>2111</v>
      </c>
      <c r="D1388" s="1772"/>
      <c r="E1388" s="1773"/>
      <c r="F1388" s="1774"/>
      <c r="G1388" s="1998">
        <f>ROUNDUP((G1386+G1387),2)</f>
        <v>263953.74</v>
      </c>
      <c r="H1388" s="1985"/>
      <c r="I1388" s="1985"/>
      <c r="J1388" s="1986"/>
    </row>
    <row r="1389" spans="1:10" ht="15.75" customHeight="1">
      <c r="A1389" s="1733"/>
      <c r="B1389" s="1733"/>
      <c r="C1389" s="1733"/>
      <c r="D1389" s="1733"/>
      <c r="E1389" s="1733"/>
      <c r="F1389" s="1733"/>
      <c r="G1389" s="1733"/>
      <c r="H1389" s="1733"/>
      <c r="I1389" s="1733"/>
      <c r="J1389" s="1733"/>
    </row>
    <row r="1390" spans="1:10" ht="15.75" customHeight="1">
      <c r="A1390" s="1778">
        <f>A1372+1</f>
        <v>61</v>
      </c>
      <c r="B1390" s="1779" t="s">
        <v>2549</v>
      </c>
      <c r="C1390" s="1872" t="s">
        <v>2550</v>
      </c>
      <c r="D1390" s="1873"/>
      <c r="E1390" s="1874"/>
      <c r="F1390" s="1875"/>
      <c r="G1390" s="1876"/>
      <c r="H1390" s="1997"/>
      <c r="I1390" s="1997"/>
      <c r="J1390" s="1947"/>
    </row>
    <row r="1391" spans="1:10" ht="15.75" customHeight="1">
      <c r="A1391" s="1780"/>
      <c r="B1391" s="1739" t="s">
        <v>1004</v>
      </c>
      <c r="C1391" s="1877" t="s">
        <v>2067</v>
      </c>
      <c r="D1391" s="390"/>
      <c r="E1391" s="413"/>
      <c r="F1391" s="320"/>
      <c r="G1391" s="1999"/>
      <c r="H1391" s="1802"/>
      <c r="I1391" s="1802"/>
      <c r="J1391" s="1803"/>
    </row>
    <row r="1392" spans="1:10" ht="15.75" customHeight="1">
      <c r="A1392" s="1780"/>
      <c r="B1392" s="1739"/>
      <c r="C1392" s="1878" t="s">
        <v>2103</v>
      </c>
      <c r="D1392" s="1841">
        <v>0.1</v>
      </c>
      <c r="E1392" s="413" t="s">
        <v>2069</v>
      </c>
      <c r="F1392" s="1747">
        <f>'Bahan &amp; Upah'!C$336</f>
        <v>96332.65</v>
      </c>
      <c r="G1392" s="2000">
        <f>F1392*D1392</f>
        <v>9633.2649999999994</v>
      </c>
      <c r="H1392" s="1980">
        <v>1</v>
      </c>
      <c r="I1392" s="1980">
        <f>(G1392/G$1403)*H1392</f>
        <v>0.10050371267488652</v>
      </c>
      <c r="J1392" s="1981"/>
    </row>
    <row r="1393" spans="1:10" ht="15.75" customHeight="1">
      <c r="A1393" s="1780"/>
      <c r="B1393" s="1739"/>
      <c r="C1393" s="1878" t="s">
        <v>2104</v>
      </c>
      <c r="D1393" s="1841">
        <v>0.2</v>
      </c>
      <c r="E1393" s="413" t="s">
        <v>2069</v>
      </c>
      <c r="F1393" s="1883">
        <f>'Bahan &amp; Upah'!C$337</f>
        <v>114133.55</v>
      </c>
      <c r="G1393" s="2000">
        <f>F1393*D1393</f>
        <v>22826.710000000003</v>
      </c>
      <c r="H1393" s="1980">
        <v>1</v>
      </c>
      <c r="I1393" s="1980">
        <f>(G1393/G$1403)*H1393</f>
        <v>0.23815073115428251</v>
      </c>
      <c r="J1393" s="1981"/>
    </row>
    <row r="1394" spans="1:10" ht="15.75" customHeight="1">
      <c r="A1394" s="1780"/>
      <c r="B1394" s="1739"/>
      <c r="C1394" s="1878" t="s">
        <v>2072</v>
      </c>
      <c r="D1394" s="1841">
        <v>0.02</v>
      </c>
      <c r="E1394" s="413" t="s">
        <v>2069</v>
      </c>
      <c r="F1394" s="1748">
        <f>'Bahan &amp; Upah'!C$338</f>
        <v>125485.75</v>
      </c>
      <c r="G1394" s="2000">
        <f>F1394*D1394</f>
        <v>2509.7150000000001</v>
      </c>
      <c r="H1394" s="1980">
        <v>1</v>
      </c>
      <c r="I1394" s="1980">
        <f>(G1394/G$1403)*H1394</f>
        <v>2.6183819842582223E-2</v>
      </c>
      <c r="J1394" s="1981"/>
    </row>
    <row r="1395" spans="1:10" ht="15.75" customHeight="1">
      <c r="A1395" s="1780"/>
      <c r="B1395" s="1739"/>
      <c r="C1395" s="1878" t="s">
        <v>2107</v>
      </c>
      <c r="D1395" s="1841">
        <v>6.7000000000000002E-3</v>
      </c>
      <c r="E1395" s="413" t="s">
        <v>2069</v>
      </c>
      <c r="F1395" s="1883">
        <f>'Bahan &amp; Upah'!C$339</f>
        <v>102689.88</v>
      </c>
      <c r="G1395" s="2001">
        <f>F1395*D1395</f>
        <v>688.02219600000001</v>
      </c>
      <c r="H1395" s="1980">
        <v>1</v>
      </c>
      <c r="I1395" s="1982">
        <f>(G1395/G$1403)*H1395</f>
        <v>7.1781254954294792E-3</v>
      </c>
      <c r="J1395" s="1981"/>
    </row>
    <row r="1396" spans="1:10" ht="15.75" customHeight="1">
      <c r="A1396" s="1780"/>
      <c r="B1396" s="1739"/>
      <c r="C1396" s="1889" t="s">
        <v>2108</v>
      </c>
      <c r="D1396" s="1841"/>
      <c r="E1396" s="413"/>
      <c r="F1396" s="320"/>
      <c r="G1396" s="2000">
        <f>SUM(G1392:G1395)</f>
        <v>35657.712196</v>
      </c>
      <c r="H1396" s="1980"/>
      <c r="I1396" s="1983">
        <f>SUM(I1392:I1395)</f>
        <v>0.37201638916718072</v>
      </c>
      <c r="J1396" s="1981"/>
    </row>
    <row r="1397" spans="1:10" ht="15.75" customHeight="1">
      <c r="A1397" s="1780"/>
      <c r="B1397" s="1739" t="s">
        <v>1015</v>
      </c>
      <c r="C1397" s="1877" t="s">
        <v>2075</v>
      </c>
      <c r="D1397" s="1841"/>
      <c r="E1397" s="413"/>
      <c r="F1397" s="317"/>
      <c r="G1397" s="1999"/>
      <c r="H1397" s="1980"/>
      <c r="I1397" s="1980"/>
      <c r="J1397" s="1981"/>
    </row>
    <row r="1398" spans="1:10" ht="15.75" customHeight="1">
      <c r="A1398" s="1780"/>
      <c r="B1398" s="1739"/>
      <c r="C1398" s="1878" t="s">
        <v>2551</v>
      </c>
      <c r="D1398" s="1841">
        <v>1.05</v>
      </c>
      <c r="E1398" s="413" t="s">
        <v>117</v>
      </c>
      <c r="F1398" s="1747">
        <f>'Bahan &amp; Upah'!C115</f>
        <v>55608.33</v>
      </c>
      <c r="G1398" s="2000">
        <f>F1398*D1398</f>
        <v>58388.746500000001</v>
      </c>
      <c r="H1398" s="1980">
        <v>0.83589999999999998</v>
      </c>
      <c r="I1398" s="1980">
        <f>(G1398/G$1403)*H1398</f>
        <v>0.50920431459392435</v>
      </c>
      <c r="J1398" s="1981"/>
    </row>
    <row r="1399" spans="1:10" ht="15.75" customHeight="1">
      <c r="A1399" s="1780"/>
      <c r="B1399" s="1739"/>
      <c r="C1399" s="1878" t="s">
        <v>2078</v>
      </c>
      <c r="D1399" s="1841">
        <v>0.05</v>
      </c>
      <c r="E1399" s="413" t="s">
        <v>100</v>
      </c>
      <c r="F1399" s="1747">
        <f>'Bahan &amp; Upah'!C$54</f>
        <v>36067.67</v>
      </c>
      <c r="G1399" s="2001">
        <f>F1399*D1399</f>
        <v>1803.3834999999999</v>
      </c>
      <c r="H1399" s="1975">
        <v>0.27879999999999999</v>
      </c>
      <c r="I1399" s="1982">
        <f>(G1399/G$1403)*H1399</f>
        <v>5.2455310126841501E-3</v>
      </c>
      <c r="J1399" s="1981"/>
    </row>
    <row r="1400" spans="1:10" ht="15.75" customHeight="1">
      <c r="A1400" s="1780"/>
      <c r="B1400" s="1784"/>
      <c r="C1400" s="1889" t="s">
        <v>2091</v>
      </c>
      <c r="D1400" s="1841"/>
      <c r="E1400" s="413"/>
      <c r="F1400" s="320"/>
      <c r="G1400" s="2000">
        <f>SUM(G1398:G1399)</f>
        <v>60192.130000000005</v>
      </c>
      <c r="H1400" s="1980"/>
      <c r="I1400" s="1983">
        <f>SUM(I1398:I1399)</f>
        <v>0.51444984560660845</v>
      </c>
      <c r="J1400" s="1981"/>
    </row>
    <row r="1401" spans="1:10" ht="15.75" customHeight="1">
      <c r="A1401" s="1780"/>
      <c r="B1401" s="1739" t="s">
        <v>1048</v>
      </c>
      <c r="C1401" s="1877" t="s">
        <v>2246</v>
      </c>
      <c r="D1401" s="1841"/>
      <c r="E1401" s="413"/>
      <c r="F1401" s="317"/>
      <c r="G1401" s="1999"/>
      <c r="H1401" s="1980"/>
      <c r="I1401" s="1980"/>
      <c r="J1401" s="1981"/>
    </row>
    <row r="1402" spans="1:10" ht="15.75" customHeight="1">
      <c r="A1402" s="1780"/>
      <c r="B1402" s="1784"/>
      <c r="C1402" s="1878"/>
      <c r="D1402" s="1841"/>
      <c r="E1402" s="413"/>
      <c r="F1402" s="320"/>
      <c r="G1402" s="2000">
        <v>0</v>
      </c>
      <c r="H1402" s="1980"/>
      <c r="I1402" s="1980"/>
      <c r="J1402" s="1981"/>
    </row>
    <row r="1403" spans="1:10" ht="15.75" customHeight="1">
      <c r="A1403" s="1780"/>
      <c r="B1403" s="1784"/>
      <c r="C1403" s="1804" t="s">
        <v>2298</v>
      </c>
      <c r="D1403" s="1763"/>
      <c r="E1403" s="1764"/>
      <c r="F1403" s="1765"/>
      <c r="G1403" s="2002">
        <f>G1396+G1400+G1402</f>
        <v>95849.842196000012</v>
      </c>
      <c r="H1403" s="1980"/>
      <c r="I1403" s="1984">
        <f>I1396+I1400</f>
        <v>0.88646623477378916</v>
      </c>
      <c r="J1403" s="1981"/>
    </row>
    <row r="1404" spans="1:10" ht="15.75" customHeight="1">
      <c r="A1404" s="1780"/>
      <c r="B1404" s="1784"/>
      <c r="C1404" s="1762" t="s">
        <v>2094</v>
      </c>
      <c r="D1404" s="1767">
        <f>M$4</f>
        <v>0.15</v>
      </c>
      <c r="E1404" s="1768"/>
      <c r="F1404" s="1765"/>
      <c r="G1404" s="1765">
        <f>G1403*D1404</f>
        <v>14377.476329400002</v>
      </c>
      <c r="H1404" s="1980"/>
      <c r="I1404" s="1980"/>
      <c r="J1404" s="1981"/>
    </row>
    <row r="1405" spans="1:10" ht="15.75" customHeight="1">
      <c r="A1405" s="1786"/>
      <c r="B1405" s="1890"/>
      <c r="C1405" s="1788" t="s">
        <v>2111</v>
      </c>
      <c r="D1405" s="1772"/>
      <c r="E1405" s="1773"/>
      <c r="F1405" s="1774"/>
      <c r="G1405" s="2003">
        <f>ROUNDUP((G1403+G1404),2)</f>
        <v>110227.31999999999</v>
      </c>
      <c r="H1405" s="2004"/>
      <c r="I1405" s="1982"/>
      <c r="J1405" s="2005"/>
    </row>
    <row r="1406" spans="1:10" ht="15.75" customHeight="1">
      <c r="A1406" s="1733"/>
      <c r="B1406" s="1733"/>
      <c r="C1406" s="1733"/>
      <c r="D1406" s="1733"/>
      <c r="E1406" s="1733"/>
      <c r="F1406" s="1733"/>
      <c r="G1406" s="1733"/>
      <c r="H1406" s="1733"/>
      <c r="I1406" s="1733"/>
      <c r="J1406" s="1733"/>
    </row>
    <row r="1407" spans="1:10" ht="15.75" customHeight="1">
      <c r="A1407" s="1778">
        <f>A1390+1</f>
        <v>62</v>
      </c>
      <c r="B1407" s="1779" t="s">
        <v>2552</v>
      </c>
      <c r="C1407" s="1939" t="s">
        <v>2553</v>
      </c>
      <c r="D1407" s="1971"/>
      <c r="E1407" s="1874"/>
      <c r="F1407" s="1875"/>
      <c r="G1407" s="1875"/>
      <c r="H1407" s="1800"/>
      <c r="I1407" s="1800"/>
      <c r="J1407" s="1801"/>
    </row>
    <row r="1408" spans="1:10" ht="15.75" customHeight="1">
      <c r="A1408" s="1780"/>
      <c r="B1408" s="1739" t="s">
        <v>1004</v>
      </c>
      <c r="C1408" s="1877" t="s">
        <v>2067</v>
      </c>
      <c r="D1408" s="390"/>
      <c r="E1408" s="413"/>
      <c r="F1408" s="320"/>
      <c r="G1408" s="320"/>
      <c r="H1408" s="1802"/>
      <c r="I1408" s="1802"/>
      <c r="J1408" s="1803"/>
    </row>
    <row r="1409" spans="1:10" ht="15.75" customHeight="1">
      <c r="A1409" s="1780"/>
      <c r="B1409" s="1739"/>
      <c r="C1409" s="1878" t="s">
        <v>2103</v>
      </c>
      <c r="D1409" s="1781">
        <v>0.16669999999999999</v>
      </c>
      <c r="E1409" s="413" t="s">
        <v>2069</v>
      </c>
      <c r="F1409" s="1747">
        <f>'Bahan &amp; Upah'!C$336</f>
        <v>96332.65</v>
      </c>
      <c r="G1409" s="361">
        <f>F1409*D1409</f>
        <v>16058.652754999997</v>
      </c>
      <c r="H1409" s="1749">
        <v>1</v>
      </c>
      <c r="I1409" s="1749">
        <f>(G1409/G$1419)*H1409</f>
        <v>0.10156464636823562</v>
      </c>
      <c r="J1409" s="1750"/>
    </row>
    <row r="1410" spans="1:10" ht="15.75" customHeight="1">
      <c r="A1410" s="1780"/>
      <c r="B1410" s="1739"/>
      <c r="C1410" s="1878" t="s">
        <v>2124</v>
      </c>
      <c r="D1410" s="1781">
        <v>8.3299999999999999E-2</v>
      </c>
      <c r="E1410" s="413" t="s">
        <v>2069</v>
      </c>
      <c r="F1410" s="1883">
        <f>'Bahan &amp; Upah'!C$337</f>
        <v>114133.55</v>
      </c>
      <c r="G1410" s="361">
        <f>F1410*D1410</f>
        <v>9507.3247150000007</v>
      </c>
      <c r="H1410" s="1749">
        <v>1</v>
      </c>
      <c r="I1410" s="1749">
        <f>(G1410/G$1419)*H1410</f>
        <v>6.0130079859053637E-2</v>
      </c>
      <c r="J1410" s="1750"/>
    </row>
    <row r="1411" spans="1:10" ht="15.75" customHeight="1">
      <c r="A1411" s="1780"/>
      <c r="B1411" s="1739"/>
      <c r="C1411" s="1878" t="s">
        <v>2072</v>
      </c>
      <c r="D1411" s="1781">
        <v>8.3000000000000001E-3</v>
      </c>
      <c r="E1411" s="413" t="s">
        <v>2069</v>
      </c>
      <c r="F1411" s="1748">
        <f>'Bahan &amp; Upah'!C$338</f>
        <v>125485.75</v>
      </c>
      <c r="G1411" s="361">
        <f>F1411*D1411</f>
        <v>1041.5317250000001</v>
      </c>
      <c r="H1411" s="1749">
        <v>1</v>
      </c>
      <c r="I1411" s="1749">
        <f>(G1411/G$1419)*H1411</f>
        <v>6.587277459996578E-3</v>
      </c>
      <c r="J1411" s="1750"/>
    </row>
    <row r="1412" spans="1:10" ht="15.75" customHeight="1">
      <c r="A1412" s="1780"/>
      <c r="B1412" s="1739"/>
      <c r="C1412" s="1878" t="s">
        <v>2107</v>
      </c>
      <c r="D1412" s="1781">
        <v>2.8E-3</v>
      </c>
      <c r="E1412" s="413" t="s">
        <v>2069</v>
      </c>
      <c r="F1412" s="1883">
        <f>'Bahan &amp; Upah'!C$339</f>
        <v>102689.88</v>
      </c>
      <c r="G1412" s="1785">
        <f>F1412*D1412</f>
        <v>287.53166400000003</v>
      </c>
      <c r="H1412" s="1749">
        <v>1</v>
      </c>
      <c r="I1412" s="1752">
        <f>(G1412/G$1419)*H1412</f>
        <v>1.8185243942545385E-3</v>
      </c>
      <c r="J1412" s="1750"/>
    </row>
    <row r="1413" spans="1:10" ht="15.75" customHeight="1">
      <c r="A1413" s="1780"/>
      <c r="B1413" s="1739"/>
      <c r="C1413" s="1889" t="s">
        <v>2108</v>
      </c>
      <c r="D1413" s="1781"/>
      <c r="E1413" s="413"/>
      <c r="F1413" s="320"/>
      <c r="G1413" s="361">
        <f>SUM(G1409:G1412)</f>
        <v>26895.040858999997</v>
      </c>
      <c r="H1413" s="1749"/>
      <c r="I1413" s="1754">
        <f>SUM(I1409:I1412)</f>
        <v>0.17010052808154036</v>
      </c>
      <c r="J1413" s="1750"/>
    </row>
    <row r="1414" spans="1:10" ht="15.75" customHeight="1">
      <c r="A1414" s="1780"/>
      <c r="B1414" s="1739" t="s">
        <v>1015</v>
      </c>
      <c r="C1414" s="1877" t="s">
        <v>2075</v>
      </c>
      <c r="D1414" s="1781"/>
      <c r="E1414" s="1914"/>
      <c r="F1414" s="320"/>
      <c r="G1414" s="320"/>
      <c r="H1414" s="1749"/>
      <c r="I1414" s="1749"/>
      <c r="J1414" s="1750"/>
    </row>
    <row r="1415" spans="1:10" ht="15.75" customHeight="1">
      <c r="A1415" s="1780"/>
      <c r="B1415" s="1739"/>
      <c r="C1415" s="1878" t="s">
        <v>2554</v>
      </c>
      <c r="D1415" s="1781">
        <v>14</v>
      </c>
      <c r="E1415" s="413" t="s">
        <v>124</v>
      </c>
      <c r="F1415" s="1883">
        <f>'Bahan &amp; Upah'!C22</f>
        <v>4265.99</v>
      </c>
      <c r="G1415" s="332">
        <f>F1415*D1415</f>
        <v>59723.86</v>
      </c>
      <c r="H1415" s="1749">
        <v>1</v>
      </c>
      <c r="I1415" s="1749">
        <f>(G1415/G$1419)*H1415</f>
        <v>0.37772986396740932</v>
      </c>
      <c r="J1415" s="1750"/>
    </row>
    <row r="1416" spans="1:10" ht="15.75" customHeight="1">
      <c r="A1416" s="1780"/>
      <c r="B1416" s="1784"/>
      <c r="C1416" s="1878" t="s">
        <v>2080</v>
      </c>
      <c r="D1416" s="1781">
        <v>24.26</v>
      </c>
      <c r="E1416" s="413" t="s">
        <v>100</v>
      </c>
      <c r="F1416" s="1883">
        <f>'Bahan &amp; Upah'!C$27</f>
        <v>1792.44</v>
      </c>
      <c r="G1416" s="332">
        <f>F1416*D1416</f>
        <v>43484.594400000002</v>
      </c>
      <c r="H1416" s="1749">
        <v>0.91900000000000004</v>
      </c>
      <c r="I1416" s="1749">
        <f>(G1416/G$1419)*H1416</f>
        <v>0.25274605665593924</v>
      </c>
      <c r="J1416" s="1750"/>
    </row>
    <row r="1417" spans="1:10" ht="15.75" customHeight="1">
      <c r="A1417" s="1780"/>
      <c r="B1417" s="1784"/>
      <c r="C1417" s="1878" t="s">
        <v>2081</v>
      </c>
      <c r="D1417" s="1781">
        <v>7.7200000000000005E-2</v>
      </c>
      <c r="E1417" s="413" t="s">
        <v>103</v>
      </c>
      <c r="F1417" s="361">
        <f>'Bahan &amp; Upah'!C$11</f>
        <v>362812.55</v>
      </c>
      <c r="G1417" s="1785">
        <f>F1417*D1417</f>
        <v>28009.128860000001</v>
      </c>
      <c r="H1417" s="1749">
        <v>1</v>
      </c>
      <c r="I1417" s="1752">
        <f>(G1417/G$1419)*H1417</f>
        <v>0.17714669537657879</v>
      </c>
      <c r="J1417" s="1750"/>
    </row>
    <row r="1418" spans="1:10" ht="15.75" customHeight="1">
      <c r="A1418" s="1780"/>
      <c r="B1418" s="1784"/>
      <c r="C1418" s="1878"/>
      <c r="D1418" s="1781"/>
      <c r="E1418" s="413"/>
      <c r="F1418" s="320"/>
      <c r="G1418" s="361">
        <f>SUM(G1415:G1417)</f>
        <v>131217.58326000001</v>
      </c>
      <c r="H1418" s="1749"/>
      <c r="I1418" s="1754">
        <f>SUM(I1415:I1417)</f>
        <v>0.80762261599992735</v>
      </c>
      <c r="J1418" s="1750"/>
    </row>
    <row r="1419" spans="1:10" ht="15.75" customHeight="1">
      <c r="A1419" s="1780"/>
      <c r="B1419" s="1784"/>
      <c r="C1419" s="1804" t="s">
        <v>2298</v>
      </c>
      <c r="D1419" s="1763"/>
      <c r="E1419" s="1764"/>
      <c r="F1419" s="1765"/>
      <c r="G1419" s="1765">
        <f>G1413+G1418</f>
        <v>158112.62411900001</v>
      </c>
      <c r="H1419" s="1749"/>
      <c r="I1419" s="1766">
        <f>I1413+I1418</f>
        <v>0.97772314408146777</v>
      </c>
      <c r="J1419" s="1750"/>
    </row>
    <row r="1420" spans="1:10" ht="15.75" customHeight="1">
      <c r="A1420" s="1780"/>
      <c r="B1420" s="1784"/>
      <c r="C1420" s="1762" t="s">
        <v>2094</v>
      </c>
      <c r="D1420" s="1767">
        <f>M$4</f>
        <v>0.15</v>
      </c>
      <c r="E1420" s="1768"/>
      <c r="F1420" s="1765"/>
      <c r="G1420" s="1765">
        <f>G1419*D1420</f>
        <v>23716.893617850001</v>
      </c>
      <c r="H1420" s="1749"/>
      <c r="I1420" s="1749"/>
      <c r="J1420" s="1750"/>
    </row>
    <row r="1421" spans="1:10" ht="15.75" customHeight="1">
      <c r="A1421" s="1786"/>
      <c r="B1421" s="1890"/>
      <c r="C1421" s="1788" t="s">
        <v>2111</v>
      </c>
      <c r="D1421" s="1772"/>
      <c r="E1421" s="1773"/>
      <c r="F1421" s="1774"/>
      <c r="G1421" s="1775">
        <f>ROUNDUP((G1419+G1420),2)</f>
        <v>181829.52000000002</v>
      </c>
      <c r="H1421" s="1776"/>
      <c r="I1421" s="1776"/>
      <c r="J1421" s="1789"/>
    </row>
    <row r="1422" spans="1:10" ht="15.75" customHeight="1">
      <c r="A1422" s="1733"/>
      <c r="B1422" s="1733"/>
      <c r="C1422" s="1733"/>
      <c r="D1422" s="1733"/>
      <c r="E1422" s="1733"/>
      <c r="F1422" s="1733"/>
      <c r="G1422" s="1733"/>
      <c r="H1422" s="1733"/>
      <c r="I1422" s="1733"/>
      <c r="J1422" s="1733"/>
    </row>
    <row r="1423" spans="1:10" ht="15.75" customHeight="1">
      <c r="A1423" s="1778">
        <f>A1407+1</f>
        <v>63</v>
      </c>
      <c r="B1423" s="1779" t="s">
        <v>2555</v>
      </c>
      <c r="C1423" s="1939" t="s">
        <v>2556</v>
      </c>
      <c r="D1423" s="1971"/>
      <c r="E1423" s="1874"/>
      <c r="F1423" s="1875"/>
      <c r="G1423" s="1875"/>
      <c r="H1423" s="1800"/>
      <c r="I1423" s="1800"/>
      <c r="J1423" s="1801"/>
    </row>
    <row r="1424" spans="1:10" ht="15.75" customHeight="1">
      <c r="A1424" s="1780"/>
      <c r="B1424" s="1739" t="s">
        <v>1004</v>
      </c>
      <c r="C1424" s="1877" t="s">
        <v>2067</v>
      </c>
      <c r="D1424" s="390"/>
      <c r="E1424" s="413"/>
      <c r="F1424" s="320"/>
      <c r="G1424" s="320"/>
      <c r="H1424" s="1802"/>
      <c r="I1424" s="1802"/>
      <c r="J1424" s="1803"/>
    </row>
    <row r="1425" spans="1:10" ht="15.75" customHeight="1">
      <c r="A1425" s="1780"/>
      <c r="B1425" s="1739"/>
      <c r="C1425" s="1878" t="s">
        <v>2103</v>
      </c>
      <c r="D1425" s="1781">
        <v>0.2</v>
      </c>
      <c r="E1425" s="413" t="s">
        <v>2069</v>
      </c>
      <c r="F1425" s="1747">
        <f>'Bahan &amp; Upah'!C$336</f>
        <v>96332.65</v>
      </c>
      <c r="G1425" s="361">
        <f>F1425*D1425</f>
        <v>19266.53</v>
      </c>
      <c r="H1425" s="1749">
        <v>1</v>
      </c>
      <c r="I1425" s="1749">
        <f>(G1425/G$1435)*H1425</f>
        <v>0.13754427700423352</v>
      </c>
      <c r="J1425" s="1750"/>
    </row>
    <row r="1426" spans="1:10" ht="15.75" customHeight="1">
      <c r="A1426" s="1780"/>
      <c r="B1426" s="1739"/>
      <c r="C1426" s="1878" t="s">
        <v>2124</v>
      </c>
      <c r="D1426" s="1781">
        <v>0.1</v>
      </c>
      <c r="E1426" s="413" t="s">
        <v>2069</v>
      </c>
      <c r="F1426" s="1883">
        <f>'Bahan &amp; Upah'!C$337</f>
        <v>114133.55</v>
      </c>
      <c r="G1426" s="361">
        <f>F1426*D1426</f>
        <v>11413.355000000001</v>
      </c>
      <c r="H1426" s="1749">
        <v>1</v>
      </c>
      <c r="I1426" s="1749">
        <f>(G1426/G$1435)*H1426</f>
        <v>8.1480248994897059E-2</v>
      </c>
      <c r="J1426" s="1750"/>
    </row>
    <row r="1427" spans="1:10" ht="15.75" customHeight="1">
      <c r="A1427" s="1780"/>
      <c r="B1427" s="1739"/>
      <c r="C1427" s="1878" t="s">
        <v>2072</v>
      </c>
      <c r="D1427" s="1781">
        <v>0.01</v>
      </c>
      <c r="E1427" s="413" t="s">
        <v>2069</v>
      </c>
      <c r="F1427" s="1748">
        <f>'Bahan &amp; Upah'!C$338</f>
        <v>125485.75</v>
      </c>
      <c r="G1427" s="361">
        <f>F1427*D1427</f>
        <v>1254.8575000000001</v>
      </c>
      <c r="H1427" s="1749">
        <v>1</v>
      </c>
      <c r="I1427" s="1749">
        <f>(G1427/G$1435)*H1427</f>
        <v>8.9584615175041897E-3</v>
      </c>
      <c r="J1427" s="1750"/>
    </row>
    <row r="1428" spans="1:10" ht="15.75" customHeight="1">
      <c r="A1428" s="1780"/>
      <c r="B1428" s="1739"/>
      <c r="C1428" s="1878" t="s">
        <v>2107</v>
      </c>
      <c r="D1428" s="1781">
        <v>3.3E-3</v>
      </c>
      <c r="E1428" s="413" t="s">
        <v>2069</v>
      </c>
      <c r="F1428" s="1883">
        <f>'Bahan &amp; Upah'!C$339</f>
        <v>102689.88</v>
      </c>
      <c r="G1428" s="1785">
        <f>F1428*D1428</f>
        <v>338.87660399999999</v>
      </c>
      <c r="H1428" s="1749">
        <v>1</v>
      </c>
      <c r="I1428" s="1752">
        <f>(G1428/G$1435)*H1428</f>
        <v>2.419249210461352E-3</v>
      </c>
      <c r="J1428" s="1750"/>
    </row>
    <row r="1429" spans="1:10" ht="15.75" customHeight="1">
      <c r="A1429" s="1780"/>
      <c r="B1429" s="1739"/>
      <c r="C1429" s="1889" t="s">
        <v>2108</v>
      </c>
      <c r="D1429" s="1781"/>
      <c r="E1429" s="413"/>
      <c r="F1429" s="320"/>
      <c r="G1429" s="361">
        <f>SUM(G1425:G1428)</f>
        <v>32273.619104000001</v>
      </c>
      <c r="H1429" s="1749"/>
      <c r="I1429" s="1754">
        <f>SUM(I1425:I1428)</f>
        <v>0.23040223672709612</v>
      </c>
      <c r="J1429" s="1750"/>
    </row>
    <row r="1430" spans="1:10" ht="15.75" customHeight="1">
      <c r="A1430" s="1780"/>
      <c r="B1430" s="1739" t="s">
        <v>1015</v>
      </c>
      <c r="C1430" s="1877" t="s">
        <v>2075</v>
      </c>
      <c r="D1430" s="1781"/>
      <c r="E1430" s="1914"/>
      <c r="F1430" s="320"/>
      <c r="G1430" s="320"/>
      <c r="H1430" s="1749"/>
      <c r="I1430" s="1749"/>
      <c r="J1430" s="1750"/>
    </row>
    <row r="1431" spans="1:10" ht="15.75" customHeight="1">
      <c r="A1431" s="1780"/>
      <c r="B1431" s="1739"/>
      <c r="C1431" s="1878" t="s">
        <v>2084</v>
      </c>
      <c r="D1431" s="1781">
        <v>71.91</v>
      </c>
      <c r="E1431" s="413" t="s">
        <v>124</v>
      </c>
      <c r="F1431" s="1883">
        <f>'Bahan &amp; Upah'!C$20</f>
        <v>1030.79</v>
      </c>
      <c r="G1431" s="332">
        <f>F1431*D1431</f>
        <v>74124.108899999992</v>
      </c>
      <c r="H1431" s="1749">
        <v>1</v>
      </c>
      <c r="I1431" s="1749">
        <f>(G1431/G$1435)*H1431</f>
        <v>0.529174011471374</v>
      </c>
      <c r="J1431" s="1750"/>
    </row>
    <row r="1432" spans="1:10" ht="15.75" customHeight="1">
      <c r="A1432" s="1780"/>
      <c r="B1432" s="1784"/>
      <c r="C1432" s="1878" t="s">
        <v>2080</v>
      </c>
      <c r="D1432" s="1781">
        <v>9.68</v>
      </c>
      <c r="E1432" s="413" t="s">
        <v>100</v>
      </c>
      <c r="F1432" s="1883">
        <f>'Bahan &amp; Upah'!C$27</f>
        <v>1792.44</v>
      </c>
      <c r="G1432" s="332">
        <f>F1432*D1432</f>
        <v>17350.819200000002</v>
      </c>
      <c r="H1432" s="1749">
        <v>0.91900000000000004</v>
      </c>
      <c r="I1432" s="1749">
        <f>(G1432/G$1435)*H1432</f>
        <v>0.11383466072143064</v>
      </c>
      <c r="J1432" s="1750"/>
    </row>
    <row r="1433" spans="1:10" ht="15.75" customHeight="1">
      <c r="A1433" s="1780"/>
      <c r="B1433" s="1784"/>
      <c r="C1433" s="1878" t="s">
        <v>2081</v>
      </c>
      <c r="D1433" s="1781">
        <v>4.4999999999999998E-2</v>
      </c>
      <c r="E1433" s="413" t="s">
        <v>103</v>
      </c>
      <c r="F1433" s="361">
        <f>'Bahan &amp; Upah'!C$11</f>
        <v>362812.55</v>
      </c>
      <c r="G1433" s="1785">
        <f>F1433*D1433</f>
        <v>16326.56475</v>
      </c>
      <c r="H1433" s="1749">
        <v>1</v>
      </c>
      <c r="I1433" s="1752">
        <f>(G1433/G$1435)*H1433</f>
        <v>0.11655578583696986</v>
      </c>
      <c r="J1433" s="1750"/>
    </row>
    <row r="1434" spans="1:10" ht="15.75" customHeight="1">
      <c r="A1434" s="1780"/>
      <c r="B1434" s="1784"/>
      <c r="C1434" s="1878"/>
      <c r="D1434" s="1781"/>
      <c r="E1434" s="413"/>
      <c r="F1434" s="320"/>
      <c r="G1434" s="361">
        <f>SUM(G1431:G1433)</f>
        <v>107801.49285</v>
      </c>
      <c r="H1434" s="1749"/>
      <c r="I1434" s="1754">
        <f>SUM(I1431:I1433)</f>
        <v>0.75956445802977457</v>
      </c>
      <c r="J1434" s="1750"/>
    </row>
    <row r="1435" spans="1:10" ht="15.75" customHeight="1">
      <c r="A1435" s="1780"/>
      <c r="B1435" s="1784"/>
      <c r="C1435" s="1804" t="s">
        <v>2298</v>
      </c>
      <c r="D1435" s="1763"/>
      <c r="E1435" s="1764"/>
      <c r="F1435" s="1765"/>
      <c r="G1435" s="1765">
        <f>G1429+G1434</f>
        <v>140075.11195399999</v>
      </c>
      <c r="H1435" s="1749"/>
      <c r="I1435" s="1766">
        <f>I1429+I1434</f>
        <v>0.98996669475687071</v>
      </c>
      <c r="J1435" s="1750"/>
    </row>
    <row r="1436" spans="1:10" ht="15.75" customHeight="1">
      <c r="A1436" s="1780"/>
      <c r="B1436" s="1784"/>
      <c r="C1436" s="1762" t="s">
        <v>2094</v>
      </c>
      <c r="D1436" s="1767">
        <f>M$4</f>
        <v>0.15</v>
      </c>
      <c r="E1436" s="1768"/>
      <c r="F1436" s="1765"/>
      <c r="G1436" s="1765">
        <f>G1435*D1436</f>
        <v>21011.2667931</v>
      </c>
      <c r="H1436" s="1749"/>
      <c r="I1436" s="1749"/>
      <c r="J1436" s="1750"/>
    </row>
    <row r="1437" spans="1:10" ht="15.75" customHeight="1">
      <c r="A1437" s="1786"/>
      <c r="B1437" s="1890"/>
      <c r="C1437" s="1788" t="s">
        <v>2111</v>
      </c>
      <c r="D1437" s="1772"/>
      <c r="E1437" s="1773"/>
      <c r="F1437" s="1774"/>
      <c r="G1437" s="1775">
        <f>ROUNDUP((G1435+G1436),2)</f>
        <v>161086.38</v>
      </c>
      <c r="H1437" s="1776"/>
      <c r="I1437" s="1776"/>
      <c r="J1437" s="1789"/>
    </row>
    <row r="1438" spans="1:10" ht="15.75" customHeight="1">
      <c r="A1438" s="28"/>
      <c r="B1438" s="28"/>
      <c r="C1438" s="28"/>
      <c r="D1438" s="28"/>
      <c r="E1438" s="28"/>
      <c r="F1438" s="28"/>
      <c r="G1438" s="28"/>
      <c r="H1438" s="28"/>
      <c r="I1438" s="28"/>
      <c r="J1438" s="28"/>
    </row>
    <row r="1439" spans="1:10" ht="15.75" customHeight="1">
      <c r="A1439" s="28"/>
      <c r="B1439" s="28"/>
      <c r="C1439" s="28"/>
      <c r="D1439" s="28"/>
      <c r="E1439" s="28"/>
      <c r="F1439" s="28"/>
      <c r="G1439" s="28"/>
      <c r="H1439" s="28"/>
      <c r="I1439" s="28"/>
      <c r="J1439" s="28"/>
    </row>
    <row r="1440" spans="1:10" ht="15.75" customHeight="1">
      <c r="A1440" s="1778">
        <f>A1423+1</f>
        <v>64</v>
      </c>
      <c r="B1440" s="1779" t="s">
        <v>2557</v>
      </c>
      <c r="C1440" s="1872" t="s">
        <v>2558</v>
      </c>
      <c r="D1440" s="1971"/>
      <c r="E1440" s="1874"/>
      <c r="F1440" s="1875"/>
      <c r="G1440" s="1875"/>
      <c r="H1440" s="1800"/>
      <c r="I1440" s="1800"/>
      <c r="J1440" s="1801"/>
    </row>
    <row r="1441" spans="1:10" ht="15.75" customHeight="1">
      <c r="A1441" s="1780"/>
      <c r="B1441" s="1739" t="s">
        <v>1004</v>
      </c>
      <c r="C1441" s="1877" t="s">
        <v>2067</v>
      </c>
      <c r="D1441" s="390"/>
      <c r="E1441" s="413"/>
      <c r="F1441" s="320"/>
      <c r="G1441" s="320"/>
      <c r="H1441" s="1802"/>
      <c r="I1441" s="1802"/>
      <c r="J1441" s="1803"/>
    </row>
    <row r="1442" spans="1:10" ht="15.75" customHeight="1">
      <c r="A1442" s="1780"/>
      <c r="B1442" s="1739"/>
      <c r="C1442" s="1878" t="s">
        <v>2103</v>
      </c>
      <c r="D1442" s="1781">
        <v>0.2</v>
      </c>
      <c r="E1442" s="413" t="s">
        <v>2069</v>
      </c>
      <c r="F1442" s="1747">
        <f>'Bahan &amp; Upah'!C$336</f>
        <v>96332.65</v>
      </c>
      <c r="G1442" s="361">
        <f>F1442*D1442</f>
        <v>19266.53</v>
      </c>
      <c r="H1442" s="1749">
        <v>1</v>
      </c>
      <c r="I1442" s="1749">
        <f>(G1442/G$1453)*H1442</f>
        <v>0.37778432513246307</v>
      </c>
      <c r="J1442" s="1750"/>
    </row>
    <row r="1443" spans="1:10" ht="15.75" customHeight="1">
      <c r="A1443" s="1780"/>
      <c r="B1443" s="1739"/>
      <c r="C1443" s="1878" t="s">
        <v>2124</v>
      </c>
      <c r="D1443" s="1781">
        <v>0.1</v>
      </c>
      <c r="E1443" s="413" t="s">
        <v>2069</v>
      </c>
      <c r="F1443" s="1883">
        <f>'Bahan &amp; Upah'!C$337</f>
        <v>114133.55</v>
      </c>
      <c r="G1443" s="361">
        <f>F1443*D1443</f>
        <v>11413.355000000001</v>
      </c>
      <c r="H1443" s="1749">
        <v>1</v>
      </c>
      <c r="I1443" s="1749">
        <f>(G1443/G$1453)*H1443</f>
        <v>0.22379674057405374</v>
      </c>
      <c r="J1443" s="1974"/>
    </row>
    <row r="1444" spans="1:10" ht="15.75" customHeight="1">
      <c r="A1444" s="1780"/>
      <c r="B1444" s="1739"/>
      <c r="C1444" s="1878" t="s">
        <v>2072</v>
      </c>
      <c r="D1444" s="1781">
        <v>0.01</v>
      </c>
      <c r="E1444" s="413" t="s">
        <v>2069</v>
      </c>
      <c r="F1444" s="1748">
        <f>'Bahan &amp; Upah'!C$338</f>
        <v>125485.75</v>
      </c>
      <c r="G1444" s="361">
        <f>F1444*D1444</f>
        <v>1254.8575000000001</v>
      </c>
      <c r="H1444" s="1749">
        <v>1</v>
      </c>
      <c r="I1444" s="1749">
        <f>(G1444/G$1453)*H1444</f>
        <v>2.4605649993792854E-2</v>
      </c>
      <c r="J1444" s="1974"/>
    </row>
    <row r="1445" spans="1:10" ht="15.75" customHeight="1">
      <c r="A1445" s="1780"/>
      <c r="B1445" s="1739"/>
      <c r="C1445" s="1878" t="s">
        <v>2107</v>
      </c>
      <c r="D1445" s="1781">
        <v>3.3E-3</v>
      </c>
      <c r="E1445" s="413" t="s">
        <v>2069</v>
      </c>
      <c r="F1445" s="1883">
        <f>'Bahan &amp; Upah'!C$339</f>
        <v>102689.88</v>
      </c>
      <c r="G1445" s="1785">
        <f>F1445*D1445</f>
        <v>338.87660399999999</v>
      </c>
      <c r="H1445" s="1749">
        <v>1</v>
      </c>
      <c r="I1445" s="1752">
        <f>(G1445/G$1453)*H1445</f>
        <v>6.6448015883151211E-3</v>
      </c>
      <c r="J1445" s="1974"/>
    </row>
    <row r="1446" spans="1:10" ht="15.75" customHeight="1">
      <c r="A1446" s="1780"/>
      <c r="B1446" s="1739"/>
      <c r="C1446" s="1889" t="s">
        <v>2108</v>
      </c>
      <c r="D1446" s="1781"/>
      <c r="E1446" s="413"/>
      <c r="F1446" s="320"/>
      <c r="G1446" s="361">
        <f>SUM(G1442:G1445)</f>
        <v>32273.619104000001</v>
      </c>
      <c r="H1446" s="1994"/>
      <c r="I1446" s="1994">
        <f>SUM(I1442:I1445)</f>
        <v>0.63283151728862486</v>
      </c>
      <c r="J1446" s="1974"/>
    </row>
    <row r="1447" spans="1:10" ht="15.75" customHeight="1">
      <c r="A1447" s="1780"/>
      <c r="B1447" s="1739" t="s">
        <v>1015</v>
      </c>
      <c r="C1447" s="1877" t="s">
        <v>2075</v>
      </c>
      <c r="D1447" s="1781"/>
      <c r="E1447" s="413"/>
      <c r="F1447" s="320"/>
      <c r="G1447" s="320"/>
      <c r="H1447" s="1994"/>
      <c r="I1447" s="1994"/>
      <c r="J1447" s="1974"/>
    </row>
    <row r="1448" spans="1:10" ht="15.75" customHeight="1">
      <c r="A1448" s="1780"/>
      <c r="B1448" s="1739"/>
      <c r="C1448" s="1878" t="s">
        <v>2080</v>
      </c>
      <c r="D1448" s="1781">
        <v>5.1840000000000002</v>
      </c>
      <c r="E1448" s="413" t="s">
        <v>100</v>
      </c>
      <c r="F1448" s="1883">
        <f>'Bahan &amp; Upah'!C$27</f>
        <v>1792.44</v>
      </c>
      <c r="G1448" s="325">
        <f>F1448*D1448</f>
        <v>9292.008960000001</v>
      </c>
      <c r="H1448" s="1749">
        <v>0.91900000000000004</v>
      </c>
      <c r="I1448" s="1749">
        <f>(G1448/G$1453)*H1448</f>
        <v>0.16744244718784598</v>
      </c>
      <c r="J1448" s="1974"/>
    </row>
    <row r="1449" spans="1:10" ht="15.75" customHeight="1">
      <c r="A1449" s="1780"/>
      <c r="B1449" s="1739"/>
      <c r="C1449" s="1878" t="s">
        <v>2081</v>
      </c>
      <c r="D1449" s="1781">
        <v>2.5999999999999999E-2</v>
      </c>
      <c r="E1449" s="413" t="s">
        <v>103</v>
      </c>
      <c r="F1449" s="361">
        <f>'Bahan &amp; Upah'!C$11</f>
        <v>362812.55</v>
      </c>
      <c r="G1449" s="1969">
        <f>F1449*D1449</f>
        <v>9433.1262999999999</v>
      </c>
      <c r="H1449" s="1994">
        <v>1</v>
      </c>
      <c r="I1449" s="1752">
        <f>(G1449/G$1453)*H1449</f>
        <v>0.18496777848085713</v>
      </c>
      <c r="J1449" s="1974"/>
    </row>
    <row r="1450" spans="1:10" ht="15.75" customHeight="1">
      <c r="A1450" s="1780"/>
      <c r="B1450" s="1784"/>
      <c r="C1450" s="1878"/>
      <c r="D1450" s="1781"/>
      <c r="E1450" s="413"/>
      <c r="F1450" s="1883"/>
      <c r="G1450" s="361">
        <f>SUM(G1448:G1449)</f>
        <v>18725.135260000003</v>
      </c>
      <c r="H1450" s="1994"/>
      <c r="I1450" s="1994">
        <f>SUM(I1448:I1449)</f>
        <v>0.35241022566870311</v>
      </c>
      <c r="J1450" s="1974"/>
    </row>
    <row r="1451" spans="1:10" ht="15.75" customHeight="1">
      <c r="A1451" s="1780"/>
      <c r="B1451" s="1739" t="s">
        <v>1048</v>
      </c>
      <c r="C1451" s="1877" t="s">
        <v>2246</v>
      </c>
      <c r="D1451" s="1756"/>
      <c r="E1451" s="333"/>
      <c r="F1451" s="1883"/>
      <c r="G1451" s="332"/>
      <c r="H1451" s="1994"/>
      <c r="I1451" s="1994"/>
      <c r="J1451" s="1974"/>
    </row>
    <row r="1452" spans="1:10" ht="15.75" customHeight="1">
      <c r="A1452" s="1780"/>
      <c r="B1452" s="1909"/>
      <c r="C1452" s="1878"/>
      <c r="D1452" s="1756"/>
      <c r="E1452" s="333"/>
      <c r="F1452" s="328"/>
      <c r="G1452" s="361">
        <v>0</v>
      </c>
      <c r="H1452" s="1994"/>
      <c r="I1452" s="1994"/>
      <c r="J1452" s="1974"/>
    </row>
    <row r="1453" spans="1:10" ht="15.75" customHeight="1">
      <c r="A1453" s="1780"/>
      <c r="B1453" s="1784"/>
      <c r="C1453" s="1804" t="s">
        <v>2242</v>
      </c>
      <c r="D1453" s="1763"/>
      <c r="E1453" s="1764"/>
      <c r="F1453" s="1765"/>
      <c r="G1453" s="1765">
        <f>G1446+G1450+G1452</f>
        <v>50998.754364000008</v>
      </c>
      <c r="H1453" s="1994"/>
      <c r="I1453" s="1995">
        <f>I1446+I1450+I1452</f>
        <v>0.98524174295732792</v>
      </c>
      <c r="J1453" s="1974"/>
    </row>
    <row r="1454" spans="1:10" ht="15.75" customHeight="1">
      <c r="A1454" s="1780"/>
      <c r="B1454" s="1784"/>
      <c r="C1454" s="1762" t="s">
        <v>2094</v>
      </c>
      <c r="D1454" s="1767">
        <f>M$4</f>
        <v>0.15</v>
      </c>
      <c r="E1454" s="1768"/>
      <c r="F1454" s="1765"/>
      <c r="G1454" s="1765">
        <f>G1453*D1454</f>
        <v>7649.8131546000004</v>
      </c>
      <c r="H1454" s="1994"/>
      <c r="I1454" s="1994"/>
      <c r="J1454" s="1974"/>
    </row>
    <row r="1455" spans="1:10" ht="15.75" customHeight="1">
      <c r="A1455" s="1786"/>
      <c r="B1455" s="1890"/>
      <c r="C1455" s="1788" t="s">
        <v>2111</v>
      </c>
      <c r="D1455" s="1772"/>
      <c r="E1455" s="1773"/>
      <c r="F1455" s="1774"/>
      <c r="G1455" s="1775">
        <f>ROUNDUP((G1453+G1454),2)</f>
        <v>58648.57</v>
      </c>
      <c r="H1455" s="1937"/>
      <c r="I1455" s="1937"/>
      <c r="J1455" s="1938"/>
    </row>
    <row r="1456" spans="1:10" ht="15.75" customHeight="1"/>
    <row r="1457" spans="1:10" ht="15.75" customHeight="1">
      <c r="A1457" s="1778">
        <f>A1440+1</f>
        <v>65</v>
      </c>
      <c r="B1457" s="1779" t="s">
        <v>2557</v>
      </c>
      <c r="C1457" s="1872" t="s">
        <v>2559</v>
      </c>
      <c r="D1457" s="1971"/>
      <c r="E1457" s="1874"/>
      <c r="F1457" s="1875"/>
      <c r="G1457" s="1875"/>
      <c r="H1457" s="1800"/>
      <c r="I1457" s="1800"/>
      <c r="J1457" s="1801"/>
    </row>
    <row r="1458" spans="1:10" ht="15.75" customHeight="1">
      <c r="A1458" s="1780"/>
      <c r="B1458" s="1739" t="s">
        <v>1004</v>
      </c>
      <c r="C1458" s="1877" t="s">
        <v>2067</v>
      </c>
      <c r="D1458" s="390"/>
      <c r="E1458" s="413"/>
      <c r="F1458" s="320"/>
      <c r="G1458" s="320"/>
      <c r="H1458" s="1802"/>
      <c r="I1458" s="1802"/>
      <c r="J1458" s="1803"/>
    </row>
    <row r="1459" spans="1:10" ht="15.75" customHeight="1">
      <c r="A1459" s="1780"/>
      <c r="B1459" s="1739"/>
      <c r="C1459" s="1878" t="s">
        <v>2103</v>
      </c>
      <c r="D1459" s="1781">
        <v>0.2</v>
      </c>
      <c r="E1459" s="413" t="s">
        <v>2069</v>
      </c>
      <c r="F1459" s="1747">
        <f>'Bahan &amp; Upah'!C$336</f>
        <v>96332.65</v>
      </c>
      <c r="G1459" s="361">
        <f>F1459*D1459</f>
        <v>19266.53</v>
      </c>
      <c r="H1459" s="1749">
        <v>1</v>
      </c>
      <c r="I1459" s="1749">
        <f>(G1459/G$1470)*H1459</f>
        <v>0.35379984590398184</v>
      </c>
      <c r="J1459" s="1750"/>
    </row>
    <row r="1460" spans="1:10" ht="15.75" customHeight="1">
      <c r="A1460" s="1780"/>
      <c r="B1460" s="1739"/>
      <c r="C1460" s="1878" t="s">
        <v>2124</v>
      </c>
      <c r="D1460" s="1781">
        <v>0.1</v>
      </c>
      <c r="E1460" s="413" t="s">
        <v>2069</v>
      </c>
      <c r="F1460" s="1883">
        <f>'Bahan &amp; Upah'!C$337</f>
        <v>114133.55</v>
      </c>
      <c r="G1460" s="361">
        <f>F1460*D1460</f>
        <v>11413.355000000001</v>
      </c>
      <c r="H1460" s="1749">
        <v>1</v>
      </c>
      <c r="I1460" s="1749">
        <f>(G1460/G$1470)*H1460</f>
        <v>0.20958850609048135</v>
      </c>
      <c r="J1460" s="1974"/>
    </row>
    <row r="1461" spans="1:10" ht="15.75" customHeight="1">
      <c r="A1461" s="1780"/>
      <c r="B1461" s="1739"/>
      <c r="C1461" s="1878" t="s">
        <v>2072</v>
      </c>
      <c r="D1461" s="1781">
        <v>0.01</v>
      </c>
      <c r="E1461" s="413" t="s">
        <v>2069</v>
      </c>
      <c r="F1461" s="1748">
        <f>'Bahan &amp; Upah'!C$338</f>
        <v>125485.75</v>
      </c>
      <c r="G1461" s="361">
        <f>F1461*D1461</f>
        <v>1254.8575000000001</v>
      </c>
      <c r="H1461" s="1749">
        <v>1</v>
      </c>
      <c r="I1461" s="1749">
        <f>(G1461/G$1470)*H1461</f>
        <v>2.3043505505737461E-2</v>
      </c>
      <c r="J1461" s="1974"/>
    </row>
    <row r="1462" spans="1:10" ht="15.75" customHeight="1">
      <c r="A1462" s="1780"/>
      <c r="B1462" s="1739"/>
      <c r="C1462" s="1878" t="s">
        <v>2107</v>
      </c>
      <c r="D1462" s="1781">
        <v>3.3E-3</v>
      </c>
      <c r="E1462" s="413" t="s">
        <v>2069</v>
      </c>
      <c r="F1462" s="1883">
        <f>'Bahan &amp; Upah'!C$339</f>
        <v>102689.88</v>
      </c>
      <c r="G1462" s="1785">
        <f>F1462*D1462</f>
        <v>338.87660399999999</v>
      </c>
      <c r="H1462" s="1749">
        <v>1</v>
      </c>
      <c r="I1462" s="1752">
        <f>(G1462/G$1470)*H1462</f>
        <v>6.2229415611251577E-3</v>
      </c>
      <c r="J1462" s="1974"/>
    </row>
    <row r="1463" spans="1:10" ht="15.75" customHeight="1">
      <c r="A1463" s="1780"/>
      <c r="B1463" s="1739"/>
      <c r="C1463" s="1889" t="s">
        <v>2108</v>
      </c>
      <c r="D1463" s="1781"/>
      <c r="E1463" s="413"/>
      <c r="F1463" s="320"/>
      <c r="G1463" s="361">
        <f>SUM(G1459:G1462)</f>
        <v>32273.619104000001</v>
      </c>
      <c r="H1463" s="1994"/>
      <c r="I1463" s="1994">
        <f>SUM(I1459:I1462)</f>
        <v>0.59265479906132568</v>
      </c>
      <c r="J1463" s="1974"/>
    </row>
    <row r="1464" spans="1:10" ht="15.75" customHeight="1">
      <c r="A1464" s="1780"/>
      <c r="B1464" s="1739" t="s">
        <v>1015</v>
      </c>
      <c r="C1464" s="1877" t="s">
        <v>2075</v>
      </c>
      <c r="D1464" s="1781"/>
      <c r="E1464" s="413"/>
      <c r="F1464" s="320"/>
      <c r="G1464" s="320"/>
      <c r="H1464" s="1994"/>
      <c r="I1464" s="1994"/>
      <c r="J1464" s="1974"/>
    </row>
    <row r="1465" spans="1:10" ht="15.75" customHeight="1">
      <c r="A1465" s="1780"/>
      <c r="B1465" s="1739"/>
      <c r="C1465" s="1878" t="s">
        <v>2560</v>
      </c>
      <c r="D1465" s="1781">
        <v>5.1840000000000002</v>
      </c>
      <c r="E1465" s="413" t="s">
        <v>100</v>
      </c>
      <c r="F1465" s="1883">
        <f>'Bahan &amp; Upah'!C$29</f>
        <v>2459.35</v>
      </c>
      <c r="G1465" s="325">
        <f>F1465*D1465</f>
        <v>12749.270399999999</v>
      </c>
      <c r="H1465" s="1749">
        <v>0.91900000000000004</v>
      </c>
      <c r="I1465" s="1749">
        <f>(G1465/G$1470)*H1465</f>
        <v>0.21515675219007435</v>
      </c>
      <c r="J1465" s="1974"/>
    </row>
    <row r="1466" spans="1:10" ht="15.75" customHeight="1">
      <c r="A1466" s="1780"/>
      <c r="B1466" s="1739"/>
      <c r="C1466" s="1878" t="s">
        <v>2081</v>
      </c>
      <c r="D1466" s="1781">
        <v>2.5999999999999999E-2</v>
      </c>
      <c r="E1466" s="413" t="s">
        <v>103</v>
      </c>
      <c r="F1466" s="361">
        <f>'Bahan &amp; Upah'!C$11</f>
        <v>362812.55</v>
      </c>
      <c r="G1466" s="1969">
        <f>F1466*D1466</f>
        <v>9433.1262999999999</v>
      </c>
      <c r="H1466" s="1994">
        <v>1</v>
      </c>
      <c r="I1466" s="1752">
        <f>(G1466/G$1470)*H1466</f>
        <v>0.17322468713010586</v>
      </c>
      <c r="J1466" s="1974"/>
    </row>
    <row r="1467" spans="1:10" ht="15.75" customHeight="1">
      <c r="A1467" s="1780"/>
      <c r="B1467" s="1784"/>
      <c r="C1467" s="1878"/>
      <c r="D1467" s="1781"/>
      <c r="E1467" s="413"/>
      <c r="F1467" s="1883"/>
      <c r="G1467" s="361">
        <f>SUM(G1465:G1466)</f>
        <v>22182.396699999998</v>
      </c>
      <c r="H1467" s="1994"/>
      <c r="I1467" s="1994">
        <f>SUM(I1465:I1466)</f>
        <v>0.38838143932018021</v>
      </c>
      <c r="J1467" s="1974"/>
    </row>
    <row r="1468" spans="1:10" ht="15.75" customHeight="1">
      <c r="A1468" s="1780"/>
      <c r="B1468" s="1739" t="s">
        <v>1048</v>
      </c>
      <c r="C1468" s="1877" t="s">
        <v>2246</v>
      </c>
      <c r="D1468" s="1756"/>
      <c r="E1468" s="333"/>
      <c r="F1468" s="1883"/>
      <c r="G1468" s="332"/>
      <c r="H1468" s="1994"/>
      <c r="I1468" s="1994"/>
      <c r="J1468" s="1974"/>
    </row>
    <row r="1469" spans="1:10" ht="15.75" customHeight="1">
      <c r="A1469" s="1780"/>
      <c r="B1469" s="1909"/>
      <c r="C1469" s="1878"/>
      <c r="D1469" s="1756"/>
      <c r="E1469" s="333"/>
      <c r="F1469" s="328"/>
      <c r="G1469" s="361">
        <v>0</v>
      </c>
      <c r="H1469" s="1994"/>
      <c r="I1469" s="1994"/>
      <c r="J1469" s="1974"/>
    </row>
    <row r="1470" spans="1:10" ht="15.75" customHeight="1">
      <c r="A1470" s="1780"/>
      <c r="B1470" s="1784"/>
      <c r="C1470" s="1804" t="s">
        <v>2242</v>
      </c>
      <c r="D1470" s="1763"/>
      <c r="E1470" s="1764"/>
      <c r="F1470" s="1765"/>
      <c r="G1470" s="1765">
        <f>G1463+G1467+G1469</f>
        <v>54456.015803999995</v>
      </c>
      <c r="H1470" s="1994"/>
      <c r="I1470" s="1995">
        <f>I1463+I1467+I1469</f>
        <v>0.98103623838150589</v>
      </c>
      <c r="J1470" s="1974"/>
    </row>
    <row r="1471" spans="1:10" ht="15.75" customHeight="1">
      <c r="A1471" s="1780"/>
      <c r="B1471" s="1784"/>
      <c r="C1471" s="1762" t="s">
        <v>2094</v>
      </c>
      <c r="D1471" s="1767">
        <f>M$4</f>
        <v>0.15</v>
      </c>
      <c r="E1471" s="1768"/>
      <c r="F1471" s="1765"/>
      <c r="G1471" s="1765">
        <f>G1470*D1471</f>
        <v>8168.4023705999989</v>
      </c>
      <c r="H1471" s="1994"/>
      <c r="I1471" s="1994"/>
      <c r="J1471" s="1974"/>
    </row>
    <row r="1472" spans="1:10" ht="15.75" customHeight="1">
      <c r="A1472" s="1786"/>
      <c r="B1472" s="1890"/>
      <c r="C1472" s="1788" t="s">
        <v>2111</v>
      </c>
      <c r="D1472" s="1772"/>
      <c r="E1472" s="1773"/>
      <c r="F1472" s="1774"/>
      <c r="G1472" s="1775">
        <f>ROUNDUP((G1470+G1471),2)</f>
        <v>62624.420000000006</v>
      </c>
      <c r="H1472" s="1937"/>
      <c r="I1472" s="1937"/>
      <c r="J1472" s="1938"/>
    </row>
    <row r="1473" spans="1:10" ht="15.75" customHeight="1"/>
    <row r="1474" spans="1:10" ht="15.75" customHeight="1">
      <c r="A1474" s="1778">
        <f>A1457+1</f>
        <v>66</v>
      </c>
      <c r="B1474" s="1779" t="s">
        <v>2561</v>
      </c>
      <c r="C1474" s="1872" t="s">
        <v>2562</v>
      </c>
      <c r="D1474" s="1971"/>
      <c r="E1474" s="1874"/>
      <c r="F1474" s="1875"/>
      <c r="G1474" s="1875"/>
      <c r="H1474" s="1800"/>
      <c r="I1474" s="1800"/>
      <c r="J1474" s="1801"/>
    </row>
    <row r="1475" spans="1:10" ht="15.75" customHeight="1">
      <c r="A1475" s="1780"/>
      <c r="B1475" s="1739" t="s">
        <v>1004</v>
      </c>
      <c r="C1475" s="1877" t="s">
        <v>2067</v>
      </c>
      <c r="D1475" s="390"/>
      <c r="E1475" s="413"/>
      <c r="F1475" s="320"/>
      <c r="G1475" s="320"/>
      <c r="H1475" s="1802"/>
      <c r="I1475" s="1802"/>
      <c r="J1475" s="1803"/>
    </row>
    <row r="1476" spans="1:10" ht="15.75" customHeight="1">
      <c r="A1476" s="1780"/>
      <c r="B1476" s="1739"/>
      <c r="C1476" s="1878" t="s">
        <v>2103</v>
      </c>
      <c r="D1476" s="1781">
        <v>0.2</v>
      </c>
      <c r="E1476" s="413" t="s">
        <v>2069</v>
      </c>
      <c r="F1476" s="1747">
        <f>'Bahan &amp; Upah'!C$336</f>
        <v>96332.65</v>
      </c>
      <c r="G1476" s="361">
        <f>F1476*D1476</f>
        <v>19266.53</v>
      </c>
      <c r="H1476" s="1749">
        <v>1</v>
      </c>
      <c r="I1476" s="1749">
        <f>(G1476/G$1486)*H1476</f>
        <v>0.50569582320565609</v>
      </c>
      <c r="J1476" s="1750"/>
    </row>
    <row r="1477" spans="1:10" ht="15.75" customHeight="1">
      <c r="A1477" s="1780"/>
      <c r="B1477" s="1739"/>
      <c r="C1477" s="1878" t="s">
        <v>2124</v>
      </c>
      <c r="D1477" s="1781">
        <v>0.1</v>
      </c>
      <c r="E1477" s="413" t="s">
        <v>2069</v>
      </c>
      <c r="F1477" s="1883">
        <f>'Bahan &amp; Upah'!C$337</f>
        <v>114133.55</v>
      </c>
      <c r="G1477" s="361">
        <f>F1477*D1477</f>
        <v>11413.355000000001</v>
      </c>
      <c r="H1477" s="1749">
        <v>1</v>
      </c>
      <c r="I1477" s="1749">
        <f>(G1477/G$1486)*H1477</f>
        <v>0.29957060001273672</v>
      </c>
      <c r="J1477" s="1974"/>
    </row>
    <row r="1478" spans="1:10" ht="15.75" customHeight="1">
      <c r="A1478" s="1780"/>
      <c r="B1478" s="1739"/>
      <c r="C1478" s="1878" t="s">
        <v>2072</v>
      </c>
      <c r="D1478" s="1781">
        <v>0.01</v>
      </c>
      <c r="E1478" s="413" t="s">
        <v>2069</v>
      </c>
      <c r="F1478" s="1748">
        <f>'Bahan &amp; Upah'!C$338</f>
        <v>125485.75</v>
      </c>
      <c r="G1478" s="361">
        <f>F1478*D1478</f>
        <v>1254.8575000000001</v>
      </c>
      <c r="H1478" s="1749">
        <v>1</v>
      </c>
      <c r="I1478" s="1749">
        <f>(G1478/G$1486)*H1478</f>
        <v>3.2936714419684904E-2</v>
      </c>
      <c r="J1478" s="1974"/>
    </row>
    <row r="1479" spans="1:10" ht="15.75" customHeight="1">
      <c r="A1479" s="1780"/>
      <c r="B1479" s="1739"/>
      <c r="C1479" s="1878" t="s">
        <v>2107</v>
      </c>
      <c r="D1479" s="1781">
        <v>3.3E-3</v>
      </c>
      <c r="E1479" s="413" t="s">
        <v>2069</v>
      </c>
      <c r="F1479" s="1883">
        <f>'Bahan &amp; Upah'!C$339</f>
        <v>102689.88</v>
      </c>
      <c r="G1479" s="1785">
        <f>F1479*D1479</f>
        <v>338.87660399999999</v>
      </c>
      <c r="H1479" s="1749">
        <v>1</v>
      </c>
      <c r="I1479" s="1752">
        <f>(G1479/G$1486)*H1479</f>
        <v>8.8946210461830523E-3</v>
      </c>
      <c r="J1479" s="1974"/>
    </row>
    <row r="1480" spans="1:10" ht="15.75" customHeight="1">
      <c r="A1480" s="1780"/>
      <c r="B1480" s="1739"/>
      <c r="C1480" s="1889" t="s">
        <v>2108</v>
      </c>
      <c r="D1480" s="1781"/>
      <c r="E1480" s="413"/>
      <c r="F1480" s="320"/>
      <c r="G1480" s="361">
        <f>SUM(G1476:G1479)</f>
        <v>32273.619104000001</v>
      </c>
      <c r="H1480" s="1994"/>
      <c r="I1480" s="1994">
        <f>SUM(I1476:I1479)</f>
        <v>0.84709775868426085</v>
      </c>
      <c r="J1480" s="1974"/>
    </row>
    <row r="1481" spans="1:10" ht="15.75" customHeight="1">
      <c r="A1481" s="1780"/>
      <c r="B1481" s="1739" t="s">
        <v>1015</v>
      </c>
      <c r="C1481" s="1877" t="s">
        <v>2075</v>
      </c>
      <c r="D1481" s="1781"/>
      <c r="E1481" s="413"/>
      <c r="F1481" s="320"/>
      <c r="G1481" s="320"/>
      <c r="H1481" s="1994"/>
      <c r="I1481" s="1994"/>
      <c r="J1481" s="1974"/>
    </row>
    <row r="1482" spans="1:10" ht="15.75" customHeight="1">
      <c r="A1482" s="1780"/>
      <c r="B1482" s="1739"/>
      <c r="C1482" s="1878" t="s">
        <v>2080</v>
      </c>
      <c r="D1482" s="1781">
        <v>3.25</v>
      </c>
      <c r="E1482" s="413" t="s">
        <v>100</v>
      </c>
      <c r="F1482" s="1883">
        <f>'Bahan &amp; Upah'!C$27</f>
        <v>1792.44</v>
      </c>
      <c r="G1482" s="1794">
        <f>F1482*D1482</f>
        <v>5825.43</v>
      </c>
      <c r="H1482" s="1994">
        <f>H1448</f>
        <v>0.91900000000000004</v>
      </c>
      <c r="I1482" s="1752">
        <f>(G1482/G$1486)*H1482</f>
        <v>0.14051715976916418</v>
      </c>
      <c r="J1482" s="1974"/>
    </row>
    <row r="1483" spans="1:10" ht="15.75" customHeight="1">
      <c r="A1483" s="1780"/>
      <c r="B1483" s="1784"/>
      <c r="C1483" s="1878"/>
      <c r="D1483" s="1781"/>
      <c r="E1483" s="413"/>
      <c r="F1483" s="1883"/>
      <c r="G1483" s="361">
        <f>SUM(G1482:G1482)</f>
        <v>5825.43</v>
      </c>
      <c r="H1483" s="1994"/>
      <c r="I1483" s="1994">
        <f>SUM(I1482:I1482)</f>
        <v>0.14051715976916418</v>
      </c>
      <c r="J1483" s="1974"/>
    </row>
    <row r="1484" spans="1:10" ht="15.75" customHeight="1">
      <c r="A1484" s="1780"/>
      <c r="B1484" s="1739" t="s">
        <v>1048</v>
      </c>
      <c r="C1484" s="1877" t="s">
        <v>2246</v>
      </c>
      <c r="D1484" s="1756"/>
      <c r="E1484" s="333"/>
      <c r="F1484" s="1883"/>
      <c r="G1484" s="332"/>
      <c r="H1484" s="1994"/>
      <c r="I1484" s="1994"/>
      <c r="J1484" s="1974"/>
    </row>
    <row r="1485" spans="1:10" ht="15.75" customHeight="1">
      <c r="A1485" s="1780"/>
      <c r="B1485" s="1909"/>
      <c r="C1485" s="1878"/>
      <c r="D1485" s="1756"/>
      <c r="E1485" s="333"/>
      <c r="F1485" s="328"/>
      <c r="G1485" s="361">
        <v>0</v>
      </c>
      <c r="H1485" s="1994"/>
      <c r="I1485" s="1994"/>
      <c r="J1485" s="1974"/>
    </row>
    <row r="1486" spans="1:10" ht="15.75" customHeight="1">
      <c r="A1486" s="1780"/>
      <c r="B1486" s="1784"/>
      <c r="C1486" s="1804" t="s">
        <v>2242</v>
      </c>
      <c r="D1486" s="1763"/>
      <c r="E1486" s="1764"/>
      <c r="F1486" s="1765"/>
      <c r="G1486" s="1765">
        <f>G1480+G1483+G1485</f>
        <v>38099.049104000005</v>
      </c>
      <c r="H1486" s="1994"/>
      <c r="I1486" s="1995">
        <f>I1480+I1483+I1485</f>
        <v>0.98761491845342508</v>
      </c>
      <c r="J1486" s="1974"/>
    </row>
    <row r="1487" spans="1:10" ht="15.75" customHeight="1">
      <c r="A1487" s="1780"/>
      <c r="B1487" s="1784"/>
      <c r="C1487" s="1762" t="s">
        <v>2094</v>
      </c>
      <c r="D1487" s="1767">
        <f>M$4</f>
        <v>0.15</v>
      </c>
      <c r="E1487" s="1768"/>
      <c r="F1487" s="1765"/>
      <c r="G1487" s="1765">
        <f>G1486*D1487</f>
        <v>5714.8573656000008</v>
      </c>
      <c r="H1487" s="1994"/>
      <c r="I1487" s="1994"/>
      <c r="J1487" s="1974"/>
    </row>
    <row r="1488" spans="1:10" ht="15.75" customHeight="1">
      <c r="A1488" s="1786"/>
      <c r="B1488" s="1890"/>
      <c r="C1488" s="1788" t="s">
        <v>2111</v>
      </c>
      <c r="D1488" s="1772"/>
      <c r="E1488" s="1773"/>
      <c r="F1488" s="1774"/>
      <c r="G1488" s="1775">
        <f>ROUNDUP((G1486+G1487),2)</f>
        <v>43813.91</v>
      </c>
      <c r="H1488" s="1937"/>
      <c r="I1488" s="1937"/>
      <c r="J1488" s="1938"/>
    </row>
    <row r="1489" spans="1:10" ht="15.75" customHeight="1">
      <c r="A1489" s="1733"/>
      <c r="B1489" s="1733"/>
      <c r="C1489" s="1733"/>
      <c r="D1489" s="1733"/>
      <c r="E1489" s="1733"/>
      <c r="F1489" s="1733"/>
      <c r="G1489" s="1733"/>
      <c r="H1489" s="1733"/>
      <c r="I1489" s="1733"/>
      <c r="J1489" s="1733"/>
    </row>
    <row r="1490" spans="1:10" ht="15.75" customHeight="1">
      <c r="A1490" s="1778">
        <f>A1474+1</f>
        <v>67</v>
      </c>
      <c r="B1490" s="1779" t="s">
        <v>2561</v>
      </c>
      <c r="C1490" s="1872" t="s">
        <v>2563</v>
      </c>
      <c r="D1490" s="1971"/>
      <c r="E1490" s="1874"/>
      <c r="F1490" s="1875"/>
      <c r="G1490" s="1875"/>
      <c r="H1490" s="1800"/>
      <c r="I1490" s="1800"/>
      <c r="J1490" s="1801"/>
    </row>
    <row r="1491" spans="1:10" ht="15.75" customHeight="1">
      <c r="A1491" s="1780"/>
      <c r="B1491" s="1739" t="s">
        <v>1004</v>
      </c>
      <c r="C1491" s="1877" t="s">
        <v>2067</v>
      </c>
      <c r="D1491" s="390"/>
      <c r="E1491" s="413"/>
      <c r="F1491" s="320"/>
      <c r="G1491" s="320"/>
      <c r="H1491" s="1802"/>
      <c r="I1491" s="1802"/>
      <c r="J1491" s="1803"/>
    </row>
    <row r="1492" spans="1:10" ht="15.75" customHeight="1">
      <c r="A1492" s="1780"/>
      <c r="B1492" s="1739"/>
      <c r="C1492" s="1878" t="s">
        <v>2103</v>
      </c>
      <c r="D1492" s="1781">
        <v>0.2</v>
      </c>
      <c r="E1492" s="413" t="s">
        <v>2069</v>
      </c>
      <c r="F1492" s="1747">
        <f>'Bahan &amp; Upah'!C$336</f>
        <v>96332.65</v>
      </c>
      <c r="G1492" s="361">
        <f>F1492*D1492</f>
        <v>19266.53</v>
      </c>
      <c r="H1492" s="1749">
        <v>1</v>
      </c>
      <c r="I1492" s="1749">
        <f>(G1492/G$1502)*H1492</f>
        <v>0.47847532912343821</v>
      </c>
      <c r="J1492" s="1750"/>
    </row>
    <row r="1493" spans="1:10" ht="15.75" customHeight="1">
      <c r="A1493" s="1780"/>
      <c r="B1493" s="1739"/>
      <c r="C1493" s="1878" t="s">
        <v>2124</v>
      </c>
      <c r="D1493" s="1781">
        <v>0.1</v>
      </c>
      <c r="E1493" s="413" t="s">
        <v>2069</v>
      </c>
      <c r="F1493" s="1883">
        <f>'Bahan &amp; Upah'!C$337</f>
        <v>114133.55</v>
      </c>
      <c r="G1493" s="361">
        <f>F1493*D1493</f>
        <v>11413.355000000001</v>
      </c>
      <c r="H1493" s="1749">
        <v>1</v>
      </c>
      <c r="I1493" s="1749">
        <f>(G1493/G$1502)*H1493</f>
        <v>0.28344537340287224</v>
      </c>
      <c r="J1493" s="1974"/>
    </row>
    <row r="1494" spans="1:10" ht="15.75" customHeight="1">
      <c r="A1494" s="1780"/>
      <c r="B1494" s="1739"/>
      <c r="C1494" s="1878" t="s">
        <v>2072</v>
      </c>
      <c r="D1494" s="1781">
        <v>0.01</v>
      </c>
      <c r="E1494" s="413" t="s">
        <v>2069</v>
      </c>
      <c r="F1494" s="1748">
        <f>'Bahan &amp; Upah'!C$338</f>
        <v>125485.75</v>
      </c>
      <c r="G1494" s="361">
        <f>F1494*D1494</f>
        <v>1254.8575000000001</v>
      </c>
      <c r="H1494" s="1749">
        <v>1</v>
      </c>
      <c r="I1494" s="1749">
        <f>(G1494/G$1502)*H1494</f>
        <v>3.1163803513944387E-2</v>
      </c>
      <c r="J1494" s="1974"/>
    </row>
    <row r="1495" spans="1:10" ht="15.75" customHeight="1">
      <c r="A1495" s="1780"/>
      <c r="B1495" s="1739"/>
      <c r="C1495" s="1878" t="s">
        <v>2107</v>
      </c>
      <c r="D1495" s="1781">
        <v>3.3E-3</v>
      </c>
      <c r="E1495" s="413" t="s">
        <v>2069</v>
      </c>
      <c r="F1495" s="1883">
        <f>'Bahan &amp; Upah'!C$339</f>
        <v>102689.88</v>
      </c>
      <c r="G1495" s="1785">
        <f>F1495*D1495</f>
        <v>338.87660399999999</v>
      </c>
      <c r="H1495" s="1749">
        <v>1</v>
      </c>
      <c r="I1495" s="1752">
        <f>(G1495/G$1502)*H1495</f>
        <v>8.4158431555206373E-3</v>
      </c>
      <c r="J1495" s="1974"/>
    </row>
    <row r="1496" spans="1:10" ht="15.75" customHeight="1">
      <c r="A1496" s="1780"/>
      <c r="B1496" s="1739"/>
      <c r="C1496" s="1889" t="s">
        <v>2108</v>
      </c>
      <c r="D1496" s="1781"/>
      <c r="E1496" s="413"/>
      <c r="F1496" s="320"/>
      <c r="G1496" s="361">
        <f>SUM(G1492:G1495)</f>
        <v>32273.619104000001</v>
      </c>
      <c r="H1496" s="1994"/>
      <c r="I1496" s="1994">
        <f>SUM(I1492:I1495)</f>
        <v>0.80150034919577551</v>
      </c>
      <c r="J1496" s="1974"/>
    </row>
    <row r="1497" spans="1:10" ht="15.75" customHeight="1">
      <c r="A1497" s="1780"/>
      <c r="B1497" s="1739" t="s">
        <v>1015</v>
      </c>
      <c r="C1497" s="1877" t="s">
        <v>2075</v>
      </c>
      <c r="D1497" s="1781"/>
      <c r="E1497" s="413"/>
      <c r="F1497" s="320"/>
      <c r="G1497" s="320"/>
      <c r="H1497" s="1994"/>
      <c r="I1497" s="1994"/>
      <c r="J1497" s="1974"/>
    </row>
    <row r="1498" spans="1:10" ht="15.75" customHeight="1">
      <c r="A1498" s="1780"/>
      <c r="B1498" s="1739"/>
      <c r="C1498" s="1878" t="s">
        <v>2560</v>
      </c>
      <c r="D1498" s="1781">
        <v>3.25</v>
      </c>
      <c r="E1498" s="413" t="s">
        <v>100</v>
      </c>
      <c r="F1498" s="1883">
        <f>'Bahan &amp; Upah'!C$29</f>
        <v>2459.35</v>
      </c>
      <c r="G1498" s="1794">
        <f>F1498*D1498</f>
        <v>7992.8874999999998</v>
      </c>
      <c r="H1498" s="1994">
        <f>H1482</f>
        <v>0.91900000000000004</v>
      </c>
      <c r="I1498" s="1752">
        <f>(G1498/G$1502)*H1498</f>
        <v>0.18242117908908231</v>
      </c>
      <c r="J1498" s="1974"/>
    </row>
    <row r="1499" spans="1:10" ht="15.75" customHeight="1">
      <c r="A1499" s="1780"/>
      <c r="B1499" s="1784"/>
      <c r="C1499" s="1878"/>
      <c r="D1499" s="1781"/>
      <c r="E1499" s="413"/>
      <c r="F1499" s="1883"/>
      <c r="G1499" s="361">
        <f>SUM(G1498:G1498)</f>
        <v>7992.8874999999998</v>
      </c>
      <c r="H1499" s="1994"/>
      <c r="I1499" s="1994">
        <f>SUM(I1498:I1498)</f>
        <v>0.18242117908908231</v>
      </c>
      <c r="J1499" s="1974"/>
    </row>
    <row r="1500" spans="1:10" ht="15.75" customHeight="1">
      <c r="A1500" s="1780"/>
      <c r="B1500" s="1739" t="s">
        <v>1048</v>
      </c>
      <c r="C1500" s="1877" t="s">
        <v>2246</v>
      </c>
      <c r="D1500" s="1756"/>
      <c r="E1500" s="333"/>
      <c r="F1500" s="1883"/>
      <c r="G1500" s="332"/>
      <c r="H1500" s="1994"/>
      <c r="I1500" s="1994"/>
      <c r="J1500" s="1974"/>
    </row>
    <row r="1501" spans="1:10" ht="15.75" customHeight="1">
      <c r="A1501" s="1780"/>
      <c r="B1501" s="1909"/>
      <c r="C1501" s="1878"/>
      <c r="D1501" s="1756"/>
      <c r="E1501" s="333"/>
      <c r="F1501" s="328"/>
      <c r="G1501" s="361">
        <v>0</v>
      </c>
      <c r="H1501" s="1994"/>
      <c r="I1501" s="1994"/>
      <c r="J1501" s="1974"/>
    </row>
    <row r="1502" spans="1:10" ht="15.75" customHeight="1">
      <c r="A1502" s="1780"/>
      <c r="B1502" s="1784"/>
      <c r="C1502" s="1804" t="s">
        <v>2242</v>
      </c>
      <c r="D1502" s="1763"/>
      <c r="E1502" s="1764"/>
      <c r="F1502" s="1765"/>
      <c r="G1502" s="1765">
        <f>G1496+G1499+G1501</f>
        <v>40266.506604000002</v>
      </c>
      <c r="H1502" s="1994"/>
      <c r="I1502" s="1995">
        <f>I1496+I1499+I1501</f>
        <v>0.98392152828485779</v>
      </c>
      <c r="J1502" s="1974"/>
    </row>
    <row r="1503" spans="1:10" ht="15.75" customHeight="1">
      <c r="A1503" s="1780"/>
      <c r="B1503" s="1784"/>
      <c r="C1503" s="1762" t="s">
        <v>2094</v>
      </c>
      <c r="D1503" s="1767">
        <f>M$4</f>
        <v>0.15</v>
      </c>
      <c r="E1503" s="1768"/>
      <c r="F1503" s="1765"/>
      <c r="G1503" s="1765">
        <f>G1502*D1503</f>
        <v>6039.9759905999999</v>
      </c>
      <c r="H1503" s="1994"/>
      <c r="I1503" s="1994"/>
      <c r="J1503" s="1974"/>
    </row>
    <row r="1504" spans="1:10" ht="15.75" customHeight="1">
      <c r="A1504" s="1786"/>
      <c r="B1504" s="1890"/>
      <c r="C1504" s="1788" t="s">
        <v>2111</v>
      </c>
      <c r="D1504" s="1772"/>
      <c r="E1504" s="1773"/>
      <c r="F1504" s="1774"/>
      <c r="G1504" s="1775">
        <f>ROUNDUP((G1502+G1503),2)</f>
        <v>46306.490000000005</v>
      </c>
      <c r="H1504" s="1937"/>
      <c r="I1504" s="1937"/>
      <c r="J1504" s="1938"/>
    </row>
    <row r="1505" spans="1:10" ht="15.75" customHeight="1">
      <c r="A1505" s="1733"/>
      <c r="B1505" s="1733"/>
      <c r="C1505" s="1733"/>
      <c r="D1505" s="1733"/>
      <c r="E1505" s="1733"/>
      <c r="F1505" s="1733"/>
      <c r="G1505" s="1733"/>
      <c r="H1505" s="1733"/>
      <c r="I1505" s="1733"/>
      <c r="J1505" s="1733"/>
    </row>
    <row r="1506" spans="1:10" ht="15.75" customHeight="1">
      <c r="A1506" s="1778">
        <f>A1490+1</f>
        <v>68</v>
      </c>
      <c r="B1506" s="1779" t="s">
        <v>2564</v>
      </c>
      <c r="C1506" s="1872" t="s">
        <v>2565</v>
      </c>
      <c r="D1506" s="1873"/>
      <c r="E1506" s="1874"/>
      <c r="F1506" s="1875"/>
      <c r="G1506" s="1875"/>
      <c r="H1506" s="1800"/>
      <c r="I1506" s="1800"/>
      <c r="J1506" s="1801"/>
    </row>
    <row r="1507" spans="1:10" ht="15.75" customHeight="1">
      <c r="A1507" s="1780"/>
      <c r="B1507" s="1739" t="s">
        <v>1004</v>
      </c>
      <c r="C1507" s="1877" t="s">
        <v>2067</v>
      </c>
      <c r="D1507" s="390"/>
      <c r="E1507" s="413"/>
      <c r="F1507" s="320"/>
      <c r="G1507" s="320"/>
      <c r="H1507" s="1802"/>
      <c r="I1507" s="1802"/>
      <c r="J1507" s="1803"/>
    </row>
    <row r="1508" spans="1:10" ht="15.75" customHeight="1">
      <c r="A1508" s="1780"/>
      <c r="B1508" s="1739"/>
      <c r="C1508" s="1878" t="s">
        <v>2103</v>
      </c>
      <c r="D1508" s="1841">
        <v>0.17860000000000001</v>
      </c>
      <c r="E1508" s="413" t="s">
        <v>2069</v>
      </c>
      <c r="F1508" s="1747">
        <f>'Bahan &amp; Upah'!C$336</f>
        <v>96332.65</v>
      </c>
      <c r="G1508" s="361">
        <f>F1508*D1508</f>
        <v>17205.011289999999</v>
      </c>
      <c r="H1508" s="1980">
        <v>1</v>
      </c>
      <c r="I1508" s="1980">
        <f>(G1508/G$1517)*H1508</f>
        <v>0.37353994551688874</v>
      </c>
      <c r="J1508" s="1981"/>
    </row>
    <row r="1509" spans="1:10" ht="15.75" customHeight="1">
      <c r="A1509" s="1780"/>
      <c r="B1509" s="1739"/>
      <c r="C1509" s="1878" t="s">
        <v>2124</v>
      </c>
      <c r="D1509" s="1841">
        <v>0.17860000000000001</v>
      </c>
      <c r="E1509" s="413" t="s">
        <v>2069</v>
      </c>
      <c r="F1509" s="1883">
        <f>'Bahan &amp; Upah'!C$337</f>
        <v>114133.55</v>
      </c>
      <c r="G1509" s="361">
        <f>F1509*D1509</f>
        <v>20384.252030000003</v>
      </c>
      <c r="H1509" s="1980">
        <v>1</v>
      </c>
      <c r="I1509" s="1980">
        <f>(G1509/G$1517)*H1509</f>
        <v>0.44256480070515142</v>
      </c>
      <c r="J1509" s="1981"/>
    </row>
    <row r="1510" spans="1:10" ht="15.75" customHeight="1">
      <c r="A1510" s="1780"/>
      <c r="B1510" s="1739"/>
      <c r="C1510" s="1878" t="s">
        <v>2105</v>
      </c>
      <c r="D1510" s="1841">
        <v>1.7860000000000001E-2</v>
      </c>
      <c r="E1510" s="413" t="s">
        <v>2069</v>
      </c>
      <c r="F1510" s="1748">
        <f>'Bahan &amp; Upah'!C$338</f>
        <v>125485.75</v>
      </c>
      <c r="G1510" s="361">
        <f>F1510*D1510</f>
        <v>2241.175495</v>
      </c>
      <c r="H1510" s="1980">
        <v>1</v>
      </c>
      <c r="I1510" s="1980">
        <f>(G1510/G$1517)*H1510</f>
        <v>4.8658414585445245E-2</v>
      </c>
      <c r="J1510" s="1981"/>
    </row>
    <row r="1511" spans="1:10" ht="15.75" customHeight="1">
      <c r="A1511" s="1780"/>
      <c r="B1511" s="1739"/>
      <c r="C1511" s="1878" t="s">
        <v>2107</v>
      </c>
      <c r="D1511" s="1841">
        <v>6.0000000000000001E-3</v>
      </c>
      <c r="E1511" s="413" t="s">
        <v>2069</v>
      </c>
      <c r="F1511" s="1883">
        <f>'Bahan &amp; Upah'!C$339</f>
        <v>102689.88</v>
      </c>
      <c r="G1511" s="1785">
        <f>F1511*D1511</f>
        <v>616.13927999999999</v>
      </c>
      <c r="H1511" s="1980">
        <v>1</v>
      </c>
      <c r="I1511" s="1982">
        <f>(G1511/G$1517)*H1511</f>
        <v>1.3377069575989511E-2</v>
      </c>
      <c r="J1511" s="1981"/>
    </row>
    <row r="1512" spans="1:10" ht="15.75" customHeight="1">
      <c r="A1512" s="1780"/>
      <c r="B1512" s="1739"/>
      <c r="C1512" s="1889" t="s">
        <v>2108</v>
      </c>
      <c r="D1512" s="1841"/>
      <c r="E1512" s="413"/>
      <c r="F1512" s="320"/>
      <c r="G1512" s="361">
        <f>SUM(G1508:G1511)</f>
        <v>40446.578095000004</v>
      </c>
      <c r="H1512" s="1980"/>
      <c r="I1512" s="1983">
        <f>SUM(I1508:I1511)</f>
        <v>0.87814023038347488</v>
      </c>
      <c r="J1512" s="1981"/>
    </row>
    <row r="1513" spans="1:10" ht="15.75" customHeight="1">
      <c r="A1513" s="1780"/>
      <c r="B1513" s="1739" t="s">
        <v>1015</v>
      </c>
      <c r="C1513" s="1877" t="s">
        <v>2075</v>
      </c>
      <c r="D1513" s="1841"/>
      <c r="E1513" s="413"/>
      <c r="F1513" s="317"/>
      <c r="G1513" s="320"/>
      <c r="H1513" s="1980"/>
      <c r="I1513" s="1980"/>
      <c r="J1513" s="1981"/>
    </row>
    <row r="1514" spans="1:10" ht="15.75" customHeight="1">
      <c r="A1514" s="1780"/>
      <c r="B1514" s="1784"/>
      <c r="C1514" s="1878" t="s">
        <v>2080</v>
      </c>
      <c r="D1514" s="1841">
        <v>0.5</v>
      </c>
      <c r="E1514" s="413" t="s">
        <v>100</v>
      </c>
      <c r="F1514" s="1747">
        <f>'Bahan &amp; Upah'!$C$27</f>
        <v>1792.44</v>
      </c>
      <c r="G1514" s="332">
        <f>F1514*D1514</f>
        <v>896.22</v>
      </c>
      <c r="H1514" s="1749">
        <v>0.91900000000000004</v>
      </c>
      <c r="I1514" s="1980">
        <f>(G1514/G$1517)*H1514</f>
        <v>1.7881841122783897E-2</v>
      </c>
      <c r="J1514" s="1981"/>
    </row>
    <row r="1515" spans="1:10" ht="15.75" customHeight="1">
      <c r="A1515" s="1780"/>
      <c r="B1515" s="1784"/>
      <c r="C1515" s="1878" t="s">
        <v>2081</v>
      </c>
      <c r="D1515" s="1841">
        <v>1.2999999999999999E-2</v>
      </c>
      <c r="E1515" s="413" t="s">
        <v>103</v>
      </c>
      <c r="F1515" s="361">
        <f>'Bahan &amp; Upah'!C$11</f>
        <v>362812.55</v>
      </c>
      <c r="G1515" s="2006">
        <f>F1515*D1515</f>
        <v>4716.56315</v>
      </c>
      <c r="H1515" s="1980">
        <v>1</v>
      </c>
      <c r="I1515" s="1982">
        <f>(G1515/G$1517)*H1515</f>
        <v>0.10240183585941519</v>
      </c>
      <c r="J1515" s="1981"/>
    </row>
    <row r="1516" spans="1:10" ht="15.75" customHeight="1">
      <c r="A1516" s="1780"/>
      <c r="B1516" s="1784"/>
      <c r="C1516" s="1889" t="s">
        <v>2091</v>
      </c>
      <c r="D1516" s="1841"/>
      <c r="E1516" s="413"/>
      <c r="F1516" s="320"/>
      <c r="G1516" s="361">
        <f>SUM(G1514:G1515)</f>
        <v>5612.7831500000002</v>
      </c>
      <c r="H1516" s="1980"/>
      <c r="I1516" s="1983">
        <f>SUM(I1514:I1515)</f>
        <v>0.12028367698219908</v>
      </c>
      <c r="J1516" s="1981"/>
    </row>
    <row r="1517" spans="1:10" ht="15.75" customHeight="1">
      <c r="A1517" s="1780"/>
      <c r="B1517" s="1784"/>
      <c r="C1517" s="1804" t="s">
        <v>2298</v>
      </c>
      <c r="D1517" s="1763"/>
      <c r="E1517" s="1764"/>
      <c r="F1517" s="1765"/>
      <c r="G1517" s="1765">
        <f>G1512+G1516</f>
        <v>46059.361245000007</v>
      </c>
      <c r="H1517" s="1980"/>
      <c r="I1517" s="1984">
        <f>I1512+I1516</f>
        <v>0.99842390736567399</v>
      </c>
      <c r="J1517" s="1981"/>
    </row>
    <row r="1518" spans="1:10" ht="15.75" customHeight="1">
      <c r="A1518" s="1780"/>
      <c r="B1518" s="1784"/>
      <c r="C1518" s="1762" t="s">
        <v>2094</v>
      </c>
      <c r="D1518" s="1767">
        <f>M$4</f>
        <v>0.15</v>
      </c>
      <c r="E1518" s="1768"/>
      <c r="F1518" s="1765"/>
      <c r="G1518" s="1765">
        <f>G1517*D1518</f>
        <v>6908.9041867500009</v>
      </c>
      <c r="H1518" s="1980"/>
      <c r="I1518" s="1980"/>
      <c r="J1518" s="1981"/>
    </row>
    <row r="1519" spans="1:10" ht="15.75" customHeight="1">
      <c r="A1519" s="1786"/>
      <c r="B1519" s="1890"/>
      <c r="C1519" s="1788" t="s">
        <v>2111</v>
      </c>
      <c r="D1519" s="1772"/>
      <c r="E1519" s="1773"/>
      <c r="F1519" s="1774"/>
      <c r="G1519" s="1861">
        <f>ROUNDUP((G1517+G1518),2)</f>
        <v>52968.270000000004</v>
      </c>
      <c r="H1519" s="2007"/>
      <c r="I1519" s="2007"/>
      <c r="J1519" s="2008"/>
    </row>
    <row r="1520" spans="1:10" ht="15.75" customHeight="1">
      <c r="A1520" s="1733"/>
      <c r="B1520" s="1733"/>
      <c r="C1520" s="1733"/>
      <c r="D1520" s="1733"/>
      <c r="E1520" s="1733"/>
      <c r="F1520" s="1733"/>
      <c r="G1520" s="1733"/>
      <c r="H1520" s="1733"/>
      <c r="I1520" s="1733"/>
      <c r="J1520" s="1733"/>
    </row>
    <row r="1521" spans="1:10" ht="15.75" customHeight="1">
      <c r="A1521" s="1778">
        <f>A1506+1</f>
        <v>69</v>
      </c>
      <c r="B1521" s="1779" t="s">
        <v>2564</v>
      </c>
      <c r="C1521" s="1872" t="s">
        <v>2566</v>
      </c>
      <c r="D1521" s="1873"/>
      <c r="E1521" s="1874"/>
      <c r="F1521" s="1875"/>
      <c r="G1521" s="1875"/>
      <c r="H1521" s="1800"/>
      <c r="I1521" s="1800"/>
      <c r="J1521" s="1801"/>
    </row>
    <row r="1522" spans="1:10" ht="15.75" customHeight="1">
      <c r="A1522" s="1780"/>
      <c r="B1522" s="1739" t="s">
        <v>1004</v>
      </c>
      <c r="C1522" s="1877" t="s">
        <v>2067</v>
      </c>
      <c r="D1522" s="390"/>
      <c r="E1522" s="413"/>
      <c r="F1522" s="320"/>
      <c r="G1522" s="320"/>
      <c r="H1522" s="1802"/>
      <c r="I1522" s="1802"/>
      <c r="J1522" s="1803"/>
    </row>
    <row r="1523" spans="1:10" ht="15.75" customHeight="1">
      <c r="A1523" s="1780"/>
      <c r="B1523" s="1739"/>
      <c r="C1523" s="1878" t="s">
        <v>2103</v>
      </c>
      <c r="D1523" s="1841">
        <v>0.17860000000000001</v>
      </c>
      <c r="E1523" s="413" t="s">
        <v>2069</v>
      </c>
      <c r="F1523" s="1747">
        <f>'Bahan &amp; Upah'!C$336</f>
        <v>96332.65</v>
      </c>
      <c r="G1523" s="361">
        <f>F1523*D1523</f>
        <v>17205.011289999999</v>
      </c>
      <c r="H1523" s="1980">
        <v>1</v>
      </c>
      <c r="I1523" s="1980">
        <f>(G1523/G$1532)*H1523</f>
        <v>0.37085507374979143</v>
      </c>
      <c r="J1523" s="1981"/>
    </row>
    <row r="1524" spans="1:10" ht="15.75" customHeight="1">
      <c r="A1524" s="1780"/>
      <c r="B1524" s="1739"/>
      <c r="C1524" s="1878" t="s">
        <v>2124</v>
      </c>
      <c r="D1524" s="1841">
        <v>0.17860000000000001</v>
      </c>
      <c r="E1524" s="413" t="s">
        <v>2069</v>
      </c>
      <c r="F1524" s="1883">
        <f>'Bahan &amp; Upah'!C$337</f>
        <v>114133.55</v>
      </c>
      <c r="G1524" s="361">
        <f>F1524*D1524</f>
        <v>20384.252030000003</v>
      </c>
      <c r="H1524" s="1980">
        <v>1</v>
      </c>
      <c r="I1524" s="1980">
        <f>(G1524/G$1532)*H1524</f>
        <v>0.43938380292222334</v>
      </c>
      <c r="J1524" s="1981"/>
    </row>
    <row r="1525" spans="1:10" ht="15.75" customHeight="1">
      <c r="A1525" s="1780"/>
      <c r="B1525" s="1739"/>
      <c r="C1525" s="1878" t="s">
        <v>2105</v>
      </c>
      <c r="D1525" s="1841">
        <v>1.7860000000000001E-2</v>
      </c>
      <c r="E1525" s="413" t="s">
        <v>2069</v>
      </c>
      <c r="F1525" s="1748">
        <f>'Bahan &amp; Upah'!C$338</f>
        <v>125485.75</v>
      </c>
      <c r="G1525" s="361">
        <f>F1525*D1525</f>
        <v>2241.175495</v>
      </c>
      <c r="H1525" s="1980">
        <v>1</v>
      </c>
      <c r="I1525" s="1980">
        <f>(G1525/G$1532)*H1525</f>
        <v>4.8308675273438337E-2</v>
      </c>
      <c r="J1525" s="1981"/>
    </row>
    <row r="1526" spans="1:10" ht="15.75" customHeight="1">
      <c r="A1526" s="1780"/>
      <c r="B1526" s="1739"/>
      <c r="C1526" s="1878" t="s">
        <v>2107</v>
      </c>
      <c r="D1526" s="1841">
        <v>6.0000000000000001E-3</v>
      </c>
      <c r="E1526" s="413" t="s">
        <v>2069</v>
      </c>
      <c r="F1526" s="1883">
        <f>'Bahan &amp; Upah'!C$339</f>
        <v>102689.88</v>
      </c>
      <c r="G1526" s="1785">
        <f>F1526*D1526</f>
        <v>616.13927999999999</v>
      </c>
      <c r="H1526" s="1980">
        <v>1</v>
      </c>
      <c r="I1526" s="1982">
        <f>(G1526/G$1532)*H1526</f>
        <v>1.3280919975760355E-2</v>
      </c>
      <c r="J1526" s="1981"/>
    </row>
    <row r="1527" spans="1:10" ht="15.75" customHeight="1">
      <c r="A1527" s="1780"/>
      <c r="B1527" s="1739"/>
      <c r="C1527" s="1889" t="s">
        <v>2108</v>
      </c>
      <c r="D1527" s="1841"/>
      <c r="E1527" s="413"/>
      <c r="F1527" s="320"/>
      <c r="G1527" s="361">
        <f>SUM(G1523:G1526)</f>
        <v>40446.578095000004</v>
      </c>
      <c r="H1527" s="1980"/>
      <c r="I1527" s="1983">
        <f>SUM(I1523:I1526)</f>
        <v>0.87182847192121338</v>
      </c>
      <c r="J1527" s="1981"/>
    </row>
    <row r="1528" spans="1:10" ht="15.75" customHeight="1">
      <c r="A1528" s="1780"/>
      <c r="B1528" s="1739" t="s">
        <v>1015</v>
      </c>
      <c r="C1528" s="1877" t="s">
        <v>2075</v>
      </c>
      <c r="D1528" s="1841"/>
      <c r="E1528" s="413"/>
      <c r="F1528" s="317"/>
      <c r="G1528" s="320"/>
      <c r="H1528" s="1980"/>
      <c r="I1528" s="1980"/>
      <c r="J1528" s="1981"/>
    </row>
    <row r="1529" spans="1:10" ht="15.75" customHeight="1">
      <c r="A1529" s="1780"/>
      <c r="B1529" s="1784"/>
      <c r="C1529" s="1878" t="s">
        <v>2560</v>
      </c>
      <c r="D1529" s="1841">
        <v>0.5</v>
      </c>
      <c r="E1529" s="413" t="s">
        <v>100</v>
      </c>
      <c r="F1529" s="1883">
        <f>'Bahan &amp; Upah'!C$29</f>
        <v>2459.35</v>
      </c>
      <c r="G1529" s="332">
        <f>F1529*D1529</f>
        <v>1229.675</v>
      </c>
      <c r="H1529" s="1749">
        <v>0.91900000000000004</v>
      </c>
      <c r="I1529" s="1980">
        <f>(G1529/G$1532)*H1529</f>
        <v>2.4358756731475504E-2</v>
      </c>
      <c r="J1529" s="1981"/>
    </row>
    <row r="1530" spans="1:10" ht="15.75" customHeight="1">
      <c r="A1530" s="1780"/>
      <c r="B1530" s="1784"/>
      <c r="C1530" s="1878" t="s">
        <v>2081</v>
      </c>
      <c r="D1530" s="1841">
        <v>1.2999999999999999E-2</v>
      </c>
      <c r="E1530" s="413" t="s">
        <v>103</v>
      </c>
      <c r="F1530" s="361">
        <f>'Bahan &amp; Upah'!C$11</f>
        <v>362812.55</v>
      </c>
      <c r="G1530" s="2006">
        <f>F1530*D1530</f>
        <v>4716.56315</v>
      </c>
      <c r="H1530" s="1980">
        <v>1</v>
      </c>
      <c r="I1530" s="1982">
        <f>(G1530/G$1532)*H1530</f>
        <v>0.10166580802277397</v>
      </c>
      <c r="J1530" s="1981"/>
    </row>
    <row r="1531" spans="1:10" ht="15.75" customHeight="1">
      <c r="A1531" s="1780"/>
      <c r="B1531" s="1784"/>
      <c r="C1531" s="1889" t="s">
        <v>2091</v>
      </c>
      <c r="D1531" s="1841"/>
      <c r="E1531" s="413"/>
      <c r="F1531" s="320"/>
      <c r="G1531" s="361">
        <f>SUM(G1529:G1530)</f>
        <v>5946.2381500000001</v>
      </c>
      <c r="H1531" s="1980"/>
      <c r="I1531" s="1983">
        <f>SUM(I1529:I1530)</f>
        <v>0.12602456475424947</v>
      </c>
      <c r="J1531" s="1981"/>
    </row>
    <row r="1532" spans="1:10" ht="15.75" customHeight="1">
      <c r="A1532" s="1780"/>
      <c r="B1532" s="1784"/>
      <c r="C1532" s="1804" t="s">
        <v>2298</v>
      </c>
      <c r="D1532" s="1763"/>
      <c r="E1532" s="1764"/>
      <c r="F1532" s="1765"/>
      <c r="G1532" s="1765">
        <f>G1527+G1531</f>
        <v>46392.816245000002</v>
      </c>
      <c r="H1532" s="1980"/>
      <c r="I1532" s="1984">
        <f>I1527+I1531</f>
        <v>0.99785303667546288</v>
      </c>
      <c r="J1532" s="1981"/>
    </row>
    <row r="1533" spans="1:10" ht="15.75" customHeight="1">
      <c r="A1533" s="1780"/>
      <c r="B1533" s="1784"/>
      <c r="C1533" s="1762" t="s">
        <v>2094</v>
      </c>
      <c r="D1533" s="1767">
        <f>M$4</f>
        <v>0.15</v>
      </c>
      <c r="E1533" s="1768"/>
      <c r="F1533" s="1765"/>
      <c r="G1533" s="1765">
        <f>G1532*D1533</f>
        <v>6958.9224367500001</v>
      </c>
      <c r="H1533" s="1980"/>
      <c r="I1533" s="1980"/>
      <c r="J1533" s="1981"/>
    </row>
    <row r="1534" spans="1:10" ht="15.75" customHeight="1">
      <c r="A1534" s="1786"/>
      <c r="B1534" s="1890"/>
      <c r="C1534" s="1788" t="s">
        <v>2111</v>
      </c>
      <c r="D1534" s="1772"/>
      <c r="E1534" s="1773"/>
      <c r="F1534" s="1774"/>
      <c r="G1534" s="1861">
        <f>ROUNDUP((G1532+G1533),2)</f>
        <v>53351.740000000005</v>
      </c>
      <c r="H1534" s="2007"/>
      <c r="I1534" s="2007"/>
      <c r="J1534" s="2008"/>
    </row>
    <row r="1535" spans="1:10" ht="15.75" customHeight="1">
      <c r="A1535" s="1733"/>
      <c r="B1535" s="1733"/>
      <c r="C1535" s="1733"/>
      <c r="D1535" s="1733"/>
      <c r="E1535" s="1733"/>
      <c r="F1535" s="1733"/>
      <c r="G1535" s="1733"/>
      <c r="H1535" s="1733"/>
      <c r="I1535" s="1733"/>
      <c r="J1535" s="1733"/>
    </row>
    <row r="1536" spans="1:10" ht="15.75" customHeight="1">
      <c r="A1536" s="1778">
        <f>A1521+1</f>
        <v>70</v>
      </c>
      <c r="B1536" s="1779" t="s">
        <v>2567</v>
      </c>
      <c r="C1536" s="1939" t="s">
        <v>2568</v>
      </c>
      <c r="D1536" s="1971"/>
      <c r="E1536" s="1874"/>
      <c r="F1536" s="1875"/>
      <c r="G1536" s="1875"/>
      <c r="H1536" s="1800"/>
      <c r="I1536" s="1800"/>
      <c r="J1536" s="1801"/>
    </row>
    <row r="1537" spans="1:10" ht="15.75" customHeight="1">
      <c r="A1537" s="1780"/>
      <c r="B1537" s="1739" t="s">
        <v>1004</v>
      </c>
      <c r="C1537" s="1877" t="s">
        <v>2067</v>
      </c>
      <c r="D1537" s="390"/>
      <c r="E1537" s="413"/>
      <c r="F1537" s="320"/>
      <c r="G1537" s="320"/>
      <c r="H1537" s="1802"/>
      <c r="I1537" s="1802"/>
      <c r="J1537" s="1803"/>
    </row>
    <row r="1538" spans="1:10" ht="15.75" customHeight="1">
      <c r="A1538" s="1780"/>
      <c r="B1538" s="1739"/>
      <c r="C1538" s="1878" t="s">
        <v>2103</v>
      </c>
      <c r="D1538" s="1781">
        <v>0.2</v>
      </c>
      <c r="E1538" s="413" t="s">
        <v>2069</v>
      </c>
      <c r="F1538" s="1747">
        <f>'Bahan &amp; Upah'!C$336</f>
        <v>96332.65</v>
      </c>
      <c r="G1538" s="361">
        <f>F1538*D1538</f>
        <v>19266.53</v>
      </c>
      <c r="H1538" s="1749">
        <v>1</v>
      </c>
      <c r="I1538" s="1749">
        <f>(G1538/G$1548)*H1538</f>
        <v>3.4518555873001698E-2</v>
      </c>
      <c r="J1538" s="1750"/>
    </row>
    <row r="1539" spans="1:10" ht="15.75" customHeight="1">
      <c r="A1539" s="1780"/>
      <c r="B1539" s="1739"/>
      <c r="C1539" s="1878" t="s">
        <v>2124</v>
      </c>
      <c r="D1539" s="1781">
        <v>0.1</v>
      </c>
      <c r="E1539" s="413" t="s">
        <v>2069</v>
      </c>
      <c r="F1539" s="1883">
        <f>'Bahan &amp; Upah'!C$337</f>
        <v>114133.55</v>
      </c>
      <c r="G1539" s="361">
        <f>F1539*D1539</f>
        <v>11413.355000000001</v>
      </c>
      <c r="H1539" s="1749">
        <v>1</v>
      </c>
      <c r="I1539" s="1749">
        <f>(G1539/G$1548)*H1539</f>
        <v>2.0448546378922586E-2</v>
      </c>
      <c r="J1539" s="1750"/>
    </row>
    <row r="1540" spans="1:10" ht="15.75" customHeight="1">
      <c r="A1540" s="1780"/>
      <c r="B1540" s="1739"/>
      <c r="C1540" s="1878" t="s">
        <v>2072</v>
      </c>
      <c r="D1540" s="1781">
        <v>0.01</v>
      </c>
      <c r="E1540" s="413" t="s">
        <v>2069</v>
      </c>
      <c r="F1540" s="1748">
        <f>'Bahan &amp; Upah'!C$338</f>
        <v>125485.75</v>
      </c>
      <c r="G1540" s="361">
        <f>F1540*D1540</f>
        <v>1254.8575000000001</v>
      </c>
      <c r="H1540" s="1749">
        <v>1</v>
      </c>
      <c r="I1540" s="1749">
        <f>(G1540/G$1548)*H1540</f>
        <v>2.2482444283638638E-3</v>
      </c>
      <c r="J1540" s="1750"/>
    </row>
    <row r="1541" spans="1:10" ht="15.75" customHeight="1">
      <c r="A1541" s="1780"/>
      <c r="B1541" s="1739"/>
      <c r="C1541" s="1878" t="s">
        <v>2107</v>
      </c>
      <c r="D1541" s="1781">
        <v>3.3E-3</v>
      </c>
      <c r="E1541" s="413" t="s">
        <v>2069</v>
      </c>
      <c r="F1541" s="1883">
        <f>'Bahan &amp; Upah'!C$339</f>
        <v>102689.88</v>
      </c>
      <c r="G1541" s="1785">
        <f>F1541*D1541</f>
        <v>338.87660399999999</v>
      </c>
      <c r="H1541" s="1749">
        <v>1</v>
      </c>
      <c r="I1541" s="1752">
        <f>(G1541/G$1548)*H1541</f>
        <v>6.0714259335890126E-4</v>
      </c>
      <c r="J1541" s="1750"/>
    </row>
    <row r="1542" spans="1:10" ht="15.75" customHeight="1">
      <c r="A1542" s="1780"/>
      <c r="B1542" s="1739"/>
      <c r="C1542" s="1889" t="s">
        <v>2108</v>
      </c>
      <c r="D1542" s="1781"/>
      <c r="E1542" s="413"/>
      <c r="F1542" s="320"/>
      <c r="G1542" s="361">
        <f>SUM(G1538:G1541)</f>
        <v>32273.619104000001</v>
      </c>
      <c r="H1542" s="1749"/>
      <c r="I1542" s="1754">
        <f>SUM(I1538:I1541)</f>
        <v>5.7822489273647047E-2</v>
      </c>
      <c r="J1542" s="1750"/>
    </row>
    <row r="1543" spans="1:10" ht="15.75" customHeight="1">
      <c r="A1543" s="1780"/>
      <c r="B1543" s="1739" t="s">
        <v>1015</v>
      </c>
      <c r="C1543" s="1877" t="s">
        <v>2075</v>
      </c>
      <c r="D1543" s="1781"/>
      <c r="E1543" s="1914"/>
      <c r="F1543" s="320"/>
      <c r="G1543" s="320"/>
      <c r="H1543" s="1749"/>
      <c r="I1543" s="1749"/>
      <c r="J1543" s="1750"/>
    </row>
    <row r="1544" spans="1:10" ht="15.75" customHeight="1">
      <c r="A1544" s="1780"/>
      <c r="B1544" s="1739"/>
      <c r="C1544" s="1878" t="s">
        <v>2569</v>
      </c>
      <c r="D1544" s="1781">
        <v>26.25</v>
      </c>
      <c r="E1544" s="413" t="s">
        <v>124</v>
      </c>
      <c r="F1544" s="1883">
        <f>'Bahan &amp; Upah'!C23</f>
        <v>18635.13</v>
      </c>
      <c r="G1544" s="332">
        <f>F1544*D1544</f>
        <v>489172.16250000003</v>
      </c>
      <c r="H1544" s="1749">
        <v>1</v>
      </c>
      <c r="I1544" s="1749">
        <f>(G1544/G$1548)*H1544</f>
        <v>0.8764171141753766</v>
      </c>
      <c r="J1544" s="1750"/>
    </row>
    <row r="1545" spans="1:10" ht="15.75" customHeight="1">
      <c r="A1545" s="1780"/>
      <c r="B1545" s="1784"/>
      <c r="C1545" s="1878" t="s">
        <v>2080</v>
      </c>
      <c r="D1545" s="1781">
        <v>14</v>
      </c>
      <c r="E1545" s="413" t="s">
        <v>100</v>
      </c>
      <c r="F1545" s="1883">
        <f>'Bahan &amp; Upah'!C$27</f>
        <v>1792.44</v>
      </c>
      <c r="G1545" s="332">
        <f>F1545*D1545</f>
        <v>25094.16</v>
      </c>
      <c r="H1545" s="1749">
        <v>0.91900000000000004</v>
      </c>
      <c r="I1545" s="1749">
        <f>(G1545/G$1548)*H1545</f>
        <v>4.1317809525551037E-2</v>
      </c>
      <c r="J1545" s="1750"/>
    </row>
    <row r="1546" spans="1:10" ht="15.75" customHeight="1">
      <c r="A1546" s="1780"/>
      <c r="B1546" s="1784"/>
      <c r="C1546" s="1878" t="s">
        <v>2081</v>
      </c>
      <c r="D1546" s="1781">
        <v>3.2000000000000001E-2</v>
      </c>
      <c r="E1546" s="413" t="s">
        <v>103</v>
      </c>
      <c r="F1546" s="361">
        <f>'Bahan &amp; Upah'!C$11</f>
        <v>362812.55</v>
      </c>
      <c r="G1546" s="1785">
        <f>F1546*D1546</f>
        <v>11610.0016</v>
      </c>
      <c r="H1546" s="1749">
        <v>1</v>
      </c>
      <c r="I1546" s="1752">
        <f>(G1546/G$1548)*H1546</f>
        <v>2.0800864967134149E-2</v>
      </c>
      <c r="J1546" s="1750"/>
    </row>
    <row r="1547" spans="1:10" ht="15.75" customHeight="1">
      <c r="A1547" s="1780"/>
      <c r="B1547" s="1784"/>
      <c r="C1547" s="1889" t="s">
        <v>2091</v>
      </c>
      <c r="D1547" s="1781"/>
      <c r="E1547" s="413"/>
      <c r="F1547" s="320"/>
      <c r="G1547" s="361">
        <f>SUM(G1544:G1546)</f>
        <v>525876.32409999997</v>
      </c>
      <c r="H1547" s="1749"/>
      <c r="I1547" s="1754">
        <f>SUM(I1544:I1546)</f>
        <v>0.93853578866806187</v>
      </c>
      <c r="J1547" s="1750"/>
    </row>
    <row r="1548" spans="1:10" ht="15.75" customHeight="1">
      <c r="A1548" s="1780"/>
      <c r="B1548" s="1784"/>
      <c r="C1548" s="1804" t="s">
        <v>2298</v>
      </c>
      <c r="D1548" s="1763"/>
      <c r="E1548" s="1764"/>
      <c r="F1548" s="1765"/>
      <c r="G1548" s="1765">
        <f>G1542+G1547</f>
        <v>558149.94320400001</v>
      </c>
      <c r="H1548" s="1749"/>
      <c r="I1548" s="1766">
        <f>I1542+I1547</f>
        <v>0.99635827794170895</v>
      </c>
      <c r="J1548" s="1750"/>
    </row>
    <row r="1549" spans="1:10" ht="15.75" customHeight="1">
      <c r="A1549" s="1780"/>
      <c r="B1549" s="1784"/>
      <c r="C1549" s="1762" t="s">
        <v>2094</v>
      </c>
      <c r="D1549" s="1767">
        <f>M$4</f>
        <v>0.15</v>
      </c>
      <c r="E1549" s="1768"/>
      <c r="F1549" s="1765"/>
      <c r="G1549" s="1765">
        <f>G1548*D1549</f>
        <v>83722.491480600002</v>
      </c>
      <c r="H1549" s="1749"/>
      <c r="I1549" s="1749"/>
      <c r="J1549" s="1750"/>
    </row>
    <row r="1550" spans="1:10" ht="15.75" customHeight="1">
      <c r="A1550" s="1786"/>
      <c r="B1550" s="1890"/>
      <c r="C1550" s="1788" t="s">
        <v>2111</v>
      </c>
      <c r="D1550" s="1772"/>
      <c r="E1550" s="1773"/>
      <c r="F1550" s="1774"/>
      <c r="G1550" s="1775">
        <f>ROUNDUP((G1548+G1549),2)</f>
        <v>641872.44000000006</v>
      </c>
      <c r="H1550" s="1776"/>
      <c r="I1550" s="1776"/>
      <c r="J1550" s="1789"/>
    </row>
    <row r="1551" spans="1:10" ht="15.75" customHeight="1">
      <c r="A1551" s="1733"/>
      <c r="B1551" s="1733"/>
      <c r="C1551" s="1733"/>
      <c r="D1551" s="1733"/>
      <c r="E1551" s="1733"/>
      <c r="F1551" s="1733"/>
      <c r="G1551" s="1733"/>
      <c r="H1551" s="1733"/>
      <c r="I1551" s="1733"/>
      <c r="J1551" s="1733"/>
    </row>
    <row r="1552" spans="1:10" ht="15.75" customHeight="1">
      <c r="A1552" s="1778">
        <f>A1536+1</f>
        <v>71</v>
      </c>
      <c r="B1552" s="1779" t="s">
        <v>2570</v>
      </c>
      <c r="C1552" s="1939" t="s">
        <v>2571</v>
      </c>
      <c r="D1552" s="1873"/>
      <c r="E1552" s="1874"/>
      <c r="F1552" s="1875"/>
      <c r="G1552" s="1875">
        <f>0.7*1.2</f>
        <v>0.84</v>
      </c>
      <c r="H1552" s="1800"/>
      <c r="I1552" s="1800"/>
      <c r="J1552" s="1801"/>
    </row>
    <row r="1553" spans="1:10" ht="15.75" customHeight="1">
      <c r="A1553" s="1780"/>
      <c r="B1553" s="1739" t="s">
        <v>1004</v>
      </c>
      <c r="C1553" s="1877" t="s">
        <v>2067</v>
      </c>
      <c r="D1553" s="390"/>
      <c r="E1553" s="413"/>
      <c r="F1553" s="320"/>
      <c r="G1553" s="320"/>
      <c r="H1553" s="1802"/>
      <c r="I1553" s="1802"/>
      <c r="J1553" s="1803"/>
    </row>
    <row r="1554" spans="1:10" ht="15.75" customHeight="1">
      <c r="A1554" s="1780"/>
      <c r="B1554" s="1739"/>
      <c r="C1554" s="1878" t="s">
        <v>2103</v>
      </c>
      <c r="D1554" s="1841">
        <v>0.3</v>
      </c>
      <c r="E1554" s="413" t="s">
        <v>2069</v>
      </c>
      <c r="F1554" s="1747">
        <f>'Bahan &amp; Upah'!C$336</f>
        <v>96332.65</v>
      </c>
      <c r="G1554" s="361">
        <f>F1554*D1554</f>
        <v>28899.794999999998</v>
      </c>
      <c r="H1554" s="1980">
        <v>1</v>
      </c>
      <c r="I1554" s="1980">
        <f>(G1554/G$1564)*H1554</f>
        <v>3.9433907895780516E-2</v>
      </c>
      <c r="J1554" s="1981"/>
    </row>
    <row r="1555" spans="1:10" ht="15.75" customHeight="1">
      <c r="A1555" s="1780"/>
      <c r="B1555" s="1739"/>
      <c r="C1555" s="1878" t="s">
        <v>2124</v>
      </c>
      <c r="D1555" s="1841">
        <v>0.15</v>
      </c>
      <c r="E1555" s="413" t="s">
        <v>2069</v>
      </c>
      <c r="F1555" s="1883">
        <f>'Bahan &amp; Upah'!C$337</f>
        <v>114133.55</v>
      </c>
      <c r="G1555" s="361">
        <f>F1555*D1555</f>
        <v>17120.032500000001</v>
      </c>
      <c r="H1555" s="1980">
        <v>1</v>
      </c>
      <c r="I1555" s="1980">
        <f>(G1555/G$1564)*H1555</f>
        <v>2.3360365870338153E-2</v>
      </c>
      <c r="J1555" s="1981"/>
    </row>
    <row r="1556" spans="1:10" ht="15.75" customHeight="1">
      <c r="A1556" s="1780"/>
      <c r="B1556" s="1739"/>
      <c r="C1556" s="1878" t="s">
        <v>2072</v>
      </c>
      <c r="D1556" s="1841">
        <v>1.4999999999999999E-2</v>
      </c>
      <c r="E1556" s="413" t="s">
        <v>2069</v>
      </c>
      <c r="F1556" s="1748">
        <f>'Bahan &amp; Upah'!C$338</f>
        <v>125485.75</v>
      </c>
      <c r="G1556" s="361">
        <f>F1556*D1556</f>
        <v>1882.2862499999999</v>
      </c>
      <c r="H1556" s="1980">
        <v>1</v>
      </c>
      <c r="I1556" s="1980">
        <f>(G1556/G$1564)*H1556</f>
        <v>2.5683885514064756E-3</v>
      </c>
      <c r="J1556" s="1981"/>
    </row>
    <row r="1557" spans="1:10" ht="15.75" customHeight="1">
      <c r="A1557" s="1780"/>
      <c r="B1557" s="1739"/>
      <c r="C1557" s="1878" t="s">
        <v>2107</v>
      </c>
      <c r="D1557" s="1841">
        <v>5.0000000000000001E-3</v>
      </c>
      <c r="E1557" s="413" t="s">
        <v>2069</v>
      </c>
      <c r="F1557" s="1883">
        <f>'Bahan &amp; Upah'!C$339</f>
        <v>102689.88</v>
      </c>
      <c r="G1557" s="1785">
        <f>F1557*D1557</f>
        <v>513.44940000000008</v>
      </c>
      <c r="H1557" s="1980">
        <v>1</v>
      </c>
      <c r="I1557" s="1982">
        <f>(G1557/G$1564)*H1557</f>
        <v>7.0060415130085776E-4</v>
      </c>
      <c r="J1557" s="1981"/>
    </row>
    <row r="1558" spans="1:10" ht="15.75" customHeight="1">
      <c r="A1558" s="1780"/>
      <c r="B1558" s="1739"/>
      <c r="C1558" s="1889" t="s">
        <v>2108</v>
      </c>
      <c r="D1558" s="1841"/>
      <c r="E1558" s="413"/>
      <c r="F1558" s="320"/>
      <c r="G1558" s="361">
        <f>SUM(G1554:G1557)</f>
        <v>48415.563149999994</v>
      </c>
      <c r="H1558" s="1980"/>
      <c r="I1558" s="1983">
        <f>SUM(I1554:I1557)</f>
        <v>6.6063266468826001E-2</v>
      </c>
      <c r="J1558" s="1981"/>
    </row>
    <row r="1559" spans="1:10" ht="15.75" customHeight="1">
      <c r="A1559" s="1780"/>
      <c r="B1559" s="1739" t="s">
        <v>1015</v>
      </c>
      <c r="C1559" s="1877" t="s">
        <v>2075</v>
      </c>
      <c r="D1559" s="1841"/>
      <c r="E1559" s="1832"/>
      <c r="F1559" s="320"/>
      <c r="G1559" s="320"/>
      <c r="H1559" s="1980"/>
      <c r="I1559" s="1980"/>
      <c r="J1559" s="1981"/>
    </row>
    <row r="1560" spans="1:10" ht="15.75" customHeight="1">
      <c r="A1560" s="1780"/>
      <c r="B1560" s="1739"/>
      <c r="C1560" s="1878" t="s">
        <v>2572</v>
      </c>
      <c r="D1560" s="1841">
        <v>1.05</v>
      </c>
      <c r="E1560" s="413" t="s">
        <v>89</v>
      </c>
      <c r="F1560" s="1883">
        <f>'Bahan &amp; Upah'!C$37</f>
        <v>616901.81000000006</v>
      </c>
      <c r="G1560" s="332">
        <f>F1560*D1560</f>
        <v>647746.90050000011</v>
      </c>
      <c r="H1560" s="1980">
        <v>0.58020000000000005</v>
      </c>
      <c r="I1560" s="1980">
        <f>(G1560/G$1564)*H1560</f>
        <v>0.5128119342887214</v>
      </c>
      <c r="J1560" s="1981"/>
    </row>
    <row r="1561" spans="1:10" ht="15.75" customHeight="1">
      <c r="A1561" s="1780"/>
      <c r="B1561" s="1784"/>
      <c r="C1561" s="1878" t="s">
        <v>2080</v>
      </c>
      <c r="D1561" s="1841">
        <v>14</v>
      </c>
      <c r="E1561" s="413" t="s">
        <v>100</v>
      </c>
      <c r="F1561" s="1883">
        <f>'Bahan &amp; Upah'!C$27</f>
        <v>1792.44</v>
      </c>
      <c r="G1561" s="332">
        <f>F1561*D1561</f>
        <v>25094.16</v>
      </c>
      <c r="H1561" s="1980">
        <f>H1545</f>
        <v>0.91900000000000004</v>
      </c>
      <c r="I1561" s="1980">
        <f>(G1561/G$1564)*H1561</f>
        <v>3.1467571650070851E-2</v>
      </c>
      <c r="J1561" s="1981"/>
    </row>
    <row r="1562" spans="1:10" ht="15.75" customHeight="1">
      <c r="A1562" s="1780"/>
      <c r="B1562" s="1784"/>
      <c r="C1562" s="1878" t="s">
        <v>2081</v>
      </c>
      <c r="D1562" s="1841">
        <v>3.2000000000000001E-2</v>
      </c>
      <c r="E1562" s="413" t="s">
        <v>103</v>
      </c>
      <c r="F1562" s="361">
        <f>'Bahan &amp; Upah'!C$11</f>
        <v>362812.55</v>
      </c>
      <c r="G1562" s="1785">
        <f>F1562*D1562</f>
        <v>11610.0016</v>
      </c>
      <c r="H1562" s="1980">
        <v>1</v>
      </c>
      <c r="I1562" s="1982">
        <f>(G1562/G$1564)*H1562</f>
        <v>1.5841902469005902E-2</v>
      </c>
      <c r="J1562" s="1981"/>
    </row>
    <row r="1563" spans="1:10" ht="15.75" customHeight="1">
      <c r="A1563" s="1780"/>
      <c r="B1563" s="1784"/>
      <c r="C1563" s="1878"/>
      <c r="D1563" s="1841"/>
      <c r="E1563" s="413"/>
      <c r="F1563" s="320"/>
      <c r="G1563" s="361">
        <f>SUM(G1560:G1562)</f>
        <v>684451.0621000001</v>
      </c>
      <c r="H1563" s="1980"/>
      <c r="I1563" s="1983">
        <f>SUM(I1560:I1562)</f>
        <v>0.56012140840779812</v>
      </c>
      <c r="J1563" s="1981"/>
    </row>
    <row r="1564" spans="1:10" ht="15.75" customHeight="1">
      <c r="A1564" s="1780"/>
      <c r="B1564" s="1784"/>
      <c r="C1564" s="1804" t="s">
        <v>2298</v>
      </c>
      <c r="D1564" s="1763"/>
      <c r="E1564" s="1764"/>
      <c r="F1564" s="1765"/>
      <c r="G1564" s="1765">
        <f>G1558+G1563</f>
        <v>732866.62525000004</v>
      </c>
      <c r="H1564" s="1980"/>
      <c r="I1564" s="1984">
        <f>I1558+I1563</f>
        <v>0.6261846748766241</v>
      </c>
      <c r="J1564" s="1981"/>
    </row>
    <row r="1565" spans="1:10" ht="15.75" customHeight="1">
      <c r="A1565" s="1780"/>
      <c r="B1565" s="1784"/>
      <c r="C1565" s="1762" t="s">
        <v>2094</v>
      </c>
      <c r="D1565" s="1767">
        <f>M$4</f>
        <v>0.15</v>
      </c>
      <c r="E1565" s="1768"/>
      <c r="F1565" s="1765"/>
      <c r="G1565" s="1765">
        <f>G1564*D1565</f>
        <v>109929.9937875</v>
      </c>
      <c r="H1565" s="1980"/>
      <c r="I1565" s="1980"/>
      <c r="J1565" s="1981"/>
    </row>
    <row r="1566" spans="1:10" ht="15.75" customHeight="1">
      <c r="A1566" s="1786"/>
      <c r="B1566" s="1890"/>
      <c r="C1566" s="1788" t="s">
        <v>2111</v>
      </c>
      <c r="D1566" s="1772"/>
      <c r="E1566" s="1773"/>
      <c r="F1566" s="1774"/>
      <c r="G1566" s="1861">
        <f>ROUNDUP((G1564+G1565),2)</f>
        <v>842796.62</v>
      </c>
      <c r="H1566" s="1985"/>
      <c r="I1566" s="1985"/>
      <c r="J1566" s="1986"/>
    </row>
    <row r="1567" spans="1:10" ht="15.75" customHeight="1">
      <c r="A1567" s="1733"/>
      <c r="B1567" s="1733"/>
      <c r="C1567" s="1733"/>
      <c r="D1567" s="1733"/>
      <c r="E1567" s="1733"/>
      <c r="F1567" s="1733"/>
      <c r="G1567" s="1733"/>
      <c r="H1567" s="1733"/>
      <c r="I1567" s="1733"/>
      <c r="J1567" s="1733"/>
    </row>
    <row r="1568" spans="1:10" ht="30" customHeight="1">
      <c r="A1568" s="1778">
        <f>A1552+1</f>
        <v>72</v>
      </c>
      <c r="B1568" s="1871" t="s">
        <v>2147</v>
      </c>
      <c r="C1568" s="1872" t="s">
        <v>826</v>
      </c>
      <c r="D1568" s="1873"/>
      <c r="E1568" s="1874"/>
      <c r="F1568" s="1875"/>
      <c r="G1568" s="1876"/>
      <c r="H1568" s="1997"/>
      <c r="I1568" s="1997"/>
      <c r="J1568" s="1947"/>
    </row>
    <row r="1569" spans="1:10" ht="15.75" customHeight="1">
      <c r="A1569" s="1780"/>
      <c r="B1569" s="1739" t="s">
        <v>1004</v>
      </c>
      <c r="C1569" s="1877" t="s">
        <v>2067</v>
      </c>
      <c r="D1569" s="390"/>
      <c r="E1569" s="413"/>
      <c r="F1569" s="320"/>
      <c r="G1569" s="320"/>
      <c r="H1569" s="1802"/>
      <c r="I1569" s="1802"/>
      <c r="J1569" s="1803"/>
    </row>
    <row r="1570" spans="1:10" ht="15.75" customHeight="1">
      <c r="A1570" s="1780"/>
      <c r="B1570" s="1739"/>
      <c r="C1570" s="1878" t="s">
        <v>2103</v>
      </c>
      <c r="D1570" s="1841">
        <v>0.39</v>
      </c>
      <c r="E1570" s="413" t="s">
        <v>2069</v>
      </c>
      <c r="F1570" s="1747">
        <f>'Bahan &amp; Upah'!C$336</f>
        <v>96332.65</v>
      </c>
      <c r="G1570" s="361">
        <f>F1570*D1570</f>
        <v>37569.733500000002</v>
      </c>
      <c r="H1570" s="1980">
        <v>1</v>
      </c>
      <c r="I1570" s="1980">
        <f>(G1570/G$1583)*H1570</f>
        <v>3.1775522868597611E-2</v>
      </c>
      <c r="J1570" s="1981"/>
    </row>
    <row r="1571" spans="1:10" ht="15.75" customHeight="1">
      <c r="A1571" s="1780"/>
      <c r="B1571" s="1739"/>
      <c r="C1571" s="1878" t="s">
        <v>2483</v>
      </c>
      <c r="D1571" s="1841">
        <v>0.7</v>
      </c>
      <c r="E1571" s="413" t="s">
        <v>2069</v>
      </c>
      <c r="F1571" s="1883">
        <f>'Bahan &amp; Upah'!C$337</f>
        <v>114133.55</v>
      </c>
      <c r="G1571" s="361">
        <f>F1571*D1571</f>
        <v>79893.485000000001</v>
      </c>
      <c r="H1571" s="1980">
        <v>1</v>
      </c>
      <c r="I1571" s="1980">
        <f>(G1571/G$1583)*H1571</f>
        <v>6.7571872972414362E-2</v>
      </c>
      <c r="J1571" s="1981"/>
    </row>
    <row r="1572" spans="1:10" ht="15.75" customHeight="1">
      <c r="A1572" s="1780"/>
      <c r="B1572" s="1739"/>
      <c r="C1572" s="1878" t="s">
        <v>2072</v>
      </c>
      <c r="D1572" s="1841">
        <v>7.0000000000000007E-2</v>
      </c>
      <c r="E1572" s="413" t="s">
        <v>2069</v>
      </c>
      <c r="F1572" s="1748">
        <f>'Bahan &amp; Upah'!C$338</f>
        <v>125485.75</v>
      </c>
      <c r="G1572" s="361">
        <f>F1572*D1572</f>
        <v>8784.0025000000005</v>
      </c>
      <c r="H1572" s="1980">
        <v>1</v>
      </c>
      <c r="I1572" s="1980">
        <f>(G1572/G$1583)*H1572</f>
        <v>7.4292853931627861E-3</v>
      </c>
      <c r="J1572" s="1981"/>
    </row>
    <row r="1573" spans="1:10" ht="15.75" customHeight="1">
      <c r="A1573" s="1780"/>
      <c r="B1573" s="1739"/>
      <c r="C1573" s="1878" t="s">
        <v>2107</v>
      </c>
      <c r="D1573" s="1841">
        <v>7.0000000000000001E-3</v>
      </c>
      <c r="E1573" s="413" t="s">
        <v>2069</v>
      </c>
      <c r="F1573" s="1883">
        <f>'Bahan &amp; Upah'!C$339</f>
        <v>102689.88</v>
      </c>
      <c r="G1573" s="1785">
        <f>F1573*D1573</f>
        <v>718.82916</v>
      </c>
      <c r="H1573" s="1980">
        <v>1</v>
      </c>
      <c r="I1573" s="1982">
        <f>(G1573/G$1583)*H1573</f>
        <v>6.0796737917224813E-4</v>
      </c>
      <c r="J1573" s="1981"/>
    </row>
    <row r="1574" spans="1:10" ht="15.75" customHeight="1">
      <c r="A1574" s="1780"/>
      <c r="B1574" s="1739"/>
      <c r="C1574" s="1889" t="s">
        <v>2108</v>
      </c>
      <c r="D1574" s="1841"/>
      <c r="E1574" s="413"/>
      <c r="F1574" s="320"/>
      <c r="G1574" s="361">
        <f>SUM(G1570:G1573)</f>
        <v>126966.05016</v>
      </c>
      <c r="H1574" s="1980"/>
      <c r="I1574" s="1983">
        <f>SUM(I1570:I1573)</f>
        <v>0.10738464861334701</v>
      </c>
      <c r="J1574" s="1981"/>
    </row>
    <row r="1575" spans="1:10" ht="15.75" customHeight="1">
      <c r="A1575" s="1780"/>
      <c r="B1575" s="1739" t="s">
        <v>1015</v>
      </c>
      <c r="C1575" s="1877" t="s">
        <v>2075</v>
      </c>
      <c r="D1575" s="1841"/>
      <c r="E1575" s="413"/>
      <c r="F1575" s="320"/>
      <c r="G1575" s="320"/>
      <c r="H1575" s="1980"/>
      <c r="I1575" s="1980"/>
      <c r="J1575" s="1981"/>
    </row>
    <row r="1576" spans="1:10" ht="15.75" customHeight="1">
      <c r="A1576" s="1780"/>
      <c r="B1576" s="1739"/>
      <c r="C1576" s="1878" t="s">
        <v>2573</v>
      </c>
      <c r="D1576" s="1841">
        <v>1.1000000000000001</v>
      </c>
      <c r="E1576" s="413" t="s">
        <v>89</v>
      </c>
      <c r="F1576" s="1748">
        <f>'Bahan &amp; Upah'!C137</f>
        <v>690627.24</v>
      </c>
      <c r="G1576" s="361">
        <f t="shared" ref="G1576:G1581" si="5">F1576*D1576</f>
        <v>759689.96400000004</v>
      </c>
      <c r="H1576" s="1980">
        <v>0.40439999999999998</v>
      </c>
      <c r="I1576" s="1980">
        <f t="shared" ref="I1576:I1581" si="6">(G1576/G$1583)*H1576</f>
        <v>0.2598376784141041</v>
      </c>
      <c r="J1576" s="1981"/>
    </row>
    <row r="1577" spans="1:10" ht="15.75" customHeight="1">
      <c r="A1577" s="1780"/>
      <c r="B1577" s="1739"/>
      <c r="C1577" s="1878" t="s">
        <v>2574</v>
      </c>
      <c r="D1577" s="1841">
        <v>0.8</v>
      </c>
      <c r="E1577" s="413" t="s">
        <v>888</v>
      </c>
      <c r="F1577" s="1748">
        <f>'Bahan &amp; Upah'!C138</f>
        <v>257014.08</v>
      </c>
      <c r="G1577" s="361">
        <f t="shared" si="5"/>
        <v>205611.264</v>
      </c>
      <c r="H1577" s="1980">
        <v>0.40439999999999998</v>
      </c>
      <c r="I1577" s="1980">
        <f t="shared" si="6"/>
        <v>7.0325469632700643E-2</v>
      </c>
      <c r="J1577" s="1981"/>
    </row>
    <row r="1578" spans="1:10" ht="15.75" customHeight="1">
      <c r="A1578" s="1780"/>
      <c r="B1578" s="1739"/>
      <c r="C1578" s="1878" t="s">
        <v>2575</v>
      </c>
      <c r="D1578" s="1841">
        <v>0.26700000000000002</v>
      </c>
      <c r="E1578" s="413" t="s">
        <v>888</v>
      </c>
      <c r="F1578" s="1748">
        <f>'Bahan &amp; Upah'!C139</f>
        <v>147120.66</v>
      </c>
      <c r="G1578" s="361">
        <f t="shared" si="5"/>
        <v>39281.216220000002</v>
      </c>
      <c r="H1578" s="1980">
        <f>H1576</f>
        <v>0.40439999999999998</v>
      </c>
      <c r="I1578" s="1980">
        <f t="shared" si="6"/>
        <v>1.3435401955484105E-2</v>
      </c>
      <c r="J1578" s="1981"/>
    </row>
    <row r="1579" spans="1:10" ht="15.75" customHeight="1">
      <c r="A1579" s="1780"/>
      <c r="B1579" s="1739"/>
      <c r="C1579" s="1878" t="s">
        <v>2576</v>
      </c>
      <c r="D1579" s="1841">
        <v>0.08</v>
      </c>
      <c r="E1579" s="413" t="s">
        <v>100</v>
      </c>
      <c r="F1579" s="1748">
        <f>'Bahan &amp; Upah'!C$55</f>
        <v>200974.51</v>
      </c>
      <c r="G1579" s="361">
        <f t="shared" si="5"/>
        <v>16077.960800000001</v>
      </c>
      <c r="H1579" s="1980">
        <f>H990</f>
        <v>1</v>
      </c>
      <c r="I1579" s="1980">
        <f t="shared" si="6"/>
        <v>1.3598329386095219E-2</v>
      </c>
      <c r="J1579" s="1981"/>
    </row>
    <row r="1580" spans="1:10" ht="15.75" customHeight="1">
      <c r="A1580" s="1780"/>
      <c r="B1580" s="1739"/>
      <c r="C1580" s="1878" t="s">
        <v>2577</v>
      </c>
      <c r="D1580" s="1841">
        <v>0.11</v>
      </c>
      <c r="E1580" s="413" t="s">
        <v>100</v>
      </c>
      <c r="F1580" s="1748">
        <f>'Bahan &amp; Upah'!C$55</f>
        <v>200974.51</v>
      </c>
      <c r="G1580" s="361">
        <f t="shared" si="5"/>
        <v>22107.196100000001</v>
      </c>
      <c r="H1580" s="1980">
        <f>H1579</f>
        <v>1</v>
      </c>
      <c r="I1580" s="1980">
        <f t="shared" si="6"/>
        <v>1.8697702905880926E-2</v>
      </c>
      <c r="J1580" s="1981"/>
    </row>
    <row r="1581" spans="1:10" ht="15.75" customHeight="1">
      <c r="A1581" s="1780"/>
      <c r="B1581" s="1784"/>
      <c r="C1581" s="1878" t="s">
        <v>2578</v>
      </c>
      <c r="D1581" s="1841">
        <v>0.25</v>
      </c>
      <c r="E1581" s="413" t="s">
        <v>2579</v>
      </c>
      <c r="F1581" s="1748">
        <f>'Bahan &amp; Upah'!C131</f>
        <v>50458.35</v>
      </c>
      <c r="G1581" s="1785">
        <f t="shared" si="5"/>
        <v>12614.5875</v>
      </c>
      <c r="H1581" s="1980">
        <f>H1668</f>
        <v>1</v>
      </c>
      <c r="I1581" s="1982">
        <f t="shared" si="6"/>
        <v>1.0669096537088174E-2</v>
      </c>
      <c r="J1581" s="1981"/>
    </row>
    <row r="1582" spans="1:10" ht="15.75" customHeight="1">
      <c r="A1582" s="1780"/>
      <c r="B1582" s="1784"/>
      <c r="C1582" s="1878"/>
      <c r="D1582" s="1841"/>
      <c r="E1582" s="413"/>
      <c r="F1582" s="320"/>
      <c r="G1582" s="361">
        <f>SUM(G1576:G1581)</f>
        <v>1055382.1886199999</v>
      </c>
      <c r="H1582" s="1980"/>
      <c r="I1582" s="1983">
        <f>SUM(I1576:I1581)</f>
        <v>0.38656367883135317</v>
      </c>
      <c r="J1582" s="1981"/>
    </row>
    <row r="1583" spans="1:10" ht="15.75" customHeight="1">
      <c r="A1583" s="1780"/>
      <c r="B1583" s="1784"/>
      <c r="C1583" s="1804" t="s">
        <v>2298</v>
      </c>
      <c r="D1583" s="1763"/>
      <c r="E1583" s="1764"/>
      <c r="F1583" s="1765"/>
      <c r="G1583" s="1765">
        <f>G1574+G1582</f>
        <v>1182348.23878</v>
      </c>
      <c r="H1583" s="1980"/>
      <c r="I1583" s="1984">
        <f>I1574+I1582</f>
        <v>0.49394832744470019</v>
      </c>
      <c r="J1583" s="1981"/>
    </row>
    <row r="1584" spans="1:10" ht="15.75" customHeight="1">
      <c r="A1584" s="1780"/>
      <c r="B1584" s="1784"/>
      <c r="C1584" s="1762" t="s">
        <v>2094</v>
      </c>
      <c r="D1584" s="1767">
        <f>M$4</f>
        <v>0.15</v>
      </c>
      <c r="E1584" s="1768"/>
      <c r="F1584" s="1765"/>
      <c r="G1584" s="1765">
        <f>G1583*D1584</f>
        <v>177352.23581700001</v>
      </c>
      <c r="H1584" s="1980"/>
      <c r="I1584" s="1980"/>
      <c r="J1584" s="1981"/>
    </row>
    <row r="1585" spans="1:10" ht="15.75" customHeight="1">
      <c r="A1585" s="1786"/>
      <c r="B1585" s="1890"/>
      <c r="C1585" s="1788" t="s">
        <v>2111</v>
      </c>
      <c r="D1585" s="1772"/>
      <c r="E1585" s="1773"/>
      <c r="F1585" s="1774"/>
      <c r="G1585" s="1998">
        <f>ROUNDUP((G1583+G1584),2)</f>
        <v>1359700.48</v>
      </c>
      <c r="H1585" s="1985"/>
      <c r="I1585" s="1985"/>
      <c r="J1585" s="1986"/>
    </row>
    <row r="1586" spans="1:10" ht="15.75" customHeight="1">
      <c r="A1586" s="1733"/>
      <c r="B1586" s="1733"/>
      <c r="C1586" s="1733"/>
      <c r="D1586" s="1733"/>
      <c r="E1586" s="1733"/>
      <c r="F1586" s="1733"/>
      <c r="G1586" s="1733"/>
      <c r="H1586" s="1733"/>
      <c r="I1586" s="1733"/>
      <c r="J1586" s="1733"/>
    </row>
    <row r="1587" spans="1:10" ht="15.75" customHeight="1">
      <c r="A1587" s="1778">
        <f>A1568+1</f>
        <v>73</v>
      </c>
      <c r="B1587" s="1805" t="s">
        <v>2580</v>
      </c>
      <c r="C1587" s="1872" t="s">
        <v>2581</v>
      </c>
      <c r="D1587" s="1873"/>
      <c r="E1587" s="1874"/>
      <c r="F1587" s="1875"/>
      <c r="G1587" s="1875"/>
      <c r="H1587" s="1997"/>
      <c r="I1587" s="1997"/>
      <c r="J1587" s="1947"/>
    </row>
    <row r="1588" spans="1:10" ht="15.75" customHeight="1">
      <c r="A1588" s="1780"/>
      <c r="B1588" s="1739" t="s">
        <v>1004</v>
      </c>
      <c r="C1588" s="1877" t="s">
        <v>2067</v>
      </c>
      <c r="D1588" s="390"/>
      <c r="E1588" s="413"/>
      <c r="F1588" s="320"/>
      <c r="G1588" s="320"/>
      <c r="H1588" s="1802"/>
      <c r="I1588" s="1802"/>
      <c r="J1588" s="1803"/>
    </row>
    <row r="1589" spans="1:10" ht="15.75" customHeight="1">
      <c r="A1589" s="1780"/>
      <c r="B1589" s="1739"/>
      <c r="C1589" s="1878" t="s">
        <v>2103</v>
      </c>
      <c r="D1589" s="1841">
        <v>6.6699999999999995E-2</v>
      </c>
      <c r="E1589" s="413" t="s">
        <v>2069</v>
      </c>
      <c r="F1589" s="1747">
        <f>'Bahan &amp; Upah'!C$336</f>
        <v>96332.65</v>
      </c>
      <c r="G1589" s="361">
        <f>F1589*D1589</f>
        <v>6425.3877549999988</v>
      </c>
      <c r="H1589" s="1749">
        <v>1</v>
      </c>
      <c r="I1589" s="1793">
        <f>(G1589/G$1598)*H1589</f>
        <v>8.0890964788316588E-2</v>
      </c>
      <c r="J1589" s="1750"/>
    </row>
    <row r="1590" spans="1:10" ht="15.75" customHeight="1">
      <c r="A1590" s="1780"/>
      <c r="B1590" s="1739"/>
      <c r="C1590" s="1878" t="s">
        <v>2582</v>
      </c>
      <c r="D1590" s="1841">
        <v>6.6699999999999995E-2</v>
      </c>
      <c r="E1590" s="413" t="s">
        <v>2069</v>
      </c>
      <c r="F1590" s="1883">
        <f>'Bahan &amp; Upah'!C$337</f>
        <v>114133.55</v>
      </c>
      <c r="G1590" s="361">
        <f>F1590*D1590</f>
        <v>7612.7077849999996</v>
      </c>
      <c r="H1590" s="1749">
        <v>1</v>
      </c>
      <c r="I1590" s="1793">
        <f>(G1590/G$1598)*H1590</f>
        <v>9.5838461562259225E-2</v>
      </c>
      <c r="J1590" s="1750"/>
    </row>
    <row r="1591" spans="1:10" ht="15.75" customHeight="1">
      <c r="A1591" s="1780"/>
      <c r="B1591" s="1739"/>
      <c r="C1591" s="1878" t="s">
        <v>2105</v>
      </c>
      <c r="D1591" s="1841">
        <v>6.7000000000000002E-3</v>
      </c>
      <c r="E1591" s="413" t="s">
        <v>2069</v>
      </c>
      <c r="F1591" s="1748">
        <f>'Bahan &amp; Upah'!C$338</f>
        <v>125485.75</v>
      </c>
      <c r="G1591" s="361">
        <f>F1591*D1591</f>
        <v>840.75452500000006</v>
      </c>
      <c r="H1591" s="1749">
        <v>1</v>
      </c>
      <c r="I1591" s="1793">
        <f>(G1591/G$1598)*H1591</f>
        <v>1.0584488792053119E-2</v>
      </c>
      <c r="J1591" s="1750"/>
    </row>
    <row r="1592" spans="1:10" ht="15.75" customHeight="1">
      <c r="A1592" s="1780"/>
      <c r="B1592" s="1739"/>
      <c r="C1592" s="1878" t="s">
        <v>2107</v>
      </c>
      <c r="D1592" s="1841">
        <v>2.2000000000000001E-3</v>
      </c>
      <c r="E1592" s="413" t="s">
        <v>2069</v>
      </c>
      <c r="F1592" s="1883">
        <f>'Bahan &amp; Upah'!C$339</f>
        <v>102689.88</v>
      </c>
      <c r="G1592" s="1785">
        <f>F1592*D1592</f>
        <v>225.91773600000002</v>
      </c>
      <c r="H1592" s="1749">
        <v>1</v>
      </c>
      <c r="I1592" s="1795">
        <f>(G1592/G$1598)*H1592</f>
        <v>2.8441402020619698E-3</v>
      </c>
      <c r="J1592" s="1783"/>
    </row>
    <row r="1593" spans="1:10" ht="15.75" customHeight="1">
      <c r="A1593" s="1780"/>
      <c r="B1593" s="1739"/>
      <c r="C1593" s="1889" t="s">
        <v>2108</v>
      </c>
      <c r="D1593" s="1841"/>
      <c r="E1593" s="413"/>
      <c r="F1593" s="320"/>
      <c r="G1593" s="361">
        <f>SUM(G1589:G1592)</f>
        <v>15104.767800999998</v>
      </c>
      <c r="H1593" s="1782"/>
      <c r="I1593" s="2009">
        <f>SUM(I1589:I1592)</f>
        <v>0.19015805534469091</v>
      </c>
      <c r="J1593" s="1783"/>
    </row>
    <row r="1594" spans="1:10" ht="15.75" customHeight="1">
      <c r="A1594" s="1780"/>
      <c r="B1594" s="1739" t="s">
        <v>1015</v>
      </c>
      <c r="C1594" s="1877" t="s">
        <v>2075</v>
      </c>
      <c r="D1594" s="1841"/>
      <c r="E1594" s="413"/>
      <c r="F1594" s="320"/>
      <c r="G1594" s="320"/>
      <c r="H1594" s="1782"/>
      <c r="I1594" s="318"/>
      <c r="J1594" s="1783"/>
    </row>
    <row r="1595" spans="1:10" ht="15.75" customHeight="1">
      <c r="A1595" s="1780"/>
      <c r="B1595" s="1784"/>
      <c r="C1595" s="1878" t="s">
        <v>2583</v>
      </c>
      <c r="D1595" s="1841">
        <v>0.1</v>
      </c>
      <c r="E1595" s="413" t="s">
        <v>100</v>
      </c>
      <c r="F1595" s="1883">
        <f>'Bahan &amp; Upah'!C147</f>
        <v>153613.42000000001</v>
      </c>
      <c r="G1595" s="332">
        <f>F1595*D1595</f>
        <v>15361.342000000002</v>
      </c>
      <c r="H1595" s="1793">
        <v>0.50229999999999997</v>
      </c>
      <c r="I1595" s="1793">
        <f>(G1595/G$1598)*H1595</f>
        <v>9.7138861792122E-2</v>
      </c>
      <c r="J1595" s="1783"/>
    </row>
    <row r="1596" spans="1:10" ht="15.75" customHeight="1">
      <c r="A1596" s="1780"/>
      <c r="B1596" s="1784"/>
      <c r="C1596" s="328" t="s">
        <v>2584</v>
      </c>
      <c r="D1596" s="1841">
        <v>0.26</v>
      </c>
      <c r="E1596" s="413" t="s">
        <v>100</v>
      </c>
      <c r="F1596" s="1883">
        <f>'Bahan &amp; Upah'!C148</f>
        <v>188333.04</v>
      </c>
      <c r="G1596" s="1794">
        <f>F1596*D1596</f>
        <v>48966.590400000001</v>
      </c>
      <c r="H1596" s="1793">
        <v>0.31640000000000001</v>
      </c>
      <c r="I1596" s="1795">
        <f>(G1596/G$1598)*H1596</f>
        <v>0.19504598437867221</v>
      </c>
      <c r="J1596" s="1783"/>
    </row>
    <row r="1597" spans="1:10" ht="15.75" customHeight="1">
      <c r="A1597" s="1780"/>
      <c r="B1597" s="1784"/>
      <c r="C1597" s="1878"/>
      <c r="D1597" s="1841"/>
      <c r="E1597" s="413"/>
      <c r="F1597" s="320"/>
      <c r="G1597" s="361">
        <f>SUM(G1595:G1596)</f>
        <v>64327.932400000005</v>
      </c>
      <c r="H1597" s="1782"/>
      <c r="I1597" s="2009">
        <f>SUM(I1595:I1596)</f>
        <v>0.29218484617079421</v>
      </c>
      <c r="J1597" s="1783"/>
    </row>
    <row r="1598" spans="1:10" ht="15.75" customHeight="1">
      <c r="A1598" s="1780"/>
      <c r="B1598" s="1784"/>
      <c r="C1598" s="1804" t="s">
        <v>2298</v>
      </c>
      <c r="D1598" s="1763"/>
      <c r="E1598" s="1764"/>
      <c r="F1598" s="1765"/>
      <c r="G1598" s="1765">
        <f>G1593+G1597</f>
        <v>79432.700201</v>
      </c>
      <c r="H1598" s="1782"/>
      <c r="I1598" s="318"/>
      <c r="J1598" s="1783"/>
    </row>
    <row r="1599" spans="1:10" ht="15.75" customHeight="1">
      <c r="A1599" s="1780"/>
      <c r="B1599" s="1784"/>
      <c r="C1599" s="1762" t="s">
        <v>2094</v>
      </c>
      <c r="D1599" s="1767">
        <f>M$4</f>
        <v>0.15</v>
      </c>
      <c r="E1599" s="1768"/>
      <c r="F1599" s="1765"/>
      <c r="G1599" s="1765">
        <f>G1598*D1599</f>
        <v>11914.905030149999</v>
      </c>
      <c r="H1599" s="1782"/>
      <c r="I1599" s="318"/>
      <c r="J1599" s="1783"/>
    </row>
    <row r="1600" spans="1:10" ht="15.75" customHeight="1">
      <c r="A1600" s="1786"/>
      <c r="B1600" s="1890"/>
      <c r="C1600" s="1788" t="s">
        <v>2111</v>
      </c>
      <c r="D1600" s="1772"/>
      <c r="E1600" s="1773"/>
      <c r="F1600" s="1774"/>
      <c r="G1600" s="1861">
        <f>ROUNDUP((G1598+G1599),2)</f>
        <v>91347.61</v>
      </c>
      <c r="H1600" s="2010"/>
      <c r="I1600" s="2011">
        <f>I1593+I1597</f>
        <v>0.48234290151548509</v>
      </c>
      <c r="J1600" s="1893"/>
    </row>
    <row r="1601" spans="1:12" ht="15.75" customHeight="1">
      <c r="A1601" s="1733"/>
      <c r="B1601" s="1733"/>
      <c r="C1601" s="1733"/>
      <c r="D1601" s="1733"/>
      <c r="E1601" s="1733"/>
      <c r="F1601" s="1733"/>
      <c r="G1601" s="1733"/>
      <c r="H1601" s="1733"/>
      <c r="I1601" s="28"/>
      <c r="J1601" s="1733"/>
    </row>
    <row r="1602" spans="1:12" ht="15.75" customHeight="1">
      <c r="A1602" s="1778">
        <f>A1587+1</f>
        <v>74</v>
      </c>
      <c r="B1602" s="1805" t="s">
        <v>2580</v>
      </c>
      <c r="C1602" s="1872" t="s">
        <v>2585</v>
      </c>
      <c r="D1602" s="1873"/>
      <c r="E1602" s="1874"/>
      <c r="F1602" s="1875"/>
      <c r="G1602" s="1875"/>
      <c r="H1602" s="1997"/>
      <c r="I1602" s="1997"/>
      <c r="J1602" s="1947"/>
      <c r="L1602" s="2012"/>
    </row>
    <row r="1603" spans="1:12" ht="15.75" customHeight="1">
      <c r="A1603" s="1780"/>
      <c r="B1603" s="1739" t="s">
        <v>1004</v>
      </c>
      <c r="C1603" s="1877" t="s">
        <v>2067</v>
      </c>
      <c r="D1603" s="390"/>
      <c r="E1603" s="413"/>
      <c r="F1603" s="320"/>
      <c r="G1603" s="320"/>
      <c r="H1603" s="1802"/>
      <c r="I1603" s="1802"/>
      <c r="J1603" s="1803"/>
      <c r="L1603" s="2012"/>
    </row>
    <row r="1604" spans="1:12" ht="15.75" customHeight="1">
      <c r="A1604" s="1780"/>
      <c r="B1604" s="1739"/>
      <c r="C1604" s="1878" t="s">
        <v>2103</v>
      </c>
      <c r="D1604" s="1841">
        <v>6.6699999999999995E-2</v>
      </c>
      <c r="E1604" s="413" t="s">
        <v>2069</v>
      </c>
      <c r="F1604" s="1747">
        <f>'Bahan &amp; Upah'!C$336</f>
        <v>96332.65</v>
      </c>
      <c r="G1604" s="361">
        <f>F1604*D1604</f>
        <v>6425.3877549999988</v>
      </c>
      <c r="H1604" s="1980">
        <v>1</v>
      </c>
      <c r="I1604" s="1980">
        <f>(G1604/G$1613)*H1604</f>
        <v>7.9378689174300313E-2</v>
      </c>
      <c r="J1604" s="1981"/>
      <c r="L1604" s="2012"/>
    </row>
    <row r="1605" spans="1:12" ht="15.75" customHeight="1">
      <c r="A1605" s="1780"/>
      <c r="B1605" s="1739"/>
      <c r="C1605" s="1878" t="s">
        <v>2582</v>
      </c>
      <c r="D1605" s="1841">
        <v>6.6699999999999995E-2</v>
      </c>
      <c r="E1605" s="413" t="s">
        <v>2069</v>
      </c>
      <c r="F1605" s="1883">
        <f>'Bahan &amp; Upah'!C$337</f>
        <v>114133.55</v>
      </c>
      <c r="G1605" s="361">
        <f>F1605*D1605</f>
        <v>7612.7077849999996</v>
      </c>
      <c r="H1605" s="1980">
        <v>1</v>
      </c>
      <c r="I1605" s="1980">
        <f>(G1605/G$1613)*H1605</f>
        <v>9.4046738980080632E-2</v>
      </c>
      <c r="J1605" s="1981"/>
      <c r="L1605" s="2012"/>
    </row>
    <row r="1606" spans="1:12" ht="15.75" customHeight="1">
      <c r="A1606" s="1780"/>
      <c r="B1606" s="1739"/>
      <c r="C1606" s="1878" t="s">
        <v>2105</v>
      </c>
      <c r="D1606" s="1841">
        <v>6.7000000000000002E-3</v>
      </c>
      <c r="E1606" s="413" t="s">
        <v>2069</v>
      </c>
      <c r="F1606" s="1748">
        <f>'Bahan &amp; Upah'!C$338</f>
        <v>125485.75</v>
      </c>
      <c r="G1606" s="361">
        <f>F1606*D1606</f>
        <v>840.75452500000006</v>
      </c>
      <c r="H1606" s="1980">
        <v>1</v>
      </c>
      <c r="I1606" s="1980">
        <f>(G1606/G$1613)*H1606</f>
        <v>1.0386609284385751E-2</v>
      </c>
      <c r="J1606" s="1981"/>
      <c r="L1606" s="2012"/>
    </row>
    <row r="1607" spans="1:12" ht="15.75" customHeight="1">
      <c r="A1607" s="1780"/>
      <c r="B1607" s="1739"/>
      <c r="C1607" s="1878" t="s">
        <v>2107</v>
      </c>
      <c r="D1607" s="1841">
        <v>2.2000000000000001E-3</v>
      </c>
      <c r="E1607" s="413" t="s">
        <v>2069</v>
      </c>
      <c r="F1607" s="1883">
        <f>'Bahan &amp; Upah'!C$339</f>
        <v>102689.88</v>
      </c>
      <c r="G1607" s="1785">
        <f>F1607*D1607</f>
        <v>225.91773600000002</v>
      </c>
      <c r="H1607" s="1980">
        <v>1</v>
      </c>
      <c r="I1607" s="1982">
        <f>(G1607/G$1613)*H1607</f>
        <v>2.7909683319813344E-3</v>
      </c>
      <c r="J1607" s="1981"/>
      <c r="L1607" s="2012"/>
    </row>
    <row r="1608" spans="1:12" ht="15.75" customHeight="1">
      <c r="A1608" s="1780"/>
      <c r="B1608" s="1739"/>
      <c r="C1608" s="1889" t="s">
        <v>2108</v>
      </c>
      <c r="D1608" s="1841"/>
      <c r="E1608" s="413"/>
      <c r="F1608" s="320"/>
      <c r="G1608" s="361">
        <f>SUM(G1604:G1607)</f>
        <v>15104.767800999998</v>
      </c>
      <c r="H1608" s="1980"/>
      <c r="I1608" s="1983">
        <f>SUM(I1604:I1607)</f>
        <v>0.18660300577074804</v>
      </c>
      <c r="J1608" s="1981"/>
      <c r="L1608" s="2012"/>
    </row>
    <row r="1609" spans="1:12" ht="15.75" customHeight="1">
      <c r="A1609" s="1780"/>
      <c r="B1609" s="1739" t="s">
        <v>1015</v>
      </c>
      <c r="C1609" s="1877" t="s">
        <v>2075</v>
      </c>
      <c r="D1609" s="1841"/>
      <c r="E1609" s="413"/>
      <c r="F1609" s="320"/>
      <c r="G1609" s="320"/>
      <c r="H1609" s="1980"/>
      <c r="I1609" s="1980"/>
      <c r="J1609" s="1981"/>
      <c r="L1609" s="2012"/>
    </row>
    <row r="1610" spans="1:12" ht="15.75" customHeight="1">
      <c r="A1610" s="1780"/>
      <c r="B1610" s="1784"/>
      <c r="C1610" s="1878" t="s">
        <v>2583</v>
      </c>
      <c r="D1610" s="1841">
        <v>0.1</v>
      </c>
      <c r="E1610" s="413" t="s">
        <v>100</v>
      </c>
      <c r="F1610" s="1883">
        <f>'Bahan &amp; Upah'!C147</f>
        <v>153613.42000000001</v>
      </c>
      <c r="G1610" s="332">
        <f>F1610*D1610</f>
        <v>15361.342000000002</v>
      </c>
      <c r="H1610" s="1980">
        <f>H1595</f>
        <v>0.50229999999999997</v>
      </c>
      <c r="I1610" s="1980">
        <f>(G1610/G$1613)*H1610</f>
        <v>9.5322827921763942E-2</v>
      </c>
      <c r="J1610" s="1981"/>
      <c r="L1610" s="2012"/>
    </row>
    <row r="1611" spans="1:12" ht="15.75" customHeight="1">
      <c r="A1611" s="1780"/>
      <c r="B1611" s="1784"/>
      <c r="C1611" s="1878" t="s">
        <v>2586</v>
      </c>
      <c r="D1611" s="1841">
        <f>1/2</f>
        <v>0.5</v>
      </c>
      <c r="E1611" s="413" t="s">
        <v>100</v>
      </c>
      <c r="F1611" s="1883">
        <f>'Bahan &amp; Upah'!C150</f>
        <v>100959.79</v>
      </c>
      <c r="G1611" s="361">
        <f>F1611*D1611</f>
        <v>50479.894999999997</v>
      </c>
      <c r="H1611" s="1980">
        <v>0.1391</v>
      </c>
      <c r="I1611" s="1982">
        <f>(G1611/G$1613)*H1611</f>
        <v>8.674613913018292E-2</v>
      </c>
      <c r="J1611" s="1981"/>
      <c r="L1611" s="2013" t="s">
        <v>2587</v>
      </c>
    </row>
    <row r="1612" spans="1:12" ht="15.75" customHeight="1">
      <c r="A1612" s="1780"/>
      <c r="B1612" s="1784"/>
      <c r="C1612" s="1878"/>
      <c r="D1612" s="1841"/>
      <c r="E1612" s="413"/>
      <c r="F1612" s="320"/>
      <c r="G1612" s="361">
        <f>SUM(G1610:G1611)</f>
        <v>65841.236999999994</v>
      </c>
      <c r="H1612" s="1980"/>
      <c r="I1612" s="1983">
        <f>SUM(I1610:I1611)</f>
        <v>0.18206896705194686</v>
      </c>
      <c r="J1612" s="1981"/>
      <c r="L1612" s="2012"/>
    </row>
    <row r="1613" spans="1:12" ht="15.75" customHeight="1">
      <c r="A1613" s="1780"/>
      <c r="B1613" s="1784"/>
      <c r="C1613" s="1804" t="s">
        <v>2298</v>
      </c>
      <c r="D1613" s="1763"/>
      <c r="E1613" s="1764"/>
      <c r="F1613" s="1765"/>
      <c r="G1613" s="1765">
        <f>G1608+G1612</f>
        <v>80946.004800999988</v>
      </c>
      <c r="H1613" s="1980"/>
      <c r="I1613" s="1984">
        <f>I1608+I1612</f>
        <v>0.36867197282269493</v>
      </c>
      <c r="J1613" s="1981"/>
      <c r="L1613" s="2012"/>
    </row>
    <row r="1614" spans="1:12" ht="15.75" customHeight="1">
      <c r="A1614" s="1780"/>
      <c r="B1614" s="1784"/>
      <c r="C1614" s="1762" t="s">
        <v>2094</v>
      </c>
      <c r="D1614" s="1767">
        <f>M$4</f>
        <v>0.15</v>
      </c>
      <c r="E1614" s="1768"/>
      <c r="F1614" s="1765"/>
      <c r="G1614" s="1765">
        <f>G1613*D1614</f>
        <v>12141.900720149997</v>
      </c>
      <c r="H1614" s="1980"/>
      <c r="I1614" s="1980"/>
      <c r="J1614" s="1981"/>
      <c r="L1614" s="2012"/>
    </row>
    <row r="1615" spans="1:12" ht="15.75" customHeight="1">
      <c r="A1615" s="1786"/>
      <c r="B1615" s="1890"/>
      <c r="C1615" s="1788" t="s">
        <v>2111</v>
      </c>
      <c r="D1615" s="1772"/>
      <c r="E1615" s="1773"/>
      <c r="F1615" s="1774"/>
      <c r="G1615" s="1861">
        <f>ROUNDUP((G1613+G1614),2)</f>
        <v>93087.909999999989</v>
      </c>
      <c r="H1615" s="2007"/>
      <c r="I1615" s="2007"/>
      <c r="J1615" s="2008"/>
      <c r="L1615" s="2012"/>
    </row>
    <row r="1616" spans="1:12" ht="15.75" customHeight="1">
      <c r="A1616" s="1733"/>
      <c r="B1616" s="1733"/>
      <c r="C1616" s="1733"/>
      <c r="D1616" s="1733"/>
      <c r="E1616" s="1733"/>
      <c r="F1616" s="1733"/>
      <c r="G1616" s="1733"/>
      <c r="H1616" s="1733"/>
      <c r="I1616" s="28"/>
      <c r="J1616" s="1733"/>
    </row>
    <row r="1617" spans="1:10" ht="15.75" customHeight="1">
      <c r="A1617" s="1778">
        <f>A1602+1</f>
        <v>75</v>
      </c>
      <c r="B1617" s="1805" t="s">
        <v>2588</v>
      </c>
      <c r="C1617" s="1872" t="s">
        <v>2589</v>
      </c>
      <c r="D1617" s="1873"/>
      <c r="E1617" s="1874"/>
      <c r="F1617" s="1875"/>
      <c r="G1617" s="1875"/>
      <c r="H1617" s="1972"/>
      <c r="I1617" s="1972"/>
      <c r="J1617" s="2014"/>
    </row>
    <row r="1618" spans="1:10" ht="15.75" customHeight="1">
      <c r="A1618" s="1780"/>
      <c r="B1618" s="1739" t="s">
        <v>1004</v>
      </c>
      <c r="C1618" s="1877" t="s">
        <v>2067</v>
      </c>
      <c r="D1618" s="390"/>
      <c r="E1618" s="413"/>
      <c r="F1618" s="320"/>
      <c r="G1618" s="320"/>
      <c r="H1618" s="318"/>
      <c r="I1618" s="318"/>
      <c r="J1618" s="69"/>
    </row>
    <row r="1619" spans="1:10" ht="15.75" customHeight="1">
      <c r="A1619" s="1780"/>
      <c r="B1619" s="1739"/>
      <c r="C1619" s="1878" t="s">
        <v>2103</v>
      </c>
      <c r="D1619" s="1841">
        <v>6.6699999999999995E-2</v>
      </c>
      <c r="E1619" s="413" t="s">
        <v>2069</v>
      </c>
      <c r="F1619" s="1747">
        <f>'Bahan &amp; Upah'!C$336</f>
        <v>96332.65</v>
      </c>
      <c r="G1619" s="361">
        <f>F1619*D1619</f>
        <v>6425.3877549999988</v>
      </c>
      <c r="H1619" s="2015">
        <v>1</v>
      </c>
      <c r="I1619" s="2015">
        <f>(G1619/G$1629)*H1619</f>
        <v>0.16671106201467406</v>
      </c>
      <c r="J1619" s="1981"/>
    </row>
    <row r="1620" spans="1:10" ht="15.75" customHeight="1">
      <c r="A1620" s="1780"/>
      <c r="B1620" s="1739"/>
      <c r="C1620" s="1878" t="s">
        <v>2582</v>
      </c>
      <c r="D1620" s="1841">
        <v>6.6699999999999995E-2</v>
      </c>
      <c r="E1620" s="413" t="s">
        <v>2069</v>
      </c>
      <c r="F1620" s="1883">
        <f>'Bahan &amp; Upah'!C$337</f>
        <v>114133.55</v>
      </c>
      <c r="G1620" s="361">
        <f>F1620*D1620</f>
        <v>7612.7077849999996</v>
      </c>
      <c r="H1620" s="2015">
        <v>1</v>
      </c>
      <c r="I1620" s="2015">
        <f>(G1620/G$1629)*H1620</f>
        <v>0.19751688894684102</v>
      </c>
      <c r="J1620" s="1981"/>
    </row>
    <row r="1621" spans="1:10" ht="15.75" customHeight="1">
      <c r="A1621" s="1780"/>
      <c r="B1621" s="1739"/>
      <c r="C1621" s="1878" t="s">
        <v>2105</v>
      </c>
      <c r="D1621" s="1841">
        <v>6.7000000000000002E-3</v>
      </c>
      <c r="E1621" s="413" t="s">
        <v>2069</v>
      </c>
      <c r="F1621" s="1748">
        <f>'Bahan &amp; Upah'!C$338</f>
        <v>125485.75</v>
      </c>
      <c r="G1621" s="361">
        <f>F1621*D1621</f>
        <v>840.75452500000006</v>
      </c>
      <c r="H1621" s="2015">
        <v>1</v>
      </c>
      <c r="I1621" s="2015">
        <f>(G1621/G$1629)*H1621</f>
        <v>2.1813948838702087E-2</v>
      </c>
      <c r="J1621" s="1981"/>
    </row>
    <row r="1622" spans="1:10" ht="15.75" customHeight="1">
      <c r="A1622" s="1780"/>
      <c r="B1622" s="1739"/>
      <c r="C1622" s="1878" t="s">
        <v>2107</v>
      </c>
      <c r="D1622" s="1841">
        <v>2.2000000000000001E-3</v>
      </c>
      <c r="E1622" s="413" t="s">
        <v>2069</v>
      </c>
      <c r="F1622" s="1883">
        <f>'Bahan &amp; Upah'!C$339</f>
        <v>102689.88</v>
      </c>
      <c r="G1622" s="1785">
        <f>F1622*D1622</f>
        <v>225.91773600000002</v>
      </c>
      <c r="H1622" s="2015">
        <v>1</v>
      </c>
      <c r="I1622" s="2016">
        <f>(G1622/G$1629)*H1622</f>
        <v>5.8615895464367617E-3</v>
      </c>
      <c r="J1622" s="1981"/>
    </row>
    <row r="1623" spans="1:10" ht="15.75" customHeight="1">
      <c r="A1623" s="1780"/>
      <c r="B1623" s="1739"/>
      <c r="C1623" s="1889" t="s">
        <v>2108</v>
      </c>
      <c r="D1623" s="1841"/>
      <c r="E1623" s="413"/>
      <c r="F1623" s="320"/>
      <c r="G1623" s="361">
        <f>SUM(G1619:G1622)</f>
        <v>15104.767800999998</v>
      </c>
      <c r="H1623" s="2015"/>
      <c r="I1623" s="2017">
        <f>SUM(I1619:I1622)</f>
        <v>0.39190348934665392</v>
      </c>
      <c r="J1623" s="1981"/>
    </row>
    <row r="1624" spans="1:10" ht="15.75" customHeight="1">
      <c r="A1624" s="1780"/>
      <c r="B1624" s="1739" t="s">
        <v>1015</v>
      </c>
      <c r="C1624" s="1877" t="s">
        <v>2075</v>
      </c>
      <c r="D1624" s="1841"/>
      <c r="E1624" s="413"/>
      <c r="F1624" s="320"/>
      <c r="G1624" s="320"/>
      <c r="H1624" s="2015"/>
      <c r="I1624" s="2015"/>
      <c r="J1624" s="1981"/>
    </row>
    <row r="1625" spans="1:10" ht="15.75" customHeight="1">
      <c r="A1625" s="1780"/>
      <c r="B1625" s="1784"/>
      <c r="C1625" s="1878" t="s">
        <v>2590</v>
      </c>
      <c r="D1625" s="1841">
        <v>0.1</v>
      </c>
      <c r="E1625" s="413" t="s">
        <v>100</v>
      </c>
      <c r="F1625" s="1883">
        <f>'Bahan &amp; Upah'!C161</f>
        <v>19101.68</v>
      </c>
      <c r="G1625" s="332">
        <f>F1625*D1625</f>
        <v>1910.1680000000001</v>
      </c>
      <c r="H1625" s="2015">
        <v>0.62339999999999995</v>
      </c>
      <c r="I1625" s="2015">
        <f>(G1625/G$1629)*H1625</f>
        <v>3.0896084204349847E-2</v>
      </c>
      <c r="J1625" s="1981"/>
    </row>
    <row r="1626" spans="1:10" ht="15.75" customHeight="1">
      <c r="A1626" s="1780"/>
      <c r="B1626" s="1784"/>
      <c r="C1626" s="1878" t="s">
        <v>2591</v>
      </c>
      <c r="D1626" s="1841">
        <v>0.1</v>
      </c>
      <c r="E1626" s="413" t="s">
        <v>100</v>
      </c>
      <c r="F1626" s="1883">
        <f>'Bahan &amp; Upah'!C$153</f>
        <v>56228.41</v>
      </c>
      <c r="G1626" s="332">
        <f>F1626*D1626</f>
        <v>5622.8410000000003</v>
      </c>
      <c r="H1626" s="2015">
        <v>0.35880000000000001</v>
      </c>
      <c r="I1626" s="2015">
        <f>(G1626/G$1629)*H1626</f>
        <v>5.2344772198155871E-2</v>
      </c>
      <c r="J1626" s="1981"/>
    </row>
    <row r="1627" spans="1:10" ht="15.75" customHeight="1">
      <c r="A1627" s="1780"/>
      <c r="B1627" s="1784"/>
      <c r="C1627" s="1878" t="s">
        <v>2592</v>
      </c>
      <c r="D1627" s="1841">
        <v>0.26</v>
      </c>
      <c r="E1627" s="413" t="s">
        <v>100</v>
      </c>
      <c r="F1627" s="1883">
        <f>'Bahan &amp; Upah'!C$154</f>
        <v>61170.32</v>
      </c>
      <c r="G1627" s="1794">
        <f>F1627*D1627</f>
        <v>15904.2832</v>
      </c>
      <c r="H1627" s="2015">
        <f>H1626</f>
        <v>0.35880000000000001</v>
      </c>
      <c r="I1627" s="2016">
        <f>(G1627/G$1629)*H1627</f>
        <v>0.1480579089963521</v>
      </c>
      <c r="J1627" s="1981"/>
    </row>
    <row r="1628" spans="1:10" ht="15.75" customHeight="1">
      <c r="A1628" s="1780"/>
      <c r="B1628" s="1784"/>
      <c r="C1628" s="1878"/>
      <c r="D1628" s="1841"/>
      <c r="E1628" s="413"/>
      <c r="F1628" s="320"/>
      <c r="G1628" s="361">
        <f>SUM(G1625:G1627)</f>
        <v>23437.2922</v>
      </c>
      <c r="H1628" s="2015"/>
      <c r="I1628" s="2017">
        <f>SUM(I1625:I1627)</f>
        <v>0.23129876539885783</v>
      </c>
      <c r="J1628" s="1981"/>
    </row>
    <row r="1629" spans="1:10" ht="15.75" customHeight="1">
      <c r="A1629" s="1780"/>
      <c r="B1629" s="1784"/>
      <c r="C1629" s="1804" t="s">
        <v>2298</v>
      </c>
      <c r="D1629" s="1763"/>
      <c r="E1629" s="1764"/>
      <c r="F1629" s="1765"/>
      <c r="G1629" s="1765">
        <f>G1623+G1628</f>
        <v>38542.060000999998</v>
      </c>
      <c r="H1629" s="2015"/>
      <c r="I1629" s="2018">
        <f>I1623+I1628</f>
        <v>0.62320225474551172</v>
      </c>
      <c r="J1629" s="1981"/>
    </row>
    <row r="1630" spans="1:10" ht="15.75" customHeight="1">
      <c r="A1630" s="1780"/>
      <c r="B1630" s="1784"/>
      <c r="C1630" s="1762" t="s">
        <v>2094</v>
      </c>
      <c r="D1630" s="1767">
        <f>M$4</f>
        <v>0.15</v>
      </c>
      <c r="E1630" s="1768"/>
      <c r="F1630" s="1765"/>
      <c r="G1630" s="1765">
        <f>G1629*D1630</f>
        <v>5781.3090001499995</v>
      </c>
      <c r="H1630" s="2015"/>
      <c r="I1630" s="2015"/>
      <c r="J1630" s="1981"/>
    </row>
    <row r="1631" spans="1:10" ht="15.75" customHeight="1">
      <c r="A1631" s="1786"/>
      <c r="B1631" s="1890"/>
      <c r="C1631" s="1788" t="s">
        <v>2111</v>
      </c>
      <c r="D1631" s="1772"/>
      <c r="E1631" s="1773"/>
      <c r="F1631" s="1774"/>
      <c r="G1631" s="1861">
        <f>ROUNDUP((G1629+G1630),2)</f>
        <v>44323.37</v>
      </c>
      <c r="H1631" s="2019"/>
      <c r="I1631" s="2019"/>
      <c r="J1631" s="1986"/>
    </row>
    <row r="1632" spans="1:10" ht="15.75" customHeight="1">
      <c r="A1632" s="28"/>
      <c r="B1632" s="28"/>
      <c r="C1632" s="28"/>
      <c r="D1632" s="28"/>
      <c r="E1632" s="28"/>
      <c r="F1632" s="28"/>
      <c r="G1632" s="28"/>
      <c r="H1632" s="28"/>
      <c r="I1632" s="28"/>
      <c r="J1632" s="28"/>
    </row>
    <row r="1633" spans="1:10" ht="15.75" customHeight="1">
      <c r="A1633" s="1778">
        <f>A1617+1</f>
        <v>76</v>
      </c>
      <c r="B1633" s="1805" t="s">
        <v>2593</v>
      </c>
      <c r="C1633" s="1872" t="s">
        <v>2594</v>
      </c>
      <c r="D1633" s="1971"/>
      <c r="E1633" s="1874"/>
      <c r="F1633" s="1875"/>
      <c r="G1633" s="1875"/>
      <c r="H1633" s="1972"/>
      <c r="I1633" s="1972"/>
      <c r="J1633" s="2014"/>
    </row>
    <row r="1634" spans="1:10" ht="15.75" customHeight="1">
      <c r="A1634" s="1780"/>
      <c r="B1634" s="1739" t="s">
        <v>1004</v>
      </c>
      <c r="C1634" s="1877" t="s">
        <v>2067</v>
      </c>
      <c r="D1634" s="390"/>
      <c r="E1634" s="413"/>
      <c r="F1634" s="320"/>
      <c r="G1634" s="320"/>
      <c r="H1634" s="318"/>
      <c r="I1634" s="318"/>
      <c r="J1634" s="69"/>
    </row>
    <row r="1635" spans="1:10" ht="15.75" customHeight="1">
      <c r="A1635" s="1780"/>
      <c r="B1635" s="1739"/>
      <c r="C1635" s="1878" t="s">
        <v>2103</v>
      </c>
      <c r="D1635" s="1781">
        <v>6.25E-2</v>
      </c>
      <c r="E1635" s="413" t="s">
        <v>2069</v>
      </c>
      <c r="F1635" s="1747">
        <f>'Bahan &amp; Upah'!C$336</f>
        <v>96332.65</v>
      </c>
      <c r="G1635" s="361">
        <f>F1635*D1635</f>
        <v>6020.7906249999996</v>
      </c>
      <c r="H1635" s="1793">
        <v>1</v>
      </c>
      <c r="I1635" s="1793">
        <f>(G1635/G$1646)*H1635</f>
        <v>0.1886306369149317</v>
      </c>
      <c r="J1635" s="1750"/>
    </row>
    <row r="1636" spans="1:10" ht="15.75" customHeight="1">
      <c r="A1636" s="1780"/>
      <c r="B1636" s="1739"/>
      <c r="C1636" s="1878" t="s">
        <v>2582</v>
      </c>
      <c r="D1636" s="1781">
        <v>6.25E-2</v>
      </c>
      <c r="E1636" s="413" t="s">
        <v>2069</v>
      </c>
      <c r="F1636" s="1883">
        <f>'Bahan &amp; Upah'!C$337</f>
        <v>114133.55</v>
      </c>
      <c r="G1636" s="361">
        <f>F1636*D1636</f>
        <v>7133.3468750000002</v>
      </c>
      <c r="H1636" s="1793">
        <v>1</v>
      </c>
      <c r="I1636" s="1793">
        <f>(G1636/G$1646)*H1636</f>
        <v>0.22348688871179404</v>
      </c>
      <c r="J1636" s="1974"/>
    </row>
    <row r="1637" spans="1:10" ht="15.75" customHeight="1">
      <c r="A1637" s="1780"/>
      <c r="B1637" s="1739"/>
      <c r="C1637" s="1878" t="s">
        <v>2072</v>
      </c>
      <c r="D1637" s="1781">
        <v>6.3E-3</v>
      </c>
      <c r="E1637" s="413" t="s">
        <v>2069</v>
      </c>
      <c r="F1637" s="1748">
        <f>'Bahan &amp; Upah'!C$338</f>
        <v>125485.75</v>
      </c>
      <c r="G1637" s="361">
        <f>F1637*D1637</f>
        <v>790.56022500000006</v>
      </c>
      <c r="H1637" s="1793">
        <v>1</v>
      </c>
      <c r="I1637" s="1793">
        <f>(G1637/G$1646)*H1637</f>
        <v>2.4768155554547578E-2</v>
      </c>
      <c r="J1637" s="1974"/>
    </row>
    <row r="1638" spans="1:10" ht="15.75" customHeight="1">
      <c r="A1638" s="1780"/>
      <c r="B1638" s="1739"/>
      <c r="C1638" s="1878" t="s">
        <v>2107</v>
      </c>
      <c r="D1638" s="1781">
        <v>2.0999999999999999E-3</v>
      </c>
      <c r="E1638" s="413" t="s">
        <v>2069</v>
      </c>
      <c r="F1638" s="1883">
        <f>'Bahan &amp; Upah'!C$339</f>
        <v>102689.88</v>
      </c>
      <c r="G1638" s="1785">
        <f>F1638*D1638</f>
        <v>215.64874799999998</v>
      </c>
      <c r="H1638" s="1793">
        <v>1</v>
      </c>
      <c r="I1638" s="1795">
        <f>(G1638/G$1646)*H1638</f>
        <v>6.7562490076039814E-3</v>
      </c>
      <c r="J1638" s="1974"/>
    </row>
    <row r="1639" spans="1:10" ht="15.75" customHeight="1">
      <c r="A1639" s="1780"/>
      <c r="B1639" s="1739"/>
      <c r="C1639" s="1889" t="s">
        <v>2108</v>
      </c>
      <c r="D1639" s="1781"/>
      <c r="E1639" s="413"/>
      <c r="F1639" s="320"/>
      <c r="G1639" s="361">
        <f>SUM(G1635:G1638)</f>
        <v>14160.346473</v>
      </c>
      <c r="H1639" s="1975"/>
      <c r="I1639" s="1975">
        <f>SUM(I1635:I1638)</f>
        <v>0.44364193018887732</v>
      </c>
      <c r="J1639" s="1974"/>
    </row>
    <row r="1640" spans="1:10" ht="15.75" customHeight="1">
      <c r="A1640" s="1780"/>
      <c r="B1640" s="1739" t="s">
        <v>1015</v>
      </c>
      <c r="C1640" s="1877" t="s">
        <v>2075</v>
      </c>
      <c r="D1640" s="1781"/>
      <c r="E1640" s="413"/>
      <c r="F1640" s="320"/>
      <c r="G1640" s="320"/>
      <c r="H1640" s="1975"/>
      <c r="I1640" s="1975"/>
      <c r="J1640" s="1974"/>
    </row>
    <row r="1641" spans="1:10" ht="15.75" customHeight="1">
      <c r="A1641" s="1780"/>
      <c r="B1641" s="1739"/>
      <c r="C1641" s="1878" t="s">
        <v>2591</v>
      </c>
      <c r="D1641" s="1781">
        <v>0.12</v>
      </c>
      <c r="E1641" s="413" t="s">
        <v>100</v>
      </c>
      <c r="F1641" s="1883">
        <f>'Bahan &amp; Upah'!C$153</f>
        <v>56228.41</v>
      </c>
      <c r="G1641" s="325">
        <f>F1641*D1641</f>
        <v>6747.4092000000001</v>
      </c>
      <c r="H1641" s="1975">
        <v>0.58420000000000005</v>
      </c>
      <c r="I1641" s="1793">
        <f>(G1641/G$1646)*H1641</f>
        <v>0.1234972559859179</v>
      </c>
      <c r="J1641" s="1974"/>
    </row>
    <row r="1642" spans="1:10" ht="15.75" customHeight="1">
      <c r="A1642" s="1780"/>
      <c r="B1642" s="1739"/>
      <c r="C1642" s="1878" t="s">
        <v>2592</v>
      </c>
      <c r="D1642" s="1781">
        <v>0.18</v>
      </c>
      <c r="E1642" s="413" t="s">
        <v>100</v>
      </c>
      <c r="F1642" s="1883">
        <f>'Bahan &amp; Upah'!C$154</f>
        <v>61170.32</v>
      </c>
      <c r="G1642" s="1969">
        <f>F1642*D1642</f>
        <v>11010.657599999999</v>
      </c>
      <c r="H1642" s="1975">
        <v>0.58420000000000005</v>
      </c>
      <c r="I1642" s="1795">
        <f>(G1642/G$1646)*H1642</f>
        <v>0.20152712839774004</v>
      </c>
      <c r="J1642" s="1974"/>
    </row>
    <row r="1643" spans="1:10" ht="15.75" customHeight="1">
      <c r="A1643" s="1780"/>
      <c r="B1643" s="1784"/>
      <c r="C1643" s="1878"/>
      <c r="D1643" s="1781"/>
      <c r="E1643" s="413"/>
      <c r="F1643" s="1883"/>
      <c r="G1643" s="361">
        <f>SUM(G1641:G1642)</f>
        <v>17758.066800000001</v>
      </c>
      <c r="H1643" s="1975"/>
      <c r="I1643" s="1975">
        <f>SUM(I1641:I1642)</f>
        <v>0.32502438438365794</v>
      </c>
      <c r="J1643" s="1974"/>
    </row>
    <row r="1644" spans="1:10" ht="15.75" customHeight="1">
      <c r="A1644" s="1780"/>
      <c r="B1644" s="1739" t="s">
        <v>1048</v>
      </c>
      <c r="C1644" s="1877" t="s">
        <v>2246</v>
      </c>
      <c r="D1644" s="1756"/>
      <c r="E1644" s="333"/>
      <c r="F1644" s="1883"/>
      <c r="G1644" s="332"/>
      <c r="H1644" s="1975"/>
      <c r="I1644" s="1975"/>
      <c r="J1644" s="1974"/>
    </row>
    <row r="1645" spans="1:10" ht="15.75" customHeight="1">
      <c r="A1645" s="1780"/>
      <c r="B1645" s="1909"/>
      <c r="C1645" s="1878"/>
      <c r="D1645" s="1756"/>
      <c r="E1645" s="333"/>
      <c r="F1645" s="328"/>
      <c r="G1645" s="361">
        <v>0</v>
      </c>
      <c r="H1645" s="1975"/>
      <c r="I1645" s="1975"/>
      <c r="J1645" s="1974"/>
    </row>
    <row r="1646" spans="1:10" ht="15.75" customHeight="1">
      <c r="A1646" s="1780"/>
      <c r="B1646" s="1784"/>
      <c r="C1646" s="1804" t="s">
        <v>2242</v>
      </c>
      <c r="D1646" s="1763"/>
      <c r="E1646" s="1764"/>
      <c r="F1646" s="1765"/>
      <c r="G1646" s="1765">
        <f>G1639+G1643+G1645</f>
        <v>31918.413272999998</v>
      </c>
      <c r="H1646" s="1975"/>
      <c r="I1646" s="1976">
        <f>I1639+I1643+I1645</f>
        <v>0.7686663145725352</v>
      </c>
      <c r="J1646" s="1974"/>
    </row>
    <row r="1647" spans="1:10" ht="15.75" customHeight="1">
      <c r="A1647" s="1780"/>
      <c r="B1647" s="1784"/>
      <c r="C1647" s="1762" t="s">
        <v>2094</v>
      </c>
      <c r="D1647" s="1767">
        <f>M$4</f>
        <v>0.15</v>
      </c>
      <c r="E1647" s="1768"/>
      <c r="F1647" s="1765"/>
      <c r="G1647" s="1765">
        <f>G1646*D1647</f>
        <v>4787.7619909499999</v>
      </c>
      <c r="H1647" s="1975"/>
      <c r="I1647" s="1975"/>
      <c r="J1647" s="1974"/>
    </row>
    <row r="1648" spans="1:10" ht="15.75" customHeight="1">
      <c r="A1648" s="1786"/>
      <c r="B1648" s="1890"/>
      <c r="C1648" s="1788" t="s">
        <v>2111</v>
      </c>
      <c r="D1648" s="1772"/>
      <c r="E1648" s="1773"/>
      <c r="F1648" s="1774"/>
      <c r="G1648" s="1775">
        <f>ROUNDUP((G1646+G1647),2)</f>
        <v>36706.18</v>
      </c>
      <c r="H1648" s="1977"/>
      <c r="I1648" s="1977"/>
      <c r="J1648" s="1938"/>
    </row>
    <row r="1649" spans="1:12" ht="15.75" customHeight="1">
      <c r="A1649" s="28"/>
      <c r="B1649" s="28"/>
      <c r="C1649" s="28"/>
      <c r="D1649" s="28"/>
      <c r="E1649" s="28"/>
      <c r="F1649" s="28"/>
      <c r="G1649" s="28"/>
      <c r="H1649" s="28"/>
      <c r="I1649" s="28"/>
      <c r="J1649" s="28"/>
    </row>
    <row r="1650" spans="1:12" ht="15.75" customHeight="1">
      <c r="A1650" s="1778">
        <f>A1633+1</f>
        <v>77</v>
      </c>
      <c r="B1650" s="1805" t="s">
        <v>2595</v>
      </c>
      <c r="C1650" s="1872" t="s">
        <v>2596</v>
      </c>
      <c r="D1650" s="1873"/>
      <c r="E1650" s="1874"/>
      <c r="F1650" s="1875"/>
      <c r="G1650" s="1875"/>
      <c r="H1650" s="2020"/>
      <c r="I1650" s="2020"/>
      <c r="J1650" s="2021"/>
    </row>
    <row r="1651" spans="1:12" ht="15.75" customHeight="1">
      <c r="A1651" s="1780"/>
      <c r="B1651" s="1739" t="s">
        <v>1004</v>
      </c>
      <c r="C1651" s="1877" t="s">
        <v>2067</v>
      </c>
      <c r="D1651" s="390"/>
      <c r="E1651" s="413"/>
      <c r="F1651" s="320"/>
      <c r="G1651" s="320"/>
      <c r="H1651" s="318"/>
      <c r="I1651" s="318"/>
      <c r="J1651" s="69"/>
    </row>
    <row r="1652" spans="1:12" ht="15.75" customHeight="1">
      <c r="A1652" s="1780"/>
      <c r="B1652" s="1739"/>
      <c r="C1652" s="1878" t="s">
        <v>2103</v>
      </c>
      <c r="D1652" s="1841">
        <v>0.2</v>
      </c>
      <c r="E1652" s="413" t="s">
        <v>2069</v>
      </c>
      <c r="F1652" s="1747">
        <f>'Bahan &amp; Upah'!C$336</f>
        <v>96332.65</v>
      </c>
      <c r="G1652" s="361">
        <f>F1652*D1652</f>
        <v>19266.53</v>
      </c>
      <c r="H1652" s="1793">
        <v>1</v>
      </c>
      <c r="I1652" s="1793">
        <f>(G1652/G$1660)*H1652</f>
        <v>8.793082165480387E-2</v>
      </c>
      <c r="J1652" s="1750"/>
    </row>
    <row r="1653" spans="1:12" ht="15.75" customHeight="1">
      <c r="A1653" s="1780"/>
      <c r="B1653" s="1739"/>
      <c r="C1653" s="1878" t="s">
        <v>2582</v>
      </c>
      <c r="D1653" s="1841">
        <v>0.2</v>
      </c>
      <c r="E1653" s="413" t="s">
        <v>2069</v>
      </c>
      <c r="F1653" s="1883">
        <f>'Bahan &amp; Upah'!C$337</f>
        <v>114133.55</v>
      </c>
      <c r="G1653" s="361">
        <f>F1653*D1653</f>
        <v>22826.710000000003</v>
      </c>
      <c r="H1653" s="1793">
        <v>1</v>
      </c>
      <c r="I1653" s="1793">
        <f>(G1653/G$1660)*H1653</f>
        <v>0.10417918358811516</v>
      </c>
      <c r="J1653" s="1750"/>
    </row>
    <row r="1654" spans="1:12" ht="15.75" customHeight="1">
      <c r="A1654" s="1780"/>
      <c r="B1654" s="1739"/>
      <c r="C1654" s="1878" t="s">
        <v>2105</v>
      </c>
      <c r="D1654" s="1841">
        <v>0.02</v>
      </c>
      <c r="E1654" s="413" t="s">
        <v>2069</v>
      </c>
      <c r="F1654" s="1748">
        <f>'Bahan &amp; Upah'!C$338</f>
        <v>125485.75</v>
      </c>
      <c r="G1654" s="361">
        <f>F1654*D1654</f>
        <v>2509.7150000000001</v>
      </c>
      <c r="H1654" s="1793">
        <v>1</v>
      </c>
      <c r="I1654" s="1793">
        <f>(G1654/G$1660)*H1654</f>
        <v>1.1454128069215688E-2</v>
      </c>
      <c r="J1654" s="1750"/>
    </row>
    <row r="1655" spans="1:12" ht="15.75" customHeight="1">
      <c r="A1655" s="1780"/>
      <c r="B1655" s="1739"/>
      <c r="C1655" s="1878" t="s">
        <v>2107</v>
      </c>
      <c r="D1655" s="1841">
        <v>6.7000000000000002E-3</v>
      </c>
      <c r="E1655" s="413" t="s">
        <v>2069</v>
      </c>
      <c r="F1655" s="1883">
        <f>'Bahan &amp; Upah'!C$339</f>
        <v>102689.88</v>
      </c>
      <c r="G1655" s="1785">
        <f>F1655*D1655</f>
        <v>688.02219600000001</v>
      </c>
      <c r="H1655" s="1793">
        <v>1</v>
      </c>
      <c r="I1655" s="1795">
        <f>(G1655/G$1660)*H1655</f>
        <v>3.14007540595128E-3</v>
      </c>
      <c r="J1655" s="69"/>
    </row>
    <row r="1656" spans="1:12" ht="15.75" customHeight="1">
      <c r="A1656" s="1780"/>
      <c r="B1656" s="1739"/>
      <c r="C1656" s="1889" t="s">
        <v>2108</v>
      </c>
      <c r="D1656" s="1841"/>
      <c r="E1656" s="413"/>
      <c r="F1656" s="320"/>
      <c r="G1656" s="361">
        <f>SUM(G1652:G1655)</f>
        <v>45290.977196</v>
      </c>
      <c r="H1656" s="318"/>
      <c r="I1656" s="2009">
        <f>SUM(I1652:I1655)</f>
        <v>0.20670420871808604</v>
      </c>
      <c r="J1656" s="69"/>
    </row>
    <row r="1657" spans="1:12" ht="15.75" customHeight="1">
      <c r="A1657" s="1780"/>
      <c r="B1657" s="1739" t="s">
        <v>1015</v>
      </c>
      <c r="C1657" s="1877" t="s">
        <v>2075</v>
      </c>
      <c r="D1657" s="1841"/>
      <c r="E1657" s="413"/>
      <c r="F1657" s="320"/>
      <c r="G1657" s="320"/>
      <c r="H1657" s="318"/>
      <c r="I1657" s="318"/>
      <c r="J1657" s="69"/>
    </row>
    <row r="1658" spans="1:12" ht="15.75" customHeight="1">
      <c r="A1658" s="1780"/>
      <c r="B1658" s="1784"/>
      <c r="C1658" s="1878" t="s">
        <v>2597</v>
      </c>
      <c r="D1658" s="1841">
        <v>1</v>
      </c>
      <c r="E1658" s="413" t="s">
        <v>100</v>
      </c>
      <c r="F1658" s="1883">
        <f>'Bahan &amp; Upah'!C149</f>
        <v>173819.11</v>
      </c>
      <c r="G1658" s="1785">
        <f>F1658*D1658</f>
        <v>173819.11</v>
      </c>
      <c r="H1658" s="1793">
        <v>0.3014</v>
      </c>
      <c r="I1658" s="1795">
        <f>(G1658/G$1660)*H1658</f>
        <v>0.23909935149236891</v>
      </c>
      <c r="J1658" s="69"/>
      <c r="L1658" s="2022" t="s">
        <v>2598</v>
      </c>
    </row>
    <row r="1659" spans="1:12" ht="15.75" customHeight="1">
      <c r="A1659" s="1780"/>
      <c r="B1659" s="1784"/>
      <c r="C1659" s="1878"/>
      <c r="D1659" s="1841"/>
      <c r="E1659" s="413"/>
      <c r="F1659" s="320"/>
      <c r="G1659" s="361">
        <f>SUM(G1658:G1658)</f>
        <v>173819.11</v>
      </c>
      <c r="H1659" s="318"/>
      <c r="I1659" s="2009">
        <f>SUM(I1655:I1658)</f>
        <v>0.44894363561640627</v>
      </c>
      <c r="J1659" s="69"/>
    </row>
    <row r="1660" spans="1:12" ht="15.75" customHeight="1">
      <c r="A1660" s="1780"/>
      <c r="B1660" s="1784"/>
      <c r="C1660" s="1804" t="s">
        <v>2298</v>
      </c>
      <c r="D1660" s="1763"/>
      <c r="E1660" s="1764"/>
      <c r="F1660" s="1765"/>
      <c r="G1660" s="1765">
        <f>G1656+G1659</f>
        <v>219110.08719599998</v>
      </c>
      <c r="H1660" s="318"/>
      <c r="I1660" s="318"/>
      <c r="J1660" s="69"/>
    </row>
    <row r="1661" spans="1:12" ht="15.75" customHeight="1">
      <c r="A1661" s="1780"/>
      <c r="B1661" s="1784"/>
      <c r="C1661" s="1762" t="s">
        <v>2094</v>
      </c>
      <c r="D1661" s="1767">
        <f>M$4</f>
        <v>0.15</v>
      </c>
      <c r="E1661" s="1768"/>
      <c r="F1661" s="1765"/>
      <c r="G1661" s="1765">
        <f>G1660*D1661</f>
        <v>32866.513079399992</v>
      </c>
      <c r="H1661" s="318"/>
      <c r="I1661" s="318"/>
      <c r="J1661" s="69"/>
    </row>
    <row r="1662" spans="1:12" ht="15.75" customHeight="1">
      <c r="A1662" s="1786"/>
      <c r="B1662" s="1890"/>
      <c r="C1662" s="1788" t="s">
        <v>2111</v>
      </c>
      <c r="D1662" s="1772"/>
      <c r="E1662" s="1773"/>
      <c r="F1662" s="1774"/>
      <c r="G1662" s="1861">
        <f>ROUNDUP((G1660+G1661),2)</f>
        <v>251976.61000000002</v>
      </c>
      <c r="H1662" s="1891"/>
      <c r="I1662" s="2011">
        <f>I1656+I1659</f>
        <v>0.6556478443344923</v>
      </c>
      <c r="J1662" s="77"/>
    </row>
    <row r="1663" spans="1:12" ht="15.75" customHeight="1">
      <c r="A1663" s="28"/>
      <c r="B1663" s="28"/>
      <c r="C1663" s="28"/>
      <c r="D1663" s="28"/>
      <c r="E1663" s="28"/>
      <c r="F1663" s="28"/>
      <c r="G1663" s="28"/>
      <c r="H1663" s="28"/>
      <c r="I1663" s="28"/>
      <c r="J1663" s="28"/>
    </row>
    <row r="1664" spans="1:12" ht="15.75" customHeight="1">
      <c r="A1664" s="1778">
        <f>A1650+1</f>
        <v>78</v>
      </c>
      <c r="B1664" s="1805" t="s">
        <v>2580</v>
      </c>
      <c r="C1664" s="1872" t="s">
        <v>2599</v>
      </c>
      <c r="D1664" s="1971"/>
      <c r="E1664" s="1874"/>
      <c r="F1664" s="1875"/>
      <c r="G1664" s="1875"/>
      <c r="H1664" s="1800"/>
      <c r="I1664" s="1800"/>
      <c r="J1664" s="1801"/>
    </row>
    <row r="1665" spans="1:10" ht="15.75" customHeight="1">
      <c r="A1665" s="1780"/>
      <c r="B1665" s="1739" t="s">
        <v>1004</v>
      </c>
      <c r="C1665" s="1877" t="s">
        <v>2067</v>
      </c>
      <c r="D1665" s="390"/>
      <c r="E1665" s="413"/>
      <c r="F1665" s="320"/>
      <c r="G1665" s="320"/>
      <c r="H1665" s="1802"/>
      <c r="I1665" s="1802"/>
      <c r="J1665" s="1803"/>
    </row>
    <row r="1666" spans="1:10" ht="15.75" customHeight="1">
      <c r="A1666" s="1780"/>
      <c r="B1666" s="1739"/>
      <c r="C1666" s="1878" t="s">
        <v>2103</v>
      </c>
      <c r="D1666" s="1841">
        <v>6.6699999999999995E-2</v>
      </c>
      <c r="E1666" s="413" t="s">
        <v>2069</v>
      </c>
      <c r="F1666" s="1747">
        <f>'Bahan &amp; Upah'!C$336</f>
        <v>96332.65</v>
      </c>
      <c r="G1666" s="361">
        <f>F1666*D1666</f>
        <v>6425.3877549999988</v>
      </c>
      <c r="H1666" s="1749">
        <v>1</v>
      </c>
      <c r="I1666" s="1749">
        <f>(G1666/G$1677)*H1666</f>
        <v>0.1296173914390828</v>
      </c>
      <c r="J1666" s="1750"/>
    </row>
    <row r="1667" spans="1:10" ht="15.75" customHeight="1">
      <c r="A1667" s="1780"/>
      <c r="B1667" s="1739"/>
      <c r="C1667" s="1878" t="s">
        <v>2582</v>
      </c>
      <c r="D1667" s="1841">
        <v>6.6699999999999995E-2</v>
      </c>
      <c r="E1667" s="413" t="s">
        <v>2069</v>
      </c>
      <c r="F1667" s="1883">
        <f>'Bahan &amp; Upah'!C$337</f>
        <v>114133.55</v>
      </c>
      <c r="G1667" s="361">
        <f>F1667*D1667</f>
        <v>7612.7077849999996</v>
      </c>
      <c r="H1667" s="1749">
        <v>1</v>
      </c>
      <c r="I1667" s="1749">
        <f>(G1667/G$1677)*H1667</f>
        <v>0.15356883701094209</v>
      </c>
      <c r="J1667" s="1974"/>
    </row>
    <row r="1668" spans="1:10" ht="15.75" customHeight="1">
      <c r="A1668" s="1780"/>
      <c r="B1668" s="1739"/>
      <c r="C1668" s="1878" t="s">
        <v>2072</v>
      </c>
      <c r="D1668" s="1841">
        <v>6.7000000000000002E-3</v>
      </c>
      <c r="E1668" s="413" t="s">
        <v>2069</v>
      </c>
      <c r="F1668" s="1748">
        <f>'Bahan &amp; Upah'!C$338</f>
        <v>125485.75</v>
      </c>
      <c r="G1668" s="361">
        <f>F1668*D1668</f>
        <v>840.75452500000006</v>
      </c>
      <c r="H1668" s="1749">
        <v>1</v>
      </c>
      <c r="I1668" s="1749">
        <f>(G1668/G$1677)*H1668</f>
        <v>1.6960285126186157E-2</v>
      </c>
      <c r="J1668" s="1974"/>
    </row>
    <row r="1669" spans="1:10" ht="15.75" customHeight="1">
      <c r="A1669" s="1780"/>
      <c r="B1669" s="1739"/>
      <c r="C1669" s="1878" t="s">
        <v>2107</v>
      </c>
      <c r="D1669" s="1841">
        <v>2.2000000000000001E-3</v>
      </c>
      <c r="E1669" s="413" t="s">
        <v>2069</v>
      </c>
      <c r="F1669" s="1883">
        <f>'Bahan &amp; Upah'!C$339</f>
        <v>102689.88</v>
      </c>
      <c r="G1669" s="1785">
        <f>F1669*D1669</f>
        <v>225.91773600000002</v>
      </c>
      <c r="H1669" s="1749">
        <v>1</v>
      </c>
      <c r="I1669" s="1752">
        <f>(G1669/G$1677)*H1669</f>
        <v>4.5573697240849833E-3</v>
      </c>
      <c r="J1669" s="1974"/>
    </row>
    <row r="1670" spans="1:10" ht="15.75" customHeight="1">
      <c r="A1670" s="1780"/>
      <c r="B1670" s="1739"/>
      <c r="C1670" s="1889" t="s">
        <v>2108</v>
      </c>
      <c r="D1670" s="1781"/>
      <c r="E1670" s="413"/>
      <c r="F1670" s="320"/>
      <c r="G1670" s="361">
        <f>SUM(G1666:G1669)</f>
        <v>15104.767800999998</v>
      </c>
      <c r="H1670" s="1994"/>
      <c r="I1670" s="1994">
        <f>SUM(I1666:I1669)</f>
        <v>0.30470388330029602</v>
      </c>
      <c r="J1670" s="1974"/>
    </row>
    <row r="1671" spans="1:10" ht="15.75" customHeight="1">
      <c r="A1671" s="1780"/>
      <c r="B1671" s="1739" t="s">
        <v>1015</v>
      </c>
      <c r="C1671" s="1877" t="s">
        <v>2075</v>
      </c>
      <c r="D1671" s="1781"/>
      <c r="E1671" s="413"/>
      <c r="F1671" s="320"/>
      <c r="G1671" s="320"/>
      <c r="H1671" s="1994"/>
      <c r="I1671" s="1994"/>
      <c r="J1671" s="1974"/>
    </row>
    <row r="1672" spans="1:10" ht="15.75" customHeight="1">
      <c r="A1672" s="1780"/>
      <c r="B1672" s="1739"/>
      <c r="C1672" s="1878" t="s">
        <v>2600</v>
      </c>
      <c r="D1672" s="1841">
        <v>0.1</v>
      </c>
      <c r="E1672" s="413" t="s">
        <v>100</v>
      </c>
      <c r="F1672" s="1883">
        <f>'Bahan &amp; Upah'!C151</f>
        <v>81495.94</v>
      </c>
      <c r="G1672" s="325">
        <f>F1672*D1672</f>
        <v>8149.594000000001</v>
      </c>
      <c r="H1672" s="1994">
        <v>0.58420000000000005</v>
      </c>
      <c r="I1672" s="1749">
        <f>(G1672/G$1677)*H1672</f>
        <v>9.6042058914558456E-2</v>
      </c>
      <c r="J1672" s="1974"/>
    </row>
    <row r="1673" spans="1:10" ht="15.75" customHeight="1">
      <c r="A1673" s="1780"/>
      <c r="B1673" s="1739"/>
      <c r="C1673" s="1878" t="s">
        <v>2601</v>
      </c>
      <c r="D1673" s="1841">
        <v>0.26</v>
      </c>
      <c r="E1673" s="413" t="s">
        <v>100</v>
      </c>
      <c r="F1673" s="1883">
        <f>'Bahan &amp; Upah'!C152</f>
        <v>101221.52</v>
      </c>
      <c r="G1673" s="1969">
        <f>F1673*D1673</f>
        <v>26317.595200000003</v>
      </c>
      <c r="H1673" s="1994">
        <v>0.58420000000000005</v>
      </c>
      <c r="I1673" s="1752">
        <f>(G1673/G$1677)*H1673</f>
        <v>0.3101499324614086</v>
      </c>
      <c r="J1673" s="1974"/>
    </row>
    <row r="1674" spans="1:10" ht="15.75" customHeight="1">
      <c r="A1674" s="1780"/>
      <c r="B1674" s="1784"/>
      <c r="C1674" s="1878"/>
      <c r="D1674" s="1781"/>
      <c r="E1674" s="413"/>
      <c r="F1674" s="1883"/>
      <c r="G1674" s="361">
        <f>SUM(G1672:G1673)</f>
        <v>34467.189200000008</v>
      </c>
      <c r="H1674" s="1994"/>
      <c r="I1674" s="1994">
        <f>SUM(I1672:I1673)</f>
        <v>0.40619199137596707</v>
      </c>
      <c r="J1674" s="1974"/>
    </row>
    <row r="1675" spans="1:10" ht="15.75" customHeight="1">
      <c r="A1675" s="1780"/>
      <c r="B1675" s="1739" t="s">
        <v>1048</v>
      </c>
      <c r="C1675" s="1877" t="s">
        <v>2246</v>
      </c>
      <c r="D1675" s="1756"/>
      <c r="E1675" s="333"/>
      <c r="F1675" s="1883"/>
      <c r="G1675" s="332"/>
      <c r="H1675" s="1994"/>
      <c r="I1675" s="1994"/>
      <c r="J1675" s="1974"/>
    </row>
    <row r="1676" spans="1:10" ht="15.75" customHeight="1">
      <c r="A1676" s="1780"/>
      <c r="B1676" s="1909"/>
      <c r="C1676" s="1878"/>
      <c r="D1676" s="1756"/>
      <c r="E1676" s="333"/>
      <c r="F1676" s="328"/>
      <c r="G1676" s="361">
        <v>0</v>
      </c>
      <c r="H1676" s="1994"/>
      <c r="I1676" s="1994"/>
      <c r="J1676" s="1974"/>
    </row>
    <row r="1677" spans="1:10" ht="15.75" customHeight="1">
      <c r="A1677" s="1780"/>
      <c r="B1677" s="1784"/>
      <c r="C1677" s="1804" t="s">
        <v>2242</v>
      </c>
      <c r="D1677" s="1763"/>
      <c r="E1677" s="1764"/>
      <c r="F1677" s="1765"/>
      <c r="G1677" s="1765">
        <f>G1670+G1674+G1676</f>
        <v>49571.957001000002</v>
      </c>
      <c r="H1677" s="1994"/>
      <c r="I1677" s="1995">
        <f>I1670+I1674+I1676</f>
        <v>0.71089587467626303</v>
      </c>
      <c r="J1677" s="1974"/>
    </row>
    <row r="1678" spans="1:10" ht="15.75" customHeight="1">
      <c r="A1678" s="1780"/>
      <c r="B1678" s="1784"/>
      <c r="C1678" s="1762" t="s">
        <v>2094</v>
      </c>
      <c r="D1678" s="1767">
        <f>M$4</f>
        <v>0.15</v>
      </c>
      <c r="E1678" s="1768"/>
      <c r="F1678" s="1765"/>
      <c r="G1678" s="1765">
        <f>G1677*D1678</f>
        <v>7435.7935501499996</v>
      </c>
      <c r="H1678" s="1994"/>
      <c r="I1678" s="1994"/>
      <c r="J1678" s="1974"/>
    </row>
    <row r="1679" spans="1:10" ht="15.75" customHeight="1">
      <c r="A1679" s="1786"/>
      <c r="B1679" s="1890"/>
      <c r="C1679" s="1788" t="s">
        <v>2111</v>
      </c>
      <c r="D1679" s="1772"/>
      <c r="E1679" s="1773"/>
      <c r="F1679" s="1774"/>
      <c r="G1679" s="1775">
        <f>ROUNDUP((G1677+G1678),2)</f>
        <v>57007.76</v>
      </c>
      <c r="H1679" s="1937"/>
      <c r="I1679" s="1937"/>
      <c r="J1679" s="1938"/>
    </row>
    <row r="1680" spans="1:10" ht="15.75" customHeight="1">
      <c r="A1680" s="28"/>
      <c r="B1680" s="28"/>
      <c r="C1680" s="28"/>
      <c r="D1680" s="28"/>
      <c r="E1680" s="28"/>
      <c r="F1680" s="28"/>
      <c r="G1680" s="28"/>
      <c r="H1680" s="28"/>
      <c r="I1680" s="28"/>
      <c r="J1680" s="28"/>
    </row>
    <row r="1681" spans="1:10" ht="15.75" customHeight="1">
      <c r="A1681" s="1778">
        <f>A1664+1</f>
        <v>79</v>
      </c>
      <c r="B1681" s="1805" t="s">
        <v>2602</v>
      </c>
      <c r="C1681" s="1872" t="s">
        <v>2603</v>
      </c>
      <c r="D1681" s="1873"/>
      <c r="E1681" s="1874"/>
      <c r="F1681" s="1875"/>
      <c r="G1681" s="1940"/>
      <c r="H1681" s="2023"/>
      <c r="I1681" s="1997"/>
      <c r="J1681" s="1947"/>
    </row>
    <row r="1682" spans="1:10" ht="15.75" customHeight="1">
      <c r="A1682" s="440"/>
      <c r="B1682" s="1739" t="s">
        <v>1004</v>
      </c>
      <c r="C1682" s="1877" t="s">
        <v>2067</v>
      </c>
      <c r="D1682" s="390"/>
      <c r="E1682" s="413"/>
      <c r="F1682" s="320"/>
      <c r="G1682" s="380"/>
      <c r="H1682" s="1941"/>
      <c r="I1682" s="1802"/>
      <c r="J1682" s="1803"/>
    </row>
    <row r="1683" spans="1:10" ht="15.75" customHeight="1">
      <c r="A1683" s="440"/>
      <c r="B1683" s="1739"/>
      <c r="C1683" s="1878" t="s">
        <v>2103</v>
      </c>
      <c r="D1683" s="1841">
        <v>0.12</v>
      </c>
      <c r="E1683" s="413" t="s">
        <v>2069</v>
      </c>
      <c r="F1683" s="1747">
        <f>'Bahan &amp; Upah'!C$336</f>
        <v>96332.65</v>
      </c>
      <c r="G1683" s="345">
        <f>F1683*D1683</f>
        <v>11559.918</v>
      </c>
      <c r="H1683" s="2024">
        <v>1</v>
      </c>
      <c r="I1683" s="1980">
        <f>(G1683/G$1691)*H1683</f>
        <v>0.22758417527587155</v>
      </c>
      <c r="J1683" s="1981"/>
    </row>
    <row r="1684" spans="1:10" ht="15.75" customHeight="1">
      <c r="A1684" s="440"/>
      <c r="B1684" s="1739"/>
      <c r="C1684" s="1878" t="s">
        <v>2604</v>
      </c>
      <c r="D1684" s="1841">
        <v>0.12</v>
      </c>
      <c r="E1684" s="413" t="s">
        <v>2069</v>
      </c>
      <c r="F1684" s="1883">
        <f>'Bahan &amp; Upah'!C$337</f>
        <v>114133.55</v>
      </c>
      <c r="G1684" s="345">
        <f>F1684*D1684</f>
        <v>13696.026</v>
      </c>
      <c r="H1684" s="2024">
        <v>1</v>
      </c>
      <c r="I1684" s="1980">
        <f>(G1684/G$1691)*H1684</f>
        <v>0.2696384854777425</v>
      </c>
      <c r="J1684" s="1981"/>
    </row>
    <row r="1685" spans="1:10" ht="15.75" customHeight="1">
      <c r="A1685" s="440"/>
      <c r="B1685" s="1739"/>
      <c r="C1685" s="1878" t="s">
        <v>2072</v>
      </c>
      <c r="D1685" s="1841">
        <v>1.2E-2</v>
      </c>
      <c r="E1685" s="413" t="s">
        <v>2069</v>
      </c>
      <c r="F1685" s="1748">
        <f>'Bahan &amp; Upah'!C$338</f>
        <v>125485.75</v>
      </c>
      <c r="G1685" s="345">
        <f>F1685*D1685</f>
        <v>1505.829</v>
      </c>
      <c r="H1685" s="2024">
        <v>1</v>
      </c>
      <c r="I1685" s="1980">
        <f>(G1685/G$1691)*H1685</f>
        <v>2.9645785642380022E-2</v>
      </c>
      <c r="J1685" s="1981"/>
    </row>
    <row r="1686" spans="1:10" ht="15.75" customHeight="1">
      <c r="A1686" s="440"/>
      <c r="B1686" s="1739"/>
      <c r="C1686" s="1878" t="s">
        <v>2107</v>
      </c>
      <c r="D1686" s="1841">
        <v>4.0000000000000001E-3</v>
      </c>
      <c r="E1686" s="413" t="s">
        <v>2069</v>
      </c>
      <c r="F1686" s="1883">
        <f>'Bahan &amp; Upah'!C$339</f>
        <v>102689.88</v>
      </c>
      <c r="G1686" s="1794">
        <f>F1686*D1686</f>
        <v>410.75952000000001</v>
      </c>
      <c r="H1686" s="2024">
        <v>1</v>
      </c>
      <c r="I1686" s="1982">
        <f>(G1686/G$1691)*H1686</f>
        <v>8.0867672760233135E-3</v>
      </c>
      <c r="J1686" s="1981"/>
    </row>
    <row r="1687" spans="1:10" ht="15.75" customHeight="1">
      <c r="A1687" s="440"/>
      <c r="B1687" s="1739"/>
      <c r="C1687" s="1889" t="s">
        <v>2108</v>
      </c>
      <c r="D1687" s="1841"/>
      <c r="E1687" s="413"/>
      <c r="F1687" s="320"/>
      <c r="G1687" s="475">
        <f>SUM(G1683:G1686)</f>
        <v>27172.532520000001</v>
      </c>
      <c r="H1687" s="2024"/>
      <c r="I1687" s="1983">
        <f>SUM(I1683:I1686)</f>
        <v>0.53495521367201737</v>
      </c>
      <c r="J1687" s="1981"/>
    </row>
    <row r="1688" spans="1:10" ht="15.75" customHeight="1">
      <c r="A1688" s="440"/>
      <c r="B1688" s="1739" t="s">
        <v>1015</v>
      </c>
      <c r="C1688" s="1877" t="s">
        <v>2075</v>
      </c>
      <c r="D1688" s="1841"/>
      <c r="E1688" s="413"/>
      <c r="F1688" s="317"/>
      <c r="G1688" s="380"/>
      <c r="H1688" s="2024"/>
      <c r="I1688" s="1980"/>
      <c r="J1688" s="1981"/>
    </row>
    <row r="1689" spans="1:10" ht="15.75" customHeight="1">
      <c r="A1689" s="440"/>
      <c r="B1689" s="1739"/>
      <c r="C1689" s="1878" t="s">
        <v>2605</v>
      </c>
      <c r="D1689" s="1841">
        <v>5</v>
      </c>
      <c r="E1689" s="413" t="s">
        <v>100</v>
      </c>
      <c r="F1689" s="1747">
        <f>'Bahan &amp; Upah'!C30</f>
        <v>4724.3</v>
      </c>
      <c r="G1689" s="345">
        <f>F1689*D1689</f>
        <v>23621.5</v>
      </c>
      <c r="H1689" s="2024">
        <v>0.68369999999999997</v>
      </c>
      <c r="I1689" s="1982">
        <f>(G1689/G$1691)*H1689</f>
        <v>0.31795112041244172</v>
      </c>
      <c r="J1689" s="1981"/>
    </row>
    <row r="1690" spans="1:10" ht="15.75" customHeight="1">
      <c r="A1690" s="440"/>
      <c r="B1690" s="1784"/>
      <c r="C1690" s="1878"/>
      <c r="D1690" s="1841"/>
      <c r="E1690" s="413"/>
      <c r="F1690" s="320"/>
      <c r="G1690" s="475">
        <f>SUM(G1689:G1689)</f>
        <v>23621.5</v>
      </c>
      <c r="H1690" s="2024"/>
      <c r="I1690" s="1983">
        <f>SUM(I1689)</f>
        <v>0.31795112041244172</v>
      </c>
      <c r="J1690" s="1981"/>
    </row>
    <row r="1691" spans="1:10" ht="15.75" customHeight="1">
      <c r="A1691" s="1780"/>
      <c r="B1691" s="1784"/>
      <c r="C1691" s="1804" t="s">
        <v>2298</v>
      </c>
      <c r="D1691" s="1763"/>
      <c r="E1691" s="1764"/>
      <c r="F1691" s="1765"/>
      <c r="G1691" s="1943">
        <f>G1687+G1690</f>
        <v>50794.032520000001</v>
      </c>
      <c r="H1691" s="2024"/>
      <c r="I1691" s="1984">
        <f>I1687+I1690</f>
        <v>0.85290633408445915</v>
      </c>
      <c r="J1691" s="1981"/>
    </row>
    <row r="1692" spans="1:10" ht="15.75" customHeight="1">
      <c r="A1692" s="1780"/>
      <c r="B1692" s="1784"/>
      <c r="C1692" s="1762" t="s">
        <v>2094</v>
      </c>
      <c r="D1692" s="1767">
        <f>M$4</f>
        <v>0.15</v>
      </c>
      <c r="E1692" s="1768"/>
      <c r="F1692" s="1765"/>
      <c r="G1692" s="1765">
        <f>G1691*D1692</f>
        <v>7619.1048780000001</v>
      </c>
      <c r="H1692" s="2024"/>
      <c r="I1692" s="1980"/>
      <c r="J1692" s="1981"/>
    </row>
    <row r="1693" spans="1:10" ht="15.75" customHeight="1">
      <c r="A1693" s="1786"/>
      <c r="B1693" s="1890"/>
      <c r="C1693" s="1788" t="s">
        <v>2111</v>
      </c>
      <c r="D1693" s="1772"/>
      <c r="E1693" s="1773"/>
      <c r="F1693" s="1774"/>
      <c r="G1693" s="1950">
        <f>ROUNDUP((G1691+G1692),2)</f>
        <v>58413.14</v>
      </c>
      <c r="H1693" s="2025"/>
      <c r="I1693" s="1985"/>
      <c r="J1693" s="1986"/>
    </row>
    <row r="1694" spans="1:10" ht="15.75" customHeight="1">
      <c r="A1694" s="28"/>
      <c r="B1694" s="28"/>
      <c r="C1694" s="28"/>
      <c r="D1694" s="28"/>
      <c r="E1694" s="28"/>
      <c r="F1694" s="28"/>
      <c r="G1694" s="28"/>
      <c r="H1694" s="28"/>
      <c r="I1694" s="28"/>
      <c r="J1694" s="28"/>
    </row>
    <row r="1695" spans="1:10" ht="15.75" customHeight="1">
      <c r="A1695" s="1778">
        <f>A1681+1</f>
        <v>80</v>
      </c>
      <c r="B1695" s="1805" t="s">
        <v>2606</v>
      </c>
      <c r="C1695" s="1872" t="s">
        <v>2607</v>
      </c>
      <c r="D1695" s="1873"/>
      <c r="E1695" s="1874"/>
      <c r="F1695" s="1875"/>
      <c r="G1695" s="1940"/>
      <c r="H1695" s="2023"/>
      <c r="I1695" s="1997"/>
      <c r="J1695" s="1947"/>
    </row>
    <row r="1696" spans="1:10" ht="15.75" customHeight="1">
      <c r="A1696" s="440"/>
      <c r="B1696" s="1739" t="s">
        <v>1004</v>
      </c>
      <c r="C1696" s="1877" t="s">
        <v>2067</v>
      </c>
      <c r="D1696" s="390"/>
      <c r="E1696" s="413"/>
      <c r="F1696" s="320"/>
      <c r="G1696" s="380"/>
      <c r="H1696" s="1941"/>
      <c r="I1696" s="1802"/>
      <c r="J1696" s="1803"/>
    </row>
    <row r="1697" spans="1:10" ht="15.75" customHeight="1">
      <c r="A1697" s="440"/>
      <c r="B1697" s="1739"/>
      <c r="C1697" s="1878" t="s">
        <v>2103</v>
      </c>
      <c r="D1697" s="1841">
        <v>0.1</v>
      </c>
      <c r="E1697" s="413" t="s">
        <v>2069</v>
      </c>
      <c r="F1697" s="1747">
        <f>'Bahan &amp; Upah'!C$336</f>
        <v>96332.65</v>
      </c>
      <c r="G1697" s="345">
        <f>F1697*D1697</f>
        <v>9633.2649999999994</v>
      </c>
      <c r="H1697" s="2024">
        <v>1</v>
      </c>
      <c r="I1697" s="1980">
        <f>(G1697/G$1705)*H1697</f>
        <v>7.4001426125993017E-2</v>
      </c>
      <c r="J1697" s="1981"/>
    </row>
    <row r="1698" spans="1:10" ht="15.75" customHeight="1">
      <c r="A1698" s="440"/>
      <c r="B1698" s="1739"/>
      <c r="C1698" s="1878" t="s">
        <v>2604</v>
      </c>
      <c r="D1698" s="1841">
        <v>0.1</v>
      </c>
      <c r="E1698" s="413" t="s">
        <v>2069</v>
      </c>
      <c r="F1698" s="1883">
        <f>'Bahan &amp; Upah'!C$337</f>
        <v>114133.55</v>
      </c>
      <c r="G1698" s="345">
        <f>F1698*D1698</f>
        <v>11413.355000000001</v>
      </c>
      <c r="H1698" s="2024">
        <v>1</v>
      </c>
      <c r="I1698" s="1980">
        <f>(G1698/G$1705)*H1698</f>
        <v>8.7675834401133274E-2</v>
      </c>
      <c r="J1698" s="1981"/>
    </row>
    <row r="1699" spans="1:10" ht="15.75" customHeight="1">
      <c r="A1699" s="440"/>
      <c r="B1699" s="1739"/>
      <c r="C1699" s="1878" t="s">
        <v>2072</v>
      </c>
      <c r="D1699" s="1841">
        <v>0.01</v>
      </c>
      <c r="E1699" s="413" t="s">
        <v>2069</v>
      </c>
      <c r="F1699" s="1748">
        <f>'Bahan &amp; Upah'!C$338</f>
        <v>125485.75</v>
      </c>
      <c r="G1699" s="345">
        <f>F1699*D1699</f>
        <v>1254.8575000000001</v>
      </c>
      <c r="H1699" s="2024">
        <v>1</v>
      </c>
      <c r="I1699" s="1980">
        <f>(G1699/G$1705)*H1699</f>
        <v>9.6396439405433444E-3</v>
      </c>
      <c r="J1699" s="1981"/>
    </row>
    <row r="1700" spans="1:10" ht="15.75" customHeight="1">
      <c r="A1700" s="440"/>
      <c r="B1700" s="1739"/>
      <c r="C1700" s="1878" t="s">
        <v>2107</v>
      </c>
      <c r="D1700" s="1841">
        <v>3.3E-3</v>
      </c>
      <c r="E1700" s="413" t="s">
        <v>2069</v>
      </c>
      <c r="F1700" s="1883">
        <f>'Bahan &amp; Upah'!C$339</f>
        <v>102689.88</v>
      </c>
      <c r="G1700" s="1794">
        <f>F1700*D1700</f>
        <v>338.87660399999999</v>
      </c>
      <c r="H1700" s="2024">
        <v>1</v>
      </c>
      <c r="I1700" s="1982">
        <f>(G1700/G$1705)*H1700</f>
        <v>2.603203791936938E-3</v>
      </c>
      <c r="J1700" s="1981"/>
    </row>
    <row r="1701" spans="1:10" ht="15.75" customHeight="1">
      <c r="A1701" s="440"/>
      <c r="B1701" s="1739"/>
      <c r="C1701" s="1889" t="s">
        <v>2108</v>
      </c>
      <c r="D1701" s="1841"/>
      <c r="E1701" s="413"/>
      <c r="F1701" s="320"/>
      <c r="G1701" s="475">
        <f>SUM(G1697:G1700)</f>
        <v>22640.354104000002</v>
      </c>
      <c r="H1701" s="2024"/>
      <c r="I1701" s="1983">
        <f>SUM(I1697:I1700)</f>
        <v>0.17392010825960655</v>
      </c>
      <c r="J1701" s="1981"/>
    </row>
    <row r="1702" spans="1:10" ht="15.75" customHeight="1">
      <c r="A1702" s="440"/>
      <c r="B1702" s="1739" t="s">
        <v>1015</v>
      </c>
      <c r="C1702" s="1877" t="s">
        <v>2075</v>
      </c>
      <c r="D1702" s="1841"/>
      <c r="E1702" s="413"/>
      <c r="F1702" s="317"/>
      <c r="G1702" s="380"/>
      <c r="H1702" s="2024"/>
      <c r="I1702" s="1980"/>
      <c r="J1702" s="1981"/>
    </row>
    <row r="1703" spans="1:10" ht="15.75" customHeight="1">
      <c r="A1703" s="440"/>
      <c r="B1703" s="1739"/>
      <c r="C1703" s="1878" t="s">
        <v>2608</v>
      </c>
      <c r="D1703" s="1841">
        <v>1.389</v>
      </c>
      <c r="E1703" s="413" t="s">
        <v>100</v>
      </c>
      <c r="F1703" s="1747">
        <f>'Bahan &amp; Upah'!C155</f>
        <v>77420.009999999995</v>
      </c>
      <c r="G1703" s="345">
        <f>F1703*D1703</f>
        <v>107536.39388999999</v>
      </c>
      <c r="H1703" s="2024">
        <v>0.68369999999999997</v>
      </c>
      <c r="I1703" s="1982">
        <f>(G1703/G$1705)*H1703</f>
        <v>0.56479082198290698</v>
      </c>
      <c r="J1703" s="1981"/>
    </row>
    <row r="1704" spans="1:10" ht="15.75" customHeight="1">
      <c r="A1704" s="440"/>
      <c r="B1704" s="1784"/>
      <c r="C1704" s="1878"/>
      <c r="D1704" s="1841"/>
      <c r="E1704" s="413"/>
      <c r="F1704" s="320"/>
      <c r="G1704" s="475">
        <f>SUM(G1703:G1703)</f>
        <v>107536.39388999999</v>
      </c>
      <c r="H1704" s="2024"/>
      <c r="I1704" s="1983">
        <f>SUM(I1703)</f>
        <v>0.56479082198290698</v>
      </c>
      <c r="J1704" s="1981"/>
    </row>
    <row r="1705" spans="1:10" ht="15.75" customHeight="1">
      <c r="A1705" s="1780"/>
      <c r="B1705" s="1784"/>
      <c r="C1705" s="1804" t="s">
        <v>2298</v>
      </c>
      <c r="D1705" s="1763"/>
      <c r="E1705" s="1764"/>
      <c r="F1705" s="1765"/>
      <c r="G1705" s="1943">
        <f>G1701+G1704</f>
        <v>130176.74799399999</v>
      </c>
      <c r="H1705" s="2024"/>
      <c r="I1705" s="1984">
        <f>I1701+I1704</f>
        <v>0.73871093024251355</v>
      </c>
      <c r="J1705" s="1981"/>
    </row>
    <row r="1706" spans="1:10" ht="15.75" customHeight="1">
      <c r="A1706" s="1780"/>
      <c r="B1706" s="1784"/>
      <c r="C1706" s="1762" t="s">
        <v>2094</v>
      </c>
      <c r="D1706" s="1767">
        <f>M$4</f>
        <v>0.15</v>
      </c>
      <c r="E1706" s="1768"/>
      <c r="F1706" s="1765"/>
      <c r="G1706" s="1765">
        <f>G1705*D1706</f>
        <v>19526.512199099998</v>
      </c>
      <c r="H1706" s="2024"/>
      <c r="I1706" s="1980"/>
      <c r="J1706" s="1981"/>
    </row>
    <row r="1707" spans="1:10" ht="15.75" customHeight="1">
      <c r="A1707" s="1786"/>
      <c r="B1707" s="1890"/>
      <c r="C1707" s="1788" t="s">
        <v>2111</v>
      </c>
      <c r="D1707" s="1772"/>
      <c r="E1707" s="1773"/>
      <c r="F1707" s="1774"/>
      <c r="G1707" s="1950">
        <f>ROUNDUP((G1705+G1706),2)</f>
        <v>149703.27000000002</v>
      </c>
      <c r="H1707" s="2025"/>
      <c r="I1707" s="1985"/>
      <c r="J1707" s="1986"/>
    </row>
    <row r="1708" spans="1:10" ht="15.75" customHeight="1">
      <c r="A1708" s="28"/>
      <c r="B1708" s="28"/>
      <c r="C1708" s="28"/>
      <c r="D1708" s="28"/>
      <c r="E1708" s="28"/>
      <c r="F1708" s="28"/>
      <c r="G1708" s="28"/>
      <c r="H1708" s="28"/>
      <c r="I1708" s="28"/>
      <c r="J1708" s="28"/>
    </row>
    <row r="1709" spans="1:10" ht="15.75" customHeight="1">
      <c r="A1709" s="1778">
        <f>A1695+1</f>
        <v>81</v>
      </c>
      <c r="B1709" s="1805" t="s">
        <v>2609</v>
      </c>
      <c r="C1709" s="1872" t="s">
        <v>2610</v>
      </c>
      <c r="D1709" s="1873"/>
      <c r="E1709" s="1874"/>
      <c r="F1709" s="1875"/>
      <c r="G1709" s="1875"/>
      <c r="H1709" s="2020"/>
      <c r="I1709" s="2020"/>
      <c r="J1709" s="2021"/>
    </row>
    <row r="1710" spans="1:10" ht="15.75" customHeight="1">
      <c r="A1710" s="1780"/>
      <c r="B1710" s="1739" t="s">
        <v>1004</v>
      </c>
      <c r="C1710" s="1877" t="s">
        <v>2067</v>
      </c>
      <c r="D1710" s="390"/>
      <c r="E1710" s="413"/>
      <c r="F1710" s="320"/>
      <c r="G1710" s="320"/>
      <c r="H1710" s="318"/>
      <c r="I1710" s="318"/>
      <c r="J1710" s="69"/>
    </row>
    <row r="1711" spans="1:10" ht="15.75" customHeight="1">
      <c r="A1711" s="1780"/>
      <c r="B1711" s="1739"/>
      <c r="C1711" s="1878" t="s">
        <v>2103</v>
      </c>
      <c r="D1711" s="1841">
        <v>0.7</v>
      </c>
      <c r="E1711" s="413" t="s">
        <v>2069</v>
      </c>
      <c r="F1711" s="1747">
        <f>'Bahan &amp; Upah'!C$336</f>
        <v>96332.65</v>
      </c>
      <c r="G1711" s="361">
        <f>F1711*D1711</f>
        <v>67432.854999999996</v>
      </c>
      <c r="H1711" s="1749">
        <v>1</v>
      </c>
      <c r="I1711" s="1793">
        <f>(G1711/G$1722)*H1711</f>
        <v>7.1125342039871614E-2</v>
      </c>
      <c r="J1711" s="1750"/>
    </row>
    <row r="1712" spans="1:10" ht="15.75" customHeight="1">
      <c r="A1712" s="1780"/>
      <c r="B1712" s="1739"/>
      <c r="C1712" s="1878" t="s">
        <v>2124</v>
      </c>
      <c r="D1712" s="1841">
        <v>0.35</v>
      </c>
      <c r="E1712" s="413" t="s">
        <v>2069</v>
      </c>
      <c r="F1712" s="1883">
        <f>'Bahan &amp; Upah'!C$337</f>
        <v>114133.55</v>
      </c>
      <c r="G1712" s="361">
        <f>F1712*D1712</f>
        <v>39946.7425</v>
      </c>
      <c r="H1712" s="1749">
        <v>1</v>
      </c>
      <c r="I1712" s="1793">
        <f>(G1712/G$1722)*H1712</f>
        <v>4.2134145494672835E-2</v>
      </c>
      <c r="J1712" s="1750"/>
    </row>
    <row r="1713" spans="1:12" ht="15.75" customHeight="1">
      <c r="A1713" s="1780"/>
      <c r="B1713" s="1739"/>
      <c r="C1713" s="1878" t="s">
        <v>2072</v>
      </c>
      <c r="D1713" s="1841">
        <v>3.5000000000000003E-2</v>
      </c>
      <c r="E1713" s="413" t="s">
        <v>2069</v>
      </c>
      <c r="F1713" s="1748">
        <f>'Bahan &amp; Upah'!C$338</f>
        <v>125485.75</v>
      </c>
      <c r="G1713" s="361">
        <f>F1713*D1713</f>
        <v>4392.0012500000003</v>
      </c>
      <c r="H1713" s="1749">
        <v>1</v>
      </c>
      <c r="I1713" s="1793">
        <f>(G1713/G$1722)*H1713</f>
        <v>4.6324983740610379E-3</v>
      </c>
      <c r="J1713" s="1750"/>
    </row>
    <row r="1714" spans="1:12" ht="15.75" customHeight="1">
      <c r="A1714" s="1780"/>
      <c r="B1714" s="1739"/>
      <c r="C1714" s="1878" t="s">
        <v>2107</v>
      </c>
      <c r="D1714" s="1841">
        <v>3.5000000000000003E-2</v>
      </c>
      <c r="E1714" s="413" t="s">
        <v>2069</v>
      </c>
      <c r="F1714" s="1883">
        <f>'Bahan &amp; Upah'!C$339</f>
        <v>102689.88</v>
      </c>
      <c r="G1714" s="1785">
        <f>F1714*D1714</f>
        <v>3594.1458000000007</v>
      </c>
      <c r="H1714" s="1749">
        <v>1</v>
      </c>
      <c r="I1714" s="1795">
        <f>(G1714/G$1722)*H1714</f>
        <v>3.7909539699330255E-3</v>
      </c>
      <c r="J1714" s="1783"/>
    </row>
    <row r="1715" spans="1:12" ht="15.75" customHeight="1">
      <c r="A1715" s="1780"/>
      <c r="B1715" s="1739"/>
      <c r="C1715" s="1889" t="s">
        <v>2108</v>
      </c>
      <c r="D1715" s="1841"/>
      <c r="E1715" s="413"/>
      <c r="F1715" s="320"/>
      <c r="G1715" s="361">
        <f>SUM(G1711:G1714)</f>
        <v>115365.74455</v>
      </c>
      <c r="H1715" s="1782"/>
      <c r="I1715" s="1910">
        <f>SUM(I1711:I1714)</f>
        <v>0.12168293987853852</v>
      </c>
      <c r="J1715" s="1783"/>
    </row>
    <row r="1716" spans="1:12" ht="15.75" customHeight="1">
      <c r="A1716" s="1780"/>
      <c r="B1716" s="1739" t="s">
        <v>1015</v>
      </c>
      <c r="C1716" s="1877" t="s">
        <v>2075</v>
      </c>
      <c r="D1716" s="1841"/>
      <c r="E1716" s="2026"/>
      <c r="F1716" s="317"/>
      <c r="G1716" s="320"/>
      <c r="H1716" s="1782"/>
      <c r="I1716" s="1782"/>
      <c r="J1716" s="1783"/>
    </row>
    <row r="1717" spans="1:12" ht="15.75" customHeight="1">
      <c r="A1717" s="1780"/>
      <c r="B1717" s="1739"/>
      <c r="C1717" s="1878" t="s">
        <v>2611</v>
      </c>
      <c r="D1717" s="1841">
        <v>1.05</v>
      </c>
      <c r="E1717" s="413" t="s">
        <v>89</v>
      </c>
      <c r="F1717" s="1747">
        <f>'Bahan &amp; Upah'!C164</f>
        <v>757588.45</v>
      </c>
      <c r="G1717" s="361">
        <f>F1717*D1717</f>
        <v>795467.87249999994</v>
      </c>
      <c r="H1717" s="1838">
        <v>0.84709999999999996</v>
      </c>
      <c r="I1717" s="1793">
        <f>(G1717/G$1722)*H1717</f>
        <v>0.71073899889318359</v>
      </c>
      <c r="J1717" s="1783"/>
      <c r="L1717" s="2022" t="s">
        <v>2612</v>
      </c>
    </row>
    <row r="1718" spans="1:12" ht="15.75" customHeight="1">
      <c r="A1718" s="1780"/>
      <c r="B1718" s="1739"/>
      <c r="C1718" s="1878" t="s">
        <v>2080</v>
      </c>
      <c r="D1718" s="1841">
        <v>8.19</v>
      </c>
      <c r="E1718" s="413" t="s">
        <v>100</v>
      </c>
      <c r="F1718" s="1747">
        <f>'Bahan &amp; Upah'!C$27</f>
        <v>1792.44</v>
      </c>
      <c r="G1718" s="361">
        <f>F1718*D1718</f>
        <v>14680.0836</v>
      </c>
      <c r="H1718" s="1838">
        <v>0.91900000000000004</v>
      </c>
      <c r="I1718" s="1793">
        <f>(G1718/G$1722)*H1718</f>
        <v>1.4229736585804847E-2</v>
      </c>
      <c r="J1718" s="1783"/>
    </row>
    <row r="1719" spans="1:12" ht="15.75" customHeight="1">
      <c r="A1719" s="1780"/>
      <c r="B1719" s="1739"/>
      <c r="C1719" s="1878" t="s">
        <v>2081</v>
      </c>
      <c r="D1719" s="1841">
        <v>4.4999999999999998E-2</v>
      </c>
      <c r="E1719" s="413" t="s">
        <v>103</v>
      </c>
      <c r="F1719" s="1747">
        <f>'Bahan &amp; Upah'!C$11</f>
        <v>362812.55</v>
      </c>
      <c r="G1719" s="361">
        <f>F1719*D1719</f>
        <v>16326.56475</v>
      </c>
      <c r="H1719" s="1838">
        <v>1</v>
      </c>
      <c r="I1719" s="1793">
        <f>(G1719/G$1722)*H1719</f>
        <v>1.7220574483756638E-2</v>
      </c>
      <c r="J1719" s="1783"/>
    </row>
    <row r="1720" spans="1:12" ht="15.75" customHeight="1">
      <c r="A1720" s="1780"/>
      <c r="B1720" s="1784"/>
      <c r="C1720" s="1878" t="s">
        <v>2613</v>
      </c>
      <c r="D1720" s="1841">
        <v>0.5</v>
      </c>
      <c r="E1720" s="413" t="s">
        <v>100</v>
      </c>
      <c r="F1720" s="1747">
        <f>'Bahan &amp; Upah'!C$28</f>
        <v>12489.05</v>
      </c>
      <c r="G1720" s="1785">
        <f>F1720*D1720</f>
        <v>6244.5249999999996</v>
      </c>
      <c r="H1720" s="1838">
        <v>0.91900000000000004</v>
      </c>
      <c r="I1720" s="1795">
        <f>(G1720/G$1722)*H1720</f>
        <v>6.0529591162187257E-3</v>
      </c>
      <c r="J1720" s="1783"/>
    </row>
    <row r="1721" spans="1:12" ht="15.75" customHeight="1">
      <c r="A1721" s="1780"/>
      <c r="B1721" s="1784"/>
      <c r="C1721" s="1878"/>
      <c r="D1721" s="1841"/>
      <c r="E1721" s="413"/>
      <c r="F1721" s="320"/>
      <c r="G1721" s="361">
        <f>SUM(G1717:G1720)</f>
        <v>832719.04584999999</v>
      </c>
      <c r="H1721" s="1782"/>
      <c r="I1721" s="1910">
        <f>SUM(I1717:I1720)</f>
        <v>0.74824226907896385</v>
      </c>
      <c r="J1721" s="1783"/>
    </row>
    <row r="1722" spans="1:12" ht="15.75" customHeight="1">
      <c r="A1722" s="1780"/>
      <c r="B1722" s="1784"/>
      <c r="C1722" s="1804" t="s">
        <v>2298</v>
      </c>
      <c r="D1722" s="1763"/>
      <c r="E1722" s="1764"/>
      <c r="F1722" s="1765"/>
      <c r="G1722" s="1765">
        <f>G1715+G1721</f>
        <v>948084.79040000006</v>
      </c>
      <c r="H1722" s="1782"/>
      <c r="I1722" s="1782"/>
      <c r="J1722" s="1783"/>
    </row>
    <row r="1723" spans="1:12" ht="15.75" customHeight="1">
      <c r="A1723" s="1780"/>
      <c r="B1723" s="1784"/>
      <c r="C1723" s="1762" t="s">
        <v>2094</v>
      </c>
      <c r="D1723" s="1767">
        <f>M$4</f>
        <v>0.15</v>
      </c>
      <c r="E1723" s="1768"/>
      <c r="F1723" s="1765"/>
      <c r="G1723" s="1765">
        <f>G1722*D1723</f>
        <v>142212.71856000001</v>
      </c>
      <c r="H1723" s="1782"/>
      <c r="I1723" s="1782"/>
      <c r="J1723" s="1783"/>
    </row>
    <row r="1724" spans="1:12" ht="15.75" customHeight="1">
      <c r="A1724" s="1786"/>
      <c r="B1724" s="1890"/>
      <c r="C1724" s="1788" t="s">
        <v>2111</v>
      </c>
      <c r="D1724" s="1772"/>
      <c r="E1724" s="1773"/>
      <c r="F1724" s="1774"/>
      <c r="G1724" s="1998">
        <f>ROUNDUP((G1722+G1723),2)</f>
        <v>1090297.51</v>
      </c>
      <c r="H1724" s="2010"/>
      <c r="I1724" s="1894">
        <f>I1715+I1721</f>
        <v>0.86992520895750236</v>
      </c>
      <c r="J1724" s="1893"/>
    </row>
    <row r="1725" spans="1:12" ht="15.75" customHeight="1">
      <c r="A1725" s="1733"/>
      <c r="B1725" s="1733"/>
      <c r="C1725" s="1733"/>
      <c r="D1725" s="1733"/>
      <c r="E1725" s="1733"/>
      <c r="F1725" s="1733"/>
      <c r="G1725" s="1733"/>
      <c r="H1725" s="1733"/>
      <c r="I1725" s="1733"/>
      <c r="J1725" s="1733"/>
    </row>
    <row r="1726" spans="1:12" ht="15.75" customHeight="1">
      <c r="A1726" s="1778">
        <f>A1709+1</f>
        <v>82</v>
      </c>
      <c r="B1726" s="1805" t="s">
        <v>2609</v>
      </c>
      <c r="C1726" s="1872" t="s">
        <v>2614</v>
      </c>
      <c r="D1726" s="1873"/>
      <c r="E1726" s="1874"/>
      <c r="F1726" s="1875"/>
      <c r="G1726" s="1875"/>
      <c r="H1726" s="2020"/>
      <c r="I1726" s="2020"/>
      <c r="J1726" s="2021"/>
    </row>
    <row r="1727" spans="1:12" ht="15.75" customHeight="1">
      <c r="A1727" s="1780"/>
      <c r="B1727" s="1739" t="s">
        <v>1004</v>
      </c>
      <c r="C1727" s="1877" t="s">
        <v>2067</v>
      </c>
      <c r="D1727" s="390"/>
      <c r="E1727" s="413"/>
      <c r="F1727" s="320"/>
      <c r="G1727" s="320"/>
      <c r="H1727" s="318"/>
      <c r="I1727" s="318"/>
      <c r="J1727" s="69"/>
    </row>
    <row r="1728" spans="1:12" ht="15.75" customHeight="1">
      <c r="A1728" s="1780"/>
      <c r="B1728" s="1739"/>
      <c r="C1728" s="1878" t="s">
        <v>2103</v>
      </c>
      <c r="D1728" s="1841">
        <v>0.7</v>
      </c>
      <c r="E1728" s="413" t="s">
        <v>2069</v>
      </c>
      <c r="F1728" s="1747">
        <f>'Bahan &amp; Upah'!C$336</f>
        <v>96332.65</v>
      </c>
      <c r="G1728" s="361">
        <f>F1728*D1728</f>
        <v>67432.854999999996</v>
      </c>
      <c r="H1728" s="1749">
        <v>1</v>
      </c>
      <c r="I1728" s="1793">
        <f>(G1728/G$1739)*H1728</f>
        <v>0.2177055269729595</v>
      </c>
      <c r="J1728" s="1750"/>
    </row>
    <row r="1729" spans="1:10" ht="15.75" customHeight="1">
      <c r="A1729" s="1780"/>
      <c r="B1729" s="1739"/>
      <c r="C1729" s="1878" t="s">
        <v>2124</v>
      </c>
      <c r="D1729" s="1841">
        <v>0.35</v>
      </c>
      <c r="E1729" s="413" t="s">
        <v>2069</v>
      </c>
      <c r="F1729" s="1883">
        <f>'Bahan &amp; Upah'!C$337</f>
        <v>114133.55</v>
      </c>
      <c r="G1729" s="361">
        <f>F1729*D1729</f>
        <v>39946.7425</v>
      </c>
      <c r="H1729" s="1749">
        <v>1</v>
      </c>
      <c r="I1729" s="1793">
        <f>(G1729/G$1739)*H1729</f>
        <v>0.12896720191982999</v>
      </c>
      <c r="J1729" s="1750"/>
    </row>
    <row r="1730" spans="1:10" ht="15.75" customHeight="1">
      <c r="A1730" s="1780"/>
      <c r="B1730" s="1739"/>
      <c r="C1730" s="1878" t="s">
        <v>2072</v>
      </c>
      <c r="D1730" s="1841">
        <v>3.5000000000000003E-2</v>
      </c>
      <c r="E1730" s="413" t="s">
        <v>2069</v>
      </c>
      <c r="F1730" s="1748">
        <f>'Bahan &amp; Upah'!C$338</f>
        <v>125485.75</v>
      </c>
      <c r="G1730" s="361">
        <f>F1730*D1730</f>
        <v>4392.0012500000003</v>
      </c>
      <c r="H1730" s="1749">
        <v>1</v>
      </c>
      <c r="I1730" s="1793">
        <f>(G1730/G$1739)*H1730</f>
        <v>1.4179481894947899E-2</v>
      </c>
      <c r="J1730" s="1750"/>
    </row>
    <row r="1731" spans="1:10" ht="15.75" customHeight="1">
      <c r="A1731" s="1780"/>
      <c r="B1731" s="1739"/>
      <c r="C1731" s="1878" t="s">
        <v>2107</v>
      </c>
      <c r="D1731" s="1841">
        <v>3.5000000000000003E-2</v>
      </c>
      <c r="E1731" s="413" t="s">
        <v>2069</v>
      </c>
      <c r="F1731" s="1883">
        <f>'Bahan &amp; Upah'!C$339</f>
        <v>102689.88</v>
      </c>
      <c r="G1731" s="1785">
        <f>F1731*D1731</f>
        <v>3594.1458000000007</v>
      </c>
      <c r="H1731" s="1749">
        <v>1</v>
      </c>
      <c r="I1731" s="1795">
        <f>(G1731/G$1739)*H1731</f>
        <v>1.1603622676314821E-2</v>
      </c>
      <c r="J1731" s="1783"/>
    </row>
    <row r="1732" spans="1:10" ht="15.75" customHeight="1">
      <c r="A1732" s="1780"/>
      <c r="B1732" s="1739"/>
      <c r="C1732" s="1889" t="s">
        <v>2108</v>
      </c>
      <c r="D1732" s="1841"/>
      <c r="E1732" s="413"/>
      <c r="F1732" s="320"/>
      <c r="G1732" s="361">
        <f>SUM(G1728:G1731)</f>
        <v>115365.74455</v>
      </c>
      <c r="H1732" s="1782"/>
      <c r="I1732" s="1910">
        <f>SUM(I1728:I1731)</f>
        <v>0.3724558334640522</v>
      </c>
      <c r="J1732" s="1783"/>
    </row>
    <row r="1733" spans="1:10" ht="15.75" customHeight="1">
      <c r="A1733" s="1780"/>
      <c r="B1733" s="1739" t="s">
        <v>1015</v>
      </c>
      <c r="C1733" s="1877" t="s">
        <v>2075</v>
      </c>
      <c r="D1733" s="1841"/>
      <c r="E1733" s="2026"/>
      <c r="F1733" s="317"/>
      <c r="G1733" s="320"/>
      <c r="H1733" s="1782"/>
      <c r="I1733" s="1782"/>
      <c r="J1733" s="1783"/>
    </row>
    <row r="1734" spans="1:10" ht="15.75" customHeight="1">
      <c r="A1734" s="1780"/>
      <c r="B1734" s="1739"/>
      <c r="C1734" s="1878" t="s">
        <v>2615</v>
      </c>
      <c r="D1734" s="1841">
        <v>1.05</v>
      </c>
      <c r="E1734" s="413" t="s">
        <v>89</v>
      </c>
      <c r="F1734" s="1747">
        <f>'Bahan &amp; Upah'!C165</f>
        <v>149644.29</v>
      </c>
      <c r="G1734" s="361">
        <f>F1734*D1734</f>
        <v>157126.50450000001</v>
      </c>
      <c r="H1734" s="1838">
        <v>0.84709999999999996</v>
      </c>
      <c r="I1734" s="1793">
        <f>(G1734/G$1739)*H1734</f>
        <v>0.42971650836240644</v>
      </c>
      <c r="J1734" s="1783"/>
    </row>
    <row r="1735" spans="1:10" ht="15.75" customHeight="1">
      <c r="A1735" s="1780"/>
      <c r="B1735" s="1739"/>
      <c r="C1735" s="1878" t="s">
        <v>2080</v>
      </c>
      <c r="D1735" s="1841">
        <v>8.19</v>
      </c>
      <c r="E1735" s="413" t="s">
        <v>100</v>
      </c>
      <c r="F1735" s="1747">
        <f>'Bahan &amp; Upah'!C$27</f>
        <v>1792.44</v>
      </c>
      <c r="G1735" s="361">
        <f>F1735*D1735</f>
        <v>14680.0836</v>
      </c>
      <c r="H1735" s="1838">
        <v>0.91900000000000004</v>
      </c>
      <c r="I1735" s="1793">
        <f>(G1735/G$1739)*H1735</f>
        <v>4.3555394086715556E-2</v>
      </c>
      <c r="J1735" s="1783"/>
    </row>
    <row r="1736" spans="1:10" ht="15.75" customHeight="1">
      <c r="A1736" s="1780"/>
      <c r="B1736" s="1739"/>
      <c r="C1736" s="1878" t="s">
        <v>2081</v>
      </c>
      <c r="D1736" s="1841">
        <v>4.4999999999999998E-2</v>
      </c>
      <c r="E1736" s="413" t="s">
        <v>103</v>
      </c>
      <c r="F1736" s="1747">
        <f>'Bahan &amp; Upah'!C$11</f>
        <v>362812.55</v>
      </c>
      <c r="G1736" s="361">
        <f>F1736*D1736</f>
        <v>16326.56475</v>
      </c>
      <c r="H1736" s="1838">
        <v>1</v>
      </c>
      <c r="I1736" s="1793">
        <f>(G1736/G$1739)*H1736</f>
        <v>5.2709964342409869E-2</v>
      </c>
      <c r="J1736" s="1783"/>
    </row>
    <row r="1737" spans="1:10" ht="15.75" customHeight="1">
      <c r="A1737" s="1780"/>
      <c r="B1737" s="1784"/>
      <c r="C1737" s="1878" t="s">
        <v>2613</v>
      </c>
      <c r="D1737" s="1841">
        <v>0.5</v>
      </c>
      <c r="E1737" s="413" t="s">
        <v>100</v>
      </c>
      <c r="F1737" s="1747">
        <f>'Bahan &amp; Upah'!C$28</f>
        <v>12489.05</v>
      </c>
      <c r="G1737" s="1785">
        <f>F1737*D1737</f>
        <v>6244.5249999999996</v>
      </c>
      <c r="H1737" s="1838">
        <v>0.91900000000000004</v>
      </c>
      <c r="I1737" s="1795">
        <f>(G1737/G$1739)*H1737</f>
        <v>1.8527329589549984E-2</v>
      </c>
      <c r="J1737" s="1783"/>
    </row>
    <row r="1738" spans="1:10" ht="15.75" customHeight="1">
      <c r="A1738" s="1780"/>
      <c r="B1738" s="1784"/>
      <c r="C1738" s="1878"/>
      <c r="D1738" s="1841"/>
      <c r="E1738" s="413"/>
      <c r="F1738" s="320"/>
      <c r="G1738" s="361">
        <f>SUM(G1734:G1737)</f>
        <v>194377.67785000001</v>
      </c>
      <c r="H1738" s="1782"/>
      <c r="I1738" s="1910">
        <f>SUM(I1734:I1737)</f>
        <v>0.54450919638108175</v>
      </c>
      <c r="J1738" s="1783"/>
    </row>
    <row r="1739" spans="1:10" ht="15.75" customHeight="1">
      <c r="A1739" s="1780"/>
      <c r="B1739" s="1784"/>
      <c r="C1739" s="1804" t="s">
        <v>2298</v>
      </c>
      <c r="D1739" s="1763"/>
      <c r="E1739" s="1764"/>
      <c r="F1739" s="1765"/>
      <c r="G1739" s="1765">
        <f>G1732+G1738</f>
        <v>309743.42240000004</v>
      </c>
      <c r="H1739" s="1782"/>
      <c r="I1739" s="1782"/>
      <c r="J1739" s="1783"/>
    </row>
    <row r="1740" spans="1:10" ht="15.75" customHeight="1">
      <c r="A1740" s="1780"/>
      <c r="B1740" s="1784"/>
      <c r="C1740" s="1762" t="s">
        <v>2094</v>
      </c>
      <c r="D1740" s="1767">
        <f>M$4</f>
        <v>0.15</v>
      </c>
      <c r="E1740" s="1768"/>
      <c r="F1740" s="1765"/>
      <c r="G1740" s="1765">
        <f>G1739*D1740</f>
        <v>46461.513360000004</v>
      </c>
      <c r="H1740" s="1782"/>
      <c r="I1740" s="1782"/>
      <c r="J1740" s="1783"/>
    </row>
    <row r="1741" spans="1:10" ht="15.75" customHeight="1">
      <c r="A1741" s="1786"/>
      <c r="B1741" s="1890"/>
      <c r="C1741" s="1788" t="s">
        <v>2111</v>
      </c>
      <c r="D1741" s="1772"/>
      <c r="E1741" s="1773"/>
      <c r="F1741" s="1774"/>
      <c r="G1741" s="1998">
        <f>ROUNDUP((G1739+G1740),2)</f>
        <v>356204.94</v>
      </c>
      <c r="H1741" s="2010"/>
      <c r="I1741" s="1894">
        <f>I1732+I1738</f>
        <v>0.91696502984513395</v>
      </c>
      <c r="J1741" s="1893"/>
    </row>
    <row r="1742" spans="1:10" ht="15.75" customHeight="1">
      <c r="A1742" s="1733"/>
      <c r="B1742" s="1733"/>
      <c r="C1742" s="1733"/>
      <c r="D1742" s="1733"/>
      <c r="E1742" s="1733"/>
      <c r="F1742" s="1733"/>
      <c r="G1742" s="1733"/>
      <c r="H1742" s="1733"/>
      <c r="I1742" s="1733"/>
      <c r="J1742" s="1733"/>
    </row>
    <row r="1743" spans="1:10" ht="15.75" customHeight="1">
      <c r="A1743" s="1778">
        <f>A1726+1</f>
        <v>83</v>
      </c>
      <c r="B1743" s="1805" t="s">
        <v>2616</v>
      </c>
      <c r="C1743" s="1872" t="s">
        <v>2617</v>
      </c>
      <c r="D1743" s="1873"/>
      <c r="E1743" s="1874"/>
      <c r="F1743" s="1875"/>
      <c r="G1743" s="1875"/>
      <c r="H1743" s="1800"/>
      <c r="I1743" s="1800"/>
      <c r="J1743" s="1801"/>
    </row>
    <row r="1744" spans="1:10" ht="15.75" customHeight="1">
      <c r="A1744" s="1780"/>
      <c r="B1744" s="1739" t="s">
        <v>1004</v>
      </c>
      <c r="C1744" s="1877" t="s">
        <v>2067</v>
      </c>
      <c r="D1744" s="390"/>
      <c r="E1744" s="413"/>
      <c r="F1744" s="320"/>
      <c r="G1744" s="320"/>
      <c r="H1744" s="1802"/>
      <c r="I1744" s="1802"/>
      <c r="J1744" s="1803"/>
    </row>
    <row r="1745" spans="1:10" ht="15.75" customHeight="1">
      <c r="A1745" s="1780"/>
      <c r="B1745" s="1739"/>
      <c r="C1745" s="1878" t="s">
        <v>2103</v>
      </c>
      <c r="D1745" s="1841">
        <v>0.7</v>
      </c>
      <c r="E1745" s="413" t="s">
        <v>2069</v>
      </c>
      <c r="F1745" s="1747">
        <f>'Bahan &amp; Upah'!C$336</f>
        <v>96332.65</v>
      </c>
      <c r="G1745" s="361">
        <f>F1745*D1745</f>
        <v>67432.854999999996</v>
      </c>
      <c r="H1745" s="1980">
        <v>1</v>
      </c>
      <c r="I1745" s="1980">
        <f>(G1745/G$1756)*H1745</f>
        <v>0.22515654157291204</v>
      </c>
      <c r="J1745" s="1981"/>
    </row>
    <row r="1746" spans="1:10" ht="15.75" customHeight="1">
      <c r="A1746" s="1780"/>
      <c r="B1746" s="1739"/>
      <c r="C1746" s="1878" t="s">
        <v>2124</v>
      </c>
      <c r="D1746" s="1841">
        <v>0.35</v>
      </c>
      <c r="E1746" s="413" t="s">
        <v>2069</v>
      </c>
      <c r="F1746" s="1883">
        <f>'Bahan &amp; Upah'!C$337</f>
        <v>114133.55</v>
      </c>
      <c r="G1746" s="361">
        <f>F1746*D1746</f>
        <v>39946.7425</v>
      </c>
      <c r="H1746" s="1980">
        <v>1</v>
      </c>
      <c r="I1746" s="1980">
        <f>(G1746/G$1756)*H1746</f>
        <v>0.13338112984247313</v>
      </c>
      <c r="J1746" s="1981"/>
    </row>
    <row r="1747" spans="1:10" ht="15.75" customHeight="1">
      <c r="A1747" s="1780"/>
      <c r="B1747" s="1739"/>
      <c r="C1747" s="1878" t="s">
        <v>2072</v>
      </c>
      <c r="D1747" s="1841">
        <v>3.5000000000000003E-2</v>
      </c>
      <c r="E1747" s="413" t="s">
        <v>2069</v>
      </c>
      <c r="F1747" s="1748">
        <f>'Bahan &amp; Upah'!C$338</f>
        <v>125485.75</v>
      </c>
      <c r="G1747" s="361">
        <f>F1747*D1747</f>
        <v>4392.0012500000003</v>
      </c>
      <c r="H1747" s="1980">
        <v>1</v>
      </c>
      <c r="I1747" s="1980">
        <f>(G1747/G$1756)*H1747</f>
        <v>1.4664777459502594E-2</v>
      </c>
      <c r="J1747" s="1981"/>
    </row>
    <row r="1748" spans="1:10" ht="15.75" customHeight="1">
      <c r="A1748" s="1780"/>
      <c r="B1748" s="1739"/>
      <c r="C1748" s="1878" t="s">
        <v>2107</v>
      </c>
      <c r="D1748" s="1841">
        <v>1.17E-2</v>
      </c>
      <c r="E1748" s="413" t="s">
        <v>2069</v>
      </c>
      <c r="F1748" s="1883">
        <f>'Bahan &amp; Upah'!C$339</f>
        <v>102689.88</v>
      </c>
      <c r="G1748" s="1785">
        <f>F1748*D1748</f>
        <v>1201.4715960000001</v>
      </c>
      <c r="H1748" s="1980">
        <v>1</v>
      </c>
      <c r="I1748" s="1982">
        <f>(G1748/G$1756)*H1748</f>
        <v>4.0116822779259018E-3</v>
      </c>
      <c r="J1748" s="1981"/>
    </row>
    <row r="1749" spans="1:10" ht="15.75" customHeight="1">
      <c r="A1749" s="1780"/>
      <c r="B1749" s="1739"/>
      <c r="C1749" s="1889" t="s">
        <v>2108</v>
      </c>
      <c r="D1749" s="1841"/>
      <c r="E1749" s="413"/>
      <c r="F1749" s="320"/>
      <c r="G1749" s="361">
        <f>SUM(G1745:G1748)</f>
        <v>112973.07034600001</v>
      </c>
      <c r="H1749" s="1980"/>
      <c r="I1749" s="1983">
        <f>SUM(I1745:I1748)</f>
        <v>0.37721413115281371</v>
      </c>
      <c r="J1749" s="1981"/>
    </row>
    <row r="1750" spans="1:10" ht="15.75" customHeight="1">
      <c r="A1750" s="1780"/>
      <c r="B1750" s="1739" t="s">
        <v>1015</v>
      </c>
      <c r="C1750" s="1877" t="s">
        <v>2075</v>
      </c>
      <c r="D1750" s="1841"/>
      <c r="E1750" s="413"/>
      <c r="F1750" s="317"/>
      <c r="G1750" s="320"/>
      <c r="H1750" s="1980"/>
      <c r="I1750" s="1980"/>
      <c r="J1750" s="1981"/>
    </row>
    <row r="1751" spans="1:10" ht="15.75" customHeight="1">
      <c r="A1751" s="1780"/>
      <c r="B1751" s="1739"/>
      <c r="C1751" s="1878" t="s">
        <v>2618</v>
      </c>
      <c r="D1751" s="1841">
        <v>1.1000000000000001</v>
      </c>
      <c r="E1751" s="413" t="s">
        <v>89</v>
      </c>
      <c r="F1751" s="1747">
        <f>'Bahan &amp; Upah'!C$166</f>
        <v>121414.62</v>
      </c>
      <c r="G1751" s="361">
        <f>F1751*D1751</f>
        <v>133556.08199999999</v>
      </c>
      <c r="H1751" s="1980">
        <v>0.70689999999999997</v>
      </c>
      <c r="I1751" s="1980">
        <f>(G1751/G$1756)*H1751</f>
        <v>0.31523517648118116</v>
      </c>
      <c r="J1751" s="1981"/>
    </row>
    <row r="1752" spans="1:10" ht="15.75" customHeight="1">
      <c r="A1752" s="1780"/>
      <c r="B1752" s="1739"/>
      <c r="C1752" s="1878" t="s">
        <v>2080</v>
      </c>
      <c r="D1752" s="1841">
        <v>13.632</v>
      </c>
      <c r="E1752" s="413" t="s">
        <v>100</v>
      </c>
      <c r="F1752" s="1747">
        <f>'Bahan &amp; Upah'!C$27</f>
        <v>1792.44</v>
      </c>
      <c r="G1752" s="361">
        <f>F1752*D1752</f>
        <v>24434.542079999999</v>
      </c>
      <c r="H1752" s="1980">
        <f>H1718</f>
        <v>0.91900000000000004</v>
      </c>
      <c r="I1752" s="1980">
        <f>(G1752/G$1756)*H1752</f>
        <v>7.4977807679785929E-2</v>
      </c>
      <c r="J1752" s="1981"/>
    </row>
    <row r="1753" spans="1:10" ht="15.75" customHeight="1">
      <c r="A1753" s="1780"/>
      <c r="B1753" s="1739"/>
      <c r="C1753" s="1878" t="s">
        <v>2081</v>
      </c>
      <c r="D1753" s="1841">
        <v>2.7E-2</v>
      </c>
      <c r="E1753" s="413" t="s">
        <v>103</v>
      </c>
      <c r="F1753" s="1747">
        <f>'Bahan &amp; Upah'!C$11</f>
        <v>362812.55</v>
      </c>
      <c r="G1753" s="361">
        <f>F1753*D1753</f>
        <v>9795.9388500000005</v>
      </c>
      <c r="H1753" s="1980">
        <v>1</v>
      </c>
      <c r="I1753" s="1980">
        <f>(G1753/G$1756)*H1753</f>
        <v>3.2708383960989483E-2</v>
      </c>
      <c r="J1753" s="1981"/>
    </row>
    <row r="1754" spans="1:10" ht="15.75" customHeight="1">
      <c r="A1754" s="1780"/>
      <c r="B1754" s="1784"/>
      <c r="C1754" s="1878" t="s">
        <v>2613</v>
      </c>
      <c r="D1754" s="1841">
        <v>1.5</v>
      </c>
      <c r="E1754" s="413" t="s">
        <v>100</v>
      </c>
      <c r="F1754" s="1747">
        <f>'Bahan &amp; Upah'!C$28</f>
        <v>12489.05</v>
      </c>
      <c r="G1754" s="1785">
        <f>F1754*D1754</f>
        <v>18733.574999999997</v>
      </c>
      <c r="H1754" s="1980">
        <f>H1720</f>
        <v>0.91900000000000004</v>
      </c>
      <c r="I1754" s="1980">
        <f>(G1754/G$1756)*H1754</f>
        <v>5.7484293297009707E-2</v>
      </c>
      <c r="J1754" s="1981"/>
    </row>
    <row r="1755" spans="1:10" ht="15.75" customHeight="1">
      <c r="A1755" s="1780"/>
      <c r="B1755" s="1784"/>
      <c r="C1755" s="1878"/>
      <c r="D1755" s="1841"/>
      <c r="E1755" s="413"/>
      <c r="F1755" s="320"/>
      <c r="G1755" s="361">
        <f>SUM(G1751:G1754)</f>
        <v>186520.13792999997</v>
      </c>
      <c r="H1755" s="1980"/>
      <c r="I1755" s="1983">
        <f>SUM(I1751:I1754)</f>
        <v>0.48040566141896623</v>
      </c>
      <c r="J1755" s="1981"/>
    </row>
    <row r="1756" spans="1:10" ht="15.75" customHeight="1">
      <c r="A1756" s="1780"/>
      <c r="B1756" s="1784"/>
      <c r="C1756" s="1804" t="s">
        <v>2298</v>
      </c>
      <c r="D1756" s="1763"/>
      <c r="E1756" s="1764"/>
      <c r="F1756" s="1765"/>
      <c r="G1756" s="1765">
        <f>G1749+G1755</f>
        <v>299493.20827599999</v>
      </c>
      <c r="H1756" s="1980"/>
      <c r="I1756" s="1984">
        <f>I1749+I1755</f>
        <v>0.85761979257177989</v>
      </c>
      <c r="J1756" s="1981"/>
    </row>
    <row r="1757" spans="1:10" ht="15.75" customHeight="1">
      <c r="A1757" s="1780"/>
      <c r="B1757" s="1784"/>
      <c r="C1757" s="1762" t="s">
        <v>2094</v>
      </c>
      <c r="D1757" s="1767">
        <f>M$4</f>
        <v>0.15</v>
      </c>
      <c r="E1757" s="1768"/>
      <c r="F1757" s="1765"/>
      <c r="G1757" s="1765">
        <f>G1756*D1757</f>
        <v>44923.981241399997</v>
      </c>
      <c r="H1757" s="1980"/>
      <c r="I1757" s="1980"/>
      <c r="J1757" s="1981"/>
    </row>
    <row r="1758" spans="1:10" ht="15.75" customHeight="1">
      <c r="A1758" s="1786"/>
      <c r="B1758" s="1890"/>
      <c r="C1758" s="1788" t="s">
        <v>2111</v>
      </c>
      <c r="D1758" s="1772"/>
      <c r="E1758" s="1773"/>
      <c r="F1758" s="1774"/>
      <c r="G1758" s="1998">
        <f>ROUNDUP((G1756+G1757),2)</f>
        <v>344417.19</v>
      </c>
      <c r="H1758" s="1985"/>
      <c r="I1758" s="1985"/>
      <c r="J1758" s="1986"/>
    </row>
    <row r="1759" spans="1:10" ht="15.75" customHeight="1">
      <c r="A1759" s="1733"/>
      <c r="B1759" s="1733"/>
      <c r="C1759" s="1733"/>
      <c r="D1759" s="1733"/>
      <c r="E1759" s="1733"/>
      <c r="F1759" s="1733"/>
      <c r="G1759" s="1733"/>
      <c r="H1759" s="1733"/>
      <c r="I1759" s="1733"/>
      <c r="J1759" s="1733"/>
    </row>
    <row r="1760" spans="1:10" ht="15.75" customHeight="1">
      <c r="A1760" s="1778">
        <f>A1743+1</f>
        <v>84</v>
      </c>
      <c r="B1760" s="1805" t="s">
        <v>2619</v>
      </c>
      <c r="C1760" s="1872" t="s">
        <v>2620</v>
      </c>
      <c r="D1760" s="1873"/>
      <c r="E1760" s="1874"/>
      <c r="F1760" s="1875"/>
      <c r="G1760" s="1875"/>
      <c r="H1760" s="1800"/>
      <c r="I1760" s="1800"/>
      <c r="J1760" s="1801"/>
    </row>
    <row r="1761" spans="1:10" ht="15.75" customHeight="1">
      <c r="A1761" s="1780"/>
      <c r="B1761" s="1739" t="s">
        <v>1004</v>
      </c>
      <c r="C1761" s="1877" t="s">
        <v>2067</v>
      </c>
      <c r="D1761" s="390"/>
      <c r="E1761" s="413"/>
      <c r="F1761" s="320"/>
      <c r="G1761" s="320"/>
      <c r="H1761" s="1802"/>
      <c r="I1761" s="1802"/>
      <c r="J1761" s="1803"/>
    </row>
    <row r="1762" spans="1:10" ht="15.75" customHeight="1">
      <c r="A1762" s="1780"/>
      <c r="B1762" s="1739"/>
      <c r="C1762" s="1878" t="s">
        <v>2103</v>
      </c>
      <c r="D1762" s="1841">
        <v>0.7</v>
      </c>
      <c r="E1762" s="413" t="s">
        <v>2069</v>
      </c>
      <c r="F1762" s="1747">
        <f>'Bahan &amp; Upah'!C$336</f>
        <v>96332.65</v>
      </c>
      <c r="G1762" s="361">
        <f>F1762*D1762</f>
        <v>67432.854999999996</v>
      </c>
      <c r="H1762" s="1980">
        <v>1</v>
      </c>
      <c r="I1762" s="1980">
        <f>(G1762/G$1773)*H1762</f>
        <v>0.16048275298785983</v>
      </c>
      <c r="J1762" s="1981"/>
    </row>
    <row r="1763" spans="1:10" ht="15.75" customHeight="1">
      <c r="A1763" s="1780"/>
      <c r="B1763" s="1739"/>
      <c r="C1763" s="1878" t="s">
        <v>2124</v>
      </c>
      <c r="D1763" s="1841">
        <v>0.35</v>
      </c>
      <c r="E1763" s="413" t="s">
        <v>2069</v>
      </c>
      <c r="F1763" s="1883">
        <f>'Bahan &amp; Upah'!C$337</f>
        <v>114133.55</v>
      </c>
      <c r="G1763" s="361">
        <f>F1763*D1763</f>
        <v>39946.7425</v>
      </c>
      <c r="H1763" s="1980">
        <v>1</v>
      </c>
      <c r="I1763" s="1980">
        <f>(G1763/G$1773)*H1763</f>
        <v>9.5068838614309634E-2</v>
      </c>
      <c r="J1763" s="1981"/>
    </row>
    <row r="1764" spans="1:10" ht="15.75" customHeight="1">
      <c r="A1764" s="1780"/>
      <c r="B1764" s="1739"/>
      <c r="C1764" s="1878" t="s">
        <v>2072</v>
      </c>
      <c r="D1764" s="1841">
        <v>3.5000000000000003E-2</v>
      </c>
      <c r="E1764" s="413" t="s">
        <v>2069</v>
      </c>
      <c r="F1764" s="1748">
        <f>'Bahan &amp; Upah'!C$338</f>
        <v>125485.75</v>
      </c>
      <c r="G1764" s="361">
        <f>F1764*D1764</f>
        <v>4392.0012500000003</v>
      </c>
      <c r="H1764" s="1980">
        <v>1</v>
      </c>
      <c r="I1764" s="1980">
        <f>(G1764/G$1773)*H1764</f>
        <v>1.045247827229207E-2</v>
      </c>
      <c r="J1764" s="1981"/>
    </row>
    <row r="1765" spans="1:10" ht="15.75" customHeight="1">
      <c r="A1765" s="1780"/>
      <c r="B1765" s="1739"/>
      <c r="C1765" s="1878" t="s">
        <v>2107</v>
      </c>
      <c r="D1765" s="1841">
        <v>1.17E-2</v>
      </c>
      <c r="E1765" s="413" t="s">
        <v>2069</v>
      </c>
      <c r="F1765" s="1883">
        <f>'Bahan &amp; Upah'!C$339</f>
        <v>102689.88</v>
      </c>
      <c r="G1765" s="1785">
        <f>F1765*D1765</f>
        <v>1201.4715960000001</v>
      </c>
      <c r="H1765" s="1980">
        <v>1</v>
      </c>
      <c r="I1765" s="1982">
        <f>(G1765/G$1773)*H1765</f>
        <v>2.8593698036780101E-3</v>
      </c>
      <c r="J1765" s="1981"/>
    </row>
    <row r="1766" spans="1:10" ht="15.75" customHeight="1">
      <c r="A1766" s="1780"/>
      <c r="B1766" s="1739"/>
      <c r="C1766" s="1889" t="s">
        <v>2108</v>
      </c>
      <c r="D1766" s="1841"/>
      <c r="E1766" s="413"/>
      <c r="F1766" s="320"/>
      <c r="G1766" s="361">
        <f>SUM(G1762:G1765)</f>
        <v>112973.07034600001</v>
      </c>
      <c r="H1766" s="1980"/>
      <c r="I1766" s="1983">
        <f>SUM(I1762:I1765)</f>
        <v>0.26886343967813953</v>
      </c>
      <c r="J1766" s="1981"/>
    </row>
    <row r="1767" spans="1:10" ht="15.75" customHeight="1">
      <c r="A1767" s="1780"/>
      <c r="B1767" s="1739" t="s">
        <v>1015</v>
      </c>
      <c r="C1767" s="1877" t="s">
        <v>2075</v>
      </c>
      <c r="D1767" s="1841"/>
      <c r="E1767" s="413"/>
      <c r="F1767" s="317"/>
      <c r="G1767" s="320"/>
      <c r="H1767" s="1980"/>
      <c r="I1767" s="1980"/>
      <c r="J1767" s="1981"/>
    </row>
    <row r="1768" spans="1:10" ht="15.75" customHeight="1">
      <c r="A1768" s="1780"/>
      <c r="B1768" s="1739"/>
      <c r="C1768" s="1878" t="s">
        <v>2621</v>
      </c>
      <c r="D1768" s="1841">
        <v>1.1000000000000001</v>
      </c>
      <c r="E1768" s="413" t="s">
        <v>89</v>
      </c>
      <c r="F1768" s="1747">
        <f>'Bahan &amp; Upah'!C167</f>
        <v>231136.75</v>
      </c>
      <c r="G1768" s="361">
        <f>F1768*D1768</f>
        <v>254250.42500000002</v>
      </c>
      <c r="H1768" s="1980">
        <v>0.70689999999999997</v>
      </c>
      <c r="I1768" s="1980">
        <f>(G1768/G$1773)*H1768</f>
        <v>0.4277366735085511</v>
      </c>
      <c r="J1768" s="1981"/>
    </row>
    <row r="1769" spans="1:10" ht="15.75" customHeight="1">
      <c r="A1769" s="1780"/>
      <c r="B1769" s="1739"/>
      <c r="C1769" s="1878" t="s">
        <v>2080</v>
      </c>
      <c r="D1769" s="1841">
        <v>13.632</v>
      </c>
      <c r="E1769" s="413" t="s">
        <v>100</v>
      </c>
      <c r="F1769" s="1747">
        <f>'Bahan &amp; Upah'!C$27</f>
        <v>1792.44</v>
      </c>
      <c r="G1769" s="361">
        <f>F1769*D1769</f>
        <v>24434.542079999999</v>
      </c>
      <c r="H1769" s="1980">
        <f>H1735</f>
        <v>0.91900000000000004</v>
      </c>
      <c r="I1769" s="1980">
        <f>(G1769/G$1773)*H1769</f>
        <v>5.3441240949021397E-2</v>
      </c>
      <c r="J1769" s="1981"/>
    </row>
    <row r="1770" spans="1:10" ht="15.75" customHeight="1">
      <c r="A1770" s="1780"/>
      <c r="B1770" s="1739"/>
      <c r="C1770" s="1878" t="s">
        <v>2081</v>
      </c>
      <c r="D1770" s="1841">
        <v>2.7E-2</v>
      </c>
      <c r="E1770" s="413" t="s">
        <v>103</v>
      </c>
      <c r="F1770" s="1747">
        <f>'Bahan &amp; Upah'!C$11</f>
        <v>362812.55</v>
      </c>
      <c r="G1770" s="361">
        <f>F1770*D1770</f>
        <v>9795.9388500000005</v>
      </c>
      <c r="H1770" s="1980">
        <v>1</v>
      </c>
      <c r="I1770" s="1980">
        <f>(G1770/G$1773)*H1770</f>
        <v>2.331325337995447E-2</v>
      </c>
      <c r="J1770" s="1981"/>
    </row>
    <row r="1771" spans="1:10" ht="15.75" customHeight="1">
      <c r="A1771" s="1780"/>
      <c r="B1771" s="1784"/>
      <c r="C1771" s="1878" t="s">
        <v>2613</v>
      </c>
      <c r="D1771" s="1841">
        <v>1.5</v>
      </c>
      <c r="E1771" s="413" t="s">
        <v>100</v>
      </c>
      <c r="F1771" s="1747">
        <f>'Bahan &amp; Upah'!C$28</f>
        <v>12489.05</v>
      </c>
      <c r="G1771" s="1785">
        <f>F1771*D1771</f>
        <v>18733.574999999997</v>
      </c>
      <c r="H1771" s="1980">
        <f>H1737</f>
        <v>0.91900000000000004</v>
      </c>
      <c r="I1771" s="1982">
        <f>(G1771/G$1773)*H1771</f>
        <v>4.0972549930903525E-2</v>
      </c>
      <c r="J1771" s="1981"/>
    </row>
    <row r="1772" spans="1:10" ht="15.75" customHeight="1">
      <c r="A1772" s="1780"/>
      <c r="B1772" s="1784"/>
      <c r="C1772" s="1878"/>
      <c r="D1772" s="1841"/>
      <c r="E1772" s="413"/>
      <c r="F1772" s="320"/>
      <c r="G1772" s="361">
        <f>SUM(G1768:G1771)</f>
        <v>307214.48093000002</v>
      </c>
      <c r="H1772" s="1980"/>
      <c r="I1772" s="1983">
        <f>SUM(I1768:I1771)</f>
        <v>0.5454637177684305</v>
      </c>
      <c r="J1772" s="1981"/>
    </row>
    <row r="1773" spans="1:10" ht="15.75" customHeight="1">
      <c r="A1773" s="1780"/>
      <c r="B1773" s="1784"/>
      <c r="C1773" s="1804" t="s">
        <v>2298</v>
      </c>
      <c r="D1773" s="1763"/>
      <c r="E1773" s="1764"/>
      <c r="F1773" s="1765"/>
      <c r="G1773" s="1765">
        <f>G1766+G1772</f>
        <v>420187.55127600004</v>
      </c>
      <c r="H1773" s="1980"/>
      <c r="I1773" s="1984">
        <f>I1766+I1772</f>
        <v>0.81432715744657003</v>
      </c>
      <c r="J1773" s="1981"/>
    </row>
    <row r="1774" spans="1:10" ht="15.75" customHeight="1">
      <c r="A1774" s="1780"/>
      <c r="B1774" s="1784"/>
      <c r="C1774" s="1762" t="s">
        <v>2094</v>
      </c>
      <c r="D1774" s="1767">
        <f>M$4</f>
        <v>0.15</v>
      </c>
      <c r="E1774" s="1768"/>
      <c r="F1774" s="1765"/>
      <c r="G1774" s="1765">
        <f>G1773*D1774</f>
        <v>63028.132691400002</v>
      </c>
      <c r="H1774" s="1980"/>
      <c r="I1774" s="1980"/>
      <c r="J1774" s="1981"/>
    </row>
    <row r="1775" spans="1:10" ht="15.75" customHeight="1">
      <c r="A1775" s="1786"/>
      <c r="B1775" s="1890"/>
      <c r="C1775" s="1788" t="s">
        <v>2111</v>
      </c>
      <c r="D1775" s="1772"/>
      <c r="E1775" s="1773"/>
      <c r="F1775" s="1774"/>
      <c r="G1775" s="1998">
        <f>ROUNDUP((G1773+G1774),2)</f>
        <v>483215.69</v>
      </c>
      <c r="H1775" s="1985"/>
      <c r="I1775" s="1985"/>
      <c r="J1775" s="1986"/>
    </row>
    <row r="1776" spans="1:10" ht="15.75" customHeight="1">
      <c r="A1776" s="1733"/>
      <c r="B1776" s="1733"/>
      <c r="C1776" s="1733"/>
      <c r="D1776" s="1733"/>
      <c r="E1776" s="1733"/>
      <c r="F1776" s="1733"/>
      <c r="G1776" s="1733"/>
      <c r="H1776" s="1733"/>
      <c r="I1776" s="1733"/>
      <c r="J1776" s="1733"/>
    </row>
    <row r="1777" spans="1:10" ht="15.75" customHeight="1">
      <c r="A1777" s="1778">
        <f>A1760+1</f>
        <v>85</v>
      </c>
      <c r="B1777" s="1805" t="s">
        <v>2622</v>
      </c>
      <c r="C1777" s="1872" t="s">
        <v>2623</v>
      </c>
      <c r="D1777" s="1873"/>
      <c r="E1777" s="1874"/>
      <c r="F1777" s="1875"/>
      <c r="G1777" s="1875"/>
      <c r="H1777" s="1800"/>
      <c r="I1777" s="1800"/>
      <c r="J1777" s="1801"/>
    </row>
    <row r="1778" spans="1:10" ht="15.75" customHeight="1">
      <c r="A1778" s="1780"/>
      <c r="B1778" s="1739" t="s">
        <v>1004</v>
      </c>
      <c r="C1778" s="1877" t="s">
        <v>2067</v>
      </c>
      <c r="D1778" s="390"/>
      <c r="E1778" s="413"/>
      <c r="F1778" s="320"/>
      <c r="G1778" s="320"/>
      <c r="H1778" s="1802"/>
      <c r="I1778" s="1802"/>
      <c r="J1778" s="1803"/>
    </row>
    <row r="1779" spans="1:10" ht="15.75" customHeight="1">
      <c r="A1779" s="1780"/>
      <c r="B1779" s="1739"/>
      <c r="C1779" s="1878" t="s">
        <v>2103</v>
      </c>
      <c r="D1779" s="1841">
        <v>7.1400000000000005E-2</v>
      </c>
      <c r="E1779" s="413" t="s">
        <v>2069</v>
      </c>
      <c r="F1779" s="1747">
        <f>'Bahan &amp; Upah'!C$336</f>
        <v>96332.65</v>
      </c>
      <c r="G1779" s="361">
        <f>F1779*D1779</f>
        <v>6878.15121</v>
      </c>
      <c r="H1779" s="1980">
        <v>1</v>
      </c>
      <c r="I1779" s="1980">
        <f>(G1779/G$1790)*H1779</f>
        <v>7.3990681116813589E-2</v>
      </c>
      <c r="J1779" s="1981"/>
    </row>
    <row r="1780" spans="1:10" ht="15.75" customHeight="1">
      <c r="A1780" s="1780"/>
      <c r="B1780" s="1739"/>
      <c r="C1780" s="1878" t="s">
        <v>2124</v>
      </c>
      <c r="D1780" s="1841">
        <v>3.5700000000000003E-2</v>
      </c>
      <c r="E1780" s="413" t="s">
        <v>2069</v>
      </c>
      <c r="F1780" s="1883">
        <f>'Bahan &amp; Upah'!C$337</f>
        <v>114133.55</v>
      </c>
      <c r="G1780" s="361">
        <f>F1780*D1780</f>
        <v>4074.5677350000005</v>
      </c>
      <c r="H1780" s="1980">
        <v>1</v>
      </c>
      <c r="I1780" s="1980">
        <f>(G1780/G$1790)*H1780</f>
        <v>4.3831551933741573E-2</v>
      </c>
      <c r="J1780" s="1981"/>
    </row>
    <row r="1781" spans="1:10" ht="15.75" customHeight="1">
      <c r="A1781" s="1780"/>
      <c r="B1781" s="1739"/>
      <c r="C1781" s="1878" t="s">
        <v>2072</v>
      </c>
      <c r="D1781" s="1841">
        <v>3.5999999999999999E-3</v>
      </c>
      <c r="E1781" s="413" t="s">
        <v>2069</v>
      </c>
      <c r="F1781" s="1748">
        <f>'Bahan &amp; Upah'!C$338</f>
        <v>125485.75</v>
      </c>
      <c r="G1781" s="361">
        <f>F1781*D1781</f>
        <v>451.74869999999999</v>
      </c>
      <c r="H1781" s="1980">
        <v>1</v>
      </c>
      <c r="I1781" s="1980">
        <f>(G1781/G$1790)*H1781</f>
        <v>4.8596189566229506E-3</v>
      </c>
      <c r="J1781" s="1981"/>
    </row>
    <row r="1782" spans="1:10" ht="15.75" customHeight="1">
      <c r="A1782" s="1780"/>
      <c r="B1782" s="1739"/>
      <c r="C1782" s="1878" t="s">
        <v>2107</v>
      </c>
      <c r="D1782" s="1841">
        <v>1.1999999999999999E-3</v>
      </c>
      <c r="E1782" s="413" t="s">
        <v>2069</v>
      </c>
      <c r="F1782" s="1883">
        <f>'Bahan &amp; Upah'!C$339</f>
        <v>102689.88</v>
      </c>
      <c r="G1782" s="1785">
        <f>F1782*D1782</f>
        <v>123.22785599999999</v>
      </c>
      <c r="H1782" s="1980">
        <v>1</v>
      </c>
      <c r="I1782" s="1982">
        <f>(G1782/G$1790)*H1782</f>
        <v>1.3256051982033445E-3</v>
      </c>
      <c r="J1782" s="1981"/>
    </row>
    <row r="1783" spans="1:10" ht="15.75" customHeight="1">
      <c r="A1783" s="1780"/>
      <c r="B1783" s="1739"/>
      <c r="C1783" s="1889" t="s">
        <v>2108</v>
      </c>
      <c r="D1783" s="1841"/>
      <c r="E1783" s="413"/>
      <c r="F1783" s="320"/>
      <c r="G1783" s="361">
        <f>SUM(G1779:G1782)</f>
        <v>11527.695501</v>
      </c>
      <c r="H1783" s="1980"/>
      <c r="I1783" s="1983">
        <f>SUM(I1779:I1782)</f>
        <v>0.12400745720538148</v>
      </c>
      <c r="J1783" s="1981"/>
    </row>
    <row r="1784" spans="1:10" ht="15.75" customHeight="1">
      <c r="A1784" s="1780"/>
      <c r="B1784" s="1739" t="s">
        <v>1015</v>
      </c>
      <c r="C1784" s="1877" t="s">
        <v>2075</v>
      </c>
      <c r="D1784" s="1841"/>
      <c r="E1784" s="413"/>
      <c r="F1784" s="317"/>
      <c r="G1784" s="320"/>
      <c r="H1784" s="1980"/>
      <c r="I1784" s="1980"/>
      <c r="J1784" s="1981"/>
    </row>
    <row r="1785" spans="1:10" ht="15.75" customHeight="1">
      <c r="A1785" s="1780"/>
      <c r="B1785" s="1739"/>
      <c r="C1785" s="1878" t="s">
        <v>2624</v>
      </c>
      <c r="D1785" s="1841">
        <f>(1/6)*1.1*1.5</f>
        <v>0.27500000000000002</v>
      </c>
      <c r="E1785" s="413" t="s">
        <v>124</v>
      </c>
      <c r="F1785" s="1747">
        <f>'Bahan &amp; Upah'!C164/2.78</f>
        <v>272513.83093525178</v>
      </c>
      <c r="G1785" s="361">
        <f>F1785*D1785</f>
        <v>74941.303507194243</v>
      </c>
      <c r="H1785" s="1980">
        <v>0.70689999999999997</v>
      </c>
      <c r="I1785" s="1980">
        <f>(G1785/G$1790)*H1785</f>
        <v>0.56988146296050002</v>
      </c>
      <c r="J1785" s="1981"/>
    </row>
    <row r="1786" spans="1:10" ht="15.75" customHeight="1">
      <c r="A1786" s="1780"/>
      <c r="B1786" s="1739"/>
      <c r="C1786" s="1878" t="s">
        <v>2080</v>
      </c>
      <c r="D1786" s="1841">
        <v>1.704</v>
      </c>
      <c r="E1786" s="413" t="s">
        <v>100</v>
      </c>
      <c r="F1786" s="1747">
        <f>'Bahan &amp; Upah'!C$27</f>
        <v>1792.44</v>
      </c>
      <c r="G1786" s="361">
        <f>F1786*D1786</f>
        <v>3054.3177599999999</v>
      </c>
      <c r="H1786" s="1980">
        <v>0.91900000000000004</v>
      </c>
      <c r="I1786" s="1980">
        <f>(G1786/G$1790)*H1786</f>
        <v>3.0195000066799111E-2</v>
      </c>
      <c r="J1786" s="1981"/>
    </row>
    <row r="1787" spans="1:10" ht="15.75" customHeight="1">
      <c r="A1787" s="1780"/>
      <c r="B1787" s="1739"/>
      <c r="C1787" s="1878" t="s">
        <v>2081</v>
      </c>
      <c r="D1787" s="1841">
        <v>3.0000000000000001E-3</v>
      </c>
      <c r="E1787" s="413" t="s">
        <v>103</v>
      </c>
      <c r="F1787" s="1747">
        <f>'Bahan &amp; Upah'!C$11</f>
        <v>362812.55</v>
      </c>
      <c r="G1787" s="361">
        <f>F1787*D1787</f>
        <v>1088.4376500000001</v>
      </c>
      <c r="H1787" s="1980">
        <v>1</v>
      </c>
      <c r="I1787" s="1980">
        <f>(G1787/G$1790)*H1787</f>
        <v>1.1708704943793169E-2</v>
      </c>
      <c r="J1787" s="1981"/>
    </row>
    <row r="1788" spans="1:10" ht="15.75" customHeight="1">
      <c r="A1788" s="1780"/>
      <c r="B1788" s="1784"/>
      <c r="C1788" s="1878" t="s">
        <v>2613</v>
      </c>
      <c r="D1788" s="1841">
        <v>0.188</v>
      </c>
      <c r="E1788" s="413" t="s">
        <v>100</v>
      </c>
      <c r="F1788" s="1747">
        <f>'Bahan &amp; Upah'!C$28</f>
        <v>12489.05</v>
      </c>
      <c r="G1788" s="1785">
        <f>F1788*D1788</f>
        <v>2347.9413999999997</v>
      </c>
      <c r="H1788" s="1980">
        <v>0.91900000000000004</v>
      </c>
      <c r="I1788" s="1980">
        <f>(G1788/G$1790)*H1788</f>
        <v>2.3211759974129342E-2</v>
      </c>
      <c r="J1788" s="1981"/>
    </row>
    <row r="1789" spans="1:10" ht="15.75" customHeight="1">
      <c r="A1789" s="1780"/>
      <c r="B1789" s="1784"/>
      <c r="C1789" s="1878"/>
      <c r="D1789" s="1841"/>
      <c r="E1789" s="413"/>
      <c r="F1789" s="320"/>
      <c r="G1789" s="361">
        <f>SUM(G1785:G1788)</f>
        <v>81432.000317194252</v>
      </c>
      <c r="H1789" s="1980"/>
      <c r="I1789" s="1983">
        <f>SUM(I1785:I1788)</f>
        <v>0.63499692794522167</v>
      </c>
      <c r="J1789" s="1981"/>
    </row>
    <row r="1790" spans="1:10" ht="15.75" customHeight="1">
      <c r="A1790" s="1780"/>
      <c r="B1790" s="1784"/>
      <c r="C1790" s="1804" t="s">
        <v>2298</v>
      </c>
      <c r="D1790" s="1763"/>
      <c r="E1790" s="1764"/>
      <c r="F1790" s="1765"/>
      <c r="G1790" s="1765">
        <f>G1783+G1789</f>
        <v>92959.695818194246</v>
      </c>
      <c r="H1790" s="1980"/>
      <c r="I1790" s="1984">
        <f>I1783+I1789</f>
        <v>0.7590043851506032</v>
      </c>
      <c r="J1790" s="1981"/>
    </row>
    <row r="1791" spans="1:10" ht="15.75" customHeight="1">
      <c r="A1791" s="1780"/>
      <c r="B1791" s="1784"/>
      <c r="C1791" s="1762" t="s">
        <v>2094</v>
      </c>
      <c r="D1791" s="1767">
        <f>M$4</f>
        <v>0.15</v>
      </c>
      <c r="E1791" s="1768"/>
      <c r="F1791" s="1765"/>
      <c r="G1791" s="1765">
        <f>G1790*D1791</f>
        <v>13943.954372729137</v>
      </c>
      <c r="H1791" s="1980"/>
      <c r="I1791" s="1980"/>
      <c r="J1791" s="1981"/>
    </row>
    <row r="1792" spans="1:10" ht="15.75" customHeight="1">
      <c r="A1792" s="1786"/>
      <c r="B1792" s="1890"/>
      <c r="C1792" s="1788" t="s">
        <v>2111</v>
      </c>
      <c r="D1792" s="1772"/>
      <c r="E1792" s="1773"/>
      <c r="F1792" s="1774"/>
      <c r="G1792" s="1998">
        <f>ROUNDUP((G1790+G1791),2)</f>
        <v>106903.65999999999</v>
      </c>
      <c r="H1792" s="1985"/>
      <c r="I1792" s="1985"/>
      <c r="J1792" s="1986"/>
    </row>
    <row r="1793" spans="1:10" ht="15.75" customHeight="1">
      <c r="A1793" s="1733"/>
      <c r="B1793" s="1733"/>
      <c r="C1793" s="1733"/>
      <c r="D1793" s="1733"/>
      <c r="E1793" s="1733"/>
      <c r="F1793" s="1733"/>
      <c r="G1793" s="1733"/>
      <c r="H1793" s="1733"/>
      <c r="I1793" s="1733"/>
      <c r="J1793" s="1733"/>
    </row>
    <row r="1794" spans="1:10" ht="15.75" customHeight="1">
      <c r="A1794" s="1778">
        <f>A1777+1</f>
        <v>86</v>
      </c>
      <c r="B1794" s="1805" t="s">
        <v>2625</v>
      </c>
      <c r="C1794" s="1872" t="s">
        <v>2626</v>
      </c>
      <c r="D1794" s="1873"/>
      <c r="E1794" s="1874"/>
      <c r="F1794" s="1875"/>
      <c r="G1794" s="1875"/>
      <c r="H1794" s="1800"/>
      <c r="I1794" s="1800"/>
      <c r="J1794" s="1801"/>
    </row>
    <row r="1795" spans="1:10" ht="15.75" customHeight="1">
      <c r="A1795" s="1780"/>
      <c r="B1795" s="1739" t="s">
        <v>1004</v>
      </c>
      <c r="C1795" s="1877" t="s">
        <v>2067</v>
      </c>
      <c r="D1795" s="390"/>
      <c r="E1795" s="413"/>
      <c r="F1795" s="320"/>
      <c r="G1795" s="320"/>
      <c r="H1795" s="1802"/>
      <c r="I1795" s="1802"/>
      <c r="J1795" s="1803"/>
    </row>
    <row r="1796" spans="1:10" ht="15.75" customHeight="1">
      <c r="A1796" s="1780"/>
      <c r="B1796" s="1739"/>
      <c r="C1796" s="1878" t="s">
        <v>2103</v>
      </c>
      <c r="D1796" s="1841">
        <v>6.6699999999999995E-2</v>
      </c>
      <c r="E1796" s="413" t="s">
        <v>2069</v>
      </c>
      <c r="F1796" s="1747">
        <f>'Bahan &amp; Upah'!C$336</f>
        <v>96332.65</v>
      </c>
      <c r="G1796" s="361">
        <f>F1796*D1796</f>
        <v>6425.3877549999988</v>
      </c>
      <c r="H1796" s="1980">
        <v>1</v>
      </c>
      <c r="I1796" s="1980">
        <f>(G1796/G$1807)*H1796</f>
        <v>0.20998409681885888</v>
      </c>
      <c r="J1796" s="1981"/>
    </row>
    <row r="1797" spans="1:10" ht="15.75" customHeight="1">
      <c r="A1797" s="1780"/>
      <c r="B1797" s="1739"/>
      <c r="C1797" s="1878" t="s">
        <v>2124</v>
      </c>
      <c r="D1797" s="1841">
        <v>3.3300000000000003E-2</v>
      </c>
      <c r="E1797" s="413" t="s">
        <v>2069</v>
      </c>
      <c r="F1797" s="1883">
        <f>'Bahan &amp; Upah'!C$337</f>
        <v>114133.55</v>
      </c>
      <c r="G1797" s="361">
        <f>F1797*D1797</f>
        <v>3800.6472150000004</v>
      </c>
      <c r="H1797" s="1980">
        <v>1</v>
      </c>
      <c r="I1797" s="1980">
        <f>(G1797/G$1807)*H1797</f>
        <v>0.12420658537655625</v>
      </c>
      <c r="J1797" s="1981"/>
    </row>
    <row r="1798" spans="1:10" ht="15.75" customHeight="1">
      <c r="A1798" s="1780"/>
      <c r="B1798" s="1739"/>
      <c r="C1798" s="1878" t="s">
        <v>2072</v>
      </c>
      <c r="D1798" s="1841">
        <v>3.3E-3</v>
      </c>
      <c r="E1798" s="413" t="s">
        <v>2069</v>
      </c>
      <c r="F1798" s="1748">
        <f>'Bahan &amp; Upah'!C$338</f>
        <v>125485.75</v>
      </c>
      <c r="G1798" s="361">
        <f>F1798*D1798</f>
        <v>414.10297500000001</v>
      </c>
      <c r="H1798" s="1980">
        <v>1</v>
      </c>
      <c r="I1798" s="1980">
        <f>(G1798/G$1807)*H1798</f>
        <v>1.3533041508306219E-2</v>
      </c>
      <c r="J1798" s="1981"/>
    </row>
    <row r="1799" spans="1:10" ht="15.75" customHeight="1">
      <c r="A1799" s="1780"/>
      <c r="B1799" s="1739"/>
      <c r="C1799" s="1878" t="s">
        <v>2107</v>
      </c>
      <c r="D1799" s="1841">
        <v>1.1000000000000001E-3</v>
      </c>
      <c r="E1799" s="413" t="s">
        <v>2069</v>
      </c>
      <c r="F1799" s="1883">
        <f>'Bahan &amp; Upah'!C$339</f>
        <v>102689.88</v>
      </c>
      <c r="G1799" s="1785">
        <f>F1799*D1799</f>
        <v>112.95886800000001</v>
      </c>
      <c r="H1799" s="1980">
        <v>1</v>
      </c>
      <c r="I1799" s="1982">
        <f>(G1799/G$1807)*H1799</f>
        <v>3.6915384376924199E-3</v>
      </c>
      <c r="J1799" s="1981"/>
    </row>
    <row r="1800" spans="1:10" ht="15.75" customHeight="1">
      <c r="A1800" s="1780"/>
      <c r="B1800" s="1739"/>
      <c r="C1800" s="1889" t="s">
        <v>2108</v>
      </c>
      <c r="D1800" s="1841"/>
      <c r="E1800" s="413"/>
      <c r="F1800" s="320"/>
      <c r="G1800" s="361">
        <f>SUM(G1796:G1799)</f>
        <v>10753.096812999998</v>
      </c>
      <c r="H1800" s="1980"/>
      <c r="I1800" s="1983">
        <f>SUM(I1796:I1799)</f>
        <v>0.35141526214141378</v>
      </c>
      <c r="J1800" s="1981"/>
    </row>
    <row r="1801" spans="1:10" ht="15.75" customHeight="1">
      <c r="A1801" s="1780"/>
      <c r="B1801" s="1739" t="s">
        <v>1015</v>
      </c>
      <c r="C1801" s="1877" t="s">
        <v>2075</v>
      </c>
      <c r="D1801" s="1841"/>
      <c r="E1801" s="413"/>
      <c r="F1801" s="317"/>
      <c r="G1801" s="320"/>
      <c r="H1801" s="1980"/>
      <c r="I1801" s="1980"/>
      <c r="J1801" s="1981"/>
    </row>
    <row r="1802" spans="1:10" ht="15.75" customHeight="1">
      <c r="A1802" s="1780"/>
      <c r="B1802" s="1739"/>
      <c r="C1802" s="1878" t="s">
        <v>2627</v>
      </c>
      <c r="D1802" s="1841">
        <f>(1/4)*1.1*2.5</f>
        <v>0.6875</v>
      </c>
      <c r="E1802" s="413" t="s">
        <v>124</v>
      </c>
      <c r="F1802" s="1747">
        <f>'Bahan &amp; Upah'!C$166/6.25</f>
        <v>19426.339199999999</v>
      </c>
      <c r="G1802" s="361">
        <f>F1802*D1802</f>
        <v>13355.608199999999</v>
      </c>
      <c r="H1802" s="1980">
        <v>0.70689999999999997</v>
      </c>
      <c r="I1802" s="1980">
        <f>(G1802/G$1807)*H1802</f>
        <v>0.30853803911564126</v>
      </c>
      <c r="J1802" s="1981"/>
    </row>
    <row r="1803" spans="1:10" ht="15.75" customHeight="1">
      <c r="A1803" s="1780"/>
      <c r="B1803" s="1739"/>
      <c r="C1803" s="1878" t="s">
        <v>2080</v>
      </c>
      <c r="D1803" s="1841">
        <v>1.704</v>
      </c>
      <c r="E1803" s="413" t="s">
        <v>100</v>
      </c>
      <c r="F1803" s="1747">
        <f>'Bahan &amp; Upah'!C$27</f>
        <v>1792.44</v>
      </c>
      <c r="G1803" s="361">
        <f>F1803*D1803</f>
        <v>3054.3177599999999</v>
      </c>
      <c r="H1803" s="1980">
        <f>H1718</f>
        <v>0.91900000000000004</v>
      </c>
      <c r="I1803" s="1980">
        <f>(G1803/G$1807)*H1803</f>
        <v>9.1731140290794308E-2</v>
      </c>
      <c r="J1803" s="1981"/>
    </row>
    <row r="1804" spans="1:10" ht="15.75" customHeight="1">
      <c r="A1804" s="1780"/>
      <c r="B1804" s="1739"/>
      <c r="C1804" s="1878" t="s">
        <v>2081</v>
      </c>
      <c r="D1804" s="1841">
        <v>3.0000000000000001E-3</v>
      </c>
      <c r="E1804" s="413" t="s">
        <v>103</v>
      </c>
      <c r="F1804" s="1747">
        <f>'Bahan &amp; Upah'!C$11</f>
        <v>362812.55</v>
      </c>
      <c r="G1804" s="361">
        <f>F1804*D1804</f>
        <v>1088.4376500000001</v>
      </c>
      <c r="H1804" s="1980">
        <v>1</v>
      </c>
      <c r="I1804" s="1980">
        <f>(G1804/G$1807)*H1804</f>
        <v>3.5570553185842915E-2</v>
      </c>
      <c r="J1804" s="1981"/>
    </row>
    <row r="1805" spans="1:10" ht="15.75" customHeight="1">
      <c r="A1805" s="1780"/>
      <c r="B1805" s="1784"/>
      <c r="C1805" s="1878" t="s">
        <v>2613</v>
      </c>
      <c r="D1805" s="1841">
        <v>0.188</v>
      </c>
      <c r="E1805" s="413" t="s">
        <v>100</v>
      </c>
      <c r="F1805" s="1747">
        <f>'Bahan &amp; Upah'!C$28</f>
        <v>12489.05</v>
      </c>
      <c r="G1805" s="1785">
        <f>F1805*D1805</f>
        <v>2347.9413999999997</v>
      </c>
      <c r="H1805" s="1980">
        <f>H1720</f>
        <v>0.91900000000000004</v>
      </c>
      <c r="I1805" s="1982">
        <f>(G1805/G$1807)*H1805</f>
        <v>7.0516350583628859E-2</v>
      </c>
      <c r="J1805" s="1981"/>
    </row>
    <row r="1806" spans="1:10" ht="15.75" customHeight="1">
      <c r="A1806" s="1780"/>
      <c r="B1806" s="1784"/>
      <c r="C1806" s="1878"/>
      <c r="D1806" s="1841"/>
      <c r="E1806" s="413"/>
      <c r="F1806" s="320"/>
      <c r="G1806" s="361">
        <f>SUM(G1802:G1805)</f>
        <v>19846.30501</v>
      </c>
      <c r="H1806" s="1980"/>
      <c r="I1806" s="1983">
        <f>SUM(I1802:I1805)</f>
        <v>0.5063560831759073</v>
      </c>
      <c r="J1806" s="1981"/>
    </row>
    <row r="1807" spans="1:10" ht="15.75" customHeight="1">
      <c r="A1807" s="1780"/>
      <c r="B1807" s="1784"/>
      <c r="C1807" s="1804" t="s">
        <v>2298</v>
      </c>
      <c r="D1807" s="1763"/>
      <c r="E1807" s="1764"/>
      <c r="F1807" s="1765"/>
      <c r="G1807" s="1765">
        <f>G1800+G1806</f>
        <v>30599.401823</v>
      </c>
      <c r="H1807" s="1980"/>
      <c r="I1807" s="1984">
        <f>I1800+I1806</f>
        <v>0.85777134531732102</v>
      </c>
      <c r="J1807" s="1981"/>
    </row>
    <row r="1808" spans="1:10" ht="15.75" customHeight="1">
      <c r="A1808" s="1780"/>
      <c r="B1808" s="1784"/>
      <c r="C1808" s="1762" t="s">
        <v>2094</v>
      </c>
      <c r="D1808" s="1767">
        <f>M$4</f>
        <v>0.15</v>
      </c>
      <c r="E1808" s="1768"/>
      <c r="F1808" s="1765"/>
      <c r="G1808" s="1765">
        <f>G1807*D1808</f>
        <v>4589.9102734500002</v>
      </c>
      <c r="H1808" s="1980"/>
      <c r="I1808" s="1980"/>
      <c r="J1808" s="1981"/>
    </row>
    <row r="1809" spans="1:10" ht="15.75" customHeight="1">
      <c r="A1809" s="1786"/>
      <c r="B1809" s="1890"/>
      <c r="C1809" s="1788" t="s">
        <v>2111</v>
      </c>
      <c r="D1809" s="1772"/>
      <c r="E1809" s="1773"/>
      <c r="F1809" s="1774"/>
      <c r="G1809" s="1998">
        <f>ROUNDUP((G1807+G1808),2)</f>
        <v>35189.32</v>
      </c>
      <c r="H1809" s="1985"/>
      <c r="I1809" s="1985"/>
      <c r="J1809" s="1986"/>
    </row>
    <row r="1810" spans="1:10" ht="15.75" customHeight="1">
      <c r="A1810" s="1733"/>
      <c r="B1810" s="1733"/>
      <c r="C1810" s="1733"/>
      <c r="D1810" s="1733"/>
      <c r="E1810" s="1733"/>
      <c r="F1810" s="1733"/>
      <c r="G1810" s="1733"/>
      <c r="H1810" s="1733"/>
      <c r="I1810" s="1733"/>
      <c r="J1810" s="1733"/>
    </row>
    <row r="1811" spans="1:10" ht="15.75" customHeight="1">
      <c r="A1811" s="1778">
        <f>A1794+1</f>
        <v>87</v>
      </c>
      <c r="B1811" s="1805" t="s">
        <v>2628</v>
      </c>
      <c r="C1811" s="1872" t="s">
        <v>2629</v>
      </c>
      <c r="D1811" s="1873"/>
      <c r="E1811" s="1874"/>
      <c r="F1811" s="1875"/>
      <c r="G1811" s="1875"/>
      <c r="H1811" s="1800"/>
      <c r="I1811" s="1800"/>
      <c r="J1811" s="1801"/>
    </row>
    <row r="1812" spans="1:10" ht="15.75" customHeight="1">
      <c r="A1812" s="1780"/>
      <c r="B1812" s="1739" t="s">
        <v>1004</v>
      </c>
      <c r="C1812" s="1877" t="s">
        <v>2067</v>
      </c>
      <c r="D1812" s="390"/>
      <c r="E1812" s="413"/>
      <c r="F1812" s="320"/>
      <c r="G1812" s="320"/>
      <c r="H1812" s="1802"/>
      <c r="I1812" s="1802"/>
      <c r="J1812" s="1803"/>
    </row>
    <row r="1813" spans="1:10" ht="15.75" customHeight="1">
      <c r="A1813" s="1780"/>
      <c r="B1813" s="1739"/>
      <c r="C1813" s="1878" t="s">
        <v>2103</v>
      </c>
      <c r="D1813" s="1841">
        <v>0.4</v>
      </c>
      <c r="E1813" s="413" t="s">
        <v>2069</v>
      </c>
      <c r="F1813" s="1747">
        <f>'Bahan &amp; Upah'!C$336</f>
        <v>96332.65</v>
      </c>
      <c r="G1813" s="361">
        <f>F1813*D1813</f>
        <v>38533.06</v>
      </c>
      <c r="H1813" s="1980">
        <v>1</v>
      </c>
      <c r="I1813" s="1980">
        <f>(G1813/G$1824)*H1813</f>
        <v>0.11157630748282987</v>
      </c>
      <c r="J1813" s="1981"/>
    </row>
    <row r="1814" spans="1:10" ht="15.75" customHeight="1">
      <c r="A1814" s="1780"/>
      <c r="B1814" s="1739"/>
      <c r="C1814" s="1878" t="s">
        <v>2124</v>
      </c>
      <c r="D1814" s="1841">
        <v>0.2</v>
      </c>
      <c r="E1814" s="413" t="s">
        <v>2069</v>
      </c>
      <c r="F1814" s="1883">
        <f>'Bahan &amp; Upah'!C$337</f>
        <v>114133.55</v>
      </c>
      <c r="G1814" s="361">
        <f>F1814*D1814</f>
        <v>22826.710000000003</v>
      </c>
      <c r="H1814" s="1980">
        <v>1</v>
      </c>
      <c r="I1814" s="1980">
        <f>(G1814/G$1824)*H1814</f>
        <v>6.6097009004252139E-2</v>
      </c>
      <c r="J1814" s="1981"/>
    </row>
    <row r="1815" spans="1:10" ht="15.75" customHeight="1">
      <c r="A1815" s="1780"/>
      <c r="B1815" s="1739"/>
      <c r="C1815" s="1878" t="s">
        <v>2072</v>
      </c>
      <c r="D1815" s="1841">
        <v>0.02</v>
      </c>
      <c r="E1815" s="413" t="s">
        <v>2069</v>
      </c>
      <c r="F1815" s="1748">
        <f>'Bahan &amp; Upah'!C$338</f>
        <v>125485.75</v>
      </c>
      <c r="G1815" s="361">
        <f>F1815*D1815</f>
        <v>2509.7150000000001</v>
      </c>
      <c r="H1815" s="1980">
        <v>1</v>
      </c>
      <c r="I1815" s="1980">
        <f>(G1815/G$1824)*H1815</f>
        <v>7.2671293827759956E-3</v>
      </c>
      <c r="J1815" s="1981"/>
    </row>
    <row r="1816" spans="1:10" ht="15.75" customHeight="1">
      <c r="A1816" s="1780"/>
      <c r="B1816" s="1739"/>
      <c r="C1816" s="1878" t="s">
        <v>2107</v>
      </c>
      <c r="D1816" s="1841">
        <v>7.0000000000000001E-3</v>
      </c>
      <c r="E1816" s="413" t="s">
        <v>2069</v>
      </c>
      <c r="F1816" s="1883">
        <f>'Bahan &amp; Upah'!C$339</f>
        <v>102689.88</v>
      </c>
      <c r="G1816" s="1785">
        <f>F1816*D1816</f>
        <v>718.82916</v>
      </c>
      <c r="H1816" s="1980">
        <v>1</v>
      </c>
      <c r="I1816" s="1982">
        <f>(G1816/G$1824)*H1816</f>
        <v>2.0814413229518838E-3</v>
      </c>
      <c r="J1816" s="1981"/>
    </row>
    <row r="1817" spans="1:10" ht="15.75" customHeight="1">
      <c r="A1817" s="1780"/>
      <c r="B1817" s="1739"/>
      <c r="C1817" s="1889" t="s">
        <v>2108</v>
      </c>
      <c r="D1817" s="1841"/>
      <c r="E1817" s="413"/>
      <c r="F1817" s="320"/>
      <c r="G1817" s="361">
        <f>SUM(G1813:G1816)</f>
        <v>64588.314160000002</v>
      </c>
      <c r="H1817" s="1980"/>
      <c r="I1817" s="1983">
        <f>SUM(I1813:I1816)</f>
        <v>0.18702188719280988</v>
      </c>
      <c r="J1817" s="1981"/>
    </row>
    <row r="1818" spans="1:10" ht="15.75" customHeight="1">
      <c r="A1818" s="1780"/>
      <c r="B1818" s="1739" t="s">
        <v>1015</v>
      </c>
      <c r="C1818" s="1877" t="s">
        <v>2075</v>
      </c>
      <c r="D1818" s="1841"/>
      <c r="E1818" s="413"/>
      <c r="F1818" s="317"/>
      <c r="G1818" s="320"/>
      <c r="H1818" s="1980"/>
      <c r="I1818" s="1980"/>
      <c r="J1818" s="1981"/>
    </row>
    <row r="1819" spans="1:10" ht="15.75" customHeight="1">
      <c r="A1819" s="1780"/>
      <c r="B1819" s="1739"/>
      <c r="C1819" s="1878" t="s">
        <v>2630</v>
      </c>
      <c r="D1819" s="1841">
        <v>1.1000000000000001</v>
      </c>
      <c r="E1819" s="413" t="s">
        <v>89</v>
      </c>
      <c r="F1819" s="1747">
        <f>'Bahan &amp; Upah'!C168</f>
        <v>212122.04</v>
      </c>
      <c r="G1819" s="361">
        <f>F1819*D1819</f>
        <v>233334.24400000004</v>
      </c>
      <c r="H1819" s="1980">
        <v>0.70689999999999997</v>
      </c>
      <c r="I1819" s="1980">
        <f>(G1819/G$1824)*H1819</f>
        <v>0.47761168992342162</v>
      </c>
      <c r="J1819" s="1981"/>
    </row>
    <row r="1820" spans="1:10" ht="15.75" customHeight="1">
      <c r="A1820" s="1780"/>
      <c r="B1820" s="1739"/>
      <c r="C1820" s="1878" t="s">
        <v>2080</v>
      </c>
      <c r="D1820" s="1841">
        <v>9.3000000000000007</v>
      </c>
      <c r="E1820" s="413" t="s">
        <v>100</v>
      </c>
      <c r="F1820" s="1747">
        <f>'Bahan &amp; Upah'!C$27</f>
        <v>1792.44</v>
      </c>
      <c r="G1820" s="361">
        <f>F1820*D1820</f>
        <v>16669.692000000003</v>
      </c>
      <c r="H1820" s="1980">
        <f>H1735</f>
        <v>0.91900000000000004</v>
      </c>
      <c r="I1820" s="1980">
        <f>(G1820/G$1824)*H1820</f>
        <v>4.4358982212597396E-2</v>
      </c>
      <c r="J1820" s="1981"/>
    </row>
    <row r="1821" spans="1:10" ht="15.75" customHeight="1">
      <c r="A1821" s="1780"/>
      <c r="B1821" s="1739"/>
      <c r="C1821" s="1878" t="s">
        <v>2081</v>
      </c>
      <c r="D1821" s="1841">
        <v>1.7999999999999999E-2</v>
      </c>
      <c r="E1821" s="413" t="s">
        <v>103</v>
      </c>
      <c r="F1821" s="1747">
        <f>'Bahan &amp; Upah'!C$11</f>
        <v>362812.55</v>
      </c>
      <c r="G1821" s="361">
        <f>F1821*D1821</f>
        <v>6530.6258999999991</v>
      </c>
      <c r="H1821" s="1980">
        <v>1</v>
      </c>
      <c r="I1821" s="1980">
        <f>(G1821/G$1824)*H1821</f>
        <v>1.8910076787925292E-2</v>
      </c>
      <c r="J1821" s="1981"/>
    </row>
    <row r="1822" spans="1:10" ht="15.75" customHeight="1">
      <c r="A1822" s="1780"/>
      <c r="B1822" s="1784"/>
      <c r="C1822" s="1878" t="s">
        <v>2613</v>
      </c>
      <c r="D1822" s="1841">
        <v>1.94</v>
      </c>
      <c r="E1822" s="413" t="s">
        <v>100</v>
      </c>
      <c r="F1822" s="1747">
        <f>'Bahan &amp; Upah'!C$28</f>
        <v>12489.05</v>
      </c>
      <c r="G1822" s="1785">
        <f>F1822*D1822</f>
        <v>24228.756999999998</v>
      </c>
      <c r="H1822" s="1980">
        <f>H1737</f>
        <v>0.91900000000000004</v>
      </c>
      <c r="I1822" s="1982">
        <f>(G1822/G$1824)*H1822</f>
        <v>6.4474076713375642E-2</v>
      </c>
      <c r="J1822" s="1981"/>
    </row>
    <row r="1823" spans="1:10" ht="15.75" customHeight="1">
      <c r="A1823" s="1780"/>
      <c r="B1823" s="1784"/>
      <c r="C1823" s="1878"/>
      <c r="D1823" s="1841"/>
      <c r="E1823" s="413"/>
      <c r="F1823" s="320"/>
      <c r="G1823" s="361">
        <f>SUM(G1819:G1822)</f>
        <v>280763.31890000001</v>
      </c>
      <c r="H1823" s="1980"/>
      <c r="I1823" s="1983">
        <f>SUM(I1819:I1822)</f>
        <v>0.60535482563732002</v>
      </c>
      <c r="J1823" s="1981"/>
    </row>
    <row r="1824" spans="1:10" ht="15.75" customHeight="1">
      <c r="A1824" s="1780"/>
      <c r="B1824" s="1784"/>
      <c r="C1824" s="1804" t="s">
        <v>2298</v>
      </c>
      <c r="D1824" s="1763"/>
      <c r="E1824" s="1764"/>
      <c r="F1824" s="1765"/>
      <c r="G1824" s="1765">
        <f>G1817+G1823</f>
        <v>345351.63306000002</v>
      </c>
      <c r="H1824" s="1980"/>
      <c r="I1824" s="1984">
        <f>I1817+I1823</f>
        <v>0.79237671283012989</v>
      </c>
      <c r="J1824" s="1981"/>
    </row>
    <row r="1825" spans="1:12" ht="15.75" customHeight="1">
      <c r="A1825" s="1780"/>
      <c r="B1825" s="1784"/>
      <c r="C1825" s="1762" t="s">
        <v>2094</v>
      </c>
      <c r="D1825" s="1767">
        <f>M$4</f>
        <v>0.15</v>
      </c>
      <c r="E1825" s="1768"/>
      <c r="F1825" s="1765"/>
      <c r="G1825" s="1765">
        <f>G1824*D1825</f>
        <v>51802.744959000003</v>
      </c>
      <c r="H1825" s="1980"/>
      <c r="I1825" s="1980"/>
      <c r="J1825" s="1981"/>
    </row>
    <row r="1826" spans="1:12" ht="15.75" customHeight="1">
      <c r="A1826" s="1786"/>
      <c r="B1826" s="1890"/>
      <c r="C1826" s="1788" t="s">
        <v>2111</v>
      </c>
      <c r="D1826" s="1772"/>
      <c r="E1826" s="1773"/>
      <c r="F1826" s="1774"/>
      <c r="G1826" s="1998">
        <f>ROUNDUP((G1824+G1825),2)</f>
        <v>397154.38</v>
      </c>
      <c r="H1826" s="1985"/>
      <c r="I1826" s="1985"/>
      <c r="J1826" s="1986"/>
    </row>
    <row r="1827" spans="1:12" ht="15.75" customHeight="1">
      <c r="A1827" s="1733"/>
      <c r="B1827" s="1733"/>
      <c r="C1827" s="1733"/>
      <c r="D1827" s="1733"/>
      <c r="E1827" s="1733"/>
      <c r="F1827" s="1733"/>
      <c r="G1827" s="1733"/>
      <c r="H1827" s="1733"/>
      <c r="I1827" s="1733"/>
      <c r="J1827" s="1733"/>
    </row>
    <row r="1828" spans="1:12" ht="15.75" customHeight="1">
      <c r="A1828" s="1778">
        <f>A1811+1</f>
        <v>88</v>
      </c>
      <c r="B1828" s="1805" t="s">
        <v>2631</v>
      </c>
      <c r="C1828" s="1939" t="s">
        <v>2632</v>
      </c>
      <c r="D1828" s="1873"/>
      <c r="E1828" s="1874"/>
      <c r="F1828" s="1875"/>
      <c r="G1828" s="1875"/>
      <c r="H1828" s="1800"/>
      <c r="I1828" s="1800"/>
      <c r="J1828" s="1801"/>
      <c r="L1828" s="944"/>
    </row>
    <row r="1829" spans="1:12" ht="15.75" customHeight="1">
      <c r="A1829" s="1780"/>
      <c r="B1829" s="1739" t="s">
        <v>1004</v>
      </c>
      <c r="C1829" s="1877" t="s">
        <v>2067</v>
      </c>
      <c r="D1829" s="390"/>
      <c r="E1829" s="413"/>
      <c r="F1829" s="320"/>
      <c r="G1829" s="320"/>
      <c r="H1829" s="1802"/>
      <c r="I1829" s="1802"/>
      <c r="J1829" s="1803"/>
      <c r="L1829" s="944"/>
    </row>
    <row r="1830" spans="1:12" ht="15.75" customHeight="1">
      <c r="A1830" s="1780"/>
      <c r="B1830" s="1739"/>
      <c r="C1830" s="1878" t="s">
        <v>2103</v>
      </c>
      <c r="D1830" s="1841">
        <v>0.7</v>
      </c>
      <c r="E1830" s="413" t="s">
        <v>2069</v>
      </c>
      <c r="F1830" s="1747">
        <f>'Bahan &amp; Upah'!C$336</f>
        <v>96332.65</v>
      </c>
      <c r="G1830" s="361">
        <f>F1830*D1830</f>
        <v>67432.854999999996</v>
      </c>
      <c r="H1830" s="1980">
        <v>1</v>
      </c>
      <c r="I1830" s="1980">
        <f>(G1830/G$1840)*H1830</f>
        <v>0.13918911349644789</v>
      </c>
      <c r="J1830" s="1981"/>
      <c r="L1830" s="944"/>
    </row>
    <row r="1831" spans="1:12" ht="15.75" customHeight="1">
      <c r="A1831" s="1780"/>
      <c r="B1831" s="1739"/>
      <c r="C1831" s="1878" t="s">
        <v>2124</v>
      </c>
      <c r="D1831" s="1841">
        <v>0.35</v>
      </c>
      <c r="E1831" s="413" t="s">
        <v>2069</v>
      </c>
      <c r="F1831" s="1883">
        <f>'Bahan &amp; Upah'!C$337</f>
        <v>114133.55</v>
      </c>
      <c r="G1831" s="361">
        <f>F1831*D1831</f>
        <v>39946.7425</v>
      </c>
      <c r="H1831" s="1980">
        <v>1</v>
      </c>
      <c r="I1831" s="1980">
        <f>(G1831/G$1840)*H1831</f>
        <v>8.2454638405060537E-2</v>
      </c>
      <c r="J1831" s="1981"/>
      <c r="L1831" s="944"/>
    </row>
    <row r="1832" spans="1:12" ht="15.75" customHeight="1">
      <c r="A1832" s="1780"/>
      <c r="B1832" s="1739"/>
      <c r="C1832" s="1878" t="s">
        <v>2072</v>
      </c>
      <c r="D1832" s="1841">
        <v>3.5000000000000003E-2</v>
      </c>
      <c r="E1832" s="413" t="s">
        <v>2069</v>
      </c>
      <c r="F1832" s="1748">
        <f>'Bahan &amp; Upah'!C$338</f>
        <v>125485.75</v>
      </c>
      <c r="G1832" s="361">
        <f>F1832*D1832</f>
        <v>4392.0012500000003</v>
      </c>
      <c r="H1832" s="1980">
        <v>1</v>
      </c>
      <c r="I1832" s="1980">
        <f>(G1832/G$1840)*H1832</f>
        <v>9.0655921429218904E-3</v>
      </c>
      <c r="J1832" s="1981"/>
      <c r="L1832" s="944"/>
    </row>
    <row r="1833" spans="1:12" ht="15.75" customHeight="1">
      <c r="A1833" s="1780"/>
      <c r="B1833" s="1739"/>
      <c r="C1833" s="1878" t="s">
        <v>2107</v>
      </c>
      <c r="D1833" s="1841">
        <v>3.5000000000000003E-2</v>
      </c>
      <c r="E1833" s="413" t="s">
        <v>2069</v>
      </c>
      <c r="F1833" s="1883">
        <f>'Bahan &amp; Upah'!C$339</f>
        <v>102689.88</v>
      </c>
      <c r="G1833" s="1785">
        <f>F1833*D1833</f>
        <v>3594.1458000000007</v>
      </c>
      <c r="H1833" s="1980">
        <v>1</v>
      </c>
      <c r="I1833" s="1982">
        <f>(G1833/G$1840)*H1833</f>
        <v>7.4187273796872703E-3</v>
      </c>
      <c r="J1833" s="1981"/>
      <c r="L1833" s="944"/>
    </row>
    <row r="1834" spans="1:12" ht="15.75" customHeight="1">
      <c r="A1834" s="1780"/>
      <c r="B1834" s="1739"/>
      <c r="C1834" s="1889" t="s">
        <v>2108</v>
      </c>
      <c r="D1834" s="1841"/>
      <c r="E1834" s="413"/>
      <c r="F1834" s="320"/>
      <c r="G1834" s="361">
        <f>SUM(G1830:G1833)</f>
        <v>115365.74455</v>
      </c>
      <c r="H1834" s="1980"/>
      <c r="I1834" s="1983">
        <f>SUM(I1830:I1833)</f>
        <v>0.23812807142411757</v>
      </c>
      <c r="J1834" s="1981"/>
      <c r="L1834" s="944"/>
    </row>
    <row r="1835" spans="1:12" ht="15.75" customHeight="1">
      <c r="A1835" s="1780"/>
      <c r="B1835" s="1739" t="s">
        <v>1015</v>
      </c>
      <c r="C1835" s="1877" t="s">
        <v>2075</v>
      </c>
      <c r="D1835" s="1841"/>
      <c r="E1835" s="1832"/>
      <c r="F1835" s="320"/>
      <c r="G1835" s="320"/>
      <c r="H1835" s="1980"/>
      <c r="I1835" s="1980"/>
      <c r="J1835" s="1981"/>
      <c r="L1835" s="944"/>
    </row>
    <row r="1836" spans="1:12" ht="15.75" customHeight="1">
      <c r="A1836" s="1780"/>
      <c r="B1836" s="1739"/>
      <c r="C1836" s="1878" t="s">
        <v>2633</v>
      </c>
      <c r="D1836" s="1841">
        <v>1.1000000000000001</v>
      </c>
      <c r="E1836" s="413" t="s">
        <v>89</v>
      </c>
      <c r="F1836" s="1883">
        <f>'Bahan &amp; Upah'!C170</f>
        <v>304858.15000000002</v>
      </c>
      <c r="G1836" s="332">
        <f>F1836*D1836</f>
        <v>335343.96500000003</v>
      </c>
      <c r="H1836" s="1980">
        <v>0.75839999999999996</v>
      </c>
      <c r="I1836" s="1980">
        <f>(G1836/G$1840)*H1836</f>
        <v>0.52495556103727403</v>
      </c>
      <c r="J1836" s="1981"/>
      <c r="L1836" s="2027" t="s">
        <v>2634</v>
      </c>
    </row>
    <row r="1837" spans="1:12" ht="15.75" customHeight="1">
      <c r="A1837" s="1780"/>
      <c r="B1837" s="1784"/>
      <c r="C1837" s="1878" t="s">
        <v>2080</v>
      </c>
      <c r="D1837" s="1841">
        <v>11.75</v>
      </c>
      <c r="E1837" s="413" t="s">
        <v>100</v>
      </c>
      <c r="F1837" s="1747">
        <f>'Bahan &amp; Upah'!C$27</f>
        <v>1792.44</v>
      </c>
      <c r="G1837" s="332">
        <f>F1837*D1837</f>
        <v>21061.170000000002</v>
      </c>
      <c r="H1837" s="1980">
        <f>H1820</f>
        <v>0.91900000000000004</v>
      </c>
      <c r="I1837" s="1980">
        <f>(G1837/G$1840)*H1837</f>
        <v>3.9951374584342413E-2</v>
      </c>
      <c r="J1837" s="1981"/>
      <c r="L1837" s="944"/>
    </row>
    <row r="1838" spans="1:12" ht="15.75" customHeight="1">
      <c r="A1838" s="1780"/>
      <c r="B1838" s="1784"/>
      <c r="C1838" s="1878" t="s">
        <v>2081</v>
      </c>
      <c r="D1838" s="1841">
        <v>3.5000000000000003E-2</v>
      </c>
      <c r="E1838" s="413" t="s">
        <v>103</v>
      </c>
      <c r="F1838" s="1747">
        <f>'Bahan &amp; Upah'!C$11</f>
        <v>362812.55</v>
      </c>
      <c r="G1838" s="1785">
        <f>F1838*D1838</f>
        <v>12698.439250000001</v>
      </c>
      <c r="H1838" s="1980">
        <f>H1821</f>
        <v>1</v>
      </c>
      <c r="I1838" s="1982">
        <f>(G1838/G$1840)*H1838</f>
        <v>2.6211028763293485E-2</v>
      </c>
      <c r="J1838" s="1981"/>
      <c r="L1838" s="944"/>
    </row>
    <row r="1839" spans="1:12" ht="15.75" customHeight="1">
      <c r="A1839" s="1780"/>
      <c r="B1839" s="1784"/>
      <c r="C1839" s="1878"/>
      <c r="D1839" s="1841"/>
      <c r="E1839" s="413"/>
      <c r="F1839" s="320"/>
      <c r="G1839" s="361">
        <f>SUM(G1836:G1838)</f>
        <v>369103.57425000001</v>
      </c>
      <c r="H1839" s="1980"/>
      <c r="I1839" s="1983">
        <f>SUM(I1836:I1838)</f>
        <v>0.59111796438490993</v>
      </c>
      <c r="J1839" s="1981"/>
      <c r="L1839" s="944"/>
    </row>
    <row r="1840" spans="1:12" ht="15.75" customHeight="1">
      <c r="A1840" s="1780"/>
      <c r="B1840" s="1784"/>
      <c r="C1840" s="1804" t="s">
        <v>2298</v>
      </c>
      <c r="D1840" s="1763"/>
      <c r="E1840" s="1764"/>
      <c r="F1840" s="1765"/>
      <c r="G1840" s="1765">
        <f>G1834+G1839</f>
        <v>484469.31880000001</v>
      </c>
      <c r="H1840" s="1980"/>
      <c r="I1840" s="1984">
        <f>I1834+I1839</f>
        <v>0.82924603580902745</v>
      </c>
      <c r="J1840" s="1981"/>
      <c r="L1840" s="944"/>
    </row>
    <row r="1841" spans="1:12" ht="15.75" customHeight="1">
      <c r="A1841" s="1780"/>
      <c r="B1841" s="1784"/>
      <c r="C1841" s="1762" t="s">
        <v>2094</v>
      </c>
      <c r="D1841" s="1767">
        <f>M$4</f>
        <v>0.15</v>
      </c>
      <c r="E1841" s="1768"/>
      <c r="F1841" s="1765"/>
      <c r="G1841" s="1765">
        <f>G1840*D1841</f>
        <v>72670.397819999998</v>
      </c>
      <c r="H1841" s="1980"/>
      <c r="I1841" s="1980"/>
      <c r="J1841" s="1981"/>
      <c r="L1841" s="944"/>
    </row>
    <row r="1842" spans="1:12" ht="15.75" customHeight="1">
      <c r="A1842" s="1786"/>
      <c r="B1842" s="1890"/>
      <c r="C1842" s="1788" t="s">
        <v>2111</v>
      </c>
      <c r="D1842" s="1772"/>
      <c r="E1842" s="1773"/>
      <c r="F1842" s="1774"/>
      <c r="G1842" s="1861">
        <f>ROUNDUP((G1840+G1841),2)</f>
        <v>557139.72</v>
      </c>
      <c r="H1842" s="1985"/>
      <c r="I1842" s="1985"/>
      <c r="J1842" s="1986"/>
      <c r="L1842" s="944"/>
    </row>
    <row r="1843" spans="1:12" ht="15.75" customHeight="1">
      <c r="A1843" s="1733"/>
      <c r="B1843" s="1733"/>
      <c r="C1843" s="1733"/>
      <c r="D1843" s="1733"/>
      <c r="E1843" s="1733"/>
      <c r="F1843" s="1733"/>
      <c r="G1843" s="1733"/>
      <c r="H1843" s="1733"/>
      <c r="I1843" s="1733"/>
      <c r="J1843" s="1733"/>
    </row>
    <row r="1844" spans="1:12" ht="15.75" customHeight="1">
      <c r="A1844" s="1778">
        <f>A1828+1</f>
        <v>89</v>
      </c>
      <c r="B1844" s="1805" t="s">
        <v>2635</v>
      </c>
      <c r="C1844" s="1939" t="s">
        <v>2636</v>
      </c>
      <c r="D1844" s="1873"/>
      <c r="E1844" s="1874"/>
      <c r="F1844" s="1875"/>
      <c r="G1844" s="1875"/>
      <c r="H1844" s="1800"/>
      <c r="I1844" s="1800"/>
      <c r="J1844" s="1801"/>
    </row>
    <row r="1845" spans="1:12" ht="15.75" customHeight="1">
      <c r="A1845" s="1780"/>
      <c r="B1845" s="1739" t="s">
        <v>1004</v>
      </c>
      <c r="C1845" s="1877" t="s">
        <v>2067</v>
      </c>
      <c r="D1845" s="390"/>
      <c r="E1845" s="413"/>
      <c r="F1845" s="320"/>
      <c r="G1845" s="320"/>
      <c r="H1845" s="1802"/>
      <c r="I1845" s="1802"/>
      <c r="J1845" s="1803"/>
    </row>
    <row r="1846" spans="1:12" ht="15.75" customHeight="1">
      <c r="A1846" s="1780"/>
      <c r="B1846" s="1739"/>
      <c r="C1846" s="1878" t="s">
        <v>2103</v>
      </c>
      <c r="D1846" s="1841">
        <v>0.7</v>
      </c>
      <c r="E1846" s="413" t="s">
        <v>2069</v>
      </c>
      <c r="F1846" s="1747">
        <f>'Bahan &amp; Upah'!C$336</f>
        <v>96332.65</v>
      </c>
      <c r="G1846" s="361">
        <f>F1846*D1846</f>
        <v>67432.854999999996</v>
      </c>
      <c r="H1846" s="1980">
        <v>1</v>
      </c>
      <c r="I1846" s="1980">
        <f>(G1846/G$1856)*H1846</f>
        <v>0.19539305993692152</v>
      </c>
      <c r="J1846" s="1981"/>
    </row>
    <row r="1847" spans="1:12" ht="15.75" customHeight="1">
      <c r="A1847" s="1780"/>
      <c r="B1847" s="1739"/>
      <c r="C1847" s="1878" t="s">
        <v>2124</v>
      </c>
      <c r="D1847" s="1841">
        <v>0.35</v>
      </c>
      <c r="E1847" s="413" t="s">
        <v>2069</v>
      </c>
      <c r="F1847" s="1883">
        <f>'Bahan &amp; Upah'!C$337</f>
        <v>114133.55</v>
      </c>
      <c r="G1847" s="361">
        <f>F1847*D1847</f>
        <v>39946.7425</v>
      </c>
      <c r="H1847" s="1980">
        <v>1</v>
      </c>
      <c r="I1847" s="1980">
        <f>(G1847/G$1856)*H1847</f>
        <v>0.11574945553747161</v>
      </c>
      <c r="J1847" s="1981"/>
    </row>
    <row r="1848" spans="1:12" ht="15.75" customHeight="1">
      <c r="A1848" s="1780"/>
      <c r="B1848" s="1739"/>
      <c r="C1848" s="1878" t="s">
        <v>2072</v>
      </c>
      <c r="D1848" s="1841">
        <v>3.5000000000000003E-2</v>
      </c>
      <c r="E1848" s="413" t="s">
        <v>2069</v>
      </c>
      <c r="F1848" s="1748">
        <f>'Bahan &amp; Upah'!C$338</f>
        <v>125485.75</v>
      </c>
      <c r="G1848" s="361">
        <f>F1848*D1848</f>
        <v>4392.0012500000003</v>
      </c>
      <c r="H1848" s="1980">
        <v>1</v>
      </c>
      <c r="I1848" s="1980">
        <f>(G1848/G$1856)*H1848</f>
        <v>1.2726238025726247E-2</v>
      </c>
      <c r="J1848" s="1981"/>
    </row>
    <row r="1849" spans="1:12" ht="15.75" customHeight="1">
      <c r="A1849" s="1780"/>
      <c r="B1849" s="1739"/>
      <c r="C1849" s="1878" t="s">
        <v>2107</v>
      </c>
      <c r="D1849" s="1841">
        <v>1.2E-2</v>
      </c>
      <c r="E1849" s="413" t="s">
        <v>2069</v>
      </c>
      <c r="F1849" s="1883">
        <f>'Bahan &amp; Upah'!C$339</f>
        <v>102689.88</v>
      </c>
      <c r="G1849" s="1785">
        <f>F1849*D1849</f>
        <v>1232.27856</v>
      </c>
      <c r="H1849" s="1980">
        <v>1</v>
      </c>
      <c r="I1849" s="1982">
        <f>(G1849/G$1856)*H1849</f>
        <v>3.5706433982820888E-3</v>
      </c>
      <c r="J1849" s="1981"/>
    </row>
    <row r="1850" spans="1:12" ht="15.75" customHeight="1">
      <c r="A1850" s="1780"/>
      <c r="B1850" s="1739"/>
      <c r="C1850" s="1889" t="s">
        <v>2108</v>
      </c>
      <c r="D1850" s="1841"/>
      <c r="E1850" s="413"/>
      <c r="F1850" s="320"/>
      <c r="G1850" s="361">
        <f>SUM(G1846:G1849)</f>
        <v>113003.87731000001</v>
      </c>
      <c r="H1850" s="1980"/>
      <c r="I1850" s="1983">
        <f>SUM(I1846:I1849)</f>
        <v>0.32743939689840151</v>
      </c>
      <c r="J1850" s="1981"/>
    </row>
    <row r="1851" spans="1:12" ht="15.75" customHeight="1">
      <c r="A1851" s="1780"/>
      <c r="B1851" s="1739" t="s">
        <v>1015</v>
      </c>
      <c r="C1851" s="1877" t="s">
        <v>2075</v>
      </c>
      <c r="D1851" s="1841"/>
      <c r="E1851" s="1832"/>
      <c r="F1851" s="320"/>
      <c r="G1851" s="320"/>
      <c r="H1851" s="1980"/>
      <c r="I1851" s="1980"/>
      <c r="J1851" s="1981"/>
    </row>
    <row r="1852" spans="1:12" ht="15.75" customHeight="1">
      <c r="A1852" s="1780"/>
      <c r="B1852" s="1739"/>
      <c r="C1852" s="1878" t="s">
        <v>2637</v>
      </c>
      <c r="D1852" s="1841">
        <v>1.1000000000000001</v>
      </c>
      <c r="E1852" s="413" t="s">
        <v>89</v>
      </c>
      <c r="F1852" s="1883">
        <f>'Bahan &amp; Upah'!C$21</f>
        <v>180318.53</v>
      </c>
      <c r="G1852" s="332">
        <f>F1852*D1852</f>
        <v>198350.383</v>
      </c>
      <c r="H1852" s="1980">
        <v>0.75839999999999996</v>
      </c>
      <c r="I1852" s="1980">
        <f>(G1852/G$1856)*H1852</f>
        <v>0.43588201963307954</v>
      </c>
      <c r="J1852" s="1981"/>
    </row>
    <row r="1853" spans="1:12" ht="15.75" customHeight="1">
      <c r="A1853" s="1780"/>
      <c r="B1853" s="1784"/>
      <c r="C1853" s="1878" t="s">
        <v>2080</v>
      </c>
      <c r="D1853" s="1841">
        <v>11.75</v>
      </c>
      <c r="E1853" s="413" t="s">
        <v>100</v>
      </c>
      <c r="F1853" s="1747">
        <f>'Bahan &amp; Upah'!C$27</f>
        <v>1792.44</v>
      </c>
      <c r="G1853" s="332">
        <f>F1853*D1853</f>
        <v>21061.170000000002</v>
      </c>
      <c r="H1853" s="1980">
        <f>H1836</f>
        <v>0.75839999999999996</v>
      </c>
      <c r="I1853" s="1980">
        <f>(G1853/G$1856)*H1853</f>
        <v>4.6282669973143578E-2</v>
      </c>
      <c r="J1853" s="1981"/>
    </row>
    <row r="1854" spans="1:12" ht="15.75" customHeight="1">
      <c r="A1854" s="1780"/>
      <c r="B1854" s="1784"/>
      <c r="C1854" s="1878" t="s">
        <v>2081</v>
      </c>
      <c r="D1854" s="1841">
        <v>3.5000000000000003E-2</v>
      </c>
      <c r="E1854" s="413" t="s">
        <v>103</v>
      </c>
      <c r="F1854" s="1747">
        <f>'Bahan &amp; Upah'!C$11</f>
        <v>362812.55</v>
      </c>
      <c r="G1854" s="1785">
        <f>F1854*D1854</f>
        <v>12698.439250000001</v>
      </c>
      <c r="H1854" s="1980">
        <f>H1837</f>
        <v>0.91900000000000004</v>
      </c>
      <c r="I1854" s="1982">
        <f>(G1854/G$1856)*H1854</f>
        <v>3.3814536882068508E-2</v>
      </c>
      <c r="J1854" s="1981"/>
    </row>
    <row r="1855" spans="1:12" ht="15.75" customHeight="1">
      <c r="A1855" s="1780"/>
      <c r="B1855" s="1784"/>
      <c r="C1855" s="1878"/>
      <c r="D1855" s="1841"/>
      <c r="E1855" s="413"/>
      <c r="F1855" s="320"/>
      <c r="G1855" s="361">
        <f>SUM(G1852:G1854)</f>
        <v>232109.99225000001</v>
      </c>
      <c r="H1855" s="1980"/>
      <c r="I1855" s="1983">
        <f>SUM(I1852:I1854)</f>
        <v>0.51597922648829164</v>
      </c>
      <c r="J1855" s="1981"/>
    </row>
    <row r="1856" spans="1:12" ht="15.75" customHeight="1">
      <c r="A1856" s="1780"/>
      <c r="B1856" s="1784"/>
      <c r="C1856" s="1804" t="s">
        <v>2298</v>
      </c>
      <c r="D1856" s="1763"/>
      <c r="E1856" s="1764"/>
      <c r="F1856" s="1765"/>
      <c r="G1856" s="1765">
        <f>G1850+G1855</f>
        <v>345113.86956000002</v>
      </c>
      <c r="H1856" s="1980"/>
      <c r="I1856" s="1984">
        <f>I1850+I1855</f>
        <v>0.84341862338669316</v>
      </c>
      <c r="J1856" s="1981"/>
    </row>
    <row r="1857" spans="1:10" ht="15.75" customHeight="1">
      <c r="A1857" s="1780"/>
      <c r="B1857" s="1784"/>
      <c r="C1857" s="1762" t="s">
        <v>2094</v>
      </c>
      <c r="D1857" s="1823">
        <f>M$4</f>
        <v>0.15</v>
      </c>
      <c r="E1857" s="1768"/>
      <c r="F1857" s="1765"/>
      <c r="G1857" s="1765">
        <f>G1856*D1857</f>
        <v>51767.080434000003</v>
      </c>
      <c r="H1857" s="1980"/>
      <c r="I1857" s="1980"/>
      <c r="J1857" s="1981"/>
    </row>
    <row r="1858" spans="1:10" ht="15.75" customHeight="1">
      <c r="A1858" s="1786"/>
      <c r="B1858" s="1890"/>
      <c r="C1858" s="1788" t="s">
        <v>2111</v>
      </c>
      <c r="D1858" s="1772"/>
      <c r="E1858" s="1773"/>
      <c r="F1858" s="1774"/>
      <c r="G1858" s="1861">
        <f>ROUNDUP((G1856+G1857),2)</f>
        <v>396880.95</v>
      </c>
      <c r="H1858" s="1985"/>
      <c r="I1858" s="1985"/>
      <c r="J1858" s="1986"/>
    </row>
    <row r="1859" spans="1:10" ht="15.75" customHeight="1">
      <c r="A1859" s="1733"/>
      <c r="B1859" s="1733"/>
      <c r="C1859" s="1733"/>
      <c r="D1859" s="1733"/>
      <c r="E1859" s="1733"/>
      <c r="F1859" s="1733"/>
      <c r="G1859" s="1733"/>
      <c r="H1859" s="1733"/>
      <c r="I1859" s="1733"/>
      <c r="J1859" s="1733"/>
    </row>
    <row r="1860" spans="1:10" ht="15.75" customHeight="1">
      <c r="A1860" s="1778">
        <f>A1844+1</f>
        <v>90</v>
      </c>
      <c r="B1860" s="1805" t="s">
        <v>2638</v>
      </c>
      <c r="C1860" s="1872" t="s">
        <v>2639</v>
      </c>
      <c r="D1860" s="1873"/>
      <c r="E1860" s="1874"/>
      <c r="F1860" s="1875"/>
      <c r="G1860" s="1875"/>
      <c r="H1860" s="1800"/>
      <c r="I1860" s="1800"/>
      <c r="J1860" s="1801"/>
    </row>
    <row r="1861" spans="1:10" ht="15.75" customHeight="1">
      <c r="A1861" s="1780"/>
      <c r="B1861" s="1739" t="s">
        <v>1004</v>
      </c>
      <c r="C1861" s="1877" t="s">
        <v>2067</v>
      </c>
      <c r="D1861" s="390"/>
      <c r="E1861" s="413"/>
      <c r="F1861" s="320"/>
      <c r="G1861" s="320"/>
      <c r="H1861" s="1802"/>
      <c r="I1861" s="1802"/>
      <c r="J1861" s="1803"/>
    </row>
    <row r="1862" spans="1:10" ht="15.75" customHeight="1">
      <c r="A1862" s="1780"/>
      <c r="B1862" s="1739"/>
      <c r="C1862" s="1878" t="s">
        <v>2103</v>
      </c>
      <c r="D1862" s="1841">
        <v>0.28571428571428598</v>
      </c>
      <c r="E1862" s="413" t="s">
        <v>2069</v>
      </c>
      <c r="F1862" s="1747">
        <f>'Bahan &amp; Upah'!C$336</f>
        <v>96332.65</v>
      </c>
      <c r="G1862" s="361">
        <f>F1862*D1862</f>
        <v>27523.61428571431</v>
      </c>
      <c r="H1862" s="1980">
        <v>1</v>
      </c>
      <c r="I1862" s="1980">
        <f>(G1862/G$1872)*H1862</f>
        <v>0.20467835385536237</v>
      </c>
      <c r="J1862" s="1981"/>
    </row>
    <row r="1863" spans="1:10" ht="15.75" customHeight="1">
      <c r="A1863" s="1780"/>
      <c r="B1863" s="1739"/>
      <c r="C1863" s="1878" t="s">
        <v>2124</v>
      </c>
      <c r="D1863" s="1841">
        <v>5.7142857142857099E-2</v>
      </c>
      <c r="E1863" s="413" t="s">
        <v>2069</v>
      </c>
      <c r="F1863" s="1883">
        <f>'Bahan &amp; Upah'!C$337</f>
        <v>114133.55</v>
      </c>
      <c r="G1863" s="361">
        <f>F1863*D1863</f>
        <v>6521.9171428571381</v>
      </c>
      <c r="H1863" s="1980">
        <v>1</v>
      </c>
      <c r="I1863" s="1980">
        <f>(G1863/G$1872)*H1863</f>
        <v>4.849999897992769E-2</v>
      </c>
      <c r="J1863" s="1981"/>
    </row>
    <row r="1864" spans="1:10" ht="15.75" customHeight="1">
      <c r="A1864" s="1780"/>
      <c r="B1864" s="1739"/>
      <c r="C1864" s="1878" t="s">
        <v>2072</v>
      </c>
      <c r="D1864" s="1841">
        <v>5.7142857142857099E-2</v>
      </c>
      <c r="E1864" s="413" t="s">
        <v>2069</v>
      </c>
      <c r="F1864" s="1748">
        <f>'Bahan &amp; Upah'!C$338</f>
        <v>125485.75</v>
      </c>
      <c r="G1864" s="361">
        <f>F1864*D1864</f>
        <v>7170.6142857142804</v>
      </c>
      <c r="H1864" s="1980">
        <v>1</v>
      </c>
      <c r="I1864" s="1980">
        <f>(G1864/G$1872)*H1864</f>
        <v>5.3324011624938168E-2</v>
      </c>
      <c r="J1864" s="1981"/>
    </row>
    <row r="1865" spans="1:10" ht="15.75" customHeight="1">
      <c r="A1865" s="1780"/>
      <c r="B1865" s="1739"/>
      <c r="C1865" s="1878" t="s">
        <v>2107</v>
      </c>
      <c r="D1865" s="1841">
        <v>2.8571428571428598E-2</v>
      </c>
      <c r="E1865" s="413" t="s">
        <v>2069</v>
      </c>
      <c r="F1865" s="1883">
        <f>'Bahan &amp; Upah'!C$339</f>
        <v>102689.88</v>
      </c>
      <c r="G1865" s="1785">
        <f>F1865*D1865</f>
        <v>2933.9965714285745</v>
      </c>
      <c r="H1865" s="1980">
        <v>1</v>
      </c>
      <c r="I1865" s="1982">
        <f>(G1865/G$1872)*H1865</f>
        <v>2.1818558501198404E-2</v>
      </c>
      <c r="J1865" s="1981"/>
    </row>
    <row r="1866" spans="1:10" ht="15.75" customHeight="1">
      <c r="A1866" s="1780"/>
      <c r="B1866" s="1739"/>
      <c r="C1866" s="1889" t="s">
        <v>2108</v>
      </c>
      <c r="D1866" s="1841"/>
      <c r="E1866" s="413"/>
      <c r="F1866" s="320"/>
      <c r="G1866" s="361">
        <f>SUM(G1862:G1865)</f>
        <v>44150.142285714297</v>
      </c>
      <c r="H1866" s="1980"/>
      <c r="I1866" s="1983">
        <f>SUM(I1862:I1865)</f>
        <v>0.32832092296142662</v>
      </c>
      <c r="J1866" s="1981"/>
    </row>
    <row r="1867" spans="1:10" ht="15.75" customHeight="1">
      <c r="A1867" s="1780"/>
      <c r="B1867" s="1739" t="s">
        <v>1015</v>
      </c>
      <c r="C1867" s="1877" t="s">
        <v>2075</v>
      </c>
      <c r="D1867" s="1841"/>
      <c r="E1867" s="413"/>
      <c r="F1867" s="317"/>
      <c r="G1867" s="320"/>
      <c r="H1867" s="1980"/>
      <c r="I1867" s="1980"/>
      <c r="J1867" s="1981"/>
    </row>
    <row r="1868" spans="1:10" ht="15.75" customHeight="1">
      <c r="A1868" s="1780"/>
      <c r="B1868" s="1739"/>
      <c r="C1868" s="1878" t="s">
        <v>2640</v>
      </c>
      <c r="D1868" s="1841">
        <v>2.625</v>
      </c>
      <c r="E1868" s="413" t="s">
        <v>124</v>
      </c>
      <c r="F1868" s="1747">
        <f>'Bahan &amp; Upah'!C35</f>
        <v>32611.74</v>
      </c>
      <c r="G1868" s="361">
        <f>F1868*D1868</f>
        <v>85605.817500000005</v>
      </c>
      <c r="H1868" s="1980">
        <v>0.70689999999999997</v>
      </c>
      <c r="I1868" s="1980">
        <f>(G1868/G$1872)*H1868</f>
        <v>0.45001574919367882</v>
      </c>
      <c r="J1868" s="1981"/>
    </row>
    <row r="1869" spans="1:10" ht="15.75" customHeight="1">
      <c r="A1869" s="1780"/>
      <c r="B1869" s="1739"/>
      <c r="C1869" s="1878" t="s">
        <v>2080</v>
      </c>
      <c r="D1869" s="1841">
        <v>1.5842534399999999</v>
      </c>
      <c r="E1869" s="413" t="s">
        <v>100</v>
      </c>
      <c r="F1869" s="1747">
        <f>'Bahan &amp; Upah'!C$27</f>
        <v>1792.44</v>
      </c>
      <c r="G1869" s="361">
        <f>F1869*D1869</f>
        <v>2839.6792359935998</v>
      </c>
      <c r="H1869" s="1980">
        <f>H1752</f>
        <v>0.91900000000000004</v>
      </c>
      <c r="I1869" s="1980">
        <f>(G1869/G$1872)*H1869</f>
        <v>1.9406680218815836E-2</v>
      </c>
      <c r="J1869" s="1981"/>
    </row>
    <row r="1870" spans="1:10" ht="15.75" customHeight="1">
      <c r="A1870" s="1780"/>
      <c r="B1870" s="1739"/>
      <c r="C1870" s="1878" t="s">
        <v>2082</v>
      </c>
      <c r="D1870" s="1841">
        <v>4.4000000000000003E-3</v>
      </c>
      <c r="E1870" s="413" t="s">
        <v>103</v>
      </c>
      <c r="F1870" s="1747">
        <f>'Bahan &amp; Upah'!C$12</f>
        <v>426564.14</v>
      </c>
      <c r="G1870" s="1794">
        <f>F1870*D1870</f>
        <v>1876.8822160000002</v>
      </c>
      <c r="H1870" s="1980">
        <v>1</v>
      </c>
      <c r="I1870" s="1982">
        <f>(G1870/G$1872)*H1870</f>
        <v>1.3957366149789249E-2</v>
      </c>
      <c r="J1870" s="1981"/>
    </row>
    <row r="1871" spans="1:10" ht="15.75" customHeight="1">
      <c r="A1871" s="1780"/>
      <c r="B1871" s="1784"/>
      <c r="C1871" s="1878"/>
      <c r="D1871" s="1841"/>
      <c r="E1871" s="413"/>
      <c r="F1871" s="320"/>
      <c r="G1871" s="361">
        <f>SUM(G1868:G1870)</f>
        <v>90322.378951993596</v>
      </c>
      <c r="H1871" s="1980"/>
      <c r="I1871" s="1983">
        <f>SUM(I1868:I1870)</f>
        <v>0.48337979556228394</v>
      </c>
      <c r="J1871" s="1981"/>
    </row>
    <row r="1872" spans="1:10" ht="15.75" customHeight="1">
      <c r="A1872" s="1780"/>
      <c r="B1872" s="1784"/>
      <c r="C1872" s="1804" t="s">
        <v>2298</v>
      </c>
      <c r="D1872" s="1763"/>
      <c r="E1872" s="1764"/>
      <c r="F1872" s="1765"/>
      <c r="G1872" s="1765">
        <f>G1866+G1871</f>
        <v>134472.5212377079</v>
      </c>
      <c r="H1872" s="1980"/>
      <c r="I1872" s="1984">
        <f>I1866+I1871</f>
        <v>0.81170071852371062</v>
      </c>
      <c r="J1872" s="1981"/>
    </row>
    <row r="1873" spans="1:10" ht="15.75" customHeight="1">
      <c r="A1873" s="1780"/>
      <c r="B1873" s="1784"/>
      <c r="C1873" s="1762" t="s">
        <v>2094</v>
      </c>
      <c r="D1873" s="1767">
        <f>M$4</f>
        <v>0.15</v>
      </c>
      <c r="E1873" s="1768"/>
      <c r="F1873" s="1765"/>
      <c r="G1873" s="1765">
        <f>G1872*D1873</f>
        <v>20170.878185656184</v>
      </c>
      <c r="H1873" s="1980"/>
      <c r="I1873" s="1980"/>
      <c r="J1873" s="1981"/>
    </row>
    <row r="1874" spans="1:10" ht="15.75" customHeight="1">
      <c r="A1874" s="1786"/>
      <c r="B1874" s="1890"/>
      <c r="C1874" s="1788" t="s">
        <v>2111</v>
      </c>
      <c r="D1874" s="1772"/>
      <c r="E1874" s="1773"/>
      <c r="F1874" s="1774"/>
      <c r="G1874" s="1998">
        <f>ROUNDUP((G1872+G1873),2)</f>
        <v>154643.40000000002</v>
      </c>
      <c r="H1874" s="1985"/>
      <c r="I1874" s="1985"/>
      <c r="J1874" s="1986"/>
    </row>
    <row r="1875" spans="1:10" ht="15.75" customHeight="1">
      <c r="A1875" s="1733"/>
      <c r="B1875" s="1733"/>
      <c r="C1875" s="1733"/>
      <c r="D1875" s="1733"/>
      <c r="E1875" s="1733"/>
      <c r="F1875" s="1733"/>
      <c r="G1875" s="1733"/>
      <c r="H1875" s="1733"/>
      <c r="I1875" s="1733"/>
      <c r="J1875" s="1733"/>
    </row>
    <row r="1876" spans="1:10" ht="15.75" customHeight="1">
      <c r="A1876" s="1778">
        <f>A1860+1</f>
        <v>91</v>
      </c>
      <c r="B1876" s="1805" t="s">
        <v>2641</v>
      </c>
      <c r="C1876" s="1872" t="s">
        <v>2642</v>
      </c>
      <c r="D1876" s="1873"/>
      <c r="E1876" s="1874"/>
      <c r="F1876" s="1875"/>
      <c r="G1876" s="1875"/>
      <c r="H1876" s="1800"/>
      <c r="I1876" s="1800"/>
      <c r="J1876" s="1801"/>
    </row>
    <row r="1877" spans="1:10" ht="15.75" customHeight="1">
      <c r="A1877" s="1780"/>
      <c r="B1877" s="1739" t="s">
        <v>1004</v>
      </c>
      <c r="C1877" s="1877" t="s">
        <v>2067</v>
      </c>
      <c r="D1877" s="390"/>
      <c r="E1877" s="413"/>
      <c r="F1877" s="320"/>
      <c r="G1877" s="320"/>
      <c r="H1877" s="1802"/>
      <c r="I1877" s="1802"/>
      <c r="J1877" s="1803"/>
    </row>
    <row r="1878" spans="1:10" ht="15.75" customHeight="1">
      <c r="A1878" s="1780"/>
      <c r="B1878" s="1739"/>
      <c r="C1878" s="1878" t="s">
        <v>2103</v>
      </c>
      <c r="D1878" s="1841">
        <v>0.2</v>
      </c>
      <c r="E1878" s="413" t="s">
        <v>2069</v>
      </c>
      <c r="F1878" s="1747">
        <f>'Bahan &amp; Upah'!C$336</f>
        <v>96332.65</v>
      </c>
      <c r="G1878" s="361">
        <f>F1878*D1878</f>
        <v>19266.53</v>
      </c>
      <c r="H1878" s="1980">
        <v>1</v>
      </c>
      <c r="I1878" s="1980">
        <f>(G1878/G$1888)*H1878</f>
        <v>0.11432694347813382</v>
      </c>
      <c r="J1878" s="1981"/>
    </row>
    <row r="1879" spans="1:10" ht="15.75" customHeight="1">
      <c r="A1879" s="1780"/>
      <c r="B1879" s="1739"/>
      <c r="C1879" s="1878" t="s">
        <v>2124</v>
      </c>
      <c r="D1879" s="1841">
        <v>0.1</v>
      </c>
      <c r="E1879" s="413" t="s">
        <v>2069</v>
      </c>
      <c r="F1879" s="1883">
        <f>'Bahan &amp; Upah'!C$337</f>
        <v>114133.55</v>
      </c>
      <c r="G1879" s="361">
        <f>F1879*D1879</f>
        <v>11413.355000000001</v>
      </c>
      <c r="H1879" s="1980">
        <v>1</v>
      </c>
      <c r="I1879" s="1980">
        <f>(G1879/G$1888)*H1879</f>
        <v>6.7726466155601253E-2</v>
      </c>
      <c r="J1879" s="1981"/>
    </row>
    <row r="1880" spans="1:10" ht="15.75" customHeight="1">
      <c r="A1880" s="1780"/>
      <c r="B1880" s="1739"/>
      <c r="C1880" s="1878" t="s">
        <v>2072</v>
      </c>
      <c r="D1880" s="1841">
        <v>0.01</v>
      </c>
      <c r="E1880" s="413" t="s">
        <v>2069</v>
      </c>
      <c r="F1880" s="1748">
        <f>'Bahan &amp; Upah'!C$338</f>
        <v>125485.75</v>
      </c>
      <c r="G1880" s="361">
        <f>F1880*D1880</f>
        <v>1254.8575000000001</v>
      </c>
      <c r="H1880" s="1980">
        <v>1</v>
      </c>
      <c r="I1880" s="1980">
        <f>(G1880/G$1888)*H1880</f>
        <v>7.4462823599066533E-3</v>
      </c>
      <c r="J1880" s="1981"/>
    </row>
    <row r="1881" spans="1:10" ht="15.75" customHeight="1">
      <c r="A1881" s="1780"/>
      <c r="B1881" s="1739"/>
      <c r="C1881" s="1878" t="s">
        <v>2107</v>
      </c>
      <c r="D1881" s="1841">
        <v>3.0000000000000001E-3</v>
      </c>
      <c r="E1881" s="413" t="s">
        <v>2069</v>
      </c>
      <c r="F1881" s="1883">
        <f>'Bahan &amp; Upah'!C$339</f>
        <v>102689.88</v>
      </c>
      <c r="G1881" s="1785">
        <f>F1881*D1881</f>
        <v>308.06963999999999</v>
      </c>
      <c r="H1881" s="1980">
        <v>1</v>
      </c>
      <c r="I1881" s="1982">
        <f>(G1881/G$1888)*H1881</f>
        <v>1.8280749216184251E-3</v>
      </c>
      <c r="J1881" s="1981"/>
    </row>
    <row r="1882" spans="1:10" ht="15.75" customHeight="1">
      <c r="A1882" s="1780"/>
      <c r="B1882" s="1739"/>
      <c r="C1882" s="1889" t="s">
        <v>2108</v>
      </c>
      <c r="D1882" s="1841"/>
      <c r="E1882" s="413"/>
      <c r="F1882" s="320"/>
      <c r="G1882" s="361">
        <f>SUM(G1878:G1881)</f>
        <v>32242.812140000002</v>
      </c>
      <c r="H1882" s="1980"/>
      <c r="I1882" s="1983">
        <f>SUM(I1878:I1881)</f>
        <v>0.19132776691526016</v>
      </c>
      <c r="J1882" s="1981"/>
    </row>
    <row r="1883" spans="1:10" ht="15.75" customHeight="1">
      <c r="A1883" s="1780"/>
      <c r="B1883" s="1739" t="s">
        <v>1015</v>
      </c>
      <c r="C1883" s="1877" t="s">
        <v>2075</v>
      </c>
      <c r="D1883" s="1841"/>
      <c r="E1883" s="413"/>
      <c r="F1883" s="317"/>
      <c r="G1883" s="320"/>
      <c r="H1883" s="1980"/>
      <c r="I1883" s="1980"/>
      <c r="J1883" s="1981"/>
    </row>
    <row r="1884" spans="1:10" ht="15.75" customHeight="1">
      <c r="A1884" s="1780"/>
      <c r="B1884" s="1739"/>
      <c r="C1884" s="1878" t="s">
        <v>2643</v>
      </c>
      <c r="D1884" s="1841">
        <v>1.05</v>
      </c>
      <c r="E1884" s="413" t="s">
        <v>89</v>
      </c>
      <c r="F1884" s="1747">
        <f>'Bahan &amp; Upah'!C36</f>
        <v>104502.28</v>
      </c>
      <c r="G1884" s="361">
        <f>F1884*D1884</f>
        <v>109727.394</v>
      </c>
      <c r="H1884" s="1980">
        <v>0.70689999999999997</v>
      </c>
      <c r="I1884" s="1980">
        <f>(G1884/G$1888)*H1884</f>
        <v>0.46027579452731482</v>
      </c>
      <c r="J1884" s="1981"/>
    </row>
    <row r="1885" spans="1:10" ht="15.75" customHeight="1">
      <c r="A1885" s="1780"/>
      <c r="B1885" s="1739"/>
      <c r="C1885" s="1878" t="s">
        <v>2394</v>
      </c>
      <c r="D1885" s="1841">
        <v>3.0000000000000001E-3</v>
      </c>
      <c r="E1885" s="413" t="s">
        <v>103</v>
      </c>
      <c r="F1885" s="1747">
        <f>'Bahan &amp; Upah'!C13</f>
        <v>319095.99</v>
      </c>
      <c r="G1885" s="361">
        <f>F1885*D1885</f>
        <v>957.28796999999997</v>
      </c>
      <c r="H1885" s="1980">
        <v>1</v>
      </c>
      <c r="I1885" s="1980">
        <f>(G1885/G$1888)*H1885</f>
        <v>5.6805147392128977E-3</v>
      </c>
      <c r="J1885" s="1981"/>
    </row>
    <row r="1886" spans="1:10" ht="15.75" customHeight="1">
      <c r="A1886" s="1780"/>
      <c r="B1886" s="1739"/>
      <c r="C1886" s="1878" t="s">
        <v>2082</v>
      </c>
      <c r="D1886" s="1841">
        <v>0.06</v>
      </c>
      <c r="E1886" s="413" t="s">
        <v>103</v>
      </c>
      <c r="F1886" s="1747">
        <f>'Bahan &amp; Upah'!C$12</f>
        <v>426564.14</v>
      </c>
      <c r="G1886" s="1794">
        <f>F1886*D1886</f>
        <v>25593.848399999999</v>
      </c>
      <c r="H1886" s="1980">
        <v>1</v>
      </c>
      <c r="I1886" s="1982">
        <f>(G1886/G$1888)*H1886</f>
        <v>0.15187303886142059</v>
      </c>
      <c r="J1886" s="1981"/>
    </row>
    <row r="1887" spans="1:10" ht="15.75" customHeight="1">
      <c r="A1887" s="1780"/>
      <c r="B1887" s="1784"/>
      <c r="C1887" s="1878"/>
      <c r="D1887" s="1841"/>
      <c r="E1887" s="413"/>
      <c r="F1887" s="320"/>
      <c r="G1887" s="361">
        <f>SUM(G1884:G1886)</f>
        <v>136278.53036999999</v>
      </c>
      <c r="H1887" s="1980"/>
      <c r="I1887" s="1983">
        <f>SUM(I1884:I1886)</f>
        <v>0.61782934812794832</v>
      </c>
      <c r="J1887" s="1981"/>
    </row>
    <row r="1888" spans="1:10" ht="15.75" customHeight="1">
      <c r="A1888" s="1780"/>
      <c r="B1888" s="1784"/>
      <c r="C1888" s="1804" t="s">
        <v>2298</v>
      </c>
      <c r="D1888" s="1763"/>
      <c r="E1888" s="1764"/>
      <c r="F1888" s="1765"/>
      <c r="G1888" s="1765">
        <f>G1882+G1887</f>
        <v>168521.34250999999</v>
      </c>
      <c r="H1888" s="1980"/>
      <c r="I1888" s="1984">
        <f>I1882+I1887</f>
        <v>0.80915711504320842</v>
      </c>
      <c r="J1888" s="1981"/>
    </row>
    <row r="1889" spans="1:10" ht="15.75" customHeight="1">
      <c r="A1889" s="1780"/>
      <c r="B1889" s="1784"/>
      <c r="C1889" s="1762" t="s">
        <v>2094</v>
      </c>
      <c r="D1889" s="1767">
        <f>M$4</f>
        <v>0.15</v>
      </c>
      <c r="E1889" s="1768"/>
      <c r="F1889" s="1765"/>
      <c r="G1889" s="1765">
        <f>G1888*D1889</f>
        <v>25278.201376499997</v>
      </c>
      <c r="H1889" s="1980"/>
      <c r="I1889" s="1980"/>
      <c r="J1889" s="1981"/>
    </row>
    <row r="1890" spans="1:10" ht="15.75" customHeight="1">
      <c r="A1890" s="1786"/>
      <c r="B1890" s="1890"/>
      <c r="C1890" s="1788" t="s">
        <v>2111</v>
      </c>
      <c r="D1890" s="1772"/>
      <c r="E1890" s="1773"/>
      <c r="F1890" s="1774"/>
      <c r="G1890" s="1998">
        <f>ROUNDUP((G1888+G1889),2)</f>
        <v>193799.55000000002</v>
      </c>
      <c r="H1890" s="1985"/>
      <c r="I1890" s="1985"/>
      <c r="J1890" s="1986"/>
    </row>
    <row r="1891" spans="1:10" ht="15.75" customHeight="1">
      <c r="A1891" s="1733"/>
      <c r="B1891" s="1733"/>
      <c r="C1891" s="1733"/>
      <c r="D1891" s="1733"/>
      <c r="E1891" s="1733"/>
      <c r="F1891" s="1733"/>
      <c r="G1891" s="1733"/>
      <c r="H1891" s="1733"/>
      <c r="I1891" s="1733"/>
      <c r="J1891" s="1733"/>
    </row>
    <row r="1892" spans="1:10" ht="30" customHeight="1">
      <c r="A1892" s="1778">
        <f>A1876+1</f>
        <v>92</v>
      </c>
      <c r="B1892" s="1871" t="s">
        <v>2147</v>
      </c>
      <c r="C1892" s="1939" t="s">
        <v>2644</v>
      </c>
      <c r="D1892" s="1873"/>
      <c r="E1892" s="1874"/>
      <c r="F1892" s="1875"/>
      <c r="G1892" s="1940"/>
      <c r="H1892" s="2023"/>
      <c r="I1892" s="1997"/>
      <c r="J1892" s="1947"/>
    </row>
    <row r="1893" spans="1:10" ht="15.75" customHeight="1">
      <c r="A1893" s="1948"/>
      <c r="B1893" s="1884" t="s">
        <v>1004</v>
      </c>
      <c r="C1893" s="1755" t="s">
        <v>2075</v>
      </c>
      <c r="D1893" s="1841"/>
      <c r="E1893" s="413"/>
      <c r="F1893" s="320"/>
      <c r="G1893" s="380"/>
      <c r="H1893" s="1941"/>
      <c r="I1893" s="1802"/>
      <c r="J1893" s="1803"/>
    </row>
    <row r="1894" spans="1:10" ht="15.75" customHeight="1">
      <c r="A1894" s="1948"/>
      <c r="B1894" s="1884"/>
      <c r="C1894" s="317" t="s">
        <v>2645</v>
      </c>
      <c r="D1894" s="1841">
        <v>1</v>
      </c>
      <c r="E1894" s="413" t="s">
        <v>124</v>
      </c>
      <c r="F1894" s="361">
        <f>'Bahan &amp; Upah'!C82</f>
        <v>1754296.53</v>
      </c>
      <c r="G1894" s="1794">
        <f>F1894*D1894</f>
        <v>1754296.53</v>
      </c>
      <c r="H1894" s="2024">
        <v>0.44929999999999998</v>
      </c>
      <c r="I1894" s="1982">
        <f>(G1894/G$1899)*H1894</f>
        <v>0.43238577475913342</v>
      </c>
      <c r="J1894" s="1981"/>
    </row>
    <row r="1895" spans="1:10" ht="15.75" customHeight="1">
      <c r="A1895" s="1948"/>
      <c r="B1895" s="1909"/>
      <c r="C1895" s="1753" t="s">
        <v>2110</v>
      </c>
      <c r="D1895" s="1841"/>
      <c r="E1895" s="413"/>
      <c r="F1895" s="320"/>
      <c r="G1895" s="345">
        <f>SUM(G1894:G1894)</f>
        <v>1754296.53</v>
      </c>
      <c r="H1895" s="2024"/>
      <c r="I1895" s="1983">
        <f>SUM(I1894)</f>
        <v>0.43238577475913342</v>
      </c>
      <c r="J1895" s="1981"/>
    </row>
    <row r="1896" spans="1:10" ht="15.75" customHeight="1">
      <c r="A1896" s="1948"/>
      <c r="B1896" s="1884" t="s">
        <v>1015</v>
      </c>
      <c r="C1896" s="1755" t="s">
        <v>2067</v>
      </c>
      <c r="D1896" s="1841"/>
      <c r="E1896" s="413"/>
      <c r="F1896" s="320"/>
      <c r="G1896" s="380"/>
      <c r="H1896" s="2024"/>
      <c r="I1896" s="1980"/>
      <c r="J1896" s="1981"/>
    </row>
    <row r="1897" spans="1:10" ht="15.75" customHeight="1">
      <c r="A1897" s="1948"/>
      <c r="B1897" s="1884"/>
      <c r="C1897" s="317" t="s">
        <v>2646</v>
      </c>
      <c r="D1897" s="1841">
        <v>1</v>
      </c>
      <c r="E1897" s="413" t="s">
        <v>124</v>
      </c>
      <c r="F1897" s="1748">
        <v>52298.65</v>
      </c>
      <c r="G1897" s="1794">
        <f>F1897*D1897</f>
        <v>52298.65</v>
      </c>
      <c r="H1897" s="2024">
        <v>1</v>
      </c>
      <c r="I1897" s="1982">
        <f>(G1897/G$1899)*H1897</f>
        <v>2.8689465222859784E-2</v>
      </c>
      <c r="J1897" s="1981"/>
    </row>
    <row r="1898" spans="1:10" ht="15.75" customHeight="1">
      <c r="A1898" s="1948"/>
      <c r="B1898" s="1909"/>
      <c r="C1898" s="1753" t="s">
        <v>2108</v>
      </c>
      <c r="D1898" s="1841"/>
      <c r="E1898" s="413"/>
      <c r="F1898" s="320"/>
      <c r="G1898" s="345">
        <f>SUM(G1897:G1897)</f>
        <v>52298.65</v>
      </c>
      <c r="H1898" s="2024"/>
      <c r="I1898" s="1983">
        <f>SUM(I1897)</f>
        <v>2.8689465222859784E-2</v>
      </c>
      <c r="J1898" s="1981"/>
    </row>
    <row r="1899" spans="1:10" ht="15.75" customHeight="1">
      <c r="A1899" s="1948"/>
      <c r="B1899" s="1884" t="s">
        <v>979</v>
      </c>
      <c r="C1899" s="1804" t="s">
        <v>2129</v>
      </c>
      <c r="D1899" s="1763"/>
      <c r="E1899" s="1764"/>
      <c r="F1899" s="1765"/>
      <c r="G1899" s="1943">
        <f>G1719+G1725+G1895+G1898</f>
        <v>1822921.7447499998</v>
      </c>
      <c r="H1899" s="2024"/>
      <c r="I1899" s="1984">
        <f>I1895+I1898</f>
        <v>0.46107523998199318</v>
      </c>
      <c r="J1899" s="1981"/>
    </row>
    <row r="1900" spans="1:10" ht="15.75" customHeight="1">
      <c r="A1900" s="1948"/>
      <c r="B1900" s="1884" t="s">
        <v>2093</v>
      </c>
      <c r="C1900" s="1762" t="s">
        <v>2094</v>
      </c>
      <c r="D1900" s="1767">
        <f>M$4</f>
        <v>0.15</v>
      </c>
      <c r="E1900" s="1768"/>
      <c r="F1900" s="1765"/>
      <c r="G1900" s="1943">
        <f>G1899*D1900</f>
        <v>273438.26171249995</v>
      </c>
      <c r="H1900" s="2024"/>
      <c r="I1900" s="1980"/>
      <c r="J1900" s="1981"/>
    </row>
    <row r="1901" spans="1:10" ht="15.75" customHeight="1">
      <c r="A1901" s="1949"/>
      <c r="B1901" s="1787" t="s">
        <v>2095</v>
      </c>
      <c r="C1901" s="1788" t="s">
        <v>2111</v>
      </c>
      <c r="D1901" s="1772"/>
      <c r="E1901" s="1773"/>
      <c r="F1901" s="1774"/>
      <c r="G1901" s="1950">
        <f>ROUNDUP((G1899+G1900),2)</f>
        <v>2096360.01</v>
      </c>
      <c r="H1901" s="2025"/>
      <c r="I1901" s="1985"/>
      <c r="J1901" s="1986"/>
    </row>
    <row r="1902" spans="1:10" ht="15.75" customHeight="1">
      <c r="A1902" s="1733"/>
      <c r="B1902" s="1733"/>
      <c r="C1902" s="1733"/>
      <c r="D1902" s="1733"/>
      <c r="E1902" s="1733"/>
      <c r="F1902" s="1733"/>
      <c r="G1902" s="1733"/>
      <c r="H1902" s="1733"/>
      <c r="I1902" s="1733"/>
      <c r="J1902" s="1733"/>
    </row>
    <row r="1903" spans="1:10" ht="30" customHeight="1">
      <c r="A1903" s="1778">
        <f>A1892+1</f>
        <v>93</v>
      </c>
      <c r="B1903" s="1871" t="s">
        <v>2147</v>
      </c>
      <c r="C1903" s="1939" t="s">
        <v>2647</v>
      </c>
      <c r="D1903" s="1873"/>
      <c r="E1903" s="1874"/>
      <c r="F1903" s="1875"/>
      <c r="G1903" s="1940"/>
      <c r="H1903" s="2023"/>
      <c r="I1903" s="1997"/>
      <c r="J1903" s="1947"/>
    </row>
    <row r="1904" spans="1:10" ht="15.75" customHeight="1">
      <c r="A1904" s="1948"/>
      <c r="B1904" s="1884" t="s">
        <v>1004</v>
      </c>
      <c r="C1904" s="1755" t="s">
        <v>2075</v>
      </c>
      <c r="D1904" s="1841"/>
      <c r="E1904" s="413"/>
      <c r="F1904" s="320"/>
      <c r="G1904" s="380"/>
      <c r="H1904" s="1941"/>
      <c r="I1904" s="1802"/>
      <c r="J1904" s="1803"/>
    </row>
    <row r="1905" spans="1:10" ht="15.75" customHeight="1">
      <c r="A1905" s="1948"/>
      <c r="B1905" s="1884"/>
      <c r="C1905" s="317" t="s">
        <v>2648</v>
      </c>
      <c r="D1905" s="1841">
        <v>1</v>
      </c>
      <c r="E1905" s="413" t="s">
        <v>124</v>
      </c>
      <c r="F1905" s="361">
        <f>'Bahan &amp; Upah'!C83</f>
        <v>4308943.3</v>
      </c>
      <c r="G1905" s="1794">
        <f>F1905*D1905</f>
        <v>4308943.3</v>
      </c>
      <c r="H1905" s="2024">
        <v>0.44929999999999998</v>
      </c>
      <c r="I1905" s="1982">
        <f>(G1905/G$1910)*H1905</f>
        <v>0.43304890434321525</v>
      </c>
      <c r="J1905" s="1981"/>
    </row>
    <row r="1906" spans="1:10" ht="15.75" customHeight="1">
      <c r="A1906" s="1948"/>
      <c r="B1906" s="1909"/>
      <c r="C1906" s="1753" t="s">
        <v>2110</v>
      </c>
      <c r="D1906" s="1841"/>
      <c r="E1906" s="413"/>
      <c r="F1906" s="320"/>
      <c r="G1906" s="345">
        <f>SUM(G1905:G1905)</f>
        <v>4308943.3</v>
      </c>
      <c r="H1906" s="2024"/>
      <c r="I1906" s="1983">
        <f>SUM(I1905)</f>
        <v>0.43304890434321525</v>
      </c>
      <c r="J1906" s="1981"/>
    </row>
    <row r="1907" spans="1:10" ht="15.75" customHeight="1">
      <c r="A1907" s="1948"/>
      <c r="B1907" s="1884" t="s">
        <v>1015</v>
      </c>
      <c r="C1907" s="1755" t="s">
        <v>2067</v>
      </c>
      <c r="D1907" s="1841"/>
      <c r="E1907" s="413"/>
      <c r="F1907" s="320"/>
      <c r="G1907" s="380"/>
      <c r="H1907" s="2024"/>
      <c r="I1907" s="1980"/>
      <c r="J1907" s="1981"/>
    </row>
    <row r="1908" spans="1:10" ht="15.75" customHeight="1">
      <c r="A1908" s="1948"/>
      <c r="B1908" s="1884"/>
      <c r="C1908" s="317" t="s">
        <v>2646</v>
      </c>
      <c r="D1908" s="1841">
        <v>1</v>
      </c>
      <c r="E1908" s="413" t="s">
        <v>124</v>
      </c>
      <c r="F1908" s="1748">
        <v>140983.84</v>
      </c>
      <c r="G1908" s="1794">
        <f>F1908*D1908</f>
        <v>140983.84</v>
      </c>
      <c r="H1908" s="2024">
        <v>1</v>
      </c>
      <c r="I1908" s="1982">
        <f>(G1908/G$1910)*H1908</f>
        <v>3.1535453549984355E-2</v>
      </c>
      <c r="J1908" s="1981"/>
    </row>
    <row r="1909" spans="1:10" ht="15.75" customHeight="1">
      <c r="A1909" s="1948"/>
      <c r="B1909" s="1909"/>
      <c r="C1909" s="1753" t="s">
        <v>2108</v>
      </c>
      <c r="D1909" s="1841"/>
      <c r="E1909" s="413"/>
      <c r="F1909" s="320"/>
      <c r="G1909" s="345">
        <f>SUM(G1908:G1908)</f>
        <v>140983.84</v>
      </c>
      <c r="H1909" s="2024"/>
      <c r="I1909" s="1983">
        <f>SUM(I1908)</f>
        <v>3.1535453549984355E-2</v>
      </c>
      <c r="J1909" s="1981"/>
    </row>
    <row r="1910" spans="1:10" ht="15.75" customHeight="1">
      <c r="A1910" s="1948"/>
      <c r="B1910" s="1884" t="s">
        <v>979</v>
      </c>
      <c r="C1910" s="1804" t="s">
        <v>2129</v>
      </c>
      <c r="D1910" s="1763"/>
      <c r="E1910" s="1764"/>
      <c r="F1910" s="1765"/>
      <c r="G1910" s="1943">
        <f>G1730+G1736+G1906+G1909</f>
        <v>4470645.7059999993</v>
      </c>
      <c r="H1910" s="2024"/>
      <c r="I1910" s="1984">
        <f>I1906+I1909</f>
        <v>0.46458435789319963</v>
      </c>
      <c r="J1910" s="1981"/>
    </row>
    <row r="1911" spans="1:10" ht="15.75" customHeight="1">
      <c r="A1911" s="1948"/>
      <c r="B1911" s="1884" t="s">
        <v>2093</v>
      </c>
      <c r="C1911" s="1762" t="s">
        <v>2094</v>
      </c>
      <c r="D1911" s="1767">
        <f>M$4</f>
        <v>0.15</v>
      </c>
      <c r="E1911" s="1768"/>
      <c r="F1911" s="1765"/>
      <c r="G1911" s="1943">
        <f>G1910*D1911</f>
        <v>670596.85589999985</v>
      </c>
      <c r="H1911" s="2024"/>
      <c r="I1911" s="1980"/>
      <c r="J1911" s="1981"/>
    </row>
    <row r="1912" spans="1:10" ht="15.75" customHeight="1">
      <c r="A1912" s="1949"/>
      <c r="B1912" s="1787" t="s">
        <v>2095</v>
      </c>
      <c r="C1912" s="1788" t="s">
        <v>2111</v>
      </c>
      <c r="D1912" s="1772"/>
      <c r="E1912" s="1773"/>
      <c r="F1912" s="1774"/>
      <c r="G1912" s="1950">
        <f>ROUNDUP((G1910+G1911),2)</f>
        <v>5141242.5699999994</v>
      </c>
      <c r="H1912" s="2025"/>
      <c r="I1912" s="1985"/>
      <c r="J1912" s="1986"/>
    </row>
    <row r="1913" spans="1:10" ht="15.75" customHeight="1">
      <c r="A1913" s="1733"/>
      <c r="B1913" s="1733"/>
      <c r="C1913" s="1733"/>
      <c r="D1913" s="1733"/>
      <c r="E1913" s="1733"/>
      <c r="F1913" s="1733"/>
      <c r="G1913" s="1733"/>
      <c r="H1913" s="1733"/>
      <c r="I1913" s="1733"/>
      <c r="J1913" s="1733"/>
    </row>
    <row r="1914" spans="1:10" ht="30" customHeight="1">
      <c r="A1914" s="1778">
        <f>A1903+1</f>
        <v>94</v>
      </c>
      <c r="B1914" s="1871" t="s">
        <v>2147</v>
      </c>
      <c r="C1914" s="1939" t="s">
        <v>2649</v>
      </c>
      <c r="D1914" s="1873"/>
      <c r="E1914" s="1874"/>
      <c r="F1914" s="1875"/>
      <c r="G1914" s="1875"/>
      <c r="H1914" s="1997"/>
      <c r="I1914" s="1997"/>
      <c r="J1914" s="1947"/>
    </row>
    <row r="1915" spans="1:10" ht="15.75" customHeight="1">
      <c r="A1915" s="1948"/>
      <c r="B1915" s="1884" t="s">
        <v>1004</v>
      </c>
      <c r="C1915" s="1755" t="s">
        <v>2075</v>
      </c>
      <c r="D1915" s="1841"/>
      <c r="E1915" s="413"/>
      <c r="F1915" s="320"/>
      <c r="G1915" s="320"/>
      <c r="H1915" s="1802"/>
      <c r="I1915" s="1802"/>
      <c r="J1915" s="1803"/>
    </row>
    <row r="1916" spans="1:10" ht="15.75" customHeight="1">
      <c r="A1916" s="1948"/>
      <c r="B1916" s="1884"/>
      <c r="C1916" s="317" t="s">
        <v>2650</v>
      </c>
      <c r="D1916" s="1841">
        <v>1</v>
      </c>
      <c r="E1916" s="413" t="s">
        <v>124</v>
      </c>
      <c r="F1916" s="361">
        <f>'Bahan &amp; Upah'!C$78</f>
        <v>277360.23</v>
      </c>
      <c r="G1916" s="1785">
        <f>F1916*D1916</f>
        <v>277360.23</v>
      </c>
      <c r="H1916" s="1980">
        <v>0.44929999999999998</v>
      </c>
      <c r="I1916" s="1982">
        <f>(G1916/G$1921)*H1916</f>
        <v>0.42038469285758306</v>
      </c>
      <c r="J1916" s="1981"/>
    </row>
    <row r="1917" spans="1:10" ht="15.75" customHeight="1">
      <c r="A1917" s="1948"/>
      <c r="B1917" s="1909"/>
      <c r="C1917" s="1753" t="s">
        <v>2110</v>
      </c>
      <c r="D1917" s="1841"/>
      <c r="E1917" s="413"/>
      <c r="F1917" s="320"/>
      <c r="G1917" s="361">
        <f>SUM(G1916:G1916)</f>
        <v>277360.23</v>
      </c>
      <c r="H1917" s="1980"/>
      <c r="I1917" s="1983">
        <f>SUM(I1916)</f>
        <v>0.42038469285758306</v>
      </c>
      <c r="J1917" s="1981"/>
    </row>
    <row r="1918" spans="1:10" ht="15.75" customHeight="1">
      <c r="A1918" s="1948"/>
      <c r="B1918" s="1884" t="s">
        <v>1015</v>
      </c>
      <c r="C1918" s="1755" t="s">
        <v>2067</v>
      </c>
      <c r="D1918" s="1841"/>
      <c r="E1918" s="413"/>
      <c r="F1918" s="320"/>
      <c r="G1918" s="320"/>
      <c r="H1918" s="1980"/>
      <c r="I1918" s="1980"/>
      <c r="J1918" s="1981"/>
    </row>
    <row r="1919" spans="1:10" ht="15.75" customHeight="1">
      <c r="A1919" s="1948"/>
      <c r="B1919" s="1884"/>
      <c r="C1919" s="317" t="s">
        <v>2646</v>
      </c>
      <c r="D1919" s="1841">
        <v>1</v>
      </c>
      <c r="E1919" s="413" t="s">
        <v>124</v>
      </c>
      <c r="F1919" s="1748">
        <v>19077.66</v>
      </c>
      <c r="G1919" s="1785">
        <f>F1919*D1919</f>
        <v>19077.66</v>
      </c>
      <c r="H1919" s="1980">
        <v>1</v>
      </c>
      <c r="I1919" s="1982">
        <f>(G1919/G$1921)*H1919</f>
        <v>6.4356347968878083E-2</v>
      </c>
      <c r="J1919" s="1981"/>
    </row>
    <row r="1920" spans="1:10" ht="15.75" customHeight="1">
      <c r="A1920" s="1948"/>
      <c r="B1920" s="1909"/>
      <c r="C1920" s="1753" t="s">
        <v>2108</v>
      </c>
      <c r="D1920" s="1841"/>
      <c r="E1920" s="413"/>
      <c r="F1920" s="320"/>
      <c r="G1920" s="361">
        <f>SUM(G1919:G1919)</f>
        <v>19077.66</v>
      </c>
      <c r="H1920" s="1980"/>
      <c r="I1920" s="1983">
        <f>SUM(I1919)</f>
        <v>6.4356347968878083E-2</v>
      </c>
      <c r="J1920" s="1981"/>
    </row>
    <row r="1921" spans="1:10" ht="15.75" customHeight="1">
      <c r="A1921" s="1948"/>
      <c r="B1921" s="1884" t="s">
        <v>979</v>
      </c>
      <c r="C1921" s="1804" t="s">
        <v>2129</v>
      </c>
      <c r="D1921" s="1763"/>
      <c r="E1921" s="1764"/>
      <c r="F1921" s="1765"/>
      <c r="G1921" s="1765">
        <f>G1917+G1920</f>
        <v>296437.88999999996</v>
      </c>
      <c r="H1921" s="1980"/>
      <c r="I1921" s="1984">
        <f>I1917+I1920</f>
        <v>0.48474104082646113</v>
      </c>
      <c r="J1921" s="1981"/>
    </row>
    <row r="1922" spans="1:10" ht="15.75" customHeight="1">
      <c r="A1922" s="1948"/>
      <c r="B1922" s="1884" t="s">
        <v>2093</v>
      </c>
      <c r="C1922" s="1762" t="s">
        <v>2094</v>
      </c>
      <c r="D1922" s="1767">
        <f>M$4</f>
        <v>0.15</v>
      </c>
      <c r="E1922" s="1768"/>
      <c r="F1922" s="1765"/>
      <c r="G1922" s="1765">
        <f>G1921*D1922</f>
        <v>44465.683499999992</v>
      </c>
      <c r="H1922" s="1980"/>
      <c r="I1922" s="1980"/>
      <c r="J1922" s="1981"/>
    </row>
    <row r="1923" spans="1:10" ht="15.75" customHeight="1">
      <c r="A1923" s="1949"/>
      <c r="B1923" s="1787" t="s">
        <v>2095</v>
      </c>
      <c r="C1923" s="1788" t="s">
        <v>2111</v>
      </c>
      <c r="D1923" s="1772"/>
      <c r="E1923" s="1773"/>
      <c r="F1923" s="1774"/>
      <c r="G1923" s="1998">
        <f>ROUNDUP((G1921+G1922),2)</f>
        <v>340903.58</v>
      </c>
      <c r="H1923" s="1985"/>
      <c r="I1923" s="1985"/>
      <c r="J1923" s="1986"/>
    </row>
    <row r="1924" spans="1:10" ht="15.75" customHeight="1">
      <c r="B1924" s="1810"/>
      <c r="C1924" s="1811"/>
      <c r="D1924" s="1812"/>
      <c r="E1924" s="1809"/>
      <c r="F1924" s="1813"/>
      <c r="G1924" s="1951"/>
      <c r="H1924" s="2028"/>
      <c r="I1924" s="2028"/>
      <c r="J1924" s="2029"/>
    </row>
    <row r="1925" spans="1:10" ht="24.75" customHeight="1">
      <c r="A1925" s="1778">
        <f>A1914+1</f>
        <v>95</v>
      </c>
      <c r="B1925" s="1871" t="s">
        <v>2147</v>
      </c>
      <c r="C1925" s="1939" t="s">
        <v>2651</v>
      </c>
      <c r="D1925" s="1873"/>
      <c r="E1925" s="1874"/>
      <c r="F1925" s="1875"/>
      <c r="G1925" s="1875"/>
      <c r="H1925" s="1997"/>
      <c r="I1925" s="1997"/>
      <c r="J1925" s="1947"/>
    </row>
    <row r="1926" spans="1:10" ht="15.75" customHeight="1">
      <c r="A1926" s="1948"/>
      <c r="B1926" s="1884" t="s">
        <v>1004</v>
      </c>
      <c r="C1926" s="1755" t="s">
        <v>2075</v>
      </c>
      <c r="D1926" s="1841"/>
      <c r="E1926" s="413"/>
      <c r="F1926" s="320"/>
      <c r="G1926" s="320"/>
      <c r="H1926" s="1802"/>
      <c r="I1926" s="1802"/>
      <c r="J1926" s="1803"/>
    </row>
    <row r="1927" spans="1:10" ht="15.75" customHeight="1">
      <c r="A1927" s="1948"/>
      <c r="B1927" s="1884"/>
      <c r="C1927" s="317" t="s">
        <v>2650</v>
      </c>
      <c r="D1927" s="1841">
        <v>1</v>
      </c>
      <c r="E1927" s="413" t="s">
        <v>124</v>
      </c>
      <c r="F1927" s="361">
        <f>'Bahan &amp; Upah'!C$79</f>
        <v>222024.35</v>
      </c>
      <c r="G1927" s="1785">
        <f>F1927*D1927</f>
        <v>222024.35</v>
      </c>
      <c r="H1927" s="1980">
        <v>0.44929999999999998</v>
      </c>
      <c r="I1927" s="1982">
        <f>(G1927/G$1932)*H1927</f>
        <v>0.41040951557005162</v>
      </c>
      <c r="J1927" s="1981"/>
    </row>
    <row r="1928" spans="1:10" ht="15.75" customHeight="1">
      <c r="A1928" s="1948"/>
      <c r="B1928" s="1909"/>
      <c r="C1928" s="1753" t="s">
        <v>2110</v>
      </c>
      <c r="D1928" s="1841"/>
      <c r="E1928" s="413"/>
      <c r="F1928" s="320"/>
      <c r="G1928" s="361">
        <f>SUM(G1927:G1927)</f>
        <v>222024.35</v>
      </c>
      <c r="H1928" s="1980"/>
      <c r="I1928" s="1983">
        <f>SUM(I1927)</f>
        <v>0.41040951557005162</v>
      </c>
      <c r="J1928" s="1981"/>
    </row>
    <row r="1929" spans="1:10" ht="15.75" customHeight="1">
      <c r="A1929" s="1948"/>
      <c r="B1929" s="1884" t="s">
        <v>1015</v>
      </c>
      <c r="C1929" s="1755" t="s">
        <v>2067</v>
      </c>
      <c r="D1929" s="1841"/>
      <c r="E1929" s="413"/>
      <c r="F1929" s="320"/>
      <c r="G1929" s="320"/>
      <c r="H1929" s="1980"/>
      <c r="I1929" s="1980"/>
      <c r="J1929" s="1981"/>
    </row>
    <row r="1930" spans="1:10" ht="15.75" customHeight="1">
      <c r="A1930" s="1948"/>
      <c r="B1930" s="1884"/>
      <c r="C1930" s="317" t="s">
        <v>2646</v>
      </c>
      <c r="D1930" s="1841">
        <v>1</v>
      </c>
      <c r="E1930" s="413" t="s">
        <v>124</v>
      </c>
      <c r="F1930" s="1748">
        <v>21039.07</v>
      </c>
      <c r="G1930" s="1785">
        <f>F1930*D1930</f>
        <v>21039.07</v>
      </c>
      <c r="H1930" s="1980">
        <v>1</v>
      </c>
      <c r="I1930" s="1982">
        <f>(G1930/G$1932)*H1930</f>
        <v>8.655794442454566E-2</v>
      </c>
      <c r="J1930" s="1981"/>
    </row>
    <row r="1931" spans="1:10" ht="15.75" customHeight="1">
      <c r="A1931" s="1948"/>
      <c r="B1931" s="1909"/>
      <c r="C1931" s="1753" t="s">
        <v>2108</v>
      </c>
      <c r="D1931" s="1841"/>
      <c r="E1931" s="413"/>
      <c r="F1931" s="320"/>
      <c r="G1931" s="361">
        <f>SUM(G1930:G1930)</f>
        <v>21039.07</v>
      </c>
      <c r="H1931" s="1980"/>
      <c r="I1931" s="1983">
        <f>SUM(I1930)</f>
        <v>8.655794442454566E-2</v>
      </c>
      <c r="J1931" s="1981"/>
    </row>
    <row r="1932" spans="1:10" ht="15.75" customHeight="1">
      <c r="A1932" s="1948"/>
      <c r="B1932" s="1884" t="s">
        <v>979</v>
      </c>
      <c r="C1932" s="1804" t="s">
        <v>2129</v>
      </c>
      <c r="D1932" s="1763"/>
      <c r="E1932" s="1764"/>
      <c r="F1932" s="1765"/>
      <c r="G1932" s="1765">
        <f>G1928+G1931</f>
        <v>243063.42</v>
      </c>
      <c r="H1932" s="1980"/>
      <c r="I1932" s="1984">
        <f>I1928+I1931</f>
        <v>0.49696745999459729</v>
      </c>
      <c r="J1932" s="1981"/>
    </row>
    <row r="1933" spans="1:10" ht="15.75" customHeight="1">
      <c r="A1933" s="1948"/>
      <c r="B1933" s="1884" t="s">
        <v>2093</v>
      </c>
      <c r="C1933" s="1762" t="s">
        <v>2094</v>
      </c>
      <c r="D1933" s="1767">
        <f>M$4</f>
        <v>0.15</v>
      </c>
      <c r="E1933" s="1768"/>
      <c r="F1933" s="1765"/>
      <c r="G1933" s="1765">
        <f>G1932*D1933</f>
        <v>36459.512999999999</v>
      </c>
      <c r="H1933" s="1980"/>
      <c r="I1933" s="1980"/>
      <c r="J1933" s="1981"/>
    </row>
    <row r="1934" spans="1:10" ht="15.75" customHeight="1">
      <c r="A1934" s="1949"/>
      <c r="B1934" s="1787" t="s">
        <v>2095</v>
      </c>
      <c r="C1934" s="1788" t="s">
        <v>2111</v>
      </c>
      <c r="D1934" s="1772"/>
      <c r="E1934" s="1773"/>
      <c r="F1934" s="1774"/>
      <c r="G1934" s="1998">
        <f>ROUNDUP((G1932+G1933),2)</f>
        <v>279522.94</v>
      </c>
      <c r="H1934" s="1985"/>
      <c r="I1934" s="1985"/>
      <c r="J1934" s="1986"/>
    </row>
    <row r="1935" spans="1:10" ht="15.75" customHeight="1">
      <c r="B1935" s="1810"/>
      <c r="C1935" s="1811"/>
      <c r="D1935" s="1812"/>
      <c r="E1935" s="1809"/>
      <c r="F1935" s="1813"/>
      <c r="G1935" s="1951"/>
      <c r="H1935" s="2028"/>
      <c r="I1935" s="2028"/>
      <c r="J1935" s="2029"/>
    </row>
    <row r="1936" spans="1:10" ht="30" customHeight="1">
      <c r="A1936" s="1778">
        <f>A1925+1</f>
        <v>96</v>
      </c>
      <c r="B1936" s="1871" t="s">
        <v>2147</v>
      </c>
      <c r="C1936" s="1939" t="s">
        <v>2652</v>
      </c>
      <c r="D1936" s="1873"/>
      <c r="E1936" s="1874"/>
      <c r="F1936" s="1875"/>
      <c r="G1936" s="1875"/>
      <c r="H1936" s="1997"/>
      <c r="I1936" s="1997"/>
      <c r="J1936" s="1947"/>
    </row>
    <row r="1937" spans="1:10" ht="15.75" customHeight="1">
      <c r="A1937" s="1948"/>
      <c r="B1937" s="1884" t="s">
        <v>1004</v>
      </c>
      <c r="C1937" s="1755" t="s">
        <v>2075</v>
      </c>
      <c r="D1937" s="1841"/>
      <c r="E1937" s="413"/>
      <c r="F1937" s="320"/>
      <c r="G1937" s="320"/>
      <c r="H1937" s="1802"/>
      <c r="I1937" s="1802"/>
      <c r="J1937" s="1803"/>
    </row>
    <row r="1938" spans="1:10" ht="15.75" customHeight="1">
      <c r="A1938" s="1948"/>
      <c r="B1938" s="1884"/>
      <c r="C1938" s="317" t="s">
        <v>2653</v>
      </c>
      <c r="D1938" s="1841">
        <v>1</v>
      </c>
      <c r="E1938" s="413" t="s">
        <v>124</v>
      </c>
      <c r="F1938" s="361">
        <f>'Bahan &amp; Upah'!C$80</f>
        <v>95665.66</v>
      </c>
      <c r="G1938" s="1785">
        <f>F1938*D1938</f>
        <v>95665.66</v>
      </c>
      <c r="H1938" s="1980">
        <v>0.44929999999999998</v>
      </c>
      <c r="I1938" s="1982">
        <f>(G1938/G$1943)*H1938</f>
        <v>0.39053484194782867</v>
      </c>
      <c r="J1938" s="1981"/>
    </row>
    <row r="1939" spans="1:10" ht="15.75" customHeight="1">
      <c r="A1939" s="1948"/>
      <c r="B1939" s="1909"/>
      <c r="C1939" s="1753" t="s">
        <v>2110</v>
      </c>
      <c r="D1939" s="1841"/>
      <c r="E1939" s="413"/>
      <c r="F1939" s="320"/>
      <c r="G1939" s="361">
        <f>SUM(G1938:G1938)</f>
        <v>95665.66</v>
      </c>
      <c r="H1939" s="1980"/>
      <c r="I1939" s="1983">
        <f>SUM(I1938)</f>
        <v>0.39053484194782867</v>
      </c>
      <c r="J1939" s="1981"/>
    </row>
    <row r="1940" spans="1:10" ht="15.75" customHeight="1">
      <c r="A1940" s="1948"/>
      <c r="B1940" s="1884" t="s">
        <v>1015</v>
      </c>
      <c r="C1940" s="1755" t="s">
        <v>2067</v>
      </c>
      <c r="D1940" s="1841"/>
      <c r="E1940" s="413"/>
      <c r="F1940" s="320"/>
      <c r="G1940" s="320"/>
      <c r="H1940" s="1980"/>
      <c r="I1940" s="1980"/>
      <c r="J1940" s="1981"/>
    </row>
    <row r="1941" spans="1:10" ht="15.75" customHeight="1">
      <c r="A1941" s="1948"/>
      <c r="B1941" s="1884"/>
      <c r="C1941" s="317" t="s">
        <v>2646</v>
      </c>
      <c r="D1941" s="1841">
        <v>1</v>
      </c>
      <c r="E1941" s="413" t="s">
        <v>124</v>
      </c>
      <c r="F1941" s="1748">
        <v>14395.15</v>
      </c>
      <c r="G1941" s="1785">
        <f>F1941*D1941</f>
        <v>14395.15</v>
      </c>
      <c r="H1941" s="1980">
        <v>1</v>
      </c>
      <c r="I1941" s="1982">
        <f>(G1941/G$1943)*H1941</f>
        <v>0.13079269541992286</v>
      </c>
      <c r="J1941" s="1981"/>
    </row>
    <row r="1942" spans="1:10" ht="15.75" customHeight="1">
      <c r="A1942" s="1948"/>
      <c r="B1942" s="1909"/>
      <c r="C1942" s="1753" t="s">
        <v>2108</v>
      </c>
      <c r="D1942" s="1841"/>
      <c r="E1942" s="413"/>
      <c r="F1942" s="320"/>
      <c r="G1942" s="361">
        <f>SUM(G1941:G1941)</f>
        <v>14395.15</v>
      </c>
      <c r="H1942" s="1980"/>
      <c r="I1942" s="1983">
        <f>SUM(I1941)</f>
        <v>0.13079269541992286</v>
      </c>
      <c r="J1942" s="1981"/>
    </row>
    <row r="1943" spans="1:10" ht="15.75" customHeight="1">
      <c r="A1943" s="1948"/>
      <c r="B1943" s="1884" t="s">
        <v>979</v>
      </c>
      <c r="C1943" s="1804" t="s">
        <v>2129</v>
      </c>
      <c r="D1943" s="1763"/>
      <c r="E1943" s="1764"/>
      <c r="F1943" s="1765"/>
      <c r="G1943" s="1765">
        <f>G1939+G1942</f>
        <v>110060.81</v>
      </c>
      <c r="H1943" s="1980"/>
      <c r="I1943" s="1984">
        <f>I1939+I1942</f>
        <v>0.5213275373677515</v>
      </c>
      <c r="J1943" s="1981"/>
    </row>
    <row r="1944" spans="1:10" ht="15.75" customHeight="1">
      <c r="A1944" s="1948"/>
      <c r="B1944" s="1884" t="s">
        <v>2093</v>
      </c>
      <c r="C1944" s="1762" t="s">
        <v>2094</v>
      </c>
      <c r="D1944" s="1767">
        <f>M$4</f>
        <v>0.15</v>
      </c>
      <c r="E1944" s="1768"/>
      <c r="F1944" s="1765"/>
      <c r="G1944" s="1765">
        <f>G1943*D1944</f>
        <v>16509.121499999997</v>
      </c>
      <c r="H1944" s="1980"/>
      <c r="I1944" s="1980"/>
      <c r="J1944" s="1981"/>
    </row>
    <row r="1945" spans="1:10" ht="15.75" customHeight="1">
      <c r="A1945" s="1949"/>
      <c r="B1945" s="1787" t="s">
        <v>2095</v>
      </c>
      <c r="C1945" s="1788" t="s">
        <v>2111</v>
      </c>
      <c r="D1945" s="1772"/>
      <c r="E1945" s="1773"/>
      <c r="F1945" s="1774"/>
      <c r="G1945" s="1998">
        <f>ROUNDUP((G1943+G1944),2)</f>
        <v>126569.93999999999</v>
      </c>
      <c r="H1945" s="1985"/>
      <c r="I1945" s="1985"/>
      <c r="J1945" s="1986"/>
    </row>
    <row r="1946" spans="1:10" ht="15.75" customHeight="1">
      <c r="A1946" s="1733"/>
      <c r="B1946" s="1733"/>
      <c r="C1946" s="1733"/>
      <c r="D1946" s="1733"/>
      <c r="E1946" s="1733"/>
      <c r="F1946" s="1733"/>
      <c r="G1946" s="1733"/>
      <c r="H1946" s="1733"/>
      <c r="I1946" s="1733"/>
      <c r="J1946" s="1733"/>
    </row>
    <row r="1947" spans="1:10" ht="30" customHeight="1">
      <c r="A1947" s="1778">
        <f>A1936+1</f>
        <v>97</v>
      </c>
      <c r="B1947" s="1871" t="s">
        <v>2147</v>
      </c>
      <c r="C1947" s="1939" t="s">
        <v>2654</v>
      </c>
      <c r="D1947" s="1873"/>
      <c r="E1947" s="1874"/>
      <c r="F1947" s="1875"/>
      <c r="G1947" s="1875"/>
      <c r="H1947" s="1997"/>
      <c r="I1947" s="1997"/>
      <c r="J1947" s="1947"/>
    </row>
    <row r="1948" spans="1:10" ht="15.75" customHeight="1">
      <c r="A1948" s="1948"/>
      <c r="B1948" s="1884" t="s">
        <v>1004</v>
      </c>
      <c r="C1948" s="1755" t="s">
        <v>2075</v>
      </c>
      <c r="D1948" s="1841"/>
      <c r="E1948" s="413"/>
      <c r="F1948" s="320"/>
      <c r="G1948" s="320"/>
      <c r="H1948" s="1802"/>
      <c r="I1948" s="1802"/>
      <c r="J1948" s="1803"/>
    </row>
    <row r="1949" spans="1:10" ht="15.75" customHeight="1">
      <c r="A1949" s="1948"/>
      <c r="B1949" s="1884"/>
      <c r="C1949" s="317" t="s">
        <v>2655</v>
      </c>
      <c r="D1949" s="1841">
        <v>1</v>
      </c>
      <c r="E1949" s="413" t="s">
        <v>124</v>
      </c>
      <c r="F1949" s="361">
        <f>'Bahan &amp; Upah'!C$81</f>
        <v>67183.360000000001</v>
      </c>
      <c r="G1949" s="1785">
        <f>F1949*D1949</f>
        <v>67183.360000000001</v>
      </c>
      <c r="H1949" s="1980">
        <v>0.44929999999999998</v>
      </c>
      <c r="I1949" s="1982">
        <f>(G1949/G$1954)*H1949</f>
        <v>0.38939072902425675</v>
      </c>
      <c r="J1949" s="1981"/>
    </row>
    <row r="1950" spans="1:10" ht="15.75" customHeight="1">
      <c r="A1950" s="1948"/>
      <c r="B1950" s="1909"/>
      <c r="C1950" s="1753" t="s">
        <v>2110</v>
      </c>
      <c r="D1950" s="1841"/>
      <c r="E1950" s="413"/>
      <c r="F1950" s="320"/>
      <c r="G1950" s="361">
        <f>SUM(G1949:G1949)</f>
        <v>67183.360000000001</v>
      </c>
      <c r="H1950" s="1980"/>
      <c r="I1950" s="1983">
        <f>SUM(I1949)</f>
        <v>0.38939072902425675</v>
      </c>
      <c r="J1950" s="1981"/>
    </row>
    <row r="1951" spans="1:10" ht="15.75" customHeight="1">
      <c r="A1951" s="1948"/>
      <c r="B1951" s="1884" t="s">
        <v>1015</v>
      </c>
      <c r="C1951" s="1755" t="s">
        <v>2067</v>
      </c>
      <c r="D1951" s="1841"/>
      <c r="E1951" s="413"/>
      <c r="F1951" s="320"/>
      <c r="G1951" s="320"/>
      <c r="H1951" s="1980"/>
      <c r="I1951" s="1980"/>
      <c r="J1951" s="1981"/>
    </row>
    <row r="1952" spans="1:10" ht="15.75" customHeight="1">
      <c r="A1952" s="1948"/>
      <c r="B1952" s="1884"/>
      <c r="C1952" s="317" t="s">
        <v>2646</v>
      </c>
      <c r="D1952" s="1841">
        <v>1</v>
      </c>
      <c r="E1952" s="413" t="s">
        <v>124</v>
      </c>
      <c r="F1952" s="1748">
        <v>10336.42</v>
      </c>
      <c r="G1952" s="1785">
        <f>F1952*D1952</f>
        <v>10336.42</v>
      </c>
      <c r="H1952" s="1980">
        <v>1</v>
      </c>
      <c r="I1952" s="1982">
        <f>(G1952/G$1954)*H1952</f>
        <v>0.13333912970341247</v>
      </c>
      <c r="J1952" s="1981"/>
    </row>
    <row r="1953" spans="1:10" ht="15.75" customHeight="1">
      <c r="A1953" s="1948"/>
      <c r="B1953" s="1909"/>
      <c r="C1953" s="1753" t="s">
        <v>2108</v>
      </c>
      <c r="D1953" s="1841"/>
      <c r="E1953" s="413"/>
      <c r="F1953" s="320"/>
      <c r="G1953" s="361">
        <f>SUM(G1952:G1952)</f>
        <v>10336.42</v>
      </c>
      <c r="H1953" s="1980"/>
      <c r="I1953" s="1983">
        <f>SUM(I1952)</f>
        <v>0.13333912970341247</v>
      </c>
      <c r="J1953" s="1981"/>
    </row>
    <row r="1954" spans="1:10" ht="15.75" customHeight="1">
      <c r="A1954" s="1948"/>
      <c r="B1954" s="1884" t="s">
        <v>979</v>
      </c>
      <c r="C1954" s="1804" t="s">
        <v>2129</v>
      </c>
      <c r="D1954" s="1763"/>
      <c r="E1954" s="1764"/>
      <c r="F1954" s="1765"/>
      <c r="G1954" s="1765">
        <f>G1950+G1953</f>
        <v>77519.78</v>
      </c>
      <c r="H1954" s="1980"/>
      <c r="I1954" s="1984">
        <f>I1950+I1953</f>
        <v>0.52272985872766919</v>
      </c>
      <c r="J1954" s="1981"/>
    </row>
    <row r="1955" spans="1:10" ht="15.75" customHeight="1">
      <c r="A1955" s="1948"/>
      <c r="B1955" s="1884" t="s">
        <v>2093</v>
      </c>
      <c r="C1955" s="1762" t="s">
        <v>2094</v>
      </c>
      <c r="D1955" s="1767">
        <f>M$4</f>
        <v>0.15</v>
      </c>
      <c r="E1955" s="1768"/>
      <c r="F1955" s="1765"/>
      <c r="G1955" s="1765">
        <f>G1954*D1955</f>
        <v>11627.966999999999</v>
      </c>
      <c r="H1955" s="1980"/>
      <c r="I1955" s="1980"/>
      <c r="J1955" s="1981"/>
    </row>
    <row r="1956" spans="1:10" ht="15.75" customHeight="1">
      <c r="A1956" s="1949"/>
      <c r="B1956" s="1787" t="s">
        <v>2095</v>
      </c>
      <c r="C1956" s="1788" t="s">
        <v>2111</v>
      </c>
      <c r="D1956" s="1772"/>
      <c r="E1956" s="1773"/>
      <c r="F1956" s="1774"/>
      <c r="G1956" s="1998">
        <f>ROUNDUP((G1954+G1955),2)</f>
        <v>89147.75</v>
      </c>
      <c r="H1956" s="1985"/>
      <c r="I1956" s="1985"/>
      <c r="J1956" s="1986"/>
    </row>
    <row r="1957" spans="1:10" ht="15.75" customHeight="1">
      <c r="A1957" s="1733"/>
      <c r="B1957" s="1733"/>
      <c r="C1957" s="1733"/>
      <c r="D1957" s="1733"/>
      <c r="E1957" s="1733"/>
      <c r="F1957" s="1733"/>
      <c r="G1957" s="1733"/>
      <c r="H1957" s="1733"/>
      <c r="I1957" s="1733"/>
      <c r="J1957" s="1733"/>
    </row>
    <row r="1958" spans="1:10" ht="30" customHeight="1">
      <c r="A1958" s="1778">
        <f>A1947+1</f>
        <v>98</v>
      </c>
      <c r="B1958" s="1871" t="s">
        <v>2147</v>
      </c>
      <c r="C1958" s="1939" t="s">
        <v>2656</v>
      </c>
      <c r="D1958" s="1873"/>
      <c r="E1958" s="1874"/>
      <c r="F1958" s="1875"/>
      <c r="G1958" s="1875"/>
      <c r="H1958" s="1997"/>
      <c r="I1958" s="1997"/>
      <c r="J1958" s="1947"/>
    </row>
    <row r="1959" spans="1:10" ht="15.75" customHeight="1">
      <c r="A1959" s="1948"/>
      <c r="B1959" s="1884" t="s">
        <v>1004</v>
      </c>
      <c r="C1959" s="1755" t="s">
        <v>2075</v>
      </c>
      <c r="D1959" s="1841"/>
      <c r="E1959" s="413"/>
      <c r="F1959" s="320"/>
      <c r="G1959" s="320"/>
      <c r="H1959" s="1802"/>
      <c r="I1959" s="1802"/>
      <c r="J1959" s="1803"/>
    </row>
    <row r="1960" spans="1:10" ht="15.75" customHeight="1">
      <c r="A1960" s="1948"/>
      <c r="B1960" s="1884"/>
      <c r="C1960" s="317" t="s">
        <v>2657</v>
      </c>
      <c r="D1960" s="1841">
        <v>1</v>
      </c>
      <c r="E1960" s="413" t="s">
        <v>89</v>
      </c>
      <c r="F1960" s="1743">
        <v>12.7</v>
      </c>
      <c r="G1960" s="361">
        <f>F1960*D1960</f>
        <v>12.7</v>
      </c>
      <c r="H1960" s="1980">
        <v>0.44929999999999998</v>
      </c>
      <c r="I1960" s="1749">
        <f>(G1960/G$1966)*H1960</f>
        <v>1.514974289634922E-5</v>
      </c>
      <c r="J1960" s="1803"/>
    </row>
    <row r="1961" spans="1:10" ht="15.75" customHeight="1">
      <c r="A1961" s="1948"/>
      <c r="B1961" s="1884"/>
      <c r="C1961" s="317" t="s">
        <v>2658</v>
      </c>
      <c r="D1961" s="1841">
        <v>1.1000000000000001</v>
      </c>
      <c r="E1961" s="413" t="s">
        <v>124</v>
      </c>
      <c r="F1961" s="361">
        <f>'Bahan &amp; Upah'!C171</f>
        <v>274858.26</v>
      </c>
      <c r="G1961" s="1785">
        <f>F1961*D1961</f>
        <v>302344.08600000001</v>
      </c>
      <c r="H1961" s="1980">
        <v>0.44929999999999998</v>
      </c>
      <c r="I1961" s="1752">
        <f>(G1961/G$1966)*H1961</f>
        <v>0.36066418654580296</v>
      </c>
      <c r="J1961" s="1981"/>
    </row>
    <row r="1962" spans="1:10" ht="15.75" customHeight="1">
      <c r="A1962" s="1948"/>
      <c r="B1962" s="1909"/>
      <c r="C1962" s="1753" t="s">
        <v>2110</v>
      </c>
      <c r="D1962" s="1841"/>
      <c r="E1962" s="413"/>
      <c r="F1962" s="320"/>
      <c r="G1962" s="361">
        <f>SUM(G1961:G1961)</f>
        <v>302344.08600000001</v>
      </c>
      <c r="H1962" s="1980"/>
      <c r="I1962" s="1983">
        <f>SUM(I1961)</f>
        <v>0.36066418654580296</v>
      </c>
      <c r="J1962" s="1981"/>
    </row>
    <row r="1963" spans="1:10" ht="15.75" customHeight="1">
      <c r="A1963" s="1948"/>
      <c r="B1963" s="1884" t="s">
        <v>1015</v>
      </c>
      <c r="C1963" s="1755" t="s">
        <v>2067</v>
      </c>
      <c r="D1963" s="1841"/>
      <c r="E1963" s="413"/>
      <c r="F1963" s="320"/>
      <c r="G1963" s="320"/>
      <c r="H1963" s="1980"/>
      <c r="I1963" s="1980"/>
      <c r="J1963" s="1981"/>
    </row>
    <row r="1964" spans="1:10" ht="15.75" customHeight="1">
      <c r="A1964" s="1948"/>
      <c r="B1964" s="1884"/>
      <c r="C1964" s="317" t="s">
        <v>2646</v>
      </c>
      <c r="D1964" s="1841">
        <v>1</v>
      </c>
      <c r="E1964" s="413" t="s">
        <v>124</v>
      </c>
      <c r="F1964" s="1748">
        <v>74303.23</v>
      </c>
      <c r="G1964" s="1785">
        <f>F1964*D1964</f>
        <v>74303.23</v>
      </c>
      <c r="H1964" s="1980">
        <v>1</v>
      </c>
      <c r="I1964" s="1752">
        <f>(G1964/G$1966)*H1964</f>
        <v>0.19727534710482311</v>
      </c>
      <c r="J1964" s="1981"/>
    </row>
    <row r="1965" spans="1:10" ht="15.75" customHeight="1">
      <c r="A1965" s="1948"/>
      <c r="B1965" s="1909"/>
      <c r="C1965" s="1753" t="s">
        <v>2108</v>
      </c>
      <c r="D1965" s="1841"/>
      <c r="E1965" s="413"/>
      <c r="F1965" s="320"/>
      <c r="G1965" s="361">
        <f>SUM(G1964:G1964)</f>
        <v>74303.23</v>
      </c>
      <c r="H1965" s="1980"/>
      <c r="I1965" s="1983">
        <f>SUM(I1964)</f>
        <v>0.19727534710482311</v>
      </c>
      <c r="J1965" s="1981"/>
    </row>
    <row r="1966" spans="1:10" ht="15.75" customHeight="1">
      <c r="A1966" s="1948"/>
      <c r="B1966" s="1884" t="s">
        <v>979</v>
      </c>
      <c r="C1966" s="1804" t="s">
        <v>2129</v>
      </c>
      <c r="D1966" s="1763"/>
      <c r="E1966" s="1764"/>
      <c r="F1966" s="1765"/>
      <c r="G1966" s="1765">
        <f>G1962+G1965</f>
        <v>376647.31599999999</v>
      </c>
      <c r="H1966" s="1980"/>
      <c r="I1966" s="1984">
        <f>I1962+I1965</f>
        <v>0.5579395336506261</v>
      </c>
      <c r="J1966" s="1981"/>
    </row>
    <row r="1967" spans="1:10" ht="15.75" customHeight="1">
      <c r="A1967" s="1948"/>
      <c r="B1967" s="1884" t="s">
        <v>2093</v>
      </c>
      <c r="C1967" s="1762" t="s">
        <v>2094</v>
      </c>
      <c r="D1967" s="1767">
        <f>M$4</f>
        <v>0.15</v>
      </c>
      <c r="E1967" s="1768"/>
      <c r="F1967" s="1765"/>
      <c r="G1967" s="1765">
        <f>G1966*D1967</f>
        <v>56497.097399999999</v>
      </c>
      <c r="H1967" s="1980"/>
      <c r="I1967" s="1980"/>
      <c r="J1967" s="1981"/>
    </row>
    <row r="1968" spans="1:10" ht="15.75" customHeight="1">
      <c r="A1968" s="1949"/>
      <c r="B1968" s="1787" t="s">
        <v>2095</v>
      </c>
      <c r="C1968" s="1788" t="s">
        <v>2111</v>
      </c>
      <c r="D1968" s="1772"/>
      <c r="E1968" s="1773"/>
      <c r="F1968" s="1774"/>
      <c r="G1968" s="1998">
        <f>ROUNDUP((G1966+G1967),2)</f>
        <v>433144.42</v>
      </c>
      <c r="H1968" s="1985"/>
      <c r="I1968" s="1985"/>
      <c r="J1968" s="1986"/>
    </row>
    <row r="1969" spans="1:10" ht="15.75" customHeight="1"/>
    <row r="1970" spans="1:10" ht="15.75" customHeight="1">
      <c r="A1970" s="1916">
        <f>A1958+1</f>
        <v>99</v>
      </c>
      <c r="B1970" s="1917" t="s">
        <v>2659</v>
      </c>
      <c r="C1970" s="2030" t="s">
        <v>2660</v>
      </c>
      <c r="D1970" s="2031"/>
      <c r="E1970" s="2032"/>
      <c r="F1970" s="2033"/>
      <c r="G1970" s="2033"/>
      <c r="H1970" s="1919"/>
      <c r="I1970" s="1919"/>
      <c r="J1970" s="1920"/>
    </row>
    <row r="1971" spans="1:10" ht="15.75" customHeight="1">
      <c r="A1971" s="1916"/>
      <c r="B1971" s="1917" t="s">
        <v>2661</v>
      </c>
      <c r="C1971" s="2030" t="s">
        <v>2662</v>
      </c>
      <c r="D1971" s="2031"/>
      <c r="E1971" s="2032"/>
      <c r="F1971" s="2033"/>
      <c r="G1971" s="2033"/>
      <c r="H1971" s="1919"/>
      <c r="I1971" s="1919"/>
      <c r="J1971" s="1920"/>
    </row>
    <row r="1972" spans="1:10" ht="15.75" customHeight="1">
      <c r="A1972" s="1780"/>
      <c r="B1972" s="1739" t="s">
        <v>1004</v>
      </c>
      <c r="C1972" s="1877" t="s">
        <v>2067</v>
      </c>
      <c r="D1972" s="390"/>
      <c r="E1972" s="413"/>
      <c r="F1972" s="320"/>
      <c r="G1972" s="320"/>
      <c r="H1972" s="1802"/>
      <c r="I1972" s="1802"/>
      <c r="J1972" s="1803"/>
    </row>
    <row r="1973" spans="1:10" ht="15.75" customHeight="1">
      <c r="A1973" s="1780"/>
      <c r="B1973" s="1739"/>
      <c r="C1973" s="1878" t="s">
        <v>2103</v>
      </c>
      <c r="D1973" s="1781">
        <f>0.35</f>
        <v>0.35</v>
      </c>
      <c r="E1973" s="413" t="s">
        <v>2069</v>
      </c>
      <c r="F1973" s="1747">
        <f>'Bahan &amp; Upah'!C$336</f>
        <v>96332.65</v>
      </c>
      <c r="G1973" s="361">
        <f>F1973*D1973</f>
        <v>33716.427499999998</v>
      </c>
      <c r="H1973" s="1749">
        <v>1</v>
      </c>
      <c r="I1973" s="1749">
        <f>(G1973/G$1995)*H1973</f>
        <v>0.17596520098203253</v>
      </c>
      <c r="J1973" s="1803"/>
    </row>
    <row r="1974" spans="1:10" ht="15.75" customHeight="1">
      <c r="A1974" s="1780"/>
      <c r="B1974" s="1739"/>
      <c r="C1974" s="1878" t="s">
        <v>2663</v>
      </c>
      <c r="D1974" s="1781">
        <f>0.35</f>
        <v>0.35</v>
      </c>
      <c r="E1974" s="413" t="s">
        <v>2069</v>
      </c>
      <c r="F1974" s="1883">
        <f>'Bahan &amp; Upah'!C$337</f>
        <v>114133.55</v>
      </c>
      <c r="G1974" s="361">
        <f>F1974*D1974</f>
        <v>39946.7425</v>
      </c>
      <c r="H1974" s="1749">
        <v>1</v>
      </c>
      <c r="I1974" s="1749">
        <f>(G1974/G$1995)*H1974</f>
        <v>0.20848106082976914</v>
      </c>
      <c r="J1974" s="1803"/>
    </row>
    <row r="1975" spans="1:10" ht="15.75" customHeight="1">
      <c r="A1975" s="1780"/>
      <c r="B1975" s="1739"/>
      <c r="C1975" s="1878" t="s">
        <v>2072</v>
      </c>
      <c r="D1975" s="1781">
        <f>0.035</f>
        <v>3.5000000000000003E-2</v>
      </c>
      <c r="E1975" s="413" t="s">
        <v>2069</v>
      </c>
      <c r="F1975" s="1748">
        <f>'Bahan &amp; Upah'!C$338</f>
        <v>125485.75</v>
      </c>
      <c r="G1975" s="361">
        <f>F1975*D1975</f>
        <v>4392.0012500000003</v>
      </c>
      <c r="H1975" s="1749">
        <v>1</v>
      </c>
      <c r="I1975" s="1749">
        <f>(G1975/G$1995)*H1975</f>
        <v>2.2921745866153472E-2</v>
      </c>
      <c r="J1975" s="1803"/>
    </row>
    <row r="1976" spans="1:10" ht="15.75" customHeight="1">
      <c r="A1976" s="1780"/>
      <c r="B1976" s="1739"/>
      <c r="C1976" s="1878" t="s">
        <v>2107</v>
      </c>
      <c r="D1976" s="1781">
        <f>0.0117</f>
        <v>1.17E-2</v>
      </c>
      <c r="E1976" s="413" t="s">
        <v>2069</v>
      </c>
      <c r="F1976" s="1883">
        <f>'Bahan &amp; Upah'!C$339</f>
        <v>102689.88</v>
      </c>
      <c r="G1976" s="1785">
        <f>F1976*D1976</f>
        <v>1201.4715960000001</v>
      </c>
      <c r="H1976" s="1749">
        <v>1</v>
      </c>
      <c r="I1976" s="1752">
        <f>(G1976/G$1995)*H1976</f>
        <v>6.2704505352574325E-3</v>
      </c>
      <c r="J1976" s="1803"/>
    </row>
    <row r="1977" spans="1:10" ht="15.75" customHeight="1">
      <c r="A1977" s="1780"/>
      <c r="B1977" s="1739"/>
      <c r="C1977" s="1889" t="s">
        <v>2108</v>
      </c>
      <c r="D1977" s="1781"/>
      <c r="E1977" s="413"/>
      <c r="F1977" s="320"/>
      <c r="G1977" s="344">
        <f>SUM(G1973:G1976)</f>
        <v>79256.642846000002</v>
      </c>
      <c r="H1977" s="1749"/>
      <c r="I1977" s="1994">
        <f>SUM(I1973:I1976)</f>
        <v>0.41363845821321255</v>
      </c>
      <c r="J1977" s="1803"/>
    </row>
    <row r="1978" spans="1:10" ht="15.75" customHeight="1">
      <c r="A1978" s="1780"/>
      <c r="B1978" s="1739" t="s">
        <v>1015</v>
      </c>
      <c r="C1978" s="1877" t="s">
        <v>2075</v>
      </c>
      <c r="D1978" s="1781"/>
      <c r="E1978" s="413"/>
      <c r="F1978" s="320"/>
      <c r="G1978" s="320"/>
      <c r="H1978" s="1749"/>
      <c r="I1978" s="1994"/>
      <c r="J1978" s="1803"/>
    </row>
    <row r="1979" spans="1:10" ht="15.75" customHeight="1">
      <c r="A1979" s="1780"/>
      <c r="B1979" s="1739"/>
      <c r="C1979" s="1878" t="s">
        <v>2664</v>
      </c>
      <c r="D1979" s="1781">
        <v>4</v>
      </c>
      <c r="E1979" s="413" t="s">
        <v>117</v>
      </c>
      <c r="F1979" s="1747">
        <f>'Bahan &amp; Upah'!C$364/4</f>
        <v>18447.432499999999</v>
      </c>
      <c r="G1979" s="361">
        <f>F1979*D1979</f>
        <v>73789.73</v>
      </c>
      <c r="H1979" s="1749">
        <v>0.64300000000000002</v>
      </c>
      <c r="I1979" s="1749">
        <f>(G1979/G$1995)*H1979</f>
        <v>0.24762365653122431</v>
      </c>
      <c r="J1979" s="1803"/>
    </row>
    <row r="1980" spans="1:10" ht="15.75" customHeight="1">
      <c r="A1980" s="1780"/>
      <c r="B1980" s="1739"/>
      <c r="C1980" s="1878" t="s">
        <v>2577</v>
      </c>
      <c r="D1980" s="1781">
        <f>1.2/1000*20</f>
        <v>2.3999999999999997E-2</v>
      </c>
      <c r="E1980" s="413" t="s">
        <v>100</v>
      </c>
      <c r="F1980" s="1883">
        <f>'Bahan &amp; Upah'!C$55</f>
        <v>200974.51</v>
      </c>
      <c r="G1980" s="1969">
        <f>F1980*D1980</f>
        <v>4823.3882399999993</v>
      </c>
      <c r="H1980" s="1749">
        <v>0.26490000000000002</v>
      </c>
      <c r="I1980" s="1752">
        <f>(G1980/G$1995)*H1980</f>
        <v>6.6683658176530129E-3</v>
      </c>
      <c r="J1980" s="1803"/>
    </row>
    <row r="1981" spans="1:10" ht="15.75" customHeight="1">
      <c r="A1981" s="1780"/>
      <c r="B1981" s="1909"/>
      <c r="C1981" s="316"/>
      <c r="D1981" s="1756"/>
      <c r="E1981" s="333"/>
      <c r="F1981" s="328"/>
      <c r="G1981" s="344">
        <f>SUM(G1979:G1980)</f>
        <v>78613.118239999996</v>
      </c>
      <c r="H1981" s="1802"/>
      <c r="I1981" s="2034">
        <f>SUM(I1979:I1980)</f>
        <v>0.25429202234887732</v>
      </c>
      <c r="J1981" s="1803"/>
    </row>
    <row r="1982" spans="1:10" s="1996" customFormat="1" ht="15.75" customHeight="1">
      <c r="A1982" s="1916"/>
      <c r="B1982" s="1917" t="s">
        <v>2665</v>
      </c>
      <c r="C1982" s="2030" t="s">
        <v>2666</v>
      </c>
      <c r="D1982" s="2031"/>
      <c r="E1982" s="2032"/>
      <c r="F1982" s="2033"/>
      <c r="G1982" s="2033"/>
      <c r="H1982" s="1919"/>
      <c r="I1982" s="1919"/>
      <c r="J1982" s="1920"/>
    </row>
    <row r="1983" spans="1:10" s="1996" customFormat="1" ht="15.75" customHeight="1">
      <c r="A1983" s="1780"/>
      <c r="B1983" s="1739" t="s">
        <v>1004</v>
      </c>
      <c r="C1983" s="1877" t="s">
        <v>2067</v>
      </c>
      <c r="D1983" s="390"/>
      <c r="E1983" s="413"/>
      <c r="F1983" s="320"/>
      <c r="G1983" s="320"/>
      <c r="H1983" s="1979"/>
      <c r="I1983" s="1979"/>
      <c r="J1983" s="2035"/>
    </row>
    <row r="1984" spans="1:10" s="1996" customFormat="1" ht="15.75" customHeight="1">
      <c r="A1984" s="1780"/>
      <c r="B1984" s="1739"/>
      <c r="C1984" s="1878" t="s">
        <v>2103</v>
      </c>
      <c r="D1984" s="1781">
        <v>0.03</v>
      </c>
      <c r="E1984" s="413" t="s">
        <v>2069</v>
      </c>
      <c r="F1984" s="1747">
        <f>'Bahan &amp; Upah'!C$336</f>
        <v>96332.65</v>
      </c>
      <c r="G1984" s="361">
        <f>F1984*D1984</f>
        <v>2889.9794999999999</v>
      </c>
      <c r="H1984" s="2036">
        <v>1</v>
      </c>
      <c r="I1984" s="1749">
        <f>(G1984/G$1995)*H1984</f>
        <v>1.5082731512745647E-2</v>
      </c>
      <c r="J1984" s="1819"/>
    </row>
    <row r="1985" spans="1:12" s="1996" customFormat="1" ht="15.75" customHeight="1">
      <c r="A1985" s="1780"/>
      <c r="B1985" s="1739"/>
      <c r="C1985" s="1878" t="s">
        <v>2070</v>
      </c>
      <c r="D1985" s="1781">
        <v>7.0000000000000007E-2</v>
      </c>
      <c r="E1985" s="413" t="s">
        <v>2069</v>
      </c>
      <c r="F1985" s="1883">
        <f>'Bahan &amp; Upah'!C$337</f>
        <v>114133.55</v>
      </c>
      <c r="G1985" s="361">
        <f>F1985*D1985</f>
        <v>7989.348500000001</v>
      </c>
      <c r="H1985" s="2036">
        <v>1</v>
      </c>
      <c r="I1985" s="1749">
        <f>(G1985/G$1995)*H1985</f>
        <v>4.169621216595383E-2</v>
      </c>
      <c r="J1985" s="1819"/>
    </row>
    <row r="1986" spans="1:12" s="1996" customFormat="1" ht="15.75" customHeight="1">
      <c r="A1986" s="1780"/>
      <c r="B1986" s="1739"/>
      <c r="C1986" s="1878" t="s">
        <v>2072</v>
      </c>
      <c r="D1986" s="1781">
        <v>7.0000000000000001E-3</v>
      </c>
      <c r="E1986" s="413" t="s">
        <v>2069</v>
      </c>
      <c r="F1986" s="1748">
        <f>'Bahan &amp; Upah'!C$338</f>
        <v>125485.75</v>
      </c>
      <c r="G1986" s="361">
        <f>F1986*D1986</f>
        <v>878.40025000000003</v>
      </c>
      <c r="H1986" s="2036">
        <v>1</v>
      </c>
      <c r="I1986" s="1749">
        <f>(G1986/G$1995)*H1986</f>
        <v>4.5843491732306943E-3</v>
      </c>
      <c r="J1986" s="1819"/>
    </row>
    <row r="1987" spans="1:12" s="1996" customFormat="1" ht="15.75" customHeight="1">
      <c r="A1987" s="1780"/>
      <c r="B1987" s="1739"/>
      <c r="C1987" s="1878" t="s">
        <v>2107</v>
      </c>
      <c r="D1987" s="1781">
        <v>2.3E-3</v>
      </c>
      <c r="E1987" s="413" t="s">
        <v>2069</v>
      </c>
      <c r="F1987" s="1883">
        <f>'Bahan &amp; Upah'!C$339</f>
        <v>102689.88</v>
      </c>
      <c r="G1987" s="1785">
        <f>F1987*D1987</f>
        <v>236.186724</v>
      </c>
      <c r="H1987" s="2036">
        <v>1</v>
      </c>
      <c r="I1987" s="1752">
        <f>(G1987/G$1995)*H1987</f>
        <v>1.2326526693241106E-3</v>
      </c>
      <c r="J1987" s="1819"/>
    </row>
    <row r="1988" spans="1:12" s="1996" customFormat="1" ht="15.75" customHeight="1">
      <c r="A1988" s="1780"/>
      <c r="B1988" s="1739"/>
      <c r="C1988" s="1889" t="s">
        <v>2108</v>
      </c>
      <c r="D1988" s="1781"/>
      <c r="E1988" s="413"/>
      <c r="F1988" s="320"/>
      <c r="G1988" s="344">
        <f>SUM(G1984:G1987)</f>
        <v>11993.914974000001</v>
      </c>
      <c r="H1988" s="2036"/>
      <c r="I1988" s="2037">
        <f>SUM(I1984:I1987)</f>
        <v>6.2595945521254276E-2</v>
      </c>
      <c r="J1988" s="1819"/>
    </row>
    <row r="1989" spans="1:12" s="1996" customFormat="1" ht="15.75" customHeight="1">
      <c r="A1989" s="1780"/>
      <c r="B1989" s="1739" t="s">
        <v>1015</v>
      </c>
      <c r="C1989" s="1877" t="s">
        <v>2075</v>
      </c>
      <c r="D1989" s="1781"/>
      <c r="E1989" s="413"/>
      <c r="F1989" s="320"/>
      <c r="G1989" s="320"/>
      <c r="H1989" s="2036"/>
      <c r="I1989" s="2037"/>
      <c r="J1989" s="1819"/>
    </row>
    <row r="1990" spans="1:12" s="1996" customFormat="1" ht="15.75" customHeight="1">
      <c r="A1990" s="1780"/>
      <c r="B1990" s="1739"/>
      <c r="C1990" s="1878" t="s">
        <v>2667</v>
      </c>
      <c r="D1990" s="1781">
        <v>1.21</v>
      </c>
      <c r="E1990" s="413" t="s">
        <v>89</v>
      </c>
      <c r="F1990" s="1747">
        <f>'Bahan &amp; Upah'!C$112/(1.2*2.4)</f>
        <v>16309.979166666666</v>
      </c>
      <c r="G1990" s="361">
        <f>F1990*D1990</f>
        <v>19735.074791666666</v>
      </c>
      <c r="H1990" s="2036">
        <v>0.83389999999999997</v>
      </c>
      <c r="I1990" s="1749">
        <f>(G1990/G$1995)*H1990</f>
        <v>8.5889087469911224E-2</v>
      </c>
      <c r="J1990" s="1819"/>
      <c r="L1990" s="2038" t="s">
        <v>2668</v>
      </c>
    </row>
    <row r="1991" spans="1:12" s="1996" customFormat="1" ht="15.75" customHeight="1">
      <c r="A1991" s="1780"/>
      <c r="B1991" s="1739"/>
      <c r="C1991" s="1878" t="s">
        <v>2577</v>
      </c>
      <c r="D1991" s="1781">
        <v>0.01</v>
      </c>
      <c r="E1991" s="413" t="s">
        <v>100</v>
      </c>
      <c r="F1991" s="1883">
        <f>'Bahan &amp; Upah'!C$55</f>
        <v>200974.51</v>
      </c>
      <c r="G1991" s="1969">
        <f>F1991*D1991</f>
        <v>2009.7451000000001</v>
      </c>
      <c r="H1991" s="2036">
        <v>0.27879999999999999</v>
      </c>
      <c r="I1991" s="1752">
        <f>(G1991/G$1995)*H1991</f>
        <v>2.9242802157444002E-3</v>
      </c>
      <c r="J1991" s="1819"/>
    </row>
    <row r="1992" spans="1:12" s="1996" customFormat="1" ht="15.75" customHeight="1">
      <c r="A1992" s="1780"/>
      <c r="B1992" s="1784"/>
      <c r="C1992" s="1878"/>
      <c r="D1992" s="1781"/>
      <c r="E1992" s="413"/>
      <c r="F1992" s="1883"/>
      <c r="G1992" s="344">
        <f>SUM(G1990:G1991)</f>
        <v>21744.819891666666</v>
      </c>
      <c r="H1992" s="2036"/>
      <c r="I1992" s="2037">
        <f>SUM(I1990:I1991)</f>
        <v>8.881336768565562E-2</v>
      </c>
      <c r="J1992" s="1819"/>
    </row>
    <row r="1993" spans="1:12" s="1996" customFormat="1" ht="15.75" customHeight="1">
      <c r="A1993" s="1780"/>
      <c r="B1993" s="1739" t="s">
        <v>1048</v>
      </c>
      <c r="C1993" s="1877" t="s">
        <v>2246</v>
      </c>
      <c r="D1993" s="1756"/>
      <c r="E1993" s="333"/>
      <c r="F1993" s="1883"/>
      <c r="G1993" s="332"/>
      <c r="H1993" s="2036"/>
      <c r="I1993" s="2036"/>
      <c r="J1993" s="1819"/>
    </row>
    <row r="1994" spans="1:12" s="1996" customFormat="1" ht="15.75" customHeight="1">
      <c r="A1994" s="1780"/>
      <c r="B1994" s="1909"/>
      <c r="C1994" s="1878"/>
      <c r="D1994" s="1756"/>
      <c r="E1994" s="333"/>
      <c r="F1994" s="328"/>
      <c r="G1994" s="344">
        <v>0</v>
      </c>
      <c r="H1994" s="2036"/>
      <c r="I1994" s="2036"/>
      <c r="J1994" s="1819"/>
    </row>
    <row r="1995" spans="1:12" s="1996" customFormat="1" ht="15.75" customHeight="1">
      <c r="A1995" s="1780"/>
      <c r="B1995" s="1784"/>
      <c r="C1995" s="1804" t="s">
        <v>2242</v>
      </c>
      <c r="D1995" s="1763"/>
      <c r="E1995" s="1764"/>
      <c r="F1995" s="1765"/>
      <c r="G1995" s="1765">
        <f>G1977+G1981+G1988+G1992</f>
        <v>191608.4959516667</v>
      </c>
      <c r="H1995" s="2036"/>
      <c r="I1995" s="2039">
        <f>I1977+I1981+I1988+I1992</f>
        <v>0.81933979376899968</v>
      </c>
      <c r="J1995" s="1819"/>
    </row>
    <row r="1996" spans="1:12" s="1996" customFormat="1" ht="15.75" customHeight="1">
      <c r="A1996" s="1780"/>
      <c r="B1996" s="1784"/>
      <c r="C1996" s="1762" t="s">
        <v>2094</v>
      </c>
      <c r="D1996" s="1823">
        <f>M$4</f>
        <v>0.15</v>
      </c>
      <c r="E1996" s="1768"/>
      <c r="F1996" s="1765"/>
      <c r="G1996" s="1765">
        <f>G1995*D1996</f>
        <v>28741.274392750005</v>
      </c>
      <c r="H1996" s="2036"/>
      <c r="I1996" s="2036"/>
      <c r="J1996" s="1819"/>
    </row>
    <row r="1997" spans="1:12" s="1996" customFormat="1" ht="15.75" customHeight="1">
      <c r="A1997" s="1786"/>
      <c r="B1997" s="1890"/>
      <c r="C1997" s="1788" t="s">
        <v>2111</v>
      </c>
      <c r="D1997" s="1772"/>
      <c r="E1997" s="1773"/>
      <c r="F1997" s="1774"/>
      <c r="G1997" s="1775">
        <f>ROUNDUP((G1995+G1996),2)</f>
        <v>220349.78</v>
      </c>
      <c r="H1997" s="2040"/>
      <c r="I1997" s="2040"/>
      <c r="J1997" s="2041"/>
    </row>
    <row r="1998" spans="1:12" ht="15.75" customHeight="1"/>
    <row r="1999" spans="1:12" ht="15.75" customHeight="1">
      <c r="A1999" s="1916">
        <f>A1970+1</f>
        <v>100</v>
      </c>
      <c r="B1999" s="1917" t="s">
        <v>2659</v>
      </c>
      <c r="C1999" s="2030" t="s">
        <v>2669</v>
      </c>
      <c r="D1999" s="2031"/>
      <c r="E1999" s="2032"/>
      <c r="F1999" s="2033"/>
      <c r="G1999" s="2033"/>
      <c r="H1999" s="1919"/>
      <c r="I1999" s="1919"/>
      <c r="J1999" s="1920"/>
    </row>
    <row r="2000" spans="1:12" ht="15.75" customHeight="1">
      <c r="A2000" s="1916"/>
      <c r="B2000" s="1917" t="s">
        <v>2661</v>
      </c>
      <c r="C2000" s="2030" t="s">
        <v>2670</v>
      </c>
      <c r="D2000" s="2031"/>
      <c r="E2000" s="2032"/>
      <c r="F2000" s="2033"/>
      <c r="G2000" s="2033"/>
      <c r="H2000" s="1919"/>
      <c r="I2000" s="1919"/>
      <c r="J2000" s="1920"/>
    </row>
    <row r="2001" spans="1:10" ht="15.75" customHeight="1">
      <c r="A2001" s="2042"/>
      <c r="B2001" s="1739" t="s">
        <v>1004</v>
      </c>
      <c r="C2001" s="1877" t="s">
        <v>2067</v>
      </c>
      <c r="D2001" s="390"/>
      <c r="E2001" s="413"/>
      <c r="F2001" s="320"/>
      <c r="G2001" s="320"/>
      <c r="H2001" s="1980"/>
      <c r="I2001" s="1980"/>
      <c r="J2001" s="1981"/>
    </row>
    <row r="2002" spans="1:10" ht="15.75" customHeight="1">
      <c r="A2002" s="2042"/>
      <c r="B2002" s="1739"/>
      <c r="C2002" s="1878" t="s">
        <v>2103</v>
      </c>
      <c r="D2002" s="1781">
        <f>0.35</f>
        <v>0.35</v>
      </c>
      <c r="E2002" s="413" t="s">
        <v>2069</v>
      </c>
      <c r="F2002" s="1747">
        <f>'Bahan &amp; Upah'!C$336</f>
        <v>96332.65</v>
      </c>
      <c r="G2002" s="361">
        <f>F2002*D2002</f>
        <v>33716.427499999998</v>
      </c>
      <c r="H2002" s="1980">
        <v>1</v>
      </c>
      <c r="I2002" s="1980">
        <f>(G2002/G$2022)*H2002</f>
        <v>8.7881798966157706E-2</v>
      </c>
      <c r="J2002" s="1981"/>
    </row>
    <row r="2003" spans="1:10" ht="15.75" customHeight="1">
      <c r="A2003" s="2042"/>
      <c r="B2003" s="1739"/>
      <c r="C2003" s="1878" t="s">
        <v>2104</v>
      </c>
      <c r="D2003" s="1781">
        <f>0.35</f>
        <v>0.35</v>
      </c>
      <c r="E2003" s="413" t="s">
        <v>2069</v>
      </c>
      <c r="F2003" s="1883">
        <f>'Bahan &amp; Upah'!C$337</f>
        <v>114133.55</v>
      </c>
      <c r="G2003" s="361">
        <f>F2003*D2003</f>
        <v>39946.7425</v>
      </c>
      <c r="H2003" s="1980">
        <v>1</v>
      </c>
      <c r="I2003" s="1980">
        <f>(G2003/G$2022)*H2003</f>
        <v>0.10412110220567908</v>
      </c>
      <c r="J2003" s="1981"/>
    </row>
    <row r="2004" spans="1:10" ht="15.75" customHeight="1">
      <c r="A2004" s="2042"/>
      <c r="B2004" s="1739"/>
      <c r="C2004" s="1878" t="s">
        <v>2072</v>
      </c>
      <c r="D2004" s="1781">
        <f>0.035</f>
        <v>3.5000000000000003E-2</v>
      </c>
      <c r="E2004" s="413" t="s">
        <v>2069</v>
      </c>
      <c r="F2004" s="1748">
        <f>'Bahan &amp; Upah'!C$338</f>
        <v>125485.75</v>
      </c>
      <c r="G2004" s="361">
        <f>F2004*D2004</f>
        <v>4392.0012500000003</v>
      </c>
      <c r="H2004" s="1980">
        <v>1</v>
      </c>
      <c r="I2004" s="1980">
        <f>(G2004/G$2022)*H2004</f>
        <v>1.144774222926238E-2</v>
      </c>
      <c r="J2004" s="1981"/>
    </row>
    <row r="2005" spans="1:10" ht="15.75" customHeight="1">
      <c r="A2005" s="2042"/>
      <c r="B2005" s="1739"/>
      <c r="C2005" s="1878" t="s">
        <v>2107</v>
      </c>
      <c r="D2005" s="1781">
        <f>0.0117</f>
        <v>1.17E-2</v>
      </c>
      <c r="E2005" s="413" t="s">
        <v>2069</v>
      </c>
      <c r="F2005" s="1883">
        <f>'Bahan &amp; Upah'!C$339</f>
        <v>102689.88</v>
      </c>
      <c r="G2005" s="1785">
        <f>F2005*D2005</f>
        <v>1201.4715960000001</v>
      </c>
      <c r="H2005" s="1980">
        <v>1</v>
      </c>
      <c r="I2005" s="1982">
        <f>(G2005/G$2022)*H2005</f>
        <v>3.1316332450471115E-3</v>
      </c>
      <c r="J2005" s="1981"/>
    </row>
    <row r="2006" spans="1:10" ht="15.75" customHeight="1">
      <c r="A2006" s="2042"/>
      <c r="B2006" s="1739"/>
      <c r="C2006" s="1889" t="s">
        <v>2108</v>
      </c>
      <c r="D2006" s="1841"/>
      <c r="E2006" s="413"/>
      <c r="F2006" s="320"/>
      <c r="G2006" s="344">
        <f>SUM(G2002:G2005)</f>
        <v>79256.642846000002</v>
      </c>
      <c r="H2006" s="1980"/>
      <c r="I2006" s="1983">
        <f>SUM(I2002:I2005)</f>
        <v>0.20658227664614626</v>
      </c>
      <c r="J2006" s="1981"/>
    </row>
    <row r="2007" spans="1:10" ht="15.75" customHeight="1">
      <c r="A2007" s="2042"/>
      <c r="B2007" s="1739" t="s">
        <v>1015</v>
      </c>
      <c r="C2007" s="1877" t="s">
        <v>2075</v>
      </c>
      <c r="D2007" s="1841"/>
      <c r="E2007" s="413"/>
      <c r="F2007" s="317"/>
      <c r="G2007" s="320"/>
      <c r="H2007" s="1980"/>
      <c r="I2007" s="1980"/>
      <c r="J2007" s="1981"/>
    </row>
    <row r="2008" spans="1:10" ht="15.75" customHeight="1">
      <c r="A2008" s="2042"/>
      <c r="B2008" s="1739"/>
      <c r="C2008" s="1878" t="s">
        <v>2671</v>
      </c>
      <c r="D2008" s="1841">
        <v>4</v>
      </c>
      <c r="E2008" s="413" t="s">
        <v>117</v>
      </c>
      <c r="F2008" s="1747">
        <f>'Bahan &amp; Upah'!C$84</f>
        <v>44599.78</v>
      </c>
      <c r="G2008" s="361">
        <f>F2008*D2008</f>
        <v>178399.12</v>
      </c>
      <c r="H2008" s="1980">
        <v>0.64300000000000002</v>
      </c>
      <c r="I2008" s="1980">
        <f>(G2008/G$2022)*H2008</f>
        <v>0.29899303212149581</v>
      </c>
      <c r="J2008" s="1981"/>
    </row>
    <row r="2009" spans="1:10" ht="15.75" customHeight="1">
      <c r="A2009" s="2042"/>
      <c r="B2009" s="1739"/>
      <c r="C2009" s="1878" t="s">
        <v>2672</v>
      </c>
      <c r="D2009" s="1841">
        <v>10</v>
      </c>
      <c r="E2009" s="413" t="s">
        <v>2673</v>
      </c>
      <c r="F2009" s="1747">
        <f>G2008</f>
        <v>178399.12</v>
      </c>
      <c r="G2009" s="1785">
        <f>F2009*10%</f>
        <v>17839.912</v>
      </c>
      <c r="H2009" s="1980">
        <v>1</v>
      </c>
      <c r="I2009" s="1982">
        <f>(G2009/G$2022)*H2009</f>
        <v>4.6499693953576331E-2</v>
      </c>
      <c r="J2009" s="1981"/>
    </row>
    <row r="2010" spans="1:10" ht="15.75" customHeight="1">
      <c r="A2010" s="2042"/>
      <c r="B2010" s="1784"/>
      <c r="C2010" s="1878"/>
      <c r="D2010" s="1841"/>
      <c r="E2010" s="413"/>
      <c r="F2010" s="320"/>
      <c r="G2010" s="344">
        <f>SUM(G2008:G2009)</f>
        <v>196239.03200000001</v>
      </c>
      <c r="H2010" s="1980"/>
      <c r="I2010" s="1983">
        <f>SUM(I2008:I2009)</f>
        <v>0.34549272607507214</v>
      </c>
      <c r="J2010" s="1981"/>
    </row>
    <row r="2011" spans="1:10" ht="15.75" customHeight="1">
      <c r="A2011" s="1916"/>
      <c r="B2011" s="1917"/>
      <c r="C2011" s="2030" t="s">
        <v>2674</v>
      </c>
      <c r="D2011" s="2031"/>
      <c r="E2011" s="2032"/>
      <c r="F2011" s="2033"/>
      <c r="G2011" s="2033"/>
      <c r="H2011" s="1919"/>
      <c r="I2011" s="1919"/>
      <c r="J2011" s="1920"/>
    </row>
    <row r="2012" spans="1:10" ht="15.75" customHeight="1">
      <c r="A2012" s="2042"/>
      <c r="B2012" s="1739" t="s">
        <v>1048</v>
      </c>
      <c r="C2012" s="1877" t="s">
        <v>2067</v>
      </c>
      <c r="D2012" s="390"/>
      <c r="E2012" s="413"/>
      <c r="F2012" s="320"/>
      <c r="G2012" s="320"/>
      <c r="H2012" s="1980"/>
      <c r="I2012" s="1980"/>
      <c r="J2012" s="1981"/>
    </row>
    <row r="2013" spans="1:10" ht="15.75" customHeight="1">
      <c r="A2013" s="2042"/>
      <c r="B2013" s="1739"/>
      <c r="C2013" s="1878" t="s">
        <v>2103</v>
      </c>
      <c r="D2013" s="1841">
        <v>0.1</v>
      </c>
      <c r="E2013" s="413" t="s">
        <v>2069</v>
      </c>
      <c r="F2013" s="1747">
        <f>'Bahan &amp; Upah'!C$336</f>
        <v>96332.65</v>
      </c>
      <c r="G2013" s="361">
        <f>F2013*D2013</f>
        <v>9633.2649999999994</v>
      </c>
      <c r="H2013" s="1980">
        <v>1</v>
      </c>
      <c r="I2013" s="1980">
        <f>(G2013/G$2022)*H2013</f>
        <v>2.5109085418902204E-2</v>
      </c>
      <c r="J2013" s="1981"/>
    </row>
    <row r="2014" spans="1:10" ht="15.75" customHeight="1">
      <c r="A2014" s="2042"/>
      <c r="B2014" s="1739"/>
      <c r="C2014" s="1878" t="s">
        <v>2104</v>
      </c>
      <c r="D2014" s="1841">
        <v>0.05</v>
      </c>
      <c r="E2014" s="413" t="s">
        <v>2069</v>
      </c>
      <c r="F2014" s="1883">
        <f>'Bahan &amp; Upah'!C$337</f>
        <v>114133.55</v>
      </c>
      <c r="G2014" s="361">
        <f>F2014*D2014</f>
        <v>5706.6775000000007</v>
      </c>
      <c r="H2014" s="1980">
        <v>1</v>
      </c>
      <c r="I2014" s="1980">
        <f>(G2014/G$2022)*H2014</f>
        <v>1.4874443172239869E-2</v>
      </c>
      <c r="J2014" s="1981"/>
    </row>
    <row r="2015" spans="1:10" ht="15.75" customHeight="1">
      <c r="A2015" s="2042"/>
      <c r="B2015" s="1739"/>
      <c r="C2015" s="1878" t="s">
        <v>2072</v>
      </c>
      <c r="D2015" s="1841">
        <v>5.0000000000000001E-3</v>
      </c>
      <c r="E2015" s="413" t="s">
        <v>2069</v>
      </c>
      <c r="F2015" s="1748">
        <f>'Bahan &amp; Upah'!C$338</f>
        <v>125485.75</v>
      </c>
      <c r="G2015" s="361">
        <f>F2015*D2015</f>
        <v>627.42875000000004</v>
      </c>
      <c r="H2015" s="1980">
        <v>1</v>
      </c>
      <c r="I2015" s="1980">
        <f>(G2015/G$2022)*H2015</f>
        <v>1.6353917470374828E-3</v>
      </c>
      <c r="J2015" s="1981"/>
    </row>
    <row r="2016" spans="1:10" ht="15.75" customHeight="1">
      <c r="A2016" s="2042"/>
      <c r="B2016" s="1739"/>
      <c r="C2016" s="1878" t="s">
        <v>2107</v>
      </c>
      <c r="D2016" s="1841">
        <v>5.0000000000000001E-3</v>
      </c>
      <c r="E2016" s="413" t="s">
        <v>2069</v>
      </c>
      <c r="F2016" s="1883">
        <f>'Bahan &amp; Upah'!C$339</f>
        <v>102689.88</v>
      </c>
      <c r="G2016" s="1785">
        <f>F2016*D2016</f>
        <v>513.44940000000008</v>
      </c>
      <c r="H2016" s="1980">
        <v>1</v>
      </c>
      <c r="I2016" s="1982">
        <f>(G2016/G$2022)*H2016</f>
        <v>1.3383048055756889E-3</v>
      </c>
      <c r="J2016" s="1981"/>
    </row>
    <row r="2017" spans="1:10" ht="15.75" customHeight="1">
      <c r="A2017" s="2042"/>
      <c r="B2017" s="1739"/>
      <c r="C2017" s="1889" t="s">
        <v>2108</v>
      </c>
      <c r="D2017" s="1841"/>
      <c r="E2017" s="413"/>
      <c r="F2017" s="320"/>
      <c r="G2017" s="344">
        <f>SUM(G2013:G2016)</f>
        <v>16480.820650000001</v>
      </c>
      <c r="H2017" s="1980"/>
      <c r="I2017" s="1983">
        <f>SUM(I2013:I2016)</f>
        <v>4.2957225143755239E-2</v>
      </c>
      <c r="J2017" s="1981"/>
    </row>
    <row r="2018" spans="1:10" ht="15.75" customHeight="1">
      <c r="A2018" s="2042"/>
      <c r="B2018" s="1739" t="s">
        <v>979</v>
      </c>
      <c r="C2018" s="1877" t="s">
        <v>2075</v>
      </c>
      <c r="D2018" s="1841"/>
      <c r="E2018" s="413"/>
      <c r="F2018" s="317"/>
      <c r="G2018" s="320"/>
      <c r="H2018" s="1980"/>
      <c r="I2018" s="1980"/>
      <c r="J2018" s="1981"/>
    </row>
    <row r="2019" spans="1:10" ht="15.75" customHeight="1">
      <c r="A2019" s="2042"/>
      <c r="B2019" s="1739"/>
      <c r="C2019" s="1878" t="s">
        <v>2675</v>
      </c>
      <c r="D2019" s="1841">
        <f>5*1.1</f>
        <v>5.5</v>
      </c>
      <c r="E2019" s="413" t="s">
        <v>117</v>
      </c>
      <c r="F2019" s="1747">
        <f>'Bahan &amp; Upah'!C$114</f>
        <v>12649.61</v>
      </c>
      <c r="G2019" s="361">
        <f>F2019*D2019</f>
        <v>69572.85500000001</v>
      </c>
      <c r="H2019" s="1980">
        <v>0.7278</v>
      </c>
      <c r="I2019" s="1980">
        <f>(G2019/G$2022)*H2019</f>
        <v>0.13198034627132288</v>
      </c>
      <c r="J2019" s="1981"/>
    </row>
    <row r="2020" spans="1:10" ht="15.75" customHeight="1">
      <c r="A2020" s="2042"/>
      <c r="B2020" s="1739"/>
      <c r="C2020" s="1878" t="s">
        <v>2676</v>
      </c>
      <c r="D2020" s="1841">
        <v>0.11</v>
      </c>
      <c r="E2020" s="413" t="s">
        <v>100</v>
      </c>
      <c r="F2020" s="1747">
        <f>'Bahan &amp; Upah'!C$55</f>
        <v>200974.51</v>
      </c>
      <c r="G2020" s="1785">
        <f>F2020*D2020</f>
        <v>22107.196100000001</v>
      </c>
      <c r="H2020" s="1980">
        <v>0.27879999999999999</v>
      </c>
      <c r="I2020" s="1980">
        <f>(G2020/G$2022)*H2020</f>
        <v>1.6065114299145023E-2</v>
      </c>
      <c r="J2020" s="1981"/>
    </row>
    <row r="2021" spans="1:10" ht="15.75" customHeight="1">
      <c r="A2021" s="2042"/>
      <c r="B2021" s="1784"/>
      <c r="C2021" s="1878"/>
      <c r="D2021" s="1841"/>
      <c r="E2021" s="413"/>
      <c r="F2021" s="320"/>
      <c r="G2021" s="344">
        <f>SUM(G2019:G2020)</f>
        <v>91680.051100000012</v>
      </c>
      <c r="H2021" s="1980"/>
      <c r="I2021" s="1982">
        <f>SUM(I2019:I2020)</f>
        <v>0.14804546057046791</v>
      </c>
      <c r="J2021" s="2043"/>
    </row>
    <row r="2022" spans="1:10" ht="15.75" customHeight="1">
      <c r="A2022" s="2042"/>
      <c r="B2022" s="1784"/>
      <c r="C2022" s="1804" t="s">
        <v>2298</v>
      </c>
      <c r="D2022" s="1763"/>
      <c r="E2022" s="1764"/>
      <c r="F2022" s="1765"/>
      <c r="G2022" s="1765">
        <f>G2006+G2010+G2017+G2021</f>
        <v>383656.54659600009</v>
      </c>
      <c r="H2022" s="1980"/>
      <c r="I2022" s="1983"/>
      <c r="J2022" s="2043"/>
    </row>
    <row r="2023" spans="1:10" ht="15.75" customHeight="1">
      <c r="A2023" s="2042"/>
      <c r="B2023" s="1784"/>
      <c r="C2023" s="1804" t="s">
        <v>2677</v>
      </c>
      <c r="D2023" s="1767">
        <f>M$4</f>
        <v>0.15</v>
      </c>
      <c r="E2023" s="1764"/>
      <c r="F2023" s="1765"/>
      <c r="G2023" s="1765">
        <f>G2022*D2023</f>
        <v>57548.48198940001</v>
      </c>
      <c r="H2023" s="1980"/>
      <c r="I2023" s="1984">
        <f>I2006+I2010+I2017+I2021</f>
        <v>0.74307768843544153</v>
      </c>
      <c r="J2023" s="2043"/>
    </row>
    <row r="2024" spans="1:10" ht="15.75" customHeight="1">
      <c r="A2024" s="1949"/>
      <c r="B2024" s="1890"/>
      <c r="C2024" s="1788" t="s">
        <v>2111</v>
      </c>
      <c r="D2024" s="1772"/>
      <c r="E2024" s="1773"/>
      <c r="F2024" s="1774"/>
      <c r="G2024" s="1998">
        <f>ROUNDUP((G2022+G2023),2)</f>
        <v>441205.03</v>
      </c>
      <c r="H2024" s="1985"/>
      <c r="I2024" s="1985"/>
      <c r="J2024" s="2044"/>
    </row>
    <row r="2025" spans="1:10" ht="15.75" customHeight="1">
      <c r="A2025" s="1733"/>
      <c r="B2025" s="1733"/>
      <c r="C2025" s="1733"/>
      <c r="D2025" s="1733"/>
      <c r="E2025" s="1733"/>
      <c r="F2025" s="1733"/>
      <c r="G2025" s="1733"/>
      <c r="H2025" s="1733"/>
      <c r="I2025" s="1733"/>
      <c r="J2025" s="1733"/>
    </row>
    <row r="2026" spans="1:10" ht="15.75" customHeight="1">
      <c r="A2026" s="1916">
        <f>A1999+1</f>
        <v>101</v>
      </c>
      <c r="B2026" s="1917" t="s">
        <v>2659</v>
      </c>
      <c r="C2026" s="2030" t="s">
        <v>2678</v>
      </c>
      <c r="D2026" s="2031"/>
      <c r="E2026" s="2032"/>
      <c r="F2026" s="2033"/>
      <c r="G2026" s="2033"/>
      <c r="H2026" s="1919"/>
      <c r="I2026" s="1919"/>
      <c r="J2026" s="1920"/>
    </row>
    <row r="2027" spans="1:10" ht="15.75" customHeight="1">
      <c r="A2027" s="1916"/>
      <c r="B2027" s="1917" t="s">
        <v>2661</v>
      </c>
      <c r="C2027" s="2030" t="s">
        <v>2670</v>
      </c>
      <c r="D2027" s="2031"/>
      <c r="E2027" s="2032"/>
      <c r="F2027" s="2033"/>
      <c r="G2027" s="2033"/>
      <c r="H2027" s="1919"/>
      <c r="I2027" s="1919"/>
      <c r="J2027" s="1920"/>
    </row>
    <row r="2028" spans="1:10" ht="15.75" customHeight="1">
      <c r="A2028" s="1780"/>
      <c r="B2028" s="1739" t="s">
        <v>1004</v>
      </c>
      <c r="C2028" s="1877" t="s">
        <v>2067</v>
      </c>
      <c r="D2028" s="390"/>
      <c r="E2028" s="413"/>
      <c r="F2028" s="320"/>
      <c r="G2028" s="320"/>
      <c r="H2028" s="1802"/>
      <c r="I2028" s="1802"/>
      <c r="J2028" s="1803"/>
    </row>
    <row r="2029" spans="1:10" ht="15.75" customHeight="1">
      <c r="A2029" s="1780"/>
      <c r="B2029" s="1739"/>
      <c r="C2029" s="1878" t="s">
        <v>2103</v>
      </c>
      <c r="D2029" s="1781">
        <f>0.35</f>
        <v>0.35</v>
      </c>
      <c r="E2029" s="413" t="s">
        <v>2069</v>
      </c>
      <c r="F2029" s="1747">
        <f>'Bahan &amp; Upah'!C$336</f>
        <v>96332.65</v>
      </c>
      <c r="G2029" s="361">
        <f>F2029*D2029</f>
        <v>33716.427499999998</v>
      </c>
      <c r="H2029" s="1749">
        <v>1</v>
      </c>
      <c r="I2029" s="1749">
        <f>(G2029/G$2051)*H2029</f>
        <v>0.15256203900011697</v>
      </c>
      <c r="J2029" s="1803"/>
    </row>
    <row r="2030" spans="1:10" ht="15.75" customHeight="1">
      <c r="A2030" s="1780"/>
      <c r="B2030" s="1739"/>
      <c r="C2030" s="1878" t="s">
        <v>2663</v>
      </c>
      <c r="D2030" s="1781">
        <f>0.35</f>
        <v>0.35</v>
      </c>
      <c r="E2030" s="413" t="s">
        <v>2069</v>
      </c>
      <c r="F2030" s="1883">
        <f>'Bahan &amp; Upah'!C$337</f>
        <v>114133.55</v>
      </c>
      <c r="G2030" s="361">
        <f>F2030*D2030</f>
        <v>39946.7425</v>
      </c>
      <c r="H2030" s="1749">
        <v>1</v>
      </c>
      <c r="I2030" s="1749">
        <f>(G2030/G$2051)*H2030</f>
        <v>0.18075332824667237</v>
      </c>
      <c r="J2030" s="1803"/>
    </row>
    <row r="2031" spans="1:10" ht="15.75" customHeight="1">
      <c r="A2031" s="1780"/>
      <c r="B2031" s="1739"/>
      <c r="C2031" s="1878" t="s">
        <v>2072</v>
      </c>
      <c r="D2031" s="1781">
        <f>0.035</f>
        <v>3.5000000000000003E-2</v>
      </c>
      <c r="E2031" s="413" t="s">
        <v>2069</v>
      </c>
      <c r="F2031" s="1748">
        <f>'Bahan &amp; Upah'!C$338</f>
        <v>125485.75</v>
      </c>
      <c r="G2031" s="361">
        <f>F2031*D2031</f>
        <v>4392.0012500000003</v>
      </c>
      <c r="H2031" s="1749">
        <v>1</v>
      </c>
      <c r="I2031" s="1749">
        <f>(G2031/G$2051)*H2031</f>
        <v>1.9873180988438429E-2</v>
      </c>
      <c r="J2031" s="1803"/>
    </row>
    <row r="2032" spans="1:10" ht="15.75" customHeight="1">
      <c r="A2032" s="1780"/>
      <c r="B2032" s="1739"/>
      <c r="C2032" s="1878" t="s">
        <v>2107</v>
      </c>
      <c r="D2032" s="1781">
        <f>0.0117</f>
        <v>1.17E-2</v>
      </c>
      <c r="E2032" s="413" t="s">
        <v>2069</v>
      </c>
      <c r="F2032" s="1883">
        <f>'Bahan &amp; Upah'!C$339</f>
        <v>102689.88</v>
      </c>
      <c r="G2032" s="1785">
        <f>F2032*D2032</f>
        <v>1201.4715960000001</v>
      </c>
      <c r="H2032" s="1749">
        <v>1</v>
      </c>
      <c r="I2032" s="1749">
        <f>(G2032/G$2051)*H2032</f>
        <v>5.4364880883802065E-3</v>
      </c>
      <c r="J2032" s="1803"/>
    </row>
    <row r="2033" spans="1:10" ht="15.75" customHeight="1">
      <c r="A2033" s="1780"/>
      <c r="B2033" s="1739"/>
      <c r="C2033" s="1889" t="s">
        <v>2108</v>
      </c>
      <c r="D2033" s="1781"/>
      <c r="E2033" s="413"/>
      <c r="F2033" s="320"/>
      <c r="G2033" s="344">
        <f>SUM(G2029:G2032)</f>
        <v>79256.642846000002</v>
      </c>
      <c r="H2033" s="1749"/>
      <c r="I2033" s="1994">
        <f>SUM(I2029:I2032)</f>
        <v>0.35862503632360798</v>
      </c>
      <c r="J2033" s="1803"/>
    </row>
    <row r="2034" spans="1:10" ht="15.75" customHeight="1">
      <c r="A2034" s="1780"/>
      <c r="B2034" s="1739" t="s">
        <v>1015</v>
      </c>
      <c r="C2034" s="1877" t="s">
        <v>2075</v>
      </c>
      <c r="D2034" s="1781"/>
      <c r="E2034" s="413"/>
      <c r="F2034" s="320"/>
      <c r="G2034" s="320"/>
      <c r="H2034" s="1749"/>
      <c r="I2034" s="1994"/>
      <c r="J2034" s="1803"/>
    </row>
    <row r="2035" spans="1:10" ht="15.75" customHeight="1">
      <c r="A2035" s="1780"/>
      <c r="B2035" s="1739"/>
      <c r="C2035" s="1878" t="s">
        <v>2679</v>
      </c>
      <c r="D2035" s="1781">
        <v>4</v>
      </c>
      <c r="E2035" s="413" t="s">
        <v>117</v>
      </c>
      <c r="F2035" s="1747">
        <f>'Bahan &amp; Upah'!C$365/4</f>
        <v>15538.397499999999</v>
      </c>
      <c r="G2035" s="361">
        <f>F2035*D2035</f>
        <v>62153.59</v>
      </c>
      <c r="H2035" s="1749">
        <v>0.64300000000000002</v>
      </c>
      <c r="I2035" s="1749">
        <f>(G2035/G$2051)*H2035</f>
        <v>0.18083484749605194</v>
      </c>
      <c r="J2035" s="1803"/>
    </row>
    <row r="2036" spans="1:10" ht="15.75" customHeight="1">
      <c r="A2036" s="1780"/>
      <c r="B2036" s="1739"/>
      <c r="C2036" s="1878" t="s">
        <v>2577</v>
      </c>
      <c r="D2036" s="1781">
        <f>1.2/1000*20</f>
        <v>2.3999999999999997E-2</v>
      </c>
      <c r="E2036" s="413" t="s">
        <v>100</v>
      </c>
      <c r="F2036" s="1747">
        <f>'Bahan &amp; Upah'!C$55</f>
        <v>200974.51</v>
      </c>
      <c r="G2036" s="1969">
        <f>F2036*D2036</f>
        <v>4823.3882399999993</v>
      </c>
      <c r="H2036" s="1749">
        <v>0.26490000000000002</v>
      </c>
      <c r="I2036" s="1749">
        <f>(G2036/G$2051)*H2036</f>
        <v>5.7814811125280639E-3</v>
      </c>
      <c r="J2036" s="1803"/>
    </row>
    <row r="2037" spans="1:10" ht="15.75" customHeight="1">
      <c r="A2037" s="1780"/>
      <c r="B2037" s="1909"/>
      <c r="C2037" s="1889" t="s">
        <v>2091</v>
      </c>
      <c r="D2037" s="1756"/>
      <c r="E2037" s="333"/>
      <c r="F2037" s="328"/>
      <c r="G2037" s="344">
        <f>SUM(G2035:G2036)</f>
        <v>66976.978239999997</v>
      </c>
      <c r="H2037" s="1802"/>
      <c r="I2037" s="2034">
        <f>SUM(I2035:I2036)</f>
        <v>0.18661632860858002</v>
      </c>
      <c r="J2037" s="1803"/>
    </row>
    <row r="2038" spans="1:10" ht="15.75" customHeight="1">
      <c r="A2038" s="1916"/>
      <c r="B2038" s="1917" t="s">
        <v>2680</v>
      </c>
      <c r="C2038" s="2030" t="s">
        <v>2681</v>
      </c>
      <c r="D2038" s="2031"/>
      <c r="E2038" s="2032"/>
      <c r="F2038" s="2033"/>
      <c r="G2038" s="2033"/>
      <c r="H2038" s="1919"/>
      <c r="I2038" s="1919"/>
      <c r="J2038" s="1920"/>
    </row>
    <row r="2039" spans="1:10" ht="15.75" customHeight="1">
      <c r="A2039" s="1780"/>
      <c r="B2039" s="1884" t="s">
        <v>1004</v>
      </c>
      <c r="C2039" s="1877" t="s">
        <v>2067</v>
      </c>
      <c r="D2039" s="428"/>
      <c r="E2039" s="333"/>
      <c r="F2039" s="328"/>
      <c r="G2039" s="328"/>
      <c r="H2039" s="1802"/>
      <c r="I2039" s="1802"/>
      <c r="J2039" s="1803"/>
    </row>
    <row r="2040" spans="1:10" ht="15.75" customHeight="1">
      <c r="A2040" s="1780"/>
      <c r="B2040" s="1884"/>
      <c r="C2040" s="1878" t="s">
        <v>2103</v>
      </c>
      <c r="D2040" s="1756">
        <v>0.1</v>
      </c>
      <c r="E2040" s="333" t="s">
        <v>2069</v>
      </c>
      <c r="F2040" s="1747">
        <f>'Bahan &amp; Upah'!C$336</f>
        <v>96332.65</v>
      </c>
      <c r="G2040" s="332">
        <f>F2040*D2040</f>
        <v>9633.2649999999994</v>
      </c>
      <c r="H2040" s="1749">
        <v>1</v>
      </c>
      <c r="I2040" s="1749">
        <f>(G2040/G$2051)*H2040</f>
        <v>4.3589154000033423E-2</v>
      </c>
      <c r="J2040" s="1750"/>
    </row>
    <row r="2041" spans="1:10" ht="15.75" customHeight="1">
      <c r="A2041" s="1780"/>
      <c r="B2041" s="1884"/>
      <c r="C2041" s="1878" t="s">
        <v>2070</v>
      </c>
      <c r="D2041" s="1756">
        <v>0.05</v>
      </c>
      <c r="E2041" s="333" t="s">
        <v>2069</v>
      </c>
      <c r="F2041" s="1747">
        <f>'Bahan &amp; Upah'!C$337</f>
        <v>114133.55</v>
      </c>
      <c r="G2041" s="332">
        <f>F2041*D2041</f>
        <v>5706.6775000000007</v>
      </c>
      <c r="H2041" s="1749">
        <v>1</v>
      </c>
      <c r="I2041" s="1749">
        <f>(G2041/G$2051)*H2041</f>
        <v>2.5821904035238912E-2</v>
      </c>
      <c r="J2041" s="1750"/>
    </row>
    <row r="2042" spans="1:10" ht="15.75" customHeight="1">
      <c r="A2042" s="1780"/>
      <c r="B2042" s="1739"/>
      <c r="C2042" s="1878" t="s">
        <v>2072</v>
      </c>
      <c r="D2042" s="1781">
        <v>5.0000000000000001E-3</v>
      </c>
      <c r="E2042" s="413" t="s">
        <v>2069</v>
      </c>
      <c r="F2042" s="1748">
        <f>'Bahan &amp; Upah'!C$338</f>
        <v>125485.75</v>
      </c>
      <c r="G2042" s="361">
        <f>F2042*D2042</f>
        <v>627.42875000000004</v>
      </c>
      <c r="H2042" s="1749">
        <v>1</v>
      </c>
      <c r="I2042" s="1749">
        <f>(G2042/G$2051)*H2042</f>
        <v>2.8390258554912041E-3</v>
      </c>
      <c r="J2042" s="1750"/>
    </row>
    <row r="2043" spans="1:10" ht="15.75" customHeight="1">
      <c r="A2043" s="1780"/>
      <c r="B2043" s="1739"/>
      <c r="C2043" s="1878" t="s">
        <v>2107</v>
      </c>
      <c r="D2043" s="1781">
        <v>1.6999999999999999E-3</v>
      </c>
      <c r="E2043" s="413" t="s">
        <v>2069</v>
      </c>
      <c r="F2043" s="1883">
        <f>'Bahan &amp; Upah'!C$339</f>
        <v>102689.88</v>
      </c>
      <c r="G2043" s="1785">
        <f>F2043*D2043</f>
        <v>174.57279600000001</v>
      </c>
      <c r="H2043" s="1749">
        <v>1</v>
      </c>
      <c r="I2043" s="1749">
        <f>(G2043/G$2051)*H2043</f>
        <v>7.899170726706282E-4</v>
      </c>
      <c r="J2043" s="1750"/>
    </row>
    <row r="2044" spans="1:10" ht="15.75" customHeight="1">
      <c r="A2044" s="1780"/>
      <c r="B2044" s="1739"/>
      <c r="C2044" s="1889" t="s">
        <v>2108</v>
      </c>
      <c r="D2044" s="1781"/>
      <c r="E2044" s="413"/>
      <c r="F2044" s="320"/>
      <c r="G2044" s="344">
        <f>SUM(G2040:G2043)</f>
        <v>16141.944046000001</v>
      </c>
      <c r="H2044" s="1749"/>
      <c r="I2044" s="1994">
        <f>SUM(I2040:I2043)</f>
        <v>7.3040000963434173E-2</v>
      </c>
      <c r="J2044" s="1750"/>
    </row>
    <row r="2045" spans="1:10" ht="15.75" customHeight="1">
      <c r="A2045" s="1780"/>
      <c r="B2045" s="1739" t="s">
        <v>1015</v>
      </c>
      <c r="C2045" s="1877" t="s">
        <v>2075</v>
      </c>
      <c r="D2045" s="1781"/>
      <c r="E2045" s="413"/>
      <c r="F2045" s="320"/>
      <c r="G2045" s="320"/>
      <c r="H2045" s="1749"/>
      <c r="I2045" s="1994"/>
      <c r="J2045" s="1750"/>
    </row>
    <row r="2046" spans="1:10" ht="15.75" customHeight="1">
      <c r="A2046" s="1780"/>
      <c r="B2046" s="1739"/>
      <c r="C2046" s="1878" t="s">
        <v>2682</v>
      </c>
      <c r="D2046" s="1781">
        <v>0.36399999999999999</v>
      </c>
      <c r="E2046" s="413" t="s">
        <v>2086</v>
      </c>
      <c r="F2046" s="1747">
        <f>'Bahan &amp; Upah'!C$111</f>
        <v>100325.99</v>
      </c>
      <c r="G2046" s="361">
        <f>F2046*D2046</f>
        <v>36518.660360000002</v>
      </c>
      <c r="H2046" s="1749">
        <v>0.3034</v>
      </c>
      <c r="I2046" s="1749">
        <f>(G2046/G$2051)*H2046</f>
        <v>5.0134345170316653E-2</v>
      </c>
      <c r="J2046" s="1750"/>
    </row>
    <row r="2047" spans="1:10" ht="15.75" customHeight="1">
      <c r="A2047" s="1780"/>
      <c r="B2047" s="1739"/>
      <c r="C2047" s="1878" t="s">
        <v>2577</v>
      </c>
      <c r="D2047" s="1781">
        <v>0.11</v>
      </c>
      <c r="E2047" s="413" t="s">
        <v>100</v>
      </c>
      <c r="F2047" s="1747">
        <f>'Bahan &amp; Upah'!C$55</f>
        <v>200974.51</v>
      </c>
      <c r="G2047" s="1969">
        <f>F2047*D2047</f>
        <v>22107.196100000001</v>
      </c>
      <c r="H2047" s="1749">
        <v>0.27879999999999999</v>
      </c>
      <c r="I2047" s="1749">
        <f>(G2047/G$2051)*H2047</f>
        <v>2.7888898760382957E-2</v>
      </c>
      <c r="J2047" s="1750"/>
    </row>
    <row r="2048" spans="1:10" ht="15.75" customHeight="1">
      <c r="A2048" s="1780"/>
      <c r="B2048" s="1784"/>
      <c r="C2048" s="1889" t="s">
        <v>2091</v>
      </c>
      <c r="D2048" s="1781"/>
      <c r="E2048" s="413"/>
      <c r="F2048" s="1883"/>
      <c r="G2048" s="344">
        <f>SUM(G2046:G2047)</f>
        <v>58625.856460000003</v>
      </c>
      <c r="H2048" s="1749"/>
      <c r="I2048" s="1994">
        <f>SUM(I2046:I2047)</f>
        <v>7.8023243930699607E-2</v>
      </c>
      <c r="J2048" s="1750"/>
    </row>
    <row r="2049" spans="1:10" ht="15.75" customHeight="1">
      <c r="A2049" s="1780"/>
      <c r="B2049" s="1739" t="s">
        <v>1048</v>
      </c>
      <c r="C2049" s="1877" t="s">
        <v>2246</v>
      </c>
      <c r="D2049" s="1756"/>
      <c r="E2049" s="333"/>
      <c r="F2049" s="1883"/>
      <c r="G2049" s="332"/>
      <c r="H2049" s="1749"/>
      <c r="I2049" s="1749"/>
      <c r="J2049" s="1750"/>
    </row>
    <row r="2050" spans="1:10" ht="15.75" customHeight="1">
      <c r="A2050" s="1780"/>
      <c r="B2050" s="1909"/>
      <c r="C2050" s="1878"/>
      <c r="D2050" s="1756"/>
      <c r="E2050" s="333"/>
      <c r="F2050" s="328"/>
      <c r="G2050" s="344">
        <v>0</v>
      </c>
      <c r="H2050" s="1749"/>
      <c r="I2050" s="1749"/>
      <c r="J2050" s="1750"/>
    </row>
    <row r="2051" spans="1:10" ht="15.75" customHeight="1">
      <c r="A2051" s="1780"/>
      <c r="B2051" s="1784"/>
      <c r="C2051" s="1804" t="s">
        <v>2242</v>
      </c>
      <c r="D2051" s="1763"/>
      <c r="E2051" s="1764"/>
      <c r="F2051" s="1765"/>
      <c r="G2051" s="1765">
        <f>G2033+G2037+G2044+G2048</f>
        <v>221001.421592</v>
      </c>
      <c r="H2051" s="1749"/>
      <c r="I2051" s="1766">
        <f>I2033+I2037+I2044+I2048</f>
        <v>0.69630460982632181</v>
      </c>
      <c r="J2051" s="1750"/>
    </row>
    <row r="2052" spans="1:10" ht="15.75" customHeight="1">
      <c r="A2052" s="1780"/>
      <c r="B2052" s="1784"/>
      <c r="C2052" s="1762" t="s">
        <v>2094</v>
      </c>
      <c r="D2052" s="1767">
        <f>M$4</f>
        <v>0.15</v>
      </c>
      <c r="E2052" s="1768"/>
      <c r="F2052" s="1765"/>
      <c r="G2052" s="1765">
        <f>G2051*D2052</f>
        <v>33150.213238799995</v>
      </c>
      <c r="H2052" s="1749"/>
      <c r="I2052" s="1749"/>
      <c r="J2052" s="1750"/>
    </row>
    <row r="2053" spans="1:10" ht="15.75" customHeight="1">
      <c r="A2053" s="1786"/>
      <c r="B2053" s="1890"/>
      <c r="C2053" s="1788" t="s">
        <v>2111</v>
      </c>
      <c r="D2053" s="1772"/>
      <c r="E2053" s="1773"/>
      <c r="F2053" s="1774"/>
      <c r="G2053" s="1775">
        <f>ROUNDUP((G2051+G2052),2)</f>
        <v>254151.64</v>
      </c>
      <c r="H2053" s="1937"/>
      <c r="I2053" s="1937"/>
      <c r="J2053" s="1938"/>
    </row>
    <row r="2054" spans="1:10" ht="15.75" customHeight="1">
      <c r="A2054" s="1733"/>
      <c r="B2054" s="1733"/>
      <c r="C2054" s="1733"/>
      <c r="D2054" s="1733"/>
      <c r="E2054" s="1733"/>
      <c r="F2054" s="1733"/>
      <c r="G2054" s="1733"/>
      <c r="H2054" s="1733"/>
      <c r="I2054" s="1733"/>
      <c r="J2054" s="1733"/>
    </row>
    <row r="2055" spans="1:10" ht="15.75" customHeight="1">
      <c r="A2055" s="1916">
        <f>A2026+1</f>
        <v>102</v>
      </c>
      <c r="B2055" s="1917" t="s">
        <v>2659</v>
      </c>
      <c r="C2055" s="2030" t="s">
        <v>2683</v>
      </c>
      <c r="D2055" s="2031"/>
      <c r="E2055" s="2032"/>
      <c r="F2055" s="2033"/>
      <c r="G2055" s="2033"/>
      <c r="H2055" s="1919"/>
      <c r="I2055" s="1919"/>
      <c r="J2055" s="1920"/>
    </row>
    <row r="2056" spans="1:10" ht="15.75" customHeight="1">
      <c r="A2056" s="1916"/>
      <c r="B2056" s="1917" t="s">
        <v>2661</v>
      </c>
      <c r="C2056" s="2030" t="s">
        <v>2670</v>
      </c>
      <c r="D2056" s="2031"/>
      <c r="E2056" s="2032"/>
      <c r="F2056" s="2033"/>
      <c r="G2056" s="2033"/>
      <c r="H2056" s="1919"/>
      <c r="I2056" s="1919"/>
      <c r="J2056" s="1920"/>
    </row>
    <row r="2057" spans="1:10" ht="15.75" customHeight="1">
      <c r="A2057" s="1780"/>
      <c r="B2057" s="1739" t="s">
        <v>1004</v>
      </c>
      <c r="C2057" s="1877" t="s">
        <v>2067</v>
      </c>
      <c r="D2057" s="390"/>
      <c r="E2057" s="413"/>
      <c r="F2057" s="320"/>
      <c r="G2057" s="320"/>
      <c r="H2057" s="1802"/>
      <c r="I2057" s="1802"/>
      <c r="J2057" s="1803"/>
    </row>
    <row r="2058" spans="1:10" ht="15.75" customHeight="1">
      <c r="A2058" s="1780"/>
      <c r="B2058" s="1739"/>
      <c r="C2058" s="1878" t="s">
        <v>2103</v>
      </c>
      <c r="D2058" s="1781">
        <f>0.35</f>
        <v>0.35</v>
      </c>
      <c r="E2058" s="413" t="s">
        <v>2069</v>
      </c>
      <c r="F2058" s="1747">
        <f>'Bahan &amp; Upah'!C$336</f>
        <v>96332.65</v>
      </c>
      <c r="G2058" s="361">
        <f>F2058*D2058</f>
        <v>33716.427499999998</v>
      </c>
      <c r="H2058" s="1749">
        <v>1</v>
      </c>
      <c r="I2058" s="1749">
        <f>(G2058/G$2080)*H2058</f>
        <v>8.1380674285066401E-2</v>
      </c>
      <c r="J2058" s="1803"/>
    </row>
    <row r="2059" spans="1:10" ht="15.75" customHeight="1">
      <c r="A2059" s="1780"/>
      <c r="B2059" s="1739"/>
      <c r="C2059" s="1878" t="s">
        <v>2663</v>
      </c>
      <c r="D2059" s="1781">
        <f>0.35</f>
        <v>0.35</v>
      </c>
      <c r="E2059" s="413" t="s">
        <v>2069</v>
      </c>
      <c r="F2059" s="1883">
        <f>'Bahan &amp; Upah'!C$337</f>
        <v>114133.55</v>
      </c>
      <c r="G2059" s="361">
        <f>F2059*D2059</f>
        <v>39946.7425</v>
      </c>
      <c r="H2059" s="1749">
        <v>1</v>
      </c>
      <c r="I2059" s="1749">
        <f>(G2059/G$2080)*H2059</f>
        <v>9.6418662390667556E-2</v>
      </c>
      <c r="J2059" s="1803"/>
    </row>
    <row r="2060" spans="1:10" ht="15.75" customHeight="1">
      <c r="A2060" s="1780"/>
      <c r="B2060" s="1739"/>
      <c r="C2060" s="1878" t="s">
        <v>2072</v>
      </c>
      <c r="D2060" s="1781">
        <f>0.035</f>
        <v>3.5000000000000003E-2</v>
      </c>
      <c r="E2060" s="413" t="s">
        <v>2069</v>
      </c>
      <c r="F2060" s="1748">
        <f>'Bahan &amp; Upah'!C$338</f>
        <v>125485.75</v>
      </c>
      <c r="G2060" s="361">
        <f>F2060*D2060</f>
        <v>4392.0012500000003</v>
      </c>
      <c r="H2060" s="1749">
        <v>1</v>
      </c>
      <c r="I2060" s="1749">
        <f>(G2060/G$2080)*H2060</f>
        <v>1.0600886561479698E-2</v>
      </c>
      <c r="J2060" s="1803"/>
    </row>
    <row r="2061" spans="1:10" ht="15.75" customHeight="1">
      <c r="A2061" s="1780"/>
      <c r="B2061" s="1739"/>
      <c r="C2061" s="1878" t="s">
        <v>2107</v>
      </c>
      <c r="D2061" s="1781">
        <f>0.0117</f>
        <v>1.17E-2</v>
      </c>
      <c r="E2061" s="413" t="s">
        <v>2069</v>
      </c>
      <c r="F2061" s="1883">
        <f>'Bahan &amp; Upah'!C$339</f>
        <v>102689.88</v>
      </c>
      <c r="G2061" s="1785">
        <f>F2061*D2061</f>
        <v>1201.4715960000001</v>
      </c>
      <c r="H2061" s="1749">
        <v>1</v>
      </c>
      <c r="I2061" s="1749">
        <f>(G2061/G$2080)*H2061</f>
        <v>2.8999682311192342E-3</v>
      </c>
      <c r="J2061" s="1803"/>
    </row>
    <row r="2062" spans="1:10" ht="15.75" customHeight="1">
      <c r="A2062" s="1780"/>
      <c r="B2062" s="1739"/>
      <c r="C2062" s="1889" t="s">
        <v>2108</v>
      </c>
      <c r="D2062" s="1781"/>
      <c r="E2062" s="413"/>
      <c r="F2062" s="320"/>
      <c r="G2062" s="361">
        <f>SUM(G2058:G2061)</f>
        <v>79256.642846000002</v>
      </c>
      <c r="H2062" s="1749"/>
      <c r="I2062" s="1994">
        <f>SUM(I2058:I2061)</f>
        <v>0.19130019146833288</v>
      </c>
      <c r="J2062" s="1803"/>
    </row>
    <row r="2063" spans="1:10" ht="15.75" customHeight="1">
      <c r="A2063" s="1780"/>
      <c r="B2063" s="1739" t="s">
        <v>1015</v>
      </c>
      <c r="C2063" s="1877" t="s">
        <v>2075</v>
      </c>
      <c r="D2063" s="1781"/>
      <c r="E2063" s="413"/>
      <c r="F2063" s="320"/>
      <c r="G2063" s="320"/>
      <c r="H2063" s="1749"/>
      <c r="I2063" s="1994"/>
      <c r="J2063" s="1803"/>
    </row>
    <row r="2064" spans="1:10" ht="15.75" customHeight="1">
      <c r="A2064" s="1780"/>
      <c r="B2064" s="1739"/>
      <c r="C2064" s="1878" t="s">
        <v>2684</v>
      </c>
      <c r="D2064" s="1781">
        <v>4</v>
      </c>
      <c r="E2064" s="413" t="s">
        <v>117</v>
      </c>
      <c r="F2064" s="1747">
        <f>'Bahan &amp; Upah'!C$84</f>
        <v>44599.78</v>
      </c>
      <c r="G2064" s="361">
        <f>F2064*D2064</f>
        <v>178399.12</v>
      </c>
      <c r="H2064" s="1749">
        <v>0.64300000000000002</v>
      </c>
      <c r="I2064" s="1749">
        <f>(G2064/G$2080)*H2064</f>
        <v>0.27687478916941516</v>
      </c>
      <c r="J2064" s="1803"/>
    </row>
    <row r="2065" spans="1:10" ht="15.75" customHeight="1">
      <c r="A2065" s="1780"/>
      <c r="B2065" s="1739"/>
      <c r="C2065" s="1878" t="s">
        <v>2503</v>
      </c>
      <c r="D2065" s="1781">
        <v>0.05</v>
      </c>
      <c r="E2065" s="413" t="s">
        <v>100</v>
      </c>
      <c r="F2065" s="1883">
        <f>'Bahan &amp; Upah'!C$60</f>
        <v>63394.53</v>
      </c>
      <c r="G2065" s="1969">
        <f>F2065*D2065</f>
        <v>3169.7265000000002</v>
      </c>
      <c r="H2065" s="1749">
        <v>0.26490000000000002</v>
      </c>
      <c r="I2065" s="1749">
        <f>(G2065/G$2080)*H2065</f>
        <v>2.0266720641551549E-3</v>
      </c>
      <c r="J2065" s="1803"/>
    </row>
    <row r="2066" spans="1:10" ht="15.75" customHeight="1">
      <c r="A2066" s="1780"/>
      <c r="B2066" s="1909"/>
      <c r="C2066" s="1889" t="s">
        <v>2091</v>
      </c>
      <c r="D2066" s="1756"/>
      <c r="E2066" s="333"/>
      <c r="F2066" s="328"/>
      <c r="G2066" s="361">
        <f>SUM(G2064:G2065)</f>
        <v>181568.84649999999</v>
      </c>
      <c r="H2066" s="1802"/>
      <c r="I2066" s="2034">
        <f>SUM(I2064:I2065)</f>
        <v>0.27890146123357029</v>
      </c>
      <c r="J2066" s="1803"/>
    </row>
    <row r="2067" spans="1:10" ht="15.75" customHeight="1">
      <c r="A2067" s="1916"/>
      <c r="B2067" s="1917" t="s">
        <v>2665</v>
      </c>
      <c r="C2067" s="2030" t="s">
        <v>2685</v>
      </c>
      <c r="D2067" s="2031"/>
      <c r="E2067" s="2032"/>
      <c r="F2067" s="2033"/>
      <c r="G2067" s="2033"/>
      <c r="H2067" s="1919"/>
      <c r="I2067" s="1919"/>
      <c r="J2067" s="1920"/>
    </row>
    <row r="2068" spans="1:10" ht="15.75" customHeight="1">
      <c r="A2068" s="1780"/>
      <c r="B2068" s="1884" t="s">
        <v>1004</v>
      </c>
      <c r="C2068" s="1877" t="s">
        <v>2067</v>
      </c>
      <c r="D2068" s="428"/>
      <c r="E2068" s="333"/>
      <c r="F2068" s="328"/>
      <c r="G2068" s="328"/>
      <c r="H2068" s="1802"/>
      <c r="I2068" s="1802"/>
      <c r="J2068" s="1803"/>
    </row>
    <row r="2069" spans="1:10" ht="15.75" customHeight="1">
      <c r="A2069" s="1780"/>
      <c r="B2069" s="1884"/>
      <c r="C2069" s="1878" t="s">
        <v>2103</v>
      </c>
      <c r="D2069" s="1781">
        <v>0.03</v>
      </c>
      <c r="E2069" s="333" t="s">
        <v>2069</v>
      </c>
      <c r="F2069" s="1747">
        <f>'Bahan &amp; Upah'!C$336</f>
        <v>96332.65</v>
      </c>
      <c r="G2069" s="332">
        <f>F2069*D2069</f>
        <v>2889.9794999999999</v>
      </c>
      <c r="H2069" s="1749">
        <v>1</v>
      </c>
      <c r="I2069" s="1749">
        <f>(G2069/G$2080)*H2069</f>
        <v>6.9754863672914069E-3</v>
      </c>
      <c r="J2069" s="1750"/>
    </row>
    <row r="2070" spans="1:10" ht="15.75" customHeight="1">
      <c r="A2070" s="1780"/>
      <c r="B2070" s="1884"/>
      <c r="C2070" s="1878" t="s">
        <v>2070</v>
      </c>
      <c r="D2070" s="1781">
        <v>7.0000000000000007E-2</v>
      </c>
      <c r="E2070" s="333" t="s">
        <v>2069</v>
      </c>
      <c r="F2070" s="1747">
        <f>'Bahan &amp; Upah'!C$337</f>
        <v>114133.55</v>
      </c>
      <c r="G2070" s="332">
        <f>F2070*D2070</f>
        <v>7989.348500000001</v>
      </c>
      <c r="H2070" s="1749">
        <v>1</v>
      </c>
      <c r="I2070" s="1749">
        <f>(G2070/G$2080)*H2070</f>
        <v>1.9283732478133513E-2</v>
      </c>
      <c r="J2070" s="1750"/>
    </row>
    <row r="2071" spans="1:10" ht="15.75" customHeight="1">
      <c r="A2071" s="1780"/>
      <c r="B2071" s="1739"/>
      <c r="C2071" s="1878" t="s">
        <v>2072</v>
      </c>
      <c r="D2071" s="1781">
        <v>7.0000000000000001E-3</v>
      </c>
      <c r="E2071" s="413" t="s">
        <v>2069</v>
      </c>
      <c r="F2071" s="1748">
        <f>'Bahan &amp; Upah'!C$338</f>
        <v>125485.75</v>
      </c>
      <c r="G2071" s="361">
        <f>F2071*D2071</f>
        <v>878.40025000000003</v>
      </c>
      <c r="H2071" s="1749">
        <v>1</v>
      </c>
      <c r="I2071" s="1749">
        <f>(G2071/G$2080)*H2071</f>
        <v>2.1201773122959395E-3</v>
      </c>
      <c r="J2071" s="1750"/>
    </row>
    <row r="2072" spans="1:10" ht="15.75" customHeight="1">
      <c r="A2072" s="1780"/>
      <c r="B2072" s="1739"/>
      <c r="C2072" s="1878" t="s">
        <v>2107</v>
      </c>
      <c r="D2072" s="1781">
        <v>2.3E-3</v>
      </c>
      <c r="E2072" s="413" t="s">
        <v>2069</v>
      </c>
      <c r="F2072" s="1883">
        <f>'Bahan &amp; Upah'!C$339</f>
        <v>102689.88</v>
      </c>
      <c r="G2072" s="1785">
        <f>F2072*D2072</f>
        <v>236.186724</v>
      </c>
      <c r="H2072" s="1749">
        <v>1</v>
      </c>
      <c r="I2072" s="1749">
        <f>(G2072/G$2080)*H2072</f>
        <v>5.7007922492087503E-4</v>
      </c>
      <c r="J2072" s="1750"/>
    </row>
    <row r="2073" spans="1:10" ht="15.75" customHeight="1">
      <c r="A2073" s="1780"/>
      <c r="B2073" s="1739"/>
      <c r="C2073" s="1889" t="s">
        <v>2108</v>
      </c>
      <c r="D2073" s="1781"/>
      <c r="E2073" s="413"/>
      <c r="F2073" s="320"/>
      <c r="G2073" s="361">
        <f>SUM(G2069:G2072)</f>
        <v>11993.914974000001</v>
      </c>
      <c r="H2073" s="1749"/>
      <c r="I2073" s="1994">
        <f>SUM(I2069:I2072)</f>
        <v>2.8949475382641733E-2</v>
      </c>
      <c r="J2073" s="1750"/>
    </row>
    <row r="2074" spans="1:10" ht="15.75" customHeight="1">
      <c r="A2074" s="1780"/>
      <c r="B2074" s="1739" t="s">
        <v>1015</v>
      </c>
      <c r="C2074" s="1877" t="s">
        <v>2075</v>
      </c>
      <c r="D2074" s="1781"/>
      <c r="E2074" s="413"/>
      <c r="F2074" s="320"/>
      <c r="G2074" s="320"/>
      <c r="H2074" s="1749"/>
      <c r="I2074" s="1994"/>
      <c r="J2074" s="1750"/>
    </row>
    <row r="2075" spans="1:10" ht="15.75" customHeight="1">
      <c r="A2075" s="1780"/>
      <c r="B2075" s="1739"/>
      <c r="C2075" s="1878" t="s">
        <v>2686</v>
      </c>
      <c r="D2075" s="1781">
        <v>1.21</v>
      </c>
      <c r="E2075" s="413" t="s">
        <v>89</v>
      </c>
      <c r="F2075" s="1747">
        <f>'Bahan &amp; Upah'!C$113/(1.2*2.4)</f>
        <v>115269.37152777778</v>
      </c>
      <c r="G2075" s="361">
        <f>F2075*D2075</f>
        <v>139475.93954861112</v>
      </c>
      <c r="H2075" s="1749">
        <v>0.3034</v>
      </c>
      <c r="I2075" s="1749">
        <f>(G2075/G$2080)*H2075</f>
        <v>0.10213970618703809</v>
      </c>
      <c r="J2075" s="1750"/>
    </row>
    <row r="2076" spans="1:10" ht="15.75" customHeight="1">
      <c r="A2076" s="1780"/>
      <c r="B2076" s="1739"/>
      <c r="C2076" s="1878" t="s">
        <v>2577</v>
      </c>
      <c r="D2076" s="1781">
        <v>0.01</v>
      </c>
      <c r="E2076" s="413" t="s">
        <v>100</v>
      </c>
      <c r="F2076" s="1747">
        <f>'Bahan &amp; Upah'!C$55</f>
        <v>200974.51</v>
      </c>
      <c r="G2076" s="1969">
        <f>F2076*D2076</f>
        <v>2009.7451000000001</v>
      </c>
      <c r="H2076" s="1749">
        <v>0.27879999999999999</v>
      </c>
      <c r="I2076" s="1749">
        <f>(G2076/G$2080)*H2076</f>
        <v>1.3524259025513711E-3</v>
      </c>
      <c r="J2076" s="1750"/>
    </row>
    <row r="2077" spans="1:10" ht="15.75" customHeight="1">
      <c r="A2077" s="1780"/>
      <c r="B2077" s="1784"/>
      <c r="C2077" s="1878"/>
      <c r="D2077" s="1781"/>
      <c r="E2077" s="413"/>
      <c r="F2077" s="1883"/>
      <c r="G2077" s="361">
        <f>SUM(G2075:G2076)</f>
        <v>141485.68464861112</v>
      </c>
      <c r="H2077" s="1749"/>
      <c r="I2077" s="1994">
        <f>SUM(I2075:I2076)</f>
        <v>0.10349213208958946</v>
      </c>
      <c r="J2077" s="1750"/>
    </row>
    <row r="2078" spans="1:10" ht="15.75" customHeight="1">
      <c r="A2078" s="1780"/>
      <c r="B2078" s="1739" t="s">
        <v>1048</v>
      </c>
      <c r="C2078" s="1877" t="s">
        <v>2246</v>
      </c>
      <c r="D2078" s="1756"/>
      <c r="E2078" s="333"/>
      <c r="F2078" s="1883"/>
      <c r="G2078" s="332"/>
      <c r="H2078" s="1749"/>
      <c r="I2078" s="1749"/>
      <c r="J2078" s="1750"/>
    </row>
    <row r="2079" spans="1:10" ht="15.75" customHeight="1">
      <c r="A2079" s="1780"/>
      <c r="B2079" s="1909"/>
      <c r="C2079" s="1878"/>
      <c r="D2079" s="1756"/>
      <c r="E2079" s="333"/>
      <c r="F2079" s="328"/>
      <c r="G2079" s="361">
        <v>0</v>
      </c>
      <c r="H2079" s="1749"/>
      <c r="I2079" s="1749"/>
      <c r="J2079" s="1750"/>
    </row>
    <row r="2080" spans="1:10" ht="15.75" customHeight="1">
      <c r="A2080" s="1780"/>
      <c r="B2080" s="1784"/>
      <c r="C2080" s="1804" t="s">
        <v>2242</v>
      </c>
      <c r="D2080" s="1763"/>
      <c r="E2080" s="1764"/>
      <c r="F2080" s="1765"/>
      <c r="G2080" s="1765">
        <f>G2062+G2066+G2073+G2077</f>
        <v>414305.08896861109</v>
      </c>
      <c r="H2080" s="1749"/>
      <c r="I2080" s="1766">
        <f>I2062+I2066+I2073+I2077</f>
        <v>0.60264326017413439</v>
      </c>
      <c r="J2080" s="1750"/>
    </row>
    <row r="2081" spans="1:10" ht="15.75" customHeight="1">
      <c r="A2081" s="1780"/>
      <c r="B2081" s="1784"/>
      <c r="C2081" s="1762" t="s">
        <v>2094</v>
      </c>
      <c r="D2081" s="1767">
        <f>M$4</f>
        <v>0.15</v>
      </c>
      <c r="E2081" s="1768"/>
      <c r="F2081" s="1765"/>
      <c r="G2081" s="1765">
        <f>G2080*D2081</f>
        <v>62145.763345291663</v>
      </c>
      <c r="H2081" s="1749"/>
      <c r="I2081" s="1749"/>
      <c r="J2081" s="1750"/>
    </row>
    <row r="2082" spans="1:10" ht="15.75" customHeight="1">
      <c r="A2082" s="1786"/>
      <c r="B2082" s="1890"/>
      <c r="C2082" s="1788" t="s">
        <v>2111</v>
      </c>
      <c r="D2082" s="1772"/>
      <c r="E2082" s="1773"/>
      <c r="F2082" s="1774"/>
      <c r="G2082" s="1775">
        <f>ROUNDUP((G2080+G2081),2)</f>
        <v>476450.86</v>
      </c>
      <c r="H2082" s="1937"/>
      <c r="I2082" s="1937"/>
      <c r="J2082" s="1938"/>
    </row>
    <row r="2083" spans="1:10" ht="15.75" customHeight="1">
      <c r="A2083" s="1733"/>
      <c r="B2083" s="1733"/>
      <c r="C2083" s="1733"/>
      <c r="D2083" s="1733"/>
      <c r="E2083" s="1733"/>
      <c r="F2083" s="1733"/>
      <c r="G2083" s="1733"/>
      <c r="H2083" s="1733"/>
      <c r="I2083" s="1733"/>
      <c r="J2083" s="1733"/>
    </row>
    <row r="2084" spans="1:10" ht="15.75" customHeight="1">
      <c r="A2084" s="1778">
        <f>A2055+1</f>
        <v>103</v>
      </c>
      <c r="B2084" s="1805" t="s">
        <v>2687</v>
      </c>
      <c r="C2084" s="1872" t="s">
        <v>2688</v>
      </c>
      <c r="D2084" s="1971"/>
      <c r="E2084" s="1874"/>
      <c r="F2084" s="1875"/>
      <c r="G2084" s="1875"/>
      <c r="H2084" s="1800"/>
      <c r="I2084" s="1800"/>
      <c r="J2084" s="1801"/>
    </row>
    <row r="2085" spans="1:10" ht="15.75" customHeight="1">
      <c r="A2085" s="1780"/>
      <c r="B2085" s="1739" t="s">
        <v>1004</v>
      </c>
      <c r="C2085" s="1877" t="s">
        <v>2067</v>
      </c>
      <c r="D2085" s="390"/>
      <c r="E2085" s="413"/>
      <c r="F2085" s="320"/>
      <c r="G2085" s="320"/>
      <c r="H2085" s="1802"/>
      <c r="I2085" s="1802"/>
      <c r="J2085" s="1803"/>
    </row>
    <row r="2086" spans="1:10" ht="15.75" customHeight="1">
      <c r="A2086" s="1780"/>
      <c r="B2086" s="1739"/>
      <c r="C2086" s="1878" t="s">
        <v>2103</v>
      </c>
      <c r="D2086" s="1781">
        <v>2.5000000000000001E-2</v>
      </c>
      <c r="E2086" s="413" t="s">
        <v>2069</v>
      </c>
      <c r="F2086" s="1747">
        <f>'Bahan &amp; Upah'!C$336</f>
        <v>96332.65</v>
      </c>
      <c r="G2086" s="361">
        <f>F2086*D2086</f>
        <v>2408.3162499999999</v>
      </c>
      <c r="H2086" s="1749">
        <v>1</v>
      </c>
      <c r="I2086" s="1749">
        <f>(G2086/G$2080)*H2086</f>
        <v>5.8129053060761715E-3</v>
      </c>
      <c r="J2086" s="1750"/>
    </row>
    <row r="2087" spans="1:10" ht="15.75" customHeight="1">
      <c r="A2087" s="1780"/>
      <c r="B2087" s="1739"/>
      <c r="C2087" s="1878" t="s">
        <v>2070</v>
      </c>
      <c r="D2087" s="1781">
        <v>2.5000000000000001E-2</v>
      </c>
      <c r="E2087" s="413" t="s">
        <v>2069</v>
      </c>
      <c r="F2087" s="1883">
        <f>'Bahan &amp; Upah'!C$337</f>
        <v>114133.55</v>
      </c>
      <c r="G2087" s="361">
        <f>F2087*D2087</f>
        <v>2853.3387500000003</v>
      </c>
      <c r="H2087" s="1749">
        <v>1</v>
      </c>
      <c r="I2087" s="1749">
        <f>(G2087/G$2080)*H2087</f>
        <v>6.8870473136191128E-3</v>
      </c>
      <c r="J2087" s="1750"/>
    </row>
    <row r="2088" spans="1:10" ht="15.75" customHeight="1">
      <c r="A2088" s="1780"/>
      <c r="B2088" s="1739"/>
      <c r="C2088" s="1878" t="s">
        <v>2072</v>
      </c>
      <c r="D2088" s="1781">
        <v>2.5000000000000001E-3</v>
      </c>
      <c r="E2088" s="413" t="s">
        <v>2069</v>
      </c>
      <c r="F2088" s="1748">
        <f>'Bahan &amp; Upah'!C$338</f>
        <v>125485.75</v>
      </c>
      <c r="G2088" s="361">
        <f>F2088*D2088</f>
        <v>313.71437500000002</v>
      </c>
      <c r="H2088" s="1749">
        <v>1</v>
      </c>
      <c r="I2088" s="1749">
        <f>(G2088/G$2080)*H2088</f>
        <v>7.572061829628356E-4</v>
      </c>
      <c r="J2088" s="1750"/>
    </row>
    <row r="2089" spans="1:10" ht="15.75" customHeight="1">
      <c r="A2089" s="1780"/>
      <c r="B2089" s="1739"/>
      <c r="C2089" s="1878" t="s">
        <v>2107</v>
      </c>
      <c r="D2089" s="1781">
        <v>8.0000000000000004E-4</v>
      </c>
      <c r="E2089" s="413" t="s">
        <v>2069</v>
      </c>
      <c r="F2089" s="1883">
        <f>'Bahan &amp; Upah'!C$339</f>
        <v>102689.88</v>
      </c>
      <c r="G2089" s="1785">
        <f>F2089*D2089</f>
        <v>82.151904000000002</v>
      </c>
      <c r="H2089" s="1749">
        <v>1</v>
      </c>
      <c r="I2089" s="1752">
        <f>(G2089/G$2080)*H2089</f>
        <v>1.9828842605943483E-4</v>
      </c>
      <c r="J2089" s="1750"/>
    </row>
    <row r="2090" spans="1:10" ht="15.75" customHeight="1">
      <c r="A2090" s="1780"/>
      <c r="B2090" s="1739"/>
      <c r="C2090" s="1889" t="s">
        <v>2108</v>
      </c>
      <c r="D2090" s="1781"/>
      <c r="E2090" s="413"/>
      <c r="F2090" s="320"/>
      <c r="G2090" s="361">
        <f>SUM(G2086:G2089)</f>
        <v>5657.5212790000005</v>
      </c>
      <c r="H2090" s="1749"/>
      <c r="I2090" s="1994">
        <f>SUM(I2086:I2089)</f>
        <v>1.3655447228717556E-2</v>
      </c>
      <c r="J2090" s="1750"/>
    </row>
    <row r="2091" spans="1:10" ht="15.75" customHeight="1">
      <c r="A2091" s="1780"/>
      <c r="B2091" s="1739" t="s">
        <v>1015</v>
      </c>
      <c r="C2091" s="1877" t="s">
        <v>2075</v>
      </c>
      <c r="D2091" s="1781"/>
      <c r="E2091" s="413"/>
      <c r="F2091" s="320"/>
      <c r="G2091" s="320"/>
      <c r="H2091" s="1749"/>
      <c r="I2091" s="1994"/>
      <c r="J2091" s="1750"/>
    </row>
    <row r="2092" spans="1:10" ht="15.75" customHeight="1">
      <c r="A2092" s="1780"/>
      <c r="B2092" s="1739"/>
      <c r="C2092" s="1878" t="s">
        <v>2689</v>
      </c>
      <c r="D2092" s="1781">
        <v>1.1000000000000001</v>
      </c>
      <c r="E2092" s="413" t="s">
        <v>2086</v>
      </c>
      <c r="F2092" s="1747"/>
      <c r="G2092" s="361">
        <f>F2092*D2092</f>
        <v>0</v>
      </c>
      <c r="H2092" s="1749">
        <v>0.3034</v>
      </c>
      <c r="I2092" s="1749">
        <f>(G2092/G$2080)*H2092</f>
        <v>0</v>
      </c>
      <c r="J2092" s="1750"/>
    </row>
    <row r="2093" spans="1:10" ht="15.75" customHeight="1">
      <c r="A2093" s="1780"/>
      <c r="B2093" s="1739"/>
      <c r="C2093" s="1878" t="s">
        <v>2577</v>
      </c>
      <c r="D2093" s="1781">
        <v>0.01</v>
      </c>
      <c r="E2093" s="413" t="s">
        <v>100</v>
      </c>
      <c r="F2093" s="1747">
        <f>'Bahan &amp; Upah'!C$55</f>
        <v>200974.51</v>
      </c>
      <c r="G2093" s="1969">
        <f>F2093*D2093</f>
        <v>2009.7451000000001</v>
      </c>
      <c r="H2093" s="1749">
        <v>0.27879999999999999</v>
      </c>
      <c r="I2093" s="1752">
        <f>(G2093/G$2080)*H2093</f>
        <v>1.3524259025513711E-3</v>
      </c>
      <c r="J2093" s="1750"/>
    </row>
    <row r="2094" spans="1:10" ht="15.75" customHeight="1">
      <c r="A2094" s="1780"/>
      <c r="B2094" s="1784"/>
      <c r="C2094" s="1878"/>
      <c r="D2094" s="1781"/>
      <c r="E2094" s="413"/>
      <c r="F2094" s="1883"/>
      <c r="G2094" s="361">
        <f>SUM(G2092:G2093)</f>
        <v>2009.7451000000001</v>
      </c>
      <c r="H2094" s="1749"/>
      <c r="I2094" s="1994">
        <f>SUM(I2092:I2093)</f>
        <v>1.3524259025513711E-3</v>
      </c>
      <c r="J2094" s="1750"/>
    </row>
    <row r="2095" spans="1:10" ht="15.75" customHeight="1">
      <c r="A2095" s="1780"/>
      <c r="B2095" s="1739" t="s">
        <v>1048</v>
      </c>
      <c r="C2095" s="1877" t="s">
        <v>2246</v>
      </c>
      <c r="D2095" s="1756"/>
      <c r="E2095" s="333"/>
      <c r="F2095" s="1883"/>
      <c r="G2095" s="332"/>
      <c r="H2095" s="1749"/>
      <c r="I2095" s="1749"/>
      <c r="J2095" s="1750"/>
    </row>
    <row r="2096" spans="1:10" ht="15.75" customHeight="1">
      <c r="A2096" s="1780"/>
      <c r="B2096" s="1909"/>
      <c r="C2096" s="1878"/>
      <c r="D2096" s="1756"/>
      <c r="E2096" s="333"/>
      <c r="F2096" s="328"/>
      <c r="G2096" s="361">
        <v>0</v>
      </c>
      <c r="H2096" s="1749"/>
      <c r="I2096" s="1749"/>
      <c r="J2096" s="1750"/>
    </row>
    <row r="2097" spans="1:10" ht="15.75" customHeight="1">
      <c r="A2097" s="1780"/>
      <c r="B2097" s="1784"/>
      <c r="C2097" s="1804" t="s">
        <v>2242</v>
      </c>
      <c r="D2097" s="1763"/>
      <c r="E2097" s="1764"/>
      <c r="F2097" s="1765"/>
      <c r="G2097" s="1765">
        <f>G2090+G2094+G2096</f>
        <v>7667.2663790000006</v>
      </c>
      <c r="H2097" s="1749"/>
      <c r="I2097" s="1766">
        <f>I2090+I2094+I2096</f>
        <v>1.5007873131268928E-2</v>
      </c>
      <c r="J2097" s="1750"/>
    </row>
    <row r="2098" spans="1:10" ht="15.75" customHeight="1">
      <c r="A2098" s="1780"/>
      <c r="B2098" s="1784"/>
      <c r="C2098" s="1762" t="s">
        <v>2094</v>
      </c>
      <c r="D2098" s="1767">
        <f>M$4</f>
        <v>0.15</v>
      </c>
      <c r="E2098" s="1768"/>
      <c r="F2098" s="1765"/>
      <c r="G2098" s="1765">
        <f>G2097*D2098</f>
        <v>1150.0899568500001</v>
      </c>
      <c r="H2098" s="1749"/>
      <c r="I2098" s="1749"/>
      <c r="J2098" s="1750"/>
    </row>
    <row r="2099" spans="1:10" ht="15.75" customHeight="1">
      <c r="A2099" s="1786"/>
      <c r="B2099" s="1890"/>
      <c r="C2099" s="1788" t="s">
        <v>2111</v>
      </c>
      <c r="D2099" s="1772"/>
      <c r="E2099" s="1773"/>
      <c r="F2099" s="1774"/>
      <c r="G2099" s="1775">
        <f>ROUNDUP((G2097+G2098),2)</f>
        <v>8817.36</v>
      </c>
      <c r="H2099" s="1937"/>
      <c r="I2099" s="1937"/>
      <c r="J2099" s="1938"/>
    </row>
    <row r="2100" spans="1:10" ht="15.75" customHeight="1">
      <c r="A2100" s="1733"/>
      <c r="B2100" s="1733"/>
      <c r="C2100" s="1733"/>
      <c r="D2100" s="1733"/>
      <c r="E2100" s="1733"/>
      <c r="F2100" s="1733"/>
      <c r="G2100" s="1733"/>
      <c r="H2100" s="1733"/>
      <c r="I2100" s="1733"/>
      <c r="J2100" s="1733"/>
    </row>
    <row r="2101" spans="1:10" ht="15.75" customHeight="1">
      <c r="A2101" s="1778">
        <f>A2084+1</f>
        <v>104</v>
      </c>
      <c r="B2101" s="1805" t="s">
        <v>2690</v>
      </c>
      <c r="C2101" s="1872" t="s">
        <v>2691</v>
      </c>
      <c r="D2101" s="1873"/>
      <c r="E2101" s="1874"/>
      <c r="F2101" s="1875"/>
      <c r="G2101" s="1875"/>
      <c r="H2101" s="1997"/>
      <c r="I2101" s="1997"/>
      <c r="J2101" s="1947"/>
    </row>
    <row r="2102" spans="1:10" ht="15.75" customHeight="1">
      <c r="A2102" s="1780"/>
      <c r="B2102" s="1739" t="s">
        <v>1004</v>
      </c>
      <c r="C2102" s="1877" t="s">
        <v>2067</v>
      </c>
      <c r="D2102" s="390"/>
      <c r="E2102" s="413"/>
      <c r="F2102" s="320"/>
      <c r="G2102" s="320"/>
      <c r="H2102" s="1802"/>
      <c r="I2102" s="1802"/>
      <c r="J2102" s="1803"/>
    </row>
    <row r="2103" spans="1:10" ht="15.75" customHeight="1">
      <c r="A2103" s="1780"/>
      <c r="B2103" s="1739"/>
      <c r="C2103" s="1878" t="s">
        <v>2103</v>
      </c>
      <c r="D2103" s="1841">
        <v>4.2999999999999997E-2</v>
      </c>
      <c r="E2103" s="413" t="s">
        <v>2069</v>
      </c>
      <c r="F2103" s="1747">
        <f>'Bahan &amp; Upah'!C$336</f>
        <v>96332.65</v>
      </c>
      <c r="G2103" s="361">
        <f>F2103*D2103</f>
        <v>4142.3039499999995</v>
      </c>
      <c r="H2103" s="1980">
        <v>1</v>
      </c>
      <c r="I2103" s="1980">
        <f>(G2103/G$2113)*H2103</f>
        <v>1.463097343439955E-2</v>
      </c>
      <c r="J2103" s="1981"/>
    </row>
    <row r="2104" spans="1:10" ht="15.75" customHeight="1">
      <c r="A2104" s="1780"/>
      <c r="B2104" s="1739"/>
      <c r="C2104" s="1878" t="s">
        <v>2104</v>
      </c>
      <c r="D2104" s="1841">
        <v>4.2999999999999997E-2</v>
      </c>
      <c r="E2104" s="413" t="s">
        <v>2069</v>
      </c>
      <c r="F2104" s="1883">
        <f>'Bahan &amp; Upah'!C$337</f>
        <v>114133.55</v>
      </c>
      <c r="G2104" s="361">
        <f>F2104*D2104</f>
        <v>4907.7426500000001</v>
      </c>
      <c r="H2104" s="1980">
        <v>1</v>
      </c>
      <c r="I2104" s="1980">
        <f>(G2104/G$2113)*H2104</f>
        <v>1.7334568684902917E-2</v>
      </c>
      <c r="J2104" s="1981"/>
    </row>
    <row r="2105" spans="1:10" ht="15.75" customHeight="1">
      <c r="A2105" s="1780"/>
      <c r="B2105" s="1739"/>
      <c r="C2105" s="1878" t="s">
        <v>2105</v>
      </c>
      <c r="D2105" s="1841">
        <v>4.0000000000000001E-3</v>
      </c>
      <c r="E2105" s="413" t="s">
        <v>2069</v>
      </c>
      <c r="F2105" s="1883">
        <f>'Bahan &amp; Upah'!C$338</f>
        <v>125485.75</v>
      </c>
      <c r="G2105" s="361">
        <f>F2105*D2105</f>
        <v>501.94299999999998</v>
      </c>
      <c r="H2105" s="1980">
        <v>1</v>
      </c>
      <c r="I2105" s="1980">
        <f>(G2105/G$2113)*H2105</f>
        <v>1.7729058000639508E-3</v>
      </c>
      <c r="J2105" s="1981"/>
    </row>
    <row r="2106" spans="1:10" ht="15.75" customHeight="1">
      <c r="A2106" s="1780"/>
      <c r="B2106" s="1739"/>
      <c r="C2106" s="1878" t="s">
        <v>2107</v>
      </c>
      <c r="D2106" s="1841">
        <v>1E-3</v>
      </c>
      <c r="E2106" s="413" t="s">
        <v>2069</v>
      </c>
      <c r="F2106" s="1883">
        <f>'Bahan &amp; Upah'!C$339</f>
        <v>102689.88</v>
      </c>
      <c r="G2106" s="1785">
        <f>F2106*D2106</f>
        <v>102.68988</v>
      </c>
      <c r="H2106" s="1980">
        <v>1</v>
      </c>
      <c r="I2106" s="1982">
        <f>(G2106/G$2113)*H2106</f>
        <v>3.6270947868557009E-4</v>
      </c>
      <c r="J2106" s="1981"/>
    </row>
    <row r="2107" spans="1:10" ht="15.75" customHeight="1">
      <c r="A2107" s="1780"/>
      <c r="B2107" s="1739"/>
      <c r="C2107" s="1889" t="s">
        <v>2108</v>
      </c>
      <c r="D2107" s="1841"/>
      <c r="E2107" s="413"/>
      <c r="F2107" s="1883"/>
      <c r="G2107" s="361">
        <f>SUM(G2103:G2106)</f>
        <v>9654.6794799999989</v>
      </c>
      <c r="H2107" s="1980"/>
      <c r="I2107" s="1983">
        <f>SUM(I2103:I2106)</f>
        <v>3.4101157398051994E-2</v>
      </c>
      <c r="J2107" s="1981"/>
    </row>
    <row r="2108" spans="1:10" ht="15.75" customHeight="1">
      <c r="A2108" s="1780"/>
      <c r="B2108" s="1739" t="s">
        <v>1015</v>
      </c>
      <c r="C2108" s="1877" t="s">
        <v>2075</v>
      </c>
      <c r="D2108" s="1841"/>
      <c r="E2108" s="413"/>
      <c r="F2108" s="1883"/>
      <c r="G2108" s="320"/>
      <c r="H2108" s="1980"/>
      <c r="I2108" s="1980"/>
      <c r="J2108" s="1981"/>
    </row>
    <row r="2109" spans="1:10" ht="15.75" customHeight="1">
      <c r="A2109" s="1780"/>
      <c r="B2109" s="1784"/>
      <c r="C2109" s="1878" t="s">
        <v>2692</v>
      </c>
      <c r="D2109" s="1841">
        <v>1.1000000000000001</v>
      </c>
      <c r="E2109" s="413" t="s">
        <v>117</v>
      </c>
      <c r="F2109" s="1883">
        <f>'Bahan &amp; Upah'!C124</f>
        <v>231227.09</v>
      </c>
      <c r="G2109" s="332">
        <f>F2109*D2109</f>
        <v>254349.79900000003</v>
      </c>
      <c r="H2109" s="1980">
        <v>0.48970000000000002</v>
      </c>
      <c r="I2109" s="1980">
        <f>(G2109/G$2113)*H2109</f>
        <v>0.43993930214588195</v>
      </c>
      <c r="J2109" s="1981"/>
    </row>
    <row r="2110" spans="1:10" ht="15.75" customHeight="1">
      <c r="A2110" s="1780"/>
      <c r="B2110" s="1784"/>
      <c r="C2110" s="1878" t="s">
        <v>2693</v>
      </c>
      <c r="D2110" s="1841">
        <v>2</v>
      </c>
      <c r="E2110" s="413" t="s">
        <v>124</v>
      </c>
      <c r="F2110" s="1883">
        <f>'Bahan &amp; Upah'!C129</f>
        <v>6799.16</v>
      </c>
      <c r="G2110" s="332">
        <f>F2110*D2110</f>
        <v>13598.32</v>
      </c>
      <c r="H2110" s="1980">
        <v>0.60250000000000004</v>
      </c>
      <c r="I2110" s="1980">
        <f>(G2110/G$2113)*H2110</f>
        <v>2.8938336804125546E-2</v>
      </c>
      <c r="J2110" s="1981"/>
    </row>
    <row r="2111" spans="1:10" ht="15.75" customHeight="1">
      <c r="A2111" s="1780"/>
      <c r="B2111" s="1784"/>
      <c r="C2111" s="1878" t="s">
        <v>2578</v>
      </c>
      <c r="D2111" s="1841">
        <v>0.06</v>
      </c>
      <c r="E2111" s="413" t="s">
        <v>100</v>
      </c>
      <c r="F2111" s="1883">
        <f>'Bahan &amp; Upah'!C130</f>
        <v>91933.71</v>
      </c>
      <c r="G2111" s="1794">
        <f>F2111*D2111</f>
        <v>5516.0226000000002</v>
      </c>
      <c r="H2111" s="1980">
        <v>0.40150000000000002</v>
      </c>
      <c r="I2111" s="1982">
        <f>(G2111/G$2113)*H2111</f>
        <v>7.8224508898834533E-3</v>
      </c>
      <c r="J2111" s="1981"/>
    </row>
    <row r="2112" spans="1:10" ht="15.75" customHeight="1">
      <c r="A2112" s="1780"/>
      <c r="B2112" s="1784"/>
      <c r="C2112" s="1878"/>
      <c r="D2112" s="1841"/>
      <c r="E2112" s="413"/>
      <c r="F2112" s="1883"/>
      <c r="G2112" s="361">
        <f>SUM(G2109:G2111)</f>
        <v>273464.14160000003</v>
      </c>
      <c r="H2112" s="1980"/>
      <c r="I2112" s="1983">
        <f>SUM(I2109:I2111)</f>
        <v>0.47670008983989098</v>
      </c>
      <c r="J2112" s="1981"/>
    </row>
    <row r="2113" spans="1:10" ht="15.75" customHeight="1">
      <c r="A2113" s="1780"/>
      <c r="B2113" s="1784"/>
      <c r="C2113" s="1804" t="s">
        <v>2298</v>
      </c>
      <c r="D2113" s="1763"/>
      <c r="E2113" s="1764"/>
      <c r="F2113" s="1765"/>
      <c r="G2113" s="1765">
        <f>G2107+G2112</f>
        <v>283118.82108000002</v>
      </c>
      <c r="H2113" s="1980"/>
      <c r="I2113" s="1984">
        <f>I2107+I2112</f>
        <v>0.51080124723794296</v>
      </c>
      <c r="J2113" s="1981"/>
    </row>
    <row r="2114" spans="1:10" ht="15.75" customHeight="1">
      <c r="A2114" s="1780"/>
      <c r="B2114" s="1784"/>
      <c r="C2114" s="1762" t="s">
        <v>2094</v>
      </c>
      <c r="D2114" s="1767">
        <f>M$4</f>
        <v>0.15</v>
      </c>
      <c r="E2114" s="1768"/>
      <c r="F2114" s="1765"/>
      <c r="G2114" s="1765">
        <f>G2113*D2114</f>
        <v>42467.823162000001</v>
      </c>
      <c r="H2114" s="1980"/>
      <c r="I2114" s="1980"/>
      <c r="J2114" s="1981"/>
    </row>
    <row r="2115" spans="1:10" ht="15.75" customHeight="1">
      <c r="A2115" s="1786"/>
      <c r="B2115" s="1890"/>
      <c r="C2115" s="1788" t="s">
        <v>2111</v>
      </c>
      <c r="D2115" s="1772"/>
      <c r="E2115" s="1773"/>
      <c r="F2115" s="1774"/>
      <c r="G2115" s="1998">
        <f>ROUNDUP((G2113+G2114),2)</f>
        <v>325586.65000000002</v>
      </c>
      <c r="H2115" s="1985"/>
      <c r="I2115" s="1985"/>
      <c r="J2115" s="1986"/>
    </row>
    <row r="2116" spans="1:10" ht="15.75" customHeight="1">
      <c r="A2116" s="1733"/>
      <c r="B2116" s="1733"/>
      <c r="C2116" s="1733"/>
      <c r="D2116" s="1733"/>
      <c r="E2116" s="1733"/>
      <c r="F2116" s="1733"/>
      <c r="G2116" s="1733"/>
      <c r="H2116" s="1733"/>
      <c r="I2116" s="1733"/>
      <c r="J2116" s="1733"/>
    </row>
    <row r="2117" spans="1:10" ht="15.75" customHeight="1">
      <c r="A2117" s="1778">
        <f>A2101+1</f>
        <v>105</v>
      </c>
      <c r="B2117" s="1805" t="s">
        <v>2694</v>
      </c>
      <c r="C2117" s="1872" t="s">
        <v>2695</v>
      </c>
      <c r="D2117" s="1873"/>
      <c r="E2117" s="1874"/>
      <c r="F2117" s="1875"/>
      <c r="G2117" s="1875"/>
      <c r="H2117" s="1997"/>
      <c r="I2117" s="1997"/>
      <c r="J2117" s="1947"/>
    </row>
    <row r="2118" spans="1:10" ht="15.75" customHeight="1">
      <c r="A2118" s="1780"/>
      <c r="B2118" s="1739" t="s">
        <v>1004</v>
      </c>
      <c r="C2118" s="1877" t="s">
        <v>2067</v>
      </c>
      <c r="D2118" s="390"/>
      <c r="E2118" s="413"/>
      <c r="F2118" s="320"/>
      <c r="G2118" s="320"/>
      <c r="H2118" s="1802"/>
      <c r="I2118" s="1802"/>
      <c r="J2118" s="1803"/>
    </row>
    <row r="2119" spans="1:10" ht="15.75" customHeight="1">
      <c r="A2119" s="1780"/>
      <c r="B2119" s="1739"/>
      <c r="C2119" s="1878" t="s">
        <v>2103</v>
      </c>
      <c r="D2119" s="1841">
        <v>0.28570000000000001</v>
      </c>
      <c r="E2119" s="413" t="s">
        <v>2069</v>
      </c>
      <c r="F2119" s="1747">
        <f>'Bahan &amp; Upah'!C$336</f>
        <v>96332.65</v>
      </c>
      <c r="G2119" s="361">
        <f>F2119*D2119</f>
        <v>27522.238105</v>
      </c>
      <c r="H2119" s="1980">
        <v>1</v>
      </c>
      <c r="I2119" s="1980">
        <f>(G2119/G$2129)*H2119</f>
        <v>0.15401535164314764</v>
      </c>
      <c r="J2119" s="1981"/>
    </row>
    <row r="2120" spans="1:10" ht="15.75" customHeight="1">
      <c r="A2120" s="1780"/>
      <c r="B2120" s="1739"/>
      <c r="C2120" s="1878" t="s">
        <v>2104</v>
      </c>
      <c r="D2120" s="1841">
        <v>0.1429</v>
      </c>
      <c r="E2120" s="413" t="s">
        <v>2069</v>
      </c>
      <c r="F2120" s="1883">
        <f>'Bahan &amp; Upah'!C$337</f>
        <v>114133.55</v>
      </c>
      <c r="G2120" s="361">
        <f>F2120*D2120</f>
        <v>16309.684295000001</v>
      </c>
      <c r="H2120" s="1980">
        <v>1</v>
      </c>
      <c r="I2120" s="1980">
        <f>(G2120/G$2129)*H2120</f>
        <v>9.126953092622217E-2</v>
      </c>
      <c r="J2120" s="1981"/>
    </row>
    <row r="2121" spans="1:10" ht="15.75" customHeight="1">
      <c r="A2121" s="1780"/>
      <c r="B2121" s="1739"/>
      <c r="C2121" s="1878" t="s">
        <v>2105</v>
      </c>
      <c r="D2121" s="1841">
        <v>1.43E-2</v>
      </c>
      <c r="E2121" s="413" t="s">
        <v>2069</v>
      </c>
      <c r="F2121" s="1748">
        <f>'Bahan &amp; Upah'!C$338</f>
        <v>125485.75</v>
      </c>
      <c r="G2121" s="361">
        <f>F2121*D2121</f>
        <v>1794.4462249999999</v>
      </c>
      <c r="H2121" s="1980">
        <v>1</v>
      </c>
      <c r="I2121" s="1980">
        <f>(G2121/G$2129)*H2121</f>
        <v>1.0041780224911466E-2</v>
      </c>
      <c r="J2121" s="1981"/>
    </row>
    <row r="2122" spans="1:10" ht="15.75" customHeight="1">
      <c r="A2122" s="1780"/>
      <c r="B2122" s="1739"/>
      <c r="C2122" s="1878" t="s">
        <v>2107</v>
      </c>
      <c r="D2122" s="1841">
        <v>4.7999999999999996E-3</v>
      </c>
      <c r="E2122" s="413" t="s">
        <v>2069</v>
      </c>
      <c r="F2122" s="1883">
        <f>'Bahan &amp; Upah'!C$339</f>
        <v>102689.88</v>
      </c>
      <c r="G2122" s="1785">
        <f>F2122*D2122</f>
        <v>492.91142399999995</v>
      </c>
      <c r="H2122" s="1980">
        <v>1</v>
      </c>
      <c r="I2122" s="1982">
        <f>(G2122/G$2129)*H2122</f>
        <v>2.7583485764005834E-3</v>
      </c>
      <c r="J2122" s="1981"/>
    </row>
    <row r="2123" spans="1:10" ht="15.75" customHeight="1">
      <c r="A2123" s="1780"/>
      <c r="B2123" s="1739"/>
      <c r="C2123" s="1889" t="s">
        <v>2108</v>
      </c>
      <c r="D2123" s="1841"/>
      <c r="E2123" s="413"/>
      <c r="F2123" s="320"/>
      <c r="G2123" s="361">
        <f>SUM(G2119:G2122)</f>
        <v>46119.280049000001</v>
      </c>
      <c r="H2123" s="1980"/>
      <c r="I2123" s="1983">
        <f>SUM(I2119:I2122)</f>
        <v>0.25808501137068185</v>
      </c>
      <c r="J2123" s="1981"/>
    </row>
    <row r="2124" spans="1:10" ht="15.75" customHeight="1">
      <c r="A2124" s="1780"/>
      <c r="B2124" s="1739" t="s">
        <v>1015</v>
      </c>
      <c r="C2124" s="1877" t="s">
        <v>2075</v>
      </c>
      <c r="D2124" s="1841"/>
      <c r="E2124" s="413"/>
      <c r="F2124" s="320"/>
      <c r="G2124" s="320"/>
      <c r="H2124" s="1980"/>
      <c r="I2124" s="1980"/>
      <c r="J2124" s="1981"/>
    </row>
    <row r="2125" spans="1:10" ht="15.75" customHeight="1">
      <c r="A2125" s="1780"/>
      <c r="B2125" s="1784"/>
      <c r="C2125" s="1878" t="s">
        <v>2696</v>
      </c>
      <c r="D2125" s="1841">
        <v>1.0800000000000001E-2</v>
      </c>
      <c r="E2125" s="413" t="s">
        <v>103</v>
      </c>
      <c r="F2125" s="1883">
        <f>'Bahan &amp; Upah'!C96</f>
        <v>9646833.6500000004</v>
      </c>
      <c r="G2125" s="332">
        <f>F2125*D2125</f>
        <v>104185.80342000001</v>
      </c>
      <c r="H2125" s="1980">
        <v>0.48970000000000002</v>
      </c>
      <c r="I2125" s="1980">
        <f>(G2125/G$2129)*H2125</f>
        <v>0.28550841503349605</v>
      </c>
      <c r="J2125" s="1981"/>
    </row>
    <row r="2126" spans="1:10" ht="15.75" customHeight="1">
      <c r="A2126" s="1780"/>
      <c r="B2126" s="1784"/>
      <c r="C2126" s="1878" t="s">
        <v>2697</v>
      </c>
      <c r="D2126" s="1841">
        <v>0.12759999999999999</v>
      </c>
      <c r="E2126" s="413" t="s">
        <v>100</v>
      </c>
      <c r="F2126" s="1883">
        <f>'Bahan &amp; Upah'!C54</f>
        <v>36067.67</v>
      </c>
      <c r="G2126" s="332">
        <f>F2126*D2126</f>
        <v>4602.2346919999991</v>
      </c>
      <c r="H2126" s="1980">
        <v>0.60250000000000004</v>
      </c>
      <c r="I2126" s="1980">
        <f>(G2126/G$2129)*H2126</f>
        <v>1.5516939865733553E-2</v>
      </c>
      <c r="J2126" s="1981"/>
    </row>
    <row r="2127" spans="1:10" ht="15.75" customHeight="1">
      <c r="A2127" s="1780"/>
      <c r="B2127" s="1784"/>
      <c r="C2127" s="1878" t="s">
        <v>2698</v>
      </c>
      <c r="D2127" s="1841">
        <v>1</v>
      </c>
      <c r="E2127" s="413" t="s">
        <v>100</v>
      </c>
      <c r="F2127" s="1883">
        <f>'Bahan &amp; Upah'!C$105</f>
        <v>23790.7</v>
      </c>
      <c r="G2127" s="1794">
        <f>F2127*D2127</f>
        <v>23790.7</v>
      </c>
      <c r="H2127" s="1980">
        <v>0.40150000000000002</v>
      </c>
      <c r="I2127" s="1982">
        <f>(G2127/G$2129)*H2127</f>
        <v>5.3453116874491856E-2</v>
      </c>
      <c r="J2127" s="1981"/>
    </row>
    <row r="2128" spans="1:10" ht="15.75" customHeight="1">
      <c r="A2128" s="1780"/>
      <c r="B2128" s="1784"/>
      <c r="C2128" s="1878"/>
      <c r="D2128" s="1841"/>
      <c r="E2128" s="413"/>
      <c r="F2128" s="320"/>
      <c r="G2128" s="361">
        <f>SUM(G2125:G2127)</f>
        <v>132578.73811200002</v>
      </c>
      <c r="H2128" s="1980"/>
      <c r="I2128" s="1983">
        <f>SUM(I2125:I2127)</f>
        <v>0.35447847177372144</v>
      </c>
      <c r="J2128" s="1981"/>
    </row>
    <row r="2129" spans="1:10" ht="15.75" customHeight="1">
      <c r="A2129" s="1780"/>
      <c r="B2129" s="1784"/>
      <c r="C2129" s="1804" t="s">
        <v>2298</v>
      </c>
      <c r="D2129" s="1763"/>
      <c r="E2129" s="1764"/>
      <c r="F2129" s="1765"/>
      <c r="G2129" s="1765">
        <f>G2123+G2128</f>
        <v>178698.01816100001</v>
      </c>
      <c r="H2129" s="1980"/>
      <c r="I2129" s="1984">
        <f>I2123+I2128</f>
        <v>0.61256348314440334</v>
      </c>
      <c r="J2129" s="1981"/>
    </row>
    <row r="2130" spans="1:10" ht="15.75" customHeight="1">
      <c r="A2130" s="1780"/>
      <c r="B2130" s="1784"/>
      <c r="C2130" s="1762" t="s">
        <v>2094</v>
      </c>
      <c r="D2130" s="1767">
        <f>M$4</f>
        <v>0.15</v>
      </c>
      <c r="E2130" s="1768"/>
      <c r="F2130" s="1765"/>
      <c r="G2130" s="1765">
        <f>G2129*D2130</f>
        <v>26804.70272415</v>
      </c>
      <c r="H2130" s="1980"/>
      <c r="I2130" s="1980"/>
      <c r="J2130" s="1981"/>
    </row>
    <row r="2131" spans="1:10" ht="15.75" customHeight="1">
      <c r="A2131" s="1786"/>
      <c r="B2131" s="1890"/>
      <c r="C2131" s="1788" t="s">
        <v>2111</v>
      </c>
      <c r="D2131" s="1772"/>
      <c r="E2131" s="1773"/>
      <c r="F2131" s="1774"/>
      <c r="G2131" s="1998">
        <f>ROUNDUP((G2129+G2130),2)</f>
        <v>205502.73</v>
      </c>
      <c r="H2131" s="1985"/>
      <c r="I2131" s="1985"/>
      <c r="J2131" s="1986"/>
    </row>
    <row r="2132" spans="1:10" ht="15.75" customHeight="1">
      <c r="A2132" s="1733"/>
      <c r="B2132" s="1733"/>
      <c r="C2132" s="1733"/>
      <c r="D2132" s="1733"/>
      <c r="E2132" s="1733"/>
      <c r="F2132" s="1733"/>
      <c r="G2132" s="1733"/>
      <c r="H2132" s="1733"/>
      <c r="I2132" s="1733"/>
      <c r="J2132" s="1733"/>
    </row>
    <row r="2133" spans="1:10" ht="15.75" customHeight="1">
      <c r="A2133" s="1778">
        <f>A2117+1</f>
        <v>106</v>
      </c>
      <c r="B2133" s="1805" t="s">
        <v>2699</v>
      </c>
      <c r="C2133" s="1872" t="s">
        <v>2700</v>
      </c>
      <c r="D2133" s="1873"/>
      <c r="E2133" s="1874"/>
      <c r="F2133" s="1875"/>
      <c r="G2133" s="1875"/>
      <c r="H2133" s="1997"/>
      <c r="I2133" s="1997"/>
      <c r="J2133" s="1947"/>
    </row>
    <row r="2134" spans="1:10" ht="15.75" customHeight="1">
      <c r="A2134" s="1780"/>
      <c r="B2134" s="1739" t="s">
        <v>1004</v>
      </c>
      <c r="C2134" s="1877" t="s">
        <v>2067</v>
      </c>
      <c r="D2134" s="390"/>
      <c r="E2134" s="413"/>
      <c r="F2134" s="320"/>
      <c r="G2134" s="320"/>
      <c r="H2134" s="1802"/>
      <c r="I2134" s="1802"/>
      <c r="J2134" s="1803"/>
    </row>
    <row r="2135" spans="1:10" ht="15.75" customHeight="1">
      <c r="A2135" s="1780"/>
      <c r="B2135" s="1739"/>
      <c r="C2135" s="1878" t="s">
        <v>2103</v>
      </c>
      <c r="D2135" s="1841">
        <v>1</v>
      </c>
      <c r="E2135" s="413" t="s">
        <v>2069</v>
      </c>
      <c r="F2135" s="1747">
        <f>'Bahan &amp; Upah'!C$336</f>
        <v>96332.65</v>
      </c>
      <c r="G2135" s="361">
        <f>F2135*D2135</f>
        <v>96332.65</v>
      </c>
      <c r="H2135" s="1980">
        <v>1</v>
      </c>
      <c r="I2135" s="1980">
        <f>(G2135/G$2144)*H2135</f>
        <v>0.11112066296750829</v>
      </c>
      <c r="J2135" s="1981"/>
    </row>
    <row r="2136" spans="1:10" ht="15.75" customHeight="1">
      <c r="A2136" s="1780"/>
      <c r="B2136" s="1739"/>
      <c r="C2136" s="1878" t="s">
        <v>2104</v>
      </c>
      <c r="D2136" s="1841">
        <v>3</v>
      </c>
      <c r="E2136" s="413" t="s">
        <v>2069</v>
      </c>
      <c r="F2136" s="1883">
        <f>'Bahan &amp; Upah'!C$337</f>
        <v>114133.55</v>
      </c>
      <c r="G2136" s="361">
        <f>F2136*D2136</f>
        <v>342400.65</v>
      </c>
      <c r="H2136" s="1980">
        <v>1</v>
      </c>
      <c r="I2136" s="1980">
        <f>(G2136/G$2144)*H2136</f>
        <v>0.39496253065295905</v>
      </c>
      <c r="J2136" s="1981"/>
    </row>
    <row r="2137" spans="1:10" ht="15.75" customHeight="1">
      <c r="A2137" s="1780"/>
      <c r="B2137" s="1739"/>
      <c r="C2137" s="1878" t="s">
        <v>2105</v>
      </c>
      <c r="D2137" s="1841">
        <v>0.3</v>
      </c>
      <c r="E2137" s="413" t="s">
        <v>2069</v>
      </c>
      <c r="F2137" s="1748">
        <f>'Bahan &amp; Upah'!C$338</f>
        <v>125485.75</v>
      </c>
      <c r="G2137" s="361">
        <f>F2137*D2137</f>
        <v>37645.724999999999</v>
      </c>
      <c r="H2137" s="1980">
        <v>1</v>
      </c>
      <c r="I2137" s="1980">
        <f>(G2137/G$2144)*H2137</f>
        <v>4.3424715502921402E-2</v>
      </c>
      <c r="J2137" s="1981"/>
    </row>
    <row r="2138" spans="1:10" ht="15.75" customHeight="1">
      <c r="A2138" s="1780"/>
      <c r="B2138" s="1739"/>
      <c r="C2138" s="1878" t="s">
        <v>2107</v>
      </c>
      <c r="D2138" s="1841">
        <v>0.1</v>
      </c>
      <c r="E2138" s="413" t="s">
        <v>2069</v>
      </c>
      <c r="F2138" s="1883">
        <f>'Bahan &amp; Upah'!C$339</f>
        <v>102689.88</v>
      </c>
      <c r="G2138" s="1785">
        <f>F2138*D2138</f>
        <v>10268.988000000001</v>
      </c>
      <c r="H2138" s="1980">
        <v>1</v>
      </c>
      <c r="I2138" s="1982">
        <f>(G2138/G$2144)*H2138</f>
        <v>1.1845379054405617E-2</v>
      </c>
      <c r="J2138" s="1981"/>
    </row>
    <row r="2139" spans="1:10" ht="15.75" customHeight="1">
      <c r="A2139" s="1780"/>
      <c r="B2139" s="1739"/>
      <c r="C2139" s="1889" t="s">
        <v>2108</v>
      </c>
      <c r="D2139" s="1841"/>
      <c r="E2139" s="413"/>
      <c r="F2139" s="320"/>
      <c r="G2139" s="361">
        <f>SUM(G2135:G2138)</f>
        <v>486648.01300000004</v>
      </c>
      <c r="H2139" s="1980"/>
      <c r="I2139" s="1983">
        <f>SUM(I2135:I2138)</f>
        <v>0.5613532881777944</v>
      </c>
      <c r="J2139" s="1981"/>
    </row>
    <row r="2140" spans="1:10" ht="15.75" customHeight="1">
      <c r="A2140" s="1780"/>
      <c r="B2140" s="1739" t="s">
        <v>1015</v>
      </c>
      <c r="C2140" s="1877" t="s">
        <v>2075</v>
      </c>
      <c r="D2140" s="1841"/>
      <c r="E2140" s="413"/>
      <c r="F2140" s="320"/>
      <c r="G2140" s="320"/>
      <c r="H2140" s="1980"/>
      <c r="I2140" s="1980"/>
      <c r="J2140" s="1981"/>
    </row>
    <row r="2141" spans="1:10" ht="15.75" customHeight="1">
      <c r="A2141" s="1780"/>
      <c r="B2141" s="1784"/>
      <c r="C2141" s="1878" t="s">
        <v>2701</v>
      </c>
      <c r="D2141" s="1841">
        <v>0.04</v>
      </c>
      <c r="E2141" s="413" t="s">
        <v>103</v>
      </c>
      <c r="F2141" s="1883">
        <f>'Bahan &amp; Upah'!C99</f>
        <v>9209399.0199999996</v>
      </c>
      <c r="G2141" s="332">
        <f>F2141*D2141</f>
        <v>368375.9608</v>
      </c>
      <c r="H2141" s="1980">
        <v>0.48970000000000002</v>
      </c>
      <c r="I2141" s="1980">
        <f>(G2141/G$2144)*H2141</f>
        <v>0.20808592339715476</v>
      </c>
      <c r="J2141" s="1981"/>
    </row>
    <row r="2142" spans="1:10" ht="15.75" customHeight="1">
      <c r="A2142" s="1780"/>
      <c r="B2142" s="1784"/>
      <c r="C2142" s="1878" t="s">
        <v>2698</v>
      </c>
      <c r="D2142" s="1841">
        <v>0.5</v>
      </c>
      <c r="E2142" s="413" t="s">
        <v>100</v>
      </c>
      <c r="F2142" s="1883">
        <f>'Bahan &amp; Upah'!C$105</f>
        <v>23790.7</v>
      </c>
      <c r="G2142" s="1794">
        <f>F2142*D2142</f>
        <v>11895.35</v>
      </c>
      <c r="H2142" s="1980">
        <v>0.40150000000000002</v>
      </c>
      <c r="I2142" s="1982">
        <f>(G2142/G$2144)*H2142</f>
        <v>5.5091435775883445E-3</v>
      </c>
      <c r="J2142" s="1981"/>
    </row>
    <row r="2143" spans="1:10" ht="15.75" customHeight="1">
      <c r="A2143" s="1780"/>
      <c r="B2143" s="1784"/>
      <c r="C2143" s="1878"/>
      <c r="D2143" s="1841"/>
      <c r="E2143" s="413"/>
      <c r="F2143" s="320"/>
      <c r="G2143" s="361">
        <f>SUM(G2141:G2142)</f>
        <v>380271.31079999998</v>
      </c>
      <c r="H2143" s="1980"/>
      <c r="I2143" s="1983">
        <f>SUM(I2141:I2142)</f>
        <v>0.21359506697474309</v>
      </c>
      <c r="J2143" s="1981"/>
    </row>
    <row r="2144" spans="1:10" ht="15.75" customHeight="1">
      <c r="A2144" s="1780"/>
      <c r="B2144" s="1784"/>
      <c r="C2144" s="1804" t="s">
        <v>2298</v>
      </c>
      <c r="D2144" s="1763"/>
      <c r="E2144" s="1764"/>
      <c r="F2144" s="1765"/>
      <c r="G2144" s="1765">
        <f>G2139+G2143</f>
        <v>866919.32380000001</v>
      </c>
      <c r="H2144" s="1980"/>
      <c r="I2144" s="1984">
        <f>I2139+I2143</f>
        <v>0.77494835515253746</v>
      </c>
      <c r="J2144" s="1981"/>
    </row>
    <row r="2145" spans="1:10" ht="15.75" customHeight="1">
      <c r="A2145" s="1780"/>
      <c r="B2145" s="1784"/>
      <c r="C2145" s="1762" t="s">
        <v>2094</v>
      </c>
      <c r="D2145" s="1767">
        <f>M$4</f>
        <v>0.15</v>
      </c>
      <c r="E2145" s="1768"/>
      <c r="F2145" s="1765"/>
      <c r="G2145" s="1765">
        <f>G2144*D2145</f>
        <v>130037.89856999999</v>
      </c>
      <c r="H2145" s="1980"/>
      <c r="I2145" s="1980"/>
      <c r="J2145" s="1981"/>
    </row>
    <row r="2146" spans="1:10" ht="15.75" customHeight="1">
      <c r="A2146" s="1786"/>
      <c r="B2146" s="1890"/>
      <c r="C2146" s="1788" t="s">
        <v>2111</v>
      </c>
      <c r="D2146" s="1772"/>
      <c r="E2146" s="1773"/>
      <c r="F2146" s="1774"/>
      <c r="G2146" s="1998">
        <f>ROUNDUP((G2144+G2145),2)</f>
        <v>996957.23</v>
      </c>
      <c r="H2146" s="1985"/>
      <c r="I2146" s="1985"/>
      <c r="J2146" s="1986"/>
    </row>
    <row r="2147" spans="1:10" ht="15.75" customHeight="1">
      <c r="A2147" s="1733"/>
      <c r="B2147" s="1733"/>
      <c r="C2147" s="1733"/>
      <c r="D2147" s="1733"/>
      <c r="E2147" s="1733"/>
      <c r="F2147" s="1733"/>
      <c r="G2147" s="1733"/>
      <c r="H2147" s="1733"/>
      <c r="I2147" s="1733"/>
      <c r="J2147" s="1733"/>
    </row>
    <row r="2148" spans="1:10" ht="15.75" customHeight="1">
      <c r="A2148" s="1778">
        <f>A2133+1</f>
        <v>107</v>
      </c>
      <c r="B2148" s="1805" t="s">
        <v>2702</v>
      </c>
      <c r="C2148" s="1872" t="s">
        <v>2703</v>
      </c>
      <c r="D2148" s="1873"/>
      <c r="E2148" s="1874"/>
      <c r="F2148" s="1875"/>
      <c r="G2148" s="1875"/>
      <c r="H2148" s="1997"/>
      <c r="I2148" s="1997"/>
      <c r="J2148" s="1947"/>
    </row>
    <row r="2149" spans="1:10" ht="15.75" customHeight="1">
      <c r="A2149" s="1780"/>
      <c r="B2149" s="1739" t="s">
        <v>1004</v>
      </c>
      <c r="C2149" s="1877" t="s">
        <v>2067</v>
      </c>
      <c r="D2149" s="390"/>
      <c r="E2149" s="413"/>
      <c r="F2149" s="320"/>
      <c r="G2149" s="320"/>
      <c r="H2149" s="1802"/>
      <c r="I2149" s="1802"/>
      <c r="J2149" s="1803"/>
    </row>
    <row r="2150" spans="1:10" ht="15.75" customHeight="1">
      <c r="A2150" s="1780"/>
      <c r="B2150" s="1739"/>
      <c r="C2150" s="1878" t="s">
        <v>2103</v>
      </c>
      <c r="D2150" s="1841">
        <v>8.5000000000000006E-2</v>
      </c>
      <c r="E2150" s="413" t="s">
        <v>2069</v>
      </c>
      <c r="F2150" s="1747">
        <f>'Bahan &amp; Upah'!C$336</f>
        <v>96332.65</v>
      </c>
      <c r="G2150" s="361">
        <f>F2150*D2150</f>
        <v>8188.2752499999997</v>
      </c>
      <c r="H2150" s="1980">
        <v>1</v>
      </c>
      <c r="I2150" s="1980">
        <f>(G2150/G$2160)*H2150</f>
        <v>1.4928972262402739E-2</v>
      </c>
      <c r="J2150" s="1981"/>
    </row>
    <row r="2151" spans="1:10" ht="15.75" customHeight="1">
      <c r="A2151" s="1780"/>
      <c r="B2151" s="1739"/>
      <c r="C2151" s="1878" t="s">
        <v>2104</v>
      </c>
      <c r="D2151" s="1841">
        <v>8.5000000000000006E-2</v>
      </c>
      <c r="E2151" s="413" t="s">
        <v>2069</v>
      </c>
      <c r="F2151" s="1883">
        <f>'Bahan &amp; Upah'!C$337</f>
        <v>114133.55</v>
      </c>
      <c r="G2151" s="361">
        <f>F2151*D2151</f>
        <v>9701.3517500000016</v>
      </c>
      <c r="H2151" s="1980">
        <v>1</v>
      </c>
      <c r="I2151" s="1980">
        <f>(G2151/G$2160)*H2151</f>
        <v>1.7687633446807044E-2</v>
      </c>
      <c r="J2151" s="1981"/>
    </row>
    <row r="2152" spans="1:10" ht="15.75" customHeight="1">
      <c r="A2152" s="1780"/>
      <c r="B2152" s="1739"/>
      <c r="C2152" s="1878" t="s">
        <v>2105</v>
      </c>
      <c r="D2152" s="1841">
        <v>8.9999999999999993E-3</v>
      </c>
      <c r="E2152" s="413" t="s">
        <v>2069</v>
      </c>
      <c r="F2152" s="1748">
        <f>'Bahan &amp; Upah'!C$338</f>
        <v>125485.75</v>
      </c>
      <c r="G2152" s="361">
        <f>F2152*D2152</f>
        <v>1129.37175</v>
      </c>
      <c r="H2152" s="1980">
        <v>1</v>
      </c>
      <c r="I2152" s="1980">
        <f>(G2152/G$2160)*H2152</f>
        <v>2.059085584560832E-3</v>
      </c>
      <c r="J2152" s="1981"/>
    </row>
    <row r="2153" spans="1:10" ht="15.75" customHeight="1">
      <c r="A2153" s="1780"/>
      <c r="B2153" s="1739"/>
      <c r="C2153" s="1878" t="s">
        <v>2107</v>
      </c>
      <c r="D2153" s="1841">
        <v>3.0000000000000001E-3</v>
      </c>
      <c r="E2153" s="413" t="s">
        <v>2069</v>
      </c>
      <c r="F2153" s="1883">
        <f>'Bahan &amp; Upah'!C$339</f>
        <v>102689.88</v>
      </c>
      <c r="G2153" s="1785">
        <f>F2153*D2153</f>
        <v>308.06963999999999</v>
      </c>
      <c r="H2153" s="1980">
        <v>1</v>
      </c>
      <c r="I2153" s="1982">
        <f>(G2153/G$2160)*H2153</f>
        <v>5.6167666205998604E-4</v>
      </c>
      <c r="J2153" s="1981"/>
    </row>
    <row r="2154" spans="1:10" ht="15.75" customHeight="1">
      <c r="A2154" s="1780"/>
      <c r="B2154" s="1739"/>
      <c r="C2154" s="1889" t="s">
        <v>2108</v>
      </c>
      <c r="D2154" s="1841"/>
      <c r="E2154" s="413"/>
      <c r="F2154" s="320"/>
      <c r="G2154" s="361">
        <f>SUM(G2150:G2153)</f>
        <v>19327.06839</v>
      </c>
      <c r="H2154" s="1980"/>
      <c r="I2154" s="1983">
        <f>SUM(I2150:I2153)</f>
        <v>3.5237367955830601E-2</v>
      </c>
      <c r="J2154" s="1981"/>
    </row>
    <row r="2155" spans="1:10" ht="15.75" customHeight="1">
      <c r="A2155" s="1780"/>
      <c r="B2155" s="1739" t="s">
        <v>1015</v>
      </c>
      <c r="C2155" s="1877" t="s">
        <v>2075</v>
      </c>
      <c r="D2155" s="1841"/>
      <c r="E2155" s="413"/>
      <c r="F2155" s="320"/>
      <c r="G2155" s="320"/>
      <c r="H2155" s="1980"/>
      <c r="I2155" s="1980"/>
      <c r="J2155" s="1981"/>
    </row>
    <row r="2156" spans="1:10" ht="15.75" customHeight="1">
      <c r="A2156" s="1780"/>
      <c r="B2156" s="1784"/>
      <c r="C2156" s="1878" t="s">
        <v>2704</v>
      </c>
      <c r="D2156" s="1841">
        <v>4.4000000000000004</v>
      </c>
      <c r="E2156" s="413" t="s">
        <v>117</v>
      </c>
      <c r="F2156" s="1883">
        <f>'Bahan &amp; Upah'!C128</f>
        <v>110328.4</v>
      </c>
      <c r="G2156" s="332">
        <f>F2156*D2156</f>
        <v>485444.96</v>
      </c>
      <c r="H2156" s="1980">
        <v>0.48970000000000002</v>
      </c>
      <c r="I2156" s="1980">
        <f>(G2156/G$2160)*H2156</f>
        <v>0.43341863350907056</v>
      </c>
      <c r="J2156" s="1981"/>
    </row>
    <row r="2157" spans="1:10" ht="15.75" customHeight="1">
      <c r="A2157" s="1780"/>
      <c r="B2157" s="1784"/>
      <c r="C2157" s="1878" t="s">
        <v>2705</v>
      </c>
      <c r="D2157" s="1841">
        <v>1.1000000000000001</v>
      </c>
      <c r="E2157" s="413" t="s">
        <v>117</v>
      </c>
      <c r="F2157" s="1883">
        <f>'Bahan &amp; Upah'!C132</f>
        <v>27351.27</v>
      </c>
      <c r="G2157" s="332">
        <f>F2157*D2157</f>
        <v>30086.397000000004</v>
      </c>
      <c r="H2157" s="1980">
        <v>0.48970000000000002</v>
      </c>
      <c r="I2157" s="1980">
        <f>(G2157/G$2160)*H2157</f>
        <v>2.6861964073025706E-2</v>
      </c>
      <c r="J2157" s="1981"/>
    </row>
    <row r="2158" spans="1:10" ht="15.75" customHeight="1">
      <c r="A2158" s="1780"/>
      <c r="B2158" s="1784"/>
      <c r="C2158" s="1878" t="s">
        <v>2578</v>
      </c>
      <c r="D2158" s="1841">
        <v>0.27</v>
      </c>
      <c r="E2158" s="413" t="s">
        <v>2579</v>
      </c>
      <c r="F2158" s="1883">
        <f>'Bahan &amp; Upah'!C131</f>
        <v>50458.35</v>
      </c>
      <c r="G2158" s="361">
        <f>F2158*D2158</f>
        <v>13623.754500000001</v>
      </c>
      <c r="H2158" s="1980">
        <v>0.40150000000000002</v>
      </c>
      <c r="I2158" s="1982">
        <f>(G2158/G$2160)*H2158</f>
        <v>9.9728626239908389E-3</v>
      </c>
      <c r="J2158" s="1981"/>
    </row>
    <row r="2159" spans="1:10" ht="15.75" customHeight="1">
      <c r="A2159" s="1780"/>
      <c r="B2159" s="1784"/>
      <c r="C2159" s="1878"/>
      <c r="D2159" s="1841"/>
      <c r="E2159" s="413"/>
      <c r="F2159" s="320"/>
      <c r="G2159" s="361">
        <f>SUM(G2156:G2158)</f>
        <v>529155.1115</v>
      </c>
      <c r="H2159" s="1980"/>
      <c r="I2159" s="1983">
        <f>SUM(I2156:I2158)</f>
        <v>0.4702534602060871</v>
      </c>
      <c r="J2159" s="1981"/>
    </row>
    <row r="2160" spans="1:10" ht="15.75" customHeight="1">
      <c r="A2160" s="1780"/>
      <c r="B2160" s="1784"/>
      <c r="C2160" s="1804" t="s">
        <v>2298</v>
      </c>
      <c r="D2160" s="1763"/>
      <c r="E2160" s="1764"/>
      <c r="F2160" s="1765"/>
      <c r="G2160" s="1765">
        <f>G2154+G2159</f>
        <v>548482.17989000003</v>
      </c>
      <c r="H2160" s="1980"/>
      <c r="I2160" s="1984">
        <f>I2154+I2159</f>
        <v>0.5054908281619177</v>
      </c>
      <c r="J2160" s="1981"/>
    </row>
    <row r="2161" spans="1:12" ht="15.75" customHeight="1">
      <c r="A2161" s="1780"/>
      <c r="B2161" s="1784"/>
      <c r="C2161" s="1762" t="s">
        <v>2094</v>
      </c>
      <c r="D2161" s="1767">
        <f>M$4</f>
        <v>0.15</v>
      </c>
      <c r="E2161" s="1768"/>
      <c r="F2161" s="1765"/>
      <c r="G2161" s="1765">
        <f>G2160*D2161</f>
        <v>82272.326983499996</v>
      </c>
      <c r="H2161" s="1980"/>
      <c r="I2161" s="1980"/>
      <c r="J2161" s="1981"/>
    </row>
    <row r="2162" spans="1:12" ht="15.75" customHeight="1">
      <c r="A2162" s="1786"/>
      <c r="B2162" s="1890"/>
      <c r="C2162" s="1788" t="s">
        <v>2111</v>
      </c>
      <c r="D2162" s="1772"/>
      <c r="E2162" s="1773"/>
      <c r="F2162" s="1774"/>
      <c r="G2162" s="1998">
        <f>ROUNDUP((G2160+G2161),2)</f>
        <v>630754.51</v>
      </c>
      <c r="H2162" s="1985"/>
      <c r="I2162" s="1985"/>
      <c r="J2162" s="1986"/>
    </row>
    <row r="2163" spans="1:12" ht="15.75" customHeight="1">
      <c r="A2163" s="1733"/>
      <c r="B2163" s="1733"/>
      <c r="C2163" s="1733"/>
      <c r="D2163" s="1733"/>
      <c r="E2163" s="1733"/>
      <c r="F2163" s="1733"/>
      <c r="G2163" s="1733"/>
      <c r="H2163" s="1733"/>
      <c r="I2163" s="1733"/>
      <c r="J2163" s="1733"/>
    </row>
    <row r="2164" spans="1:12" ht="30" customHeight="1">
      <c r="A2164" s="1778">
        <f>A2148+1</f>
        <v>108</v>
      </c>
      <c r="B2164" s="1871" t="s">
        <v>2147</v>
      </c>
      <c r="C2164" s="1872" t="s">
        <v>2706</v>
      </c>
      <c r="D2164" s="1873"/>
      <c r="E2164" s="1874"/>
      <c r="F2164" s="1875"/>
      <c r="G2164" s="1875"/>
      <c r="H2164" s="1997"/>
      <c r="I2164" s="1997"/>
      <c r="J2164" s="1947"/>
      <c r="L2164" s="944"/>
    </row>
    <row r="2165" spans="1:12" ht="15.75" customHeight="1">
      <c r="A2165" s="1780"/>
      <c r="B2165" s="1739" t="s">
        <v>1004</v>
      </c>
      <c r="C2165" s="1877" t="s">
        <v>2067</v>
      </c>
      <c r="D2165" s="390"/>
      <c r="E2165" s="413"/>
      <c r="F2165" s="320"/>
      <c r="G2165" s="320"/>
      <c r="H2165" s="1802"/>
      <c r="I2165" s="1802"/>
      <c r="J2165" s="1803"/>
      <c r="L2165" s="944"/>
    </row>
    <row r="2166" spans="1:12" ht="15.75" customHeight="1">
      <c r="A2166" s="1780"/>
      <c r="B2166" s="1739"/>
      <c r="C2166" s="1878" t="s">
        <v>2492</v>
      </c>
      <c r="D2166" s="1841">
        <v>1</v>
      </c>
      <c r="E2166" s="413" t="s">
        <v>360</v>
      </c>
      <c r="F2166" s="1883">
        <v>206814.81</v>
      </c>
      <c r="G2166" s="1785">
        <f>F2166*D2166</f>
        <v>206814.81</v>
      </c>
      <c r="H2166" s="1980">
        <v>1</v>
      </c>
      <c r="I2166" s="1982">
        <f>(G2166/G$2171)*H2166</f>
        <v>0.38086584865438206</v>
      </c>
      <c r="J2166" s="1981"/>
      <c r="L2166" s="944"/>
    </row>
    <row r="2167" spans="1:12" ht="15.75" customHeight="1">
      <c r="A2167" s="1780"/>
      <c r="B2167" s="1739"/>
      <c r="C2167" s="1889" t="s">
        <v>2108</v>
      </c>
      <c r="D2167" s="1841"/>
      <c r="E2167" s="413"/>
      <c r="F2167" s="1883"/>
      <c r="G2167" s="361">
        <f>SUM(G2166:G2166)</f>
        <v>206814.81</v>
      </c>
      <c r="H2167" s="1980"/>
      <c r="I2167" s="1983">
        <f>SUM(I2166)</f>
        <v>0.38086584865438206</v>
      </c>
      <c r="J2167" s="1981"/>
      <c r="L2167" s="944"/>
    </row>
    <row r="2168" spans="1:12" ht="15.75" customHeight="1">
      <c r="A2168" s="1780"/>
      <c r="B2168" s="1739" t="s">
        <v>1015</v>
      </c>
      <c r="C2168" s="1877" t="s">
        <v>2075</v>
      </c>
      <c r="D2168" s="1841"/>
      <c r="E2168" s="413"/>
      <c r="F2168" s="320"/>
      <c r="G2168" s="320"/>
      <c r="H2168" s="1980"/>
      <c r="I2168" s="1980"/>
      <c r="J2168" s="1981"/>
      <c r="L2168" s="944"/>
    </row>
    <row r="2169" spans="1:12" ht="27.75" customHeight="1">
      <c r="A2169" s="1780"/>
      <c r="B2169" s="1784"/>
      <c r="C2169" s="2045" t="s">
        <v>2707</v>
      </c>
      <c r="D2169" s="1841">
        <v>1</v>
      </c>
      <c r="E2169" s="413" t="s">
        <v>124</v>
      </c>
      <c r="F2169" s="1883">
        <f>'Bahan &amp; Upah'!C126</f>
        <v>336197.41</v>
      </c>
      <c r="G2169" s="1785">
        <f>F2169*D2169</f>
        <v>336197.41</v>
      </c>
      <c r="H2169" s="2015">
        <v>0.60489999999999999</v>
      </c>
      <c r="I2169" s="2016">
        <f>(G2169/G$2171)*H2169</f>
        <v>0.37451424814896433</v>
      </c>
      <c r="J2169" s="1981"/>
      <c r="L2169" s="2046" t="s">
        <v>2708</v>
      </c>
    </row>
    <row r="2170" spans="1:12" ht="15.75" customHeight="1">
      <c r="A2170" s="1780"/>
      <c r="B2170" s="1784"/>
      <c r="C2170" s="1878"/>
      <c r="D2170" s="1841"/>
      <c r="E2170" s="413"/>
      <c r="F2170" s="1883"/>
      <c r="G2170" s="361">
        <f>SUM(G2169:G2169)</f>
        <v>336197.41</v>
      </c>
      <c r="H2170" s="2015"/>
      <c r="I2170" s="2017">
        <f>SUM(I2169)</f>
        <v>0.37451424814896433</v>
      </c>
      <c r="J2170" s="1981"/>
      <c r="L2170" s="944"/>
    </row>
    <row r="2171" spans="1:12" ht="15.75" customHeight="1">
      <c r="A2171" s="1780"/>
      <c r="B2171" s="1784"/>
      <c r="C2171" s="1804" t="s">
        <v>2298</v>
      </c>
      <c r="D2171" s="1763"/>
      <c r="E2171" s="1764"/>
      <c r="F2171" s="1765"/>
      <c r="G2171" s="1765">
        <f>G2167+G2170</f>
        <v>543012.22</v>
      </c>
      <c r="H2171" s="2015"/>
      <c r="I2171" s="2018">
        <f>I2167+I2170</f>
        <v>0.75538009680334639</v>
      </c>
      <c r="J2171" s="1981"/>
      <c r="L2171" s="944"/>
    </row>
    <row r="2172" spans="1:12" ht="15.75" customHeight="1">
      <c r="A2172" s="1780"/>
      <c r="B2172" s="1784"/>
      <c r="C2172" s="1762" t="s">
        <v>2094</v>
      </c>
      <c r="D2172" s="1767">
        <f>M$4</f>
        <v>0.15</v>
      </c>
      <c r="E2172" s="1768"/>
      <c r="F2172" s="1765"/>
      <c r="G2172" s="1765">
        <f>G2171*D2172</f>
        <v>81451.832999999999</v>
      </c>
      <c r="H2172" s="2015"/>
      <c r="I2172" s="2015"/>
      <c r="J2172" s="1981"/>
      <c r="L2172" s="944"/>
    </row>
    <row r="2173" spans="1:12" ht="15.75" customHeight="1">
      <c r="A2173" s="1786"/>
      <c r="B2173" s="1890"/>
      <c r="C2173" s="1788" t="s">
        <v>2111</v>
      </c>
      <c r="D2173" s="1772"/>
      <c r="E2173" s="1773"/>
      <c r="F2173" s="1774"/>
      <c r="G2173" s="1998">
        <f>ROUNDUP((G2171+G2172),2)</f>
        <v>624464.06000000006</v>
      </c>
      <c r="H2173" s="2016"/>
      <c r="I2173" s="2016"/>
      <c r="J2173" s="2005"/>
      <c r="L2173" s="944"/>
    </row>
    <row r="2174" spans="1:12" ht="15.75" customHeight="1">
      <c r="A2174" s="1733"/>
      <c r="B2174" s="1733"/>
      <c r="C2174" s="1733"/>
      <c r="D2174" s="1733"/>
      <c r="E2174" s="1733"/>
      <c r="F2174" s="1733"/>
      <c r="G2174" s="1733"/>
      <c r="H2174" s="1733"/>
      <c r="I2174" s="1733"/>
      <c r="J2174" s="1733"/>
    </row>
    <row r="2175" spans="1:12" ht="15.75" customHeight="1">
      <c r="A2175" s="1778">
        <f>A2164+1</f>
        <v>109</v>
      </c>
      <c r="B2175" s="1805" t="s">
        <v>2709</v>
      </c>
      <c r="C2175" s="1872" t="s">
        <v>2710</v>
      </c>
      <c r="D2175" s="1873"/>
      <c r="E2175" s="1874"/>
      <c r="F2175" s="1875"/>
      <c r="G2175" s="1875"/>
      <c r="H2175" s="1997"/>
      <c r="I2175" s="1997"/>
      <c r="J2175" s="1947"/>
    </row>
    <row r="2176" spans="1:12" ht="15.75" customHeight="1">
      <c r="A2176" s="1780"/>
      <c r="B2176" s="1739" t="s">
        <v>1004</v>
      </c>
      <c r="C2176" s="1877" t="s">
        <v>2067</v>
      </c>
      <c r="D2176" s="390"/>
      <c r="E2176" s="413"/>
      <c r="F2176" s="320"/>
      <c r="G2176" s="320"/>
      <c r="H2176" s="1802"/>
      <c r="I2176" s="1802"/>
      <c r="J2176" s="1803"/>
    </row>
    <row r="2177" spans="1:10" ht="15.75" customHeight="1">
      <c r="A2177" s="1780"/>
      <c r="B2177" s="1739"/>
      <c r="C2177" s="1878" t="s">
        <v>2103</v>
      </c>
      <c r="D2177" s="1841">
        <v>1</v>
      </c>
      <c r="E2177" s="413" t="s">
        <v>2069</v>
      </c>
      <c r="F2177" s="1883">
        <f>'Bahan &amp; Upah'!C$336</f>
        <v>96332.65</v>
      </c>
      <c r="G2177" s="361">
        <f>F2177*D2177</f>
        <v>96332.65</v>
      </c>
      <c r="H2177" s="1980">
        <v>1</v>
      </c>
      <c r="I2177" s="1980">
        <f>(G2177/G$2187)*H2177</f>
        <v>0.11708713688643749</v>
      </c>
      <c r="J2177" s="1981"/>
    </row>
    <row r="2178" spans="1:10" ht="15.75" customHeight="1">
      <c r="A2178" s="1780"/>
      <c r="B2178" s="1739"/>
      <c r="C2178" s="1878" t="s">
        <v>2104</v>
      </c>
      <c r="D2178" s="1841">
        <v>3</v>
      </c>
      <c r="E2178" s="413" t="s">
        <v>2069</v>
      </c>
      <c r="F2178" s="1883">
        <f>'Bahan &amp; Upah'!C$337</f>
        <v>114133.55</v>
      </c>
      <c r="G2178" s="361">
        <f>F2178*D2178</f>
        <v>342400.65</v>
      </c>
      <c r="H2178" s="1980">
        <v>1</v>
      </c>
      <c r="I2178" s="1980">
        <f>(G2178/G$2187)*H2178</f>
        <v>0.41616951030159738</v>
      </c>
      <c r="J2178" s="1981"/>
    </row>
    <row r="2179" spans="1:10" ht="15.75" customHeight="1">
      <c r="A2179" s="1780"/>
      <c r="B2179" s="1739"/>
      <c r="C2179" s="1878" t="s">
        <v>2105</v>
      </c>
      <c r="D2179" s="1841">
        <v>0.3</v>
      </c>
      <c r="E2179" s="413" t="s">
        <v>2069</v>
      </c>
      <c r="F2179" s="1883">
        <f>'Bahan &amp; Upah'!C$338</f>
        <v>125485.75</v>
      </c>
      <c r="G2179" s="361">
        <f>F2179*D2179</f>
        <v>37645.724999999999</v>
      </c>
      <c r="H2179" s="1980">
        <v>1</v>
      </c>
      <c r="I2179" s="1980">
        <f>(G2179/G$2187)*H2179</f>
        <v>4.5756346952608301E-2</v>
      </c>
      <c r="J2179" s="1981"/>
    </row>
    <row r="2180" spans="1:10" ht="15.75" customHeight="1">
      <c r="A2180" s="1780"/>
      <c r="B2180" s="1739"/>
      <c r="C2180" s="1878" t="s">
        <v>2107</v>
      </c>
      <c r="D2180" s="1841">
        <v>0.1</v>
      </c>
      <c r="E2180" s="413" t="s">
        <v>2069</v>
      </c>
      <c r="F2180" s="1883">
        <f>'Bahan &amp; Upah'!C$339</f>
        <v>102689.88</v>
      </c>
      <c r="G2180" s="1785">
        <f>F2180*D2180</f>
        <v>10268.988000000001</v>
      </c>
      <c r="H2180" s="1980">
        <v>1</v>
      </c>
      <c r="I2180" s="1982">
        <f>(G2180/G$2187)*H2180</f>
        <v>1.2481400684411611E-2</v>
      </c>
      <c r="J2180" s="1981"/>
    </row>
    <row r="2181" spans="1:10" ht="15.75" customHeight="1">
      <c r="A2181" s="1780"/>
      <c r="B2181" s="1739"/>
      <c r="C2181" s="1889" t="s">
        <v>2108</v>
      </c>
      <c r="D2181" s="1841"/>
      <c r="E2181" s="413"/>
      <c r="F2181" s="1883"/>
      <c r="G2181" s="361">
        <f>SUM(G2177:G2180)</f>
        <v>486648.01300000004</v>
      </c>
      <c r="H2181" s="1980"/>
      <c r="I2181" s="1983">
        <f>SUM(I2177:I2180)</f>
        <v>0.59149439482505484</v>
      </c>
      <c r="J2181" s="1981"/>
    </row>
    <row r="2182" spans="1:10" ht="15.75" customHeight="1">
      <c r="A2182" s="1780"/>
      <c r="B2182" s="1739" t="s">
        <v>1015</v>
      </c>
      <c r="C2182" s="1877" t="s">
        <v>2075</v>
      </c>
      <c r="D2182" s="1841"/>
      <c r="E2182" s="413"/>
      <c r="F2182" s="1883"/>
      <c r="G2182" s="320"/>
      <c r="H2182" s="1980"/>
      <c r="I2182" s="1980"/>
      <c r="J2182" s="1981"/>
    </row>
    <row r="2183" spans="1:10" ht="15.75" customHeight="1">
      <c r="A2183" s="1780"/>
      <c r="B2183" s="1784"/>
      <c r="C2183" s="1878" t="s">
        <v>2711</v>
      </c>
      <c r="D2183" s="1841">
        <v>1</v>
      </c>
      <c r="E2183" s="413" t="s">
        <v>89</v>
      </c>
      <c r="F2183" s="1883">
        <f>('Bahan &amp; Upah'!C$92/(1.2*2.4))*2</f>
        <v>147298.51388888888</v>
      </c>
      <c r="G2183" s="332">
        <f>F2183*D2183</f>
        <v>147298.51388888888</v>
      </c>
      <c r="H2183" s="1980">
        <v>1</v>
      </c>
      <c r="I2183" s="1980">
        <f>(G2183/G$2187)*H2183</f>
        <v>0.17903339375463195</v>
      </c>
      <c r="J2183" s="1981"/>
    </row>
    <row r="2184" spans="1:10" ht="15.75" customHeight="1">
      <c r="A2184" s="1780"/>
      <c r="B2184" s="1784"/>
      <c r="C2184" s="1878" t="s">
        <v>2698</v>
      </c>
      <c r="D2184" s="1841">
        <v>0.5</v>
      </c>
      <c r="E2184" s="413" t="s">
        <v>100</v>
      </c>
      <c r="F2184" s="1883">
        <f>'Bahan &amp; Upah'!C$105</f>
        <v>23790.7</v>
      </c>
      <c r="G2184" s="332">
        <f>F2184*D2184</f>
        <v>11895.35</v>
      </c>
      <c r="H2184" s="1980">
        <v>0.45829999999999999</v>
      </c>
      <c r="I2184" s="1980">
        <f>(G2184/G$2187)*H2184</f>
        <v>6.6261728575427257E-3</v>
      </c>
      <c r="J2184" s="1981"/>
    </row>
    <row r="2185" spans="1:10" ht="15.75" customHeight="1">
      <c r="A2185" s="1780"/>
      <c r="B2185" s="1784"/>
      <c r="C2185" s="1878" t="s">
        <v>2712</v>
      </c>
      <c r="D2185" s="1841">
        <v>2</v>
      </c>
      <c r="E2185" s="413" t="s">
        <v>89</v>
      </c>
      <c r="F2185" s="1883">
        <f>'Bahan &amp; Upah'!C140</f>
        <v>88450.68</v>
      </c>
      <c r="G2185" s="361">
        <f>F2185*D2185</f>
        <v>176901.36</v>
      </c>
      <c r="H2185" s="1980">
        <v>0.55789999999999995</v>
      </c>
      <c r="I2185" s="1982">
        <f>(G2185/G$2187)*H2185</f>
        <v>0.11995634156434697</v>
      </c>
      <c r="J2185" s="1981"/>
    </row>
    <row r="2186" spans="1:10" ht="15.75" customHeight="1">
      <c r="A2186" s="1780"/>
      <c r="B2186" s="1784"/>
      <c r="C2186" s="1878"/>
      <c r="D2186" s="1841"/>
      <c r="E2186" s="413"/>
      <c r="F2186" s="1883"/>
      <c r="G2186" s="361">
        <f>SUM(G2183:G2185)</f>
        <v>336095.22388888884</v>
      </c>
      <c r="H2186" s="1980"/>
      <c r="I2186" s="1983">
        <f>SUM(I2183:I2185)</f>
        <v>0.30561590817652162</v>
      </c>
      <c r="J2186" s="1981"/>
    </row>
    <row r="2187" spans="1:10" ht="15.75" customHeight="1">
      <c r="A2187" s="1780"/>
      <c r="B2187" s="1784"/>
      <c r="C2187" s="1804" t="s">
        <v>2298</v>
      </c>
      <c r="D2187" s="1763"/>
      <c r="E2187" s="1764"/>
      <c r="F2187" s="1765"/>
      <c r="G2187" s="1765">
        <f>G2181+G2186</f>
        <v>822743.23688888887</v>
      </c>
      <c r="H2187" s="1980"/>
      <c r="I2187" s="1984">
        <f>I2181+I2186</f>
        <v>0.89711030300157646</v>
      </c>
      <c r="J2187" s="1981"/>
    </row>
    <row r="2188" spans="1:10" ht="15.75" customHeight="1">
      <c r="A2188" s="1780"/>
      <c r="B2188" s="1784"/>
      <c r="C2188" s="1762" t="s">
        <v>2094</v>
      </c>
      <c r="D2188" s="1767">
        <f>M$4</f>
        <v>0.15</v>
      </c>
      <c r="E2188" s="1768"/>
      <c r="F2188" s="1765"/>
      <c r="G2188" s="1765">
        <f>G2187*D2188</f>
        <v>123411.48553333333</v>
      </c>
      <c r="H2188" s="1980"/>
      <c r="I2188" s="1980"/>
      <c r="J2188" s="1981"/>
    </row>
    <row r="2189" spans="1:10" ht="15.75" customHeight="1">
      <c r="A2189" s="1786"/>
      <c r="B2189" s="1890"/>
      <c r="C2189" s="1788" t="s">
        <v>2111</v>
      </c>
      <c r="D2189" s="1772"/>
      <c r="E2189" s="1773"/>
      <c r="F2189" s="1774"/>
      <c r="G2189" s="1998">
        <f>ROUNDUP((G2187+G2188),2)</f>
        <v>946154.73</v>
      </c>
      <c r="H2189" s="1985"/>
      <c r="I2189" s="1985"/>
      <c r="J2189" s="1986"/>
    </row>
    <row r="2190" spans="1:10" ht="15.75" customHeight="1">
      <c r="A2190" s="1733"/>
      <c r="B2190" s="1733"/>
      <c r="C2190" s="1733"/>
      <c r="D2190" s="1733"/>
      <c r="E2190" s="1733"/>
      <c r="F2190" s="1733"/>
      <c r="G2190" s="1733"/>
      <c r="H2190" s="1733"/>
      <c r="I2190" s="1733"/>
      <c r="J2190" s="1733"/>
    </row>
    <row r="2191" spans="1:10" ht="15.75" customHeight="1">
      <c r="A2191" s="1778">
        <f>A2175+1</f>
        <v>110</v>
      </c>
      <c r="B2191" s="1805" t="s">
        <v>2713</v>
      </c>
      <c r="C2191" s="1872" t="s">
        <v>2714</v>
      </c>
      <c r="D2191" s="1873"/>
      <c r="E2191" s="1874"/>
      <c r="F2191" s="1875"/>
      <c r="G2191" s="1875"/>
      <c r="H2191" s="1997"/>
      <c r="I2191" s="1997"/>
      <c r="J2191" s="1947"/>
    </row>
    <row r="2192" spans="1:10" ht="15.75" customHeight="1">
      <c r="A2192" s="1780"/>
      <c r="B2192" s="1739" t="s">
        <v>1004</v>
      </c>
      <c r="C2192" s="1877" t="s">
        <v>2067</v>
      </c>
      <c r="D2192" s="390"/>
      <c r="E2192" s="413"/>
      <c r="F2192" s="320"/>
      <c r="G2192" s="320"/>
      <c r="H2192" s="1802"/>
      <c r="I2192" s="1802"/>
      <c r="J2192" s="1803"/>
    </row>
    <row r="2193" spans="1:10" ht="15.75" customHeight="1">
      <c r="A2193" s="1780"/>
      <c r="B2193" s="1739"/>
      <c r="C2193" s="1878" t="s">
        <v>2103</v>
      </c>
      <c r="D2193" s="1841">
        <v>4.2999999999999997E-2</v>
      </c>
      <c r="E2193" s="413" t="s">
        <v>2069</v>
      </c>
      <c r="F2193" s="1747">
        <f>'Bahan &amp; Upah'!C$336</f>
        <v>96332.65</v>
      </c>
      <c r="G2193" s="361">
        <f>F2193*D2193</f>
        <v>4142.3039499999995</v>
      </c>
      <c r="H2193" s="1980">
        <v>1</v>
      </c>
      <c r="I2193" s="1980">
        <f>(G2193/G$2202)*H2193</f>
        <v>5.9143187916140183E-3</v>
      </c>
      <c r="J2193" s="1981"/>
    </row>
    <row r="2194" spans="1:10" ht="15.75" customHeight="1">
      <c r="A2194" s="1780"/>
      <c r="B2194" s="1739"/>
      <c r="C2194" s="1878" t="s">
        <v>2104</v>
      </c>
      <c r="D2194" s="1841">
        <v>4.2999999999999997E-2</v>
      </c>
      <c r="E2194" s="413" t="s">
        <v>2069</v>
      </c>
      <c r="F2194" s="1883">
        <f>'Bahan &amp; Upah'!C$337</f>
        <v>114133.55</v>
      </c>
      <c r="G2194" s="361">
        <f>F2194*D2194</f>
        <v>4907.7426500000001</v>
      </c>
      <c r="H2194" s="1980">
        <v>1</v>
      </c>
      <c r="I2194" s="1980">
        <f>(G2194/G$2202)*H2194</f>
        <v>7.0072005651107723E-3</v>
      </c>
      <c r="J2194" s="1981"/>
    </row>
    <row r="2195" spans="1:10" ht="15.75" customHeight="1">
      <c r="A2195" s="1780"/>
      <c r="B2195" s="1739"/>
      <c r="C2195" s="1878" t="s">
        <v>2105</v>
      </c>
      <c r="D2195" s="1841">
        <v>4.3E-3</v>
      </c>
      <c r="E2195" s="413" t="s">
        <v>2069</v>
      </c>
      <c r="F2195" s="1748">
        <f>'Bahan &amp; Upah'!C$338</f>
        <v>125485.75</v>
      </c>
      <c r="G2195" s="361">
        <f>F2195*D2195</f>
        <v>539.58872499999995</v>
      </c>
      <c r="H2195" s="1980">
        <v>1</v>
      </c>
      <c r="I2195" s="1980">
        <f>(G2195/G$2202)*H2195</f>
        <v>7.7041660257947731E-4</v>
      </c>
      <c r="J2195" s="1981"/>
    </row>
    <row r="2196" spans="1:10" ht="15.75" customHeight="1">
      <c r="A2196" s="1780"/>
      <c r="B2196" s="1739"/>
      <c r="C2196" s="1878" t="s">
        <v>2107</v>
      </c>
      <c r="D2196" s="1841">
        <v>1.4E-3</v>
      </c>
      <c r="E2196" s="413" t="s">
        <v>2069</v>
      </c>
      <c r="F2196" s="1883">
        <f>'Bahan &amp; Upah'!C$339</f>
        <v>102689.88</v>
      </c>
      <c r="G2196" s="1785">
        <f>F2196*D2196</f>
        <v>143.76583200000002</v>
      </c>
      <c r="H2196" s="1980">
        <v>1</v>
      </c>
      <c r="I2196" s="1982">
        <f>(G2196/G$2202)*H2196</f>
        <v>2.0526667575652534E-4</v>
      </c>
      <c r="J2196" s="1981"/>
    </row>
    <row r="2197" spans="1:10" ht="15.75" customHeight="1">
      <c r="A2197" s="1780"/>
      <c r="B2197" s="1739"/>
      <c r="C2197" s="1889" t="s">
        <v>2108</v>
      </c>
      <c r="D2197" s="1841"/>
      <c r="E2197" s="413"/>
      <c r="F2197" s="320"/>
      <c r="G2197" s="361">
        <f>SUM(G2193:G2196)</f>
        <v>9733.4011569999984</v>
      </c>
      <c r="H2197" s="1980"/>
      <c r="I2197" s="1983">
        <f>SUM(I2193:I2196)</f>
        <v>1.3897202635060793E-2</v>
      </c>
      <c r="J2197" s="1981"/>
    </row>
    <row r="2198" spans="1:10" ht="15.75" customHeight="1">
      <c r="A2198" s="1780"/>
      <c r="B2198" s="1739" t="s">
        <v>1015</v>
      </c>
      <c r="C2198" s="1877" t="s">
        <v>2075</v>
      </c>
      <c r="D2198" s="1841"/>
      <c r="E2198" s="413"/>
      <c r="F2198" s="320"/>
      <c r="G2198" s="320"/>
      <c r="H2198" s="1980"/>
      <c r="I2198" s="1980"/>
      <c r="J2198" s="1981"/>
    </row>
    <row r="2199" spans="1:10" ht="15.75" customHeight="1">
      <c r="A2199" s="1780"/>
      <c r="B2199" s="1784"/>
      <c r="C2199" s="1878" t="s">
        <v>2715</v>
      </c>
      <c r="D2199" s="1841">
        <v>1.1000000000000001</v>
      </c>
      <c r="E2199" s="413" t="s">
        <v>89</v>
      </c>
      <c r="F2199" s="1883">
        <v>625572.11</v>
      </c>
      <c r="G2199" s="332">
        <f>F2199*D2199</f>
        <v>688129.321</v>
      </c>
      <c r="H2199" s="1980">
        <v>0.48970000000000002</v>
      </c>
      <c r="I2199" s="1980">
        <f>(G2199/G$2202)*H2199</f>
        <v>0.48113055067595017</v>
      </c>
      <c r="J2199" s="1981"/>
    </row>
    <row r="2200" spans="1:10" ht="15.75" customHeight="1">
      <c r="A2200" s="1780"/>
      <c r="B2200" s="1784"/>
      <c r="C2200" s="1878" t="s">
        <v>2716</v>
      </c>
      <c r="D2200" s="1841">
        <v>0.05</v>
      </c>
      <c r="E2200" s="413" t="s">
        <v>2579</v>
      </c>
      <c r="F2200" s="1883">
        <f>'Bahan &amp; Upah'!C131</f>
        <v>50458.35</v>
      </c>
      <c r="G2200" s="361">
        <f>F2200*D2200</f>
        <v>2522.9175</v>
      </c>
      <c r="H2200" s="1980">
        <v>0.40150000000000002</v>
      </c>
      <c r="I2200" s="1982">
        <f>(G2200/G$2202)*H2200</f>
        <v>1.4462766208999845E-3</v>
      </c>
      <c r="J2200" s="1981"/>
    </row>
    <row r="2201" spans="1:10" ht="15.75" customHeight="1">
      <c r="A2201" s="1780"/>
      <c r="B2201" s="1784"/>
      <c r="C2201" s="1878"/>
      <c r="D2201" s="1841"/>
      <c r="E2201" s="413"/>
      <c r="F2201" s="1883"/>
      <c r="G2201" s="361">
        <f>SUM(G2199:G2200)</f>
        <v>690652.23849999998</v>
      </c>
      <c r="H2201" s="1980"/>
      <c r="I2201" s="1983">
        <f>SUM(I2199:I2200)</f>
        <v>0.48257682729685014</v>
      </c>
      <c r="J2201" s="1981"/>
    </row>
    <row r="2202" spans="1:10" ht="15.75" customHeight="1">
      <c r="A2202" s="1780"/>
      <c r="B2202" s="1784"/>
      <c r="C2202" s="1804" t="s">
        <v>2298</v>
      </c>
      <c r="D2202" s="1763"/>
      <c r="E2202" s="1764"/>
      <c r="F2202" s="1765"/>
      <c r="G2202" s="1765">
        <f>G2197+G2201</f>
        <v>700385.63965699996</v>
      </c>
      <c r="H2202" s="1980"/>
      <c r="I2202" s="1984">
        <f>I2197+I2201</f>
        <v>0.49647402993191092</v>
      </c>
      <c r="J2202" s="1981"/>
    </row>
    <row r="2203" spans="1:10" ht="15.75" customHeight="1">
      <c r="A2203" s="1780"/>
      <c r="B2203" s="1784"/>
      <c r="C2203" s="1762" t="s">
        <v>2094</v>
      </c>
      <c r="D2203" s="1767">
        <f>M$4</f>
        <v>0.15</v>
      </c>
      <c r="E2203" s="1768"/>
      <c r="F2203" s="1765"/>
      <c r="G2203" s="1765">
        <f>G2202*D2203</f>
        <v>105057.84594854999</v>
      </c>
      <c r="H2203" s="1980"/>
      <c r="I2203" s="1980"/>
      <c r="J2203" s="1981"/>
    </row>
    <row r="2204" spans="1:10" ht="15.75" customHeight="1">
      <c r="A2204" s="1786"/>
      <c r="B2204" s="1890"/>
      <c r="C2204" s="1788" t="s">
        <v>2111</v>
      </c>
      <c r="D2204" s="1772"/>
      <c r="E2204" s="1773"/>
      <c r="F2204" s="1774"/>
      <c r="G2204" s="1998">
        <f>ROUNDUP((G2202+G2203),2)</f>
        <v>805443.49</v>
      </c>
      <c r="H2204" s="1985"/>
      <c r="I2204" s="1985"/>
      <c r="J2204" s="1986"/>
    </row>
    <row r="2205" spans="1:10" ht="15.75" customHeight="1">
      <c r="A2205" s="1733"/>
      <c r="B2205" s="1733"/>
      <c r="C2205" s="1733"/>
      <c r="D2205" s="1733"/>
      <c r="E2205" s="1733"/>
      <c r="F2205" s="1733"/>
      <c r="G2205" s="1733"/>
      <c r="H2205" s="1733"/>
      <c r="I2205" s="1733"/>
      <c r="J2205" s="1733"/>
    </row>
    <row r="2206" spans="1:10" ht="30" customHeight="1">
      <c r="A2206" s="1778">
        <f>A2191+1</f>
        <v>111</v>
      </c>
      <c r="B2206" s="1871" t="s">
        <v>2147</v>
      </c>
      <c r="C2206" s="1872" t="s">
        <v>2717</v>
      </c>
      <c r="D2206" s="1873"/>
      <c r="E2206" s="1874"/>
      <c r="F2206" s="1875"/>
      <c r="G2206" s="1875"/>
      <c r="H2206" s="1800"/>
      <c r="I2206" s="1800"/>
      <c r="J2206" s="1801"/>
    </row>
    <row r="2207" spans="1:10" ht="15.75" customHeight="1">
      <c r="A2207" s="1780"/>
      <c r="B2207" s="1739" t="s">
        <v>1004</v>
      </c>
      <c r="C2207" s="1877" t="s">
        <v>2067</v>
      </c>
      <c r="D2207" s="390"/>
      <c r="E2207" s="413"/>
      <c r="F2207" s="320"/>
      <c r="G2207" s="320"/>
      <c r="H2207" s="1802"/>
      <c r="I2207" s="1802"/>
      <c r="J2207" s="1803"/>
    </row>
    <row r="2208" spans="1:10" ht="15.75" customHeight="1">
      <c r="A2208" s="1780"/>
      <c r="B2208" s="1739"/>
      <c r="C2208" s="1878" t="s">
        <v>2103</v>
      </c>
      <c r="D2208" s="1841">
        <f>0.085*(0.8*2.1)</f>
        <v>0.14280000000000001</v>
      </c>
      <c r="E2208" s="413" t="s">
        <v>2069</v>
      </c>
      <c r="F2208" s="1747">
        <f>'Bahan &amp; Upah'!C$336</f>
        <v>96332.65</v>
      </c>
      <c r="G2208" s="361">
        <f>F2208*D2208</f>
        <v>13756.30242</v>
      </c>
      <c r="H2208" s="1980">
        <v>1</v>
      </c>
      <c r="I2208" s="1980">
        <f>(G2208/G$2216)*H2208</f>
        <v>8.4237710990811825E-3</v>
      </c>
      <c r="J2208" s="1981"/>
    </row>
    <row r="2209" spans="1:10" ht="15.75" customHeight="1">
      <c r="A2209" s="1780"/>
      <c r="B2209" s="1739"/>
      <c r="C2209" s="1878" t="s">
        <v>2104</v>
      </c>
      <c r="D2209" s="1841">
        <f>0.085*(0.8*2.1)</f>
        <v>0.14280000000000001</v>
      </c>
      <c r="E2209" s="413" t="s">
        <v>2069</v>
      </c>
      <c r="F2209" s="1883">
        <f>'Bahan &amp; Upah'!C$337</f>
        <v>114133.55</v>
      </c>
      <c r="G2209" s="361">
        <f>F2209*D2209</f>
        <v>16298.270940000002</v>
      </c>
      <c r="H2209" s="1980">
        <v>1</v>
      </c>
      <c r="I2209" s="1980">
        <f>(G2209/G$2216)*H2209</f>
        <v>9.9803638737804602E-3</v>
      </c>
      <c r="J2209" s="1981"/>
    </row>
    <row r="2210" spans="1:10" ht="15.75" customHeight="1">
      <c r="A2210" s="1780"/>
      <c r="B2210" s="1739"/>
      <c r="C2210" s="1878" t="s">
        <v>2105</v>
      </c>
      <c r="D2210" s="1841">
        <f>0.0085*(0.8*2.1)</f>
        <v>1.4280000000000003E-2</v>
      </c>
      <c r="E2210" s="413" t="s">
        <v>2069</v>
      </c>
      <c r="F2210" s="1748">
        <f>'Bahan &amp; Upah'!C$338</f>
        <v>125485.75</v>
      </c>
      <c r="G2210" s="361">
        <f>F2210*D2210</f>
        <v>1791.9365100000005</v>
      </c>
      <c r="H2210" s="1980">
        <v>1</v>
      </c>
      <c r="I2210" s="1980">
        <f>(G2210/G$2216)*H2210</f>
        <v>1.0973052585977099E-3</v>
      </c>
      <c r="J2210" s="1981"/>
    </row>
    <row r="2211" spans="1:10" ht="15.75" customHeight="1">
      <c r="A2211" s="1780"/>
      <c r="B2211" s="1739"/>
      <c r="C2211" s="1878" t="s">
        <v>2107</v>
      </c>
      <c r="D2211" s="1841">
        <f>0.0042*(0.8*2.1)</f>
        <v>7.0560000000000006E-3</v>
      </c>
      <c r="E2211" s="413" t="s">
        <v>2069</v>
      </c>
      <c r="F2211" s="1883">
        <f>'Bahan &amp; Upah'!C$339</f>
        <v>102689.88</v>
      </c>
      <c r="G2211" s="1785">
        <f>F2211*D2211</f>
        <v>724.5797932800001</v>
      </c>
      <c r="H2211" s="1980">
        <v>1</v>
      </c>
      <c r="I2211" s="1982">
        <f>(G2211/G$2216)*H2211</f>
        <v>4.437016674434439E-4</v>
      </c>
      <c r="J2211" s="1981"/>
    </row>
    <row r="2212" spans="1:10" ht="15.75" customHeight="1">
      <c r="A2212" s="1780"/>
      <c r="B2212" s="1739"/>
      <c r="C2212" s="1889" t="s">
        <v>2108</v>
      </c>
      <c r="D2212" s="1841"/>
      <c r="E2212" s="413"/>
      <c r="F2212" s="1748"/>
      <c r="G2212" s="361">
        <f>SUM(G2208:G2211)</f>
        <v>32571.089663280003</v>
      </c>
      <c r="H2212" s="1980"/>
      <c r="I2212" s="1983">
        <f>SUM(I2208:I2211)</f>
        <v>1.9945141898902796E-2</v>
      </c>
      <c r="J2212" s="1981"/>
    </row>
    <row r="2213" spans="1:10" ht="15.75" customHeight="1">
      <c r="A2213" s="1780"/>
      <c r="B2213" s="1739" t="s">
        <v>1015</v>
      </c>
      <c r="C2213" s="1877" t="s">
        <v>2075</v>
      </c>
      <c r="D2213" s="1841"/>
      <c r="E2213" s="413"/>
      <c r="F2213" s="1883"/>
      <c r="G2213" s="320"/>
      <c r="H2213" s="1980"/>
      <c r="I2213" s="1980"/>
      <c r="J2213" s="1981"/>
    </row>
    <row r="2214" spans="1:10" ht="15.75" customHeight="1">
      <c r="A2214" s="1780"/>
      <c r="B2214" s="1784"/>
      <c r="C2214" s="1878" t="s">
        <v>2718</v>
      </c>
      <c r="D2214" s="1841">
        <v>1</v>
      </c>
      <c r="E2214" s="413" t="s">
        <v>360</v>
      </c>
      <c r="F2214" s="1748">
        <f>'Bahan &amp; Upah'!C127</f>
        <v>1600462.65</v>
      </c>
      <c r="G2214" s="1785">
        <f>F2214*D2214</f>
        <v>1600462.65</v>
      </c>
      <c r="H2214" s="1782">
        <v>0.60489999999999999</v>
      </c>
      <c r="I2214" s="1982">
        <f>(G2214/G$2216)*H2214</f>
        <v>0.5928351836653537</v>
      </c>
      <c r="J2214" s="1783"/>
    </row>
    <row r="2215" spans="1:10" ht="15.75" customHeight="1">
      <c r="A2215" s="1780"/>
      <c r="B2215" s="1784"/>
      <c r="C2215" s="1878"/>
      <c r="D2215" s="1841"/>
      <c r="E2215" s="413"/>
      <c r="F2215" s="1883"/>
      <c r="G2215" s="361">
        <f>SUM(G2214:G2214)</f>
        <v>1600462.65</v>
      </c>
      <c r="H2215" s="1782"/>
      <c r="I2215" s="1983">
        <f>SUM(I2211:I2214)</f>
        <v>0.6132240272317</v>
      </c>
      <c r="J2215" s="1783"/>
    </row>
    <row r="2216" spans="1:10" ht="15.75" customHeight="1">
      <c r="A2216" s="1780"/>
      <c r="B2216" s="1784"/>
      <c r="C2216" s="1804" t="s">
        <v>2298</v>
      </c>
      <c r="D2216" s="1763"/>
      <c r="E2216" s="1764"/>
      <c r="F2216" s="1765"/>
      <c r="G2216" s="1765">
        <f>G2212+G2215</f>
        <v>1633033.7396632798</v>
      </c>
      <c r="H2216" s="1782"/>
      <c r="I2216" s="1782"/>
      <c r="J2216" s="1783"/>
    </row>
    <row r="2217" spans="1:10" ht="15.75" customHeight="1">
      <c r="A2217" s="1780"/>
      <c r="B2217" s="1784"/>
      <c r="C2217" s="1762" t="s">
        <v>2094</v>
      </c>
      <c r="D2217" s="1767">
        <f>M$4</f>
        <v>0.15</v>
      </c>
      <c r="E2217" s="1768"/>
      <c r="F2217" s="1765"/>
      <c r="G2217" s="1765">
        <f>G2216*D2217</f>
        <v>244955.06094949198</v>
      </c>
      <c r="H2217" s="1782"/>
      <c r="I2217" s="1862">
        <f>I2212+I2215</f>
        <v>0.63316916913060284</v>
      </c>
      <c r="J2217" s="1783"/>
    </row>
    <row r="2218" spans="1:10" ht="15.75" customHeight="1">
      <c r="A2218" s="1786"/>
      <c r="B2218" s="1890"/>
      <c r="C2218" s="1788" t="s">
        <v>2111</v>
      </c>
      <c r="D2218" s="1772"/>
      <c r="E2218" s="1773"/>
      <c r="F2218" s="1774"/>
      <c r="G2218" s="1998">
        <f>ROUNDUP((G2216+G2217),2)</f>
        <v>1877988.81</v>
      </c>
      <c r="H2218" s="2010"/>
      <c r="I2218" s="2010"/>
      <c r="J2218" s="1893"/>
    </row>
    <row r="2219" spans="1:10" ht="15.75" customHeight="1">
      <c r="A2219" s="1733"/>
      <c r="B2219" s="1733"/>
      <c r="C2219" s="1733"/>
      <c r="D2219" s="1733"/>
      <c r="E2219" s="1733"/>
      <c r="F2219" s="1733"/>
      <c r="G2219" s="1733"/>
      <c r="H2219" s="1733"/>
      <c r="I2219" s="1733"/>
      <c r="J2219" s="1733"/>
    </row>
    <row r="2220" spans="1:10" ht="15.75" customHeight="1">
      <c r="A2220" s="1778">
        <f>A2206+1</f>
        <v>112</v>
      </c>
      <c r="B2220" s="1805" t="s">
        <v>2719</v>
      </c>
      <c r="C2220" s="1872" t="s">
        <v>2720</v>
      </c>
      <c r="D2220" s="1873"/>
      <c r="E2220" s="1874"/>
      <c r="F2220" s="1875"/>
      <c r="G2220" s="1875"/>
      <c r="H2220" s="1997"/>
      <c r="I2220" s="1997"/>
      <c r="J2220" s="1947"/>
    </row>
    <row r="2221" spans="1:10" ht="15.75" customHeight="1">
      <c r="A2221" s="1780"/>
      <c r="B2221" s="1739" t="s">
        <v>1004</v>
      </c>
      <c r="C2221" s="1877" t="s">
        <v>2067</v>
      </c>
      <c r="D2221" s="390"/>
      <c r="E2221" s="413"/>
      <c r="F2221" s="320"/>
      <c r="G2221" s="320"/>
      <c r="H2221" s="1802"/>
      <c r="I2221" s="1802"/>
      <c r="J2221" s="1803"/>
    </row>
    <row r="2222" spans="1:10" ht="15.75" customHeight="1">
      <c r="A2222" s="1780"/>
      <c r="B2222" s="1739"/>
      <c r="C2222" s="1878" t="s">
        <v>2103</v>
      </c>
      <c r="D2222" s="1841">
        <v>1.05</v>
      </c>
      <c r="E2222" s="413" t="s">
        <v>2069</v>
      </c>
      <c r="F2222" s="1747">
        <f>'Bahan &amp; Upah'!C$336</f>
        <v>96332.65</v>
      </c>
      <c r="G2222" s="361">
        <f>F2222*D2222</f>
        <v>101149.2825</v>
      </c>
      <c r="H2222" s="1980">
        <v>1</v>
      </c>
      <c r="I2222" s="1980">
        <f>(G2222/G$2232)*H2222</f>
        <v>9.2537921367207648E-2</v>
      </c>
      <c r="J2222" s="1981"/>
    </row>
    <row r="2223" spans="1:10" ht="15.75" customHeight="1">
      <c r="A2223" s="1780"/>
      <c r="B2223" s="1739"/>
      <c r="C2223" s="1878" t="s">
        <v>2483</v>
      </c>
      <c r="D2223" s="1841">
        <v>1.05</v>
      </c>
      <c r="E2223" s="413" t="s">
        <v>2069</v>
      </c>
      <c r="F2223" s="1883">
        <f>'Bahan &amp; Upah'!C$337</f>
        <v>114133.55</v>
      </c>
      <c r="G2223" s="361">
        <f>F2223*D2223</f>
        <v>119840.22750000001</v>
      </c>
      <c r="H2223" s="1980">
        <v>1</v>
      </c>
      <c r="I2223" s="1980">
        <f>(G2223/G$2232)*H2223</f>
        <v>0.10963760962934439</v>
      </c>
      <c r="J2223" s="1981"/>
    </row>
    <row r="2224" spans="1:10" ht="15.75" customHeight="1">
      <c r="A2224" s="1780"/>
      <c r="B2224" s="1739"/>
      <c r="C2224" s="1878" t="s">
        <v>2105</v>
      </c>
      <c r="D2224" s="1841">
        <v>0.105</v>
      </c>
      <c r="E2224" s="413" t="s">
        <v>2069</v>
      </c>
      <c r="F2224" s="1748">
        <f>'Bahan &amp; Upah'!C$338</f>
        <v>125485.75</v>
      </c>
      <c r="G2224" s="361">
        <f>F2224*D2224</f>
        <v>13176.00375</v>
      </c>
      <c r="H2224" s="1980">
        <v>1</v>
      </c>
      <c r="I2224" s="1980">
        <f>(G2224/G$2232)*H2224</f>
        <v>1.2054262460552136E-2</v>
      </c>
      <c r="J2224" s="1981"/>
    </row>
    <row r="2225" spans="1:10" ht="15.75" customHeight="1">
      <c r="A2225" s="1780"/>
      <c r="B2225" s="1739"/>
      <c r="C2225" s="1878" t="s">
        <v>2107</v>
      </c>
      <c r="D2225" s="1841">
        <v>3.5000000000000003E-2</v>
      </c>
      <c r="E2225" s="413" t="s">
        <v>2069</v>
      </c>
      <c r="F2225" s="1883">
        <f>'Bahan &amp; Upah'!C$339</f>
        <v>102689.88</v>
      </c>
      <c r="G2225" s="1785">
        <f>F2225*D2225</f>
        <v>3594.1458000000007</v>
      </c>
      <c r="H2225" s="1980">
        <v>1</v>
      </c>
      <c r="I2225" s="1982">
        <f>(G2225/G$2232)*H2225</f>
        <v>3.2881575944216875E-3</v>
      </c>
      <c r="J2225" s="1981"/>
    </row>
    <row r="2226" spans="1:10" ht="15.75" customHeight="1">
      <c r="A2226" s="1780"/>
      <c r="B2226" s="1739"/>
      <c r="C2226" s="1889" t="s">
        <v>2108</v>
      </c>
      <c r="D2226" s="1841"/>
      <c r="E2226" s="413"/>
      <c r="F2226" s="320"/>
      <c r="G2226" s="361">
        <f>SUM(G2222:G2225)</f>
        <v>237759.65955000001</v>
      </c>
      <c r="H2226" s="1980"/>
      <c r="I2226" s="1983">
        <f>SUM(I2222:I2225)</f>
        <v>0.21751795105152588</v>
      </c>
      <c r="J2226" s="1981"/>
    </row>
    <row r="2227" spans="1:10" ht="15.75" customHeight="1">
      <c r="A2227" s="1780"/>
      <c r="B2227" s="1739" t="s">
        <v>1015</v>
      </c>
      <c r="C2227" s="1877" t="s">
        <v>2075</v>
      </c>
      <c r="D2227" s="1841"/>
      <c r="E2227" s="413"/>
      <c r="F2227" s="320"/>
      <c r="G2227" s="320"/>
      <c r="H2227" s="1980"/>
      <c r="I2227" s="1980"/>
      <c r="J2227" s="1981"/>
    </row>
    <row r="2228" spans="1:10" ht="15.75" customHeight="1">
      <c r="A2228" s="1780"/>
      <c r="B2228" s="1784"/>
      <c r="C2228" s="1878" t="s">
        <v>2721</v>
      </c>
      <c r="D2228" s="1841">
        <v>15</v>
      </c>
      <c r="E2228" s="413" t="s">
        <v>100</v>
      </c>
      <c r="F2228" s="1883">
        <f>'Bahan &amp; Upah'!C53</f>
        <v>16527.099999999999</v>
      </c>
      <c r="G2228" s="332">
        <f>F2228*D2228</f>
        <v>247906.49999999997</v>
      </c>
      <c r="H2228" s="1980">
        <v>0.48970000000000002</v>
      </c>
      <c r="I2228" s="1980">
        <f>(G2228/G$2232)*H2228</f>
        <v>0.11106441960193447</v>
      </c>
      <c r="J2228" s="1981"/>
    </row>
    <row r="2229" spans="1:10" ht="15.75" customHeight="1">
      <c r="A2229" s="1780"/>
      <c r="B2229" s="1784"/>
      <c r="C2229" s="1878" t="s">
        <v>2722</v>
      </c>
      <c r="D2229" s="1841">
        <v>32</v>
      </c>
      <c r="E2229" s="413" t="s">
        <v>100</v>
      </c>
      <c r="F2229" s="1883">
        <f>'Bahan &amp; Upah'!C49</f>
        <v>18881.93</v>
      </c>
      <c r="G2229" s="332">
        <f>F2229*D2229</f>
        <v>604221.76</v>
      </c>
      <c r="H2229" s="1980">
        <v>0.48970000000000002</v>
      </c>
      <c r="I2229" s="1980">
        <f>(G2229/G$2232)*H2229</f>
        <v>0.27069697279119087</v>
      </c>
      <c r="J2229" s="1981"/>
    </row>
    <row r="2230" spans="1:10" ht="15.75" customHeight="1">
      <c r="A2230" s="1780"/>
      <c r="B2230" s="1784"/>
      <c r="C2230" s="1878" t="s">
        <v>2503</v>
      </c>
      <c r="D2230" s="1841">
        <v>0.05</v>
      </c>
      <c r="E2230" s="413" t="s">
        <v>100</v>
      </c>
      <c r="F2230" s="1883">
        <f>'Bahan &amp; Upah'!C60</f>
        <v>63394.53</v>
      </c>
      <c r="G2230" s="361">
        <f>F2230*D2230</f>
        <v>3169.7265000000002</v>
      </c>
      <c r="H2230" s="1980">
        <v>0.40150000000000002</v>
      </c>
      <c r="I2230" s="1982">
        <f>(G2230/G$2232)*H2230</f>
        <v>1.1642983280424216E-3</v>
      </c>
      <c r="J2230" s="1981"/>
    </row>
    <row r="2231" spans="1:10" ht="15.75" customHeight="1">
      <c r="A2231" s="1780"/>
      <c r="B2231" s="1784"/>
      <c r="C2231" s="1878"/>
      <c r="D2231" s="1841"/>
      <c r="E2231" s="413"/>
      <c r="F2231" s="320"/>
      <c r="G2231" s="361">
        <f>SUM(G2228:G2230)</f>
        <v>855297.9865</v>
      </c>
      <c r="H2231" s="1980"/>
      <c r="I2231" s="1983">
        <f>SUM(I2228:I2230)</f>
        <v>0.38292569072116778</v>
      </c>
      <c r="J2231" s="1981"/>
    </row>
    <row r="2232" spans="1:10" ht="15.75" customHeight="1">
      <c r="A2232" s="1780"/>
      <c r="B2232" s="1784"/>
      <c r="C2232" s="1804" t="s">
        <v>2298</v>
      </c>
      <c r="D2232" s="1763"/>
      <c r="E2232" s="1764"/>
      <c r="F2232" s="1765"/>
      <c r="G2232" s="1765">
        <f>G2226+G2231</f>
        <v>1093057.6460500001</v>
      </c>
      <c r="H2232" s="1980"/>
      <c r="I2232" s="1984">
        <f>I2226+I2231</f>
        <v>0.60044364177269371</v>
      </c>
      <c r="J2232" s="1981"/>
    </row>
    <row r="2233" spans="1:10" ht="15.75" customHeight="1">
      <c r="A2233" s="1780"/>
      <c r="B2233" s="1784"/>
      <c r="C2233" s="1762" t="s">
        <v>2094</v>
      </c>
      <c r="D2233" s="1767">
        <f>M$4</f>
        <v>0.15</v>
      </c>
      <c r="E2233" s="1768"/>
      <c r="F2233" s="1765"/>
      <c r="G2233" s="1765">
        <f>G2232*D2233</f>
        <v>163958.64690750002</v>
      </c>
      <c r="H2233" s="1980"/>
      <c r="I2233" s="1980"/>
      <c r="J2233" s="1981"/>
    </row>
    <row r="2234" spans="1:10" ht="15.75" customHeight="1">
      <c r="A2234" s="1786"/>
      <c r="B2234" s="1890"/>
      <c r="C2234" s="1788" t="s">
        <v>2111</v>
      </c>
      <c r="D2234" s="1772"/>
      <c r="E2234" s="1773"/>
      <c r="F2234" s="1774"/>
      <c r="G2234" s="1998">
        <f>ROUNDUP((G2232+G2233),2)</f>
        <v>1257016.3</v>
      </c>
      <c r="H2234" s="1985"/>
      <c r="I2234" s="1985"/>
      <c r="J2234" s="1986"/>
    </row>
    <row r="2235" spans="1:10" ht="15.75" customHeight="1">
      <c r="A2235" s="1733"/>
      <c r="B2235" s="1733"/>
      <c r="C2235" s="1733"/>
      <c r="D2235" s="1733"/>
      <c r="E2235" s="1733"/>
      <c r="F2235" s="1733"/>
      <c r="G2235" s="1733"/>
      <c r="H2235" s="1733"/>
      <c r="I2235" s="1733"/>
      <c r="J2235" s="1733"/>
    </row>
    <row r="2236" spans="1:10" ht="15.75" customHeight="1">
      <c r="A2236" s="1778">
        <f>A2220+1</f>
        <v>113</v>
      </c>
      <c r="B2236" s="1805" t="s">
        <v>2723</v>
      </c>
      <c r="C2236" s="1872" t="s">
        <v>2724</v>
      </c>
      <c r="D2236" s="1873"/>
      <c r="E2236" s="1874"/>
      <c r="F2236" s="1875"/>
      <c r="G2236" s="1875"/>
      <c r="H2236" s="1800"/>
      <c r="I2236" s="1800"/>
      <c r="J2236" s="1801"/>
    </row>
    <row r="2237" spans="1:10" ht="15.75" customHeight="1">
      <c r="A2237" s="1780"/>
      <c r="B2237" s="1739" t="s">
        <v>1004</v>
      </c>
      <c r="C2237" s="1877" t="s">
        <v>2067</v>
      </c>
      <c r="D2237" s="390"/>
      <c r="E2237" s="413"/>
      <c r="F2237" s="320"/>
      <c r="G2237" s="320"/>
      <c r="H2237" s="1802"/>
      <c r="I2237" s="1802"/>
      <c r="J2237" s="1803"/>
    </row>
    <row r="2238" spans="1:10" ht="15.75" customHeight="1">
      <c r="A2238" s="1780"/>
      <c r="B2238" s="1739"/>
      <c r="C2238" s="1878" t="s">
        <v>2103</v>
      </c>
      <c r="D2238" s="1841">
        <v>1.4999999999999999E-2</v>
      </c>
      <c r="E2238" s="413" t="s">
        <v>2069</v>
      </c>
      <c r="F2238" s="1747">
        <f>'Bahan &amp; Upah'!C$336</f>
        <v>96332.65</v>
      </c>
      <c r="G2238" s="361">
        <f>F2238*D2238</f>
        <v>1444.98975</v>
      </c>
      <c r="H2238" s="1980">
        <v>1</v>
      </c>
      <c r="I2238" s="1980">
        <f>(G2238/G$2247)*H2238</f>
        <v>3.8954943870401814E-3</v>
      </c>
      <c r="J2238" s="1981"/>
    </row>
    <row r="2239" spans="1:10" ht="15.75" customHeight="1">
      <c r="A2239" s="1780"/>
      <c r="B2239" s="1739"/>
      <c r="C2239" s="1878" t="s">
        <v>2104</v>
      </c>
      <c r="D2239" s="1841">
        <v>0.15</v>
      </c>
      <c r="E2239" s="413" t="s">
        <v>2069</v>
      </c>
      <c r="F2239" s="1883">
        <f>'Bahan &amp; Upah'!C$337</f>
        <v>114133.55</v>
      </c>
      <c r="G2239" s="361">
        <f>F2239*D2239</f>
        <v>17120.032500000001</v>
      </c>
      <c r="H2239" s="1980">
        <v>1</v>
      </c>
      <c r="I2239" s="1980">
        <f>(G2239/G$2247)*H2239</f>
        <v>4.6153261993516208E-2</v>
      </c>
      <c r="J2239" s="1981"/>
    </row>
    <row r="2240" spans="1:10" ht="15.75" customHeight="1">
      <c r="A2240" s="1780"/>
      <c r="B2240" s="1739"/>
      <c r="C2240" s="1878" t="s">
        <v>2072</v>
      </c>
      <c r="D2240" s="1841">
        <v>1.4999999999999999E-2</v>
      </c>
      <c r="E2240" s="413" t="s">
        <v>2069</v>
      </c>
      <c r="F2240" s="1748">
        <f>'Bahan &amp; Upah'!C$338</f>
        <v>125485.75</v>
      </c>
      <c r="G2240" s="361">
        <f>F2240*D2240</f>
        <v>1882.2862499999999</v>
      </c>
      <c r="H2240" s="1980">
        <v>1</v>
      </c>
      <c r="I2240" s="1980">
        <f>(G2240/G$2247)*H2240</f>
        <v>5.0743858367700611E-3</v>
      </c>
      <c r="J2240" s="1981"/>
    </row>
    <row r="2241" spans="1:10" ht="15.75" customHeight="1">
      <c r="A2241" s="1780"/>
      <c r="B2241" s="1739"/>
      <c r="C2241" s="1878" t="s">
        <v>2107</v>
      </c>
      <c r="D2241" s="1841">
        <v>5.0000000000000001E-3</v>
      </c>
      <c r="E2241" s="413" t="s">
        <v>2069</v>
      </c>
      <c r="F2241" s="1883">
        <f>'Bahan &amp; Upah'!C$339</f>
        <v>102689.88</v>
      </c>
      <c r="G2241" s="1785">
        <f>F2241*D2241</f>
        <v>513.44940000000008</v>
      </c>
      <c r="H2241" s="1980">
        <v>1</v>
      </c>
      <c r="I2241" s="1982">
        <f>(G2241/G$2247)*H2241</f>
        <v>1.384189234372873E-3</v>
      </c>
      <c r="J2241" s="1981"/>
    </row>
    <row r="2242" spans="1:10" ht="15.75" customHeight="1">
      <c r="A2242" s="1780"/>
      <c r="B2242" s="1739"/>
      <c r="C2242" s="1889" t="s">
        <v>2108</v>
      </c>
      <c r="D2242" s="1841"/>
      <c r="E2242" s="413"/>
      <c r="F2242" s="320"/>
      <c r="G2242" s="361">
        <f>SUM(G2238:G2241)</f>
        <v>20960.757900000004</v>
      </c>
      <c r="H2242" s="1980"/>
      <c r="I2242" s="1983">
        <f>SUM(I2238:I2241)</f>
        <v>5.6507331451699332E-2</v>
      </c>
      <c r="J2242" s="1981"/>
    </row>
    <row r="2243" spans="1:10" ht="15.75" customHeight="1">
      <c r="A2243" s="1780"/>
      <c r="B2243" s="1739" t="s">
        <v>1015</v>
      </c>
      <c r="C2243" s="1877" t="s">
        <v>2075</v>
      </c>
      <c r="D2243" s="1841"/>
      <c r="E2243" s="413"/>
      <c r="F2243" s="320"/>
      <c r="G2243" s="320"/>
      <c r="H2243" s="1980"/>
      <c r="I2243" s="1980"/>
      <c r="J2243" s="1981"/>
    </row>
    <row r="2244" spans="1:10" ht="15.75" customHeight="1">
      <c r="A2244" s="1780"/>
      <c r="B2244" s="1739"/>
      <c r="C2244" s="1878" t="s">
        <v>2725</v>
      </c>
      <c r="D2244" s="1841">
        <v>1.1000000000000001</v>
      </c>
      <c r="E2244" s="413" t="s">
        <v>89</v>
      </c>
      <c r="F2244" s="1883">
        <f>'Bahan &amp; Upah'!C107</f>
        <v>313982.99</v>
      </c>
      <c r="G2244" s="361">
        <f>F2244*D2244</f>
        <v>345381.28899999999</v>
      </c>
      <c r="H2244" s="1980">
        <v>0.60250000000000004</v>
      </c>
      <c r="I2244" s="1980">
        <f>(G2244/G$2247)*H2244</f>
        <v>0.56098813212664123</v>
      </c>
      <c r="J2244" s="1981"/>
    </row>
    <row r="2245" spans="1:10" ht="15.75" customHeight="1">
      <c r="A2245" s="1780"/>
      <c r="B2245" s="1784"/>
      <c r="C2245" s="1878" t="s">
        <v>2578</v>
      </c>
      <c r="D2245" s="1841">
        <v>0.05</v>
      </c>
      <c r="E2245" s="413" t="s">
        <v>100</v>
      </c>
      <c r="F2245" s="1883">
        <f>'Bahan &amp; Upah'!C$130</f>
        <v>91933.71</v>
      </c>
      <c r="G2245" s="1785">
        <f>F2245*D2245</f>
        <v>4596.6855000000005</v>
      </c>
      <c r="H2245" s="1980">
        <v>0.40150000000000002</v>
      </c>
      <c r="I2245" s="1982">
        <f>(G2245/G$2247)*H2245</f>
        <v>4.9754017767544411E-3</v>
      </c>
      <c r="J2245" s="1981"/>
    </row>
    <row r="2246" spans="1:10" ht="15.75" customHeight="1">
      <c r="A2246" s="1780"/>
      <c r="B2246" s="1784"/>
      <c r="C2246" s="1878"/>
      <c r="D2246" s="1841"/>
      <c r="E2246" s="413"/>
      <c r="F2246" s="320"/>
      <c r="G2246" s="361">
        <f>SUM(G2244:G2245)</f>
        <v>349977.97450000001</v>
      </c>
      <c r="H2246" s="1980"/>
      <c r="I2246" s="2047">
        <f>SUM(I2244:I2245)</f>
        <v>0.56596353390339571</v>
      </c>
      <c r="J2246" s="1981"/>
    </row>
    <row r="2247" spans="1:10" ht="15.75" customHeight="1">
      <c r="A2247" s="1780"/>
      <c r="B2247" s="1784"/>
      <c r="C2247" s="1804" t="s">
        <v>2298</v>
      </c>
      <c r="D2247" s="1763"/>
      <c r="E2247" s="1764"/>
      <c r="F2247" s="1765"/>
      <c r="G2247" s="1765">
        <f>G2242+G2246</f>
        <v>370938.73240000004</v>
      </c>
      <c r="H2247" s="1980"/>
      <c r="I2247" s="2048">
        <f>I2242+I2246</f>
        <v>0.62247086535509499</v>
      </c>
      <c r="J2247" s="1981"/>
    </row>
    <row r="2248" spans="1:10" ht="15.75" customHeight="1">
      <c r="A2248" s="1780"/>
      <c r="B2248" s="1784"/>
      <c r="C2248" s="1762" t="s">
        <v>2094</v>
      </c>
      <c r="D2248" s="1767">
        <f>M$4</f>
        <v>0.15</v>
      </c>
      <c r="E2248" s="1768"/>
      <c r="F2248" s="1765"/>
      <c r="G2248" s="1765">
        <f>G2247*D2248</f>
        <v>55640.809860000001</v>
      </c>
      <c r="H2248" s="1980"/>
      <c r="I2248" s="1983"/>
      <c r="J2248" s="1981"/>
    </row>
    <row r="2249" spans="1:10" ht="15.75" customHeight="1">
      <c r="A2249" s="1786"/>
      <c r="B2249" s="1890"/>
      <c r="C2249" s="1788" t="s">
        <v>2111</v>
      </c>
      <c r="D2249" s="1772"/>
      <c r="E2249" s="1773"/>
      <c r="F2249" s="1774"/>
      <c r="G2249" s="1998">
        <f>ROUNDUP((G2247+G2248),2)</f>
        <v>426579.55</v>
      </c>
      <c r="H2249" s="1982"/>
      <c r="I2249" s="2049"/>
      <c r="J2249" s="2005"/>
    </row>
    <row r="2250" spans="1:10" ht="15.75" customHeight="1">
      <c r="A2250" s="1733"/>
      <c r="B2250" s="1733"/>
      <c r="C2250" s="1733"/>
      <c r="D2250" s="1733"/>
      <c r="E2250" s="1733"/>
      <c r="F2250" s="1733"/>
      <c r="G2250" s="1733"/>
      <c r="H2250" s="1733"/>
      <c r="I2250" s="1733"/>
      <c r="J2250" s="1733"/>
    </row>
    <row r="2251" spans="1:10" ht="15.75" customHeight="1">
      <c r="A2251" s="1778">
        <f>A2236+1</f>
        <v>114</v>
      </c>
      <c r="B2251" s="1805" t="s">
        <v>2723</v>
      </c>
      <c r="C2251" s="1872" t="s">
        <v>2726</v>
      </c>
      <c r="D2251" s="1873"/>
      <c r="E2251" s="1874"/>
      <c r="F2251" s="1875"/>
      <c r="G2251" s="1875"/>
      <c r="H2251" s="1800"/>
      <c r="I2251" s="1800"/>
      <c r="J2251" s="1801"/>
    </row>
    <row r="2252" spans="1:10" ht="15.75" customHeight="1">
      <c r="A2252" s="1780"/>
      <c r="B2252" s="1739" t="s">
        <v>1004</v>
      </c>
      <c r="C2252" s="1877" t="s">
        <v>2067</v>
      </c>
      <c r="D2252" s="390"/>
      <c r="E2252" s="413"/>
      <c r="F2252" s="320"/>
      <c r="G2252" s="320"/>
      <c r="H2252" s="1802"/>
      <c r="I2252" s="1802"/>
      <c r="J2252" s="1803"/>
    </row>
    <row r="2253" spans="1:10" ht="15.75" customHeight="1">
      <c r="A2253" s="1780"/>
      <c r="B2253" s="1739"/>
      <c r="C2253" s="1878" t="s">
        <v>2103</v>
      </c>
      <c r="D2253" s="1841">
        <v>1.4999999999999999E-2</v>
      </c>
      <c r="E2253" s="413" t="s">
        <v>2069</v>
      </c>
      <c r="F2253" s="1747">
        <f>'Bahan &amp; Upah'!C$336</f>
        <v>96332.65</v>
      </c>
      <c r="G2253" s="361">
        <f>F2253*D2253</f>
        <v>1444.98975</v>
      </c>
      <c r="H2253" s="1980">
        <v>1</v>
      </c>
      <c r="I2253" s="1980">
        <f>(G2253/G$2262)*H2253</f>
        <v>3.8165393589260901E-3</v>
      </c>
      <c r="J2253" s="1981"/>
    </row>
    <row r="2254" spans="1:10" ht="15.75" customHeight="1">
      <c r="A2254" s="1780"/>
      <c r="B2254" s="1739"/>
      <c r="C2254" s="1878" t="s">
        <v>2104</v>
      </c>
      <c r="D2254" s="1841">
        <v>0.15</v>
      </c>
      <c r="E2254" s="413" t="s">
        <v>2069</v>
      </c>
      <c r="F2254" s="1883">
        <f>'Bahan &amp; Upah'!C$337</f>
        <v>114133.55</v>
      </c>
      <c r="G2254" s="361">
        <f>F2254*D2254</f>
        <v>17120.032500000001</v>
      </c>
      <c r="H2254" s="1980">
        <v>1</v>
      </c>
      <c r="I2254" s="1980">
        <f>(G2254/G$2262)*H2254</f>
        <v>4.5217814079541972E-2</v>
      </c>
      <c r="J2254" s="1981"/>
    </row>
    <row r="2255" spans="1:10" ht="15.75" customHeight="1">
      <c r="A2255" s="1780"/>
      <c r="B2255" s="1739"/>
      <c r="C2255" s="1878" t="s">
        <v>2072</v>
      </c>
      <c r="D2255" s="1841">
        <v>1.4999999999999999E-2</v>
      </c>
      <c r="E2255" s="413" t="s">
        <v>2069</v>
      </c>
      <c r="F2255" s="1748">
        <f>'Bahan &amp; Upah'!C$338</f>
        <v>125485.75</v>
      </c>
      <c r="G2255" s="361">
        <f>F2255*D2255</f>
        <v>1882.2862499999999</v>
      </c>
      <c r="H2255" s="1980">
        <v>1</v>
      </c>
      <c r="I2255" s="1980">
        <f>(G2255/G$2262)*H2255</f>
        <v>4.9715366893712523E-3</v>
      </c>
      <c r="J2255" s="1981"/>
    </row>
    <row r="2256" spans="1:10" ht="15.75" customHeight="1">
      <c r="A2256" s="1780"/>
      <c r="B2256" s="1739"/>
      <c r="C2256" s="1878" t="s">
        <v>2107</v>
      </c>
      <c r="D2256" s="1841">
        <v>5.0000000000000001E-3</v>
      </c>
      <c r="E2256" s="413" t="s">
        <v>2069</v>
      </c>
      <c r="F2256" s="1883">
        <f>'Bahan &amp; Upah'!C$339</f>
        <v>102689.88</v>
      </c>
      <c r="G2256" s="1785">
        <f>F2256*D2256</f>
        <v>513.44940000000008</v>
      </c>
      <c r="H2256" s="1980">
        <v>1</v>
      </c>
      <c r="I2256" s="1982">
        <f>(G2256/G$2262)*H2256</f>
        <v>1.3561340790943228E-3</v>
      </c>
      <c r="J2256" s="1981"/>
    </row>
    <row r="2257" spans="1:10" ht="15.75" customHeight="1">
      <c r="A2257" s="1780"/>
      <c r="B2257" s="1739"/>
      <c r="C2257" s="1889" t="s">
        <v>2108</v>
      </c>
      <c r="D2257" s="1841"/>
      <c r="E2257" s="413"/>
      <c r="F2257" s="320"/>
      <c r="G2257" s="361">
        <f>SUM(G2253:G2256)</f>
        <v>20960.757900000004</v>
      </c>
      <c r="H2257" s="1980"/>
      <c r="I2257" s="1983">
        <f>SUM(I2253:I2256)</f>
        <v>5.536202420693364E-2</v>
      </c>
      <c r="J2257" s="1981"/>
    </row>
    <row r="2258" spans="1:10" ht="15.75" customHeight="1">
      <c r="A2258" s="1780"/>
      <c r="B2258" s="1739" t="s">
        <v>1015</v>
      </c>
      <c r="C2258" s="1877" t="s">
        <v>2075</v>
      </c>
      <c r="D2258" s="1841"/>
      <c r="E2258" s="413"/>
      <c r="F2258" s="320"/>
      <c r="G2258" s="320"/>
      <c r="H2258" s="1980"/>
      <c r="I2258" s="1980"/>
      <c r="J2258" s="1981"/>
    </row>
    <row r="2259" spans="1:10" ht="15.75" customHeight="1">
      <c r="A2259" s="1780"/>
      <c r="B2259" s="1739"/>
      <c r="C2259" s="1878" t="s">
        <v>2727</v>
      </c>
      <c r="D2259" s="1841">
        <v>1.1000000000000001</v>
      </c>
      <c r="E2259" s="413" t="s">
        <v>89</v>
      </c>
      <c r="F2259" s="1883">
        <f>'Bahan &amp; Upah'!C106</f>
        <v>320959.2</v>
      </c>
      <c r="G2259" s="361">
        <f>F2259*D2259</f>
        <v>353055.12000000005</v>
      </c>
      <c r="H2259" s="1980">
        <f>H2110</f>
        <v>0.60250000000000004</v>
      </c>
      <c r="I2259" s="1980">
        <f>(G2259/G$2262)*H2259</f>
        <v>0.56182950689691769</v>
      </c>
      <c r="J2259" s="1981"/>
    </row>
    <row r="2260" spans="1:10" ht="15.75" customHeight="1">
      <c r="A2260" s="1780"/>
      <c r="B2260" s="1784"/>
      <c r="C2260" s="1878" t="s">
        <v>2578</v>
      </c>
      <c r="D2260" s="1841">
        <v>0.05</v>
      </c>
      <c r="E2260" s="413" t="s">
        <v>100</v>
      </c>
      <c r="F2260" s="1883">
        <f>'Bahan &amp; Upah'!C$130</f>
        <v>91933.71</v>
      </c>
      <c r="G2260" s="1785">
        <f>F2260*D2260</f>
        <v>4596.6855000000005</v>
      </c>
      <c r="H2260" s="1980">
        <f>H2111</f>
        <v>0.40150000000000002</v>
      </c>
      <c r="I2260" s="1982">
        <f>(G2260/G$2262)*H2260</f>
        <v>4.874558867451465E-3</v>
      </c>
      <c r="J2260" s="1981"/>
    </row>
    <row r="2261" spans="1:10" ht="15.75" customHeight="1">
      <c r="A2261" s="1780"/>
      <c r="B2261" s="1784"/>
      <c r="C2261" s="1878"/>
      <c r="D2261" s="1841"/>
      <c r="E2261" s="413"/>
      <c r="F2261" s="320"/>
      <c r="G2261" s="361">
        <f>SUM(G2259:G2260)</f>
        <v>357651.80550000007</v>
      </c>
      <c r="H2261" s="1980"/>
      <c r="I2261" s="2047">
        <f>SUM(I2259:I2260)</f>
        <v>0.56670406576436916</v>
      </c>
      <c r="J2261" s="1981"/>
    </row>
    <row r="2262" spans="1:10" ht="15.75" customHeight="1">
      <c r="A2262" s="1780"/>
      <c r="B2262" s="1784"/>
      <c r="C2262" s="1804" t="s">
        <v>2298</v>
      </c>
      <c r="D2262" s="1763"/>
      <c r="E2262" s="1764"/>
      <c r="F2262" s="1765"/>
      <c r="G2262" s="1765">
        <f>G2257+G2261</f>
        <v>378612.5634000001</v>
      </c>
      <c r="H2262" s="1980"/>
      <c r="I2262" s="2048">
        <f>I2257+I2261</f>
        <v>0.62206608997130275</v>
      </c>
      <c r="J2262" s="1981"/>
    </row>
    <row r="2263" spans="1:10" ht="15.75" customHeight="1">
      <c r="A2263" s="1780"/>
      <c r="B2263" s="1784"/>
      <c r="C2263" s="1762" t="s">
        <v>2094</v>
      </c>
      <c r="D2263" s="1767">
        <f>M$4</f>
        <v>0.15</v>
      </c>
      <c r="E2263" s="1768"/>
      <c r="F2263" s="1765"/>
      <c r="G2263" s="1765">
        <f>G2262*D2263</f>
        <v>56791.884510000011</v>
      </c>
      <c r="H2263" s="1980"/>
      <c r="I2263" s="1983"/>
      <c r="J2263" s="1981"/>
    </row>
    <row r="2264" spans="1:10" ht="15.75" customHeight="1">
      <c r="A2264" s="1786"/>
      <c r="B2264" s="1890"/>
      <c r="C2264" s="1788" t="s">
        <v>2111</v>
      </c>
      <c r="D2264" s="1772"/>
      <c r="E2264" s="1773"/>
      <c r="F2264" s="1774"/>
      <c r="G2264" s="1998">
        <f>ROUNDUP((G2262+G2263),2)</f>
        <v>435404.45</v>
      </c>
      <c r="H2264" s="1982"/>
      <c r="I2264" s="2049"/>
      <c r="J2264" s="2005"/>
    </row>
    <row r="2265" spans="1:10" ht="15.75" customHeight="1">
      <c r="A2265" s="1733"/>
      <c r="B2265" s="1733"/>
      <c r="C2265" s="1733"/>
      <c r="D2265" s="1733"/>
      <c r="E2265" s="1733"/>
      <c r="F2265" s="1733"/>
      <c r="G2265" s="1733"/>
      <c r="H2265" s="1733"/>
      <c r="I2265" s="1733"/>
      <c r="J2265" s="1733"/>
    </row>
    <row r="2266" spans="1:10" ht="15.75" customHeight="1">
      <c r="A2266" s="1778">
        <f>A2251+1</f>
        <v>115</v>
      </c>
      <c r="B2266" s="1805" t="s">
        <v>2728</v>
      </c>
      <c r="C2266" s="1872" t="s">
        <v>2729</v>
      </c>
      <c r="D2266" s="1873"/>
      <c r="E2266" s="1874"/>
      <c r="F2266" s="1875"/>
      <c r="G2266" s="1875"/>
      <c r="H2266" s="1997"/>
      <c r="I2266" s="1997"/>
      <c r="J2266" s="1947"/>
    </row>
    <row r="2267" spans="1:10" ht="15.75" customHeight="1">
      <c r="A2267" s="1780"/>
      <c r="B2267" s="1739" t="s">
        <v>1004</v>
      </c>
      <c r="C2267" s="1877" t="s">
        <v>2067</v>
      </c>
      <c r="D2267" s="390"/>
      <c r="E2267" s="413"/>
      <c r="F2267" s="320"/>
      <c r="G2267" s="320"/>
      <c r="H2267" s="1802"/>
      <c r="I2267" s="1802"/>
      <c r="J2267" s="1803"/>
    </row>
    <row r="2268" spans="1:10" ht="15.75" customHeight="1">
      <c r="A2268" s="1780"/>
      <c r="B2268" s="1739"/>
      <c r="C2268" s="1878" t="s">
        <v>2103</v>
      </c>
      <c r="D2268" s="1841">
        <v>1.7000000000000001E-2</v>
      </c>
      <c r="E2268" s="413" t="s">
        <v>2069</v>
      </c>
      <c r="F2268" s="1747">
        <f>'Bahan &amp; Upah'!C$336</f>
        <v>96332.65</v>
      </c>
      <c r="G2268" s="361">
        <f>F2268*D2268</f>
        <v>1637.6550500000001</v>
      </c>
      <c r="H2268" s="1980">
        <v>1</v>
      </c>
      <c r="I2268" s="1980">
        <f>(G2268/G$2277)*H2268</f>
        <v>3.7215464744309017E-3</v>
      </c>
      <c r="J2268" s="1981"/>
    </row>
    <row r="2269" spans="1:10" ht="15.75" customHeight="1">
      <c r="A2269" s="1780"/>
      <c r="B2269" s="1739"/>
      <c r="C2269" s="1878" t="s">
        <v>2104</v>
      </c>
      <c r="D2269" s="1841">
        <v>0.17</v>
      </c>
      <c r="E2269" s="413" t="s">
        <v>2069</v>
      </c>
      <c r="F2269" s="1883">
        <f>'Bahan &amp; Upah'!C$337</f>
        <v>114133.55</v>
      </c>
      <c r="G2269" s="361">
        <f>F2269*D2269</f>
        <v>19402.703500000003</v>
      </c>
      <c r="H2269" s="1980">
        <v>1</v>
      </c>
      <c r="I2269" s="1980">
        <f>(G2269/G$2277)*H2269</f>
        <v>4.4092351930190142E-2</v>
      </c>
      <c r="J2269" s="1981"/>
    </row>
    <row r="2270" spans="1:10" ht="15.75" customHeight="1">
      <c r="A2270" s="1780"/>
      <c r="B2270" s="1739"/>
      <c r="C2270" s="1878" t="s">
        <v>2072</v>
      </c>
      <c r="D2270" s="1841">
        <v>1.7000000000000001E-2</v>
      </c>
      <c r="E2270" s="413" t="s">
        <v>2069</v>
      </c>
      <c r="F2270" s="1748">
        <f>'Bahan &amp; Upah'!C$338</f>
        <v>125485.75</v>
      </c>
      <c r="G2270" s="361">
        <f>F2270*D2270</f>
        <v>2133.2577500000002</v>
      </c>
      <c r="H2270" s="1980">
        <v>1</v>
      </c>
      <c r="I2270" s="1980">
        <f>(G2270/G$2277)*H2270</f>
        <v>4.8477961574172161E-3</v>
      </c>
      <c r="J2270" s="1981"/>
    </row>
    <row r="2271" spans="1:10" ht="15.75" customHeight="1">
      <c r="A2271" s="1780"/>
      <c r="B2271" s="1739"/>
      <c r="C2271" s="1878" t="s">
        <v>2107</v>
      </c>
      <c r="D2271" s="1841">
        <v>5.7000000000000002E-3</v>
      </c>
      <c r="E2271" s="413" t="s">
        <v>2069</v>
      </c>
      <c r="F2271" s="1883">
        <f>'Bahan &amp; Upah'!C$339</f>
        <v>102689.88</v>
      </c>
      <c r="G2271" s="1785">
        <f>F2271*D2271</f>
        <v>585.33231599999999</v>
      </c>
      <c r="H2271" s="1980">
        <v>1</v>
      </c>
      <c r="I2271" s="1982">
        <f>(G2271/G$2277)*H2271</f>
        <v>1.3301588860122127E-3</v>
      </c>
      <c r="J2271" s="1981"/>
    </row>
    <row r="2272" spans="1:10" ht="15.75" customHeight="1">
      <c r="A2272" s="1780"/>
      <c r="B2272" s="1739"/>
      <c r="C2272" s="1889" t="s">
        <v>2108</v>
      </c>
      <c r="D2272" s="1841"/>
      <c r="E2272" s="413"/>
      <c r="F2272" s="320"/>
      <c r="G2272" s="361">
        <f>SUM(G2268:G2271)</f>
        <v>23758.948616000005</v>
      </c>
      <c r="H2272" s="1980"/>
      <c r="I2272" s="1983">
        <f>SUM(I2268:I2271)</f>
        <v>5.3991853448050471E-2</v>
      </c>
      <c r="J2272" s="1981"/>
    </row>
    <row r="2273" spans="1:10" ht="15.75" customHeight="1">
      <c r="A2273" s="1780"/>
      <c r="B2273" s="1739" t="s">
        <v>1015</v>
      </c>
      <c r="C2273" s="1877" t="s">
        <v>2075</v>
      </c>
      <c r="D2273" s="1841"/>
      <c r="E2273" s="413"/>
      <c r="F2273" s="320"/>
      <c r="G2273" s="320"/>
      <c r="H2273" s="1980"/>
      <c r="I2273" s="1980"/>
      <c r="J2273" s="1981"/>
    </row>
    <row r="2274" spans="1:10" ht="15.75" customHeight="1">
      <c r="A2274" s="1780"/>
      <c r="B2274" s="1739"/>
      <c r="C2274" s="1878" t="s">
        <v>2730</v>
      </c>
      <c r="D2274" s="1841">
        <v>1.1000000000000001</v>
      </c>
      <c r="E2274" s="413" t="s">
        <v>89</v>
      </c>
      <c r="F2274" s="1883">
        <f>'Bahan &amp; Upah'!C108</f>
        <v>372593.28</v>
      </c>
      <c r="G2274" s="361">
        <f>F2274*D2274</f>
        <v>409852.60800000007</v>
      </c>
      <c r="H2274" s="1980">
        <v>0.55689999999999995</v>
      </c>
      <c r="I2274" s="1980">
        <f>(G2274/G$2277)*H2274</f>
        <v>0.51868768745397753</v>
      </c>
      <c r="J2274" s="1981"/>
    </row>
    <row r="2275" spans="1:10" ht="15.75" customHeight="1">
      <c r="A2275" s="1780"/>
      <c r="B2275" s="1784"/>
      <c r="C2275" s="1878" t="s">
        <v>2578</v>
      </c>
      <c r="D2275" s="1841">
        <v>7.0000000000000007E-2</v>
      </c>
      <c r="E2275" s="413" t="s">
        <v>100</v>
      </c>
      <c r="F2275" s="1883">
        <f>'Bahan &amp; Upah'!C$130</f>
        <v>91933.71</v>
      </c>
      <c r="G2275" s="1785">
        <f>F2275*D2275</f>
        <v>6435.3597000000009</v>
      </c>
      <c r="H2275" s="1980">
        <f>H979</f>
        <v>0</v>
      </c>
      <c r="I2275" s="1980">
        <f>(G2275/G$2277)*H2275</f>
        <v>0</v>
      </c>
      <c r="J2275" s="1981"/>
    </row>
    <row r="2276" spans="1:10" ht="15.75" customHeight="1">
      <c r="A2276" s="1780"/>
      <c r="B2276" s="1784"/>
      <c r="C2276" s="1878"/>
      <c r="D2276" s="1841"/>
      <c r="E2276" s="413"/>
      <c r="F2276" s="320"/>
      <c r="G2276" s="361">
        <f>SUM(G2274:G2275)</f>
        <v>416287.96770000004</v>
      </c>
      <c r="H2276" s="1980"/>
      <c r="I2276" s="2047">
        <f>SUM(I2274:I2275)</f>
        <v>0.51868768745397753</v>
      </c>
      <c r="J2276" s="1981"/>
    </row>
    <row r="2277" spans="1:10" ht="15.75" customHeight="1">
      <c r="A2277" s="1780"/>
      <c r="B2277" s="1784"/>
      <c r="C2277" s="1804" t="s">
        <v>2298</v>
      </c>
      <c r="D2277" s="1763"/>
      <c r="E2277" s="1764"/>
      <c r="F2277" s="1765"/>
      <c r="G2277" s="1765">
        <f>G2272+G2276</f>
        <v>440046.91631600005</v>
      </c>
      <c r="H2277" s="1980"/>
      <c r="I2277" s="2048">
        <f>I2272+I2276</f>
        <v>0.57267954090202799</v>
      </c>
      <c r="J2277" s="1981"/>
    </row>
    <row r="2278" spans="1:10" ht="15.75" customHeight="1">
      <c r="A2278" s="1780"/>
      <c r="B2278" s="1784"/>
      <c r="C2278" s="1762" t="s">
        <v>2094</v>
      </c>
      <c r="D2278" s="1767">
        <f>M$4</f>
        <v>0.15</v>
      </c>
      <c r="E2278" s="1768"/>
      <c r="F2278" s="1765"/>
      <c r="G2278" s="1765">
        <f>G2277*D2278</f>
        <v>66007.037447399998</v>
      </c>
      <c r="H2278" s="1980"/>
      <c r="I2278" s="1983"/>
      <c r="J2278" s="1981"/>
    </row>
    <row r="2279" spans="1:10" ht="15.75" customHeight="1">
      <c r="A2279" s="1786"/>
      <c r="B2279" s="1890"/>
      <c r="C2279" s="1788" t="s">
        <v>2111</v>
      </c>
      <c r="D2279" s="1772"/>
      <c r="E2279" s="1773"/>
      <c r="F2279" s="1774"/>
      <c r="G2279" s="1998">
        <f>ROUNDUP((G2277+G2278),2)</f>
        <v>506053.96</v>
      </c>
      <c r="H2279" s="1985"/>
      <c r="I2279" s="2050"/>
      <c r="J2279" s="1986"/>
    </row>
    <row r="2280" spans="1:10" ht="15.75" customHeight="1">
      <c r="A2280" s="1733"/>
      <c r="B2280" s="1733"/>
      <c r="C2280" s="1733"/>
      <c r="D2280" s="1733"/>
      <c r="E2280" s="1733"/>
      <c r="F2280" s="1733"/>
      <c r="G2280" s="1733"/>
      <c r="H2280" s="1733"/>
      <c r="I2280" s="1733"/>
      <c r="J2280" s="1733"/>
    </row>
    <row r="2281" spans="1:10" ht="15.75" customHeight="1">
      <c r="A2281" s="1778">
        <f>A2266+1</f>
        <v>116</v>
      </c>
      <c r="B2281" s="1805" t="s">
        <v>2728</v>
      </c>
      <c r="C2281" s="1872" t="s">
        <v>2731</v>
      </c>
      <c r="D2281" s="1873"/>
      <c r="E2281" s="1874"/>
      <c r="F2281" s="1875"/>
      <c r="G2281" s="1875"/>
      <c r="H2281" s="1997"/>
      <c r="I2281" s="1997"/>
      <c r="J2281" s="1947"/>
    </row>
    <row r="2282" spans="1:10" ht="15.75" customHeight="1">
      <c r="A2282" s="1780"/>
      <c r="B2282" s="1739" t="s">
        <v>1004</v>
      </c>
      <c r="C2282" s="1877" t="s">
        <v>2067</v>
      </c>
      <c r="D2282" s="390"/>
      <c r="E2282" s="413"/>
      <c r="F2282" s="320"/>
      <c r="G2282" s="320"/>
      <c r="H2282" s="1802"/>
      <c r="I2282" s="1802"/>
      <c r="J2282" s="1803"/>
    </row>
    <row r="2283" spans="1:10" ht="15.75" customHeight="1">
      <c r="A2283" s="1780"/>
      <c r="B2283" s="1739"/>
      <c r="C2283" s="1878" t="s">
        <v>2103</v>
      </c>
      <c r="D2283" s="1841">
        <v>1.7000000000000001E-2</v>
      </c>
      <c r="E2283" s="413" t="s">
        <v>2069</v>
      </c>
      <c r="F2283" s="1747">
        <f>'Bahan &amp; Upah'!C$336</f>
        <v>96332.65</v>
      </c>
      <c r="G2283" s="361">
        <f>F2283*D2283</f>
        <v>1637.6550500000001</v>
      </c>
      <c r="H2283" s="1980">
        <v>1</v>
      </c>
      <c r="I2283" s="1980">
        <f>(G2283/G$2292)*H2283</f>
        <v>3.1199489753347687E-3</v>
      </c>
      <c r="J2283" s="1981"/>
    </row>
    <row r="2284" spans="1:10" ht="15.75" customHeight="1">
      <c r="A2284" s="1780"/>
      <c r="B2284" s="1739"/>
      <c r="C2284" s="1878" t="s">
        <v>2104</v>
      </c>
      <c r="D2284" s="1841">
        <v>0.17</v>
      </c>
      <c r="E2284" s="413" t="s">
        <v>2069</v>
      </c>
      <c r="F2284" s="1883">
        <f>'Bahan &amp; Upah'!C$337</f>
        <v>114133.55</v>
      </c>
      <c r="G2284" s="361">
        <f>F2284*D2284</f>
        <v>19402.703500000003</v>
      </c>
      <c r="H2284" s="1980">
        <v>1</v>
      </c>
      <c r="I2284" s="1980">
        <f>(G2284/G$2292)*H2284</f>
        <v>3.6964710549727393E-2</v>
      </c>
      <c r="J2284" s="1981"/>
    </row>
    <row r="2285" spans="1:10" ht="15.75" customHeight="1">
      <c r="A2285" s="1780"/>
      <c r="B2285" s="1739"/>
      <c r="C2285" s="1878" t="s">
        <v>2072</v>
      </c>
      <c r="D2285" s="1841">
        <v>1.7000000000000001E-2</v>
      </c>
      <c r="E2285" s="413" t="s">
        <v>2069</v>
      </c>
      <c r="F2285" s="1748">
        <f>'Bahan &amp; Upah'!C$338</f>
        <v>125485.75</v>
      </c>
      <c r="G2285" s="361">
        <f>F2285*D2285</f>
        <v>2133.2577500000002</v>
      </c>
      <c r="H2285" s="1980">
        <v>1</v>
      </c>
      <c r="I2285" s="1980">
        <f>(G2285/G$2292)*H2285</f>
        <v>4.0641375186046989E-3</v>
      </c>
      <c r="J2285" s="1981"/>
    </row>
    <row r="2286" spans="1:10" ht="15.75" customHeight="1">
      <c r="A2286" s="1780"/>
      <c r="B2286" s="1739"/>
      <c r="C2286" s="1878" t="s">
        <v>2107</v>
      </c>
      <c r="D2286" s="1841">
        <v>5.7000000000000002E-3</v>
      </c>
      <c r="E2286" s="413" t="s">
        <v>2069</v>
      </c>
      <c r="F2286" s="1883">
        <f>'Bahan &amp; Upah'!C$339</f>
        <v>102689.88</v>
      </c>
      <c r="G2286" s="1785">
        <f>F2286*D2286</f>
        <v>585.33231599999999</v>
      </c>
      <c r="H2286" s="1980">
        <v>1</v>
      </c>
      <c r="I2286" s="1982">
        <f>(G2286/G$2292)*H2286</f>
        <v>1.1151353024768721E-3</v>
      </c>
      <c r="J2286" s="1981"/>
    </row>
    <row r="2287" spans="1:10" ht="15.75" customHeight="1">
      <c r="A2287" s="1780"/>
      <c r="B2287" s="1739"/>
      <c r="C2287" s="1889" t="s">
        <v>2108</v>
      </c>
      <c r="D2287" s="1841"/>
      <c r="E2287" s="413"/>
      <c r="F2287" s="320"/>
      <c r="G2287" s="361">
        <f>SUM(G2283:G2286)</f>
        <v>23758.948616000005</v>
      </c>
      <c r="H2287" s="1980"/>
      <c r="I2287" s="1983">
        <f>SUM(I2283:I2286)</f>
        <v>4.5263932346143732E-2</v>
      </c>
      <c r="J2287" s="1981"/>
    </row>
    <row r="2288" spans="1:10" ht="15.75" customHeight="1">
      <c r="A2288" s="1780"/>
      <c r="B2288" s="1739" t="s">
        <v>1015</v>
      </c>
      <c r="C2288" s="1877" t="s">
        <v>2075</v>
      </c>
      <c r="D2288" s="1841"/>
      <c r="E2288" s="413"/>
      <c r="F2288" s="320"/>
      <c r="G2288" s="320"/>
      <c r="H2288" s="1980"/>
      <c r="I2288" s="1980"/>
      <c r="J2288" s="1981"/>
    </row>
    <row r="2289" spans="1:10" ht="15.75" customHeight="1">
      <c r="A2289" s="1780"/>
      <c r="B2289" s="1739"/>
      <c r="C2289" s="1878" t="s">
        <v>2732</v>
      </c>
      <c r="D2289" s="1841">
        <v>1.1000000000000001</v>
      </c>
      <c r="E2289" s="413" t="s">
        <v>89</v>
      </c>
      <c r="F2289" s="1883">
        <f>'Bahan &amp; Upah'!C109</f>
        <v>449730.65</v>
      </c>
      <c r="G2289" s="361">
        <f>F2289*D2289</f>
        <v>494703.71500000008</v>
      </c>
      <c r="H2289" s="1980">
        <v>0.55689999999999995</v>
      </c>
      <c r="I2289" s="1980">
        <f>(G2289/G$2292)*H2289</f>
        <v>0.52486480543982295</v>
      </c>
      <c r="J2289" s="1981"/>
    </row>
    <row r="2290" spans="1:10" ht="15.75" customHeight="1">
      <c r="A2290" s="1780"/>
      <c r="B2290" s="1784"/>
      <c r="C2290" s="1878" t="s">
        <v>2578</v>
      </c>
      <c r="D2290" s="1841">
        <v>7.0000000000000007E-2</v>
      </c>
      <c r="E2290" s="413" t="s">
        <v>100</v>
      </c>
      <c r="F2290" s="1883">
        <f>'Bahan &amp; Upah'!C$130</f>
        <v>91933.71</v>
      </c>
      <c r="G2290" s="1785">
        <f>F2290*D2290</f>
        <v>6435.3597000000009</v>
      </c>
      <c r="H2290" s="1980">
        <f>H997</f>
        <v>1</v>
      </c>
      <c r="I2290" s="1982">
        <f>(G2290/G$2292)*H2290</f>
        <v>1.2260209439054742E-2</v>
      </c>
      <c r="J2290" s="1981"/>
    </row>
    <row r="2291" spans="1:10" ht="15.75" customHeight="1">
      <c r="A2291" s="1780"/>
      <c r="B2291" s="1784"/>
      <c r="C2291" s="1878"/>
      <c r="D2291" s="1841"/>
      <c r="E2291" s="413"/>
      <c r="F2291" s="320"/>
      <c r="G2291" s="361">
        <f>SUM(G2289:G2290)</f>
        <v>501139.07470000011</v>
      </c>
      <c r="H2291" s="1980"/>
      <c r="I2291" s="2047">
        <f>SUM(I2289:I2290)</f>
        <v>0.53712501487887765</v>
      </c>
      <c r="J2291" s="1981"/>
    </row>
    <row r="2292" spans="1:10" ht="15.75" customHeight="1">
      <c r="A2292" s="1780"/>
      <c r="B2292" s="1784"/>
      <c r="C2292" s="1804" t="s">
        <v>2298</v>
      </c>
      <c r="D2292" s="1763"/>
      <c r="E2292" s="1764"/>
      <c r="F2292" s="1765"/>
      <c r="G2292" s="1765">
        <f>G2287+G2291</f>
        <v>524898.02331600012</v>
      </c>
      <c r="H2292" s="1980"/>
      <c r="I2292" s="2048">
        <f>I2287+I2291</f>
        <v>0.58238894722502144</v>
      </c>
      <c r="J2292" s="1981"/>
    </row>
    <row r="2293" spans="1:10" ht="15.75" customHeight="1">
      <c r="A2293" s="1780"/>
      <c r="B2293" s="1784"/>
      <c r="C2293" s="1762" t="s">
        <v>2094</v>
      </c>
      <c r="D2293" s="1767">
        <f>M$4</f>
        <v>0.15</v>
      </c>
      <c r="E2293" s="1768"/>
      <c r="F2293" s="1765"/>
      <c r="G2293" s="1765">
        <f>G2292*D2293</f>
        <v>78734.703497400013</v>
      </c>
      <c r="H2293" s="1980"/>
      <c r="I2293" s="1983"/>
      <c r="J2293" s="1981"/>
    </row>
    <row r="2294" spans="1:10" ht="15.75" customHeight="1">
      <c r="A2294" s="1786"/>
      <c r="B2294" s="1890"/>
      <c r="C2294" s="1788" t="s">
        <v>2111</v>
      </c>
      <c r="D2294" s="1772"/>
      <c r="E2294" s="1773"/>
      <c r="F2294" s="1774"/>
      <c r="G2294" s="1998">
        <f>ROUNDUP((G2292+G2293),2)</f>
        <v>603632.73</v>
      </c>
      <c r="H2294" s="1985"/>
      <c r="I2294" s="2050"/>
      <c r="J2294" s="1986"/>
    </row>
    <row r="2295" spans="1:10" ht="15.75" customHeight="1">
      <c r="A2295" s="1733"/>
      <c r="B2295" s="1733"/>
      <c r="C2295" s="1733"/>
      <c r="D2295" s="1733"/>
      <c r="E2295" s="1733"/>
      <c r="F2295" s="1733"/>
      <c r="G2295" s="1733"/>
      <c r="H2295" s="1733"/>
      <c r="I2295" s="1733"/>
      <c r="J2295" s="1733"/>
    </row>
    <row r="2296" spans="1:10" ht="15.75" customHeight="1">
      <c r="A2296" s="1778">
        <f>A2281+1</f>
        <v>117</v>
      </c>
      <c r="B2296" s="1805" t="s">
        <v>2733</v>
      </c>
      <c r="C2296" s="1872" t="s">
        <v>2734</v>
      </c>
      <c r="D2296" s="1873"/>
      <c r="E2296" s="1874"/>
      <c r="F2296" s="1875"/>
      <c r="G2296" s="1875"/>
      <c r="H2296" s="1997"/>
      <c r="I2296" s="1997"/>
      <c r="J2296" s="1947"/>
    </row>
    <row r="2297" spans="1:10" ht="15.75" customHeight="1">
      <c r="A2297" s="1780"/>
      <c r="B2297" s="1739">
        <f>A2160+1</f>
        <v>1</v>
      </c>
      <c r="C2297" s="1877" t="s">
        <v>2067</v>
      </c>
      <c r="D2297" s="390"/>
      <c r="E2297" s="413"/>
      <c r="F2297" s="320"/>
      <c r="G2297" s="320"/>
      <c r="H2297" s="1802"/>
      <c r="I2297" s="1802"/>
      <c r="J2297" s="1803"/>
    </row>
    <row r="2298" spans="1:10" ht="15.75" customHeight="1">
      <c r="A2298" s="1780"/>
      <c r="B2298" s="1739"/>
      <c r="C2298" s="1878" t="s">
        <v>2103</v>
      </c>
      <c r="D2298" s="1841">
        <v>1.4999999999999999E-2</v>
      </c>
      <c r="E2298" s="413" t="s">
        <v>2069</v>
      </c>
      <c r="F2298" s="1747">
        <f>'Bahan &amp; Upah'!C$336</f>
        <v>96332.65</v>
      </c>
      <c r="G2298" s="361">
        <f>F2298*D2298</f>
        <v>1444.98975</v>
      </c>
      <c r="H2298" s="1980">
        <v>1</v>
      </c>
      <c r="I2298" s="1980">
        <f>(G2298/G$2306)*H2298</f>
        <v>3.0178362971504995E-2</v>
      </c>
      <c r="J2298" s="1981"/>
    </row>
    <row r="2299" spans="1:10" ht="15.75" customHeight="1">
      <c r="A2299" s="1780"/>
      <c r="B2299" s="1739"/>
      <c r="C2299" s="1878" t="s">
        <v>2104</v>
      </c>
      <c r="D2299" s="1841">
        <v>0.15</v>
      </c>
      <c r="E2299" s="413" t="s">
        <v>2069</v>
      </c>
      <c r="F2299" s="1883">
        <f>'Bahan &amp; Upah'!C$337</f>
        <v>114133.55</v>
      </c>
      <c r="G2299" s="361">
        <f>F2299*D2299</f>
        <v>17120.032500000001</v>
      </c>
      <c r="H2299" s="1980">
        <v>1</v>
      </c>
      <c r="I2299" s="1980">
        <f>(G2299/G$2306)*H2299</f>
        <v>0.35754894100042034</v>
      </c>
      <c r="J2299" s="1981"/>
    </row>
    <row r="2300" spans="1:10" ht="15.75" customHeight="1">
      <c r="A2300" s="1780"/>
      <c r="B2300" s="1739"/>
      <c r="C2300" s="1878" t="s">
        <v>2105</v>
      </c>
      <c r="D2300" s="1841">
        <v>1.4999999999999999E-2</v>
      </c>
      <c r="E2300" s="413" t="s">
        <v>2069</v>
      </c>
      <c r="F2300" s="1748">
        <f>'Bahan &amp; Upah'!C$338</f>
        <v>125485.75</v>
      </c>
      <c r="G2300" s="361">
        <f>F2300*D2300</f>
        <v>1882.2862499999999</v>
      </c>
      <c r="H2300" s="1980">
        <v>1</v>
      </c>
      <c r="I2300" s="1980">
        <f>(G2300/G$2306)*H2300</f>
        <v>3.9311225334832299E-2</v>
      </c>
      <c r="J2300" s="1981"/>
    </row>
    <row r="2301" spans="1:10" ht="15.75" customHeight="1">
      <c r="A2301" s="1780"/>
      <c r="B2301" s="1739"/>
      <c r="C2301" s="1878" t="s">
        <v>2107</v>
      </c>
      <c r="D2301" s="1841">
        <v>5.0000000000000001E-3</v>
      </c>
      <c r="E2301" s="413" t="s">
        <v>2069</v>
      </c>
      <c r="F2301" s="1883">
        <f>'Bahan &amp; Upah'!C$339</f>
        <v>102689.88</v>
      </c>
      <c r="G2301" s="1785">
        <f>F2301*D2301</f>
        <v>513.44940000000008</v>
      </c>
      <c r="H2301" s="1980">
        <v>1</v>
      </c>
      <c r="I2301" s="1982">
        <f>(G2301/G$2306)*H2301</f>
        <v>1.0723302612147566E-2</v>
      </c>
      <c r="J2301" s="1981"/>
    </row>
    <row r="2302" spans="1:10" ht="15.75" customHeight="1">
      <c r="A2302" s="1780"/>
      <c r="B2302" s="1739"/>
      <c r="C2302" s="1889" t="s">
        <v>2108</v>
      </c>
      <c r="D2302" s="1841"/>
      <c r="E2302" s="413"/>
      <c r="F2302" s="320"/>
      <c r="G2302" s="361">
        <f>SUM(G2298:G2301)</f>
        <v>20960.757900000004</v>
      </c>
      <c r="H2302" s="1980"/>
      <c r="I2302" s="1983">
        <f>SUM(I2298:I2301)</f>
        <v>0.43776183191890516</v>
      </c>
      <c r="J2302" s="1981"/>
    </row>
    <row r="2303" spans="1:10" ht="15.75" customHeight="1">
      <c r="A2303" s="1780"/>
      <c r="B2303" s="1739" t="s">
        <v>1015</v>
      </c>
      <c r="C2303" s="1877" t="s">
        <v>2075</v>
      </c>
      <c r="D2303" s="1841"/>
      <c r="E2303" s="413"/>
      <c r="F2303" s="320"/>
      <c r="G2303" s="320"/>
      <c r="H2303" s="1980"/>
      <c r="I2303" s="1980"/>
      <c r="J2303" s="1981"/>
    </row>
    <row r="2304" spans="1:10" ht="15.75" customHeight="1">
      <c r="A2304" s="1780"/>
      <c r="B2304" s="1784"/>
      <c r="C2304" s="1878" t="s">
        <v>2735</v>
      </c>
      <c r="D2304" s="1841">
        <v>1</v>
      </c>
      <c r="E2304" s="413" t="s">
        <v>328</v>
      </c>
      <c r="F2304" s="1883">
        <f>'Bahan &amp; Upah'!C116</f>
        <v>26920.89</v>
      </c>
      <c r="G2304" s="1785">
        <f>F2304*D2304</f>
        <v>26920.89</v>
      </c>
      <c r="H2304" s="1980">
        <v>0.78080000000000005</v>
      </c>
      <c r="I2304" s="1982">
        <f>(G2304/G$2306)*H2304</f>
        <v>0.4389955616377188</v>
      </c>
      <c r="J2304" s="1981"/>
    </row>
    <row r="2305" spans="1:10" ht="15.75" customHeight="1">
      <c r="A2305" s="1780"/>
      <c r="B2305" s="1784"/>
      <c r="C2305" s="1878"/>
      <c r="D2305" s="1841"/>
      <c r="E2305" s="413"/>
      <c r="F2305" s="320"/>
      <c r="G2305" s="361">
        <f>SUM(G2304:G2304)</f>
        <v>26920.89</v>
      </c>
      <c r="H2305" s="1980"/>
      <c r="I2305" s="2047">
        <f>SUM(I2304)</f>
        <v>0.4389955616377188</v>
      </c>
      <c r="J2305" s="1981"/>
    </row>
    <row r="2306" spans="1:10" ht="15.75" customHeight="1">
      <c r="A2306" s="1780"/>
      <c r="B2306" s="1784"/>
      <c r="C2306" s="1804" t="s">
        <v>2298</v>
      </c>
      <c r="D2306" s="1763"/>
      <c r="E2306" s="1764"/>
      <c r="F2306" s="1765"/>
      <c r="G2306" s="1765">
        <f>G2302+G2305</f>
        <v>47881.647900000004</v>
      </c>
      <c r="H2306" s="1980"/>
      <c r="I2306" s="2048">
        <f>I2302+I2305</f>
        <v>0.87675739355662397</v>
      </c>
      <c r="J2306" s="1981"/>
    </row>
    <row r="2307" spans="1:10" ht="15.75" customHeight="1">
      <c r="A2307" s="1780"/>
      <c r="B2307" s="1784"/>
      <c r="C2307" s="1762" t="s">
        <v>2094</v>
      </c>
      <c r="D2307" s="1767">
        <f>M$4</f>
        <v>0.15</v>
      </c>
      <c r="E2307" s="1768"/>
      <c r="F2307" s="1765"/>
      <c r="G2307" s="1765">
        <f>G2306*D2307</f>
        <v>7182.2471850000002</v>
      </c>
      <c r="H2307" s="1980"/>
      <c r="I2307" s="1983"/>
      <c r="J2307" s="1981"/>
    </row>
    <row r="2308" spans="1:10" ht="15.75" customHeight="1">
      <c r="A2308" s="1786"/>
      <c r="B2308" s="1890"/>
      <c r="C2308" s="1788" t="s">
        <v>2111</v>
      </c>
      <c r="D2308" s="1772"/>
      <c r="E2308" s="1773"/>
      <c r="F2308" s="1774"/>
      <c r="G2308" s="1998">
        <f>ROUNDUP((G2306+G2307),2)</f>
        <v>55063.9</v>
      </c>
      <c r="H2308" s="1985"/>
      <c r="I2308" s="2051"/>
      <c r="J2308" s="2052"/>
    </row>
    <row r="2309" spans="1:10" ht="15.75" customHeight="1">
      <c r="G2309" s="2053"/>
      <c r="H2309" s="2054"/>
      <c r="I2309" s="2054"/>
      <c r="J2309" s="2055"/>
    </row>
    <row r="2310" spans="1:10" ht="15.75" customHeight="1">
      <c r="A2310" s="1778">
        <f>A2296+1</f>
        <v>118</v>
      </c>
      <c r="B2310" s="1805" t="s">
        <v>2736</v>
      </c>
      <c r="C2310" s="1872" t="s">
        <v>2737</v>
      </c>
      <c r="D2310" s="1873"/>
      <c r="E2310" s="1874"/>
      <c r="F2310" s="1875"/>
      <c r="G2310" s="1875"/>
      <c r="H2310" s="1997"/>
      <c r="I2310" s="1997"/>
      <c r="J2310" s="1947"/>
    </row>
    <row r="2311" spans="1:10" ht="15.75" customHeight="1">
      <c r="A2311" s="1780"/>
      <c r="B2311" s="1739" t="s">
        <v>1004</v>
      </c>
      <c r="C2311" s="1877" t="s">
        <v>2067</v>
      </c>
      <c r="D2311" s="390"/>
      <c r="E2311" s="413"/>
      <c r="F2311" s="320"/>
      <c r="G2311" s="320"/>
      <c r="H2311" s="1802"/>
      <c r="I2311" s="1802"/>
      <c r="J2311" s="1803"/>
    </row>
    <row r="2312" spans="1:10" ht="15.75" customHeight="1">
      <c r="A2312" s="1780"/>
      <c r="B2312" s="1739"/>
      <c r="C2312" s="1878" t="s">
        <v>2103</v>
      </c>
      <c r="D2312" s="1841">
        <v>0.01</v>
      </c>
      <c r="E2312" s="413" t="s">
        <v>2069</v>
      </c>
      <c r="F2312" s="1747">
        <f>'Bahan &amp; Upah'!C$336</f>
        <v>96332.65</v>
      </c>
      <c r="G2312" s="361">
        <f>F2312*D2312</f>
        <v>963.32650000000001</v>
      </c>
      <c r="H2312" s="1980">
        <v>1</v>
      </c>
      <c r="I2312" s="1980">
        <f>(G2312/G$2320)*H2312</f>
        <v>1.3063817524242821E-2</v>
      </c>
      <c r="J2312" s="1981"/>
    </row>
    <row r="2313" spans="1:10" ht="15.75" customHeight="1">
      <c r="A2313" s="1780"/>
      <c r="B2313" s="1739"/>
      <c r="C2313" s="1878" t="s">
        <v>2104</v>
      </c>
      <c r="D2313" s="1841">
        <v>0.1</v>
      </c>
      <c r="E2313" s="413" t="s">
        <v>2069</v>
      </c>
      <c r="F2313" s="1883">
        <f>'Bahan &amp; Upah'!C$337</f>
        <v>114133.55</v>
      </c>
      <c r="G2313" s="361">
        <f>F2313*D2313</f>
        <v>11413.355000000001</v>
      </c>
      <c r="H2313" s="1980">
        <v>1</v>
      </c>
      <c r="I2313" s="1980">
        <f>(G2313/G$2320)*H2313</f>
        <v>0.15477824710459481</v>
      </c>
      <c r="J2313" s="1981"/>
    </row>
    <row r="2314" spans="1:10" ht="15.75" customHeight="1">
      <c r="A2314" s="1780"/>
      <c r="B2314" s="1739"/>
      <c r="C2314" s="1878" t="s">
        <v>2105</v>
      </c>
      <c r="D2314" s="1841">
        <v>0.01</v>
      </c>
      <c r="E2314" s="413" t="s">
        <v>2069</v>
      </c>
      <c r="F2314" s="1748">
        <f>'Bahan &amp; Upah'!C$338</f>
        <v>125485.75</v>
      </c>
      <c r="G2314" s="361">
        <f>F2314*D2314</f>
        <v>1254.8575000000001</v>
      </c>
      <c r="H2314" s="1980">
        <v>1</v>
      </c>
      <c r="I2314" s="1980">
        <f>(G2314/G$2320)*H2314</f>
        <v>1.7017313858725507E-2</v>
      </c>
      <c r="J2314" s="1981"/>
    </row>
    <row r="2315" spans="1:10" ht="15.75" customHeight="1">
      <c r="A2315" s="1780"/>
      <c r="B2315" s="1739"/>
      <c r="C2315" s="1878" t="s">
        <v>2107</v>
      </c>
      <c r="D2315" s="1841">
        <v>3.3E-3</v>
      </c>
      <c r="E2315" s="413" t="s">
        <v>2069</v>
      </c>
      <c r="F2315" s="1883">
        <f>'Bahan &amp; Upah'!C$339</f>
        <v>102689.88</v>
      </c>
      <c r="G2315" s="1785">
        <f>F2315*D2315</f>
        <v>338.87660399999999</v>
      </c>
      <c r="H2315" s="1980">
        <v>1</v>
      </c>
      <c r="I2315" s="1982">
        <f>(G2315/G$2320)*H2315</f>
        <v>4.5955572880960862E-3</v>
      </c>
      <c r="J2315" s="1981"/>
    </row>
    <row r="2316" spans="1:10" ht="15.75" customHeight="1">
      <c r="A2316" s="1780"/>
      <c r="B2316" s="1739"/>
      <c r="C2316" s="1889" t="s">
        <v>2108</v>
      </c>
      <c r="D2316" s="1841"/>
      <c r="E2316" s="413"/>
      <c r="F2316" s="320"/>
      <c r="G2316" s="361">
        <f>SUM(G2312:G2315)</f>
        <v>13970.415604</v>
      </c>
      <c r="H2316" s="1980"/>
      <c r="I2316" s="1983">
        <f>SUM(I2312:I2315)</f>
        <v>0.18945493577565922</v>
      </c>
      <c r="J2316" s="1981"/>
    </row>
    <row r="2317" spans="1:10" ht="15.75" customHeight="1">
      <c r="A2317" s="1780"/>
      <c r="B2317" s="1739" t="s">
        <v>1015</v>
      </c>
      <c r="C2317" s="1877" t="s">
        <v>2075</v>
      </c>
      <c r="D2317" s="1841"/>
      <c r="E2317" s="413"/>
      <c r="F2317" s="320"/>
      <c r="G2317" s="320"/>
      <c r="H2317" s="1980"/>
      <c r="I2317" s="1980"/>
      <c r="J2317" s="1981"/>
    </row>
    <row r="2318" spans="1:10" ht="15.75" customHeight="1">
      <c r="A2318" s="1780"/>
      <c r="B2318" s="1784"/>
      <c r="C2318" s="1878" t="s">
        <v>2738</v>
      </c>
      <c r="D2318" s="1841">
        <v>1</v>
      </c>
      <c r="E2318" s="413" t="s">
        <v>328</v>
      </c>
      <c r="F2318" s="1883">
        <f>'Bahan &amp; Upah'!C117</f>
        <v>59769.63</v>
      </c>
      <c r="G2318" s="1785">
        <f>F2318*D2318</f>
        <v>59769.63</v>
      </c>
      <c r="H2318" s="1980">
        <v>0.78080000000000005</v>
      </c>
      <c r="I2318" s="1982">
        <f>(G2318/G$2320)*H2318</f>
        <v>0.63287358614636535</v>
      </c>
      <c r="J2318" s="1981"/>
    </row>
    <row r="2319" spans="1:10" ht="15.75" customHeight="1">
      <c r="A2319" s="1780"/>
      <c r="B2319" s="1784"/>
      <c r="C2319" s="1878"/>
      <c r="D2319" s="1841"/>
      <c r="E2319" s="413"/>
      <c r="F2319" s="320"/>
      <c r="G2319" s="361">
        <f>SUM(G2318:G2318)</f>
        <v>59769.63</v>
      </c>
      <c r="H2319" s="1980"/>
      <c r="I2319" s="2047">
        <f>SUM(I2318)</f>
        <v>0.63287358614636535</v>
      </c>
      <c r="J2319" s="1981"/>
    </row>
    <row r="2320" spans="1:10" ht="15.75" customHeight="1">
      <c r="A2320" s="1780"/>
      <c r="B2320" s="1784"/>
      <c r="C2320" s="1804" t="s">
        <v>2298</v>
      </c>
      <c r="D2320" s="1763"/>
      <c r="E2320" s="1764"/>
      <c r="F2320" s="1765"/>
      <c r="G2320" s="1765">
        <f>G2316+G2319</f>
        <v>73740.045603999999</v>
      </c>
      <c r="H2320" s="1980"/>
      <c r="I2320" s="2048">
        <f>I2316+I2319</f>
        <v>0.82232852192202455</v>
      </c>
      <c r="J2320" s="1981"/>
    </row>
    <row r="2321" spans="1:10" ht="15.75" customHeight="1">
      <c r="A2321" s="1780"/>
      <c r="B2321" s="1784"/>
      <c r="C2321" s="1762" t="s">
        <v>2094</v>
      </c>
      <c r="D2321" s="1767">
        <f>M$4</f>
        <v>0.15</v>
      </c>
      <c r="E2321" s="1768"/>
      <c r="F2321" s="1765"/>
      <c r="G2321" s="1765">
        <f>G2320*D2321</f>
        <v>11061.006840599999</v>
      </c>
      <c r="H2321" s="1980"/>
      <c r="I2321" s="1983"/>
      <c r="J2321" s="1981"/>
    </row>
    <row r="2322" spans="1:10" ht="15.75" customHeight="1">
      <c r="A2322" s="1786"/>
      <c r="B2322" s="1890"/>
      <c r="C2322" s="1788" t="s">
        <v>2111</v>
      </c>
      <c r="D2322" s="1772"/>
      <c r="E2322" s="1773"/>
      <c r="F2322" s="1774"/>
      <c r="G2322" s="1998">
        <f>ROUNDUP((G2320+G2321),2)</f>
        <v>84801.06</v>
      </c>
      <c r="H2322" s="1982"/>
      <c r="I2322" s="2049"/>
      <c r="J2322" s="2005"/>
    </row>
    <row r="2323" spans="1:10" ht="15.75" customHeight="1">
      <c r="H2323" s="2028"/>
      <c r="I2323" s="2028"/>
      <c r="J2323" s="2029"/>
    </row>
    <row r="2324" spans="1:10" ht="15.75" customHeight="1">
      <c r="A2324" s="1778">
        <f>A2310+1</f>
        <v>119</v>
      </c>
      <c r="B2324" s="1805" t="s">
        <v>2739</v>
      </c>
      <c r="C2324" s="1872" t="s">
        <v>2740</v>
      </c>
      <c r="D2324" s="1873"/>
      <c r="E2324" s="1874"/>
      <c r="F2324" s="1875"/>
      <c r="G2324" s="1875"/>
      <c r="H2324" s="1997"/>
      <c r="I2324" s="1997"/>
      <c r="J2324" s="1947"/>
    </row>
    <row r="2325" spans="1:10" ht="15.75" customHeight="1">
      <c r="A2325" s="1780"/>
      <c r="B2325" s="1739" t="s">
        <v>1004</v>
      </c>
      <c r="C2325" s="1877" t="s">
        <v>2067</v>
      </c>
      <c r="D2325" s="390"/>
      <c r="E2325" s="413"/>
      <c r="F2325" s="320"/>
      <c r="G2325" s="320"/>
      <c r="H2325" s="1802"/>
      <c r="I2325" s="1802"/>
      <c r="J2325" s="1803"/>
    </row>
    <row r="2326" spans="1:10" ht="15.75" customHeight="1">
      <c r="A2326" s="1780"/>
      <c r="B2326" s="1739"/>
      <c r="C2326" s="1878" t="s">
        <v>2103</v>
      </c>
      <c r="D2326" s="1841">
        <v>1.4999999999999999E-2</v>
      </c>
      <c r="E2326" s="413" t="s">
        <v>2069</v>
      </c>
      <c r="F2326" s="1747">
        <f>'Bahan &amp; Upah'!C$336</f>
        <v>96332.65</v>
      </c>
      <c r="G2326" s="361">
        <f>F2326*D2326</f>
        <v>1444.98975</v>
      </c>
      <c r="H2326" s="1980">
        <v>1</v>
      </c>
      <c r="I2326" s="1980">
        <f>(G2326/G$2334)*H2326</f>
        <v>4.6745742091380263E-3</v>
      </c>
      <c r="J2326" s="1981"/>
    </row>
    <row r="2327" spans="1:10" ht="15.75" customHeight="1">
      <c r="A2327" s="1780"/>
      <c r="B2327" s="1739"/>
      <c r="C2327" s="1878" t="s">
        <v>2104</v>
      </c>
      <c r="D2327" s="1841">
        <v>0.15</v>
      </c>
      <c r="E2327" s="413" t="s">
        <v>2069</v>
      </c>
      <c r="F2327" s="1883">
        <f>'Bahan &amp; Upah'!C$337</f>
        <v>114133.55</v>
      </c>
      <c r="G2327" s="361">
        <f>F2327*D2327</f>
        <v>17120.032500000001</v>
      </c>
      <c r="H2327" s="1980">
        <v>1</v>
      </c>
      <c r="I2327" s="1980">
        <f>(G2327/G$2334)*H2327</f>
        <v>5.5383688627621622E-2</v>
      </c>
      <c r="J2327" s="1981"/>
    </row>
    <row r="2328" spans="1:10" ht="15.75" customHeight="1">
      <c r="A2328" s="1780"/>
      <c r="B2328" s="1739"/>
      <c r="C2328" s="1878" t="s">
        <v>2105</v>
      </c>
      <c r="D2328" s="1841">
        <v>1.4999999999999999E-2</v>
      </c>
      <c r="E2328" s="413" t="s">
        <v>2069</v>
      </c>
      <c r="F2328" s="1748">
        <f>'Bahan &amp; Upah'!C$338</f>
        <v>125485.75</v>
      </c>
      <c r="G2328" s="361">
        <f>F2328*D2328</f>
        <v>1882.2862499999999</v>
      </c>
      <c r="H2328" s="1980">
        <v>1</v>
      </c>
      <c r="I2328" s="1980">
        <f>(G2328/G$2334)*H2328</f>
        <v>6.0892381821152234E-3</v>
      </c>
      <c r="J2328" s="1981"/>
    </row>
    <row r="2329" spans="1:10" ht="15.75" customHeight="1">
      <c r="A2329" s="1780"/>
      <c r="B2329" s="1739"/>
      <c r="C2329" s="1878" t="s">
        <v>2107</v>
      </c>
      <c r="D2329" s="1841">
        <v>8.0000000000000004E-4</v>
      </c>
      <c r="E2329" s="413" t="s">
        <v>2069</v>
      </c>
      <c r="F2329" s="1883">
        <f>'Bahan &amp; Upah'!C$339</f>
        <v>102689.88</v>
      </c>
      <c r="G2329" s="1785">
        <f>F2329*D2329</f>
        <v>82.151904000000002</v>
      </c>
      <c r="H2329" s="1980">
        <v>1</v>
      </c>
      <c r="I2329" s="1982">
        <f>(G2329/G$2334)*H2329</f>
        <v>2.6576324964933698E-4</v>
      </c>
      <c r="J2329" s="1981"/>
    </row>
    <row r="2330" spans="1:10" ht="15.75" customHeight="1">
      <c r="A2330" s="1780"/>
      <c r="B2330" s="1739"/>
      <c r="C2330" s="1889" t="s">
        <v>2108</v>
      </c>
      <c r="D2330" s="1841"/>
      <c r="E2330" s="413"/>
      <c r="F2330" s="320"/>
      <c r="G2330" s="361">
        <f>SUM(G2326:G2329)</f>
        <v>20529.460404000001</v>
      </c>
      <c r="H2330" s="1980"/>
      <c r="I2330" s="1983">
        <f>SUM(I2326:I2329)</f>
        <v>6.6413264268524203E-2</v>
      </c>
      <c r="J2330" s="1981"/>
    </row>
    <row r="2331" spans="1:10" ht="15.75" customHeight="1">
      <c r="A2331" s="1780"/>
      <c r="B2331" s="1739" t="s">
        <v>1015</v>
      </c>
      <c r="C2331" s="1877" t="s">
        <v>2075</v>
      </c>
      <c r="D2331" s="1841"/>
      <c r="E2331" s="413"/>
      <c r="F2331" s="320"/>
      <c r="G2331" s="320"/>
      <c r="H2331" s="1980"/>
      <c r="I2331" s="1980"/>
      <c r="J2331" s="1981"/>
    </row>
    <row r="2332" spans="1:10" ht="15.75" customHeight="1">
      <c r="A2332" s="1780"/>
      <c r="B2332" s="1784"/>
      <c r="C2332" s="1878" t="s">
        <v>2741</v>
      </c>
      <c r="D2332" s="1841">
        <v>1</v>
      </c>
      <c r="E2332" s="413" t="s">
        <v>328</v>
      </c>
      <c r="F2332" s="1883">
        <f>'Bahan &amp; Upah'!C133</f>
        <v>288587.40999999997</v>
      </c>
      <c r="G2332" s="1785">
        <f>F2332*D2332</f>
        <v>288587.40999999997</v>
      </c>
      <c r="H2332" s="1980">
        <v>0.78080000000000005</v>
      </c>
      <c r="I2332" s="1982">
        <f>(G2332/G$2334)*H2332</f>
        <v>0.72894452325913628</v>
      </c>
      <c r="J2332" s="1981"/>
    </row>
    <row r="2333" spans="1:10" ht="15.75" customHeight="1">
      <c r="A2333" s="1780"/>
      <c r="B2333" s="1784"/>
      <c r="C2333" s="1878"/>
      <c r="D2333" s="1841"/>
      <c r="E2333" s="413"/>
      <c r="F2333" s="320"/>
      <c r="G2333" s="361">
        <f>SUM(G2332:G2332)</f>
        <v>288587.40999999997</v>
      </c>
      <c r="H2333" s="1980"/>
      <c r="I2333" s="1980">
        <f>SUM(I2332)</f>
        <v>0.72894452325913628</v>
      </c>
      <c r="J2333" s="1981"/>
    </row>
    <row r="2334" spans="1:10" ht="15.75" customHeight="1">
      <c r="A2334" s="1780"/>
      <c r="B2334" s="1784"/>
      <c r="C2334" s="1804" t="s">
        <v>2298</v>
      </c>
      <c r="D2334" s="1763"/>
      <c r="E2334" s="1764"/>
      <c r="F2334" s="1765"/>
      <c r="G2334" s="1765">
        <f>G2330+G2333</f>
        <v>309116.87040399999</v>
      </c>
      <c r="H2334" s="1980"/>
      <c r="I2334" s="2048">
        <f>I2330+I2333</f>
        <v>0.79535778752766051</v>
      </c>
      <c r="J2334" s="1981"/>
    </row>
    <row r="2335" spans="1:10" ht="15.75" customHeight="1">
      <c r="A2335" s="1780"/>
      <c r="B2335" s="1784"/>
      <c r="C2335" s="1762" t="s">
        <v>2094</v>
      </c>
      <c r="D2335" s="1767">
        <f>M$4</f>
        <v>0.15</v>
      </c>
      <c r="E2335" s="1768"/>
      <c r="F2335" s="1765"/>
      <c r="G2335" s="1765">
        <f>G2334*D2335</f>
        <v>46367.530560599997</v>
      </c>
      <c r="H2335" s="1980"/>
      <c r="I2335" s="1983"/>
      <c r="J2335" s="1981"/>
    </row>
    <row r="2336" spans="1:10" ht="15.75" customHeight="1">
      <c r="A2336" s="1786"/>
      <c r="B2336" s="1890"/>
      <c r="C2336" s="1788" t="s">
        <v>2111</v>
      </c>
      <c r="D2336" s="1772"/>
      <c r="E2336" s="1773"/>
      <c r="F2336" s="1774"/>
      <c r="G2336" s="1998">
        <f>ROUNDUP((G2334+G2335),2)</f>
        <v>355484.41000000003</v>
      </c>
      <c r="H2336" s="1982"/>
      <c r="I2336" s="2049"/>
      <c r="J2336" s="2005"/>
    </row>
    <row r="2337" spans="1:10" ht="15.75" customHeight="1">
      <c r="H2337" s="2028"/>
      <c r="I2337" s="2028"/>
      <c r="J2337" s="2029"/>
    </row>
    <row r="2338" spans="1:10" ht="15.75" customHeight="1">
      <c r="A2338" s="1778">
        <f>A2324+1</f>
        <v>120</v>
      </c>
      <c r="B2338" s="1805" t="s">
        <v>2742</v>
      </c>
      <c r="C2338" s="1872" t="s">
        <v>2743</v>
      </c>
      <c r="D2338" s="1873"/>
      <c r="E2338" s="1874"/>
      <c r="F2338" s="1875"/>
      <c r="G2338" s="1875"/>
      <c r="H2338" s="1997"/>
      <c r="I2338" s="1997"/>
      <c r="J2338" s="1947"/>
    </row>
    <row r="2339" spans="1:10" ht="15.75" customHeight="1">
      <c r="A2339" s="1780"/>
      <c r="B2339" s="1739" t="s">
        <v>1004</v>
      </c>
      <c r="C2339" s="1877" t="s">
        <v>2067</v>
      </c>
      <c r="D2339" s="390"/>
      <c r="E2339" s="413"/>
      <c r="F2339" s="320"/>
      <c r="G2339" s="320"/>
      <c r="H2339" s="1802"/>
      <c r="I2339" s="1802"/>
      <c r="J2339" s="1803"/>
    </row>
    <row r="2340" spans="1:10" ht="15.75" customHeight="1">
      <c r="A2340" s="1780"/>
      <c r="B2340" s="1739"/>
      <c r="C2340" s="1878" t="s">
        <v>2103</v>
      </c>
      <c r="D2340" s="1841">
        <v>0.02</v>
      </c>
      <c r="E2340" s="413" t="s">
        <v>2069</v>
      </c>
      <c r="F2340" s="1747">
        <f>'Bahan &amp; Upah'!C$336</f>
        <v>96332.65</v>
      </c>
      <c r="G2340" s="361">
        <f>F2340*D2340</f>
        <v>1926.653</v>
      </c>
      <c r="H2340" s="1980">
        <v>1</v>
      </c>
      <c r="I2340" s="1980">
        <f>(G2340/G$2348)*H2340</f>
        <v>4.2516041057853789E-2</v>
      </c>
      <c r="J2340" s="1981"/>
    </row>
    <row r="2341" spans="1:10" ht="15.75" customHeight="1">
      <c r="A2341" s="1780"/>
      <c r="B2341" s="1739"/>
      <c r="C2341" s="1878" t="s">
        <v>2104</v>
      </c>
      <c r="D2341" s="1841">
        <v>0.2</v>
      </c>
      <c r="E2341" s="413" t="s">
        <v>2069</v>
      </c>
      <c r="F2341" s="1883">
        <f>'Bahan &amp; Upah'!C$337</f>
        <v>114133.55</v>
      </c>
      <c r="G2341" s="361">
        <f>F2341*D2341</f>
        <v>22826.710000000003</v>
      </c>
      <c r="H2341" s="1980">
        <v>1</v>
      </c>
      <c r="I2341" s="1980">
        <f>(G2341/G$2348)*H2341</f>
        <v>0.50372399159356762</v>
      </c>
      <c r="J2341" s="1981"/>
    </row>
    <row r="2342" spans="1:10" ht="15.75" customHeight="1">
      <c r="A2342" s="1780"/>
      <c r="B2342" s="1739"/>
      <c r="C2342" s="1878" t="s">
        <v>2105</v>
      </c>
      <c r="D2342" s="1841">
        <v>0.02</v>
      </c>
      <c r="E2342" s="413" t="s">
        <v>2069</v>
      </c>
      <c r="F2342" s="1748">
        <f>'Bahan &amp; Upah'!C$338</f>
        <v>125485.75</v>
      </c>
      <c r="G2342" s="361">
        <f>F2342*D2342</f>
        <v>2509.7150000000001</v>
      </c>
      <c r="H2342" s="1980">
        <v>1</v>
      </c>
      <c r="I2342" s="1980">
        <f>(G2342/G$2348)*H2342</f>
        <v>5.5382648553481885E-2</v>
      </c>
      <c r="J2342" s="1981"/>
    </row>
    <row r="2343" spans="1:10" ht="15.75" customHeight="1">
      <c r="A2343" s="1780"/>
      <c r="B2343" s="1739"/>
      <c r="C2343" s="1878" t="s">
        <v>2107</v>
      </c>
      <c r="D2343" s="1841">
        <v>1E-3</v>
      </c>
      <c r="E2343" s="413" t="s">
        <v>2069</v>
      </c>
      <c r="F2343" s="1883">
        <f>'Bahan &amp; Upah'!C$339</f>
        <v>102689.88</v>
      </c>
      <c r="G2343" s="1785">
        <f>F2343*D2343</f>
        <v>102.68988</v>
      </c>
      <c r="H2343" s="1980">
        <v>1</v>
      </c>
      <c r="I2343" s="1982">
        <f>(G2343/G$2348)*H2343</f>
        <v>2.2660889917935812E-3</v>
      </c>
      <c r="J2343" s="1981"/>
    </row>
    <row r="2344" spans="1:10" ht="15.75" customHeight="1">
      <c r="A2344" s="1780"/>
      <c r="B2344" s="1739"/>
      <c r="C2344" s="1889" t="s">
        <v>2108</v>
      </c>
      <c r="D2344" s="1841"/>
      <c r="E2344" s="413"/>
      <c r="F2344" s="320"/>
      <c r="G2344" s="361">
        <f>SUM(G2340:G2343)</f>
        <v>27365.767880000003</v>
      </c>
      <c r="H2344" s="1980"/>
      <c r="I2344" s="1983">
        <f>SUM(I2340:I2343)</f>
        <v>0.60388877019669684</v>
      </c>
      <c r="J2344" s="1981"/>
    </row>
    <row r="2345" spans="1:10" ht="15.75" customHeight="1">
      <c r="A2345" s="1780"/>
      <c r="B2345" s="1739" t="s">
        <v>1015</v>
      </c>
      <c r="C2345" s="1877" t="s">
        <v>2075</v>
      </c>
      <c r="D2345" s="1841"/>
      <c r="E2345" s="413"/>
      <c r="F2345" s="320"/>
      <c r="G2345" s="320"/>
      <c r="H2345" s="1980"/>
      <c r="I2345" s="1980"/>
      <c r="J2345" s="1981"/>
    </row>
    <row r="2346" spans="1:10" ht="15.75" customHeight="1">
      <c r="A2346" s="1780"/>
      <c r="B2346" s="1784"/>
      <c r="C2346" s="1878" t="s">
        <v>667</v>
      </c>
      <c r="D2346" s="1841">
        <v>1</v>
      </c>
      <c r="E2346" s="413" t="s">
        <v>328</v>
      </c>
      <c r="F2346" s="1883">
        <f>'Bahan &amp; Upah'!C134</f>
        <v>17950.14</v>
      </c>
      <c r="G2346" s="1785">
        <f>F2346*D2346</f>
        <v>17950.14</v>
      </c>
      <c r="H2346" s="1980">
        <f>H2332</f>
        <v>0.78080000000000005</v>
      </c>
      <c r="I2346" s="1982">
        <f>(G2346/G$2348)*H2346</f>
        <v>0.30928364823041915</v>
      </c>
      <c r="J2346" s="1981"/>
    </row>
    <row r="2347" spans="1:10" ht="15.75" customHeight="1">
      <c r="A2347" s="1780"/>
      <c r="B2347" s="1784"/>
      <c r="C2347" s="1878"/>
      <c r="D2347" s="1841"/>
      <c r="E2347" s="413"/>
      <c r="F2347" s="320"/>
      <c r="G2347" s="361">
        <f>SUM(G2346:G2346)</f>
        <v>17950.14</v>
      </c>
      <c r="H2347" s="1980"/>
      <c r="I2347" s="1980">
        <f>SUM(I2346)</f>
        <v>0.30928364823041915</v>
      </c>
      <c r="J2347" s="1981"/>
    </row>
    <row r="2348" spans="1:10" ht="15.75" customHeight="1">
      <c r="A2348" s="1780"/>
      <c r="B2348" s="1784"/>
      <c r="C2348" s="1804" t="s">
        <v>2298</v>
      </c>
      <c r="D2348" s="1763"/>
      <c r="E2348" s="1764"/>
      <c r="F2348" s="1765"/>
      <c r="G2348" s="1765">
        <f>G2344+G2347</f>
        <v>45315.907879999999</v>
      </c>
      <c r="H2348" s="1980"/>
      <c r="I2348" s="2048">
        <f>I2344+I2347</f>
        <v>0.91317241842711594</v>
      </c>
      <c r="J2348" s="1981"/>
    </row>
    <row r="2349" spans="1:10" ht="15.75" customHeight="1">
      <c r="A2349" s="1780"/>
      <c r="B2349" s="1784"/>
      <c r="C2349" s="1762" t="s">
        <v>2094</v>
      </c>
      <c r="D2349" s="1767">
        <f>M$4</f>
        <v>0.15</v>
      </c>
      <c r="E2349" s="1768"/>
      <c r="F2349" s="1765"/>
      <c r="G2349" s="1765">
        <f>G2348*D2349</f>
        <v>6797.3861819999993</v>
      </c>
      <c r="H2349" s="1980"/>
      <c r="I2349" s="1983"/>
      <c r="J2349" s="1981"/>
    </row>
    <row r="2350" spans="1:10" ht="15.75" customHeight="1">
      <c r="A2350" s="1786"/>
      <c r="B2350" s="1890"/>
      <c r="C2350" s="1788" t="s">
        <v>2111</v>
      </c>
      <c r="D2350" s="1772"/>
      <c r="E2350" s="1773"/>
      <c r="F2350" s="1774"/>
      <c r="G2350" s="1998">
        <f>ROUNDUP((G2348+G2349),2)</f>
        <v>52113.3</v>
      </c>
      <c r="H2350" s="1982"/>
      <c r="I2350" s="2049"/>
      <c r="J2350" s="2005"/>
    </row>
    <row r="2351" spans="1:10" ht="15.75" customHeight="1">
      <c r="H2351" s="2028"/>
      <c r="I2351" s="2028"/>
      <c r="J2351" s="2029"/>
    </row>
    <row r="2352" spans="1:10" ht="15.75" customHeight="1">
      <c r="A2352" s="1778">
        <f>A2338+1</f>
        <v>121</v>
      </c>
      <c r="B2352" s="1805" t="s">
        <v>2744</v>
      </c>
      <c r="C2352" s="1872" t="s">
        <v>2745</v>
      </c>
      <c r="D2352" s="1873"/>
      <c r="E2352" s="1874"/>
      <c r="F2352" s="1875"/>
      <c r="G2352" s="1875"/>
      <c r="H2352" s="1997"/>
      <c r="I2352" s="1997"/>
      <c r="J2352" s="1947"/>
    </row>
    <row r="2353" spans="1:10" ht="15.75" customHeight="1">
      <c r="A2353" s="1780"/>
      <c r="B2353" s="1739" t="s">
        <v>1004</v>
      </c>
      <c r="C2353" s="1877" t="s">
        <v>2067</v>
      </c>
      <c r="D2353" s="390"/>
      <c r="E2353" s="413"/>
      <c r="F2353" s="320"/>
      <c r="G2353" s="320"/>
      <c r="H2353" s="1802"/>
      <c r="I2353" s="1802"/>
      <c r="J2353" s="1803"/>
    </row>
    <row r="2354" spans="1:10" ht="15.75" customHeight="1">
      <c r="A2354" s="1780"/>
      <c r="B2354" s="1739"/>
      <c r="C2354" s="1878" t="s">
        <v>2103</v>
      </c>
      <c r="D2354" s="1841">
        <v>0.05</v>
      </c>
      <c r="E2354" s="413" t="s">
        <v>2069</v>
      </c>
      <c r="F2354" s="1747">
        <f>'Bahan &amp; Upah'!C$336</f>
        <v>96332.65</v>
      </c>
      <c r="G2354" s="361">
        <f>F2354*D2354</f>
        <v>4816.6324999999997</v>
      </c>
      <c r="H2354" s="1980">
        <v>1</v>
      </c>
      <c r="I2354" s="1980">
        <f>(G2354/G$2362)*H2354</f>
        <v>1.3349695447359096E-2</v>
      </c>
      <c r="J2354" s="1981"/>
    </row>
    <row r="2355" spans="1:10" ht="15.75" customHeight="1">
      <c r="A2355" s="1780"/>
      <c r="B2355" s="1739"/>
      <c r="C2355" s="1878" t="s">
        <v>2104</v>
      </c>
      <c r="D2355" s="1841">
        <v>0.5</v>
      </c>
      <c r="E2355" s="413" t="s">
        <v>2069</v>
      </c>
      <c r="F2355" s="1883">
        <f>'Bahan &amp; Upah'!C$337</f>
        <v>114133.55</v>
      </c>
      <c r="G2355" s="361">
        <f>F2355*D2355</f>
        <v>57066.775000000001</v>
      </c>
      <c r="H2355" s="1980">
        <v>1</v>
      </c>
      <c r="I2355" s="1980">
        <f>(G2355/G$2362)*H2355</f>
        <v>0.15816528797099758</v>
      </c>
      <c r="J2355" s="1981"/>
    </row>
    <row r="2356" spans="1:10" ht="15.75" customHeight="1">
      <c r="A2356" s="1780"/>
      <c r="B2356" s="1739"/>
      <c r="C2356" s="1878" t="s">
        <v>2105</v>
      </c>
      <c r="D2356" s="1841">
        <v>0.05</v>
      </c>
      <c r="E2356" s="413" t="s">
        <v>2069</v>
      </c>
      <c r="F2356" s="1748">
        <f>'Bahan &amp; Upah'!C$338</f>
        <v>125485.75</v>
      </c>
      <c r="G2356" s="361">
        <f>F2356*D2356</f>
        <v>6274.2875000000004</v>
      </c>
      <c r="H2356" s="1980">
        <v>1</v>
      </c>
      <c r="I2356" s="1980">
        <f>(G2356/G$2362)*H2356</f>
        <v>1.7389706869721137E-2</v>
      </c>
      <c r="J2356" s="1981"/>
    </row>
    <row r="2357" spans="1:10" ht="15.75" customHeight="1">
      <c r="A2357" s="1780"/>
      <c r="B2357" s="1739"/>
      <c r="C2357" s="1878" t="s">
        <v>2107</v>
      </c>
      <c r="D2357" s="1841">
        <v>1.7000000000000001E-2</v>
      </c>
      <c r="E2357" s="413" t="s">
        <v>2069</v>
      </c>
      <c r="F2357" s="1883">
        <f>'Bahan &amp; Upah'!C$339</f>
        <v>102689.88</v>
      </c>
      <c r="G2357" s="1785">
        <f>F2357*D2357</f>
        <v>1745.7279600000002</v>
      </c>
      <c r="H2357" s="1980">
        <v>1</v>
      </c>
      <c r="I2357" s="1982">
        <f>(G2357/G$2362)*H2357</f>
        <v>4.8384294628953913E-3</v>
      </c>
      <c r="J2357" s="1981"/>
    </row>
    <row r="2358" spans="1:10" ht="15.75" customHeight="1">
      <c r="A2358" s="1780"/>
      <c r="B2358" s="1739"/>
      <c r="C2358" s="1889" t="s">
        <v>2108</v>
      </c>
      <c r="D2358" s="1841"/>
      <c r="E2358" s="413"/>
      <c r="F2358" s="320"/>
      <c r="G2358" s="361">
        <f>SUM(G2354:G2357)</f>
        <v>69903.422960000011</v>
      </c>
      <c r="H2358" s="1980"/>
      <c r="I2358" s="1983">
        <f>SUM(I2354:I2357)</f>
        <v>0.19374311975097319</v>
      </c>
      <c r="J2358" s="1981"/>
    </row>
    <row r="2359" spans="1:10" ht="15.75" customHeight="1">
      <c r="A2359" s="1780"/>
      <c r="B2359" s="1739" t="s">
        <v>1015</v>
      </c>
      <c r="C2359" s="1877" t="s">
        <v>2075</v>
      </c>
      <c r="D2359" s="1841"/>
      <c r="E2359" s="413"/>
      <c r="F2359" s="320"/>
      <c r="G2359" s="320"/>
      <c r="H2359" s="1980"/>
      <c r="I2359" s="1980"/>
      <c r="J2359" s="1981"/>
    </row>
    <row r="2360" spans="1:10" ht="15.75" customHeight="1">
      <c r="A2360" s="1780"/>
      <c r="B2360" s="1784"/>
      <c r="C2360" s="1878" t="s">
        <v>2746</v>
      </c>
      <c r="D2360" s="1841">
        <v>1</v>
      </c>
      <c r="E2360" s="413" t="s">
        <v>313</v>
      </c>
      <c r="F2360" s="1883">
        <f>'Bahan &amp; Upah'!C118</f>
        <v>290901.25</v>
      </c>
      <c r="G2360" s="1785">
        <f>F2360*D2360</f>
        <v>290901.25</v>
      </c>
      <c r="H2360" s="1980">
        <v>0.78080000000000005</v>
      </c>
      <c r="I2360" s="1982">
        <f>(G2360/G$2362)*H2360</f>
        <v>0.62952537209844017</v>
      </c>
      <c r="J2360" s="1981"/>
    </row>
    <row r="2361" spans="1:10" ht="15.75" customHeight="1">
      <c r="A2361" s="1780"/>
      <c r="B2361" s="1784"/>
      <c r="C2361" s="1878"/>
      <c r="D2361" s="1841"/>
      <c r="E2361" s="413"/>
      <c r="F2361" s="320"/>
      <c r="G2361" s="361">
        <f>SUM(G2360:G2360)</f>
        <v>290901.25</v>
      </c>
      <c r="H2361" s="1980"/>
      <c r="I2361" s="1980">
        <f>SUM(I2360)</f>
        <v>0.62952537209844017</v>
      </c>
      <c r="J2361" s="1981"/>
    </row>
    <row r="2362" spans="1:10" ht="15.75" customHeight="1">
      <c r="A2362" s="1780"/>
      <c r="B2362" s="1784"/>
      <c r="C2362" s="1804" t="s">
        <v>2298</v>
      </c>
      <c r="D2362" s="1763"/>
      <c r="E2362" s="1764"/>
      <c r="F2362" s="1765"/>
      <c r="G2362" s="1765">
        <f>G2358+G2361</f>
        <v>360804.67296</v>
      </c>
      <c r="H2362" s="1980"/>
      <c r="I2362" s="2048">
        <f>I2358+I2361</f>
        <v>0.82326849184941331</v>
      </c>
      <c r="J2362" s="1981"/>
    </row>
    <row r="2363" spans="1:10" ht="15.75" customHeight="1">
      <c r="A2363" s="1780"/>
      <c r="B2363" s="1784"/>
      <c r="C2363" s="1762" t="s">
        <v>2094</v>
      </c>
      <c r="D2363" s="1767">
        <f>M$4</f>
        <v>0.15</v>
      </c>
      <c r="E2363" s="1768"/>
      <c r="F2363" s="1765"/>
      <c r="G2363" s="1765">
        <f>G2362*D2363</f>
        <v>54120.700943999997</v>
      </c>
      <c r="H2363" s="1980"/>
      <c r="I2363" s="1983"/>
      <c r="J2363" s="1981"/>
    </row>
    <row r="2364" spans="1:10" ht="15.75" customHeight="1">
      <c r="A2364" s="1786"/>
      <c r="B2364" s="1890"/>
      <c r="C2364" s="1788" t="s">
        <v>2111</v>
      </c>
      <c r="D2364" s="1772"/>
      <c r="E2364" s="1773"/>
      <c r="F2364" s="1774"/>
      <c r="G2364" s="1998">
        <f>ROUNDUP((G2362+G2363),2)</f>
        <v>414925.38</v>
      </c>
      <c r="H2364" s="1982"/>
      <c r="I2364" s="2049"/>
      <c r="J2364" s="2005"/>
    </row>
    <row r="2365" spans="1:10" ht="15.75" customHeight="1">
      <c r="H2365" s="2028"/>
      <c r="I2365" s="2028"/>
      <c r="J2365" s="2029"/>
    </row>
    <row r="2366" spans="1:10" ht="15.75" customHeight="1">
      <c r="A2366" s="1778">
        <f>A2352+1</f>
        <v>122</v>
      </c>
      <c r="B2366" s="1805" t="s">
        <v>2747</v>
      </c>
      <c r="C2366" s="1872" t="s">
        <v>2748</v>
      </c>
      <c r="D2366" s="1873"/>
      <c r="E2366" s="1874"/>
      <c r="F2366" s="1875"/>
      <c r="G2366" s="1875"/>
      <c r="H2366" s="1997"/>
      <c r="I2366" s="1997"/>
      <c r="J2366" s="1947"/>
    </row>
    <row r="2367" spans="1:10" ht="15.75" customHeight="1">
      <c r="A2367" s="1780"/>
      <c r="B2367" s="1739" t="s">
        <v>1004</v>
      </c>
      <c r="C2367" s="1877" t="s">
        <v>2067</v>
      </c>
      <c r="D2367" s="390"/>
      <c r="E2367" s="413"/>
      <c r="F2367" s="320"/>
      <c r="G2367" s="320"/>
      <c r="H2367" s="1802"/>
      <c r="I2367" s="1802"/>
      <c r="J2367" s="1803"/>
    </row>
    <row r="2368" spans="1:10" ht="15.75" customHeight="1">
      <c r="A2368" s="1780"/>
      <c r="B2368" s="1739"/>
      <c r="C2368" s="1878" t="s">
        <v>2103</v>
      </c>
      <c r="D2368" s="1841">
        <v>0.02</v>
      </c>
      <c r="E2368" s="413" t="s">
        <v>2069</v>
      </c>
      <c r="F2368" s="1747">
        <f>'Bahan &amp; Upah'!C$336</f>
        <v>96332.65</v>
      </c>
      <c r="G2368" s="361">
        <f>F2368*D2368</f>
        <v>1926.653</v>
      </c>
      <c r="H2368" s="1980">
        <v>1</v>
      </c>
      <c r="I2368" s="1980">
        <f>(G2368/G$2376)*H2368</f>
        <v>2.6725247086768128E-2</v>
      </c>
      <c r="J2368" s="1981"/>
    </row>
    <row r="2369" spans="1:10" ht="15.75" customHeight="1">
      <c r="A2369" s="1780"/>
      <c r="B2369" s="1739"/>
      <c r="C2369" s="1878" t="s">
        <v>2104</v>
      </c>
      <c r="D2369" s="1841">
        <v>0.2</v>
      </c>
      <c r="E2369" s="413" t="s">
        <v>2069</v>
      </c>
      <c r="F2369" s="1883">
        <f>'Bahan &amp; Upah'!C$337</f>
        <v>114133.55</v>
      </c>
      <c r="G2369" s="361">
        <f>F2369*D2369</f>
        <v>22826.710000000003</v>
      </c>
      <c r="H2369" s="1980">
        <v>1</v>
      </c>
      <c r="I2369" s="1980">
        <f>(G2369/G$2376)*H2369</f>
        <v>0.31663691641826575</v>
      </c>
      <c r="J2369" s="1981"/>
    </row>
    <row r="2370" spans="1:10" ht="15.75" customHeight="1">
      <c r="A2370" s="1780"/>
      <c r="B2370" s="1739"/>
      <c r="C2370" s="1878" t="s">
        <v>2105</v>
      </c>
      <c r="D2370" s="1841">
        <v>0.02</v>
      </c>
      <c r="E2370" s="413" t="s">
        <v>2069</v>
      </c>
      <c r="F2370" s="1748">
        <f>'Bahan &amp; Upah'!C$338</f>
        <v>125485.75</v>
      </c>
      <c r="G2370" s="361">
        <f>F2370*D2370</f>
        <v>2509.7150000000001</v>
      </c>
      <c r="H2370" s="1980">
        <v>1</v>
      </c>
      <c r="I2370" s="1980">
        <f>(G2370/G$2376)*H2370</f>
        <v>3.4813094777507041E-2</v>
      </c>
      <c r="J2370" s="1981"/>
    </row>
    <row r="2371" spans="1:10" ht="15.75" customHeight="1">
      <c r="A2371" s="1780"/>
      <c r="B2371" s="1739"/>
      <c r="C2371" s="1878" t="s">
        <v>2107</v>
      </c>
      <c r="D2371" s="1841">
        <v>6.7000000000000002E-3</v>
      </c>
      <c r="E2371" s="413" t="s">
        <v>2069</v>
      </c>
      <c r="F2371" s="1883">
        <f>'Bahan &amp; Upah'!C$339</f>
        <v>102689.88</v>
      </c>
      <c r="G2371" s="1785">
        <f>F2371*D2371</f>
        <v>688.02219600000001</v>
      </c>
      <c r="H2371" s="1980">
        <v>1</v>
      </c>
      <c r="I2371" s="1982">
        <f>(G2371/G$2376)*H2371</f>
        <v>9.5437856164451041E-3</v>
      </c>
      <c r="J2371" s="1981"/>
    </row>
    <row r="2372" spans="1:10" ht="15.75" customHeight="1">
      <c r="A2372" s="1780"/>
      <c r="B2372" s="1739"/>
      <c r="C2372" s="1889" t="s">
        <v>2108</v>
      </c>
      <c r="D2372" s="1841"/>
      <c r="E2372" s="413"/>
      <c r="F2372" s="320"/>
      <c r="G2372" s="361">
        <f>SUM(G2368:G2371)</f>
        <v>27951.100196000003</v>
      </c>
      <c r="H2372" s="1980"/>
      <c r="I2372" s="1983">
        <f>SUM(I2368:I2371)</f>
        <v>0.38771904389898604</v>
      </c>
      <c r="J2372" s="1981"/>
    </row>
    <row r="2373" spans="1:10" ht="15.75" customHeight="1">
      <c r="A2373" s="1780"/>
      <c r="B2373" s="1739" t="s">
        <v>1015</v>
      </c>
      <c r="C2373" s="1877" t="s">
        <v>2075</v>
      </c>
      <c r="D2373" s="1841"/>
      <c r="E2373" s="413"/>
      <c r="F2373" s="320"/>
      <c r="G2373" s="320"/>
      <c r="H2373" s="1980"/>
      <c r="I2373" s="1980"/>
      <c r="J2373" s="1981"/>
    </row>
    <row r="2374" spans="1:10" ht="15.75" customHeight="1">
      <c r="A2374" s="1780"/>
      <c r="B2374" s="1784"/>
      <c r="C2374" s="1878" t="s">
        <v>2749</v>
      </c>
      <c r="D2374" s="1841">
        <v>1</v>
      </c>
      <c r="E2374" s="413" t="s">
        <v>313</v>
      </c>
      <c r="F2374" s="1883">
        <f>'Bahan &amp; Upah'!C135</f>
        <v>44140.02</v>
      </c>
      <c r="G2374" s="1785">
        <f>F2374*D2374</f>
        <v>44140.02</v>
      </c>
      <c r="H2374" s="1980">
        <v>0.37230000000000002</v>
      </c>
      <c r="I2374" s="1982">
        <f>(G2374/G$2376)*H2374</f>
        <v>0.2279521999564075</v>
      </c>
      <c r="J2374" s="1981"/>
    </row>
    <row r="2375" spans="1:10" ht="15.75" customHeight="1">
      <c r="A2375" s="1780"/>
      <c r="B2375" s="1784"/>
      <c r="C2375" s="1878"/>
      <c r="D2375" s="1841"/>
      <c r="E2375" s="413"/>
      <c r="F2375" s="320"/>
      <c r="G2375" s="361">
        <f>SUM(G2374:G2374)</f>
        <v>44140.02</v>
      </c>
      <c r="H2375" s="1980"/>
      <c r="I2375" s="1983">
        <f>SUM(I2374)</f>
        <v>0.2279521999564075</v>
      </c>
      <c r="J2375" s="1981"/>
    </row>
    <row r="2376" spans="1:10" ht="15.75" customHeight="1">
      <c r="A2376" s="1780"/>
      <c r="B2376" s="1784"/>
      <c r="C2376" s="1804" t="s">
        <v>2298</v>
      </c>
      <c r="D2376" s="1763"/>
      <c r="E2376" s="1764"/>
      <c r="F2376" s="1765"/>
      <c r="G2376" s="1765">
        <f>G2372+G2375</f>
        <v>72091.120196000003</v>
      </c>
      <c r="H2376" s="1980"/>
      <c r="I2376" s="2048">
        <f>I2372+I2375</f>
        <v>0.61567124385539351</v>
      </c>
      <c r="J2376" s="1981"/>
    </row>
    <row r="2377" spans="1:10" ht="15.75" customHeight="1">
      <c r="A2377" s="1780"/>
      <c r="B2377" s="1784"/>
      <c r="C2377" s="1762" t="s">
        <v>2094</v>
      </c>
      <c r="D2377" s="1767">
        <f>M$4</f>
        <v>0.15</v>
      </c>
      <c r="E2377" s="1768"/>
      <c r="F2377" s="1765"/>
      <c r="G2377" s="1765">
        <f>G2376*D2377</f>
        <v>10813.6680294</v>
      </c>
      <c r="H2377" s="1980"/>
      <c r="I2377" s="1983"/>
      <c r="J2377" s="1981"/>
    </row>
    <row r="2378" spans="1:10" ht="15.75" customHeight="1">
      <c r="A2378" s="1786"/>
      <c r="B2378" s="1890"/>
      <c r="C2378" s="1788" t="s">
        <v>2111</v>
      </c>
      <c r="D2378" s="1772"/>
      <c r="E2378" s="1773"/>
      <c r="F2378" s="1774"/>
      <c r="G2378" s="1998">
        <f>ROUNDUP((G2376+G2377),2)</f>
        <v>82904.789999999994</v>
      </c>
      <c r="H2378" s="1982"/>
      <c r="I2378" s="2049"/>
      <c r="J2378" s="2005"/>
    </row>
    <row r="2379" spans="1:10" ht="15.75" customHeight="1">
      <c r="H2379" s="2028"/>
      <c r="I2379" s="2028"/>
      <c r="J2379" s="2029"/>
    </row>
    <row r="2380" spans="1:10" ht="15.75" customHeight="1">
      <c r="A2380" s="1778">
        <f>A2366+1</f>
        <v>123</v>
      </c>
      <c r="B2380" s="1805" t="s">
        <v>2750</v>
      </c>
      <c r="C2380" s="1872" t="s">
        <v>2751</v>
      </c>
      <c r="D2380" s="1873"/>
      <c r="E2380" s="1874"/>
      <c r="F2380" s="1875"/>
      <c r="G2380" s="1875"/>
      <c r="H2380" s="1997"/>
      <c r="I2380" s="1997"/>
      <c r="J2380" s="1947"/>
    </row>
    <row r="2381" spans="1:10" ht="15.75" customHeight="1">
      <c r="A2381" s="1780"/>
      <c r="B2381" s="1739" t="s">
        <v>1004</v>
      </c>
      <c r="C2381" s="1877" t="s">
        <v>2067</v>
      </c>
      <c r="D2381" s="390"/>
      <c r="E2381" s="413"/>
      <c r="F2381" s="320"/>
      <c r="G2381" s="320"/>
      <c r="H2381" s="1802"/>
      <c r="I2381" s="1802"/>
      <c r="J2381" s="1803"/>
    </row>
    <row r="2382" spans="1:10" ht="15.75" customHeight="1">
      <c r="A2382" s="1780"/>
      <c r="B2382" s="1739"/>
      <c r="C2382" s="1878" t="s">
        <v>2103</v>
      </c>
      <c r="D2382" s="1841">
        <v>0.06</v>
      </c>
      <c r="E2382" s="413" t="s">
        <v>2069</v>
      </c>
      <c r="F2382" s="1747">
        <f>'Bahan &amp; Upah'!C$336</f>
        <v>96332.65</v>
      </c>
      <c r="G2382" s="361">
        <f>F2382*D2382</f>
        <v>5779.9589999999998</v>
      </c>
      <c r="H2382" s="1980">
        <v>1</v>
      </c>
      <c r="I2382" s="1980">
        <f>(G2382/G$2390)*H2382</f>
        <v>7.1714221372524709E-3</v>
      </c>
      <c r="J2382" s="1981"/>
    </row>
    <row r="2383" spans="1:10" ht="15.75" customHeight="1">
      <c r="A2383" s="1780"/>
      <c r="B2383" s="1739"/>
      <c r="C2383" s="1878" t="s">
        <v>2104</v>
      </c>
      <c r="D2383" s="1841">
        <v>0.6</v>
      </c>
      <c r="E2383" s="413" t="s">
        <v>2069</v>
      </c>
      <c r="F2383" s="1883">
        <f>'Bahan &amp; Upah'!C$337</f>
        <v>114133.55</v>
      </c>
      <c r="G2383" s="361">
        <f>F2383*D2383</f>
        <v>68480.13</v>
      </c>
      <c r="H2383" s="1980">
        <v>1</v>
      </c>
      <c r="I2383" s="1980">
        <f>(G2383/G$2390)*H2383</f>
        <v>8.4965986825153453E-2</v>
      </c>
      <c r="J2383" s="1981"/>
    </row>
    <row r="2384" spans="1:10" ht="15.75" customHeight="1">
      <c r="A2384" s="1780"/>
      <c r="B2384" s="1739"/>
      <c r="C2384" s="1878" t="s">
        <v>2105</v>
      </c>
      <c r="D2384" s="1841">
        <v>0.06</v>
      </c>
      <c r="E2384" s="413" t="s">
        <v>2069</v>
      </c>
      <c r="F2384" s="1748">
        <f>'Bahan &amp; Upah'!C$338</f>
        <v>125485.75</v>
      </c>
      <c r="G2384" s="361">
        <f>F2384*D2384</f>
        <v>7529.1449999999995</v>
      </c>
      <c r="H2384" s="1980">
        <v>1</v>
      </c>
      <c r="I2384" s="1980">
        <f>(G2384/G$2390)*H2384</f>
        <v>9.3417059061463494E-3</v>
      </c>
      <c r="J2384" s="1981"/>
    </row>
    <row r="2385" spans="1:10" ht="15.75" customHeight="1">
      <c r="A2385" s="1780"/>
      <c r="B2385" s="1739"/>
      <c r="C2385" s="1878" t="s">
        <v>2107</v>
      </c>
      <c r="D2385" s="1841">
        <v>0.02</v>
      </c>
      <c r="E2385" s="413" t="s">
        <v>2069</v>
      </c>
      <c r="F2385" s="1883">
        <f>'Bahan &amp; Upah'!C$339</f>
        <v>102689.88</v>
      </c>
      <c r="G2385" s="1785">
        <f>F2385*D2385</f>
        <v>2053.7976000000003</v>
      </c>
      <c r="H2385" s="1980">
        <v>1</v>
      </c>
      <c r="I2385" s="1982">
        <f>(G2385/G$2390)*H2385</f>
        <v>2.5482273445323745E-3</v>
      </c>
      <c r="J2385" s="1981"/>
    </row>
    <row r="2386" spans="1:10" ht="15.75" customHeight="1">
      <c r="A2386" s="1780"/>
      <c r="B2386" s="1739"/>
      <c r="C2386" s="1889" t="s">
        <v>2108</v>
      </c>
      <c r="D2386" s="1841"/>
      <c r="E2386" s="413"/>
      <c r="F2386" s="320"/>
      <c r="G2386" s="361">
        <f>SUM(G2382:G2385)</f>
        <v>83843.031600000017</v>
      </c>
      <c r="H2386" s="1980"/>
      <c r="I2386" s="1983">
        <f>SUM(I2382:I2385)</f>
        <v>0.10402734221308464</v>
      </c>
      <c r="J2386" s="1981"/>
    </row>
    <row r="2387" spans="1:10" ht="15.75" customHeight="1">
      <c r="A2387" s="1780"/>
      <c r="B2387" s="1739" t="s">
        <v>1015</v>
      </c>
      <c r="C2387" s="1877" t="s">
        <v>2075</v>
      </c>
      <c r="D2387" s="1841"/>
      <c r="E2387" s="413"/>
      <c r="F2387" s="320"/>
      <c r="G2387" s="320"/>
      <c r="H2387" s="1980"/>
      <c r="I2387" s="1980"/>
      <c r="J2387" s="1981"/>
    </row>
    <row r="2388" spans="1:10" ht="15.75" customHeight="1">
      <c r="A2388" s="1780"/>
      <c r="B2388" s="1784"/>
      <c r="C2388" s="1878" t="s">
        <v>2752</v>
      </c>
      <c r="D2388" s="1841">
        <v>1</v>
      </c>
      <c r="E2388" s="413" t="s">
        <v>313</v>
      </c>
      <c r="F2388" s="1883">
        <f>'Bahan &amp; Upah'!C119</f>
        <v>722128.07</v>
      </c>
      <c r="G2388" s="1785">
        <f>F2388*D2388</f>
        <v>722128.07</v>
      </c>
      <c r="H2388" s="1980">
        <f>H2360</f>
        <v>0.78080000000000005</v>
      </c>
      <c r="I2388" s="1982">
        <f>(G2388/G$2390)*H2388</f>
        <v>0.69957545120002351</v>
      </c>
      <c r="J2388" s="1981"/>
    </row>
    <row r="2389" spans="1:10" ht="15.75" customHeight="1">
      <c r="A2389" s="1780"/>
      <c r="B2389" s="1784"/>
      <c r="C2389" s="1878"/>
      <c r="D2389" s="1841"/>
      <c r="E2389" s="413"/>
      <c r="F2389" s="320"/>
      <c r="G2389" s="361">
        <f>SUM(G2388:G2388)</f>
        <v>722128.07</v>
      </c>
      <c r="H2389" s="1980"/>
      <c r="I2389" s="1983">
        <f>SUM(I2388)</f>
        <v>0.69957545120002351</v>
      </c>
      <c r="J2389" s="1981"/>
    </row>
    <row r="2390" spans="1:10" ht="15.75" customHeight="1">
      <c r="A2390" s="1780"/>
      <c r="B2390" s="1784"/>
      <c r="C2390" s="1804" t="s">
        <v>2298</v>
      </c>
      <c r="D2390" s="1763"/>
      <c r="E2390" s="1764"/>
      <c r="F2390" s="1765"/>
      <c r="G2390" s="1765">
        <f>G2386+G2389</f>
        <v>805971.10159999994</v>
      </c>
      <c r="H2390" s="1980"/>
      <c r="I2390" s="2048">
        <f>I2386+I2389</f>
        <v>0.80360279341310814</v>
      </c>
      <c r="J2390" s="1981"/>
    </row>
    <row r="2391" spans="1:10" ht="15.75" customHeight="1">
      <c r="A2391" s="1780"/>
      <c r="B2391" s="1784"/>
      <c r="C2391" s="1762" t="s">
        <v>2094</v>
      </c>
      <c r="D2391" s="1767">
        <f>M$4</f>
        <v>0.15</v>
      </c>
      <c r="E2391" s="1768"/>
      <c r="F2391" s="1765"/>
      <c r="G2391" s="1765">
        <f>G2390*D2391</f>
        <v>120895.66523999999</v>
      </c>
      <c r="H2391" s="1980"/>
      <c r="I2391" s="1983"/>
      <c r="J2391" s="1981"/>
    </row>
    <row r="2392" spans="1:10" ht="15.75" customHeight="1">
      <c r="A2392" s="1786"/>
      <c r="B2392" s="1890"/>
      <c r="C2392" s="1788" t="s">
        <v>2111</v>
      </c>
      <c r="D2392" s="1772"/>
      <c r="E2392" s="1773"/>
      <c r="F2392" s="1774"/>
      <c r="G2392" s="1998">
        <f>ROUNDUP((G2390+G2391),2)</f>
        <v>926866.77</v>
      </c>
      <c r="H2392" s="1982"/>
      <c r="I2392" s="2049"/>
      <c r="J2392" s="2005"/>
    </row>
    <row r="2393" spans="1:10" ht="15.75" customHeight="1">
      <c r="A2393" s="1733"/>
      <c r="B2393" s="1733"/>
      <c r="C2393" s="1733"/>
      <c r="D2393" s="1733"/>
      <c r="E2393" s="1733"/>
      <c r="F2393" s="1733"/>
      <c r="G2393" s="1733"/>
      <c r="H2393" s="1733"/>
      <c r="I2393" s="1733"/>
      <c r="J2393" s="1733"/>
    </row>
    <row r="2394" spans="1:10" ht="15.75" customHeight="1">
      <c r="A2394" s="1778">
        <f>A2380+1</f>
        <v>124</v>
      </c>
      <c r="B2394" s="1805" t="s">
        <v>2753</v>
      </c>
      <c r="C2394" s="1872" t="s">
        <v>2754</v>
      </c>
      <c r="D2394" s="1971"/>
      <c r="E2394" s="1874"/>
      <c r="F2394" s="1875"/>
      <c r="G2394" s="1875"/>
      <c r="H2394" s="1800"/>
      <c r="I2394" s="1800"/>
      <c r="J2394" s="1801"/>
    </row>
    <row r="2395" spans="1:10" ht="15.75" customHeight="1">
      <c r="A2395" s="1780"/>
      <c r="B2395" s="1739" t="s">
        <v>1004</v>
      </c>
      <c r="C2395" s="1877" t="s">
        <v>2067</v>
      </c>
      <c r="D2395" s="390"/>
      <c r="E2395" s="413"/>
      <c r="F2395" s="320"/>
      <c r="G2395" s="320"/>
      <c r="H2395" s="1802"/>
      <c r="I2395" s="1802"/>
      <c r="J2395" s="1803"/>
    </row>
    <row r="2396" spans="1:10" ht="15.75" customHeight="1">
      <c r="A2396" s="1780"/>
      <c r="B2396" s="1739"/>
      <c r="C2396" s="1878" t="s">
        <v>2103</v>
      </c>
      <c r="D2396" s="1781">
        <v>1</v>
      </c>
      <c r="E2396" s="413" t="s">
        <v>2069</v>
      </c>
      <c r="F2396" s="1747">
        <f>'Bahan &amp; Upah'!C$336</f>
        <v>96332.65</v>
      </c>
      <c r="G2396" s="361">
        <f>F2396*D2396</f>
        <v>96332.65</v>
      </c>
      <c r="H2396" s="1749">
        <v>1</v>
      </c>
      <c r="I2396" s="1749">
        <f>(G2396/G$2406)*H2396</f>
        <v>0.1368478543565185</v>
      </c>
      <c r="J2396" s="1750"/>
    </row>
    <row r="2397" spans="1:10" ht="15.75" customHeight="1">
      <c r="A2397" s="1780"/>
      <c r="B2397" s="1739"/>
      <c r="C2397" s="1878" t="s">
        <v>2663</v>
      </c>
      <c r="D2397" s="1781">
        <v>1</v>
      </c>
      <c r="E2397" s="413" t="s">
        <v>2069</v>
      </c>
      <c r="F2397" s="1883">
        <f>'Bahan &amp; Upah'!C$337</f>
        <v>114133.55</v>
      </c>
      <c r="G2397" s="361">
        <f>F2397*D2397</f>
        <v>114133.55</v>
      </c>
      <c r="H2397" s="1749">
        <v>1</v>
      </c>
      <c r="I2397" s="1749">
        <f>(G2397/G$2406)*H2397</f>
        <v>0.16213538636788694</v>
      </c>
      <c r="J2397" s="1750"/>
    </row>
    <row r="2398" spans="1:10" ht="15.75" customHeight="1">
      <c r="A2398" s="1780"/>
      <c r="B2398" s="1739"/>
      <c r="C2398" s="1878" t="s">
        <v>2072</v>
      </c>
      <c r="D2398" s="1781">
        <v>0.1</v>
      </c>
      <c r="E2398" s="413" t="s">
        <v>2069</v>
      </c>
      <c r="F2398" s="1748">
        <f>'Bahan &amp; Upah'!C$338</f>
        <v>125485.75</v>
      </c>
      <c r="G2398" s="361">
        <f>F2398*D2398</f>
        <v>12548.575000000001</v>
      </c>
      <c r="H2398" s="1749">
        <v>1</v>
      </c>
      <c r="I2398" s="1749">
        <f>(G2398/G$2406)*H2398</f>
        <v>1.7826204967701494E-2</v>
      </c>
      <c r="J2398" s="1750"/>
    </row>
    <row r="2399" spans="1:10" ht="15.75" customHeight="1">
      <c r="A2399" s="1780"/>
      <c r="B2399" s="1739"/>
      <c r="C2399" s="1878" t="s">
        <v>2107</v>
      </c>
      <c r="D2399" s="1781">
        <v>3.3000000000000002E-2</v>
      </c>
      <c r="E2399" s="413" t="s">
        <v>2069</v>
      </c>
      <c r="F2399" s="1883">
        <f>'Bahan &amp; Upah'!C$339</f>
        <v>102689.88</v>
      </c>
      <c r="G2399" s="1785">
        <f>F2399*D2399</f>
        <v>3388.7660400000004</v>
      </c>
      <c r="H2399" s="1749">
        <v>1</v>
      </c>
      <c r="I2399" s="1752">
        <f>(G2399/G$2406)*H2399</f>
        <v>4.8139998379597782E-3</v>
      </c>
      <c r="J2399" s="1750"/>
    </row>
    <row r="2400" spans="1:10" ht="15.75" customHeight="1">
      <c r="A2400" s="1780"/>
      <c r="B2400" s="1739"/>
      <c r="C2400" s="1889" t="s">
        <v>2108</v>
      </c>
      <c r="D2400" s="1781"/>
      <c r="E2400" s="413"/>
      <c r="F2400" s="320"/>
      <c r="G2400" s="361">
        <f>SUM(G2396:G2399)</f>
        <v>226403.54104000001</v>
      </c>
      <c r="H2400" s="1749"/>
      <c r="I2400" s="1994">
        <f>SUM(I2396:I2399)</f>
        <v>0.32162344553006667</v>
      </c>
      <c r="J2400" s="1750"/>
    </row>
    <row r="2401" spans="1:10" ht="15.75" customHeight="1">
      <c r="A2401" s="1780"/>
      <c r="B2401" s="1739" t="s">
        <v>1015</v>
      </c>
      <c r="C2401" s="1877" t="s">
        <v>2075</v>
      </c>
      <c r="D2401" s="1781"/>
      <c r="E2401" s="413"/>
      <c r="F2401" s="320"/>
      <c r="G2401" s="320"/>
      <c r="H2401" s="1749"/>
      <c r="I2401" s="1994"/>
      <c r="J2401" s="1750"/>
    </row>
    <row r="2402" spans="1:10" ht="15.75" customHeight="1">
      <c r="A2402" s="1780"/>
      <c r="B2402" s="1739"/>
      <c r="C2402" s="1878" t="s">
        <v>2755</v>
      </c>
      <c r="D2402" s="1781">
        <v>1</v>
      </c>
      <c r="E2402" s="413" t="s">
        <v>89</v>
      </c>
      <c r="F2402" s="1883">
        <f>'Bahan &amp; Upah'!C123</f>
        <v>477536.25</v>
      </c>
      <c r="G2402" s="1969">
        <f>F2402*D2402</f>
        <v>477536.25</v>
      </c>
      <c r="H2402" s="1749">
        <v>0.89429999999999998</v>
      </c>
      <c r="I2402" s="1752">
        <f>(G2402/G$2406)*H2402</f>
        <v>0.60667215266246133</v>
      </c>
      <c r="J2402" s="1750"/>
    </row>
    <row r="2403" spans="1:10" ht="15.75" customHeight="1">
      <c r="A2403" s="1780"/>
      <c r="B2403" s="1784"/>
      <c r="C2403" s="1878"/>
      <c r="D2403" s="1781"/>
      <c r="E2403" s="413"/>
      <c r="F2403" s="1883"/>
      <c r="G2403" s="361">
        <f>SUM(G2402:G2402)</f>
        <v>477536.25</v>
      </c>
      <c r="H2403" s="1749"/>
      <c r="I2403" s="1994">
        <f>SUM(I2402:I2402)</f>
        <v>0.60667215266246133</v>
      </c>
      <c r="J2403" s="1750"/>
    </row>
    <row r="2404" spans="1:10" ht="15.75" customHeight="1">
      <c r="A2404" s="1780"/>
      <c r="B2404" s="1739" t="s">
        <v>1048</v>
      </c>
      <c r="C2404" s="1877" t="s">
        <v>2246</v>
      </c>
      <c r="D2404" s="1756"/>
      <c r="E2404" s="333"/>
      <c r="F2404" s="1883"/>
      <c r="G2404" s="332"/>
      <c r="H2404" s="1749"/>
      <c r="I2404" s="1749"/>
      <c r="J2404" s="1750"/>
    </row>
    <row r="2405" spans="1:10" ht="15.75" customHeight="1">
      <c r="A2405" s="1780"/>
      <c r="B2405" s="1909"/>
      <c r="C2405" s="1878"/>
      <c r="D2405" s="1756"/>
      <c r="E2405" s="333"/>
      <c r="F2405" s="328"/>
      <c r="G2405" s="361">
        <v>0</v>
      </c>
      <c r="H2405" s="1749"/>
      <c r="I2405" s="1749"/>
      <c r="J2405" s="1750"/>
    </row>
    <row r="2406" spans="1:10" ht="15.75" customHeight="1">
      <c r="A2406" s="1780"/>
      <c r="B2406" s="1784"/>
      <c r="C2406" s="1804" t="s">
        <v>2242</v>
      </c>
      <c r="D2406" s="1763"/>
      <c r="E2406" s="1764"/>
      <c r="F2406" s="1765"/>
      <c r="G2406" s="1765">
        <f>G2400+G2403+G2405</f>
        <v>703939.79104000004</v>
      </c>
      <c r="H2406" s="1749"/>
      <c r="I2406" s="1766">
        <f>I2400+I2403+I2405</f>
        <v>0.92829559819252805</v>
      </c>
      <c r="J2406" s="1750"/>
    </row>
    <row r="2407" spans="1:10" ht="15.75" customHeight="1">
      <c r="A2407" s="1780"/>
      <c r="B2407" s="1784"/>
      <c r="C2407" s="1762" t="s">
        <v>2094</v>
      </c>
      <c r="D2407" s="1767">
        <f>M$4</f>
        <v>0.15</v>
      </c>
      <c r="E2407" s="1768"/>
      <c r="F2407" s="1765"/>
      <c r="G2407" s="1765">
        <f>G2406*D2407</f>
        <v>105590.968656</v>
      </c>
      <c r="H2407" s="1749"/>
      <c r="I2407" s="1749"/>
      <c r="J2407" s="1750"/>
    </row>
    <row r="2408" spans="1:10" ht="15.75" customHeight="1">
      <c r="A2408" s="1786"/>
      <c r="B2408" s="1890"/>
      <c r="C2408" s="1788" t="s">
        <v>2111</v>
      </c>
      <c r="D2408" s="1772"/>
      <c r="E2408" s="1773"/>
      <c r="F2408" s="1774"/>
      <c r="G2408" s="1775">
        <f>ROUNDUP((G2406+G2407),2)</f>
        <v>809530.76</v>
      </c>
      <c r="H2408" s="1937"/>
      <c r="I2408" s="1937"/>
      <c r="J2408" s="1938"/>
    </row>
    <row r="2409" spans="1:10" ht="15.75" customHeight="1">
      <c r="A2409" s="1733"/>
      <c r="B2409" s="1733"/>
      <c r="C2409" s="1733"/>
      <c r="D2409" s="1733"/>
      <c r="E2409" s="1733"/>
      <c r="F2409" s="1733"/>
      <c r="G2409" s="1733"/>
      <c r="H2409" s="1733"/>
      <c r="I2409" s="1733"/>
      <c r="J2409" s="1733"/>
    </row>
    <row r="2410" spans="1:10" ht="30" customHeight="1">
      <c r="A2410" s="1778">
        <f>A2394+1</f>
        <v>125</v>
      </c>
      <c r="B2410" s="1871" t="s">
        <v>2147</v>
      </c>
      <c r="C2410" s="1872" t="s">
        <v>2756</v>
      </c>
      <c r="D2410" s="1971"/>
      <c r="E2410" s="1874"/>
      <c r="F2410" s="1875"/>
      <c r="G2410" s="1875"/>
      <c r="H2410" s="1800"/>
      <c r="I2410" s="1800"/>
      <c r="J2410" s="1801"/>
    </row>
    <row r="2411" spans="1:10" ht="15.75" customHeight="1">
      <c r="A2411" s="1780"/>
      <c r="B2411" s="1739" t="s">
        <v>1004</v>
      </c>
      <c r="C2411" s="1877" t="s">
        <v>2067</v>
      </c>
      <c r="D2411" s="390"/>
      <c r="E2411" s="413"/>
      <c r="F2411" s="320"/>
      <c r="G2411" s="320"/>
      <c r="H2411" s="1802"/>
      <c r="I2411" s="1802"/>
      <c r="J2411" s="1803"/>
    </row>
    <row r="2412" spans="1:10" ht="15.75" customHeight="1">
      <c r="A2412" s="1780"/>
      <c r="B2412" s="1739"/>
      <c r="C2412" s="1878" t="s">
        <v>2646</v>
      </c>
      <c r="D2412" s="1781">
        <v>1</v>
      </c>
      <c r="E2412" s="413" t="s">
        <v>360</v>
      </c>
      <c r="F2412" s="1747">
        <v>532088.67000000004</v>
      </c>
      <c r="G2412" s="361">
        <f>F2412*D2412</f>
        <v>532088.67000000004</v>
      </c>
      <c r="H2412" s="1749">
        <v>1</v>
      </c>
      <c r="I2412" s="1749">
        <f>(G2412/G$2419)*H2412</f>
        <v>5.2431104726522244E-2</v>
      </c>
      <c r="J2412" s="1750"/>
    </row>
    <row r="2413" spans="1:10" ht="15.75" customHeight="1">
      <c r="A2413" s="1780"/>
      <c r="B2413" s="1739"/>
      <c r="C2413" s="1889" t="s">
        <v>2108</v>
      </c>
      <c r="D2413" s="1781"/>
      <c r="E2413" s="413"/>
      <c r="F2413" s="320"/>
      <c r="G2413" s="361">
        <f>SUM(G2412:G2412)</f>
        <v>532088.67000000004</v>
      </c>
      <c r="H2413" s="1749"/>
      <c r="I2413" s="1994">
        <f>SUM(I2412:I2412)</f>
        <v>5.2431104726522244E-2</v>
      </c>
      <c r="J2413" s="1750"/>
    </row>
    <row r="2414" spans="1:10" ht="15.75" customHeight="1">
      <c r="A2414" s="1780"/>
      <c r="B2414" s="1739" t="s">
        <v>1015</v>
      </c>
      <c r="C2414" s="1877" t="s">
        <v>2075</v>
      </c>
      <c r="D2414" s="1781"/>
      <c r="E2414" s="413"/>
      <c r="F2414" s="320"/>
      <c r="G2414" s="320"/>
      <c r="H2414" s="1749"/>
      <c r="I2414" s="1994"/>
      <c r="J2414" s="1750"/>
    </row>
    <row r="2415" spans="1:10" ht="15.75" customHeight="1">
      <c r="A2415" s="1780"/>
      <c r="B2415" s="1739"/>
      <c r="C2415" s="2056" t="s">
        <v>2757</v>
      </c>
      <c r="D2415" s="1781">
        <v>1</v>
      </c>
      <c r="E2415" s="413" t="s">
        <v>360</v>
      </c>
      <c r="F2415" s="1747">
        <f>'Bahan &amp; Upah'!C121</f>
        <v>9616251.1899999995</v>
      </c>
      <c r="G2415" s="361">
        <f>F2415*D2415</f>
        <v>9616251.1899999995</v>
      </c>
      <c r="H2415" s="1749">
        <v>0.3034</v>
      </c>
      <c r="I2415" s="1749">
        <f>(G2415/G$2419)*H2415</f>
        <v>0.28749240282597316</v>
      </c>
      <c r="J2415" s="1750"/>
    </row>
    <row r="2416" spans="1:10" ht="15.75" customHeight="1">
      <c r="A2416" s="1780"/>
      <c r="B2416" s="1784"/>
      <c r="C2416" s="1878"/>
      <c r="D2416" s="1781"/>
      <c r="E2416" s="413"/>
      <c r="F2416" s="1883"/>
      <c r="G2416" s="361">
        <f>SUM(G2415:G2415)</f>
        <v>9616251.1899999995</v>
      </c>
      <c r="H2416" s="1749"/>
      <c r="I2416" s="1994">
        <f>SUM(I2415:I2415)</f>
        <v>0.28749240282597316</v>
      </c>
      <c r="J2416" s="1750"/>
    </row>
    <row r="2417" spans="1:10" ht="15.75" customHeight="1">
      <c r="A2417" s="1780"/>
      <c r="B2417" s="1739" t="s">
        <v>1048</v>
      </c>
      <c r="C2417" s="1877" t="s">
        <v>2246</v>
      </c>
      <c r="D2417" s="1756"/>
      <c r="E2417" s="333"/>
      <c r="F2417" s="1883"/>
      <c r="G2417" s="332"/>
      <c r="H2417" s="1749"/>
      <c r="I2417" s="1749"/>
      <c r="J2417" s="1750"/>
    </row>
    <row r="2418" spans="1:10" ht="15.75" customHeight="1">
      <c r="A2418" s="1780"/>
      <c r="B2418" s="1909"/>
      <c r="C2418" s="1878"/>
      <c r="D2418" s="1756"/>
      <c r="E2418" s="333"/>
      <c r="F2418" s="328"/>
      <c r="G2418" s="361">
        <v>0</v>
      </c>
      <c r="H2418" s="1749"/>
      <c r="I2418" s="1749"/>
      <c r="J2418" s="1750"/>
    </row>
    <row r="2419" spans="1:10" ht="15.75" customHeight="1">
      <c r="A2419" s="1780"/>
      <c r="B2419" s="1784"/>
      <c r="C2419" s="1804" t="s">
        <v>2242</v>
      </c>
      <c r="D2419" s="1763"/>
      <c r="E2419" s="1764"/>
      <c r="F2419" s="1765"/>
      <c r="G2419" s="1765">
        <f>G2413+G2416+G2418</f>
        <v>10148339.859999999</v>
      </c>
      <c r="H2419" s="1749"/>
      <c r="I2419" s="1766">
        <f>I2413+I2416+I2418</f>
        <v>0.3399235075524954</v>
      </c>
      <c r="J2419" s="1750"/>
    </row>
    <row r="2420" spans="1:10" ht="15.75" customHeight="1">
      <c r="A2420" s="1780"/>
      <c r="B2420" s="1784"/>
      <c r="C2420" s="1762" t="s">
        <v>2094</v>
      </c>
      <c r="D2420" s="1767">
        <f>M$4</f>
        <v>0.15</v>
      </c>
      <c r="E2420" s="1768"/>
      <c r="F2420" s="1765"/>
      <c r="G2420" s="1765">
        <f>G2419*D2420</f>
        <v>1522250.9789999998</v>
      </c>
      <c r="H2420" s="1749"/>
      <c r="I2420" s="1749"/>
      <c r="J2420" s="1750"/>
    </row>
    <row r="2421" spans="1:10" ht="15.75" customHeight="1">
      <c r="A2421" s="1786"/>
      <c r="B2421" s="1890"/>
      <c r="C2421" s="1788" t="s">
        <v>2111</v>
      </c>
      <c r="D2421" s="1772"/>
      <c r="E2421" s="1773"/>
      <c r="F2421" s="1774"/>
      <c r="G2421" s="1775">
        <f>ROUNDUP((G2419+G2420),2)</f>
        <v>11670590.84</v>
      </c>
      <c r="H2421" s="1937"/>
      <c r="I2421" s="1937"/>
      <c r="J2421" s="1938"/>
    </row>
    <row r="2422" spans="1:10" ht="15.75" customHeight="1">
      <c r="A2422" s="1733"/>
      <c r="B2422" s="1733"/>
      <c r="C2422" s="1733"/>
      <c r="D2422" s="1733"/>
      <c r="E2422" s="1733"/>
      <c r="F2422" s="1733"/>
      <c r="G2422" s="1733"/>
      <c r="H2422" s="1733"/>
      <c r="I2422" s="1733"/>
      <c r="J2422" s="1733"/>
    </row>
    <row r="2423" spans="1:10" ht="15.75" customHeight="1">
      <c r="A2423" s="1778">
        <f>A2410+1</f>
        <v>126</v>
      </c>
      <c r="B2423" s="1805" t="s">
        <v>2758</v>
      </c>
      <c r="C2423" s="1872" t="s">
        <v>2759</v>
      </c>
      <c r="D2423" s="1971"/>
      <c r="E2423" s="1874"/>
      <c r="F2423" s="1875"/>
      <c r="G2423" s="1875"/>
      <c r="H2423" s="1800"/>
      <c r="I2423" s="1800"/>
      <c r="J2423" s="1801"/>
    </row>
    <row r="2424" spans="1:10" ht="15.75" customHeight="1">
      <c r="A2424" s="1780"/>
      <c r="B2424" s="1739" t="s">
        <v>1004</v>
      </c>
      <c r="C2424" s="1877" t="s">
        <v>2067</v>
      </c>
      <c r="D2424" s="390"/>
      <c r="E2424" s="413"/>
      <c r="F2424" s="320"/>
      <c r="G2424" s="320"/>
      <c r="H2424" s="1802"/>
      <c r="I2424" s="1802"/>
      <c r="J2424" s="1803"/>
    </row>
    <row r="2425" spans="1:10" ht="15.75" customHeight="1">
      <c r="A2425" s="1780"/>
      <c r="B2425" s="1739"/>
      <c r="C2425" s="1878" t="s">
        <v>2646</v>
      </c>
      <c r="D2425" s="1781">
        <v>1</v>
      </c>
      <c r="E2425" s="413" t="s">
        <v>360</v>
      </c>
      <c r="F2425" s="1747">
        <v>307944.14</v>
      </c>
      <c r="G2425" s="361">
        <f>F2425*D2425</f>
        <v>307944.14</v>
      </c>
      <c r="H2425" s="1749">
        <v>1</v>
      </c>
      <c r="I2425" s="1752">
        <f>(G2425/G$2432)*H2425</f>
        <v>8.7200384100153377E-2</v>
      </c>
      <c r="J2425" s="1750"/>
    </row>
    <row r="2426" spans="1:10" ht="15.75" customHeight="1">
      <c r="A2426" s="1780"/>
      <c r="B2426" s="1739"/>
      <c r="C2426" s="1889" t="s">
        <v>2108</v>
      </c>
      <c r="D2426" s="1781"/>
      <c r="E2426" s="413"/>
      <c r="F2426" s="320"/>
      <c r="G2426" s="361">
        <f>SUM(G2425:G2425)</f>
        <v>307944.14</v>
      </c>
      <c r="H2426" s="1749"/>
      <c r="I2426" s="1994">
        <f>SUM(I2425:I2425)</f>
        <v>8.7200384100153377E-2</v>
      </c>
      <c r="J2426" s="1750"/>
    </row>
    <row r="2427" spans="1:10" ht="15.75" customHeight="1">
      <c r="A2427" s="1780"/>
      <c r="B2427" s="1739" t="s">
        <v>1015</v>
      </c>
      <c r="C2427" s="1877" t="s">
        <v>2075</v>
      </c>
      <c r="D2427" s="1781"/>
      <c r="E2427" s="413"/>
      <c r="F2427" s="320"/>
      <c r="G2427" s="320"/>
      <c r="H2427" s="1749"/>
      <c r="I2427" s="1994"/>
      <c r="J2427" s="1750"/>
    </row>
    <row r="2428" spans="1:10" ht="15.75" customHeight="1">
      <c r="A2428" s="1780"/>
      <c r="B2428" s="1739"/>
      <c r="C2428" s="1878" t="s">
        <v>2760</v>
      </c>
      <c r="D2428" s="1781">
        <v>1</v>
      </c>
      <c r="E2428" s="413" t="s">
        <v>124</v>
      </c>
      <c r="F2428" s="1747">
        <f>'Bahan &amp; Upah'!C122</f>
        <v>3223509.8</v>
      </c>
      <c r="G2428" s="1794">
        <f>F2428*D2428</f>
        <v>3223509.8</v>
      </c>
      <c r="H2428" s="1749">
        <v>0.3034</v>
      </c>
      <c r="I2428" s="1752">
        <f>(G2428/G$2432)*H2428</f>
        <v>0.27694340346401347</v>
      </c>
      <c r="J2428" s="1750"/>
    </row>
    <row r="2429" spans="1:10" ht="15.75" customHeight="1">
      <c r="A2429" s="1780"/>
      <c r="B2429" s="1784"/>
      <c r="C2429" s="1878"/>
      <c r="D2429" s="1781"/>
      <c r="E2429" s="413"/>
      <c r="F2429" s="1883"/>
      <c r="G2429" s="361">
        <f>SUM(G2428:G2428)</f>
        <v>3223509.8</v>
      </c>
      <c r="H2429" s="1749"/>
      <c r="I2429" s="1994">
        <f>SUM(I2428:I2428)</f>
        <v>0.27694340346401347</v>
      </c>
      <c r="J2429" s="1750"/>
    </row>
    <row r="2430" spans="1:10" ht="15.75" customHeight="1">
      <c r="A2430" s="1780"/>
      <c r="B2430" s="1739" t="s">
        <v>1048</v>
      </c>
      <c r="C2430" s="1877" t="s">
        <v>2246</v>
      </c>
      <c r="D2430" s="1756"/>
      <c r="E2430" s="333"/>
      <c r="F2430" s="1883"/>
      <c r="G2430" s="332"/>
      <c r="H2430" s="1749"/>
      <c r="I2430" s="1749"/>
      <c r="J2430" s="1750"/>
    </row>
    <row r="2431" spans="1:10" ht="15.75" customHeight="1">
      <c r="A2431" s="1780"/>
      <c r="B2431" s="1909"/>
      <c r="C2431" s="1878"/>
      <c r="D2431" s="1756"/>
      <c r="E2431" s="333"/>
      <c r="F2431" s="328"/>
      <c r="G2431" s="361">
        <v>0</v>
      </c>
      <c r="H2431" s="1749"/>
      <c r="I2431" s="1749"/>
      <c r="J2431" s="1750"/>
    </row>
    <row r="2432" spans="1:10" ht="15.75" customHeight="1">
      <c r="A2432" s="1780"/>
      <c r="B2432" s="1784"/>
      <c r="C2432" s="1804" t="s">
        <v>2242</v>
      </c>
      <c r="D2432" s="1763"/>
      <c r="E2432" s="1764"/>
      <c r="F2432" s="1765"/>
      <c r="G2432" s="1765">
        <f>G2426+G2429+G2431</f>
        <v>3531453.94</v>
      </c>
      <c r="H2432" s="1749"/>
      <c r="I2432" s="1766">
        <f>I2426+I2429+I2431</f>
        <v>0.36414378756416688</v>
      </c>
      <c r="J2432" s="1750"/>
    </row>
    <row r="2433" spans="1:13" ht="15.75" customHeight="1">
      <c r="A2433" s="1780"/>
      <c r="B2433" s="1784"/>
      <c r="C2433" s="1762" t="s">
        <v>2094</v>
      </c>
      <c r="D2433" s="1767">
        <f>M$4</f>
        <v>0.15</v>
      </c>
      <c r="E2433" s="1768"/>
      <c r="F2433" s="1765"/>
      <c r="G2433" s="1765">
        <f>G2432*D2433</f>
        <v>529718.09100000001</v>
      </c>
      <c r="H2433" s="1749"/>
      <c r="I2433" s="1749"/>
      <c r="J2433" s="1750"/>
      <c r="L2433" s="2057"/>
    </row>
    <row r="2434" spans="1:13" ht="15.75" customHeight="1">
      <c r="A2434" s="1786"/>
      <c r="B2434" s="1890"/>
      <c r="C2434" s="1788" t="s">
        <v>2111</v>
      </c>
      <c r="D2434" s="1772"/>
      <c r="E2434" s="1773"/>
      <c r="F2434" s="1774"/>
      <c r="G2434" s="1775">
        <f>ROUNDUP((G2432+G2433),2)</f>
        <v>4061172.0399999996</v>
      </c>
      <c r="H2434" s="1937"/>
      <c r="I2434" s="1937"/>
      <c r="J2434" s="1938"/>
    </row>
    <row r="2435" spans="1:13" ht="15.75" customHeight="1">
      <c r="A2435" s="1733"/>
      <c r="B2435" s="1733"/>
      <c r="C2435" s="1733"/>
      <c r="D2435" s="1733"/>
      <c r="E2435" s="1733"/>
      <c r="F2435" s="1733"/>
      <c r="G2435" s="1733"/>
      <c r="H2435" s="1733"/>
      <c r="I2435" s="1733"/>
      <c r="J2435" s="1733"/>
    </row>
    <row r="2436" spans="1:13" ht="30" customHeight="1">
      <c r="A2436" s="1778">
        <f>A2423+1</f>
        <v>127</v>
      </c>
      <c r="B2436" s="1871" t="s">
        <v>2147</v>
      </c>
      <c r="C2436" s="1872" t="s">
        <v>2761</v>
      </c>
      <c r="D2436" s="1971"/>
      <c r="E2436" s="1874"/>
      <c r="F2436" s="1875"/>
      <c r="G2436" s="1875"/>
      <c r="H2436" s="1800"/>
      <c r="I2436" s="1800"/>
      <c r="J2436" s="1801"/>
    </row>
    <row r="2437" spans="1:13" ht="15.75" customHeight="1">
      <c r="A2437" s="1780"/>
      <c r="B2437" s="1739" t="s">
        <v>1004</v>
      </c>
      <c r="C2437" s="1877" t="s">
        <v>2067</v>
      </c>
      <c r="D2437" s="390"/>
      <c r="E2437" s="413"/>
      <c r="F2437" s="320"/>
      <c r="G2437" s="320"/>
      <c r="H2437" s="1802"/>
      <c r="I2437" s="1802"/>
      <c r="J2437" s="1803"/>
    </row>
    <row r="2438" spans="1:13" ht="15.75" customHeight="1">
      <c r="A2438" s="1780"/>
      <c r="B2438" s="1739"/>
      <c r="C2438" s="1878" t="s">
        <v>2492</v>
      </c>
      <c r="D2438" s="1781">
        <v>1</v>
      </c>
      <c r="E2438" s="413" t="s">
        <v>89</v>
      </c>
      <c r="F2438" s="1883">
        <f>'Bahan &amp; Upah'!C350</f>
        <v>42276.93</v>
      </c>
      <c r="G2438" s="1785">
        <f>F2438*D2438</f>
        <v>42276.93</v>
      </c>
      <c r="H2438" s="1749">
        <v>1</v>
      </c>
      <c r="I2438" s="1752">
        <f>(G2438/G$2446)*H2438</f>
        <v>0.11044947813545349</v>
      </c>
      <c r="J2438" s="1750"/>
    </row>
    <row r="2439" spans="1:13" ht="15.75" customHeight="1">
      <c r="A2439" s="1780"/>
      <c r="B2439" s="1739"/>
      <c r="C2439" s="1889" t="s">
        <v>2108</v>
      </c>
      <c r="D2439" s="1781"/>
      <c r="E2439" s="413"/>
      <c r="F2439" s="1883"/>
      <c r="G2439" s="361">
        <f>SUM(G2438:G2438)</f>
        <v>42276.93</v>
      </c>
      <c r="H2439" s="1749"/>
      <c r="I2439" s="1994">
        <f>SUM(I2438:I2438)</f>
        <v>0.11044947813545349</v>
      </c>
      <c r="J2439" s="1750"/>
      <c r="M2439">
        <f>2.4*1.2</f>
        <v>2.88</v>
      </c>
    </row>
    <row r="2440" spans="1:13" ht="15.75" customHeight="1">
      <c r="A2440" s="1780"/>
      <c r="B2440" s="1739" t="s">
        <v>1015</v>
      </c>
      <c r="C2440" s="1877" t="s">
        <v>2075</v>
      </c>
      <c r="D2440" s="1781"/>
      <c r="E2440" s="413"/>
      <c r="F2440" s="1883"/>
      <c r="G2440" s="320"/>
      <c r="H2440" s="1749"/>
      <c r="I2440" s="1994"/>
      <c r="J2440" s="1750"/>
    </row>
    <row r="2441" spans="1:13" ht="15.75" customHeight="1">
      <c r="A2441" s="1780"/>
      <c r="B2441" s="1739"/>
      <c r="C2441" s="1878" t="s">
        <v>2762</v>
      </c>
      <c r="D2441" s="1820">
        <f>(1/(1.2*2.4))*1.5</f>
        <v>0.52083333333333326</v>
      </c>
      <c r="E2441" s="413" t="s">
        <v>124</v>
      </c>
      <c r="F2441" s="1883">
        <f>'Bahan &amp; Upah'!C85</f>
        <v>229910.82</v>
      </c>
      <c r="G2441" s="361">
        <f>F2441*D2441</f>
        <v>119745.21874999999</v>
      </c>
      <c r="H2441" s="1749">
        <v>0.27879999999999999</v>
      </c>
      <c r="I2441" s="1749">
        <f>(G2441/G$2446)*H2441</f>
        <v>8.7219014751986901E-2</v>
      </c>
      <c r="J2441" s="1750"/>
    </row>
    <row r="2442" spans="1:13" ht="15.75" customHeight="1">
      <c r="A2442" s="1780"/>
      <c r="B2442" s="1739"/>
      <c r="C2442" s="1878" t="s">
        <v>2763</v>
      </c>
      <c r="D2442" s="1820">
        <f>1/(1.2*2.4)</f>
        <v>0.34722222222222221</v>
      </c>
      <c r="E2442" s="413" t="s">
        <v>2086</v>
      </c>
      <c r="F2442" s="1883">
        <f>'Bahan &amp; Upah'!C86</f>
        <v>635758.59</v>
      </c>
      <c r="G2442" s="1969">
        <f>F2442*D2442</f>
        <v>220749.51041666666</v>
      </c>
      <c r="H2442" s="1749">
        <v>0.27879999999999999</v>
      </c>
      <c r="I2442" s="1752">
        <f>(G2442/G$2446)*H2442</f>
        <v>0.1607876707438487</v>
      </c>
      <c r="J2442" s="1750"/>
      <c r="L2442">
        <f>1/(1.2*2.4)</f>
        <v>0.34722222222222221</v>
      </c>
    </row>
    <row r="2443" spans="1:13" ht="15.75" customHeight="1">
      <c r="A2443" s="1780"/>
      <c r="B2443" s="1784"/>
      <c r="C2443" s="1878"/>
      <c r="D2443" s="1781"/>
      <c r="E2443" s="413"/>
      <c r="F2443" s="1883"/>
      <c r="G2443" s="361">
        <f>SUM(G2441:G2442)</f>
        <v>340494.72916666663</v>
      </c>
      <c r="H2443" s="1749"/>
      <c r="I2443" s="1994">
        <f>SUM(I2441:I2442)</f>
        <v>0.2480066854958356</v>
      </c>
      <c r="J2443" s="1750"/>
    </row>
    <row r="2444" spans="1:13" ht="15.75" customHeight="1">
      <c r="A2444" s="1780"/>
      <c r="B2444" s="1739" t="s">
        <v>1048</v>
      </c>
      <c r="C2444" s="1877" t="s">
        <v>2246</v>
      </c>
      <c r="D2444" s="1756"/>
      <c r="E2444" s="333"/>
      <c r="F2444" s="1883"/>
      <c r="G2444" s="332"/>
      <c r="H2444" s="1749"/>
      <c r="I2444" s="1749"/>
      <c r="J2444" s="1750"/>
    </row>
    <row r="2445" spans="1:13" ht="15.75" customHeight="1">
      <c r="A2445" s="1780"/>
      <c r="B2445" s="1909"/>
      <c r="C2445" s="1878"/>
      <c r="D2445" s="1756"/>
      <c r="E2445" s="333"/>
      <c r="F2445" s="328"/>
      <c r="G2445" s="361">
        <v>0</v>
      </c>
      <c r="H2445" s="1749"/>
      <c r="I2445" s="1749"/>
      <c r="J2445" s="1750"/>
    </row>
    <row r="2446" spans="1:13" ht="15.75" customHeight="1">
      <c r="A2446" s="1780"/>
      <c r="B2446" s="1784"/>
      <c r="C2446" s="1804" t="s">
        <v>2242</v>
      </c>
      <c r="D2446" s="1763"/>
      <c r="E2446" s="1764"/>
      <c r="F2446" s="1765"/>
      <c r="G2446" s="1765">
        <f>G2439+G2443+G2445</f>
        <v>382771.65916666662</v>
      </c>
      <c r="H2446" s="1749"/>
      <c r="I2446" s="1766">
        <f>I2439+I2443+I2445</f>
        <v>0.35845616363128907</v>
      </c>
      <c r="J2446" s="1750"/>
    </row>
    <row r="2447" spans="1:13" ht="15.75" customHeight="1">
      <c r="A2447" s="1780"/>
      <c r="B2447" s="1784"/>
      <c r="C2447" s="1762" t="s">
        <v>2094</v>
      </c>
      <c r="D2447" s="1767">
        <f>M$4</f>
        <v>0.15</v>
      </c>
      <c r="E2447" s="1768"/>
      <c r="F2447" s="1765"/>
      <c r="G2447" s="1765">
        <f>G2446*D2447</f>
        <v>57415.74887499999</v>
      </c>
      <c r="H2447" s="1749"/>
      <c r="I2447" s="1749"/>
      <c r="J2447" s="1750"/>
    </row>
    <row r="2448" spans="1:13" ht="15.75" customHeight="1">
      <c r="A2448" s="1786"/>
      <c r="B2448" s="1890"/>
      <c r="C2448" s="1788" t="s">
        <v>2111</v>
      </c>
      <c r="D2448" s="1772"/>
      <c r="E2448" s="1773"/>
      <c r="F2448" s="1774"/>
      <c r="G2448" s="1775">
        <f>ROUNDUP((G2446+G2447),2)</f>
        <v>440187.41000000003</v>
      </c>
      <c r="H2448" s="1937"/>
      <c r="I2448" s="1937"/>
      <c r="J2448" s="1938"/>
    </row>
    <row r="2449" spans="1:12" ht="15.75" customHeight="1">
      <c r="A2449" s="1733"/>
      <c r="B2449" s="1733"/>
      <c r="C2449" s="1733"/>
      <c r="D2449" s="1733"/>
      <c r="E2449" s="1733"/>
      <c r="F2449" s="1733"/>
      <c r="G2449" s="1733"/>
      <c r="H2449" s="1733"/>
      <c r="I2449" s="1733"/>
      <c r="J2449" s="1733"/>
    </row>
    <row r="2450" spans="1:12" ht="15.75" customHeight="1">
      <c r="A2450" s="1778">
        <f>A2436+1</f>
        <v>128</v>
      </c>
      <c r="B2450" s="1805" t="s">
        <v>2764</v>
      </c>
      <c r="C2450" s="1872" t="s">
        <v>2765</v>
      </c>
      <c r="D2450" s="1873"/>
      <c r="E2450" s="1874"/>
      <c r="F2450" s="1875"/>
      <c r="G2450" s="1875"/>
      <c r="H2450" s="1800"/>
      <c r="I2450" s="1800"/>
      <c r="J2450" s="1801"/>
    </row>
    <row r="2451" spans="1:12" ht="15.75" customHeight="1">
      <c r="A2451" s="1780"/>
      <c r="B2451" s="1739" t="s">
        <v>1004</v>
      </c>
      <c r="C2451" s="1877" t="s">
        <v>2067</v>
      </c>
      <c r="D2451" s="390"/>
      <c r="E2451" s="413"/>
      <c r="F2451" s="320"/>
      <c r="G2451" s="320"/>
      <c r="H2451" s="1802"/>
      <c r="I2451" s="1802"/>
      <c r="J2451" s="1803"/>
    </row>
    <row r="2452" spans="1:12" ht="15.75" customHeight="1">
      <c r="A2452" s="1780"/>
      <c r="B2452" s="1739"/>
      <c r="C2452" s="1878" t="s">
        <v>2103</v>
      </c>
      <c r="D2452" s="1781">
        <v>0.19</v>
      </c>
      <c r="E2452" s="413" t="s">
        <v>2069</v>
      </c>
      <c r="F2452" s="1747">
        <f>'Bahan &amp; Upah'!C$336</f>
        <v>96332.65</v>
      </c>
      <c r="G2452" s="332">
        <f>F2452*D2452</f>
        <v>18303.2035</v>
      </c>
      <c r="H2452" s="1980">
        <v>1</v>
      </c>
      <c r="I2452" s="1980">
        <f>(G2452/G$2469)*H2452</f>
        <v>4.3883137563296482E-2</v>
      </c>
      <c r="J2452" s="1803"/>
    </row>
    <row r="2453" spans="1:12" ht="15.75" customHeight="1">
      <c r="A2453" s="1780"/>
      <c r="B2453" s="1739"/>
      <c r="C2453" s="1878" t="s">
        <v>2766</v>
      </c>
      <c r="D2453" s="1781">
        <v>0.318</v>
      </c>
      <c r="E2453" s="413" t="s">
        <v>2069</v>
      </c>
      <c r="F2453" s="1883">
        <f>'Bahan &amp; Upah'!C$337</f>
        <v>114133.55</v>
      </c>
      <c r="G2453" s="332">
        <f>F2453*D2453</f>
        <v>36294.4689</v>
      </c>
      <c r="H2453" s="1980">
        <v>1</v>
      </c>
      <c r="I2453" s="1980">
        <f>(G2453/G$2469)*H2453</f>
        <v>8.7018382958233845E-2</v>
      </c>
      <c r="J2453" s="1803"/>
    </row>
    <row r="2454" spans="1:12" ht="15.75" customHeight="1">
      <c r="A2454" s="1780"/>
      <c r="B2454" s="1739"/>
      <c r="C2454" s="1878" t="s">
        <v>2105</v>
      </c>
      <c r="D2454" s="1781">
        <v>3.2000000000000001E-2</v>
      </c>
      <c r="E2454" s="413" t="s">
        <v>2069</v>
      </c>
      <c r="F2454" s="1748">
        <f>'Bahan &amp; Upah'!C$338</f>
        <v>125485.75</v>
      </c>
      <c r="G2454" s="332">
        <f>F2454*D2454</f>
        <v>4015.5439999999999</v>
      </c>
      <c r="H2454" s="1980">
        <v>1</v>
      </c>
      <c r="I2454" s="1980">
        <f>(G2454/G$2469)*H2454</f>
        <v>9.6275315817512391E-3</v>
      </c>
      <c r="J2454" s="1803"/>
    </row>
    <row r="2455" spans="1:12" ht="15.75" customHeight="1">
      <c r="A2455" s="1780"/>
      <c r="B2455" s="1739"/>
      <c r="C2455" s="1878" t="s">
        <v>2107</v>
      </c>
      <c r="D2455" s="1781">
        <v>1.0999999999999999E-2</v>
      </c>
      <c r="E2455" s="413" t="s">
        <v>2069</v>
      </c>
      <c r="F2455" s="1883">
        <f>'Bahan &amp; Upah'!C$339</f>
        <v>102689.88</v>
      </c>
      <c r="G2455" s="1785">
        <f>F2455*D2455</f>
        <v>1129.5886800000001</v>
      </c>
      <c r="H2455" s="1980">
        <v>1</v>
      </c>
      <c r="I2455" s="1982">
        <f>(G2455/G$2469)*H2455</f>
        <v>2.708263361349968E-3</v>
      </c>
      <c r="J2455" s="1981"/>
    </row>
    <row r="2456" spans="1:12" ht="15.75" customHeight="1">
      <c r="A2456" s="1780"/>
      <c r="B2456" s="1739"/>
      <c r="C2456" s="1889" t="s">
        <v>2108</v>
      </c>
      <c r="D2456" s="1841"/>
      <c r="E2456" s="413"/>
      <c r="F2456" s="320"/>
      <c r="G2456" s="361">
        <f>SUM(G2452:G2455)</f>
        <v>59742.805079999998</v>
      </c>
      <c r="H2456" s="1980"/>
      <c r="I2456" s="1983">
        <f>SUM(I2452:I2455)</f>
        <v>0.1432373154646315</v>
      </c>
      <c r="J2456" s="1981"/>
    </row>
    <row r="2457" spans="1:12" ht="15.75" customHeight="1">
      <c r="A2457" s="1780"/>
      <c r="B2457" s="1739" t="s">
        <v>1015</v>
      </c>
      <c r="C2457" s="1877" t="s">
        <v>2075</v>
      </c>
      <c r="D2457" s="1841"/>
      <c r="E2457" s="413"/>
      <c r="F2457" s="320"/>
      <c r="G2457" s="320"/>
      <c r="H2457" s="1980"/>
      <c r="I2457" s="1980"/>
      <c r="J2457" s="1981"/>
    </row>
    <row r="2458" spans="1:12" ht="15.75" customHeight="1">
      <c r="A2458" s="1780"/>
      <c r="B2458" s="1739"/>
      <c r="C2458" s="1878" t="s">
        <v>2767</v>
      </c>
      <c r="D2458" s="1841">
        <v>8.8000000000000007</v>
      </c>
      <c r="E2458" s="413" t="s">
        <v>10</v>
      </c>
      <c r="F2458" s="1883">
        <f>'Bahan &amp; Upah'!C$225</f>
        <v>15056.68</v>
      </c>
      <c r="G2458" s="332">
        <f t="shared" ref="G2458:G2467" si="7">F2458*D2458</f>
        <v>132498.78400000001</v>
      </c>
      <c r="H2458" s="1980">
        <v>0.95379999999999998</v>
      </c>
      <c r="I2458" s="1980">
        <f t="shared" ref="I2458:I2467" si="8">(G2458/G$2469)*H2458</f>
        <v>0.30299800818842176</v>
      </c>
      <c r="J2458" s="1981"/>
    </row>
    <row r="2459" spans="1:12" ht="15.75" customHeight="1">
      <c r="A2459" s="1780"/>
      <c r="B2459" s="1784"/>
      <c r="C2459" s="1878" t="s">
        <v>2768</v>
      </c>
      <c r="D2459" s="1841">
        <v>8.8000000000000007</v>
      </c>
      <c r="E2459" s="413" t="s">
        <v>10</v>
      </c>
      <c r="F2459" s="1883">
        <f>'Bahan &amp; Upah'!C$224/4</f>
        <v>7597.8050000000003</v>
      </c>
      <c r="G2459" s="332">
        <f t="shared" si="7"/>
        <v>66860.684000000008</v>
      </c>
      <c r="H2459" s="1980">
        <v>0.91420000000000001</v>
      </c>
      <c r="I2459" s="1980">
        <f t="shared" si="8"/>
        <v>0.14654891084075364</v>
      </c>
      <c r="J2459" s="1981"/>
    </row>
    <row r="2460" spans="1:12" ht="15.75" customHeight="1">
      <c r="A2460" s="1780"/>
      <c r="B2460" s="1784"/>
      <c r="C2460" s="1878" t="s">
        <v>2769</v>
      </c>
      <c r="D2460" s="1841">
        <v>1</v>
      </c>
      <c r="E2460" s="413" t="s">
        <v>124</v>
      </c>
      <c r="F2460" s="1883">
        <f>'Bahan &amp; Upah'!C$240</f>
        <v>3415.12</v>
      </c>
      <c r="G2460" s="332">
        <f t="shared" si="7"/>
        <v>3415.12</v>
      </c>
      <c r="H2460" s="1980">
        <v>0.7772</v>
      </c>
      <c r="I2460" s="1980">
        <f t="shared" si="8"/>
        <v>6.3636945129804346E-3</v>
      </c>
      <c r="J2460" s="1981"/>
    </row>
    <row r="2461" spans="1:12" ht="15.75" customHeight="1">
      <c r="A2461" s="1780"/>
      <c r="B2461" s="1784"/>
      <c r="C2461" s="1878" t="s">
        <v>2770</v>
      </c>
      <c r="D2461" s="1841">
        <v>5</v>
      </c>
      <c r="E2461" s="413" t="s">
        <v>124</v>
      </c>
      <c r="F2461" s="1883">
        <f>'Bahan &amp; Upah'!C$241</f>
        <v>1085.1400000000001</v>
      </c>
      <c r="G2461" s="332">
        <f t="shared" si="7"/>
        <v>5425.7000000000007</v>
      </c>
      <c r="H2461" s="1980">
        <v>0.89190000000000003</v>
      </c>
      <c r="I2461" s="1980">
        <f t="shared" si="8"/>
        <v>1.1602257601501008E-2</v>
      </c>
      <c r="J2461" s="1981"/>
      <c r="L2461" s="2022" t="s">
        <v>2771</v>
      </c>
    </row>
    <row r="2462" spans="1:12" ht="15.75" customHeight="1">
      <c r="A2462" s="1780"/>
      <c r="B2462" s="1784"/>
      <c r="C2462" s="1878" t="s">
        <v>2772</v>
      </c>
      <c r="D2462" s="1841">
        <v>10</v>
      </c>
      <c r="E2462" s="413" t="s">
        <v>124</v>
      </c>
      <c r="F2462" s="1883">
        <f>'Bahan &amp; Upah'!C$244</f>
        <v>12546.27</v>
      </c>
      <c r="G2462" s="332">
        <f t="shared" si="7"/>
        <v>125462.70000000001</v>
      </c>
      <c r="H2462" s="1980">
        <v>0.91420000000000001</v>
      </c>
      <c r="I2462" s="1980">
        <f t="shared" si="8"/>
        <v>0.27499602062312462</v>
      </c>
      <c r="J2462" s="1981"/>
    </row>
    <row r="2463" spans="1:12" ht="15.75" customHeight="1">
      <c r="A2463" s="1780"/>
      <c r="B2463" s="1784"/>
      <c r="C2463" s="1878" t="s">
        <v>2773</v>
      </c>
      <c r="D2463" s="1841">
        <v>15</v>
      </c>
      <c r="E2463" s="413" t="s">
        <v>124</v>
      </c>
      <c r="F2463" s="1883">
        <f>'Bahan &amp; Upah'!C$245</f>
        <v>319.48</v>
      </c>
      <c r="G2463" s="332">
        <f t="shared" si="7"/>
        <v>4792.2000000000007</v>
      </c>
      <c r="H2463" s="1980">
        <v>0.13650000000000001</v>
      </c>
      <c r="I2463" s="1980">
        <f t="shared" si="8"/>
        <v>1.5683325246811698E-3</v>
      </c>
      <c r="J2463" s="1981"/>
      <c r="L2463" s="2022" t="s">
        <v>2774</v>
      </c>
    </row>
    <row r="2464" spans="1:12" ht="15.75" customHeight="1">
      <c r="A2464" s="1780"/>
      <c r="B2464" s="1784"/>
      <c r="C2464" s="1878" t="s">
        <v>2775</v>
      </c>
      <c r="D2464" s="1841">
        <v>1</v>
      </c>
      <c r="E2464" s="413" t="s">
        <v>10</v>
      </c>
      <c r="F2464" s="1883">
        <f>'Bahan &amp; Upah'!C$246</f>
        <v>3951.86</v>
      </c>
      <c r="G2464" s="332">
        <f t="shared" si="7"/>
        <v>3951.86</v>
      </c>
      <c r="H2464" s="1980">
        <v>0.55630000000000002</v>
      </c>
      <c r="I2464" s="1980">
        <f t="shared" si="8"/>
        <v>5.2708562687869076E-3</v>
      </c>
      <c r="J2464" s="1981"/>
      <c r="L2464" s="2022" t="s">
        <v>2776</v>
      </c>
    </row>
    <row r="2465" spans="1:12" ht="15.75" customHeight="1">
      <c r="A2465" s="1780"/>
      <c r="B2465" s="1784"/>
      <c r="C2465" s="1878" t="s">
        <v>2777</v>
      </c>
      <c r="D2465" s="1841">
        <v>4</v>
      </c>
      <c r="E2465" s="413" t="s">
        <v>124</v>
      </c>
      <c r="F2465" s="1883">
        <f>'Bahan &amp; Upah'!C$242</f>
        <v>1326.89</v>
      </c>
      <c r="G2465" s="332">
        <f t="shared" si="7"/>
        <v>5307.56</v>
      </c>
      <c r="H2465" s="1980">
        <v>0.65839999999999999</v>
      </c>
      <c r="I2465" s="1980">
        <f t="shared" si="8"/>
        <v>8.3782882424176842E-3</v>
      </c>
      <c r="J2465" s="1981"/>
    </row>
    <row r="2466" spans="1:12" ht="15.75" customHeight="1">
      <c r="A2466" s="1780"/>
      <c r="B2466" s="1784"/>
      <c r="C2466" s="1878" t="s">
        <v>2778</v>
      </c>
      <c r="D2466" s="1841">
        <v>0.5</v>
      </c>
      <c r="E2466" s="413" t="s">
        <v>124</v>
      </c>
      <c r="F2466" s="1883">
        <f>'Bahan &amp; Upah'!C$247</f>
        <v>8720.84</v>
      </c>
      <c r="G2466" s="332">
        <f t="shared" si="7"/>
        <v>4360.42</v>
      </c>
      <c r="H2466" s="1980">
        <v>0.6089</v>
      </c>
      <c r="I2466" s="1980">
        <f t="shared" si="8"/>
        <v>6.3656808340367254E-3</v>
      </c>
      <c r="J2466" s="1981"/>
      <c r="L2466" s="2022" t="s">
        <v>2779</v>
      </c>
    </row>
    <row r="2467" spans="1:12" ht="15.75" customHeight="1">
      <c r="A2467" s="1780"/>
      <c r="B2467" s="1784"/>
      <c r="C2467" s="1878" t="s">
        <v>2780</v>
      </c>
      <c r="D2467" s="1841">
        <v>4</v>
      </c>
      <c r="E2467" s="413" t="s">
        <v>124</v>
      </c>
      <c r="F2467" s="1883">
        <f>'Bahan &amp; Upah'!C$243</f>
        <v>1317.96</v>
      </c>
      <c r="G2467" s="1794">
        <f t="shared" si="7"/>
        <v>5271.84</v>
      </c>
      <c r="H2467" s="1980">
        <v>0.67700000000000005</v>
      </c>
      <c r="I2467" s="1982">
        <f t="shared" si="8"/>
        <v>8.5569984354789824E-3</v>
      </c>
      <c r="J2467" s="1981"/>
    </row>
    <row r="2468" spans="1:12" ht="15.75" customHeight="1">
      <c r="A2468" s="1780"/>
      <c r="B2468" s="1784"/>
      <c r="C2468" s="1878"/>
      <c r="D2468" s="1841"/>
      <c r="E2468" s="413"/>
      <c r="F2468" s="1883"/>
      <c r="G2468" s="361">
        <f>SUM(G2458:G2467)</f>
        <v>357346.86800000002</v>
      </c>
      <c r="H2468" s="1980"/>
      <c r="I2468" s="1983">
        <f>SUM(I2458:I2467)</f>
        <v>0.77264904807218293</v>
      </c>
      <c r="J2468" s="1981"/>
    </row>
    <row r="2469" spans="1:12" ht="15.75" customHeight="1">
      <c r="A2469" s="1780"/>
      <c r="B2469" s="1784"/>
      <c r="C2469" s="1804" t="s">
        <v>2298</v>
      </c>
      <c r="D2469" s="1763"/>
      <c r="E2469" s="1764"/>
      <c r="F2469" s="1765"/>
      <c r="G2469" s="1765">
        <f>G2456+G2468</f>
        <v>417089.67308000004</v>
      </c>
      <c r="H2469" s="1980"/>
      <c r="I2469" s="1984">
        <f>I2456+I2468</f>
        <v>0.91588636353681441</v>
      </c>
      <c r="J2469" s="1981"/>
    </row>
    <row r="2470" spans="1:12" ht="15.75" customHeight="1">
      <c r="A2470" s="1780"/>
      <c r="B2470" s="1784"/>
      <c r="C2470" s="1762" t="s">
        <v>2094</v>
      </c>
      <c r="D2470" s="1767">
        <f>M$4</f>
        <v>0.15</v>
      </c>
      <c r="E2470" s="1768"/>
      <c r="F2470" s="1765"/>
      <c r="G2470" s="1765">
        <f>G2469*D2470</f>
        <v>62563.450962000003</v>
      </c>
      <c r="H2470" s="1980"/>
      <c r="I2470" s="1980"/>
      <c r="J2470" s="1981"/>
    </row>
    <row r="2471" spans="1:12" ht="15.75" customHeight="1">
      <c r="A2471" s="1786"/>
      <c r="B2471" s="1890"/>
      <c r="C2471" s="1788" t="s">
        <v>2111</v>
      </c>
      <c r="D2471" s="1772"/>
      <c r="E2471" s="1773"/>
      <c r="F2471" s="1774"/>
      <c r="G2471" s="1861">
        <f>ROUNDUP((G2469+G2470),2)</f>
        <v>479653.13</v>
      </c>
      <c r="H2471" s="1985"/>
      <c r="I2471" s="1985"/>
      <c r="J2471" s="1986"/>
    </row>
    <row r="2472" spans="1:12" ht="15.75" customHeight="1">
      <c r="A2472" s="1733"/>
      <c r="B2472" s="1733"/>
      <c r="C2472" s="1733"/>
      <c r="D2472" s="1733"/>
      <c r="E2472" s="1733"/>
      <c r="F2472" s="1733"/>
      <c r="G2472" s="1733"/>
      <c r="H2472" s="1733"/>
      <c r="I2472" s="1733"/>
      <c r="J2472" s="1733"/>
    </row>
    <row r="2473" spans="1:12" ht="15.75" customHeight="1">
      <c r="A2473" s="1778">
        <f>A2450+1</f>
        <v>129</v>
      </c>
      <c r="B2473" s="1805" t="s">
        <v>2764</v>
      </c>
      <c r="C2473" s="1872" t="s">
        <v>2781</v>
      </c>
      <c r="D2473" s="1873"/>
      <c r="E2473" s="1874"/>
      <c r="F2473" s="1875"/>
      <c r="G2473" s="1875"/>
      <c r="H2473" s="1800"/>
      <c r="I2473" s="1800"/>
      <c r="J2473" s="1801"/>
    </row>
    <row r="2474" spans="1:12" ht="15.75" customHeight="1">
      <c r="A2474" s="1780"/>
      <c r="B2474" s="1739" t="s">
        <v>1004</v>
      </c>
      <c r="C2474" s="1877" t="s">
        <v>2067</v>
      </c>
      <c r="D2474" s="390"/>
      <c r="E2474" s="413"/>
      <c r="F2474" s="320"/>
      <c r="G2474" s="320"/>
      <c r="H2474" s="1802"/>
      <c r="I2474" s="1802"/>
      <c r="J2474" s="1803"/>
    </row>
    <row r="2475" spans="1:12" ht="15.75" customHeight="1">
      <c r="A2475" s="1780"/>
      <c r="B2475" s="1739"/>
      <c r="C2475" s="1878" t="s">
        <v>2103</v>
      </c>
      <c r="D2475" s="1781">
        <v>0.19</v>
      </c>
      <c r="E2475" s="413" t="s">
        <v>2069</v>
      </c>
      <c r="F2475" s="1747">
        <f>'Bahan &amp; Upah'!C$336</f>
        <v>96332.65</v>
      </c>
      <c r="G2475" s="388">
        <f>F2475*D2475</f>
        <v>18303.2035</v>
      </c>
      <c r="H2475" s="2058">
        <v>1</v>
      </c>
      <c r="I2475" s="2058">
        <f>(G2475/G$2492)*H2475</f>
        <v>4.3699576775639147E-2</v>
      </c>
      <c r="J2475" s="1981"/>
    </row>
    <row r="2476" spans="1:12" ht="15.75" customHeight="1">
      <c r="A2476" s="1780"/>
      <c r="B2476" s="1739"/>
      <c r="C2476" s="1878" t="s">
        <v>2766</v>
      </c>
      <c r="D2476" s="1781">
        <v>0.318</v>
      </c>
      <c r="E2476" s="413" t="s">
        <v>2069</v>
      </c>
      <c r="F2476" s="1883">
        <f>'Bahan &amp; Upah'!C$337</f>
        <v>114133.55</v>
      </c>
      <c r="G2476" s="332">
        <f>F2476*D2476</f>
        <v>36294.4689</v>
      </c>
      <c r="H2476" s="1980">
        <v>1</v>
      </c>
      <c r="I2476" s="1980">
        <f>(G2476/G$2492)*H2476</f>
        <v>8.6654389775352558E-2</v>
      </c>
      <c r="J2476" s="1981"/>
    </row>
    <row r="2477" spans="1:12" ht="15.75" customHeight="1">
      <c r="A2477" s="1780"/>
      <c r="B2477" s="1739"/>
      <c r="C2477" s="1878" t="s">
        <v>2105</v>
      </c>
      <c r="D2477" s="1781">
        <v>3.2000000000000001E-2</v>
      </c>
      <c r="E2477" s="413" t="s">
        <v>2069</v>
      </c>
      <c r="F2477" s="1748">
        <f>'Bahan &amp; Upah'!C$338</f>
        <v>125485.75</v>
      </c>
      <c r="G2477" s="332">
        <f>F2477*D2477</f>
        <v>4015.5439999999999</v>
      </c>
      <c r="H2477" s="1980">
        <v>1</v>
      </c>
      <c r="I2477" s="1980">
        <f>(G2477/G$2492)*H2477</f>
        <v>9.5872601385848712E-3</v>
      </c>
      <c r="J2477" s="1981"/>
    </row>
    <row r="2478" spans="1:12" ht="15.75" customHeight="1">
      <c r="A2478" s="1780"/>
      <c r="B2478" s="1739"/>
      <c r="C2478" s="1878" t="s">
        <v>2107</v>
      </c>
      <c r="D2478" s="1781">
        <v>1.0999999999999999E-2</v>
      </c>
      <c r="E2478" s="413" t="s">
        <v>2069</v>
      </c>
      <c r="F2478" s="1883">
        <f>'Bahan &amp; Upah'!C$339</f>
        <v>102689.88</v>
      </c>
      <c r="G2478" s="1794">
        <f>F2478*D2478</f>
        <v>1129.5886800000001</v>
      </c>
      <c r="H2478" s="1980">
        <v>1</v>
      </c>
      <c r="I2478" s="1982">
        <f>(G2478/G$2492)*H2478</f>
        <v>2.6969348423926381E-3</v>
      </c>
      <c r="J2478" s="1981"/>
    </row>
    <row r="2479" spans="1:12" ht="15.75" customHeight="1">
      <c r="A2479" s="1780"/>
      <c r="B2479" s="1739"/>
      <c r="C2479" s="1889" t="s">
        <v>2108</v>
      </c>
      <c r="D2479" s="1841"/>
      <c r="E2479" s="413"/>
      <c r="F2479" s="320"/>
      <c r="G2479" s="361">
        <f>SUM(G2475:G2478)</f>
        <v>59742.805079999998</v>
      </c>
      <c r="H2479" s="1983"/>
      <c r="I2479" s="1983">
        <f>SUM(I2475:I2478)</f>
        <v>0.14263816153196923</v>
      </c>
      <c r="J2479" s="1981"/>
    </row>
    <row r="2480" spans="1:12" ht="15.75" customHeight="1">
      <c r="A2480" s="1780"/>
      <c r="B2480" s="1739" t="s">
        <v>1015</v>
      </c>
      <c r="C2480" s="1877" t="s">
        <v>2075</v>
      </c>
      <c r="D2480" s="1841"/>
      <c r="E2480" s="413"/>
      <c r="F2480" s="320"/>
      <c r="G2480" s="320"/>
      <c r="H2480" s="1980"/>
      <c r="I2480" s="1980"/>
      <c r="J2480" s="1981"/>
    </row>
    <row r="2481" spans="1:10" ht="15.75" customHeight="1">
      <c r="A2481" s="1780"/>
      <c r="B2481" s="1784"/>
      <c r="C2481" s="1878" t="s">
        <v>2782</v>
      </c>
      <c r="D2481" s="1841">
        <v>8.8000000000000007</v>
      </c>
      <c r="E2481" s="413" t="s">
        <v>10</v>
      </c>
      <c r="F2481" s="1883">
        <f>'Bahan &amp; Upah'!C$227</f>
        <v>15255.77</v>
      </c>
      <c r="G2481" s="332">
        <f t="shared" ref="G2481:G2490" si="9">F2481*D2481</f>
        <v>134250.77600000001</v>
      </c>
      <c r="H2481" s="1980">
        <v>0.95379999999999998</v>
      </c>
      <c r="I2481" s="1980">
        <f t="shared" ref="I2481:I2490" si="10">(G2481/G$2492)*H2481</f>
        <v>0.30572027767185572</v>
      </c>
      <c r="J2481" s="1981"/>
    </row>
    <row r="2482" spans="1:10" ht="15.75" customHeight="1">
      <c r="A2482" s="1780"/>
      <c r="B2482" s="1784"/>
      <c r="C2482" s="1878" t="s">
        <v>2768</v>
      </c>
      <c r="D2482" s="1841">
        <v>8.8000000000000007</v>
      </c>
      <c r="E2482" s="413" t="s">
        <v>10</v>
      </c>
      <c r="F2482" s="1883">
        <f>'Bahan &amp; Upah'!C$224/4</f>
        <v>7597.8050000000003</v>
      </c>
      <c r="G2482" s="332">
        <f t="shared" si="9"/>
        <v>66860.684000000008</v>
      </c>
      <c r="H2482" s="1980">
        <v>0.91420000000000001</v>
      </c>
      <c r="I2482" s="1980">
        <f t="shared" si="10"/>
        <v>0.14593590468399348</v>
      </c>
      <c r="J2482" s="1981"/>
    </row>
    <row r="2483" spans="1:10" ht="15.75" customHeight="1">
      <c r="A2483" s="1780"/>
      <c r="B2483" s="1784"/>
      <c r="C2483" s="1878" t="s">
        <v>2769</v>
      </c>
      <c r="D2483" s="1841">
        <v>1</v>
      </c>
      <c r="E2483" s="413" t="s">
        <v>124</v>
      </c>
      <c r="F2483" s="1883">
        <f>'Bahan &amp; Upah'!C$240</f>
        <v>3415.12</v>
      </c>
      <c r="G2483" s="332">
        <f t="shared" si="9"/>
        <v>3415.12</v>
      </c>
      <c r="H2483" s="1980">
        <v>0.7772</v>
      </c>
      <c r="I2483" s="1980">
        <f t="shared" si="10"/>
        <v>6.3370755234989189E-3</v>
      </c>
      <c r="J2483" s="1981"/>
    </row>
    <row r="2484" spans="1:10" ht="15.75" customHeight="1">
      <c r="A2484" s="1780"/>
      <c r="B2484" s="1784"/>
      <c r="C2484" s="1878" t="s">
        <v>2770</v>
      </c>
      <c r="D2484" s="1841">
        <v>5</v>
      </c>
      <c r="E2484" s="413" t="s">
        <v>124</v>
      </c>
      <c r="F2484" s="1883">
        <f>'Bahan &amp; Upah'!C$241</f>
        <v>1085.1400000000001</v>
      </c>
      <c r="G2484" s="332">
        <f t="shared" si="9"/>
        <v>5425.7000000000007</v>
      </c>
      <c r="H2484" s="1980">
        <v>0.89190000000000003</v>
      </c>
      <c r="I2484" s="1980">
        <f t="shared" si="10"/>
        <v>1.1553725986347853E-2</v>
      </c>
      <c r="J2484" s="1981"/>
    </row>
    <row r="2485" spans="1:10" ht="15.75" customHeight="1">
      <c r="A2485" s="1780"/>
      <c r="B2485" s="1784"/>
      <c r="C2485" s="1878" t="s">
        <v>2772</v>
      </c>
      <c r="D2485" s="1841">
        <v>10</v>
      </c>
      <c r="E2485" s="413" t="s">
        <v>124</v>
      </c>
      <c r="F2485" s="1883">
        <f>'Bahan &amp; Upah'!C$244</f>
        <v>12546.27</v>
      </c>
      <c r="G2485" s="332">
        <f t="shared" si="9"/>
        <v>125462.70000000001</v>
      </c>
      <c r="H2485" s="1980">
        <v>0.91420000000000001</v>
      </c>
      <c r="I2485" s="1980">
        <f t="shared" si="10"/>
        <v>0.27384572716301359</v>
      </c>
      <c r="J2485" s="1981"/>
    </row>
    <row r="2486" spans="1:10" ht="15.75" customHeight="1">
      <c r="A2486" s="1780"/>
      <c r="B2486" s="1784"/>
      <c r="C2486" s="1878" t="s">
        <v>2773</v>
      </c>
      <c r="D2486" s="1841">
        <v>15</v>
      </c>
      <c r="E2486" s="413" t="s">
        <v>124</v>
      </c>
      <c r="F2486" s="1883">
        <f>'Bahan &amp; Upah'!C$245</f>
        <v>319.48</v>
      </c>
      <c r="G2486" s="332">
        <f t="shared" si="9"/>
        <v>4792.2000000000007</v>
      </c>
      <c r="H2486" s="1980">
        <v>0.13650000000000001</v>
      </c>
      <c r="I2486" s="1980">
        <f t="shared" si="10"/>
        <v>1.5617722746734336E-3</v>
      </c>
      <c r="J2486" s="1981"/>
    </row>
    <row r="2487" spans="1:10" ht="15.75" customHeight="1">
      <c r="A2487" s="1780"/>
      <c r="B2487" s="1784"/>
      <c r="C2487" s="1878" t="s">
        <v>2775</v>
      </c>
      <c r="D2487" s="1841">
        <v>1</v>
      </c>
      <c r="E2487" s="413" t="s">
        <v>10</v>
      </c>
      <c r="F2487" s="1883">
        <f>'Bahan &amp; Upah'!C$246</f>
        <v>3951.86</v>
      </c>
      <c r="G2487" s="332">
        <f t="shared" si="9"/>
        <v>3951.86</v>
      </c>
      <c r="H2487" s="1980">
        <v>0.55630000000000002</v>
      </c>
      <c r="I2487" s="1980">
        <f t="shared" si="10"/>
        <v>5.2488085624912582E-3</v>
      </c>
      <c r="J2487" s="1981"/>
    </row>
    <row r="2488" spans="1:10" ht="15.75" customHeight="1">
      <c r="A2488" s="1780"/>
      <c r="B2488" s="1784"/>
      <c r="C2488" s="1878" t="s">
        <v>2777</v>
      </c>
      <c r="D2488" s="1841">
        <v>4</v>
      </c>
      <c r="E2488" s="413" t="s">
        <v>124</v>
      </c>
      <c r="F2488" s="1883">
        <f>'Bahan &amp; Upah'!C$242</f>
        <v>1326.89</v>
      </c>
      <c r="G2488" s="332">
        <f t="shared" si="9"/>
        <v>5307.56</v>
      </c>
      <c r="H2488" s="1980">
        <v>0.65839999999999999</v>
      </c>
      <c r="I2488" s="1980">
        <f t="shared" si="10"/>
        <v>8.3432423164790451E-3</v>
      </c>
      <c r="J2488" s="1981"/>
    </row>
    <row r="2489" spans="1:10" ht="15.75" customHeight="1">
      <c r="A2489" s="1780"/>
      <c r="B2489" s="1784"/>
      <c r="C2489" s="1878" t="s">
        <v>2778</v>
      </c>
      <c r="D2489" s="1841">
        <v>0.5</v>
      </c>
      <c r="E2489" s="413" t="s">
        <v>124</v>
      </c>
      <c r="F2489" s="1883">
        <f>'Bahan &amp; Upah'!C$247</f>
        <v>8720.84</v>
      </c>
      <c r="G2489" s="332">
        <f t="shared" si="9"/>
        <v>4360.42</v>
      </c>
      <c r="H2489" s="1980">
        <v>0.6089</v>
      </c>
      <c r="I2489" s="1980">
        <f t="shared" si="10"/>
        <v>6.3390535358818119E-3</v>
      </c>
      <c r="J2489" s="1981"/>
    </row>
    <row r="2490" spans="1:10" ht="15.75" customHeight="1">
      <c r="A2490" s="1780"/>
      <c r="B2490" s="1784"/>
      <c r="C2490" s="1878" t="s">
        <v>2780</v>
      </c>
      <c r="D2490" s="1841">
        <v>4</v>
      </c>
      <c r="E2490" s="413" t="s">
        <v>124</v>
      </c>
      <c r="F2490" s="1883">
        <f>'Bahan &amp; Upah'!C$243</f>
        <v>1317.96</v>
      </c>
      <c r="G2490" s="1794">
        <f t="shared" si="9"/>
        <v>5271.84</v>
      </c>
      <c r="H2490" s="1980">
        <v>0.67700000000000005</v>
      </c>
      <c r="I2490" s="2047">
        <f t="shared" si="10"/>
        <v>8.5212049744819527E-3</v>
      </c>
      <c r="J2490" s="1981"/>
    </row>
    <row r="2491" spans="1:10" ht="15.75" customHeight="1">
      <c r="A2491" s="1780"/>
      <c r="B2491" s="1784"/>
      <c r="C2491" s="1878"/>
      <c r="D2491" s="1841"/>
      <c r="E2491" s="413"/>
      <c r="F2491" s="1883"/>
      <c r="G2491" s="361">
        <f>SUM(G2481:G2490)</f>
        <v>359098.86000000004</v>
      </c>
      <c r="H2491" s="1980"/>
      <c r="I2491" s="1983">
        <f>SUM(I2481:I2490)</f>
        <v>0.77340679269271706</v>
      </c>
      <c r="J2491" s="1981"/>
    </row>
    <row r="2492" spans="1:10" ht="15.75" customHeight="1">
      <c r="A2492" s="1780"/>
      <c r="B2492" s="1784"/>
      <c r="C2492" s="1804" t="s">
        <v>2298</v>
      </c>
      <c r="D2492" s="1763"/>
      <c r="E2492" s="1764"/>
      <c r="F2492" s="1765"/>
      <c r="G2492" s="1765">
        <f>G2479+G2491</f>
        <v>418841.66508000006</v>
      </c>
      <c r="H2492" s="1980"/>
      <c r="I2492" s="1984">
        <f>I2479+I2491</f>
        <v>0.91604495422468624</v>
      </c>
      <c r="J2492" s="1981"/>
    </row>
    <row r="2493" spans="1:10" ht="15.75" customHeight="1">
      <c r="A2493" s="1780"/>
      <c r="B2493" s="1784"/>
      <c r="C2493" s="1762" t="s">
        <v>2094</v>
      </c>
      <c r="D2493" s="1767">
        <f>M$4</f>
        <v>0.15</v>
      </c>
      <c r="E2493" s="1768"/>
      <c r="F2493" s="1765"/>
      <c r="G2493" s="1765">
        <f>G2492*D2493</f>
        <v>62826.249762000007</v>
      </c>
      <c r="H2493" s="1980"/>
      <c r="I2493" s="1980"/>
      <c r="J2493" s="1981"/>
    </row>
    <row r="2494" spans="1:10" ht="15.75" customHeight="1">
      <c r="A2494" s="1786"/>
      <c r="B2494" s="1890"/>
      <c r="C2494" s="1788" t="s">
        <v>2111</v>
      </c>
      <c r="D2494" s="1772"/>
      <c r="E2494" s="1773"/>
      <c r="F2494" s="1774"/>
      <c r="G2494" s="1861">
        <f>ROUNDUP((G2492+G2493),2)</f>
        <v>481667.92</v>
      </c>
      <c r="H2494" s="1985"/>
      <c r="I2494" s="1985"/>
      <c r="J2494" s="1986"/>
    </row>
    <row r="2495" spans="1:10" ht="15.75" customHeight="1">
      <c r="A2495" s="1733"/>
      <c r="B2495" s="1733"/>
      <c r="C2495" s="1733"/>
      <c r="D2495" s="1733"/>
      <c r="E2495" s="1733"/>
      <c r="F2495" s="1733"/>
      <c r="G2495" s="1733"/>
      <c r="H2495" s="1733"/>
      <c r="I2495" s="1733"/>
      <c r="J2495" s="1733"/>
    </row>
    <row r="2496" spans="1:10" ht="15.75" customHeight="1">
      <c r="A2496" s="1778">
        <f>A2473+1</f>
        <v>130</v>
      </c>
      <c r="B2496" s="1805" t="s">
        <v>2764</v>
      </c>
      <c r="C2496" s="1872" t="s">
        <v>2783</v>
      </c>
      <c r="D2496" s="1873"/>
      <c r="E2496" s="1874"/>
      <c r="F2496" s="1875"/>
      <c r="G2496" s="1875"/>
      <c r="H2496" s="1800"/>
      <c r="I2496" s="1800"/>
      <c r="J2496" s="1801"/>
    </row>
    <row r="2497" spans="1:10" ht="15.75" customHeight="1">
      <c r="A2497" s="1780"/>
      <c r="B2497" s="1739" t="s">
        <v>1004</v>
      </c>
      <c r="C2497" s="1877" t="s">
        <v>2067</v>
      </c>
      <c r="D2497" s="390"/>
      <c r="E2497" s="413"/>
      <c r="F2497" s="320"/>
      <c r="G2497" s="320"/>
      <c r="H2497" s="1802"/>
      <c r="I2497" s="1802"/>
      <c r="J2497" s="1803"/>
    </row>
    <row r="2498" spans="1:10" ht="15.75" customHeight="1">
      <c r="A2498" s="1780"/>
      <c r="B2498" s="1739"/>
      <c r="C2498" s="1878" t="s">
        <v>2103</v>
      </c>
      <c r="D2498" s="1781">
        <v>0.19</v>
      </c>
      <c r="E2498" s="413" t="s">
        <v>2069</v>
      </c>
      <c r="F2498" s="1747">
        <f>'Bahan &amp; Upah'!C$336</f>
        <v>96332.65</v>
      </c>
      <c r="G2498" s="388">
        <f>F2498*D2498</f>
        <v>18303.2035</v>
      </c>
      <c r="H2498" s="2058">
        <v>1</v>
      </c>
      <c r="I2498" s="2058">
        <f>(G2498/G$2515)*H2498</f>
        <v>2.6256787800750667E-2</v>
      </c>
      <c r="J2498" s="1981"/>
    </row>
    <row r="2499" spans="1:10" ht="15.75" customHeight="1">
      <c r="A2499" s="1780"/>
      <c r="B2499" s="1739"/>
      <c r="C2499" s="1878" t="s">
        <v>2766</v>
      </c>
      <c r="D2499" s="1781">
        <v>0.318</v>
      </c>
      <c r="E2499" s="413" t="s">
        <v>2069</v>
      </c>
      <c r="F2499" s="1883">
        <f>'Bahan &amp; Upah'!C$337</f>
        <v>114133.55</v>
      </c>
      <c r="G2499" s="332">
        <f>F2499*D2499</f>
        <v>36294.4689</v>
      </c>
      <c r="H2499" s="1980">
        <v>1</v>
      </c>
      <c r="I2499" s="2058">
        <f>(G2499/G$2515)*H2499</f>
        <v>5.2066086040525338E-2</v>
      </c>
      <c r="J2499" s="1981"/>
    </row>
    <row r="2500" spans="1:10" ht="15.75" customHeight="1">
      <c r="A2500" s="1780"/>
      <c r="B2500" s="1739"/>
      <c r="C2500" s="1878" t="s">
        <v>2105</v>
      </c>
      <c r="D2500" s="1781">
        <v>3.2000000000000001E-2</v>
      </c>
      <c r="E2500" s="413" t="s">
        <v>2069</v>
      </c>
      <c r="F2500" s="1748">
        <f>'Bahan &amp; Upah'!C$338</f>
        <v>125485.75</v>
      </c>
      <c r="G2500" s="332">
        <f>F2500*D2500</f>
        <v>4015.5439999999999</v>
      </c>
      <c r="H2500" s="1980">
        <v>1</v>
      </c>
      <c r="I2500" s="2058">
        <f>(G2500/G$2515)*H2500</f>
        <v>5.7604826779409151E-3</v>
      </c>
      <c r="J2500" s="1981"/>
    </row>
    <row r="2501" spans="1:10" ht="15.75" customHeight="1">
      <c r="A2501" s="1780"/>
      <c r="B2501" s="1739"/>
      <c r="C2501" s="1878" t="s">
        <v>2107</v>
      </c>
      <c r="D2501" s="1781">
        <v>1.0999999999999999E-2</v>
      </c>
      <c r="E2501" s="413" t="s">
        <v>2069</v>
      </c>
      <c r="F2501" s="1883">
        <f>'Bahan &amp; Upah'!C$339</f>
        <v>102689.88</v>
      </c>
      <c r="G2501" s="1794">
        <f>F2501*D2501</f>
        <v>1129.5886800000001</v>
      </c>
      <c r="H2501" s="1980">
        <v>1</v>
      </c>
      <c r="I2501" s="1982">
        <f>(G2501/G$2515)*H2501</f>
        <v>1.6204469492397903E-3</v>
      </c>
      <c r="J2501" s="1981"/>
    </row>
    <row r="2502" spans="1:10" ht="15.75" customHeight="1">
      <c r="A2502" s="1780"/>
      <c r="B2502" s="1739"/>
      <c r="C2502" s="1889" t="s">
        <v>2108</v>
      </c>
      <c r="D2502" s="1841"/>
      <c r="E2502" s="413"/>
      <c r="F2502" s="320"/>
      <c r="G2502" s="361">
        <f>SUM(G2498:G2501)</f>
        <v>59742.805079999998</v>
      </c>
      <c r="H2502" s="1983"/>
      <c r="I2502" s="1983">
        <f>SUM(I2498:I2501)</f>
        <v>8.5703803468456713E-2</v>
      </c>
      <c r="J2502" s="1981"/>
    </row>
    <row r="2503" spans="1:10" ht="15.75" customHeight="1">
      <c r="A2503" s="1780"/>
      <c r="B2503" s="1739" t="s">
        <v>1015</v>
      </c>
      <c r="C2503" s="1877" t="s">
        <v>2075</v>
      </c>
      <c r="D2503" s="1841"/>
      <c r="E2503" s="413"/>
      <c r="F2503" s="320"/>
      <c r="G2503" s="320"/>
      <c r="H2503" s="1980"/>
      <c r="I2503" s="1980"/>
      <c r="J2503" s="1981"/>
    </row>
    <row r="2504" spans="1:10" ht="15.75" customHeight="1">
      <c r="A2504" s="1780"/>
      <c r="B2504" s="1784"/>
      <c r="C2504" s="1878" t="s">
        <v>2784</v>
      </c>
      <c r="D2504" s="1841">
        <v>8.8000000000000007</v>
      </c>
      <c r="E2504" s="413" t="s">
        <v>10</v>
      </c>
      <c r="F2504" s="1883">
        <f>'Bahan &amp; Upah'!C$229</f>
        <v>46874.29</v>
      </c>
      <c r="G2504" s="332">
        <f t="shared" ref="G2504:G2513" si="11">F2504*D2504</f>
        <v>412493.75200000004</v>
      </c>
      <c r="H2504" s="1980">
        <v>0.95379999999999998</v>
      </c>
      <c r="I2504" s="2058">
        <f t="shared" ref="I2504:I2513" si="12">(G2504/G$2515)*H2504</f>
        <v>0.56440282495400407</v>
      </c>
      <c r="J2504" s="1981"/>
    </row>
    <row r="2505" spans="1:10" ht="15.75" customHeight="1">
      <c r="A2505" s="1780"/>
      <c r="B2505" s="1784"/>
      <c r="C2505" s="1878" t="s">
        <v>2768</v>
      </c>
      <c r="D2505" s="1841">
        <v>8.8000000000000007</v>
      </c>
      <c r="E2505" s="413" t="s">
        <v>10</v>
      </c>
      <c r="F2505" s="1883">
        <f>'Bahan &amp; Upah'!C$224/4</f>
        <v>7597.8050000000003</v>
      </c>
      <c r="G2505" s="332">
        <f t="shared" si="11"/>
        <v>66860.684000000008</v>
      </c>
      <c r="H2505" s="1980">
        <v>0.91420000000000001</v>
      </c>
      <c r="I2505" s="2058">
        <f t="shared" si="12"/>
        <v>8.7685244675739737E-2</v>
      </c>
      <c r="J2505" s="1981"/>
    </row>
    <row r="2506" spans="1:10" ht="15.75" customHeight="1">
      <c r="A2506" s="1780"/>
      <c r="B2506" s="1784"/>
      <c r="C2506" s="1878" t="s">
        <v>2769</v>
      </c>
      <c r="D2506" s="1841">
        <v>1</v>
      </c>
      <c r="E2506" s="413" t="s">
        <v>124</v>
      </c>
      <c r="F2506" s="1883">
        <f>'Bahan &amp; Upah'!C$240</f>
        <v>3415.12</v>
      </c>
      <c r="G2506" s="332">
        <f t="shared" si="11"/>
        <v>3415.12</v>
      </c>
      <c r="H2506" s="1980">
        <v>0.7772</v>
      </c>
      <c r="I2506" s="2058">
        <f t="shared" si="12"/>
        <v>3.8076169055852012E-3</v>
      </c>
      <c r="J2506" s="1981"/>
    </row>
    <row r="2507" spans="1:10" ht="15.75" customHeight="1">
      <c r="A2507" s="1780"/>
      <c r="B2507" s="1784"/>
      <c r="C2507" s="1878" t="s">
        <v>2770</v>
      </c>
      <c r="D2507" s="1841">
        <v>5</v>
      </c>
      <c r="E2507" s="413" t="s">
        <v>124</v>
      </c>
      <c r="F2507" s="1883">
        <f>'Bahan &amp; Upah'!C$241</f>
        <v>1085.1400000000001</v>
      </c>
      <c r="G2507" s="332">
        <f t="shared" si="11"/>
        <v>5425.7000000000007</v>
      </c>
      <c r="H2507" s="1980">
        <v>0.89190000000000003</v>
      </c>
      <c r="I2507" s="2058">
        <f t="shared" si="12"/>
        <v>6.9420290518847315E-3</v>
      </c>
      <c r="J2507" s="1981"/>
    </row>
    <row r="2508" spans="1:10" ht="15.75" customHeight="1">
      <c r="A2508" s="1780"/>
      <c r="B2508" s="1784"/>
      <c r="C2508" s="1878" t="s">
        <v>2772</v>
      </c>
      <c r="D2508" s="1841">
        <v>10</v>
      </c>
      <c r="E2508" s="413" t="s">
        <v>124</v>
      </c>
      <c r="F2508" s="1883">
        <f>'Bahan &amp; Upah'!C$244</f>
        <v>12546.27</v>
      </c>
      <c r="G2508" s="332">
        <f t="shared" si="11"/>
        <v>125462.70000000001</v>
      </c>
      <c r="H2508" s="1980">
        <v>0.91420000000000001</v>
      </c>
      <c r="I2508" s="2058">
        <f t="shared" si="12"/>
        <v>0.1645395603069052</v>
      </c>
      <c r="J2508" s="1981"/>
    </row>
    <row r="2509" spans="1:10" ht="15.75" customHeight="1">
      <c r="A2509" s="1780"/>
      <c r="B2509" s="1784"/>
      <c r="C2509" s="1878" t="s">
        <v>2773</v>
      </c>
      <c r="D2509" s="1841">
        <v>15</v>
      </c>
      <c r="E2509" s="413" t="s">
        <v>124</v>
      </c>
      <c r="F2509" s="1883">
        <f>'Bahan &amp; Upah'!C$245</f>
        <v>319.48</v>
      </c>
      <c r="G2509" s="332">
        <f t="shared" si="11"/>
        <v>4792.2000000000007</v>
      </c>
      <c r="H2509" s="1980">
        <v>0.13650000000000001</v>
      </c>
      <c r="I2509" s="2058">
        <f t="shared" si="12"/>
        <v>9.3838719353584094E-4</v>
      </c>
      <c r="J2509" s="1981"/>
    </row>
    <row r="2510" spans="1:10" ht="15.75" customHeight="1">
      <c r="A2510" s="1780"/>
      <c r="B2510" s="1784"/>
      <c r="C2510" s="1878" t="s">
        <v>2775</v>
      </c>
      <c r="D2510" s="1841">
        <v>1</v>
      </c>
      <c r="E2510" s="413" t="s">
        <v>10</v>
      </c>
      <c r="F2510" s="1883">
        <f>'Bahan &amp; Upah'!C$246</f>
        <v>3951.86</v>
      </c>
      <c r="G2510" s="332">
        <f t="shared" si="11"/>
        <v>3951.86</v>
      </c>
      <c r="H2510" s="1980">
        <v>0.55630000000000002</v>
      </c>
      <c r="I2510" s="2058">
        <f t="shared" si="12"/>
        <v>3.1537342647428974E-3</v>
      </c>
      <c r="J2510" s="1981"/>
    </row>
    <row r="2511" spans="1:10" ht="15.75" customHeight="1">
      <c r="A2511" s="1780"/>
      <c r="B2511" s="1784"/>
      <c r="C2511" s="1878" t="s">
        <v>2777</v>
      </c>
      <c r="D2511" s="1841">
        <v>4</v>
      </c>
      <c r="E2511" s="413" t="s">
        <v>124</v>
      </c>
      <c r="F2511" s="1883">
        <f>'Bahan &amp; Upah'!C$242</f>
        <v>1326.89</v>
      </c>
      <c r="G2511" s="332">
        <f t="shared" si="11"/>
        <v>5307.56</v>
      </c>
      <c r="H2511" s="1980">
        <v>0.65839999999999999</v>
      </c>
      <c r="I2511" s="2058">
        <f t="shared" si="12"/>
        <v>5.0130174989739288E-3</v>
      </c>
      <c r="J2511" s="1981"/>
    </row>
    <row r="2512" spans="1:10" ht="15.75" customHeight="1">
      <c r="A2512" s="1780"/>
      <c r="B2512" s="1784"/>
      <c r="C2512" s="1878" t="s">
        <v>2778</v>
      </c>
      <c r="D2512" s="1841">
        <v>0.5</v>
      </c>
      <c r="E2512" s="413" t="s">
        <v>124</v>
      </c>
      <c r="F2512" s="1883">
        <f>'Bahan &amp; Upah'!C$247</f>
        <v>8720.84</v>
      </c>
      <c r="G2512" s="332">
        <f t="shared" si="11"/>
        <v>4360.42</v>
      </c>
      <c r="H2512" s="1980">
        <v>0.6089</v>
      </c>
      <c r="I2512" s="2058">
        <f t="shared" si="12"/>
        <v>3.8088053896675879E-3</v>
      </c>
      <c r="J2512" s="1981"/>
    </row>
    <row r="2513" spans="1:10" ht="15.75" customHeight="1">
      <c r="A2513" s="1780"/>
      <c r="B2513" s="1784"/>
      <c r="C2513" s="1878" t="s">
        <v>2780</v>
      </c>
      <c r="D2513" s="1841">
        <v>4</v>
      </c>
      <c r="E2513" s="413" t="s">
        <v>124</v>
      </c>
      <c r="F2513" s="1883">
        <f>'Bahan &amp; Upah'!C$243</f>
        <v>1317.96</v>
      </c>
      <c r="G2513" s="1794">
        <f t="shared" si="11"/>
        <v>5271.84</v>
      </c>
      <c r="H2513" s="1980">
        <v>0.67700000000000005</v>
      </c>
      <c r="I2513" s="1982">
        <f t="shared" si="12"/>
        <v>5.1199459429639117E-3</v>
      </c>
      <c r="J2513" s="1981"/>
    </row>
    <row r="2514" spans="1:10" ht="15.75" customHeight="1">
      <c r="A2514" s="1780"/>
      <c r="B2514" s="1784"/>
      <c r="C2514" s="1878"/>
      <c r="D2514" s="1841"/>
      <c r="E2514" s="413"/>
      <c r="F2514" s="1883"/>
      <c r="G2514" s="361">
        <f>SUM(G2504:G2513)</f>
        <v>637341.83600000001</v>
      </c>
      <c r="H2514" s="1980"/>
      <c r="I2514" s="1983">
        <f>SUM(I2504:I2513)</f>
        <v>0.84541116618400303</v>
      </c>
      <c r="J2514" s="1981"/>
    </row>
    <row r="2515" spans="1:10" ht="15.75" customHeight="1">
      <c r="A2515" s="1780"/>
      <c r="B2515" s="1784"/>
      <c r="C2515" s="1804" t="s">
        <v>2298</v>
      </c>
      <c r="D2515" s="1763"/>
      <c r="E2515" s="1764"/>
      <c r="F2515" s="1765"/>
      <c r="G2515" s="1765">
        <f>G2502+G2514</f>
        <v>697084.64107999997</v>
      </c>
      <c r="H2515" s="1980"/>
      <c r="I2515" s="1984">
        <f>I2502+I2514</f>
        <v>0.93111496965245977</v>
      </c>
      <c r="J2515" s="1981"/>
    </row>
    <row r="2516" spans="1:10" ht="15.75" customHeight="1">
      <c r="A2516" s="1780"/>
      <c r="B2516" s="1784"/>
      <c r="C2516" s="1762" t="s">
        <v>2094</v>
      </c>
      <c r="D2516" s="1767">
        <f>M$4</f>
        <v>0.15</v>
      </c>
      <c r="E2516" s="1768"/>
      <c r="F2516" s="1765"/>
      <c r="G2516" s="1765">
        <f>G2515*D2516</f>
        <v>104562.69616199999</v>
      </c>
      <c r="H2516" s="1980"/>
      <c r="I2516" s="1980"/>
      <c r="J2516" s="1981"/>
    </row>
    <row r="2517" spans="1:10" ht="15.75" customHeight="1">
      <c r="A2517" s="1786"/>
      <c r="B2517" s="1890"/>
      <c r="C2517" s="1788" t="s">
        <v>2111</v>
      </c>
      <c r="D2517" s="1772"/>
      <c r="E2517" s="1773"/>
      <c r="F2517" s="1774"/>
      <c r="G2517" s="1861">
        <f>ROUNDUP((G2515+G2516),2)</f>
        <v>801647.34</v>
      </c>
      <c r="H2517" s="1985"/>
      <c r="I2517" s="1985"/>
      <c r="J2517" s="1986"/>
    </row>
    <row r="2518" spans="1:10" ht="15.75" customHeight="1">
      <c r="A2518" s="1733"/>
      <c r="B2518" s="1733"/>
      <c r="C2518" s="1733"/>
      <c r="D2518" s="1733"/>
      <c r="E2518" s="1733"/>
      <c r="F2518" s="1733"/>
      <c r="G2518" s="1733"/>
      <c r="H2518" s="1733"/>
      <c r="I2518" s="1733"/>
      <c r="J2518" s="1733"/>
    </row>
    <row r="2519" spans="1:10" ht="30" customHeight="1">
      <c r="A2519" s="1778">
        <f>A2496+1</f>
        <v>131</v>
      </c>
      <c r="B2519" s="1871" t="s">
        <v>2147</v>
      </c>
      <c r="C2519" s="1872" t="s">
        <v>2785</v>
      </c>
      <c r="D2519" s="1873"/>
      <c r="E2519" s="1874"/>
      <c r="F2519" s="1875"/>
      <c r="G2519" s="1875"/>
      <c r="H2519" s="1800"/>
      <c r="I2519" s="1800"/>
      <c r="J2519" s="1801"/>
    </row>
    <row r="2520" spans="1:10" ht="15.75" customHeight="1">
      <c r="A2520" s="1780"/>
      <c r="B2520" s="1739" t="s">
        <v>1004</v>
      </c>
      <c r="C2520" s="1877" t="s">
        <v>2067</v>
      </c>
      <c r="D2520" s="390"/>
      <c r="E2520" s="413"/>
      <c r="F2520" s="320"/>
      <c r="G2520" s="320"/>
      <c r="H2520" s="1802"/>
      <c r="I2520" s="1802"/>
      <c r="J2520" s="1803"/>
    </row>
    <row r="2521" spans="1:10" ht="15.75" customHeight="1">
      <c r="A2521" s="1780"/>
      <c r="B2521" s="1739"/>
      <c r="C2521" s="1878" t="s">
        <v>2492</v>
      </c>
      <c r="D2521" s="1781">
        <v>1</v>
      </c>
      <c r="E2521" s="413" t="s">
        <v>10</v>
      </c>
      <c r="F2521" s="1747">
        <v>14677.5</v>
      </c>
      <c r="G2521" s="1794">
        <f>F2521*D2521</f>
        <v>14677.5</v>
      </c>
      <c r="H2521" s="2058">
        <v>1</v>
      </c>
      <c r="I2521" s="2058">
        <f>(G2521/G$2531)*H2521</f>
        <v>6.9834661923799987E-2</v>
      </c>
      <c r="J2521" s="1981"/>
    </row>
    <row r="2522" spans="1:10" ht="15.75" customHeight="1">
      <c r="A2522" s="1780"/>
      <c r="B2522" s="1739"/>
      <c r="C2522" s="1889" t="s">
        <v>2108</v>
      </c>
      <c r="D2522" s="1841"/>
      <c r="E2522" s="413"/>
      <c r="F2522" s="320"/>
      <c r="G2522" s="361">
        <f>SUM(G2521:G2521)</f>
        <v>14677.5</v>
      </c>
      <c r="H2522" s="1983"/>
      <c r="I2522" s="1983">
        <f>SUM(I2521:I2521)</f>
        <v>6.9834661923799987E-2</v>
      </c>
      <c r="J2522" s="1981"/>
    </row>
    <row r="2523" spans="1:10" ht="15.75" customHeight="1">
      <c r="A2523" s="1780"/>
      <c r="B2523" s="1739" t="s">
        <v>1015</v>
      </c>
      <c r="C2523" s="1877" t="s">
        <v>2075</v>
      </c>
      <c r="D2523" s="1841"/>
      <c r="E2523" s="413"/>
      <c r="F2523" s="320"/>
      <c r="G2523" s="320"/>
      <c r="H2523" s="1980"/>
      <c r="I2523" s="1980"/>
      <c r="J2523" s="1981"/>
    </row>
    <row r="2524" spans="1:10" ht="15.75" customHeight="1">
      <c r="A2524" s="1780"/>
      <c r="B2524" s="1784"/>
      <c r="C2524" s="1878" t="s">
        <v>2784</v>
      </c>
      <c r="D2524" s="1841">
        <v>1.1000000000000001</v>
      </c>
      <c r="E2524" s="413" t="s">
        <v>10</v>
      </c>
      <c r="F2524" s="1883">
        <f>'Bahan &amp; Upah'!C$229</f>
        <v>46874.29</v>
      </c>
      <c r="G2524" s="332">
        <f t="shared" ref="G2524:G2529" si="13">F2524*D2524</f>
        <v>51561.719000000005</v>
      </c>
      <c r="H2524" s="1980">
        <v>0.95379999999999998</v>
      </c>
      <c r="I2524" s="2058">
        <f t="shared" ref="I2524:I2529" si="14">(G2524/G$2531)*H2524</f>
        <v>0.23399342365263909</v>
      </c>
      <c r="J2524" s="1981"/>
    </row>
    <row r="2525" spans="1:10" ht="15.75" customHeight="1">
      <c r="A2525" s="1780"/>
      <c r="B2525" s="1784"/>
      <c r="C2525" s="1878" t="s">
        <v>2769</v>
      </c>
      <c r="D2525" s="1841">
        <v>1</v>
      </c>
      <c r="E2525" s="413" t="s">
        <v>124</v>
      </c>
      <c r="F2525" s="1883">
        <f>'Bahan &amp; Upah'!C$240</f>
        <v>3415.12</v>
      </c>
      <c r="G2525" s="332">
        <f t="shared" si="13"/>
        <v>3415.12</v>
      </c>
      <c r="H2525" s="1980">
        <v>0.7772</v>
      </c>
      <c r="I2525" s="2058">
        <f t="shared" si="14"/>
        <v>1.2628672661490056E-2</v>
      </c>
      <c r="J2525" s="1981"/>
    </row>
    <row r="2526" spans="1:10" ht="15.75" customHeight="1">
      <c r="A2526" s="1780"/>
      <c r="B2526" s="1784"/>
      <c r="C2526" s="1878" t="s">
        <v>2770</v>
      </c>
      <c r="D2526" s="1841">
        <v>5</v>
      </c>
      <c r="E2526" s="413" t="s">
        <v>124</v>
      </c>
      <c r="F2526" s="1883">
        <f>'Bahan &amp; Upah'!C$241</f>
        <v>1085.1400000000001</v>
      </c>
      <c r="G2526" s="332">
        <f t="shared" si="13"/>
        <v>5425.7000000000007</v>
      </c>
      <c r="H2526" s="1980">
        <v>0.89190000000000003</v>
      </c>
      <c r="I2526" s="2058">
        <f t="shared" si="14"/>
        <v>2.3024535996310391E-2</v>
      </c>
      <c r="J2526" s="1981"/>
    </row>
    <row r="2527" spans="1:10" ht="15.75" customHeight="1">
      <c r="A2527" s="1780"/>
      <c r="B2527" s="1784"/>
      <c r="C2527" s="1878" t="s">
        <v>2772</v>
      </c>
      <c r="D2527" s="1841">
        <v>10</v>
      </c>
      <c r="E2527" s="413" t="s">
        <v>124</v>
      </c>
      <c r="F2527" s="1883">
        <f>'Bahan &amp; Upah'!C$244</f>
        <v>12546.27</v>
      </c>
      <c r="G2527" s="332">
        <f t="shared" si="13"/>
        <v>125462.70000000001</v>
      </c>
      <c r="H2527" s="1980">
        <v>0.91420000000000001</v>
      </c>
      <c r="I2527" s="2058">
        <f t="shared" si="14"/>
        <v>0.5457261847780478</v>
      </c>
      <c r="J2527" s="1981"/>
    </row>
    <row r="2528" spans="1:10" ht="15.75" customHeight="1">
      <c r="A2528" s="1780"/>
      <c r="B2528" s="1784"/>
      <c r="C2528" s="1878" t="s">
        <v>2778</v>
      </c>
      <c r="D2528" s="1841">
        <v>0.5</v>
      </c>
      <c r="E2528" s="413" t="s">
        <v>124</v>
      </c>
      <c r="F2528" s="1883">
        <f>'Bahan &amp; Upah'!C$247</f>
        <v>8720.84</v>
      </c>
      <c r="G2528" s="332">
        <f t="shared" si="13"/>
        <v>4360.42</v>
      </c>
      <c r="H2528" s="1980">
        <v>0.6089</v>
      </c>
      <c r="I2528" s="2058">
        <f t="shared" si="14"/>
        <v>1.263261449093667E-2</v>
      </c>
      <c r="J2528" s="1981"/>
    </row>
    <row r="2529" spans="1:10" ht="15.75" customHeight="1">
      <c r="A2529" s="1780"/>
      <c r="B2529" s="1784"/>
      <c r="C2529" s="1878" t="s">
        <v>2780</v>
      </c>
      <c r="D2529" s="1841">
        <v>4</v>
      </c>
      <c r="E2529" s="413" t="s">
        <v>124</v>
      </c>
      <c r="F2529" s="1883">
        <f>'Bahan &amp; Upah'!C$243</f>
        <v>1317.96</v>
      </c>
      <c r="G2529" s="1794">
        <f t="shared" si="13"/>
        <v>5271.84</v>
      </c>
      <c r="H2529" s="1980">
        <v>0.67700000000000005</v>
      </c>
      <c r="I2529" s="1982">
        <f t="shared" si="14"/>
        <v>1.6981257033335351E-2</v>
      </c>
      <c r="J2529" s="1981"/>
    </row>
    <row r="2530" spans="1:10" ht="15.75" customHeight="1">
      <c r="A2530" s="1780"/>
      <c r="B2530" s="1784"/>
      <c r="C2530" s="1878"/>
      <c r="D2530" s="1841"/>
      <c r="E2530" s="413"/>
      <c r="F2530" s="1883"/>
      <c r="G2530" s="361">
        <f>SUM(G2524:G2529)</f>
        <v>195497.49900000001</v>
      </c>
      <c r="H2530" s="1980"/>
      <c r="I2530" s="1983">
        <f>SUM(I2524:I2529)</f>
        <v>0.84498668861275927</v>
      </c>
      <c r="J2530" s="1981"/>
    </row>
    <row r="2531" spans="1:10" ht="15.75" customHeight="1">
      <c r="A2531" s="1780"/>
      <c r="B2531" s="1784"/>
      <c r="C2531" s="1804" t="s">
        <v>2298</v>
      </c>
      <c r="D2531" s="1763"/>
      <c r="E2531" s="1764"/>
      <c r="F2531" s="1765"/>
      <c r="G2531" s="1765">
        <f>G2522+G2530</f>
        <v>210174.99900000001</v>
      </c>
      <c r="H2531" s="1980"/>
      <c r="I2531" s="1984">
        <f>I2522+I2530</f>
        <v>0.91482135053655922</v>
      </c>
      <c r="J2531" s="1981"/>
    </row>
    <row r="2532" spans="1:10" ht="15.75" customHeight="1">
      <c r="A2532" s="1780"/>
      <c r="B2532" s="1784"/>
      <c r="C2532" s="1762" t="s">
        <v>2094</v>
      </c>
      <c r="D2532" s="1767">
        <f>M$4</f>
        <v>0.15</v>
      </c>
      <c r="E2532" s="1768"/>
      <c r="F2532" s="1765"/>
      <c r="G2532" s="1765">
        <f>G2531*D2532</f>
        <v>31526.24985</v>
      </c>
      <c r="H2532" s="1980"/>
      <c r="I2532" s="1980"/>
      <c r="J2532" s="1981"/>
    </row>
    <row r="2533" spans="1:10" ht="15.75" customHeight="1">
      <c r="A2533" s="1786"/>
      <c r="B2533" s="1890"/>
      <c r="C2533" s="1788" t="s">
        <v>2111</v>
      </c>
      <c r="D2533" s="1772"/>
      <c r="E2533" s="1773"/>
      <c r="F2533" s="1774"/>
      <c r="G2533" s="1861">
        <f>ROUNDUP((G2531+G2532),2)</f>
        <v>241701.25</v>
      </c>
      <c r="H2533" s="1985"/>
      <c r="I2533" s="1985"/>
      <c r="J2533" s="1986"/>
    </row>
    <row r="2534" spans="1:10" ht="15.75" customHeight="1">
      <c r="A2534" s="1733"/>
      <c r="B2534" s="1733"/>
      <c r="C2534" s="1733"/>
      <c r="D2534" s="1733"/>
      <c r="E2534" s="1733"/>
      <c r="F2534" s="1733"/>
      <c r="G2534" s="1733"/>
      <c r="H2534" s="1733"/>
      <c r="I2534" s="1733"/>
      <c r="J2534" s="1733"/>
    </row>
    <row r="2535" spans="1:10" ht="30" customHeight="1">
      <c r="A2535" s="1778">
        <f>A2519+1</f>
        <v>132</v>
      </c>
      <c r="B2535" s="1871" t="s">
        <v>2147</v>
      </c>
      <c r="C2535" s="1872" t="s">
        <v>2786</v>
      </c>
      <c r="D2535" s="1873"/>
      <c r="E2535" s="1874"/>
      <c r="F2535" s="1875"/>
      <c r="G2535" s="1875"/>
      <c r="H2535" s="1800"/>
      <c r="I2535" s="1800"/>
      <c r="J2535" s="1801"/>
    </row>
    <row r="2536" spans="1:10" ht="15.75" customHeight="1">
      <c r="A2536" s="1780"/>
      <c r="B2536" s="1739" t="s">
        <v>1004</v>
      </c>
      <c r="C2536" s="1877" t="s">
        <v>2067</v>
      </c>
      <c r="D2536" s="390"/>
      <c r="E2536" s="413"/>
      <c r="F2536" s="320"/>
      <c r="G2536" s="320"/>
      <c r="H2536" s="1802"/>
      <c r="I2536" s="1802"/>
      <c r="J2536" s="1803"/>
    </row>
    <row r="2537" spans="1:10" ht="15.75" customHeight="1">
      <c r="A2537" s="1780"/>
      <c r="B2537" s="1739"/>
      <c r="C2537" s="1878" t="s">
        <v>2492</v>
      </c>
      <c r="D2537" s="1781">
        <v>1</v>
      </c>
      <c r="E2537" s="413" t="s">
        <v>10</v>
      </c>
      <c r="F2537" s="1747">
        <v>20631.55</v>
      </c>
      <c r="G2537" s="1794">
        <f>F2537*D2537</f>
        <v>20631.55</v>
      </c>
      <c r="H2537" s="2058">
        <v>1</v>
      </c>
      <c r="I2537" s="1982">
        <f>(G2537/G$2547)*H2537</f>
        <v>8.1710515302572284E-2</v>
      </c>
      <c r="J2537" s="1981"/>
    </row>
    <row r="2538" spans="1:10" ht="15.75" customHeight="1">
      <c r="A2538" s="1780"/>
      <c r="B2538" s="1739"/>
      <c r="C2538" s="1889" t="s">
        <v>2108</v>
      </c>
      <c r="D2538" s="1841"/>
      <c r="E2538" s="413"/>
      <c r="F2538" s="320"/>
      <c r="G2538" s="361">
        <f>SUM(G2537:G2537)</f>
        <v>20631.55</v>
      </c>
      <c r="H2538" s="1983"/>
      <c r="I2538" s="1983">
        <f>SUM(I2537:I2537)</f>
        <v>8.1710515302572284E-2</v>
      </c>
      <c r="J2538" s="1981"/>
    </row>
    <row r="2539" spans="1:10" ht="15.75" customHeight="1">
      <c r="A2539" s="1780"/>
      <c r="B2539" s="1739" t="s">
        <v>1015</v>
      </c>
      <c r="C2539" s="1877" t="s">
        <v>2075</v>
      </c>
      <c r="D2539" s="1841"/>
      <c r="E2539" s="413"/>
      <c r="F2539" s="320"/>
      <c r="G2539" s="320"/>
      <c r="H2539" s="1980"/>
      <c r="I2539" s="1980"/>
      <c r="J2539" s="1981"/>
    </row>
    <row r="2540" spans="1:10" ht="15.75" customHeight="1">
      <c r="A2540" s="1780"/>
      <c r="B2540" s="1784"/>
      <c r="C2540" s="1878" t="s">
        <v>2787</v>
      </c>
      <c r="D2540" s="1841">
        <v>1.1000000000000001</v>
      </c>
      <c r="E2540" s="413" t="s">
        <v>10</v>
      </c>
      <c r="F2540" s="1883">
        <f>'Bahan &amp; Upah'!C230</f>
        <v>79934.84</v>
      </c>
      <c r="G2540" s="332">
        <f t="shared" ref="G2540:G2545" si="15">F2540*D2540</f>
        <v>87928.324000000008</v>
      </c>
      <c r="H2540" s="1980">
        <v>0.95379999999999998</v>
      </c>
      <c r="I2540" s="2058">
        <f t="shared" ref="I2540:I2545" si="16">(G2540/G$2547)*H2540</f>
        <v>0.33214843147834938</v>
      </c>
      <c r="J2540" s="1981"/>
    </row>
    <row r="2541" spans="1:10" ht="15.75" customHeight="1">
      <c r="A2541" s="1780"/>
      <c r="B2541" s="1784"/>
      <c r="C2541" s="1878" t="s">
        <v>2769</v>
      </c>
      <c r="D2541" s="1841">
        <v>1</v>
      </c>
      <c r="E2541" s="413" t="s">
        <v>124</v>
      </c>
      <c r="F2541" s="1883">
        <f>'Bahan &amp; Upah'!C$240</f>
        <v>3415.12</v>
      </c>
      <c r="G2541" s="332">
        <f t="shared" si="15"/>
        <v>3415.12</v>
      </c>
      <c r="H2541" s="1980">
        <v>0.7772</v>
      </c>
      <c r="I2541" s="2058">
        <f t="shared" si="16"/>
        <v>1.0511987917225695E-2</v>
      </c>
      <c r="J2541" s="1981"/>
    </row>
    <row r="2542" spans="1:10" ht="15.75" customHeight="1">
      <c r="A2542" s="1780"/>
      <c r="B2542" s="1784"/>
      <c r="C2542" s="1878" t="s">
        <v>2770</v>
      </c>
      <c r="D2542" s="1841">
        <v>5</v>
      </c>
      <c r="E2542" s="413" t="s">
        <v>124</v>
      </c>
      <c r="F2542" s="1883">
        <f>'Bahan &amp; Upah'!C$241</f>
        <v>1085.1400000000001</v>
      </c>
      <c r="G2542" s="332">
        <f t="shared" si="15"/>
        <v>5425.7000000000007</v>
      </c>
      <c r="H2542" s="1980">
        <v>0.89190000000000003</v>
      </c>
      <c r="I2542" s="2058">
        <f t="shared" si="16"/>
        <v>1.9165406427153794E-2</v>
      </c>
      <c r="J2542" s="1981"/>
    </row>
    <row r="2543" spans="1:10" ht="15.75" customHeight="1">
      <c r="A2543" s="1780"/>
      <c r="B2543" s="1784"/>
      <c r="C2543" s="1878" t="s">
        <v>2772</v>
      </c>
      <c r="D2543" s="1841">
        <v>10</v>
      </c>
      <c r="E2543" s="413" t="s">
        <v>124</v>
      </c>
      <c r="F2543" s="1883">
        <f>'Bahan &amp; Upah'!C$244</f>
        <v>12546.27</v>
      </c>
      <c r="G2543" s="332">
        <f t="shared" si="15"/>
        <v>125462.70000000001</v>
      </c>
      <c r="H2543" s="1980">
        <v>0.91420000000000001</v>
      </c>
      <c r="I2543" s="2058">
        <f t="shared" si="16"/>
        <v>0.4542573249201351</v>
      </c>
      <c r="J2543" s="1981"/>
    </row>
    <row r="2544" spans="1:10" ht="15.75" customHeight="1">
      <c r="A2544" s="1780"/>
      <c r="B2544" s="1784"/>
      <c r="C2544" s="1878" t="s">
        <v>2778</v>
      </c>
      <c r="D2544" s="1841">
        <v>0.5</v>
      </c>
      <c r="E2544" s="413" t="s">
        <v>124</v>
      </c>
      <c r="F2544" s="1883">
        <f>'Bahan &amp; Upah'!C$247</f>
        <v>8720.84</v>
      </c>
      <c r="G2544" s="332">
        <f t="shared" si="15"/>
        <v>4360.42</v>
      </c>
      <c r="H2544" s="1980">
        <v>0.6089</v>
      </c>
      <c r="I2544" s="2058">
        <f t="shared" si="16"/>
        <v>1.0515269058848831E-2</v>
      </c>
      <c r="J2544" s="1981"/>
    </row>
    <row r="2545" spans="1:10" ht="15.75" customHeight="1">
      <c r="A2545" s="1780"/>
      <c r="B2545" s="1784"/>
      <c r="C2545" s="1878" t="s">
        <v>2780</v>
      </c>
      <c r="D2545" s="1841">
        <v>4</v>
      </c>
      <c r="E2545" s="413" t="s">
        <v>124</v>
      </c>
      <c r="F2545" s="1883">
        <f>'Bahan &amp; Upah'!C$243</f>
        <v>1317.96</v>
      </c>
      <c r="G2545" s="1794">
        <f t="shared" si="15"/>
        <v>5271.84</v>
      </c>
      <c r="H2545" s="1980">
        <v>0.67700000000000005</v>
      </c>
      <c r="I2545" s="1982">
        <f t="shared" si="16"/>
        <v>1.4135038062872956E-2</v>
      </c>
      <c r="J2545" s="1981"/>
    </row>
    <row r="2546" spans="1:10" ht="15.75" customHeight="1">
      <c r="A2546" s="1780"/>
      <c r="B2546" s="1784"/>
      <c r="C2546" s="1878"/>
      <c r="D2546" s="1841"/>
      <c r="E2546" s="413"/>
      <c r="F2546" s="1883"/>
      <c r="G2546" s="361">
        <f>SUM(G2540:G2545)</f>
        <v>231864.10400000002</v>
      </c>
      <c r="H2546" s="1980"/>
      <c r="I2546" s="1983">
        <f>SUM(I2540:I2545)</f>
        <v>0.84073345786458575</v>
      </c>
      <c r="J2546" s="1981"/>
    </row>
    <row r="2547" spans="1:10" ht="15.75" customHeight="1">
      <c r="A2547" s="1780"/>
      <c r="B2547" s="1784"/>
      <c r="C2547" s="1804" t="s">
        <v>2298</v>
      </c>
      <c r="D2547" s="1763"/>
      <c r="E2547" s="1764"/>
      <c r="F2547" s="1765"/>
      <c r="G2547" s="1765">
        <f>G2538+G2546</f>
        <v>252495.65400000001</v>
      </c>
      <c r="H2547" s="1980"/>
      <c r="I2547" s="1984">
        <f>I2538+I2546</f>
        <v>0.92244397316715809</v>
      </c>
      <c r="J2547" s="1981"/>
    </row>
    <row r="2548" spans="1:10" ht="15.75" customHeight="1">
      <c r="A2548" s="1780"/>
      <c r="B2548" s="1784"/>
      <c r="C2548" s="1762" t="s">
        <v>2094</v>
      </c>
      <c r="D2548" s="1767">
        <f>M$4</f>
        <v>0.15</v>
      </c>
      <c r="E2548" s="1768"/>
      <c r="F2548" s="1765"/>
      <c r="G2548" s="1765">
        <f>G2547*D2548</f>
        <v>37874.348100000003</v>
      </c>
      <c r="H2548" s="1980"/>
      <c r="I2548" s="1980"/>
      <c r="J2548" s="1981"/>
    </row>
    <row r="2549" spans="1:10" ht="15.75" customHeight="1">
      <c r="A2549" s="1786"/>
      <c r="B2549" s="1890"/>
      <c r="C2549" s="1788" t="s">
        <v>2111</v>
      </c>
      <c r="D2549" s="1772"/>
      <c r="E2549" s="1773"/>
      <c r="F2549" s="1774"/>
      <c r="G2549" s="1861">
        <f>ROUNDUP((G2547+G2548),2)</f>
        <v>290370.01</v>
      </c>
      <c r="H2549" s="1985"/>
      <c r="I2549" s="1985"/>
      <c r="J2549" s="1986"/>
    </row>
    <row r="2550" spans="1:10" ht="15.75" customHeight="1">
      <c r="A2550" s="1733"/>
      <c r="B2550" s="1733"/>
      <c r="C2550" s="1733"/>
      <c r="D2550" s="1733"/>
      <c r="E2550" s="1733"/>
      <c r="F2550" s="1733"/>
      <c r="G2550" s="1733"/>
      <c r="H2550" s="1733"/>
      <c r="I2550" s="1733"/>
      <c r="J2550" s="1733"/>
    </row>
    <row r="2551" spans="1:10" ht="27.75" customHeight="1">
      <c r="A2551" s="1778">
        <f>A2535+1</f>
        <v>133</v>
      </c>
      <c r="B2551" s="1871" t="s">
        <v>2147</v>
      </c>
      <c r="C2551" s="1872" t="s">
        <v>2788</v>
      </c>
      <c r="D2551" s="1873"/>
      <c r="E2551" s="1874"/>
      <c r="F2551" s="1875"/>
      <c r="G2551" s="1875"/>
      <c r="H2551" s="1800"/>
      <c r="I2551" s="1800"/>
      <c r="J2551" s="1801"/>
    </row>
    <row r="2552" spans="1:10" ht="15.75" customHeight="1">
      <c r="A2552" s="1780"/>
      <c r="B2552" s="1739" t="s">
        <v>1004</v>
      </c>
      <c r="C2552" s="1877" t="s">
        <v>2067</v>
      </c>
      <c r="D2552" s="390"/>
      <c r="E2552" s="413"/>
      <c r="F2552" s="320"/>
      <c r="G2552" s="320"/>
      <c r="H2552" s="1802"/>
      <c r="I2552" s="1802"/>
      <c r="J2552" s="1803"/>
    </row>
    <row r="2553" spans="1:10" ht="15.75" customHeight="1">
      <c r="A2553" s="1780"/>
      <c r="B2553" s="1739"/>
      <c r="C2553" s="1878" t="s">
        <v>2492</v>
      </c>
      <c r="D2553" s="1781">
        <v>1</v>
      </c>
      <c r="E2553" s="413" t="s">
        <v>10</v>
      </c>
      <c r="F2553" s="1747">
        <v>10515</v>
      </c>
      <c r="G2553" s="1794">
        <f>F2553*D2553</f>
        <v>10515</v>
      </c>
      <c r="H2553" s="2058">
        <v>1</v>
      </c>
      <c r="I2553" s="1982">
        <f>(G2553/G$2558)*H2553</f>
        <v>0.34158176689479175</v>
      </c>
      <c r="J2553" s="1981"/>
    </row>
    <row r="2554" spans="1:10" ht="15.75" customHeight="1">
      <c r="A2554" s="1780"/>
      <c r="B2554" s="1739"/>
      <c r="C2554" s="1889" t="s">
        <v>2108</v>
      </c>
      <c r="D2554" s="1841"/>
      <c r="E2554" s="413"/>
      <c r="F2554" s="320"/>
      <c r="G2554" s="361">
        <f>SUM(G2553:G2553)</f>
        <v>10515</v>
      </c>
      <c r="H2554" s="1983"/>
      <c r="I2554" s="1983">
        <f>SUM(I2553:I2553)</f>
        <v>0.34158176689479175</v>
      </c>
      <c r="J2554" s="1981"/>
    </row>
    <row r="2555" spans="1:10" ht="15.75" customHeight="1">
      <c r="A2555" s="1780"/>
      <c r="B2555" s="1739" t="s">
        <v>1015</v>
      </c>
      <c r="C2555" s="1877" t="s">
        <v>2075</v>
      </c>
      <c r="D2555" s="1841"/>
      <c r="E2555" s="413"/>
      <c r="F2555" s="320"/>
      <c r="G2555" s="320"/>
      <c r="H2555" s="1980"/>
      <c r="I2555" s="1980"/>
      <c r="J2555" s="1981"/>
    </row>
    <row r="2556" spans="1:10" ht="15.75" customHeight="1">
      <c r="A2556" s="1780"/>
      <c r="B2556" s="1784"/>
      <c r="C2556" s="1878" t="s">
        <v>2789</v>
      </c>
      <c r="D2556" s="1841">
        <v>1.1000000000000001</v>
      </c>
      <c r="E2556" s="413" t="s">
        <v>10</v>
      </c>
      <c r="F2556" s="1883">
        <f>'Bahan &amp; Upah'!C231</f>
        <v>18425.689999999999</v>
      </c>
      <c r="G2556" s="332">
        <f>F2556*D2556</f>
        <v>20268.259000000002</v>
      </c>
      <c r="H2556" s="1980">
        <v>0.95379999999999998</v>
      </c>
      <c r="I2556" s="1982">
        <f>(G2556/G$2558)*H2556</f>
        <v>0.62799931073574766</v>
      </c>
      <c r="J2556" s="1981"/>
    </row>
    <row r="2557" spans="1:10" ht="15.75" customHeight="1">
      <c r="A2557" s="1780"/>
      <c r="B2557" s="1784"/>
      <c r="C2557" s="1878"/>
      <c r="D2557" s="1841"/>
      <c r="E2557" s="413"/>
      <c r="F2557" s="1883"/>
      <c r="G2557" s="361">
        <f>SUM(G2556:G2556)</f>
        <v>20268.259000000002</v>
      </c>
      <c r="H2557" s="1980"/>
      <c r="I2557" s="1983">
        <f>SUM(I2556:I2556)</f>
        <v>0.62799931073574766</v>
      </c>
      <c r="J2557" s="1981"/>
    </row>
    <row r="2558" spans="1:10" ht="15.75" customHeight="1">
      <c r="A2558" s="1780"/>
      <c r="B2558" s="1784"/>
      <c r="C2558" s="1804" t="s">
        <v>2298</v>
      </c>
      <c r="D2558" s="1763"/>
      <c r="E2558" s="1764"/>
      <c r="F2558" s="1765"/>
      <c r="G2558" s="1765">
        <f>G2554+G2557</f>
        <v>30783.259000000002</v>
      </c>
      <c r="H2558" s="1980"/>
      <c r="I2558" s="1984">
        <f>I2554+I2557</f>
        <v>0.96958107763053936</v>
      </c>
      <c r="J2558" s="1981"/>
    </row>
    <row r="2559" spans="1:10" ht="15.75" customHeight="1">
      <c r="A2559" s="1780"/>
      <c r="B2559" s="1784"/>
      <c r="C2559" s="1762" t="s">
        <v>2094</v>
      </c>
      <c r="D2559" s="1767">
        <f>M$4</f>
        <v>0.15</v>
      </c>
      <c r="E2559" s="1768"/>
      <c r="F2559" s="1765"/>
      <c r="G2559" s="1765">
        <f>G2558*D2559</f>
        <v>4617.4888499999997</v>
      </c>
      <c r="H2559" s="1980"/>
      <c r="I2559" s="1980"/>
      <c r="J2559" s="1981"/>
    </row>
    <row r="2560" spans="1:10" ht="15.75" customHeight="1">
      <c r="A2560" s="1786"/>
      <c r="B2560" s="1890"/>
      <c r="C2560" s="1788" t="s">
        <v>2111</v>
      </c>
      <c r="D2560" s="1772"/>
      <c r="E2560" s="1773"/>
      <c r="F2560" s="1774"/>
      <c r="G2560" s="1861">
        <f>ROUNDUP((G2558+G2559),2)</f>
        <v>35400.75</v>
      </c>
      <c r="H2560" s="1985"/>
      <c r="I2560" s="1985"/>
      <c r="J2560" s="1986"/>
    </row>
    <row r="2561" spans="1:12" ht="15.75" customHeight="1">
      <c r="A2561" s="1733"/>
      <c r="B2561" s="1733"/>
      <c r="C2561" s="1733"/>
      <c r="D2561" s="1733"/>
      <c r="E2561" s="1733"/>
      <c r="F2561" s="1733"/>
      <c r="G2561" s="1733"/>
      <c r="H2561" s="1733"/>
      <c r="I2561" s="1733"/>
      <c r="J2561" s="1733"/>
    </row>
    <row r="2562" spans="1:12" ht="27.75" customHeight="1">
      <c r="A2562" s="1778">
        <f>A2551+1</f>
        <v>134</v>
      </c>
      <c r="B2562" s="1871" t="s">
        <v>2147</v>
      </c>
      <c r="C2562" s="1872" t="s">
        <v>2790</v>
      </c>
      <c r="D2562" s="1873"/>
      <c r="E2562" s="1874"/>
      <c r="F2562" s="1875"/>
      <c r="G2562" s="1875"/>
      <c r="H2562" s="1800"/>
      <c r="I2562" s="1800"/>
      <c r="J2562" s="1801"/>
    </row>
    <row r="2563" spans="1:12" ht="15.75" customHeight="1">
      <c r="A2563" s="1780"/>
      <c r="B2563" s="1739" t="s">
        <v>1004</v>
      </c>
      <c r="C2563" s="1877" t="s">
        <v>2067</v>
      </c>
      <c r="D2563" s="390"/>
      <c r="E2563" s="413"/>
      <c r="F2563" s="320"/>
      <c r="G2563" s="320"/>
      <c r="H2563" s="1802"/>
      <c r="I2563" s="1802"/>
      <c r="J2563" s="1803"/>
    </row>
    <row r="2564" spans="1:12" ht="15.75" customHeight="1">
      <c r="A2564" s="1780"/>
      <c r="B2564" s="1739"/>
      <c r="C2564" s="1878" t="s">
        <v>2492</v>
      </c>
      <c r="D2564" s="1781">
        <v>1</v>
      </c>
      <c r="E2564" s="413" t="s">
        <v>10</v>
      </c>
      <c r="F2564" s="1747">
        <v>11797.78</v>
      </c>
      <c r="G2564" s="1794">
        <f>F2564*D2564</f>
        <v>11797.78</v>
      </c>
      <c r="H2564" s="2058">
        <v>1</v>
      </c>
      <c r="I2564" s="1982">
        <f>(G2564/G$2569)*H2564</f>
        <v>0.28952154433347577</v>
      </c>
      <c r="J2564" s="1981"/>
    </row>
    <row r="2565" spans="1:12" ht="15.75" customHeight="1">
      <c r="A2565" s="1780"/>
      <c r="B2565" s="1739"/>
      <c r="C2565" s="1889" t="s">
        <v>2108</v>
      </c>
      <c r="D2565" s="1841"/>
      <c r="E2565" s="413"/>
      <c r="F2565" s="320"/>
      <c r="G2565" s="361">
        <f>SUM(G2564:G2564)</f>
        <v>11797.78</v>
      </c>
      <c r="H2565" s="1983"/>
      <c r="I2565" s="1983">
        <f>SUM(I2564:I2564)</f>
        <v>0.28952154433347577</v>
      </c>
      <c r="J2565" s="1981"/>
    </row>
    <row r="2566" spans="1:12" ht="15.75" customHeight="1">
      <c r="A2566" s="1780"/>
      <c r="B2566" s="1739" t="s">
        <v>1015</v>
      </c>
      <c r="C2566" s="1877" t="s">
        <v>2075</v>
      </c>
      <c r="D2566" s="1841"/>
      <c r="E2566" s="413"/>
      <c r="F2566" s="320"/>
      <c r="G2566" s="320"/>
      <c r="H2566" s="1980"/>
      <c r="I2566" s="1980"/>
      <c r="J2566" s="1981"/>
    </row>
    <row r="2567" spans="1:12" ht="15.75" customHeight="1">
      <c r="A2567" s="1780"/>
      <c r="B2567" s="1784"/>
      <c r="C2567" s="1878" t="s">
        <v>2791</v>
      </c>
      <c r="D2567" s="1841">
        <v>1.1000000000000001</v>
      </c>
      <c r="E2567" s="413" t="s">
        <v>10</v>
      </c>
      <c r="F2567" s="1883">
        <f>'Bahan &amp; Upah'!C232</f>
        <v>26319.5</v>
      </c>
      <c r="G2567" s="332">
        <f>F2567*D2567</f>
        <v>28951.45</v>
      </c>
      <c r="H2567" s="1980">
        <v>0.95379999999999998</v>
      </c>
      <c r="I2567" s="1982">
        <f>(G2567/G$2569)*H2567</f>
        <v>0.67765435101473082</v>
      </c>
      <c r="J2567" s="1981"/>
    </row>
    <row r="2568" spans="1:12" ht="15.75" customHeight="1">
      <c r="A2568" s="1780"/>
      <c r="B2568" s="1784"/>
      <c r="C2568" s="1878"/>
      <c r="D2568" s="1841"/>
      <c r="E2568" s="413"/>
      <c r="F2568" s="1883"/>
      <c r="G2568" s="361">
        <f>SUM(G2567:G2567)</f>
        <v>28951.45</v>
      </c>
      <c r="H2568" s="1980"/>
      <c r="I2568" s="1983">
        <f>SUM(I2567:I2567)</f>
        <v>0.67765435101473082</v>
      </c>
      <c r="J2568" s="1981"/>
    </row>
    <row r="2569" spans="1:12" ht="15.75" customHeight="1">
      <c r="A2569" s="1780"/>
      <c r="B2569" s="1784"/>
      <c r="C2569" s="1804" t="s">
        <v>2298</v>
      </c>
      <c r="D2569" s="1763"/>
      <c r="E2569" s="1764"/>
      <c r="F2569" s="1765"/>
      <c r="G2569" s="1765">
        <f>G2565+G2568</f>
        <v>40749.230000000003</v>
      </c>
      <c r="H2569" s="1980"/>
      <c r="I2569" s="1984">
        <f>I2565+I2568</f>
        <v>0.96717589534820658</v>
      </c>
      <c r="J2569" s="1981"/>
    </row>
    <row r="2570" spans="1:12" ht="15.75" customHeight="1">
      <c r="A2570" s="1780"/>
      <c r="B2570" s="1784"/>
      <c r="C2570" s="1762" t="s">
        <v>2094</v>
      </c>
      <c r="D2570" s="1767">
        <f>M$4</f>
        <v>0.15</v>
      </c>
      <c r="E2570" s="1768"/>
      <c r="F2570" s="1765"/>
      <c r="G2570" s="1765">
        <f>G2569*D2570</f>
        <v>6112.3845000000001</v>
      </c>
      <c r="H2570" s="1980"/>
      <c r="I2570" s="1980"/>
      <c r="J2570" s="1981"/>
    </row>
    <row r="2571" spans="1:12" ht="15.75" customHeight="1">
      <c r="A2571" s="1786"/>
      <c r="B2571" s="1890"/>
      <c r="C2571" s="1788" t="s">
        <v>2111</v>
      </c>
      <c r="D2571" s="1772"/>
      <c r="E2571" s="1773"/>
      <c r="F2571" s="1774"/>
      <c r="G2571" s="1861">
        <f>ROUNDUP((G2569+G2570),2)</f>
        <v>46861.62</v>
      </c>
      <c r="H2571" s="1985"/>
      <c r="I2571" s="1985"/>
      <c r="J2571" s="1986"/>
    </row>
    <row r="2572" spans="1:12" ht="15.75" customHeight="1">
      <c r="A2572" s="1733"/>
      <c r="B2572" s="1733"/>
      <c r="C2572" s="1733"/>
      <c r="D2572" s="1733"/>
      <c r="E2572" s="1733"/>
      <c r="F2572" s="1733"/>
      <c r="G2572" s="1733"/>
      <c r="H2572" s="1733"/>
      <c r="I2572" s="1733"/>
      <c r="J2572" s="1733"/>
    </row>
    <row r="2573" spans="1:12" ht="30" customHeight="1">
      <c r="A2573" s="1778">
        <f>A2562+1</f>
        <v>135</v>
      </c>
      <c r="B2573" s="1871" t="s">
        <v>2792</v>
      </c>
      <c r="C2573" s="1872" t="s">
        <v>2793</v>
      </c>
      <c r="D2573" s="1873"/>
      <c r="E2573" s="1874"/>
      <c r="F2573" s="1875"/>
      <c r="G2573" s="1875"/>
      <c r="H2573" s="1800"/>
      <c r="I2573" s="1800"/>
      <c r="J2573" s="1801"/>
      <c r="L2573" s="944"/>
    </row>
    <row r="2574" spans="1:12" ht="15.75" customHeight="1">
      <c r="A2574" s="1780"/>
      <c r="B2574" s="1739" t="s">
        <v>1004</v>
      </c>
      <c r="C2574" s="1877" t="s">
        <v>2067</v>
      </c>
      <c r="D2574" s="390"/>
      <c r="E2574" s="413"/>
      <c r="F2574" s="320"/>
      <c r="G2574" s="320"/>
      <c r="H2574" s="1802"/>
      <c r="I2574" s="1802"/>
      <c r="J2574" s="1803"/>
      <c r="L2574" s="944"/>
    </row>
    <row r="2575" spans="1:12" ht="15.75" customHeight="1">
      <c r="A2575" s="1780"/>
      <c r="B2575" s="1739"/>
      <c r="C2575" s="1878" t="s">
        <v>2103</v>
      </c>
      <c r="D2575" s="1781">
        <v>0.20499999999999999</v>
      </c>
      <c r="E2575" s="413" t="s">
        <v>2069</v>
      </c>
      <c r="F2575" s="1747">
        <f>'Bahan &amp; Upah'!C$336</f>
        <v>96332.65</v>
      </c>
      <c r="G2575" s="388">
        <f>F2575*D2575</f>
        <v>19748.193249999997</v>
      </c>
      <c r="H2575" s="2058">
        <v>1</v>
      </c>
      <c r="I2575" s="2058">
        <f>(G2575/G$2591)*H2575</f>
        <v>3.266565109545818E-2</v>
      </c>
      <c r="J2575" s="1803"/>
      <c r="L2575" s="944"/>
    </row>
    <row r="2576" spans="1:12" ht="15.75" customHeight="1">
      <c r="A2576" s="1780"/>
      <c r="B2576" s="1739"/>
      <c r="C2576" s="1878" t="s">
        <v>2766</v>
      </c>
      <c r="D2576" s="1781">
        <v>0.34200000000000003</v>
      </c>
      <c r="E2576" s="413" t="s">
        <v>2069</v>
      </c>
      <c r="F2576" s="1883">
        <f>'Bahan &amp; Upah'!C$337</f>
        <v>114133.55</v>
      </c>
      <c r="G2576" s="332">
        <f>F2576*D2576</f>
        <v>39033.674100000004</v>
      </c>
      <c r="H2576" s="1980">
        <v>1</v>
      </c>
      <c r="I2576" s="2058">
        <f>(G2576/G$2591)*H2576</f>
        <v>6.4565925752444367E-2</v>
      </c>
      <c r="J2576" s="1803"/>
      <c r="L2576" s="944"/>
    </row>
    <row r="2577" spans="1:12" ht="15.75" customHeight="1">
      <c r="A2577" s="1780"/>
      <c r="B2577" s="1739"/>
      <c r="C2577" s="1878" t="s">
        <v>2105</v>
      </c>
      <c r="D2577" s="1781">
        <v>3.4000000000000002E-2</v>
      </c>
      <c r="E2577" s="413" t="s">
        <v>2069</v>
      </c>
      <c r="F2577" s="1748">
        <f>'Bahan &amp; Upah'!C$338</f>
        <v>125485.75</v>
      </c>
      <c r="G2577" s="332">
        <f>F2577*D2577</f>
        <v>4266.5155000000004</v>
      </c>
      <c r="H2577" s="1980">
        <v>1</v>
      </c>
      <c r="I2577" s="2058">
        <f>(G2577/G$2591)*H2577</f>
        <v>7.0572788584780709E-3</v>
      </c>
      <c r="J2577" s="1803"/>
      <c r="L2577" s="944"/>
    </row>
    <row r="2578" spans="1:12" ht="15.75" customHeight="1">
      <c r="A2578" s="1780"/>
      <c r="B2578" s="1739"/>
      <c r="C2578" s="1878" t="s">
        <v>2107</v>
      </c>
      <c r="D2578" s="1781">
        <v>1.0999999999999999E-2</v>
      </c>
      <c r="E2578" s="413" t="s">
        <v>2069</v>
      </c>
      <c r="F2578" s="1883">
        <f>'Bahan &amp; Upah'!C$339</f>
        <v>102689.88</v>
      </c>
      <c r="G2578" s="1794">
        <f>F2578*D2578</f>
        <v>1129.5886800000001</v>
      </c>
      <c r="H2578" s="1980">
        <v>1</v>
      </c>
      <c r="I2578" s="1982">
        <f>(G2578/G$2591)*H2578</f>
        <v>1.8684620529657401E-3</v>
      </c>
      <c r="J2578" s="1981"/>
      <c r="L2578" s="944"/>
    </row>
    <row r="2579" spans="1:12" ht="15.75" customHeight="1">
      <c r="A2579" s="1780"/>
      <c r="B2579" s="1739"/>
      <c r="C2579" s="1889" t="s">
        <v>2108</v>
      </c>
      <c r="D2579" s="1841"/>
      <c r="E2579" s="413"/>
      <c r="F2579" s="320"/>
      <c r="G2579" s="361">
        <f>SUM(G2575:G2578)</f>
        <v>64177.971530000003</v>
      </c>
      <c r="H2579" s="1980"/>
      <c r="I2579" s="1983">
        <f>SUM(I2575:I2578)</f>
        <v>0.10615731775934635</v>
      </c>
      <c r="J2579" s="1981"/>
      <c r="L2579" s="944"/>
    </row>
    <row r="2580" spans="1:12" ht="15.75" customHeight="1">
      <c r="A2580" s="1780"/>
      <c r="B2580" s="1739" t="s">
        <v>1015</v>
      </c>
      <c r="C2580" s="1877" t="s">
        <v>2075</v>
      </c>
      <c r="D2580" s="1841"/>
      <c r="E2580" s="413"/>
      <c r="F2580" s="320"/>
      <c r="G2580" s="320"/>
      <c r="H2580" s="1980"/>
      <c r="I2580" s="1980"/>
      <c r="J2580" s="1981"/>
      <c r="L2580" s="944"/>
    </row>
    <row r="2581" spans="1:12" ht="15.75" customHeight="1">
      <c r="A2581" s="1780"/>
      <c r="B2581" s="1784"/>
      <c r="C2581" s="1878" t="s">
        <v>2794</v>
      </c>
      <c r="D2581" s="1841">
        <v>14.3</v>
      </c>
      <c r="E2581" s="413" t="s">
        <v>10</v>
      </c>
      <c r="F2581" s="1883">
        <f>'Bahan &amp; Upah'!C226</f>
        <v>21013.200000000001</v>
      </c>
      <c r="G2581" s="332">
        <f t="shared" ref="G2581:G2589" si="17">F2581*D2581</f>
        <v>300488.76</v>
      </c>
      <c r="H2581" s="1980">
        <v>0.95379999999999998</v>
      </c>
      <c r="I2581" s="2058">
        <f t="shared" ref="I2581:I2589" si="18">(G2581/G$2591)*H2581</f>
        <v>0.47407767059521472</v>
      </c>
      <c r="J2581" s="1981"/>
      <c r="L2581" s="2013"/>
    </row>
    <row r="2582" spans="1:12" ht="15.75" customHeight="1">
      <c r="A2582" s="1780"/>
      <c r="B2582" s="1784"/>
      <c r="C2582" s="1878" t="s">
        <v>2768</v>
      </c>
      <c r="D2582" s="1841">
        <v>14.3</v>
      </c>
      <c r="E2582" s="413" t="s">
        <v>10</v>
      </c>
      <c r="F2582" s="1883">
        <f>'Bahan &amp; Upah'!C$224/4</f>
        <v>7597.8050000000003</v>
      </c>
      <c r="G2582" s="332">
        <f t="shared" si="17"/>
        <v>108648.61150000001</v>
      </c>
      <c r="H2582" s="1980">
        <v>0.91420000000000001</v>
      </c>
      <c r="I2582" s="2058">
        <f t="shared" si="18"/>
        <v>0.16429689202880626</v>
      </c>
      <c r="J2582" s="1981"/>
      <c r="L2582" s="2013"/>
    </row>
    <row r="2583" spans="1:12" ht="15.75" customHeight="1">
      <c r="A2583" s="1780"/>
      <c r="B2583" s="1784"/>
      <c r="C2583" s="1878" t="s">
        <v>2769</v>
      </c>
      <c r="D2583" s="1841">
        <v>1</v>
      </c>
      <c r="E2583" s="413" t="s">
        <v>124</v>
      </c>
      <c r="F2583" s="1883">
        <f>'Bahan &amp; Upah'!C$240</f>
        <v>3415.12</v>
      </c>
      <c r="G2583" s="332">
        <f t="shared" si="17"/>
        <v>3415.12</v>
      </c>
      <c r="H2583" s="1980">
        <v>0.7772</v>
      </c>
      <c r="I2583" s="2058">
        <f t="shared" si="18"/>
        <v>4.3903860621011988E-3</v>
      </c>
      <c r="J2583" s="1981"/>
      <c r="L2583" s="2013"/>
    </row>
    <row r="2584" spans="1:12" ht="15.75" customHeight="1">
      <c r="A2584" s="1780"/>
      <c r="B2584" s="1784"/>
      <c r="C2584" s="1878" t="s">
        <v>2770</v>
      </c>
      <c r="D2584" s="1841">
        <v>8</v>
      </c>
      <c r="E2584" s="413" t="s">
        <v>124</v>
      </c>
      <c r="F2584" s="1883">
        <f>'Bahan &amp; Upah'!C$241</f>
        <v>1085.1400000000001</v>
      </c>
      <c r="G2584" s="332">
        <f t="shared" si="17"/>
        <v>8681.1200000000008</v>
      </c>
      <c r="H2584" s="1980">
        <v>0.89190000000000003</v>
      </c>
      <c r="I2584" s="2058">
        <f t="shared" si="18"/>
        <v>1.2807249614797921E-2</v>
      </c>
      <c r="J2584" s="1981"/>
      <c r="L2584" s="2013"/>
    </row>
    <row r="2585" spans="1:12" ht="15.75" customHeight="1">
      <c r="A2585" s="1780"/>
      <c r="B2585" s="1784"/>
      <c r="C2585" s="1878" t="s">
        <v>2772</v>
      </c>
      <c r="D2585" s="1841">
        <v>8</v>
      </c>
      <c r="E2585" s="413" t="s">
        <v>124</v>
      </c>
      <c r="F2585" s="1883">
        <f>'Bahan &amp; Upah'!C$244</f>
        <v>12546.27</v>
      </c>
      <c r="G2585" s="332">
        <f t="shared" si="17"/>
        <v>100370.16</v>
      </c>
      <c r="H2585" s="1980">
        <v>0.91420000000000001</v>
      </c>
      <c r="I2585" s="2058">
        <f t="shared" si="18"/>
        <v>0.15177833487944764</v>
      </c>
      <c r="J2585" s="1981"/>
      <c r="L2585" s="2013"/>
    </row>
    <row r="2586" spans="1:12" ht="15.75" customHeight="1">
      <c r="A2586" s="1780"/>
      <c r="B2586" s="1784"/>
      <c r="C2586" s="1878" t="s">
        <v>2773</v>
      </c>
      <c r="D2586" s="1841">
        <v>12</v>
      </c>
      <c r="E2586" s="413" t="s">
        <v>124</v>
      </c>
      <c r="F2586" s="1883">
        <f>'Bahan &amp; Upah'!C$245</f>
        <v>319.48</v>
      </c>
      <c r="G2586" s="332">
        <f t="shared" si="17"/>
        <v>3833.76</v>
      </c>
      <c r="H2586" s="1980">
        <v>0.13650000000000001</v>
      </c>
      <c r="I2586" s="2058">
        <f t="shared" si="18"/>
        <v>8.6560852260336772E-4</v>
      </c>
      <c r="J2586" s="1981"/>
      <c r="L2586" s="2013"/>
    </row>
    <row r="2587" spans="1:12" ht="15.75" customHeight="1">
      <c r="A2587" s="1780"/>
      <c r="B2587" s="1784"/>
      <c r="C2587" s="1878" t="s">
        <v>2777</v>
      </c>
      <c r="D2587" s="1841">
        <v>4</v>
      </c>
      <c r="E2587" s="413" t="s">
        <v>124</v>
      </c>
      <c r="F2587" s="1883">
        <f>'Bahan &amp; Upah'!C$242</f>
        <v>1326.89</v>
      </c>
      <c r="G2587" s="332">
        <f t="shared" si="17"/>
        <v>5307.56</v>
      </c>
      <c r="H2587" s="1980">
        <v>0.65839999999999999</v>
      </c>
      <c r="I2587" s="2058">
        <f t="shared" si="18"/>
        <v>5.7802774549825468E-3</v>
      </c>
      <c r="J2587" s="1981"/>
      <c r="L2587" s="2013"/>
    </row>
    <row r="2588" spans="1:12" ht="15.75" customHeight="1">
      <c r="A2588" s="1780"/>
      <c r="B2588" s="1784"/>
      <c r="C2588" s="1878" t="s">
        <v>2778</v>
      </c>
      <c r="D2588" s="1841">
        <v>0.5</v>
      </c>
      <c r="E2588" s="413" t="s">
        <v>124</v>
      </c>
      <c r="F2588" s="1883">
        <f>'Bahan &amp; Upah'!C$247</f>
        <v>8720.84</v>
      </c>
      <c r="G2588" s="332">
        <f t="shared" si="17"/>
        <v>4360.42</v>
      </c>
      <c r="H2588" s="1980">
        <v>0.6089</v>
      </c>
      <c r="I2588" s="2058">
        <f t="shared" si="18"/>
        <v>4.3917564478515841E-3</v>
      </c>
      <c r="J2588" s="1981"/>
      <c r="L2588" s="2013"/>
    </row>
    <row r="2589" spans="1:12" ht="15.75" customHeight="1">
      <c r="A2589" s="1780"/>
      <c r="B2589" s="1784"/>
      <c r="C2589" s="1878" t="s">
        <v>2780</v>
      </c>
      <c r="D2589" s="1841">
        <v>4</v>
      </c>
      <c r="E2589" s="413" t="s">
        <v>124</v>
      </c>
      <c r="F2589" s="1883">
        <f>'Bahan &amp; Upah'!C$243</f>
        <v>1317.96</v>
      </c>
      <c r="G2589" s="1794">
        <f t="shared" si="17"/>
        <v>5271.84</v>
      </c>
      <c r="H2589" s="1980">
        <v>0.67700000000000005</v>
      </c>
      <c r="I2589" s="1982">
        <f t="shared" si="18"/>
        <v>5.9035716733287164E-3</v>
      </c>
      <c r="J2589" s="1981"/>
      <c r="L2589" s="2013"/>
    </row>
    <row r="2590" spans="1:12" ht="15.75" customHeight="1">
      <c r="A2590" s="1780"/>
      <c r="B2590" s="1784"/>
      <c r="C2590" s="1878"/>
      <c r="D2590" s="1841"/>
      <c r="E2590" s="413"/>
      <c r="F2590" s="1883"/>
      <c r="G2590" s="361">
        <f>SUM(G2581:G2589)</f>
        <v>540377.35150000011</v>
      </c>
      <c r="H2590" s="1980"/>
      <c r="I2590" s="1983">
        <f>SUM(I2581:I2589)</f>
        <v>0.8242917472791339</v>
      </c>
      <c r="J2590" s="1981"/>
      <c r="L2590" s="944"/>
    </row>
    <row r="2591" spans="1:12" ht="15.75" customHeight="1">
      <c r="A2591" s="1780"/>
      <c r="B2591" s="1784"/>
      <c r="C2591" s="1804" t="s">
        <v>2298</v>
      </c>
      <c r="D2591" s="1763"/>
      <c r="E2591" s="1764"/>
      <c r="F2591" s="1765"/>
      <c r="G2591" s="1765">
        <f>G2579+G2590</f>
        <v>604555.32303000009</v>
      </c>
      <c r="H2591" s="1980"/>
      <c r="I2591" s="1984">
        <f>I2579+I2590</f>
        <v>0.93044906503848024</v>
      </c>
      <c r="J2591" s="1981"/>
      <c r="L2591" s="944"/>
    </row>
    <row r="2592" spans="1:12" ht="15.75" customHeight="1">
      <c r="A2592" s="1780"/>
      <c r="B2592" s="1784"/>
      <c r="C2592" s="1762" t="s">
        <v>2094</v>
      </c>
      <c r="D2592" s="1767">
        <f>M$4</f>
        <v>0.15</v>
      </c>
      <c r="E2592" s="1768"/>
      <c r="F2592" s="1765"/>
      <c r="G2592" s="1765">
        <f>G2591*D2592</f>
        <v>90683.298454500007</v>
      </c>
      <c r="H2592" s="1980"/>
      <c r="I2592" s="1980"/>
      <c r="J2592" s="1981"/>
      <c r="L2592" s="944"/>
    </row>
    <row r="2593" spans="1:12" ht="15.75" customHeight="1">
      <c r="A2593" s="1786"/>
      <c r="B2593" s="1890"/>
      <c r="C2593" s="1788" t="s">
        <v>2111</v>
      </c>
      <c r="D2593" s="1772"/>
      <c r="E2593" s="1773"/>
      <c r="F2593" s="1774"/>
      <c r="G2593" s="1861">
        <f>ROUNDUP((G2591+G2592),2)</f>
        <v>695238.63</v>
      </c>
      <c r="H2593" s="1985"/>
      <c r="I2593" s="1985"/>
      <c r="J2593" s="1986"/>
      <c r="L2593" s="944"/>
    </row>
    <row r="2594" spans="1:12" ht="15.75" customHeight="1">
      <c r="A2594" s="1733"/>
      <c r="B2594" s="1733"/>
      <c r="C2594" s="1733"/>
      <c r="D2594" s="1733"/>
      <c r="E2594" s="1733"/>
      <c r="F2594" s="1733"/>
      <c r="G2594" s="1733"/>
      <c r="H2594" s="1733"/>
      <c r="I2594" s="1733"/>
      <c r="J2594" s="1733"/>
    </row>
    <row r="2595" spans="1:12" ht="30" customHeight="1">
      <c r="A2595" s="1778">
        <f>A2573+1</f>
        <v>136</v>
      </c>
      <c r="B2595" s="1871" t="s">
        <v>2792</v>
      </c>
      <c r="C2595" s="1872" t="s">
        <v>2795</v>
      </c>
      <c r="D2595" s="1873"/>
      <c r="E2595" s="1874"/>
      <c r="F2595" s="1875"/>
      <c r="G2595" s="1875"/>
      <c r="H2595" s="1800"/>
      <c r="I2595" s="1800"/>
      <c r="J2595" s="1801"/>
    </row>
    <row r="2596" spans="1:12" ht="15.75" customHeight="1">
      <c r="A2596" s="1780"/>
      <c r="B2596" s="1739" t="s">
        <v>1004</v>
      </c>
      <c r="C2596" s="1877" t="s">
        <v>2067</v>
      </c>
      <c r="D2596" s="390"/>
      <c r="E2596" s="413"/>
      <c r="F2596" s="320"/>
      <c r="G2596" s="320"/>
      <c r="H2596" s="1802"/>
      <c r="I2596" s="1802"/>
      <c r="J2596" s="1803"/>
    </row>
    <row r="2597" spans="1:12" ht="15.75" customHeight="1">
      <c r="A2597" s="1780"/>
      <c r="B2597" s="1739"/>
      <c r="C2597" s="1878" t="s">
        <v>2103</v>
      </c>
      <c r="D2597" s="1781">
        <v>0.20499999999999999</v>
      </c>
      <c r="E2597" s="413" t="s">
        <v>2069</v>
      </c>
      <c r="F2597" s="1747">
        <f>'Bahan &amp; Upah'!C$336</f>
        <v>96332.65</v>
      </c>
      <c r="G2597" s="388">
        <f>F2597*D2597</f>
        <v>19748.193249999997</v>
      </c>
      <c r="H2597" s="2058">
        <v>1</v>
      </c>
      <c r="I2597" s="2058">
        <f>(G2597/G$2613)*H2597</f>
        <v>2.7733124876039884E-2</v>
      </c>
      <c r="J2597" s="1803"/>
    </row>
    <row r="2598" spans="1:12" ht="15.75" customHeight="1">
      <c r="A2598" s="1780"/>
      <c r="B2598" s="1739"/>
      <c r="C2598" s="1878" t="s">
        <v>2766</v>
      </c>
      <c r="D2598" s="1781">
        <v>0.34200000000000003</v>
      </c>
      <c r="E2598" s="413" t="s">
        <v>2069</v>
      </c>
      <c r="F2598" s="1883">
        <f>'Bahan &amp; Upah'!C$337</f>
        <v>114133.55</v>
      </c>
      <c r="G2598" s="332">
        <f>F2598*D2598</f>
        <v>39033.674100000004</v>
      </c>
      <c r="H2598" s="1980">
        <v>1</v>
      </c>
      <c r="I2598" s="2058">
        <f>(G2598/G$2613)*H2598</f>
        <v>5.4816445458165851E-2</v>
      </c>
      <c r="J2598" s="1803"/>
    </row>
    <row r="2599" spans="1:12" ht="15.75" customHeight="1">
      <c r="A2599" s="1780"/>
      <c r="B2599" s="1739"/>
      <c r="C2599" s="1878" t="s">
        <v>2105</v>
      </c>
      <c r="D2599" s="1781">
        <v>3.4000000000000002E-2</v>
      </c>
      <c r="E2599" s="413" t="s">
        <v>2069</v>
      </c>
      <c r="F2599" s="1748">
        <f>'Bahan &amp; Upah'!C$338</f>
        <v>125485.75</v>
      </c>
      <c r="G2599" s="332">
        <f>F2599*D2599</f>
        <v>4266.5155000000004</v>
      </c>
      <c r="H2599" s="1980">
        <v>1</v>
      </c>
      <c r="I2599" s="2058">
        <f>(G2599/G$2613)*H2599</f>
        <v>5.9916269629911477E-3</v>
      </c>
      <c r="J2599" s="1803"/>
    </row>
    <row r="2600" spans="1:12" ht="15.75" customHeight="1">
      <c r="A2600" s="1780"/>
      <c r="B2600" s="1739"/>
      <c r="C2600" s="1878" t="s">
        <v>2107</v>
      </c>
      <c r="D2600" s="1781">
        <v>1.0999999999999999E-2</v>
      </c>
      <c r="E2600" s="413" t="s">
        <v>2069</v>
      </c>
      <c r="F2600" s="1883">
        <f>'Bahan &amp; Upah'!C$339</f>
        <v>102689.88</v>
      </c>
      <c r="G2600" s="1794">
        <f>F2600*D2600</f>
        <v>1129.5886800000001</v>
      </c>
      <c r="H2600" s="1980">
        <v>1</v>
      </c>
      <c r="I2600" s="1982">
        <f>(G2600/G$2613)*H2600</f>
        <v>1.5863235448640885E-3</v>
      </c>
      <c r="J2600" s="1981"/>
    </row>
    <row r="2601" spans="1:12" ht="15.75" customHeight="1">
      <c r="A2601" s="1780"/>
      <c r="B2601" s="1739"/>
      <c r="C2601" s="1889" t="s">
        <v>2108</v>
      </c>
      <c r="D2601" s="1841"/>
      <c r="E2601" s="413"/>
      <c r="F2601" s="320"/>
      <c r="G2601" s="361">
        <f>SUM(G2600:G2600)</f>
        <v>1129.5886800000001</v>
      </c>
      <c r="H2601" s="1980"/>
      <c r="I2601" s="1983">
        <f>SUM(I2600)</f>
        <v>1.5863235448640885E-3</v>
      </c>
      <c r="J2601" s="1981"/>
    </row>
    <row r="2602" spans="1:12" ht="15.75" customHeight="1">
      <c r="A2602" s="1780"/>
      <c r="B2602" s="1739" t="s">
        <v>1015</v>
      </c>
      <c r="C2602" s="1877" t="s">
        <v>2075</v>
      </c>
      <c r="D2602" s="1841"/>
      <c r="E2602" s="413"/>
      <c r="F2602" s="320"/>
      <c r="G2602" s="320"/>
      <c r="H2602" s="1980"/>
      <c r="I2602" s="1980"/>
      <c r="J2602" s="1981"/>
    </row>
    <row r="2603" spans="1:12" ht="15.75" customHeight="1">
      <c r="A2603" s="1780"/>
      <c r="B2603" s="1784"/>
      <c r="C2603" s="1878" t="s">
        <v>2796</v>
      </c>
      <c r="D2603" s="1841">
        <v>14.3</v>
      </c>
      <c r="E2603" s="413" t="s">
        <v>10</v>
      </c>
      <c r="F2603" s="1883">
        <f>'Bahan &amp; Upah'!C228</f>
        <v>32941.360000000001</v>
      </c>
      <c r="G2603" s="332">
        <f t="shared" ref="G2603:G2611" si="19">F2603*D2603</f>
        <v>471061.44800000003</v>
      </c>
      <c r="H2603" s="1980">
        <v>0.95379999999999998</v>
      </c>
      <c r="I2603" s="2058">
        <f t="shared" ref="I2603:I2611" si="20">(G2603/G$2613)*H2603</f>
        <v>0.6309665258234658</v>
      </c>
      <c r="J2603" s="1981"/>
    </row>
    <row r="2604" spans="1:12" ht="15.75" customHeight="1">
      <c r="A2604" s="1780"/>
      <c r="B2604" s="1784"/>
      <c r="C2604" s="1878" t="s">
        <v>2768</v>
      </c>
      <c r="D2604" s="1841">
        <v>14.3</v>
      </c>
      <c r="E2604" s="413" t="s">
        <v>10</v>
      </c>
      <c r="F2604" s="1883">
        <f>'Bahan &amp; Upah'!C$224/4</f>
        <v>7597.8050000000003</v>
      </c>
      <c r="G2604" s="332">
        <f t="shared" si="19"/>
        <v>108648.61150000001</v>
      </c>
      <c r="H2604" s="1980">
        <v>0.91420000000000001</v>
      </c>
      <c r="I2604" s="2058">
        <f t="shared" si="20"/>
        <v>0.13948799642979276</v>
      </c>
      <c r="J2604" s="1981"/>
    </row>
    <row r="2605" spans="1:12" ht="15.75" customHeight="1">
      <c r="A2605" s="1780"/>
      <c r="B2605" s="1784"/>
      <c r="C2605" s="1878" t="s">
        <v>2769</v>
      </c>
      <c r="D2605" s="1841">
        <v>1</v>
      </c>
      <c r="E2605" s="413" t="s">
        <v>124</v>
      </c>
      <c r="F2605" s="1883">
        <f>'Bahan &amp; Upah'!C$240</f>
        <v>3415.12</v>
      </c>
      <c r="G2605" s="332">
        <f t="shared" si="19"/>
        <v>3415.12</v>
      </c>
      <c r="H2605" s="1980">
        <v>0.7772</v>
      </c>
      <c r="I2605" s="2058">
        <f t="shared" si="20"/>
        <v>3.7274360323773519E-3</v>
      </c>
      <c r="J2605" s="1981"/>
    </row>
    <row r="2606" spans="1:12" ht="15.75" customHeight="1">
      <c r="A2606" s="1780"/>
      <c r="B2606" s="1784"/>
      <c r="C2606" s="1878" t="s">
        <v>2770</v>
      </c>
      <c r="D2606" s="1841">
        <v>8</v>
      </c>
      <c r="E2606" s="413" t="s">
        <v>124</v>
      </c>
      <c r="F2606" s="1883">
        <f>'Bahan &amp; Upah'!C$241</f>
        <v>1085.1400000000001</v>
      </c>
      <c r="G2606" s="332">
        <f t="shared" si="19"/>
        <v>8681.1200000000008</v>
      </c>
      <c r="H2606" s="1980">
        <v>0.89190000000000003</v>
      </c>
      <c r="I2606" s="2058">
        <f t="shared" si="20"/>
        <v>1.0873349863679566E-2</v>
      </c>
      <c r="J2606" s="1981"/>
    </row>
    <row r="2607" spans="1:12" ht="15.75" customHeight="1">
      <c r="A2607" s="1780"/>
      <c r="B2607" s="1784"/>
      <c r="C2607" s="1878" t="s">
        <v>2772</v>
      </c>
      <c r="D2607" s="1841">
        <v>8</v>
      </c>
      <c r="E2607" s="413" t="s">
        <v>124</v>
      </c>
      <c r="F2607" s="1883">
        <f>'Bahan &amp; Upah'!C$244</f>
        <v>12546.27</v>
      </c>
      <c r="G2607" s="332">
        <f t="shared" si="19"/>
        <v>100370.16</v>
      </c>
      <c r="H2607" s="1980">
        <v>0.91420000000000001</v>
      </c>
      <c r="I2607" s="2058">
        <f t="shared" si="20"/>
        <v>0.12885974635522818</v>
      </c>
      <c r="J2607" s="1981"/>
    </row>
    <row r="2608" spans="1:12" ht="15.75" customHeight="1">
      <c r="A2608" s="1780"/>
      <c r="B2608" s="1784"/>
      <c r="C2608" s="1878" t="s">
        <v>2773</v>
      </c>
      <c r="D2608" s="1841">
        <v>12</v>
      </c>
      <c r="E2608" s="413" t="s">
        <v>124</v>
      </c>
      <c r="F2608" s="1883">
        <f>'Bahan &amp; Upah'!C$245</f>
        <v>319.48</v>
      </c>
      <c r="G2608" s="332">
        <f t="shared" si="19"/>
        <v>3833.76</v>
      </c>
      <c r="H2608" s="1980">
        <v>0.13650000000000001</v>
      </c>
      <c r="I2608" s="2058">
        <f t="shared" si="20"/>
        <v>7.3490129374648768E-4</v>
      </c>
      <c r="J2608" s="1981"/>
    </row>
    <row r="2609" spans="1:10" ht="15.75" customHeight="1">
      <c r="A2609" s="1780"/>
      <c r="B2609" s="1784"/>
      <c r="C2609" s="1878" t="s">
        <v>2777</v>
      </c>
      <c r="D2609" s="1841">
        <v>4</v>
      </c>
      <c r="E2609" s="413" t="s">
        <v>124</v>
      </c>
      <c r="F2609" s="1883">
        <f>'Bahan &amp; Upah'!C$242</f>
        <v>1326.89</v>
      </c>
      <c r="G2609" s="332">
        <f t="shared" si="19"/>
        <v>5307.56</v>
      </c>
      <c r="H2609" s="1980">
        <v>0.65839999999999999</v>
      </c>
      <c r="I2609" s="2058">
        <f t="shared" si="20"/>
        <v>4.9074532758809066E-3</v>
      </c>
      <c r="J2609" s="1981"/>
    </row>
    <row r="2610" spans="1:10" ht="15.75" customHeight="1">
      <c r="A2610" s="1780"/>
      <c r="B2610" s="1784"/>
      <c r="C2610" s="1878" t="s">
        <v>2778</v>
      </c>
      <c r="D2610" s="1841">
        <v>0.5</v>
      </c>
      <c r="E2610" s="413" t="s">
        <v>124</v>
      </c>
      <c r="F2610" s="1883">
        <f>'Bahan &amp; Upah'!C$247</f>
        <v>8720.84</v>
      </c>
      <c r="G2610" s="332">
        <f t="shared" si="19"/>
        <v>4360.42</v>
      </c>
      <c r="H2610" s="1980">
        <v>0.6089</v>
      </c>
      <c r="I2610" s="2058">
        <f t="shared" si="20"/>
        <v>3.7285994893380817E-3</v>
      </c>
      <c r="J2610" s="1981"/>
    </row>
    <row r="2611" spans="1:10" ht="15.75" customHeight="1">
      <c r="A2611" s="1780"/>
      <c r="B2611" s="1784"/>
      <c r="C2611" s="1878" t="s">
        <v>2780</v>
      </c>
      <c r="D2611" s="1841">
        <v>4</v>
      </c>
      <c r="E2611" s="413" t="s">
        <v>124</v>
      </c>
      <c r="F2611" s="1883">
        <f>'Bahan &amp; Upah'!C$243</f>
        <v>1317.96</v>
      </c>
      <c r="G2611" s="1794">
        <f t="shared" si="19"/>
        <v>5271.84</v>
      </c>
      <c r="H2611" s="1980">
        <v>0.67700000000000005</v>
      </c>
      <c r="I2611" s="1982">
        <f t="shared" si="20"/>
        <v>5.0121300185515432E-3</v>
      </c>
      <c r="J2611" s="1981"/>
    </row>
    <row r="2612" spans="1:10" ht="15.75" customHeight="1">
      <c r="A2612" s="1780"/>
      <c r="B2612" s="1784"/>
      <c r="C2612" s="1878"/>
      <c r="D2612" s="1841"/>
      <c r="E2612" s="413"/>
      <c r="F2612" s="1883"/>
      <c r="G2612" s="361">
        <f>SUM(G2603:G2611)</f>
        <v>710950.03950000019</v>
      </c>
      <c r="H2612" s="1980"/>
      <c r="I2612" s="1983">
        <f>SUM(I2603:I2611)</f>
        <v>0.92829813858206089</v>
      </c>
      <c r="J2612" s="1981"/>
    </row>
    <row r="2613" spans="1:10" ht="15.75" customHeight="1">
      <c r="A2613" s="1780"/>
      <c r="B2613" s="1784"/>
      <c r="C2613" s="1804" t="s">
        <v>2298</v>
      </c>
      <c r="D2613" s="1763"/>
      <c r="E2613" s="1764"/>
      <c r="F2613" s="1765"/>
      <c r="G2613" s="1765">
        <f>G2601+G2612</f>
        <v>712079.62818000023</v>
      </c>
      <c r="H2613" s="1980"/>
      <c r="I2613" s="1984">
        <f>I2601+I2612</f>
        <v>0.92988446212692499</v>
      </c>
      <c r="J2613" s="1981"/>
    </row>
    <row r="2614" spans="1:10" ht="15.75" customHeight="1">
      <c r="A2614" s="1780"/>
      <c r="B2614" s="1784"/>
      <c r="C2614" s="1762" t="s">
        <v>2094</v>
      </c>
      <c r="D2614" s="1767">
        <f>M$4</f>
        <v>0.15</v>
      </c>
      <c r="E2614" s="1768"/>
      <c r="F2614" s="1765"/>
      <c r="G2614" s="1765">
        <f>G2613*D2614</f>
        <v>106811.94422700003</v>
      </c>
      <c r="H2614" s="1980"/>
      <c r="I2614" s="1980"/>
      <c r="J2614" s="1981"/>
    </row>
    <row r="2615" spans="1:10" ht="15.75" customHeight="1">
      <c r="A2615" s="1786"/>
      <c r="B2615" s="1890"/>
      <c r="C2615" s="1788" t="s">
        <v>2111</v>
      </c>
      <c r="D2615" s="1772"/>
      <c r="E2615" s="1773"/>
      <c r="F2615" s="1774"/>
      <c r="G2615" s="1861">
        <f>ROUNDUP((G2613+G2614),2)</f>
        <v>818891.58</v>
      </c>
      <c r="H2615" s="1985"/>
      <c r="I2615" s="1985"/>
      <c r="J2615" s="1986"/>
    </row>
    <row r="2616" spans="1:10" ht="15.75" customHeight="1">
      <c r="A2616" s="1733"/>
      <c r="B2616" s="1733"/>
      <c r="C2616" s="1733"/>
      <c r="D2616" s="1733"/>
      <c r="E2616" s="1733"/>
      <c r="F2616" s="1733"/>
      <c r="G2616" s="1733"/>
      <c r="H2616" s="1733"/>
      <c r="I2616" s="1733"/>
      <c r="J2616" s="1733"/>
    </row>
    <row r="2617" spans="1:10" ht="15.75" customHeight="1">
      <c r="A2617" s="1778">
        <f>A2595+1</f>
        <v>137</v>
      </c>
      <c r="B2617" s="1871" t="s">
        <v>2797</v>
      </c>
      <c r="C2617" s="1872" t="s">
        <v>2798</v>
      </c>
      <c r="D2617" s="1873"/>
      <c r="E2617" s="1874"/>
      <c r="F2617" s="1875"/>
      <c r="G2617" s="1875"/>
      <c r="H2617" s="1800"/>
      <c r="I2617" s="1800"/>
      <c r="J2617" s="1801"/>
    </row>
    <row r="2618" spans="1:10" ht="15.75" customHeight="1">
      <c r="A2618" s="1780"/>
      <c r="B2618" s="1739" t="s">
        <v>1004</v>
      </c>
      <c r="C2618" s="1877" t="s">
        <v>2067</v>
      </c>
      <c r="D2618" s="390"/>
      <c r="E2618" s="413"/>
      <c r="F2618" s="320"/>
      <c r="G2618" s="320"/>
      <c r="H2618" s="1802"/>
      <c r="I2618" s="1802"/>
      <c r="J2618" s="1803"/>
    </row>
    <row r="2619" spans="1:10" ht="15.75" customHeight="1">
      <c r="A2619" s="1780"/>
      <c r="B2619" s="1739"/>
      <c r="C2619" s="1878" t="s">
        <v>2103</v>
      </c>
      <c r="D2619" s="1781">
        <v>0.20499999999999999</v>
      </c>
      <c r="E2619" s="413" t="s">
        <v>2069</v>
      </c>
      <c r="F2619" s="1747">
        <f>'Bahan &amp; Upah'!C$336</f>
        <v>96332.65</v>
      </c>
      <c r="G2619" s="388">
        <f>F2619*D2619</f>
        <v>19748.193249999997</v>
      </c>
      <c r="H2619" s="2058">
        <v>1</v>
      </c>
      <c r="I2619" s="2058">
        <f>(G2619/G$2632)*H2619</f>
        <v>3.3036703336044698E-4</v>
      </c>
      <c r="J2619" s="1803"/>
    </row>
    <row r="2620" spans="1:10" ht="15.75" customHeight="1">
      <c r="A2620" s="1780"/>
      <c r="B2620" s="1739"/>
      <c r="C2620" s="1878" t="s">
        <v>2766</v>
      </c>
      <c r="D2620" s="1781">
        <v>0.34200000000000003</v>
      </c>
      <c r="E2620" s="413" t="s">
        <v>2069</v>
      </c>
      <c r="F2620" s="1883">
        <f>'Bahan &amp; Upah'!C$337</f>
        <v>114133.55</v>
      </c>
      <c r="G2620" s="332">
        <f>F2620*D2620</f>
        <v>39033.674100000004</v>
      </c>
      <c r="H2620" s="1980">
        <v>1</v>
      </c>
      <c r="I2620" s="2058">
        <f>(G2620/G$2632)*H2620</f>
        <v>6.5299336249788418E-4</v>
      </c>
      <c r="J2620" s="1803"/>
    </row>
    <row r="2621" spans="1:10" ht="15.75" customHeight="1">
      <c r="A2621" s="1780"/>
      <c r="B2621" s="1739"/>
      <c r="C2621" s="1878" t="s">
        <v>2105</v>
      </c>
      <c r="D2621" s="1781">
        <v>3.4000000000000002E-2</v>
      </c>
      <c r="E2621" s="413" t="s">
        <v>2069</v>
      </c>
      <c r="F2621" s="1748">
        <f>'Bahan &amp; Upah'!C$338</f>
        <v>125485.75</v>
      </c>
      <c r="G2621" s="332">
        <f>F2621*D2621</f>
        <v>4266.5155000000004</v>
      </c>
      <c r="H2621" s="1980">
        <v>1</v>
      </c>
      <c r="I2621" s="2058">
        <f>(G2621/G$2632)*H2621</f>
        <v>7.1374431608894876E-5</v>
      </c>
      <c r="J2621" s="1803"/>
    </row>
    <row r="2622" spans="1:10" ht="15.75" customHeight="1">
      <c r="A2622" s="1780"/>
      <c r="B2622" s="1739"/>
      <c r="C2622" s="1878" t="s">
        <v>2107</v>
      </c>
      <c r="D2622" s="1781">
        <v>1.0999999999999999E-2</v>
      </c>
      <c r="E2622" s="413" t="s">
        <v>2069</v>
      </c>
      <c r="F2622" s="1883">
        <f>'Bahan &amp; Upah'!C$339</f>
        <v>102689.88</v>
      </c>
      <c r="G2622" s="1794">
        <f>F2622*D2622</f>
        <v>1129.5886800000001</v>
      </c>
      <c r="H2622" s="1980">
        <v>1</v>
      </c>
      <c r="I2622" s="1982">
        <f>(G2622/G$2632)*H2622</f>
        <v>1.8896860913042936E-5</v>
      </c>
      <c r="J2622" s="1981"/>
    </row>
    <row r="2623" spans="1:10" ht="15.75" customHeight="1">
      <c r="A2623" s="1780"/>
      <c r="B2623" s="1739"/>
      <c r="C2623" s="1889" t="s">
        <v>2108</v>
      </c>
      <c r="D2623" s="1841"/>
      <c r="E2623" s="413"/>
      <c r="F2623" s="320"/>
      <c r="G2623" s="361">
        <f>SUM(G2619:G2622)</f>
        <v>64177.971530000003</v>
      </c>
      <c r="H2623" s="1980"/>
      <c r="I2623" s="1983">
        <f>SUM(I2619:I2622)</f>
        <v>1.0736316883802688E-3</v>
      </c>
      <c r="J2623" s="1981"/>
    </row>
    <row r="2624" spans="1:10" ht="15.75" customHeight="1">
      <c r="A2624" s="1780"/>
      <c r="B2624" s="1739" t="s">
        <v>1015</v>
      </c>
      <c r="C2624" s="1877" t="s">
        <v>2075</v>
      </c>
      <c r="D2624" s="1841"/>
      <c r="E2624" s="413"/>
      <c r="F2624" s="320"/>
      <c r="G2624" s="320"/>
      <c r="H2624" s="1980"/>
      <c r="I2624" s="1980"/>
      <c r="J2624" s="1981"/>
    </row>
    <row r="2625" spans="1:10" ht="15.75" customHeight="1">
      <c r="A2625" s="1780"/>
      <c r="B2625" s="1784"/>
      <c r="C2625" s="1878" t="s">
        <v>2799</v>
      </c>
      <c r="D2625" s="1841">
        <v>27.5</v>
      </c>
      <c r="E2625" s="413" t="s">
        <v>10</v>
      </c>
      <c r="F2625" s="1883">
        <f>'Bahan &amp; Upah'!C233</f>
        <v>2149645.33</v>
      </c>
      <c r="G2625" s="332">
        <f t="shared" ref="G2625:G2630" si="21">F2625*D2625</f>
        <v>59115246.575000003</v>
      </c>
      <c r="H2625" s="1980">
        <v>0.95379999999999998</v>
      </c>
      <c r="I2625" s="2058">
        <f t="shared" ref="I2625:I2630" si="22">(G2625/G$2632)*H2625</f>
        <v>0.94324857664173001</v>
      </c>
      <c r="J2625" s="1981"/>
    </row>
    <row r="2626" spans="1:10" ht="15.75" customHeight="1">
      <c r="A2626" s="1780"/>
      <c r="B2626" s="1784"/>
      <c r="C2626" s="1878" t="s">
        <v>2768</v>
      </c>
      <c r="D2626" s="1841">
        <v>27.5</v>
      </c>
      <c r="E2626" s="413" t="s">
        <v>10</v>
      </c>
      <c r="F2626" s="1883">
        <f>'Bahan &amp; Upah'!C$224/4</f>
        <v>7597.8050000000003</v>
      </c>
      <c r="G2626" s="332">
        <f t="shared" si="21"/>
        <v>208939.63750000001</v>
      </c>
      <c r="H2626" s="1980">
        <v>0.91420000000000001</v>
      </c>
      <c r="I2626" s="2058">
        <f t="shared" si="22"/>
        <v>3.195445308971969E-3</v>
      </c>
      <c r="J2626" s="1981"/>
    </row>
    <row r="2627" spans="1:10" ht="15.75" customHeight="1">
      <c r="A2627" s="1780"/>
      <c r="B2627" s="1784"/>
      <c r="C2627" s="1878" t="s">
        <v>2770</v>
      </c>
      <c r="D2627" s="1841">
        <v>14</v>
      </c>
      <c r="E2627" s="413" t="s">
        <v>124</v>
      </c>
      <c r="F2627" s="1883">
        <f>'Bahan &amp; Upah'!C$241</f>
        <v>1085.1400000000001</v>
      </c>
      <c r="G2627" s="332">
        <f t="shared" si="21"/>
        <v>15191.960000000001</v>
      </c>
      <c r="H2627" s="1980">
        <v>0.89190000000000003</v>
      </c>
      <c r="I2627" s="2058">
        <f t="shared" si="22"/>
        <v>2.2667274669255439E-4</v>
      </c>
      <c r="J2627" s="1981"/>
    </row>
    <row r="2628" spans="1:10" ht="15.75" customHeight="1">
      <c r="A2628" s="1780"/>
      <c r="B2628" s="1784"/>
      <c r="C2628" s="1878" t="s">
        <v>2772</v>
      </c>
      <c r="D2628" s="1841">
        <v>28</v>
      </c>
      <c r="E2628" s="413" t="s">
        <v>124</v>
      </c>
      <c r="F2628" s="1883">
        <f>'Bahan &amp; Upah'!C$244</f>
        <v>12546.27</v>
      </c>
      <c r="G2628" s="332">
        <f t="shared" si="21"/>
        <v>351295.56</v>
      </c>
      <c r="H2628" s="1980">
        <v>0.91420000000000001</v>
      </c>
      <c r="I2628" s="2058">
        <f t="shared" si="22"/>
        <v>5.3725839802162044E-3</v>
      </c>
      <c r="J2628" s="1981"/>
    </row>
    <row r="2629" spans="1:10" ht="15.75" customHeight="1">
      <c r="A2629" s="1780"/>
      <c r="B2629" s="1784"/>
      <c r="C2629" s="1878" t="s">
        <v>2773</v>
      </c>
      <c r="D2629" s="1841">
        <v>42</v>
      </c>
      <c r="E2629" s="413" t="s">
        <v>124</v>
      </c>
      <c r="F2629" s="1883">
        <f>'Bahan &amp; Upah'!C$245</f>
        <v>319.48</v>
      </c>
      <c r="G2629" s="332">
        <f t="shared" si="21"/>
        <v>13418.16</v>
      </c>
      <c r="H2629" s="1980">
        <v>0.13650000000000001</v>
      </c>
      <c r="I2629" s="2058">
        <f t="shared" si="22"/>
        <v>3.0640436827635809E-5</v>
      </c>
      <c r="J2629" s="1981"/>
    </row>
    <row r="2630" spans="1:10" ht="15.75" customHeight="1">
      <c r="A2630" s="1780"/>
      <c r="B2630" s="1784"/>
      <c r="C2630" s="1878" t="s">
        <v>2800</v>
      </c>
      <c r="D2630" s="1841">
        <v>1</v>
      </c>
      <c r="E2630" s="413" t="s">
        <v>124</v>
      </c>
      <c r="F2630" s="1883">
        <f>'Bahan &amp; Upah'!C239</f>
        <v>8255.2000000000007</v>
      </c>
      <c r="G2630" s="1794">
        <f t="shared" si="21"/>
        <v>8255.2000000000007</v>
      </c>
      <c r="H2630" s="1980">
        <v>0.67700000000000005</v>
      </c>
      <c r="I2630" s="1982">
        <f t="shared" si="22"/>
        <v>9.3494400920989519E-5</v>
      </c>
      <c r="J2630" s="1981"/>
    </row>
    <row r="2631" spans="1:10" ht="15.75" customHeight="1">
      <c r="A2631" s="1780"/>
      <c r="B2631" s="1784"/>
      <c r="C2631" s="1878"/>
      <c r="D2631" s="1841"/>
      <c r="E2631" s="413"/>
      <c r="F2631" s="1883"/>
      <c r="G2631" s="361">
        <f>SUM(G2625:G2630)</f>
        <v>59712347.092500009</v>
      </c>
      <c r="H2631" s="1980"/>
      <c r="I2631" s="1983">
        <f>SUM(I2625:I2630)</f>
        <v>0.95216741351535938</v>
      </c>
      <c r="J2631" s="1981"/>
    </row>
    <row r="2632" spans="1:10" ht="15.75" customHeight="1">
      <c r="A2632" s="1780"/>
      <c r="B2632" s="1784"/>
      <c r="C2632" s="1804" t="s">
        <v>2298</v>
      </c>
      <c r="D2632" s="1763"/>
      <c r="E2632" s="1764"/>
      <c r="F2632" s="1765"/>
      <c r="G2632" s="1765">
        <f>G2623+G2631</f>
        <v>59776525.064030007</v>
      </c>
      <c r="H2632" s="1980"/>
      <c r="I2632" s="1984">
        <f>I2623+I2631</f>
        <v>0.95324104520373965</v>
      </c>
      <c r="J2632" s="1981"/>
    </row>
    <row r="2633" spans="1:10" ht="15.75" customHeight="1">
      <c r="A2633" s="1780"/>
      <c r="B2633" s="1784"/>
      <c r="C2633" s="1762" t="s">
        <v>2094</v>
      </c>
      <c r="D2633" s="1767">
        <f>M$4</f>
        <v>0.15</v>
      </c>
      <c r="E2633" s="1768"/>
      <c r="F2633" s="1765"/>
      <c r="G2633" s="1765">
        <f>G2632*D2633</f>
        <v>8966478.7596045006</v>
      </c>
      <c r="H2633" s="1980"/>
      <c r="I2633" s="1980"/>
      <c r="J2633" s="1981"/>
    </row>
    <row r="2634" spans="1:10" ht="15.75" customHeight="1">
      <c r="A2634" s="1786"/>
      <c r="B2634" s="1890"/>
      <c r="C2634" s="1788" t="s">
        <v>2111</v>
      </c>
      <c r="D2634" s="1772"/>
      <c r="E2634" s="1773"/>
      <c r="F2634" s="1774"/>
      <c r="G2634" s="1861">
        <f>ROUNDUP((G2632+G2633),2)</f>
        <v>68743003.829999998</v>
      </c>
      <c r="H2634" s="1985"/>
      <c r="I2634" s="1985"/>
      <c r="J2634" s="1986"/>
    </row>
    <row r="2635" spans="1:10" ht="15.75" customHeight="1">
      <c r="A2635" s="1733"/>
      <c r="B2635" s="1733"/>
      <c r="C2635" s="1733"/>
      <c r="D2635" s="1733"/>
      <c r="E2635" s="1733"/>
      <c r="F2635" s="1733"/>
      <c r="G2635" s="1733"/>
      <c r="H2635" s="1733"/>
      <c r="I2635" s="1733"/>
      <c r="J2635" s="1733"/>
    </row>
    <row r="2636" spans="1:10" ht="15.75" customHeight="1">
      <c r="A2636" s="1778">
        <f>A2617+1</f>
        <v>138</v>
      </c>
      <c r="B2636" s="1871" t="s">
        <v>2801</v>
      </c>
      <c r="C2636" s="1872" t="s">
        <v>2802</v>
      </c>
      <c r="D2636" s="1873"/>
      <c r="E2636" s="1874"/>
      <c r="F2636" s="1875"/>
      <c r="G2636" s="1875"/>
      <c r="H2636" s="1800"/>
      <c r="I2636" s="1800"/>
      <c r="J2636" s="1801"/>
    </row>
    <row r="2637" spans="1:10" ht="15.75" customHeight="1">
      <c r="A2637" s="1780"/>
      <c r="B2637" s="1739" t="s">
        <v>1004</v>
      </c>
      <c r="C2637" s="1877" t="s">
        <v>2067</v>
      </c>
      <c r="D2637" s="390"/>
      <c r="E2637" s="413"/>
      <c r="F2637" s="320"/>
      <c r="G2637" s="320"/>
      <c r="H2637" s="1802"/>
      <c r="I2637" s="1802"/>
      <c r="J2637" s="1803"/>
    </row>
    <row r="2638" spans="1:10" ht="15.75" customHeight="1">
      <c r="A2638" s="1780"/>
      <c r="B2638" s="1739"/>
      <c r="C2638" s="1878" t="s">
        <v>2103</v>
      </c>
      <c r="D2638" s="1781">
        <v>3.1E-2</v>
      </c>
      <c r="E2638" s="413" t="s">
        <v>2069</v>
      </c>
      <c r="F2638" s="1747">
        <f>'Bahan &amp; Upah'!C$336</f>
        <v>96332.65</v>
      </c>
      <c r="G2638" s="388">
        <f>F2638*D2638</f>
        <v>2986.3121499999997</v>
      </c>
      <c r="H2638" s="2058">
        <v>1</v>
      </c>
      <c r="I2638" s="2058">
        <f>(G2638/G$2646)*H2638</f>
        <v>7.2941354613257472E-2</v>
      </c>
      <c r="J2638" s="1803"/>
    </row>
    <row r="2639" spans="1:10" ht="15.75" customHeight="1">
      <c r="A2639" s="1780"/>
      <c r="B2639" s="1739"/>
      <c r="C2639" s="1878" t="s">
        <v>2766</v>
      </c>
      <c r="D2639" s="1781">
        <v>5.1999999999999998E-2</v>
      </c>
      <c r="E2639" s="413" t="s">
        <v>2069</v>
      </c>
      <c r="F2639" s="1883">
        <f>'Bahan &amp; Upah'!C$337</f>
        <v>114133.55</v>
      </c>
      <c r="G2639" s="332">
        <f>F2639*D2639</f>
        <v>5934.9445999999998</v>
      </c>
      <c r="H2639" s="1980">
        <v>1</v>
      </c>
      <c r="I2639" s="2058">
        <f>(G2639/G$2646)*H2639</f>
        <v>0.14496237396972636</v>
      </c>
      <c r="J2639" s="1803"/>
    </row>
    <row r="2640" spans="1:10" ht="15.75" customHeight="1">
      <c r="A2640" s="1780"/>
      <c r="B2640" s="1739"/>
      <c r="C2640" s="1878" t="s">
        <v>2105</v>
      </c>
      <c r="D2640" s="1781">
        <v>5.0000000000000001E-3</v>
      </c>
      <c r="E2640" s="413" t="s">
        <v>2069</v>
      </c>
      <c r="F2640" s="1748">
        <f>'Bahan &amp; Upah'!C$338</f>
        <v>125485.75</v>
      </c>
      <c r="G2640" s="332">
        <f>F2640*D2640</f>
        <v>627.42875000000004</v>
      </c>
      <c r="H2640" s="1980">
        <v>1</v>
      </c>
      <c r="I2640" s="2058">
        <f>(G2640/G$2646)*H2640</f>
        <v>1.5325090161222054E-2</v>
      </c>
      <c r="J2640" s="1803"/>
    </row>
    <row r="2641" spans="1:12" ht="15.75" customHeight="1">
      <c r="A2641" s="1780"/>
      <c r="B2641" s="1739"/>
      <c r="C2641" s="1878" t="s">
        <v>2107</v>
      </c>
      <c r="D2641" s="1781">
        <v>2E-3</v>
      </c>
      <c r="E2641" s="413" t="s">
        <v>2069</v>
      </c>
      <c r="F2641" s="1883">
        <f>'Bahan &amp; Upah'!C$339</f>
        <v>102689.88</v>
      </c>
      <c r="G2641" s="1794">
        <f>F2641*D2641</f>
        <v>205.37976</v>
      </c>
      <c r="H2641" s="1980">
        <v>1</v>
      </c>
      <c r="I2641" s="1982">
        <f>(G2641/G$2646)*H2641</f>
        <v>5.0164474281584109E-3</v>
      </c>
      <c r="J2641" s="1981"/>
    </row>
    <row r="2642" spans="1:12" ht="15.75" customHeight="1">
      <c r="A2642" s="1780"/>
      <c r="B2642" s="1739"/>
      <c r="C2642" s="1889" t="s">
        <v>2108</v>
      </c>
      <c r="D2642" s="1841"/>
      <c r="E2642" s="413"/>
      <c r="F2642" s="320"/>
      <c r="G2642" s="361">
        <f>SUM(G2638:G2641)</f>
        <v>9754.0652599999994</v>
      </c>
      <c r="H2642" s="1980"/>
      <c r="I2642" s="1983">
        <f>SUM(I2638:I2641)</f>
        <v>0.2382452661723643</v>
      </c>
      <c r="J2642" s="1981"/>
    </row>
    <row r="2643" spans="1:12" ht="15.75" customHeight="1">
      <c r="A2643" s="1780"/>
      <c r="B2643" s="1739" t="s">
        <v>1015</v>
      </c>
      <c r="C2643" s="1877" t="s">
        <v>2075</v>
      </c>
      <c r="D2643" s="1841"/>
      <c r="E2643" s="413"/>
      <c r="F2643" s="320"/>
      <c r="G2643" s="320"/>
      <c r="H2643" s="1980"/>
      <c r="I2643" s="1980"/>
      <c r="J2643" s="1981"/>
    </row>
    <row r="2644" spans="1:12" ht="15.75" customHeight="1">
      <c r="A2644" s="1780"/>
      <c r="B2644" s="1784"/>
      <c r="C2644" s="1878" t="s">
        <v>2803</v>
      </c>
      <c r="D2644" s="1841">
        <v>1.1000000000000001</v>
      </c>
      <c r="E2644" s="413" t="s">
        <v>124</v>
      </c>
      <c r="F2644" s="1883">
        <f>'Bahan &amp; Upah'!C234</f>
        <v>28352.01</v>
      </c>
      <c r="G2644" s="1794">
        <f>F2644*D2644</f>
        <v>31187.210999999999</v>
      </c>
      <c r="H2644" s="1980">
        <v>0.33129999999999998</v>
      </c>
      <c r="I2644" s="1982">
        <f>(G2644/G$2646)*H2644</f>
        <v>0.25236934331709571</v>
      </c>
      <c r="J2644" s="1981"/>
      <c r="L2644" s="2022" t="s">
        <v>2804</v>
      </c>
    </row>
    <row r="2645" spans="1:12" ht="15.75" customHeight="1">
      <c r="A2645" s="1780"/>
      <c r="B2645" s="1784"/>
      <c r="C2645" s="1878"/>
      <c r="D2645" s="1841"/>
      <c r="E2645" s="413"/>
      <c r="F2645" s="1883"/>
      <c r="G2645" s="361">
        <f>SUM(G2644:G2644)</f>
        <v>31187.210999999999</v>
      </c>
      <c r="H2645" s="1980"/>
      <c r="I2645" s="1983">
        <f>SUM(I2644:I2644)</f>
        <v>0.25236934331709571</v>
      </c>
      <c r="J2645" s="1981"/>
    </row>
    <row r="2646" spans="1:12" ht="15.75" customHeight="1">
      <c r="A2646" s="1780"/>
      <c r="B2646" s="1784"/>
      <c r="C2646" s="1804" t="s">
        <v>2298</v>
      </c>
      <c r="D2646" s="1763"/>
      <c r="E2646" s="1764"/>
      <c r="F2646" s="1765"/>
      <c r="G2646" s="1765">
        <f>G2642+G2645</f>
        <v>40941.276259999999</v>
      </c>
      <c r="H2646" s="1980"/>
      <c r="I2646" s="1984">
        <f>I2642+I2645</f>
        <v>0.49061460948946001</v>
      </c>
      <c r="J2646" s="1981"/>
    </row>
    <row r="2647" spans="1:12" ht="15.75" customHeight="1">
      <c r="A2647" s="1780"/>
      <c r="B2647" s="1784"/>
      <c r="C2647" s="1762" t="s">
        <v>2094</v>
      </c>
      <c r="D2647" s="1767">
        <f>M$4</f>
        <v>0.15</v>
      </c>
      <c r="E2647" s="1768"/>
      <c r="F2647" s="1765"/>
      <c r="G2647" s="1765">
        <f>G2646*D2647</f>
        <v>6141.1914389999993</v>
      </c>
      <c r="H2647" s="1980"/>
      <c r="I2647" s="1980"/>
      <c r="J2647" s="1981"/>
    </row>
    <row r="2648" spans="1:12" ht="15.75" customHeight="1">
      <c r="A2648" s="1786"/>
      <c r="B2648" s="1890"/>
      <c r="C2648" s="1788" t="s">
        <v>2111</v>
      </c>
      <c r="D2648" s="1772"/>
      <c r="E2648" s="1773"/>
      <c r="F2648" s="1774"/>
      <c r="G2648" s="1861">
        <f>ROUNDUP((G2646+G2647),2)</f>
        <v>47082.47</v>
      </c>
      <c r="H2648" s="1985"/>
      <c r="I2648" s="1985"/>
      <c r="J2648" s="1986"/>
    </row>
    <row r="2649" spans="1:12" ht="15.75" customHeight="1">
      <c r="A2649" s="1733"/>
      <c r="B2649" s="1733"/>
      <c r="C2649" s="1733"/>
      <c r="D2649" s="1733"/>
      <c r="E2649" s="1733"/>
      <c r="F2649" s="1733"/>
      <c r="G2649" s="1733"/>
      <c r="H2649" s="1733"/>
      <c r="I2649" s="1733"/>
      <c r="J2649" s="1733"/>
    </row>
    <row r="2650" spans="1:12" ht="15.75" customHeight="1">
      <c r="A2650" s="1778">
        <f>A2636+1</f>
        <v>139</v>
      </c>
      <c r="B2650" s="1871" t="s">
        <v>2805</v>
      </c>
      <c r="C2650" s="1872" t="s">
        <v>2806</v>
      </c>
      <c r="D2650" s="1873"/>
      <c r="E2650" s="1874"/>
      <c r="F2650" s="1875"/>
      <c r="G2650" s="1875"/>
      <c r="H2650" s="1800"/>
      <c r="I2650" s="1800"/>
      <c r="J2650" s="1801"/>
    </row>
    <row r="2651" spans="1:12" ht="15.75" customHeight="1">
      <c r="A2651" s="1780"/>
      <c r="B2651" s="1739" t="s">
        <v>1004</v>
      </c>
      <c r="C2651" s="1877" t="s">
        <v>2067</v>
      </c>
      <c r="D2651" s="390"/>
      <c r="E2651" s="413"/>
      <c r="F2651" s="320"/>
      <c r="G2651" s="320"/>
      <c r="H2651" s="1802"/>
      <c r="I2651" s="1802"/>
      <c r="J2651" s="1803"/>
    </row>
    <row r="2652" spans="1:12" ht="15.75" customHeight="1">
      <c r="A2652" s="1780"/>
      <c r="B2652" s="1739"/>
      <c r="C2652" s="1878" t="s">
        <v>2103</v>
      </c>
      <c r="D2652" s="1781">
        <v>3.1E-2</v>
      </c>
      <c r="E2652" s="413" t="s">
        <v>2069</v>
      </c>
      <c r="F2652" s="1747">
        <f>'Bahan &amp; Upah'!C$336</f>
        <v>96332.65</v>
      </c>
      <c r="G2652" s="388">
        <f>F2652*D2652</f>
        <v>2986.3121499999997</v>
      </c>
      <c r="H2652" s="2058">
        <v>1</v>
      </c>
      <c r="I2652" s="2058">
        <f>(G2652/G$2660)*H2652</f>
        <v>5.0946809357992097E-2</v>
      </c>
      <c r="J2652" s="1803"/>
    </row>
    <row r="2653" spans="1:12" ht="15.75" customHeight="1">
      <c r="A2653" s="1780"/>
      <c r="B2653" s="1739"/>
      <c r="C2653" s="1878" t="s">
        <v>2766</v>
      </c>
      <c r="D2653" s="1781">
        <v>5.1999999999999998E-2</v>
      </c>
      <c r="E2653" s="413" t="s">
        <v>2069</v>
      </c>
      <c r="F2653" s="1883">
        <f>'Bahan &amp; Upah'!C$337</f>
        <v>114133.55</v>
      </c>
      <c r="G2653" s="332">
        <f>F2653*D2653</f>
        <v>5934.9445999999998</v>
      </c>
      <c r="H2653" s="1980">
        <v>1</v>
      </c>
      <c r="I2653" s="2058">
        <f>(G2653/G$2660)*H2653</f>
        <v>0.10125079894492768</v>
      </c>
      <c r="J2653" s="1803"/>
    </row>
    <row r="2654" spans="1:12" ht="15.75" customHeight="1">
      <c r="A2654" s="1780"/>
      <c r="B2654" s="1739"/>
      <c r="C2654" s="1878" t="s">
        <v>2105</v>
      </c>
      <c r="D2654" s="1781">
        <v>5.0000000000000001E-3</v>
      </c>
      <c r="E2654" s="413" t="s">
        <v>2069</v>
      </c>
      <c r="F2654" s="1748">
        <f>'Bahan &amp; Upah'!C$338</f>
        <v>125485.75</v>
      </c>
      <c r="G2654" s="332">
        <f>F2654*D2654</f>
        <v>627.42875000000004</v>
      </c>
      <c r="H2654" s="1980">
        <v>1</v>
      </c>
      <c r="I2654" s="2058">
        <f>(G2654/G$2660)*H2654</f>
        <v>1.070400256449189E-2</v>
      </c>
      <c r="J2654" s="1803"/>
    </row>
    <row r="2655" spans="1:12" ht="15.75" customHeight="1">
      <c r="A2655" s="1780"/>
      <c r="B2655" s="1739"/>
      <c r="C2655" s="1878" t="s">
        <v>2107</v>
      </c>
      <c r="D2655" s="1781">
        <v>2E-3</v>
      </c>
      <c r="E2655" s="413" t="s">
        <v>2069</v>
      </c>
      <c r="F2655" s="1883">
        <f>'Bahan &amp; Upah'!C$339</f>
        <v>102689.88</v>
      </c>
      <c r="G2655" s="1794">
        <f>F2655*D2655</f>
        <v>205.37976</v>
      </c>
      <c r="H2655" s="1980">
        <v>1</v>
      </c>
      <c r="I2655" s="1982">
        <f>(G2655/G$2660)*H2655</f>
        <v>3.5038009937139935E-3</v>
      </c>
      <c r="J2655" s="1981"/>
    </row>
    <row r="2656" spans="1:12" ht="15.75" customHeight="1">
      <c r="A2656" s="1780"/>
      <c r="B2656" s="1739"/>
      <c r="C2656" s="1889" t="s">
        <v>2108</v>
      </c>
      <c r="D2656" s="1841"/>
      <c r="E2656" s="413"/>
      <c r="F2656" s="320"/>
      <c r="G2656" s="361">
        <f>SUM(G2652:G2655)</f>
        <v>9754.0652599999994</v>
      </c>
      <c r="H2656" s="1980"/>
      <c r="I2656" s="1983">
        <f>SUM(I2652:I2655)</f>
        <v>0.16640541186112567</v>
      </c>
      <c r="J2656" s="1981"/>
    </row>
    <row r="2657" spans="1:10" ht="15.75" customHeight="1">
      <c r="A2657" s="1780"/>
      <c r="B2657" s="1739" t="s">
        <v>1015</v>
      </c>
      <c r="C2657" s="1877" t="s">
        <v>2075</v>
      </c>
      <c r="D2657" s="1841"/>
      <c r="E2657" s="413"/>
      <c r="F2657" s="320"/>
      <c r="G2657" s="320"/>
      <c r="H2657" s="1980"/>
      <c r="I2657" s="1980"/>
      <c r="J2657" s="1981"/>
    </row>
    <row r="2658" spans="1:10" ht="15.75" customHeight="1">
      <c r="A2658" s="1780"/>
      <c r="B2658" s="1784"/>
      <c r="C2658" s="1878" t="s">
        <v>2807</v>
      </c>
      <c r="D2658" s="1841">
        <v>1.1000000000000001</v>
      </c>
      <c r="E2658" s="413" t="s">
        <v>124</v>
      </c>
      <c r="F2658" s="1883">
        <f>'Bahan &amp; Upah'!C235</f>
        <v>44420.19</v>
      </c>
      <c r="G2658" s="1794">
        <f>F2658*D2658</f>
        <v>48862.20900000001</v>
      </c>
      <c r="H2658" s="1980">
        <v>0.33129999999999998</v>
      </c>
      <c r="I2658" s="1982">
        <f>(G2658/G$2660)*H2658</f>
        <v>0.27616988705040907</v>
      </c>
      <c r="J2658" s="1981"/>
    </row>
    <row r="2659" spans="1:10" ht="15.75" customHeight="1">
      <c r="A2659" s="1780"/>
      <c r="B2659" s="1784"/>
      <c r="C2659" s="1878"/>
      <c r="D2659" s="1841"/>
      <c r="E2659" s="413"/>
      <c r="F2659" s="1883"/>
      <c r="G2659" s="361">
        <f>SUM(G2658:G2658)</f>
        <v>48862.20900000001</v>
      </c>
      <c r="H2659" s="1980"/>
      <c r="I2659" s="1983">
        <f>SUM(I2658:I2658)</f>
        <v>0.27616988705040907</v>
      </c>
      <c r="J2659" s="1981"/>
    </row>
    <row r="2660" spans="1:10" ht="15.75" customHeight="1">
      <c r="A2660" s="1780"/>
      <c r="B2660" s="1784"/>
      <c r="C2660" s="1804" t="s">
        <v>2298</v>
      </c>
      <c r="D2660" s="1763"/>
      <c r="E2660" s="1764"/>
      <c r="F2660" s="1765"/>
      <c r="G2660" s="1765">
        <f>G2656+G2659</f>
        <v>58616.274260000006</v>
      </c>
      <c r="H2660" s="1980"/>
      <c r="I2660" s="1984">
        <f>I2656+I2659</f>
        <v>0.44257529891153474</v>
      </c>
      <c r="J2660" s="1981"/>
    </row>
    <row r="2661" spans="1:10" ht="15.75" customHeight="1">
      <c r="A2661" s="1780"/>
      <c r="B2661" s="1784"/>
      <c r="C2661" s="1762" t="s">
        <v>2094</v>
      </c>
      <c r="D2661" s="1767">
        <f>M$4</f>
        <v>0.15</v>
      </c>
      <c r="E2661" s="1768"/>
      <c r="F2661" s="1765"/>
      <c r="G2661" s="1765">
        <f>G2660*D2661</f>
        <v>8792.4411390000005</v>
      </c>
      <c r="H2661" s="1980"/>
      <c r="I2661" s="1980"/>
      <c r="J2661" s="1981"/>
    </row>
    <row r="2662" spans="1:10" ht="15.75" customHeight="1">
      <c r="A2662" s="1786"/>
      <c r="B2662" s="1890"/>
      <c r="C2662" s="1788" t="s">
        <v>2111</v>
      </c>
      <c r="D2662" s="1772"/>
      <c r="E2662" s="1773"/>
      <c r="F2662" s="1774"/>
      <c r="G2662" s="1861">
        <f>ROUNDUP((G2660+G2661),2)</f>
        <v>67408.72</v>
      </c>
      <c r="H2662" s="1985"/>
      <c r="I2662" s="1985"/>
      <c r="J2662" s="1986"/>
    </row>
    <row r="2663" spans="1:10" ht="15.75" customHeight="1">
      <c r="A2663" s="1733"/>
      <c r="B2663" s="1733"/>
      <c r="C2663" s="1733"/>
      <c r="D2663" s="1733"/>
      <c r="E2663" s="1733"/>
      <c r="F2663" s="1733"/>
      <c r="G2663" s="1733"/>
      <c r="H2663" s="1733"/>
      <c r="I2663" s="1733"/>
      <c r="J2663" s="1733"/>
    </row>
    <row r="2664" spans="1:10" ht="15.75" customHeight="1">
      <c r="A2664" s="1778">
        <f>A2650+1</f>
        <v>140</v>
      </c>
      <c r="B2664" s="1871" t="s">
        <v>2808</v>
      </c>
      <c r="C2664" s="1872" t="s">
        <v>2809</v>
      </c>
      <c r="D2664" s="1873"/>
      <c r="E2664" s="1874"/>
      <c r="F2664" s="1875"/>
      <c r="G2664" s="1875"/>
      <c r="H2664" s="1800"/>
      <c r="I2664" s="1800"/>
      <c r="J2664" s="1801"/>
    </row>
    <row r="2665" spans="1:10" ht="15.75" customHeight="1">
      <c r="A2665" s="1780"/>
      <c r="B2665" s="1739" t="s">
        <v>1004</v>
      </c>
      <c r="C2665" s="1877" t="s">
        <v>2067</v>
      </c>
      <c r="D2665" s="390"/>
      <c r="E2665" s="413"/>
      <c r="F2665" s="320"/>
      <c r="G2665" s="320"/>
      <c r="H2665" s="1802"/>
      <c r="I2665" s="1802"/>
      <c r="J2665" s="1803"/>
    </row>
    <row r="2666" spans="1:10" ht="15.75" customHeight="1">
      <c r="A2666" s="1780"/>
      <c r="B2666" s="1739"/>
      <c r="C2666" s="1878" t="s">
        <v>2103</v>
      </c>
      <c r="D2666" s="1781">
        <v>2.5999999999999999E-2</v>
      </c>
      <c r="E2666" s="413" t="s">
        <v>2069</v>
      </c>
      <c r="F2666" s="1747">
        <f>'Bahan &amp; Upah'!C$336</f>
        <v>96332.65</v>
      </c>
      <c r="G2666" s="388">
        <f>F2666*D2666</f>
        <v>2504.6488999999997</v>
      </c>
      <c r="H2666" s="2058">
        <v>1</v>
      </c>
      <c r="I2666" s="2058">
        <f>(G2666/G$2674)*H2666</f>
        <v>3.233619949228695E-2</v>
      </c>
      <c r="J2666" s="1803"/>
    </row>
    <row r="2667" spans="1:10" ht="15.75" customHeight="1">
      <c r="A2667" s="1780"/>
      <c r="B2667" s="1739"/>
      <c r="C2667" s="1878" t="s">
        <v>2766</v>
      </c>
      <c r="D2667" s="1781">
        <v>4.3999999999999997E-2</v>
      </c>
      <c r="E2667" s="413" t="s">
        <v>2069</v>
      </c>
      <c r="F2667" s="1883">
        <f>'Bahan &amp; Upah'!C$337</f>
        <v>114133.55</v>
      </c>
      <c r="G2667" s="332">
        <f>F2667*D2667</f>
        <v>5021.8761999999997</v>
      </c>
      <c r="H2667" s="1980">
        <v>1</v>
      </c>
      <c r="I2667" s="2058">
        <f>(G2667/G$2674)*H2667</f>
        <v>6.4834792065573715E-2</v>
      </c>
      <c r="J2667" s="1803"/>
    </row>
    <row r="2668" spans="1:10" ht="15.75" customHeight="1">
      <c r="A2668" s="1780"/>
      <c r="B2668" s="1739"/>
      <c r="C2668" s="1878" t="s">
        <v>2105</v>
      </c>
      <c r="D2668" s="1781">
        <v>4.0000000000000001E-3</v>
      </c>
      <c r="E2668" s="413" t="s">
        <v>2069</v>
      </c>
      <c r="F2668" s="1748">
        <f>'Bahan &amp; Upah'!C$338</f>
        <v>125485.75</v>
      </c>
      <c r="G2668" s="332">
        <f>F2668*D2668</f>
        <v>501.94299999999998</v>
      </c>
      <c r="H2668" s="1980">
        <v>1</v>
      </c>
      <c r="I2668" s="2058">
        <f>(G2668/G$2674)*H2668</f>
        <v>6.4803210468968283E-3</v>
      </c>
      <c r="J2668" s="1803"/>
    </row>
    <row r="2669" spans="1:10" ht="15.75" customHeight="1">
      <c r="A2669" s="1780"/>
      <c r="B2669" s="1739"/>
      <c r="C2669" s="1878" t="s">
        <v>2107</v>
      </c>
      <c r="D2669" s="1781">
        <v>1E-3</v>
      </c>
      <c r="E2669" s="413" t="s">
        <v>2069</v>
      </c>
      <c r="F2669" s="1883">
        <f>'Bahan &amp; Upah'!C$339</f>
        <v>102689.88</v>
      </c>
      <c r="G2669" s="1794">
        <f>F2669*D2669</f>
        <v>102.68988</v>
      </c>
      <c r="H2669" s="1980">
        <v>1</v>
      </c>
      <c r="I2669" s="1982">
        <f>(G2669/G$2674)*H2669</f>
        <v>1.3257748203826126E-3</v>
      </c>
      <c r="J2669" s="1981"/>
    </row>
    <row r="2670" spans="1:10" ht="15.75" customHeight="1">
      <c r="A2670" s="1780"/>
      <c r="B2670" s="1739"/>
      <c r="C2670" s="1889" t="s">
        <v>2108</v>
      </c>
      <c r="D2670" s="1841"/>
      <c r="E2670" s="413"/>
      <c r="F2670" s="320"/>
      <c r="G2670" s="361">
        <f>SUM(G2666:G2669)</f>
        <v>8131.157979999999</v>
      </c>
      <c r="H2670" s="1980"/>
      <c r="I2670" s="1983">
        <f>SUM(I2666:I2669)</f>
        <v>0.1049770874251401</v>
      </c>
      <c r="J2670" s="1981"/>
    </row>
    <row r="2671" spans="1:10" ht="15.75" customHeight="1">
      <c r="A2671" s="1780"/>
      <c r="B2671" s="1739" t="s">
        <v>1015</v>
      </c>
      <c r="C2671" s="1877" t="s">
        <v>2075</v>
      </c>
      <c r="D2671" s="1841"/>
      <c r="E2671" s="413"/>
      <c r="F2671" s="320"/>
      <c r="G2671" s="320"/>
      <c r="H2671" s="1980"/>
      <c r="I2671" s="1980"/>
      <c r="J2671" s="1981"/>
    </row>
    <row r="2672" spans="1:10" ht="15.75" customHeight="1">
      <c r="A2672" s="1780"/>
      <c r="B2672" s="1784"/>
      <c r="C2672" s="1878" t="s">
        <v>2810</v>
      </c>
      <c r="D2672" s="1841">
        <v>1.1000000000000001</v>
      </c>
      <c r="E2672" s="413" t="s">
        <v>124</v>
      </c>
      <c r="F2672" s="1883">
        <f>'Bahan &amp; Upah'!C236</f>
        <v>63023.040000000001</v>
      </c>
      <c r="G2672" s="1794">
        <f>F2672*D2672</f>
        <v>69325.344000000012</v>
      </c>
      <c r="H2672" s="1980">
        <v>0.33129999999999998</v>
      </c>
      <c r="I2672" s="1982">
        <f>(G2672/G$2674)*H2672</f>
        <v>0.29652109093605106</v>
      </c>
      <c r="J2672" s="1981"/>
    </row>
    <row r="2673" spans="1:10" ht="15.75" customHeight="1">
      <c r="A2673" s="1780"/>
      <c r="B2673" s="1784"/>
      <c r="C2673" s="1878"/>
      <c r="D2673" s="1841"/>
      <c r="E2673" s="413"/>
      <c r="F2673" s="1883"/>
      <c r="G2673" s="361">
        <f>SUM(G2672:G2672)</f>
        <v>69325.344000000012</v>
      </c>
      <c r="H2673" s="1980"/>
      <c r="I2673" s="1983">
        <f>SUM(I2672:I2672)</f>
        <v>0.29652109093605106</v>
      </c>
      <c r="J2673" s="1981"/>
    </row>
    <row r="2674" spans="1:10" ht="15.75" customHeight="1">
      <c r="A2674" s="1780"/>
      <c r="B2674" s="1784"/>
      <c r="C2674" s="1804" t="s">
        <v>2298</v>
      </c>
      <c r="D2674" s="1763"/>
      <c r="E2674" s="1764"/>
      <c r="F2674" s="1765"/>
      <c r="G2674" s="1765">
        <f>G2670+G2673</f>
        <v>77456.501980000015</v>
      </c>
      <c r="H2674" s="1980"/>
      <c r="I2674" s="1984">
        <f>I2670+I2673</f>
        <v>0.40149817836119117</v>
      </c>
      <c r="J2674" s="1981"/>
    </row>
    <row r="2675" spans="1:10" ht="15.75" customHeight="1">
      <c r="A2675" s="1780"/>
      <c r="B2675" s="1784"/>
      <c r="C2675" s="1762" t="s">
        <v>2094</v>
      </c>
      <c r="D2675" s="1767">
        <f>M$4</f>
        <v>0.15</v>
      </c>
      <c r="E2675" s="1768"/>
      <c r="F2675" s="1765"/>
      <c r="G2675" s="1765">
        <f>G2674*D2675</f>
        <v>11618.475297000003</v>
      </c>
      <c r="H2675" s="1980"/>
      <c r="I2675" s="1980"/>
      <c r="J2675" s="1981"/>
    </row>
    <row r="2676" spans="1:10" ht="15.75" customHeight="1">
      <c r="A2676" s="1786"/>
      <c r="B2676" s="1890"/>
      <c r="C2676" s="1788" t="s">
        <v>2111</v>
      </c>
      <c r="D2676" s="1772"/>
      <c r="E2676" s="1773"/>
      <c r="F2676" s="1774"/>
      <c r="G2676" s="1861">
        <f>ROUNDUP((G2674+G2675),2)</f>
        <v>89074.98</v>
      </c>
      <c r="H2676" s="1985"/>
      <c r="I2676" s="1985"/>
      <c r="J2676" s="1986"/>
    </row>
    <row r="2677" spans="1:10" ht="15.75" customHeight="1">
      <c r="A2677" s="1733"/>
      <c r="B2677" s="1733"/>
      <c r="C2677" s="1733"/>
      <c r="D2677" s="1733"/>
      <c r="E2677" s="1733"/>
      <c r="F2677" s="1733"/>
      <c r="G2677" s="1733"/>
      <c r="H2677" s="1733"/>
      <c r="I2677" s="1733"/>
      <c r="J2677" s="1733"/>
    </row>
    <row r="2678" spans="1:10" ht="15.75" customHeight="1">
      <c r="A2678" s="1778">
        <f>A2664+1</f>
        <v>141</v>
      </c>
      <c r="B2678" s="1871" t="s">
        <v>2811</v>
      </c>
      <c r="C2678" s="1872" t="s">
        <v>2812</v>
      </c>
      <c r="D2678" s="1873"/>
      <c r="E2678" s="1874"/>
      <c r="F2678" s="1875"/>
      <c r="G2678" s="1875"/>
      <c r="H2678" s="1800"/>
      <c r="I2678" s="1800"/>
      <c r="J2678" s="1801"/>
    </row>
    <row r="2679" spans="1:10" ht="15.75" customHeight="1">
      <c r="A2679" s="1780"/>
      <c r="B2679" s="1739" t="s">
        <v>1004</v>
      </c>
      <c r="C2679" s="1877" t="s">
        <v>2067</v>
      </c>
      <c r="D2679" s="390"/>
      <c r="E2679" s="413"/>
      <c r="F2679" s="320"/>
      <c r="G2679" s="320"/>
      <c r="H2679" s="1802"/>
      <c r="I2679" s="1802"/>
      <c r="J2679" s="1803"/>
    </row>
    <row r="2680" spans="1:10" ht="15.75" customHeight="1">
      <c r="A2680" s="1780"/>
      <c r="B2680" s="1739"/>
      <c r="C2680" s="1878" t="s">
        <v>2103</v>
      </c>
      <c r="D2680" s="1781">
        <v>3.7999999999999999E-2</v>
      </c>
      <c r="E2680" s="413" t="s">
        <v>2069</v>
      </c>
      <c r="F2680" s="1747">
        <f>'Bahan &amp; Upah'!C$336</f>
        <v>96332.65</v>
      </c>
      <c r="G2680" s="388">
        <f>F2680*D2680</f>
        <v>3660.6406999999995</v>
      </c>
      <c r="H2680" s="2058">
        <v>1</v>
      </c>
      <c r="I2680" s="2058">
        <f>(G2680/G$2688)*H2680</f>
        <v>3.3101373658312457E-2</v>
      </c>
      <c r="J2680" s="1803"/>
    </row>
    <row r="2681" spans="1:10" ht="15.75" customHeight="1">
      <c r="A2681" s="1780"/>
      <c r="B2681" s="1739"/>
      <c r="C2681" s="1878" t="s">
        <v>2766</v>
      </c>
      <c r="D2681" s="1781">
        <v>6.4000000000000001E-2</v>
      </c>
      <c r="E2681" s="413" t="s">
        <v>2069</v>
      </c>
      <c r="F2681" s="1883">
        <f>'Bahan &amp; Upah'!C$337</f>
        <v>114133.55</v>
      </c>
      <c r="G2681" s="332">
        <f>F2681*D2681</f>
        <v>7304.5472</v>
      </c>
      <c r="H2681" s="1980">
        <v>1</v>
      </c>
      <c r="I2681" s="2058">
        <f>(G2681/G$2688)*H2681</f>
        <v>6.6051428175395652E-2</v>
      </c>
      <c r="J2681" s="1803"/>
    </row>
    <row r="2682" spans="1:10" ht="15.75" customHeight="1">
      <c r="A2682" s="1780"/>
      <c r="B2682" s="1739"/>
      <c r="C2682" s="1878" t="s">
        <v>2105</v>
      </c>
      <c r="D2682" s="1781">
        <v>6.0000000000000001E-3</v>
      </c>
      <c r="E2682" s="413" t="s">
        <v>2069</v>
      </c>
      <c r="F2682" s="1748">
        <f>'Bahan &amp; Upah'!C$338</f>
        <v>125485.75</v>
      </c>
      <c r="G2682" s="332">
        <f>F2682*D2682</f>
        <v>752.91449999999998</v>
      </c>
      <c r="H2682" s="1980">
        <v>1</v>
      </c>
      <c r="I2682" s="2058">
        <f>(G2682/G$2688)*H2682</f>
        <v>6.8082355630426925E-3</v>
      </c>
      <c r="J2682" s="1803"/>
    </row>
    <row r="2683" spans="1:10" ht="15.75" customHeight="1">
      <c r="A2683" s="1780"/>
      <c r="B2683" s="1739"/>
      <c r="C2683" s="1878" t="s">
        <v>2107</v>
      </c>
      <c r="D2683" s="1781">
        <v>2E-3</v>
      </c>
      <c r="E2683" s="413" t="s">
        <v>2069</v>
      </c>
      <c r="F2683" s="1883">
        <f>'Bahan &amp; Upah'!C$339</f>
        <v>102689.88</v>
      </c>
      <c r="G2683" s="1794">
        <f>F2683*D2683</f>
        <v>205.37976</v>
      </c>
      <c r="H2683" s="1980">
        <v>1</v>
      </c>
      <c r="I2683" s="1982">
        <f>(G2683/G$2688)*H2683</f>
        <v>1.8571481701589931E-3</v>
      </c>
      <c r="J2683" s="1981"/>
    </row>
    <row r="2684" spans="1:10" ht="15.75" customHeight="1">
      <c r="A2684" s="1780"/>
      <c r="B2684" s="1739"/>
      <c r="C2684" s="1889" t="s">
        <v>2108</v>
      </c>
      <c r="D2684" s="1841"/>
      <c r="E2684" s="413"/>
      <c r="F2684" s="320"/>
      <c r="G2684" s="361">
        <f>SUM(G2680:G2683)</f>
        <v>11923.48216</v>
      </c>
      <c r="H2684" s="1980"/>
      <c r="I2684" s="1983">
        <f>SUM(I2680:I2683)</f>
        <v>0.10781818556690979</v>
      </c>
      <c r="J2684" s="1981"/>
    </row>
    <row r="2685" spans="1:10" ht="15.75" customHeight="1">
      <c r="A2685" s="1780"/>
      <c r="B2685" s="1739" t="s">
        <v>1015</v>
      </c>
      <c r="C2685" s="1877" t="s">
        <v>2075</v>
      </c>
      <c r="D2685" s="1841"/>
      <c r="E2685" s="413"/>
      <c r="F2685" s="320"/>
      <c r="G2685" s="320"/>
      <c r="H2685" s="1980"/>
      <c r="I2685" s="1980"/>
      <c r="J2685" s="1981"/>
    </row>
    <row r="2686" spans="1:10" ht="15.75" customHeight="1">
      <c r="A2686" s="1780"/>
      <c r="B2686" s="1784"/>
      <c r="C2686" s="1878" t="s">
        <v>2813</v>
      </c>
      <c r="D2686" s="1841">
        <v>1.1000000000000001</v>
      </c>
      <c r="E2686" s="413" t="s">
        <v>124</v>
      </c>
      <c r="F2686" s="1883">
        <f>'Bahan &amp; Upah'!C237</f>
        <v>89695.73</v>
      </c>
      <c r="G2686" s="1794">
        <f>F2686*D2686</f>
        <v>98665.303</v>
      </c>
      <c r="H2686" s="1980">
        <v>0.33129999999999998</v>
      </c>
      <c r="I2686" s="1982">
        <f>(G2686/G$2688)*H2686</f>
        <v>0.29557983512168279</v>
      </c>
      <c r="J2686" s="1981"/>
    </row>
    <row r="2687" spans="1:10" ht="15.75" customHeight="1">
      <c r="A2687" s="1780"/>
      <c r="B2687" s="1784"/>
      <c r="C2687" s="1878"/>
      <c r="D2687" s="1841"/>
      <c r="E2687" s="413"/>
      <c r="F2687" s="1883"/>
      <c r="G2687" s="361">
        <f>SUM(G2686:G2686)</f>
        <v>98665.303</v>
      </c>
      <c r="H2687" s="1980"/>
      <c r="I2687" s="1983">
        <f>SUM(I2686:I2686)</f>
        <v>0.29557983512168279</v>
      </c>
      <c r="J2687" s="1981"/>
    </row>
    <row r="2688" spans="1:10" ht="15.75" customHeight="1">
      <c r="A2688" s="1780"/>
      <c r="B2688" s="1784"/>
      <c r="C2688" s="1804" t="s">
        <v>2298</v>
      </c>
      <c r="D2688" s="1763"/>
      <c r="E2688" s="1764"/>
      <c r="F2688" s="1765"/>
      <c r="G2688" s="1765">
        <f>G2684+G2687</f>
        <v>110588.78516</v>
      </c>
      <c r="H2688" s="1980"/>
      <c r="I2688" s="1984">
        <f>I2684+I2687</f>
        <v>0.4033980206885926</v>
      </c>
      <c r="J2688" s="1981"/>
    </row>
    <row r="2689" spans="1:10" ht="15.75" customHeight="1">
      <c r="A2689" s="1780"/>
      <c r="B2689" s="1784"/>
      <c r="C2689" s="1762" t="s">
        <v>2094</v>
      </c>
      <c r="D2689" s="1767">
        <f>M$4</f>
        <v>0.15</v>
      </c>
      <c r="E2689" s="1768"/>
      <c r="F2689" s="1765"/>
      <c r="G2689" s="1765">
        <f>G2688*D2689</f>
        <v>16588.317773999999</v>
      </c>
      <c r="H2689" s="1980"/>
      <c r="I2689" s="1980"/>
      <c r="J2689" s="1981"/>
    </row>
    <row r="2690" spans="1:10" ht="15.75" customHeight="1">
      <c r="A2690" s="1786"/>
      <c r="B2690" s="1890"/>
      <c r="C2690" s="1788" t="s">
        <v>2111</v>
      </c>
      <c r="D2690" s="1772"/>
      <c r="E2690" s="1773"/>
      <c r="F2690" s="1774"/>
      <c r="G2690" s="1861">
        <f>ROUNDUP((G2688+G2689),2)</f>
        <v>127177.11</v>
      </c>
      <c r="H2690" s="1985"/>
      <c r="I2690" s="1985"/>
      <c r="J2690" s="1986"/>
    </row>
    <row r="2691" spans="1:10" ht="15.75" customHeight="1">
      <c r="A2691" s="1733"/>
      <c r="B2691" s="1733"/>
      <c r="C2691" s="1733"/>
      <c r="D2691" s="1733"/>
      <c r="E2691" s="1733"/>
      <c r="F2691" s="1733"/>
      <c r="G2691" s="1733"/>
      <c r="H2691" s="1733"/>
      <c r="I2691" s="1733"/>
      <c r="J2691" s="1733"/>
    </row>
    <row r="2692" spans="1:10" ht="15.75" customHeight="1">
      <c r="A2692" s="1778">
        <f>A2678+1</f>
        <v>142</v>
      </c>
      <c r="B2692" s="1871" t="s">
        <v>2811</v>
      </c>
      <c r="C2692" s="1872" t="s">
        <v>2814</v>
      </c>
      <c r="D2692" s="1873"/>
      <c r="E2692" s="1874"/>
      <c r="F2692" s="1875"/>
      <c r="G2692" s="1875"/>
      <c r="H2692" s="1800"/>
      <c r="I2692" s="1800"/>
      <c r="J2692" s="1801"/>
    </row>
    <row r="2693" spans="1:10" ht="15.75" customHeight="1">
      <c r="A2693" s="1780"/>
      <c r="B2693" s="1739" t="s">
        <v>1004</v>
      </c>
      <c r="C2693" s="1877" t="s">
        <v>2067</v>
      </c>
      <c r="D2693" s="390"/>
      <c r="E2693" s="413"/>
      <c r="F2693" s="320"/>
      <c r="G2693" s="320"/>
      <c r="H2693" s="1802"/>
      <c r="I2693" s="1802"/>
      <c r="J2693" s="1803"/>
    </row>
    <row r="2694" spans="1:10" ht="15.75" customHeight="1">
      <c r="A2694" s="1780"/>
      <c r="B2694" s="1739"/>
      <c r="C2694" s="1878" t="s">
        <v>2103</v>
      </c>
      <c r="D2694" s="1781">
        <v>3.7999999999999999E-2</v>
      </c>
      <c r="E2694" s="413" t="s">
        <v>2069</v>
      </c>
      <c r="F2694" s="1747">
        <f>'Bahan &amp; Upah'!C$336</f>
        <v>96332.65</v>
      </c>
      <c r="G2694" s="388">
        <f>F2694*D2694</f>
        <v>3660.6406999999995</v>
      </c>
      <c r="H2694" s="2058">
        <v>1</v>
      </c>
      <c r="I2694" s="2058">
        <f>(G2694/G$2702)*H2694</f>
        <v>5.3436387341129425E-2</v>
      </c>
      <c r="J2694" s="1803"/>
    </row>
    <row r="2695" spans="1:10" ht="15.75" customHeight="1">
      <c r="A2695" s="1780"/>
      <c r="B2695" s="1739"/>
      <c r="C2695" s="1878" t="s">
        <v>2766</v>
      </c>
      <c r="D2695" s="1781">
        <v>6.4000000000000001E-2</v>
      </c>
      <c r="E2695" s="413" t="s">
        <v>2069</v>
      </c>
      <c r="F2695" s="1883">
        <f>'Bahan &amp; Upah'!C$337</f>
        <v>114133.55</v>
      </c>
      <c r="G2695" s="332">
        <f>F2695*D2695</f>
        <v>7304.5472</v>
      </c>
      <c r="H2695" s="1980">
        <v>1</v>
      </c>
      <c r="I2695" s="2058">
        <f>(G2695/G$2702)*H2695</f>
        <v>0.10662849635331936</v>
      </c>
      <c r="J2695" s="1803"/>
    </row>
    <row r="2696" spans="1:10" ht="15.75" customHeight="1">
      <c r="A2696" s="1780"/>
      <c r="B2696" s="1739"/>
      <c r="C2696" s="1878" t="s">
        <v>2105</v>
      </c>
      <c r="D2696" s="1781">
        <v>6.0000000000000001E-3</v>
      </c>
      <c r="E2696" s="413" t="s">
        <v>2069</v>
      </c>
      <c r="F2696" s="1748">
        <f>'Bahan &amp; Upah'!C$338</f>
        <v>125485.75</v>
      </c>
      <c r="G2696" s="332">
        <f>F2696*D2696</f>
        <v>752.91449999999998</v>
      </c>
      <c r="H2696" s="1980">
        <v>1</v>
      </c>
      <c r="I2696" s="2058">
        <f>(G2696/G$2702)*H2696</f>
        <v>1.0990707407245075E-2</v>
      </c>
      <c r="J2696" s="1803"/>
    </row>
    <row r="2697" spans="1:10" ht="15.75" customHeight="1">
      <c r="A2697" s="1780"/>
      <c r="B2697" s="1739"/>
      <c r="C2697" s="1878" t="s">
        <v>2107</v>
      </c>
      <c r="D2697" s="1781">
        <v>2E-3</v>
      </c>
      <c r="E2697" s="413" t="s">
        <v>2069</v>
      </c>
      <c r="F2697" s="1883">
        <f>'Bahan &amp; Upah'!C$339</f>
        <v>102689.88</v>
      </c>
      <c r="G2697" s="1794">
        <f>F2697*D2697</f>
        <v>205.37976</v>
      </c>
      <c r="H2697" s="1980">
        <v>1</v>
      </c>
      <c r="I2697" s="1982">
        <f>(G2697/G$2702)*H2697</f>
        <v>2.9980414104526024E-3</v>
      </c>
      <c r="J2697" s="1981"/>
    </row>
    <row r="2698" spans="1:10" ht="15.75" customHeight="1">
      <c r="A2698" s="1780"/>
      <c r="B2698" s="1739"/>
      <c r="C2698" s="1889" t="s">
        <v>2108</v>
      </c>
      <c r="D2698" s="1841"/>
      <c r="E2698" s="413"/>
      <c r="F2698" s="320"/>
      <c r="G2698" s="361">
        <f>SUM(G2694:G2697)</f>
        <v>11923.48216</v>
      </c>
      <c r="H2698" s="1980"/>
      <c r="I2698" s="1983">
        <f>SUM(I2694:I2697)</f>
        <v>0.17405363251214648</v>
      </c>
      <c r="J2698" s="1981"/>
    </row>
    <row r="2699" spans="1:10" ht="15.75" customHeight="1">
      <c r="A2699" s="1780"/>
      <c r="B2699" s="1739" t="s">
        <v>1015</v>
      </c>
      <c r="C2699" s="1877" t="s">
        <v>2075</v>
      </c>
      <c r="D2699" s="1841"/>
      <c r="E2699" s="413"/>
      <c r="F2699" s="320"/>
      <c r="G2699" s="320"/>
      <c r="H2699" s="1980"/>
      <c r="I2699" s="1980"/>
      <c r="J2699" s="1981"/>
    </row>
    <row r="2700" spans="1:10" ht="15.75" customHeight="1">
      <c r="A2700" s="1780"/>
      <c r="B2700" s="1784"/>
      <c r="C2700" s="1878" t="s">
        <v>2815</v>
      </c>
      <c r="D2700" s="1841">
        <v>1.1000000000000001</v>
      </c>
      <c r="E2700" s="413" t="s">
        <v>124</v>
      </c>
      <c r="F2700" s="1883">
        <f>'Bahan &amp; Upah'!C238</f>
        <v>51437.42</v>
      </c>
      <c r="G2700" s="1794">
        <f>F2700*D2700</f>
        <v>56581.162000000004</v>
      </c>
      <c r="H2700" s="1980">
        <v>0.33129999999999998</v>
      </c>
      <c r="I2700" s="1982">
        <f>(G2700/G$2702)*H2700</f>
        <v>0.2736360315487259</v>
      </c>
      <c r="J2700" s="1981"/>
    </row>
    <row r="2701" spans="1:10" ht="15.75" customHeight="1">
      <c r="A2701" s="1780"/>
      <c r="B2701" s="1784"/>
      <c r="C2701" s="1878"/>
      <c r="D2701" s="1841"/>
      <c r="E2701" s="413"/>
      <c r="F2701" s="1883"/>
      <c r="G2701" s="361">
        <f>SUM(G2700:G2700)</f>
        <v>56581.162000000004</v>
      </c>
      <c r="H2701" s="1980"/>
      <c r="I2701" s="1983">
        <f>SUM(I2700:I2700)</f>
        <v>0.2736360315487259</v>
      </c>
      <c r="J2701" s="1981"/>
    </row>
    <row r="2702" spans="1:10" ht="15.75" customHeight="1">
      <c r="A2702" s="1780"/>
      <c r="B2702" s="1784"/>
      <c r="C2702" s="1804" t="s">
        <v>2298</v>
      </c>
      <c r="D2702" s="1763"/>
      <c r="E2702" s="1764"/>
      <c r="F2702" s="1765"/>
      <c r="G2702" s="1765">
        <f>G2698+G2701</f>
        <v>68504.644159999996</v>
      </c>
      <c r="H2702" s="1980"/>
      <c r="I2702" s="1984">
        <f>I2698+I2701</f>
        <v>0.44768966406087241</v>
      </c>
      <c r="J2702" s="1981"/>
    </row>
    <row r="2703" spans="1:10" ht="15.75" customHeight="1">
      <c r="A2703" s="1780"/>
      <c r="B2703" s="1784"/>
      <c r="C2703" s="1762" t="s">
        <v>2094</v>
      </c>
      <c r="D2703" s="1767">
        <f>M$4</f>
        <v>0.15</v>
      </c>
      <c r="E2703" s="1768"/>
      <c r="F2703" s="1765"/>
      <c r="G2703" s="1765">
        <f>G2702*D2703</f>
        <v>10275.696623999998</v>
      </c>
      <c r="H2703" s="1980"/>
      <c r="I2703" s="1980"/>
      <c r="J2703" s="1981"/>
    </row>
    <row r="2704" spans="1:10" ht="15.75" customHeight="1">
      <c r="A2704" s="1786"/>
      <c r="B2704" s="1890"/>
      <c r="C2704" s="1788" t="s">
        <v>2111</v>
      </c>
      <c r="D2704" s="1772"/>
      <c r="E2704" s="1773"/>
      <c r="F2704" s="1774"/>
      <c r="G2704" s="1861">
        <f>ROUNDUP((G2702+G2703),2)</f>
        <v>78780.349999999991</v>
      </c>
      <c r="H2704" s="1985"/>
      <c r="I2704" s="1985"/>
      <c r="J2704" s="1986"/>
    </row>
    <row r="2705" spans="1:10" ht="15.75" customHeight="1">
      <c r="A2705" s="1733"/>
      <c r="B2705" s="1733"/>
      <c r="C2705" s="1733"/>
      <c r="D2705" s="1733"/>
      <c r="E2705" s="1733"/>
      <c r="F2705" s="1733"/>
      <c r="G2705" s="1733"/>
      <c r="H2705" s="1733"/>
      <c r="I2705" s="1733"/>
      <c r="J2705" s="1733"/>
    </row>
    <row r="2706" spans="1:10" ht="15.75" customHeight="1">
      <c r="A2706" s="1778">
        <f>A2692+1</f>
        <v>143</v>
      </c>
      <c r="B2706" s="1871" t="s">
        <v>2816</v>
      </c>
      <c r="C2706" s="1872" t="s">
        <v>2817</v>
      </c>
      <c r="D2706" s="1873"/>
      <c r="E2706" s="1874"/>
      <c r="F2706" s="1875"/>
      <c r="G2706" s="1875"/>
      <c r="H2706" s="1997"/>
      <c r="I2706" s="1997"/>
      <c r="J2706" s="1947"/>
    </row>
    <row r="2707" spans="1:10" ht="15.75" customHeight="1">
      <c r="A2707" s="1780"/>
      <c r="B2707" s="1739" t="s">
        <v>1004</v>
      </c>
      <c r="C2707" s="1877" t="s">
        <v>2067</v>
      </c>
      <c r="D2707" s="390"/>
      <c r="E2707" s="413"/>
      <c r="F2707" s="320"/>
      <c r="G2707" s="320"/>
      <c r="H2707" s="1802"/>
      <c r="I2707" s="1802"/>
      <c r="J2707" s="1803"/>
    </row>
    <row r="2708" spans="1:10" ht="15.75" customHeight="1">
      <c r="A2708" s="1780"/>
      <c r="B2708" s="1739"/>
      <c r="C2708" s="1878" t="s">
        <v>2103</v>
      </c>
      <c r="D2708" s="1841">
        <v>6.4000000000000001E-2</v>
      </c>
      <c r="E2708" s="413" t="s">
        <v>2069</v>
      </c>
      <c r="F2708" s="1747">
        <f>'Bahan &amp; Upah'!C$336</f>
        <v>96332.65</v>
      </c>
      <c r="G2708" s="332">
        <f>F2708*D2708</f>
        <v>6165.2896000000001</v>
      </c>
      <c r="H2708" s="1980">
        <v>1</v>
      </c>
      <c r="I2708" s="1980">
        <f>(G2708/G$2717)*H2708</f>
        <v>4.9636922676278131E-2</v>
      </c>
      <c r="J2708" s="1981"/>
    </row>
    <row r="2709" spans="1:10" ht="15.75" customHeight="1">
      <c r="A2709" s="1780"/>
      <c r="B2709" s="1739"/>
      <c r="C2709" s="1878" t="s">
        <v>2818</v>
      </c>
      <c r="D2709" s="1841">
        <v>0.107</v>
      </c>
      <c r="E2709" s="413" t="s">
        <v>2069</v>
      </c>
      <c r="F2709" s="1883">
        <f>'Bahan &amp; Upah'!C$337</f>
        <v>114133.55</v>
      </c>
      <c r="G2709" s="332">
        <f>F2709*D2709</f>
        <v>12212.289849999999</v>
      </c>
      <c r="H2709" s="1980">
        <v>1</v>
      </c>
      <c r="I2709" s="1980">
        <f>(G2709/G$2717)*H2709</f>
        <v>9.8321494416863442E-2</v>
      </c>
      <c r="J2709" s="1981"/>
    </row>
    <row r="2710" spans="1:10" ht="15.75" customHeight="1">
      <c r="A2710" s="1780"/>
      <c r="B2710" s="1739"/>
      <c r="C2710" s="1878" t="s">
        <v>2819</v>
      </c>
      <c r="D2710" s="1841">
        <v>1.0999999999999999E-2</v>
      </c>
      <c r="E2710" s="413" t="s">
        <v>2069</v>
      </c>
      <c r="F2710" s="1748">
        <f>'Bahan &amp; Upah'!C$338</f>
        <v>125485.75</v>
      </c>
      <c r="G2710" s="332">
        <f>F2710*D2710</f>
        <v>1380.3432499999999</v>
      </c>
      <c r="H2710" s="1980">
        <v>1</v>
      </c>
      <c r="I2710" s="1980">
        <f>(G2710/G$2717)*H2710</f>
        <v>1.1113182934175946E-2</v>
      </c>
      <c r="J2710" s="1981"/>
    </row>
    <row r="2711" spans="1:10" ht="15.75" customHeight="1">
      <c r="A2711" s="1780"/>
      <c r="B2711" s="1739"/>
      <c r="C2711" s="1878" t="s">
        <v>2107</v>
      </c>
      <c r="D2711" s="1841">
        <v>4.0000000000000001E-3</v>
      </c>
      <c r="E2711" s="413" t="s">
        <v>2069</v>
      </c>
      <c r="F2711" s="1883">
        <f>'Bahan &amp; Upah'!C$339</f>
        <v>102689.88</v>
      </c>
      <c r="G2711" s="1785">
        <f>F2711*D2711</f>
        <v>410.75952000000001</v>
      </c>
      <c r="H2711" s="1980">
        <v>1</v>
      </c>
      <c r="I2711" s="1982">
        <f>(G2711/G$2717)*H2711</f>
        <v>3.3070366285446059E-3</v>
      </c>
      <c r="J2711" s="1981"/>
    </row>
    <row r="2712" spans="1:10" ht="15.75" customHeight="1">
      <c r="A2712" s="1780"/>
      <c r="B2712" s="1739"/>
      <c r="C2712" s="1889" t="s">
        <v>2108</v>
      </c>
      <c r="D2712" s="1841"/>
      <c r="E2712" s="413"/>
      <c r="F2712" s="320"/>
      <c r="G2712" s="361">
        <f>SUM(G2708:G2711)</f>
        <v>20168.682219999995</v>
      </c>
      <c r="H2712" s="1980"/>
      <c r="I2712" s="1983">
        <f>SUM(I2708:I2711)</f>
        <v>0.16237863665586214</v>
      </c>
      <c r="J2712" s="1981"/>
    </row>
    <row r="2713" spans="1:10" ht="15.75" customHeight="1">
      <c r="A2713" s="1780"/>
      <c r="B2713" s="1739" t="s">
        <v>1015</v>
      </c>
      <c r="C2713" s="1877" t="s">
        <v>2075</v>
      </c>
      <c r="D2713" s="1841"/>
      <c r="E2713" s="413"/>
      <c r="F2713" s="320"/>
      <c r="G2713" s="320"/>
      <c r="H2713" s="1980"/>
      <c r="I2713" s="1980"/>
      <c r="J2713" s="1981"/>
    </row>
    <row r="2714" spans="1:10" ht="15.75" customHeight="1">
      <c r="A2714" s="1780"/>
      <c r="B2714" s="1784"/>
      <c r="C2714" s="1878" t="s">
        <v>2820</v>
      </c>
      <c r="D2714" s="1841">
        <v>1</v>
      </c>
      <c r="E2714" s="413" t="s">
        <v>124</v>
      </c>
      <c r="F2714" s="1883">
        <f>'Bahan &amp; Upah'!C278</f>
        <v>75235.38</v>
      </c>
      <c r="G2714" s="332">
        <f>F2714*D2714</f>
        <v>75235.38</v>
      </c>
      <c r="H2714" s="1980">
        <v>0.7772</v>
      </c>
      <c r="I2714" s="1980">
        <f>(G2714/G$2717)*H2714</f>
        <v>0.4707672887258838</v>
      </c>
      <c r="J2714" s="1981"/>
    </row>
    <row r="2715" spans="1:10" ht="15.75" customHeight="1">
      <c r="A2715" s="1780"/>
      <c r="B2715" s="1784"/>
      <c r="C2715" s="1878" t="s">
        <v>2821</v>
      </c>
      <c r="D2715" s="1841">
        <v>1</v>
      </c>
      <c r="E2715" s="413" t="s">
        <v>124</v>
      </c>
      <c r="F2715" s="1883">
        <f>'Bahan &amp; Upah'!C280</f>
        <v>28803.67</v>
      </c>
      <c r="G2715" s="332">
        <f>F2715*D2715</f>
        <v>28803.67</v>
      </c>
      <c r="H2715" s="1980">
        <v>0.65839999999999999</v>
      </c>
      <c r="I2715" s="1982">
        <f>(G2715/G$2717)*H2715</f>
        <v>0.1526824134781711</v>
      </c>
      <c r="J2715" s="1981"/>
    </row>
    <row r="2716" spans="1:10" ht="15.75" customHeight="1">
      <c r="A2716" s="1780"/>
      <c r="B2716" s="1784"/>
      <c r="C2716" s="1878"/>
      <c r="D2716" s="1841"/>
      <c r="E2716" s="413"/>
      <c r="F2716" s="1883"/>
      <c r="G2716" s="361">
        <f>SUM(G2714:G2715)</f>
        <v>104039.05</v>
      </c>
      <c r="H2716" s="1980"/>
      <c r="I2716" s="1983">
        <f>SUM(I2714:I2715)</f>
        <v>0.62344970220405493</v>
      </c>
      <c r="J2716" s="1981"/>
    </row>
    <row r="2717" spans="1:10" ht="15.75" customHeight="1">
      <c r="A2717" s="1780"/>
      <c r="B2717" s="1784"/>
      <c r="C2717" s="1804" t="s">
        <v>2298</v>
      </c>
      <c r="D2717" s="1763"/>
      <c r="E2717" s="1764"/>
      <c r="F2717" s="1765"/>
      <c r="G2717" s="1765">
        <f>G2712+G2716</f>
        <v>124207.73222000001</v>
      </c>
      <c r="H2717" s="1980"/>
      <c r="I2717" s="1984">
        <f>I2712+I2716</f>
        <v>0.7858283388599171</v>
      </c>
      <c r="J2717" s="1981"/>
    </row>
    <row r="2718" spans="1:10" ht="15.75" customHeight="1">
      <c r="A2718" s="1780"/>
      <c r="B2718" s="1784"/>
      <c r="C2718" s="1804" t="s">
        <v>2677</v>
      </c>
      <c r="D2718" s="1763"/>
      <c r="E2718" s="1764"/>
      <c r="F2718" s="1765"/>
      <c r="G2718" s="1765">
        <f>G2717*15%</f>
        <v>18631.159833000002</v>
      </c>
      <c r="H2718" s="1782"/>
      <c r="I2718" s="1782"/>
      <c r="J2718" s="1783"/>
    </row>
    <row r="2719" spans="1:10" ht="15.75" customHeight="1">
      <c r="A2719" s="1786"/>
      <c r="B2719" s="1890"/>
      <c r="C2719" s="1788" t="s">
        <v>2111</v>
      </c>
      <c r="D2719" s="1772"/>
      <c r="E2719" s="1773"/>
      <c r="F2719" s="1774"/>
      <c r="G2719" s="1861">
        <f>ROUNDUP((G2717+G2718),2)</f>
        <v>142838.90000000002</v>
      </c>
      <c r="H2719" s="2010"/>
      <c r="I2719" s="2010"/>
      <c r="J2719" s="1893"/>
    </row>
    <row r="2720" spans="1:10" ht="15.75" customHeight="1">
      <c r="A2720" s="1733"/>
      <c r="B2720" s="1733"/>
      <c r="C2720" s="1733"/>
      <c r="D2720" s="1733"/>
      <c r="E2720" s="1733"/>
      <c r="F2720" s="1733"/>
      <c r="G2720" s="1733"/>
      <c r="H2720" s="1733"/>
      <c r="I2720" s="1733"/>
      <c r="J2720" s="1733"/>
    </row>
    <row r="2721" spans="1:10" ht="18" customHeight="1">
      <c r="A2721" s="1778">
        <f>A2706+1</f>
        <v>144</v>
      </c>
      <c r="B2721" s="1871" t="s">
        <v>2816</v>
      </c>
      <c r="C2721" s="1872" t="s">
        <v>2822</v>
      </c>
      <c r="D2721" s="1873"/>
      <c r="E2721" s="1874"/>
      <c r="F2721" s="1875"/>
      <c r="G2721" s="1875"/>
      <c r="H2721" s="1997"/>
      <c r="I2721" s="1997"/>
      <c r="J2721" s="1947"/>
    </row>
    <row r="2722" spans="1:10" ht="15.75" customHeight="1">
      <c r="A2722" s="1780"/>
      <c r="B2722" s="1739" t="s">
        <v>1004</v>
      </c>
      <c r="C2722" s="1877" t="s">
        <v>2067</v>
      </c>
      <c r="D2722" s="390"/>
      <c r="E2722" s="413"/>
      <c r="F2722" s="320"/>
      <c r="G2722" s="320"/>
      <c r="H2722" s="1802"/>
      <c r="I2722" s="1802"/>
      <c r="J2722" s="1803"/>
    </row>
    <row r="2723" spans="1:10" ht="15.75" customHeight="1">
      <c r="A2723" s="1780"/>
      <c r="B2723" s="1739"/>
      <c r="C2723" s="1878" t="s">
        <v>2103</v>
      </c>
      <c r="D2723" s="1841">
        <v>6.4000000000000001E-2</v>
      </c>
      <c r="E2723" s="413" t="s">
        <v>2069</v>
      </c>
      <c r="F2723" s="1747">
        <f>'Bahan &amp; Upah'!C$336</f>
        <v>96332.65</v>
      </c>
      <c r="G2723" s="332">
        <f>F2723*D2723</f>
        <v>6165.2896000000001</v>
      </c>
      <c r="H2723" s="1980">
        <v>1</v>
      </c>
      <c r="I2723" s="1980">
        <f>(G2723/G$2732)*H2723</f>
        <v>3.8194198156870363E-2</v>
      </c>
      <c r="J2723" s="1981"/>
    </row>
    <row r="2724" spans="1:10" ht="15.75" customHeight="1">
      <c r="A2724" s="1780"/>
      <c r="B2724" s="1739"/>
      <c r="C2724" s="1878" t="s">
        <v>2818</v>
      </c>
      <c r="D2724" s="1841">
        <v>0.107</v>
      </c>
      <c r="E2724" s="413" t="s">
        <v>2069</v>
      </c>
      <c r="F2724" s="1883">
        <f>'Bahan &amp; Upah'!C$337</f>
        <v>114133.55</v>
      </c>
      <c r="G2724" s="332">
        <f>F2724*D2724</f>
        <v>12212.289849999999</v>
      </c>
      <c r="H2724" s="1980">
        <v>1</v>
      </c>
      <c r="I2724" s="1980">
        <f>(G2724/G$2732)*H2724</f>
        <v>7.5655589395190237E-2</v>
      </c>
      <c r="J2724" s="1981"/>
    </row>
    <row r="2725" spans="1:10" ht="15.75" customHeight="1">
      <c r="A2725" s="1780"/>
      <c r="B2725" s="1739"/>
      <c r="C2725" s="1878" t="s">
        <v>2819</v>
      </c>
      <c r="D2725" s="1841">
        <v>1.0999999999999999E-2</v>
      </c>
      <c r="E2725" s="413" t="s">
        <v>2069</v>
      </c>
      <c r="F2725" s="1748">
        <f>'Bahan &amp; Upah'!C$338</f>
        <v>125485.75</v>
      </c>
      <c r="G2725" s="332">
        <f>F2725*D2725</f>
        <v>1380.3432499999999</v>
      </c>
      <c r="H2725" s="1980">
        <v>1</v>
      </c>
      <c r="I2725" s="1980">
        <f>(G2725/G$2732)*H2725</f>
        <v>8.5512777234338592E-3</v>
      </c>
      <c r="J2725" s="1981"/>
    </row>
    <row r="2726" spans="1:10" ht="15.75" customHeight="1">
      <c r="A2726" s="1780"/>
      <c r="B2726" s="1739"/>
      <c r="C2726" s="1878" t="s">
        <v>2107</v>
      </c>
      <c r="D2726" s="1841">
        <v>4.0000000000000001E-3</v>
      </c>
      <c r="E2726" s="413" t="s">
        <v>2069</v>
      </c>
      <c r="F2726" s="1883">
        <f>'Bahan &amp; Upah'!C$339</f>
        <v>102689.88</v>
      </c>
      <c r="G2726" s="1785">
        <f>F2726*D2726</f>
        <v>410.75952000000001</v>
      </c>
      <c r="H2726" s="1980">
        <v>1</v>
      </c>
      <c r="I2726" s="1982">
        <f>(G2726/G$2732)*H2726</f>
        <v>2.5446704890717468E-3</v>
      </c>
      <c r="J2726" s="1981"/>
    </row>
    <row r="2727" spans="1:10" ht="15.75" customHeight="1">
      <c r="A2727" s="1780"/>
      <c r="B2727" s="1739"/>
      <c r="C2727" s="1889" t="s">
        <v>2108</v>
      </c>
      <c r="D2727" s="1841"/>
      <c r="E2727" s="413"/>
      <c r="F2727" s="320"/>
      <c r="G2727" s="361">
        <f>SUM(G2723:G2726)</f>
        <v>20168.682219999995</v>
      </c>
      <c r="H2727" s="1980"/>
      <c r="I2727" s="1983">
        <f>SUM(I2723:I2726)</f>
        <v>0.1249457357645662</v>
      </c>
      <c r="J2727" s="1981"/>
    </row>
    <row r="2728" spans="1:10" ht="15.75" customHeight="1">
      <c r="A2728" s="1780"/>
      <c r="B2728" s="1739" t="s">
        <v>1015</v>
      </c>
      <c r="C2728" s="1877" t="s">
        <v>2075</v>
      </c>
      <c r="D2728" s="1841"/>
      <c r="E2728" s="413"/>
      <c r="F2728" s="320"/>
      <c r="G2728" s="320"/>
      <c r="H2728" s="1980"/>
      <c r="I2728" s="1980"/>
      <c r="J2728" s="1981"/>
    </row>
    <row r="2729" spans="1:10" ht="15.75" customHeight="1">
      <c r="A2729" s="1780"/>
      <c r="B2729" s="1784"/>
      <c r="C2729" s="1878" t="s">
        <v>2823</v>
      </c>
      <c r="D2729" s="1841">
        <v>1</v>
      </c>
      <c r="E2729" s="413" t="s">
        <v>124</v>
      </c>
      <c r="F2729" s="1883">
        <f>'Bahan &amp; Upah'!C279</f>
        <v>93791.52</v>
      </c>
      <c r="G2729" s="332">
        <f>F2729*D2729</f>
        <v>93791.52</v>
      </c>
      <c r="H2729" s="1980">
        <v>0.7772</v>
      </c>
      <c r="I2729" s="1980">
        <f>(G2729/G$2732)*H2729</f>
        <v>0.45158580465126813</v>
      </c>
      <c r="J2729" s="1981"/>
    </row>
    <row r="2730" spans="1:10" ht="15.75" customHeight="1">
      <c r="A2730" s="1780"/>
      <c r="B2730" s="1784"/>
      <c r="C2730" s="1878" t="s">
        <v>2824</v>
      </c>
      <c r="D2730" s="1841">
        <v>1</v>
      </c>
      <c r="E2730" s="413" t="s">
        <v>124</v>
      </c>
      <c r="F2730" s="1883">
        <f>'Bahan &amp; Upah'!C281</f>
        <v>47459.33</v>
      </c>
      <c r="G2730" s="1794">
        <f>F2730*D2730</f>
        <v>47459.33</v>
      </c>
      <c r="H2730" s="1980">
        <v>0.65839999999999999</v>
      </c>
      <c r="I2730" s="1982">
        <f>(G2730/G$2732)*H2730</f>
        <v>0.19357770675120595</v>
      </c>
      <c r="J2730" s="1981"/>
    </row>
    <row r="2731" spans="1:10" ht="15.75" customHeight="1">
      <c r="A2731" s="1780"/>
      <c r="B2731" s="1784"/>
      <c r="C2731" s="1878"/>
      <c r="D2731" s="1841"/>
      <c r="E2731" s="413"/>
      <c r="F2731" s="1883"/>
      <c r="G2731" s="361">
        <f>SUM(G2729:G2730)</f>
        <v>141250.85</v>
      </c>
      <c r="H2731" s="1980"/>
      <c r="I2731" s="1983">
        <f>SUM(I2729:I2730)</f>
        <v>0.64516351140247408</v>
      </c>
      <c r="J2731" s="1981"/>
    </row>
    <row r="2732" spans="1:10" ht="15.75" customHeight="1">
      <c r="A2732" s="1780"/>
      <c r="B2732" s="1784"/>
      <c r="C2732" s="1804" t="s">
        <v>2298</v>
      </c>
      <c r="D2732" s="1763"/>
      <c r="E2732" s="1764"/>
      <c r="F2732" s="1765"/>
      <c r="G2732" s="1765">
        <f>G2727+G2731</f>
        <v>161419.53221999999</v>
      </c>
      <c r="H2732" s="1980"/>
      <c r="I2732" s="1984">
        <f>I2727+I2731</f>
        <v>0.77010924716704032</v>
      </c>
      <c r="J2732" s="1981"/>
    </row>
    <row r="2733" spans="1:10" ht="15.75" customHeight="1">
      <c r="A2733" s="1780"/>
      <c r="B2733" s="1784"/>
      <c r="C2733" s="1804" t="s">
        <v>2677</v>
      </c>
      <c r="D2733" s="1763"/>
      <c r="E2733" s="1764"/>
      <c r="F2733" s="1765"/>
      <c r="G2733" s="1765">
        <f>G2732*15%</f>
        <v>24212.929832999998</v>
      </c>
      <c r="H2733" s="1782"/>
      <c r="I2733" s="1782"/>
      <c r="J2733" s="1783"/>
    </row>
    <row r="2734" spans="1:10" ht="15.75" customHeight="1">
      <c r="A2734" s="1786"/>
      <c r="B2734" s="1890"/>
      <c r="C2734" s="1788" t="s">
        <v>2111</v>
      </c>
      <c r="D2734" s="1772"/>
      <c r="E2734" s="1773"/>
      <c r="F2734" s="1774"/>
      <c r="G2734" s="1861">
        <f>ROUNDUP((G2732+G2733),2)</f>
        <v>185632.47</v>
      </c>
      <c r="H2734" s="2010"/>
      <c r="I2734" s="2010"/>
      <c r="J2734" s="1893"/>
    </row>
    <row r="2735" spans="1:10" ht="15.75" customHeight="1">
      <c r="A2735" s="1733"/>
      <c r="B2735" s="1733"/>
      <c r="C2735" s="1733"/>
      <c r="D2735" s="1733"/>
      <c r="E2735" s="1733"/>
      <c r="F2735" s="1733"/>
      <c r="G2735" s="1733"/>
      <c r="H2735" s="1733"/>
      <c r="I2735" s="1733"/>
      <c r="J2735" s="1733"/>
    </row>
    <row r="2736" spans="1:10" ht="30" customHeight="1">
      <c r="A2736" s="1778">
        <f>A2721+1</f>
        <v>145</v>
      </c>
      <c r="B2736" s="1871" t="s">
        <v>2825</v>
      </c>
      <c r="C2736" s="1872" t="s">
        <v>2826</v>
      </c>
      <c r="D2736" s="1873"/>
      <c r="E2736" s="1874"/>
      <c r="F2736" s="1875"/>
      <c r="G2736" s="1940"/>
      <c r="H2736" s="2059"/>
      <c r="I2736" s="1800"/>
      <c r="J2736" s="1801"/>
    </row>
    <row r="2737" spans="1:12" ht="15.75" customHeight="1">
      <c r="A2737" s="1780"/>
      <c r="B2737" s="1739" t="s">
        <v>1004</v>
      </c>
      <c r="C2737" s="1877" t="s">
        <v>2067</v>
      </c>
      <c r="D2737" s="390"/>
      <c r="E2737" s="413"/>
      <c r="F2737" s="320"/>
      <c r="G2737" s="380"/>
      <c r="H2737" s="1941"/>
      <c r="I2737" s="1802"/>
      <c r="J2737" s="1803"/>
    </row>
    <row r="2738" spans="1:12" ht="15.75" customHeight="1">
      <c r="A2738" s="1780"/>
      <c r="B2738" s="1739"/>
      <c r="C2738" s="1878" t="s">
        <v>2103</v>
      </c>
      <c r="D2738" s="1841">
        <v>0.129</v>
      </c>
      <c r="E2738" s="413" t="s">
        <v>2069</v>
      </c>
      <c r="F2738" s="1747">
        <f>'Bahan &amp; Upah'!C$336</f>
        <v>96332.65</v>
      </c>
      <c r="G2738" s="332">
        <f>F2738*D2738</f>
        <v>12426.91185</v>
      </c>
      <c r="H2738" s="1980">
        <v>1</v>
      </c>
      <c r="I2738" s="1980">
        <f>(G2738/G$2746)*H2738</f>
        <v>3.6531385324772736E-2</v>
      </c>
      <c r="J2738" s="1803"/>
    </row>
    <row r="2739" spans="1:12" ht="15.75" customHeight="1">
      <c r="A2739" s="1780"/>
      <c r="B2739" s="1739"/>
      <c r="C2739" s="1878" t="s">
        <v>2818</v>
      </c>
      <c r="D2739" s="1841">
        <v>0.215</v>
      </c>
      <c r="E2739" s="413" t="s">
        <v>2069</v>
      </c>
      <c r="F2739" s="1883">
        <f>'Bahan &amp; Upah'!C$337</f>
        <v>114133.55</v>
      </c>
      <c r="G2739" s="332">
        <f>F2739*D2739</f>
        <v>24538.713250000001</v>
      </c>
      <c r="H2739" s="1980">
        <v>1</v>
      </c>
      <c r="I2739" s="1980">
        <f>(G2739/G$2746)*H2739</f>
        <v>7.2136440648354339E-2</v>
      </c>
      <c r="J2739" s="1803"/>
    </row>
    <row r="2740" spans="1:12" ht="15.75" customHeight="1">
      <c r="A2740" s="1780"/>
      <c r="B2740" s="1739"/>
      <c r="C2740" s="1878" t="s">
        <v>2819</v>
      </c>
      <c r="D2740" s="1841">
        <v>2.1000000000000001E-2</v>
      </c>
      <c r="E2740" s="413" t="s">
        <v>2069</v>
      </c>
      <c r="F2740" s="1748">
        <f>'Bahan &amp; Upah'!C$338</f>
        <v>125485.75</v>
      </c>
      <c r="G2740" s="332">
        <f>F2740*D2740</f>
        <v>2635.20075</v>
      </c>
      <c r="H2740" s="1980">
        <v>1</v>
      </c>
      <c r="I2740" s="1980">
        <f>(G2740/G$2746)*H2740</f>
        <v>7.7466980669360823E-3</v>
      </c>
      <c r="J2740" s="1803"/>
    </row>
    <row r="2741" spans="1:12" ht="15.75" customHeight="1">
      <c r="A2741" s="1780"/>
      <c r="B2741" s="1739"/>
      <c r="C2741" s="1878" t="s">
        <v>2107</v>
      </c>
      <c r="D2741" s="1841">
        <v>7.0000000000000001E-3</v>
      </c>
      <c r="E2741" s="413" t="s">
        <v>2069</v>
      </c>
      <c r="F2741" s="1883">
        <f>'Bahan &amp; Upah'!C$339</f>
        <v>102689.88</v>
      </c>
      <c r="G2741" s="1785">
        <f>F2741*D2741</f>
        <v>718.82916</v>
      </c>
      <c r="H2741" s="1980">
        <v>1</v>
      </c>
      <c r="I2741" s="1982">
        <f>(G2741/G$2746)*H2741</f>
        <v>2.1131416512496395E-3</v>
      </c>
      <c r="J2741" s="1981"/>
    </row>
    <row r="2742" spans="1:12" ht="15.75" customHeight="1">
      <c r="A2742" s="1780"/>
      <c r="B2742" s="1739"/>
      <c r="C2742" s="1889" t="s">
        <v>2108</v>
      </c>
      <c r="D2742" s="1841"/>
      <c r="E2742" s="413"/>
      <c r="F2742" s="320"/>
      <c r="G2742" s="345">
        <f>SUM(G2738:G2741)</f>
        <v>40319.655010000009</v>
      </c>
      <c r="H2742" s="2024"/>
      <c r="I2742" s="1983">
        <f>SUM(I2738:I2741)</f>
        <v>0.11852766569131279</v>
      </c>
      <c r="J2742" s="1981"/>
    </row>
    <row r="2743" spans="1:12" ht="15.75" customHeight="1">
      <c r="A2743" s="1780"/>
      <c r="B2743" s="1739" t="s">
        <v>1015</v>
      </c>
      <c r="C2743" s="1877" t="s">
        <v>2075</v>
      </c>
      <c r="D2743" s="1841"/>
      <c r="E2743" s="413"/>
      <c r="F2743" s="320"/>
      <c r="G2743" s="380"/>
      <c r="H2743" s="2024"/>
      <c r="I2743" s="1980"/>
      <c r="J2743" s="1981"/>
    </row>
    <row r="2744" spans="1:12" ht="15.75" customHeight="1">
      <c r="A2744" s="1780"/>
      <c r="B2744" s="1784"/>
      <c r="C2744" s="1878" t="s">
        <v>2827</v>
      </c>
      <c r="D2744" s="1841">
        <v>1</v>
      </c>
      <c r="E2744" s="413" t="s">
        <v>124</v>
      </c>
      <c r="F2744" s="1883">
        <f>'Bahan &amp; Upah'!C248</f>
        <v>299851.18</v>
      </c>
      <c r="G2744" s="1794">
        <f>F2744*D2744</f>
        <v>299851.18</v>
      </c>
      <c r="H2744" s="2024">
        <v>0.4078</v>
      </c>
      <c r="I2744" s="1982">
        <f>(G2744/G$2746)*H2744</f>
        <v>0.35946441793108264</v>
      </c>
      <c r="J2744" s="1981"/>
    </row>
    <row r="2745" spans="1:12" ht="15.75" customHeight="1">
      <c r="A2745" s="1780"/>
      <c r="B2745" s="1784"/>
      <c r="C2745" s="1878"/>
      <c r="D2745" s="1841"/>
      <c r="E2745" s="413"/>
      <c r="F2745" s="1883"/>
      <c r="G2745" s="345">
        <f>SUM(G2744:G2744)</f>
        <v>299851.18</v>
      </c>
      <c r="H2745" s="2024"/>
      <c r="I2745" s="1980">
        <f>SUM(I2744)</f>
        <v>0.35946441793108264</v>
      </c>
      <c r="J2745" s="1981"/>
    </row>
    <row r="2746" spans="1:12" ht="15.75" customHeight="1">
      <c r="A2746" s="1780"/>
      <c r="B2746" s="1784"/>
      <c r="C2746" s="1804" t="s">
        <v>2298</v>
      </c>
      <c r="D2746" s="1763"/>
      <c r="E2746" s="1764"/>
      <c r="F2746" s="1765"/>
      <c r="G2746" s="1943">
        <f>G2742+G2745</f>
        <v>340170.83500999998</v>
      </c>
      <c r="H2746" s="2024"/>
      <c r="I2746" s="1984">
        <f>I2742+I2745</f>
        <v>0.47799208362239543</v>
      </c>
      <c r="J2746" s="1981"/>
    </row>
    <row r="2747" spans="1:12" ht="15.75" customHeight="1">
      <c r="A2747" s="1780"/>
      <c r="B2747" s="1784"/>
      <c r="C2747" s="1762" t="s">
        <v>2094</v>
      </c>
      <c r="D2747" s="1767">
        <f>M$4</f>
        <v>0.15</v>
      </c>
      <c r="E2747" s="1768"/>
      <c r="F2747" s="1765"/>
      <c r="G2747" s="1943">
        <f>G2746*D2747</f>
        <v>51025.625251499994</v>
      </c>
      <c r="H2747" s="2024"/>
      <c r="I2747" s="1980"/>
      <c r="J2747" s="1981"/>
    </row>
    <row r="2748" spans="1:12" ht="15.75" customHeight="1">
      <c r="A2748" s="1786"/>
      <c r="B2748" s="1890"/>
      <c r="C2748" s="1788" t="s">
        <v>2111</v>
      </c>
      <c r="D2748" s="1772"/>
      <c r="E2748" s="1773"/>
      <c r="F2748" s="1774"/>
      <c r="G2748" s="1944">
        <f>ROUNDUP((G2746+G2747),2)</f>
        <v>391196.47000000003</v>
      </c>
      <c r="H2748" s="2060"/>
      <c r="I2748" s="1982"/>
      <c r="J2748" s="2005"/>
    </row>
    <row r="2749" spans="1:12" ht="15.75" customHeight="1">
      <c r="A2749" s="1733"/>
      <c r="B2749" s="1733"/>
      <c r="C2749" s="1733"/>
      <c r="D2749" s="1733"/>
      <c r="E2749" s="1733"/>
      <c r="F2749" s="1733"/>
      <c r="G2749" s="1733"/>
      <c r="H2749" s="1733"/>
      <c r="I2749" s="1733"/>
      <c r="J2749" s="1733"/>
    </row>
    <row r="2750" spans="1:12" ht="30" customHeight="1">
      <c r="A2750" s="1946">
        <f>A2736+1</f>
        <v>146</v>
      </c>
      <c r="B2750" s="1871" t="s">
        <v>2825</v>
      </c>
      <c r="C2750" s="1806" t="s">
        <v>2828</v>
      </c>
      <c r="D2750" s="1807"/>
      <c r="E2750" s="1807"/>
      <c r="F2750" s="1808"/>
      <c r="G2750" s="1940"/>
      <c r="H2750" s="2059"/>
      <c r="I2750" s="1800"/>
      <c r="J2750" s="1801"/>
      <c r="L2750" s="944"/>
    </row>
    <row r="2751" spans="1:12" ht="15.75" customHeight="1">
      <c r="A2751" s="2042"/>
      <c r="B2751" s="1884" t="s">
        <v>1004</v>
      </c>
      <c r="C2751" s="1755" t="s">
        <v>2075</v>
      </c>
      <c r="D2751" s="1841"/>
      <c r="E2751" s="413"/>
      <c r="F2751" s="320"/>
      <c r="G2751" s="380"/>
      <c r="H2751" s="1941"/>
      <c r="I2751" s="1802"/>
      <c r="J2751" s="1803"/>
      <c r="L2751" s="944"/>
    </row>
    <row r="2752" spans="1:12" ht="15.75" customHeight="1">
      <c r="A2752" s="2042"/>
      <c r="B2752" s="1884"/>
      <c r="C2752" s="2061" t="s">
        <v>2829</v>
      </c>
      <c r="D2752" s="1841">
        <v>1</v>
      </c>
      <c r="E2752" s="413" t="s">
        <v>124</v>
      </c>
      <c r="F2752" s="361">
        <f>'Bahan &amp; Upah'!C282</f>
        <v>983616.16</v>
      </c>
      <c r="G2752" s="1794">
        <f>F2752*D2752</f>
        <v>983616.16</v>
      </c>
      <c r="H2752" s="2062">
        <v>0.4</v>
      </c>
      <c r="I2752" s="2016">
        <f>(G2752/G$2760)*H2752</f>
        <v>0.38424914748797762</v>
      </c>
      <c r="J2752" s="1981"/>
      <c r="L2752" s="2027" t="s">
        <v>2830</v>
      </c>
    </row>
    <row r="2753" spans="1:12" ht="15.75" customHeight="1">
      <c r="A2753" s="2042"/>
      <c r="B2753" s="1909"/>
      <c r="C2753" s="1753" t="s">
        <v>2110</v>
      </c>
      <c r="D2753" s="1841"/>
      <c r="E2753" s="413"/>
      <c r="F2753" s="320"/>
      <c r="G2753" s="345">
        <f>SUM(G2752:G2752)</f>
        <v>983616.16</v>
      </c>
      <c r="H2753" s="2062"/>
      <c r="I2753" s="2015">
        <f>SUM(I2751:I2752)</f>
        <v>0.38424914748797762</v>
      </c>
      <c r="J2753" s="1981"/>
      <c r="L2753" s="944"/>
    </row>
    <row r="2754" spans="1:12" ht="15.75" customHeight="1">
      <c r="A2754" s="2042"/>
      <c r="B2754" s="1884" t="s">
        <v>1015</v>
      </c>
      <c r="C2754" s="1755" t="s">
        <v>2067</v>
      </c>
      <c r="D2754" s="1841"/>
      <c r="E2754" s="413"/>
      <c r="F2754" s="320"/>
      <c r="G2754" s="380"/>
      <c r="H2754" s="2062"/>
      <c r="I2754" s="2016"/>
      <c r="J2754" s="1981"/>
      <c r="L2754" s="944"/>
    </row>
    <row r="2755" spans="1:12" ht="15.75" customHeight="1">
      <c r="A2755" s="2042"/>
      <c r="B2755" s="1884"/>
      <c r="C2755" s="1878" t="s">
        <v>2103</v>
      </c>
      <c r="D2755" s="1841">
        <v>0.129</v>
      </c>
      <c r="E2755" s="413" t="s">
        <v>2069</v>
      </c>
      <c r="F2755" s="1747">
        <f>'Bahan &amp; Upah'!C$336</f>
        <v>96332.65</v>
      </c>
      <c r="G2755" s="332">
        <f>F2755*D2755</f>
        <v>12426.91185</v>
      </c>
      <c r="H2755" s="1980">
        <v>1</v>
      </c>
      <c r="I2755" s="1980">
        <f>(G2755/G$2760)*H2755</f>
        <v>1.2136416822062852E-2</v>
      </c>
      <c r="J2755" s="2063"/>
      <c r="L2755" s="944"/>
    </row>
    <row r="2756" spans="1:12" ht="15.75" customHeight="1">
      <c r="A2756" s="2042"/>
      <c r="B2756" s="1884"/>
      <c r="C2756" s="1878" t="s">
        <v>2818</v>
      </c>
      <c r="D2756" s="1841">
        <v>0.215</v>
      </c>
      <c r="E2756" s="413" t="s">
        <v>2069</v>
      </c>
      <c r="F2756" s="1883">
        <f>'Bahan &amp; Upah'!C$337</f>
        <v>114133.55</v>
      </c>
      <c r="G2756" s="332">
        <f>F2756*D2756</f>
        <v>24538.713250000001</v>
      </c>
      <c r="H2756" s="1980">
        <v>1</v>
      </c>
      <c r="I2756" s="1980">
        <f>(G2756/G$2760)*H2756</f>
        <v>2.396508930568109E-2</v>
      </c>
      <c r="J2756" s="2063"/>
      <c r="L2756" s="944"/>
    </row>
    <row r="2757" spans="1:12" ht="15.75" customHeight="1">
      <c r="A2757" s="2042"/>
      <c r="B2757" s="1884"/>
      <c r="C2757" s="1878" t="s">
        <v>2819</v>
      </c>
      <c r="D2757" s="1841">
        <v>2.1000000000000001E-2</v>
      </c>
      <c r="E2757" s="413" t="s">
        <v>2069</v>
      </c>
      <c r="F2757" s="1748">
        <f>'Bahan &amp; Upah'!C$338</f>
        <v>125485.75</v>
      </c>
      <c r="G2757" s="332">
        <f>F2757*D2757</f>
        <v>2635.20075</v>
      </c>
      <c r="H2757" s="1980">
        <v>1</v>
      </c>
      <c r="I2757" s="1980">
        <f>(G2757/G$2760)*H2757</f>
        <v>2.5735995473253996E-3</v>
      </c>
      <c r="J2757" s="2063"/>
      <c r="L2757" s="944"/>
    </row>
    <row r="2758" spans="1:12" ht="15.75" customHeight="1">
      <c r="A2758" s="2042"/>
      <c r="B2758" s="1884"/>
      <c r="C2758" s="1878" t="s">
        <v>2107</v>
      </c>
      <c r="D2758" s="1841">
        <v>7.0000000000000001E-3</v>
      </c>
      <c r="E2758" s="413" t="s">
        <v>2069</v>
      </c>
      <c r="F2758" s="1883">
        <f>'Bahan &amp; Upah'!C$339</f>
        <v>102689.88</v>
      </c>
      <c r="G2758" s="1785">
        <f>F2758*D2758</f>
        <v>718.82916</v>
      </c>
      <c r="H2758" s="1980">
        <v>1</v>
      </c>
      <c r="I2758" s="1980">
        <f>(G2758/G$2760)*H2758</f>
        <v>7.0202560498675373E-4</v>
      </c>
      <c r="J2758" s="2063"/>
      <c r="L2758" s="944"/>
    </row>
    <row r="2759" spans="1:12" ht="15.75" customHeight="1">
      <c r="A2759" s="2042"/>
      <c r="B2759" s="1909"/>
      <c r="C2759" s="1753" t="s">
        <v>2108</v>
      </c>
      <c r="D2759" s="1841"/>
      <c r="E2759" s="413"/>
      <c r="F2759" s="320"/>
      <c r="G2759" s="345">
        <f>SUM(G2755:G2758)</f>
        <v>40319.655010000009</v>
      </c>
      <c r="H2759" s="2064"/>
      <c r="I2759" s="2065">
        <f>SUM(I2755:I2758)</f>
        <v>3.9377131280056106E-2</v>
      </c>
      <c r="J2759" s="2063"/>
      <c r="L2759" s="944"/>
    </row>
    <row r="2760" spans="1:12" ht="15.75" customHeight="1">
      <c r="A2760" s="2042"/>
      <c r="B2760" s="1884" t="s">
        <v>979</v>
      </c>
      <c r="C2760" s="1804" t="s">
        <v>2129</v>
      </c>
      <c r="D2760" s="1763"/>
      <c r="E2760" s="1764"/>
      <c r="F2760" s="1765"/>
      <c r="G2760" s="1943">
        <f>G2743+G2749+G2753+G2759</f>
        <v>1023935.81501</v>
      </c>
      <c r="H2760" s="2064"/>
      <c r="I2760" s="2066">
        <f>I2753+I2759</f>
        <v>0.42362627876803371</v>
      </c>
      <c r="J2760" s="2063"/>
      <c r="L2760" s="944"/>
    </row>
    <row r="2761" spans="1:12" ht="15.75" customHeight="1">
      <c r="A2761" s="2042"/>
      <c r="B2761" s="1884" t="s">
        <v>2093</v>
      </c>
      <c r="C2761" s="1762" t="s">
        <v>2094</v>
      </c>
      <c r="D2761" s="1767">
        <f>M$4</f>
        <v>0.15</v>
      </c>
      <c r="E2761" s="1768"/>
      <c r="F2761" s="1765"/>
      <c r="G2761" s="1943">
        <f>G2760*D2761</f>
        <v>153590.3722515</v>
      </c>
      <c r="H2761" s="2064"/>
      <c r="I2761" s="2065"/>
      <c r="J2761" s="2063"/>
      <c r="L2761" s="944"/>
    </row>
    <row r="2762" spans="1:12" ht="15.75" customHeight="1">
      <c r="A2762" s="1949"/>
      <c r="B2762" s="1787" t="s">
        <v>2095</v>
      </c>
      <c r="C2762" s="1788" t="s">
        <v>2111</v>
      </c>
      <c r="D2762" s="1772"/>
      <c r="E2762" s="1773"/>
      <c r="F2762" s="1774"/>
      <c r="G2762" s="1950">
        <f>ROUNDUP((G2760+G2761),2)</f>
        <v>1177526.19</v>
      </c>
      <c r="H2762" s="2067"/>
      <c r="I2762" s="2068"/>
      <c r="J2762" s="2008"/>
      <c r="L2762" s="944"/>
    </row>
    <row r="2763" spans="1:12" ht="15.75" customHeight="1">
      <c r="A2763" s="1733"/>
      <c r="B2763" s="1733"/>
      <c r="C2763" s="1733"/>
      <c r="D2763" s="1733"/>
      <c r="E2763" s="1733"/>
      <c r="F2763" s="1733"/>
      <c r="G2763" s="1733"/>
      <c r="H2763" s="1733"/>
      <c r="I2763" s="1733"/>
      <c r="J2763" s="1733"/>
    </row>
    <row r="2764" spans="1:12" ht="15.75" customHeight="1">
      <c r="A2764" s="1778">
        <f>A2750+1</f>
        <v>147</v>
      </c>
      <c r="B2764" s="1805" t="s">
        <v>2147</v>
      </c>
      <c r="C2764" s="1872" t="s">
        <v>2831</v>
      </c>
      <c r="D2764" s="1971"/>
      <c r="E2764" s="1874"/>
      <c r="F2764" s="1875"/>
      <c r="G2764" s="1876"/>
      <c r="H2764" s="2059"/>
      <c r="I2764" s="1800"/>
      <c r="J2764" s="1801"/>
    </row>
    <row r="2765" spans="1:12" ht="15.75" customHeight="1">
      <c r="A2765" s="1780"/>
      <c r="B2765" s="1739" t="s">
        <v>1004</v>
      </c>
      <c r="C2765" s="1877" t="s">
        <v>2067</v>
      </c>
      <c r="D2765" s="390"/>
      <c r="E2765" s="413"/>
      <c r="F2765" s="320"/>
      <c r="G2765" s="1999"/>
      <c r="H2765" s="1941"/>
      <c r="I2765" s="1802"/>
      <c r="J2765" s="1803"/>
    </row>
    <row r="2766" spans="1:12" ht="15.75" customHeight="1">
      <c r="A2766" s="1780"/>
      <c r="B2766" s="1739"/>
      <c r="C2766" s="1878" t="s">
        <v>2832</v>
      </c>
      <c r="D2766" s="1781">
        <v>1</v>
      </c>
      <c r="E2766" s="413" t="s">
        <v>124</v>
      </c>
      <c r="F2766" s="1747">
        <v>130013.47</v>
      </c>
      <c r="G2766" s="2069">
        <f>F2766*D2766</f>
        <v>130013.47</v>
      </c>
      <c r="H2766" s="2062">
        <v>0.4</v>
      </c>
      <c r="I2766" s="2016">
        <f>(G2766/G$2771)*H2766</f>
        <v>5.6061955409814374E-2</v>
      </c>
      <c r="J2766" s="1981"/>
    </row>
    <row r="2767" spans="1:12" ht="15.75" customHeight="1">
      <c r="A2767" s="1780"/>
      <c r="B2767" s="1739"/>
      <c r="C2767" s="1889" t="s">
        <v>2108</v>
      </c>
      <c r="D2767" s="1781"/>
      <c r="E2767" s="413"/>
      <c r="F2767" s="320"/>
      <c r="G2767" s="2000">
        <f>SUM(G2766:G2766)</f>
        <v>130013.47</v>
      </c>
      <c r="H2767" s="2062"/>
      <c r="I2767" s="2015">
        <f>SUM(I2765:I2766)</f>
        <v>5.6061955409814374E-2</v>
      </c>
      <c r="J2767" s="1981"/>
    </row>
    <row r="2768" spans="1:12" ht="15.75" customHeight="1">
      <c r="A2768" s="1780"/>
      <c r="B2768" s="1739" t="s">
        <v>1015</v>
      </c>
      <c r="C2768" s="1877" t="s">
        <v>2075</v>
      </c>
      <c r="D2768" s="1781"/>
      <c r="E2768" s="413"/>
      <c r="F2768" s="320"/>
      <c r="G2768" s="1999"/>
      <c r="H2768" s="2062"/>
      <c r="I2768" s="2016"/>
      <c r="J2768" s="1981"/>
    </row>
    <row r="2769" spans="1:10" ht="15.75" customHeight="1">
      <c r="A2769" s="1780"/>
      <c r="B2769" s="1784"/>
      <c r="C2769" s="1878" t="s">
        <v>2833</v>
      </c>
      <c r="D2769" s="1781">
        <v>1</v>
      </c>
      <c r="E2769" s="413" t="s">
        <v>124</v>
      </c>
      <c r="F2769" s="1883">
        <f>'Bahan &amp; Upah'!C354</f>
        <v>797627.88</v>
      </c>
      <c r="G2769" s="2001">
        <f>F2769*D2769</f>
        <v>797627.88</v>
      </c>
      <c r="H2769" s="2062">
        <v>0.67</v>
      </c>
      <c r="I2769" s="2016">
        <f>(G2769/G$2771)*H2769</f>
        <v>0.57609622468856103</v>
      </c>
      <c r="J2769" s="1981"/>
    </row>
    <row r="2770" spans="1:10" ht="15.75" customHeight="1">
      <c r="A2770" s="1780"/>
      <c r="B2770" s="1784"/>
      <c r="C2770" s="1878"/>
      <c r="D2770" s="1781"/>
      <c r="E2770" s="413"/>
      <c r="F2770" s="1883"/>
      <c r="G2770" s="2000">
        <f>SUM(G2769:G2769)</f>
        <v>797627.88</v>
      </c>
      <c r="H2770" s="2062"/>
      <c r="I2770" s="2015">
        <f>SUM(I2768:I2769)</f>
        <v>0.57609622468856103</v>
      </c>
      <c r="J2770" s="1981"/>
    </row>
    <row r="2771" spans="1:10" ht="15.75" customHeight="1">
      <c r="A2771" s="1780"/>
      <c r="B2771" s="1784"/>
      <c r="C2771" s="1804" t="s">
        <v>2298</v>
      </c>
      <c r="D2771" s="1763"/>
      <c r="E2771" s="1764"/>
      <c r="F2771" s="1765"/>
      <c r="G2771" s="2002">
        <f>G2767+G2770</f>
        <v>927641.35</v>
      </c>
      <c r="H2771" s="2062"/>
      <c r="I2771" s="2016"/>
      <c r="J2771" s="1981"/>
    </row>
    <row r="2772" spans="1:10" ht="15.75" customHeight="1">
      <c r="A2772" s="1780"/>
      <c r="B2772" s="1784"/>
      <c r="C2772" s="1762" t="s">
        <v>2094</v>
      </c>
      <c r="D2772" s="1767">
        <f>M$4</f>
        <v>0.15</v>
      </c>
      <c r="E2772" s="1768"/>
      <c r="F2772" s="1765"/>
      <c r="G2772" s="1943">
        <f>G2771*D2772</f>
        <v>139146.20249999998</v>
      </c>
      <c r="H2772" s="2062"/>
      <c r="I2772" s="2070">
        <f>I2767+I2770</f>
        <v>0.63215818009837543</v>
      </c>
      <c r="J2772" s="1981"/>
    </row>
    <row r="2773" spans="1:10" ht="15.75" customHeight="1">
      <c r="A2773" s="1786"/>
      <c r="B2773" s="1890"/>
      <c r="C2773" s="1788" t="s">
        <v>2111</v>
      </c>
      <c r="D2773" s="1772"/>
      <c r="E2773" s="1773"/>
      <c r="F2773" s="1774"/>
      <c r="G2773" s="2071">
        <f>ROUNDUP((G2771+G2772),2)</f>
        <v>1066787.56</v>
      </c>
      <c r="H2773" s="2062"/>
      <c r="I2773" s="2016"/>
      <c r="J2773" s="1981"/>
    </row>
    <row r="2774" spans="1:10" ht="15.75" customHeight="1">
      <c r="A2774" s="1733"/>
      <c r="B2774" s="1733"/>
      <c r="C2774" s="1733"/>
      <c r="D2774" s="1733"/>
      <c r="E2774" s="1733"/>
      <c r="F2774" s="1733"/>
      <c r="G2774" s="1733"/>
      <c r="H2774" s="1733"/>
      <c r="I2774" s="1733"/>
      <c r="J2774" s="1733"/>
    </row>
    <row r="2775" spans="1:10" ht="30" customHeight="1">
      <c r="A2775" s="1946">
        <f>A2764+1</f>
        <v>148</v>
      </c>
      <c r="B2775" s="1871" t="s">
        <v>2834</v>
      </c>
      <c r="C2775" s="1806" t="s">
        <v>2835</v>
      </c>
      <c r="D2775" s="1807"/>
      <c r="E2775" s="1807"/>
      <c r="F2775" s="1808"/>
      <c r="G2775" s="1875"/>
      <c r="H2775" s="1800"/>
      <c r="I2775" s="1800"/>
      <c r="J2775" s="1801"/>
    </row>
    <row r="2776" spans="1:10" ht="15.75" customHeight="1">
      <c r="A2776" s="2042"/>
      <c r="B2776" s="1884" t="s">
        <v>1004</v>
      </c>
      <c r="C2776" s="1755" t="s">
        <v>2075</v>
      </c>
      <c r="D2776" s="1841"/>
      <c r="E2776" s="413"/>
      <c r="F2776" s="320"/>
      <c r="G2776" s="320"/>
      <c r="H2776" s="1802"/>
      <c r="I2776" s="1802"/>
      <c r="J2776" s="1803"/>
    </row>
    <row r="2777" spans="1:10" ht="15.75" customHeight="1">
      <c r="A2777" s="2042"/>
      <c r="B2777" s="1884"/>
      <c r="C2777" s="2061" t="s">
        <v>2836</v>
      </c>
      <c r="D2777" s="1841">
        <v>1.1000000000000001</v>
      </c>
      <c r="E2777" s="413" t="s">
        <v>124</v>
      </c>
      <c r="F2777" s="361">
        <f>'Bahan &amp; Upah'!C284</f>
        <v>4243236.8099999996</v>
      </c>
      <c r="G2777" s="1785">
        <f>F2777*D2777</f>
        <v>4667560.4910000004</v>
      </c>
      <c r="H2777" s="1980">
        <v>0.36270000000000002</v>
      </c>
      <c r="I2777" s="1982">
        <f>(G2777/G$2785)*H2777</f>
        <v>0.34217144203246569</v>
      </c>
      <c r="J2777" s="1981"/>
    </row>
    <row r="2778" spans="1:10" ht="15.75" customHeight="1">
      <c r="A2778" s="2042"/>
      <c r="B2778" s="1909"/>
      <c r="C2778" s="1753" t="s">
        <v>2110</v>
      </c>
      <c r="D2778" s="1841"/>
      <c r="E2778" s="413"/>
      <c r="F2778" s="320"/>
      <c r="G2778" s="361">
        <f>SUM(G2777:G2777)</f>
        <v>4667560.4910000004</v>
      </c>
      <c r="H2778" s="1980"/>
      <c r="I2778" s="1983">
        <f>SUM(I2777)</f>
        <v>0.34217144203246569</v>
      </c>
      <c r="J2778" s="1981"/>
    </row>
    <row r="2779" spans="1:10" ht="15.75" customHeight="1">
      <c r="A2779" s="2042"/>
      <c r="B2779" s="1884" t="s">
        <v>1015</v>
      </c>
      <c r="C2779" s="1755" t="s">
        <v>2067</v>
      </c>
      <c r="D2779" s="1841"/>
      <c r="E2779" s="413"/>
      <c r="F2779" s="320"/>
      <c r="G2779" s="320"/>
      <c r="H2779" s="1980"/>
      <c r="I2779" s="1980"/>
      <c r="J2779" s="1981"/>
    </row>
    <row r="2780" spans="1:10" ht="15.75" customHeight="1">
      <c r="A2780" s="2042"/>
      <c r="B2780" s="1884"/>
      <c r="C2780" s="1878" t="s">
        <v>2103</v>
      </c>
      <c r="D2780" s="1841">
        <v>0.89300000000000002</v>
      </c>
      <c r="E2780" s="413" t="s">
        <v>2069</v>
      </c>
      <c r="F2780" s="1747">
        <f>'Bahan &amp; Upah'!C$336</f>
        <v>96332.65</v>
      </c>
      <c r="G2780" s="332">
        <f>F2780*D2780</f>
        <v>86025.056449999989</v>
      </c>
      <c r="H2780" s="1980">
        <v>1</v>
      </c>
      <c r="I2780" s="1980">
        <f>(G2780/G$2760)*H2780</f>
        <v>8.4014110248853677E-2</v>
      </c>
      <c r="J2780" s="1981"/>
    </row>
    <row r="2781" spans="1:10" ht="15.75" customHeight="1">
      <c r="A2781" s="2042"/>
      <c r="B2781" s="1884"/>
      <c r="C2781" s="1878" t="s">
        <v>2818</v>
      </c>
      <c r="D2781" s="1841">
        <v>1.4910000000000001</v>
      </c>
      <c r="E2781" s="413" t="s">
        <v>2069</v>
      </c>
      <c r="F2781" s="1883">
        <f>'Bahan &amp; Upah'!C$337</f>
        <v>114133.55</v>
      </c>
      <c r="G2781" s="332">
        <f>F2781*D2781</f>
        <v>170173.12305000002</v>
      </c>
      <c r="H2781" s="1980">
        <v>1</v>
      </c>
      <c r="I2781" s="1980">
        <f>(G2781/G$2760)*H2781</f>
        <v>0.166195107696607</v>
      </c>
      <c r="J2781" s="1981"/>
    </row>
    <row r="2782" spans="1:10" ht="15.75" customHeight="1">
      <c r="A2782" s="2042"/>
      <c r="B2782" s="1884"/>
      <c r="C2782" s="1878" t="s">
        <v>2819</v>
      </c>
      <c r="D2782" s="1841">
        <v>0.14899999999999999</v>
      </c>
      <c r="E2782" s="413" t="s">
        <v>2069</v>
      </c>
      <c r="F2782" s="1748">
        <f>'Bahan &amp; Upah'!C$338</f>
        <v>125485.75</v>
      </c>
      <c r="G2782" s="332">
        <f>F2782*D2782</f>
        <v>18697.376749999999</v>
      </c>
      <c r="H2782" s="1980">
        <v>1</v>
      </c>
      <c r="I2782" s="1980">
        <f>(G2782/G$2760)*H2782</f>
        <v>1.826030155007069E-2</v>
      </c>
      <c r="J2782" s="1981"/>
    </row>
    <row r="2783" spans="1:10" ht="15.75" customHeight="1">
      <c r="A2783" s="2042"/>
      <c r="B2783" s="1884"/>
      <c r="C2783" s="1878" t="s">
        <v>2107</v>
      </c>
      <c r="D2783" s="1841">
        <v>0.05</v>
      </c>
      <c r="E2783" s="413" t="s">
        <v>2069</v>
      </c>
      <c r="F2783" s="1883">
        <f>'Bahan &amp; Upah'!C$339</f>
        <v>102689.88</v>
      </c>
      <c r="G2783" s="1785">
        <f>F2783*D2783</f>
        <v>5134.4940000000006</v>
      </c>
      <c r="H2783" s="1980">
        <v>1</v>
      </c>
      <c r="I2783" s="1980">
        <f>(G2783/G$2760)*H2783</f>
        <v>5.0144686070482418E-3</v>
      </c>
      <c r="J2783" s="1981"/>
    </row>
    <row r="2784" spans="1:10" ht="15.75" customHeight="1">
      <c r="A2784" s="2042"/>
      <c r="B2784" s="1909"/>
      <c r="C2784" s="1753" t="s">
        <v>2108</v>
      </c>
      <c r="D2784" s="1841"/>
      <c r="E2784" s="413"/>
      <c r="F2784" s="320"/>
      <c r="G2784" s="361">
        <f>SUM(G2780:G2783)</f>
        <v>280030.05025000003</v>
      </c>
      <c r="H2784" s="2072"/>
      <c r="I2784" s="2072">
        <f>SUM(I2780:I2783)</f>
        <v>0.27348398810257962</v>
      </c>
      <c r="J2784" s="2063"/>
    </row>
    <row r="2785" spans="1:10" ht="15.75" customHeight="1">
      <c r="A2785" s="2042"/>
      <c r="B2785" s="1884" t="s">
        <v>979</v>
      </c>
      <c r="C2785" s="1804" t="s">
        <v>2129</v>
      </c>
      <c r="D2785" s="1763"/>
      <c r="E2785" s="1764"/>
      <c r="F2785" s="1765"/>
      <c r="G2785" s="1765">
        <f>G2754+G2763+G2778+G2784</f>
        <v>4947590.5412500007</v>
      </c>
      <c r="H2785" s="2072"/>
      <c r="I2785" s="2073">
        <f>I2778+I2784</f>
        <v>0.61565543013504531</v>
      </c>
      <c r="J2785" s="2063"/>
    </row>
    <row r="2786" spans="1:10" ht="15.75" customHeight="1">
      <c r="A2786" s="2042"/>
      <c r="B2786" s="1884" t="s">
        <v>2093</v>
      </c>
      <c r="C2786" s="1762" t="s">
        <v>2094</v>
      </c>
      <c r="D2786" s="1767">
        <f>M$4</f>
        <v>0.15</v>
      </c>
      <c r="E2786" s="1768"/>
      <c r="F2786" s="1765"/>
      <c r="G2786" s="1943">
        <f>G2785*D2786</f>
        <v>742138.58118750004</v>
      </c>
      <c r="H2786" s="2072"/>
      <c r="I2786" s="2072"/>
      <c r="J2786" s="2063"/>
    </row>
    <row r="2787" spans="1:10" ht="15.75" customHeight="1">
      <c r="A2787" s="1949"/>
      <c r="B2787" s="1787" t="s">
        <v>2095</v>
      </c>
      <c r="C2787" s="1788" t="s">
        <v>2111</v>
      </c>
      <c r="D2787" s="1772"/>
      <c r="E2787" s="1773"/>
      <c r="F2787" s="1774"/>
      <c r="G2787" s="1998">
        <f>ROUNDUP((G2785+G2786),2)</f>
        <v>5689729.1299999999</v>
      </c>
      <c r="H2787" s="2007"/>
      <c r="I2787" s="2007"/>
      <c r="J2787" s="2008"/>
    </row>
    <row r="2788" spans="1:10" ht="15.75" customHeight="1">
      <c r="A2788" s="1733"/>
      <c r="B2788" s="1733"/>
      <c r="C2788" s="1733"/>
      <c r="D2788" s="1733"/>
      <c r="E2788" s="1733"/>
      <c r="F2788" s="1733"/>
      <c r="G2788" s="1733"/>
      <c r="H2788" s="1733"/>
      <c r="I2788" s="1733"/>
      <c r="J2788" s="1733"/>
    </row>
    <row r="2789" spans="1:10" ht="30" customHeight="1">
      <c r="A2789" s="1778">
        <f>A2775+1</f>
        <v>149</v>
      </c>
      <c r="B2789" s="1871" t="s">
        <v>2837</v>
      </c>
      <c r="C2789" s="1872" t="s">
        <v>2838</v>
      </c>
      <c r="D2789" s="1873"/>
      <c r="E2789" s="1874"/>
      <c r="F2789" s="1875"/>
      <c r="G2789" s="1875"/>
      <c r="H2789" s="1800"/>
      <c r="I2789" s="1800"/>
      <c r="J2789" s="1801"/>
    </row>
    <row r="2790" spans="1:10" ht="15.75" customHeight="1">
      <c r="A2790" s="1780"/>
      <c r="B2790" s="1739" t="s">
        <v>1004</v>
      </c>
      <c r="C2790" s="1877" t="s">
        <v>2067</v>
      </c>
      <c r="D2790" s="390"/>
      <c r="E2790" s="413"/>
      <c r="F2790" s="320"/>
      <c r="G2790" s="320"/>
      <c r="H2790" s="1802"/>
      <c r="I2790" s="1802"/>
      <c r="J2790" s="1803"/>
    </row>
    <row r="2791" spans="1:10" ht="15.75" customHeight="1">
      <c r="A2791" s="1780"/>
      <c r="B2791" s="1739"/>
      <c r="C2791" s="1878" t="s">
        <v>2103</v>
      </c>
      <c r="D2791" s="1841">
        <v>0.105</v>
      </c>
      <c r="E2791" s="413" t="s">
        <v>2069</v>
      </c>
      <c r="F2791" s="1747">
        <f>'Bahan &amp; Upah'!C$336</f>
        <v>96332.65</v>
      </c>
      <c r="G2791" s="332">
        <f>F2791*D2791</f>
        <v>10114.928249999999</v>
      </c>
      <c r="H2791" s="1980">
        <v>1</v>
      </c>
      <c r="I2791" s="1980">
        <f>(G2791/G$2799)*H2791</f>
        <v>7.1674939402578824E-3</v>
      </c>
      <c r="J2791" s="1803"/>
    </row>
    <row r="2792" spans="1:10" ht="15.75" customHeight="1">
      <c r="A2792" s="1780"/>
      <c r="B2792" s="1739"/>
      <c r="C2792" s="1878" t="s">
        <v>2818</v>
      </c>
      <c r="D2792" s="1841">
        <v>0.17499999999999999</v>
      </c>
      <c r="E2792" s="413" t="s">
        <v>2069</v>
      </c>
      <c r="F2792" s="1883">
        <f>'Bahan &amp; Upah'!C$337</f>
        <v>114133.55</v>
      </c>
      <c r="G2792" s="332">
        <f>F2792*D2792</f>
        <v>19973.37125</v>
      </c>
      <c r="H2792" s="1980">
        <v>1</v>
      </c>
      <c r="I2792" s="1980">
        <f>(G2792/G$2799)*H2792</f>
        <v>1.4153241017888191E-2</v>
      </c>
      <c r="J2792" s="1803"/>
    </row>
    <row r="2793" spans="1:10" ht="15.75" customHeight="1">
      <c r="A2793" s="1780"/>
      <c r="B2793" s="1739"/>
      <c r="C2793" s="1878" t="s">
        <v>2819</v>
      </c>
      <c r="D2793" s="1841">
        <v>1.7000000000000001E-2</v>
      </c>
      <c r="E2793" s="413" t="s">
        <v>2069</v>
      </c>
      <c r="F2793" s="1748">
        <f>'Bahan &amp; Upah'!C$338</f>
        <v>125485.75</v>
      </c>
      <c r="G2793" s="332">
        <f>F2793*D2793</f>
        <v>2133.2577500000002</v>
      </c>
      <c r="H2793" s="1980">
        <v>1</v>
      </c>
      <c r="I2793" s="1980">
        <f>(G2793/G$2799)*H2793</f>
        <v>1.511638206245622E-3</v>
      </c>
      <c r="J2793" s="1803"/>
    </row>
    <row r="2794" spans="1:10" ht="15.75" customHeight="1">
      <c r="A2794" s="1780"/>
      <c r="B2794" s="1739"/>
      <c r="C2794" s="1878" t="s">
        <v>2107</v>
      </c>
      <c r="D2794" s="1841">
        <v>6.0000000000000001E-3</v>
      </c>
      <c r="E2794" s="413" t="s">
        <v>2069</v>
      </c>
      <c r="F2794" s="1883">
        <f>'Bahan &amp; Upah'!C$339</f>
        <v>102689.88</v>
      </c>
      <c r="G2794" s="1785">
        <f>F2794*D2794</f>
        <v>616.13927999999999</v>
      </c>
      <c r="H2794" s="1980">
        <v>1</v>
      </c>
      <c r="I2794" s="1982">
        <f>(G2794/G$2799)*H2794</f>
        <v>4.3659969172345388E-4</v>
      </c>
      <c r="J2794" s="1981"/>
    </row>
    <row r="2795" spans="1:10" ht="15.75" customHeight="1">
      <c r="A2795" s="1780"/>
      <c r="B2795" s="1739"/>
      <c r="C2795" s="1889" t="s">
        <v>2108</v>
      </c>
      <c r="D2795" s="1841"/>
      <c r="E2795" s="413"/>
      <c r="F2795" s="320"/>
      <c r="G2795" s="361">
        <f>SUM(G2791:G2794)</f>
        <v>32837.696530000001</v>
      </c>
      <c r="H2795" s="1980"/>
      <c r="I2795" s="1983">
        <f>SUM(I2794)</f>
        <v>4.3659969172345388E-4</v>
      </c>
      <c r="J2795" s="1981"/>
    </row>
    <row r="2796" spans="1:10" ht="15.75" customHeight="1">
      <c r="A2796" s="1780"/>
      <c r="B2796" s="1739" t="s">
        <v>1015</v>
      </c>
      <c r="C2796" s="1877" t="s">
        <v>2075</v>
      </c>
      <c r="D2796" s="1841"/>
      <c r="E2796" s="413"/>
      <c r="F2796" s="320"/>
      <c r="G2796" s="320"/>
      <c r="H2796" s="1782"/>
      <c r="I2796" s="1782"/>
      <c r="J2796" s="1783"/>
    </row>
    <row r="2797" spans="1:10" ht="15.75" customHeight="1">
      <c r="A2797" s="1780"/>
      <c r="B2797" s="1739"/>
      <c r="C2797" s="1878" t="s">
        <v>2839</v>
      </c>
      <c r="D2797" s="1841">
        <v>1.03</v>
      </c>
      <c r="E2797" s="413" t="s">
        <v>360</v>
      </c>
      <c r="F2797" s="1883">
        <f>'Bahan &amp; Upah'!C254</f>
        <v>1338237.6099999999</v>
      </c>
      <c r="G2797" s="1794">
        <f>F2797*D2797</f>
        <v>1378384.7382999999</v>
      </c>
      <c r="H2797" s="1980">
        <v>0.61129999999999995</v>
      </c>
      <c r="I2797" s="1982">
        <f>(G2797/G$2799)*H2797</f>
        <v>0.59707567689305674</v>
      </c>
      <c r="J2797" s="1783"/>
    </row>
    <row r="2798" spans="1:10" ht="15.75" customHeight="1">
      <c r="A2798" s="1780"/>
      <c r="B2798" s="1784"/>
      <c r="C2798" s="1878"/>
      <c r="D2798" s="1841"/>
      <c r="E2798" s="413"/>
      <c r="F2798" s="1883"/>
      <c r="G2798" s="361">
        <f>SUM(G2797:G2797)</f>
        <v>1378384.7382999999</v>
      </c>
      <c r="H2798" s="1782"/>
      <c r="I2798" s="1910">
        <f>SUM(I2797:I2797)</f>
        <v>0.59707567689305674</v>
      </c>
      <c r="J2798" s="1783"/>
    </row>
    <row r="2799" spans="1:10" ht="15.75" customHeight="1">
      <c r="A2799" s="1780"/>
      <c r="B2799" s="1784"/>
      <c r="C2799" s="1804" t="s">
        <v>2298</v>
      </c>
      <c r="D2799" s="1763"/>
      <c r="E2799" s="1764"/>
      <c r="F2799" s="1765"/>
      <c r="G2799" s="1765">
        <f>G2795+G2798</f>
        <v>1411222.4348299999</v>
      </c>
      <c r="H2799" s="1782"/>
      <c r="I2799" s="1782"/>
      <c r="J2799" s="1783"/>
    </row>
    <row r="2800" spans="1:10" ht="15.75" customHeight="1">
      <c r="A2800" s="1780"/>
      <c r="B2800" s="1784"/>
      <c r="C2800" s="1762" t="s">
        <v>2094</v>
      </c>
      <c r="D2800" s="1767">
        <f>M$4</f>
        <v>0.15</v>
      </c>
      <c r="E2800" s="1768"/>
      <c r="F2800" s="1765"/>
      <c r="G2800" s="1765">
        <f>G2799*D2800</f>
        <v>211683.36522449998</v>
      </c>
      <c r="H2800" s="1782"/>
      <c r="I2800" s="1862">
        <f>I2795+I2798</f>
        <v>0.59751227658478023</v>
      </c>
      <c r="J2800" s="1783"/>
    </row>
    <row r="2801" spans="1:10" ht="15.75" customHeight="1">
      <c r="A2801" s="1786"/>
      <c r="B2801" s="1890"/>
      <c r="C2801" s="1788" t="s">
        <v>2111</v>
      </c>
      <c r="D2801" s="1772"/>
      <c r="E2801" s="1773"/>
      <c r="F2801" s="1774"/>
      <c r="G2801" s="1861">
        <f>ROUNDUP((G2799+G2800),2)</f>
        <v>1622905.81</v>
      </c>
      <c r="H2801" s="2010"/>
      <c r="I2801" s="2010"/>
      <c r="J2801" s="1893"/>
    </row>
    <row r="2802" spans="1:10" ht="15.75" customHeight="1">
      <c r="A2802" s="1733"/>
      <c r="B2802" s="1733"/>
      <c r="C2802" s="1733"/>
      <c r="D2802" s="1733"/>
      <c r="E2802" s="1733"/>
      <c r="F2802" s="1733"/>
      <c r="G2802" s="1733"/>
      <c r="H2802" s="1733"/>
      <c r="I2802" s="1733"/>
      <c r="J2802" s="1733"/>
    </row>
    <row r="2803" spans="1:10" ht="30" customHeight="1">
      <c r="A2803" s="1778">
        <f>A2789+1</f>
        <v>150</v>
      </c>
      <c r="B2803" s="1871" t="s">
        <v>2837</v>
      </c>
      <c r="C2803" s="1872" t="s">
        <v>2840</v>
      </c>
      <c r="D2803" s="1873"/>
      <c r="E2803" s="1874"/>
      <c r="F2803" s="1875"/>
      <c r="G2803" s="1875"/>
      <c r="H2803" s="1800"/>
      <c r="I2803" s="1800"/>
      <c r="J2803" s="1801"/>
    </row>
    <row r="2804" spans="1:10" ht="15.75" customHeight="1">
      <c r="A2804" s="1780"/>
      <c r="B2804" s="1739" t="s">
        <v>1004</v>
      </c>
      <c r="C2804" s="1877" t="s">
        <v>2067</v>
      </c>
      <c r="D2804" s="390"/>
      <c r="E2804" s="413"/>
      <c r="F2804" s="320"/>
      <c r="G2804" s="320"/>
      <c r="H2804" s="1802"/>
      <c r="I2804" s="1802"/>
      <c r="J2804" s="1803"/>
    </row>
    <row r="2805" spans="1:10" ht="15.75" customHeight="1">
      <c r="A2805" s="1780"/>
      <c r="B2805" s="1739"/>
      <c r="C2805" s="1878" t="s">
        <v>2103</v>
      </c>
      <c r="D2805" s="1841">
        <v>0.105</v>
      </c>
      <c r="E2805" s="413" t="s">
        <v>2069</v>
      </c>
      <c r="F2805" s="1747">
        <f>'Bahan &amp; Upah'!C$336</f>
        <v>96332.65</v>
      </c>
      <c r="G2805" s="332">
        <f>F2805*D2805</f>
        <v>10114.928249999999</v>
      </c>
      <c r="H2805" s="1980">
        <v>1</v>
      </c>
      <c r="I2805" s="1980">
        <f>(G2805/G$2813)*H2805</f>
        <v>1.6431090849307724E-2</v>
      </c>
      <c r="J2805" s="1803"/>
    </row>
    <row r="2806" spans="1:10" ht="15.75" customHeight="1">
      <c r="A2806" s="1780"/>
      <c r="B2806" s="1739"/>
      <c r="C2806" s="1878" t="s">
        <v>2818</v>
      </c>
      <c r="D2806" s="1841">
        <v>0.17499999999999999</v>
      </c>
      <c r="E2806" s="413" t="s">
        <v>2069</v>
      </c>
      <c r="F2806" s="1883">
        <f>'Bahan &amp; Upah'!C$337</f>
        <v>114133.55</v>
      </c>
      <c r="G2806" s="332">
        <f>F2806*D2806</f>
        <v>19973.37125</v>
      </c>
      <c r="H2806" s="1980">
        <v>1</v>
      </c>
      <c r="I2806" s="1980">
        <f>(G2806/G$2813)*H2806</f>
        <v>3.2445536880175201E-2</v>
      </c>
      <c r="J2806" s="1803"/>
    </row>
    <row r="2807" spans="1:10" ht="15.75" customHeight="1">
      <c r="A2807" s="1780"/>
      <c r="B2807" s="1739"/>
      <c r="C2807" s="1878" t="s">
        <v>2819</v>
      </c>
      <c r="D2807" s="1841">
        <v>1.7000000000000001E-2</v>
      </c>
      <c r="E2807" s="413" t="s">
        <v>2069</v>
      </c>
      <c r="F2807" s="1748">
        <f>'Bahan &amp; Upah'!C$338</f>
        <v>125485.75</v>
      </c>
      <c r="G2807" s="332">
        <f>F2807*D2807</f>
        <v>2133.2577500000002</v>
      </c>
      <c r="H2807" s="1980">
        <v>1</v>
      </c>
      <c r="I2807" s="1980">
        <f>(G2807/G$2813)*H2807</f>
        <v>3.465348545130786E-3</v>
      </c>
      <c r="J2807" s="1803"/>
    </row>
    <row r="2808" spans="1:10" ht="15.75" customHeight="1">
      <c r="A2808" s="1780"/>
      <c r="B2808" s="1739"/>
      <c r="C2808" s="1878" t="s">
        <v>2107</v>
      </c>
      <c r="D2808" s="1841">
        <v>6.0000000000000001E-3</v>
      </c>
      <c r="E2808" s="413" t="s">
        <v>2069</v>
      </c>
      <c r="F2808" s="1883">
        <f>'Bahan &amp; Upah'!C$339</f>
        <v>102689.88</v>
      </c>
      <c r="G2808" s="1785">
        <f>F2808*D2808</f>
        <v>616.13927999999999</v>
      </c>
      <c r="H2808" s="1980">
        <v>1</v>
      </c>
      <c r="I2808" s="1982">
        <f>(G2808/G$2813)*H2808</f>
        <v>1.0008810972541549E-3</v>
      </c>
      <c r="J2808" s="1981"/>
    </row>
    <row r="2809" spans="1:10" ht="15.75" customHeight="1">
      <c r="A2809" s="1780"/>
      <c r="B2809" s="1739"/>
      <c r="C2809" s="1889" t="s">
        <v>2108</v>
      </c>
      <c r="D2809" s="1841"/>
      <c r="E2809" s="413"/>
      <c r="F2809" s="320"/>
      <c r="G2809" s="361">
        <f>SUM(G2808:G2808)</f>
        <v>616.13927999999999</v>
      </c>
      <c r="H2809" s="1980"/>
      <c r="I2809" s="1983">
        <f>SUM(I2808)</f>
        <v>1.0008810972541549E-3</v>
      </c>
      <c r="J2809" s="1981"/>
    </row>
    <row r="2810" spans="1:10" ht="15.75" customHeight="1">
      <c r="A2810" s="1780"/>
      <c r="B2810" s="1739" t="s">
        <v>1015</v>
      </c>
      <c r="C2810" s="1877" t="s">
        <v>2075</v>
      </c>
      <c r="D2810" s="1841"/>
      <c r="E2810" s="413"/>
      <c r="F2810" s="320"/>
      <c r="G2810" s="320"/>
      <c r="H2810" s="1980"/>
      <c r="I2810" s="1980"/>
      <c r="J2810" s="1981"/>
    </row>
    <row r="2811" spans="1:10" ht="15.75" customHeight="1">
      <c r="A2811" s="1780"/>
      <c r="B2811" s="1739"/>
      <c r="C2811" s="1878" t="s">
        <v>2841</v>
      </c>
      <c r="D2811" s="1841">
        <v>1</v>
      </c>
      <c r="E2811" s="413" t="s">
        <v>124</v>
      </c>
      <c r="F2811" s="1883">
        <f>'Bahan &amp; Upah'!C259</f>
        <v>614980.74</v>
      </c>
      <c r="G2811" s="332">
        <f>F2811*D2811</f>
        <v>614980.74</v>
      </c>
      <c r="H2811" s="1980">
        <v>0.61129999999999995</v>
      </c>
      <c r="I2811" s="1982">
        <f>(G2811/G$2813)*H2811</f>
        <v>0.61068816138524851</v>
      </c>
      <c r="J2811" s="1981"/>
    </row>
    <row r="2812" spans="1:10" ht="15.75" customHeight="1">
      <c r="A2812" s="1780"/>
      <c r="B2812" s="1784"/>
      <c r="C2812" s="1878"/>
      <c r="D2812" s="1841"/>
      <c r="E2812" s="413"/>
      <c r="F2812" s="1883"/>
      <c r="G2812" s="361">
        <f>SUM(G2811:G2811)</f>
        <v>614980.74</v>
      </c>
      <c r="H2812" s="1980"/>
      <c r="I2812" s="1983">
        <f>SUM(I2811:I2811)</f>
        <v>0.61068816138524851</v>
      </c>
      <c r="J2812" s="1981"/>
    </row>
    <row r="2813" spans="1:10" ht="15.75" customHeight="1">
      <c r="A2813" s="1780"/>
      <c r="B2813" s="1784"/>
      <c r="C2813" s="1804" t="s">
        <v>2298</v>
      </c>
      <c r="D2813" s="1763"/>
      <c r="E2813" s="1764"/>
      <c r="F2813" s="1765"/>
      <c r="G2813" s="1765">
        <f>G2809+G2812</f>
        <v>615596.87927999999</v>
      </c>
      <c r="H2813" s="1980"/>
      <c r="I2813" s="1984">
        <f>I2809+I2812</f>
        <v>0.61168904248250267</v>
      </c>
      <c r="J2813" s="1981"/>
    </row>
    <row r="2814" spans="1:10" ht="15.75" customHeight="1">
      <c r="A2814" s="1780"/>
      <c r="B2814" s="1784"/>
      <c r="C2814" s="1762" t="s">
        <v>2094</v>
      </c>
      <c r="D2814" s="1767">
        <f>M$4</f>
        <v>0.15</v>
      </c>
      <c r="E2814" s="1768"/>
      <c r="F2814" s="1765"/>
      <c r="G2814" s="1765">
        <f>G2813*D2814</f>
        <v>92339.531891999999</v>
      </c>
      <c r="H2814" s="1980"/>
      <c r="I2814" s="1980"/>
      <c r="J2814" s="1981"/>
    </row>
    <row r="2815" spans="1:10" ht="15.75" customHeight="1">
      <c r="A2815" s="1786"/>
      <c r="B2815" s="1890"/>
      <c r="C2815" s="1788" t="s">
        <v>2111</v>
      </c>
      <c r="D2815" s="1772"/>
      <c r="E2815" s="1773"/>
      <c r="F2815" s="1774"/>
      <c r="G2815" s="1861">
        <f>ROUNDUP((G2813+G2814),2)</f>
        <v>707936.42</v>
      </c>
      <c r="H2815" s="1985"/>
      <c r="I2815" s="1985"/>
      <c r="J2815" s="1986"/>
    </row>
    <row r="2816" spans="1:10" ht="15.75" customHeight="1">
      <c r="A2816" s="1733"/>
      <c r="B2816" s="1733"/>
      <c r="C2816" s="1733"/>
      <c r="D2816" s="1733"/>
      <c r="E2816" s="1733"/>
      <c r="F2816" s="1733"/>
      <c r="G2816" s="1733"/>
      <c r="H2816" s="1733"/>
      <c r="I2816" s="1733"/>
      <c r="J2816" s="1733"/>
    </row>
    <row r="2817" spans="1:10" ht="15.75" customHeight="1">
      <c r="A2817" s="1778">
        <f>A2803+1</f>
        <v>151</v>
      </c>
      <c r="B2817" s="1871" t="s">
        <v>2842</v>
      </c>
      <c r="C2817" s="1872" t="s">
        <v>2843</v>
      </c>
      <c r="D2817" s="1873"/>
      <c r="E2817" s="1874"/>
      <c r="F2817" s="1875"/>
      <c r="G2817" s="1875"/>
      <c r="H2817" s="1800"/>
      <c r="I2817" s="1800"/>
      <c r="J2817" s="1801"/>
    </row>
    <row r="2818" spans="1:10" ht="15.75" customHeight="1">
      <c r="A2818" s="1780"/>
      <c r="B2818" s="1739" t="s">
        <v>1004</v>
      </c>
      <c r="C2818" s="1877" t="s">
        <v>2067</v>
      </c>
      <c r="D2818" s="390"/>
      <c r="E2818" s="413"/>
      <c r="F2818" s="320"/>
      <c r="G2818" s="320"/>
      <c r="H2818" s="1802"/>
      <c r="I2818" s="1802"/>
      <c r="J2818" s="1803"/>
    </row>
    <row r="2819" spans="1:10" ht="15.75" customHeight="1">
      <c r="A2819" s="1780"/>
      <c r="B2819" s="1739"/>
      <c r="C2819" s="1878" t="s">
        <v>2103</v>
      </c>
      <c r="D2819" s="1841">
        <v>0.46</v>
      </c>
      <c r="E2819" s="413" t="s">
        <v>2069</v>
      </c>
      <c r="F2819" s="1747">
        <f>'Bahan &amp; Upah'!C$336</f>
        <v>96332.65</v>
      </c>
      <c r="G2819" s="332">
        <f>F2819*D2819</f>
        <v>44313.019</v>
      </c>
      <c r="H2819" s="1980">
        <v>1</v>
      </c>
      <c r="I2819" s="1980">
        <f>(G2819/G$2827)*H2819</f>
        <v>2.0353538310386308E-2</v>
      </c>
      <c r="J2819" s="1803"/>
    </row>
    <row r="2820" spans="1:10" ht="15.75" customHeight="1">
      <c r="A2820" s="1780"/>
      <c r="B2820" s="1739"/>
      <c r="C2820" s="1878" t="s">
        <v>2818</v>
      </c>
      <c r="D2820" s="1841">
        <v>0.76700000000000002</v>
      </c>
      <c r="E2820" s="413" t="s">
        <v>2069</v>
      </c>
      <c r="F2820" s="1883">
        <f>'Bahan &amp; Upah'!C$337</f>
        <v>114133.55</v>
      </c>
      <c r="G2820" s="332">
        <f>F2820*D2820</f>
        <v>87540.432849999997</v>
      </c>
      <c r="H2820" s="1980">
        <v>1</v>
      </c>
      <c r="I2820" s="1980">
        <f>(G2820/G$2827)*H2820</f>
        <v>4.0208444243446266E-2</v>
      </c>
      <c r="J2820" s="1803"/>
    </row>
    <row r="2821" spans="1:10" ht="15.75" customHeight="1">
      <c r="A2821" s="1780"/>
      <c r="B2821" s="1739"/>
      <c r="C2821" s="1878" t="s">
        <v>2819</v>
      </c>
      <c r="D2821" s="1841">
        <v>7.6999999999999999E-2</v>
      </c>
      <c r="E2821" s="413" t="s">
        <v>2069</v>
      </c>
      <c r="F2821" s="1748">
        <f>'Bahan &amp; Upah'!C$338</f>
        <v>125485.75</v>
      </c>
      <c r="G2821" s="332">
        <f>F2821*D2821</f>
        <v>9662.4027499999993</v>
      </c>
      <c r="H2821" s="1980">
        <v>1</v>
      </c>
      <c r="I2821" s="1980">
        <f>(G2821/G$2827)*H2821</f>
        <v>4.4380655838977476E-3</v>
      </c>
      <c r="J2821" s="1803"/>
    </row>
    <row r="2822" spans="1:10" ht="15.75" customHeight="1">
      <c r="A2822" s="1780"/>
      <c r="B2822" s="1739"/>
      <c r="C2822" s="1878" t="s">
        <v>2107</v>
      </c>
      <c r="D2822" s="1841">
        <v>2.5999999999999999E-2</v>
      </c>
      <c r="E2822" s="413" t="s">
        <v>2069</v>
      </c>
      <c r="F2822" s="1883">
        <f>'Bahan &amp; Upah'!C$339</f>
        <v>102689.88</v>
      </c>
      <c r="G2822" s="1785">
        <f>F2822*D2822</f>
        <v>2669.9368800000002</v>
      </c>
      <c r="H2822" s="1980">
        <v>1</v>
      </c>
      <c r="I2822" s="1982">
        <f>(G2822/G$2827)*H2822</f>
        <v>1.226336273170494E-3</v>
      </c>
      <c r="J2822" s="1981"/>
    </row>
    <row r="2823" spans="1:10" ht="15.75" customHeight="1">
      <c r="A2823" s="1780"/>
      <c r="B2823" s="1739"/>
      <c r="C2823" s="1889" t="s">
        <v>2108</v>
      </c>
      <c r="D2823" s="1841"/>
      <c r="E2823" s="413"/>
      <c r="F2823" s="320"/>
      <c r="G2823" s="361">
        <f>SUM(G2819:G2822)</f>
        <v>144185.79148000001</v>
      </c>
      <c r="H2823" s="1980"/>
      <c r="I2823" s="1983">
        <f>SUM(I2822)</f>
        <v>1.226336273170494E-3</v>
      </c>
      <c r="J2823" s="1981"/>
    </row>
    <row r="2824" spans="1:10" ht="15.75" customHeight="1">
      <c r="A2824" s="1780"/>
      <c r="B2824" s="1739" t="s">
        <v>1015</v>
      </c>
      <c r="C2824" s="1877" t="s">
        <v>2075</v>
      </c>
      <c r="D2824" s="1841"/>
      <c r="E2824" s="413"/>
      <c r="F2824" s="320"/>
      <c r="G2824" s="320"/>
      <c r="H2824" s="1980"/>
      <c r="I2824" s="1980"/>
      <c r="J2824" s="1981"/>
    </row>
    <row r="2825" spans="1:10" ht="15.75" customHeight="1">
      <c r="A2825" s="1780"/>
      <c r="B2825" s="1739"/>
      <c r="C2825" s="1878" t="s">
        <v>2844</v>
      </c>
      <c r="D2825" s="1841">
        <v>1</v>
      </c>
      <c r="E2825" s="413" t="s">
        <v>360</v>
      </c>
      <c r="F2825" s="1883">
        <f>'Bahan &amp; Upah'!C260</f>
        <v>2032979.59</v>
      </c>
      <c r="G2825" s="332">
        <f>F2825*D2825</f>
        <v>2032979.59</v>
      </c>
      <c r="H2825" s="1980">
        <v>0.61129999999999995</v>
      </c>
      <c r="I2825" s="1982">
        <f>(G2825/G$2827)*H2825</f>
        <v>0.57081581120961633</v>
      </c>
      <c r="J2825" s="1981"/>
    </row>
    <row r="2826" spans="1:10" ht="15.75" customHeight="1">
      <c r="A2826" s="1780"/>
      <c r="B2826" s="1784"/>
      <c r="C2826" s="1878"/>
      <c r="D2826" s="1841"/>
      <c r="E2826" s="413"/>
      <c r="F2826" s="1883"/>
      <c r="G2826" s="361">
        <f>SUM(G2825:G2825)</f>
        <v>2032979.59</v>
      </c>
      <c r="H2826" s="1980"/>
      <c r="I2826" s="1983">
        <f>SUM(I2825:I2825)</f>
        <v>0.57081581120961633</v>
      </c>
      <c r="J2826" s="1981"/>
    </row>
    <row r="2827" spans="1:10" ht="15.75" customHeight="1">
      <c r="A2827" s="1780"/>
      <c r="B2827" s="1784"/>
      <c r="C2827" s="1804" t="s">
        <v>2298</v>
      </c>
      <c r="D2827" s="1763"/>
      <c r="E2827" s="1764"/>
      <c r="F2827" s="1765"/>
      <c r="G2827" s="1765">
        <f>G2823+G2826</f>
        <v>2177165.38148</v>
      </c>
      <c r="H2827" s="1980"/>
      <c r="I2827" s="1984">
        <f>I2823+I2826</f>
        <v>0.57204214748278681</v>
      </c>
      <c r="J2827" s="1981"/>
    </row>
    <row r="2828" spans="1:10" ht="15.75" customHeight="1">
      <c r="A2828" s="1780"/>
      <c r="B2828" s="1784"/>
      <c r="C2828" s="1762" t="s">
        <v>2094</v>
      </c>
      <c r="D2828" s="1767">
        <f>M$4</f>
        <v>0.15</v>
      </c>
      <c r="E2828" s="1768"/>
      <c r="F2828" s="1765"/>
      <c r="G2828" s="1765">
        <f>G2827*D2828</f>
        <v>326574.80722199997</v>
      </c>
      <c r="H2828" s="1980"/>
      <c r="I2828" s="1980"/>
      <c r="J2828" s="1981"/>
    </row>
    <row r="2829" spans="1:10" ht="15.75" customHeight="1">
      <c r="A2829" s="1786"/>
      <c r="B2829" s="1890"/>
      <c r="C2829" s="1788" t="s">
        <v>2111</v>
      </c>
      <c r="D2829" s="1772"/>
      <c r="E2829" s="1773"/>
      <c r="F2829" s="1774"/>
      <c r="G2829" s="1861">
        <f>ROUNDUP((G2827+G2828),2)</f>
        <v>2503740.19</v>
      </c>
      <c r="H2829" s="1985"/>
      <c r="I2829" s="1985"/>
      <c r="J2829" s="1986"/>
    </row>
    <row r="2830" spans="1:10" ht="15.75" customHeight="1">
      <c r="A2830" s="1733"/>
      <c r="B2830" s="1733"/>
      <c r="C2830" s="1733"/>
      <c r="D2830" s="1733"/>
      <c r="E2830" s="1733"/>
      <c r="F2830" s="1733"/>
      <c r="G2830" s="1733"/>
      <c r="H2830" s="1733"/>
      <c r="I2830" s="1733"/>
      <c r="J2830" s="1733"/>
    </row>
    <row r="2831" spans="1:10" ht="15.75" customHeight="1">
      <c r="A2831" s="1778">
        <f>A2817+1</f>
        <v>152</v>
      </c>
      <c r="B2831" s="1871" t="s">
        <v>2842</v>
      </c>
      <c r="C2831" s="1872" t="s">
        <v>2845</v>
      </c>
      <c r="D2831" s="1873"/>
      <c r="E2831" s="1874"/>
      <c r="F2831" s="1875"/>
      <c r="G2831" s="1875"/>
      <c r="H2831" s="1800"/>
      <c r="I2831" s="1800"/>
      <c r="J2831" s="1801"/>
    </row>
    <row r="2832" spans="1:10" ht="15.75" customHeight="1">
      <c r="A2832" s="1780"/>
      <c r="B2832" s="1739" t="s">
        <v>1004</v>
      </c>
      <c r="C2832" s="1877" t="s">
        <v>2067</v>
      </c>
      <c r="D2832" s="390"/>
      <c r="E2832" s="413"/>
      <c r="F2832" s="320"/>
      <c r="G2832" s="320"/>
      <c r="H2832" s="1802"/>
      <c r="I2832" s="1802"/>
      <c r="J2832" s="1803"/>
    </row>
    <row r="2833" spans="1:10" ht="15.75" customHeight="1">
      <c r="A2833" s="1780"/>
      <c r="B2833" s="1739"/>
      <c r="C2833" s="1878" t="s">
        <v>2103</v>
      </c>
      <c r="D2833" s="1841">
        <v>0.46</v>
      </c>
      <c r="E2833" s="413" t="s">
        <v>2069</v>
      </c>
      <c r="F2833" s="1747">
        <f>'Bahan &amp; Upah'!C$336</f>
        <v>96332.65</v>
      </c>
      <c r="G2833" s="332">
        <f>F2833*D2833</f>
        <v>44313.019</v>
      </c>
      <c r="H2833" s="1980">
        <v>1</v>
      </c>
      <c r="I2833" s="1980">
        <f>(G2833/G$2841)*H2833</f>
        <v>3.1881629432680046E-2</v>
      </c>
      <c r="J2833" s="1803"/>
    </row>
    <row r="2834" spans="1:10" ht="15.75" customHeight="1">
      <c r="A2834" s="1780"/>
      <c r="B2834" s="1739"/>
      <c r="C2834" s="1878" t="s">
        <v>2818</v>
      </c>
      <c r="D2834" s="1841">
        <v>0.76700000000000002</v>
      </c>
      <c r="E2834" s="413" t="s">
        <v>2069</v>
      </c>
      <c r="F2834" s="1883">
        <f>'Bahan &amp; Upah'!C$337</f>
        <v>114133.55</v>
      </c>
      <c r="G2834" s="332">
        <f>F2834*D2834</f>
        <v>87540.432849999997</v>
      </c>
      <c r="H2834" s="1980">
        <v>1</v>
      </c>
      <c r="I2834" s="1980">
        <f>(G2834/G$2841)*H2834</f>
        <v>6.2982204857225166E-2</v>
      </c>
      <c r="J2834" s="1803"/>
    </row>
    <row r="2835" spans="1:10" ht="15.75" customHeight="1">
      <c r="A2835" s="1780"/>
      <c r="B2835" s="1739"/>
      <c r="C2835" s="1878" t="s">
        <v>2819</v>
      </c>
      <c r="D2835" s="1841">
        <v>7.6999999999999999E-2</v>
      </c>
      <c r="E2835" s="413" t="s">
        <v>2069</v>
      </c>
      <c r="F2835" s="1748">
        <f>'Bahan &amp; Upah'!C$338</f>
        <v>125485.75</v>
      </c>
      <c r="G2835" s="332">
        <f>F2835*D2835</f>
        <v>9662.4027499999993</v>
      </c>
      <c r="H2835" s="1980">
        <v>1</v>
      </c>
      <c r="I2835" s="1980">
        <f>(G2835/G$2841)*H2835</f>
        <v>6.9517525742222308E-3</v>
      </c>
      <c r="J2835" s="1803"/>
    </row>
    <row r="2836" spans="1:10" ht="15.75" customHeight="1">
      <c r="A2836" s="1780"/>
      <c r="B2836" s="1739"/>
      <c r="C2836" s="1878" t="s">
        <v>2107</v>
      </c>
      <c r="D2836" s="1841">
        <v>2.5999999999999999E-2</v>
      </c>
      <c r="E2836" s="413" t="s">
        <v>2069</v>
      </c>
      <c r="F2836" s="1883">
        <f>'Bahan &amp; Upah'!C$339</f>
        <v>102689.88</v>
      </c>
      <c r="G2836" s="1785">
        <f>F2836*D2836</f>
        <v>2669.9368800000002</v>
      </c>
      <c r="H2836" s="1980">
        <v>1</v>
      </c>
      <c r="I2836" s="1982">
        <f>(G2836/G$2841)*H2836</f>
        <v>1.9209239211800473E-3</v>
      </c>
      <c r="J2836" s="1981"/>
    </row>
    <row r="2837" spans="1:10" ht="15.75" customHeight="1">
      <c r="A2837" s="1780"/>
      <c r="B2837" s="1739"/>
      <c r="C2837" s="1889" t="s">
        <v>2108</v>
      </c>
      <c r="D2837" s="1841"/>
      <c r="E2837" s="413"/>
      <c r="F2837" s="320"/>
      <c r="G2837" s="361">
        <f>SUM(G2833:G2836)</f>
        <v>144185.79148000001</v>
      </c>
      <c r="H2837" s="1980"/>
      <c r="I2837" s="1983">
        <f>SUM(I2836)</f>
        <v>1.9209239211800473E-3</v>
      </c>
      <c r="J2837" s="1981"/>
    </row>
    <row r="2838" spans="1:10" ht="15.75" customHeight="1">
      <c r="A2838" s="1780"/>
      <c r="B2838" s="1739" t="s">
        <v>1015</v>
      </c>
      <c r="C2838" s="1877" t="s">
        <v>2075</v>
      </c>
      <c r="D2838" s="1841"/>
      <c r="E2838" s="413"/>
      <c r="F2838" s="320"/>
      <c r="G2838" s="320"/>
      <c r="H2838" s="1980"/>
      <c r="I2838" s="1980"/>
      <c r="J2838" s="1981"/>
    </row>
    <row r="2839" spans="1:10" ht="15.75" customHeight="1">
      <c r="A2839" s="1780"/>
      <c r="B2839" s="1739"/>
      <c r="C2839" s="1878" t="s">
        <v>2846</v>
      </c>
      <c r="D2839" s="1841">
        <v>1</v>
      </c>
      <c r="E2839" s="413" t="s">
        <v>360</v>
      </c>
      <c r="F2839" s="1883">
        <f>'Bahan &amp; Upah'!C261</f>
        <v>1245737.49</v>
      </c>
      <c r="G2839" s="332">
        <f>F2839*D2839</f>
        <v>1245737.49</v>
      </c>
      <c r="H2839" s="1980">
        <v>0.61129999999999995</v>
      </c>
      <c r="I2839" s="1982">
        <f>(G2839/G$2841)*H2839</f>
        <v>0.54788587095694152</v>
      </c>
      <c r="J2839" s="1981"/>
    </row>
    <row r="2840" spans="1:10" ht="15.75" customHeight="1">
      <c r="A2840" s="1780"/>
      <c r="B2840" s="1784"/>
      <c r="C2840" s="1878"/>
      <c r="D2840" s="1841"/>
      <c r="E2840" s="413"/>
      <c r="F2840" s="1883"/>
      <c r="G2840" s="361">
        <f>SUM(G2839:G2839)</f>
        <v>1245737.49</v>
      </c>
      <c r="H2840" s="1980"/>
      <c r="I2840" s="1983">
        <f>SUM(I2839:I2839)</f>
        <v>0.54788587095694152</v>
      </c>
      <c r="J2840" s="1981"/>
    </row>
    <row r="2841" spans="1:10" ht="15.75" customHeight="1">
      <c r="A2841" s="1780"/>
      <c r="B2841" s="1784"/>
      <c r="C2841" s="1804" t="s">
        <v>2298</v>
      </c>
      <c r="D2841" s="1763"/>
      <c r="E2841" s="1764"/>
      <c r="F2841" s="1765"/>
      <c r="G2841" s="1765">
        <f>G2837+G2840</f>
        <v>1389923.2814799999</v>
      </c>
      <c r="H2841" s="1980"/>
      <c r="I2841" s="1984">
        <f>I2837+I2840</f>
        <v>0.54980679487812156</v>
      </c>
      <c r="J2841" s="1981"/>
    </row>
    <row r="2842" spans="1:10" ht="15.75" customHeight="1">
      <c r="A2842" s="1780"/>
      <c r="B2842" s="1784"/>
      <c r="C2842" s="1762" t="s">
        <v>2094</v>
      </c>
      <c r="D2842" s="1767">
        <f>M$4</f>
        <v>0.15</v>
      </c>
      <c r="E2842" s="1768"/>
      <c r="F2842" s="1765"/>
      <c r="G2842" s="1765">
        <f>G2841*D2842</f>
        <v>208488.49222199997</v>
      </c>
      <c r="H2842" s="1980"/>
      <c r="I2842" s="1980"/>
      <c r="J2842" s="1981"/>
    </row>
    <row r="2843" spans="1:10" ht="15.75" customHeight="1">
      <c r="A2843" s="1786"/>
      <c r="B2843" s="1890"/>
      <c r="C2843" s="1788" t="s">
        <v>2111</v>
      </c>
      <c r="D2843" s="1772"/>
      <c r="E2843" s="1773"/>
      <c r="F2843" s="1774"/>
      <c r="G2843" s="1861">
        <f>ROUNDUP((G2841+G2842),2)</f>
        <v>1598411.78</v>
      </c>
      <c r="H2843" s="1985"/>
      <c r="I2843" s="1985"/>
      <c r="J2843" s="1986"/>
    </row>
    <row r="2844" spans="1:10" ht="15.75" customHeight="1">
      <c r="A2844" s="1733"/>
      <c r="B2844" s="1733"/>
      <c r="C2844" s="1733"/>
      <c r="D2844" s="1733"/>
      <c r="E2844" s="1733"/>
      <c r="F2844" s="1733"/>
      <c r="G2844" s="1733"/>
      <c r="H2844" s="1733"/>
      <c r="I2844" s="1733"/>
      <c r="J2844" s="1733"/>
    </row>
    <row r="2845" spans="1:10" ht="15.75" customHeight="1">
      <c r="A2845" s="1778">
        <f>A2831+1</f>
        <v>153</v>
      </c>
      <c r="B2845" s="1871" t="s">
        <v>2847</v>
      </c>
      <c r="C2845" s="1872" t="s">
        <v>2848</v>
      </c>
      <c r="D2845" s="2074"/>
      <c r="E2845" s="1874"/>
      <c r="F2845" s="1875"/>
      <c r="G2845" s="1875"/>
      <c r="H2845" s="1875"/>
      <c r="I2845" s="1875"/>
      <c r="J2845" s="1876"/>
    </row>
    <row r="2846" spans="1:10" ht="15.75" customHeight="1">
      <c r="A2846" s="1780"/>
      <c r="B2846" s="1739" t="s">
        <v>1004</v>
      </c>
      <c r="C2846" s="1877" t="s">
        <v>2067</v>
      </c>
      <c r="D2846" s="390"/>
      <c r="E2846" s="413"/>
      <c r="F2846" s="320"/>
      <c r="G2846" s="320"/>
      <c r="H2846" s="2075"/>
      <c r="I2846" s="1782"/>
      <c r="J2846" s="2076"/>
    </row>
    <row r="2847" spans="1:10" ht="15.75" customHeight="1">
      <c r="A2847" s="1780"/>
      <c r="B2847" s="1739"/>
      <c r="C2847" s="1878" t="s">
        <v>2103</v>
      </c>
      <c r="D2847" s="1781">
        <v>0.56200000000000006</v>
      </c>
      <c r="E2847" s="413" t="s">
        <v>2069</v>
      </c>
      <c r="F2847" s="1747">
        <f>'Bahan &amp; Upah'!C$336</f>
        <v>96332.65</v>
      </c>
      <c r="G2847" s="361">
        <f>F2847*D2847</f>
        <v>54138.9493</v>
      </c>
      <c r="H2847" s="2077">
        <v>1</v>
      </c>
      <c r="I2847" s="2015">
        <f>(G2847/G$2857)*H2847</f>
        <v>1.5108974943722951E-2</v>
      </c>
      <c r="J2847" s="2076"/>
    </row>
    <row r="2848" spans="1:10" ht="15.75" customHeight="1">
      <c r="A2848" s="1780"/>
      <c r="B2848" s="1739"/>
      <c r="C2848" s="1878" t="s">
        <v>2766</v>
      </c>
      <c r="D2848" s="1781">
        <v>0.93799999999999994</v>
      </c>
      <c r="E2848" s="413" t="s">
        <v>2069</v>
      </c>
      <c r="F2848" s="1883">
        <f>'Bahan &amp; Upah'!C$337</f>
        <v>114133.55</v>
      </c>
      <c r="G2848" s="361">
        <f>F2848*D2848</f>
        <v>107057.2699</v>
      </c>
      <c r="H2848" s="2077">
        <v>1</v>
      </c>
      <c r="I2848" s="2015">
        <f>(G2848/G$2857)*H2848</f>
        <v>2.9877299603642018E-2</v>
      </c>
      <c r="J2848" s="2076"/>
    </row>
    <row r="2849" spans="1:10" ht="15.75" customHeight="1">
      <c r="A2849" s="1780"/>
      <c r="B2849" s="1739"/>
      <c r="C2849" s="1878" t="s">
        <v>2105</v>
      </c>
      <c r="D2849" s="1781">
        <v>9.4E-2</v>
      </c>
      <c r="E2849" s="413" t="s">
        <v>2069</v>
      </c>
      <c r="F2849" s="1748">
        <f>'Bahan &amp; Upah'!C$338</f>
        <v>125485.75</v>
      </c>
      <c r="G2849" s="361">
        <f>F2849*D2849</f>
        <v>11795.6605</v>
      </c>
      <c r="H2849" s="2077">
        <v>1</v>
      </c>
      <c r="I2849" s="2015">
        <f>(G2849/G$2857)*H2849</f>
        <v>3.2919061275384328E-3</v>
      </c>
      <c r="J2849" s="2076"/>
    </row>
    <row r="2850" spans="1:10" ht="15.75" customHeight="1">
      <c r="A2850" s="1780"/>
      <c r="B2850" s="1739"/>
      <c r="C2850" s="1878" t="s">
        <v>2107</v>
      </c>
      <c r="D2850" s="1841">
        <v>3.1E-2</v>
      </c>
      <c r="E2850" s="413" t="s">
        <v>2069</v>
      </c>
      <c r="F2850" s="1883">
        <f>'Bahan &amp; Upah'!C$339</f>
        <v>102689.88</v>
      </c>
      <c r="G2850" s="1785">
        <f>F2850*D2850</f>
        <v>3183.3862800000002</v>
      </c>
      <c r="H2850" s="2077">
        <v>1</v>
      </c>
      <c r="I2850" s="2016">
        <f>(G2850/G$2857)*H2850</f>
        <v>8.8841220900294461E-4</v>
      </c>
      <c r="J2850" s="2076"/>
    </row>
    <row r="2851" spans="1:10" ht="15.75" customHeight="1">
      <c r="A2851" s="1780"/>
      <c r="B2851" s="1739"/>
      <c r="C2851" s="1889" t="s">
        <v>2108</v>
      </c>
      <c r="D2851" s="1841"/>
      <c r="E2851" s="413"/>
      <c r="F2851" s="320"/>
      <c r="G2851" s="361">
        <f>SUM(G2847:G2850)</f>
        <v>176175.26598</v>
      </c>
      <c r="H2851" s="2075"/>
      <c r="I2851" s="1910">
        <f>SUM(I2847:I2850)</f>
        <v>4.9166592883906346E-2</v>
      </c>
      <c r="J2851" s="2076"/>
    </row>
    <row r="2852" spans="1:10" ht="15.75" customHeight="1">
      <c r="A2852" s="1780"/>
      <c r="B2852" s="1739" t="s">
        <v>1015</v>
      </c>
      <c r="C2852" s="1877" t="s">
        <v>2075</v>
      </c>
      <c r="D2852" s="2078"/>
      <c r="E2852" s="413"/>
      <c r="F2852" s="320"/>
      <c r="G2852" s="320"/>
      <c r="H2852" s="2075"/>
      <c r="I2852" s="1782"/>
      <c r="J2852" s="2076"/>
    </row>
    <row r="2853" spans="1:10" ht="27.75" customHeight="1">
      <c r="A2853" s="1780"/>
      <c r="B2853" s="1739"/>
      <c r="C2853" s="2079" t="s">
        <v>2849</v>
      </c>
      <c r="D2853" s="2078">
        <v>1</v>
      </c>
      <c r="E2853" s="413" t="s">
        <v>360</v>
      </c>
      <c r="F2853" s="1748">
        <f>'Bahan &amp; Upah'!C262</f>
        <v>3407055.86</v>
      </c>
      <c r="G2853" s="1785">
        <f>F2853*D2853</f>
        <v>3407055.86</v>
      </c>
      <c r="H2853" s="2077">
        <v>0.2321</v>
      </c>
      <c r="I2853" s="2016">
        <f>(G2853/G$2857)*H2853</f>
        <v>0.22068843379164535</v>
      </c>
      <c r="J2853" s="2076"/>
    </row>
    <row r="2854" spans="1:10" ht="15.75" customHeight="1">
      <c r="A2854" s="1780"/>
      <c r="B2854" s="1909"/>
      <c r="C2854" s="1889" t="s">
        <v>2091</v>
      </c>
      <c r="D2854" s="2080"/>
      <c r="E2854" s="333"/>
      <c r="F2854" s="328"/>
      <c r="G2854" s="361">
        <f>SUM(G2853)</f>
        <v>3407055.86</v>
      </c>
      <c r="H2854" s="2075"/>
      <c r="I2854" s="2081">
        <f>SUM(I2853)</f>
        <v>0.22068843379164535</v>
      </c>
      <c r="J2854" s="2076"/>
    </row>
    <row r="2855" spans="1:10" ht="15.75" customHeight="1">
      <c r="A2855" s="1780"/>
      <c r="B2855" s="1739" t="s">
        <v>1048</v>
      </c>
      <c r="C2855" s="1877" t="s">
        <v>2246</v>
      </c>
      <c r="D2855" s="2080"/>
      <c r="E2855" s="333"/>
      <c r="F2855" s="328"/>
      <c r="G2855" s="332"/>
      <c r="H2855" s="2075"/>
      <c r="I2855" s="1910"/>
      <c r="J2855" s="2076"/>
    </row>
    <row r="2856" spans="1:10" ht="15.75" customHeight="1">
      <c r="A2856" s="1780"/>
      <c r="B2856" s="1784"/>
      <c r="C2856" s="2082" t="s">
        <v>2110</v>
      </c>
      <c r="D2856" s="2083"/>
      <c r="E2856" s="1882"/>
      <c r="F2856" s="1845"/>
      <c r="G2856" s="1966"/>
      <c r="H2856" s="2084"/>
      <c r="I2856" s="1910"/>
      <c r="J2856" s="2085"/>
    </row>
    <row r="2857" spans="1:10" ht="15.75" customHeight="1">
      <c r="A2857" s="1780"/>
      <c r="B2857" s="1739" t="s">
        <v>979</v>
      </c>
      <c r="C2857" s="1804" t="s">
        <v>2129</v>
      </c>
      <c r="D2857" s="1763"/>
      <c r="E2857" s="1764"/>
      <c r="F2857" s="1765"/>
      <c r="G2857" s="1765">
        <f>G2851+G2854</f>
        <v>3583231.12598</v>
      </c>
      <c r="H2857" s="2075"/>
      <c r="I2857" s="1782"/>
      <c r="J2857" s="2076"/>
    </row>
    <row r="2858" spans="1:10" ht="15.75" customHeight="1">
      <c r="A2858" s="1780"/>
      <c r="B2858" s="1739" t="s">
        <v>2093</v>
      </c>
      <c r="C2858" s="1762" t="s">
        <v>2094</v>
      </c>
      <c r="D2858" s="1767">
        <f>M$4</f>
        <v>0.15</v>
      </c>
      <c r="E2858" s="1768"/>
      <c r="F2858" s="1765"/>
      <c r="G2858" s="1765">
        <f>G2857*D2858</f>
        <v>537484.66889700003</v>
      </c>
      <c r="H2858" s="2075"/>
      <c r="I2858" s="1862">
        <f>I2851+I2854</f>
        <v>0.26985502667555172</v>
      </c>
      <c r="J2858" s="2076"/>
    </row>
    <row r="2859" spans="1:10" ht="15.75" customHeight="1">
      <c r="A2859" s="1786"/>
      <c r="B2859" s="1787" t="s">
        <v>2095</v>
      </c>
      <c r="C2859" s="1788" t="s">
        <v>2111</v>
      </c>
      <c r="D2859" s="1772"/>
      <c r="E2859" s="1773"/>
      <c r="F2859" s="1774"/>
      <c r="G2859" s="2086">
        <f>ROUNDUP((G2857+G2858),2)</f>
        <v>4120715.8</v>
      </c>
      <c r="H2859" s="2087"/>
      <c r="I2859" s="2010"/>
      <c r="J2859" s="2088"/>
    </row>
    <row r="2860" spans="1:10" ht="15.75" customHeight="1">
      <c r="A2860" s="1733"/>
      <c r="B2860" s="1733"/>
      <c r="C2860" s="1733"/>
      <c r="D2860" s="1733"/>
      <c r="E2860" s="1733"/>
      <c r="F2860" s="1733"/>
      <c r="G2860" s="1733"/>
      <c r="H2860" s="1733"/>
      <c r="I2860" s="1733"/>
      <c r="J2860" s="1733"/>
    </row>
    <row r="2861" spans="1:10" ht="27.75" customHeight="1">
      <c r="A2861" s="1778">
        <f>A2845+1</f>
        <v>154</v>
      </c>
      <c r="B2861" s="1871" t="s">
        <v>2147</v>
      </c>
      <c r="C2861" s="1872" t="s">
        <v>2850</v>
      </c>
      <c r="D2861" s="1873"/>
      <c r="E2861" s="1874"/>
      <c r="F2861" s="1875"/>
      <c r="G2861" s="1875"/>
      <c r="H2861" s="1800"/>
      <c r="I2861" s="1800"/>
      <c r="J2861" s="1801"/>
    </row>
    <row r="2862" spans="1:10" ht="15.75" customHeight="1">
      <c r="A2862" s="1780"/>
      <c r="B2862" s="1739" t="s">
        <v>1004</v>
      </c>
      <c r="C2862" s="1877" t="s">
        <v>2067</v>
      </c>
      <c r="D2862" s="390"/>
      <c r="E2862" s="413"/>
      <c r="F2862" s="320"/>
      <c r="G2862" s="320"/>
      <c r="H2862" s="1802"/>
      <c r="I2862" s="1802"/>
      <c r="J2862" s="1803"/>
    </row>
    <row r="2863" spans="1:10" ht="15.75" customHeight="1">
      <c r="A2863" s="1780"/>
      <c r="B2863" s="1739"/>
      <c r="C2863" s="1878" t="s">
        <v>2492</v>
      </c>
      <c r="D2863" s="1841">
        <v>1</v>
      </c>
      <c r="E2863" s="413" t="s">
        <v>124</v>
      </c>
      <c r="F2863" s="1747">
        <v>20255.36</v>
      </c>
      <c r="G2863" s="332">
        <f>F2863*D2863</f>
        <v>20255.36</v>
      </c>
      <c r="H2863" s="1980">
        <v>1</v>
      </c>
      <c r="I2863" s="1982">
        <f>(G2863/G$2868)*H2863</f>
        <v>0.13165672258823696</v>
      </c>
      <c r="J2863" s="1803"/>
    </row>
    <row r="2864" spans="1:10" ht="15.75" customHeight="1">
      <c r="A2864" s="1780"/>
      <c r="B2864" s="1739"/>
      <c r="C2864" s="1889" t="s">
        <v>2108</v>
      </c>
      <c r="D2864" s="1841"/>
      <c r="E2864" s="413"/>
      <c r="F2864" s="320"/>
      <c r="G2864" s="361">
        <f>SUM(G2863:G2863)</f>
        <v>20255.36</v>
      </c>
      <c r="H2864" s="1980"/>
      <c r="I2864" s="1983">
        <f>SUM(I2863)</f>
        <v>0.13165672258823696</v>
      </c>
      <c r="J2864" s="1981"/>
    </row>
    <row r="2865" spans="1:10" ht="15.75" customHeight="1">
      <c r="A2865" s="1780"/>
      <c r="B2865" s="1739" t="s">
        <v>1015</v>
      </c>
      <c r="C2865" s="1877" t="s">
        <v>2075</v>
      </c>
      <c r="D2865" s="1841"/>
      <c r="E2865" s="413"/>
      <c r="F2865" s="320"/>
      <c r="G2865" s="320"/>
      <c r="H2865" s="1980"/>
      <c r="I2865" s="1980"/>
      <c r="J2865" s="1981"/>
    </row>
    <row r="2866" spans="1:10" ht="15.75" customHeight="1">
      <c r="A2866" s="1780"/>
      <c r="B2866" s="1739"/>
      <c r="C2866" s="1878" t="s">
        <v>2851</v>
      </c>
      <c r="D2866" s="1841">
        <v>1</v>
      </c>
      <c r="E2866" s="413" t="s">
        <v>124</v>
      </c>
      <c r="F2866" s="1883">
        <f>'Bahan &amp; Upah'!C252/6</f>
        <v>133594.43666666668</v>
      </c>
      <c r="G2866" s="332">
        <f>F2866*D2866</f>
        <v>133594.43666666668</v>
      </c>
      <c r="H2866" s="1980">
        <v>0.61129999999999995</v>
      </c>
      <c r="I2866" s="1982">
        <f>(G2866/G$2868)*H2866</f>
        <v>0.53081824548181067</v>
      </c>
      <c r="J2866" s="1981"/>
    </row>
    <row r="2867" spans="1:10" ht="15.75" customHeight="1">
      <c r="A2867" s="1780"/>
      <c r="B2867" s="1784"/>
      <c r="C2867" s="1878"/>
      <c r="D2867" s="1841"/>
      <c r="E2867" s="413"/>
      <c r="F2867" s="1883"/>
      <c r="G2867" s="361">
        <f>SUM(G2866:G2866)</f>
        <v>133594.43666666668</v>
      </c>
      <c r="H2867" s="1980"/>
      <c r="I2867" s="1983">
        <f>SUM(I2866:I2866)</f>
        <v>0.53081824548181067</v>
      </c>
      <c r="J2867" s="1981"/>
    </row>
    <row r="2868" spans="1:10" ht="15.75" customHeight="1">
      <c r="A2868" s="1780"/>
      <c r="B2868" s="1784"/>
      <c r="C2868" s="1804" t="s">
        <v>2298</v>
      </c>
      <c r="D2868" s="1763"/>
      <c r="E2868" s="1764"/>
      <c r="F2868" s="1765"/>
      <c r="G2868" s="1765">
        <f>G2864+G2867</f>
        <v>153849.79666666669</v>
      </c>
      <c r="H2868" s="1980"/>
      <c r="I2868" s="1984">
        <f>I2864+I2867</f>
        <v>0.66247496807004769</v>
      </c>
      <c r="J2868" s="1981"/>
    </row>
    <row r="2869" spans="1:10" ht="15.75" customHeight="1">
      <c r="A2869" s="1780"/>
      <c r="B2869" s="1784"/>
      <c r="C2869" s="1762" t="s">
        <v>2094</v>
      </c>
      <c r="D2869" s="1767">
        <f>M$4</f>
        <v>0.15</v>
      </c>
      <c r="E2869" s="1768"/>
      <c r="F2869" s="1765"/>
      <c r="G2869" s="1765">
        <f>G2868*D2869</f>
        <v>23077.469500000003</v>
      </c>
      <c r="H2869" s="1980"/>
      <c r="I2869" s="1980"/>
      <c r="J2869" s="1981"/>
    </row>
    <row r="2870" spans="1:10" ht="15.75" customHeight="1">
      <c r="A2870" s="1786"/>
      <c r="B2870" s="1890"/>
      <c r="C2870" s="1788" t="s">
        <v>2111</v>
      </c>
      <c r="D2870" s="1772"/>
      <c r="E2870" s="1773"/>
      <c r="F2870" s="1774"/>
      <c r="G2870" s="1861">
        <f>ROUNDUP((G2868+G2869),2)</f>
        <v>176927.27000000002</v>
      </c>
      <c r="H2870" s="1985"/>
      <c r="I2870" s="1985"/>
      <c r="J2870" s="1986"/>
    </row>
    <row r="2871" spans="1:10" ht="15.75" customHeight="1">
      <c r="A2871" s="1733"/>
      <c r="B2871" s="1733"/>
      <c r="C2871" s="1733"/>
      <c r="D2871" s="1733"/>
      <c r="E2871" s="1733"/>
      <c r="F2871" s="1733"/>
      <c r="G2871" s="1733"/>
      <c r="H2871" s="1733"/>
      <c r="I2871" s="1733"/>
      <c r="J2871" s="1733"/>
    </row>
    <row r="2872" spans="1:10" ht="15.75" customHeight="1">
      <c r="A2872" s="1778">
        <f>A2861+1</f>
        <v>155</v>
      </c>
      <c r="B2872" s="1871" t="s">
        <v>2852</v>
      </c>
      <c r="C2872" s="1872" t="s">
        <v>2853</v>
      </c>
      <c r="D2872" s="1873"/>
      <c r="E2872" s="1874"/>
      <c r="F2872" s="1875"/>
      <c r="G2872" s="1875"/>
      <c r="H2872" s="1800"/>
      <c r="I2872" s="1800"/>
      <c r="J2872" s="1801"/>
    </row>
    <row r="2873" spans="1:10" ht="15.75" customHeight="1">
      <c r="A2873" s="1780"/>
      <c r="B2873" s="1739" t="s">
        <v>1004</v>
      </c>
      <c r="C2873" s="1877" t="s">
        <v>2067</v>
      </c>
      <c r="D2873" s="390"/>
      <c r="E2873" s="413"/>
      <c r="F2873" s="320"/>
      <c r="G2873" s="320"/>
      <c r="H2873" s="1802"/>
      <c r="I2873" s="1802"/>
      <c r="J2873" s="1803"/>
    </row>
    <row r="2874" spans="1:10" ht="15.75" customHeight="1">
      <c r="A2874" s="1780"/>
      <c r="B2874" s="1739"/>
      <c r="C2874" s="1878" t="s">
        <v>2103</v>
      </c>
      <c r="D2874" s="1841">
        <v>0.19</v>
      </c>
      <c r="E2874" s="413" t="s">
        <v>2069</v>
      </c>
      <c r="F2874" s="1747">
        <f>'Bahan &amp; Upah'!C$336</f>
        <v>96332.65</v>
      </c>
      <c r="G2874" s="332">
        <f>F2874*D2874</f>
        <v>18303.2035</v>
      </c>
      <c r="H2874" s="1980">
        <v>1</v>
      </c>
      <c r="I2874" s="1980">
        <f>(G2874/G$2882)*H2874</f>
        <v>2.5423181285087072E-2</v>
      </c>
      <c r="J2874" s="1803"/>
    </row>
    <row r="2875" spans="1:10" ht="15.75" customHeight="1">
      <c r="A2875" s="1780"/>
      <c r="B2875" s="1739"/>
      <c r="C2875" s="1878" t="s">
        <v>2818</v>
      </c>
      <c r="D2875" s="1841">
        <v>0.318</v>
      </c>
      <c r="E2875" s="413" t="s">
        <v>2069</v>
      </c>
      <c r="F2875" s="1883">
        <f>'Bahan &amp; Upah'!C$337</f>
        <v>114133.55</v>
      </c>
      <c r="G2875" s="332">
        <f>F2875*D2875</f>
        <v>36294.4689</v>
      </c>
      <c r="H2875" s="1980">
        <v>1</v>
      </c>
      <c r="I2875" s="1980">
        <f>(G2875/G$2882)*H2875</f>
        <v>5.0413080010319217E-2</v>
      </c>
      <c r="J2875" s="1803"/>
    </row>
    <row r="2876" spans="1:10" ht="15.75" customHeight="1">
      <c r="A2876" s="1780"/>
      <c r="B2876" s="1739"/>
      <c r="C2876" s="1878" t="s">
        <v>2072</v>
      </c>
      <c r="D2876" s="1841">
        <v>3.2000000000000001E-2</v>
      </c>
      <c r="E2876" s="413" t="s">
        <v>2069</v>
      </c>
      <c r="F2876" s="1748">
        <f>'Bahan &amp; Upah'!C$338</f>
        <v>125485.75</v>
      </c>
      <c r="G2876" s="332">
        <f>F2876*D2876</f>
        <v>4015.5439999999999</v>
      </c>
      <c r="H2876" s="1980">
        <v>1</v>
      </c>
      <c r="I2876" s="1980">
        <f>(G2876/G$2882)*H2876</f>
        <v>5.5775975539059967E-3</v>
      </c>
      <c r="J2876" s="1803"/>
    </row>
    <row r="2877" spans="1:10" ht="15.75" customHeight="1">
      <c r="A2877" s="1780"/>
      <c r="B2877" s="1739"/>
      <c r="C2877" s="1878" t="s">
        <v>2107</v>
      </c>
      <c r="D2877" s="1841">
        <v>1.0999999999999999E-2</v>
      </c>
      <c r="E2877" s="413" t="s">
        <v>2069</v>
      </c>
      <c r="F2877" s="1883">
        <f>'Bahan &amp; Upah'!C$339</f>
        <v>102689.88</v>
      </c>
      <c r="G2877" s="1785">
        <f>F2877*D2877</f>
        <v>1129.5886800000001</v>
      </c>
      <c r="H2877" s="1980">
        <v>1</v>
      </c>
      <c r="I2877" s="1982">
        <f>(G2877/G$2882)*H2877</f>
        <v>1.5690006281808653E-3</v>
      </c>
      <c r="J2877" s="1981"/>
    </row>
    <row r="2878" spans="1:10" ht="15.75" customHeight="1">
      <c r="A2878" s="1780"/>
      <c r="B2878" s="1739"/>
      <c r="C2878" s="1889" t="s">
        <v>2108</v>
      </c>
      <c r="D2878" s="1841"/>
      <c r="E2878" s="413"/>
      <c r="F2878" s="320"/>
      <c r="G2878" s="361">
        <f>SUM(G2874:G2877)</f>
        <v>59742.805079999998</v>
      </c>
      <c r="H2878" s="1980"/>
      <c r="I2878" s="1983">
        <f>SUM(I2877)</f>
        <v>1.5690006281808653E-3</v>
      </c>
      <c r="J2878" s="1981"/>
    </row>
    <row r="2879" spans="1:10" ht="15.75" customHeight="1">
      <c r="A2879" s="1780"/>
      <c r="B2879" s="1739" t="s">
        <v>1015</v>
      </c>
      <c r="C2879" s="1877" t="s">
        <v>2075</v>
      </c>
      <c r="D2879" s="1841"/>
      <c r="E2879" s="413"/>
      <c r="F2879" s="320"/>
      <c r="G2879" s="320"/>
      <c r="H2879" s="1980"/>
      <c r="I2879" s="1980"/>
      <c r="J2879" s="1981"/>
    </row>
    <row r="2880" spans="1:10" ht="15.75" customHeight="1">
      <c r="A2880" s="1780"/>
      <c r="B2880" s="1739"/>
      <c r="C2880" s="1878" t="s">
        <v>2854</v>
      </c>
      <c r="D2880" s="1841">
        <v>1.1000000000000001</v>
      </c>
      <c r="E2880" s="413" t="s">
        <v>360</v>
      </c>
      <c r="F2880" s="1883">
        <f>'Bahan &amp; Upah'!C320</f>
        <v>600180.64</v>
      </c>
      <c r="G2880" s="332">
        <f>F2880*D2880</f>
        <v>660198.70400000003</v>
      </c>
      <c r="H2880" s="1980">
        <v>0.61129999999999995</v>
      </c>
      <c r="I2880" s="1982">
        <f>(G2880/G$2882)*H2880</f>
        <v>0.56057257800140847</v>
      </c>
      <c r="J2880" s="1981"/>
    </row>
    <row r="2881" spans="1:10" ht="15.75" customHeight="1">
      <c r="A2881" s="1780"/>
      <c r="B2881" s="1784"/>
      <c r="C2881" s="1878"/>
      <c r="D2881" s="1841"/>
      <c r="E2881" s="413"/>
      <c r="F2881" s="1883"/>
      <c r="G2881" s="361">
        <f>SUM(G2880:G2880)</f>
        <v>660198.70400000003</v>
      </c>
      <c r="H2881" s="1980"/>
      <c r="I2881" s="1983">
        <f>SUM(I2880:I2880)</f>
        <v>0.56057257800140847</v>
      </c>
      <c r="J2881" s="1981"/>
    </row>
    <row r="2882" spans="1:10" ht="15.75" customHeight="1">
      <c r="A2882" s="1780"/>
      <c r="B2882" s="1784"/>
      <c r="C2882" s="1804" t="s">
        <v>2298</v>
      </c>
      <c r="D2882" s="1763"/>
      <c r="E2882" s="1764"/>
      <c r="F2882" s="1765"/>
      <c r="G2882" s="1765">
        <f>G2878+G2881</f>
        <v>719941.50907999999</v>
      </c>
      <c r="H2882" s="1980"/>
      <c r="I2882" s="1984">
        <f>I2878+I2881</f>
        <v>0.56214157862958936</v>
      </c>
      <c r="J2882" s="1981"/>
    </row>
    <row r="2883" spans="1:10" ht="15.75" customHeight="1">
      <c r="A2883" s="1780"/>
      <c r="B2883" s="1784"/>
      <c r="C2883" s="1762" t="s">
        <v>2094</v>
      </c>
      <c r="D2883" s="1767">
        <f>M$4</f>
        <v>0.15</v>
      </c>
      <c r="E2883" s="1768"/>
      <c r="F2883" s="1765"/>
      <c r="G2883" s="1765">
        <f>G2882*D2883</f>
        <v>107991.226362</v>
      </c>
      <c r="H2883" s="1980"/>
      <c r="I2883" s="1980"/>
      <c r="J2883" s="1981"/>
    </row>
    <row r="2884" spans="1:10" ht="15.75" customHeight="1">
      <c r="A2884" s="1786"/>
      <c r="B2884" s="1890"/>
      <c r="C2884" s="1788" t="s">
        <v>2111</v>
      </c>
      <c r="D2884" s="1772"/>
      <c r="E2884" s="1773"/>
      <c r="F2884" s="1774"/>
      <c r="G2884" s="1861">
        <f>ROUNDUP((G2882+G2883),2)</f>
        <v>827932.74</v>
      </c>
      <c r="H2884" s="1985"/>
      <c r="I2884" s="1985"/>
      <c r="J2884" s="1986"/>
    </row>
    <row r="2885" spans="1:10" ht="15.75" customHeight="1">
      <c r="A2885" s="1733"/>
      <c r="B2885" s="1733"/>
      <c r="C2885" s="1733"/>
      <c r="D2885" s="1733"/>
      <c r="E2885" s="1733"/>
      <c r="F2885" s="1733"/>
      <c r="G2885" s="1733"/>
      <c r="H2885" s="1733"/>
      <c r="I2885" s="1733"/>
      <c r="J2885" s="1733"/>
    </row>
    <row r="2886" spans="1:10" ht="15.75" customHeight="1">
      <c r="A2886" s="1778">
        <f>A2872+1</f>
        <v>156</v>
      </c>
      <c r="B2886" s="1871" t="s">
        <v>2855</v>
      </c>
      <c r="C2886" s="1872" t="s">
        <v>2856</v>
      </c>
      <c r="D2886" s="1873"/>
      <c r="E2886" s="1874"/>
      <c r="F2886" s="1875"/>
      <c r="G2886" s="1875"/>
      <c r="H2886" s="1800"/>
      <c r="I2886" s="1800"/>
      <c r="J2886" s="1801"/>
    </row>
    <row r="2887" spans="1:10" ht="15.75" customHeight="1">
      <c r="A2887" s="1780"/>
      <c r="B2887" s="1739" t="s">
        <v>1004</v>
      </c>
      <c r="C2887" s="1877" t="s">
        <v>2067</v>
      </c>
      <c r="D2887" s="390"/>
      <c r="E2887" s="413"/>
      <c r="F2887" s="320"/>
      <c r="G2887" s="320"/>
      <c r="H2887" s="1802"/>
      <c r="I2887" s="1802"/>
      <c r="J2887" s="1803"/>
    </row>
    <row r="2888" spans="1:10" ht="15.75" customHeight="1">
      <c r="A2888" s="1780"/>
      <c r="B2888" s="1739"/>
      <c r="C2888" s="1878" t="s">
        <v>2103</v>
      </c>
      <c r="D2888" s="1841">
        <v>0.19</v>
      </c>
      <c r="E2888" s="413" t="s">
        <v>2069</v>
      </c>
      <c r="F2888" s="1747">
        <f>'Bahan &amp; Upah'!C$336</f>
        <v>96332.65</v>
      </c>
      <c r="G2888" s="332">
        <f>F2888*D2888</f>
        <v>18303.2035</v>
      </c>
      <c r="H2888" s="1980">
        <v>1</v>
      </c>
      <c r="I2888" s="1980">
        <f>(G2888/G$2896)*H2888</f>
        <v>1.1808484442808312E-2</v>
      </c>
      <c r="J2888" s="1803"/>
    </row>
    <row r="2889" spans="1:10" ht="15.75" customHeight="1">
      <c r="A2889" s="1780"/>
      <c r="B2889" s="1739"/>
      <c r="C2889" s="1878" t="s">
        <v>2818</v>
      </c>
      <c r="D2889" s="1841">
        <v>0.318</v>
      </c>
      <c r="E2889" s="413" t="s">
        <v>2069</v>
      </c>
      <c r="F2889" s="1883">
        <f>'Bahan &amp; Upah'!C$337</f>
        <v>114133.55</v>
      </c>
      <c r="G2889" s="332">
        <f>F2889*D2889</f>
        <v>36294.4689</v>
      </c>
      <c r="H2889" s="1980">
        <v>1</v>
      </c>
      <c r="I2889" s="1980">
        <f>(G2889/G$2896)*H2889</f>
        <v>2.3415719077026057E-2</v>
      </c>
      <c r="J2889" s="1803"/>
    </row>
    <row r="2890" spans="1:10" ht="15.75" customHeight="1">
      <c r="A2890" s="1780"/>
      <c r="B2890" s="1739"/>
      <c r="C2890" s="1878" t="s">
        <v>2072</v>
      </c>
      <c r="D2890" s="1841">
        <v>3.2000000000000001E-2</v>
      </c>
      <c r="E2890" s="413" t="s">
        <v>2069</v>
      </c>
      <c r="F2890" s="1748">
        <f>'Bahan &amp; Upah'!C$338</f>
        <v>125485.75</v>
      </c>
      <c r="G2890" s="332">
        <f>F2890*D2890</f>
        <v>4015.5439999999999</v>
      </c>
      <c r="H2890" s="1980">
        <v>1</v>
      </c>
      <c r="I2890" s="1980">
        <f>(G2890/G$2896)*H2890</f>
        <v>2.5906661013418912E-3</v>
      </c>
      <c r="J2890" s="1803"/>
    </row>
    <row r="2891" spans="1:10" ht="15.75" customHeight="1">
      <c r="A2891" s="1780"/>
      <c r="B2891" s="1739"/>
      <c r="C2891" s="1878" t="s">
        <v>2107</v>
      </c>
      <c r="D2891" s="1841">
        <v>1.0999999999999999E-2</v>
      </c>
      <c r="E2891" s="413" t="s">
        <v>2069</v>
      </c>
      <c r="F2891" s="1883">
        <f>'Bahan &amp; Upah'!C$339</f>
        <v>102689.88</v>
      </c>
      <c r="G2891" s="1785">
        <f>F2891*D2891</f>
        <v>1129.5886800000001</v>
      </c>
      <c r="H2891" s="1980">
        <v>1</v>
      </c>
      <c r="I2891" s="1982">
        <f>(G2891/G$2896)*H2891</f>
        <v>7.2876479543880815E-4</v>
      </c>
      <c r="J2891" s="1981"/>
    </row>
    <row r="2892" spans="1:10" ht="15.75" customHeight="1">
      <c r="A2892" s="1780"/>
      <c r="B2892" s="1739"/>
      <c r="C2892" s="1889" t="s">
        <v>2108</v>
      </c>
      <c r="D2892" s="1841"/>
      <c r="E2892" s="413"/>
      <c r="F2892" s="320"/>
      <c r="G2892" s="361">
        <f>SUM(G2888:G2891)</f>
        <v>59742.805079999998</v>
      </c>
      <c r="H2892" s="1980"/>
      <c r="I2892" s="1983">
        <f>SUM(I2891)</f>
        <v>7.2876479543880815E-4</v>
      </c>
      <c r="J2892" s="1981"/>
    </row>
    <row r="2893" spans="1:10" ht="15.75" customHeight="1">
      <c r="A2893" s="1780"/>
      <c r="B2893" s="1739" t="s">
        <v>1015</v>
      </c>
      <c r="C2893" s="1877" t="s">
        <v>2075</v>
      </c>
      <c r="D2893" s="1841"/>
      <c r="E2893" s="413"/>
      <c r="F2893" s="320"/>
      <c r="G2893" s="320"/>
      <c r="H2893" s="1980"/>
      <c r="I2893" s="1980"/>
      <c r="J2893" s="1981"/>
    </row>
    <row r="2894" spans="1:10" ht="15.75" customHeight="1">
      <c r="A2894" s="1780"/>
      <c r="B2894" s="1739"/>
      <c r="C2894" s="1878" t="s">
        <v>2857</v>
      </c>
      <c r="D2894" s="1841">
        <v>1.05</v>
      </c>
      <c r="E2894" s="413" t="s">
        <v>124</v>
      </c>
      <c r="F2894" s="1883">
        <f>'Bahan &amp; Upah'!C321</f>
        <v>1419296.81</v>
      </c>
      <c r="G2894" s="332">
        <f>F2894*D2894</f>
        <v>1490261.6505000002</v>
      </c>
      <c r="H2894" s="1980">
        <v>0.61129999999999995</v>
      </c>
      <c r="I2894" s="1982">
        <f>(G2894/G$2896)*H2894</f>
        <v>0.58773827628112318</v>
      </c>
      <c r="J2894" s="1981"/>
    </row>
    <row r="2895" spans="1:10" ht="15.75" customHeight="1">
      <c r="A2895" s="1780"/>
      <c r="B2895" s="1784"/>
      <c r="C2895" s="1878"/>
      <c r="D2895" s="1841"/>
      <c r="E2895" s="413"/>
      <c r="F2895" s="1883"/>
      <c r="G2895" s="361">
        <f>SUM(G2894:G2894)</f>
        <v>1490261.6505000002</v>
      </c>
      <c r="H2895" s="1980"/>
      <c r="I2895" s="1983">
        <f>SUM(I2894:I2894)</f>
        <v>0.58773827628112318</v>
      </c>
      <c r="J2895" s="1981"/>
    </row>
    <row r="2896" spans="1:10" ht="15.75" customHeight="1">
      <c r="A2896" s="1780"/>
      <c r="B2896" s="1784"/>
      <c r="C2896" s="1804" t="s">
        <v>2298</v>
      </c>
      <c r="D2896" s="1763"/>
      <c r="E2896" s="1764"/>
      <c r="F2896" s="1765"/>
      <c r="G2896" s="1765">
        <f>G2892+G2895</f>
        <v>1550004.4555800003</v>
      </c>
      <c r="H2896" s="1980"/>
      <c r="I2896" s="1984">
        <f>I2892+I2895</f>
        <v>0.588467041076562</v>
      </c>
      <c r="J2896" s="1981"/>
    </row>
    <row r="2897" spans="1:10" ht="15.75" customHeight="1">
      <c r="A2897" s="1780"/>
      <c r="B2897" s="1784"/>
      <c r="C2897" s="1762" t="s">
        <v>2094</v>
      </c>
      <c r="D2897" s="1767">
        <f>M$4</f>
        <v>0.15</v>
      </c>
      <c r="E2897" s="1768"/>
      <c r="F2897" s="1765"/>
      <c r="G2897" s="1765">
        <f>G2896*D2897</f>
        <v>232500.66833700004</v>
      </c>
      <c r="H2897" s="1980"/>
      <c r="I2897" s="1980"/>
      <c r="J2897" s="1981"/>
    </row>
    <row r="2898" spans="1:10" ht="15.75" customHeight="1">
      <c r="A2898" s="1786"/>
      <c r="B2898" s="1890"/>
      <c r="C2898" s="1788" t="s">
        <v>2111</v>
      </c>
      <c r="D2898" s="1772"/>
      <c r="E2898" s="1773"/>
      <c r="F2898" s="1774"/>
      <c r="G2898" s="1861">
        <f>ROUNDUP((G2896+G2897),2)</f>
        <v>1782505.1300000001</v>
      </c>
      <c r="H2898" s="1985"/>
      <c r="I2898" s="1985"/>
      <c r="J2898" s="1986"/>
    </row>
    <row r="2899" spans="1:10" ht="15.75" customHeight="1">
      <c r="A2899" s="1733"/>
      <c r="B2899" s="1733"/>
      <c r="C2899" s="1733"/>
      <c r="D2899" s="1733"/>
      <c r="E2899" s="1733"/>
      <c r="F2899" s="1733"/>
      <c r="G2899" s="1733"/>
      <c r="H2899" s="1733"/>
      <c r="I2899" s="1733"/>
      <c r="J2899" s="1733"/>
    </row>
    <row r="2900" spans="1:10" ht="18" customHeight="1">
      <c r="A2900" s="1778">
        <f>A2886+1</f>
        <v>157</v>
      </c>
      <c r="B2900" s="1871" t="s">
        <v>2858</v>
      </c>
      <c r="C2900" s="1872" t="s">
        <v>2859</v>
      </c>
      <c r="D2900" s="1873"/>
      <c r="E2900" s="1874"/>
      <c r="F2900" s="1875"/>
      <c r="G2900" s="1875"/>
      <c r="H2900" s="1800"/>
      <c r="I2900" s="1800"/>
      <c r="J2900" s="1801"/>
    </row>
    <row r="2901" spans="1:10" ht="15.75" customHeight="1">
      <c r="A2901" s="1780"/>
      <c r="B2901" s="1739" t="s">
        <v>1004</v>
      </c>
      <c r="C2901" s="1877" t="s">
        <v>2067</v>
      </c>
      <c r="D2901" s="390"/>
      <c r="E2901" s="413"/>
      <c r="F2901" s="320"/>
      <c r="G2901" s="320"/>
      <c r="H2901" s="1802"/>
      <c r="I2901" s="1802"/>
      <c r="J2901" s="1803"/>
    </row>
    <row r="2902" spans="1:10" ht="15.75" customHeight="1">
      <c r="A2902" s="1780"/>
      <c r="B2902" s="1739"/>
      <c r="C2902" s="1878" t="s">
        <v>2103</v>
      </c>
      <c r="D2902" s="1841">
        <v>1.395</v>
      </c>
      <c r="E2902" s="413" t="s">
        <v>2069</v>
      </c>
      <c r="F2902" s="1747">
        <f>'Bahan &amp; Upah'!C$336</f>
        <v>96332.65</v>
      </c>
      <c r="G2902" s="332">
        <f>F2902*D2902</f>
        <v>134384.04674999998</v>
      </c>
      <c r="H2902" s="1980">
        <v>1</v>
      </c>
      <c r="I2902" s="1980">
        <f>(G2902/G$2911)*H2902</f>
        <v>1.8199615558411444E-2</v>
      </c>
      <c r="J2902" s="1803"/>
    </row>
    <row r="2903" spans="1:10" ht="15.75" customHeight="1">
      <c r="A2903" s="1780"/>
      <c r="B2903" s="1739"/>
      <c r="C2903" s="1878" t="s">
        <v>2818</v>
      </c>
      <c r="D2903" s="1841">
        <v>2.33</v>
      </c>
      <c r="E2903" s="413" t="s">
        <v>2069</v>
      </c>
      <c r="F2903" s="1883">
        <f>'Bahan &amp; Upah'!C$337</f>
        <v>114133.55</v>
      </c>
      <c r="G2903" s="332">
        <f>F2903*D2903</f>
        <v>265931.1715</v>
      </c>
      <c r="H2903" s="1980">
        <v>1</v>
      </c>
      <c r="I2903" s="1980">
        <f>(G2903/G$2911)*H2903</f>
        <v>3.6015027105871726E-2</v>
      </c>
      <c r="J2903" s="1803"/>
    </row>
    <row r="2904" spans="1:10" ht="15.75" customHeight="1">
      <c r="A2904" s="1780"/>
      <c r="B2904" s="1739"/>
      <c r="C2904" s="1878" t="s">
        <v>2072</v>
      </c>
      <c r="D2904" s="1841">
        <v>0.23300000000000001</v>
      </c>
      <c r="E2904" s="413" t="s">
        <v>2069</v>
      </c>
      <c r="F2904" s="1748">
        <f>'Bahan &amp; Upah'!C$338</f>
        <v>125485.75</v>
      </c>
      <c r="G2904" s="332">
        <f>F2904*D2904</f>
        <v>29238.179750000003</v>
      </c>
      <c r="H2904" s="1980">
        <v>1</v>
      </c>
      <c r="I2904" s="1980">
        <f>(G2904/G$2911)*H2904</f>
        <v>3.9597232256866127E-3</v>
      </c>
      <c r="J2904" s="1803"/>
    </row>
    <row r="2905" spans="1:10" ht="15.75" customHeight="1">
      <c r="A2905" s="1780"/>
      <c r="B2905" s="1739"/>
      <c r="C2905" s="1878" t="s">
        <v>2107</v>
      </c>
      <c r="D2905" s="1841">
        <v>7.8E-2</v>
      </c>
      <c r="E2905" s="413" t="s">
        <v>2069</v>
      </c>
      <c r="F2905" s="1883">
        <f>'Bahan &amp; Upah'!C$339</f>
        <v>102689.88</v>
      </c>
      <c r="G2905" s="1785">
        <f>F2905*D2905</f>
        <v>8009.8106400000006</v>
      </c>
      <c r="H2905" s="1980">
        <v>1</v>
      </c>
      <c r="I2905" s="1982">
        <f>(G2905/G$2911)*H2905</f>
        <v>1.0847677076942436E-3</v>
      </c>
      <c r="J2905" s="1981"/>
    </row>
    <row r="2906" spans="1:10" ht="15.75" customHeight="1">
      <c r="A2906" s="1780"/>
      <c r="B2906" s="1739"/>
      <c r="C2906" s="1889" t="s">
        <v>2108</v>
      </c>
      <c r="D2906" s="1841"/>
      <c r="E2906" s="413"/>
      <c r="F2906" s="320"/>
      <c r="G2906" s="361">
        <f>SUM(G2902:G2905)</f>
        <v>437563.20863999997</v>
      </c>
      <c r="H2906" s="1980"/>
      <c r="I2906" s="1983">
        <f>SUM(I2902:I2905)</f>
        <v>5.9259133597664028E-2</v>
      </c>
      <c r="J2906" s="1981"/>
    </row>
    <row r="2907" spans="1:10" ht="15.75" customHeight="1">
      <c r="A2907" s="1780"/>
      <c r="B2907" s="1739" t="s">
        <v>1015</v>
      </c>
      <c r="C2907" s="1877" t="s">
        <v>2075</v>
      </c>
      <c r="D2907" s="1841"/>
      <c r="E2907" s="413"/>
      <c r="F2907" s="320"/>
      <c r="G2907" s="320"/>
      <c r="H2907" s="1980"/>
      <c r="I2907" s="1980"/>
      <c r="J2907" s="1981"/>
    </row>
    <row r="2908" spans="1:10" ht="15.75" customHeight="1">
      <c r="A2908" s="1780"/>
      <c r="B2908" s="1739"/>
      <c r="C2908" s="1878" t="s">
        <v>2860</v>
      </c>
      <c r="D2908" s="1841">
        <v>2.1</v>
      </c>
      <c r="E2908" s="413" t="s">
        <v>124</v>
      </c>
      <c r="F2908" s="1883">
        <f>'Bahan &amp; Upah'!C$380</f>
        <v>929219.77</v>
      </c>
      <c r="G2908" s="332">
        <f>F2908*D2908</f>
        <v>1951361.5170000002</v>
      </c>
      <c r="H2908" s="2015">
        <v>0.31159999999999999</v>
      </c>
      <c r="I2908" s="2015">
        <f>(G2908/G$2911)*H2908</f>
        <v>8.2347360690655499E-2</v>
      </c>
      <c r="J2908" s="1981"/>
    </row>
    <row r="2909" spans="1:10" ht="27.75" customHeight="1">
      <c r="A2909" s="1780"/>
      <c r="B2909" s="1739"/>
      <c r="C2909" s="2045" t="s">
        <v>2861</v>
      </c>
      <c r="D2909" s="1841">
        <v>1.05</v>
      </c>
      <c r="E2909" s="413" t="s">
        <v>124</v>
      </c>
      <c r="F2909" s="1883">
        <f>'Bahan &amp; Upah'!C264</f>
        <v>4757114.3600000003</v>
      </c>
      <c r="G2909" s="1794">
        <f>F2909*D2909</f>
        <v>4994970.0780000007</v>
      </c>
      <c r="H2909" s="2015">
        <v>0.46379999999999999</v>
      </c>
      <c r="I2909" s="2016">
        <f>(G2909/G$2911)*H2909</f>
        <v>0.31374595437550989</v>
      </c>
      <c r="J2909" s="1981"/>
    </row>
    <row r="2910" spans="1:10" ht="15.75" customHeight="1">
      <c r="A2910" s="1780"/>
      <c r="B2910" s="1784"/>
      <c r="C2910" s="1878"/>
      <c r="D2910" s="1841"/>
      <c r="E2910" s="413"/>
      <c r="F2910" s="1883"/>
      <c r="G2910" s="361">
        <f>SUM(G2908:G2909)</f>
        <v>6946331.5950000007</v>
      </c>
      <c r="H2910" s="2015"/>
      <c r="I2910" s="2017">
        <f>SUM(I2908:I2909)</f>
        <v>0.39609331506616541</v>
      </c>
      <c r="J2910" s="1981"/>
    </row>
    <row r="2911" spans="1:10" ht="15.75" customHeight="1">
      <c r="A2911" s="1780"/>
      <c r="B2911" s="1784"/>
      <c r="C2911" s="1804" t="s">
        <v>2298</v>
      </c>
      <c r="D2911" s="1763"/>
      <c r="E2911" s="1764"/>
      <c r="F2911" s="1765"/>
      <c r="G2911" s="1765">
        <f>G2906+G2910</f>
        <v>7383894.8036400005</v>
      </c>
      <c r="H2911" s="2015"/>
      <c r="I2911" s="2018">
        <f>I2906+I2910</f>
        <v>0.45535244866382946</v>
      </c>
      <c r="J2911" s="1981"/>
    </row>
    <row r="2912" spans="1:10" ht="15.75" customHeight="1">
      <c r="A2912" s="1780"/>
      <c r="B2912" s="1784"/>
      <c r="C2912" s="1762" t="s">
        <v>2094</v>
      </c>
      <c r="D2912" s="1767">
        <f>M$4</f>
        <v>0.15</v>
      </c>
      <c r="E2912" s="1768"/>
      <c r="F2912" s="1765"/>
      <c r="G2912" s="1765">
        <f>G2911*D2912</f>
        <v>1107584.2205459999</v>
      </c>
      <c r="H2912" s="2015"/>
      <c r="I2912" s="2015"/>
      <c r="J2912" s="1981"/>
    </row>
    <row r="2913" spans="1:10" ht="15.75" customHeight="1">
      <c r="A2913" s="1786"/>
      <c r="B2913" s="1890"/>
      <c r="C2913" s="1788" t="s">
        <v>2111</v>
      </c>
      <c r="D2913" s="1772"/>
      <c r="E2913" s="1773"/>
      <c r="F2913" s="1774"/>
      <c r="G2913" s="1861">
        <f>ROUNDUP((G2911+G2912),2)</f>
        <v>8491479.0299999993</v>
      </c>
      <c r="H2913" s="2019"/>
      <c r="I2913" s="2019"/>
      <c r="J2913" s="1986"/>
    </row>
    <row r="2914" spans="1:10" ht="15.75" customHeight="1">
      <c r="A2914" s="1733"/>
      <c r="B2914" s="1733"/>
      <c r="C2914" s="1733"/>
      <c r="D2914" s="1733"/>
      <c r="E2914" s="1733"/>
      <c r="F2914" s="1733"/>
      <c r="G2914" s="1733"/>
      <c r="H2914" s="1733"/>
      <c r="I2914" s="1733"/>
      <c r="J2914" s="1733"/>
    </row>
    <row r="2915" spans="1:10" ht="15.75" customHeight="1">
      <c r="A2915" s="1778">
        <f>A2900+1</f>
        <v>158</v>
      </c>
      <c r="B2915" s="1871" t="s">
        <v>2858</v>
      </c>
      <c r="C2915" s="1872" t="s">
        <v>2862</v>
      </c>
      <c r="D2915" s="1873"/>
      <c r="E2915" s="1874"/>
      <c r="F2915" s="1875"/>
      <c r="G2915" s="1875"/>
      <c r="H2915" s="1800"/>
      <c r="I2915" s="1800"/>
      <c r="J2915" s="1801"/>
    </row>
    <row r="2916" spans="1:10" ht="15.75" customHeight="1">
      <c r="A2916" s="1780"/>
      <c r="B2916" s="1739" t="s">
        <v>1004</v>
      </c>
      <c r="C2916" s="1877" t="s">
        <v>2067</v>
      </c>
      <c r="D2916" s="390"/>
      <c r="E2916" s="413"/>
      <c r="F2916" s="320"/>
      <c r="G2916" s="320"/>
      <c r="H2916" s="1802"/>
      <c r="I2916" s="1802"/>
      <c r="J2916" s="1803"/>
    </row>
    <row r="2917" spans="1:10" ht="15.75" customHeight="1">
      <c r="A2917" s="1780"/>
      <c r="B2917" s="1739"/>
      <c r="C2917" s="1878" t="s">
        <v>2103</v>
      </c>
      <c r="D2917" s="1841">
        <v>1.395</v>
      </c>
      <c r="E2917" s="413" t="s">
        <v>2069</v>
      </c>
      <c r="F2917" s="1747">
        <f>'Bahan &amp; Upah'!C$336</f>
        <v>96332.65</v>
      </c>
      <c r="G2917" s="332">
        <f>F2917*D2917</f>
        <v>134384.04674999998</v>
      </c>
      <c r="H2917" s="1980">
        <v>1</v>
      </c>
      <c r="I2917" s="1980">
        <f>(G2917/G$2926)*H2917</f>
        <v>2.7750727099424576E-2</v>
      </c>
      <c r="J2917" s="1803"/>
    </row>
    <row r="2918" spans="1:10" ht="15.75" customHeight="1">
      <c r="A2918" s="1780"/>
      <c r="B2918" s="1739"/>
      <c r="C2918" s="1878" t="s">
        <v>2818</v>
      </c>
      <c r="D2918" s="1841">
        <v>2.33</v>
      </c>
      <c r="E2918" s="413" t="s">
        <v>2069</v>
      </c>
      <c r="F2918" s="1883">
        <f>'Bahan &amp; Upah'!C$337</f>
        <v>114133.55</v>
      </c>
      <c r="G2918" s="332">
        <f>F2918*D2918</f>
        <v>265931.1715</v>
      </c>
      <c r="H2918" s="1980">
        <v>1</v>
      </c>
      <c r="I2918" s="1980">
        <f>(G2918/G$2926)*H2918</f>
        <v>5.4915620908899107E-2</v>
      </c>
      <c r="J2918" s="1803"/>
    </row>
    <row r="2919" spans="1:10" ht="15.75" customHeight="1">
      <c r="A2919" s="1780"/>
      <c r="B2919" s="1739"/>
      <c r="C2919" s="1878" t="s">
        <v>2072</v>
      </c>
      <c r="D2919" s="1841">
        <v>0.23300000000000001</v>
      </c>
      <c r="E2919" s="413" t="s">
        <v>2069</v>
      </c>
      <c r="F2919" s="1748">
        <f>'Bahan &amp; Upah'!C$338</f>
        <v>125485.75</v>
      </c>
      <c r="G2919" s="332">
        <f>F2919*D2919</f>
        <v>29238.179750000003</v>
      </c>
      <c r="H2919" s="1980">
        <v>1</v>
      </c>
      <c r="I2919" s="1980">
        <f>(G2919/G$2926)*H2919</f>
        <v>6.0377758130443562E-3</v>
      </c>
      <c r="J2919" s="1803"/>
    </row>
    <row r="2920" spans="1:10" ht="15.75" customHeight="1">
      <c r="A2920" s="1780"/>
      <c r="B2920" s="1739"/>
      <c r="C2920" s="1878" t="s">
        <v>2107</v>
      </c>
      <c r="D2920" s="1841">
        <v>7.8E-2</v>
      </c>
      <c r="E2920" s="413" t="s">
        <v>2069</v>
      </c>
      <c r="F2920" s="1883">
        <f>'Bahan &amp; Upah'!C$339</f>
        <v>102689.88</v>
      </c>
      <c r="G2920" s="1785">
        <f>F2920*D2920</f>
        <v>8009.8106400000006</v>
      </c>
      <c r="H2920" s="1980">
        <v>1</v>
      </c>
      <c r="I2920" s="1982">
        <f>(G2920/G$2926)*H2920</f>
        <v>1.6540510169501005E-3</v>
      </c>
      <c r="J2920" s="1981"/>
    </row>
    <row r="2921" spans="1:10" ht="15.75" customHeight="1">
      <c r="A2921" s="1780"/>
      <c r="B2921" s="1739"/>
      <c r="C2921" s="1889" t="s">
        <v>2108</v>
      </c>
      <c r="D2921" s="1841"/>
      <c r="E2921" s="413"/>
      <c r="F2921" s="320"/>
      <c r="G2921" s="361">
        <f>SUM(G2917:G2920)</f>
        <v>437563.20863999997</v>
      </c>
      <c r="H2921" s="1980"/>
      <c r="I2921" s="1983">
        <f>SUM(I2917:I2920)</f>
        <v>9.0358174838318123E-2</v>
      </c>
      <c r="J2921" s="1981"/>
    </row>
    <row r="2922" spans="1:10" ht="15.75" customHeight="1">
      <c r="A2922" s="1780"/>
      <c r="B2922" s="1739" t="s">
        <v>1015</v>
      </c>
      <c r="C2922" s="1877" t="s">
        <v>2075</v>
      </c>
      <c r="D2922" s="1841"/>
      <c r="E2922" s="413"/>
      <c r="F2922" s="320"/>
      <c r="G2922" s="320"/>
      <c r="H2922" s="1980"/>
      <c r="I2922" s="1980"/>
      <c r="J2922" s="1981"/>
    </row>
    <row r="2923" spans="1:10" ht="15.75" customHeight="1">
      <c r="A2923" s="1780"/>
      <c r="B2923" s="1739"/>
      <c r="C2923" s="1878" t="s">
        <v>2860</v>
      </c>
      <c r="D2923" s="1841">
        <v>1.05</v>
      </c>
      <c r="E2923" s="413" t="s">
        <v>124</v>
      </c>
      <c r="F2923" s="1883">
        <f>'Bahan &amp; Upah'!C$380</f>
        <v>929219.77</v>
      </c>
      <c r="G2923" s="332">
        <f>F2923*D2923</f>
        <v>975680.75850000011</v>
      </c>
      <c r="H2923" s="2015">
        <v>0.31159999999999999</v>
      </c>
      <c r="I2923" s="1980">
        <f>(G2923/G$2926)*H2923</f>
        <v>6.2781522130232498E-2</v>
      </c>
      <c r="J2923" s="1981"/>
    </row>
    <row r="2924" spans="1:10" ht="27.75" customHeight="1">
      <c r="A2924" s="1780"/>
      <c r="B2924" s="1739"/>
      <c r="C2924" s="2045" t="s">
        <v>2863</v>
      </c>
      <c r="D2924" s="1841">
        <v>1.05</v>
      </c>
      <c r="E2924" s="413" t="s">
        <v>124</v>
      </c>
      <c r="F2924" s="1883">
        <f>'Bahan &amp; Upah'!C265</f>
        <v>3265997.62</v>
      </c>
      <c r="G2924" s="1794">
        <f>F2924*D2924</f>
        <v>3429297.5010000002</v>
      </c>
      <c r="H2924" s="2015">
        <v>0.46379999999999999</v>
      </c>
      <c r="I2924" s="1982">
        <f>(G2924/G$2926)*H2924</f>
        <v>0.32844492740600267</v>
      </c>
      <c r="J2924" s="1981"/>
    </row>
    <row r="2925" spans="1:10" ht="15.75" customHeight="1">
      <c r="A2925" s="1780"/>
      <c r="B2925" s="1784"/>
      <c r="C2925" s="1878"/>
      <c r="D2925" s="1841"/>
      <c r="E2925" s="413"/>
      <c r="F2925" s="1883"/>
      <c r="G2925" s="361">
        <f>SUM(G2923:G2924)</f>
        <v>4404978.2595000006</v>
      </c>
      <c r="H2925" s="2015"/>
      <c r="I2925" s="2017">
        <f>SUM(I2923:I2924)</f>
        <v>0.3912264495362352</v>
      </c>
      <c r="J2925" s="1981"/>
    </row>
    <row r="2926" spans="1:10" ht="15.75" customHeight="1">
      <c r="A2926" s="1780"/>
      <c r="B2926" s="1784"/>
      <c r="C2926" s="1804" t="s">
        <v>2298</v>
      </c>
      <c r="D2926" s="1763"/>
      <c r="E2926" s="1764"/>
      <c r="F2926" s="1765"/>
      <c r="G2926" s="1765">
        <f>G2921+G2925</f>
        <v>4842541.4681400005</v>
      </c>
      <c r="H2926" s="2015"/>
      <c r="I2926" s="2018">
        <f>I2921+I2925</f>
        <v>0.48158462437455329</v>
      </c>
      <c r="J2926" s="1981"/>
    </row>
    <row r="2927" spans="1:10" ht="15.75" customHeight="1">
      <c r="A2927" s="1780"/>
      <c r="B2927" s="1784"/>
      <c r="C2927" s="1762" t="s">
        <v>2094</v>
      </c>
      <c r="D2927" s="1767">
        <f>M$4</f>
        <v>0.15</v>
      </c>
      <c r="E2927" s="1768"/>
      <c r="F2927" s="1765"/>
      <c r="G2927" s="1765">
        <f>G2926*D2927</f>
        <v>726381.22022100003</v>
      </c>
      <c r="H2927" s="2015"/>
      <c r="I2927" s="2015"/>
      <c r="J2927" s="1981"/>
    </row>
    <row r="2928" spans="1:10" ht="15.75" customHeight="1">
      <c r="A2928" s="1786"/>
      <c r="B2928" s="1890"/>
      <c r="C2928" s="1788" t="s">
        <v>2111</v>
      </c>
      <c r="D2928" s="1772"/>
      <c r="E2928" s="1773"/>
      <c r="F2928" s="1774"/>
      <c r="G2928" s="1861">
        <f>ROUNDUP((G2926+G2927),2)</f>
        <v>5568922.6899999995</v>
      </c>
      <c r="H2928" s="2019"/>
      <c r="I2928" s="2019"/>
      <c r="J2928" s="1986"/>
    </row>
    <row r="2929" spans="1:12" ht="15.75" customHeight="1">
      <c r="A2929" s="1733"/>
      <c r="B2929" s="1733"/>
      <c r="C2929" s="1733"/>
      <c r="D2929" s="1733"/>
      <c r="E2929" s="1733"/>
      <c r="F2929" s="1733"/>
      <c r="G2929" s="1733"/>
      <c r="H2929" s="1733"/>
      <c r="I2929" s="1733"/>
      <c r="J2929" s="1733"/>
    </row>
    <row r="2930" spans="1:12" ht="15.75" customHeight="1">
      <c r="A2930" s="1778">
        <f>A2915+1</f>
        <v>159</v>
      </c>
      <c r="B2930" s="1871" t="s">
        <v>2858</v>
      </c>
      <c r="C2930" s="1872" t="s">
        <v>2864</v>
      </c>
      <c r="D2930" s="1873"/>
      <c r="E2930" s="1874"/>
      <c r="F2930" s="1875"/>
      <c r="G2930" s="1875"/>
      <c r="H2930" s="1800"/>
      <c r="I2930" s="1800"/>
      <c r="J2930" s="1801"/>
    </row>
    <row r="2931" spans="1:12" ht="15.75" customHeight="1">
      <c r="A2931" s="1780"/>
      <c r="B2931" s="1739" t="s">
        <v>1004</v>
      </c>
      <c r="C2931" s="1877" t="s">
        <v>2067</v>
      </c>
      <c r="D2931" s="390"/>
      <c r="E2931" s="413"/>
      <c r="F2931" s="320"/>
      <c r="G2931" s="320"/>
      <c r="H2931" s="1802"/>
      <c r="I2931" s="1802"/>
      <c r="J2931" s="1803"/>
    </row>
    <row r="2932" spans="1:12" ht="15.75" customHeight="1">
      <c r="A2932" s="1780"/>
      <c r="B2932" s="1739"/>
      <c r="C2932" s="1878" t="s">
        <v>2103</v>
      </c>
      <c r="D2932" s="1841">
        <v>1.395</v>
      </c>
      <c r="E2932" s="413" t="s">
        <v>2069</v>
      </c>
      <c r="F2932" s="1747">
        <f>'Bahan &amp; Upah'!C$336</f>
        <v>96332.65</v>
      </c>
      <c r="G2932" s="332">
        <f>F2932*D2932</f>
        <v>134384.04674999998</v>
      </c>
      <c r="H2932" s="1980">
        <v>1</v>
      </c>
      <c r="I2932" s="1980">
        <f>(G2932/G$2941)*H2932</f>
        <v>1.6938366340247195E-2</v>
      </c>
      <c r="J2932" s="1803"/>
    </row>
    <row r="2933" spans="1:12" ht="15.75" customHeight="1">
      <c r="A2933" s="1780"/>
      <c r="B2933" s="1739"/>
      <c r="C2933" s="1878" t="s">
        <v>2818</v>
      </c>
      <c r="D2933" s="1841">
        <v>2.33</v>
      </c>
      <c r="E2933" s="413" t="s">
        <v>2069</v>
      </c>
      <c r="F2933" s="1883">
        <f>'Bahan &amp; Upah'!C$337</f>
        <v>114133.55</v>
      </c>
      <c r="G2933" s="332">
        <f>F2933*D2933</f>
        <v>265931.1715</v>
      </c>
      <c r="H2933" s="1980">
        <v>1</v>
      </c>
      <c r="I2933" s="1980">
        <f>(G2933/G$2941)*H2933</f>
        <v>3.3519154342314852E-2</v>
      </c>
      <c r="J2933" s="1803"/>
    </row>
    <row r="2934" spans="1:12" ht="15.75" customHeight="1">
      <c r="A2934" s="1780"/>
      <c r="B2934" s="1739"/>
      <c r="C2934" s="1878" t="s">
        <v>2072</v>
      </c>
      <c r="D2934" s="1841">
        <v>0.23300000000000001</v>
      </c>
      <c r="E2934" s="413" t="s">
        <v>2069</v>
      </c>
      <c r="F2934" s="1748">
        <f>'Bahan &amp; Upah'!C$338</f>
        <v>125485.75</v>
      </c>
      <c r="G2934" s="332">
        <f>F2934*D2934</f>
        <v>29238.179750000003</v>
      </c>
      <c r="H2934" s="1980">
        <v>1</v>
      </c>
      <c r="I2934" s="1980">
        <f>(G2934/G$2941)*H2934</f>
        <v>3.6853109554650112E-3</v>
      </c>
      <c r="J2934" s="1803"/>
    </row>
    <row r="2935" spans="1:12" ht="15.75" customHeight="1">
      <c r="A2935" s="1780"/>
      <c r="B2935" s="1739"/>
      <c r="C2935" s="1878" t="s">
        <v>2107</v>
      </c>
      <c r="D2935" s="1841">
        <v>7.8E-2</v>
      </c>
      <c r="E2935" s="413" t="s">
        <v>2069</v>
      </c>
      <c r="F2935" s="1883">
        <f>'Bahan &amp; Upah'!C$339</f>
        <v>102689.88</v>
      </c>
      <c r="G2935" s="1785">
        <f>F2935*D2935</f>
        <v>8009.8106400000006</v>
      </c>
      <c r="H2935" s="1980">
        <v>1</v>
      </c>
      <c r="I2935" s="1982">
        <f>(G2935/G$2941)*H2935</f>
        <v>1.0095923602354969E-3</v>
      </c>
      <c r="J2935" s="1981"/>
    </row>
    <row r="2936" spans="1:12" ht="15.75" customHeight="1">
      <c r="A2936" s="1780"/>
      <c r="B2936" s="1739"/>
      <c r="C2936" s="1889" t="s">
        <v>2108</v>
      </c>
      <c r="D2936" s="1841"/>
      <c r="E2936" s="413"/>
      <c r="F2936" s="320"/>
      <c r="G2936" s="361">
        <f>SUM(G2932:G2935)</f>
        <v>437563.20863999997</v>
      </c>
      <c r="H2936" s="1980"/>
      <c r="I2936" s="1983">
        <f>SUM(I2932:I2935)</f>
        <v>5.5152423998262555E-2</v>
      </c>
      <c r="J2936" s="1981"/>
    </row>
    <row r="2937" spans="1:12" ht="15.75" customHeight="1">
      <c r="A2937" s="1780"/>
      <c r="B2937" s="1739" t="s">
        <v>1015</v>
      </c>
      <c r="C2937" s="1877" t="s">
        <v>2075</v>
      </c>
      <c r="D2937" s="1841"/>
      <c r="E2937" s="413"/>
      <c r="F2937" s="320"/>
      <c r="G2937" s="320"/>
      <c r="H2937" s="1980"/>
      <c r="I2937" s="1980"/>
      <c r="J2937" s="1981"/>
    </row>
    <row r="2938" spans="1:12" ht="15.75" customHeight="1">
      <c r="A2938" s="1780"/>
      <c r="B2938" s="1739"/>
      <c r="C2938" s="1878" t="s">
        <v>2860</v>
      </c>
      <c r="D2938" s="1841">
        <v>1.05</v>
      </c>
      <c r="E2938" s="413" t="s">
        <v>124</v>
      </c>
      <c r="F2938" s="1883">
        <f>'Bahan &amp; Upah'!C$380</f>
        <v>929219.77</v>
      </c>
      <c r="G2938" s="332">
        <f>F2938*D2938</f>
        <v>975680.75850000011</v>
      </c>
      <c r="H2938" s="2015">
        <v>0.31159999999999999</v>
      </c>
      <c r="I2938" s="2015">
        <f>(G2938/G$2941)*H2938</f>
        <v>3.8320308416793333E-2</v>
      </c>
      <c r="J2938" s="1981"/>
    </row>
    <row r="2939" spans="1:12" ht="42" customHeight="1">
      <c r="A2939" s="1780"/>
      <c r="B2939" s="1739"/>
      <c r="C2939" s="2045" t="s">
        <v>2865</v>
      </c>
      <c r="D2939" s="1841">
        <v>1.05</v>
      </c>
      <c r="E2939" s="413" t="s">
        <v>124</v>
      </c>
      <c r="F2939" s="1883">
        <f>'Bahan &amp; Upah'!C263</f>
        <v>6209965.4199999999</v>
      </c>
      <c r="G2939" s="1794">
        <f>F2939*D2939</f>
        <v>6520463.6910000006</v>
      </c>
      <c r="H2939" s="2015">
        <v>0.46379999999999999</v>
      </c>
      <c r="I2939" s="2016">
        <f>(G2939/G$2941)*H2939</f>
        <v>0.38118256812538004</v>
      </c>
      <c r="J2939" s="1981"/>
      <c r="L2939" s="496"/>
    </row>
    <row r="2940" spans="1:12" ht="15.75" customHeight="1">
      <c r="A2940" s="1780"/>
      <c r="B2940" s="1784"/>
      <c r="C2940" s="1878"/>
      <c r="D2940" s="1841"/>
      <c r="E2940" s="413"/>
      <c r="F2940" s="1883"/>
      <c r="G2940" s="361">
        <f>SUM(G2938:G2939)</f>
        <v>7496144.449500001</v>
      </c>
      <c r="H2940" s="2015"/>
      <c r="I2940" s="2017">
        <f>SUM(I2938:I2939)</f>
        <v>0.41950287654217339</v>
      </c>
      <c r="J2940" s="1981"/>
    </row>
    <row r="2941" spans="1:12" ht="15.75" customHeight="1">
      <c r="A2941" s="1780"/>
      <c r="B2941" s="1784"/>
      <c r="C2941" s="1804" t="s">
        <v>2298</v>
      </c>
      <c r="D2941" s="1763"/>
      <c r="E2941" s="1764"/>
      <c r="F2941" s="1765"/>
      <c r="G2941" s="1765">
        <f>G2936+G2940</f>
        <v>7933707.6581400009</v>
      </c>
      <c r="H2941" s="2015"/>
      <c r="I2941" s="2018">
        <f>I2936+I2940</f>
        <v>0.47465530054043592</v>
      </c>
      <c r="J2941" s="1981"/>
    </row>
    <row r="2942" spans="1:12" ht="15.75" customHeight="1">
      <c r="A2942" s="1780"/>
      <c r="B2942" s="1784"/>
      <c r="C2942" s="1762" t="s">
        <v>2094</v>
      </c>
      <c r="D2942" s="1767">
        <f>M$4</f>
        <v>0.15</v>
      </c>
      <c r="E2942" s="1768"/>
      <c r="F2942" s="1765"/>
      <c r="G2942" s="1765">
        <f>G2941*D2942</f>
        <v>1190056.1487210002</v>
      </c>
      <c r="H2942" s="2015"/>
      <c r="I2942" s="2015"/>
      <c r="J2942" s="1981"/>
    </row>
    <row r="2943" spans="1:12" ht="15.75" customHeight="1">
      <c r="A2943" s="1786"/>
      <c r="B2943" s="1890"/>
      <c r="C2943" s="1788" t="s">
        <v>2111</v>
      </c>
      <c r="D2943" s="1772"/>
      <c r="E2943" s="1773"/>
      <c r="F2943" s="1774"/>
      <c r="G2943" s="1861">
        <f>ROUNDUP((G2941+G2942),2)</f>
        <v>9123763.8100000005</v>
      </c>
      <c r="H2943" s="2019"/>
      <c r="I2943" s="2019"/>
      <c r="J2943" s="1986"/>
    </row>
    <row r="2944" spans="1:12" ht="15.75" customHeight="1">
      <c r="A2944" s="1733"/>
      <c r="B2944" s="1733"/>
      <c r="C2944" s="1733"/>
      <c r="D2944" s="1733"/>
      <c r="E2944" s="1733"/>
      <c r="F2944" s="1733"/>
      <c r="G2944" s="1733"/>
      <c r="H2944" s="1733"/>
      <c r="I2944" s="1733"/>
      <c r="J2944" s="1733"/>
    </row>
    <row r="2945" spans="1:10" ht="30" customHeight="1">
      <c r="A2945" s="1778">
        <f>A2930+1</f>
        <v>160</v>
      </c>
      <c r="B2945" s="1871" t="s">
        <v>2866</v>
      </c>
      <c r="C2945" s="1872" t="s">
        <v>2867</v>
      </c>
      <c r="D2945" s="1873"/>
      <c r="E2945" s="1874"/>
      <c r="F2945" s="1875"/>
      <c r="G2945" s="1875"/>
      <c r="H2945" s="1800"/>
      <c r="I2945" s="1800"/>
      <c r="J2945" s="1801"/>
    </row>
    <row r="2946" spans="1:10" ht="15.75" customHeight="1">
      <c r="A2946" s="1780"/>
      <c r="B2946" s="1739" t="s">
        <v>1004</v>
      </c>
      <c r="C2946" s="1877" t="s">
        <v>2067</v>
      </c>
      <c r="D2946" s="390"/>
      <c r="E2946" s="413"/>
      <c r="F2946" s="320"/>
      <c r="G2946" s="320"/>
      <c r="H2946" s="1802"/>
      <c r="I2946" s="1802"/>
      <c r="J2946" s="1803"/>
    </row>
    <row r="2947" spans="1:10" ht="15.75" customHeight="1">
      <c r="A2947" s="1780"/>
      <c r="B2947" s="1739"/>
      <c r="C2947" s="1878" t="s">
        <v>2868</v>
      </c>
      <c r="D2947" s="1841"/>
      <c r="E2947" s="413"/>
      <c r="F2947" s="1747"/>
      <c r="G2947" s="332"/>
      <c r="H2947" s="1980"/>
      <c r="I2947" s="1980"/>
      <c r="J2947" s="1803"/>
    </row>
    <row r="2948" spans="1:10" ht="15.75" customHeight="1">
      <c r="A2948" s="1780"/>
      <c r="B2948" s="1739"/>
      <c r="C2948" s="1878" t="s">
        <v>2869</v>
      </c>
      <c r="D2948" s="1841">
        <v>1</v>
      </c>
      <c r="E2948" s="413" t="s">
        <v>124</v>
      </c>
      <c r="F2948" s="1883">
        <v>32062.46</v>
      </c>
      <c r="G2948" s="332">
        <f>F2948*D2948</f>
        <v>32062.46</v>
      </c>
      <c r="H2948" s="1980">
        <v>1</v>
      </c>
      <c r="I2948" s="1980">
        <f>(G2948/G$2953)*H2948</f>
        <v>4.9506049484283006E-2</v>
      </c>
      <c r="J2948" s="1803"/>
    </row>
    <row r="2949" spans="1:10" ht="15.75" customHeight="1">
      <c r="A2949" s="1780"/>
      <c r="B2949" s="1739"/>
      <c r="C2949" s="1878" t="s">
        <v>2870</v>
      </c>
      <c r="D2949" s="1841">
        <v>1</v>
      </c>
      <c r="E2949" s="413" t="s">
        <v>2239</v>
      </c>
      <c r="F2949" s="1883">
        <f>'Bahan &amp; Upah'!C352/20</f>
        <v>615584.85450000002</v>
      </c>
      <c r="G2949" s="1794">
        <f>F2949*D2949</f>
        <v>615584.85450000002</v>
      </c>
      <c r="H2949" s="1980">
        <v>1</v>
      </c>
      <c r="I2949" s="1982">
        <f>(G2949/G$2953)*H2949</f>
        <v>0.95049395051571706</v>
      </c>
      <c r="J2949" s="1803"/>
    </row>
    <row r="2950" spans="1:10" ht="15.75" customHeight="1">
      <c r="A2950" s="1780"/>
      <c r="B2950" s="1739"/>
      <c r="C2950" s="1889" t="s">
        <v>2108</v>
      </c>
      <c r="D2950" s="1841"/>
      <c r="E2950" s="413"/>
      <c r="F2950" s="320"/>
      <c r="G2950" s="361">
        <f>SUM(G2948:G2949)</f>
        <v>647647.31449999998</v>
      </c>
      <c r="H2950" s="1980"/>
      <c r="I2950" s="1983">
        <f>SUM(I2948:I2949)</f>
        <v>1</v>
      </c>
      <c r="J2950" s="1981"/>
    </row>
    <row r="2951" spans="1:10" ht="15.75" customHeight="1">
      <c r="A2951" s="1780"/>
      <c r="B2951" s="1739" t="s">
        <v>1015</v>
      </c>
      <c r="C2951" s="1877" t="s">
        <v>2075</v>
      </c>
      <c r="D2951" s="1841"/>
      <c r="E2951" s="413"/>
      <c r="F2951" s="320"/>
      <c r="G2951" s="320"/>
      <c r="H2951" s="1980"/>
      <c r="I2951" s="1980"/>
      <c r="J2951" s="1981"/>
    </row>
    <row r="2952" spans="1:10" ht="15.75" customHeight="1">
      <c r="A2952" s="1780"/>
      <c r="B2952" s="1784"/>
      <c r="C2952" s="1878"/>
      <c r="D2952" s="1841"/>
      <c r="E2952" s="413"/>
      <c r="F2952" s="1883"/>
      <c r="G2952" s="361"/>
      <c r="H2952" s="2015"/>
      <c r="I2952" s="2017"/>
      <c r="J2952" s="1981"/>
    </row>
    <row r="2953" spans="1:10" ht="15.75" customHeight="1">
      <c r="A2953" s="1780"/>
      <c r="B2953" s="1784"/>
      <c r="C2953" s="1804" t="s">
        <v>2298</v>
      </c>
      <c r="D2953" s="1763"/>
      <c r="E2953" s="1764"/>
      <c r="F2953" s="1765"/>
      <c r="G2953" s="1765">
        <f>G2950+G2952</f>
        <v>647647.31449999998</v>
      </c>
      <c r="H2953" s="2015"/>
      <c r="I2953" s="2018">
        <f>I2950+I2952</f>
        <v>1</v>
      </c>
      <c r="J2953" s="1981"/>
    </row>
    <row r="2954" spans="1:10" ht="15.75" customHeight="1">
      <c r="A2954" s="1780"/>
      <c r="B2954" s="1784"/>
      <c r="C2954" s="1762" t="s">
        <v>2094</v>
      </c>
      <c r="D2954" s="1767">
        <f>M$4</f>
        <v>0.15</v>
      </c>
      <c r="E2954" s="1768"/>
      <c r="F2954" s="1765"/>
      <c r="G2954" s="1765">
        <f>G2953*D2954</f>
        <v>97147.097174999988</v>
      </c>
      <c r="H2954" s="2015"/>
      <c r="I2954" s="2015"/>
      <c r="J2954" s="1981"/>
    </row>
    <row r="2955" spans="1:10" ht="15.75" customHeight="1">
      <c r="A2955" s="1786"/>
      <c r="B2955" s="1890"/>
      <c r="C2955" s="1788" t="s">
        <v>2111</v>
      </c>
      <c r="D2955" s="1772"/>
      <c r="E2955" s="1773"/>
      <c r="F2955" s="1774"/>
      <c r="G2955" s="1861">
        <f>ROUNDUP((G2953+G2954),2)</f>
        <v>744794.42</v>
      </c>
      <c r="H2955" s="2019"/>
      <c r="I2955" s="2019"/>
      <c r="J2955" s="1986"/>
    </row>
    <row r="2956" spans="1:10" ht="15.75" customHeight="1">
      <c r="A2956" s="1733"/>
      <c r="B2956" s="1733"/>
      <c r="C2956" s="1733"/>
      <c r="D2956" s="1733"/>
      <c r="E2956" s="1733"/>
      <c r="F2956" s="1733"/>
      <c r="G2956" s="1733"/>
      <c r="H2956" s="1733"/>
      <c r="I2956" s="1733"/>
      <c r="J2956" s="1733"/>
    </row>
    <row r="2957" spans="1:10" ht="15.75" customHeight="1">
      <c r="A2957" s="1778">
        <f>A2945+1</f>
        <v>161</v>
      </c>
      <c r="B2957" s="1871" t="s">
        <v>2858</v>
      </c>
      <c r="C2957" s="1872" t="s">
        <v>2871</v>
      </c>
      <c r="D2957" s="1873"/>
      <c r="E2957" s="1874"/>
      <c r="F2957" s="1875"/>
      <c r="G2957" s="1875"/>
      <c r="H2957" s="1800"/>
      <c r="I2957" s="1800"/>
      <c r="J2957" s="1801"/>
    </row>
    <row r="2958" spans="1:10" ht="15.75" customHeight="1">
      <c r="A2958" s="1780"/>
      <c r="B2958" s="1739" t="s">
        <v>1004</v>
      </c>
      <c r="C2958" s="1877" t="s">
        <v>2067</v>
      </c>
      <c r="D2958" s="390"/>
      <c r="E2958" s="413"/>
      <c r="F2958" s="320"/>
      <c r="G2958" s="320"/>
      <c r="H2958" s="1802"/>
      <c r="I2958" s="1802"/>
      <c r="J2958" s="1803"/>
    </row>
    <row r="2959" spans="1:10" ht="15.75" customHeight="1">
      <c r="A2959" s="1780"/>
      <c r="B2959" s="1739"/>
      <c r="C2959" s="1878" t="s">
        <v>2103</v>
      </c>
      <c r="D2959" s="1841">
        <v>1.395</v>
      </c>
      <c r="E2959" s="413" t="s">
        <v>2069</v>
      </c>
      <c r="F2959" s="1747">
        <f>'Bahan &amp; Upah'!C$336</f>
        <v>96332.65</v>
      </c>
      <c r="G2959" s="332">
        <f>F2959*D2959</f>
        <v>134384.04674999998</v>
      </c>
      <c r="H2959" s="1980">
        <v>1</v>
      </c>
      <c r="I2959" s="1980">
        <f>(G2959/G$2967)*H2959</f>
        <v>2.8559108975330465E-2</v>
      </c>
      <c r="J2959" s="1803"/>
    </row>
    <row r="2960" spans="1:10" ht="15.75" customHeight="1">
      <c r="A2960" s="1780"/>
      <c r="B2960" s="1739"/>
      <c r="C2960" s="1878" t="s">
        <v>2818</v>
      </c>
      <c r="D2960" s="1841">
        <v>2.33</v>
      </c>
      <c r="E2960" s="413" t="s">
        <v>2069</v>
      </c>
      <c r="F2960" s="1883">
        <f>'Bahan &amp; Upah'!C$337</f>
        <v>114133.55</v>
      </c>
      <c r="G2960" s="332">
        <f>F2960*D2960</f>
        <v>265931.1715</v>
      </c>
      <c r="H2960" s="1980">
        <v>1</v>
      </c>
      <c r="I2960" s="1980">
        <f>(G2960/G$2967)*H2960</f>
        <v>5.6515319269515869E-2</v>
      </c>
      <c r="J2960" s="1803"/>
    </row>
    <row r="2961" spans="1:10" ht="15.75" customHeight="1">
      <c r="A2961" s="1780"/>
      <c r="B2961" s="1739"/>
      <c r="C2961" s="1878" t="s">
        <v>2072</v>
      </c>
      <c r="D2961" s="1841">
        <v>0.23300000000000001</v>
      </c>
      <c r="E2961" s="413" t="s">
        <v>2069</v>
      </c>
      <c r="F2961" s="1748">
        <f>'Bahan &amp; Upah'!C$338</f>
        <v>125485.75</v>
      </c>
      <c r="G2961" s="332">
        <f>F2961*D2961</f>
        <v>29238.179750000003</v>
      </c>
      <c r="H2961" s="1980">
        <v>1</v>
      </c>
      <c r="I2961" s="1980">
        <f>(G2961/G$2967)*H2961</f>
        <v>6.2136569177289689E-3</v>
      </c>
      <c r="J2961" s="1803"/>
    </row>
    <row r="2962" spans="1:10" ht="15.75" customHeight="1">
      <c r="A2962" s="1780"/>
      <c r="B2962" s="1739"/>
      <c r="C2962" s="1878" t="s">
        <v>2107</v>
      </c>
      <c r="D2962" s="1841">
        <v>7.8E-2</v>
      </c>
      <c r="E2962" s="413" t="s">
        <v>2069</v>
      </c>
      <c r="F2962" s="1883">
        <f>'Bahan &amp; Upah'!C$339</f>
        <v>102689.88</v>
      </c>
      <c r="G2962" s="1785">
        <f>F2962*D2962</f>
        <v>8009.8106400000006</v>
      </c>
      <c r="H2962" s="1980">
        <v>1</v>
      </c>
      <c r="I2962" s="1982">
        <f>(G2962/G$2967)*H2962</f>
        <v>1.7022337135380358E-3</v>
      </c>
      <c r="J2962" s="1981"/>
    </row>
    <row r="2963" spans="1:10" ht="15.75" customHeight="1">
      <c r="A2963" s="1780"/>
      <c r="B2963" s="1739"/>
      <c r="C2963" s="1889" t="s">
        <v>2108</v>
      </c>
      <c r="D2963" s="1841"/>
      <c r="E2963" s="413"/>
      <c r="F2963" s="320"/>
      <c r="G2963" s="361">
        <f>SUM(G2959:G2962)</f>
        <v>437563.20863999997</v>
      </c>
      <c r="H2963" s="1980"/>
      <c r="I2963" s="1983">
        <f>SUM(I2959:I2962)</f>
        <v>9.2990318876113337E-2</v>
      </c>
      <c r="J2963" s="1981"/>
    </row>
    <row r="2964" spans="1:10" ht="15.75" customHeight="1">
      <c r="A2964" s="1780"/>
      <c r="B2964" s="1739" t="s">
        <v>1015</v>
      </c>
      <c r="C2964" s="1877" t="s">
        <v>2075</v>
      </c>
      <c r="D2964" s="1841"/>
      <c r="E2964" s="413"/>
      <c r="F2964" s="320"/>
      <c r="G2964" s="320"/>
      <c r="H2964" s="1980"/>
      <c r="I2964" s="1980"/>
      <c r="J2964" s="1981"/>
    </row>
    <row r="2965" spans="1:10" ht="15.75" customHeight="1">
      <c r="A2965" s="1780"/>
      <c r="B2965" s="1739"/>
      <c r="C2965" s="1878" t="s">
        <v>2872</v>
      </c>
      <c r="D2965" s="1841">
        <v>1</v>
      </c>
      <c r="E2965" s="413" t="s">
        <v>360</v>
      </c>
      <c r="F2965" s="1883">
        <f>'Bahan &amp; Upah'!C266</f>
        <v>4267907.3600000003</v>
      </c>
      <c r="G2965" s="1794">
        <f>F2965*D2965</f>
        <v>4267907.3600000003</v>
      </c>
      <c r="H2965" s="2015">
        <v>0.31159999999999999</v>
      </c>
      <c r="I2965" s="1982">
        <f>(G2965/G$2967)*H2965</f>
        <v>0.28262421663820309</v>
      </c>
      <c r="J2965" s="1981"/>
    </row>
    <row r="2966" spans="1:10" ht="15.75" customHeight="1">
      <c r="A2966" s="1780"/>
      <c r="B2966" s="1784"/>
      <c r="C2966" s="1878"/>
      <c r="D2966" s="1841"/>
      <c r="E2966" s="413"/>
      <c r="F2966" s="1883"/>
      <c r="G2966" s="361">
        <f>SUM(G2965:G2965)</f>
        <v>4267907.3600000003</v>
      </c>
      <c r="H2966" s="2015"/>
      <c r="I2966" s="2017">
        <f>SUM(I2965:I2965)</f>
        <v>0.28262421663820309</v>
      </c>
      <c r="J2966" s="1981"/>
    </row>
    <row r="2967" spans="1:10" ht="15.75" customHeight="1">
      <c r="A2967" s="1780"/>
      <c r="B2967" s="1784"/>
      <c r="C2967" s="1804" t="s">
        <v>2298</v>
      </c>
      <c r="D2967" s="1763"/>
      <c r="E2967" s="1764"/>
      <c r="F2967" s="1765"/>
      <c r="G2967" s="1765">
        <f>G2963+G2966</f>
        <v>4705470.5686400002</v>
      </c>
      <c r="H2967" s="2015"/>
      <c r="I2967" s="2018">
        <f>I2963+I2966</f>
        <v>0.37561453551431645</v>
      </c>
      <c r="J2967" s="1981"/>
    </row>
    <row r="2968" spans="1:10" ht="15.75" customHeight="1">
      <c r="A2968" s="1780"/>
      <c r="B2968" s="1784"/>
      <c r="C2968" s="1762" t="s">
        <v>2094</v>
      </c>
      <c r="D2968" s="1767">
        <f>M$4</f>
        <v>0.15</v>
      </c>
      <c r="E2968" s="1768"/>
      <c r="F2968" s="1765"/>
      <c r="G2968" s="1765">
        <f>G2967*D2968</f>
        <v>705820.585296</v>
      </c>
      <c r="H2968" s="2015"/>
      <c r="I2968" s="2015"/>
      <c r="J2968" s="1981"/>
    </row>
    <row r="2969" spans="1:10" ht="15.75" customHeight="1">
      <c r="A2969" s="1786"/>
      <c r="B2969" s="1890"/>
      <c r="C2969" s="1788" t="s">
        <v>2111</v>
      </c>
      <c r="D2969" s="1772"/>
      <c r="E2969" s="1773"/>
      <c r="F2969" s="1774"/>
      <c r="G2969" s="1861">
        <f>ROUNDUP((G2967+G2968),2)</f>
        <v>5411291.1600000001</v>
      </c>
      <c r="H2969" s="2019"/>
      <c r="I2969" s="2019"/>
      <c r="J2969" s="1986"/>
    </row>
    <row r="2970" spans="1:10" ht="15.75" customHeight="1">
      <c r="A2970" s="1733"/>
      <c r="B2970" s="1733"/>
      <c r="C2970" s="1733"/>
      <c r="D2970" s="1733"/>
      <c r="E2970" s="1733"/>
      <c r="F2970" s="1733"/>
      <c r="G2970" s="1733"/>
      <c r="H2970" s="1733"/>
      <c r="I2970" s="1733"/>
      <c r="J2970" s="1733"/>
    </row>
    <row r="2971" spans="1:10" ht="15.75" customHeight="1">
      <c r="A2971" s="1778">
        <f>A2957+1</f>
        <v>162</v>
      </c>
      <c r="B2971" s="1871" t="s">
        <v>2873</v>
      </c>
      <c r="C2971" s="1872" t="s">
        <v>2874</v>
      </c>
      <c r="D2971" s="1873"/>
      <c r="E2971" s="1874"/>
      <c r="F2971" s="1875"/>
      <c r="G2971" s="1875"/>
      <c r="H2971" s="1800"/>
      <c r="I2971" s="1800"/>
      <c r="J2971" s="1801"/>
    </row>
    <row r="2972" spans="1:10" ht="15.75" customHeight="1">
      <c r="A2972" s="1780"/>
      <c r="B2972" s="1739" t="s">
        <v>1004</v>
      </c>
      <c r="C2972" s="1877" t="s">
        <v>2067</v>
      </c>
      <c r="D2972" s="390"/>
      <c r="E2972" s="413"/>
      <c r="F2972" s="320"/>
      <c r="G2972" s="320"/>
      <c r="H2972" s="1802"/>
      <c r="I2972" s="1802"/>
      <c r="J2972" s="1803"/>
    </row>
    <row r="2973" spans="1:10" ht="15.75" customHeight="1">
      <c r="A2973" s="1780"/>
      <c r="B2973" s="1739"/>
      <c r="C2973" s="1878" t="s">
        <v>2103</v>
      </c>
      <c r="D2973" s="1841">
        <v>1</v>
      </c>
      <c r="E2973" s="413" t="s">
        <v>2069</v>
      </c>
      <c r="F2973" s="1747">
        <f>'Bahan &amp; Upah'!C$336</f>
        <v>96332.65</v>
      </c>
      <c r="G2973" s="332">
        <f>F2973*D2973</f>
        <v>96332.65</v>
      </c>
      <c r="H2973" s="1980">
        <v>1</v>
      </c>
      <c r="I2973" s="1980">
        <f>(G2973/G$2982)*H2973</f>
        <v>9.7334252208591612E-2</v>
      </c>
      <c r="J2973" s="1803"/>
    </row>
    <row r="2974" spans="1:10" ht="15.75" customHeight="1">
      <c r="A2974" s="1780"/>
      <c r="B2974" s="1739"/>
      <c r="C2974" s="1878" t="s">
        <v>2483</v>
      </c>
      <c r="D2974" s="1841">
        <v>0.5</v>
      </c>
      <c r="E2974" s="413" t="s">
        <v>2069</v>
      </c>
      <c r="F2974" s="1883">
        <f>'Bahan &amp; Upah'!C$337</f>
        <v>114133.55</v>
      </c>
      <c r="G2974" s="332">
        <f>F2974*D2974</f>
        <v>57066.775000000001</v>
      </c>
      <c r="H2974" s="1980">
        <v>1</v>
      </c>
      <c r="I2974" s="1980">
        <f>(G2974/G$2982)*H2974</f>
        <v>5.7660117006860613E-2</v>
      </c>
      <c r="J2974" s="1803"/>
    </row>
    <row r="2975" spans="1:10" ht="15.75" customHeight="1">
      <c r="A2975" s="1780"/>
      <c r="B2975" s="1739"/>
      <c r="C2975" s="1878" t="s">
        <v>2072</v>
      </c>
      <c r="D2975" s="1841">
        <v>0.05</v>
      </c>
      <c r="E2975" s="413" t="s">
        <v>2069</v>
      </c>
      <c r="F2975" s="1748">
        <f>'Bahan &amp; Upah'!C$338</f>
        <v>125485.75</v>
      </c>
      <c r="G2975" s="332">
        <f>F2975*D2975</f>
        <v>6274.2875000000004</v>
      </c>
      <c r="H2975" s="1980">
        <v>1</v>
      </c>
      <c r="I2975" s="1980">
        <f>(G2975/G$2982)*H2975</f>
        <v>6.3395233283234063E-3</v>
      </c>
      <c r="J2975" s="1803"/>
    </row>
    <row r="2976" spans="1:10" ht="15.75" customHeight="1">
      <c r="A2976" s="1780"/>
      <c r="B2976" s="1739"/>
      <c r="C2976" s="1878" t="s">
        <v>2107</v>
      </c>
      <c r="D2976" s="1841">
        <v>1.67E-2</v>
      </c>
      <c r="E2976" s="413" t="s">
        <v>2069</v>
      </c>
      <c r="F2976" s="1883">
        <f>'Bahan &amp; Upah'!C$339</f>
        <v>102689.88</v>
      </c>
      <c r="G2976" s="1785">
        <f>F2976*D2976</f>
        <v>1714.9209960000001</v>
      </c>
      <c r="H2976" s="1980">
        <v>1</v>
      </c>
      <c r="I2976" s="1982">
        <f>(G2976/G$2982)*H2976</f>
        <v>1.7327515929694982E-3</v>
      </c>
      <c r="J2976" s="1981"/>
    </row>
    <row r="2977" spans="1:10" ht="15.75" customHeight="1">
      <c r="A2977" s="1780"/>
      <c r="B2977" s="1739"/>
      <c r="C2977" s="1889" t="s">
        <v>2108</v>
      </c>
      <c r="D2977" s="1841"/>
      <c r="E2977" s="413"/>
      <c r="F2977" s="320"/>
      <c r="G2977" s="361">
        <f>SUM(G2973:G2976)</f>
        <v>161388.63349599999</v>
      </c>
      <c r="H2977" s="1980"/>
      <c r="I2977" s="1983">
        <f>SUM(I2973:I2976)</f>
        <v>0.16306664413674515</v>
      </c>
      <c r="J2977" s="1981"/>
    </row>
    <row r="2978" spans="1:10" ht="15.75" customHeight="1">
      <c r="A2978" s="1780"/>
      <c r="B2978" s="1739" t="s">
        <v>1015</v>
      </c>
      <c r="C2978" s="1877" t="s">
        <v>2075</v>
      </c>
      <c r="D2978" s="1841"/>
      <c r="E2978" s="413"/>
      <c r="F2978" s="320"/>
      <c r="G2978" s="320"/>
      <c r="H2978" s="1980"/>
      <c r="I2978" s="1980"/>
      <c r="J2978" s="1981"/>
    </row>
    <row r="2979" spans="1:10" ht="15.75" customHeight="1">
      <c r="A2979" s="1780"/>
      <c r="B2979" s="1739"/>
      <c r="C2979" s="1878" t="s">
        <v>2875</v>
      </c>
      <c r="D2979" s="1841">
        <v>1</v>
      </c>
      <c r="E2979" s="413" t="s">
        <v>360</v>
      </c>
      <c r="F2979" s="1883">
        <f>'Bahan &amp; Upah'!C87</f>
        <v>773380.55</v>
      </c>
      <c r="G2979" s="332">
        <f>F2979*D2979</f>
        <v>773380.55</v>
      </c>
      <c r="H2979" s="2015">
        <v>0.31159999999999999</v>
      </c>
      <c r="I2979" s="1980">
        <f>(G2979/G$2982)*H2979</f>
        <v>0.24349098353627824</v>
      </c>
      <c r="J2979" s="1981"/>
    </row>
    <row r="2980" spans="1:10" ht="15.75" customHeight="1">
      <c r="A2980" s="1780"/>
      <c r="B2980" s="1739"/>
      <c r="C2980" s="2045" t="s">
        <v>2876</v>
      </c>
      <c r="D2980" s="1841">
        <v>16</v>
      </c>
      <c r="E2980" s="413" t="s">
        <v>124</v>
      </c>
      <c r="F2980" s="1883">
        <f>'Bahan &amp; Upah'!C57</f>
        <v>3433.78</v>
      </c>
      <c r="G2980" s="1794">
        <f>F2980*D2980</f>
        <v>54940.480000000003</v>
      </c>
      <c r="H2980" s="2015">
        <v>0.46379999999999999</v>
      </c>
      <c r="I2980" s="1982">
        <f>(G2980/G$2982)*H2980</f>
        <v>2.5746333054878761E-2</v>
      </c>
      <c r="J2980" s="1981"/>
    </row>
    <row r="2981" spans="1:10" ht="15.75" customHeight="1">
      <c r="A2981" s="1780"/>
      <c r="B2981" s="1784"/>
      <c r="C2981" s="1878"/>
      <c r="D2981" s="1841"/>
      <c r="E2981" s="413"/>
      <c r="F2981" s="1883"/>
      <c r="G2981" s="361">
        <f>SUM(G2979:G2980)</f>
        <v>828321.03</v>
      </c>
      <c r="H2981" s="2015"/>
      <c r="I2981" s="2017">
        <f>SUM(I2979:I2980)</f>
        <v>0.26923731659115702</v>
      </c>
      <c r="J2981" s="1981"/>
    </row>
    <row r="2982" spans="1:10" ht="15.75" customHeight="1">
      <c r="A2982" s="1780"/>
      <c r="B2982" s="1784"/>
      <c r="C2982" s="1804" t="s">
        <v>2298</v>
      </c>
      <c r="D2982" s="1763"/>
      <c r="E2982" s="1764"/>
      <c r="F2982" s="1765"/>
      <c r="G2982" s="1765">
        <f>G2977+G2981</f>
        <v>989709.66349599999</v>
      </c>
      <c r="H2982" s="2015"/>
      <c r="I2982" s="2018">
        <f>I2977+I2981</f>
        <v>0.43230396072790217</v>
      </c>
      <c r="J2982" s="1981"/>
    </row>
    <row r="2983" spans="1:10" ht="15.75" customHeight="1">
      <c r="A2983" s="1780"/>
      <c r="B2983" s="1784"/>
      <c r="C2983" s="1762" t="s">
        <v>2094</v>
      </c>
      <c r="D2983" s="1767">
        <f>M$4</f>
        <v>0.15</v>
      </c>
      <c r="E2983" s="1768"/>
      <c r="F2983" s="1765"/>
      <c r="G2983" s="1765">
        <f>G2982*D2983</f>
        <v>148456.4495244</v>
      </c>
      <c r="H2983" s="2015"/>
      <c r="I2983" s="2015"/>
      <c r="J2983" s="1981"/>
    </row>
    <row r="2984" spans="1:10" ht="15.75" customHeight="1">
      <c r="A2984" s="1786"/>
      <c r="B2984" s="1890"/>
      <c r="C2984" s="1788" t="s">
        <v>2111</v>
      </c>
      <c r="D2984" s="1772"/>
      <c r="E2984" s="1773"/>
      <c r="F2984" s="1774"/>
      <c r="G2984" s="1861">
        <f>ROUNDUP((G2982+G2983),2)</f>
        <v>1138166.1200000001</v>
      </c>
      <c r="H2984" s="2019"/>
      <c r="I2984" s="2019"/>
      <c r="J2984" s="1986"/>
    </row>
    <row r="2985" spans="1:10" ht="15.75" customHeight="1">
      <c r="A2985" s="1733"/>
      <c r="B2985" s="1733"/>
      <c r="C2985" s="1733"/>
      <c r="D2985" s="1733"/>
      <c r="E2985" s="1733"/>
      <c r="F2985" s="1733"/>
      <c r="G2985" s="1733"/>
      <c r="H2985" s="1733"/>
      <c r="I2985" s="1733"/>
      <c r="J2985" s="1733"/>
    </row>
    <row r="2986" spans="1:10" ht="15.75" customHeight="1">
      <c r="A2986" s="1778">
        <f>A2971+1</f>
        <v>163</v>
      </c>
      <c r="B2986" s="1805" t="s">
        <v>2877</v>
      </c>
      <c r="C2986" s="1872" t="s">
        <v>2878</v>
      </c>
      <c r="D2986" s="1971"/>
      <c r="E2986" s="1874"/>
      <c r="F2986" s="1875"/>
      <c r="G2986" s="1875"/>
      <c r="H2986" s="1800"/>
      <c r="I2986" s="1800"/>
      <c r="J2986" s="1801"/>
    </row>
    <row r="2987" spans="1:10" ht="15.75" customHeight="1">
      <c r="A2987" s="1780"/>
      <c r="B2987" s="1739" t="s">
        <v>1004</v>
      </c>
      <c r="C2987" s="1877" t="s">
        <v>2067</v>
      </c>
      <c r="D2987" s="390">
        <v>1</v>
      </c>
      <c r="E2987" s="413"/>
      <c r="F2987" s="320"/>
      <c r="G2987" s="320"/>
      <c r="H2987" s="1802"/>
      <c r="I2987" s="1802"/>
      <c r="J2987" s="1803"/>
    </row>
    <row r="2988" spans="1:10" ht="15.75" customHeight="1">
      <c r="A2988" s="1780"/>
      <c r="B2988" s="1739"/>
      <c r="C2988" s="1878" t="s">
        <v>2103</v>
      </c>
      <c r="D2988" s="1781">
        <f>0.255*D2987</f>
        <v>0.255</v>
      </c>
      <c r="E2988" s="413" t="s">
        <v>2069</v>
      </c>
      <c r="F2988" s="1747">
        <f>'Bahan &amp; Upah'!C$336</f>
        <v>96332.65</v>
      </c>
      <c r="G2988" s="361">
        <f>F2988*D2988</f>
        <v>24564.82575</v>
      </c>
      <c r="H2988" s="1749">
        <v>1</v>
      </c>
      <c r="I2988" s="1749">
        <f>(G2988/G$2999)*H2988</f>
        <v>8.9817062109868867E-2</v>
      </c>
      <c r="J2988" s="1750"/>
    </row>
    <row r="2989" spans="1:10" ht="15.75" customHeight="1">
      <c r="A2989" s="1780"/>
      <c r="B2989" s="1739"/>
      <c r="C2989" s="1878" t="s">
        <v>2071</v>
      </c>
      <c r="D2989" s="1781">
        <f>0.425*D2987</f>
        <v>0.42499999999999999</v>
      </c>
      <c r="E2989" s="413" t="s">
        <v>2069</v>
      </c>
      <c r="F2989" s="1883">
        <f>'Bahan &amp; Upah'!C$337</f>
        <v>114133.55</v>
      </c>
      <c r="G2989" s="361">
        <f>F2989*D2989</f>
        <v>48506.758750000001</v>
      </c>
      <c r="H2989" s="1749">
        <v>1</v>
      </c>
      <c r="I2989" s="1749">
        <f>(G2989/G$2999)*H2989</f>
        <v>0.17735662396860988</v>
      </c>
      <c r="J2989" s="1750"/>
    </row>
    <row r="2990" spans="1:10" ht="15.75" customHeight="1">
      <c r="A2990" s="1780"/>
      <c r="B2990" s="1739"/>
      <c r="C2990" s="1878" t="s">
        <v>2072</v>
      </c>
      <c r="D2990" s="1781">
        <f>0.043*D2987</f>
        <v>4.2999999999999997E-2</v>
      </c>
      <c r="E2990" s="413" t="s">
        <v>2069</v>
      </c>
      <c r="F2990" s="1748">
        <f>'Bahan &amp; Upah'!C$338</f>
        <v>125485.75</v>
      </c>
      <c r="G2990" s="361">
        <f>F2990*D2990</f>
        <v>5395.8872499999998</v>
      </c>
      <c r="H2990" s="1749">
        <v>1</v>
      </c>
      <c r="I2990" s="1749">
        <f>(G2990/G$2999)*H2990</f>
        <v>1.9729134055473586E-2</v>
      </c>
      <c r="J2990" s="1750"/>
    </row>
    <row r="2991" spans="1:10" ht="15.75" customHeight="1">
      <c r="A2991" s="1780"/>
      <c r="B2991" s="1739"/>
      <c r="C2991" s="1878" t="s">
        <v>2107</v>
      </c>
      <c r="D2991" s="1781">
        <f>0.014*D2987</f>
        <v>1.4E-2</v>
      </c>
      <c r="E2991" s="413" t="s">
        <v>2069</v>
      </c>
      <c r="F2991" s="1883">
        <f>'Bahan &amp; Upah'!C$339</f>
        <v>102689.88</v>
      </c>
      <c r="G2991" s="1785">
        <f>F2991*D2991</f>
        <v>1437.65832</v>
      </c>
      <c r="H2991" s="1749">
        <v>1</v>
      </c>
      <c r="I2991" s="1752">
        <f>(G2991/G$2999)*H2991</f>
        <v>5.2565504813405703E-3</v>
      </c>
      <c r="J2991" s="1750"/>
    </row>
    <row r="2992" spans="1:10" ht="15.75" customHeight="1">
      <c r="A2992" s="1780"/>
      <c r="B2992" s="1739"/>
      <c r="C2992" s="1889" t="s">
        <v>2108</v>
      </c>
      <c r="D2992" s="1781"/>
      <c r="E2992" s="413"/>
      <c r="F2992" s="320"/>
      <c r="G2992" s="361">
        <f>SUM(G2988:G2991)</f>
        <v>79905.130069999999</v>
      </c>
      <c r="H2992" s="1749"/>
      <c r="I2992" s="1994">
        <f>SUM(I2988:I2991)</f>
        <v>0.2921593706152929</v>
      </c>
      <c r="J2992" s="1750"/>
    </row>
    <row r="2993" spans="1:10" ht="15.75" customHeight="1">
      <c r="A2993" s="1780"/>
      <c r="B2993" s="1739" t="s">
        <v>1015</v>
      </c>
      <c r="C2993" s="1877" t="s">
        <v>2075</v>
      </c>
      <c r="D2993" s="1781"/>
      <c r="E2993" s="413"/>
      <c r="F2993" s="320"/>
      <c r="G2993" s="320"/>
      <c r="H2993" s="1749"/>
      <c r="I2993" s="1994"/>
      <c r="J2993" s="1750"/>
    </row>
    <row r="2994" spans="1:10" ht="15.75" customHeight="1">
      <c r="A2994" s="1780"/>
      <c r="B2994" s="1739"/>
      <c r="C2994" s="1878" t="s">
        <v>2879</v>
      </c>
      <c r="D2994" s="1781">
        <v>1.5</v>
      </c>
      <c r="E2994" s="413" t="s">
        <v>117</v>
      </c>
      <c r="F2994" s="1747">
        <f>'Bahan &amp; Upah'!C271/4</f>
        <v>124803.77</v>
      </c>
      <c r="G2994" s="345">
        <f>F2994*D2994</f>
        <v>187205.655</v>
      </c>
      <c r="H2994" s="1749">
        <v>0.89800000000000002</v>
      </c>
      <c r="I2994" s="1749">
        <f>(G2994/G$2999)*H2994</f>
        <v>0.61466779280221062</v>
      </c>
      <c r="J2994" s="1750"/>
    </row>
    <row r="2995" spans="1:10" ht="15.75" customHeight="1">
      <c r="A2995" s="1780"/>
      <c r="B2995" s="1739"/>
      <c r="C2995" s="1878" t="s">
        <v>2880</v>
      </c>
      <c r="D2995" s="1781">
        <f>1.2</f>
        <v>1.2</v>
      </c>
      <c r="E2995" s="413" t="s">
        <v>124</v>
      </c>
      <c r="F2995" s="1883">
        <f>'Bahan &amp; Upah'!C$277</f>
        <v>5323.04</v>
      </c>
      <c r="G2995" s="1794">
        <f>F2995*D2995</f>
        <v>6387.6480000000001</v>
      </c>
      <c r="H2995" s="1749">
        <v>0.56079999999999997</v>
      </c>
      <c r="I2995" s="1749">
        <f>(G2995/G$2999)*H2995</f>
        <v>1.3097672839255949E-2</v>
      </c>
      <c r="J2995" s="1750"/>
    </row>
    <row r="2996" spans="1:10" ht="15.75" customHeight="1">
      <c r="A2996" s="1780"/>
      <c r="B2996" s="1784"/>
      <c r="C2996" s="1878"/>
      <c r="D2996" s="1781"/>
      <c r="E2996" s="413"/>
      <c r="F2996" s="1883"/>
      <c r="G2996" s="345">
        <f>SUM(G2994:G2995)</f>
        <v>193593.30299999999</v>
      </c>
      <c r="H2996" s="1749"/>
      <c r="I2996" s="1994">
        <f>SUM(I2994:I2995)</f>
        <v>0.62776546564146662</v>
      </c>
      <c r="J2996" s="1750"/>
    </row>
    <row r="2997" spans="1:10" ht="15.75" customHeight="1">
      <c r="A2997" s="1780"/>
      <c r="B2997" s="1739" t="s">
        <v>1048</v>
      </c>
      <c r="C2997" s="1877" t="s">
        <v>2246</v>
      </c>
      <c r="D2997" s="1756"/>
      <c r="E2997" s="333"/>
      <c r="F2997" s="1883"/>
      <c r="G2997" s="345"/>
      <c r="H2997" s="1749"/>
      <c r="I2997" s="1749"/>
      <c r="J2997" s="1750"/>
    </row>
    <row r="2998" spans="1:10" ht="15.75" customHeight="1">
      <c r="A2998" s="1780"/>
      <c r="B2998" s="1909"/>
      <c r="C2998" s="1878"/>
      <c r="D2998" s="1756"/>
      <c r="E2998" s="333"/>
      <c r="F2998" s="328"/>
      <c r="G2998" s="361">
        <v>0</v>
      </c>
      <c r="H2998" s="1749"/>
      <c r="I2998" s="1749"/>
      <c r="J2998" s="1750"/>
    </row>
    <row r="2999" spans="1:10" ht="15.75" customHeight="1">
      <c r="A2999" s="1780"/>
      <c r="B2999" s="1784"/>
      <c r="C2999" s="1804" t="s">
        <v>2242</v>
      </c>
      <c r="D2999" s="1763"/>
      <c r="E2999" s="1764"/>
      <c r="F2999" s="1765"/>
      <c r="G2999" s="1765">
        <f>G2992+G2996+G2998</f>
        <v>273498.43306999997</v>
      </c>
      <c r="H2999" s="1749"/>
      <c r="I2999" s="1766">
        <f>I2992+I2996+I2998</f>
        <v>0.91992483625675958</v>
      </c>
      <c r="J2999" s="1750"/>
    </row>
    <row r="3000" spans="1:10" ht="15.75" customHeight="1">
      <c r="A3000" s="1780"/>
      <c r="B3000" s="1784"/>
      <c r="C3000" s="1762" t="s">
        <v>2094</v>
      </c>
      <c r="D3000" s="1767">
        <f>M$4</f>
        <v>0.15</v>
      </c>
      <c r="E3000" s="1768"/>
      <c r="F3000" s="1765"/>
      <c r="G3000" s="1765">
        <f>G2999*D3000</f>
        <v>41024.764960499997</v>
      </c>
      <c r="H3000" s="1749"/>
      <c r="I3000" s="1749"/>
      <c r="J3000" s="1750"/>
    </row>
    <row r="3001" spans="1:10" ht="15.75" customHeight="1">
      <c r="A3001" s="1786"/>
      <c r="B3001" s="1890"/>
      <c r="C3001" s="1788" t="s">
        <v>2111</v>
      </c>
      <c r="D3001" s="1772"/>
      <c r="E3001" s="1773"/>
      <c r="F3001" s="1774"/>
      <c r="G3001" s="1775">
        <f>ROUNDUP((G2999+G3000),2)</f>
        <v>314523.2</v>
      </c>
      <c r="H3001" s="1937"/>
      <c r="I3001" s="1937"/>
      <c r="J3001" s="1938"/>
    </row>
    <row r="3002" spans="1:10" ht="15.75" customHeight="1">
      <c r="A3002" s="28"/>
      <c r="B3002" s="28"/>
      <c r="C3002" s="28"/>
      <c r="D3002" s="28"/>
      <c r="E3002" s="28"/>
      <c r="F3002" s="28"/>
      <c r="G3002" s="28"/>
      <c r="H3002" s="28"/>
      <c r="I3002" s="28"/>
      <c r="J3002" s="28"/>
    </row>
    <row r="3003" spans="1:10" ht="15.75" customHeight="1">
      <c r="A3003" s="28"/>
      <c r="B3003" s="28"/>
      <c r="C3003" s="28"/>
      <c r="D3003" s="28"/>
      <c r="E3003" s="28"/>
      <c r="F3003" s="28"/>
      <c r="G3003" s="28"/>
      <c r="H3003" s="28"/>
      <c r="I3003" s="28"/>
      <c r="J3003" s="28"/>
    </row>
    <row r="3004" spans="1:10" ht="15.75" customHeight="1">
      <c r="A3004" s="1778">
        <f>A2986+1</f>
        <v>164</v>
      </c>
      <c r="B3004" s="1805" t="s">
        <v>2881</v>
      </c>
      <c r="C3004" s="1872" t="s">
        <v>2882</v>
      </c>
      <c r="D3004" s="1971"/>
      <c r="E3004" s="1874"/>
      <c r="F3004" s="1875"/>
      <c r="G3004" s="1875"/>
      <c r="H3004" s="1800"/>
      <c r="I3004" s="1800"/>
      <c r="J3004" s="1801"/>
    </row>
    <row r="3005" spans="1:10" ht="15.75" customHeight="1">
      <c r="A3005" s="1780"/>
      <c r="B3005" s="1739" t="s">
        <v>1004</v>
      </c>
      <c r="C3005" s="1877" t="s">
        <v>2067</v>
      </c>
      <c r="D3005" s="390"/>
      <c r="E3005" s="413"/>
      <c r="F3005" s="320"/>
      <c r="G3005" s="320"/>
      <c r="H3005" s="1802"/>
      <c r="I3005" s="1802"/>
      <c r="J3005" s="1803"/>
    </row>
    <row r="3006" spans="1:10" ht="15.75" customHeight="1">
      <c r="A3006" s="1780"/>
      <c r="B3006" s="1739"/>
      <c r="C3006" s="1878" t="s">
        <v>2103</v>
      </c>
      <c r="D3006" s="1781">
        <v>0.19</v>
      </c>
      <c r="E3006" s="413" t="s">
        <v>2069</v>
      </c>
      <c r="F3006" s="1747">
        <f>'Bahan &amp; Upah'!C$336</f>
        <v>96332.65</v>
      </c>
      <c r="G3006" s="361">
        <f>F3006*D3006</f>
        <v>18303.2035</v>
      </c>
      <c r="H3006" s="1749">
        <v>1</v>
      </c>
      <c r="I3006" s="1749">
        <f>(G3006/G$3017)*H3006</f>
        <v>0.11487389302560976</v>
      </c>
      <c r="J3006" s="1750"/>
    </row>
    <row r="3007" spans="1:10" ht="15.75" customHeight="1">
      <c r="A3007" s="1780"/>
      <c r="B3007" s="1739"/>
      <c r="C3007" s="1878" t="s">
        <v>2071</v>
      </c>
      <c r="D3007" s="1781">
        <v>0.318</v>
      </c>
      <c r="E3007" s="413" t="s">
        <v>2069</v>
      </c>
      <c r="F3007" s="1883">
        <f>'Bahan &amp; Upah'!C$337</f>
        <v>114133.55</v>
      </c>
      <c r="G3007" s="361">
        <f>F3007*D3007</f>
        <v>36294.4689</v>
      </c>
      <c r="H3007" s="1749">
        <v>1</v>
      </c>
      <c r="I3007" s="1749">
        <f>(G3007/G$3017)*H3007</f>
        <v>0.22779001161408274</v>
      </c>
      <c r="J3007" s="1750"/>
    </row>
    <row r="3008" spans="1:10" ht="15.75" customHeight="1">
      <c r="A3008" s="1780"/>
      <c r="B3008" s="1739"/>
      <c r="C3008" s="1878" t="s">
        <v>2072</v>
      </c>
      <c r="D3008" s="1781">
        <v>3.2000000000000001E-2</v>
      </c>
      <c r="E3008" s="413" t="s">
        <v>2069</v>
      </c>
      <c r="F3008" s="1748">
        <f>'Bahan &amp; Upah'!C$338</f>
        <v>125485.75</v>
      </c>
      <c r="G3008" s="361">
        <f>F3008*D3008</f>
        <v>4015.5439999999999</v>
      </c>
      <c r="H3008" s="1749">
        <v>1</v>
      </c>
      <c r="I3008" s="1749">
        <f>(G3008/G$3017)*H3008</f>
        <v>2.520220965120281E-2</v>
      </c>
      <c r="J3008" s="1750"/>
    </row>
    <row r="3009" spans="1:10" ht="15.75" customHeight="1">
      <c r="A3009" s="1780"/>
      <c r="B3009" s="1739"/>
      <c r="C3009" s="1878" t="s">
        <v>2107</v>
      </c>
      <c r="D3009" s="1781">
        <v>1.0999999999999999E-2</v>
      </c>
      <c r="E3009" s="413" t="s">
        <v>2069</v>
      </c>
      <c r="F3009" s="1883">
        <f>'Bahan &amp; Upah'!C$339</f>
        <v>102689.88</v>
      </c>
      <c r="G3009" s="1785">
        <f>F3009*D3009</f>
        <v>1129.5886800000001</v>
      </c>
      <c r="H3009" s="1749">
        <v>1</v>
      </c>
      <c r="I3009" s="1749">
        <f>(G3009/G$3017)*H3009</f>
        <v>7.0894829524929736E-3</v>
      </c>
      <c r="J3009" s="1750"/>
    </row>
    <row r="3010" spans="1:10" ht="15.75" customHeight="1">
      <c r="A3010" s="1780"/>
      <c r="B3010" s="1739"/>
      <c r="C3010" s="1889" t="s">
        <v>2108</v>
      </c>
      <c r="D3010" s="1781"/>
      <c r="E3010" s="413"/>
      <c r="F3010" s="320"/>
      <c r="G3010" s="361">
        <f>SUM(G3006:G3009)</f>
        <v>59742.805079999998</v>
      </c>
      <c r="H3010" s="1749"/>
      <c r="I3010" s="1994">
        <f>SUM(I3006:I3009)</f>
        <v>0.37495559724338823</v>
      </c>
      <c r="J3010" s="1750"/>
    </row>
    <row r="3011" spans="1:10" ht="15.75" customHeight="1">
      <c r="A3011" s="1780"/>
      <c r="B3011" s="1739" t="s">
        <v>1015</v>
      </c>
      <c r="C3011" s="1877" t="s">
        <v>2075</v>
      </c>
      <c r="D3011" s="1781"/>
      <c r="E3011" s="413"/>
      <c r="F3011" s="320"/>
      <c r="G3011" s="320"/>
      <c r="H3011" s="1749"/>
      <c r="I3011" s="1994"/>
      <c r="J3011" s="1750"/>
    </row>
    <row r="3012" spans="1:10" ht="15.75" customHeight="1">
      <c r="A3012" s="1780"/>
      <c r="B3012" s="1739"/>
      <c r="C3012" s="1878" t="s">
        <v>2883</v>
      </c>
      <c r="D3012" s="1781">
        <v>1.5</v>
      </c>
      <c r="E3012" s="413" t="s">
        <v>117</v>
      </c>
      <c r="F3012" s="1747">
        <f>'Bahan &amp; Upah'!C272/4</f>
        <v>62135.040000000001</v>
      </c>
      <c r="G3012" s="345">
        <f>F3012*D3012</f>
        <v>93202.559999999998</v>
      </c>
      <c r="H3012" s="1749">
        <v>0.89800000000000002</v>
      </c>
      <c r="I3012" s="1749">
        <f>(G3012/G$3017)*H3012</f>
        <v>0.52528912409367956</v>
      </c>
      <c r="J3012" s="1750"/>
    </row>
    <row r="3013" spans="1:10" ht="15.75" customHeight="1">
      <c r="A3013" s="1780"/>
      <c r="B3013" s="1739"/>
      <c r="C3013" s="1878" t="s">
        <v>2880</v>
      </c>
      <c r="D3013" s="1781">
        <f>1.2</f>
        <v>1.2</v>
      </c>
      <c r="E3013" s="413" t="s">
        <v>124</v>
      </c>
      <c r="F3013" s="1883">
        <f>'Bahan &amp; Upah'!C$277</f>
        <v>5323.04</v>
      </c>
      <c r="G3013" s="1794">
        <f>F3013*D3013</f>
        <v>6387.6480000000001</v>
      </c>
      <c r="H3013" s="1749">
        <v>0.56079999999999997</v>
      </c>
      <c r="I3013" s="1749">
        <f>(G3013/G$3017)*H3013</f>
        <v>2.2482428023886083E-2</v>
      </c>
      <c r="J3013" s="1750"/>
    </row>
    <row r="3014" spans="1:10" ht="15.75" customHeight="1">
      <c r="A3014" s="1780"/>
      <c r="B3014" s="1784"/>
      <c r="C3014" s="1878"/>
      <c r="D3014" s="1781"/>
      <c r="E3014" s="413"/>
      <c r="F3014" s="1883"/>
      <c r="G3014" s="345">
        <f>SUM(G3012:G3013)</f>
        <v>99590.207999999999</v>
      </c>
      <c r="H3014" s="1749"/>
      <c r="I3014" s="1994">
        <f>SUM(I3012:I3013)</f>
        <v>0.54777155211756567</v>
      </c>
      <c r="J3014" s="1750"/>
    </row>
    <row r="3015" spans="1:10" ht="15.75" customHeight="1">
      <c r="A3015" s="1780"/>
      <c r="B3015" s="1739" t="s">
        <v>1048</v>
      </c>
      <c r="C3015" s="1877" t="s">
        <v>2246</v>
      </c>
      <c r="D3015" s="1756"/>
      <c r="E3015" s="333"/>
      <c r="F3015" s="1883"/>
      <c r="G3015" s="345"/>
      <c r="H3015" s="1749"/>
      <c r="I3015" s="1749"/>
      <c r="J3015" s="1750"/>
    </row>
    <row r="3016" spans="1:10" ht="15.75" customHeight="1">
      <c r="A3016" s="1780"/>
      <c r="B3016" s="1909"/>
      <c r="C3016" s="1878"/>
      <c r="D3016" s="1756"/>
      <c r="E3016" s="333"/>
      <c r="F3016" s="328"/>
      <c r="G3016" s="361">
        <v>0</v>
      </c>
      <c r="H3016" s="1749"/>
      <c r="I3016" s="1749"/>
      <c r="J3016" s="1750"/>
    </row>
    <row r="3017" spans="1:10" ht="15.75" customHeight="1">
      <c r="A3017" s="1780"/>
      <c r="B3017" s="1784"/>
      <c r="C3017" s="1804" t="s">
        <v>2242</v>
      </c>
      <c r="D3017" s="1763"/>
      <c r="E3017" s="1764"/>
      <c r="F3017" s="1765"/>
      <c r="G3017" s="1765">
        <f>G3010+G3014+G3016</f>
        <v>159333.01308</v>
      </c>
      <c r="H3017" s="1749"/>
      <c r="I3017" s="1766">
        <f>I3010+I3014+I3016</f>
        <v>0.9227271493609539</v>
      </c>
      <c r="J3017" s="1750"/>
    </row>
    <row r="3018" spans="1:10" ht="15.75" customHeight="1">
      <c r="A3018" s="1780"/>
      <c r="B3018" s="1784"/>
      <c r="C3018" s="1762" t="s">
        <v>2094</v>
      </c>
      <c r="D3018" s="1767">
        <f>M$4</f>
        <v>0.15</v>
      </c>
      <c r="E3018" s="1768"/>
      <c r="F3018" s="1765"/>
      <c r="G3018" s="1765">
        <f>G3017*D3018</f>
        <v>23899.951961999999</v>
      </c>
      <c r="H3018" s="1749"/>
      <c r="I3018" s="1749"/>
      <c r="J3018" s="1750"/>
    </row>
    <row r="3019" spans="1:10" ht="15.75" customHeight="1">
      <c r="A3019" s="1786"/>
      <c r="B3019" s="1890"/>
      <c r="C3019" s="1788" t="s">
        <v>2111</v>
      </c>
      <c r="D3019" s="1772"/>
      <c r="E3019" s="1773"/>
      <c r="F3019" s="1774"/>
      <c r="G3019" s="1775">
        <f>ROUNDUP((G3017+G3018),2)</f>
        <v>183232.97</v>
      </c>
      <c r="H3019" s="1937"/>
      <c r="I3019" s="1937"/>
      <c r="J3019" s="1938"/>
    </row>
    <row r="3020" spans="1:10" ht="15.75" customHeight="1">
      <c r="A3020" s="28"/>
      <c r="B3020" s="28"/>
      <c r="C3020" s="28"/>
      <c r="D3020" s="28"/>
      <c r="E3020" s="28"/>
      <c r="F3020" s="28"/>
      <c r="G3020" s="28"/>
      <c r="H3020" s="28"/>
      <c r="I3020" s="28"/>
      <c r="J3020" s="28"/>
    </row>
    <row r="3021" spans="1:10" ht="15.75" customHeight="1">
      <c r="A3021" s="1778">
        <f>A3004+1</f>
        <v>165</v>
      </c>
      <c r="B3021" s="1805" t="s">
        <v>2884</v>
      </c>
      <c r="C3021" s="1872" t="s">
        <v>2885</v>
      </c>
      <c r="D3021" s="1971"/>
      <c r="E3021" s="1874"/>
      <c r="F3021" s="1875"/>
      <c r="G3021" s="1875"/>
      <c r="H3021" s="1800"/>
      <c r="I3021" s="1800"/>
      <c r="J3021" s="1801"/>
    </row>
    <row r="3022" spans="1:10" ht="15.75" customHeight="1">
      <c r="A3022" s="1780"/>
      <c r="B3022" s="1739" t="s">
        <v>1004</v>
      </c>
      <c r="C3022" s="1877" t="s">
        <v>2067</v>
      </c>
      <c r="D3022" s="390"/>
      <c r="E3022" s="413"/>
      <c r="F3022" s="320"/>
      <c r="G3022" s="320"/>
      <c r="H3022" s="1802"/>
      <c r="I3022" s="1802"/>
      <c r="J3022" s="1803"/>
    </row>
    <row r="3023" spans="1:10" ht="15.75" customHeight="1">
      <c r="A3023" s="1780"/>
      <c r="B3023" s="1739"/>
      <c r="C3023" s="1878" t="s">
        <v>2103</v>
      </c>
      <c r="D3023" s="1781">
        <v>6.4000000000000001E-2</v>
      </c>
      <c r="E3023" s="413" t="s">
        <v>2069</v>
      </c>
      <c r="F3023" s="1747">
        <f>'Bahan &amp; Upah'!C$336</f>
        <v>96332.65</v>
      </c>
      <c r="G3023" s="361">
        <f>F3023*D3023</f>
        <v>6165.2896000000001</v>
      </c>
      <c r="H3023" s="1749">
        <v>1</v>
      </c>
      <c r="I3023" s="1749">
        <f>(G3023/G$3034)*H3023</f>
        <v>0.12844247911492715</v>
      </c>
      <c r="J3023" s="1750"/>
    </row>
    <row r="3024" spans="1:10" ht="15.75" customHeight="1">
      <c r="A3024" s="1780"/>
      <c r="B3024" s="1739"/>
      <c r="C3024" s="1878" t="s">
        <v>2071</v>
      </c>
      <c r="D3024" s="1781">
        <v>0.107</v>
      </c>
      <c r="E3024" s="413" t="s">
        <v>2069</v>
      </c>
      <c r="F3024" s="1883">
        <f>'Bahan &amp; Upah'!C$337</f>
        <v>114133.55</v>
      </c>
      <c r="G3024" s="361">
        <f>F3024*D3024</f>
        <v>12212.289849999999</v>
      </c>
      <c r="H3024" s="1749">
        <v>1</v>
      </c>
      <c r="I3024" s="1749">
        <f>(G3024/G$3034)*H3024</f>
        <v>0.25442061699811502</v>
      </c>
      <c r="J3024" s="1750"/>
    </row>
    <row r="3025" spans="1:10" ht="15.75" customHeight="1">
      <c r="A3025" s="1780"/>
      <c r="B3025" s="1739"/>
      <c r="C3025" s="1878" t="s">
        <v>2072</v>
      </c>
      <c r="D3025" s="1781">
        <v>1.0999999999999999E-2</v>
      </c>
      <c r="E3025" s="413" t="s">
        <v>2069</v>
      </c>
      <c r="F3025" s="1748">
        <f>'Bahan &amp; Upah'!C$338</f>
        <v>125485.75</v>
      </c>
      <c r="G3025" s="361">
        <f>F3025*D3025</f>
        <v>1380.3432499999999</v>
      </c>
      <c r="H3025" s="1749">
        <v>1</v>
      </c>
      <c r="I3025" s="1749">
        <f>(G3025/G$3034)*H3025</f>
        <v>2.8756915013295671E-2</v>
      </c>
      <c r="J3025" s="1750"/>
    </row>
    <row r="3026" spans="1:10" ht="15.75" customHeight="1">
      <c r="A3026" s="1780"/>
      <c r="B3026" s="1739"/>
      <c r="C3026" s="1878" t="s">
        <v>2107</v>
      </c>
      <c r="D3026" s="1781">
        <v>4.0000000000000001E-3</v>
      </c>
      <c r="E3026" s="413" t="s">
        <v>2069</v>
      </c>
      <c r="F3026" s="1883">
        <f>'Bahan &amp; Upah'!C$339</f>
        <v>102689.88</v>
      </c>
      <c r="G3026" s="1785">
        <f>F3026*D3026</f>
        <v>410.75952000000001</v>
      </c>
      <c r="H3026" s="1749">
        <v>1</v>
      </c>
      <c r="I3026" s="1749">
        <f>(G3026/G$3034)*H3026</f>
        <v>8.5574197631944991E-3</v>
      </c>
      <c r="J3026" s="1750"/>
    </row>
    <row r="3027" spans="1:10" ht="15.75" customHeight="1">
      <c r="A3027" s="1780"/>
      <c r="B3027" s="1739"/>
      <c r="C3027" s="1889" t="s">
        <v>2108</v>
      </c>
      <c r="D3027" s="1781"/>
      <c r="E3027" s="413"/>
      <c r="F3027" s="320"/>
      <c r="G3027" s="361">
        <f>SUM(G3023:G3026)</f>
        <v>20168.682219999995</v>
      </c>
      <c r="H3027" s="1749"/>
      <c r="I3027" s="1994">
        <f>SUM(I3023:I3026)</f>
        <v>0.42017743088953236</v>
      </c>
      <c r="J3027" s="1750"/>
    </row>
    <row r="3028" spans="1:10" ht="15.75" customHeight="1">
      <c r="A3028" s="1780"/>
      <c r="B3028" s="1739" t="s">
        <v>1015</v>
      </c>
      <c r="C3028" s="1877" t="s">
        <v>2075</v>
      </c>
      <c r="D3028" s="1781"/>
      <c r="E3028" s="413"/>
      <c r="F3028" s="320"/>
      <c r="G3028" s="320"/>
      <c r="H3028" s="1749"/>
      <c r="I3028" s="1994"/>
      <c r="J3028" s="1750"/>
    </row>
    <row r="3029" spans="1:10" ht="15.75" customHeight="1">
      <c r="A3029" s="1780"/>
      <c r="B3029" s="1739"/>
      <c r="C3029" s="1878" t="s">
        <v>2886</v>
      </c>
      <c r="D3029" s="1781">
        <v>1.5</v>
      </c>
      <c r="E3029" s="413" t="s">
        <v>117</v>
      </c>
      <c r="F3029" s="1747">
        <f>'Bahan &amp; Upah'!C273/4</f>
        <v>14296.0425</v>
      </c>
      <c r="G3029" s="345">
        <f>F3029*D3029</f>
        <v>21444.063750000001</v>
      </c>
      <c r="H3029" s="1749">
        <v>0.89800000000000002</v>
      </c>
      <c r="I3029" s="1749">
        <f>(G3029/G$3034)*H3029</f>
        <v>0.40117939989274642</v>
      </c>
      <c r="J3029" s="1750"/>
    </row>
    <row r="3030" spans="1:10" ht="15.75" customHeight="1">
      <c r="A3030" s="1780"/>
      <c r="B3030" s="1739"/>
      <c r="C3030" s="1878" t="s">
        <v>2880</v>
      </c>
      <c r="D3030" s="1781">
        <f>1.2</f>
        <v>1.2</v>
      </c>
      <c r="E3030" s="413" t="s">
        <v>124</v>
      </c>
      <c r="F3030" s="1883">
        <f>'Bahan &amp; Upah'!C$277</f>
        <v>5323.04</v>
      </c>
      <c r="G3030" s="1794">
        <f>F3030*D3030</f>
        <v>6387.6480000000001</v>
      </c>
      <c r="H3030" s="1749">
        <v>0.56079999999999997</v>
      </c>
      <c r="I3030" s="1749">
        <f>(G3030/G$3034)*H3030</f>
        <v>7.4628408271791527E-2</v>
      </c>
      <c r="J3030" s="1750"/>
    </row>
    <row r="3031" spans="1:10" ht="15.75" customHeight="1">
      <c r="A3031" s="1780"/>
      <c r="B3031" s="1784"/>
      <c r="C3031" s="1889" t="s">
        <v>2091</v>
      </c>
      <c r="D3031" s="1781"/>
      <c r="E3031" s="413"/>
      <c r="F3031" s="1883"/>
      <c r="G3031" s="345">
        <f>SUM(G3029:G3030)</f>
        <v>27831.711750000002</v>
      </c>
      <c r="H3031" s="1749"/>
      <c r="I3031" s="1994">
        <f>SUM(I3029:I3030)</f>
        <v>0.47580780816453794</v>
      </c>
      <c r="J3031" s="1750"/>
    </row>
    <row r="3032" spans="1:10" ht="15.75" customHeight="1">
      <c r="A3032" s="1780"/>
      <c r="B3032" s="1739" t="s">
        <v>1048</v>
      </c>
      <c r="C3032" s="1877" t="s">
        <v>2246</v>
      </c>
      <c r="D3032" s="1756"/>
      <c r="E3032" s="333"/>
      <c r="F3032" s="1883"/>
      <c r="G3032" s="345"/>
      <c r="H3032" s="1749"/>
      <c r="I3032" s="1749"/>
      <c r="J3032" s="1750"/>
    </row>
    <row r="3033" spans="1:10" ht="15.75" customHeight="1">
      <c r="A3033" s="1780"/>
      <c r="B3033" s="1909"/>
      <c r="C3033" s="1878"/>
      <c r="D3033" s="1756"/>
      <c r="E3033" s="333"/>
      <c r="F3033" s="328"/>
      <c r="G3033" s="361">
        <v>0</v>
      </c>
      <c r="H3033" s="1749"/>
      <c r="I3033" s="1749"/>
      <c r="J3033" s="1750"/>
    </row>
    <row r="3034" spans="1:10" ht="15.75" customHeight="1">
      <c r="A3034" s="1780"/>
      <c r="B3034" s="1784"/>
      <c r="C3034" s="1804" t="s">
        <v>2242</v>
      </c>
      <c r="D3034" s="1763"/>
      <c r="E3034" s="1764"/>
      <c r="F3034" s="1765"/>
      <c r="G3034" s="1765">
        <f>G3027+G3031+G3033</f>
        <v>48000.393969999997</v>
      </c>
      <c r="H3034" s="1749"/>
      <c r="I3034" s="1766">
        <f>I3027+I3031+I3033</f>
        <v>0.89598523905407035</v>
      </c>
      <c r="J3034" s="1750"/>
    </row>
    <row r="3035" spans="1:10" ht="15.75" customHeight="1">
      <c r="A3035" s="1780"/>
      <c r="B3035" s="1784"/>
      <c r="C3035" s="1762" t="s">
        <v>2094</v>
      </c>
      <c r="D3035" s="1767">
        <f>M$4</f>
        <v>0.15</v>
      </c>
      <c r="E3035" s="1768"/>
      <c r="F3035" s="1765"/>
      <c r="G3035" s="1765">
        <f>G3034*D3035</f>
        <v>7200.0590954999998</v>
      </c>
      <c r="H3035" s="1749"/>
      <c r="I3035" s="1749"/>
      <c r="J3035" s="1750"/>
    </row>
    <row r="3036" spans="1:10" ht="15.75" customHeight="1">
      <c r="A3036" s="1786"/>
      <c r="B3036" s="1890"/>
      <c r="C3036" s="1788" t="s">
        <v>2111</v>
      </c>
      <c r="D3036" s="1772"/>
      <c r="E3036" s="1773"/>
      <c r="F3036" s="1774"/>
      <c r="G3036" s="1775">
        <f>ROUNDUP((G3034+G3035),2)</f>
        <v>55200.46</v>
      </c>
      <c r="H3036" s="1937"/>
      <c r="I3036" s="1937"/>
      <c r="J3036" s="1938"/>
    </row>
    <row r="3037" spans="1:10" ht="15.75" customHeight="1">
      <c r="A3037" s="28"/>
      <c r="B3037" s="28"/>
      <c r="C3037" s="28"/>
      <c r="D3037" s="28"/>
      <c r="E3037" s="28"/>
      <c r="F3037" s="28"/>
      <c r="G3037" s="28"/>
      <c r="H3037" s="28"/>
      <c r="I3037" s="28"/>
      <c r="J3037" s="28"/>
    </row>
    <row r="3038" spans="1:10" ht="15.75" customHeight="1">
      <c r="A3038" s="1778">
        <f>A3021+1</f>
        <v>166</v>
      </c>
      <c r="B3038" s="1805" t="s">
        <v>2887</v>
      </c>
      <c r="C3038" s="1872" t="s">
        <v>2888</v>
      </c>
      <c r="D3038" s="1971"/>
      <c r="E3038" s="1874"/>
      <c r="F3038" s="1875"/>
      <c r="G3038" s="1875"/>
      <c r="H3038" s="1800"/>
      <c r="I3038" s="1800"/>
      <c r="J3038" s="1801"/>
    </row>
    <row r="3039" spans="1:10" ht="15.75" customHeight="1">
      <c r="A3039" s="1780"/>
      <c r="B3039" s="1739" t="s">
        <v>1004</v>
      </c>
      <c r="C3039" s="1877" t="s">
        <v>2067</v>
      </c>
      <c r="D3039" s="390"/>
      <c r="E3039" s="413"/>
      <c r="F3039" s="320"/>
      <c r="G3039" s="320"/>
      <c r="H3039" s="1802"/>
      <c r="I3039" s="1802"/>
      <c r="J3039" s="1803"/>
    </row>
    <row r="3040" spans="1:10" ht="15.75" customHeight="1">
      <c r="A3040" s="1780"/>
      <c r="B3040" s="1739"/>
      <c r="C3040" s="1878" t="s">
        <v>2103</v>
      </c>
      <c r="D3040" s="1781">
        <v>4.8000000000000001E-2</v>
      </c>
      <c r="E3040" s="413" t="s">
        <v>2069</v>
      </c>
      <c r="F3040" s="1747">
        <f>'Bahan &amp; Upah'!C$336</f>
        <v>96332.65</v>
      </c>
      <c r="G3040" s="361">
        <f>F3040*D3040</f>
        <v>4623.9672</v>
      </c>
      <c r="H3040" s="1749">
        <v>1</v>
      </c>
      <c r="I3040" s="1749">
        <f>(G3040/G$3051)*H3040</f>
        <v>0.13887975957234588</v>
      </c>
      <c r="J3040" s="1750"/>
    </row>
    <row r="3041" spans="1:10" ht="15.75" customHeight="1">
      <c r="A3041" s="1780"/>
      <c r="B3041" s="1739"/>
      <c r="C3041" s="1878" t="s">
        <v>2071</v>
      </c>
      <c r="D3041" s="1781">
        <v>0.08</v>
      </c>
      <c r="E3041" s="413" t="s">
        <v>2069</v>
      </c>
      <c r="F3041" s="1883">
        <f>'Bahan &amp; Upah'!C$337</f>
        <v>114133.55</v>
      </c>
      <c r="G3041" s="361">
        <f>F3041*D3041</f>
        <v>9130.6840000000011</v>
      </c>
      <c r="H3041" s="1749">
        <v>1</v>
      </c>
      <c r="I3041" s="1749">
        <f>(G3041/G$3051)*H3041</f>
        <v>0.27423793115380779</v>
      </c>
      <c r="J3041" s="1750"/>
    </row>
    <row r="3042" spans="1:10" ht="15.75" customHeight="1">
      <c r="A3042" s="1780"/>
      <c r="B3042" s="1739"/>
      <c r="C3042" s="1878" t="s">
        <v>2072</v>
      </c>
      <c r="D3042" s="1781">
        <v>8.0000000000000002E-3</v>
      </c>
      <c r="E3042" s="413" t="s">
        <v>2069</v>
      </c>
      <c r="F3042" s="1748">
        <f>'Bahan &amp; Upah'!C$338</f>
        <v>125485.75</v>
      </c>
      <c r="G3042" s="361">
        <f>F3042*D3042</f>
        <v>1003.886</v>
      </c>
      <c r="H3042" s="1749">
        <v>1</v>
      </c>
      <c r="I3042" s="1749">
        <f>(G3042/G$3051)*H3042</f>
        <v>3.0151478219405191E-2</v>
      </c>
      <c r="J3042" s="1750"/>
    </row>
    <row r="3043" spans="1:10" ht="15.75" customHeight="1">
      <c r="A3043" s="1780"/>
      <c r="B3043" s="1739"/>
      <c r="C3043" s="1878" t="s">
        <v>2107</v>
      </c>
      <c r="D3043" s="1781">
        <v>3.0000000000000001E-3</v>
      </c>
      <c r="E3043" s="413" t="s">
        <v>2069</v>
      </c>
      <c r="F3043" s="1883">
        <f>'Bahan &amp; Upah'!C$339</f>
        <v>102689.88</v>
      </c>
      <c r="G3043" s="1785">
        <f>F3043*D3043</f>
        <v>308.06963999999999</v>
      </c>
      <c r="H3043" s="1749">
        <v>1</v>
      </c>
      <c r="I3043" s="1752">
        <f>(G3043/G$3051)*H3043</f>
        <v>9.2527986649081646E-3</v>
      </c>
      <c r="J3043" s="1750"/>
    </row>
    <row r="3044" spans="1:10" ht="15.75" customHeight="1">
      <c r="A3044" s="1780"/>
      <c r="B3044" s="1739"/>
      <c r="C3044" s="1889" t="s">
        <v>2108</v>
      </c>
      <c r="D3044" s="1781"/>
      <c r="E3044" s="413"/>
      <c r="F3044" s="320"/>
      <c r="G3044" s="361">
        <f>SUM(G3040:G3043)</f>
        <v>15066.60684</v>
      </c>
      <c r="H3044" s="1749"/>
      <c r="I3044" s="1994">
        <f>SUM(I3040:I3043)</f>
        <v>0.45252196761046704</v>
      </c>
      <c r="J3044" s="1750"/>
    </row>
    <row r="3045" spans="1:10" ht="15.75" customHeight="1">
      <c r="A3045" s="1780"/>
      <c r="B3045" s="1739" t="s">
        <v>1015</v>
      </c>
      <c r="C3045" s="1877" t="s">
        <v>2075</v>
      </c>
      <c r="D3045" s="1781"/>
      <c r="E3045" s="413"/>
      <c r="F3045" s="320"/>
      <c r="G3045" s="320"/>
      <c r="H3045" s="1749"/>
      <c r="I3045" s="1994"/>
      <c r="J3045" s="1750"/>
    </row>
    <row r="3046" spans="1:10" ht="15.75" customHeight="1">
      <c r="A3046" s="1780"/>
      <c r="B3046" s="1739"/>
      <c r="C3046" s="1878" t="s">
        <v>2889</v>
      </c>
      <c r="D3046" s="1781">
        <v>1.5</v>
      </c>
      <c r="E3046" s="413" t="s">
        <v>117</v>
      </c>
      <c r="F3046" s="1747">
        <f>'Bahan &amp; Upah'!C274/4</f>
        <v>7893.665</v>
      </c>
      <c r="G3046" s="345">
        <f>F3046*D3046</f>
        <v>11840.497499999999</v>
      </c>
      <c r="H3046" s="1749">
        <v>0.89800000000000002</v>
      </c>
      <c r="I3046" s="1749">
        <f>(G3046/G$3051)*H3046</f>
        <v>0.31935263090171401</v>
      </c>
      <c r="J3046" s="1750"/>
    </row>
    <row r="3047" spans="1:10" ht="15.75" customHeight="1">
      <c r="A3047" s="1780"/>
      <c r="B3047" s="1739"/>
      <c r="C3047" s="1878" t="s">
        <v>2880</v>
      </c>
      <c r="D3047" s="1781">
        <f>1.2</f>
        <v>1.2</v>
      </c>
      <c r="E3047" s="413" t="s">
        <v>124</v>
      </c>
      <c r="F3047" s="1883">
        <f>'Bahan &amp; Upah'!C$277</f>
        <v>5323.04</v>
      </c>
      <c r="G3047" s="1794">
        <f>F3047*D3047</f>
        <v>6387.6480000000001</v>
      </c>
      <c r="H3047" s="1749">
        <v>0.56079999999999997</v>
      </c>
      <c r="I3047" s="1752">
        <f>(G3047/G$3051)*H3047</f>
        <v>0.10759031819246745</v>
      </c>
      <c r="J3047" s="1750"/>
    </row>
    <row r="3048" spans="1:10" ht="15.75" customHeight="1">
      <c r="A3048" s="1780"/>
      <c r="B3048" s="1784"/>
      <c r="C3048" s="1889" t="s">
        <v>2091</v>
      </c>
      <c r="D3048" s="1781"/>
      <c r="E3048" s="413"/>
      <c r="F3048" s="1883"/>
      <c r="G3048" s="345">
        <f>SUM(G3046:G3047)</f>
        <v>18228.145499999999</v>
      </c>
      <c r="H3048" s="1749"/>
      <c r="I3048" s="1994">
        <f>SUM(I3046:I3047)</f>
        <v>0.42694294909418146</v>
      </c>
      <c r="J3048" s="1750"/>
    </row>
    <row r="3049" spans="1:10" ht="15.75" customHeight="1">
      <c r="A3049" s="1780"/>
      <c r="B3049" s="1739" t="s">
        <v>1048</v>
      </c>
      <c r="C3049" s="1877" t="s">
        <v>2246</v>
      </c>
      <c r="D3049" s="1756"/>
      <c r="E3049" s="333"/>
      <c r="F3049" s="1883"/>
      <c r="G3049" s="345"/>
      <c r="H3049" s="1749"/>
      <c r="I3049" s="1749"/>
      <c r="J3049" s="1750"/>
    </row>
    <row r="3050" spans="1:10" ht="15.75" customHeight="1">
      <c r="A3050" s="1780"/>
      <c r="B3050" s="1909"/>
      <c r="C3050" s="1878"/>
      <c r="D3050" s="1756"/>
      <c r="E3050" s="333"/>
      <c r="F3050" s="328"/>
      <c r="G3050" s="361">
        <v>0</v>
      </c>
      <c r="H3050" s="1749"/>
      <c r="I3050" s="1749"/>
      <c r="J3050" s="1750"/>
    </row>
    <row r="3051" spans="1:10" ht="15.75" customHeight="1">
      <c r="A3051" s="1780"/>
      <c r="B3051" s="1784"/>
      <c r="C3051" s="1804" t="s">
        <v>2242</v>
      </c>
      <c r="D3051" s="1763"/>
      <c r="E3051" s="1764"/>
      <c r="F3051" s="1765"/>
      <c r="G3051" s="1765">
        <f>G3044+G3048+G3050</f>
        <v>33294.752339999999</v>
      </c>
      <c r="H3051" s="1749"/>
      <c r="I3051" s="1766">
        <f>I3044+I3048+I3050</f>
        <v>0.87946491670464844</v>
      </c>
      <c r="J3051" s="1750"/>
    </row>
    <row r="3052" spans="1:10" ht="15.75" customHeight="1">
      <c r="A3052" s="1780"/>
      <c r="B3052" s="1784"/>
      <c r="C3052" s="1762" t="s">
        <v>2094</v>
      </c>
      <c r="D3052" s="1767">
        <f>M$4</f>
        <v>0.15</v>
      </c>
      <c r="E3052" s="1768"/>
      <c r="F3052" s="1765"/>
      <c r="G3052" s="1765">
        <f>G3051*D3052</f>
        <v>4994.2128509999993</v>
      </c>
      <c r="H3052" s="1749"/>
      <c r="I3052" s="1749"/>
      <c r="J3052" s="1750"/>
    </row>
    <row r="3053" spans="1:10" ht="15.75" customHeight="1">
      <c r="A3053" s="1786"/>
      <c r="B3053" s="1890"/>
      <c r="C3053" s="1788" t="s">
        <v>2111</v>
      </c>
      <c r="D3053" s="1772"/>
      <c r="E3053" s="1773"/>
      <c r="F3053" s="1774"/>
      <c r="G3053" s="1775">
        <f>ROUNDUP((G3051+G3052),2)</f>
        <v>38288.97</v>
      </c>
      <c r="H3053" s="1937"/>
      <c r="I3053" s="1937"/>
      <c r="J3053" s="1938"/>
    </row>
    <row r="3054" spans="1:10" ht="15.75" customHeight="1">
      <c r="A3054" s="28"/>
      <c r="B3054" s="28"/>
      <c r="C3054" s="28"/>
      <c r="D3054" s="28"/>
      <c r="E3054" s="28"/>
      <c r="F3054" s="28"/>
      <c r="G3054" s="28"/>
      <c r="H3054" s="28"/>
      <c r="I3054" s="28"/>
      <c r="J3054" s="28"/>
    </row>
    <row r="3055" spans="1:10" ht="15.75" customHeight="1">
      <c r="A3055" s="1778">
        <f>A3038+1</f>
        <v>167</v>
      </c>
      <c r="B3055" s="1805" t="s">
        <v>2890</v>
      </c>
      <c r="C3055" s="1872" t="s">
        <v>2891</v>
      </c>
      <c r="D3055" s="1971"/>
      <c r="E3055" s="1874"/>
      <c r="F3055" s="1875"/>
      <c r="G3055" s="1875"/>
      <c r="H3055" s="1800"/>
      <c r="I3055" s="1800"/>
      <c r="J3055" s="1801"/>
    </row>
    <row r="3056" spans="1:10" ht="15.75" customHeight="1">
      <c r="A3056" s="1780"/>
      <c r="B3056" s="1739" t="s">
        <v>1004</v>
      </c>
      <c r="C3056" s="1877" t="s">
        <v>2067</v>
      </c>
      <c r="D3056" s="390"/>
      <c r="E3056" s="413"/>
      <c r="F3056" s="320"/>
      <c r="G3056" s="320"/>
      <c r="H3056" s="1802"/>
      <c r="I3056" s="1802"/>
      <c r="J3056" s="1803"/>
    </row>
    <row r="3057" spans="1:10" ht="15.75" customHeight="1">
      <c r="A3057" s="1780"/>
      <c r="B3057" s="1739"/>
      <c r="C3057" s="1878" t="s">
        <v>2103</v>
      </c>
      <c r="D3057" s="1781">
        <v>3.3000000000000002E-2</v>
      </c>
      <c r="E3057" s="413" t="s">
        <v>2069</v>
      </c>
      <c r="F3057" s="1747">
        <f>'Bahan &amp; Upah'!C$336</f>
        <v>96332.65</v>
      </c>
      <c r="G3057" s="361">
        <f>F3057*D3057</f>
        <v>3178.9774499999999</v>
      </c>
      <c r="H3057" s="1749">
        <v>1</v>
      </c>
      <c r="I3057" s="1749">
        <f>(G3057/G$3068)*H3057</f>
        <v>0.11797120115964724</v>
      </c>
      <c r="J3057" s="1750"/>
    </row>
    <row r="3058" spans="1:10" ht="15.75" customHeight="1">
      <c r="A3058" s="1780"/>
      <c r="B3058" s="1739"/>
      <c r="C3058" s="1878" t="s">
        <v>2071</v>
      </c>
      <c r="D3058" s="1781">
        <v>5.6000000000000001E-2</v>
      </c>
      <c r="E3058" s="413" t="s">
        <v>2069</v>
      </c>
      <c r="F3058" s="1883">
        <f>'Bahan &amp; Upah'!C$337</f>
        <v>114133.55</v>
      </c>
      <c r="G3058" s="361">
        <f>F3058*D3058</f>
        <v>6391.4787999999999</v>
      </c>
      <c r="H3058" s="1749">
        <v>1</v>
      </c>
      <c r="I3058" s="1749">
        <f>(G3058/G$3068)*H3058</f>
        <v>0.23718646737252597</v>
      </c>
      <c r="J3058" s="1750"/>
    </row>
    <row r="3059" spans="1:10" ht="15.75" customHeight="1">
      <c r="A3059" s="1780"/>
      <c r="B3059" s="1739"/>
      <c r="C3059" s="1878" t="s">
        <v>2072</v>
      </c>
      <c r="D3059" s="1781">
        <v>6.0000000000000001E-3</v>
      </c>
      <c r="E3059" s="413" t="s">
        <v>2069</v>
      </c>
      <c r="F3059" s="1748">
        <f>'Bahan &amp; Upah'!C$338</f>
        <v>125485.75</v>
      </c>
      <c r="G3059" s="361">
        <f>F3059*D3059</f>
        <v>752.91449999999998</v>
      </c>
      <c r="H3059" s="1749">
        <v>1</v>
      </c>
      <c r="I3059" s="1749">
        <f>(G3059/G$3068)*H3059</f>
        <v>2.794050267186237E-2</v>
      </c>
      <c r="J3059" s="1750"/>
    </row>
    <row r="3060" spans="1:10" ht="15.75" customHeight="1">
      <c r="A3060" s="1780"/>
      <c r="B3060" s="1739"/>
      <c r="C3060" s="1878" t="s">
        <v>2107</v>
      </c>
      <c r="D3060" s="1781">
        <v>2E-3</v>
      </c>
      <c r="E3060" s="413" t="s">
        <v>2069</v>
      </c>
      <c r="F3060" s="1883">
        <f>'Bahan &amp; Upah'!C$339</f>
        <v>102689.88</v>
      </c>
      <c r="G3060" s="1785">
        <f>F3060*D3060</f>
        <v>205.37976</v>
      </c>
      <c r="H3060" s="1749">
        <v>1</v>
      </c>
      <c r="I3060" s="1752">
        <f>(G3060/G$3068)*H3060</f>
        <v>7.6216007701092924E-3</v>
      </c>
      <c r="J3060" s="1750"/>
    </row>
    <row r="3061" spans="1:10" ht="15.75" customHeight="1">
      <c r="A3061" s="1780"/>
      <c r="B3061" s="1739"/>
      <c r="C3061" s="1889" t="s">
        <v>2108</v>
      </c>
      <c r="D3061" s="1781"/>
      <c r="E3061" s="413"/>
      <c r="F3061" s="320"/>
      <c r="G3061" s="361">
        <f>SUM(G3057:G3060)</f>
        <v>10528.75051</v>
      </c>
      <c r="H3061" s="1749"/>
      <c r="I3061" s="1994">
        <f>SUM(I3057:I3060)</f>
        <v>0.39071977197414492</v>
      </c>
      <c r="J3061" s="1750"/>
    </row>
    <row r="3062" spans="1:10" ht="15.75" customHeight="1">
      <c r="A3062" s="1780"/>
      <c r="B3062" s="1739" t="s">
        <v>1015</v>
      </c>
      <c r="C3062" s="1877" t="s">
        <v>2075</v>
      </c>
      <c r="D3062" s="1781"/>
      <c r="E3062" s="413"/>
      <c r="F3062" s="320"/>
      <c r="G3062" s="320"/>
      <c r="H3062" s="1749"/>
      <c r="I3062" s="1994"/>
      <c r="J3062" s="1750"/>
    </row>
    <row r="3063" spans="1:10" ht="15.75" customHeight="1">
      <c r="A3063" s="1780"/>
      <c r="B3063" s="1739"/>
      <c r="C3063" s="1878" t="s">
        <v>2892</v>
      </c>
      <c r="D3063" s="1781">
        <v>1.5</v>
      </c>
      <c r="E3063" s="413" t="s">
        <v>117</v>
      </c>
      <c r="F3063" s="1747">
        <f>'Bahan &amp; Upah'!C275/4</f>
        <v>6687.11</v>
      </c>
      <c r="G3063" s="345">
        <f>F3063*D3063</f>
        <v>10030.664999999999</v>
      </c>
      <c r="H3063" s="1749">
        <v>0.89800000000000002</v>
      </c>
      <c r="I3063" s="1749">
        <f>(G3063/G$3068)*H3063</f>
        <v>0.33426785692835587</v>
      </c>
      <c r="J3063" s="1750"/>
    </row>
    <row r="3064" spans="1:10" ht="15.75" customHeight="1">
      <c r="A3064" s="1780"/>
      <c r="B3064" s="1739"/>
      <c r="C3064" s="1878" t="s">
        <v>2880</v>
      </c>
      <c r="D3064" s="1781">
        <f>1.2</f>
        <v>1.2</v>
      </c>
      <c r="E3064" s="413" t="s">
        <v>124</v>
      </c>
      <c r="F3064" s="1883">
        <f>'Bahan &amp; Upah'!C$277</f>
        <v>5323.04</v>
      </c>
      <c r="G3064" s="1794">
        <f>F3064*D3064</f>
        <v>6387.6480000000001</v>
      </c>
      <c r="H3064" s="1749">
        <v>0.56079999999999997</v>
      </c>
      <c r="I3064" s="1752">
        <f>(G3064/G$3068)*H3064</f>
        <v>0.13293444746106214</v>
      </c>
      <c r="J3064" s="1750"/>
    </row>
    <row r="3065" spans="1:10" ht="15.75" customHeight="1">
      <c r="A3065" s="1780"/>
      <c r="B3065" s="1784"/>
      <c r="C3065" s="1889" t="s">
        <v>2091</v>
      </c>
      <c r="D3065" s="1781"/>
      <c r="E3065" s="413"/>
      <c r="F3065" s="1883"/>
      <c r="G3065" s="345">
        <f>SUM(G3063:G3064)</f>
        <v>16418.312999999998</v>
      </c>
      <c r="H3065" s="1749"/>
      <c r="I3065" s="1994">
        <f>SUM(I3063:I3064)</f>
        <v>0.46720230438941801</v>
      </c>
      <c r="J3065" s="1750"/>
    </row>
    <row r="3066" spans="1:10" ht="15.75" customHeight="1">
      <c r="A3066" s="1780"/>
      <c r="B3066" s="1739" t="s">
        <v>1048</v>
      </c>
      <c r="C3066" s="1877" t="s">
        <v>2246</v>
      </c>
      <c r="D3066" s="1756"/>
      <c r="E3066" s="333"/>
      <c r="F3066" s="1883"/>
      <c r="G3066" s="345"/>
      <c r="H3066" s="1749"/>
      <c r="I3066" s="1749"/>
      <c r="J3066" s="1750"/>
    </row>
    <row r="3067" spans="1:10" ht="15.75" customHeight="1">
      <c r="A3067" s="1780"/>
      <c r="B3067" s="1909"/>
      <c r="C3067" s="1878"/>
      <c r="D3067" s="1756"/>
      <c r="E3067" s="333"/>
      <c r="F3067" s="328"/>
      <c r="G3067" s="361">
        <v>0</v>
      </c>
      <c r="H3067" s="1749"/>
      <c r="I3067" s="1749"/>
      <c r="J3067" s="1750"/>
    </row>
    <row r="3068" spans="1:10" ht="15.75" customHeight="1">
      <c r="A3068" s="1780"/>
      <c r="B3068" s="1784"/>
      <c r="C3068" s="1804" t="s">
        <v>2242</v>
      </c>
      <c r="D3068" s="1763"/>
      <c r="E3068" s="1764"/>
      <c r="F3068" s="1765"/>
      <c r="G3068" s="1765">
        <f>G3061+G3065+G3067</f>
        <v>26947.06351</v>
      </c>
      <c r="H3068" s="1749"/>
      <c r="I3068" s="1766">
        <f>I3061+I3065+I3067</f>
        <v>0.85792207636356288</v>
      </c>
      <c r="J3068" s="1750"/>
    </row>
    <row r="3069" spans="1:10" ht="15.75" customHeight="1">
      <c r="A3069" s="1780"/>
      <c r="B3069" s="1784"/>
      <c r="C3069" s="1762" t="s">
        <v>2094</v>
      </c>
      <c r="D3069" s="1767">
        <f>M$4</f>
        <v>0.15</v>
      </c>
      <c r="E3069" s="1768"/>
      <c r="F3069" s="1765"/>
      <c r="G3069" s="1765">
        <f>G3068*D3069</f>
        <v>4042.0595264999997</v>
      </c>
      <c r="H3069" s="1749"/>
      <c r="I3069" s="1749"/>
      <c r="J3069" s="1750"/>
    </row>
    <row r="3070" spans="1:10" ht="15.75" customHeight="1">
      <c r="A3070" s="1786"/>
      <c r="B3070" s="1890"/>
      <c r="C3070" s="1788" t="s">
        <v>2111</v>
      </c>
      <c r="D3070" s="1772"/>
      <c r="E3070" s="1773"/>
      <c r="F3070" s="1774"/>
      <c r="G3070" s="1775">
        <f>ROUNDUP((G3068+G3069),2)</f>
        <v>30989.129999999997</v>
      </c>
      <c r="H3070" s="1937"/>
      <c r="I3070" s="1937"/>
      <c r="J3070" s="1938"/>
    </row>
    <row r="3071" spans="1:10" ht="15.75" customHeight="1">
      <c r="A3071" s="1733"/>
      <c r="B3071" s="1733"/>
      <c r="C3071" s="1733"/>
      <c r="D3071" s="1733"/>
      <c r="E3071" s="1733"/>
      <c r="F3071" s="1733"/>
      <c r="G3071" s="1733"/>
      <c r="H3071" s="1733"/>
      <c r="I3071" s="1733"/>
      <c r="J3071" s="1733"/>
    </row>
    <row r="3072" spans="1:10" ht="15.75" customHeight="1">
      <c r="A3072" s="1778">
        <f>A3055+1</f>
        <v>168</v>
      </c>
      <c r="B3072" s="1805" t="s">
        <v>2893</v>
      </c>
      <c r="C3072" s="1872" t="s">
        <v>2894</v>
      </c>
      <c r="D3072" s="1971"/>
      <c r="E3072" s="1874"/>
      <c r="F3072" s="1875"/>
      <c r="G3072" s="1875"/>
      <c r="H3072" s="1800"/>
      <c r="I3072" s="1800"/>
      <c r="J3072" s="1801"/>
    </row>
    <row r="3073" spans="1:10" ht="15.75" customHeight="1">
      <c r="A3073" s="1780"/>
      <c r="B3073" s="1739" t="s">
        <v>1004</v>
      </c>
      <c r="C3073" s="1877" t="s">
        <v>2067</v>
      </c>
      <c r="D3073" s="390"/>
      <c r="E3073" s="413"/>
      <c r="F3073" s="320"/>
      <c r="G3073" s="320"/>
      <c r="H3073" s="1802"/>
      <c r="I3073" s="1802"/>
      <c r="J3073" s="1803"/>
    </row>
    <row r="3074" spans="1:10" ht="15.75" customHeight="1">
      <c r="A3074" s="1780"/>
      <c r="B3074" s="1739"/>
      <c r="C3074" s="1878" t="s">
        <v>2103</v>
      </c>
      <c r="D3074" s="1781">
        <v>3.5000000000000003E-2</v>
      </c>
      <c r="E3074" s="413" t="s">
        <v>2069</v>
      </c>
      <c r="F3074" s="1747">
        <f>'Bahan &amp; Upah'!C$336</f>
        <v>96332.65</v>
      </c>
      <c r="G3074" s="361">
        <f>F3074*D3074</f>
        <v>3371.64275</v>
      </c>
      <c r="H3074" s="1749">
        <v>1</v>
      </c>
      <c r="I3074" s="1749">
        <f>(G3074/G$3083)*H3074</f>
        <v>2.3544389057433127E-2</v>
      </c>
      <c r="J3074" s="1750"/>
    </row>
    <row r="3075" spans="1:10" ht="15.75" customHeight="1">
      <c r="A3075" s="1780"/>
      <c r="B3075" s="1739"/>
      <c r="C3075" s="1878" t="s">
        <v>2071</v>
      </c>
      <c r="D3075" s="1781">
        <v>1.7000000000000001E-2</v>
      </c>
      <c r="E3075" s="413" t="s">
        <v>2069</v>
      </c>
      <c r="F3075" s="1883">
        <f>'Bahan &amp; Upah'!C$337</f>
        <v>114133.55</v>
      </c>
      <c r="G3075" s="361">
        <f>F3075*D3075</f>
        <v>1940.2703500000002</v>
      </c>
      <c r="H3075" s="1749">
        <v>1</v>
      </c>
      <c r="I3075" s="1749">
        <f>(G3075/G$3083)*H3075</f>
        <v>1.3549027398291811E-2</v>
      </c>
      <c r="J3075" s="1750"/>
    </row>
    <row r="3076" spans="1:10" ht="15.75" customHeight="1">
      <c r="A3076" s="1780"/>
      <c r="B3076" s="1739"/>
      <c r="C3076" s="1878" t="s">
        <v>2107</v>
      </c>
      <c r="D3076" s="1781">
        <v>3.0000000000000001E-3</v>
      </c>
      <c r="E3076" s="413" t="s">
        <v>2069</v>
      </c>
      <c r="F3076" s="1883">
        <f>'Bahan &amp; Upah'!C$339</f>
        <v>102689.88</v>
      </c>
      <c r="G3076" s="1785">
        <f>F3076*D3076</f>
        <v>308.06963999999999</v>
      </c>
      <c r="H3076" s="1749">
        <v>1</v>
      </c>
      <c r="I3076" s="1752">
        <f>(G3076/G$3083)*H3076</f>
        <v>2.1512692769550873E-3</v>
      </c>
      <c r="J3076" s="1750"/>
    </row>
    <row r="3077" spans="1:10" ht="15.75" customHeight="1">
      <c r="A3077" s="1780"/>
      <c r="B3077" s="1739"/>
      <c r="C3077" s="1889" t="s">
        <v>2108</v>
      </c>
      <c r="D3077" s="1781"/>
      <c r="E3077" s="413"/>
      <c r="F3077" s="320"/>
      <c r="G3077" s="361">
        <f>SUM(G3074:G3076)</f>
        <v>5619.9827399999995</v>
      </c>
      <c r="H3077" s="1749"/>
      <c r="I3077" s="1994">
        <f>SUM(I3074:I3076)</f>
        <v>3.9244685732680022E-2</v>
      </c>
      <c r="J3077" s="1750"/>
    </row>
    <row r="3078" spans="1:10" ht="15.75" customHeight="1">
      <c r="A3078" s="1780"/>
      <c r="B3078" s="1739" t="s">
        <v>1015</v>
      </c>
      <c r="C3078" s="1877" t="s">
        <v>2075</v>
      </c>
      <c r="D3078" s="1781"/>
      <c r="E3078" s="413"/>
      <c r="F3078" s="320"/>
      <c r="G3078" s="320"/>
      <c r="H3078" s="1749"/>
      <c r="I3078" s="1994"/>
      <c r="J3078" s="1750"/>
    </row>
    <row r="3079" spans="1:10" ht="15.75" customHeight="1">
      <c r="A3079" s="1780"/>
      <c r="B3079" s="1739"/>
      <c r="C3079" s="1878" t="s">
        <v>2895</v>
      </c>
      <c r="D3079" s="1781">
        <v>1</v>
      </c>
      <c r="E3079" s="413" t="s">
        <v>117</v>
      </c>
      <c r="F3079" s="1747">
        <f>'Bahan &amp; Upah'!C$276</f>
        <v>137583.67999999999</v>
      </c>
      <c r="G3079" s="1794">
        <f>F3079*D3079</f>
        <v>137583.67999999999</v>
      </c>
      <c r="H3079" s="1749">
        <v>0.51129999999999998</v>
      </c>
      <c r="I3079" s="1752">
        <f>(G3079/G$3083)*H3079</f>
        <v>0.49123419218488068</v>
      </c>
      <c r="J3079" s="1750"/>
    </row>
    <row r="3080" spans="1:10" ht="15.75" customHeight="1">
      <c r="A3080" s="1780"/>
      <c r="B3080" s="1784"/>
      <c r="C3080" s="1889" t="s">
        <v>2091</v>
      </c>
      <c r="D3080" s="1781"/>
      <c r="E3080" s="413"/>
      <c r="F3080" s="1883"/>
      <c r="G3080" s="345">
        <f>SUM(G3079:G3079)</f>
        <v>137583.67999999999</v>
      </c>
      <c r="H3080" s="1749"/>
      <c r="I3080" s="1994">
        <f>SUM(I3079:I3079)</f>
        <v>0.49123419218488068</v>
      </c>
      <c r="J3080" s="1750"/>
    </row>
    <row r="3081" spans="1:10" ht="15.75" customHeight="1">
      <c r="A3081" s="1780"/>
      <c r="B3081" s="1739" t="s">
        <v>1048</v>
      </c>
      <c r="C3081" s="1877" t="s">
        <v>2246</v>
      </c>
      <c r="D3081" s="1756"/>
      <c r="E3081" s="333"/>
      <c r="F3081" s="1883"/>
      <c r="G3081" s="345"/>
      <c r="H3081" s="1749"/>
      <c r="I3081" s="1749"/>
      <c r="J3081" s="1750"/>
    </row>
    <row r="3082" spans="1:10" ht="15.75" customHeight="1">
      <c r="A3082" s="1780"/>
      <c r="B3082" s="1909"/>
      <c r="C3082" s="1878"/>
      <c r="D3082" s="1756"/>
      <c r="E3082" s="333"/>
      <c r="F3082" s="328"/>
      <c r="G3082" s="361">
        <v>0</v>
      </c>
      <c r="H3082" s="1749"/>
      <c r="I3082" s="1749"/>
      <c r="J3082" s="1750"/>
    </row>
    <row r="3083" spans="1:10" ht="15.75" customHeight="1">
      <c r="A3083" s="1780"/>
      <c r="B3083" s="1784"/>
      <c r="C3083" s="1804" t="s">
        <v>2242</v>
      </c>
      <c r="D3083" s="1763"/>
      <c r="E3083" s="1764"/>
      <c r="F3083" s="1765"/>
      <c r="G3083" s="1765">
        <f>G3077+G3080+G3082</f>
        <v>143203.66274</v>
      </c>
      <c r="H3083" s="1749"/>
      <c r="I3083" s="1766">
        <f>I3077+I3080+I3082</f>
        <v>0.53047887791756065</v>
      </c>
      <c r="J3083" s="1750"/>
    </row>
    <row r="3084" spans="1:10" ht="15.75" customHeight="1">
      <c r="A3084" s="1780"/>
      <c r="B3084" s="1784"/>
      <c r="C3084" s="1762" t="s">
        <v>2094</v>
      </c>
      <c r="D3084" s="1767">
        <f>M$4</f>
        <v>0.15</v>
      </c>
      <c r="E3084" s="1768"/>
      <c r="F3084" s="1765"/>
      <c r="G3084" s="1765">
        <f>G3083*D3084</f>
        <v>21480.549411</v>
      </c>
      <c r="H3084" s="1749"/>
      <c r="I3084" s="1749"/>
      <c r="J3084" s="1750"/>
    </row>
    <row r="3085" spans="1:10" ht="15.75" customHeight="1">
      <c r="A3085" s="1786"/>
      <c r="B3085" s="1890"/>
      <c r="C3085" s="1788" t="s">
        <v>2111</v>
      </c>
      <c r="D3085" s="1772"/>
      <c r="E3085" s="1773"/>
      <c r="F3085" s="1774"/>
      <c r="G3085" s="1775">
        <f>ROUNDUP((G3083+G3084),2)</f>
        <v>164684.22</v>
      </c>
      <c r="H3085" s="1937"/>
      <c r="I3085" s="1937"/>
      <c r="J3085" s="1938"/>
    </row>
    <row r="3086" spans="1:10" ht="15.75" customHeight="1">
      <c r="A3086" s="1733"/>
      <c r="B3086" s="1733"/>
      <c r="C3086" s="1733"/>
      <c r="D3086" s="1733"/>
      <c r="E3086" s="1733"/>
      <c r="F3086" s="1733"/>
      <c r="G3086" s="1733"/>
      <c r="H3086" s="1733"/>
      <c r="I3086" s="1733"/>
      <c r="J3086" s="1733"/>
    </row>
    <row r="3087" spans="1:10" ht="15.75" customHeight="1">
      <c r="A3087" s="1778">
        <f>A3072+1</f>
        <v>169</v>
      </c>
      <c r="B3087" s="1805" t="s">
        <v>2896</v>
      </c>
      <c r="C3087" s="1872" t="s">
        <v>2897</v>
      </c>
      <c r="D3087" s="1873"/>
      <c r="E3087" s="1874"/>
      <c r="F3087" s="1875"/>
      <c r="G3087" s="1875"/>
      <c r="H3087" s="2089"/>
      <c r="I3087" s="2089"/>
      <c r="J3087" s="2090"/>
    </row>
    <row r="3088" spans="1:10" ht="15.75" customHeight="1">
      <c r="A3088" s="1780"/>
      <c r="B3088" s="1739" t="s">
        <v>1004</v>
      </c>
      <c r="C3088" s="1877" t="s">
        <v>2067</v>
      </c>
      <c r="D3088" s="390"/>
      <c r="E3088" s="413"/>
      <c r="F3088" s="320"/>
      <c r="G3088" s="320"/>
      <c r="H3088" s="1782"/>
      <c r="I3088" s="1782"/>
      <c r="J3088" s="1783"/>
    </row>
    <row r="3089" spans="1:10" ht="15.75" customHeight="1">
      <c r="A3089" s="1780"/>
      <c r="B3089" s="1739"/>
      <c r="C3089" s="1878" t="s">
        <v>2103</v>
      </c>
      <c r="D3089" s="1841">
        <v>0.5</v>
      </c>
      <c r="E3089" s="413" t="s">
        <v>2069</v>
      </c>
      <c r="F3089" s="1747">
        <f>'Bahan &amp; Upah'!C$336</f>
        <v>96332.65</v>
      </c>
      <c r="G3089" s="361">
        <f>F3089*D3089</f>
        <v>48166.324999999997</v>
      </c>
      <c r="H3089" s="2015">
        <v>1</v>
      </c>
      <c r="I3089" s="2015">
        <f>(G3089/G$3100)*H3089</f>
        <v>6.9254099905418323E-2</v>
      </c>
      <c r="J3089" s="1981"/>
    </row>
    <row r="3090" spans="1:10" ht="15.75" customHeight="1">
      <c r="A3090" s="1780"/>
      <c r="B3090" s="1739"/>
      <c r="C3090" s="1878" t="s">
        <v>2124</v>
      </c>
      <c r="D3090" s="1841">
        <v>0.5</v>
      </c>
      <c r="E3090" s="413" t="s">
        <v>2069</v>
      </c>
      <c r="F3090" s="1883">
        <f>'Bahan &amp; Upah'!C$337</f>
        <v>114133.55</v>
      </c>
      <c r="G3090" s="361">
        <f>F3090*D3090</f>
        <v>57066.775000000001</v>
      </c>
      <c r="H3090" s="2015">
        <v>1</v>
      </c>
      <c r="I3090" s="2015">
        <f>(G3090/G$3100)*H3090</f>
        <v>8.205126999267702E-2</v>
      </c>
      <c r="J3090" s="1981"/>
    </row>
    <row r="3091" spans="1:10" ht="15.75" customHeight="1">
      <c r="A3091" s="1780"/>
      <c r="B3091" s="1739"/>
      <c r="C3091" s="1878" t="s">
        <v>2072</v>
      </c>
      <c r="D3091" s="1841">
        <v>0.05</v>
      </c>
      <c r="E3091" s="413" t="s">
        <v>2069</v>
      </c>
      <c r="F3091" s="1748">
        <f>'Bahan &amp; Upah'!C$338</f>
        <v>125485.75</v>
      </c>
      <c r="G3091" s="361">
        <f>F3091*D3091</f>
        <v>6274.2875000000004</v>
      </c>
      <c r="H3091" s="2015">
        <v>1</v>
      </c>
      <c r="I3091" s="2015">
        <f>(G3091/G$3100)*H3091</f>
        <v>9.0212432308322769E-3</v>
      </c>
      <c r="J3091" s="1981"/>
    </row>
    <row r="3092" spans="1:10" ht="15.75" customHeight="1">
      <c r="A3092" s="1780"/>
      <c r="B3092" s="1739"/>
      <c r="C3092" s="1878" t="s">
        <v>2107</v>
      </c>
      <c r="D3092" s="1841">
        <v>1.67E-2</v>
      </c>
      <c r="E3092" s="413" t="s">
        <v>2069</v>
      </c>
      <c r="F3092" s="1883">
        <f>'Bahan &amp; Upah'!C$339</f>
        <v>102689.88</v>
      </c>
      <c r="G3092" s="1785">
        <f>F3092*D3092</f>
        <v>1714.9209960000001</v>
      </c>
      <c r="H3092" s="2015">
        <v>1</v>
      </c>
      <c r="I3092" s="2016">
        <f>(G3092/G$3100)*H3092</f>
        <v>2.4657332687699034E-3</v>
      </c>
      <c r="J3092" s="1981"/>
    </row>
    <row r="3093" spans="1:10" ht="15.75" customHeight="1">
      <c r="A3093" s="1780"/>
      <c r="B3093" s="1739"/>
      <c r="C3093" s="1889" t="s">
        <v>2108</v>
      </c>
      <c r="D3093" s="1841"/>
      <c r="E3093" s="413"/>
      <c r="F3093" s="320"/>
      <c r="G3093" s="361">
        <f>SUM(G3089:G3092)</f>
        <v>113222.30849600001</v>
      </c>
      <c r="H3093" s="2015"/>
      <c r="I3093" s="2017">
        <f>SUM(I3089:I3092)</f>
        <v>0.16279234639769752</v>
      </c>
      <c r="J3093" s="1981"/>
    </row>
    <row r="3094" spans="1:10" ht="15.75" customHeight="1">
      <c r="A3094" s="1780"/>
      <c r="B3094" s="1739" t="s">
        <v>1015</v>
      </c>
      <c r="C3094" s="1877" t="s">
        <v>2075</v>
      </c>
      <c r="D3094" s="1841"/>
      <c r="E3094" s="413"/>
      <c r="F3094" s="317"/>
      <c r="G3094" s="320"/>
      <c r="H3094" s="2015"/>
      <c r="I3094" s="2015"/>
      <c r="J3094" s="1981"/>
    </row>
    <row r="3095" spans="1:10" ht="15.75" customHeight="1">
      <c r="A3095" s="1780"/>
      <c r="B3095" s="1739"/>
      <c r="C3095" s="1878" t="s">
        <v>2898</v>
      </c>
      <c r="D3095" s="1841">
        <v>1</v>
      </c>
      <c r="E3095" s="413" t="s">
        <v>360</v>
      </c>
      <c r="F3095" s="1747">
        <f>'Bahan &amp; Upah'!C285</f>
        <v>577236.41</v>
      </c>
      <c r="G3095" s="361">
        <f>F3095*D3095</f>
        <v>577236.41</v>
      </c>
      <c r="H3095" s="2015">
        <f>H3112</f>
        <v>0.41149999999999998</v>
      </c>
      <c r="I3095" s="2015">
        <f>(G3095/G$3100)*H3095</f>
        <v>0.34152738588540094</v>
      </c>
      <c r="J3095" s="1981"/>
    </row>
    <row r="3096" spans="1:10" ht="15.75" customHeight="1">
      <c r="A3096" s="1780"/>
      <c r="B3096" s="1739"/>
      <c r="C3096" s="1878" t="s">
        <v>2899</v>
      </c>
      <c r="D3096" s="1841">
        <v>3.5999999999999997E-2</v>
      </c>
      <c r="E3096" s="413" t="s">
        <v>89</v>
      </c>
      <c r="F3096" s="1747">
        <f>G1435</f>
        <v>140075.11195399999</v>
      </c>
      <c r="G3096" s="1794">
        <f>F3096*D3096</f>
        <v>5042.704030343999</v>
      </c>
      <c r="H3096" s="1980">
        <v>1</v>
      </c>
      <c r="I3096" s="2016">
        <f>(G3096/G$3100)*H3096</f>
        <v>7.2504582550339675E-3</v>
      </c>
      <c r="J3096" s="1981"/>
    </row>
    <row r="3097" spans="1:10" ht="15.75" customHeight="1">
      <c r="A3097" s="1780"/>
      <c r="B3097" s="1784"/>
      <c r="C3097" s="1889" t="s">
        <v>2091</v>
      </c>
      <c r="D3097" s="1841"/>
      <c r="E3097" s="413"/>
      <c r="F3097" s="320"/>
      <c r="G3097" s="361">
        <f>SUM(G3095:G3096)</f>
        <v>582279.11403034406</v>
      </c>
      <c r="H3097" s="2015"/>
      <c r="I3097" s="2017">
        <f>SUM(I3095:I3096)</f>
        <v>0.34877784414043489</v>
      </c>
      <c r="J3097" s="1981"/>
    </row>
    <row r="3098" spans="1:10" ht="15.75" customHeight="1">
      <c r="A3098" s="1780"/>
      <c r="B3098" s="1739" t="s">
        <v>1048</v>
      </c>
      <c r="C3098" s="1877" t="s">
        <v>2246</v>
      </c>
      <c r="D3098" s="1841"/>
      <c r="E3098" s="413"/>
      <c r="F3098" s="317"/>
      <c r="G3098" s="320"/>
      <c r="H3098" s="2015"/>
      <c r="I3098" s="2015"/>
      <c r="J3098" s="1981"/>
    </row>
    <row r="3099" spans="1:10" ht="15.75" customHeight="1">
      <c r="A3099" s="1780"/>
      <c r="B3099" s="1784"/>
      <c r="C3099" s="1878"/>
      <c r="D3099" s="1841"/>
      <c r="E3099" s="413"/>
      <c r="F3099" s="320"/>
      <c r="G3099" s="361">
        <v>0</v>
      </c>
      <c r="H3099" s="2015"/>
      <c r="I3099" s="2015"/>
      <c r="J3099" s="1981"/>
    </row>
    <row r="3100" spans="1:10" ht="15.75" customHeight="1">
      <c r="A3100" s="1780"/>
      <c r="B3100" s="1784"/>
      <c r="C3100" s="1804" t="s">
        <v>2298</v>
      </c>
      <c r="D3100" s="1763"/>
      <c r="E3100" s="1764"/>
      <c r="F3100" s="1765"/>
      <c r="G3100" s="1765">
        <f>G3093+G3097+G3099</f>
        <v>695501.42252634407</v>
      </c>
      <c r="H3100" s="2015"/>
      <c r="I3100" s="2018">
        <f>I3093+I3097</f>
        <v>0.51157019053813246</v>
      </c>
      <c r="J3100" s="1981"/>
    </row>
    <row r="3101" spans="1:10" ht="15.75" customHeight="1">
      <c r="A3101" s="1780"/>
      <c r="B3101" s="1784"/>
      <c r="C3101" s="1762" t="s">
        <v>2094</v>
      </c>
      <c r="D3101" s="1767">
        <f>M$4</f>
        <v>0.15</v>
      </c>
      <c r="E3101" s="1768"/>
      <c r="F3101" s="1765"/>
      <c r="G3101" s="1765">
        <f>G3100*D3101</f>
        <v>104325.21337895161</v>
      </c>
      <c r="H3101" s="2015"/>
      <c r="I3101" s="2015"/>
      <c r="J3101" s="1981"/>
    </row>
    <row r="3102" spans="1:10" ht="15.75" customHeight="1">
      <c r="A3102" s="1786"/>
      <c r="B3102" s="1890"/>
      <c r="C3102" s="1788" t="s">
        <v>2111</v>
      </c>
      <c r="D3102" s="1772"/>
      <c r="E3102" s="1773"/>
      <c r="F3102" s="1774"/>
      <c r="G3102" s="1998">
        <f>ROUNDUP((G3100+G3101),2)</f>
        <v>799826.64</v>
      </c>
      <c r="H3102" s="2019"/>
      <c r="I3102" s="2019"/>
      <c r="J3102" s="1986"/>
    </row>
    <row r="3103" spans="1:10" ht="15.75" customHeight="1">
      <c r="A3103" s="1733"/>
      <c r="B3103" s="1733"/>
      <c r="C3103" s="1733"/>
      <c r="D3103" s="1733"/>
      <c r="E3103" s="1733"/>
      <c r="F3103" s="1733"/>
      <c r="G3103" s="1733"/>
      <c r="H3103" s="2029"/>
      <c r="I3103" s="2029"/>
      <c r="J3103" s="2029"/>
    </row>
    <row r="3104" spans="1:10" ht="15.75" customHeight="1">
      <c r="A3104" s="1778">
        <f>A3087+1</f>
        <v>170</v>
      </c>
      <c r="B3104" s="1805" t="s">
        <v>2900</v>
      </c>
      <c r="C3104" s="1872" t="s">
        <v>2901</v>
      </c>
      <c r="D3104" s="1873"/>
      <c r="E3104" s="1874"/>
      <c r="F3104" s="1875"/>
      <c r="G3104" s="1875"/>
      <c r="H3104" s="2089"/>
      <c r="I3104" s="2089"/>
      <c r="J3104" s="2090"/>
    </row>
    <row r="3105" spans="1:10" ht="15.75" customHeight="1">
      <c r="A3105" s="1780"/>
      <c r="B3105" s="1739" t="s">
        <v>1004</v>
      </c>
      <c r="C3105" s="1877" t="s">
        <v>2067</v>
      </c>
      <c r="D3105" s="390"/>
      <c r="E3105" s="413"/>
      <c r="F3105" s="320"/>
      <c r="G3105" s="320"/>
      <c r="H3105" s="1782"/>
      <c r="I3105" s="1782"/>
      <c r="J3105" s="1783"/>
    </row>
    <row r="3106" spans="1:10" ht="15.75" customHeight="1">
      <c r="A3106" s="1780"/>
      <c r="B3106" s="1739"/>
      <c r="C3106" s="1878" t="s">
        <v>2103</v>
      </c>
      <c r="D3106" s="1841">
        <v>0.5</v>
      </c>
      <c r="E3106" s="413" t="s">
        <v>2069</v>
      </c>
      <c r="F3106" s="1747">
        <f>'Bahan &amp; Upah'!C$336</f>
        <v>96332.65</v>
      </c>
      <c r="G3106" s="361">
        <f>F3106*D3106</f>
        <v>48166.324999999997</v>
      </c>
      <c r="H3106" s="2015">
        <v>1</v>
      </c>
      <c r="I3106" s="2015">
        <f>(G3106/G$3117)*H3106</f>
        <v>2.8373900637660449E-2</v>
      </c>
      <c r="J3106" s="1981"/>
    </row>
    <row r="3107" spans="1:10" ht="15.75" customHeight="1">
      <c r="A3107" s="1780"/>
      <c r="B3107" s="1739"/>
      <c r="C3107" s="1878" t="s">
        <v>2124</v>
      </c>
      <c r="D3107" s="1841">
        <v>1.2</v>
      </c>
      <c r="E3107" s="413" t="s">
        <v>2069</v>
      </c>
      <c r="F3107" s="1883">
        <f>'Bahan &amp; Upah'!C$337</f>
        <v>114133.55</v>
      </c>
      <c r="G3107" s="361">
        <f>F3107*D3107</f>
        <v>136960.26</v>
      </c>
      <c r="H3107" s="2015">
        <v>1</v>
      </c>
      <c r="I3107" s="2015">
        <f>(G3107/G$3117)*H3107</f>
        <v>8.0680782861223932E-2</v>
      </c>
      <c r="J3107" s="1981"/>
    </row>
    <row r="3108" spans="1:10" ht="15.75" customHeight="1">
      <c r="A3108" s="1780"/>
      <c r="B3108" s="1739"/>
      <c r="C3108" s="1878" t="s">
        <v>2072</v>
      </c>
      <c r="D3108" s="1841">
        <v>0.12</v>
      </c>
      <c r="E3108" s="413" t="s">
        <v>2069</v>
      </c>
      <c r="F3108" s="1748">
        <f>'Bahan &amp; Upah'!C$338</f>
        <v>125485.75</v>
      </c>
      <c r="G3108" s="361">
        <f>F3108*D3108</f>
        <v>15058.289999999999</v>
      </c>
      <c r="H3108" s="2015">
        <v>1</v>
      </c>
      <c r="I3108" s="2015">
        <f>(G3108/G$3117)*H3108</f>
        <v>8.8705630797673678E-3</v>
      </c>
      <c r="J3108" s="1981"/>
    </row>
    <row r="3109" spans="1:10" ht="15.75" customHeight="1">
      <c r="A3109" s="1780"/>
      <c r="B3109" s="1739"/>
      <c r="C3109" s="1878" t="s">
        <v>2107</v>
      </c>
      <c r="D3109" s="1841">
        <v>0.04</v>
      </c>
      <c r="E3109" s="413" t="s">
        <v>2069</v>
      </c>
      <c r="F3109" s="1883">
        <f>'Bahan &amp; Upah'!C$339</f>
        <v>102689.88</v>
      </c>
      <c r="G3109" s="1785">
        <f>F3109*D3109</f>
        <v>4107.5952000000007</v>
      </c>
      <c r="H3109" s="2015">
        <v>1</v>
      </c>
      <c r="I3109" s="2016">
        <f>(G3109/G$3117)*H3109</f>
        <v>2.419709165366696E-3</v>
      </c>
      <c r="J3109" s="1981"/>
    </row>
    <row r="3110" spans="1:10" ht="15.75" customHeight="1">
      <c r="A3110" s="1780"/>
      <c r="B3110" s="1739"/>
      <c r="C3110" s="1889" t="s">
        <v>2108</v>
      </c>
      <c r="D3110" s="1841"/>
      <c r="E3110" s="413"/>
      <c r="F3110" s="320"/>
      <c r="G3110" s="361">
        <f>SUM(G3106:G3109)</f>
        <v>204292.47020000004</v>
      </c>
      <c r="H3110" s="2015"/>
      <c r="I3110" s="2017">
        <f>SUM(I3106:I3109)</f>
        <v>0.12034495574401845</v>
      </c>
      <c r="J3110" s="1981"/>
    </row>
    <row r="3111" spans="1:10" ht="15.75" customHeight="1">
      <c r="A3111" s="1780"/>
      <c r="B3111" s="1739" t="s">
        <v>1015</v>
      </c>
      <c r="C3111" s="1877" t="s">
        <v>2075</v>
      </c>
      <c r="D3111" s="1841"/>
      <c r="E3111" s="413"/>
      <c r="F3111" s="317"/>
      <c r="G3111" s="320"/>
      <c r="H3111" s="2015"/>
      <c r="I3111" s="2015"/>
      <c r="J3111" s="1981"/>
    </row>
    <row r="3112" spans="1:10" ht="15.75" customHeight="1">
      <c r="A3112" s="1780"/>
      <c r="B3112" s="1739"/>
      <c r="C3112" s="1878" t="s">
        <v>2902</v>
      </c>
      <c r="D3112" s="1841">
        <v>1</v>
      </c>
      <c r="E3112" s="413" t="s">
        <v>360</v>
      </c>
      <c r="F3112" s="1747">
        <f>'Bahan &amp; Upah'!C286</f>
        <v>1392304.74</v>
      </c>
      <c r="G3112" s="361">
        <f>F3112*D3112</f>
        <v>1392304.74</v>
      </c>
      <c r="H3112" s="2015">
        <v>0.41149999999999998</v>
      </c>
      <c r="I3112" s="2015">
        <f>(G3112/G$3117)*H3112</f>
        <v>0.33750458184359422</v>
      </c>
      <c r="J3112" s="1981"/>
    </row>
    <row r="3113" spans="1:10" ht="15.75" customHeight="1">
      <c r="A3113" s="1780"/>
      <c r="B3113" s="1739"/>
      <c r="C3113" s="1878" t="s">
        <v>2903</v>
      </c>
      <c r="D3113" s="1841">
        <v>1</v>
      </c>
      <c r="E3113" s="413" t="s">
        <v>360</v>
      </c>
      <c r="F3113" s="1743">
        <f>'Bahan &amp; Upah'!C292</f>
        <v>100960.19</v>
      </c>
      <c r="G3113" s="1794">
        <f>F3113*D3113</f>
        <v>100960.19</v>
      </c>
      <c r="H3113" s="2015">
        <v>1</v>
      </c>
      <c r="I3113" s="2016">
        <f>(G3113/G$3117)*H3113</f>
        <v>5.9473800407635842E-2</v>
      </c>
      <c r="J3113" s="1981"/>
    </row>
    <row r="3114" spans="1:10" ht="15.75" customHeight="1">
      <c r="A3114" s="1780"/>
      <c r="B3114" s="1784"/>
      <c r="C3114" s="1889" t="s">
        <v>2091</v>
      </c>
      <c r="D3114" s="1841"/>
      <c r="E3114" s="413"/>
      <c r="F3114" s="320"/>
      <c r="G3114" s="361">
        <f>SUM(G3112:G3113)</f>
        <v>1493264.93</v>
      </c>
      <c r="H3114" s="2015"/>
      <c r="I3114" s="2017">
        <f>SUM(I3112:I3113)</f>
        <v>0.39697838225123006</v>
      </c>
      <c r="J3114" s="1981"/>
    </row>
    <row r="3115" spans="1:10" ht="15.75" customHeight="1">
      <c r="A3115" s="1780"/>
      <c r="B3115" s="1739" t="s">
        <v>1048</v>
      </c>
      <c r="C3115" s="1877" t="s">
        <v>2246</v>
      </c>
      <c r="D3115" s="1841"/>
      <c r="E3115" s="413"/>
      <c r="F3115" s="317"/>
      <c r="G3115" s="320"/>
      <c r="H3115" s="2015"/>
      <c r="I3115" s="2015"/>
      <c r="J3115" s="1981"/>
    </row>
    <row r="3116" spans="1:10" ht="15.75" customHeight="1">
      <c r="A3116" s="1780"/>
      <c r="B3116" s="1784"/>
      <c r="C3116" s="1878"/>
      <c r="D3116" s="1841"/>
      <c r="E3116" s="413"/>
      <c r="F3116" s="320"/>
      <c r="G3116" s="361">
        <v>0</v>
      </c>
      <c r="H3116" s="2015"/>
      <c r="I3116" s="2015"/>
      <c r="J3116" s="1981"/>
    </row>
    <row r="3117" spans="1:10" ht="15.75" customHeight="1">
      <c r="A3117" s="1780"/>
      <c r="B3117" s="1784"/>
      <c r="C3117" s="1804" t="s">
        <v>2298</v>
      </c>
      <c r="D3117" s="1763"/>
      <c r="E3117" s="1764"/>
      <c r="F3117" s="1765"/>
      <c r="G3117" s="1765">
        <f>G3110+G3114+G3116</f>
        <v>1697557.4002</v>
      </c>
      <c r="H3117" s="2015"/>
      <c r="I3117" s="2018">
        <f>I3110+I3114</f>
        <v>0.51732333799524854</v>
      </c>
      <c r="J3117" s="1981"/>
    </row>
    <row r="3118" spans="1:10" ht="15.75" customHeight="1">
      <c r="A3118" s="1780"/>
      <c r="B3118" s="1784"/>
      <c r="C3118" s="1762" t="s">
        <v>2094</v>
      </c>
      <c r="D3118" s="1767">
        <f>M$4</f>
        <v>0.15</v>
      </c>
      <c r="E3118" s="1768"/>
      <c r="F3118" s="1765"/>
      <c r="G3118" s="1765">
        <f>G3117*D3118</f>
        <v>254633.61002999998</v>
      </c>
      <c r="H3118" s="2015"/>
      <c r="I3118" s="2015"/>
      <c r="J3118" s="1981"/>
    </row>
    <row r="3119" spans="1:10" ht="15.75" customHeight="1">
      <c r="A3119" s="1786"/>
      <c r="B3119" s="1890"/>
      <c r="C3119" s="1788" t="s">
        <v>2111</v>
      </c>
      <c r="D3119" s="1772"/>
      <c r="E3119" s="1773"/>
      <c r="F3119" s="1774"/>
      <c r="G3119" s="1998">
        <f>ROUNDUP((G3117+G3118),2)</f>
        <v>1952191.02</v>
      </c>
      <c r="H3119" s="2019"/>
      <c r="I3119" s="2019"/>
      <c r="J3119" s="1986"/>
    </row>
    <row r="3120" spans="1:10" ht="15.75" customHeight="1">
      <c r="A3120" s="1733"/>
      <c r="B3120" s="1733"/>
      <c r="C3120" s="1733"/>
      <c r="D3120" s="1733"/>
      <c r="E3120" s="1733"/>
      <c r="F3120" s="1733"/>
      <c r="G3120" s="1733"/>
      <c r="H3120" s="2029"/>
      <c r="I3120" s="2029"/>
      <c r="J3120" s="2029"/>
    </row>
    <row r="3121" spans="1:10" ht="15.75" customHeight="1">
      <c r="A3121" s="1778">
        <f>A3104+1</f>
        <v>171</v>
      </c>
      <c r="B3121" s="1805" t="s">
        <v>2904</v>
      </c>
      <c r="C3121" s="1872" t="s">
        <v>2905</v>
      </c>
      <c r="D3121" s="1873"/>
      <c r="E3121" s="1874"/>
      <c r="F3121" s="1875"/>
      <c r="G3121" s="1875"/>
      <c r="H3121" s="2089"/>
      <c r="I3121" s="2089"/>
      <c r="J3121" s="2090"/>
    </row>
    <row r="3122" spans="1:10" ht="15.75" customHeight="1">
      <c r="A3122" s="1780"/>
      <c r="B3122" s="1739" t="s">
        <v>1004</v>
      </c>
      <c r="C3122" s="1877" t="s">
        <v>2067</v>
      </c>
      <c r="D3122" s="390"/>
      <c r="E3122" s="413"/>
      <c r="F3122" s="320"/>
      <c r="G3122" s="320"/>
      <c r="H3122" s="1782"/>
      <c r="I3122" s="1782"/>
      <c r="J3122" s="1783"/>
    </row>
    <row r="3123" spans="1:10" ht="15.75" customHeight="1">
      <c r="A3123" s="1780"/>
      <c r="B3123" s="1739"/>
      <c r="C3123" s="1878" t="s">
        <v>2103</v>
      </c>
      <c r="D3123" s="1841">
        <v>0.01</v>
      </c>
      <c r="E3123" s="413" t="s">
        <v>2069</v>
      </c>
      <c r="F3123" s="1747">
        <f>'Bahan &amp; Upah'!C$336</f>
        <v>96332.65</v>
      </c>
      <c r="G3123" s="361">
        <f>F3123*D3123</f>
        <v>963.32650000000001</v>
      </c>
      <c r="H3123" s="2015">
        <v>1</v>
      </c>
      <c r="I3123" s="2015">
        <f>(G3123/G$3134)*H3123</f>
        <v>1.7148567745817187E-3</v>
      </c>
      <c r="J3123" s="1981"/>
    </row>
    <row r="3124" spans="1:10" ht="15.75" customHeight="1">
      <c r="A3124" s="1780"/>
      <c r="B3124" s="1739"/>
      <c r="C3124" s="1878" t="s">
        <v>2124</v>
      </c>
      <c r="D3124" s="1841">
        <v>0.4</v>
      </c>
      <c r="E3124" s="413" t="s">
        <v>2069</v>
      </c>
      <c r="F3124" s="1883">
        <f>'Bahan &amp; Upah'!C$337</f>
        <v>114133.55</v>
      </c>
      <c r="G3124" s="361">
        <f>F3124*D3124</f>
        <v>45653.420000000006</v>
      </c>
      <c r="H3124" s="2015">
        <v>1</v>
      </c>
      <c r="I3124" s="2015">
        <f>(G3124/G$3134)*H3124</f>
        <v>8.1269514094987047E-2</v>
      </c>
      <c r="J3124" s="1981"/>
    </row>
    <row r="3125" spans="1:10" ht="15.75" customHeight="1">
      <c r="A3125" s="1780"/>
      <c r="B3125" s="1739"/>
      <c r="C3125" s="1878" t="s">
        <v>2072</v>
      </c>
      <c r="D3125" s="1841">
        <v>0.04</v>
      </c>
      <c r="E3125" s="413" t="s">
        <v>2069</v>
      </c>
      <c r="F3125" s="1748">
        <f>'Bahan &amp; Upah'!C$338</f>
        <v>125485.75</v>
      </c>
      <c r="G3125" s="361">
        <f>F3125*D3125</f>
        <v>5019.43</v>
      </c>
      <c r="H3125" s="2015">
        <v>1</v>
      </c>
      <c r="I3125" s="2015">
        <f>(G3125/G$3134)*H3125</f>
        <v>8.9352919701043386E-3</v>
      </c>
      <c r="J3125" s="1981"/>
    </row>
    <row r="3126" spans="1:10" ht="15.75" customHeight="1">
      <c r="A3126" s="1780"/>
      <c r="B3126" s="1739"/>
      <c r="C3126" s="1878" t="s">
        <v>2107</v>
      </c>
      <c r="D3126" s="1841">
        <v>1.3299999999999999E-2</v>
      </c>
      <c r="E3126" s="413" t="s">
        <v>2069</v>
      </c>
      <c r="F3126" s="1883">
        <f>'Bahan &amp; Upah'!C$339</f>
        <v>102689.88</v>
      </c>
      <c r="G3126" s="1785">
        <f>F3126*D3126</f>
        <v>1365.775404</v>
      </c>
      <c r="H3126" s="2015">
        <v>1</v>
      </c>
      <c r="I3126" s="2016">
        <f>(G3126/G$3134)*H3126</f>
        <v>2.4312724752267108E-3</v>
      </c>
      <c r="J3126" s="1981"/>
    </row>
    <row r="3127" spans="1:10" ht="15.75" customHeight="1">
      <c r="A3127" s="1780"/>
      <c r="B3127" s="1739"/>
      <c r="C3127" s="1889" t="s">
        <v>2108</v>
      </c>
      <c r="D3127" s="1841"/>
      <c r="E3127" s="413"/>
      <c r="F3127" s="320"/>
      <c r="G3127" s="361">
        <f>SUM(G3123:G3126)</f>
        <v>53001.951904000009</v>
      </c>
      <c r="H3127" s="2015"/>
      <c r="I3127" s="2017">
        <f>SUM(I3123:I3126)</f>
        <v>9.4350935314899825E-2</v>
      </c>
      <c r="J3127" s="1981"/>
    </row>
    <row r="3128" spans="1:10" ht="15.75" customHeight="1">
      <c r="A3128" s="1780"/>
      <c r="B3128" s="1739" t="s">
        <v>1015</v>
      </c>
      <c r="C3128" s="1877" t="s">
        <v>2075</v>
      </c>
      <c r="D3128" s="1841"/>
      <c r="E3128" s="413"/>
      <c r="F3128" s="317"/>
      <c r="G3128" s="320"/>
      <c r="H3128" s="2015"/>
      <c r="I3128" s="2015"/>
      <c r="J3128" s="1981"/>
    </row>
    <row r="3129" spans="1:10" ht="15.75" customHeight="1">
      <c r="A3129" s="1780"/>
      <c r="B3129" s="1739"/>
      <c r="C3129" s="1878" t="s">
        <v>2906</v>
      </c>
      <c r="D3129" s="1841">
        <v>1</v>
      </c>
      <c r="E3129" s="413" t="s">
        <v>124</v>
      </c>
      <c r="F3129" s="1747">
        <f>'Bahan &amp; Upah'!C287</f>
        <v>508618.3</v>
      </c>
      <c r="G3129" s="361">
        <f>F3129*D3129</f>
        <v>508618.3</v>
      </c>
      <c r="H3129" s="2015">
        <f>H3181</f>
        <v>0.93740000000000001</v>
      </c>
      <c r="I3129" s="2015">
        <f>(G3129/G$3134)*H3129</f>
        <v>0.84873336878829919</v>
      </c>
      <c r="J3129" s="1981"/>
    </row>
    <row r="3130" spans="1:10" ht="15.75" customHeight="1">
      <c r="A3130" s="1780"/>
      <c r="B3130" s="1739"/>
      <c r="C3130" s="1878" t="s">
        <v>2907</v>
      </c>
      <c r="D3130" s="1841">
        <v>2.5000000000000001E-2</v>
      </c>
      <c r="E3130" s="413" t="s">
        <v>124</v>
      </c>
      <c r="F3130" s="1743">
        <f>'Bahan &amp; Upah'!C$277</f>
        <v>5323.04</v>
      </c>
      <c r="G3130" s="1785">
        <f>F3130*D3130</f>
        <v>133.07599999999999</v>
      </c>
      <c r="H3130" s="2015">
        <f>H3182</f>
        <v>0.55769999999999997</v>
      </c>
      <c r="I3130" s="2016">
        <f>(G3130/G$3134)*H3130</f>
        <v>1.3211579088799472E-4</v>
      </c>
      <c r="J3130" s="1981"/>
    </row>
    <row r="3131" spans="1:10" ht="15.75" customHeight="1">
      <c r="A3131" s="1780"/>
      <c r="B3131" s="1784"/>
      <c r="C3131" s="1889" t="s">
        <v>2091</v>
      </c>
      <c r="D3131" s="1841"/>
      <c r="E3131" s="413"/>
      <c r="F3131" s="320"/>
      <c r="G3131" s="361">
        <f>SUM(G3129:G3130)</f>
        <v>508751.37599999999</v>
      </c>
      <c r="H3131" s="2015"/>
      <c r="I3131" s="2017">
        <f>SUM(I3129:I3130)</f>
        <v>0.8488654845791872</v>
      </c>
      <c r="J3131" s="1981"/>
    </row>
    <row r="3132" spans="1:10" ht="15.75" customHeight="1">
      <c r="A3132" s="1780"/>
      <c r="B3132" s="1739" t="s">
        <v>1048</v>
      </c>
      <c r="C3132" s="1877" t="s">
        <v>2246</v>
      </c>
      <c r="D3132" s="1841"/>
      <c r="E3132" s="413"/>
      <c r="F3132" s="317"/>
      <c r="G3132" s="320"/>
      <c r="H3132" s="2015"/>
      <c r="I3132" s="2015"/>
      <c r="J3132" s="1981"/>
    </row>
    <row r="3133" spans="1:10" ht="15.75" customHeight="1">
      <c r="A3133" s="1780"/>
      <c r="B3133" s="1784"/>
      <c r="C3133" s="1878"/>
      <c r="D3133" s="1841"/>
      <c r="E3133" s="413"/>
      <c r="F3133" s="320"/>
      <c r="G3133" s="361">
        <v>0</v>
      </c>
      <c r="H3133" s="2015"/>
      <c r="I3133" s="2015"/>
      <c r="J3133" s="1981"/>
    </row>
    <row r="3134" spans="1:10" ht="15.75" customHeight="1">
      <c r="A3134" s="1780"/>
      <c r="B3134" s="1784"/>
      <c r="C3134" s="1804" t="s">
        <v>2298</v>
      </c>
      <c r="D3134" s="1763"/>
      <c r="E3134" s="1764"/>
      <c r="F3134" s="1765"/>
      <c r="G3134" s="1765">
        <f>G3127+G3131+G3133</f>
        <v>561753.32790399995</v>
      </c>
      <c r="H3134" s="2015"/>
      <c r="I3134" s="2018">
        <f>I3127+I3131</f>
        <v>0.943216419894087</v>
      </c>
      <c r="J3134" s="1981"/>
    </row>
    <row r="3135" spans="1:10" ht="15.75" customHeight="1">
      <c r="A3135" s="1780"/>
      <c r="B3135" s="1784"/>
      <c r="C3135" s="1762" t="s">
        <v>2094</v>
      </c>
      <c r="D3135" s="1767">
        <f>M$4</f>
        <v>0.15</v>
      </c>
      <c r="E3135" s="1768"/>
      <c r="F3135" s="1765"/>
      <c r="G3135" s="1765">
        <f>G3134*D3135</f>
        <v>84262.999185599983</v>
      </c>
      <c r="H3135" s="2015"/>
      <c r="I3135" s="2015"/>
      <c r="J3135" s="1981"/>
    </row>
    <row r="3136" spans="1:10" ht="15.75" customHeight="1">
      <c r="A3136" s="1786"/>
      <c r="B3136" s="1890"/>
      <c r="C3136" s="1788" t="s">
        <v>2111</v>
      </c>
      <c r="D3136" s="1772"/>
      <c r="E3136" s="1773"/>
      <c r="F3136" s="1774"/>
      <c r="G3136" s="1998">
        <f>ROUNDUP((G3134+G3135),2)</f>
        <v>646016.32999999996</v>
      </c>
      <c r="H3136" s="2019"/>
      <c r="I3136" s="2019"/>
      <c r="J3136" s="1986"/>
    </row>
    <row r="3137" spans="1:10" ht="15.75" customHeight="1">
      <c r="A3137" s="1733"/>
      <c r="B3137" s="1733"/>
      <c r="C3137" s="1733"/>
      <c r="D3137" s="1733"/>
      <c r="E3137" s="1733"/>
      <c r="F3137" s="1733"/>
      <c r="G3137" s="1733"/>
      <c r="H3137" s="2029"/>
      <c r="I3137" s="2029"/>
      <c r="J3137" s="2029"/>
    </row>
    <row r="3138" spans="1:10" ht="15.75" customHeight="1">
      <c r="A3138" s="1778">
        <f>A3121+1</f>
        <v>172</v>
      </c>
      <c r="B3138" s="1805" t="s">
        <v>2908</v>
      </c>
      <c r="C3138" s="1872" t="s">
        <v>2909</v>
      </c>
      <c r="D3138" s="1873"/>
      <c r="E3138" s="1874"/>
      <c r="F3138" s="1875"/>
      <c r="G3138" s="1875"/>
      <c r="H3138" s="1987"/>
      <c r="I3138" s="1987"/>
      <c r="J3138" s="1973"/>
    </row>
    <row r="3139" spans="1:10" ht="15.75" customHeight="1">
      <c r="A3139" s="1780"/>
      <c r="B3139" s="1739" t="s">
        <v>1004</v>
      </c>
      <c r="C3139" s="1877" t="s">
        <v>2067</v>
      </c>
      <c r="D3139" s="390"/>
      <c r="E3139" s="413"/>
      <c r="F3139" s="320"/>
      <c r="G3139" s="320"/>
      <c r="H3139" s="1782"/>
      <c r="I3139" s="1782"/>
      <c r="J3139" s="1783"/>
    </row>
    <row r="3140" spans="1:10" ht="15.75" customHeight="1">
      <c r="A3140" s="1780"/>
      <c r="B3140" s="1739"/>
      <c r="C3140" s="1878" t="s">
        <v>2103</v>
      </c>
      <c r="D3140" s="1841">
        <v>0.01</v>
      </c>
      <c r="E3140" s="413" t="s">
        <v>2069</v>
      </c>
      <c r="F3140" s="1747">
        <f>'Bahan &amp; Upah'!C$336</f>
        <v>96332.65</v>
      </c>
      <c r="G3140" s="361">
        <f>F3140*D3140</f>
        <v>963.32650000000001</v>
      </c>
      <c r="H3140" s="1980">
        <v>1</v>
      </c>
      <c r="I3140" s="1980">
        <f>(G3140/G$3151)*H3140</f>
        <v>1.0912522818729644E-2</v>
      </c>
      <c r="J3140" s="1981"/>
    </row>
    <row r="3141" spans="1:10" ht="15.75" customHeight="1">
      <c r="A3141" s="1780"/>
      <c r="B3141" s="1739"/>
      <c r="C3141" s="1878" t="s">
        <v>2124</v>
      </c>
      <c r="D3141" s="1841">
        <v>0.4</v>
      </c>
      <c r="E3141" s="413" t="s">
        <v>2069</v>
      </c>
      <c r="F3141" s="1883">
        <f>'Bahan &amp; Upah'!C$337</f>
        <v>114133.55</v>
      </c>
      <c r="G3141" s="361">
        <f>F3141*D3141</f>
        <v>45653.420000000006</v>
      </c>
      <c r="H3141" s="1980">
        <v>1</v>
      </c>
      <c r="I3141" s="1980">
        <f>(G3141/G$3151)*H3141</f>
        <v>0.51716005684785826</v>
      </c>
      <c r="J3141" s="1981"/>
    </row>
    <row r="3142" spans="1:10" ht="15.75" customHeight="1">
      <c r="A3142" s="1780"/>
      <c r="B3142" s="1739"/>
      <c r="C3142" s="1878" t="s">
        <v>2072</v>
      </c>
      <c r="D3142" s="1841">
        <v>0.04</v>
      </c>
      <c r="E3142" s="413" t="s">
        <v>2069</v>
      </c>
      <c r="F3142" s="1748">
        <f>'Bahan &amp; Upah'!C$338</f>
        <v>125485.75</v>
      </c>
      <c r="G3142" s="361">
        <f>F3142*D3142</f>
        <v>5019.43</v>
      </c>
      <c r="H3142" s="1980">
        <v>1</v>
      </c>
      <c r="I3142" s="1980">
        <f>(G3142/G$3151)*H3142</f>
        <v>5.6859895800661704E-2</v>
      </c>
      <c r="J3142" s="1981"/>
    </row>
    <row r="3143" spans="1:10" ht="15.75" customHeight="1">
      <c r="A3143" s="1780"/>
      <c r="B3143" s="1739"/>
      <c r="C3143" s="1878" t="s">
        <v>2107</v>
      </c>
      <c r="D3143" s="1841">
        <v>1.3299999999999999E-2</v>
      </c>
      <c r="E3143" s="413" t="s">
        <v>2069</v>
      </c>
      <c r="F3143" s="1883">
        <f>'Bahan &amp; Upah'!C$339</f>
        <v>102689.88</v>
      </c>
      <c r="G3143" s="1785">
        <f>F3143*D3143</f>
        <v>1365.775404</v>
      </c>
      <c r="H3143" s="1980">
        <v>1</v>
      </c>
      <c r="I3143" s="1982">
        <f>(G3143/G$3151)*H3143</f>
        <v>1.5471447387162813E-2</v>
      </c>
      <c r="J3143" s="1981"/>
    </row>
    <row r="3144" spans="1:10" ht="15.75" customHeight="1">
      <c r="A3144" s="1780"/>
      <c r="B3144" s="1739"/>
      <c r="C3144" s="1889" t="s">
        <v>2108</v>
      </c>
      <c r="D3144" s="1841"/>
      <c r="E3144" s="413"/>
      <c r="F3144" s="320"/>
      <c r="G3144" s="361">
        <f>SUM(G3140:G3143)</f>
        <v>53001.951904000009</v>
      </c>
      <c r="H3144" s="1980"/>
      <c r="I3144" s="1983">
        <f>SUM(I3140:I3143)</f>
        <v>0.60040392285441246</v>
      </c>
      <c r="J3144" s="1981"/>
    </row>
    <row r="3145" spans="1:10" ht="15.75" customHeight="1">
      <c r="A3145" s="1780"/>
      <c r="B3145" s="1739" t="s">
        <v>1015</v>
      </c>
      <c r="C3145" s="1877" t="s">
        <v>2075</v>
      </c>
      <c r="D3145" s="1841"/>
      <c r="E3145" s="413"/>
      <c r="F3145" s="317"/>
      <c r="G3145" s="320"/>
      <c r="H3145" s="1980"/>
      <c r="I3145" s="1980"/>
      <c r="J3145" s="1981"/>
    </row>
    <row r="3146" spans="1:10" ht="15.75" customHeight="1">
      <c r="A3146" s="1780"/>
      <c r="B3146" s="1739"/>
      <c r="C3146" s="1878" t="s">
        <v>2910</v>
      </c>
      <c r="D3146" s="1841">
        <v>1</v>
      </c>
      <c r="E3146" s="413" t="s">
        <v>124</v>
      </c>
      <c r="F3146" s="1747">
        <f>'Bahan &amp; Upah'!C288</f>
        <v>35142.129999999997</v>
      </c>
      <c r="G3146" s="361">
        <f>F3146*D3146</f>
        <v>35142.129999999997</v>
      </c>
      <c r="H3146" s="1980">
        <v>0.64680000000000004</v>
      </c>
      <c r="I3146" s="1980">
        <f>(G3146/G$3151)*H3146</f>
        <v>0.25748370500009116</v>
      </c>
      <c r="J3146" s="1981"/>
    </row>
    <row r="3147" spans="1:10" ht="15.75" customHeight="1">
      <c r="A3147" s="1780"/>
      <c r="B3147" s="1739"/>
      <c r="C3147" s="1878" t="s">
        <v>2907</v>
      </c>
      <c r="D3147" s="1841">
        <v>2.5000000000000001E-2</v>
      </c>
      <c r="E3147" s="413" t="s">
        <v>124</v>
      </c>
      <c r="F3147" s="1743">
        <f>'Bahan &amp; Upah'!C$277</f>
        <v>5323.04</v>
      </c>
      <c r="G3147" s="1785">
        <f>F3147*D3147</f>
        <v>133.07599999999999</v>
      </c>
      <c r="H3147" s="1980">
        <f>H3130</f>
        <v>0.55769999999999997</v>
      </c>
      <c r="I3147" s="1982">
        <f>(G3147/G$3151)*H3147</f>
        <v>8.4072128013805371E-4</v>
      </c>
      <c r="J3147" s="1981"/>
    </row>
    <row r="3148" spans="1:10" ht="15.75" customHeight="1">
      <c r="A3148" s="1780"/>
      <c r="B3148" s="1784"/>
      <c r="C3148" s="1889" t="s">
        <v>2091</v>
      </c>
      <c r="D3148" s="1841"/>
      <c r="E3148" s="413"/>
      <c r="F3148" s="320"/>
      <c r="G3148" s="361">
        <f>SUM(G3146:G3147)</f>
        <v>35275.205999999998</v>
      </c>
      <c r="H3148" s="1980"/>
      <c r="I3148" s="1980">
        <f>SUM(I3146:I3147)</f>
        <v>0.25832442628022922</v>
      </c>
      <c r="J3148" s="1981"/>
    </row>
    <row r="3149" spans="1:10" ht="15.75" customHeight="1">
      <c r="A3149" s="1780"/>
      <c r="B3149" s="1739" t="s">
        <v>1048</v>
      </c>
      <c r="C3149" s="1877" t="s">
        <v>2246</v>
      </c>
      <c r="D3149" s="1841"/>
      <c r="E3149" s="413"/>
      <c r="F3149" s="317"/>
      <c r="G3149" s="320"/>
      <c r="H3149" s="1980"/>
      <c r="I3149" s="1984"/>
      <c r="J3149" s="1981"/>
    </row>
    <row r="3150" spans="1:10" ht="15.75" customHeight="1">
      <c r="A3150" s="1780"/>
      <c r="B3150" s="1784"/>
      <c r="C3150" s="1878"/>
      <c r="D3150" s="1841"/>
      <c r="E3150" s="413"/>
      <c r="F3150" s="320"/>
      <c r="G3150" s="361">
        <v>0</v>
      </c>
      <c r="H3150" s="1980"/>
      <c r="I3150" s="1984"/>
      <c r="J3150" s="1981"/>
    </row>
    <row r="3151" spans="1:10" ht="15.75" customHeight="1">
      <c r="A3151" s="1780"/>
      <c r="B3151" s="1784"/>
      <c r="C3151" s="1804" t="s">
        <v>2298</v>
      </c>
      <c r="D3151" s="1763"/>
      <c r="E3151" s="1764"/>
      <c r="F3151" s="1765"/>
      <c r="G3151" s="1765">
        <f>G3144+G3148+G3150</f>
        <v>88277.157904000007</v>
      </c>
      <c r="H3151" s="1980"/>
      <c r="I3151" s="1984">
        <f>I3144+I3148</f>
        <v>0.85872834913464169</v>
      </c>
      <c r="J3151" s="1981"/>
    </row>
    <row r="3152" spans="1:10" ht="15.75" customHeight="1">
      <c r="A3152" s="1780"/>
      <c r="B3152" s="1784"/>
      <c r="C3152" s="1762" t="s">
        <v>2094</v>
      </c>
      <c r="D3152" s="1767">
        <f>M$4</f>
        <v>0.15</v>
      </c>
      <c r="E3152" s="1768"/>
      <c r="F3152" s="1765"/>
      <c r="G3152" s="1765">
        <f>G3151*D3152</f>
        <v>13241.5736856</v>
      </c>
      <c r="H3152" s="1980"/>
      <c r="I3152" s="1984"/>
      <c r="J3152" s="1981"/>
    </row>
    <row r="3153" spans="1:10" ht="15.75" customHeight="1">
      <c r="A3153" s="1786"/>
      <c r="B3153" s="1890"/>
      <c r="C3153" s="1788" t="s">
        <v>2111</v>
      </c>
      <c r="D3153" s="1772"/>
      <c r="E3153" s="1773"/>
      <c r="F3153" s="1774"/>
      <c r="G3153" s="1998">
        <f>ROUNDUP((G3151+G3152),2)</f>
        <v>101518.73999999999</v>
      </c>
      <c r="H3153" s="1985"/>
      <c r="I3153" s="2050"/>
      <c r="J3153" s="1986"/>
    </row>
    <row r="3154" spans="1:10" ht="15.75" customHeight="1">
      <c r="A3154" s="1733"/>
      <c r="B3154" s="1733"/>
      <c r="C3154" s="1733"/>
      <c r="D3154" s="1733"/>
      <c r="E3154" s="1733"/>
      <c r="F3154" s="1733"/>
      <c r="G3154" s="1733"/>
      <c r="H3154" s="2029"/>
      <c r="I3154" s="2029"/>
      <c r="J3154" s="2029"/>
    </row>
    <row r="3155" spans="1:10" ht="15.75" customHeight="1">
      <c r="A3155" s="1778">
        <f>A3138+1</f>
        <v>173</v>
      </c>
      <c r="B3155" s="1805" t="s">
        <v>2911</v>
      </c>
      <c r="C3155" s="1872" t="s">
        <v>2912</v>
      </c>
      <c r="D3155" s="1873"/>
      <c r="E3155" s="1874"/>
      <c r="F3155" s="1875"/>
      <c r="G3155" s="1875"/>
      <c r="H3155" s="1987"/>
      <c r="I3155" s="1987"/>
      <c r="J3155" s="1973"/>
    </row>
    <row r="3156" spans="1:10" ht="15.75" customHeight="1">
      <c r="A3156" s="1780"/>
      <c r="B3156" s="1739" t="s">
        <v>1004</v>
      </c>
      <c r="C3156" s="1877" t="s">
        <v>2067</v>
      </c>
      <c r="D3156" s="390"/>
      <c r="E3156" s="413"/>
      <c r="F3156" s="320"/>
      <c r="G3156" s="320"/>
      <c r="H3156" s="1782"/>
      <c r="I3156" s="1782"/>
      <c r="J3156" s="1783"/>
    </row>
    <row r="3157" spans="1:10" ht="15.75" customHeight="1">
      <c r="A3157" s="1780"/>
      <c r="B3157" s="1739"/>
      <c r="C3157" s="1878" t="s">
        <v>2103</v>
      </c>
      <c r="D3157" s="1841">
        <v>1</v>
      </c>
      <c r="E3157" s="413" t="s">
        <v>2069</v>
      </c>
      <c r="F3157" s="1747">
        <f>'Bahan &amp; Upah'!C$336</f>
        <v>96332.65</v>
      </c>
      <c r="G3157" s="361">
        <f>F3157*D3157</f>
        <v>96332.65</v>
      </c>
      <c r="H3157" s="1980">
        <v>1</v>
      </c>
      <c r="I3157" s="1980">
        <f>(G3157/G$3169)*H3157</f>
        <v>0.11567373991563164</v>
      </c>
      <c r="J3157" s="1981"/>
    </row>
    <row r="3158" spans="1:10" ht="15.75" customHeight="1">
      <c r="A3158" s="1780"/>
      <c r="B3158" s="1739"/>
      <c r="C3158" s="1878" t="s">
        <v>2124</v>
      </c>
      <c r="D3158" s="1841">
        <v>0.5</v>
      </c>
      <c r="E3158" s="413" t="s">
        <v>2069</v>
      </c>
      <c r="F3158" s="1883">
        <f>'Bahan &amp; Upah'!C$337</f>
        <v>114133.55</v>
      </c>
      <c r="G3158" s="361">
        <f>F3158*D3158</f>
        <v>57066.775000000001</v>
      </c>
      <c r="H3158" s="1980">
        <v>1</v>
      </c>
      <c r="I3158" s="1980">
        <f>(G3158/G$3169)*H3158</f>
        <v>6.8524298762401639E-2</v>
      </c>
      <c r="J3158" s="1981"/>
    </row>
    <row r="3159" spans="1:10" ht="15.75" customHeight="1">
      <c r="A3159" s="1780"/>
      <c r="B3159" s="1739"/>
      <c r="C3159" s="1878" t="s">
        <v>2072</v>
      </c>
      <c r="D3159" s="1841">
        <v>0.05</v>
      </c>
      <c r="E3159" s="413" t="s">
        <v>2069</v>
      </c>
      <c r="F3159" s="1748">
        <f>'Bahan &amp; Upah'!C$338</f>
        <v>125485.75</v>
      </c>
      <c r="G3159" s="361">
        <f>F3159*D3159</f>
        <v>6274.2875000000004</v>
      </c>
      <c r="H3159" s="1980">
        <v>1</v>
      </c>
      <c r="I3159" s="1980">
        <f>(G3159/G$3169)*H3159</f>
        <v>7.5340011972150536E-3</v>
      </c>
      <c r="J3159" s="1981"/>
    </row>
    <row r="3160" spans="1:10" ht="15.75" customHeight="1">
      <c r="A3160" s="1780"/>
      <c r="B3160" s="1739"/>
      <c r="C3160" s="1878" t="s">
        <v>2107</v>
      </c>
      <c r="D3160" s="1841">
        <v>1.67E-2</v>
      </c>
      <c r="E3160" s="413" t="s">
        <v>2069</v>
      </c>
      <c r="F3160" s="1883">
        <f>'Bahan &amp; Upah'!C$339</f>
        <v>102689.88</v>
      </c>
      <c r="G3160" s="1785">
        <f>F3160*D3160</f>
        <v>1714.9209960000001</v>
      </c>
      <c r="H3160" s="1980">
        <v>1</v>
      </c>
      <c r="I3160" s="1982">
        <f>(G3160/G$3169)*H3160</f>
        <v>2.059232516360341E-3</v>
      </c>
      <c r="J3160" s="1981"/>
    </row>
    <row r="3161" spans="1:10" ht="15.75" customHeight="1">
      <c r="A3161" s="1780"/>
      <c r="B3161" s="1739"/>
      <c r="C3161" s="1889" t="s">
        <v>2108</v>
      </c>
      <c r="D3161" s="1841"/>
      <c r="E3161" s="413"/>
      <c r="F3161" s="320"/>
      <c r="G3161" s="361">
        <f>SUM(G3157:G3160)</f>
        <v>161388.63349599999</v>
      </c>
      <c r="H3161" s="1980"/>
      <c r="I3161" s="1983">
        <f>SUM(I3157:I3160)</f>
        <v>0.19379127239160868</v>
      </c>
      <c r="J3161" s="1981"/>
    </row>
    <row r="3162" spans="1:10" ht="15.75" customHeight="1">
      <c r="A3162" s="1780"/>
      <c r="B3162" s="1739" t="s">
        <v>1015</v>
      </c>
      <c r="C3162" s="1877" t="s">
        <v>2075</v>
      </c>
      <c r="D3162" s="1841"/>
      <c r="E3162" s="413"/>
      <c r="F3162" s="317"/>
      <c r="G3162" s="320"/>
      <c r="H3162" s="1980"/>
      <c r="I3162" s="1980"/>
      <c r="J3162" s="1981"/>
    </row>
    <row r="3163" spans="1:10" ht="15.75" customHeight="1">
      <c r="A3163" s="1780"/>
      <c r="B3163" s="1739"/>
      <c r="C3163" s="1878" t="s">
        <v>2913</v>
      </c>
      <c r="D3163" s="1841">
        <v>1.2</v>
      </c>
      <c r="E3163" s="413" t="s">
        <v>124</v>
      </c>
      <c r="F3163" s="1747">
        <f>'Bahan &amp; Upah'!C289</f>
        <v>547520.66</v>
      </c>
      <c r="G3163" s="361">
        <f>F3163*D3163</f>
        <v>657024.79200000002</v>
      </c>
      <c r="H3163" s="1980">
        <v>0.64680000000000004</v>
      </c>
      <c r="I3163" s="1980">
        <f>(G3163/G$3169)*H3163</f>
        <v>0.51028527755074848</v>
      </c>
      <c r="J3163" s="1981"/>
    </row>
    <row r="3164" spans="1:10" ht="15.75" customHeight="1">
      <c r="A3164" s="1780"/>
      <c r="B3164" s="1739"/>
      <c r="C3164" s="1878" t="s">
        <v>2914</v>
      </c>
      <c r="D3164" s="1841">
        <v>6</v>
      </c>
      <c r="E3164" s="413" t="s">
        <v>100</v>
      </c>
      <c r="F3164" s="1747">
        <f>'Bahan &amp; Upah'!C$27</f>
        <v>1792.44</v>
      </c>
      <c r="G3164" s="361">
        <f>F3164*D3164</f>
        <v>10754.64</v>
      </c>
      <c r="H3164" s="1980">
        <v>0.91900000000000004</v>
      </c>
      <c r="I3164" s="1980">
        <f>(G3164/G$3169)*H3164</f>
        <v>1.186786667237227E-2</v>
      </c>
      <c r="J3164" s="1981"/>
    </row>
    <row r="3165" spans="1:10" ht="15.75" customHeight="1">
      <c r="A3165" s="1780"/>
      <c r="B3165" s="1739"/>
      <c r="C3165" s="1878" t="s">
        <v>2915</v>
      </c>
      <c r="D3165" s="1841">
        <v>0.01</v>
      </c>
      <c r="E3165" s="413" t="s">
        <v>103</v>
      </c>
      <c r="F3165" s="1747">
        <f>'Bahan &amp; Upah'!C$11</f>
        <v>362812.55</v>
      </c>
      <c r="G3165" s="1785">
        <f>F3165*D3165</f>
        <v>3628.1255000000001</v>
      </c>
      <c r="H3165" s="1980">
        <v>1</v>
      </c>
      <c r="I3165" s="1980">
        <f>(G3165/G$3169)*H3165</f>
        <v>4.3565587105542205E-3</v>
      </c>
      <c r="J3165" s="1981"/>
    </row>
    <row r="3166" spans="1:10" ht="15.75" customHeight="1">
      <c r="A3166" s="1780"/>
      <c r="B3166" s="1784"/>
      <c r="C3166" s="1889" t="s">
        <v>2091</v>
      </c>
      <c r="D3166" s="1841"/>
      <c r="E3166" s="413"/>
      <c r="F3166" s="320"/>
      <c r="G3166" s="361">
        <f>SUM(G3163:G3165)</f>
        <v>671407.5575</v>
      </c>
      <c r="H3166" s="1980"/>
      <c r="I3166" s="1983">
        <f>SUM(I3163:I3165)</f>
        <v>0.52650970293367494</v>
      </c>
      <c r="J3166" s="1981"/>
    </row>
    <row r="3167" spans="1:10" ht="15.75" customHeight="1">
      <c r="A3167" s="1780"/>
      <c r="B3167" s="1739" t="s">
        <v>1048</v>
      </c>
      <c r="C3167" s="1877" t="s">
        <v>2246</v>
      </c>
      <c r="D3167" s="1841"/>
      <c r="E3167" s="413"/>
      <c r="F3167" s="317"/>
      <c r="G3167" s="320"/>
      <c r="H3167" s="2058"/>
      <c r="I3167" s="2051"/>
      <c r="J3167" s="2052"/>
    </row>
    <row r="3168" spans="1:10" ht="15.75" customHeight="1">
      <c r="A3168" s="1780"/>
      <c r="B3168" s="1784"/>
      <c r="C3168" s="1878"/>
      <c r="D3168" s="1841"/>
      <c r="E3168" s="413"/>
      <c r="F3168" s="320"/>
      <c r="G3168" s="361">
        <v>0</v>
      </c>
      <c r="H3168" s="2058"/>
      <c r="I3168" s="2051"/>
      <c r="J3168" s="2052"/>
    </row>
    <row r="3169" spans="1:10" ht="15.75" customHeight="1">
      <c r="A3169" s="1780"/>
      <c r="B3169" s="1784"/>
      <c r="C3169" s="1804" t="s">
        <v>2298</v>
      </c>
      <c r="D3169" s="1763"/>
      <c r="E3169" s="1764"/>
      <c r="F3169" s="1765"/>
      <c r="G3169" s="1765">
        <f>G3161+G3166+G3168</f>
        <v>832796.19099599996</v>
      </c>
      <c r="H3169" s="2058"/>
      <c r="I3169" s="2051">
        <f>I3161+I3166</f>
        <v>0.72030097532528359</v>
      </c>
      <c r="J3169" s="2052"/>
    </row>
    <row r="3170" spans="1:10" ht="15.75" customHeight="1">
      <c r="A3170" s="1780"/>
      <c r="B3170" s="1784"/>
      <c r="C3170" s="1762" t="s">
        <v>2094</v>
      </c>
      <c r="D3170" s="1767">
        <f>M$4</f>
        <v>0.15</v>
      </c>
      <c r="E3170" s="1768"/>
      <c r="F3170" s="1765"/>
      <c r="G3170" s="1765">
        <f>G3169*D3170</f>
        <v>124919.42864939998</v>
      </c>
      <c r="H3170" s="2058"/>
      <c r="I3170" s="2051"/>
      <c r="J3170" s="2052"/>
    </row>
    <row r="3171" spans="1:10" ht="15.75" customHeight="1">
      <c r="A3171" s="1786"/>
      <c r="B3171" s="1890"/>
      <c r="C3171" s="1788" t="s">
        <v>2111</v>
      </c>
      <c r="D3171" s="1772"/>
      <c r="E3171" s="1773"/>
      <c r="F3171" s="1774"/>
      <c r="G3171" s="1998">
        <f>ROUNDUP((G3169+G3170),2)</f>
        <v>957715.62</v>
      </c>
      <c r="H3171" s="1985"/>
      <c r="I3171" s="2050"/>
      <c r="J3171" s="1986"/>
    </row>
    <row r="3172" spans="1:10" ht="15.75" customHeight="1">
      <c r="A3172" s="1733"/>
      <c r="B3172" s="1733"/>
      <c r="C3172" s="1733"/>
      <c r="D3172" s="1733"/>
      <c r="E3172" s="1733"/>
      <c r="F3172" s="1733"/>
      <c r="G3172" s="1733"/>
      <c r="H3172" s="2029"/>
      <c r="I3172" s="2029"/>
      <c r="J3172" s="2029"/>
    </row>
    <row r="3173" spans="1:10" ht="15.75" customHeight="1">
      <c r="A3173" s="1778">
        <f>A3155+1</f>
        <v>174</v>
      </c>
      <c r="B3173" s="1805" t="s">
        <v>2904</v>
      </c>
      <c r="C3173" s="1872" t="s">
        <v>2916</v>
      </c>
      <c r="D3173" s="1873"/>
      <c r="E3173" s="1874"/>
      <c r="F3173" s="1875"/>
      <c r="G3173" s="1875"/>
      <c r="H3173" s="1987"/>
      <c r="I3173" s="1987"/>
      <c r="J3173" s="1973"/>
    </row>
    <row r="3174" spans="1:10" ht="15.75" customHeight="1">
      <c r="A3174" s="1780"/>
      <c r="B3174" s="1739" t="s">
        <v>1004</v>
      </c>
      <c r="C3174" s="1877" t="s">
        <v>2067</v>
      </c>
      <c r="D3174" s="390"/>
      <c r="E3174" s="413"/>
      <c r="F3174" s="320"/>
      <c r="G3174" s="320"/>
      <c r="H3174" s="1782"/>
      <c r="I3174" s="1782"/>
      <c r="J3174" s="1783"/>
    </row>
    <row r="3175" spans="1:10" ht="15.75" customHeight="1">
      <c r="A3175" s="1780"/>
      <c r="B3175" s="1739"/>
      <c r="C3175" s="1878" t="s">
        <v>2103</v>
      </c>
      <c r="D3175" s="1841">
        <v>0.01</v>
      </c>
      <c r="E3175" s="413" t="s">
        <v>2069</v>
      </c>
      <c r="F3175" s="1747">
        <f>'Bahan &amp; Upah'!C$336</f>
        <v>96332.65</v>
      </c>
      <c r="G3175" s="361">
        <f>F3175*D3175</f>
        <v>963.32650000000001</v>
      </c>
      <c r="H3175" s="1980">
        <v>1</v>
      </c>
      <c r="I3175" s="1980">
        <f>(G3175/G$3186)*H3175</f>
        <v>3.2995448648032032E-3</v>
      </c>
      <c r="J3175" s="1981"/>
    </row>
    <row r="3176" spans="1:10" ht="15.75" customHeight="1">
      <c r="A3176" s="1780"/>
      <c r="B3176" s="1739"/>
      <c r="C3176" s="1878" t="s">
        <v>2124</v>
      </c>
      <c r="D3176" s="1841">
        <v>0.4</v>
      </c>
      <c r="E3176" s="413" t="s">
        <v>2069</v>
      </c>
      <c r="F3176" s="1883">
        <f>'Bahan &amp; Upah'!C$337</f>
        <v>114133.55</v>
      </c>
      <c r="G3176" s="361">
        <f>F3176*D3176</f>
        <v>45653.420000000006</v>
      </c>
      <c r="H3176" s="1980">
        <v>1</v>
      </c>
      <c r="I3176" s="1980">
        <f>(G3176/G$3186)*H3176</f>
        <v>0.15637014814987843</v>
      </c>
      <c r="J3176" s="1981"/>
    </row>
    <row r="3177" spans="1:10" ht="15.75" customHeight="1">
      <c r="A3177" s="1780"/>
      <c r="B3177" s="1739"/>
      <c r="C3177" s="1878" t="s">
        <v>2072</v>
      </c>
      <c r="D3177" s="1841">
        <v>0.04</v>
      </c>
      <c r="E3177" s="413" t="s">
        <v>2069</v>
      </c>
      <c r="F3177" s="1748">
        <f>'Bahan &amp; Upah'!C$338</f>
        <v>125485.75</v>
      </c>
      <c r="G3177" s="361">
        <f>F3177*D3177</f>
        <v>5019.43</v>
      </c>
      <c r="H3177" s="1980">
        <v>1</v>
      </c>
      <c r="I3177" s="1980">
        <f>(G3177/G$3186)*H3177</f>
        <v>1.7192337676518961E-2</v>
      </c>
      <c r="J3177" s="1981"/>
    </row>
    <row r="3178" spans="1:10" ht="15.75" customHeight="1">
      <c r="A3178" s="1780"/>
      <c r="B3178" s="1739"/>
      <c r="C3178" s="1878" t="s">
        <v>2107</v>
      </c>
      <c r="D3178" s="1841">
        <v>1.3299999999999999E-2</v>
      </c>
      <c r="E3178" s="413" t="s">
        <v>2069</v>
      </c>
      <c r="F3178" s="1883">
        <f>'Bahan &amp; Upah'!C$339</f>
        <v>102689.88</v>
      </c>
      <c r="G3178" s="1785">
        <f>F3178*D3178</f>
        <v>1365.775404</v>
      </c>
      <c r="H3178" s="1980">
        <v>1</v>
      </c>
      <c r="I3178" s="1980">
        <f>(G3178/G$3186)*H3178</f>
        <v>4.6779956958961678E-3</v>
      </c>
      <c r="J3178" s="1981"/>
    </row>
    <row r="3179" spans="1:10" ht="15.75" customHeight="1">
      <c r="A3179" s="1780"/>
      <c r="B3179" s="1739"/>
      <c r="C3179" s="1889" t="s">
        <v>2108</v>
      </c>
      <c r="D3179" s="1841"/>
      <c r="E3179" s="413"/>
      <c r="F3179" s="320"/>
      <c r="G3179" s="361">
        <f>SUM(G3175:G3178)</f>
        <v>53001.951904000009</v>
      </c>
      <c r="H3179" s="1980"/>
      <c r="I3179" s="1980">
        <f>SUM(I3175:I3178)</f>
        <v>0.18154002638709676</v>
      </c>
      <c r="J3179" s="1981"/>
    </row>
    <row r="3180" spans="1:10" ht="15.75" customHeight="1">
      <c r="A3180" s="1780"/>
      <c r="B3180" s="1739" t="s">
        <v>1015</v>
      </c>
      <c r="C3180" s="1877" t="s">
        <v>2075</v>
      </c>
      <c r="D3180" s="1841"/>
      <c r="E3180" s="413"/>
      <c r="F3180" s="317"/>
      <c r="G3180" s="320"/>
      <c r="H3180" s="1980"/>
      <c r="I3180" s="1980"/>
      <c r="J3180" s="1981"/>
    </row>
    <row r="3181" spans="1:10" ht="15.75" customHeight="1">
      <c r="A3181" s="1780"/>
      <c r="B3181" s="1739"/>
      <c r="C3181" s="1878" t="s">
        <v>2917</v>
      </c>
      <c r="D3181" s="1841">
        <v>1</v>
      </c>
      <c r="E3181" s="413" t="s">
        <v>124</v>
      </c>
      <c r="F3181" s="1747">
        <v>238822.36</v>
      </c>
      <c r="G3181" s="361">
        <f>F3181*D3181</f>
        <v>238822.36</v>
      </c>
      <c r="H3181" s="1980">
        <v>0.93740000000000001</v>
      </c>
      <c r="I3181" s="1980">
        <f>(G3181/G$3186)*H3181</f>
        <v>0.76679710649285737</v>
      </c>
      <c r="J3181" s="1981"/>
    </row>
    <row r="3182" spans="1:10" ht="15.75" customHeight="1">
      <c r="A3182" s="1780"/>
      <c r="B3182" s="1739"/>
      <c r="C3182" s="1878" t="s">
        <v>2907</v>
      </c>
      <c r="D3182" s="1841">
        <v>2.5000000000000001E-2</v>
      </c>
      <c r="E3182" s="413" t="s">
        <v>124</v>
      </c>
      <c r="F3182" s="1743">
        <f>'Bahan &amp; Upah'!C$277</f>
        <v>5323.04</v>
      </c>
      <c r="G3182" s="1785">
        <f>F3182*D3182</f>
        <v>133.07599999999999</v>
      </c>
      <c r="H3182" s="1980">
        <v>0.55769999999999997</v>
      </c>
      <c r="I3182" s="1980">
        <f>(G3182/G$3186)*H3182</f>
        <v>2.5420314153654333E-4</v>
      </c>
      <c r="J3182" s="1981"/>
    </row>
    <row r="3183" spans="1:10" ht="15.75" customHeight="1">
      <c r="A3183" s="1780"/>
      <c r="B3183" s="1784"/>
      <c r="C3183" s="1889" t="s">
        <v>2091</v>
      </c>
      <c r="D3183" s="1841"/>
      <c r="E3183" s="413"/>
      <c r="F3183" s="320"/>
      <c r="G3183" s="361">
        <f>SUM(G3181:G3182)</f>
        <v>238955.43599999999</v>
      </c>
      <c r="H3183" s="1980"/>
      <c r="I3183" s="1980">
        <f>SUM(I3181:I3182)</f>
        <v>0.76705130963439394</v>
      </c>
      <c r="J3183" s="1981"/>
    </row>
    <row r="3184" spans="1:10" ht="15.75" customHeight="1">
      <c r="A3184" s="1780"/>
      <c r="B3184" s="1739" t="s">
        <v>1048</v>
      </c>
      <c r="C3184" s="1877" t="s">
        <v>2246</v>
      </c>
      <c r="D3184" s="1841"/>
      <c r="E3184" s="413"/>
      <c r="F3184" s="317"/>
      <c r="G3184" s="320"/>
      <c r="H3184" s="1980"/>
      <c r="I3184" s="1984"/>
      <c r="J3184" s="1981"/>
    </row>
    <row r="3185" spans="1:10" ht="15.75" customHeight="1">
      <c r="A3185" s="1780"/>
      <c r="B3185" s="1784"/>
      <c r="C3185" s="1878"/>
      <c r="D3185" s="1841"/>
      <c r="E3185" s="413"/>
      <c r="F3185" s="320"/>
      <c r="G3185" s="361">
        <v>0</v>
      </c>
      <c r="H3185" s="1980"/>
      <c r="I3185" s="1984"/>
      <c r="J3185" s="1981"/>
    </row>
    <row r="3186" spans="1:10" ht="15.75" customHeight="1">
      <c r="A3186" s="1780"/>
      <c r="B3186" s="1784"/>
      <c r="C3186" s="1804" t="s">
        <v>2298</v>
      </c>
      <c r="D3186" s="1763"/>
      <c r="E3186" s="1764"/>
      <c r="F3186" s="1765"/>
      <c r="G3186" s="1765">
        <f>G3179+G3183+G3185</f>
        <v>291957.387904</v>
      </c>
      <c r="H3186" s="1980"/>
      <c r="I3186" s="1984">
        <f>I3179+I3183</f>
        <v>0.94859133602149071</v>
      </c>
      <c r="J3186" s="1981"/>
    </row>
    <row r="3187" spans="1:10" ht="15.75" customHeight="1">
      <c r="A3187" s="1780"/>
      <c r="B3187" s="1784"/>
      <c r="C3187" s="1762" t="s">
        <v>2094</v>
      </c>
      <c r="D3187" s="1767">
        <f>M$4</f>
        <v>0.15</v>
      </c>
      <c r="E3187" s="1768"/>
      <c r="F3187" s="1765"/>
      <c r="G3187" s="1765">
        <f>G3186*D3187</f>
        <v>43793.608185600002</v>
      </c>
      <c r="H3187" s="1980"/>
      <c r="I3187" s="1984"/>
      <c r="J3187" s="1981"/>
    </row>
    <row r="3188" spans="1:10" ht="15.75" customHeight="1">
      <c r="A3188" s="1786"/>
      <c r="B3188" s="1890"/>
      <c r="C3188" s="1788" t="s">
        <v>2111</v>
      </c>
      <c r="D3188" s="1772"/>
      <c r="E3188" s="1773"/>
      <c r="F3188" s="1774"/>
      <c r="G3188" s="1998">
        <f>ROUNDUP((G3186+G3187),2)</f>
        <v>335751</v>
      </c>
      <c r="H3188" s="1985"/>
      <c r="I3188" s="2050"/>
      <c r="J3188" s="1986"/>
    </row>
    <row r="3189" spans="1:10" ht="15.75" customHeight="1">
      <c r="A3189" s="1733"/>
      <c r="B3189" s="1733"/>
      <c r="C3189" s="1733"/>
      <c r="D3189" s="1733"/>
      <c r="E3189" s="1733"/>
      <c r="F3189" s="1733"/>
      <c r="G3189" s="1733"/>
      <c r="H3189" s="2029"/>
      <c r="I3189" s="2029"/>
      <c r="J3189" s="2029"/>
    </row>
    <row r="3190" spans="1:10" ht="15.75" customHeight="1">
      <c r="A3190" s="1778">
        <f>A3173+1</f>
        <v>175</v>
      </c>
      <c r="B3190" s="1805" t="s">
        <v>2904</v>
      </c>
      <c r="C3190" s="1872" t="s">
        <v>2918</v>
      </c>
      <c r="D3190" s="1873"/>
      <c r="E3190" s="1874"/>
      <c r="F3190" s="1875"/>
      <c r="G3190" s="1875"/>
      <c r="H3190" s="2089"/>
      <c r="I3190" s="2089"/>
      <c r="J3190" s="2090"/>
    </row>
    <row r="3191" spans="1:10" ht="15.75" customHeight="1">
      <c r="A3191" s="1780"/>
      <c r="B3191" s="1739" t="s">
        <v>1004</v>
      </c>
      <c r="C3191" s="1877" t="s">
        <v>2067</v>
      </c>
      <c r="D3191" s="390"/>
      <c r="E3191" s="413"/>
      <c r="F3191" s="320"/>
      <c r="G3191" s="320"/>
      <c r="H3191" s="1782"/>
      <c r="I3191" s="1782"/>
      <c r="J3191" s="1783"/>
    </row>
    <row r="3192" spans="1:10" ht="15.75" customHeight="1">
      <c r="A3192" s="1780"/>
      <c r="B3192" s="1739"/>
      <c r="C3192" s="1878" t="s">
        <v>2103</v>
      </c>
      <c r="D3192" s="1841">
        <v>0.01</v>
      </c>
      <c r="E3192" s="413" t="s">
        <v>2069</v>
      </c>
      <c r="F3192" s="1747">
        <f>'Bahan &amp; Upah'!C$336</f>
        <v>96332.65</v>
      </c>
      <c r="G3192" s="361">
        <f>F3192*D3192</f>
        <v>963.32650000000001</v>
      </c>
      <c r="H3192" s="1980">
        <v>1</v>
      </c>
      <c r="I3192" s="1980">
        <f>(G3192/G$3203)*H3192</f>
        <v>3.449276045165556E-3</v>
      </c>
      <c r="J3192" s="1981"/>
    </row>
    <row r="3193" spans="1:10" ht="15.75" customHeight="1">
      <c r="A3193" s="1780"/>
      <c r="B3193" s="1739"/>
      <c r="C3193" s="1878" t="s">
        <v>2124</v>
      </c>
      <c r="D3193" s="1841">
        <v>0.4</v>
      </c>
      <c r="E3193" s="413" t="s">
        <v>2069</v>
      </c>
      <c r="F3193" s="1883">
        <f>'Bahan &amp; Upah'!C$337</f>
        <v>114133.55</v>
      </c>
      <c r="G3193" s="361">
        <f>F3193*D3193</f>
        <v>45653.420000000006</v>
      </c>
      <c r="H3193" s="1980">
        <v>1</v>
      </c>
      <c r="I3193" s="1980">
        <f>(G3193/G$3203)*H3193</f>
        <v>0.16346612284192547</v>
      </c>
      <c r="J3193" s="1981"/>
    </row>
    <row r="3194" spans="1:10" ht="15.75" customHeight="1">
      <c r="A3194" s="1780"/>
      <c r="B3194" s="1739"/>
      <c r="C3194" s="1878" t="s">
        <v>2072</v>
      </c>
      <c r="D3194" s="1841">
        <v>0.04</v>
      </c>
      <c r="E3194" s="413" t="s">
        <v>2069</v>
      </c>
      <c r="F3194" s="1748">
        <f>'Bahan &amp; Upah'!C$338</f>
        <v>125485.75</v>
      </c>
      <c r="G3194" s="361">
        <f>F3194*D3194</f>
        <v>5019.43</v>
      </c>
      <c r="H3194" s="1980">
        <v>1</v>
      </c>
      <c r="I3194" s="1980">
        <f>(G3194/G$3203)*H3194</f>
        <v>1.7972514676369171E-2</v>
      </c>
      <c r="J3194" s="1981"/>
    </row>
    <row r="3195" spans="1:10" ht="15.75" customHeight="1">
      <c r="A3195" s="1780"/>
      <c r="B3195" s="1739"/>
      <c r="C3195" s="1878" t="s">
        <v>2107</v>
      </c>
      <c r="D3195" s="1841">
        <v>1.3299999999999999E-2</v>
      </c>
      <c r="E3195" s="413" t="s">
        <v>2069</v>
      </c>
      <c r="F3195" s="1883">
        <f>'Bahan &amp; Upah'!C$339</f>
        <v>102689.88</v>
      </c>
      <c r="G3195" s="1785">
        <f>F3195*D3195</f>
        <v>1365.775404</v>
      </c>
      <c r="H3195" s="1980">
        <v>1</v>
      </c>
      <c r="I3195" s="1982">
        <f>(G3195/G$3203)*H3195</f>
        <v>4.8902800702498158E-3</v>
      </c>
      <c r="J3195" s="1981"/>
    </row>
    <row r="3196" spans="1:10" ht="15.75" customHeight="1">
      <c r="A3196" s="1780"/>
      <c r="B3196" s="1739"/>
      <c r="C3196" s="1889" t="s">
        <v>2108</v>
      </c>
      <c r="D3196" s="1841"/>
      <c r="E3196" s="413"/>
      <c r="F3196" s="320"/>
      <c r="G3196" s="361">
        <f>SUM(G3192:G3195)</f>
        <v>53001.951904000009</v>
      </c>
      <c r="H3196" s="1980"/>
      <c r="I3196" s="1983">
        <f>SUM(I3192:I3195)</f>
        <v>0.18977819363371001</v>
      </c>
      <c r="J3196" s="1981"/>
    </row>
    <row r="3197" spans="1:10" ht="15.75" customHeight="1">
      <c r="A3197" s="1780"/>
      <c r="B3197" s="1739" t="s">
        <v>1015</v>
      </c>
      <c r="C3197" s="1877" t="s">
        <v>2075</v>
      </c>
      <c r="D3197" s="1841"/>
      <c r="E3197" s="413"/>
      <c r="F3197" s="317"/>
      <c r="G3197" s="320"/>
      <c r="H3197" s="1980"/>
      <c r="I3197" s="1980"/>
      <c r="J3197" s="1981"/>
    </row>
    <row r="3198" spans="1:10" ht="15.75" customHeight="1">
      <c r="A3198" s="1780"/>
      <c r="B3198" s="1739"/>
      <c r="C3198" s="1878" t="s">
        <v>2919</v>
      </c>
      <c r="D3198" s="1841">
        <v>1</v>
      </c>
      <c r="E3198" s="413" t="s">
        <v>124</v>
      </c>
      <c r="F3198" s="1747">
        <f>'Bahan &amp; Upah'!C290</f>
        <v>226148.65</v>
      </c>
      <c r="G3198" s="361">
        <f>F3198*D3198</f>
        <v>226148.65</v>
      </c>
      <c r="H3198" s="1980">
        <v>0.93740000000000001</v>
      </c>
      <c r="I3198" s="1980">
        <f>(G3198/G$3203)*H3198</f>
        <v>0.75905525915792793</v>
      </c>
      <c r="J3198" s="1981"/>
    </row>
    <row r="3199" spans="1:10" ht="15.75" customHeight="1">
      <c r="A3199" s="1780"/>
      <c r="B3199" s="1739"/>
      <c r="C3199" s="1878" t="s">
        <v>2907</v>
      </c>
      <c r="D3199" s="1841">
        <v>2.5000000000000001E-2</v>
      </c>
      <c r="E3199" s="413" t="s">
        <v>124</v>
      </c>
      <c r="F3199" s="1743">
        <f>'Bahan &amp; Upah'!C$277</f>
        <v>5323.04</v>
      </c>
      <c r="G3199" s="1785">
        <f>F3199*D3199</f>
        <v>133.07599999999999</v>
      </c>
      <c r="H3199" s="1980">
        <v>0.55769999999999997</v>
      </c>
      <c r="I3199" s="1982">
        <f>(G3199/G$3203)*H3199</f>
        <v>2.6573871325738887E-4</v>
      </c>
      <c r="J3199" s="1981"/>
    </row>
    <row r="3200" spans="1:10" ht="15.75" customHeight="1">
      <c r="A3200" s="1780"/>
      <c r="B3200" s="1784"/>
      <c r="C3200" s="1889" t="s">
        <v>2091</v>
      </c>
      <c r="D3200" s="1841"/>
      <c r="E3200" s="413"/>
      <c r="F3200" s="320"/>
      <c r="G3200" s="361">
        <f>SUM(G3198:G3199)</f>
        <v>226281.726</v>
      </c>
      <c r="H3200" s="1980"/>
      <c r="I3200" s="1983">
        <f>SUM(I3198:I3199)</f>
        <v>0.75932099787118534</v>
      </c>
      <c r="J3200" s="1981"/>
    </row>
    <row r="3201" spans="1:10" ht="15.75" customHeight="1">
      <c r="A3201" s="1780"/>
      <c r="B3201" s="1739" t="s">
        <v>1048</v>
      </c>
      <c r="C3201" s="1877" t="s">
        <v>2246</v>
      </c>
      <c r="D3201" s="1841"/>
      <c r="E3201" s="413"/>
      <c r="F3201" s="317"/>
      <c r="G3201" s="320"/>
      <c r="H3201" s="2058"/>
      <c r="I3201" s="2051"/>
      <c r="J3201" s="2052"/>
    </row>
    <row r="3202" spans="1:10" ht="15.75" customHeight="1">
      <c r="A3202" s="1780"/>
      <c r="B3202" s="1784"/>
      <c r="C3202" s="1878"/>
      <c r="D3202" s="1841"/>
      <c r="E3202" s="413"/>
      <c r="F3202" s="320"/>
      <c r="G3202" s="361">
        <v>0</v>
      </c>
      <c r="H3202" s="2058"/>
      <c r="I3202" s="2051"/>
      <c r="J3202" s="2052"/>
    </row>
    <row r="3203" spans="1:10" ht="15.75" customHeight="1">
      <c r="A3203" s="1780"/>
      <c r="B3203" s="1784"/>
      <c r="C3203" s="1804" t="s">
        <v>2298</v>
      </c>
      <c r="D3203" s="1763"/>
      <c r="E3203" s="1764"/>
      <c r="F3203" s="1765"/>
      <c r="G3203" s="1765">
        <f>G3196+G3200+G3202</f>
        <v>279283.67790399998</v>
      </c>
      <c r="H3203" s="2058"/>
      <c r="I3203" s="2051">
        <f>I3196+I3200</f>
        <v>0.94909919150489541</v>
      </c>
      <c r="J3203" s="2052"/>
    </row>
    <row r="3204" spans="1:10" ht="15.75" customHeight="1">
      <c r="A3204" s="1780"/>
      <c r="B3204" s="1784"/>
      <c r="C3204" s="1762" t="s">
        <v>2094</v>
      </c>
      <c r="D3204" s="1767">
        <f>M$4</f>
        <v>0.15</v>
      </c>
      <c r="E3204" s="1768"/>
      <c r="F3204" s="1765"/>
      <c r="G3204" s="1765">
        <f>G3203*D3204</f>
        <v>41892.551685599996</v>
      </c>
      <c r="H3204" s="2058"/>
      <c r="I3204" s="2051"/>
      <c r="J3204" s="2052"/>
    </row>
    <row r="3205" spans="1:10" ht="15.75" customHeight="1">
      <c r="A3205" s="1786"/>
      <c r="B3205" s="1890"/>
      <c r="C3205" s="1788" t="s">
        <v>2111</v>
      </c>
      <c r="D3205" s="1772"/>
      <c r="E3205" s="1773"/>
      <c r="F3205" s="1774"/>
      <c r="G3205" s="1998">
        <f>ROUNDUP((G3203+G3204),2)</f>
        <v>321176.23</v>
      </c>
      <c r="H3205" s="1985"/>
      <c r="I3205" s="2050"/>
      <c r="J3205" s="1986"/>
    </row>
    <row r="3206" spans="1:10" ht="15.75" customHeight="1">
      <c r="A3206" s="1733"/>
      <c r="B3206" s="1733"/>
      <c r="C3206" s="1733"/>
      <c r="D3206" s="1733"/>
      <c r="E3206" s="1733"/>
      <c r="F3206" s="1733"/>
      <c r="G3206" s="1733"/>
      <c r="H3206" s="2029"/>
      <c r="I3206" s="2029"/>
      <c r="J3206" s="2029"/>
    </row>
    <row r="3207" spans="1:10" ht="15.75" customHeight="1">
      <c r="A3207" s="1778">
        <f>A3190+1</f>
        <v>176</v>
      </c>
      <c r="B3207" s="1805" t="s">
        <v>2920</v>
      </c>
      <c r="C3207" s="1872" t="s">
        <v>2921</v>
      </c>
      <c r="D3207" s="1873"/>
      <c r="E3207" s="1874"/>
      <c r="F3207" s="1875"/>
      <c r="G3207" s="1875"/>
      <c r="H3207" s="1987"/>
      <c r="I3207" s="1987"/>
      <c r="J3207" s="1973"/>
    </row>
    <row r="3208" spans="1:10" ht="15.75" customHeight="1">
      <c r="A3208" s="1780"/>
      <c r="B3208" s="1739" t="s">
        <v>1004</v>
      </c>
      <c r="C3208" s="1877" t="s">
        <v>2067</v>
      </c>
      <c r="D3208" s="390"/>
      <c r="E3208" s="413"/>
      <c r="F3208" s="320"/>
      <c r="G3208" s="320"/>
      <c r="H3208" s="1782"/>
      <c r="I3208" s="1782"/>
      <c r="J3208" s="1783"/>
    </row>
    <row r="3209" spans="1:10" ht="15.75" customHeight="1">
      <c r="A3209" s="1780"/>
      <c r="B3209" s="1739"/>
      <c r="C3209" s="1878" t="s">
        <v>2103</v>
      </c>
      <c r="D3209" s="1841">
        <v>0.01</v>
      </c>
      <c r="E3209" s="413" t="s">
        <v>2069</v>
      </c>
      <c r="F3209" s="1747">
        <f>'Bahan &amp; Upah'!C$336</f>
        <v>96332.65</v>
      </c>
      <c r="G3209" s="361">
        <f>F3209*D3209</f>
        <v>963.32650000000001</v>
      </c>
      <c r="H3209" s="1980">
        <v>1</v>
      </c>
      <c r="I3209" s="1980">
        <f>(G3209/G$3220)*H3209</f>
        <v>1.8420288045011123E-3</v>
      </c>
      <c r="J3209" s="1981"/>
    </row>
    <row r="3210" spans="1:10" ht="15.75" customHeight="1">
      <c r="A3210" s="1780"/>
      <c r="B3210" s="1739"/>
      <c r="C3210" s="1878" t="s">
        <v>2124</v>
      </c>
      <c r="D3210" s="1841">
        <v>0.4</v>
      </c>
      <c r="E3210" s="413" t="s">
        <v>2069</v>
      </c>
      <c r="F3210" s="1883">
        <f>'Bahan &amp; Upah'!C$337</f>
        <v>114133.55</v>
      </c>
      <c r="G3210" s="361">
        <f>F3210*D3210</f>
        <v>45653.420000000006</v>
      </c>
      <c r="H3210" s="1980">
        <v>1</v>
      </c>
      <c r="I3210" s="1980">
        <f>(G3210/G$3220)*H3210</f>
        <v>8.7296378397134486E-2</v>
      </c>
      <c r="J3210" s="1981"/>
    </row>
    <row r="3211" spans="1:10" ht="15.75" customHeight="1">
      <c r="A3211" s="1780"/>
      <c r="B3211" s="1739"/>
      <c r="C3211" s="1878" t="s">
        <v>2072</v>
      </c>
      <c r="D3211" s="1841">
        <v>0.04</v>
      </c>
      <c r="E3211" s="413" t="s">
        <v>2069</v>
      </c>
      <c r="F3211" s="1748">
        <f>'Bahan &amp; Upah'!C$338</f>
        <v>125485.75</v>
      </c>
      <c r="G3211" s="361">
        <f>F3211*D3211</f>
        <v>5019.43</v>
      </c>
      <c r="H3211" s="1980">
        <v>1</v>
      </c>
      <c r="I3211" s="1980">
        <f>(G3211/G$3220)*H3211</f>
        <v>9.597924112102198E-3</v>
      </c>
      <c r="J3211" s="1981"/>
    </row>
    <row r="3212" spans="1:10" ht="15.75" customHeight="1">
      <c r="A3212" s="1780"/>
      <c r="B3212" s="1739"/>
      <c r="C3212" s="1878" t="s">
        <v>2107</v>
      </c>
      <c r="D3212" s="1841">
        <v>1.3299999999999999E-2</v>
      </c>
      <c r="E3212" s="413" t="s">
        <v>2069</v>
      </c>
      <c r="F3212" s="1883">
        <f>'Bahan &amp; Upah'!C$339</f>
        <v>102689.88</v>
      </c>
      <c r="G3212" s="1785">
        <f>F3212*D3212</f>
        <v>1365.775404</v>
      </c>
      <c r="H3212" s="1980">
        <v>1</v>
      </c>
      <c r="I3212" s="1980">
        <f>(G3212/G$3220)*H3212</f>
        <v>2.611573163041963E-3</v>
      </c>
      <c r="J3212" s="1981"/>
    </row>
    <row r="3213" spans="1:10" ht="15.75" customHeight="1">
      <c r="A3213" s="1780"/>
      <c r="B3213" s="1739"/>
      <c r="C3213" s="1889" t="s">
        <v>2108</v>
      </c>
      <c r="D3213" s="1841"/>
      <c r="E3213" s="413"/>
      <c r="F3213" s="320"/>
      <c r="G3213" s="361">
        <f>SUM(G3209:G3212)</f>
        <v>53001.951904000009</v>
      </c>
      <c r="H3213" s="1980"/>
      <c r="I3213" s="1980">
        <f>SUM(I3209:I3212)</f>
        <v>0.10134790447677976</v>
      </c>
      <c r="J3213" s="1981"/>
    </row>
    <row r="3214" spans="1:10" ht="15.75" customHeight="1">
      <c r="A3214" s="1780"/>
      <c r="B3214" s="1739" t="s">
        <v>1015</v>
      </c>
      <c r="C3214" s="1877" t="s">
        <v>2075</v>
      </c>
      <c r="D3214" s="1841"/>
      <c r="E3214" s="413"/>
      <c r="F3214" s="317"/>
      <c r="G3214" s="320"/>
      <c r="H3214" s="1980"/>
      <c r="I3214" s="1980"/>
      <c r="J3214" s="1981"/>
    </row>
    <row r="3215" spans="1:10" ht="15.75" customHeight="1">
      <c r="A3215" s="1780"/>
      <c r="B3215" s="1739"/>
      <c r="C3215" s="1878" t="s">
        <v>2922</v>
      </c>
      <c r="D3215" s="1841">
        <v>1</v>
      </c>
      <c r="E3215" s="413" t="s">
        <v>124</v>
      </c>
      <c r="F3215" s="1747">
        <f>'Bahan &amp; Upah'!C291</f>
        <v>469835.35</v>
      </c>
      <c r="G3215" s="361">
        <f>F3215*D3215</f>
        <v>469835.35</v>
      </c>
      <c r="H3215" s="1980">
        <v>0.93740000000000001</v>
      </c>
      <c r="I3215" s="1980">
        <f>(G3215/G$3220)*H3215</f>
        <v>0.84215794182294412</v>
      </c>
      <c r="J3215" s="1981"/>
    </row>
    <row r="3216" spans="1:10" ht="15.75" customHeight="1">
      <c r="A3216" s="1780"/>
      <c r="B3216" s="1739"/>
      <c r="C3216" s="1878" t="s">
        <v>2907</v>
      </c>
      <c r="D3216" s="1841">
        <v>2.5000000000000001E-2</v>
      </c>
      <c r="E3216" s="413" t="s">
        <v>124</v>
      </c>
      <c r="F3216" s="1743">
        <f>'Bahan &amp; Upah'!C$277</f>
        <v>5323.04</v>
      </c>
      <c r="G3216" s="1785">
        <f>F3216*D3216</f>
        <v>133.07599999999999</v>
      </c>
      <c r="H3216" s="1980">
        <v>0.55769999999999997</v>
      </c>
      <c r="I3216" s="1980">
        <f>(G3216/G$3220)*H3216</f>
        <v>1.4191336323378468E-4</v>
      </c>
      <c r="J3216" s="1981"/>
    </row>
    <row r="3217" spans="1:10" ht="15.75" customHeight="1">
      <c r="A3217" s="1780"/>
      <c r="B3217" s="1784"/>
      <c r="C3217" s="1889" t="s">
        <v>2091</v>
      </c>
      <c r="D3217" s="1841"/>
      <c r="E3217" s="413"/>
      <c r="F3217" s="320"/>
      <c r="G3217" s="361">
        <f>SUM(G3215:G3216)</f>
        <v>469968.42599999998</v>
      </c>
      <c r="H3217" s="1980"/>
      <c r="I3217" s="1980">
        <f>SUM(I3215:I3216)</f>
        <v>0.84229985518617789</v>
      </c>
      <c r="J3217" s="1981"/>
    </row>
    <row r="3218" spans="1:10" ht="15.75" customHeight="1">
      <c r="A3218" s="1780"/>
      <c r="B3218" s="1739" t="s">
        <v>1048</v>
      </c>
      <c r="C3218" s="1877" t="s">
        <v>2246</v>
      </c>
      <c r="D3218" s="1841"/>
      <c r="E3218" s="413"/>
      <c r="F3218" s="317"/>
      <c r="G3218" s="320"/>
      <c r="H3218" s="1980"/>
      <c r="I3218" s="1984"/>
      <c r="J3218" s="1981"/>
    </row>
    <row r="3219" spans="1:10" ht="15.75" customHeight="1">
      <c r="A3219" s="1780"/>
      <c r="B3219" s="1784"/>
      <c r="C3219" s="1878"/>
      <c r="D3219" s="1841"/>
      <c r="E3219" s="413"/>
      <c r="F3219" s="320"/>
      <c r="G3219" s="361">
        <v>0</v>
      </c>
      <c r="H3219" s="1980"/>
      <c r="I3219" s="1984"/>
      <c r="J3219" s="1981"/>
    </row>
    <row r="3220" spans="1:10" ht="15.75" customHeight="1">
      <c r="A3220" s="1780"/>
      <c r="B3220" s="1784"/>
      <c r="C3220" s="1804" t="s">
        <v>2298</v>
      </c>
      <c r="D3220" s="1763"/>
      <c r="E3220" s="1764"/>
      <c r="F3220" s="1765"/>
      <c r="G3220" s="1765">
        <f>G3213+G3217+G3219</f>
        <v>522970.37790399999</v>
      </c>
      <c r="H3220" s="1980"/>
      <c r="I3220" s="1984">
        <f>I3213+I3217</f>
        <v>0.94364775966295766</v>
      </c>
      <c r="J3220" s="1981"/>
    </row>
    <row r="3221" spans="1:10" ht="15.75" customHeight="1">
      <c r="A3221" s="1780"/>
      <c r="B3221" s="1784"/>
      <c r="C3221" s="1762" t="s">
        <v>2094</v>
      </c>
      <c r="D3221" s="1767">
        <f>M$4</f>
        <v>0.15</v>
      </c>
      <c r="E3221" s="1768"/>
      <c r="F3221" s="1765"/>
      <c r="G3221" s="1765">
        <f>G3220*D3221</f>
        <v>78445.556685599993</v>
      </c>
      <c r="H3221" s="1980"/>
      <c r="I3221" s="1984"/>
      <c r="J3221" s="1981"/>
    </row>
    <row r="3222" spans="1:10" ht="15.75" customHeight="1">
      <c r="A3222" s="1786"/>
      <c r="B3222" s="1890"/>
      <c r="C3222" s="1788" t="s">
        <v>2111</v>
      </c>
      <c r="D3222" s="1772"/>
      <c r="E3222" s="1773"/>
      <c r="F3222" s="1774"/>
      <c r="G3222" s="1998">
        <f>ROUNDUP((G3220+G3221),2)</f>
        <v>601415.94000000006</v>
      </c>
      <c r="H3222" s="1985"/>
      <c r="I3222" s="2050"/>
      <c r="J3222" s="1986"/>
    </row>
    <row r="3223" spans="1:10" ht="15.75" customHeight="1">
      <c r="A3223" s="1733"/>
      <c r="B3223" s="1733"/>
      <c r="C3223" s="1733"/>
      <c r="D3223" s="1733"/>
      <c r="E3223" s="1733"/>
      <c r="F3223" s="1733"/>
      <c r="G3223" s="1733"/>
      <c r="H3223" s="2029"/>
      <c r="I3223" s="2029"/>
      <c r="J3223" s="2029"/>
    </row>
    <row r="3224" spans="1:10" ht="15.75" customHeight="1">
      <c r="A3224" s="1778">
        <f>A3207+1</f>
        <v>177</v>
      </c>
      <c r="B3224" s="1805" t="s">
        <v>2923</v>
      </c>
      <c r="C3224" s="1872" t="s">
        <v>2924</v>
      </c>
      <c r="D3224" s="1873"/>
      <c r="E3224" s="1874"/>
      <c r="F3224" s="1875"/>
      <c r="G3224" s="1875"/>
      <c r="H3224" s="2089"/>
      <c r="I3224" s="2089"/>
      <c r="J3224" s="2090"/>
    </row>
    <row r="3225" spans="1:10" ht="15.75" customHeight="1">
      <c r="A3225" s="1780"/>
      <c r="B3225" s="1739" t="s">
        <v>1004</v>
      </c>
      <c r="C3225" s="1877" t="s">
        <v>2067</v>
      </c>
      <c r="D3225" s="390"/>
      <c r="E3225" s="413"/>
      <c r="F3225" s="320"/>
      <c r="G3225" s="320"/>
      <c r="H3225" s="1782"/>
      <c r="I3225" s="1782"/>
      <c r="J3225" s="1783"/>
    </row>
    <row r="3226" spans="1:10" ht="15.75" customHeight="1">
      <c r="A3226" s="1780"/>
      <c r="B3226" s="1739"/>
      <c r="C3226" s="1878" t="s">
        <v>2103</v>
      </c>
      <c r="D3226" s="1841">
        <v>1</v>
      </c>
      <c r="E3226" s="413" t="s">
        <v>2069</v>
      </c>
      <c r="F3226" s="1747">
        <f>'Bahan &amp; Upah'!C$336</f>
        <v>96332.65</v>
      </c>
      <c r="G3226" s="361">
        <f>F3226*D3226</f>
        <v>96332.65</v>
      </c>
      <c r="H3226" s="1980">
        <v>1</v>
      </c>
      <c r="I3226" s="1980">
        <f>(G3226/G$3238)*H3226</f>
        <v>4.4160170351738047E-2</v>
      </c>
      <c r="J3226" s="1981"/>
    </row>
    <row r="3227" spans="1:10" ht="15.75" customHeight="1">
      <c r="A3227" s="1780"/>
      <c r="B3227" s="1739"/>
      <c r="C3227" s="1878" t="s">
        <v>2124</v>
      </c>
      <c r="D3227" s="1841">
        <v>1</v>
      </c>
      <c r="E3227" s="413" t="s">
        <v>2069</v>
      </c>
      <c r="F3227" s="1883">
        <f>'Bahan &amp; Upah'!C$337</f>
        <v>114133.55</v>
      </c>
      <c r="G3227" s="361">
        <f>F3227*D3227</f>
        <v>114133.55</v>
      </c>
      <c r="H3227" s="1980">
        <v>1</v>
      </c>
      <c r="I3227" s="1980">
        <f>(G3227/G$3238)*H3227</f>
        <v>5.2320340101187003E-2</v>
      </c>
      <c r="J3227" s="1981"/>
    </row>
    <row r="3228" spans="1:10" ht="15.75" customHeight="1">
      <c r="A3228" s="1780"/>
      <c r="B3228" s="1739"/>
      <c r="C3228" s="1878" t="s">
        <v>2072</v>
      </c>
      <c r="D3228" s="1841">
        <v>0.1</v>
      </c>
      <c r="E3228" s="413" t="s">
        <v>2069</v>
      </c>
      <c r="F3228" s="1748">
        <f>'Bahan &amp; Upah'!C$338</f>
        <v>125485.75</v>
      </c>
      <c r="G3228" s="361">
        <f>F3228*D3228</f>
        <v>12548.575000000001</v>
      </c>
      <c r="H3228" s="1980">
        <v>1</v>
      </c>
      <c r="I3228" s="1980">
        <f>(G3228/G$3238)*H3228</f>
        <v>5.7524339844441247E-3</v>
      </c>
      <c r="J3228" s="1981"/>
    </row>
    <row r="3229" spans="1:10" ht="15.75" customHeight="1">
      <c r="A3229" s="1780"/>
      <c r="B3229" s="1739"/>
      <c r="C3229" s="1878" t="s">
        <v>2107</v>
      </c>
      <c r="D3229" s="1841">
        <v>3.3300000000000003E-2</v>
      </c>
      <c r="E3229" s="413" t="s">
        <v>2069</v>
      </c>
      <c r="F3229" s="1883">
        <f>'Bahan &amp; Upah'!C$339</f>
        <v>102689.88</v>
      </c>
      <c r="G3229" s="1785">
        <f>F3229*D3229</f>
        <v>3419.5730040000003</v>
      </c>
      <c r="H3229" s="1980">
        <v>1</v>
      </c>
      <c r="I3229" s="1982">
        <f>(G3229/G$3238)*H3229</f>
        <v>1.5675778293947548E-3</v>
      </c>
      <c r="J3229" s="1981"/>
    </row>
    <row r="3230" spans="1:10" ht="15.75" customHeight="1">
      <c r="A3230" s="1780"/>
      <c r="B3230" s="1739"/>
      <c r="C3230" s="1889" t="s">
        <v>2108</v>
      </c>
      <c r="D3230" s="1841"/>
      <c r="E3230" s="413"/>
      <c r="F3230" s="320"/>
      <c r="G3230" s="361">
        <f>SUM(G3226:G3229)</f>
        <v>226434.34800400003</v>
      </c>
      <c r="H3230" s="1980"/>
      <c r="I3230" s="1983">
        <f>SUM(I3226:I3229)</f>
        <v>0.10380052226676392</v>
      </c>
      <c r="J3230" s="1981"/>
    </row>
    <row r="3231" spans="1:10" ht="15.75" customHeight="1">
      <c r="A3231" s="1780"/>
      <c r="B3231" s="1739" t="s">
        <v>1015</v>
      </c>
      <c r="C3231" s="1877" t="s">
        <v>2075</v>
      </c>
      <c r="D3231" s="1841"/>
      <c r="E3231" s="413"/>
      <c r="F3231" s="317"/>
      <c r="G3231" s="320"/>
      <c r="H3231" s="1980"/>
      <c r="I3231" s="1980"/>
      <c r="J3231" s="1981"/>
    </row>
    <row r="3232" spans="1:10" ht="15.75" customHeight="1">
      <c r="A3232" s="1780"/>
      <c r="B3232" s="1739"/>
      <c r="C3232" s="1878" t="s">
        <v>2925</v>
      </c>
      <c r="D3232" s="1841">
        <v>1</v>
      </c>
      <c r="E3232" s="413" t="s">
        <v>124</v>
      </c>
      <c r="F3232" s="1747">
        <f>'Bahan &amp; Upah'!C293</f>
        <v>1940620.35</v>
      </c>
      <c r="G3232" s="361">
        <f>F3232*D3232</f>
        <v>1940620.35</v>
      </c>
      <c r="H3232" s="1980">
        <f>H3163</f>
        <v>0.64680000000000004</v>
      </c>
      <c r="I3232" s="1980">
        <f>(G3232/G$3238)*H3232</f>
        <v>0.57539730722502946</v>
      </c>
      <c r="J3232" s="1981"/>
    </row>
    <row r="3233" spans="1:10" ht="15.75" customHeight="1">
      <c r="A3233" s="1780"/>
      <c r="B3233" s="1739"/>
      <c r="C3233" s="1878" t="s">
        <v>2080</v>
      </c>
      <c r="D3233" s="1841">
        <v>6</v>
      </c>
      <c r="E3233" s="413" t="s">
        <v>100</v>
      </c>
      <c r="F3233" s="1747">
        <f>'Bahan &amp; Upah'!C$27</f>
        <v>1792.44</v>
      </c>
      <c r="G3233" s="361">
        <f>F3233*D3233</f>
        <v>10754.64</v>
      </c>
      <c r="H3233" s="1980">
        <v>0.91900000000000004</v>
      </c>
      <c r="I3233" s="1980">
        <f>(G3233/G$3238)*H3233</f>
        <v>4.5307345845818124E-3</v>
      </c>
      <c r="J3233" s="1981"/>
    </row>
    <row r="3234" spans="1:10" ht="15.75" customHeight="1">
      <c r="A3234" s="1780"/>
      <c r="B3234" s="1739"/>
      <c r="C3234" s="1878" t="s">
        <v>2915</v>
      </c>
      <c r="D3234" s="1841">
        <v>0.01</v>
      </c>
      <c r="E3234" s="413" t="s">
        <v>103</v>
      </c>
      <c r="F3234" s="1747">
        <f>'Bahan &amp; Upah'!C$11</f>
        <v>362812.55</v>
      </c>
      <c r="G3234" s="361">
        <f>F3234*D3234</f>
        <v>3628.1255000000001</v>
      </c>
      <c r="H3234" s="1980">
        <v>1</v>
      </c>
      <c r="I3234" s="1982">
        <f>(G3234/G$3238)*H3234</f>
        <v>1.6631810724347851E-3</v>
      </c>
      <c r="J3234" s="1981"/>
    </row>
    <row r="3235" spans="1:10" ht="15.75" customHeight="1">
      <c r="A3235" s="1780"/>
      <c r="B3235" s="1784"/>
      <c r="C3235" s="1889" t="s">
        <v>2091</v>
      </c>
      <c r="D3235" s="1841"/>
      <c r="E3235" s="413"/>
      <c r="F3235" s="320"/>
      <c r="G3235" s="361">
        <f>SUM(G3232:G3234)</f>
        <v>1955003.1155000001</v>
      </c>
      <c r="H3235" s="1980"/>
      <c r="I3235" s="1983">
        <f>SUM(I3232:I3234)</f>
        <v>0.58159122288204612</v>
      </c>
      <c r="J3235" s="1981"/>
    </row>
    <row r="3236" spans="1:10" ht="15.75" customHeight="1">
      <c r="A3236" s="1780"/>
      <c r="B3236" s="1739" t="s">
        <v>1048</v>
      </c>
      <c r="C3236" s="1877" t="s">
        <v>2246</v>
      </c>
      <c r="D3236" s="1841"/>
      <c r="E3236" s="413"/>
      <c r="F3236" s="317"/>
      <c r="G3236" s="320"/>
      <c r="H3236" s="1980"/>
      <c r="I3236" s="1980"/>
      <c r="J3236" s="1981"/>
    </row>
    <row r="3237" spans="1:10" ht="15.75" customHeight="1">
      <c r="A3237" s="1780"/>
      <c r="B3237" s="1784"/>
      <c r="C3237" s="1878"/>
      <c r="D3237" s="1841"/>
      <c r="E3237" s="413"/>
      <c r="F3237" s="320"/>
      <c r="G3237" s="361">
        <v>0</v>
      </c>
      <c r="H3237" s="1980"/>
      <c r="I3237" s="1980"/>
      <c r="J3237" s="1981"/>
    </row>
    <row r="3238" spans="1:10" ht="15.75" customHeight="1">
      <c r="A3238" s="1780"/>
      <c r="B3238" s="1784"/>
      <c r="C3238" s="1804" t="s">
        <v>2298</v>
      </c>
      <c r="D3238" s="1763"/>
      <c r="E3238" s="1764"/>
      <c r="F3238" s="1765"/>
      <c r="G3238" s="1765">
        <f>G3230+G3235+G3237</f>
        <v>2181437.4635040001</v>
      </c>
      <c r="H3238" s="1980"/>
      <c r="I3238" s="1984">
        <f>I3230+I3235</f>
        <v>0.68539174514881007</v>
      </c>
      <c r="J3238" s="1981"/>
    </row>
    <row r="3239" spans="1:10" ht="15.75" customHeight="1">
      <c r="A3239" s="1780"/>
      <c r="B3239" s="1784"/>
      <c r="C3239" s="1762" t="s">
        <v>2094</v>
      </c>
      <c r="D3239" s="1767">
        <f>M$4</f>
        <v>0.15</v>
      </c>
      <c r="E3239" s="1768"/>
      <c r="F3239" s="1765"/>
      <c r="G3239" s="1765">
        <f>G3238*D3239</f>
        <v>327215.61952559999</v>
      </c>
      <c r="H3239" s="1980"/>
      <c r="I3239" s="1980"/>
      <c r="J3239" s="1981"/>
    </row>
    <row r="3240" spans="1:10" ht="15.75" customHeight="1">
      <c r="A3240" s="1786"/>
      <c r="B3240" s="1890"/>
      <c r="C3240" s="1788" t="s">
        <v>2111</v>
      </c>
      <c r="D3240" s="1772"/>
      <c r="E3240" s="1773"/>
      <c r="F3240" s="1774"/>
      <c r="G3240" s="1998">
        <f>ROUNDUP((G3238+G3239),2)</f>
        <v>2508653.09</v>
      </c>
      <c r="H3240" s="1985"/>
      <c r="I3240" s="1985"/>
      <c r="J3240" s="1986"/>
    </row>
    <row r="3241" spans="1:10" ht="15.75" customHeight="1">
      <c r="A3241" s="1733"/>
      <c r="B3241" s="1733"/>
      <c r="C3241" s="1733"/>
      <c r="D3241" s="1733"/>
      <c r="E3241" s="1733"/>
      <c r="F3241" s="1733"/>
      <c r="G3241" s="1733"/>
      <c r="H3241" s="2029"/>
      <c r="I3241" s="2029"/>
      <c r="J3241" s="2029"/>
    </row>
    <row r="3242" spans="1:10" ht="15.75" customHeight="1">
      <c r="A3242" s="1778">
        <f>A3224+1</f>
        <v>178</v>
      </c>
      <c r="B3242" s="1805" t="s">
        <v>2926</v>
      </c>
      <c r="C3242" s="1872" t="s">
        <v>2927</v>
      </c>
      <c r="D3242" s="1873"/>
      <c r="E3242" s="1874"/>
      <c r="F3242" s="1875"/>
      <c r="G3242" s="1875"/>
      <c r="H3242" s="2089"/>
      <c r="I3242" s="2089"/>
      <c r="J3242" s="2090"/>
    </row>
    <row r="3243" spans="1:10" ht="15.75" customHeight="1">
      <c r="A3243" s="1780"/>
      <c r="B3243" s="1739" t="s">
        <v>1004</v>
      </c>
      <c r="C3243" s="1877" t="s">
        <v>2067</v>
      </c>
      <c r="D3243" s="390"/>
      <c r="E3243" s="413"/>
      <c r="F3243" s="320"/>
      <c r="G3243" s="320"/>
      <c r="H3243" s="1782"/>
      <c r="I3243" s="1782"/>
      <c r="J3243" s="1783"/>
    </row>
    <row r="3244" spans="1:10" ht="15.75" customHeight="1">
      <c r="A3244" s="1780"/>
      <c r="B3244" s="1739"/>
      <c r="C3244" s="1878" t="s">
        <v>2103</v>
      </c>
      <c r="D3244" s="1841">
        <f>1/2</f>
        <v>0.5</v>
      </c>
      <c r="E3244" s="413" t="s">
        <v>2069</v>
      </c>
      <c r="F3244" s="1747">
        <f>'Bahan &amp; Upah'!C$336</f>
        <v>96332.65</v>
      </c>
      <c r="G3244" s="361">
        <f>F3244*D3244</f>
        <v>48166.324999999997</v>
      </c>
      <c r="H3244" s="1980">
        <v>1</v>
      </c>
      <c r="I3244" s="1980">
        <f>(G3244/G$3255)*H3244</f>
        <v>5.1540138717833056E-2</v>
      </c>
      <c r="J3244" s="1981"/>
    </row>
    <row r="3245" spans="1:10" ht="15.75" customHeight="1">
      <c r="A3245" s="1780"/>
      <c r="B3245" s="1739"/>
      <c r="C3245" s="1878" t="s">
        <v>2124</v>
      </c>
      <c r="D3245" s="1841">
        <v>1</v>
      </c>
      <c r="E3245" s="413" t="s">
        <v>2069</v>
      </c>
      <c r="F3245" s="1883">
        <f>'Bahan &amp; Upah'!C$337</f>
        <v>114133.55</v>
      </c>
      <c r="G3245" s="361">
        <f>F3245*D3245</f>
        <v>114133.55</v>
      </c>
      <c r="H3245" s="1980">
        <v>1</v>
      </c>
      <c r="I3245" s="1980">
        <f>(G3245/G$3255)*H3245</f>
        <v>0.12212804276346048</v>
      </c>
      <c r="J3245" s="1981"/>
    </row>
    <row r="3246" spans="1:10" ht="15.75" customHeight="1">
      <c r="A3246" s="1780"/>
      <c r="B3246" s="1739"/>
      <c r="C3246" s="1878" t="s">
        <v>2072</v>
      </c>
      <c r="D3246" s="1841">
        <v>0.1</v>
      </c>
      <c r="E3246" s="413" t="s">
        <v>2069</v>
      </c>
      <c r="F3246" s="1748">
        <f>'Bahan &amp; Upah'!C$338</f>
        <v>125485.75</v>
      </c>
      <c r="G3246" s="361">
        <f>F3246*D3246</f>
        <v>12548.575000000001</v>
      </c>
      <c r="H3246" s="1980">
        <v>1</v>
      </c>
      <c r="I3246" s="1980">
        <f>(G3246/G$3255)*H3246</f>
        <v>1.3427540843340902E-2</v>
      </c>
      <c r="J3246" s="1981"/>
    </row>
    <row r="3247" spans="1:10" ht="15.75" customHeight="1">
      <c r="A3247" s="1780"/>
      <c r="B3247" s="1739"/>
      <c r="C3247" s="1878" t="s">
        <v>2107</v>
      </c>
      <c r="D3247" s="1841">
        <v>3.3300000000000003E-2</v>
      </c>
      <c r="E3247" s="413" t="s">
        <v>2069</v>
      </c>
      <c r="F3247" s="1883">
        <f>'Bahan &amp; Upah'!C$339</f>
        <v>102689.88</v>
      </c>
      <c r="G3247" s="1785">
        <f>F3247*D3247</f>
        <v>3419.5730040000003</v>
      </c>
      <c r="H3247" s="1980">
        <v>1</v>
      </c>
      <c r="I3247" s="1982">
        <f>(G3247/G$3255)*H3247</f>
        <v>3.6590972423558806E-3</v>
      </c>
      <c r="J3247" s="1981"/>
    </row>
    <row r="3248" spans="1:10" ht="15.75" customHeight="1">
      <c r="A3248" s="1780"/>
      <c r="B3248" s="1739"/>
      <c r="C3248" s="1889" t="s">
        <v>2108</v>
      </c>
      <c r="D3248" s="1841"/>
      <c r="E3248" s="413"/>
      <c r="F3248" s="320"/>
      <c r="G3248" s="361">
        <f>SUM(G3244:G3247)</f>
        <v>178268.02300400002</v>
      </c>
      <c r="H3248" s="1980"/>
      <c r="I3248" s="1983">
        <f>SUM(I3244:I3247)</f>
        <v>0.19075481956699034</v>
      </c>
      <c r="J3248" s="1981"/>
    </row>
    <row r="3249" spans="1:10" ht="15.75" customHeight="1">
      <c r="A3249" s="1780"/>
      <c r="B3249" s="1739" t="s">
        <v>1015</v>
      </c>
      <c r="C3249" s="1877" t="s">
        <v>2075</v>
      </c>
      <c r="D3249" s="1841"/>
      <c r="E3249" s="413"/>
      <c r="F3249" s="317"/>
      <c r="G3249" s="320"/>
      <c r="H3249" s="1980"/>
      <c r="I3249" s="1980"/>
      <c r="J3249" s="1981"/>
    </row>
    <row r="3250" spans="1:10" ht="15.75" customHeight="1">
      <c r="A3250" s="1780"/>
      <c r="B3250" s="1739"/>
      <c r="C3250" s="1878" t="s">
        <v>2928</v>
      </c>
      <c r="D3250" s="1841">
        <v>1</v>
      </c>
      <c r="E3250" s="413" t="s">
        <v>124</v>
      </c>
      <c r="F3250" s="1747">
        <f>'Bahan &amp; Upah'!C294</f>
        <v>750949.01</v>
      </c>
      <c r="G3250" s="361">
        <f>F3250*D3250</f>
        <v>750949.01</v>
      </c>
      <c r="H3250" s="1980">
        <f>H3232</f>
        <v>0.64680000000000004</v>
      </c>
      <c r="I3250" s="1980">
        <f>(G3250/G$3255)*H3250</f>
        <v>0.51973567929164766</v>
      </c>
      <c r="J3250" s="1981"/>
    </row>
    <row r="3251" spans="1:10" ht="15.75" customHeight="1">
      <c r="A3251" s="1780"/>
      <c r="B3251" s="1739"/>
      <c r="C3251" s="1878" t="s">
        <v>2907</v>
      </c>
      <c r="D3251" s="1841">
        <v>1</v>
      </c>
      <c r="E3251" s="413" t="s">
        <v>124</v>
      </c>
      <c r="F3251" s="1743">
        <f>'Bahan &amp; Upah'!C$277</f>
        <v>5323.04</v>
      </c>
      <c r="G3251" s="1785">
        <f>F3251*D3251</f>
        <v>5323.04</v>
      </c>
      <c r="H3251" s="1980">
        <v>0.55769999999999997</v>
      </c>
      <c r="I3251" s="1982">
        <f>(G3251/G$3255)*H3251</f>
        <v>3.1765993709156792E-3</v>
      </c>
      <c r="J3251" s="1981"/>
    </row>
    <row r="3252" spans="1:10" ht="15.75" customHeight="1">
      <c r="A3252" s="1780"/>
      <c r="B3252" s="1784"/>
      <c r="C3252" s="1889" t="s">
        <v>2091</v>
      </c>
      <c r="D3252" s="1841"/>
      <c r="E3252" s="413"/>
      <c r="F3252" s="320"/>
      <c r="G3252" s="361">
        <f>SUM(G3250:G3251)</f>
        <v>756272.05</v>
      </c>
      <c r="H3252" s="1980"/>
      <c r="I3252" s="1983">
        <f>SUM(I3250:I3251)</f>
        <v>0.52291227866256329</v>
      </c>
      <c r="J3252" s="1981"/>
    </row>
    <row r="3253" spans="1:10" ht="15.75" customHeight="1">
      <c r="A3253" s="1780"/>
      <c r="B3253" s="1739" t="s">
        <v>1048</v>
      </c>
      <c r="C3253" s="1877" t="s">
        <v>2246</v>
      </c>
      <c r="D3253" s="1841"/>
      <c r="E3253" s="413"/>
      <c r="F3253" s="317"/>
      <c r="G3253" s="320"/>
      <c r="H3253" s="1980"/>
      <c r="I3253" s="1980"/>
      <c r="J3253" s="1981"/>
    </row>
    <row r="3254" spans="1:10" ht="15.75" customHeight="1">
      <c r="A3254" s="1780"/>
      <c r="B3254" s="1784"/>
      <c r="C3254" s="1878"/>
      <c r="D3254" s="1841"/>
      <c r="E3254" s="413"/>
      <c r="F3254" s="320"/>
      <c r="G3254" s="361">
        <v>0</v>
      </c>
      <c r="H3254" s="1980"/>
      <c r="I3254" s="1980"/>
      <c r="J3254" s="1981"/>
    </row>
    <row r="3255" spans="1:10" ht="15.75" customHeight="1">
      <c r="A3255" s="1780"/>
      <c r="B3255" s="1784"/>
      <c r="C3255" s="1804" t="s">
        <v>2298</v>
      </c>
      <c r="D3255" s="1763"/>
      <c r="E3255" s="1764"/>
      <c r="F3255" s="1765"/>
      <c r="G3255" s="1765">
        <f>G3248+G3252+G3254</f>
        <v>934540.07300400012</v>
      </c>
      <c r="H3255" s="1980"/>
      <c r="I3255" s="1984">
        <f>I3248+I3252</f>
        <v>0.71366709822955365</v>
      </c>
      <c r="J3255" s="1981"/>
    </row>
    <row r="3256" spans="1:10" ht="15.75" customHeight="1">
      <c r="A3256" s="1780"/>
      <c r="B3256" s="1784"/>
      <c r="C3256" s="1762" t="s">
        <v>2094</v>
      </c>
      <c r="D3256" s="1767">
        <f>M$4</f>
        <v>0.15</v>
      </c>
      <c r="E3256" s="1768"/>
      <c r="F3256" s="1765"/>
      <c r="G3256" s="1765">
        <f>G3255*D3256</f>
        <v>140181.0109506</v>
      </c>
      <c r="H3256" s="1980"/>
      <c r="I3256" s="1980"/>
      <c r="J3256" s="1981"/>
    </row>
    <row r="3257" spans="1:10" ht="15.75" customHeight="1">
      <c r="A3257" s="1786"/>
      <c r="B3257" s="1890"/>
      <c r="C3257" s="1788" t="s">
        <v>2111</v>
      </c>
      <c r="D3257" s="1772"/>
      <c r="E3257" s="1773"/>
      <c r="F3257" s="1774"/>
      <c r="G3257" s="1998">
        <f>ROUNDUP((G3255+G3256),2)</f>
        <v>1074721.0900000001</v>
      </c>
      <c r="H3257" s="1985"/>
      <c r="I3257" s="1985"/>
      <c r="J3257" s="1986"/>
    </row>
    <row r="3258" spans="1:10" ht="15.75" customHeight="1">
      <c r="A3258" s="1733"/>
      <c r="B3258" s="1733"/>
      <c r="C3258" s="1733"/>
      <c r="D3258" s="1733"/>
      <c r="E3258" s="1733"/>
      <c r="F3258" s="1733"/>
      <c r="G3258" s="1733"/>
      <c r="H3258" s="2028"/>
      <c r="I3258" s="2028"/>
      <c r="J3258" s="2029"/>
    </row>
    <row r="3259" spans="1:10" ht="15.75" customHeight="1">
      <c r="A3259" s="1778">
        <f>A3242+1</f>
        <v>179</v>
      </c>
      <c r="B3259" s="1805" t="s">
        <v>2929</v>
      </c>
      <c r="C3259" s="1872" t="s">
        <v>2930</v>
      </c>
      <c r="D3259" s="1873"/>
      <c r="E3259" s="1874"/>
      <c r="F3259" s="1875"/>
      <c r="G3259" s="1875"/>
      <c r="H3259" s="2089"/>
      <c r="I3259" s="2089"/>
      <c r="J3259" s="2090"/>
    </row>
    <row r="3260" spans="1:10" ht="15.75" customHeight="1">
      <c r="A3260" s="1780"/>
      <c r="B3260" s="1739" t="s">
        <v>1004</v>
      </c>
      <c r="C3260" s="1877" t="s">
        <v>2067</v>
      </c>
      <c r="D3260" s="390"/>
      <c r="E3260" s="413"/>
      <c r="F3260" s="320"/>
      <c r="G3260" s="320"/>
      <c r="H3260" s="1782"/>
      <c r="I3260" s="1782"/>
      <c r="J3260" s="1783"/>
    </row>
    <row r="3261" spans="1:10" ht="15.75" customHeight="1">
      <c r="A3261" s="1780"/>
      <c r="B3261" s="1739"/>
      <c r="C3261" s="1878" t="s">
        <v>2103</v>
      </c>
      <c r="D3261" s="1841">
        <v>0.03</v>
      </c>
      <c r="E3261" s="413" t="s">
        <v>2069</v>
      </c>
      <c r="F3261" s="1747">
        <f>'Bahan &amp; Upah'!C$336</f>
        <v>96332.65</v>
      </c>
      <c r="G3261" s="361">
        <f>F3261*D3261</f>
        <v>2889.9794999999999</v>
      </c>
      <c r="H3261" s="1980">
        <v>1</v>
      </c>
      <c r="I3261" s="1980">
        <f>(G3261/G$3272)*H3261</f>
        <v>2.3118646495701519E-3</v>
      </c>
      <c r="J3261" s="1981"/>
    </row>
    <row r="3262" spans="1:10" ht="15.75" customHeight="1">
      <c r="A3262" s="1780"/>
      <c r="B3262" s="1739"/>
      <c r="C3262" s="1878" t="s">
        <v>2124</v>
      </c>
      <c r="D3262" s="1841">
        <v>0.3</v>
      </c>
      <c r="E3262" s="413" t="s">
        <v>2069</v>
      </c>
      <c r="F3262" s="1883">
        <f>'Bahan &amp; Upah'!C$337</f>
        <v>114133.55</v>
      </c>
      <c r="G3262" s="361">
        <f>F3262*D3262</f>
        <v>34240.065000000002</v>
      </c>
      <c r="H3262" s="1980">
        <v>1</v>
      </c>
      <c r="I3262" s="1980">
        <f>(G3262/G$3272)*H3262</f>
        <v>2.7390642692269696E-2</v>
      </c>
      <c r="J3262" s="1981"/>
    </row>
    <row r="3263" spans="1:10" ht="15.75" customHeight="1">
      <c r="A3263" s="1780"/>
      <c r="B3263" s="1739"/>
      <c r="C3263" s="1878" t="s">
        <v>2072</v>
      </c>
      <c r="D3263" s="1841">
        <v>0.03</v>
      </c>
      <c r="E3263" s="413" t="s">
        <v>2069</v>
      </c>
      <c r="F3263" s="1748">
        <f>'Bahan &amp; Upah'!C$338</f>
        <v>125485.75</v>
      </c>
      <c r="G3263" s="361">
        <f>F3263*D3263</f>
        <v>3764.5724999999998</v>
      </c>
      <c r="H3263" s="1980">
        <v>1</v>
      </c>
      <c r="I3263" s="1980">
        <f>(G3263/G$3272)*H3263</f>
        <v>3.0115030516631451E-3</v>
      </c>
      <c r="J3263" s="1981"/>
    </row>
    <row r="3264" spans="1:10" ht="15.75" customHeight="1">
      <c r="A3264" s="1780"/>
      <c r="B3264" s="1739"/>
      <c r="C3264" s="1878" t="s">
        <v>2107</v>
      </c>
      <c r="D3264" s="1841">
        <v>1.4999999999999999E-2</v>
      </c>
      <c r="E3264" s="413" t="s">
        <v>2069</v>
      </c>
      <c r="F3264" s="1883">
        <f>'Bahan &amp; Upah'!C$339</f>
        <v>102689.88</v>
      </c>
      <c r="G3264" s="1785">
        <f>F3264*D3264</f>
        <v>1540.3481999999999</v>
      </c>
      <c r="H3264" s="1980">
        <v>1</v>
      </c>
      <c r="I3264" s="1982">
        <f>(G3264/G$3272)*H3264</f>
        <v>1.2322151598684399E-3</v>
      </c>
      <c r="J3264" s="1981"/>
    </row>
    <row r="3265" spans="1:10" ht="15.75" customHeight="1">
      <c r="A3265" s="1780"/>
      <c r="B3265" s="1739"/>
      <c r="C3265" s="1889" t="s">
        <v>2108</v>
      </c>
      <c r="D3265" s="1841"/>
      <c r="E3265" s="413"/>
      <c r="F3265" s="320"/>
      <c r="G3265" s="361">
        <f>SUM(G3261:G3264)</f>
        <v>42434.965200000006</v>
      </c>
      <c r="H3265" s="1980"/>
      <c r="I3265" s="1983">
        <f>SUM(I3261:I3264)</f>
        <v>3.3946225553371435E-2</v>
      </c>
      <c r="J3265" s="1981"/>
    </row>
    <row r="3266" spans="1:10" ht="15.75" customHeight="1">
      <c r="A3266" s="1780"/>
      <c r="B3266" s="1739" t="s">
        <v>1015</v>
      </c>
      <c r="C3266" s="1877" t="s">
        <v>2075</v>
      </c>
      <c r="D3266" s="1841"/>
      <c r="E3266" s="413"/>
      <c r="F3266" s="317"/>
      <c r="G3266" s="320"/>
      <c r="H3266" s="1980"/>
      <c r="I3266" s="1980"/>
      <c r="J3266" s="1981"/>
    </row>
    <row r="3267" spans="1:10" ht="15.75" customHeight="1">
      <c r="A3267" s="1780"/>
      <c r="B3267" s="1739"/>
      <c r="C3267" s="1878" t="s">
        <v>2931</v>
      </c>
      <c r="D3267" s="1841">
        <v>1</v>
      </c>
      <c r="E3267" s="413" t="s">
        <v>360</v>
      </c>
      <c r="F3267" s="1747">
        <f>'Bahan &amp; Upah'!C296</f>
        <v>1070720.05</v>
      </c>
      <c r="G3267" s="361">
        <f>F3267*D3267</f>
        <v>1070720.05</v>
      </c>
      <c r="H3267" s="1980">
        <v>0.4</v>
      </c>
      <c r="I3267" s="1980">
        <f>(G3267/G$3272)*H3267</f>
        <v>0.34261278783202243</v>
      </c>
      <c r="J3267" s="1981"/>
    </row>
    <row r="3268" spans="1:10" ht="15.75" customHeight="1">
      <c r="A3268" s="1780"/>
      <c r="B3268" s="1739"/>
      <c r="C3268" s="328" t="s">
        <v>2932</v>
      </c>
      <c r="D3268" s="1841">
        <v>1</v>
      </c>
      <c r="E3268" s="413" t="s">
        <v>124</v>
      </c>
      <c r="F3268" s="1743">
        <f>'Bahan &amp; Upah'!C295</f>
        <v>136909.29999999999</v>
      </c>
      <c r="G3268" s="1785">
        <f>F3268*D3268</f>
        <v>136909.29999999999</v>
      </c>
      <c r="H3268" s="1980">
        <v>0.52200000000000002</v>
      </c>
      <c r="I3268" s="1982">
        <f>(G3268/G$3272)*H3268</f>
        <v>5.7170382140350848E-2</v>
      </c>
      <c r="J3268" s="1981"/>
    </row>
    <row r="3269" spans="1:10" ht="15.75" customHeight="1">
      <c r="A3269" s="1780"/>
      <c r="B3269" s="1784"/>
      <c r="C3269" s="1889" t="s">
        <v>2091</v>
      </c>
      <c r="D3269" s="1841"/>
      <c r="E3269" s="413"/>
      <c r="F3269" s="320"/>
      <c r="G3269" s="361">
        <f>SUM(G3267:G3268)</f>
        <v>1207629.3500000001</v>
      </c>
      <c r="H3269" s="1980"/>
      <c r="I3269" s="1983">
        <f>SUM(I3267:I3268)</f>
        <v>0.39978316997237329</v>
      </c>
      <c r="J3269" s="1981"/>
    </row>
    <row r="3270" spans="1:10" ht="15.75" customHeight="1">
      <c r="A3270" s="1780"/>
      <c r="B3270" s="1739" t="s">
        <v>1048</v>
      </c>
      <c r="C3270" s="1877" t="s">
        <v>2246</v>
      </c>
      <c r="D3270" s="1841"/>
      <c r="E3270" s="413"/>
      <c r="F3270" s="317"/>
      <c r="G3270" s="320"/>
      <c r="H3270" s="2058"/>
      <c r="I3270" s="2051"/>
      <c r="J3270" s="2052"/>
    </row>
    <row r="3271" spans="1:10" ht="15.75" customHeight="1">
      <c r="A3271" s="1780"/>
      <c r="B3271" s="1784"/>
      <c r="C3271" s="1878"/>
      <c r="D3271" s="1841"/>
      <c r="E3271" s="413"/>
      <c r="F3271" s="320"/>
      <c r="G3271" s="361">
        <v>0</v>
      </c>
      <c r="H3271" s="2058"/>
      <c r="I3271" s="2051"/>
      <c r="J3271" s="2052"/>
    </row>
    <row r="3272" spans="1:10" ht="15.75" customHeight="1">
      <c r="A3272" s="1780"/>
      <c r="B3272" s="1784"/>
      <c r="C3272" s="1804" t="s">
        <v>2298</v>
      </c>
      <c r="D3272" s="1763"/>
      <c r="E3272" s="1764"/>
      <c r="F3272" s="1765"/>
      <c r="G3272" s="1765">
        <f>G3265+G3269+G3271</f>
        <v>1250064.3152000001</v>
      </c>
      <c r="H3272" s="2058"/>
      <c r="I3272" s="2051">
        <f>I3265+I3269</f>
        <v>0.43372939552574474</v>
      </c>
      <c r="J3272" s="2052"/>
    </row>
    <row r="3273" spans="1:10" ht="15.75" customHeight="1">
      <c r="A3273" s="1780"/>
      <c r="B3273" s="1784"/>
      <c r="C3273" s="1762" t="s">
        <v>2094</v>
      </c>
      <c r="D3273" s="1767">
        <f>M$4</f>
        <v>0.15</v>
      </c>
      <c r="E3273" s="1768"/>
      <c r="F3273" s="1765"/>
      <c r="G3273" s="1765">
        <f>G3272*D3273</f>
        <v>187509.64728</v>
      </c>
      <c r="H3273" s="2058"/>
      <c r="I3273" s="2051"/>
      <c r="J3273" s="2052"/>
    </row>
    <row r="3274" spans="1:10" ht="15.75" customHeight="1">
      <c r="A3274" s="1786"/>
      <c r="B3274" s="1890"/>
      <c r="C3274" s="1788" t="s">
        <v>2111</v>
      </c>
      <c r="D3274" s="1772"/>
      <c r="E3274" s="1773"/>
      <c r="F3274" s="1774"/>
      <c r="G3274" s="1998">
        <f>ROUNDUP((G3272+G3273),2)</f>
        <v>1437573.97</v>
      </c>
      <c r="H3274" s="1985"/>
      <c r="I3274" s="2050"/>
      <c r="J3274" s="1986"/>
    </row>
    <row r="3275" spans="1:10" ht="15.75" customHeight="1">
      <c r="A3275" s="1733"/>
      <c r="B3275" s="1733"/>
      <c r="C3275" s="1733"/>
      <c r="D3275" s="1733"/>
      <c r="E3275" s="1733"/>
      <c r="F3275" s="1733"/>
      <c r="G3275" s="1733"/>
      <c r="H3275" s="2028"/>
      <c r="I3275" s="2028"/>
      <c r="J3275" s="2029"/>
    </row>
    <row r="3276" spans="1:10" ht="15.75" customHeight="1">
      <c r="A3276" s="1778">
        <f>A3259+1</f>
        <v>180</v>
      </c>
      <c r="B3276" s="1805" t="s">
        <v>2933</v>
      </c>
      <c r="C3276" s="1872" t="s">
        <v>2934</v>
      </c>
      <c r="D3276" s="1873"/>
      <c r="E3276" s="1874"/>
      <c r="F3276" s="1875"/>
      <c r="G3276" s="1875"/>
      <c r="H3276" s="2089"/>
      <c r="I3276" s="2089"/>
      <c r="J3276" s="2090"/>
    </row>
    <row r="3277" spans="1:10" ht="15.75" customHeight="1">
      <c r="A3277" s="1780"/>
      <c r="B3277" s="1739" t="s">
        <v>1004</v>
      </c>
      <c r="C3277" s="1877" t="s">
        <v>2067</v>
      </c>
      <c r="D3277" s="390"/>
      <c r="E3277" s="413"/>
      <c r="F3277" s="320"/>
      <c r="G3277" s="320"/>
      <c r="H3277" s="1782"/>
      <c r="I3277" s="1782"/>
      <c r="J3277" s="1783"/>
    </row>
    <row r="3278" spans="1:10" ht="15.75" customHeight="1">
      <c r="A3278" s="1780"/>
      <c r="B3278" s="1739"/>
      <c r="C3278" s="1878" t="s">
        <v>2103</v>
      </c>
      <c r="D3278" s="1841">
        <v>0.01</v>
      </c>
      <c r="E3278" s="413" t="s">
        <v>2069</v>
      </c>
      <c r="F3278" s="1747">
        <f>'Bahan &amp; Upah'!C$336</f>
        <v>96332.65</v>
      </c>
      <c r="G3278" s="361">
        <f>F3278*D3278</f>
        <v>963.32650000000001</v>
      </c>
      <c r="H3278" s="1980">
        <v>1</v>
      </c>
      <c r="I3278" s="1980">
        <f>(G3278/G$3288)*H3278</f>
        <v>1.1205113164774802E-2</v>
      </c>
      <c r="J3278" s="1981"/>
    </row>
    <row r="3279" spans="1:10" ht="15.75" customHeight="1">
      <c r="A3279" s="1780"/>
      <c r="B3279" s="1739"/>
      <c r="C3279" s="1878" t="s">
        <v>2124</v>
      </c>
      <c r="D3279" s="1841">
        <v>0.1</v>
      </c>
      <c r="E3279" s="413" t="s">
        <v>2069</v>
      </c>
      <c r="F3279" s="1883">
        <f>'Bahan &amp; Upah'!C$337</f>
        <v>114133.55</v>
      </c>
      <c r="G3279" s="361">
        <f>F3279*D3279</f>
        <v>11413.355000000001</v>
      </c>
      <c r="H3279" s="1980">
        <v>1</v>
      </c>
      <c r="I3279" s="1980">
        <f>(G3279/G$3288)*H3279</f>
        <v>0.13275658290802581</v>
      </c>
      <c r="J3279" s="1981"/>
    </row>
    <row r="3280" spans="1:10" ht="15.75" customHeight="1">
      <c r="A3280" s="1780"/>
      <c r="B3280" s="1739"/>
      <c r="C3280" s="1878" t="s">
        <v>2072</v>
      </c>
      <c r="D3280" s="1841">
        <v>0.01</v>
      </c>
      <c r="E3280" s="413" t="s">
        <v>2069</v>
      </c>
      <c r="F3280" s="1748">
        <f>'Bahan &amp; Upah'!C$338</f>
        <v>125485.75</v>
      </c>
      <c r="G3280" s="361">
        <f>F3280*D3280</f>
        <v>1254.8575000000001</v>
      </c>
      <c r="H3280" s="1980">
        <v>1</v>
      </c>
      <c r="I3280" s="1980">
        <f>(G3280/G$3288)*H3280</f>
        <v>1.4596110761166018E-2</v>
      </c>
      <c r="J3280" s="1981"/>
    </row>
    <row r="3281" spans="1:10" ht="15.75" customHeight="1">
      <c r="A3281" s="1780"/>
      <c r="B3281" s="1739"/>
      <c r="C3281" s="1878" t="s">
        <v>2107</v>
      </c>
      <c r="D3281" s="1841">
        <v>3.3E-3</v>
      </c>
      <c r="E3281" s="413" t="s">
        <v>2069</v>
      </c>
      <c r="F3281" s="1883">
        <f>'Bahan &amp; Upah'!C$339</f>
        <v>102689.88</v>
      </c>
      <c r="G3281" s="1785">
        <f>F3281*D3281</f>
        <v>338.87660399999999</v>
      </c>
      <c r="H3281" s="1980">
        <v>1</v>
      </c>
      <c r="I3281" s="1982">
        <f>(G3281/G$3288)*H3281</f>
        <v>3.9417068841297075E-3</v>
      </c>
      <c r="J3281" s="1981"/>
    </row>
    <row r="3282" spans="1:10" ht="15.75" customHeight="1">
      <c r="A3282" s="1780"/>
      <c r="B3282" s="1739"/>
      <c r="C3282" s="1889" t="s">
        <v>2108</v>
      </c>
      <c r="D3282" s="1841"/>
      <c r="E3282" s="413"/>
      <c r="F3282" s="320"/>
      <c r="G3282" s="361">
        <f>SUM(G3278:G3281)</f>
        <v>13970.415604</v>
      </c>
      <c r="H3282" s="1980"/>
      <c r="I3282" s="1983">
        <f>SUM(I3278:I3281)</f>
        <v>0.16249951371809632</v>
      </c>
      <c r="J3282" s="1981"/>
    </row>
    <row r="3283" spans="1:10" ht="15.75" customHeight="1">
      <c r="A3283" s="1780"/>
      <c r="B3283" s="1739" t="s">
        <v>1015</v>
      </c>
      <c r="C3283" s="1877" t="s">
        <v>2075</v>
      </c>
      <c r="D3283" s="1841"/>
      <c r="E3283" s="413"/>
      <c r="F3283" s="317"/>
      <c r="G3283" s="320"/>
      <c r="H3283" s="1980"/>
      <c r="I3283" s="1980"/>
      <c r="J3283" s="1981"/>
    </row>
    <row r="3284" spans="1:10" ht="15.75" customHeight="1">
      <c r="A3284" s="1780"/>
      <c r="B3284" s="1739"/>
      <c r="C3284" s="2061" t="s">
        <v>2935</v>
      </c>
      <c r="D3284" s="1841">
        <v>1</v>
      </c>
      <c r="E3284" s="413" t="s">
        <v>124</v>
      </c>
      <c r="F3284" s="1747">
        <f>'Bahan &amp; Upah'!C297</f>
        <v>72001.63</v>
      </c>
      <c r="G3284" s="361">
        <f>F3284*D3284</f>
        <v>72001.63</v>
      </c>
      <c r="H3284" s="1980">
        <v>0.77</v>
      </c>
      <c r="I3284" s="1982">
        <f>(G3284/G$3288)*H3284</f>
        <v>0.64487537443706588</v>
      </c>
      <c r="J3284" s="1981"/>
    </row>
    <row r="3285" spans="1:10" ht="15.75" customHeight="1">
      <c r="A3285" s="1780"/>
      <c r="B3285" s="1784"/>
      <c r="C3285" s="1889" t="s">
        <v>2091</v>
      </c>
      <c r="D3285" s="1841"/>
      <c r="E3285" s="413"/>
      <c r="F3285" s="320"/>
      <c r="G3285" s="361">
        <f>SUM(G3284:G3284)</f>
        <v>72001.63</v>
      </c>
      <c r="H3285" s="1980"/>
      <c r="I3285" s="1983">
        <f>SUM(I3284)</f>
        <v>0.64487537443706588</v>
      </c>
      <c r="J3285" s="1981"/>
    </row>
    <row r="3286" spans="1:10" ht="15.75" customHeight="1">
      <c r="A3286" s="1780"/>
      <c r="B3286" s="1739" t="s">
        <v>1048</v>
      </c>
      <c r="C3286" s="1877" t="s">
        <v>2246</v>
      </c>
      <c r="D3286" s="1841"/>
      <c r="E3286" s="413"/>
      <c r="F3286" s="317"/>
      <c r="G3286" s="320"/>
      <c r="H3286" s="1980"/>
      <c r="I3286" s="1980"/>
      <c r="J3286" s="1981"/>
    </row>
    <row r="3287" spans="1:10" ht="15.75" customHeight="1">
      <c r="A3287" s="1780"/>
      <c r="B3287" s="1784"/>
      <c r="C3287" s="1878"/>
      <c r="D3287" s="1841"/>
      <c r="E3287" s="413"/>
      <c r="F3287" s="320"/>
      <c r="G3287" s="361">
        <v>0</v>
      </c>
      <c r="H3287" s="1980"/>
      <c r="I3287" s="1984"/>
      <c r="J3287" s="1981"/>
    </row>
    <row r="3288" spans="1:10" ht="15.75" customHeight="1">
      <c r="A3288" s="1780"/>
      <c r="B3288" s="1784"/>
      <c r="C3288" s="1804" t="s">
        <v>2298</v>
      </c>
      <c r="D3288" s="1763"/>
      <c r="E3288" s="1764"/>
      <c r="F3288" s="1765"/>
      <c r="G3288" s="1765">
        <f>G3282+G3285+G3287</f>
        <v>85972.045603999999</v>
      </c>
      <c r="H3288" s="1980"/>
      <c r="I3288" s="1984">
        <f>I3282+I3285</f>
        <v>0.80737488815516223</v>
      </c>
      <c r="J3288" s="1981"/>
    </row>
    <row r="3289" spans="1:10" ht="15.75" customHeight="1">
      <c r="A3289" s="1780"/>
      <c r="B3289" s="1784"/>
      <c r="C3289" s="1762" t="s">
        <v>2094</v>
      </c>
      <c r="D3289" s="1767">
        <f>M$4</f>
        <v>0.15</v>
      </c>
      <c r="E3289" s="1768"/>
      <c r="F3289" s="1765"/>
      <c r="G3289" s="1765">
        <f>G3288*D3289</f>
        <v>12895.8068406</v>
      </c>
      <c r="H3289" s="1980"/>
      <c r="I3289" s="1984"/>
      <c r="J3289" s="1981"/>
    </row>
    <row r="3290" spans="1:10" ht="15.75" customHeight="1">
      <c r="A3290" s="1786"/>
      <c r="B3290" s="1890"/>
      <c r="C3290" s="1788" t="s">
        <v>2111</v>
      </c>
      <c r="D3290" s="1772"/>
      <c r="E3290" s="1773"/>
      <c r="F3290" s="1774"/>
      <c r="G3290" s="1998">
        <f>ROUNDUP((G3288+G3289),2)</f>
        <v>98867.86</v>
      </c>
      <c r="H3290" s="2007"/>
      <c r="I3290" s="2091"/>
      <c r="J3290" s="2008"/>
    </row>
    <row r="3291" spans="1:10" ht="15.75" customHeight="1">
      <c r="A3291" s="1733"/>
      <c r="B3291" s="1733"/>
      <c r="C3291" s="1733"/>
      <c r="D3291" s="1733"/>
      <c r="E3291" s="1733"/>
      <c r="F3291" s="1733"/>
      <c r="G3291" s="1733"/>
      <c r="H3291" s="2028"/>
      <c r="I3291" s="2028"/>
      <c r="J3291" s="2029"/>
    </row>
    <row r="3292" spans="1:10" ht="15.75" customHeight="1">
      <c r="A3292" s="1778">
        <f>A3276+1</f>
        <v>181</v>
      </c>
      <c r="B3292" s="1805" t="s">
        <v>2936</v>
      </c>
      <c r="C3292" s="1872" t="s">
        <v>2937</v>
      </c>
      <c r="D3292" s="1873"/>
      <c r="E3292" s="1874"/>
      <c r="F3292" s="1875"/>
      <c r="G3292" s="1875"/>
      <c r="H3292" s="2089"/>
      <c r="I3292" s="2089"/>
      <c r="J3292" s="2090"/>
    </row>
    <row r="3293" spans="1:10" ht="15.75" customHeight="1">
      <c r="A3293" s="1780"/>
      <c r="B3293" s="1739" t="s">
        <v>1004</v>
      </c>
      <c r="C3293" s="1877" t="s">
        <v>2067</v>
      </c>
      <c r="D3293" s="390"/>
      <c r="E3293" s="413"/>
      <c r="F3293" s="320"/>
      <c r="G3293" s="320"/>
      <c r="H3293" s="1782"/>
      <c r="I3293" s="1782"/>
      <c r="J3293" s="1783"/>
    </row>
    <row r="3294" spans="1:10" ht="15.75" customHeight="1">
      <c r="A3294" s="1780"/>
      <c r="B3294" s="1739"/>
      <c r="C3294" s="1878" t="s">
        <v>2103</v>
      </c>
      <c r="D3294" s="1841">
        <v>0.20799999999999999</v>
      </c>
      <c r="E3294" s="413" t="s">
        <v>2069</v>
      </c>
      <c r="F3294" s="1747">
        <f>'Bahan &amp; Upah'!C$336</f>
        <v>96332.65</v>
      </c>
      <c r="G3294" s="361">
        <f>F3294*D3294</f>
        <v>20037.191199999997</v>
      </c>
      <c r="H3294" s="1980">
        <v>1</v>
      </c>
      <c r="I3294" s="1980">
        <f>(G3294/G$3304)*H3294</f>
        <v>3.7159851341216125E-2</v>
      </c>
      <c r="J3294" s="1981"/>
    </row>
    <row r="3295" spans="1:10" ht="15.75" customHeight="1">
      <c r="A3295" s="1780"/>
      <c r="B3295" s="1739"/>
      <c r="C3295" s="1878" t="s">
        <v>2124</v>
      </c>
      <c r="D3295" s="1841">
        <v>0.34799999999999998</v>
      </c>
      <c r="E3295" s="413" t="s">
        <v>2069</v>
      </c>
      <c r="F3295" s="1883">
        <f>'Bahan &amp; Upah'!C$337</f>
        <v>114133.55</v>
      </c>
      <c r="G3295" s="361">
        <f>F3295*D3295</f>
        <v>39718.475399999996</v>
      </c>
      <c r="H3295" s="1980">
        <v>1</v>
      </c>
      <c r="I3295" s="1980">
        <f>(G3295/G$3304)*H3295</f>
        <v>7.3659657515458041E-2</v>
      </c>
      <c r="J3295" s="1981"/>
    </row>
    <row r="3296" spans="1:10" ht="15.75" customHeight="1">
      <c r="A3296" s="1780"/>
      <c r="B3296" s="1739"/>
      <c r="C3296" s="1878" t="s">
        <v>2072</v>
      </c>
      <c r="D3296" s="1841">
        <v>3.5000000000000003E-2</v>
      </c>
      <c r="E3296" s="413" t="s">
        <v>2069</v>
      </c>
      <c r="F3296" s="1748">
        <f>'Bahan &amp; Upah'!C$338</f>
        <v>125485.75</v>
      </c>
      <c r="G3296" s="361">
        <f>F3296*D3296</f>
        <v>4392.0012500000003</v>
      </c>
      <c r="H3296" s="1980">
        <v>1</v>
      </c>
      <c r="I3296" s="1980">
        <f>(G3296/G$3304)*H3296</f>
        <v>8.1451592646595815E-3</v>
      </c>
      <c r="J3296" s="1981"/>
    </row>
    <row r="3297" spans="1:10" ht="15.75" customHeight="1">
      <c r="A3297" s="1780"/>
      <c r="B3297" s="1739"/>
      <c r="C3297" s="1878" t="s">
        <v>2107</v>
      </c>
      <c r="D3297" s="1841">
        <v>0.01</v>
      </c>
      <c r="E3297" s="413" t="s">
        <v>2069</v>
      </c>
      <c r="F3297" s="1883">
        <f>'Bahan &amp; Upah'!C$339</f>
        <v>102689.88</v>
      </c>
      <c r="G3297" s="1785">
        <f>F3297*D3297</f>
        <v>1026.8988000000002</v>
      </c>
      <c r="H3297" s="1980">
        <v>1</v>
      </c>
      <c r="I3297" s="1982">
        <f>(G3297/G$3304)*H3297</f>
        <v>1.9044289376483688E-3</v>
      </c>
      <c r="J3297" s="1981"/>
    </row>
    <row r="3298" spans="1:10" ht="15.75" customHeight="1">
      <c r="A3298" s="1780"/>
      <c r="B3298" s="1739"/>
      <c r="C3298" s="1889" t="s">
        <v>2108</v>
      </c>
      <c r="D3298" s="1841"/>
      <c r="E3298" s="413"/>
      <c r="F3298" s="320"/>
      <c r="G3298" s="361">
        <f>SUM(G3294:G3297)</f>
        <v>65174.566650000001</v>
      </c>
      <c r="H3298" s="1980"/>
      <c r="I3298" s="1983">
        <f>SUM(I3294:I3297)</f>
        <v>0.12086909705898212</v>
      </c>
      <c r="J3298" s="1981"/>
    </row>
    <row r="3299" spans="1:10" ht="15.75" customHeight="1">
      <c r="A3299" s="1780"/>
      <c r="B3299" s="1739" t="s">
        <v>1015</v>
      </c>
      <c r="C3299" s="1877" t="s">
        <v>2075</v>
      </c>
      <c r="D3299" s="1841"/>
      <c r="E3299" s="413"/>
      <c r="F3299" s="317"/>
      <c r="G3299" s="320"/>
      <c r="H3299" s="1980"/>
      <c r="I3299" s="1980"/>
      <c r="J3299" s="1981"/>
    </row>
    <row r="3300" spans="1:10" ht="15.75" customHeight="1">
      <c r="A3300" s="1780"/>
      <c r="B3300" s="1739"/>
      <c r="C3300" s="1878" t="s">
        <v>2938</v>
      </c>
      <c r="D3300" s="1841">
        <v>1.25</v>
      </c>
      <c r="E3300" s="413" t="s">
        <v>124</v>
      </c>
      <c r="F3300" s="1747">
        <f>'Bahan &amp; Upah'!C298</f>
        <v>379233.25</v>
      </c>
      <c r="G3300" s="361">
        <f>F3300*D3300</f>
        <v>474041.5625</v>
      </c>
      <c r="H3300" s="1980">
        <f>H3284</f>
        <v>0.77</v>
      </c>
      <c r="I3300" s="1982">
        <f>(G3300/G$3304)*H3300</f>
        <v>0.67693079526458377</v>
      </c>
      <c r="J3300" s="1981"/>
    </row>
    <row r="3301" spans="1:10" ht="15.75" customHeight="1">
      <c r="A3301" s="1780"/>
      <c r="B3301" s="1784"/>
      <c r="C3301" s="1889" t="s">
        <v>2091</v>
      </c>
      <c r="D3301" s="1841"/>
      <c r="E3301" s="413"/>
      <c r="F3301" s="320"/>
      <c r="G3301" s="361">
        <f>SUM(G3300:G3300)</f>
        <v>474041.5625</v>
      </c>
      <c r="H3301" s="1980"/>
      <c r="I3301" s="1983">
        <f>SUM(I3300)</f>
        <v>0.67693079526458377</v>
      </c>
      <c r="J3301" s="1981"/>
    </row>
    <row r="3302" spans="1:10" ht="15.75" customHeight="1">
      <c r="A3302" s="1780"/>
      <c r="B3302" s="1739" t="s">
        <v>1048</v>
      </c>
      <c r="C3302" s="1877" t="s">
        <v>2246</v>
      </c>
      <c r="D3302" s="1841"/>
      <c r="E3302" s="413"/>
      <c r="F3302" s="317"/>
      <c r="G3302" s="320"/>
      <c r="H3302" s="1980"/>
      <c r="I3302" s="1980"/>
      <c r="J3302" s="1981"/>
    </row>
    <row r="3303" spans="1:10" ht="15.75" customHeight="1">
      <c r="A3303" s="1780"/>
      <c r="B3303" s="1784"/>
      <c r="C3303" s="1878"/>
      <c r="D3303" s="1841"/>
      <c r="E3303" s="413"/>
      <c r="F3303" s="320"/>
      <c r="G3303" s="361">
        <v>0</v>
      </c>
      <c r="H3303" s="1980"/>
      <c r="I3303" s="1984"/>
      <c r="J3303" s="1981"/>
    </row>
    <row r="3304" spans="1:10" ht="15.75" customHeight="1">
      <c r="A3304" s="1780"/>
      <c r="B3304" s="1784"/>
      <c r="C3304" s="1804" t="s">
        <v>2298</v>
      </c>
      <c r="D3304" s="1763"/>
      <c r="E3304" s="1764"/>
      <c r="F3304" s="1765"/>
      <c r="G3304" s="1765">
        <f>G3298+G3301+G3303</f>
        <v>539216.12915000005</v>
      </c>
      <c r="H3304" s="1980"/>
      <c r="I3304" s="1984">
        <f>I3298+I3301</f>
        <v>0.79779989232356585</v>
      </c>
      <c r="J3304" s="1981"/>
    </row>
    <row r="3305" spans="1:10" ht="15.75" customHeight="1">
      <c r="A3305" s="1780"/>
      <c r="B3305" s="1784"/>
      <c r="C3305" s="1762" t="s">
        <v>2094</v>
      </c>
      <c r="D3305" s="1767">
        <f>M$4</f>
        <v>0.15</v>
      </c>
      <c r="E3305" s="1768"/>
      <c r="F3305" s="1765"/>
      <c r="G3305" s="1765">
        <f>G3304*D3305</f>
        <v>80882.419372500008</v>
      </c>
      <c r="H3305" s="1980"/>
      <c r="I3305" s="1984"/>
      <c r="J3305" s="1981"/>
    </row>
    <row r="3306" spans="1:10" ht="15.75" customHeight="1">
      <c r="A3306" s="1786"/>
      <c r="B3306" s="1890"/>
      <c r="C3306" s="1788" t="s">
        <v>2111</v>
      </c>
      <c r="D3306" s="1772"/>
      <c r="E3306" s="1773"/>
      <c r="F3306" s="1774"/>
      <c r="G3306" s="1998">
        <f>ROUNDUP((G3304+G3305),2)</f>
        <v>620098.55000000005</v>
      </c>
      <c r="H3306" s="2007"/>
      <c r="I3306" s="2091"/>
      <c r="J3306" s="2008"/>
    </row>
    <row r="3307" spans="1:10" ht="15.75" customHeight="1">
      <c r="A3307" s="1733"/>
      <c r="B3307" s="1733"/>
      <c r="C3307" s="1733"/>
      <c r="D3307" s="1733"/>
      <c r="E3307" s="1733"/>
      <c r="F3307" s="1733"/>
      <c r="G3307" s="1733"/>
      <c r="H3307" s="1733"/>
      <c r="I3307" s="1733"/>
      <c r="J3307" s="1733"/>
    </row>
    <row r="3308" spans="1:10" ht="15.75" customHeight="1">
      <c r="A3308" s="1778">
        <f>A3292+1</f>
        <v>182</v>
      </c>
      <c r="B3308" s="1805" t="s">
        <v>2939</v>
      </c>
      <c r="C3308" s="1872" t="s">
        <v>2940</v>
      </c>
      <c r="D3308" s="1873"/>
      <c r="E3308" s="1874"/>
      <c r="F3308" s="1875"/>
      <c r="G3308" s="1875"/>
      <c r="H3308" s="2089"/>
      <c r="I3308" s="2089"/>
      <c r="J3308" s="2090"/>
    </row>
    <row r="3309" spans="1:10" ht="15.75" customHeight="1">
      <c r="A3309" s="1780"/>
      <c r="B3309" s="1739" t="s">
        <v>1004</v>
      </c>
      <c r="C3309" s="1877" t="s">
        <v>2067</v>
      </c>
      <c r="D3309" s="390"/>
      <c r="E3309" s="413"/>
      <c r="F3309" s="320"/>
      <c r="G3309" s="320"/>
      <c r="H3309" s="1782"/>
      <c r="I3309" s="1782"/>
      <c r="J3309" s="1783"/>
    </row>
    <row r="3310" spans="1:10" ht="15.75" customHeight="1">
      <c r="A3310" s="1780"/>
      <c r="B3310" s="1739"/>
      <c r="C3310" s="1878" t="s">
        <v>2103</v>
      </c>
      <c r="D3310" s="1841">
        <v>0.41699999999999998</v>
      </c>
      <c r="E3310" s="413" t="s">
        <v>2069</v>
      </c>
      <c r="F3310" s="1747">
        <f>'Bahan &amp; Upah'!C$336</f>
        <v>96332.65</v>
      </c>
      <c r="G3310" s="361">
        <f>F3310*D3310</f>
        <v>40170.715049999999</v>
      </c>
      <c r="H3310" s="1980">
        <v>1</v>
      </c>
      <c r="I3310" s="1980">
        <f>(G3310/G$3320)*H3310</f>
        <v>3.820208316739547E-2</v>
      </c>
      <c r="J3310" s="1981"/>
    </row>
    <row r="3311" spans="1:10" ht="15.75" customHeight="1">
      <c r="A3311" s="1780"/>
      <c r="B3311" s="1739"/>
      <c r="C3311" s="1878" t="s">
        <v>2124</v>
      </c>
      <c r="D3311" s="1841">
        <v>0.69599999999999995</v>
      </c>
      <c r="E3311" s="413" t="s">
        <v>2069</v>
      </c>
      <c r="F3311" s="1883">
        <f>'Bahan &amp; Upah'!C$337</f>
        <v>114133.55</v>
      </c>
      <c r="G3311" s="361">
        <f>F3311*D3311</f>
        <v>79436.950799999991</v>
      </c>
      <c r="H3311" s="1980">
        <v>1</v>
      </c>
      <c r="I3311" s="1980">
        <f>(G3311/G$3320)*H3311</f>
        <v>7.5544012528746415E-2</v>
      </c>
      <c r="J3311" s="1981"/>
    </row>
    <row r="3312" spans="1:10" ht="15.75" customHeight="1">
      <c r="A3312" s="1780"/>
      <c r="B3312" s="1739"/>
      <c r="C3312" s="1878" t="s">
        <v>2072</v>
      </c>
      <c r="D3312" s="1841">
        <v>7.0000000000000007E-2</v>
      </c>
      <c r="E3312" s="413" t="s">
        <v>2069</v>
      </c>
      <c r="F3312" s="1748">
        <f>'Bahan &amp; Upah'!C$338</f>
        <v>125485.75</v>
      </c>
      <c r="G3312" s="361">
        <f>F3312*D3312</f>
        <v>8784.0025000000005</v>
      </c>
      <c r="H3312" s="1980">
        <v>1</v>
      </c>
      <c r="I3312" s="1980">
        <f>(G3312/G$3320)*H3312</f>
        <v>8.3535280273187417E-3</v>
      </c>
      <c r="J3312" s="1981"/>
    </row>
    <row r="3313" spans="1:10" ht="15.75" customHeight="1">
      <c r="A3313" s="1780"/>
      <c r="B3313" s="1739"/>
      <c r="C3313" s="1878" t="s">
        <v>2107</v>
      </c>
      <c r="D3313" s="1841">
        <v>2.1000000000000001E-2</v>
      </c>
      <c r="E3313" s="413" t="s">
        <v>2069</v>
      </c>
      <c r="F3313" s="1883">
        <f>'Bahan &amp; Upah'!C$339</f>
        <v>102689.88</v>
      </c>
      <c r="G3313" s="1785">
        <f>F3313*D3313</f>
        <v>2156.4874800000002</v>
      </c>
      <c r="H3313" s="1980">
        <v>1</v>
      </c>
      <c r="I3313" s="1982">
        <f>(G3313/G$3320)*H3313</f>
        <v>2.0508052684117479E-3</v>
      </c>
      <c r="J3313" s="1981"/>
    </row>
    <row r="3314" spans="1:10" ht="15.75" customHeight="1">
      <c r="A3314" s="1780"/>
      <c r="B3314" s="1739"/>
      <c r="C3314" s="1889" t="s">
        <v>2108</v>
      </c>
      <c r="D3314" s="1841"/>
      <c r="E3314" s="413"/>
      <c r="F3314" s="320"/>
      <c r="G3314" s="361">
        <f>SUM(G3310:G3313)</f>
        <v>130548.15582999999</v>
      </c>
      <c r="H3314" s="1980"/>
      <c r="I3314" s="1983">
        <f>SUM(I3310:I3313)</f>
        <v>0.12415042899187238</v>
      </c>
      <c r="J3314" s="1981"/>
    </row>
    <row r="3315" spans="1:10" ht="15.75" customHeight="1">
      <c r="A3315" s="1780"/>
      <c r="B3315" s="1739" t="s">
        <v>1015</v>
      </c>
      <c r="C3315" s="1877" t="s">
        <v>2075</v>
      </c>
      <c r="D3315" s="1841"/>
      <c r="E3315" s="413"/>
      <c r="F3315" s="317"/>
      <c r="G3315" s="320"/>
      <c r="H3315" s="1980"/>
      <c r="I3315" s="1980"/>
      <c r="J3315" s="1981"/>
    </row>
    <row r="3316" spans="1:10" ht="15.75" customHeight="1">
      <c r="A3316" s="1780"/>
      <c r="B3316" s="1739"/>
      <c r="C3316" s="1878" t="s">
        <v>2941</v>
      </c>
      <c r="D3316" s="1841">
        <v>1</v>
      </c>
      <c r="E3316" s="413" t="s">
        <v>360</v>
      </c>
      <c r="F3316" s="1747">
        <f>'Bahan &amp; Upah'!C$299</f>
        <v>920983.9</v>
      </c>
      <c r="G3316" s="361">
        <f>F3316*D3316</f>
        <v>920983.9</v>
      </c>
      <c r="H3316" s="1980">
        <v>0.77</v>
      </c>
      <c r="I3316" s="1982">
        <f>(G3316/G$3320)*H3316</f>
        <v>0.67440416967625827</v>
      </c>
      <c r="J3316" s="1981"/>
    </row>
    <row r="3317" spans="1:10" ht="15.75" customHeight="1">
      <c r="A3317" s="1780"/>
      <c r="B3317" s="1784"/>
      <c r="C3317" s="1889" t="s">
        <v>2091</v>
      </c>
      <c r="D3317" s="1841"/>
      <c r="E3317" s="413"/>
      <c r="F3317" s="320"/>
      <c r="G3317" s="361">
        <f>SUM(G3316:G3316)</f>
        <v>920983.9</v>
      </c>
      <c r="H3317" s="1980"/>
      <c r="I3317" s="1983">
        <f>SUM(I3316)</f>
        <v>0.67440416967625827</v>
      </c>
      <c r="J3317" s="1981"/>
    </row>
    <row r="3318" spans="1:10" ht="15.75" customHeight="1">
      <c r="A3318" s="1780"/>
      <c r="B3318" s="1739" t="s">
        <v>1048</v>
      </c>
      <c r="C3318" s="1877" t="s">
        <v>2246</v>
      </c>
      <c r="D3318" s="1841"/>
      <c r="E3318" s="413"/>
      <c r="F3318" s="317"/>
      <c r="G3318" s="320"/>
      <c r="H3318" s="1980"/>
      <c r="I3318" s="1980"/>
      <c r="J3318" s="1981"/>
    </row>
    <row r="3319" spans="1:10" ht="15.75" customHeight="1">
      <c r="A3319" s="1780"/>
      <c r="B3319" s="1784"/>
      <c r="C3319" s="1878"/>
      <c r="D3319" s="1841"/>
      <c r="E3319" s="413"/>
      <c r="F3319" s="320"/>
      <c r="G3319" s="361">
        <v>0</v>
      </c>
      <c r="H3319" s="1980"/>
      <c r="I3319" s="1984"/>
      <c r="J3319" s="1981"/>
    </row>
    <row r="3320" spans="1:10" ht="15.75" customHeight="1">
      <c r="A3320" s="1780"/>
      <c r="B3320" s="1784"/>
      <c r="C3320" s="1804" t="s">
        <v>2298</v>
      </c>
      <c r="D3320" s="1763"/>
      <c r="E3320" s="1764"/>
      <c r="F3320" s="1765"/>
      <c r="G3320" s="1765">
        <f>G3314+G3317+G3319</f>
        <v>1051532.05583</v>
      </c>
      <c r="H3320" s="1980"/>
      <c r="I3320" s="1984">
        <f>I3314+I3317</f>
        <v>0.79855459866813061</v>
      </c>
      <c r="J3320" s="1981"/>
    </row>
    <row r="3321" spans="1:10" ht="15.75" customHeight="1">
      <c r="A3321" s="1780"/>
      <c r="B3321" s="1784"/>
      <c r="C3321" s="1762" t="s">
        <v>2094</v>
      </c>
      <c r="D3321" s="1767">
        <f>M$4</f>
        <v>0.15</v>
      </c>
      <c r="E3321" s="1768"/>
      <c r="F3321" s="1765"/>
      <c r="G3321" s="1765">
        <f>G3320*D3321</f>
        <v>157729.80837449999</v>
      </c>
      <c r="H3321" s="1980"/>
      <c r="I3321" s="1984"/>
      <c r="J3321" s="1981"/>
    </row>
    <row r="3322" spans="1:10" ht="15.75" customHeight="1">
      <c r="A3322" s="1786"/>
      <c r="B3322" s="1890"/>
      <c r="C3322" s="1788" t="s">
        <v>2111</v>
      </c>
      <c r="D3322" s="1772"/>
      <c r="E3322" s="1773"/>
      <c r="F3322" s="1774"/>
      <c r="G3322" s="1998">
        <f>ROUNDUP((G3320+G3321),2)</f>
        <v>1209261.8700000001</v>
      </c>
      <c r="H3322" s="2007"/>
      <c r="I3322" s="2091"/>
      <c r="J3322" s="2008"/>
    </row>
    <row r="3323" spans="1:10" ht="15.75" customHeight="1">
      <c r="A3323" s="1733"/>
      <c r="B3323" s="1733"/>
      <c r="C3323" s="1733"/>
      <c r="D3323" s="1733"/>
      <c r="E3323" s="1733"/>
      <c r="F3323" s="1733"/>
      <c r="G3323" s="1733"/>
      <c r="H3323" s="1733"/>
      <c r="I3323" s="1733"/>
      <c r="J3323" s="1733"/>
    </row>
    <row r="3324" spans="1:10" ht="15.75" customHeight="1">
      <c r="A3324" s="1778">
        <f>A3308+1</f>
        <v>183</v>
      </c>
      <c r="B3324" s="1805" t="s">
        <v>2942</v>
      </c>
      <c r="C3324" s="1872" t="s">
        <v>2943</v>
      </c>
      <c r="D3324" s="1873"/>
      <c r="E3324" s="1874"/>
      <c r="F3324" s="1875"/>
      <c r="G3324" s="1875"/>
      <c r="H3324" s="2089"/>
      <c r="I3324" s="2089"/>
      <c r="J3324" s="2090"/>
    </row>
    <row r="3325" spans="1:10" ht="15.75" customHeight="1">
      <c r="A3325" s="1780"/>
      <c r="B3325" s="1739" t="s">
        <v>1004</v>
      </c>
      <c r="C3325" s="1877" t="s">
        <v>2067</v>
      </c>
      <c r="D3325" s="390"/>
      <c r="E3325" s="413"/>
      <c r="F3325" s="320"/>
      <c r="G3325" s="320"/>
      <c r="H3325" s="1782"/>
      <c r="I3325" s="1782"/>
      <c r="J3325" s="1783"/>
    </row>
    <row r="3326" spans="1:10" ht="15.75" customHeight="1">
      <c r="A3326" s="1780"/>
      <c r="B3326" s="1739"/>
      <c r="C3326" s="1878" t="s">
        <v>2103</v>
      </c>
      <c r="D3326" s="1841">
        <v>0.129</v>
      </c>
      <c r="E3326" s="413" t="s">
        <v>2069</v>
      </c>
      <c r="F3326" s="1747">
        <f>'Bahan &amp; Upah'!C$336</f>
        <v>96332.65</v>
      </c>
      <c r="G3326" s="361">
        <f>F3326*D3326</f>
        <v>12426.91185</v>
      </c>
      <c r="H3326" s="2015">
        <v>1</v>
      </c>
      <c r="I3326" s="2015">
        <f>(G3326/G$3336)*H3326</f>
        <v>4.9948599973128208E-3</v>
      </c>
      <c r="J3326" s="1981"/>
    </row>
    <row r="3327" spans="1:10" ht="15.75" customHeight="1">
      <c r="A3327" s="1780"/>
      <c r="B3327" s="1739"/>
      <c r="C3327" s="1878" t="s">
        <v>2124</v>
      </c>
      <c r="D3327" s="1841">
        <v>0.215</v>
      </c>
      <c r="E3327" s="413" t="s">
        <v>2069</v>
      </c>
      <c r="F3327" s="1883">
        <f>'Bahan &amp; Upah'!C$337</f>
        <v>114133.55</v>
      </c>
      <c r="G3327" s="361">
        <f>F3327*D3327</f>
        <v>24538.713250000001</v>
      </c>
      <c r="H3327" s="2015">
        <v>1</v>
      </c>
      <c r="I3327" s="2015">
        <f>(G3327/G$3336)*H3327</f>
        <v>9.8630648287695924E-3</v>
      </c>
      <c r="J3327" s="1981"/>
    </row>
    <row r="3328" spans="1:10" ht="15.75" customHeight="1">
      <c r="A3328" s="1780"/>
      <c r="B3328" s="1739"/>
      <c r="C3328" s="1878" t="s">
        <v>2072</v>
      </c>
      <c r="D3328" s="1841">
        <v>2.1000000000000001E-2</v>
      </c>
      <c r="E3328" s="413" t="s">
        <v>2069</v>
      </c>
      <c r="F3328" s="1748">
        <f>'Bahan &amp; Upah'!C$338</f>
        <v>125485.75</v>
      </c>
      <c r="G3328" s="361">
        <f>F3328*D3328</f>
        <v>2635.20075</v>
      </c>
      <c r="H3328" s="2015">
        <v>1</v>
      </c>
      <c r="I3328" s="2015">
        <f>(G3328/G$3336)*H3328</f>
        <v>1.0591898429748452E-3</v>
      </c>
      <c r="J3328" s="1981"/>
    </row>
    <row r="3329" spans="1:10" ht="15.75" customHeight="1">
      <c r="A3329" s="1780"/>
      <c r="B3329" s="1739"/>
      <c r="C3329" s="1878" t="s">
        <v>2107</v>
      </c>
      <c r="D3329" s="1841">
        <v>6.0000000000000001E-3</v>
      </c>
      <c r="E3329" s="413" t="s">
        <v>2069</v>
      </c>
      <c r="F3329" s="1883">
        <f>'Bahan &amp; Upah'!C$339</f>
        <v>102689.88</v>
      </c>
      <c r="G3329" s="1785">
        <f>F3329*D3329</f>
        <v>616.13927999999999</v>
      </c>
      <c r="H3329" s="2015">
        <v>1</v>
      </c>
      <c r="I3329" s="2016">
        <f>(G3329/G$3336)*H3329</f>
        <v>2.4765038004555598E-4</v>
      </c>
      <c r="J3329" s="1981"/>
    </row>
    <row r="3330" spans="1:10" ht="15.75" customHeight="1">
      <c r="A3330" s="1780"/>
      <c r="B3330" s="1739"/>
      <c r="C3330" s="1889" t="s">
        <v>2108</v>
      </c>
      <c r="D3330" s="1841"/>
      <c r="E3330" s="413"/>
      <c r="F3330" s="320"/>
      <c r="G3330" s="361">
        <f>SUM(G3326:G3329)</f>
        <v>40216.965130000011</v>
      </c>
      <c r="H3330" s="2015"/>
      <c r="I3330" s="2017">
        <f>SUM(I3326:I3329)</f>
        <v>1.6164765049102813E-2</v>
      </c>
      <c r="J3330" s="1981"/>
    </row>
    <row r="3331" spans="1:10" ht="15.75" customHeight="1">
      <c r="A3331" s="1780"/>
      <c r="B3331" s="1739" t="s">
        <v>1015</v>
      </c>
      <c r="C3331" s="1877" t="s">
        <v>2075</v>
      </c>
      <c r="D3331" s="1841"/>
      <c r="E3331" s="413"/>
      <c r="F3331" s="317"/>
      <c r="G3331" s="320"/>
      <c r="H3331" s="2015"/>
      <c r="I3331" s="2015"/>
      <c r="J3331" s="1981"/>
    </row>
    <row r="3332" spans="1:10" ht="27.75" customHeight="1">
      <c r="A3332" s="1780"/>
      <c r="B3332" s="1739"/>
      <c r="C3332" s="2045" t="s">
        <v>2944</v>
      </c>
      <c r="D3332" s="1841">
        <v>1.05</v>
      </c>
      <c r="E3332" s="413" t="s">
        <v>124</v>
      </c>
      <c r="F3332" s="1747">
        <f>'Bahan &amp; Upah'!C$302</f>
        <v>2331164.77</v>
      </c>
      <c r="G3332" s="361">
        <f>F3332*D3332</f>
        <v>2447723.0085</v>
      </c>
      <c r="H3332" s="2015">
        <f>H3300</f>
        <v>0.77</v>
      </c>
      <c r="I3332" s="2016">
        <f>(G3332/G$3336)*H3332</f>
        <v>0.7575531309121909</v>
      </c>
      <c r="J3332" s="1981"/>
    </row>
    <row r="3333" spans="1:10" ht="15.75" customHeight="1">
      <c r="A3333" s="1780"/>
      <c r="B3333" s="1784"/>
      <c r="C3333" s="1889" t="s">
        <v>2091</v>
      </c>
      <c r="D3333" s="1841"/>
      <c r="E3333" s="413"/>
      <c r="F3333" s="320"/>
      <c r="G3333" s="361">
        <f>SUM(G3332:G3332)</f>
        <v>2447723.0085</v>
      </c>
      <c r="H3333" s="2015"/>
      <c r="I3333" s="2017">
        <f>SUM(I3332)</f>
        <v>0.7575531309121909</v>
      </c>
      <c r="J3333" s="1981"/>
    </row>
    <row r="3334" spans="1:10" ht="15.75" customHeight="1">
      <c r="A3334" s="1780"/>
      <c r="B3334" s="1739" t="s">
        <v>1048</v>
      </c>
      <c r="C3334" s="1877" t="s">
        <v>2246</v>
      </c>
      <c r="D3334" s="1841"/>
      <c r="E3334" s="413"/>
      <c r="F3334" s="317"/>
      <c r="G3334" s="320"/>
      <c r="H3334" s="2015"/>
      <c r="I3334" s="2015"/>
      <c r="J3334" s="1981"/>
    </row>
    <row r="3335" spans="1:10" ht="15.75" customHeight="1">
      <c r="A3335" s="1780"/>
      <c r="B3335" s="1784"/>
      <c r="C3335" s="1878"/>
      <c r="D3335" s="1841"/>
      <c r="E3335" s="413"/>
      <c r="F3335" s="320"/>
      <c r="G3335" s="361">
        <v>0</v>
      </c>
      <c r="H3335" s="2015"/>
      <c r="I3335" s="2018"/>
      <c r="J3335" s="1981"/>
    </row>
    <row r="3336" spans="1:10" ht="15.75" customHeight="1">
      <c r="A3336" s="1780"/>
      <c r="B3336" s="1784"/>
      <c r="C3336" s="1804" t="s">
        <v>2298</v>
      </c>
      <c r="D3336" s="1763"/>
      <c r="E3336" s="1764"/>
      <c r="F3336" s="1765"/>
      <c r="G3336" s="1765">
        <f>G3330+G3333+G3335</f>
        <v>2487939.9736299999</v>
      </c>
      <c r="H3336" s="2015"/>
      <c r="I3336" s="2018">
        <f>I3330+I3333</f>
        <v>0.7737178959612937</v>
      </c>
      <c r="J3336" s="1981"/>
    </row>
    <row r="3337" spans="1:10" ht="15.75" customHeight="1">
      <c r="A3337" s="1780"/>
      <c r="B3337" s="1784"/>
      <c r="C3337" s="1762" t="s">
        <v>2094</v>
      </c>
      <c r="D3337" s="1767">
        <f>M$4</f>
        <v>0.15</v>
      </c>
      <c r="E3337" s="1768"/>
      <c r="F3337" s="1765"/>
      <c r="G3337" s="1765">
        <f>G3336*D3337</f>
        <v>373190.99604449997</v>
      </c>
      <c r="H3337" s="2015"/>
      <c r="I3337" s="2018"/>
      <c r="J3337" s="1981"/>
    </row>
    <row r="3338" spans="1:10" ht="15.75" customHeight="1">
      <c r="A3338" s="1786"/>
      <c r="B3338" s="1890"/>
      <c r="C3338" s="1788" t="s">
        <v>2111</v>
      </c>
      <c r="D3338" s="1772"/>
      <c r="E3338" s="1773"/>
      <c r="F3338" s="1774"/>
      <c r="G3338" s="1998">
        <f>ROUNDUP((G3336+G3337),2)</f>
        <v>2861130.9699999997</v>
      </c>
      <c r="H3338" s="2068"/>
      <c r="I3338" s="2092"/>
      <c r="J3338" s="2008"/>
    </row>
    <row r="3339" spans="1:10" ht="15.75" customHeight="1">
      <c r="A3339" s="1733"/>
      <c r="B3339" s="1733"/>
      <c r="C3339" s="1733"/>
      <c r="D3339" s="1733"/>
      <c r="E3339" s="1733"/>
      <c r="F3339" s="1733"/>
      <c r="G3339" s="1733"/>
      <c r="H3339" s="28"/>
      <c r="I3339" s="28"/>
      <c r="J3339" s="1733"/>
    </row>
    <row r="3340" spans="1:10" ht="15.75" customHeight="1">
      <c r="A3340" s="1778">
        <f>A3324+1</f>
        <v>184</v>
      </c>
      <c r="B3340" s="1805" t="s">
        <v>2945</v>
      </c>
      <c r="C3340" s="1872" t="s">
        <v>2946</v>
      </c>
      <c r="D3340" s="1873"/>
      <c r="E3340" s="1874"/>
      <c r="F3340" s="1875"/>
      <c r="G3340" s="1875"/>
      <c r="H3340" s="2089"/>
      <c r="I3340" s="2089"/>
      <c r="J3340" s="2090"/>
    </row>
    <row r="3341" spans="1:10" ht="15.75" customHeight="1">
      <c r="A3341" s="1780"/>
      <c r="B3341" s="1739" t="s">
        <v>1004</v>
      </c>
      <c r="C3341" s="1877" t="s">
        <v>2067</v>
      </c>
      <c r="D3341" s="390"/>
      <c r="E3341" s="413"/>
      <c r="F3341" s="320"/>
      <c r="G3341" s="320"/>
      <c r="H3341" s="1782"/>
      <c r="I3341" s="1782"/>
      <c r="J3341" s="1783"/>
    </row>
    <row r="3342" spans="1:10" ht="15.75" customHeight="1">
      <c r="A3342" s="1780"/>
      <c r="B3342" s="1739"/>
      <c r="C3342" s="1878" t="s">
        <v>2103</v>
      </c>
      <c r="D3342" s="1841">
        <v>0.41699999999999998</v>
      </c>
      <c r="E3342" s="413" t="s">
        <v>2069</v>
      </c>
      <c r="F3342" s="1747">
        <f>'Bahan &amp; Upah'!C$336</f>
        <v>96332.65</v>
      </c>
      <c r="G3342" s="361">
        <f>F3342*D3342</f>
        <v>40170.715049999999</v>
      </c>
      <c r="H3342" s="2015">
        <v>1</v>
      </c>
      <c r="I3342" s="2015">
        <f>(G3342/G$3352)*H3342</f>
        <v>8.6940902878389643E-3</v>
      </c>
      <c r="J3342" s="1981"/>
    </row>
    <row r="3343" spans="1:10" ht="15.75" customHeight="1">
      <c r="A3343" s="1780"/>
      <c r="B3343" s="1739"/>
      <c r="C3343" s="1878" t="s">
        <v>2124</v>
      </c>
      <c r="D3343" s="1841">
        <v>0.69599999999999995</v>
      </c>
      <c r="E3343" s="413" t="s">
        <v>2069</v>
      </c>
      <c r="F3343" s="1883">
        <f>'Bahan &amp; Upah'!C$337</f>
        <v>114133.55</v>
      </c>
      <c r="G3343" s="361">
        <f>F3343*D3343</f>
        <v>79436.950799999991</v>
      </c>
      <c r="H3343" s="2015">
        <v>1</v>
      </c>
      <c r="I3343" s="2015">
        <f>(G3343/G$3352)*H3343</f>
        <v>1.7192425417028308E-2</v>
      </c>
      <c r="J3343" s="1981"/>
    </row>
    <row r="3344" spans="1:10" ht="15.75" customHeight="1">
      <c r="A3344" s="1780"/>
      <c r="B3344" s="1739"/>
      <c r="C3344" s="1878" t="s">
        <v>2072</v>
      </c>
      <c r="D3344" s="1841">
        <v>7.0000000000000007E-2</v>
      </c>
      <c r="E3344" s="413" t="s">
        <v>2069</v>
      </c>
      <c r="F3344" s="1748">
        <f>'Bahan &amp; Upah'!C$338</f>
        <v>125485.75</v>
      </c>
      <c r="G3344" s="361">
        <f>F3344*D3344</f>
        <v>8784.0025000000005</v>
      </c>
      <c r="H3344" s="2015">
        <v>1</v>
      </c>
      <c r="I3344" s="2015">
        <f>(G3344/G$3352)*H3344</f>
        <v>1.9011090723316162E-3</v>
      </c>
      <c r="J3344" s="1981"/>
    </row>
    <row r="3345" spans="1:10" ht="15.75" customHeight="1">
      <c r="A3345" s="1780"/>
      <c r="B3345" s="1739"/>
      <c r="C3345" s="1878" t="s">
        <v>2107</v>
      </c>
      <c r="D3345" s="1841">
        <v>2.1000000000000001E-2</v>
      </c>
      <c r="E3345" s="413" t="s">
        <v>2069</v>
      </c>
      <c r="F3345" s="1883">
        <f>'Bahan &amp; Upah'!C$339</f>
        <v>102689.88</v>
      </c>
      <c r="G3345" s="1785">
        <f>F3345*D3345</f>
        <v>2156.4874800000002</v>
      </c>
      <c r="H3345" s="2015">
        <v>1</v>
      </c>
      <c r="I3345" s="2016">
        <f>(G3345/G$3352)*H3345</f>
        <v>4.6672549473859382E-4</v>
      </c>
      <c r="J3345" s="1981"/>
    </row>
    <row r="3346" spans="1:10" ht="15.75" customHeight="1">
      <c r="A3346" s="1780"/>
      <c r="B3346" s="1739"/>
      <c r="C3346" s="1889" t="s">
        <v>2108</v>
      </c>
      <c r="D3346" s="1841"/>
      <c r="E3346" s="413"/>
      <c r="F3346" s="320"/>
      <c r="G3346" s="361">
        <f>SUM(G3342:G3345)</f>
        <v>130548.15582999999</v>
      </c>
      <c r="H3346" s="2015"/>
      <c r="I3346" s="2017">
        <f>SUM(I3342:I3345)</f>
        <v>2.8254350271937487E-2</v>
      </c>
      <c r="J3346" s="1981"/>
    </row>
    <row r="3347" spans="1:10" ht="15.75" customHeight="1">
      <c r="A3347" s="1780"/>
      <c r="B3347" s="1739" t="s">
        <v>1015</v>
      </c>
      <c r="C3347" s="1877" t="s">
        <v>2075</v>
      </c>
      <c r="D3347" s="1841"/>
      <c r="E3347" s="413"/>
      <c r="F3347" s="317"/>
      <c r="G3347" s="320"/>
      <c r="H3347" s="2015"/>
      <c r="I3347" s="2015"/>
      <c r="J3347" s="1981"/>
    </row>
    <row r="3348" spans="1:10" ht="27.75" customHeight="1">
      <c r="A3348" s="1780"/>
      <c r="B3348" s="1739"/>
      <c r="C3348" s="2045" t="s">
        <v>2947</v>
      </c>
      <c r="D3348" s="1841">
        <v>1.05</v>
      </c>
      <c r="E3348" s="413" t="s">
        <v>124</v>
      </c>
      <c r="F3348" s="1747">
        <f>'Bahan &amp; Upah'!C$303</f>
        <v>4276108.5599999996</v>
      </c>
      <c r="G3348" s="361">
        <f>F3348*D3348</f>
        <v>4489913.9879999999</v>
      </c>
      <c r="H3348" s="2015">
        <f>H3332</f>
        <v>0.77</v>
      </c>
      <c r="I3348" s="2016">
        <f>(G3348/G$3352)*H3348</f>
        <v>0.74824415029060831</v>
      </c>
      <c r="J3348" s="1981"/>
    </row>
    <row r="3349" spans="1:10" ht="15.75" customHeight="1">
      <c r="A3349" s="1780"/>
      <c r="B3349" s="1784"/>
      <c r="C3349" s="1889" t="s">
        <v>2091</v>
      </c>
      <c r="D3349" s="1841"/>
      <c r="E3349" s="413"/>
      <c r="F3349" s="320"/>
      <c r="G3349" s="361">
        <f>SUM(G3348:G3348)</f>
        <v>4489913.9879999999</v>
      </c>
      <c r="H3349" s="2015"/>
      <c r="I3349" s="2017">
        <f>SUM(I3348)</f>
        <v>0.74824415029060831</v>
      </c>
      <c r="J3349" s="1981"/>
    </row>
    <row r="3350" spans="1:10" ht="15.75" customHeight="1">
      <c r="A3350" s="1780"/>
      <c r="B3350" s="1739" t="s">
        <v>1048</v>
      </c>
      <c r="C3350" s="1877" t="s">
        <v>2246</v>
      </c>
      <c r="D3350" s="1841"/>
      <c r="E3350" s="413"/>
      <c r="F3350" s="317"/>
      <c r="G3350" s="320"/>
      <c r="H3350" s="2015"/>
      <c r="I3350" s="2015"/>
      <c r="J3350" s="1981"/>
    </row>
    <row r="3351" spans="1:10" ht="15.75" customHeight="1">
      <c r="A3351" s="1780"/>
      <c r="B3351" s="1784"/>
      <c r="C3351" s="1878"/>
      <c r="D3351" s="1841"/>
      <c r="E3351" s="413"/>
      <c r="F3351" s="320"/>
      <c r="G3351" s="361">
        <v>0</v>
      </c>
      <c r="H3351" s="2015"/>
      <c r="I3351" s="2018"/>
      <c r="J3351" s="1981"/>
    </row>
    <row r="3352" spans="1:10" ht="15.75" customHeight="1">
      <c r="A3352" s="1780"/>
      <c r="B3352" s="1784"/>
      <c r="C3352" s="1804" t="s">
        <v>2298</v>
      </c>
      <c r="D3352" s="1763"/>
      <c r="E3352" s="1764"/>
      <c r="F3352" s="1765"/>
      <c r="G3352" s="1765">
        <f>G3346+G3349+G3351</f>
        <v>4620462.1438299995</v>
      </c>
      <c r="H3352" s="2015"/>
      <c r="I3352" s="2018">
        <f>I3346+I3349</f>
        <v>0.77649850056254577</v>
      </c>
      <c r="J3352" s="1981"/>
    </row>
    <row r="3353" spans="1:10" ht="15.75" customHeight="1">
      <c r="A3353" s="1780"/>
      <c r="B3353" s="1784"/>
      <c r="C3353" s="1762" t="s">
        <v>2094</v>
      </c>
      <c r="D3353" s="1767">
        <f>M$4</f>
        <v>0.15</v>
      </c>
      <c r="E3353" s="1768"/>
      <c r="F3353" s="1765"/>
      <c r="G3353" s="1765">
        <f>G3352*D3353</f>
        <v>693069.32157449995</v>
      </c>
      <c r="H3353" s="2015"/>
      <c r="I3353" s="2018"/>
      <c r="J3353" s="1981"/>
    </row>
    <row r="3354" spans="1:10" ht="15.75" customHeight="1">
      <c r="A3354" s="1786"/>
      <c r="B3354" s="1890"/>
      <c r="C3354" s="1788" t="s">
        <v>2111</v>
      </c>
      <c r="D3354" s="1772"/>
      <c r="E3354" s="1773"/>
      <c r="F3354" s="1774"/>
      <c r="G3354" s="1998">
        <f>ROUNDUP((G3352+G3353),2)</f>
        <v>5313531.47</v>
      </c>
      <c r="H3354" s="2068"/>
      <c r="I3354" s="2092"/>
      <c r="J3354" s="2008"/>
    </row>
    <row r="3355" spans="1:10" ht="15.75" customHeight="1">
      <c r="A3355" s="1733"/>
      <c r="B3355" s="1733"/>
      <c r="C3355" s="1733"/>
      <c r="D3355" s="1733"/>
      <c r="E3355" s="1733"/>
      <c r="F3355" s="1733"/>
      <c r="G3355" s="1733"/>
      <c r="H3355" s="1733"/>
      <c r="I3355" s="1733"/>
      <c r="J3355" s="1733"/>
    </row>
    <row r="3356" spans="1:10" ht="30" customHeight="1">
      <c r="A3356" s="1778">
        <f>A3340+1</f>
        <v>185</v>
      </c>
      <c r="B3356" s="1871" t="s">
        <v>2147</v>
      </c>
      <c r="C3356" s="1872" t="s">
        <v>2948</v>
      </c>
      <c r="D3356" s="1873"/>
      <c r="E3356" s="1874"/>
      <c r="F3356" s="1875"/>
      <c r="G3356" s="1875"/>
      <c r="H3356" s="2089"/>
      <c r="I3356" s="2089"/>
      <c r="J3356" s="2090"/>
    </row>
    <row r="3357" spans="1:10" ht="15.75" customHeight="1">
      <c r="A3357" s="1780"/>
      <c r="B3357" s="1739" t="s">
        <v>1004</v>
      </c>
      <c r="C3357" s="1877" t="s">
        <v>2067</v>
      </c>
      <c r="D3357" s="390"/>
      <c r="E3357" s="413"/>
      <c r="F3357" s="320"/>
      <c r="G3357" s="320"/>
      <c r="H3357" s="1782"/>
      <c r="I3357" s="1782"/>
      <c r="J3357" s="1783"/>
    </row>
    <row r="3358" spans="1:10" ht="15.75" customHeight="1">
      <c r="A3358" s="1780"/>
      <c r="B3358" s="1739"/>
      <c r="C3358" s="1878" t="s">
        <v>2492</v>
      </c>
      <c r="D3358" s="1841">
        <v>1</v>
      </c>
      <c r="E3358" s="413" t="s">
        <v>360</v>
      </c>
      <c r="F3358" s="1747">
        <v>254965.61</v>
      </c>
      <c r="G3358" s="1794">
        <f>F3358*D3358</f>
        <v>254965.61</v>
      </c>
      <c r="H3358" s="2015">
        <v>1</v>
      </c>
      <c r="I3358" s="2015">
        <f>(G3358/G$3365)*H3358</f>
        <v>9.3126633184356031E-2</v>
      </c>
      <c r="J3358" s="1981"/>
    </row>
    <row r="3359" spans="1:10" ht="15.75" customHeight="1">
      <c r="A3359" s="1780"/>
      <c r="B3359" s="1739"/>
      <c r="C3359" s="1889" t="s">
        <v>2108</v>
      </c>
      <c r="D3359" s="1841"/>
      <c r="E3359" s="413"/>
      <c r="F3359" s="320"/>
      <c r="G3359" s="361">
        <f>SUM(G3358:G3358)</f>
        <v>254965.61</v>
      </c>
      <c r="H3359" s="2015"/>
      <c r="I3359" s="2017">
        <f>SUM(I3358:I3358)</f>
        <v>9.3126633184356031E-2</v>
      </c>
      <c r="J3359" s="1981"/>
    </row>
    <row r="3360" spans="1:10" ht="15.75" customHeight="1">
      <c r="A3360" s="1780"/>
      <c r="B3360" s="1739" t="s">
        <v>1015</v>
      </c>
      <c r="C3360" s="1877" t="s">
        <v>2075</v>
      </c>
      <c r="D3360" s="1841"/>
      <c r="E3360" s="413"/>
      <c r="F3360" s="317"/>
      <c r="G3360" s="320"/>
      <c r="H3360" s="2015"/>
      <c r="I3360" s="2015"/>
      <c r="J3360" s="1981"/>
    </row>
    <row r="3361" spans="1:10" ht="15.75" customHeight="1">
      <c r="A3361" s="1780"/>
      <c r="B3361" s="1739"/>
      <c r="C3361" s="1878" t="s">
        <v>2949</v>
      </c>
      <c r="D3361" s="1841">
        <v>1</v>
      </c>
      <c r="E3361" s="413" t="s">
        <v>360</v>
      </c>
      <c r="F3361" s="1747">
        <f>'Bahan &amp; Upah'!C306</f>
        <v>2482872.12</v>
      </c>
      <c r="G3361" s="1794">
        <f>F3361*D3361</f>
        <v>2482872.12</v>
      </c>
      <c r="H3361" s="2015">
        <f>H3348</f>
        <v>0.77</v>
      </c>
      <c r="I3361" s="2015">
        <f>(G3361/G$3365)*H3361</f>
        <v>0.69829249244804592</v>
      </c>
      <c r="J3361" s="1981"/>
    </row>
    <row r="3362" spans="1:10" ht="15.75" customHeight="1">
      <c r="A3362" s="1780"/>
      <c r="B3362" s="1784"/>
      <c r="C3362" s="1889" t="s">
        <v>2091</v>
      </c>
      <c r="D3362" s="1841"/>
      <c r="E3362" s="413"/>
      <c r="F3362" s="320"/>
      <c r="G3362" s="361">
        <f>SUM(G3361:G3361)</f>
        <v>2482872.12</v>
      </c>
      <c r="H3362" s="2015"/>
      <c r="I3362" s="2017">
        <f>SUM(I3361)</f>
        <v>0.69829249244804592</v>
      </c>
      <c r="J3362" s="1981"/>
    </row>
    <row r="3363" spans="1:10" ht="15.75" customHeight="1">
      <c r="A3363" s="1780"/>
      <c r="B3363" s="1739" t="s">
        <v>1048</v>
      </c>
      <c r="C3363" s="1877" t="s">
        <v>2246</v>
      </c>
      <c r="D3363" s="1841"/>
      <c r="E3363" s="413"/>
      <c r="F3363" s="317"/>
      <c r="G3363" s="320"/>
      <c r="H3363" s="2015"/>
      <c r="I3363" s="2015"/>
      <c r="J3363" s="1981"/>
    </row>
    <row r="3364" spans="1:10" ht="15.75" customHeight="1">
      <c r="A3364" s="1780"/>
      <c r="B3364" s="1784"/>
      <c r="C3364" s="1878"/>
      <c r="D3364" s="1841"/>
      <c r="E3364" s="413"/>
      <c r="F3364" s="320"/>
      <c r="G3364" s="361">
        <v>0</v>
      </c>
      <c r="H3364" s="2015"/>
      <c r="I3364" s="2018"/>
      <c r="J3364" s="1981"/>
    </row>
    <row r="3365" spans="1:10" ht="15.75" customHeight="1">
      <c r="A3365" s="1780"/>
      <c r="B3365" s="1784"/>
      <c r="C3365" s="1804" t="s">
        <v>2298</v>
      </c>
      <c r="D3365" s="1763"/>
      <c r="E3365" s="1764"/>
      <c r="F3365" s="1765"/>
      <c r="G3365" s="1765">
        <f>G3359+G3362+G3364</f>
        <v>2737837.73</v>
      </c>
      <c r="H3365" s="2015"/>
      <c r="I3365" s="2018">
        <f>I3359+I3362</f>
        <v>0.79141912563240191</v>
      </c>
      <c r="J3365" s="1981"/>
    </row>
    <row r="3366" spans="1:10" ht="15.75" customHeight="1">
      <c r="A3366" s="1780"/>
      <c r="B3366" s="1784"/>
      <c r="C3366" s="1762" t="s">
        <v>2094</v>
      </c>
      <c r="D3366" s="1767">
        <f>M$4</f>
        <v>0.15</v>
      </c>
      <c r="E3366" s="1768"/>
      <c r="F3366" s="1765"/>
      <c r="G3366" s="1765">
        <f>G3365*D3366</f>
        <v>410675.65950000001</v>
      </c>
      <c r="H3366" s="2015"/>
      <c r="I3366" s="2018"/>
      <c r="J3366" s="1981"/>
    </row>
    <row r="3367" spans="1:10" ht="15.75" customHeight="1">
      <c r="A3367" s="1786"/>
      <c r="B3367" s="1890"/>
      <c r="C3367" s="1788" t="s">
        <v>2111</v>
      </c>
      <c r="D3367" s="1772"/>
      <c r="E3367" s="1773"/>
      <c r="F3367" s="1774"/>
      <c r="G3367" s="1998">
        <f>ROUNDUP((G3365+G3366),2)</f>
        <v>3148513.3899999997</v>
      </c>
      <c r="H3367" s="2068"/>
      <c r="I3367" s="2092"/>
      <c r="J3367" s="2008"/>
    </row>
    <row r="3368" spans="1:10" ht="15.75" customHeight="1">
      <c r="A3368" s="1733"/>
      <c r="B3368" s="1733"/>
      <c r="C3368" s="1733"/>
      <c r="D3368" s="1733"/>
      <c r="E3368" s="1733"/>
      <c r="F3368" s="1733"/>
      <c r="G3368" s="1733"/>
      <c r="H3368" s="1733"/>
      <c r="I3368" s="1733"/>
      <c r="J3368" s="1733"/>
    </row>
    <row r="3369" spans="1:10" ht="30" customHeight="1">
      <c r="A3369" s="1778">
        <f>A3356+1</f>
        <v>186</v>
      </c>
      <c r="B3369" s="1871" t="s">
        <v>2147</v>
      </c>
      <c r="C3369" s="1872" t="s">
        <v>2950</v>
      </c>
      <c r="D3369" s="1873"/>
      <c r="E3369" s="1874"/>
      <c r="F3369" s="1875"/>
      <c r="G3369" s="1875"/>
      <c r="H3369" s="2089"/>
      <c r="I3369" s="2089"/>
      <c r="J3369" s="2090"/>
    </row>
    <row r="3370" spans="1:10" ht="15.75" customHeight="1">
      <c r="A3370" s="1780"/>
      <c r="B3370" s="1739" t="s">
        <v>1004</v>
      </c>
      <c r="C3370" s="1877" t="s">
        <v>2067</v>
      </c>
      <c r="D3370" s="390"/>
      <c r="E3370" s="413"/>
      <c r="F3370" s="320"/>
      <c r="G3370" s="320"/>
      <c r="H3370" s="1782"/>
      <c r="I3370" s="1782"/>
      <c r="J3370" s="1783"/>
    </row>
    <row r="3371" spans="1:10" ht="15.75" customHeight="1">
      <c r="A3371" s="1780"/>
      <c r="B3371" s="1739"/>
      <c r="C3371" s="1878" t="s">
        <v>2492</v>
      </c>
      <c r="D3371" s="1841">
        <v>1</v>
      </c>
      <c r="E3371" s="413" t="s">
        <v>360</v>
      </c>
      <c r="F3371" s="1747">
        <v>360260</v>
      </c>
      <c r="G3371" s="1794">
        <f>F3371*D3371</f>
        <v>360260</v>
      </c>
      <c r="H3371" s="2015">
        <v>1</v>
      </c>
      <c r="I3371" s="2015">
        <f>(G3371/G$3378)*H3371</f>
        <v>5.0278744320166872E-2</v>
      </c>
      <c r="J3371" s="1981"/>
    </row>
    <row r="3372" spans="1:10" ht="15.75" customHeight="1">
      <c r="A3372" s="1780"/>
      <c r="B3372" s="1739"/>
      <c r="C3372" s="1889" t="s">
        <v>2108</v>
      </c>
      <c r="D3372" s="1841"/>
      <c r="E3372" s="413"/>
      <c r="F3372" s="320"/>
      <c r="G3372" s="361">
        <f>SUM(G3371:G3371)</f>
        <v>360260</v>
      </c>
      <c r="H3372" s="2015"/>
      <c r="I3372" s="2017">
        <f>SUM(I3371:I3371)</f>
        <v>5.0278744320166872E-2</v>
      </c>
      <c r="J3372" s="1981"/>
    </row>
    <row r="3373" spans="1:10" ht="15.75" customHeight="1">
      <c r="A3373" s="1780"/>
      <c r="B3373" s="1739" t="s">
        <v>1015</v>
      </c>
      <c r="C3373" s="1877" t="s">
        <v>2075</v>
      </c>
      <c r="D3373" s="1841"/>
      <c r="E3373" s="413"/>
      <c r="F3373" s="317"/>
      <c r="G3373" s="320"/>
      <c r="H3373" s="2015"/>
      <c r="I3373" s="2015"/>
      <c r="J3373" s="1981"/>
    </row>
    <row r="3374" spans="1:10" ht="15.75" customHeight="1">
      <c r="A3374" s="1780"/>
      <c r="B3374" s="1739"/>
      <c r="C3374" s="1878" t="s">
        <v>2951</v>
      </c>
      <c r="D3374" s="1841">
        <v>1</v>
      </c>
      <c r="E3374" s="413" t="s">
        <v>360</v>
      </c>
      <c r="F3374" s="1747">
        <f>'Bahan &amp; Upah'!C307</f>
        <v>6804994.5199999996</v>
      </c>
      <c r="G3374" s="1794">
        <f>F3374*D3374</f>
        <v>6804994.5199999996</v>
      </c>
      <c r="H3374" s="2015">
        <f>H3361</f>
        <v>0.77</v>
      </c>
      <c r="I3374" s="2015">
        <f>(G3374/G$3378)*H3374</f>
        <v>0.73128536687347157</v>
      </c>
      <c r="J3374" s="1981"/>
    </row>
    <row r="3375" spans="1:10" ht="15.75" customHeight="1">
      <c r="A3375" s="1780"/>
      <c r="B3375" s="1784"/>
      <c r="C3375" s="1889" t="s">
        <v>2091</v>
      </c>
      <c r="D3375" s="1841"/>
      <c r="E3375" s="413"/>
      <c r="F3375" s="320"/>
      <c r="G3375" s="361">
        <f>SUM(G3374:G3374)</f>
        <v>6804994.5199999996</v>
      </c>
      <c r="H3375" s="2015"/>
      <c r="I3375" s="2017">
        <f>SUM(I3374)</f>
        <v>0.73128536687347157</v>
      </c>
      <c r="J3375" s="1981"/>
    </row>
    <row r="3376" spans="1:10" ht="15.75" customHeight="1">
      <c r="A3376" s="1780"/>
      <c r="B3376" s="1739" t="s">
        <v>1048</v>
      </c>
      <c r="C3376" s="1877" t="s">
        <v>2246</v>
      </c>
      <c r="D3376" s="1841"/>
      <c r="E3376" s="413"/>
      <c r="F3376" s="317"/>
      <c r="G3376" s="320"/>
      <c r="H3376" s="2015"/>
      <c r="I3376" s="2015"/>
      <c r="J3376" s="1981"/>
    </row>
    <row r="3377" spans="1:10" ht="15.75" customHeight="1">
      <c r="A3377" s="1780"/>
      <c r="B3377" s="1784"/>
      <c r="C3377" s="1878"/>
      <c r="D3377" s="1841"/>
      <c r="E3377" s="413"/>
      <c r="F3377" s="320"/>
      <c r="G3377" s="361">
        <v>0</v>
      </c>
      <c r="H3377" s="2015"/>
      <c r="I3377" s="2018"/>
      <c r="J3377" s="1981"/>
    </row>
    <row r="3378" spans="1:10" ht="15.75" customHeight="1">
      <c r="A3378" s="1780"/>
      <c r="B3378" s="1784"/>
      <c r="C3378" s="1804" t="s">
        <v>2298</v>
      </c>
      <c r="D3378" s="1763"/>
      <c r="E3378" s="1764"/>
      <c r="F3378" s="1765"/>
      <c r="G3378" s="1765">
        <f>G3372+G3375+G3377</f>
        <v>7165254.5199999996</v>
      </c>
      <c r="H3378" s="2015"/>
      <c r="I3378" s="2018">
        <f>I3372+I3375</f>
        <v>0.78156411119363844</v>
      </c>
      <c r="J3378" s="1981"/>
    </row>
    <row r="3379" spans="1:10" ht="15.75" customHeight="1">
      <c r="A3379" s="1780"/>
      <c r="B3379" s="1784"/>
      <c r="C3379" s="1762" t="s">
        <v>2094</v>
      </c>
      <c r="D3379" s="1767">
        <f>M$4</f>
        <v>0.15</v>
      </c>
      <c r="E3379" s="1768"/>
      <c r="F3379" s="1765"/>
      <c r="G3379" s="1765">
        <f>G3378*D3379</f>
        <v>1074788.1779999998</v>
      </c>
      <c r="H3379" s="2015"/>
      <c r="I3379" s="2018"/>
      <c r="J3379" s="1981"/>
    </row>
    <row r="3380" spans="1:10" ht="15.75" customHeight="1">
      <c r="A3380" s="1786"/>
      <c r="B3380" s="1890"/>
      <c r="C3380" s="1788" t="s">
        <v>2111</v>
      </c>
      <c r="D3380" s="1772"/>
      <c r="E3380" s="1773"/>
      <c r="F3380" s="1774"/>
      <c r="G3380" s="1998">
        <f>ROUNDUP((G3378+G3379),2)</f>
        <v>8240042.7000000002</v>
      </c>
      <c r="H3380" s="2068"/>
      <c r="I3380" s="2092"/>
      <c r="J3380" s="2008"/>
    </row>
    <row r="3381" spans="1:10" ht="15.75" customHeight="1">
      <c r="A3381" s="1733"/>
      <c r="B3381" s="1733"/>
      <c r="C3381" s="1733"/>
      <c r="D3381" s="1733"/>
      <c r="E3381" s="1733"/>
      <c r="F3381" s="1733"/>
      <c r="G3381" s="1733"/>
      <c r="H3381" s="1733"/>
      <c r="I3381" s="1733"/>
      <c r="J3381" s="1733"/>
    </row>
    <row r="3382" spans="1:10" ht="19.5" customHeight="1">
      <c r="A3382" s="1778">
        <f>A3369+1</f>
        <v>187</v>
      </c>
      <c r="B3382" s="1871" t="s">
        <v>2952</v>
      </c>
      <c r="C3382" s="1872" t="s">
        <v>2953</v>
      </c>
      <c r="D3382" s="1873"/>
      <c r="E3382" s="1874"/>
      <c r="F3382" s="1875"/>
      <c r="G3382" s="1875"/>
      <c r="H3382" s="2089"/>
      <c r="I3382" s="2089"/>
      <c r="J3382" s="2090"/>
    </row>
    <row r="3383" spans="1:10" ht="15.75" customHeight="1">
      <c r="A3383" s="1780"/>
      <c r="B3383" s="1739" t="s">
        <v>1004</v>
      </c>
      <c r="C3383" s="1877" t="s">
        <v>2067</v>
      </c>
      <c r="D3383" s="390"/>
      <c r="E3383" s="413"/>
      <c r="F3383" s="320"/>
      <c r="G3383" s="320"/>
      <c r="H3383" s="1782"/>
      <c r="I3383" s="1782"/>
      <c r="J3383" s="1783"/>
    </row>
    <row r="3384" spans="1:10" ht="15.75" customHeight="1">
      <c r="A3384" s="1780"/>
      <c r="B3384" s="1739"/>
      <c r="C3384" s="1878" t="s">
        <v>2103</v>
      </c>
      <c r="D3384" s="1781">
        <v>0.90449999999999997</v>
      </c>
      <c r="E3384" s="413" t="s">
        <v>2069</v>
      </c>
      <c r="F3384" s="1747">
        <f>'Bahan &amp; Upah'!C$336</f>
        <v>96332.65</v>
      </c>
      <c r="G3384" s="361">
        <f>F3384*D3384</f>
        <v>87132.881924999994</v>
      </c>
      <c r="H3384" s="2015">
        <v>1</v>
      </c>
      <c r="I3384" s="2015">
        <f>(G3384/G$3396)*H3384</f>
        <v>4.6557919683861644E-2</v>
      </c>
      <c r="J3384" s="1783"/>
    </row>
    <row r="3385" spans="1:10" ht="15.75" customHeight="1">
      <c r="A3385" s="1780"/>
      <c r="B3385" s="1739"/>
      <c r="C3385" s="1878" t="s">
        <v>2124</v>
      </c>
      <c r="D3385" s="1781">
        <v>0.2261</v>
      </c>
      <c r="E3385" s="413" t="s">
        <v>2069</v>
      </c>
      <c r="F3385" s="1883">
        <f>'Bahan &amp; Upah'!C$337</f>
        <v>114133.55</v>
      </c>
      <c r="G3385" s="361">
        <f>F3385*D3385</f>
        <v>25805.595655000001</v>
      </c>
      <c r="H3385" s="2015">
        <v>1</v>
      </c>
      <c r="I3385" s="2015">
        <f>(G3385/G$3396)*H3385</f>
        <v>1.3788765198124131E-2</v>
      </c>
      <c r="J3385" s="1783"/>
    </row>
    <row r="3386" spans="1:10" ht="15.75" customHeight="1">
      <c r="A3386" s="1780"/>
      <c r="B3386" s="1739"/>
      <c r="C3386" s="1878" t="s">
        <v>2107</v>
      </c>
      <c r="D3386" s="1841">
        <v>4.5199999999999997E-2</v>
      </c>
      <c r="E3386" s="413" t="s">
        <v>2069</v>
      </c>
      <c r="F3386" s="1883">
        <f>'Bahan &amp; Upah'!C$339</f>
        <v>102689.88</v>
      </c>
      <c r="G3386" s="1785">
        <f>F3386*D3386</f>
        <v>4641.5825759999998</v>
      </c>
      <c r="H3386" s="2015">
        <v>1</v>
      </c>
      <c r="I3386" s="2016">
        <f>(G3386/G$3396)*H3386</f>
        <v>2.4801478386245819E-3</v>
      </c>
      <c r="J3386" s="1981"/>
    </row>
    <row r="3387" spans="1:10" ht="15.75" customHeight="1">
      <c r="A3387" s="1780"/>
      <c r="B3387" s="1739"/>
      <c r="C3387" s="1889" t="s">
        <v>2108</v>
      </c>
      <c r="D3387" s="1841"/>
      <c r="E3387" s="413"/>
      <c r="F3387" s="320"/>
      <c r="G3387" s="361">
        <f>SUM(G3384:G3386)</f>
        <v>117580.06015599999</v>
      </c>
      <c r="H3387" s="2015"/>
      <c r="I3387" s="2017">
        <f>SUM(I3384:I3386)</f>
        <v>6.2826832720610362E-2</v>
      </c>
      <c r="J3387" s="1981"/>
    </row>
    <row r="3388" spans="1:10" ht="15.75" customHeight="1">
      <c r="A3388" s="1780"/>
      <c r="B3388" s="1739" t="s">
        <v>1015</v>
      </c>
      <c r="C3388" s="1877" t="s">
        <v>2075</v>
      </c>
      <c r="D3388" s="1841"/>
      <c r="E3388" s="413"/>
      <c r="F3388" s="317"/>
      <c r="G3388" s="320"/>
      <c r="H3388" s="2015"/>
      <c r="I3388" s="2015"/>
      <c r="J3388" s="1981"/>
    </row>
    <row r="3389" spans="1:10" ht="15.75" customHeight="1">
      <c r="A3389" s="1780"/>
      <c r="B3389" s="1739"/>
      <c r="C3389" s="1878" t="s">
        <v>2954</v>
      </c>
      <c r="D3389" s="1841">
        <v>5.45E-2</v>
      </c>
      <c r="E3389" s="413" t="s">
        <v>103</v>
      </c>
      <c r="F3389" s="1747">
        <f>G1185</f>
        <v>1203983.2618735714</v>
      </c>
      <c r="G3389" s="361">
        <f>F3389*D3389</f>
        <v>65617.087772109648</v>
      </c>
      <c r="H3389" s="2015">
        <v>0.98565719700486598</v>
      </c>
      <c r="I3389" s="2015">
        <f>(G3389/G$3396)*H3389</f>
        <v>3.4558456497170494E-2</v>
      </c>
      <c r="J3389" s="1981"/>
    </row>
    <row r="3390" spans="1:10" ht="15.75" customHeight="1">
      <c r="A3390" s="1780"/>
      <c r="B3390" s="1739"/>
      <c r="C3390" s="1878" t="s">
        <v>2394</v>
      </c>
      <c r="D3390" s="1841">
        <v>0.109</v>
      </c>
      <c r="E3390" s="413" t="s">
        <v>103</v>
      </c>
      <c r="F3390" s="1747">
        <f>G720</f>
        <v>413355.33119999996</v>
      </c>
      <c r="G3390" s="361">
        <f>F3390*D3390</f>
        <v>45055.731100799996</v>
      </c>
      <c r="H3390" s="2015">
        <v>1</v>
      </c>
      <c r="I3390" s="2015">
        <f>(G3390/G$3396)*H3390</f>
        <v>2.4074735777640396E-2</v>
      </c>
      <c r="J3390" s="1981"/>
    </row>
    <row r="3391" spans="1:10" ht="15.75" customHeight="1">
      <c r="A3391" s="1780"/>
      <c r="B3391" s="1739"/>
      <c r="C3391" s="1878" t="s">
        <v>2955</v>
      </c>
      <c r="D3391" s="1841">
        <v>0.83330000000000004</v>
      </c>
      <c r="E3391" s="413" t="s">
        <v>124</v>
      </c>
      <c r="F3391" s="1747">
        <f>'Bahan &amp; Upah'!C308</f>
        <v>1803403.77</v>
      </c>
      <c r="G3391" s="1794">
        <f>F3391*D3391</f>
        <v>1502776.3615410002</v>
      </c>
      <c r="H3391" s="2015">
        <f>H3374</f>
        <v>0.77</v>
      </c>
      <c r="I3391" s="2016">
        <f>(G3391/G$3396)*H3391</f>
        <v>0.61829618727422153</v>
      </c>
      <c r="J3391" s="1981"/>
    </row>
    <row r="3392" spans="1:10" ht="15.75" customHeight="1">
      <c r="A3392" s="1780"/>
      <c r="B3392" s="1784"/>
      <c r="C3392" s="1889" t="s">
        <v>2091</v>
      </c>
      <c r="D3392" s="1841"/>
      <c r="E3392" s="413"/>
      <c r="F3392" s="320"/>
      <c r="G3392" s="361">
        <f>SUM(G3389:G3391)</f>
        <v>1613449.1804139097</v>
      </c>
      <c r="H3392" s="2015"/>
      <c r="I3392" s="2017">
        <f>SUM(I3389:I3391)</f>
        <v>0.67692937954903243</v>
      </c>
      <c r="J3392" s="1981"/>
    </row>
    <row r="3393" spans="1:10" ht="15.75" customHeight="1">
      <c r="A3393" s="1780"/>
      <c r="B3393" s="1739" t="s">
        <v>1048</v>
      </c>
      <c r="C3393" s="1877" t="s">
        <v>2246</v>
      </c>
      <c r="D3393" s="1841"/>
      <c r="E3393" s="413"/>
      <c r="F3393" s="317"/>
      <c r="G3393" s="320"/>
      <c r="H3393" s="2015"/>
      <c r="I3393" s="2015"/>
      <c r="J3393" s="1981"/>
    </row>
    <row r="3394" spans="1:10" ht="15.75" customHeight="1">
      <c r="A3394" s="1780"/>
      <c r="B3394" s="1739"/>
      <c r="C3394" s="1878" t="s">
        <v>2956</v>
      </c>
      <c r="D3394" s="1841">
        <v>0.2261</v>
      </c>
      <c r="E3394" s="413" t="s">
        <v>1340</v>
      </c>
      <c r="F3394" s="1747">
        <f>'Bahan &amp; Upah'!C202</f>
        <v>621251.98</v>
      </c>
      <c r="G3394" s="1794">
        <f>F3394*D3394</f>
        <v>140465.072678</v>
      </c>
      <c r="H3394" s="2015">
        <v>1</v>
      </c>
      <c r="I3394" s="2016">
        <f>(G3394/G$3396)*H3394</f>
        <v>7.5055035798761272E-2</v>
      </c>
      <c r="J3394" s="1981"/>
    </row>
    <row r="3395" spans="1:10" ht="15.75" customHeight="1">
      <c r="A3395" s="1780"/>
      <c r="B3395" s="1784"/>
      <c r="C3395" s="1878"/>
      <c r="D3395" s="1841"/>
      <c r="E3395" s="413"/>
      <c r="F3395" s="320"/>
      <c r="G3395" s="361">
        <f>SUM(G3394)</f>
        <v>140465.072678</v>
      </c>
      <c r="H3395" s="2015"/>
      <c r="I3395" s="2017">
        <f>SUM(I3394)</f>
        <v>7.5055035798761272E-2</v>
      </c>
      <c r="J3395" s="1981"/>
    </row>
    <row r="3396" spans="1:10" ht="15.75" customHeight="1">
      <c r="A3396" s="1780"/>
      <c r="B3396" s="1784"/>
      <c r="C3396" s="1804" t="s">
        <v>2298</v>
      </c>
      <c r="D3396" s="1763"/>
      <c r="E3396" s="1764"/>
      <c r="F3396" s="1765"/>
      <c r="G3396" s="1765">
        <f>G3387+G3392+G3395</f>
        <v>1871494.3132479098</v>
      </c>
      <c r="H3396" s="2015"/>
      <c r="I3396" s="2018">
        <f>I3387+I3392+I3395</f>
        <v>0.8148112480684041</v>
      </c>
      <c r="J3396" s="1981"/>
    </row>
    <row r="3397" spans="1:10" ht="15.75" customHeight="1">
      <c r="A3397" s="1780"/>
      <c r="B3397" s="1784"/>
      <c r="C3397" s="1762" t="s">
        <v>2094</v>
      </c>
      <c r="D3397" s="1767">
        <f>M$4</f>
        <v>0.15</v>
      </c>
      <c r="E3397" s="1768"/>
      <c r="F3397" s="1765"/>
      <c r="G3397" s="1765">
        <f>G3396*D3397</f>
        <v>280724.14698718645</v>
      </c>
      <c r="H3397" s="2015"/>
      <c r="I3397" s="2018"/>
      <c r="J3397" s="1981"/>
    </row>
    <row r="3398" spans="1:10" ht="15.75" customHeight="1">
      <c r="A3398" s="1786"/>
      <c r="B3398" s="1890"/>
      <c r="C3398" s="1788" t="s">
        <v>2111</v>
      </c>
      <c r="D3398" s="1772"/>
      <c r="E3398" s="1773"/>
      <c r="F3398" s="1774"/>
      <c r="G3398" s="1998">
        <f>ROUNDUP((G3396+G3397),2)</f>
        <v>2152218.4699999997</v>
      </c>
      <c r="H3398" s="2068"/>
      <c r="I3398" s="2092"/>
      <c r="J3398" s="2008"/>
    </row>
    <row r="3399" spans="1:10" ht="15.75" customHeight="1">
      <c r="A3399" s="1733"/>
      <c r="B3399" s="1733"/>
      <c r="C3399" s="1733"/>
      <c r="D3399" s="1733"/>
      <c r="E3399" s="1733"/>
      <c r="F3399" s="1733"/>
      <c r="G3399" s="1733"/>
      <c r="H3399" s="1733"/>
      <c r="I3399" s="1733"/>
      <c r="J3399" s="1733"/>
    </row>
    <row r="3400" spans="1:10" ht="15.75" customHeight="1">
      <c r="A3400" s="1778">
        <f>A3382+1</f>
        <v>188</v>
      </c>
      <c r="B3400" s="1871" t="s">
        <v>2957</v>
      </c>
      <c r="C3400" s="1872" t="s">
        <v>2958</v>
      </c>
      <c r="D3400" s="1873"/>
      <c r="E3400" s="1874"/>
      <c r="F3400" s="1875"/>
      <c r="G3400" s="1875"/>
      <c r="H3400" s="2089"/>
      <c r="I3400" s="2089"/>
      <c r="J3400" s="2090"/>
    </row>
    <row r="3401" spans="1:10" ht="15.75" customHeight="1">
      <c r="A3401" s="1780"/>
      <c r="B3401" s="1739" t="s">
        <v>1004</v>
      </c>
      <c r="C3401" s="1877" t="s">
        <v>2067</v>
      </c>
      <c r="D3401" s="390"/>
      <c r="E3401" s="413"/>
      <c r="F3401" s="320"/>
      <c r="G3401" s="320"/>
      <c r="H3401" s="1782"/>
      <c r="I3401" s="1782"/>
      <c r="J3401" s="1783"/>
    </row>
    <row r="3402" spans="1:10" ht="15.75" customHeight="1">
      <c r="A3402" s="1780"/>
      <c r="B3402" s="1739"/>
      <c r="C3402" s="1878" t="s">
        <v>2103</v>
      </c>
      <c r="D3402" s="1781">
        <v>5.25</v>
      </c>
      <c r="E3402" s="413" t="s">
        <v>2069</v>
      </c>
      <c r="F3402" s="1747">
        <f>'Bahan &amp; Upah'!C$336</f>
        <v>96332.65</v>
      </c>
      <c r="G3402" s="361">
        <f>F3402*D3402</f>
        <v>505746.41249999998</v>
      </c>
      <c r="H3402" s="2015">
        <v>1</v>
      </c>
      <c r="I3402" s="2015">
        <f>(G3402/G$3413)*H3402</f>
        <v>2.2776638800662843E-3</v>
      </c>
      <c r="J3402" s="1783"/>
    </row>
    <row r="3403" spans="1:10" ht="15.75" customHeight="1">
      <c r="A3403" s="1780"/>
      <c r="B3403" s="1739"/>
      <c r="C3403" s="1878" t="s">
        <v>2124</v>
      </c>
      <c r="D3403" s="1781">
        <v>1.75</v>
      </c>
      <c r="E3403" s="413" t="s">
        <v>2069</v>
      </c>
      <c r="F3403" s="1883">
        <f>'Bahan &amp; Upah'!C$337</f>
        <v>114133.55</v>
      </c>
      <c r="G3403" s="361">
        <f>F3403*D3403</f>
        <v>199733.71249999999</v>
      </c>
      <c r="H3403" s="2015">
        <v>1</v>
      </c>
      <c r="I3403" s="2015">
        <f>(G3403/G$3413)*H3403</f>
        <v>8.9951456174252882E-4</v>
      </c>
      <c r="J3403" s="1783"/>
    </row>
    <row r="3404" spans="1:10" ht="15.75" customHeight="1">
      <c r="A3404" s="1780"/>
      <c r="B3404" s="1739"/>
      <c r="C3404" s="1878" t="s">
        <v>2105</v>
      </c>
      <c r="D3404" s="1781">
        <v>0.17499999999999999</v>
      </c>
      <c r="E3404" s="413" t="s">
        <v>2069</v>
      </c>
      <c r="F3404" s="1748">
        <f>'Bahan &amp; Upah'!C$338</f>
        <v>125485.75</v>
      </c>
      <c r="G3404" s="361">
        <f>F3404*D3404</f>
        <v>21960.006249999999</v>
      </c>
      <c r="H3404" s="2015">
        <v>1</v>
      </c>
      <c r="I3404" s="2015">
        <f>(G3404/G$3413)*H3404</f>
        <v>9.8898404032979383E-5</v>
      </c>
      <c r="J3404" s="1783"/>
    </row>
    <row r="3405" spans="1:10" ht="15.75" customHeight="1">
      <c r="A3405" s="1780"/>
      <c r="B3405" s="1739"/>
      <c r="C3405" s="1878" t="s">
        <v>2107</v>
      </c>
      <c r="D3405" s="1841">
        <v>5.8000000000000003E-2</v>
      </c>
      <c r="E3405" s="413" t="s">
        <v>2069</v>
      </c>
      <c r="F3405" s="1883">
        <f>'Bahan &amp; Upah'!C$339</f>
        <v>102689.88</v>
      </c>
      <c r="G3405" s="1785">
        <f>F3405*D3405</f>
        <v>5956.0130400000007</v>
      </c>
      <c r="H3405" s="2015">
        <v>1</v>
      </c>
      <c r="I3405" s="2016">
        <f>(G3405/G$3413)*H3405</f>
        <v>2.6823315865659824E-5</v>
      </c>
      <c r="J3405" s="1981"/>
    </row>
    <row r="3406" spans="1:10" ht="15.75" customHeight="1">
      <c r="A3406" s="1780"/>
      <c r="B3406" s="1739"/>
      <c r="C3406" s="1889" t="s">
        <v>2108</v>
      </c>
      <c r="D3406" s="1841"/>
      <c r="E3406" s="413"/>
      <c r="F3406" s="320"/>
      <c r="G3406" s="361">
        <f>SUM(G3402:G3405)</f>
        <v>733396.14428999997</v>
      </c>
      <c r="H3406" s="2015"/>
      <c r="I3406" s="2017">
        <f>SUM(I3402:I3405)</f>
        <v>3.3029001617074522E-3</v>
      </c>
      <c r="J3406" s="1981"/>
    </row>
    <row r="3407" spans="1:10" ht="15.75" customHeight="1">
      <c r="A3407" s="1780"/>
      <c r="B3407" s="1739" t="s">
        <v>1015</v>
      </c>
      <c r="C3407" s="1877" t="s">
        <v>2075</v>
      </c>
      <c r="D3407" s="1841"/>
      <c r="E3407" s="413"/>
      <c r="F3407" s="317"/>
      <c r="G3407" s="320"/>
      <c r="H3407" s="2015"/>
      <c r="I3407" s="2015"/>
      <c r="J3407" s="1981"/>
    </row>
    <row r="3408" spans="1:10" ht="27.75" customHeight="1">
      <c r="A3408" s="1780"/>
      <c r="B3408" s="1739"/>
      <c r="C3408" s="2045" t="s">
        <v>2959</v>
      </c>
      <c r="D3408" s="1841">
        <v>1.03</v>
      </c>
      <c r="E3408" s="413" t="s">
        <v>360</v>
      </c>
      <c r="F3408" s="1747">
        <f>'Bahan &amp; Upah'!C203</f>
        <v>214418737.91</v>
      </c>
      <c r="G3408" s="1794">
        <f>F3408*D3408</f>
        <v>220851300.04730001</v>
      </c>
      <c r="H3408" s="2015">
        <v>0.38290000000000002</v>
      </c>
      <c r="I3408" s="2016">
        <f>(G3408/G$3413)*H3408</f>
        <v>0.38083964381606006</v>
      </c>
      <c r="J3408" s="1981"/>
    </row>
    <row r="3409" spans="1:10" ht="15.75" customHeight="1">
      <c r="A3409" s="1780"/>
      <c r="B3409" s="1784"/>
      <c r="C3409" s="1889" t="s">
        <v>2091</v>
      </c>
      <c r="D3409" s="1841"/>
      <c r="E3409" s="413"/>
      <c r="F3409" s="320"/>
      <c r="G3409" s="361">
        <f>SUM(G3408:G3408)</f>
        <v>220851300.04730001</v>
      </c>
      <c r="H3409" s="2015"/>
      <c r="I3409" s="2017">
        <f>SUM(I3408:I3408)</f>
        <v>0.38083964381606006</v>
      </c>
      <c r="J3409" s="1981"/>
    </row>
    <row r="3410" spans="1:10" ht="15.75" customHeight="1">
      <c r="A3410" s="1780"/>
      <c r="B3410" s="1739" t="s">
        <v>1048</v>
      </c>
      <c r="C3410" s="1877" t="s">
        <v>2246</v>
      </c>
      <c r="D3410" s="1841"/>
      <c r="E3410" s="413"/>
      <c r="F3410" s="317"/>
      <c r="G3410" s="320"/>
      <c r="H3410" s="2015"/>
      <c r="I3410" s="2015"/>
      <c r="J3410" s="1981"/>
    </row>
    <row r="3411" spans="1:10" ht="15.75" customHeight="1">
      <c r="A3411" s="1780"/>
      <c r="B3411" s="1739"/>
      <c r="C3411" s="1878" t="s">
        <v>2960</v>
      </c>
      <c r="D3411" s="1841">
        <v>2</v>
      </c>
      <c r="E3411" s="413" t="s">
        <v>2281</v>
      </c>
      <c r="F3411" s="1747">
        <f>'Bahan &amp; Upah'!C205</f>
        <v>230708.67</v>
      </c>
      <c r="G3411" s="1794">
        <f>F3411*D3411</f>
        <v>461417.34</v>
      </c>
      <c r="H3411" s="2015">
        <v>1</v>
      </c>
      <c r="I3411" s="2016">
        <f>(G3411/G$3413)*H3411</f>
        <v>2.0780248420531585E-3</v>
      </c>
      <c r="J3411" s="1981"/>
    </row>
    <row r="3412" spans="1:10" ht="15.75" customHeight="1">
      <c r="A3412" s="1780"/>
      <c r="B3412" s="1784"/>
      <c r="C3412" s="1878"/>
      <c r="D3412" s="1841"/>
      <c r="E3412" s="413"/>
      <c r="F3412" s="320"/>
      <c r="G3412" s="361">
        <f>SUM(G3411)</f>
        <v>461417.34</v>
      </c>
      <c r="H3412" s="2015"/>
      <c r="I3412" s="2017">
        <f>SUM(I3411)</f>
        <v>2.0780248420531585E-3</v>
      </c>
      <c r="J3412" s="1981"/>
    </row>
    <row r="3413" spans="1:10" ht="15.75" customHeight="1">
      <c r="A3413" s="1780"/>
      <c r="B3413" s="1784"/>
      <c r="C3413" s="1804" t="s">
        <v>2298</v>
      </c>
      <c r="D3413" s="1763"/>
      <c r="E3413" s="1764"/>
      <c r="F3413" s="1765"/>
      <c r="G3413" s="1765">
        <f>G3406+G3409+G3412</f>
        <v>222046113.53159001</v>
      </c>
      <c r="H3413" s="2015"/>
      <c r="I3413" s="2018">
        <f>I3406+I3409+I3412</f>
        <v>0.3862205688198207</v>
      </c>
      <c r="J3413" s="1981"/>
    </row>
    <row r="3414" spans="1:10" ht="15.75" customHeight="1">
      <c r="A3414" s="1780"/>
      <c r="B3414" s="1784"/>
      <c r="C3414" s="1762" t="s">
        <v>2094</v>
      </c>
      <c r="D3414" s="1767">
        <f>M$4</f>
        <v>0.15</v>
      </c>
      <c r="E3414" s="1768"/>
      <c r="F3414" s="1765"/>
      <c r="G3414" s="1765">
        <f>G3413*D3414</f>
        <v>33306917.029738501</v>
      </c>
      <c r="H3414" s="2015"/>
      <c r="I3414" s="2018"/>
      <c r="J3414" s="1981"/>
    </row>
    <row r="3415" spans="1:10" ht="15.75" customHeight="1">
      <c r="A3415" s="1786"/>
      <c r="B3415" s="1890"/>
      <c r="C3415" s="1788" t="s">
        <v>2111</v>
      </c>
      <c r="D3415" s="1772"/>
      <c r="E3415" s="1773"/>
      <c r="F3415" s="1774"/>
      <c r="G3415" s="1998">
        <f>ROUNDUP((G3413+G3414),2)</f>
        <v>255353030.56999999</v>
      </c>
      <c r="H3415" s="2068"/>
      <c r="I3415" s="2092"/>
      <c r="J3415" s="2008"/>
    </row>
    <row r="3416" spans="1:10" ht="15.75" customHeight="1">
      <c r="A3416" s="1733"/>
      <c r="B3416" s="1733"/>
      <c r="C3416" s="1733"/>
      <c r="D3416" s="1733"/>
      <c r="E3416" s="1733"/>
      <c r="F3416" s="1733"/>
      <c r="G3416" s="1733"/>
      <c r="H3416" s="1733"/>
      <c r="I3416" s="1733"/>
      <c r="J3416" s="1733"/>
    </row>
    <row r="3417" spans="1:10" ht="15.75" customHeight="1">
      <c r="A3417" s="1778">
        <f>A3400+1</f>
        <v>189</v>
      </c>
      <c r="B3417" s="1871" t="s">
        <v>2961</v>
      </c>
      <c r="C3417" s="1872" t="s">
        <v>2962</v>
      </c>
      <c r="D3417" s="1873"/>
      <c r="E3417" s="1874"/>
      <c r="F3417" s="1875"/>
      <c r="G3417" s="1875"/>
      <c r="H3417" s="2089"/>
      <c r="I3417" s="2089"/>
      <c r="J3417" s="2090"/>
    </row>
    <row r="3418" spans="1:10" ht="15.75" customHeight="1">
      <c r="A3418" s="1780"/>
      <c r="B3418" s="1739" t="s">
        <v>1004</v>
      </c>
      <c r="C3418" s="1877" t="s">
        <v>2067</v>
      </c>
      <c r="D3418" s="390"/>
      <c r="E3418" s="413"/>
      <c r="F3418" s="320"/>
      <c r="G3418" s="320"/>
      <c r="H3418" s="1782"/>
      <c r="I3418" s="1782"/>
      <c r="J3418" s="1783"/>
    </row>
    <row r="3419" spans="1:10" ht="15.75" customHeight="1">
      <c r="A3419" s="1780"/>
      <c r="B3419" s="1739"/>
      <c r="C3419" s="1878" t="s">
        <v>2103</v>
      </c>
      <c r="D3419" s="1781">
        <v>0.41699999999999998</v>
      </c>
      <c r="E3419" s="413" t="s">
        <v>2069</v>
      </c>
      <c r="F3419" s="1747">
        <f>'Bahan &amp; Upah'!C$336</f>
        <v>96332.65</v>
      </c>
      <c r="G3419" s="361">
        <f>F3419*D3419</f>
        <v>40170.715049999999</v>
      </c>
      <c r="H3419" s="2015">
        <v>1</v>
      </c>
      <c r="I3419" s="2015">
        <f>(G3419/G$3429)*H3419</f>
        <v>2.0462263926678921E-3</v>
      </c>
      <c r="J3419" s="1783"/>
    </row>
    <row r="3420" spans="1:10" ht="15.75" customHeight="1">
      <c r="A3420" s="1780"/>
      <c r="B3420" s="1739"/>
      <c r="C3420" s="1878" t="s">
        <v>2124</v>
      </c>
      <c r="D3420" s="1781">
        <v>0.69599999999999995</v>
      </c>
      <c r="E3420" s="413" t="s">
        <v>2069</v>
      </c>
      <c r="F3420" s="1883">
        <f>'Bahan &amp; Upah'!C$337</f>
        <v>114133.55</v>
      </c>
      <c r="G3420" s="361">
        <f>F3420*D3420</f>
        <v>79436.950799999991</v>
      </c>
      <c r="H3420" s="2015">
        <v>1</v>
      </c>
      <c r="I3420" s="2015">
        <f>(G3420/G$3429)*H3420</f>
        <v>4.0463801821227679E-3</v>
      </c>
      <c r="J3420" s="1783"/>
    </row>
    <row r="3421" spans="1:10" ht="15.75" customHeight="1">
      <c r="A3421" s="1780"/>
      <c r="B3421" s="1739"/>
      <c r="C3421" s="1878" t="s">
        <v>2105</v>
      </c>
      <c r="D3421" s="1781">
        <v>7.0000000000000007E-2</v>
      </c>
      <c r="E3421" s="413" t="s">
        <v>2069</v>
      </c>
      <c r="F3421" s="1748">
        <f>'Bahan &amp; Upah'!C$338</f>
        <v>125485.75</v>
      </c>
      <c r="G3421" s="361">
        <f>F3421*D3421</f>
        <v>8784.0025000000005</v>
      </c>
      <c r="H3421" s="2015">
        <v>1</v>
      </c>
      <c r="I3421" s="2015">
        <f>(G3421/G$3429)*H3421</f>
        <v>4.4744181741322394E-4</v>
      </c>
      <c r="J3421" s="1783"/>
    </row>
    <row r="3422" spans="1:10" ht="15.75" customHeight="1">
      <c r="A3422" s="1780"/>
      <c r="B3422" s="1739"/>
      <c r="C3422" s="1878" t="s">
        <v>2107</v>
      </c>
      <c r="D3422" s="1841">
        <v>2.1000000000000001E-2</v>
      </c>
      <c r="E3422" s="413" t="s">
        <v>2069</v>
      </c>
      <c r="F3422" s="1883">
        <f>'Bahan &amp; Upah'!C$339</f>
        <v>102689.88</v>
      </c>
      <c r="G3422" s="1785">
        <f>F3422*D3422</f>
        <v>2156.4874800000002</v>
      </c>
      <c r="H3422" s="2015">
        <v>1</v>
      </c>
      <c r="I3422" s="2016">
        <f>(G3422/G$3429)*H3422</f>
        <v>1.0984772343587829E-4</v>
      </c>
      <c r="J3422" s="1981"/>
    </row>
    <row r="3423" spans="1:10" ht="15.75" customHeight="1">
      <c r="A3423" s="1780"/>
      <c r="B3423" s="1739"/>
      <c r="C3423" s="1889" t="s">
        <v>2108</v>
      </c>
      <c r="D3423" s="1841"/>
      <c r="E3423" s="413"/>
      <c r="F3423" s="320"/>
      <c r="G3423" s="361">
        <f>SUM(G3419:G3422)</f>
        <v>130548.15582999999</v>
      </c>
      <c r="H3423" s="2015"/>
      <c r="I3423" s="2017">
        <f>SUM(I3419:I3422)</f>
        <v>6.6498961156397623E-3</v>
      </c>
      <c r="J3423" s="1981"/>
    </row>
    <row r="3424" spans="1:10" ht="15.75" customHeight="1">
      <c r="A3424" s="1780"/>
      <c r="B3424" s="1739" t="s">
        <v>1015</v>
      </c>
      <c r="C3424" s="1877" t="s">
        <v>2075</v>
      </c>
      <c r="D3424" s="1841"/>
      <c r="E3424" s="413"/>
      <c r="F3424" s="317"/>
      <c r="G3424" s="320"/>
      <c r="H3424" s="2015"/>
      <c r="I3424" s="2015"/>
      <c r="J3424" s="1981"/>
    </row>
    <row r="3425" spans="1:10" ht="15.75" customHeight="1">
      <c r="A3425" s="1780"/>
      <c r="B3425" s="1739"/>
      <c r="C3425" s="1878" t="s">
        <v>2963</v>
      </c>
      <c r="D3425" s="1841">
        <v>1.05</v>
      </c>
      <c r="E3425" s="413" t="s">
        <v>360</v>
      </c>
      <c r="F3425" s="1747">
        <f>'Bahan &amp; Upah'!C204</f>
        <v>18572438.239999998</v>
      </c>
      <c r="G3425" s="1794">
        <f>F3425*D3425</f>
        <v>19501060.151999999</v>
      </c>
      <c r="H3425" s="2015">
        <v>0.38290000000000002</v>
      </c>
      <c r="I3425" s="2016">
        <f>(G3425/G$3429)*H3425</f>
        <v>0.38035375477732158</v>
      </c>
      <c r="J3425" s="1981"/>
    </row>
    <row r="3426" spans="1:10" ht="15.75" customHeight="1">
      <c r="A3426" s="1780"/>
      <c r="B3426" s="1784"/>
      <c r="C3426" s="1889" t="s">
        <v>2091</v>
      </c>
      <c r="D3426" s="1841"/>
      <c r="E3426" s="413"/>
      <c r="F3426" s="320"/>
      <c r="G3426" s="361">
        <f>SUM(G3425:G3425)</f>
        <v>19501060.151999999</v>
      </c>
      <c r="H3426" s="2015"/>
      <c r="I3426" s="2017">
        <f>SUM(I3425:I3425)</f>
        <v>0.38035375477732158</v>
      </c>
      <c r="J3426" s="1981"/>
    </row>
    <row r="3427" spans="1:10" ht="15.75" customHeight="1">
      <c r="A3427" s="1780"/>
      <c r="B3427" s="1739" t="s">
        <v>1048</v>
      </c>
      <c r="C3427" s="1877" t="s">
        <v>2246</v>
      </c>
      <c r="D3427" s="1841"/>
      <c r="E3427" s="413"/>
      <c r="F3427" s="317"/>
      <c r="G3427" s="320"/>
      <c r="H3427" s="2015"/>
      <c r="I3427" s="2015"/>
      <c r="J3427" s="1981"/>
    </row>
    <row r="3428" spans="1:10" ht="15.75" customHeight="1">
      <c r="A3428" s="1780"/>
      <c r="B3428" s="1784"/>
      <c r="C3428" s="1878"/>
      <c r="D3428" s="1841"/>
      <c r="E3428" s="413"/>
      <c r="F3428" s="320"/>
      <c r="G3428" s="361"/>
      <c r="H3428" s="2015"/>
      <c r="I3428" s="2017">
        <v>0</v>
      </c>
      <c r="J3428" s="1981"/>
    </row>
    <row r="3429" spans="1:10" ht="15.75" customHeight="1">
      <c r="A3429" s="1780"/>
      <c r="B3429" s="1784"/>
      <c r="C3429" s="1804" t="s">
        <v>2298</v>
      </c>
      <c r="D3429" s="1763"/>
      <c r="E3429" s="1764"/>
      <c r="F3429" s="1765"/>
      <c r="G3429" s="1765">
        <f>G3423+G3426+G3428</f>
        <v>19631608.307829998</v>
      </c>
      <c r="H3429" s="2015"/>
      <c r="I3429" s="2018">
        <f>I3423+I3426+I3428</f>
        <v>0.38700365089296135</v>
      </c>
      <c r="J3429" s="1981"/>
    </row>
    <row r="3430" spans="1:10" ht="15.75" customHeight="1">
      <c r="A3430" s="1780"/>
      <c r="B3430" s="1784"/>
      <c r="C3430" s="1762" t="s">
        <v>2094</v>
      </c>
      <c r="D3430" s="1767">
        <f>M$4</f>
        <v>0.15</v>
      </c>
      <c r="E3430" s="1768"/>
      <c r="F3430" s="1765"/>
      <c r="G3430" s="1765">
        <f>G3429*D3430</f>
        <v>2944741.2461744999</v>
      </c>
      <c r="H3430" s="2015"/>
      <c r="I3430" s="2018"/>
      <c r="J3430" s="1981"/>
    </row>
    <row r="3431" spans="1:10" ht="15.75" customHeight="1">
      <c r="A3431" s="1786"/>
      <c r="B3431" s="1890"/>
      <c r="C3431" s="1788" t="s">
        <v>2111</v>
      </c>
      <c r="D3431" s="1772"/>
      <c r="E3431" s="1773"/>
      <c r="F3431" s="1774"/>
      <c r="G3431" s="1998">
        <f>ROUNDUP((G3429+G3430),2)</f>
        <v>22576349.560000002</v>
      </c>
      <c r="H3431" s="2068"/>
      <c r="I3431" s="2092"/>
      <c r="J3431" s="2008"/>
    </row>
    <row r="3432" spans="1:10" ht="15.75" customHeight="1">
      <c r="A3432" s="1733"/>
      <c r="B3432" s="1733"/>
      <c r="C3432" s="1733"/>
      <c r="D3432" s="1733"/>
      <c r="E3432" s="1733"/>
      <c r="F3432" s="1733"/>
      <c r="G3432" s="1733"/>
      <c r="H3432" s="1733"/>
      <c r="I3432" s="1733"/>
      <c r="J3432" s="1733"/>
    </row>
    <row r="3433" spans="1:10" ht="30" customHeight="1">
      <c r="A3433" s="1778">
        <f>A3417+1</f>
        <v>190</v>
      </c>
      <c r="B3433" s="1871" t="s">
        <v>2147</v>
      </c>
      <c r="C3433" s="1939" t="s">
        <v>2964</v>
      </c>
      <c r="D3433" s="1873"/>
      <c r="E3433" s="2093"/>
      <c r="F3433" s="1940"/>
      <c r="G3433" s="1940"/>
      <c r="H3433" s="1940"/>
      <c r="I3433" s="1940"/>
      <c r="J3433" s="1876"/>
    </row>
    <row r="3434" spans="1:10" ht="15.75" customHeight="1">
      <c r="A3434" s="1780"/>
      <c r="B3434" s="1884" t="s">
        <v>1004</v>
      </c>
      <c r="C3434" s="1755" t="s">
        <v>2075</v>
      </c>
      <c r="D3434" s="1885"/>
      <c r="E3434" s="326"/>
      <c r="F3434" s="317"/>
      <c r="G3434" s="317"/>
      <c r="H3434" s="1782"/>
      <c r="I3434" s="1782"/>
      <c r="J3434" s="1783"/>
    </row>
    <row r="3435" spans="1:10" ht="15.75" customHeight="1">
      <c r="A3435" s="1780"/>
      <c r="B3435" s="1909"/>
      <c r="C3435" s="1753" t="s">
        <v>2091</v>
      </c>
      <c r="D3435" s="1885"/>
      <c r="E3435" s="326"/>
      <c r="F3435" s="317"/>
      <c r="G3435" s="345">
        <v>0</v>
      </c>
      <c r="H3435" s="2015"/>
      <c r="I3435" s="2017"/>
      <c r="J3435" s="1783"/>
    </row>
    <row r="3436" spans="1:10" ht="15.75" customHeight="1">
      <c r="A3436" s="1780"/>
      <c r="B3436" s="1884" t="s">
        <v>1015</v>
      </c>
      <c r="C3436" s="1755" t="s">
        <v>2067</v>
      </c>
      <c r="D3436" s="1885"/>
      <c r="E3436" s="326"/>
      <c r="F3436" s="317"/>
      <c r="G3436" s="317"/>
      <c r="H3436" s="1782"/>
      <c r="I3436" s="1782"/>
      <c r="J3436" s="1783"/>
    </row>
    <row r="3437" spans="1:10" ht="15.75" customHeight="1">
      <c r="A3437" s="1780"/>
      <c r="B3437" s="1884"/>
      <c r="C3437" s="1755" t="s">
        <v>2965</v>
      </c>
      <c r="D3437" s="1885"/>
      <c r="E3437" s="326"/>
      <c r="F3437" s="317"/>
      <c r="G3437" s="317"/>
      <c r="H3437" s="1782"/>
      <c r="I3437" s="1782"/>
      <c r="J3437" s="1783"/>
    </row>
    <row r="3438" spans="1:10" ht="15.75" customHeight="1">
      <c r="A3438" s="1780"/>
      <c r="B3438" s="1884"/>
      <c r="C3438" s="317" t="s">
        <v>2966</v>
      </c>
      <c r="D3438" s="1885">
        <v>2</v>
      </c>
      <c r="E3438" s="326" t="s">
        <v>313</v>
      </c>
      <c r="F3438" s="1747">
        <v>2641383.19</v>
      </c>
      <c r="G3438" s="325">
        <f>F3438*D3438</f>
        <v>5282766.38</v>
      </c>
      <c r="H3438" s="2015">
        <v>1</v>
      </c>
      <c r="I3438" s="2015">
        <f>(G3438/G$3449)*H3438</f>
        <v>0.36235369646044935</v>
      </c>
      <c r="J3438" s="1783"/>
    </row>
    <row r="3439" spans="1:10" ht="15.75" customHeight="1">
      <c r="A3439" s="1780"/>
      <c r="B3439" s="1884"/>
      <c r="C3439" s="317" t="s">
        <v>2967</v>
      </c>
      <c r="D3439" s="1885">
        <v>3</v>
      </c>
      <c r="E3439" s="326" t="s">
        <v>2281</v>
      </c>
      <c r="F3439" s="1747">
        <v>1039568.08</v>
      </c>
      <c r="G3439" s="325">
        <f>F3439*D3439</f>
        <v>3118704.2399999998</v>
      </c>
      <c r="H3439" s="2015">
        <v>1</v>
      </c>
      <c r="I3439" s="2015">
        <f>(G3439/G$3449)*H3439</f>
        <v>0.21391708969172255</v>
      </c>
      <c r="J3439" s="1783"/>
    </row>
    <row r="3440" spans="1:10" ht="15.75" customHeight="1">
      <c r="A3440" s="1780"/>
      <c r="B3440" s="1884"/>
      <c r="C3440" s="1755" t="s">
        <v>2968</v>
      </c>
      <c r="D3440" s="1885"/>
      <c r="E3440" s="326"/>
      <c r="F3440" s="317"/>
      <c r="G3440" s="317"/>
      <c r="H3440" s="1782"/>
      <c r="I3440" s="1782"/>
      <c r="J3440" s="1783"/>
    </row>
    <row r="3441" spans="1:10" ht="15.75" customHeight="1">
      <c r="A3441" s="1780"/>
      <c r="B3441" s="1884"/>
      <c r="C3441" s="2061" t="s">
        <v>2969</v>
      </c>
      <c r="D3441" s="1885">
        <f>(3*2*3+3*2*4)*10</f>
        <v>420</v>
      </c>
      <c r="E3441" s="326" t="s">
        <v>100</v>
      </c>
      <c r="F3441" s="1747">
        <f>'Bahan &amp; Upah'!C$351</f>
        <v>6248.66</v>
      </c>
      <c r="G3441" s="325">
        <f>F3441*D3441</f>
        <v>2624437.1999999997</v>
      </c>
      <c r="H3441" s="2015">
        <v>1</v>
      </c>
      <c r="I3441" s="2015">
        <f>(G3441/G$3449)*H3441</f>
        <v>0.18001449470652373</v>
      </c>
      <c r="J3441" s="1783"/>
    </row>
    <row r="3442" spans="1:10" ht="15.75" customHeight="1">
      <c r="A3442" s="1780"/>
      <c r="B3442" s="1884"/>
      <c r="C3442" s="2061" t="s">
        <v>2970</v>
      </c>
      <c r="D3442" s="1885">
        <f>(53/6)*(2*2*2+3*2*2*2)</f>
        <v>282.66666666666669</v>
      </c>
      <c r="E3442" s="326" t="s">
        <v>100</v>
      </c>
      <c r="F3442" s="1747">
        <f>'Bahan &amp; Upah'!C$351</f>
        <v>6248.66</v>
      </c>
      <c r="G3442" s="325">
        <f>F3442*D3442</f>
        <v>1766287.8933333333</v>
      </c>
      <c r="H3442" s="2015">
        <v>1</v>
      </c>
      <c r="I3442" s="2015">
        <f>(G3442/G$3449)*H3442</f>
        <v>0.12115261231042233</v>
      </c>
      <c r="J3442" s="1783"/>
    </row>
    <row r="3443" spans="1:10" ht="15.75" customHeight="1">
      <c r="A3443" s="1780"/>
      <c r="B3443" s="1884"/>
      <c r="C3443" s="2061" t="s">
        <v>2971</v>
      </c>
      <c r="D3443" s="1885">
        <v>2</v>
      </c>
      <c r="E3443" s="326" t="s">
        <v>2239</v>
      </c>
      <c r="F3443" s="1747">
        <v>188921.99</v>
      </c>
      <c r="G3443" s="325">
        <f>F3443*D3443</f>
        <v>377843.98</v>
      </c>
      <c r="H3443" s="2015">
        <v>1</v>
      </c>
      <c r="I3443" s="2015">
        <f>(G3443/G$3449)*H3443</f>
        <v>2.5916944454834685E-2</v>
      </c>
      <c r="J3443" s="1783"/>
    </row>
    <row r="3444" spans="1:10" ht="15.75" customHeight="1">
      <c r="A3444" s="1780"/>
      <c r="B3444" s="1884"/>
      <c r="C3444" s="2061" t="s">
        <v>2972</v>
      </c>
      <c r="D3444" s="1885">
        <v>1</v>
      </c>
      <c r="E3444" s="326" t="s">
        <v>2239</v>
      </c>
      <c r="F3444" s="1747">
        <v>1408992.98</v>
      </c>
      <c r="G3444" s="1794">
        <f>F3444*D3444</f>
        <v>1408992.98</v>
      </c>
      <c r="H3444" s="2015">
        <v>1</v>
      </c>
      <c r="I3444" s="2081">
        <f>(G3444/G$3449)*H3444</f>
        <v>9.664516237604738E-2</v>
      </c>
      <c r="J3444" s="1783"/>
    </row>
    <row r="3445" spans="1:10" ht="15.75" customHeight="1">
      <c r="A3445" s="1780"/>
      <c r="B3445" s="1909"/>
      <c r="C3445" s="1753" t="s">
        <v>2973</v>
      </c>
      <c r="D3445" s="1885"/>
      <c r="E3445" s="326"/>
      <c r="F3445" s="317"/>
      <c r="G3445" s="345">
        <f>SUM(G3438:G3444)</f>
        <v>14579032.673333332</v>
      </c>
      <c r="H3445" s="2015"/>
      <c r="I3445" s="2017">
        <f>SUM(I3438:I3444)</f>
        <v>1</v>
      </c>
      <c r="J3445" s="1783"/>
    </row>
    <row r="3446" spans="1:10" ht="15.75" customHeight="1">
      <c r="A3446" s="1780"/>
      <c r="B3446" s="1884" t="s">
        <v>1048</v>
      </c>
      <c r="C3446" s="1755" t="s">
        <v>2109</v>
      </c>
      <c r="D3446" s="1885"/>
      <c r="E3446" s="326"/>
      <c r="F3446" s="317"/>
      <c r="G3446" s="317"/>
      <c r="H3446" s="1782"/>
      <c r="I3446" s="1782"/>
      <c r="J3446" s="1783"/>
    </row>
    <row r="3447" spans="1:10" ht="15.75" customHeight="1">
      <c r="A3447" s="1780"/>
      <c r="B3447" s="1884"/>
      <c r="C3447" s="317"/>
      <c r="D3447" s="1885"/>
      <c r="E3447" s="326"/>
      <c r="F3447" s="325"/>
      <c r="G3447" s="325">
        <f>F3447*10%</f>
        <v>0</v>
      </c>
      <c r="H3447" s="1782"/>
      <c r="I3447" s="1782"/>
      <c r="J3447" s="1783"/>
    </row>
    <row r="3448" spans="1:10" ht="15.75" customHeight="1">
      <c r="A3448" s="1780"/>
      <c r="B3448" s="1909"/>
      <c r="C3448" s="1753" t="s">
        <v>2110</v>
      </c>
      <c r="D3448" s="1885"/>
      <c r="E3448" s="326"/>
      <c r="F3448" s="317"/>
      <c r="G3448" s="325">
        <f>SUM(G3447)</f>
        <v>0</v>
      </c>
      <c r="H3448" s="1782"/>
      <c r="I3448" s="1782"/>
      <c r="J3448" s="1783"/>
    </row>
    <row r="3449" spans="1:10" ht="15.75" customHeight="1">
      <c r="A3449" s="1780"/>
      <c r="B3449" s="1884" t="s">
        <v>979</v>
      </c>
      <c r="C3449" s="2" t="s">
        <v>2129</v>
      </c>
      <c r="D3449" s="1885"/>
      <c r="E3449" s="326"/>
      <c r="F3449" s="1747"/>
      <c r="G3449" s="1747">
        <f>G3445</f>
        <v>14579032.673333332</v>
      </c>
      <c r="H3449" s="1782"/>
      <c r="I3449" s="1782"/>
      <c r="J3449" s="1783"/>
    </row>
    <row r="3450" spans="1:10" ht="15.75" customHeight="1">
      <c r="A3450" s="1780"/>
      <c r="B3450" s="1884" t="s">
        <v>2093</v>
      </c>
      <c r="C3450" s="2" t="s">
        <v>2974</v>
      </c>
      <c r="D3450" s="1885"/>
      <c r="E3450" s="326"/>
      <c r="F3450" s="1747"/>
      <c r="G3450" s="1747">
        <f>G3449*15%</f>
        <v>2186854.9009999996</v>
      </c>
      <c r="H3450" s="1782"/>
      <c r="I3450" s="1782"/>
      <c r="J3450" s="1783"/>
    </row>
    <row r="3451" spans="1:10" ht="15.75" customHeight="1">
      <c r="A3451" s="1786"/>
      <c r="B3451" s="2094" t="s">
        <v>2095</v>
      </c>
      <c r="C3451" s="2095" t="s">
        <v>2111</v>
      </c>
      <c r="D3451" s="2096"/>
      <c r="E3451" s="2097"/>
      <c r="F3451" s="2098"/>
      <c r="G3451" s="2099">
        <f>ROUNDUP((G3449+G3450),2)</f>
        <v>16765887.58</v>
      </c>
      <c r="H3451" s="2010"/>
      <c r="I3451" s="1894">
        <f>I3435+I3445</f>
        <v>1</v>
      </c>
      <c r="J3451" s="1893"/>
    </row>
    <row r="3452" spans="1:10" ht="15.75" customHeight="1">
      <c r="A3452" s="1733"/>
      <c r="B3452" s="1733"/>
      <c r="C3452" s="1733"/>
      <c r="D3452" s="1733"/>
      <c r="E3452" s="1733"/>
      <c r="F3452" s="1733"/>
      <c r="G3452" s="1733"/>
      <c r="H3452" s="1733"/>
      <c r="I3452" s="1733"/>
      <c r="J3452" s="1733"/>
    </row>
    <row r="3453" spans="1:10" ht="30" customHeight="1">
      <c r="A3453" s="1778">
        <f>A3433+1</f>
        <v>191</v>
      </c>
      <c r="B3453" s="1871" t="s">
        <v>2975</v>
      </c>
      <c r="C3453" s="3278" t="s">
        <v>2976</v>
      </c>
      <c r="D3453" s="3278"/>
      <c r="E3453" s="3278"/>
      <c r="F3453" s="3278"/>
      <c r="G3453" s="3278"/>
      <c r="H3453" s="3278"/>
      <c r="I3453" s="3278"/>
      <c r="J3453" s="2090"/>
    </row>
    <row r="3454" spans="1:10" ht="15.75" customHeight="1">
      <c r="A3454" s="1780"/>
      <c r="B3454" s="1739" t="s">
        <v>1004</v>
      </c>
      <c r="C3454" s="1877" t="s">
        <v>2067</v>
      </c>
      <c r="D3454" s="390"/>
      <c r="E3454" s="413"/>
      <c r="F3454" s="320"/>
      <c r="G3454" s="320"/>
      <c r="H3454" s="1782"/>
      <c r="I3454" s="1782"/>
      <c r="J3454" s="1783"/>
    </row>
    <row r="3455" spans="1:10" ht="15.75" customHeight="1">
      <c r="A3455" s="1780"/>
      <c r="B3455" s="1739"/>
      <c r="C3455" s="1878" t="s">
        <v>2103</v>
      </c>
      <c r="D3455" s="1781">
        <v>0.77100000000000002</v>
      </c>
      <c r="E3455" s="413" t="s">
        <v>2069</v>
      </c>
      <c r="F3455" s="1747">
        <f>'Bahan &amp; Upah'!C$336</f>
        <v>96332.65</v>
      </c>
      <c r="G3455" s="361">
        <f>F3455*D3455</f>
        <v>74272.473149999991</v>
      </c>
      <c r="H3455" s="2015">
        <v>1</v>
      </c>
      <c r="I3455" s="2015">
        <f>(G3455/G$3465)*H3455</f>
        <v>1.541247427717809E-3</v>
      </c>
      <c r="J3455" s="1783"/>
    </row>
    <row r="3456" spans="1:10" ht="15.75" customHeight="1">
      <c r="A3456" s="1780"/>
      <c r="B3456" s="1739"/>
      <c r="C3456" s="1878" t="s">
        <v>2124</v>
      </c>
      <c r="D3456" s="1781">
        <v>1.288</v>
      </c>
      <c r="E3456" s="413" t="s">
        <v>2069</v>
      </c>
      <c r="F3456" s="1883">
        <f>'Bahan &amp; Upah'!C$337</f>
        <v>114133.55</v>
      </c>
      <c r="G3456" s="361">
        <f>F3456*D3456</f>
        <v>147004.01240000001</v>
      </c>
      <c r="H3456" s="2015">
        <v>1</v>
      </c>
      <c r="I3456" s="2015">
        <f>(G3456/G$3465)*H3456</f>
        <v>3.050518534883296E-3</v>
      </c>
      <c r="J3456" s="1783"/>
    </row>
    <row r="3457" spans="1:10" ht="15.75" customHeight="1">
      <c r="A3457" s="1780"/>
      <c r="B3457" s="1739"/>
      <c r="C3457" s="1878" t="s">
        <v>2105</v>
      </c>
      <c r="D3457" s="1781">
        <v>0.129</v>
      </c>
      <c r="E3457" s="413" t="s">
        <v>2069</v>
      </c>
      <c r="F3457" s="1748">
        <f>'Bahan &amp; Upah'!C$338</f>
        <v>125485.75</v>
      </c>
      <c r="G3457" s="361">
        <f>F3457*D3457</f>
        <v>16187.661750000001</v>
      </c>
      <c r="H3457" s="2015">
        <v>1</v>
      </c>
      <c r="I3457" s="2015">
        <f>(G3457/G$3465)*H3457</f>
        <v>3.3591438355050211E-4</v>
      </c>
      <c r="J3457" s="1783"/>
    </row>
    <row r="3458" spans="1:10" ht="15.75" customHeight="1">
      <c r="A3458" s="1780"/>
      <c r="B3458" s="1739"/>
      <c r="C3458" s="1878" t="s">
        <v>2107</v>
      </c>
      <c r="D3458" s="1841">
        <v>3.9E-2</v>
      </c>
      <c r="E3458" s="413" t="s">
        <v>2069</v>
      </c>
      <c r="F3458" s="1883">
        <f>'Bahan &amp; Upah'!C$339</f>
        <v>102689.88</v>
      </c>
      <c r="G3458" s="1785">
        <f>F3458*D3458</f>
        <v>4004.9053200000003</v>
      </c>
      <c r="H3458" s="2015">
        <v>1</v>
      </c>
      <c r="I3458" s="2016">
        <f>(G3458/G$3465)*H3458</f>
        <v>8.310683300174137E-5</v>
      </c>
      <c r="J3458" s="1981"/>
    </row>
    <row r="3459" spans="1:10" ht="15.75" customHeight="1">
      <c r="A3459" s="1780"/>
      <c r="B3459" s="1739"/>
      <c r="C3459" s="1889" t="s">
        <v>2108</v>
      </c>
      <c r="D3459" s="1841"/>
      <c r="E3459" s="413"/>
      <c r="F3459" s="320"/>
      <c r="G3459" s="361">
        <f>SUM(G3455:G3458)</f>
        <v>241469.05261999997</v>
      </c>
      <c r="H3459" s="2015"/>
      <c r="I3459" s="2017">
        <f>SUM(I3455:I3458)</f>
        <v>5.0107871791533485E-3</v>
      </c>
      <c r="J3459" s="1981"/>
    </row>
    <row r="3460" spans="1:10" ht="15.75" customHeight="1">
      <c r="A3460" s="1780"/>
      <c r="B3460" s="1739" t="s">
        <v>1015</v>
      </c>
      <c r="C3460" s="1877" t="s">
        <v>2075</v>
      </c>
      <c r="D3460" s="1841"/>
      <c r="E3460" s="413"/>
      <c r="F3460" s="317"/>
      <c r="G3460" s="320"/>
      <c r="H3460" s="2015"/>
      <c r="I3460" s="2015"/>
      <c r="J3460" s="1981"/>
    </row>
    <row r="3461" spans="1:10" ht="54.75" customHeight="1">
      <c r="A3461" s="1780"/>
      <c r="B3461" s="1739"/>
      <c r="C3461" s="2045" t="s">
        <v>2977</v>
      </c>
      <c r="D3461" s="1841">
        <v>1.02</v>
      </c>
      <c r="E3461" s="413" t="s">
        <v>360</v>
      </c>
      <c r="F3461" s="1747">
        <f>'Bahan &amp; Upah'!C309</f>
        <v>47008210.759999998</v>
      </c>
      <c r="G3461" s="1794">
        <f>F3461*D3461</f>
        <v>47948374.975199997</v>
      </c>
      <c r="H3461" s="2015">
        <v>0.40339999999999998</v>
      </c>
      <c r="I3461" s="2016">
        <f>(G3461/G$3465)*H3461</f>
        <v>0.4013786484519295</v>
      </c>
      <c r="J3461" s="1981"/>
    </row>
    <row r="3462" spans="1:10" ht="15.75" customHeight="1">
      <c r="A3462" s="1780"/>
      <c r="B3462" s="1784"/>
      <c r="C3462" s="1889" t="s">
        <v>2091</v>
      </c>
      <c r="D3462" s="1841"/>
      <c r="E3462" s="413"/>
      <c r="F3462" s="320"/>
      <c r="G3462" s="361">
        <f>SUM(G3461:G3461)</f>
        <v>47948374.975199997</v>
      </c>
      <c r="H3462" s="2015"/>
      <c r="I3462" s="2017">
        <f>SUM(I3461:I3461)</f>
        <v>0.4013786484519295</v>
      </c>
      <c r="J3462" s="1981"/>
    </row>
    <row r="3463" spans="1:10" ht="15.75" customHeight="1">
      <c r="A3463" s="1780"/>
      <c r="B3463" s="1739" t="s">
        <v>1048</v>
      </c>
      <c r="C3463" s="1877" t="s">
        <v>2246</v>
      </c>
      <c r="D3463" s="1841"/>
      <c r="E3463" s="413"/>
      <c r="F3463" s="317"/>
      <c r="G3463" s="320"/>
      <c r="H3463" s="2015"/>
      <c r="I3463" s="2015"/>
      <c r="J3463" s="1981"/>
    </row>
    <row r="3464" spans="1:10" ht="15.75" customHeight="1">
      <c r="A3464" s="1780"/>
      <c r="B3464" s="1784"/>
      <c r="C3464" s="1878"/>
      <c r="D3464" s="1841"/>
      <c r="E3464" s="413"/>
      <c r="F3464" s="320"/>
      <c r="G3464" s="361"/>
      <c r="H3464" s="2015"/>
      <c r="I3464" s="2017">
        <v>0</v>
      </c>
      <c r="J3464" s="1981"/>
    </row>
    <row r="3465" spans="1:10" ht="15.75" customHeight="1">
      <c r="A3465" s="1780"/>
      <c r="B3465" s="1784"/>
      <c r="C3465" s="1804" t="s">
        <v>2298</v>
      </c>
      <c r="D3465" s="1763"/>
      <c r="E3465" s="1764"/>
      <c r="F3465" s="1765"/>
      <c r="G3465" s="1765">
        <f>G3459+G3462+G3464</f>
        <v>48189844.027819999</v>
      </c>
      <c r="H3465" s="2015"/>
      <c r="I3465" s="2018">
        <f>I3459+I3462+I3464</f>
        <v>0.40638943563108287</v>
      </c>
      <c r="J3465" s="1981"/>
    </row>
    <row r="3466" spans="1:10" ht="15.75" customHeight="1">
      <c r="A3466" s="1780"/>
      <c r="B3466" s="1784"/>
      <c r="C3466" s="1762" t="s">
        <v>2094</v>
      </c>
      <c r="D3466" s="1767">
        <f>M$4</f>
        <v>0.15</v>
      </c>
      <c r="E3466" s="1768"/>
      <c r="F3466" s="1765"/>
      <c r="G3466" s="1765">
        <f>G3465*D3466</f>
        <v>7228476.604173</v>
      </c>
      <c r="H3466" s="2015"/>
      <c r="I3466" s="2018"/>
      <c r="J3466" s="1981"/>
    </row>
    <row r="3467" spans="1:10" ht="15.75" customHeight="1">
      <c r="A3467" s="1786"/>
      <c r="B3467" s="1890"/>
      <c r="C3467" s="1788" t="s">
        <v>2111</v>
      </c>
      <c r="D3467" s="1772"/>
      <c r="E3467" s="1773"/>
      <c r="F3467" s="1774"/>
      <c r="G3467" s="1998">
        <f>ROUNDUP((G3465+G3466),2)</f>
        <v>55418320.640000001</v>
      </c>
      <c r="H3467" s="2068"/>
      <c r="I3467" s="2092"/>
      <c r="J3467" s="2008"/>
    </row>
    <row r="3468" spans="1:10" ht="15.75" customHeight="1">
      <c r="A3468" s="1733"/>
      <c r="B3468" s="1733"/>
      <c r="C3468" s="1733"/>
      <c r="D3468" s="1733"/>
      <c r="E3468" s="1733"/>
      <c r="F3468" s="1733"/>
      <c r="G3468" s="1733"/>
      <c r="H3468" s="1733"/>
      <c r="I3468" s="1733"/>
      <c r="J3468" s="1733"/>
    </row>
    <row r="3469" spans="1:10" ht="15.75" customHeight="1">
      <c r="A3469" s="1778">
        <f>A3453+1</f>
        <v>192</v>
      </c>
      <c r="B3469" s="1871" t="s">
        <v>2978</v>
      </c>
      <c r="C3469" s="3278" t="s">
        <v>2979</v>
      </c>
      <c r="D3469" s="3278"/>
      <c r="E3469" s="3278"/>
      <c r="F3469" s="3278"/>
      <c r="G3469" s="3278"/>
      <c r="H3469" s="3278"/>
      <c r="I3469" s="3278"/>
      <c r="J3469" s="2090"/>
    </row>
    <row r="3470" spans="1:10" ht="15.75" customHeight="1">
      <c r="A3470" s="1780"/>
      <c r="B3470" s="1739" t="s">
        <v>1004</v>
      </c>
      <c r="C3470" s="1877" t="s">
        <v>2067</v>
      </c>
      <c r="D3470" s="390"/>
      <c r="E3470" s="413"/>
      <c r="F3470" s="320"/>
      <c r="G3470" s="320"/>
      <c r="H3470" s="1782"/>
      <c r="I3470" s="1782"/>
      <c r="J3470" s="1783"/>
    </row>
    <row r="3471" spans="1:10" ht="15.75" customHeight="1">
      <c r="A3471" s="1780"/>
      <c r="B3471" s="1739"/>
      <c r="C3471" s="1878" t="s">
        <v>2103</v>
      </c>
      <c r="D3471" s="1781">
        <v>0.157</v>
      </c>
      <c r="E3471" s="413" t="s">
        <v>2069</v>
      </c>
      <c r="F3471" s="1747">
        <f>'Bahan &amp; Upah'!C$336</f>
        <v>96332.65</v>
      </c>
      <c r="G3471" s="361">
        <f>F3471*D3471</f>
        <v>15124.226049999999</v>
      </c>
      <c r="H3471" s="2015">
        <v>1</v>
      </c>
      <c r="I3471" s="2015">
        <f>(G3471/G$3481)*H3471</f>
        <v>5.4916774683816203E-3</v>
      </c>
      <c r="J3471" s="1783"/>
    </row>
    <row r="3472" spans="1:10" ht="15.75" customHeight="1">
      <c r="A3472" s="1780"/>
      <c r="B3472" s="1739"/>
      <c r="C3472" s="1878" t="s">
        <v>2287</v>
      </c>
      <c r="D3472" s="1781">
        <v>0.26200000000000001</v>
      </c>
      <c r="E3472" s="413" t="s">
        <v>2069</v>
      </c>
      <c r="F3472" s="1883">
        <f>'Bahan &amp; Upah'!C$337</f>
        <v>114133.55</v>
      </c>
      <c r="G3472" s="361">
        <f>F3472*D3472</f>
        <v>29902.990100000003</v>
      </c>
      <c r="H3472" s="2015">
        <v>1</v>
      </c>
      <c r="I3472" s="2015">
        <f>(G3472/G$3481)*H3472</f>
        <v>1.0857916063044343E-2</v>
      </c>
      <c r="J3472" s="1783"/>
    </row>
    <row r="3473" spans="1:10" ht="15.75" customHeight="1">
      <c r="A3473" s="1780"/>
      <c r="B3473" s="1739"/>
      <c r="C3473" s="1878" t="s">
        <v>2105</v>
      </c>
      <c r="D3473" s="1781">
        <v>2.5999999999999999E-2</v>
      </c>
      <c r="E3473" s="413" t="s">
        <v>2069</v>
      </c>
      <c r="F3473" s="1748">
        <f>'Bahan &amp; Upah'!C$338</f>
        <v>125485.75</v>
      </c>
      <c r="G3473" s="361">
        <f>F3473*D3473</f>
        <v>3262.6295</v>
      </c>
      <c r="H3473" s="2015">
        <v>1</v>
      </c>
      <c r="I3473" s="2015">
        <f>(G3473/G$3481)*H3473</f>
        <v>1.1846760854799041E-3</v>
      </c>
      <c r="J3473" s="1783"/>
    </row>
    <row r="3474" spans="1:10" ht="15.75" customHeight="1">
      <c r="A3474" s="1780"/>
      <c r="B3474" s="1739"/>
      <c r="C3474" s="1878" t="s">
        <v>2107</v>
      </c>
      <c r="D3474" s="1841">
        <v>8.0000000000000002E-3</v>
      </c>
      <c r="E3474" s="413" t="s">
        <v>2069</v>
      </c>
      <c r="F3474" s="1883">
        <f>'Bahan &amp; Upah'!C$339</f>
        <v>102689.88</v>
      </c>
      <c r="G3474" s="1785">
        <f>F3474*D3474</f>
        <v>821.51904000000002</v>
      </c>
      <c r="H3474" s="2015">
        <v>1</v>
      </c>
      <c r="I3474" s="2016">
        <f>(G3474/G$3481)*H3474</f>
        <v>2.9829741944477876E-4</v>
      </c>
      <c r="J3474" s="1981"/>
    </row>
    <row r="3475" spans="1:10" ht="15.75" customHeight="1">
      <c r="A3475" s="1780"/>
      <c r="B3475" s="1739"/>
      <c r="C3475" s="1889" t="s">
        <v>2108</v>
      </c>
      <c r="D3475" s="1841"/>
      <c r="E3475" s="413"/>
      <c r="F3475" s="320"/>
      <c r="G3475" s="361">
        <f>SUM(G3471:G3474)</f>
        <v>49111.364690000002</v>
      </c>
      <c r="H3475" s="2015"/>
      <c r="I3475" s="2017">
        <f>SUM(I3471:I3474)</f>
        <v>1.7832567036350645E-2</v>
      </c>
      <c r="J3475" s="1981"/>
    </row>
    <row r="3476" spans="1:10" ht="15.75" customHeight="1">
      <c r="A3476" s="1780"/>
      <c r="B3476" s="1739" t="s">
        <v>1015</v>
      </c>
      <c r="C3476" s="1877" t="s">
        <v>2075</v>
      </c>
      <c r="D3476" s="1841"/>
      <c r="E3476" s="413"/>
      <c r="F3476" s="317"/>
      <c r="G3476" s="320"/>
      <c r="H3476" s="2015"/>
      <c r="I3476" s="2015"/>
      <c r="J3476" s="1981"/>
    </row>
    <row r="3477" spans="1:10" ht="15.75" customHeight="1">
      <c r="A3477" s="1780"/>
      <c r="B3477" s="1739"/>
      <c r="C3477" s="1878" t="s">
        <v>2980</v>
      </c>
      <c r="D3477" s="1841">
        <v>1.1499999999999999</v>
      </c>
      <c r="E3477" s="413" t="s">
        <v>360</v>
      </c>
      <c r="F3477" s="1747">
        <f>'Bahan &amp; Upah'!C310</f>
        <v>2352100.2400000002</v>
      </c>
      <c r="G3477" s="1794">
        <f>F3477*D3477</f>
        <v>2704915.2760000001</v>
      </c>
      <c r="H3477" s="2015">
        <v>0.4032</v>
      </c>
      <c r="I3477" s="2016">
        <f>(G3477/G$3481)*H3477</f>
        <v>0.3960099089709434</v>
      </c>
      <c r="J3477" s="1981"/>
    </row>
    <row r="3478" spans="1:10" ht="15.75" customHeight="1">
      <c r="A3478" s="1780"/>
      <c r="B3478" s="1784"/>
      <c r="C3478" s="1889" t="s">
        <v>2091</v>
      </c>
      <c r="D3478" s="1841"/>
      <c r="E3478" s="413"/>
      <c r="F3478" s="320"/>
      <c r="G3478" s="361">
        <f>SUM(G3477:G3477)</f>
        <v>2704915.2760000001</v>
      </c>
      <c r="H3478" s="2015"/>
      <c r="I3478" s="2017">
        <f>SUM(I3477:I3477)</f>
        <v>0.3960099089709434</v>
      </c>
      <c r="J3478" s="1981"/>
    </row>
    <row r="3479" spans="1:10" ht="15.75" customHeight="1">
      <c r="A3479" s="1780"/>
      <c r="B3479" s="1739" t="s">
        <v>1048</v>
      </c>
      <c r="C3479" s="1877" t="s">
        <v>2246</v>
      </c>
      <c r="D3479" s="1841"/>
      <c r="E3479" s="413"/>
      <c r="F3479" s="317"/>
      <c r="G3479" s="320"/>
      <c r="H3479" s="2015"/>
      <c r="I3479" s="2015"/>
      <c r="J3479" s="1981"/>
    </row>
    <row r="3480" spans="1:10" ht="15.75" customHeight="1">
      <c r="A3480" s="1780"/>
      <c r="B3480" s="1784"/>
      <c r="C3480" s="1878"/>
      <c r="D3480" s="1841"/>
      <c r="E3480" s="413"/>
      <c r="F3480" s="320"/>
      <c r="G3480" s="361"/>
      <c r="H3480" s="2015"/>
      <c r="I3480" s="2017">
        <v>0</v>
      </c>
      <c r="J3480" s="1981"/>
    </row>
    <row r="3481" spans="1:10" ht="15.75" customHeight="1">
      <c r="A3481" s="1780"/>
      <c r="B3481" s="1784"/>
      <c r="C3481" s="1804" t="s">
        <v>2298</v>
      </c>
      <c r="D3481" s="1763"/>
      <c r="E3481" s="1764"/>
      <c r="F3481" s="1765"/>
      <c r="G3481" s="1765">
        <f>G3475+G3478+G3480</f>
        <v>2754026.6406900003</v>
      </c>
      <c r="H3481" s="2015"/>
      <c r="I3481" s="2018">
        <f>I3475+I3478+I3480</f>
        <v>0.41384247600729407</v>
      </c>
      <c r="J3481" s="1981"/>
    </row>
    <row r="3482" spans="1:10" ht="15.75" customHeight="1">
      <c r="A3482" s="1780"/>
      <c r="B3482" s="1784"/>
      <c r="C3482" s="1762" t="s">
        <v>2094</v>
      </c>
      <c r="D3482" s="1767">
        <f>M$4</f>
        <v>0.15</v>
      </c>
      <c r="E3482" s="1768"/>
      <c r="F3482" s="1765"/>
      <c r="G3482" s="1765">
        <f>G3481*D3482</f>
        <v>413103.99610350002</v>
      </c>
      <c r="H3482" s="2015"/>
      <c r="I3482" s="2018"/>
      <c r="J3482" s="1981"/>
    </row>
    <row r="3483" spans="1:10" ht="15.75" customHeight="1">
      <c r="A3483" s="1786"/>
      <c r="B3483" s="1890"/>
      <c r="C3483" s="1788" t="s">
        <v>2111</v>
      </c>
      <c r="D3483" s="1772"/>
      <c r="E3483" s="1773"/>
      <c r="F3483" s="1774"/>
      <c r="G3483" s="1998">
        <f>ROUNDUP((G3481+G3482),2)</f>
        <v>3167130.6399999997</v>
      </c>
      <c r="H3483" s="2068"/>
      <c r="I3483" s="2092"/>
      <c r="J3483" s="2008"/>
    </row>
    <row r="3484" spans="1:10" ht="15.75" customHeight="1">
      <c r="A3484" s="1733"/>
      <c r="B3484" s="1733"/>
      <c r="C3484" s="1733"/>
      <c r="D3484" s="1733"/>
      <c r="E3484" s="1733"/>
      <c r="F3484" s="1733"/>
      <c r="G3484" s="1733"/>
      <c r="H3484" s="1733"/>
      <c r="I3484" s="1733"/>
      <c r="J3484" s="1733"/>
    </row>
    <row r="3485" spans="1:10" ht="15.75" customHeight="1">
      <c r="A3485" s="1778">
        <f>A3469+1</f>
        <v>193</v>
      </c>
      <c r="B3485" s="1871" t="s">
        <v>2981</v>
      </c>
      <c r="C3485" s="3278" t="s">
        <v>2982</v>
      </c>
      <c r="D3485" s="3278"/>
      <c r="E3485" s="3278"/>
      <c r="F3485" s="3278"/>
      <c r="G3485" s="3278"/>
      <c r="H3485" s="3278"/>
      <c r="I3485" s="3278"/>
      <c r="J3485" s="2090"/>
    </row>
    <row r="3486" spans="1:10" ht="15.75" customHeight="1">
      <c r="A3486" s="1780"/>
      <c r="B3486" s="1739" t="s">
        <v>1004</v>
      </c>
      <c r="C3486" s="1877" t="s">
        <v>2067</v>
      </c>
      <c r="D3486" s="390"/>
      <c r="E3486" s="413"/>
      <c r="F3486" s="320"/>
      <c r="G3486" s="320"/>
      <c r="H3486" s="1782"/>
      <c r="I3486" s="1782"/>
      <c r="J3486" s="1783"/>
    </row>
    <row r="3487" spans="1:10" ht="15.75" customHeight="1">
      <c r="A3487" s="1780"/>
      <c r="B3487" s="1739"/>
      <c r="C3487" s="1878" t="s">
        <v>2103</v>
      </c>
      <c r="D3487" s="1781">
        <v>0.20699999999999999</v>
      </c>
      <c r="E3487" s="413" t="s">
        <v>2069</v>
      </c>
      <c r="F3487" s="1747">
        <f>'Bahan &amp; Upah'!C$336</f>
        <v>96332.65</v>
      </c>
      <c r="G3487" s="361">
        <f>F3487*D3487</f>
        <v>19940.858549999997</v>
      </c>
      <c r="H3487" s="2015">
        <v>1</v>
      </c>
      <c r="I3487" s="2015">
        <f>(G3487/G$3497)*H3487</f>
        <v>0.1017653445430189</v>
      </c>
      <c r="J3487" s="1783"/>
    </row>
    <row r="3488" spans="1:10" ht="15.75" customHeight="1">
      <c r="A3488" s="1780"/>
      <c r="B3488" s="1739"/>
      <c r="C3488" s="1878" t="s">
        <v>2287</v>
      </c>
      <c r="D3488" s="1781">
        <v>0.34599999999999997</v>
      </c>
      <c r="E3488" s="413" t="s">
        <v>2069</v>
      </c>
      <c r="F3488" s="1883">
        <f>'Bahan &amp; Upah'!C$337</f>
        <v>114133.55</v>
      </c>
      <c r="G3488" s="361">
        <f>F3488*D3488</f>
        <v>39490.208299999998</v>
      </c>
      <c r="H3488" s="2015">
        <v>1</v>
      </c>
      <c r="I3488" s="2015">
        <f>(G3488/G$3497)*H3488</f>
        <v>0.20153267943044936</v>
      </c>
      <c r="J3488" s="1783"/>
    </row>
    <row r="3489" spans="1:10" ht="15.75" customHeight="1">
      <c r="A3489" s="1780"/>
      <c r="B3489" s="1739"/>
      <c r="C3489" s="1878" t="s">
        <v>2105</v>
      </c>
      <c r="D3489" s="1781">
        <v>3.5000000000000003E-2</v>
      </c>
      <c r="E3489" s="413" t="s">
        <v>2069</v>
      </c>
      <c r="F3489" s="1748">
        <f>'Bahan &amp; Upah'!C$338</f>
        <v>125485.75</v>
      </c>
      <c r="G3489" s="361">
        <f>F3489*D3489</f>
        <v>4392.0012500000003</v>
      </c>
      <c r="H3489" s="2015">
        <v>1</v>
      </c>
      <c r="I3489" s="2015">
        <f>(G3489/G$3497)*H3489</f>
        <v>2.2413955714039192E-2</v>
      </c>
      <c r="J3489" s="1783"/>
    </row>
    <row r="3490" spans="1:10" ht="15.75" customHeight="1">
      <c r="A3490" s="1780"/>
      <c r="B3490" s="1739"/>
      <c r="C3490" s="1878" t="s">
        <v>2107</v>
      </c>
      <c r="D3490" s="1841">
        <v>0.01</v>
      </c>
      <c r="E3490" s="413" t="s">
        <v>2069</v>
      </c>
      <c r="F3490" s="1883">
        <f>'Bahan &amp; Upah'!C$339</f>
        <v>102689.88</v>
      </c>
      <c r="G3490" s="1785">
        <f>F3490*D3490</f>
        <v>1026.8988000000002</v>
      </c>
      <c r="H3490" s="2015">
        <v>1</v>
      </c>
      <c r="I3490" s="2016">
        <f>(G3490/G$3497)*H3490</f>
        <v>5.2406324397107108E-3</v>
      </c>
      <c r="J3490" s="1981"/>
    </row>
    <row r="3491" spans="1:10" ht="15.75" customHeight="1">
      <c r="A3491" s="1780"/>
      <c r="B3491" s="1739"/>
      <c r="C3491" s="1889" t="s">
        <v>2108</v>
      </c>
      <c r="D3491" s="1841"/>
      <c r="E3491" s="413"/>
      <c r="F3491" s="320"/>
      <c r="G3491" s="361">
        <f>SUM(G3487:G3490)</f>
        <v>64849.966899999999</v>
      </c>
      <c r="H3491" s="2015"/>
      <c r="I3491" s="2017">
        <f>SUM(I3487:I3490)</f>
        <v>0.33095261212721822</v>
      </c>
      <c r="J3491" s="1981"/>
    </row>
    <row r="3492" spans="1:10" ht="15.75" customHeight="1">
      <c r="A3492" s="1780"/>
      <c r="B3492" s="1739" t="s">
        <v>1015</v>
      </c>
      <c r="C3492" s="1877" t="s">
        <v>2075</v>
      </c>
      <c r="D3492" s="1841"/>
      <c r="E3492" s="413"/>
      <c r="F3492" s="317"/>
      <c r="G3492" s="320"/>
      <c r="H3492" s="2015"/>
      <c r="I3492" s="2015"/>
      <c r="J3492" s="1981"/>
    </row>
    <row r="3493" spans="1:10" ht="15.75" customHeight="1">
      <c r="A3493" s="1780"/>
      <c r="B3493" s="1739"/>
      <c r="C3493" s="1878" t="s">
        <v>2983</v>
      </c>
      <c r="D3493" s="1841">
        <v>1.1499999999999999</v>
      </c>
      <c r="E3493" s="413" t="s">
        <v>360</v>
      </c>
      <c r="F3493" s="1747">
        <f>'Bahan &amp; Upah'!C311</f>
        <v>113999.51</v>
      </c>
      <c r="G3493" s="1794">
        <f>F3493*D3493</f>
        <v>131099.43649999998</v>
      </c>
      <c r="H3493" s="2015">
        <v>0.4032</v>
      </c>
      <c r="I3493" s="2016">
        <f>(G3493/G$3497)*H3493</f>
        <v>0.26975990679030565</v>
      </c>
      <c r="J3493" s="1981"/>
    </row>
    <row r="3494" spans="1:10" ht="15.75" customHeight="1">
      <c r="A3494" s="1780"/>
      <c r="B3494" s="1784"/>
      <c r="C3494" s="1889" t="s">
        <v>2091</v>
      </c>
      <c r="D3494" s="1841"/>
      <c r="E3494" s="413"/>
      <c r="F3494" s="320"/>
      <c r="G3494" s="361">
        <f>SUM(G3493:G3493)</f>
        <v>131099.43649999998</v>
      </c>
      <c r="H3494" s="2015"/>
      <c r="I3494" s="2017">
        <f>SUM(I3493:I3493)</f>
        <v>0.26975990679030565</v>
      </c>
      <c r="J3494" s="1981"/>
    </row>
    <row r="3495" spans="1:10" ht="15.75" customHeight="1">
      <c r="A3495" s="1780"/>
      <c r="B3495" s="1739" t="s">
        <v>1048</v>
      </c>
      <c r="C3495" s="1877" t="s">
        <v>2246</v>
      </c>
      <c r="D3495" s="1841"/>
      <c r="E3495" s="413"/>
      <c r="F3495" s="317"/>
      <c r="G3495" s="320"/>
      <c r="H3495" s="2015"/>
      <c r="I3495" s="2015"/>
      <c r="J3495" s="1981"/>
    </row>
    <row r="3496" spans="1:10" ht="15.75" customHeight="1">
      <c r="A3496" s="1780"/>
      <c r="B3496" s="1784"/>
      <c r="C3496" s="1878"/>
      <c r="D3496" s="1841"/>
      <c r="E3496" s="413"/>
      <c r="F3496" s="320"/>
      <c r="G3496" s="361"/>
      <c r="H3496" s="2015"/>
      <c r="I3496" s="2017">
        <v>0</v>
      </c>
      <c r="J3496" s="1981"/>
    </row>
    <row r="3497" spans="1:10" ht="15.75" customHeight="1">
      <c r="A3497" s="1780"/>
      <c r="B3497" s="1784"/>
      <c r="C3497" s="1804" t="s">
        <v>2298</v>
      </c>
      <c r="D3497" s="1763"/>
      <c r="E3497" s="1764"/>
      <c r="F3497" s="1765"/>
      <c r="G3497" s="1765">
        <f>G3491+G3494+G3496</f>
        <v>195949.40339999998</v>
      </c>
      <c r="H3497" s="2015"/>
      <c r="I3497" s="2018">
        <f>I3491+I3494+I3496</f>
        <v>0.60071251891752386</v>
      </c>
      <c r="J3497" s="1981"/>
    </row>
    <row r="3498" spans="1:10" ht="15.75" customHeight="1">
      <c r="A3498" s="1780"/>
      <c r="B3498" s="1784"/>
      <c r="C3498" s="1762" t="s">
        <v>2094</v>
      </c>
      <c r="D3498" s="1767">
        <f>M$4</f>
        <v>0.15</v>
      </c>
      <c r="E3498" s="1768"/>
      <c r="F3498" s="1765"/>
      <c r="G3498" s="1765">
        <f>G3497*D3498</f>
        <v>29392.410509999998</v>
      </c>
      <c r="H3498" s="2015"/>
      <c r="I3498" s="2018"/>
      <c r="J3498" s="1981"/>
    </row>
    <row r="3499" spans="1:10" ht="15.75" customHeight="1">
      <c r="A3499" s="1786"/>
      <c r="B3499" s="1890"/>
      <c r="C3499" s="1788" t="s">
        <v>2111</v>
      </c>
      <c r="D3499" s="1772"/>
      <c r="E3499" s="1773"/>
      <c r="F3499" s="1774"/>
      <c r="G3499" s="1998">
        <f>ROUNDUP((G3497+G3498),2)</f>
        <v>225341.82</v>
      </c>
      <c r="H3499" s="2068"/>
      <c r="I3499" s="2092"/>
      <c r="J3499" s="2008"/>
    </row>
    <row r="3500" spans="1:10" ht="15.75" customHeight="1">
      <c r="A3500" s="1733"/>
      <c r="B3500" s="1733"/>
      <c r="C3500" s="1733"/>
      <c r="D3500" s="1733"/>
      <c r="E3500" s="1733"/>
      <c r="F3500" s="1733"/>
      <c r="G3500" s="1733"/>
      <c r="H3500" s="1733"/>
      <c r="I3500" s="1733"/>
      <c r="J3500" s="1733"/>
    </row>
    <row r="3501" spans="1:10" ht="15.75" customHeight="1">
      <c r="A3501" s="1778">
        <f>A3485+1</f>
        <v>194</v>
      </c>
      <c r="B3501" s="1871" t="s">
        <v>2981</v>
      </c>
      <c r="C3501" s="3278" t="s">
        <v>2984</v>
      </c>
      <c r="D3501" s="3278"/>
      <c r="E3501" s="3278"/>
      <c r="F3501" s="3278"/>
      <c r="G3501" s="3278"/>
      <c r="H3501" s="3278"/>
      <c r="I3501" s="3278"/>
      <c r="J3501" s="2090"/>
    </row>
    <row r="3502" spans="1:10" ht="15.75" customHeight="1">
      <c r="A3502" s="1780"/>
      <c r="B3502" s="1739" t="s">
        <v>1004</v>
      </c>
      <c r="C3502" s="1877" t="s">
        <v>2067</v>
      </c>
      <c r="D3502" s="390"/>
      <c r="E3502" s="413"/>
      <c r="F3502" s="320"/>
      <c r="G3502" s="320"/>
      <c r="H3502" s="1782"/>
      <c r="I3502" s="1782"/>
      <c r="J3502" s="1783"/>
    </row>
    <row r="3503" spans="1:10" ht="15.75" customHeight="1">
      <c r="A3503" s="1780"/>
      <c r="B3503" s="1739"/>
      <c r="C3503" s="1878" t="s">
        <v>2103</v>
      </c>
      <c r="D3503" s="1781">
        <v>0.20699999999999999</v>
      </c>
      <c r="E3503" s="413" t="s">
        <v>2069</v>
      </c>
      <c r="F3503" s="1747">
        <f>'Bahan &amp; Upah'!C$336</f>
        <v>96332.65</v>
      </c>
      <c r="G3503" s="361">
        <f>F3503*D3503</f>
        <v>19940.858549999997</v>
      </c>
      <c r="H3503" s="2015">
        <v>1</v>
      </c>
      <c r="I3503" s="2015">
        <f>(G3503/G$3513)*H3503</f>
        <v>8.6417342315229295E-2</v>
      </c>
      <c r="J3503" s="1783"/>
    </row>
    <row r="3504" spans="1:10" ht="15.75" customHeight="1">
      <c r="A3504" s="1780"/>
      <c r="B3504" s="1739"/>
      <c r="C3504" s="1878" t="s">
        <v>2287</v>
      </c>
      <c r="D3504" s="1781">
        <v>0.34599999999999997</v>
      </c>
      <c r="E3504" s="413" t="s">
        <v>2069</v>
      </c>
      <c r="F3504" s="1883">
        <f>'Bahan &amp; Upah'!C$337</f>
        <v>114133.55</v>
      </c>
      <c r="G3504" s="361">
        <f>F3504*D3504</f>
        <v>39490.208299999998</v>
      </c>
      <c r="H3504" s="2015">
        <v>1</v>
      </c>
      <c r="I3504" s="2015">
        <f>(G3504/G$3513)*H3504</f>
        <v>0.17113800994094155</v>
      </c>
      <c r="J3504" s="1783"/>
    </row>
    <row r="3505" spans="1:10" ht="15.75" customHeight="1">
      <c r="A3505" s="1780"/>
      <c r="B3505" s="1739"/>
      <c r="C3505" s="1878" t="s">
        <v>2105</v>
      </c>
      <c r="D3505" s="1781">
        <v>3.5000000000000003E-2</v>
      </c>
      <c r="E3505" s="413" t="s">
        <v>2069</v>
      </c>
      <c r="F3505" s="1748">
        <f>'Bahan &amp; Upah'!C$338</f>
        <v>125485.75</v>
      </c>
      <c r="G3505" s="361">
        <f>F3505*D3505</f>
        <v>4392.0012500000003</v>
      </c>
      <c r="H3505" s="2015">
        <v>1</v>
      </c>
      <c r="I3505" s="2015">
        <f>(G3505/G$3513)*H3505</f>
        <v>1.9033537323304719E-2</v>
      </c>
      <c r="J3505" s="1783"/>
    </row>
    <row r="3506" spans="1:10" ht="15.75" customHeight="1">
      <c r="A3506" s="1780"/>
      <c r="B3506" s="1739"/>
      <c r="C3506" s="1878" t="s">
        <v>2107</v>
      </c>
      <c r="D3506" s="1841">
        <v>0.01</v>
      </c>
      <c r="E3506" s="413" t="s">
        <v>2069</v>
      </c>
      <c r="F3506" s="1883">
        <f>'Bahan &amp; Upah'!C$339</f>
        <v>102689.88</v>
      </c>
      <c r="G3506" s="1785">
        <f>F3506*D3506</f>
        <v>1026.8988000000002</v>
      </c>
      <c r="H3506" s="2015">
        <v>1</v>
      </c>
      <c r="I3506" s="2016">
        <f>(G3506/G$3513)*H3506</f>
        <v>4.4502529768307396E-3</v>
      </c>
      <c r="J3506" s="1981"/>
    </row>
    <row r="3507" spans="1:10" ht="15.75" customHeight="1">
      <c r="A3507" s="1780"/>
      <c r="B3507" s="1739"/>
      <c r="C3507" s="1889" t="s">
        <v>2108</v>
      </c>
      <c r="D3507" s="1841"/>
      <c r="E3507" s="413"/>
      <c r="F3507" s="320"/>
      <c r="G3507" s="361">
        <f>SUM(G3503:G3506)</f>
        <v>64849.966899999999</v>
      </c>
      <c r="H3507" s="2015"/>
      <c r="I3507" s="2017">
        <f>SUM(I3503:I3506)</f>
        <v>0.2810391425563063</v>
      </c>
      <c r="J3507" s="1981"/>
    </row>
    <row r="3508" spans="1:10" ht="15.75" customHeight="1">
      <c r="A3508" s="1780"/>
      <c r="B3508" s="1739" t="s">
        <v>1015</v>
      </c>
      <c r="C3508" s="1877" t="s">
        <v>2075</v>
      </c>
      <c r="D3508" s="1841"/>
      <c r="E3508" s="413"/>
      <c r="F3508" s="317"/>
      <c r="G3508" s="320"/>
      <c r="H3508" s="2015"/>
      <c r="I3508" s="2015"/>
      <c r="J3508" s="1981"/>
    </row>
    <row r="3509" spans="1:10" ht="15.75" customHeight="1">
      <c r="A3509" s="1780"/>
      <c r="B3509" s="1739"/>
      <c r="C3509" s="1878" t="s">
        <v>2985</v>
      </c>
      <c r="D3509" s="1841">
        <v>1.1499999999999999</v>
      </c>
      <c r="E3509" s="413" t="s">
        <v>360</v>
      </c>
      <c r="F3509" s="1747">
        <f>'Bahan &amp; Upah'!C312</f>
        <v>144261.47</v>
      </c>
      <c r="G3509" s="1794">
        <f>F3509*D3509</f>
        <v>165900.6905</v>
      </c>
      <c r="H3509" s="2015">
        <v>0.4032</v>
      </c>
      <c r="I3509" s="2016">
        <f>(G3509/G$3513)*H3509</f>
        <v>0.28988501772129727</v>
      </c>
      <c r="J3509" s="1981"/>
    </row>
    <row r="3510" spans="1:10" ht="15.75" customHeight="1">
      <c r="A3510" s="1780"/>
      <c r="B3510" s="1784"/>
      <c r="C3510" s="1889" t="s">
        <v>2091</v>
      </c>
      <c r="D3510" s="1841"/>
      <c r="E3510" s="413"/>
      <c r="F3510" s="320"/>
      <c r="G3510" s="361">
        <f>SUM(G3509:G3509)</f>
        <v>165900.6905</v>
      </c>
      <c r="H3510" s="2015"/>
      <c r="I3510" s="2017">
        <f>SUM(I3509:I3509)</f>
        <v>0.28988501772129727</v>
      </c>
      <c r="J3510" s="1981"/>
    </row>
    <row r="3511" spans="1:10" ht="15.75" customHeight="1">
      <c r="A3511" s="1780"/>
      <c r="B3511" s="1739" t="s">
        <v>1048</v>
      </c>
      <c r="C3511" s="1877" t="s">
        <v>2246</v>
      </c>
      <c r="D3511" s="1841"/>
      <c r="E3511" s="413"/>
      <c r="F3511" s="317"/>
      <c r="G3511" s="320"/>
      <c r="H3511" s="2015"/>
      <c r="I3511" s="2015"/>
      <c r="J3511" s="1981"/>
    </row>
    <row r="3512" spans="1:10" ht="15.75" customHeight="1">
      <c r="A3512" s="1780"/>
      <c r="B3512" s="1784"/>
      <c r="C3512" s="1878"/>
      <c r="D3512" s="1841"/>
      <c r="E3512" s="413"/>
      <c r="F3512" s="320"/>
      <c r="G3512" s="361"/>
      <c r="H3512" s="2015"/>
      <c r="I3512" s="2017">
        <v>0</v>
      </c>
      <c r="J3512" s="1981"/>
    </row>
    <row r="3513" spans="1:10" ht="15.75" customHeight="1">
      <c r="A3513" s="1780"/>
      <c r="B3513" s="1784"/>
      <c r="C3513" s="1804" t="s">
        <v>2298</v>
      </c>
      <c r="D3513" s="1763"/>
      <c r="E3513" s="1764"/>
      <c r="F3513" s="1765"/>
      <c r="G3513" s="1765">
        <f>G3507+G3510+G3512</f>
        <v>230750.6574</v>
      </c>
      <c r="H3513" s="2015"/>
      <c r="I3513" s="2018">
        <f>I3507+I3510+I3512</f>
        <v>0.57092416027760362</v>
      </c>
      <c r="J3513" s="1981"/>
    </row>
    <row r="3514" spans="1:10" ht="15.75" customHeight="1">
      <c r="A3514" s="1780"/>
      <c r="B3514" s="1784"/>
      <c r="C3514" s="1762" t="s">
        <v>2094</v>
      </c>
      <c r="D3514" s="1767">
        <f>M$4</f>
        <v>0.15</v>
      </c>
      <c r="E3514" s="1768"/>
      <c r="F3514" s="1765"/>
      <c r="G3514" s="1765">
        <f>G3513*D3514</f>
        <v>34612.598610000001</v>
      </c>
      <c r="H3514" s="2015"/>
      <c r="I3514" s="2018"/>
      <c r="J3514" s="1981"/>
    </row>
    <row r="3515" spans="1:10" ht="15.75" customHeight="1">
      <c r="A3515" s="1786"/>
      <c r="B3515" s="1890"/>
      <c r="C3515" s="1788" t="s">
        <v>2111</v>
      </c>
      <c r="D3515" s="1772"/>
      <c r="E3515" s="1773"/>
      <c r="F3515" s="1774"/>
      <c r="G3515" s="1998">
        <f>ROUNDUP((G3513+G3514),2)</f>
        <v>265363.26</v>
      </c>
      <c r="H3515" s="2068"/>
      <c r="I3515" s="2092"/>
      <c r="J3515" s="2008"/>
    </row>
    <row r="3516" spans="1:10" ht="15.75" customHeight="1">
      <c r="A3516" s="1733"/>
      <c r="B3516" s="1733"/>
      <c r="C3516" s="1733"/>
      <c r="D3516" s="1733"/>
      <c r="E3516" s="1733"/>
      <c r="F3516" s="1733"/>
      <c r="G3516" s="1733"/>
      <c r="H3516" s="1733"/>
      <c r="I3516" s="1733"/>
      <c r="J3516" s="1733"/>
    </row>
    <row r="3517" spans="1:10" ht="15.75" customHeight="1">
      <c r="A3517" s="1778">
        <f>A3501+1</f>
        <v>195</v>
      </c>
      <c r="B3517" s="1871" t="s">
        <v>2981</v>
      </c>
      <c r="C3517" s="3278" t="s">
        <v>2986</v>
      </c>
      <c r="D3517" s="3278"/>
      <c r="E3517" s="3278"/>
      <c r="F3517" s="3278"/>
      <c r="G3517" s="3278"/>
      <c r="H3517" s="3278"/>
      <c r="I3517" s="3278"/>
      <c r="J3517" s="2090"/>
    </row>
    <row r="3518" spans="1:10" ht="15.75" customHeight="1">
      <c r="A3518" s="1780"/>
      <c r="B3518" s="1739" t="s">
        <v>1004</v>
      </c>
      <c r="C3518" s="1877" t="s">
        <v>2067</v>
      </c>
      <c r="D3518" s="390"/>
      <c r="E3518" s="413"/>
      <c r="F3518" s="320"/>
      <c r="G3518" s="320"/>
      <c r="H3518" s="1782"/>
      <c r="I3518" s="1782"/>
      <c r="J3518" s="1783"/>
    </row>
    <row r="3519" spans="1:10" ht="15.75" customHeight="1">
      <c r="A3519" s="1780"/>
      <c r="B3519" s="1739"/>
      <c r="C3519" s="1878" t="s">
        <v>2103</v>
      </c>
      <c r="D3519" s="1781">
        <v>0.20699999999999999</v>
      </c>
      <c r="E3519" s="413" t="s">
        <v>2069</v>
      </c>
      <c r="F3519" s="1747">
        <f>'Bahan &amp; Upah'!C$336</f>
        <v>96332.65</v>
      </c>
      <c r="G3519" s="361">
        <f>F3519*D3519</f>
        <v>19940.858549999997</v>
      </c>
      <c r="H3519" s="2015">
        <v>1</v>
      </c>
      <c r="I3519" s="2015">
        <f>(G3519/G$3513)*H3519</f>
        <v>8.6417342315229295E-2</v>
      </c>
      <c r="J3519" s="1783"/>
    </row>
    <row r="3520" spans="1:10" ht="15.75" customHeight="1">
      <c r="A3520" s="1780"/>
      <c r="B3520" s="1739"/>
      <c r="C3520" s="1878" t="s">
        <v>2287</v>
      </c>
      <c r="D3520" s="1781">
        <v>0.34599999999999997</v>
      </c>
      <c r="E3520" s="413" t="s">
        <v>2069</v>
      </c>
      <c r="F3520" s="1883">
        <f>'Bahan &amp; Upah'!C$337</f>
        <v>114133.55</v>
      </c>
      <c r="G3520" s="361">
        <f>F3520*D3520</f>
        <v>39490.208299999998</v>
      </c>
      <c r="H3520" s="2015">
        <v>1</v>
      </c>
      <c r="I3520" s="2015">
        <f>(G3520/G$3513)*H3520</f>
        <v>0.17113800994094155</v>
      </c>
      <c r="J3520" s="1783"/>
    </row>
    <row r="3521" spans="1:10" ht="15.75" customHeight="1">
      <c r="A3521" s="1780"/>
      <c r="B3521" s="1739"/>
      <c r="C3521" s="1878" t="s">
        <v>2105</v>
      </c>
      <c r="D3521" s="1781">
        <v>3.5000000000000003E-2</v>
      </c>
      <c r="E3521" s="413" t="s">
        <v>2069</v>
      </c>
      <c r="F3521" s="1748">
        <f>'Bahan &amp; Upah'!C$338</f>
        <v>125485.75</v>
      </c>
      <c r="G3521" s="361">
        <f>F3521*D3521</f>
        <v>4392.0012500000003</v>
      </c>
      <c r="H3521" s="2015">
        <v>1</v>
      </c>
      <c r="I3521" s="2015">
        <f>(G3521/G$3513)*H3521</f>
        <v>1.9033537323304719E-2</v>
      </c>
      <c r="J3521" s="1783"/>
    </row>
    <row r="3522" spans="1:10" ht="15.75" customHeight="1">
      <c r="A3522" s="1780"/>
      <c r="B3522" s="1739"/>
      <c r="C3522" s="1878" t="s">
        <v>2107</v>
      </c>
      <c r="D3522" s="1841">
        <v>0.01</v>
      </c>
      <c r="E3522" s="413" t="s">
        <v>2069</v>
      </c>
      <c r="F3522" s="1883">
        <f>'Bahan &amp; Upah'!C$339</f>
        <v>102689.88</v>
      </c>
      <c r="G3522" s="1785">
        <f>F3522*D3522</f>
        <v>1026.8988000000002</v>
      </c>
      <c r="H3522" s="2015">
        <v>1</v>
      </c>
      <c r="I3522" s="2016">
        <f>(G3522/G$3513)*H3522</f>
        <v>4.4502529768307396E-3</v>
      </c>
      <c r="J3522" s="1981"/>
    </row>
    <row r="3523" spans="1:10" ht="15.75" customHeight="1">
      <c r="A3523" s="1780"/>
      <c r="B3523" s="1739"/>
      <c r="C3523" s="1889" t="s">
        <v>2108</v>
      </c>
      <c r="D3523" s="1841"/>
      <c r="E3523" s="413"/>
      <c r="F3523" s="320"/>
      <c r="G3523" s="361">
        <f>SUM(G3519:G3522)</f>
        <v>64849.966899999999</v>
      </c>
      <c r="H3523" s="2015"/>
      <c r="I3523" s="2017">
        <f>SUM(I3519:I3522)</f>
        <v>0.2810391425563063</v>
      </c>
      <c r="J3523" s="1981"/>
    </row>
    <row r="3524" spans="1:10" ht="15.75" customHeight="1">
      <c r="A3524" s="1780"/>
      <c r="B3524" s="1739" t="s">
        <v>1015</v>
      </c>
      <c r="C3524" s="1877" t="s">
        <v>2075</v>
      </c>
      <c r="D3524" s="1841"/>
      <c r="E3524" s="413"/>
      <c r="F3524" s="317"/>
      <c r="G3524" s="320"/>
      <c r="H3524" s="2015"/>
      <c r="I3524" s="2015"/>
      <c r="J3524" s="1981"/>
    </row>
    <row r="3525" spans="1:10" ht="15.75" customHeight="1">
      <c r="A3525" s="1780"/>
      <c r="B3525" s="1739"/>
      <c r="C3525" s="1878" t="s">
        <v>2987</v>
      </c>
      <c r="D3525" s="1841">
        <v>1.1499999999999999</v>
      </c>
      <c r="E3525" s="413" t="s">
        <v>360</v>
      </c>
      <c r="F3525" s="1747">
        <f>'Bahan &amp; Upah'!C313</f>
        <v>130704.23</v>
      </c>
      <c r="G3525" s="1794">
        <f>F3525*D3525</f>
        <v>150309.8645</v>
      </c>
      <c r="H3525" s="2015">
        <v>0.4032</v>
      </c>
      <c r="I3525" s="2016">
        <f>(G3525/G$3513)*H3525</f>
        <v>0.26264253393368664</v>
      </c>
      <c r="J3525" s="1981"/>
    </row>
    <row r="3526" spans="1:10" ht="15.75" customHeight="1">
      <c r="A3526" s="1780"/>
      <c r="B3526" s="1784"/>
      <c r="C3526" s="1889" t="s">
        <v>2091</v>
      </c>
      <c r="D3526" s="1841"/>
      <c r="E3526" s="413"/>
      <c r="F3526" s="320"/>
      <c r="G3526" s="361">
        <f>SUM(G3525:G3525)</f>
        <v>150309.8645</v>
      </c>
      <c r="H3526" s="2015"/>
      <c r="I3526" s="2017">
        <f>SUM(I3525:I3525)</f>
        <v>0.26264253393368664</v>
      </c>
      <c r="J3526" s="1981"/>
    </row>
    <row r="3527" spans="1:10" ht="15.75" customHeight="1">
      <c r="A3527" s="1780"/>
      <c r="B3527" s="1739" t="s">
        <v>1048</v>
      </c>
      <c r="C3527" s="1877" t="s">
        <v>2246</v>
      </c>
      <c r="D3527" s="1841"/>
      <c r="E3527" s="413"/>
      <c r="F3527" s="317"/>
      <c r="G3527" s="320"/>
      <c r="H3527" s="2015"/>
      <c r="I3527" s="2015"/>
      <c r="J3527" s="1981"/>
    </row>
    <row r="3528" spans="1:10" ht="15.75" customHeight="1">
      <c r="A3528" s="1780"/>
      <c r="B3528" s="1784"/>
      <c r="C3528" s="1878"/>
      <c r="D3528" s="1841"/>
      <c r="E3528" s="413"/>
      <c r="F3528" s="320"/>
      <c r="G3528" s="361"/>
      <c r="H3528" s="2015"/>
      <c r="I3528" s="2017">
        <v>0</v>
      </c>
      <c r="J3528" s="1981"/>
    </row>
    <row r="3529" spans="1:10" ht="15.75" customHeight="1">
      <c r="A3529" s="1780"/>
      <c r="B3529" s="1784"/>
      <c r="C3529" s="1804" t="s">
        <v>2298</v>
      </c>
      <c r="D3529" s="1763"/>
      <c r="E3529" s="1764"/>
      <c r="F3529" s="1765"/>
      <c r="G3529" s="1765">
        <f>G3523+G3526+G3528</f>
        <v>215159.8314</v>
      </c>
      <c r="H3529" s="2015"/>
      <c r="I3529" s="2018">
        <f>I3523+I3526+I3528</f>
        <v>0.54368167648999299</v>
      </c>
      <c r="J3529" s="1981"/>
    </row>
    <row r="3530" spans="1:10" ht="15.75" customHeight="1">
      <c r="A3530" s="1780"/>
      <c r="B3530" s="1784"/>
      <c r="C3530" s="1762" t="s">
        <v>2094</v>
      </c>
      <c r="D3530" s="1767">
        <f>M$4</f>
        <v>0.15</v>
      </c>
      <c r="E3530" s="1768"/>
      <c r="F3530" s="1765"/>
      <c r="G3530" s="1765">
        <f>G3529*D3530</f>
        <v>32273.974709999999</v>
      </c>
      <c r="H3530" s="2015"/>
      <c r="I3530" s="2018"/>
      <c r="J3530" s="1981"/>
    </row>
    <row r="3531" spans="1:10" ht="15.75" customHeight="1">
      <c r="A3531" s="1786"/>
      <c r="B3531" s="1890"/>
      <c r="C3531" s="1788" t="s">
        <v>2111</v>
      </c>
      <c r="D3531" s="1772"/>
      <c r="E3531" s="1773"/>
      <c r="F3531" s="1774"/>
      <c r="G3531" s="1998">
        <f>ROUNDUP((G3529+G3530),2)</f>
        <v>247433.81</v>
      </c>
      <c r="H3531" s="2068"/>
      <c r="I3531" s="2092"/>
      <c r="J3531" s="2008"/>
    </row>
    <row r="3532" spans="1:10" ht="15.75" customHeight="1">
      <c r="A3532" s="1733"/>
      <c r="B3532" s="1733"/>
      <c r="C3532" s="1733"/>
      <c r="D3532" s="1733"/>
      <c r="E3532" s="1733"/>
      <c r="F3532" s="1733"/>
      <c r="G3532" s="1733"/>
      <c r="H3532" s="1733"/>
      <c r="I3532" s="1733"/>
      <c r="J3532" s="1733"/>
    </row>
    <row r="3533" spans="1:10" ht="15.75" customHeight="1">
      <c r="A3533" s="1778">
        <f>A3517+1</f>
        <v>196</v>
      </c>
      <c r="B3533" s="1871" t="s">
        <v>2988</v>
      </c>
      <c r="C3533" s="3278" t="s">
        <v>2989</v>
      </c>
      <c r="D3533" s="3278"/>
      <c r="E3533" s="3278"/>
      <c r="F3533" s="3278"/>
      <c r="G3533" s="3278"/>
      <c r="H3533" s="3278"/>
      <c r="I3533" s="3278"/>
      <c r="J3533" s="2090"/>
    </row>
    <row r="3534" spans="1:10" ht="15.75" customHeight="1">
      <c r="A3534" s="1780"/>
      <c r="B3534" s="1739" t="s">
        <v>1004</v>
      </c>
      <c r="C3534" s="1877" t="s">
        <v>2067</v>
      </c>
      <c r="D3534" s="390"/>
      <c r="E3534" s="413"/>
      <c r="F3534" s="320"/>
      <c r="G3534" s="320"/>
      <c r="H3534" s="1782"/>
      <c r="I3534" s="1782"/>
      <c r="J3534" s="1783"/>
    </row>
    <row r="3535" spans="1:10" ht="15.75" customHeight="1">
      <c r="A3535" s="1780"/>
      <c r="B3535" s="1739"/>
      <c r="C3535" s="1878" t="s">
        <v>2103</v>
      </c>
      <c r="D3535" s="1781">
        <v>0.76300000000000001</v>
      </c>
      <c r="E3535" s="413" t="s">
        <v>2069</v>
      </c>
      <c r="F3535" s="1747">
        <f>'Bahan &amp; Upah'!C$336</f>
        <v>96332.65</v>
      </c>
      <c r="G3535" s="361">
        <f>F3535*D3535</f>
        <v>73501.811950000003</v>
      </c>
      <c r="H3535" s="2015">
        <v>1</v>
      </c>
      <c r="I3535" s="2015">
        <f>(G3535/G$3545)*H3535</f>
        <v>5.0661276564320554E-2</v>
      </c>
      <c r="J3535" s="1783"/>
    </row>
    <row r="3536" spans="1:10" ht="15.75" customHeight="1">
      <c r="A3536" s="1780"/>
      <c r="B3536" s="1739"/>
      <c r="C3536" s="1878" t="s">
        <v>2287</v>
      </c>
      <c r="D3536" s="1781">
        <v>1.274</v>
      </c>
      <c r="E3536" s="413" t="s">
        <v>2069</v>
      </c>
      <c r="F3536" s="1883">
        <f>'Bahan &amp; Upah'!C$337</f>
        <v>114133.55</v>
      </c>
      <c r="G3536" s="361">
        <f>F3536*D3536</f>
        <v>145406.1427</v>
      </c>
      <c r="H3536" s="2015">
        <v>1</v>
      </c>
      <c r="I3536" s="2015">
        <f>(G3536/G$3545)*H3536</f>
        <v>0.10022148589325708</v>
      </c>
      <c r="J3536" s="1783"/>
    </row>
    <row r="3537" spans="1:10" ht="15.75" customHeight="1">
      <c r="A3537" s="1780"/>
      <c r="B3537" s="1739"/>
      <c r="C3537" s="1878" t="s">
        <v>2105</v>
      </c>
      <c r="D3537" s="1781">
        <v>0.127</v>
      </c>
      <c r="E3537" s="413" t="s">
        <v>2069</v>
      </c>
      <c r="F3537" s="1748">
        <f>'Bahan &amp; Upah'!C$338</f>
        <v>125485.75</v>
      </c>
      <c r="G3537" s="361">
        <f>F3537*D3537</f>
        <v>15936.69025</v>
      </c>
      <c r="H3537" s="2015">
        <v>1</v>
      </c>
      <c r="I3537" s="2015">
        <f>(G3537/G$3545)*H3537</f>
        <v>1.0984396858466302E-2</v>
      </c>
      <c r="J3537" s="1783"/>
    </row>
    <row r="3538" spans="1:10" ht="15.75" customHeight="1">
      <c r="A3538" s="1780"/>
      <c r="B3538" s="1739"/>
      <c r="C3538" s="1878" t="s">
        <v>2107</v>
      </c>
      <c r="D3538" s="1841">
        <v>3.7999999999999999E-2</v>
      </c>
      <c r="E3538" s="413" t="s">
        <v>2069</v>
      </c>
      <c r="F3538" s="1883">
        <f>'Bahan &amp; Upah'!C$339</f>
        <v>102689.88</v>
      </c>
      <c r="G3538" s="1785">
        <f>F3538*D3538</f>
        <v>3902.2154399999999</v>
      </c>
      <c r="H3538" s="2015">
        <v>1</v>
      </c>
      <c r="I3538" s="2016">
        <f>(G3538/G$3545)*H3538</f>
        <v>2.6896100976923172E-3</v>
      </c>
      <c r="J3538" s="1981"/>
    </row>
    <row r="3539" spans="1:10" ht="15.75" customHeight="1">
      <c r="A3539" s="1780"/>
      <c r="B3539" s="1739"/>
      <c r="C3539" s="1889" t="s">
        <v>2108</v>
      </c>
      <c r="D3539" s="1841"/>
      <c r="E3539" s="413"/>
      <c r="F3539" s="320"/>
      <c r="G3539" s="361">
        <f>SUM(G3535:G3538)</f>
        <v>238746.86034000001</v>
      </c>
      <c r="H3539" s="2015"/>
      <c r="I3539" s="2017">
        <f>SUM(I3535:I3538)</f>
        <v>0.16455676941373626</v>
      </c>
      <c r="J3539" s="1981"/>
    </row>
    <row r="3540" spans="1:10" ht="15.75" customHeight="1">
      <c r="A3540" s="1780"/>
      <c r="B3540" s="1739" t="s">
        <v>1015</v>
      </c>
      <c r="C3540" s="1877" t="s">
        <v>2075</v>
      </c>
      <c r="D3540" s="1841"/>
      <c r="E3540" s="413"/>
      <c r="F3540" s="317"/>
      <c r="G3540" s="320"/>
      <c r="H3540" s="2015"/>
      <c r="I3540" s="2015"/>
      <c r="J3540" s="1981"/>
    </row>
    <row r="3541" spans="1:10" ht="15.75" customHeight="1">
      <c r="A3541" s="1780"/>
      <c r="B3541" s="1739"/>
      <c r="C3541" s="1878" t="s">
        <v>2990</v>
      </c>
      <c r="D3541" s="1841">
        <v>1.1000000000000001</v>
      </c>
      <c r="E3541" s="413" t="s">
        <v>360</v>
      </c>
      <c r="F3541" s="1747">
        <f>'Bahan &amp; Upah'!C315</f>
        <v>1101910.1299999999</v>
      </c>
      <c r="G3541" s="1794">
        <f>F3541*D3541</f>
        <v>1212101.1429999999</v>
      </c>
      <c r="H3541" s="2015">
        <v>0.4032</v>
      </c>
      <c r="I3541" s="2016">
        <f>(G3541/G$3545)*H3541</f>
        <v>0.33685071057238158</v>
      </c>
      <c r="J3541" s="1981"/>
    </row>
    <row r="3542" spans="1:10" ht="15.75" customHeight="1">
      <c r="A3542" s="1780"/>
      <c r="B3542" s="1784"/>
      <c r="C3542" s="1889" t="s">
        <v>2091</v>
      </c>
      <c r="D3542" s="1841"/>
      <c r="E3542" s="413"/>
      <c r="F3542" s="320"/>
      <c r="G3542" s="361">
        <f>SUM(G3541:G3541)</f>
        <v>1212101.1429999999</v>
      </c>
      <c r="H3542" s="2015"/>
      <c r="I3542" s="2017">
        <f>SUM(I3541:I3541)</f>
        <v>0.33685071057238158</v>
      </c>
      <c r="J3542" s="1981"/>
    </row>
    <row r="3543" spans="1:10" ht="15.75" customHeight="1">
      <c r="A3543" s="1780"/>
      <c r="B3543" s="1739" t="s">
        <v>1048</v>
      </c>
      <c r="C3543" s="1877" t="s">
        <v>2246</v>
      </c>
      <c r="D3543" s="1841"/>
      <c r="E3543" s="413"/>
      <c r="F3543" s="317"/>
      <c r="G3543" s="320"/>
      <c r="H3543" s="2015"/>
      <c r="I3543" s="2015"/>
      <c r="J3543" s="1981"/>
    </row>
    <row r="3544" spans="1:10" ht="15.75" customHeight="1">
      <c r="A3544" s="1780"/>
      <c r="B3544" s="1784"/>
      <c r="C3544" s="1878"/>
      <c r="D3544" s="1841"/>
      <c r="E3544" s="413"/>
      <c r="F3544" s="320"/>
      <c r="G3544" s="361"/>
      <c r="H3544" s="2015"/>
      <c r="I3544" s="2017">
        <v>0</v>
      </c>
      <c r="J3544" s="1981"/>
    </row>
    <row r="3545" spans="1:10" ht="15.75" customHeight="1">
      <c r="A3545" s="1780"/>
      <c r="B3545" s="1784"/>
      <c r="C3545" s="1804" t="s">
        <v>2298</v>
      </c>
      <c r="D3545" s="1763"/>
      <c r="E3545" s="1764"/>
      <c r="F3545" s="1765"/>
      <c r="G3545" s="1765">
        <f>G3539+G3542+G3544</f>
        <v>1450848.0033399998</v>
      </c>
      <c r="H3545" s="2015"/>
      <c r="I3545" s="2018">
        <f>I3539+I3542+I3544</f>
        <v>0.5014074799861179</v>
      </c>
      <c r="J3545" s="1981"/>
    </row>
    <row r="3546" spans="1:10" ht="15.75" customHeight="1">
      <c r="A3546" s="1780"/>
      <c r="B3546" s="1784"/>
      <c r="C3546" s="1762" t="s">
        <v>2094</v>
      </c>
      <c r="D3546" s="1767">
        <f>M$4</f>
        <v>0.15</v>
      </c>
      <c r="E3546" s="1768"/>
      <c r="F3546" s="1765"/>
      <c r="G3546" s="1765">
        <f>G3545*D3546</f>
        <v>217627.20050099996</v>
      </c>
      <c r="H3546" s="2015"/>
      <c r="I3546" s="2018"/>
      <c r="J3546" s="1981"/>
    </row>
    <row r="3547" spans="1:10" ht="15.75" customHeight="1">
      <c r="A3547" s="1786"/>
      <c r="B3547" s="1890"/>
      <c r="C3547" s="1788" t="s">
        <v>2111</v>
      </c>
      <c r="D3547" s="1772"/>
      <c r="E3547" s="1773"/>
      <c r="F3547" s="1774"/>
      <c r="G3547" s="1998">
        <f>ROUNDUP((G3545+G3546),2)</f>
        <v>1668475.21</v>
      </c>
      <c r="H3547" s="2068"/>
      <c r="I3547" s="2092"/>
      <c r="J3547" s="2008"/>
    </row>
    <row r="3548" spans="1:10" ht="15.75" customHeight="1">
      <c r="A3548" s="1733"/>
      <c r="B3548" s="1733"/>
      <c r="C3548" s="1733"/>
      <c r="D3548" s="1733"/>
      <c r="E3548" s="1733"/>
      <c r="F3548" s="1733"/>
      <c r="G3548" s="1733"/>
      <c r="H3548" s="1733"/>
      <c r="I3548" s="1733"/>
      <c r="J3548" s="1733"/>
    </row>
    <row r="3549" spans="1:10" ht="15.75" customHeight="1">
      <c r="A3549" s="1778">
        <f>A3533+1</f>
        <v>197</v>
      </c>
      <c r="B3549" s="1871" t="s">
        <v>2957</v>
      </c>
      <c r="C3549" s="3278" t="s">
        <v>2991</v>
      </c>
      <c r="D3549" s="3278"/>
      <c r="E3549" s="3278"/>
      <c r="F3549" s="3278"/>
      <c r="G3549" s="3278"/>
      <c r="H3549" s="3278"/>
      <c r="I3549" s="3278"/>
      <c r="J3549" s="2090"/>
    </row>
    <row r="3550" spans="1:10" ht="15.75" customHeight="1">
      <c r="A3550" s="1780"/>
      <c r="B3550" s="1739" t="s">
        <v>1004</v>
      </c>
      <c r="C3550" s="1877" t="s">
        <v>2067</v>
      </c>
      <c r="D3550" s="390"/>
      <c r="E3550" s="413"/>
      <c r="F3550" s="320"/>
      <c r="G3550" s="320"/>
      <c r="H3550" s="1782"/>
      <c r="I3550" s="1782"/>
      <c r="J3550" s="1783"/>
    </row>
    <row r="3551" spans="1:10" ht="15.75" customHeight="1">
      <c r="A3551" s="1780"/>
      <c r="B3551" s="1739"/>
      <c r="C3551" s="1878" t="s">
        <v>2103</v>
      </c>
      <c r="D3551" s="1781">
        <v>5.25</v>
      </c>
      <c r="E3551" s="413" t="s">
        <v>2069</v>
      </c>
      <c r="F3551" s="1747">
        <f>'Bahan &amp; Upah'!C$336</f>
        <v>96332.65</v>
      </c>
      <c r="G3551" s="361">
        <f>F3551*D3551</f>
        <v>505746.41249999998</v>
      </c>
      <c r="H3551" s="2015">
        <v>1</v>
      </c>
      <c r="I3551" s="2015">
        <f>(G3551/G$3561)*H3551</f>
        <v>6.21186008890387E-3</v>
      </c>
      <c r="J3551" s="1783"/>
    </row>
    <row r="3552" spans="1:10" ht="15.75" customHeight="1">
      <c r="A3552" s="1780"/>
      <c r="B3552" s="1739"/>
      <c r="C3552" s="1878" t="s">
        <v>2766</v>
      </c>
      <c r="D3552" s="1781">
        <v>1.75</v>
      </c>
      <c r="E3552" s="413" t="s">
        <v>2069</v>
      </c>
      <c r="F3552" s="1883">
        <f>'Bahan &amp; Upah'!C$337</f>
        <v>114133.55</v>
      </c>
      <c r="G3552" s="361">
        <f>F3552*D3552</f>
        <v>199733.71249999999</v>
      </c>
      <c r="H3552" s="2015">
        <v>1</v>
      </c>
      <c r="I3552" s="2015">
        <f>(G3552/G$3561)*H3552</f>
        <v>2.4532410837167333E-3</v>
      </c>
      <c r="J3552" s="1783"/>
    </row>
    <row r="3553" spans="1:10" ht="15.75" customHeight="1">
      <c r="A3553" s="1780"/>
      <c r="B3553" s="1739"/>
      <c r="C3553" s="1878" t="s">
        <v>2105</v>
      </c>
      <c r="D3553" s="1781">
        <v>0.17499999999999999</v>
      </c>
      <c r="E3553" s="413" t="s">
        <v>2069</v>
      </c>
      <c r="F3553" s="1748">
        <f>'Bahan &amp; Upah'!C$338</f>
        <v>125485.75</v>
      </c>
      <c r="G3553" s="361">
        <f>F3553*D3553</f>
        <v>21960.006249999999</v>
      </c>
      <c r="H3553" s="2015">
        <v>1</v>
      </c>
      <c r="I3553" s="2015">
        <f>(G3553/G$3561)*H3553</f>
        <v>2.6972506972840768E-4</v>
      </c>
      <c r="J3553" s="1783"/>
    </row>
    <row r="3554" spans="1:10" ht="15.75" customHeight="1">
      <c r="A3554" s="1780"/>
      <c r="B3554" s="1739"/>
      <c r="C3554" s="1878" t="s">
        <v>2107</v>
      </c>
      <c r="D3554" s="1841">
        <v>5.8000000000000003E-2</v>
      </c>
      <c r="E3554" s="413" t="s">
        <v>2069</v>
      </c>
      <c r="F3554" s="1883">
        <f>'Bahan &amp; Upah'!C$339</f>
        <v>102689.88</v>
      </c>
      <c r="G3554" s="1785">
        <f>F3554*D3554</f>
        <v>5956.0130400000007</v>
      </c>
      <c r="H3554" s="2015">
        <v>1</v>
      </c>
      <c r="I3554" s="2016">
        <f>(G3554/G$3561)*H3554</f>
        <v>7.3155080842352032E-5</v>
      </c>
      <c r="J3554" s="1981"/>
    </row>
    <row r="3555" spans="1:10" ht="15.75" customHeight="1">
      <c r="A3555" s="1780"/>
      <c r="B3555" s="1739"/>
      <c r="C3555" s="1889" t="s">
        <v>2108</v>
      </c>
      <c r="D3555" s="1841"/>
      <c r="E3555" s="413"/>
      <c r="F3555" s="320"/>
      <c r="G3555" s="361">
        <f>SUM(G3551:G3554)</f>
        <v>733396.14428999997</v>
      </c>
      <c r="H3555" s="2015"/>
      <c r="I3555" s="2017">
        <f>SUM(I3551:I3554)</f>
        <v>9.0079813231913625E-3</v>
      </c>
      <c r="J3555" s="1981"/>
    </row>
    <row r="3556" spans="1:10" ht="15.75" customHeight="1">
      <c r="A3556" s="1780"/>
      <c r="B3556" s="1739" t="s">
        <v>1015</v>
      </c>
      <c r="C3556" s="1877" t="s">
        <v>2075</v>
      </c>
      <c r="D3556" s="1841"/>
      <c r="E3556" s="413"/>
      <c r="F3556" s="317"/>
      <c r="G3556" s="320"/>
      <c r="H3556" s="2015"/>
      <c r="I3556" s="2015"/>
      <c r="J3556" s="1981"/>
    </row>
    <row r="3557" spans="1:10" ht="27.75" customHeight="1">
      <c r="A3557" s="1780"/>
      <c r="B3557" s="1739"/>
      <c r="C3557" s="2045" t="s">
        <v>2992</v>
      </c>
      <c r="D3557" s="1841">
        <v>1.03</v>
      </c>
      <c r="E3557" s="413" t="s">
        <v>360</v>
      </c>
      <c r="F3557" s="1747">
        <f>'Bahan &amp; Upah'!C316</f>
        <v>78332876.969999999</v>
      </c>
      <c r="G3557" s="1794">
        <f>F3557*D3557</f>
        <v>80682863.279100001</v>
      </c>
      <c r="H3557" s="2015">
        <v>0.4032</v>
      </c>
      <c r="I3557" s="2016">
        <f>(G3557/G$3561)*H3557</f>
        <v>0.39956798193048926</v>
      </c>
      <c r="J3557" s="1981"/>
    </row>
    <row r="3558" spans="1:10" ht="15.75" customHeight="1">
      <c r="A3558" s="1780"/>
      <c r="B3558" s="1784"/>
      <c r="C3558" s="1889" t="s">
        <v>2091</v>
      </c>
      <c r="D3558" s="1841"/>
      <c r="E3558" s="413"/>
      <c r="F3558" s="320"/>
      <c r="G3558" s="361">
        <f>SUM(G3557:G3557)</f>
        <v>80682863.279100001</v>
      </c>
      <c r="H3558" s="2015"/>
      <c r="I3558" s="2017">
        <f>SUM(I3557:I3557)</f>
        <v>0.39956798193048926</v>
      </c>
      <c r="J3558" s="1981"/>
    </row>
    <row r="3559" spans="1:10" ht="15.75" customHeight="1">
      <c r="A3559" s="1780"/>
      <c r="B3559" s="1739" t="s">
        <v>1048</v>
      </c>
      <c r="C3559" s="1877" t="s">
        <v>2246</v>
      </c>
      <c r="D3559" s="1841"/>
      <c r="E3559" s="413"/>
      <c r="F3559" s="317"/>
      <c r="G3559" s="320"/>
      <c r="H3559" s="2015"/>
      <c r="I3559" s="2015"/>
      <c r="J3559" s="1981"/>
    </row>
    <row r="3560" spans="1:10" ht="15.75" customHeight="1">
      <c r="A3560" s="1780"/>
      <c r="B3560" s="1784"/>
      <c r="C3560" s="1878"/>
      <c r="D3560" s="1841"/>
      <c r="E3560" s="413"/>
      <c r="F3560" s="320"/>
      <c r="G3560" s="361"/>
      <c r="H3560" s="2015"/>
      <c r="I3560" s="2017">
        <v>0</v>
      </c>
      <c r="J3560" s="1981"/>
    </row>
    <row r="3561" spans="1:10" ht="15.75" customHeight="1">
      <c r="A3561" s="1780"/>
      <c r="B3561" s="1784"/>
      <c r="C3561" s="1804" t="s">
        <v>2298</v>
      </c>
      <c r="D3561" s="1763"/>
      <c r="E3561" s="1764"/>
      <c r="F3561" s="1765"/>
      <c r="G3561" s="1765">
        <f>G3555+G3558+G3560</f>
        <v>81416259.423390001</v>
      </c>
      <c r="H3561" s="2015"/>
      <c r="I3561" s="2018">
        <f>I3555+I3558+I3560</f>
        <v>0.40857596325368062</v>
      </c>
      <c r="J3561" s="1981"/>
    </row>
    <row r="3562" spans="1:10" ht="15.75" customHeight="1">
      <c r="A3562" s="1780"/>
      <c r="B3562" s="1784"/>
      <c r="C3562" s="1762" t="s">
        <v>2094</v>
      </c>
      <c r="D3562" s="1767">
        <f>M$4</f>
        <v>0.15</v>
      </c>
      <c r="E3562" s="1768"/>
      <c r="F3562" s="1765"/>
      <c r="G3562" s="1765">
        <f>G3561*D3562</f>
        <v>12212438.913508499</v>
      </c>
      <c r="H3562" s="2015"/>
      <c r="I3562" s="2018"/>
      <c r="J3562" s="1981"/>
    </row>
    <row r="3563" spans="1:10" ht="15.75" customHeight="1">
      <c r="A3563" s="1786"/>
      <c r="B3563" s="1890"/>
      <c r="C3563" s="1788" t="s">
        <v>2111</v>
      </c>
      <c r="D3563" s="1772"/>
      <c r="E3563" s="1773"/>
      <c r="F3563" s="1774"/>
      <c r="G3563" s="1998">
        <f>ROUNDUP((G3561+G3562),2)</f>
        <v>93628698.340000004</v>
      </c>
      <c r="H3563" s="2068"/>
      <c r="I3563" s="2092"/>
      <c r="J3563" s="2008"/>
    </row>
    <row r="3564" spans="1:10" ht="15.75" customHeight="1">
      <c r="A3564" s="1733"/>
      <c r="B3564" s="1733"/>
      <c r="C3564" s="1733"/>
      <c r="D3564" s="1733"/>
      <c r="E3564" s="1733"/>
      <c r="F3564" s="1733"/>
      <c r="G3564" s="1733"/>
      <c r="H3564" s="1733"/>
      <c r="I3564" s="1733"/>
      <c r="J3564" s="1733"/>
    </row>
    <row r="3565" spans="1:10" ht="15.75" customHeight="1">
      <c r="A3565" s="1778">
        <f>A3549+1</f>
        <v>198</v>
      </c>
      <c r="B3565" s="1871" t="s">
        <v>2957</v>
      </c>
      <c r="C3565" s="3278" t="s">
        <v>2993</v>
      </c>
      <c r="D3565" s="3278"/>
      <c r="E3565" s="3278"/>
      <c r="F3565" s="3278"/>
      <c r="G3565" s="3278"/>
      <c r="H3565" s="3278"/>
      <c r="I3565" s="3278"/>
      <c r="J3565" s="2090"/>
    </row>
    <row r="3566" spans="1:10" ht="15.75" customHeight="1">
      <c r="A3566" s="1780"/>
      <c r="B3566" s="1739" t="s">
        <v>1004</v>
      </c>
      <c r="C3566" s="1877" t="s">
        <v>2067</v>
      </c>
      <c r="D3566" s="390"/>
      <c r="E3566" s="413"/>
      <c r="F3566" s="320"/>
      <c r="G3566" s="320"/>
      <c r="H3566" s="1782"/>
      <c r="I3566" s="1782"/>
      <c r="J3566" s="1783"/>
    </row>
    <row r="3567" spans="1:10" ht="15.75" customHeight="1">
      <c r="A3567" s="1780"/>
      <c r="B3567" s="1739"/>
      <c r="C3567" s="1878" t="s">
        <v>2103</v>
      </c>
      <c r="D3567" s="1781">
        <v>5.25</v>
      </c>
      <c r="E3567" s="413" t="s">
        <v>2069</v>
      </c>
      <c r="F3567" s="1747">
        <f>'Bahan &amp; Upah'!C$336</f>
        <v>96332.65</v>
      </c>
      <c r="G3567" s="361">
        <f>F3567*D3567</f>
        <v>505746.41249999998</v>
      </c>
      <c r="H3567" s="2015">
        <v>1</v>
      </c>
      <c r="I3567" s="2015">
        <f>(G3567/G$3578)*H3567</f>
        <v>1.523540696076061E-3</v>
      </c>
      <c r="J3567" s="1783"/>
    </row>
    <row r="3568" spans="1:10" ht="15.75" customHeight="1">
      <c r="A3568" s="1780"/>
      <c r="B3568" s="1739"/>
      <c r="C3568" s="1878" t="s">
        <v>2766</v>
      </c>
      <c r="D3568" s="1781">
        <v>1.75</v>
      </c>
      <c r="E3568" s="413" t="s">
        <v>2069</v>
      </c>
      <c r="F3568" s="1883">
        <f>'Bahan &amp; Upah'!C$337</f>
        <v>114133.55</v>
      </c>
      <c r="G3568" s="361">
        <f>F3568*D3568</f>
        <v>199733.71249999999</v>
      </c>
      <c r="H3568" s="2015">
        <v>1</v>
      </c>
      <c r="I3568" s="2015">
        <f>(G3568/G$3578)*H3568</f>
        <v>6.0168976358701478E-4</v>
      </c>
      <c r="J3568" s="1783"/>
    </row>
    <row r="3569" spans="1:10" ht="15.75" customHeight="1">
      <c r="A3569" s="1780"/>
      <c r="B3569" s="1739"/>
      <c r="C3569" s="1878" t="s">
        <v>2105</v>
      </c>
      <c r="D3569" s="1781">
        <v>0.17499999999999999</v>
      </c>
      <c r="E3569" s="413" t="s">
        <v>2069</v>
      </c>
      <c r="F3569" s="1748">
        <f>'Bahan &amp; Upah'!C$338</f>
        <v>125485.75</v>
      </c>
      <c r="G3569" s="361">
        <f>F3569*D3569</f>
        <v>21960.006249999999</v>
      </c>
      <c r="H3569" s="2015">
        <v>1</v>
      </c>
      <c r="I3569" s="2015">
        <f>(G3569/G$3578)*H3569</f>
        <v>6.6153634274093142E-5</v>
      </c>
      <c r="J3569" s="1783"/>
    </row>
    <row r="3570" spans="1:10" ht="15.75" customHeight="1">
      <c r="A3570" s="1780"/>
      <c r="B3570" s="1739"/>
      <c r="C3570" s="1878" t="s">
        <v>2107</v>
      </c>
      <c r="D3570" s="1841">
        <v>5.8000000000000003E-2</v>
      </c>
      <c r="E3570" s="413" t="s">
        <v>2069</v>
      </c>
      <c r="F3570" s="1883">
        <f>'Bahan &amp; Upah'!C$339</f>
        <v>102689.88</v>
      </c>
      <c r="G3570" s="1785">
        <f>F3570*D3570</f>
        <v>5956.0130400000007</v>
      </c>
      <c r="H3570" s="2015">
        <v>1</v>
      </c>
      <c r="I3570" s="2016">
        <f>(G3570/G$3578)*H3570</f>
        <v>1.7942249373444043E-5</v>
      </c>
      <c r="J3570" s="1981"/>
    </row>
    <row r="3571" spans="1:10" ht="15.75" customHeight="1">
      <c r="A3571" s="1780"/>
      <c r="B3571" s="1739"/>
      <c r="C3571" s="1889" t="s">
        <v>2108</v>
      </c>
      <c r="D3571" s="1841"/>
      <c r="E3571" s="413"/>
      <c r="F3571" s="320"/>
      <c r="G3571" s="361">
        <f>SUM(G3567:G3570)</f>
        <v>733396.14428999997</v>
      </c>
      <c r="H3571" s="2015"/>
      <c r="I3571" s="2017">
        <f>SUM(I3567:I3570)</f>
        <v>2.2093263433106132E-3</v>
      </c>
      <c r="J3571" s="1981"/>
    </row>
    <row r="3572" spans="1:10" ht="15.75" customHeight="1">
      <c r="A3572" s="1780"/>
      <c r="B3572" s="1739" t="s">
        <v>1015</v>
      </c>
      <c r="C3572" s="1877" t="s">
        <v>2075</v>
      </c>
      <c r="D3572" s="1841"/>
      <c r="E3572" s="413"/>
      <c r="F3572" s="317"/>
      <c r="G3572" s="320"/>
      <c r="H3572" s="2015"/>
      <c r="I3572" s="2015"/>
      <c r="J3572" s="1981"/>
    </row>
    <row r="3573" spans="1:10" ht="63" customHeight="1">
      <c r="A3573" s="1780"/>
      <c r="B3573" s="1739"/>
      <c r="C3573" s="2045" t="s">
        <v>2994</v>
      </c>
      <c r="D3573" s="1841">
        <v>1</v>
      </c>
      <c r="E3573" s="413" t="s">
        <v>360</v>
      </c>
      <c r="F3573" s="1747">
        <f>'Bahan &amp; Upah'!C317</f>
        <v>300352604.07999998</v>
      </c>
      <c r="G3573" s="1794">
        <f>F3573*D3573</f>
        <v>300352604.07999998</v>
      </c>
      <c r="H3573" s="2015">
        <v>0.46560000000000001</v>
      </c>
      <c r="I3573" s="2016">
        <f>(G3573/G$3578)*H3573</f>
        <v>0.42127493657970899</v>
      </c>
      <c r="J3573" s="1981"/>
    </row>
    <row r="3574" spans="1:10" ht="27.75" customHeight="1">
      <c r="A3574" s="1780"/>
      <c r="B3574" s="1739"/>
      <c r="C3574" s="2045" t="s">
        <v>2995</v>
      </c>
      <c r="D3574" s="1841">
        <v>1</v>
      </c>
      <c r="E3574" s="413" t="s">
        <v>2996</v>
      </c>
      <c r="F3574" s="1743">
        <v>30868645.82</v>
      </c>
      <c r="G3574" s="1794">
        <f>F3574*D3574</f>
        <v>30868645.82</v>
      </c>
      <c r="H3574" s="2015"/>
      <c r="I3574" s="2065"/>
      <c r="J3574" s="1981"/>
    </row>
    <row r="3575" spans="1:10" ht="15.75" customHeight="1">
      <c r="A3575" s="1780"/>
      <c r="B3575" s="1784"/>
      <c r="C3575" s="1889" t="s">
        <v>2091</v>
      </c>
      <c r="D3575" s="1841"/>
      <c r="E3575" s="413"/>
      <c r="F3575" s="320"/>
      <c r="G3575" s="361">
        <f>SUM(G3573:G3574)</f>
        <v>331221249.89999998</v>
      </c>
      <c r="H3575" s="2015"/>
      <c r="I3575" s="2017">
        <f>SUM(I3573:I3573)</f>
        <v>0.42127493657970899</v>
      </c>
      <c r="J3575" s="1981"/>
    </row>
    <row r="3576" spans="1:10" ht="15.75" customHeight="1">
      <c r="A3576" s="1780"/>
      <c r="B3576" s="1739" t="s">
        <v>1048</v>
      </c>
      <c r="C3576" s="1877" t="s">
        <v>2246</v>
      </c>
      <c r="D3576" s="1841"/>
      <c r="E3576" s="413"/>
      <c r="F3576" s="317"/>
      <c r="G3576" s="320"/>
      <c r="H3576" s="2015"/>
      <c r="I3576" s="2015"/>
      <c r="J3576" s="1981"/>
    </row>
    <row r="3577" spans="1:10" ht="15.75" customHeight="1">
      <c r="A3577" s="1780"/>
      <c r="B3577" s="1784"/>
      <c r="C3577" s="1878"/>
      <c r="D3577" s="1841"/>
      <c r="E3577" s="413"/>
      <c r="F3577" s="320"/>
      <c r="G3577" s="361"/>
      <c r="H3577" s="2015"/>
      <c r="I3577" s="2017">
        <v>0</v>
      </c>
      <c r="J3577" s="1981"/>
    </row>
    <row r="3578" spans="1:10" ht="15.75" customHeight="1">
      <c r="A3578" s="1780"/>
      <c r="B3578" s="1784"/>
      <c r="C3578" s="1804" t="s">
        <v>2298</v>
      </c>
      <c r="D3578" s="1763"/>
      <c r="E3578" s="1764"/>
      <c r="F3578" s="1765"/>
      <c r="G3578" s="1765">
        <f>G3571+G3575+G3577</f>
        <v>331954646.04428995</v>
      </c>
      <c r="H3578" s="2015"/>
      <c r="I3578" s="2018">
        <f>I3571+I3575+I3577</f>
        <v>0.42348426292301961</v>
      </c>
      <c r="J3578" s="1981"/>
    </row>
    <row r="3579" spans="1:10" ht="15.75" customHeight="1">
      <c r="A3579" s="1780"/>
      <c r="B3579" s="1784"/>
      <c r="C3579" s="1762" t="s">
        <v>2094</v>
      </c>
      <c r="D3579" s="1767">
        <f>M$4</f>
        <v>0.15</v>
      </c>
      <c r="E3579" s="1768"/>
      <c r="F3579" s="1765"/>
      <c r="G3579" s="1765">
        <f>G3578*D3579</f>
        <v>49793196.906643488</v>
      </c>
      <c r="H3579" s="2015"/>
      <c r="I3579" s="2018"/>
      <c r="J3579" s="1981"/>
    </row>
    <row r="3580" spans="1:10" ht="15.75" customHeight="1">
      <c r="A3580" s="1786"/>
      <c r="B3580" s="1890"/>
      <c r="C3580" s="1788" t="s">
        <v>2111</v>
      </c>
      <c r="D3580" s="1772"/>
      <c r="E3580" s="1773"/>
      <c r="F3580" s="1774"/>
      <c r="G3580" s="1998">
        <f>ROUNDUP((G3578+G3579),2)</f>
        <v>381747842.95999998</v>
      </c>
      <c r="H3580" s="2068"/>
      <c r="I3580" s="2092"/>
      <c r="J3580" s="2008"/>
    </row>
    <row r="3581" spans="1:10" ht="15.75" customHeight="1">
      <c r="A3581" s="1733"/>
      <c r="B3581" s="1733"/>
      <c r="C3581" s="1733"/>
      <c r="D3581" s="1733"/>
      <c r="E3581" s="1733"/>
      <c r="F3581" s="1733"/>
      <c r="G3581" s="1733"/>
      <c r="H3581" s="1733"/>
      <c r="I3581" s="1733"/>
      <c r="J3581" s="1733"/>
    </row>
    <row r="3582" spans="1:10" ht="30" customHeight="1">
      <c r="A3582" s="1778">
        <f>A3565+1</f>
        <v>199</v>
      </c>
      <c r="B3582" s="1871" t="s">
        <v>2147</v>
      </c>
      <c r="C3582" s="1872" t="s">
        <v>2997</v>
      </c>
      <c r="D3582" s="1873"/>
      <c r="E3582" s="1874"/>
      <c r="F3582" s="1875"/>
      <c r="G3582" s="1875"/>
      <c r="H3582" s="1895"/>
      <c r="I3582" s="1895"/>
      <c r="J3582" s="1828"/>
    </row>
    <row r="3583" spans="1:10" ht="15.75" customHeight="1">
      <c r="A3583" s="1780"/>
      <c r="B3583" s="1739" t="s">
        <v>1004</v>
      </c>
      <c r="C3583" s="1877" t="s">
        <v>2067</v>
      </c>
      <c r="D3583" s="390"/>
      <c r="E3583" s="413"/>
      <c r="F3583" s="320"/>
      <c r="G3583" s="320"/>
      <c r="H3583" s="2100"/>
      <c r="I3583" s="2100"/>
      <c r="J3583" s="2101"/>
    </row>
    <row r="3584" spans="1:10" ht="15.75" customHeight="1">
      <c r="A3584" s="1780"/>
      <c r="B3584" s="1739"/>
      <c r="C3584" s="1878" t="s">
        <v>2998</v>
      </c>
      <c r="D3584" s="1841">
        <v>1</v>
      </c>
      <c r="E3584" s="413" t="s">
        <v>124</v>
      </c>
      <c r="F3584" s="1747">
        <v>7266825.8300000001</v>
      </c>
      <c r="G3584" s="1785">
        <f>F3584*D3584</f>
        <v>7266825.8300000001</v>
      </c>
      <c r="H3584" s="2015">
        <v>1</v>
      </c>
      <c r="I3584" s="2016">
        <f>(G3584/G$3591)*H3584</f>
        <v>0.21871706437701835</v>
      </c>
      <c r="J3584" s="1783"/>
    </row>
    <row r="3585" spans="1:10" ht="15.75" customHeight="1">
      <c r="A3585" s="1780"/>
      <c r="B3585" s="1739"/>
      <c r="C3585" s="1889" t="s">
        <v>2108</v>
      </c>
      <c r="D3585" s="1841"/>
      <c r="E3585" s="413"/>
      <c r="F3585" s="320"/>
      <c r="G3585" s="361">
        <f>SUM(G3584:G3584)</f>
        <v>7266825.8300000001</v>
      </c>
      <c r="H3585" s="2015"/>
      <c r="I3585" s="2017">
        <f>SUM(I3564:I3584)</f>
        <v>1.4891698531460773</v>
      </c>
      <c r="J3585" s="1783"/>
    </row>
    <row r="3586" spans="1:10" ht="15.75" customHeight="1">
      <c r="A3586" s="1780"/>
      <c r="B3586" s="1739" t="s">
        <v>1015</v>
      </c>
      <c r="C3586" s="1877" t="s">
        <v>2075</v>
      </c>
      <c r="D3586" s="1841"/>
      <c r="E3586" s="413"/>
      <c r="F3586" s="317"/>
      <c r="G3586" s="320"/>
      <c r="H3586" s="1782"/>
      <c r="I3586" s="1782"/>
      <c r="J3586" s="1783"/>
    </row>
    <row r="3587" spans="1:10" ht="15.75" customHeight="1">
      <c r="A3587" s="1780"/>
      <c r="B3587" s="1739"/>
      <c r="C3587" s="1878" t="s">
        <v>2999</v>
      </c>
      <c r="D3587" s="1841">
        <v>1</v>
      </c>
      <c r="E3587" s="413" t="s">
        <v>124</v>
      </c>
      <c r="F3587" s="1747">
        <f>'Bahan &amp; Upah'!C318</f>
        <v>25957951.809999999</v>
      </c>
      <c r="G3587" s="1785">
        <f>F3587*D3587</f>
        <v>25957951.809999999</v>
      </c>
      <c r="H3587" s="2015">
        <v>0.4032</v>
      </c>
      <c r="I3587" s="2016">
        <f>(G3587/G$3591)*H3587</f>
        <v>0.31501327964318615</v>
      </c>
      <c r="J3587" s="1783"/>
    </row>
    <row r="3588" spans="1:10" ht="15.75" customHeight="1">
      <c r="A3588" s="1780"/>
      <c r="B3588" s="1784"/>
      <c r="C3588" s="1889" t="s">
        <v>2091</v>
      </c>
      <c r="D3588" s="1841"/>
      <c r="E3588" s="413"/>
      <c r="F3588" s="320"/>
      <c r="G3588" s="361">
        <f>SUM(G3587:G3587)</f>
        <v>25957951.809999999</v>
      </c>
      <c r="H3588" s="1782"/>
      <c r="I3588" s="2017">
        <f>SUM(I3587)</f>
        <v>0.31501327964318615</v>
      </c>
      <c r="J3588" s="1783"/>
    </row>
    <row r="3589" spans="1:10" ht="15.75" customHeight="1">
      <c r="A3589" s="1780"/>
      <c r="B3589" s="1739" t="s">
        <v>1048</v>
      </c>
      <c r="C3589" s="1877" t="s">
        <v>2246</v>
      </c>
      <c r="D3589" s="1841"/>
      <c r="E3589" s="413"/>
      <c r="F3589" s="317"/>
      <c r="G3589" s="320"/>
      <c r="H3589" s="1782"/>
      <c r="I3589" s="1782"/>
      <c r="J3589" s="1783"/>
    </row>
    <row r="3590" spans="1:10" ht="15.75" customHeight="1">
      <c r="A3590" s="1780"/>
      <c r="B3590" s="1784"/>
      <c r="C3590" s="1878"/>
      <c r="D3590" s="1841"/>
      <c r="E3590" s="413"/>
      <c r="F3590" s="320"/>
      <c r="G3590" s="361">
        <v>0</v>
      </c>
      <c r="H3590" s="1782"/>
      <c r="I3590" s="1782"/>
      <c r="J3590" s="1783"/>
    </row>
    <row r="3591" spans="1:10" ht="15.75" customHeight="1">
      <c r="A3591" s="1780"/>
      <c r="B3591" s="1784"/>
      <c r="C3591" s="1804" t="s">
        <v>2298</v>
      </c>
      <c r="D3591" s="1763"/>
      <c r="E3591" s="1764"/>
      <c r="F3591" s="1765"/>
      <c r="G3591" s="1765">
        <f>G3585+G3588+G3590</f>
        <v>33224777.640000001</v>
      </c>
      <c r="H3591" s="1782"/>
      <c r="I3591" s="1862">
        <f>I3585+I3588</f>
        <v>1.8041831327892635</v>
      </c>
      <c r="J3591" s="1783"/>
    </row>
    <row r="3592" spans="1:10" ht="15.75" customHeight="1">
      <c r="A3592" s="1780"/>
      <c r="B3592" s="1784"/>
      <c r="C3592" s="1762" t="s">
        <v>2094</v>
      </c>
      <c r="D3592" s="1767">
        <f>M$4</f>
        <v>0.15</v>
      </c>
      <c r="E3592" s="1768"/>
      <c r="F3592" s="1765"/>
      <c r="G3592" s="1765">
        <f>G3591*D3592</f>
        <v>4983716.6459999997</v>
      </c>
      <c r="H3592" s="1782"/>
      <c r="I3592" s="1782"/>
      <c r="J3592" s="1783"/>
    </row>
    <row r="3593" spans="1:10" ht="15.75" customHeight="1">
      <c r="A3593" s="1786"/>
      <c r="B3593" s="1890"/>
      <c r="C3593" s="1788" t="s">
        <v>2111</v>
      </c>
      <c r="D3593" s="1772"/>
      <c r="E3593" s="1773"/>
      <c r="F3593" s="1774"/>
      <c r="G3593" s="1998">
        <f>ROUNDUP((G3591+G3592),2)</f>
        <v>38208494.289999999</v>
      </c>
      <c r="H3593" s="2010"/>
      <c r="I3593" s="2010"/>
      <c r="J3593" s="1893"/>
    </row>
    <row r="3594" spans="1:10" ht="15.75" customHeight="1">
      <c r="A3594" s="1733"/>
      <c r="B3594" s="1733"/>
      <c r="C3594" s="1733"/>
      <c r="D3594" s="1733"/>
      <c r="E3594" s="1733"/>
      <c r="F3594" s="1733"/>
      <c r="G3594" s="1733"/>
      <c r="H3594" s="1733"/>
      <c r="I3594" s="1733"/>
      <c r="J3594" s="1733"/>
    </row>
    <row r="3595" spans="1:10" ht="30" customHeight="1">
      <c r="A3595" s="1778">
        <f>A3582+1</f>
        <v>200</v>
      </c>
      <c r="B3595" s="1871" t="s">
        <v>2147</v>
      </c>
      <c r="C3595" s="1872" t="s">
        <v>3000</v>
      </c>
      <c r="D3595" s="1873"/>
      <c r="E3595" s="1874"/>
      <c r="F3595" s="1875"/>
      <c r="G3595" s="1875"/>
      <c r="H3595" s="1895"/>
      <c r="I3595" s="1895"/>
      <c r="J3595" s="1828"/>
    </row>
    <row r="3596" spans="1:10" ht="15.75" customHeight="1">
      <c r="A3596" s="1780"/>
      <c r="B3596" s="1739" t="s">
        <v>1004</v>
      </c>
      <c r="C3596" s="1877" t="s">
        <v>2067</v>
      </c>
      <c r="D3596" s="390"/>
      <c r="E3596" s="413"/>
      <c r="F3596" s="320"/>
      <c r="G3596" s="320"/>
      <c r="H3596" s="2100"/>
      <c r="I3596" s="2100"/>
      <c r="J3596" s="2101"/>
    </row>
    <row r="3597" spans="1:10" ht="15.75" customHeight="1">
      <c r="A3597" s="1780"/>
      <c r="B3597" s="1739"/>
      <c r="C3597" s="1878" t="s">
        <v>2998</v>
      </c>
      <c r="D3597" s="1841">
        <v>1</v>
      </c>
      <c r="E3597" s="413" t="s">
        <v>124</v>
      </c>
      <c r="F3597" s="1747">
        <v>7512863.7199999997</v>
      </c>
      <c r="G3597" s="1785">
        <f>F3597*D3597</f>
        <v>7512863.7199999997</v>
      </c>
      <c r="H3597" s="2015">
        <v>1</v>
      </c>
      <c r="I3597" s="2016">
        <f>(G3597/G$3604)*H3597</f>
        <v>0.3951129220713499</v>
      </c>
      <c r="J3597" s="1783"/>
    </row>
    <row r="3598" spans="1:10" ht="15.75" customHeight="1">
      <c r="A3598" s="1780"/>
      <c r="B3598" s="1739"/>
      <c r="C3598" s="1889" t="s">
        <v>2108</v>
      </c>
      <c r="D3598" s="1841"/>
      <c r="E3598" s="413"/>
      <c r="F3598" s="320"/>
      <c r="G3598" s="361">
        <f>SUM(G3597:G3597)</f>
        <v>7512863.7199999997</v>
      </c>
      <c r="H3598" s="2015"/>
      <c r="I3598" s="2017">
        <f>SUM(I3594:I3597)</f>
        <v>0.3951129220713499</v>
      </c>
      <c r="J3598" s="1783"/>
    </row>
    <row r="3599" spans="1:10" ht="15.75" customHeight="1">
      <c r="A3599" s="1780"/>
      <c r="B3599" s="1739" t="s">
        <v>1015</v>
      </c>
      <c r="C3599" s="1877" t="s">
        <v>2075</v>
      </c>
      <c r="D3599" s="1841"/>
      <c r="E3599" s="413"/>
      <c r="F3599" s="317"/>
      <c r="G3599" s="320"/>
      <c r="H3599" s="1782"/>
      <c r="I3599" s="1782"/>
      <c r="J3599" s="1783"/>
    </row>
    <row r="3600" spans="1:10" ht="15.75" customHeight="1">
      <c r="A3600" s="1780"/>
      <c r="B3600" s="1739"/>
      <c r="C3600" s="1878" t="s">
        <v>3001</v>
      </c>
      <c r="D3600" s="1841">
        <v>1</v>
      </c>
      <c r="E3600" s="413" t="s">
        <v>124</v>
      </c>
      <c r="F3600" s="1747">
        <f>'Bahan &amp; Upah'!C319</f>
        <v>11501608.6</v>
      </c>
      <c r="G3600" s="1785">
        <f>F3600*D3600</f>
        <v>11501608.6</v>
      </c>
      <c r="H3600" s="2015">
        <v>0.4032</v>
      </c>
      <c r="I3600" s="2016">
        <f>(G3600/G$3604)*H3600</f>
        <v>0.24389046982083171</v>
      </c>
      <c r="J3600" s="1783"/>
    </row>
    <row r="3601" spans="1:10" ht="15.75" customHeight="1">
      <c r="A3601" s="1780"/>
      <c r="B3601" s="1784"/>
      <c r="C3601" s="1889" t="s">
        <v>2091</v>
      </c>
      <c r="D3601" s="1841"/>
      <c r="E3601" s="413"/>
      <c r="F3601" s="320"/>
      <c r="G3601" s="361">
        <f>SUM(G3600:G3600)</f>
        <v>11501608.6</v>
      </c>
      <c r="H3601" s="1782"/>
      <c r="I3601" s="2017">
        <f>SUM(I3600)</f>
        <v>0.24389046982083171</v>
      </c>
      <c r="J3601" s="1783"/>
    </row>
    <row r="3602" spans="1:10" ht="15.75" customHeight="1">
      <c r="A3602" s="1780"/>
      <c r="B3602" s="1739" t="s">
        <v>1048</v>
      </c>
      <c r="C3602" s="1877" t="s">
        <v>2246</v>
      </c>
      <c r="D3602" s="1841"/>
      <c r="E3602" s="413"/>
      <c r="F3602" s="317"/>
      <c r="G3602" s="320"/>
      <c r="H3602" s="1782"/>
      <c r="I3602" s="1782"/>
      <c r="J3602" s="1783"/>
    </row>
    <row r="3603" spans="1:10" ht="15.75" customHeight="1">
      <c r="A3603" s="1780"/>
      <c r="B3603" s="1784"/>
      <c r="C3603" s="1878"/>
      <c r="D3603" s="1841"/>
      <c r="E3603" s="413"/>
      <c r="F3603" s="320"/>
      <c r="G3603" s="361">
        <v>0</v>
      </c>
      <c r="H3603" s="1782"/>
      <c r="I3603" s="1782"/>
      <c r="J3603" s="1783"/>
    </row>
    <row r="3604" spans="1:10" ht="15.75" customHeight="1">
      <c r="A3604" s="1780"/>
      <c r="B3604" s="1784"/>
      <c r="C3604" s="1804" t="s">
        <v>2298</v>
      </c>
      <c r="D3604" s="1763"/>
      <c r="E3604" s="1764"/>
      <c r="F3604" s="1765"/>
      <c r="G3604" s="1765">
        <f>G3598+G3601+G3603</f>
        <v>19014472.32</v>
      </c>
      <c r="H3604" s="1782"/>
      <c r="I3604" s="1862">
        <f>I3598+I3601</f>
        <v>0.63900339189218158</v>
      </c>
      <c r="J3604" s="1783"/>
    </row>
    <row r="3605" spans="1:10" ht="15.75" customHeight="1">
      <c r="A3605" s="1780"/>
      <c r="B3605" s="1784"/>
      <c r="C3605" s="1762" t="s">
        <v>2094</v>
      </c>
      <c r="D3605" s="1767">
        <f>M$4</f>
        <v>0.15</v>
      </c>
      <c r="E3605" s="1768"/>
      <c r="F3605" s="1765"/>
      <c r="G3605" s="1765">
        <f>G3604*D3605</f>
        <v>2852170.8479999998</v>
      </c>
      <c r="H3605" s="1782"/>
      <c r="I3605" s="1782"/>
      <c r="J3605" s="1783"/>
    </row>
    <row r="3606" spans="1:10" ht="15.75" customHeight="1">
      <c r="A3606" s="1786"/>
      <c r="B3606" s="1890"/>
      <c r="C3606" s="1788" t="s">
        <v>2111</v>
      </c>
      <c r="D3606" s="1772"/>
      <c r="E3606" s="1773"/>
      <c r="F3606" s="1774"/>
      <c r="G3606" s="1998">
        <f>ROUNDUP((G3604+G3605),2)</f>
        <v>21866643.170000002</v>
      </c>
      <c r="H3606" s="2010"/>
      <c r="I3606" s="2010"/>
      <c r="J3606" s="1893"/>
    </row>
    <row r="3607" spans="1:10" ht="15.75" customHeight="1">
      <c r="A3607" s="1733"/>
      <c r="B3607" s="1733"/>
      <c r="C3607" s="1733"/>
      <c r="D3607" s="1733"/>
      <c r="E3607" s="1733"/>
      <c r="F3607" s="1733"/>
      <c r="G3607" s="1733"/>
      <c r="H3607" s="1733"/>
      <c r="I3607" s="1733"/>
      <c r="J3607" s="1733"/>
    </row>
    <row r="3608" spans="1:10" ht="30" customHeight="1">
      <c r="A3608" s="1778">
        <f>A3595+1</f>
        <v>201</v>
      </c>
      <c r="B3608" s="1871" t="s">
        <v>2147</v>
      </c>
      <c r="C3608" s="1939" t="s">
        <v>3002</v>
      </c>
      <c r="D3608" s="2074"/>
      <c r="E3608" s="1874"/>
      <c r="F3608" s="1875"/>
      <c r="G3608" s="1876"/>
      <c r="H3608" s="1895"/>
      <c r="I3608" s="1895"/>
      <c r="J3608" s="1828"/>
    </row>
    <row r="3609" spans="1:10" ht="15.75" customHeight="1">
      <c r="A3609" s="2042"/>
      <c r="B3609" s="1739" t="s">
        <v>1004</v>
      </c>
      <c r="C3609" s="1755" t="s">
        <v>2075</v>
      </c>
      <c r="D3609" s="2078"/>
      <c r="E3609" s="413"/>
      <c r="F3609" s="320"/>
      <c r="G3609" s="1999"/>
      <c r="H3609" s="2100"/>
      <c r="I3609" s="2100"/>
      <c r="J3609" s="2101"/>
    </row>
    <row r="3610" spans="1:10" ht="15.75" customHeight="1">
      <c r="A3610" s="2042"/>
      <c r="B3610" s="1784"/>
      <c r="C3610" s="328" t="s">
        <v>3003</v>
      </c>
      <c r="D3610" s="2078">
        <v>1.05</v>
      </c>
      <c r="E3610" s="413" t="s">
        <v>117</v>
      </c>
      <c r="F3610" s="1748">
        <f>'Bahan &amp; Upah'!C322</f>
        <v>143564.48000000001</v>
      </c>
      <c r="G3610" s="2001">
        <f>F3610*D3610</f>
        <v>150742.70400000003</v>
      </c>
      <c r="H3610" s="2015">
        <v>1</v>
      </c>
      <c r="I3610" s="2016">
        <f>(G3610/G$3618)*H3610</f>
        <v>0.96885278370565131</v>
      </c>
      <c r="J3610" s="1783"/>
    </row>
    <row r="3611" spans="1:10" ht="15.75" customHeight="1">
      <c r="A3611" s="2042"/>
      <c r="B3611" s="1784"/>
      <c r="C3611" s="1753" t="s">
        <v>2074</v>
      </c>
      <c r="D3611" s="2078"/>
      <c r="E3611" s="413"/>
      <c r="F3611" s="320"/>
      <c r="G3611" s="2000">
        <f>SUM(G3610:G3610)</f>
        <v>150742.70400000003</v>
      </c>
      <c r="H3611" s="2015"/>
      <c r="I3611" s="2017">
        <f>SUM(I3607:I3610)</f>
        <v>0.96885278370565131</v>
      </c>
      <c r="J3611" s="1783"/>
    </row>
    <row r="3612" spans="1:10" ht="15.75" customHeight="1">
      <c r="A3612" s="2042"/>
      <c r="B3612" s="1739" t="s">
        <v>1015</v>
      </c>
      <c r="C3612" s="1755" t="s">
        <v>2067</v>
      </c>
      <c r="D3612" s="2078"/>
      <c r="E3612" s="413"/>
      <c r="F3612" s="320"/>
      <c r="G3612" s="1999"/>
      <c r="H3612" s="1782"/>
      <c r="I3612" s="1782"/>
      <c r="J3612" s="1783"/>
    </row>
    <row r="3613" spans="1:10" ht="15.75" customHeight="1">
      <c r="A3613" s="2042"/>
      <c r="B3613" s="1739"/>
      <c r="C3613" s="317" t="s">
        <v>2492</v>
      </c>
      <c r="D3613" s="2078">
        <v>1</v>
      </c>
      <c r="E3613" s="413" t="s">
        <v>117</v>
      </c>
      <c r="F3613" s="1747">
        <v>4846.16</v>
      </c>
      <c r="G3613" s="2001">
        <f>F3613*D3613</f>
        <v>4846.16</v>
      </c>
      <c r="H3613" s="2015">
        <v>0.4032</v>
      </c>
      <c r="I3613" s="2016">
        <f>(G3613/G$3618)*H3613</f>
        <v>1.2558557609881383E-2</v>
      </c>
      <c r="J3613" s="1783"/>
    </row>
    <row r="3614" spans="1:10" ht="15.75" customHeight="1">
      <c r="A3614" s="2042"/>
      <c r="B3614" s="1784"/>
      <c r="C3614" s="1753" t="s">
        <v>2108</v>
      </c>
      <c r="D3614" s="2078"/>
      <c r="E3614" s="413"/>
      <c r="F3614" s="320"/>
      <c r="G3614" s="2000">
        <f>SUM(G3613:G3613)</f>
        <v>4846.16</v>
      </c>
      <c r="H3614" s="1782"/>
      <c r="I3614" s="2017">
        <f>SUM(I3613)</f>
        <v>1.2558557609881383E-2</v>
      </c>
      <c r="J3614" s="1783"/>
    </row>
    <row r="3615" spans="1:10" ht="15.75" customHeight="1">
      <c r="A3615" s="2042"/>
      <c r="B3615" s="1739" t="s">
        <v>1048</v>
      </c>
      <c r="C3615" s="1755" t="s">
        <v>2109</v>
      </c>
      <c r="D3615" s="2078"/>
      <c r="E3615" s="413"/>
      <c r="F3615" s="320"/>
      <c r="G3615" s="1999"/>
      <c r="H3615" s="1782"/>
      <c r="I3615" s="1782"/>
      <c r="J3615" s="1783"/>
    </row>
    <row r="3616" spans="1:10" ht="15.75" customHeight="1">
      <c r="A3616" s="2042"/>
      <c r="B3616" s="1739"/>
      <c r="C3616" s="317"/>
      <c r="D3616" s="2078"/>
      <c r="E3616" s="413"/>
      <c r="F3616" s="361"/>
      <c r="G3616" s="2001">
        <f>F3616*10%</f>
        <v>0</v>
      </c>
      <c r="H3616" s="1782"/>
      <c r="I3616" s="1782"/>
      <c r="J3616" s="1783"/>
    </row>
    <row r="3617" spans="1:10" ht="15.75" customHeight="1">
      <c r="A3617" s="2042"/>
      <c r="B3617" s="1784"/>
      <c r="C3617" s="1753" t="s">
        <v>2110</v>
      </c>
      <c r="D3617" s="2078"/>
      <c r="E3617" s="413"/>
      <c r="F3617" s="320"/>
      <c r="G3617" s="2000">
        <f>SUM(G3616)</f>
        <v>0</v>
      </c>
      <c r="H3617" s="1782"/>
      <c r="I3617" s="1862">
        <f>I3611+I3614</f>
        <v>0.98141134131553265</v>
      </c>
      <c r="J3617" s="1783"/>
    </row>
    <row r="3618" spans="1:10" ht="15.75" customHeight="1">
      <c r="A3618" s="2042"/>
      <c r="B3618" s="1739" t="s">
        <v>979</v>
      </c>
      <c r="C3618" s="1804" t="s">
        <v>2129</v>
      </c>
      <c r="D3618" s="1763"/>
      <c r="E3618" s="1764"/>
      <c r="F3618" s="1765"/>
      <c r="G3618" s="2002">
        <f>G3611+G3614+G3617</f>
        <v>155588.86400000003</v>
      </c>
      <c r="H3618" s="1782"/>
      <c r="I3618" s="1782"/>
      <c r="J3618" s="1783"/>
    </row>
    <row r="3619" spans="1:10" ht="15.75" customHeight="1">
      <c r="A3619" s="2042"/>
      <c r="B3619" s="1739" t="s">
        <v>2093</v>
      </c>
      <c r="C3619" s="1762" t="s">
        <v>2094</v>
      </c>
      <c r="D3619" s="1767">
        <f>M$4</f>
        <v>0.15</v>
      </c>
      <c r="E3619" s="1768"/>
      <c r="F3619" s="1765"/>
      <c r="G3619" s="1765">
        <f>G3618*D3619</f>
        <v>23338.329600000005</v>
      </c>
      <c r="H3619" s="2010"/>
      <c r="I3619" s="2010"/>
      <c r="J3619" s="1893"/>
    </row>
    <row r="3620" spans="1:10" ht="15.75" customHeight="1">
      <c r="A3620" s="1949"/>
      <c r="B3620" s="1787" t="s">
        <v>2095</v>
      </c>
      <c r="C3620" s="1788" t="s">
        <v>2111</v>
      </c>
      <c r="D3620" s="1772"/>
      <c r="E3620" s="1773"/>
      <c r="F3620" s="1774"/>
      <c r="G3620" s="2102">
        <f>ROUNDUP((G3618+G3619),2)</f>
        <v>178927.2</v>
      </c>
      <c r="H3620" s="1733"/>
      <c r="I3620" s="1733"/>
      <c r="J3620" s="1733"/>
    </row>
    <row r="3621" spans="1:10" ht="15.75" customHeight="1">
      <c r="A3621" s="1733"/>
      <c r="B3621" s="1733"/>
      <c r="C3621" s="1733"/>
      <c r="D3621" s="1733"/>
      <c r="E3621" s="1733"/>
      <c r="F3621" s="1733"/>
      <c r="G3621" s="1733"/>
      <c r="H3621" s="1733"/>
      <c r="I3621" s="1733"/>
      <c r="J3621" s="1733"/>
    </row>
    <row r="3622" spans="1:10" ht="15.75" customHeight="1">
      <c r="A3622" s="1778">
        <f>A3608+1</f>
        <v>202</v>
      </c>
      <c r="B3622" s="1805" t="s">
        <v>3004</v>
      </c>
      <c r="C3622" s="1872" t="s">
        <v>3005</v>
      </c>
      <c r="D3622" s="2074"/>
      <c r="E3622" s="1874"/>
      <c r="F3622" s="1875"/>
      <c r="G3622" s="1875"/>
      <c r="H3622" s="1875"/>
      <c r="I3622" s="1875"/>
      <c r="J3622" s="1876"/>
    </row>
    <row r="3623" spans="1:10" ht="15.75" customHeight="1">
      <c r="A3623" s="1780"/>
      <c r="B3623" s="1739" t="s">
        <v>1004</v>
      </c>
      <c r="C3623" s="1877" t="s">
        <v>2067</v>
      </c>
      <c r="D3623" s="390"/>
      <c r="E3623" s="413"/>
      <c r="F3623" s="320"/>
      <c r="G3623" s="320"/>
      <c r="H3623" s="2075"/>
      <c r="I3623" s="1782"/>
      <c r="J3623" s="2076"/>
    </row>
    <row r="3624" spans="1:10" ht="15.75" customHeight="1">
      <c r="A3624" s="1780"/>
      <c r="B3624" s="1739"/>
      <c r="C3624" s="1878" t="s">
        <v>2103</v>
      </c>
      <c r="D3624" s="2078">
        <v>0.06</v>
      </c>
      <c r="E3624" s="413" t="s">
        <v>2069</v>
      </c>
      <c r="F3624" s="1747">
        <f>'Bahan &amp; Upah'!C$336</f>
        <v>96332.65</v>
      </c>
      <c r="G3624" s="361">
        <f>F3624*D3624</f>
        <v>5779.9589999999998</v>
      </c>
      <c r="H3624" s="2077">
        <v>1</v>
      </c>
      <c r="I3624" s="2015">
        <f>(G3624/G$3632)*H3624</f>
        <v>0.15705148946564335</v>
      </c>
      <c r="J3624" s="2076"/>
    </row>
    <row r="3625" spans="1:10" ht="15.75" customHeight="1">
      <c r="A3625" s="1780"/>
      <c r="B3625" s="1739"/>
      <c r="C3625" s="1878" t="s">
        <v>2483</v>
      </c>
      <c r="D3625" s="2078">
        <v>0.06</v>
      </c>
      <c r="E3625" s="413" t="s">
        <v>2069</v>
      </c>
      <c r="F3625" s="1883">
        <f>'Bahan &amp; Upah'!C$337</f>
        <v>114133.55</v>
      </c>
      <c r="G3625" s="361">
        <f>F3625*D3625</f>
        <v>6848.0129999999999</v>
      </c>
      <c r="H3625" s="2077">
        <v>1</v>
      </c>
      <c r="I3625" s="2015">
        <f>(G3625/G$3632)*H3625</f>
        <v>0.18607236513789957</v>
      </c>
      <c r="J3625" s="2076"/>
    </row>
    <row r="3626" spans="1:10" ht="15.75" customHeight="1">
      <c r="A3626" s="1780"/>
      <c r="B3626" s="1739"/>
      <c r="C3626" s="1878" t="s">
        <v>2072</v>
      </c>
      <c r="D3626" s="2078">
        <v>6.0000000000000001E-3</v>
      </c>
      <c r="E3626" s="413" t="s">
        <v>2069</v>
      </c>
      <c r="F3626" s="1748">
        <f>'Bahan &amp; Upah'!C$338</f>
        <v>125485.75</v>
      </c>
      <c r="G3626" s="361">
        <f>F3626*D3626</f>
        <v>752.91449999999998</v>
      </c>
      <c r="H3626" s="2077">
        <v>1</v>
      </c>
      <c r="I3626" s="2015">
        <f>(G3626/G$3632)*H3626</f>
        <v>2.0457990042019352E-2</v>
      </c>
      <c r="J3626" s="2076"/>
    </row>
    <row r="3627" spans="1:10" ht="15.75" customHeight="1">
      <c r="A3627" s="1780"/>
      <c r="B3627" s="1739"/>
      <c r="C3627" s="1878" t="s">
        <v>2107</v>
      </c>
      <c r="D3627" s="2078">
        <v>3.0000000000000001E-3</v>
      </c>
      <c r="E3627" s="413" t="s">
        <v>2069</v>
      </c>
      <c r="F3627" s="1883">
        <f>'Bahan &amp; Upah'!C$339</f>
        <v>102689.88</v>
      </c>
      <c r="G3627" s="1785">
        <f>F3627*D3627</f>
        <v>308.06963999999999</v>
      </c>
      <c r="H3627" s="2077">
        <v>1</v>
      </c>
      <c r="I3627" s="2016">
        <f>(G3627/G$3632)*H3627</f>
        <v>8.3707852981560141E-3</v>
      </c>
      <c r="J3627" s="2076"/>
    </row>
    <row r="3628" spans="1:10" ht="15.75" customHeight="1">
      <c r="A3628" s="1780"/>
      <c r="B3628" s="1739"/>
      <c r="C3628" s="1889" t="s">
        <v>2108</v>
      </c>
      <c r="D3628" s="2078"/>
      <c r="E3628" s="413"/>
      <c r="F3628" s="320"/>
      <c r="G3628" s="361">
        <f>SUM(G3624:G3627)</f>
        <v>13688.95614</v>
      </c>
      <c r="H3628" s="2075"/>
      <c r="I3628" s="1910">
        <f>SUM(I3624:I3627)</f>
        <v>0.37195262994371825</v>
      </c>
      <c r="J3628" s="2076"/>
    </row>
    <row r="3629" spans="1:10" ht="15.75" customHeight="1">
      <c r="A3629" s="1780"/>
      <c r="B3629" s="1739" t="s">
        <v>1015</v>
      </c>
      <c r="C3629" s="1877" t="s">
        <v>2075</v>
      </c>
      <c r="D3629" s="2078"/>
      <c r="E3629" s="413"/>
      <c r="F3629" s="320"/>
      <c r="G3629" s="320"/>
      <c r="H3629" s="2075"/>
      <c r="I3629" s="1782"/>
      <c r="J3629" s="2076"/>
    </row>
    <row r="3630" spans="1:10" ht="15.75" customHeight="1">
      <c r="A3630" s="1780"/>
      <c r="B3630" s="1784"/>
      <c r="C3630" s="1878" t="s">
        <v>3006</v>
      </c>
      <c r="D3630" s="2078">
        <v>1.1499999999999999</v>
      </c>
      <c r="E3630" s="413" t="s">
        <v>100</v>
      </c>
      <c r="F3630" s="1883">
        <f>'Bahan &amp; Upah'!C353</f>
        <v>20099.13</v>
      </c>
      <c r="G3630" s="1785">
        <f>F3630*D3630</f>
        <v>23113.999499999998</v>
      </c>
      <c r="H3630" s="2077">
        <v>1</v>
      </c>
      <c r="I3630" s="2016">
        <v>0.41420000000000001</v>
      </c>
      <c r="J3630" s="2076"/>
    </row>
    <row r="3631" spans="1:10" ht="15.75" customHeight="1">
      <c r="A3631" s="1780"/>
      <c r="B3631" s="1784"/>
      <c r="C3631" s="1878"/>
      <c r="D3631" s="2078"/>
      <c r="E3631" s="413"/>
      <c r="F3631" s="320"/>
      <c r="G3631" s="361">
        <f>SUM(G3630:G3630)</f>
        <v>23113.999499999998</v>
      </c>
      <c r="H3631" s="2075"/>
      <c r="I3631" s="1910">
        <f>SUM(I3630)</f>
        <v>0.41420000000000001</v>
      </c>
      <c r="J3631" s="2076"/>
    </row>
    <row r="3632" spans="1:10" ht="15.75" customHeight="1">
      <c r="A3632" s="1780"/>
      <c r="B3632" s="1739" t="s">
        <v>979</v>
      </c>
      <c r="C3632" s="1804" t="s">
        <v>2129</v>
      </c>
      <c r="D3632" s="1763"/>
      <c r="E3632" s="1764"/>
      <c r="F3632" s="1765"/>
      <c r="G3632" s="1765">
        <f>G3628+G3631</f>
        <v>36802.95564</v>
      </c>
      <c r="H3632" s="2075"/>
      <c r="I3632" s="1782"/>
      <c r="J3632" s="2076"/>
    </row>
    <row r="3633" spans="1:12" ht="15.75" customHeight="1">
      <c r="A3633" s="1780"/>
      <c r="B3633" s="1739" t="s">
        <v>2093</v>
      </c>
      <c r="C3633" s="1762" t="s">
        <v>2094</v>
      </c>
      <c r="D3633" s="1767">
        <f>M$4</f>
        <v>0.15</v>
      </c>
      <c r="E3633" s="1768"/>
      <c r="F3633" s="1765"/>
      <c r="G3633" s="1765">
        <f>G3632*D3633</f>
        <v>5520.443346</v>
      </c>
      <c r="H3633" s="2075"/>
      <c r="I3633" s="1862">
        <f>I3628+I3631</f>
        <v>0.78615262994371826</v>
      </c>
      <c r="J3633" s="2076"/>
    </row>
    <row r="3634" spans="1:12" ht="15.75" customHeight="1">
      <c r="A3634" s="1786"/>
      <c r="B3634" s="1787" t="s">
        <v>2095</v>
      </c>
      <c r="C3634" s="1788" t="s">
        <v>2111</v>
      </c>
      <c r="D3634" s="1772"/>
      <c r="E3634" s="1773"/>
      <c r="F3634" s="1774"/>
      <c r="G3634" s="2086">
        <f>ROUNDUP((G3632+G3633),2)</f>
        <v>42323.4</v>
      </c>
      <c r="H3634" s="2087"/>
      <c r="I3634" s="2010"/>
      <c r="J3634" s="2088"/>
    </row>
    <row r="3635" spans="1:12" ht="15.75" customHeight="1">
      <c r="A3635" s="1733"/>
      <c r="B3635" s="1733"/>
      <c r="C3635" s="1733"/>
      <c r="D3635" s="1733"/>
      <c r="E3635" s="1733"/>
      <c r="F3635" s="1733"/>
      <c r="G3635" s="1733"/>
      <c r="H3635" s="1733"/>
      <c r="I3635" s="1733"/>
      <c r="J3635" s="1733"/>
    </row>
    <row r="3636" spans="1:12" ht="15.75" customHeight="1">
      <c r="A3636" s="1778">
        <f>A3622+1</f>
        <v>203</v>
      </c>
      <c r="B3636" s="1805" t="s">
        <v>3007</v>
      </c>
      <c r="C3636" s="1872" t="s">
        <v>3008</v>
      </c>
      <c r="D3636" s="2074"/>
      <c r="E3636" s="1874"/>
      <c r="F3636" s="1875"/>
      <c r="G3636" s="1875"/>
      <c r="H3636" s="1875"/>
      <c r="I3636" s="1875"/>
      <c r="J3636" s="1876"/>
    </row>
    <row r="3637" spans="1:12" ht="15.75" customHeight="1">
      <c r="A3637" s="1780"/>
      <c r="B3637" s="1739" t="s">
        <v>1004</v>
      </c>
      <c r="C3637" s="1877" t="s">
        <v>2067</v>
      </c>
      <c r="D3637" s="390"/>
      <c r="E3637" s="413"/>
      <c r="F3637" s="320"/>
      <c r="G3637" s="320"/>
      <c r="H3637" s="2075"/>
      <c r="I3637" s="1782"/>
      <c r="J3637" s="2076"/>
    </row>
    <row r="3638" spans="1:12" ht="15.75" customHeight="1">
      <c r="A3638" s="1780"/>
      <c r="B3638" s="1739"/>
      <c r="C3638" s="1878" t="s">
        <v>2103</v>
      </c>
      <c r="D3638" s="2078">
        <f>2.0296</f>
        <v>2.0295999999999998</v>
      </c>
      <c r="E3638" s="413" t="s">
        <v>2069</v>
      </c>
      <c r="F3638" s="1747">
        <f>'Bahan &amp; Upah'!C$336/7</f>
        <v>13761.807142857142</v>
      </c>
      <c r="G3638" s="361">
        <f>F3638*D3638</f>
        <v>27930.963777142853</v>
      </c>
      <c r="H3638" s="2077">
        <v>1</v>
      </c>
      <c r="I3638" s="2015">
        <f>(G3638/G$3655)*H3638</f>
        <v>0.14951371781520356</v>
      </c>
      <c r="J3638" s="2076"/>
    </row>
    <row r="3639" spans="1:12" ht="15.75" customHeight="1">
      <c r="A3639" s="1780"/>
      <c r="B3639" s="1739"/>
      <c r="C3639" s="1878" t="s">
        <v>2107</v>
      </c>
      <c r="D3639" s="2078">
        <f>0.1309</f>
        <v>0.13089999999999999</v>
      </c>
      <c r="E3639" s="413" t="s">
        <v>2069</v>
      </c>
      <c r="F3639" s="1883">
        <f>'Bahan &amp; Upah'!C$339/7</f>
        <v>14669.982857142857</v>
      </c>
      <c r="G3639" s="1785">
        <f>F3639*D3639</f>
        <v>1920.3007559999999</v>
      </c>
      <c r="H3639" s="2077">
        <v>1</v>
      </c>
      <c r="I3639" s="2016">
        <f>(G3639/G$3655)*H3639</f>
        <v>1.0279319669873404E-2</v>
      </c>
      <c r="J3639" s="2076"/>
    </row>
    <row r="3640" spans="1:12" ht="15.75" customHeight="1">
      <c r="A3640" s="1780"/>
      <c r="B3640" s="1739"/>
      <c r="C3640" s="1889" t="s">
        <v>2108</v>
      </c>
      <c r="D3640" s="2078"/>
      <c r="E3640" s="413"/>
      <c r="F3640" s="320"/>
      <c r="G3640" s="361">
        <f>SUM(G3638:G3639)</f>
        <v>29851.264533142854</v>
      </c>
      <c r="H3640" s="2075"/>
      <c r="I3640" s="1910">
        <f>SUM(I3638:I3639)</f>
        <v>0.15979303748507698</v>
      </c>
      <c r="J3640" s="2076"/>
    </row>
    <row r="3641" spans="1:12" ht="15.75" customHeight="1">
      <c r="A3641" s="1780"/>
      <c r="B3641" s="1739" t="s">
        <v>1015</v>
      </c>
      <c r="C3641" s="1877" t="s">
        <v>2075</v>
      </c>
      <c r="D3641" s="2078"/>
      <c r="E3641" s="413"/>
      <c r="F3641" s="320"/>
      <c r="G3641" s="320"/>
      <c r="H3641" s="2075"/>
      <c r="I3641" s="1782"/>
      <c r="J3641" s="2076"/>
      <c r="K3641" s="1928"/>
    </row>
    <row r="3642" spans="1:12" ht="15.75" customHeight="1">
      <c r="A3642" s="1780"/>
      <c r="B3642" s="1739"/>
      <c r="C3642" s="1880" t="s">
        <v>3009</v>
      </c>
      <c r="D3642" s="2078">
        <f>1.0594*0.5</f>
        <v>0.52969999999999995</v>
      </c>
      <c r="E3642" s="413" t="s">
        <v>103</v>
      </c>
      <c r="F3642" s="1747">
        <f>'Bahan &amp; Upah'!C15</f>
        <v>362172.63</v>
      </c>
      <c r="G3642" s="325"/>
      <c r="H3642" s="2103">
        <v>1</v>
      </c>
      <c r="I3642" s="2015">
        <f>(G3642/G$3655)*H3642</f>
        <v>0</v>
      </c>
      <c r="J3642" s="2076"/>
      <c r="K3642" s="1928" t="s">
        <v>3010</v>
      </c>
    </row>
    <row r="3643" spans="1:12" ht="15.75" customHeight="1">
      <c r="A3643" s="1780"/>
      <c r="B3643" s="1739"/>
      <c r="C3643" s="1880" t="s">
        <v>3011</v>
      </c>
      <c r="D3643" s="2078">
        <f>0.3311*0.3</f>
        <v>9.9330000000000002E-2</v>
      </c>
      <c r="E3643" s="413" t="s">
        <v>103</v>
      </c>
      <c r="F3643" s="1747">
        <f>'Bahan &amp; Upah'!C18</f>
        <v>354139.2</v>
      </c>
      <c r="G3643" s="345"/>
      <c r="H3643" s="2103">
        <v>1</v>
      </c>
      <c r="I3643" s="2015">
        <f>(G3643/G$3655)*H3643</f>
        <v>0</v>
      </c>
      <c r="J3643" s="2076"/>
      <c r="K3643" s="1928" t="s">
        <v>3010</v>
      </c>
    </row>
    <row r="3644" spans="1:12" ht="15.75" customHeight="1">
      <c r="A3644" s="1780"/>
      <c r="B3644" s="1739"/>
      <c r="C3644" s="1880" t="s">
        <v>2399</v>
      </c>
      <c r="D3644" s="2078">
        <f>0.1854</f>
        <v>0.18540000000000001</v>
      </c>
      <c r="E3644" s="413" t="s">
        <v>103</v>
      </c>
      <c r="F3644" s="1747">
        <f>'Bahan &amp; Upah'!C14</f>
        <v>310682.23</v>
      </c>
      <c r="G3644" s="345"/>
      <c r="H3644" s="2103">
        <v>1</v>
      </c>
      <c r="I3644" s="2015">
        <f>(G3644/G$3655)*H3644</f>
        <v>0</v>
      </c>
      <c r="J3644" s="2076"/>
      <c r="K3644" s="1928" t="s">
        <v>3010</v>
      </c>
    </row>
    <row r="3645" spans="1:12" ht="15.75" customHeight="1">
      <c r="A3645" s="1780"/>
      <c r="B3645" s="2104"/>
      <c r="C3645" s="1880" t="s">
        <v>3012</v>
      </c>
      <c r="D3645" s="2083">
        <f>80*0.07</f>
        <v>5.6000000000000005</v>
      </c>
      <c r="E3645" s="1882" t="s">
        <v>100</v>
      </c>
      <c r="F3645" s="1747">
        <f>'Bahan &amp; Upah'!C31</f>
        <v>14100.54</v>
      </c>
      <c r="G3645" s="1969">
        <f>F3645*D3645</f>
        <v>78963.024000000019</v>
      </c>
      <c r="H3645" s="2103">
        <v>1</v>
      </c>
      <c r="I3645" s="2016">
        <f>(G3645/G$3655)*H3645</f>
        <v>0.42268700007525589</v>
      </c>
      <c r="J3645" s="2105"/>
    </row>
    <row r="3646" spans="1:12" ht="15.75" customHeight="1">
      <c r="A3646" s="1780"/>
      <c r="B3646" s="1909"/>
      <c r="C3646" s="1889" t="s">
        <v>2091</v>
      </c>
      <c r="D3646" s="2080"/>
      <c r="E3646" s="333"/>
      <c r="F3646" s="328"/>
      <c r="G3646" s="361">
        <f>SUM(G3642:G3645)</f>
        <v>78963.024000000019</v>
      </c>
      <c r="H3646" s="2075"/>
      <c r="I3646" s="1910">
        <f>SUM(I3642:I3645)</f>
        <v>0.42268700007525589</v>
      </c>
      <c r="J3646" s="2076"/>
    </row>
    <row r="3647" spans="1:12" ht="15.75" customHeight="1">
      <c r="A3647" s="1780"/>
      <c r="B3647" s="1739" t="s">
        <v>1048</v>
      </c>
      <c r="C3647" s="1877" t="s">
        <v>2246</v>
      </c>
      <c r="D3647" s="2080"/>
      <c r="E3647" s="333"/>
      <c r="F3647" s="328"/>
      <c r="G3647" s="332"/>
      <c r="H3647" s="2075"/>
      <c r="I3647" s="1839"/>
      <c r="J3647" s="2076"/>
    </row>
    <row r="3648" spans="1:12" ht="15.75" customHeight="1">
      <c r="A3648" s="1780"/>
      <c r="B3648" s="1909"/>
      <c r="C3648" s="1878" t="s">
        <v>3013</v>
      </c>
      <c r="D3648" s="2080">
        <v>7.1000000000000004E-3</v>
      </c>
      <c r="E3648" s="333" t="s">
        <v>1340</v>
      </c>
      <c r="F3648" s="1747">
        <f>'Bahan &amp; Upah'!C185</f>
        <v>566526.5</v>
      </c>
      <c r="G3648" s="345"/>
      <c r="H3648" s="2103">
        <v>1</v>
      </c>
      <c r="I3648" s="2015">
        <f t="shared" ref="I3648:I3653" si="23">(G3648/G$3655)*H3648</f>
        <v>0</v>
      </c>
      <c r="J3648" s="2076"/>
      <c r="K3648" s="1928" t="s">
        <v>3010</v>
      </c>
      <c r="L3648" s="1928"/>
    </row>
    <row r="3649" spans="1:12" ht="15.75" customHeight="1">
      <c r="A3649" s="1780"/>
      <c r="B3649" s="1909"/>
      <c r="C3649" s="1878" t="s">
        <v>3014</v>
      </c>
      <c r="D3649" s="2080">
        <f>0.3189</f>
        <v>0.31890000000000002</v>
      </c>
      <c r="E3649" s="333" t="s">
        <v>1340</v>
      </c>
      <c r="F3649" s="1747">
        <f>'Bahan &amp; Upah'!C$189</f>
        <v>427843.09</v>
      </c>
      <c r="G3649" s="345"/>
      <c r="H3649" s="2103">
        <v>1</v>
      </c>
      <c r="I3649" s="2015">
        <f t="shared" si="23"/>
        <v>0</v>
      </c>
      <c r="J3649" s="2076"/>
      <c r="K3649" s="1928" t="s">
        <v>3010</v>
      </c>
      <c r="L3649" s="1928"/>
    </row>
    <row r="3650" spans="1:12" ht="15.75" customHeight="1">
      <c r="A3650" s="1780"/>
      <c r="B3650" s="1909"/>
      <c r="C3650" s="1878" t="s">
        <v>3015</v>
      </c>
      <c r="D3650" s="2080">
        <f>0.3202</f>
        <v>0.32019999999999998</v>
      </c>
      <c r="E3650" s="333" t="s">
        <v>1340</v>
      </c>
      <c r="F3650" s="1747">
        <f>'Bahan &amp; Upah'!C$189</f>
        <v>427843.09</v>
      </c>
      <c r="G3650" s="345"/>
      <c r="H3650" s="2103">
        <v>1</v>
      </c>
      <c r="I3650" s="2015">
        <f t="shared" si="23"/>
        <v>0</v>
      </c>
      <c r="J3650" s="2076"/>
      <c r="K3650" s="1928" t="s">
        <v>3010</v>
      </c>
      <c r="L3650" s="1928"/>
    </row>
    <row r="3651" spans="1:12" ht="15.75" customHeight="1">
      <c r="A3651" s="1780"/>
      <c r="B3651" s="1909"/>
      <c r="C3651" s="1878" t="s">
        <v>3016</v>
      </c>
      <c r="D3651" s="2080">
        <f>0.3237</f>
        <v>0.32369999999999999</v>
      </c>
      <c r="E3651" s="333" t="s">
        <v>1340</v>
      </c>
      <c r="F3651" s="1747">
        <f>'Bahan &amp; Upah'!C$189</f>
        <v>427843.09</v>
      </c>
      <c r="G3651" s="345"/>
      <c r="H3651" s="2103">
        <v>1</v>
      </c>
      <c r="I3651" s="2015">
        <f t="shared" si="23"/>
        <v>0</v>
      </c>
      <c r="J3651" s="2076"/>
      <c r="K3651" s="1928" t="s">
        <v>3010</v>
      </c>
      <c r="L3651" s="1928"/>
    </row>
    <row r="3652" spans="1:12" ht="15.75" customHeight="1">
      <c r="A3652" s="1780"/>
      <c r="B3652" s="1909"/>
      <c r="C3652" s="1878" t="s">
        <v>3017</v>
      </c>
      <c r="D3652" s="2080">
        <v>6.5500000000000003E-2</v>
      </c>
      <c r="E3652" s="333" t="s">
        <v>1340</v>
      </c>
      <c r="F3652" s="1747">
        <f>'Bahan &amp; Upah'!C$190</f>
        <v>1059950.6399999999</v>
      </c>
      <c r="G3652" s="345">
        <f>F3652*D3652</f>
        <v>69426.766919999995</v>
      </c>
      <c r="H3652" s="2103">
        <v>1</v>
      </c>
      <c r="I3652" s="2015">
        <f t="shared" si="23"/>
        <v>0.3716396656027105</v>
      </c>
      <c r="J3652" s="2076"/>
      <c r="L3652" s="1928"/>
    </row>
    <row r="3653" spans="1:12" ht="15.75" customHeight="1">
      <c r="A3653" s="1780"/>
      <c r="B3653" s="1909"/>
      <c r="C3653" s="1878" t="s">
        <v>3018</v>
      </c>
      <c r="D3653" s="2080">
        <v>1.5699999999999999E-2</v>
      </c>
      <c r="E3653" s="333" t="s">
        <v>1340</v>
      </c>
      <c r="F3653" s="1747">
        <f>'Bahan &amp; Upah'!C$191</f>
        <v>545923.07000000007</v>
      </c>
      <c r="G3653" s="1794">
        <f>F3653*D3653</f>
        <v>8570.9921990000003</v>
      </c>
      <c r="H3653" s="2103">
        <v>0.54279999999999995</v>
      </c>
      <c r="I3653" s="2016">
        <f t="shared" si="23"/>
        <v>2.4903825123100052E-2</v>
      </c>
      <c r="J3653" s="2076"/>
    </row>
    <row r="3654" spans="1:12" ht="15.75" customHeight="1">
      <c r="A3654" s="1780"/>
      <c r="B3654" s="1784"/>
      <c r="C3654" s="2082" t="s">
        <v>2110</v>
      </c>
      <c r="D3654" s="2083"/>
      <c r="E3654" s="1882"/>
      <c r="F3654" s="1845"/>
      <c r="G3654" s="1966">
        <f>SUM(G3648:G3653)</f>
        <v>77997.759118999995</v>
      </c>
      <c r="H3654" s="2084"/>
      <c r="I3654" s="1910">
        <f>SUM(I3648:I3653)</f>
        <v>0.39654349072581058</v>
      </c>
      <c r="J3654" s="2085"/>
    </row>
    <row r="3655" spans="1:12" ht="15.75" customHeight="1">
      <c r="A3655" s="1780"/>
      <c r="B3655" s="1739" t="s">
        <v>979</v>
      </c>
      <c r="C3655" s="1804" t="s">
        <v>2129</v>
      </c>
      <c r="D3655" s="1763"/>
      <c r="E3655" s="1764"/>
      <c r="F3655" s="1765"/>
      <c r="G3655" s="1765">
        <f>G3640+G3646+G3654</f>
        <v>186812.04765214288</v>
      </c>
      <c r="H3655" s="2075"/>
      <c r="I3655" s="1782"/>
      <c r="J3655" s="2076"/>
    </row>
    <row r="3656" spans="1:12" ht="15.75" customHeight="1">
      <c r="A3656" s="1780"/>
      <c r="B3656" s="1739" t="s">
        <v>2093</v>
      </c>
      <c r="C3656" s="1762" t="s">
        <v>2094</v>
      </c>
      <c r="D3656" s="1767">
        <f>M$4</f>
        <v>0.15</v>
      </c>
      <c r="E3656" s="1768"/>
      <c r="F3656" s="1765"/>
      <c r="G3656" s="1765">
        <f>G3655*D3656</f>
        <v>28021.80714782143</v>
      </c>
      <c r="H3656" s="2075"/>
      <c r="I3656" s="1862">
        <f>I3640+I3646+I3654</f>
        <v>0.97902352828614347</v>
      </c>
      <c r="J3656" s="2076"/>
    </row>
    <row r="3657" spans="1:12" ht="15.75" customHeight="1">
      <c r="A3657" s="1786"/>
      <c r="B3657" s="1787" t="s">
        <v>2095</v>
      </c>
      <c r="C3657" s="1788" t="s">
        <v>2111</v>
      </c>
      <c r="D3657" s="1772"/>
      <c r="E3657" s="1773"/>
      <c r="F3657" s="1774"/>
      <c r="G3657" s="2086">
        <f>ROUNDUP((G3655+G3656),2)</f>
        <v>214833.86000000002</v>
      </c>
      <c r="H3657" s="2087"/>
      <c r="I3657" s="2010"/>
      <c r="J3657" s="2088"/>
    </row>
    <row r="3658" spans="1:12" ht="15.75" customHeight="1">
      <c r="A3658" s="1733"/>
      <c r="B3658" s="1733"/>
      <c r="C3658" s="1733"/>
      <c r="D3658" s="1733"/>
      <c r="E3658" s="1733"/>
      <c r="F3658" s="1733"/>
      <c r="G3658" s="1733"/>
      <c r="H3658" s="1733"/>
      <c r="I3658" s="1733"/>
      <c r="J3658" s="1733"/>
    </row>
    <row r="3659" spans="1:12" ht="30" customHeight="1">
      <c r="A3659" s="1778">
        <f>A3636+1</f>
        <v>204</v>
      </c>
      <c r="B3659" s="1871" t="s">
        <v>2147</v>
      </c>
      <c r="C3659" s="1872" t="s">
        <v>3019</v>
      </c>
      <c r="D3659" s="2074"/>
      <c r="E3659" s="1874"/>
      <c r="F3659" s="1875"/>
      <c r="G3659" s="1875"/>
      <c r="H3659" s="1875"/>
      <c r="I3659" s="1875"/>
      <c r="J3659" s="1876"/>
    </row>
    <row r="3660" spans="1:12" ht="15.75" customHeight="1">
      <c r="A3660" s="1780"/>
      <c r="B3660" s="1739" t="s">
        <v>1004</v>
      </c>
      <c r="C3660" s="1877" t="s">
        <v>2067</v>
      </c>
      <c r="D3660" s="390"/>
      <c r="E3660" s="413"/>
      <c r="F3660" s="320"/>
      <c r="G3660" s="320"/>
      <c r="H3660" s="2075"/>
      <c r="I3660" s="1782"/>
      <c r="J3660" s="2076"/>
    </row>
    <row r="3661" spans="1:12" ht="15.75" customHeight="1">
      <c r="A3661" s="1780"/>
      <c r="B3661" s="1739"/>
      <c r="C3661" s="1878" t="s">
        <v>3020</v>
      </c>
      <c r="D3661" s="2078">
        <f>14/2-4</f>
        <v>3</v>
      </c>
      <c r="E3661" s="413" t="s">
        <v>2069</v>
      </c>
      <c r="F3661" s="1747">
        <f>'Bahan &amp; Upah'!C$349</f>
        <v>271339.52000000002</v>
      </c>
      <c r="G3661" s="361">
        <f>F3661*D3661</f>
        <v>814018.56000000006</v>
      </c>
      <c r="H3661" s="2077">
        <v>1</v>
      </c>
      <c r="I3661" s="2015">
        <f>(G3661/G$3675)*H3661</f>
        <v>8.169992715473387E-2</v>
      </c>
      <c r="J3661" s="2076"/>
    </row>
    <row r="3662" spans="1:12" ht="15.75" customHeight="1">
      <c r="A3662" s="1780"/>
      <c r="B3662" s="1739"/>
      <c r="C3662" s="1878" t="s">
        <v>3021</v>
      </c>
      <c r="D3662" s="2078">
        <f>7/2-0.5</f>
        <v>3</v>
      </c>
      <c r="E3662" s="413" t="s">
        <v>2069</v>
      </c>
      <c r="F3662" s="1883">
        <f>'Bahan &amp; Upah'!$C$345*3</f>
        <v>504874.41000000003</v>
      </c>
      <c r="G3662" s="1785">
        <f>F3662*D3662</f>
        <v>1514623.23</v>
      </c>
      <c r="H3662" s="2077">
        <v>1</v>
      </c>
      <c r="I3662" s="2016">
        <f>(G3662/G$3675)*H3662</f>
        <v>0.15201693626969356</v>
      </c>
      <c r="J3662" s="2076"/>
    </row>
    <row r="3663" spans="1:12" ht="15.75" customHeight="1">
      <c r="A3663" s="1780"/>
      <c r="B3663" s="1739"/>
      <c r="C3663" s="1889" t="s">
        <v>2108</v>
      </c>
      <c r="D3663" s="2078"/>
      <c r="E3663" s="413"/>
      <c r="F3663" s="320"/>
      <c r="G3663" s="361">
        <f>SUM(G3661:G3662)</f>
        <v>2328641.79</v>
      </c>
      <c r="H3663" s="2075"/>
      <c r="I3663" s="1910">
        <f>SUM(I3661:I3662)</f>
        <v>0.23371686342442743</v>
      </c>
      <c r="J3663" s="2076"/>
    </row>
    <row r="3664" spans="1:12" ht="15.75" customHeight="1">
      <c r="A3664" s="1780"/>
      <c r="B3664" s="1739" t="s">
        <v>1015</v>
      </c>
      <c r="C3664" s="1877" t="s">
        <v>2075</v>
      </c>
      <c r="D3664" s="2078"/>
      <c r="E3664" s="413"/>
      <c r="F3664" s="320"/>
      <c r="G3664" s="320"/>
      <c r="H3664" s="2075"/>
      <c r="I3664" s="1782"/>
      <c r="J3664" s="2076"/>
    </row>
    <row r="3665" spans="1:10" ht="15.75" customHeight="1">
      <c r="A3665" s="1780"/>
      <c r="B3665" s="1739"/>
      <c r="C3665" s="1880" t="s">
        <v>3022</v>
      </c>
      <c r="D3665" s="2078">
        <f>7/3*0</f>
        <v>0</v>
      </c>
      <c r="E3665" s="413" t="s">
        <v>360</v>
      </c>
      <c r="F3665" s="1747">
        <v>3122040.37</v>
      </c>
      <c r="G3665" s="361">
        <f>F3665*D3665</f>
        <v>0</v>
      </c>
      <c r="H3665" s="2103">
        <v>1</v>
      </c>
      <c r="I3665" s="2015">
        <f>(G3665/G$3675)*H3665</f>
        <v>0</v>
      </c>
      <c r="J3665" s="2076"/>
    </row>
    <row r="3666" spans="1:10" ht="15.75" customHeight="1">
      <c r="A3666" s="1780"/>
      <c r="B3666" s="1739"/>
      <c r="C3666" s="1880" t="s">
        <v>3023</v>
      </c>
      <c r="D3666" s="2078">
        <f>120/2*0</f>
        <v>0</v>
      </c>
      <c r="E3666" s="413" t="s">
        <v>117</v>
      </c>
      <c r="F3666" s="1747">
        <f>'Bahan &amp; Upah'!$C$325</f>
        <v>37479.82</v>
      </c>
      <c r="G3666" s="361">
        <f>F3666*D3666</f>
        <v>0</v>
      </c>
      <c r="H3666" s="2103">
        <v>1</v>
      </c>
      <c r="I3666" s="2015">
        <f>(G3666/G$3675)*H3666</f>
        <v>0</v>
      </c>
      <c r="J3666" s="2076"/>
    </row>
    <row r="3667" spans="1:10" ht="15.75" customHeight="1">
      <c r="A3667" s="1780"/>
      <c r="B3667" s="1739"/>
      <c r="C3667" s="1880" t="s">
        <v>3024</v>
      </c>
      <c r="D3667" s="2078">
        <f>120/2*0</f>
        <v>0</v>
      </c>
      <c r="E3667" s="413" t="s">
        <v>117</v>
      </c>
      <c r="F3667" s="1747">
        <v>147460.42000000001</v>
      </c>
      <c r="G3667" s="1794">
        <f>F3667*D3667</f>
        <v>0</v>
      </c>
      <c r="H3667" s="2103">
        <v>1</v>
      </c>
      <c r="I3667" s="2016">
        <f>(G3667/G$3675)*H3667</f>
        <v>0</v>
      </c>
      <c r="J3667" s="2076"/>
    </row>
    <row r="3668" spans="1:10" ht="15.75" customHeight="1">
      <c r="A3668" s="1780"/>
      <c r="B3668" s="1909"/>
      <c r="C3668" s="1889" t="s">
        <v>2091</v>
      </c>
      <c r="D3668" s="2080"/>
      <c r="E3668" s="333"/>
      <c r="F3668" s="328"/>
      <c r="G3668" s="361">
        <f>SUM(G3665:G3667)</f>
        <v>0</v>
      </c>
      <c r="H3668" s="2075"/>
      <c r="I3668" s="1910">
        <f>SUM(I3665:I3667)</f>
        <v>0</v>
      </c>
      <c r="J3668" s="2076"/>
    </row>
    <row r="3669" spans="1:10" ht="15.75" customHeight="1">
      <c r="A3669" s="1780"/>
      <c r="B3669" s="1739" t="s">
        <v>1048</v>
      </c>
      <c r="C3669" s="1877" t="s">
        <v>3025</v>
      </c>
      <c r="D3669" s="2080"/>
      <c r="E3669" s="333"/>
      <c r="F3669" s="328"/>
      <c r="G3669" s="332"/>
      <c r="H3669" s="2075"/>
      <c r="I3669" s="1839"/>
      <c r="J3669" s="2076"/>
    </row>
    <row r="3670" spans="1:10" ht="15.75" customHeight="1">
      <c r="A3670" s="1780"/>
      <c r="B3670" s="1739"/>
      <c r="C3670" s="1878" t="s">
        <v>3026</v>
      </c>
      <c r="D3670" s="2080">
        <f>1/2</f>
        <v>0.5</v>
      </c>
      <c r="E3670" s="333" t="s">
        <v>3027</v>
      </c>
      <c r="F3670" s="1747">
        <v>2465009.9500000002</v>
      </c>
      <c r="G3670" s="361">
        <f>F3670*D3670</f>
        <v>1232504.9750000001</v>
      </c>
      <c r="H3670" s="2103">
        <v>1</v>
      </c>
      <c r="I3670" s="2015">
        <f>(G3670/G$3675)*H3670</f>
        <v>0.12370180684252101</v>
      </c>
      <c r="J3670" s="2076"/>
    </row>
    <row r="3671" spans="1:10" ht="15.75" customHeight="1">
      <c r="A3671" s="1780"/>
      <c r="B3671" s="1739"/>
      <c r="C3671" s="1878" t="s">
        <v>3028</v>
      </c>
      <c r="D3671" s="2080">
        <f>1/2</f>
        <v>0.5</v>
      </c>
      <c r="E3671" s="333" t="s">
        <v>3027</v>
      </c>
      <c r="F3671" s="1747">
        <v>4788499.47</v>
      </c>
      <c r="G3671" s="361">
        <f>F3671*D3671</f>
        <v>2394249.7349999999</v>
      </c>
      <c r="H3671" s="2103">
        <v>1</v>
      </c>
      <c r="I3671" s="2015">
        <f>(G3671/G$3675)*H3671</f>
        <v>0.24030168174511998</v>
      </c>
      <c r="J3671" s="2076"/>
    </row>
    <row r="3672" spans="1:10" ht="15.75" customHeight="1">
      <c r="A3672" s="1780"/>
      <c r="B3672" s="1909"/>
      <c r="C3672" s="1878" t="s">
        <v>3020</v>
      </c>
      <c r="D3672" s="2080">
        <v>0.5</v>
      </c>
      <c r="E3672" s="333" t="s">
        <v>3027</v>
      </c>
      <c r="F3672" s="1747">
        <v>4275539.2300000004</v>
      </c>
      <c r="G3672" s="361">
        <f>F3672*D3672</f>
        <v>2137769.6150000002</v>
      </c>
      <c r="H3672" s="2103">
        <v>1</v>
      </c>
      <c r="I3672" s="2015">
        <f>(G3672/G$3675)*H3672</f>
        <v>0.21455975379615852</v>
      </c>
      <c r="J3672" s="2076"/>
    </row>
    <row r="3673" spans="1:10" ht="15.75" customHeight="1">
      <c r="A3673" s="1780"/>
      <c r="B3673" s="1909"/>
      <c r="C3673" s="1878" t="s">
        <v>3029</v>
      </c>
      <c r="D3673" s="2080">
        <f>1/2</f>
        <v>0.5</v>
      </c>
      <c r="E3673" s="333" t="s">
        <v>3027</v>
      </c>
      <c r="F3673" s="1747">
        <v>3740700.47</v>
      </c>
      <c r="G3673" s="1794">
        <f>F3673*D3673</f>
        <v>1870350.2350000001</v>
      </c>
      <c r="H3673" s="2103">
        <v>1</v>
      </c>
      <c r="I3673" s="2016">
        <f>(G3673/G$3675)*H3673</f>
        <v>0.18771989419177296</v>
      </c>
      <c r="J3673" s="2076"/>
    </row>
    <row r="3674" spans="1:10" ht="15.75" customHeight="1">
      <c r="A3674" s="1780"/>
      <c r="B3674" s="1784"/>
      <c r="C3674" s="2082" t="s">
        <v>2110</v>
      </c>
      <c r="D3674" s="2083"/>
      <c r="E3674" s="1882"/>
      <c r="F3674" s="1845"/>
      <c r="G3674" s="1966">
        <f>SUM(G3670:G3673)</f>
        <v>7634874.5600000005</v>
      </c>
      <c r="H3674" s="2084"/>
      <c r="I3674" s="1910">
        <f>SUM(I3670:I3673)</f>
        <v>0.76628313657557245</v>
      </c>
      <c r="J3674" s="2085"/>
    </row>
    <row r="3675" spans="1:10" ht="15.75" customHeight="1">
      <c r="A3675" s="1780"/>
      <c r="B3675" s="1739" t="s">
        <v>979</v>
      </c>
      <c r="C3675" s="1804" t="s">
        <v>2129</v>
      </c>
      <c r="D3675" s="1763"/>
      <c r="E3675" s="1764"/>
      <c r="F3675" s="1765"/>
      <c r="G3675" s="1765">
        <f>G3663+G3668+G3674</f>
        <v>9963516.3500000015</v>
      </c>
      <c r="H3675" s="2075"/>
      <c r="I3675" s="1782"/>
      <c r="J3675" s="2076"/>
    </row>
    <row r="3676" spans="1:10" ht="15.75" customHeight="1">
      <c r="A3676" s="1780"/>
      <c r="B3676" s="1739" t="s">
        <v>2093</v>
      </c>
      <c r="C3676" s="1762" t="s">
        <v>2094</v>
      </c>
      <c r="D3676" s="1767">
        <f>M$4</f>
        <v>0.15</v>
      </c>
      <c r="E3676" s="1768"/>
      <c r="F3676" s="1765"/>
      <c r="G3676" s="1765">
        <f>G3675*D3676</f>
        <v>1494527.4525000001</v>
      </c>
      <c r="H3676" s="2075"/>
      <c r="I3676" s="1862">
        <f>I3663+I3668+I3674</f>
        <v>0.99999999999999989</v>
      </c>
      <c r="J3676" s="2076"/>
    </row>
    <row r="3677" spans="1:10" ht="15.75" customHeight="1">
      <c r="A3677" s="1786"/>
      <c r="B3677" s="1787" t="s">
        <v>2095</v>
      </c>
      <c r="C3677" s="1788" t="s">
        <v>2111</v>
      </c>
      <c r="D3677" s="1772"/>
      <c r="E3677" s="1773"/>
      <c r="F3677" s="1774"/>
      <c r="G3677" s="2086">
        <f>ROUNDUP((G3675+G3676),2)</f>
        <v>11458043.810000001</v>
      </c>
      <c r="H3677" s="2087"/>
      <c r="I3677" s="2010"/>
      <c r="J3677" s="2088"/>
    </row>
    <row r="3678" spans="1:10" ht="15.75" customHeight="1">
      <c r="A3678" s="1733"/>
      <c r="B3678" s="1733"/>
      <c r="C3678" s="1733"/>
      <c r="D3678" s="1733"/>
      <c r="E3678" s="1733"/>
      <c r="F3678" s="1733"/>
      <c r="G3678" s="1733"/>
      <c r="H3678" s="1733"/>
      <c r="I3678" s="1733"/>
      <c r="J3678" s="1733"/>
    </row>
    <row r="3679" spans="1:10" ht="26.25" customHeight="1">
      <c r="A3679" s="1778">
        <f>A3659+1</f>
        <v>205</v>
      </c>
      <c r="B3679" s="1871" t="s">
        <v>3030</v>
      </c>
      <c r="C3679" s="1872" t="s">
        <v>3031</v>
      </c>
      <c r="D3679" s="2074"/>
      <c r="E3679" s="1874"/>
      <c r="F3679" s="1875"/>
      <c r="G3679" s="1875"/>
      <c r="H3679" s="1875"/>
      <c r="I3679" s="1875"/>
      <c r="J3679" s="1876"/>
    </row>
    <row r="3680" spans="1:10" ht="15.75" customHeight="1">
      <c r="A3680" s="1780"/>
      <c r="B3680" s="1739" t="s">
        <v>1004</v>
      </c>
      <c r="C3680" s="1877" t="s">
        <v>2067</v>
      </c>
      <c r="D3680" s="390"/>
      <c r="E3680" s="413"/>
      <c r="F3680" s="320"/>
      <c r="G3680" s="320"/>
      <c r="H3680" s="2075"/>
      <c r="I3680" s="1782"/>
      <c r="J3680" s="2076"/>
    </row>
    <row r="3681" spans="1:10" ht="15.75" customHeight="1">
      <c r="A3681" s="1780"/>
      <c r="B3681" s="1739"/>
      <c r="C3681" s="1878" t="s">
        <v>2103</v>
      </c>
      <c r="D3681" s="2078">
        <v>9.1999999999999998E-2</v>
      </c>
      <c r="E3681" s="413" t="s">
        <v>2069</v>
      </c>
      <c r="F3681" s="1747">
        <f>'Bahan &amp; Upah'!C$336</f>
        <v>96332.65</v>
      </c>
      <c r="G3681" s="361">
        <f>F3681*D3681</f>
        <v>8862.603799999999</v>
      </c>
      <c r="H3681" s="2077">
        <v>1</v>
      </c>
      <c r="I3681" s="2015">
        <f>(G3681/G$3692)*H3681</f>
        <v>6.9182030665202884E-2</v>
      </c>
      <c r="J3681" s="2076"/>
    </row>
    <row r="3682" spans="1:10" ht="15.75" customHeight="1">
      <c r="A3682" s="1780"/>
      <c r="B3682" s="1739"/>
      <c r="C3682" s="1878" t="s">
        <v>2107</v>
      </c>
      <c r="D3682" s="2078">
        <v>9.1999999999999998E-3</v>
      </c>
      <c r="E3682" s="413" t="s">
        <v>2069</v>
      </c>
      <c r="F3682" s="1883">
        <f>'Bahan &amp; Upah'!C$339</f>
        <v>102689.88</v>
      </c>
      <c r="G3682" s="1785">
        <f>F3682*D3682</f>
        <v>944.74689599999999</v>
      </c>
      <c r="H3682" s="2077">
        <v>1</v>
      </c>
      <c r="I3682" s="2016">
        <f>(G3682/G$3692)*H3682</f>
        <v>7.3747524096617343E-3</v>
      </c>
      <c r="J3682" s="2076"/>
    </row>
    <row r="3683" spans="1:10" ht="15.75" customHeight="1">
      <c r="A3683" s="1780"/>
      <c r="B3683" s="1739"/>
      <c r="C3683" s="1889" t="s">
        <v>2108</v>
      </c>
      <c r="D3683" s="2078"/>
      <c r="E3683" s="413"/>
      <c r="F3683" s="320"/>
      <c r="G3683" s="361">
        <f>SUM(G3681:G3682)</f>
        <v>9807.3506959999995</v>
      </c>
      <c r="H3683" s="2075"/>
      <c r="I3683" s="1910">
        <f>SUM(I3681:I3682)</f>
        <v>7.6556783074864618E-2</v>
      </c>
      <c r="J3683" s="2076"/>
    </row>
    <row r="3684" spans="1:10" ht="15.75" customHeight="1">
      <c r="A3684" s="1780"/>
      <c r="B3684" s="1739" t="s">
        <v>1015</v>
      </c>
      <c r="C3684" s="1877" t="s">
        <v>2075</v>
      </c>
      <c r="D3684" s="2078"/>
      <c r="E3684" s="413"/>
      <c r="F3684" s="320"/>
      <c r="G3684" s="320"/>
      <c r="H3684" s="2075"/>
      <c r="I3684" s="1782"/>
      <c r="J3684" s="2076"/>
    </row>
    <row r="3685" spans="1:10" ht="15.75" customHeight="1">
      <c r="A3685" s="1780"/>
      <c r="B3685" s="1909"/>
      <c r="C3685" s="1889" t="s">
        <v>2091</v>
      </c>
      <c r="D3685" s="2080"/>
      <c r="E3685" s="333"/>
      <c r="F3685" s="328"/>
      <c r="G3685" s="361">
        <v>0</v>
      </c>
      <c r="H3685" s="2075"/>
      <c r="I3685" s="1910"/>
      <c r="J3685" s="2076"/>
    </row>
    <row r="3686" spans="1:10" ht="15.75" customHeight="1">
      <c r="A3686" s="1780"/>
      <c r="B3686" s="1739" t="s">
        <v>1048</v>
      </c>
      <c r="C3686" s="1877" t="s">
        <v>3032</v>
      </c>
      <c r="D3686" s="2080"/>
      <c r="E3686" s="333"/>
      <c r="F3686" s="328"/>
      <c r="G3686" s="332"/>
      <c r="H3686" s="2075"/>
      <c r="I3686" s="1839"/>
      <c r="J3686" s="2076"/>
    </row>
    <row r="3687" spans="1:10" ht="15.75" customHeight="1">
      <c r="A3687" s="1780"/>
      <c r="B3687" s="1739"/>
      <c r="C3687" s="1878" t="s">
        <v>3033</v>
      </c>
      <c r="D3687" s="2078">
        <v>9.1999999999999998E-2</v>
      </c>
      <c r="E3687" s="333" t="s">
        <v>2281</v>
      </c>
      <c r="F3687" s="1747">
        <f>'Bahan &amp; Upah'!C$326</f>
        <v>159503.63</v>
      </c>
      <c r="G3687" s="361">
        <f>F3687*D3687</f>
        <v>14674.33396</v>
      </c>
      <c r="H3687" s="2103">
        <v>1</v>
      </c>
      <c r="I3687" s="2015">
        <f>(G3687/G$3692)*H3687</f>
        <v>0.11454875394657134</v>
      </c>
      <c r="J3687" s="2076"/>
    </row>
    <row r="3688" spans="1:10" ht="15.75" customHeight="1">
      <c r="A3688" s="1780"/>
      <c r="B3688" s="1739"/>
      <c r="C3688" s="1878" t="s">
        <v>3026</v>
      </c>
      <c r="D3688" s="2080">
        <f>1/120</f>
        <v>8.3333333333333332E-3</v>
      </c>
      <c r="E3688" s="333" t="s">
        <v>3027</v>
      </c>
      <c r="F3688" s="1747">
        <v>4999873.1500000004</v>
      </c>
      <c r="G3688" s="361">
        <f>F3688*D3688</f>
        <v>41665.609583333338</v>
      </c>
      <c r="H3688" s="2103">
        <v>1</v>
      </c>
      <c r="I3688" s="2015">
        <f>(G3688/G$3692)*H3688</f>
        <v>0.32524431249860658</v>
      </c>
      <c r="J3688" s="2076"/>
    </row>
    <row r="3689" spans="1:10" ht="15.75" customHeight="1">
      <c r="A3689" s="1780"/>
      <c r="B3689" s="1739"/>
      <c r="C3689" s="1878" t="s">
        <v>3028</v>
      </c>
      <c r="D3689" s="2080">
        <f>1/120</f>
        <v>8.3333333333333332E-3</v>
      </c>
      <c r="E3689" s="333" t="s">
        <v>3027</v>
      </c>
      <c r="F3689" s="1747">
        <v>7434993.6600000001</v>
      </c>
      <c r="G3689" s="361">
        <f>F3689*D3689</f>
        <v>61958.280500000001</v>
      </c>
      <c r="H3689" s="2103">
        <v>1</v>
      </c>
      <c r="I3689" s="2015">
        <f>(G3689/G$3692)*H3689</f>
        <v>0.48365015047995741</v>
      </c>
      <c r="J3689" s="2076"/>
    </row>
    <row r="3690" spans="1:10" ht="15.75" customHeight="1">
      <c r="A3690" s="1780"/>
      <c r="B3690" s="1909"/>
      <c r="C3690" s="1878" t="s">
        <v>3029</v>
      </c>
      <c r="D3690" s="2080">
        <v>0</v>
      </c>
      <c r="E3690" s="333" t="s">
        <v>3027</v>
      </c>
      <c r="F3690" s="1747">
        <v>8019488.0800000001</v>
      </c>
      <c r="G3690" s="1794">
        <f>F3690*D3690</f>
        <v>0</v>
      </c>
      <c r="H3690" s="2103">
        <v>1</v>
      </c>
      <c r="I3690" s="2016">
        <f>(G3690/G$3692)*H3690</f>
        <v>0</v>
      </c>
      <c r="J3690" s="2076"/>
    </row>
    <row r="3691" spans="1:10" ht="15.75" customHeight="1">
      <c r="A3691" s="1780"/>
      <c r="B3691" s="1784"/>
      <c r="C3691" s="2082" t="s">
        <v>2110</v>
      </c>
      <c r="D3691" s="2083"/>
      <c r="E3691" s="1882"/>
      <c r="F3691" s="1845"/>
      <c r="G3691" s="1966">
        <f>SUM(G3687:G3690)</f>
        <v>118298.22404333335</v>
      </c>
      <c r="H3691" s="2084"/>
      <c r="I3691" s="1910">
        <f>SUM(I3687:I3690)</f>
        <v>0.92344321692513531</v>
      </c>
      <c r="J3691" s="2085"/>
    </row>
    <row r="3692" spans="1:10" ht="15.75" customHeight="1">
      <c r="A3692" s="1780"/>
      <c r="B3692" s="1739" t="s">
        <v>979</v>
      </c>
      <c r="C3692" s="1804" t="s">
        <v>2129</v>
      </c>
      <c r="D3692" s="1763"/>
      <c r="E3692" s="1764"/>
      <c r="F3692" s="1765"/>
      <c r="G3692" s="1765">
        <f>G3683+G3685+G3691</f>
        <v>128105.57473933334</v>
      </c>
      <c r="H3692" s="2075"/>
      <c r="I3692" s="1782"/>
      <c r="J3692" s="2076"/>
    </row>
    <row r="3693" spans="1:10" ht="15.75" customHeight="1">
      <c r="A3693" s="1780"/>
      <c r="B3693" s="1739" t="s">
        <v>2093</v>
      </c>
      <c r="C3693" s="1762" t="s">
        <v>2094</v>
      </c>
      <c r="D3693" s="1767">
        <f>M$4</f>
        <v>0.15</v>
      </c>
      <c r="E3693" s="1768"/>
      <c r="F3693" s="1765"/>
      <c r="G3693" s="1765">
        <f>G3692*D3693</f>
        <v>19215.836210900001</v>
      </c>
      <c r="H3693" s="2075"/>
      <c r="I3693" s="1862">
        <f>I3683+I3691</f>
        <v>0.99999999999999989</v>
      </c>
      <c r="J3693" s="2076"/>
    </row>
    <row r="3694" spans="1:10" ht="15.75" customHeight="1">
      <c r="A3694" s="1786"/>
      <c r="B3694" s="1787" t="s">
        <v>2095</v>
      </c>
      <c r="C3694" s="1788" t="s">
        <v>2111</v>
      </c>
      <c r="D3694" s="1772"/>
      <c r="E3694" s="1773"/>
      <c r="F3694" s="1774"/>
      <c r="G3694" s="2086">
        <f>ROUNDUP((G3692+G3693),2)</f>
        <v>147321.42000000001</v>
      </c>
      <c r="H3694" s="2087"/>
      <c r="I3694" s="2010"/>
      <c r="J3694" s="2088"/>
    </row>
    <row r="3695" spans="1:10" ht="15.75" customHeight="1">
      <c r="A3695" s="1733"/>
      <c r="B3695" s="1733"/>
      <c r="C3695" s="1733"/>
      <c r="D3695" s="1733"/>
      <c r="E3695" s="1733"/>
      <c r="F3695" s="1733"/>
      <c r="G3695" s="1733"/>
      <c r="H3695" s="1733"/>
      <c r="I3695" s="1733"/>
      <c r="J3695" s="1733"/>
    </row>
    <row r="3696" spans="1:10" ht="27.75" customHeight="1">
      <c r="A3696" s="1778">
        <f>A3679+1</f>
        <v>206</v>
      </c>
      <c r="B3696" s="1871" t="s">
        <v>3034</v>
      </c>
      <c r="C3696" s="1872" t="s">
        <v>3035</v>
      </c>
      <c r="D3696" s="2074"/>
      <c r="E3696" s="1874"/>
      <c r="F3696" s="1875"/>
      <c r="G3696" s="1875"/>
      <c r="H3696" s="1875"/>
      <c r="I3696" s="1875"/>
      <c r="J3696" s="1876"/>
    </row>
    <row r="3697" spans="1:10" ht="15.75" customHeight="1">
      <c r="A3697" s="1780"/>
      <c r="B3697" s="1739" t="s">
        <v>1004</v>
      </c>
      <c r="C3697" s="1877" t="s">
        <v>2067</v>
      </c>
      <c r="D3697" s="390"/>
      <c r="E3697" s="413"/>
      <c r="F3697" s="320"/>
      <c r="G3697" s="320"/>
      <c r="H3697" s="2075"/>
      <c r="I3697" s="1782"/>
      <c r="J3697" s="2076"/>
    </row>
    <row r="3698" spans="1:10" ht="15.75" customHeight="1">
      <c r="A3698" s="1780"/>
      <c r="B3698" s="1739"/>
      <c r="C3698" s="1878" t="s">
        <v>3036</v>
      </c>
      <c r="D3698" s="2078">
        <v>1</v>
      </c>
      <c r="E3698" s="413" t="s">
        <v>10</v>
      </c>
      <c r="F3698" s="1747">
        <v>235736.76</v>
      </c>
      <c r="G3698" s="1794">
        <f>F3698*D3698</f>
        <v>235736.76</v>
      </c>
      <c r="H3698" s="2077">
        <v>1</v>
      </c>
      <c r="I3698" s="2015">
        <f>(G3698/G$3708)*H3698</f>
        <v>0.54484292904920884</v>
      </c>
      <c r="J3698" s="2076"/>
    </row>
    <row r="3699" spans="1:10" ht="15.75" customHeight="1">
      <c r="A3699" s="1780"/>
      <c r="B3699" s="1739"/>
      <c r="C3699" s="1889" t="s">
        <v>2108</v>
      </c>
      <c r="D3699" s="2078"/>
      <c r="E3699" s="413"/>
      <c r="F3699" s="320"/>
      <c r="G3699" s="361">
        <f>SUM(G3698:G3698)</f>
        <v>235736.76</v>
      </c>
      <c r="H3699" s="2075"/>
      <c r="I3699" s="1910">
        <f>SUM(I3698:I3698)</f>
        <v>0.54484292904920884</v>
      </c>
      <c r="J3699" s="2076"/>
    </row>
    <row r="3700" spans="1:10" ht="15.75" customHeight="1">
      <c r="A3700" s="1780"/>
      <c r="B3700" s="1739" t="s">
        <v>1015</v>
      </c>
      <c r="C3700" s="1877" t="s">
        <v>2075</v>
      </c>
      <c r="D3700" s="2078"/>
      <c r="E3700" s="413"/>
      <c r="F3700" s="320"/>
      <c r="G3700" s="320"/>
      <c r="H3700" s="2075"/>
      <c r="I3700" s="1782"/>
      <c r="J3700" s="2076"/>
    </row>
    <row r="3701" spans="1:10" ht="15.75" customHeight="1">
      <c r="A3701" s="1780"/>
      <c r="B3701" s="1909"/>
      <c r="C3701" s="1889" t="s">
        <v>2091</v>
      </c>
      <c r="D3701" s="2080"/>
      <c r="E3701" s="333"/>
      <c r="F3701" s="328"/>
      <c r="G3701" s="361">
        <v>0</v>
      </c>
      <c r="H3701" s="2075"/>
      <c r="I3701" s="1910"/>
      <c r="J3701" s="2076"/>
    </row>
    <row r="3702" spans="1:10" ht="15.75" customHeight="1">
      <c r="A3702" s="1780"/>
      <c r="B3702" s="1739" t="s">
        <v>1048</v>
      </c>
      <c r="C3702" s="1877" t="s">
        <v>3032</v>
      </c>
      <c r="D3702" s="2080"/>
      <c r="E3702" s="333"/>
      <c r="F3702" s="328"/>
      <c r="G3702" s="332"/>
      <c r="H3702" s="2075"/>
      <c r="I3702" s="1839"/>
      <c r="J3702" s="2076"/>
    </row>
    <row r="3703" spans="1:10" ht="15.75" customHeight="1">
      <c r="A3703" s="1780"/>
      <c r="B3703" s="1739"/>
      <c r="C3703" s="1878" t="s">
        <v>3037</v>
      </c>
      <c r="D3703" s="2080">
        <v>0.496</v>
      </c>
      <c r="E3703" s="333" t="s">
        <v>1340</v>
      </c>
      <c r="F3703" s="1747">
        <f>'Bahan &amp; Upah'!C$328/8</f>
        <v>117128.77250000001</v>
      </c>
      <c r="G3703" s="361">
        <f>F3703*D3703</f>
        <v>58095.871160000002</v>
      </c>
      <c r="H3703" s="2103">
        <v>1</v>
      </c>
      <c r="I3703" s="2015">
        <f>(G3703/G$3708)*H3703</f>
        <v>0.1342731808500289</v>
      </c>
      <c r="J3703" s="2076"/>
    </row>
    <row r="3704" spans="1:10" ht="15.75" customHeight="1">
      <c r="A3704" s="1780"/>
      <c r="B3704" s="1739"/>
      <c r="C3704" s="1878" t="s">
        <v>3026</v>
      </c>
      <c r="D3704" s="2080">
        <f>1/120</f>
        <v>8.3333333333333332E-3</v>
      </c>
      <c r="E3704" s="333" t="s">
        <v>3027</v>
      </c>
      <c r="F3704" s="1747">
        <v>9525690.25</v>
      </c>
      <c r="G3704" s="361">
        <f>F3704*D3704</f>
        <v>79380.752083333326</v>
      </c>
      <c r="H3704" s="2103">
        <v>1</v>
      </c>
      <c r="I3704" s="2015">
        <f>(G3704/G$3708)*H3704</f>
        <v>0.18346753164509605</v>
      </c>
      <c r="J3704" s="2076"/>
    </row>
    <row r="3705" spans="1:10" ht="15.75" customHeight="1">
      <c r="A3705" s="1780"/>
      <c r="B3705" s="1739"/>
      <c r="C3705" s="1878" t="s">
        <v>3028</v>
      </c>
      <c r="D3705" s="2080">
        <f>1/120</f>
        <v>8.3333333333333332E-3</v>
      </c>
      <c r="E3705" s="333" t="s">
        <v>3027</v>
      </c>
      <c r="F3705" s="1747">
        <v>7134699.2800000003</v>
      </c>
      <c r="G3705" s="361">
        <f>F3705*D3705</f>
        <v>59455.827333333335</v>
      </c>
      <c r="H3705" s="2103">
        <v>1</v>
      </c>
      <c r="I3705" s="2015">
        <f>(G3705/G$3708)*H3705</f>
        <v>0.13741635845566616</v>
      </c>
      <c r="J3705" s="2076"/>
    </row>
    <row r="3706" spans="1:10" ht="15.75" customHeight="1">
      <c r="A3706" s="1780"/>
      <c r="B3706" s="1909"/>
      <c r="C3706" s="1878" t="s">
        <v>3029</v>
      </c>
      <c r="D3706" s="2080">
        <v>0</v>
      </c>
      <c r="E3706" s="333" t="s">
        <v>3027</v>
      </c>
      <c r="F3706" s="1747">
        <v>7894214.5</v>
      </c>
      <c r="G3706" s="1794">
        <f>F3706*D3706</f>
        <v>0</v>
      </c>
      <c r="H3706" s="2103">
        <v>1</v>
      </c>
      <c r="I3706" s="2016">
        <f>(G3706/G$3708)*H3706</f>
        <v>0</v>
      </c>
      <c r="J3706" s="2076"/>
    </row>
    <row r="3707" spans="1:10" ht="15.75" customHeight="1">
      <c r="A3707" s="1780"/>
      <c r="B3707" s="1784"/>
      <c r="C3707" s="2082" t="s">
        <v>2110</v>
      </c>
      <c r="D3707" s="2083"/>
      <c r="E3707" s="1882"/>
      <c r="F3707" s="1845"/>
      <c r="G3707" s="1966">
        <f>SUM(G3703:G3706)</f>
        <v>196932.45057666668</v>
      </c>
      <c r="H3707" s="2084"/>
      <c r="I3707" s="1910">
        <f>SUM(I3703:I3706)</f>
        <v>0.45515707095079105</v>
      </c>
      <c r="J3707" s="2085"/>
    </row>
    <row r="3708" spans="1:10" ht="15.75" customHeight="1">
      <c r="A3708" s="1780"/>
      <c r="B3708" s="1739" t="s">
        <v>979</v>
      </c>
      <c r="C3708" s="1804" t="s">
        <v>2129</v>
      </c>
      <c r="D3708" s="1763"/>
      <c r="E3708" s="1764"/>
      <c r="F3708" s="1765"/>
      <c r="G3708" s="1765">
        <f>G3699+G3701+G3707</f>
        <v>432669.21057666669</v>
      </c>
      <c r="H3708" s="2075"/>
      <c r="I3708" s="1782"/>
      <c r="J3708" s="2076"/>
    </row>
    <row r="3709" spans="1:10" ht="15.75" customHeight="1">
      <c r="A3709" s="1780"/>
      <c r="B3709" s="1739" t="s">
        <v>2093</v>
      </c>
      <c r="C3709" s="1762" t="s">
        <v>2094</v>
      </c>
      <c r="D3709" s="1767">
        <f>M$4</f>
        <v>0.15</v>
      </c>
      <c r="E3709" s="1768"/>
      <c r="F3709" s="1765"/>
      <c r="G3709" s="1765">
        <f>G3708*D3709</f>
        <v>64900.3815865</v>
      </c>
      <c r="H3709" s="2075"/>
      <c r="I3709" s="1862">
        <f>I3699+I3707</f>
        <v>0.99999999999999989</v>
      </c>
      <c r="J3709" s="2076"/>
    </row>
    <row r="3710" spans="1:10" ht="15.75" customHeight="1">
      <c r="A3710" s="1786"/>
      <c r="B3710" s="1787" t="s">
        <v>2095</v>
      </c>
      <c r="C3710" s="1788" t="s">
        <v>2111</v>
      </c>
      <c r="D3710" s="1772"/>
      <c r="E3710" s="1773"/>
      <c r="F3710" s="1774"/>
      <c r="G3710" s="2086">
        <f>ROUNDUP((G3708+G3709),2)</f>
        <v>497569.60000000003</v>
      </c>
      <c r="H3710" s="2087"/>
      <c r="I3710" s="2010"/>
      <c r="J3710" s="2088"/>
    </row>
    <row r="3711" spans="1:10" ht="15.75" customHeight="1">
      <c r="A3711" s="1733"/>
      <c r="B3711" s="1733"/>
      <c r="C3711" s="1733"/>
      <c r="D3711" s="1733"/>
      <c r="E3711" s="1733"/>
      <c r="F3711" s="1733"/>
      <c r="G3711" s="1733"/>
      <c r="H3711" s="1733"/>
      <c r="I3711" s="1733"/>
      <c r="J3711" s="1733"/>
    </row>
    <row r="3712" spans="1:10" ht="15.75" customHeight="1">
      <c r="A3712" s="1778">
        <f>A3696+1</f>
        <v>207</v>
      </c>
      <c r="B3712" s="1871" t="s">
        <v>3038</v>
      </c>
      <c r="C3712" s="1872" t="s">
        <v>3039</v>
      </c>
      <c r="D3712" s="2074"/>
      <c r="E3712" s="1874"/>
      <c r="F3712" s="1875"/>
      <c r="G3712" s="1875"/>
      <c r="H3712" s="1875"/>
      <c r="I3712" s="1875"/>
      <c r="J3712" s="1876"/>
    </row>
    <row r="3713" spans="1:10" ht="15.75" customHeight="1">
      <c r="A3713" s="1780"/>
      <c r="B3713" s="1739" t="s">
        <v>1004</v>
      </c>
      <c r="C3713" s="1877" t="s">
        <v>2067</v>
      </c>
      <c r="D3713" s="390"/>
      <c r="E3713" s="413"/>
      <c r="F3713" s="320"/>
      <c r="G3713" s="320"/>
      <c r="H3713" s="2075"/>
      <c r="I3713" s="1782"/>
      <c r="J3713" s="2076"/>
    </row>
    <row r="3714" spans="1:10" ht="15.75" customHeight="1">
      <c r="A3714" s="1780"/>
      <c r="B3714" s="1739"/>
      <c r="C3714" s="1878" t="s">
        <v>2103</v>
      </c>
      <c r="D3714" s="1841">
        <v>2.5</v>
      </c>
      <c r="E3714" s="413" t="s">
        <v>2069</v>
      </c>
      <c r="F3714" s="1747">
        <f>'Bahan &amp; Upah'!C$336</f>
        <v>96332.65</v>
      </c>
      <c r="G3714" s="361">
        <f>F3714*D3714</f>
        <v>240831.625</v>
      </c>
      <c r="H3714" s="2077">
        <v>1</v>
      </c>
      <c r="I3714" s="2015">
        <f>(G3714/G$3725)*H3714</f>
        <v>0.53750960397447678</v>
      </c>
      <c r="J3714" s="2076"/>
    </row>
    <row r="3715" spans="1:10" ht="15.75" customHeight="1">
      <c r="A3715" s="1780"/>
      <c r="B3715" s="1739"/>
      <c r="C3715" s="1878" t="s">
        <v>2107</v>
      </c>
      <c r="D3715" s="1841">
        <v>0.25</v>
      </c>
      <c r="E3715" s="413" t="s">
        <v>2069</v>
      </c>
      <c r="F3715" s="1883">
        <f>'Bahan &amp; Upah'!C$339</f>
        <v>102689.88</v>
      </c>
      <c r="G3715" s="361">
        <f>F3715*D3715</f>
        <v>25672.47</v>
      </c>
      <c r="H3715" s="2077">
        <v>1</v>
      </c>
      <c r="I3715" s="2015">
        <f>(G3715/G$3725)*H3715</f>
        <v>5.7298119309482864E-2</v>
      </c>
      <c r="J3715" s="2076"/>
    </row>
    <row r="3716" spans="1:10" ht="15.75" customHeight="1">
      <c r="A3716" s="1780"/>
      <c r="B3716" s="1739"/>
      <c r="C3716" s="1878" t="s">
        <v>3040</v>
      </c>
      <c r="D3716" s="2078">
        <v>0.1</v>
      </c>
      <c r="E3716" s="413" t="s">
        <v>2069</v>
      </c>
      <c r="F3716" s="1747">
        <f>'Bahan &amp; Upah'!C$349</f>
        <v>271339.52000000002</v>
      </c>
      <c r="G3716" s="1794">
        <f>F3716*D3716</f>
        <v>27133.952000000005</v>
      </c>
      <c r="H3716" s="2077">
        <v>1</v>
      </c>
      <c r="I3716" s="2016">
        <f>(G3716/G$3725)*H3716</f>
        <v>6.0559985814913071E-2</v>
      </c>
      <c r="J3716" s="2076"/>
    </row>
    <row r="3717" spans="1:10" ht="15.75" customHeight="1">
      <c r="A3717" s="1780"/>
      <c r="B3717" s="1739"/>
      <c r="C3717" s="1889" t="s">
        <v>2108</v>
      </c>
      <c r="D3717" s="2078"/>
      <c r="E3717" s="413"/>
      <c r="F3717" s="320"/>
      <c r="G3717" s="361">
        <f>SUM(G3714:G3716)</f>
        <v>293638.04699999996</v>
      </c>
      <c r="H3717" s="2075"/>
      <c r="I3717" s="1910">
        <f>SUM(I3714:I3716)</f>
        <v>0.65536770909887276</v>
      </c>
      <c r="J3717" s="2076"/>
    </row>
    <row r="3718" spans="1:10" ht="15.75" customHeight="1">
      <c r="A3718" s="1780"/>
      <c r="B3718" s="1739" t="s">
        <v>1015</v>
      </c>
      <c r="C3718" s="1877" t="s">
        <v>2075</v>
      </c>
      <c r="D3718" s="2078"/>
      <c r="E3718" s="413"/>
      <c r="F3718" s="320"/>
      <c r="G3718" s="320"/>
      <c r="H3718" s="2075"/>
      <c r="I3718" s="1782"/>
      <c r="J3718" s="2076"/>
    </row>
    <row r="3719" spans="1:10" ht="15.75" customHeight="1">
      <c r="A3719" s="1780"/>
      <c r="B3719" s="1739"/>
      <c r="C3719" s="1878" t="s">
        <v>3041</v>
      </c>
      <c r="D3719" s="2078">
        <v>0.25</v>
      </c>
      <c r="E3719" s="413" t="s">
        <v>89</v>
      </c>
      <c r="F3719" s="1883">
        <f>'Bahan &amp; Upah'!C$172</f>
        <v>98284.21</v>
      </c>
      <c r="G3719" s="361">
        <f>F3719*D3719</f>
        <v>24571.052500000002</v>
      </c>
      <c r="H3719" s="2077">
        <v>1</v>
      </c>
      <c r="I3719" s="2015">
        <f>(G3719/G$3725)*H3719</f>
        <v>5.4839877024087172E-2</v>
      </c>
      <c r="J3719" s="2076"/>
    </row>
    <row r="3720" spans="1:10" ht="15.75" customHeight="1">
      <c r="A3720" s="1780"/>
      <c r="B3720" s="1739"/>
      <c r="C3720" s="1878" t="s">
        <v>3042</v>
      </c>
      <c r="D3720" s="2078">
        <v>1.05</v>
      </c>
      <c r="E3720" s="413" t="s">
        <v>117</v>
      </c>
      <c r="F3720" s="1883">
        <f>'Bahan &amp; Upah'!C$173</f>
        <v>122966.39</v>
      </c>
      <c r="G3720" s="361">
        <f>F3720*D3720</f>
        <v>129114.70950000001</v>
      </c>
      <c r="H3720" s="2077">
        <v>1</v>
      </c>
      <c r="I3720" s="2015">
        <f>(G3720/G$3725)*H3720</f>
        <v>0.28816977990587667</v>
      </c>
      <c r="J3720" s="2076"/>
    </row>
    <row r="3721" spans="1:10" ht="15.75" customHeight="1">
      <c r="A3721" s="1780"/>
      <c r="B3721" s="1739"/>
      <c r="C3721" s="1878" t="s">
        <v>3043</v>
      </c>
      <c r="D3721" s="2078">
        <v>0.05</v>
      </c>
      <c r="E3721" s="413" t="s">
        <v>3044</v>
      </c>
      <c r="F3721" s="1883">
        <f>'Bahan &amp; Upah'!C$174</f>
        <v>14540.45</v>
      </c>
      <c r="G3721" s="1794">
        <f>F3721*D3721</f>
        <v>727.02250000000004</v>
      </c>
      <c r="H3721" s="2077">
        <v>1</v>
      </c>
      <c r="I3721" s="2016">
        <f>(G3721/G$3725)*H3721</f>
        <v>1.6226339711636047E-3</v>
      </c>
      <c r="J3721" s="2076"/>
    </row>
    <row r="3722" spans="1:10" ht="15.75" customHeight="1">
      <c r="A3722" s="1780"/>
      <c r="B3722" s="1909"/>
      <c r="C3722" s="1889" t="s">
        <v>2091</v>
      </c>
      <c r="D3722" s="2080"/>
      <c r="E3722" s="333"/>
      <c r="F3722" s="328"/>
      <c r="G3722" s="361">
        <f>SUM(G3719:G3721)</f>
        <v>154412.78450000001</v>
      </c>
      <c r="H3722" s="2075"/>
      <c r="I3722" s="1910">
        <f>SUM(I3719:I3721)</f>
        <v>0.3446322909011274</v>
      </c>
      <c r="J3722" s="2076"/>
    </row>
    <row r="3723" spans="1:10" ht="15.75" customHeight="1">
      <c r="A3723" s="1780"/>
      <c r="B3723" s="1739" t="s">
        <v>1048</v>
      </c>
      <c r="C3723" s="1877" t="s">
        <v>3032</v>
      </c>
      <c r="D3723" s="2080"/>
      <c r="E3723" s="333"/>
      <c r="F3723" s="328"/>
      <c r="G3723" s="332"/>
      <c r="H3723" s="2075"/>
      <c r="I3723" s="1839"/>
      <c r="J3723" s="2076"/>
    </row>
    <row r="3724" spans="1:10" ht="15.75" customHeight="1">
      <c r="A3724" s="1780"/>
      <c r="B3724" s="1784"/>
      <c r="C3724" s="2082" t="s">
        <v>2110</v>
      </c>
      <c r="D3724" s="2083"/>
      <c r="E3724" s="1882"/>
      <c r="F3724" s="1845"/>
      <c r="G3724" s="1966">
        <v>0</v>
      </c>
      <c r="H3724" s="2084"/>
      <c r="I3724" s="1910"/>
      <c r="J3724" s="2085"/>
    </row>
    <row r="3725" spans="1:10" ht="15.75" customHeight="1">
      <c r="A3725" s="1780"/>
      <c r="B3725" s="1739" t="s">
        <v>979</v>
      </c>
      <c r="C3725" s="1804" t="s">
        <v>2129</v>
      </c>
      <c r="D3725" s="1763"/>
      <c r="E3725" s="1764"/>
      <c r="F3725" s="1765"/>
      <c r="G3725" s="1765">
        <f>G3717+G3722</f>
        <v>448050.83149999997</v>
      </c>
      <c r="H3725" s="2075"/>
      <c r="I3725" s="1782"/>
      <c r="J3725" s="2076"/>
    </row>
    <row r="3726" spans="1:10" ht="15.75" customHeight="1">
      <c r="A3726" s="1780"/>
      <c r="B3726" s="1739" t="s">
        <v>2093</v>
      </c>
      <c r="C3726" s="1762" t="s">
        <v>2094</v>
      </c>
      <c r="D3726" s="1767">
        <f>M$4</f>
        <v>0.15</v>
      </c>
      <c r="E3726" s="1768"/>
      <c r="F3726" s="1765"/>
      <c r="G3726" s="1765">
        <f>G3725*D3726</f>
        <v>67207.624724999987</v>
      </c>
      <c r="H3726" s="2075"/>
      <c r="I3726" s="1862">
        <f>I3717+I3722</f>
        <v>1.0000000000000002</v>
      </c>
      <c r="J3726" s="2076"/>
    </row>
    <row r="3727" spans="1:10" ht="15.75" customHeight="1">
      <c r="A3727" s="1786"/>
      <c r="B3727" s="1787" t="s">
        <v>2095</v>
      </c>
      <c r="C3727" s="1788" t="s">
        <v>2111</v>
      </c>
      <c r="D3727" s="1772"/>
      <c r="E3727" s="1773"/>
      <c r="F3727" s="1774"/>
      <c r="G3727" s="2086">
        <f>ROUNDUP((G3725+G3726),2)</f>
        <v>515258.46</v>
      </c>
      <c r="H3727" s="2087"/>
      <c r="I3727" s="2010"/>
      <c r="J3727" s="2088"/>
    </row>
    <row r="3728" spans="1:10" ht="15.75" customHeight="1">
      <c r="A3728" s="1733"/>
      <c r="B3728" s="1733"/>
      <c r="C3728" s="1733"/>
      <c r="D3728" s="1733"/>
      <c r="E3728" s="1733"/>
      <c r="F3728" s="1733"/>
      <c r="G3728" s="1733"/>
      <c r="H3728" s="1733"/>
      <c r="I3728" s="1733"/>
      <c r="J3728" s="1733"/>
    </row>
    <row r="3729" spans="1:10" ht="15.75" customHeight="1">
      <c r="A3729" s="1778">
        <f>A3712+1</f>
        <v>208</v>
      </c>
      <c r="B3729" s="1871" t="s">
        <v>3045</v>
      </c>
      <c r="C3729" s="1872" t="s">
        <v>3046</v>
      </c>
      <c r="D3729" s="2074"/>
      <c r="E3729" s="1874"/>
      <c r="F3729" s="1875"/>
      <c r="G3729" s="1875"/>
      <c r="H3729" s="1875"/>
      <c r="I3729" s="1875"/>
      <c r="J3729" s="1876"/>
    </row>
    <row r="3730" spans="1:10" ht="15.75" customHeight="1">
      <c r="A3730" s="1780"/>
      <c r="B3730" s="1739" t="s">
        <v>1004</v>
      </c>
      <c r="C3730" s="1877" t="s">
        <v>2067</v>
      </c>
      <c r="D3730" s="390"/>
      <c r="E3730" s="413"/>
      <c r="F3730" s="320"/>
      <c r="G3730" s="320"/>
      <c r="H3730" s="2075"/>
      <c r="I3730" s="1782"/>
      <c r="J3730" s="2076"/>
    </row>
    <row r="3731" spans="1:10" ht="15.75" customHeight="1">
      <c r="A3731" s="1780"/>
      <c r="B3731" s="1739"/>
      <c r="C3731" s="1878" t="s">
        <v>2103</v>
      </c>
      <c r="D3731" s="1841">
        <v>0.57199999999999995</v>
      </c>
      <c r="E3731" s="413" t="s">
        <v>2069</v>
      </c>
      <c r="F3731" s="1747">
        <f>'Bahan &amp; Upah'!C$336</f>
        <v>96332.65</v>
      </c>
      <c r="G3731" s="361">
        <f>F3731*D3731</f>
        <v>55102.275799999989</v>
      </c>
      <c r="H3731" s="2077">
        <v>1</v>
      </c>
      <c r="I3731" s="2015">
        <f>(G3731/G$3739)*H3731</f>
        <v>0.30941668462118055</v>
      </c>
      <c r="J3731" s="2076"/>
    </row>
    <row r="3732" spans="1:10" ht="15.75" customHeight="1">
      <c r="A3732" s="1780"/>
      <c r="B3732" s="1739"/>
      <c r="C3732" s="1878" t="s">
        <v>2107</v>
      </c>
      <c r="D3732" s="1841">
        <v>5.7000000000000002E-2</v>
      </c>
      <c r="E3732" s="413" t="s">
        <v>2069</v>
      </c>
      <c r="F3732" s="1883">
        <f>'Bahan &amp; Upah'!C$339</f>
        <v>102689.88</v>
      </c>
      <c r="G3732" s="1794">
        <f>F3732*D3732</f>
        <v>5853.3231600000008</v>
      </c>
      <c r="H3732" s="2077">
        <v>1</v>
      </c>
      <c r="I3732" s="2016">
        <f>(G3732/G$3739)*H3732</f>
        <v>3.2868258522701033E-2</v>
      </c>
      <c r="J3732" s="2076"/>
    </row>
    <row r="3733" spans="1:10" ht="15.75" customHeight="1">
      <c r="A3733" s="1780"/>
      <c r="B3733" s="1739"/>
      <c r="C3733" s="1889" t="s">
        <v>2108</v>
      </c>
      <c r="D3733" s="2078"/>
      <c r="E3733" s="413"/>
      <c r="F3733" s="320"/>
      <c r="G3733" s="361">
        <f>SUM(G3731:G3732)</f>
        <v>60955.598959999988</v>
      </c>
      <c r="H3733" s="2075"/>
      <c r="I3733" s="1910">
        <f>SUM(I3731:I3732)</f>
        <v>0.34228494314388158</v>
      </c>
      <c r="J3733" s="2076"/>
    </row>
    <row r="3734" spans="1:10" ht="15.75" customHeight="1">
      <c r="A3734" s="1780"/>
      <c r="B3734" s="1739" t="s">
        <v>1015</v>
      </c>
      <c r="C3734" s="1877" t="s">
        <v>2075</v>
      </c>
      <c r="D3734" s="2078"/>
      <c r="E3734" s="413"/>
      <c r="F3734" s="320"/>
      <c r="G3734" s="320"/>
      <c r="H3734" s="2075"/>
      <c r="I3734" s="1782"/>
      <c r="J3734" s="2076"/>
    </row>
    <row r="3735" spans="1:10" ht="15.75" customHeight="1">
      <c r="A3735" s="1780"/>
      <c r="B3735" s="1909"/>
      <c r="C3735" s="1889" t="s">
        <v>2091</v>
      </c>
      <c r="D3735" s="2080"/>
      <c r="E3735" s="333"/>
      <c r="F3735" s="328"/>
      <c r="G3735" s="361">
        <v>0</v>
      </c>
      <c r="H3735" s="2075"/>
      <c r="I3735" s="1910"/>
      <c r="J3735" s="2076"/>
    </row>
    <row r="3736" spans="1:10" ht="15.75" customHeight="1">
      <c r="A3736" s="1780"/>
      <c r="B3736" s="1739" t="s">
        <v>1048</v>
      </c>
      <c r="C3736" s="1877" t="s">
        <v>2109</v>
      </c>
      <c r="D3736" s="2080"/>
      <c r="E3736" s="333"/>
      <c r="F3736" s="328"/>
      <c r="G3736" s="332"/>
      <c r="H3736" s="2075"/>
      <c r="I3736" s="1839"/>
      <c r="J3736" s="2076"/>
    </row>
    <row r="3737" spans="1:10" ht="15.75" customHeight="1">
      <c r="A3737" s="1780"/>
      <c r="B3737" s="1884"/>
      <c r="C3737" s="1878" t="s">
        <v>3037</v>
      </c>
      <c r="D3737" s="2080">
        <v>1</v>
      </c>
      <c r="E3737" s="333" t="s">
        <v>1340</v>
      </c>
      <c r="F3737" s="1747">
        <f>'Bahan &amp; Upah'!C$328/8</f>
        <v>117128.77250000001</v>
      </c>
      <c r="G3737" s="1794">
        <f>F3737*D3737</f>
        <v>117128.77250000001</v>
      </c>
      <c r="H3737" s="2077">
        <v>1</v>
      </c>
      <c r="I3737" s="2016">
        <f>(G3737/G$3739)*H3737</f>
        <v>0.65771505685611842</v>
      </c>
      <c r="J3737" s="2076"/>
    </row>
    <row r="3738" spans="1:10" ht="15.75" customHeight="1">
      <c r="A3738" s="1780"/>
      <c r="B3738" s="1784"/>
      <c r="C3738" s="2082" t="s">
        <v>2110</v>
      </c>
      <c r="D3738" s="2083"/>
      <c r="E3738" s="1882"/>
      <c r="F3738" s="1845"/>
      <c r="G3738" s="1966">
        <f>SUM(G3737)</f>
        <v>117128.77250000001</v>
      </c>
      <c r="H3738" s="2084"/>
      <c r="I3738" s="1910">
        <f>SUM(I3736:I3737)</f>
        <v>0.65771505685611842</v>
      </c>
      <c r="J3738" s="2085"/>
    </row>
    <row r="3739" spans="1:10" ht="15.75" customHeight="1">
      <c r="A3739" s="1780"/>
      <c r="B3739" s="1739" t="s">
        <v>979</v>
      </c>
      <c r="C3739" s="1804" t="s">
        <v>2129</v>
      </c>
      <c r="D3739" s="1763"/>
      <c r="E3739" s="1764"/>
      <c r="F3739" s="1765"/>
      <c r="G3739" s="1765">
        <f>G3733+G3738</f>
        <v>178084.37145999999</v>
      </c>
      <c r="H3739" s="2075"/>
      <c r="I3739" s="1782"/>
      <c r="J3739" s="2076"/>
    </row>
    <row r="3740" spans="1:10" ht="15.75" customHeight="1">
      <c r="A3740" s="1780"/>
      <c r="B3740" s="1739" t="s">
        <v>2093</v>
      </c>
      <c r="C3740" s="1762" t="s">
        <v>2094</v>
      </c>
      <c r="D3740" s="1767">
        <f>M$4</f>
        <v>0.15</v>
      </c>
      <c r="E3740" s="1768"/>
      <c r="F3740" s="1765"/>
      <c r="G3740" s="1765">
        <f>G3739*D3740</f>
        <v>26712.655718999998</v>
      </c>
      <c r="H3740" s="2075"/>
      <c r="I3740" s="1862">
        <f>I3733+I3738</f>
        <v>1</v>
      </c>
      <c r="J3740" s="2076"/>
    </row>
    <row r="3741" spans="1:10" ht="15.75" customHeight="1">
      <c r="A3741" s="1786"/>
      <c r="B3741" s="1787" t="s">
        <v>2095</v>
      </c>
      <c r="C3741" s="1788" t="s">
        <v>2111</v>
      </c>
      <c r="D3741" s="1772"/>
      <c r="E3741" s="1773"/>
      <c r="F3741" s="1774"/>
      <c r="G3741" s="2086">
        <f>ROUNDUP((G3739+G3740),2)</f>
        <v>204797.03</v>
      </c>
      <c r="H3741" s="2087"/>
      <c r="I3741" s="2010"/>
      <c r="J3741" s="2088"/>
    </row>
    <row r="3742" spans="1:10" ht="15.75" customHeight="1">
      <c r="A3742" s="1733"/>
      <c r="B3742" s="1733"/>
      <c r="C3742" s="1733"/>
      <c r="D3742" s="1733"/>
      <c r="E3742" s="1733"/>
      <c r="F3742" s="1733"/>
      <c r="G3742" s="1733"/>
      <c r="H3742" s="1733"/>
      <c r="I3742" s="1733"/>
      <c r="J3742" s="1733"/>
    </row>
    <row r="3743" spans="1:10" ht="15.75" customHeight="1">
      <c r="A3743" s="1778">
        <f>A3729+1</f>
        <v>209</v>
      </c>
      <c r="B3743" s="1871" t="s">
        <v>3047</v>
      </c>
      <c r="C3743" s="1872" t="s">
        <v>3048</v>
      </c>
      <c r="D3743" s="2074"/>
      <c r="E3743" s="1874"/>
      <c r="F3743" s="1875"/>
      <c r="G3743" s="1875"/>
      <c r="H3743" s="1875"/>
      <c r="I3743" s="1875"/>
      <c r="J3743" s="1876"/>
    </row>
    <row r="3744" spans="1:10" ht="15.75" customHeight="1">
      <c r="A3744" s="1780"/>
      <c r="B3744" s="1739" t="s">
        <v>1004</v>
      </c>
      <c r="C3744" s="1877" t="s">
        <v>2067</v>
      </c>
      <c r="D3744" s="390"/>
      <c r="E3744" s="413"/>
      <c r="F3744" s="320"/>
      <c r="G3744" s="320"/>
      <c r="H3744" s="2075"/>
      <c r="I3744" s="1782"/>
      <c r="J3744" s="2076"/>
    </row>
    <row r="3745" spans="1:10" ht="15.75" customHeight="1">
      <c r="A3745" s="1780"/>
      <c r="B3745" s="1739"/>
      <c r="C3745" s="1878" t="s">
        <v>2103</v>
      </c>
      <c r="D3745" s="1841">
        <v>0.57199999999999995</v>
      </c>
      <c r="E3745" s="413" t="s">
        <v>2069</v>
      </c>
      <c r="F3745" s="1747">
        <f>'Bahan &amp; Upah'!C$336</f>
        <v>96332.65</v>
      </c>
      <c r="G3745" s="361">
        <f>F3745*D3745</f>
        <v>55102.275799999989</v>
      </c>
      <c r="H3745" s="2077">
        <v>1</v>
      </c>
      <c r="I3745" s="2015">
        <f>(G3745/G$3753)*H3745</f>
        <v>0.30941668462118055</v>
      </c>
      <c r="J3745" s="2076"/>
    </row>
    <row r="3746" spans="1:10" ht="15.75" customHeight="1">
      <c r="A3746" s="1780"/>
      <c r="B3746" s="1739"/>
      <c r="C3746" s="1878" t="s">
        <v>2107</v>
      </c>
      <c r="D3746" s="1841">
        <v>5.7000000000000002E-2</v>
      </c>
      <c r="E3746" s="413" t="s">
        <v>2069</v>
      </c>
      <c r="F3746" s="1883">
        <f>'Bahan &amp; Upah'!C$339</f>
        <v>102689.88</v>
      </c>
      <c r="G3746" s="1794">
        <f>F3746*D3746</f>
        <v>5853.3231600000008</v>
      </c>
      <c r="H3746" s="2077">
        <v>1</v>
      </c>
      <c r="I3746" s="2016">
        <f>(G3746/G$3753)*H3746</f>
        <v>3.2868258522701033E-2</v>
      </c>
      <c r="J3746" s="2076"/>
    </row>
    <row r="3747" spans="1:10" ht="15.75" customHeight="1">
      <c r="A3747" s="1780"/>
      <c r="B3747" s="1739"/>
      <c r="C3747" s="1889" t="s">
        <v>2108</v>
      </c>
      <c r="D3747" s="2078"/>
      <c r="E3747" s="413"/>
      <c r="F3747" s="320"/>
      <c r="G3747" s="361">
        <f>SUM(G3745:G3746)</f>
        <v>60955.598959999988</v>
      </c>
      <c r="H3747" s="2075"/>
      <c r="I3747" s="1910">
        <f>SUM(I3745:I3746)</f>
        <v>0.34228494314388158</v>
      </c>
      <c r="J3747" s="2076"/>
    </row>
    <row r="3748" spans="1:10" ht="15.75" customHeight="1">
      <c r="A3748" s="1780"/>
      <c r="B3748" s="1739" t="s">
        <v>1015</v>
      </c>
      <c r="C3748" s="1877" t="s">
        <v>2075</v>
      </c>
      <c r="D3748" s="2078"/>
      <c r="E3748" s="413"/>
      <c r="F3748" s="320"/>
      <c r="G3748" s="320"/>
      <c r="H3748" s="2075"/>
      <c r="I3748" s="1782"/>
      <c r="J3748" s="2076"/>
    </row>
    <row r="3749" spans="1:10" ht="15.75" customHeight="1">
      <c r="A3749" s="1780"/>
      <c r="B3749" s="1909"/>
      <c r="C3749" s="1889" t="s">
        <v>2091</v>
      </c>
      <c r="D3749" s="2080"/>
      <c r="E3749" s="333"/>
      <c r="F3749" s="328"/>
      <c r="G3749" s="361">
        <v>0</v>
      </c>
      <c r="H3749" s="2075"/>
      <c r="I3749" s="1910"/>
      <c r="J3749" s="2076"/>
    </row>
    <row r="3750" spans="1:10" ht="15.75" customHeight="1">
      <c r="A3750" s="1780"/>
      <c r="B3750" s="1739" t="s">
        <v>1048</v>
      </c>
      <c r="C3750" s="1877" t="s">
        <v>2109</v>
      </c>
      <c r="D3750" s="2080"/>
      <c r="E3750" s="333"/>
      <c r="F3750" s="328"/>
      <c r="G3750" s="332"/>
      <c r="H3750" s="2075"/>
      <c r="I3750" s="1839"/>
      <c r="J3750" s="2076"/>
    </row>
    <row r="3751" spans="1:10" ht="15.75" customHeight="1">
      <c r="A3751" s="1780"/>
      <c r="B3751" s="1884"/>
      <c r="C3751" s="1878" t="s">
        <v>3037</v>
      </c>
      <c r="D3751" s="2080">
        <v>1</v>
      </c>
      <c r="E3751" s="333" t="s">
        <v>1340</v>
      </c>
      <c r="F3751" s="1747">
        <f>'Bahan &amp; Upah'!C$328/8</f>
        <v>117128.77250000001</v>
      </c>
      <c r="G3751" s="1794">
        <f>F3751*D3751</f>
        <v>117128.77250000001</v>
      </c>
      <c r="H3751" s="2077">
        <v>1</v>
      </c>
      <c r="I3751" s="2016">
        <f>(G3751/G$3753)*H3751</f>
        <v>0.65771505685611842</v>
      </c>
      <c r="J3751" s="2076"/>
    </row>
    <row r="3752" spans="1:10" ht="15.75" customHeight="1">
      <c r="A3752" s="1780"/>
      <c r="B3752" s="1784"/>
      <c r="C3752" s="2082" t="s">
        <v>2110</v>
      </c>
      <c r="D3752" s="2083"/>
      <c r="E3752" s="1882"/>
      <c r="F3752" s="1845"/>
      <c r="G3752" s="1966">
        <f>SUM(G3751)</f>
        <v>117128.77250000001</v>
      </c>
      <c r="H3752" s="2084"/>
      <c r="I3752" s="1910">
        <f>SUM(I3750:I3751)</f>
        <v>0.65771505685611842</v>
      </c>
      <c r="J3752" s="2085"/>
    </row>
    <row r="3753" spans="1:10" ht="15.75" customHeight="1">
      <c r="A3753" s="1780"/>
      <c r="B3753" s="1739" t="s">
        <v>979</v>
      </c>
      <c r="C3753" s="1804" t="s">
        <v>2129</v>
      </c>
      <c r="D3753" s="1763"/>
      <c r="E3753" s="1764"/>
      <c r="F3753" s="1765"/>
      <c r="G3753" s="1765">
        <f>G3747+G3752</f>
        <v>178084.37145999999</v>
      </c>
      <c r="H3753" s="2075"/>
      <c r="I3753" s="1782"/>
      <c r="J3753" s="2076"/>
    </row>
    <row r="3754" spans="1:10" ht="15.75" customHeight="1">
      <c r="A3754" s="1780"/>
      <c r="B3754" s="1739" t="s">
        <v>2093</v>
      </c>
      <c r="C3754" s="1762" t="s">
        <v>2094</v>
      </c>
      <c r="D3754" s="1767">
        <f>M$4</f>
        <v>0.15</v>
      </c>
      <c r="E3754" s="1768"/>
      <c r="F3754" s="1765"/>
      <c r="G3754" s="1765">
        <f>G3753*D3754</f>
        <v>26712.655718999998</v>
      </c>
      <c r="H3754" s="2075"/>
      <c r="I3754" s="1862">
        <f>I3747+I3752</f>
        <v>1</v>
      </c>
      <c r="J3754" s="2076"/>
    </row>
    <row r="3755" spans="1:10" ht="15.75" customHeight="1">
      <c r="A3755" s="1786"/>
      <c r="B3755" s="1787" t="s">
        <v>2095</v>
      </c>
      <c r="C3755" s="1788" t="s">
        <v>2111</v>
      </c>
      <c r="D3755" s="1772"/>
      <c r="E3755" s="1773"/>
      <c r="F3755" s="1774"/>
      <c r="G3755" s="2086">
        <f>ROUNDUP((G3753+G3754),2)</f>
        <v>204797.03</v>
      </c>
      <c r="H3755" s="2087"/>
      <c r="I3755" s="2010"/>
      <c r="J3755" s="2088"/>
    </row>
    <row r="3756" spans="1:10" ht="15.75" customHeight="1">
      <c r="A3756" s="1733"/>
      <c r="B3756" s="1733"/>
      <c r="C3756" s="1733"/>
      <c r="D3756" s="1733"/>
      <c r="E3756" s="1733"/>
      <c r="F3756" s="1733"/>
      <c r="G3756" s="1733"/>
      <c r="H3756" s="1733"/>
      <c r="I3756" s="1733"/>
      <c r="J3756" s="1733"/>
    </row>
    <row r="3757" spans="1:10" ht="27.75" customHeight="1">
      <c r="A3757" s="1778">
        <f>A3743+1</f>
        <v>210</v>
      </c>
      <c r="B3757" s="1871" t="s">
        <v>2147</v>
      </c>
      <c r="C3757" s="1872" t="s">
        <v>3049</v>
      </c>
      <c r="D3757" s="2074"/>
      <c r="E3757" s="1874"/>
      <c r="F3757" s="1875"/>
      <c r="G3757" s="1875"/>
      <c r="H3757" s="1875"/>
      <c r="I3757" s="1875"/>
      <c r="J3757" s="1876"/>
    </row>
    <row r="3758" spans="1:10" ht="15.75" customHeight="1">
      <c r="A3758" s="1780"/>
      <c r="B3758" s="1739" t="s">
        <v>1004</v>
      </c>
      <c r="C3758" s="1877" t="s">
        <v>2067</v>
      </c>
      <c r="D3758" s="390"/>
      <c r="E3758" s="413"/>
      <c r="F3758" s="320"/>
      <c r="G3758" s="320"/>
      <c r="H3758" s="2075"/>
      <c r="I3758" s="1782"/>
      <c r="J3758" s="2076"/>
    </row>
    <row r="3759" spans="1:10" ht="15.75" customHeight="1">
      <c r="A3759" s="1780"/>
      <c r="B3759" s="1739"/>
      <c r="C3759" s="1878" t="s">
        <v>3050</v>
      </c>
      <c r="D3759" s="1841">
        <f>(0.8+1.5)*2*(22.68/6)</f>
        <v>17.387999999999998</v>
      </c>
      <c r="E3759" s="413" t="s">
        <v>100</v>
      </c>
      <c r="F3759" s="1747">
        <f>G$1152</f>
        <v>48121.817738999991</v>
      </c>
      <c r="G3759" s="361">
        <f>F3759*D3759</f>
        <v>836742.16684573179</v>
      </c>
      <c r="H3759" s="2077">
        <v>1</v>
      </c>
      <c r="I3759" s="2015">
        <f>(G3759/G$3769)*H3759</f>
        <v>0.29850943063277435</v>
      </c>
      <c r="J3759" s="2076"/>
    </row>
    <row r="3760" spans="1:10" ht="15.75" customHeight="1">
      <c r="A3760" s="1780"/>
      <c r="B3760" s="1739"/>
      <c r="C3760" s="1878" t="s">
        <v>3051</v>
      </c>
      <c r="D3760" s="1841">
        <f>(0.75*4+1.45*2)*(14.5/6)</f>
        <v>14.258333333333333</v>
      </c>
      <c r="E3760" s="413" t="s">
        <v>100</v>
      </c>
      <c r="F3760" s="1747">
        <f>G$1152</f>
        <v>48121.817738999991</v>
      </c>
      <c r="G3760" s="361">
        <f>F3760*D3760</f>
        <v>686136.91792857484</v>
      </c>
      <c r="H3760" s="2077">
        <v>1</v>
      </c>
      <c r="I3760" s="2015">
        <f>(G3760/G$3769)*H3760</f>
        <v>0.24478070882825173</v>
      </c>
      <c r="J3760" s="2076"/>
    </row>
    <row r="3761" spans="1:10" ht="15.75" customHeight="1">
      <c r="A3761" s="1780"/>
      <c r="B3761" s="1739"/>
      <c r="C3761" s="1878" t="s">
        <v>3052</v>
      </c>
      <c r="D3761" s="1841">
        <f>(0.8*1.5)*(59/(1.22*2.44))</f>
        <v>23.783929051330293</v>
      </c>
      <c r="E3761" s="413" t="s">
        <v>100</v>
      </c>
      <c r="F3761" s="1747">
        <f>G$1152</f>
        <v>48121.817738999991</v>
      </c>
      <c r="G3761" s="361">
        <f>F3761*D3761</f>
        <v>1144525.8989254234</v>
      </c>
      <c r="H3761" s="2077">
        <v>1</v>
      </c>
      <c r="I3761" s="2015">
        <f>(G3761/G$3769)*H3761</f>
        <v>0.40831188861990497</v>
      </c>
      <c r="J3761" s="2076"/>
    </row>
    <row r="3762" spans="1:10" ht="15.75" customHeight="1">
      <c r="A3762" s="1780"/>
      <c r="B3762" s="1739"/>
      <c r="C3762" s="1878" t="s">
        <v>3053</v>
      </c>
      <c r="D3762" s="1841">
        <f>D3759+D3760+D3761</f>
        <v>55.430262384663621</v>
      </c>
      <c r="E3762" s="413" t="s">
        <v>100</v>
      </c>
      <c r="F3762" s="1883">
        <v>2447.4499999999998</v>
      </c>
      <c r="G3762" s="1794">
        <f>F3762*D3762</f>
        <v>135662.79567334498</v>
      </c>
      <c r="H3762" s="2077">
        <v>1</v>
      </c>
      <c r="I3762" s="2016">
        <f>(G3762/G$3769)*H3762</f>
        <v>4.839797191906893E-2</v>
      </c>
      <c r="J3762" s="2076"/>
    </row>
    <row r="3763" spans="1:10" ht="15.75" customHeight="1">
      <c r="A3763" s="1780"/>
      <c r="B3763" s="1739"/>
      <c r="C3763" s="1889" t="s">
        <v>2108</v>
      </c>
      <c r="D3763" s="2078"/>
      <c r="E3763" s="413"/>
      <c r="F3763" s="320"/>
      <c r="G3763" s="361">
        <f>SUM(G3759:G3762)</f>
        <v>2803067.7793730749</v>
      </c>
      <c r="H3763" s="2075"/>
      <c r="I3763" s="1910">
        <f>SUM(I3759:I3762)</f>
        <v>1</v>
      </c>
      <c r="J3763" s="2076"/>
    </row>
    <row r="3764" spans="1:10" ht="15.75" customHeight="1">
      <c r="A3764" s="1780"/>
      <c r="B3764" s="1739" t="s">
        <v>1015</v>
      </c>
      <c r="C3764" s="1877" t="s">
        <v>2075</v>
      </c>
      <c r="D3764" s="2078"/>
      <c r="E3764" s="413"/>
      <c r="F3764" s="320"/>
      <c r="G3764" s="320"/>
      <c r="H3764" s="2075"/>
      <c r="I3764" s="1782"/>
      <c r="J3764" s="2076"/>
    </row>
    <row r="3765" spans="1:10" ht="15.75" customHeight="1">
      <c r="A3765" s="1780"/>
      <c r="B3765" s="1909"/>
      <c r="C3765" s="1889" t="s">
        <v>2091</v>
      </c>
      <c r="D3765" s="2080"/>
      <c r="E3765" s="333"/>
      <c r="F3765" s="328"/>
      <c r="G3765" s="361">
        <v>0</v>
      </c>
      <c r="H3765" s="2075"/>
      <c r="I3765" s="1910"/>
      <c r="J3765" s="2076"/>
    </row>
    <row r="3766" spans="1:10" ht="15.75" customHeight="1">
      <c r="A3766" s="1780"/>
      <c r="B3766" s="1739" t="s">
        <v>1048</v>
      </c>
      <c r="C3766" s="1877" t="s">
        <v>2109</v>
      </c>
      <c r="D3766" s="2080"/>
      <c r="E3766" s="333"/>
      <c r="F3766" s="328"/>
      <c r="G3766" s="332"/>
      <c r="H3766" s="2075"/>
      <c r="I3766" s="1839"/>
      <c r="J3766" s="2076"/>
    </row>
    <row r="3767" spans="1:10" ht="15.75" customHeight="1">
      <c r="A3767" s="1780"/>
      <c r="B3767" s="1884"/>
      <c r="C3767" s="1878"/>
      <c r="D3767" s="2080"/>
      <c r="E3767" s="333"/>
      <c r="F3767" s="1747"/>
      <c r="G3767" s="1794">
        <f>F3767*D3767</f>
        <v>0</v>
      </c>
      <c r="H3767" s="2077"/>
      <c r="I3767" s="2016"/>
      <c r="J3767" s="2076"/>
    </row>
    <row r="3768" spans="1:10" ht="15.75" customHeight="1">
      <c r="A3768" s="1780"/>
      <c r="B3768" s="1784"/>
      <c r="C3768" s="2082" t="s">
        <v>2110</v>
      </c>
      <c r="D3768" s="2083"/>
      <c r="E3768" s="1882"/>
      <c r="F3768" s="1845"/>
      <c r="G3768" s="1966">
        <f>SUM(G3767)</f>
        <v>0</v>
      </c>
      <c r="H3768" s="2084"/>
      <c r="I3768" s="1910"/>
      <c r="J3768" s="2085"/>
    </row>
    <row r="3769" spans="1:10" ht="15.75" customHeight="1">
      <c r="A3769" s="1780"/>
      <c r="B3769" s="1739" t="s">
        <v>979</v>
      </c>
      <c r="C3769" s="1804" t="s">
        <v>2129</v>
      </c>
      <c r="D3769" s="1763"/>
      <c r="E3769" s="1764"/>
      <c r="F3769" s="1765"/>
      <c r="G3769" s="1765">
        <f>G3763+G3768</f>
        <v>2803067.7793730749</v>
      </c>
      <c r="H3769" s="2075"/>
      <c r="I3769" s="1782"/>
      <c r="J3769" s="2076"/>
    </row>
    <row r="3770" spans="1:10" ht="15.75" customHeight="1">
      <c r="A3770" s="1780"/>
      <c r="B3770" s="1739" t="s">
        <v>2093</v>
      </c>
      <c r="C3770" s="1762" t="s">
        <v>2094</v>
      </c>
      <c r="D3770" s="1767">
        <f>M$4</f>
        <v>0.15</v>
      </c>
      <c r="E3770" s="1768"/>
      <c r="F3770" s="1765"/>
      <c r="G3770" s="1765">
        <f>G3769*D3770</f>
        <v>420460.16690596123</v>
      </c>
      <c r="H3770" s="2075"/>
      <c r="I3770" s="1862">
        <f>I3763</f>
        <v>1</v>
      </c>
      <c r="J3770" s="2076"/>
    </row>
    <row r="3771" spans="1:10" ht="15.75" customHeight="1">
      <c r="A3771" s="1786"/>
      <c r="B3771" s="1787" t="s">
        <v>2095</v>
      </c>
      <c r="C3771" s="1788" t="s">
        <v>2111</v>
      </c>
      <c r="D3771" s="1772"/>
      <c r="E3771" s="1773"/>
      <c r="F3771" s="1774"/>
      <c r="G3771" s="2086">
        <f>ROUNDUP((G3769+G3770),2)</f>
        <v>3223527.9499999997</v>
      </c>
      <c r="H3771" s="2087"/>
      <c r="I3771" s="2010"/>
      <c r="J3771" s="2088"/>
    </row>
    <row r="3772" spans="1:10" ht="15.75" customHeight="1">
      <c r="A3772" s="1733"/>
      <c r="B3772" s="1733"/>
      <c r="C3772" s="1733"/>
      <c r="D3772" s="1733"/>
      <c r="E3772" s="1733"/>
      <c r="F3772" s="1733"/>
      <c r="G3772" s="1733"/>
      <c r="H3772" s="1733"/>
      <c r="I3772" s="1733"/>
      <c r="J3772" s="1733"/>
    </row>
    <row r="3773" spans="1:10" ht="15.75" customHeight="1">
      <c r="A3773" s="1778">
        <f>A3757+1</f>
        <v>211</v>
      </c>
      <c r="B3773" s="1871" t="s">
        <v>3054</v>
      </c>
      <c r="C3773" s="1872" t="s">
        <v>3055</v>
      </c>
      <c r="D3773" s="2074"/>
      <c r="E3773" s="1874"/>
      <c r="F3773" s="1875"/>
      <c r="G3773" s="1875"/>
      <c r="H3773" s="1875"/>
      <c r="I3773" s="1875"/>
      <c r="J3773" s="1876"/>
    </row>
    <row r="3774" spans="1:10" ht="15.75" customHeight="1">
      <c r="A3774" s="1780"/>
      <c r="B3774" s="1739" t="s">
        <v>1004</v>
      </c>
      <c r="C3774" s="1877" t="s">
        <v>2067</v>
      </c>
      <c r="D3774" s="390"/>
      <c r="E3774" s="413"/>
      <c r="F3774" s="320"/>
      <c r="G3774" s="320"/>
      <c r="H3774" s="2075"/>
      <c r="I3774" s="1782"/>
      <c r="J3774" s="2076"/>
    </row>
    <row r="3775" spans="1:10" ht="15.75" customHeight="1">
      <c r="A3775" s="1780"/>
      <c r="B3775" s="1739"/>
      <c r="C3775" s="1878" t="s">
        <v>2103</v>
      </c>
      <c r="D3775" s="1781">
        <v>0.442</v>
      </c>
      <c r="E3775" s="413" t="s">
        <v>2069</v>
      </c>
      <c r="F3775" s="1747">
        <f>'Bahan &amp; Upah'!C$336</f>
        <v>96332.65</v>
      </c>
      <c r="G3775" s="361">
        <f>F3775*D3775</f>
        <v>42579.031299999995</v>
      </c>
      <c r="H3775" s="2077">
        <v>1</v>
      </c>
      <c r="I3775" s="2015">
        <f>(G3775/G$3785)*H3775</f>
        <v>7.2967468757732844E-4</v>
      </c>
      <c r="J3775" s="2076"/>
    </row>
    <row r="3776" spans="1:10" ht="15.75" customHeight="1">
      <c r="A3776" s="1780"/>
      <c r="B3776" s="1739"/>
      <c r="C3776" s="1878" t="s">
        <v>2766</v>
      </c>
      <c r="D3776" s="1781">
        <v>0.73799999999999999</v>
      </c>
      <c r="E3776" s="413" t="s">
        <v>2069</v>
      </c>
      <c r="F3776" s="1883">
        <f>'Bahan &amp; Upah'!C$337</f>
        <v>114133.55</v>
      </c>
      <c r="G3776" s="361">
        <f>F3776*D3776</f>
        <v>84230.559900000007</v>
      </c>
      <c r="H3776" s="2077">
        <v>1</v>
      </c>
      <c r="I3776" s="2015">
        <f>(G3776/G$3785)*H3776</f>
        <v>1.4434548086934981E-3</v>
      </c>
      <c r="J3776" s="2076"/>
    </row>
    <row r="3777" spans="1:10" ht="15.75" customHeight="1">
      <c r="A3777" s="1780"/>
      <c r="B3777" s="1739"/>
      <c r="C3777" s="1878" t="s">
        <v>2105</v>
      </c>
      <c r="D3777" s="1781">
        <v>7.3999999999999996E-2</v>
      </c>
      <c r="E3777" s="413" t="s">
        <v>2069</v>
      </c>
      <c r="F3777" s="1748">
        <f>'Bahan &amp; Upah'!C$338</f>
        <v>125485.75</v>
      </c>
      <c r="G3777" s="361">
        <f>F3777*D3777</f>
        <v>9285.9454999999998</v>
      </c>
      <c r="H3777" s="2077">
        <v>1</v>
      </c>
      <c r="I3777" s="2015">
        <f>(G3777/G$3785)*H3777</f>
        <v>1.5913277438917687E-4</v>
      </c>
      <c r="J3777" s="2076"/>
    </row>
    <row r="3778" spans="1:10" ht="15.75" customHeight="1">
      <c r="A3778" s="1780"/>
      <c r="B3778" s="1739"/>
      <c r="C3778" s="1878" t="s">
        <v>2107</v>
      </c>
      <c r="D3778" s="1841">
        <v>2.1999999999999999E-2</v>
      </c>
      <c r="E3778" s="413" t="s">
        <v>2069</v>
      </c>
      <c r="F3778" s="1883">
        <f>'Bahan &amp; Upah'!C$339</f>
        <v>102689.88</v>
      </c>
      <c r="G3778" s="1785">
        <f>F3778*D3778</f>
        <v>2259.1773600000001</v>
      </c>
      <c r="H3778" s="2077">
        <v>1</v>
      </c>
      <c r="I3778" s="2016">
        <f>(G3778/G$3785)*H3778</f>
        <v>3.8715407185408984E-5</v>
      </c>
      <c r="J3778" s="2076"/>
    </row>
    <row r="3779" spans="1:10" ht="15.75" customHeight="1">
      <c r="A3779" s="1780"/>
      <c r="B3779" s="1739"/>
      <c r="C3779" s="1889" t="s">
        <v>2108</v>
      </c>
      <c r="D3779" s="1841"/>
      <c r="E3779" s="413"/>
      <c r="F3779" s="320"/>
      <c r="G3779" s="361">
        <f>SUM(G3775:G3778)</f>
        <v>138354.71406</v>
      </c>
      <c r="H3779" s="2075"/>
      <c r="I3779" s="1910">
        <f>SUM(I3775:I3778)</f>
        <v>2.3709776778454124E-3</v>
      </c>
      <c r="J3779" s="2076"/>
    </row>
    <row r="3780" spans="1:10" ht="15.75" customHeight="1">
      <c r="A3780" s="1780"/>
      <c r="B3780" s="1739" t="s">
        <v>1015</v>
      </c>
      <c r="C3780" s="1877" t="s">
        <v>2075</v>
      </c>
      <c r="D3780" s="2078"/>
      <c r="E3780" s="413"/>
      <c r="F3780" s="320"/>
      <c r="G3780" s="320"/>
      <c r="H3780" s="2075"/>
      <c r="I3780" s="1782"/>
      <c r="J3780" s="2076"/>
    </row>
    <row r="3781" spans="1:10" ht="42" customHeight="1">
      <c r="A3781" s="1780"/>
      <c r="B3781" s="1739"/>
      <c r="C3781" s="2079" t="s">
        <v>3056</v>
      </c>
      <c r="D3781" s="2078">
        <v>1</v>
      </c>
      <c r="E3781" s="413" t="s">
        <v>360</v>
      </c>
      <c r="F3781" s="1748">
        <f>'Bahan &amp; Upah'!C300</f>
        <v>58215089.670000002</v>
      </c>
      <c r="G3781" s="1785">
        <f>F3781*D3781</f>
        <v>58215089.670000002</v>
      </c>
      <c r="H3781" s="2077">
        <v>0.2321</v>
      </c>
      <c r="I3781" s="2015">
        <f>(G3781/G$3785)*H3781</f>
        <v>0.23154969608097206</v>
      </c>
      <c r="J3781" s="2076"/>
    </row>
    <row r="3782" spans="1:10" ht="15.75" customHeight="1">
      <c r="A3782" s="1780"/>
      <c r="B3782" s="1909"/>
      <c r="C3782" s="1889" t="s">
        <v>2091</v>
      </c>
      <c r="D3782" s="2080"/>
      <c r="E3782" s="333"/>
      <c r="F3782" s="328"/>
      <c r="G3782" s="361">
        <f>SUM(G3781)</f>
        <v>58215089.670000002</v>
      </c>
      <c r="H3782" s="2075"/>
      <c r="I3782" s="2016">
        <f>SUM(I3781)</f>
        <v>0.23154969608097206</v>
      </c>
      <c r="J3782" s="2076"/>
    </row>
    <row r="3783" spans="1:10" ht="15.75" customHeight="1">
      <c r="A3783" s="1780"/>
      <c r="B3783" s="1739" t="s">
        <v>1048</v>
      </c>
      <c r="C3783" s="1877" t="s">
        <v>2246</v>
      </c>
      <c r="D3783" s="2080"/>
      <c r="E3783" s="333"/>
      <c r="F3783" s="328"/>
      <c r="G3783" s="332"/>
      <c r="H3783" s="2075"/>
      <c r="I3783" s="1910"/>
      <c r="J3783" s="2076"/>
    </row>
    <row r="3784" spans="1:10" ht="15.75" customHeight="1">
      <c r="A3784" s="1780"/>
      <c r="B3784" s="1784"/>
      <c r="C3784" s="2082" t="s">
        <v>2110</v>
      </c>
      <c r="D3784" s="2083"/>
      <c r="E3784" s="1882"/>
      <c r="F3784" s="1845"/>
      <c r="G3784" s="1966"/>
      <c r="H3784" s="2084"/>
      <c r="I3784" s="1910"/>
      <c r="J3784" s="2085"/>
    </row>
    <row r="3785" spans="1:10" ht="15.75" customHeight="1">
      <c r="A3785" s="1780"/>
      <c r="B3785" s="1739" t="s">
        <v>979</v>
      </c>
      <c r="C3785" s="1804" t="s">
        <v>2129</v>
      </c>
      <c r="D3785" s="1763"/>
      <c r="E3785" s="1764"/>
      <c r="F3785" s="1765"/>
      <c r="G3785" s="1765">
        <f>G3779+G3782</f>
        <v>58353444.384060003</v>
      </c>
      <c r="H3785" s="2075"/>
      <c r="I3785" s="1782"/>
      <c r="J3785" s="2076"/>
    </row>
    <row r="3786" spans="1:10" ht="15.75" customHeight="1">
      <c r="A3786" s="1780"/>
      <c r="B3786" s="1739" t="s">
        <v>2093</v>
      </c>
      <c r="C3786" s="1762" t="s">
        <v>2094</v>
      </c>
      <c r="D3786" s="1767">
        <f>M$4</f>
        <v>0.15</v>
      </c>
      <c r="E3786" s="1768"/>
      <c r="F3786" s="1765"/>
      <c r="G3786" s="1765">
        <f>G3785*D3786</f>
        <v>8753016.6576090008</v>
      </c>
      <c r="H3786" s="2075"/>
      <c r="I3786" s="1862">
        <f>I3779+I3782</f>
        <v>0.23392067375881748</v>
      </c>
      <c r="J3786" s="2076"/>
    </row>
    <row r="3787" spans="1:10" ht="15.75" customHeight="1">
      <c r="A3787" s="1786"/>
      <c r="B3787" s="1787" t="s">
        <v>2095</v>
      </c>
      <c r="C3787" s="1788" t="s">
        <v>2111</v>
      </c>
      <c r="D3787" s="1772"/>
      <c r="E3787" s="1773"/>
      <c r="F3787" s="1774"/>
      <c r="G3787" s="2086">
        <f>ROUNDUP((G3785+G3786),2)</f>
        <v>67106461.049999997</v>
      </c>
      <c r="H3787" s="2087"/>
      <c r="I3787" s="2010"/>
      <c r="J3787" s="2088"/>
    </row>
    <row r="3788" spans="1:10" ht="15.75" customHeight="1">
      <c r="A3788" s="1733"/>
      <c r="B3788" s="1733"/>
      <c r="C3788" s="1733"/>
      <c r="D3788" s="1733"/>
      <c r="E3788" s="1733"/>
      <c r="F3788" s="1733"/>
      <c r="G3788" s="1733"/>
      <c r="H3788" s="1733"/>
      <c r="I3788" s="1733"/>
      <c r="J3788" s="1733"/>
    </row>
    <row r="3789" spans="1:10" ht="15.75" customHeight="1">
      <c r="A3789" s="1778">
        <f>A3773+1</f>
        <v>212</v>
      </c>
      <c r="B3789" s="1871" t="s">
        <v>3054</v>
      </c>
      <c r="C3789" s="1872" t="s">
        <v>3057</v>
      </c>
      <c r="D3789" s="2074"/>
      <c r="E3789" s="1874"/>
      <c r="F3789" s="1875"/>
      <c r="G3789" s="1875"/>
      <c r="H3789" s="1875"/>
      <c r="I3789" s="1875"/>
      <c r="J3789" s="1876"/>
    </row>
    <row r="3790" spans="1:10" ht="15.75" customHeight="1">
      <c r="A3790" s="1780"/>
      <c r="B3790" s="1739" t="s">
        <v>1004</v>
      </c>
      <c r="C3790" s="1877" t="s">
        <v>2067</v>
      </c>
      <c r="D3790" s="390"/>
      <c r="E3790" s="413"/>
      <c r="F3790" s="320"/>
      <c r="G3790" s="320"/>
      <c r="H3790" s="2075"/>
      <c r="I3790" s="1782"/>
      <c r="J3790" s="2076"/>
    </row>
    <row r="3791" spans="1:10" ht="15.75" customHeight="1">
      <c r="A3791" s="1780"/>
      <c r="B3791" s="1739"/>
      <c r="C3791" s="1878" t="s">
        <v>2103</v>
      </c>
      <c r="D3791" s="1781">
        <v>0.442</v>
      </c>
      <c r="E3791" s="413" t="s">
        <v>2069</v>
      </c>
      <c r="F3791" s="1747">
        <f>'Bahan &amp; Upah'!C$336</f>
        <v>96332.65</v>
      </c>
      <c r="G3791" s="361">
        <f>F3791*D3791</f>
        <v>42579.031299999995</v>
      </c>
      <c r="H3791" s="2077">
        <v>1</v>
      </c>
      <c r="I3791" s="2015">
        <f>(G3791/G$3801)*H3791</f>
        <v>1.1647284170862516E-2</v>
      </c>
      <c r="J3791" s="2076"/>
    </row>
    <row r="3792" spans="1:10" ht="15.75" customHeight="1">
      <c r="A3792" s="1780"/>
      <c r="B3792" s="1739"/>
      <c r="C3792" s="1878" t="s">
        <v>2766</v>
      </c>
      <c r="D3792" s="1781">
        <v>0.73799999999999999</v>
      </c>
      <c r="E3792" s="413" t="s">
        <v>2069</v>
      </c>
      <c r="F3792" s="1883">
        <f>'Bahan &amp; Upah'!C$337</f>
        <v>114133.55</v>
      </c>
      <c r="G3792" s="361">
        <f>F3792*D3792</f>
        <v>84230.559900000007</v>
      </c>
      <c r="H3792" s="2077">
        <v>1</v>
      </c>
      <c r="I3792" s="2015">
        <f>(G3792/G$3801)*H3792</f>
        <v>2.3040854549130081E-2</v>
      </c>
      <c r="J3792" s="2076"/>
    </row>
    <row r="3793" spans="1:10" ht="15.75" customHeight="1">
      <c r="A3793" s="1780"/>
      <c r="B3793" s="1739"/>
      <c r="C3793" s="1878" t="s">
        <v>2105</v>
      </c>
      <c r="D3793" s="1781">
        <v>7.3999999999999996E-2</v>
      </c>
      <c r="E3793" s="413" t="s">
        <v>2069</v>
      </c>
      <c r="F3793" s="1748">
        <f>'Bahan &amp; Upah'!C$338</f>
        <v>125485.75</v>
      </c>
      <c r="G3793" s="361">
        <f>F3793*D3793</f>
        <v>9285.9454999999998</v>
      </c>
      <c r="H3793" s="2077">
        <v>1</v>
      </c>
      <c r="I3793" s="2015">
        <f>(G3793/G$3801)*H3793</f>
        <v>2.5401246278151475E-3</v>
      </c>
      <c r="J3793" s="2076"/>
    </row>
    <row r="3794" spans="1:10" ht="15.75" customHeight="1">
      <c r="A3794" s="1780"/>
      <c r="B3794" s="1739"/>
      <c r="C3794" s="1878" t="s">
        <v>2107</v>
      </c>
      <c r="D3794" s="1841">
        <v>2.1999999999999999E-2</v>
      </c>
      <c r="E3794" s="413" t="s">
        <v>2069</v>
      </c>
      <c r="F3794" s="1883">
        <f>'Bahan &amp; Upah'!C$339</f>
        <v>102689.88</v>
      </c>
      <c r="G3794" s="1785">
        <f>F3794*D3794</f>
        <v>2259.1773600000001</v>
      </c>
      <c r="H3794" s="2077">
        <v>1</v>
      </c>
      <c r="I3794" s="2016">
        <f>(G3794/G$3801)*H3794</f>
        <v>6.1798683297661049E-4</v>
      </c>
      <c r="J3794" s="2076"/>
    </row>
    <row r="3795" spans="1:10" ht="15.75" customHeight="1">
      <c r="A3795" s="1780"/>
      <c r="B3795" s="1739"/>
      <c r="C3795" s="1889" t="s">
        <v>2108</v>
      </c>
      <c r="D3795" s="1841"/>
      <c r="E3795" s="413"/>
      <c r="F3795" s="320"/>
      <c r="G3795" s="361">
        <f>SUM(G3791:G3794)</f>
        <v>138354.71406</v>
      </c>
      <c r="H3795" s="2075"/>
      <c r="I3795" s="1910">
        <f>SUM(I3791:I3794)</f>
        <v>3.7846250180784358E-2</v>
      </c>
      <c r="J3795" s="2076"/>
    </row>
    <row r="3796" spans="1:10" ht="15.75" customHeight="1">
      <c r="A3796" s="1780"/>
      <c r="B3796" s="1739" t="s">
        <v>1015</v>
      </c>
      <c r="C3796" s="1877" t="s">
        <v>2075</v>
      </c>
      <c r="D3796" s="2078"/>
      <c r="E3796" s="413"/>
      <c r="F3796" s="320"/>
      <c r="G3796" s="320"/>
      <c r="H3796" s="2075"/>
      <c r="I3796" s="1782"/>
      <c r="J3796" s="2076"/>
    </row>
    <row r="3797" spans="1:10" ht="27.75" customHeight="1">
      <c r="A3797" s="1780"/>
      <c r="B3797" s="1739"/>
      <c r="C3797" s="2079" t="s">
        <v>1352</v>
      </c>
      <c r="D3797" s="2078">
        <v>1</v>
      </c>
      <c r="E3797" s="413" t="s">
        <v>360</v>
      </c>
      <c r="F3797" s="1748">
        <f>'Bahan &amp; Upah'!C$301</f>
        <v>3517349.97</v>
      </c>
      <c r="G3797" s="1785">
        <f>F3797*D3797</f>
        <v>3517349.97</v>
      </c>
      <c r="H3797" s="2077">
        <v>0.2321</v>
      </c>
      <c r="I3797" s="2016">
        <f>(G3797/G$3801)*H3797</f>
        <v>0.22331588533303995</v>
      </c>
      <c r="J3797" s="2076"/>
    </row>
    <row r="3798" spans="1:10" ht="15.75" customHeight="1">
      <c r="A3798" s="1780"/>
      <c r="B3798" s="1909"/>
      <c r="C3798" s="1889" t="s">
        <v>2091</v>
      </c>
      <c r="D3798" s="2080"/>
      <c r="E3798" s="333"/>
      <c r="F3798" s="328"/>
      <c r="G3798" s="361">
        <f>SUM(G3797)</f>
        <v>3517349.97</v>
      </c>
      <c r="H3798" s="2075"/>
      <c r="I3798" s="2081">
        <f>SUM(I3797)</f>
        <v>0.22331588533303995</v>
      </c>
      <c r="J3798" s="2076"/>
    </row>
    <row r="3799" spans="1:10" ht="15.75" customHeight="1">
      <c r="A3799" s="1780"/>
      <c r="B3799" s="1739" t="s">
        <v>1048</v>
      </c>
      <c r="C3799" s="1877" t="s">
        <v>2246</v>
      </c>
      <c r="D3799" s="2080"/>
      <c r="E3799" s="333"/>
      <c r="F3799" s="328"/>
      <c r="G3799" s="332"/>
      <c r="H3799" s="2075"/>
      <c r="I3799" s="1910"/>
      <c r="J3799" s="2076"/>
    </row>
    <row r="3800" spans="1:10" ht="15.75" customHeight="1">
      <c r="A3800" s="1780"/>
      <c r="B3800" s="1784"/>
      <c r="C3800" s="2082" t="s">
        <v>2110</v>
      </c>
      <c r="D3800" s="2083"/>
      <c r="E3800" s="1882"/>
      <c r="F3800" s="1845"/>
      <c r="G3800" s="1966"/>
      <c r="H3800" s="2084"/>
      <c r="I3800" s="1910"/>
      <c r="J3800" s="2085"/>
    </row>
    <row r="3801" spans="1:10" ht="15.75" customHeight="1">
      <c r="A3801" s="1780"/>
      <c r="B3801" s="1739" t="s">
        <v>979</v>
      </c>
      <c r="C3801" s="1804" t="s">
        <v>2129</v>
      </c>
      <c r="D3801" s="1763"/>
      <c r="E3801" s="1764"/>
      <c r="F3801" s="1765"/>
      <c r="G3801" s="1765">
        <f>G3795+G3798</f>
        <v>3655704.6840600003</v>
      </c>
      <c r="H3801" s="2075"/>
      <c r="I3801" s="1782"/>
      <c r="J3801" s="2076"/>
    </row>
    <row r="3802" spans="1:10" ht="15.75" customHeight="1">
      <c r="A3802" s="1780"/>
      <c r="B3802" s="1739" t="s">
        <v>2093</v>
      </c>
      <c r="C3802" s="1762" t="s">
        <v>2094</v>
      </c>
      <c r="D3802" s="1767">
        <f>M$4</f>
        <v>0.15</v>
      </c>
      <c r="E3802" s="1768"/>
      <c r="F3802" s="1765"/>
      <c r="G3802" s="1765">
        <f>G3801*D3802</f>
        <v>548355.70260900003</v>
      </c>
      <c r="H3802" s="2075"/>
      <c r="I3802" s="1862">
        <f>I3795+I3798</f>
        <v>0.26116213551382428</v>
      </c>
      <c r="J3802" s="2076"/>
    </row>
    <row r="3803" spans="1:10" ht="15.75" customHeight="1">
      <c r="A3803" s="1786"/>
      <c r="B3803" s="1787" t="s">
        <v>2095</v>
      </c>
      <c r="C3803" s="1788" t="s">
        <v>2111</v>
      </c>
      <c r="D3803" s="1772"/>
      <c r="E3803" s="1773"/>
      <c r="F3803" s="1774"/>
      <c r="G3803" s="2086">
        <f>ROUNDUP((G3801+G3802),2)</f>
        <v>4204060.3899999997</v>
      </c>
      <c r="H3803" s="2087"/>
      <c r="I3803" s="2010"/>
      <c r="J3803" s="2088"/>
    </row>
    <row r="3804" spans="1:10" ht="15.75" customHeight="1">
      <c r="A3804" s="1733"/>
      <c r="B3804" s="1733"/>
      <c r="C3804" s="1733"/>
      <c r="D3804" s="1733"/>
      <c r="E3804" s="1733"/>
      <c r="F3804" s="1733"/>
      <c r="G3804" s="1733"/>
      <c r="H3804" s="1733"/>
      <c r="I3804" s="1733"/>
      <c r="J3804" s="1733"/>
    </row>
    <row r="3805" spans="1:10" ht="15.75" customHeight="1">
      <c r="A3805" s="1778">
        <f>A3789+1</f>
        <v>213</v>
      </c>
      <c r="B3805" s="1871" t="s">
        <v>3058</v>
      </c>
      <c r="C3805" s="1872" t="s">
        <v>3059</v>
      </c>
      <c r="D3805" s="2106"/>
      <c r="E3805" s="1874"/>
      <c r="F3805" s="1875"/>
      <c r="G3805" s="1875"/>
      <c r="H3805" s="1875"/>
      <c r="I3805" s="1875"/>
      <c r="J3805" s="1876"/>
    </row>
    <row r="3806" spans="1:10" ht="15.75" customHeight="1">
      <c r="A3806" s="1780"/>
      <c r="B3806" s="1739" t="s">
        <v>1004</v>
      </c>
      <c r="C3806" s="1877" t="s">
        <v>2067</v>
      </c>
      <c r="D3806" s="343"/>
      <c r="E3806" s="413"/>
      <c r="F3806" s="320"/>
      <c r="G3806" s="320"/>
      <c r="H3806" s="2075"/>
      <c r="I3806" s="1782"/>
      <c r="J3806" s="2076"/>
    </row>
    <row r="3807" spans="1:10" ht="15.75" customHeight="1">
      <c r="A3807" s="1780"/>
      <c r="B3807" s="1739"/>
      <c r="C3807" s="1878" t="s">
        <v>2103</v>
      </c>
      <c r="D3807" s="1781">
        <v>1.11E-2</v>
      </c>
      <c r="E3807" s="413" t="s">
        <v>2069</v>
      </c>
      <c r="F3807" s="1747">
        <f>'Bahan &amp; Upah'!C$336</f>
        <v>96332.65</v>
      </c>
      <c r="G3807" s="361">
        <f>F3807*D3807</f>
        <v>1069.2924149999999</v>
      </c>
      <c r="H3807" s="2107">
        <v>1</v>
      </c>
      <c r="I3807" s="2036">
        <f>(G3807/G$3818)*H3807</f>
        <v>0.17952759672335428</v>
      </c>
      <c r="J3807" s="2076"/>
    </row>
    <row r="3808" spans="1:10" ht="15.75" customHeight="1">
      <c r="A3808" s="1780"/>
      <c r="B3808" s="1739"/>
      <c r="C3808" s="1878" t="s">
        <v>3060</v>
      </c>
      <c r="D3808" s="1781">
        <v>1.11E-2</v>
      </c>
      <c r="E3808" s="413" t="s">
        <v>2069</v>
      </c>
      <c r="F3808" s="1883">
        <f>'Bahan &amp; Upah'!C$337</f>
        <v>114133.55</v>
      </c>
      <c r="G3808" s="361">
        <f>F3808*D3808</f>
        <v>1266.8824050000001</v>
      </c>
      <c r="H3808" s="2107">
        <v>1</v>
      </c>
      <c r="I3808" s="2036">
        <f>(G3808/G$3818)*H3808</f>
        <v>0.21270173650371701</v>
      </c>
      <c r="J3808" s="2076"/>
    </row>
    <row r="3809" spans="1:10" ht="15.75" customHeight="1">
      <c r="A3809" s="1780"/>
      <c r="B3809" s="1739"/>
      <c r="C3809" s="1878" t="s">
        <v>2105</v>
      </c>
      <c r="D3809" s="1781">
        <v>1.11E-2</v>
      </c>
      <c r="E3809" s="413" t="s">
        <v>2069</v>
      </c>
      <c r="F3809" s="1748">
        <f>'Bahan &amp; Upah'!C$338</f>
        <v>125485.75</v>
      </c>
      <c r="G3809" s="361">
        <f>F3809*D3809</f>
        <v>1392.8918250000002</v>
      </c>
      <c r="H3809" s="2107">
        <v>1</v>
      </c>
      <c r="I3809" s="2036">
        <f>(G3809/G$3818)*H3809</f>
        <v>0.23385794038187113</v>
      </c>
      <c r="J3809" s="2076"/>
    </row>
    <row r="3810" spans="1:10" ht="15.75" customHeight="1">
      <c r="A3810" s="1780"/>
      <c r="B3810" s="1739"/>
      <c r="C3810" s="1878" t="s">
        <v>2107</v>
      </c>
      <c r="D3810" s="2108">
        <v>4.0000000000000002E-4</v>
      </c>
      <c r="E3810" s="413" t="s">
        <v>2069</v>
      </c>
      <c r="F3810" s="1883">
        <f>'Bahan &amp; Upah'!C$339</f>
        <v>102689.88</v>
      </c>
      <c r="G3810" s="1785">
        <f>F3810*D3810</f>
        <v>41.075952000000001</v>
      </c>
      <c r="H3810" s="2109">
        <v>1</v>
      </c>
      <c r="I3810" s="2036">
        <f>(G3810/G$3818)*H3810</f>
        <v>6.8963988168604549E-3</v>
      </c>
      <c r="J3810" s="2076"/>
    </row>
    <row r="3811" spans="1:10" ht="15.75" customHeight="1">
      <c r="A3811" s="1780"/>
      <c r="B3811" s="1739"/>
      <c r="C3811" s="1889" t="s">
        <v>2108</v>
      </c>
      <c r="D3811" s="2108"/>
      <c r="E3811" s="413"/>
      <c r="F3811" s="320"/>
      <c r="G3811" s="361">
        <f>SUM(G3807:G3810)</f>
        <v>3770.1425970000005</v>
      </c>
      <c r="H3811" s="2084"/>
      <c r="I3811" s="1910">
        <f>SUM(I3807:I3810)</f>
        <v>0.63298367242580289</v>
      </c>
      <c r="J3811" s="2076"/>
    </row>
    <row r="3812" spans="1:10" ht="15.75" customHeight="1">
      <c r="A3812" s="1780"/>
      <c r="B3812" s="1739" t="s">
        <v>1015</v>
      </c>
      <c r="C3812" s="1877" t="s">
        <v>2075</v>
      </c>
      <c r="D3812" s="2108"/>
      <c r="E3812" s="413"/>
      <c r="F3812" s="320"/>
      <c r="G3812" s="320"/>
      <c r="H3812" s="2075"/>
      <c r="I3812" s="1782"/>
      <c r="J3812" s="2076"/>
    </row>
    <row r="3813" spans="1:10" ht="12.75" customHeight="1">
      <c r="A3813" s="1780"/>
      <c r="B3813" s="1739"/>
      <c r="C3813" s="2079" t="s">
        <v>3061</v>
      </c>
      <c r="D3813" s="2108">
        <v>1.05</v>
      </c>
      <c r="E3813" s="413" t="s">
        <v>10</v>
      </c>
      <c r="F3813" s="1748">
        <f>'Bahan &amp; Upah'!C$70/6</f>
        <v>2004.3833333333332</v>
      </c>
      <c r="G3813" s="361">
        <f>F3813*D3813</f>
        <v>2104.6025</v>
      </c>
      <c r="H3813" s="2107">
        <v>0.2321</v>
      </c>
      <c r="I3813" s="2036">
        <f>(G3813/G$3818)*H3813</f>
        <v>8.2012481612652025E-2</v>
      </c>
      <c r="J3813" s="2076"/>
    </row>
    <row r="3814" spans="1:10" ht="12.75" customHeight="1">
      <c r="A3814" s="1780"/>
      <c r="B3814" s="1739"/>
      <c r="C3814" s="2079" t="s">
        <v>3062</v>
      </c>
      <c r="D3814" s="2108">
        <v>4</v>
      </c>
      <c r="E3814" s="413" t="s">
        <v>824</v>
      </c>
      <c r="F3814" s="1748">
        <v>20.350000000000001</v>
      </c>
      <c r="G3814" s="1785">
        <f>F3814*D3814</f>
        <v>81.400000000000006</v>
      </c>
      <c r="H3814" s="2109">
        <v>0.2321</v>
      </c>
      <c r="I3814" s="2036">
        <f>(G3814/G$3818)*H3814</f>
        <v>3.1720080173191253E-3</v>
      </c>
      <c r="J3814" s="2076"/>
    </row>
    <row r="3815" spans="1:10" ht="15.75" customHeight="1">
      <c r="A3815" s="1780"/>
      <c r="B3815" s="1909"/>
      <c r="C3815" s="1889" t="s">
        <v>2091</v>
      </c>
      <c r="D3815" s="2110"/>
      <c r="E3815" s="333"/>
      <c r="F3815" s="328"/>
      <c r="G3815" s="361">
        <f>SUM(G3813:G3814)</f>
        <v>2186.0025000000001</v>
      </c>
      <c r="H3815" s="2084"/>
      <c r="I3815" s="2111">
        <f>SUM(I3813:I3814)</f>
        <v>8.5184489629971147E-2</v>
      </c>
      <c r="J3815" s="2076"/>
    </row>
    <row r="3816" spans="1:10" ht="15.75" customHeight="1">
      <c r="A3816" s="1780"/>
      <c r="B3816" s="1739" t="s">
        <v>1048</v>
      </c>
      <c r="C3816" s="1877" t="s">
        <v>2246</v>
      </c>
      <c r="D3816" s="2110"/>
      <c r="E3816" s="333"/>
      <c r="F3816" s="328"/>
      <c r="G3816" s="332"/>
      <c r="H3816" s="2075"/>
      <c r="I3816" s="1910"/>
      <c r="J3816" s="2076"/>
    </row>
    <row r="3817" spans="1:10" ht="15.75" customHeight="1">
      <c r="A3817" s="1780"/>
      <c r="B3817" s="1784"/>
      <c r="C3817" s="2082" t="s">
        <v>2110</v>
      </c>
      <c r="D3817" s="2112"/>
      <c r="E3817" s="1882"/>
      <c r="F3817" s="1845"/>
      <c r="G3817" s="1966"/>
      <c r="H3817" s="2084"/>
      <c r="I3817" s="1910"/>
      <c r="J3817" s="2085"/>
    </row>
    <row r="3818" spans="1:10" ht="15.75" customHeight="1">
      <c r="A3818" s="1780"/>
      <c r="B3818" s="1739" t="s">
        <v>979</v>
      </c>
      <c r="C3818" s="1804" t="s">
        <v>2129</v>
      </c>
      <c r="D3818" s="2113"/>
      <c r="E3818" s="1764"/>
      <c r="F3818" s="1765"/>
      <c r="G3818" s="1765">
        <f>G3811+G3815</f>
        <v>5956.1450970000005</v>
      </c>
      <c r="H3818" s="2075"/>
      <c r="I3818" s="1782"/>
      <c r="J3818" s="2076"/>
    </row>
    <row r="3819" spans="1:10" ht="15.75" customHeight="1">
      <c r="A3819" s="1780"/>
      <c r="B3819" s="1739" t="s">
        <v>2093</v>
      </c>
      <c r="C3819" s="1762" t="s">
        <v>2094</v>
      </c>
      <c r="D3819" s="1823">
        <f>M$4</f>
        <v>0.15</v>
      </c>
      <c r="E3819" s="1768"/>
      <c r="F3819" s="1765"/>
      <c r="G3819" s="1765">
        <f>G3818*D3819</f>
        <v>893.42176455000003</v>
      </c>
      <c r="H3819" s="2075"/>
      <c r="I3819" s="1862">
        <f>I3811+I3815</f>
        <v>0.71816816205577405</v>
      </c>
      <c r="J3819" s="2076"/>
    </row>
    <row r="3820" spans="1:10" ht="15.75" customHeight="1">
      <c r="A3820" s="1786"/>
      <c r="B3820" s="1787" t="s">
        <v>2095</v>
      </c>
      <c r="C3820" s="1788" t="s">
        <v>2111</v>
      </c>
      <c r="D3820" s="2114"/>
      <c r="E3820" s="1773"/>
      <c r="F3820" s="1774"/>
      <c r="G3820" s="2115">
        <f>ROUNDUP((G3818+G3819),2)</f>
        <v>6849.5700000000006</v>
      </c>
      <c r="H3820" s="2087"/>
      <c r="I3820" s="2010"/>
      <c r="J3820" s="2088"/>
    </row>
    <row r="3821" spans="1:10" ht="15.75" customHeight="1">
      <c r="A3821" s="1733"/>
      <c r="B3821" s="1733"/>
      <c r="C3821" s="1733"/>
      <c r="D3821" s="1733"/>
      <c r="E3821" s="1733"/>
      <c r="F3821" s="1733"/>
      <c r="G3821" s="1733"/>
      <c r="H3821" s="1733"/>
      <c r="I3821" s="1733"/>
      <c r="J3821" s="1733"/>
    </row>
    <row r="3822" spans="1:10" ht="30.75" customHeight="1">
      <c r="A3822" s="1778">
        <f>A3805+1</f>
        <v>214</v>
      </c>
      <c r="B3822" s="1871" t="s">
        <v>2147</v>
      </c>
      <c r="C3822" s="1872" t="s">
        <v>3063</v>
      </c>
      <c r="D3822" s="2106"/>
      <c r="E3822" s="1874"/>
      <c r="F3822" s="1875"/>
      <c r="G3822" s="1875"/>
      <c r="H3822" s="1875"/>
      <c r="I3822" s="1875"/>
      <c r="J3822" s="1876"/>
    </row>
    <row r="3823" spans="1:10" ht="15.75" customHeight="1">
      <c r="A3823" s="1780"/>
      <c r="B3823" s="1739" t="s">
        <v>1004</v>
      </c>
      <c r="C3823" s="1877" t="s">
        <v>2067</v>
      </c>
      <c r="D3823" s="343"/>
      <c r="E3823" s="413"/>
      <c r="F3823" s="320"/>
      <c r="G3823" s="320"/>
      <c r="H3823" s="2075"/>
      <c r="I3823" s="1782"/>
      <c r="J3823" s="2076"/>
    </row>
    <row r="3824" spans="1:10" ht="15.75" customHeight="1">
      <c r="A3824" s="1780"/>
      <c r="B3824" s="1739"/>
      <c r="C3824" s="1878" t="s">
        <v>3060</v>
      </c>
      <c r="D3824" s="2116">
        <f>8/((60/3)*8)</f>
        <v>0.05</v>
      </c>
      <c r="E3824" s="413" t="s">
        <v>2069</v>
      </c>
      <c r="F3824" s="1883">
        <f>'Bahan &amp; Upah'!C$337</f>
        <v>114133.55</v>
      </c>
      <c r="G3824" s="361">
        <f>F3824*D3824</f>
        <v>5706.6775000000007</v>
      </c>
      <c r="H3824" s="2107">
        <v>1</v>
      </c>
      <c r="I3824" s="2036">
        <f>(G3824/G$3833)*H3824</f>
        <v>0.45105555652335594</v>
      </c>
      <c r="J3824" s="2076"/>
    </row>
    <row r="3825" spans="1:10" ht="15.75" customHeight="1">
      <c r="A3825" s="1780"/>
      <c r="B3825" s="1739"/>
      <c r="C3825" s="1878" t="s">
        <v>2107</v>
      </c>
      <c r="D3825" s="2116">
        <f>D3824/10</f>
        <v>5.0000000000000001E-3</v>
      </c>
      <c r="E3825" s="413" t="s">
        <v>2069</v>
      </c>
      <c r="F3825" s="1883">
        <f>'Bahan &amp; Upah'!C$339</f>
        <v>102689.88</v>
      </c>
      <c r="G3825" s="1785">
        <f>F3825*D3825</f>
        <v>513.44940000000008</v>
      </c>
      <c r="H3825" s="2109">
        <v>1</v>
      </c>
      <c r="I3825" s="2036">
        <f>(G3825/G$3833)*H3825</f>
        <v>4.0583019605292779E-2</v>
      </c>
      <c r="J3825" s="2076"/>
    </row>
    <row r="3826" spans="1:10" ht="15.75" customHeight="1">
      <c r="A3826" s="1780"/>
      <c r="B3826" s="1739"/>
      <c r="C3826" s="1889" t="s">
        <v>2108</v>
      </c>
      <c r="D3826" s="2108"/>
      <c r="E3826" s="413"/>
      <c r="F3826" s="320"/>
      <c r="G3826" s="361">
        <f>SUM(G3824:G3825)</f>
        <v>6220.1269000000011</v>
      </c>
      <c r="H3826" s="2084"/>
      <c r="I3826" s="1910">
        <f>SUM(I3824:I3825)</f>
        <v>0.4916385761286487</v>
      </c>
      <c r="J3826" s="2076"/>
    </row>
    <row r="3827" spans="1:10" ht="15.75" customHeight="1">
      <c r="A3827" s="1780"/>
      <c r="B3827" s="1739" t="s">
        <v>1015</v>
      </c>
      <c r="C3827" s="1877" t="s">
        <v>2075</v>
      </c>
      <c r="D3827" s="2108"/>
      <c r="E3827" s="413"/>
      <c r="F3827" s="320"/>
      <c r="G3827" s="320"/>
      <c r="H3827" s="2075"/>
      <c r="I3827" s="1782"/>
      <c r="J3827" s="2076"/>
    </row>
    <row r="3828" spans="1:10" ht="24.75" customHeight="1">
      <c r="A3828" s="1780"/>
      <c r="B3828" s="1739"/>
      <c r="C3828" s="2079" t="s">
        <v>3063</v>
      </c>
      <c r="D3828" s="2108">
        <v>1.05</v>
      </c>
      <c r="E3828" s="413" t="s">
        <v>10</v>
      </c>
      <c r="F3828" s="1748">
        <f>'Bahan &amp; Upah'!C71</f>
        <v>6125.43</v>
      </c>
      <c r="G3828" s="361">
        <f>F3828*D3828</f>
        <v>6431.7015000000001</v>
      </c>
      <c r="H3828" s="2107">
        <v>0.2321</v>
      </c>
      <c r="I3828" s="2036">
        <f>(G3828/G$3833)*H3828</f>
        <v>0.11799068648054062</v>
      </c>
      <c r="J3828" s="2076"/>
    </row>
    <row r="3829" spans="1:10" ht="12.75" customHeight="1">
      <c r="A3829" s="1780"/>
      <c r="B3829" s="1739"/>
      <c r="C3829" s="2079"/>
      <c r="D3829" s="2108"/>
      <c r="E3829" s="413"/>
      <c r="F3829" s="1748"/>
      <c r="G3829" s="1785"/>
      <c r="H3829" s="2109"/>
      <c r="I3829" s="2036">
        <f>(G3829/G$3849)*H3829</f>
        <v>0</v>
      </c>
      <c r="J3829" s="2076"/>
    </row>
    <row r="3830" spans="1:10" ht="15.75" customHeight="1">
      <c r="A3830" s="1780"/>
      <c r="B3830" s="1909"/>
      <c r="C3830" s="1889" t="s">
        <v>2091</v>
      </c>
      <c r="D3830" s="2110"/>
      <c r="E3830" s="333"/>
      <c r="F3830" s="328"/>
      <c r="G3830" s="361">
        <f>SUM(G3828:G3829)</f>
        <v>6431.7015000000001</v>
      </c>
      <c r="H3830" s="2084"/>
      <c r="I3830" s="2111">
        <f>SUM(I3828:I3829)</f>
        <v>0.11799068648054062</v>
      </c>
      <c r="J3830" s="2076"/>
    </row>
    <row r="3831" spans="1:10" ht="15.75" customHeight="1">
      <c r="A3831" s="1780"/>
      <c r="B3831" s="1739" t="s">
        <v>1048</v>
      </c>
      <c r="C3831" s="1877" t="s">
        <v>2246</v>
      </c>
      <c r="D3831" s="2110"/>
      <c r="E3831" s="333"/>
      <c r="F3831" s="328"/>
      <c r="G3831" s="332"/>
      <c r="H3831" s="2075"/>
      <c r="I3831" s="1910"/>
      <c r="J3831" s="2076"/>
    </row>
    <row r="3832" spans="1:10" ht="15.75" customHeight="1">
      <c r="A3832" s="1780"/>
      <c r="B3832" s="1784"/>
      <c r="C3832" s="2082" t="s">
        <v>2110</v>
      </c>
      <c r="D3832" s="2112"/>
      <c r="E3832" s="1882"/>
      <c r="F3832" s="1845"/>
      <c r="G3832" s="1966"/>
      <c r="H3832" s="2084"/>
      <c r="I3832" s="1910"/>
      <c r="J3832" s="2085"/>
    </row>
    <row r="3833" spans="1:10" ht="15.75" customHeight="1">
      <c r="A3833" s="1780"/>
      <c r="B3833" s="1739" t="s">
        <v>979</v>
      </c>
      <c r="C3833" s="1804" t="s">
        <v>2129</v>
      </c>
      <c r="D3833" s="2113"/>
      <c r="E3833" s="1764"/>
      <c r="F3833" s="1765"/>
      <c r="G3833" s="1765">
        <f>G3826+G3830</f>
        <v>12651.828400000002</v>
      </c>
      <c r="H3833" s="2075"/>
      <c r="I3833" s="1782"/>
      <c r="J3833" s="2076"/>
    </row>
    <row r="3834" spans="1:10" ht="15.75" customHeight="1">
      <c r="A3834" s="1780"/>
      <c r="B3834" s="1739" t="s">
        <v>2093</v>
      </c>
      <c r="C3834" s="1762" t="s">
        <v>2094</v>
      </c>
      <c r="D3834" s="1823">
        <f>M$4</f>
        <v>0.15</v>
      </c>
      <c r="E3834" s="1768"/>
      <c r="F3834" s="1765"/>
      <c r="G3834" s="1765">
        <f>G3833*D3834</f>
        <v>1897.7742600000001</v>
      </c>
      <c r="H3834" s="2075"/>
      <c r="I3834" s="1862">
        <f>I3826+I3830</f>
        <v>0.60962926260918926</v>
      </c>
      <c r="J3834" s="2076"/>
    </row>
    <row r="3835" spans="1:10" ht="15.75" customHeight="1">
      <c r="A3835" s="1786"/>
      <c r="B3835" s="1787" t="s">
        <v>2095</v>
      </c>
      <c r="C3835" s="1788" t="s">
        <v>2111</v>
      </c>
      <c r="D3835" s="2114"/>
      <c r="E3835" s="1773"/>
      <c r="F3835" s="1774"/>
      <c r="G3835" s="2115">
        <f>ROUNDUP((G3833+G3834),2)</f>
        <v>14549.61</v>
      </c>
      <c r="H3835" s="2087"/>
      <c r="I3835" s="2010"/>
      <c r="J3835" s="2088"/>
    </row>
    <row r="3836" spans="1:10" ht="15.75" customHeight="1">
      <c r="A3836" s="1733"/>
      <c r="B3836" s="1733"/>
      <c r="C3836" s="1733"/>
      <c r="D3836" s="1733"/>
      <c r="E3836" s="1733"/>
      <c r="F3836" s="1733"/>
      <c r="G3836" s="1733"/>
      <c r="H3836" s="1733"/>
      <c r="I3836" s="1733"/>
      <c r="J3836" s="1733"/>
    </row>
    <row r="3837" spans="1:10" ht="15.75" customHeight="1">
      <c r="A3837" s="1778">
        <f>A3822+1</f>
        <v>215</v>
      </c>
      <c r="B3837" s="1871" t="s">
        <v>2531</v>
      </c>
      <c r="C3837" s="2117" t="s">
        <v>3064</v>
      </c>
      <c r="D3837" s="2106"/>
      <c r="E3837" s="1874"/>
      <c r="F3837" s="1875"/>
      <c r="G3837" s="1875"/>
      <c r="H3837" s="1875"/>
      <c r="I3837" s="1875"/>
      <c r="J3837" s="1876"/>
    </row>
    <row r="3838" spans="1:10" ht="15.75" customHeight="1">
      <c r="A3838" s="1780"/>
      <c r="B3838" s="1739" t="s">
        <v>1004</v>
      </c>
      <c r="C3838" s="1877" t="s">
        <v>2067</v>
      </c>
      <c r="D3838" s="343"/>
      <c r="E3838" s="413"/>
      <c r="F3838" s="320"/>
      <c r="G3838" s="320"/>
      <c r="H3838" s="2075"/>
      <c r="I3838" s="1782"/>
      <c r="J3838" s="2076"/>
    </row>
    <row r="3839" spans="1:10" ht="15.75" customHeight="1">
      <c r="A3839" s="1780"/>
      <c r="B3839" s="1739"/>
      <c r="C3839" s="1878" t="s">
        <v>2103</v>
      </c>
      <c r="D3839" s="1781">
        <v>0.73399999999999999</v>
      </c>
      <c r="E3839" s="413" t="s">
        <v>2069</v>
      </c>
      <c r="F3839" s="1747">
        <f>'Bahan &amp; Upah'!C$336</f>
        <v>96332.65</v>
      </c>
      <c r="G3839" s="361">
        <f>F3839*D3839</f>
        <v>70708.165099999998</v>
      </c>
      <c r="H3839" s="2107">
        <v>1</v>
      </c>
      <c r="I3839" s="2036">
        <f>(G3839/G$3849)*H3839</f>
        <v>0.28022080949767403</v>
      </c>
      <c r="J3839" s="2076"/>
    </row>
    <row r="3840" spans="1:10" ht="15.75" customHeight="1">
      <c r="A3840" s="1780"/>
      <c r="B3840" s="1739"/>
      <c r="C3840" s="1878" t="s">
        <v>3060</v>
      </c>
      <c r="D3840" s="1781">
        <f>D3839</f>
        <v>0.73399999999999999</v>
      </c>
      <c r="E3840" s="413" t="s">
        <v>2069</v>
      </c>
      <c r="F3840" s="1883">
        <f>'Bahan &amp; Upah'!C$337</f>
        <v>114133.55</v>
      </c>
      <c r="G3840" s="361">
        <f>F3840*D3840</f>
        <v>83774.025699999998</v>
      </c>
      <c r="H3840" s="2107">
        <v>1</v>
      </c>
      <c r="I3840" s="2036">
        <f>(G3840/G$3849)*H3840</f>
        <v>0.332001619096363</v>
      </c>
      <c r="J3840" s="2076"/>
    </row>
    <row r="3841" spans="1:10" ht="15.75" customHeight="1">
      <c r="A3841" s="1780"/>
      <c r="B3841" s="1739"/>
      <c r="C3841" s="1878" t="s">
        <v>2105</v>
      </c>
      <c r="D3841" s="1781">
        <f>D3840/10</f>
        <v>7.3399999999999993E-2</v>
      </c>
      <c r="E3841" s="413" t="s">
        <v>2069</v>
      </c>
      <c r="F3841" s="1748">
        <f>'Bahan &amp; Upah'!C$338</f>
        <v>125485.75</v>
      </c>
      <c r="G3841" s="361">
        <f>F3841*D3841</f>
        <v>9210.6540499999992</v>
      </c>
      <c r="H3841" s="2107">
        <v>1</v>
      </c>
      <c r="I3841" s="2036">
        <f>(G3841/G$3849)*H3841</f>
        <v>3.6502388801120646E-2</v>
      </c>
      <c r="J3841" s="2076"/>
    </row>
    <row r="3842" spans="1:10" ht="15.75" customHeight="1">
      <c r="A3842" s="1780"/>
      <c r="B3842" s="1739"/>
      <c r="C3842" s="1878" t="s">
        <v>2107</v>
      </c>
      <c r="D3842" s="2108">
        <v>2.4E-2</v>
      </c>
      <c r="E3842" s="413" t="s">
        <v>2069</v>
      </c>
      <c r="F3842" s="1748">
        <f>'Bahan &amp; Upah'!C$339</f>
        <v>102689.88</v>
      </c>
      <c r="G3842" s="1785">
        <f>F3842*D3842</f>
        <v>2464.5571199999999</v>
      </c>
      <c r="H3842" s="2109">
        <v>1</v>
      </c>
      <c r="I3842" s="2036">
        <f>(G3842/G$3849)*H3842</f>
        <v>9.7671915293366333E-3</v>
      </c>
      <c r="J3842" s="2076"/>
    </row>
    <row r="3843" spans="1:10" ht="15.75" customHeight="1">
      <c r="A3843" s="1780"/>
      <c r="B3843" s="1739"/>
      <c r="C3843" s="1889" t="s">
        <v>2108</v>
      </c>
      <c r="D3843" s="2108"/>
      <c r="E3843" s="413"/>
      <c r="F3843" s="1748"/>
      <c r="G3843" s="361">
        <f>SUM(G3839:G3842)</f>
        <v>166157.40197000001</v>
      </c>
      <c r="H3843" s="2084"/>
      <c r="I3843" s="1910">
        <f>SUM(I3839:I3842)</f>
        <v>0.65849200892449422</v>
      </c>
      <c r="J3843" s="2076"/>
    </row>
    <row r="3844" spans="1:10" ht="15.75" customHeight="1">
      <c r="A3844" s="1780"/>
      <c r="B3844" s="1739" t="s">
        <v>1015</v>
      </c>
      <c r="C3844" s="1877" t="s">
        <v>2075</v>
      </c>
      <c r="D3844" s="2108"/>
      <c r="E3844" s="413"/>
      <c r="F3844" s="320"/>
      <c r="G3844" s="320"/>
      <c r="H3844" s="2075"/>
      <c r="I3844" s="1782"/>
      <c r="J3844" s="2076"/>
    </row>
    <row r="3845" spans="1:10" ht="15.75" customHeight="1">
      <c r="A3845" s="1780"/>
      <c r="B3845" s="1739"/>
      <c r="C3845" s="2079" t="s">
        <v>3065</v>
      </c>
      <c r="D3845" s="2108">
        <v>0.96030000000000004</v>
      </c>
      <c r="E3845" s="413" t="s">
        <v>888</v>
      </c>
      <c r="F3845" s="1748">
        <f>'Bahan &amp; Upah'!C$69</f>
        <v>89735.26</v>
      </c>
      <c r="G3845" s="1794">
        <f>F3845*D3845</f>
        <v>86172.770177999992</v>
      </c>
      <c r="H3845" s="2107">
        <v>0.2321</v>
      </c>
      <c r="I3845" s="2036">
        <f>(G3845/G$3849)*H3845</f>
        <v>7.9264004728624868E-2</v>
      </c>
      <c r="J3845" s="2076"/>
    </row>
    <row r="3846" spans="1:10" ht="15.75" customHeight="1">
      <c r="A3846" s="1780"/>
      <c r="B3846" s="1909"/>
      <c r="C3846" s="1889" t="s">
        <v>2091</v>
      </c>
      <c r="D3846" s="2110"/>
      <c r="E3846" s="333"/>
      <c r="F3846" s="328"/>
      <c r="G3846" s="361">
        <f>SUM(G3845:G3845)</f>
        <v>86172.770177999992</v>
      </c>
      <c r="H3846" s="2084"/>
      <c r="I3846" s="2111">
        <f>SUM(I3845:I3845)</f>
        <v>7.9264004728624868E-2</v>
      </c>
      <c r="J3846" s="2076"/>
    </row>
    <row r="3847" spans="1:10" ht="15.75" customHeight="1">
      <c r="A3847" s="1780"/>
      <c r="B3847" s="1739" t="s">
        <v>1048</v>
      </c>
      <c r="C3847" s="1877" t="s">
        <v>2246</v>
      </c>
      <c r="D3847" s="2110"/>
      <c r="E3847" s="333"/>
      <c r="F3847" s="328"/>
      <c r="G3847" s="332"/>
      <c r="H3847" s="2075"/>
      <c r="I3847" s="1910"/>
      <c r="J3847" s="2076"/>
    </row>
    <row r="3848" spans="1:10" ht="15.75" customHeight="1">
      <c r="A3848" s="1780"/>
      <c r="B3848" s="1784"/>
      <c r="C3848" s="2082" t="s">
        <v>2110</v>
      </c>
      <c r="D3848" s="2112"/>
      <c r="E3848" s="1882"/>
      <c r="F3848" s="1845"/>
      <c r="G3848" s="1966"/>
      <c r="H3848" s="2084"/>
      <c r="I3848" s="1910"/>
      <c r="J3848" s="2085"/>
    </row>
    <row r="3849" spans="1:10" ht="15.75" customHeight="1">
      <c r="A3849" s="1780"/>
      <c r="B3849" s="1739" t="s">
        <v>979</v>
      </c>
      <c r="C3849" s="1804" t="s">
        <v>2129</v>
      </c>
      <c r="D3849" s="2113"/>
      <c r="E3849" s="1764"/>
      <c r="F3849" s="1765"/>
      <c r="G3849" s="1765">
        <f>G3843+G3846</f>
        <v>252330.17214799998</v>
      </c>
      <c r="H3849" s="2075"/>
      <c r="I3849" s="1782"/>
      <c r="J3849" s="2076"/>
    </row>
    <row r="3850" spans="1:10" ht="15.75" customHeight="1">
      <c r="A3850" s="1780"/>
      <c r="B3850" s="1739" t="s">
        <v>2093</v>
      </c>
      <c r="C3850" s="1762" t="s">
        <v>2094</v>
      </c>
      <c r="D3850" s="1823">
        <f>M$4</f>
        <v>0.15</v>
      </c>
      <c r="E3850" s="1768"/>
      <c r="F3850" s="1765"/>
      <c r="G3850" s="1765">
        <f>G3849*D3850</f>
        <v>37849.525822199997</v>
      </c>
      <c r="H3850" s="2075"/>
      <c r="I3850" s="1862">
        <f>I3843+I3846</f>
        <v>0.73775601365311905</v>
      </c>
      <c r="J3850" s="2076"/>
    </row>
    <row r="3851" spans="1:10" ht="15.75" customHeight="1">
      <c r="A3851" s="1786"/>
      <c r="B3851" s="1787" t="s">
        <v>2095</v>
      </c>
      <c r="C3851" s="1788" t="s">
        <v>2111</v>
      </c>
      <c r="D3851" s="2114"/>
      <c r="E3851" s="1773"/>
      <c r="F3851" s="1774"/>
      <c r="G3851" s="2115">
        <f>ROUNDUP((G3849+G3850),2)</f>
        <v>290179.7</v>
      </c>
      <c r="H3851" s="2087"/>
      <c r="I3851" s="2010"/>
      <c r="J3851" s="2088"/>
    </row>
    <row r="3852" spans="1:10" ht="15" customHeight="1">
      <c r="A3852" s="1733"/>
      <c r="B3852" s="1733"/>
      <c r="C3852" s="1733"/>
      <c r="D3852" s="1733"/>
      <c r="E3852" s="1733"/>
      <c r="F3852" s="1733"/>
      <c r="G3852" s="1733"/>
      <c r="H3852" s="1733"/>
      <c r="I3852" s="1733"/>
      <c r="J3852" s="1733"/>
    </row>
    <row r="3853" spans="1:10" ht="15.75" customHeight="1">
      <c r="A3853" s="1778">
        <f>A3837+1</f>
        <v>216</v>
      </c>
      <c r="B3853" s="1871" t="s">
        <v>3066</v>
      </c>
      <c r="C3853" s="1872" t="s">
        <v>3067</v>
      </c>
      <c r="D3853" s="2106"/>
      <c r="E3853" s="1874"/>
      <c r="F3853" s="1875"/>
      <c r="G3853" s="1875"/>
      <c r="H3853" s="1875"/>
      <c r="I3853" s="1875"/>
      <c r="J3853" s="1876"/>
    </row>
    <row r="3854" spans="1:10" ht="15.75" customHeight="1">
      <c r="A3854" s="1780"/>
      <c r="B3854" s="1739" t="s">
        <v>1004</v>
      </c>
      <c r="C3854" s="1877" t="s">
        <v>2067</v>
      </c>
      <c r="D3854" s="343"/>
      <c r="E3854" s="413"/>
      <c r="F3854" s="320"/>
      <c r="G3854" s="320"/>
      <c r="H3854" s="2075"/>
      <c r="I3854" s="1782"/>
      <c r="J3854" s="2076"/>
    </row>
    <row r="3855" spans="1:10" ht="15.75" customHeight="1">
      <c r="A3855" s="1780"/>
      <c r="B3855" s="1739"/>
      <c r="C3855" s="1878" t="s">
        <v>2103</v>
      </c>
      <c r="D3855" s="1781">
        <v>0.15</v>
      </c>
      <c r="E3855" s="413" t="s">
        <v>2069</v>
      </c>
      <c r="F3855" s="1747">
        <f>'Bahan &amp; Upah'!C$336</f>
        <v>96332.65</v>
      </c>
      <c r="G3855" s="361">
        <f>F3855*D3855</f>
        <v>14449.897499999999</v>
      </c>
      <c r="H3855" s="2107">
        <v>1</v>
      </c>
      <c r="I3855" s="2036">
        <f>(G3855/G$3849)*H3855</f>
        <v>5.7265833003611856E-2</v>
      </c>
      <c r="J3855" s="2076"/>
    </row>
    <row r="3856" spans="1:10" ht="15.75" customHeight="1">
      <c r="A3856" s="1780"/>
      <c r="B3856" s="1739"/>
      <c r="C3856" s="1878" t="s">
        <v>3060</v>
      </c>
      <c r="D3856" s="1781">
        <v>7.4999999999999997E-2</v>
      </c>
      <c r="E3856" s="413" t="s">
        <v>2069</v>
      </c>
      <c r="F3856" s="1883">
        <f>'Bahan &amp; Upah'!C$337</f>
        <v>114133.55</v>
      </c>
      <c r="G3856" s="361">
        <f>F3856*D3856</f>
        <v>8560.0162500000006</v>
      </c>
      <c r="H3856" s="2107">
        <v>1</v>
      </c>
      <c r="I3856" s="2036">
        <f>(G3856/G$3849)*H3856</f>
        <v>3.3923871161072518E-2</v>
      </c>
      <c r="J3856" s="2076"/>
    </row>
    <row r="3857" spans="1:10" ht="15.75" customHeight="1">
      <c r="A3857" s="1780"/>
      <c r="B3857" s="1739"/>
      <c r="C3857" s="1878" t="s">
        <v>2105</v>
      </c>
      <c r="D3857" s="1781">
        <v>7.4999999999999997E-3</v>
      </c>
      <c r="E3857" s="413" t="s">
        <v>2069</v>
      </c>
      <c r="F3857" s="1748">
        <f>'Bahan &amp; Upah'!C$338</f>
        <v>125485.75</v>
      </c>
      <c r="G3857" s="361">
        <f>F3857*D3857</f>
        <v>941.14312499999994</v>
      </c>
      <c r="H3857" s="2107">
        <v>1</v>
      </c>
      <c r="I3857" s="2036">
        <f>(G3857/G$3849)*H3857</f>
        <v>3.7298081200055158E-3</v>
      </c>
      <c r="J3857" s="2076"/>
    </row>
    <row r="3858" spans="1:10" ht="15.75" customHeight="1">
      <c r="A3858" s="1780"/>
      <c r="B3858" s="1739"/>
      <c r="C3858" s="1878" t="s">
        <v>2107</v>
      </c>
      <c r="D3858" s="2108">
        <v>2.3999999999999998E-3</v>
      </c>
      <c r="E3858" s="413" t="s">
        <v>2069</v>
      </c>
      <c r="F3858" s="1883">
        <f>'Bahan &amp; Upah'!C$339</f>
        <v>102689.88</v>
      </c>
      <c r="G3858" s="1785">
        <f>F3858*D3858</f>
        <v>246.45571199999998</v>
      </c>
      <c r="H3858" s="2109">
        <v>1</v>
      </c>
      <c r="I3858" s="2036">
        <f>(G3858/G$3849)*H3858</f>
        <v>9.7671915293366337E-4</v>
      </c>
      <c r="J3858" s="2076"/>
    </row>
    <row r="3859" spans="1:10" ht="15.75" customHeight="1">
      <c r="A3859" s="1780"/>
      <c r="B3859" s="1739"/>
      <c r="C3859" s="1889" t="s">
        <v>2108</v>
      </c>
      <c r="D3859" s="2108"/>
      <c r="E3859" s="413"/>
      <c r="F3859" s="320"/>
      <c r="G3859" s="361">
        <f>SUM(G3855:G3858)</f>
        <v>24197.512586999997</v>
      </c>
      <c r="H3859" s="2084"/>
      <c r="I3859" s="1910">
        <f>SUM(I3855:I3858)</f>
        <v>9.5896231437623561E-2</v>
      </c>
      <c r="J3859" s="2076"/>
    </row>
    <row r="3860" spans="1:10" ht="15.75" customHeight="1">
      <c r="A3860" s="1780"/>
      <c r="B3860" s="1739" t="s">
        <v>1015</v>
      </c>
      <c r="C3860" s="1877" t="s">
        <v>2075</v>
      </c>
      <c r="D3860" s="2108"/>
      <c r="E3860" s="413"/>
      <c r="F3860" s="320"/>
      <c r="G3860" s="320"/>
      <c r="H3860" s="2075"/>
      <c r="I3860" s="1782"/>
      <c r="J3860" s="2076"/>
    </row>
    <row r="3861" spans="1:10" ht="12.75" customHeight="1">
      <c r="A3861" s="1780"/>
      <c r="B3861" s="1739"/>
      <c r="C3861" s="2079" t="s">
        <v>3068</v>
      </c>
      <c r="D3861" s="2108">
        <v>25</v>
      </c>
      <c r="E3861" s="413" t="s">
        <v>124</v>
      </c>
      <c r="F3861" s="1748">
        <f>'Bahan &amp; Upah'!C$76</f>
        <v>19671.98</v>
      </c>
      <c r="G3861" s="361">
        <f>F3861*D3861</f>
        <v>491799.5</v>
      </c>
      <c r="H3861" s="2107">
        <v>0.2321</v>
      </c>
      <c r="I3861" s="2036">
        <f>(G3861/G$3849)*H3861</f>
        <v>0.4523702535384837</v>
      </c>
      <c r="J3861" s="2076"/>
    </row>
    <row r="3862" spans="1:10" ht="15.75" customHeight="1">
      <c r="A3862" s="1780"/>
      <c r="B3862" s="1909"/>
      <c r="C3862" s="1889" t="s">
        <v>2091</v>
      </c>
      <c r="D3862" s="2110"/>
      <c r="E3862" s="333"/>
      <c r="F3862" s="328"/>
      <c r="G3862" s="361">
        <f>SUM(G3861:G3861)</f>
        <v>491799.5</v>
      </c>
      <c r="H3862" s="2084"/>
      <c r="I3862" s="2111">
        <f>SUM(I3861:I3861)</f>
        <v>0.4523702535384837</v>
      </c>
      <c r="J3862" s="2076"/>
    </row>
    <row r="3863" spans="1:10" ht="15.75" customHeight="1">
      <c r="A3863" s="1780"/>
      <c r="B3863" s="1739" t="s">
        <v>1048</v>
      </c>
      <c r="C3863" s="1877" t="s">
        <v>2246</v>
      </c>
      <c r="D3863" s="2110"/>
      <c r="E3863" s="333"/>
      <c r="F3863" s="328"/>
      <c r="G3863" s="332"/>
      <c r="H3863" s="2075"/>
      <c r="I3863" s="1910"/>
      <c r="J3863" s="2076"/>
    </row>
    <row r="3864" spans="1:10" ht="15.75" customHeight="1">
      <c r="A3864" s="1780"/>
      <c r="B3864" s="1784"/>
      <c r="C3864" s="2082" t="s">
        <v>2110</v>
      </c>
      <c r="D3864" s="2112"/>
      <c r="E3864" s="1882"/>
      <c r="F3864" s="1845"/>
      <c r="G3864" s="1966"/>
      <c r="H3864" s="2084"/>
      <c r="I3864" s="1910"/>
      <c r="J3864" s="2085"/>
    </row>
    <row r="3865" spans="1:10" ht="15.75" customHeight="1">
      <c r="A3865" s="1780"/>
      <c r="B3865" s="1739" t="s">
        <v>979</v>
      </c>
      <c r="C3865" s="1804" t="s">
        <v>2129</v>
      </c>
      <c r="D3865" s="2113"/>
      <c r="E3865" s="1764"/>
      <c r="F3865" s="1765"/>
      <c r="G3865" s="1765">
        <f>G3859+G3862</f>
        <v>515997.01258699998</v>
      </c>
      <c r="H3865" s="2075"/>
      <c r="I3865" s="1782"/>
      <c r="J3865" s="2076"/>
    </row>
    <row r="3866" spans="1:10" ht="15.75" customHeight="1">
      <c r="A3866" s="1780"/>
      <c r="B3866" s="1739" t="s">
        <v>2093</v>
      </c>
      <c r="C3866" s="1762" t="s">
        <v>2094</v>
      </c>
      <c r="D3866" s="1823">
        <f>M$4</f>
        <v>0.15</v>
      </c>
      <c r="E3866" s="1768"/>
      <c r="F3866" s="1765"/>
      <c r="G3866" s="1765">
        <f>G3865*D3866</f>
        <v>77399.551888049988</v>
      </c>
      <c r="H3866" s="2075"/>
      <c r="I3866" s="1862">
        <f>I3859+I3862</f>
        <v>0.5482664849761073</v>
      </c>
      <c r="J3866" s="2076"/>
    </row>
    <row r="3867" spans="1:10" ht="15.75" customHeight="1">
      <c r="A3867" s="1786"/>
      <c r="B3867" s="1787" t="s">
        <v>2095</v>
      </c>
      <c r="C3867" s="1788" t="s">
        <v>2111</v>
      </c>
      <c r="D3867" s="2114"/>
      <c r="E3867" s="1773"/>
      <c r="F3867" s="1774"/>
      <c r="G3867" s="2115">
        <f>ROUNDUP((G3865+G3866),2)</f>
        <v>593396.57000000007</v>
      </c>
      <c r="H3867" s="2087"/>
      <c r="I3867" s="2010"/>
      <c r="J3867" s="2088"/>
    </row>
    <row r="3868" spans="1:10" ht="15.75" customHeight="1">
      <c r="A3868" s="1733"/>
      <c r="B3868" s="1733"/>
      <c r="C3868" s="1733"/>
      <c r="D3868" s="1733"/>
      <c r="E3868" s="1733"/>
      <c r="F3868" s="1733"/>
      <c r="G3868" s="1733"/>
      <c r="H3868" s="1733"/>
      <c r="I3868" s="1733"/>
      <c r="J3868" s="1733"/>
    </row>
    <row r="3869" spans="1:10" ht="15.75" customHeight="1">
      <c r="A3869" s="1778">
        <f>A3853+1</f>
        <v>217</v>
      </c>
      <c r="B3869" s="1871" t="s">
        <v>3069</v>
      </c>
      <c r="C3869" s="1872" t="s">
        <v>3070</v>
      </c>
      <c r="D3869" s="2106"/>
      <c r="E3869" s="1874"/>
      <c r="F3869" s="1875"/>
      <c r="G3869" s="1875"/>
      <c r="H3869" s="1875"/>
      <c r="I3869" s="1875"/>
      <c r="J3869" s="1876"/>
    </row>
    <row r="3870" spans="1:10" ht="15.75" customHeight="1">
      <c r="A3870" s="1780"/>
      <c r="B3870" s="1739" t="s">
        <v>1004</v>
      </c>
      <c r="C3870" s="1877" t="s">
        <v>2067</v>
      </c>
      <c r="D3870" s="343"/>
      <c r="E3870" s="413"/>
      <c r="F3870" s="320"/>
      <c r="G3870" s="320"/>
      <c r="H3870" s="2075"/>
      <c r="I3870" s="1782"/>
      <c r="J3870" s="2076"/>
    </row>
    <row r="3871" spans="1:10" ht="15.75" customHeight="1">
      <c r="A3871" s="1780"/>
      <c r="B3871" s="1739"/>
      <c r="C3871" s="1878" t="s">
        <v>2103</v>
      </c>
      <c r="D3871" s="1781">
        <v>0.4</v>
      </c>
      <c r="E3871" s="413" t="s">
        <v>2069</v>
      </c>
      <c r="F3871" s="1747">
        <f>'Bahan &amp; Upah'!C$336</f>
        <v>96332.65</v>
      </c>
      <c r="G3871" s="361">
        <f>F3871*D3871</f>
        <v>38533.06</v>
      </c>
      <c r="H3871" s="2107">
        <v>1</v>
      </c>
      <c r="I3871" s="2036">
        <f>(G3871/G$3883)*H3871</f>
        <v>0.17158258046824579</v>
      </c>
      <c r="J3871" s="2076"/>
    </row>
    <row r="3872" spans="1:10" ht="15.75" customHeight="1">
      <c r="A3872" s="1780"/>
      <c r="B3872" s="1739"/>
      <c r="C3872" s="1878" t="s">
        <v>3060</v>
      </c>
      <c r="D3872" s="1781">
        <v>0.2</v>
      </c>
      <c r="E3872" s="413" t="s">
        <v>2069</v>
      </c>
      <c r="F3872" s="1883">
        <f>'Bahan &amp; Upah'!C$337</f>
        <v>114133.55</v>
      </c>
      <c r="G3872" s="361">
        <f>F3872*D3872</f>
        <v>22826.710000000003</v>
      </c>
      <c r="H3872" s="2107">
        <v>1</v>
      </c>
      <c r="I3872" s="2036">
        <f>(G3872/G$3883)*H3872</f>
        <v>0.10164429727097489</v>
      </c>
      <c r="J3872" s="2076"/>
    </row>
    <row r="3873" spans="1:10" ht="15.75" customHeight="1">
      <c r="A3873" s="1780"/>
      <c r="B3873" s="1739"/>
      <c r="C3873" s="1878" t="s">
        <v>2105</v>
      </c>
      <c r="D3873" s="1781">
        <v>0.02</v>
      </c>
      <c r="E3873" s="413" t="s">
        <v>2069</v>
      </c>
      <c r="F3873" s="1748">
        <f>'Bahan &amp; Upah'!C$338</f>
        <v>125485.75</v>
      </c>
      <c r="G3873" s="361">
        <f>F3873*D3873</f>
        <v>2509.7150000000001</v>
      </c>
      <c r="H3873" s="2107">
        <v>1</v>
      </c>
      <c r="I3873" s="2036">
        <f>(G3873/G$3883)*H3873</f>
        <v>1.1175426398522814E-2</v>
      </c>
      <c r="J3873" s="2076"/>
    </row>
    <row r="3874" spans="1:10" ht="15.75" customHeight="1">
      <c r="A3874" s="1780"/>
      <c r="B3874" s="1739"/>
      <c r="C3874" s="1878" t="s">
        <v>2107</v>
      </c>
      <c r="D3874" s="2108">
        <v>6.7000000000000002E-3</v>
      </c>
      <c r="E3874" s="413" t="s">
        <v>2069</v>
      </c>
      <c r="F3874" s="1883">
        <f>'Bahan &amp; Upah'!C$339</f>
        <v>102689.88</v>
      </c>
      <c r="G3874" s="1785">
        <f>F3874*D3874</f>
        <v>688.02219600000001</v>
      </c>
      <c r="H3874" s="2109">
        <v>1</v>
      </c>
      <c r="I3874" s="2036">
        <f>(G3874/G$3883)*H3874</f>
        <v>3.0636711387340945E-3</v>
      </c>
      <c r="J3874" s="2076"/>
    </row>
    <row r="3875" spans="1:10" ht="15.75" customHeight="1">
      <c r="A3875" s="1780"/>
      <c r="B3875" s="1739"/>
      <c r="C3875" s="1889" t="s">
        <v>2108</v>
      </c>
      <c r="D3875" s="2108"/>
      <c r="E3875" s="413"/>
      <c r="F3875" s="320"/>
      <c r="G3875" s="361">
        <f>SUM(G3871:G3874)</f>
        <v>64557.507195999999</v>
      </c>
      <c r="H3875" s="2084"/>
      <c r="I3875" s="1910">
        <f>SUM(I3871:I3874)</f>
        <v>0.28746597527647755</v>
      </c>
      <c r="J3875" s="2076"/>
    </row>
    <row r="3876" spans="1:10" ht="15.75" customHeight="1">
      <c r="A3876" s="1780"/>
      <c r="B3876" s="1739" t="s">
        <v>1015</v>
      </c>
      <c r="C3876" s="1877" t="s">
        <v>2075</v>
      </c>
      <c r="D3876" s="2108"/>
      <c r="E3876" s="413"/>
      <c r="F3876" s="320"/>
      <c r="G3876" s="320"/>
      <c r="H3876" s="2075"/>
      <c r="I3876" s="1782"/>
      <c r="J3876" s="2076"/>
    </row>
    <row r="3877" spans="1:10" ht="12.75" customHeight="1">
      <c r="A3877" s="1780"/>
      <c r="B3877" s="1739"/>
      <c r="C3877" s="2079" t="s">
        <v>3071</v>
      </c>
      <c r="D3877" s="2108">
        <v>5</v>
      </c>
      <c r="E3877" s="413" t="s">
        <v>124</v>
      </c>
      <c r="F3877" s="1748">
        <v>26813.48</v>
      </c>
      <c r="G3877" s="361">
        <f>F3877*D3877</f>
        <v>134067.4</v>
      </c>
      <c r="H3877" s="2107">
        <v>0.2321</v>
      </c>
      <c r="I3877" s="2036">
        <f>(G3877/G$3883)*H3877</f>
        <v>0.13856004758345061</v>
      </c>
      <c r="J3877" s="2076"/>
    </row>
    <row r="3878" spans="1:10" ht="12.75" customHeight="1">
      <c r="A3878" s="1780"/>
      <c r="B3878" s="1739"/>
      <c r="C3878" s="2079" t="s">
        <v>3072</v>
      </c>
      <c r="D3878" s="2108">
        <v>8</v>
      </c>
      <c r="E3878" s="413" t="s">
        <v>100</v>
      </c>
      <c r="F3878" s="1883">
        <f>'Bahan &amp; Upah'!C$27</f>
        <v>1792.44</v>
      </c>
      <c r="G3878" s="332">
        <f>F3878*D3878</f>
        <v>14339.52</v>
      </c>
      <c r="H3878" s="1749">
        <v>0.91900000000000004</v>
      </c>
      <c r="I3878" s="2036">
        <f>(G3878/G$3883)*H3878</f>
        <v>5.8679961697556925E-2</v>
      </c>
      <c r="J3878" s="2076"/>
    </row>
    <row r="3879" spans="1:10" ht="12.75" customHeight="1">
      <c r="A3879" s="1780"/>
      <c r="B3879" s="1739"/>
      <c r="C3879" s="2079" t="s">
        <v>3073</v>
      </c>
      <c r="D3879" s="2108">
        <v>3.2000000000000001E-2</v>
      </c>
      <c r="E3879" s="413" t="s">
        <v>103</v>
      </c>
      <c r="F3879" s="1883">
        <f>'Bahan &amp; Upah'!C$11</f>
        <v>362812.55</v>
      </c>
      <c r="G3879" s="1794">
        <f>F3879*D3879</f>
        <v>11610.0016</v>
      </c>
      <c r="H3879" s="1749">
        <v>1</v>
      </c>
      <c r="I3879" s="2036">
        <f>(G3879/G$3883)*H3879</f>
        <v>5.1697789736098364E-2</v>
      </c>
      <c r="J3879" s="2076"/>
    </row>
    <row r="3880" spans="1:10" ht="15.75" customHeight="1">
      <c r="A3880" s="1780"/>
      <c r="B3880" s="1909"/>
      <c r="C3880" s="1889" t="s">
        <v>2091</v>
      </c>
      <c r="D3880" s="2110"/>
      <c r="E3880" s="333"/>
      <c r="F3880" s="328"/>
      <c r="G3880" s="361">
        <f>SUM(G3877:G3879)</f>
        <v>160016.92159999997</v>
      </c>
      <c r="H3880" s="2084"/>
      <c r="I3880" s="2111">
        <f>SUM(I3877:I3879)</f>
        <v>0.24893779901710592</v>
      </c>
      <c r="J3880" s="2076"/>
    </row>
    <row r="3881" spans="1:10" ht="15.75" customHeight="1">
      <c r="A3881" s="1780"/>
      <c r="B3881" s="1739" t="s">
        <v>1048</v>
      </c>
      <c r="C3881" s="1877" t="s">
        <v>2246</v>
      </c>
      <c r="D3881" s="2110"/>
      <c r="E3881" s="333"/>
      <c r="F3881" s="328"/>
      <c r="G3881" s="332"/>
      <c r="H3881" s="2075"/>
      <c r="I3881" s="1910"/>
      <c r="J3881" s="2076"/>
    </row>
    <row r="3882" spans="1:10" ht="15.75" customHeight="1">
      <c r="A3882" s="1780"/>
      <c r="B3882" s="1784"/>
      <c r="C3882" s="2082" t="s">
        <v>2110</v>
      </c>
      <c r="D3882" s="2112"/>
      <c r="E3882" s="1882"/>
      <c r="F3882" s="1845"/>
      <c r="G3882" s="1966"/>
      <c r="H3882" s="2084"/>
      <c r="I3882" s="1910"/>
      <c r="J3882" s="2085"/>
    </row>
    <row r="3883" spans="1:10" ht="15.75" customHeight="1">
      <c r="A3883" s="1780"/>
      <c r="B3883" s="1739" t="s">
        <v>979</v>
      </c>
      <c r="C3883" s="1804" t="s">
        <v>2129</v>
      </c>
      <c r="D3883" s="2113"/>
      <c r="E3883" s="1764"/>
      <c r="F3883" s="1765"/>
      <c r="G3883" s="1765">
        <f>G3875+G3880</f>
        <v>224574.42879599996</v>
      </c>
      <c r="H3883" s="2075"/>
      <c r="I3883" s="1782"/>
      <c r="J3883" s="2076"/>
    </row>
    <row r="3884" spans="1:10" ht="15.75" customHeight="1">
      <c r="A3884" s="1780"/>
      <c r="B3884" s="1739" t="s">
        <v>2093</v>
      </c>
      <c r="C3884" s="1762" t="s">
        <v>2094</v>
      </c>
      <c r="D3884" s="1823">
        <f>M$4</f>
        <v>0.15</v>
      </c>
      <c r="E3884" s="1768"/>
      <c r="F3884" s="1765"/>
      <c r="G3884" s="1765">
        <f>G3883*D3884</f>
        <v>33686.164319399992</v>
      </c>
      <c r="H3884" s="2075"/>
      <c r="I3884" s="1862">
        <f>I3875+I3880</f>
        <v>0.53640377429358344</v>
      </c>
      <c r="J3884" s="2076"/>
    </row>
    <row r="3885" spans="1:10" ht="15.75" customHeight="1">
      <c r="A3885" s="1786"/>
      <c r="B3885" s="1787" t="s">
        <v>2095</v>
      </c>
      <c r="C3885" s="1788" t="s">
        <v>2111</v>
      </c>
      <c r="D3885" s="2114"/>
      <c r="E3885" s="1773"/>
      <c r="F3885" s="1774"/>
      <c r="G3885" s="2115">
        <f>ROUNDUP((G3883+G3884),2)</f>
        <v>258260.6</v>
      </c>
      <c r="H3885" s="2087"/>
      <c r="I3885" s="2010"/>
      <c r="J3885" s="2088"/>
    </row>
    <row r="3886" spans="1:10" ht="15.75" customHeight="1">
      <c r="A3886" s="1733"/>
      <c r="B3886" s="1733"/>
      <c r="C3886" s="1733"/>
      <c r="D3886" s="1733"/>
      <c r="E3886" s="1733"/>
      <c r="F3886" s="1733"/>
      <c r="G3886" s="1733"/>
      <c r="H3886" s="1733"/>
      <c r="I3886" s="1733"/>
      <c r="J3886" s="1733"/>
    </row>
    <row r="3887" spans="1:10" ht="25.5" customHeight="1">
      <c r="A3887" s="2118">
        <f>A3869+1</f>
        <v>218</v>
      </c>
      <c r="B3887" s="2119" t="s">
        <v>3074</v>
      </c>
      <c r="C3887" s="2120" t="s">
        <v>3075</v>
      </c>
      <c r="D3887" s="2121"/>
      <c r="E3887" s="2122"/>
      <c r="F3887" s="1875"/>
      <c r="G3887" s="1875"/>
      <c r="H3887" s="1733"/>
      <c r="I3887" s="1733"/>
      <c r="J3887" s="1733"/>
    </row>
    <row r="3888" spans="1:10" ht="15.75" customHeight="1">
      <c r="A3888" s="440"/>
      <c r="B3888" s="1739" t="s">
        <v>1004</v>
      </c>
      <c r="C3888" s="1896" t="s">
        <v>2067</v>
      </c>
      <c r="D3888" s="343"/>
      <c r="E3888" s="413"/>
      <c r="F3888" s="320"/>
      <c r="G3888" s="320"/>
      <c r="H3888" s="1733"/>
      <c r="I3888" s="1733"/>
      <c r="J3888" s="1733"/>
    </row>
    <row r="3889" spans="1:10" ht="15.75" customHeight="1">
      <c r="A3889" s="1780"/>
      <c r="B3889" s="1739"/>
      <c r="C3889" s="1878" t="s">
        <v>2103</v>
      </c>
      <c r="D3889" s="2123">
        <v>0.02</v>
      </c>
      <c r="E3889" s="413" t="s">
        <v>2069</v>
      </c>
      <c r="F3889" s="1747">
        <f>'Bahan &amp; Upah'!C$336</f>
        <v>96332.65</v>
      </c>
      <c r="G3889" s="361">
        <f>F3889*D3889</f>
        <v>1926.653</v>
      </c>
      <c r="H3889" s="1733"/>
      <c r="I3889" s="1733"/>
      <c r="J3889" s="1733"/>
    </row>
    <row r="3890" spans="1:10" ht="15.75" customHeight="1">
      <c r="A3890" s="1780"/>
      <c r="B3890" s="1739"/>
      <c r="C3890" s="1878" t="s">
        <v>2445</v>
      </c>
      <c r="D3890" s="2123">
        <v>0.02</v>
      </c>
      <c r="E3890" s="413" t="s">
        <v>2069</v>
      </c>
      <c r="F3890" s="1883">
        <f>'Bahan &amp; Upah'!C$337</f>
        <v>114133.55</v>
      </c>
      <c r="G3890" s="361">
        <f>F3890*D3890</f>
        <v>2282.6710000000003</v>
      </c>
      <c r="H3890" s="1733"/>
      <c r="I3890" s="1733"/>
      <c r="J3890" s="1733"/>
    </row>
    <row r="3891" spans="1:10" ht="15.75" customHeight="1">
      <c r="A3891" s="1780"/>
      <c r="B3891" s="1739"/>
      <c r="C3891" s="1878" t="s">
        <v>2105</v>
      </c>
      <c r="D3891" s="2123">
        <v>4.0000000000000001E-3</v>
      </c>
      <c r="E3891" s="413" t="s">
        <v>2069</v>
      </c>
      <c r="F3891" s="1748">
        <f>'Bahan &amp; Upah'!C$338</f>
        <v>125485.75</v>
      </c>
      <c r="G3891" s="361">
        <f>F3891*D3891</f>
        <v>501.94299999999998</v>
      </c>
      <c r="H3891" s="1733"/>
      <c r="I3891" s="1733"/>
      <c r="J3891" s="1733"/>
    </row>
    <row r="3892" spans="1:10" ht="15.75" customHeight="1">
      <c r="A3892" s="1780"/>
      <c r="B3892" s="1739"/>
      <c r="C3892" s="1878" t="s">
        <v>2107</v>
      </c>
      <c r="D3892" s="2108">
        <v>1.2999999999999999E-3</v>
      </c>
      <c r="E3892" s="413" t="s">
        <v>2069</v>
      </c>
      <c r="F3892" s="1883">
        <f>'Bahan &amp; Upah'!C$339</f>
        <v>102689.88</v>
      </c>
      <c r="G3892" s="1794">
        <f>F3892*D3892</f>
        <v>133.49684400000001</v>
      </c>
      <c r="H3892" s="1733"/>
      <c r="I3892" s="1733"/>
      <c r="J3892" s="1733"/>
    </row>
    <row r="3893" spans="1:10" ht="15.75" customHeight="1">
      <c r="A3893" s="1780"/>
      <c r="B3893" s="1739"/>
      <c r="C3893" s="1889" t="s">
        <v>2108</v>
      </c>
      <c r="D3893" s="2108"/>
      <c r="E3893" s="413"/>
      <c r="F3893" s="320"/>
      <c r="G3893" s="361">
        <f>SUM(G3889:G3892)</f>
        <v>4844.763844000001</v>
      </c>
      <c r="H3893" s="1733"/>
      <c r="I3893" s="1733"/>
      <c r="J3893" s="1733"/>
    </row>
    <row r="3894" spans="1:10" ht="15.75" customHeight="1">
      <c r="A3894" s="1780"/>
      <c r="B3894" s="1739" t="s">
        <v>1015</v>
      </c>
      <c r="C3894" s="1877" t="s">
        <v>2075</v>
      </c>
      <c r="D3894" s="2108"/>
      <c r="E3894" s="413"/>
      <c r="F3894" s="320"/>
      <c r="G3894" s="320"/>
      <c r="H3894" s="1733"/>
      <c r="I3894" s="1733"/>
      <c r="J3894" s="1733"/>
    </row>
    <row r="3895" spans="1:10" ht="15.75" customHeight="1">
      <c r="A3895" s="1780"/>
      <c r="B3895" s="1739"/>
      <c r="C3895" s="2079" t="s">
        <v>3076</v>
      </c>
      <c r="D3895" s="2108">
        <v>1</v>
      </c>
      <c r="E3895" s="413" t="s">
        <v>3077</v>
      </c>
      <c r="F3895" s="1748">
        <f>'Bahan &amp; Upah'!C$26</f>
        <v>44245.440000000002</v>
      </c>
      <c r="G3895" s="361">
        <f>F3895*D3895</f>
        <v>44245.440000000002</v>
      </c>
      <c r="H3895" s="1733"/>
      <c r="I3895" s="1733"/>
      <c r="J3895" s="1733"/>
    </row>
    <row r="3896" spans="1:10" ht="15.75" customHeight="1">
      <c r="A3896" s="1780"/>
      <c r="B3896" s="1739"/>
      <c r="C3896" s="2079" t="s">
        <v>3078</v>
      </c>
      <c r="D3896" s="2108"/>
      <c r="E3896" s="413"/>
      <c r="F3896" s="1748"/>
      <c r="G3896" s="1966"/>
      <c r="H3896" s="1733"/>
      <c r="I3896" s="1733"/>
      <c r="J3896" s="1733"/>
    </row>
    <row r="3897" spans="1:10" ht="15.75" customHeight="1">
      <c r="A3897" s="1780"/>
      <c r="B3897" s="1739"/>
      <c r="C3897" s="2079" t="s">
        <v>3079</v>
      </c>
      <c r="D3897" s="2108">
        <v>0.09</v>
      </c>
      <c r="E3897" s="413" t="s">
        <v>266</v>
      </c>
      <c r="F3897" s="1748">
        <f>'Bahan &amp; Upah'!C$25*0.0075</f>
        <v>198.8415</v>
      </c>
      <c r="G3897" s="361">
        <f>F3897*D3897</f>
        <v>17.895734999999998</v>
      </c>
      <c r="H3897" s="1733"/>
      <c r="I3897" s="1733"/>
      <c r="J3897" s="1733"/>
    </row>
    <row r="3898" spans="1:10" ht="15.75" customHeight="1">
      <c r="A3898" s="1780"/>
      <c r="B3898" s="1739"/>
      <c r="C3898" s="2079" t="s">
        <v>3080</v>
      </c>
      <c r="D3898" s="2108">
        <v>0.01</v>
      </c>
      <c r="E3898" s="413" t="s">
        <v>266</v>
      </c>
      <c r="F3898" s="1748">
        <f>'Bahan &amp; Upah'!C$11</f>
        <v>362812.55</v>
      </c>
      <c r="G3898" s="1794">
        <f>F3898*D3898</f>
        <v>3628.1255000000001</v>
      </c>
      <c r="H3898" s="1733"/>
      <c r="I3898" s="1733"/>
      <c r="J3898" s="1733"/>
    </row>
    <row r="3899" spans="1:10" ht="15.75" customHeight="1">
      <c r="A3899" s="1780"/>
      <c r="B3899" s="1909"/>
      <c r="C3899" s="1889" t="s">
        <v>2091</v>
      </c>
      <c r="D3899" s="2110"/>
      <c r="E3899" s="333"/>
      <c r="F3899" s="328"/>
      <c r="G3899" s="361">
        <f>SUM(G3895:G3898)</f>
        <v>47891.461235000002</v>
      </c>
      <c r="H3899" s="1733"/>
      <c r="I3899" s="1733"/>
      <c r="J3899" s="1733"/>
    </row>
    <row r="3900" spans="1:10" ht="15.75" customHeight="1">
      <c r="A3900" s="1780"/>
      <c r="B3900" s="1739" t="s">
        <v>1048</v>
      </c>
      <c r="C3900" s="1877" t="s">
        <v>2246</v>
      </c>
      <c r="D3900" s="2110"/>
      <c r="E3900" s="333"/>
      <c r="F3900" s="328"/>
      <c r="G3900" s="332"/>
      <c r="H3900" s="1733"/>
      <c r="I3900" s="1733"/>
      <c r="J3900" s="1733"/>
    </row>
    <row r="3901" spans="1:10" ht="15.75" customHeight="1">
      <c r="A3901" s="1780"/>
      <c r="B3901" s="1784"/>
      <c r="C3901" s="2082" t="s">
        <v>2110</v>
      </c>
      <c r="D3901" s="2112"/>
      <c r="E3901" s="1882"/>
      <c r="F3901" s="1845"/>
      <c r="G3901" s="1966"/>
      <c r="H3901" s="1733"/>
      <c r="I3901" s="1733"/>
      <c r="J3901" s="1733"/>
    </row>
    <row r="3902" spans="1:10" ht="15.75" customHeight="1">
      <c r="A3902" s="1780"/>
      <c r="B3902" s="1739" t="s">
        <v>979</v>
      </c>
      <c r="C3902" s="1804" t="s">
        <v>2129</v>
      </c>
      <c r="D3902" s="2113"/>
      <c r="E3902" s="1764"/>
      <c r="F3902" s="1765"/>
      <c r="G3902" s="1765">
        <f>G3893+G3899</f>
        <v>52736.225079000003</v>
      </c>
      <c r="H3902" s="1733"/>
      <c r="I3902" s="1733"/>
      <c r="J3902" s="1733"/>
    </row>
    <row r="3903" spans="1:10" ht="15.75" customHeight="1">
      <c r="A3903" s="1780"/>
      <c r="B3903" s="1739" t="s">
        <v>2093</v>
      </c>
      <c r="C3903" s="2124" t="s">
        <v>2094</v>
      </c>
      <c r="D3903" s="2125">
        <v>0.15</v>
      </c>
      <c r="E3903" s="2126"/>
      <c r="F3903" s="2127"/>
      <c r="G3903" s="2127">
        <f>G3902*D3903</f>
        <v>7910.4337618500003</v>
      </c>
      <c r="H3903" s="1733"/>
      <c r="I3903" s="1733"/>
      <c r="J3903" s="1733"/>
    </row>
    <row r="3904" spans="1:10" ht="15.75" customHeight="1">
      <c r="A3904" s="1786"/>
      <c r="B3904" s="1787" t="s">
        <v>2095</v>
      </c>
      <c r="C3904" s="1788" t="s">
        <v>2111</v>
      </c>
      <c r="D3904" s="2114"/>
      <c r="E3904" s="1773"/>
      <c r="F3904" s="1774"/>
      <c r="G3904" s="2115">
        <f>ROUNDUP((G3902+G3903),2)</f>
        <v>60646.66</v>
      </c>
      <c r="H3904" s="1733"/>
      <c r="I3904" s="1733"/>
      <c r="J3904" s="1733"/>
    </row>
    <row r="3905" spans="1:10" ht="15.75" customHeight="1">
      <c r="H3905" s="1733"/>
      <c r="I3905" s="1733"/>
      <c r="J3905" s="1733"/>
    </row>
    <row r="3906" spans="1:10" ht="38.25" customHeight="1">
      <c r="A3906" s="2118">
        <f>A3887+1</f>
        <v>219</v>
      </c>
      <c r="B3906" s="2119" t="s">
        <v>3081</v>
      </c>
      <c r="C3906" s="2128" t="s">
        <v>3082</v>
      </c>
      <c r="D3906" s="2121"/>
      <c r="E3906" s="2122"/>
      <c r="F3906" s="2128"/>
      <c r="G3906" s="2129"/>
      <c r="H3906" s="1733"/>
      <c r="I3906" s="1733"/>
      <c r="J3906" s="1733"/>
    </row>
    <row r="3907" spans="1:10" ht="15.75" customHeight="1">
      <c r="A3907" s="440"/>
      <c r="B3907" s="1739" t="s">
        <v>1004</v>
      </c>
      <c r="C3907" s="1896" t="s">
        <v>2067</v>
      </c>
      <c r="D3907" s="343"/>
      <c r="E3907" s="413"/>
      <c r="F3907" s="320"/>
      <c r="G3907" s="320"/>
      <c r="H3907" s="1733"/>
      <c r="I3907" s="1733"/>
      <c r="J3907" s="1733"/>
    </row>
    <row r="3908" spans="1:10" ht="15.75" customHeight="1">
      <c r="A3908" s="1780"/>
      <c r="B3908" s="1739"/>
      <c r="C3908" s="1878" t="s">
        <v>2103</v>
      </c>
      <c r="D3908" s="2123">
        <v>0.04</v>
      </c>
      <c r="E3908" s="413" t="s">
        <v>2069</v>
      </c>
      <c r="F3908" s="1747">
        <f>'Bahan &amp; Upah'!C$336</f>
        <v>96332.65</v>
      </c>
      <c r="G3908" s="361">
        <f>F3908*D3908</f>
        <v>3853.306</v>
      </c>
      <c r="H3908" s="1733"/>
      <c r="I3908" s="1733"/>
      <c r="J3908" s="1733"/>
    </row>
    <row r="3909" spans="1:10" ht="15.75" customHeight="1">
      <c r="A3909" s="1780"/>
      <c r="B3909" s="1739"/>
      <c r="C3909" s="1878" t="s">
        <v>2445</v>
      </c>
      <c r="D3909" s="2123">
        <v>0.04</v>
      </c>
      <c r="E3909" s="413" t="s">
        <v>2069</v>
      </c>
      <c r="F3909" s="1883">
        <f>'Bahan &amp; Upah'!C$337</f>
        <v>114133.55</v>
      </c>
      <c r="G3909" s="361">
        <f>F3909*D3909</f>
        <v>4565.3420000000006</v>
      </c>
      <c r="H3909" s="1733"/>
      <c r="I3909" s="1733"/>
      <c r="J3909" s="1733"/>
    </row>
    <row r="3910" spans="1:10" ht="15.75" customHeight="1">
      <c r="A3910" s="1780"/>
      <c r="B3910" s="1739"/>
      <c r="C3910" s="1878" t="s">
        <v>2105</v>
      </c>
      <c r="D3910" s="2123">
        <v>1.2999999999999999E-2</v>
      </c>
      <c r="E3910" s="413" t="s">
        <v>2069</v>
      </c>
      <c r="F3910" s="1748">
        <f>'Bahan &amp; Upah'!C$338</f>
        <v>125485.75</v>
      </c>
      <c r="G3910" s="361">
        <f>F3910*D3910</f>
        <v>1631.31475</v>
      </c>
      <c r="H3910" s="1733"/>
      <c r="I3910" s="1733"/>
      <c r="J3910" s="1733"/>
    </row>
    <row r="3911" spans="1:10" ht="15.75" customHeight="1">
      <c r="A3911" s="1780"/>
      <c r="B3911" s="1739"/>
      <c r="C3911" s="1878" t="s">
        <v>2107</v>
      </c>
      <c r="D3911" s="2108">
        <v>4.3E-3</v>
      </c>
      <c r="E3911" s="413" t="s">
        <v>2069</v>
      </c>
      <c r="F3911" s="1883">
        <f>'Bahan &amp; Upah'!C$339</f>
        <v>102689.88</v>
      </c>
      <c r="G3911" s="1794">
        <f>F3911*D3911</f>
        <v>441.566484</v>
      </c>
      <c r="H3911" s="1733"/>
      <c r="I3911" s="1733"/>
      <c r="J3911" s="1733"/>
    </row>
    <row r="3912" spans="1:10" ht="15.75" customHeight="1">
      <c r="A3912" s="1780"/>
      <c r="B3912" s="1739"/>
      <c r="C3912" s="1889" t="s">
        <v>2108</v>
      </c>
      <c r="D3912" s="2108"/>
      <c r="E3912" s="413"/>
      <c r="F3912" s="320"/>
      <c r="G3912" s="361">
        <f>SUM(G3908:G3911)</f>
        <v>10491.529234000001</v>
      </c>
      <c r="H3912" s="1733"/>
      <c r="I3912" s="1733"/>
      <c r="J3912" s="1733"/>
    </row>
    <row r="3913" spans="1:10" ht="15.75" customHeight="1">
      <c r="A3913" s="1780"/>
      <c r="B3913" s="1739" t="s">
        <v>1015</v>
      </c>
      <c r="C3913" s="1877" t="s">
        <v>2075</v>
      </c>
      <c r="D3913" s="2108"/>
      <c r="E3913" s="413"/>
      <c r="F3913" s="320"/>
      <c r="G3913" s="320"/>
      <c r="H3913" s="1733"/>
      <c r="I3913" s="1733"/>
      <c r="J3913" s="1733"/>
    </row>
    <row r="3914" spans="1:10" ht="15.75" customHeight="1">
      <c r="A3914" s="1780"/>
      <c r="B3914" s="1739"/>
      <c r="C3914" s="2079" t="s">
        <v>3083</v>
      </c>
      <c r="D3914" s="2108">
        <v>1.05</v>
      </c>
      <c r="E3914" s="413" t="s">
        <v>824</v>
      </c>
      <c r="F3914" s="1748">
        <v>813850.27</v>
      </c>
      <c r="G3914" s="361">
        <f>F3914*D3914</f>
        <v>854542.78350000002</v>
      </c>
      <c r="H3914" s="1733"/>
      <c r="I3914" s="1733"/>
      <c r="J3914" s="1733"/>
    </row>
    <row r="3915" spans="1:10" ht="15.75" customHeight="1">
      <c r="A3915" s="1780"/>
      <c r="B3915" s="1739"/>
      <c r="C3915" s="2079" t="s">
        <v>3084</v>
      </c>
      <c r="D3915" s="2108">
        <v>0.01</v>
      </c>
      <c r="E3915" s="413" t="s">
        <v>100</v>
      </c>
      <c r="F3915" s="1748">
        <v>787859.39</v>
      </c>
      <c r="G3915" s="361">
        <f>F3915*D3915</f>
        <v>7878.5939000000008</v>
      </c>
      <c r="H3915" s="1733"/>
      <c r="I3915" s="1733"/>
      <c r="J3915" s="1733"/>
    </row>
    <row r="3916" spans="1:10" ht="15.75" customHeight="1">
      <c r="A3916" s="1780"/>
      <c r="B3916" s="1739"/>
      <c r="C3916" s="2079" t="s">
        <v>3085</v>
      </c>
      <c r="D3916" s="2108"/>
      <c r="E3916" s="413"/>
      <c r="F3916" s="1748"/>
      <c r="G3916" s="1966"/>
      <c r="H3916" s="1733"/>
      <c r="I3916" s="1733"/>
      <c r="J3916" s="1733"/>
    </row>
    <row r="3917" spans="1:10" ht="15.75" customHeight="1">
      <c r="A3917" s="1780"/>
      <c r="B3917" s="1739"/>
      <c r="C3917" s="2079" t="s">
        <v>3086</v>
      </c>
      <c r="D3917" s="2108">
        <v>12</v>
      </c>
      <c r="E3917" s="413" t="s">
        <v>803</v>
      </c>
      <c r="F3917" s="1748">
        <v>10462.290000000001</v>
      </c>
      <c r="G3917" s="361">
        <f>F3917*D3917</f>
        <v>125547.48000000001</v>
      </c>
      <c r="H3917" s="1733"/>
      <c r="I3917" s="1733"/>
      <c r="J3917" s="1733"/>
    </row>
    <row r="3918" spans="1:10" ht="15.75" customHeight="1">
      <c r="A3918" s="1780"/>
      <c r="B3918" s="1739"/>
      <c r="C3918" s="2079" t="s">
        <v>3087</v>
      </c>
      <c r="D3918" s="2108">
        <v>10</v>
      </c>
      <c r="E3918" s="413" t="s">
        <v>803</v>
      </c>
      <c r="F3918" s="1748">
        <v>3160.76</v>
      </c>
      <c r="G3918" s="361">
        <f>F3918*D3918</f>
        <v>31607.600000000002</v>
      </c>
      <c r="H3918" s="1733"/>
      <c r="I3918" s="1733"/>
      <c r="J3918" s="1733"/>
    </row>
    <row r="3919" spans="1:10" ht="15.75" customHeight="1">
      <c r="A3919" s="1780"/>
      <c r="B3919" s="1739"/>
      <c r="C3919" s="2079"/>
      <c r="D3919" s="2108"/>
      <c r="E3919" s="413"/>
      <c r="F3919" s="1748"/>
      <c r="G3919" s="1966"/>
      <c r="H3919" s="1733"/>
      <c r="I3919" s="1733"/>
      <c r="J3919" s="1733"/>
    </row>
    <row r="3920" spans="1:10" ht="15.75" customHeight="1">
      <c r="A3920" s="1780"/>
      <c r="B3920" s="1739"/>
      <c r="C3920" s="2079" t="s">
        <v>3088</v>
      </c>
      <c r="D3920" s="2108">
        <v>4.9000000000000002E-2</v>
      </c>
      <c r="E3920" s="413" t="s">
        <v>266</v>
      </c>
      <c r="F3920" s="1748">
        <v>153331.88</v>
      </c>
      <c r="G3920" s="361">
        <f>F3920*D3920</f>
        <v>7513.2621200000003</v>
      </c>
      <c r="H3920" s="1733"/>
      <c r="I3920" s="1733"/>
      <c r="J3920" s="1733"/>
    </row>
    <row r="3921" spans="1:10" ht="15.75" customHeight="1">
      <c r="A3921" s="1780"/>
      <c r="B3921" s="1739"/>
      <c r="C3921" s="2079" t="s">
        <v>3089</v>
      </c>
      <c r="D3921" s="2108">
        <v>1.2999999999999999E-2</v>
      </c>
      <c r="E3921" s="413" t="s">
        <v>266</v>
      </c>
      <c r="F3921" s="1748">
        <v>152526.66</v>
      </c>
      <c r="G3921" s="361">
        <f>F3921*D3921</f>
        <v>1982.8465799999999</v>
      </c>
      <c r="H3921" s="1733"/>
      <c r="I3921" s="1733"/>
      <c r="J3921" s="1733"/>
    </row>
    <row r="3922" spans="1:10" ht="15.75" customHeight="1">
      <c r="A3922" s="1780"/>
      <c r="B3922" s="1739"/>
      <c r="C3922" s="2079" t="s">
        <v>3090</v>
      </c>
      <c r="D3922" s="2108">
        <v>3.0000000000000001E-3</v>
      </c>
      <c r="E3922" s="413" t="s">
        <v>266</v>
      </c>
      <c r="F3922" s="1748">
        <v>316936.98</v>
      </c>
      <c r="G3922" s="1794">
        <f>F3922*D3922</f>
        <v>950.81093999999996</v>
      </c>
      <c r="H3922" s="1733"/>
      <c r="I3922" s="1733"/>
      <c r="J3922" s="1733"/>
    </row>
    <row r="3923" spans="1:10" ht="15.75" customHeight="1">
      <c r="A3923" s="1780"/>
      <c r="B3923" s="1909"/>
      <c r="C3923" s="1889" t="s">
        <v>2091</v>
      </c>
      <c r="D3923" s="2110"/>
      <c r="E3923" s="333"/>
      <c r="F3923" s="328"/>
      <c r="G3923" s="361">
        <f>SUM(G3914:G3922)</f>
        <v>1030023.3770399999</v>
      </c>
      <c r="H3923" s="1733"/>
      <c r="I3923" s="1733"/>
      <c r="J3923" s="1733"/>
    </row>
    <row r="3924" spans="1:10" ht="15.75" customHeight="1">
      <c r="A3924" s="1780"/>
      <c r="B3924" s="1739" t="s">
        <v>1048</v>
      </c>
      <c r="C3924" s="1877" t="s">
        <v>2246</v>
      </c>
      <c r="D3924" s="2110"/>
      <c r="E3924" s="333"/>
      <c r="F3924" s="328"/>
      <c r="G3924" s="332"/>
      <c r="H3924" s="1733"/>
      <c r="I3924" s="1733"/>
      <c r="J3924" s="1733"/>
    </row>
    <row r="3925" spans="1:10" ht="15.75" customHeight="1">
      <c r="A3925" s="1780"/>
      <c r="B3925" s="1784"/>
      <c r="C3925" s="2082" t="s">
        <v>2110</v>
      </c>
      <c r="D3925" s="2112"/>
      <c r="E3925" s="1882"/>
      <c r="F3925" s="1845"/>
      <c r="G3925" s="1966"/>
      <c r="H3925" s="1733"/>
      <c r="I3925" s="1733"/>
      <c r="J3925" s="1733"/>
    </row>
    <row r="3926" spans="1:10" ht="15.75" customHeight="1">
      <c r="A3926" s="1780"/>
      <c r="B3926" s="1739" t="s">
        <v>979</v>
      </c>
      <c r="C3926" s="1804" t="s">
        <v>2129</v>
      </c>
      <c r="D3926" s="2113"/>
      <c r="E3926" s="1764"/>
      <c r="F3926" s="1765"/>
      <c r="G3926" s="1765">
        <f>G3912+G3923</f>
        <v>1040514.9062739999</v>
      </c>
      <c r="H3926" s="1733"/>
      <c r="I3926" s="1733"/>
      <c r="J3926" s="1733"/>
    </row>
    <row r="3927" spans="1:10" ht="15.75" customHeight="1">
      <c r="A3927" s="1780"/>
      <c r="B3927" s="1739" t="s">
        <v>2093</v>
      </c>
      <c r="C3927" s="2124" t="s">
        <v>2094</v>
      </c>
      <c r="D3927" s="2125">
        <v>0.15</v>
      </c>
      <c r="E3927" s="2126"/>
      <c r="F3927" s="2127"/>
      <c r="G3927" s="2127">
        <f>G3926*D3927</f>
        <v>156077.23594109999</v>
      </c>
      <c r="H3927" s="1733"/>
      <c r="I3927" s="1733"/>
      <c r="J3927" s="1733"/>
    </row>
    <row r="3928" spans="1:10" ht="15.75" customHeight="1">
      <c r="A3928" s="1786"/>
      <c r="B3928" s="1787" t="s">
        <v>2095</v>
      </c>
      <c r="C3928" s="1788" t="s">
        <v>2111</v>
      </c>
      <c r="D3928" s="2114"/>
      <c r="E3928" s="1773"/>
      <c r="F3928" s="1774"/>
      <c r="G3928" s="2115">
        <f>ROUNDUP((G3926+G3927),2)</f>
        <v>1196592.1499999999</v>
      </c>
      <c r="H3928" s="1733"/>
      <c r="I3928" s="1733"/>
      <c r="J3928" s="1733"/>
    </row>
    <row r="3929" spans="1:10" ht="15.75" customHeight="1">
      <c r="H3929" s="1733"/>
      <c r="I3929" s="1733"/>
      <c r="J3929" s="1733"/>
    </row>
    <row r="3930" spans="1:10" ht="25.5" customHeight="1">
      <c r="A3930" s="2118">
        <f>A3906+1</f>
        <v>220</v>
      </c>
      <c r="B3930" s="2119" t="s">
        <v>2147</v>
      </c>
      <c r="C3930" s="2120" t="s">
        <v>3091</v>
      </c>
      <c r="D3930" s="2121"/>
      <c r="E3930" s="2122"/>
      <c r="F3930" s="3280"/>
      <c r="G3930" s="3280"/>
      <c r="H3930" s="1733"/>
      <c r="I3930" s="1733"/>
      <c r="J3930" s="1733"/>
    </row>
    <row r="3931" spans="1:10" ht="15.75" customHeight="1">
      <c r="A3931" s="440"/>
      <c r="B3931" s="1739" t="s">
        <v>1004</v>
      </c>
      <c r="C3931" s="1896" t="s">
        <v>2067</v>
      </c>
      <c r="D3931" s="343"/>
      <c r="E3931" s="413"/>
      <c r="F3931" s="320"/>
      <c r="G3931" s="320"/>
      <c r="H3931" s="1733"/>
      <c r="I3931" s="1733"/>
      <c r="J3931" s="1733"/>
    </row>
    <row r="3932" spans="1:10" ht="15.75" customHeight="1">
      <c r="A3932" s="1780"/>
      <c r="B3932" s="1739"/>
      <c r="C3932" s="1878" t="s">
        <v>2103</v>
      </c>
      <c r="D3932" s="2123">
        <v>0.04</v>
      </c>
      <c r="E3932" s="413" t="s">
        <v>2069</v>
      </c>
      <c r="F3932" s="1747">
        <f>'Bahan &amp; Upah'!C$336</f>
        <v>96332.65</v>
      </c>
      <c r="G3932" s="361">
        <f>F3932*D3932</f>
        <v>3853.306</v>
      </c>
      <c r="H3932" s="1733"/>
      <c r="I3932" s="1733"/>
      <c r="J3932" s="1733"/>
    </row>
    <row r="3933" spans="1:10" ht="15.75" customHeight="1">
      <c r="A3933" s="1780"/>
      <c r="B3933" s="1739"/>
      <c r="C3933" s="1878" t="s">
        <v>2445</v>
      </c>
      <c r="D3933" s="2123">
        <v>0.04</v>
      </c>
      <c r="E3933" s="413" t="s">
        <v>2069</v>
      </c>
      <c r="F3933" s="1883">
        <f>'Bahan &amp; Upah'!C$337</f>
        <v>114133.55</v>
      </c>
      <c r="G3933" s="361">
        <f>F3933*D3933</f>
        <v>4565.3420000000006</v>
      </c>
      <c r="H3933" s="1733"/>
      <c r="I3933" s="1733"/>
      <c r="J3933" s="1733"/>
    </row>
    <row r="3934" spans="1:10" ht="15.75" customHeight="1">
      <c r="A3934" s="1780"/>
      <c r="B3934" s="1739"/>
      <c r="C3934" s="1878" t="s">
        <v>2105</v>
      </c>
      <c r="D3934" s="2123">
        <v>1.2999999999999999E-2</v>
      </c>
      <c r="E3934" s="413" t="s">
        <v>2069</v>
      </c>
      <c r="F3934" s="1748">
        <f>'Bahan &amp; Upah'!C$338</f>
        <v>125485.75</v>
      </c>
      <c r="G3934" s="361">
        <f>F3934*D3934</f>
        <v>1631.31475</v>
      </c>
      <c r="H3934" s="1733"/>
      <c r="I3934" s="1733"/>
      <c r="J3934" s="1733"/>
    </row>
    <row r="3935" spans="1:10" ht="15.75" customHeight="1">
      <c r="A3935" s="1780"/>
      <c r="B3935" s="1739"/>
      <c r="C3935" s="1878" t="s">
        <v>2107</v>
      </c>
      <c r="D3935" s="2108">
        <v>4.3E-3</v>
      </c>
      <c r="E3935" s="413" t="s">
        <v>2069</v>
      </c>
      <c r="F3935" s="1883">
        <f>'Bahan &amp; Upah'!C$339</f>
        <v>102689.88</v>
      </c>
      <c r="G3935" s="1794">
        <f>F3935*D3935</f>
        <v>441.566484</v>
      </c>
      <c r="H3935" s="1733"/>
      <c r="I3935" s="1733"/>
      <c r="J3935" s="1733"/>
    </row>
    <row r="3936" spans="1:10" ht="15.75" customHeight="1">
      <c r="A3936" s="1780"/>
      <c r="B3936" s="1739"/>
      <c r="C3936" s="1889" t="s">
        <v>2108</v>
      </c>
      <c r="D3936" s="2108"/>
      <c r="E3936" s="413"/>
      <c r="F3936" s="320"/>
      <c r="G3936" s="361">
        <f>SUM(G3932:G3935)</f>
        <v>10491.529234000001</v>
      </c>
      <c r="H3936" s="1733"/>
      <c r="I3936" s="1733"/>
      <c r="J3936" s="1733"/>
    </row>
    <row r="3937" spans="1:10" ht="15.75" customHeight="1">
      <c r="A3937" s="1780"/>
      <c r="B3937" s="1739" t="s">
        <v>1015</v>
      </c>
      <c r="C3937" s="1877" t="s">
        <v>2075</v>
      </c>
      <c r="D3937" s="2108"/>
      <c r="E3937" s="413"/>
      <c r="F3937" s="320"/>
      <c r="G3937" s="320"/>
      <c r="H3937" s="1733"/>
      <c r="I3937" s="1733"/>
      <c r="J3937" s="1733"/>
    </row>
    <row r="3938" spans="1:10" ht="15.75" customHeight="1">
      <c r="A3938" s="1780"/>
      <c r="B3938" s="1739"/>
      <c r="C3938" s="2079" t="s">
        <v>3092</v>
      </c>
      <c r="D3938" s="2108">
        <v>1</v>
      </c>
      <c r="E3938" s="413" t="s">
        <v>803</v>
      </c>
      <c r="F3938" s="1748">
        <f>'Bahan &amp; Upah'!C141</f>
        <v>82840.33</v>
      </c>
      <c r="G3938" s="361">
        <f>F3938*D3938</f>
        <v>82840.33</v>
      </c>
      <c r="H3938" s="1733"/>
      <c r="I3938" s="1733"/>
      <c r="J3938" s="1733"/>
    </row>
    <row r="3939" spans="1:10" ht="15.75" customHeight="1">
      <c r="A3939" s="1780"/>
      <c r="B3939" s="1739"/>
      <c r="C3939" s="2079" t="s">
        <v>3093</v>
      </c>
      <c r="D3939" s="2108">
        <f>2*0.05*0.07</f>
        <v>7.000000000000001E-3</v>
      </c>
      <c r="E3939" s="413" t="s">
        <v>266</v>
      </c>
      <c r="F3939" s="1748">
        <f>'Bahan &amp; Upah'!C98</f>
        <v>8395042.6699999999</v>
      </c>
      <c r="G3939" s="361">
        <f>F3939*D3939</f>
        <v>58765.298690000011</v>
      </c>
      <c r="H3939" s="1733"/>
      <c r="I3939" s="1733"/>
      <c r="J3939" s="1733"/>
    </row>
    <row r="3940" spans="1:10" ht="15.75" customHeight="1">
      <c r="A3940" s="1780"/>
      <c r="B3940" s="1739"/>
      <c r="C3940" s="2079"/>
      <c r="D3940" s="2108"/>
      <c r="E3940" s="413"/>
      <c r="F3940" s="1748"/>
      <c r="G3940" s="1966"/>
      <c r="H3940" s="1733"/>
      <c r="I3940" s="1733"/>
      <c r="J3940" s="1733"/>
    </row>
    <row r="3941" spans="1:10" ht="15.75" customHeight="1">
      <c r="A3941" s="1780"/>
      <c r="B3941" s="1739"/>
      <c r="C3941" s="2079"/>
      <c r="D3941" s="2108"/>
      <c r="E3941" s="413"/>
      <c r="F3941" s="1748"/>
      <c r="G3941" s="361"/>
      <c r="H3941" s="1733"/>
      <c r="I3941" s="1733"/>
      <c r="J3941" s="1733"/>
    </row>
    <row r="3942" spans="1:10" ht="15.75" customHeight="1">
      <c r="A3942" s="1780"/>
      <c r="B3942" s="1739"/>
      <c r="C3942" s="2079"/>
      <c r="D3942" s="2108"/>
      <c r="E3942" s="413"/>
      <c r="F3942" s="1748"/>
      <c r="G3942" s="361"/>
      <c r="H3942" s="1733"/>
      <c r="I3942" s="1733"/>
      <c r="J3942" s="1733"/>
    </row>
    <row r="3943" spans="1:10" ht="15.75" customHeight="1">
      <c r="A3943" s="1780"/>
      <c r="B3943" s="1739"/>
      <c r="C3943" s="2079"/>
      <c r="D3943" s="2108"/>
      <c r="E3943" s="413"/>
      <c r="F3943" s="1748"/>
      <c r="G3943" s="1966"/>
      <c r="H3943" s="1733"/>
      <c r="I3943" s="1733"/>
      <c r="J3943" s="1733"/>
    </row>
    <row r="3944" spans="1:10" ht="15.75" customHeight="1">
      <c r="A3944" s="1780"/>
      <c r="B3944" s="1739"/>
      <c r="C3944" s="2079"/>
      <c r="D3944" s="2108"/>
      <c r="E3944" s="413"/>
      <c r="F3944" s="1748"/>
      <c r="G3944" s="361"/>
      <c r="H3944" s="1733"/>
      <c r="I3944" s="1733"/>
      <c r="J3944" s="1733"/>
    </row>
    <row r="3945" spans="1:10" ht="15.75" customHeight="1">
      <c r="A3945" s="1780"/>
      <c r="B3945" s="1739"/>
      <c r="C3945" s="2079"/>
      <c r="D3945" s="2108"/>
      <c r="E3945" s="413"/>
      <c r="F3945" s="1748"/>
      <c r="G3945" s="361"/>
      <c r="H3945" s="1733"/>
      <c r="I3945" s="1733"/>
      <c r="J3945" s="1733"/>
    </row>
    <row r="3946" spans="1:10" ht="15.75" customHeight="1">
      <c r="A3946" s="1780"/>
      <c r="B3946" s="1739"/>
      <c r="C3946" s="2079"/>
      <c r="D3946" s="2108"/>
      <c r="E3946" s="413"/>
      <c r="F3946" s="1748"/>
      <c r="G3946" s="1794"/>
      <c r="H3946" s="1733"/>
      <c r="I3946" s="1733"/>
      <c r="J3946" s="1733"/>
    </row>
    <row r="3947" spans="1:10" ht="15.75" customHeight="1">
      <c r="A3947" s="1780"/>
      <c r="B3947" s="1909"/>
      <c r="C3947" s="1889" t="s">
        <v>2091</v>
      </c>
      <c r="D3947" s="2110"/>
      <c r="E3947" s="333"/>
      <c r="F3947" s="328"/>
      <c r="G3947" s="361">
        <f>SUM(G3938:G3946)</f>
        <v>141605.62869000001</v>
      </c>
      <c r="H3947" s="1733"/>
      <c r="I3947" s="1733"/>
      <c r="J3947" s="1733"/>
    </row>
    <row r="3948" spans="1:10" ht="15.75" customHeight="1">
      <c r="A3948" s="1780"/>
      <c r="B3948" s="1739" t="s">
        <v>1048</v>
      </c>
      <c r="C3948" s="1877" t="s">
        <v>2246</v>
      </c>
      <c r="D3948" s="2110"/>
      <c r="E3948" s="333"/>
      <c r="F3948" s="328"/>
      <c r="G3948" s="332"/>
      <c r="H3948" s="1733"/>
      <c r="I3948" s="1733"/>
      <c r="J3948" s="1733"/>
    </row>
    <row r="3949" spans="1:10" ht="15.75" customHeight="1">
      <c r="A3949" s="1780"/>
      <c r="B3949" s="1784"/>
      <c r="C3949" s="2082" t="s">
        <v>2110</v>
      </c>
      <c r="D3949" s="2112"/>
      <c r="E3949" s="1882"/>
      <c r="F3949" s="1845"/>
      <c r="G3949" s="1966"/>
      <c r="H3949" s="1733"/>
      <c r="I3949" s="1733"/>
      <c r="J3949" s="1733"/>
    </row>
    <row r="3950" spans="1:10" ht="15.75" customHeight="1">
      <c r="A3950" s="1780"/>
      <c r="B3950" s="1739" t="s">
        <v>979</v>
      </c>
      <c r="C3950" s="1804" t="s">
        <v>2129</v>
      </c>
      <c r="D3950" s="2113"/>
      <c r="E3950" s="1764"/>
      <c r="F3950" s="1765"/>
      <c r="G3950" s="1765">
        <f>G3936+G3947</f>
        <v>152097.157924</v>
      </c>
      <c r="H3950" s="1733"/>
      <c r="I3950" s="1733"/>
      <c r="J3950" s="1733"/>
    </row>
    <row r="3951" spans="1:10" ht="15.75" customHeight="1">
      <c r="A3951" s="1780"/>
      <c r="B3951" s="1739" t="s">
        <v>2093</v>
      </c>
      <c r="C3951" s="2124" t="s">
        <v>2094</v>
      </c>
      <c r="D3951" s="2125">
        <v>0.15</v>
      </c>
      <c r="E3951" s="2126"/>
      <c r="F3951" s="2127"/>
      <c r="G3951" s="2127">
        <f>G3950*D3951</f>
        <v>22814.573688599998</v>
      </c>
      <c r="H3951" s="1733"/>
      <c r="I3951" s="1733"/>
      <c r="J3951" s="1733"/>
    </row>
    <row r="3952" spans="1:10" ht="15.75" customHeight="1">
      <c r="A3952" s="1786"/>
      <c r="B3952" s="1787" t="s">
        <v>2095</v>
      </c>
      <c r="C3952" s="1788" t="s">
        <v>2111</v>
      </c>
      <c r="D3952" s="2114"/>
      <c r="E3952" s="1773"/>
      <c r="F3952" s="1774"/>
      <c r="G3952" s="2115">
        <f>ROUNDUP((G3950+G3951),2)</f>
        <v>174911.74000000002</v>
      </c>
      <c r="H3952" s="1733"/>
      <c r="I3952" s="1733"/>
      <c r="J3952" s="1733"/>
    </row>
    <row r="3953" spans="1:12" ht="15.75" customHeight="1">
      <c r="A3953" s="1733"/>
      <c r="B3953" s="1733"/>
      <c r="C3953" s="1733"/>
      <c r="D3953" s="1733"/>
      <c r="E3953" s="1733"/>
      <c r="F3953" s="1733"/>
      <c r="G3953" s="1733"/>
      <c r="H3953" s="1733"/>
      <c r="I3953" s="1733"/>
      <c r="J3953" s="1733"/>
    </row>
    <row r="3954" spans="1:12" ht="15.75" customHeight="1">
      <c r="A3954" s="1916">
        <f>A3930+1</f>
        <v>221</v>
      </c>
      <c r="B3954" s="1917" t="s">
        <v>2665</v>
      </c>
      <c r="C3954" s="2030" t="s">
        <v>3094</v>
      </c>
      <c r="D3954" s="2031"/>
      <c r="E3954" s="2032"/>
      <c r="F3954" s="2033"/>
      <c r="G3954" s="2033"/>
      <c r="H3954" s="1919"/>
      <c r="I3954" s="1919"/>
      <c r="J3954" s="1920"/>
    </row>
    <row r="3955" spans="1:12" ht="15.75" customHeight="1">
      <c r="A3955" s="1780"/>
      <c r="B3955" s="1739" t="s">
        <v>1004</v>
      </c>
      <c r="C3955" s="1877" t="s">
        <v>2067</v>
      </c>
      <c r="D3955" s="390"/>
      <c r="E3955" s="413"/>
      <c r="F3955" s="320"/>
      <c r="G3955" s="320"/>
      <c r="H3955" s="1802"/>
      <c r="I3955" s="1802"/>
      <c r="J3955" s="1803"/>
    </row>
    <row r="3956" spans="1:12" ht="15.75" customHeight="1">
      <c r="A3956" s="1780"/>
      <c r="B3956" s="1739"/>
      <c r="C3956" s="1878" t="s">
        <v>2103</v>
      </c>
      <c r="D3956" s="1781">
        <v>0.03</v>
      </c>
      <c r="E3956" s="413" t="s">
        <v>2069</v>
      </c>
      <c r="F3956" s="1747">
        <f>'Bahan &amp; Upah'!C$336</f>
        <v>96332.65</v>
      </c>
      <c r="G3956" s="361">
        <f>F3956*D3956</f>
        <v>2889.9794999999999</v>
      </c>
      <c r="H3956" s="1749">
        <v>1</v>
      </c>
      <c r="I3956" s="1749">
        <f>(G3956/G$3967)*H3956</f>
        <v>8.5657613170934621E-2</v>
      </c>
      <c r="J3956" s="1750"/>
    </row>
    <row r="3957" spans="1:12" ht="15.75" customHeight="1">
      <c r="A3957" s="1780"/>
      <c r="B3957" s="1739"/>
      <c r="C3957" s="1878" t="s">
        <v>2070</v>
      </c>
      <c r="D3957" s="1781">
        <v>7.0000000000000007E-2</v>
      </c>
      <c r="E3957" s="413" t="s">
        <v>2069</v>
      </c>
      <c r="F3957" s="1883">
        <f>'Bahan &amp; Upah'!C$337</f>
        <v>114133.55</v>
      </c>
      <c r="G3957" s="361">
        <f>F3957*D3957</f>
        <v>7989.348500000001</v>
      </c>
      <c r="H3957" s="1749">
        <v>1</v>
      </c>
      <c r="I3957" s="1749">
        <f>(G3957/G$3967)*H3957</f>
        <v>0.23680047671645657</v>
      </c>
      <c r="J3957" s="1750"/>
    </row>
    <row r="3958" spans="1:12" ht="15.75" customHeight="1">
      <c r="A3958" s="1780"/>
      <c r="B3958" s="1739"/>
      <c r="C3958" s="1878" t="s">
        <v>2072</v>
      </c>
      <c r="D3958" s="1781">
        <v>7.0000000000000001E-3</v>
      </c>
      <c r="E3958" s="413" t="s">
        <v>2069</v>
      </c>
      <c r="F3958" s="1748">
        <f>'Bahan &amp; Upah'!C$338</f>
        <v>125485.75</v>
      </c>
      <c r="G3958" s="361">
        <f>F3958*D3958</f>
        <v>878.40025000000003</v>
      </c>
      <c r="H3958" s="1749">
        <v>1</v>
      </c>
      <c r="I3958" s="1749">
        <f>(G3958/G$3967)*H3958</f>
        <v>2.6035364203708802E-2</v>
      </c>
      <c r="J3958" s="1750"/>
    </row>
    <row r="3959" spans="1:12" ht="15.75" customHeight="1">
      <c r="A3959" s="1780"/>
      <c r="B3959" s="1739"/>
      <c r="C3959" s="1878" t="s">
        <v>2107</v>
      </c>
      <c r="D3959" s="1781">
        <v>2.3E-3</v>
      </c>
      <c r="E3959" s="413" t="s">
        <v>2069</v>
      </c>
      <c r="F3959" s="1883">
        <f>'Bahan &amp; Upah'!C$339</f>
        <v>102689.88</v>
      </c>
      <c r="G3959" s="1785">
        <f>F3959*D3959</f>
        <v>236.186724</v>
      </c>
      <c r="H3959" s="1749">
        <v>1</v>
      </c>
      <c r="I3959" s="1749">
        <f>(G3959/G$3967)*H3959</f>
        <v>7.0004617819961349E-3</v>
      </c>
      <c r="J3959" s="1750"/>
    </row>
    <row r="3960" spans="1:12" ht="15.75" customHeight="1">
      <c r="A3960" s="1780"/>
      <c r="B3960" s="1739"/>
      <c r="C3960" s="1889" t="s">
        <v>2108</v>
      </c>
      <c r="D3960" s="1781"/>
      <c r="E3960" s="413"/>
      <c r="F3960" s="320"/>
      <c r="G3960" s="361">
        <f>SUM(G3956:G3959)</f>
        <v>11993.914974000001</v>
      </c>
      <c r="H3960" s="1749"/>
      <c r="I3960" s="1994">
        <f>SUM(I3956:I3959)</f>
        <v>0.35549391587309614</v>
      </c>
      <c r="J3960" s="1750"/>
    </row>
    <row r="3961" spans="1:12" ht="15.75" customHeight="1">
      <c r="A3961" s="1780"/>
      <c r="B3961" s="1739" t="s">
        <v>1015</v>
      </c>
      <c r="C3961" s="1877" t="s">
        <v>2075</v>
      </c>
      <c r="D3961" s="1781"/>
      <c r="E3961" s="413"/>
      <c r="F3961" s="320"/>
      <c r="G3961" s="320"/>
      <c r="H3961" s="1749"/>
      <c r="I3961" s="1994"/>
      <c r="J3961" s="1750"/>
    </row>
    <row r="3962" spans="1:12" ht="32.25" customHeight="1">
      <c r="A3962" s="1780"/>
      <c r="B3962" s="1739"/>
      <c r="C3962" s="2045" t="s">
        <v>3095</v>
      </c>
      <c r="D3962" s="1781">
        <v>1.21</v>
      </c>
      <c r="E3962" s="413" t="s">
        <v>89</v>
      </c>
      <c r="F3962" s="1747">
        <f>'Bahan &amp; Upah'!C112/(1.2*2.4)</f>
        <v>16309.979166666666</v>
      </c>
      <c r="G3962" s="361">
        <f>F3962*D3962</f>
        <v>19735.074791666666</v>
      </c>
      <c r="H3962" s="1749">
        <v>0.3034</v>
      </c>
      <c r="I3962" s="1749">
        <f>(G3962/G$3967)*H3962</f>
        <v>0.17747024942197259</v>
      </c>
      <c r="J3962" s="1750"/>
    </row>
    <row r="3963" spans="1:12" ht="15.75" customHeight="1">
      <c r="A3963" s="1780"/>
      <c r="B3963" s="1739"/>
      <c r="C3963" s="1878" t="s">
        <v>3096</v>
      </c>
      <c r="D3963" s="1781">
        <v>0.01</v>
      </c>
      <c r="E3963" s="413" t="s">
        <v>100</v>
      </c>
      <c r="F3963" s="1883">
        <f>'Bahan &amp; Upah'!C55</f>
        <v>200974.51</v>
      </c>
      <c r="G3963" s="1969">
        <f>F3963*D3963</f>
        <v>2009.7451000000001</v>
      </c>
      <c r="H3963" s="1749">
        <v>0.27879999999999999</v>
      </c>
      <c r="I3963" s="1749">
        <f>(G3963/G$3967)*H3963</f>
        <v>1.6607526515470851E-2</v>
      </c>
      <c r="J3963" s="1750"/>
    </row>
    <row r="3964" spans="1:12" ht="15.75" customHeight="1">
      <c r="A3964" s="1780"/>
      <c r="B3964" s="1784"/>
      <c r="C3964" s="1878"/>
      <c r="D3964" s="1781"/>
      <c r="E3964" s="413"/>
      <c r="F3964" s="1883"/>
      <c r="G3964" s="361">
        <f>SUM(G3962:G3963)</f>
        <v>21744.819891666666</v>
      </c>
      <c r="H3964" s="1749"/>
      <c r="I3964" s="1994">
        <f>SUM(I3962:I3963)</f>
        <v>0.19407777593744344</v>
      </c>
      <c r="J3964" s="1750"/>
      <c r="L3964" s="496"/>
    </row>
    <row r="3965" spans="1:12" ht="15.75" customHeight="1">
      <c r="A3965" s="1780"/>
      <c r="B3965" s="1739" t="s">
        <v>1048</v>
      </c>
      <c r="C3965" s="1877" t="s">
        <v>2246</v>
      </c>
      <c r="D3965" s="1756"/>
      <c r="E3965" s="333"/>
      <c r="F3965" s="1883"/>
      <c r="G3965" s="332"/>
      <c r="H3965" s="1749"/>
      <c r="I3965" s="1749"/>
      <c r="J3965" s="1750"/>
      <c r="L3965" s="496"/>
    </row>
    <row r="3966" spans="1:12" ht="15.75" customHeight="1">
      <c r="A3966" s="1780"/>
      <c r="B3966" s="1909"/>
      <c r="C3966" s="1878"/>
      <c r="D3966" s="1756"/>
      <c r="E3966" s="333"/>
      <c r="F3966" s="328"/>
      <c r="G3966" s="361">
        <v>0</v>
      </c>
      <c r="H3966" s="1749"/>
      <c r="I3966" s="1749"/>
      <c r="J3966" s="1750"/>
      <c r="L3966" s="496"/>
    </row>
    <row r="3967" spans="1:12" ht="15.75" customHeight="1">
      <c r="A3967" s="1780"/>
      <c r="B3967" s="1784"/>
      <c r="C3967" s="1804" t="s">
        <v>2242</v>
      </c>
      <c r="D3967" s="1763"/>
      <c r="E3967" s="1764"/>
      <c r="F3967" s="1765"/>
      <c r="G3967" s="1765">
        <f>G3960+G3964+G3966</f>
        <v>33738.734865666665</v>
      </c>
      <c r="H3967" s="1749"/>
      <c r="I3967" s="1766">
        <f>I3960+I3964</f>
        <v>0.54957169181053955</v>
      </c>
      <c r="J3967" s="1750"/>
    </row>
    <row r="3968" spans="1:12" ht="15.75" customHeight="1">
      <c r="A3968" s="1780"/>
      <c r="B3968" s="1784"/>
      <c r="C3968" s="1762" t="s">
        <v>2094</v>
      </c>
      <c r="D3968" s="1767">
        <f>M$4</f>
        <v>0.15</v>
      </c>
      <c r="E3968" s="1768"/>
      <c r="F3968" s="1765"/>
      <c r="G3968" s="1765">
        <f>G3967*D3968</f>
        <v>5060.8102298499998</v>
      </c>
      <c r="H3968" s="1749"/>
      <c r="I3968" s="1749"/>
      <c r="J3968" s="1750"/>
    </row>
    <row r="3969" spans="1:10" ht="15.75" customHeight="1">
      <c r="A3969" s="1786"/>
      <c r="B3969" s="1890"/>
      <c r="C3969" s="1788" t="s">
        <v>2111</v>
      </c>
      <c r="D3969" s="1772"/>
      <c r="E3969" s="1773"/>
      <c r="F3969" s="1774"/>
      <c r="G3969" s="1775">
        <f>ROUNDUP((G3967+G3968),2)</f>
        <v>38799.550000000003</v>
      </c>
      <c r="H3969" s="1937"/>
      <c r="I3969" s="1937"/>
      <c r="J3969" s="1938"/>
    </row>
    <row r="3970" spans="1:10" ht="15.75" customHeight="1">
      <c r="A3970" s="1733"/>
      <c r="B3970" s="1733"/>
      <c r="C3970" s="1733"/>
      <c r="D3970" s="1733"/>
      <c r="E3970" s="1733"/>
      <c r="F3970" s="1733"/>
      <c r="G3970" s="1733"/>
      <c r="H3970" s="1733"/>
      <c r="I3970" s="1733"/>
      <c r="J3970" s="1733"/>
    </row>
    <row r="3971" spans="1:10" ht="30" customHeight="1">
      <c r="A3971" s="1778">
        <f>A3954+1</f>
        <v>222</v>
      </c>
      <c r="B3971" s="1871" t="s">
        <v>2147</v>
      </c>
      <c r="C3971" s="1872" t="s">
        <v>3097</v>
      </c>
      <c r="D3971" s="2074"/>
      <c r="E3971" s="1874"/>
      <c r="F3971" s="1875"/>
      <c r="G3971" s="1875"/>
      <c r="H3971" s="1875"/>
      <c r="I3971" s="1875"/>
      <c r="J3971" s="1876"/>
    </row>
    <row r="3972" spans="1:10" ht="15.75" customHeight="1">
      <c r="A3972" s="1780"/>
      <c r="B3972" s="1739" t="s">
        <v>1004</v>
      </c>
      <c r="C3972" s="1877" t="s">
        <v>2067</v>
      </c>
      <c r="D3972" s="390"/>
      <c r="E3972" s="413"/>
      <c r="F3972" s="320"/>
      <c r="G3972" s="320"/>
      <c r="H3972" s="2075"/>
      <c r="I3972" s="1782"/>
      <c r="J3972" s="2076"/>
    </row>
    <row r="3973" spans="1:10" ht="15.75" customHeight="1">
      <c r="A3973" s="1780"/>
      <c r="B3973" s="1739"/>
      <c r="C3973" s="1878" t="s">
        <v>3020</v>
      </c>
      <c r="D3973" s="2078"/>
      <c r="E3973" s="413" t="s">
        <v>2069</v>
      </c>
      <c r="F3973" s="1747">
        <f>'Bahan &amp; Upah'!C$349</f>
        <v>271339.52000000002</v>
      </c>
      <c r="G3973" s="361">
        <f>F3973*D3973</f>
        <v>0</v>
      </c>
      <c r="H3973" s="2077">
        <v>1</v>
      </c>
      <c r="I3973" s="2015">
        <f>(G3973/G$3675)*H3973</f>
        <v>0</v>
      </c>
      <c r="J3973" s="2076"/>
    </row>
    <row r="3974" spans="1:10" ht="15.75" customHeight="1">
      <c r="A3974" s="1780"/>
      <c r="B3974" s="1739"/>
      <c r="C3974" s="1878" t="s">
        <v>3021</v>
      </c>
      <c r="D3974" s="2078"/>
      <c r="E3974" s="413" t="s">
        <v>2069</v>
      </c>
      <c r="F3974" s="1883">
        <f>'Bahan &amp; Upah'!$C$345*3</f>
        <v>504874.41000000003</v>
      </c>
      <c r="G3974" s="1785">
        <f>F3974*D3974</f>
        <v>0</v>
      </c>
      <c r="H3974" s="2077">
        <v>1</v>
      </c>
      <c r="I3974" s="2016">
        <f>(G3974/G$3675)*H3974</f>
        <v>0</v>
      </c>
      <c r="J3974" s="2076"/>
    </row>
    <row r="3975" spans="1:10" ht="15.75" customHeight="1">
      <c r="A3975" s="1780"/>
      <c r="B3975" s="1739"/>
      <c r="C3975" s="1889" t="s">
        <v>2108</v>
      </c>
      <c r="D3975" s="2078"/>
      <c r="E3975" s="413"/>
      <c r="F3975" s="320"/>
      <c r="G3975" s="361">
        <f>SUM(G3973:G3974)</f>
        <v>0</v>
      </c>
      <c r="H3975" s="2075"/>
      <c r="I3975" s="1910">
        <f>SUM(I3973:I3974)</f>
        <v>0</v>
      </c>
      <c r="J3975" s="2076"/>
    </row>
    <row r="3976" spans="1:10" ht="15.75" customHeight="1">
      <c r="A3976" s="1780"/>
      <c r="B3976" s="1739" t="s">
        <v>1015</v>
      </c>
      <c r="C3976" s="1877" t="s">
        <v>2075</v>
      </c>
      <c r="D3976" s="2078"/>
      <c r="E3976" s="413"/>
      <c r="F3976" s="320"/>
      <c r="G3976" s="320"/>
      <c r="H3976" s="2075"/>
      <c r="I3976" s="1782"/>
      <c r="J3976" s="2076"/>
    </row>
    <row r="3977" spans="1:10" ht="15.75" customHeight="1">
      <c r="A3977" s="1780"/>
      <c r="B3977" s="1739"/>
      <c r="C3977" s="1880" t="s">
        <v>3098</v>
      </c>
      <c r="D3977" s="2078">
        <v>3</v>
      </c>
      <c r="E3977" s="413" t="s">
        <v>360</v>
      </c>
      <c r="F3977" s="1747">
        <v>1054792.8999999999</v>
      </c>
      <c r="G3977" s="361">
        <f>F3977*D3977</f>
        <v>3164378.6999999997</v>
      </c>
      <c r="H3977" s="2103">
        <v>1</v>
      </c>
      <c r="I3977" s="2015">
        <f>(G3977/G$3987)*H3977</f>
        <v>0.16936735763759536</v>
      </c>
      <c r="J3977" s="2076"/>
    </row>
    <row r="3978" spans="1:10" ht="15.75" customHeight="1">
      <c r="A3978" s="1780"/>
      <c r="B3978" s="1739"/>
      <c r="C3978" s="1880" t="s">
        <v>3023</v>
      </c>
      <c r="D3978" s="2078">
        <v>3</v>
      </c>
      <c r="E3978" s="413" t="s">
        <v>360</v>
      </c>
      <c r="F3978" s="1747">
        <f>'Bahan &amp; Upah'!$C$325</f>
        <v>37479.82</v>
      </c>
      <c r="G3978" s="361">
        <f>F3978*D3978</f>
        <v>112439.45999999999</v>
      </c>
      <c r="H3978" s="2103">
        <v>1</v>
      </c>
      <c r="I3978" s="2015">
        <f>(G3978/G$3987)*H3978</f>
        <v>6.0181084629340031E-3</v>
      </c>
      <c r="J3978" s="2076"/>
    </row>
    <row r="3979" spans="1:10" ht="15.75" customHeight="1">
      <c r="A3979" s="1780"/>
      <c r="B3979" s="1739"/>
      <c r="C3979" s="1880" t="s">
        <v>3024</v>
      </c>
      <c r="D3979" s="2078">
        <f>120/2</f>
        <v>60</v>
      </c>
      <c r="E3979" s="413" t="s">
        <v>117</v>
      </c>
      <c r="F3979" s="1747">
        <v>239972.12</v>
      </c>
      <c r="G3979" s="1794">
        <f>F3979*D3979</f>
        <v>14398327.199999999</v>
      </c>
      <c r="H3979" s="2103">
        <v>1</v>
      </c>
      <c r="I3979" s="2015">
        <f>(G3979/G$3987)*H3979</f>
        <v>0.77064310673862046</v>
      </c>
      <c r="J3979" s="2076"/>
    </row>
    <row r="3980" spans="1:10" ht="15.75" customHeight="1">
      <c r="A3980" s="1780"/>
      <c r="B3980" s="1909"/>
      <c r="C3980" s="1889" t="s">
        <v>2091</v>
      </c>
      <c r="D3980" s="2080"/>
      <c r="E3980" s="333"/>
      <c r="F3980" s="328"/>
      <c r="G3980" s="361">
        <f>SUM(G3977:G3979)</f>
        <v>17675145.359999999</v>
      </c>
      <c r="H3980" s="2075"/>
      <c r="I3980" s="1910">
        <f>SUM(I3977:I3979)</f>
        <v>0.94602857283914976</v>
      </c>
      <c r="J3980" s="2076"/>
    </row>
    <row r="3981" spans="1:10" ht="15.75" customHeight="1">
      <c r="A3981" s="1780"/>
      <c r="B3981" s="1739" t="s">
        <v>1048</v>
      </c>
      <c r="C3981" s="1877" t="s">
        <v>3025</v>
      </c>
      <c r="D3981" s="2080"/>
      <c r="E3981" s="333"/>
      <c r="F3981" s="328"/>
      <c r="G3981" s="332"/>
      <c r="H3981" s="2075"/>
      <c r="I3981" s="1839"/>
      <c r="J3981" s="2076"/>
    </row>
    <row r="3982" spans="1:10" ht="15.75" customHeight="1">
      <c r="A3982" s="1780"/>
      <c r="B3982" s="1739"/>
      <c r="C3982" s="1878" t="s">
        <v>3099</v>
      </c>
      <c r="D3982" s="2080">
        <v>1</v>
      </c>
      <c r="E3982" s="333" t="s">
        <v>3027</v>
      </c>
      <c r="F3982" s="1747">
        <v>1008376.33</v>
      </c>
      <c r="G3982" s="361">
        <f>F3982*D3982</f>
        <v>1008376.33</v>
      </c>
      <c r="H3982" s="2103">
        <v>1</v>
      </c>
      <c r="I3982" s="2015">
        <f>(G3982/G$3987)*H3982</f>
        <v>5.3971427160850211E-2</v>
      </c>
      <c r="J3982" s="2076"/>
    </row>
    <row r="3983" spans="1:10" ht="15.75" customHeight="1">
      <c r="A3983" s="1780"/>
      <c r="B3983" s="1739"/>
      <c r="C3983" s="1878" t="s">
        <v>3028</v>
      </c>
      <c r="D3983" s="2080"/>
      <c r="E3983" s="333" t="s">
        <v>3027</v>
      </c>
      <c r="F3983" s="1747">
        <v>4598051.42</v>
      </c>
      <c r="G3983" s="361">
        <f>F3983*D3983</f>
        <v>0</v>
      </c>
      <c r="H3983" s="2103">
        <v>1</v>
      </c>
      <c r="I3983" s="2015">
        <f>(G3983/G$3987)*H3983</f>
        <v>0</v>
      </c>
      <c r="J3983" s="2076"/>
    </row>
    <row r="3984" spans="1:10" ht="15.75" customHeight="1">
      <c r="A3984" s="1780"/>
      <c r="B3984" s="1909"/>
      <c r="C3984" s="1878" t="s">
        <v>3020</v>
      </c>
      <c r="D3984" s="2080"/>
      <c r="E3984" s="333" t="s">
        <v>3027</v>
      </c>
      <c r="F3984" s="1747">
        <v>4260990.51</v>
      </c>
      <c r="G3984" s="361">
        <f>F3984*D3984</f>
        <v>0</v>
      </c>
      <c r="H3984" s="2103">
        <v>1</v>
      </c>
      <c r="I3984" s="2015">
        <f>(G3984/G$3987)*H3984</f>
        <v>0</v>
      </c>
      <c r="J3984" s="2076"/>
    </row>
    <row r="3985" spans="1:10" ht="15.75" customHeight="1">
      <c r="A3985" s="1780"/>
      <c r="B3985" s="1909"/>
      <c r="C3985" s="1878" t="s">
        <v>3029</v>
      </c>
      <c r="D3985" s="2080"/>
      <c r="E3985" s="333" t="s">
        <v>3027</v>
      </c>
      <c r="F3985" s="1747">
        <v>4078411.22</v>
      </c>
      <c r="G3985" s="1794">
        <f>F3985*D3985</f>
        <v>0</v>
      </c>
      <c r="H3985" s="2103">
        <v>1</v>
      </c>
      <c r="I3985" s="2015">
        <f>(G3985/G$3987)*H3985</f>
        <v>0</v>
      </c>
      <c r="J3985" s="2076"/>
    </row>
    <row r="3986" spans="1:10" ht="15.75" customHeight="1">
      <c r="A3986" s="1780"/>
      <c r="B3986" s="1784"/>
      <c r="C3986" s="2082" t="s">
        <v>2110</v>
      </c>
      <c r="D3986" s="2083"/>
      <c r="E3986" s="1882"/>
      <c r="F3986" s="1845"/>
      <c r="G3986" s="1966">
        <f>SUM(G3982:G3985)</f>
        <v>1008376.33</v>
      </c>
      <c r="H3986" s="2084"/>
      <c r="I3986" s="1910">
        <f>SUM(I3982:I3985)</f>
        <v>5.3971427160850211E-2</v>
      </c>
      <c r="J3986" s="2085"/>
    </row>
    <row r="3987" spans="1:10" ht="15.75" customHeight="1">
      <c r="A3987" s="1780"/>
      <c r="B3987" s="1739" t="s">
        <v>979</v>
      </c>
      <c r="C3987" s="1804" t="s">
        <v>2129</v>
      </c>
      <c r="D3987" s="1763"/>
      <c r="E3987" s="1764"/>
      <c r="F3987" s="1765"/>
      <c r="G3987" s="1765">
        <f>G3975+G3980+G3986</f>
        <v>18683521.689999998</v>
      </c>
      <c r="H3987" s="2075"/>
      <c r="I3987" s="1782"/>
      <c r="J3987" s="2076"/>
    </row>
    <row r="3988" spans="1:10" ht="15.75" customHeight="1">
      <c r="A3988" s="1780"/>
      <c r="B3988" s="1739" t="s">
        <v>2093</v>
      </c>
      <c r="C3988" s="1762" t="s">
        <v>2094</v>
      </c>
      <c r="D3988" s="1767">
        <f>M$4</f>
        <v>0.15</v>
      </c>
      <c r="E3988" s="1768"/>
      <c r="F3988" s="1765"/>
      <c r="G3988" s="1765">
        <f>G3987*D3988</f>
        <v>2802528.2534999996</v>
      </c>
      <c r="H3988" s="2075"/>
      <c r="I3988" s="1862">
        <f>I3975+I3980+I3986</f>
        <v>1</v>
      </c>
      <c r="J3988" s="2076"/>
    </row>
    <row r="3989" spans="1:10" ht="15.75" customHeight="1">
      <c r="A3989" s="1786"/>
      <c r="B3989" s="1787" t="s">
        <v>2095</v>
      </c>
      <c r="C3989" s="1788" t="s">
        <v>2111</v>
      </c>
      <c r="D3989" s="1772"/>
      <c r="E3989" s="1773"/>
      <c r="F3989" s="1774"/>
      <c r="G3989" s="2086">
        <f>ROUNDUP((G3987+G3988),2)</f>
        <v>21486049.950000003</v>
      </c>
      <c r="H3989" s="2087"/>
      <c r="I3989" s="2010"/>
      <c r="J3989" s="2088"/>
    </row>
    <row r="3990" spans="1:10" ht="15.75" customHeight="1">
      <c r="A3990" s="1733"/>
      <c r="B3990" s="1733"/>
      <c r="C3990" s="1733"/>
      <c r="D3990" s="1733"/>
      <c r="E3990" s="1733"/>
      <c r="F3990" s="1733"/>
      <c r="G3990" s="1733"/>
      <c r="H3990" s="1733"/>
      <c r="I3990" s="1733"/>
      <c r="J3990" s="1733"/>
    </row>
    <row r="3991" spans="1:10" ht="30" customHeight="1">
      <c r="A3991" s="1778">
        <f>A3971+1</f>
        <v>223</v>
      </c>
      <c r="B3991" s="1871" t="s">
        <v>2147</v>
      </c>
      <c r="C3991" s="1872" t="s">
        <v>3100</v>
      </c>
      <c r="D3991" s="1873"/>
      <c r="E3991" s="1874"/>
      <c r="F3991" s="1875"/>
      <c r="G3991" s="1875"/>
      <c r="H3991" s="1875"/>
      <c r="I3991" s="1875"/>
      <c r="J3991" s="1876"/>
    </row>
    <row r="3992" spans="1:10" ht="15.75" customHeight="1">
      <c r="A3992" s="1780"/>
      <c r="B3992" s="1739" t="s">
        <v>1004</v>
      </c>
      <c r="C3992" s="1877" t="s">
        <v>2067</v>
      </c>
      <c r="D3992" s="390"/>
      <c r="E3992" s="413"/>
      <c r="F3992" s="320"/>
      <c r="G3992" s="320"/>
      <c r="H3992" s="1802"/>
      <c r="I3992" s="1802"/>
      <c r="J3992" s="1803"/>
    </row>
    <row r="3993" spans="1:10" ht="15.75" customHeight="1">
      <c r="A3993" s="1780"/>
      <c r="B3993" s="1739"/>
      <c r="C3993" s="1878" t="s">
        <v>2103</v>
      </c>
      <c r="D3993" s="1841">
        <v>5.8000000000000003E-2</v>
      </c>
      <c r="E3993" s="413" t="s">
        <v>2069</v>
      </c>
      <c r="F3993" s="1747">
        <f>'Bahan &amp; Upah'!C$336</f>
        <v>96332.65</v>
      </c>
      <c r="G3993" s="361">
        <f>F3993*D3993</f>
        <v>5587.2937000000002</v>
      </c>
      <c r="H3993" s="2015">
        <v>1</v>
      </c>
      <c r="I3993" s="2015">
        <f>(G3993/G$4006)*H3993</f>
        <v>1.7060630420817707E-2</v>
      </c>
      <c r="J3993" s="1783"/>
    </row>
    <row r="3994" spans="1:10" ht="15.75" customHeight="1">
      <c r="A3994" s="1780"/>
      <c r="B3994" s="1739"/>
      <c r="C3994" s="1878" t="s">
        <v>2070</v>
      </c>
      <c r="D3994" s="1841">
        <v>0.17299999999999999</v>
      </c>
      <c r="E3994" s="413" t="s">
        <v>2069</v>
      </c>
      <c r="F3994" s="1747">
        <f>'Bahan &amp; Upah'!C$337</f>
        <v>114133.55</v>
      </c>
      <c r="G3994" s="361">
        <f>F3994*D3994</f>
        <v>19745.104149999999</v>
      </c>
      <c r="H3994" s="2015">
        <v>1</v>
      </c>
      <c r="I3994" s="2015">
        <f>(G3994/G$4006)*H3994</f>
        <v>6.0291071601212574E-2</v>
      </c>
      <c r="J3994" s="1783"/>
    </row>
    <row r="3995" spans="1:10" ht="15.75" customHeight="1">
      <c r="A3995" s="1780"/>
      <c r="B3995" s="1739"/>
      <c r="C3995" s="1878" t="s">
        <v>2072</v>
      </c>
      <c r="D3995" s="1841">
        <v>0.17</v>
      </c>
      <c r="E3995" s="413" t="s">
        <v>2069</v>
      </c>
      <c r="F3995" s="1747">
        <f>'Bahan &amp; Upah'!C$338</f>
        <v>125485.75</v>
      </c>
      <c r="G3995" s="361">
        <f>F3995*D3995</f>
        <v>21332.577500000003</v>
      </c>
      <c r="H3995" s="2015">
        <v>1</v>
      </c>
      <c r="I3995" s="2015">
        <f>(G3995/G$4006)*H3995</f>
        <v>6.5138372921214327E-2</v>
      </c>
      <c r="J3995" s="1783"/>
    </row>
    <row r="3996" spans="1:10" ht="15.75" customHeight="1">
      <c r="A3996" s="1780"/>
      <c r="B3996" s="1739"/>
      <c r="C3996" s="1878" t="s">
        <v>2107</v>
      </c>
      <c r="D3996" s="1841">
        <v>3.0000000000000001E-3</v>
      </c>
      <c r="E3996" s="413" t="s">
        <v>2069</v>
      </c>
      <c r="F3996" s="1747">
        <f>'Bahan &amp; Upah'!C$339</f>
        <v>102689.88</v>
      </c>
      <c r="G3996" s="1794">
        <f>F3996*D3996</f>
        <v>308.06963999999999</v>
      </c>
      <c r="H3996" s="2015">
        <v>1</v>
      </c>
      <c r="I3996" s="2016">
        <f>(G3996/G$4006)*H3996</f>
        <v>9.4068122316791022E-4</v>
      </c>
      <c r="J3996" s="1783"/>
    </row>
    <row r="3997" spans="1:10" ht="15.75" customHeight="1">
      <c r="A3997" s="1780"/>
      <c r="B3997" s="1739"/>
      <c r="C3997" s="1889" t="s">
        <v>2108</v>
      </c>
      <c r="D3997" s="1841"/>
      <c r="E3997" s="413"/>
      <c r="F3997" s="320"/>
      <c r="G3997" s="361">
        <f>SUM(G3993:G3996)</f>
        <v>46973.044990000009</v>
      </c>
      <c r="H3997" s="2015"/>
      <c r="I3997" s="2017">
        <f>SUM(I3993:I3996)</f>
        <v>0.14343075616641252</v>
      </c>
      <c r="J3997" s="1783"/>
    </row>
    <row r="3998" spans="1:10" ht="15.75" customHeight="1">
      <c r="A3998" s="1780"/>
      <c r="B3998" s="1739" t="s">
        <v>1015</v>
      </c>
      <c r="C3998" s="1877" t="s">
        <v>2075</v>
      </c>
      <c r="D3998" s="1841"/>
      <c r="E3998" s="413"/>
      <c r="F3998" s="317"/>
      <c r="G3998" s="361"/>
      <c r="H3998" s="1782"/>
      <c r="I3998" s="1782"/>
      <c r="J3998" s="1783"/>
    </row>
    <row r="3999" spans="1:10" ht="15.75" customHeight="1">
      <c r="A3999" s="1780"/>
      <c r="B3999" s="1739"/>
      <c r="C3999" s="1878" t="s">
        <v>3101</v>
      </c>
      <c r="D3999" s="1841">
        <v>2.5</v>
      </c>
      <c r="E3999" s="413" t="s">
        <v>89</v>
      </c>
      <c r="F3999" s="1747">
        <f>'Bahan &amp; Upah'!C$162</f>
        <v>40097.96</v>
      </c>
      <c r="G3999" s="361">
        <f>F3999*D3999</f>
        <v>100244.9</v>
      </c>
      <c r="H3999" s="2015">
        <v>0.32740000000000002</v>
      </c>
      <c r="I3999" s="2015">
        <f>(G3999/G$4006)*H3999</f>
        <v>0.10021541659076859</v>
      </c>
      <c r="J3999" s="1783"/>
    </row>
    <row r="4000" spans="1:10" ht="15.75" customHeight="1">
      <c r="A4000" s="1780"/>
      <c r="B4000" s="1739"/>
      <c r="C4000" s="1878" t="s">
        <v>3102</v>
      </c>
      <c r="D4000" s="1841">
        <v>0.4</v>
      </c>
      <c r="E4000" s="413" t="s">
        <v>100</v>
      </c>
      <c r="F4000" s="1743">
        <f>'Bahan &amp; Upah'!C$144</f>
        <v>89457.05</v>
      </c>
      <c r="G4000" s="361">
        <f>F4000*D4000</f>
        <v>35782.82</v>
      </c>
      <c r="H4000" s="1749">
        <v>0.27879999999999999</v>
      </c>
      <c r="I4000" s="2015">
        <f>(G4000/G$4006)*H4000</f>
        <v>3.0462174902453901E-2</v>
      </c>
      <c r="J4000" s="1783"/>
    </row>
    <row r="4001" spans="1:10" ht="15.75" customHeight="1">
      <c r="A4001" s="1780"/>
      <c r="B4001" s="1739"/>
      <c r="C4001" s="1878" t="s">
        <v>3103</v>
      </c>
      <c r="D4001" s="1841">
        <v>0.02</v>
      </c>
      <c r="E4001" s="413" t="s">
        <v>103</v>
      </c>
      <c r="F4001" s="1743">
        <f>'Bahan &amp; Upah'!C$97</f>
        <v>6503424.4100000001</v>
      </c>
      <c r="G4001" s="361">
        <f>F4001*D4001</f>
        <v>130068.48820000001</v>
      </c>
      <c r="H4001" s="2015">
        <v>1</v>
      </c>
      <c r="I4001" s="2015">
        <f>(G4001/G$4006)*H4001</f>
        <v>0.39716015046330727</v>
      </c>
      <c r="J4001" s="1783"/>
    </row>
    <row r="4002" spans="1:10" ht="15.75" customHeight="1">
      <c r="A4002" s="1780"/>
      <c r="B4002" s="1739"/>
      <c r="C4002" s="1878" t="s">
        <v>2078</v>
      </c>
      <c r="D4002" s="1841">
        <v>0.4</v>
      </c>
      <c r="E4002" s="413" t="s">
        <v>100</v>
      </c>
      <c r="F4002" s="1743">
        <f>'Bahan &amp; Upah'!C$54</f>
        <v>36067.67</v>
      </c>
      <c r="G4002" s="1794">
        <f>F4002*D4002</f>
        <v>14427.067999999999</v>
      </c>
      <c r="H4002" s="1749">
        <v>0.27879999999999999</v>
      </c>
      <c r="I4002" s="2016">
        <f>(G4002/G$4006)*H4002</f>
        <v>1.2281867911628983E-2</v>
      </c>
      <c r="J4002" s="1783"/>
    </row>
    <row r="4003" spans="1:10" ht="15.75" customHeight="1">
      <c r="A4003" s="1780"/>
      <c r="B4003" s="1784"/>
      <c r="C4003" s="1889" t="s">
        <v>2091</v>
      </c>
      <c r="D4003" s="1841"/>
      <c r="E4003" s="413"/>
      <c r="F4003" s="320"/>
      <c r="G4003" s="361">
        <f>SUM(G3999:G4002)</f>
        <v>280523.27619999996</v>
      </c>
      <c r="H4003" s="1782"/>
      <c r="I4003" s="2017">
        <f>SUM(I3999:I4002)</f>
        <v>0.54011960986815877</v>
      </c>
      <c r="J4003" s="1783"/>
    </row>
    <row r="4004" spans="1:10" ht="15.75" customHeight="1">
      <c r="A4004" s="1780"/>
      <c r="B4004" s="1739" t="s">
        <v>1048</v>
      </c>
      <c r="C4004" s="1877" t="s">
        <v>2246</v>
      </c>
      <c r="D4004" s="1841"/>
      <c r="E4004" s="413"/>
      <c r="F4004" s="317"/>
      <c r="G4004" s="320"/>
      <c r="H4004" s="1782"/>
      <c r="I4004" s="2015"/>
      <c r="J4004" s="1783"/>
    </row>
    <row r="4005" spans="1:10" ht="15.75" customHeight="1">
      <c r="A4005" s="1780"/>
      <c r="B4005" s="1784"/>
      <c r="C4005" s="1878"/>
      <c r="D4005" s="1841"/>
      <c r="E4005" s="413"/>
      <c r="F4005" s="320"/>
      <c r="G4005" s="361">
        <v>0</v>
      </c>
      <c r="H4005" s="1782"/>
      <c r="I4005" s="2015"/>
      <c r="J4005" s="1783"/>
    </row>
    <row r="4006" spans="1:10" ht="15.75" customHeight="1">
      <c r="A4006" s="1780"/>
      <c r="B4006" s="1784"/>
      <c r="C4006" s="1804" t="s">
        <v>2129</v>
      </c>
      <c r="D4006" s="1763"/>
      <c r="E4006" s="1764"/>
      <c r="F4006" s="1765"/>
      <c r="G4006" s="1765">
        <f>G3997+G4003+G4005</f>
        <v>327496.32118999999</v>
      </c>
      <c r="H4006" s="1782"/>
      <c r="I4006" s="1862">
        <f>I3997+I4003</f>
        <v>0.68355036603457131</v>
      </c>
      <c r="J4006" s="1783"/>
    </row>
    <row r="4007" spans="1:10" ht="15.75" customHeight="1">
      <c r="A4007" s="1780"/>
      <c r="B4007" s="1784"/>
      <c r="C4007" s="1762" t="s">
        <v>2094</v>
      </c>
      <c r="D4007" s="1767">
        <f>M$4</f>
        <v>0.15</v>
      </c>
      <c r="E4007" s="1768"/>
      <c r="F4007" s="1765"/>
      <c r="G4007" s="1765">
        <f>G4006*D4007</f>
        <v>49124.448178499995</v>
      </c>
      <c r="H4007" s="1782"/>
      <c r="I4007" s="1782"/>
      <c r="J4007" s="1783"/>
    </row>
    <row r="4008" spans="1:10" ht="15.75" customHeight="1">
      <c r="A4008" s="1786"/>
      <c r="B4008" s="1890"/>
      <c r="C4008" s="1788" t="s">
        <v>2111</v>
      </c>
      <c r="D4008" s="1772"/>
      <c r="E4008" s="1773"/>
      <c r="F4008" s="1774"/>
      <c r="G4008" s="1998">
        <f>ROUNDUP((G4006+G4007),2)</f>
        <v>376620.77</v>
      </c>
      <c r="H4008" s="2010"/>
      <c r="I4008" s="2010"/>
      <c r="J4008" s="1893"/>
    </row>
    <row r="4009" spans="1:10" ht="15.75" customHeight="1">
      <c r="A4009" s="1733"/>
      <c r="B4009" s="1733"/>
      <c r="C4009" s="1733"/>
      <c r="D4009" s="1733"/>
      <c r="E4009" s="1733"/>
      <c r="F4009" s="1733"/>
      <c r="G4009" s="1733"/>
      <c r="H4009" s="1733"/>
      <c r="I4009" s="1733"/>
      <c r="J4009" s="1733"/>
    </row>
    <row r="4010" spans="1:10" ht="30" customHeight="1">
      <c r="A4010" s="1778">
        <f>A3991+1</f>
        <v>224</v>
      </c>
      <c r="B4010" s="1871" t="s">
        <v>2147</v>
      </c>
      <c r="C4010" s="1939" t="s">
        <v>3104</v>
      </c>
      <c r="D4010" s="1873"/>
      <c r="E4010" s="1874"/>
      <c r="F4010" s="1875"/>
      <c r="G4010" s="1875"/>
      <c r="H4010" s="1875"/>
      <c r="I4010" s="1875"/>
      <c r="J4010" s="1876"/>
    </row>
    <row r="4011" spans="1:10" ht="15.75" customHeight="1">
      <c r="A4011" s="1780"/>
      <c r="B4011" s="1739" t="s">
        <v>1004</v>
      </c>
      <c r="C4011" s="1877" t="s">
        <v>2067</v>
      </c>
      <c r="D4011" s="390"/>
      <c r="E4011" s="413"/>
      <c r="F4011" s="320"/>
      <c r="G4011" s="320"/>
      <c r="H4011" s="1802"/>
      <c r="I4011" s="1802"/>
      <c r="J4011" s="1803"/>
    </row>
    <row r="4012" spans="1:10" ht="15.75" customHeight="1">
      <c r="A4012" s="1780"/>
      <c r="B4012" s="1739"/>
      <c r="C4012" s="1878" t="s">
        <v>2103</v>
      </c>
      <c r="D4012" s="1841">
        <v>0.3</v>
      </c>
      <c r="E4012" s="413" t="s">
        <v>2069</v>
      </c>
      <c r="F4012" s="1747">
        <f>'Bahan &amp; Upah'!C$336</f>
        <v>96332.65</v>
      </c>
      <c r="G4012" s="361">
        <f>F4012*D4012</f>
        <v>28899.794999999998</v>
      </c>
      <c r="H4012" s="1980">
        <v>1</v>
      </c>
      <c r="I4012" s="1980">
        <f>(G4012/G$4022)*H4012</f>
        <v>7.8773661441999987E-2</v>
      </c>
      <c r="J4012" s="1981"/>
    </row>
    <row r="4013" spans="1:10" ht="15.75" customHeight="1">
      <c r="A4013" s="1780"/>
      <c r="B4013" s="1739"/>
      <c r="C4013" s="1878" t="s">
        <v>2124</v>
      </c>
      <c r="D4013" s="1841">
        <v>0.15</v>
      </c>
      <c r="E4013" s="413" t="s">
        <v>2069</v>
      </c>
      <c r="F4013" s="1883">
        <f>'Bahan &amp; Upah'!C$337</f>
        <v>114133.55</v>
      </c>
      <c r="G4013" s="361">
        <f>F4013*D4013</f>
        <v>17120.032500000001</v>
      </c>
      <c r="H4013" s="1980">
        <v>1</v>
      </c>
      <c r="I4013" s="1980">
        <f>(G4013/G$4022)*H4013</f>
        <v>4.6664955375324869E-2</v>
      </c>
      <c r="J4013" s="1981"/>
    </row>
    <row r="4014" spans="1:10" ht="15.75" customHeight="1">
      <c r="A4014" s="1780"/>
      <c r="B4014" s="1739"/>
      <c r="C4014" s="1878" t="s">
        <v>2072</v>
      </c>
      <c r="D4014" s="1841">
        <v>1.4999999999999999E-2</v>
      </c>
      <c r="E4014" s="413" t="s">
        <v>2069</v>
      </c>
      <c r="F4014" s="1748">
        <f>'Bahan &amp; Upah'!C$338</f>
        <v>125485.75</v>
      </c>
      <c r="G4014" s="361">
        <f>F4014*D4014</f>
        <v>1882.2862499999999</v>
      </c>
      <c r="H4014" s="1980">
        <v>1</v>
      </c>
      <c r="I4014" s="1980">
        <f>(G4014/G$4022)*H4014</f>
        <v>5.1306446912316069E-3</v>
      </c>
      <c r="J4014" s="1981"/>
    </row>
    <row r="4015" spans="1:10" ht="15.75" customHeight="1">
      <c r="A4015" s="1780"/>
      <c r="B4015" s="1739"/>
      <c r="C4015" s="1878" t="s">
        <v>2107</v>
      </c>
      <c r="D4015" s="1841">
        <v>5.0000000000000001E-3</v>
      </c>
      <c r="E4015" s="413" t="s">
        <v>2069</v>
      </c>
      <c r="F4015" s="1748">
        <f>'Bahan &amp; Upah'!C$339</f>
        <v>102689.88</v>
      </c>
      <c r="G4015" s="1785">
        <f>F4015*D4015</f>
        <v>513.44940000000008</v>
      </c>
      <c r="H4015" s="1980">
        <v>1</v>
      </c>
      <c r="I4015" s="1982">
        <f>(G4015/G$4022)*H4015</f>
        <v>1.3995355054663202E-3</v>
      </c>
      <c r="J4015" s="1981"/>
    </row>
    <row r="4016" spans="1:10" ht="15.75" customHeight="1">
      <c r="A4016" s="1780"/>
      <c r="B4016" s="1739"/>
      <c r="C4016" s="1889" t="s">
        <v>2108</v>
      </c>
      <c r="D4016" s="1841"/>
      <c r="E4016" s="413"/>
      <c r="F4016" s="1748"/>
      <c r="G4016" s="361">
        <f>SUM(G4012:G4015)</f>
        <v>48415.563149999994</v>
      </c>
      <c r="H4016" s="1980"/>
      <c r="I4016" s="1983">
        <f>SUM(I4012:I4015)</f>
        <v>0.13196879701402278</v>
      </c>
      <c r="J4016" s="1981"/>
    </row>
    <row r="4017" spans="1:10" ht="15.75" customHeight="1">
      <c r="A4017" s="1780"/>
      <c r="B4017" s="1739" t="s">
        <v>1015</v>
      </c>
      <c r="C4017" s="1877" t="s">
        <v>2075</v>
      </c>
      <c r="D4017" s="1841"/>
      <c r="E4017" s="1832"/>
      <c r="F4017" s="1748"/>
      <c r="G4017" s="320"/>
      <c r="H4017" s="1980"/>
      <c r="I4017" s="1980"/>
      <c r="J4017" s="1981"/>
    </row>
    <row r="4018" spans="1:10" ht="15.75" customHeight="1">
      <c r="A4018" s="1780"/>
      <c r="B4018" s="1739"/>
      <c r="C4018" s="1878" t="s">
        <v>3105</v>
      </c>
      <c r="D4018" s="1841">
        <v>1.05</v>
      </c>
      <c r="E4018" s="413" t="s">
        <v>89</v>
      </c>
      <c r="F4018" s="1883">
        <f>'Bahan &amp; Upah'!C$38</f>
        <v>130368.46</v>
      </c>
      <c r="G4018" s="332">
        <f>F4018*D4018</f>
        <v>136886.883</v>
      </c>
      <c r="H4018" s="1980">
        <v>0.58020000000000005</v>
      </c>
      <c r="I4018" s="1980">
        <f>(G4018/G$4022)*H4018</f>
        <v>0.21648401253452504</v>
      </c>
      <c r="J4018" s="1981"/>
    </row>
    <row r="4019" spans="1:10" ht="15.75" customHeight="1">
      <c r="A4019" s="1780"/>
      <c r="B4019" s="1784"/>
      <c r="C4019" s="1878" t="s">
        <v>2671</v>
      </c>
      <c r="D4019" s="1781">
        <v>4</v>
      </c>
      <c r="E4019" s="413" t="s">
        <v>117</v>
      </c>
      <c r="F4019" s="1747">
        <f>'Bahan &amp; Upah'!C$84</f>
        <v>44599.78</v>
      </c>
      <c r="G4019" s="361">
        <f>F4019*D4019</f>
        <v>178399.12</v>
      </c>
      <c r="H4019" s="1749">
        <v>0.64300000000000002</v>
      </c>
      <c r="I4019" s="1980">
        <f>(G4019/G$4022)*H4019</f>
        <v>0.3126726905542741</v>
      </c>
      <c r="J4019" s="1981"/>
    </row>
    <row r="4020" spans="1:10" ht="15.75" customHeight="1">
      <c r="A4020" s="1780"/>
      <c r="B4020" s="1784"/>
      <c r="C4020" s="1878" t="s">
        <v>2503</v>
      </c>
      <c r="D4020" s="1781">
        <v>0.05</v>
      </c>
      <c r="E4020" s="413" t="s">
        <v>100</v>
      </c>
      <c r="F4020" s="1747">
        <f>'Bahan &amp; Upah'!C$60</f>
        <v>63394.53</v>
      </c>
      <c r="G4020" s="1969">
        <f>F4020*D4020</f>
        <v>3169.7265000000002</v>
      </c>
      <c r="H4020" s="1749">
        <v>0.26490000000000002</v>
      </c>
      <c r="I4020" s="1982">
        <f>(G4020/G$4022)*H4020</f>
        <v>2.2887060576065495E-3</v>
      </c>
      <c r="J4020" s="1981"/>
    </row>
    <row r="4021" spans="1:10" ht="15.75" customHeight="1">
      <c r="A4021" s="1780"/>
      <c r="B4021" s="1784"/>
      <c r="C4021" s="1889" t="s">
        <v>2091</v>
      </c>
      <c r="D4021" s="1841"/>
      <c r="E4021" s="413"/>
      <c r="F4021" s="1747"/>
      <c r="G4021" s="361">
        <f>SUM(G4018:G4020)</f>
        <v>318455.72950000002</v>
      </c>
      <c r="H4021" s="1980"/>
      <c r="I4021" s="1983">
        <f>SUM(I4018:I4020)</f>
        <v>0.5314454091464057</v>
      </c>
      <c r="J4021" s="1981"/>
    </row>
    <row r="4022" spans="1:10" ht="15.75" customHeight="1">
      <c r="A4022" s="1780"/>
      <c r="B4022" s="1784"/>
      <c r="C4022" s="1804" t="s">
        <v>2298</v>
      </c>
      <c r="D4022" s="1763"/>
      <c r="E4022" s="1764"/>
      <c r="F4022" s="1765"/>
      <c r="G4022" s="1765">
        <f>G4016+G4021</f>
        <v>366871.29265000002</v>
      </c>
      <c r="H4022" s="1980"/>
      <c r="I4022" s="1984">
        <f>I4016+I4021</f>
        <v>0.66341420616042845</v>
      </c>
      <c r="J4022" s="1981"/>
    </row>
    <row r="4023" spans="1:10" ht="15.75" customHeight="1">
      <c r="A4023" s="1780"/>
      <c r="B4023" s="1784"/>
      <c r="C4023" s="1762" t="s">
        <v>2094</v>
      </c>
      <c r="D4023" s="1767">
        <f>M$4</f>
        <v>0.15</v>
      </c>
      <c r="E4023" s="1768"/>
      <c r="F4023" s="1765"/>
      <c r="G4023" s="1765">
        <f>G4022*D4023</f>
        <v>55030.693897500001</v>
      </c>
      <c r="H4023" s="1980"/>
      <c r="I4023" s="1980"/>
      <c r="J4023" s="1981"/>
    </row>
    <row r="4024" spans="1:10" ht="15.75" customHeight="1">
      <c r="A4024" s="1786"/>
      <c r="B4024" s="1890"/>
      <c r="C4024" s="1788" t="s">
        <v>2111</v>
      </c>
      <c r="D4024" s="1772"/>
      <c r="E4024" s="1773"/>
      <c r="F4024" s="1774"/>
      <c r="G4024" s="1861">
        <f>ROUNDUP((G4022+G4023),2)</f>
        <v>421901.99</v>
      </c>
      <c r="H4024" s="1985"/>
      <c r="I4024" s="1985"/>
      <c r="J4024" s="1986"/>
    </row>
    <row r="4025" spans="1:10" ht="15.75" customHeight="1">
      <c r="A4025" s="1733"/>
      <c r="B4025" s="1733"/>
      <c r="C4025" s="1733"/>
      <c r="D4025" s="1733"/>
      <c r="E4025" s="1733"/>
      <c r="F4025" s="1733"/>
      <c r="G4025" s="1733"/>
      <c r="H4025" s="1733"/>
      <c r="I4025" s="1733"/>
      <c r="J4025" s="1733"/>
    </row>
    <row r="4026" spans="1:10" ht="30" customHeight="1">
      <c r="A4026" s="1778">
        <f>A4010+1</f>
        <v>225</v>
      </c>
      <c r="B4026" s="1871" t="s">
        <v>2147</v>
      </c>
      <c r="C4026" s="1872" t="s">
        <v>3106</v>
      </c>
      <c r="D4026" s="1873"/>
      <c r="E4026" s="1874"/>
      <c r="F4026" s="1875"/>
      <c r="G4026" s="1875"/>
      <c r="H4026" s="1875"/>
      <c r="I4026" s="1875"/>
      <c r="J4026" s="1876"/>
    </row>
    <row r="4027" spans="1:10" ht="29.25" customHeight="1">
      <c r="A4027" s="440"/>
      <c r="B4027" s="2130"/>
      <c r="C4027" s="2131" t="s">
        <v>3107</v>
      </c>
      <c r="D4027" s="390">
        <f>D4030</f>
        <v>192.2</v>
      </c>
      <c r="E4027" s="413" t="s">
        <v>1340</v>
      </c>
      <c r="F4027" s="1883">
        <f>'Bahan &amp; Upah'!C$221</f>
        <v>4079514.81</v>
      </c>
      <c r="G4027" s="361">
        <f>F4027*D4027</f>
        <v>784082746.48199999</v>
      </c>
      <c r="H4027" s="2015">
        <v>1</v>
      </c>
      <c r="I4027" s="2015">
        <f>(G4027/G$4034)*H4027</f>
        <v>0.48248465879099156</v>
      </c>
      <c r="J4027" s="1999"/>
    </row>
    <row r="4028" spans="1:10" ht="15.75" customHeight="1">
      <c r="A4028" s="440"/>
      <c r="B4028" s="2130"/>
      <c r="C4028" s="320" t="s">
        <v>3108</v>
      </c>
      <c r="D4028" s="390">
        <f>961*2</f>
        <v>1922</v>
      </c>
      <c r="E4028" s="413" t="s">
        <v>3109</v>
      </c>
      <c r="F4028" s="1883"/>
      <c r="G4028" s="320"/>
      <c r="H4028" s="320"/>
      <c r="I4028" s="320"/>
      <c r="J4028" s="1999"/>
    </row>
    <row r="4029" spans="1:10" ht="15.75" customHeight="1">
      <c r="A4029" s="440"/>
      <c r="B4029" s="2130"/>
      <c r="C4029" s="320" t="s">
        <v>3110</v>
      </c>
      <c r="D4029" s="390">
        <v>10</v>
      </c>
      <c r="E4029" s="413" t="s">
        <v>3111</v>
      </c>
      <c r="F4029" s="1883"/>
      <c r="G4029" s="320"/>
      <c r="H4029" s="320"/>
      <c r="I4029" s="320"/>
      <c r="J4029" s="1999"/>
    </row>
    <row r="4030" spans="1:10" ht="15.75" customHeight="1">
      <c r="A4030" s="440"/>
      <c r="B4030" s="2130"/>
      <c r="C4030" s="320" t="s">
        <v>3112</v>
      </c>
      <c r="D4030" s="390">
        <f>D4028/D4029</f>
        <v>192.2</v>
      </c>
      <c r="E4030" s="413" t="s">
        <v>1340</v>
      </c>
      <c r="F4030" s="1883"/>
      <c r="G4030" s="320"/>
      <c r="H4030" s="320"/>
      <c r="I4030" s="320"/>
      <c r="J4030" s="1999"/>
    </row>
    <row r="4031" spans="1:10" ht="15.75" customHeight="1">
      <c r="A4031" s="440"/>
      <c r="B4031" s="2130"/>
      <c r="C4031" s="320" t="s">
        <v>3113</v>
      </c>
      <c r="D4031" s="390">
        <v>1500</v>
      </c>
      <c r="E4031" s="413" t="s">
        <v>3114</v>
      </c>
      <c r="F4031" s="1883"/>
      <c r="G4031" s="320"/>
      <c r="H4031" s="320"/>
      <c r="I4031" s="320"/>
      <c r="J4031" s="1999"/>
    </row>
    <row r="4032" spans="1:10" ht="15.75" customHeight="1">
      <c r="A4032" s="440"/>
      <c r="B4032" s="2130"/>
      <c r="C4032" s="320" t="s">
        <v>3115</v>
      </c>
      <c r="D4032" s="390">
        <v>0.2</v>
      </c>
      <c r="E4032" s="413" t="s">
        <v>3116</v>
      </c>
      <c r="F4032" s="1883"/>
      <c r="G4032" s="320"/>
      <c r="H4032" s="320"/>
      <c r="I4032" s="320"/>
      <c r="J4032" s="1999"/>
    </row>
    <row r="4033" spans="1:12" ht="15.75" customHeight="1">
      <c r="A4033" s="1780"/>
      <c r="B4033" s="1739"/>
      <c r="C4033" s="1878" t="s">
        <v>3117</v>
      </c>
      <c r="D4033" s="390">
        <f>(D4030*D4031*D4032)</f>
        <v>57660</v>
      </c>
      <c r="E4033" s="413" t="s">
        <v>3118</v>
      </c>
      <c r="F4033" s="1883">
        <f>'Bahan &amp; Upah'!C$220</f>
        <v>14585.69</v>
      </c>
      <c r="G4033" s="361">
        <f>F4033*D4033</f>
        <v>841010885.39999998</v>
      </c>
      <c r="H4033" s="2015">
        <v>1</v>
      </c>
      <c r="I4033" s="2015">
        <f>(G4033/G$4034)*H4033</f>
        <v>0.51751534120900844</v>
      </c>
      <c r="J4033" s="1803"/>
    </row>
    <row r="4034" spans="1:12" ht="15.75" customHeight="1">
      <c r="A4034" s="1780"/>
      <c r="B4034" s="1784"/>
      <c r="C4034" s="1804" t="s">
        <v>11</v>
      </c>
      <c r="D4034" s="1763"/>
      <c r="E4034" s="1764"/>
      <c r="F4034" s="1765"/>
      <c r="G4034" s="1765">
        <f>G4027+G4033</f>
        <v>1625093631.882</v>
      </c>
      <c r="H4034" s="1782"/>
      <c r="I4034" s="1862">
        <f>I4027+I4033</f>
        <v>1</v>
      </c>
      <c r="J4034" s="1783"/>
    </row>
    <row r="4035" spans="1:12" ht="15.75" customHeight="1">
      <c r="A4035" s="1780"/>
      <c r="B4035" s="1784"/>
      <c r="C4035" s="1762" t="s">
        <v>2094</v>
      </c>
      <c r="D4035" s="1767">
        <f>M$4</f>
        <v>0.15</v>
      </c>
      <c r="E4035" s="1768"/>
      <c r="F4035" s="1765"/>
      <c r="G4035" s="1765">
        <f>G4034*D4035</f>
        <v>243764044.7823</v>
      </c>
      <c r="H4035" s="1782"/>
      <c r="I4035" s="1782"/>
      <c r="J4035" s="1783"/>
    </row>
    <row r="4036" spans="1:12" ht="15.75" customHeight="1">
      <c r="A4036" s="1786"/>
      <c r="B4036" s="1890"/>
      <c r="C4036" s="1788" t="s">
        <v>2111</v>
      </c>
      <c r="D4036" s="1772"/>
      <c r="E4036" s="1773"/>
      <c r="F4036" s="1774"/>
      <c r="G4036" s="1998">
        <f>ROUNDUP((G4034+G4035),2)</f>
        <v>1868857676.6700001</v>
      </c>
      <c r="H4036" s="2010"/>
      <c r="I4036" s="2010"/>
      <c r="J4036" s="1893"/>
    </row>
    <row r="4037" spans="1:12" ht="15.75" customHeight="1">
      <c r="A4037" s="1733"/>
      <c r="B4037" s="1733"/>
      <c r="C4037" s="1733"/>
      <c r="D4037" s="1733"/>
      <c r="E4037" s="1733"/>
      <c r="F4037" s="1733"/>
      <c r="G4037" s="1733"/>
      <c r="H4037" s="1733"/>
      <c r="I4037" s="1733"/>
      <c r="J4037" s="1733"/>
    </row>
    <row r="4038" spans="1:12" ht="30" customHeight="1">
      <c r="A4038" s="1778">
        <f>A4026+1</f>
        <v>226</v>
      </c>
      <c r="B4038" s="1871" t="s">
        <v>2147</v>
      </c>
      <c r="C4038" s="1939" t="s">
        <v>3119</v>
      </c>
      <c r="D4038" s="1873"/>
      <c r="E4038" s="1874"/>
      <c r="F4038" s="1875"/>
      <c r="G4038" s="1875"/>
      <c r="H4038" s="1895"/>
      <c r="I4038" s="1895"/>
      <c r="J4038" s="1828"/>
    </row>
    <row r="4039" spans="1:12" ht="15.75" customHeight="1">
      <c r="A4039" s="1780"/>
      <c r="B4039" s="1739" t="s">
        <v>1004</v>
      </c>
      <c r="C4039" s="1877" t="s">
        <v>2067</v>
      </c>
      <c r="D4039" s="390"/>
      <c r="E4039" s="413"/>
      <c r="F4039" s="320"/>
      <c r="G4039" s="320"/>
      <c r="H4039" s="2100"/>
      <c r="I4039" s="2100"/>
      <c r="J4039" s="2101"/>
    </row>
    <row r="4040" spans="1:12" ht="15.75" customHeight="1">
      <c r="A4040" s="1780"/>
      <c r="B4040" s="1739"/>
      <c r="C4040" s="1878" t="s">
        <v>3120</v>
      </c>
      <c r="D4040" s="1841">
        <v>1</v>
      </c>
      <c r="E4040" s="413" t="s">
        <v>124</v>
      </c>
      <c r="F4040" s="1747">
        <v>4676424.74</v>
      </c>
      <c r="G4040" s="1785">
        <f>F4040*D4040</f>
        <v>4676424.74</v>
      </c>
      <c r="H4040" s="2015">
        <v>1</v>
      </c>
      <c r="I4040" s="2016">
        <f>(G4040/G$4047)*H4040</f>
        <v>0.25309030591019954</v>
      </c>
      <c r="J4040" s="1783"/>
      <c r="L4040" s="2132" t="s">
        <v>3121</v>
      </c>
    </row>
    <row r="4041" spans="1:12" ht="15.75" customHeight="1">
      <c r="A4041" s="1780"/>
      <c r="B4041" s="1739"/>
      <c r="C4041" s="1889" t="s">
        <v>2108</v>
      </c>
      <c r="D4041" s="1841"/>
      <c r="E4041" s="413"/>
      <c r="F4041" s="320"/>
      <c r="G4041" s="361">
        <f>SUM(G4040:G4040)</f>
        <v>4676424.74</v>
      </c>
      <c r="H4041" s="2015"/>
      <c r="I4041" s="2017">
        <f>SUM(I4040)</f>
        <v>0.25309030591019954</v>
      </c>
      <c r="J4041" s="1783"/>
    </row>
    <row r="4042" spans="1:12" ht="15.75" customHeight="1">
      <c r="A4042" s="1780"/>
      <c r="B4042" s="1739" t="s">
        <v>1015</v>
      </c>
      <c r="C4042" s="1877" t="s">
        <v>2075</v>
      </c>
      <c r="D4042" s="1841"/>
      <c r="E4042" s="413"/>
      <c r="F4042" s="317"/>
      <c r="G4042" s="320"/>
      <c r="H4042" s="1782"/>
      <c r="I4042" s="1782"/>
      <c r="J4042" s="1783"/>
    </row>
    <row r="4043" spans="1:12" ht="15.75" customHeight="1">
      <c r="A4043" s="1780"/>
      <c r="B4043" s="1739"/>
      <c r="C4043" s="1878" t="s">
        <v>3122</v>
      </c>
      <c r="D4043" s="1841">
        <v>1</v>
      </c>
      <c r="E4043" s="413" t="s">
        <v>3123</v>
      </c>
      <c r="F4043" s="1747">
        <f>'Bahan &amp; Upah'!C$329</f>
        <v>13800872.220000001</v>
      </c>
      <c r="G4043" s="1785">
        <f>F4043*D4043</f>
        <v>13800872.220000001</v>
      </c>
      <c r="H4043" s="2015">
        <v>0.44219999999999998</v>
      </c>
      <c r="I4043" s="2016">
        <f>(G4043/G$4047)*H4043</f>
        <v>0.33028346672650977</v>
      </c>
      <c r="J4043" s="1783"/>
      <c r="L4043" t="s">
        <v>3124</v>
      </c>
    </row>
    <row r="4044" spans="1:12" ht="15.75" customHeight="1">
      <c r="A4044" s="1780"/>
      <c r="B4044" s="1784"/>
      <c r="C4044" s="1889" t="s">
        <v>2091</v>
      </c>
      <c r="D4044" s="1841"/>
      <c r="E4044" s="413"/>
      <c r="F4044" s="320"/>
      <c r="G4044" s="361">
        <f>SUM(G4043:G4043)</f>
        <v>13800872.220000001</v>
      </c>
      <c r="H4044" s="1782"/>
      <c r="I4044" s="2017">
        <f>SUM(I4043)</f>
        <v>0.33028346672650977</v>
      </c>
      <c r="J4044" s="1783"/>
    </row>
    <row r="4045" spans="1:12" ht="15.75" customHeight="1">
      <c r="A4045" s="1780"/>
      <c r="B4045" s="1739" t="s">
        <v>1048</v>
      </c>
      <c r="C4045" s="1877" t="s">
        <v>2246</v>
      </c>
      <c r="D4045" s="1841"/>
      <c r="E4045" s="413"/>
      <c r="F4045" s="317"/>
      <c r="G4045" s="320"/>
      <c r="H4045" s="1782"/>
      <c r="I4045" s="1782"/>
      <c r="J4045" s="1783"/>
    </row>
    <row r="4046" spans="1:12" ht="15.75" customHeight="1">
      <c r="A4046" s="1780"/>
      <c r="B4046" s="1784"/>
      <c r="C4046" s="1878"/>
      <c r="D4046" s="1841"/>
      <c r="E4046" s="413"/>
      <c r="F4046" s="320"/>
      <c r="G4046" s="361">
        <v>0</v>
      </c>
      <c r="H4046" s="1782"/>
      <c r="I4046" s="1782"/>
      <c r="J4046" s="1783"/>
    </row>
    <row r="4047" spans="1:12" ht="15.75" customHeight="1">
      <c r="A4047" s="1780"/>
      <c r="B4047" s="1784"/>
      <c r="C4047" s="1804" t="s">
        <v>2298</v>
      </c>
      <c r="D4047" s="1763"/>
      <c r="E4047" s="1764"/>
      <c r="F4047" s="1765"/>
      <c r="G4047" s="1765">
        <f>G4041+G4044+G4046</f>
        <v>18477296.960000001</v>
      </c>
      <c r="H4047" s="1782"/>
      <c r="I4047" s="1862">
        <f>I4041+I4044</f>
        <v>0.58337377263670931</v>
      </c>
      <c r="J4047" s="1783"/>
    </row>
    <row r="4048" spans="1:12" ht="15.75" customHeight="1">
      <c r="A4048" s="1780"/>
      <c r="B4048" s="1784"/>
      <c r="C4048" s="1762" t="s">
        <v>2094</v>
      </c>
      <c r="D4048" s="1767">
        <f>M$4</f>
        <v>0.15</v>
      </c>
      <c r="E4048" s="1768"/>
      <c r="F4048" s="1765"/>
      <c r="G4048" s="1765">
        <f>G4047*D4048</f>
        <v>2771594.5440000002</v>
      </c>
      <c r="H4048" s="1782"/>
      <c r="I4048" s="1782"/>
      <c r="J4048" s="1783"/>
    </row>
    <row r="4049" spans="1:12" ht="15.75" customHeight="1">
      <c r="A4049" s="1786"/>
      <c r="B4049" s="1890"/>
      <c r="C4049" s="1788" t="s">
        <v>2111</v>
      </c>
      <c r="D4049" s="1772"/>
      <c r="E4049" s="1773"/>
      <c r="F4049" s="1774"/>
      <c r="G4049" s="1998">
        <f>ROUNDUP((G4047+G4048),2)</f>
        <v>21248891.510000002</v>
      </c>
      <c r="H4049" s="2010"/>
      <c r="I4049" s="2010"/>
      <c r="J4049" s="1893"/>
    </row>
    <row r="4050" spans="1:12" ht="15.75" customHeight="1">
      <c r="A4050" s="1733"/>
      <c r="B4050" s="1733"/>
      <c r="C4050" s="1733"/>
      <c r="D4050" s="1733"/>
      <c r="E4050" s="1733"/>
      <c r="F4050" s="1733"/>
      <c r="G4050" s="1733"/>
      <c r="H4050" s="1733"/>
      <c r="I4050" s="1733"/>
      <c r="J4050" s="1733"/>
    </row>
    <row r="4051" spans="1:12" ht="30" customHeight="1">
      <c r="A4051" s="1778">
        <f>A4038+1</f>
        <v>227</v>
      </c>
      <c r="B4051" s="1871" t="s">
        <v>2147</v>
      </c>
      <c r="C4051" s="1939" t="s">
        <v>3125</v>
      </c>
      <c r="D4051" s="1873"/>
      <c r="E4051" s="1874"/>
      <c r="F4051" s="1875"/>
      <c r="G4051" s="1875"/>
      <c r="H4051" s="1895"/>
      <c r="I4051" s="1895"/>
      <c r="J4051" s="1828"/>
    </row>
    <row r="4052" spans="1:12" ht="15.75" customHeight="1">
      <c r="A4052" s="1780"/>
      <c r="B4052" s="1739" t="s">
        <v>1004</v>
      </c>
      <c r="C4052" s="1877" t="s">
        <v>2067</v>
      </c>
      <c r="D4052" s="390"/>
      <c r="E4052" s="413"/>
      <c r="F4052" s="320"/>
      <c r="G4052" s="320"/>
      <c r="H4052" s="2100"/>
      <c r="I4052" s="2100"/>
      <c r="J4052" s="2101"/>
    </row>
    <row r="4053" spans="1:12" ht="15.75" customHeight="1">
      <c r="A4053" s="1780"/>
      <c r="B4053" s="1739"/>
      <c r="C4053" s="1878" t="s">
        <v>3120</v>
      </c>
      <c r="D4053" s="1841">
        <v>1</v>
      </c>
      <c r="E4053" s="413" t="s">
        <v>124</v>
      </c>
      <c r="F4053" s="1747">
        <v>4951891.2300000004</v>
      </c>
      <c r="G4053" s="1785">
        <f>F4053*D4053</f>
        <v>4951891.2300000004</v>
      </c>
      <c r="H4053" s="2015">
        <v>1</v>
      </c>
      <c r="I4053" s="2016">
        <f>(G4053/G$4060)*H4053</f>
        <v>0.121923971747658</v>
      </c>
      <c r="J4053" s="1783"/>
      <c r="L4053" s="2132" t="s">
        <v>3121</v>
      </c>
    </row>
    <row r="4054" spans="1:12" ht="15.75" customHeight="1">
      <c r="A4054" s="1780"/>
      <c r="B4054" s="1739"/>
      <c r="C4054" s="1889" t="s">
        <v>2108</v>
      </c>
      <c r="D4054" s="1841"/>
      <c r="E4054" s="413"/>
      <c r="F4054" s="320"/>
      <c r="G4054" s="361">
        <f>SUM(G4053:G4053)</f>
        <v>4951891.2300000004</v>
      </c>
      <c r="H4054" s="2015"/>
      <c r="I4054" s="2017">
        <f>SUM(I4053)</f>
        <v>0.121923971747658</v>
      </c>
      <c r="J4054" s="1783"/>
    </row>
    <row r="4055" spans="1:12" ht="15.75" customHeight="1">
      <c r="A4055" s="1780"/>
      <c r="B4055" s="1739" t="s">
        <v>1015</v>
      </c>
      <c r="C4055" s="1877" t="s">
        <v>2075</v>
      </c>
      <c r="D4055" s="1841"/>
      <c r="E4055" s="413"/>
      <c r="F4055" s="317"/>
      <c r="G4055" s="320"/>
      <c r="H4055" s="1782"/>
      <c r="I4055" s="1782"/>
      <c r="J4055" s="1783"/>
    </row>
    <row r="4056" spans="1:12" ht="15.75" customHeight="1">
      <c r="A4056" s="1780"/>
      <c r="B4056" s="1739"/>
      <c r="C4056" s="1878" t="s">
        <v>3126</v>
      </c>
      <c r="D4056" s="1841">
        <v>1</v>
      </c>
      <c r="E4056" s="413" t="s">
        <v>3123</v>
      </c>
      <c r="F4056" s="1747">
        <f>'Bahan &amp; Upah'!C$330</f>
        <v>35662691.439999998</v>
      </c>
      <c r="G4056" s="1785">
        <f>F4056*D4056</f>
        <v>35662691.439999998</v>
      </c>
      <c r="H4056" s="2015">
        <v>0.52080000000000004</v>
      </c>
      <c r="I4056" s="2016">
        <f>(G4056/G$4060)*H4056</f>
        <v>0.45730199551381967</v>
      </c>
      <c r="J4056" s="1783"/>
      <c r="L4056" t="s">
        <v>3127</v>
      </c>
    </row>
    <row r="4057" spans="1:12" ht="15.75" customHeight="1">
      <c r="A4057" s="1780"/>
      <c r="B4057" s="1784"/>
      <c r="C4057" s="1889" t="s">
        <v>2091</v>
      </c>
      <c r="D4057" s="1841"/>
      <c r="E4057" s="413"/>
      <c r="F4057" s="320"/>
      <c r="G4057" s="361">
        <f>SUM(G4056:G4056)</f>
        <v>35662691.439999998</v>
      </c>
      <c r="H4057" s="1782"/>
      <c r="I4057" s="2017">
        <f>SUM(I4056)</f>
        <v>0.45730199551381967</v>
      </c>
      <c r="J4057" s="1783"/>
    </row>
    <row r="4058" spans="1:12" ht="15.75" customHeight="1">
      <c r="A4058" s="1780"/>
      <c r="B4058" s="1739" t="s">
        <v>1048</v>
      </c>
      <c r="C4058" s="1877" t="s">
        <v>2246</v>
      </c>
      <c r="D4058" s="1841"/>
      <c r="E4058" s="413"/>
      <c r="F4058" s="317"/>
      <c r="G4058" s="320"/>
      <c r="H4058" s="1782"/>
      <c r="I4058" s="1782"/>
      <c r="J4058" s="1783"/>
    </row>
    <row r="4059" spans="1:12" ht="15.75" customHeight="1">
      <c r="A4059" s="1780"/>
      <c r="B4059" s="1784"/>
      <c r="C4059" s="1878"/>
      <c r="D4059" s="1841"/>
      <c r="E4059" s="413"/>
      <c r="F4059" s="320"/>
      <c r="G4059" s="361">
        <v>0</v>
      </c>
      <c r="H4059" s="1782"/>
      <c r="I4059" s="1782"/>
      <c r="J4059" s="1783"/>
    </row>
    <row r="4060" spans="1:12" ht="15.75" customHeight="1">
      <c r="A4060" s="1780"/>
      <c r="B4060" s="1784"/>
      <c r="C4060" s="1804" t="s">
        <v>2298</v>
      </c>
      <c r="D4060" s="1763"/>
      <c r="E4060" s="1764"/>
      <c r="F4060" s="1765"/>
      <c r="G4060" s="1765">
        <f>G4054+G4057+G4059</f>
        <v>40614582.670000002</v>
      </c>
      <c r="H4060" s="1782"/>
      <c r="I4060" s="1862">
        <f>I4054+I4057</f>
        <v>0.57922596726147768</v>
      </c>
      <c r="J4060" s="1783"/>
    </row>
    <row r="4061" spans="1:12" ht="15.75" customHeight="1">
      <c r="A4061" s="1780"/>
      <c r="B4061" s="1784"/>
      <c r="C4061" s="1762" t="s">
        <v>2094</v>
      </c>
      <c r="D4061" s="1767">
        <f>M$4</f>
        <v>0.15</v>
      </c>
      <c r="E4061" s="1768"/>
      <c r="F4061" s="1765"/>
      <c r="G4061" s="1765">
        <f>G4060*D4061</f>
        <v>6092187.4005000005</v>
      </c>
      <c r="H4061" s="1782"/>
      <c r="I4061" s="1782"/>
      <c r="J4061" s="1783"/>
    </row>
    <row r="4062" spans="1:12" ht="15.75" customHeight="1">
      <c r="A4062" s="1786"/>
      <c r="B4062" s="1890"/>
      <c r="C4062" s="1788" t="s">
        <v>2111</v>
      </c>
      <c r="D4062" s="1772"/>
      <c r="E4062" s="1773"/>
      <c r="F4062" s="1774"/>
      <c r="G4062" s="1998">
        <f>ROUNDUP((G4060+G4061),2)</f>
        <v>46706770.079999998</v>
      </c>
      <c r="H4062" s="2010"/>
      <c r="I4062" s="2010"/>
      <c r="J4062" s="1893"/>
    </row>
    <row r="4063" spans="1:12" ht="15.75" customHeight="1">
      <c r="A4063" s="1733"/>
      <c r="B4063" s="1733"/>
      <c r="C4063" s="1733"/>
      <c r="D4063" s="1733"/>
      <c r="E4063" s="1733"/>
      <c r="F4063" s="1733"/>
      <c r="G4063" s="1733"/>
      <c r="H4063" s="1733"/>
      <c r="I4063" s="1733"/>
      <c r="J4063" s="1733"/>
    </row>
    <row r="4064" spans="1:12" ht="30" customHeight="1">
      <c r="A4064" s="1778">
        <f>A4051+1</f>
        <v>228</v>
      </c>
      <c r="B4064" s="1871" t="s">
        <v>2147</v>
      </c>
      <c r="C4064" s="1939" t="s">
        <v>3128</v>
      </c>
      <c r="D4064" s="1873"/>
      <c r="E4064" s="1874"/>
      <c r="F4064" s="1875"/>
      <c r="G4064" s="1875"/>
      <c r="H4064" s="1895"/>
      <c r="I4064" s="1895"/>
      <c r="J4064" s="1828"/>
    </row>
    <row r="4065" spans="1:12" ht="15.75" customHeight="1">
      <c r="A4065" s="1780"/>
      <c r="B4065" s="1739" t="s">
        <v>1004</v>
      </c>
      <c r="C4065" s="1877" t="s">
        <v>2067</v>
      </c>
      <c r="D4065" s="390"/>
      <c r="E4065" s="413"/>
      <c r="F4065" s="320"/>
      <c r="G4065" s="320"/>
      <c r="H4065" s="2100"/>
      <c r="I4065" s="2100"/>
      <c r="J4065" s="2101"/>
    </row>
    <row r="4066" spans="1:12" ht="15.75" customHeight="1">
      <c r="A4066" s="1780"/>
      <c r="B4066" s="1739"/>
      <c r="C4066" s="1878" t="s">
        <v>3120</v>
      </c>
      <c r="D4066" s="1841">
        <v>1</v>
      </c>
      <c r="E4066" s="413" t="s">
        <v>124</v>
      </c>
      <c r="F4066" s="1747">
        <v>4911413.34</v>
      </c>
      <c r="G4066" s="1785">
        <f>F4066*D4066</f>
        <v>4911413.34</v>
      </c>
      <c r="H4066" s="2015">
        <v>1</v>
      </c>
      <c r="I4066" s="2016">
        <f>(G4066/G$4073)*H4066</f>
        <v>0.17756599682277469</v>
      </c>
      <c r="J4066" s="1783"/>
      <c r="L4066" s="2132" t="s">
        <v>3121</v>
      </c>
    </row>
    <row r="4067" spans="1:12" ht="15.75" customHeight="1">
      <c r="A4067" s="1780"/>
      <c r="B4067" s="1739"/>
      <c r="C4067" s="1889" t="s">
        <v>2108</v>
      </c>
      <c r="D4067" s="1841"/>
      <c r="E4067" s="413"/>
      <c r="F4067" s="320"/>
      <c r="G4067" s="361">
        <f>SUM(G4066:G4066)</f>
        <v>4911413.34</v>
      </c>
      <c r="H4067" s="2015"/>
      <c r="I4067" s="2017">
        <f>SUM(I4066)</f>
        <v>0.17756599682277469</v>
      </c>
      <c r="J4067" s="1783"/>
    </row>
    <row r="4068" spans="1:12" ht="15.75" customHeight="1">
      <c r="A4068" s="1780"/>
      <c r="B4068" s="1739" t="s">
        <v>1015</v>
      </c>
      <c r="C4068" s="1877" t="s">
        <v>2075</v>
      </c>
      <c r="D4068" s="1841"/>
      <c r="E4068" s="413"/>
      <c r="F4068" s="317"/>
      <c r="G4068" s="320"/>
      <c r="H4068" s="1782"/>
      <c r="I4068" s="1782"/>
      <c r="J4068" s="1783"/>
    </row>
    <row r="4069" spans="1:12" ht="15.75" customHeight="1">
      <c r="A4069" s="1780"/>
      <c r="B4069" s="1739"/>
      <c r="C4069" s="1878" t="s">
        <v>3126</v>
      </c>
      <c r="D4069" s="1841">
        <v>1</v>
      </c>
      <c r="E4069" s="413" t="s">
        <v>3123</v>
      </c>
      <c r="F4069" s="1747">
        <f>'Bahan &amp; Upah'!C$331</f>
        <v>22748236.75</v>
      </c>
      <c r="G4069" s="1785">
        <f>F4069*D4069</f>
        <v>22748236.75</v>
      </c>
      <c r="H4069" s="2015">
        <v>0.52080000000000004</v>
      </c>
      <c r="I4069" s="2016">
        <f>(G4069/G$4073)*H4069</f>
        <v>0.42832362885469893</v>
      </c>
      <c r="J4069" s="1783"/>
      <c r="L4069" t="s">
        <v>3127</v>
      </c>
    </row>
    <row r="4070" spans="1:12" ht="15.75" customHeight="1">
      <c r="A4070" s="1780"/>
      <c r="B4070" s="1784"/>
      <c r="C4070" s="1889" t="s">
        <v>2091</v>
      </c>
      <c r="D4070" s="1841"/>
      <c r="E4070" s="413"/>
      <c r="F4070" s="320"/>
      <c r="G4070" s="361">
        <f>SUM(G4069:G4069)</f>
        <v>22748236.75</v>
      </c>
      <c r="H4070" s="1782"/>
      <c r="I4070" s="2017">
        <f>SUM(I4069)</f>
        <v>0.42832362885469893</v>
      </c>
      <c r="J4070" s="1783"/>
    </row>
    <row r="4071" spans="1:12" ht="15.75" customHeight="1">
      <c r="A4071" s="1780"/>
      <c r="B4071" s="1739" t="s">
        <v>1048</v>
      </c>
      <c r="C4071" s="1877" t="s">
        <v>2246</v>
      </c>
      <c r="D4071" s="1841"/>
      <c r="E4071" s="413"/>
      <c r="F4071" s="317"/>
      <c r="G4071" s="320"/>
      <c r="H4071" s="1782"/>
      <c r="I4071" s="1782"/>
      <c r="J4071" s="1783"/>
    </row>
    <row r="4072" spans="1:12" ht="15.75" customHeight="1">
      <c r="A4072" s="1780"/>
      <c r="B4072" s="1784"/>
      <c r="C4072" s="1878"/>
      <c r="D4072" s="1841"/>
      <c r="E4072" s="413"/>
      <c r="F4072" s="320"/>
      <c r="G4072" s="361">
        <v>0</v>
      </c>
      <c r="H4072" s="1782"/>
      <c r="I4072" s="1782"/>
      <c r="J4072" s="1783"/>
    </row>
    <row r="4073" spans="1:12" ht="15.75" customHeight="1">
      <c r="A4073" s="1780"/>
      <c r="B4073" s="1784"/>
      <c r="C4073" s="1804" t="s">
        <v>2298</v>
      </c>
      <c r="D4073" s="1763"/>
      <c r="E4073" s="1764"/>
      <c r="F4073" s="1765"/>
      <c r="G4073" s="1765">
        <f>G4067+G4070+G4072</f>
        <v>27659650.09</v>
      </c>
      <c r="H4073" s="1782"/>
      <c r="I4073" s="1862">
        <f>I4067+I4070</f>
        <v>0.60588962567747362</v>
      </c>
      <c r="J4073" s="1783"/>
    </row>
    <row r="4074" spans="1:12" ht="15.75" customHeight="1">
      <c r="A4074" s="1780"/>
      <c r="B4074" s="1784"/>
      <c r="C4074" s="1762" t="s">
        <v>2094</v>
      </c>
      <c r="D4074" s="1767">
        <f>M$4</f>
        <v>0.15</v>
      </c>
      <c r="E4074" s="1768"/>
      <c r="F4074" s="1765"/>
      <c r="G4074" s="1765">
        <f>G4073*D4074</f>
        <v>4148947.5134999999</v>
      </c>
      <c r="H4074" s="1782"/>
      <c r="I4074" s="1782"/>
      <c r="J4074" s="1783"/>
    </row>
    <row r="4075" spans="1:12" ht="15.75" customHeight="1">
      <c r="A4075" s="1786"/>
      <c r="B4075" s="1890"/>
      <c r="C4075" s="1788" t="s">
        <v>2111</v>
      </c>
      <c r="D4075" s="1772"/>
      <c r="E4075" s="1773"/>
      <c r="F4075" s="1774"/>
      <c r="G4075" s="1998">
        <f>ROUNDUP((G4073+G4074),2)</f>
        <v>31808597.610000003</v>
      </c>
      <c r="H4075" s="2010"/>
      <c r="I4075" s="2010"/>
      <c r="J4075" s="1893"/>
    </row>
    <row r="4076" spans="1:12" ht="15.75" customHeight="1">
      <c r="A4076" s="1733"/>
      <c r="B4076" s="1733"/>
      <c r="C4076" s="1733"/>
      <c r="D4076" s="1733"/>
      <c r="E4076" s="1733"/>
      <c r="F4076" s="1733"/>
      <c r="G4076" s="1733"/>
      <c r="H4076" s="1733"/>
      <c r="I4076" s="1733"/>
      <c r="J4076" s="1733"/>
    </row>
    <row r="4077" spans="1:12" ht="30" customHeight="1">
      <c r="A4077" s="1778">
        <f>A4064+1</f>
        <v>229</v>
      </c>
      <c r="B4077" s="1871" t="s">
        <v>2147</v>
      </c>
      <c r="C4077" s="1939" t="s">
        <v>3129</v>
      </c>
      <c r="D4077" s="1873"/>
      <c r="E4077" s="1874"/>
      <c r="F4077" s="1875"/>
      <c r="G4077" s="1875"/>
      <c r="H4077" s="1895"/>
      <c r="I4077" s="1895"/>
      <c r="J4077" s="1828"/>
    </row>
    <row r="4078" spans="1:12" ht="15.75" customHeight="1">
      <c r="A4078" s="1780"/>
      <c r="B4078" s="1739" t="s">
        <v>1004</v>
      </c>
      <c r="C4078" s="1877" t="s">
        <v>2067</v>
      </c>
      <c r="D4078" s="390"/>
      <c r="E4078" s="413"/>
      <c r="F4078" s="320"/>
      <c r="G4078" s="320"/>
      <c r="H4078" s="2100"/>
      <c r="I4078" s="2100"/>
      <c r="J4078" s="2101"/>
    </row>
    <row r="4079" spans="1:12" ht="15.75" customHeight="1">
      <c r="A4079" s="1780"/>
      <c r="B4079" s="1739"/>
      <c r="C4079" s="1878" t="s">
        <v>3120</v>
      </c>
      <c r="D4079" s="1841">
        <v>1</v>
      </c>
      <c r="E4079" s="413" t="s">
        <v>124</v>
      </c>
      <c r="F4079" s="1747">
        <v>4677611.54</v>
      </c>
      <c r="G4079" s="1785">
        <f>F4079*D4079</f>
        <v>4677611.54</v>
      </c>
      <c r="H4079" s="2015">
        <v>1</v>
      </c>
      <c r="I4079" s="2016">
        <f>(G4079/G$4086)*H4079</f>
        <v>0.17807604500981083</v>
      </c>
      <c r="J4079" s="1783"/>
      <c r="L4079" s="2132" t="s">
        <v>3121</v>
      </c>
    </row>
    <row r="4080" spans="1:12" ht="15.75" customHeight="1">
      <c r="A4080" s="1780"/>
      <c r="B4080" s="1739"/>
      <c r="C4080" s="1889" t="s">
        <v>2108</v>
      </c>
      <c r="D4080" s="1841"/>
      <c r="E4080" s="413"/>
      <c r="F4080" s="320"/>
      <c r="G4080" s="361">
        <f>SUM(G4079:G4079)</f>
        <v>4677611.54</v>
      </c>
      <c r="H4080" s="2015"/>
      <c r="I4080" s="2017">
        <f>SUM(I4079)</f>
        <v>0.17807604500981083</v>
      </c>
      <c r="J4080" s="1783"/>
    </row>
    <row r="4081" spans="1:12" ht="15.75" customHeight="1">
      <c r="A4081" s="1780"/>
      <c r="B4081" s="1739" t="s">
        <v>1015</v>
      </c>
      <c r="C4081" s="1877" t="s">
        <v>2075</v>
      </c>
      <c r="D4081" s="1841"/>
      <c r="E4081" s="413"/>
      <c r="F4081" s="317"/>
      <c r="G4081" s="320"/>
      <c r="H4081" s="1782"/>
      <c r="I4081" s="1782"/>
      <c r="J4081" s="1783"/>
    </row>
    <row r="4082" spans="1:12" ht="15.75" customHeight="1">
      <c r="A4082" s="1780"/>
      <c r="B4082" s="1739"/>
      <c r="C4082" s="1878" t="s">
        <v>3126</v>
      </c>
      <c r="D4082" s="1841">
        <v>1</v>
      </c>
      <c r="E4082" s="413" t="s">
        <v>3123</v>
      </c>
      <c r="F4082" s="1747">
        <f>'Bahan &amp; Upah'!C$332</f>
        <v>21589883</v>
      </c>
      <c r="G4082" s="1785">
        <f>F4082*D4082</f>
        <v>21589883</v>
      </c>
      <c r="H4082" s="2015">
        <v>0.44390000000000002</v>
      </c>
      <c r="I4082" s="2016">
        <f>(G4082/G$4086)*H4082</f>
        <v>0.36485204362014501</v>
      </c>
      <c r="J4082" s="1783"/>
      <c r="L4082" t="s">
        <v>3130</v>
      </c>
    </row>
    <row r="4083" spans="1:12" ht="15.75" customHeight="1">
      <c r="A4083" s="1780"/>
      <c r="B4083" s="1784"/>
      <c r="C4083" s="1889" t="s">
        <v>2091</v>
      </c>
      <c r="D4083" s="1841"/>
      <c r="E4083" s="413"/>
      <c r="F4083" s="320"/>
      <c r="G4083" s="361">
        <f>SUM(G4082:G4082)</f>
        <v>21589883</v>
      </c>
      <c r="H4083" s="1782"/>
      <c r="I4083" s="2017">
        <f>SUM(I4082)</f>
        <v>0.36485204362014501</v>
      </c>
      <c r="J4083" s="1783"/>
    </row>
    <row r="4084" spans="1:12" ht="15.75" customHeight="1">
      <c r="A4084" s="1780"/>
      <c r="B4084" s="1739" t="s">
        <v>1048</v>
      </c>
      <c r="C4084" s="1877" t="s">
        <v>2246</v>
      </c>
      <c r="D4084" s="1841"/>
      <c r="E4084" s="413"/>
      <c r="F4084" s="317"/>
      <c r="G4084" s="320"/>
      <c r="H4084" s="1782"/>
      <c r="I4084" s="1782"/>
      <c r="J4084" s="1783"/>
    </row>
    <row r="4085" spans="1:12" ht="15.75" customHeight="1">
      <c r="A4085" s="1780"/>
      <c r="B4085" s="1784"/>
      <c r="C4085" s="1878"/>
      <c r="D4085" s="1841"/>
      <c r="E4085" s="413"/>
      <c r="F4085" s="320"/>
      <c r="G4085" s="361">
        <v>0</v>
      </c>
      <c r="H4085" s="1782"/>
      <c r="I4085" s="1782"/>
      <c r="J4085" s="1783"/>
    </row>
    <row r="4086" spans="1:12" ht="15.75" customHeight="1">
      <c r="A4086" s="1780"/>
      <c r="B4086" s="1784"/>
      <c r="C4086" s="1804" t="s">
        <v>2298</v>
      </c>
      <c r="D4086" s="1763"/>
      <c r="E4086" s="1764"/>
      <c r="F4086" s="1765"/>
      <c r="G4086" s="1765">
        <f>G4080+G4083+G4085</f>
        <v>26267494.539999999</v>
      </c>
      <c r="H4086" s="1782"/>
      <c r="I4086" s="1862">
        <f>I4080+I4083</f>
        <v>0.5429280886299559</v>
      </c>
      <c r="J4086" s="1783"/>
    </row>
    <row r="4087" spans="1:12" ht="15.75" customHeight="1">
      <c r="A4087" s="1780"/>
      <c r="B4087" s="1784"/>
      <c r="C4087" s="1762" t="s">
        <v>2094</v>
      </c>
      <c r="D4087" s="1767">
        <f>M$4</f>
        <v>0.15</v>
      </c>
      <c r="E4087" s="1768"/>
      <c r="F4087" s="1765"/>
      <c r="G4087" s="1765">
        <f>G4086*D4087</f>
        <v>3940124.1809999999</v>
      </c>
      <c r="H4087" s="1782"/>
      <c r="I4087" s="1782"/>
      <c r="J4087" s="1783"/>
    </row>
    <row r="4088" spans="1:12" ht="15.75" customHeight="1">
      <c r="A4088" s="1786"/>
      <c r="B4088" s="1890"/>
      <c r="C4088" s="1788" t="s">
        <v>2111</v>
      </c>
      <c r="D4088" s="1772"/>
      <c r="E4088" s="1773"/>
      <c r="F4088" s="1774"/>
      <c r="G4088" s="1998">
        <f>ROUNDUP((G4086+G4087),2)</f>
        <v>30207618.73</v>
      </c>
      <c r="H4088" s="2010"/>
      <c r="I4088" s="2010"/>
      <c r="J4088" s="1893"/>
    </row>
    <row r="4089" spans="1:12" ht="15.75" customHeight="1">
      <c r="A4089" s="1733"/>
      <c r="B4089" s="1733"/>
      <c r="C4089" s="1733"/>
      <c r="D4089" s="1733"/>
      <c r="E4089" s="1733"/>
      <c r="F4089" s="1733"/>
      <c r="G4089" s="1733"/>
      <c r="H4089" s="1733"/>
      <c r="I4089" s="1733"/>
      <c r="J4089" s="1733"/>
    </row>
    <row r="4090" spans="1:12" ht="30" customHeight="1">
      <c r="A4090" s="1778">
        <f>A4077+1</f>
        <v>230</v>
      </c>
      <c r="B4090" s="1871" t="s">
        <v>2147</v>
      </c>
      <c r="C4090" s="1939" t="s">
        <v>3131</v>
      </c>
      <c r="D4090" s="1873"/>
      <c r="E4090" s="1874"/>
      <c r="F4090" s="1875"/>
      <c r="G4090" s="1875"/>
      <c r="H4090" s="1895"/>
      <c r="I4090" s="1895"/>
      <c r="J4090" s="1828"/>
    </row>
    <row r="4091" spans="1:12" ht="15.75" customHeight="1">
      <c r="A4091" s="1780"/>
      <c r="B4091" s="1739" t="s">
        <v>1004</v>
      </c>
      <c r="C4091" s="1877" t="s">
        <v>2067</v>
      </c>
      <c r="D4091" s="390"/>
      <c r="E4091" s="413"/>
      <c r="F4091" s="320"/>
      <c r="G4091" s="320"/>
      <c r="H4091" s="2100"/>
      <c r="I4091" s="2100"/>
      <c r="J4091" s="2101"/>
    </row>
    <row r="4092" spans="1:12" ht="15.75" customHeight="1">
      <c r="A4092" s="1780"/>
      <c r="B4092" s="1739"/>
      <c r="C4092" s="1878" t="s">
        <v>3120</v>
      </c>
      <c r="D4092" s="1841">
        <v>1</v>
      </c>
      <c r="E4092" s="413" t="s">
        <v>124</v>
      </c>
      <c r="F4092" s="1747">
        <v>500084.71</v>
      </c>
      <c r="G4092" s="1785">
        <f>F4092*D4092</f>
        <v>500084.71</v>
      </c>
      <c r="H4092" s="2015">
        <v>1</v>
      </c>
      <c r="I4092" s="2016">
        <f>(G4092/G$4099)*H4092</f>
        <v>0.15673140829729415</v>
      </c>
      <c r="J4092" s="1783"/>
      <c r="L4092" s="2132" t="s">
        <v>3121</v>
      </c>
    </row>
    <row r="4093" spans="1:12" ht="15.75" customHeight="1">
      <c r="A4093" s="1780"/>
      <c r="B4093" s="1739"/>
      <c r="C4093" s="1889" t="s">
        <v>2108</v>
      </c>
      <c r="D4093" s="1841"/>
      <c r="E4093" s="413"/>
      <c r="F4093" s="320"/>
      <c r="G4093" s="361">
        <f>SUM(G4092:G4092)</f>
        <v>500084.71</v>
      </c>
      <c r="H4093" s="2015"/>
      <c r="I4093" s="2017">
        <f>SUM(I4092)</f>
        <v>0.15673140829729415</v>
      </c>
      <c r="J4093" s="1783"/>
    </row>
    <row r="4094" spans="1:12" ht="15.75" customHeight="1">
      <c r="A4094" s="1780"/>
      <c r="B4094" s="1739" t="s">
        <v>1015</v>
      </c>
      <c r="C4094" s="1877" t="s">
        <v>2075</v>
      </c>
      <c r="D4094" s="1841"/>
      <c r="E4094" s="413"/>
      <c r="F4094" s="317"/>
      <c r="G4094" s="320"/>
      <c r="H4094" s="1782"/>
      <c r="I4094" s="1782"/>
      <c r="J4094" s="1783"/>
    </row>
    <row r="4095" spans="1:12" ht="15.75" customHeight="1">
      <c r="A4095" s="1780"/>
      <c r="B4095" s="1739"/>
      <c r="C4095" s="1878" t="s">
        <v>3126</v>
      </c>
      <c r="D4095" s="1841">
        <v>1</v>
      </c>
      <c r="E4095" s="413" t="s">
        <v>3123</v>
      </c>
      <c r="F4095" s="1747">
        <f>'Bahan &amp; Upah'!C$333</f>
        <v>2690626.81</v>
      </c>
      <c r="G4095" s="1785">
        <f>F4095*D4095</f>
        <v>2690626.81</v>
      </c>
      <c r="H4095" s="2015">
        <v>0.44390000000000002</v>
      </c>
      <c r="I4095" s="2016">
        <f>(G4095/G$4099)*H4095</f>
        <v>0.37432692785683114</v>
      </c>
      <c r="J4095" s="1783"/>
      <c r="L4095" t="s">
        <v>3130</v>
      </c>
    </row>
    <row r="4096" spans="1:12" ht="15.75" customHeight="1">
      <c r="A4096" s="1780"/>
      <c r="B4096" s="1784"/>
      <c r="C4096" s="1889" t="s">
        <v>2091</v>
      </c>
      <c r="D4096" s="1841"/>
      <c r="E4096" s="413"/>
      <c r="F4096" s="320"/>
      <c r="G4096" s="361">
        <f>SUM(G4095:G4095)</f>
        <v>2690626.81</v>
      </c>
      <c r="H4096" s="1782"/>
      <c r="I4096" s="2017">
        <f>SUM(I4095)</f>
        <v>0.37432692785683114</v>
      </c>
      <c r="J4096" s="1783"/>
    </row>
    <row r="4097" spans="1:10" ht="15.75" customHeight="1">
      <c r="A4097" s="1780"/>
      <c r="B4097" s="1739" t="s">
        <v>1048</v>
      </c>
      <c r="C4097" s="1877" t="s">
        <v>2246</v>
      </c>
      <c r="D4097" s="1841"/>
      <c r="E4097" s="413"/>
      <c r="F4097" s="317"/>
      <c r="G4097" s="320"/>
      <c r="H4097" s="1782"/>
      <c r="I4097" s="1782"/>
      <c r="J4097" s="1783"/>
    </row>
    <row r="4098" spans="1:10" ht="15.75" customHeight="1">
      <c r="A4098" s="1780"/>
      <c r="B4098" s="1784"/>
      <c r="C4098" s="1878"/>
      <c r="D4098" s="1841"/>
      <c r="E4098" s="413"/>
      <c r="F4098" s="320"/>
      <c r="G4098" s="361">
        <v>0</v>
      </c>
      <c r="H4098" s="1782"/>
      <c r="I4098" s="1782"/>
      <c r="J4098" s="1783"/>
    </row>
    <row r="4099" spans="1:10" ht="15.75" customHeight="1">
      <c r="A4099" s="1780"/>
      <c r="B4099" s="1784"/>
      <c r="C4099" s="1804" t="s">
        <v>2298</v>
      </c>
      <c r="D4099" s="1763"/>
      <c r="E4099" s="1764"/>
      <c r="F4099" s="1765"/>
      <c r="G4099" s="1765">
        <f>G4093+G4096+G4098</f>
        <v>3190711.52</v>
      </c>
      <c r="H4099" s="1782"/>
      <c r="I4099" s="1862">
        <f>I4093+I4096</f>
        <v>0.53105833615412523</v>
      </c>
      <c r="J4099" s="1783"/>
    </row>
    <row r="4100" spans="1:10" ht="15.75" customHeight="1">
      <c r="A4100" s="1780"/>
      <c r="B4100" s="1784"/>
      <c r="C4100" s="1762" t="s">
        <v>2094</v>
      </c>
      <c r="D4100" s="1767">
        <f>M$4</f>
        <v>0.15</v>
      </c>
      <c r="E4100" s="1768"/>
      <c r="F4100" s="1765"/>
      <c r="G4100" s="1765">
        <f>G4099*D4100</f>
        <v>478606.728</v>
      </c>
      <c r="H4100" s="1782"/>
      <c r="I4100" s="1782"/>
      <c r="J4100" s="1783"/>
    </row>
    <row r="4101" spans="1:10" ht="15.75" customHeight="1">
      <c r="A4101" s="1786"/>
      <c r="B4101" s="1890"/>
      <c r="C4101" s="1788" t="s">
        <v>2111</v>
      </c>
      <c r="D4101" s="1772"/>
      <c r="E4101" s="1773"/>
      <c r="F4101" s="1774"/>
      <c r="G4101" s="1998">
        <f>ROUNDUP((G4099+G4100),2)</f>
        <v>3669318.25</v>
      </c>
      <c r="H4101" s="2010"/>
      <c r="I4101" s="2010"/>
      <c r="J4101" s="1893"/>
    </row>
    <row r="4102" spans="1:10" ht="15.75" customHeight="1">
      <c r="A4102" s="1733"/>
      <c r="B4102" s="1733"/>
      <c r="C4102" s="1733"/>
      <c r="D4102" s="1733"/>
      <c r="E4102" s="1733"/>
      <c r="F4102" s="1733"/>
      <c r="G4102" s="1733"/>
      <c r="H4102" s="1733"/>
      <c r="I4102" s="1733"/>
      <c r="J4102" s="1733"/>
    </row>
    <row r="4103" spans="1:10" ht="15.75" customHeight="1">
      <c r="A4103" s="1916">
        <f>A4090+1</f>
        <v>231</v>
      </c>
      <c r="B4103" s="1917" t="s">
        <v>2659</v>
      </c>
      <c r="C4103" s="2030" t="s">
        <v>3132</v>
      </c>
      <c r="D4103" s="2031"/>
      <c r="E4103" s="2032"/>
      <c r="F4103" s="2033"/>
      <c r="G4103" s="2033"/>
      <c r="H4103" s="1895"/>
      <c r="I4103" s="1895"/>
      <c r="J4103" s="1828"/>
    </row>
    <row r="4104" spans="1:10" ht="15.75" customHeight="1">
      <c r="A4104" s="1916"/>
      <c r="B4104" s="1917" t="s">
        <v>2661</v>
      </c>
      <c r="C4104" s="2030" t="s">
        <v>3133</v>
      </c>
      <c r="D4104" s="2031"/>
      <c r="E4104" s="2032"/>
      <c r="F4104" s="2033"/>
      <c r="G4104" s="2033"/>
      <c r="H4104" s="2100"/>
      <c r="I4104" s="2100"/>
      <c r="J4104" s="2101"/>
    </row>
    <row r="4105" spans="1:10" ht="15.75" customHeight="1">
      <c r="A4105" s="2042"/>
      <c r="B4105" s="1739" t="s">
        <v>1004</v>
      </c>
      <c r="C4105" s="1877" t="s">
        <v>2067</v>
      </c>
      <c r="D4105" s="390"/>
      <c r="E4105" s="413"/>
      <c r="F4105" s="320"/>
      <c r="G4105" s="320"/>
      <c r="H4105" s="1980"/>
      <c r="I4105" s="1980"/>
      <c r="J4105" s="1981"/>
    </row>
    <row r="4106" spans="1:10" ht="15.75" customHeight="1">
      <c r="A4106" s="2042"/>
      <c r="B4106" s="1739"/>
      <c r="C4106" s="1878" t="s">
        <v>2103</v>
      </c>
      <c r="D4106" s="1781">
        <f>0.35</f>
        <v>0.35</v>
      </c>
      <c r="E4106" s="413" t="s">
        <v>2069</v>
      </c>
      <c r="F4106" s="1747">
        <f>'Bahan &amp; Upah'!C$336</f>
        <v>96332.65</v>
      </c>
      <c r="G4106" s="361">
        <f>F4106*D4106</f>
        <v>33716.427499999998</v>
      </c>
      <c r="H4106" s="1980">
        <v>1</v>
      </c>
      <c r="I4106" s="1980">
        <f>(G4106/G$4126)*H4106</f>
        <v>3.618746153913692E-2</v>
      </c>
      <c r="J4106" s="1981"/>
    </row>
    <row r="4107" spans="1:10" ht="15.75" customHeight="1">
      <c r="A4107" s="2042"/>
      <c r="B4107" s="1739"/>
      <c r="C4107" s="1878" t="s">
        <v>2104</v>
      </c>
      <c r="D4107" s="1781">
        <f>0.35</f>
        <v>0.35</v>
      </c>
      <c r="E4107" s="413" t="s">
        <v>2069</v>
      </c>
      <c r="F4107" s="1883">
        <f>'Bahan &amp; Upah'!C$337</f>
        <v>114133.55</v>
      </c>
      <c r="G4107" s="361">
        <f>F4107*D4107</f>
        <v>39946.7425</v>
      </c>
      <c r="H4107" s="1980">
        <v>1</v>
      </c>
      <c r="I4107" s="1980">
        <f>(G4107/G$4126)*H4107</f>
        <v>4.2874388392203068E-2</v>
      </c>
      <c r="J4107" s="1981"/>
    </row>
    <row r="4108" spans="1:10" ht="15.75" customHeight="1">
      <c r="A4108" s="2042"/>
      <c r="B4108" s="1739"/>
      <c r="C4108" s="1878" t="s">
        <v>2072</v>
      </c>
      <c r="D4108" s="1781">
        <f>0.035</f>
        <v>3.5000000000000003E-2</v>
      </c>
      <c r="E4108" s="413" t="s">
        <v>2069</v>
      </c>
      <c r="F4108" s="1748">
        <f>'Bahan &amp; Upah'!C$338</f>
        <v>125485.75</v>
      </c>
      <c r="G4108" s="361">
        <f>F4108*D4108</f>
        <v>4392.0012500000003</v>
      </c>
      <c r="H4108" s="1980">
        <v>1</v>
      </c>
      <c r="I4108" s="1980">
        <f>(G4108/G$4126)*H4108</f>
        <v>4.7138854291195681E-3</v>
      </c>
      <c r="J4108" s="1981"/>
    </row>
    <row r="4109" spans="1:10" ht="15.75" customHeight="1">
      <c r="A4109" s="2042"/>
      <c r="B4109" s="1739"/>
      <c r="C4109" s="1878" t="s">
        <v>2107</v>
      </c>
      <c r="D4109" s="1781">
        <f>0.0117</f>
        <v>1.17E-2</v>
      </c>
      <c r="E4109" s="413" t="s">
        <v>2069</v>
      </c>
      <c r="F4109" s="1883">
        <f>'Bahan &amp; Upah'!C$339</f>
        <v>102689.88</v>
      </c>
      <c r="G4109" s="1785">
        <f>F4109*D4109</f>
        <v>1201.4715960000001</v>
      </c>
      <c r="H4109" s="1980">
        <v>1</v>
      </c>
      <c r="I4109" s="1982">
        <f>(G4109/G$4126)*H4109</f>
        <v>1.2895259193939055E-3</v>
      </c>
      <c r="J4109" s="1981"/>
    </row>
    <row r="4110" spans="1:10" ht="15.75" customHeight="1">
      <c r="A4110" s="2042"/>
      <c r="B4110" s="1739"/>
      <c r="C4110" s="1889" t="s">
        <v>2108</v>
      </c>
      <c r="D4110" s="1841"/>
      <c r="E4110" s="413"/>
      <c r="F4110" s="320"/>
      <c r="G4110" s="344">
        <f>SUM(G4106:G4109)</f>
        <v>79256.642846000002</v>
      </c>
      <c r="H4110" s="1980"/>
      <c r="I4110" s="1983">
        <f>SUM(I4106:I4109)</f>
        <v>8.5065261279853477E-2</v>
      </c>
      <c r="J4110" s="1981"/>
    </row>
    <row r="4111" spans="1:10" ht="15.75" customHeight="1">
      <c r="A4111" s="2042"/>
      <c r="B4111" s="1739" t="s">
        <v>1015</v>
      </c>
      <c r="C4111" s="1877" t="s">
        <v>2075</v>
      </c>
      <c r="D4111" s="1841"/>
      <c r="E4111" s="413"/>
      <c r="F4111" s="317"/>
      <c r="G4111" s="320"/>
      <c r="H4111" s="1980"/>
      <c r="I4111" s="1980"/>
      <c r="J4111" s="1981"/>
    </row>
    <row r="4112" spans="1:10" ht="15.75" customHeight="1">
      <c r="A4112" s="2042"/>
      <c r="B4112" s="1739"/>
      <c r="C4112" s="1878" t="s">
        <v>3134</v>
      </c>
      <c r="D4112" s="1841">
        <v>4.5</v>
      </c>
      <c r="E4112" s="413" t="s">
        <v>117</v>
      </c>
      <c r="F4112" s="1747">
        <f>'Bahan &amp; Upah'!C$84</f>
        <v>44599.78</v>
      </c>
      <c r="G4112" s="361">
        <f>F4112*D4112</f>
        <v>200699.01</v>
      </c>
      <c r="H4112" s="1980">
        <v>0.64300000000000002</v>
      </c>
      <c r="I4112" s="1980">
        <f>(G4112/G$4126)*H4112</f>
        <v>0.13850733428146805</v>
      </c>
      <c r="J4112" s="1981"/>
    </row>
    <row r="4113" spans="1:10" ht="15.75" customHeight="1">
      <c r="A4113" s="2042"/>
      <c r="B4113" s="1739"/>
      <c r="C4113" s="1878" t="s">
        <v>2672</v>
      </c>
      <c r="D4113" s="1841">
        <v>10</v>
      </c>
      <c r="E4113" s="413" t="s">
        <v>2673</v>
      </c>
      <c r="F4113" s="1747">
        <f>G4112</f>
        <v>200699.01</v>
      </c>
      <c r="G4113" s="1785">
        <f>F4113*10%</f>
        <v>20069.901000000002</v>
      </c>
      <c r="H4113" s="1980">
        <v>1</v>
      </c>
      <c r="I4113" s="1982">
        <f>(G4113/G$4126)*H4113</f>
        <v>2.1540798488564238E-2</v>
      </c>
      <c r="J4113" s="1981"/>
    </row>
    <row r="4114" spans="1:10" ht="15.75" customHeight="1">
      <c r="A4114" s="2042"/>
      <c r="B4114" s="1784"/>
      <c r="C4114" s="1878"/>
      <c r="D4114" s="1841"/>
      <c r="E4114" s="413"/>
      <c r="F4114" s="320"/>
      <c r="G4114" s="344">
        <f>SUM(G4112:G4113)</f>
        <v>220768.91100000002</v>
      </c>
      <c r="H4114" s="1980"/>
      <c r="I4114" s="1983">
        <f>SUM(I4112:I4113)</f>
        <v>0.1600481327700323</v>
      </c>
      <c r="J4114" s="1981"/>
    </row>
    <row r="4115" spans="1:10" ht="15.75" customHeight="1">
      <c r="A4115" s="1916"/>
      <c r="B4115" s="1917"/>
      <c r="C4115" s="2030" t="s">
        <v>3135</v>
      </c>
      <c r="D4115" s="2031"/>
      <c r="E4115" s="2032"/>
      <c r="F4115" s="2033"/>
      <c r="G4115" s="2033"/>
      <c r="H4115" s="1895"/>
      <c r="I4115" s="1895"/>
      <c r="J4115" s="1828"/>
    </row>
    <row r="4116" spans="1:10" ht="15.75" customHeight="1">
      <c r="A4116" s="2042"/>
      <c r="B4116" s="1739" t="s">
        <v>1048</v>
      </c>
      <c r="C4116" s="1877" t="s">
        <v>2067</v>
      </c>
      <c r="D4116" s="390"/>
      <c r="E4116" s="413"/>
      <c r="F4116" s="320"/>
      <c r="G4116" s="320"/>
      <c r="H4116" s="320"/>
      <c r="I4116" s="320"/>
      <c r="J4116" s="1981"/>
    </row>
    <row r="4117" spans="1:10" ht="15.75" customHeight="1">
      <c r="A4117" s="2042"/>
      <c r="B4117" s="1739"/>
      <c r="C4117" s="1878" t="s">
        <v>2103</v>
      </c>
      <c r="D4117" s="1841">
        <v>0.1</v>
      </c>
      <c r="E4117" s="413" t="s">
        <v>2069</v>
      </c>
      <c r="F4117" s="1747">
        <f>'Bahan &amp; Upah'!C$336</f>
        <v>96332.65</v>
      </c>
      <c r="G4117" s="361">
        <f>F4117*D4117</f>
        <v>9633.2649999999994</v>
      </c>
      <c r="H4117" s="1980">
        <v>1</v>
      </c>
      <c r="I4117" s="1980">
        <f>(G4117/G$4126)*H4117</f>
        <v>1.0339274725467692E-2</v>
      </c>
      <c r="J4117" s="1981"/>
    </row>
    <row r="4118" spans="1:10" ht="15.75" customHeight="1">
      <c r="A4118" s="2042"/>
      <c r="B4118" s="1739"/>
      <c r="C4118" s="1878" t="s">
        <v>2104</v>
      </c>
      <c r="D4118" s="1841">
        <v>0.05</v>
      </c>
      <c r="E4118" s="413" t="s">
        <v>2069</v>
      </c>
      <c r="F4118" s="1883">
        <f>'Bahan &amp; Upah'!C$337</f>
        <v>114133.55</v>
      </c>
      <c r="G4118" s="361">
        <f>F4118*D4118</f>
        <v>5706.6775000000007</v>
      </c>
      <c r="H4118" s="1980">
        <v>1</v>
      </c>
      <c r="I4118" s="1980">
        <f>(G4118/G$4126)*H4118</f>
        <v>6.1249126274575821E-3</v>
      </c>
      <c r="J4118" s="1981"/>
    </row>
    <row r="4119" spans="1:10" ht="15.75" customHeight="1">
      <c r="A4119" s="2042"/>
      <c r="B4119" s="1739"/>
      <c r="C4119" s="1878" t="s">
        <v>2072</v>
      </c>
      <c r="D4119" s="1841">
        <v>5.0000000000000001E-3</v>
      </c>
      <c r="E4119" s="413" t="s">
        <v>2069</v>
      </c>
      <c r="F4119" s="1748">
        <f>'Bahan &amp; Upah'!C$338</f>
        <v>125485.75</v>
      </c>
      <c r="G4119" s="361">
        <f>F4119*D4119</f>
        <v>627.42875000000004</v>
      </c>
      <c r="H4119" s="1980">
        <v>1</v>
      </c>
      <c r="I4119" s="1980">
        <f>(G4119/G$4126)*H4119</f>
        <v>6.7341220415993827E-4</v>
      </c>
      <c r="J4119" s="1981"/>
    </row>
    <row r="4120" spans="1:10" ht="15.75" customHeight="1">
      <c r="A4120" s="2042"/>
      <c r="B4120" s="1739"/>
      <c r="C4120" s="1878" t="s">
        <v>2107</v>
      </c>
      <c r="D4120" s="1841">
        <v>5.0000000000000001E-3</v>
      </c>
      <c r="E4120" s="413" t="s">
        <v>2069</v>
      </c>
      <c r="F4120" s="1883">
        <f>'Bahan &amp; Upah'!C$339</f>
        <v>102689.88</v>
      </c>
      <c r="G4120" s="1785">
        <f>F4120*D4120</f>
        <v>513.44940000000008</v>
      </c>
      <c r="H4120" s="1980">
        <v>1</v>
      </c>
      <c r="I4120" s="1982">
        <f>(G4120/G$4126)*H4120</f>
        <v>5.5107945273243834E-4</v>
      </c>
      <c r="J4120" s="1981"/>
    </row>
    <row r="4121" spans="1:10" ht="15.75" customHeight="1">
      <c r="A4121" s="2042"/>
      <c r="B4121" s="1739"/>
      <c r="C4121" s="1889" t="s">
        <v>2108</v>
      </c>
      <c r="D4121" s="1841"/>
      <c r="E4121" s="413"/>
      <c r="F4121" s="320"/>
      <c r="G4121" s="344">
        <f>SUM(G4117:G4120)</f>
        <v>16480.820650000001</v>
      </c>
      <c r="H4121" s="1980"/>
      <c r="I4121" s="1983">
        <f>SUM(I4117:I4120)</f>
        <v>1.7688679009817649E-2</v>
      </c>
      <c r="J4121" s="1981"/>
    </row>
    <row r="4122" spans="1:10" ht="15.75" customHeight="1">
      <c r="A4122" s="2042"/>
      <c r="B4122" s="1739" t="s">
        <v>979</v>
      </c>
      <c r="C4122" s="1877" t="s">
        <v>2075</v>
      </c>
      <c r="D4122" s="1841"/>
      <c r="E4122" s="413"/>
      <c r="F4122" s="317"/>
      <c r="G4122" s="320"/>
      <c r="H4122" s="1980"/>
      <c r="I4122" s="1980"/>
      <c r="J4122" s="1981"/>
    </row>
    <row r="4123" spans="1:10" ht="15.75" customHeight="1">
      <c r="A4123" s="2042"/>
      <c r="B4123" s="1739"/>
      <c r="C4123" s="1878" t="s">
        <v>3134</v>
      </c>
      <c r="D4123" s="1841">
        <f>3.135*4</f>
        <v>12.54</v>
      </c>
      <c r="E4123" s="413" t="s">
        <v>117</v>
      </c>
      <c r="F4123" s="1747">
        <f>'Bahan &amp; Upah'!C$84</f>
        <v>44599.78</v>
      </c>
      <c r="G4123" s="361">
        <f>F4123*D4123</f>
        <v>559281.24119999993</v>
      </c>
      <c r="H4123" s="1980">
        <v>0.64300000000000002</v>
      </c>
      <c r="I4123" s="1980">
        <f>(G4123/G$4126)*H4123</f>
        <v>0.3859737715310243</v>
      </c>
      <c r="J4123" s="1981"/>
    </row>
    <row r="4124" spans="1:10" ht="15.75" customHeight="1">
      <c r="A4124" s="2042"/>
      <c r="B4124" s="1739"/>
      <c r="C4124" s="1878" t="s">
        <v>2672</v>
      </c>
      <c r="D4124" s="1841">
        <v>10</v>
      </c>
      <c r="E4124" s="413" t="s">
        <v>2673</v>
      </c>
      <c r="F4124" s="1747">
        <f>G4123</f>
        <v>559281.24119999993</v>
      </c>
      <c r="G4124" s="1785">
        <f>F4124*10%</f>
        <v>55928.124119999993</v>
      </c>
      <c r="H4124" s="1980">
        <v>1</v>
      </c>
      <c r="I4124" s="1982">
        <f>(G4124/G$4126)*H4124</f>
        <v>6.0027025121465669E-2</v>
      </c>
      <c r="J4124" s="1981"/>
    </row>
    <row r="4125" spans="1:10" ht="15.75" customHeight="1">
      <c r="A4125" s="2042"/>
      <c r="B4125" s="1784"/>
      <c r="C4125" s="1878"/>
      <c r="D4125" s="1841"/>
      <c r="E4125" s="413"/>
      <c r="F4125" s="320"/>
      <c r="G4125" s="344">
        <f>SUM(G4123:G4124)</f>
        <v>615209.36531999987</v>
      </c>
      <c r="H4125" s="2133"/>
      <c r="I4125" s="2072">
        <f>SUM(I4123:I4124)</f>
        <v>0.44600079665248998</v>
      </c>
      <c r="J4125" s="2043"/>
    </row>
    <row r="4126" spans="1:10" ht="15.75" customHeight="1">
      <c r="A4126" s="2042"/>
      <c r="B4126" s="1784"/>
      <c r="C4126" s="1804" t="s">
        <v>2298</v>
      </c>
      <c r="D4126" s="1763"/>
      <c r="E4126" s="1764"/>
      <c r="F4126" s="1765"/>
      <c r="G4126" s="1765">
        <f>G4110+G4114+G4121+G4125</f>
        <v>931715.73981599987</v>
      </c>
      <c r="H4126" s="1980"/>
      <c r="I4126" s="2058"/>
      <c r="J4126" s="2043"/>
    </row>
    <row r="4127" spans="1:10" ht="15.75" customHeight="1">
      <c r="A4127" s="2042"/>
      <c r="B4127" s="1784"/>
      <c r="C4127" s="1804" t="s">
        <v>2677</v>
      </c>
      <c r="D4127" s="1767">
        <f>M$4</f>
        <v>0.15</v>
      </c>
      <c r="E4127" s="1764"/>
      <c r="F4127" s="1765"/>
      <c r="G4127" s="1765">
        <f>G4126*D4127</f>
        <v>139757.36097239997</v>
      </c>
      <c r="H4127" s="1980"/>
      <c r="I4127" s="1984">
        <f>I4110+I4114+I4121+I4125</f>
        <v>0.70880286971219342</v>
      </c>
      <c r="J4127" s="2043"/>
    </row>
    <row r="4128" spans="1:10" ht="15.75" customHeight="1">
      <c r="A4128" s="1949"/>
      <c r="B4128" s="1890"/>
      <c r="C4128" s="1788" t="s">
        <v>2111</v>
      </c>
      <c r="D4128" s="1772"/>
      <c r="E4128" s="1773"/>
      <c r="F4128" s="1774"/>
      <c r="G4128" s="1998">
        <f>ROUNDUP((G4126+G4127),2)</f>
        <v>1071473.1100000001</v>
      </c>
      <c r="H4128" s="1985"/>
      <c r="I4128" s="1985"/>
      <c r="J4128" s="2044"/>
    </row>
    <row r="4129" spans="1:10" ht="15.75" customHeight="1">
      <c r="A4129" s="1733"/>
      <c r="B4129" s="1733"/>
      <c r="C4129" s="1733"/>
      <c r="D4129" s="1733"/>
      <c r="E4129" s="1733"/>
      <c r="F4129" s="1733"/>
      <c r="G4129" s="1733"/>
      <c r="H4129" s="1733"/>
      <c r="I4129" s="1733"/>
      <c r="J4129" s="1733"/>
    </row>
    <row r="4130" spans="1:10" ht="15.75" customHeight="1">
      <c r="A4130" s="1778">
        <f>A4103+1</f>
        <v>232</v>
      </c>
      <c r="B4130" s="1805" t="s">
        <v>3136</v>
      </c>
      <c r="C4130" s="1872" t="s">
        <v>3137</v>
      </c>
      <c r="D4130" s="1971"/>
      <c r="E4130" s="1874"/>
      <c r="F4130" s="1875"/>
      <c r="G4130" s="1875"/>
      <c r="H4130" s="1895"/>
      <c r="I4130" s="1895"/>
      <c r="J4130" s="1828"/>
    </row>
    <row r="4131" spans="1:10" ht="15.75" customHeight="1">
      <c r="A4131" s="1780"/>
      <c r="B4131" s="1739" t="s">
        <v>1004</v>
      </c>
      <c r="C4131" s="1877" t="s">
        <v>2067</v>
      </c>
      <c r="D4131" s="390"/>
      <c r="E4131" s="413"/>
      <c r="F4131" s="320"/>
      <c r="G4131" s="320"/>
      <c r="H4131" s="1802"/>
      <c r="I4131" s="1802"/>
      <c r="J4131" s="1803"/>
    </row>
    <row r="4132" spans="1:10" ht="15.75" customHeight="1">
      <c r="A4132" s="1780"/>
      <c r="B4132" s="1739"/>
      <c r="C4132" s="1878" t="s">
        <v>2103</v>
      </c>
      <c r="D4132" s="1781">
        <v>7.0000000000000007E-2</v>
      </c>
      <c r="E4132" s="413" t="s">
        <v>2069</v>
      </c>
      <c r="F4132" s="1747">
        <f>'Bahan &amp; Upah'!C$336</f>
        <v>96332.65</v>
      </c>
      <c r="G4132" s="361">
        <f>F4132*D4132</f>
        <v>6743.2855</v>
      </c>
      <c r="H4132" s="1749">
        <v>1</v>
      </c>
      <c r="I4132" s="1749">
        <f>(G4132/G$4142)*H4132</f>
        <v>6.3927133431078129E-2</v>
      </c>
      <c r="J4132" s="1750"/>
    </row>
    <row r="4133" spans="1:10" ht="15.75" customHeight="1">
      <c r="A4133" s="1780"/>
      <c r="B4133" s="1739"/>
      <c r="C4133" s="1878" t="s">
        <v>2071</v>
      </c>
      <c r="D4133" s="1781">
        <v>3.5000000000000003E-2</v>
      </c>
      <c r="E4133" s="413" t="s">
        <v>2069</v>
      </c>
      <c r="F4133" s="1883">
        <f>'Bahan &amp; Upah'!C$337</f>
        <v>114133.55</v>
      </c>
      <c r="G4133" s="361">
        <f>F4133*D4133</f>
        <v>3994.6742500000005</v>
      </c>
      <c r="H4133" s="1749">
        <v>1</v>
      </c>
      <c r="I4133" s="1749">
        <f>(G4133/G$4142)*H4133</f>
        <v>3.7869978038664091E-2</v>
      </c>
      <c r="J4133" s="1750"/>
    </row>
    <row r="4134" spans="1:10" ht="15.75" customHeight="1">
      <c r="A4134" s="1780"/>
      <c r="B4134" s="1739"/>
      <c r="C4134" s="1878" t="s">
        <v>2072</v>
      </c>
      <c r="D4134" s="1781">
        <v>4.0000000000000001E-3</v>
      </c>
      <c r="E4134" s="413" t="s">
        <v>2069</v>
      </c>
      <c r="F4134" s="1748">
        <f>'Bahan &amp; Upah'!C$338</f>
        <v>125485.75</v>
      </c>
      <c r="G4134" s="361">
        <f>F4134*D4134</f>
        <v>501.94299999999998</v>
      </c>
      <c r="H4134" s="1749">
        <v>1</v>
      </c>
      <c r="I4134" s="1749">
        <f>(G4134/G$4142)*H4134</f>
        <v>4.7584782130010144E-3</v>
      </c>
      <c r="J4134" s="1750"/>
    </row>
    <row r="4135" spans="1:10" ht="15.75" customHeight="1">
      <c r="A4135" s="1780"/>
      <c r="B4135" s="1739"/>
      <c r="C4135" s="1878" t="s">
        <v>2107</v>
      </c>
      <c r="D4135" s="1781">
        <v>1E-3</v>
      </c>
      <c r="E4135" s="413" t="s">
        <v>2069</v>
      </c>
      <c r="F4135" s="1883">
        <f>'Bahan &amp; Upah'!C$339</f>
        <v>102689.88</v>
      </c>
      <c r="G4135" s="1785">
        <f>F4135*D4135</f>
        <v>102.68988</v>
      </c>
      <c r="H4135" s="1749">
        <v>1</v>
      </c>
      <c r="I4135" s="1752">
        <f>(G4135/G$4142)*H4135</f>
        <v>9.7351204554239944E-4</v>
      </c>
      <c r="J4135" s="1750"/>
    </row>
    <row r="4136" spans="1:10" ht="15.75" customHeight="1">
      <c r="A4136" s="1780"/>
      <c r="B4136" s="1739"/>
      <c r="C4136" s="1889" t="s">
        <v>2108</v>
      </c>
      <c r="D4136" s="1781"/>
      <c r="E4136" s="413"/>
      <c r="F4136" s="320"/>
      <c r="G4136" s="361">
        <f>SUM(G4132:G4135)</f>
        <v>11342.592629999999</v>
      </c>
      <c r="H4136" s="1749"/>
      <c r="I4136" s="1994">
        <f>SUM(I4132:I4135)</f>
        <v>0.10752910172828563</v>
      </c>
      <c r="J4136" s="1750"/>
    </row>
    <row r="4137" spans="1:10" ht="15.75" customHeight="1">
      <c r="A4137" s="1780"/>
      <c r="B4137" s="1739" t="s">
        <v>1015</v>
      </c>
      <c r="C4137" s="1877" t="s">
        <v>2075</v>
      </c>
      <c r="D4137" s="1781"/>
      <c r="E4137" s="413"/>
      <c r="F4137" s="320"/>
      <c r="G4137" s="320"/>
      <c r="H4137" s="1749"/>
      <c r="I4137" s="1994"/>
      <c r="J4137" s="1750"/>
    </row>
    <row r="4138" spans="1:10" ht="15.75" customHeight="1">
      <c r="A4138" s="1780"/>
      <c r="B4138" s="1739"/>
      <c r="C4138" s="1878" t="s">
        <v>3138</v>
      </c>
      <c r="D4138" s="1781">
        <v>1.05</v>
      </c>
      <c r="E4138" s="413" t="s">
        <v>117</v>
      </c>
      <c r="F4138" s="1747">
        <f>'Bahan &amp; Upah'!C$362</f>
        <v>89658.42</v>
      </c>
      <c r="G4138" s="1794">
        <f>F4138*D4138</f>
        <v>94141.341</v>
      </c>
      <c r="H4138" s="1749">
        <v>0.89800000000000002</v>
      </c>
      <c r="I4138" s="1752">
        <f>(G4138/G$4142)*H4138</f>
        <v>0.80143886664799946</v>
      </c>
      <c r="J4138" s="1750"/>
    </row>
    <row r="4139" spans="1:10" ht="15.75" customHeight="1">
      <c r="A4139" s="1780"/>
      <c r="B4139" s="1784"/>
      <c r="C4139" s="1878"/>
      <c r="D4139" s="1781"/>
      <c r="E4139" s="413"/>
      <c r="F4139" s="1883"/>
      <c r="G4139" s="345">
        <f>SUM(G4138:G4138)</f>
        <v>94141.341</v>
      </c>
      <c r="H4139" s="1749"/>
      <c r="I4139" s="1994">
        <f>SUM(I4138:I4138)</f>
        <v>0.80143886664799946</v>
      </c>
      <c r="J4139" s="1750"/>
    </row>
    <row r="4140" spans="1:10" ht="15.75" customHeight="1">
      <c r="A4140" s="1780"/>
      <c r="B4140" s="1739" t="s">
        <v>1048</v>
      </c>
      <c r="C4140" s="1877" t="s">
        <v>2246</v>
      </c>
      <c r="D4140" s="1756"/>
      <c r="E4140" s="333"/>
      <c r="F4140" s="1883"/>
      <c r="G4140" s="345"/>
      <c r="H4140" s="1749"/>
      <c r="I4140" s="1749"/>
      <c r="J4140" s="1750"/>
    </row>
    <row r="4141" spans="1:10" ht="15.75" customHeight="1">
      <c r="A4141" s="1780"/>
      <c r="B4141" s="1909"/>
      <c r="C4141" s="1878"/>
      <c r="D4141" s="1756"/>
      <c r="E4141" s="333"/>
      <c r="F4141" s="328"/>
      <c r="G4141" s="361">
        <v>0</v>
      </c>
      <c r="H4141" s="1749"/>
      <c r="I4141" s="1749"/>
      <c r="J4141" s="1750"/>
    </row>
    <row r="4142" spans="1:10" ht="15.75" customHeight="1">
      <c r="A4142" s="1780"/>
      <c r="B4142" s="1784"/>
      <c r="C4142" s="1804" t="s">
        <v>2242</v>
      </c>
      <c r="D4142" s="1763"/>
      <c r="E4142" s="1764"/>
      <c r="F4142" s="1765"/>
      <c r="G4142" s="1765">
        <f>G4136+G4139+G4141</f>
        <v>105483.93363</v>
      </c>
      <c r="H4142" s="1749"/>
      <c r="I4142" s="1766">
        <f>I4136+I4139+I4141</f>
        <v>0.90896796837628513</v>
      </c>
      <c r="J4142" s="1750"/>
    </row>
    <row r="4143" spans="1:10" ht="15.75" customHeight="1">
      <c r="A4143" s="1780"/>
      <c r="B4143" s="1784"/>
      <c r="C4143" s="1762" t="s">
        <v>2094</v>
      </c>
      <c r="D4143" s="1767">
        <f>M$4</f>
        <v>0.15</v>
      </c>
      <c r="E4143" s="1768"/>
      <c r="F4143" s="1765"/>
      <c r="G4143" s="1765">
        <f>G4142*D4143</f>
        <v>15822.590044499999</v>
      </c>
      <c r="H4143" s="1749"/>
      <c r="I4143" s="1749"/>
      <c r="J4143" s="1750"/>
    </row>
    <row r="4144" spans="1:10" ht="15.75" customHeight="1">
      <c r="A4144" s="1786"/>
      <c r="B4144" s="1890"/>
      <c r="C4144" s="1788" t="s">
        <v>2111</v>
      </c>
      <c r="D4144" s="1772"/>
      <c r="E4144" s="1773"/>
      <c r="F4144" s="1774"/>
      <c r="G4144" s="1998">
        <f>ROUNDUP((G4142+G4143),2)</f>
        <v>121306.53</v>
      </c>
      <c r="H4144" s="1937"/>
      <c r="I4144" s="1937"/>
      <c r="J4144" s="1938"/>
    </row>
    <row r="4145" spans="1:12" ht="15.75" customHeight="1">
      <c r="A4145" s="1733"/>
      <c r="B4145" s="1733"/>
      <c r="C4145" s="1733"/>
      <c r="D4145" s="1733"/>
      <c r="E4145" s="1733"/>
      <c r="F4145" s="1733"/>
      <c r="G4145" s="1733"/>
      <c r="H4145" s="1733"/>
      <c r="I4145" s="1733"/>
      <c r="J4145" s="1733"/>
    </row>
    <row r="4146" spans="1:12" ht="15.75" customHeight="1">
      <c r="A4146" s="1778">
        <f>A4130+1</f>
        <v>233</v>
      </c>
      <c r="B4146" s="1805" t="s">
        <v>2939</v>
      </c>
      <c r="C4146" s="1872" t="s">
        <v>3139</v>
      </c>
      <c r="D4146" s="1873"/>
      <c r="E4146" s="1874"/>
      <c r="F4146" s="1875"/>
      <c r="G4146" s="1875"/>
      <c r="H4146" s="2089"/>
      <c r="I4146" s="2089"/>
      <c r="J4146" s="2090"/>
    </row>
    <row r="4147" spans="1:12" ht="15.75" customHeight="1">
      <c r="A4147" s="1780"/>
      <c r="B4147" s="1739" t="s">
        <v>1004</v>
      </c>
      <c r="C4147" s="1877" t="s">
        <v>2067</v>
      </c>
      <c r="D4147" s="390"/>
      <c r="E4147" s="413"/>
      <c r="F4147" s="320"/>
      <c r="G4147" s="320"/>
      <c r="H4147" s="1782"/>
      <c r="I4147" s="1782"/>
      <c r="J4147" s="1783"/>
    </row>
    <row r="4148" spans="1:12" ht="15.75" customHeight="1">
      <c r="A4148" s="1780"/>
      <c r="B4148" s="1739"/>
      <c r="C4148" s="1878" t="s">
        <v>2103</v>
      </c>
      <c r="D4148" s="1841">
        <v>0.41699999999999998</v>
      </c>
      <c r="E4148" s="413" t="s">
        <v>2069</v>
      </c>
      <c r="F4148" s="1747">
        <f>'Bahan &amp; Upah'!C$336</f>
        <v>96332.65</v>
      </c>
      <c r="G4148" s="361">
        <f>F4148*D4148</f>
        <v>40170.715049999999</v>
      </c>
      <c r="H4148" s="1980">
        <v>1</v>
      </c>
      <c r="I4148" s="1980">
        <f>(G4148/G$4158)*H4148</f>
        <v>4.2087586845082087E-3</v>
      </c>
      <c r="J4148" s="1981"/>
    </row>
    <row r="4149" spans="1:12" ht="15.75" customHeight="1">
      <c r="A4149" s="1780"/>
      <c r="B4149" s="1739"/>
      <c r="C4149" s="1878" t="s">
        <v>2124</v>
      </c>
      <c r="D4149" s="1841">
        <v>0.69599999999999995</v>
      </c>
      <c r="E4149" s="413" t="s">
        <v>2069</v>
      </c>
      <c r="F4149" s="1883">
        <f>'Bahan &amp; Upah'!C$337</f>
        <v>114133.55</v>
      </c>
      <c r="G4149" s="361">
        <f>F4149*D4149</f>
        <v>79436.950799999991</v>
      </c>
      <c r="H4149" s="1980">
        <v>1</v>
      </c>
      <c r="I4149" s="1980">
        <f>(G4149/G$4158)*H4149</f>
        <v>8.3227534320515235E-3</v>
      </c>
      <c r="J4149" s="1981"/>
    </row>
    <row r="4150" spans="1:12" ht="15.75" customHeight="1">
      <c r="A4150" s="1780"/>
      <c r="B4150" s="1739"/>
      <c r="C4150" s="1878" t="s">
        <v>2072</v>
      </c>
      <c r="D4150" s="1841">
        <v>7.0000000000000007E-2</v>
      </c>
      <c r="E4150" s="413" t="s">
        <v>2069</v>
      </c>
      <c r="F4150" s="1748">
        <f>'Bahan &amp; Upah'!C$338</f>
        <v>125485.75</v>
      </c>
      <c r="G4150" s="361">
        <f>F4150*D4150</f>
        <v>8784.0025000000005</v>
      </c>
      <c r="H4150" s="1980">
        <v>1</v>
      </c>
      <c r="I4150" s="1980">
        <f>(G4150/G$4158)*H4150</f>
        <v>9.2031587589618533E-4</v>
      </c>
      <c r="J4150" s="1981"/>
    </row>
    <row r="4151" spans="1:12" ht="15.75" customHeight="1">
      <c r="A4151" s="1780"/>
      <c r="B4151" s="1739"/>
      <c r="C4151" s="1878" t="s">
        <v>2107</v>
      </c>
      <c r="D4151" s="1841">
        <v>2.1000000000000001E-2</v>
      </c>
      <c r="E4151" s="413" t="s">
        <v>2069</v>
      </c>
      <c r="F4151" s="1883">
        <f>'Bahan &amp; Upah'!C$339</f>
        <v>102689.88</v>
      </c>
      <c r="G4151" s="1785">
        <f>F4151*D4151</f>
        <v>2156.4874800000002</v>
      </c>
      <c r="H4151" s="1980">
        <v>1</v>
      </c>
      <c r="I4151" s="1982">
        <f>(G4151/G$4158)*H4151</f>
        <v>2.2593910509649304E-4</v>
      </c>
      <c r="J4151" s="1981"/>
    </row>
    <row r="4152" spans="1:12" ht="15.75" customHeight="1">
      <c r="A4152" s="1780"/>
      <c r="B4152" s="1739"/>
      <c r="C4152" s="1889" t="s">
        <v>2108</v>
      </c>
      <c r="D4152" s="1841"/>
      <c r="E4152" s="413"/>
      <c r="F4152" s="320"/>
      <c r="G4152" s="361">
        <f>SUM(G4148:G4151)</f>
        <v>130548.15582999999</v>
      </c>
      <c r="H4152" s="1980"/>
      <c r="I4152" s="1983">
        <f>SUM(I4148:I4151)</f>
        <v>1.3677767097552411E-2</v>
      </c>
      <c r="J4152" s="1981"/>
    </row>
    <row r="4153" spans="1:12" ht="15.75" customHeight="1">
      <c r="A4153" s="1780"/>
      <c r="B4153" s="1739" t="s">
        <v>1015</v>
      </c>
      <c r="C4153" s="1877" t="s">
        <v>2075</v>
      </c>
      <c r="D4153" s="1841"/>
      <c r="E4153" s="413"/>
      <c r="F4153" s="317"/>
      <c r="G4153" s="320"/>
      <c r="H4153" s="1980"/>
      <c r="I4153" s="1980"/>
      <c r="J4153" s="1981"/>
    </row>
    <row r="4154" spans="1:12" ht="15.75" customHeight="1">
      <c r="A4154" s="1780"/>
      <c r="B4154" s="1739"/>
      <c r="C4154" s="1878" t="s">
        <v>3140</v>
      </c>
      <c r="D4154" s="1841">
        <v>1</v>
      </c>
      <c r="E4154" s="413" t="s">
        <v>360</v>
      </c>
      <c r="F4154" s="1747">
        <f>'Bahan &amp; Upah'!C$363</f>
        <v>9414003.5899999999</v>
      </c>
      <c r="G4154" s="1794">
        <f>F4154*D4154</f>
        <v>9414003.5899999999</v>
      </c>
      <c r="H4154" s="1980">
        <v>0.2321</v>
      </c>
      <c r="I4154" s="1982">
        <f>(G4154/G$4158)*H4154</f>
        <v>0.22892539025665809</v>
      </c>
      <c r="J4154" s="1981"/>
      <c r="L4154" t="s">
        <v>3141</v>
      </c>
    </row>
    <row r="4155" spans="1:12" ht="15.75" customHeight="1">
      <c r="A4155" s="1780"/>
      <c r="B4155" s="1784"/>
      <c r="C4155" s="1889" t="s">
        <v>2091</v>
      </c>
      <c r="D4155" s="1841"/>
      <c r="E4155" s="413"/>
      <c r="F4155" s="320"/>
      <c r="G4155" s="361">
        <f>SUM(G4154:G4154)</f>
        <v>9414003.5899999999</v>
      </c>
      <c r="H4155" s="1980"/>
      <c r="I4155" s="1983">
        <f>SUM(I4154)</f>
        <v>0.22892539025665809</v>
      </c>
      <c r="J4155" s="1981"/>
    </row>
    <row r="4156" spans="1:12" ht="15.75" customHeight="1">
      <c r="A4156" s="1780"/>
      <c r="B4156" s="1739" t="s">
        <v>1048</v>
      </c>
      <c r="C4156" s="1877" t="s">
        <v>2246</v>
      </c>
      <c r="D4156" s="1841"/>
      <c r="E4156" s="413"/>
      <c r="F4156" s="317"/>
      <c r="G4156" s="320"/>
      <c r="H4156" s="1980"/>
      <c r="I4156" s="1980"/>
      <c r="J4156" s="1981"/>
    </row>
    <row r="4157" spans="1:12" ht="15.75" customHeight="1">
      <c r="A4157" s="1780"/>
      <c r="B4157" s="1784"/>
      <c r="C4157" s="1878"/>
      <c r="D4157" s="1841"/>
      <c r="E4157" s="413"/>
      <c r="F4157" s="320"/>
      <c r="G4157" s="361">
        <v>0</v>
      </c>
      <c r="H4157" s="1980"/>
      <c r="I4157" s="1984"/>
      <c r="J4157" s="1981"/>
    </row>
    <row r="4158" spans="1:12" ht="15.75" customHeight="1">
      <c r="A4158" s="1780"/>
      <c r="B4158" s="1784"/>
      <c r="C4158" s="1804" t="s">
        <v>2298</v>
      </c>
      <c r="D4158" s="1763"/>
      <c r="E4158" s="1764"/>
      <c r="F4158" s="1765"/>
      <c r="G4158" s="1765">
        <f>G4152+G4155+G4157</f>
        <v>9544551.7458299994</v>
      </c>
      <c r="H4158" s="1980"/>
      <c r="I4158" s="1984">
        <f>I4152+I4155</f>
        <v>0.24260315735421051</v>
      </c>
      <c r="J4158" s="1981"/>
    </row>
    <row r="4159" spans="1:12" ht="15.75" customHeight="1">
      <c r="A4159" s="1780"/>
      <c r="B4159" s="1784"/>
      <c r="C4159" s="1762" t="s">
        <v>2094</v>
      </c>
      <c r="D4159" s="1767">
        <f>M$4</f>
        <v>0.15</v>
      </c>
      <c r="E4159" s="1768"/>
      <c r="F4159" s="1765"/>
      <c r="G4159" s="1765">
        <f>G4158*D4159</f>
        <v>1431682.7618745</v>
      </c>
      <c r="H4159" s="1980"/>
      <c r="I4159" s="1984"/>
      <c r="J4159" s="1981"/>
    </row>
    <row r="4160" spans="1:12" ht="15.75" customHeight="1">
      <c r="A4160" s="1786"/>
      <c r="B4160" s="1890"/>
      <c r="C4160" s="1788" t="s">
        <v>2111</v>
      </c>
      <c r="D4160" s="1772"/>
      <c r="E4160" s="1773"/>
      <c r="F4160" s="1774"/>
      <c r="G4160" s="1998">
        <f>ROUNDUP((G4158+G4159),2)</f>
        <v>10976234.51</v>
      </c>
      <c r="H4160" s="2007"/>
      <c r="I4160" s="2091"/>
      <c r="J4160" s="2008"/>
    </row>
    <row r="4161" spans="1:10" ht="15.75" customHeight="1">
      <c r="A4161" s="1733"/>
      <c r="B4161" s="1733"/>
      <c r="C4161" s="1733"/>
      <c r="D4161" s="1733"/>
      <c r="E4161" s="1733"/>
      <c r="F4161" s="1733"/>
      <c r="G4161" s="1733"/>
      <c r="H4161" s="1733"/>
      <c r="I4161" s="1733"/>
      <c r="J4161" s="1733"/>
    </row>
    <row r="4162" spans="1:10" ht="15.75" customHeight="1">
      <c r="A4162" s="1778">
        <f>A4146+1</f>
        <v>234</v>
      </c>
      <c r="B4162" s="1871" t="s">
        <v>2534</v>
      </c>
      <c r="C4162" s="2117" t="s">
        <v>3142</v>
      </c>
      <c r="D4162" s="2106"/>
      <c r="E4162" s="1874"/>
      <c r="F4162" s="1875"/>
      <c r="G4162" s="1875"/>
      <c r="H4162" s="1875"/>
      <c r="I4162" s="1875"/>
      <c r="J4162" s="1876"/>
    </row>
    <row r="4163" spans="1:10" ht="15.75" customHeight="1">
      <c r="A4163" s="1780"/>
      <c r="B4163" s="1739" t="s">
        <v>1004</v>
      </c>
      <c r="C4163" s="1877" t="s">
        <v>2067</v>
      </c>
      <c r="D4163" s="343"/>
      <c r="E4163" s="413"/>
      <c r="F4163" s="320"/>
      <c r="G4163" s="320"/>
      <c r="H4163" s="2075"/>
      <c r="I4163" s="1782"/>
      <c r="J4163" s="2076"/>
    </row>
    <row r="4164" spans="1:10" ht="15.75" customHeight="1">
      <c r="A4164" s="1780"/>
      <c r="B4164" s="1739"/>
      <c r="C4164" s="1878" t="s">
        <v>2103</v>
      </c>
      <c r="D4164" s="1781">
        <v>0.76039999999999996</v>
      </c>
      <c r="E4164" s="413" t="s">
        <v>2069</v>
      </c>
      <c r="F4164" s="1747">
        <f>'Bahan &amp; Upah'!C$336</f>
        <v>96332.65</v>
      </c>
      <c r="G4164" s="361">
        <f>F4164*D4164</f>
        <v>73251.347059999986</v>
      </c>
      <c r="H4164" s="2107">
        <v>1</v>
      </c>
      <c r="I4164" s="2036">
        <f>(G4164/G$3849)*H4164</f>
        <v>0.29029959610630968</v>
      </c>
      <c r="J4164" s="2076"/>
    </row>
    <row r="4165" spans="1:10" ht="15.75" customHeight="1">
      <c r="A4165" s="1780"/>
      <c r="B4165" s="1739"/>
      <c r="C4165" s="1878" t="s">
        <v>3060</v>
      </c>
      <c r="D4165" s="1781">
        <f>D4164</f>
        <v>0.76039999999999996</v>
      </c>
      <c r="E4165" s="413" t="s">
        <v>2069</v>
      </c>
      <c r="F4165" s="1883">
        <f>'Bahan &amp; Upah'!C$337</f>
        <v>114133.55</v>
      </c>
      <c r="G4165" s="361">
        <f>F4165*D4165</f>
        <v>86787.151419999995</v>
      </c>
      <c r="H4165" s="2107">
        <v>1</v>
      </c>
      <c r="I4165" s="2036">
        <f>(G4165/G$3849)*H4165</f>
        <v>0.34394282174506052</v>
      </c>
      <c r="J4165" s="2076"/>
    </row>
    <row r="4166" spans="1:10" ht="15.75" customHeight="1">
      <c r="A4166" s="1780"/>
      <c r="B4166" s="1739"/>
      <c r="C4166" s="1878" t="s">
        <v>2105</v>
      </c>
      <c r="D4166" s="1781">
        <f>D4165/10</f>
        <v>7.6039999999999996E-2</v>
      </c>
      <c r="E4166" s="413" t="s">
        <v>2069</v>
      </c>
      <c r="F4166" s="1748">
        <f>'Bahan &amp; Upah'!C$338</f>
        <v>125485.75</v>
      </c>
      <c r="G4166" s="361">
        <f>F4166*D4166</f>
        <v>9541.9364299999997</v>
      </c>
      <c r="H4166" s="2107">
        <v>1</v>
      </c>
      <c r="I4166" s="2036">
        <f>(G4166/G$3849)*H4166</f>
        <v>3.7815281259362586E-2</v>
      </c>
      <c r="J4166" s="2076"/>
    </row>
    <row r="4167" spans="1:10" ht="15.75" customHeight="1">
      <c r="A4167" s="1780"/>
      <c r="B4167" s="1739"/>
      <c r="C4167" s="1878" t="s">
        <v>2107</v>
      </c>
      <c r="D4167" s="2108">
        <v>2.53E-2</v>
      </c>
      <c r="E4167" s="413" t="s">
        <v>2069</v>
      </c>
      <c r="F4167" s="1748">
        <f>'Bahan &amp; Upah'!C$339</f>
        <v>102689.88</v>
      </c>
      <c r="G4167" s="1785">
        <f>F4167*D4167</f>
        <v>2598.0539640000002</v>
      </c>
      <c r="H4167" s="2109">
        <v>1</v>
      </c>
      <c r="I4167" s="2036">
        <f>(G4167/G$3849)*H4167</f>
        <v>1.0296247737175702E-2</v>
      </c>
      <c r="J4167" s="2076"/>
    </row>
    <row r="4168" spans="1:10" ht="15.75" customHeight="1">
      <c r="A4168" s="1780"/>
      <c r="B4168" s="1739"/>
      <c r="C4168" s="1889" t="s">
        <v>2108</v>
      </c>
      <c r="D4168" s="2108"/>
      <c r="E4168" s="413"/>
      <c r="F4168" s="1748"/>
      <c r="G4168" s="361">
        <f>SUM(G4164:G4167)</f>
        <v>172178.48887399997</v>
      </c>
      <c r="H4168" s="2084"/>
      <c r="I4168" s="1910">
        <f>SUM(I4164:I4167)</f>
        <v>0.68235394684790851</v>
      </c>
      <c r="J4168" s="2076"/>
    </row>
    <row r="4169" spans="1:10" ht="15.75" customHeight="1">
      <c r="A4169" s="1780"/>
      <c r="B4169" s="1739" t="s">
        <v>1015</v>
      </c>
      <c r="C4169" s="1877" t="s">
        <v>2075</v>
      </c>
      <c r="D4169" s="2108"/>
      <c r="E4169" s="413"/>
      <c r="F4169" s="320"/>
      <c r="G4169" s="320"/>
      <c r="H4169" s="2075"/>
      <c r="I4169" s="1782"/>
      <c r="J4169" s="2076"/>
    </row>
    <row r="4170" spans="1:10" ht="12.75" customHeight="1">
      <c r="A4170" s="1780"/>
      <c r="B4170" s="1739"/>
      <c r="C4170" s="2079" t="s">
        <v>3065</v>
      </c>
      <c r="D4170" s="2108">
        <v>0.96030000000000004</v>
      </c>
      <c r="E4170" s="413" t="s">
        <v>10</v>
      </c>
      <c r="F4170" s="1748">
        <f>'Bahan &amp; Upah'!C$69/6</f>
        <v>14955.876666666665</v>
      </c>
      <c r="G4170" s="1794">
        <f>F4170*D4170</f>
        <v>14362.128363</v>
      </c>
      <c r="H4170" s="2107">
        <v>0.2321</v>
      </c>
      <c r="I4170" s="2036">
        <f>(G4170/G$3849)*H4170</f>
        <v>1.3210667454770812E-2</v>
      </c>
      <c r="J4170" s="2076"/>
    </row>
    <row r="4171" spans="1:10" ht="15.75" customHeight="1">
      <c r="A4171" s="1780"/>
      <c r="B4171" s="1909"/>
      <c r="C4171" s="1889" t="s">
        <v>2091</v>
      </c>
      <c r="D4171" s="2110"/>
      <c r="E4171" s="333"/>
      <c r="F4171" s="328"/>
      <c r="G4171" s="361">
        <f>SUM(G4170:G4170)</f>
        <v>14362.128363</v>
      </c>
      <c r="H4171" s="2084"/>
      <c r="I4171" s="2111">
        <f>SUM(I4170:I4170)</f>
        <v>1.3210667454770812E-2</v>
      </c>
      <c r="J4171" s="2076"/>
    </row>
    <row r="4172" spans="1:10" ht="15.75" customHeight="1">
      <c r="A4172" s="1780"/>
      <c r="B4172" s="1739" t="s">
        <v>1048</v>
      </c>
      <c r="C4172" s="1877" t="s">
        <v>2246</v>
      </c>
      <c r="D4172" s="2110"/>
      <c r="E4172" s="333"/>
      <c r="F4172" s="328"/>
      <c r="G4172" s="332"/>
      <c r="H4172" s="2075"/>
      <c r="I4172" s="1910"/>
      <c r="J4172" s="2076"/>
    </row>
    <row r="4173" spans="1:10" ht="15.75" customHeight="1">
      <c r="A4173" s="1780"/>
      <c r="B4173" s="1784"/>
      <c r="C4173" s="2082" t="s">
        <v>2110</v>
      </c>
      <c r="D4173" s="2112"/>
      <c r="E4173" s="1882"/>
      <c r="F4173" s="1845"/>
      <c r="G4173" s="1966"/>
      <c r="H4173" s="2084"/>
      <c r="I4173" s="1910"/>
      <c r="J4173" s="2085"/>
    </row>
    <row r="4174" spans="1:10" ht="15.75" customHeight="1">
      <c r="A4174" s="1780"/>
      <c r="B4174" s="1739" t="s">
        <v>979</v>
      </c>
      <c r="C4174" s="1804" t="s">
        <v>2129</v>
      </c>
      <c r="D4174" s="2113"/>
      <c r="E4174" s="1764"/>
      <c r="F4174" s="1765"/>
      <c r="G4174" s="1765">
        <f>G4168+G4171</f>
        <v>186540.61723699997</v>
      </c>
      <c r="H4174" s="2075"/>
      <c r="I4174" s="1782"/>
      <c r="J4174" s="2076"/>
    </row>
    <row r="4175" spans="1:10" ht="15.75" customHeight="1">
      <c r="A4175" s="1780"/>
      <c r="B4175" s="1739" t="s">
        <v>2093</v>
      </c>
      <c r="C4175" s="1762" t="s">
        <v>2094</v>
      </c>
      <c r="D4175" s="1823">
        <f>M$4</f>
        <v>0.15</v>
      </c>
      <c r="E4175" s="1768"/>
      <c r="F4175" s="1765"/>
      <c r="G4175" s="1765">
        <f>G4174*D4175</f>
        <v>27981.092585549995</v>
      </c>
      <c r="H4175" s="2075"/>
      <c r="I4175" s="1862">
        <f>I4168+I4171</f>
        <v>0.69556461430267935</v>
      </c>
      <c r="J4175" s="2076"/>
    </row>
    <row r="4176" spans="1:10" ht="15.75" customHeight="1">
      <c r="A4176" s="1786"/>
      <c r="B4176" s="1787" t="s">
        <v>2095</v>
      </c>
      <c r="C4176" s="1788" t="s">
        <v>2111</v>
      </c>
      <c r="D4176" s="2114"/>
      <c r="E4176" s="1773"/>
      <c r="F4176" s="1774"/>
      <c r="G4176" s="2115">
        <f>ROUNDUP((G4174+G4175),2)</f>
        <v>214521.71000000002</v>
      </c>
      <c r="H4176" s="2087"/>
      <c r="I4176" s="2010"/>
      <c r="J4176" s="2088"/>
    </row>
    <row r="4177" spans="1:12" ht="15.75" customHeight="1">
      <c r="A4177" s="1733"/>
      <c r="B4177" s="1733"/>
      <c r="C4177" s="1733"/>
      <c r="D4177" s="1733"/>
      <c r="E4177" s="1733"/>
      <c r="F4177" s="1733"/>
      <c r="G4177" s="1733"/>
      <c r="H4177" s="1733"/>
      <c r="I4177" s="1733"/>
      <c r="J4177" s="1733"/>
    </row>
    <row r="4178" spans="1:12" ht="30" customHeight="1">
      <c r="A4178" s="1778">
        <f>A4162+1</f>
        <v>235</v>
      </c>
      <c r="B4178" s="1871" t="s">
        <v>2147</v>
      </c>
      <c r="C4178" s="1872" t="s">
        <v>3143</v>
      </c>
      <c r="D4178" s="1873"/>
      <c r="E4178" s="1874"/>
      <c r="F4178" s="1875"/>
      <c r="G4178" s="1875"/>
      <c r="H4178" s="1895"/>
      <c r="I4178" s="1895"/>
      <c r="J4178" s="1828"/>
    </row>
    <row r="4179" spans="1:12" ht="15.75" customHeight="1">
      <c r="A4179" s="1780"/>
      <c r="B4179" s="1739" t="s">
        <v>1004</v>
      </c>
      <c r="C4179" s="1877" t="s">
        <v>2067</v>
      </c>
      <c r="D4179" s="390"/>
      <c r="E4179" s="413"/>
      <c r="F4179" s="320"/>
      <c r="G4179" s="320"/>
      <c r="H4179" s="2100"/>
      <c r="I4179" s="2100"/>
      <c r="J4179" s="2101"/>
    </row>
    <row r="4180" spans="1:12" ht="15.75" customHeight="1">
      <c r="A4180" s="1780"/>
      <c r="B4180" s="1739"/>
      <c r="C4180" s="1878" t="s">
        <v>2998</v>
      </c>
      <c r="D4180" s="1841">
        <v>1</v>
      </c>
      <c r="E4180" s="413" t="s">
        <v>124</v>
      </c>
      <c r="F4180" s="1747">
        <f>F4183*10%</f>
        <v>592381.95900000003</v>
      </c>
      <c r="G4180" s="1785">
        <f>F4180*D4180</f>
        <v>592381.95900000003</v>
      </c>
      <c r="H4180" s="2015">
        <v>1</v>
      </c>
      <c r="I4180" s="2016">
        <f>(G4180/G$4187)*H4180</f>
        <v>9.0909090909090925E-2</v>
      </c>
      <c r="J4180" s="1783"/>
    </row>
    <row r="4181" spans="1:12" ht="15.75" customHeight="1">
      <c r="A4181" s="1780"/>
      <c r="B4181" s="1739"/>
      <c r="C4181" s="1889" t="s">
        <v>2108</v>
      </c>
      <c r="D4181" s="1841"/>
      <c r="E4181" s="413"/>
      <c r="F4181" s="320"/>
      <c r="G4181" s="361">
        <f>SUM(G4180:G4180)</f>
        <v>592381.95900000003</v>
      </c>
      <c r="H4181" s="2015"/>
      <c r="I4181" s="2017">
        <f>SUM(I4180)</f>
        <v>9.0909090909090925E-2</v>
      </c>
      <c r="J4181" s="1783"/>
    </row>
    <row r="4182" spans="1:12" ht="15.75" customHeight="1">
      <c r="A4182" s="1780"/>
      <c r="B4182" s="1739" t="s">
        <v>1015</v>
      </c>
      <c r="C4182" s="1877" t="s">
        <v>2075</v>
      </c>
      <c r="D4182" s="1841"/>
      <c r="E4182" s="413"/>
      <c r="F4182" s="317"/>
      <c r="G4182" s="320"/>
      <c r="H4182" s="1782"/>
      <c r="I4182" s="1782"/>
      <c r="J4182" s="1783"/>
    </row>
    <row r="4183" spans="1:12" ht="15.75" customHeight="1">
      <c r="A4183" s="1780"/>
      <c r="B4183" s="1739"/>
      <c r="C4183" s="1878" t="s">
        <v>3144</v>
      </c>
      <c r="D4183" s="1841">
        <v>1</v>
      </c>
      <c r="E4183" s="413" t="s">
        <v>360</v>
      </c>
      <c r="F4183" s="1747">
        <f>'Bahan &amp; Upah'!C368</f>
        <v>5923819.5899999999</v>
      </c>
      <c r="G4183" s="1785">
        <f>F4183*D4183</f>
        <v>5923819.5899999999</v>
      </c>
      <c r="H4183" s="2015">
        <v>0.49809999999999999</v>
      </c>
      <c r="I4183" s="2016">
        <f>(G4183/G$4187)*H4183</f>
        <v>0.45281818181818184</v>
      </c>
      <c r="J4183" s="1783"/>
      <c r="L4183" t="s">
        <v>3145</v>
      </c>
    </row>
    <row r="4184" spans="1:12" ht="15.75" customHeight="1">
      <c r="A4184" s="1780"/>
      <c r="B4184" s="1784"/>
      <c r="C4184" s="1889" t="s">
        <v>2091</v>
      </c>
      <c r="D4184" s="1841"/>
      <c r="E4184" s="413"/>
      <c r="F4184" s="320"/>
      <c r="G4184" s="361">
        <f>SUM(G4183:G4183)</f>
        <v>5923819.5899999999</v>
      </c>
      <c r="H4184" s="1782"/>
      <c r="I4184" s="2017">
        <f>SUM(I4183)</f>
        <v>0.45281818181818184</v>
      </c>
      <c r="J4184" s="1783"/>
    </row>
    <row r="4185" spans="1:12" ht="15.75" customHeight="1">
      <c r="A4185" s="1780"/>
      <c r="B4185" s="1739" t="s">
        <v>1048</v>
      </c>
      <c r="C4185" s="1877" t="s">
        <v>2246</v>
      </c>
      <c r="D4185" s="1841"/>
      <c r="E4185" s="413"/>
      <c r="F4185" s="317"/>
      <c r="G4185" s="320"/>
      <c r="H4185" s="1782"/>
      <c r="I4185" s="1782"/>
      <c r="J4185" s="1783"/>
    </row>
    <row r="4186" spans="1:12" ht="15.75" customHeight="1">
      <c r="A4186" s="1780"/>
      <c r="B4186" s="1784"/>
      <c r="C4186" s="1878"/>
      <c r="D4186" s="1841"/>
      <c r="E4186" s="413"/>
      <c r="F4186" s="320"/>
      <c r="G4186" s="361">
        <v>0</v>
      </c>
      <c r="H4186" s="1782"/>
      <c r="I4186" s="1782"/>
      <c r="J4186" s="1783"/>
    </row>
    <row r="4187" spans="1:12" ht="15.75" customHeight="1">
      <c r="A4187" s="1780"/>
      <c r="B4187" s="1784"/>
      <c r="C4187" s="1804" t="s">
        <v>2298</v>
      </c>
      <c r="D4187" s="1763"/>
      <c r="E4187" s="1764"/>
      <c r="F4187" s="1765"/>
      <c r="G4187" s="1765">
        <f>G4181+G4184+G4186</f>
        <v>6516201.5489999996</v>
      </c>
      <c r="H4187" s="1782"/>
      <c r="I4187" s="1862">
        <f>I4181+I4184</f>
        <v>0.54372727272727273</v>
      </c>
      <c r="J4187" s="1783"/>
    </row>
    <row r="4188" spans="1:12" ht="15.75" customHeight="1">
      <c r="A4188" s="1780"/>
      <c r="B4188" s="1784"/>
      <c r="C4188" s="1762" t="s">
        <v>2094</v>
      </c>
      <c r="D4188" s="1767">
        <f>M$4</f>
        <v>0.15</v>
      </c>
      <c r="E4188" s="1768"/>
      <c r="F4188" s="1765"/>
      <c r="G4188" s="1765">
        <f>G4187*D4188</f>
        <v>977430.23234999995</v>
      </c>
      <c r="H4188" s="1782"/>
      <c r="I4188" s="1782"/>
      <c r="J4188" s="1783"/>
    </row>
    <row r="4189" spans="1:12" ht="15.75" customHeight="1">
      <c r="A4189" s="1786"/>
      <c r="B4189" s="1890"/>
      <c r="C4189" s="1788" t="s">
        <v>2111</v>
      </c>
      <c r="D4189" s="1772"/>
      <c r="E4189" s="1773"/>
      <c r="F4189" s="1774"/>
      <c r="G4189" s="1998">
        <f>ROUNDUP((G4187+G4188),2)</f>
        <v>7493631.79</v>
      </c>
      <c r="H4189" s="2010"/>
      <c r="I4189" s="2010"/>
      <c r="J4189" s="1893"/>
    </row>
    <row r="4190" spans="1:12" ht="15.75" customHeight="1">
      <c r="A4190" s="1733"/>
      <c r="B4190" s="1733"/>
      <c r="C4190" s="1733"/>
      <c r="D4190" s="1733"/>
      <c r="E4190" s="1733"/>
      <c r="F4190" s="1733"/>
      <c r="G4190" s="1733"/>
      <c r="H4190" s="1733"/>
      <c r="I4190" s="1733"/>
      <c r="J4190" s="1733"/>
    </row>
    <row r="4191" spans="1:12" ht="15.75" customHeight="1">
      <c r="A4191" s="1778">
        <f>A4178+1</f>
        <v>236</v>
      </c>
      <c r="B4191" s="1805" t="s">
        <v>3146</v>
      </c>
      <c r="C4191" s="1872" t="s">
        <v>3147</v>
      </c>
      <c r="D4191" s="1971"/>
      <c r="E4191" s="1874"/>
      <c r="F4191" s="1875"/>
      <c r="G4191" s="1875"/>
      <c r="H4191" s="1895"/>
      <c r="I4191" s="1895"/>
      <c r="J4191" s="1828"/>
    </row>
    <row r="4192" spans="1:12" ht="15.75" customHeight="1">
      <c r="A4192" s="1780"/>
      <c r="B4192" s="1739" t="s">
        <v>1004</v>
      </c>
      <c r="C4192" s="1877" t="s">
        <v>2067</v>
      </c>
      <c r="D4192" s="390"/>
      <c r="E4192" s="413"/>
      <c r="F4192" s="320"/>
      <c r="G4192" s="320"/>
      <c r="H4192" s="1802"/>
      <c r="I4192" s="1802"/>
      <c r="J4192" s="1803"/>
    </row>
    <row r="4193" spans="1:10" ht="15.75" customHeight="1">
      <c r="A4193" s="1780"/>
      <c r="B4193" s="1739"/>
      <c r="C4193" s="1878" t="s">
        <v>2103</v>
      </c>
      <c r="D4193" s="1781">
        <v>0.129</v>
      </c>
      <c r="E4193" s="413" t="s">
        <v>2069</v>
      </c>
      <c r="F4193" s="1747">
        <f>'Bahan &amp; Upah'!C$336</f>
        <v>96332.65</v>
      </c>
      <c r="G4193" s="361">
        <f>F4193*D4193</f>
        <v>12426.91185</v>
      </c>
      <c r="H4193" s="1749">
        <v>1</v>
      </c>
      <c r="I4193" s="1749">
        <f>(G4193/G$4204)*H4193</f>
        <v>0.1060258887198423</v>
      </c>
      <c r="J4193" s="1750"/>
    </row>
    <row r="4194" spans="1:10" ht="15.75" customHeight="1">
      <c r="A4194" s="1780"/>
      <c r="B4194" s="1739"/>
      <c r="C4194" s="1878" t="s">
        <v>2071</v>
      </c>
      <c r="D4194" s="1781">
        <v>0.215</v>
      </c>
      <c r="E4194" s="413" t="s">
        <v>2069</v>
      </c>
      <c r="F4194" s="1883">
        <f>'Bahan &amp; Upah'!C$337</f>
        <v>114133.55</v>
      </c>
      <c r="G4194" s="361">
        <f>F4194*D4194</f>
        <v>24538.713250000001</v>
      </c>
      <c r="H4194" s="1749">
        <v>1</v>
      </c>
      <c r="I4194" s="1749">
        <f>(G4194/G$4204)*H4194</f>
        <v>0.20936326834672281</v>
      </c>
      <c r="J4194" s="1750"/>
    </row>
    <row r="4195" spans="1:10" ht="15.75" customHeight="1">
      <c r="A4195" s="1780"/>
      <c r="B4195" s="1739"/>
      <c r="C4195" s="1878" t="s">
        <v>2072</v>
      </c>
      <c r="D4195" s="1781">
        <v>2.1000000000000001E-2</v>
      </c>
      <c r="E4195" s="413" t="s">
        <v>2069</v>
      </c>
      <c r="F4195" s="1748">
        <f>'Bahan &amp; Upah'!C$338</f>
        <v>125485.75</v>
      </c>
      <c r="G4195" s="361">
        <f>F4195*D4195</f>
        <v>2635.20075</v>
      </c>
      <c r="H4195" s="1749">
        <v>1</v>
      </c>
      <c r="I4195" s="1749">
        <f>(G4195/G$4204)*H4195</f>
        <v>2.2483421854637597E-2</v>
      </c>
      <c r="J4195" s="1750"/>
    </row>
    <row r="4196" spans="1:10" ht="15.75" customHeight="1">
      <c r="A4196" s="1780"/>
      <c r="B4196" s="1739"/>
      <c r="C4196" s="1878" t="s">
        <v>2107</v>
      </c>
      <c r="D4196" s="1781">
        <v>7.0000000000000001E-3</v>
      </c>
      <c r="E4196" s="413" t="s">
        <v>2069</v>
      </c>
      <c r="F4196" s="1883">
        <f>'Bahan &amp; Upah'!C$339</f>
        <v>102689.88</v>
      </c>
      <c r="G4196" s="1785">
        <f>F4196*D4196</f>
        <v>718.82916</v>
      </c>
      <c r="H4196" s="1749">
        <v>1</v>
      </c>
      <c r="I4196" s="1752">
        <f>(G4196/G$4204)*H4196</f>
        <v>6.1330201297547394E-3</v>
      </c>
      <c r="J4196" s="1750"/>
    </row>
    <row r="4197" spans="1:10" ht="15.75" customHeight="1">
      <c r="A4197" s="1780"/>
      <c r="B4197" s="1739"/>
      <c r="C4197" s="1889" t="s">
        <v>2108</v>
      </c>
      <c r="D4197" s="1781"/>
      <c r="E4197" s="413"/>
      <c r="F4197" s="320"/>
      <c r="G4197" s="361">
        <f>SUM(G4193:G4196)</f>
        <v>40319.655010000009</v>
      </c>
      <c r="H4197" s="1749"/>
      <c r="I4197" s="1994">
        <f>SUM(I4193:I4196)</f>
        <v>0.34400559905095746</v>
      </c>
      <c r="J4197" s="1750"/>
    </row>
    <row r="4198" spans="1:10" ht="15.75" customHeight="1">
      <c r="A4198" s="1780"/>
      <c r="B4198" s="1739" t="s">
        <v>1015</v>
      </c>
      <c r="C4198" s="1877" t="s">
        <v>2075</v>
      </c>
      <c r="D4198" s="1781"/>
      <c r="E4198" s="413"/>
      <c r="F4198" s="320"/>
      <c r="G4198" s="320"/>
      <c r="H4198" s="1749"/>
      <c r="I4198" s="1994"/>
      <c r="J4198" s="1750"/>
    </row>
    <row r="4199" spans="1:10" ht="15.75" customHeight="1">
      <c r="A4199" s="1780"/>
      <c r="B4199" s="1739"/>
      <c r="C4199" s="1878" t="s">
        <v>3148</v>
      </c>
      <c r="D4199" s="1781">
        <v>1.5</v>
      </c>
      <c r="E4199" s="413" t="s">
        <v>117</v>
      </c>
      <c r="F4199" s="1747">
        <f>'Bahan &amp; Upah'!C$369/4</f>
        <v>46999.392500000002</v>
      </c>
      <c r="G4199" s="345">
        <f>F4199*D4199</f>
        <v>70499.088749999995</v>
      </c>
      <c r="H4199" s="1749">
        <v>0.89800000000000002</v>
      </c>
      <c r="I4199" s="1749">
        <f>(G4199/G$4204)*H4199</f>
        <v>0.54014274091070269</v>
      </c>
      <c r="J4199" s="1750"/>
    </row>
    <row r="4200" spans="1:10" ht="15.75" customHeight="1">
      <c r="A4200" s="1780"/>
      <c r="B4200" s="1739"/>
      <c r="C4200" s="1878" t="s">
        <v>2880</v>
      </c>
      <c r="D4200" s="1781">
        <f>1.2</f>
        <v>1.2</v>
      </c>
      <c r="E4200" s="413" t="s">
        <v>124</v>
      </c>
      <c r="F4200" s="1883">
        <f>'Bahan &amp; Upah'!C$277</f>
        <v>5323.04</v>
      </c>
      <c r="G4200" s="1794">
        <f>F4200*D4200</f>
        <v>6387.6480000000001</v>
      </c>
      <c r="H4200" s="1749">
        <v>0.56079999999999997</v>
      </c>
      <c r="I4200" s="1752">
        <f>(G4200/G$4204)*H4200</f>
        <v>3.0563119848746378E-2</v>
      </c>
      <c r="J4200" s="1750"/>
    </row>
    <row r="4201" spans="1:10" ht="15.75" customHeight="1">
      <c r="A4201" s="1780"/>
      <c r="B4201" s="1784"/>
      <c r="C4201" s="1878"/>
      <c r="D4201" s="1781"/>
      <c r="E4201" s="413"/>
      <c r="F4201" s="1883"/>
      <c r="G4201" s="345">
        <f>SUM(G4199:G4200)</f>
        <v>76886.736749999996</v>
      </c>
      <c r="H4201" s="1749"/>
      <c r="I4201" s="1994">
        <f>SUM(I4199:I4200)</f>
        <v>0.57070586075944907</v>
      </c>
      <c r="J4201" s="1750"/>
    </row>
    <row r="4202" spans="1:10" ht="15.75" customHeight="1">
      <c r="A4202" s="1780"/>
      <c r="B4202" s="1739" t="s">
        <v>1048</v>
      </c>
      <c r="C4202" s="1877" t="s">
        <v>2246</v>
      </c>
      <c r="D4202" s="1756"/>
      <c r="E4202" s="333"/>
      <c r="F4202" s="1883"/>
      <c r="G4202" s="345"/>
      <c r="H4202" s="1749"/>
      <c r="I4202" s="1749"/>
      <c r="J4202" s="1750"/>
    </row>
    <row r="4203" spans="1:10" ht="15.75" customHeight="1">
      <c r="A4203" s="1780"/>
      <c r="B4203" s="1909"/>
      <c r="C4203" s="1878"/>
      <c r="D4203" s="1756"/>
      <c r="E4203" s="333"/>
      <c r="F4203" s="328"/>
      <c r="G4203" s="361">
        <v>0</v>
      </c>
      <c r="H4203" s="1749"/>
      <c r="I4203" s="1749"/>
      <c r="J4203" s="1750"/>
    </row>
    <row r="4204" spans="1:10" ht="15.75" customHeight="1">
      <c r="A4204" s="1780"/>
      <c r="B4204" s="1784"/>
      <c r="C4204" s="1804" t="s">
        <v>2242</v>
      </c>
      <c r="D4204" s="1763"/>
      <c r="E4204" s="1764"/>
      <c r="F4204" s="1765"/>
      <c r="G4204" s="1765">
        <f>G4197+G4201+G4203</f>
        <v>117206.39176</v>
      </c>
      <c r="H4204" s="1749"/>
      <c r="I4204" s="1766">
        <f>I4197+I4201+I4203</f>
        <v>0.91471145981040647</v>
      </c>
      <c r="J4204" s="1750"/>
    </row>
    <row r="4205" spans="1:10" ht="15.75" customHeight="1">
      <c r="A4205" s="1780"/>
      <c r="B4205" s="1784"/>
      <c r="C4205" s="1762" t="s">
        <v>2094</v>
      </c>
      <c r="D4205" s="1767">
        <f>M$4</f>
        <v>0.15</v>
      </c>
      <c r="E4205" s="1768"/>
      <c r="F4205" s="1765"/>
      <c r="G4205" s="1765">
        <f>G4204*D4205</f>
        <v>17580.958763999999</v>
      </c>
      <c r="H4205" s="1749"/>
      <c r="I4205" s="1749"/>
      <c r="J4205" s="1750"/>
    </row>
    <row r="4206" spans="1:10" ht="15.75" customHeight="1">
      <c r="A4206" s="1786"/>
      <c r="B4206" s="1890"/>
      <c r="C4206" s="1788" t="s">
        <v>2111</v>
      </c>
      <c r="D4206" s="1772"/>
      <c r="E4206" s="1773"/>
      <c r="F4206" s="1774"/>
      <c r="G4206" s="1775">
        <f>ROUNDUP((G4204+G4205),2)</f>
        <v>134787.36000000002</v>
      </c>
      <c r="H4206" s="1937"/>
      <c r="I4206" s="1937"/>
      <c r="J4206" s="1938"/>
    </row>
    <row r="4207" spans="1:10" ht="15.75" customHeight="1">
      <c r="A4207" s="28"/>
      <c r="B4207" s="28"/>
      <c r="C4207" s="28"/>
      <c r="D4207" s="28"/>
      <c r="E4207" s="28"/>
      <c r="F4207" s="28"/>
      <c r="G4207" s="28"/>
      <c r="H4207" s="28"/>
      <c r="I4207" s="28"/>
      <c r="J4207" s="28"/>
    </row>
    <row r="4208" spans="1:10" ht="19.5" customHeight="1">
      <c r="A4208" s="2118">
        <f>A4191+1</f>
        <v>237</v>
      </c>
      <c r="B4208" s="2119" t="s">
        <v>3081</v>
      </c>
      <c r="C4208" s="2128" t="s">
        <v>887</v>
      </c>
      <c r="D4208" s="2121"/>
      <c r="E4208" s="2122"/>
      <c r="F4208" s="2128"/>
      <c r="G4208" s="2129"/>
      <c r="H4208" s="2129"/>
      <c r="I4208" s="2129"/>
      <c r="J4208" s="1828"/>
    </row>
    <row r="4209" spans="1:10" ht="15.75" customHeight="1">
      <c r="A4209" s="440"/>
      <c r="B4209" s="1739" t="s">
        <v>1004</v>
      </c>
      <c r="C4209" s="1896" t="s">
        <v>2067</v>
      </c>
      <c r="D4209" s="343"/>
      <c r="E4209" s="413"/>
      <c r="F4209" s="320"/>
      <c r="G4209" s="320"/>
      <c r="H4209" s="320"/>
      <c r="I4209" s="320"/>
      <c r="J4209" s="1803"/>
    </row>
    <row r="4210" spans="1:10" ht="15.75" customHeight="1">
      <c r="A4210" s="1780"/>
      <c r="B4210" s="1739"/>
      <c r="C4210" s="1878" t="s">
        <v>2103</v>
      </c>
      <c r="D4210" s="2123">
        <v>0.04</v>
      </c>
      <c r="E4210" s="413" t="s">
        <v>2069</v>
      </c>
      <c r="F4210" s="1747">
        <f>'Bahan &amp; Upah'!C$336</f>
        <v>96332.65</v>
      </c>
      <c r="G4210" s="361">
        <f>F4210*D4210</f>
        <v>3853.306</v>
      </c>
      <c r="H4210" s="1749">
        <v>1</v>
      </c>
      <c r="I4210" s="1749">
        <f>(G4210/G$4228)*H4210</f>
        <v>5.560137589238439E-3</v>
      </c>
      <c r="J4210" s="1803"/>
    </row>
    <row r="4211" spans="1:10" ht="15.75" customHeight="1">
      <c r="A4211" s="1780"/>
      <c r="B4211" s="1739"/>
      <c r="C4211" s="1878" t="s">
        <v>2445</v>
      </c>
      <c r="D4211" s="2123">
        <v>0.04</v>
      </c>
      <c r="E4211" s="413" t="s">
        <v>2069</v>
      </c>
      <c r="F4211" s="1883">
        <f>'Bahan &amp; Upah'!C$337</f>
        <v>114133.55</v>
      </c>
      <c r="G4211" s="361">
        <f>F4211*D4211</f>
        <v>4565.3420000000006</v>
      </c>
      <c r="H4211" s="1749">
        <v>1</v>
      </c>
      <c r="I4211" s="1749">
        <f>(G4211/G$4228)*H4211</f>
        <v>6.5875717272204691E-3</v>
      </c>
      <c r="J4211" s="1803"/>
    </row>
    <row r="4212" spans="1:10" ht="15.75" customHeight="1">
      <c r="A4212" s="1780"/>
      <c r="B4212" s="1739"/>
      <c r="C4212" s="1878" t="s">
        <v>2105</v>
      </c>
      <c r="D4212" s="2123">
        <v>1.2999999999999999E-2</v>
      </c>
      <c r="E4212" s="413" t="s">
        <v>2069</v>
      </c>
      <c r="F4212" s="1748">
        <f>'Bahan &amp; Upah'!C$338</f>
        <v>125485.75</v>
      </c>
      <c r="G4212" s="361">
        <f>F4212*D4212</f>
        <v>1631.31475</v>
      </c>
      <c r="H4212" s="1749">
        <v>1</v>
      </c>
      <c r="I4212" s="1749">
        <f>(G4212/G$4228)*H4212</f>
        <v>2.3539097235864754E-3</v>
      </c>
      <c r="J4212" s="1803"/>
    </row>
    <row r="4213" spans="1:10" ht="15.75" customHeight="1">
      <c r="A4213" s="1780"/>
      <c r="B4213" s="1739"/>
      <c r="C4213" s="1878" t="s">
        <v>2107</v>
      </c>
      <c r="D4213" s="2108">
        <v>4.3E-3</v>
      </c>
      <c r="E4213" s="413" t="s">
        <v>2069</v>
      </c>
      <c r="F4213" s="1883">
        <f>'Bahan &amp; Upah'!C$339</f>
        <v>102689.88</v>
      </c>
      <c r="G4213" s="1794">
        <f>F4213*D4213</f>
        <v>441.566484</v>
      </c>
      <c r="H4213" s="1749">
        <v>1</v>
      </c>
      <c r="I4213" s="1752">
        <f>(G4213/G$4228)*H4213</f>
        <v>6.3715946925477858E-4</v>
      </c>
      <c r="J4213" s="1803"/>
    </row>
    <row r="4214" spans="1:10" ht="15.75" customHeight="1">
      <c r="A4214" s="1780"/>
      <c r="B4214" s="1739"/>
      <c r="C4214" s="1889" t="s">
        <v>2108</v>
      </c>
      <c r="D4214" s="2108"/>
      <c r="E4214" s="413"/>
      <c r="F4214" s="320"/>
      <c r="G4214" s="361">
        <f>SUM(G4210:G4213)</f>
        <v>10491.529234000001</v>
      </c>
      <c r="H4214" s="1749"/>
      <c r="I4214" s="1994">
        <f>SUM(I4210:I4213)</f>
        <v>1.5138778509300161E-2</v>
      </c>
      <c r="J4214" s="1803"/>
    </row>
    <row r="4215" spans="1:10" ht="15.75" customHeight="1">
      <c r="A4215" s="1780"/>
      <c r="B4215" s="1739" t="s">
        <v>1015</v>
      </c>
      <c r="C4215" s="1877" t="s">
        <v>2075</v>
      </c>
      <c r="D4215" s="2108"/>
      <c r="E4215" s="413"/>
      <c r="F4215" s="320"/>
      <c r="G4215" s="320"/>
      <c r="H4215" s="1749"/>
      <c r="I4215" s="1766"/>
      <c r="J4215" s="1803"/>
    </row>
    <row r="4216" spans="1:10" ht="15.75" customHeight="1">
      <c r="A4216" s="1780"/>
      <c r="B4216" s="1739"/>
      <c r="C4216" s="2079" t="s">
        <v>3149</v>
      </c>
      <c r="D4216" s="2108">
        <v>1.05</v>
      </c>
      <c r="E4216" s="413" t="s">
        <v>824</v>
      </c>
      <c r="F4216" s="1748">
        <f>'Bahan &amp; Upah'!C$370</f>
        <v>606126.69999999995</v>
      </c>
      <c r="G4216" s="361">
        <f>F4216*D4216</f>
        <v>636433.03500000003</v>
      </c>
      <c r="H4216" s="1749">
        <v>1</v>
      </c>
      <c r="I4216" s="1749">
        <f>(G4216/G$4228)*H4216</f>
        <v>0.91834264938642374</v>
      </c>
      <c r="J4216" s="1803"/>
    </row>
    <row r="4217" spans="1:10" ht="15.75" customHeight="1">
      <c r="A4217" s="1780"/>
      <c r="B4217" s="1739"/>
      <c r="C4217" s="2079" t="s">
        <v>3084</v>
      </c>
      <c r="D4217" s="2108">
        <v>0.01</v>
      </c>
      <c r="E4217" s="413" t="s">
        <v>100</v>
      </c>
      <c r="F4217" s="1748">
        <f>'Bahan &amp; Upah'!C$377</f>
        <v>93550.92</v>
      </c>
      <c r="G4217" s="361">
        <f>F4217*D4217</f>
        <v>935.50919999999996</v>
      </c>
      <c r="H4217" s="1749">
        <v>1</v>
      </c>
      <c r="I4217" s="1749">
        <f>(G4217/G$4228)*H4217</f>
        <v>1.3498953542745841E-3</v>
      </c>
      <c r="J4217" s="1803"/>
    </row>
    <row r="4218" spans="1:10" ht="15.75" customHeight="1">
      <c r="A4218" s="1780"/>
      <c r="B4218" s="1739"/>
      <c r="C4218" s="2079" t="s">
        <v>3085</v>
      </c>
      <c r="D4218" s="2108"/>
      <c r="E4218" s="413"/>
      <c r="F4218" s="1748"/>
      <c r="G4218" s="1966"/>
      <c r="H4218" s="1749"/>
      <c r="I4218" s="1766"/>
      <c r="J4218" s="1803"/>
    </row>
    <row r="4219" spans="1:10" ht="15.75" customHeight="1">
      <c r="A4219" s="1780"/>
      <c r="B4219" s="1739"/>
      <c r="C4219" s="2079" t="s">
        <v>3086</v>
      </c>
      <c r="D4219" s="2108">
        <v>12</v>
      </c>
      <c r="E4219" s="413" t="s">
        <v>803</v>
      </c>
      <c r="F4219" s="1748">
        <f>'Bahan &amp; Upah'!C$374/6</f>
        <v>3635.6916666666671</v>
      </c>
      <c r="G4219" s="361">
        <f>F4219*D4219</f>
        <v>43628.3</v>
      </c>
      <c r="H4219" s="1749">
        <v>1</v>
      </c>
      <c r="I4219" s="1749">
        <f>(G4219/G$4228)*H4219</f>
        <v>6.2953565272151082E-2</v>
      </c>
      <c r="J4219" s="1803"/>
    </row>
    <row r="4220" spans="1:10" ht="15.75" customHeight="1">
      <c r="A4220" s="1780"/>
      <c r="B4220" s="1739"/>
      <c r="C4220" s="2079" t="s">
        <v>3087</v>
      </c>
      <c r="D4220" s="2108">
        <v>10</v>
      </c>
      <c r="E4220" s="413" t="s">
        <v>803</v>
      </c>
      <c r="F4220" s="1748">
        <f>'Bahan &amp; Upah'!C$375/500</f>
        <v>43.273300000000006</v>
      </c>
      <c r="G4220" s="361">
        <f>F4220*D4220</f>
        <v>432.73300000000006</v>
      </c>
      <c r="H4220" s="1749">
        <v>1</v>
      </c>
      <c r="I4220" s="1749">
        <f>(G4220/G$4228)*H4220</f>
        <v>6.2441317128821786E-4</v>
      </c>
      <c r="J4220" s="1803"/>
    </row>
    <row r="4221" spans="1:10" ht="15.75" customHeight="1">
      <c r="A4221" s="1780"/>
      <c r="B4221" s="1739"/>
      <c r="C4221" s="2079"/>
      <c r="D4221" s="2108"/>
      <c r="E4221" s="413"/>
      <c r="F4221" s="1748"/>
      <c r="G4221" s="1966"/>
      <c r="H4221" s="1749"/>
      <c r="I4221" s="1766"/>
      <c r="J4221" s="1803"/>
    </row>
    <row r="4222" spans="1:10" ht="15.75" customHeight="1">
      <c r="A4222" s="1780"/>
      <c r="B4222" s="1739"/>
      <c r="C4222" s="2079" t="s">
        <v>3088</v>
      </c>
      <c r="D4222" s="2108">
        <v>4.9000000000000002E-2</v>
      </c>
      <c r="E4222" s="413" t="s">
        <v>266</v>
      </c>
      <c r="F4222" s="1748">
        <f>'Bahan &amp; Upah'!C$25*0.0075</f>
        <v>198.8415</v>
      </c>
      <c r="G4222" s="361">
        <f>F4222*D4222</f>
        <v>9.7432335000000005</v>
      </c>
      <c r="H4222" s="1749">
        <v>1</v>
      </c>
      <c r="I4222" s="1749">
        <f>(G4222/G$4228)*H4222</f>
        <v>1.4059023296898092E-5</v>
      </c>
      <c r="J4222" s="1803"/>
    </row>
    <row r="4223" spans="1:10" ht="15.75" customHeight="1">
      <c r="A4223" s="1780"/>
      <c r="B4223" s="1739"/>
      <c r="C4223" s="2079" t="s">
        <v>3089</v>
      </c>
      <c r="D4223" s="2108">
        <v>1.2999999999999999E-2</v>
      </c>
      <c r="E4223" s="413" t="s">
        <v>266</v>
      </c>
      <c r="F4223" s="1748">
        <f>'Bahan &amp; Upah'!C$376*0.014</f>
        <v>323.87852000000004</v>
      </c>
      <c r="G4223" s="361">
        <f>F4223*D4223</f>
        <v>4.2104207599999999</v>
      </c>
      <c r="H4223" s="1749">
        <v>1</v>
      </c>
      <c r="I4223" s="1749">
        <f>(G4223/G$4228)*H4223</f>
        <v>6.0754372308313629E-6</v>
      </c>
      <c r="J4223" s="1803"/>
    </row>
    <row r="4224" spans="1:10" ht="15.75" customHeight="1">
      <c r="A4224" s="1780"/>
      <c r="B4224" s="1739"/>
      <c r="C4224" s="2079" t="s">
        <v>3090</v>
      </c>
      <c r="D4224" s="2108">
        <v>3.0000000000000001E-3</v>
      </c>
      <c r="E4224" s="413" t="s">
        <v>266</v>
      </c>
      <c r="F4224" s="1748">
        <f>'Bahan &amp; Upah'!C$11</f>
        <v>362812.55</v>
      </c>
      <c r="G4224" s="1794">
        <f>F4224*D4224</f>
        <v>1088.4376500000001</v>
      </c>
      <c r="H4224" s="1749">
        <v>1</v>
      </c>
      <c r="I4224" s="1752">
        <f>(G4224/G$4228)*H4224</f>
        <v>1.5705638460343798E-3</v>
      </c>
      <c r="J4224" s="1803"/>
    </row>
    <row r="4225" spans="1:10" ht="15.75" customHeight="1">
      <c r="A4225" s="1780"/>
      <c r="B4225" s="1909"/>
      <c r="C4225" s="1889" t="s">
        <v>2091</v>
      </c>
      <c r="D4225" s="2110"/>
      <c r="E4225" s="333"/>
      <c r="F4225" s="328"/>
      <c r="G4225" s="361">
        <f>SUM(G4216:G4224)</f>
        <v>682531.96850426006</v>
      </c>
      <c r="H4225" s="1749"/>
      <c r="I4225" s="1994">
        <f>SUM(I4216:I4224)</f>
        <v>0.98486122149069977</v>
      </c>
      <c r="J4225" s="1803"/>
    </row>
    <row r="4226" spans="1:10" ht="15.75" customHeight="1">
      <c r="A4226" s="1780"/>
      <c r="B4226" s="1739" t="s">
        <v>1048</v>
      </c>
      <c r="C4226" s="1877" t="s">
        <v>2246</v>
      </c>
      <c r="D4226" s="2110"/>
      <c r="E4226" s="333"/>
      <c r="F4226" s="328"/>
      <c r="G4226" s="332"/>
      <c r="H4226" s="1749"/>
      <c r="I4226" s="1766"/>
      <c r="J4226" s="1803"/>
    </row>
    <row r="4227" spans="1:10" ht="15.75" customHeight="1">
      <c r="A4227" s="1780"/>
      <c r="B4227" s="1784"/>
      <c r="C4227" s="2082" t="s">
        <v>2110</v>
      </c>
      <c r="D4227" s="2112"/>
      <c r="E4227" s="1882"/>
      <c r="F4227" s="1845"/>
      <c r="G4227" s="1966"/>
      <c r="H4227" s="1749"/>
      <c r="I4227" s="1766"/>
      <c r="J4227" s="1750"/>
    </row>
    <row r="4228" spans="1:10" ht="15.75" customHeight="1">
      <c r="A4228" s="1780"/>
      <c r="B4228" s="1739" t="s">
        <v>979</v>
      </c>
      <c r="C4228" s="1804" t="s">
        <v>2129</v>
      </c>
      <c r="D4228" s="2113"/>
      <c r="E4228" s="1764"/>
      <c r="F4228" s="1765"/>
      <c r="G4228" s="1765">
        <f>G4214+G4225</f>
        <v>693023.49773826008</v>
      </c>
      <c r="H4228" s="1749"/>
      <c r="I4228" s="1766">
        <f>I4214+I4225+I4227</f>
        <v>0.99999999999999989</v>
      </c>
      <c r="J4228" s="1750"/>
    </row>
    <row r="4229" spans="1:10" ht="15.75" customHeight="1">
      <c r="A4229" s="1780"/>
      <c r="B4229" s="1739" t="s">
        <v>2093</v>
      </c>
      <c r="C4229" s="2124" t="s">
        <v>2094</v>
      </c>
      <c r="D4229" s="2125">
        <v>0.15</v>
      </c>
      <c r="E4229" s="2126"/>
      <c r="F4229" s="2127"/>
      <c r="G4229" s="2127">
        <f>G4228*D4229</f>
        <v>103953.52466073901</v>
      </c>
      <c r="H4229" s="1749"/>
      <c r="I4229" s="1749"/>
      <c r="J4229" s="1750"/>
    </row>
    <row r="4230" spans="1:10" ht="15.75" customHeight="1">
      <c r="A4230" s="1786"/>
      <c r="B4230" s="1787" t="s">
        <v>2095</v>
      </c>
      <c r="C4230" s="1788" t="s">
        <v>2111</v>
      </c>
      <c r="D4230" s="2114"/>
      <c r="E4230" s="1773"/>
      <c r="F4230" s="1774"/>
      <c r="G4230" s="2115">
        <f>ROUNDUP((G4228+G4229),2)</f>
        <v>796977.03</v>
      </c>
      <c r="H4230" s="1937"/>
      <c r="I4230" s="1937"/>
      <c r="J4230" s="1938"/>
    </row>
    <row r="4231" spans="1:10" ht="15.75" customHeight="1">
      <c r="H4231" s="1733"/>
      <c r="I4231" s="1733"/>
      <c r="J4231" s="1733"/>
    </row>
    <row r="4232" spans="1:10" ht="19.5" customHeight="1">
      <c r="A4232" s="2118">
        <f>A4208</f>
        <v>237</v>
      </c>
      <c r="B4232" s="2119" t="s">
        <v>3081</v>
      </c>
      <c r="C4232" s="2128" t="s">
        <v>889</v>
      </c>
      <c r="D4232" s="2121"/>
      <c r="E4232" s="2122"/>
      <c r="F4232" s="2128"/>
      <c r="G4232" s="2129"/>
      <c r="H4232" s="2129"/>
      <c r="I4232" s="2129"/>
      <c r="J4232" s="1828"/>
    </row>
    <row r="4233" spans="1:10" ht="15.75" customHeight="1">
      <c r="A4233" s="440"/>
      <c r="B4233" s="1739" t="s">
        <v>1004</v>
      </c>
      <c r="C4233" s="1896" t="s">
        <v>2067</v>
      </c>
      <c r="D4233" s="343"/>
      <c r="E4233" s="413"/>
      <c r="F4233" s="320"/>
      <c r="G4233" s="320"/>
      <c r="H4233" s="320"/>
      <c r="I4233" s="320"/>
      <c r="J4233" s="1803"/>
    </row>
    <row r="4234" spans="1:10" ht="15.75" customHeight="1">
      <c r="A4234" s="1780"/>
      <c r="B4234" s="1739"/>
      <c r="C4234" s="1878" t="s">
        <v>2103</v>
      </c>
      <c r="D4234" s="2123">
        <v>0.04</v>
      </c>
      <c r="E4234" s="413" t="s">
        <v>2069</v>
      </c>
      <c r="F4234" s="1747">
        <f>'Bahan &amp; Upah'!C$336</f>
        <v>96332.65</v>
      </c>
      <c r="G4234" s="361">
        <f>F4234*D4234</f>
        <v>3853.306</v>
      </c>
      <c r="H4234" s="1749">
        <v>1</v>
      </c>
      <c r="I4234" s="1749">
        <f>(G4234/G$4252)*H4234</f>
        <v>6.4278765675907755E-3</v>
      </c>
      <c r="J4234" s="1803"/>
    </row>
    <row r="4235" spans="1:10" ht="15.75" customHeight="1">
      <c r="A4235" s="1780"/>
      <c r="B4235" s="1739"/>
      <c r="C4235" s="1878" t="s">
        <v>2445</v>
      </c>
      <c r="D4235" s="2123">
        <v>0.04</v>
      </c>
      <c r="E4235" s="413" t="s">
        <v>2069</v>
      </c>
      <c r="F4235" s="1883">
        <f>'Bahan &amp; Upah'!C$337</f>
        <v>114133.55</v>
      </c>
      <c r="G4235" s="361">
        <f>F4235*D4235</f>
        <v>4565.3420000000006</v>
      </c>
      <c r="H4235" s="1749">
        <v>1</v>
      </c>
      <c r="I4235" s="1749">
        <f>(G4235/G$4252)*H4235</f>
        <v>7.6156564946666602E-3</v>
      </c>
      <c r="J4235" s="1803"/>
    </row>
    <row r="4236" spans="1:10" ht="15.75" customHeight="1">
      <c r="A4236" s="1780"/>
      <c r="B4236" s="1739"/>
      <c r="C4236" s="1878" t="s">
        <v>2105</v>
      </c>
      <c r="D4236" s="2123">
        <v>1.2999999999999999E-2</v>
      </c>
      <c r="E4236" s="413" t="s">
        <v>2069</v>
      </c>
      <c r="F4236" s="1748">
        <f>'Bahan &amp; Upah'!C$338</f>
        <v>125485.75</v>
      </c>
      <c r="G4236" s="361">
        <f>F4236*D4236</f>
        <v>1631.31475</v>
      </c>
      <c r="H4236" s="1749">
        <v>1</v>
      </c>
      <c r="I4236" s="1749">
        <f>(G4236/G$4252)*H4236</f>
        <v>2.7212709958384317E-3</v>
      </c>
      <c r="J4236" s="1803"/>
    </row>
    <row r="4237" spans="1:10" ht="15.75" customHeight="1">
      <c r="A4237" s="1780"/>
      <c r="B4237" s="1739"/>
      <c r="C4237" s="1878" t="s">
        <v>2107</v>
      </c>
      <c r="D4237" s="2108">
        <v>4.3E-3</v>
      </c>
      <c r="E4237" s="413" t="s">
        <v>2069</v>
      </c>
      <c r="F4237" s="1883">
        <f>'Bahan &amp; Upah'!C$339</f>
        <v>102689.88</v>
      </c>
      <c r="G4237" s="1794">
        <f>F4237*D4237</f>
        <v>441.566484</v>
      </c>
      <c r="H4237" s="1749">
        <v>1</v>
      </c>
      <c r="I4237" s="1752">
        <f>(G4237/G$4252)*H4237</f>
        <v>7.365973155355549E-4</v>
      </c>
      <c r="J4237" s="1803"/>
    </row>
    <row r="4238" spans="1:10" ht="15.75" customHeight="1">
      <c r="A4238" s="1780"/>
      <c r="B4238" s="1739"/>
      <c r="C4238" s="1889" t="s">
        <v>2108</v>
      </c>
      <c r="D4238" s="2108"/>
      <c r="E4238" s="413"/>
      <c r="F4238" s="320"/>
      <c r="G4238" s="361">
        <f>SUM(G4234:G4237)</f>
        <v>10491.529234000001</v>
      </c>
      <c r="H4238" s="1749"/>
      <c r="I4238" s="1994">
        <f>SUM(I4234:I4237)</f>
        <v>1.7501401373631421E-2</v>
      </c>
      <c r="J4238" s="1803"/>
    </row>
    <row r="4239" spans="1:10" ht="15.75" customHeight="1">
      <c r="A4239" s="1780"/>
      <c r="B4239" s="1739" t="s">
        <v>1015</v>
      </c>
      <c r="C4239" s="1877" t="s">
        <v>2075</v>
      </c>
      <c r="D4239" s="2108"/>
      <c r="E4239" s="413"/>
      <c r="F4239" s="320"/>
      <c r="G4239" s="320"/>
      <c r="H4239" s="1749"/>
      <c r="I4239" s="1766"/>
      <c r="J4239" s="1803"/>
    </row>
    <row r="4240" spans="1:10" ht="15.75" customHeight="1">
      <c r="A4240" s="1780"/>
      <c r="B4240" s="1739"/>
      <c r="C4240" s="2079" t="s">
        <v>3149</v>
      </c>
      <c r="D4240" s="2108">
        <v>1.05</v>
      </c>
      <c r="E4240" s="413" t="s">
        <v>824</v>
      </c>
      <c r="F4240" s="1748">
        <f>'Bahan &amp; Upah'!C$371</f>
        <v>517026.18</v>
      </c>
      <c r="G4240" s="361">
        <f>F4240*D4240</f>
        <v>542877.48900000006</v>
      </c>
      <c r="H4240" s="1749">
        <v>1</v>
      </c>
      <c r="I4240" s="1749">
        <f>(G4240/G$4252)*H4240</f>
        <v>0.90559885215854108</v>
      </c>
      <c r="J4240" s="1803"/>
    </row>
    <row r="4241" spans="1:10" ht="15.75" customHeight="1">
      <c r="A4241" s="1780"/>
      <c r="B4241" s="1739"/>
      <c r="C4241" s="2079" t="s">
        <v>3084</v>
      </c>
      <c r="D4241" s="2108">
        <v>0.01</v>
      </c>
      <c r="E4241" s="413" t="s">
        <v>100</v>
      </c>
      <c r="F4241" s="1748">
        <f>'Bahan &amp; Upah'!C$377</f>
        <v>93550.92</v>
      </c>
      <c r="G4241" s="361">
        <f>F4241*D4241</f>
        <v>935.50919999999996</v>
      </c>
      <c r="H4241" s="1749">
        <v>1</v>
      </c>
      <c r="I4241" s="1749">
        <f>(G4241/G$4252)*H4241</f>
        <v>1.5605658272261772E-3</v>
      </c>
      <c r="J4241" s="1803"/>
    </row>
    <row r="4242" spans="1:10" ht="15.75" customHeight="1">
      <c r="A4242" s="1780"/>
      <c r="B4242" s="1739"/>
      <c r="C4242" s="2079" t="s">
        <v>3085</v>
      </c>
      <c r="D4242" s="2108"/>
      <c r="E4242" s="413"/>
      <c r="F4242" s="1748"/>
      <c r="G4242" s="1966"/>
      <c r="H4242" s="1749"/>
      <c r="I4242" s="1766"/>
      <c r="J4242" s="1803"/>
    </row>
    <row r="4243" spans="1:10" ht="15.75" customHeight="1">
      <c r="A4243" s="1780"/>
      <c r="B4243" s="1739"/>
      <c r="C4243" s="2079" t="s">
        <v>3086</v>
      </c>
      <c r="D4243" s="2108">
        <v>12</v>
      </c>
      <c r="E4243" s="413" t="s">
        <v>803</v>
      </c>
      <c r="F4243" s="1748">
        <f>'Bahan &amp; Upah'!C$374/6</f>
        <v>3635.6916666666671</v>
      </c>
      <c r="G4243" s="361">
        <f>F4243*D4243</f>
        <v>43628.3</v>
      </c>
      <c r="H4243" s="1749">
        <v>1</v>
      </c>
      <c r="I4243" s="1749">
        <f>(G4243/G$4252)*H4243</f>
        <v>7.2778369341500684E-2</v>
      </c>
      <c r="J4243" s="1803"/>
    </row>
    <row r="4244" spans="1:10" ht="15.75" customHeight="1">
      <c r="A4244" s="1780"/>
      <c r="B4244" s="1739"/>
      <c r="C4244" s="2079" t="s">
        <v>3087</v>
      </c>
      <c r="D4244" s="2108">
        <v>10</v>
      </c>
      <c r="E4244" s="413" t="s">
        <v>803</v>
      </c>
      <c r="F4244" s="1748">
        <f>'Bahan &amp; Upah'!C$375/500</f>
        <v>43.273300000000006</v>
      </c>
      <c r="G4244" s="361">
        <f>F4244*D4244</f>
        <v>432.73300000000006</v>
      </c>
      <c r="H4244" s="1749">
        <v>1</v>
      </c>
      <c r="I4244" s="1749">
        <f>(G4244/G$4252)*H4244</f>
        <v>7.218617755047898E-4</v>
      </c>
      <c r="J4244" s="1803"/>
    </row>
    <row r="4245" spans="1:10" ht="15.75" customHeight="1">
      <c r="A4245" s="1780"/>
      <c r="B4245" s="1739"/>
      <c r="C4245" s="2079"/>
      <c r="D4245" s="2108"/>
      <c r="E4245" s="413"/>
      <c r="F4245" s="1748"/>
      <c r="G4245" s="1966"/>
      <c r="H4245" s="1749"/>
      <c r="I4245" s="1766"/>
      <c r="J4245" s="1803"/>
    </row>
    <row r="4246" spans="1:10" ht="15.75" customHeight="1">
      <c r="A4246" s="1780"/>
      <c r="B4246" s="1739"/>
      <c r="C4246" s="2079" t="s">
        <v>3088</v>
      </c>
      <c r="D4246" s="2108">
        <v>4.9000000000000002E-2</v>
      </c>
      <c r="E4246" s="413" t="s">
        <v>266</v>
      </c>
      <c r="F4246" s="1748">
        <f>'Bahan &amp; Upah'!C$25*0.0075</f>
        <v>198.8415</v>
      </c>
      <c r="G4246" s="361">
        <f>F4246*D4246</f>
        <v>9.7432335000000005</v>
      </c>
      <c r="H4246" s="1749">
        <v>1</v>
      </c>
      <c r="I4246" s="1749">
        <f>(G4246/G$4252)*H4246</f>
        <v>1.625313492030362E-5</v>
      </c>
      <c r="J4246" s="1803"/>
    </row>
    <row r="4247" spans="1:10" ht="15.75" customHeight="1">
      <c r="A4247" s="1780"/>
      <c r="B4247" s="1739"/>
      <c r="C4247" s="2079" t="s">
        <v>3089</v>
      </c>
      <c r="D4247" s="2108">
        <v>1.2999999999999999E-2</v>
      </c>
      <c r="E4247" s="413" t="s">
        <v>266</v>
      </c>
      <c r="F4247" s="1748">
        <f>'Bahan &amp; Upah'!C$376*0.014</f>
        <v>323.87852000000004</v>
      </c>
      <c r="G4247" s="361">
        <f>F4247*D4247</f>
        <v>4.2104207599999999</v>
      </c>
      <c r="H4247" s="1749">
        <v>1</v>
      </c>
      <c r="I4247" s="1749">
        <f>(G4247/G$4252)*H4247</f>
        <v>7.0235960868152552E-6</v>
      </c>
      <c r="J4247" s="1803"/>
    </row>
    <row r="4248" spans="1:10" ht="15.75" customHeight="1">
      <c r="A4248" s="1780"/>
      <c r="B4248" s="1739"/>
      <c r="C4248" s="2079" t="s">
        <v>3090</v>
      </c>
      <c r="D4248" s="2108">
        <v>3.0000000000000001E-3</v>
      </c>
      <c r="E4248" s="413" t="s">
        <v>266</v>
      </c>
      <c r="F4248" s="1748">
        <f>'Bahan &amp; Upah'!C$11</f>
        <v>362812.55</v>
      </c>
      <c r="G4248" s="1794">
        <f>F4248*D4248</f>
        <v>1088.4376500000001</v>
      </c>
      <c r="H4248" s="1749">
        <v>1</v>
      </c>
      <c r="I4248" s="1752">
        <f>(G4248/G$4252)*H4248</f>
        <v>1.8156727925886422E-3</v>
      </c>
      <c r="J4248" s="1803"/>
    </row>
    <row r="4249" spans="1:10" ht="15.75" customHeight="1">
      <c r="A4249" s="1780"/>
      <c r="B4249" s="1909"/>
      <c r="C4249" s="1889" t="s">
        <v>2091</v>
      </c>
      <c r="D4249" s="2110"/>
      <c r="E4249" s="333"/>
      <c r="F4249" s="328"/>
      <c r="G4249" s="361">
        <f>SUM(G4240:G4248)</f>
        <v>588976.42250426009</v>
      </c>
      <c r="H4249" s="1749"/>
      <c r="I4249" s="1994">
        <f>SUM(I4240:I4248)</f>
        <v>0.98249859862636857</v>
      </c>
      <c r="J4249" s="1803"/>
    </row>
    <row r="4250" spans="1:10" ht="15.75" customHeight="1">
      <c r="A4250" s="1780"/>
      <c r="B4250" s="1739" t="s">
        <v>1048</v>
      </c>
      <c r="C4250" s="1877" t="s">
        <v>2246</v>
      </c>
      <c r="D4250" s="2110"/>
      <c r="E4250" s="333"/>
      <c r="F4250" s="328"/>
      <c r="G4250" s="332"/>
      <c r="H4250" s="1749"/>
      <c r="I4250" s="1766"/>
      <c r="J4250" s="1803"/>
    </row>
    <row r="4251" spans="1:10" ht="15.75" customHeight="1">
      <c r="A4251" s="1780"/>
      <c r="B4251" s="1784"/>
      <c r="C4251" s="2082" t="s">
        <v>2110</v>
      </c>
      <c r="D4251" s="2112"/>
      <c r="E4251" s="1882"/>
      <c r="F4251" s="1845"/>
      <c r="G4251" s="1966"/>
      <c r="H4251" s="1749"/>
      <c r="I4251" s="1766"/>
      <c r="J4251" s="1750"/>
    </row>
    <row r="4252" spans="1:10" ht="15.75" customHeight="1">
      <c r="A4252" s="1780"/>
      <c r="B4252" s="1739" t="s">
        <v>979</v>
      </c>
      <c r="C4252" s="1804" t="s">
        <v>2129</v>
      </c>
      <c r="D4252" s="2113"/>
      <c r="E4252" s="1764"/>
      <c r="F4252" s="1765"/>
      <c r="G4252" s="1765">
        <f>G4238+G4249</f>
        <v>599467.9517382601</v>
      </c>
      <c r="H4252" s="1749"/>
      <c r="I4252" s="1766">
        <f>I4238+I4249+I4251</f>
        <v>1</v>
      </c>
      <c r="J4252" s="1750"/>
    </row>
    <row r="4253" spans="1:10" ht="15.75" customHeight="1">
      <c r="A4253" s="1780"/>
      <c r="B4253" s="1739" t="s">
        <v>2093</v>
      </c>
      <c r="C4253" s="2124" t="s">
        <v>2094</v>
      </c>
      <c r="D4253" s="2125">
        <v>0.15</v>
      </c>
      <c r="E4253" s="2126"/>
      <c r="F4253" s="2127"/>
      <c r="G4253" s="2127">
        <f>G4252*D4253</f>
        <v>89920.19276073901</v>
      </c>
      <c r="H4253" s="1749"/>
      <c r="I4253" s="1749"/>
      <c r="J4253" s="1750"/>
    </row>
    <row r="4254" spans="1:10" ht="15.75" customHeight="1">
      <c r="A4254" s="1786"/>
      <c r="B4254" s="1787" t="s">
        <v>2095</v>
      </c>
      <c r="C4254" s="1788" t="s">
        <v>2111</v>
      </c>
      <c r="D4254" s="2114"/>
      <c r="E4254" s="1773"/>
      <c r="F4254" s="1774"/>
      <c r="G4254" s="2115">
        <f>ROUNDUP((G4252+G4253),2)</f>
        <v>689388.15</v>
      </c>
      <c r="H4254" s="1937"/>
      <c r="I4254" s="1937"/>
      <c r="J4254" s="1938"/>
    </row>
    <row r="4255" spans="1:10" ht="15.75" customHeight="1">
      <c r="A4255" s="1733"/>
      <c r="B4255" s="1733"/>
      <c r="C4255" s="1733"/>
      <c r="D4255" s="1733"/>
      <c r="E4255" s="1733"/>
      <c r="F4255" s="1733"/>
      <c r="G4255" s="1733"/>
      <c r="H4255" s="1733"/>
      <c r="I4255" s="1733"/>
      <c r="J4255" s="1733"/>
    </row>
    <row r="4256" spans="1:10" ht="19.5" customHeight="1">
      <c r="A4256" s="2118">
        <f>A4232</f>
        <v>237</v>
      </c>
      <c r="B4256" s="2119" t="s">
        <v>3081</v>
      </c>
      <c r="C4256" s="2128" t="s">
        <v>890</v>
      </c>
      <c r="D4256" s="2121"/>
      <c r="E4256" s="2122"/>
      <c r="F4256" s="2128"/>
      <c r="G4256" s="2129"/>
      <c r="H4256" s="2129"/>
      <c r="I4256" s="2129"/>
      <c r="J4256" s="1828"/>
    </row>
    <row r="4257" spans="1:10" ht="15.75" customHeight="1">
      <c r="A4257" s="440"/>
      <c r="B4257" s="1739" t="s">
        <v>1004</v>
      </c>
      <c r="C4257" s="1896" t="s">
        <v>2067</v>
      </c>
      <c r="D4257" s="343"/>
      <c r="E4257" s="413"/>
      <c r="F4257" s="320"/>
      <c r="G4257" s="320"/>
      <c r="H4257" s="320"/>
      <c r="I4257" s="320"/>
      <c r="J4257" s="1803"/>
    </row>
    <row r="4258" spans="1:10" ht="15.75" customHeight="1">
      <c r="A4258" s="1780"/>
      <c r="B4258" s="1739"/>
      <c r="C4258" s="1878" t="s">
        <v>2103</v>
      </c>
      <c r="D4258" s="2123">
        <v>0.04</v>
      </c>
      <c r="E4258" s="413" t="s">
        <v>2069</v>
      </c>
      <c r="F4258" s="1747">
        <f>'Bahan &amp; Upah'!C$336</f>
        <v>96332.65</v>
      </c>
      <c r="G4258" s="361">
        <f>F4258*D4258</f>
        <v>3853.306</v>
      </c>
      <c r="H4258" s="1749">
        <v>1</v>
      </c>
      <c r="I4258" s="1749">
        <f>(G4258/G$4276)*H4258</f>
        <v>6.0327238737266356E-3</v>
      </c>
      <c r="J4258" s="1803"/>
    </row>
    <row r="4259" spans="1:10" ht="15.75" customHeight="1">
      <c r="A4259" s="1780"/>
      <c r="B4259" s="1739"/>
      <c r="C4259" s="1878" t="s">
        <v>2445</v>
      </c>
      <c r="D4259" s="2123">
        <v>0.04</v>
      </c>
      <c r="E4259" s="413" t="s">
        <v>2069</v>
      </c>
      <c r="F4259" s="1883">
        <f>'Bahan &amp; Upah'!C$337</f>
        <v>114133.55</v>
      </c>
      <c r="G4259" s="361">
        <f>F4259*D4259</f>
        <v>4565.3420000000006</v>
      </c>
      <c r="H4259" s="1749">
        <v>1</v>
      </c>
      <c r="I4259" s="1749">
        <f>(G4259/G$4276)*H4259</f>
        <v>7.147485217921158E-3</v>
      </c>
      <c r="J4259" s="1803"/>
    </row>
    <row r="4260" spans="1:10" ht="15.75" customHeight="1">
      <c r="A4260" s="1780"/>
      <c r="B4260" s="1739"/>
      <c r="C4260" s="1878" t="s">
        <v>2105</v>
      </c>
      <c r="D4260" s="2123">
        <v>1.2999999999999999E-2</v>
      </c>
      <c r="E4260" s="413" t="s">
        <v>2069</v>
      </c>
      <c r="F4260" s="1748">
        <f>'Bahan &amp; Upah'!C$338</f>
        <v>125485.75</v>
      </c>
      <c r="G4260" s="361">
        <f>F4260*D4260</f>
        <v>1631.31475</v>
      </c>
      <c r="H4260" s="1749">
        <v>1</v>
      </c>
      <c r="I4260" s="1749">
        <f>(G4260/G$4276)*H4260</f>
        <v>2.5539812923986304E-3</v>
      </c>
      <c r="J4260" s="1803"/>
    </row>
    <row r="4261" spans="1:10" ht="15.75" customHeight="1">
      <c r="A4261" s="1780"/>
      <c r="B4261" s="1739"/>
      <c r="C4261" s="1878" t="s">
        <v>2107</v>
      </c>
      <c r="D4261" s="2108">
        <v>4.3E-3</v>
      </c>
      <c r="E4261" s="413" t="s">
        <v>2069</v>
      </c>
      <c r="F4261" s="1883">
        <f>'Bahan &amp; Upah'!C$339</f>
        <v>102689.88</v>
      </c>
      <c r="G4261" s="1794">
        <f>F4261*D4261</f>
        <v>441.566484</v>
      </c>
      <c r="H4261" s="1749">
        <v>1</v>
      </c>
      <c r="I4261" s="1752">
        <f>(G4261/G$4276)*H4261</f>
        <v>6.9131511223461881E-4</v>
      </c>
      <c r="J4261" s="1803"/>
    </row>
    <row r="4262" spans="1:10" ht="15.75" customHeight="1">
      <c r="A4262" s="1780"/>
      <c r="B4262" s="1739"/>
      <c r="C4262" s="1889" t="s">
        <v>2108</v>
      </c>
      <c r="D4262" s="2108"/>
      <c r="E4262" s="413"/>
      <c r="F4262" s="320"/>
      <c r="G4262" s="361">
        <f>SUM(G4258:G4261)</f>
        <v>10491.529234000001</v>
      </c>
      <c r="H4262" s="1749"/>
      <c r="I4262" s="1994">
        <f>SUM(I4258:I4261)</f>
        <v>1.6425505496281044E-2</v>
      </c>
      <c r="J4262" s="1803"/>
    </row>
    <row r="4263" spans="1:10" ht="15.75" customHeight="1">
      <c r="A4263" s="1780"/>
      <c r="B4263" s="1739" t="s">
        <v>1015</v>
      </c>
      <c r="C4263" s="1877" t="s">
        <v>2075</v>
      </c>
      <c r="D4263" s="2108"/>
      <c r="E4263" s="413"/>
      <c r="F4263" s="320"/>
      <c r="G4263" s="320"/>
      <c r="H4263" s="1749"/>
      <c r="I4263" s="1766"/>
      <c r="J4263" s="1803"/>
    </row>
    <row r="4264" spans="1:10" ht="15.75" customHeight="1">
      <c r="A4264" s="1780"/>
      <c r="B4264" s="1739"/>
      <c r="C4264" s="2079" t="s">
        <v>3149</v>
      </c>
      <c r="D4264" s="2108">
        <v>1.05</v>
      </c>
      <c r="E4264" s="413" t="s">
        <v>824</v>
      </c>
      <c r="F4264" s="1748">
        <f>'Bahan &amp; Upah'!C$372</f>
        <v>554422.43999999994</v>
      </c>
      <c r="G4264" s="361">
        <f>F4264*D4264</f>
        <v>582143.56199999992</v>
      </c>
      <c r="H4264" s="1749">
        <v>1</v>
      </c>
      <c r="I4264" s="1749">
        <f>(G4264/G$4276)*H4264</f>
        <v>0.91140214776964534</v>
      </c>
      <c r="J4264" s="1803"/>
    </row>
    <row r="4265" spans="1:10" ht="15.75" customHeight="1">
      <c r="A4265" s="1780"/>
      <c r="B4265" s="1739"/>
      <c r="C4265" s="2079" t="s">
        <v>3084</v>
      </c>
      <c r="D4265" s="2108">
        <v>0.01</v>
      </c>
      <c r="E4265" s="413" t="s">
        <v>100</v>
      </c>
      <c r="F4265" s="1748">
        <f>'Bahan &amp; Upah'!C$377</f>
        <v>93550.92</v>
      </c>
      <c r="G4265" s="361">
        <f>F4265*D4265</f>
        <v>935.50919999999996</v>
      </c>
      <c r="H4265" s="1749">
        <v>1</v>
      </c>
      <c r="I4265" s="1749">
        <f>(G4265/G$4276)*H4265</f>
        <v>1.464630290179629E-3</v>
      </c>
      <c r="J4265" s="1803"/>
    </row>
    <row r="4266" spans="1:10" ht="15.75" customHeight="1">
      <c r="A4266" s="1780"/>
      <c r="B4266" s="1739"/>
      <c r="C4266" s="2079" t="s">
        <v>3085</v>
      </c>
      <c r="D4266" s="2108"/>
      <c r="E4266" s="413"/>
      <c r="F4266" s="1748"/>
      <c r="G4266" s="1966"/>
      <c r="H4266" s="1749"/>
      <c r="I4266" s="1766"/>
      <c r="J4266" s="1803"/>
    </row>
    <row r="4267" spans="1:10" ht="15.75" customHeight="1">
      <c r="A4267" s="1780"/>
      <c r="B4267" s="1739"/>
      <c r="C4267" s="2079" t="s">
        <v>3086</v>
      </c>
      <c r="D4267" s="2108">
        <v>12</v>
      </c>
      <c r="E4267" s="413" t="s">
        <v>803</v>
      </c>
      <c r="F4267" s="1748">
        <f>'Bahan &amp; Upah'!C$374/6</f>
        <v>3635.6916666666671</v>
      </c>
      <c r="G4267" s="361">
        <f>F4267*D4267</f>
        <v>43628.3</v>
      </c>
      <c r="H4267" s="1749">
        <v>1</v>
      </c>
      <c r="I4267" s="1749">
        <f>(G4267/G$4276)*H4267</f>
        <v>6.8304330613791833E-2</v>
      </c>
      <c r="J4267" s="1803"/>
    </row>
    <row r="4268" spans="1:10" ht="15.75" customHeight="1">
      <c r="A4268" s="1780"/>
      <c r="B4268" s="1739"/>
      <c r="C4268" s="2079" t="s">
        <v>3087</v>
      </c>
      <c r="D4268" s="2108">
        <v>10</v>
      </c>
      <c r="E4268" s="413" t="s">
        <v>803</v>
      </c>
      <c r="F4268" s="1748">
        <f>'Bahan &amp; Upah'!C$375/500</f>
        <v>43.273300000000006</v>
      </c>
      <c r="G4268" s="361">
        <f>F4268*D4268</f>
        <v>432.73300000000006</v>
      </c>
      <c r="H4268" s="1749">
        <v>1</v>
      </c>
      <c r="I4268" s="1749">
        <f>(G4268/G$4276)*H4268</f>
        <v>6.7748543719324354E-4</v>
      </c>
      <c r="J4268" s="1803"/>
    </row>
    <row r="4269" spans="1:10" ht="15.75" customHeight="1">
      <c r="A4269" s="1780"/>
      <c r="B4269" s="1739"/>
      <c r="C4269" s="2079"/>
      <c r="D4269" s="2108"/>
      <c r="E4269" s="413"/>
      <c r="F4269" s="1748"/>
      <c r="G4269" s="1966"/>
      <c r="H4269" s="1749"/>
      <c r="I4269" s="1766"/>
      <c r="J4269" s="1803"/>
    </row>
    <row r="4270" spans="1:10" ht="15.75" customHeight="1">
      <c r="A4270" s="1780"/>
      <c r="B4270" s="1739"/>
      <c r="C4270" s="2079" t="s">
        <v>3088</v>
      </c>
      <c r="D4270" s="2108">
        <v>4.9000000000000002E-2</v>
      </c>
      <c r="E4270" s="413" t="s">
        <v>266</v>
      </c>
      <c r="F4270" s="1748">
        <f>'Bahan &amp; Upah'!C$25*0.0075</f>
        <v>198.8415</v>
      </c>
      <c r="G4270" s="361">
        <f>F4270*D4270</f>
        <v>9.7432335000000005</v>
      </c>
      <c r="H4270" s="1749">
        <v>1</v>
      </c>
      <c r="I4270" s="1749">
        <f>(G4270/G$4276)*H4270</f>
        <v>1.5253976025455316E-5</v>
      </c>
      <c r="J4270" s="1803"/>
    </row>
    <row r="4271" spans="1:10" ht="15.75" customHeight="1">
      <c r="A4271" s="1780"/>
      <c r="B4271" s="1739"/>
      <c r="C4271" s="2079" t="s">
        <v>3089</v>
      </c>
      <c r="D4271" s="2108">
        <v>1.2999999999999999E-2</v>
      </c>
      <c r="E4271" s="413" t="s">
        <v>266</v>
      </c>
      <c r="F4271" s="1748">
        <f>'Bahan &amp; Upah'!C$376*0.014</f>
        <v>323.87852000000004</v>
      </c>
      <c r="G4271" s="361">
        <f>F4271*D4271</f>
        <v>4.2104207599999999</v>
      </c>
      <c r="H4271" s="1749">
        <v>1</v>
      </c>
      <c r="I4271" s="1749">
        <f>(G4271/G$4276)*H4271</f>
        <v>6.5918216298643926E-6</v>
      </c>
      <c r="J4271" s="1803"/>
    </row>
    <row r="4272" spans="1:10" ht="15.75" customHeight="1">
      <c r="A4272" s="1780"/>
      <c r="B4272" s="1739"/>
      <c r="C4272" s="2079" t="s">
        <v>3090</v>
      </c>
      <c r="D4272" s="2108">
        <v>3.0000000000000001E-3</v>
      </c>
      <c r="E4272" s="413" t="s">
        <v>266</v>
      </c>
      <c r="F4272" s="1748">
        <f>'Bahan &amp; Upah'!C$11</f>
        <v>362812.55</v>
      </c>
      <c r="G4272" s="1794">
        <f>F4272*D4272</f>
        <v>1088.4376500000001</v>
      </c>
      <c r="H4272" s="1749">
        <v>1</v>
      </c>
      <c r="I4272" s="1752">
        <f>(G4272/G$4276)*H4272</f>
        <v>1.7040545952535086E-3</v>
      </c>
      <c r="J4272" s="1803"/>
    </row>
    <row r="4273" spans="1:10" ht="15.75" customHeight="1">
      <c r="A4273" s="1780"/>
      <c r="B4273" s="1909"/>
      <c r="C4273" s="1889" t="s">
        <v>2091</v>
      </c>
      <c r="D4273" s="2110"/>
      <c r="E4273" s="333"/>
      <c r="F4273" s="328"/>
      <c r="G4273" s="361">
        <f>SUM(G4264:G4272)</f>
        <v>628242.49550425995</v>
      </c>
      <c r="H4273" s="1749"/>
      <c r="I4273" s="1994">
        <f>SUM(I4264:I4272)</f>
        <v>0.98357449450371881</v>
      </c>
      <c r="J4273" s="1803"/>
    </row>
    <row r="4274" spans="1:10" ht="15.75" customHeight="1">
      <c r="A4274" s="1780"/>
      <c r="B4274" s="1739" t="s">
        <v>1048</v>
      </c>
      <c r="C4274" s="1877" t="s">
        <v>2246</v>
      </c>
      <c r="D4274" s="2110"/>
      <c r="E4274" s="333"/>
      <c r="F4274" s="328"/>
      <c r="G4274" s="332"/>
      <c r="H4274" s="1749"/>
      <c r="I4274" s="1766"/>
      <c r="J4274" s="1803"/>
    </row>
    <row r="4275" spans="1:10" ht="15.75" customHeight="1">
      <c r="A4275" s="1780"/>
      <c r="B4275" s="1784"/>
      <c r="C4275" s="2082" t="s">
        <v>2110</v>
      </c>
      <c r="D4275" s="2112"/>
      <c r="E4275" s="1882"/>
      <c r="F4275" s="1845"/>
      <c r="G4275" s="1966"/>
      <c r="H4275" s="1749"/>
      <c r="I4275" s="1766"/>
      <c r="J4275" s="1750"/>
    </row>
    <row r="4276" spans="1:10" ht="15.75" customHeight="1">
      <c r="A4276" s="1780"/>
      <c r="B4276" s="1739" t="s">
        <v>979</v>
      </c>
      <c r="C4276" s="1804" t="s">
        <v>2129</v>
      </c>
      <c r="D4276" s="2113"/>
      <c r="E4276" s="1764"/>
      <c r="F4276" s="1765"/>
      <c r="G4276" s="1765">
        <f>G4262+G4273</f>
        <v>638734.02473825996</v>
      </c>
      <c r="H4276" s="1749"/>
      <c r="I4276" s="1766">
        <f>I4262+I4273+I4275</f>
        <v>0.99999999999999989</v>
      </c>
      <c r="J4276" s="1750"/>
    </row>
    <row r="4277" spans="1:10" ht="15.75" customHeight="1">
      <c r="A4277" s="1780"/>
      <c r="B4277" s="1739" t="s">
        <v>2093</v>
      </c>
      <c r="C4277" s="2124" t="s">
        <v>2094</v>
      </c>
      <c r="D4277" s="2125">
        <v>0.15</v>
      </c>
      <c r="E4277" s="2126"/>
      <c r="F4277" s="2127"/>
      <c r="G4277" s="2127">
        <f>G4276*D4277</f>
        <v>95810.103710738986</v>
      </c>
      <c r="H4277" s="1749"/>
      <c r="I4277" s="1749"/>
      <c r="J4277" s="1750"/>
    </row>
    <row r="4278" spans="1:10" ht="15.75" customHeight="1">
      <c r="A4278" s="1786"/>
      <c r="B4278" s="1787" t="s">
        <v>2095</v>
      </c>
      <c r="C4278" s="1788" t="s">
        <v>2111</v>
      </c>
      <c r="D4278" s="2114"/>
      <c r="E4278" s="1773"/>
      <c r="F4278" s="1774"/>
      <c r="G4278" s="2115">
        <f>ROUNDUP((G4276+G4277),2)</f>
        <v>734544.13</v>
      </c>
      <c r="H4278" s="1937"/>
      <c r="I4278" s="1937"/>
      <c r="J4278" s="1938"/>
    </row>
    <row r="4279" spans="1:10" ht="15.75" customHeight="1">
      <c r="A4279" s="1733"/>
      <c r="B4279" s="1733"/>
      <c r="C4279" s="1733"/>
      <c r="D4279" s="1733"/>
      <c r="E4279" s="1733"/>
      <c r="F4279" s="1733"/>
      <c r="G4279" s="1733"/>
      <c r="H4279" s="1733"/>
      <c r="I4279" s="1733"/>
      <c r="J4279" s="1733"/>
    </row>
    <row r="4280" spans="1:10" ht="19.5" customHeight="1">
      <c r="A4280" s="2118">
        <f>A4256</f>
        <v>237</v>
      </c>
      <c r="B4280" s="2119" t="s">
        <v>3081</v>
      </c>
      <c r="C4280" s="2128" t="s">
        <v>891</v>
      </c>
      <c r="D4280" s="2121"/>
      <c r="E4280" s="2122"/>
      <c r="F4280" s="2128"/>
      <c r="G4280" s="2129"/>
      <c r="H4280" s="2129"/>
      <c r="I4280" s="2129"/>
      <c r="J4280" s="1828"/>
    </row>
    <row r="4281" spans="1:10" ht="15.75" customHeight="1">
      <c r="A4281" s="440"/>
      <c r="B4281" s="1739" t="s">
        <v>1004</v>
      </c>
      <c r="C4281" s="1896" t="s">
        <v>2067</v>
      </c>
      <c r="D4281" s="343"/>
      <c r="E4281" s="413"/>
      <c r="F4281" s="320"/>
      <c r="G4281" s="320"/>
      <c r="H4281" s="320"/>
      <c r="I4281" s="320"/>
      <c r="J4281" s="1803"/>
    </row>
    <row r="4282" spans="1:10" ht="15.75" customHeight="1">
      <c r="A4282" s="1780"/>
      <c r="B4282" s="1739"/>
      <c r="C4282" s="1878" t="s">
        <v>2103</v>
      </c>
      <c r="D4282" s="2123">
        <v>0.04</v>
      </c>
      <c r="E4282" s="413" t="s">
        <v>2069</v>
      </c>
      <c r="F4282" s="1747">
        <f>'Bahan &amp; Upah'!C$336</f>
        <v>96332.65</v>
      </c>
      <c r="G4282" s="361">
        <f>F4282*D4282</f>
        <v>3853.306</v>
      </c>
      <c r="H4282" s="1749">
        <v>1</v>
      </c>
      <c r="I4282" s="1749">
        <f>(G4282/G$4300)*H4282</f>
        <v>5.3883996840539206E-3</v>
      </c>
      <c r="J4282" s="1803"/>
    </row>
    <row r="4283" spans="1:10" ht="15.75" customHeight="1">
      <c r="A4283" s="1780"/>
      <c r="B4283" s="1739"/>
      <c r="C4283" s="1878" t="s">
        <v>2445</v>
      </c>
      <c r="D4283" s="2123">
        <v>0.04</v>
      </c>
      <c r="E4283" s="413" t="s">
        <v>2069</v>
      </c>
      <c r="F4283" s="1883">
        <f>'Bahan &amp; Upah'!C$337</f>
        <v>114133.55</v>
      </c>
      <c r="G4283" s="361">
        <f>F4283*D4283</f>
        <v>4565.3420000000006</v>
      </c>
      <c r="H4283" s="1749">
        <v>1</v>
      </c>
      <c r="I4283" s="1749">
        <f>(G4283/G$4300)*H4283</f>
        <v>6.3840991061696363E-3</v>
      </c>
      <c r="J4283" s="1803"/>
    </row>
    <row r="4284" spans="1:10" ht="15.75" customHeight="1">
      <c r="A4284" s="1780"/>
      <c r="B4284" s="1739"/>
      <c r="C4284" s="1878" t="s">
        <v>2105</v>
      </c>
      <c r="D4284" s="2123">
        <v>1.2999999999999999E-2</v>
      </c>
      <c r="E4284" s="413" t="s">
        <v>2069</v>
      </c>
      <c r="F4284" s="1748">
        <f>'Bahan &amp; Upah'!C$338</f>
        <v>125485.75</v>
      </c>
      <c r="G4284" s="361">
        <f>F4284*D4284</f>
        <v>1631.31475</v>
      </c>
      <c r="H4284" s="1749">
        <v>1</v>
      </c>
      <c r="I4284" s="1749">
        <f>(G4284/G$4300)*H4284</f>
        <v>2.2812036945657832E-3</v>
      </c>
      <c r="J4284" s="1803"/>
    </row>
    <row r="4285" spans="1:10" ht="15.75" customHeight="1">
      <c r="A4285" s="1780"/>
      <c r="B4285" s="1739"/>
      <c r="C4285" s="1878" t="s">
        <v>2107</v>
      </c>
      <c r="D4285" s="2108">
        <v>4.3E-3</v>
      </c>
      <c r="E4285" s="413" t="s">
        <v>2069</v>
      </c>
      <c r="F4285" s="1883">
        <f>'Bahan &amp; Upah'!C$339</f>
        <v>102689.88</v>
      </c>
      <c r="G4285" s="1794">
        <f>F4285*D4285</f>
        <v>441.566484</v>
      </c>
      <c r="H4285" s="1749">
        <v>1</v>
      </c>
      <c r="I4285" s="1752">
        <f>(G4285/G$4300)*H4285</f>
        <v>6.174793029347787E-4</v>
      </c>
      <c r="J4285" s="1803"/>
    </row>
    <row r="4286" spans="1:10" ht="15.75" customHeight="1">
      <c r="A4286" s="1780"/>
      <c r="B4286" s="1739"/>
      <c r="C4286" s="1889" t="s">
        <v>2108</v>
      </c>
      <c r="D4286" s="2108"/>
      <c r="E4286" s="413"/>
      <c r="F4286" s="320"/>
      <c r="G4286" s="361">
        <f>SUM(G4282:G4285)</f>
        <v>10491.529234000001</v>
      </c>
      <c r="H4286" s="1749"/>
      <c r="I4286" s="1994">
        <f>SUM(I4282:I4285)</f>
        <v>1.4671181787724117E-2</v>
      </c>
      <c r="J4286" s="1803"/>
    </row>
    <row r="4287" spans="1:10" ht="15.75" customHeight="1">
      <c r="A4287" s="1780"/>
      <c r="B4287" s="1739" t="s">
        <v>1015</v>
      </c>
      <c r="C4287" s="1877" t="s">
        <v>2075</v>
      </c>
      <c r="D4287" s="2108"/>
      <c r="E4287" s="413"/>
      <c r="F4287" s="320"/>
      <c r="G4287" s="320"/>
      <c r="H4287" s="1749"/>
      <c r="I4287" s="1766"/>
      <c r="J4287" s="1803"/>
    </row>
    <row r="4288" spans="1:10" ht="15.75" customHeight="1">
      <c r="A4288" s="1780"/>
      <c r="B4288" s="1739"/>
      <c r="C4288" s="2079" t="s">
        <v>3149</v>
      </c>
      <c r="D4288" s="2108">
        <v>1.05</v>
      </c>
      <c r="E4288" s="413" t="s">
        <v>824</v>
      </c>
      <c r="F4288" s="1748">
        <f>'Bahan &amp; Upah'!C$373</f>
        <v>627162.79</v>
      </c>
      <c r="G4288" s="361">
        <f>F4288*D4288</f>
        <v>658520.92950000009</v>
      </c>
      <c r="H4288" s="1749">
        <v>1</v>
      </c>
      <c r="I4288" s="1749">
        <f>(G4288/G$4300)*H4288</f>
        <v>0.92086482839948203</v>
      </c>
      <c r="J4288" s="1803"/>
    </row>
    <row r="4289" spans="1:10" ht="15.75" customHeight="1">
      <c r="A4289" s="1780"/>
      <c r="B4289" s="1739"/>
      <c r="C4289" s="2079" t="s">
        <v>3084</v>
      </c>
      <c r="D4289" s="2108">
        <v>0.01</v>
      </c>
      <c r="E4289" s="413" t="s">
        <v>100</v>
      </c>
      <c r="F4289" s="1748">
        <f>'Bahan &amp; Upah'!C$377</f>
        <v>93550.92</v>
      </c>
      <c r="G4289" s="361">
        <f>F4289*D4289</f>
        <v>935.50919999999996</v>
      </c>
      <c r="H4289" s="1749">
        <v>1</v>
      </c>
      <c r="I4289" s="1749">
        <f>(G4289/G$4300)*H4289</f>
        <v>1.3082006665729468E-3</v>
      </c>
      <c r="J4289" s="1803"/>
    </row>
    <row r="4290" spans="1:10" ht="15.75" customHeight="1">
      <c r="A4290" s="1780"/>
      <c r="B4290" s="1739"/>
      <c r="C4290" s="2079" t="s">
        <v>3085</v>
      </c>
      <c r="D4290" s="2108"/>
      <c r="E4290" s="413"/>
      <c r="F4290" s="1748"/>
      <c r="G4290" s="1966"/>
      <c r="H4290" s="1749"/>
      <c r="I4290" s="1766"/>
      <c r="J4290" s="1803"/>
    </row>
    <row r="4291" spans="1:10" ht="15.75" customHeight="1">
      <c r="A4291" s="1780"/>
      <c r="B4291" s="1739"/>
      <c r="C4291" s="2079" t="s">
        <v>3086</v>
      </c>
      <c r="D4291" s="2108">
        <v>12</v>
      </c>
      <c r="E4291" s="413" t="s">
        <v>803</v>
      </c>
      <c r="F4291" s="1748">
        <f>'Bahan &amp; Upah'!C$374/6</f>
        <v>3635.6916666666671</v>
      </c>
      <c r="G4291" s="361">
        <f>F4291*D4291</f>
        <v>43628.3</v>
      </c>
      <c r="H4291" s="1749">
        <v>1</v>
      </c>
      <c r="I4291" s="1749">
        <f>(G4291/G$4300)*H4291</f>
        <v>6.1009096587659968E-2</v>
      </c>
      <c r="J4291" s="1803"/>
    </row>
    <row r="4292" spans="1:10" ht="15.75" customHeight="1">
      <c r="A4292" s="1780"/>
      <c r="B4292" s="1739"/>
      <c r="C4292" s="2079" t="s">
        <v>3087</v>
      </c>
      <c r="D4292" s="2108">
        <v>10</v>
      </c>
      <c r="E4292" s="413" t="s">
        <v>803</v>
      </c>
      <c r="F4292" s="1748">
        <f>'Bahan &amp; Upah'!C$375/500</f>
        <v>43.273300000000006</v>
      </c>
      <c r="G4292" s="361">
        <f>F4292*D4292</f>
        <v>432.73300000000006</v>
      </c>
      <c r="H4292" s="1749">
        <v>1</v>
      </c>
      <c r="I4292" s="1749">
        <f>(G4292/G$4300)*H4292</f>
        <v>6.0512670431045587E-4</v>
      </c>
      <c r="J4292" s="1803"/>
    </row>
    <row r="4293" spans="1:10" ht="15.75" customHeight="1">
      <c r="A4293" s="1780"/>
      <c r="B4293" s="1739"/>
      <c r="C4293" s="2079"/>
      <c r="D4293" s="2108"/>
      <c r="E4293" s="413"/>
      <c r="F4293" s="1748"/>
      <c r="G4293" s="1966"/>
      <c r="H4293" s="1749"/>
      <c r="I4293" s="1766"/>
      <c r="J4293" s="1803"/>
    </row>
    <row r="4294" spans="1:10" ht="15.75" customHeight="1">
      <c r="A4294" s="1780"/>
      <c r="B4294" s="1739"/>
      <c r="C4294" s="2079" t="s">
        <v>3088</v>
      </c>
      <c r="D4294" s="2108">
        <v>4.9000000000000002E-2</v>
      </c>
      <c r="E4294" s="413" t="s">
        <v>266</v>
      </c>
      <c r="F4294" s="1748">
        <f>'Bahan &amp; Upah'!C$25*0.0075</f>
        <v>198.8415</v>
      </c>
      <c r="G4294" s="361">
        <f>F4294*D4294</f>
        <v>9.7432335000000005</v>
      </c>
      <c r="H4294" s="1749">
        <v>1</v>
      </c>
      <c r="I4294" s="1749">
        <f>(G4294/G$4300)*H4294</f>
        <v>1.3624777350426771E-5</v>
      </c>
      <c r="J4294" s="1803"/>
    </row>
    <row r="4295" spans="1:10" ht="15.75" customHeight="1">
      <c r="A4295" s="1780"/>
      <c r="B4295" s="1739"/>
      <c r="C4295" s="2079" t="s">
        <v>3089</v>
      </c>
      <c r="D4295" s="2108">
        <v>1.2999999999999999E-2</v>
      </c>
      <c r="E4295" s="413" t="s">
        <v>266</v>
      </c>
      <c r="F4295" s="1748">
        <f>'Bahan &amp; Upah'!C$376*0.014</f>
        <v>323.87852000000004</v>
      </c>
      <c r="G4295" s="361">
        <f>F4295*D4295</f>
        <v>4.2104207599999999</v>
      </c>
      <c r="H4295" s="1749">
        <v>1</v>
      </c>
      <c r="I4295" s="1749">
        <f>(G4295/G$4300)*H4295</f>
        <v>5.887783086242844E-6</v>
      </c>
      <c r="J4295" s="1803"/>
    </row>
    <row r="4296" spans="1:10" ht="15.75" customHeight="1">
      <c r="A4296" s="1780"/>
      <c r="B4296" s="1739"/>
      <c r="C4296" s="2079" t="s">
        <v>3090</v>
      </c>
      <c r="D4296" s="2108">
        <v>3.0000000000000001E-3</v>
      </c>
      <c r="E4296" s="413" t="s">
        <v>266</v>
      </c>
      <c r="F4296" s="1748">
        <f>'Bahan &amp; Upah'!C$11</f>
        <v>362812.55</v>
      </c>
      <c r="G4296" s="1794">
        <f>F4296*D4296</f>
        <v>1088.4376500000001</v>
      </c>
      <c r="H4296" s="1749">
        <v>1</v>
      </c>
      <c r="I4296" s="1752">
        <f>(G4296/G$4300)*H4296</f>
        <v>1.5220532938137776E-3</v>
      </c>
      <c r="J4296" s="1803"/>
    </row>
    <row r="4297" spans="1:10" ht="15.75" customHeight="1">
      <c r="A4297" s="1780"/>
      <c r="B4297" s="1909"/>
      <c r="C4297" s="1889" t="s">
        <v>2091</v>
      </c>
      <c r="D4297" s="2110"/>
      <c r="E4297" s="333"/>
      <c r="F4297" s="328"/>
      <c r="G4297" s="361">
        <f>SUM(G4288:G4296)</f>
        <v>704619.86300426011</v>
      </c>
      <c r="H4297" s="1749"/>
      <c r="I4297" s="1994">
        <f>SUM(I4288:I4296)</f>
        <v>0.98532881821227591</v>
      </c>
      <c r="J4297" s="1803"/>
    </row>
    <row r="4298" spans="1:10" ht="15.75" customHeight="1">
      <c r="A4298" s="1780"/>
      <c r="B4298" s="1739" t="s">
        <v>1048</v>
      </c>
      <c r="C4298" s="1877" t="s">
        <v>2246</v>
      </c>
      <c r="D4298" s="2110"/>
      <c r="E4298" s="333"/>
      <c r="F4298" s="328"/>
      <c r="G4298" s="332"/>
      <c r="H4298" s="1749"/>
      <c r="I4298" s="1766"/>
      <c r="J4298" s="1803"/>
    </row>
    <row r="4299" spans="1:10" ht="15.75" customHeight="1">
      <c r="A4299" s="1780"/>
      <c r="B4299" s="1784"/>
      <c r="C4299" s="2082" t="s">
        <v>2110</v>
      </c>
      <c r="D4299" s="2112"/>
      <c r="E4299" s="1882"/>
      <c r="F4299" s="1845"/>
      <c r="G4299" s="1966"/>
      <c r="H4299" s="1749"/>
      <c r="I4299" s="1766"/>
      <c r="J4299" s="1750"/>
    </row>
    <row r="4300" spans="1:10" ht="15.75" customHeight="1">
      <c r="A4300" s="1780"/>
      <c r="B4300" s="1739" t="s">
        <v>979</v>
      </c>
      <c r="C4300" s="1804" t="s">
        <v>2129</v>
      </c>
      <c r="D4300" s="2113"/>
      <c r="E4300" s="1764"/>
      <c r="F4300" s="1765"/>
      <c r="G4300" s="1765">
        <f>G4286+G4297</f>
        <v>715111.39223826013</v>
      </c>
      <c r="H4300" s="1749"/>
      <c r="I4300" s="1766">
        <f>I4286+I4297+I4299</f>
        <v>1</v>
      </c>
      <c r="J4300" s="1750"/>
    </row>
    <row r="4301" spans="1:10" ht="15.75" customHeight="1">
      <c r="A4301" s="1780"/>
      <c r="B4301" s="1739" t="s">
        <v>2093</v>
      </c>
      <c r="C4301" s="2124" t="s">
        <v>2094</v>
      </c>
      <c r="D4301" s="2125">
        <v>0.15</v>
      </c>
      <c r="E4301" s="2126"/>
      <c r="F4301" s="2127"/>
      <c r="G4301" s="2127">
        <f>G4300*D4301</f>
        <v>107266.70883573902</v>
      </c>
      <c r="H4301" s="1749"/>
      <c r="I4301" s="1749"/>
      <c r="J4301" s="1750"/>
    </row>
    <row r="4302" spans="1:10" ht="15.75" customHeight="1">
      <c r="A4302" s="1786"/>
      <c r="B4302" s="1787" t="s">
        <v>2095</v>
      </c>
      <c r="C4302" s="1788" t="s">
        <v>2111</v>
      </c>
      <c r="D4302" s="2114"/>
      <c r="E4302" s="1773"/>
      <c r="F4302" s="1774"/>
      <c r="G4302" s="2115">
        <f>ROUNDUP((G4300+G4301),2)</f>
        <v>822378.11</v>
      </c>
      <c r="H4302" s="1937"/>
      <c r="I4302" s="1937"/>
      <c r="J4302" s="1938"/>
    </row>
    <row r="4303" spans="1:10" ht="15.75" customHeight="1">
      <c r="A4303" s="1733"/>
      <c r="B4303" s="1733"/>
      <c r="C4303" s="1733"/>
      <c r="D4303" s="1733"/>
      <c r="E4303" s="1733"/>
      <c r="F4303" s="1733"/>
      <c r="G4303" s="1733"/>
      <c r="H4303" s="1733"/>
      <c r="I4303" s="1733"/>
      <c r="J4303" s="1733"/>
    </row>
    <row r="4304" spans="1:10" ht="15.75" customHeight="1">
      <c r="A4304" s="1778">
        <f>A4280+1</f>
        <v>238</v>
      </c>
      <c r="B4304" s="1805" t="s">
        <v>2961</v>
      </c>
      <c r="C4304" s="1872" t="s">
        <v>3150</v>
      </c>
      <c r="D4304" s="1873"/>
      <c r="E4304" s="1874"/>
      <c r="F4304" s="1875"/>
      <c r="G4304" s="1875"/>
      <c r="H4304" s="2089"/>
      <c r="I4304" s="2089"/>
      <c r="J4304" s="2090"/>
    </row>
    <row r="4305" spans="1:10" ht="15.75" customHeight="1">
      <c r="A4305" s="1780"/>
      <c r="B4305" s="1739" t="s">
        <v>1004</v>
      </c>
      <c r="C4305" s="1877" t="s">
        <v>2067</v>
      </c>
      <c r="D4305" s="390"/>
      <c r="E4305" s="413"/>
      <c r="F4305" s="320"/>
      <c r="G4305" s="320"/>
      <c r="H4305" s="1782"/>
      <c r="I4305" s="1782"/>
      <c r="J4305" s="1783"/>
    </row>
    <row r="4306" spans="1:10" ht="15.75" customHeight="1">
      <c r="A4306" s="1780"/>
      <c r="B4306" s="1739"/>
      <c r="C4306" s="1878" t="s">
        <v>2103</v>
      </c>
      <c r="D4306" s="1841">
        <v>0.41699999999999998</v>
      </c>
      <c r="E4306" s="413" t="s">
        <v>2069</v>
      </c>
      <c r="F4306" s="1747">
        <f>'Bahan &amp; Upah'!C$336</f>
        <v>96332.65</v>
      </c>
      <c r="G4306" s="361">
        <f>F4306*D4306</f>
        <v>40170.715049999999</v>
      </c>
      <c r="H4306" s="2015">
        <v>1</v>
      </c>
      <c r="I4306" s="2015">
        <f>(G4306/G$4318)*H4306</f>
        <v>5.6814407250947345E-3</v>
      </c>
      <c r="J4306" s="1981"/>
    </row>
    <row r="4307" spans="1:10" ht="15.75" customHeight="1">
      <c r="A4307" s="1780"/>
      <c r="B4307" s="1739"/>
      <c r="C4307" s="1878" t="s">
        <v>2124</v>
      </c>
      <c r="D4307" s="1841">
        <v>0.69599999999999995</v>
      </c>
      <c r="E4307" s="413" t="s">
        <v>2069</v>
      </c>
      <c r="F4307" s="1883">
        <f>'Bahan &amp; Upah'!C$337</f>
        <v>114133.55</v>
      </c>
      <c r="G4307" s="361">
        <f>F4307*D4307</f>
        <v>79436.950799999991</v>
      </c>
      <c r="H4307" s="2015">
        <v>1</v>
      </c>
      <c r="I4307" s="2015">
        <f>(G4307/G$4318)*H4307</f>
        <v>1.1234958770106999E-2</v>
      </c>
      <c r="J4307" s="1981"/>
    </row>
    <row r="4308" spans="1:10" ht="15.75" customHeight="1">
      <c r="A4308" s="1780"/>
      <c r="B4308" s="1739"/>
      <c r="C4308" s="1878" t="s">
        <v>2072</v>
      </c>
      <c r="D4308" s="1841">
        <v>7.0000000000000007E-2</v>
      </c>
      <c r="E4308" s="413" t="s">
        <v>2069</v>
      </c>
      <c r="F4308" s="1748">
        <f>'Bahan &amp; Upah'!C$338</f>
        <v>125485.75</v>
      </c>
      <c r="G4308" s="361">
        <f>F4308*D4308</f>
        <v>8784.0025000000005</v>
      </c>
      <c r="H4308" s="2015">
        <v>1</v>
      </c>
      <c r="I4308" s="2015">
        <f>(G4308/G$4318)*H4308</f>
        <v>1.2423425739551022E-3</v>
      </c>
      <c r="J4308" s="1981"/>
    </row>
    <row r="4309" spans="1:10" ht="15.75" customHeight="1">
      <c r="A4309" s="1780"/>
      <c r="B4309" s="1739"/>
      <c r="C4309" s="1878" t="s">
        <v>2107</v>
      </c>
      <c r="D4309" s="1841">
        <v>2.1000000000000001E-2</v>
      </c>
      <c r="E4309" s="413" t="s">
        <v>2069</v>
      </c>
      <c r="F4309" s="1883">
        <f>'Bahan &amp; Upah'!C$339</f>
        <v>102689.88</v>
      </c>
      <c r="G4309" s="1785">
        <f>F4309*D4309</f>
        <v>2156.4874800000002</v>
      </c>
      <c r="H4309" s="2015">
        <v>1</v>
      </c>
      <c r="I4309" s="2016">
        <f>(G4309/G$4318)*H4309</f>
        <v>3.049972044754259E-4</v>
      </c>
      <c r="J4309" s="1981"/>
    </row>
    <row r="4310" spans="1:10" ht="15.75" customHeight="1">
      <c r="A4310" s="1780"/>
      <c r="B4310" s="1739"/>
      <c r="C4310" s="1889" t="s">
        <v>2108</v>
      </c>
      <c r="D4310" s="1841"/>
      <c r="E4310" s="413"/>
      <c r="F4310" s="320"/>
      <c r="G4310" s="361">
        <f>SUM(G4306:G4309)</f>
        <v>130548.15582999999</v>
      </c>
      <c r="H4310" s="2015"/>
      <c r="I4310" s="2017">
        <f>SUM(I4306:I4309)</f>
        <v>1.8463739273632263E-2</v>
      </c>
      <c r="J4310" s="1981"/>
    </row>
    <row r="4311" spans="1:10" ht="15.75" customHeight="1">
      <c r="A4311" s="1780"/>
      <c r="B4311" s="1739" t="s">
        <v>1015</v>
      </c>
      <c r="C4311" s="1877" t="s">
        <v>2075</v>
      </c>
      <c r="D4311" s="1841"/>
      <c r="E4311" s="413"/>
      <c r="F4311" s="317"/>
      <c r="G4311" s="320"/>
      <c r="H4311" s="2015"/>
      <c r="I4311" s="2015"/>
      <c r="J4311" s="1981"/>
    </row>
    <row r="4312" spans="1:10" ht="27.75" customHeight="1">
      <c r="A4312" s="1780"/>
      <c r="B4312" s="1739"/>
      <c r="C4312" s="2045" t="s">
        <v>3151</v>
      </c>
      <c r="D4312" s="1841">
        <v>1.05</v>
      </c>
      <c r="E4312" s="413" t="s">
        <v>124</v>
      </c>
      <c r="F4312" s="1747">
        <f>'Bahan &amp; Upah'!C$379</f>
        <v>5731167.8499999996</v>
      </c>
      <c r="G4312" s="1794">
        <f>F4312*D4312</f>
        <v>6017726.2424999997</v>
      </c>
      <c r="H4312" s="2015">
        <f>H4296</f>
        <v>1</v>
      </c>
      <c r="I4312" s="2016">
        <f>(G4312/G$4318)*H4312</f>
        <v>0.85110147788147994</v>
      </c>
      <c r="J4312" s="1981"/>
    </row>
    <row r="4313" spans="1:10" ht="15.75" customHeight="1">
      <c r="A4313" s="1780"/>
      <c r="B4313" s="1784"/>
      <c r="C4313" s="1889" t="s">
        <v>2091</v>
      </c>
      <c r="D4313" s="1841"/>
      <c r="E4313" s="413"/>
      <c r="F4313" s="320"/>
      <c r="G4313" s="361">
        <f>SUM(G4312:G4312)</f>
        <v>6017726.2424999997</v>
      </c>
      <c r="H4313" s="2015"/>
      <c r="I4313" s="2017">
        <f>SUM(I4312)</f>
        <v>0.85110147788147994</v>
      </c>
      <c r="J4313" s="1981"/>
    </row>
    <row r="4314" spans="1:10" ht="15.75" customHeight="1">
      <c r="A4314" s="1780"/>
      <c r="B4314" s="1739" t="s">
        <v>1048</v>
      </c>
      <c r="C4314" s="1877" t="s">
        <v>2246</v>
      </c>
      <c r="D4314" s="1841"/>
      <c r="E4314" s="413"/>
      <c r="F4314" s="317"/>
      <c r="G4314" s="320"/>
      <c r="H4314" s="2015"/>
      <c r="I4314" s="2015"/>
      <c r="J4314" s="1981"/>
    </row>
    <row r="4315" spans="1:10" ht="15.75" customHeight="1">
      <c r="A4315" s="1780"/>
      <c r="B4315" s="1784"/>
      <c r="C4315" s="1878"/>
      <c r="D4315" s="1841"/>
      <c r="E4315" s="413"/>
      <c r="F4315" s="320"/>
      <c r="G4315" s="361">
        <v>0</v>
      </c>
      <c r="H4315" s="2015"/>
      <c r="I4315" s="2018"/>
      <c r="J4315" s="1981"/>
    </row>
    <row r="4316" spans="1:10" ht="15.75" customHeight="1">
      <c r="A4316" s="1780"/>
      <c r="B4316" s="1784"/>
      <c r="C4316" s="1804" t="s">
        <v>2298</v>
      </c>
      <c r="D4316" s="1763"/>
      <c r="E4316" s="1764"/>
      <c r="F4316" s="1765"/>
      <c r="G4316" s="1765">
        <f>G4310+G4313+G4315</f>
        <v>6148274.3983299993</v>
      </c>
      <c r="H4316" s="2015"/>
      <c r="I4316" s="2018">
        <f>I4310+I4313</f>
        <v>0.86956521715511226</v>
      </c>
      <c r="J4316" s="1981"/>
    </row>
    <row r="4317" spans="1:10" ht="15.75" customHeight="1">
      <c r="A4317" s="1780"/>
      <c r="B4317" s="1784"/>
      <c r="C4317" s="1762" t="s">
        <v>2094</v>
      </c>
      <c r="D4317" s="1767">
        <f>M$4</f>
        <v>0.15</v>
      </c>
      <c r="E4317" s="1768"/>
      <c r="F4317" s="1765"/>
      <c r="G4317" s="1765">
        <f>G4316*D4317</f>
        <v>922241.15974949987</v>
      </c>
      <c r="H4317" s="2015"/>
      <c r="I4317" s="2018"/>
      <c r="J4317" s="1981"/>
    </row>
    <row r="4318" spans="1:10" ht="15.75" customHeight="1">
      <c r="A4318" s="1786"/>
      <c r="B4318" s="1890"/>
      <c r="C4318" s="1788" t="s">
        <v>2111</v>
      </c>
      <c r="D4318" s="1772"/>
      <c r="E4318" s="1773"/>
      <c r="F4318" s="1774"/>
      <c r="G4318" s="1998">
        <f>ROUNDUP((G4316+G4317),2)</f>
        <v>7070515.5599999996</v>
      </c>
      <c r="H4318" s="2068"/>
      <c r="I4318" s="2092"/>
      <c r="J4318" s="2008"/>
    </row>
    <row r="4319" spans="1:10" ht="15.75" customHeight="1">
      <c r="A4319" s="1733"/>
      <c r="B4319" s="1733"/>
      <c r="C4319" s="1733"/>
      <c r="D4319" s="1733"/>
      <c r="E4319" s="1733"/>
      <c r="F4319" s="1733"/>
      <c r="G4319" s="1733"/>
      <c r="H4319" s="1733"/>
      <c r="I4319" s="1733"/>
      <c r="J4319" s="1733"/>
    </row>
    <row r="4320" spans="1:10" ht="15.75" customHeight="1" thickBot="1">
      <c r="A4320" s="1733"/>
      <c r="B4320" s="1733"/>
      <c r="C4320" s="1733"/>
      <c r="D4320" s="1733"/>
      <c r="E4320" s="1733"/>
      <c r="F4320" s="1733"/>
      <c r="G4320" s="1733"/>
      <c r="H4320" s="1733"/>
      <c r="I4320" s="1733"/>
      <c r="J4320" s="1733"/>
    </row>
    <row r="4321" spans="1:10" ht="15.75" customHeight="1">
      <c r="A4321" s="1778">
        <v>239</v>
      </c>
      <c r="B4321" s="1805" t="s">
        <v>3365</v>
      </c>
      <c r="C4321" s="1872" t="s">
        <v>3367</v>
      </c>
      <c r="D4321" s="1873"/>
      <c r="E4321" s="1874"/>
      <c r="F4321" s="1875"/>
      <c r="G4321" s="1875"/>
      <c r="H4321" s="1997"/>
      <c r="I4321" s="1997"/>
      <c r="J4321" s="1947"/>
    </row>
    <row r="4322" spans="1:10" ht="15.75" customHeight="1">
      <c r="A4322" s="1780"/>
      <c r="B4322" s="1739" t="s">
        <v>1004</v>
      </c>
      <c r="C4322" s="1877" t="s">
        <v>2067</v>
      </c>
      <c r="D4322" s="390"/>
      <c r="E4322" s="413"/>
      <c r="F4322" s="320"/>
      <c r="G4322" s="320"/>
      <c r="H4322" s="1802"/>
      <c r="I4322" s="1802"/>
      <c r="J4322" s="1803"/>
    </row>
    <row r="4323" spans="1:10" ht="15.75" customHeight="1">
      <c r="A4323" s="1780"/>
      <c r="B4323" s="1739"/>
      <c r="C4323" s="1878" t="s">
        <v>2103</v>
      </c>
      <c r="D4323" s="2123">
        <v>0.04</v>
      </c>
      <c r="E4323" s="413" t="s">
        <v>2069</v>
      </c>
      <c r="F4323" s="1747">
        <f>'Bahan &amp; Upah'!C$336</f>
        <v>96332.65</v>
      </c>
      <c r="G4323" s="361">
        <f>F4323*D4323</f>
        <v>3853.306</v>
      </c>
      <c r="H4323" s="1980">
        <v>1</v>
      </c>
      <c r="I4323" s="1980">
        <f>(G4323/G4335)*H4323</f>
        <v>3.9667351894148363E-2</v>
      </c>
      <c r="J4323" s="1981"/>
    </row>
    <row r="4324" spans="1:10" ht="15.75" customHeight="1">
      <c r="A4324" s="1780"/>
      <c r="B4324" s="1739"/>
      <c r="C4324" s="1878" t="s">
        <v>2483</v>
      </c>
      <c r="D4324" s="2123">
        <v>0.04</v>
      </c>
      <c r="E4324" s="413" t="s">
        <v>2069</v>
      </c>
      <c r="F4324" s="1883">
        <f>'Bahan &amp; Upah'!C$337</f>
        <v>114133.55</v>
      </c>
      <c r="G4324" s="361">
        <f>F4324*D4324</f>
        <v>4565.3420000000006</v>
      </c>
      <c r="H4324" s="1980">
        <v>1</v>
      </c>
      <c r="I4324" s="1980">
        <f>(G4324/G4335)*H4324</f>
        <v>4.699731286099134E-2</v>
      </c>
      <c r="J4324" s="1981"/>
    </row>
    <row r="4325" spans="1:10" ht="15.75" customHeight="1">
      <c r="A4325" s="1780"/>
      <c r="B4325" s="1739"/>
      <c r="C4325" s="1878" t="s">
        <v>2105</v>
      </c>
      <c r="D4325" s="2123">
        <v>1.2999999999999999E-2</v>
      </c>
      <c r="E4325" s="413" t="s">
        <v>2069</v>
      </c>
      <c r="F4325" s="1748">
        <f>'Bahan &amp; Upah'!C$338</f>
        <v>125485.75</v>
      </c>
      <c r="G4325" s="361">
        <f>F4325*D4325</f>
        <v>1631.31475</v>
      </c>
      <c r="H4325" s="1980">
        <v>1</v>
      </c>
      <c r="I4325" s="1980">
        <f>(G4325/G4335)*H4325</f>
        <v>1.6793355170434083E-2</v>
      </c>
      <c r="J4325" s="1981"/>
    </row>
    <row r="4326" spans="1:10" ht="15.75" customHeight="1">
      <c r="A4326" s="1780"/>
      <c r="B4326" s="1739"/>
      <c r="C4326" s="1878" t="s">
        <v>2107</v>
      </c>
      <c r="D4326" s="2108">
        <v>4.3E-3</v>
      </c>
      <c r="E4326" s="413" t="s">
        <v>2069</v>
      </c>
      <c r="F4326" s="1883">
        <f>'Bahan &amp; Upah'!C$339</f>
        <v>102689.88</v>
      </c>
      <c r="G4326" s="1785">
        <f>F4326*D4326</f>
        <v>441.566484</v>
      </c>
      <c r="H4326" s="1980">
        <v>1</v>
      </c>
      <c r="I4326" s="1982">
        <f>(G4326/G4335)*H4326</f>
        <v>4.5456481020427226E-3</v>
      </c>
      <c r="J4326" s="1981"/>
    </row>
    <row r="4327" spans="1:10" ht="15.75" customHeight="1">
      <c r="A4327" s="1780"/>
      <c r="B4327" s="1739"/>
      <c r="C4327" s="1889" t="s">
        <v>2108</v>
      </c>
      <c r="D4327" s="1841"/>
      <c r="E4327" s="413"/>
      <c r="F4327" s="320"/>
      <c r="G4327" s="361">
        <f>SUM(G4323:G4326)</f>
        <v>10491.529234000001</v>
      </c>
      <c r="H4327" s="1980"/>
      <c r="I4327" s="1983">
        <f>SUM(I4323:I4326)</f>
        <v>0.1080036680276165</v>
      </c>
      <c r="J4327" s="1981"/>
    </row>
    <row r="4328" spans="1:10" ht="15.75" customHeight="1">
      <c r="A4328" s="1780"/>
      <c r="B4328" s="1739" t="s">
        <v>1015</v>
      </c>
      <c r="C4328" s="1877" t="s">
        <v>2075</v>
      </c>
      <c r="D4328" s="1841"/>
      <c r="E4328" s="413"/>
      <c r="F4328" s="320"/>
      <c r="G4328" s="320"/>
      <c r="H4328" s="1980"/>
      <c r="I4328" s="1980"/>
      <c r="J4328" s="1981"/>
    </row>
    <row r="4329" spans="1:10" ht="15.75" customHeight="1">
      <c r="A4329" s="1780"/>
      <c r="B4329" s="1784"/>
      <c r="C4329" s="1878" t="s">
        <v>3366</v>
      </c>
      <c r="D4329" s="1841">
        <v>1</v>
      </c>
      <c r="E4329" s="413" t="s">
        <v>100</v>
      </c>
      <c r="F4329" s="1883">
        <f>'Bahan &amp; Upah'!C63</f>
        <v>73978.460000000006</v>
      </c>
      <c r="G4329" s="332">
        <f>F4329*D4329</f>
        <v>73978.460000000006</v>
      </c>
      <c r="H4329" s="1980">
        <f>H4326</f>
        <v>1</v>
      </c>
      <c r="I4329" s="1980">
        <f>(G4329/G4335)*H4329</f>
        <v>0.7615615280507646</v>
      </c>
      <c r="J4329" s="1981"/>
    </row>
    <row r="4330" spans="1:10" ht="15.75" customHeight="1">
      <c r="A4330" s="1780"/>
      <c r="B4330" s="1784"/>
      <c r="C4330" s="1878"/>
      <c r="D4330" s="1841"/>
      <c r="E4330" s="413"/>
      <c r="F4330" s="1883"/>
      <c r="G4330" s="332"/>
      <c r="H4330" s="1980"/>
      <c r="I4330" s="1980"/>
      <c r="J4330" s="1981"/>
    </row>
    <row r="4331" spans="1:10" ht="15.75" customHeight="1">
      <c r="A4331" s="1780"/>
      <c r="B4331" s="1784"/>
      <c r="C4331" s="1878"/>
      <c r="D4331" s="1841"/>
      <c r="E4331" s="413"/>
      <c r="F4331" s="1883"/>
      <c r="G4331" s="361"/>
      <c r="H4331" s="1980"/>
      <c r="I4331" s="1982"/>
      <c r="J4331" s="1981"/>
    </row>
    <row r="4332" spans="1:10" ht="15.75" customHeight="1">
      <c r="A4332" s="1780"/>
      <c r="B4332" s="1784"/>
      <c r="C4332" s="1878"/>
      <c r="D4332" s="1841"/>
      <c r="E4332" s="413"/>
      <c r="F4332" s="320"/>
      <c r="G4332" s="361">
        <f>SUM(G4329:G4331)</f>
        <v>73978.460000000006</v>
      </c>
      <c r="H4332" s="1980"/>
      <c r="I4332" s="1983">
        <f>SUM(I4329:I4331)</f>
        <v>0.7615615280507646</v>
      </c>
      <c r="J4332" s="1981"/>
    </row>
    <row r="4333" spans="1:10" ht="15.75" customHeight="1">
      <c r="A4333" s="1780"/>
      <c r="B4333" s="1784"/>
      <c r="C4333" s="1804" t="s">
        <v>2298</v>
      </c>
      <c r="D4333" s="1763"/>
      <c r="E4333" s="1764"/>
      <c r="F4333" s="1765"/>
      <c r="G4333" s="1765">
        <f>G4327+G4332</f>
        <v>84469.989234000008</v>
      </c>
      <c r="H4333" s="1980"/>
      <c r="I4333" s="1984">
        <f>I4327+I4332</f>
        <v>0.86956519607838112</v>
      </c>
      <c r="J4333" s="1981"/>
    </row>
    <row r="4334" spans="1:10" ht="15.75" customHeight="1">
      <c r="A4334" s="1780"/>
      <c r="B4334" s="1784"/>
      <c r="C4334" s="1762" t="s">
        <v>2094</v>
      </c>
      <c r="D4334" s="1767">
        <f>M$4</f>
        <v>0.15</v>
      </c>
      <c r="E4334" s="1768"/>
      <c r="F4334" s="1765"/>
      <c r="G4334" s="1765">
        <f>G4333*D4334</f>
        <v>12670.498385100002</v>
      </c>
      <c r="H4334" s="1980"/>
      <c r="I4334" s="1980"/>
      <c r="J4334" s="1981"/>
    </row>
    <row r="4335" spans="1:10" ht="15.75" customHeight="1" thickBot="1">
      <c r="A4335" s="1786"/>
      <c r="B4335" s="1890"/>
      <c r="C4335" s="1788" t="s">
        <v>2111</v>
      </c>
      <c r="D4335" s="1772"/>
      <c r="E4335" s="1773"/>
      <c r="F4335" s="1774"/>
      <c r="G4335" s="1998">
        <f>ROUNDUP((G4333+G4334),2)</f>
        <v>97140.489999999991</v>
      </c>
      <c r="H4335" s="1985"/>
      <c r="I4335" s="1985"/>
      <c r="J4335" s="1986"/>
    </row>
    <row r="4336" spans="1:10" ht="15.75" customHeight="1">
      <c r="A4336" s="1733"/>
      <c r="B4336" s="1733"/>
      <c r="C4336" s="1733"/>
      <c r="D4336" s="1733"/>
      <c r="E4336" s="1733"/>
      <c r="F4336" s="1733"/>
      <c r="G4336" s="1733"/>
      <c r="H4336" s="1733"/>
      <c r="I4336" s="1733"/>
      <c r="J4336" s="1733"/>
    </row>
    <row r="4337" spans="1:10" ht="15.75" customHeight="1">
      <c r="A4337" s="1733"/>
      <c r="B4337" s="1733"/>
      <c r="C4337" s="1733"/>
      <c r="D4337" s="1733"/>
      <c r="E4337" s="1733"/>
      <c r="F4337" s="1733"/>
      <c r="G4337" s="1733"/>
      <c r="H4337" s="1733"/>
      <c r="I4337" s="1733"/>
      <c r="J4337" s="1733"/>
    </row>
    <row r="4338" spans="1:10" ht="15.75" customHeight="1">
      <c r="A4338" s="1733"/>
      <c r="B4338" s="1733"/>
      <c r="C4338" s="1733"/>
      <c r="D4338" s="1733"/>
      <c r="E4338" s="1733"/>
      <c r="F4338" s="1733"/>
      <c r="G4338" s="1733"/>
      <c r="H4338" s="1733"/>
      <c r="I4338" s="1733"/>
      <c r="J4338" s="1733"/>
    </row>
    <row r="4339" spans="1:10" ht="15.75" customHeight="1">
      <c r="A4339" s="1733"/>
      <c r="B4339" s="1733"/>
      <c r="C4339" s="1733"/>
      <c r="D4339" s="1733"/>
      <c r="E4339" s="1733"/>
      <c r="F4339" s="1733"/>
      <c r="G4339" s="1733"/>
      <c r="H4339" s="1733"/>
      <c r="I4339" s="1733"/>
      <c r="J4339" s="1733"/>
    </row>
    <row r="4340" spans="1:10" ht="15.75" customHeight="1">
      <c r="A4340" s="1733"/>
      <c r="B4340" s="1733"/>
      <c r="C4340" s="1733"/>
      <c r="D4340" s="1733"/>
      <c r="E4340" s="1733"/>
      <c r="F4340" s="1733"/>
      <c r="G4340" s="1733"/>
      <c r="H4340" s="1733"/>
      <c r="I4340" s="1733"/>
      <c r="J4340" s="1733"/>
    </row>
    <row r="4341" spans="1:10" ht="15.75" customHeight="1">
      <c r="A4341" s="1733"/>
      <c r="B4341" s="1733"/>
      <c r="C4341" s="1733"/>
      <c r="D4341" s="1733"/>
      <c r="E4341" s="1733"/>
      <c r="F4341" s="1733"/>
      <c r="G4341" s="1733"/>
      <c r="H4341" s="1733"/>
      <c r="I4341" s="1733"/>
      <c r="J4341" s="1733"/>
    </row>
    <row r="4342" spans="1:10" ht="15.75" customHeight="1">
      <c r="A4342" s="1733"/>
      <c r="B4342" s="1733"/>
      <c r="C4342" s="1733"/>
      <c r="D4342" s="1733"/>
      <c r="E4342" s="1733"/>
      <c r="F4342" s="1733"/>
      <c r="G4342" s="1733"/>
      <c r="H4342" s="1733"/>
      <c r="I4342" s="1733"/>
      <c r="J4342" s="1733"/>
    </row>
    <row r="4343" spans="1:10" ht="15.75" customHeight="1">
      <c r="A4343" s="1733"/>
      <c r="B4343" s="1733"/>
      <c r="C4343" s="1733"/>
      <c r="D4343" s="1733"/>
      <c r="E4343" s="1733"/>
      <c r="F4343" s="1733"/>
      <c r="G4343" s="1733"/>
      <c r="H4343" s="1733"/>
      <c r="I4343" s="1733"/>
      <c r="J4343" s="1733"/>
    </row>
    <row r="4344" spans="1:10" ht="15.75" customHeight="1">
      <c r="A4344" s="1733"/>
      <c r="B4344" s="1733"/>
      <c r="C4344" s="1733"/>
      <c r="D4344" s="1733"/>
      <c r="E4344" s="1733"/>
      <c r="F4344" s="1733"/>
      <c r="G4344" s="1733"/>
      <c r="H4344" s="1733"/>
      <c r="I4344" s="1733"/>
      <c r="J4344" s="1733"/>
    </row>
    <row r="4345" spans="1:10" ht="15.75" customHeight="1">
      <c r="A4345" s="1733"/>
      <c r="B4345" s="1733"/>
      <c r="C4345" s="1733"/>
      <c r="D4345" s="1733"/>
      <c r="E4345" s="1733"/>
      <c r="F4345" s="1733"/>
      <c r="G4345" s="1733"/>
      <c r="H4345" s="1733"/>
      <c r="I4345" s="1733"/>
      <c r="J4345" s="1733"/>
    </row>
    <row r="4346" spans="1:10" ht="15.75" customHeight="1">
      <c r="A4346" s="1733"/>
      <c r="B4346" s="1733"/>
      <c r="C4346" s="1733"/>
      <c r="D4346" s="1733"/>
      <c r="E4346" s="1733"/>
      <c r="F4346" s="1733"/>
      <c r="G4346" s="1733"/>
      <c r="H4346" s="1733"/>
      <c r="I4346" s="1733"/>
      <c r="J4346" s="1733"/>
    </row>
    <row r="4347" spans="1:10" ht="15.75" customHeight="1">
      <c r="A4347" s="1733"/>
      <c r="B4347" s="1733"/>
      <c r="C4347" s="1733"/>
      <c r="D4347" s="1733"/>
      <c r="E4347" s="1733"/>
      <c r="F4347" s="1733"/>
      <c r="G4347" s="1733"/>
      <c r="H4347" s="1733"/>
      <c r="I4347" s="1733"/>
      <c r="J4347" s="1733"/>
    </row>
    <row r="4348" spans="1:10" ht="15.75" customHeight="1">
      <c r="A4348" s="1733"/>
      <c r="B4348" s="1733"/>
      <c r="C4348" s="1733"/>
      <c r="D4348" s="1733"/>
      <c r="E4348" s="1733"/>
      <c r="F4348" s="1733"/>
      <c r="G4348" s="1733"/>
      <c r="H4348" s="1733"/>
      <c r="I4348" s="1733"/>
      <c r="J4348" s="1733"/>
    </row>
    <row r="4349" spans="1:10" ht="15.75" customHeight="1">
      <c r="A4349" s="1733"/>
      <c r="B4349" s="1733"/>
      <c r="C4349" s="1733"/>
      <c r="D4349" s="1733"/>
      <c r="E4349" s="1733"/>
      <c r="F4349" s="1733"/>
      <c r="G4349" s="1733"/>
      <c r="H4349" s="1733"/>
      <c r="I4349" s="1733"/>
      <c r="J4349" s="1733"/>
    </row>
    <row r="4350" spans="1:10" ht="15.75" customHeight="1">
      <c r="A4350" s="1733"/>
      <c r="B4350" s="1733"/>
      <c r="C4350" s="1733"/>
      <c r="D4350" s="1733"/>
      <c r="E4350" s="1733"/>
      <c r="F4350" s="1733"/>
      <c r="G4350" s="1733"/>
      <c r="H4350" s="1733"/>
      <c r="I4350" s="1733"/>
      <c r="J4350" s="1733"/>
    </row>
    <row r="4351" spans="1:10" ht="15.75" customHeight="1">
      <c r="A4351" s="1733"/>
      <c r="B4351" s="1733"/>
      <c r="C4351" s="1733"/>
      <c r="D4351" s="1733"/>
      <c r="E4351" s="1733"/>
      <c r="F4351" s="1733"/>
      <c r="G4351" s="1733"/>
      <c r="H4351" s="1733"/>
      <c r="I4351" s="1733"/>
      <c r="J4351" s="1733"/>
    </row>
    <row r="4352" spans="1:10" ht="15.75" customHeight="1">
      <c r="A4352" s="1733"/>
      <c r="B4352" s="1733"/>
      <c r="C4352" s="1733"/>
      <c r="D4352" s="1733"/>
      <c r="E4352" s="1733"/>
      <c r="F4352" s="1733"/>
      <c r="G4352" s="1733"/>
      <c r="H4352" s="1733"/>
      <c r="I4352" s="1733"/>
      <c r="J4352" s="1733"/>
    </row>
    <row r="4353" spans="1:10" ht="15.75" customHeight="1">
      <c r="A4353" s="1733"/>
      <c r="B4353" s="1733"/>
      <c r="C4353" s="1733"/>
      <c r="D4353" s="1733"/>
      <c r="E4353" s="1733"/>
      <c r="F4353" s="1733"/>
      <c r="G4353" s="1733"/>
      <c r="H4353" s="1733"/>
      <c r="I4353" s="1733"/>
      <c r="J4353" s="1733"/>
    </row>
    <row r="4354" spans="1:10" ht="15.75" customHeight="1">
      <c r="A4354" s="1733"/>
      <c r="B4354" s="1733"/>
      <c r="C4354" s="1733"/>
      <c r="D4354" s="1733"/>
      <c r="E4354" s="1733"/>
      <c r="F4354" s="1733"/>
      <c r="G4354" s="1733"/>
      <c r="H4354" s="1733"/>
      <c r="I4354" s="1733"/>
      <c r="J4354" s="1733"/>
    </row>
    <row r="4355" spans="1:10" ht="15.75" customHeight="1">
      <c r="A4355" s="1733"/>
      <c r="B4355" s="1733"/>
      <c r="C4355" s="1733"/>
      <c r="D4355" s="1733"/>
      <c r="E4355" s="1733"/>
      <c r="F4355" s="1733"/>
      <c r="G4355" s="1733"/>
      <c r="H4355" s="1733"/>
      <c r="I4355" s="1733"/>
      <c r="J4355" s="1733"/>
    </row>
    <row r="4356" spans="1:10" ht="15.75" customHeight="1">
      <c r="A4356" s="1733"/>
      <c r="B4356" s="1733"/>
      <c r="C4356" s="1733"/>
      <c r="D4356" s="1733"/>
      <c r="E4356" s="1733"/>
      <c r="F4356" s="1733"/>
      <c r="G4356" s="1733"/>
      <c r="H4356" s="1733"/>
      <c r="I4356" s="1733"/>
      <c r="J4356" s="1733"/>
    </row>
    <row r="4357" spans="1:10" ht="15.75" customHeight="1">
      <c r="A4357" s="1733"/>
      <c r="B4357" s="1733"/>
      <c r="C4357" s="1733"/>
      <c r="D4357" s="1733"/>
      <c r="E4357" s="1733"/>
      <c r="F4357" s="1733"/>
      <c r="G4357" s="1733"/>
      <c r="H4357" s="1733"/>
      <c r="I4357" s="1733"/>
      <c r="J4357" s="1733"/>
    </row>
    <row r="4358" spans="1:10" ht="15.75" customHeight="1">
      <c r="A4358" s="1733"/>
      <c r="B4358" s="1733"/>
      <c r="C4358" s="1733"/>
      <c r="D4358" s="1733"/>
      <c r="E4358" s="1733"/>
      <c r="F4358" s="1733"/>
      <c r="G4358" s="1733"/>
      <c r="H4358" s="1733"/>
      <c r="I4358" s="1733"/>
      <c r="J4358" s="1733"/>
    </row>
    <row r="4359" spans="1:10" ht="15.75" customHeight="1">
      <c r="A4359" s="1733"/>
      <c r="B4359" s="1733"/>
      <c r="C4359" s="1733"/>
      <c r="D4359" s="1733"/>
      <c r="E4359" s="1733"/>
      <c r="F4359" s="1733"/>
      <c r="G4359" s="1733"/>
      <c r="H4359" s="1733"/>
      <c r="I4359" s="1733"/>
      <c r="J4359" s="1733"/>
    </row>
    <row r="4360" spans="1:10" ht="15.75" customHeight="1">
      <c r="A4360" s="1733"/>
      <c r="B4360" s="1733"/>
      <c r="C4360" s="1733"/>
      <c r="D4360" s="1733"/>
      <c r="E4360" s="1733"/>
      <c r="F4360" s="1733"/>
      <c r="G4360" s="1733"/>
      <c r="H4360" s="1733"/>
      <c r="I4360" s="1733"/>
      <c r="J4360" s="1733"/>
    </row>
    <row r="4361" spans="1:10" ht="15.75" customHeight="1">
      <c r="A4361" s="1733"/>
      <c r="B4361" s="1733"/>
      <c r="C4361" s="1733"/>
      <c r="D4361" s="1733"/>
      <c r="E4361" s="1733"/>
      <c r="F4361" s="1733"/>
      <c r="G4361" s="1733"/>
      <c r="H4361" s="1733"/>
      <c r="I4361" s="1733"/>
      <c r="J4361" s="1733"/>
    </row>
    <row r="4362" spans="1:10" ht="15.75" customHeight="1">
      <c r="A4362" s="1733"/>
      <c r="B4362" s="1733"/>
      <c r="C4362" s="1733"/>
      <c r="D4362" s="1733"/>
      <c r="E4362" s="1733"/>
      <c r="F4362" s="1733"/>
      <c r="G4362" s="1733"/>
      <c r="H4362" s="1733"/>
      <c r="I4362" s="1733"/>
      <c r="J4362" s="1733"/>
    </row>
    <row r="4363" spans="1:10" ht="15.75" customHeight="1">
      <c r="A4363" s="1733"/>
      <c r="B4363" s="1733"/>
      <c r="C4363" s="1733"/>
      <c r="D4363" s="1733"/>
      <c r="E4363" s="1733"/>
      <c r="F4363" s="1733"/>
      <c r="G4363" s="1733"/>
      <c r="H4363" s="1733"/>
      <c r="I4363" s="1733"/>
      <c r="J4363" s="1733"/>
    </row>
    <row r="4364" spans="1:10" ht="15.75" customHeight="1">
      <c r="A4364" s="1733"/>
      <c r="B4364" s="1733"/>
      <c r="C4364" s="1733"/>
      <c r="D4364" s="1733"/>
      <c r="E4364" s="1733"/>
      <c r="F4364" s="1733"/>
      <c r="G4364" s="1733"/>
      <c r="H4364" s="1733"/>
      <c r="I4364" s="1733"/>
      <c r="J4364" s="1733"/>
    </row>
    <row r="4365" spans="1:10" ht="15.75" customHeight="1">
      <c r="A4365" s="1733"/>
      <c r="B4365" s="1733"/>
      <c r="C4365" s="1733"/>
      <c r="D4365" s="1733"/>
      <c r="E4365" s="1733"/>
      <c r="F4365" s="1733"/>
      <c r="G4365" s="1733"/>
      <c r="H4365" s="1733"/>
      <c r="I4365" s="1733"/>
      <c r="J4365" s="1733"/>
    </row>
    <row r="4366" spans="1:10" ht="15.75" customHeight="1">
      <c r="A4366" s="1733"/>
      <c r="B4366" s="1733"/>
      <c r="C4366" s="1733"/>
      <c r="D4366" s="1733"/>
      <c r="E4366" s="1733"/>
      <c r="F4366" s="1733"/>
      <c r="G4366" s="1733"/>
      <c r="H4366" s="1733"/>
      <c r="I4366" s="1733"/>
      <c r="J4366" s="1733"/>
    </row>
    <row r="4367" spans="1:10" ht="15.75" customHeight="1">
      <c r="A4367" s="1733"/>
      <c r="B4367" s="1733"/>
      <c r="C4367" s="1733"/>
      <c r="D4367" s="1733"/>
      <c r="E4367" s="1733"/>
      <c r="F4367" s="1733"/>
      <c r="G4367" s="1733"/>
      <c r="H4367" s="1733"/>
      <c r="I4367" s="1733"/>
      <c r="J4367" s="1733"/>
    </row>
    <row r="4368" spans="1:10" ht="15.75" customHeight="1">
      <c r="A4368" s="1733"/>
      <c r="B4368" s="1733"/>
      <c r="C4368" s="1733"/>
      <c r="D4368" s="1733"/>
      <c r="E4368" s="1733"/>
      <c r="F4368" s="1733"/>
      <c r="G4368" s="1733"/>
      <c r="H4368" s="1733"/>
      <c r="I4368" s="1733"/>
      <c r="J4368" s="1733"/>
    </row>
    <row r="4369" spans="1:10" ht="15.75" customHeight="1">
      <c r="A4369" s="1733"/>
      <c r="B4369" s="1733"/>
      <c r="C4369" s="1733"/>
      <c r="D4369" s="1733"/>
      <c r="E4369" s="1733"/>
      <c r="F4369" s="1733"/>
      <c r="G4369" s="1733"/>
      <c r="H4369" s="1733"/>
      <c r="I4369" s="1733"/>
      <c r="J4369" s="1733"/>
    </row>
    <row r="4370" spans="1:10" ht="15.75" customHeight="1">
      <c r="A4370" s="1733"/>
      <c r="B4370" s="1733"/>
      <c r="C4370" s="1733"/>
      <c r="D4370" s="1733"/>
      <c r="E4370" s="1733"/>
      <c r="F4370" s="1733"/>
      <c r="G4370" s="1733"/>
      <c r="H4370" s="1733"/>
      <c r="I4370" s="1733"/>
      <c r="J4370" s="1733"/>
    </row>
    <row r="4371" spans="1:10" ht="15.75" customHeight="1">
      <c r="A4371" s="1733"/>
      <c r="B4371" s="1733"/>
      <c r="C4371" s="1733"/>
      <c r="D4371" s="1733"/>
      <c r="E4371" s="1733"/>
      <c r="F4371" s="1733"/>
      <c r="G4371" s="1733"/>
      <c r="H4371" s="1733"/>
      <c r="I4371" s="1733"/>
      <c r="J4371" s="1733"/>
    </row>
    <row r="4372" spans="1:10" ht="15.75" customHeight="1">
      <c r="A4372" s="1733"/>
      <c r="B4372" s="1733"/>
      <c r="C4372" s="1733"/>
      <c r="D4372" s="1733"/>
      <c r="E4372" s="1733"/>
      <c r="F4372" s="1733"/>
      <c r="G4372" s="1733"/>
      <c r="H4372" s="1733"/>
      <c r="I4372" s="1733"/>
      <c r="J4372" s="1733"/>
    </row>
    <row r="4373" spans="1:10" ht="15.75" customHeight="1">
      <c r="A4373" s="1733"/>
      <c r="B4373" s="1733"/>
      <c r="C4373" s="1733"/>
      <c r="D4373" s="1733"/>
      <c r="E4373" s="1733"/>
      <c r="F4373" s="1733"/>
      <c r="G4373" s="1733"/>
      <c r="H4373" s="1733"/>
      <c r="I4373" s="1733"/>
      <c r="J4373" s="1733"/>
    </row>
    <row r="4374" spans="1:10" ht="15.75" customHeight="1">
      <c r="A4374" s="1733"/>
      <c r="B4374" s="1733"/>
      <c r="C4374" s="1733"/>
      <c r="D4374" s="1733"/>
      <c r="E4374" s="1733"/>
      <c r="F4374" s="1733"/>
      <c r="G4374" s="1733"/>
      <c r="H4374" s="1733"/>
      <c r="I4374" s="1733"/>
      <c r="J4374" s="1733"/>
    </row>
    <row r="4375" spans="1:10" ht="15.75" customHeight="1">
      <c r="A4375" s="1733"/>
      <c r="B4375" s="1733"/>
      <c r="C4375" s="1733"/>
      <c r="D4375" s="1733"/>
      <c r="E4375" s="1733"/>
      <c r="F4375" s="1733"/>
      <c r="G4375" s="1733"/>
      <c r="H4375" s="1733"/>
      <c r="I4375" s="1733"/>
      <c r="J4375" s="1733"/>
    </row>
    <row r="4376" spans="1:10" ht="15.75" customHeight="1">
      <c r="A4376" s="1733"/>
      <c r="B4376" s="1733"/>
      <c r="C4376" s="1733"/>
      <c r="D4376" s="1733"/>
      <c r="E4376" s="1733"/>
      <c r="F4376" s="1733"/>
      <c r="G4376" s="1733"/>
      <c r="H4376" s="1733"/>
      <c r="I4376" s="1733"/>
      <c r="J4376" s="1733"/>
    </row>
    <row r="4377" spans="1:10" ht="15.75" customHeight="1">
      <c r="A4377" s="1733"/>
      <c r="B4377" s="1733"/>
      <c r="C4377" s="1733"/>
      <c r="D4377" s="1733"/>
      <c r="E4377" s="1733"/>
      <c r="F4377" s="1733"/>
      <c r="G4377" s="1733"/>
      <c r="H4377" s="1733"/>
      <c r="I4377" s="1733"/>
      <c r="J4377" s="1733"/>
    </row>
    <row r="4378" spans="1:10" ht="15.75" customHeight="1">
      <c r="A4378" s="1733"/>
      <c r="B4378" s="1733"/>
      <c r="C4378" s="1733"/>
      <c r="D4378" s="1733"/>
      <c r="E4378" s="1733"/>
      <c r="F4378" s="1733"/>
      <c r="G4378" s="1733"/>
      <c r="H4378" s="1733"/>
      <c r="I4378" s="1733"/>
      <c r="J4378" s="1733"/>
    </row>
    <row r="4379" spans="1:10" ht="15.75" customHeight="1">
      <c r="A4379" s="1733"/>
      <c r="B4379" s="1733"/>
      <c r="C4379" s="1733"/>
      <c r="D4379" s="1733"/>
      <c r="E4379" s="1733"/>
      <c r="F4379" s="1733"/>
      <c r="G4379" s="1733"/>
      <c r="H4379" s="1733"/>
      <c r="I4379" s="1733"/>
      <c r="J4379" s="1733"/>
    </row>
    <row r="4380" spans="1:10" ht="15.75" customHeight="1">
      <c r="A4380" s="1733"/>
      <c r="B4380" s="1733"/>
      <c r="C4380" s="1733"/>
      <c r="D4380" s="1733"/>
      <c r="E4380" s="1733"/>
      <c r="F4380" s="1733"/>
      <c r="G4380" s="1733"/>
      <c r="H4380" s="1733"/>
      <c r="I4380" s="1733"/>
      <c r="J4380" s="1733"/>
    </row>
    <row r="4381" spans="1:10" ht="15.75" customHeight="1">
      <c r="A4381" s="1733"/>
      <c r="B4381" s="1733"/>
      <c r="C4381" s="1733"/>
      <c r="D4381" s="1733"/>
      <c r="E4381" s="1733"/>
      <c r="F4381" s="1733"/>
      <c r="G4381" s="1733"/>
      <c r="H4381" s="1733"/>
      <c r="I4381" s="1733"/>
      <c r="J4381" s="1733"/>
    </row>
    <row r="4382" spans="1:10" ht="15.75" customHeight="1">
      <c r="A4382" s="1733"/>
      <c r="B4382" s="1733"/>
      <c r="C4382" s="1733"/>
      <c r="D4382" s="1733"/>
      <c r="E4382" s="1733"/>
      <c r="F4382" s="1733"/>
      <c r="G4382" s="1733"/>
      <c r="H4382" s="1733"/>
      <c r="I4382" s="1733"/>
      <c r="J4382" s="1733"/>
    </row>
    <row r="4383" spans="1:10" ht="15.75" customHeight="1">
      <c r="A4383" s="1733"/>
      <c r="B4383" s="1733"/>
      <c r="C4383" s="1733"/>
      <c r="D4383" s="1733"/>
      <c r="E4383" s="1733"/>
      <c r="F4383" s="1733"/>
      <c r="G4383" s="1733"/>
      <c r="H4383" s="1733"/>
      <c r="I4383" s="1733"/>
      <c r="J4383" s="1733"/>
    </row>
    <row r="4384" spans="1:10" ht="15.75" customHeight="1">
      <c r="A4384" s="1733"/>
      <c r="B4384" s="1733"/>
      <c r="C4384" s="1733"/>
      <c r="D4384" s="1733"/>
      <c r="E4384" s="1733"/>
      <c r="F4384" s="1733"/>
      <c r="G4384" s="1733"/>
      <c r="H4384" s="1733"/>
      <c r="I4384" s="1733"/>
      <c r="J4384" s="1733"/>
    </row>
    <row r="4385" spans="1:10" ht="15.75" customHeight="1">
      <c r="A4385" s="1733"/>
      <c r="B4385" s="1733"/>
      <c r="C4385" s="1733"/>
      <c r="D4385" s="1733"/>
      <c r="E4385" s="1733"/>
      <c r="F4385" s="1733"/>
      <c r="G4385" s="1733"/>
      <c r="H4385" s="1733"/>
      <c r="I4385" s="1733"/>
      <c r="J4385" s="1733"/>
    </row>
    <row r="4386" spans="1:10" ht="15.75" customHeight="1">
      <c r="A4386" s="1733"/>
      <c r="B4386" s="1733"/>
      <c r="C4386" s="1733"/>
      <c r="D4386" s="1733"/>
      <c r="E4386" s="1733"/>
      <c r="F4386" s="1733"/>
      <c r="G4386" s="1733"/>
      <c r="H4386" s="1733"/>
      <c r="I4386" s="1733"/>
      <c r="J4386" s="1733"/>
    </row>
    <row r="4387" spans="1:10" ht="15.75" customHeight="1">
      <c r="A4387" s="1733"/>
      <c r="B4387" s="1733"/>
      <c r="C4387" s="1733"/>
      <c r="D4387" s="1733"/>
      <c r="E4387" s="1733"/>
      <c r="F4387" s="1733"/>
      <c r="G4387" s="1733"/>
      <c r="H4387" s="1733"/>
      <c r="I4387" s="1733"/>
      <c r="J4387" s="1733"/>
    </row>
    <row r="4388" spans="1:10" ht="15.75" customHeight="1">
      <c r="A4388" s="1733"/>
      <c r="B4388" s="1733"/>
      <c r="C4388" s="1733"/>
      <c r="D4388" s="1733"/>
      <c r="E4388" s="1733"/>
      <c r="F4388" s="1733"/>
      <c r="G4388" s="1733"/>
      <c r="H4388" s="1733"/>
      <c r="I4388" s="1733"/>
      <c r="J4388" s="1733"/>
    </row>
    <row r="4389" spans="1:10" ht="15.75" customHeight="1">
      <c r="A4389" s="1733"/>
      <c r="B4389" s="1733"/>
      <c r="C4389" s="1733"/>
      <c r="D4389" s="1733"/>
      <c r="E4389" s="1733"/>
      <c r="F4389" s="1733"/>
      <c r="G4389" s="1733"/>
      <c r="H4389" s="1733"/>
      <c r="I4389" s="1733"/>
      <c r="J4389" s="1733"/>
    </row>
    <row r="4390" spans="1:10" ht="15.75" customHeight="1">
      <c r="A4390" s="1733"/>
      <c r="B4390" s="1733"/>
      <c r="C4390" s="1733"/>
      <c r="D4390" s="1733"/>
      <c r="E4390" s="1733"/>
      <c r="F4390" s="1733"/>
      <c r="G4390" s="1733"/>
      <c r="H4390" s="1733"/>
      <c r="I4390" s="1733"/>
      <c r="J4390" s="1733"/>
    </row>
    <row r="4391" spans="1:10" ht="15.75" customHeight="1">
      <c r="A4391" s="1733"/>
      <c r="B4391" s="1733"/>
      <c r="C4391" s="1733"/>
      <c r="D4391" s="1733"/>
      <c r="E4391" s="1733"/>
      <c r="F4391" s="1733"/>
      <c r="G4391" s="1733"/>
      <c r="H4391" s="1733"/>
      <c r="I4391" s="1733"/>
      <c r="J4391" s="1733"/>
    </row>
    <row r="4392" spans="1:10" ht="15.75" customHeight="1">
      <c r="A4392" s="1733"/>
      <c r="B4392" s="1733"/>
      <c r="C4392" s="1733"/>
      <c r="D4392" s="1733"/>
      <c r="E4392" s="1733"/>
      <c r="F4392" s="1733"/>
      <c r="G4392" s="1733"/>
      <c r="H4392" s="1733"/>
      <c r="I4392" s="1733"/>
      <c r="J4392" s="1733"/>
    </row>
    <row r="4393" spans="1:10" ht="15.75" customHeight="1">
      <c r="A4393" s="1733"/>
      <c r="B4393" s="1733"/>
      <c r="C4393" s="1733"/>
      <c r="D4393" s="1733"/>
      <c r="E4393" s="1733"/>
      <c r="F4393" s="1733"/>
      <c r="G4393" s="1733"/>
      <c r="H4393" s="1733"/>
      <c r="I4393" s="1733"/>
      <c r="J4393" s="1733"/>
    </row>
    <row r="4394" spans="1:10" ht="15.75" customHeight="1">
      <c r="A4394" s="1733"/>
      <c r="B4394" s="1733"/>
      <c r="C4394" s="1733"/>
      <c r="D4394" s="1733"/>
      <c r="E4394" s="1733"/>
      <c r="F4394" s="1733"/>
      <c r="G4394" s="1733"/>
      <c r="H4394" s="1733"/>
      <c r="I4394" s="1733"/>
      <c r="J4394" s="1733"/>
    </row>
    <row r="4395" spans="1:10" ht="15.75" customHeight="1">
      <c r="A4395" s="1733"/>
      <c r="B4395" s="1733"/>
      <c r="C4395" s="1733"/>
      <c r="D4395" s="1733"/>
      <c r="E4395" s="1733"/>
      <c r="F4395" s="1733"/>
      <c r="G4395" s="1733"/>
      <c r="H4395" s="1733"/>
      <c r="I4395" s="1733"/>
      <c r="J4395" s="1733"/>
    </row>
    <row r="4396" spans="1:10" ht="15.75" customHeight="1">
      <c r="A4396" s="1733"/>
      <c r="B4396" s="1733"/>
      <c r="C4396" s="1733"/>
      <c r="D4396" s="1733"/>
      <c r="E4396" s="1733"/>
      <c r="F4396" s="1733"/>
      <c r="G4396" s="1733"/>
      <c r="H4396" s="1733"/>
      <c r="I4396" s="1733"/>
      <c r="J4396" s="1733"/>
    </row>
    <row r="4397" spans="1:10" ht="15.75" customHeight="1">
      <c r="A4397" s="1733"/>
      <c r="B4397" s="1733"/>
      <c r="C4397" s="1733"/>
      <c r="D4397" s="1733"/>
      <c r="E4397" s="1733"/>
      <c r="F4397" s="1733"/>
      <c r="G4397" s="1733"/>
      <c r="H4397" s="1733"/>
      <c r="I4397" s="1733"/>
      <c r="J4397" s="1733"/>
    </row>
    <row r="4398" spans="1:10" ht="15.75" customHeight="1">
      <c r="A4398" s="1733"/>
      <c r="B4398" s="1733"/>
      <c r="C4398" s="1733"/>
      <c r="D4398" s="1733"/>
      <c r="E4398" s="1733"/>
      <c r="F4398" s="1733"/>
      <c r="G4398" s="1733"/>
      <c r="H4398" s="1733"/>
      <c r="I4398" s="1733"/>
      <c r="J4398" s="1733"/>
    </row>
    <row r="4399" spans="1:10" ht="15.75" customHeight="1">
      <c r="A4399" s="1733"/>
      <c r="B4399" s="1733"/>
      <c r="C4399" s="1733"/>
      <c r="D4399" s="1733"/>
      <c r="E4399" s="1733"/>
      <c r="F4399" s="1733"/>
      <c r="G4399" s="1733"/>
      <c r="H4399" s="1733"/>
      <c r="I4399" s="1733"/>
      <c r="J4399" s="1733"/>
    </row>
    <row r="4400" spans="1:10" ht="15.75" customHeight="1">
      <c r="A4400" s="1733"/>
      <c r="B4400" s="1733"/>
      <c r="C4400" s="1733"/>
      <c r="D4400" s="1733"/>
      <c r="E4400" s="1733"/>
      <c r="F4400" s="1733"/>
      <c r="G4400" s="1733"/>
      <c r="H4400" s="1733"/>
      <c r="I4400" s="1733"/>
      <c r="J4400" s="1733"/>
    </row>
    <row r="4401" spans="1:10" ht="15.75" customHeight="1">
      <c r="A4401" s="1733"/>
      <c r="B4401" s="1733"/>
      <c r="C4401" s="1733"/>
      <c r="D4401" s="1733"/>
      <c r="E4401" s="1733"/>
      <c r="F4401" s="1733"/>
      <c r="G4401" s="1733"/>
      <c r="H4401" s="1733"/>
      <c r="I4401" s="1733"/>
      <c r="J4401" s="1733"/>
    </row>
    <row r="4402" spans="1:10" ht="15.75" customHeight="1">
      <c r="A4402" s="1733"/>
      <c r="B4402" s="1733"/>
      <c r="C4402" s="1733"/>
      <c r="D4402" s="1733"/>
      <c r="E4402" s="1733"/>
      <c r="F4402" s="1733"/>
      <c r="G4402" s="1733"/>
      <c r="H4402" s="1733"/>
      <c r="I4402" s="1733"/>
      <c r="J4402" s="1733"/>
    </row>
    <row r="4403" spans="1:10" ht="15.75" customHeight="1">
      <c r="A4403" s="1733"/>
      <c r="B4403" s="1733"/>
      <c r="C4403" s="1733"/>
      <c r="D4403" s="1733"/>
      <c r="E4403" s="1733"/>
      <c r="F4403" s="1733"/>
      <c r="G4403" s="1733"/>
      <c r="H4403" s="1733"/>
      <c r="I4403" s="1733"/>
      <c r="J4403" s="1733"/>
    </row>
    <row r="4404" spans="1:10" ht="15.75" customHeight="1">
      <c r="A4404" s="1733"/>
      <c r="B4404" s="1733"/>
      <c r="C4404" s="1733"/>
      <c r="D4404" s="1733"/>
      <c r="E4404" s="1733"/>
      <c r="F4404" s="1733"/>
      <c r="G4404" s="1733"/>
      <c r="H4404" s="1733"/>
      <c r="I4404" s="1733"/>
      <c r="J4404" s="1733"/>
    </row>
    <row r="4405" spans="1:10" ht="15.75" customHeight="1">
      <c r="A4405" s="1733"/>
      <c r="B4405" s="1733"/>
      <c r="C4405" s="1733"/>
      <c r="D4405" s="1733"/>
      <c r="E4405" s="1733"/>
      <c r="F4405" s="1733"/>
      <c r="G4405" s="1733"/>
      <c r="H4405" s="1733"/>
      <c r="I4405" s="1733"/>
      <c r="J4405" s="1733"/>
    </row>
    <row r="4406" spans="1:10" ht="15.75" customHeight="1">
      <c r="A4406" s="1733"/>
      <c r="B4406" s="1733"/>
      <c r="C4406" s="1733"/>
      <c r="D4406" s="1733"/>
      <c r="E4406" s="1733"/>
      <c r="F4406" s="1733"/>
      <c r="G4406" s="1733"/>
      <c r="H4406" s="1733"/>
      <c r="I4406" s="1733"/>
      <c r="J4406" s="1733"/>
    </row>
    <row r="4407" spans="1:10" ht="15.75" customHeight="1">
      <c r="A4407" s="1733"/>
      <c r="B4407" s="1733"/>
      <c r="C4407" s="1733"/>
      <c r="D4407" s="1733"/>
      <c r="E4407" s="1733"/>
      <c r="F4407" s="1733"/>
      <c r="G4407" s="1733"/>
      <c r="H4407" s="1733"/>
      <c r="I4407" s="1733"/>
      <c r="J4407" s="1733"/>
    </row>
    <row r="4408" spans="1:10" ht="15.75" customHeight="1">
      <c r="A4408" s="1733"/>
      <c r="B4408" s="1733"/>
      <c r="C4408" s="1733"/>
      <c r="D4408" s="1733"/>
      <c r="E4408" s="1733"/>
      <c r="F4408" s="1733"/>
      <c r="G4408" s="1733"/>
      <c r="H4408" s="1733"/>
      <c r="I4408" s="1733"/>
      <c r="J4408" s="1733"/>
    </row>
    <row r="4409" spans="1:10" ht="15.75" customHeight="1">
      <c r="A4409" s="1733"/>
      <c r="B4409" s="1733"/>
      <c r="C4409" s="1733"/>
      <c r="D4409" s="1733"/>
      <c r="E4409" s="1733"/>
      <c r="F4409" s="1733"/>
      <c r="G4409" s="1733"/>
      <c r="H4409" s="1733"/>
      <c r="I4409" s="1733"/>
      <c r="J4409" s="1733"/>
    </row>
    <row r="4410" spans="1:10" ht="15.75" customHeight="1">
      <c r="A4410" s="1733"/>
      <c r="B4410" s="1733"/>
      <c r="C4410" s="1733"/>
      <c r="D4410" s="1733"/>
      <c r="E4410" s="1733"/>
      <c r="F4410" s="1733"/>
      <c r="G4410" s="1733"/>
      <c r="H4410" s="1733"/>
      <c r="I4410" s="1733"/>
      <c r="J4410" s="1733"/>
    </row>
    <row r="4411" spans="1:10" ht="15.75" customHeight="1">
      <c r="A4411" s="1733"/>
      <c r="B4411" s="1733"/>
      <c r="C4411" s="1733"/>
      <c r="D4411" s="1733"/>
      <c r="E4411" s="1733"/>
      <c r="F4411" s="1733"/>
      <c r="G4411" s="1733"/>
      <c r="H4411" s="1733"/>
      <c r="I4411" s="1733"/>
      <c r="J4411" s="1733"/>
    </row>
    <row r="4412" spans="1:10" ht="15.75" customHeight="1">
      <c r="A4412" s="1733"/>
      <c r="B4412" s="1733"/>
      <c r="C4412" s="1733"/>
      <c r="D4412" s="1733"/>
      <c r="E4412" s="1733"/>
      <c r="F4412" s="1733"/>
      <c r="G4412" s="1733"/>
      <c r="H4412" s="1733"/>
      <c r="I4412" s="1733"/>
      <c r="J4412" s="1733"/>
    </row>
    <row r="4413" spans="1:10" ht="15.75" customHeight="1">
      <c r="A4413" s="1733"/>
      <c r="B4413" s="1733"/>
      <c r="C4413" s="1733"/>
      <c r="D4413" s="1733"/>
      <c r="E4413" s="1733"/>
      <c r="F4413" s="1733"/>
      <c r="G4413" s="1733"/>
      <c r="H4413" s="1733"/>
      <c r="I4413" s="1733"/>
      <c r="J4413" s="1733"/>
    </row>
    <row r="4414" spans="1:10" ht="15.75" customHeight="1">
      <c r="A4414" s="1733"/>
      <c r="B4414" s="1733"/>
      <c r="C4414" s="1733"/>
      <c r="D4414" s="1733"/>
      <c r="E4414" s="1733"/>
      <c r="F4414" s="1733"/>
      <c r="G4414" s="1733"/>
      <c r="H4414" s="1733"/>
      <c r="I4414" s="1733"/>
      <c r="J4414" s="1733"/>
    </row>
    <row r="4415" spans="1:10" ht="15.75" customHeight="1">
      <c r="A4415" s="1733"/>
      <c r="B4415" s="1733"/>
      <c r="C4415" s="1733"/>
      <c r="D4415" s="1733"/>
      <c r="E4415" s="1733"/>
      <c r="F4415" s="1733"/>
      <c r="G4415" s="1733"/>
      <c r="H4415" s="1733"/>
      <c r="I4415" s="1733"/>
      <c r="J4415" s="1733"/>
    </row>
    <row r="4416" spans="1:10" ht="15.75" customHeight="1">
      <c r="A4416" s="1733"/>
      <c r="B4416" s="1733"/>
      <c r="C4416" s="1733"/>
      <c r="D4416" s="1733"/>
      <c r="E4416" s="1733"/>
      <c r="F4416" s="1733"/>
      <c r="G4416" s="1733"/>
      <c r="H4416" s="1733"/>
      <c r="I4416" s="1733"/>
      <c r="J4416" s="1733"/>
    </row>
    <row r="4417" spans="1:10" ht="15.75" customHeight="1">
      <c r="A4417" s="1733"/>
      <c r="B4417" s="1733"/>
      <c r="C4417" s="1733"/>
      <c r="D4417" s="1733"/>
      <c r="E4417" s="1733"/>
      <c r="F4417" s="1733"/>
      <c r="G4417" s="1733"/>
      <c r="H4417" s="1733"/>
      <c r="I4417" s="1733"/>
      <c r="J4417" s="1733"/>
    </row>
    <row r="4418" spans="1:10" ht="15.75" customHeight="1">
      <c r="A4418" s="1733"/>
      <c r="B4418" s="1733"/>
      <c r="C4418" s="1733"/>
      <c r="D4418" s="1733"/>
      <c r="E4418" s="1733"/>
      <c r="F4418" s="1733"/>
      <c r="G4418" s="1733"/>
      <c r="H4418" s="1733"/>
      <c r="I4418" s="1733"/>
      <c r="J4418" s="1733"/>
    </row>
    <row r="4419" spans="1:10" ht="15.75" customHeight="1">
      <c r="A4419" s="1733"/>
      <c r="B4419" s="1733"/>
      <c r="C4419" s="1733"/>
      <c r="D4419" s="1733"/>
      <c r="E4419" s="1733"/>
      <c r="F4419" s="1733"/>
      <c r="G4419" s="1733"/>
      <c r="H4419" s="1733"/>
      <c r="I4419" s="1733"/>
      <c r="J4419" s="1733"/>
    </row>
    <row r="4420" spans="1:10" ht="15.75" customHeight="1">
      <c r="A4420" s="1733"/>
      <c r="B4420" s="1733"/>
      <c r="C4420" s="1733"/>
      <c r="D4420" s="1733"/>
      <c r="E4420" s="1733"/>
      <c r="F4420" s="1733"/>
      <c r="G4420" s="1733"/>
      <c r="H4420" s="1733"/>
      <c r="I4420" s="1733"/>
      <c r="J4420" s="1733"/>
    </row>
    <row r="4421" spans="1:10" ht="15.75" customHeight="1">
      <c r="A4421" s="1733"/>
      <c r="B4421" s="1733"/>
      <c r="C4421" s="1733"/>
      <c r="D4421" s="1733"/>
      <c r="E4421" s="1733"/>
      <c r="F4421" s="1733"/>
      <c r="G4421" s="1733"/>
      <c r="H4421" s="1733"/>
      <c r="I4421" s="1733"/>
      <c r="J4421" s="1733"/>
    </row>
    <row r="4422" spans="1:10" ht="15.75" customHeight="1">
      <c r="A4422" s="1733"/>
      <c r="B4422" s="1733"/>
      <c r="C4422" s="1733"/>
      <c r="D4422" s="1733"/>
      <c r="E4422" s="1733"/>
      <c r="F4422" s="1733"/>
      <c r="G4422" s="1733"/>
      <c r="H4422" s="1733"/>
      <c r="I4422" s="1733"/>
      <c r="J4422" s="1733"/>
    </row>
    <row r="4423" spans="1:10" ht="15.75" customHeight="1">
      <c r="A4423" s="1733"/>
      <c r="B4423" s="1733"/>
      <c r="C4423" s="1733"/>
      <c r="D4423" s="1733"/>
      <c r="E4423" s="1733"/>
      <c r="F4423" s="1733"/>
      <c r="G4423" s="1733"/>
      <c r="H4423" s="1733"/>
      <c r="I4423" s="1733"/>
      <c r="J4423" s="1733"/>
    </row>
    <row r="4424" spans="1:10" ht="15.75" customHeight="1">
      <c r="A4424" s="1733"/>
      <c r="B4424" s="1733"/>
      <c r="C4424" s="1733"/>
      <c r="D4424" s="1733"/>
      <c r="E4424" s="1733"/>
      <c r="F4424" s="1733"/>
      <c r="G4424" s="1733"/>
      <c r="H4424" s="1733"/>
      <c r="I4424" s="1733"/>
      <c r="J4424" s="1733"/>
    </row>
    <row r="4425" spans="1:10" ht="15.75" customHeight="1">
      <c r="A4425" s="1733"/>
      <c r="B4425" s="1733"/>
      <c r="C4425" s="1733"/>
      <c r="D4425" s="1733"/>
      <c r="E4425" s="1733"/>
      <c r="F4425" s="1733"/>
      <c r="G4425" s="1733"/>
      <c r="H4425" s="1733"/>
      <c r="I4425" s="1733"/>
      <c r="J4425" s="1733"/>
    </row>
    <row r="4426" spans="1:10" ht="15.75" customHeight="1">
      <c r="A4426" s="1733"/>
      <c r="B4426" s="1733"/>
      <c r="C4426" s="1733"/>
      <c r="D4426" s="1733"/>
      <c r="E4426" s="1733"/>
      <c r="F4426" s="1733"/>
      <c r="G4426" s="1733"/>
      <c r="H4426" s="1733"/>
      <c r="I4426" s="1733"/>
      <c r="J4426" s="1733"/>
    </row>
    <row r="4427" spans="1:10" ht="15.75" customHeight="1">
      <c r="A4427" s="1733"/>
      <c r="B4427" s="1733"/>
      <c r="C4427" s="1733"/>
      <c r="D4427" s="1733"/>
      <c r="E4427" s="1733"/>
      <c r="F4427" s="1733"/>
      <c r="G4427" s="1733"/>
      <c r="H4427" s="1733"/>
      <c r="I4427" s="1733"/>
      <c r="J4427" s="1733"/>
    </row>
    <row r="4428" spans="1:10" ht="15.75" customHeight="1">
      <c r="A4428" s="1733"/>
      <c r="B4428" s="1733"/>
      <c r="C4428" s="1733"/>
      <c r="D4428" s="1733"/>
      <c r="E4428" s="1733"/>
      <c r="F4428" s="1733"/>
      <c r="G4428" s="1733"/>
      <c r="H4428" s="1733"/>
      <c r="I4428" s="1733"/>
      <c r="J4428" s="1733"/>
    </row>
    <row r="4429" spans="1:10" ht="15.75" customHeight="1">
      <c r="A4429" s="1733"/>
      <c r="B4429" s="1733"/>
      <c r="C4429" s="1733"/>
      <c r="D4429" s="1733"/>
      <c r="E4429" s="1733"/>
      <c r="F4429" s="1733"/>
      <c r="G4429" s="1733"/>
      <c r="H4429" s="1733"/>
      <c r="I4429" s="1733"/>
      <c r="J4429" s="1733"/>
    </row>
    <row r="4430" spans="1:10" ht="15.75" customHeight="1">
      <c r="A4430" s="1733"/>
      <c r="B4430" s="1733"/>
      <c r="C4430" s="1733"/>
      <c r="D4430" s="1733"/>
      <c r="E4430" s="1733"/>
      <c r="F4430" s="1733"/>
      <c r="G4430" s="1733"/>
      <c r="H4430" s="1733"/>
      <c r="I4430" s="1733"/>
      <c r="J4430" s="1733"/>
    </row>
    <row r="4431" spans="1:10" ht="15.75" customHeight="1">
      <c r="A4431" s="1733"/>
      <c r="B4431" s="1733"/>
      <c r="C4431" s="1733"/>
      <c r="D4431" s="1733"/>
      <c r="E4431" s="1733"/>
      <c r="F4431" s="1733"/>
      <c r="G4431" s="1733"/>
      <c r="H4431" s="1733"/>
      <c r="I4431" s="1733"/>
      <c r="J4431" s="1733"/>
    </row>
    <row r="4432" spans="1:10" ht="15.75" customHeight="1">
      <c r="A4432" s="1733"/>
      <c r="B4432" s="1733"/>
      <c r="C4432" s="1733"/>
      <c r="D4432" s="1733"/>
      <c r="E4432" s="1733"/>
      <c r="F4432" s="1733"/>
      <c r="G4432" s="1733"/>
      <c r="H4432" s="1733"/>
      <c r="I4432" s="1733"/>
      <c r="J4432" s="1733"/>
    </row>
    <row r="4433" spans="1:10" ht="15.75" customHeight="1">
      <c r="A4433" s="1733"/>
      <c r="B4433" s="1733"/>
      <c r="C4433" s="1733"/>
      <c r="D4433" s="1733"/>
      <c r="E4433" s="1733"/>
      <c r="F4433" s="1733"/>
      <c r="G4433" s="1733"/>
      <c r="H4433" s="1733"/>
      <c r="I4433" s="1733"/>
      <c r="J4433" s="1733"/>
    </row>
    <row r="4434" spans="1:10" ht="15.75" customHeight="1">
      <c r="A4434" s="1733"/>
      <c r="B4434" s="1733"/>
      <c r="C4434" s="1733"/>
      <c r="D4434" s="1733"/>
      <c r="E4434" s="1733"/>
      <c r="F4434" s="1733"/>
      <c r="G4434" s="1733"/>
      <c r="H4434" s="1733"/>
      <c r="I4434" s="1733"/>
      <c r="J4434" s="1733"/>
    </row>
    <row r="4435" spans="1:10" ht="15.75" customHeight="1">
      <c r="A4435" s="1733"/>
      <c r="B4435" s="1733"/>
      <c r="C4435" s="1733"/>
      <c r="D4435" s="1733"/>
      <c r="E4435" s="1733"/>
      <c r="F4435" s="1733"/>
      <c r="G4435" s="1733"/>
      <c r="H4435" s="1733"/>
      <c r="I4435" s="1733"/>
      <c r="J4435" s="1733"/>
    </row>
    <row r="4436" spans="1:10" ht="15.75" customHeight="1">
      <c r="A4436" s="1733"/>
      <c r="B4436" s="1733"/>
      <c r="C4436" s="1733"/>
      <c r="D4436" s="1733"/>
      <c r="E4436" s="1733"/>
      <c r="F4436" s="1733"/>
      <c r="G4436" s="1733"/>
      <c r="H4436" s="1733"/>
      <c r="I4436" s="1733"/>
      <c r="J4436" s="1733"/>
    </row>
    <row r="4437" spans="1:10" ht="15.75" customHeight="1">
      <c r="A4437" s="1733"/>
      <c r="B4437" s="1733"/>
      <c r="C4437" s="1733"/>
      <c r="D4437" s="1733"/>
      <c r="E4437" s="1733"/>
      <c r="F4437" s="1733"/>
      <c r="G4437" s="1733"/>
      <c r="H4437" s="1733"/>
      <c r="I4437" s="1733"/>
      <c r="J4437" s="1733"/>
    </row>
    <row r="4438" spans="1:10" ht="15.75" customHeight="1">
      <c r="A4438" s="1733"/>
      <c r="B4438" s="1733"/>
      <c r="C4438" s="1733"/>
      <c r="D4438" s="1733"/>
      <c r="E4438" s="1733"/>
      <c r="F4438" s="1733"/>
      <c r="G4438" s="1733"/>
      <c r="H4438" s="1733"/>
      <c r="I4438" s="1733"/>
      <c r="J4438" s="1733"/>
    </row>
    <row r="4439" spans="1:10" ht="15.75" customHeight="1">
      <c r="A4439" s="1733"/>
      <c r="B4439" s="1733"/>
      <c r="C4439" s="1733"/>
      <c r="D4439" s="1733"/>
      <c r="E4439" s="1733"/>
      <c r="F4439" s="1733"/>
      <c r="G4439" s="1733"/>
      <c r="H4439" s="1733"/>
      <c r="I4439" s="1733"/>
      <c r="J4439" s="1733"/>
    </row>
    <row r="4440" spans="1:10" ht="15.75" customHeight="1">
      <c r="A4440" s="1733"/>
      <c r="B4440" s="1733"/>
      <c r="C4440" s="1733"/>
      <c r="D4440" s="1733"/>
      <c r="E4440" s="1733"/>
      <c r="F4440" s="1733"/>
      <c r="G4440" s="1733"/>
      <c r="H4440" s="1733"/>
      <c r="I4440" s="1733"/>
      <c r="J4440" s="1733"/>
    </row>
    <row r="4441" spans="1:10" ht="15.75" customHeight="1">
      <c r="A4441" s="1733"/>
      <c r="B4441" s="1733"/>
      <c r="C4441" s="1733"/>
      <c r="D4441" s="1733"/>
      <c r="E4441" s="1733"/>
      <c r="F4441" s="1733"/>
      <c r="G4441" s="1733"/>
      <c r="H4441" s="1733"/>
      <c r="I4441" s="1733"/>
      <c r="J4441" s="1733"/>
    </row>
    <row r="4442" spans="1:10" ht="15.75" customHeight="1">
      <c r="A4442" s="1733"/>
      <c r="B4442" s="1733"/>
      <c r="C4442" s="1733"/>
      <c r="D4442" s="1733"/>
      <c r="E4442" s="1733"/>
      <c r="F4442" s="1733"/>
      <c r="G4442" s="1733"/>
      <c r="H4442" s="1733"/>
      <c r="I4442" s="1733"/>
      <c r="J4442" s="1733"/>
    </row>
    <row r="4443" spans="1:10" ht="15.75" customHeight="1">
      <c r="A4443" s="1733"/>
      <c r="B4443" s="1733"/>
      <c r="C4443" s="1733"/>
      <c r="D4443" s="1733"/>
      <c r="E4443" s="1733"/>
      <c r="F4443" s="1733"/>
      <c r="G4443" s="1733"/>
      <c r="H4443" s="1733"/>
      <c r="I4443" s="1733"/>
      <c r="J4443" s="1733"/>
    </row>
    <row r="4444" spans="1:10" ht="15.75" customHeight="1">
      <c r="A4444" s="1733"/>
      <c r="B4444" s="1733"/>
      <c r="C4444" s="1733"/>
      <c r="D4444" s="1733"/>
      <c r="E4444" s="1733"/>
      <c r="F4444" s="1733"/>
      <c r="G4444" s="1733"/>
      <c r="H4444" s="1733"/>
      <c r="I4444" s="1733"/>
      <c r="J4444" s="1733"/>
    </row>
    <row r="4445" spans="1:10" ht="15.75" customHeight="1">
      <c r="A4445" s="1733"/>
      <c r="B4445" s="1733"/>
      <c r="C4445" s="1733"/>
      <c r="D4445" s="1733"/>
      <c r="E4445" s="1733"/>
      <c r="F4445" s="1733"/>
      <c r="G4445" s="1733"/>
      <c r="H4445" s="1733"/>
      <c r="I4445" s="1733"/>
      <c r="J4445" s="1733"/>
    </row>
    <row r="4446" spans="1:10" ht="15.75" customHeight="1">
      <c r="A4446" s="1733"/>
      <c r="B4446" s="1733"/>
      <c r="C4446" s="1733"/>
      <c r="D4446" s="1733"/>
      <c r="E4446" s="1733"/>
      <c r="F4446" s="1733"/>
      <c r="G4446" s="1733"/>
      <c r="H4446" s="1733"/>
      <c r="I4446" s="1733"/>
      <c r="J4446" s="1733"/>
    </row>
    <row r="4447" spans="1:10" ht="15.75" customHeight="1">
      <c r="A4447" s="1733"/>
      <c r="B4447" s="1733"/>
      <c r="C4447" s="1733"/>
      <c r="D4447" s="1733"/>
      <c r="E4447" s="1733"/>
      <c r="F4447" s="1733"/>
      <c r="G4447" s="1733"/>
      <c r="H4447" s="1733"/>
      <c r="I4447" s="1733"/>
      <c r="J4447" s="1733"/>
    </row>
    <row r="4448" spans="1:10" ht="15.75" customHeight="1">
      <c r="A4448" s="1733"/>
      <c r="B4448" s="1733"/>
      <c r="C4448" s="1733"/>
      <c r="D4448" s="1733"/>
      <c r="E4448" s="1733"/>
      <c r="F4448" s="1733"/>
      <c r="G4448" s="1733"/>
      <c r="H4448" s="1733"/>
      <c r="I4448" s="1733"/>
      <c r="J4448" s="1733"/>
    </row>
    <row r="4449" spans="1:10" ht="15.75" customHeight="1">
      <c r="A4449" s="1733"/>
      <c r="B4449" s="1733"/>
      <c r="C4449" s="1733"/>
      <c r="D4449" s="1733"/>
      <c r="E4449" s="1733"/>
      <c r="F4449" s="1733"/>
      <c r="G4449" s="1733"/>
      <c r="H4449" s="1733"/>
      <c r="I4449" s="1733"/>
      <c r="J4449" s="1733"/>
    </row>
    <row r="4450" spans="1:10" ht="15.75" customHeight="1">
      <c r="A4450" s="1733"/>
      <c r="B4450" s="1733"/>
      <c r="C4450" s="1733"/>
      <c r="D4450" s="1733"/>
      <c r="E4450" s="1733"/>
      <c r="F4450" s="1733"/>
      <c r="G4450" s="1733"/>
      <c r="H4450" s="1733"/>
      <c r="I4450" s="1733"/>
      <c r="J4450" s="1733"/>
    </row>
    <row r="4451" spans="1:10" ht="15.75" customHeight="1">
      <c r="A4451" s="1733"/>
      <c r="B4451" s="1733"/>
      <c r="C4451" s="1733"/>
      <c r="D4451" s="1733"/>
      <c r="E4451" s="1733"/>
      <c r="F4451" s="1733"/>
      <c r="G4451" s="1733"/>
      <c r="H4451" s="1733"/>
      <c r="I4451" s="1733"/>
      <c r="J4451" s="1733"/>
    </row>
    <row r="4452" spans="1:10" ht="15.75" customHeight="1">
      <c r="A4452" s="1733"/>
      <c r="B4452" s="1733"/>
      <c r="C4452" s="1733"/>
      <c r="D4452" s="1733"/>
      <c r="E4452" s="1733"/>
      <c r="F4452" s="1733"/>
      <c r="G4452" s="1733"/>
      <c r="H4452" s="1733"/>
      <c r="I4452" s="1733"/>
      <c r="J4452" s="1733"/>
    </row>
    <row r="4453" spans="1:10" ht="15.75" customHeight="1">
      <c r="A4453" s="1733"/>
      <c r="B4453" s="1733"/>
      <c r="C4453" s="1733"/>
      <c r="D4453" s="1733"/>
      <c r="E4453" s="1733"/>
      <c r="F4453" s="1733"/>
      <c r="G4453" s="1733"/>
      <c r="H4453" s="1733"/>
      <c r="I4453" s="1733"/>
      <c r="J4453" s="1733"/>
    </row>
    <row r="4454" spans="1:10" ht="15.75" customHeight="1">
      <c r="A4454" s="1733"/>
      <c r="B4454" s="1733"/>
      <c r="C4454" s="1733"/>
      <c r="D4454" s="1733"/>
      <c r="E4454" s="1733"/>
      <c r="F4454" s="1733"/>
      <c r="G4454" s="1733"/>
      <c r="H4454" s="1733"/>
      <c r="I4454" s="1733"/>
      <c r="J4454" s="1733"/>
    </row>
    <row r="4455" spans="1:10" ht="15.75" customHeight="1">
      <c r="A4455" s="1733"/>
      <c r="B4455" s="1733"/>
      <c r="C4455" s="1733"/>
      <c r="D4455" s="1733"/>
      <c r="E4455" s="1733"/>
      <c r="F4455" s="1733"/>
      <c r="G4455" s="1733"/>
      <c r="H4455" s="1733"/>
      <c r="I4455" s="1733"/>
      <c r="J4455" s="1733"/>
    </row>
    <row r="4456" spans="1:10" ht="15.75" customHeight="1">
      <c r="A4456" s="1733"/>
      <c r="B4456" s="1733"/>
      <c r="C4456" s="1733"/>
      <c r="D4456" s="1733"/>
      <c r="E4456" s="1733"/>
      <c r="F4456" s="1733"/>
      <c r="G4456" s="1733"/>
      <c r="H4456" s="1733"/>
      <c r="I4456" s="1733"/>
      <c r="J4456" s="1733"/>
    </row>
    <row r="4457" spans="1:10" ht="15.75" customHeight="1">
      <c r="A4457" s="1733"/>
      <c r="B4457" s="1733"/>
      <c r="C4457" s="1733"/>
      <c r="D4457" s="1733"/>
      <c r="E4457" s="1733"/>
      <c r="F4457" s="1733"/>
      <c r="G4457" s="1733"/>
      <c r="H4457" s="1733"/>
      <c r="I4457" s="1733"/>
      <c r="J4457" s="1733"/>
    </row>
    <row r="4458" spans="1:10" ht="15.75" customHeight="1">
      <c r="A4458" s="1733"/>
      <c r="B4458" s="1733"/>
      <c r="C4458" s="1733"/>
      <c r="D4458" s="1733"/>
      <c r="E4458" s="1733"/>
      <c r="F4458" s="1733"/>
      <c r="G4458" s="1733"/>
      <c r="H4458" s="1733"/>
      <c r="I4458" s="1733"/>
      <c r="J4458" s="1733"/>
    </row>
    <row r="4459" spans="1:10" ht="15.75" customHeight="1">
      <c r="A4459" s="1733"/>
      <c r="B4459" s="1733"/>
      <c r="C4459" s="1733"/>
      <c r="D4459" s="1733"/>
      <c r="E4459" s="1733"/>
      <c r="F4459" s="1733"/>
      <c r="G4459" s="1733"/>
      <c r="H4459" s="1733"/>
      <c r="I4459" s="1733"/>
      <c r="J4459" s="1733"/>
    </row>
    <row r="4460" spans="1:10" ht="15.75" customHeight="1">
      <c r="A4460" s="1733"/>
      <c r="B4460" s="1733"/>
      <c r="C4460" s="1733"/>
      <c r="D4460" s="1733"/>
      <c r="E4460" s="1733"/>
      <c r="F4460" s="1733"/>
      <c r="G4460" s="1733"/>
      <c r="H4460" s="1733"/>
      <c r="I4460" s="1733"/>
      <c r="J4460" s="1733"/>
    </row>
    <row r="4461" spans="1:10" ht="15.75" customHeight="1">
      <c r="A4461" s="1733"/>
      <c r="B4461" s="1733"/>
      <c r="C4461" s="1733"/>
      <c r="D4461" s="1733"/>
      <c r="E4461" s="1733"/>
      <c r="F4461" s="1733"/>
      <c r="G4461" s="1733"/>
      <c r="H4461" s="1733"/>
      <c r="I4461" s="1733"/>
      <c r="J4461" s="1733"/>
    </row>
    <row r="4462" spans="1:10" ht="15.75" customHeight="1">
      <c r="A4462" s="1733"/>
      <c r="B4462" s="1733"/>
      <c r="C4462" s="1733"/>
      <c r="D4462" s="1733"/>
      <c r="E4462" s="1733"/>
      <c r="F4462" s="1733"/>
      <c r="G4462" s="1733"/>
      <c r="H4462" s="1733"/>
      <c r="I4462" s="1733"/>
      <c r="J4462" s="1733"/>
    </row>
    <row r="4463" spans="1:10" ht="15.75" customHeight="1">
      <c r="A4463" s="1733"/>
      <c r="B4463" s="1733"/>
      <c r="C4463" s="1733"/>
      <c r="D4463" s="1733"/>
      <c r="E4463" s="1733"/>
      <c r="F4463" s="1733"/>
      <c r="G4463" s="1733"/>
      <c r="H4463" s="1733"/>
      <c r="I4463" s="1733"/>
      <c r="J4463" s="1733"/>
    </row>
    <row r="4464" spans="1:10" ht="15.75" customHeight="1">
      <c r="A4464" s="1733"/>
      <c r="B4464" s="1733"/>
      <c r="C4464" s="1733"/>
      <c r="D4464" s="1733"/>
      <c r="E4464" s="1733"/>
      <c r="F4464" s="1733"/>
      <c r="G4464" s="1733"/>
      <c r="H4464" s="1733"/>
      <c r="I4464" s="1733"/>
      <c r="J4464" s="1733"/>
    </row>
    <row r="4465" spans="1:10" ht="15.75" customHeight="1">
      <c r="A4465" s="1733"/>
      <c r="B4465" s="1733"/>
      <c r="C4465" s="1733"/>
      <c r="D4465" s="1733"/>
      <c r="E4465" s="1733"/>
      <c r="F4465" s="1733"/>
      <c r="G4465" s="1733"/>
      <c r="H4465" s="1733"/>
      <c r="I4465" s="1733"/>
      <c r="J4465" s="1733"/>
    </row>
    <row r="4466" spans="1:10" ht="15.75" customHeight="1">
      <c r="A4466" s="1733"/>
      <c r="B4466" s="1733"/>
      <c r="C4466" s="1733"/>
      <c r="D4466" s="1733"/>
      <c r="E4466" s="1733"/>
      <c r="F4466" s="1733"/>
      <c r="G4466" s="1733"/>
      <c r="H4466" s="1733"/>
      <c r="I4466" s="1733"/>
      <c r="J4466" s="1733"/>
    </row>
    <row r="4467" spans="1:10" ht="15.75" customHeight="1">
      <c r="A4467" s="1733"/>
      <c r="B4467" s="1733"/>
      <c r="C4467" s="1733"/>
      <c r="D4467" s="1733"/>
      <c r="E4467" s="1733"/>
      <c r="F4467" s="1733"/>
      <c r="G4467" s="1733"/>
      <c r="H4467" s="1733"/>
      <c r="I4467" s="1733"/>
      <c r="J4467" s="1733"/>
    </row>
    <row r="4468" spans="1:10" ht="15.75" customHeight="1">
      <c r="A4468" s="1733"/>
      <c r="B4468" s="1733"/>
      <c r="C4468" s="1733"/>
      <c r="D4468" s="1733"/>
      <c r="E4468" s="1733"/>
      <c r="F4468" s="1733"/>
      <c r="G4468" s="1733"/>
      <c r="H4468" s="1733"/>
      <c r="I4468" s="1733"/>
      <c r="J4468" s="1733"/>
    </row>
    <row r="4469" spans="1:10" ht="15.75" customHeight="1">
      <c r="A4469" s="1733"/>
      <c r="B4469" s="1733"/>
      <c r="C4469" s="1733"/>
      <c r="D4469" s="1733"/>
      <c r="E4469" s="1733"/>
      <c r="F4469" s="1733"/>
      <c r="G4469" s="1733"/>
      <c r="H4469" s="1733"/>
      <c r="I4469" s="1733"/>
      <c r="J4469" s="1733"/>
    </row>
    <row r="4470" spans="1:10" ht="15.75" customHeight="1">
      <c r="A4470" s="1733"/>
      <c r="B4470" s="1733"/>
      <c r="C4470" s="1733"/>
      <c r="D4470" s="1733"/>
      <c r="E4470" s="1733"/>
      <c r="F4470" s="1733"/>
      <c r="G4470" s="1733"/>
      <c r="H4470" s="1733"/>
      <c r="I4470" s="1733"/>
      <c r="J4470" s="1733"/>
    </row>
    <row r="4471" spans="1:10" ht="15.75" customHeight="1">
      <c r="A4471" s="1733"/>
      <c r="B4471" s="1733"/>
      <c r="C4471" s="1733"/>
      <c r="D4471" s="1733"/>
      <c r="E4471" s="1733"/>
      <c r="F4471" s="1733"/>
      <c r="G4471" s="1733"/>
      <c r="H4471" s="1733"/>
      <c r="I4471" s="1733"/>
      <c r="J4471" s="1733"/>
    </row>
    <row r="4472" spans="1:10" ht="15.75" customHeight="1">
      <c r="A4472" s="1733"/>
      <c r="B4472" s="1733"/>
      <c r="C4472" s="1733"/>
      <c r="D4472" s="1733"/>
      <c r="E4472" s="1733"/>
      <c r="F4472" s="1733"/>
      <c r="G4472" s="1733"/>
      <c r="H4472" s="1733"/>
      <c r="I4472" s="1733"/>
      <c r="J4472" s="1733"/>
    </row>
    <row r="4473" spans="1:10" ht="15.75" customHeight="1">
      <c r="A4473" s="1733"/>
      <c r="B4473" s="1733"/>
      <c r="C4473" s="1733"/>
      <c r="D4473" s="1733"/>
      <c r="E4473" s="1733"/>
      <c r="F4473" s="1733"/>
      <c r="G4473" s="1733"/>
      <c r="H4473" s="1733"/>
      <c r="I4473" s="1733"/>
      <c r="J4473" s="1733"/>
    </row>
    <row r="4474" spans="1:10" ht="15.75" customHeight="1">
      <c r="A4474" s="1733"/>
      <c r="B4474" s="1733"/>
      <c r="C4474" s="1733"/>
      <c r="D4474" s="1733"/>
      <c r="E4474" s="1733"/>
      <c r="F4474" s="1733"/>
      <c r="G4474" s="1733"/>
      <c r="H4474" s="1733"/>
      <c r="I4474" s="1733"/>
      <c r="J4474" s="1733"/>
    </row>
    <row r="4475" spans="1:10" ht="15.75" customHeight="1">
      <c r="A4475" s="1733"/>
      <c r="B4475" s="1733"/>
      <c r="C4475" s="1733"/>
      <c r="D4475" s="1733"/>
      <c r="E4475" s="1733"/>
      <c r="F4475" s="1733"/>
      <c r="G4475" s="1733"/>
      <c r="H4475" s="1733"/>
      <c r="I4475" s="1733"/>
      <c r="J4475" s="1733"/>
    </row>
    <row r="4476" spans="1:10" ht="15.75" customHeight="1">
      <c r="A4476" s="1733"/>
      <c r="B4476" s="1733"/>
      <c r="C4476" s="1733"/>
      <c r="D4476" s="1733"/>
      <c r="E4476" s="1733"/>
      <c r="F4476" s="1733"/>
      <c r="G4476" s="1733"/>
      <c r="H4476" s="1733"/>
      <c r="I4476" s="1733"/>
      <c r="J4476" s="1733"/>
    </row>
    <row r="4477" spans="1:10" ht="15.75" customHeight="1">
      <c r="A4477" s="1733"/>
      <c r="B4477" s="1733"/>
      <c r="C4477" s="1733"/>
      <c r="D4477" s="1733"/>
      <c r="E4477" s="1733"/>
      <c r="F4477" s="1733"/>
      <c r="G4477" s="1733"/>
      <c r="H4477" s="1733"/>
      <c r="I4477" s="1733"/>
      <c r="J4477" s="1733"/>
    </row>
    <row r="4478" spans="1:10" ht="15.75" customHeight="1">
      <c r="A4478" s="1733"/>
      <c r="B4478" s="1733"/>
      <c r="C4478" s="1733"/>
      <c r="D4478" s="1733"/>
      <c r="E4478" s="1733"/>
      <c r="F4478" s="1733"/>
      <c r="G4478" s="1733"/>
      <c r="H4478" s="1733"/>
      <c r="I4478" s="1733"/>
      <c r="J4478" s="1733"/>
    </row>
    <row r="4479" spans="1:10" ht="15.75" customHeight="1">
      <c r="A4479" s="1733"/>
      <c r="B4479" s="1733"/>
      <c r="C4479" s="1733"/>
      <c r="D4479" s="1733"/>
      <c r="E4479" s="1733"/>
      <c r="F4479" s="1733"/>
      <c r="G4479" s="1733"/>
      <c r="H4479" s="1733"/>
      <c r="I4479" s="1733"/>
      <c r="J4479" s="1733"/>
    </row>
    <row r="4480" spans="1:10" ht="15.75" customHeight="1">
      <c r="A4480" s="1733"/>
      <c r="B4480" s="1733"/>
      <c r="C4480" s="1733"/>
      <c r="D4480" s="1733"/>
      <c r="E4480" s="1733"/>
      <c r="F4480" s="1733"/>
      <c r="G4480" s="1733"/>
      <c r="H4480" s="1733"/>
      <c r="I4480" s="1733"/>
      <c r="J4480" s="1733"/>
    </row>
    <row r="4481" spans="1:10" ht="15.75" customHeight="1">
      <c r="A4481" s="1733"/>
      <c r="B4481" s="1733"/>
      <c r="C4481" s="1733"/>
      <c r="D4481" s="1733"/>
      <c r="E4481" s="1733"/>
      <c r="F4481" s="1733"/>
      <c r="G4481" s="1733"/>
      <c r="H4481" s="1733"/>
      <c r="I4481" s="1733"/>
      <c r="J4481" s="1733"/>
    </row>
    <row r="4482" spans="1:10" ht="15.75" customHeight="1">
      <c r="A4482" s="1733"/>
      <c r="B4482" s="1733"/>
      <c r="C4482" s="1733"/>
      <c r="D4482" s="1733"/>
      <c r="E4482" s="1733"/>
      <c r="F4482" s="1733"/>
      <c r="G4482" s="1733"/>
      <c r="H4482" s="1733"/>
      <c r="I4482" s="1733"/>
      <c r="J4482" s="1733"/>
    </row>
    <row r="4483" spans="1:10" ht="15.75" customHeight="1">
      <c r="A4483" s="1733"/>
      <c r="B4483" s="1733"/>
      <c r="C4483" s="1733"/>
      <c r="D4483" s="1733"/>
      <c r="E4483" s="1733"/>
      <c r="F4483" s="1733"/>
      <c r="G4483" s="1733"/>
      <c r="H4483" s="1733"/>
      <c r="I4483" s="1733"/>
      <c r="J4483" s="1733"/>
    </row>
    <row r="4484" spans="1:10" ht="15.75" customHeight="1">
      <c r="A4484" s="1733"/>
      <c r="B4484" s="1733"/>
      <c r="C4484" s="1733"/>
      <c r="D4484" s="1733"/>
      <c r="E4484" s="1733"/>
      <c r="F4484" s="1733"/>
      <c r="G4484" s="1733"/>
      <c r="H4484" s="1733"/>
      <c r="I4484" s="1733"/>
      <c r="J4484" s="1733"/>
    </row>
    <row r="4485" spans="1:10" ht="15.75" customHeight="1">
      <c r="A4485" s="1733"/>
      <c r="B4485" s="1733"/>
      <c r="C4485" s="1733"/>
      <c r="D4485" s="1733"/>
      <c r="E4485" s="1733"/>
      <c r="F4485" s="1733"/>
      <c r="G4485" s="1733"/>
      <c r="H4485" s="1733"/>
      <c r="I4485" s="1733"/>
      <c r="J4485" s="1733"/>
    </row>
    <row r="4486" spans="1:10" ht="15.75" customHeight="1">
      <c r="A4486" s="1733"/>
      <c r="B4486" s="1733"/>
      <c r="C4486" s="1733"/>
      <c r="D4486" s="1733"/>
      <c r="E4486" s="1733"/>
      <c r="F4486" s="1733"/>
      <c r="G4486" s="1733"/>
      <c r="H4486" s="1733"/>
      <c r="I4486" s="1733"/>
      <c r="J4486" s="1733"/>
    </row>
    <row r="4487" spans="1:10" ht="15.75" customHeight="1">
      <c r="A4487" s="1733"/>
      <c r="B4487" s="1733"/>
      <c r="C4487" s="1733"/>
      <c r="D4487" s="1733"/>
      <c r="E4487" s="1733"/>
      <c r="F4487" s="1733"/>
      <c r="G4487" s="1733"/>
      <c r="H4487" s="1733"/>
      <c r="I4487" s="1733"/>
      <c r="J4487" s="1733"/>
    </row>
    <row r="4488" spans="1:10" ht="15.75" customHeight="1">
      <c r="A4488" s="1733"/>
      <c r="B4488" s="1733"/>
      <c r="C4488" s="1733"/>
      <c r="D4488" s="1733"/>
      <c r="E4488" s="1733"/>
      <c r="F4488" s="1733"/>
      <c r="G4488" s="1733"/>
      <c r="H4488" s="1733"/>
      <c r="I4488" s="1733"/>
      <c r="J4488" s="1733"/>
    </row>
    <row r="4489" spans="1:10" ht="15.75" customHeight="1">
      <c r="A4489" s="1733"/>
      <c r="B4489" s="1733"/>
      <c r="C4489" s="1733"/>
      <c r="D4489" s="1733"/>
      <c r="E4489" s="1733"/>
      <c r="F4489" s="1733"/>
      <c r="G4489" s="1733"/>
      <c r="H4489" s="1733"/>
      <c r="I4489" s="1733"/>
      <c r="J4489" s="1733"/>
    </row>
    <row r="4490" spans="1:10" ht="15.75" customHeight="1">
      <c r="A4490" s="1733"/>
      <c r="B4490" s="1733"/>
      <c r="C4490" s="1733"/>
      <c r="D4490" s="1733"/>
      <c r="E4490" s="1733"/>
      <c r="F4490" s="1733"/>
      <c r="G4490" s="1733"/>
      <c r="H4490" s="1733"/>
      <c r="I4490" s="1733"/>
      <c r="J4490" s="1733"/>
    </row>
    <row r="4491" spans="1:10" ht="15.75" customHeight="1">
      <c r="A4491" s="1733"/>
      <c r="B4491" s="1733"/>
      <c r="C4491" s="1733"/>
      <c r="D4491" s="1733"/>
      <c r="E4491" s="1733"/>
      <c r="F4491" s="1733"/>
      <c r="G4491" s="1733"/>
      <c r="H4491" s="1733"/>
      <c r="I4491" s="1733"/>
      <c r="J4491" s="1733"/>
    </row>
    <row r="4492" spans="1:10" ht="15.75" customHeight="1">
      <c r="A4492" s="1733"/>
      <c r="B4492" s="1733"/>
      <c r="C4492" s="1733"/>
      <c r="D4492" s="1733"/>
      <c r="E4492" s="1733"/>
      <c r="F4492" s="1733"/>
      <c r="G4492" s="1733"/>
      <c r="H4492" s="1733"/>
      <c r="I4492" s="1733"/>
      <c r="J4492" s="1733"/>
    </row>
    <row r="4493" spans="1:10" ht="15.75" customHeight="1">
      <c r="A4493" s="1733"/>
      <c r="B4493" s="1733"/>
      <c r="C4493" s="1733"/>
      <c r="D4493" s="1733"/>
      <c r="E4493" s="1733"/>
      <c r="F4493" s="1733"/>
      <c r="G4493" s="1733"/>
      <c r="H4493" s="1733"/>
      <c r="I4493" s="1733"/>
      <c r="J4493" s="1733"/>
    </row>
    <row r="4494" spans="1:10" ht="15.75" customHeight="1">
      <c r="A4494" s="1733"/>
      <c r="B4494" s="1733"/>
      <c r="C4494" s="1733"/>
      <c r="D4494" s="1733"/>
      <c r="E4494" s="1733"/>
      <c r="F4494" s="1733"/>
      <c r="G4494" s="1733"/>
      <c r="H4494" s="1733"/>
      <c r="I4494" s="1733"/>
      <c r="J4494" s="1733"/>
    </row>
    <row r="4495" spans="1:10" ht="15.75" customHeight="1">
      <c r="A4495" s="1733"/>
      <c r="B4495" s="1733"/>
      <c r="C4495" s="1733"/>
      <c r="D4495" s="1733"/>
      <c r="E4495" s="1733"/>
      <c r="F4495" s="1733"/>
      <c r="G4495" s="1733"/>
      <c r="H4495" s="1733"/>
      <c r="I4495" s="1733"/>
      <c r="J4495" s="1733"/>
    </row>
    <row r="4496" spans="1:10" ht="15.75" customHeight="1">
      <c r="A4496" s="1733"/>
      <c r="B4496" s="1733"/>
      <c r="C4496" s="1733"/>
      <c r="D4496" s="1733"/>
      <c r="E4496" s="1733"/>
      <c r="F4496" s="1733"/>
      <c r="G4496" s="1733"/>
      <c r="H4496" s="1733"/>
      <c r="I4496" s="1733"/>
      <c r="J4496" s="1733"/>
    </row>
    <row r="4497" spans="1:10" ht="15.75" customHeight="1">
      <c r="A4497" s="1733"/>
      <c r="B4497" s="1733"/>
      <c r="C4497" s="1733"/>
      <c r="D4497" s="1733"/>
      <c r="E4497" s="1733"/>
      <c r="F4497" s="1733"/>
      <c r="G4497" s="1733"/>
      <c r="H4497" s="1733"/>
      <c r="I4497" s="1733"/>
      <c r="J4497" s="1733"/>
    </row>
    <row r="4498" spans="1:10" ht="15.75" customHeight="1">
      <c r="A4498" s="1733"/>
      <c r="B4498" s="1733"/>
      <c r="C4498" s="1733"/>
      <c r="D4498" s="1733"/>
      <c r="E4498" s="1733"/>
      <c r="F4498" s="1733"/>
      <c r="G4498" s="1733"/>
      <c r="H4498" s="1733"/>
      <c r="I4498" s="1733"/>
      <c r="J4498" s="1733"/>
    </row>
    <row r="4499" spans="1:10" ht="15.75" customHeight="1">
      <c r="A4499" s="1733"/>
      <c r="B4499" s="1733"/>
      <c r="C4499" s="1733"/>
      <c r="D4499" s="1733"/>
      <c r="E4499" s="1733"/>
      <c r="F4499" s="1733"/>
      <c r="G4499" s="1733"/>
      <c r="H4499" s="1733"/>
      <c r="I4499" s="1733"/>
      <c r="J4499" s="1733"/>
    </row>
    <row r="4500" spans="1:10" ht="15.75" customHeight="1">
      <c r="A4500" s="1733"/>
      <c r="B4500" s="1733"/>
      <c r="C4500" s="1733"/>
      <c r="D4500" s="1733"/>
      <c r="E4500" s="1733"/>
      <c r="F4500" s="1733"/>
      <c r="G4500" s="1733"/>
      <c r="H4500" s="1733"/>
      <c r="I4500" s="1733"/>
      <c r="J4500" s="1733"/>
    </row>
    <row r="4501" spans="1:10" ht="15.75" customHeight="1">
      <c r="A4501" s="1733"/>
      <c r="B4501" s="1733"/>
      <c r="C4501" s="1733"/>
      <c r="D4501" s="1733"/>
      <c r="E4501" s="1733"/>
      <c r="F4501" s="1733"/>
      <c r="G4501" s="1733"/>
      <c r="H4501" s="1733"/>
      <c r="I4501" s="1733"/>
      <c r="J4501" s="1733"/>
    </row>
    <row r="4502" spans="1:10" ht="15.75" customHeight="1">
      <c r="A4502" s="1733"/>
      <c r="B4502" s="1733"/>
      <c r="C4502" s="1733"/>
      <c r="D4502" s="1733"/>
      <c r="E4502" s="1733"/>
      <c r="F4502" s="1733"/>
      <c r="G4502" s="1733"/>
      <c r="H4502" s="1733"/>
      <c r="I4502" s="1733"/>
      <c r="J4502" s="1733"/>
    </row>
    <row r="4503" spans="1:10" ht="15.75" customHeight="1">
      <c r="A4503" s="1733"/>
      <c r="B4503" s="1733"/>
      <c r="C4503" s="1733"/>
      <c r="D4503" s="1733"/>
      <c r="E4503" s="1733"/>
      <c r="F4503" s="1733"/>
      <c r="G4503" s="1733"/>
      <c r="H4503" s="1733"/>
      <c r="I4503" s="1733"/>
      <c r="J4503" s="1733"/>
    </row>
    <row r="4504" spans="1:10" ht="15.75" customHeight="1">
      <c r="A4504" s="1733"/>
      <c r="B4504" s="1733"/>
      <c r="C4504" s="1733"/>
      <c r="D4504" s="1733"/>
      <c r="E4504" s="1733"/>
      <c r="F4504" s="1733"/>
      <c r="G4504" s="1733"/>
      <c r="H4504" s="1733"/>
      <c r="I4504" s="1733"/>
      <c r="J4504" s="1733"/>
    </row>
    <row r="4505" spans="1:10" ht="15.75" customHeight="1">
      <c r="A4505" s="1733"/>
      <c r="B4505" s="1733"/>
      <c r="C4505" s="1733"/>
      <c r="D4505" s="1733"/>
      <c r="E4505" s="1733"/>
      <c r="F4505" s="1733"/>
      <c r="G4505" s="1733"/>
      <c r="H4505" s="1733"/>
      <c r="I4505" s="1733"/>
      <c r="J4505" s="1733"/>
    </row>
    <row r="4506" spans="1:10" ht="15.75" customHeight="1">
      <c r="A4506" s="1733"/>
      <c r="B4506" s="1733"/>
      <c r="C4506" s="1733"/>
      <c r="D4506" s="1733"/>
      <c r="E4506" s="1733"/>
      <c r="F4506" s="1733"/>
      <c r="G4506" s="1733"/>
      <c r="H4506" s="1733"/>
      <c r="I4506" s="1733"/>
      <c r="J4506" s="1733"/>
    </row>
    <row r="4507" spans="1:10" ht="15.75" customHeight="1">
      <c r="A4507" s="1733"/>
      <c r="B4507" s="1733"/>
      <c r="C4507" s="1733"/>
      <c r="D4507" s="1733"/>
      <c r="E4507" s="1733"/>
      <c r="F4507" s="1733"/>
      <c r="G4507" s="1733"/>
      <c r="H4507" s="1733"/>
      <c r="I4507" s="1733"/>
      <c r="J4507" s="1733"/>
    </row>
    <row r="4508" spans="1:10" ht="15.75" customHeight="1">
      <c r="A4508" s="1733"/>
      <c r="B4508" s="1733"/>
      <c r="C4508" s="1733"/>
      <c r="D4508" s="1733"/>
      <c r="E4508" s="1733"/>
      <c r="F4508" s="1733"/>
      <c r="G4508" s="1733"/>
      <c r="H4508" s="1733"/>
      <c r="I4508" s="1733"/>
      <c r="J4508" s="1733"/>
    </row>
    <row r="4509" spans="1:10" ht="15.75" customHeight="1">
      <c r="A4509" s="1733"/>
      <c r="B4509" s="1733"/>
      <c r="C4509" s="1733"/>
      <c r="D4509" s="1733"/>
      <c r="E4509" s="1733"/>
      <c r="F4509" s="1733"/>
      <c r="G4509" s="1733"/>
      <c r="H4509" s="1733"/>
      <c r="I4509" s="1733"/>
      <c r="J4509" s="1733"/>
    </row>
    <row r="4510" spans="1:10" ht="15.75" customHeight="1">
      <c r="A4510" s="1733"/>
      <c r="B4510" s="1733"/>
      <c r="C4510" s="1733"/>
      <c r="D4510" s="1733"/>
      <c r="E4510" s="1733"/>
      <c r="F4510" s="1733"/>
      <c r="G4510" s="1733"/>
      <c r="H4510" s="1733"/>
      <c r="I4510" s="1733"/>
      <c r="J4510" s="1733"/>
    </row>
    <row r="4511" spans="1:10" ht="15.75" customHeight="1">
      <c r="A4511" s="1733"/>
      <c r="B4511" s="1733"/>
      <c r="C4511" s="1733"/>
      <c r="D4511" s="1733"/>
      <c r="E4511" s="1733"/>
      <c r="F4511" s="1733"/>
      <c r="G4511" s="1733"/>
      <c r="H4511" s="1733"/>
      <c r="I4511" s="1733"/>
      <c r="J4511" s="1733"/>
    </row>
    <row r="4512" spans="1:10" ht="15.75" customHeight="1">
      <c r="A4512" s="1733"/>
      <c r="B4512" s="1733"/>
      <c r="C4512" s="1733"/>
      <c r="D4512" s="1733"/>
      <c r="E4512" s="1733"/>
      <c r="F4512" s="1733"/>
      <c r="G4512" s="1733"/>
      <c r="H4512" s="1733"/>
      <c r="I4512" s="1733"/>
      <c r="J4512" s="1733"/>
    </row>
    <row r="4513" spans="1:10" ht="15.75" customHeight="1">
      <c r="A4513" s="1733"/>
      <c r="B4513" s="1733"/>
      <c r="C4513" s="1733"/>
      <c r="D4513" s="1733"/>
      <c r="E4513" s="1733"/>
      <c r="F4513" s="1733"/>
      <c r="G4513" s="1733"/>
      <c r="H4513" s="1733"/>
      <c r="I4513" s="1733"/>
      <c r="J4513" s="1733"/>
    </row>
    <row r="4514" spans="1:10" ht="15.75" customHeight="1">
      <c r="A4514" s="1733"/>
      <c r="B4514" s="1733"/>
      <c r="C4514" s="1733"/>
      <c r="D4514" s="1733"/>
      <c r="E4514" s="1733"/>
      <c r="F4514" s="1733"/>
      <c r="G4514" s="1733"/>
      <c r="H4514" s="1733"/>
      <c r="I4514" s="1733"/>
      <c r="J4514" s="1733"/>
    </row>
    <row r="4515" spans="1:10" ht="15.75" customHeight="1">
      <c r="A4515" s="1733"/>
      <c r="B4515" s="1733"/>
      <c r="C4515" s="1733"/>
      <c r="D4515" s="1733"/>
      <c r="E4515" s="1733"/>
      <c r="F4515" s="1733"/>
      <c r="G4515" s="1733"/>
      <c r="H4515" s="1733"/>
      <c r="I4515" s="1733"/>
      <c r="J4515" s="1733"/>
    </row>
    <row r="4516" spans="1:10" ht="15.75" customHeight="1">
      <c r="A4516" s="1733"/>
      <c r="B4516" s="1733"/>
      <c r="C4516" s="1733"/>
      <c r="D4516" s="1733"/>
      <c r="E4516" s="1733"/>
      <c r="F4516" s="1733"/>
      <c r="G4516" s="1733"/>
      <c r="H4516" s="1733"/>
      <c r="I4516" s="1733"/>
      <c r="J4516" s="1733"/>
    </row>
    <row r="4517" spans="1:10" ht="15.75" customHeight="1">
      <c r="A4517" s="1733"/>
      <c r="B4517" s="1733"/>
      <c r="C4517" s="1733"/>
      <c r="D4517" s="1733"/>
      <c r="E4517" s="1733"/>
      <c r="F4517" s="1733"/>
      <c r="G4517" s="1733"/>
      <c r="H4517" s="1733"/>
      <c r="I4517" s="1733"/>
      <c r="J4517" s="1733"/>
    </row>
    <row r="4518" spans="1:10" ht="15.75" customHeight="1">
      <c r="A4518" s="1733"/>
      <c r="B4518" s="1733"/>
      <c r="C4518" s="1733"/>
      <c r="D4518" s="1733"/>
      <c r="E4518" s="1733"/>
      <c r="F4518" s="1733"/>
      <c r="G4518" s="1733"/>
      <c r="H4518" s="1733"/>
      <c r="I4518" s="1733"/>
      <c r="J4518" s="1733"/>
    </row>
    <row r="4519" spans="1:10" ht="15.75" customHeight="1">
      <c r="A4519" s="1733"/>
      <c r="B4519" s="1733"/>
      <c r="C4519" s="1733"/>
      <c r="D4519" s="1733"/>
      <c r="E4519" s="1733"/>
      <c r="F4519" s="1733"/>
      <c r="G4519" s="1733"/>
      <c r="H4519" s="1733"/>
      <c r="I4519" s="1733"/>
      <c r="J4519" s="1733"/>
    </row>
    <row r="4520" spans="1:10" ht="15.75" customHeight="1">
      <c r="A4520" s="1733"/>
      <c r="B4520" s="1733"/>
      <c r="C4520" s="1733"/>
      <c r="D4520" s="1733"/>
      <c r="E4520" s="1733"/>
      <c r="F4520" s="1733"/>
      <c r="G4520" s="1733"/>
      <c r="H4520" s="1733"/>
      <c r="I4520" s="1733"/>
      <c r="J4520" s="1733"/>
    </row>
    <row r="4521" spans="1:10" ht="15.75" customHeight="1">
      <c r="A4521" s="1733"/>
      <c r="B4521" s="1733"/>
      <c r="C4521" s="1733"/>
      <c r="D4521" s="1733"/>
      <c r="E4521" s="1733"/>
      <c r="F4521" s="1733"/>
      <c r="G4521" s="1733"/>
      <c r="H4521" s="1733"/>
      <c r="I4521" s="1733"/>
      <c r="J4521" s="1733"/>
    </row>
    <row r="4522" spans="1:10" ht="15.75" customHeight="1">
      <c r="A4522" s="1733"/>
      <c r="B4522" s="1733"/>
      <c r="C4522" s="1733"/>
      <c r="D4522" s="1733"/>
      <c r="E4522" s="1733"/>
      <c r="F4522" s="1733"/>
      <c r="G4522" s="1733"/>
      <c r="H4522" s="1733"/>
      <c r="I4522" s="1733"/>
      <c r="J4522" s="1733"/>
    </row>
    <row r="4523" spans="1:10" ht="15.75" customHeight="1">
      <c r="A4523" s="1733"/>
      <c r="B4523" s="1733"/>
      <c r="C4523" s="1733"/>
      <c r="D4523" s="1733"/>
      <c r="E4523" s="1733"/>
      <c r="F4523" s="1733"/>
      <c r="G4523" s="1733"/>
      <c r="H4523" s="1733"/>
      <c r="I4523" s="1733"/>
      <c r="J4523" s="1733"/>
    </row>
    <row r="4524" spans="1:10" ht="15.75" customHeight="1">
      <c r="A4524" s="1733"/>
      <c r="B4524" s="1733"/>
      <c r="C4524" s="1733"/>
      <c r="D4524" s="1733"/>
      <c r="E4524" s="1733"/>
      <c r="F4524" s="1733"/>
      <c r="G4524" s="1733"/>
      <c r="H4524" s="1733"/>
      <c r="I4524" s="1733"/>
      <c r="J4524" s="1733"/>
    </row>
    <row r="4525" spans="1:10" ht="15.75" customHeight="1">
      <c r="A4525" s="1733"/>
      <c r="B4525" s="1733"/>
      <c r="C4525" s="1733"/>
      <c r="D4525" s="1733"/>
      <c r="E4525" s="1733"/>
      <c r="F4525" s="1733"/>
      <c r="G4525" s="1733"/>
      <c r="H4525" s="1733"/>
      <c r="I4525" s="1733"/>
      <c r="J4525" s="1733"/>
    </row>
    <row r="4526" spans="1:10" ht="15.75" customHeight="1">
      <c r="A4526" s="1733"/>
      <c r="B4526" s="1733"/>
      <c r="C4526" s="1733"/>
      <c r="D4526" s="1733"/>
      <c r="E4526" s="1733"/>
      <c r="F4526" s="1733"/>
      <c r="G4526" s="1733"/>
      <c r="H4526" s="1733"/>
      <c r="I4526" s="1733"/>
      <c r="J4526" s="1733"/>
    </row>
    <row r="4527" spans="1:10" ht="15.75" customHeight="1">
      <c r="A4527" s="1733"/>
      <c r="B4527" s="1733"/>
      <c r="C4527" s="1733"/>
      <c r="D4527" s="1733"/>
      <c r="E4527" s="1733"/>
      <c r="F4527" s="1733"/>
      <c r="G4527" s="1733"/>
      <c r="H4527" s="1733"/>
      <c r="I4527" s="1733"/>
      <c r="J4527" s="1733"/>
    </row>
    <row r="4528" spans="1:10" ht="15.75" customHeight="1">
      <c r="A4528" s="1733"/>
      <c r="B4528" s="1733"/>
      <c r="C4528" s="1733"/>
      <c r="D4528" s="1733"/>
      <c r="E4528" s="1733"/>
      <c r="F4528" s="1733"/>
      <c r="G4528" s="1733"/>
      <c r="H4528" s="1733"/>
      <c r="I4528" s="1733"/>
      <c r="J4528" s="1733"/>
    </row>
    <row r="4529" spans="1:10" ht="15.75" customHeight="1">
      <c r="A4529" s="1733"/>
      <c r="B4529" s="1733"/>
      <c r="C4529" s="1733"/>
      <c r="D4529" s="1733"/>
      <c r="E4529" s="1733"/>
      <c r="F4529" s="1733"/>
      <c r="G4529" s="1733"/>
      <c r="H4529" s="1733"/>
      <c r="I4529" s="1733"/>
      <c r="J4529" s="1733"/>
    </row>
    <row r="4530" spans="1:10" ht="15.75" customHeight="1">
      <c r="A4530" s="1733"/>
      <c r="B4530" s="1733"/>
      <c r="C4530" s="1733"/>
      <c r="D4530" s="1733"/>
      <c r="E4530" s="1733"/>
      <c r="F4530" s="1733"/>
      <c r="G4530" s="1733"/>
      <c r="H4530" s="1733"/>
      <c r="I4530" s="1733"/>
      <c r="J4530" s="1733"/>
    </row>
    <row r="4531" spans="1:10" ht="15.75" customHeight="1">
      <c r="A4531" s="1733"/>
      <c r="B4531" s="1733"/>
      <c r="C4531" s="1733"/>
      <c r="D4531" s="1733"/>
      <c r="E4531" s="1733"/>
      <c r="F4531" s="1733"/>
      <c r="G4531" s="1733"/>
      <c r="H4531" s="1733"/>
      <c r="I4531" s="1733"/>
      <c r="J4531" s="1733"/>
    </row>
    <row r="4532" spans="1:10" ht="15.75" customHeight="1">
      <c r="A4532" s="1733"/>
      <c r="B4532" s="1733"/>
      <c r="C4532" s="1733"/>
      <c r="D4532" s="1733"/>
      <c r="E4532" s="1733"/>
      <c r="F4532" s="1733"/>
      <c r="G4532" s="1733"/>
      <c r="H4532" s="1733"/>
      <c r="I4532" s="1733"/>
      <c r="J4532" s="1733"/>
    </row>
    <row r="4533" spans="1:10" ht="15.75" customHeight="1">
      <c r="A4533" s="1733"/>
      <c r="B4533" s="1733"/>
      <c r="C4533" s="1733"/>
      <c r="D4533" s="1733"/>
      <c r="E4533" s="1733"/>
      <c r="F4533" s="1733"/>
      <c r="G4533" s="1733"/>
      <c r="H4533" s="1733"/>
      <c r="I4533" s="1733"/>
      <c r="J4533" s="1733"/>
    </row>
    <row r="4534" spans="1:10" ht="15.75" customHeight="1">
      <c r="A4534" s="1733"/>
      <c r="B4534" s="1733"/>
      <c r="C4534" s="1733"/>
      <c r="D4534" s="1733"/>
      <c r="E4534" s="1733"/>
      <c r="F4534" s="1733"/>
      <c r="G4534" s="1733"/>
      <c r="H4534" s="1733"/>
      <c r="I4534" s="1733"/>
      <c r="J4534" s="1733"/>
    </row>
    <row r="4535" spans="1:10" ht="15.75" customHeight="1">
      <c r="A4535" s="1733"/>
      <c r="B4535" s="1733"/>
      <c r="C4535" s="1733"/>
      <c r="D4535" s="1733"/>
      <c r="E4535" s="1733"/>
      <c r="F4535" s="1733"/>
      <c r="G4535" s="1733"/>
      <c r="H4535" s="1733"/>
      <c r="I4535" s="1733"/>
      <c r="J4535" s="1733"/>
    </row>
    <row r="4536" spans="1:10" ht="15.75" customHeight="1">
      <c r="A4536" s="1733"/>
      <c r="B4536" s="1733"/>
      <c r="C4536" s="1733"/>
      <c r="D4536" s="1733"/>
      <c r="E4536" s="1733"/>
      <c r="F4536" s="1733"/>
      <c r="G4536" s="1733"/>
      <c r="H4536" s="1733"/>
      <c r="I4536" s="1733"/>
      <c r="J4536" s="1733"/>
    </row>
    <row r="4537" spans="1:10" ht="15.75" customHeight="1">
      <c r="A4537" s="1733"/>
      <c r="B4537" s="1733"/>
      <c r="C4537" s="1733"/>
      <c r="D4537" s="1733"/>
      <c r="E4537" s="1733"/>
      <c r="F4537" s="1733"/>
      <c r="G4537" s="1733"/>
      <c r="H4537" s="1733"/>
      <c r="I4537" s="1733"/>
      <c r="J4537" s="1733"/>
    </row>
    <row r="4538" spans="1:10" ht="15.75" customHeight="1">
      <c r="A4538" s="1733"/>
      <c r="B4538" s="1733"/>
      <c r="C4538" s="1733"/>
      <c r="D4538" s="1733"/>
      <c r="E4538" s="1733"/>
      <c r="F4538" s="1733"/>
      <c r="G4538" s="1733"/>
      <c r="H4538" s="1733"/>
      <c r="I4538" s="1733"/>
      <c r="J4538" s="1733"/>
    </row>
    <row r="4539" spans="1:10" ht="15.75" customHeight="1">
      <c r="A4539" s="1733"/>
      <c r="B4539" s="1733"/>
      <c r="C4539" s="1733"/>
      <c r="D4539" s="1733"/>
      <c r="E4539" s="1733"/>
      <c r="F4539" s="1733"/>
      <c r="G4539" s="1733"/>
      <c r="H4539" s="1733"/>
      <c r="I4539" s="1733"/>
      <c r="J4539" s="1733"/>
    </row>
    <row r="4540" spans="1:10" ht="15.75" customHeight="1">
      <c r="A4540" s="1733"/>
      <c r="B4540" s="1733"/>
      <c r="C4540" s="1733"/>
      <c r="D4540" s="1733"/>
      <c r="E4540" s="1733"/>
      <c r="F4540" s="1733"/>
      <c r="G4540" s="1733"/>
      <c r="H4540" s="1733"/>
      <c r="I4540" s="1733"/>
      <c r="J4540" s="1733"/>
    </row>
    <row r="4541" spans="1:10" ht="15.75" customHeight="1">
      <c r="A4541" s="1733"/>
      <c r="B4541" s="1733"/>
      <c r="C4541" s="1733"/>
      <c r="D4541" s="1733"/>
      <c r="E4541" s="1733"/>
      <c r="F4541" s="1733"/>
      <c r="G4541" s="1733"/>
      <c r="H4541" s="1733"/>
      <c r="I4541" s="1733"/>
      <c r="J4541" s="1733"/>
    </row>
    <row r="4542" spans="1:10" ht="15.75" customHeight="1">
      <c r="A4542" s="1733"/>
      <c r="B4542" s="1733"/>
      <c r="C4542" s="1733"/>
      <c r="D4542" s="1733"/>
      <c r="E4542" s="1733"/>
      <c r="F4542" s="1733"/>
      <c r="G4542" s="1733"/>
      <c r="H4542" s="1733"/>
      <c r="I4542" s="1733"/>
      <c r="J4542" s="1733"/>
    </row>
    <row r="4543" spans="1:10" ht="15.75" customHeight="1">
      <c r="A4543" s="1733"/>
      <c r="B4543" s="1733"/>
      <c r="C4543" s="1733"/>
      <c r="D4543" s="1733"/>
      <c r="E4543" s="1733"/>
      <c r="F4543" s="1733"/>
      <c r="G4543" s="1733"/>
      <c r="H4543" s="1733"/>
      <c r="I4543" s="1733"/>
      <c r="J4543" s="1733"/>
    </row>
    <row r="4544" spans="1:10" ht="15.75" customHeight="1">
      <c r="A4544" s="1733"/>
      <c r="B4544" s="1733"/>
      <c r="C4544" s="1733"/>
      <c r="D4544" s="1733"/>
      <c r="E4544" s="1733"/>
      <c r="F4544" s="1733"/>
      <c r="G4544" s="1733"/>
      <c r="H4544" s="1733"/>
      <c r="I4544" s="1733"/>
      <c r="J4544" s="1733"/>
    </row>
    <row r="4545" spans="1:10" ht="15.75" customHeight="1">
      <c r="A4545" s="1733"/>
      <c r="B4545" s="1733"/>
      <c r="C4545" s="1733"/>
      <c r="D4545" s="1733"/>
      <c r="E4545" s="1733"/>
      <c r="F4545" s="1733"/>
      <c r="G4545" s="1733"/>
      <c r="H4545" s="1733"/>
      <c r="I4545" s="1733"/>
      <c r="J4545" s="1733"/>
    </row>
    <row r="4546" spans="1:10" ht="15.75" customHeight="1">
      <c r="A4546" s="1733"/>
      <c r="B4546" s="1733"/>
      <c r="C4546" s="1733"/>
      <c r="D4546" s="1733"/>
      <c r="E4546" s="1733"/>
      <c r="F4546" s="1733"/>
      <c r="G4546" s="1733"/>
      <c r="H4546" s="1733"/>
      <c r="I4546" s="1733"/>
      <c r="J4546" s="1733"/>
    </row>
    <row r="4547" spans="1:10" ht="15.75" customHeight="1">
      <c r="A4547" s="1733"/>
      <c r="B4547" s="1733"/>
      <c r="C4547" s="1733"/>
      <c r="D4547" s="1733"/>
      <c r="E4547" s="1733"/>
      <c r="F4547" s="1733"/>
      <c r="G4547" s="1733"/>
      <c r="H4547" s="1733"/>
      <c r="I4547" s="1733"/>
      <c r="J4547" s="1733"/>
    </row>
    <row r="4548" spans="1:10" ht="15.75" customHeight="1">
      <c r="A4548" s="1733"/>
      <c r="B4548" s="1733"/>
      <c r="C4548" s="1733"/>
      <c r="D4548" s="1733"/>
      <c r="E4548" s="1733"/>
      <c r="F4548" s="1733"/>
      <c r="G4548" s="1733"/>
      <c r="H4548" s="1733"/>
      <c r="I4548" s="1733"/>
      <c r="J4548" s="1733"/>
    </row>
    <row r="4549" spans="1:10" ht="15.75" customHeight="1">
      <c r="A4549" s="1733"/>
      <c r="B4549" s="1733"/>
      <c r="C4549" s="1733"/>
      <c r="D4549" s="1733"/>
      <c r="E4549" s="1733"/>
      <c r="F4549" s="1733"/>
      <c r="G4549" s="1733"/>
      <c r="H4549" s="1733"/>
      <c r="I4549" s="1733"/>
      <c r="J4549" s="1733"/>
    </row>
    <row r="4550" spans="1:10" ht="15.75" customHeight="1">
      <c r="A4550" s="1733"/>
      <c r="B4550" s="1733"/>
      <c r="C4550" s="1733"/>
      <c r="D4550" s="1733"/>
      <c r="E4550" s="1733"/>
      <c r="F4550" s="1733"/>
      <c r="G4550" s="1733"/>
      <c r="H4550" s="1733"/>
      <c r="I4550" s="1733"/>
      <c r="J4550" s="1733"/>
    </row>
    <row r="4551" spans="1:10" ht="15.75" customHeight="1">
      <c r="A4551" s="1733"/>
      <c r="B4551" s="1733"/>
      <c r="C4551" s="1733"/>
      <c r="D4551" s="1733"/>
      <c r="E4551" s="1733"/>
      <c r="F4551" s="1733"/>
      <c r="G4551" s="1733"/>
      <c r="H4551" s="1733"/>
      <c r="I4551" s="1733"/>
      <c r="J4551" s="1733"/>
    </row>
    <row r="4552" spans="1:10" ht="15.75" customHeight="1">
      <c r="A4552" s="1733"/>
      <c r="B4552" s="1733"/>
      <c r="C4552" s="1733"/>
      <c r="D4552" s="1733"/>
      <c r="E4552" s="1733"/>
      <c r="F4552" s="1733"/>
      <c r="G4552" s="1733"/>
      <c r="H4552" s="1733"/>
      <c r="I4552" s="1733"/>
      <c r="J4552" s="1733"/>
    </row>
    <row r="4553" spans="1:10" ht="15.75" customHeight="1">
      <c r="A4553" s="1733"/>
      <c r="B4553" s="1733"/>
      <c r="C4553" s="1733"/>
      <c r="D4553" s="1733"/>
      <c r="E4553" s="1733"/>
      <c r="F4553" s="1733"/>
      <c r="G4553" s="1733"/>
      <c r="H4553" s="1733"/>
      <c r="I4553" s="1733"/>
      <c r="J4553" s="1733"/>
    </row>
    <row r="4554" spans="1:10" ht="15.75" customHeight="1">
      <c r="A4554" s="1733"/>
      <c r="B4554" s="1733"/>
      <c r="C4554" s="1733"/>
      <c r="D4554" s="1733"/>
      <c r="E4554" s="1733"/>
      <c r="F4554" s="1733"/>
      <c r="G4554" s="1733"/>
      <c r="H4554" s="1733"/>
      <c r="I4554" s="1733"/>
      <c r="J4554" s="1733"/>
    </row>
    <row r="4555" spans="1:10" ht="15.75" customHeight="1">
      <c r="A4555" s="1733"/>
      <c r="B4555" s="1733"/>
      <c r="C4555" s="1733"/>
      <c r="D4555" s="1733"/>
      <c r="E4555" s="1733"/>
      <c r="F4555" s="1733"/>
      <c r="G4555" s="1733"/>
      <c r="H4555" s="1733"/>
      <c r="I4555" s="1733"/>
      <c r="J4555" s="1733"/>
    </row>
    <row r="4556" spans="1:10" ht="15.75" customHeight="1">
      <c r="A4556" s="1733"/>
      <c r="B4556" s="1733"/>
      <c r="C4556" s="1733"/>
      <c r="D4556" s="1733"/>
      <c r="E4556" s="1733"/>
      <c r="F4556" s="1733"/>
      <c r="G4556" s="1733"/>
      <c r="H4556" s="1733"/>
      <c r="I4556" s="1733"/>
      <c r="J4556" s="1733"/>
    </row>
    <row r="4557" spans="1:10" ht="15.75" customHeight="1">
      <c r="A4557" s="1733"/>
      <c r="B4557" s="1733"/>
      <c r="C4557" s="1733"/>
      <c r="D4557" s="1733"/>
      <c r="E4557" s="1733"/>
      <c r="F4557" s="1733"/>
      <c r="G4557" s="1733"/>
      <c r="H4557" s="1733"/>
      <c r="I4557" s="1733"/>
      <c r="J4557" s="1733"/>
    </row>
    <row r="4558" spans="1:10" ht="15.75" customHeight="1">
      <c r="A4558" s="1733"/>
      <c r="B4558" s="1733"/>
      <c r="C4558" s="1733"/>
      <c r="D4558" s="1733"/>
      <c r="E4558" s="1733"/>
      <c r="F4558" s="1733"/>
      <c r="G4558" s="1733"/>
      <c r="H4558" s="1733"/>
      <c r="I4558" s="1733"/>
      <c r="J4558" s="1733"/>
    </row>
    <row r="4559" spans="1:10" ht="15.75" customHeight="1">
      <c r="A4559" s="1733"/>
      <c r="B4559" s="1733"/>
      <c r="C4559" s="1733"/>
      <c r="D4559" s="1733"/>
      <c r="E4559" s="1733"/>
      <c r="F4559" s="1733"/>
      <c r="G4559" s="1733"/>
      <c r="H4559" s="1733"/>
      <c r="I4559" s="1733"/>
      <c r="J4559" s="1733"/>
    </row>
    <row r="4560" spans="1:10" ht="15.75" customHeight="1">
      <c r="A4560" s="1733"/>
      <c r="B4560" s="1733"/>
      <c r="C4560" s="1733"/>
      <c r="D4560" s="1733"/>
      <c r="E4560" s="1733"/>
      <c r="F4560" s="1733"/>
      <c r="G4560" s="1733"/>
      <c r="H4560" s="1733"/>
      <c r="I4560" s="1733"/>
      <c r="J4560" s="1733"/>
    </row>
    <row r="4561" spans="1:10" ht="15.75" customHeight="1">
      <c r="A4561" s="1733"/>
      <c r="B4561" s="1733"/>
      <c r="C4561" s="1733"/>
      <c r="D4561" s="1733"/>
      <c r="E4561" s="1733"/>
      <c r="F4561" s="1733"/>
      <c r="G4561" s="1733"/>
      <c r="H4561" s="1733"/>
      <c r="I4561" s="1733"/>
      <c r="J4561" s="1733"/>
    </row>
    <row r="4562" spans="1:10" ht="15.75" customHeight="1">
      <c r="A4562" s="1733"/>
      <c r="B4562" s="1733"/>
      <c r="C4562" s="1733"/>
      <c r="D4562" s="1733"/>
      <c r="E4562" s="1733"/>
      <c r="F4562" s="1733"/>
      <c r="G4562" s="1733"/>
      <c r="H4562" s="1733"/>
      <c r="I4562" s="1733"/>
      <c r="J4562" s="1733"/>
    </row>
    <row r="4563" spans="1:10" ht="15.75" customHeight="1">
      <c r="A4563" s="1733"/>
      <c r="B4563" s="1733"/>
      <c r="C4563" s="1733"/>
      <c r="D4563" s="1733"/>
      <c r="E4563" s="1733"/>
      <c r="F4563" s="1733"/>
      <c r="G4563" s="1733"/>
      <c r="H4563" s="1733"/>
      <c r="I4563" s="1733"/>
      <c r="J4563" s="1733"/>
    </row>
    <row r="4564" spans="1:10" ht="15.75" customHeight="1">
      <c r="A4564" s="1733"/>
      <c r="B4564" s="1733"/>
      <c r="C4564" s="1733"/>
      <c r="D4564" s="1733"/>
      <c r="E4564" s="1733"/>
      <c r="F4564" s="1733"/>
      <c r="G4564" s="1733"/>
      <c r="H4564" s="1733"/>
      <c r="I4564" s="1733"/>
      <c r="J4564" s="1733"/>
    </row>
    <row r="4565" spans="1:10" ht="15.75" customHeight="1">
      <c r="A4565" s="1733"/>
      <c r="B4565" s="1733"/>
      <c r="C4565" s="1733"/>
      <c r="D4565" s="1733"/>
      <c r="E4565" s="1733"/>
      <c r="F4565" s="1733"/>
      <c r="G4565" s="1733"/>
      <c r="H4565" s="1733"/>
      <c r="I4565" s="1733"/>
      <c r="J4565" s="1733"/>
    </row>
    <row r="4566" spans="1:10" ht="15.75" customHeight="1">
      <c r="A4566" s="1733"/>
      <c r="B4566" s="1733"/>
      <c r="C4566" s="1733"/>
      <c r="D4566" s="1733"/>
      <c r="E4566" s="1733"/>
      <c r="F4566" s="1733"/>
      <c r="G4566" s="1733"/>
      <c r="H4566" s="1733"/>
      <c r="I4566" s="1733"/>
      <c r="J4566" s="1733"/>
    </row>
    <row r="4567" spans="1:10" ht="15.75" customHeight="1">
      <c r="A4567" s="1733"/>
      <c r="B4567" s="1733"/>
      <c r="C4567" s="1733"/>
      <c r="D4567" s="1733"/>
      <c r="E4567" s="1733"/>
      <c r="F4567" s="1733"/>
      <c r="G4567" s="1733"/>
      <c r="H4567" s="1733"/>
      <c r="I4567" s="1733"/>
      <c r="J4567" s="1733"/>
    </row>
    <row r="4568" spans="1:10" ht="15.75" customHeight="1">
      <c r="A4568" s="1733"/>
      <c r="B4568" s="1733"/>
      <c r="C4568" s="1733"/>
      <c r="D4568" s="1733"/>
      <c r="E4568" s="1733"/>
      <c r="F4568" s="1733"/>
      <c r="G4568" s="1733"/>
      <c r="H4568" s="1733"/>
      <c r="I4568" s="1733"/>
      <c r="J4568" s="1733"/>
    </row>
    <row r="4569" spans="1:10" ht="15.75" customHeight="1">
      <c r="A4569" s="1733"/>
      <c r="B4569" s="1733"/>
      <c r="C4569" s="1733"/>
      <c r="D4569" s="1733"/>
      <c r="E4569" s="1733"/>
      <c r="F4569" s="1733"/>
      <c r="G4569" s="1733"/>
      <c r="H4569" s="1733"/>
      <c r="I4569" s="1733"/>
      <c r="J4569" s="1733"/>
    </row>
    <row r="4570" spans="1:10" ht="15.75" customHeight="1">
      <c r="A4570" s="1733"/>
      <c r="B4570" s="1733"/>
      <c r="C4570" s="1733"/>
      <c r="D4570" s="1733"/>
      <c r="E4570" s="1733"/>
      <c r="F4570" s="1733"/>
      <c r="G4570" s="1733"/>
      <c r="H4570" s="1733"/>
      <c r="I4570" s="1733"/>
      <c r="J4570" s="1733"/>
    </row>
    <row r="4571" spans="1:10" ht="15.75" customHeight="1">
      <c r="A4571" s="1733"/>
      <c r="B4571" s="1733"/>
      <c r="C4571" s="1733"/>
      <c r="D4571" s="1733"/>
      <c r="E4571" s="1733"/>
      <c r="F4571" s="1733"/>
      <c r="G4571" s="1733"/>
      <c r="H4571" s="1733"/>
      <c r="I4571" s="1733"/>
      <c r="J4571" s="1733"/>
    </row>
    <row r="4572" spans="1:10" ht="15.75" customHeight="1">
      <c r="A4572" s="1733"/>
      <c r="B4572" s="1733"/>
      <c r="C4572" s="1733"/>
      <c r="D4572" s="1733"/>
      <c r="E4572" s="1733"/>
      <c r="F4572" s="1733"/>
      <c r="G4572" s="1733"/>
      <c r="H4572" s="1733"/>
      <c r="I4572" s="1733"/>
      <c r="J4572" s="1733"/>
    </row>
    <row r="4573" spans="1:10" ht="15.75" customHeight="1">
      <c r="A4573" s="1733"/>
      <c r="B4573" s="1733"/>
      <c r="C4573" s="1733"/>
      <c r="D4573" s="1733"/>
      <c r="E4573" s="1733"/>
      <c r="F4573" s="1733"/>
      <c r="G4573" s="1733"/>
      <c r="H4573" s="1733"/>
      <c r="I4573" s="1733"/>
      <c r="J4573" s="1733"/>
    </row>
    <row r="4574" spans="1:10" ht="15.75" customHeight="1">
      <c r="A4574" s="1733"/>
      <c r="B4574" s="1733"/>
      <c r="C4574" s="1733"/>
      <c r="D4574" s="1733"/>
      <c r="E4574" s="1733"/>
      <c r="F4574" s="1733"/>
      <c r="G4574" s="1733"/>
      <c r="H4574" s="1733"/>
      <c r="I4574" s="1733"/>
      <c r="J4574" s="1733"/>
    </row>
    <row r="4575" spans="1:10" ht="15.75" customHeight="1">
      <c r="A4575" s="1733"/>
      <c r="B4575" s="1733"/>
      <c r="C4575" s="1733"/>
      <c r="D4575" s="1733"/>
      <c r="E4575" s="1733"/>
      <c r="F4575" s="1733"/>
      <c r="G4575" s="1733"/>
      <c r="H4575" s="1733"/>
      <c r="I4575" s="1733"/>
      <c r="J4575" s="1733"/>
    </row>
    <row r="4576" spans="1:10" ht="15.75" customHeight="1">
      <c r="A4576" s="1733"/>
      <c r="B4576" s="1733"/>
      <c r="C4576" s="1733"/>
      <c r="D4576" s="1733"/>
      <c r="E4576" s="1733"/>
      <c r="F4576" s="1733"/>
      <c r="G4576" s="1733"/>
      <c r="H4576" s="1733"/>
      <c r="I4576" s="1733"/>
      <c r="J4576" s="1733"/>
    </row>
    <row r="4577" spans="1:10" ht="15.75" customHeight="1">
      <c r="A4577" s="1733"/>
      <c r="B4577" s="1733"/>
      <c r="C4577" s="1733"/>
      <c r="D4577" s="1733"/>
      <c r="E4577" s="1733"/>
      <c r="F4577" s="1733"/>
      <c r="G4577" s="1733"/>
      <c r="H4577" s="1733"/>
      <c r="I4577" s="1733"/>
      <c r="J4577" s="1733"/>
    </row>
    <row r="4578" spans="1:10" ht="15.75" customHeight="1">
      <c r="A4578" s="1733"/>
      <c r="B4578" s="1733"/>
      <c r="C4578" s="1733"/>
      <c r="D4578" s="1733"/>
      <c r="E4578" s="1733"/>
      <c r="F4578" s="1733"/>
      <c r="G4578" s="1733"/>
      <c r="H4578" s="1733"/>
      <c r="I4578" s="1733"/>
      <c r="J4578" s="1733"/>
    </row>
    <row r="4579" spans="1:10" ht="15.75" customHeight="1">
      <c r="A4579" s="1733"/>
      <c r="B4579" s="1733"/>
      <c r="C4579" s="1733"/>
      <c r="D4579" s="1733"/>
      <c r="E4579" s="1733"/>
      <c r="F4579" s="1733"/>
      <c r="G4579" s="1733"/>
      <c r="H4579" s="1733"/>
      <c r="I4579" s="1733"/>
      <c r="J4579" s="1733"/>
    </row>
    <row r="4580" spans="1:10" ht="15.75" customHeight="1">
      <c r="A4580" s="1733"/>
      <c r="B4580" s="1733"/>
      <c r="C4580" s="1733"/>
      <c r="D4580" s="1733"/>
      <c r="E4580" s="1733"/>
      <c r="F4580" s="1733"/>
      <c r="G4580" s="1733"/>
      <c r="H4580" s="1733"/>
      <c r="I4580" s="1733"/>
      <c r="J4580" s="1733"/>
    </row>
    <row r="4581" spans="1:10" ht="15.75" customHeight="1">
      <c r="A4581" s="1733"/>
      <c r="B4581" s="1733"/>
      <c r="C4581" s="1733"/>
      <c r="D4581" s="1733"/>
      <c r="E4581" s="1733"/>
      <c r="F4581" s="1733"/>
      <c r="G4581" s="1733"/>
      <c r="H4581" s="1733"/>
      <c r="I4581" s="1733"/>
      <c r="J4581" s="1733"/>
    </row>
    <row r="4582" spans="1:10" ht="15.75" customHeight="1">
      <c r="A4582" s="1733"/>
      <c r="B4582" s="1733"/>
      <c r="C4582" s="1733"/>
      <c r="D4582" s="1733"/>
      <c r="E4582" s="1733"/>
      <c r="F4582" s="1733"/>
      <c r="G4582" s="1733"/>
      <c r="H4582" s="1733"/>
      <c r="I4582" s="1733"/>
      <c r="J4582" s="1733"/>
    </row>
    <row r="4583" spans="1:10" ht="15.75" customHeight="1">
      <c r="A4583" s="1733"/>
      <c r="B4583" s="1733"/>
      <c r="C4583" s="1733"/>
      <c r="D4583" s="1733"/>
      <c r="E4583" s="1733"/>
      <c r="F4583" s="1733"/>
      <c r="G4583" s="1733"/>
      <c r="H4583" s="1733"/>
      <c r="I4583" s="1733"/>
      <c r="J4583" s="1733"/>
    </row>
    <row r="4584" spans="1:10" ht="15.75" customHeight="1">
      <c r="A4584" s="1733"/>
      <c r="B4584" s="1733"/>
      <c r="C4584" s="1733"/>
      <c r="D4584" s="1733"/>
      <c r="E4584" s="1733"/>
      <c r="F4584" s="1733"/>
      <c r="G4584" s="1733"/>
      <c r="H4584" s="1733"/>
      <c r="I4584" s="1733"/>
      <c r="J4584" s="1733"/>
    </row>
    <row r="4585" spans="1:10" ht="15.75" customHeight="1">
      <c r="A4585" s="1733"/>
      <c r="B4585" s="1733"/>
      <c r="C4585" s="1733"/>
      <c r="D4585" s="1733"/>
      <c r="E4585" s="1733"/>
      <c r="F4585" s="1733"/>
      <c r="G4585" s="1733"/>
      <c r="H4585" s="1733"/>
      <c r="I4585" s="1733"/>
      <c r="J4585" s="1733"/>
    </row>
    <row r="4586" spans="1:10" ht="15.75" customHeight="1">
      <c r="A4586" s="1733"/>
      <c r="B4586" s="1733"/>
      <c r="C4586" s="1733"/>
      <c r="D4586" s="1733"/>
      <c r="E4586" s="1733"/>
      <c r="F4586" s="1733"/>
      <c r="G4586" s="1733"/>
      <c r="H4586" s="1733"/>
      <c r="I4586" s="1733"/>
      <c r="J4586" s="1733"/>
    </row>
    <row r="4587" spans="1:10" ht="15.75" customHeight="1">
      <c r="A4587" s="1733"/>
      <c r="B4587" s="1733"/>
      <c r="C4587" s="1733"/>
      <c r="D4587" s="1733"/>
      <c r="E4587" s="1733"/>
      <c r="F4587" s="1733"/>
      <c r="G4587" s="1733"/>
      <c r="H4587" s="1733"/>
      <c r="I4587" s="1733"/>
      <c r="J4587" s="1733"/>
    </row>
    <row r="4588" spans="1:10" ht="15.75" customHeight="1">
      <c r="A4588" s="1733"/>
      <c r="B4588" s="1733"/>
      <c r="C4588" s="1733"/>
      <c r="D4588" s="1733"/>
      <c r="E4588" s="1733"/>
      <c r="F4588" s="1733"/>
      <c r="G4588" s="1733"/>
      <c r="H4588" s="1733"/>
      <c r="I4588" s="1733"/>
      <c r="J4588" s="1733"/>
    </row>
    <row r="4589" spans="1:10" ht="15.75" customHeight="1">
      <c r="A4589" s="1733"/>
      <c r="B4589" s="1733"/>
      <c r="C4589" s="1733"/>
      <c r="D4589" s="1733"/>
      <c r="E4589" s="1733"/>
      <c r="F4589" s="1733"/>
      <c r="G4589" s="1733"/>
      <c r="H4589" s="1733"/>
      <c r="I4589" s="1733"/>
      <c r="J4589" s="1733"/>
    </row>
    <row r="4590" spans="1:10" ht="15.75" customHeight="1">
      <c r="A4590" s="1733"/>
      <c r="B4590" s="1733"/>
      <c r="C4590" s="1733"/>
      <c r="D4590" s="1733"/>
      <c r="E4590" s="1733"/>
      <c r="F4590" s="1733"/>
      <c r="G4590" s="1733"/>
      <c r="H4590" s="1733"/>
      <c r="I4590" s="1733"/>
      <c r="J4590" s="1733"/>
    </row>
    <row r="4591" spans="1:10" ht="15.75" customHeight="1">
      <c r="A4591" s="1733"/>
      <c r="B4591" s="1733"/>
      <c r="C4591" s="1733"/>
      <c r="D4591" s="1733"/>
      <c r="E4591" s="1733"/>
      <c r="F4591" s="1733"/>
      <c r="G4591" s="1733"/>
      <c r="H4591" s="1733"/>
      <c r="I4591" s="1733"/>
      <c r="J4591" s="1733"/>
    </row>
    <row r="4592" spans="1:10" ht="15.75" customHeight="1">
      <c r="A4592" s="1733"/>
      <c r="B4592" s="1733"/>
      <c r="C4592" s="1733"/>
      <c r="D4592" s="1733"/>
      <c r="E4592" s="1733"/>
      <c r="F4592" s="1733"/>
      <c r="G4592" s="1733"/>
      <c r="H4592" s="1733"/>
      <c r="I4592" s="1733"/>
      <c r="J4592" s="1733"/>
    </row>
    <row r="4593" spans="1:10" ht="15.75" customHeight="1">
      <c r="A4593" s="1733"/>
      <c r="B4593" s="1733"/>
      <c r="C4593" s="1733"/>
      <c r="D4593" s="1733"/>
      <c r="E4593" s="1733"/>
      <c r="F4593" s="1733"/>
      <c r="G4593" s="1733"/>
      <c r="H4593" s="1733"/>
      <c r="I4593" s="1733"/>
      <c r="J4593" s="1733"/>
    </row>
    <row r="4594" spans="1:10" ht="15.75" customHeight="1">
      <c r="A4594" s="1733"/>
      <c r="B4594" s="1733"/>
      <c r="C4594" s="1733"/>
      <c r="D4594" s="1733"/>
      <c r="E4594" s="1733"/>
      <c r="F4594" s="1733"/>
      <c r="G4594" s="1733"/>
      <c r="H4594" s="1733"/>
      <c r="I4594" s="1733"/>
      <c r="J4594" s="1733"/>
    </row>
    <row r="4595" spans="1:10" ht="15.75" customHeight="1">
      <c r="A4595" s="1733"/>
      <c r="B4595" s="1733"/>
      <c r="C4595" s="1733"/>
      <c r="D4595" s="1733"/>
      <c r="E4595" s="1733"/>
      <c r="F4595" s="1733"/>
      <c r="G4595" s="1733"/>
      <c r="H4595" s="1733"/>
      <c r="I4595" s="1733"/>
      <c r="J4595" s="1733"/>
    </row>
    <row r="4596" spans="1:10" ht="15.75" customHeight="1">
      <c r="A4596" s="1733"/>
      <c r="B4596" s="1733"/>
      <c r="C4596" s="1733"/>
      <c r="D4596" s="1733"/>
      <c r="E4596" s="1733"/>
      <c r="F4596" s="1733"/>
      <c r="G4596" s="1733"/>
      <c r="H4596" s="1733"/>
      <c r="I4596" s="1733"/>
      <c r="J4596" s="1733"/>
    </row>
    <row r="4597" spans="1:10" ht="15.75" customHeight="1">
      <c r="A4597" s="1733"/>
      <c r="B4597" s="1733"/>
      <c r="C4597" s="1733"/>
      <c r="D4597" s="1733"/>
      <c r="E4597" s="1733"/>
      <c r="F4597" s="1733"/>
      <c r="G4597" s="1733"/>
      <c r="H4597" s="1733"/>
      <c r="I4597" s="1733"/>
      <c r="J4597" s="1733"/>
    </row>
    <row r="4598" spans="1:10" ht="15.75" customHeight="1">
      <c r="A4598" s="1733"/>
      <c r="B4598" s="1733"/>
      <c r="C4598" s="1733"/>
      <c r="D4598" s="1733"/>
      <c r="E4598" s="1733"/>
      <c r="F4598" s="1733"/>
      <c r="G4598" s="1733"/>
      <c r="H4598" s="1733"/>
      <c r="I4598" s="1733"/>
      <c r="J4598" s="1733"/>
    </row>
    <row r="4599" spans="1:10" ht="15.75" customHeight="1">
      <c r="A4599" s="1733"/>
      <c r="B4599" s="1733"/>
      <c r="C4599" s="1733"/>
      <c r="D4599" s="1733"/>
      <c r="E4599" s="1733"/>
      <c r="F4599" s="1733"/>
      <c r="G4599" s="1733"/>
      <c r="H4599" s="1733"/>
      <c r="I4599" s="1733"/>
      <c r="J4599" s="1733"/>
    </row>
    <row r="4600" spans="1:10" ht="15.75" customHeight="1">
      <c r="A4600" s="1733"/>
      <c r="B4600" s="1733"/>
      <c r="C4600" s="1733"/>
      <c r="D4600" s="1733"/>
      <c r="E4600" s="1733"/>
      <c r="F4600" s="1733"/>
      <c r="G4600" s="1733"/>
      <c r="H4600" s="1733"/>
      <c r="I4600" s="1733"/>
      <c r="J4600" s="1733"/>
    </row>
    <row r="4601" spans="1:10" ht="15.75" customHeight="1">
      <c r="A4601" s="1733"/>
      <c r="B4601" s="1733"/>
      <c r="C4601" s="1733"/>
      <c r="D4601" s="1733"/>
      <c r="E4601" s="1733"/>
      <c r="F4601" s="1733"/>
      <c r="G4601" s="1733"/>
      <c r="H4601" s="1733"/>
      <c r="I4601" s="1733"/>
      <c r="J4601" s="1733"/>
    </row>
    <row r="4602" spans="1:10" ht="15.75" customHeight="1">
      <c r="A4602" s="1733"/>
      <c r="B4602" s="1733"/>
      <c r="C4602" s="1733"/>
      <c r="D4602" s="1733"/>
      <c r="E4602" s="1733"/>
      <c r="F4602" s="1733"/>
      <c r="G4602" s="1733"/>
      <c r="H4602" s="1733"/>
      <c r="I4602" s="1733"/>
      <c r="J4602" s="1733"/>
    </row>
    <row r="4603" spans="1:10" ht="15.75" customHeight="1">
      <c r="A4603" s="1733"/>
      <c r="B4603" s="1733"/>
      <c r="C4603" s="1733"/>
      <c r="D4603" s="1733"/>
      <c r="E4603" s="1733"/>
      <c r="F4603" s="1733"/>
      <c r="G4603" s="1733"/>
      <c r="H4603" s="1733"/>
      <c r="I4603" s="1733"/>
      <c r="J4603" s="1733"/>
    </row>
    <row r="4604" spans="1:10" ht="15.75" customHeight="1">
      <c r="A4604" s="1733"/>
      <c r="B4604" s="1733"/>
      <c r="C4604" s="1733"/>
      <c r="D4604" s="1733"/>
      <c r="E4604" s="1733"/>
      <c r="F4604" s="1733"/>
      <c r="G4604" s="1733"/>
      <c r="H4604" s="1733"/>
      <c r="I4604" s="1733"/>
      <c r="J4604" s="1733"/>
    </row>
    <row r="4605" spans="1:10" ht="15.75" customHeight="1">
      <c r="A4605" s="1733"/>
      <c r="B4605" s="1733"/>
      <c r="C4605" s="1733"/>
      <c r="D4605" s="1733"/>
      <c r="E4605" s="1733"/>
      <c r="F4605" s="1733"/>
      <c r="G4605" s="1733"/>
      <c r="H4605" s="1733"/>
      <c r="I4605" s="1733"/>
      <c r="J4605" s="1733"/>
    </row>
    <row r="4606" spans="1:10" ht="15.75" customHeight="1">
      <c r="A4606" s="1733"/>
      <c r="B4606" s="1733"/>
      <c r="C4606" s="1733"/>
      <c r="D4606" s="1733"/>
      <c r="E4606" s="1733"/>
      <c r="F4606" s="1733"/>
      <c r="G4606" s="1733"/>
      <c r="H4606" s="1733"/>
      <c r="I4606" s="1733"/>
      <c r="J4606" s="1733"/>
    </row>
    <row r="4607" spans="1:10" ht="15.75" customHeight="1">
      <c r="A4607" s="1733"/>
      <c r="B4607" s="1733"/>
      <c r="C4607" s="1733"/>
      <c r="D4607" s="1733"/>
      <c r="E4607" s="1733"/>
      <c r="F4607" s="1733"/>
      <c r="G4607" s="1733"/>
      <c r="H4607" s="1733"/>
      <c r="I4607" s="1733"/>
      <c r="J4607" s="1733"/>
    </row>
    <row r="4608" spans="1:10" ht="15.75" customHeight="1">
      <c r="A4608" s="1733"/>
      <c r="B4608" s="1733"/>
      <c r="C4608" s="1733"/>
      <c r="D4608" s="1733"/>
      <c r="E4608" s="1733"/>
      <c r="F4608" s="1733"/>
      <c r="G4608" s="1733"/>
      <c r="H4608" s="1733"/>
      <c r="I4608" s="1733"/>
      <c r="J4608" s="1733"/>
    </row>
    <row r="4609" spans="1:10" ht="15.75" customHeight="1">
      <c r="A4609" s="1733"/>
      <c r="B4609" s="1733"/>
      <c r="C4609" s="1733"/>
      <c r="D4609" s="1733"/>
      <c r="E4609" s="1733"/>
      <c r="F4609" s="1733"/>
      <c r="G4609" s="1733"/>
      <c r="H4609" s="1733"/>
      <c r="I4609" s="1733"/>
      <c r="J4609" s="1733"/>
    </row>
    <row r="4610" spans="1:10" ht="15.75" customHeight="1">
      <c r="A4610" s="1733"/>
      <c r="B4610" s="1733"/>
      <c r="C4610" s="1733"/>
      <c r="D4610" s="1733"/>
      <c r="E4610" s="1733"/>
      <c r="F4610" s="1733"/>
      <c r="G4610" s="1733"/>
      <c r="H4610" s="1733"/>
      <c r="I4610" s="1733"/>
      <c r="J4610" s="1733"/>
    </row>
    <row r="4611" spans="1:10" ht="15.75" customHeight="1">
      <c r="A4611" s="1733"/>
      <c r="B4611" s="1733"/>
      <c r="C4611" s="1733"/>
      <c r="D4611" s="1733"/>
      <c r="E4611" s="1733"/>
      <c r="F4611" s="1733"/>
      <c r="G4611" s="1733"/>
      <c r="H4611" s="1733"/>
      <c r="I4611" s="1733"/>
      <c r="J4611" s="1733"/>
    </row>
    <row r="4612" spans="1:10" ht="15.75" customHeight="1">
      <c r="A4612" s="1733"/>
      <c r="B4612" s="1733"/>
      <c r="C4612" s="1733"/>
      <c r="D4612" s="1733"/>
      <c r="E4612" s="1733"/>
      <c r="F4612" s="1733"/>
      <c r="G4612" s="1733"/>
      <c r="H4612" s="1733"/>
      <c r="I4612" s="1733"/>
      <c r="J4612" s="1733"/>
    </row>
    <row r="4613" spans="1:10" ht="15.75" customHeight="1">
      <c r="A4613" s="1733"/>
      <c r="B4613" s="1733"/>
      <c r="C4613" s="1733"/>
      <c r="D4613" s="1733"/>
      <c r="E4613" s="1733"/>
      <c r="F4613" s="1733"/>
      <c r="G4613" s="1733"/>
      <c r="H4613" s="1733"/>
      <c r="I4613" s="1733"/>
      <c r="J4613" s="1733"/>
    </row>
    <row r="4614" spans="1:10" ht="15.75" customHeight="1">
      <c r="A4614" s="1733"/>
      <c r="B4614" s="1733"/>
      <c r="C4614" s="1733"/>
      <c r="D4614" s="1733"/>
      <c r="E4614" s="1733"/>
      <c r="F4614" s="1733"/>
      <c r="G4614" s="1733"/>
      <c r="H4614" s="1733"/>
      <c r="I4614" s="1733"/>
      <c r="J4614" s="1733"/>
    </row>
    <row r="4615" spans="1:10" ht="15.75" customHeight="1">
      <c r="A4615" s="1733"/>
      <c r="B4615" s="1733"/>
      <c r="C4615" s="1733"/>
      <c r="D4615" s="1733"/>
      <c r="E4615" s="1733"/>
      <c r="F4615" s="1733"/>
      <c r="G4615" s="1733"/>
      <c r="H4615" s="1733"/>
      <c r="I4615" s="1733"/>
      <c r="J4615" s="1733"/>
    </row>
    <row r="4616" spans="1:10" ht="15.75" customHeight="1">
      <c r="A4616" s="1733"/>
      <c r="B4616" s="1733"/>
      <c r="C4616" s="1733"/>
      <c r="D4616" s="1733"/>
      <c r="E4616" s="1733"/>
      <c r="F4616" s="1733"/>
      <c r="G4616" s="1733"/>
      <c r="H4616" s="1733"/>
      <c r="I4616" s="1733"/>
      <c r="J4616" s="1733"/>
    </row>
    <row r="4617" spans="1:10" ht="15.75" customHeight="1">
      <c r="A4617" s="1733"/>
      <c r="B4617" s="1733"/>
      <c r="C4617" s="1733"/>
      <c r="D4617" s="1733"/>
      <c r="E4617" s="1733"/>
      <c r="F4617" s="1733"/>
      <c r="G4617" s="1733"/>
      <c r="H4617" s="1733"/>
      <c r="I4617" s="1733"/>
      <c r="J4617" s="1733"/>
    </row>
    <row r="4618" spans="1:10" ht="15.75" customHeight="1">
      <c r="A4618" s="1733"/>
      <c r="B4618" s="1733"/>
      <c r="C4618" s="1733"/>
      <c r="D4618" s="1733"/>
      <c r="E4618" s="1733"/>
      <c r="F4618" s="1733"/>
      <c r="G4618" s="1733"/>
      <c r="H4618" s="1733"/>
      <c r="I4618" s="1733"/>
      <c r="J4618" s="1733"/>
    </row>
    <row r="4619" spans="1:10" ht="15.75" customHeight="1">
      <c r="A4619" s="1733"/>
      <c r="B4619" s="1733"/>
      <c r="C4619" s="1733"/>
      <c r="D4619" s="1733"/>
      <c r="E4619" s="1733"/>
      <c r="F4619" s="1733"/>
      <c r="G4619" s="1733"/>
      <c r="H4619" s="1733"/>
      <c r="I4619" s="1733"/>
      <c r="J4619" s="1733"/>
    </row>
    <row r="4620" spans="1:10" ht="15.75" customHeight="1">
      <c r="A4620" s="1733"/>
      <c r="B4620" s="1733"/>
      <c r="C4620" s="1733"/>
      <c r="D4620" s="1733"/>
      <c r="E4620" s="1733"/>
      <c r="F4620" s="1733"/>
      <c r="G4620" s="1733"/>
      <c r="H4620" s="1733"/>
      <c r="I4620" s="1733"/>
      <c r="J4620" s="1733"/>
    </row>
    <row r="4621" spans="1:10" ht="15.75" customHeight="1">
      <c r="A4621" s="1733"/>
      <c r="B4621" s="1733"/>
      <c r="C4621" s="1733"/>
      <c r="D4621" s="1733"/>
      <c r="E4621" s="1733"/>
      <c r="F4621" s="1733"/>
      <c r="G4621" s="1733"/>
      <c r="H4621" s="1733"/>
      <c r="I4621" s="1733"/>
      <c r="J4621" s="1733"/>
    </row>
    <row r="4622" spans="1:10" ht="15.75" customHeight="1">
      <c r="A4622" s="1733"/>
      <c r="B4622" s="1733"/>
      <c r="C4622" s="1733"/>
      <c r="D4622" s="1733"/>
      <c r="E4622" s="1733"/>
      <c r="F4622" s="1733"/>
      <c r="G4622" s="1733"/>
      <c r="H4622" s="1733"/>
      <c r="I4622" s="1733"/>
      <c r="J4622" s="1733"/>
    </row>
    <row r="4623" spans="1:10" ht="15.75" customHeight="1">
      <c r="A4623" s="1733"/>
      <c r="B4623" s="1733"/>
      <c r="C4623" s="1733"/>
      <c r="D4623" s="1733"/>
      <c r="E4623" s="1733"/>
      <c r="F4623" s="1733"/>
      <c r="G4623" s="1733"/>
      <c r="H4623" s="1733"/>
      <c r="I4623" s="1733"/>
      <c r="J4623" s="1733"/>
    </row>
    <row r="4624" spans="1:10" ht="15.75" customHeight="1">
      <c r="A4624" s="1733"/>
      <c r="B4624" s="1733"/>
      <c r="C4624" s="1733"/>
      <c r="D4624" s="1733"/>
      <c r="E4624" s="1733"/>
      <c r="F4624" s="1733"/>
      <c r="G4624" s="1733"/>
      <c r="H4624" s="1733"/>
      <c r="I4624" s="1733"/>
      <c r="J4624" s="1733"/>
    </row>
    <row r="4625" spans="1:10" ht="15.75" customHeight="1">
      <c r="A4625" s="1733"/>
      <c r="B4625" s="1733"/>
      <c r="C4625" s="1733"/>
      <c r="D4625" s="1733"/>
      <c r="E4625" s="1733"/>
      <c r="F4625" s="1733"/>
      <c r="G4625" s="1733"/>
      <c r="H4625" s="1733"/>
      <c r="I4625" s="1733"/>
      <c r="J4625" s="1733"/>
    </row>
    <row r="4626" spans="1:10" ht="15.75" customHeight="1">
      <c r="A4626" s="1733"/>
      <c r="B4626" s="1733"/>
      <c r="C4626" s="1733"/>
      <c r="D4626" s="1733"/>
      <c r="E4626" s="1733"/>
      <c r="F4626" s="1733"/>
      <c r="G4626" s="1733"/>
      <c r="H4626" s="1733"/>
      <c r="I4626" s="1733"/>
      <c r="J4626" s="1733"/>
    </row>
    <row r="4627" spans="1:10" ht="15.75" customHeight="1">
      <c r="A4627" s="1733"/>
      <c r="B4627" s="1733"/>
      <c r="C4627" s="1733"/>
      <c r="D4627" s="1733"/>
      <c r="E4627" s="1733"/>
      <c r="F4627" s="1733"/>
      <c r="G4627" s="1733"/>
      <c r="H4627" s="1733"/>
      <c r="I4627" s="1733"/>
      <c r="J4627" s="1733"/>
    </row>
    <row r="4628" spans="1:10" ht="15.75" customHeight="1">
      <c r="A4628" s="1733"/>
      <c r="B4628" s="1733"/>
      <c r="C4628" s="1733"/>
      <c r="D4628" s="1733"/>
      <c r="E4628" s="1733"/>
      <c r="F4628" s="1733"/>
      <c r="G4628" s="1733"/>
      <c r="H4628" s="1733"/>
      <c r="I4628" s="1733"/>
      <c r="J4628" s="1733"/>
    </row>
    <row r="4629" spans="1:10" ht="15.75" customHeight="1">
      <c r="A4629" s="1733"/>
      <c r="B4629" s="1733"/>
      <c r="C4629" s="1733"/>
      <c r="D4629" s="1733"/>
      <c r="E4629" s="1733"/>
      <c r="F4629" s="1733"/>
      <c r="G4629" s="1733"/>
      <c r="H4629" s="1733"/>
      <c r="I4629" s="1733"/>
      <c r="J4629" s="1733"/>
    </row>
    <row r="4630" spans="1:10" ht="15.75" customHeight="1">
      <c r="A4630" s="1733"/>
      <c r="B4630" s="1733"/>
      <c r="C4630" s="1733"/>
      <c r="D4630" s="1733"/>
      <c r="E4630" s="1733"/>
      <c r="F4630" s="1733"/>
      <c r="G4630" s="1733"/>
      <c r="H4630" s="1733"/>
      <c r="I4630" s="1733"/>
      <c r="J4630" s="1733"/>
    </row>
    <row r="4631" spans="1:10" ht="15.75" customHeight="1">
      <c r="A4631" s="1733"/>
      <c r="B4631" s="1733"/>
      <c r="C4631" s="1733"/>
      <c r="D4631" s="1733"/>
      <c r="E4631" s="1733"/>
      <c r="F4631" s="1733"/>
      <c r="G4631" s="1733"/>
      <c r="H4631" s="1733"/>
      <c r="I4631" s="1733"/>
      <c r="J4631" s="1733"/>
    </row>
    <row r="4632" spans="1:10" ht="15.75" customHeight="1">
      <c r="A4632" s="1733"/>
      <c r="B4632" s="1733"/>
      <c r="C4632" s="1733"/>
      <c r="D4632" s="1733"/>
      <c r="E4632" s="1733"/>
      <c r="F4632" s="1733"/>
      <c r="G4632" s="1733"/>
      <c r="H4632" s="1733"/>
      <c r="I4632" s="1733"/>
      <c r="J4632" s="1733"/>
    </row>
    <row r="4633" spans="1:10" ht="15.75" customHeight="1">
      <c r="A4633" s="1733"/>
      <c r="B4633" s="1733"/>
      <c r="C4633" s="1733"/>
      <c r="D4633" s="1733"/>
      <c r="E4633" s="1733"/>
      <c r="F4633" s="1733"/>
      <c r="G4633" s="1733"/>
      <c r="H4633" s="1733"/>
      <c r="I4633" s="1733"/>
      <c r="J4633" s="1733"/>
    </row>
    <row r="4634" spans="1:10" ht="15.75" customHeight="1">
      <c r="A4634" s="1733"/>
      <c r="B4634" s="1733"/>
      <c r="C4634" s="1733"/>
      <c r="D4634" s="1733"/>
      <c r="E4634" s="1733"/>
      <c r="F4634" s="1733"/>
      <c r="G4634" s="1733"/>
      <c r="H4634" s="1733"/>
      <c r="I4634" s="1733"/>
      <c r="J4634" s="1733"/>
    </row>
    <row r="4635" spans="1:10" ht="15.75" customHeight="1">
      <c r="A4635" s="1733"/>
      <c r="B4635" s="1733"/>
      <c r="C4635" s="1733"/>
      <c r="D4635" s="1733"/>
      <c r="E4635" s="1733"/>
      <c r="F4635" s="1733"/>
      <c r="G4635" s="1733"/>
      <c r="H4635" s="1733"/>
      <c r="I4635" s="1733"/>
      <c r="J4635" s="1733"/>
    </row>
    <row r="4636" spans="1:10" ht="15.75" customHeight="1">
      <c r="A4636" s="1733"/>
      <c r="B4636" s="1733"/>
      <c r="C4636" s="1733"/>
      <c r="D4636" s="1733"/>
      <c r="E4636" s="1733"/>
      <c r="F4636" s="1733"/>
      <c r="G4636" s="1733"/>
      <c r="H4636" s="1733"/>
      <c r="I4636" s="1733"/>
      <c r="J4636" s="1733"/>
    </row>
    <row r="4637" spans="1:10" ht="15.75" customHeight="1">
      <c r="A4637" s="1733"/>
      <c r="B4637" s="1733"/>
      <c r="C4637" s="1733"/>
      <c r="D4637" s="1733"/>
      <c r="E4637" s="1733"/>
      <c r="F4637" s="1733"/>
      <c r="G4637" s="1733"/>
      <c r="H4637" s="1733"/>
      <c r="I4637" s="1733"/>
      <c r="J4637" s="1733"/>
    </row>
    <row r="4638" spans="1:10" ht="15.75" customHeight="1">
      <c r="A4638" s="1733"/>
      <c r="B4638" s="1733"/>
      <c r="C4638" s="1733"/>
      <c r="D4638" s="1733"/>
      <c r="E4638" s="1733"/>
      <c r="F4638" s="1733"/>
      <c r="G4638" s="1733"/>
      <c r="H4638" s="1733"/>
      <c r="I4638" s="1733"/>
      <c r="J4638" s="1733"/>
    </row>
    <row r="4639" spans="1:10" ht="15.75" customHeight="1">
      <c r="A4639" s="1733"/>
      <c r="B4639" s="1733"/>
      <c r="C4639" s="1733"/>
      <c r="D4639" s="1733"/>
      <c r="E4639" s="1733"/>
      <c r="F4639" s="1733"/>
      <c r="G4639" s="1733"/>
      <c r="H4639" s="1733"/>
      <c r="I4639" s="1733"/>
      <c r="J4639" s="1733"/>
    </row>
    <row r="4640" spans="1:10" ht="15.75" customHeight="1">
      <c r="A4640" s="1733"/>
      <c r="B4640" s="1733"/>
      <c r="C4640" s="1733"/>
      <c r="D4640" s="1733"/>
      <c r="E4640" s="1733"/>
      <c r="F4640" s="1733"/>
      <c r="G4640" s="1733"/>
      <c r="H4640" s="1733"/>
      <c r="I4640" s="1733"/>
      <c r="J4640" s="1733"/>
    </row>
    <row r="4641" spans="1:10" ht="15.75" customHeight="1">
      <c r="A4641" s="1733"/>
      <c r="B4641" s="1733"/>
      <c r="C4641" s="1733"/>
      <c r="D4641" s="1733"/>
      <c r="E4641" s="1733"/>
      <c r="F4641" s="1733"/>
      <c r="G4641" s="1733"/>
      <c r="H4641" s="1733"/>
      <c r="I4641" s="1733"/>
      <c r="J4641" s="1733"/>
    </row>
    <row r="4642" spans="1:10" ht="15.75" customHeight="1">
      <c r="A4642" s="1733"/>
      <c r="B4642" s="1733"/>
      <c r="C4642" s="1733"/>
      <c r="D4642" s="1733"/>
      <c r="E4642" s="1733"/>
      <c r="F4642" s="1733"/>
      <c r="G4642" s="1733"/>
      <c r="H4642" s="1733"/>
      <c r="I4642" s="1733"/>
      <c r="J4642" s="1733"/>
    </row>
    <row r="4643" spans="1:10" ht="15.75" customHeight="1">
      <c r="A4643" s="1733"/>
      <c r="B4643" s="1733"/>
      <c r="C4643" s="1733"/>
      <c r="D4643" s="1733"/>
      <c r="E4643" s="1733"/>
      <c r="F4643" s="1733"/>
      <c r="G4643" s="1733"/>
      <c r="H4643" s="1733"/>
      <c r="I4643" s="1733"/>
      <c r="J4643" s="1733"/>
    </row>
    <row r="4644" spans="1:10" ht="15.75" customHeight="1">
      <c r="A4644" s="1733"/>
      <c r="B4644" s="1733"/>
      <c r="C4644" s="1733"/>
      <c r="D4644" s="1733"/>
      <c r="E4644" s="1733"/>
      <c r="F4644" s="1733"/>
      <c r="G4644" s="1733"/>
      <c r="H4644" s="1733"/>
      <c r="I4644" s="1733"/>
      <c r="J4644" s="1733"/>
    </row>
    <row r="4645" spans="1:10" ht="15.75" customHeight="1">
      <c r="A4645" s="1733"/>
      <c r="B4645" s="1733"/>
      <c r="C4645" s="1733"/>
      <c r="D4645" s="1733"/>
      <c r="E4645" s="1733"/>
      <c r="F4645" s="1733"/>
      <c r="G4645" s="1733"/>
      <c r="H4645" s="1733"/>
      <c r="I4645" s="1733"/>
      <c r="J4645" s="1733"/>
    </row>
    <row r="4646" spans="1:10" ht="15.75" customHeight="1">
      <c r="A4646" s="1733"/>
      <c r="B4646" s="1733"/>
      <c r="C4646" s="1733"/>
      <c r="D4646" s="1733"/>
      <c r="E4646" s="1733"/>
      <c r="F4646" s="1733"/>
      <c r="G4646" s="1733"/>
      <c r="H4646" s="1733"/>
      <c r="I4646" s="1733"/>
      <c r="J4646" s="1733"/>
    </row>
    <row r="4647" spans="1:10" ht="15.75" customHeight="1">
      <c r="A4647" s="1733"/>
      <c r="B4647" s="1733"/>
      <c r="C4647" s="1733"/>
      <c r="D4647" s="1733"/>
      <c r="E4647" s="1733"/>
      <c r="F4647" s="1733"/>
      <c r="G4647" s="1733"/>
      <c r="H4647" s="1733"/>
      <c r="I4647" s="1733"/>
      <c r="J4647" s="1733"/>
    </row>
    <row r="4648" spans="1:10" ht="15.75" customHeight="1">
      <c r="A4648" s="1733"/>
      <c r="B4648" s="1733"/>
      <c r="C4648" s="1733"/>
      <c r="D4648" s="1733"/>
      <c r="E4648" s="1733"/>
      <c r="F4648" s="1733"/>
      <c r="G4648" s="1733"/>
      <c r="H4648" s="1733"/>
      <c r="I4648" s="1733"/>
      <c r="J4648" s="1733"/>
    </row>
    <row r="4649" spans="1:10" ht="15.75" customHeight="1">
      <c r="A4649" s="1733"/>
      <c r="B4649" s="1733"/>
      <c r="C4649" s="1733"/>
      <c r="D4649" s="1733"/>
      <c r="E4649" s="1733"/>
      <c r="F4649" s="1733"/>
      <c r="G4649" s="1733"/>
      <c r="H4649" s="1733"/>
      <c r="I4649" s="1733"/>
      <c r="J4649" s="1733"/>
    </row>
    <row r="4650" spans="1:10" ht="15.75" customHeight="1">
      <c r="A4650" s="1733"/>
      <c r="B4650" s="1733"/>
      <c r="C4650" s="1733"/>
      <c r="D4650" s="1733"/>
      <c r="E4650" s="1733"/>
      <c r="F4650" s="1733"/>
      <c r="G4650" s="1733"/>
      <c r="H4650" s="1733"/>
      <c r="I4650" s="1733"/>
      <c r="J4650" s="1733"/>
    </row>
    <row r="4651" spans="1:10" ht="15.75" customHeight="1">
      <c r="A4651" s="1733"/>
      <c r="B4651" s="1733"/>
      <c r="C4651" s="1733"/>
      <c r="D4651" s="1733"/>
      <c r="E4651" s="1733"/>
      <c r="F4651" s="1733"/>
      <c r="G4651" s="1733"/>
      <c r="H4651" s="1733"/>
      <c r="I4651" s="1733"/>
      <c r="J4651" s="1733"/>
    </row>
    <row r="4652" spans="1:10" ht="15.75" customHeight="1">
      <c r="A4652" s="1733"/>
      <c r="B4652" s="1733"/>
      <c r="C4652" s="1733"/>
      <c r="D4652" s="1733"/>
      <c r="E4652" s="1733"/>
      <c r="F4652" s="1733"/>
      <c r="G4652" s="1733"/>
      <c r="H4652" s="1733"/>
      <c r="I4652" s="1733"/>
      <c r="J4652" s="1733"/>
    </row>
    <row r="4653" spans="1:10" ht="15.75" customHeight="1">
      <c r="A4653" s="1733"/>
      <c r="B4653" s="1733"/>
      <c r="C4653" s="1733"/>
      <c r="D4653" s="1733"/>
      <c r="E4653" s="1733"/>
      <c r="F4653" s="1733"/>
      <c r="G4653" s="1733"/>
      <c r="H4653" s="1733"/>
      <c r="I4653" s="1733"/>
      <c r="J4653" s="1733"/>
    </row>
    <row r="4654" spans="1:10" ht="15.75" customHeight="1">
      <c r="A4654" s="1733"/>
      <c r="B4654" s="1733"/>
      <c r="C4654" s="1733"/>
      <c r="D4654" s="1733"/>
      <c r="E4654" s="1733"/>
      <c r="F4654" s="1733"/>
      <c r="G4654" s="1733"/>
      <c r="H4654" s="1733"/>
      <c r="I4654" s="1733"/>
      <c r="J4654" s="1733"/>
    </row>
    <row r="4655" spans="1:10" ht="15.75" customHeight="1">
      <c r="A4655" s="1733"/>
      <c r="B4655" s="1733"/>
      <c r="C4655" s="1733"/>
      <c r="D4655" s="1733"/>
      <c r="E4655" s="1733"/>
      <c r="F4655" s="1733"/>
      <c r="G4655" s="1733"/>
      <c r="H4655" s="1733"/>
      <c r="I4655" s="1733"/>
      <c r="J4655" s="1733"/>
    </row>
    <row r="4656" spans="1:10" ht="15.75" customHeight="1">
      <c r="A4656" s="1733"/>
      <c r="B4656" s="1733"/>
      <c r="C4656" s="1733"/>
      <c r="D4656" s="1733"/>
      <c r="E4656" s="1733"/>
      <c r="F4656" s="1733"/>
      <c r="G4656" s="1733"/>
      <c r="H4656" s="1733"/>
      <c r="I4656" s="1733"/>
      <c r="J4656" s="1733"/>
    </row>
    <row r="4657" spans="1:10" ht="15.75" customHeight="1">
      <c r="A4657" s="1733"/>
      <c r="B4657" s="1733"/>
      <c r="C4657" s="1733"/>
      <c r="D4657" s="1733"/>
      <c r="E4657" s="1733"/>
      <c r="F4657" s="1733"/>
      <c r="G4657" s="1733"/>
      <c r="H4657" s="1733"/>
      <c r="I4657" s="1733"/>
      <c r="J4657" s="1733"/>
    </row>
    <row r="4658" spans="1:10" ht="15.75" customHeight="1">
      <c r="A4658" s="1733"/>
      <c r="B4658" s="1733"/>
      <c r="C4658" s="1733"/>
      <c r="D4658" s="1733"/>
      <c r="E4658" s="1733"/>
      <c r="F4658" s="1733"/>
      <c r="G4658" s="1733"/>
      <c r="H4658" s="1733"/>
      <c r="I4658" s="1733"/>
      <c r="J4658" s="1733"/>
    </row>
    <row r="4659" spans="1:10" ht="15.75" customHeight="1">
      <c r="A4659" s="1733"/>
      <c r="B4659" s="1733"/>
      <c r="C4659" s="1733"/>
      <c r="D4659" s="1733"/>
      <c r="E4659" s="1733"/>
      <c r="F4659" s="1733"/>
      <c r="G4659" s="1733"/>
      <c r="H4659" s="1733"/>
      <c r="I4659" s="1733"/>
      <c r="J4659" s="1733"/>
    </row>
    <row r="4660" spans="1:10" ht="15.75" customHeight="1">
      <c r="A4660" s="1733"/>
      <c r="B4660" s="1733"/>
      <c r="C4660" s="1733"/>
      <c r="D4660" s="1733"/>
      <c r="E4660" s="1733"/>
      <c r="F4660" s="1733"/>
      <c r="G4660" s="1733"/>
      <c r="H4660" s="1733"/>
      <c r="I4660" s="1733"/>
      <c r="J4660" s="1733"/>
    </row>
    <row r="4661" spans="1:10" ht="15.75" customHeight="1">
      <c r="A4661" s="1733"/>
      <c r="B4661" s="1733"/>
      <c r="C4661" s="1733"/>
      <c r="D4661" s="1733"/>
      <c r="E4661" s="1733"/>
      <c r="F4661" s="1733"/>
      <c r="G4661" s="1733"/>
      <c r="H4661" s="1733"/>
      <c r="I4661" s="1733"/>
      <c r="J4661" s="1733"/>
    </row>
    <row r="4662" spans="1:10" ht="15.75" customHeight="1">
      <c r="A4662" s="1733"/>
      <c r="B4662" s="1733"/>
      <c r="C4662" s="1733"/>
      <c r="D4662" s="1733"/>
      <c r="E4662" s="1733"/>
      <c r="F4662" s="1733"/>
      <c r="G4662" s="1733"/>
      <c r="H4662" s="1733"/>
      <c r="I4662" s="1733"/>
      <c r="J4662" s="1733"/>
    </row>
    <row r="4663" spans="1:10" ht="15.75" customHeight="1">
      <c r="A4663" s="1733"/>
      <c r="B4663" s="1733"/>
      <c r="C4663" s="1733"/>
      <c r="D4663" s="1733"/>
      <c r="E4663" s="1733"/>
      <c r="F4663" s="1733"/>
      <c r="G4663" s="1733"/>
      <c r="H4663" s="1733"/>
      <c r="I4663" s="1733"/>
      <c r="J4663" s="1733"/>
    </row>
    <row r="4664" spans="1:10" ht="15.75" customHeight="1">
      <c r="A4664" s="1733"/>
      <c r="B4664" s="1733"/>
      <c r="C4664" s="1733"/>
      <c r="D4664" s="1733"/>
      <c r="E4664" s="1733"/>
      <c r="F4664" s="1733"/>
      <c r="G4664" s="1733"/>
      <c r="H4664" s="1733"/>
      <c r="I4664" s="1733"/>
      <c r="J4664" s="1733"/>
    </row>
    <row r="4665" spans="1:10" ht="15.75" customHeight="1">
      <c r="A4665" s="1733"/>
      <c r="B4665" s="1733"/>
      <c r="C4665" s="1733"/>
      <c r="D4665" s="1733"/>
      <c r="E4665" s="1733"/>
      <c r="F4665" s="1733"/>
      <c r="G4665" s="1733"/>
      <c r="H4665" s="1733"/>
      <c r="I4665" s="1733"/>
      <c r="J4665" s="1733"/>
    </row>
    <row r="4666" spans="1:10" ht="15.75" customHeight="1">
      <c r="A4666" s="1733"/>
      <c r="B4666" s="1733"/>
      <c r="C4666" s="1733"/>
      <c r="D4666" s="1733"/>
      <c r="E4666" s="1733"/>
      <c r="F4666" s="1733"/>
      <c r="G4666" s="1733"/>
      <c r="H4666" s="1733"/>
      <c r="I4666" s="1733"/>
      <c r="J4666" s="1733"/>
    </row>
    <row r="4667" spans="1:10" ht="15.75" customHeight="1">
      <c r="A4667" s="1733"/>
      <c r="B4667" s="1733"/>
      <c r="C4667" s="1733"/>
      <c r="D4667" s="1733"/>
      <c r="E4667" s="1733"/>
      <c r="F4667" s="1733"/>
      <c r="G4667" s="1733"/>
      <c r="H4667" s="1733"/>
      <c r="I4667" s="1733"/>
      <c r="J4667" s="1733"/>
    </row>
    <row r="4668" spans="1:10" ht="15.75" customHeight="1">
      <c r="A4668" s="1733"/>
      <c r="B4668" s="1733"/>
      <c r="C4668" s="1733"/>
      <c r="D4668" s="1733"/>
      <c r="E4668" s="1733"/>
      <c r="F4668" s="1733"/>
      <c r="G4668" s="1733"/>
      <c r="H4668" s="1733"/>
      <c r="I4668" s="1733"/>
      <c r="J4668" s="1733"/>
    </row>
    <row r="4669" spans="1:10" ht="15.75" customHeight="1">
      <c r="A4669" s="1733"/>
      <c r="B4669" s="1733"/>
      <c r="C4669" s="1733"/>
      <c r="D4669" s="1733"/>
      <c r="E4669" s="1733"/>
      <c r="F4669" s="1733"/>
      <c r="G4669" s="1733"/>
      <c r="H4669" s="1733"/>
      <c r="I4669" s="1733"/>
      <c r="J4669" s="1733"/>
    </row>
    <row r="4670" spans="1:10" ht="15.75" customHeight="1">
      <c r="A4670" s="1733"/>
      <c r="B4670" s="1733"/>
      <c r="C4670" s="1733"/>
      <c r="D4670" s="1733"/>
      <c r="E4670" s="1733"/>
      <c r="F4670" s="1733"/>
      <c r="G4670" s="1733"/>
      <c r="H4670" s="1733"/>
      <c r="I4670" s="1733"/>
      <c r="J4670" s="1733"/>
    </row>
    <row r="4671" spans="1:10" ht="15.75" customHeight="1">
      <c r="A4671" s="1733"/>
      <c r="B4671" s="1733"/>
      <c r="C4671" s="1733"/>
      <c r="D4671" s="1733"/>
      <c r="E4671" s="1733"/>
      <c r="F4671" s="1733"/>
      <c r="G4671" s="1733"/>
      <c r="H4671" s="1733"/>
      <c r="I4671" s="1733"/>
      <c r="J4671" s="1733"/>
    </row>
    <row r="4672" spans="1:10" ht="15.75" customHeight="1">
      <c r="A4672" s="1733"/>
      <c r="B4672" s="1733"/>
      <c r="C4672" s="1733"/>
      <c r="D4672" s="1733"/>
      <c r="E4672" s="1733"/>
      <c r="F4672" s="1733"/>
      <c r="G4672" s="1733"/>
      <c r="H4672" s="1733"/>
      <c r="I4672" s="1733"/>
      <c r="J4672" s="1733"/>
    </row>
    <row r="4673" spans="1:10" ht="15.75" customHeight="1">
      <c r="A4673" s="1733"/>
      <c r="B4673" s="1733"/>
      <c r="C4673" s="1733"/>
      <c r="D4673" s="1733"/>
      <c r="E4673" s="1733"/>
      <c r="F4673" s="1733"/>
      <c r="G4673" s="1733"/>
      <c r="H4673" s="1733"/>
      <c r="I4673" s="1733"/>
      <c r="J4673" s="1733"/>
    </row>
    <row r="4674" spans="1:10" ht="15.75" customHeight="1">
      <c r="A4674" s="1733"/>
      <c r="B4674" s="1733"/>
      <c r="C4674" s="1733"/>
      <c r="D4674" s="1733"/>
      <c r="E4674" s="1733"/>
      <c r="F4674" s="1733"/>
      <c r="G4674" s="1733"/>
      <c r="H4674" s="1733"/>
      <c r="I4674" s="1733"/>
      <c r="J4674" s="1733"/>
    </row>
    <row r="4675" spans="1:10" ht="15.75" customHeight="1">
      <c r="A4675" s="1733"/>
      <c r="B4675" s="1733"/>
      <c r="C4675" s="1733"/>
      <c r="D4675" s="1733"/>
      <c r="E4675" s="1733"/>
      <c r="F4675" s="1733"/>
      <c r="G4675" s="1733"/>
      <c r="H4675" s="1733"/>
      <c r="I4675" s="1733"/>
      <c r="J4675" s="1733"/>
    </row>
    <row r="4676" spans="1:10" ht="15.75" customHeight="1">
      <c r="A4676" s="1733"/>
      <c r="B4676" s="1733"/>
      <c r="C4676" s="1733"/>
      <c r="D4676" s="1733"/>
      <c r="E4676" s="1733"/>
      <c r="F4676" s="1733"/>
      <c r="G4676" s="1733"/>
      <c r="H4676" s="1733"/>
      <c r="I4676" s="1733"/>
      <c r="J4676" s="1733"/>
    </row>
    <row r="4677" spans="1:10" ht="15.75" customHeight="1">
      <c r="A4677" s="1733"/>
      <c r="B4677" s="1733"/>
      <c r="C4677" s="1733"/>
      <c r="D4677" s="1733"/>
      <c r="E4677" s="1733"/>
      <c r="F4677" s="1733"/>
      <c r="G4677" s="1733"/>
      <c r="H4677" s="1733"/>
      <c r="I4677" s="1733"/>
      <c r="J4677" s="1733"/>
    </row>
    <row r="4678" spans="1:10" ht="15.75" customHeight="1">
      <c r="A4678" s="1733"/>
      <c r="B4678" s="1733"/>
      <c r="C4678" s="1733"/>
      <c r="D4678" s="1733"/>
      <c r="E4678" s="1733"/>
      <c r="F4678" s="1733"/>
      <c r="G4678" s="1733"/>
      <c r="H4678" s="1733"/>
      <c r="I4678" s="1733"/>
      <c r="J4678" s="1733"/>
    </row>
    <row r="4679" spans="1:10" ht="15.75" customHeight="1">
      <c r="A4679" s="1733"/>
      <c r="B4679" s="1733"/>
      <c r="C4679" s="1733"/>
      <c r="D4679" s="1733"/>
      <c r="E4679" s="1733"/>
      <c r="F4679" s="1733"/>
      <c r="G4679" s="1733"/>
      <c r="H4679" s="1733"/>
      <c r="I4679" s="1733"/>
      <c r="J4679" s="1733"/>
    </row>
    <row r="4680" spans="1:10" ht="15.75" customHeight="1">
      <c r="A4680" s="1733"/>
      <c r="B4680" s="1733"/>
      <c r="C4680" s="1733"/>
      <c r="D4680" s="1733"/>
      <c r="E4680" s="1733"/>
      <c r="F4680" s="1733"/>
      <c r="G4680" s="1733"/>
      <c r="H4680" s="1733"/>
      <c r="I4680" s="1733"/>
      <c r="J4680" s="1733"/>
    </row>
    <row r="4681" spans="1:10" ht="15.75" customHeight="1">
      <c r="A4681" s="1733"/>
      <c r="B4681" s="1733"/>
      <c r="C4681" s="1733"/>
      <c r="D4681" s="1733"/>
      <c r="E4681" s="1733"/>
      <c r="F4681" s="1733"/>
      <c r="G4681" s="1733"/>
      <c r="H4681" s="1733"/>
      <c r="I4681" s="1733"/>
      <c r="J4681" s="1733"/>
    </row>
    <row r="4682" spans="1:10" ht="15.75" customHeight="1">
      <c r="A4682" s="1733"/>
      <c r="B4682" s="1733"/>
      <c r="C4682" s="1733"/>
      <c r="D4682" s="1733"/>
      <c r="E4682" s="1733"/>
      <c r="F4682" s="1733"/>
      <c r="G4682" s="1733"/>
      <c r="H4682" s="1733"/>
      <c r="I4682" s="1733"/>
      <c r="J4682" s="1733"/>
    </row>
    <row r="4683" spans="1:10" ht="15.75" customHeight="1">
      <c r="A4683" s="1733"/>
      <c r="B4683" s="1733"/>
      <c r="C4683" s="1733"/>
      <c r="D4683" s="1733"/>
      <c r="E4683" s="1733"/>
      <c r="F4683" s="1733"/>
      <c r="G4683" s="1733"/>
      <c r="H4683" s="1733"/>
      <c r="I4683" s="1733"/>
      <c r="J4683" s="1733"/>
    </row>
    <row r="4684" spans="1:10" ht="15.75" customHeight="1">
      <c r="A4684" s="1733"/>
      <c r="B4684" s="1733"/>
      <c r="C4684" s="1733"/>
      <c r="D4684" s="1733"/>
      <c r="E4684" s="1733"/>
      <c r="F4684" s="1733"/>
      <c r="G4684" s="1733"/>
      <c r="H4684" s="1733"/>
      <c r="I4684" s="1733"/>
      <c r="J4684" s="1733"/>
    </row>
    <row r="4685" spans="1:10" ht="15.75" customHeight="1">
      <c r="A4685" s="1733"/>
      <c r="B4685" s="1733"/>
      <c r="C4685" s="1733"/>
      <c r="D4685" s="1733"/>
      <c r="E4685" s="1733"/>
      <c r="F4685" s="1733"/>
      <c r="G4685" s="1733"/>
      <c r="H4685" s="1733"/>
      <c r="I4685" s="1733"/>
      <c r="J4685" s="1733"/>
    </row>
    <row r="4686" spans="1:10" ht="15.75" customHeight="1">
      <c r="A4686" s="1733"/>
      <c r="B4686" s="1733"/>
      <c r="C4686" s="1733"/>
      <c r="D4686" s="1733"/>
      <c r="E4686" s="1733"/>
      <c r="F4686" s="1733"/>
      <c r="G4686" s="1733"/>
      <c r="H4686" s="1733"/>
      <c r="I4686" s="1733"/>
      <c r="J4686" s="1733"/>
    </row>
    <row r="4687" spans="1:10" ht="15.75" customHeight="1">
      <c r="A4687" s="1733"/>
      <c r="B4687" s="1733"/>
      <c r="C4687" s="1733"/>
      <c r="D4687" s="1733"/>
      <c r="E4687" s="1733"/>
      <c r="F4687" s="1733"/>
      <c r="G4687" s="1733"/>
      <c r="H4687" s="1733"/>
      <c r="I4687" s="1733"/>
      <c r="J4687" s="1733"/>
    </row>
    <row r="4688" spans="1:10" ht="15.75" customHeight="1">
      <c r="A4688" s="1733"/>
      <c r="B4688" s="1733"/>
      <c r="C4688" s="1733"/>
      <c r="D4688" s="1733"/>
      <c r="E4688" s="1733"/>
      <c r="F4688" s="1733"/>
      <c r="G4688" s="1733"/>
      <c r="H4688" s="1733"/>
      <c r="I4688" s="1733"/>
      <c r="J4688" s="1733"/>
    </row>
    <row r="4689" spans="1:10" ht="15.75" customHeight="1">
      <c r="A4689" s="1733"/>
      <c r="B4689" s="1733"/>
      <c r="C4689" s="1733"/>
      <c r="D4689" s="1733"/>
      <c r="E4689" s="1733"/>
      <c r="F4689" s="1733"/>
      <c r="G4689" s="1733"/>
      <c r="H4689" s="1733"/>
      <c r="I4689" s="1733"/>
      <c r="J4689" s="1733"/>
    </row>
    <row r="4690" spans="1:10" ht="15.75" customHeight="1">
      <c r="A4690" s="1733"/>
      <c r="B4690" s="1733"/>
      <c r="C4690" s="1733"/>
      <c r="D4690" s="1733"/>
      <c r="E4690" s="1733"/>
      <c r="F4690" s="1733"/>
      <c r="G4690" s="1733"/>
      <c r="H4690" s="1733"/>
      <c r="I4690" s="1733"/>
      <c r="J4690" s="1733"/>
    </row>
    <row r="4691" spans="1:10" ht="15.75" customHeight="1">
      <c r="A4691" s="1733"/>
      <c r="B4691" s="1733"/>
      <c r="C4691" s="1733"/>
      <c r="D4691" s="1733"/>
      <c r="E4691" s="1733"/>
      <c r="F4691" s="1733"/>
      <c r="G4691" s="1733"/>
      <c r="H4691" s="1733"/>
      <c r="I4691" s="1733"/>
      <c r="J4691" s="1733"/>
    </row>
    <row r="4692" spans="1:10" ht="15.75" customHeight="1">
      <c r="A4692" s="1733"/>
      <c r="B4692" s="1733"/>
      <c r="C4692" s="1733"/>
      <c r="D4692" s="1733"/>
      <c r="E4692" s="1733"/>
      <c r="F4692" s="1733"/>
      <c r="G4692" s="1733"/>
      <c r="H4692" s="1733"/>
      <c r="I4692" s="1733"/>
      <c r="J4692" s="1733"/>
    </row>
    <row r="4693" spans="1:10" ht="15.75" customHeight="1">
      <c r="A4693" s="1733"/>
      <c r="B4693" s="1733"/>
      <c r="C4693" s="1733"/>
      <c r="D4693" s="1733"/>
      <c r="E4693" s="1733"/>
      <c r="F4693" s="1733"/>
      <c r="G4693" s="1733"/>
      <c r="H4693" s="1733"/>
      <c r="I4693" s="1733"/>
      <c r="J4693" s="1733"/>
    </row>
    <row r="4694" spans="1:10" ht="15.75" customHeight="1">
      <c r="A4694" s="1733"/>
      <c r="B4694" s="1733"/>
      <c r="C4694" s="1733"/>
      <c r="D4694" s="1733"/>
      <c r="E4694" s="1733"/>
      <c r="F4694" s="1733"/>
      <c r="G4694" s="1733"/>
      <c r="H4694" s="1733"/>
      <c r="I4694" s="1733"/>
      <c r="J4694" s="1733"/>
    </row>
    <row r="4695" spans="1:10" ht="15.75" customHeight="1">
      <c r="A4695" s="1733"/>
      <c r="B4695" s="1733"/>
      <c r="C4695" s="1733"/>
      <c r="D4695" s="1733"/>
      <c r="E4695" s="1733"/>
      <c r="F4695" s="1733"/>
      <c r="G4695" s="1733"/>
      <c r="H4695" s="1733"/>
      <c r="I4695" s="1733"/>
      <c r="J4695" s="1733"/>
    </row>
    <row r="4696" spans="1:10" ht="15.75" customHeight="1">
      <c r="A4696" s="1733"/>
      <c r="B4696" s="1733"/>
      <c r="C4696" s="1733"/>
      <c r="D4696" s="1733"/>
      <c r="E4696" s="1733"/>
      <c r="F4696" s="1733"/>
      <c r="G4696" s="1733"/>
      <c r="H4696" s="1733"/>
      <c r="I4696" s="1733"/>
      <c r="J4696" s="1733"/>
    </row>
    <row r="4697" spans="1:10" ht="15.75" customHeight="1">
      <c r="A4697" s="1733"/>
      <c r="B4697" s="1733"/>
      <c r="C4697" s="1733"/>
      <c r="D4697" s="1733"/>
      <c r="E4697" s="1733"/>
      <c r="F4697" s="1733"/>
      <c r="G4697" s="1733"/>
      <c r="H4697" s="1733"/>
      <c r="I4697" s="1733"/>
      <c r="J4697" s="1733"/>
    </row>
    <row r="4698" spans="1:10" ht="15.75" customHeight="1">
      <c r="A4698" s="1733"/>
      <c r="B4698" s="1733"/>
      <c r="C4698" s="1733"/>
      <c r="D4698" s="1733"/>
      <c r="E4698" s="1733"/>
      <c r="F4698" s="1733"/>
      <c r="G4698" s="1733"/>
      <c r="H4698" s="1733"/>
      <c r="I4698" s="1733"/>
      <c r="J4698" s="1733"/>
    </row>
    <row r="4699" spans="1:10" ht="15.75" customHeight="1">
      <c r="A4699" s="1733"/>
      <c r="B4699" s="1733"/>
      <c r="C4699" s="1733"/>
      <c r="D4699" s="1733"/>
      <c r="E4699" s="1733"/>
      <c r="F4699" s="1733"/>
      <c r="G4699" s="1733"/>
      <c r="H4699" s="1733"/>
      <c r="I4699" s="1733"/>
      <c r="J4699" s="1733"/>
    </row>
    <row r="4700" spans="1:10" ht="15.75" customHeight="1">
      <c r="A4700" s="1733"/>
      <c r="B4700" s="1733"/>
      <c r="C4700" s="1733"/>
      <c r="D4700" s="1733"/>
      <c r="E4700" s="1733"/>
      <c r="F4700" s="1733"/>
      <c r="G4700" s="1733"/>
      <c r="H4700" s="1733"/>
      <c r="I4700" s="1733"/>
      <c r="J4700" s="1733"/>
    </row>
    <row r="4701" spans="1:10" ht="15.75" customHeight="1">
      <c r="A4701" s="1733"/>
      <c r="B4701" s="1733"/>
      <c r="C4701" s="1733"/>
      <c r="D4701" s="1733"/>
      <c r="E4701" s="1733"/>
      <c r="F4701" s="1733"/>
      <c r="G4701" s="1733"/>
      <c r="H4701" s="1733"/>
      <c r="I4701" s="1733"/>
      <c r="J4701" s="1733"/>
    </row>
    <row r="4702" spans="1:10" ht="15.75" customHeight="1">
      <c r="A4702" s="1733"/>
      <c r="B4702" s="1733"/>
      <c r="C4702" s="1733"/>
      <c r="D4702" s="1733"/>
      <c r="E4702" s="1733"/>
      <c r="F4702" s="1733"/>
      <c r="G4702" s="1733"/>
      <c r="H4702" s="1733"/>
      <c r="I4702" s="1733"/>
      <c r="J4702" s="1733"/>
    </row>
    <row r="4703" spans="1:10" ht="15.75" customHeight="1">
      <c r="A4703" s="1733"/>
      <c r="B4703" s="1733"/>
      <c r="C4703" s="1733"/>
      <c r="D4703" s="1733"/>
      <c r="E4703" s="1733"/>
      <c r="F4703" s="1733"/>
      <c r="G4703" s="1733"/>
      <c r="H4703" s="1733"/>
      <c r="I4703" s="1733"/>
      <c r="J4703" s="1733"/>
    </row>
    <row r="4704" spans="1:10" ht="15.75" customHeight="1">
      <c r="A4704" s="1733"/>
      <c r="B4704" s="1733"/>
      <c r="C4704" s="1733"/>
      <c r="D4704" s="1733"/>
      <c r="E4704" s="1733"/>
      <c r="F4704" s="1733"/>
      <c r="G4704" s="1733"/>
      <c r="H4704" s="1733"/>
      <c r="I4704" s="1733"/>
      <c r="J4704" s="1733"/>
    </row>
    <row r="4705" spans="1:10" ht="15.75" customHeight="1">
      <c r="A4705" s="1733"/>
      <c r="B4705" s="1733"/>
      <c r="C4705" s="1733"/>
      <c r="D4705" s="1733"/>
      <c r="E4705" s="1733"/>
      <c r="F4705" s="1733"/>
      <c r="G4705" s="1733"/>
      <c r="H4705" s="1733"/>
      <c r="I4705" s="1733"/>
      <c r="J4705" s="1733"/>
    </row>
    <row r="4706" spans="1:10" ht="15.75" customHeight="1">
      <c r="A4706" s="1733"/>
      <c r="B4706" s="1733"/>
      <c r="C4706" s="1733"/>
      <c r="D4706" s="1733"/>
      <c r="E4706" s="1733"/>
      <c r="F4706" s="1733"/>
      <c r="G4706" s="1733"/>
      <c r="H4706" s="1733"/>
      <c r="I4706" s="1733"/>
      <c r="J4706" s="1733"/>
    </row>
    <row r="4707" spans="1:10" ht="15.75" customHeight="1">
      <c r="A4707" s="1733"/>
      <c r="B4707" s="1733"/>
      <c r="C4707" s="1733"/>
      <c r="D4707" s="1733"/>
      <c r="E4707" s="1733"/>
      <c r="F4707" s="1733"/>
      <c r="G4707" s="1733"/>
      <c r="H4707" s="1733"/>
      <c r="I4707" s="1733"/>
      <c r="J4707" s="1733"/>
    </row>
    <row r="4708" spans="1:10" ht="15.75" customHeight="1">
      <c r="A4708" s="1733"/>
      <c r="B4708" s="1733"/>
      <c r="C4708" s="1733"/>
      <c r="D4708" s="1733"/>
      <c r="E4708" s="1733"/>
      <c r="F4708" s="1733"/>
      <c r="G4708" s="1733"/>
      <c r="H4708" s="1733"/>
      <c r="I4708" s="1733"/>
      <c r="J4708" s="1733"/>
    </row>
    <row r="4709" spans="1:10" ht="15.75" customHeight="1">
      <c r="A4709" s="1733"/>
      <c r="B4709" s="1733"/>
      <c r="C4709" s="1733"/>
      <c r="D4709" s="1733"/>
      <c r="E4709" s="1733"/>
      <c r="F4709" s="1733"/>
      <c r="G4709" s="1733"/>
      <c r="H4709" s="1733"/>
      <c r="I4709" s="1733"/>
      <c r="J4709" s="1733"/>
    </row>
    <row r="4710" spans="1:10" ht="15.75" customHeight="1">
      <c r="A4710" s="1733"/>
      <c r="B4710" s="1733"/>
      <c r="C4710" s="1733"/>
      <c r="D4710" s="1733"/>
      <c r="E4710" s="1733"/>
      <c r="F4710" s="1733"/>
      <c r="G4710" s="1733"/>
      <c r="H4710" s="1733"/>
      <c r="I4710" s="1733"/>
      <c r="J4710" s="1733"/>
    </row>
    <row r="4711" spans="1:10" ht="15.75" customHeight="1">
      <c r="A4711" s="1733"/>
      <c r="B4711" s="1733"/>
      <c r="C4711" s="1733"/>
      <c r="D4711" s="1733"/>
      <c r="E4711" s="1733"/>
      <c r="F4711" s="1733"/>
      <c r="G4711" s="1733"/>
      <c r="H4711" s="1733"/>
      <c r="I4711" s="1733"/>
      <c r="J4711" s="1733"/>
    </row>
    <row r="4712" spans="1:10" ht="15.75" customHeight="1">
      <c r="A4712" s="1733"/>
      <c r="B4712" s="1733"/>
      <c r="C4712" s="1733"/>
      <c r="D4712" s="1733"/>
      <c r="E4712" s="1733"/>
      <c r="F4712" s="1733"/>
      <c r="G4712" s="1733"/>
      <c r="H4712" s="1733"/>
      <c r="I4712" s="1733"/>
      <c r="J4712" s="1733"/>
    </row>
    <row r="4713" spans="1:10" ht="15.75" customHeight="1">
      <c r="A4713" s="1733"/>
      <c r="B4713" s="1733"/>
      <c r="C4713" s="1733"/>
      <c r="D4713" s="1733"/>
      <c r="E4713" s="1733"/>
      <c r="F4713" s="1733"/>
      <c r="G4713" s="1733"/>
      <c r="H4713" s="1733"/>
      <c r="I4713" s="1733"/>
      <c r="J4713" s="1733"/>
    </row>
    <row r="4714" spans="1:10" ht="15.75" customHeight="1">
      <c r="A4714" s="1733"/>
      <c r="B4714" s="1733"/>
      <c r="C4714" s="1733"/>
      <c r="D4714" s="1733"/>
      <c r="E4714" s="1733"/>
      <c r="F4714" s="1733"/>
      <c r="G4714" s="1733"/>
      <c r="H4714" s="1733"/>
      <c r="I4714" s="1733"/>
      <c r="J4714" s="1733"/>
    </row>
    <row r="4715" spans="1:10" ht="15.75" customHeight="1">
      <c r="A4715" s="1733"/>
      <c r="B4715" s="1733"/>
      <c r="C4715" s="1733"/>
      <c r="D4715" s="1733"/>
      <c r="E4715" s="1733"/>
      <c r="F4715" s="1733"/>
      <c r="G4715" s="1733"/>
      <c r="H4715" s="1733"/>
      <c r="I4715" s="1733"/>
      <c r="J4715" s="1733"/>
    </row>
    <row r="4716" spans="1:10" ht="15.75" customHeight="1">
      <c r="A4716" s="1733"/>
      <c r="B4716" s="1733"/>
      <c r="C4716" s="1733"/>
      <c r="D4716" s="1733"/>
      <c r="E4716" s="1733"/>
      <c r="F4716" s="1733"/>
      <c r="G4716" s="1733"/>
      <c r="H4716" s="1733"/>
      <c r="I4716" s="1733"/>
      <c r="J4716" s="1733"/>
    </row>
    <row r="4717" spans="1:10" ht="15.75" customHeight="1">
      <c r="A4717" s="1733"/>
      <c r="B4717" s="1733"/>
      <c r="C4717" s="1733"/>
      <c r="D4717" s="1733"/>
      <c r="E4717" s="1733"/>
      <c r="F4717" s="1733"/>
      <c r="G4717" s="1733"/>
      <c r="H4717" s="1733"/>
      <c r="I4717" s="1733"/>
      <c r="J4717" s="1733"/>
    </row>
    <row r="4718" spans="1:10" ht="15.75" customHeight="1">
      <c r="A4718" s="1733"/>
      <c r="B4718" s="1733"/>
      <c r="C4718" s="1733"/>
      <c r="D4718" s="1733"/>
      <c r="E4718" s="1733"/>
      <c r="F4718" s="1733"/>
      <c r="G4718" s="1733"/>
      <c r="H4718" s="1733"/>
      <c r="I4718" s="1733"/>
      <c r="J4718" s="1733"/>
    </row>
    <row r="4719" spans="1:10" ht="15.75" customHeight="1">
      <c r="A4719" s="1733"/>
      <c r="B4719" s="1733"/>
      <c r="C4719" s="1733"/>
      <c r="D4719" s="1733"/>
      <c r="E4719" s="1733"/>
      <c r="F4719" s="1733"/>
      <c r="G4719" s="1733"/>
      <c r="H4719" s="1733"/>
      <c r="I4719" s="1733"/>
      <c r="J4719" s="1733"/>
    </row>
    <row r="4720" spans="1:10" ht="15.75" customHeight="1">
      <c r="A4720" s="1733"/>
      <c r="B4720" s="1733"/>
      <c r="C4720" s="1733"/>
      <c r="D4720" s="1733"/>
      <c r="E4720" s="1733"/>
      <c r="F4720" s="1733"/>
      <c r="G4720" s="1733"/>
      <c r="H4720" s="1733"/>
      <c r="I4720" s="1733"/>
      <c r="J4720" s="1733"/>
    </row>
    <row r="4721" spans="1:10" ht="15.75" customHeight="1">
      <c r="A4721" s="1733"/>
      <c r="B4721" s="1733"/>
      <c r="C4721" s="1733"/>
      <c r="D4721" s="1733"/>
      <c r="E4721" s="1733"/>
      <c r="F4721" s="1733"/>
      <c r="G4721" s="1733"/>
      <c r="H4721" s="1733"/>
      <c r="I4721" s="1733"/>
      <c r="J4721" s="1733"/>
    </row>
    <row r="4722" spans="1:10" ht="15.75" customHeight="1">
      <c r="A4722" s="1733"/>
      <c r="B4722" s="1733"/>
      <c r="C4722" s="1733"/>
      <c r="D4722" s="1733"/>
      <c r="E4722" s="1733"/>
      <c r="F4722" s="1733"/>
      <c r="G4722" s="1733"/>
      <c r="H4722" s="1733"/>
      <c r="I4722" s="1733"/>
      <c r="J4722" s="1733"/>
    </row>
    <row r="4723" spans="1:10" ht="15.75" customHeight="1">
      <c r="A4723" s="1733"/>
      <c r="B4723" s="1733"/>
      <c r="C4723" s="1733"/>
      <c r="D4723" s="1733"/>
      <c r="E4723" s="1733"/>
      <c r="F4723" s="1733"/>
      <c r="G4723" s="1733"/>
      <c r="H4723" s="1733"/>
      <c r="I4723" s="1733"/>
      <c r="J4723" s="1733"/>
    </row>
    <row r="4724" spans="1:10" ht="15.75" customHeight="1">
      <c r="A4724" s="1733"/>
      <c r="B4724" s="1733"/>
      <c r="C4724" s="1733"/>
      <c r="D4724" s="1733"/>
      <c r="E4724" s="1733"/>
      <c r="F4724" s="1733"/>
      <c r="G4724" s="1733"/>
      <c r="H4724" s="1733"/>
      <c r="I4724" s="1733"/>
      <c r="J4724" s="1733"/>
    </row>
    <row r="4725" spans="1:10" ht="15.75" customHeight="1">
      <c r="A4725" s="1733"/>
      <c r="B4725" s="1733"/>
      <c r="C4725" s="1733"/>
      <c r="D4725" s="1733"/>
      <c r="E4725" s="1733"/>
      <c r="F4725" s="1733"/>
      <c r="G4725" s="1733"/>
      <c r="H4725" s="1733"/>
      <c r="I4725" s="1733"/>
      <c r="J4725" s="1733"/>
    </row>
    <row r="4726" spans="1:10" ht="15.75" customHeight="1">
      <c r="A4726" s="1733"/>
      <c r="B4726" s="1733"/>
      <c r="C4726" s="1733"/>
      <c r="D4726" s="1733"/>
      <c r="E4726" s="1733"/>
      <c r="F4726" s="1733"/>
      <c r="G4726" s="1733"/>
      <c r="H4726" s="1733"/>
      <c r="I4726" s="1733"/>
      <c r="J4726" s="1733"/>
    </row>
    <row r="4727" spans="1:10" ht="15.75" customHeight="1">
      <c r="A4727" s="1733"/>
      <c r="B4727" s="1733"/>
      <c r="C4727" s="1733"/>
      <c r="D4727" s="1733"/>
      <c r="E4727" s="1733"/>
      <c r="F4727" s="1733"/>
      <c r="G4727" s="1733"/>
      <c r="H4727" s="1733"/>
      <c r="I4727" s="1733"/>
      <c r="J4727" s="1733"/>
    </row>
    <row r="4728" spans="1:10" ht="15.75" customHeight="1">
      <c r="A4728" s="1733"/>
      <c r="B4728" s="1733"/>
      <c r="C4728" s="1733"/>
      <c r="D4728" s="1733"/>
      <c r="E4728" s="1733"/>
      <c r="F4728" s="1733"/>
      <c r="G4728" s="1733"/>
      <c r="H4728" s="1733"/>
      <c r="I4728" s="1733"/>
      <c r="J4728" s="1733"/>
    </row>
    <row r="4729" spans="1:10" ht="15.75" customHeight="1">
      <c r="A4729" s="1733"/>
      <c r="B4729" s="1733"/>
      <c r="C4729" s="1733"/>
      <c r="D4729" s="1733"/>
      <c r="E4729" s="1733"/>
      <c r="F4729" s="1733"/>
      <c r="G4729" s="1733"/>
      <c r="H4729" s="1733"/>
      <c r="I4729" s="1733"/>
      <c r="J4729" s="1733"/>
    </row>
    <row r="4730" spans="1:10" ht="15.75" customHeight="1">
      <c r="A4730" s="1733"/>
      <c r="B4730" s="1733"/>
      <c r="C4730" s="1733"/>
      <c r="D4730" s="1733"/>
      <c r="E4730" s="1733"/>
      <c r="F4730" s="1733"/>
      <c r="G4730" s="1733"/>
      <c r="H4730" s="1733"/>
      <c r="I4730" s="1733"/>
      <c r="J4730" s="1733"/>
    </row>
    <row r="4731" spans="1:10" ht="15.75" customHeight="1">
      <c r="A4731" s="1733"/>
      <c r="B4731" s="1733"/>
      <c r="C4731" s="1733"/>
      <c r="D4731" s="1733"/>
      <c r="E4731" s="1733"/>
      <c r="F4731" s="1733"/>
      <c r="G4731" s="1733"/>
      <c r="H4731" s="1733"/>
      <c r="I4731" s="1733"/>
      <c r="J4731" s="1733"/>
    </row>
    <row r="4732" spans="1:10" ht="15.75" customHeight="1">
      <c r="A4732" s="1733"/>
      <c r="B4732" s="1733"/>
      <c r="C4732" s="1733"/>
      <c r="D4732" s="1733"/>
      <c r="E4732" s="1733"/>
      <c r="F4732" s="1733"/>
      <c r="G4732" s="1733"/>
      <c r="H4732" s="1733"/>
      <c r="I4732" s="1733"/>
      <c r="J4732" s="1733"/>
    </row>
    <row r="4733" spans="1:10" ht="15.75" customHeight="1">
      <c r="A4733" s="1733"/>
      <c r="B4733" s="1733"/>
      <c r="C4733" s="1733"/>
      <c r="D4733" s="1733"/>
      <c r="E4733" s="1733"/>
      <c r="F4733" s="1733"/>
      <c r="G4733" s="1733"/>
      <c r="H4733" s="1733"/>
      <c r="I4733" s="1733"/>
      <c r="J4733" s="1733"/>
    </row>
    <row r="4734" spans="1:10" ht="15.75" customHeight="1">
      <c r="A4734" s="1733"/>
      <c r="B4734" s="1733"/>
      <c r="C4734" s="1733"/>
      <c r="D4734" s="1733"/>
      <c r="E4734" s="1733"/>
      <c r="F4734" s="1733"/>
      <c r="G4734" s="1733"/>
      <c r="H4734" s="1733"/>
      <c r="I4734" s="1733"/>
      <c r="J4734" s="1733"/>
    </row>
    <row r="4735" spans="1:10" ht="15.75" customHeight="1">
      <c r="A4735" s="1733"/>
      <c r="B4735" s="1733"/>
      <c r="C4735" s="1733"/>
      <c r="D4735" s="1733"/>
      <c r="E4735" s="1733"/>
      <c r="F4735" s="1733"/>
      <c r="G4735" s="1733"/>
      <c r="H4735" s="1733"/>
      <c r="I4735" s="1733"/>
      <c r="J4735" s="1733"/>
    </row>
    <row r="4736" spans="1:10" ht="15.75" customHeight="1">
      <c r="A4736" s="1733"/>
      <c r="B4736" s="1733"/>
      <c r="C4736" s="1733"/>
      <c r="D4736" s="1733"/>
      <c r="E4736" s="1733"/>
      <c r="F4736" s="1733"/>
      <c r="G4736" s="1733"/>
      <c r="H4736" s="1733"/>
      <c r="I4736" s="1733"/>
      <c r="J4736" s="1733"/>
    </row>
    <row r="4737" spans="1:10" ht="15.75" customHeight="1">
      <c r="A4737" s="1733"/>
      <c r="B4737" s="1733"/>
      <c r="C4737" s="1733"/>
      <c r="D4737" s="1733"/>
      <c r="E4737" s="1733"/>
      <c r="F4737" s="1733"/>
      <c r="G4737" s="1733"/>
      <c r="H4737" s="1733"/>
      <c r="I4737" s="1733"/>
      <c r="J4737" s="1733"/>
    </row>
    <row r="4738" spans="1:10" ht="15.75" customHeight="1">
      <c r="A4738" s="1733"/>
      <c r="B4738" s="1733"/>
      <c r="C4738" s="1733"/>
      <c r="D4738" s="1733"/>
      <c r="E4738" s="1733"/>
      <c r="F4738" s="1733"/>
      <c r="G4738" s="1733"/>
      <c r="H4738" s="1733"/>
      <c r="I4738" s="1733"/>
      <c r="J4738" s="1733"/>
    </row>
    <row r="4739" spans="1:10" ht="15.75" customHeight="1">
      <c r="A4739" s="1733"/>
      <c r="B4739" s="1733"/>
      <c r="C4739" s="1733"/>
      <c r="D4739" s="1733"/>
      <c r="E4739" s="1733"/>
      <c r="F4739" s="1733"/>
      <c r="G4739" s="1733"/>
      <c r="H4739" s="1733"/>
      <c r="I4739" s="1733"/>
      <c r="J4739" s="1733"/>
    </row>
    <row r="4740" spans="1:10" ht="15.75" customHeight="1">
      <c r="A4740" s="1733"/>
      <c r="B4740" s="1733"/>
      <c r="C4740" s="1733"/>
      <c r="D4740" s="1733"/>
      <c r="E4740" s="1733"/>
      <c r="F4740" s="1733"/>
      <c r="G4740" s="1733"/>
      <c r="H4740" s="1733"/>
      <c r="I4740" s="1733"/>
      <c r="J4740" s="1733"/>
    </row>
    <row r="4741" spans="1:10" ht="15.75" customHeight="1">
      <c r="A4741" s="1733"/>
      <c r="B4741" s="1733"/>
      <c r="C4741" s="1733"/>
      <c r="D4741" s="1733"/>
      <c r="E4741" s="1733"/>
      <c r="F4741" s="1733"/>
      <c r="G4741" s="1733"/>
      <c r="H4741" s="1733"/>
      <c r="I4741" s="1733"/>
      <c r="J4741" s="1733"/>
    </row>
    <row r="4742" spans="1:10" ht="15.75" customHeight="1">
      <c r="A4742" s="1733"/>
      <c r="B4742" s="1733"/>
      <c r="C4742" s="1733"/>
      <c r="D4742" s="1733"/>
      <c r="E4742" s="1733"/>
      <c r="F4742" s="1733"/>
      <c r="G4742" s="1733"/>
      <c r="H4742" s="1733"/>
      <c r="I4742" s="1733"/>
      <c r="J4742" s="1733"/>
    </row>
    <row r="4743" spans="1:10" ht="15.75" customHeight="1">
      <c r="A4743" s="1733"/>
      <c r="B4743" s="1733"/>
      <c r="C4743" s="1733"/>
      <c r="D4743" s="1733"/>
      <c r="E4743" s="1733"/>
      <c r="F4743" s="1733"/>
      <c r="G4743" s="1733"/>
      <c r="H4743" s="1733"/>
      <c r="I4743" s="1733"/>
      <c r="J4743" s="1733"/>
    </row>
    <row r="4744" spans="1:10" ht="15.75" customHeight="1">
      <c r="A4744" s="1733"/>
      <c r="B4744" s="1733"/>
      <c r="C4744" s="1733"/>
      <c r="D4744" s="1733"/>
      <c r="E4744" s="1733"/>
      <c r="F4744" s="1733"/>
      <c r="G4744" s="1733"/>
      <c r="H4744" s="1733"/>
      <c r="I4744" s="1733"/>
      <c r="J4744" s="1733"/>
    </row>
    <row r="4745" spans="1:10" ht="15.75" customHeight="1">
      <c r="A4745" s="1733"/>
      <c r="B4745" s="1733"/>
      <c r="C4745" s="1733"/>
      <c r="D4745" s="1733"/>
      <c r="E4745" s="1733"/>
      <c r="F4745" s="1733"/>
      <c r="G4745" s="1733"/>
      <c r="H4745" s="1733"/>
      <c r="I4745" s="1733"/>
      <c r="J4745" s="1733"/>
    </row>
    <row r="4746" spans="1:10" ht="15.75" customHeight="1">
      <c r="A4746" s="1733"/>
      <c r="B4746" s="1733"/>
      <c r="C4746" s="1733"/>
      <c r="D4746" s="1733"/>
      <c r="E4746" s="1733"/>
      <c r="F4746" s="1733"/>
      <c r="G4746" s="1733"/>
      <c r="H4746" s="1733"/>
      <c r="I4746" s="1733"/>
      <c r="J4746" s="1733"/>
    </row>
    <row r="4747" spans="1:10" ht="15.75" customHeight="1">
      <c r="A4747" s="1733"/>
      <c r="B4747" s="1733"/>
      <c r="C4747" s="1733"/>
      <c r="D4747" s="1733"/>
      <c r="E4747" s="1733"/>
      <c r="F4747" s="1733"/>
      <c r="G4747" s="1733"/>
      <c r="H4747" s="1733"/>
      <c r="I4747" s="1733"/>
      <c r="J4747" s="1733"/>
    </row>
    <row r="4748" spans="1:10" ht="15.75" customHeight="1">
      <c r="A4748" s="1733"/>
      <c r="B4748" s="1733"/>
      <c r="C4748" s="1733"/>
      <c r="D4748" s="1733"/>
      <c r="E4748" s="1733"/>
      <c r="F4748" s="1733"/>
      <c r="G4748" s="1733"/>
      <c r="H4748" s="1733"/>
      <c r="I4748" s="1733"/>
      <c r="J4748" s="1733"/>
    </row>
    <row r="4749" spans="1:10" ht="15.75" customHeight="1">
      <c r="A4749" s="1733"/>
      <c r="B4749" s="1733"/>
      <c r="C4749" s="1733"/>
      <c r="D4749" s="1733"/>
      <c r="E4749" s="1733"/>
      <c r="F4749" s="1733"/>
      <c r="G4749" s="1733"/>
      <c r="H4749" s="1733"/>
      <c r="I4749" s="1733"/>
      <c r="J4749" s="1733"/>
    </row>
    <row r="4750" spans="1:10" ht="15.75" customHeight="1">
      <c r="A4750" s="1733"/>
      <c r="B4750" s="1733"/>
      <c r="C4750" s="1733"/>
      <c r="D4750" s="1733"/>
      <c r="E4750" s="1733"/>
      <c r="F4750" s="1733"/>
      <c r="G4750" s="1733"/>
      <c r="H4750" s="1733"/>
      <c r="I4750" s="1733"/>
      <c r="J4750" s="1733"/>
    </row>
    <row r="4751" spans="1:10" ht="15.75" customHeight="1">
      <c r="A4751" s="1733"/>
      <c r="B4751" s="1733"/>
      <c r="C4751" s="1733"/>
      <c r="D4751" s="1733"/>
      <c r="E4751" s="1733"/>
      <c r="F4751" s="1733"/>
      <c r="G4751" s="1733"/>
      <c r="H4751" s="1733"/>
      <c r="I4751" s="1733"/>
      <c r="J4751" s="1733"/>
    </row>
    <row r="4752" spans="1:10" ht="15.75" customHeight="1">
      <c r="A4752" s="1733"/>
      <c r="B4752" s="1733"/>
      <c r="C4752" s="1733"/>
      <c r="D4752" s="1733"/>
      <c r="E4752" s="1733"/>
      <c r="F4752" s="1733"/>
      <c r="G4752" s="1733"/>
      <c r="H4752" s="1733"/>
      <c r="I4752" s="1733"/>
      <c r="J4752" s="1733"/>
    </row>
    <row r="4753" spans="1:10" ht="15.75" customHeight="1">
      <c r="A4753" s="1733"/>
      <c r="B4753" s="1733"/>
      <c r="C4753" s="1733"/>
      <c r="D4753" s="1733"/>
      <c r="E4753" s="1733"/>
      <c r="F4753" s="1733"/>
      <c r="G4753" s="1733"/>
      <c r="H4753" s="1733"/>
      <c r="I4753" s="1733"/>
      <c r="J4753" s="1733"/>
    </row>
    <row r="4754" spans="1:10" ht="15.75" customHeight="1">
      <c r="A4754" s="1733"/>
      <c r="B4754" s="1733"/>
      <c r="C4754" s="1733"/>
      <c r="D4754" s="1733"/>
      <c r="E4754" s="1733"/>
      <c r="F4754" s="1733"/>
      <c r="G4754" s="1733"/>
      <c r="H4754" s="1733"/>
      <c r="I4754" s="1733"/>
      <c r="J4754" s="1733"/>
    </row>
    <row r="4755" spans="1:10" ht="15.75" customHeight="1">
      <c r="A4755" s="1733"/>
      <c r="B4755" s="1733"/>
      <c r="C4755" s="1733"/>
      <c r="D4755" s="1733"/>
      <c r="E4755" s="1733"/>
      <c r="F4755" s="1733"/>
      <c r="G4755" s="1733"/>
      <c r="H4755" s="1733"/>
      <c r="I4755" s="1733"/>
      <c r="J4755" s="1733"/>
    </row>
    <row r="4756" spans="1:10" ht="15.75" customHeight="1">
      <c r="A4756" s="1733"/>
      <c r="B4756" s="1733"/>
      <c r="C4756" s="1733"/>
      <c r="D4756" s="1733"/>
      <c r="E4756" s="1733"/>
      <c r="F4756" s="1733"/>
      <c r="G4756" s="1733"/>
      <c r="H4756" s="1733"/>
      <c r="I4756" s="1733"/>
      <c r="J4756" s="1733"/>
    </row>
    <row r="4757" spans="1:10" ht="15.75" customHeight="1">
      <c r="A4757" s="1733"/>
      <c r="B4757" s="1733"/>
      <c r="C4757" s="1733"/>
      <c r="D4757" s="1733"/>
      <c r="E4757" s="1733"/>
      <c r="F4757" s="1733"/>
      <c r="G4757" s="1733"/>
      <c r="H4757" s="1733"/>
      <c r="I4757" s="1733"/>
      <c r="J4757" s="1733"/>
    </row>
    <row r="4758" spans="1:10" ht="15.75" customHeight="1">
      <c r="A4758" s="1733"/>
      <c r="B4758" s="1733"/>
      <c r="C4758" s="1733"/>
      <c r="D4758" s="1733"/>
      <c r="E4758" s="1733"/>
      <c r="F4758" s="1733"/>
      <c r="G4758" s="1733"/>
      <c r="H4758" s="1733"/>
      <c r="I4758" s="1733"/>
      <c r="J4758" s="1733"/>
    </row>
    <row r="4759" spans="1:10" ht="15.75" customHeight="1">
      <c r="A4759" s="1733"/>
      <c r="B4759" s="1733"/>
      <c r="C4759" s="1733"/>
      <c r="D4759" s="1733"/>
      <c r="E4759" s="1733"/>
      <c r="F4759" s="1733"/>
      <c r="G4759" s="1733"/>
      <c r="H4759" s="1733"/>
      <c r="I4759" s="1733"/>
      <c r="J4759" s="1733"/>
    </row>
    <row r="4760" spans="1:10" ht="15.75" customHeight="1">
      <c r="A4760" s="1733"/>
      <c r="B4760" s="1733"/>
      <c r="C4760" s="1733"/>
      <c r="D4760" s="1733"/>
      <c r="E4760" s="1733"/>
      <c r="F4760" s="1733"/>
      <c r="G4760" s="1733"/>
      <c r="H4760" s="1733"/>
      <c r="I4760" s="1733"/>
      <c r="J4760" s="1733"/>
    </row>
    <row r="4761" spans="1:10" ht="15.75" customHeight="1">
      <c r="A4761" s="1733"/>
      <c r="B4761" s="1733"/>
      <c r="C4761" s="1733"/>
      <c r="D4761" s="1733"/>
      <c r="E4761" s="1733"/>
      <c r="F4761" s="1733"/>
      <c r="G4761" s="1733"/>
      <c r="H4761" s="1733"/>
      <c r="I4761" s="1733"/>
      <c r="J4761" s="1733"/>
    </row>
    <row r="4762" spans="1:10" ht="15.75" customHeight="1">
      <c r="A4762" s="1733"/>
      <c r="B4762" s="1733"/>
      <c r="C4762" s="1733"/>
      <c r="D4762" s="1733"/>
      <c r="E4762" s="1733"/>
      <c r="F4762" s="1733"/>
      <c r="G4762" s="1733"/>
      <c r="H4762" s="1733"/>
      <c r="I4762" s="1733"/>
      <c r="J4762" s="1733"/>
    </row>
    <row r="4763" spans="1:10" ht="15.75" customHeight="1">
      <c r="A4763" s="1733"/>
      <c r="B4763" s="1733"/>
      <c r="C4763" s="1733"/>
      <c r="D4763" s="1733"/>
      <c r="E4763" s="1733"/>
      <c r="F4763" s="1733"/>
      <c r="G4763" s="1733"/>
      <c r="H4763" s="1733"/>
      <c r="I4763" s="1733"/>
      <c r="J4763" s="1733"/>
    </row>
    <row r="4764" spans="1:10" ht="15.75" customHeight="1">
      <c r="A4764" s="1733"/>
      <c r="B4764" s="1733"/>
      <c r="C4764" s="1733"/>
      <c r="D4764" s="1733"/>
      <c r="E4764" s="1733"/>
      <c r="F4764" s="1733"/>
      <c r="G4764" s="1733"/>
      <c r="H4764" s="1733"/>
      <c r="I4764" s="1733"/>
      <c r="J4764" s="1733"/>
    </row>
    <row r="4765" spans="1:10" ht="15.75" customHeight="1">
      <c r="A4765" s="1733"/>
      <c r="B4765" s="1733"/>
      <c r="C4765" s="1733"/>
      <c r="D4765" s="1733"/>
      <c r="E4765" s="1733"/>
      <c r="F4765" s="1733"/>
      <c r="G4765" s="1733"/>
      <c r="H4765" s="1733"/>
      <c r="I4765" s="1733"/>
      <c r="J4765" s="1733"/>
    </row>
    <row r="4766" spans="1:10" ht="15.75" customHeight="1">
      <c r="A4766" s="1733"/>
      <c r="B4766" s="1733"/>
      <c r="C4766" s="1733"/>
      <c r="D4766" s="1733"/>
      <c r="E4766" s="1733"/>
      <c r="F4766" s="1733"/>
      <c r="G4766" s="1733"/>
      <c r="H4766" s="1733"/>
      <c r="I4766" s="1733"/>
      <c r="J4766" s="1733"/>
    </row>
    <row r="4767" spans="1:10" ht="15.75" customHeight="1">
      <c r="A4767" s="1733"/>
      <c r="B4767" s="1733"/>
      <c r="C4767" s="1733"/>
      <c r="D4767" s="1733"/>
      <c r="E4767" s="1733"/>
      <c r="F4767" s="1733"/>
      <c r="G4767" s="1733"/>
      <c r="H4767" s="1733"/>
      <c r="I4767" s="1733"/>
      <c r="J4767" s="1733"/>
    </row>
    <row r="4768" spans="1:10" ht="15.75" customHeight="1">
      <c r="A4768" s="1733"/>
      <c r="B4768" s="1733"/>
      <c r="C4768" s="1733"/>
      <c r="D4768" s="1733"/>
      <c r="E4768" s="1733"/>
      <c r="F4768" s="1733"/>
      <c r="G4768" s="1733"/>
      <c r="H4768" s="1733"/>
      <c r="I4768" s="1733"/>
      <c r="J4768" s="1733"/>
    </row>
    <row r="4769" spans="1:10" ht="15.75" customHeight="1">
      <c r="A4769" s="1733"/>
      <c r="B4769" s="1733"/>
      <c r="C4769" s="1733"/>
      <c r="D4769" s="1733"/>
      <c r="E4769" s="1733"/>
      <c r="F4769" s="1733"/>
      <c r="G4769" s="1733"/>
      <c r="H4769" s="1733"/>
      <c r="I4769" s="1733"/>
      <c r="J4769" s="1733"/>
    </row>
    <row r="4770" spans="1:10" ht="15.75" customHeight="1">
      <c r="A4770" s="1733"/>
      <c r="B4770" s="1733"/>
      <c r="C4770" s="1733"/>
      <c r="D4770" s="1733"/>
      <c r="E4770" s="1733"/>
      <c r="F4770" s="1733"/>
      <c r="G4770" s="1733"/>
      <c r="H4770" s="1733"/>
      <c r="I4770" s="1733"/>
      <c r="J4770" s="1733"/>
    </row>
    <row r="4771" spans="1:10" ht="15.75" customHeight="1">
      <c r="A4771" s="1733"/>
      <c r="B4771" s="1733"/>
      <c r="C4771" s="1733"/>
      <c r="D4771" s="1733"/>
      <c r="E4771" s="1733"/>
      <c r="F4771" s="1733"/>
      <c r="G4771" s="1733"/>
      <c r="H4771" s="1733"/>
      <c r="I4771" s="1733"/>
      <c r="J4771" s="1733"/>
    </row>
    <row r="4772" spans="1:10" ht="15.75" customHeight="1">
      <c r="A4772" s="1733"/>
      <c r="B4772" s="1733"/>
      <c r="C4772" s="1733"/>
      <c r="D4772" s="1733"/>
      <c r="E4772" s="1733"/>
      <c r="F4772" s="1733"/>
      <c r="G4772" s="1733"/>
      <c r="H4772" s="1733"/>
      <c r="I4772" s="1733"/>
      <c r="J4772" s="1733"/>
    </row>
    <row r="4773" spans="1:10" ht="15.75" customHeight="1">
      <c r="A4773" s="1733"/>
      <c r="B4773" s="1733"/>
      <c r="C4773" s="1733"/>
      <c r="D4773" s="1733"/>
      <c r="E4773" s="1733"/>
      <c r="F4773" s="1733"/>
      <c r="G4773" s="1733"/>
      <c r="H4773" s="1733"/>
      <c r="I4773" s="1733"/>
      <c r="J4773" s="1733"/>
    </row>
    <row r="4774" spans="1:10" ht="15.75" customHeight="1">
      <c r="A4774" s="1733"/>
      <c r="B4774" s="1733"/>
      <c r="C4774" s="1733"/>
      <c r="D4774" s="1733"/>
      <c r="E4774" s="1733"/>
      <c r="F4774" s="1733"/>
      <c r="G4774" s="1733"/>
      <c r="H4774" s="1733"/>
      <c r="I4774" s="1733"/>
      <c r="J4774" s="1733"/>
    </row>
    <row r="4775" spans="1:10" ht="15.75" customHeight="1">
      <c r="A4775" s="1733"/>
      <c r="B4775" s="1733"/>
      <c r="C4775" s="1733"/>
      <c r="D4775" s="1733"/>
      <c r="E4775" s="1733"/>
      <c r="F4775" s="1733"/>
      <c r="G4775" s="1733"/>
      <c r="H4775" s="1733"/>
      <c r="I4775" s="1733"/>
      <c r="J4775" s="1733"/>
    </row>
    <row r="4776" spans="1:10" ht="15.75" customHeight="1">
      <c r="A4776" s="1733"/>
      <c r="B4776" s="1733"/>
      <c r="C4776" s="1733"/>
      <c r="D4776" s="1733"/>
      <c r="E4776" s="1733"/>
      <c r="F4776" s="1733"/>
      <c r="G4776" s="1733"/>
      <c r="H4776" s="1733"/>
      <c r="I4776" s="1733"/>
      <c r="J4776" s="1733"/>
    </row>
    <row r="4777" spans="1:10" ht="15.75" customHeight="1">
      <c r="A4777" s="1733"/>
      <c r="B4777" s="1733"/>
      <c r="C4777" s="1733"/>
      <c r="D4777" s="1733"/>
      <c r="E4777" s="1733"/>
      <c r="F4777" s="1733"/>
      <c r="G4777" s="1733"/>
      <c r="H4777" s="1733"/>
      <c r="I4777" s="1733"/>
      <c r="J4777" s="1733"/>
    </row>
    <row r="4778" spans="1:10" ht="15.75" customHeight="1">
      <c r="A4778" s="1733"/>
      <c r="B4778" s="1733"/>
      <c r="C4778" s="1733"/>
      <c r="D4778" s="1733"/>
      <c r="E4778" s="1733"/>
      <c r="F4778" s="1733"/>
      <c r="G4778" s="1733"/>
      <c r="H4778" s="1733"/>
      <c r="I4778" s="1733"/>
      <c r="J4778" s="1733"/>
    </row>
    <row r="4779" spans="1:10" ht="15.75" customHeight="1">
      <c r="A4779" s="1733"/>
      <c r="B4779" s="1733"/>
      <c r="C4779" s="1733"/>
      <c r="D4779" s="1733"/>
      <c r="E4779" s="1733"/>
      <c r="F4779" s="1733"/>
      <c r="G4779" s="1733"/>
      <c r="H4779" s="1733"/>
      <c r="I4779" s="1733"/>
      <c r="J4779" s="1733"/>
    </row>
    <row r="4780" spans="1:10" ht="15.75" customHeight="1">
      <c r="A4780" s="1733"/>
      <c r="B4780" s="1733"/>
      <c r="C4780" s="1733"/>
      <c r="D4780" s="1733"/>
      <c r="E4780" s="1733"/>
      <c r="F4780" s="1733"/>
      <c r="G4780" s="1733"/>
      <c r="H4780" s="1733"/>
      <c r="I4780" s="1733"/>
      <c r="J4780" s="1733"/>
    </row>
    <row r="4781" spans="1:10" ht="15.75" customHeight="1">
      <c r="A4781" s="1733"/>
      <c r="B4781" s="1733"/>
      <c r="C4781" s="1733"/>
      <c r="D4781" s="1733"/>
      <c r="E4781" s="1733"/>
      <c r="F4781" s="1733"/>
      <c r="G4781" s="1733"/>
      <c r="H4781" s="1733"/>
      <c r="I4781" s="1733"/>
      <c r="J4781" s="1733"/>
    </row>
    <row r="4782" spans="1:10" ht="15.75" customHeight="1">
      <c r="A4782" s="1733"/>
      <c r="B4782" s="1733"/>
      <c r="C4782" s="1733"/>
      <c r="D4782" s="1733"/>
      <c r="E4782" s="1733"/>
      <c r="F4782" s="1733"/>
      <c r="G4782" s="1733"/>
      <c r="H4782" s="1733"/>
      <c r="I4782" s="1733"/>
      <c r="J4782" s="1733"/>
    </row>
    <row r="4783" spans="1:10" ht="15.75" customHeight="1">
      <c r="A4783" s="1733"/>
      <c r="B4783" s="1733"/>
      <c r="C4783" s="1733"/>
      <c r="D4783" s="1733"/>
      <c r="E4783" s="1733"/>
      <c r="F4783" s="1733"/>
      <c r="G4783" s="1733"/>
      <c r="H4783" s="1733"/>
      <c r="I4783" s="1733"/>
      <c r="J4783" s="1733"/>
    </row>
    <row r="4784" spans="1:10" ht="15.75" customHeight="1">
      <c r="A4784" s="1733"/>
      <c r="B4784" s="1733"/>
      <c r="C4784" s="1733"/>
      <c r="D4784" s="1733"/>
      <c r="E4784" s="1733"/>
      <c r="F4784" s="1733"/>
      <c r="G4784" s="1733"/>
      <c r="H4784" s="1733"/>
      <c r="I4784" s="1733"/>
      <c r="J4784" s="1733"/>
    </row>
    <row r="4785" spans="1:10" ht="15.75" customHeight="1">
      <c r="A4785" s="1733"/>
      <c r="B4785" s="1733"/>
      <c r="C4785" s="1733"/>
      <c r="D4785" s="1733"/>
      <c r="E4785" s="1733"/>
      <c r="F4785" s="1733"/>
      <c r="G4785" s="1733"/>
      <c r="H4785" s="1733"/>
      <c r="I4785" s="1733"/>
      <c r="J4785" s="1733"/>
    </row>
    <row r="4786" spans="1:10" ht="15.75" customHeight="1">
      <c r="A4786" s="1733"/>
      <c r="B4786" s="1733"/>
      <c r="C4786" s="1733"/>
      <c r="D4786" s="1733"/>
      <c r="E4786" s="1733"/>
      <c r="F4786" s="1733"/>
      <c r="G4786" s="1733"/>
      <c r="H4786" s="1733"/>
      <c r="I4786" s="1733"/>
      <c r="J4786" s="1733"/>
    </row>
    <row r="4787" spans="1:10" ht="15.75" customHeight="1">
      <c r="A4787" s="1733"/>
      <c r="B4787" s="1733"/>
      <c r="C4787" s="1733"/>
      <c r="D4787" s="1733"/>
      <c r="E4787" s="1733"/>
      <c r="F4787" s="1733"/>
      <c r="G4787" s="1733"/>
      <c r="H4787" s="1733"/>
      <c r="I4787" s="1733"/>
      <c r="J4787" s="1733"/>
    </row>
    <row r="4788" spans="1:10" ht="15.75" customHeight="1">
      <c r="A4788" s="1733"/>
      <c r="B4788" s="1733"/>
      <c r="C4788" s="1733"/>
      <c r="D4788" s="1733"/>
      <c r="E4788" s="1733"/>
      <c r="F4788" s="1733"/>
      <c r="G4788" s="1733"/>
      <c r="H4788" s="1733"/>
      <c r="I4788" s="1733"/>
      <c r="J4788" s="1733"/>
    </row>
    <row r="4789" spans="1:10" ht="15.75" customHeight="1">
      <c r="A4789" s="1733"/>
      <c r="B4789" s="1733"/>
      <c r="C4789" s="1733"/>
      <c r="D4789" s="1733"/>
      <c r="E4789" s="1733"/>
      <c r="F4789" s="1733"/>
      <c r="G4789" s="1733"/>
      <c r="H4789" s="1733"/>
      <c r="I4789" s="1733"/>
      <c r="J4789" s="1733"/>
    </row>
    <row r="4790" spans="1:10" ht="15.75" customHeight="1">
      <c r="A4790" s="1733"/>
      <c r="B4790" s="1733"/>
      <c r="C4790" s="1733"/>
      <c r="D4790" s="1733"/>
      <c r="E4790" s="1733"/>
      <c r="F4790" s="1733"/>
      <c r="G4790" s="1733"/>
      <c r="H4790" s="1733"/>
      <c r="I4790" s="1733"/>
      <c r="J4790" s="1733"/>
    </row>
    <row r="4791" spans="1:10" ht="15.75" customHeight="1">
      <c r="A4791" s="1733"/>
      <c r="B4791" s="1733"/>
      <c r="C4791" s="1733"/>
      <c r="D4791" s="1733"/>
      <c r="E4791" s="1733"/>
      <c r="F4791" s="1733"/>
      <c r="G4791" s="1733"/>
      <c r="H4791" s="1733"/>
      <c r="I4791" s="1733"/>
      <c r="J4791" s="1733"/>
    </row>
    <row r="4792" spans="1:10" ht="15.75" customHeight="1">
      <c r="A4792" s="1733"/>
      <c r="B4792" s="1733"/>
      <c r="C4792" s="1733"/>
      <c r="D4792" s="1733"/>
      <c r="E4792" s="1733"/>
      <c r="F4792" s="1733"/>
      <c r="G4792" s="1733"/>
      <c r="H4792" s="1733"/>
      <c r="I4792" s="1733"/>
      <c r="J4792" s="1733"/>
    </row>
    <row r="4793" spans="1:10" ht="15.75" customHeight="1">
      <c r="A4793" s="1733"/>
      <c r="B4793" s="1733"/>
      <c r="C4793" s="1733"/>
      <c r="D4793" s="1733"/>
      <c r="E4793" s="1733"/>
      <c r="F4793" s="1733"/>
      <c r="G4793" s="1733"/>
      <c r="H4793" s="1733"/>
      <c r="I4793" s="1733"/>
      <c r="J4793" s="1733"/>
    </row>
    <row r="4794" spans="1:10" ht="15.75" customHeight="1">
      <c r="A4794" s="1733"/>
      <c r="B4794" s="1733"/>
      <c r="C4794" s="1733"/>
      <c r="D4794" s="1733"/>
      <c r="E4794" s="1733"/>
      <c r="F4794" s="1733"/>
      <c r="G4794" s="1733"/>
      <c r="H4794" s="1733"/>
      <c r="I4794" s="1733"/>
      <c r="J4794" s="1733"/>
    </row>
    <row r="4795" spans="1:10" ht="15.75" customHeight="1">
      <c r="A4795" s="1733"/>
      <c r="B4795" s="1733"/>
      <c r="C4795" s="1733"/>
      <c r="D4795" s="1733"/>
      <c r="E4795" s="1733"/>
      <c r="F4795" s="1733"/>
      <c r="G4795" s="1733"/>
      <c r="H4795" s="1733"/>
      <c r="I4795" s="1733"/>
      <c r="J4795" s="1733"/>
    </row>
    <row r="4796" spans="1:10" ht="15.75" customHeight="1">
      <c r="A4796" s="1733"/>
      <c r="B4796" s="1733"/>
      <c r="C4796" s="1733"/>
      <c r="D4796" s="1733"/>
      <c r="E4796" s="1733"/>
      <c r="F4796" s="1733"/>
      <c r="G4796" s="1733"/>
      <c r="H4796" s="1733"/>
      <c r="I4796" s="1733"/>
      <c r="J4796" s="1733"/>
    </row>
    <row r="4797" spans="1:10" ht="15.75" customHeight="1">
      <c r="A4797" s="1733"/>
      <c r="B4797" s="1733"/>
      <c r="C4797" s="1733"/>
      <c r="D4797" s="1733"/>
      <c r="E4797" s="1733"/>
      <c r="F4797" s="1733"/>
      <c r="G4797" s="1733"/>
      <c r="H4797" s="1733"/>
      <c r="I4797" s="1733"/>
      <c r="J4797" s="1733"/>
    </row>
    <row r="4798" spans="1:10" ht="15.75" customHeight="1">
      <c r="A4798" s="1733"/>
      <c r="B4798" s="1733"/>
      <c r="C4798" s="1733"/>
      <c r="D4798" s="1733"/>
      <c r="E4798" s="1733"/>
      <c r="F4798" s="1733"/>
      <c r="G4798" s="1733"/>
      <c r="H4798" s="1733"/>
      <c r="I4798" s="1733"/>
      <c r="J4798" s="1733"/>
    </row>
    <row r="4799" spans="1:10" ht="15.75" customHeight="1">
      <c r="A4799" s="1733"/>
      <c r="B4799" s="1733"/>
      <c r="C4799" s="1733"/>
      <c r="D4799" s="1733"/>
      <c r="E4799" s="1733"/>
      <c r="F4799" s="1733"/>
      <c r="G4799" s="1733"/>
      <c r="H4799" s="1733"/>
      <c r="I4799" s="1733"/>
      <c r="J4799" s="1733"/>
    </row>
    <row r="4800" spans="1:10" ht="15.75" customHeight="1">
      <c r="A4800" s="1733"/>
      <c r="B4800" s="1733"/>
      <c r="C4800" s="1733"/>
      <c r="D4800" s="1733"/>
      <c r="E4800" s="1733"/>
      <c r="F4800" s="1733"/>
      <c r="G4800" s="1733"/>
      <c r="H4800" s="1733"/>
      <c r="I4800" s="1733"/>
      <c r="J4800" s="1733"/>
    </row>
    <row r="4801" spans="1:10" ht="15.75" customHeight="1">
      <c r="A4801" s="1733"/>
      <c r="B4801" s="1733"/>
      <c r="C4801" s="1733"/>
      <c r="D4801" s="1733"/>
      <c r="E4801" s="1733"/>
      <c r="F4801" s="1733"/>
      <c r="G4801" s="1733"/>
      <c r="H4801" s="1733"/>
      <c r="I4801" s="1733"/>
      <c r="J4801" s="1733"/>
    </row>
    <row r="4802" spans="1:10" ht="15.75" customHeight="1">
      <c r="A4802" s="1733"/>
      <c r="B4802" s="1733"/>
      <c r="C4802" s="1733"/>
      <c r="D4802" s="1733"/>
      <c r="E4802" s="1733"/>
      <c r="F4802" s="1733"/>
      <c r="G4802" s="1733"/>
      <c r="H4802" s="1733"/>
      <c r="I4802" s="1733"/>
      <c r="J4802" s="1733"/>
    </row>
    <row r="4803" spans="1:10" ht="15.75" customHeight="1">
      <c r="A4803" s="1733"/>
      <c r="B4803" s="1733"/>
      <c r="C4803" s="1733"/>
      <c r="D4803" s="1733"/>
      <c r="E4803" s="1733"/>
      <c r="F4803" s="1733"/>
      <c r="G4803" s="1733"/>
      <c r="H4803" s="1733"/>
      <c r="I4803" s="1733"/>
      <c r="J4803" s="1733"/>
    </row>
    <row r="4804" spans="1:10" ht="15.75" customHeight="1">
      <c r="A4804" s="1733"/>
      <c r="B4804" s="1733"/>
      <c r="C4804" s="1733"/>
      <c r="D4804" s="1733"/>
      <c r="E4804" s="1733"/>
      <c r="F4804" s="1733"/>
      <c r="G4804" s="1733"/>
      <c r="H4804" s="1733"/>
      <c r="I4804" s="1733"/>
      <c r="J4804" s="1733"/>
    </row>
    <row r="4805" spans="1:10" ht="15.75" customHeight="1">
      <c r="A4805" s="1733"/>
      <c r="B4805" s="1733"/>
      <c r="C4805" s="1733"/>
      <c r="D4805" s="1733"/>
      <c r="E4805" s="1733"/>
      <c r="F4805" s="1733"/>
      <c r="G4805" s="1733"/>
      <c r="H4805" s="1733"/>
      <c r="I4805" s="1733"/>
      <c r="J4805" s="1733"/>
    </row>
    <row r="4806" spans="1:10" ht="15.75" customHeight="1">
      <c r="A4806" s="1733"/>
      <c r="B4806" s="1733"/>
      <c r="C4806" s="1733"/>
      <c r="D4806" s="1733"/>
      <c r="E4806" s="1733"/>
      <c r="F4806" s="1733"/>
      <c r="G4806" s="1733"/>
      <c r="H4806" s="1733"/>
      <c r="I4806" s="1733"/>
      <c r="J4806" s="1733"/>
    </row>
    <row r="4807" spans="1:10" ht="15.75" customHeight="1">
      <c r="A4807" s="1733"/>
      <c r="B4807" s="1733"/>
      <c r="C4807" s="1733"/>
      <c r="D4807" s="1733"/>
      <c r="E4807" s="1733"/>
      <c r="F4807" s="1733"/>
      <c r="G4807" s="1733"/>
      <c r="H4807" s="1733"/>
      <c r="I4807" s="1733"/>
      <c r="J4807" s="1733"/>
    </row>
    <row r="4808" spans="1:10" ht="15.75" customHeight="1">
      <c r="A4808" s="1733"/>
      <c r="B4808" s="1733"/>
      <c r="C4808" s="1733"/>
      <c r="D4808" s="1733"/>
      <c r="E4808" s="1733"/>
      <c r="F4808" s="1733"/>
      <c r="G4808" s="1733"/>
      <c r="H4808" s="1733"/>
      <c r="I4808" s="1733"/>
      <c r="J4808" s="1733"/>
    </row>
    <row r="4809" spans="1:10" ht="15.75" customHeight="1">
      <c r="A4809" s="1733"/>
      <c r="B4809" s="1733"/>
      <c r="C4809" s="1733"/>
      <c r="D4809" s="1733"/>
      <c r="E4809" s="1733"/>
      <c r="F4809" s="1733"/>
      <c r="G4809" s="1733"/>
      <c r="H4809" s="1733"/>
      <c r="I4809" s="1733"/>
      <c r="J4809" s="1733"/>
    </row>
    <row r="4810" spans="1:10" ht="15.75" customHeight="1">
      <c r="A4810" s="1733"/>
      <c r="B4810" s="1733"/>
      <c r="C4810" s="1733"/>
      <c r="D4810" s="1733"/>
      <c r="E4810" s="1733"/>
      <c r="F4810" s="1733"/>
      <c r="G4810" s="1733"/>
      <c r="H4810" s="1733"/>
      <c r="I4810" s="1733"/>
      <c r="J4810" s="1733"/>
    </row>
    <row r="4811" spans="1:10" ht="15.75" customHeight="1">
      <c r="A4811" s="1733"/>
      <c r="B4811" s="1733"/>
      <c r="C4811" s="1733"/>
      <c r="D4811" s="1733"/>
      <c r="E4811" s="1733"/>
      <c r="F4811" s="1733"/>
      <c r="G4811" s="1733"/>
      <c r="H4811" s="1733"/>
      <c r="I4811" s="1733"/>
      <c r="J4811" s="1733"/>
    </row>
    <row r="4812" spans="1:10" ht="15.75" customHeight="1">
      <c r="A4812" s="1733"/>
      <c r="B4812" s="1733"/>
      <c r="C4812" s="1733"/>
      <c r="D4812" s="1733"/>
      <c r="E4812" s="1733"/>
      <c r="F4812" s="1733"/>
      <c r="G4812" s="1733"/>
      <c r="H4812" s="1733"/>
      <c r="I4812" s="1733"/>
      <c r="J4812" s="1733"/>
    </row>
    <row r="4813" spans="1:10" ht="15.75" customHeight="1">
      <c r="A4813" s="1733"/>
      <c r="B4813" s="1733"/>
      <c r="C4813" s="1733"/>
      <c r="D4813" s="1733"/>
      <c r="E4813" s="1733"/>
      <c r="F4813" s="1733"/>
      <c r="G4813" s="1733"/>
      <c r="H4813" s="1733"/>
      <c r="I4813" s="1733"/>
      <c r="J4813" s="1733"/>
    </row>
    <row r="4814" spans="1:10" ht="15.75" customHeight="1">
      <c r="A4814" s="1733"/>
      <c r="B4814" s="1733"/>
      <c r="C4814" s="1733"/>
      <c r="D4814" s="1733"/>
      <c r="E4814" s="1733"/>
      <c r="F4814" s="1733"/>
      <c r="G4814" s="1733"/>
      <c r="H4814" s="1733"/>
      <c r="I4814" s="1733"/>
      <c r="J4814" s="1733"/>
    </row>
    <row r="4815" spans="1:10" ht="15.75" customHeight="1">
      <c r="A4815" s="1733"/>
      <c r="B4815" s="1733"/>
      <c r="C4815" s="1733"/>
      <c r="D4815" s="1733"/>
      <c r="E4815" s="1733"/>
      <c r="F4815" s="1733"/>
      <c r="G4815" s="1733"/>
      <c r="H4815" s="1733"/>
      <c r="I4815" s="1733"/>
      <c r="J4815" s="1733"/>
    </row>
    <row r="4816" spans="1:10" ht="15.75" customHeight="1">
      <c r="A4816" s="1733"/>
      <c r="B4816" s="1733"/>
      <c r="C4816" s="1733"/>
      <c r="D4816" s="1733"/>
      <c r="E4816" s="1733"/>
      <c r="F4816" s="1733"/>
      <c r="G4816" s="1733"/>
      <c r="H4816" s="1733"/>
      <c r="I4816" s="1733"/>
      <c r="J4816" s="1733"/>
    </row>
    <row r="4817" spans="1:10" ht="15.75" customHeight="1">
      <c r="A4817" s="1733"/>
      <c r="B4817" s="1733"/>
      <c r="C4817" s="1733"/>
      <c r="D4817" s="1733"/>
      <c r="E4817" s="1733"/>
      <c r="F4817" s="1733"/>
      <c r="G4817" s="1733"/>
      <c r="H4817" s="1733"/>
      <c r="I4817" s="1733"/>
      <c r="J4817" s="1733"/>
    </row>
    <row r="4818" spans="1:10" ht="15.75" customHeight="1">
      <c r="A4818" s="1733"/>
      <c r="B4818" s="1733"/>
      <c r="C4818" s="1733"/>
      <c r="D4818" s="1733"/>
      <c r="E4818" s="1733"/>
      <c r="F4818" s="1733"/>
      <c r="G4818" s="1733"/>
      <c r="H4818" s="1733"/>
      <c r="I4818" s="1733"/>
      <c r="J4818" s="1733"/>
    </row>
    <row r="4819" spans="1:10" ht="15.75" customHeight="1">
      <c r="A4819" s="1733"/>
      <c r="B4819" s="1733"/>
      <c r="C4819" s="1733"/>
      <c r="D4819" s="1733"/>
      <c r="E4819" s="1733"/>
      <c r="F4819" s="1733"/>
      <c r="G4819" s="1733"/>
      <c r="H4819" s="1733"/>
      <c r="I4819" s="1733"/>
      <c r="J4819" s="1733"/>
    </row>
    <row r="4820" spans="1:10" ht="15.75" customHeight="1">
      <c r="A4820" s="1733"/>
      <c r="B4820" s="1733"/>
      <c r="C4820" s="1733"/>
      <c r="D4820" s="1733"/>
      <c r="E4820" s="1733"/>
      <c r="F4820" s="1733"/>
      <c r="G4820" s="1733"/>
      <c r="H4820" s="1733"/>
      <c r="I4820" s="1733"/>
      <c r="J4820" s="1733"/>
    </row>
    <row r="4821" spans="1:10" ht="15.75" customHeight="1">
      <c r="A4821" s="1733"/>
      <c r="B4821" s="1733"/>
      <c r="C4821" s="1733"/>
      <c r="D4821" s="1733"/>
      <c r="E4821" s="1733"/>
      <c r="F4821" s="1733"/>
      <c r="G4821" s="1733"/>
      <c r="H4821" s="1733"/>
      <c r="I4821" s="1733"/>
      <c r="J4821" s="1733"/>
    </row>
    <row r="4822" spans="1:10" ht="15.75" customHeight="1">
      <c r="A4822" s="1733"/>
      <c r="B4822" s="1733"/>
      <c r="C4822" s="1733"/>
      <c r="D4822" s="1733"/>
      <c r="E4822" s="1733"/>
      <c r="F4822" s="1733"/>
      <c r="G4822" s="1733"/>
      <c r="H4822" s="1733"/>
      <c r="I4822" s="1733"/>
      <c r="J4822" s="1733"/>
    </row>
    <row r="4823" spans="1:10" ht="15.75" customHeight="1">
      <c r="A4823" s="1733"/>
      <c r="B4823" s="1733"/>
      <c r="C4823" s="1733"/>
      <c r="D4823" s="1733"/>
      <c r="E4823" s="1733"/>
      <c r="F4823" s="1733"/>
      <c r="G4823" s="1733"/>
      <c r="H4823" s="1733"/>
      <c r="I4823" s="1733"/>
      <c r="J4823" s="1733"/>
    </row>
    <row r="4824" spans="1:10" ht="15.75" customHeight="1">
      <c r="A4824" s="1733"/>
      <c r="B4824" s="1733"/>
      <c r="C4824" s="1733"/>
      <c r="D4824" s="1733"/>
      <c r="E4824" s="1733"/>
      <c r="F4824" s="1733"/>
      <c r="G4824" s="1733"/>
      <c r="H4824" s="1733"/>
      <c r="I4824" s="1733"/>
      <c r="J4824" s="1733"/>
    </row>
    <row r="4825" spans="1:10" ht="15.75" customHeight="1">
      <c r="A4825" s="1733"/>
      <c r="B4825" s="1733"/>
      <c r="C4825" s="1733"/>
      <c r="D4825" s="1733"/>
      <c r="E4825" s="1733"/>
      <c r="F4825" s="1733"/>
      <c r="G4825" s="1733"/>
      <c r="H4825" s="1733"/>
      <c r="I4825" s="1733"/>
      <c r="J4825" s="1733"/>
    </row>
    <row r="4826" spans="1:10" ht="15.75" customHeight="1">
      <c r="A4826" s="1733"/>
      <c r="B4826" s="1733"/>
      <c r="C4826" s="1733"/>
      <c r="D4826" s="1733"/>
      <c r="E4826" s="1733"/>
      <c r="F4826" s="1733"/>
      <c r="G4826" s="1733"/>
      <c r="H4826" s="1733"/>
      <c r="I4826" s="1733"/>
      <c r="J4826" s="1733"/>
    </row>
    <row r="4827" spans="1:10" ht="15.75" customHeight="1">
      <c r="A4827" s="1733"/>
      <c r="B4827" s="1733"/>
      <c r="C4827" s="1733"/>
      <c r="D4827" s="1733"/>
      <c r="E4827" s="1733"/>
      <c r="F4827" s="1733"/>
      <c r="G4827" s="1733"/>
      <c r="H4827" s="1733"/>
      <c r="I4827" s="1733"/>
      <c r="J4827" s="1733"/>
    </row>
    <row r="4828" spans="1:10" ht="15.75" customHeight="1">
      <c r="A4828" s="1733"/>
      <c r="B4828" s="1733"/>
      <c r="C4828" s="1733"/>
      <c r="D4828" s="1733"/>
      <c r="E4828" s="1733"/>
      <c r="F4828" s="1733"/>
      <c r="G4828" s="1733"/>
      <c r="H4828" s="1733"/>
      <c r="I4828" s="1733"/>
      <c r="J4828" s="1733"/>
    </row>
    <row r="4829" spans="1:10" ht="15.75" customHeight="1">
      <c r="A4829" s="1733"/>
      <c r="B4829" s="1733"/>
      <c r="C4829" s="1733"/>
      <c r="D4829" s="1733"/>
      <c r="E4829" s="1733"/>
      <c r="F4829" s="1733"/>
      <c r="G4829" s="1733"/>
      <c r="H4829" s="1733"/>
      <c r="I4829" s="1733"/>
      <c r="J4829" s="1733"/>
    </row>
    <row r="4830" spans="1:10" ht="15.75" customHeight="1">
      <c r="A4830" s="1733"/>
      <c r="B4830" s="1733"/>
      <c r="C4830" s="1733"/>
      <c r="D4830" s="1733"/>
      <c r="E4830" s="1733"/>
      <c r="F4830" s="1733"/>
      <c r="G4830" s="1733"/>
      <c r="H4830" s="1733"/>
      <c r="I4830" s="1733"/>
      <c r="J4830" s="1733"/>
    </row>
    <row r="4831" spans="1:10" ht="15.75" customHeight="1">
      <c r="A4831" s="1733"/>
      <c r="B4831" s="1733"/>
      <c r="C4831" s="1733"/>
      <c r="D4831" s="1733"/>
      <c r="E4831" s="1733"/>
      <c r="F4831" s="1733"/>
      <c r="G4831" s="1733"/>
      <c r="H4831" s="1733"/>
      <c r="I4831" s="1733"/>
      <c r="J4831" s="1733"/>
    </row>
    <row r="4832" spans="1:10" ht="15.75" customHeight="1">
      <c r="A4832" s="1733"/>
      <c r="B4832" s="1733"/>
      <c r="C4832" s="1733"/>
      <c r="D4832" s="1733"/>
      <c r="E4832" s="1733"/>
      <c r="F4832" s="1733"/>
      <c r="G4832" s="1733"/>
      <c r="H4832" s="1733"/>
      <c r="I4832" s="1733"/>
      <c r="J4832" s="1733"/>
    </row>
    <row r="4833" spans="1:10" ht="15.75" customHeight="1">
      <c r="A4833" s="1733"/>
      <c r="B4833" s="1733"/>
      <c r="C4833" s="1733"/>
      <c r="D4833" s="1733"/>
      <c r="E4833" s="1733"/>
      <c r="F4833" s="1733"/>
      <c r="G4833" s="1733"/>
      <c r="H4833" s="1733"/>
      <c r="I4833" s="1733"/>
      <c r="J4833" s="1733"/>
    </row>
    <row r="4834" spans="1:10" ht="15.75" customHeight="1">
      <c r="A4834" s="1733"/>
      <c r="B4834" s="1733"/>
      <c r="C4834" s="1733"/>
      <c r="D4834" s="1733"/>
      <c r="E4834" s="1733"/>
      <c r="F4834" s="1733"/>
      <c r="G4834" s="1733"/>
      <c r="H4834" s="1733"/>
      <c r="I4834" s="1733"/>
      <c r="J4834" s="1733"/>
    </row>
    <row r="4835" spans="1:10" ht="15.75" customHeight="1">
      <c r="A4835" s="1733"/>
      <c r="B4835" s="1733"/>
      <c r="C4835" s="1733"/>
      <c r="D4835" s="1733"/>
      <c r="E4835" s="1733"/>
      <c r="F4835" s="1733"/>
      <c r="G4835" s="1733"/>
      <c r="H4835" s="1733"/>
      <c r="I4835" s="1733"/>
      <c r="J4835" s="1733"/>
    </row>
    <row r="4836" spans="1:10" ht="15.75" customHeight="1">
      <c r="A4836" s="1733"/>
      <c r="B4836" s="1733"/>
      <c r="C4836" s="1733"/>
      <c r="D4836" s="1733"/>
      <c r="E4836" s="1733"/>
      <c r="F4836" s="1733"/>
      <c r="G4836" s="1733"/>
      <c r="H4836" s="1733"/>
      <c r="I4836" s="1733"/>
      <c r="J4836" s="1733"/>
    </row>
    <row r="4837" spans="1:10" ht="15.75" customHeight="1">
      <c r="A4837" s="1733"/>
      <c r="B4837" s="1733"/>
      <c r="C4837" s="1733"/>
      <c r="D4837" s="1733"/>
      <c r="E4837" s="1733"/>
      <c r="F4837" s="1733"/>
      <c r="G4837" s="1733"/>
      <c r="H4837" s="1733"/>
      <c r="I4837" s="1733"/>
      <c r="J4837" s="1733"/>
    </row>
    <row r="4838" spans="1:10" ht="15.75" customHeight="1">
      <c r="A4838" s="1733"/>
      <c r="B4838" s="1733"/>
      <c r="C4838" s="1733"/>
      <c r="D4838" s="1733"/>
      <c r="E4838" s="1733"/>
      <c r="F4838" s="1733"/>
      <c r="G4838" s="1733"/>
      <c r="H4838" s="1733"/>
      <c r="I4838" s="1733"/>
      <c r="J4838" s="1733"/>
    </row>
    <row r="4839" spans="1:10" ht="15.75" customHeight="1">
      <c r="A4839" s="1733"/>
      <c r="B4839" s="1733"/>
      <c r="C4839" s="1733"/>
      <c r="D4839" s="1733"/>
      <c r="E4839" s="1733"/>
      <c r="F4839" s="1733"/>
      <c r="G4839" s="1733"/>
      <c r="H4839" s="1733"/>
      <c r="I4839" s="1733"/>
      <c r="J4839" s="1733"/>
    </row>
    <row r="4840" spans="1:10" ht="15.75" customHeight="1">
      <c r="A4840" s="1733"/>
      <c r="B4840" s="1733"/>
      <c r="C4840" s="1733"/>
      <c r="D4840" s="1733"/>
      <c r="E4840" s="1733"/>
      <c r="F4840" s="1733"/>
      <c r="G4840" s="1733"/>
      <c r="H4840" s="1733"/>
      <c r="I4840" s="1733"/>
      <c r="J4840" s="1733"/>
    </row>
    <row r="4841" spans="1:10" ht="15.75" customHeight="1">
      <c r="A4841" s="1733"/>
      <c r="B4841" s="1733"/>
      <c r="C4841" s="1733"/>
      <c r="D4841" s="1733"/>
      <c r="E4841" s="1733"/>
      <c r="F4841" s="1733"/>
      <c r="G4841" s="1733"/>
      <c r="H4841" s="1733"/>
      <c r="I4841" s="1733"/>
      <c r="J4841" s="1733"/>
    </row>
    <row r="4842" spans="1:10" ht="15.75" customHeight="1">
      <c r="A4842" s="1733"/>
      <c r="B4842" s="1733"/>
      <c r="C4842" s="1733"/>
      <c r="D4842" s="1733"/>
      <c r="E4842" s="1733"/>
      <c r="F4842" s="1733"/>
      <c r="G4842" s="1733"/>
      <c r="H4842" s="1733"/>
      <c r="I4842" s="1733"/>
      <c r="J4842" s="1733"/>
    </row>
    <row r="4843" spans="1:10" ht="15.75" customHeight="1">
      <c r="A4843" s="1733"/>
      <c r="B4843" s="1733"/>
      <c r="C4843" s="1733"/>
      <c r="D4843" s="1733"/>
      <c r="E4843" s="1733"/>
      <c r="F4843" s="1733"/>
      <c r="G4843" s="1733"/>
      <c r="H4843" s="1733"/>
      <c r="I4843" s="1733"/>
      <c r="J4843" s="1733"/>
    </row>
    <row r="4844" spans="1:10" ht="15.75" customHeight="1">
      <c r="A4844" s="1733"/>
      <c r="B4844" s="1733"/>
      <c r="C4844" s="1733"/>
      <c r="D4844" s="1733"/>
      <c r="E4844" s="1733"/>
      <c r="F4844" s="1733"/>
      <c r="G4844" s="1733"/>
      <c r="H4844" s="1733"/>
      <c r="I4844" s="1733"/>
      <c r="J4844" s="1733"/>
    </row>
    <row r="4845" spans="1:10" ht="15.75" customHeight="1">
      <c r="A4845" s="1733"/>
      <c r="B4845" s="1733"/>
      <c r="C4845" s="1733"/>
      <c r="D4845" s="1733"/>
      <c r="E4845" s="1733"/>
      <c r="F4845" s="1733"/>
      <c r="G4845" s="1733"/>
      <c r="H4845" s="1733"/>
      <c r="I4845" s="1733"/>
      <c r="J4845" s="1733"/>
    </row>
    <row r="4846" spans="1:10" ht="15.75" customHeight="1">
      <c r="A4846" s="1733"/>
      <c r="B4846" s="1733"/>
      <c r="C4846" s="1733"/>
      <c r="D4846" s="1733"/>
      <c r="E4846" s="1733"/>
      <c r="F4846" s="1733"/>
      <c r="G4846" s="1733"/>
      <c r="H4846" s="1733"/>
      <c r="I4846" s="1733"/>
      <c r="J4846" s="1733"/>
    </row>
    <row r="4847" spans="1:10" ht="15.75" customHeight="1">
      <c r="A4847" s="1733"/>
      <c r="B4847" s="1733"/>
      <c r="C4847" s="1733"/>
      <c r="D4847" s="1733"/>
      <c r="E4847" s="1733"/>
      <c r="F4847" s="1733"/>
      <c r="G4847" s="1733"/>
      <c r="H4847" s="1733"/>
      <c r="I4847" s="1733"/>
      <c r="J4847" s="1733"/>
    </row>
    <row r="4848" spans="1:10" ht="15.75" customHeight="1">
      <c r="A4848" s="1733"/>
      <c r="B4848" s="1733"/>
      <c r="C4848" s="1733"/>
      <c r="D4848" s="1733"/>
      <c r="E4848" s="1733"/>
      <c r="F4848" s="1733"/>
      <c r="G4848" s="1733"/>
      <c r="H4848" s="1733"/>
      <c r="I4848" s="1733"/>
      <c r="J4848" s="1733"/>
    </row>
    <row r="4849" spans="1:10" ht="15.75" customHeight="1">
      <c r="A4849" s="1733"/>
      <c r="B4849" s="1733"/>
      <c r="C4849" s="1733"/>
      <c r="D4849" s="1733"/>
      <c r="E4849" s="1733"/>
      <c r="F4849" s="1733"/>
      <c r="G4849" s="1733"/>
      <c r="H4849" s="1733"/>
      <c r="I4849" s="1733"/>
      <c r="J4849" s="1733"/>
    </row>
    <row r="4850" spans="1:10" ht="15.75" customHeight="1">
      <c r="A4850" s="1733"/>
      <c r="B4850" s="1733"/>
      <c r="C4850" s="1733"/>
      <c r="D4850" s="1733"/>
      <c r="E4850" s="1733"/>
      <c r="F4850" s="1733"/>
      <c r="G4850" s="1733"/>
      <c r="H4850" s="1733"/>
      <c r="I4850" s="1733"/>
      <c r="J4850" s="1733"/>
    </row>
    <row r="4851" spans="1:10" ht="15.75" customHeight="1">
      <c r="A4851" s="1733"/>
      <c r="B4851" s="1733"/>
      <c r="C4851" s="1733"/>
      <c r="D4851" s="1733"/>
      <c r="E4851" s="1733"/>
      <c r="F4851" s="1733"/>
      <c r="G4851" s="1733"/>
      <c r="H4851" s="1733"/>
      <c r="I4851" s="1733"/>
      <c r="J4851" s="1733"/>
    </row>
    <row r="4852" spans="1:10" ht="15.75" customHeight="1">
      <c r="A4852" s="1733"/>
      <c r="B4852" s="1733"/>
      <c r="C4852" s="1733"/>
      <c r="D4852" s="1733"/>
      <c r="E4852" s="1733"/>
      <c r="F4852" s="1733"/>
      <c r="G4852" s="1733"/>
      <c r="H4852" s="1733"/>
      <c r="I4852" s="1733"/>
      <c r="J4852" s="1733"/>
    </row>
    <row r="4853" spans="1:10" ht="15.75" customHeight="1">
      <c r="A4853" s="1733"/>
      <c r="B4853" s="1733"/>
      <c r="C4853" s="1733"/>
      <c r="D4853" s="1733"/>
      <c r="E4853" s="1733"/>
      <c r="F4853" s="1733"/>
      <c r="G4853" s="1733"/>
      <c r="H4853" s="1733"/>
      <c r="I4853" s="1733"/>
      <c r="J4853" s="1733"/>
    </row>
    <row r="4854" spans="1:10" ht="15.75" customHeight="1">
      <c r="A4854" s="1733"/>
      <c r="B4854" s="1733"/>
      <c r="C4854" s="1733"/>
      <c r="D4854" s="1733"/>
      <c r="E4854" s="1733"/>
      <c r="F4854" s="1733"/>
      <c r="G4854" s="1733"/>
      <c r="H4854" s="1733"/>
      <c r="I4854" s="1733"/>
      <c r="J4854" s="1733"/>
    </row>
    <row r="4855" spans="1:10" ht="15.75" customHeight="1">
      <c r="A4855" s="1733"/>
      <c r="B4855" s="1733"/>
      <c r="C4855" s="1733"/>
      <c r="D4855" s="1733"/>
      <c r="E4855" s="1733"/>
      <c r="F4855" s="1733"/>
      <c r="G4855" s="1733"/>
      <c r="H4855" s="1733"/>
      <c r="I4855" s="1733"/>
      <c r="J4855" s="1733"/>
    </row>
    <row r="4856" spans="1:10" ht="15.75" customHeight="1">
      <c r="A4856" s="1733"/>
      <c r="B4856" s="1733"/>
      <c r="C4856" s="1733"/>
      <c r="D4856" s="1733"/>
      <c r="E4856" s="1733"/>
      <c r="F4856" s="1733"/>
      <c r="G4856" s="1733"/>
      <c r="H4856" s="1733"/>
      <c r="I4856" s="1733"/>
      <c r="J4856" s="1733"/>
    </row>
    <row r="4857" spans="1:10" ht="15.75" customHeight="1">
      <c r="A4857" s="1733"/>
      <c r="B4857" s="1733"/>
      <c r="C4857" s="1733"/>
      <c r="D4857" s="1733"/>
      <c r="E4857" s="1733"/>
      <c r="F4857" s="1733"/>
      <c r="G4857" s="1733"/>
      <c r="H4857" s="1733"/>
      <c r="I4857" s="1733"/>
      <c r="J4857" s="1733"/>
    </row>
    <row r="4858" spans="1:10" ht="15.75" customHeight="1">
      <c r="A4858" s="1733"/>
      <c r="B4858" s="1733"/>
      <c r="C4858" s="1733"/>
      <c r="D4858" s="1733"/>
      <c r="E4858" s="1733"/>
      <c r="F4858" s="1733"/>
      <c r="G4858" s="1733"/>
      <c r="H4858" s="1733"/>
      <c r="I4858" s="1733"/>
      <c r="J4858" s="1733"/>
    </row>
    <row r="4859" spans="1:10" ht="15.75" customHeight="1">
      <c r="A4859" s="1733"/>
      <c r="B4859" s="1733"/>
      <c r="C4859" s="1733"/>
      <c r="D4859" s="1733"/>
      <c r="E4859" s="1733"/>
      <c r="F4859" s="1733"/>
      <c r="G4859" s="1733"/>
      <c r="H4859" s="1733"/>
      <c r="I4859" s="1733"/>
      <c r="J4859" s="1733"/>
    </row>
    <row r="4860" spans="1:10" ht="15.75" customHeight="1">
      <c r="A4860" s="1733"/>
      <c r="B4860" s="1733"/>
      <c r="C4860" s="1733"/>
      <c r="D4860" s="1733"/>
      <c r="E4860" s="1733"/>
      <c r="F4860" s="1733"/>
      <c r="G4860" s="1733"/>
      <c r="H4860" s="1733"/>
      <c r="I4860" s="1733"/>
      <c r="J4860" s="1733"/>
    </row>
    <row r="4861" spans="1:10" ht="15.75" customHeight="1">
      <c r="A4861" s="1733"/>
      <c r="B4861" s="1733"/>
      <c r="C4861" s="1733"/>
      <c r="D4861" s="1733"/>
      <c r="E4861" s="1733"/>
      <c r="F4861" s="1733"/>
      <c r="G4861" s="1733"/>
      <c r="H4861" s="1733"/>
      <c r="I4861" s="1733"/>
      <c r="J4861" s="1733"/>
    </row>
    <row r="4862" spans="1:10" ht="15.75" customHeight="1">
      <c r="A4862" s="1733"/>
      <c r="B4862" s="1733"/>
      <c r="C4862" s="1733"/>
      <c r="D4862" s="1733"/>
      <c r="E4862" s="1733"/>
      <c r="F4862" s="1733"/>
      <c r="G4862" s="1733"/>
      <c r="H4862" s="1733"/>
      <c r="I4862" s="1733"/>
      <c r="J4862" s="1733"/>
    </row>
    <row r="4863" spans="1:10" ht="15.75" customHeight="1">
      <c r="A4863" s="1733"/>
      <c r="B4863" s="1733"/>
      <c r="C4863" s="1733"/>
      <c r="D4863" s="1733"/>
      <c r="E4863" s="1733"/>
      <c r="F4863" s="1733"/>
      <c r="G4863" s="1733"/>
      <c r="H4863" s="1733"/>
      <c r="I4863" s="1733"/>
      <c r="J4863" s="1733"/>
    </row>
    <row r="4864" spans="1:10" ht="15.75" customHeight="1">
      <c r="A4864" s="1733"/>
      <c r="B4864" s="1733"/>
      <c r="C4864" s="1733"/>
      <c r="D4864" s="1733"/>
      <c r="E4864" s="1733"/>
      <c r="F4864" s="1733"/>
      <c r="G4864" s="1733"/>
      <c r="H4864" s="1733"/>
      <c r="I4864" s="1733"/>
      <c r="J4864" s="1733"/>
    </row>
    <row r="4865" spans="1:10" ht="15.75" customHeight="1">
      <c r="A4865" s="1733"/>
      <c r="B4865" s="1733"/>
      <c r="C4865" s="1733"/>
      <c r="D4865" s="1733"/>
      <c r="E4865" s="1733"/>
      <c r="F4865" s="1733"/>
      <c r="G4865" s="1733"/>
      <c r="H4865" s="1733"/>
      <c r="I4865" s="1733"/>
      <c r="J4865" s="1733"/>
    </row>
    <row r="4866" spans="1:10" ht="15.75" customHeight="1">
      <c r="A4866" s="1733"/>
      <c r="B4866" s="1733"/>
      <c r="C4866" s="1733"/>
      <c r="D4866" s="1733"/>
      <c r="E4866" s="1733"/>
      <c r="F4866" s="1733"/>
      <c r="G4866" s="1733"/>
      <c r="H4866" s="1733"/>
      <c r="I4866" s="1733"/>
      <c r="J4866" s="1733"/>
    </row>
    <row r="4867" spans="1:10" ht="15.75" customHeight="1">
      <c r="A4867" s="1733"/>
      <c r="B4867" s="1733"/>
      <c r="C4867" s="1733"/>
      <c r="D4867" s="1733"/>
      <c r="E4867" s="1733"/>
      <c r="F4867" s="1733"/>
      <c r="G4867" s="1733"/>
      <c r="H4867" s="1733"/>
      <c r="I4867" s="1733"/>
      <c r="J4867" s="1733"/>
    </row>
    <row r="4868" spans="1:10" ht="15.75" customHeight="1">
      <c r="A4868" s="1733"/>
      <c r="B4868" s="1733"/>
      <c r="C4868" s="1733"/>
      <c r="D4868" s="1733"/>
      <c r="E4868" s="1733"/>
      <c r="F4868" s="1733"/>
      <c r="G4868" s="1733"/>
      <c r="H4868" s="1733"/>
      <c r="I4868" s="1733"/>
      <c r="J4868" s="1733"/>
    </row>
    <row r="4869" spans="1:10" ht="15.75" customHeight="1">
      <c r="A4869" s="1733"/>
      <c r="B4869" s="1733"/>
      <c r="C4869" s="1733"/>
      <c r="D4869" s="1733"/>
      <c r="E4869" s="1733"/>
      <c r="F4869" s="1733"/>
      <c r="G4869" s="1733"/>
      <c r="H4869" s="1733"/>
      <c r="I4869" s="1733"/>
      <c r="J4869" s="1733"/>
    </row>
    <row r="4870" spans="1:10" ht="15.75" customHeight="1">
      <c r="A4870" s="1733"/>
      <c r="B4870" s="1733"/>
      <c r="C4870" s="1733"/>
      <c r="D4870" s="1733"/>
      <c r="E4870" s="1733"/>
      <c r="F4870" s="1733"/>
      <c r="G4870" s="1733"/>
      <c r="H4870" s="1733"/>
      <c r="I4870" s="1733"/>
      <c r="J4870" s="1733"/>
    </row>
    <row r="4871" spans="1:10" ht="15.75" customHeight="1">
      <c r="A4871" s="1733"/>
      <c r="B4871" s="1733"/>
      <c r="C4871" s="1733"/>
      <c r="D4871" s="1733"/>
      <c r="E4871" s="1733"/>
      <c r="F4871" s="1733"/>
      <c r="G4871" s="1733"/>
      <c r="H4871" s="1733"/>
      <c r="I4871" s="1733"/>
      <c r="J4871" s="1733"/>
    </row>
    <row r="4872" spans="1:10" ht="15.75" customHeight="1">
      <c r="A4872" s="1733"/>
      <c r="B4872" s="1733"/>
      <c r="C4872" s="1733"/>
      <c r="D4872" s="1733"/>
      <c r="E4872" s="1733"/>
      <c r="F4872" s="1733"/>
      <c r="G4872" s="1733"/>
      <c r="H4872" s="1733"/>
      <c r="I4872" s="1733"/>
      <c r="J4872" s="1733"/>
    </row>
    <row r="4873" spans="1:10" ht="15.75" customHeight="1">
      <c r="A4873" s="1733"/>
      <c r="B4873" s="1733"/>
      <c r="C4873" s="1733"/>
      <c r="D4873" s="1733"/>
      <c r="E4873" s="1733"/>
      <c r="F4873" s="1733"/>
      <c r="G4873" s="1733"/>
      <c r="H4873" s="1733"/>
      <c r="I4873" s="1733"/>
      <c r="J4873" s="1733"/>
    </row>
    <row r="4874" spans="1:10" ht="15.75" customHeight="1">
      <c r="A4874" s="1733"/>
      <c r="B4874" s="1733"/>
      <c r="C4874" s="1733"/>
      <c r="D4874" s="1733"/>
      <c r="E4874" s="1733"/>
      <c r="F4874" s="1733"/>
      <c r="G4874" s="1733"/>
      <c r="H4874" s="1733"/>
      <c r="I4874" s="1733"/>
      <c r="J4874" s="1733"/>
    </row>
    <row r="4875" spans="1:10" ht="15.75" customHeight="1">
      <c r="A4875" s="1733"/>
      <c r="B4875" s="1733"/>
      <c r="C4875" s="1733"/>
      <c r="D4875" s="1733"/>
      <c r="E4875" s="1733"/>
      <c r="F4875" s="1733"/>
      <c r="G4875" s="1733"/>
      <c r="H4875" s="1733"/>
      <c r="I4875" s="1733"/>
      <c r="J4875" s="1733"/>
    </row>
    <row r="4876" spans="1:10" ht="15.75" customHeight="1">
      <c r="A4876" s="1733"/>
      <c r="B4876" s="1733"/>
      <c r="C4876" s="1733"/>
      <c r="D4876" s="1733"/>
      <c r="E4876" s="1733"/>
      <c r="F4876" s="1733"/>
      <c r="G4876" s="1733"/>
      <c r="H4876" s="1733"/>
      <c r="I4876" s="1733"/>
      <c r="J4876" s="1733"/>
    </row>
    <row r="4877" spans="1:10" ht="15.75" customHeight="1">
      <c r="A4877" s="1733"/>
      <c r="B4877" s="1733"/>
      <c r="C4877" s="1733"/>
      <c r="D4877" s="1733"/>
      <c r="E4877" s="1733"/>
      <c r="F4877" s="1733"/>
      <c r="G4877" s="1733"/>
      <c r="H4877" s="1733"/>
      <c r="I4877" s="1733"/>
      <c r="J4877" s="1733"/>
    </row>
    <row r="4878" spans="1:10" ht="15.75" customHeight="1">
      <c r="A4878" s="1733"/>
      <c r="B4878" s="1733"/>
      <c r="C4878" s="1733"/>
      <c r="D4878" s="1733"/>
      <c r="E4878" s="1733"/>
      <c r="F4878" s="1733"/>
      <c r="G4878" s="1733"/>
      <c r="H4878" s="1733"/>
      <c r="I4878" s="1733"/>
      <c r="J4878" s="1733"/>
    </row>
    <row r="4879" spans="1:10" ht="15.75" customHeight="1">
      <c r="A4879" s="1733"/>
      <c r="B4879" s="1733"/>
      <c r="C4879" s="1733"/>
      <c r="D4879" s="1733"/>
      <c r="E4879" s="1733"/>
      <c r="F4879" s="1733"/>
      <c r="G4879" s="1733"/>
      <c r="H4879" s="1733"/>
      <c r="I4879" s="1733"/>
      <c r="J4879" s="1733"/>
    </row>
    <row r="4880" spans="1:10" ht="15.75" customHeight="1">
      <c r="A4880" s="1733"/>
      <c r="B4880" s="1733"/>
      <c r="C4880" s="1733"/>
      <c r="D4880" s="1733"/>
      <c r="E4880" s="1733"/>
      <c r="F4880" s="1733"/>
      <c r="G4880" s="1733"/>
      <c r="H4880" s="1733"/>
      <c r="I4880" s="1733"/>
      <c r="J4880" s="1733"/>
    </row>
    <row r="4881" spans="1:10" ht="15.75" customHeight="1">
      <c r="A4881" s="1733"/>
      <c r="B4881" s="1733"/>
      <c r="C4881" s="1733"/>
      <c r="D4881" s="1733"/>
      <c r="E4881" s="1733"/>
      <c r="F4881" s="1733"/>
      <c r="G4881" s="1733"/>
      <c r="H4881" s="1733"/>
      <c r="I4881" s="1733"/>
      <c r="J4881" s="1733"/>
    </row>
    <row r="4882" spans="1:10" ht="15.75" customHeight="1">
      <c r="A4882" s="1733"/>
      <c r="B4882" s="1733"/>
      <c r="C4882" s="1733"/>
      <c r="D4882" s="1733"/>
      <c r="E4882" s="1733"/>
      <c r="F4882" s="1733"/>
      <c r="G4882" s="1733"/>
      <c r="H4882" s="1733"/>
      <c r="I4882" s="1733"/>
      <c r="J4882" s="1733"/>
    </row>
    <row r="4883" spans="1:10" ht="15.75" customHeight="1">
      <c r="A4883" s="1733"/>
      <c r="B4883" s="1733"/>
      <c r="C4883" s="1733"/>
      <c r="D4883" s="1733"/>
      <c r="E4883" s="1733"/>
      <c r="F4883" s="1733"/>
      <c r="G4883" s="1733"/>
      <c r="H4883" s="1733"/>
      <c r="I4883" s="1733"/>
      <c r="J4883" s="1733"/>
    </row>
    <row r="4884" spans="1:10" ht="15.75" customHeight="1">
      <c r="A4884" s="1733"/>
      <c r="B4884" s="1733"/>
      <c r="C4884" s="1733"/>
      <c r="D4884" s="1733"/>
      <c r="E4884" s="1733"/>
      <c r="F4884" s="1733"/>
      <c r="G4884" s="1733"/>
      <c r="H4884" s="1733"/>
      <c r="I4884" s="1733"/>
      <c r="J4884" s="1733"/>
    </row>
    <row r="4885" spans="1:10" ht="15.75" customHeight="1">
      <c r="A4885" s="1733"/>
      <c r="B4885" s="1733"/>
      <c r="C4885" s="1733"/>
      <c r="D4885" s="1733"/>
      <c r="E4885" s="1733"/>
      <c r="F4885" s="1733"/>
      <c r="G4885" s="1733"/>
      <c r="H4885" s="1733"/>
      <c r="I4885" s="1733"/>
      <c r="J4885" s="1733"/>
    </row>
    <row r="4886" spans="1:10" ht="15.75" customHeight="1">
      <c r="A4886" s="1733"/>
      <c r="B4886" s="1733"/>
      <c r="C4886" s="1733"/>
      <c r="D4886" s="1733"/>
      <c r="E4886" s="1733"/>
      <c r="F4886" s="1733"/>
      <c r="G4886" s="1733"/>
      <c r="H4886" s="1733"/>
      <c r="I4886" s="1733"/>
      <c r="J4886" s="1733"/>
    </row>
    <row r="4887" spans="1:10" ht="15.75" customHeight="1">
      <c r="A4887" s="1733"/>
      <c r="B4887" s="1733"/>
      <c r="C4887" s="1733"/>
      <c r="D4887" s="1733"/>
      <c r="E4887" s="1733"/>
      <c r="F4887" s="1733"/>
      <c r="G4887" s="1733"/>
      <c r="H4887" s="1733"/>
      <c r="I4887" s="1733"/>
      <c r="J4887" s="1733"/>
    </row>
    <row r="4888" spans="1:10" ht="15.75" customHeight="1">
      <c r="A4888" s="1733"/>
      <c r="B4888" s="1733"/>
      <c r="C4888" s="1733"/>
      <c r="D4888" s="1733"/>
      <c r="E4888" s="1733"/>
      <c r="F4888" s="1733"/>
      <c r="G4888" s="1733"/>
      <c r="H4888" s="1733"/>
      <c r="I4888" s="1733"/>
      <c r="J4888" s="1733"/>
    </row>
    <row r="4889" spans="1:10" ht="15.75" customHeight="1">
      <c r="A4889" s="1733"/>
      <c r="B4889" s="1733"/>
      <c r="C4889" s="1733"/>
      <c r="D4889" s="1733"/>
      <c r="E4889" s="1733"/>
      <c r="F4889" s="1733"/>
      <c r="G4889" s="1733"/>
      <c r="H4889" s="1733"/>
      <c r="I4889" s="1733"/>
      <c r="J4889" s="1733"/>
    </row>
    <row r="4890" spans="1:10" ht="15.75" customHeight="1">
      <c r="A4890" s="1733"/>
      <c r="B4890" s="1733"/>
      <c r="C4890" s="1733"/>
      <c r="D4890" s="1733"/>
      <c r="E4890" s="1733"/>
      <c r="F4890" s="1733"/>
      <c r="G4890" s="1733"/>
      <c r="H4890" s="1733"/>
      <c r="I4890" s="1733"/>
      <c r="J4890" s="1733"/>
    </row>
    <row r="4891" spans="1:10" ht="15.75" customHeight="1">
      <c r="A4891" s="1733"/>
      <c r="B4891" s="1733"/>
      <c r="C4891" s="1733"/>
      <c r="D4891" s="1733"/>
      <c r="E4891" s="1733"/>
      <c r="F4891" s="1733"/>
      <c r="G4891" s="1733"/>
      <c r="H4891" s="1733"/>
      <c r="I4891" s="1733"/>
      <c r="J4891" s="1733"/>
    </row>
    <row r="4892" spans="1:10" ht="15.75" customHeight="1">
      <c r="A4892" s="1733"/>
      <c r="B4892" s="1733"/>
      <c r="C4892" s="1733"/>
      <c r="D4892" s="1733"/>
      <c r="E4892" s="1733"/>
      <c r="F4892" s="1733"/>
      <c r="G4892" s="1733"/>
      <c r="H4892" s="1733"/>
      <c r="I4892" s="1733"/>
      <c r="J4892" s="1733"/>
    </row>
    <row r="4893" spans="1:10" ht="15.75" customHeight="1">
      <c r="A4893" s="1733"/>
      <c r="B4893" s="1733"/>
      <c r="C4893" s="1733"/>
      <c r="D4893" s="1733"/>
      <c r="E4893" s="1733"/>
      <c r="F4893" s="1733"/>
      <c r="G4893" s="1733"/>
      <c r="H4893" s="1733"/>
      <c r="I4893" s="1733"/>
      <c r="J4893" s="1733"/>
    </row>
    <row r="4894" spans="1:10" ht="15.75" customHeight="1">
      <c r="A4894" s="1733"/>
      <c r="B4894" s="1733"/>
      <c r="C4894" s="1733"/>
      <c r="D4894" s="1733"/>
      <c r="E4894" s="1733"/>
      <c r="F4894" s="1733"/>
      <c r="G4894" s="1733"/>
      <c r="H4894" s="1733"/>
      <c r="I4894" s="1733"/>
      <c r="J4894" s="1733"/>
    </row>
    <row r="4895" spans="1:10" ht="15.75" customHeight="1">
      <c r="A4895" s="1733"/>
      <c r="B4895" s="1733"/>
      <c r="C4895" s="1733"/>
      <c r="D4895" s="1733"/>
      <c r="E4895" s="1733"/>
      <c r="F4895" s="1733"/>
      <c r="G4895" s="1733"/>
      <c r="H4895" s="1733"/>
      <c r="I4895" s="1733"/>
      <c r="J4895" s="1733"/>
    </row>
    <row r="4896" spans="1:10" ht="15.75" customHeight="1">
      <c r="A4896" s="1733"/>
      <c r="B4896" s="1733"/>
      <c r="C4896" s="1733"/>
      <c r="D4896" s="1733"/>
      <c r="E4896" s="1733"/>
      <c r="F4896" s="1733"/>
      <c r="G4896" s="1733"/>
      <c r="H4896" s="1733"/>
      <c r="I4896" s="1733"/>
      <c r="J4896" s="1733"/>
    </row>
    <row r="4897" spans="1:10" ht="15.75" customHeight="1">
      <c r="A4897" s="1733"/>
      <c r="B4897" s="1733"/>
      <c r="C4897" s="1733"/>
      <c r="D4897" s="1733"/>
      <c r="E4897" s="1733"/>
      <c r="F4897" s="1733"/>
      <c r="G4897" s="1733"/>
      <c r="H4897" s="1733"/>
      <c r="I4897" s="1733"/>
      <c r="J4897" s="1733"/>
    </row>
    <row r="4898" spans="1:10" ht="15.75" customHeight="1">
      <c r="A4898" s="1733"/>
      <c r="B4898" s="1733"/>
      <c r="C4898" s="1733"/>
      <c r="D4898" s="1733"/>
      <c r="E4898" s="1733"/>
      <c r="F4898" s="1733"/>
      <c r="G4898" s="1733"/>
      <c r="H4898" s="1733"/>
      <c r="I4898" s="1733"/>
      <c r="J4898" s="1733"/>
    </row>
    <row r="4899" spans="1:10" ht="15.75" customHeight="1">
      <c r="A4899" s="1733"/>
      <c r="B4899" s="1733"/>
      <c r="C4899" s="1733"/>
      <c r="D4899" s="1733"/>
      <c r="E4899" s="1733"/>
      <c r="F4899" s="1733"/>
      <c r="G4899" s="1733"/>
      <c r="H4899" s="1733"/>
      <c r="I4899" s="1733"/>
      <c r="J4899" s="1733"/>
    </row>
    <row r="4900" spans="1:10" ht="15.75" customHeight="1">
      <c r="A4900" s="1733"/>
      <c r="B4900" s="1733"/>
      <c r="C4900" s="1733"/>
      <c r="D4900" s="1733"/>
      <c r="E4900" s="1733"/>
      <c r="F4900" s="1733"/>
      <c r="G4900" s="1733"/>
      <c r="H4900" s="1733"/>
      <c r="I4900" s="1733"/>
      <c r="J4900" s="1733"/>
    </row>
    <row r="4901" spans="1:10" ht="15.75" customHeight="1">
      <c r="A4901" s="1733"/>
      <c r="B4901" s="1733"/>
      <c r="C4901" s="1733"/>
      <c r="D4901" s="1733"/>
      <c r="E4901" s="1733"/>
      <c r="F4901" s="1733"/>
      <c r="G4901" s="1733"/>
      <c r="H4901" s="1733"/>
      <c r="I4901" s="1733"/>
      <c r="J4901" s="1733"/>
    </row>
    <row r="4902" spans="1:10" ht="15.75" customHeight="1">
      <c r="A4902" s="1733"/>
      <c r="B4902" s="1733"/>
      <c r="C4902" s="1733"/>
      <c r="D4902" s="1733"/>
      <c r="E4902" s="1733"/>
      <c r="F4902" s="1733"/>
      <c r="G4902" s="1733"/>
      <c r="H4902" s="1733"/>
      <c r="I4902" s="1733"/>
      <c r="J4902" s="1733"/>
    </row>
    <row r="4903" spans="1:10" ht="15.75" customHeight="1">
      <c r="A4903" s="1733"/>
      <c r="B4903" s="1733"/>
      <c r="C4903" s="1733"/>
      <c r="D4903" s="1733"/>
      <c r="E4903" s="1733"/>
      <c r="F4903" s="1733"/>
      <c r="G4903" s="1733"/>
      <c r="H4903" s="1733"/>
      <c r="I4903" s="1733"/>
      <c r="J4903" s="1733"/>
    </row>
    <row r="4904" spans="1:10" ht="15.75" customHeight="1">
      <c r="A4904" s="1733"/>
      <c r="B4904" s="1733"/>
      <c r="C4904" s="1733"/>
      <c r="D4904" s="1733"/>
      <c r="E4904" s="1733"/>
      <c r="F4904" s="1733"/>
      <c r="G4904" s="1733"/>
      <c r="H4904" s="1733"/>
      <c r="I4904" s="1733"/>
      <c r="J4904" s="1733"/>
    </row>
    <row r="4905" spans="1:10" ht="15.75" customHeight="1">
      <c r="A4905" s="1733"/>
      <c r="B4905" s="1733"/>
      <c r="C4905" s="1733"/>
      <c r="D4905" s="1733"/>
      <c r="E4905" s="1733"/>
      <c r="F4905" s="1733"/>
      <c r="G4905" s="1733"/>
      <c r="H4905" s="1733"/>
      <c r="I4905" s="1733"/>
      <c r="J4905" s="1733"/>
    </row>
    <row r="4906" spans="1:10" ht="15.75" customHeight="1">
      <c r="A4906" s="1733"/>
      <c r="B4906" s="1733"/>
      <c r="C4906" s="1733"/>
      <c r="D4906" s="1733"/>
      <c r="E4906" s="1733"/>
      <c r="F4906" s="1733"/>
      <c r="G4906" s="1733"/>
      <c r="H4906" s="1733"/>
      <c r="I4906" s="1733"/>
      <c r="J4906" s="1733"/>
    </row>
    <row r="4907" spans="1:10" ht="15.75" customHeight="1">
      <c r="A4907" s="1733"/>
      <c r="B4907" s="1733"/>
      <c r="C4907" s="1733"/>
      <c r="D4907" s="1733"/>
      <c r="E4907" s="1733"/>
      <c r="F4907" s="1733"/>
      <c r="G4907" s="1733"/>
      <c r="H4907" s="1733"/>
      <c r="I4907" s="1733"/>
      <c r="J4907" s="1733"/>
    </row>
    <row r="4908" spans="1:10" ht="15.75" customHeight="1">
      <c r="A4908" s="1733"/>
      <c r="B4908" s="1733"/>
      <c r="C4908" s="1733"/>
      <c r="D4908" s="1733"/>
      <c r="E4908" s="1733"/>
      <c r="F4908" s="1733"/>
      <c r="G4908" s="1733"/>
      <c r="H4908" s="1733"/>
      <c r="I4908" s="1733"/>
      <c r="J4908" s="1733"/>
    </row>
    <row r="4909" spans="1:10" ht="15.75" customHeight="1">
      <c r="A4909" s="1733"/>
      <c r="B4909" s="1733"/>
      <c r="C4909" s="1733"/>
      <c r="D4909" s="1733"/>
      <c r="E4909" s="1733"/>
      <c r="F4909" s="1733"/>
      <c r="G4909" s="1733"/>
      <c r="H4909" s="1733"/>
      <c r="I4909" s="1733"/>
      <c r="J4909" s="1733"/>
    </row>
    <row r="4910" spans="1:10" ht="15.75" customHeight="1">
      <c r="A4910" s="1733"/>
      <c r="B4910" s="1733"/>
      <c r="C4910" s="1733"/>
      <c r="D4910" s="1733"/>
      <c r="E4910" s="1733"/>
      <c r="F4910" s="1733"/>
      <c r="G4910" s="1733"/>
      <c r="H4910" s="1733"/>
      <c r="I4910" s="1733"/>
      <c r="J4910" s="1733"/>
    </row>
    <row r="4911" spans="1:10" ht="15.75" customHeight="1">
      <c r="A4911" s="1733"/>
      <c r="B4911" s="1733"/>
      <c r="C4911" s="1733"/>
      <c r="D4911" s="1733"/>
      <c r="E4911" s="1733"/>
      <c r="F4911" s="1733"/>
      <c r="G4911" s="1733"/>
      <c r="H4911" s="1733"/>
      <c r="I4911" s="1733"/>
      <c r="J4911" s="1733"/>
    </row>
    <row r="4912" spans="1:10" ht="15.75" customHeight="1">
      <c r="A4912" s="1733"/>
      <c r="B4912" s="1733"/>
      <c r="C4912" s="1733"/>
      <c r="D4912" s="1733"/>
      <c r="E4912" s="1733"/>
      <c r="F4912" s="1733"/>
      <c r="G4912" s="1733"/>
      <c r="H4912" s="1733"/>
      <c r="I4912" s="1733"/>
      <c r="J4912" s="1733"/>
    </row>
    <row r="4913" spans="1:10" ht="15.75" customHeight="1">
      <c r="A4913" s="1733"/>
      <c r="B4913" s="1733"/>
      <c r="C4913" s="1733"/>
      <c r="D4913" s="1733"/>
      <c r="E4913" s="1733"/>
      <c r="F4913" s="1733"/>
      <c r="G4913" s="1733"/>
      <c r="H4913" s="1733"/>
      <c r="I4913" s="1733"/>
      <c r="J4913" s="1733"/>
    </row>
    <row r="4914" spans="1:10" ht="15.75" customHeight="1">
      <c r="A4914" s="1733"/>
      <c r="B4914" s="1733"/>
      <c r="C4914" s="1733"/>
      <c r="D4914" s="1733"/>
      <c r="E4914" s="1733"/>
      <c r="F4914" s="1733"/>
      <c r="G4914" s="1733"/>
      <c r="H4914" s="1733"/>
      <c r="I4914" s="1733"/>
      <c r="J4914" s="1733"/>
    </row>
    <row r="4915" spans="1:10" ht="15.75" customHeight="1">
      <c r="A4915" s="1733"/>
      <c r="B4915" s="1733"/>
      <c r="C4915" s="1733"/>
      <c r="D4915" s="1733"/>
      <c r="E4915" s="1733"/>
      <c r="F4915" s="1733"/>
      <c r="G4915" s="1733"/>
      <c r="H4915" s="1733"/>
      <c r="I4915" s="1733"/>
      <c r="J4915" s="1733"/>
    </row>
    <row r="4916" spans="1:10" ht="15.75" customHeight="1">
      <c r="A4916" s="1733"/>
      <c r="B4916" s="1733"/>
      <c r="C4916" s="1733"/>
      <c r="D4916" s="1733"/>
      <c r="E4916" s="1733"/>
      <c r="F4916" s="1733"/>
      <c r="G4916" s="1733"/>
      <c r="H4916" s="1733"/>
      <c r="I4916" s="1733"/>
      <c r="J4916" s="1733"/>
    </row>
    <row r="4917" spans="1:10" ht="15.75" customHeight="1">
      <c r="A4917" s="1733"/>
      <c r="B4917" s="1733"/>
      <c r="C4917" s="1733"/>
      <c r="D4917" s="1733"/>
      <c r="E4917" s="1733"/>
      <c r="F4917" s="1733"/>
      <c r="G4917" s="1733"/>
      <c r="H4917" s="1733"/>
      <c r="I4917" s="1733"/>
      <c r="J4917" s="1733"/>
    </row>
    <row r="4918" spans="1:10" ht="15.75" customHeight="1">
      <c r="A4918" s="1733"/>
      <c r="B4918" s="1733"/>
      <c r="C4918" s="1733"/>
      <c r="D4918" s="1733"/>
      <c r="E4918" s="1733"/>
      <c r="F4918" s="1733"/>
      <c r="G4918" s="1733"/>
      <c r="H4918" s="1733"/>
      <c r="I4918" s="1733"/>
      <c r="J4918" s="1733"/>
    </row>
    <row r="4919" spans="1:10" ht="15.75" customHeight="1">
      <c r="A4919" s="1733"/>
      <c r="B4919" s="1733"/>
      <c r="C4919" s="1733"/>
      <c r="D4919" s="1733"/>
      <c r="E4919" s="1733"/>
      <c r="F4919" s="1733"/>
      <c r="G4919" s="1733"/>
      <c r="H4919" s="1733"/>
      <c r="I4919" s="1733"/>
      <c r="J4919" s="1733"/>
    </row>
    <row r="4920" spans="1:10" ht="15.75" customHeight="1">
      <c r="A4920" s="1733"/>
      <c r="B4920" s="1733"/>
      <c r="C4920" s="1733"/>
      <c r="D4920" s="1733"/>
      <c r="E4920" s="1733"/>
      <c r="F4920" s="1733"/>
      <c r="G4920" s="1733"/>
      <c r="H4920" s="1733"/>
      <c r="I4920" s="1733"/>
      <c r="J4920" s="1733"/>
    </row>
    <row r="4921" spans="1:10" ht="15.75" customHeight="1">
      <c r="A4921" s="1733"/>
      <c r="B4921" s="1733"/>
      <c r="C4921" s="1733"/>
      <c r="D4921" s="1733"/>
      <c r="E4921" s="1733"/>
      <c r="F4921" s="1733"/>
      <c r="G4921" s="1733"/>
      <c r="H4921" s="1733"/>
      <c r="I4921" s="1733"/>
      <c r="J4921" s="1733"/>
    </row>
    <row r="4922" spans="1:10" ht="15.75" customHeight="1">
      <c r="A4922" s="1733"/>
      <c r="B4922" s="1733"/>
      <c r="C4922" s="1733"/>
      <c r="D4922" s="1733"/>
      <c r="E4922" s="1733"/>
      <c r="F4922" s="1733"/>
      <c r="G4922" s="1733"/>
      <c r="H4922" s="1733"/>
      <c r="I4922" s="1733"/>
      <c r="J4922" s="1733"/>
    </row>
    <row r="4923" spans="1:10" ht="15.75" customHeight="1">
      <c r="A4923" s="1733"/>
      <c r="B4923" s="1733"/>
      <c r="C4923" s="1733"/>
      <c r="D4923" s="1733"/>
      <c r="E4923" s="1733"/>
      <c r="F4923" s="1733"/>
      <c r="G4923" s="1733"/>
      <c r="H4923" s="1733"/>
      <c r="I4923" s="1733"/>
      <c r="J4923" s="1733"/>
    </row>
    <row r="4924" spans="1:10" ht="15.75" customHeight="1">
      <c r="A4924" s="1733"/>
      <c r="B4924" s="1733"/>
      <c r="C4924" s="1733"/>
      <c r="D4924" s="1733"/>
      <c r="E4924" s="1733"/>
      <c r="F4924" s="1733"/>
      <c r="G4924" s="1733"/>
      <c r="H4924" s="1733"/>
      <c r="I4924" s="1733"/>
      <c r="J4924" s="1733"/>
    </row>
    <row r="4925" spans="1:10" ht="15.75" customHeight="1">
      <c r="A4925" s="1733"/>
      <c r="B4925" s="1733"/>
      <c r="C4925" s="1733"/>
      <c r="D4925" s="1733"/>
      <c r="E4925" s="1733"/>
      <c r="F4925" s="1733"/>
      <c r="G4925" s="1733"/>
      <c r="H4925" s="1733"/>
      <c r="I4925" s="1733"/>
      <c r="J4925" s="1733"/>
    </row>
    <row r="4926" spans="1:10" ht="15.75" customHeight="1">
      <c r="A4926" s="1733"/>
      <c r="B4926" s="1733"/>
      <c r="C4926" s="1733"/>
      <c r="D4926" s="1733"/>
      <c r="E4926" s="1733"/>
      <c r="F4926" s="1733"/>
      <c r="G4926" s="1733"/>
      <c r="H4926" s="1733"/>
      <c r="I4926" s="1733"/>
      <c r="J4926" s="1733"/>
    </row>
    <row r="4927" spans="1:10" ht="15.75" customHeight="1">
      <c r="A4927" s="1733"/>
      <c r="B4927" s="1733"/>
      <c r="C4927" s="1733"/>
      <c r="D4927" s="1733"/>
      <c r="E4927" s="1733"/>
      <c r="F4927" s="1733"/>
      <c r="G4927" s="1733"/>
      <c r="H4927" s="1733"/>
      <c r="I4927" s="1733"/>
      <c r="J4927" s="1733"/>
    </row>
    <row r="4928" spans="1:10" ht="15.75" customHeight="1">
      <c r="A4928" s="1733"/>
      <c r="B4928" s="1733"/>
      <c r="C4928" s="1733"/>
      <c r="D4928" s="1733"/>
      <c r="E4928" s="1733"/>
      <c r="F4928" s="1733"/>
      <c r="G4928" s="1733"/>
      <c r="H4928" s="1733"/>
      <c r="I4928" s="1733"/>
      <c r="J4928" s="1733"/>
    </row>
    <row r="4929" spans="1:10" ht="15.75" customHeight="1">
      <c r="A4929" s="1733"/>
      <c r="B4929" s="1733"/>
      <c r="C4929" s="1733"/>
      <c r="D4929" s="1733"/>
      <c r="E4929" s="1733"/>
      <c r="F4929" s="1733"/>
      <c r="G4929" s="1733"/>
      <c r="H4929" s="1733"/>
      <c r="I4929" s="1733"/>
      <c r="J4929" s="1733"/>
    </row>
    <row r="4930" spans="1:10" ht="15.75" customHeight="1">
      <c r="A4930" s="1733"/>
      <c r="B4930" s="1733"/>
      <c r="C4930" s="1733"/>
      <c r="D4930" s="1733"/>
      <c r="E4930" s="1733"/>
      <c r="F4930" s="1733"/>
      <c r="G4930" s="1733"/>
      <c r="H4930" s="1733"/>
      <c r="I4930" s="1733"/>
      <c r="J4930" s="1733"/>
    </row>
    <row r="4931" spans="1:10" ht="15.75" customHeight="1">
      <c r="A4931" s="1733"/>
      <c r="B4931" s="1733"/>
      <c r="C4931" s="1733"/>
      <c r="D4931" s="1733"/>
      <c r="E4931" s="1733"/>
      <c r="F4931" s="1733"/>
      <c r="G4931" s="1733"/>
      <c r="H4931" s="1733"/>
      <c r="I4931" s="1733"/>
      <c r="J4931" s="1733"/>
    </row>
    <row r="4932" spans="1:10" ht="15.75" customHeight="1">
      <c r="A4932" s="1733"/>
      <c r="B4932" s="1733"/>
      <c r="C4932" s="1733"/>
      <c r="D4932" s="1733"/>
      <c r="E4932" s="1733"/>
      <c r="F4932" s="1733"/>
      <c r="G4932" s="1733"/>
      <c r="H4932" s="1733"/>
      <c r="I4932" s="1733"/>
      <c r="J4932" s="1733"/>
    </row>
    <row r="4933" spans="1:10" ht="15.75" customHeight="1">
      <c r="A4933" s="1733"/>
      <c r="B4933" s="1733"/>
      <c r="C4933" s="1733"/>
      <c r="D4933" s="1733"/>
      <c r="E4933" s="1733"/>
      <c r="F4933" s="1733"/>
      <c r="G4933" s="1733"/>
      <c r="H4933" s="1733"/>
      <c r="I4933" s="1733"/>
      <c r="J4933" s="1733"/>
    </row>
    <row r="4934" spans="1:10" ht="15.75" customHeight="1">
      <c r="A4934" s="1733"/>
      <c r="B4934" s="1733"/>
      <c r="C4934" s="1733"/>
      <c r="D4934" s="1733"/>
      <c r="E4934" s="1733"/>
      <c r="F4934" s="1733"/>
      <c r="G4934" s="1733"/>
      <c r="H4934" s="1733"/>
      <c r="I4934" s="1733"/>
      <c r="J4934" s="1733"/>
    </row>
    <row r="4935" spans="1:10" ht="15.75" customHeight="1">
      <c r="A4935" s="1733"/>
      <c r="B4935" s="1733"/>
      <c r="C4935" s="1733"/>
      <c r="D4935" s="1733"/>
      <c r="E4935" s="1733"/>
      <c r="F4935" s="1733"/>
      <c r="G4935" s="1733"/>
      <c r="H4935" s="1733"/>
      <c r="I4935" s="1733"/>
      <c r="J4935" s="1733"/>
    </row>
    <row r="4936" spans="1:10" ht="15.75" customHeight="1">
      <c r="A4936" s="1733"/>
      <c r="B4936" s="1733"/>
      <c r="C4936" s="1733"/>
      <c r="D4936" s="1733"/>
      <c r="E4936" s="1733"/>
      <c r="F4936" s="1733"/>
      <c r="G4936" s="1733"/>
      <c r="H4936" s="1733"/>
      <c r="I4936" s="1733"/>
      <c r="J4936" s="1733"/>
    </row>
    <row r="4937" spans="1:10" ht="15.75" customHeight="1">
      <c r="A4937" s="1733"/>
      <c r="B4937" s="1733"/>
      <c r="C4937" s="1733"/>
      <c r="D4937" s="1733"/>
      <c r="E4937" s="1733"/>
      <c r="F4937" s="1733"/>
      <c r="G4937" s="1733"/>
      <c r="H4937" s="1733"/>
      <c r="I4937" s="1733"/>
      <c r="J4937" s="1733"/>
    </row>
    <row r="4938" spans="1:10" ht="15.75" customHeight="1">
      <c r="A4938" s="1733"/>
      <c r="B4938" s="1733"/>
      <c r="C4938" s="1733"/>
      <c r="D4938" s="1733"/>
      <c r="E4938" s="1733"/>
      <c r="F4938" s="1733"/>
      <c r="G4938" s="1733"/>
      <c r="H4938" s="1733"/>
      <c r="I4938" s="1733"/>
      <c r="J4938" s="1733"/>
    </row>
    <row r="4939" spans="1:10" ht="15.75" customHeight="1">
      <c r="A4939" s="1733"/>
      <c r="B4939" s="1733"/>
      <c r="C4939" s="1733"/>
      <c r="D4939" s="1733"/>
      <c r="E4939" s="1733"/>
      <c r="F4939" s="1733"/>
      <c r="G4939" s="1733"/>
      <c r="H4939" s="1733"/>
      <c r="I4939" s="1733"/>
      <c r="J4939" s="1733"/>
    </row>
    <row r="4940" spans="1:10" ht="15.75" customHeight="1">
      <c r="A4940" s="1733"/>
      <c r="B4940" s="1733"/>
      <c r="C4940" s="1733"/>
      <c r="D4940" s="1733"/>
      <c r="E4940" s="1733"/>
      <c r="F4940" s="1733"/>
      <c r="G4940" s="1733"/>
      <c r="H4940" s="1733"/>
      <c r="I4940" s="1733"/>
      <c r="J4940" s="1733"/>
    </row>
    <row r="4941" spans="1:10" ht="15.75" customHeight="1">
      <c r="A4941" s="1733"/>
      <c r="B4941" s="1733"/>
      <c r="C4941" s="1733"/>
      <c r="D4941" s="1733"/>
      <c r="E4941" s="1733"/>
      <c r="F4941" s="1733"/>
      <c r="G4941" s="1733"/>
      <c r="H4941" s="1733"/>
      <c r="I4941" s="1733"/>
      <c r="J4941" s="1733"/>
    </row>
    <row r="4942" spans="1:10" ht="15.75" customHeight="1">
      <c r="A4942" s="1733"/>
      <c r="B4942" s="1733"/>
      <c r="C4942" s="1733"/>
      <c r="D4942" s="1733"/>
      <c r="E4942" s="1733"/>
      <c r="F4942" s="1733"/>
      <c r="G4942" s="1733"/>
      <c r="H4942" s="1733"/>
      <c r="I4942" s="1733"/>
      <c r="J4942" s="1733"/>
    </row>
    <row r="4943" spans="1:10" ht="15.75" customHeight="1">
      <c r="A4943" s="1733"/>
      <c r="B4943" s="1733"/>
      <c r="C4943" s="1733"/>
      <c r="D4943" s="1733"/>
      <c r="E4943" s="1733"/>
      <c r="F4943" s="1733"/>
      <c r="G4943" s="1733"/>
      <c r="H4943" s="1733"/>
      <c r="I4943" s="1733"/>
      <c r="J4943" s="1733"/>
    </row>
    <row r="4944" spans="1:10" ht="15.75" customHeight="1">
      <c r="A4944" s="1733"/>
      <c r="B4944" s="1733"/>
      <c r="C4944" s="1733"/>
      <c r="D4944" s="1733"/>
      <c r="E4944" s="1733"/>
      <c r="F4944" s="1733"/>
      <c r="G4944" s="1733"/>
      <c r="H4944" s="1733"/>
      <c r="I4944" s="1733"/>
      <c r="J4944" s="1733"/>
    </row>
    <row r="4945" spans="1:10" ht="15.75" customHeight="1">
      <c r="A4945" s="1733"/>
      <c r="B4945" s="1733"/>
      <c r="C4945" s="1733"/>
      <c r="D4945" s="1733"/>
      <c r="E4945" s="1733"/>
      <c r="F4945" s="1733"/>
      <c r="G4945" s="1733"/>
      <c r="H4945" s="1733"/>
      <c r="I4945" s="1733"/>
      <c r="J4945" s="1733"/>
    </row>
    <row r="4946" spans="1:10" ht="15.75" customHeight="1">
      <c r="A4946" s="1733"/>
      <c r="B4946" s="1733"/>
      <c r="C4946" s="1733"/>
      <c r="D4946" s="1733"/>
      <c r="E4946" s="1733"/>
      <c r="F4946" s="1733"/>
      <c r="G4946" s="1733"/>
      <c r="H4946" s="1733"/>
      <c r="I4946" s="1733"/>
      <c r="J4946" s="1733"/>
    </row>
    <row r="4947" spans="1:10" ht="15.75" customHeight="1">
      <c r="A4947" s="1733"/>
      <c r="B4947" s="1733"/>
      <c r="C4947" s="1733"/>
      <c r="D4947" s="1733"/>
      <c r="E4947" s="1733"/>
      <c r="F4947" s="1733"/>
      <c r="G4947" s="1733"/>
      <c r="H4947" s="1733"/>
      <c r="I4947" s="1733"/>
      <c r="J4947" s="1733"/>
    </row>
    <row r="4948" spans="1:10" ht="15.75" customHeight="1">
      <c r="A4948" s="1733"/>
      <c r="B4948" s="1733"/>
      <c r="C4948" s="1733"/>
      <c r="D4948" s="1733"/>
      <c r="E4948" s="1733"/>
      <c r="F4948" s="1733"/>
      <c r="G4948" s="1733"/>
      <c r="H4948" s="1733"/>
      <c r="I4948" s="1733"/>
      <c r="J4948" s="1733"/>
    </row>
    <row r="4949" spans="1:10" ht="15.75" customHeight="1">
      <c r="A4949" s="1733"/>
      <c r="B4949" s="1733"/>
      <c r="C4949" s="1733"/>
      <c r="D4949" s="1733"/>
      <c r="E4949" s="1733"/>
      <c r="F4949" s="1733"/>
      <c r="G4949" s="1733"/>
      <c r="H4949" s="1733"/>
      <c r="I4949" s="1733"/>
      <c r="J4949" s="1733"/>
    </row>
    <row r="4950" spans="1:10" ht="15.75" customHeight="1">
      <c r="A4950" s="1733"/>
      <c r="B4950" s="1733"/>
      <c r="C4950" s="1733"/>
      <c r="D4950" s="1733"/>
      <c r="E4950" s="1733"/>
      <c r="F4950" s="1733"/>
      <c r="G4950" s="1733"/>
      <c r="H4950" s="1733"/>
      <c r="I4950" s="1733"/>
      <c r="J4950" s="1733"/>
    </row>
    <row r="4951" spans="1:10" ht="15.75" customHeight="1">
      <c r="A4951" s="1733"/>
      <c r="B4951" s="1733"/>
      <c r="C4951" s="1733"/>
      <c r="D4951" s="1733"/>
      <c r="E4951" s="1733"/>
      <c r="F4951" s="1733"/>
      <c r="G4951" s="1733"/>
      <c r="H4951" s="1733"/>
      <c r="I4951" s="1733"/>
      <c r="J4951" s="1733"/>
    </row>
    <row r="4952" spans="1:10" ht="15.75" customHeight="1">
      <c r="A4952" s="1733"/>
      <c r="B4952" s="1733"/>
      <c r="C4952" s="1733"/>
      <c r="D4952" s="1733"/>
      <c r="E4952" s="1733"/>
      <c r="F4952" s="1733"/>
      <c r="G4952" s="1733"/>
      <c r="H4952" s="1733"/>
      <c r="I4952" s="1733"/>
      <c r="J4952" s="1733"/>
    </row>
    <row r="4953" spans="1:10" ht="15.75" customHeight="1">
      <c r="A4953" s="1733"/>
      <c r="B4953" s="1733"/>
      <c r="C4953" s="1733"/>
      <c r="D4953" s="1733"/>
      <c r="E4953" s="1733"/>
      <c r="F4953" s="1733"/>
      <c r="G4953" s="1733"/>
      <c r="H4953" s="1733"/>
      <c r="I4953" s="1733"/>
      <c r="J4953" s="1733"/>
    </row>
    <row r="4954" spans="1:10" ht="15.75" customHeight="1">
      <c r="A4954" s="1733"/>
      <c r="B4954" s="1733"/>
      <c r="C4954" s="1733"/>
      <c r="D4954" s="1733"/>
      <c r="E4954" s="1733"/>
      <c r="F4954" s="1733"/>
      <c r="G4954" s="1733"/>
      <c r="H4954" s="1733"/>
      <c r="I4954" s="1733"/>
      <c r="J4954" s="1733"/>
    </row>
    <row r="4955" spans="1:10" ht="15.75" customHeight="1">
      <c r="A4955" s="1733"/>
      <c r="B4955" s="1733"/>
      <c r="C4955" s="1733"/>
      <c r="D4955" s="1733"/>
      <c r="E4955" s="1733"/>
      <c r="F4955" s="1733"/>
      <c r="G4955" s="1733"/>
      <c r="H4955" s="1733"/>
      <c r="I4955" s="1733"/>
      <c r="J4955" s="1733"/>
    </row>
    <row r="4956" spans="1:10" ht="15.75" customHeight="1">
      <c r="A4956" s="1733"/>
      <c r="B4956" s="1733"/>
      <c r="C4956" s="1733"/>
      <c r="D4956" s="1733"/>
      <c r="E4956" s="1733"/>
      <c r="F4956" s="1733"/>
      <c r="G4956" s="1733"/>
      <c r="H4956" s="1733"/>
      <c r="I4956" s="1733"/>
      <c r="J4956" s="1733"/>
    </row>
    <row r="4957" spans="1:10" ht="15.75" customHeight="1">
      <c r="A4957" s="1733"/>
      <c r="B4957" s="1733"/>
      <c r="C4957" s="1733"/>
      <c r="D4957" s="1733"/>
      <c r="E4957" s="1733"/>
      <c r="F4957" s="1733"/>
      <c r="G4957" s="1733"/>
      <c r="H4957" s="1733"/>
      <c r="I4957" s="1733"/>
      <c r="J4957" s="1733"/>
    </row>
    <row r="4958" spans="1:10" ht="15.75" customHeight="1">
      <c r="A4958" s="1733"/>
      <c r="B4958" s="1733"/>
      <c r="C4958" s="1733"/>
      <c r="D4958" s="1733"/>
      <c r="E4958" s="1733"/>
      <c r="F4958" s="1733"/>
      <c r="G4958" s="1733"/>
      <c r="H4958" s="1733"/>
      <c r="I4958" s="1733"/>
      <c r="J4958" s="1733"/>
    </row>
    <row r="4959" spans="1:10" ht="15.75" customHeight="1">
      <c r="A4959" s="1733"/>
      <c r="B4959" s="1733"/>
      <c r="C4959" s="1733"/>
      <c r="D4959" s="1733"/>
      <c r="E4959" s="1733"/>
      <c r="F4959" s="1733"/>
      <c r="G4959" s="1733"/>
      <c r="H4959" s="1733"/>
      <c r="I4959" s="1733"/>
      <c r="J4959" s="1733"/>
    </row>
    <row r="4960" spans="1:10" ht="15.75" customHeight="1">
      <c r="A4960" s="1733"/>
      <c r="B4960" s="1733"/>
      <c r="C4960" s="1733"/>
      <c r="D4960" s="1733"/>
      <c r="E4960" s="1733"/>
      <c r="F4960" s="1733"/>
      <c r="G4960" s="1733"/>
      <c r="H4960" s="1733"/>
      <c r="I4960" s="1733"/>
      <c r="J4960" s="1733"/>
    </row>
    <row r="4961" spans="1:10" ht="15.75" customHeight="1">
      <c r="A4961" s="1733"/>
      <c r="B4961" s="1733"/>
      <c r="C4961" s="1733"/>
      <c r="D4961" s="1733"/>
      <c r="E4961" s="1733"/>
      <c r="F4961" s="1733"/>
      <c r="G4961" s="1733"/>
      <c r="H4961" s="1733"/>
      <c r="I4961" s="1733"/>
      <c r="J4961" s="1733"/>
    </row>
    <row r="4962" spans="1:10" ht="15.75" customHeight="1">
      <c r="A4962" s="1733"/>
      <c r="B4962" s="1733"/>
      <c r="C4962" s="1733"/>
      <c r="D4962" s="1733"/>
      <c r="E4962" s="1733"/>
      <c r="F4962" s="1733"/>
      <c r="G4962" s="1733"/>
      <c r="H4962" s="1733"/>
      <c r="I4962" s="1733"/>
      <c r="J4962" s="1733"/>
    </row>
    <row r="4963" spans="1:10" ht="15.75" customHeight="1">
      <c r="A4963" s="1733"/>
      <c r="B4963" s="1733"/>
      <c r="C4963" s="1733"/>
      <c r="D4963" s="1733"/>
      <c r="E4963" s="1733"/>
      <c r="F4963" s="1733"/>
      <c r="G4963" s="1733"/>
      <c r="H4963" s="1733"/>
      <c r="I4963" s="1733"/>
      <c r="J4963" s="1733"/>
    </row>
    <row r="4964" spans="1:10" ht="15.75" customHeight="1">
      <c r="A4964" s="1733"/>
      <c r="B4964" s="1733"/>
      <c r="C4964" s="1733"/>
      <c r="D4964" s="1733"/>
      <c r="E4964" s="1733"/>
      <c r="F4964" s="1733"/>
      <c r="G4964" s="1733"/>
      <c r="H4964" s="1733"/>
      <c r="I4964" s="1733"/>
      <c r="J4964" s="1733"/>
    </row>
    <row r="4965" spans="1:10" ht="15.75" customHeight="1">
      <c r="A4965" s="1733"/>
      <c r="B4965" s="1733"/>
      <c r="C4965" s="1733"/>
      <c r="D4965" s="1733"/>
      <c r="E4965" s="1733"/>
      <c r="F4965" s="1733"/>
      <c r="G4965" s="1733"/>
      <c r="H4965" s="1733"/>
      <c r="I4965" s="1733"/>
      <c r="J4965" s="1733"/>
    </row>
    <row r="4966" spans="1:10" ht="15.75" customHeight="1">
      <c r="A4966" s="1733"/>
      <c r="B4966" s="1733"/>
      <c r="C4966" s="1733"/>
      <c r="D4966" s="1733"/>
      <c r="E4966" s="1733"/>
      <c r="F4966" s="1733"/>
      <c r="G4966" s="1733"/>
      <c r="H4966" s="1733"/>
      <c r="I4966" s="1733"/>
      <c r="J4966" s="1733"/>
    </row>
    <row r="4967" spans="1:10" ht="15.75" customHeight="1">
      <c r="A4967" s="1733"/>
      <c r="B4967" s="1733"/>
      <c r="C4967" s="1733"/>
      <c r="D4967" s="1733"/>
      <c r="E4967" s="1733"/>
      <c r="F4967" s="1733"/>
      <c r="G4967" s="1733"/>
      <c r="H4967" s="1733"/>
      <c r="I4967" s="1733"/>
      <c r="J4967" s="1733"/>
    </row>
    <row r="4968" spans="1:10" ht="15.75" customHeight="1">
      <c r="A4968" s="1733"/>
      <c r="B4968" s="1733"/>
      <c r="C4968" s="1733"/>
      <c r="D4968" s="1733"/>
      <c r="E4968" s="1733"/>
      <c r="F4968" s="1733"/>
      <c r="G4968" s="1733"/>
      <c r="H4968" s="1733"/>
      <c r="I4968" s="1733"/>
      <c r="J4968" s="1733"/>
    </row>
    <row r="4969" spans="1:10" ht="15.75" customHeight="1">
      <c r="A4969" s="1733"/>
      <c r="B4969" s="1733"/>
      <c r="C4969" s="1733"/>
      <c r="D4969" s="1733"/>
      <c r="E4969" s="1733"/>
      <c r="F4969" s="1733"/>
      <c r="G4969" s="1733"/>
      <c r="H4969" s="1733"/>
      <c r="I4969" s="1733"/>
      <c r="J4969" s="1733"/>
    </row>
    <row r="4970" spans="1:10" ht="15.75" customHeight="1">
      <c r="A4970" s="1733"/>
      <c r="B4970" s="1733"/>
      <c r="C4970" s="1733"/>
      <c r="D4970" s="1733"/>
      <c r="E4970" s="1733"/>
      <c r="F4970" s="1733"/>
      <c r="G4970" s="1733"/>
      <c r="H4970" s="1733"/>
      <c r="I4970" s="1733"/>
      <c r="J4970" s="1733"/>
    </row>
    <row r="4971" spans="1:10" ht="15.75" customHeight="1">
      <c r="A4971" s="1733"/>
      <c r="B4971" s="1733"/>
      <c r="C4971" s="1733"/>
      <c r="D4971" s="1733"/>
      <c r="E4971" s="1733"/>
      <c r="F4971" s="1733"/>
      <c r="G4971" s="1733"/>
      <c r="H4971" s="1733"/>
      <c r="I4971" s="1733"/>
      <c r="J4971" s="1733"/>
    </row>
    <row r="4972" spans="1:10" ht="15.75" customHeight="1">
      <c r="A4972" s="1733"/>
      <c r="B4972" s="1733"/>
      <c r="C4972" s="1733"/>
      <c r="D4972" s="1733"/>
      <c r="E4972" s="1733"/>
      <c r="F4972" s="1733"/>
      <c r="G4972" s="1733"/>
      <c r="H4972" s="1733"/>
      <c r="I4972" s="1733"/>
      <c r="J4972" s="1733"/>
    </row>
    <row r="4973" spans="1:10" ht="15.75" customHeight="1">
      <c r="A4973" s="1733"/>
      <c r="B4973" s="1733"/>
      <c r="C4973" s="1733"/>
      <c r="D4973" s="1733"/>
      <c r="E4973" s="1733"/>
      <c r="F4973" s="1733"/>
      <c r="G4973" s="1733"/>
      <c r="H4973" s="1733"/>
      <c r="I4973" s="1733"/>
      <c r="J4973" s="1733"/>
    </row>
    <row r="4974" spans="1:10" ht="15.75" customHeight="1">
      <c r="A4974" s="1733"/>
      <c r="B4974" s="1733"/>
      <c r="C4974" s="1733"/>
      <c r="D4974" s="1733"/>
      <c r="E4974" s="1733"/>
      <c r="F4974" s="1733"/>
      <c r="G4974" s="1733"/>
      <c r="H4974" s="1733"/>
      <c r="I4974" s="1733"/>
      <c r="J4974" s="1733"/>
    </row>
    <row r="4975" spans="1:10" ht="15.75" customHeight="1">
      <c r="A4975" s="1733"/>
      <c r="B4975" s="1733"/>
      <c r="C4975" s="1733"/>
      <c r="D4975" s="1733"/>
      <c r="E4975" s="1733"/>
      <c r="F4975" s="1733"/>
      <c r="G4975" s="1733"/>
      <c r="H4975" s="1733"/>
      <c r="I4975" s="1733"/>
      <c r="J4975" s="1733"/>
    </row>
    <row r="4976" spans="1:10" ht="15.75" customHeight="1">
      <c r="A4976" s="1733"/>
      <c r="B4976" s="1733"/>
      <c r="C4976" s="1733"/>
      <c r="D4976" s="1733"/>
      <c r="E4976" s="1733"/>
      <c r="F4976" s="1733"/>
      <c r="G4976" s="1733"/>
      <c r="H4976" s="1733"/>
      <c r="I4976" s="1733"/>
      <c r="J4976" s="1733"/>
    </row>
    <row r="4977" spans="1:10" ht="15.75" customHeight="1">
      <c r="A4977" s="1733"/>
      <c r="B4977" s="1733"/>
      <c r="C4977" s="1733"/>
      <c r="D4977" s="1733"/>
      <c r="E4977" s="1733"/>
      <c r="F4977" s="1733"/>
      <c r="G4977" s="1733"/>
      <c r="H4977" s="1733"/>
      <c r="I4977" s="1733"/>
      <c r="J4977" s="1733"/>
    </row>
    <row r="4978" spans="1:10" ht="15.75" customHeight="1">
      <c r="A4978" s="1733"/>
      <c r="B4978" s="1733"/>
      <c r="C4978" s="1733"/>
      <c r="D4978" s="1733"/>
      <c r="E4978" s="1733"/>
      <c r="F4978" s="1733"/>
      <c r="G4978" s="1733"/>
      <c r="H4978" s="1733"/>
      <c r="I4978" s="1733"/>
      <c r="J4978" s="1733"/>
    </row>
    <row r="4979" spans="1:10" ht="15.75" customHeight="1">
      <c r="A4979" s="1733"/>
      <c r="B4979" s="1733"/>
      <c r="C4979" s="1733"/>
      <c r="D4979" s="1733"/>
      <c r="E4979" s="1733"/>
      <c r="F4979" s="1733"/>
      <c r="G4979" s="1733"/>
      <c r="H4979" s="1733"/>
      <c r="I4979" s="1733"/>
      <c r="J4979" s="1733"/>
    </row>
    <row r="4980" spans="1:10" ht="15.75" customHeight="1">
      <c r="A4980" s="1733"/>
      <c r="B4980" s="1733"/>
      <c r="C4980" s="1733"/>
      <c r="D4980" s="1733"/>
      <c r="E4980" s="1733"/>
      <c r="F4980" s="1733"/>
      <c r="G4980" s="1733"/>
      <c r="H4980" s="1733"/>
      <c r="I4980" s="1733"/>
      <c r="J4980" s="1733"/>
    </row>
    <row r="4981" spans="1:10" ht="15.75" customHeight="1">
      <c r="A4981" s="1733"/>
      <c r="B4981" s="1733"/>
      <c r="C4981" s="1733"/>
      <c r="D4981" s="1733"/>
      <c r="E4981" s="1733"/>
      <c r="F4981" s="1733"/>
      <c r="G4981" s="1733"/>
      <c r="H4981" s="1733"/>
      <c r="I4981" s="1733"/>
      <c r="J4981" s="1733"/>
    </row>
    <row r="4982" spans="1:10" ht="15.75" customHeight="1">
      <c r="A4982" s="1733"/>
      <c r="B4982" s="1733"/>
      <c r="C4982" s="1733"/>
      <c r="D4982" s="1733"/>
      <c r="E4982" s="1733"/>
      <c r="F4982" s="1733"/>
      <c r="G4982" s="1733"/>
      <c r="H4982" s="1733"/>
      <c r="I4982" s="1733"/>
      <c r="J4982" s="1733"/>
    </row>
    <row r="4983" spans="1:10" ht="15.75" customHeight="1">
      <c r="A4983" s="1733"/>
      <c r="B4983" s="1733"/>
      <c r="C4983" s="1733"/>
      <c r="D4983" s="1733"/>
      <c r="E4983" s="1733"/>
      <c r="F4983" s="1733"/>
      <c r="G4983" s="1733"/>
      <c r="H4983" s="1733"/>
      <c r="I4983" s="1733"/>
      <c r="J4983" s="1733"/>
    </row>
    <row r="4984" spans="1:10" ht="15.75" customHeight="1">
      <c r="A4984" s="1733"/>
      <c r="B4984" s="1733"/>
      <c r="C4984" s="1733"/>
      <c r="D4984" s="1733"/>
      <c r="E4984" s="1733"/>
      <c r="F4984" s="1733"/>
      <c r="G4984" s="1733"/>
      <c r="H4984" s="1733"/>
      <c r="I4984" s="1733"/>
      <c r="J4984" s="1733"/>
    </row>
    <row r="4985" spans="1:10" ht="15.75" customHeight="1">
      <c r="A4985" s="1733"/>
      <c r="B4985" s="1733"/>
      <c r="C4985" s="1733"/>
      <c r="D4985" s="1733"/>
      <c r="E4985" s="1733"/>
      <c r="F4985" s="1733"/>
      <c r="G4985" s="1733"/>
      <c r="H4985" s="1733"/>
      <c r="I4985" s="1733"/>
      <c r="J4985" s="1733"/>
    </row>
    <row r="4986" spans="1:10" ht="15.75" customHeight="1">
      <c r="A4986" s="1733"/>
      <c r="B4986" s="1733"/>
      <c r="C4986" s="1733"/>
      <c r="D4986" s="1733"/>
      <c r="E4986" s="1733"/>
      <c r="F4986" s="1733"/>
      <c r="G4986" s="1733"/>
      <c r="H4986" s="1733"/>
      <c r="I4986" s="1733"/>
      <c r="J4986" s="1733"/>
    </row>
    <row r="4987" spans="1:10" ht="15.75" customHeight="1">
      <c r="A4987" s="1733"/>
      <c r="B4987" s="1733"/>
      <c r="C4987" s="1733"/>
      <c r="D4987" s="1733"/>
      <c r="E4987" s="1733"/>
      <c r="F4987" s="1733"/>
      <c r="G4987" s="1733"/>
      <c r="H4987" s="1733"/>
      <c r="I4987" s="1733"/>
      <c r="J4987" s="1733"/>
    </row>
    <row r="4988" spans="1:10" ht="15.75" customHeight="1">
      <c r="A4988" s="1733"/>
      <c r="B4988" s="1733"/>
      <c r="C4988" s="1733"/>
      <c r="D4988" s="1733"/>
      <c r="E4988" s="1733"/>
      <c r="F4988" s="1733"/>
      <c r="G4988" s="1733"/>
      <c r="H4988" s="1733"/>
      <c r="I4988" s="1733"/>
      <c r="J4988" s="1733"/>
    </row>
    <row r="4989" spans="1:10" ht="15.75" customHeight="1">
      <c r="A4989" s="1733"/>
      <c r="B4989" s="1733"/>
      <c r="C4989" s="1733"/>
      <c r="D4989" s="1733"/>
      <c r="E4989" s="1733"/>
      <c r="F4989" s="1733"/>
      <c r="G4989" s="1733"/>
      <c r="H4989" s="1733"/>
      <c r="I4989" s="1733"/>
      <c r="J4989" s="1733"/>
    </row>
    <row r="4990" spans="1:10" ht="15.75" customHeight="1">
      <c r="A4990" s="1733"/>
      <c r="B4990" s="1733"/>
      <c r="C4990" s="1733"/>
      <c r="D4990" s="1733"/>
      <c r="E4990" s="1733"/>
      <c r="F4990" s="1733"/>
      <c r="G4990" s="1733"/>
      <c r="H4990" s="1733"/>
      <c r="I4990" s="1733"/>
      <c r="J4990" s="1733"/>
    </row>
    <row r="4991" spans="1:10" ht="15.75" customHeight="1">
      <c r="A4991" s="1733"/>
      <c r="B4991" s="1733"/>
      <c r="C4991" s="1733"/>
      <c r="D4991" s="1733"/>
      <c r="E4991" s="1733"/>
      <c r="F4991" s="1733"/>
      <c r="G4991" s="1733"/>
      <c r="H4991" s="1733"/>
      <c r="I4991" s="1733"/>
      <c r="J4991" s="1733"/>
    </row>
    <row r="4992" spans="1:10" ht="15.75" customHeight="1">
      <c r="A4992" s="1733"/>
      <c r="B4992" s="1733"/>
      <c r="C4992" s="1733"/>
      <c r="D4992" s="1733"/>
      <c r="E4992" s="1733"/>
      <c r="F4992" s="1733"/>
      <c r="G4992" s="1733"/>
      <c r="H4992" s="1733"/>
      <c r="I4992" s="1733"/>
      <c r="J4992" s="1733"/>
    </row>
    <row r="4993" spans="1:10" ht="15.75" customHeight="1">
      <c r="A4993" s="1733"/>
      <c r="B4993" s="1733"/>
      <c r="C4993" s="1733"/>
      <c r="D4993" s="1733"/>
      <c r="E4993" s="1733"/>
      <c r="F4993" s="1733"/>
      <c r="G4993" s="1733"/>
      <c r="H4993" s="1733"/>
      <c r="I4993" s="1733"/>
      <c r="J4993" s="1733"/>
    </row>
    <row r="4994" spans="1:10" ht="15.75" customHeight="1">
      <c r="A4994" s="1733"/>
      <c r="B4994" s="1733"/>
      <c r="C4994" s="1733"/>
      <c r="D4994" s="1733"/>
      <c r="E4994" s="1733"/>
      <c r="F4994" s="1733"/>
      <c r="G4994" s="1733"/>
      <c r="H4994" s="1733"/>
      <c r="I4994" s="1733"/>
      <c r="J4994" s="1733"/>
    </row>
    <row r="4995" spans="1:10" ht="15.75" customHeight="1">
      <c r="A4995" s="1733"/>
      <c r="B4995" s="1733"/>
      <c r="C4995" s="1733"/>
      <c r="D4995" s="1733"/>
      <c r="E4995" s="1733"/>
      <c r="F4995" s="1733"/>
      <c r="G4995" s="1733"/>
      <c r="H4995" s="1733"/>
      <c r="I4995" s="1733"/>
      <c r="J4995" s="1733"/>
    </row>
    <row r="4996" spans="1:10" ht="15.75" customHeight="1">
      <c r="A4996" s="1733"/>
      <c r="B4996" s="1733"/>
      <c r="C4996" s="1733"/>
      <c r="D4996" s="1733"/>
      <c r="E4996" s="1733"/>
      <c r="F4996" s="1733"/>
      <c r="G4996" s="1733"/>
      <c r="H4996" s="1733"/>
      <c r="I4996" s="1733"/>
      <c r="J4996" s="1733"/>
    </row>
    <row r="4997" spans="1:10" ht="15.75" customHeight="1">
      <c r="A4997" s="1733"/>
      <c r="B4997" s="1733"/>
      <c r="C4997" s="1733"/>
      <c r="D4997" s="1733"/>
      <c r="E4997" s="1733"/>
      <c r="F4997" s="1733"/>
      <c r="G4997" s="1733"/>
      <c r="H4997" s="1733"/>
      <c r="I4997" s="1733"/>
      <c r="J4997" s="1733"/>
    </row>
    <row r="4998" spans="1:10" ht="15.75" customHeight="1">
      <c r="A4998" s="1733"/>
      <c r="B4998" s="1733"/>
      <c r="C4998" s="1733"/>
      <c r="D4998" s="1733"/>
      <c r="E4998" s="1733"/>
      <c r="F4998" s="1733"/>
      <c r="G4998" s="1733"/>
      <c r="H4998" s="1733"/>
      <c r="I4998" s="1733"/>
      <c r="J4998" s="1733"/>
    </row>
    <row r="4999" spans="1:10" ht="15.75" customHeight="1">
      <c r="A4999" s="1733"/>
      <c r="B4999" s="1733"/>
      <c r="C4999" s="1733"/>
      <c r="D4999" s="1733"/>
      <c r="E4999" s="1733"/>
      <c r="F4999" s="1733"/>
      <c r="G4999" s="1733"/>
      <c r="H4999" s="1733"/>
      <c r="I4999" s="1733"/>
      <c r="J4999" s="1733"/>
    </row>
    <row r="5000" spans="1:10" ht="15.75" customHeight="1">
      <c r="A5000" s="1733"/>
      <c r="B5000" s="1733"/>
      <c r="C5000" s="1733"/>
      <c r="D5000" s="1733"/>
      <c r="E5000" s="1733"/>
      <c r="F5000" s="1733"/>
      <c r="G5000" s="1733"/>
      <c r="H5000" s="1733"/>
      <c r="I5000" s="1733"/>
      <c r="J5000" s="1733"/>
    </row>
    <row r="5001" spans="1:10" ht="15.75" customHeight="1">
      <c r="A5001" s="1733"/>
      <c r="B5001" s="1733"/>
      <c r="C5001" s="1733"/>
      <c r="D5001" s="1733"/>
      <c r="E5001" s="1733"/>
      <c r="F5001" s="1733"/>
      <c r="G5001" s="1733"/>
      <c r="H5001" s="1733"/>
      <c r="I5001" s="1733"/>
      <c r="J5001" s="1733"/>
    </row>
    <row r="5002" spans="1:10" ht="15.75" customHeight="1">
      <c r="A5002" s="1733"/>
      <c r="B5002" s="1733"/>
      <c r="C5002" s="1733"/>
      <c r="D5002" s="1733"/>
      <c r="E5002" s="1733"/>
      <c r="F5002" s="1733"/>
      <c r="G5002" s="1733"/>
      <c r="H5002" s="1733"/>
      <c r="I5002" s="1733"/>
      <c r="J5002" s="1733"/>
    </row>
    <row r="5003" spans="1:10" ht="15.75" customHeight="1">
      <c r="A5003" s="1733"/>
      <c r="B5003" s="1733"/>
      <c r="C5003" s="1733"/>
      <c r="D5003" s="1733"/>
      <c r="E5003" s="1733"/>
      <c r="F5003" s="1733"/>
      <c r="G5003" s="1733"/>
      <c r="H5003" s="1733"/>
      <c r="I5003" s="1733"/>
      <c r="J5003" s="1733"/>
    </row>
    <row r="5004" spans="1:10" ht="15.75" customHeight="1">
      <c r="A5004" s="1733"/>
      <c r="B5004" s="1733"/>
      <c r="C5004" s="1733"/>
      <c r="D5004" s="1733"/>
      <c r="E5004" s="1733"/>
      <c r="F5004" s="1733"/>
      <c r="G5004" s="1733"/>
      <c r="H5004" s="1733"/>
      <c r="I5004" s="1733"/>
      <c r="J5004" s="1733"/>
    </row>
    <row r="5005" spans="1:10" ht="15.75" customHeight="1">
      <c r="A5005" s="1733"/>
      <c r="B5005" s="1733"/>
      <c r="C5005" s="1733"/>
      <c r="D5005" s="1733"/>
      <c r="E5005" s="1733"/>
      <c r="F5005" s="1733"/>
      <c r="G5005" s="1733"/>
      <c r="H5005" s="1733"/>
      <c r="I5005" s="1733"/>
      <c r="J5005" s="1733"/>
    </row>
    <row r="5006" spans="1:10" ht="15.75" customHeight="1">
      <c r="A5006" s="1733"/>
      <c r="B5006" s="1733"/>
      <c r="C5006" s="1733"/>
      <c r="D5006" s="1733"/>
      <c r="E5006" s="1733"/>
      <c r="F5006" s="1733"/>
      <c r="G5006" s="1733"/>
      <c r="H5006" s="1733"/>
      <c r="I5006" s="1733"/>
      <c r="J5006" s="1733"/>
    </row>
    <row r="5007" spans="1:10" ht="15.75" customHeight="1">
      <c r="A5007" s="1733"/>
      <c r="B5007" s="1733"/>
      <c r="C5007" s="1733"/>
      <c r="D5007" s="1733"/>
      <c r="E5007" s="1733"/>
      <c r="F5007" s="1733"/>
      <c r="G5007" s="1733"/>
      <c r="H5007" s="1733"/>
      <c r="I5007" s="1733"/>
      <c r="J5007" s="1733"/>
    </row>
    <row r="5008" spans="1:10" ht="15.75" customHeight="1">
      <c r="A5008" s="1733"/>
      <c r="B5008" s="1733"/>
      <c r="C5008" s="1733"/>
      <c r="D5008" s="1733"/>
      <c r="E5008" s="1733"/>
      <c r="F5008" s="1733"/>
      <c r="G5008" s="1733"/>
      <c r="H5008" s="1733"/>
      <c r="I5008" s="1733"/>
      <c r="J5008" s="1733"/>
    </row>
    <row r="5009" spans="1:10" ht="15.75" customHeight="1">
      <c r="A5009" s="1733"/>
      <c r="B5009" s="1733"/>
      <c r="C5009" s="1733"/>
      <c r="D5009" s="1733"/>
      <c r="E5009" s="1733"/>
      <c r="F5009" s="1733"/>
      <c r="G5009" s="1733"/>
      <c r="H5009" s="1733"/>
      <c r="I5009" s="1733"/>
      <c r="J5009" s="1733"/>
    </row>
    <row r="5010" spans="1:10" ht="15.75" customHeight="1">
      <c r="A5010" s="1733"/>
      <c r="B5010" s="1733"/>
      <c r="C5010" s="1733"/>
      <c r="D5010" s="1733"/>
      <c r="E5010" s="1733"/>
      <c r="F5010" s="1733"/>
      <c r="G5010" s="1733"/>
      <c r="H5010" s="1733"/>
      <c r="I5010" s="1733"/>
      <c r="J5010" s="1733"/>
    </row>
    <row r="5011" spans="1:10" ht="15.75" customHeight="1">
      <c r="A5011" s="1733"/>
      <c r="B5011" s="1733"/>
      <c r="C5011" s="1733"/>
      <c r="D5011" s="1733"/>
      <c r="E5011" s="1733"/>
      <c r="F5011" s="1733"/>
      <c r="G5011" s="1733"/>
      <c r="H5011" s="1733"/>
      <c r="I5011" s="1733"/>
      <c r="J5011" s="1733"/>
    </row>
    <row r="5012" spans="1:10" ht="15.75" customHeight="1">
      <c r="A5012" s="1733"/>
      <c r="B5012" s="1733"/>
      <c r="C5012" s="1733"/>
      <c r="D5012" s="1733"/>
      <c r="E5012" s="1733"/>
      <c r="F5012" s="1733"/>
      <c r="G5012" s="1733"/>
      <c r="H5012" s="1733"/>
      <c r="I5012" s="1733"/>
      <c r="J5012" s="1733"/>
    </row>
    <row r="5013" spans="1:10" ht="15.75" customHeight="1">
      <c r="A5013" s="1733"/>
      <c r="B5013" s="1733"/>
      <c r="C5013" s="1733"/>
      <c r="D5013" s="1733"/>
      <c r="E5013" s="1733"/>
      <c r="F5013" s="1733"/>
      <c r="G5013" s="1733"/>
      <c r="H5013" s="1733"/>
      <c r="I5013" s="1733"/>
      <c r="J5013" s="1733"/>
    </row>
    <row r="5014" spans="1:10" ht="15.75" customHeight="1">
      <c r="A5014" s="1733"/>
      <c r="B5014" s="1733"/>
      <c r="C5014" s="1733"/>
      <c r="D5014" s="1733"/>
      <c r="E5014" s="1733"/>
      <c r="F5014" s="1733"/>
      <c r="G5014" s="1733"/>
      <c r="H5014" s="1733"/>
      <c r="I5014" s="1733"/>
      <c r="J5014" s="1733"/>
    </row>
    <row r="5015" spans="1:10" ht="15.75" customHeight="1">
      <c r="A5015" s="1733"/>
      <c r="B5015" s="1733"/>
      <c r="C5015" s="1733"/>
      <c r="D5015" s="1733"/>
      <c r="E5015" s="1733"/>
      <c r="F5015" s="1733"/>
      <c r="G5015" s="1733"/>
      <c r="H5015" s="1733"/>
      <c r="I5015" s="1733"/>
      <c r="J5015" s="1733"/>
    </row>
    <row r="5016" spans="1:10" ht="15.75" customHeight="1">
      <c r="A5016" s="1733"/>
      <c r="B5016" s="1733"/>
      <c r="C5016" s="1733"/>
      <c r="D5016" s="1733"/>
      <c r="E5016" s="1733"/>
      <c r="F5016" s="1733"/>
      <c r="G5016" s="1733"/>
      <c r="H5016" s="1733"/>
      <c r="I5016" s="1733"/>
      <c r="J5016" s="1733"/>
    </row>
    <row r="5017" spans="1:10" ht="15.75" customHeight="1">
      <c r="A5017" s="1733"/>
      <c r="B5017" s="1733"/>
      <c r="C5017" s="1733"/>
      <c r="D5017" s="1733"/>
      <c r="E5017" s="1733"/>
      <c r="F5017" s="1733"/>
      <c r="G5017" s="1733"/>
      <c r="H5017" s="1733"/>
      <c r="I5017" s="1733"/>
      <c r="J5017" s="1733"/>
    </row>
    <row r="5018" spans="1:10" ht="15.75" customHeight="1">
      <c r="A5018" s="1733"/>
      <c r="B5018" s="1733"/>
      <c r="C5018" s="1733"/>
      <c r="D5018" s="1733"/>
      <c r="E5018" s="1733"/>
      <c r="F5018" s="1733"/>
      <c r="G5018" s="1733"/>
      <c r="H5018" s="1733"/>
      <c r="I5018" s="1733"/>
      <c r="J5018" s="1733"/>
    </row>
    <row r="5019" spans="1:10" ht="15.75" customHeight="1">
      <c r="A5019" s="1733"/>
      <c r="B5019" s="1733"/>
      <c r="C5019" s="1733"/>
      <c r="D5019" s="1733"/>
      <c r="E5019" s="1733"/>
      <c r="F5019" s="1733"/>
      <c r="G5019" s="1733"/>
      <c r="H5019" s="1733"/>
      <c r="I5019" s="1733"/>
      <c r="J5019" s="1733"/>
    </row>
    <row r="5020" spans="1:10" ht="15.75" customHeight="1">
      <c r="A5020" s="1733"/>
      <c r="B5020" s="1733"/>
      <c r="C5020" s="1733"/>
      <c r="D5020" s="1733"/>
      <c r="E5020" s="1733"/>
      <c r="F5020" s="1733"/>
      <c r="G5020" s="1733"/>
      <c r="H5020" s="1733"/>
      <c r="I5020" s="1733"/>
      <c r="J5020" s="1733"/>
    </row>
    <row r="5021" spans="1:10" ht="15.75" customHeight="1">
      <c r="A5021" s="1733"/>
      <c r="B5021" s="1733"/>
      <c r="C5021" s="1733"/>
      <c r="D5021" s="1733"/>
      <c r="E5021" s="1733"/>
      <c r="F5021" s="1733"/>
      <c r="G5021" s="1733"/>
      <c r="H5021" s="1733"/>
      <c r="I5021" s="1733"/>
      <c r="J5021" s="1733"/>
    </row>
    <row r="5022" spans="1:10" ht="15.75" customHeight="1">
      <c r="A5022" s="1733"/>
      <c r="B5022" s="1733"/>
      <c r="C5022" s="1733"/>
      <c r="D5022" s="1733"/>
      <c r="E5022" s="1733"/>
      <c r="F5022" s="1733"/>
      <c r="G5022" s="1733"/>
      <c r="H5022" s="1733"/>
      <c r="I5022" s="1733"/>
      <c r="J5022" s="1733"/>
    </row>
    <row r="5023" spans="1:10" ht="15.75" customHeight="1">
      <c r="A5023" s="1733"/>
      <c r="B5023" s="1733"/>
      <c r="C5023" s="1733"/>
      <c r="D5023" s="1733"/>
      <c r="E5023" s="1733"/>
      <c r="F5023" s="1733"/>
      <c r="G5023" s="1733"/>
      <c r="H5023" s="1733"/>
      <c r="I5023" s="1733"/>
      <c r="J5023" s="1733"/>
    </row>
    <row r="5024" spans="1:10" ht="15.75" customHeight="1">
      <c r="A5024" s="1733"/>
      <c r="B5024" s="1733"/>
      <c r="C5024" s="1733"/>
      <c r="D5024" s="1733"/>
      <c r="E5024" s="1733"/>
      <c r="F5024" s="1733"/>
      <c r="G5024" s="1733"/>
      <c r="H5024" s="1733"/>
      <c r="I5024" s="1733"/>
      <c r="J5024" s="1733"/>
    </row>
    <row r="5025" spans="1:10" ht="15.75" customHeight="1">
      <c r="A5025" s="1733"/>
      <c r="B5025" s="1733"/>
      <c r="C5025" s="1733"/>
      <c r="D5025" s="1733"/>
      <c r="E5025" s="1733"/>
      <c r="F5025" s="1733"/>
      <c r="G5025" s="1733"/>
      <c r="H5025" s="1733"/>
      <c r="I5025" s="1733"/>
      <c r="J5025" s="1733"/>
    </row>
    <row r="5026" spans="1:10" ht="15.75" customHeight="1">
      <c r="A5026" s="1733"/>
      <c r="B5026" s="1733"/>
      <c r="C5026" s="1733"/>
      <c r="D5026" s="1733"/>
      <c r="E5026" s="1733"/>
      <c r="F5026" s="1733"/>
      <c r="G5026" s="1733"/>
      <c r="H5026" s="1733"/>
      <c r="I5026" s="1733"/>
      <c r="J5026" s="1733"/>
    </row>
    <row r="5027" spans="1:10" ht="15.75" customHeight="1">
      <c r="A5027" s="1733"/>
      <c r="B5027" s="1733"/>
      <c r="C5027" s="1733"/>
      <c r="D5027" s="1733"/>
      <c r="E5027" s="1733"/>
      <c r="F5027" s="1733"/>
      <c r="G5027" s="1733"/>
      <c r="H5027" s="1733"/>
      <c r="I5027" s="1733"/>
      <c r="J5027" s="1733"/>
    </row>
    <row r="5028" spans="1:10" ht="15.75" customHeight="1">
      <c r="A5028" s="1733"/>
      <c r="B5028" s="1733"/>
      <c r="C5028" s="1733"/>
      <c r="D5028" s="1733"/>
      <c r="E5028" s="1733"/>
      <c r="F5028" s="1733"/>
      <c r="G5028" s="1733"/>
      <c r="H5028" s="1733"/>
      <c r="I5028" s="1733"/>
      <c r="J5028" s="1733"/>
    </row>
    <row r="5029" spans="1:10" ht="15.75" customHeight="1">
      <c r="A5029" s="1733"/>
      <c r="B5029" s="1733"/>
      <c r="C5029" s="1733"/>
      <c r="D5029" s="1733"/>
      <c r="E5029" s="1733"/>
      <c r="F5029" s="1733"/>
      <c r="G5029" s="1733"/>
      <c r="H5029" s="1733"/>
      <c r="I5029" s="1733"/>
      <c r="J5029" s="1733"/>
    </row>
    <row r="5030" spans="1:10" ht="15.75" customHeight="1">
      <c r="A5030" s="1733"/>
      <c r="B5030" s="1733"/>
      <c r="C5030" s="1733"/>
      <c r="D5030" s="1733"/>
      <c r="E5030" s="1733"/>
      <c r="F5030" s="1733"/>
      <c r="G5030" s="1733"/>
      <c r="H5030" s="1733"/>
      <c r="I5030" s="1733"/>
      <c r="J5030" s="1733"/>
    </row>
    <row r="5031" spans="1:10" ht="15.75" customHeight="1">
      <c r="A5031" s="1733"/>
      <c r="B5031" s="1733"/>
      <c r="C5031" s="1733"/>
      <c r="D5031" s="1733"/>
      <c r="E5031" s="1733"/>
      <c r="F5031" s="1733"/>
      <c r="G5031" s="1733"/>
      <c r="H5031" s="1733"/>
      <c r="I5031" s="1733"/>
      <c r="J5031" s="1733"/>
    </row>
    <row r="5032" spans="1:10" ht="15.75" customHeight="1">
      <c r="A5032" s="1733"/>
      <c r="B5032" s="1733"/>
      <c r="C5032" s="1733"/>
      <c r="D5032" s="1733"/>
      <c r="E5032" s="1733"/>
      <c r="F5032" s="1733"/>
      <c r="G5032" s="1733"/>
      <c r="H5032" s="1733"/>
      <c r="I5032" s="1733"/>
      <c r="J5032" s="1733"/>
    </row>
    <row r="5033" spans="1:10" ht="15.75" customHeight="1">
      <c r="A5033" s="1733"/>
      <c r="B5033" s="1733"/>
      <c r="C5033" s="1733"/>
      <c r="D5033" s="1733"/>
      <c r="E5033" s="1733"/>
      <c r="F5033" s="1733"/>
      <c r="G5033" s="1733"/>
      <c r="H5033" s="1733"/>
      <c r="I5033" s="1733"/>
      <c r="J5033" s="1733"/>
    </row>
    <row r="5034" spans="1:10" ht="15.75" customHeight="1">
      <c r="A5034" s="1733"/>
      <c r="B5034" s="1733"/>
      <c r="C5034" s="1733"/>
      <c r="D5034" s="1733"/>
      <c r="E5034" s="1733"/>
      <c r="F5034" s="1733"/>
      <c r="G5034" s="1733"/>
      <c r="H5034" s="1733"/>
      <c r="I5034" s="1733"/>
      <c r="J5034" s="1733"/>
    </row>
    <row r="5035" spans="1:10" ht="15.75" customHeight="1">
      <c r="A5035" s="1733"/>
      <c r="B5035" s="1733"/>
      <c r="C5035" s="1733"/>
      <c r="D5035" s="1733"/>
      <c r="E5035" s="1733"/>
      <c r="F5035" s="1733"/>
      <c r="G5035" s="1733"/>
      <c r="H5035" s="1733"/>
      <c r="I5035" s="1733"/>
      <c r="J5035" s="1733"/>
    </row>
    <row r="5036" spans="1:10" ht="15.75" customHeight="1">
      <c r="A5036" s="1733"/>
      <c r="B5036" s="1733"/>
      <c r="C5036" s="1733"/>
      <c r="D5036" s="1733"/>
      <c r="E5036" s="1733"/>
      <c r="F5036" s="1733"/>
      <c r="G5036" s="1733"/>
      <c r="H5036" s="1733"/>
      <c r="I5036" s="1733"/>
      <c r="J5036" s="1733"/>
    </row>
    <row r="5037" spans="1:10" ht="15.75" customHeight="1">
      <c r="A5037" s="1733"/>
      <c r="B5037" s="1733"/>
      <c r="C5037" s="1733"/>
      <c r="D5037" s="1733"/>
      <c r="E5037" s="1733"/>
      <c r="F5037" s="1733"/>
      <c r="G5037" s="1733"/>
      <c r="H5037" s="1733"/>
      <c r="I5037" s="1733"/>
      <c r="J5037" s="1733"/>
    </row>
    <row r="5038" spans="1:10" ht="15.75" customHeight="1">
      <c r="A5038" s="1733"/>
      <c r="B5038" s="1733"/>
      <c r="C5038" s="1733"/>
      <c r="D5038" s="1733"/>
      <c r="E5038" s="1733"/>
      <c r="F5038" s="1733"/>
      <c r="G5038" s="1733"/>
      <c r="H5038" s="1733"/>
      <c r="I5038" s="1733"/>
      <c r="J5038" s="1733"/>
    </row>
    <row r="5039" spans="1:10" ht="15.75" customHeight="1">
      <c r="A5039" s="1733"/>
      <c r="B5039" s="1733"/>
      <c r="C5039" s="1733"/>
      <c r="D5039" s="1733"/>
      <c r="E5039" s="1733"/>
      <c r="F5039" s="1733"/>
      <c r="G5039" s="1733"/>
      <c r="H5039" s="1733"/>
      <c r="I5039" s="1733"/>
      <c r="J5039" s="1733"/>
    </row>
    <row r="5040" spans="1:10" ht="15.75" customHeight="1">
      <c r="A5040" s="1733"/>
      <c r="B5040" s="1733"/>
      <c r="C5040" s="1733"/>
      <c r="D5040" s="1733"/>
      <c r="E5040" s="1733"/>
      <c r="F5040" s="1733"/>
      <c r="G5040" s="1733"/>
      <c r="H5040" s="1733"/>
      <c r="I5040" s="1733"/>
      <c r="J5040" s="1733"/>
    </row>
    <row r="5041" spans="1:10" ht="15.75" customHeight="1">
      <c r="A5041" s="1733"/>
      <c r="B5041" s="1733"/>
      <c r="C5041" s="1733"/>
      <c r="D5041" s="1733"/>
      <c r="E5041" s="1733"/>
      <c r="F5041" s="1733"/>
      <c r="G5041" s="1733"/>
      <c r="H5041" s="1733"/>
      <c r="I5041" s="1733"/>
      <c r="J5041" s="1733"/>
    </row>
    <row r="5042" spans="1:10" ht="15.75" customHeight="1">
      <c r="A5042" s="1733"/>
      <c r="B5042" s="1733"/>
      <c r="C5042" s="1733"/>
      <c r="D5042" s="1733"/>
      <c r="E5042" s="1733"/>
      <c r="F5042" s="1733"/>
      <c r="G5042" s="1733"/>
      <c r="H5042" s="1733"/>
      <c r="I5042" s="1733"/>
      <c r="J5042" s="1733"/>
    </row>
    <row r="5043" spans="1:10" ht="15.75" customHeight="1">
      <c r="A5043" s="1733"/>
      <c r="B5043" s="1733"/>
      <c r="C5043" s="1733"/>
      <c r="D5043" s="1733"/>
      <c r="E5043" s="1733"/>
      <c r="F5043" s="1733"/>
      <c r="G5043" s="1733"/>
      <c r="H5043" s="1733"/>
      <c r="I5043" s="1733"/>
      <c r="J5043" s="1733"/>
    </row>
    <row r="5044" spans="1:10" ht="15.75" customHeight="1">
      <c r="A5044" s="1733"/>
      <c r="B5044" s="1733"/>
      <c r="C5044" s="1733"/>
      <c r="D5044" s="1733"/>
      <c r="E5044" s="1733"/>
      <c r="F5044" s="1733"/>
      <c r="G5044" s="1733"/>
      <c r="H5044" s="1733"/>
      <c r="I5044" s="1733"/>
      <c r="J5044" s="1733"/>
    </row>
    <row r="5045" spans="1:10" ht="15.75" customHeight="1">
      <c r="A5045" s="1733"/>
      <c r="B5045" s="1733"/>
      <c r="C5045" s="1733"/>
      <c r="D5045" s="1733"/>
      <c r="E5045" s="1733"/>
      <c r="F5045" s="1733"/>
      <c r="G5045" s="1733"/>
      <c r="H5045" s="1733"/>
      <c r="I5045" s="1733"/>
      <c r="J5045" s="1733"/>
    </row>
    <row r="5046" spans="1:10" ht="15.75" customHeight="1">
      <c r="A5046" s="1733"/>
      <c r="B5046" s="1733"/>
      <c r="C5046" s="1733"/>
      <c r="D5046" s="1733"/>
      <c r="E5046" s="1733"/>
      <c r="F5046" s="1733"/>
      <c r="G5046" s="1733"/>
      <c r="H5046" s="1733"/>
      <c r="I5046" s="1733"/>
      <c r="J5046" s="1733"/>
    </row>
    <row r="5047" spans="1:10" ht="15.75" customHeight="1">
      <c r="A5047" s="1733"/>
      <c r="B5047" s="1733"/>
      <c r="C5047" s="1733"/>
      <c r="D5047" s="1733"/>
      <c r="E5047" s="1733"/>
      <c r="F5047" s="1733"/>
      <c r="G5047" s="1733"/>
      <c r="H5047" s="1733"/>
      <c r="I5047" s="1733"/>
      <c r="J5047" s="1733"/>
    </row>
    <row r="5048" spans="1:10" ht="15.75" customHeight="1">
      <c r="A5048" s="1733"/>
      <c r="B5048" s="1733"/>
      <c r="C5048" s="1733"/>
      <c r="D5048" s="1733"/>
      <c r="E5048" s="1733"/>
      <c r="F5048" s="1733"/>
      <c r="G5048" s="1733"/>
      <c r="H5048" s="1733"/>
      <c r="I5048" s="1733"/>
      <c r="J5048" s="1733"/>
    </row>
    <row r="5049" spans="1:10" ht="15.75" customHeight="1">
      <c r="A5049" s="1733"/>
      <c r="B5049" s="1733"/>
      <c r="C5049" s="1733"/>
      <c r="D5049" s="1733"/>
      <c r="E5049" s="1733"/>
      <c r="F5049" s="1733"/>
      <c r="G5049" s="1733"/>
      <c r="H5049" s="1733"/>
      <c r="I5049" s="1733"/>
      <c r="J5049" s="1733"/>
    </row>
    <row r="5050" spans="1:10" ht="15.75" customHeight="1">
      <c r="A5050" s="1733"/>
      <c r="B5050" s="1733"/>
      <c r="C5050" s="1733"/>
      <c r="D5050" s="1733"/>
      <c r="E5050" s="1733"/>
      <c r="F5050" s="1733"/>
      <c r="G5050" s="1733"/>
      <c r="H5050" s="1733"/>
      <c r="I5050" s="1733"/>
      <c r="J5050" s="1733"/>
    </row>
    <row r="5051" spans="1:10" ht="15.75" customHeight="1">
      <c r="A5051" s="1733"/>
      <c r="B5051" s="1733"/>
      <c r="C5051" s="1733"/>
      <c r="D5051" s="1733"/>
      <c r="E5051" s="1733"/>
      <c r="F5051" s="1733"/>
      <c r="G5051" s="1733"/>
      <c r="H5051" s="1733"/>
      <c r="I5051" s="1733"/>
      <c r="J5051" s="1733"/>
    </row>
    <row r="5052" spans="1:10" ht="15.75" customHeight="1">
      <c r="A5052" s="1733"/>
      <c r="B5052" s="1733"/>
      <c r="C5052" s="1733"/>
      <c r="D5052" s="1733"/>
      <c r="E5052" s="1733"/>
      <c r="F5052" s="1733"/>
      <c r="G5052" s="1733"/>
      <c r="H5052" s="1733"/>
      <c r="I5052" s="1733"/>
      <c r="J5052" s="1733"/>
    </row>
    <row r="5053" spans="1:10" ht="15.75" customHeight="1">
      <c r="A5053" s="1733"/>
      <c r="B5053" s="1733"/>
      <c r="C5053" s="1733"/>
      <c r="D5053" s="1733"/>
      <c r="E5053" s="1733"/>
      <c r="F5053" s="1733"/>
      <c r="G5053" s="1733"/>
      <c r="H5053" s="1733"/>
      <c r="I5053" s="1733"/>
      <c r="J5053" s="1733"/>
    </row>
    <row r="5054" spans="1:10" ht="15.75" customHeight="1">
      <c r="A5054" s="1733"/>
      <c r="B5054" s="1733"/>
      <c r="C5054" s="1733"/>
      <c r="D5054" s="1733"/>
      <c r="E5054" s="1733"/>
      <c r="F5054" s="1733"/>
      <c r="G5054" s="1733"/>
      <c r="H5054" s="1733"/>
      <c r="I5054" s="1733"/>
      <c r="J5054" s="1733"/>
    </row>
    <row r="5055" spans="1:10" ht="15.75" customHeight="1">
      <c r="A5055" s="1733"/>
      <c r="B5055" s="1733"/>
      <c r="C5055" s="1733"/>
      <c r="D5055" s="1733"/>
      <c r="E5055" s="1733"/>
      <c r="F5055" s="1733"/>
      <c r="G5055" s="1733"/>
      <c r="H5055" s="1733"/>
      <c r="I5055" s="1733"/>
      <c r="J5055" s="1733"/>
    </row>
    <row r="5056" spans="1:10" ht="15.75" customHeight="1">
      <c r="A5056" s="1733"/>
      <c r="B5056" s="1733"/>
      <c r="C5056" s="1733"/>
      <c r="D5056" s="1733"/>
      <c r="E5056" s="1733"/>
      <c r="F5056" s="1733"/>
      <c r="G5056" s="1733"/>
      <c r="H5056" s="1733"/>
      <c r="I5056" s="1733"/>
      <c r="J5056" s="1733"/>
    </row>
    <row r="5057" spans="1:10" ht="15.75" customHeight="1">
      <c r="A5057" s="1733"/>
      <c r="B5057" s="1733"/>
      <c r="C5057" s="1733"/>
      <c r="D5057" s="1733"/>
      <c r="E5057" s="1733"/>
      <c r="F5057" s="1733"/>
      <c r="G5057" s="1733"/>
      <c r="H5057" s="1733"/>
      <c r="I5057" s="1733"/>
      <c r="J5057" s="1733"/>
    </row>
    <row r="5058" spans="1:10" ht="15.75" customHeight="1">
      <c r="A5058" s="1733"/>
      <c r="B5058" s="1733"/>
      <c r="C5058" s="1733"/>
      <c r="D5058" s="1733"/>
      <c r="E5058" s="1733"/>
      <c r="F5058" s="1733"/>
      <c r="G5058" s="1733"/>
      <c r="H5058" s="1733"/>
      <c r="I5058" s="1733"/>
      <c r="J5058" s="1733"/>
    </row>
    <row r="5059" spans="1:10" ht="15.75" customHeight="1">
      <c r="A5059" s="1733"/>
      <c r="B5059" s="1733"/>
      <c r="C5059" s="1733"/>
      <c r="D5059" s="1733"/>
      <c r="E5059" s="1733"/>
      <c r="F5059" s="1733"/>
      <c r="G5059" s="1733"/>
      <c r="H5059" s="1733"/>
      <c r="I5059" s="1733"/>
      <c r="J5059" s="1733"/>
    </row>
    <row r="5060" spans="1:10" ht="15.75" customHeight="1">
      <c r="A5060" s="1733"/>
      <c r="B5060" s="1733"/>
      <c r="C5060" s="1733"/>
      <c r="D5060" s="1733"/>
      <c r="E5060" s="1733"/>
      <c r="F5060" s="1733"/>
      <c r="G5060" s="1733"/>
      <c r="H5060" s="1733"/>
      <c r="I5060" s="1733"/>
      <c r="J5060" s="1733"/>
    </row>
    <row r="5061" spans="1:10" ht="15.75" customHeight="1">
      <c r="A5061" s="1733"/>
      <c r="B5061" s="1733"/>
      <c r="C5061" s="1733"/>
      <c r="D5061" s="1733"/>
      <c r="E5061" s="1733"/>
      <c r="F5061" s="1733"/>
      <c r="G5061" s="1733"/>
      <c r="H5061" s="1733"/>
      <c r="I5061" s="1733"/>
      <c r="J5061" s="1733"/>
    </row>
    <row r="5062" spans="1:10" ht="15.75" customHeight="1">
      <c r="A5062" s="1733"/>
      <c r="B5062" s="1733"/>
      <c r="C5062" s="1733"/>
      <c r="D5062" s="1733"/>
      <c r="E5062" s="1733"/>
      <c r="F5062" s="1733"/>
      <c r="G5062" s="1733"/>
      <c r="H5062" s="1733"/>
      <c r="I5062" s="1733"/>
      <c r="J5062" s="1733"/>
    </row>
    <row r="5063" spans="1:10" ht="15.75" customHeight="1">
      <c r="A5063" s="1733"/>
      <c r="B5063" s="1733"/>
      <c r="C5063" s="1733"/>
      <c r="D5063" s="1733"/>
      <c r="E5063" s="1733"/>
      <c r="F5063" s="1733"/>
      <c r="G5063" s="1733"/>
      <c r="H5063" s="1733"/>
      <c r="I5063" s="1733"/>
      <c r="J5063" s="1733"/>
    </row>
    <row r="5064" spans="1:10" ht="15.75" customHeight="1">
      <c r="A5064" s="1733"/>
      <c r="B5064" s="1733"/>
      <c r="C5064" s="1733"/>
      <c r="D5064" s="1733"/>
      <c r="E5064" s="1733"/>
      <c r="F5064" s="1733"/>
      <c r="G5064" s="1733"/>
      <c r="H5064" s="1733"/>
      <c r="I5064" s="1733"/>
      <c r="J5064" s="1733"/>
    </row>
    <row r="5065" spans="1:10" ht="15.75" customHeight="1">
      <c r="A5065" s="1733"/>
      <c r="B5065" s="1733"/>
      <c r="C5065" s="1733"/>
      <c r="D5065" s="1733"/>
      <c r="E5065" s="1733"/>
      <c r="F5065" s="1733"/>
      <c r="G5065" s="1733"/>
      <c r="H5065" s="1733"/>
      <c r="I5065" s="1733"/>
      <c r="J5065" s="1733"/>
    </row>
    <row r="5066" spans="1:10" ht="15.75" customHeight="1">
      <c r="A5066" s="1733"/>
      <c r="B5066" s="1733"/>
      <c r="C5066" s="1733"/>
      <c r="D5066" s="1733"/>
      <c r="E5066" s="1733"/>
      <c r="F5066" s="1733"/>
      <c r="G5066" s="1733"/>
      <c r="H5066" s="1733"/>
      <c r="I5066" s="1733"/>
      <c r="J5066" s="1733"/>
    </row>
    <row r="5067" spans="1:10" ht="15.75" customHeight="1">
      <c r="A5067" s="1733"/>
      <c r="B5067" s="1733"/>
      <c r="C5067" s="1733"/>
      <c r="D5067" s="1733"/>
      <c r="E5067" s="1733"/>
      <c r="F5067" s="1733"/>
      <c r="G5067" s="1733"/>
      <c r="H5067" s="1733"/>
      <c r="I5067" s="1733"/>
      <c r="J5067" s="1733"/>
    </row>
    <row r="5068" spans="1:10" ht="15.75" customHeight="1">
      <c r="A5068" s="1733"/>
      <c r="B5068" s="1733"/>
      <c r="C5068" s="1733"/>
      <c r="D5068" s="1733"/>
      <c r="E5068" s="1733"/>
      <c r="F5068" s="1733"/>
      <c r="G5068" s="1733"/>
      <c r="H5068" s="1733"/>
      <c r="I5068" s="1733"/>
      <c r="J5068" s="1733"/>
    </row>
    <row r="5069" spans="1:10" ht="15.75" customHeight="1">
      <c r="A5069" s="1733"/>
      <c r="B5069" s="1733"/>
      <c r="C5069" s="1733"/>
      <c r="D5069" s="1733"/>
      <c r="E5069" s="1733"/>
      <c r="F5069" s="1733"/>
      <c r="G5069" s="1733"/>
      <c r="H5069" s="1733"/>
      <c r="I5069" s="1733"/>
      <c r="J5069" s="1733"/>
    </row>
    <row r="5070" spans="1:10" ht="15.75" customHeight="1">
      <c r="A5070" s="1733"/>
      <c r="B5070" s="1733"/>
      <c r="C5070" s="1733"/>
      <c r="D5070" s="1733"/>
      <c r="E5070" s="1733"/>
      <c r="F5070" s="1733"/>
      <c r="G5070" s="1733"/>
      <c r="H5070" s="1733"/>
      <c r="I5070" s="1733"/>
      <c r="J5070" s="1733"/>
    </row>
    <row r="5071" spans="1:10" ht="15.75" customHeight="1">
      <c r="A5071" s="1733"/>
      <c r="B5071" s="1733"/>
      <c r="C5071" s="1733"/>
      <c r="D5071" s="1733"/>
      <c r="E5071" s="1733"/>
      <c r="F5071" s="1733"/>
      <c r="G5071" s="1733"/>
      <c r="H5071" s="1733"/>
      <c r="I5071" s="1733"/>
      <c r="J5071" s="1733"/>
    </row>
    <row r="5072" spans="1:10" ht="15.75" customHeight="1">
      <c r="A5072" s="1733"/>
      <c r="B5072" s="1733"/>
      <c r="C5072" s="1733"/>
      <c r="D5072" s="1733"/>
      <c r="E5072" s="1733"/>
      <c r="F5072" s="1733"/>
      <c r="G5072" s="1733"/>
      <c r="H5072" s="1733"/>
      <c r="I5072" s="1733"/>
      <c r="J5072" s="1733"/>
    </row>
    <row r="5073" spans="1:10" ht="15.75" customHeight="1">
      <c r="A5073" s="1733"/>
      <c r="B5073" s="1733"/>
      <c r="C5073" s="1733"/>
      <c r="D5073" s="1733"/>
      <c r="E5073" s="1733"/>
      <c r="F5073" s="1733"/>
      <c r="G5073" s="1733"/>
      <c r="H5073" s="1733"/>
      <c r="I5073" s="1733"/>
      <c r="J5073" s="1733"/>
    </row>
    <row r="5074" spans="1:10" ht="15.75" customHeight="1">
      <c r="A5074" s="1733"/>
      <c r="B5074" s="1733"/>
      <c r="C5074" s="1733"/>
      <c r="D5074" s="1733"/>
      <c r="E5074" s="1733"/>
      <c r="F5074" s="1733"/>
      <c r="G5074" s="1733"/>
      <c r="H5074" s="1733"/>
      <c r="I5074" s="1733"/>
      <c r="J5074" s="1733"/>
    </row>
    <row r="5075" spans="1:10" ht="15.75" customHeight="1">
      <c r="A5075" s="1733"/>
      <c r="B5075" s="1733"/>
      <c r="C5075" s="1733"/>
      <c r="D5075" s="1733"/>
      <c r="E5075" s="1733"/>
      <c r="F5075" s="1733"/>
      <c r="G5075" s="1733"/>
      <c r="H5075" s="1733"/>
      <c r="I5075" s="1733"/>
      <c r="J5075" s="1733"/>
    </row>
    <row r="5076" spans="1:10" ht="15.75" customHeight="1">
      <c r="A5076" s="1733"/>
      <c r="B5076" s="1733"/>
      <c r="C5076" s="1733"/>
      <c r="D5076" s="1733"/>
      <c r="E5076" s="1733"/>
      <c r="F5076" s="1733"/>
      <c r="G5076" s="1733"/>
      <c r="H5076" s="1733"/>
      <c r="I5076" s="1733"/>
      <c r="J5076" s="1733"/>
    </row>
    <row r="5077" spans="1:10" ht="15.75" customHeight="1">
      <c r="A5077" s="1733"/>
      <c r="B5077" s="1733"/>
      <c r="C5077" s="1733"/>
      <c r="D5077" s="1733"/>
      <c r="E5077" s="1733"/>
      <c r="F5077" s="1733"/>
      <c r="G5077" s="1733"/>
      <c r="H5077" s="1733"/>
      <c r="I5077" s="1733"/>
      <c r="J5077" s="1733"/>
    </row>
    <row r="5078" spans="1:10" ht="15.75" customHeight="1">
      <c r="A5078" s="1733"/>
      <c r="B5078" s="1733"/>
      <c r="C5078" s="1733"/>
      <c r="D5078" s="1733"/>
      <c r="E5078" s="1733"/>
      <c r="F5078" s="1733"/>
      <c r="G5078" s="1733"/>
      <c r="H5078" s="1733"/>
      <c r="I5078" s="1733"/>
      <c r="J5078" s="1733"/>
    </row>
    <row r="5079" spans="1:10" ht="15.75" customHeight="1">
      <c r="A5079" s="1733"/>
      <c r="B5079" s="1733"/>
      <c r="C5079" s="1733"/>
      <c r="D5079" s="1733"/>
      <c r="E5079" s="1733"/>
      <c r="F5079" s="1733"/>
      <c r="G5079" s="1733"/>
      <c r="H5079" s="1733"/>
      <c r="I5079" s="1733"/>
      <c r="J5079" s="1733"/>
    </row>
    <row r="5080" spans="1:10" ht="15.75" customHeight="1">
      <c r="A5080" s="1733"/>
      <c r="B5080" s="1733"/>
      <c r="C5080" s="1733"/>
      <c r="D5080" s="1733"/>
      <c r="E5080" s="1733"/>
      <c r="F5080" s="1733"/>
      <c r="G5080" s="1733"/>
      <c r="H5080" s="1733"/>
      <c r="I5080" s="1733"/>
      <c r="J5080" s="1733"/>
    </row>
    <row r="5081" spans="1:10" ht="15.75" customHeight="1">
      <c r="A5081" s="1733"/>
      <c r="B5081" s="1733"/>
      <c r="C5081" s="1733"/>
      <c r="D5081" s="1733"/>
      <c r="E5081" s="1733"/>
      <c r="F5081" s="1733"/>
      <c r="G5081" s="1733"/>
      <c r="H5081" s="1733"/>
      <c r="I5081" s="1733"/>
      <c r="J5081" s="1733"/>
    </row>
    <row r="5082" spans="1:10" ht="15.75" customHeight="1">
      <c r="A5082" s="1733"/>
      <c r="B5082" s="1733"/>
      <c r="C5082" s="1733"/>
      <c r="D5082" s="1733"/>
      <c r="E5082" s="1733"/>
      <c r="F5082" s="1733"/>
      <c r="G5082" s="1733"/>
      <c r="H5082" s="1733"/>
      <c r="I5082" s="1733"/>
      <c r="J5082" s="1733"/>
    </row>
    <row r="5083" spans="1:10" ht="15.75" customHeight="1">
      <c r="A5083" s="1733"/>
      <c r="B5083" s="1733"/>
      <c r="C5083" s="1733"/>
      <c r="D5083" s="1733"/>
      <c r="E5083" s="1733"/>
      <c r="F5083" s="1733"/>
      <c r="G5083" s="1733"/>
      <c r="H5083" s="1733"/>
      <c r="I5083" s="1733"/>
      <c r="J5083" s="1733"/>
    </row>
    <row r="5084" spans="1:10" ht="15.75" customHeight="1">
      <c r="A5084" s="1733"/>
      <c r="B5084" s="1733"/>
      <c r="C5084" s="1733"/>
      <c r="D5084" s="1733"/>
      <c r="E5084" s="1733"/>
      <c r="F5084" s="1733"/>
      <c r="G5084" s="1733"/>
      <c r="H5084" s="1733"/>
      <c r="I5084" s="1733"/>
      <c r="J5084" s="1733"/>
    </row>
    <row r="5085" spans="1:10" ht="15.75" customHeight="1">
      <c r="A5085" s="1733"/>
      <c r="B5085" s="1733"/>
      <c r="C5085" s="1733"/>
      <c r="D5085" s="1733"/>
      <c r="E5085" s="1733"/>
      <c r="F5085" s="1733"/>
      <c r="G5085" s="1733"/>
      <c r="H5085" s="1733"/>
      <c r="I5085" s="1733"/>
      <c r="J5085" s="1733"/>
    </row>
    <row r="5086" spans="1:10" ht="15.75" customHeight="1">
      <c r="A5086" s="1733"/>
      <c r="B5086" s="1733"/>
      <c r="C5086" s="1733"/>
      <c r="D5086" s="1733"/>
      <c r="E5086" s="1733"/>
      <c r="F5086" s="1733"/>
      <c r="G5086" s="1733"/>
      <c r="H5086" s="1733"/>
      <c r="I5086" s="1733"/>
      <c r="J5086" s="1733"/>
    </row>
    <row r="5087" spans="1:10" ht="15.75" customHeight="1">
      <c r="A5087" s="1733"/>
      <c r="B5087" s="1733"/>
      <c r="C5087" s="1733"/>
      <c r="D5087" s="1733"/>
      <c r="E5087" s="1733"/>
      <c r="F5087" s="1733"/>
      <c r="G5087" s="1733"/>
      <c r="H5087" s="1733"/>
      <c r="I5087" s="1733"/>
      <c r="J5087" s="1733"/>
    </row>
    <row r="5088" spans="1:10" ht="15.75" customHeight="1">
      <c r="A5088" s="1733"/>
      <c r="B5088" s="1733"/>
      <c r="C5088" s="1733"/>
      <c r="D5088" s="1733"/>
      <c r="E5088" s="1733"/>
      <c r="F5088" s="1733"/>
      <c r="G5088" s="1733"/>
      <c r="H5088" s="1733"/>
      <c r="I5088" s="1733"/>
      <c r="J5088" s="1733"/>
    </row>
    <row r="5089" spans="1:10" ht="15.75" customHeight="1">
      <c r="A5089" s="1733"/>
      <c r="B5089" s="1733"/>
      <c r="C5089" s="1733"/>
      <c r="D5089" s="1733"/>
      <c r="E5089" s="1733"/>
      <c r="F5089" s="1733"/>
      <c r="G5089" s="1733"/>
      <c r="H5089" s="1733"/>
      <c r="I5089" s="1733"/>
      <c r="J5089" s="1733"/>
    </row>
    <row r="5090" spans="1:10" ht="15.75" customHeight="1">
      <c r="A5090" s="1733"/>
      <c r="B5090" s="1733"/>
      <c r="C5090" s="1733"/>
      <c r="D5090" s="1733"/>
      <c r="E5090" s="1733"/>
      <c r="F5090" s="1733"/>
      <c r="G5090" s="1733"/>
      <c r="H5090" s="1733"/>
      <c r="I5090" s="1733"/>
      <c r="J5090" s="1733"/>
    </row>
    <row r="5091" spans="1:10" ht="15.75" customHeight="1">
      <c r="A5091" s="1733"/>
      <c r="B5091" s="1733"/>
      <c r="C5091" s="1733"/>
      <c r="D5091" s="1733"/>
      <c r="E5091" s="1733"/>
      <c r="F5091" s="1733"/>
      <c r="G5091" s="1733"/>
      <c r="H5091" s="1733"/>
      <c r="I5091" s="1733"/>
      <c r="J5091" s="1733"/>
    </row>
    <row r="5092" spans="1:10" ht="15.75" customHeight="1">
      <c r="A5092" s="1733"/>
      <c r="B5092" s="1733"/>
      <c r="C5092" s="1733"/>
      <c r="D5092" s="1733"/>
      <c r="E5092" s="1733"/>
      <c r="F5092" s="1733"/>
      <c r="G5092" s="1733"/>
      <c r="H5092" s="1733"/>
      <c r="I5092" s="1733"/>
      <c r="J5092" s="1733"/>
    </row>
    <row r="5093" spans="1:10" ht="15.75" customHeight="1">
      <c r="A5093" s="1733"/>
      <c r="B5093" s="1733"/>
      <c r="C5093" s="1733"/>
      <c r="D5093" s="1733"/>
      <c r="E5093" s="1733"/>
      <c r="F5093" s="1733"/>
      <c r="G5093" s="1733"/>
      <c r="H5093" s="1733"/>
      <c r="I5093" s="1733"/>
      <c r="J5093" s="1733"/>
    </row>
    <row r="5094" spans="1:10" ht="15.75" customHeight="1">
      <c r="A5094" s="1733"/>
      <c r="B5094" s="1733"/>
      <c r="C5094" s="1733"/>
      <c r="D5094" s="1733"/>
      <c r="E5094" s="1733"/>
      <c r="F5094" s="1733"/>
      <c r="G5094" s="1733"/>
      <c r="H5094" s="1733"/>
      <c r="I5094" s="1733"/>
      <c r="J5094" s="1733"/>
    </row>
    <row r="5095" spans="1:10" ht="15.75" customHeight="1">
      <c r="A5095" s="1733"/>
      <c r="B5095" s="1733"/>
      <c r="C5095" s="1733"/>
      <c r="D5095" s="1733"/>
      <c r="E5095" s="1733"/>
      <c r="F5095" s="1733"/>
      <c r="G5095" s="1733"/>
      <c r="H5095" s="1733"/>
      <c r="I5095" s="1733"/>
      <c r="J5095" s="1733"/>
    </row>
    <row r="5096" spans="1:10" ht="15.75" customHeight="1">
      <c r="A5096" s="1733"/>
      <c r="B5096" s="1733"/>
      <c r="C5096" s="1733"/>
      <c r="D5096" s="1733"/>
      <c r="E5096" s="1733"/>
      <c r="F5096" s="1733"/>
      <c r="G5096" s="1733"/>
      <c r="H5096" s="1733"/>
      <c r="I5096" s="1733"/>
      <c r="J5096" s="1733"/>
    </row>
    <row r="5097" spans="1:10" ht="15.75" customHeight="1">
      <c r="A5097" s="1733"/>
      <c r="B5097" s="1733"/>
      <c r="C5097" s="1733"/>
      <c r="D5097" s="1733"/>
      <c r="E5097" s="1733"/>
      <c r="F5097" s="1733"/>
      <c r="G5097" s="1733"/>
      <c r="H5097" s="1733"/>
      <c r="I5097" s="1733"/>
      <c r="J5097" s="1733"/>
    </row>
    <row r="5098" spans="1:10" ht="15.75" customHeight="1">
      <c r="A5098" s="1733"/>
      <c r="B5098" s="1733"/>
      <c r="C5098" s="1733"/>
      <c r="D5098" s="1733"/>
      <c r="E5098" s="1733"/>
      <c r="F5098" s="1733"/>
      <c r="G5098" s="1733"/>
      <c r="H5098" s="1733"/>
      <c r="I5098" s="1733"/>
      <c r="J5098" s="1733"/>
    </row>
    <row r="5099" spans="1:10" ht="15.75" customHeight="1">
      <c r="A5099" s="1733"/>
      <c r="B5099" s="1733"/>
      <c r="C5099" s="1733"/>
      <c r="D5099" s="1733"/>
      <c r="E5099" s="1733"/>
      <c r="F5099" s="1733"/>
      <c r="G5099" s="1733"/>
      <c r="H5099" s="1733"/>
      <c r="I5099" s="1733"/>
      <c r="J5099" s="1733"/>
    </row>
    <row r="5100" spans="1:10" ht="15.75" customHeight="1">
      <c r="A5100" s="1733"/>
      <c r="B5100" s="1733"/>
      <c r="C5100" s="1733"/>
      <c r="D5100" s="1733"/>
      <c r="E5100" s="1733"/>
      <c r="F5100" s="1733"/>
      <c r="G5100" s="1733"/>
      <c r="H5100" s="1733"/>
      <c r="I5100" s="1733"/>
      <c r="J5100" s="1733"/>
    </row>
    <row r="5101" spans="1:10" ht="15.75" customHeight="1">
      <c r="A5101" s="1733"/>
      <c r="B5101" s="1733"/>
      <c r="C5101" s="1733"/>
      <c r="D5101" s="1733"/>
      <c r="E5101" s="1733"/>
      <c r="F5101" s="1733"/>
      <c r="G5101" s="1733"/>
      <c r="H5101" s="1733"/>
      <c r="I5101" s="1733"/>
      <c r="J5101" s="1733"/>
    </row>
    <row r="5102" spans="1:10" ht="15.75" customHeight="1">
      <c r="A5102" s="1733"/>
      <c r="B5102" s="1733"/>
      <c r="C5102" s="1733"/>
      <c r="D5102" s="1733"/>
      <c r="E5102" s="1733"/>
      <c r="F5102" s="1733"/>
      <c r="G5102" s="1733"/>
      <c r="H5102" s="1733"/>
      <c r="I5102" s="1733"/>
      <c r="J5102" s="1733"/>
    </row>
    <row r="5103" spans="1:10" ht="15.75" customHeight="1">
      <c r="A5103" s="1733"/>
      <c r="B5103" s="1733"/>
      <c r="C5103" s="1733"/>
      <c r="D5103" s="1733"/>
      <c r="E5103" s="1733"/>
      <c r="F5103" s="1733"/>
      <c r="G5103" s="1733"/>
      <c r="H5103" s="1733"/>
      <c r="I5103" s="1733"/>
      <c r="J5103" s="1733"/>
    </row>
    <row r="5104" spans="1:10" ht="15.75" customHeight="1">
      <c r="A5104" s="1733"/>
      <c r="B5104" s="1733"/>
      <c r="C5104" s="1733"/>
      <c r="D5104" s="1733"/>
      <c r="E5104" s="1733"/>
      <c r="F5104" s="1733"/>
      <c r="G5104" s="1733"/>
      <c r="H5104" s="1733"/>
      <c r="I5104" s="1733"/>
      <c r="J5104" s="1733"/>
    </row>
    <row r="5105" spans="1:10" ht="15.75" customHeight="1">
      <c r="A5105" s="1733"/>
      <c r="B5105" s="1733"/>
      <c r="C5105" s="1733"/>
      <c r="D5105" s="1733"/>
      <c r="E5105" s="1733"/>
      <c r="F5105" s="1733"/>
      <c r="G5105" s="1733"/>
      <c r="H5105" s="1733"/>
      <c r="I5105" s="1733"/>
      <c r="J5105" s="1733"/>
    </row>
    <row r="5106" spans="1:10" ht="15.75" customHeight="1">
      <c r="A5106" s="1733"/>
      <c r="B5106" s="1733"/>
      <c r="C5106" s="1733"/>
      <c r="D5106" s="1733"/>
      <c r="E5106" s="1733"/>
      <c r="F5106" s="1733"/>
      <c r="G5106" s="1733"/>
      <c r="H5106" s="1733"/>
      <c r="I5106" s="1733"/>
      <c r="J5106" s="1733"/>
    </row>
    <row r="5107" spans="1:10" ht="15.75" customHeight="1">
      <c r="A5107" s="1733"/>
      <c r="B5107" s="1733"/>
      <c r="C5107" s="1733"/>
      <c r="D5107" s="1733"/>
      <c r="E5107" s="1733"/>
      <c r="F5107" s="1733"/>
      <c r="G5107" s="1733"/>
      <c r="H5107" s="1733"/>
      <c r="I5107" s="1733"/>
      <c r="J5107" s="1733"/>
    </row>
    <row r="5108" spans="1:10" ht="15.75" customHeight="1">
      <c r="A5108" s="1733"/>
      <c r="B5108" s="1733"/>
      <c r="C5108" s="1733"/>
      <c r="D5108" s="1733"/>
      <c r="E5108" s="1733"/>
      <c r="F5108" s="1733"/>
      <c r="G5108" s="1733"/>
      <c r="H5108" s="1733"/>
      <c r="I5108" s="1733"/>
      <c r="J5108" s="1733"/>
    </row>
    <row r="5109" spans="1:10" ht="15.75" customHeight="1">
      <c r="A5109" s="1733"/>
      <c r="B5109" s="1733"/>
      <c r="C5109" s="1733"/>
      <c r="D5109" s="1733"/>
      <c r="E5109" s="1733"/>
      <c r="F5109" s="1733"/>
      <c r="G5109" s="1733"/>
      <c r="H5109" s="1733"/>
      <c r="I5109" s="1733"/>
      <c r="J5109" s="1733"/>
    </row>
    <row r="5110" spans="1:10" ht="15.75" customHeight="1">
      <c r="A5110" s="1733"/>
      <c r="B5110" s="1733"/>
      <c r="C5110" s="1733"/>
      <c r="D5110" s="1733"/>
      <c r="E5110" s="1733"/>
      <c r="F5110" s="1733"/>
      <c r="G5110" s="1733"/>
      <c r="H5110" s="1733"/>
      <c r="I5110" s="1733"/>
      <c r="J5110" s="1733"/>
    </row>
    <row r="5111" spans="1:10" ht="15.75" customHeight="1">
      <c r="A5111" s="1733"/>
      <c r="B5111" s="1733"/>
      <c r="C5111" s="1733"/>
      <c r="D5111" s="1733"/>
      <c r="E5111" s="1733"/>
      <c r="F5111" s="1733"/>
      <c r="G5111" s="1733"/>
      <c r="H5111" s="1733"/>
      <c r="I5111" s="1733"/>
      <c r="J5111" s="1733"/>
    </row>
    <row r="5112" spans="1:10" ht="15.75" customHeight="1">
      <c r="A5112" s="1733"/>
      <c r="B5112" s="1733"/>
      <c r="C5112" s="1733"/>
      <c r="D5112" s="1733"/>
      <c r="E5112" s="1733"/>
      <c r="F5112" s="1733"/>
      <c r="G5112" s="1733"/>
      <c r="H5112" s="1733"/>
      <c r="I5112" s="1733"/>
      <c r="J5112" s="1733"/>
    </row>
    <row r="5113" spans="1:10" ht="15.75" customHeight="1">
      <c r="A5113" s="1733"/>
      <c r="B5113" s="1733"/>
      <c r="C5113" s="1733"/>
      <c r="D5113" s="1733"/>
      <c r="E5113" s="1733"/>
      <c r="F5113" s="1733"/>
      <c r="G5113" s="1733"/>
      <c r="H5113" s="1733"/>
      <c r="I5113" s="1733"/>
      <c r="J5113" s="1733"/>
    </row>
    <row r="5114" spans="1:10" ht="15.75" customHeight="1">
      <c r="A5114" s="1733"/>
      <c r="B5114" s="1733"/>
      <c r="C5114" s="1733"/>
      <c r="D5114" s="1733"/>
      <c r="E5114" s="1733"/>
      <c r="F5114" s="1733"/>
      <c r="G5114" s="1733"/>
      <c r="H5114" s="1733"/>
      <c r="I5114" s="1733"/>
      <c r="J5114" s="1733"/>
    </row>
    <row r="5115" spans="1:10" ht="15.75" customHeight="1">
      <c r="A5115" s="1733"/>
      <c r="B5115" s="1733"/>
      <c r="C5115" s="1733"/>
      <c r="D5115" s="1733"/>
      <c r="E5115" s="1733"/>
      <c r="F5115" s="1733"/>
      <c r="G5115" s="1733"/>
      <c r="H5115" s="1733"/>
      <c r="I5115" s="1733"/>
      <c r="J5115" s="1733"/>
    </row>
    <row r="5116" spans="1:10" ht="15.75" customHeight="1">
      <c r="A5116" s="1733"/>
      <c r="B5116" s="1733"/>
      <c r="C5116" s="1733"/>
      <c r="D5116" s="1733"/>
      <c r="E5116" s="1733"/>
      <c r="F5116" s="1733"/>
      <c r="G5116" s="1733"/>
      <c r="H5116" s="1733"/>
      <c r="I5116" s="1733"/>
      <c r="J5116" s="1733"/>
    </row>
    <row r="5117" spans="1:10" ht="15.75" customHeight="1">
      <c r="A5117" s="1733"/>
      <c r="B5117" s="1733"/>
      <c r="C5117" s="1733"/>
      <c r="D5117" s="1733"/>
      <c r="E5117" s="1733"/>
      <c r="F5117" s="1733"/>
      <c r="G5117" s="1733"/>
      <c r="H5117" s="1733"/>
      <c r="I5117" s="1733"/>
      <c r="J5117" s="1733"/>
    </row>
    <row r="5118" spans="1:10" ht="15.75" customHeight="1">
      <c r="A5118" s="1733"/>
      <c r="B5118" s="1733"/>
      <c r="C5118" s="1733"/>
      <c r="D5118" s="1733"/>
      <c r="E5118" s="1733"/>
      <c r="F5118" s="1733"/>
      <c r="G5118" s="1733"/>
      <c r="H5118" s="1733"/>
      <c r="I5118" s="1733"/>
      <c r="J5118" s="1733"/>
    </row>
    <row r="5119" spans="1:10" ht="15.75" customHeight="1">
      <c r="A5119" s="1733"/>
      <c r="B5119" s="1733"/>
      <c r="C5119" s="1733"/>
      <c r="D5119" s="1733"/>
      <c r="E5119" s="1733"/>
      <c r="F5119" s="1733"/>
      <c r="G5119" s="1733"/>
      <c r="H5119" s="1733"/>
      <c r="I5119" s="1733"/>
      <c r="J5119" s="1733"/>
    </row>
    <row r="5120" spans="1:10" ht="15.75" customHeight="1">
      <c r="A5120" s="1733"/>
      <c r="B5120" s="1733"/>
      <c r="C5120" s="1733"/>
      <c r="D5120" s="1733"/>
      <c r="E5120" s="1733"/>
      <c r="F5120" s="1733"/>
      <c r="G5120" s="1733"/>
      <c r="H5120" s="1733"/>
      <c r="I5120" s="1733"/>
      <c r="J5120" s="1733"/>
    </row>
    <row r="5121" spans="1:10" ht="15.75" customHeight="1">
      <c r="A5121" s="1733"/>
      <c r="B5121" s="1733"/>
      <c r="C5121" s="1733"/>
      <c r="D5121" s="1733"/>
      <c r="E5121" s="1733"/>
      <c r="F5121" s="1733"/>
      <c r="G5121" s="1733"/>
      <c r="H5121" s="1733"/>
      <c r="I5121" s="1733"/>
      <c r="J5121" s="1733"/>
    </row>
    <row r="5122" spans="1:10" ht="15.75" customHeight="1">
      <c r="A5122" s="1733"/>
      <c r="B5122" s="1733"/>
      <c r="C5122" s="1733"/>
      <c r="D5122" s="1733"/>
      <c r="E5122" s="1733"/>
      <c r="F5122" s="1733"/>
      <c r="G5122" s="1733"/>
      <c r="H5122" s="1733"/>
      <c r="I5122" s="1733"/>
      <c r="J5122" s="1733"/>
    </row>
    <row r="5123" spans="1:10" ht="15.75" customHeight="1">
      <c r="A5123" s="1733"/>
      <c r="B5123" s="1733"/>
      <c r="C5123" s="1733"/>
      <c r="D5123" s="1733"/>
      <c r="E5123" s="1733"/>
      <c r="F5123" s="1733"/>
      <c r="G5123" s="1733"/>
      <c r="H5123" s="1733"/>
      <c r="I5123" s="1733"/>
      <c r="J5123" s="1733"/>
    </row>
    <row r="5124" spans="1:10" ht="15.75" customHeight="1">
      <c r="A5124" s="1733"/>
      <c r="B5124" s="1733"/>
      <c r="C5124" s="1733"/>
      <c r="D5124" s="1733"/>
      <c r="E5124" s="1733"/>
      <c r="F5124" s="1733"/>
      <c r="G5124" s="1733"/>
      <c r="H5124" s="1733"/>
      <c r="I5124" s="1733"/>
      <c r="J5124" s="1733"/>
    </row>
    <row r="5125" spans="1:10" ht="15.75" customHeight="1">
      <c r="A5125" s="1733"/>
      <c r="B5125" s="1733"/>
      <c r="C5125" s="1733"/>
      <c r="D5125" s="1733"/>
      <c r="E5125" s="1733"/>
      <c r="F5125" s="1733"/>
      <c r="G5125" s="1733"/>
      <c r="H5125" s="1733"/>
      <c r="I5125" s="1733"/>
      <c r="J5125" s="1733"/>
    </row>
    <row r="5126" spans="1:10" ht="15.75" customHeight="1">
      <c r="A5126" s="1733"/>
      <c r="B5126" s="1733"/>
      <c r="C5126" s="1733"/>
      <c r="D5126" s="1733"/>
      <c r="E5126" s="1733"/>
      <c r="F5126" s="1733"/>
      <c r="G5126" s="1733"/>
      <c r="H5126" s="1733"/>
      <c r="I5126" s="1733"/>
      <c r="J5126" s="1733"/>
    </row>
    <row r="5127" spans="1:10" ht="15.75" customHeight="1">
      <c r="A5127" s="1733"/>
      <c r="B5127" s="1733"/>
      <c r="C5127" s="1733"/>
      <c r="D5127" s="1733"/>
      <c r="E5127" s="1733"/>
      <c r="F5127" s="1733"/>
      <c r="G5127" s="1733"/>
      <c r="H5127" s="1733"/>
      <c r="I5127" s="1733"/>
      <c r="J5127" s="1733"/>
    </row>
    <row r="5128" spans="1:10" ht="15.75" customHeight="1">
      <c r="A5128" s="1733"/>
      <c r="B5128" s="1733"/>
      <c r="C5128" s="1733"/>
      <c r="D5128" s="1733"/>
      <c r="E5128" s="1733"/>
      <c r="F5128" s="1733"/>
      <c r="G5128" s="1733"/>
      <c r="H5128" s="1733"/>
      <c r="I5128" s="1733"/>
      <c r="J5128" s="1733"/>
    </row>
    <row r="5129" spans="1:10" ht="15.75" customHeight="1">
      <c r="A5129" s="1733"/>
      <c r="B5129" s="1733"/>
      <c r="C5129" s="1733"/>
      <c r="D5129" s="1733"/>
      <c r="E5129" s="1733"/>
      <c r="F5129" s="1733"/>
      <c r="G5129" s="1733"/>
      <c r="H5129" s="1733"/>
      <c r="I5129" s="1733"/>
      <c r="J5129" s="1733"/>
    </row>
    <row r="5130" spans="1:10" ht="15.75" customHeight="1">
      <c r="A5130" s="1733"/>
      <c r="B5130" s="1733"/>
      <c r="C5130" s="1733"/>
      <c r="D5130" s="1733"/>
      <c r="E5130" s="1733"/>
      <c r="F5130" s="1733"/>
      <c r="G5130" s="1733"/>
      <c r="H5130" s="1733"/>
      <c r="I5130" s="1733"/>
      <c r="J5130" s="1733"/>
    </row>
    <row r="5131" spans="1:10" ht="15.75" customHeight="1">
      <c r="A5131" s="1733"/>
      <c r="B5131" s="1733"/>
      <c r="C5131" s="1733"/>
      <c r="D5131" s="1733"/>
      <c r="E5131" s="1733"/>
      <c r="F5131" s="1733"/>
      <c r="G5131" s="1733"/>
      <c r="H5131" s="1733"/>
      <c r="I5131" s="1733"/>
      <c r="J5131" s="1733"/>
    </row>
    <row r="5132" spans="1:10" ht="15.75" customHeight="1">
      <c r="A5132" s="1733"/>
      <c r="B5132" s="1733"/>
      <c r="C5132" s="1733"/>
      <c r="D5132" s="1733"/>
      <c r="E5132" s="1733"/>
      <c r="F5132" s="1733"/>
      <c r="G5132" s="1733"/>
      <c r="H5132" s="1733"/>
      <c r="I5132" s="1733"/>
      <c r="J5132" s="1733"/>
    </row>
    <row r="5133" spans="1:10" ht="15.75" customHeight="1">
      <c r="A5133" s="1733"/>
      <c r="B5133" s="1733"/>
      <c r="C5133" s="1733"/>
      <c r="D5133" s="1733"/>
      <c r="E5133" s="1733"/>
      <c r="F5133" s="1733"/>
      <c r="G5133" s="1733"/>
      <c r="H5133" s="1733"/>
      <c r="I5133" s="1733"/>
      <c r="J5133" s="1733"/>
    </row>
    <row r="5134" spans="1:10" ht="15.75" customHeight="1">
      <c r="A5134" s="1733"/>
      <c r="B5134" s="1733"/>
      <c r="C5134" s="1733"/>
      <c r="D5134" s="1733"/>
      <c r="E5134" s="1733"/>
      <c r="F5134" s="1733"/>
      <c r="G5134" s="1733"/>
      <c r="H5134" s="1733"/>
      <c r="I5134" s="1733"/>
      <c r="J5134" s="1733"/>
    </row>
    <row r="5135" spans="1:10" ht="15.75" customHeight="1">
      <c r="A5135" s="1733"/>
      <c r="B5135" s="1733"/>
      <c r="C5135" s="1733"/>
      <c r="D5135" s="1733"/>
      <c r="E5135" s="1733"/>
      <c r="F5135" s="1733"/>
      <c r="G5135" s="1733"/>
      <c r="H5135" s="1733"/>
      <c r="I5135" s="1733"/>
      <c r="J5135" s="1733"/>
    </row>
    <row r="5136" spans="1:10" ht="15.75" customHeight="1">
      <c r="A5136" s="1733"/>
      <c r="B5136" s="1733"/>
      <c r="C5136" s="1733"/>
      <c r="D5136" s="1733"/>
      <c r="E5136" s="1733"/>
      <c r="F5136" s="1733"/>
      <c r="G5136" s="1733"/>
      <c r="H5136" s="1733"/>
      <c r="I5136" s="1733"/>
      <c r="J5136" s="1733"/>
    </row>
    <row r="5137" spans="1:10" ht="15.75" customHeight="1">
      <c r="A5137" s="1733"/>
      <c r="B5137" s="1733"/>
      <c r="C5137" s="1733"/>
      <c r="D5137" s="1733"/>
      <c r="E5137" s="1733"/>
      <c r="F5137" s="1733"/>
      <c r="G5137" s="1733"/>
      <c r="H5137" s="1733"/>
      <c r="I5137" s="1733"/>
      <c r="J5137" s="1733"/>
    </row>
    <row r="5138" spans="1:10" ht="15.75" customHeight="1">
      <c r="A5138" s="1733"/>
      <c r="B5138" s="1733"/>
      <c r="C5138" s="1733"/>
      <c r="D5138" s="1733"/>
      <c r="E5138" s="1733"/>
      <c r="F5138" s="1733"/>
      <c r="G5138" s="1733"/>
      <c r="H5138" s="1733"/>
      <c r="I5138" s="1733"/>
      <c r="J5138" s="1733"/>
    </row>
    <row r="5139" spans="1:10" ht="15.75" customHeight="1">
      <c r="A5139" s="1733"/>
      <c r="B5139" s="1733"/>
      <c r="C5139" s="1733"/>
      <c r="D5139" s="1733"/>
      <c r="E5139" s="1733"/>
      <c r="F5139" s="1733"/>
      <c r="G5139" s="1733"/>
      <c r="H5139" s="1733"/>
      <c r="I5139" s="1733"/>
      <c r="J5139" s="1733"/>
    </row>
    <row r="5140" spans="1:10" ht="15.75" customHeight="1">
      <c r="A5140" s="1733"/>
      <c r="B5140" s="1733"/>
      <c r="C5140" s="1733"/>
      <c r="D5140" s="1733"/>
      <c r="E5140" s="1733"/>
      <c r="F5140" s="1733"/>
      <c r="G5140" s="1733"/>
      <c r="H5140" s="1733"/>
      <c r="I5140" s="1733"/>
      <c r="J5140" s="1733"/>
    </row>
    <row r="5141" spans="1:10" ht="15.75" customHeight="1">
      <c r="A5141" s="1733"/>
      <c r="B5141" s="1733"/>
      <c r="C5141" s="1733"/>
      <c r="D5141" s="1733"/>
      <c r="E5141" s="1733"/>
      <c r="F5141" s="1733"/>
      <c r="G5141" s="1733"/>
      <c r="H5141" s="1733"/>
      <c r="I5141" s="1733"/>
      <c r="J5141" s="1733"/>
    </row>
    <row r="5142" spans="1:10" ht="15.75" customHeight="1">
      <c r="A5142" s="1733"/>
      <c r="B5142" s="1733"/>
      <c r="C5142" s="1733"/>
      <c r="D5142" s="1733"/>
      <c r="E5142" s="1733"/>
      <c r="F5142" s="1733"/>
      <c r="G5142" s="1733"/>
      <c r="H5142" s="1733"/>
      <c r="I5142" s="1733"/>
      <c r="J5142" s="1733"/>
    </row>
    <row r="5143" spans="1:10" ht="15.75" customHeight="1">
      <c r="A5143" s="1733"/>
      <c r="B5143" s="1733"/>
      <c r="C5143" s="1733"/>
      <c r="D5143" s="1733"/>
      <c r="E5143" s="1733"/>
      <c r="F5143" s="1733"/>
      <c r="G5143" s="1733"/>
      <c r="H5143" s="1733"/>
      <c r="I5143" s="1733"/>
      <c r="J5143" s="1733"/>
    </row>
    <row r="5144" spans="1:10" ht="15.75" customHeight="1">
      <c r="A5144" s="1733"/>
      <c r="B5144" s="1733"/>
      <c r="C5144" s="1733"/>
      <c r="D5144" s="1733"/>
      <c r="E5144" s="1733"/>
      <c r="F5144" s="1733"/>
      <c r="G5144" s="1733"/>
      <c r="H5144" s="1733"/>
      <c r="I5144" s="1733"/>
      <c r="J5144" s="1733"/>
    </row>
    <row r="5145" spans="1:10" ht="15.75" customHeight="1">
      <c r="A5145" s="1733"/>
      <c r="B5145" s="1733"/>
      <c r="C5145" s="1733"/>
      <c r="D5145" s="1733"/>
      <c r="E5145" s="1733"/>
      <c r="F5145" s="1733"/>
      <c r="G5145" s="1733"/>
      <c r="H5145" s="1733"/>
      <c r="I5145" s="1733"/>
      <c r="J5145" s="1733"/>
    </row>
    <row r="5146" spans="1:10" ht="15.75" customHeight="1">
      <c r="A5146" s="1733"/>
      <c r="B5146" s="1733"/>
      <c r="C5146" s="1733"/>
      <c r="D5146" s="1733"/>
      <c r="E5146" s="1733"/>
      <c r="F5146" s="1733"/>
      <c r="G5146" s="1733"/>
      <c r="H5146" s="1733"/>
      <c r="I5146" s="1733"/>
      <c r="J5146" s="1733"/>
    </row>
    <row r="5147" spans="1:10" ht="15.75" customHeight="1">
      <c r="A5147" s="1733"/>
      <c r="B5147" s="1733"/>
      <c r="C5147" s="1733"/>
      <c r="D5147" s="1733"/>
      <c r="E5147" s="1733"/>
      <c r="F5147" s="1733"/>
      <c r="G5147" s="1733"/>
      <c r="H5147" s="1733"/>
      <c r="I5147" s="1733"/>
      <c r="J5147" s="1733"/>
    </row>
    <row r="5148" spans="1:10" ht="15.75" customHeight="1">
      <c r="A5148" s="1733"/>
      <c r="B5148" s="1733"/>
      <c r="C5148" s="1733"/>
      <c r="D5148" s="1733"/>
      <c r="E5148" s="1733"/>
      <c r="F5148" s="1733"/>
      <c r="G5148" s="1733"/>
      <c r="H5148" s="1733"/>
      <c r="I5148" s="1733"/>
      <c r="J5148" s="1733"/>
    </row>
    <row r="5149" spans="1:10" ht="15.75" customHeight="1">
      <c r="A5149" s="1733"/>
      <c r="B5149" s="1733"/>
      <c r="C5149" s="1733"/>
      <c r="D5149" s="1733"/>
      <c r="E5149" s="1733"/>
      <c r="F5149" s="1733"/>
      <c r="G5149" s="1733"/>
      <c r="H5149" s="1733"/>
      <c r="I5149" s="1733"/>
      <c r="J5149" s="1733"/>
    </row>
    <row r="5150" spans="1:10" ht="15.75" customHeight="1">
      <c r="A5150" s="1733"/>
      <c r="B5150" s="1733"/>
      <c r="C5150" s="1733"/>
      <c r="D5150" s="1733"/>
      <c r="E5150" s="1733"/>
      <c r="F5150" s="1733"/>
      <c r="G5150" s="1733"/>
      <c r="H5150" s="1733"/>
      <c r="I5150" s="1733"/>
      <c r="J5150" s="1733"/>
    </row>
    <row r="5151" spans="1:10" ht="15.75" customHeight="1">
      <c r="A5151" s="1733"/>
      <c r="B5151" s="1733"/>
      <c r="C5151" s="1733"/>
      <c r="D5151" s="1733"/>
      <c r="E5151" s="1733"/>
      <c r="F5151" s="1733"/>
      <c r="G5151" s="1733"/>
      <c r="H5151" s="1733"/>
      <c r="I5151" s="1733"/>
      <c r="J5151" s="1733"/>
    </row>
    <row r="5152" spans="1:10" ht="15.75" customHeight="1">
      <c r="A5152" s="1733"/>
      <c r="B5152" s="1733"/>
      <c r="C5152" s="1733"/>
      <c r="D5152" s="1733"/>
      <c r="E5152" s="1733"/>
      <c r="F5152" s="1733"/>
      <c r="G5152" s="1733"/>
      <c r="H5152" s="1733"/>
      <c r="I5152" s="1733"/>
      <c r="J5152" s="1733"/>
    </row>
    <row r="5153" spans="1:10" ht="15.75" customHeight="1">
      <c r="A5153" s="1733"/>
      <c r="B5153" s="1733"/>
      <c r="C5153" s="1733"/>
      <c r="D5153" s="1733"/>
      <c r="E5153" s="1733"/>
      <c r="F5153" s="1733"/>
      <c r="G5153" s="1733"/>
      <c r="H5153" s="1733"/>
      <c r="I5153" s="1733"/>
      <c r="J5153" s="1733"/>
    </row>
    <row r="5154" spans="1:10" ht="15.75" customHeight="1">
      <c r="A5154" s="1733"/>
      <c r="B5154" s="1733"/>
      <c r="C5154" s="1733"/>
      <c r="D5154" s="1733"/>
      <c r="E5154" s="1733"/>
      <c r="F5154" s="1733"/>
      <c r="G5154" s="1733"/>
      <c r="H5154" s="1733"/>
      <c r="I5154" s="1733"/>
      <c r="J5154" s="1733"/>
    </row>
    <row r="5155" spans="1:10" ht="15.75" customHeight="1">
      <c r="A5155" s="1733"/>
      <c r="B5155" s="1733"/>
      <c r="C5155" s="1733"/>
      <c r="D5155" s="1733"/>
      <c r="E5155" s="1733"/>
      <c r="F5155" s="1733"/>
      <c r="G5155" s="1733"/>
      <c r="H5155" s="1733"/>
      <c r="I5155" s="1733"/>
      <c r="J5155" s="1733"/>
    </row>
    <row r="5156" spans="1:10" ht="15.75" customHeight="1">
      <c r="A5156" s="1733"/>
      <c r="B5156" s="1733"/>
      <c r="C5156" s="1733"/>
      <c r="D5156" s="1733"/>
      <c r="E5156" s="1733"/>
      <c r="F5156" s="1733"/>
      <c r="G5156" s="1733"/>
      <c r="H5156" s="1733"/>
      <c r="I5156" s="1733"/>
      <c r="J5156" s="1733"/>
    </row>
    <row r="5157" spans="1:10" ht="15.75" customHeight="1">
      <c r="A5157" s="1733"/>
      <c r="B5157" s="1733"/>
      <c r="C5157" s="1733"/>
      <c r="D5157" s="1733"/>
      <c r="E5157" s="1733"/>
      <c r="F5157" s="1733"/>
      <c r="G5157" s="1733"/>
      <c r="H5157" s="1733"/>
      <c r="I5157" s="1733"/>
      <c r="J5157" s="1733"/>
    </row>
    <row r="5158" spans="1:10" ht="15.75" customHeight="1">
      <c r="A5158" s="1733"/>
      <c r="B5158" s="1733"/>
      <c r="C5158" s="1733"/>
      <c r="D5158" s="1733"/>
      <c r="E5158" s="1733"/>
      <c r="F5158" s="1733"/>
      <c r="G5158" s="1733"/>
      <c r="H5158" s="1733"/>
      <c r="I5158" s="1733"/>
      <c r="J5158" s="1733"/>
    </row>
    <row r="5159" spans="1:10" ht="15.75" customHeight="1">
      <c r="A5159" s="1733"/>
      <c r="B5159" s="1733"/>
      <c r="C5159" s="1733"/>
      <c r="D5159" s="1733"/>
      <c r="E5159" s="1733"/>
      <c r="F5159" s="1733"/>
      <c r="G5159" s="1733"/>
      <c r="H5159" s="1733"/>
      <c r="I5159" s="1733"/>
      <c r="J5159" s="1733"/>
    </row>
    <row r="5160" spans="1:10" ht="15.75" customHeight="1">
      <c r="A5160" s="1733"/>
      <c r="B5160" s="1733"/>
      <c r="C5160" s="1733"/>
      <c r="D5160" s="1733"/>
      <c r="E5160" s="1733"/>
      <c r="F5160" s="1733"/>
      <c r="G5160" s="1733"/>
      <c r="H5160" s="1733"/>
      <c r="I5160" s="1733"/>
      <c r="J5160" s="1733"/>
    </row>
    <row r="5161" spans="1:10" ht="15.75" customHeight="1">
      <c r="A5161" s="1733"/>
      <c r="B5161" s="1733"/>
      <c r="C5161" s="1733"/>
      <c r="D5161" s="1733"/>
      <c r="E5161" s="1733"/>
      <c r="F5161" s="1733"/>
      <c r="G5161" s="1733"/>
      <c r="H5161" s="1733"/>
      <c r="I5161" s="1733"/>
      <c r="J5161" s="1733"/>
    </row>
    <row r="5162" spans="1:10" ht="15.75" customHeight="1">
      <c r="A5162" s="1733"/>
      <c r="B5162" s="1733"/>
      <c r="C5162" s="1733"/>
      <c r="D5162" s="1733"/>
      <c r="E5162" s="1733"/>
      <c r="F5162" s="1733"/>
      <c r="G5162" s="1733"/>
      <c r="H5162" s="1733"/>
      <c r="I5162" s="1733"/>
      <c r="J5162" s="1733"/>
    </row>
    <row r="5163" spans="1:10" ht="15.75" customHeight="1">
      <c r="A5163" s="1733"/>
      <c r="B5163" s="1733"/>
      <c r="C5163" s="1733"/>
      <c r="D5163" s="1733"/>
      <c r="E5163" s="1733"/>
      <c r="F5163" s="1733"/>
      <c r="G5163" s="1733"/>
      <c r="H5163" s="1733"/>
      <c r="I5163" s="1733"/>
      <c r="J5163" s="1733"/>
    </row>
    <row r="5164" spans="1:10" ht="15.75" customHeight="1">
      <c r="A5164" s="1733"/>
      <c r="B5164" s="1733"/>
      <c r="C5164" s="1733"/>
      <c r="D5164" s="1733"/>
      <c r="E5164" s="1733"/>
      <c r="F5164" s="1733"/>
      <c r="G5164" s="1733"/>
      <c r="H5164" s="1733"/>
      <c r="I5164" s="1733"/>
      <c r="J5164" s="1733"/>
    </row>
    <row r="5165" spans="1:10" ht="15.75" customHeight="1">
      <c r="A5165" s="1733"/>
      <c r="B5165" s="1733"/>
      <c r="C5165" s="1733"/>
      <c r="D5165" s="1733"/>
      <c r="E5165" s="1733"/>
      <c r="F5165" s="1733"/>
      <c r="G5165" s="1733"/>
      <c r="H5165" s="1733"/>
      <c r="I5165" s="1733"/>
      <c r="J5165" s="1733"/>
    </row>
    <row r="5166" spans="1:10" ht="15.75" customHeight="1">
      <c r="A5166" s="1733"/>
      <c r="B5166" s="1733"/>
      <c r="C5166" s="1733"/>
      <c r="D5166" s="1733"/>
      <c r="E5166" s="1733"/>
      <c r="F5166" s="1733"/>
      <c r="G5166" s="1733"/>
      <c r="H5166" s="1733"/>
      <c r="I5166" s="1733"/>
      <c r="J5166" s="1733"/>
    </row>
    <row r="5167" spans="1:10" ht="15.75" customHeight="1">
      <c r="A5167" s="1733"/>
      <c r="B5167" s="1733"/>
      <c r="C5167" s="1733"/>
      <c r="D5167" s="1733"/>
      <c r="E5167" s="1733"/>
      <c r="F5167" s="1733"/>
      <c r="G5167" s="1733"/>
      <c r="H5167" s="1733"/>
      <c r="I5167" s="1733"/>
      <c r="J5167" s="1733"/>
    </row>
    <row r="5168" spans="1:10" ht="15.75" customHeight="1">
      <c r="A5168" s="1733"/>
      <c r="B5168" s="1733"/>
      <c r="C5168" s="1733"/>
      <c r="D5168" s="1733"/>
      <c r="E5168" s="1733"/>
      <c r="F5168" s="1733"/>
      <c r="G5168" s="1733"/>
      <c r="H5168" s="1733"/>
      <c r="I5168" s="1733"/>
      <c r="J5168" s="1733"/>
    </row>
    <row r="5169" spans="1:10" ht="15.75" customHeight="1">
      <c r="A5169" s="1733"/>
      <c r="B5169" s="1733"/>
      <c r="C5169" s="1733"/>
      <c r="D5169" s="1733"/>
      <c r="E5169" s="1733"/>
      <c r="F5169" s="1733"/>
      <c r="G5169" s="1733"/>
      <c r="H5169" s="1733"/>
      <c r="I5169" s="1733"/>
      <c r="J5169" s="1733"/>
    </row>
    <row r="5170" spans="1:10" ht="15.75" customHeight="1">
      <c r="A5170" s="1733"/>
      <c r="B5170" s="1733"/>
      <c r="C5170" s="1733"/>
      <c r="D5170" s="1733"/>
      <c r="E5170" s="1733"/>
      <c r="F5170" s="1733"/>
      <c r="G5170" s="1733"/>
      <c r="H5170" s="1733"/>
      <c r="I5170" s="1733"/>
      <c r="J5170" s="1733"/>
    </row>
    <row r="5171" spans="1:10" ht="15.75" customHeight="1">
      <c r="A5171" s="1733"/>
      <c r="B5171" s="1733"/>
      <c r="C5171" s="1733"/>
      <c r="D5171" s="1733"/>
      <c r="E5171" s="1733"/>
      <c r="F5171" s="1733"/>
      <c r="G5171" s="1733"/>
      <c r="H5171" s="1733"/>
      <c r="I5171" s="1733"/>
      <c r="J5171" s="1733"/>
    </row>
    <row r="5172" spans="1:10" ht="15.75" customHeight="1">
      <c r="A5172" s="1733"/>
      <c r="B5172" s="1733"/>
      <c r="C5172" s="1733"/>
      <c r="D5172" s="1733"/>
      <c r="E5172" s="1733"/>
      <c r="F5172" s="1733"/>
      <c r="G5172" s="1733"/>
      <c r="H5172" s="1733"/>
      <c r="I5172" s="1733"/>
      <c r="J5172" s="1733"/>
    </row>
    <row r="5173" spans="1:10" ht="15.75" customHeight="1">
      <c r="A5173" s="1733"/>
      <c r="B5173" s="1733"/>
      <c r="C5173" s="1733"/>
      <c r="D5173" s="1733"/>
      <c r="E5173" s="1733"/>
      <c r="F5173" s="1733"/>
      <c r="G5173" s="1733"/>
      <c r="H5173" s="1733"/>
      <c r="I5173" s="1733"/>
      <c r="J5173" s="1733"/>
    </row>
    <row r="5174" spans="1:10" ht="15.75" customHeight="1">
      <c r="A5174" s="1733"/>
      <c r="B5174" s="1733"/>
      <c r="C5174" s="1733"/>
      <c r="D5174" s="1733"/>
      <c r="E5174" s="1733"/>
      <c r="F5174" s="1733"/>
      <c r="G5174" s="1733"/>
      <c r="H5174" s="1733"/>
      <c r="I5174" s="1733"/>
      <c r="J5174" s="1733"/>
    </row>
    <row r="5175" spans="1:10" ht="15.75" customHeight="1">
      <c r="A5175" s="1733"/>
      <c r="B5175" s="1733"/>
      <c r="C5175" s="1733"/>
      <c r="D5175" s="1733"/>
      <c r="E5175" s="1733"/>
      <c r="F5175" s="1733"/>
      <c r="G5175" s="1733"/>
      <c r="H5175" s="1733"/>
      <c r="I5175" s="1733"/>
      <c r="J5175" s="1733"/>
    </row>
    <row r="5176" spans="1:10" ht="15.75" customHeight="1">
      <c r="A5176" s="1733"/>
      <c r="B5176" s="1733"/>
      <c r="C5176" s="1733"/>
      <c r="D5176" s="1733"/>
      <c r="E5176" s="1733"/>
      <c r="F5176" s="1733"/>
      <c r="G5176" s="1733"/>
      <c r="H5176" s="1733"/>
      <c r="I5176" s="1733"/>
      <c r="J5176" s="1733"/>
    </row>
    <row r="5177" spans="1:10" ht="15.75" customHeight="1">
      <c r="A5177" s="1733"/>
      <c r="B5177" s="1733"/>
      <c r="C5177" s="1733"/>
      <c r="D5177" s="1733"/>
      <c r="E5177" s="1733"/>
      <c r="F5177" s="1733"/>
      <c r="G5177" s="1733"/>
      <c r="H5177" s="1733"/>
      <c r="I5177" s="1733"/>
      <c r="J5177" s="1733"/>
    </row>
    <row r="5178" spans="1:10" ht="15.75" customHeight="1">
      <c r="A5178" s="1733"/>
      <c r="B5178" s="1733"/>
      <c r="C5178" s="1733"/>
      <c r="D5178" s="1733"/>
      <c r="E5178" s="1733"/>
      <c r="F5178" s="1733"/>
      <c r="G5178" s="1733"/>
      <c r="H5178" s="1733"/>
      <c r="I5178" s="1733"/>
      <c r="J5178" s="1733"/>
    </row>
    <row r="5179" spans="1:10" ht="15.75" customHeight="1">
      <c r="A5179" s="1733"/>
      <c r="B5179" s="1733"/>
      <c r="C5179" s="1733"/>
      <c r="D5179" s="1733"/>
      <c r="E5179" s="1733"/>
      <c r="F5179" s="1733"/>
      <c r="G5179" s="1733"/>
      <c r="H5179" s="1733"/>
      <c r="I5179" s="1733"/>
      <c r="J5179" s="1733"/>
    </row>
    <row r="5180" spans="1:10" ht="15.75" customHeight="1">
      <c r="A5180" s="1733"/>
      <c r="B5180" s="1733"/>
      <c r="C5180" s="1733"/>
      <c r="D5180" s="1733"/>
      <c r="E5180" s="1733"/>
      <c r="F5180" s="1733"/>
      <c r="G5180" s="1733"/>
      <c r="H5180" s="1733"/>
      <c r="I5180" s="1733"/>
      <c r="J5180" s="1733"/>
    </row>
    <row r="5181" spans="1:10" ht="15.75" customHeight="1">
      <c r="A5181" s="1733"/>
      <c r="B5181" s="1733"/>
      <c r="C5181" s="1733"/>
      <c r="D5181" s="1733"/>
      <c r="E5181" s="1733"/>
      <c r="F5181" s="1733"/>
      <c r="G5181" s="1733"/>
      <c r="H5181" s="1733"/>
      <c r="I5181" s="1733"/>
      <c r="J5181" s="1733"/>
    </row>
    <row r="5182" spans="1:10" ht="15.75" customHeight="1">
      <c r="A5182" s="1733"/>
      <c r="B5182" s="1733"/>
      <c r="C5182" s="1733"/>
      <c r="D5182" s="1733"/>
      <c r="E5182" s="1733"/>
      <c r="F5182" s="1733"/>
      <c r="G5182" s="1733"/>
      <c r="H5182" s="1733"/>
      <c r="I5182" s="1733"/>
      <c r="J5182" s="1733"/>
    </row>
    <row r="5183" spans="1:10" ht="15.75" customHeight="1">
      <c r="A5183" s="1733"/>
      <c r="B5183" s="1733"/>
      <c r="C5183" s="1733"/>
      <c r="D5183" s="1733"/>
      <c r="E5183" s="1733"/>
      <c r="F5183" s="1733"/>
      <c r="G5183" s="1733"/>
      <c r="H5183" s="1733"/>
      <c r="I5183" s="1733"/>
      <c r="J5183" s="1733"/>
    </row>
    <row r="5184" spans="1:10" ht="15.75" customHeight="1">
      <c r="A5184" s="1733"/>
      <c r="B5184" s="1733"/>
      <c r="C5184" s="1733"/>
      <c r="D5184" s="1733"/>
      <c r="E5184" s="1733"/>
      <c r="F5184" s="1733"/>
      <c r="G5184" s="1733"/>
      <c r="H5184" s="1733"/>
      <c r="I5184" s="1733"/>
      <c r="J5184" s="1733"/>
    </row>
    <row r="5185" spans="1:10" ht="15.75" customHeight="1">
      <c r="A5185" s="1733"/>
      <c r="B5185" s="1733"/>
      <c r="C5185" s="1733"/>
      <c r="D5185" s="1733"/>
      <c r="E5185" s="1733"/>
      <c r="F5185" s="1733"/>
      <c r="G5185" s="1733"/>
      <c r="H5185" s="1733"/>
      <c r="I5185" s="1733"/>
      <c r="J5185" s="1733"/>
    </row>
    <row r="5186" spans="1:10" ht="15.75" customHeight="1">
      <c r="A5186" s="1733"/>
      <c r="B5186" s="1733"/>
      <c r="C5186" s="1733"/>
      <c r="D5186" s="1733"/>
      <c r="E5186" s="1733"/>
      <c r="F5186" s="1733"/>
      <c r="G5186" s="1733"/>
      <c r="H5186" s="1733"/>
      <c r="I5186" s="1733"/>
      <c r="J5186" s="1733"/>
    </row>
    <row r="5187" spans="1:10" ht="15.75" customHeight="1">
      <c r="A5187" s="1733"/>
      <c r="B5187" s="1733"/>
      <c r="C5187" s="1733"/>
      <c r="D5187" s="1733"/>
      <c r="E5187" s="1733"/>
      <c r="F5187" s="1733"/>
      <c r="G5187" s="1733"/>
      <c r="H5187" s="1733"/>
      <c r="I5187" s="1733"/>
      <c r="J5187" s="1733"/>
    </row>
    <row r="5188" spans="1:10" ht="15.75" customHeight="1">
      <c r="A5188" s="1733"/>
      <c r="B5188" s="1733"/>
      <c r="C5188" s="1733"/>
      <c r="D5188" s="1733"/>
      <c r="E5188" s="1733"/>
      <c r="F5188" s="1733"/>
      <c r="G5188" s="1733"/>
      <c r="H5188" s="1733"/>
      <c r="I5188" s="1733"/>
      <c r="J5188" s="1733"/>
    </row>
    <row r="5189" spans="1:10" ht="15.75" customHeight="1">
      <c r="A5189" s="1733"/>
      <c r="B5189" s="1733"/>
      <c r="C5189" s="1733"/>
      <c r="D5189" s="1733"/>
      <c r="E5189" s="1733"/>
      <c r="F5189" s="1733"/>
      <c r="G5189" s="1733"/>
      <c r="H5189" s="1733"/>
      <c r="I5189" s="1733"/>
      <c r="J5189" s="1733"/>
    </row>
    <row r="5190" spans="1:10" ht="15.75" customHeight="1">
      <c r="A5190" s="1733"/>
      <c r="B5190" s="1733"/>
      <c r="C5190" s="1733"/>
      <c r="D5190" s="1733"/>
      <c r="E5190" s="1733"/>
      <c r="F5190" s="1733"/>
      <c r="G5190" s="1733"/>
      <c r="H5190" s="1733"/>
      <c r="I5190" s="1733"/>
      <c r="J5190" s="1733"/>
    </row>
    <row r="5191" spans="1:10" ht="15.75" customHeight="1">
      <c r="A5191" s="1733"/>
      <c r="B5191" s="1733"/>
      <c r="C5191" s="1733"/>
      <c r="D5191" s="1733"/>
      <c r="E5191" s="1733"/>
      <c r="F5191" s="1733"/>
      <c r="G5191" s="1733"/>
      <c r="H5191" s="1733"/>
      <c r="I5191" s="1733"/>
      <c r="J5191" s="1733"/>
    </row>
    <row r="5192" spans="1:10" ht="15.75" customHeight="1">
      <c r="A5192" s="1733"/>
      <c r="B5192" s="1733"/>
      <c r="C5192" s="1733"/>
      <c r="D5192" s="1733"/>
      <c r="E5192" s="1733"/>
      <c r="F5192" s="1733"/>
      <c r="G5192" s="1733"/>
      <c r="H5192" s="1733"/>
      <c r="I5192" s="1733"/>
      <c r="J5192" s="1733"/>
    </row>
    <row r="5193" spans="1:10" ht="15.75" customHeight="1">
      <c r="A5193" s="1733"/>
      <c r="B5193" s="1733"/>
      <c r="C5193" s="1733"/>
      <c r="D5193" s="1733"/>
      <c r="E5193" s="1733"/>
      <c r="F5193" s="1733"/>
      <c r="G5193" s="1733"/>
      <c r="H5193" s="1733"/>
      <c r="I5193" s="1733"/>
      <c r="J5193" s="1733"/>
    </row>
    <row r="5194" spans="1:10" ht="15.75" customHeight="1">
      <c r="A5194" s="1733"/>
      <c r="B5194" s="1733"/>
      <c r="C5194" s="1733"/>
      <c r="D5194" s="1733"/>
      <c r="E5194" s="1733"/>
      <c r="F5194" s="1733"/>
      <c r="G5194" s="1733"/>
      <c r="H5194" s="1733"/>
      <c r="I5194" s="1733"/>
      <c r="J5194" s="1733"/>
    </row>
    <row r="5195" spans="1:10" ht="15.75" customHeight="1">
      <c r="A5195" s="1733"/>
      <c r="B5195" s="1733"/>
      <c r="C5195" s="1733"/>
      <c r="D5195" s="1733"/>
      <c r="E5195" s="1733"/>
      <c r="F5195" s="1733"/>
      <c r="G5195" s="1733"/>
      <c r="H5195" s="1733"/>
      <c r="I5195" s="1733"/>
      <c r="J5195" s="1733"/>
    </row>
    <row r="5196" spans="1:10" ht="15.75" customHeight="1">
      <c r="A5196" s="1733"/>
      <c r="B5196" s="1733"/>
      <c r="C5196" s="1733"/>
      <c r="D5196" s="1733"/>
      <c r="E5196" s="1733"/>
      <c r="F5196" s="1733"/>
      <c r="G5196" s="1733"/>
      <c r="H5196" s="1733"/>
      <c r="I5196" s="1733"/>
      <c r="J5196" s="1733"/>
    </row>
    <row r="5197" spans="1:10" ht="15.75" customHeight="1">
      <c r="A5197" s="1733"/>
      <c r="B5197" s="1733"/>
      <c r="C5197" s="1733"/>
      <c r="D5197" s="1733"/>
      <c r="E5197" s="1733"/>
      <c r="F5197" s="1733"/>
      <c r="G5197" s="1733"/>
      <c r="H5197" s="1733"/>
      <c r="I5197" s="1733"/>
      <c r="J5197" s="1733"/>
    </row>
    <row r="5198" spans="1:10" ht="15.75" customHeight="1">
      <c r="A5198" s="1733"/>
      <c r="B5198" s="1733"/>
      <c r="C5198" s="1733"/>
      <c r="D5198" s="1733"/>
      <c r="E5198" s="1733"/>
      <c r="F5198" s="1733"/>
      <c r="G5198" s="1733"/>
      <c r="H5198" s="1733"/>
      <c r="I5198" s="1733"/>
      <c r="J5198" s="1733"/>
    </row>
    <row r="5199" spans="1:10" ht="15.75" customHeight="1">
      <c r="A5199" s="1733"/>
      <c r="B5199" s="1733"/>
      <c r="C5199" s="1733"/>
      <c r="D5199" s="1733"/>
      <c r="E5199" s="1733"/>
      <c r="F5199" s="1733"/>
      <c r="G5199" s="1733"/>
      <c r="H5199" s="1733"/>
      <c r="I5199" s="1733"/>
      <c r="J5199" s="1733"/>
    </row>
    <row r="5200" spans="1:10" ht="15.75" customHeight="1">
      <c r="A5200" s="1733"/>
      <c r="B5200" s="1733"/>
      <c r="C5200" s="1733"/>
      <c r="D5200" s="1733"/>
      <c r="E5200" s="1733"/>
      <c r="F5200" s="1733"/>
      <c r="G5200" s="1733"/>
      <c r="H5200" s="1733"/>
      <c r="I5200" s="1733"/>
      <c r="J5200" s="1733"/>
    </row>
    <row r="5201" spans="1:10" ht="15.75" customHeight="1">
      <c r="A5201" s="1733"/>
      <c r="B5201" s="1733"/>
      <c r="C5201" s="1733"/>
      <c r="D5201" s="1733"/>
      <c r="E5201" s="1733"/>
      <c r="F5201" s="1733"/>
      <c r="G5201" s="1733"/>
      <c r="H5201" s="1733"/>
      <c r="I5201" s="1733"/>
      <c r="J5201" s="1733"/>
    </row>
    <row r="5202" spans="1:10" ht="15.75" customHeight="1">
      <c r="A5202" s="1733"/>
      <c r="B5202" s="1733"/>
      <c r="C5202" s="1733"/>
      <c r="D5202" s="1733"/>
      <c r="E5202" s="1733"/>
      <c r="F5202" s="1733"/>
      <c r="G5202" s="1733"/>
      <c r="H5202" s="1733"/>
      <c r="I5202" s="1733"/>
      <c r="J5202" s="1733"/>
    </row>
    <row r="5203" spans="1:10" ht="15.75" customHeight="1">
      <c r="A5203" s="1733"/>
      <c r="B5203" s="1733"/>
      <c r="C5203" s="1733"/>
      <c r="D5203" s="1733"/>
      <c r="E5203" s="1733"/>
      <c r="F5203" s="1733"/>
      <c r="G5203" s="1733"/>
      <c r="H5203" s="1733"/>
      <c r="I5203" s="1733"/>
      <c r="J5203" s="1733"/>
    </row>
    <row r="5204" spans="1:10" ht="15.75" customHeight="1">
      <c r="A5204" s="1733"/>
      <c r="B5204" s="1733"/>
      <c r="C5204" s="1733"/>
      <c r="D5204" s="1733"/>
      <c r="E5204" s="1733"/>
      <c r="F5204" s="1733"/>
      <c r="G5204" s="1733"/>
      <c r="H5204" s="1733"/>
      <c r="I5204" s="1733"/>
      <c r="J5204" s="1733"/>
    </row>
    <row r="5205" spans="1:10" ht="15.75" customHeight="1">
      <c r="A5205" s="1733"/>
      <c r="B5205" s="1733"/>
      <c r="C5205" s="1733"/>
      <c r="D5205" s="1733"/>
      <c r="E5205" s="1733"/>
      <c r="F5205" s="1733"/>
      <c r="G5205" s="1733"/>
      <c r="H5205" s="1733"/>
      <c r="I5205" s="1733"/>
      <c r="J5205" s="1733"/>
    </row>
    <row r="5206" spans="1:10" ht="15.75" customHeight="1">
      <c r="A5206" s="1733"/>
      <c r="B5206" s="1733"/>
      <c r="C5206" s="1733"/>
      <c r="D5206" s="1733"/>
      <c r="E5206" s="1733"/>
      <c r="F5206" s="1733"/>
      <c r="G5206" s="1733"/>
      <c r="H5206" s="1733"/>
      <c r="I5206" s="1733"/>
      <c r="J5206" s="1733"/>
    </row>
    <row r="5207" spans="1:10" ht="15.75" customHeight="1">
      <c r="A5207" s="1733"/>
      <c r="B5207" s="1733"/>
      <c r="C5207" s="1733"/>
      <c r="D5207" s="1733"/>
      <c r="E5207" s="1733"/>
      <c r="F5207" s="1733"/>
      <c r="G5207" s="1733"/>
      <c r="H5207" s="1733"/>
      <c r="I5207" s="1733"/>
      <c r="J5207" s="1733"/>
    </row>
    <row r="5208" spans="1:10" ht="15.75" customHeight="1">
      <c r="A5208" s="1733"/>
      <c r="B5208" s="1733"/>
      <c r="C5208" s="1733"/>
      <c r="D5208" s="1733"/>
      <c r="E5208" s="1733"/>
      <c r="F5208" s="1733"/>
      <c r="G5208" s="1733"/>
      <c r="H5208" s="1733"/>
      <c r="I5208" s="1733"/>
      <c r="J5208" s="1733"/>
    </row>
    <row r="5209" spans="1:10" ht="15.75" customHeight="1">
      <c r="A5209" s="1733"/>
      <c r="B5209" s="1733"/>
      <c r="C5209" s="1733"/>
      <c r="D5209" s="1733"/>
      <c r="E5209" s="1733"/>
      <c r="F5209" s="1733"/>
      <c r="G5209" s="1733"/>
      <c r="H5209" s="1733"/>
      <c r="I5209" s="1733"/>
      <c r="J5209" s="1733"/>
    </row>
    <row r="5210" spans="1:10" ht="15.75" customHeight="1">
      <c r="A5210" s="1733"/>
      <c r="B5210" s="1733"/>
      <c r="C5210" s="1733"/>
      <c r="D5210" s="1733"/>
      <c r="E5210" s="1733"/>
      <c r="F5210" s="1733"/>
      <c r="G5210" s="1733"/>
      <c r="H5210" s="1733"/>
      <c r="I5210" s="1733"/>
      <c r="J5210" s="1733"/>
    </row>
    <row r="5211" spans="1:10" ht="15.75" customHeight="1">
      <c r="A5211" s="1733"/>
      <c r="B5211" s="1733"/>
      <c r="C5211" s="1733"/>
      <c r="D5211" s="1733"/>
      <c r="E5211" s="1733"/>
      <c r="F5211" s="1733"/>
      <c r="G5211" s="1733"/>
      <c r="H5211" s="1733"/>
      <c r="I5211" s="1733"/>
      <c r="J5211" s="1733"/>
    </row>
    <row r="5212" spans="1:10" ht="15.75" customHeight="1">
      <c r="A5212" s="1733"/>
      <c r="B5212" s="1733"/>
      <c r="C5212" s="1733"/>
      <c r="D5212" s="1733"/>
      <c r="E5212" s="1733"/>
      <c r="F5212" s="1733"/>
      <c r="G5212" s="1733"/>
      <c r="H5212" s="1733"/>
      <c r="I5212" s="1733"/>
      <c r="J5212" s="1733"/>
    </row>
    <row r="5213" spans="1:10" ht="15.75" customHeight="1">
      <c r="A5213" s="1733"/>
      <c r="B5213" s="1733"/>
      <c r="C5213" s="1733"/>
      <c r="D5213" s="1733"/>
      <c r="E5213" s="1733"/>
      <c r="F5213" s="1733"/>
      <c r="G5213" s="1733"/>
      <c r="H5213" s="1733"/>
      <c r="I5213" s="1733"/>
      <c r="J5213" s="1733"/>
    </row>
    <row r="5214" spans="1:10" ht="15.75" customHeight="1">
      <c r="A5214" s="1733"/>
      <c r="B5214" s="1733"/>
      <c r="C5214" s="1733"/>
      <c r="D5214" s="1733"/>
      <c r="E5214" s="1733"/>
      <c r="F5214" s="1733"/>
      <c r="G5214" s="1733"/>
      <c r="H5214" s="1733"/>
      <c r="I5214" s="1733"/>
      <c r="J5214" s="1733"/>
    </row>
    <row r="5215" spans="1:10" ht="15.75" customHeight="1">
      <c r="A5215" s="1733"/>
      <c r="B5215" s="1733"/>
      <c r="C5215" s="1733"/>
      <c r="D5215" s="1733"/>
      <c r="E5215" s="1733"/>
      <c r="F5215" s="1733"/>
      <c r="G5215" s="1733"/>
      <c r="H5215" s="1733"/>
      <c r="I5215" s="1733"/>
      <c r="J5215" s="1733"/>
    </row>
    <row r="5216" spans="1:10" ht="15.75" customHeight="1">
      <c r="A5216" s="1733"/>
      <c r="B5216" s="1733"/>
      <c r="C5216" s="1733"/>
      <c r="D5216" s="1733"/>
      <c r="E5216" s="1733"/>
      <c r="F5216" s="1733"/>
      <c r="G5216" s="1733"/>
      <c r="H5216" s="1733"/>
      <c r="I5216" s="1733"/>
      <c r="J5216" s="1733"/>
    </row>
    <row r="5217" spans="1:10" ht="15.75" customHeight="1">
      <c r="A5217" s="1733"/>
      <c r="B5217" s="1733"/>
      <c r="C5217" s="1733"/>
      <c r="D5217" s="1733"/>
      <c r="E5217" s="1733"/>
      <c r="F5217" s="1733"/>
      <c r="G5217" s="1733"/>
      <c r="H5217" s="1733"/>
      <c r="I5217" s="1733"/>
      <c r="J5217" s="1733"/>
    </row>
    <row r="5218" spans="1:10" ht="15.75" customHeight="1">
      <c r="A5218" s="1733"/>
      <c r="B5218" s="1733"/>
      <c r="C5218" s="1733"/>
      <c r="D5218" s="1733"/>
      <c r="E5218" s="1733"/>
      <c r="F5218" s="1733"/>
      <c r="G5218" s="1733"/>
      <c r="H5218" s="1733"/>
      <c r="I5218" s="1733"/>
      <c r="J5218" s="1733"/>
    </row>
    <row r="5219" spans="1:10" ht="15.75" customHeight="1">
      <c r="A5219" s="1733"/>
      <c r="B5219" s="1733"/>
      <c r="C5219" s="1733"/>
      <c r="D5219" s="1733"/>
      <c r="E5219" s="1733"/>
      <c r="F5219" s="1733"/>
      <c r="G5219" s="1733"/>
      <c r="H5219" s="1733"/>
      <c r="I5219" s="1733"/>
      <c r="J5219" s="1733"/>
    </row>
    <row r="5220" spans="1:10" ht="15.75" customHeight="1">
      <c r="A5220" s="1733"/>
      <c r="B5220" s="1733"/>
      <c r="C5220" s="1733"/>
      <c r="D5220" s="1733"/>
      <c r="E5220" s="1733"/>
      <c r="F5220" s="1733"/>
      <c r="G5220" s="1733"/>
      <c r="H5220" s="1733"/>
      <c r="I5220" s="1733"/>
      <c r="J5220" s="1733"/>
    </row>
    <row r="5221" spans="1:10" ht="15.75" customHeight="1">
      <c r="A5221" s="1733"/>
      <c r="B5221" s="1733"/>
      <c r="C5221" s="1733"/>
      <c r="D5221" s="1733"/>
      <c r="E5221" s="1733"/>
      <c r="F5221" s="1733"/>
      <c r="G5221" s="1733"/>
      <c r="H5221" s="1733"/>
      <c r="I5221" s="1733"/>
      <c r="J5221" s="1733"/>
    </row>
    <row r="5222" spans="1:10" ht="15.75" customHeight="1">
      <c r="A5222" s="1733"/>
      <c r="B5222" s="1733"/>
      <c r="C5222" s="1733"/>
      <c r="D5222" s="1733"/>
      <c r="E5222" s="1733"/>
      <c r="F5222" s="1733"/>
      <c r="G5222" s="1733"/>
      <c r="H5222" s="1733"/>
      <c r="I5222" s="1733"/>
      <c r="J5222" s="1733"/>
    </row>
    <row r="5223" spans="1:10" ht="15.75" customHeight="1">
      <c r="A5223" s="1733"/>
      <c r="B5223" s="1733"/>
      <c r="C5223" s="1733"/>
      <c r="D5223" s="1733"/>
      <c r="E5223" s="1733"/>
      <c r="F5223" s="1733"/>
      <c r="G5223" s="1733"/>
      <c r="H5223" s="1733"/>
      <c r="I5223" s="1733"/>
      <c r="J5223" s="1733"/>
    </row>
    <row r="5224" spans="1:10" ht="15.75" customHeight="1">
      <c r="A5224" s="1733"/>
      <c r="B5224" s="1733"/>
      <c r="C5224" s="1733"/>
      <c r="D5224" s="1733"/>
      <c r="E5224" s="1733"/>
      <c r="F5224" s="1733"/>
      <c r="G5224" s="1733"/>
      <c r="H5224" s="1733"/>
      <c r="I5224" s="1733"/>
      <c r="J5224" s="1733"/>
    </row>
    <row r="5225" spans="1:10" ht="15.75" customHeight="1">
      <c r="A5225" s="1733"/>
      <c r="B5225" s="1733"/>
      <c r="C5225" s="1733"/>
      <c r="D5225" s="1733"/>
      <c r="E5225" s="1733"/>
      <c r="F5225" s="1733"/>
      <c r="G5225" s="1733"/>
      <c r="H5225" s="1733"/>
      <c r="I5225" s="1733"/>
      <c r="J5225" s="1733"/>
    </row>
    <row r="5226" spans="1:10" ht="15.75" customHeight="1">
      <c r="A5226" s="1733"/>
      <c r="B5226" s="1733"/>
      <c r="C5226" s="1733"/>
      <c r="D5226" s="1733"/>
      <c r="E5226" s="1733"/>
      <c r="F5226" s="1733"/>
      <c r="G5226" s="1733"/>
      <c r="H5226" s="1733"/>
      <c r="I5226" s="1733"/>
      <c r="J5226" s="1733"/>
    </row>
    <row r="5227" spans="1:10" ht="15.75" customHeight="1">
      <c r="A5227" s="1733"/>
      <c r="B5227" s="1733"/>
      <c r="C5227" s="1733"/>
      <c r="D5227" s="1733"/>
      <c r="E5227" s="1733"/>
      <c r="F5227" s="1733"/>
      <c r="G5227" s="1733"/>
      <c r="H5227" s="1733"/>
      <c r="I5227" s="1733"/>
      <c r="J5227" s="1733"/>
    </row>
    <row r="5228" spans="1:10" ht="15.75" customHeight="1">
      <c r="A5228" s="1733"/>
      <c r="B5228" s="1733"/>
      <c r="C5228" s="1733"/>
      <c r="D5228" s="1733"/>
      <c r="E5228" s="1733"/>
      <c r="F5228" s="1733"/>
      <c r="G5228" s="1733"/>
      <c r="H5228" s="1733"/>
      <c r="I5228" s="1733"/>
      <c r="J5228" s="1733"/>
    </row>
    <row r="5229" spans="1:10" ht="15.75" customHeight="1">
      <c r="A5229" s="1733"/>
      <c r="B5229" s="1733"/>
      <c r="C5229" s="1733"/>
      <c r="D5229" s="1733"/>
      <c r="E5229" s="1733"/>
      <c r="F5229" s="1733"/>
      <c r="G5229" s="1733"/>
      <c r="H5229" s="1733"/>
      <c r="I5229" s="1733"/>
      <c r="J5229" s="1733"/>
    </row>
    <row r="5230" spans="1:10" ht="15.75" customHeight="1">
      <c r="A5230" s="1733"/>
      <c r="B5230" s="1733"/>
      <c r="C5230" s="1733"/>
      <c r="D5230" s="1733"/>
      <c r="E5230" s="1733"/>
      <c r="F5230" s="1733"/>
      <c r="G5230" s="1733"/>
      <c r="H5230" s="1733"/>
      <c r="I5230" s="1733"/>
      <c r="J5230" s="1733"/>
    </row>
    <row r="5231" spans="1:10" ht="15.75" customHeight="1">
      <c r="A5231" s="1733"/>
      <c r="B5231" s="1733"/>
      <c r="C5231" s="1733"/>
      <c r="D5231" s="1733"/>
      <c r="E5231" s="1733"/>
      <c r="F5231" s="1733"/>
      <c r="G5231" s="1733"/>
      <c r="H5231" s="1733"/>
      <c r="I5231" s="1733"/>
      <c r="J5231" s="1733"/>
    </row>
    <row r="5232" spans="1:10" ht="15.75" customHeight="1">
      <c r="A5232" s="1733"/>
      <c r="B5232" s="1733"/>
      <c r="C5232" s="1733"/>
      <c r="D5232" s="1733"/>
      <c r="E5232" s="1733"/>
      <c r="F5232" s="1733"/>
      <c r="G5232" s="1733"/>
      <c r="H5232" s="1733"/>
      <c r="I5232" s="1733"/>
      <c r="J5232" s="1733"/>
    </row>
    <row r="5233" spans="1:10" ht="15.75" customHeight="1">
      <c r="A5233" s="1733"/>
      <c r="B5233" s="1733"/>
      <c r="C5233" s="1733"/>
      <c r="D5233" s="1733"/>
      <c r="E5233" s="1733"/>
      <c r="F5233" s="1733"/>
      <c r="G5233" s="1733"/>
      <c r="H5233" s="1733"/>
      <c r="I5233" s="1733"/>
      <c r="J5233" s="1733"/>
    </row>
    <row r="5234" spans="1:10" ht="15.75" customHeight="1">
      <c r="A5234" s="1733"/>
      <c r="B5234" s="1733"/>
      <c r="C5234" s="1733"/>
      <c r="D5234" s="1733"/>
      <c r="E5234" s="1733"/>
      <c r="F5234" s="1733"/>
      <c r="G5234" s="1733"/>
      <c r="H5234" s="1733"/>
      <c r="I5234" s="1733"/>
      <c r="J5234" s="1733"/>
    </row>
    <row r="5235" spans="1:10" ht="15.75" customHeight="1">
      <c r="A5235" s="1733"/>
      <c r="B5235" s="1733"/>
      <c r="C5235" s="1733"/>
      <c r="D5235" s="1733"/>
      <c r="E5235" s="1733"/>
      <c r="F5235" s="1733"/>
      <c r="G5235" s="1733"/>
      <c r="H5235" s="1733"/>
      <c r="I5235" s="1733"/>
      <c r="J5235" s="1733"/>
    </row>
    <row r="5236" spans="1:10" ht="15.75" customHeight="1">
      <c r="A5236" s="1733"/>
      <c r="B5236" s="1733"/>
      <c r="C5236" s="1733"/>
      <c r="D5236" s="1733"/>
      <c r="E5236" s="1733"/>
      <c r="F5236" s="1733"/>
      <c r="G5236" s="1733"/>
      <c r="H5236" s="1733"/>
      <c r="I5236" s="1733"/>
      <c r="J5236" s="1733"/>
    </row>
    <row r="5237" spans="1:10" ht="15.75" customHeight="1">
      <c r="A5237" s="1733"/>
      <c r="B5237" s="1733"/>
      <c r="C5237" s="1733"/>
      <c r="D5237" s="1733"/>
      <c r="E5237" s="1733"/>
      <c r="F5237" s="1733"/>
      <c r="G5237" s="1733"/>
      <c r="H5237" s="1733"/>
      <c r="I5237" s="1733"/>
      <c r="J5237" s="1733"/>
    </row>
    <row r="5238" spans="1:10" ht="15.75" customHeight="1">
      <c r="A5238" s="1733"/>
      <c r="B5238" s="1733"/>
      <c r="C5238" s="1733"/>
      <c r="D5238" s="1733"/>
      <c r="E5238" s="1733"/>
      <c r="F5238" s="1733"/>
      <c r="G5238" s="1733"/>
      <c r="H5238" s="1733"/>
      <c r="I5238" s="1733"/>
      <c r="J5238" s="1733"/>
    </row>
    <row r="5239" spans="1:10" ht="15.75" customHeight="1">
      <c r="A5239" s="1733"/>
      <c r="B5239" s="1733"/>
      <c r="C5239" s="1733"/>
      <c r="D5239" s="1733"/>
      <c r="E5239" s="1733"/>
      <c r="F5239" s="1733"/>
      <c r="G5239" s="1733"/>
      <c r="H5239" s="1733"/>
      <c r="I5239" s="1733"/>
      <c r="J5239" s="1733"/>
    </row>
    <row r="5240" spans="1:10" ht="15.75" customHeight="1">
      <c r="A5240" s="1733"/>
      <c r="B5240" s="1733"/>
      <c r="C5240" s="1733"/>
      <c r="D5240" s="1733"/>
      <c r="E5240" s="1733"/>
      <c r="F5240" s="1733"/>
      <c r="G5240" s="1733"/>
      <c r="H5240" s="1733"/>
      <c r="I5240" s="1733"/>
      <c r="J5240" s="1733"/>
    </row>
    <row r="5241" spans="1:10" ht="15.75" customHeight="1">
      <c r="A5241" s="1733"/>
      <c r="B5241" s="1733"/>
      <c r="C5241" s="1733"/>
      <c r="D5241" s="1733"/>
      <c r="E5241" s="1733"/>
      <c r="F5241" s="1733"/>
      <c r="G5241" s="1733"/>
      <c r="H5241" s="1733"/>
      <c r="I5241" s="1733"/>
      <c r="J5241" s="1733"/>
    </row>
    <row r="5242" spans="1:10" ht="15.75" customHeight="1">
      <c r="A5242" s="1733"/>
      <c r="B5242" s="1733"/>
      <c r="C5242" s="1733"/>
      <c r="D5242" s="1733"/>
      <c r="E5242" s="1733"/>
      <c r="F5242" s="1733"/>
      <c r="G5242" s="1733"/>
      <c r="H5242" s="1733"/>
      <c r="I5242" s="1733"/>
      <c r="J5242" s="1733"/>
    </row>
    <row r="5243" spans="1:10" ht="15.75" customHeight="1">
      <c r="A5243" s="1733"/>
      <c r="B5243" s="1733"/>
      <c r="C5243" s="1733"/>
      <c r="D5243" s="1733"/>
      <c r="E5243" s="1733"/>
      <c r="F5243" s="1733"/>
      <c r="G5243" s="1733"/>
      <c r="H5243" s="1733"/>
      <c r="I5243" s="1733"/>
      <c r="J5243" s="1733"/>
    </row>
    <row r="5244" spans="1:10" ht="15.75" customHeight="1">
      <c r="A5244" s="1733"/>
      <c r="B5244" s="1733"/>
      <c r="C5244" s="1733"/>
      <c r="D5244" s="1733"/>
      <c r="E5244" s="1733"/>
      <c r="F5244" s="1733"/>
      <c r="G5244" s="1733"/>
      <c r="H5244" s="1733"/>
      <c r="I5244" s="1733"/>
      <c r="J5244" s="1733"/>
    </row>
    <row r="5245" spans="1:10" ht="15.75" customHeight="1">
      <c r="A5245" s="1733"/>
      <c r="B5245" s="1733"/>
      <c r="C5245" s="1733"/>
      <c r="D5245" s="1733"/>
      <c r="E5245" s="1733"/>
      <c r="F5245" s="1733"/>
      <c r="G5245" s="1733"/>
      <c r="H5245" s="1733"/>
      <c r="I5245" s="1733"/>
      <c r="J5245" s="1733"/>
    </row>
    <row r="5246" spans="1:10" ht="15.75" customHeight="1">
      <c r="A5246" s="1733"/>
      <c r="B5246" s="1733"/>
      <c r="C5246" s="1733"/>
      <c r="D5246" s="1733"/>
      <c r="E5246" s="1733"/>
      <c r="F5246" s="1733"/>
      <c r="G5246" s="1733"/>
      <c r="H5246" s="1733"/>
      <c r="I5246" s="1733"/>
      <c r="J5246" s="1733"/>
    </row>
    <row r="5247" spans="1:10" ht="15.75" customHeight="1">
      <c r="A5247" s="1733"/>
      <c r="B5247" s="1733"/>
      <c r="C5247" s="1733"/>
      <c r="D5247" s="1733"/>
      <c r="E5247" s="1733"/>
      <c r="F5247" s="1733"/>
      <c r="G5247" s="1733"/>
      <c r="H5247" s="1733"/>
      <c r="I5247" s="1733"/>
      <c r="J5247" s="1733"/>
    </row>
    <row r="5248" spans="1:10" ht="15.75" customHeight="1">
      <c r="A5248" s="1733"/>
      <c r="B5248" s="1733"/>
      <c r="C5248" s="1733"/>
      <c r="D5248" s="1733"/>
      <c r="E5248" s="1733"/>
      <c r="F5248" s="1733"/>
      <c r="G5248" s="1733"/>
      <c r="H5248" s="1733"/>
      <c r="I5248" s="1733"/>
      <c r="J5248" s="1733"/>
    </row>
    <row r="5249" spans="1:10" ht="15.75" customHeight="1">
      <c r="A5249" s="1733"/>
      <c r="B5249" s="1733"/>
      <c r="C5249" s="1733"/>
      <c r="D5249" s="1733"/>
      <c r="E5249" s="1733"/>
      <c r="F5249" s="1733"/>
      <c r="G5249" s="1733"/>
      <c r="H5249" s="1733"/>
      <c r="I5249" s="1733"/>
      <c r="J5249" s="1733"/>
    </row>
    <row r="5250" spans="1:10" ht="15.75" customHeight="1">
      <c r="A5250" s="1733"/>
      <c r="B5250" s="1733"/>
      <c r="C5250" s="1733"/>
      <c r="D5250" s="1733"/>
      <c r="E5250" s="1733"/>
      <c r="F5250" s="1733"/>
      <c r="G5250" s="1733"/>
      <c r="H5250" s="1733"/>
      <c r="I5250" s="1733"/>
      <c r="J5250" s="1733"/>
    </row>
    <row r="5251" spans="1:10" ht="15.75" customHeight="1">
      <c r="A5251" s="1733"/>
      <c r="B5251" s="1733"/>
      <c r="C5251" s="1733"/>
      <c r="D5251" s="1733"/>
      <c r="E5251" s="1733"/>
      <c r="F5251" s="1733"/>
      <c r="G5251" s="1733"/>
      <c r="H5251" s="1733"/>
      <c r="I5251" s="1733"/>
      <c r="J5251" s="1733"/>
    </row>
    <row r="5252" spans="1:10" ht="15.75" customHeight="1">
      <c r="A5252" s="1733"/>
      <c r="B5252" s="1733"/>
      <c r="C5252" s="1733"/>
      <c r="D5252" s="1733"/>
      <c r="E5252" s="1733"/>
      <c r="F5252" s="1733"/>
      <c r="G5252" s="1733"/>
      <c r="H5252" s="1733"/>
      <c r="I5252" s="1733"/>
      <c r="J5252" s="1733"/>
    </row>
    <row r="5253" spans="1:10" ht="15.75" customHeight="1">
      <c r="A5253" s="1733"/>
      <c r="B5253" s="1733"/>
      <c r="C5253" s="1733"/>
      <c r="D5253" s="1733"/>
      <c r="E5253" s="1733"/>
      <c r="F5253" s="1733"/>
      <c r="G5253" s="1733"/>
      <c r="H5253" s="1733"/>
      <c r="I5253" s="1733"/>
      <c r="J5253" s="1733"/>
    </row>
    <row r="5254" spans="1:10" ht="15.75" customHeight="1">
      <c r="A5254" s="1733"/>
      <c r="B5254" s="1733"/>
      <c r="C5254" s="1733"/>
      <c r="D5254" s="1733"/>
      <c r="E5254" s="1733"/>
      <c r="F5254" s="1733"/>
      <c r="G5254" s="1733"/>
      <c r="H5254" s="1733"/>
      <c r="I5254" s="1733"/>
      <c r="J5254" s="1733"/>
    </row>
    <row r="5255" spans="1:10" ht="15.75" customHeight="1">
      <c r="A5255" s="1733"/>
      <c r="B5255" s="1733"/>
      <c r="C5255" s="1733"/>
      <c r="D5255" s="1733"/>
      <c r="E5255" s="1733"/>
      <c r="F5255" s="1733"/>
      <c r="G5255" s="1733"/>
      <c r="H5255" s="1733"/>
      <c r="I5255" s="1733"/>
      <c r="J5255" s="1733"/>
    </row>
    <row r="5256" spans="1:10" ht="15.75" customHeight="1">
      <c r="A5256" s="1733"/>
      <c r="B5256" s="1733"/>
      <c r="C5256" s="1733"/>
      <c r="D5256" s="1733"/>
      <c r="E5256" s="1733"/>
      <c r="F5256" s="1733"/>
      <c r="G5256" s="1733"/>
      <c r="H5256" s="1733"/>
      <c r="I5256" s="1733"/>
      <c r="J5256" s="1733"/>
    </row>
    <row r="5257" spans="1:10" ht="15.75" customHeight="1">
      <c r="A5257" s="1733"/>
      <c r="B5257" s="1733"/>
      <c r="C5257" s="1733"/>
      <c r="D5257" s="1733"/>
      <c r="E5257" s="1733"/>
      <c r="F5257" s="1733"/>
      <c r="G5257" s="1733"/>
      <c r="H5257" s="1733"/>
      <c r="I5257" s="1733"/>
      <c r="J5257" s="1733"/>
    </row>
    <row r="5258" spans="1:10" ht="15.75" customHeight="1">
      <c r="A5258" s="1733"/>
      <c r="B5258" s="1733"/>
      <c r="C5258" s="1733"/>
      <c r="D5258" s="1733"/>
      <c r="E5258" s="1733"/>
      <c r="F5258" s="1733"/>
      <c r="G5258" s="1733"/>
      <c r="H5258" s="1733"/>
      <c r="I5258" s="1733"/>
      <c r="J5258" s="1733"/>
    </row>
    <row r="5259" spans="1:10" ht="15.75" customHeight="1">
      <c r="A5259" s="1733"/>
      <c r="B5259" s="1733"/>
      <c r="C5259" s="1733"/>
      <c r="D5259" s="1733"/>
      <c r="E5259" s="1733"/>
      <c r="F5259" s="1733"/>
      <c r="G5259" s="1733"/>
      <c r="H5259" s="1733"/>
      <c r="I5259" s="1733"/>
      <c r="J5259" s="1733"/>
    </row>
    <row r="5260" spans="1:10" ht="15.75" customHeight="1">
      <c r="A5260" s="1733"/>
      <c r="B5260" s="1733"/>
      <c r="C5260" s="1733"/>
      <c r="D5260" s="1733"/>
      <c r="E5260" s="1733"/>
      <c r="F5260" s="1733"/>
      <c r="G5260" s="1733"/>
      <c r="H5260" s="1733"/>
      <c r="I5260" s="1733"/>
      <c r="J5260" s="1733"/>
    </row>
    <row r="5261" spans="1:10" ht="15.75" customHeight="1">
      <c r="A5261" s="1733"/>
      <c r="B5261" s="1733"/>
      <c r="C5261" s="1733"/>
      <c r="D5261" s="1733"/>
      <c r="E5261" s="1733"/>
      <c r="F5261" s="1733"/>
      <c r="G5261" s="1733"/>
      <c r="H5261" s="1733"/>
      <c r="I5261" s="1733"/>
      <c r="J5261" s="1733"/>
    </row>
    <row r="5262" spans="1:10" ht="15.75" customHeight="1">
      <c r="A5262" s="1733"/>
      <c r="B5262" s="1733"/>
      <c r="C5262" s="1733"/>
      <c r="D5262" s="1733"/>
      <c r="E5262" s="1733"/>
      <c r="F5262" s="1733"/>
      <c r="G5262" s="1733"/>
      <c r="H5262" s="1733"/>
      <c r="I5262" s="1733"/>
      <c r="J5262" s="1733"/>
    </row>
    <row r="5263" spans="1:10" ht="15.75" customHeight="1">
      <c r="A5263" s="1733"/>
      <c r="B5263" s="1733"/>
      <c r="C5263" s="1733"/>
      <c r="D5263" s="1733"/>
      <c r="E5263" s="1733"/>
      <c r="F5263" s="1733"/>
      <c r="G5263" s="1733"/>
      <c r="H5263" s="1733"/>
      <c r="I5263" s="1733"/>
      <c r="J5263" s="1733"/>
    </row>
    <row r="5264" spans="1:10" ht="15.75" customHeight="1">
      <c r="A5264" s="1733"/>
      <c r="B5264" s="1733"/>
      <c r="C5264" s="1733"/>
      <c r="D5264" s="1733"/>
      <c r="E5264" s="1733"/>
      <c r="F5264" s="1733"/>
      <c r="G5264" s="1733"/>
      <c r="H5264" s="1733"/>
      <c r="I5264" s="1733"/>
      <c r="J5264" s="1733"/>
    </row>
    <row r="5265" spans="1:10" ht="15.75" customHeight="1">
      <c r="A5265" s="1733"/>
      <c r="B5265" s="1733"/>
      <c r="C5265" s="1733"/>
      <c r="D5265" s="1733"/>
      <c r="E5265" s="1733"/>
      <c r="F5265" s="1733"/>
      <c r="G5265" s="1733"/>
      <c r="H5265" s="1733"/>
      <c r="I5265" s="1733"/>
      <c r="J5265" s="1733"/>
    </row>
    <row r="5266" spans="1:10" ht="15.75" customHeight="1">
      <c r="A5266" s="1733"/>
      <c r="B5266" s="1733"/>
      <c r="C5266" s="1733"/>
      <c r="D5266" s="1733"/>
      <c r="E5266" s="1733"/>
      <c r="F5266" s="1733"/>
      <c r="G5266" s="1733"/>
      <c r="H5266" s="1733"/>
      <c r="I5266" s="1733"/>
      <c r="J5266" s="1733"/>
    </row>
    <row r="5267" spans="1:10" ht="15.75" customHeight="1">
      <c r="A5267" s="1733"/>
      <c r="B5267" s="1733"/>
      <c r="C5267" s="1733"/>
      <c r="D5267" s="1733"/>
      <c r="E5267" s="1733"/>
      <c r="F5267" s="1733"/>
      <c r="G5267" s="1733"/>
      <c r="H5267" s="1733"/>
      <c r="I5267" s="1733"/>
      <c r="J5267" s="1733"/>
    </row>
    <row r="5268" spans="1:10" ht="15.75" customHeight="1">
      <c r="A5268" s="1733"/>
      <c r="B5268" s="1733"/>
      <c r="C5268" s="1733"/>
      <c r="D5268" s="1733"/>
      <c r="E5268" s="1733"/>
      <c r="F5268" s="1733"/>
      <c r="G5268" s="1733"/>
      <c r="H5268" s="1733"/>
      <c r="I5268" s="1733"/>
      <c r="J5268" s="1733"/>
    </row>
    <row r="5269" spans="1:10" ht="15.75" customHeight="1">
      <c r="A5269" s="1733"/>
      <c r="B5269" s="1733"/>
      <c r="C5269" s="1733"/>
      <c r="D5269" s="1733"/>
      <c r="E5269" s="1733"/>
      <c r="F5269" s="1733"/>
      <c r="G5269" s="1733"/>
      <c r="H5269" s="1733"/>
      <c r="I5269" s="1733"/>
      <c r="J5269" s="1733"/>
    </row>
    <row r="5270" spans="1:10" ht="15.75" customHeight="1">
      <c r="A5270" s="1733"/>
      <c r="B5270" s="1733"/>
      <c r="C5270" s="1733"/>
      <c r="D5270" s="1733"/>
      <c r="E5270" s="1733"/>
      <c r="F5270" s="1733"/>
      <c r="G5270" s="1733"/>
      <c r="H5270" s="1733"/>
      <c r="I5270" s="1733"/>
      <c r="J5270" s="1733"/>
    </row>
    <row r="5271" spans="1:10" ht="15.75" customHeight="1">
      <c r="A5271" s="1733"/>
      <c r="B5271" s="1733"/>
      <c r="C5271" s="1733"/>
      <c r="D5271" s="1733"/>
      <c r="E5271" s="1733"/>
      <c r="F5271" s="1733"/>
      <c r="G5271" s="1733"/>
      <c r="H5271" s="1733"/>
      <c r="I5271" s="1733"/>
      <c r="J5271" s="1733"/>
    </row>
    <row r="5272" spans="1:10" ht="15.75" customHeight="1">
      <c r="A5272" s="1733"/>
      <c r="B5272" s="1733"/>
      <c r="C5272" s="1733"/>
      <c r="D5272" s="1733"/>
      <c r="E5272" s="1733"/>
      <c r="F5272" s="1733"/>
      <c r="G5272" s="1733"/>
      <c r="H5272" s="1733"/>
      <c r="I5272" s="1733"/>
      <c r="J5272" s="1733"/>
    </row>
    <row r="5273" spans="1:10" ht="15.75" customHeight="1">
      <c r="A5273" s="1733"/>
      <c r="B5273" s="1733"/>
      <c r="C5273" s="1733"/>
      <c r="D5273" s="1733"/>
      <c r="E5273" s="1733"/>
      <c r="F5273" s="1733"/>
      <c r="G5273" s="1733"/>
      <c r="H5273" s="1733"/>
      <c r="I5273" s="1733"/>
      <c r="J5273" s="1733"/>
    </row>
    <row r="5274" spans="1:10" ht="15.75" customHeight="1">
      <c r="A5274" s="1733"/>
      <c r="B5274" s="1733"/>
      <c r="C5274" s="1733"/>
      <c r="D5274" s="1733"/>
      <c r="E5274" s="1733"/>
      <c r="F5274" s="1733"/>
      <c r="G5274" s="1733"/>
      <c r="H5274" s="1733"/>
      <c r="I5274" s="1733"/>
      <c r="J5274" s="1733"/>
    </row>
    <row r="5275" spans="1:10" ht="15.75" customHeight="1">
      <c r="A5275" s="1733"/>
      <c r="B5275" s="1733"/>
      <c r="C5275" s="1733"/>
      <c r="D5275" s="1733"/>
      <c r="E5275" s="1733"/>
      <c r="F5275" s="1733"/>
      <c r="G5275" s="1733"/>
      <c r="H5275" s="1733"/>
      <c r="I5275" s="1733"/>
      <c r="J5275" s="1733"/>
    </row>
    <row r="5276" spans="1:10" ht="15.75" customHeight="1">
      <c r="A5276" s="1733"/>
      <c r="B5276" s="1733"/>
      <c r="C5276" s="1733"/>
      <c r="D5276" s="1733"/>
      <c r="E5276" s="1733"/>
      <c r="F5276" s="1733"/>
      <c r="G5276" s="1733"/>
      <c r="H5276" s="1733"/>
      <c r="I5276" s="1733"/>
      <c r="J5276" s="1733"/>
    </row>
    <row r="5277" spans="1:10" ht="15.75" customHeight="1">
      <c r="A5277" s="1733"/>
      <c r="B5277" s="1733"/>
      <c r="C5277" s="1733"/>
      <c r="D5277" s="1733"/>
      <c r="E5277" s="1733"/>
      <c r="F5277" s="1733"/>
      <c r="G5277" s="1733"/>
      <c r="H5277" s="1733"/>
      <c r="I5277" s="1733"/>
      <c r="J5277" s="1733"/>
    </row>
    <row r="5278" spans="1:10" ht="15.75" customHeight="1">
      <c r="A5278" s="1733"/>
      <c r="B5278" s="1733"/>
      <c r="C5278" s="1733"/>
      <c r="D5278" s="1733"/>
      <c r="E5278" s="1733"/>
      <c r="F5278" s="1733"/>
      <c r="G5278" s="1733"/>
      <c r="H5278" s="1733"/>
      <c r="I5278" s="1733"/>
      <c r="J5278" s="1733"/>
    </row>
    <row r="5279" spans="1:10" ht="15.75" customHeight="1">
      <c r="A5279" s="1733"/>
      <c r="B5279" s="1733"/>
      <c r="C5279" s="1733"/>
      <c r="D5279" s="1733"/>
      <c r="E5279" s="1733"/>
      <c r="F5279" s="1733"/>
      <c r="G5279" s="1733"/>
      <c r="H5279" s="1733"/>
      <c r="I5279" s="1733"/>
      <c r="J5279" s="1733"/>
    </row>
    <row r="5280" spans="1:10" ht="15.75" customHeight="1">
      <c r="A5280" s="1733"/>
      <c r="B5280" s="1733"/>
      <c r="C5280" s="1733"/>
      <c r="D5280" s="1733"/>
      <c r="E5280" s="1733"/>
      <c r="F5280" s="1733"/>
      <c r="G5280" s="1733"/>
      <c r="H5280" s="1733"/>
      <c r="I5280" s="1733"/>
      <c r="J5280" s="1733"/>
    </row>
    <row r="5281" spans="1:10" ht="15.75" customHeight="1">
      <c r="A5281" s="1733"/>
      <c r="B5281" s="1733"/>
      <c r="C5281" s="1733"/>
      <c r="D5281" s="1733"/>
      <c r="E5281" s="1733"/>
      <c r="F5281" s="1733"/>
      <c r="G5281" s="1733"/>
      <c r="H5281" s="1733"/>
      <c r="I5281" s="1733"/>
      <c r="J5281" s="1733"/>
    </row>
    <row r="5282" spans="1:10" ht="15.75" customHeight="1">
      <c r="A5282" s="1733"/>
      <c r="B5282" s="1733"/>
      <c r="C5282" s="1733"/>
      <c r="D5282" s="1733"/>
      <c r="E5282" s="1733"/>
      <c r="F5282" s="1733"/>
      <c r="G5282" s="1733"/>
      <c r="H5282" s="1733"/>
      <c r="I5282" s="1733"/>
      <c r="J5282" s="1733"/>
    </row>
    <row r="5283" spans="1:10" ht="15.75" customHeight="1">
      <c r="A5283" s="1733"/>
      <c r="B5283" s="1733"/>
      <c r="C5283" s="1733"/>
      <c r="D5283" s="1733"/>
      <c r="E5283" s="1733"/>
      <c r="F5283" s="1733"/>
      <c r="G5283" s="1733"/>
      <c r="H5283" s="1733"/>
      <c r="I5283" s="1733"/>
      <c r="J5283" s="1733"/>
    </row>
    <row r="5284" spans="1:10" ht="15.75" customHeight="1">
      <c r="A5284" s="1733"/>
      <c r="B5284" s="1733"/>
      <c r="C5284" s="1733"/>
      <c r="D5284" s="1733"/>
      <c r="E5284" s="1733"/>
      <c r="F5284" s="1733"/>
      <c r="G5284" s="1733"/>
      <c r="H5284" s="1733"/>
      <c r="I5284" s="1733"/>
      <c r="J5284" s="1733"/>
    </row>
    <row r="5285" spans="1:10" ht="15.75" customHeight="1">
      <c r="A5285" s="1733"/>
      <c r="B5285" s="1733"/>
      <c r="C5285" s="1733"/>
      <c r="D5285" s="1733"/>
      <c r="E5285" s="1733"/>
      <c r="F5285" s="1733"/>
      <c r="G5285" s="1733"/>
      <c r="H5285" s="1733"/>
      <c r="I5285" s="1733"/>
      <c r="J5285" s="1733"/>
    </row>
    <row r="5286" spans="1:10" ht="15.75" customHeight="1">
      <c r="A5286" s="1733"/>
      <c r="B5286" s="1733"/>
      <c r="C5286" s="1733"/>
      <c r="D5286" s="1733"/>
      <c r="E5286" s="1733"/>
      <c r="F5286" s="1733"/>
      <c r="G5286" s="1733"/>
      <c r="H5286" s="1733"/>
      <c r="I5286" s="1733"/>
      <c r="J5286" s="1733"/>
    </row>
    <row r="5287" spans="1:10" ht="15.75" customHeight="1">
      <c r="A5287" s="1733"/>
      <c r="B5287" s="1733"/>
      <c r="C5287" s="1733"/>
      <c r="D5287" s="1733"/>
      <c r="E5287" s="1733"/>
      <c r="F5287" s="1733"/>
      <c r="G5287" s="1733"/>
      <c r="H5287" s="1733"/>
      <c r="I5287" s="1733"/>
      <c r="J5287" s="1733"/>
    </row>
    <row r="5288" spans="1:10" ht="15.75" customHeight="1">
      <c r="A5288" s="1733"/>
      <c r="B5288" s="1733"/>
      <c r="C5288" s="1733"/>
      <c r="D5288" s="1733"/>
      <c r="E5288" s="1733"/>
      <c r="F5288" s="1733"/>
      <c r="G5288" s="1733"/>
      <c r="H5288" s="1733"/>
      <c r="I5288" s="1733"/>
      <c r="J5288" s="1733"/>
    </row>
    <row r="5289" spans="1:10" ht="15.75" customHeight="1">
      <c r="A5289" s="1733"/>
      <c r="B5289" s="1733"/>
      <c r="C5289" s="1733"/>
      <c r="D5289" s="1733"/>
      <c r="E5289" s="1733"/>
      <c r="F5289" s="1733"/>
      <c r="G5289" s="1733"/>
      <c r="H5289" s="1733"/>
      <c r="I5289" s="1733"/>
      <c r="J5289" s="1733"/>
    </row>
    <row r="5290" spans="1:10" ht="15.75" customHeight="1">
      <c r="A5290" s="1733"/>
      <c r="B5290" s="1733"/>
      <c r="C5290" s="1733"/>
      <c r="D5290" s="1733"/>
      <c r="E5290" s="1733"/>
      <c r="F5290" s="1733"/>
      <c r="G5290" s="1733"/>
      <c r="H5290" s="1733"/>
      <c r="I5290" s="1733"/>
      <c r="J5290" s="1733"/>
    </row>
    <row r="5291" spans="1:10" ht="15.75" customHeight="1">
      <c r="A5291" s="1733"/>
      <c r="B5291" s="1733"/>
      <c r="C5291" s="1733"/>
      <c r="D5291" s="1733"/>
      <c r="E5291" s="1733"/>
      <c r="F5291" s="1733"/>
      <c r="G5291" s="1733"/>
      <c r="H5291" s="1733"/>
      <c r="I5291" s="1733"/>
      <c r="J5291" s="1733"/>
    </row>
    <row r="5292" spans="1:10" ht="15.75" customHeight="1">
      <c r="A5292" s="1733"/>
      <c r="B5292" s="1733"/>
      <c r="C5292" s="1733"/>
      <c r="D5292" s="1733"/>
      <c r="E5292" s="1733"/>
      <c r="F5292" s="1733"/>
      <c r="G5292" s="1733"/>
      <c r="H5292" s="1733"/>
      <c r="I5292" s="1733"/>
      <c r="J5292" s="1733"/>
    </row>
    <row r="5293" spans="1:10" ht="15.75" customHeight="1">
      <c r="A5293" s="1733"/>
      <c r="B5293" s="1733"/>
      <c r="C5293" s="1733"/>
      <c r="D5293" s="1733"/>
      <c r="E5293" s="1733"/>
      <c r="F5293" s="1733"/>
      <c r="G5293" s="1733"/>
      <c r="H5293" s="1733"/>
      <c r="I5293" s="1733"/>
      <c r="J5293" s="1733"/>
    </row>
    <row r="5294" spans="1:10" ht="15.75" customHeight="1">
      <c r="A5294" s="1733"/>
      <c r="B5294" s="1733"/>
      <c r="C5294" s="1733"/>
      <c r="D5294" s="1733"/>
      <c r="E5294" s="1733"/>
      <c r="F5294" s="1733"/>
      <c r="G5294" s="1733"/>
      <c r="H5294" s="1733"/>
      <c r="I5294" s="1733"/>
      <c r="J5294" s="1733"/>
    </row>
    <row r="5295" spans="1:10" ht="15.75" customHeight="1">
      <c r="A5295" s="1733"/>
      <c r="B5295" s="1733"/>
      <c r="C5295" s="1733"/>
      <c r="D5295" s="1733"/>
      <c r="E5295" s="1733"/>
      <c r="F5295" s="1733"/>
      <c r="G5295" s="1733"/>
      <c r="H5295" s="1733"/>
      <c r="I5295" s="1733"/>
      <c r="J5295" s="1733"/>
    </row>
    <row r="5296" spans="1:10" ht="15.75" customHeight="1">
      <c r="A5296" s="1733"/>
      <c r="B5296" s="1733"/>
      <c r="C5296" s="1733"/>
      <c r="D5296" s="1733"/>
      <c r="E5296" s="1733"/>
      <c r="F5296" s="1733"/>
      <c r="G5296" s="1733"/>
      <c r="H5296" s="1733"/>
      <c r="I5296" s="1733"/>
      <c r="J5296" s="1733"/>
    </row>
    <row r="5297" spans="1:10" ht="15.75" customHeight="1">
      <c r="A5297" s="1733"/>
      <c r="B5297" s="1733"/>
      <c r="C5297" s="1733"/>
      <c r="D5297" s="1733"/>
      <c r="E5297" s="1733"/>
      <c r="F5297" s="1733"/>
      <c r="G5297" s="1733"/>
      <c r="H5297" s="1733"/>
      <c r="I5297" s="1733"/>
      <c r="J5297" s="1733"/>
    </row>
    <row r="5298" spans="1:10" ht="15.75" customHeight="1">
      <c r="A5298" s="1733"/>
      <c r="B5298" s="1733"/>
      <c r="C5298" s="1733"/>
      <c r="D5298" s="1733"/>
      <c r="E5298" s="1733"/>
      <c r="F5298" s="1733"/>
      <c r="G5298" s="1733"/>
      <c r="H5298" s="1733"/>
      <c r="I5298" s="1733"/>
      <c r="J5298" s="1733"/>
    </row>
    <row r="5299" spans="1:10" ht="15.75" customHeight="1">
      <c r="A5299" s="1733"/>
      <c r="B5299" s="1733"/>
      <c r="C5299" s="1733"/>
      <c r="D5299" s="1733"/>
      <c r="E5299" s="1733"/>
      <c r="F5299" s="1733"/>
      <c r="G5299" s="1733"/>
      <c r="H5299" s="1733"/>
      <c r="I5299" s="1733"/>
      <c r="J5299" s="1733"/>
    </row>
    <row r="5300" spans="1:10" ht="15.75" customHeight="1">
      <c r="A5300" s="1733"/>
      <c r="B5300" s="1733"/>
      <c r="C5300" s="1733"/>
      <c r="D5300" s="1733"/>
      <c r="E5300" s="1733"/>
      <c r="F5300" s="1733"/>
      <c r="G5300" s="1733"/>
      <c r="H5300" s="1733"/>
      <c r="I5300" s="1733"/>
      <c r="J5300" s="1733"/>
    </row>
    <row r="5301" spans="1:10" ht="15.75" customHeight="1">
      <c r="A5301" s="1733"/>
      <c r="B5301" s="1733"/>
      <c r="C5301" s="1733"/>
      <c r="D5301" s="1733"/>
      <c r="E5301" s="1733"/>
      <c r="F5301" s="1733"/>
      <c r="G5301" s="1733"/>
      <c r="H5301" s="1733"/>
      <c r="I5301" s="1733"/>
      <c r="J5301" s="1733"/>
    </row>
    <row r="5302" spans="1:10" ht="15.75" customHeight="1">
      <c r="A5302" s="1733"/>
      <c r="B5302" s="1733"/>
      <c r="C5302" s="1733"/>
      <c r="D5302" s="1733"/>
      <c r="E5302" s="1733"/>
      <c r="F5302" s="1733"/>
      <c r="G5302" s="1733"/>
      <c r="H5302" s="1733"/>
      <c r="I5302" s="1733"/>
      <c r="J5302" s="1733"/>
    </row>
    <row r="5303" spans="1:10" ht="15.75" customHeight="1">
      <c r="A5303" s="1733"/>
      <c r="B5303" s="1733"/>
      <c r="C5303" s="1733"/>
      <c r="D5303" s="1733"/>
      <c r="E5303" s="1733"/>
      <c r="F5303" s="1733"/>
      <c r="G5303" s="1733"/>
      <c r="H5303" s="1733"/>
      <c r="I5303" s="1733"/>
      <c r="J5303" s="1733"/>
    </row>
    <row r="5304" spans="1:10" ht="15.75" customHeight="1">
      <c r="A5304" s="1733"/>
      <c r="B5304" s="1733"/>
      <c r="C5304" s="1733"/>
      <c r="D5304" s="1733"/>
      <c r="E5304" s="1733"/>
      <c r="F5304" s="1733"/>
      <c r="G5304" s="1733"/>
      <c r="H5304" s="1733"/>
      <c r="I5304" s="1733"/>
      <c r="J5304" s="1733"/>
    </row>
    <row r="5305" spans="1:10" ht="15.75" customHeight="1">
      <c r="A5305" s="1733"/>
      <c r="B5305" s="1733"/>
      <c r="C5305" s="1733"/>
      <c r="D5305" s="1733"/>
      <c r="E5305" s="1733"/>
      <c r="F5305" s="1733"/>
      <c r="G5305" s="1733"/>
      <c r="H5305" s="1733"/>
      <c r="I5305" s="1733"/>
      <c r="J5305" s="1733"/>
    </row>
    <row r="5306" spans="1:10" ht="15.75" customHeight="1">
      <c r="A5306" s="1733"/>
      <c r="B5306" s="1733"/>
      <c r="C5306" s="1733"/>
      <c r="D5306" s="1733"/>
      <c r="E5306" s="1733"/>
      <c r="F5306" s="1733"/>
      <c r="G5306" s="1733"/>
      <c r="H5306" s="1733"/>
      <c r="I5306" s="1733"/>
      <c r="J5306" s="1733"/>
    </row>
    <row r="5307" spans="1:10" ht="15.75" customHeight="1">
      <c r="A5307" s="1733"/>
      <c r="B5307" s="1733"/>
      <c r="C5307" s="1733"/>
      <c r="D5307" s="1733"/>
      <c r="E5307" s="1733"/>
      <c r="F5307" s="1733"/>
      <c r="G5307" s="1733"/>
      <c r="H5307" s="1733"/>
      <c r="I5307" s="1733"/>
      <c r="J5307" s="1733"/>
    </row>
    <row r="5308" spans="1:10" ht="15.75" customHeight="1">
      <c r="A5308" s="1733"/>
      <c r="B5308" s="1733"/>
      <c r="C5308" s="1733"/>
      <c r="D5308" s="1733"/>
      <c r="E5308" s="1733"/>
      <c r="F5308" s="1733"/>
      <c r="G5308" s="1733"/>
      <c r="H5308" s="1733"/>
      <c r="I5308" s="1733"/>
      <c r="J5308" s="1733"/>
    </row>
    <row r="5309" spans="1:10" ht="15.75" customHeight="1">
      <c r="A5309" s="1733"/>
      <c r="B5309" s="1733"/>
      <c r="C5309" s="1733"/>
      <c r="D5309" s="1733"/>
      <c r="E5309" s="1733"/>
      <c r="F5309" s="1733"/>
      <c r="G5309" s="1733"/>
      <c r="H5309" s="1733"/>
      <c r="I5309" s="1733"/>
      <c r="J5309" s="1733"/>
    </row>
    <row r="5310" spans="1:10" ht="15.75" customHeight="1">
      <c r="A5310" s="1733"/>
      <c r="B5310" s="1733"/>
      <c r="C5310" s="1733"/>
      <c r="D5310" s="1733"/>
      <c r="E5310" s="1733"/>
      <c r="F5310" s="1733"/>
      <c r="G5310" s="1733"/>
      <c r="H5310" s="1733"/>
      <c r="I5310" s="1733"/>
      <c r="J5310" s="1733"/>
    </row>
    <row r="5311" spans="1:10" ht="15.75" customHeight="1">
      <c r="A5311" s="1733"/>
      <c r="B5311" s="1733"/>
      <c r="C5311" s="1733"/>
      <c r="D5311" s="1733"/>
      <c r="E5311" s="1733"/>
      <c r="F5311" s="1733"/>
      <c r="G5311" s="1733"/>
      <c r="H5311" s="1733"/>
      <c r="I5311" s="1733"/>
      <c r="J5311" s="1733"/>
    </row>
    <row r="5312" spans="1:10" ht="15.75" customHeight="1">
      <c r="A5312" s="1733"/>
      <c r="B5312" s="1733"/>
      <c r="C5312" s="1733"/>
      <c r="D5312" s="1733"/>
      <c r="E5312" s="1733"/>
      <c r="F5312" s="1733"/>
      <c r="G5312" s="1733"/>
      <c r="H5312" s="1733"/>
      <c r="I5312" s="1733"/>
      <c r="J5312" s="1733"/>
    </row>
    <row r="5313" spans="1:10" ht="15.75" customHeight="1">
      <c r="A5313" s="1733"/>
      <c r="B5313" s="1733"/>
      <c r="C5313" s="1733"/>
      <c r="D5313" s="1733"/>
      <c r="E5313" s="1733"/>
      <c r="F5313" s="1733"/>
      <c r="G5313" s="1733"/>
      <c r="H5313" s="1733"/>
      <c r="I5313" s="1733"/>
      <c r="J5313" s="1733"/>
    </row>
    <row r="5314" spans="1:10" ht="15.75" customHeight="1">
      <c r="A5314" s="1733"/>
      <c r="B5314" s="1733"/>
      <c r="C5314" s="1733"/>
      <c r="D5314" s="1733"/>
      <c r="E5314" s="1733"/>
      <c r="F5314" s="1733"/>
      <c r="G5314" s="1733"/>
      <c r="H5314" s="1733"/>
      <c r="I5314" s="1733"/>
      <c r="J5314" s="1733"/>
    </row>
    <row r="5315" spans="1:10" ht="15.75" customHeight="1">
      <c r="A5315" s="1733"/>
      <c r="B5315" s="1733"/>
      <c r="C5315" s="1733"/>
      <c r="D5315" s="1733"/>
      <c r="E5315" s="1733"/>
      <c r="F5315" s="1733"/>
      <c r="G5315" s="1733"/>
      <c r="H5315" s="1733"/>
      <c r="I5315" s="1733"/>
      <c r="J5315" s="1733"/>
    </row>
    <row r="5316" spans="1:10" ht="15.75" customHeight="1">
      <c r="A5316" s="1733"/>
      <c r="B5316" s="1733"/>
      <c r="C5316" s="1733"/>
      <c r="D5316" s="1733"/>
      <c r="E5316" s="1733"/>
      <c r="F5316" s="1733"/>
      <c r="G5316" s="1733"/>
      <c r="H5316" s="1733"/>
      <c r="I5316" s="1733"/>
      <c r="J5316" s="1733"/>
    </row>
    <row r="5317" spans="1:10" ht="15.75" customHeight="1">
      <c r="A5317" s="1733"/>
      <c r="B5317" s="1733"/>
      <c r="C5317" s="1733"/>
      <c r="D5317" s="1733"/>
      <c r="E5317" s="1733"/>
      <c r="F5317" s="1733"/>
      <c r="G5317" s="1733"/>
      <c r="H5317" s="1733"/>
      <c r="I5317" s="1733"/>
      <c r="J5317" s="1733"/>
    </row>
    <row r="5318" spans="1:10" ht="15.75" customHeight="1">
      <c r="A5318" s="1733"/>
      <c r="B5318" s="1733"/>
      <c r="C5318" s="1733"/>
      <c r="D5318" s="1733"/>
      <c r="E5318" s="1733"/>
      <c r="F5318" s="1733"/>
      <c r="G5318" s="1733"/>
      <c r="H5318" s="1733"/>
      <c r="I5318" s="1733"/>
      <c r="J5318" s="1733"/>
    </row>
    <row r="5319" spans="1:10" ht="15.75" customHeight="1"/>
    <row r="5320" spans="1:10" ht="15.75" customHeight="1"/>
    <row r="5321" spans="1:10" ht="15.75" customHeight="1"/>
    <row r="5322" spans="1:10" ht="15.75" customHeight="1"/>
    <row r="5323" spans="1:10" ht="15.75" customHeight="1"/>
    <row r="5324" spans="1:10" ht="15.75" customHeight="1"/>
    <row r="5325" spans="1:10" ht="15.75" customHeight="1"/>
    <row r="5326" spans="1:10" ht="15.75" customHeight="1"/>
    <row r="5327" spans="1:10" ht="15.75" customHeight="1"/>
    <row r="5328" spans="1:10" ht="15.75" customHeight="1"/>
    <row r="5329" ht="15.75" customHeight="1"/>
    <row r="5330" ht="15.75" customHeight="1"/>
    <row r="5331" ht="15.75" customHeight="1"/>
    <row r="5332" ht="15.75" customHeight="1"/>
    <row r="5333" ht="15.75" customHeight="1"/>
    <row r="5334" ht="15.75" customHeight="1"/>
    <row r="5335" ht="15.75" customHeight="1"/>
    <row r="5336" ht="15.75" customHeight="1"/>
    <row r="5337" ht="15.75" customHeight="1"/>
    <row r="5338" ht="15.75" customHeight="1"/>
    <row r="5339" ht="15.75" customHeight="1"/>
    <row r="5340" ht="15.75" customHeight="1"/>
    <row r="5341" ht="15.75" customHeight="1"/>
    <row r="5342" ht="15.75" customHeight="1"/>
    <row r="5343" ht="15.75" customHeight="1"/>
    <row r="5344" ht="15.75" customHeight="1"/>
    <row r="5345" ht="15.75" customHeight="1"/>
    <row r="5346" ht="15.75" customHeight="1"/>
    <row r="5347" ht="15.75" customHeight="1"/>
    <row r="5348" ht="15.75" customHeight="1"/>
    <row r="5349" ht="15.75" customHeight="1"/>
    <row r="5350" ht="15.75" customHeight="1"/>
    <row r="5351" ht="15.75" customHeight="1"/>
    <row r="5352" ht="15.75" customHeight="1"/>
    <row r="5353" ht="15.75" customHeight="1"/>
    <row r="5354" ht="15.75" customHeight="1"/>
    <row r="5355" ht="15.75" customHeight="1"/>
    <row r="5356" ht="15.75" customHeight="1"/>
    <row r="5357" ht="15.75" customHeight="1"/>
    <row r="5358" ht="15.75" customHeight="1"/>
    <row r="5359" ht="15.75" customHeight="1"/>
    <row r="5360" ht="15.75" customHeight="1"/>
    <row r="5361" ht="15.75" customHeight="1"/>
    <row r="5362" ht="15.75" customHeight="1"/>
    <row r="5363" ht="15.75" customHeight="1"/>
    <row r="5364" ht="15.75" customHeight="1"/>
    <row r="5365" ht="15.75" customHeight="1"/>
    <row r="5366" ht="15.75" customHeight="1"/>
    <row r="5367" ht="15.75" customHeight="1"/>
    <row r="5368" ht="15.75" customHeight="1"/>
    <row r="5369" ht="15.75" customHeight="1"/>
    <row r="5370" ht="15.75" customHeight="1"/>
    <row r="5371" ht="15.75" customHeight="1"/>
    <row r="5372" ht="15.75" customHeight="1"/>
    <row r="5373" ht="15.75" customHeight="1"/>
    <row r="5374" ht="15.75" customHeight="1"/>
    <row r="5375" ht="15.75" customHeight="1"/>
    <row r="5376" ht="15.75" customHeight="1"/>
    <row r="5377" ht="15.75" customHeight="1"/>
    <row r="5378" ht="15.75" customHeight="1"/>
    <row r="5379" ht="15.75" customHeight="1"/>
    <row r="5380" ht="15.75" customHeight="1"/>
    <row r="5381" ht="15.75" customHeight="1"/>
    <row r="5382" ht="15.75" customHeight="1"/>
    <row r="5383" ht="15.75" customHeight="1"/>
    <row r="5384" ht="15.75" customHeight="1"/>
    <row r="5385" ht="15.75" customHeight="1"/>
    <row r="5386" ht="15.75" customHeight="1"/>
    <row r="5387" ht="15.75" customHeight="1"/>
    <row r="5388" ht="15.75" customHeight="1"/>
    <row r="5389" ht="15.75" customHeight="1"/>
    <row r="5390" ht="15.75" customHeight="1"/>
    <row r="5391" ht="15.75" customHeight="1"/>
    <row r="5392" ht="15.75" customHeight="1"/>
    <row r="5393" ht="15.75" customHeight="1"/>
    <row r="5394" ht="15.75" customHeight="1"/>
    <row r="5395" ht="15.75" customHeight="1"/>
    <row r="5396" ht="15.75" customHeight="1"/>
    <row r="5397" ht="15.75" customHeight="1"/>
    <row r="5398" ht="15.75" customHeight="1"/>
    <row r="5399" ht="15.75" customHeight="1"/>
    <row r="5400" ht="15.75" customHeight="1"/>
    <row r="5401" ht="15.75" customHeight="1"/>
    <row r="5402" ht="15.75" customHeight="1"/>
    <row r="5403" ht="15.75" customHeight="1"/>
    <row r="5404" ht="15.75" customHeight="1"/>
    <row r="5405" ht="15.75" customHeight="1"/>
    <row r="5406" ht="15.75" customHeight="1"/>
    <row r="5407" ht="15.75" customHeight="1"/>
    <row r="5408" ht="15.75" customHeight="1"/>
    <row r="5409" ht="15.75" customHeight="1"/>
    <row r="5410" ht="15.75" customHeight="1"/>
    <row r="5411" ht="15.75" customHeight="1"/>
    <row r="5412" ht="15.75" customHeight="1"/>
    <row r="5413" ht="15.75" customHeight="1"/>
    <row r="5414" ht="15.75" customHeight="1"/>
    <row r="5415" ht="15.75" customHeight="1"/>
    <row r="5416" ht="15.75" customHeight="1"/>
    <row r="5417" ht="15.75" customHeight="1"/>
    <row r="5418" ht="15.75" customHeight="1"/>
    <row r="5419" ht="15.75" customHeight="1"/>
    <row r="5420" ht="15.75" customHeight="1"/>
    <row r="5421" ht="15.75" customHeight="1"/>
    <row r="5422" ht="15.75" customHeight="1"/>
    <row r="5423" ht="15.75" customHeight="1"/>
    <row r="5424" ht="15.75" customHeight="1"/>
    <row r="5425" ht="15.75" customHeight="1"/>
    <row r="5426" ht="15.75" customHeight="1"/>
    <row r="5427" ht="15.75" customHeight="1"/>
    <row r="5428" ht="15.75" customHeight="1"/>
    <row r="5429" ht="15.75" customHeight="1"/>
    <row r="5430" ht="15.75" customHeight="1"/>
    <row r="5431" ht="15.75" customHeight="1"/>
    <row r="5432" ht="15.75" customHeight="1"/>
    <row r="5433" ht="15.75" customHeight="1"/>
    <row r="5434" ht="15.75" customHeight="1"/>
    <row r="5435" ht="15.75" customHeight="1"/>
    <row r="5436" ht="15.75" customHeight="1"/>
    <row r="5437" ht="15.75" customHeight="1"/>
    <row r="5438" ht="15.75" customHeight="1"/>
    <row r="5439" ht="15.75" customHeight="1"/>
    <row r="5440" ht="15.75" customHeight="1"/>
    <row r="5441" ht="15.75" customHeight="1"/>
    <row r="5442" ht="15.75" customHeight="1"/>
    <row r="5443" ht="15.75" customHeight="1"/>
    <row r="5444" ht="15.75" customHeight="1"/>
    <row r="5445" ht="15.75" customHeight="1"/>
    <row r="5446" ht="15.75" customHeight="1"/>
    <row r="5447" ht="15.75" customHeight="1"/>
    <row r="5448" ht="15.75" customHeight="1"/>
    <row r="5449" ht="15.75" customHeight="1"/>
    <row r="5450" ht="15.75" customHeight="1"/>
    <row r="5451" ht="15.75" customHeight="1"/>
    <row r="5452" ht="15.75" customHeight="1"/>
    <row r="5453" ht="15.75" customHeight="1"/>
    <row r="5454" ht="15.75" customHeight="1"/>
    <row r="5455" ht="15.75" customHeight="1"/>
    <row r="5456" ht="15.75" customHeight="1"/>
    <row r="5457" ht="15.75" customHeight="1"/>
    <row r="5458" ht="15.75" customHeight="1"/>
    <row r="5459" ht="15.75" customHeight="1"/>
    <row r="5460" ht="15.75" customHeight="1"/>
    <row r="5461" ht="15.75" customHeight="1"/>
    <row r="5462" ht="15.75" customHeight="1"/>
    <row r="5463" ht="15.75" customHeight="1"/>
    <row r="5464" ht="15.75" customHeight="1"/>
    <row r="5465" ht="15.75" customHeight="1"/>
    <row r="5466" ht="15.75" customHeight="1"/>
    <row r="5467" ht="15.75" customHeight="1"/>
    <row r="5468" ht="15.75" customHeight="1"/>
    <row r="5469" ht="15.75" customHeight="1"/>
    <row r="5470" ht="15.75" customHeight="1"/>
    <row r="5471" ht="15.75" customHeight="1"/>
    <row r="5472" ht="15.75" customHeight="1"/>
    <row r="5473" ht="15.75" customHeight="1"/>
    <row r="5474" ht="15.75" customHeight="1"/>
    <row r="5475" ht="15.75" customHeight="1"/>
    <row r="5476" ht="15.75" customHeight="1"/>
    <row r="5477" ht="15.75" customHeight="1"/>
    <row r="5478" ht="15.75" customHeight="1"/>
    <row r="5479" ht="15.75" customHeight="1"/>
    <row r="5480" ht="15.75" customHeight="1"/>
    <row r="5481" ht="15.75" customHeight="1"/>
    <row r="5482" ht="15.75" customHeight="1"/>
    <row r="5483" ht="15.75" customHeight="1"/>
    <row r="5484" ht="15.75" customHeight="1"/>
    <row r="5485" ht="15.75" customHeight="1"/>
    <row r="5486" ht="15.75" customHeight="1"/>
    <row r="5487" ht="15.75" customHeight="1"/>
    <row r="5488" ht="15.75" customHeight="1"/>
    <row r="5489" ht="15.75" customHeight="1"/>
    <row r="5490" ht="15.75" customHeight="1"/>
    <row r="5491" ht="15.75" customHeight="1"/>
    <row r="5492" ht="15.75" customHeight="1"/>
    <row r="5493" ht="15.75" customHeight="1"/>
    <row r="5494" ht="15.75" customHeight="1"/>
    <row r="5495" ht="15.75" customHeight="1"/>
    <row r="5496" ht="15.75" customHeight="1"/>
    <row r="5497" ht="15.75" customHeight="1"/>
    <row r="5498" ht="15.75" customHeight="1"/>
    <row r="5499" ht="15.75" customHeight="1"/>
    <row r="5500" ht="15.75" customHeight="1"/>
    <row r="5501" ht="15.75" customHeight="1"/>
    <row r="5502" ht="15.75" customHeight="1"/>
    <row r="5503" ht="15.75" customHeight="1"/>
    <row r="5504" ht="15.75" customHeight="1"/>
    <row r="5505" ht="15.75" customHeight="1"/>
    <row r="5506" ht="15.75" customHeight="1"/>
    <row r="5507" ht="15.75" customHeight="1"/>
    <row r="5508" ht="15.75" customHeight="1"/>
    <row r="5509" ht="15.75" customHeight="1"/>
    <row r="5510" ht="15.75" customHeight="1"/>
    <row r="5511" ht="15.75" customHeight="1"/>
    <row r="5512" ht="15.75" customHeight="1"/>
    <row r="5513" ht="15.75" customHeight="1"/>
    <row r="5514" ht="15.75" customHeight="1"/>
    <row r="5515" ht="15.75" customHeight="1"/>
    <row r="5516" ht="15.75" customHeight="1"/>
    <row r="5517" ht="15.75" customHeight="1"/>
    <row r="5518" ht="15.75" customHeight="1"/>
    <row r="5519" ht="15.75" customHeight="1"/>
    <row r="5520" ht="15.75" customHeight="1"/>
    <row r="5521" ht="15.75" customHeight="1"/>
    <row r="5522" ht="15.75" customHeight="1"/>
    <row r="5523" ht="15.75" customHeight="1"/>
    <row r="5524" ht="15.75" customHeight="1"/>
    <row r="5525" ht="15.75" customHeight="1"/>
    <row r="5526" ht="15.75" customHeight="1"/>
    <row r="5527" ht="15.75" customHeight="1"/>
    <row r="5528" ht="15.75" customHeight="1"/>
    <row r="5529" ht="15.75" customHeight="1"/>
    <row r="5530" ht="15.75" customHeight="1"/>
    <row r="5531" ht="15.75" customHeight="1"/>
    <row r="5532" ht="15.75" customHeight="1"/>
    <row r="5533" ht="15.75" customHeight="1"/>
    <row r="5534" ht="15.75" customHeight="1"/>
    <row r="5535" ht="15.75" customHeight="1"/>
    <row r="5536" ht="15.75" customHeight="1"/>
    <row r="5537" ht="15.75" customHeight="1"/>
    <row r="5538" ht="15.75" customHeight="1"/>
    <row r="5539" ht="15.75" customHeight="1"/>
    <row r="5540" ht="15.75" customHeight="1"/>
    <row r="5541" ht="15.75" customHeight="1"/>
    <row r="5542" ht="15.75" customHeight="1"/>
    <row r="5543" ht="15.75" customHeight="1"/>
    <row r="5544" ht="15.75" customHeight="1"/>
    <row r="5545" ht="15.75" customHeight="1"/>
    <row r="5546" ht="15.75" customHeight="1"/>
    <row r="5547" ht="15.75" customHeight="1"/>
    <row r="5548" ht="15.75" customHeight="1"/>
    <row r="5549" ht="15.75" customHeight="1"/>
    <row r="5550" ht="15.75" customHeight="1"/>
    <row r="5551" ht="15.75" customHeight="1"/>
    <row r="5552" ht="15.75" customHeight="1"/>
    <row r="5553" ht="15.75" customHeight="1"/>
    <row r="5554" ht="15.75" customHeight="1"/>
    <row r="5555" ht="15.75" customHeight="1"/>
    <row r="5556" ht="15.75" customHeight="1"/>
    <row r="5557" ht="15.75" customHeight="1"/>
    <row r="5558" ht="15.75" customHeight="1"/>
    <row r="5559" ht="15.75" customHeight="1"/>
    <row r="5560" ht="15.75" customHeight="1"/>
    <row r="5561" ht="15.75" customHeight="1"/>
    <row r="5562" ht="15.75" customHeight="1"/>
    <row r="5563" ht="15.75" customHeight="1"/>
    <row r="5564" ht="15.75" customHeight="1"/>
    <row r="5565" ht="15.75" customHeight="1"/>
    <row r="5566" ht="15.75" customHeight="1"/>
    <row r="5567" ht="15.75" customHeight="1"/>
    <row r="5568" ht="15.75" customHeight="1"/>
    <row r="5569" ht="15.75" customHeight="1"/>
    <row r="5570" ht="15.75" customHeight="1"/>
    <row r="5571" ht="15.75" customHeight="1"/>
    <row r="5572" ht="15.75" customHeight="1"/>
    <row r="5573" ht="15.75" customHeight="1"/>
    <row r="5574" ht="15.75" customHeight="1"/>
    <row r="5575" ht="15.75" customHeight="1"/>
    <row r="5576" ht="15.75" customHeight="1"/>
    <row r="5577" ht="15.75" customHeight="1"/>
    <row r="5578" ht="15.75" customHeight="1"/>
    <row r="5579" ht="15.75" customHeight="1"/>
    <row r="5580" ht="15.75" customHeight="1"/>
    <row r="5581" ht="15.75" customHeight="1"/>
    <row r="5582" ht="15.75" customHeight="1"/>
    <row r="5583" ht="15.75" customHeight="1"/>
    <row r="5584" ht="15.75" customHeight="1"/>
    <row r="5585" ht="15.75" customHeight="1"/>
    <row r="5586" ht="15.75" customHeight="1"/>
    <row r="5587" ht="15.75" customHeight="1"/>
    <row r="5588" ht="15.75" customHeight="1"/>
    <row r="5589" ht="15.75" customHeight="1"/>
    <row r="5590" ht="15.75" customHeight="1"/>
    <row r="5591" ht="15.75" customHeight="1"/>
    <row r="5592" ht="15.75" customHeight="1"/>
    <row r="5593" ht="15.75" customHeight="1"/>
    <row r="5594" ht="15.75" customHeight="1"/>
    <row r="5595" ht="15.75" customHeight="1"/>
    <row r="5596" ht="15.75" customHeight="1"/>
    <row r="5597" ht="15.75" customHeight="1"/>
    <row r="5598" ht="15.75" customHeight="1"/>
    <row r="5599" ht="15.75" customHeight="1"/>
    <row r="5600" ht="15.75" customHeight="1"/>
    <row r="5601" ht="15.75" customHeight="1"/>
    <row r="5602" ht="15.75" customHeight="1"/>
    <row r="5603" ht="15.75" customHeight="1"/>
    <row r="5604" ht="15.75" customHeight="1"/>
    <row r="5605" ht="15.75" customHeight="1"/>
    <row r="5606" ht="15.75" customHeight="1"/>
    <row r="5607" ht="15.75" customHeight="1"/>
    <row r="5608" ht="15.75" customHeight="1"/>
    <row r="5609" ht="15.75" customHeight="1"/>
    <row r="5610" ht="15.75" customHeight="1"/>
    <row r="5611" ht="15.75" customHeight="1"/>
    <row r="5612" ht="15.75" customHeight="1"/>
    <row r="5613" ht="15.75" customHeight="1"/>
    <row r="5614" ht="15.75" customHeight="1"/>
    <row r="5615" ht="15.75" customHeight="1"/>
    <row r="5616" ht="15.75" customHeight="1"/>
    <row r="5617" ht="15.75" customHeight="1"/>
    <row r="5618" ht="15.75" customHeight="1"/>
    <row r="5619" ht="15.75" customHeight="1"/>
    <row r="5620" ht="15.75" customHeight="1"/>
    <row r="5621" ht="15.75" customHeight="1"/>
    <row r="5622" ht="15.75" customHeight="1"/>
    <row r="5623" ht="15.75" customHeight="1"/>
    <row r="5624" ht="15.75" customHeight="1"/>
    <row r="5625" ht="15.75" customHeight="1"/>
    <row r="5626" ht="15.75" customHeight="1"/>
    <row r="5627" ht="15.75" customHeight="1"/>
    <row r="5628" ht="15.75" customHeight="1"/>
    <row r="5629" ht="15.75" customHeight="1"/>
    <row r="5630" ht="15.75" customHeight="1"/>
    <row r="5631" ht="15.75" customHeight="1"/>
    <row r="5632" ht="15.75" customHeight="1"/>
    <row r="5633" ht="15.75" customHeight="1"/>
    <row r="5634" ht="15.75" customHeight="1"/>
    <row r="5635" ht="15.75" customHeight="1"/>
    <row r="5636" ht="15.75" customHeight="1"/>
    <row r="5637" ht="15.75" customHeight="1"/>
    <row r="5638" ht="15.75" customHeight="1"/>
    <row r="5639" ht="15.75" customHeight="1"/>
    <row r="5640" ht="15.75" customHeight="1"/>
    <row r="5641" ht="15.75" customHeight="1"/>
    <row r="5642" ht="15.75" customHeight="1"/>
    <row r="5643" ht="15.75" customHeight="1"/>
    <row r="5644" ht="15.75" customHeight="1"/>
    <row r="5645" ht="15.75" customHeight="1"/>
    <row r="5646" ht="15.75" customHeight="1"/>
    <row r="5647" ht="15.75" customHeight="1"/>
    <row r="5648" ht="15.75" customHeight="1"/>
    <row r="5649" ht="15.75" customHeight="1"/>
    <row r="5650" ht="15.75" customHeight="1"/>
    <row r="5651" ht="15.75" customHeight="1"/>
    <row r="5652" ht="15.75" customHeight="1"/>
    <row r="5653" ht="15.75" customHeight="1"/>
    <row r="5654" ht="15.75" customHeight="1"/>
    <row r="5655" ht="15.75" customHeight="1"/>
    <row r="5656" ht="15.75" customHeight="1"/>
    <row r="5657" ht="15.75" customHeight="1"/>
    <row r="5658" ht="15.75" customHeight="1"/>
    <row r="5659" ht="15.75" customHeight="1"/>
    <row r="5660" ht="15.75" customHeight="1"/>
    <row r="5661" ht="15.75" customHeight="1"/>
    <row r="5662" ht="15.75" customHeight="1"/>
    <row r="5663" ht="15.75" customHeight="1"/>
    <row r="5664" ht="15.75" customHeight="1"/>
    <row r="5665" ht="15.75" customHeight="1"/>
    <row r="5666" ht="15.75" customHeight="1"/>
    <row r="5667" ht="15.75" customHeight="1"/>
    <row r="5668" ht="15.75" customHeight="1"/>
    <row r="5669" ht="15.75" customHeight="1"/>
    <row r="5670" ht="15.75" customHeight="1"/>
    <row r="5671" ht="15.75" customHeight="1"/>
    <row r="5672" ht="15.75" customHeight="1"/>
    <row r="5673" ht="15.75" customHeight="1"/>
    <row r="5674" ht="15.75" customHeight="1"/>
    <row r="5675" ht="15.75" customHeight="1"/>
    <row r="5676" ht="15.75" customHeight="1"/>
    <row r="5677" ht="15.75" customHeight="1"/>
    <row r="5678" ht="15.75" customHeight="1"/>
    <row r="5679" ht="15.75" customHeight="1"/>
    <row r="5680" ht="15.75" customHeight="1"/>
    <row r="5681" ht="15.75" customHeight="1"/>
    <row r="5682" ht="15.75" customHeight="1"/>
    <row r="5683" ht="15.75" customHeight="1"/>
    <row r="5684" ht="15.75" customHeight="1"/>
    <row r="5685" ht="15.75" customHeight="1"/>
    <row r="5686" ht="15.75" customHeight="1"/>
    <row r="5687" ht="15.75" customHeight="1"/>
    <row r="5688" ht="15.75" customHeight="1"/>
    <row r="5689" ht="15.75" customHeight="1"/>
    <row r="5690" ht="15.75" customHeight="1"/>
    <row r="5691" ht="15.75" customHeight="1"/>
    <row r="5692" ht="15.75" customHeight="1"/>
    <row r="5693" ht="15.75" customHeight="1"/>
    <row r="5694" ht="15.75" customHeight="1"/>
    <row r="5695" ht="15.75" customHeight="1"/>
    <row r="5696" ht="15.75" customHeight="1"/>
    <row r="5697" ht="15.75" customHeight="1"/>
    <row r="5698" ht="15.75" customHeight="1"/>
    <row r="5699" ht="15.75" customHeight="1"/>
    <row r="5700" ht="15.75" customHeight="1"/>
    <row r="5701" ht="15.75" customHeight="1"/>
    <row r="5702" ht="15.75" customHeight="1"/>
    <row r="5703" ht="15.75" customHeight="1"/>
    <row r="5704" ht="15.75" customHeight="1"/>
    <row r="5705" ht="15.75" customHeight="1"/>
    <row r="5706" ht="15.75" customHeight="1"/>
    <row r="5707" ht="15.75" customHeight="1"/>
    <row r="5708" ht="15.75" customHeight="1"/>
    <row r="5709" ht="15.75" customHeight="1"/>
    <row r="5710" ht="15.75" customHeight="1"/>
    <row r="5711" ht="15.75" customHeight="1"/>
    <row r="5712" ht="15.75" customHeight="1"/>
    <row r="5713" ht="15.75" customHeight="1"/>
    <row r="5714" ht="15.75" customHeight="1"/>
    <row r="5715" ht="15.75" customHeight="1"/>
    <row r="5716" ht="15.75" customHeight="1"/>
    <row r="5717" ht="15.75" customHeight="1"/>
    <row r="5718" ht="15.75" customHeight="1"/>
    <row r="5719" ht="15.75" customHeight="1"/>
    <row r="5720" ht="15.75" customHeight="1"/>
    <row r="5721" ht="15.75" customHeight="1"/>
    <row r="5722" ht="15.75" customHeight="1"/>
    <row r="5723" ht="15.75" customHeight="1"/>
    <row r="5724" ht="15.75" customHeight="1"/>
    <row r="5725" ht="15.75" customHeight="1"/>
    <row r="5726" ht="15.75" customHeight="1"/>
    <row r="5727" ht="15.75" customHeight="1"/>
    <row r="5728" ht="15.75" customHeight="1"/>
    <row r="5729" ht="15.75" customHeight="1"/>
    <row r="5730" ht="15.75" customHeight="1"/>
    <row r="5731" ht="15.75" customHeight="1"/>
    <row r="5732" ht="15.75" customHeight="1"/>
    <row r="5733" ht="15.75" customHeight="1"/>
    <row r="5734" ht="15.75" customHeight="1"/>
    <row r="5735" ht="15.75" customHeight="1"/>
    <row r="5736" ht="15.75" customHeight="1"/>
    <row r="5737" ht="15.75" customHeight="1"/>
    <row r="5738" ht="15.75" customHeight="1"/>
    <row r="5739" ht="15.75" customHeight="1"/>
    <row r="5740" ht="15.75" customHeight="1"/>
    <row r="5741" ht="15.75" customHeight="1"/>
    <row r="5742" ht="15.75" customHeight="1"/>
    <row r="5743" ht="15.75" customHeight="1"/>
    <row r="5744" ht="15.75" customHeight="1"/>
    <row r="5745" ht="15.75" customHeight="1"/>
    <row r="5746" ht="15.75" customHeight="1"/>
    <row r="5747" ht="15.75" customHeight="1"/>
    <row r="5748" ht="15.75" customHeight="1"/>
    <row r="5749" ht="15.75" customHeight="1"/>
    <row r="5750" ht="15.75" customHeight="1"/>
    <row r="5751" ht="15.75" customHeight="1"/>
    <row r="5752" ht="15.75" customHeight="1"/>
    <row r="5753" ht="15.75" customHeight="1"/>
    <row r="5754" ht="15.75" customHeight="1"/>
    <row r="5755" ht="15.75" customHeight="1"/>
    <row r="5756" ht="15.75" customHeight="1"/>
    <row r="5757" ht="15.75" customHeight="1"/>
    <row r="5758" ht="15.75" customHeight="1"/>
    <row r="5759" ht="15.75" customHeight="1"/>
    <row r="5760" ht="15.75" customHeight="1"/>
    <row r="5761" ht="15.75" customHeight="1"/>
    <row r="5762" ht="15.75" customHeight="1"/>
    <row r="5763" ht="15.75" customHeight="1"/>
    <row r="5764" ht="15.75" customHeight="1"/>
    <row r="5765" ht="15.75" customHeight="1"/>
    <row r="5766" ht="15.75" customHeight="1"/>
    <row r="5767" ht="15.75" customHeight="1"/>
    <row r="5768" ht="15.75" customHeight="1"/>
    <row r="5769" ht="15.75" customHeight="1"/>
    <row r="5770" ht="15.75" customHeight="1"/>
    <row r="5771" ht="15.75" customHeight="1"/>
    <row r="5772" ht="15.75" customHeight="1"/>
    <row r="5773" ht="15.75" customHeight="1"/>
    <row r="5774" ht="15.75" customHeight="1"/>
    <row r="5775" ht="15.75" customHeight="1"/>
    <row r="5776" ht="15.75" customHeight="1"/>
    <row r="5777" ht="15.75" customHeight="1"/>
    <row r="5778" ht="15.75" customHeight="1"/>
    <row r="5779" ht="15.75" customHeight="1"/>
    <row r="5780" ht="15.75" customHeight="1"/>
    <row r="5781" ht="15.75" customHeight="1"/>
    <row r="5782" ht="15.75" customHeight="1"/>
    <row r="5783" ht="15.75" customHeight="1"/>
    <row r="5784" ht="15.75" customHeight="1"/>
    <row r="5785" ht="15.75" customHeight="1"/>
    <row r="5786" ht="15.75" customHeight="1"/>
    <row r="5787" ht="15.75" customHeight="1"/>
    <row r="5788" ht="15.75" customHeight="1"/>
    <row r="5789" ht="15.75" customHeight="1"/>
    <row r="5790" ht="15.75" customHeight="1"/>
    <row r="5791" ht="15.75" customHeight="1"/>
    <row r="5792" ht="15.75" customHeight="1"/>
    <row r="5793" ht="15.75" customHeight="1"/>
    <row r="5794" ht="15.75" customHeight="1"/>
    <row r="5795" ht="15.75" customHeight="1"/>
    <row r="5796" ht="15.75" customHeight="1"/>
    <row r="5797" ht="15.75" customHeight="1"/>
    <row r="5798" ht="15.75" customHeight="1"/>
    <row r="5799" ht="15.75" customHeight="1"/>
    <row r="5800" ht="15.75" customHeight="1"/>
    <row r="5801" ht="15.75" customHeight="1"/>
    <row r="5802" ht="15.75" customHeight="1"/>
    <row r="5803" ht="15.75" customHeight="1"/>
    <row r="5804" ht="15.75" customHeight="1"/>
    <row r="5805" ht="15.75" customHeight="1"/>
    <row r="5806" ht="15.75" customHeight="1"/>
    <row r="5807" ht="15.75" customHeight="1"/>
    <row r="5808" ht="15.75" customHeight="1"/>
    <row r="5809" ht="15.75" customHeight="1"/>
    <row r="5810" ht="15.75" customHeight="1"/>
    <row r="5811" ht="15.75" customHeight="1"/>
    <row r="5812" ht="15.75" customHeight="1"/>
    <row r="5813" ht="15.75" customHeight="1"/>
    <row r="5814" ht="15.75" customHeight="1"/>
    <row r="5815" ht="15.75" customHeight="1"/>
    <row r="5816" ht="15.75" customHeight="1"/>
    <row r="5817" ht="15.75" customHeight="1"/>
    <row r="5818" ht="15.75" customHeight="1"/>
    <row r="5819" ht="15.75" customHeight="1"/>
    <row r="5820" ht="15.75" customHeight="1"/>
    <row r="5821" ht="15.75" customHeight="1"/>
    <row r="5822" ht="15.75" customHeight="1"/>
    <row r="5823" ht="15.75" customHeight="1"/>
    <row r="5824" ht="15.75" customHeight="1"/>
    <row r="5825" ht="15.75" customHeight="1"/>
    <row r="5826" ht="15.75" customHeight="1"/>
    <row r="5827" ht="15.75" customHeight="1"/>
    <row r="5828" ht="15.75" customHeight="1"/>
    <row r="5829" ht="15.75" customHeight="1"/>
    <row r="5830" ht="15.75" customHeight="1"/>
    <row r="5831" ht="15.75" customHeight="1"/>
    <row r="5832" ht="15.75" customHeight="1"/>
    <row r="5833" ht="15.75" customHeight="1"/>
    <row r="5834" ht="15.75" customHeight="1"/>
    <row r="5835" ht="15.75" customHeight="1"/>
    <row r="5836" ht="15.75" customHeight="1"/>
    <row r="5837" ht="15.75" customHeight="1"/>
    <row r="5838" ht="15.75" customHeight="1"/>
    <row r="5839" ht="15.75" customHeight="1"/>
    <row r="5840" ht="15.75" customHeight="1"/>
    <row r="5841" ht="15.75" customHeight="1"/>
    <row r="5842" ht="15.75" customHeight="1"/>
    <row r="5843" ht="15.75" customHeight="1"/>
    <row r="5844" ht="15.75" customHeight="1"/>
    <row r="5845" ht="15.75" customHeight="1"/>
    <row r="5846" ht="15.75" customHeight="1"/>
    <row r="5847" ht="15.75" customHeight="1"/>
    <row r="5848" ht="15.75" customHeight="1"/>
    <row r="5849" ht="15.75" customHeight="1"/>
    <row r="5850" ht="15.75" customHeight="1"/>
    <row r="5851" ht="15.75" customHeight="1"/>
    <row r="5852" ht="15.75" customHeight="1"/>
    <row r="5853" ht="15.75" customHeight="1"/>
    <row r="5854" ht="15.75" customHeight="1"/>
    <row r="5855" ht="15.75" customHeight="1"/>
    <row r="5856" ht="15.75" customHeight="1"/>
    <row r="5857" ht="15.75" customHeight="1"/>
    <row r="5858" ht="15.75" customHeight="1"/>
    <row r="5859" ht="15.75" customHeight="1"/>
    <row r="5860" ht="15.75" customHeight="1"/>
    <row r="5861" ht="15.75" customHeight="1"/>
    <row r="5862" ht="15.75" customHeight="1"/>
    <row r="5863" ht="15.75" customHeight="1"/>
    <row r="5864" ht="15.75" customHeight="1"/>
    <row r="5865" ht="15.75" customHeight="1"/>
    <row r="5866" ht="15.75" customHeight="1"/>
    <row r="5867" ht="15.75" customHeight="1"/>
    <row r="5868" ht="15.75" customHeight="1"/>
    <row r="5869" ht="15.75" customHeight="1"/>
    <row r="5870" ht="15.75" customHeight="1"/>
    <row r="5871" ht="15.75" customHeight="1"/>
    <row r="5872" ht="15.75" customHeight="1"/>
    <row r="5873" ht="15.75" customHeight="1"/>
    <row r="5874" ht="15.75" customHeight="1"/>
    <row r="5875" ht="15.75" customHeight="1"/>
    <row r="5876" ht="15.75" customHeight="1"/>
    <row r="5877" ht="15.75" customHeight="1"/>
    <row r="5878" ht="15.75" customHeight="1"/>
    <row r="5879" ht="15.75" customHeight="1"/>
    <row r="5880" ht="15.75" customHeight="1"/>
    <row r="5881" ht="15.75" customHeight="1"/>
    <row r="5882" ht="15.75" customHeight="1"/>
    <row r="5883" ht="15.75" customHeight="1"/>
    <row r="5884" ht="15.75" customHeight="1"/>
    <row r="5885" ht="15.75" customHeight="1"/>
    <row r="5886" ht="15.75" customHeight="1"/>
    <row r="5887" ht="15.75" customHeight="1"/>
    <row r="5888" ht="15.75" customHeight="1"/>
    <row r="5889" ht="15.75" customHeight="1"/>
    <row r="5890" ht="15.75" customHeight="1"/>
    <row r="5891" ht="15.75" customHeight="1"/>
    <row r="5892" ht="15.75" customHeight="1"/>
    <row r="5893" ht="15.75" customHeight="1"/>
    <row r="5894" ht="15.75" customHeight="1"/>
    <row r="5895" ht="15.75" customHeight="1"/>
    <row r="5896" ht="15.75" customHeight="1"/>
    <row r="5897" ht="15.75" customHeight="1"/>
    <row r="5898" ht="15.75" customHeight="1"/>
    <row r="5899" ht="15.75" customHeight="1"/>
    <row r="5900" ht="15.75" customHeight="1"/>
    <row r="5901" ht="15.75" customHeight="1"/>
    <row r="5902" ht="15.75" customHeight="1"/>
    <row r="5903" ht="15.75" customHeight="1"/>
    <row r="5904" ht="15.75" customHeight="1"/>
    <row r="5905" ht="15.75" customHeight="1"/>
    <row r="5906" ht="15.75" customHeight="1"/>
    <row r="5907" ht="15.75" customHeight="1"/>
    <row r="5908" ht="15.75" customHeight="1"/>
    <row r="5909" ht="15.75" customHeight="1"/>
    <row r="5910" ht="15.75" customHeight="1"/>
    <row r="5911" ht="15.75" customHeight="1"/>
    <row r="5912" ht="15.75" customHeight="1"/>
    <row r="5913" ht="15.75" customHeight="1"/>
    <row r="5914" ht="15.75" customHeight="1"/>
    <row r="5915" ht="15.75" customHeight="1"/>
    <row r="5916" ht="15.75" customHeight="1"/>
    <row r="5917" ht="15.75" customHeight="1"/>
    <row r="5918" ht="15.75" customHeight="1"/>
    <row r="5919" ht="15.75" customHeight="1"/>
    <row r="5920" ht="15.75" customHeight="1"/>
    <row r="5921" ht="15.75" customHeight="1"/>
    <row r="5922" ht="15.75" customHeight="1"/>
    <row r="5923" ht="15.75" customHeight="1"/>
    <row r="5924" ht="15.75" customHeight="1"/>
    <row r="5925" ht="15.75" customHeight="1"/>
    <row r="5926" ht="15.75" customHeight="1"/>
    <row r="5927" ht="15.75" customHeight="1"/>
    <row r="5928" ht="15.75" customHeight="1"/>
    <row r="5929" ht="15.75" customHeight="1"/>
    <row r="5930" ht="15.75" customHeight="1"/>
    <row r="5931" ht="15.75" customHeight="1"/>
    <row r="5932" ht="15.75" customHeight="1"/>
    <row r="5933" ht="15.75" customHeight="1"/>
    <row r="5934" ht="15.75" customHeight="1"/>
    <row r="5935" ht="15.75" customHeight="1"/>
    <row r="5936" ht="15.75" customHeight="1"/>
    <row r="5937" ht="15.75" customHeight="1"/>
    <row r="5938" ht="15.75" customHeight="1"/>
    <row r="5939" ht="15.75" customHeight="1"/>
    <row r="5940" ht="15.75" customHeight="1"/>
    <row r="5941" ht="15.75" customHeight="1"/>
    <row r="5942" ht="15.75" customHeight="1"/>
    <row r="5943" ht="15.75" customHeight="1"/>
    <row r="5944" ht="15.75" customHeight="1"/>
    <row r="5945" ht="15.75" customHeight="1"/>
    <row r="5946" ht="15.75" customHeight="1"/>
    <row r="5947" ht="15.75" customHeight="1"/>
    <row r="5948" ht="15.75" customHeight="1"/>
    <row r="5949" ht="15.75" customHeight="1"/>
    <row r="5950" ht="15.75" customHeight="1"/>
    <row r="5951" ht="15.75" customHeight="1"/>
    <row r="5952" ht="15.75" customHeight="1"/>
    <row r="5953" ht="15.75" customHeight="1"/>
    <row r="5954" ht="15.75" customHeight="1"/>
    <row r="5955" ht="15.75" customHeight="1"/>
    <row r="5956" ht="15.75" customHeight="1"/>
    <row r="5957" ht="15.75" customHeight="1"/>
    <row r="5958" ht="15.75" customHeight="1"/>
    <row r="5959" ht="15.75" customHeight="1"/>
    <row r="5960" ht="15.75" customHeight="1"/>
    <row r="5961" ht="15.75" customHeight="1"/>
    <row r="5962" ht="15.75" customHeight="1"/>
    <row r="5963" ht="15.75" customHeight="1"/>
    <row r="5964" ht="15.75" customHeight="1"/>
    <row r="5965" ht="15.75" customHeight="1"/>
    <row r="5966" ht="15.75" customHeight="1"/>
    <row r="5967" ht="15.75" customHeight="1"/>
    <row r="5968" ht="15.75" customHeight="1"/>
    <row r="5969" ht="15.75" customHeight="1"/>
    <row r="5970" ht="15.75" customHeight="1"/>
    <row r="5971" ht="15.75" customHeight="1"/>
    <row r="5972" ht="15.75" customHeight="1"/>
    <row r="5973" ht="15.75" customHeight="1"/>
    <row r="5974" ht="15.75" customHeight="1"/>
    <row r="5975" ht="15.75" customHeight="1"/>
    <row r="5976" ht="15.75" customHeight="1"/>
    <row r="5977" ht="15.75" customHeight="1"/>
    <row r="5978" ht="15.75" customHeight="1"/>
    <row r="5979" ht="15.75" customHeight="1"/>
    <row r="5980" ht="15.75" customHeight="1"/>
    <row r="5981" ht="15.75" customHeight="1"/>
    <row r="5982" ht="15.75" customHeight="1"/>
    <row r="5983" ht="15.75" customHeight="1"/>
    <row r="5984" ht="15.75" customHeight="1"/>
    <row r="5985" ht="15.75" customHeight="1"/>
    <row r="5986" ht="15.75" customHeight="1"/>
    <row r="5987" ht="15.75" customHeight="1"/>
    <row r="5988" ht="15.75" customHeight="1"/>
    <row r="5989" ht="15.75" customHeight="1"/>
    <row r="5990" ht="15.75" customHeight="1"/>
    <row r="5991" ht="15.75" customHeight="1"/>
    <row r="5992" ht="15.75" customHeight="1"/>
    <row r="5993" ht="15.75" customHeight="1"/>
    <row r="5994" ht="15.75" customHeight="1"/>
    <row r="5995" ht="15.75" customHeight="1"/>
    <row r="5996" ht="15.75" customHeight="1"/>
    <row r="5997" ht="15.75" customHeight="1"/>
    <row r="5998" ht="15.75" customHeight="1"/>
    <row r="5999" ht="15.75" customHeight="1"/>
    <row r="6000" ht="15.75" customHeight="1"/>
    <row r="6001" ht="15.75" customHeight="1"/>
    <row r="6002" ht="15.75" customHeight="1"/>
    <row r="6003" ht="15.75" customHeight="1"/>
    <row r="6004" ht="15.75" customHeight="1"/>
    <row r="6005" ht="15.75" customHeight="1"/>
    <row r="6006" ht="15.75" customHeight="1"/>
    <row r="6007" ht="15.75" customHeight="1"/>
    <row r="6008" ht="15.75" customHeight="1"/>
    <row r="6009" ht="15.75" customHeight="1"/>
    <row r="6010" ht="15.75" customHeight="1"/>
    <row r="6011" ht="15.75" customHeight="1"/>
    <row r="6012" ht="15.75" customHeight="1"/>
    <row r="6013" ht="15.75" customHeight="1"/>
    <row r="6014" ht="15.75" customHeight="1"/>
    <row r="6015" ht="15.75" customHeight="1"/>
    <row r="6016" ht="15.75" customHeight="1"/>
    <row r="6017" ht="15.75" customHeight="1"/>
    <row r="6018" ht="15.75" customHeight="1"/>
    <row r="6019" ht="15.75" customHeight="1"/>
    <row r="6020" ht="15.75" customHeight="1"/>
    <row r="6021" ht="15.75" customHeight="1"/>
    <row r="6022" ht="15.75" customHeight="1"/>
    <row r="6023" ht="15.75" customHeight="1"/>
    <row r="6024" ht="15.75" customHeight="1"/>
    <row r="6025" ht="15.75" customHeight="1"/>
    <row r="6026" ht="15.75" customHeight="1"/>
    <row r="6027" ht="15.75" customHeight="1"/>
    <row r="6028" ht="15.75" customHeight="1"/>
    <row r="6029" ht="15.75" customHeight="1"/>
    <row r="6030" ht="15.75" customHeight="1"/>
    <row r="6031" ht="15.75" customHeight="1"/>
    <row r="6032" ht="15.75" customHeight="1"/>
    <row r="6033" ht="15.75" customHeight="1"/>
    <row r="6034" ht="15.75" customHeight="1"/>
    <row r="6035" ht="15.75" customHeight="1"/>
    <row r="6036" ht="15.75" customHeight="1"/>
    <row r="6037" ht="15.75" customHeight="1"/>
    <row r="6038" ht="15.75" customHeight="1"/>
    <row r="6039" ht="15.75" customHeight="1"/>
    <row r="6040" ht="15.75" customHeight="1"/>
    <row r="6041" ht="15.75" customHeight="1"/>
    <row r="6042" ht="15.75" customHeight="1"/>
    <row r="6043" ht="15.75" customHeight="1"/>
    <row r="6044" ht="15.75" customHeight="1"/>
    <row r="6045" ht="15.75" customHeight="1"/>
    <row r="6046" ht="15.75" customHeight="1"/>
    <row r="6047" ht="15.75" customHeight="1"/>
    <row r="6048" ht="15.75" customHeight="1"/>
    <row r="6049" ht="15.75" customHeight="1"/>
    <row r="6050" ht="15.75" customHeight="1"/>
    <row r="6051" ht="15.75" customHeight="1"/>
    <row r="6052" ht="15.75" customHeight="1"/>
    <row r="6053" ht="15.75" customHeight="1"/>
    <row r="6054" ht="15.75" customHeight="1"/>
    <row r="6055" ht="15.75" customHeight="1"/>
    <row r="6056" ht="15.75" customHeight="1"/>
    <row r="6057" ht="15.75" customHeight="1"/>
    <row r="6058" ht="15.75" customHeight="1"/>
    <row r="6059" ht="15.75" customHeight="1"/>
    <row r="6060" ht="15.75" customHeight="1"/>
    <row r="6061" ht="15.75" customHeight="1"/>
    <row r="6062" ht="15.75" customHeight="1"/>
    <row r="6063" ht="15.75" customHeight="1"/>
    <row r="6064" ht="15.75" customHeight="1"/>
    <row r="6065" ht="15.75" customHeight="1"/>
    <row r="6066" ht="15.75" customHeight="1"/>
    <row r="6067" ht="15.75" customHeight="1"/>
    <row r="6068" ht="15.75" customHeight="1"/>
    <row r="6069" ht="15.75" customHeight="1"/>
    <row r="6070" ht="15.75" customHeight="1"/>
    <row r="6071" ht="15.75" customHeight="1"/>
    <row r="6072" ht="15.75" customHeight="1"/>
    <row r="6073" ht="15.75" customHeight="1"/>
    <row r="6074" ht="15.75" customHeight="1"/>
    <row r="6075" ht="15.75" customHeight="1"/>
    <row r="6076" ht="15.75" customHeight="1"/>
    <row r="6077" ht="15.75" customHeight="1"/>
    <row r="6078" ht="15.75" customHeight="1"/>
    <row r="6079" ht="15.75" customHeight="1"/>
    <row r="6080" ht="15.75" customHeight="1"/>
    <row r="6081" ht="15.75" customHeight="1"/>
    <row r="6082" ht="15.75" customHeight="1"/>
    <row r="6083" ht="15.75" customHeight="1"/>
    <row r="6084" ht="15.75" customHeight="1"/>
    <row r="6085" ht="15.75" customHeight="1"/>
    <row r="6086" ht="15.75" customHeight="1"/>
    <row r="6087" ht="15.75" customHeight="1"/>
    <row r="6088" ht="15.75" customHeight="1"/>
    <row r="6089" ht="15.75" customHeight="1"/>
    <row r="6090" ht="15.75" customHeight="1"/>
    <row r="6091" ht="15.75" customHeight="1"/>
    <row r="6092" ht="15.75" customHeight="1"/>
    <row r="6093" ht="15.75" customHeight="1"/>
    <row r="6094" ht="15.75" customHeight="1"/>
    <row r="6095" ht="15.75" customHeight="1"/>
    <row r="6096" ht="15.75" customHeight="1"/>
    <row r="6097" ht="15.75" customHeight="1"/>
    <row r="6098" ht="15.75" customHeight="1"/>
    <row r="6099" ht="15.75" customHeight="1"/>
    <row r="6100" ht="15.75" customHeight="1"/>
    <row r="6101" ht="15.75" customHeight="1"/>
    <row r="6102" ht="15.75" customHeight="1"/>
    <row r="6103" ht="15.75" customHeight="1"/>
    <row r="6104" ht="15.75" customHeight="1"/>
    <row r="6105" ht="15.75" customHeight="1"/>
    <row r="6106" ht="15.75" customHeight="1"/>
    <row r="6107" ht="15.75" customHeight="1"/>
    <row r="6108" ht="15.75" customHeight="1"/>
    <row r="6109" ht="15.75" customHeight="1"/>
    <row r="6110" ht="15.75" customHeight="1"/>
    <row r="6111" ht="15.75" customHeight="1"/>
    <row r="6112" ht="15.75" customHeight="1"/>
    <row r="6113" ht="15.75" customHeight="1"/>
    <row r="6114" ht="15.75" customHeight="1"/>
    <row r="6115" ht="15.75" customHeight="1"/>
    <row r="6116" ht="15.75" customHeight="1"/>
    <row r="6117" ht="15.75" customHeight="1"/>
    <row r="6118" ht="15.75" customHeight="1"/>
    <row r="6119" ht="15.75" customHeight="1"/>
    <row r="6120" ht="15.75" customHeight="1"/>
    <row r="6121" ht="15.75" customHeight="1"/>
    <row r="6122" ht="15.75" customHeight="1"/>
    <row r="6123" ht="15.75" customHeight="1"/>
    <row r="6124" ht="15.75" customHeight="1"/>
    <row r="6125" ht="15.75" customHeight="1"/>
    <row r="6126" ht="15.75" customHeight="1"/>
    <row r="6127" ht="15.75" customHeight="1"/>
    <row r="6128" ht="15.75" customHeight="1"/>
    <row r="6129" ht="15.75" customHeight="1"/>
    <row r="6130" ht="15.75" customHeight="1"/>
    <row r="6131" ht="15.75" customHeight="1"/>
    <row r="6132" ht="15.75" customHeight="1"/>
    <row r="6133" ht="15.75" customHeight="1"/>
    <row r="6134" ht="15.75" customHeight="1"/>
    <row r="6135" ht="15.75" customHeight="1"/>
    <row r="6136" ht="15.75" customHeight="1"/>
    <row r="6137" ht="15.75" customHeight="1"/>
    <row r="6138" ht="15.75" customHeight="1"/>
    <row r="6139" ht="15.75" customHeight="1"/>
    <row r="6140" ht="15.75" customHeight="1"/>
    <row r="6141" ht="15.75" customHeight="1"/>
    <row r="6142" ht="15.75" customHeight="1"/>
    <row r="6143" ht="15.75" customHeight="1"/>
    <row r="6144" ht="15.75" customHeight="1"/>
    <row r="6145" ht="15.75" customHeight="1"/>
    <row r="6146" ht="15.75" customHeight="1"/>
    <row r="6147" ht="15.75" customHeight="1"/>
    <row r="6148" ht="15.75" customHeight="1"/>
    <row r="6149" ht="15.75" customHeight="1"/>
    <row r="6150" ht="15.75" customHeight="1"/>
    <row r="6151" ht="15.75" customHeight="1"/>
    <row r="6152" ht="15.75" customHeight="1"/>
    <row r="6153" ht="15.75" customHeight="1"/>
    <row r="6154" ht="15.75" customHeight="1"/>
    <row r="6155" ht="15.75" customHeight="1"/>
    <row r="6156" ht="15.75" customHeight="1"/>
    <row r="6157" ht="15.75" customHeight="1"/>
    <row r="6158" ht="15.75" customHeight="1"/>
    <row r="6159" ht="15.75" customHeight="1"/>
    <row r="6160" ht="15.75" customHeight="1"/>
    <row r="6161" ht="15.75" customHeight="1"/>
    <row r="6162" ht="15.75" customHeight="1"/>
    <row r="6163" ht="15.75" customHeight="1"/>
    <row r="6164" ht="15.75" customHeight="1"/>
    <row r="6165" ht="15.75" customHeight="1"/>
    <row r="6166" ht="15.75" customHeight="1"/>
    <row r="6167" ht="15.75" customHeight="1"/>
    <row r="6168" ht="15.75" customHeight="1"/>
    <row r="6169" ht="15.75" customHeight="1"/>
    <row r="6170" ht="15.75" customHeight="1"/>
    <row r="6171" ht="15.75" customHeight="1"/>
    <row r="6172" ht="15.75" customHeight="1"/>
    <row r="6173" ht="15.75" customHeight="1"/>
    <row r="6174" ht="15.75" customHeight="1"/>
    <row r="6175" ht="15.75" customHeight="1"/>
    <row r="6176" ht="15.75" customHeight="1"/>
    <row r="6177" ht="15.75" customHeight="1"/>
    <row r="6178" ht="15.75" customHeight="1"/>
    <row r="6179" ht="15.75" customHeight="1"/>
    <row r="6180" ht="15.75" customHeight="1"/>
    <row r="6181" ht="15.75" customHeight="1"/>
    <row r="6182" ht="15.75" customHeight="1"/>
    <row r="6183" ht="15.75" customHeight="1"/>
    <row r="6184" ht="15.75" customHeight="1"/>
    <row r="6185" ht="15.75" customHeight="1"/>
    <row r="6186" ht="15.75" customHeight="1"/>
    <row r="6187" ht="15.75" customHeight="1"/>
    <row r="6188" ht="15.75" customHeight="1"/>
    <row r="6189" ht="15.75" customHeight="1"/>
    <row r="6190" ht="15.75" customHeight="1"/>
    <row r="6191" ht="15.75" customHeight="1"/>
    <row r="6192" ht="15.75" customHeight="1"/>
    <row r="6193" ht="15.75" customHeight="1"/>
    <row r="6194" ht="15.75" customHeight="1"/>
    <row r="6195" ht="15.75" customHeight="1"/>
    <row r="6196" ht="15.75" customHeight="1"/>
    <row r="6197" ht="15.75" customHeight="1"/>
    <row r="6198" ht="15.75" customHeight="1"/>
    <row r="6199" ht="15.75" customHeight="1"/>
    <row r="6200" ht="15.75" customHeight="1"/>
    <row r="6201" ht="15.75" customHeight="1"/>
    <row r="6202" ht="15.75" customHeight="1"/>
    <row r="6203" ht="15.75" customHeight="1"/>
    <row r="6204" ht="15.75" customHeight="1"/>
    <row r="6205" ht="15.75" customHeight="1"/>
    <row r="6206" ht="15.75" customHeight="1"/>
    <row r="6207" ht="15.75" customHeight="1"/>
    <row r="6208" ht="15.75" customHeight="1"/>
    <row r="6209" ht="15.75" customHeight="1"/>
    <row r="6210" ht="15.75" customHeight="1"/>
    <row r="6211" ht="15.75" customHeight="1"/>
    <row r="6212" ht="15.75" customHeight="1"/>
    <row r="6213" ht="15.75" customHeight="1"/>
    <row r="6214" ht="15.75" customHeight="1"/>
    <row r="6215" ht="15.75" customHeight="1"/>
    <row r="6216" ht="15.75" customHeight="1"/>
    <row r="6217" ht="15.75" customHeight="1"/>
    <row r="6218" ht="15.75" customHeight="1"/>
    <row r="6219" ht="15.75" customHeight="1"/>
    <row r="6220" ht="15.75" customHeight="1"/>
    <row r="6221" ht="15.75" customHeight="1"/>
    <row r="6222" ht="15.75" customHeight="1"/>
    <row r="6223" ht="15.75" customHeight="1"/>
    <row r="6224" ht="15.75" customHeight="1"/>
    <row r="6225" ht="15.75" customHeight="1"/>
    <row r="6226" ht="15.75" customHeight="1"/>
    <row r="6227" ht="15.75" customHeight="1"/>
    <row r="6228" ht="15.75" customHeight="1"/>
    <row r="6229" ht="15.75" customHeight="1"/>
    <row r="6230" ht="15.75" customHeight="1"/>
    <row r="6231" ht="15.75" customHeight="1"/>
    <row r="6232" ht="15.75" customHeight="1"/>
    <row r="6233" ht="15.75" customHeight="1"/>
    <row r="6234" ht="15.75" customHeight="1"/>
    <row r="6235" ht="15.75" customHeight="1"/>
    <row r="6236" ht="15.75" customHeight="1"/>
    <row r="6237" ht="15.75" customHeight="1"/>
    <row r="6238" ht="15.75" customHeight="1"/>
    <row r="6239" ht="15.75" customHeight="1"/>
    <row r="6240" ht="15.75" customHeight="1"/>
    <row r="6241" ht="15.75" customHeight="1"/>
    <row r="6242" ht="15.75" customHeight="1"/>
    <row r="6243" ht="15.75" customHeight="1"/>
    <row r="6244" ht="15.75" customHeight="1"/>
    <row r="6245" ht="15.75" customHeight="1"/>
    <row r="6246" ht="15.75" customHeight="1"/>
    <row r="6247" ht="15.75" customHeight="1"/>
    <row r="6248" ht="15.75" customHeight="1"/>
    <row r="6249" ht="15.75" customHeight="1"/>
    <row r="6250" ht="15.75" customHeight="1"/>
    <row r="6251" ht="15.75" customHeight="1"/>
    <row r="6252" ht="15.75" customHeight="1"/>
    <row r="6253" ht="15.75" customHeight="1"/>
    <row r="6254" ht="15.75" customHeight="1"/>
    <row r="6255" ht="15.75" customHeight="1"/>
    <row r="6256" ht="15.75" customHeight="1"/>
    <row r="6257" ht="15.75" customHeight="1"/>
    <row r="6258" ht="15.75" customHeight="1"/>
    <row r="6259" ht="15.75" customHeight="1"/>
    <row r="6260" ht="15.75" customHeight="1"/>
    <row r="6261" ht="15.75" customHeight="1"/>
    <row r="6262" ht="15.75" customHeight="1"/>
    <row r="6263" ht="15.75" customHeight="1"/>
    <row r="6264" ht="15.75" customHeight="1"/>
    <row r="6265" ht="15.75" customHeight="1"/>
    <row r="6266" ht="15.75" customHeight="1"/>
    <row r="6267" ht="15.75" customHeight="1"/>
    <row r="6268" ht="15.75" customHeight="1"/>
    <row r="6269" ht="15.75" customHeight="1"/>
    <row r="6270" ht="15.75" customHeight="1"/>
    <row r="6271" ht="15.75" customHeight="1"/>
    <row r="6272" ht="15.75" customHeight="1"/>
    <row r="6273" ht="15.75" customHeight="1"/>
    <row r="6274" ht="15.75" customHeight="1"/>
    <row r="6275" ht="15.75" customHeight="1"/>
    <row r="6276" ht="15.75" customHeight="1"/>
    <row r="6277" ht="15.75" customHeight="1"/>
    <row r="6278" ht="15.75" customHeight="1"/>
    <row r="6279" ht="15.75" customHeight="1"/>
    <row r="6280" ht="15.75" customHeight="1"/>
    <row r="6281" ht="15.75" customHeight="1"/>
    <row r="6282" ht="15.75" customHeight="1"/>
    <row r="6283" ht="15.75" customHeight="1"/>
    <row r="6284" ht="15.75" customHeight="1"/>
    <row r="6285" ht="15.75" customHeight="1"/>
    <row r="6286" ht="15.75" customHeight="1"/>
    <row r="6287" ht="15.75" customHeight="1"/>
    <row r="6288" ht="15.75" customHeight="1"/>
    <row r="6289" ht="15.75" customHeight="1"/>
    <row r="6290" ht="15.75" customHeight="1"/>
    <row r="6291" ht="15.75" customHeight="1"/>
    <row r="6292" ht="15.75" customHeight="1"/>
    <row r="6293" ht="15.75" customHeight="1"/>
    <row r="6294" ht="15.75" customHeight="1"/>
    <row r="6295" ht="15.75" customHeight="1"/>
    <row r="6296" ht="15.75" customHeight="1"/>
    <row r="6297" ht="15.75" customHeight="1"/>
    <row r="6298" ht="15.75" customHeight="1"/>
    <row r="6299" ht="15.75" customHeight="1"/>
    <row r="6300" ht="15.75" customHeight="1"/>
    <row r="6301" ht="15.75" customHeight="1"/>
    <row r="6302" ht="15.75" customHeight="1"/>
    <row r="6303" ht="15.75" customHeight="1"/>
    <row r="6304" ht="15.75" customHeight="1"/>
    <row r="6305" ht="15.75" customHeight="1"/>
    <row r="6306" ht="15.75" customHeight="1"/>
    <row r="6307" ht="15.75" customHeight="1"/>
    <row r="6308" ht="15.75" customHeight="1"/>
    <row r="6309" ht="15.75" customHeight="1"/>
    <row r="6310" ht="15.75" customHeight="1"/>
    <row r="6311" ht="15.75" customHeight="1"/>
    <row r="6312" ht="15.75" customHeight="1"/>
    <row r="6313" ht="15.75" customHeight="1"/>
    <row r="6314" ht="15.75" customHeight="1"/>
    <row r="6315" ht="15.75" customHeight="1"/>
    <row r="6316" ht="15.75" customHeight="1"/>
    <row r="6317" ht="15.75" customHeight="1"/>
    <row r="6318" ht="15.75" customHeight="1"/>
    <row r="6319" ht="15.75" customHeight="1"/>
    <row r="6320" ht="15.75" customHeight="1"/>
    <row r="6321" ht="15.75" customHeight="1"/>
    <row r="6322" ht="15.75" customHeight="1"/>
    <row r="6323" ht="15.75" customHeight="1"/>
    <row r="6324" ht="15.75" customHeight="1"/>
    <row r="6325" ht="15.75" customHeight="1"/>
    <row r="6326" ht="15.75" customHeight="1"/>
    <row r="6327" ht="15.75" customHeight="1"/>
    <row r="6328" ht="15.75" customHeight="1"/>
    <row r="6329" ht="15.75" customHeight="1"/>
    <row r="6330" ht="15.75" customHeight="1"/>
    <row r="6331" ht="15.75" customHeight="1"/>
    <row r="6332" ht="15.75" customHeight="1"/>
    <row r="6333" ht="15.75" customHeight="1"/>
    <row r="6334" ht="15.75" customHeight="1"/>
    <row r="6335" ht="15.75" customHeight="1"/>
    <row r="6336" ht="15.75" customHeight="1"/>
    <row r="6337" ht="15.75" customHeight="1"/>
    <row r="6338" ht="15.75" customHeight="1"/>
    <row r="6339" ht="15.75" customHeight="1"/>
  </sheetData>
  <mergeCells count="19">
    <mergeCell ref="C3453:I3453"/>
    <mergeCell ref="C3549:I3549"/>
    <mergeCell ref="C3565:I3565"/>
    <mergeCell ref="F3930:G3930"/>
    <mergeCell ref="C3469:I3469"/>
    <mergeCell ref="C3485:I3485"/>
    <mergeCell ref="C3501:I3501"/>
    <mergeCell ref="C3517:I3517"/>
    <mergeCell ref="C3533:I3533"/>
    <mergeCell ref="C165:F165"/>
    <mergeCell ref="C437:E437"/>
    <mergeCell ref="C612:I612"/>
    <mergeCell ref="C636:F636"/>
    <mergeCell ref="C712:I712"/>
    <mergeCell ref="A1:J1"/>
    <mergeCell ref="C5:I5"/>
    <mergeCell ref="C33:J33"/>
    <mergeCell ref="C55:J55"/>
    <mergeCell ref="C79:G79"/>
  </mergeCells>
  <pageMargins left="0.7" right="0.7" top="0.75" bottom="0.75" header="0.3" footer="0.3"/>
  <pageSetup scale="48" fitToHeight="0" orientation="portrait" horizontalDpi="300" verticalDpi="300" r:id="rId1"/>
  <rowBreaks count="62" manualBreakCount="62">
    <brk id="78" max="9" man="1"/>
    <brk id="150" max="9" man="1"/>
    <brk id="219" max="9" man="1"/>
    <brk id="284" max="9" man="1"/>
    <brk id="358" max="9" man="1"/>
    <brk id="390" max="9" man="1"/>
    <brk id="467" max="9" man="1"/>
    <brk id="480" max="9" man="1"/>
    <brk id="547" max="9" man="1"/>
    <brk id="623" max="9" man="1"/>
    <brk id="695" max="9" man="1"/>
    <brk id="711" max="9" man="1"/>
    <brk id="781" max="9" man="1"/>
    <brk id="853" max="9" man="1"/>
    <brk id="924" max="9" man="1"/>
    <brk id="985" max="9" man="1"/>
    <brk id="1061" max="9" man="1"/>
    <brk id="1136" max="9" man="1"/>
    <brk id="1208" max="9" man="1"/>
    <brk id="1288" max="9" man="1"/>
    <brk id="1354" max="9" man="1"/>
    <brk id="1422" max="9" man="1"/>
    <brk id="1489" max="9" man="1"/>
    <brk id="1567" max="9" man="1"/>
    <brk id="1632" max="9" man="1"/>
    <brk id="1708" max="9" man="1"/>
    <brk id="1776" max="9" man="1"/>
    <brk id="1843" max="9" man="1"/>
    <brk id="1913" max="9" man="1"/>
    <brk id="1981" max="9" man="1"/>
    <brk id="2054" max="9" man="1"/>
    <brk id="2132" max="9" man="1"/>
    <brk id="2205" max="9" man="1"/>
    <brk id="2265" max="9" man="1"/>
    <brk id="2337" max="9" man="1"/>
    <brk id="2409" max="9" man="1"/>
    <brk id="2472" max="9" man="1"/>
    <brk id="2550" max="9" man="1"/>
    <brk id="2616" max="9" man="1"/>
    <brk id="2691" max="9" man="1"/>
    <brk id="2749" max="9" man="1"/>
    <brk id="2816" max="9" man="1"/>
    <brk id="2885" max="9" man="1"/>
    <brk id="2956" max="9" man="1"/>
    <brk id="3037" max="9" man="1"/>
    <brk id="3071" max="9" man="1"/>
    <brk id="3137" max="9" man="1"/>
    <brk id="3206" max="9" man="1"/>
    <brk id="3275" max="9" man="1"/>
    <brk id="3399" max="9" man="1"/>
    <brk id="3468" max="9" man="1"/>
    <brk id="3548" max="9" man="1"/>
    <brk id="3621" max="9" man="1"/>
    <brk id="3695" max="9" man="1"/>
    <brk id="3772" max="9" man="1"/>
    <brk id="3836" max="9" man="1"/>
    <brk id="3905" max="9" man="1"/>
    <brk id="3970" max="9" man="1"/>
    <brk id="4037" max="9" man="1"/>
    <brk id="4102" max="9" man="1"/>
    <brk id="4177" max="9" man="1"/>
    <brk id="4255" max="9" man="1"/>
  </row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N1058"/>
  <sheetViews>
    <sheetView topLeftCell="A6" zoomScaleNormal="100" workbookViewId="0">
      <pane ySplit="1" topLeftCell="A45" activePane="bottomLeft" state="frozen"/>
      <selection activeCell="A6" sqref="A6"/>
      <selection pane="bottomLeft" activeCell="C339" sqref="C339"/>
    </sheetView>
  </sheetViews>
  <sheetFormatPr baseColWidth="10" defaultColWidth="9.1640625" defaultRowHeight="13"/>
  <cols>
    <col min="1" max="1" width="8.5" style="2134" customWidth="1"/>
    <col min="2" max="2" width="42" style="2134" customWidth="1"/>
    <col min="3" max="3" width="20.5" style="2134" customWidth="1"/>
    <col min="4" max="4" width="10.5" style="2134" customWidth="1"/>
    <col min="5" max="5" width="40.5" style="2134" customWidth="1"/>
    <col min="6" max="6" width="9.1640625" style="1703"/>
    <col min="7" max="7" width="12.5" style="1703" customWidth="1"/>
    <col min="8" max="8" width="14" style="1703" customWidth="1"/>
    <col min="9" max="9" width="9.1640625" style="1703"/>
    <col min="10" max="10" width="12.5" style="1703" customWidth="1"/>
    <col min="11" max="11" width="15.1640625" style="1703" customWidth="1"/>
    <col min="12" max="12" width="14.1640625" style="1703" customWidth="1"/>
    <col min="13" max="16384" width="9.1640625" style="1703"/>
  </cols>
  <sheetData>
    <row r="1" spans="1:8" ht="24" customHeight="1">
      <c r="A1" s="2135" t="s">
        <v>3152</v>
      </c>
      <c r="B1" s="2135"/>
      <c r="C1" s="2135"/>
      <c r="D1" s="2135"/>
      <c r="E1" s="2135"/>
      <c r="F1" s="2136"/>
      <c r="G1" s="2136"/>
      <c r="H1" s="2136"/>
    </row>
    <row r="2" spans="1:8" ht="15.75" customHeight="1">
      <c r="A2" s="2135"/>
      <c r="B2" s="2135"/>
      <c r="C2" s="2135"/>
      <c r="D2" s="2135"/>
      <c r="E2" s="2135"/>
      <c r="F2" s="2136"/>
      <c r="G2" s="2136"/>
      <c r="H2" s="2136"/>
    </row>
    <row r="3" spans="1:8" ht="15.75" customHeight="1">
      <c r="A3" s="2135"/>
      <c r="B3" s="2135"/>
      <c r="C3" s="2135"/>
      <c r="D3" s="2135"/>
      <c r="E3" s="2135"/>
      <c r="F3" s="2136"/>
      <c r="G3" s="2136"/>
      <c r="H3" s="2136"/>
    </row>
    <row r="4" spans="1:8" ht="15.75" customHeight="1">
      <c r="A4" s="2135"/>
      <c r="B4" s="2135"/>
      <c r="C4" s="2135"/>
      <c r="D4" s="2135"/>
      <c r="E4" s="2135"/>
      <c r="F4" s="2136"/>
      <c r="G4" s="2136"/>
      <c r="H4" s="2136"/>
    </row>
    <row r="5" spans="1:8" ht="15.75" customHeight="1">
      <c r="A5" s="2135"/>
      <c r="B5" s="2135"/>
      <c r="C5" s="2135"/>
      <c r="D5" s="2135"/>
      <c r="E5" s="2135"/>
      <c r="F5" s="2136"/>
      <c r="G5" s="2136"/>
      <c r="H5" s="2136"/>
    </row>
    <row r="6" spans="1:8" ht="21.75" customHeight="1">
      <c r="A6" s="2137" t="s">
        <v>1</v>
      </c>
      <c r="B6" s="2138" t="s">
        <v>3153</v>
      </c>
      <c r="C6" s="2138" t="s">
        <v>3154</v>
      </c>
      <c r="D6" s="2138" t="s">
        <v>82</v>
      </c>
      <c r="E6" s="2139" t="s">
        <v>7</v>
      </c>
      <c r="F6" s="2136"/>
      <c r="G6" s="2136"/>
      <c r="H6" s="2136"/>
    </row>
    <row r="7" spans="1:8" ht="7.5" customHeight="1">
      <c r="A7" s="2135"/>
      <c r="B7" s="2135"/>
      <c r="C7" s="2135"/>
      <c r="D7" s="2135"/>
      <c r="E7" s="2135"/>
      <c r="F7" s="2136"/>
      <c r="G7" s="2136"/>
      <c r="H7" s="2136"/>
    </row>
    <row r="8" spans="1:8" ht="7.5" customHeight="1">
      <c r="A8" s="2140"/>
      <c r="B8" s="2141"/>
      <c r="C8" s="2141"/>
      <c r="D8" s="2141"/>
      <c r="E8" s="2142"/>
      <c r="F8" s="2136"/>
      <c r="G8" s="2136"/>
      <c r="H8" s="2136"/>
    </row>
    <row r="9" spans="1:8" ht="15.75" customHeight="1">
      <c r="A9" s="2143" t="s">
        <v>84</v>
      </c>
      <c r="B9" s="2144" t="s">
        <v>3155</v>
      </c>
      <c r="C9" s="2145"/>
      <c r="D9" s="2146"/>
      <c r="E9" s="2147"/>
      <c r="F9" s="2136"/>
      <c r="G9" s="2136"/>
      <c r="H9" s="2136"/>
    </row>
    <row r="10" spans="1:8" ht="15.75" customHeight="1">
      <c r="A10" s="2143" t="s">
        <v>1004</v>
      </c>
      <c r="B10" s="2144" t="s">
        <v>3156</v>
      </c>
      <c r="C10" s="2145"/>
      <c r="D10" s="2146"/>
      <c r="E10" s="2147"/>
      <c r="F10" s="2136"/>
      <c r="G10" s="2136"/>
      <c r="H10" s="2136"/>
    </row>
    <row r="11" spans="1:8" ht="15.75" customHeight="1">
      <c r="A11" s="2148">
        <v>1</v>
      </c>
      <c r="B11" s="2146" t="s">
        <v>2081</v>
      </c>
      <c r="C11" s="2149">
        <v>362812.55</v>
      </c>
      <c r="D11" s="2150" t="s">
        <v>103</v>
      </c>
      <c r="E11" s="2151"/>
      <c r="F11" s="2136"/>
      <c r="G11" s="2136"/>
      <c r="H11" s="2136"/>
    </row>
    <row r="12" spans="1:8" ht="15.75" customHeight="1">
      <c r="A12" s="2148">
        <f t="shared" ref="A12:A38" si="0">A11+1</f>
        <v>2</v>
      </c>
      <c r="B12" s="2146" t="s">
        <v>2082</v>
      </c>
      <c r="C12" s="2149">
        <v>426564.14</v>
      </c>
      <c r="D12" s="2150" t="s">
        <v>103</v>
      </c>
      <c r="E12" s="2151"/>
      <c r="F12" s="2136"/>
      <c r="G12" s="2136"/>
      <c r="H12" s="2136"/>
    </row>
    <row r="13" spans="1:8" ht="15.75" customHeight="1">
      <c r="A13" s="2148">
        <f t="shared" si="0"/>
        <v>3</v>
      </c>
      <c r="B13" s="2146" t="s">
        <v>2394</v>
      </c>
      <c r="C13" s="2149">
        <v>319095.99</v>
      </c>
      <c r="D13" s="2150" t="s">
        <v>103</v>
      </c>
      <c r="E13" s="2151"/>
      <c r="F13" s="2136"/>
      <c r="G13" s="2136"/>
      <c r="H13" s="2136"/>
    </row>
    <row r="14" spans="1:8" ht="15.75" customHeight="1">
      <c r="A14" s="2148">
        <f t="shared" si="0"/>
        <v>4</v>
      </c>
      <c r="B14" s="2146" t="s">
        <v>2399</v>
      </c>
      <c r="C14" s="2149">
        <v>310682.23</v>
      </c>
      <c r="D14" s="2150" t="s">
        <v>103</v>
      </c>
      <c r="E14" s="2151"/>
      <c r="F14" s="2136"/>
      <c r="G14" s="2136"/>
      <c r="H14" s="2136"/>
    </row>
    <row r="15" spans="1:8" ht="15.75" customHeight="1">
      <c r="A15" s="2148">
        <f t="shared" si="0"/>
        <v>5</v>
      </c>
      <c r="B15" s="2146" t="s">
        <v>3157</v>
      </c>
      <c r="C15" s="2149">
        <v>362172.63</v>
      </c>
      <c r="D15" s="2150" t="s">
        <v>103</v>
      </c>
      <c r="E15" s="2151"/>
      <c r="F15" s="2136"/>
      <c r="G15" s="2136"/>
      <c r="H15" s="2136"/>
    </row>
    <row r="16" spans="1:8" ht="15.75" customHeight="1">
      <c r="A16" s="2148">
        <f t="shared" si="0"/>
        <v>6</v>
      </c>
      <c r="B16" s="2146" t="s">
        <v>3158</v>
      </c>
      <c r="C16" s="2149">
        <v>321445.17</v>
      </c>
      <c r="D16" s="2150" t="s">
        <v>103</v>
      </c>
      <c r="E16" s="2151"/>
      <c r="F16" s="2136"/>
      <c r="G16" s="2136"/>
      <c r="H16" s="2136"/>
    </row>
    <row r="17" spans="1:8" ht="15.75" customHeight="1">
      <c r="A17" s="2148">
        <f t="shared" si="0"/>
        <v>7</v>
      </c>
      <c r="B17" s="2146" t="s">
        <v>3159</v>
      </c>
      <c r="C17" s="2149">
        <v>363626.12</v>
      </c>
      <c r="D17" s="2150" t="s">
        <v>103</v>
      </c>
      <c r="E17" s="2151"/>
      <c r="F17" s="2136"/>
      <c r="G17" s="2136"/>
      <c r="H17" s="2136"/>
    </row>
    <row r="18" spans="1:8" ht="15.75" customHeight="1">
      <c r="A18" s="2148">
        <f t="shared" si="0"/>
        <v>8</v>
      </c>
      <c r="B18" s="2146" t="s">
        <v>3160</v>
      </c>
      <c r="C18" s="2149">
        <v>354139.2</v>
      </c>
      <c r="D18" s="2150" t="s">
        <v>103</v>
      </c>
      <c r="E18" s="2151"/>
      <c r="F18" s="2136"/>
      <c r="G18" s="2136"/>
      <c r="H18" s="2136"/>
    </row>
    <row r="19" spans="1:8" ht="15.75" customHeight="1">
      <c r="A19" s="2148">
        <f t="shared" si="0"/>
        <v>9</v>
      </c>
      <c r="B19" s="2146" t="s">
        <v>2401</v>
      </c>
      <c r="C19" s="2149">
        <v>609652.97</v>
      </c>
      <c r="D19" s="2150" t="s">
        <v>103</v>
      </c>
      <c r="E19" s="2152"/>
      <c r="F19" s="2136"/>
      <c r="G19" s="2136"/>
      <c r="H19" s="2136"/>
    </row>
    <row r="20" spans="1:8" ht="15.75" customHeight="1">
      <c r="A20" s="2148">
        <f t="shared" si="0"/>
        <v>10</v>
      </c>
      <c r="B20" s="2146" t="s">
        <v>3161</v>
      </c>
      <c r="C20" s="2149">
        <v>1030.79</v>
      </c>
      <c r="D20" s="2150" t="s">
        <v>124</v>
      </c>
      <c r="E20" s="2151"/>
      <c r="F20" s="2136"/>
      <c r="G20" s="2136"/>
      <c r="H20" s="2136"/>
    </row>
    <row r="21" spans="1:8" ht="15.75" customHeight="1">
      <c r="A21" s="2148">
        <f t="shared" si="0"/>
        <v>11</v>
      </c>
      <c r="B21" s="2146" t="s">
        <v>3162</v>
      </c>
      <c r="C21" s="2149">
        <v>180318.53</v>
      </c>
      <c r="D21" s="2150" t="s">
        <v>89</v>
      </c>
      <c r="E21" s="2152"/>
      <c r="F21" s="2136"/>
      <c r="G21" s="2136"/>
      <c r="H21" s="2136"/>
    </row>
    <row r="22" spans="1:8" ht="15.75" customHeight="1">
      <c r="A22" s="2148">
        <f t="shared" si="0"/>
        <v>12</v>
      </c>
      <c r="B22" s="2146" t="s">
        <v>2554</v>
      </c>
      <c r="C22" s="2149">
        <v>4265.99</v>
      </c>
      <c r="D22" s="2150" t="s">
        <v>124</v>
      </c>
      <c r="E22" s="2151"/>
      <c r="F22" s="2136"/>
      <c r="G22" s="2136"/>
      <c r="H22" s="2136"/>
    </row>
    <row r="23" spans="1:8" ht="15.75" customHeight="1">
      <c r="A23" s="2148">
        <f t="shared" si="0"/>
        <v>13</v>
      </c>
      <c r="B23" s="2153" t="s">
        <v>2569</v>
      </c>
      <c r="C23" s="2149">
        <v>18635.13</v>
      </c>
      <c r="D23" s="2150" t="s">
        <v>124</v>
      </c>
      <c r="E23" s="2151"/>
      <c r="F23" s="2136"/>
      <c r="G23" s="2136"/>
      <c r="H23" s="2136"/>
    </row>
    <row r="24" spans="1:8" ht="15.75" customHeight="1">
      <c r="A24" s="2148">
        <f t="shared" si="0"/>
        <v>14</v>
      </c>
      <c r="B24" s="2146" t="s">
        <v>2297</v>
      </c>
      <c r="C24" s="2149">
        <v>110188.26</v>
      </c>
      <c r="D24" s="2150" t="s">
        <v>103</v>
      </c>
      <c r="E24" s="2151"/>
      <c r="F24" s="2136"/>
      <c r="G24" s="2136"/>
      <c r="H24" s="2136"/>
    </row>
    <row r="25" spans="1:8" ht="15.75" customHeight="1">
      <c r="A25" s="2148">
        <f t="shared" si="0"/>
        <v>15</v>
      </c>
      <c r="B25" s="2153" t="s">
        <v>3163</v>
      </c>
      <c r="C25" s="2154">
        <v>26512.2</v>
      </c>
      <c r="D25" s="2150" t="s">
        <v>2412</v>
      </c>
      <c r="E25" s="2152"/>
      <c r="F25" s="2136"/>
      <c r="G25" s="2136"/>
      <c r="H25" s="2136"/>
    </row>
    <row r="26" spans="1:8" ht="15.75" customHeight="1">
      <c r="A26" s="2148">
        <f t="shared" si="0"/>
        <v>16</v>
      </c>
      <c r="B26" s="2153" t="s">
        <v>3164</v>
      </c>
      <c r="C26" s="2154">
        <v>44245.440000000002</v>
      </c>
      <c r="D26" s="2150" t="s">
        <v>89</v>
      </c>
      <c r="E26" s="2151"/>
      <c r="F26" s="2136"/>
      <c r="G26" s="2136"/>
      <c r="H26" s="2136"/>
    </row>
    <row r="27" spans="1:8" ht="15.75" customHeight="1">
      <c r="A27" s="2148">
        <f t="shared" si="0"/>
        <v>17</v>
      </c>
      <c r="B27" s="2146" t="s">
        <v>2080</v>
      </c>
      <c r="C27" s="2149">
        <v>1792.44</v>
      </c>
      <c r="D27" s="2150" t="s">
        <v>100</v>
      </c>
      <c r="E27" s="2151"/>
      <c r="F27" s="2136"/>
      <c r="G27" s="2136"/>
      <c r="H27" s="2136"/>
    </row>
    <row r="28" spans="1:8" ht="15.75" customHeight="1">
      <c r="A28" s="2148">
        <f t="shared" si="0"/>
        <v>18</v>
      </c>
      <c r="B28" s="2155" t="s">
        <v>3165</v>
      </c>
      <c r="C28" s="2149">
        <v>12489.05</v>
      </c>
      <c r="D28" s="2150" t="s">
        <v>100</v>
      </c>
      <c r="E28" s="2151"/>
      <c r="F28" s="2136"/>
      <c r="G28" s="2136"/>
      <c r="H28" s="2136"/>
    </row>
    <row r="29" spans="1:8" ht="15.75" customHeight="1">
      <c r="A29" s="2148">
        <f t="shared" si="0"/>
        <v>19</v>
      </c>
      <c r="B29" s="2155" t="s">
        <v>3166</v>
      </c>
      <c r="C29" s="2149">
        <v>2459.35</v>
      </c>
      <c r="D29" s="2150" t="s">
        <v>100</v>
      </c>
      <c r="E29" s="2151"/>
      <c r="F29" s="2136"/>
      <c r="G29" s="2136"/>
      <c r="H29" s="2136"/>
    </row>
    <row r="30" spans="1:8" ht="15.75" customHeight="1">
      <c r="A30" s="2148">
        <f t="shared" si="0"/>
        <v>20</v>
      </c>
      <c r="B30" s="2156" t="s">
        <v>2605</v>
      </c>
      <c r="C30" s="2154">
        <v>4724.3</v>
      </c>
      <c r="D30" s="2150" t="s">
        <v>100</v>
      </c>
      <c r="E30" s="2151"/>
      <c r="F30" s="2136"/>
      <c r="G30" s="2136"/>
      <c r="H30" s="2136"/>
    </row>
    <row r="31" spans="1:8" ht="15.75" customHeight="1">
      <c r="A31" s="2148">
        <f t="shared" si="0"/>
        <v>21</v>
      </c>
      <c r="B31" s="2156" t="s">
        <v>3167</v>
      </c>
      <c r="C31" s="2154">
        <v>14100.54</v>
      </c>
      <c r="D31" s="2150" t="s">
        <v>100</v>
      </c>
      <c r="E31" s="2151"/>
      <c r="F31" s="2136"/>
      <c r="G31" s="2136"/>
      <c r="H31" s="2136"/>
    </row>
    <row r="32" spans="1:8" ht="15.75" customHeight="1">
      <c r="A32" s="2148">
        <f t="shared" si="0"/>
        <v>22</v>
      </c>
      <c r="B32" s="2146" t="s">
        <v>3168</v>
      </c>
      <c r="C32" s="2149">
        <v>546.59</v>
      </c>
      <c r="D32" s="2150" t="s">
        <v>2467</v>
      </c>
      <c r="E32" s="2152"/>
      <c r="F32" s="2136"/>
      <c r="G32" s="2136"/>
      <c r="H32" s="2136"/>
    </row>
    <row r="33" spans="1:12" ht="15.75" customHeight="1">
      <c r="A33" s="2148">
        <f t="shared" si="0"/>
        <v>23</v>
      </c>
      <c r="B33" s="2155" t="s">
        <v>2519</v>
      </c>
      <c r="C33" s="2149">
        <v>1572425.56</v>
      </c>
      <c r="D33" s="2150" t="s">
        <v>103</v>
      </c>
      <c r="E33" s="2151"/>
      <c r="F33" s="2136"/>
      <c r="G33" s="2136"/>
      <c r="H33" s="2136"/>
    </row>
    <row r="34" spans="1:12" ht="15.75" customHeight="1">
      <c r="A34" s="2148">
        <f t="shared" si="0"/>
        <v>24</v>
      </c>
      <c r="B34" s="2155" t="s">
        <v>2521</v>
      </c>
      <c r="C34" s="2149">
        <v>1376378.73</v>
      </c>
      <c r="D34" s="2150" t="s">
        <v>103</v>
      </c>
      <c r="E34" s="2157"/>
      <c r="F34" s="2136"/>
      <c r="G34" s="2136"/>
      <c r="H34" s="2136"/>
    </row>
    <row r="35" spans="1:12" ht="15.75" customHeight="1">
      <c r="A35" s="2148">
        <f t="shared" si="0"/>
        <v>25</v>
      </c>
      <c r="B35" s="2155" t="s">
        <v>2640</v>
      </c>
      <c r="C35" s="2149">
        <v>32611.74</v>
      </c>
      <c r="D35" s="2150" t="s">
        <v>124</v>
      </c>
      <c r="E35" s="2151"/>
      <c r="F35" s="2136"/>
      <c r="G35" s="2136"/>
      <c r="H35" s="2136"/>
    </row>
    <row r="36" spans="1:12" ht="15.75" customHeight="1">
      <c r="A36" s="2148">
        <f t="shared" si="0"/>
        <v>26</v>
      </c>
      <c r="B36" s="2153" t="s">
        <v>2643</v>
      </c>
      <c r="C36" s="2149">
        <v>104502.28</v>
      </c>
      <c r="D36" s="2150" t="s">
        <v>89</v>
      </c>
      <c r="E36" s="2151"/>
      <c r="F36" s="2136"/>
      <c r="G36" s="2136"/>
      <c r="H36" s="2136"/>
    </row>
    <row r="37" spans="1:12" ht="15.75" customHeight="1">
      <c r="A37" s="2148">
        <f t="shared" si="0"/>
        <v>27</v>
      </c>
      <c r="B37" s="2153" t="s">
        <v>2572</v>
      </c>
      <c r="C37" s="2154">
        <v>616901.81000000006</v>
      </c>
      <c r="D37" s="2150" t="s">
        <v>89</v>
      </c>
      <c r="E37" s="2152"/>
      <c r="F37" s="2136"/>
      <c r="G37" s="2136"/>
      <c r="H37" s="2136"/>
    </row>
    <row r="38" spans="1:12" ht="15.75" customHeight="1">
      <c r="A38" s="2148">
        <f t="shared" si="0"/>
        <v>28</v>
      </c>
      <c r="B38" s="2153" t="s">
        <v>3169</v>
      </c>
      <c r="C38" s="2154">
        <v>130368.46</v>
      </c>
      <c r="D38" s="2150" t="s">
        <v>89</v>
      </c>
      <c r="E38" s="2151"/>
      <c r="F38" s="2136"/>
      <c r="G38" s="2136"/>
      <c r="H38" s="2136"/>
    </row>
    <row r="39" spans="1:12" ht="15.75" customHeight="1">
      <c r="A39" s="2148"/>
      <c r="B39" s="2146"/>
      <c r="C39" s="2149"/>
      <c r="D39" s="2150"/>
      <c r="E39" s="2151"/>
      <c r="F39" s="2136"/>
      <c r="G39" s="2136"/>
      <c r="H39" s="2136"/>
    </row>
    <row r="40" spans="1:12" ht="15.75" customHeight="1">
      <c r="A40" s="2143" t="s">
        <v>1015</v>
      </c>
      <c r="B40" s="2144" t="s">
        <v>3170</v>
      </c>
      <c r="C40" s="2149"/>
      <c r="D40" s="2150"/>
      <c r="E40" s="2152"/>
      <c r="F40" s="2136"/>
      <c r="G40" s="2136"/>
      <c r="H40" s="2136"/>
    </row>
    <row r="41" spans="1:12" ht="15.75" customHeight="1">
      <c r="A41" s="2148">
        <v>1</v>
      </c>
      <c r="B41" s="2146" t="s">
        <v>3171</v>
      </c>
      <c r="C41" s="2149">
        <v>22095.119999999999</v>
      </c>
      <c r="D41" s="2150" t="s">
        <v>100</v>
      </c>
      <c r="E41" s="2151"/>
      <c r="F41" s="2136"/>
      <c r="G41" s="2136"/>
      <c r="H41" s="2136"/>
      <c r="L41" s="2158"/>
    </row>
    <row r="42" spans="1:12" ht="15.75" customHeight="1">
      <c r="A42" s="2148">
        <f t="shared" ref="A42:A89" si="1">A41+1</f>
        <v>2</v>
      </c>
      <c r="B42" s="2146" t="s">
        <v>3172</v>
      </c>
      <c r="C42" s="2149">
        <v>15112.28</v>
      </c>
      <c r="D42" s="2150" t="s">
        <v>100</v>
      </c>
      <c r="E42" s="2152"/>
      <c r="F42" s="2136"/>
      <c r="G42" s="2136"/>
      <c r="H42" s="2159"/>
      <c r="I42" s="2136"/>
      <c r="J42" s="2160"/>
      <c r="K42" s="2161"/>
      <c r="L42" s="2161"/>
    </row>
    <row r="43" spans="1:12" ht="15.75" customHeight="1">
      <c r="A43" s="2148">
        <f t="shared" si="1"/>
        <v>3</v>
      </c>
      <c r="B43" s="2146" t="s">
        <v>3173</v>
      </c>
      <c r="C43" s="2149">
        <v>14751.63</v>
      </c>
      <c r="D43" s="2150" t="s">
        <v>100</v>
      </c>
      <c r="E43" s="2152"/>
      <c r="F43" s="2136"/>
      <c r="G43" s="2136"/>
      <c r="H43" s="2162"/>
      <c r="I43" s="2136"/>
      <c r="J43" s="2160"/>
      <c r="K43" s="2161"/>
      <c r="L43" s="2161"/>
    </row>
    <row r="44" spans="1:12" ht="15.75" customHeight="1">
      <c r="A44" s="2148">
        <f t="shared" si="1"/>
        <v>4</v>
      </c>
      <c r="B44" s="2146" t="s">
        <v>3174</v>
      </c>
      <c r="C44" s="2149">
        <v>14825.82</v>
      </c>
      <c r="D44" s="2150" t="s">
        <v>100</v>
      </c>
      <c r="E44" s="2152"/>
      <c r="F44" s="2136"/>
      <c r="G44" s="2136"/>
      <c r="H44" s="2163"/>
      <c r="I44" s="2136"/>
      <c r="J44" s="2160"/>
      <c r="K44" s="2161"/>
      <c r="L44" s="2161"/>
    </row>
    <row r="45" spans="1:12" ht="15.75" customHeight="1">
      <c r="A45" s="2148">
        <f t="shared" si="1"/>
        <v>5</v>
      </c>
      <c r="B45" s="2146" t="s">
        <v>2493</v>
      </c>
      <c r="C45" s="2149">
        <v>14022.95</v>
      </c>
      <c r="D45" s="2150" t="s">
        <v>100</v>
      </c>
      <c r="E45" s="2152"/>
      <c r="F45" s="2136"/>
      <c r="G45" s="2136"/>
      <c r="H45" s="2159"/>
      <c r="I45" s="2136"/>
      <c r="J45" s="2160"/>
      <c r="K45" s="2161"/>
      <c r="L45" s="2161"/>
    </row>
    <row r="46" spans="1:12" ht="15.75" customHeight="1">
      <c r="A46" s="2148">
        <f t="shared" si="1"/>
        <v>6</v>
      </c>
      <c r="B46" s="2146" t="s">
        <v>3175</v>
      </c>
      <c r="C46" s="2149">
        <v>15594.61</v>
      </c>
      <c r="D46" s="2150" t="s">
        <v>100</v>
      </c>
      <c r="E46" s="2152"/>
      <c r="F46" s="2136"/>
      <c r="G46" s="2136"/>
      <c r="H46" s="2159"/>
      <c r="I46" s="2136"/>
      <c r="J46" s="2160"/>
      <c r="K46" s="2161"/>
      <c r="L46" s="2161"/>
    </row>
    <row r="47" spans="1:12" ht="15.75" customHeight="1">
      <c r="A47" s="2148">
        <f t="shared" si="1"/>
        <v>7</v>
      </c>
      <c r="B47" s="2146" t="s">
        <v>3176</v>
      </c>
      <c r="C47" s="2149">
        <v>19038.93</v>
      </c>
      <c r="D47" s="2150" t="s">
        <v>100</v>
      </c>
      <c r="E47" s="2152"/>
      <c r="F47" s="2136"/>
      <c r="G47" s="2136"/>
      <c r="H47" s="2136"/>
      <c r="J47" s="2160"/>
      <c r="K47" s="2164"/>
      <c r="L47" s="2161"/>
    </row>
    <row r="48" spans="1:12" ht="15.75" customHeight="1">
      <c r="A48" s="2148">
        <f t="shared" si="1"/>
        <v>8</v>
      </c>
      <c r="B48" s="2146" t="s">
        <v>3177</v>
      </c>
      <c r="C48" s="2149">
        <v>25835.77</v>
      </c>
      <c r="D48" s="2150" t="s">
        <v>100</v>
      </c>
      <c r="E48" s="2152"/>
      <c r="F48" s="2136"/>
      <c r="G48" s="2136"/>
      <c r="H48" s="2136"/>
      <c r="J48" s="2160"/>
      <c r="K48" s="2164"/>
      <c r="L48" s="2161"/>
    </row>
    <row r="49" spans="1:8" ht="15.75" customHeight="1">
      <c r="A49" s="2148">
        <f t="shared" si="1"/>
        <v>9</v>
      </c>
      <c r="B49" s="2146" t="s">
        <v>3178</v>
      </c>
      <c r="C49" s="2149">
        <v>18881.93</v>
      </c>
      <c r="D49" s="2150" t="s">
        <v>100</v>
      </c>
      <c r="E49" s="2152"/>
      <c r="F49" s="2136"/>
      <c r="G49" s="2136"/>
      <c r="H49" s="2136"/>
    </row>
    <row r="50" spans="1:8" ht="15.75" customHeight="1">
      <c r="A50" s="2148">
        <f t="shared" si="1"/>
        <v>10</v>
      </c>
      <c r="B50" s="2146" t="s">
        <v>3179</v>
      </c>
      <c r="C50" s="2149">
        <v>20045.36</v>
      </c>
      <c r="D50" s="2150" t="s">
        <v>100</v>
      </c>
      <c r="E50" s="2152"/>
      <c r="F50" s="2136"/>
      <c r="G50" s="2136"/>
      <c r="H50" s="2136"/>
    </row>
    <row r="51" spans="1:8" ht="15.75" customHeight="1">
      <c r="A51" s="2148">
        <f t="shared" si="1"/>
        <v>11</v>
      </c>
      <c r="B51" s="2146" t="s">
        <v>3180</v>
      </c>
      <c r="C51" s="2149">
        <v>15808.23</v>
      </c>
      <c r="D51" s="2150" t="s">
        <v>100</v>
      </c>
      <c r="E51" s="2152"/>
      <c r="F51" s="2136"/>
      <c r="G51" s="2136"/>
      <c r="H51" s="2136"/>
    </row>
    <row r="52" spans="1:8" ht="15.75" customHeight="1">
      <c r="A52" s="2148">
        <f t="shared" si="1"/>
        <v>12</v>
      </c>
      <c r="B52" s="2146" t="s">
        <v>3181</v>
      </c>
      <c r="C52" s="2149">
        <v>14373.48</v>
      </c>
      <c r="D52" s="2150" t="s">
        <v>100</v>
      </c>
      <c r="E52" s="2152"/>
      <c r="F52" s="2136"/>
      <c r="G52" s="2136"/>
      <c r="H52" s="2136"/>
    </row>
    <row r="53" spans="1:8" ht="15.75" customHeight="1">
      <c r="A53" s="2148">
        <f t="shared" si="1"/>
        <v>13</v>
      </c>
      <c r="B53" s="2146" t="s">
        <v>2101</v>
      </c>
      <c r="C53" s="2149">
        <v>16527.099999999999</v>
      </c>
      <c r="D53" s="2150" t="s">
        <v>100</v>
      </c>
      <c r="E53" s="2151"/>
      <c r="F53" s="2136"/>
      <c r="G53" s="2136"/>
      <c r="H53" s="2136"/>
    </row>
    <row r="54" spans="1:8" ht="15.75" customHeight="1">
      <c r="A54" s="2148">
        <f t="shared" si="1"/>
        <v>14</v>
      </c>
      <c r="B54" s="2146" t="s">
        <v>2078</v>
      </c>
      <c r="C54" s="2149">
        <v>36067.67</v>
      </c>
      <c r="D54" s="2150" t="s">
        <v>100</v>
      </c>
      <c r="E54" s="2151"/>
      <c r="F54" s="2136"/>
      <c r="G54" s="2136"/>
      <c r="H54" s="2136"/>
    </row>
    <row r="55" spans="1:8" ht="15.75" customHeight="1">
      <c r="A55" s="2148">
        <f t="shared" si="1"/>
        <v>15</v>
      </c>
      <c r="B55" s="2155" t="s">
        <v>2540</v>
      </c>
      <c r="C55" s="2145">
        <v>200974.51</v>
      </c>
      <c r="D55" s="2150" t="s">
        <v>100</v>
      </c>
      <c r="E55" s="2151"/>
      <c r="F55" s="2136"/>
      <c r="G55" s="2136"/>
      <c r="H55" s="2136"/>
    </row>
    <row r="56" spans="1:8" ht="15.75" customHeight="1">
      <c r="A56" s="2148">
        <f t="shared" si="1"/>
        <v>16</v>
      </c>
      <c r="B56" s="2155" t="s">
        <v>2544</v>
      </c>
      <c r="C56" s="2145">
        <v>39489.040000000001</v>
      </c>
      <c r="D56" s="2150" t="s">
        <v>100</v>
      </c>
      <c r="E56" s="2151"/>
      <c r="F56" s="2136"/>
      <c r="G56" s="2136"/>
      <c r="H56" s="2136"/>
    </row>
    <row r="57" spans="1:8" ht="15.75" customHeight="1">
      <c r="A57" s="2148">
        <f t="shared" si="1"/>
        <v>17</v>
      </c>
      <c r="B57" s="2155" t="s">
        <v>2876</v>
      </c>
      <c r="C57" s="2145">
        <v>3433.78</v>
      </c>
      <c r="D57" s="2150" t="s">
        <v>124</v>
      </c>
      <c r="E57" s="2151"/>
      <c r="F57" s="2136"/>
      <c r="G57" s="2136"/>
      <c r="H57" s="2136"/>
    </row>
    <row r="58" spans="1:8" ht="15.75" customHeight="1">
      <c r="A58" s="2148">
        <f t="shared" si="1"/>
        <v>18</v>
      </c>
      <c r="B58" s="2156" t="s">
        <v>2471</v>
      </c>
      <c r="C58" s="2145">
        <v>45756.88</v>
      </c>
      <c r="D58" s="2150" t="s">
        <v>124</v>
      </c>
      <c r="E58" s="2151"/>
      <c r="F58" s="2136"/>
      <c r="G58" s="2136"/>
      <c r="H58" s="2136"/>
    </row>
    <row r="59" spans="1:8" ht="15.75" customHeight="1">
      <c r="A59" s="2148">
        <f t="shared" si="1"/>
        <v>19</v>
      </c>
      <c r="B59" s="2146" t="s">
        <v>3182</v>
      </c>
      <c r="C59" s="2149">
        <v>32859.14</v>
      </c>
      <c r="D59" s="2150" t="s">
        <v>100</v>
      </c>
      <c r="E59" s="2151"/>
      <c r="F59" s="2136"/>
      <c r="G59" s="2136"/>
      <c r="H59" s="2136"/>
    </row>
    <row r="60" spans="1:8" ht="15.75" customHeight="1">
      <c r="A60" s="2148">
        <f t="shared" si="1"/>
        <v>20</v>
      </c>
      <c r="B60" s="2146" t="s">
        <v>3183</v>
      </c>
      <c r="C60" s="2149">
        <v>63394.53</v>
      </c>
      <c r="D60" s="2150" t="s">
        <v>100</v>
      </c>
      <c r="E60" s="2151"/>
      <c r="F60" s="2136"/>
      <c r="G60" s="2136"/>
      <c r="H60" s="2136"/>
    </row>
    <row r="61" spans="1:8" ht="15.75" customHeight="1">
      <c r="A61" s="2148">
        <f t="shared" si="1"/>
        <v>21</v>
      </c>
      <c r="B61" s="2146" t="s">
        <v>2496</v>
      </c>
      <c r="C61" s="2149">
        <v>417737.53</v>
      </c>
      <c r="D61" s="2150" t="s">
        <v>89</v>
      </c>
      <c r="E61" s="2151"/>
      <c r="F61" s="2136"/>
      <c r="G61" s="2136"/>
      <c r="H61" s="2136"/>
    </row>
    <row r="62" spans="1:8" ht="15.75" customHeight="1">
      <c r="A62" s="2148">
        <f t="shared" si="1"/>
        <v>22</v>
      </c>
      <c r="B62" s="2146" t="s">
        <v>2499</v>
      </c>
      <c r="C62" s="2149">
        <v>710176.17</v>
      </c>
      <c r="D62" s="2150" t="s">
        <v>89</v>
      </c>
      <c r="E62" s="2151"/>
      <c r="F62" s="2136"/>
      <c r="G62" s="2136"/>
      <c r="H62" s="2136"/>
    </row>
    <row r="63" spans="1:8" ht="15.75" customHeight="1">
      <c r="A63" s="2148">
        <f t="shared" si="1"/>
        <v>23</v>
      </c>
      <c r="B63" s="2155" t="s">
        <v>3184</v>
      </c>
      <c r="C63" s="2149">
        <v>73978.460000000006</v>
      </c>
      <c r="D63" s="2150" t="s">
        <v>313</v>
      </c>
      <c r="E63" s="2151"/>
      <c r="F63" s="2136"/>
      <c r="G63" s="2136"/>
      <c r="H63" s="2136"/>
    </row>
    <row r="64" spans="1:8" ht="15.75" customHeight="1">
      <c r="A64" s="2148">
        <f t="shared" si="1"/>
        <v>24</v>
      </c>
      <c r="B64" s="2155" t="s">
        <v>3185</v>
      </c>
      <c r="C64" s="2145">
        <v>17828.22</v>
      </c>
      <c r="D64" s="2150" t="s">
        <v>124</v>
      </c>
      <c r="E64" s="2151"/>
      <c r="F64" s="2136"/>
      <c r="G64" s="2136"/>
      <c r="H64" s="2136"/>
    </row>
    <row r="65" spans="1:8" ht="15.75" customHeight="1">
      <c r="A65" s="2148">
        <f t="shared" si="1"/>
        <v>25</v>
      </c>
      <c r="B65" s="2155" t="s">
        <v>3186</v>
      </c>
      <c r="C65" s="2145">
        <v>13944.98</v>
      </c>
      <c r="D65" s="2150" t="s">
        <v>124</v>
      </c>
      <c r="E65" s="2152"/>
      <c r="F65" s="2136"/>
      <c r="G65" s="2136"/>
      <c r="H65" s="2136"/>
    </row>
    <row r="66" spans="1:8" ht="15.75" customHeight="1">
      <c r="A66" s="2148">
        <f t="shared" si="1"/>
        <v>26</v>
      </c>
      <c r="B66" s="2146" t="s">
        <v>3187</v>
      </c>
      <c r="C66" s="2149">
        <v>33576.230000000003</v>
      </c>
      <c r="D66" s="2150" t="s">
        <v>100</v>
      </c>
      <c r="E66" s="2152"/>
      <c r="F66" s="2136"/>
      <c r="G66" s="2136"/>
      <c r="H66" s="2136"/>
    </row>
    <row r="67" spans="1:8" ht="15.75" customHeight="1">
      <c r="A67" s="2148">
        <f t="shared" si="1"/>
        <v>27</v>
      </c>
      <c r="B67" s="2146" t="s">
        <v>3188</v>
      </c>
      <c r="C67" s="2145">
        <v>59087.09</v>
      </c>
      <c r="D67" s="2150" t="s">
        <v>124</v>
      </c>
      <c r="E67" s="2152"/>
      <c r="F67" s="2136"/>
      <c r="G67" s="2136"/>
      <c r="H67" s="2136"/>
    </row>
    <row r="68" spans="1:8" ht="15.75" customHeight="1">
      <c r="A68" s="2148">
        <f t="shared" si="1"/>
        <v>28</v>
      </c>
      <c r="B68" s="2146" t="s">
        <v>3181</v>
      </c>
      <c r="C68" s="2145">
        <v>38962.269999999997</v>
      </c>
      <c r="D68" s="2150" t="s">
        <v>124</v>
      </c>
      <c r="E68" s="2152"/>
      <c r="F68" s="2136"/>
      <c r="G68" s="2136"/>
      <c r="H68" s="2136"/>
    </row>
    <row r="69" spans="1:8" ht="15.75" customHeight="1">
      <c r="A69" s="2148">
        <f t="shared" si="1"/>
        <v>29</v>
      </c>
      <c r="B69" s="2153" t="s">
        <v>2536</v>
      </c>
      <c r="C69" s="2145">
        <v>89735.26</v>
      </c>
      <c r="D69" s="2150" t="s">
        <v>888</v>
      </c>
      <c r="E69" s="2151"/>
      <c r="F69" s="2136"/>
      <c r="G69" s="2136"/>
      <c r="H69" s="2136"/>
    </row>
    <row r="70" spans="1:8" ht="15.75" customHeight="1">
      <c r="A70" s="2148">
        <f t="shared" si="1"/>
        <v>30</v>
      </c>
      <c r="B70" s="2153" t="s">
        <v>3061</v>
      </c>
      <c r="C70" s="2145">
        <v>12026.3</v>
      </c>
      <c r="D70" s="2150" t="s">
        <v>888</v>
      </c>
      <c r="E70" s="2151"/>
      <c r="F70" s="2136"/>
      <c r="G70" s="2136"/>
      <c r="H70" s="2136"/>
    </row>
    <row r="71" spans="1:8" ht="15.75" customHeight="1">
      <c r="A71" s="2148">
        <f t="shared" si="1"/>
        <v>31</v>
      </c>
      <c r="B71" s="2153" t="s">
        <v>3189</v>
      </c>
      <c r="C71" s="2145">
        <v>6125.43</v>
      </c>
      <c r="D71" s="2150" t="s">
        <v>888</v>
      </c>
      <c r="E71" s="2152"/>
      <c r="F71" s="2136"/>
      <c r="G71" s="2136"/>
      <c r="H71" s="2136"/>
    </row>
    <row r="72" spans="1:8" ht="15.75" customHeight="1">
      <c r="A72" s="2148">
        <f t="shared" si="1"/>
        <v>32</v>
      </c>
      <c r="B72" s="2155" t="s">
        <v>2539</v>
      </c>
      <c r="C72" s="2145">
        <v>127676.16</v>
      </c>
      <c r="D72" s="2150" t="s">
        <v>89</v>
      </c>
      <c r="E72" s="2152"/>
      <c r="F72" s="2136"/>
      <c r="G72" s="2136"/>
      <c r="H72" s="2136"/>
    </row>
    <row r="73" spans="1:8" ht="15.75" customHeight="1">
      <c r="A73" s="2148">
        <f t="shared" si="1"/>
        <v>33</v>
      </c>
      <c r="B73" s="2155" t="s">
        <v>3190</v>
      </c>
      <c r="C73" s="2145">
        <v>87706.559999999998</v>
      </c>
      <c r="D73" s="2150" t="s">
        <v>2086</v>
      </c>
      <c r="E73" s="2152"/>
      <c r="F73" s="2136"/>
      <c r="G73" s="2136"/>
      <c r="H73" s="2136"/>
    </row>
    <row r="74" spans="1:8" ht="15.75" customHeight="1">
      <c r="A74" s="2148">
        <f t="shared" si="1"/>
        <v>34</v>
      </c>
      <c r="B74" s="2156" t="s">
        <v>2079</v>
      </c>
      <c r="C74" s="2149">
        <v>17635.73</v>
      </c>
      <c r="D74" s="2150" t="s">
        <v>100</v>
      </c>
      <c r="E74" s="2151"/>
      <c r="F74" s="2136"/>
      <c r="G74" s="2136"/>
      <c r="H74" s="2136"/>
    </row>
    <row r="75" spans="1:8" ht="15.75" customHeight="1">
      <c r="A75" s="2148">
        <f t="shared" si="1"/>
        <v>35</v>
      </c>
      <c r="B75" s="2156" t="s">
        <v>2085</v>
      </c>
      <c r="C75" s="2149">
        <v>103603.57</v>
      </c>
      <c r="D75" s="2150" t="s">
        <v>2086</v>
      </c>
      <c r="E75" s="2151"/>
      <c r="F75" s="2136"/>
      <c r="G75" s="2136"/>
      <c r="H75" s="2136"/>
    </row>
    <row r="76" spans="1:8" ht="15.75" customHeight="1">
      <c r="A76" s="2148">
        <f t="shared" si="1"/>
        <v>36</v>
      </c>
      <c r="B76" s="2156" t="s">
        <v>3191</v>
      </c>
      <c r="C76" s="2149">
        <v>19671.98</v>
      </c>
      <c r="D76" s="2150" t="s">
        <v>824</v>
      </c>
      <c r="E76" s="2151"/>
      <c r="F76" s="2136"/>
      <c r="G76" s="2136"/>
      <c r="H76" s="2136"/>
    </row>
    <row r="77" spans="1:8" ht="15.75" customHeight="1">
      <c r="A77" s="2148">
        <f t="shared" si="1"/>
        <v>37</v>
      </c>
      <c r="B77" s="2156" t="s">
        <v>2087</v>
      </c>
      <c r="C77" s="2149">
        <v>2109988.66</v>
      </c>
      <c r="D77" s="2150" t="s">
        <v>360</v>
      </c>
      <c r="E77" s="2151"/>
      <c r="F77" s="2136"/>
      <c r="G77" s="2136"/>
      <c r="H77" s="2136"/>
    </row>
    <row r="78" spans="1:8" ht="15.75" customHeight="1">
      <c r="A78" s="2148">
        <f t="shared" si="1"/>
        <v>38</v>
      </c>
      <c r="B78" s="2156" t="s">
        <v>3192</v>
      </c>
      <c r="C78" s="2165">
        <v>277360.23</v>
      </c>
      <c r="D78" s="2150" t="s">
        <v>124</v>
      </c>
      <c r="E78" s="2152"/>
      <c r="F78" s="2136"/>
      <c r="G78" s="2136"/>
      <c r="H78" s="2136"/>
    </row>
    <row r="79" spans="1:8" ht="15.75" customHeight="1">
      <c r="A79" s="2148">
        <f t="shared" si="1"/>
        <v>39</v>
      </c>
      <c r="B79" s="2156" t="s">
        <v>3193</v>
      </c>
      <c r="C79" s="2165">
        <v>222024.35</v>
      </c>
      <c r="D79" s="2150" t="s">
        <v>124</v>
      </c>
      <c r="E79" s="2152"/>
      <c r="F79" s="2136"/>
      <c r="G79" s="2136"/>
      <c r="H79" s="2136"/>
    </row>
    <row r="80" spans="1:8" ht="15.75" customHeight="1">
      <c r="A80" s="2148">
        <f t="shared" si="1"/>
        <v>40</v>
      </c>
      <c r="B80" s="2156" t="s">
        <v>3194</v>
      </c>
      <c r="C80" s="2165">
        <v>95665.66</v>
      </c>
      <c r="D80" s="2150" t="s">
        <v>124</v>
      </c>
      <c r="E80" s="2152"/>
      <c r="F80" s="2136"/>
      <c r="G80" s="2136"/>
      <c r="H80" s="2136"/>
    </row>
    <row r="81" spans="1:8" ht="15.75" customHeight="1">
      <c r="A81" s="2148">
        <f t="shared" si="1"/>
        <v>41</v>
      </c>
      <c r="B81" s="2156" t="s">
        <v>3195</v>
      </c>
      <c r="C81" s="2165">
        <v>67183.360000000001</v>
      </c>
      <c r="D81" s="2150" t="s">
        <v>124</v>
      </c>
      <c r="E81" s="2152"/>
      <c r="F81" s="2136"/>
      <c r="G81" s="2136"/>
      <c r="H81" s="2136"/>
    </row>
    <row r="82" spans="1:8" ht="15.75" customHeight="1">
      <c r="A82" s="2148">
        <f t="shared" si="1"/>
        <v>42</v>
      </c>
      <c r="B82" s="2156" t="s">
        <v>2645</v>
      </c>
      <c r="C82" s="2165">
        <v>1754296.53</v>
      </c>
      <c r="D82" s="2150" t="s">
        <v>124</v>
      </c>
      <c r="E82" s="2152"/>
      <c r="F82" s="2136"/>
      <c r="G82" s="2136"/>
      <c r="H82" s="2136"/>
    </row>
    <row r="83" spans="1:8" ht="15.75" customHeight="1">
      <c r="A83" s="2148">
        <f t="shared" si="1"/>
        <v>43</v>
      </c>
      <c r="B83" s="2156" t="s">
        <v>2648</v>
      </c>
      <c r="C83" s="2165">
        <v>4308943.3</v>
      </c>
      <c r="D83" s="2150" t="s">
        <v>124</v>
      </c>
      <c r="E83" s="2152"/>
      <c r="F83" s="2136"/>
      <c r="G83" s="2136"/>
      <c r="H83" s="2136"/>
    </row>
    <row r="84" spans="1:8" ht="15.75" customHeight="1">
      <c r="A84" s="2148">
        <f t="shared" si="1"/>
        <v>44</v>
      </c>
      <c r="B84" s="2153" t="s">
        <v>2684</v>
      </c>
      <c r="C84" s="2166">
        <v>44599.78</v>
      </c>
      <c r="D84" s="2150" t="s">
        <v>117</v>
      </c>
      <c r="E84" s="2152"/>
      <c r="F84" s="2136"/>
      <c r="G84" s="2136"/>
      <c r="H84" s="2136"/>
    </row>
    <row r="85" spans="1:8" ht="15.75" customHeight="1">
      <c r="A85" s="2148">
        <f t="shared" si="1"/>
        <v>45</v>
      </c>
      <c r="B85" s="2153" t="s">
        <v>2762</v>
      </c>
      <c r="C85" s="2165">
        <v>229910.82</v>
      </c>
      <c r="D85" s="2150" t="s">
        <v>124</v>
      </c>
      <c r="E85" s="2152"/>
      <c r="F85" s="2136"/>
      <c r="G85" s="2136"/>
      <c r="H85" s="2136"/>
    </row>
    <row r="86" spans="1:8" ht="15.75" customHeight="1">
      <c r="A86" s="2148">
        <f t="shared" si="1"/>
        <v>46</v>
      </c>
      <c r="B86" s="2153" t="s">
        <v>2763</v>
      </c>
      <c r="C86" s="2165">
        <v>635758.59</v>
      </c>
      <c r="D86" s="2150" t="s">
        <v>2086</v>
      </c>
      <c r="E86" s="2152"/>
      <c r="F86" s="2136"/>
      <c r="G86" s="2136"/>
      <c r="H86" s="2136"/>
    </row>
    <row r="87" spans="1:8" ht="15.75" customHeight="1">
      <c r="A87" s="2148">
        <f t="shared" si="1"/>
        <v>47</v>
      </c>
      <c r="B87" s="2156" t="s">
        <v>3196</v>
      </c>
      <c r="C87" s="2165">
        <v>773380.55</v>
      </c>
      <c r="D87" s="2150" t="s">
        <v>360</v>
      </c>
      <c r="E87" s="2152"/>
      <c r="F87" s="2136"/>
      <c r="G87" s="2136"/>
      <c r="H87" s="2136"/>
    </row>
    <row r="88" spans="1:8" ht="15.75" customHeight="1">
      <c r="A88" s="2148">
        <f t="shared" si="1"/>
        <v>48</v>
      </c>
      <c r="B88" s="2153" t="s">
        <v>3197</v>
      </c>
      <c r="C88" s="2166">
        <v>3021090.78</v>
      </c>
      <c r="D88" s="2150" t="s">
        <v>360</v>
      </c>
      <c r="E88" s="2151"/>
      <c r="F88" s="1996"/>
      <c r="G88" s="2167"/>
      <c r="H88" s="2136"/>
    </row>
    <row r="89" spans="1:8" ht="15.75" customHeight="1">
      <c r="A89" s="2148">
        <f t="shared" si="1"/>
        <v>49</v>
      </c>
      <c r="B89" s="2153" t="s">
        <v>3198</v>
      </c>
      <c r="C89" s="2154">
        <v>71136.12</v>
      </c>
      <c r="D89" s="2150" t="s">
        <v>117</v>
      </c>
      <c r="E89" s="2151"/>
      <c r="F89" s="2136"/>
      <c r="G89" s="2136"/>
      <c r="H89" s="2136"/>
    </row>
    <row r="90" spans="1:8" ht="15.75" customHeight="1">
      <c r="A90" s="2148"/>
      <c r="B90" s="2146"/>
      <c r="C90" s="2149"/>
      <c r="D90" s="2150"/>
      <c r="E90" s="2151"/>
      <c r="F90" s="2136"/>
      <c r="G90" s="2136"/>
      <c r="H90" s="2136"/>
    </row>
    <row r="91" spans="1:8" ht="15.75" customHeight="1">
      <c r="A91" s="2143" t="s">
        <v>1048</v>
      </c>
      <c r="B91" s="2144" t="s">
        <v>3199</v>
      </c>
      <c r="C91" s="2168"/>
      <c r="D91" s="2150"/>
      <c r="E91" s="2151"/>
      <c r="F91" s="2136"/>
      <c r="G91" s="2136"/>
      <c r="H91" s="2136"/>
    </row>
    <row r="92" spans="1:8" ht="15.75" customHeight="1">
      <c r="A92" s="2148">
        <v>1</v>
      </c>
      <c r="B92" s="2146" t="s">
        <v>2099</v>
      </c>
      <c r="C92" s="2149">
        <v>212109.86</v>
      </c>
      <c r="D92" s="2150" t="s">
        <v>2086</v>
      </c>
      <c r="E92" s="2151"/>
      <c r="F92" s="2136"/>
      <c r="G92" s="2136"/>
      <c r="H92" s="2136"/>
    </row>
    <row r="93" spans="1:8" ht="15.75" customHeight="1">
      <c r="A93" s="2148">
        <f t="shared" ref="A93:A124" si="2">A92+1</f>
        <v>2</v>
      </c>
      <c r="B93" s="2146" t="s">
        <v>3200</v>
      </c>
      <c r="C93" s="2149">
        <v>278348.95</v>
      </c>
      <c r="D93" s="2150" t="s">
        <v>2086</v>
      </c>
      <c r="E93" s="2151"/>
      <c r="F93" s="2136"/>
      <c r="G93" s="2136"/>
      <c r="H93" s="2136"/>
    </row>
    <row r="94" spans="1:8" ht="15.75" customHeight="1">
      <c r="A94" s="2148">
        <f t="shared" si="2"/>
        <v>3</v>
      </c>
      <c r="B94" s="2146" t="s">
        <v>3201</v>
      </c>
      <c r="C94" s="2149">
        <v>174470.8</v>
      </c>
      <c r="D94" s="2150" t="s">
        <v>2086</v>
      </c>
      <c r="E94" s="2151"/>
      <c r="F94" s="2136"/>
      <c r="G94" s="2136"/>
      <c r="H94" s="2136"/>
    </row>
    <row r="95" spans="1:8" ht="15.75" customHeight="1">
      <c r="A95" s="2148">
        <f t="shared" si="2"/>
        <v>4</v>
      </c>
      <c r="B95" s="2146" t="s">
        <v>3202</v>
      </c>
      <c r="C95" s="2149">
        <v>77635.399999999994</v>
      </c>
      <c r="D95" s="2150" t="s">
        <v>2086</v>
      </c>
      <c r="E95" s="2151"/>
      <c r="F95" s="2136"/>
      <c r="G95" s="2136"/>
      <c r="H95" s="2136"/>
    </row>
    <row r="96" spans="1:8" ht="15.75" customHeight="1">
      <c r="A96" s="2148">
        <f t="shared" si="2"/>
        <v>5</v>
      </c>
      <c r="B96" s="2146" t="s">
        <v>3203</v>
      </c>
      <c r="C96" s="2169">
        <v>9646833.6500000004</v>
      </c>
      <c r="D96" s="2150" t="s">
        <v>103</v>
      </c>
      <c r="E96" s="2151"/>
      <c r="F96" s="2136"/>
      <c r="G96" s="2159"/>
      <c r="H96" s="2136"/>
    </row>
    <row r="97" spans="1:8" ht="15.75" customHeight="1">
      <c r="A97" s="2148">
        <f t="shared" si="2"/>
        <v>6</v>
      </c>
      <c r="B97" s="2146" t="s">
        <v>2100</v>
      </c>
      <c r="C97" s="2170">
        <v>6503424.4100000001</v>
      </c>
      <c r="D97" s="2150" t="s">
        <v>103</v>
      </c>
      <c r="E97" s="2152"/>
      <c r="F97" s="2136"/>
      <c r="G97" s="2136"/>
      <c r="H97" s="2136"/>
    </row>
    <row r="98" spans="1:8" ht="15.75" customHeight="1">
      <c r="A98" s="2148">
        <f t="shared" si="2"/>
        <v>7</v>
      </c>
      <c r="B98" s="2171" t="s">
        <v>2127</v>
      </c>
      <c r="C98" s="2170">
        <v>8395042.6699999999</v>
      </c>
      <c r="D98" s="2150" t="s">
        <v>103</v>
      </c>
      <c r="E98" s="2151"/>
      <c r="F98" s="2136"/>
      <c r="G98" s="2136"/>
      <c r="H98" s="2136"/>
    </row>
    <row r="99" spans="1:8" ht="15.75" customHeight="1">
      <c r="A99" s="2148">
        <f t="shared" si="2"/>
        <v>8</v>
      </c>
      <c r="B99" s="2171" t="s">
        <v>3204</v>
      </c>
      <c r="C99" s="2170">
        <v>9209399.0199999996</v>
      </c>
      <c r="D99" s="2150" t="s">
        <v>103</v>
      </c>
      <c r="E99" s="2151"/>
      <c r="F99" s="2136"/>
      <c r="G99" s="2136"/>
      <c r="H99" s="2136"/>
    </row>
    <row r="100" spans="1:8" ht="15.75" customHeight="1">
      <c r="A100" s="2148">
        <f t="shared" si="2"/>
        <v>9</v>
      </c>
      <c r="B100" s="2171" t="s">
        <v>2128</v>
      </c>
      <c r="C100" s="2170">
        <v>5736845.7699999996</v>
      </c>
      <c r="D100" s="2150" t="s">
        <v>103</v>
      </c>
      <c r="E100" s="2151"/>
      <c r="F100" s="2136"/>
      <c r="G100" s="2136"/>
      <c r="H100" s="2136"/>
    </row>
    <row r="101" spans="1:8" ht="15.75" customHeight="1">
      <c r="A101" s="2148">
        <f t="shared" si="2"/>
        <v>10</v>
      </c>
      <c r="B101" s="2146" t="s">
        <v>2458</v>
      </c>
      <c r="C101" s="2170">
        <v>29763.69</v>
      </c>
      <c r="D101" s="2150" t="s">
        <v>888</v>
      </c>
      <c r="E101" s="2151"/>
      <c r="F101" s="2136"/>
      <c r="G101" s="2136"/>
      <c r="H101" s="2136"/>
    </row>
    <row r="102" spans="1:8" ht="15.75" customHeight="1">
      <c r="A102" s="2148">
        <f t="shared" si="2"/>
        <v>11</v>
      </c>
      <c r="B102" s="2146" t="s">
        <v>3205</v>
      </c>
      <c r="C102" s="2149">
        <v>15963.76</v>
      </c>
      <c r="D102" s="2150" t="s">
        <v>124</v>
      </c>
      <c r="E102" s="2151"/>
      <c r="F102" s="2136"/>
      <c r="G102" s="2136"/>
      <c r="H102" s="2136"/>
    </row>
    <row r="103" spans="1:8" ht="15.75" customHeight="1">
      <c r="A103" s="2148">
        <f t="shared" si="2"/>
        <v>12</v>
      </c>
      <c r="B103" s="2156" t="s">
        <v>2478</v>
      </c>
      <c r="C103" s="2149">
        <v>35283.919999999998</v>
      </c>
      <c r="D103" s="2150" t="s">
        <v>888</v>
      </c>
      <c r="E103" s="2151"/>
      <c r="F103" s="2136"/>
      <c r="G103" s="2136"/>
      <c r="H103" s="2136"/>
    </row>
    <row r="104" spans="1:8" ht="15.75" customHeight="1">
      <c r="A104" s="2148">
        <f t="shared" si="2"/>
        <v>13</v>
      </c>
      <c r="B104" s="2156" t="s">
        <v>2479</v>
      </c>
      <c r="C104" s="2149">
        <v>1000772.25</v>
      </c>
      <c r="D104" s="2150" t="s">
        <v>103</v>
      </c>
      <c r="E104" s="2151"/>
      <c r="F104" s="2136"/>
      <c r="G104" s="2136"/>
      <c r="H104" s="2136"/>
    </row>
    <row r="105" spans="1:8" ht="15.75" customHeight="1">
      <c r="A105" s="2148">
        <f t="shared" si="2"/>
        <v>14</v>
      </c>
      <c r="B105" s="2146" t="s">
        <v>2698</v>
      </c>
      <c r="C105" s="2169">
        <v>23790.7</v>
      </c>
      <c r="D105" s="2150" t="s">
        <v>100</v>
      </c>
      <c r="E105" s="2151"/>
      <c r="F105" s="2136"/>
      <c r="G105" s="2136"/>
      <c r="H105" s="2136"/>
    </row>
    <row r="106" spans="1:8" ht="15.75" customHeight="1">
      <c r="A106" s="2148">
        <f t="shared" si="2"/>
        <v>15</v>
      </c>
      <c r="B106" s="2156" t="s">
        <v>3206</v>
      </c>
      <c r="C106" s="2169">
        <v>320959.2</v>
      </c>
      <c r="D106" s="2150" t="s">
        <v>89</v>
      </c>
      <c r="E106" s="2151"/>
      <c r="F106" s="2136"/>
      <c r="G106" s="2136"/>
      <c r="H106" s="2136"/>
    </row>
    <row r="107" spans="1:8" ht="15.75" customHeight="1">
      <c r="A107" s="2148">
        <f t="shared" si="2"/>
        <v>16</v>
      </c>
      <c r="B107" s="2156" t="s">
        <v>2088</v>
      </c>
      <c r="C107" s="2172">
        <v>313982.99</v>
      </c>
      <c r="D107" s="2150" t="s">
        <v>89</v>
      </c>
      <c r="E107" s="2151"/>
      <c r="F107" s="2136"/>
      <c r="G107" s="2136"/>
      <c r="H107" s="2136"/>
    </row>
    <row r="108" spans="1:8" ht="15.75" customHeight="1">
      <c r="A108" s="2148">
        <f t="shared" si="2"/>
        <v>17</v>
      </c>
      <c r="B108" s="2156" t="s">
        <v>3207</v>
      </c>
      <c r="C108" s="2154">
        <v>372593.28</v>
      </c>
      <c r="D108" s="2150" t="s">
        <v>89</v>
      </c>
      <c r="E108" s="2151"/>
      <c r="F108" s="2136"/>
      <c r="G108" s="2136"/>
      <c r="H108" s="2136"/>
    </row>
    <row r="109" spans="1:8" ht="15.75" customHeight="1">
      <c r="A109" s="2148">
        <f t="shared" si="2"/>
        <v>18</v>
      </c>
      <c r="B109" s="2153" t="s">
        <v>2732</v>
      </c>
      <c r="C109" s="2172">
        <v>449730.65</v>
      </c>
      <c r="D109" s="2150" t="s">
        <v>89</v>
      </c>
      <c r="E109" s="2151"/>
      <c r="F109" s="2136"/>
      <c r="G109" s="2136"/>
      <c r="H109" s="2136"/>
    </row>
    <row r="110" spans="1:8" ht="15.75" customHeight="1">
      <c r="A110" s="2148">
        <f t="shared" si="2"/>
        <v>19</v>
      </c>
      <c r="B110" s="2156" t="s">
        <v>3208</v>
      </c>
      <c r="C110" s="2149">
        <v>87383.26</v>
      </c>
      <c r="D110" s="2150" t="s">
        <v>313</v>
      </c>
      <c r="E110" s="2151"/>
      <c r="F110" s="2136"/>
      <c r="G110" s="2136"/>
      <c r="H110" s="2136"/>
    </row>
    <row r="111" spans="1:8" ht="15.75" customHeight="1">
      <c r="A111" s="2148">
        <f t="shared" si="2"/>
        <v>20</v>
      </c>
      <c r="B111" s="2156" t="s">
        <v>3209</v>
      </c>
      <c r="C111" s="2149">
        <v>100325.99</v>
      </c>
      <c r="D111" s="2150" t="s">
        <v>2086</v>
      </c>
      <c r="E111" s="2151"/>
      <c r="F111" s="2136"/>
      <c r="G111" s="2136"/>
      <c r="H111" s="2136"/>
    </row>
    <row r="112" spans="1:8" ht="15.75" customHeight="1">
      <c r="A112" s="2148">
        <f t="shared" si="2"/>
        <v>21</v>
      </c>
      <c r="B112" s="2156" t="s">
        <v>3210</v>
      </c>
      <c r="C112" s="2149">
        <v>46972.74</v>
      </c>
      <c r="D112" s="2150" t="s">
        <v>2086</v>
      </c>
      <c r="E112" s="2151"/>
      <c r="F112" s="2136"/>
      <c r="G112" s="2136"/>
      <c r="H112" s="2136"/>
    </row>
    <row r="113" spans="1:10" ht="15.75" customHeight="1">
      <c r="A113" s="2148">
        <f t="shared" si="2"/>
        <v>22</v>
      </c>
      <c r="B113" s="2156" t="s">
        <v>3211</v>
      </c>
      <c r="C113" s="2149">
        <v>331975.78999999998</v>
      </c>
      <c r="D113" s="2150" t="s">
        <v>2086</v>
      </c>
      <c r="E113" s="2151"/>
      <c r="F113" s="2136"/>
      <c r="G113" s="2136"/>
      <c r="H113" s="2136"/>
    </row>
    <row r="114" spans="1:10" ht="15.75" customHeight="1">
      <c r="A114" s="2148">
        <f t="shared" si="2"/>
        <v>23</v>
      </c>
      <c r="B114" s="2156" t="s">
        <v>3212</v>
      </c>
      <c r="C114" s="2154">
        <v>12649.61</v>
      </c>
      <c r="D114" s="2150" t="s">
        <v>117</v>
      </c>
      <c r="E114" s="2151"/>
      <c r="F114" s="2136"/>
      <c r="G114" s="2136"/>
      <c r="H114" s="2136"/>
    </row>
    <row r="115" spans="1:10" ht="15.75" customHeight="1">
      <c r="A115" s="2148">
        <f t="shared" si="2"/>
        <v>24</v>
      </c>
      <c r="B115" s="2156" t="s">
        <v>3213</v>
      </c>
      <c r="C115" s="2149">
        <v>55608.33</v>
      </c>
      <c r="D115" s="2150" t="s">
        <v>117</v>
      </c>
      <c r="E115" s="2151"/>
      <c r="F115" s="2136"/>
      <c r="G115" s="2136"/>
      <c r="H115" s="2136"/>
    </row>
    <row r="116" spans="1:10" ht="15.75" customHeight="1">
      <c r="A116" s="2148">
        <f t="shared" si="2"/>
        <v>25</v>
      </c>
      <c r="B116" s="2153" t="s">
        <v>3214</v>
      </c>
      <c r="C116" s="2154">
        <v>26920.89</v>
      </c>
      <c r="D116" s="2150" t="s">
        <v>328</v>
      </c>
      <c r="E116" s="2151"/>
      <c r="F116" s="2136"/>
      <c r="G116" s="2136"/>
      <c r="H116" s="2136"/>
    </row>
    <row r="117" spans="1:10" ht="15.75" customHeight="1">
      <c r="A117" s="2148">
        <f t="shared" si="2"/>
        <v>26</v>
      </c>
      <c r="B117" s="2153" t="s">
        <v>3215</v>
      </c>
      <c r="C117" s="2154">
        <v>59769.63</v>
      </c>
      <c r="D117" s="2150" t="s">
        <v>328</v>
      </c>
      <c r="E117" s="2151"/>
      <c r="F117" s="2136"/>
      <c r="G117" s="2136"/>
      <c r="H117" s="2136"/>
    </row>
    <row r="118" spans="1:10" ht="15.75" customHeight="1">
      <c r="A118" s="2148">
        <f t="shared" si="2"/>
        <v>27</v>
      </c>
      <c r="B118" s="2146" t="s">
        <v>2746</v>
      </c>
      <c r="C118" s="2149">
        <v>290901.25</v>
      </c>
      <c r="D118" s="2150" t="s">
        <v>124</v>
      </c>
      <c r="E118" s="2151"/>
      <c r="F118" s="2136"/>
      <c r="G118" s="2136"/>
      <c r="H118" s="2136"/>
    </row>
    <row r="119" spans="1:10" ht="15.75" customHeight="1">
      <c r="A119" s="2148">
        <f t="shared" si="2"/>
        <v>28</v>
      </c>
      <c r="B119" s="2146" t="s">
        <v>3216</v>
      </c>
      <c r="C119" s="2149">
        <v>722128.07</v>
      </c>
      <c r="D119" s="2150" t="s">
        <v>124</v>
      </c>
      <c r="E119" s="2151"/>
      <c r="F119" s="2136"/>
      <c r="G119" s="2136"/>
      <c r="H119" s="2136"/>
    </row>
    <row r="120" spans="1:10" ht="15.75" customHeight="1">
      <c r="A120" s="2148">
        <f t="shared" si="2"/>
        <v>29</v>
      </c>
      <c r="B120" s="2146" t="s">
        <v>3217</v>
      </c>
      <c r="C120" s="2149">
        <v>40171.74</v>
      </c>
      <c r="D120" s="2150" t="s">
        <v>100</v>
      </c>
      <c r="E120" s="2151"/>
      <c r="F120" s="2136"/>
      <c r="G120" s="2136"/>
      <c r="H120" s="2136"/>
    </row>
    <row r="121" spans="1:10" ht="15.75" customHeight="1">
      <c r="A121" s="2148">
        <f t="shared" si="2"/>
        <v>30</v>
      </c>
      <c r="B121" s="2146" t="s">
        <v>2757</v>
      </c>
      <c r="C121" s="2149">
        <v>9616251.1899999995</v>
      </c>
      <c r="D121" s="2150" t="s">
        <v>360</v>
      </c>
      <c r="E121" s="2151"/>
      <c r="F121" s="2136"/>
      <c r="G121" s="2159"/>
      <c r="H121" s="2136"/>
    </row>
    <row r="122" spans="1:10" ht="15.75" customHeight="1">
      <c r="A122" s="2148">
        <f t="shared" si="2"/>
        <v>31</v>
      </c>
      <c r="B122" s="2153" t="s">
        <v>2760</v>
      </c>
      <c r="C122" s="2149">
        <v>3223509.8</v>
      </c>
      <c r="D122" s="2150" t="s">
        <v>360</v>
      </c>
      <c r="E122" s="2151"/>
      <c r="F122" s="2136"/>
      <c r="G122" s="2136"/>
      <c r="H122" s="2136"/>
      <c r="J122" s="2173"/>
    </row>
    <row r="123" spans="1:10" ht="15.75" customHeight="1">
      <c r="A123" s="2148">
        <f t="shared" si="2"/>
        <v>32</v>
      </c>
      <c r="B123" s="2153" t="s">
        <v>2755</v>
      </c>
      <c r="C123" s="2149">
        <v>477536.25</v>
      </c>
      <c r="D123" s="2150" t="s">
        <v>89</v>
      </c>
      <c r="E123" s="2151"/>
      <c r="F123" s="2136"/>
      <c r="G123" s="2136"/>
      <c r="H123" s="2136"/>
    </row>
    <row r="124" spans="1:10" ht="15.75" customHeight="1">
      <c r="A124" s="2148">
        <f t="shared" si="2"/>
        <v>33</v>
      </c>
      <c r="B124" s="2153" t="s">
        <v>2692</v>
      </c>
      <c r="C124" s="2149">
        <v>231227.09</v>
      </c>
      <c r="D124" s="2150" t="s">
        <v>117</v>
      </c>
      <c r="E124" s="2151"/>
      <c r="F124" s="2136"/>
      <c r="G124" s="2136"/>
      <c r="H124" s="2136"/>
    </row>
    <row r="125" spans="1:10" ht="15.75" customHeight="1">
      <c r="A125" s="2148">
        <f t="shared" ref="A125:A141" si="3">A124+1</f>
        <v>34</v>
      </c>
      <c r="B125" s="2153" t="s">
        <v>2715</v>
      </c>
      <c r="C125" s="2149">
        <v>101052.67</v>
      </c>
      <c r="D125" s="2150" t="s">
        <v>89</v>
      </c>
      <c r="E125" s="2151"/>
      <c r="F125" s="2136"/>
      <c r="G125" s="2136"/>
      <c r="H125" s="2136"/>
    </row>
    <row r="126" spans="1:10" ht="15.75" customHeight="1">
      <c r="A126" s="2148">
        <f t="shared" si="3"/>
        <v>35</v>
      </c>
      <c r="B126" s="2153" t="s">
        <v>3218</v>
      </c>
      <c r="C126" s="2154">
        <v>336197.41</v>
      </c>
      <c r="D126" s="2150" t="s">
        <v>360</v>
      </c>
      <c r="E126" s="2151"/>
      <c r="F126" s="2136"/>
      <c r="G126" s="2136"/>
      <c r="H126" s="2136"/>
    </row>
    <row r="127" spans="1:10" ht="15.75" customHeight="1">
      <c r="A127" s="2148">
        <f t="shared" si="3"/>
        <v>36</v>
      </c>
      <c r="B127" s="2153" t="s">
        <v>2718</v>
      </c>
      <c r="C127" s="2154">
        <v>1600462.65</v>
      </c>
      <c r="D127" s="2150" t="s">
        <v>360</v>
      </c>
      <c r="E127" s="2151"/>
      <c r="F127" s="2136"/>
      <c r="G127" s="2136"/>
      <c r="H127" s="2136"/>
    </row>
    <row r="128" spans="1:10" ht="15.75" customHeight="1">
      <c r="A128" s="2148">
        <f t="shared" si="3"/>
        <v>37</v>
      </c>
      <c r="B128" s="2153" t="s">
        <v>2704</v>
      </c>
      <c r="C128" s="2154">
        <v>110328.4</v>
      </c>
      <c r="D128" s="2150" t="s">
        <v>117</v>
      </c>
      <c r="E128" s="2151"/>
      <c r="F128" s="2136"/>
      <c r="G128" s="2136"/>
      <c r="H128" s="2136"/>
    </row>
    <row r="129" spans="1:8" ht="15.75" customHeight="1">
      <c r="A129" s="2148">
        <f t="shared" si="3"/>
        <v>38</v>
      </c>
      <c r="B129" s="2153" t="s">
        <v>2693</v>
      </c>
      <c r="C129" s="2149">
        <v>6799.16</v>
      </c>
      <c r="D129" s="2150" t="s">
        <v>124</v>
      </c>
      <c r="E129" s="2151"/>
      <c r="F129" s="2136"/>
      <c r="G129" s="2136"/>
      <c r="H129" s="2136"/>
    </row>
    <row r="130" spans="1:8" ht="15.75" customHeight="1">
      <c r="A130" s="2148">
        <f t="shared" si="3"/>
        <v>39</v>
      </c>
      <c r="B130" s="2153" t="s">
        <v>2578</v>
      </c>
      <c r="C130" s="2149">
        <v>91933.71</v>
      </c>
      <c r="D130" s="2150" t="s">
        <v>100</v>
      </c>
      <c r="E130" s="2151"/>
      <c r="F130" s="2136"/>
      <c r="G130" s="2136"/>
      <c r="H130" s="2136"/>
    </row>
    <row r="131" spans="1:8" ht="15.75" customHeight="1">
      <c r="A131" s="2148">
        <f t="shared" si="3"/>
        <v>40</v>
      </c>
      <c r="B131" s="2153" t="s">
        <v>2578</v>
      </c>
      <c r="C131" s="2154">
        <v>50458.35</v>
      </c>
      <c r="D131" s="2150" t="s">
        <v>2579</v>
      </c>
      <c r="E131" s="2151"/>
      <c r="F131" s="2136"/>
      <c r="G131" s="2136"/>
      <c r="H131" s="2136"/>
    </row>
    <row r="132" spans="1:8" ht="15.75" customHeight="1">
      <c r="A132" s="2148">
        <f t="shared" si="3"/>
        <v>41</v>
      </c>
      <c r="B132" s="2153" t="s">
        <v>2705</v>
      </c>
      <c r="C132" s="2154">
        <v>27351.27</v>
      </c>
      <c r="D132" s="2150" t="s">
        <v>117</v>
      </c>
      <c r="E132" s="2151"/>
      <c r="F132" s="2136"/>
      <c r="G132" s="2136"/>
      <c r="H132" s="2136"/>
    </row>
    <row r="133" spans="1:8" ht="15.75" customHeight="1">
      <c r="A133" s="2148">
        <f t="shared" si="3"/>
        <v>42</v>
      </c>
      <c r="B133" s="2153" t="s">
        <v>2741</v>
      </c>
      <c r="C133" s="2154">
        <v>288587.40999999997</v>
      </c>
      <c r="D133" s="2150" t="s">
        <v>328</v>
      </c>
      <c r="E133" s="2151"/>
      <c r="F133" s="2136"/>
      <c r="G133" s="2136"/>
      <c r="H133" s="2136"/>
    </row>
    <row r="134" spans="1:8" ht="15.75" customHeight="1">
      <c r="A134" s="2148">
        <f t="shared" si="3"/>
        <v>43</v>
      </c>
      <c r="B134" s="2156" t="s">
        <v>667</v>
      </c>
      <c r="C134" s="2154">
        <v>17950.14</v>
      </c>
      <c r="D134" s="2150" t="s">
        <v>124</v>
      </c>
      <c r="E134" s="2151"/>
      <c r="F134" s="2136"/>
      <c r="G134" s="2136"/>
      <c r="H134" s="2136"/>
    </row>
    <row r="135" spans="1:8" ht="15.75" customHeight="1">
      <c r="A135" s="2148">
        <f t="shared" si="3"/>
        <v>44</v>
      </c>
      <c r="B135" s="2153" t="s">
        <v>3219</v>
      </c>
      <c r="C135" s="2154">
        <v>44140.02</v>
      </c>
      <c r="D135" s="2150" t="s">
        <v>313</v>
      </c>
      <c r="E135" s="2151"/>
      <c r="F135" s="2136"/>
      <c r="G135" s="2136"/>
      <c r="H135" s="2136"/>
    </row>
    <row r="136" spans="1:8" ht="15.75" customHeight="1">
      <c r="A136" s="2148">
        <f t="shared" si="3"/>
        <v>45</v>
      </c>
      <c r="B136" s="2156" t="s">
        <v>2475</v>
      </c>
      <c r="C136" s="2149">
        <v>1376018.59</v>
      </c>
      <c r="D136" s="2150" t="s">
        <v>313</v>
      </c>
      <c r="E136" s="2151"/>
      <c r="F136" s="2136"/>
      <c r="G136" s="2136"/>
      <c r="H136" s="2136"/>
    </row>
    <row r="137" spans="1:8" ht="15.75" customHeight="1">
      <c r="A137" s="2148">
        <f t="shared" si="3"/>
        <v>46</v>
      </c>
      <c r="B137" s="2153" t="s">
        <v>2573</v>
      </c>
      <c r="C137" s="2154">
        <v>690627.24</v>
      </c>
      <c r="D137" s="2150" t="s">
        <v>89</v>
      </c>
      <c r="E137" s="2151"/>
      <c r="F137" s="2136"/>
      <c r="G137" s="2136"/>
      <c r="H137" s="2136"/>
    </row>
    <row r="138" spans="1:8" ht="15.75" customHeight="1">
      <c r="A138" s="2148">
        <f t="shared" si="3"/>
        <v>47</v>
      </c>
      <c r="B138" s="2153" t="s">
        <v>2574</v>
      </c>
      <c r="C138" s="2154">
        <v>257014.08</v>
      </c>
      <c r="D138" s="2150" t="s">
        <v>888</v>
      </c>
      <c r="E138" s="2151"/>
      <c r="F138" s="2136"/>
      <c r="G138" s="2136"/>
      <c r="H138" s="2136"/>
    </row>
    <row r="139" spans="1:8" ht="15.75" customHeight="1">
      <c r="A139" s="2148">
        <f t="shared" si="3"/>
        <v>48</v>
      </c>
      <c r="B139" s="2153" t="s">
        <v>2575</v>
      </c>
      <c r="C139" s="2154">
        <v>147120.66</v>
      </c>
      <c r="D139" s="2150" t="s">
        <v>888</v>
      </c>
      <c r="E139" s="2151"/>
      <c r="F139" s="2136"/>
      <c r="G139" s="2136"/>
      <c r="H139" s="2136"/>
    </row>
    <row r="140" spans="1:8" ht="15.75" customHeight="1">
      <c r="A140" s="2148">
        <f t="shared" si="3"/>
        <v>49</v>
      </c>
      <c r="B140" s="2153" t="s">
        <v>2712</v>
      </c>
      <c r="C140" s="2149">
        <v>88450.68</v>
      </c>
      <c r="D140" s="2150" t="s">
        <v>89</v>
      </c>
      <c r="E140" s="2151"/>
      <c r="F140" s="2136"/>
      <c r="G140" s="2136"/>
      <c r="H140" s="2136"/>
    </row>
    <row r="141" spans="1:8" ht="15.75" customHeight="1">
      <c r="A141" s="2148">
        <f t="shared" si="3"/>
        <v>50</v>
      </c>
      <c r="B141" s="2153" t="s">
        <v>3220</v>
      </c>
      <c r="C141" s="2149">
        <v>82840.33</v>
      </c>
      <c r="D141" s="2150" t="s">
        <v>3221</v>
      </c>
      <c r="E141" s="2151"/>
      <c r="F141" s="2136"/>
      <c r="G141" s="2136"/>
      <c r="H141" s="2136"/>
    </row>
    <row r="142" spans="1:8" ht="15.75" customHeight="1">
      <c r="A142" s="2148"/>
      <c r="B142" s="2146"/>
      <c r="C142" s="2149"/>
      <c r="D142" s="2150"/>
      <c r="E142" s="2151"/>
      <c r="F142" s="2136"/>
      <c r="G142" s="2136"/>
      <c r="H142" s="2136"/>
    </row>
    <row r="143" spans="1:8" ht="15.75" customHeight="1">
      <c r="A143" s="2143" t="s">
        <v>979</v>
      </c>
      <c r="B143" s="2144" t="s">
        <v>3222</v>
      </c>
      <c r="C143" s="2149"/>
      <c r="D143" s="2150"/>
      <c r="E143" s="2151"/>
      <c r="F143" s="2136"/>
      <c r="G143" s="2136"/>
      <c r="H143" s="2136"/>
    </row>
    <row r="144" spans="1:8" ht="15.75" customHeight="1">
      <c r="A144" s="2148">
        <v>1</v>
      </c>
      <c r="B144" s="2146" t="s">
        <v>3223</v>
      </c>
      <c r="C144" s="2149">
        <v>89457.05</v>
      </c>
      <c r="D144" s="2150" t="s">
        <v>100</v>
      </c>
      <c r="E144" s="2151"/>
      <c r="F144" s="2136"/>
      <c r="G144" s="2136"/>
      <c r="H144" s="2136"/>
    </row>
    <row r="145" spans="1:8" ht="15.75" customHeight="1">
      <c r="A145" s="2148">
        <f t="shared" ref="A145:A176" si="4">A144+1</f>
        <v>2</v>
      </c>
      <c r="B145" s="2146" t="s">
        <v>3224</v>
      </c>
      <c r="C145" s="2149">
        <v>130147.26</v>
      </c>
      <c r="D145" s="2150" t="s">
        <v>100</v>
      </c>
      <c r="E145" s="2151"/>
      <c r="F145" s="2136"/>
      <c r="G145" s="2136"/>
      <c r="H145" s="2136"/>
    </row>
    <row r="146" spans="1:8" ht="15.75" customHeight="1">
      <c r="A146" s="2148">
        <f t="shared" si="4"/>
        <v>3</v>
      </c>
      <c r="B146" s="2146" t="s">
        <v>3225</v>
      </c>
      <c r="C146" s="2149">
        <v>138737.29999999999</v>
      </c>
      <c r="D146" s="2150" t="s">
        <v>100</v>
      </c>
      <c r="E146" s="2151"/>
      <c r="F146" s="2136"/>
      <c r="G146" s="2136"/>
      <c r="H146" s="2136"/>
    </row>
    <row r="147" spans="1:8" ht="15.75" customHeight="1">
      <c r="A147" s="2148">
        <f t="shared" si="4"/>
        <v>4</v>
      </c>
      <c r="B147" s="2153" t="s">
        <v>3226</v>
      </c>
      <c r="C147" s="2165">
        <v>153613.42000000001</v>
      </c>
      <c r="D147" s="2150" t="s">
        <v>100</v>
      </c>
      <c r="E147" s="2151"/>
      <c r="F147" s="2136"/>
      <c r="G147" s="2136"/>
      <c r="H147" s="2136"/>
    </row>
    <row r="148" spans="1:8" ht="15.75" customHeight="1">
      <c r="A148" s="2148">
        <f t="shared" si="4"/>
        <v>5</v>
      </c>
      <c r="B148" s="2153" t="s">
        <v>3227</v>
      </c>
      <c r="C148" s="2165">
        <v>188333.04</v>
      </c>
      <c r="D148" s="2150" t="s">
        <v>100</v>
      </c>
      <c r="E148" s="2151"/>
      <c r="F148" s="2136"/>
      <c r="G148" s="2136"/>
      <c r="H148" s="2136"/>
    </row>
    <row r="149" spans="1:8" ht="15.75" customHeight="1">
      <c r="A149" s="2148">
        <f t="shared" si="4"/>
        <v>6</v>
      </c>
      <c r="B149" s="2153" t="s">
        <v>2597</v>
      </c>
      <c r="C149" s="2165">
        <v>173819.11</v>
      </c>
      <c r="D149" s="2150" t="s">
        <v>100</v>
      </c>
      <c r="E149" s="2151"/>
      <c r="F149" s="2136"/>
      <c r="G149" s="2136"/>
      <c r="H149" s="2136"/>
    </row>
    <row r="150" spans="1:8" ht="15.75" customHeight="1">
      <c r="A150" s="2148">
        <f t="shared" si="4"/>
        <v>7</v>
      </c>
      <c r="B150" s="2153" t="s">
        <v>3228</v>
      </c>
      <c r="C150" s="2165">
        <v>100959.79</v>
      </c>
      <c r="D150" s="2150" t="s">
        <v>100</v>
      </c>
      <c r="E150" s="2151"/>
      <c r="F150" s="2136"/>
      <c r="G150" s="2136"/>
      <c r="H150" s="2136"/>
    </row>
    <row r="151" spans="1:8" ht="15.75" customHeight="1">
      <c r="A151" s="2148">
        <f t="shared" si="4"/>
        <v>8</v>
      </c>
      <c r="B151" s="2153" t="s">
        <v>3229</v>
      </c>
      <c r="C151" s="2149">
        <v>81495.94</v>
      </c>
      <c r="D151" s="2150" t="s">
        <v>100</v>
      </c>
      <c r="E151" s="2151"/>
      <c r="F151" s="2136"/>
      <c r="G151" s="2136"/>
      <c r="H151" s="2136"/>
    </row>
    <row r="152" spans="1:8" ht="15.75" customHeight="1">
      <c r="A152" s="2148">
        <f t="shared" si="4"/>
        <v>9</v>
      </c>
      <c r="B152" s="2153" t="s">
        <v>2601</v>
      </c>
      <c r="C152" s="2149">
        <v>101221.52</v>
      </c>
      <c r="D152" s="2150" t="s">
        <v>100</v>
      </c>
      <c r="E152" s="2151"/>
      <c r="F152" s="2136"/>
      <c r="G152" s="2136"/>
      <c r="H152" s="2136"/>
    </row>
    <row r="153" spans="1:8" ht="15.75" customHeight="1">
      <c r="A153" s="2148">
        <f t="shared" si="4"/>
        <v>10</v>
      </c>
      <c r="B153" s="2153" t="s">
        <v>2591</v>
      </c>
      <c r="C153" s="2166">
        <v>56228.41</v>
      </c>
      <c r="D153" s="2150" t="s">
        <v>100</v>
      </c>
      <c r="E153" s="2151"/>
      <c r="F153" s="2136"/>
      <c r="G153" s="2136"/>
      <c r="H153" s="2136"/>
    </row>
    <row r="154" spans="1:8" ht="15.75" customHeight="1">
      <c r="A154" s="2148">
        <f t="shared" si="4"/>
        <v>11</v>
      </c>
      <c r="B154" s="2153" t="s">
        <v>2592</v>
      </c>
      <c r="C154" s="2166">
        <v>61170.32</v>
      </c>
      <c r="D154" s="2150" t="s">
        <v>100</v>
      </c>
      <c r="E154" s="2151"/>
      <c r="F154" s="2136"/>
      <c r="G154" s="2136"/>
      <c r="H154" s="2136"/>
    </row>
    <row r="155" spans="1:8" ht="15.75" customHeight="1">
      <c r="A155" s="2148">
        <f t="shared" si="4"/>
        <v>12</v>
      </c>
      <c r="B155" s="2153" t="s">
        <v>2608</v>
      </c>
      <c r="C155" s="2166">
        <v>77420.009999999995</v>
      </c>
      <c r="D155" s="2150" t="s">
        <v>100</v>
      </c>
      <c r="E155" s="2151"/>
      <c r="F155" s="2136"/>
      <c r="G155" s="2136"/>
      <c r="H155" s="2136"/>
    </row>
    <row r="156" spans="1:8" ht="15.75" customHeight="1">
      <c r="A156" s="2148">
        <f t="shared" si="4"/>
        <v>13</v>
      </c>
      <c r="B156" s="2155" t="s">
        <v>2449</v>
      </c>
      <c r="C156" s="2149">
        <v>39870.31</v>
      </c>
      <c r="D156" s="2150" t="s">
        <v>2467</v>
      </c>
      <c r="E156" s="2151"/>
      <c r="F156" s="2136"/>
      <c r="G156" s="2136"/>
      <c r="H156" s="2136"/>
    </row>
    <row r="157" spans="1:8" ht="15.75" customHeight="1">
      <c r="A157" s="2148">
        <f t="shared" si="4"/>
        <v>14</v>
      </c>
      <c r="B157" s="2146" t="s">
        <v>3230</v>
      </c>
      <c r="C157" s="2149">
        <v>41399.300000000003</v>
      </c>
      <c r="D157" s="2150" t="s">
        <v>2467</v>
      </c>
      <c r="E157" s="2151"/>
      <c r="F157" s="2136"/>
      <c r="G157" s="2136"/>
      <c r="H157" s="2136"/>
    </row>
    <row r="158" spans="1:8" ht="15.75" customHeight="1">
      <c r="A158" s="2148">
        <f t="shared" si="4"/>
        <v>15</v>
      </c>
      <c r="B158" s="2146" t="s">
        <v>3231</v>
      </c>
      <c r="C158" s="2149">
        <v>38952.97</v>
      </c>
      <c r="D158" s="2150" t="s">
        <v>2467</v>
      </c>
      <c r="E158" s="2151"/>
      <c r="F158" s="2136"/>
      <c r="G158" s="2136"/>
      <c r="H158" s="2136"/>
    </row>
    <row r="159" spans="1:8" ht="15.75" customHeight="1">
      <c r="A159" s="2148">
        <f t="shared" si="4"/>
        <v>16</v>
      </c>
      <c r="B159" s="2146" t="s">
        <v>3232</v>
      </c>
      <c r="C159" s="2149">
        <v>3637.6</v>
      </c>
      <c r="D159" s="2150" t="s">
        <v>2086</v>
      </c>
      <c r="E159" s="2151"/>
      <c r="F159" s="2136"/>
      <c r="G159" s="2136"/>
      <c r="H159" s="2136"/>
    </row>
    <row r="160" spans="1:8" ht="15.75" customHeight="1">
      <c r="A160" s="2148">
        <f t="shared" si="4"/>
        <v>17</v>
      </c>
      <c r="B160" s="2146" t="s">
        <v>3233</v>
      </c>
      <c r="C160" s="2149">
        <v>1584.21</v>
      </c>
      <c r="D160" s="2150" t="s">
        <v>124</v>
      </c>
      <c r="E160" s="2151"/>
      <c r="F160" s="2136"/>
      <c r="G160" s="2136"/>
      <c r="H160" s="2136"/>
    </row>
    <row r="161" spans="1:8" ht="15.75" customHeight="1">
      <c r="A161" s="2148">
        <f t="shared" si="4"/>
        <v>18</v>
      </c>
      <c r="B161" s="2146" t="s">
        <v>3234</v>
      </c>
      <c r="C161" s="2149">
        <v>19101.68</v>
      </c>
      <c r="D161" s="2150" t="s">
        <v>100</v>
      </c>
      <c r="E161" s="2151"/>
      <c r="F161" s="2136"/>
      <c r="G161" s="2136"/>
      <c r="H161" s="2136"/>
    </row>
    <row r="162" spans="1:8" ht="15.75" customHeight="1">
      <c r="A162" s="2148">
        <f t="shared" si="4"/>
        <v>19</v>
      </c>
      <c r="B162" s="2146" t="s">
        <v>3235</v>
      </c>
      <c r="C162" s="2149">
        <v>40097.96</v>
      </c>
      <c r="D162" s="2150" t="s">
        <v>100</v>
      </c>
      <c r="E162" s="2151"/>
      <c r="F162" s="2136"/>
      <c r="G162" s="2136"/>
      <c r="H162" s="2136"/>
    </row>
    <row r="163" spans="1:8" ht="15.75" customHeight="1">
      <c r="A163" s="2148">
        <f t="shared" si="4"/>
        <v>20</v>
      </c>
      <c r="B163" s="2146" t="s">
        <v>3236</v>
      </c>
      <c r="C163" s="2149">
        <v>136498.23000000001</v>
      </c>
      <c r="D163" s="2150" t="s">
        <v>89</v>
      </c>
      <c r="E163" s="2151"/>
      <c r="F163" s="2136"/>
      <c r="G163" s="2136"/>
      <c r="H163" s="2136"/>
    </row>
    <row r="164" spans="1:8" ht="15.75" customHeight="1">
      <c r="A164" s="2148">
        <f t="shared" si="4"/>
        <v>21</v>
      </c>
      <c r="B164" s="2146" t="s">
        <v>3237</v>
      </c>
      <c r="C164" s="2149">
        <v>757588.45</v>
      </c>
      <c r="D164" s="2150" t="s">
        <v>89</v>
      </c>
      <c r="E164" s="2151"/>
      <c r="F164" s="2136"/>
      <c r="G164" s="2136"/>
      <c r="H164" s="2136"/>
    </row>
    <row r="165" spans="1:8" ht="15.75" customHeight="1">
      <c r="A165" s="2148">
        <f t="shared" si="4"/>
        <v>22</v>
      </c>
      <c r="B165" s="2146" t="s">
        <v>3238</v>
      </c>
      <c r="C165" s="2149">
        <v>149644.29</v>
      </c>
      <c r="D165" s="2150" t="s">
        <v>89</v>
      </c>
      <c r="E165" s="2151"/>
      <c r="F165" s="2136"/>
      <c r="G165" s="2136"/>
      <c r="H165" s="2136"/>
    </row>
    <row r="166" spans="1:8" ht="15.75" customHeight="1">
      <c r="A166" s="2148">
        <f t="shared" si="4"/>
        <v>23</v>
      </c>
      <c r="B166" s="2146" t="s">
        <v>3239</v>
      </c>
      <c r="C166" s="2149">
        <v>121414.62</v>
      </c>
      <c r="D166" s="2150" t="s">
        <v>89</v>
      </c>
      <c r="E166" s="2151"/>
      <c r="F166" s="2136"/>
      <c r="G166" s="2136"/>
      <c r="H166" s="2136"/>
    </row>
    <row r="167" spans="1:8" ht="15.75" customHeight="1">
      <c r="A167" s="2148">
        <f t="shared" si="4"/>
        <v>24</v>
      </c>
      <c r="B167" s="2146" t="s">
        <v>3240</v>
      </c>
      <c r="C167" s="2149">
        <v>231136.75</v>
      </c>
      <c r="D167" s="2150" t="s">
        <v>89</v>
      </c>
      <c r="E167" s="2151"/>
      <c r="F167" s="2136"/>
      <c r="G167" s="2136"/>
      <c r="H167" s="2136"/>
    </row>
    <row r="168" spans="1:8" ht="15.75" customHeight="1">
      <c r="A168" s="2148">
        <f t="shared" si="4"/>
        <v>25</v>
      </c>
      <c r="B168" s="2146" t="s">
        <v>3241</v>
      </c>
      <c r="C168" s="2149">
        <v>212122.04</v>
      </c>
      <c r="D168" s="2150" t="s">
        <v>89</v>
      </c>
      <c r="E168" s="2151"/>
      <c r="F168" s="2136"/>
      <c r="G168" s="2136"/>
      <c r="H168" s="2136"/>
    </row>
    <row r="169" spans="1:8" ht="15.75" customHeight="1">
      <c r="A169" s="2148">
        <f t="shared" si="4"/>
        <v>26</v>
      </c>
      <c r="B169" s="2146" t="s">
        <v>3242</v>
      </c>
      <c r="C169" s="2149">
        <v>112848.32000000001</v>
      </c>
      <c r="D169" s="2150" t="s">
        <v>89</v>
      </c>
      <c r="E169" s="2151"/>
      <c r="F169" s="2136"/>
      <c r="G169" s="2136"/>
      <c r="H169" s="2136"/>
    </row>
    <row r="170" spans="1:8" ht="15.75" customHeight="1">
      <c r="A170" s="2148">
        <f t="shared" si="4"/>
        <v>27</v>
      </c>
      <c r="B170" s="2156" t="s">
        <v>2633</v>
      </c>
      <c r="C170" s="2154">
        <v>304858.15000000002</v>
      </c>
      <c r="D170" s="2150" t="s">
        <v>89</v>
      </c>
      <c r="E170" s="2151"/>
      <c r="F170" s="2136"/>
      <c r="G170" s="2136"/>
      <c r="H170" s="2136"/>
    </row>
    <row r="171" spans="1:8" ht="15.75" customHeight="1">
      <c r="A171" s="2148">
        <f t="shared" si="4"/>
        <v>28</v>
      </c>
      <c r="B171" s="2146" t="s">
        <v>2658</v>
      </c>
      <c r="C171" s="2149">
        <v>274858.26</v>
      </c>
      <c r="D171" s="2150" t="s">
        <v>89</v>
      </c>
      <c r="E171" s="2151"/>
      <c r="F171" s="2136"/>
      <c r="G171" s="2136"/>
      <c r="H171" s="2136"/>
    </row>
    <row r="172" spans="1:8" ht="15.75" customHeight="1">
      <c r="A172" s="2148">
        <f t="shared" si="4"/>
        <v>29</v>
      </c>
      <c r="B172" s="2153" t="s">
        <v>3041</v>
      </c>
      <c r="C172" s="2149">
        <v>98284.21</v>
      </c>
      <c r="D172" s="2150" t="s">
        <v>89</v>
      </c>
      <c r="E172" s="2151"/>
      <c r="F172" s="2136"/>
      <c r="G172" s="2136"/>
      <c r="H172" s="2136"/>
    </row>
    <row r="173" spans="1:8" ht="15.75" customHeight="1">
      <c r="A173" s="2148">
        <f t="shared" si="4"/>
        <v>30</v>
      </c>
      <c r="B173" s="2153" t="s">
        <v>3042</v>
      </c>
      <c r="C173" s="2149">
        <v>122966.39</v>
      </c>
      <c r="D173" s="2150" t="s">
        <v>117</v>
      </c>
      <c r="E173" s="2151"/>
      <c r="F173" s="2136"/>
      <c r="G173" s="2136"/>
      <c r="H173" s="2136"/>
    </row>
    <row r="174" spans="1:8" ht="15.75" customHeight="1">
      <c r="A174" s="2148">
        <f t="shared" si="4"/>
        <v>31</v>
      </c>
      <c r="B174" s="2153" t="s">
        <v>3043</v>
      </c>
      <c r="C174" s="2149">
        <v>14540.45</v>
      </c>
      <c r="D174" s="2150" t="s">
        <v>3044</v>
      </c>
      <c r="E174" s="2151"/>
      <c r="F174" s="2136"/>
      <c r="G174" s="2136"/>
      <c r="H174" s="2136"/>
    </row>
    <row r="175" spans="1:8" ht="15.75" customHeight="1">
      <c r="A175" s="2148">
        <f t="shared" si="4"/>
        <v>32</v>
      </c>
      <c r="B175" s="2153" t="s">
        <v>3243</v>
      </c>
      <c r="C175" s="2149">
        <v>369578.41</v>
      </c>
      <c r="D175" s="2150" t="s">
        <v>3123</v>
      </c>
      <c r="E175" s="2151"/>
      <c r="F175" s="2136"/>
      <c r="G175" s="2136"/>
      <c r="H175" s="2136"/>
    </row>
    <row r="176" spans="1:8" ht="15.75" customHeight="1">
      <c r="A176" s="2148">
        <f t="shared" si="4"/>
        <v>33</v>
      </c>
      <c r="B176" s="2153" t="s">
        <v>350</v>
      </c>
      <c r="C176" s="2149">
        <v>43793.69</v>
      </c>
      <c r="D176" s="2150" t="s">
        <v>124</v>
      </c>
      <c r="E176" s="2151"/>
      <c r="F176" s="2136"/>
      <c r="G176" s="2136"/>
      <c r="H176" s="2136"/>
    </row>
    <row r="177" spans="1:8" ht="15.75" customHeight="1">
      <c r="A177" s="2148"/>
      <c r="B177" s="2146"/>
      <c r="C177" s="2149"/>
      <c r="D177" s="2150"/>
      <c r="E177" s="2151"/>
      <c r="F177" s="2136"/>
      <c r="G177" s="2136"/>
      <c r="H177" s="2136"/>
    </row>
    <row r="178" spans="1:8" ht="15.75" customHeight="1">
      <c r="A178" s="2143" t="s">
        <v>2093</v>
      </c>
      <c r="B178" s="2144" t="s">
        <v>3244</v>
      </c>
      <c r="C178" s="2149"/>
      <c r="D178" s="2150"/>
      <c r="E178" s="2151"/>
      <c r="F178" s="2136"/>
      <c r="G178" s="2136"/>
      <c r="H178" s="2136"/>
    </row>
    <row r="179" spans="1:8" ht="15.75" customHeight="1">
      <c r="A179" s="2148">
        <v>1</v>
      </c>
      <c r="B179" s="2146" t="s">
        <v>3245</v>
      </c>
      <c r="C179" s="2149">
        <v>289259.34000000003</v>
      </c>
      <c r="D179" s="2150" t="s">
        <v>2135</v>
      </c>
      <c r="E179" s="2151"/>
      <c r="F179" s="2136"/>
      <c r="G179" s="2136"/>
      <c r="H179" s="2136"/>
    </row>
    <row r="180" spans="1:8" ht="15.75" customHeight="1">
      <c r="A180" s="2148">
        <f t="shared" ref="A180:A185" si="5">A179+1</f>
        <v>2</v>
      </c>
      <c r="B180" s="2171" t="s">
        <v>2280</v>
      </c>
      <c r="C180" s="2149">
        <v>597874.71</v>
      </c>
      <c r="D180" s="2150" t="s">
        <v>2135</v>
      </c>
      <c r="E180" s="2151"/>
      <c r="F180" s="2136"/>
      <c r="G180" s="2136"/>
      <c r="H180" s="2136"/>
    </row>
    <row r="181" spans="1:8" ht="15.75" customHeight="1">
      <c r="A181" s="2148">
        <f t="shared" si="5"/>
        <v>3</v>
      </c>
      <c r="B181" s="2155" t="s">
        <v>2524</v>
      </c>
      <c r="C181" s="2149">
        <v>3592822.69</v>
      </c>
      <c r="D181" s="2150" t="s">
        <v>2135</v>
      </c>
      <c r="E181" s="2151"/>
      <c r="F181" s="2136"/>
      <c r="G181" s="2136"/>
      <c r="H181" s="2136"/>
    </row>
    <row r="182" spans="1:8" ht="15.75" customHeight="1">
      <c r="A182" s="2148">
        <f t="shared" si="5"/>
        <v>4</v>
      </c>
      <c r="B182" s="2155" t="s">
        <v>2527</v>
      </c>
      <c r="C182" s="2149">
        <v>44154.38</v>
      </c>
      <c r="D182" s="2150" t="s">
        <v>1340</v>
      </c>
      <c r="E182" s="2151"/>
      <c r="F182" s="2136"/>
      <c r="G182" s="2136"/>
      <c r="H182" s="2136"/>
    </row>
    <row r="183" spans="1:8" ht="15.75" customHeight="1">
      <c r="A183" s="2148">
        <f t="shared" si="5"/>
        <v>5</v>
      </c>
      <c r="B183" s="2155" t="s">
        <v>3246</v>
      </c>
      <c r="C183" s="2149">
        <v>359255.99</v>
      </c>
      <c r="D183" s="2150" t="s">
        <v>1340</v>
      </c>
      <c r="E183" s="2151"/>
      <c r="F183" s="2136"/>
      <c r="G183" s="2136"/>
      <c r="H183" s="2136"/>
    </row>
    <row r="184" spans="1:8" ht="15.75" customHeight="1">
      <c r="A184" s="2148">
        <f t="shared" si="5"/>
        <v>6</v>
      </c>
      <c r="B184" s="2155" t="s">
        <v>3247</v>
      </c>
      <c r="C184" s="2149">
        <v>1586201.5</v>
      </c>
      <c r="D184" s="2150" t="s">
        <v>1340</v>
      </c>
      <c r="E184" s="2151"/>
      <c r="F184" s="2136"/>
      <c r="G184" s="2136"/>
      <c r="H184" s="2136"/>
    </row>
    <row r="185" spans="1:8" ht="15.75" customHeight="1">
      <c r="A185" s="2148">
        <f t="shared" si="5"/>
        <v>7</v>
      </c>
      <c r="B185" s="2153" t="s">
        <v>3013</v>
      </c>
      <c r="C185" s="2149">
        <f>SUM(C186:C188)</f>
        <v>566526.5</v>
      </c>
      <c r="D185" s="2150" t="s">
        <v>1340</v>
      </c>
      <c r="E185" s="2151"/>
      <c r="F185" s="2136"/>
      <c r="G185" s="2136"/>
      <c r="H185" s="2136"/>
    </row>
    <row r="186" spans="1:8" ht="15.75" customHeight="1">
      <c r="A186" s="2174" t="s">
        <v>95</v>
      </c>
      <c r="B186" s="2153" t="s">
        <v>3248</v>
      </c>
      <c r="C186" s="2149">
        <v>299625.24</v>
      </c>
      <c r="D186" s="2150" t="s">
        <v>1340</v>
      </c>
      <c r="E186" s="2151"/>
      <c r="F186" s="2136"/>
      <c r="G186" s="2136"/>
      <c r="H186" s="2136"/>
    </row>
    <row r="187" spans="1:8" ht="15.75" customHeight="1">
      <c r="A187" s="2174" t="s">
        <v>98</v>
      </c>
      <c r="B187" s="2153" t="s">
        <v>3249</v>
      </c>
      <c r="C187" s="2149">
        <v>40204.54</v>
      </c>
      <c r="D187" s="2150" t="s">
        <v>1340</v>
      </c>
      <c r="E187" s="2151"/>
      <c r="F187" s="2136"/>
      <c r="G187" s="2136"/>
      <c r="H187" s="2136"/>
    </row>
    <row r="188" spans="1:8" ht="15.75" customHeight="1">
      <c r="A188" s="2174" t="s">
        <v>101</v>
      </c>
      <c r="B188" s="2153" t="s">
        <v>3250</v>
      </c>
      <c r="C188" s="2149">
        <v>226696.72</v>
      </c>
      <c r="D188" s="2150" t="s">
        <v>1340</v>
      </c>
      <c r="E188" s="2151"/>
      <c r="F188" s="2136"/>
      <c r="G188" s="2136"/>
      <c r="H188" s="2136"/>
    </row>
    <row r="189" spans="1:8" ht="15.75" customHeight="1">
      <c r="A189" s="2148">
        <f>A185+1</f>
        <v>8</v>
      </c>
      <c r="B189" s="2153" t="s">
        <v>3251</v>
      </c>
      <c r="C189" s="2149">
        <v>427843.09</v>
      </c>
      <c r="D189" s="2150" t="s">
        <v>1340</v>
      </c>
      <c r="E189" s="2151"/>
      <c r="F189" s="2136"/>
      <c r="G189" s="2136"/>
      <c r="H189" s="2136"/>
    </row>
    <row r="190" spans="1:8" ht="15.75" customHeight="1">
      <c r="A190" s="2148">
        <f>A189+1</f>
        <v>9</v>
      </c>
      <c r="B190" s="2153" t="s">
        <v>3017</v>
      </c>
      <c r="C190" s="2149">
        <v>1059950.6399999999</v>
      </c>
      <c r="D190" s="2150" t="s">
        <v>1340</v>
      </c>
      <c r="E190" s="2151"/>
      <c r="F190" s="2136"/>
      <c r="G190" s="2136"/>
      <c r="H190" s="2136"/>
    </row>
    <row r="191" spans="1:8" ht="15.75" customHeight="1">
      <c r="A191" s="2148">
        <f>A190+1</f>
        <v>10</v>
      </c>
      <c r="B191" s="2153" t="s">
        <v>3018</v>
      </c>
      <c r="C191" s="2149">
        <f>SUM(C192:C194)</f>
        <v>545923.07000000007</v>
      </c>
      <c r="D191" s="2150" t="s">
        <v>1340</v>
      </c>
      <c r="E191" s="2151"/>
      <c r="F191" s="2136"/>
      <c r="G191" s="2136"/>
      <c r="H191" s="2136"/>
    </row>
    <row r="192" spans="1:8" ht="15.75" customHeight="1">
      <c r="A192" s="2174" t="s">
        <v>95</v>
      </c>
      <c r="B192" s="2153" t="s">
        <v>3252</v>
      </c>
      <c r="C192" s="2149">
        <v>275110.07</v>
      </c>
      <c r="D192" s="2150" t="s">
        <v>1340</v>
      </c>
      <c r="E192" s="2151"/>
      <c r="F192" s="2136"/>
      <c r="G192" s="2136"/>
      <c r="H192" s="2136"/>
    </row>
    <row r="193" spans="1:8" ht="15.75" customHeight="1">
      <c r="A193" s="2174" t="s">
        <v>98</v>
      </c>
      <c r="B193" s="2153" t="s">
        <v>3249</v>
      </c>
      <c r="C193" s="2149">
        <v>36256.47</v>
      </c>
      <c r="D193" s="2150" t="s">
        <v>1340</v>
      </c>
      <c r="E193" s="2151"/>
      <c r="F193" s="2136"/>
      <c r="G193" s="2136"/>
      <c r="H193" s="2136"/>
    </row>
    <row r="194" spans="1:8" ht="15.75" customHeight="1">
      <c r="A194" s="2174" t="s">
        <v>101</v>
      </c>
      <c r="B194" s="2153" t="s">
        <v>3250</v>
      </c>
      <c r="C194" s="2149">
        <v>234556.53</v>
      </c>
      <c r="D194" s="2150" t="s">
        <v>1340</v>
      </c>
      <c r="E194" s="2151"/>
      <c r="F194" s="2136"/>
      <c r="G194" s="2136"/>
      <c r="H194" s="2136"/>
    </row>
    <row r="195" spans="1:8" ht="15.75" customHeight="1">
      <c r="A195" s="2148">
        <f>A191+1</f>
        <v>11</v>
      </c>
      <c r="B195" s="2155" t="s">
        <v>3253</v>
      </c>
      <c r="C195" s="2145">
        <v>80451.03</v>
      </c>
      <c r="D195" s="2150" t="s">
        <v>2135</v>
      </c>
      <c r="E195" s="2151"/>
      <c r="F195" s="2136"/>
      <c r="G195" s="2136"/>
      <c r="H195" s="2136"/>
    </row>
    <row r="196" spans="1:8" ht="15.75" customHeight="1">
      <c r="A196" s="2148">
        <f>A195+1</f>
        <v>12</v>
      </c>
      <c r="B196" s="2146" t="s">
        <v>3254</v>
      </c>
      <c r="C196" s="2149">
        <v>280990.84000000003</v>
      </c>
      <c r="D196" s="2150" t="s">
        <v>2135</v>
      </c>
      <c r="E196" s="2151"/>
      <c r="F196" s="2136"/>
      <c r="G196" s="2136"/>
      <c r="H196" s="2136"/>
    </row>
    <row r="197" spans="1:8" ht="15.75" customHeight="1">
      <c r="A197" s="2148">
        <f>A196+1</f>
        <v>13</v>
      </c>
      <c r="B197" s="2153" t="s">
        <v>364</v>
      </c>
      <c r="C197" s="2149">
        <f>SUM(C198:C200)</f>
        <v>2647343.91</v>
      </c>
      <c r="D197" s="2150"/>
      <c r="E197" s="2151"/>
      <c r="F197" s="2136"/>
      <c r="G197" s="2136"/>
      <c r="H197" s="2136"/>
    </row>
    <row r="198" spans="1:8" ht="15.75" customHeight="1">
      <c r="A198" s="2174" t="s">
        <v>95</v>
      </c>
      <c r="B198" s="2153" t="s">
        <v>3255</v>
      </c>
      <c r="C198" s="2149">
        <v>427326.83</v>
      </c>
      <c r="D198" s="2150" t="s">
        <v>2135</v>
      </c>
      <c r="E198" s="2151"/>
      <c r="F198" s="2136"/>
      <c r="G198" s="2136"/>
      <c r="H198" s="2136"/>
    </row>
    <row r="199" spans="1:8" ht="15.75" customHeight="1">
      <c r="A199" s="2174" t="s">
        <v>98</v>
      </c>
      <c r="B199" s="2153" t="s">
        <v>3249</v>
      </c>
      <c r="C199" s="2149">
        <v>294046.37</v>
      </c>
      <c r="D199" s="2150" t="s">
        <v>2135</v>
      </c>
      <c r="E199" s="2151"/>
      <c r="F199" s="2136"/>
      <c r="G199" s="2136"/>
      <c r="H199" s="2136"/>
    </row>
    <row r="200" spans="1:8" ht="15.75" customHeight="1">
      <c r="A200" s="2174" t="s">
        <v>101</v>
      </c>
      <c r="B200" s="2153" t="s">
        <v>3250</v>
      </c>
      <c r="C200" s="2149">
        <v>1925970.71</v>
      </c>
      <c r="D200" s="2150" t="s">
        <v>2135</v>
      </c>
      <c r="E200" s="2151"/>
      <c r="F200" s="2136"/>
      <c r="G200" s="2136"/>
      <c r="H200" s="2136"/>
    </row>
    <row r="201" spans="1:8" ht="15.75" customHeight="1">
      <c r="A201" s="2148">
        <f>A197+1</f>
        <v>14</v>
      </c>
      <c r="B201" s="2146" t="s">
        <v>362</v>
      </c>
      <c r="C201" s="2149">
        <v>357652.04</v>
      </c>
      <c r="D201" s="2150" t="s">
        <v>1340</v>
      </c>
      <c r="E201" s="2151"/>
      <c r="F201" s="2136"/>
      <c r="G201" s="2136"/>
      <c r="H201" s="2136"/>
    </row>
    <row r="202" spans="1:8" ht="15.75" customHeight="1">
      <c r="A202" s="2148">
        <f t="shared" ref="A202:A209" si="6">A201+1</f>
        <v>15</v>
      </c>
      <c r="B202" s="2153" t="s">
        <v>2956</v>
      </c>
      <c r="C202" s="2149">
        <v>621251.98</v>
      </c>
      <c r="D202" s="2150" t="s">
        <v>1340</v>
      </c>
      <c r="E202" s="2151"/>
      <c r="F202" s="2136"/>
      <c r="G202" s="2136"/>
      <c r="H202" s="2136"/>
    </row>
    <row r="203" spans="1:8" ht="15.75" customHeight="1">
      <c r="A203" s="2148">
        <f t="shared" si="6"/>
        <v>16</v>
      </c>
      <c r="B203" s="2146" t="s">
        <v>2959</v>
      </c>
      <c r="C203" s="2149">
        <v>214418737.91</v>
      </c>
      <c r="D203" s="2150" t="s">
        <v>360</v>
      </c>
      <c r="E203" s="2151"/>
      <c r="F203" s="2136"/>
      <c r="G203" s="2136"/>
      <c r="H203" s="2136"/>
    </row>
    <row r="204" spans="1:8" ht="15.75" customHeight="1">
      <c r="A204" s="2148">
        <f t="shared" si="6"/>
        <v>17</v>
      </c>
      <c r="B204" s="2146" t="s">
        <v>2963</v>
      </c>
      <c r="C204" s="2149">
        <v>18572438.239999998</v>
      </c>
      <c r="D204" s="2150" t="s">
        <v>360</v>
      </c>
      <c r="E204" s="2151"/>
      <c r="F204" s="2136"/>
      <c r="G204" s="2136"/>
      <c r="H204" s="2136"/>
    </row>
    <row r="205" spans="1:8" ht="15.75" customHeight="1">
      <c r="A205" s="2148">
        <f t="shared" si="6"/>
        <v>18</v>
      </c>
      <c r="B205" s="2153" t="s">
        <v>3256</v>
      </c>
      <c r="C205" s="2149">
        <v>230708.67</v>
      </c>
      <c r="D205" s="2150" t="s">
        <v>2281</v>
      </c>
      <c r="E205" s="2151"/>
      <c r="F205" s="2136"/>
      <c r="G205" s="2136"/>
      <c r="H205" s="2136"/>
    </row>
    <row r="206" spans="1:8" ht="15.75" customHeight="1">
      <c r="A206" s="2148">
        <f t="shared" si="6"/>
        <v>19</v>
      </c>
      <c r="B206" s="2153" t="s">
        <v>2134</v>
      </c>
      <c r="C206" s="2166">
        <v>105088.02</v>
      </c>
      <c r="D206" s="2150" t="s">
        <v>2135</v>
      </c>
      <c r="E206" s="2151"/>
      <c r="F206" s="2136"/>
      <c r="G206" s="2136"/>
      <c r="H206" s="2136"/>
    </row>
    <row r="207" spans="1:8" ht="15.75" customHeight="1">
      <c r="A207" s="2148">
        <f t="shared" si="6"/>
        <v>20</v>
      </c>
      <c r="B207" s="2153" t="s">
        <v>2136</v>
      </c>
      <c r="C207" s="2166">
        <v>157364.07</v>
      </c>
      <c r="D207" s="2150" t="s">
        <v>2135</v>
      </c>
      <c r="E207" s="2151"/>
      <c r="F207" s="2136"/>
      <c r="G207" s="2136"/>
      <c r="H207" s="2136"/>
    </row>
    <row r="208" spans="1:8" ht="15.75" customHeight="1">
      <c r="A208" s="2148">
        <f t="shared" si="6"/>
        <v>21</v>
      </c>
      <c r="B208" s="2153" t="s">
        <v>2408</v>
      </c>
      <c r="C208" s="2166">
        <v>428533.21</v>
      </c>
      <c r="D208" s="2150" t="s">
        <v>2281</v>
      </c>
      <c r="E208" s="2151"/>
      <c r="F208" s="2136"/>
      <c r="G208" s="2136"/>
      <c r="H208" s="2136"/>
    </row>
    <row r="209" spans="1:10" ht="27.75" customHeight="1">
      <c r="A209" s="2148">
        <f t="shared" si="6"/>
        <v>22</v>
      </c>
      <c r="B209" s="2175" t="s">
        <v>3257</v>
      </c>
      <c r="C209" s="2166">
        <f>SUM(C210:C212)</f>
        <v>970073.21</v>
      </c>
      <c r="D209" s="2150" t="s">
        <v>1340</v>
      </c>
      <c r="E209" s="2151"/>
      <c r="F209" s="2136"/>
      <c r="G209" s="2136"/>
      <c r="H209" s="2136"/>
      <c r="J209" s="2136"/>
    </row>
    <row r="210" spans="1:10" ht="15.75" customHeight="1">
      <c r="A210" s="2174" t="s">
        <v>95</v>
      </c>
      <c r="B210" s="2153" t="s">
        <v>3258</v>
      </c>
      <c r="C210" s="2149">
        <v>557038.18999999994</v>
      </c>
      <c r="D210" s="2150" t="s">
        <v>1340</v>
      </c>
      <c r="E210" s="2151"/>
      <c r="F210" s="2136"/>
      <c r="G210" s="2136"/>
      <c r="H210" s="2136"/>
      <c r="J210" s="2136"/>
    </row>
    <row r="211" spans="1:10" ht="15.75" customHeight="1">
      <c r="A211" s="2174" t="s">
        <v>98</v>
      </c>
      <c r="B211" s="2153" t="s">
        <v>3249</v>
      </c>
      <c r="C211" s="2149">
        <v>40010.559999999998</v>
      </c>
      <c r="D211" s="2150" t="s">
        <v>1340</v>
      </c>
      <c r="E211" s="2151"/>
      <c r="F211" s="2136"/>
      <c r="G211" s="2136"/>
      <c r="H211" s="2136"/>
      <c r="J211" s="2136"/>
    </row>
    <row r="212" spans="1:10" ht="15.75" customHeight="1">
      <c r="A212" s="2174" t="s">
        <v>101</v>
      </c>
      <c r="B212" s="2153" t="s">
        <v>3250</v>
      </c>
      <c r="C212" s="2149">
        <v>373024.46</v>
      </c>
      <c r="D212" s="2150" t="s">
        <v>1340</v>
      </c>
      <c r="E212" s="2151"/>
      <c r="F212" s="2136"/>
      <c r="G212" s="2136"/>
      <c r="H212" s="2136"/>
      <c r="J212" s="2136"/>
    </row>
    <row r="213" spans="1:10" ht="15.75" customHeight="1">
      <c r="A213" s="2148">
        <f>A209+1</f>
        <v>23</v>
      </c>
      <c r="B213" s="2153" t="s">
        <v>2388</v>
      </c>
      <c r="C213" s="2166">
        <f>-SUM(C214:C216)</f>
        <v>-754192.19</v>
      </c>
      <c r="D213" s="2150" t="s">
        <v>1340</v>
      </c>
      <c r="E213" s="2151"/>
      <c r="F213" s="2136"/>
      <c r="G213" s="2136"/>
      <c r="H213" s="2136"/>
    </row>
    <row r="214" spans="1:10" ht="15.75" customHeight="1">
      <c r="A214" s="2174" t="s">
        <v>95</v>
      </c>
      <c r="B214" s="2153" t="s">
        <v>3259</v>
      </c>
      <c r="C214" s="2166">
        <v>459839.97</v>
      </c>
      <c r="D214" s="2150" t="s">
        <v>1340</v>
      </c>
      <c r="E214" s="2151"/>
      <c r="F214" s="2136"/>
      <c r="G214" s="2136"/>
      <c r="H214" s="2136"/>
    </row>
    <row r="215" spans="1:10" ht="15.75" customHeight="1">
      <c r="A215" s="2174" t="s">
        <v>98</v>
      </c>
      <c r="B215" s="2153" t="s">
        <v>3249</v>
      </c>
      <c r="C215" s="2149">
        <v>38557.839999999997</v>
      </c>
      <c r="D215" s="2150" t="s">
        <v>1340</v>
      </c>
      <c r="E215" s="2151"/>
      <c r="F215" s="2136"/>
      <c r="G215" s="2136"/>
      <c r="H215" s="2136"/>
    </row>
    <row r="216" spans="1:10" ht="15.75" customHeight="1">
      <c r="A216" s="2174" t="s">
        <v>101</v>
      </c>
      <c r="B216" s="2153" t="s">
        <v>3250</v>
      </c>
      <c r="C216" s="2149">
        <v>255794.38</v>
      </c>
      <c r="D216" s="2150" t="s">
        <v>1340</v>
      </c>
      <c r="E216" s="2151"/>
      <c r="F216" s="2136"/>
      <c r="G216" s="2136"/>
      <c r="H216" s="2136"/>
    </row>
    <row r="217" spans="1:10" ht="15.75" customHeight="1">
      <c r="A217" s="2148">
        <f>A213+1</f>
        <v>24</v>
      </c>
      <c r="B217" s="2153" t="s">
        <v>2486</v>
      </c>
      <c r="C217" s="2166">
        <v>139128.13</v>
      </c>
      <c r="D217" s="2150" t="s">
        <v>2281</v>
      </c>
      <c r="E217" s="2151"/>
      <c r="F217" s="2176"/>
      <c r="G217" s="2136"/>
      <c r="H217" s="2136"/>
    </row>
    <row r="218" spans="1:10" ht="15.75" customHeight="1">
      <c r="A218" s="2148">
        <f>A217+1</f>
        <v>25</v>
      </c>
      <c r="B218" s="2153" t="s">
        <v>2487</v>
      </c>
      <c r="C218" s="2166">
        <v>131031.88</v>
      </c>
      <c r="D218" s="2150" t="s">
        <v>2281</v>
      </c>
      <c r="E218" s="2151"/>
      <c r="F218" s="2136"/>
      <c r="G218" s="2136"/>
      <c r="H218" s="2136"/>
    </row>
    <row r="219" spans="1:10" ht="15.75" customHeight="1">
      <c r="A219" s="2148">
        <f>A218+1</f>
        <v>26</v>
      </c>
      <c r="B219" s="2153" t="s">
        <v>3260</v>
      </c>
      <c r="C219" s="2166">
        <v>8584126.1099999994</v>
      </c>
      <c r="D219" s="2150" t="s">
        <v>2281</v>
      </c>
      <c r="E219" s="2151"/>
      <c r="F219" s="2136"/>
      <c r="G219" s="2136"/>
      <c r="H219" s="2136"/>
    </row>
    <row r="220" spans="1:10" ht="15.75" customHeight="1">
      <c r="A220" s="2148">
        <f>A219+1</f>
        <v>27</v>
      </c>
      <c r="B220" s="2146" t="s">
        <v>3261</v>
      </c>
      <c r="C220" s="2149">
        <v>14585.69</v>
      </c>
      <c r="D220" s="2150" t="s">
        <v>2467</v>
      </c>
      <c r="E220" s="2177"/>
      <c r="F220" s="2136"/>
      <c r="G220" s="2136"/>
      <c r="H220" s="2136"/>
    </row>
    <row r="221" spans="1:10" ht="15.75" customHeight="1">
      <c r="A221" s="2148">
        <f>A220+1</f>
        <v>28</v>
      </c>
      <c r="B221" s="2146" t="s">
        <v>3107</v>
      </c>
      <c r="C221" s="2149">
        <v>4079514.81</v>
      </c>
      <c r="D221" s="2150" t="s">
        <v>1340</v>
      </c>
      <c r="E221" s="2151"/>
      <c r="F221" s="2136"/>
      <c r="G221" s="2136"/>
      <c r="H221" s="2136"/>
    </row>
    <row r="222" spans="1:10" ht="15.75" customHeight="1">
      <c r="A222" s="2148"/>
      <c r="B222" s="2146"/>
      <c r="C222" s="2149"/>
      <c r="D222" s="2150"/>
      <c r="E222" s="2151"/>
      <c r="F222" s="2136"/>
      <c r="G222" s="2136"/>
      <c r="H222" s="2136"/>
    </row>
    <row r="223" spans="1:10" ht="15.75" customHeight="1">
      <c r="A223" s="2143" t="s">
        <v>2095</v>
      </c>
      <c r="B223" s="2144" t="s">
        <v>3262</v>
      </c>
      <c r="C223" s="2149"/>
      <c r="D223" s="2150"/>
      <c r="E223" s="2151"/>
      <c r="F223" s="2136"/>
      <c r="G223" s="2136"/>
      <c r="H223" s="2136"/>
    </row>
    <row r="224" spans="1:10" ht="15.75" customHeight="1">
      <c r="A224" s="2148">
        <v>1</v>
      </c>
      <c r="B224" s="2153" t="s">
        <v>2768</v>
      </c>
      <c r="C224" s="2149">
        <v>30391.22</v>
      </c>
      <c r="D224" s="2150" t="s">
        <v>888</v>
      </c>
      <c r="E224" s="2151"/>
      <c r="F224" s="2136"/>
      <c r="G224" s="2136"/>
      <c r="H224" s="2136"/>
    </row>
    <row r="225" spans="1:8" ht="15.75" customHeight="1">
      <c r="A225" s="2148">
        <f t="shared" ref="A225:A250" si="7">A224+1</f>
        <v>2</v>
      </c>
      <c r="B225" s="2153" t="s">
        <v>2767</v>
      </c>
      <c r="C225" s="2149">
        <v>15056.68</v>
      </c>
      <c r="D225" s="2150" t="s">
        <v>10</v>
      </c>
      <c r="E225" s="2151"/>
      <c r="F225" s="2136"/>
      <c r="G225" s="2136"/>
      <c r="H225" s="2136"/>
    </row>
    <row r="226" spans="1:8" ht="15.75" customHeight="1">
      <c r="A226" s="2148">
        <f t="shared" si="7"/>
        <v>3</v>
      </c>
      <c r="B226" s="2153" t="s">
        <v>2794</v>
      </c>
      <c r="C226" s="2149">
        <v>21013.200000000001</v>
      </c>
      <c r="D226" s="2150" t="s">
        <v>10</v>
      </c>
      <c r="E226" s="2151"/>
      <c r="F226" s="2136"/>
      <c r="G226" s="2136"/>
      <c r="H226" s="2136"/>
    </row>
    <row r="227" spans="1:8" ht="15.75" customHeight="1">
      <c r="A227" s="2148">
        <f t="shared" si="7"/>
        <v>4</v>
      </c>
      <c r="B227" s="2153" t="s">
        <v>2782</v>
      </c>
      <c r="C227" s="2149">
        <v>15255.77</v>
      </c>
      <c r="D227" s="2150" t="s">
        <v>10</v>
      </c>
      <c r="E227" s="2151"/>
      <c r="F227" s="2136"/>
      <c r="G227" s="2136"/>
      <c r="H227" s="2136"/>
    </row>
    <row r="228" spans="1:8" ht="15.75" customHeight="1">
      <c r="A228" s="2148">
        <f t="shared" si="7"/>
        <v>5</v>
      </c>
      <c r="B228" s="2153" t="s">
        <v>2796</v>
      </c>
      <c r="C228" s="2149">
        <v>32941.360000000001</v>
      </c>
      <c r="D228" s="2150" t="s">
        <v>10</v>
      </c>
      <c r="E228" s="2151"/>
      <c r="F228" s="2136"/>
      <c r="G228" s="2136"/>
      <c r="H228" s="2136"/>
    </row>
    <row r="229" spans="1:8" ht="15.75" customHeight="1">
      <c r="A229" s="2148">
        <f t="shared" si="7"/>
        <v>6</v>
      </c>
      <c r="B229" s="2153" t="s">
        <v>2784</v>
      </c>
      <c r="C229" s="2149">
        <v>46874.29</v>
      </c>
      <c r="D229" s="2150" t="s">
        <v>10</v>
      </c>
      <c r="E229" s="2151"/>
      <c r="F229" s="2136"/>
      <c r="G229" s="2136"/>
      <c r="H229" s="2136"/>
    </row>
    <row r="230" spans="1:8" ht="15.75" customHeight="1">
      <c r="A230" s="2148">
        <f t="shared" si="7"/>
        <v>7</v>
      </c>
      <c r="B230" s="2153" t="s">
        <v>2787</v>
      </c>
      <c r="C230" s="2149">
        <v>79934.84</v>
      </c>
      <c r="D230" s="2150" t="s">
        <v>10</v>
      </c>
      <c r="E230" s="2151"/>
      <c r="F230" s="2136"/>
      <c r="G230" s="2136"/>
      <c r="H230" s="2136"/>
    </row>
    <row r="231" spans="1:8" ht="15.75" customHeight="1">
      <c r="A231" s="2148">
        <f t="shared" si="7"/>
        <v>8</v>
      </c>
      <c r="B231" s="2153" t="s">
        <v>2789</v>
      </c>
      <c r="C231" s="2149">
        <v>18425.689999999999</v>
      </c>
      <c r="D231" s="2150" t="s">
        <v>10</v>
      </c>
      <c r="E231" s="2151"/>
      <c r="F231" s="2136"/>
      <c r="G231" s="2136"/>
      <c r="H231" s="2136"/>
    </row>
    <row r="232" spans="1:8" ht="15.75" customHeight="1">
      <c r="A232" s="2148">
        <f t="shared" si="7"/>
        <v>9</v>
      </c>
      <c r="B232" s="2153" t="s">
        <v>2791</v>
      </c>
      <c r="C232" s="2149">
        <v>26319.5</v>
      </c>
      <c r="D232" s="2150" t="s">
        <v>10</v>
      </c>
      <c r="E232" s="2151"/>
      <c r="F232" s="2136"/>
      <c r="G232" s="2136"/>
      <c r="H232" s="2136"/>
    </row>
    <row r="233" spans="1:8" ht="15.75" customHeight="1">
      <c r="A233" s="2148">
        <f t="shared" si="7"/>
        <v>10</v>
      </c>
      <c r="B233" s="2153" t="s">
        <v>2799</v>
      </c>
      <c r="C233" s="2149">
        <v>2149645.33</v>
      </c>
      <c r="D233" s="2150" t="s">
        <v>10</v>
      </c>
      <c r="E233" s="2151"/>
      <c r="F233" s="2136"/>
      <c r="G233" s="2136"/>
      <c r="H233" s="2136"/>
    </row>
    <row r="234" spans="1:8" ht="15.75" customHeight="1">
      <c r="A234" s="2148">
        <f t="shared" si="7"/>
        <v>11</v>
      </c>
      <c r="B234" s="2153" t="s">
        <v>3263</v>
      </c>
      <c r="C234" s="2149">
        <v>28352.01</v>
      </c>
      <c r="D234" s="2150" t="s">
        <v>124</v>
      </c>
      <c r="E234" s="2151"/>
      <c r="F234" s="2136"/>
      <c r="G234" s="2136"/>
      <c r="H234" s="2136"/>
    </row>
    <row r="235" spans="1:8" ht="15.75" customHeight="1">
      <c r="A235" s="2148">
        <f t="shared" si="7"/>
        <v>12</v>
      </c>
      <c r="B235" s="2153" t="s">
        <v>3264</v>
      </c>
      <c r="C235" s="2149">
        <v>44420.19</v>
      </c>
      <c r="D235" s="2150" t="s">
        <v>124</v>
      </c>
      <c r="E235" s="2151"/>
      <c r="F235" s="2136"/>
      <c r="G235" s="2136"/>
      <c r="H235" s="2136"/>
    </row>
    <row r="236" spans="1:8" ht="15.75" customHeight="1">
      <c r="A236" s="2148">
        <f t="shared" si="7"/>
        <v>13</v>
      </c>
      <c r="B236" s="2153" t="s">
        <v>3265</v>
      </c>
      <c r="C236" s="2149">
        <v>63023.040000000001</v>
      </c>
      <c r="D236" s="2150" t="s">
        <v>124</v>
      </c>
      <c r="E236" s="2151"/>
      <c r="F236" s="2136"/>
      <c r="G236" s="2136"/>
      <c r="H236" s="2136"/>
    </row>
    <row r="237" spans="1:8" ht="15.75" customHeight="1">
      <c r="A237" s="2148">
        <f t="shared" si="7"/>
        <v>14</v>
      </c>
      <c r="B237" s="2153" t="s">
        <v>3266</v>
      </c>
      <c r="C237" s="2149">
        <v>89695.73</v>
      </c>
      <c r="D237" s="2150" t="s">
        <v>124</v>
      </c>
      <c r="E237" s="2151"/>
      <c r="F237" s="2136"/>
      <c r="G237" s="2136"/>
      <c r="H237" s="2136"/>
    </row>
    <row r="238" spans="1:8" ht="15.75" customHeight="1">
      <c r="A238" s="2148">
        <f t="shared" si="7"/>
        <v>15</v>
      </c>
      <c r="B238" s="2153" t="s">
        <v>3267</v>
      </c>
      <c r="C238" s="2149">
        <v>51437.42</v>
      </c>
      <c r="D238" s="2150" t="s">
        <v>124</v>
      </c>
      <c r="E238" s="2151"/>
      <c r="F238" s="2136"/>
      <c r="G238" s="2136"/>
      <c r="H238" s="2136"/>
    </row>
    <row r="239" spans="1:8" ht="15.75" customHeight="1">
      <c r="A239" s="2148">
        <f t="shared" si="7"/>
        <v>16</v>
      </c>
      <c r="B239" s="2153" t="s">
        <v>3268</v>
      </c>
      <c r="C239" s="2149">
        <v>8255.2000000000007</v>
      </c>
      <c r="D239" s="2150" t="s">
        <v>124</v>
      </c>
      <c r="E239" s="2151"/>
      <c r="F239" s="2136"/>
      <c r="G239" s="2136"/>
      <c r="H239" s="2136"/>
    </row>
    <row r="240" spans="1:8" ht="15.75" customHeight="1">
      <c r="A240" s="2148">
        <f t="shared" si="7"/>
        <v>17</v>
      </c>
      <c r="B240" s="2153" t="s">
        <v>2769</v>
      </c>
      <c r="C240" s="2149">
        <v>3415.12</v>
      </c>
      <c r="D240" s="2150" t="s">
        <v>124</v>
      </c>
      <c r="E240" s="2151"/>
      <c r="F240" s="2136"/>
      <c r="G240" s="2136"/>
      <c r="H240" s="2136"/>
    </row>
    <row r="241" spans="1:8" ht="15.75" customHeight="1">
      <c r="A241" s="2148">
        <f t="shared" si="7"/>
        <v>18</v>
      </c>
      <c r="B241" s="2153" t="s">
        <v>2770</v>
      </c>
      <c r="C241" s="2149">
        <v>1085.1400000000001</v>
      </c>
      <c r="D241" s="2150" t="s">
        <v>124</v>
      </c>
      <c r="E241" s="2151"/>
      <c r="F241" s="2136"/>
      <c r="G241" s="2136"/>
      <c r="H241" s="2136"/>
    </row>
    <row r="242" spans="1:8" ht="15.75" customHeight="1">
      <c r="A242" s="2148">
        <f t="shared" si="7"/>
        <v>19</v>
      </c>
      <c r="B242" s="2153" t="s">
        <v>3269</v>
      </c>
      <c r="C242" s="2149">
        <v>1326.89</v>
      </c>
      <c r="D242" s="2150" t="s">
        <v>124</v>
      </c>
      <c r="E242" s="2151"/>
      <c r="F242" s="2136"/>
      <c r="G242" s="2136"/>
      <c r="H242" s="2136"/>
    </row>
    <row r="243" spans="1:8" ht="15.75" customHeight="1">
      <c r="A243" s="2148">
        <f t="shared" si="7"/>
        <v>20</v>
      </c>
      <c r="B243" s="2153" t="s">
        <v>2780</v>
      </c>
      <c r="C243" s="2149">
        <v>1317.96</v>
      </c>
      <c r="D243" s="2150" t="s">
        <v>124</v>
      </c>
      <c r="E243" s="2151"/>
      <c r="F243" s="2136"/>
      <c r="G243" s="2136"/>
      <c r="H243" s="2136"/>
    </row>
    <row r="244" spans="1:8" ht="15.75" customHeight="1">
      <c r="A244" s="2148">
        <f t="shared" si="7"/>
        <v>21</v>
      </c>
      <c r="B244" s="2153" t="s">
        <v>3270</v>
      </c>
      <c r="C244" s="2149">
        <v>12546.27</v>
      </c>
      <c r="D244" s="2150" t="s">
        <v>124</v>
      </c>
      <c r="E244" s="2151"/>
      <c r="F244" s="2136"/>
      <c r="G244" s="2136"/>
      <c r="H244" s="2136"/>
    </row>
    <row r="245" spans="1:8" ht="15.75" customHeight="1">
      <c r="A245" s="2148">
        <f t="shared" si="7"/>
        <v>22</v>
      </c>
      <c r="B245" s="2153" t="s">
        <v>2773</v>
      </c>
      <c r="C245" s="2149">
        <v>319.48</v>
      </c>
      <c r="D245" s="2150" t="s">
        <v>124</v>
      </c>
      <c r="E245" s="2151"/>
      <c r="F245" s="2136"/>
      <c r="G245" s="2136"/>
      <c r="H245" s="2136"/>
    </row>
    <row r="246" spans="1:8" ht="15.75" customHeight="1">
      <c r="A246" s="2148">
        <f t="shared" si="7"/>
        <v>23</v>
      </c>
      <c r="B246" s="2153" t="s">
        <v>2775</v>
      </c>
      <c r="C246" s="2149">
        <v>3951.86</v>
      </c>
      <c r="D246" s="2150" t="s">
        <v>10</v>
      </c>
      <c r="E246" s="2151"/>
      <c r="F246" s="2136"/>
      <c r="G246" s="2136"/>
      <c r="H246" s="2136"/>
    </row>
    <row r="247" spans="1:8" ht="15.75" customHeight="1">
      <c r="A247" s="2148">
        <f t="shared" si="7"/>
        <v>24</v>
      </c>
      <c r="B247" s="2153" t="s">
        <v>3271</v>
      </c>
      <c r="C247" s="2149">
        <v>8720.84</v>
      </c>
      <c r="D247" s="2150" t="s">
        <v>124</v>
      </c>
      <c r="E247" s="2151"/>
      <c r="F247" s="2136"/>
      <c r="G247" s="2136"/>
      <c r="H247" s="2136"/>
    </row>
    <row r="248" spans="1:8" ht="15.75" customHeight="1">
      <c r="A248" s="2148">
        <f t="shared" si="7"/>
        <v>25</v>
      </c>
      <c r="B248" s="2153" t="s">
        <v>2827</v>
      </c>
      <c r="C248" s="2154">
        <v>299851.18</v>
      </c>
      <c r="D248" s="2150" t="s">
        <v>124</v>
      </c>
      <c r="E248" s="2151"/>
      <c r="F248" s="2136"/>
      <c r="G248" s="2136"/>
      <c r="H248" s="2136"/>
    </row>
    <row r="249" spans="1:8" ht="15.75" customHeight="1">
      <c r="A249" s="2148">
        <f t="shared" si="7"/>
        <v>26</v>
      </c>
      <c r="B249" s="2153" t="s">
        <v>3272</v>
      </c>
      <c r="C249" s="2154">
        <v>142445.26999999999</v>
      </c>
      <c r="D249" s="2150" t="s">
        <v>124</v>
      </c>
      <c r="E249" s="2151"/>
      <c r="F249" s="2136"/>
      <c r="G249" s="2136"/>
      <c r="H249" s="2136"/>
    </row>
    <row r="250" spans="1:8" ht="15.75" customHeight="1">
      <c r="A250" s="2148">
        <f t="shared" si="7"/>
        <v>27</v>
      </c>
      <c r="B250" s="2153" t="s">
        <v>3273</v>
      </c>
      <c r="C250" s="2154"/>
      <c r="D250" s="2150"/>
      <c r="E250" s="2151"/>
      <c r="F250" s="2136"/>
      <c r="G250" s="2136"/>
      <c r="H250" s="2136"/>
    </row>
    <row r="251" spans="1:8" ht="15.75" customHeight="1">
      <c r="A251" s="2148"/>
      <c r="B251" s="2153" t="s">
        <v>688</v>
      </c>
      <c r="C251" s="2154">
        <v>435670.53</v>
      </c>
      <c r="D251" s="2150" t="s">
        <v>124</v>
      </c>
      <c r="E251" s="2151"/>
      <c r="F251" s="2136"/>
      <c r="G251" s="2136"/>
      <c r="H251" s="2136"/>
    </row>
    <row r="252" spans="1:8" ht="15.75" customHeight="1">
      <c r="A252" s="2148"/>
      <c r="B252" s="2156" t="s">
        <v>689</v>
      </c>
      <c r="C252" s="2154">
        <v>801566.62</v>
      </c>
      <c r="D252" s="2150" t="s">
        <v>3274</v>
      </c>
      <c r="E252" s="2151"/>
      <c r="F252" s="2136"/>
      <c r="G252" s="2136"/>
      <c r="H252" s="2136"/>
    </row>
    <row r="253" spans="1:8" ht="15.75" customHeight="1">
      <c r="A253" s="2148"/>
      <c r="B253" s="2156" t="s">
        <v>466</v>
      </c>
      <c r="C253" s="2178">
        <v>101000.46</v>
      </c>
      <c r="D253" s="2150" t="s">
        <v>124</v>
      </c>
      <c r="E253" s="2151"/>
      <c r="F253" s="2136"/>
      <c r="G253" s="2136"/>
      <c r="H253" s="2136"/>
    </row>
    <row r="254" spans="1:8" ht="15.75" customHeight="1">
      <c r="A254" s="2148"/>
      <c r="B254" s="2153"/>
      <c r="C254" s="2154">
        <f>SUM(C251:C253)</f>
        <v>1338237.6099999999</v>
      </c>
      <c r="D254" s="2150" t="s">
        <v>360</v>
      </c>
      <c r="E254" s="2151"/>
      <c r="F254" s="2136"/>
      <c r="G254" s="2136"/>
      <c r="H254" s="2136"/>
    </row>
    <row r="255" spans="1:8" ht="15.75" customHeight="1">
      <c r="A255" s="2148">
        <f>A250+1</f>
        <v>28</v>
      </c>
      <c r="B255" s="2153" t="s">
        <v>3275</v>
      </c>
      <c r="C255" s="2154"/>
      <c r="D255" s="2150"/>
      <c r="E255" s="2151"/>
      <c r="F255" s="2136"/>
      <c r="G255" s="2136"/>
      <c r="H255" s="2136"/>
    </row>
    <row r="256" spans="1:8" ht="15.75" customHeight="1">
      <c r="A256" s="2148"/>
      <c r="B256" s="2153" t="s">
        <v>464</v>
      </c>
      <c r="C256" s="2154">
        <v>258561.18</v>
      </c>
      <c r="D256" s="2150" t="s">
        <v>124</v>
      </c>
      <c r="E256" s="2151"/>
      <c r="F256" s="2136"/>
      <c r="G256" s="2136"/>
      <c r="H256" s="2136"/>
    </row>
    <row r="257" spans="1:14" ht="15.75" customHeight="1">
      <c r="A257" s="2148"/>
      <c r="B257" s="2156" t="s">
        <v>465</v>
      </c>
      <c r="C257" s="2154">
        <v>251912.38</v>
      </c>
      <c r="D257" s="2150" t="s">
        <v>3276</v>
      </c>
      <c r="E257" s="2151"/>
      <c r="F257" s="2136"/>
      <c r="G257" s="2136"/>
      <c r="H257" s="2136"/>
    </row>
    <row r="258" spans="1:14" ht="15.75" customHeight="1">
      <c r="A258" s="2148"/>
      <c r="B258" s="2156" t="s">
        <v>466</v>
      </c>
      <c r="C258" s="2178">
        <v>104507.18</v>
      </c>
      <c r="D258" s="2150" t="s">
        <v>124</v>
      </c>
      <c r="E258" s="2151"/>
      <c r="F258" s="2136"/>
      <c r="G258" s="2136"/>
      <c r="H258" s="2136"/>
    </row>
    <row r="259" spans="1:14" ht="15.75" customHeight="1">
      <c r="A259" s="2148"/>
      <c r="B259" s="2153"/>
      <c r="C259" s="2154">
        <f>SUM(C256:C258)</f>
        <v>614980.74</v>
      </c>
      <c r="D259" s="2150" t="s">
        <v>360</v>
      </c>
      <c r="E259" s="2151"/>
      <c r="F259" s="2136"/>
      <c r="G259" s="2136"/>
      <c r="H259" s="2136"/>
    </row>
    <row r="260" spans="1:14" ht="15.75" customHeight="1">
      <c r="A260" s="2148">
        <f>A255+1</f>
        <v>29</v>
      </c>
      <c r="B260" s="2153" t="s">
        <v>3277</v>
      </c>
      <c r="C260" s="2154">
        <v>2032979.59</v>
      </c>
      <c r="D260" s="2150" t="s">
        <v>124</v>
      </c>
      <c r="E260" s="2151"/>
      <c r="F260" s="2136"/>
      <c r="G260" s="2136"/>
      <c r="H260" s="2136"/>
    </row>
    <row r="261" spans="1:14" ht="15.75" customHeight="1">
      <c r="A261" s="2148">
        <f t="shared" ref="A261:A292" si="8">A260+1</f>
        <v>30</v>
      </c>
      <c r="B261" s="2153" t="s">
        <v>3278</v>
      </c>
      <c r="C261" s="2154">
        <v>1245737.49</v>
      </c>
      <c r="D261" s="2150" t="s">
        <v>124</v>
      </c>
      <c r="E261" s="2151"/>
      <c r="F261" s="2136"/>
      <c r="G261" s="2136"/>
      <c r="H261" s="2136"/>
    </row>
    <row r="262" spans="1:14" ht="15.75" customHeight="1">
      <c r="A262" s="2148">
        <f t="shared" si="8"/>
        <v>31</v>
      </c>
      <c r="B262" s="2153" t="s">
        <v>2849</v>
      </c>
      <c r="C262" s="2154">
        <v>3407055.86</v>
      </c>
      <c r="D262" s="2150" t="s">
        <v>360</v>
      </c>
      <c r="E262" s="2151"/>
      <c r="F262" s="2136"/>
      <c r="G262" s="2136"/>
      <c r="H262" s="2136"/>
    </row>
    <row r="263" spans="1:14" ht="27.75" customHeight="1">
      <c r="A263" s="2148">
        <f t="shared" si="8"/>
        <v>32</v>
      </c>
      <c r="B263" s="2175" t="s">
        <v>3279</v>
      </c>
      <c r="C263" s="2154">
        <v>6209965.4199999999</v>
      </c>
      <c r="D263" s="2150" t="s">
        <v>360</v>
      </c>
      <c r="E263" s="2151"/>
      <c r="F263" s="2136"/>
      <c r="G263" s="2136"/>
      <c r="H263" s="2136"/>
    </row>
    <row r="264" spans="1:14" ht="15.75" customHeight="1">
      <c r="A264" s="2148">
        <f t="shared" si="8"/>
        <v>33</v>
      </c>
      <c r="B264" s="2153" t="s">
        <v>3280</v>
      </c>
      <c r="C264" s="2154">
        <v>4757114.3600000003</v>
      </c>
      <c r="D264" s="2150" t="s">
        <v>360</v>
      </c>
      <c r="E264" s="2151"/>
      <c r="F264" s="2136"/>
      <c r="G264" s="2179"/>
      <c r="H264" s="2136"/>
      <c r="I264" s="2179"/>
      <c r="K264" s="2179"/>
      <c r="N264" s="2179"/>
    </row>
    <row r="265" spans="1:14" ht="15.75" customHeight="1">
      <c r="A265" s="2148">
        <f t="shared" si="8"/>
        <v>34</v>
      </c>
      <c r="B265" s="2153" t="s">
        <v>3281</v>
      </c>
      <c r="C265" s="2154">
        <v>3265997.62</v>
      </c>
      <c r="D265" s="2150" t="s">
        <v>360</v>
      </c>
      <c r="E265" s="2151"/>
      <c r="F265" s="2136"/>
      <c r="G265" s="2179"/>
      <c r="H265" s="2136"/>
      <c r="I265" s="2179"/>
      <c r="K265" s="2179"/>
      <c r="N265" s="2179"/>
    </row>
    <row r="266" spans="1:14" ht="15.75" customHeight="1">
      <c r="A266" s="2148">
        <f t="shared" si="8"/>
        <v>35</v>
      </c>
      <c r="B266" s="2153" t="s">
        <v>2872</v>
      </c>
      <c r="C266" s="2154">
        <v>4267907.3600000003</v>
      </c>
      <c r="D266" s="2150" t="s">
        <v>360</v>
      </c>
      <c r="E266" s="2151"/>
      <c r="F266" s="2136"/>
      <c r="G266" s="2179"/>
      <c r="H266" s="2136"/>
      <c r="I266" s="2179"/>
      <c r="K266" s="2179"/>
      <c r="N266" s="2179"/>
    </row>
    <row r="267" spans="1:14" ht="15.75" customHeight="1">
      <c r="A267" s="2148">
        <f t="shared" si="8"/>
        <v>36</v>
      </c>
      <c r="B267" s="2153" t="s">
        <v>3282</v>
      </c>
      <c r="C267" s="2154">
        <v>1980394.68</v>
      </c>
      <c r="D267" s="2150" t="s">
        <v>360</v>
      </c>
      <c r="E267" s="2151"/>
      <c r="F267" s="2136"/>
      <c r="G267" s="2136"/>
      <c r="H267" s="2136"/>
    </row>
    <row r="268" spans="1:14" ht="15.75" customHeight="1">
      <c r="A268" s="2148">
        <f t="shared" si="8"/>
        <v>37</v>
      </c>
      <c r="B268" s="2153" t="s">
        <v>3283</v>
      </c>
      <c r="C268" s="2154">
        <v>1635733.84</v>
      </c>
      <c r="D268" s="2150" t="s">
        <v>117</v>
      </c>
      <c r="E268" s="2151"/>
      <c r="F268" s="2136"/>
      <c r="G268" s="2136"/>
      <c r="H268" s="2136"/>
    </row>
    <row r="269" spans="1:14" ht="15.75" customHeight="1">
      <c r="A269" s="2148">
        <f t="shared" si="8"/>
        <v>38</v>
      </c>
      <c r="B269" s="2153" t="s">
        <v>3284</v>
      </c>
      <c r="C269" s="2154">
        <v>878670.25</v>
      </c>
      <c r="D269" s="2150" t="s">
        <v>117</v>
      </c>
      <c r="E269" s="2151"/>
      <c r="F269" s="2136"/>
      <c r="G269" s="2136"/>
      <c r="H269" s="2136"/>
    </row>
    <row r="270" spans="1:14" ht="15.75" customHeight="1">
      <c r="A270" s="2148">
        <f t="shared" si="8"/>
        <v>39</v>
      </c>
      <c r="B270" s="2153" t="s">
        <v>3285</v>
      </c>
      <c r="C270" s="2154">
        <v>434418.52</v>
      </c>
      <c r="D270" s="2150" t="s">
        <v>117</v>
      </c>
      <c r="E270" s="2151"/>
      <c r="F270" s="2136"/>
      <c r="G270" s="2136"/>
      <c r="H270" s="2136"/>
    </row>
    <row r="271" spans="1:14" ht="15.75" customHeight="1">
      <c r="A271" s="2148">
        <f t="shared" si="8"/>
        <v>40</v>
      </c>
      <c r="B271" s="2153" t="s">
        <v>3286</v>
      </c>
      <c r="C271" s="2149">
        <v>499215.08</v>
      </c>
      <c r="D271" s="2150" t="s">
        <v>888</v>
      </c>
      <c r="E271" s="2151"/>
      <c r="F271" s="2176"/>
      <c r="G271" s="2136"/>
      <c r="H271" s="2136"/>
    </row>
    <row r="272" spans="1:14" ht="15.75" customHeight="1">
      <c r="A272" s="2148">
        <f t="shared" si="8"/>
        <v>41</v>
      </c>
      <c r="B272" s="2153" t="s">
        <v>3287</v>
      </c>
      <c r="C272" s="2149">
        <v>248540.16</v>
      </c>
      <c r="D272" s="2150" t="s">
        <v>888</v>
      </c>
      <c r="E272" s="2151"/>
      <c r="F272" s="2136"/>
      <c r="G272" s="2136"/>
      <c r="H272" s="2136"/>
    </row>
    <row r="273" spans="1:12" ht="15.75" customHeight="1">
      <c r="A273" s="2148">
        <f t="shared" si="8"/>
        <v>42</v>
      </c>
      <c r="B273" s="2153" t="s">
        <v>3288</v>
      </c>
      <c r="C273" s="2149">
        <v>57184.17</v>
      </c>
      <c r="D273" s="2150" t="s">
        <v>888</v>
      </c>
      <c r="E273" s="2151"/>
      <c r="F273" s="2136"/>
      <c r="G273" s="2136"/>
      <c r="H273" s="2136"/>
    </row>
    <row r="274" spans="1:12" ht="15.75" customHeight="1">
      <c r="A274" s="2148">
        <f t="shared" si="8"/>
        <v>43</v>
      </c>
      <c r="B274" s="2153" t="s">
        <v>3289</v>
      </c>
      <c r="C274" s="2149">
        <v>31574.66</v>
      </c>
      <c r="D274" s="2150" t="s">
        <v>888</v>
      </c>
      <c r="E274" s="2151"/>
      <c r="F274" s="2136"/>
      <c r="G274" s="2136"/>
      <c r="H274" s="2136"/>
    </row>
    <row r="275" spans="1:12" ht="15.75" customHeight="1">
      <c r="A275" s="2148">
        <f t="shared" si="8"/>
        <v>44</v>
      </c>
      <c r="B275" s="2153" t="s">
        <v>3290</v>
      </c>
      <c r="C275" s="2149">
        <v>26748.44</v>
      </c>
      <c r="D275" s="2150" t="s">
        <v>888</v>
      </c>
      <c r="E275" s="2151"/>
      <c r="F275" s="2136"/>
      <c r="G275" s="2136"/>
      <c r="H275" s="2136"/>
    </row>
    <row r="276" spans="1:12" ht="15.75" customHeight="1">
      <c r="A276" s="2148">
        <f t="shared" si="8"/>
        <v>45</v>
      </c>
      <c r="B276" s="2153" t="s">
        <v>2895</v>
      </c>
      <c r="C276" s="2149">
        <v>137583.67999999999</v>
      </c>
      <c r="D276" s="2150" t="s">
        <v>117</v>
      </c>
      <c r="E276" s="2151"/>
      <c r="F276" s="2136"/>
      <c r="G276" s="2136"/>
      <c r="H276" s="2136"/>
    </row>
    <row r="277" spans="1:12" ht="15.75" customHeight="1">
      <c r="A277" s="2148">
        <f t="shared" si="8"/>
        <v>46</v>
      </c>
      <c r="B277" s="2153" t="s">
        <v>2880</v>
      </c>
      <c r="C277" s="2149">
        <v>5323.04</v>
      </c>
      <c r="D277" s="2150" t="s">
        <v>124</v>
      </c>
      <c r="E277" s="2151"/>
      <c r="F277" s="2136"/>
      <c r="G277" s="2136"/>
      <c r="H277" s="2136"/>
    </row>
    <row r="278" spans="1:12" ht="15.75" customHeight="1">
      <c r="A278" s="2148">
        <f t="shared" si="8"/>
        <v>47</v>
      </c>
      <c r="B278" s="2153" t="s">
        <v>3291</v>
      </c>
      <c r="C278" s="2149">
        <v>75235.38</v>
      </c>
      <c r="D278" s="2150" t="s">
        <v>124</v>
      </c>
      <c r="E278" s="2151"/>
      <c r="F278" s="2136"/>
      <c r="G278" s="2136"/>
      <c r="H278" s="2136"/>
    </row>
    <row r="279" spans="1:12" ht="15.75" customHeight="1">
      <c r="A279" s="2148">
        <f t="shared" si="8"/>
        <v>48</v>
      </c>
      <c r="B279" s="2153" t="s">
        <v>3292</v>
      </c>
      <c r="C279" s="2154">
        <v>93791.52</v>
      </c>
      <c r="D279" s="2150" t="s">
        <v>124</v>
      </c>
      <c r="E279" s="2151"/>
      <c r="F279" s="2136"/>
      <c r="G279" s="2176"/>
      <c r="H279" s="2136"/>
    </row>
    <row r="280" spans="1:12" ht="15.75" customHeight="1">
      <c r="A280" s="2148">
        <f t="shared" si="8"/>
        <v>49</v>
      </c>
      <c r="B280" s="2153" t="s">
        <v>2821</v>
      </c>
      <c r="C280" s="2154">
        <v>28803.67</v>
      </c>
      <c r="D280" s="2150" t="s">
        <v>124</v>
      </c>
      <c r="E280" s="2151"/>
      <c r="F280" s="2136"/>
      <c r="G280" s="2136"/>
      <c r="H280" s="2136"/>
      <c r="L280" s="2176"/>
    </row>
    <row r="281" spans="1:12" ht="15.75" customHeight="1">
      <c r="A281" s="2148">
        <f t="shared" si="8"/>
        <v>50</v>
      </c>
      <c r="B281" s="2153" t="s">
        <v>2824</v>
      </c>
      <c r="C281" s="2154">
        <v>47459.33</v>
      </c>
      <c r="D281" s="2150" t="s">
        <v>124</v>
      </c>
      <c r="E281" s="2151"/>
      <c r="F281" s="2136"/>
      <c r="G281" s="2136"/>
      <c r="H281" s="2136"/>
    </row>
    <row r="282" spans="1:12" ht="15.75" customHeight="1">
      <c r="A282" s="2148">
        <f t="shared" si="8"/>
        <v>51</v>
      </c>
      <c r="B282" s="2180" t="s">
        <v>2829</v>
      </c>
      <c r="C282" s="2154">
        <v>983616.16</v>
      </c>
      <c r="D282" s="2150" t="s">
        <v>124</v>
      </c>
      <c r="E282" s="2151"/>
      <c r="F282" s="2136"/>
      <c r="G282" s="2136"/>
      <c r="H282" s="2136"/>
    </row>
    <row r="283" spans="1:12" ht="15.75" customHeight="1">
      <c r="A283" s="2148">
        <f t="shared" si="8"/>
        <v>52</v>
      </c>
      <c r="B283" s="2181" t="s">
        <v>3293</v>
      </c>
      <c r="C283" s="2154">
        <v>1360284.08</v>
      </c>
      <c r="D283" s="2150" t="s">
        <v>124</v>
      </c>
      <c r="E283" s="2151"/>
      <c r="F283" s="2136"/>
      <c r="G283" s="2136"/>
      <c r="H283" s="2136"/>
    </row>
    <row r="284" spans="1:12" ht="15.75" customHeight="1">
      <c r="A284" s="2148">
        <f t="shared" si="8"/>
        <v>53</v>
      </c>
      <c r="B284" s="2156" t="s">
        <v>2836</v>
      </c>
      <c r="C284" s="2154">
        <v>4243236.8099999996</v>
      </c>
      <c r="D284" s="2150" t="s">
        <v>360</v>
      </c>
      <c r="E284" s="2151"/>
      <c r="F284" s="2136"/>
      <c r="G284" s="2136"/>
      <c r="H284" s="2136"/>
    </row>
    <row r="285" spans="1:12" ht="15.75" customHeight="1">
      <c r="A285" s="2148">
        <f t="shared" si="8"/>
        <v>54</v>
      </c>
      <c r="B285" s="2153" t="s">
        <v>2898</v>
      </c>
      <c r="C285" s="2154">
        <v>577236.41</v>
      </c>
      <c r="D285" s="2150" t="s">
        <v>124</v>
      </c>
      <c r="E285" s="2151"/>
      <c r="F285" s="2136"/>
      <c r="G285" s="2136"/>
      <c r="H285" s="2136"/>
    </row>
    <row r="286" spans="1:12" ht="15.75" customHeight="1">
      <c r="A286" s="2148">
        <f t="shared" si="8"/>
        <v>55</v>
      </c>
      <c r="B286" s="2153" t="s">
        <v>2902</v>
      </c>
      <c r="C286" s="2154">
        <v>1392304.74</v>
      </c>
      <c r="D286" s="2150" t="s">
        <v>124</v>
      </c>
      <c r="E286" s="2151"/>
      <c r="F286" s="2136"/>
      <c r="G286" s="2136"/>
      <c r="H286" s="2136"/>
    </row>
    <row r="287" spans="1:12" ht="15.75" customHeight="1">
      <c r="A287" s="2148">
        <f t="shared" si="8"/>
        <v>56</v>
      </c>
      <c r="B287" s="2153" t="s">
        <v>2906</v>
      </c>
      <c r="C287" s="2154">
        <v>508618.3</v>
      </c>
      <c r="D287" s="2150" t="s">
        <v>124</v>
      </c>
      <c r="E287" s="2151"/>
      <c r="F287" s="2136"/>
      <c r="G287" s="2136"/>
      <c r="H287" s="2136"/>
    </row>
    <row r="288" spans="1:12" ht="15.75" customHeight="1">
      <c r="A288" s="2148">
        <f t="shared" si="8"/>
        <v>57</v>
      </c>
      <c r="B288" s="2153" t="s">
        <v>2910</v>
      </c>
      <c r="C288" s="2154">
        <v>35142.129999999997</v>
      </c>
      <c r="D288" s="2150" t="s">
        <v>124</v>
      </c>
      <c r="E288" s="2151"/>
      <c r="F288" s="2136"/>
      <c r="G288" s="2136"/>
      <c r="H288" s="2136"/>
    </row>
    <row r="289" spans="1:8" ht="15.75" customHeight="1">
      <c r="A289" s="2148">
        <f t="shared" si="8"/>
        <v>58</v>
      </c>
      <c r="B289" s="2153" t="s">
        <v>2913</v>
      </c>
      <c r="C289" s="2154">
        <v>547520.66</v>
      </c>
      <c r="D289" s="2150" t="s">
        <v>124</v>
      </c>
      <c r="E289" s="2151"/>
      <c r="F289" s="2136"/>
      <c r="G289" s="2136"/>
      <c r="H289" s="2136"/>
    </row>
    <row r="290" spans="1:8" ht="15.75" customHeight="1">
      <c r="A290" s="2148">
        <f t="shared" si="8"/>
        <v>59</v>
      </c>
      <c r="B290" s="2153" t="s">
        <v>2919</v>
      </c>
      <c r="C290" s="2154">
        <v>226148.65</v>
      </c>
      <c r="D290" s="2150" t="s">
        <v>124</v>
      </c>
      <c r="E290" s="2151"/>
      <c r="F290" s="2136"/>
      <c r="G290" s="2136"/>
      <c r="H290" s="2136"/>
    </row>
    <row r="291" spans="1:8" ht="15.75" customHeight="1">
      <c r="A291" s="2148">
        <f t="shared" si="8"/>
        <v>60</v>
      </c>
      <c r="B291" s="2153" t="s">
        <v>2922</v>
      </c>
      <c r="C291" s="2154">
        <v>469835.35</v>
      </c>
      <c r="D291" s="2150" t="s">
        <v>313</v>
      </c>
      <c r="E291" s="2151"/>
      <c r="F291" s="2136"/>
      <c r="G291" s="2136"/>
      <c r="H291" s="2136"/>
    </row>
    <row r="292" spans="1:8" ht="15.75" customHeight="1">
      <c r="A292" s="2148">
        <f t="shared" si="8"/>
        <v>61</v>
      </c>
      <c r="B292" s="2153" t="s">
        <v>2903</v>
      </c>
      <c r="C292" s="2154">
        <v>100960.19</v>
      </c>
      <c r="D292" s="2150" t="s">
        <v>360</v>
      </c>
      <c r="E292" s="2151"/>
      <c r="F292" s="2136"/>
      <c r="G292" s="2136"/>
      <c r="H292" s="2136"/>
    </row>
    <row r="293" spans="1:8" ht="15.75" customHeight="1">
      <c r="A293" s="2148">
        <f t="shared" ref="A293:A324" si="9">A292+1</f>
        <v>62</v>
      </c>
      <c r="B293" s="2153" t="s">
        <v>2925</v>
      </c>
      <c r="C293" s="2154">
        <v>1940620.35</v>
      </c>
      <c r="D293" s="2150" t="s">
        <v>124</v>
      </c>
      <c r="E293" s="2151"/>
      <c r="F293" s="2136"/>
      <c r="G293" s="2136"/>
      <c r="H293" s="2136"/>
    </row>
    <row r="294" spans="1:8" ht="15.75" customHeight="1">
      <c r="A294" s="2148">
        <f t="shared" si="9"/>
        <v>63</v>
      </c>
      <c r="B294" s="2153" t="s">
        <v>2928</v>
      </c>
      <c r="C294" s="2154">
        <v>750949.01</v>
      </c>
      <c r="D294" s="2150" t="s">
        <v>124</v>
      </c>
      <c r="E294" s="2151"/>
      <c r="F294" s="2136"/>
      <c r="G294" s="2136"/>
      <c r="H294" s="2136"/>
    </row>
    <row r="295" spans="1:8" ht="15.75" customHeight="1">
      <c r="A295" s="2148">
        <f t="shared" si="9"/>
        <v>64</v>
      </c>
      <c r="B295" s="2153" t="s">
        <v>2932</v>
      </c>
      <c r="C295" s="2154">
        <v>136909.29999999999</v>
      </c>
      <c r="D295" s="2150" t="s">
        <v>124</v>
      </c>
      <c r="E295" s="2151"/>
      <c r="F295" s="38"/>
      <c r="G295" s="2136"/>
      <c r="H295" s="2136"/>
    </row>
    <row r="296" spans="1:8" ht="15.75" customHeight="1">
      <c r="A296" s="2148">
        <f t="shared" si="9"/>
        <v>65</v>
      </c>
      <c r="B296" s="2153" t="s">
        <v>3294</v>
      </c>
      <c r="C296" s="2154">
        <v>1070720.05</v>
      </c>
      <c r="D296" s="2150" t="s">
        <v>360</v>
      </c>
      <c r="E296" s="2151"/>
      <c r="F296" s="2136"/>
      <c r="G296" s="2136"/>
      <c r="H296" s="2136"/>
    </row>
    <row r="297" spans="1:8" ht="15.75" customHeight="1">
      <c r="A297" s="2148">
        <f t="shared" si="9"/>
        <v>66</v>
      </c>
      <c r="B297" s="2180" t="s">
        <v>2935</v>
      </c>
      <c r="C297" s="2154">
        <v>72001.63</v>
      </c>
      <c r="D297" s="2150" t="s">
        <v>124</v>
      </c>
      <c r="E297" s="2151"/>
      <c r="F297" s="2136"/>
      <c r="G297" s="2136"/>
      <c r="H297" s="2136"/>
    </row>
    <row r="298" spans="1:8" ht="15.75" customHeight="1">
      <c r="A298" s="2148">
        <f t="shared" si="9"/>
        <v>67</v>
      </c>
      <c r="B298" s="2153" t="s">
        <v>3295</v>
      </c>
      <c r="C298" s="2154">
        <v>379233.25</v>
      </c>
      <c r="D298" s="2150" t="s">
        <v>124</v>
      </c>
      <c r="E298" s="2151"/>
      <c r="F298" s="2136"/>
      <c r="G298" s="2136"/>
      <c r="H298" s="2136"/>
    </row>
    <row r="299" spans="1:8" ht="15.75" customHeight="1">
      <c r="A299" s="2148">
        <f t="shared" si="9"/>
        <v>68</v>
      </c>
      <c r="B299" s="2153" t="s">
        <v>2941</v>
      </c>
      <c r="C299" s="2154">
        <v>920983.9</v>
      </c>
      <c r="D299" s="2150" t="s">
        <v>360</v>
      </c>
      <c r="E299" s="2151"/>
      <c r="F299" s="2136"/>
      <c r="G299" s="2136"/>
      <c r="H299" s="2136"/>
    </row>
    <row r="300" spans="1:8" ht="25.5" customHeight="1">
      <c r="A300" s="2148">
        <f t="shared" si="9"/>
        <v>69</v>
      </c>
      <c r="B300" s="2182" t="s">
        <v>3056</v>
      </c>
      <c r="C300" s="2154">
        <v>58215089.670000002</v>
      </c>
      <c r="D300" s="2150" t="s">
        <v>360</v>
      </c>
      <c r="E300" s="2151"/>
      <c r="F300" s="2136"/>
      <c r="G300" s="2136"/>
      <c r="H300" s="2136"/>
    </row>
    <row r="301" spans="1:8" ht="27.75" customHeight="1">
      <c r="A301" s="2148">
        <f t="shared" si="9"/>
        <v>70</v>
      </c>
      <c r="B301" s="2175" t="s">
        <v>1352</v>
      </c>
      <c r="C301" s="2154">
        <v>3517349.97</v>
      </c>
      <c r="D301" s="2150" t="s">
        <v>360</v>
      </c>
      <c r="E301" s="2151"/>
      <c r="F301" s="2136"/>
      <c r="G301" s="2136"/>
      <c r="H301" s="2136"/>
    </row>
    <row r="302" spans="1:8" ht="15.75" customHeight="1">
      <c r="A302" s="2148">
        <f t="shared" si="9"/>
        <v>71</v>
      </c>
      <c r="B302" s="2153" t="s">
        <v>3296</v>
      </c>
      <c r="C302" s="2149">
        <v>2331164.77</v>
      </c>
      <c r="D302" s="2150" t="s">
        <v>360</v>
      </c>
      <c r="E302" s="2151"/>
      <c r="F302" s="2136"/>
      <c r="G302" s="2136"/>
      <c r="H302" s="2136"/>
    </row>
    <row r="303" spans="1:8" ht="15.75" customHeight="1">
      <c r="A303" s="2148">
        <f t="shared" si="9"/>
        <v>72</v>
      </c>
      <c r="B303" s="2153" t="s">
        <v>3297</v>
      </c>
      <c r="C303" s="2149">
        <v>4276108.5599999996</v>
      </c>
      <c r="D303" s="2150" t="s">
        <v>360</v>
      </c>
      <c r="E303" s="2151"/>
      <c r="F303" s="2136"/>
      <c r="G303" s="2136"/>
      <c r="H303" s="2136"/>
    </row>
    <row r="304" spans="1:8" ht="15.75" customHeight="1">
      <c r="A304" s="2148">
        <f t="shared" si="9"/>
        <v>73</v>
      </c>
      <c r="B304" s="2146" t="s">
        <v>3298</v>
      </c>
      <c r="C304" s="2149">
        <v>2389308.52</v>
      </c>
      <c r="D304" s="2150" t="s">
        <v>360</v>
      </c>
      <c r="E304" s="2151"/>
      <c r="F304" s="2136"/>
      <c r="G304" s="2136"/>
      <c r="H304" s="2136"/>
    </row>
    <row r="305" spans="1:8" ht="15.75" customHeight="1">
      <c r="A305" s="2148">
        <f t="shared" si="9"/>
        <v>74</v>
      </c>
      <c r="B305" s="2146" t="s">
        <v>714</v>
      </c>
      <c r="C305" s="2149">
        <v>4218959.97</v>
      </c>
      <c r="D305" s="2150" t="s">
        <v>360</v>
      </c>
      <c r="E305" s="2151"/>
      <c r="F305" s="2136"/>
      <c r="G305" s="2136"/>
      <c r="H305" s="2136"/>
    </row>
    <row r="306" spans="1:8" ht="15.75" customHeight="1">
      <c r="A306" s="2148">
        <f t="shared" si="9"/>
        <v>75</v>
      </c>
      <c r="B306" s="2153" t="s">
        <v>3299</v>
      </c>
      <c r="C306" s="2149">
        <v>2482872.12</v>
      </c>
      <c r="D306" s="2150" t="s">
        <v>360</v>
      </c>
      <c r="E306" s="2151"/>
      <c r="F306" s="2136"/>
      <c r="G306" s="2136"/>
      <c r="H306" s="2136"/>
    </row>
    <row r="307" spans="1:8" ht="15.75" customHeight="1">
      <c r="A307" s="2148">
        <f t="shared" si="9"/>
        <v>76</v>
      </c>
      <c r="B307" s="2153" t="s">
        <v>2951</v>
      </c>
      <c r="C307" s="2149">
        <v>6804994.5199999996</v>
      </c>
      <c r="D307" s="2150" t="s">
        <v>360</v>
      </c>
      <c r="E307" s="2151"/>
      <c r="F307" s="2136"/>
      <c r="G307" s="2136"/>
      <c r="H307" s="2136"/>
    </row>
    <row r="308" spans="1:8" ht="15.75" customHeight="1">
      <c r="A308" s="2148">
        <f t="shared" si="9"/>
        <v>77</v>
      </c>
      <c r="B308" s="2146" t="s">
        <v>3300</v>
      </c>
      <c r="C308" s="2149">
        <v>1803403.77</v>
      </c>
      <c r="D308" s="2150" t="s">
        <v>124</v>
      </c>
      <c r="E308" s="2151"/>
      <c r="F308" s="2136"/>
      <c r="G308" s="2136"/>
      <c r="H308" s="2136"/>
    </row>
    <row r="309" spans="1:8" ht="50.25" customHeight="1">
      <c r="A309" s="2148">
        <f t="shared" si="9"/>
        <v>78</v>
      </c>
      <c r="B309" s="2180" t="s">
        <v>2977</v>
      </c>
      <c r="C309" s="2149">
        <v>47008210.759999998</v>
      </c>
      <c r="D309" s="2150" t="s">
        <v>360</v>
      </c>
      <c r="E309" s="2151"/>
      <c r="F309" s="2136"/>
      <c r="G309" s="2136"/>
      <c r="H309" s="2136"/>
    </row>
    <row r="310" spans="1:8" ht="15.75" customHeight="1">
      <c r="A310" s="2148">
        <f t="shared" si="9"/>
        <v>79</v>
      </c>
      <c r="B310" s="2153" t="s">
        <v>2980</v>
      </c>
      <c r="C310" s="2149">
        <v>2352100.2400000002</v>
      </c>
      <c r="D310" s="2150" t="s">
        <v>124</v>
      </c>
      <c r="E310" s="2151"/>
      <c r="F310" s="2136"/>
      <c r="G310" s="2136"/>
      <c r="H310" s="2136"/>
    </row>
    <row r="311" spans="1:8" ht="15.75" customHeight="1">
      <c r="A311" s="2148">
        <f t="shared" si="9"/>
        <v>80</v>
      </c>
      <c r="B311" s="2153" t="s">
        <v>2983</v>
      </c>
      <c r="C311" s="2149">
        <v>113999.51</v>
      </c>
      <c r="D311" s="2150" t="s">
        <v>124</v>
      </c>
      <c r="E311" s="2151"/>
      <c r="F311" s="2136"/>
      <c r="G311" s="2136"/>
      <c r="H311" s="2136"/>
    </row>
    <row r="312" spans="1:8" ht="15.75" customHeight="1">
      <c r="A312" s="2148">
        <f t="shared" si="9"/>
        <v>81</v>
      </c>
      <c r="B312" s="2153" t="s">
        <v>2985</v>
      </c>
      <c r="C312" s="2149">
        <v>144261.47</v>
      </c>
      <c r="D312" s="2150" t="s">
        <v>124</v>
      </c>
      <c r="E312" s="2151"/>
      <c r="F312" s="2136"/>
      <c r="G312" s="2136"/>
      <c r="H312" s="2136"/>
    </row>
    <row r="313" spans="1:8" ht="15.75" customHeight="1">
      <c r="A313" s="2148">
        <f t="shared" si="9"/>
        <v>82</v>
      </c>
      <c r="B313" s="2153" t="s">
        <v>2987</v>
      </c>
      <c r="C313" s="2149">
        <v>130704.23</v>
      </c>
      <c r="D313" s="2150" t="s">
        <v>124</v>
      </c>
      <c r="E313" s="2151"/>
      <c r="F313" s="2136"/>
      <c r="G313" s="2136"/>
      <c r="H313" s="2136"/>
    </row>
    <row r="314" spans="1:8" ht="15.75" customHeight="1">
      <c r="A314" s="2148">
        <f t="shared" si="9"/>
        <v>83</v>
      </c>
      <c r="B314" s="2153" t="s">
        <v>3301</v>
      </c>
      <c r="C314" s="2149">
        <v>864452.97</v>
      </c>
      <c r="D314" s="2150" t="s">
        <v>360</v>
      </c>
      <c r="E314" s="2151"/>
      <c r="F314" s="2136"/>
      <c r="G314" s="2136"/>
      <c r="H314" s="2136"/>
    </row>
    <row r="315" spans="1:8" ht="15.75" customHeight="1">
      <c r="A315" s="2148">
        <f t="shared" si="9"/>
        <v>84</v>
      </c>
      <c r="B315" s="2153" t="s">
        <v>2990</v>
      </c>
      <c r="C315" s="2149">
        <v>1101910.1299999999</v>
      </c>
      <c r="D315" s="2150" t="s">
        <v>360</v>
      </c>
      <c r="E315" s="2151"/>
      <c r="F315" s="2136"/>
      <c r="G315" s="2136"/>
      <c r="H315" s="2136"/>
    </row>
    <row r="316" spans="1:8" ht="27.75" customHeight="1">
      <c r="A316" s="2148">
        <f t="shared" si="9"/>
        <v>85</v>
      </c>
      <c r="B316" s="2175" t="s">
        <v>3302</v>
      </c>
      <c r="C316" s="2149">
        <v>78332876.969999999</v>
      </c>
      <c r="D316" s="2150" t="s">
        <v>360</v>
      </c>
      <c r="E316" s="2151"/>
      <c r="F316" s="2136"/>
      <c r="G316" s="2136"/>
      <c r="H316" s="2136"/>
    </row>
    <row r="317" spans="1:8" ht="15.75" customHeight="1">
      <c r="A317" s="2148">
        <f t="shared" si="9"/>
        <v>86</v>
      </c>
      <c r="B317" s="2153" t="s">
        <v>3303</v>
      </c>
      <c r="C317" s="2154">
        <v>300352604.07999998</v>
      </c>
      <c r="D317" s="2150" t="s">
        <v>360</v>
      </c>
      <c r="E317" s="2151"/>
      <c r="F317" s="2136"/>
      <c r="G317" s="2136"/>
      <c r="H317" s="2136"/>
    </row>
    <row r="318" spans="1:8" ht="15.75" customHeight="1">
      <c r="A318" s="2148">
        <f t="shared" si="9"/>
        <v>87</v>
      </c>
      <c r="B318" s="2156" t="s">
        <v>2999</v>
      </c>
      <c r="C318" s="2154">
        <v>25957951.809999999</v>
      </c>
      <c r="D318" s="2150" t="s">
        <v>360</v>
      </c>
      <c r="E318" s="2151"/>
      <c r="F318" s="2136"/>
      <c r="G318" s="2136"/>
      <c r="H318" s="2136"/>
    </row>
    <row r="319" spans="1:8" ht="15.75" customHeight="1">
      <c r="A319" s="2148">
        <f t="shared" si="9"/>
        <v>88</v>
      </c>
      <c r="B319" s="2156" t="s">
        <v>3001</v>
      </c>
      <c r="C319" s="2154">
        <v>11501608.6</v>
      </c>
      <c r="D319" s="2150" t="s">
        <v>360</v>
      </c>
      <c r="E319" s="2151"/>
      <c r="F319" s="2136"/>
      <c r="G319" s="2136"/>
      <c r="H319" s="2136"/>
    </row>
    <row r="320" spans="1:8" ht="15.75" customHeight="1">
      <c r="A320" s="2148">
        <f t="shared" si="9"/>
        <v>89</v>
      </c>
      <c r="B320" s="2153" t="s">
        <v>3304</v>
      </c>
      <c r="C320" s="2149">
        <v>600180.64</v>
      </c>
      <c r="D320" s="2150" t="s">
        <v>360</v>
      </c>
      <c r="E320" s="2151"/>
      <c r="F320" s="2136"/>
      <c r="G320" s="2136"/>
      <c r="H320" s="2136"/>
    </row>
    <row r="321" spans="1:8" ht="15.75" customHeight="1">
      <c r="A321" s="2148">
        <f t="shared" si="9"/>
        <v>90</v>
      </c>
      <c r="B321" s="2153" t="s">
        <v>2857</v>
      </c>
      <c r="C321" s="2149">
        <v>1419296.81</v>
      </c>
      <c r="D321" s="2150" t="s">
        <v>124</v>
      </c>
      <c r="E321" s="2151"/>
      <c r="F321" s="2136"/>
      <c r="G321" s="2136"/>
      <c r="H321" s="2136"/>
    </row>
    <row r="322" spans="1:8" ht="15.75" customHeight="1">
      <c r="A322" s="2148">
        <f t="shared" si="9"/>
        <v>91</v>
      </c>
      <c r="B322" s="2153" t="s">
        <v>3305</v>
      </c>
      <c r="C322" s="2154">
        <v>143564.48000000001</v>
      </c>
      <c r="D322" s="2150" t="s">
        <v>117</v>
      </c>
      <c r="E322" s="2151"/>
      <c r="F322" s="2136"/>
      <c r="G322" s="2136"/>
      <c r="H322" s="2136"/>
    </row>
    <row r="323" spans="1:8" ht="15.75" customHeight="1">
      <c r="A323" s="2148">
        <f t="shared" si="9"/>
        <v>92</v>
      </c>
      <c r="B323" s="2153" t="s">
        <v>3306</v>
      </c>
      <c r="C323" s="2154">
        <v>9999896.6999999993</v>
      </c>
      <c r="D323" s="2150" t="s">
        <v>357</v>
      </c>
      <c r="E323" s="2151"/>
      <c r="F323" s="2136"/>
      <c r="G323" s="2136"/>
      <c r="H323" s="2136"/>
    </row>
    <row r="324" spans="1:8" ht="15.75" customHeight="1">
      <c r="A324" s="2148">
        <f t="shared" si="9"/>
        <v>93</v>
      </c>
      <c r="B324" s="2153" t="s">
        <v>3307</v>
      </c>
      <c r="C324" s="2154">
        <v>698689.28</v>
      </c>
      <c r="D324" s="2150" t="s">
        <v>117</v>
      </c>
      <c r="E324" s="2151"/>
      <c r="F324" s="2136"/>
      <c r="G324" s="2136"/>
      <c r="H324" s="2136"/>
    </row>
    <row r="325" spans="1:8" ht="15.75" customHeight="1">
      <c r="A325" s="2148">
        <f t="shared" ref="A325:A333" si="10">A324+1</f>
        <v>94</v>
      </c>
      <c r="B325" s="2153" t="s">
        <v>3023</v>
      </c>
      <c r="C325" s="2154">
        <v>37479.82</v>
      </c>
      <c r="D325" s="2150" t="s">
        <v>117</v>
      </c>
      <c r="E325" s="2151"/>
      <c r="F325" s="2136"/>
      <c r="G325" s="2136"/>
      <c r="H325" s="2136"/>
    </row>
    <row r="326" spans="1:8" ht="15.75" customHeight="1">
      <c r="A326" s="2148">
        <f t="shared" si="10"/>
        <v>95</v>
      </c>
      <c r="B326" s="2153" t="s">
        <v>3308</v>
      </c>
      <c r="C326" s="2154">
        <v>159503.63</v>
      </c>
      <c r="D326" s="2150" t="s">
        <v>2281</v>
      </c>
      <c r="E326" s="2151"/>
      <c r="F326" s="2136"/>
      <c r="G326" s="2136"/>
      <c r="H326" s="2136"/>
    </row>
    <row r="327" spans="1:8" ht="15.75" customHeight="1">
      <c r="A327" s="2148">
        <f t="shared" si="10"/>
        <v>96</v>
      </c>
      <c r="B327" s="2153" t="s">
        <v>3309</v>
      </c>
      <c r="C327" s="2154">
        <v>117791.74</v>
      </c>
      <c r="D327" s="2150" t="s">
        <v>2281</v>
      </c>
      <c r="E327" s="2183"/>
      <c r="F327" s="2136"/>
      <c r="G327" s="2136"/>
      <c r="H327" s="2136"/>
    </row>
    <row r="328" spans="1:8" ht="15.75" customHeight="1">
      <c r="A328" s="2148">
        <f t="shared" si="10"/>
        <v>97</v>
      </c>
      <c r="B328" s="2153" t="s">
        <v>3037</v>
      </c>
      <c r="C328" s="2154">
        <v>937030.18</v>
      </c>
      <c r="D328" s="2150" t="s">
        <v>2281</v>
      </c>
      <c r="E328" s="2183"/>
      <c r="F328" s="2136"/>
      <c r="G328" s="2136"/>
      <c r="H328" s="2136"/>
    </row>
    <row r="329" spans="1:8" ht="15.75" customHeight="1">
      <c r="A329" s="2148">
        <f t="shared" si="10"/>
        <v>98</v>
      </c>
      <c r="B329" s="2153" t="s">
        <v>3310</v>
      </c>
      <c r="C329" s="2154">
        <v>13800872.220000001</v>
      </c>
      <c r="D329" s="2150" t="s">
        <v>360</v>
      </c>
      <c r="E329" s="2183"/>
      <c r="F329" s="2136"/>
      <c r="G329" s="2136"/>
      <c r="H329" s="2136"/>
    </row>
    <row r="330" spans="1:8" ht="15.75" customHeight="1">
      <c r="A330" s="2148">
        <f t="shared" si="10"/>
        <v>99</v>
      </c>
      <c r="B330" s="2153" t="s">
        <v>3311</v>
      </c>
      <c r="C330" s="2154">
        <v>35662691.439999998</v>
      </c>
      <c r="D330" s="2150" t="s">
        <v>360</v>
      </c>
      <c r="E330" s="2183"/>
      <c r="F330" s="2136"/>
      <c r="G330" s="2136"/>
      <c r="H330" s="2136"/>
    </row>
    <row r="331" spans="1:8" ht="15.75" customHeight="1">
      <c r="A331" s="2148">
        <f t="shared" si="10"/>
        <v>100</v>
      </c>
      <c r="B331" s="2153" t="s">
        <v>3312</v>
      </c>
      <c r="C331" s="2154">
        <v>22748236.75</v>
      </c>
      <c r="D331" s="2150" t="s">
        <v>360</v>
      </c>
      <c r="E331" s="2151"/>
      <c r="F331" s="2136"/>
      <c r="G331" s="2136"/>
      <c r="H331" s="2136"/>
    </row>
    <row r="332" spans="1:8" ht="15.75" customHeight="1">
      <c r="A332" s="2148">
        <f t="shared" si="10"/>
        <v>101</v>
      </c>
      <c r="B332" s="2153" t="s">
        <v>3313</v>
      </c>
      <c r="C332" s="2154">
        <v>21589883</v>
      </c>
      <c r="D332" s="2150" t="s">
        <v>360</v>
      </c>
      <c r="E332" s="2151"/>
      <c r="F332" s="2136"/>
      <c r="G332" s="2136"/>
      <c r="H332" s="2136"/>
    </row>
    <row r="333" spans="1:8" ht="15.75" customHeight="1">
      <c r="A333" s="2148">
        <f t="shared" si="10"/>
        <v>102</v>
      </c>
      <c r="B333" s="2153" t="s">
        <v>3314</v>
      </c>
      <c r="C333" s="2154">
        <v>2690626.81</v>
      </c>
      <c r="D333" s="2150" t="s">
        <v>360</v>
      </c>
      <c r="E333" s="2151"/>
      <c r="F333" s="2136"/>
      <c r="G333" s="2136"/>
      <c r="H333" s="2136"/>
    </row>
    <row r="334" spans="1:8" ht="15.75" customHeight="1">
      <c r="A334" s="2148"/>
      <c r="B334" s="2153"/>
      <c r="C334" s="2154"/>
      <c r="D334" s="2150"/>
      <c r="E334" s="2151"/>
      <c r="F334" s="2136"/>
      <c r="G334" s="2136"/>
      <c r="H334" s="2136"/>
    </row>
    <row r="335" spans="1:8" ht="15.75" customHeight="1">
      <c r="A335" s="2143" t="s">
        <v>2321</v>
      </c>
      <c r="B335" s="2144" t="s">
        <v>3315</v>
      </c>
      <c r="C335" s="2184"/>
      <c r="D335" s="2150"/>
      <c r="E335" s="2151"/>
      <c r="F335" s="2136"/>
      <c r="G335" s="2136"/>
      <c r="H335" s="2136"/>
    </row>
    <row r="336" spans="1:8" ht="15.75" customHeight="1">
      <c r="A336" s="2148">
        <v>1</v>
      </c>
      <c r="B336" s="2146" t="s">
        <v>3316</v>
      </c>
      <c r="C336" s="2184">
        <v>96332.65</v>
      </c>
      <c r="D336" s="2150" t="s">
        <v>2069</v>
      </c>
      <c r="E336" s="2151"/>
      <c r="F336" s="2136"/>
      <c r="G336" s="2136"/>
      <c r="H336" s="2136"/>
    </row>
    <row r="337" spans="1:8" ht="15.75" customHeight="1">
      <c r="A337" s="2148">
        <f t="shared" ref="A337:A354" si="11">A336+1</f>
        <v>2</v>
      </c>
      <c r="B337" s="2146" t="s">
        <v>3317</v>
      </c>
      <c r="C337" s="2149">
        <v>114133.55</v>
      </c>
      <c r="D337" s="2150" t="s">
        <v>2069</v>
      </c>
      <c r="E337" s="2151"/>
      <c r="F337" s="2136"/>
      <c r="G337" s="2136"/>
      <c r="H337" s="2136"/>
    </row>
    <row r="338" spans="1:8" ht="15.75" customHeight="1">
      <c r="A338" s="2148">
        <f t="shared" si="11"/>
        <v>3</v>
      </c>
      <c r="B338" s="2146" t="s">
        <v>2072</v>
      </c>
      <c r="C338" s="2149">
        <v>125485.75</v>
      </c>
      <c r="D338" s="2150" t="s">
        <v>2069</v>
      </c>
      <c r="E338" s="2151"/>
      <c r="F338" s="2136"/>
      <c r="G338" s="2136"/>
      <c r="H338" s="2136"/>
    </row>
    <row r="339" spans="1:8" ht="15.75" customHeight="1">
      <c r="A339" s="2148">
        <f t="shared" si="11"/>
        <v>4</v>
      </c>
      <c r="B339" s="2146" t="s">
        <v>2107</v>
      </c>
      <c r="C339" s="2149">
        <v>102689.88</v>
      </c>
      <c r="D339" s="2150" t="s">
        <v>2069</v>
      </c>
      <c r="E339" s="2151"/>
      <c r="F339" s="2136"/>
      <c r="G339" s="2136"/>
      <c r="H339" s="2136"/>
    </row>
    <row r="340" spans="1:8" ht="15.75" customHeight="1">
      <c r="A340" s="2148">
        <f t="shared" si="11"/>
        <v>5</v>
      </c>
      <c r="B340" s="2146" t="s">
        <v>2819</v>
      </c>
      <c r="C340" s="2149">
        <v>168893.05</v>
      </c>
      <c r="D340" s="2150" t="s">
        <v>2069</v>
      </c>
      <c r="E340" s="2151"/>
      <c r="F340" s="2136"/>
      <c r="G340" s="2136"/>
      <c r="H340" s="2136"/>
    </row>
    <row r="341" spans="1:8" ht="15.75" customHeight="1">
      <c r="A341" s="2148">
        <f t="shared" si="11"/>
        <v>6</v>
      </c>
      <c r="B341" s="2146" t="s">
        <v>2818</v>
      </c>
      <c r="C341" s="2149">
        <v>235192.79</v>
      </c>
      <c r="D341" s="2150" t="s">
        <v>2069</v>
      </c>
      <c r="E341" s="2151"/>
      <c r="F341" s="2136"/>
      <c r="G341" s="2136"/>
      <c r="H341" s="2136"/>
    </row>
    <row r="342" spans="1:8" ht="15.75" customHeight="1">
      <c r="A342" s="2148">
        <f t="shared" si="11"/>
        <v>7</v>
      </c>
      <c r="B342" s="2146" t="s">
        <v>2132</v>
      </c>
      <c r="C342" s="2149">
        <v>263758.45</v>
      </c>
      <c r="D342" s="2150" t="s">
        <v>2069</v>
      </c>
      <c r="E342" s="2151"/>
      <c r="F342" s="2136"/>
      <c r="G342" s="2136"/>
      <c r="H342" s="2136"/>
    </row>
    <row r="343" spans="1:8" ht="15.75" customHeight="1">
      <c r="A343" s="2148">
        <f t="shared" si="11"/>
        <v>8</v>
      </c>
      <c r="B343" s="2146" t="s">
        <v>2133</v>
      </c>
      <c r="C343" s="2149">
        <v>148535.57999999999</v>
      </c>
      <c r="D343" s="2150" t="s">
        <v>2069</v>
      </c>
      <c r="E343" s="2151"/>
      <c r="F343" s="2136"/>
      <c r="G343" s="2136"/>
      <c r="H343" s="2136"/>
    </row>
    <row r="344" spans="1:8" ht="15.75" customHeight="1">
      <c r="A344" s="2148">
        <f t="shared" si="11"/>
        <v>9</v>
      </c>
      <c r="B344" s="2146" t="s">
        <v>2141</v>
      </c>
      <c r="C344" s="2149">
        <v>281311.21999999997</v>
      </c>
      <c r="D344" s="2150" t="s">
        <v>2069</v>
      </c>
      <c r="E344" s="2151"/>
      <c r="F344" s="2136"/>
      <c r="G344" s="2136"/>
      <c r="H344" s="2136"/>
    </row>
    <row r="345" spans="1:8" ht="15.75" customHeight="1">
      <c r="A345" s="2148">
        <f t="shared" si="11"/>
        <v>10</v>
      </c>
      <c r="B345" s="2146" t="s">
        <v>3318</v>
      </c>
      <c r="C345" s="2149">
        <v>168291.47</v>
      </c>
      <c r="D345" s="2150" t="s">
        <v>2069</v>
      </c>
      <c r="E345" s="2151"/>
      <c r="F345" s="2136"/>
      <c r="G345" s="2136"/>
      <c r="H345" s="2136"/>
    </row>
    <row r="346" spans="1:8" ht="15.75" customHeight="1">
      <c r="A346" s="2148">
        <f t="shared" si="11"/>
        <v>11</v>
      </c>
      <c r="B346" s="2146" t="s">
        <v>3319</v>
      </c>
      <c r="C346" s="2149">
        <v>175310.99</v>
      </c>
      <c r="D346" s="2150" t="s">
        <v>2069</v>
      </c>
      <c r="E346" s="2185"/>
      <c r="F346" s="2136"/>
      <c r="G346" s="2136"/>
      <c r="H346" s="2136"/>
    </row>
    <row r="347" spans="1:8" ht="15.75" customHeight="1">
      <c r="A347" s="2148">
        <f t="shared" si="11"/>
        <v>12</v>
      </c>
      <c r="B347" s="2146" t="s">
        <v>3320</v>
      </c>
      <c r="C347" s="2149">
        <v>271943.90999999997</v>
      </c>
      <c r="D347" s="2150" t="s">
        <v>2069</v>
      </c>
      <c r="E347" s="2151"/>
      <c r="F347" s="2136"/>
      <c r="G347" s="2136"/>
      <c r="H347" s="2136"/>
    </row>
    <row r="348" spans="1:8" ht="15.75" customHeight="1">
      <c r="A348" s="2148">
        <f t="shared" si="11"/>
        <v>13</v>
      </c>
      <c r="B348" s="2146" t="s">
        <v>3321</v>
      </c>
      <c r="C348" s="2149">
        <v>180995.77</v>
      </c>
      <c r="D348" s="2150" t="s">
        <v>2069</v>
      </c>
      <c r="E348" s="2151"/>
      <c r="F348" s="2136"/>
      <c r="G348" s="2136"/>
      <c r="H348" s="2136"/>
    </row>
    <row r="349" spans="1:8" ht="15.75" customHeight="1">
      <c r="A349" s="2148">
        <f t="shared" si="11"/>
        <v>14</v>
      </c>
      <c r="B349" s="2146" t="s">
        <v>2142</v>
      </c>
      <c r="C349" s="2149">
        <v>271339.52000000002</v>
      </c>
      <c r="D349" s="2150" t="s">
        <v>2069</v>
      </c>
      <c r="E349" s="2151"/>
      <c r="F349" s="2136"/>
      <c r="G349" s="2136"/>
      <c r="H349" s="2136"/>
    </row>
    <row r="350" spans="1:8" ht="15.75" customHeight="1">
      <c r="A350" s="2148">
        <f t="shared" si="11"/>
        <v>15</v>
      </c>
      <c r="B350" s="2146" t="s">
        <v>3322</v>
      </c>
      <c r="C350" s="2149">
        <v>42276.93</v>
      </c>
      <c r="D350" s="2150" t="s">
        <v>89</v>
      </c>
      <c r="E350" s="2186"/>
      <c r="F350" s="2136"/>
      <c r="G350" s="2136"/>
      <c r="H350" s="2136"/>
    </row>
    <row r="351" spans="1:8" ht="15.75" customHeight="1">
      <c r="A351" s="2148">
        <f t="shared" si="11"/>
        <v>16</v>
      </c>
      <c r="B351" s="2146" t="s">
        <v>3323</v>
      </c>
      <c r="C351" s="2149">
        <v>6248.66</v>
      </c>
      <c r="D351" s="2150" t="s">
        <v>100</v>
      </c>
      <c r="E351" s="2186"/>
      <c r="F351" s="2136"/>
      <c r="G351" s="2136"/>
      <c r="H351" s="2136"/>
    </row>
    <row r="352" spans="1:8" ht="15.75" customHeight="1">
      <c r="A352" s="2148">
        <f t="shared" si="11"/>
        <v>17</v>
      </c>
      <c r="B352" s="2156" t="s">
        <v>3324</v>
      </c>
      <c r="C352" s="2149">
        <v>12311697.09</v>
      </c>
      <c r="D352" s="2150" t="s">
        <v>2281</v>
      </c>
      <c r="E352" s="2186"/>
      <c r="F352" s="2136"/>
      <c r="G352" s="2136"/>
      <c r="H352" s="2136"/>
    </row>
    <row r="353" spans="1:8" ht="15.75" customHeight="1">
      <c r="A353" s="2148">
        <f t="shared" si="11"/>
        <v>18</v>
      </c>
      <c r="B353" s="2153" t="s">
        <v>3325</v>
      </c>
      <c r="C353" s="2154">
        <v>20099.13</v>
      </c>
      <c r="D353" s="2150" t="s">
        <v>100</v>
      </c>
      <c r="E353" s="2187"/>
      <c r="F353" s="2136"/>
      <c r="G353" s="2136"/>
      <c r="H353" s="2136"/>
    </row>
    <row r="354" spans="1:8" ht="15.75" customHeight="1">
      <c r="A354" s="2148">
        <f t="shared" si="11"/>
        <v>19</v>
      </c>
      <c r="B354" s="2153" t="s">
        <v>3326</v>
      </c>
      <c r="C354" s="2154">
        <v>797627.88</v>
      </c>
      <c r="D354" s="2150" t="s">
        <v>124</v>
      </c>
      <c r="E354" s="2188"/>
      <c r="F354" s="2136"/>
      <c r="G354" s="2136"/>
      <c r="H354" s="2136"/>
    </row>
    <row r="355" spans="1:8" ht="15.75" customHeight="1">
      <c r="A355" s="2189"/>
      <c r="B355" s="2190"/>
      <c r="C355" s="2191"/>
      <c r="D355" s="2192"/>
      <c r="E355" s="2193"/>
      <c r="F355" s="2136"/>
      <c r="G355" s="2136"/>
      <c r="H355" s="2136"/>
    </row>
    <row r="356" spans="1:8" ht="15.75" customHeight="1">
      <c r="A356" s="2194"/>
      <c r="B356" s="2135"/>
      <c r="C356" s="2195"/>
      <c r="D356" s="2194"/>
      <c r="E356" s="2135"/>
      <c r="F356" s="2136"/>
      <c r="G356" s="2136"/>
      <c r="H356" s="2136"/>
    </row>
    <row r="357" spans="1:8" ht="15.75" customHeight="1">
      <c r="A357" s="2194"/>
      <c r="B357" s="2135"/>
      <c r="C357" s="2195"/>
      <c r="D357" s="2194"/>
      <c r="E357" s="2135"/>
      <c r="F357" s="2136"/>
      <c r="G357" s="2136"/>
      <c r="H357" s="2136"/>
    </row>
    <row r="358" spans="1:8" ht="15.75" customHeight="1">
      <c r="A358" s="2135"/>
      <c r="B358" s="2135"/>
      <c r="C358" s="2195"/>
      <c r="D358" s="2194"/>
      <c r="E358" s="2135"/>
      <c r="F358" s="2136"/>
      <c r="G358" s="2136"/>
      <c r="H358" s="2136"/>
    </row>
    <row r="359" spans="1:8" ht="15.75" customHeight="1">
      <c r="A359" s="2135"/>
      <c r="B359" s="2135"/>
      <c r="C359" s="2195"/>
      <c r="D359" s="2194"/>
      <c r="E359" s="2135"/>
      <c r="F359" s="2136"/>
      <c r="G359" s="2136"/>
      <c r="H359" s="2136"/>
    </row>
    <row r="360" spans="1:8" ht="15.75" customHeight="1">
      <c r="A360" s="2135"/>
      <c r="B360" s="2135"/>
      <c r="C360" s="2195"/>
      <c r="D360" s="2194"/>
      <c r="E360" s="2135"/>
      <c r="F360" s="2136"/>
      <c r="G360" s="2136"/>
      <c r="H360" s="2136"/>
    </row>
    <row r="361" spans="1:8" ht="15.75" customHeight="1">
      <c r="A361" s="2135"/>
      <c r="B361" s="2135"/>
      <c r="C361" s="2195"/>
      <c r="D361" s="2194"/>
      <c r="E361" s="2135"/>
      <c r="F361" s="2136"/>
      <c r="G361" s="2136"/>
      <c r="H361" s="2136"/>
    </row>
    <row r="362" spans="1:8" ht="15.75" customHeight="1">
      <c r="A362" s="2148">
        <v>1</v>
      </c>
      <c r="B362" s="2153" t="s">
        <v>3327</v>
      </c>
      <c r="C362" s="2149">
        <v>89658.42</v>
      </c>
      <c r="D362" s="2150" t="s">
        <v>117</v>
      </c>
      <c r="E362" s="2176"/>
      <c r="F362" s="2136"/>
      <c r="G362" s="2136"/>
      <c r="H362" s="2136"/>
    </row>
    <row r="363" spans="1:8" ht="15.75" customHeight="1">
      <c r="A363" s="2148">
        <f t="shared" ref="A363:A380" si="12">A362+1</f>
        <v>2</v>
      </c>
      <c r="B363" s="2153" t="s">
        <v>3140</v>
      </c>
      <c r="C363" s="2154">
        <v>9414003.5899999999</v>
      </c>
      <c r="D363" s="2150" t="s">
        <v>360</v>
      </c>
      <c r="E363" s="2176"/>
      <c r="F363" s="2136"/>
      <c r="G363" s="2136"/>
      <c r="H363" s="2136"/>
    </row>
    <row r="364" spans="1:8" ht="15.75" customHeight="1">
      <c r="A364" s="2148">
        <f t="shared" si="12"/>
        <v>3</v>
      </c>
      <c r="B364" s="2153" t="s">
        <v>3328</v>
      </c>
      <c r="C364" s="2166">
        <v>73789.73</v>
      </c>
      <c r="D364" s="2150" t="s">
        <v>117</v>
      </c>
      <c r="E364" s="2176"/>
      <c r="F364" s="2136"/>
      <c r="G364" s="2136"/>
      <c r="H364" s="2136"/>
    </row>
    <row r="365" spans="1:8" ht="15.75" customHeight="1">
      <c r="A365" s="2148">
        <f t="shared" si="12"/>
        <v>4</v>
      </c>
      <c r="B365" s="2153" t="s">
        <v>3329</v>
      </c>
      <c r="C365" s="2166">
        <v>62153.59</v>
      </c>
      <c r="D365" s="2150" t="s">
        <v>117</v>
      </c>
      <c r="E365" s="2176"/>
      <c r="F365" s="2136"/>
      <c r="G365" s="2136"/>
      <c r="H365" s="2136"/>
    </row>
    <row r="366" spans="1:8" ht="15.75" customHeight="1">
      <c r="A366" s="2148">
        <f t="shared" si="12"/>
        <v>5</v>
      </c>
      <c r="B366" s="2153" t="s">
        <v>1480</v>
      </c>
      <c r="C366" s="2149">
        <v>11446.8</v>
      </c>
      <c r="D366" s="2150" t="s">
        <v>89</v>
      </c>
      <c r="E366" s="2176"/>
      <c r="F366" s="2136"/>
      <c r="G366" s="2136"/>
      <c r="H366" s="2136"/>
    </row>
    <row r="367" spans="1:8" ht="15.75" customHeight="1">
      <c r="A367" s="2148">
        <f t="shared" si="12"/>
        <v>6</v>
      </c>
      <c r="B367" s="2153" t="s">
        <v>3330</v>
      </c>
      <c r="C367" s="2154">
        <v>768167.35</v>
      </c>
      <c r="D367" s="2150" t="s">
        <v>100</v>
      </c>
      <c r="E367" s="2176"/>
      <c r="F367" s="2136"/>
      <c r="G367" s="2136"/>
      <c r="H367" s="2136"/>
    </row>
    <row r="368" spans="1:8" ht="15.75" customHeight="1">
      <c r="A368" s="2148">
        <f t="shared" si="12"/>
        <v>7</v>
      </c>
      <c r="B368" s="328" t="s">
        <v>3144</v>
      </c>
      <c r="C368" s="2154">
        <v>5923819.5899999999</v>
      </c>
      <c r="D368" s="2150" t="s">
        <v>124</v>
      </c>
      <c r="E368" s="2176"/>
      <c r="F368" s="2136"/>
      <c r="G368" s="2136"/>
      <c r="H368" s="2136"/>
    </row>
    <row r="369" spans="1:8" ht="15.75" customHeight="1">
      <c r="A369" s="2148">
        <f t="shared" si="12"/>
        <v>8</v>
      </c>
      <c r="B369" s="2153" t="s">
        <v>3331</v>
      </c>
      <c r="C369" s="2149">
        <v>187997.57</v>
      </c>
      <c r="D369" s="2150" t="s">
        <v>888</v>
      </c>
      <c r="E369" s="2176"/>
      <c r="F369" s="2136"/>
      <c r="G369" s="2136"/>
      <c r="H369" s="2136"/>
    </row>
    <row r="370" spans="1:8" ht="15.75" customHeight="1">
      <c r="A370" s="2148">
        <f t="shared" si="12"/>
        <v>9</v>
      </c>
      <c r="B370" s="886" t="s">
        <v>3149</v>
      </c>
      <c r="C370" s="2149">
        <v>606126.69999999995</v>
      </c>
      <c r="D370" s="2150" t="s">
        <v>124</v>
      </c>
      <c r="E370" s="2176"/>
      <c r="F370" s="2136"/>
      <c r="G370" s="2136"/>
      <c r="H370" s="2136"/>
    </row>
    <row r="371" spans="1:8" ht="15.75" customHeight="1">
      <c r="A371" s="2148">
        <f t="shared" si="12"/>
        <v>10</v>
      </c>
      <c r="B371" s="886" t="s">
        <v>3332</v>
      </c>
      <c r="C371" s="2149">
        <v>517026.18</v>
      </c>
      <c r="D371" s="2150" t="s">
        <v>124</v>
      </c>
      <c r="E371" s="2196"/>
      <c r="F371" s="2136"/>
      <c r="G371" s="2136"/>
      <c r="H371" s="2136"/>
    </row>
    <row r="372" spans="1:8" ht="15.75" customHeight="1">
      <c r="A372" s="2148">
        <f t="shared" si="12"/>
        <v>11</v>
      </c>
      <c r="B372" s="886" t="s">
        <v>3333</v>
      </c>
      <c r="C372" s="2149">
        <v>554422.43999999994</v>
      </c>
      <c r="D372" s="2150" t="s">
        <v>3334</v>
      </c>
      <c r="E372" s="2196"/>
      <c r="F372" s="2136"/>
      <c r="G372" s="2136"/>
      <c r="H372" s="2136"/>
    </row>
    <row r="373" spans="1:8" ht="15.75" customHeight="1">
      <c r="A373" s="2148">
        <f t="shared" si="12"/>
        <v>12</v>
      </c>
      <c r="B373" s="886" t="s">
        <v>3335</v>
      </c>
      <c r="C373" s="2149">
        <v>627162.79</v>
      </c>
      <c r="D373" s="2150" t="s">
        <v>3334</v>
      </c>
      <c r="E373" s="2196"/>
      <c r="F373" s="2136"/>
      <c r="G373" s="2136"/>
      <c r="H373" s="2136"/>
    </row>
    <row r="374" spans="1:8" ht="15.75" customHeight="1">
      <c r="A374" s="2148">
        <f t="shared" si="12"/>
        <v>13</v>
      </c>
      <c r="B374" s="886" t="s">
        <v>3336</v>
      </c>
      <c r="C374" s="2149">
        <v>21814.15</v>
      </c>
      <c r="D374" s="2150" t="s">
        <v>360</v>
      </c>
      <c r="E374" s="2176"/>
      <c r="F374" s="2136"/>
      <c r="G374" s="2136"/>
      <c r="H374" s="2136"/>
    </row>
    <row r="375" spans="1:8" ht="15.75" customHeight="1">
      <c r="A375" s="2148">
        <f t="shared" si="12"/>
        <v>14</v>
      </c>
      <c r="B375" s="886" t="s">
        <v>3337</v>
      </c>
      <c r="C375" s="2149">
        <v>21636.65</v>
      </c>
      <c r="D375" s="2150" t="s">
        <v>3338</v>
      </c>
      <c r="E375" s="2176"/>
      <c r="F375" s="2136"/>
      <c r="G375" s="2136"/>
      <c r="H375" s="2136"/>
    </row>
    <row r="376" spans="1:8" ht="15.75" customHeight="1">
      <c r="A376" s="2148">
        <f t="shared" si="12"/>
        <v>15</v>
      </c>
      <c r="B376" s="886" t="s">
        <v>3339</v>
      </c>
      <c r="C376" s="2149">
        <v>23134.18</v>
      </c>
      <c r="D376" s="2150" t="s">
        <v>2412</v>
      </c>
      <c r="E376" s="2176"/>
      <c r="F376" s="2136"/>
      <c r="G376" s="2136"/>
      <c r="H376" s="2136"/>
    </row>
    <row r="377" spans="1:8" ht="15.75" customHeight="1">
      <c r="A377" s="2148">
        <f t="shared" si="12"/>
        <v>16</v>
      </c>
      <c r="B377" s="886" t="s">
        <v>3340</v>
      </c>
      <c r="C377" s="2149">
        <v>93550.92</v>
      </c>
      <c r="D377" s="2150" t="s">
        <v>100</v>
      </c>
      <c r="E377" s="2196"/>
      <c r="F377" s="2136"/>
      <c r="G377" s="2136"/>
      <c r="H377" s="2136"/>
    </row>
    <row r="378" spans="1:8" ht="15.75" customHeight="1">
      <c r="A378" s="2148">
        <f t="shared" si="12"/>
        <v>17</v>
      </c>
      <c r="B378" s="2146" t="s">
        <v>595</v>
      </c>
      <c r="C378" s="2149">
        <v>5659423.25</v>
      </c>
      <c r="D378" s="2150" t="s">
        <v>360</v>
      </c>
      <c r="E378" s="2196"/>
      <c r="F378" s="2136"/>
      <c r="G378" s="2136"/>
      <c r="H378" s="2136"/>
    </row>
    <row r="379" spans="1:8" ht="15.75" customHeight="1">
      <c r="A379" s="2148">
        <f t="shared" si="12"/>
        <v>18</v>
      </c>
      <c r="B379" s="2153" t="s">
        <v>3341</v>
      </c>
      <c r="C379" s="2149">
        <v>5731167.8499999996</v>
      </c>
      <c r="D379" s="2150" t="s">
        <v>360</v>
      </c>
      <c r="E379" s="2196"/>
      <c r="F379" s="2136"/>
      <c r="G379" s="2136"/>
      <c r="H379" s="2136"/>
    </row>
    <row r="380" spans="1:8" ht="15.75" customHeight="1">
      <c r="A380" s="2148">
        <f t="shared" si="12"/>
        <v>19</v>
      </c>
      <c r="B380" s="2153" t="s">
        <v>3282</v>
      </c>
      <c r="C380" s="2154">
        <v>929219.77</v>
      </c>
      <c r="D380" s="2150" t="s">
        <v>360</v>
      </c>
      <c r="E380" s="2196"/>
      <c r="F380" s="2136"/>
      <c r="G380" s="2136"/>
      <c r="H380" s="2136"/>
    </row>
    <row r="381" spans="1:8" ht="15.75" customHeight="1">
      <c r="A381" s="2135"/>
      <c r="B381" s="2135"/>
      <c r="C381" s="2197"/>
      <c r="D381" s="2135"/>
      <c r="E381" s="2135"/>
      <c r="F381" s="2136"/>
      <c r="G381" s="2136"/>
      <c r="H381" s="2136"/>
    </row>
    <row r="382" spans="1:8" ht="15.75" customHeight="1">
      <c r="A382" s="2135"/>
      <c r="B382" s="2135"/>
      <c r="C382" s="2197"/>
      <c r="D382" s="2135"/>
      <c r="E382" s="2135"/>
      <c r="F382" s="2136"/>
      <c r="G382" s="2136"/>
      <c r="H382" s="2136"/>
    </row>
    <row r="383" spans="1:8" ht="15.75" customHeight="1">
      <c r="A383" s="2135"/>
      <c r="B383" s="2135"/>
      <c r="C383" s="2197"/>
      <c r="D383" s="2135"/>
      <c r="E383" s="2135"/>
      <c r="F383" s="2136"/>
      <c r="G383" s="2136"/>
      <c r="H383" s="2136"/>
    </row>
    <row r="384" spans="1:8" ht="15.75" customHeight="1">
      <c r="A384" s="2135"/>
      <c r="B384" s="2135"/>
      <c r="C384" s="2197"/>
      <c r="D384" s="2135"/>
      <c r="E384" s="2135"/>
      <c r="F384" s="2136"/>
      <c r="G384" s="2136"/>
      <c r="H384" s="2136"/>
    </row>
    <row r="385" spans="1:8" ht="15.75" customHeight="1">
      <c r="A385" s="2135"/>
      <c r="B385" s="2135"/>
      <c r="C385" s="2197"/>
      <c r="D385" s="2135"/>
      <c r="E385" s="2135"/>
      <c r="F385" s="2136"/>
      <c r="G385" s="2136"/>
      <c r="H385" s="2136"/>
    </row>
    <row r="386" spans="1:8" ht="15.75" customHeight="1">
      <c r="A386" s="2135"/>
      <c r="B386" s="2135"/>
      <c r="C386" s="2197"/>
      <c r="D386" s="2135"/>
      <c r="E386" s="2135"/>
      <c r="F386" s="2136"/>
      <c r="G386" s="2136"/>
      <c r="H386" s="2136"/>
    </row>
    <row r="387" spans="1:8" ht="15.75" customHeight="1">
      <c r="A387" s="2135"/>
      <c r="B387" s="2135"/>
      <c r="C387" s="2197"/>
      <c r="D387" s="2135"/>
      <c r="E387" s="2135"/>
      <c r="F387" s="2136"/>
      <c r="G387" s="2136"/>
      <c r="H387" s="2136"/>
    </row>
    <row r="388" spans="1:8" ht="15.75" customHeight="1">
      <c r="A388" s="2135"/>
      <c r="B388" s="2135"/>
      <c r="C388" s="2197"/>
      <c r="D388" s="2135"/>
      <c r="E388" s="2135"/>
      <c r="F388" s="2136"/>
      <c r="G388" s="2136"/>
      <c r="H388" s="2136"/>
    </row>
    <row r="389" spans="1:8" ht="15.75" customHeight="1">
      <c r="A389" s="2135"/>
      <c r="B389" s="2135"/>
      <c r="C389" s="2197"/>
      <c r="D389" s="2135"/>
      <c r="E389" s="2135"/>
      <c r="F389" s="2136"/>
      <c r="G389" s="2136"/>
      <c r="H389" s="2136"/>
    </row>
    <row r="390" spans="1:8" ht="15.75" customHeight="1">
      <c r="A390" s="2135"/>
      <c r="B390" s="2135"/>
      <c r="C390" s="2197"/>
      <c r="D390" s="2135"/>
      <c r="E390" s="2135"/>
      <c r="F390" s="2136"/>
      <c r="G390" s="2136"/>
      <c r="H390" s="2136"/>
    </row>
    <row r="391" spans="1:8" ht="15.75" customHeight="1">
      <c r="A391" s="2135"/>
      <c r="B391" s="2135"/>
      <c r="C391" s="2197"/>
      <c r="D391" s="2135"/>
      <c r="E391" s="2135"/>
      <c r="F391" s="2136"/>
      <c r="G391" s="2136"/>
      <c r="H391" s="2136"/>
    </row>
    <row r="392" spans="1:8" ht="15.75" customHeight="1">
      <c r="A392" s="2135"/>
      <c r="B392" s="2135"/>
      <c r="C392" s="2197"/>
      <c r="D392" s="2135"/>
      <c r="E392" s="2135"/>
      <c r="F392" s="2136"/>
      <c r="G392" s="2136"/>
      <c r="H392" s="2136"/>
    </row>
    <row r="393" spans="1:8" ht="15.75" customHeight="1">
      <c r="A393" s="2135"/>
      <c r="B393" s="2135"/>
      <c r="C393" s="2197"/>
      <c r="D393" s="2135"/>
      <c r="E393" s="2135"/>
      <c r="F393" s="2136"/>
      <c r="G393" s="2136"/>
      <c r="H393" s="2136"/>
    </row>
    <row r="394" spans="1:8" ht="15.75" customHeight="1">
      <c r="A394" s="2135"/>
      <c r="B394" s="2135"/>
      <c r="C394" s="2197"/>
      <c r="D394" s="2135"/>
      <c r="E394" s="2135"/>
      <c r="F394" s="2136"/>
      <c r="G394" s="2136"/>
      <c r="H394" s="2136"/>
    </row>
    <row r="395" spans="1:8" ht="15.75" customHeight="1">
      <c r="A395" s="2135"/>
      <c r="B395" s="2135"/>
      <c r="C395" s="2197"/>
      <c r="D395" s="2135"/>
      <c r="E395" s="2135"/>
      <c r="F395" s="2136"/>
      <c r="G395" s="2136"/>
      <c r="H395" s="2136"/>
    </row>
    <row r="396" spans="1:8" ht="15.75" customHeight="1">
      <c r="A396" s="2135"/>
      <c r="B396" s="2135"/>
      <c r="C396" s="2135"/>
      <c r="D396" s="2135"/>
      <c r="E396" s="2135"/>
      <c r="F396" s="2136"/>
      <c r="G396" s="2136"/>
      <c r="H396" s="2136"/>
    </row>
    <row r="397" spans="1:8" ht="15.75" customHeight="1">
      <c r="A397" s="2135"/>
      <c r="B397" s="2135"/>
      <c r="C397" s="2135"/>
      <c r="D397" s="2135"/>
      <c r="E397" s="2135"/>
      <c r="F397" s="2136"/>
      <c r="G397" s="2136"/>
      <c r="H397" s="2136"/>
    </row>
    <row r="398" spans="1:8" ht="15.75" customHeight="1">
      <c r="A398" s="2135"/>
      <c r="B398" s="2135"/>
      <c r="C398" s="2135"/>
      <c r="D398" s="2135"/>
      <c r="E398" s="2135"/>
      <c r="F398" s="2136"/>
      <c r="G398" s="2136"/>
      <c r="H398" s="2136"/>
    </row>
    <row r="399" spans="1:8" ht="15.75" customHeight="1">
      <c r="A399" s="2135"/>
      <c r="B399" s="2135"/>
      <c r="C399" s="2135"/>
      <c r="D399" s="2135"/>
      <c r="E399" s="2135"/>
      <c r="F399" s="2136"/>
      <c r="G399" s="2136"/>
      <c r="H399" s="2136"/>
    </row>
    <row r="400" spans="1:8" ht="15.75" customHeight="1">
      <c r="A400" s="2135"/>
      <c r="B400" s="2135"/>
      <c r="C400" s="2135"/>
      <c r="D400" s="2135"/>
      <c r="E400" s="2135"/>
      <c r="F400" s="2136"/>
      <c r="G400" s="2136"/>
      <c r="H400" s="2136"/>
    </row>
    <row r="401" spans="1:8" ht="15.75" customHeight="1">
      <c r="A401" s="2135"/>
      <c r="B401" s="2135"/>
      <c r="C401" s="2135"/>
      <c r="D401" s="2135"/>
      <c r="E401" s="2135"/>
      <c r="F401" s="2136"/>
      <c r="G401" s="2136"/>
      <c r="H401" s="2136"/>
    </row>
    <row r="402" spans="1:8" ht="15.75" customHeight="1">
      <c r="A402" s="2135"/>
      <c r="B402" s="2135"/>
      <c r="C402" s="2135"/>
      <c r="D402" s="2135"/>
      <c r="E402" s="2135"/>
      <c r="F402" s="2136"/>
      <c r="G402" s="2136"/>
      <c r="H402" s="2136"/>
    </row>
    <row r="403" spans="1:8" ht="15.75" customHeight="1">
      <c r="A403" s="2135"/>
      <c r="B403" s="2135"/>
      <c r="C403" s="2135"/>
      <c r="D403" s="2135"/>
      <c r="E403" s="2135"/>
      <c r="F403" s="2136"/>
      <c r="G403" s="2136"/>
      <c r="H403" s="2136"/>
    </row>
    <row r="404" spans="1:8" ht="15.75" customHeight="1">
      <c r="A404" s="2135"/>
      <c r="B404" s="2135"/>
      <c r="C404" s="2135"/>
      <c r="D404" s="2135"/>
      <c r="E404" s="2135"/>
      <c r="F404" s="2136"/>
      <c r="G404" s="2136"/>
      <c r="H404" s="2136"/>
    </row>
    <row r="405" spans="1:8" ht="15.75" customHeight="1">
      <c r="A405" s="2135"/>
      <c r="B405" s="2135"/>
      <c r="C405" s="2135"/>
      <c r="D405" s="2135"/>
      <c r="E405" s="2135"/>
      <c r="F405" s="2136"/>
      <c r="G405" s="2136"/>
      <c r="H405" s="2136"/>
    </row>
    <row r="406" spans="1:8" ht="15.75" customHeight="1">
      <c r="A406" s="2135"/>
      <c r="B406" s="2135"/>
      <c r="C406" s="2135"/>
      <c r="D406" s="2135"/>
      <c r="E406" s="2135"/>
      <c r="F406" s="2136"/>
      <c r="G406" s="2136"/>
      <c r="H406" s="2136"/>
    </row>
    <row r="407" spans="1:8" ht="15.75" customHeight="1">
      <c r="A407" s="2135"/>
      <c r="B407" s="2135"/>
      <c r="C407" s="2135"/>
      <c r="D407" s="2135"/>
      <c r="E407" s="2135"/>
      <c r="F407" s="2136"/>
      <c r="G407" s="2136"/>
      <c r="H407" s="2136"/>
    </row>
    <row r="408" spans="1:8" ht="15.75" customHeight="1">
      <c r="A408" s="2135"/>
      <c r="B408" s="2135"/>
      <c r="C408" s="2135"/>
      <c r="D408" s="2135"/>
      <c r="E408" s="2135"/>
      <c r="F408" s="2136"/>
      <c r="G408" s="2136"/>
      <c r="H408" s="2136"/>
    </row>
    <row r="409" spans="1:8" ht="15.75" customHeight="1">
      <c r="A409" s="2135"/>
      <c r="B409" s="2135"/>
      <c r="C409" s="2135"/>
      <c r="D409" s="2135"/>
      <c r="E409" s="2135"/>
      <c r="F409" s="2136"/>
      <c r="G409" s="2136"/>
      <c r="H409" s="2136"/>
    </row>
    <row r="410" spans="1:8" ht="15.75" customHeight="1">
      <c r="A410" s="2135"/>
      <c r="B410" s="2135"/>
      <c r="C410" s="2135"/>
      <c r="D410" s="2135"/>
      <c r="E410" s="2135"/>
      <c r="F410" s="2136"/>
      <c r="G410" s="2136"/>
      <c r="H410" s="2136"/>
    </row>
    <row r="411" spans="1:8" ht="15.75" customHeight="1">
      <c r="A411" s="2135"/>
      <c r="B411" s="2135"/>
      <c r="C411" s="2135"/>
      <c r="D411" s="2135"/>
      <c r="E411" s="2135"/>
      <c r="F411" s="2136"/>
      <c r="G411" s="2136"/>
      <c r="H411" s="2136"/>
    </row>
    <row r="412" spans="1:8" ht="15.75" customHeight="1">
      <c r="A412" s="2135"/>
      <c r="B412" s="2135"/>
      <c r="C412" s="2135"/>
      <c r="D412" s="2135"/>
      <c r="E412" s="2135"/>
      <c r="F412" s="2136"/>
      <c r="G412" s="2136"/>
      <c r="H412" s="2136"/>
    </row>
    <row r="413" spans="1:8" ht="15.75" customHeight="1">
      <c r="A413" s="2135"/>
      <c r="B413" s="2135"/>
      <c r="C413" s="2135"/>
      <c r="D413" s="2135"/>
      <c r="E413" s="2135"/>
      <c r="F413" s="2136"/>
      <c r="G413" s="2136"/>
      <c r="H413" s="2136"/>
    </row>
    <row r="414" spans="1:8" ht="15.75" customHeight="1">
      <c r="A414" s="2135"/>
      <c r="B414" s="2135"/>
      <c r="C414" s="2135"/>
      <c r="D414" s="2135"/>
      <c r="E414" s="2135"/>
      <c r="F414" s="2136"/>
      <c r="G414" s="2136"/>
      <c r="H414" s="2136"/>
    </row>
    <row r="415" spans="1:8" ht="15.75" customHeight="1">
      <c r="A415" s="2135"/>
      <c r="B415" s="2135"/>
      <c r="C415" s="2135"/>
      <c r="D415" s="2135"/>
      <c r="E415" s="2135"/>
      <c r="F415" s="2136"/>
      <c r="G415" s="2136"/>
      <c r="H415" s="2136"/>
    </row>
    <row r="416" spans="1:8" ht="15.75" customHeight="1">
      <c r="A416" s="2135"/>
      <c r="B416" s="2135"/>
      <c r="C416" s="2135"/>
      <c r="D416" s="2135"/>
      <c r="E416" s="2135"/>
      <c r="F416" s="2136"/>
      <c r="G416" s="2136"/>
      <c r="H416" s="2136"/>
    </row>
    <row r="417" spans="1:8" ht="15.75" customHeight="1">
      <c r="A417" s="2135"/>
      <c r="B417" s="2135"/>
      <c r="C417" s="2135"/>
      <c r="D417" s="2135"/>
      <c r="E417" s="2135"/>
      <c r="F417" s="2136"/>
      <c r="G417" s="2136"/>
      <c r="H417" s="2136"/>
    </row>
    <row r="418" spans="1:8" ht="15.75" customHeight="1">
      <c r="A418" s="2135"/>
      <c r="B418" s="2135"/>
      <c r="C418" s="2135"/>
      <c r="D418" s="2135"/>
      <c r="E418" s="2135"/>
      <c r="F418" s="2136"/>
      <c r="G418" s="2136"/>
      <c r="H418" s="2136"/>
    </row>
    <row r="419" spans="1:8" ht="15.75" customHeight="1">
      <c r="A419" s="2135"/>
      <c r="B419" s="2135"/>
      <c r="C419" s="2135"/>
      <c r="D419" s="2135"/>
      <c r="E419" s="2135"/>
      <c r="F419" s="2136"/>
      <c r="G419" s="2136"/>
      <c r="H419" s="2136"/>
    </row>
    <row r="420" spans="1:8" ht="15.75" customHeight="1">
      <c r="A420" s="2135"/>
      <c r="B420" s="2135"/>
      <c r="C420" s="2135"/>
      <c r="D420" s="2135"/>
      <c r="E420" s="2135"/>
      <c r="F420" s="2136"/>
      <c r="G420" s="2136"/>
      <c r="H420" s="2136"/>
    </row>
    <row r="421" spans="1:8" ht="15.75" customHeight="1">
      <c r="A421" s="2135"/>
      <c r="B421" s="2135"/>
      <c r="C421" s="2135"/>
      <c r="D421" s="2135"/>
      <c r="E421" s="2135"/>
      <c r="F421" s="2136"/>
      <c r="G421" s="2136"/>
      <c r="H421" s="2136"/>
    </row>
    <row r="422" spans="1:8" ht="15.75" customHeight="1">
      <c r="A422" s="2135"/>
      <c r="B422" s="2135"/>
      <c r="C422" s="2135"/>
      <c r="D422" s="2135"/>
      <c r="E422" s="2135"/>
      <c r="F422" s="2136"/>
      <c r="G422" s="2136"/>
      <c r="H422" s="2136"/>
    </row>
    <row r="423" spans="1:8" ht="15.75" customHeight="1">
      <c r="A423" s="2135"/>
      <c r="B423" s="2135"/>
      <c r="C423" s="2135"/>
      <c r="D423" s="2135"/>
      <c r="E423" s="2135"/>
      <c r="F423" s="2136"/>
      <c r="G423" s="2136"/>
      <c r="H423" s="2136"/>
    </row>
    <row r="424" spans="1:8" ht="15.75" customHeight="1">
      <c r="A424" s="2135"/>
      <c r="B424" s="2135"/>
      <c r="C424" s="2135"/>
      <c r="D424" s="2135"/>
      <c r="E424" s="2135"/>
      <c r="F424" s="2136"/>
      <c r="G424" s="2136"/>
      <c r="H424" s="2136"/>
    </row>
    <row r="425" spans="1:8" ht="15.75" customHeight="1">
      <c r="A425" s="2135"/>
      <c r="B425" s="2135"/>
      <c r="C425" s="2135"/>
      <c r="D425" s="2135"/>
      <c r="E425" s="2135"/>
      <c r="F425" s="2136"/>
      <c r="G425" s="2136"/>
      <c r="H425" s="2136"/>
    </row>
    <row r="426" spans="1:8" ht="15.75" customHeight="1">
      <c r="A426" s="2135"/>
      <c r="B426" s="2135"/>
      <c r="C426" s="2135"/>
      <c r="D426" s="2135"/>
      <c r="E426" s="2135"/>
      <c r="F426" s="2136"/>
      <c r="G426" s="2136"/>
      <c r="H426" s="2136"/>
    </row>
    <row r="427" spans="1:8" ht="15.75" customHeight="1">
      <c r="A427" s="2135"/>
      <c r="B427" s="2135"/>
      <c r="C427" s="2135"/>
      <c r="D427" s="2135"/>
      <c r="E427" s="2135"/>
      <c r="F427" s="2136"/>
      <c r="G427" s="2136"/>
      <c r="H427" s="2136"/>
    </row>
    <row r="428" spans="1:8" ht="15.75" customHeight="1">
      <c r="A428" s="2135"/>
      <c r="B428" s="2135"/>
      <c r="C428" s="2135"/>
      <c r="D428" s="2135"/>
      <c r="E428" s="2135"/>
      <c r="F428" s="2136"/>
      <c r="G428" s="2136"/>
      <c r="H428" s="2136"/>
    </row>
    <row r="429" spans="1:8" ht="15.75" customHeight="1">
      <c r="A429" s="2135"/>
      <c r="B429" s="2135"/>
      <c r="C429" s="2135"/>
      <c r="D429" s="2135"/>
      <c r="E429" s="2135"/>
      <c r="F429" s="2136"/>
      <c r="G429" s="2136"/>
      <c r="H429" s="2136"/>
    </row>
    <row r="430" spans="1:8" ht="15.75" customHeight="1">
      <c r="A430" s="2135"/>
      <c r="B430" s="2135"/>
      <c r="C430" s="2135"/>
      <c r="D430" s="2135"/>
      <c r="E430" s="2135"/>
      <c r="F430" s="2136"/>
      <c r="G430" s="2136"/>
      <c r="H430" s="2136"/>
    </row>
    <row r="431" spans="1:8" ht="15.75" customHeight="1">
      <c r="A431" s="2135"/>
      <c r="B431" s="2135"/>
      <c r="C431" s="2135"/>
      <c r="D431" s="2135"/>
      <c r="E431" s="2135"/>
      <c r="F431" s="2136"/>
      <c r="G431" s="2136"/>
      <c r="H431" s="2136"/>
    </row>
    <row r="432" spans="1:8" ht="15.75" customHeight="1">
      <c r="A432" s="2135"/>
      <c r="B432" s="2135"/>
      <c r="C432" s="2135"/>
      <c r="D432" s="2135"/>
      <c r="E432" s="2135"/>
      <c r="F432" s="2136"/>
      <c r="G432" s="2136"/>
      <c r="H432" s="2136"/>
    </row>
    <row r="433" spans="1:8" ht="15.75" customHeight="1">
      <c r="A433" s="2135"/>
      <c r="B433" s="2135"/>
      <c r="C433" s="2135"/>
      <c r="D433" s="2135"/>
      <c r="E433" s="2135"/>
      <c r="F433" s="2136"/>
      <c r="G433" s="2136"/>
      <c r="H433" s="2136"/>
    </row>
    <row r="434" spans="1:8" ht="15.75" customHeight="1">
      <c r="A434" s="2135"/>
      <c r="B434" s="2135"/>
      <c r="C434" s="2135"/>
      <c r="D434" s="2135"/>
      <c r="E434" s="2135"/>
      <c r="F434" s="2136"/>
      <c r="G434" s="2136"/>
      <c r="H434" s="2136"/>
    </row>
    <row r="435" spans="1:8" ht="15.75" customHeight="1">
      <c r="A435" s="2135"/>
      <c r="B435" s="2135"/>
      <c r="C435" s="2135"/>
      <c r="D435" s="2135"/>
      <c r="E435" s="2135"/>
      <c r="F435" s="2136"/>
      <c r="G435" s="2136"/>
      <c r="H435" s="2136"/>
    </row>
    <row r="436" spans="1:8" ht="15.75" customHeight="1">
      <c r="A436" s="2135"/>
      <c r="B436" s="2135"/>
      <c r="C436" s="2135"/>
      <c r="D436" s="2135"/>
      <c r="E436" s="2135"/>
      <c r="F436" s="2136"/>
      <c r="G436" s="2136"/>
      <c r="H436" s="2136"/>
    </row>
    <row r="437" spans="1:8" ht="15.75" customHeight="1">
      <c r="A437" s="2135"/>
      <c r="B437" s="2135"/>
      <c r="C437" s="2135"/>
      <c r="D437" s="2135"/>
      <c r="E437" s="2135"/>
      <c r="F437" s="2136"/>
      <c r="G437" s="2136"/>
      <c r="H437" s="2136"/>
    </row>
    <row r="438" spans="1:8" ht="15.75" customHeight="1">
      <c r="A438" s="2135"/>
      <c r="B438" s="2135"/>
      <c r="C438" s="2135"/>
      <c r="D438" s="2135"/>
      <c r="E438" s="2135"/>
      <c r="F438" s="2136"/>
      <c r="G438" s="2136"/>
      <c r="H438" s="2136"/>
    </row>
    <row r="439" spans="1:8" ht="15.75" customHeight="1">
      <c r="A439" s="2135"/>
      <c r="B439" s="2135"/>
      <c r="C439" s="2135"/>
      <c r="D439" s="2135"/>
      <c r="E439" s="2135"/>
      <c r="F439" s="2136"/>
      <c r="G439" s="2136"/>
      <c r="H439" s="2136"/>
    </row>
    <row r="440" spans="1:8" ht="15.75" customHeight="1">
      <c r="A440" s="2135"/>
      <c r="B440" s="2135"/>
      <c r="C440" s="2135"/>
      <c r="D440" s="2135"/>
      <c r="E440" s="2135"/>
      <c r="F440" s="2136"/>
      <c r="G440" s="2136"/>
      <c r="H440" s="2136"/>
    </row>
    <row r="441" spans="1:8" ht="15.75" customHeight="1">
      <c r="A441" s="2135"/>
      <c r="B441" s="2135"/>
      <c r="C441" s="2135"/>
      <c r="D441" s="2135"/>
      <c r="E441" s="2135"/>
      <c r="F441" s="2136"/>
      <c r="G441" s="2136"/>
      <c r="H441" s="2136"/>
    </row>
    <row r="442" spans="1:8" ht="15.75" customHeight="1">
      <c r="A442" s="2135"/>
      <c r="B442" s="2135"/>
      <c r="C442" s="2135"/>
      <c r="D442" s="2135"/>
      <c r="E442" s="2135"/>
      <c r="F442" s="2136"/>
      <c r="G442" s="2136"/>
      <c r="H442" s="2136"/>
    </row>
    <row r="443" spans="1:8" ht="15.75" customHeight="1">
      <c r="A443" s="2135"/>
      <c r="B443" s="2135"/>
      <c r="C443" s="2135"/>
      <c r="D443" s="2135"/>
      <c r="E443" s="2135"/>
      <c r="F443" s="2136"/>
      <c r="G443" s="2136"/>
      <c r="H443" s="2136"/>
    </row>
    <row r="444" spans="1:8" ht="15.75" customHeight="1">
      <c r="A444" s="2135"/>
      <c r="B444" s="2135"/>
      <c r="C444" s="2135"/>
      <c r="D444" s="2135"/>
      <c r="E444" s="2135"/>
      <c r="F444" s="2136"/>
      <c r="G444" s="2136"/>
      <c r="H444" s="2136"/>
    </row>
    <row r="445" spans="1:8" ht="15.75" customHeight="1">
      <c r="A445" s="2135"/>
      <c r="B445" s="2135"/>
      <c r="C445" s="2135"/>
      <c r="D445" s="2135"/>
      <c r="E445" s="2135"/>
      <c r="F445" s="2136"/>
      <c r="G445" s="2136"/>
      <c r="H445" s="2136"/>
    </row>
    <row r="446" spans="1:8" ht="15.75" customHeight="1">
      <c r="A446" s="2135"/>
      <c r="B446" s="2135"/>
      <c r="C446" s="2135"/>
      <c r="D446" s="2135"/>
      <c r="E446" s="2135"/>
      <c r="F446" s="2136"/>
      <c r="G446" s="2136"/>
      <c r="H446" s="2136"/>
    </row>
    <row r="447" spans="1:8" ht="15.75" customHeight="1">
      <c r="A447" s="2135"/>
      <c r="B447" s="2135"/>
      <c r="C447" s="2135"/>
      <c r="D447" s="2135"/>
      <c r="E447" s="2135"/>
      <c r="F447" s="2136"/>
      <c r="G447" s="2136"/>
      <c r="H447" s="2136"/>
    </row>
    <row r="448" spans="1:8" ht="15.75" customHeight="1">
      <c r="A448" s="2135"/>
      <c r="B448" s="2135"/>
      <c r="C448" s="2135"/>
      <c r="D448" s="2135"/>
      <c r="E448" s="2135"/>
      <c r="F448" s="2136"/>
      <c r="G448" s="2136"/>
      <c r="H448" s="2136"/>
    </row>
    <row r="449" spans="1:8" ht="15.75" customHeight="1">
      <c r="A449" s="2135"/>
      <c r="B449" s="2135"/>
      <c r="C449" s="2135"/>
      <c r="D449" s="2135"/>
      <c r="E449" s="2135"/>
      <c r="F449" s="2136"/>
      <c r="G449" s="2136"/>
      <c r="H449" s="2136"/>
    </row>
    <row r="450" spans="1:8" ht="15.75" customHeight="1">
      <c r="A450" s="2135"/>
      <c r="B450" s="2135"/>
      <c r="C450" s="2135"/>
      <c r="D450" s="2135"/>
      <c r="E450" s="2135"/>
      <c r="F450" s="2136"/>
      <c r="G450" s="2136"/>
      <c r="H450" s="2136"/>
    </row>
    <row r="451" spans="1:8" ht="15.75" customHeight="1">
      <c r="A451" s="2135"/>
      <c r="B451" s="2135"/>
      <c r="C451" s="2135"/>
      <c r="D451" s="2135"/>
      <c r="E451" s="2135"/>
      <c r="F451" s="2136"/>
      <c r="G451" s="2136"/>
      <c r="H451" s="2136"/>
    </row>
    <row r="452" spans="1:8" ht="15.75" customHeight="1">
      <c r="A452" s="2135"/>
      <c r="B452" s="2135"/>
      <c r="C452" s="2135"/>
      <c r="D452" s="2135"/>
      <c r="E452" s="2135"/>
      <c r="F452" s="2136"/>
      <c r="G452" s="2136"/>
      <c r="H452" s="2136"/>
    </row>
    <row r="453" spans="1:8" ht="15.75" customHeight="1">
      <c r="A453" s="2135"/>
      <c r="B453" s="2135"/>
      <c r="C453" s="2135"/>
      <c r="D453" s="2135"/>
      <c r="E453" s="2135"/>
      <c r="F453" s="2136"/>
      <c r="G453" s="2136"/>
      <c r="H453" s="2136"/>
    </row>
    <row r="454" spans="1:8" ht="15.75" customHeight="1">
      <c r="A454" s="2135"/>
      <c r="B454" s="2135"/>
      <c r="C454" s="2135"/>
      <c r="D454" s="2135"/>
      <c r="E454" s="2135"/>
      <c r="F454" s="2136"/>
      <c r="G454" s="2136"/>
      <c r="H454" s="2136"/>
    </row>
    <row r="455" spans="1:8" ht="15.75" customHeight="1">
      <c r="A455" s="2135"/>
      <c r="B455" s="2135"/>
      <c r="C455" s="2135"/>
      <c r="D455" s="2135"/>
      <c r="E455" s="2135"/>
      <c r="F455" s="2136"/>
      <c r="G455" s="2136"/>
      <c r="H455" s="2136"/>
    </row>
    <row r="456" spans="1:8" ht="15.75" customHeight="1">
      <c r="A456" s="2135"/>
      <c r="B456" s="2135"/>
      <c r="C456" s="2135"/>
      <c r="D456" s="2135"/>
      <c r="E456" s="2135"/>
      <c r="F456" s="2136"/>
      <c r="G456" s="2136"/>
      <c r="H456" s="2136"/>
    </row>
    <row r="457" spans="1:8" ht="15.75" customHeight="1">
      <c r="A457" s="2135"/>
      <c r="B457" s="2135"/>
      <c r="C457" s="2135"/>
      <c r="D457" s="2135"/>
      <c r="E457" s="2135"/>
      <c r="F457" s="2136"/>
      <c r="G457" s="2136"/>
      <c r="H457" s="2136"/>
    </row>
    <row r="458" spans="1:8" ht="15.75" customHeight="1">
      <c r="A458" s="2135"/>
      <c r="B458" s="2135"/>
      <c r="C458" s="2135"/>
      <c r="D458" s="2135"/>
      <c r="E458" s="2135"/>
      <c r="F458" s="2136"/>
      <c r="G458" s="2136"/>
      <c r="H458" s="2136"/>
    </row>
    <row r="459" spans="1:8" ht="15.75" customHeight="1">
      <c r="A459" s="2135"/>
      <c r="B459" s="2135"/>
      <c r="C459" s="2135"/>
      <c r="D459" s="2135"/>
      <c r="E459" s="2135"/>
      <c r="F459" s="2136"/>
      <c r="G459" s="2136"/>
      <c r="H459" s="2136"/>
    </row>
    <row r="460" spans="1:8" ht="15.75" customHeight="1">
      <c r="A460" s="2135"/>
      <c r="B460" s="2135"/>
      <c r="C460" s="2135"/>
      <c r="D460" s="2135"/>
      <c r="E460" s="2135"/>
      <c r="F460" s="2136"/>
      <c r="G460" s="2136"/>
      <c r="H460" s="2136"/>
    </row>
    <row r="461" spans="1:8" ht="15.75" customHeight="1">
      <c r="A461" s="2135"/>
      <c r="B461" s="2135"/>
      <c r="C461" s="2135"/>
      <c r="D461" s="2135"/>
      <c r="E461" s="2135"/>
      <c r="F461" s="2136"/>
      <c r="G461" s="2136"/>
      <c r="H461" s="2136"/>
    </row>
    <row r="462" spans="1:8" ht="15.75" customHeight="1">
      <c r="A462" s="2135"/>
      <c r="B462" s="2135"/>
      <c r="C462" s="2135"/>
      <c r="D462" s="2135"/>
      <c r="E462" s="2135"/>
      <c r="F462" s="2136"/>
      <c r="G462" s="2136"/>
      <c r="H462" s="2136"/>
    </row>
    <row r="463" spans="1:8" ht="15.75" customHeight="1">
      <c r="A463" s="2135"/>
      <c r="B463" s="2135"/>
      <c r="C463" s="2135"/>
      <c r="D463" s="2135"/>
      <c r="E463" s="2135"/>
      <c r="F463" s="2136"/>
      <c r="G463" s="2136"/>
      <c r="H463" s="2136"/>
    </row>
    <row r="464" spans="1:8" ht="15.75" customHeight="1">
      <c r="A464" s="2135"/>
      <c r="B464" s="2135"/>
      <c r="C464" s="2135"/>
      <c r="D464" s="2135"/>
      <c r="E464" s="2135"/>
      <c r="F464" s="2136"/>
      <c r="G464" s="2136"/>
      <c r="H464" s="2136"/>
    </row>
    <row r="465" spans="1:8" ht="15.75" customHeight="1">
      <c r="A465" s="2135"/>
      <c r="B465" s="2135"/>
      <c r="C465" s="2135"/>
      <c r="D465" s="2135"/>
      <c r="E465" s="2135"/>
      <c r="F465" s="2136"/>
      <c r="G465" s="2136"/>
      <c r="H465" s="2136"/>
    </row>
    <row r="466" spans="1:8" ht="15.75" customHeight="1">
      <c r="A466" s="2135"/>
      <c r="B466" s="2135"/>
      <c r="C466" s="2135"/>
      <c r="D466" s="2135"/>
      <c r="E466" s="2135"/>
      <c r="F466" s="2136"/>
      <c r="G466" s="2136"/>
      <c r="H466" s="2136"/>
    </row>
    <row r="467" spans="1:8" ht="15.75" customHeight="1">
      <c r="A467" s="2135"/>
      <c r="B467" s="2135"/>
      <c r="C467" s="2135"/>
      <c r="D467" s="2135"/>
      <c r="E467" s="2135"/>
      <c r="F467" s="2136"/>
      <c r="G467" s="2136"/>
      <c r="H467" s="2136"/>
    </row>
    <row r="468" spans="1:8" ht="15.75" customHeight="1">
      <c r="A468" s="2135"/>
      <c r="B468" s="2135"/>
      <c r="C468" s="2135"/>
      <c r="D468" s="2135"/>
      <c r="E468" s="2135"/>
      <c r="F468" s="2136"/>
      <c r="G468" s="2136"/>
      <c r="H468" s="2136"/>
    </row>
    <row r="469" spans="1:8" ht="15.75" customHeight="1">
      <c r="A469" s="2135"/>
      <c r="B469" s="2135"/>
      <c r="C469" s="2135"/>
      <c r="D469" s="2135"/>
      <c r="E469" s="2135"/>
      <c r="F469" s="2136"/>
      <c r="G469" s="2136"/>
      <c r="H469" s="2136"/>
    </row>
    <row r="470" spans="1:8" ht="15.75" customHeight="1">
      <c r="A470" s="2135"/>
      <c r="B470" s="2135"/>
      <c r="C470" s="2135"/>
      <c r="D470" s="2135"/>
      <c r="E470" s="2135"/>
      <c r="F470" s="2136"/>
      <c r="G470" s="2136"/>
      <c r="H470" s="2136"/>
    </row>
    <row r="471" spans="1:8" ht="15.75" customHeight="1">
      <c r="A471" s="2135"/>
      <c r="B471" s="2135"/>
      <c r="C471" s="2135"/>
      <c r="D471" s="2135"/>
      <c r="E471" s="2135"/>
      <c r="F471" s="2136"/>
      <c r="G471" s="2136"/>
      <c r="H471" s="2136"/>
    </row>
    <row r="472" spans="1:8" ht="15.75" customHeight="1">
      <c r="A472" s="2135"/>
      <c r="B472" s="2135"/>
      <c r="C472" s="2135"/>
      <c r="D472" s="2135"/>
      <c r="E472" s="2135"/>
      <c r="F472" s="2136"/>
      <c r="G472" s="2136"/>
      <c r="H472" s="2136"/>
    </row>
    <row r="473" spans="1:8" ht="15.75" customHeight="1">
      <c r="A473" s="2135"/>
      <c r="B473" s="2135"/>
      <c r="C473" s="2135"/>
      <c r="D473" s="2135"/>
      <c r="E473" s="2135"/>
      <c r="F473" s="2136"/>
      <c r="G473" s="2136"/>
      <c r="H473" s="2136"/>
    </row>
    <row r="474" spans="1:8" ht="15.75" customHeight="1">
      <c r="A474" s="2135"/>
      <c r="B474" s="2135"/>
      <c r="C474" s="2135"/>
      <c r="D474" s="2135"/>
      <c r="E474" s="2135"/>
      <c r="F474" s="2136"/>
      <c r="G474" s="2136"/>
      <c r="H474" s="2136"/>
    </row>
    <row r="475" spans="1:8" ht="15.75" customHeight="1">
      <c r="A475" s="2135"/>
      <c r="B475" s="2135"/>
      <c r="C475" s="2135"/>
      <c r="D475" s="2135"/>
      <c r="E475" s="2135"/>
      <c r="F475" s="2136"/>
      <c r="G475" s="2136"/>
      <c r="H475" s="2136"/>
    </row>
    <row r="476" spans="1:8" ht="15.75" customHeight="1">
      <c r="A476" s="2135"/>
      <c r="B476" s="2135"/>
      <c r="C476" s="2135"/>
      <c r="D476" s="2135"/>
      <c r="E476" s="2135"/>
      <c r="F476" s="2136"/>
      <c r="G476" s="2136"/>
      <c r="H476" s="2136"/>
    </row>
    <row r="477" spans="1:8" ht="15.75" customHeight="1">
      <c r="A477" s="2135"/>
      <c r="B477" s="2135"/>
      <c r="C477" s="2135"/>
      <c r="D477" s="2135"/>
      <c r="E477" s="2135"/>
      <c r="F477" s="2136"/>
      <c r="G477" s="2136"/>
      <c r="H477" s="2136"/>
    </row>
    <row r="478" spans="1:8" ht="15.75" customHeight="1">
      <c r="A478" s="2135"/>
      <c r="B478" s="2135"/>
      <c r="C478" s="2135"/>
      <c r="D478" s="2135"/>
      <c r="E478" s="2135"/>
      <c r="F478" s="2136"/>
      <c r="G478" s="2136"/>
      <c r="H478" s="2136"/>
    </row>
    <row r="479" spans="1:8" ht="15.75" customHeight="1">
      <c r="A479" s="2135"/>
      <c r="B479" s="2135"/>
      <c r="C479" s="2135"/>
      <c r="D479" s="2135"/>
      <c r="E479" s="2135"/>
      <c r="F479" s="2136"/>
      <c r="G479" s="2136"/>
      <c r="H479" s="2136"/>
    </row>
    <row r="480" spans="1:8" ht="15.75" customHeight="1">
      <c r="A480" s="2135"/>
      <c r="B480" s="2135"/>
      <c r="C480" s="2135"/>
      <c r="D480" s="2135"/>
      <c r="E480" s="2135"/>
      <c r="F480" s="2136"/>
      <c r="G480" s="2136"/>
      <c r="H480" s="2136"/>
    </row>
    <row r="481" spans="1:8" ht="15.75" customHeight="1">
      <c r="A481" s="2135"/>
      <c r="B481" s="2135"/>
      <c r="C481" s="2135"/>
      <c r="D481" s="2135"/>
      <c r="E481" s="2135"/>
      <c r="F481" s="2136"/>
      <c r="G481" s="2136"/>
      <c r="H481" s="2136"/>
    </row>
    <row r="482" spans="1:8" ht="15.75" customHeight="1">
      <c r="A482" s="2135"/>
      <c r="B482" s="2135"/>
      <c r="C482" s="2135"/>
      <c r="D482" s="2135"/>
      <c r="E482" s="2135"/>
      <c r="F482" s="2136"/>
      <c r="G482" s="2136"/>
      <c r="H482" s="2136"/>
    </row>
    <row r="483" spans="1:8" ht="15.75" customHeight="1">
      <c r="A483" s="2135"/>
      <c r="B483" s="2135"/>
      <c r="C483" s="2135"/>
      <c r="D483" s="2135"/>
      <c r="E483" s="2135"/>
      <c r="F483" s="2136"/>
      <c r="G483" s="2136"/>
      <c r="H483" s="2136"/>
    </row>
    <row r="484" spans="1:8" ht="15.75" customHeight="1">
      <c r="A484" s="2135"/>
      <c r="B484" s="2135"/>
      <c r="C484" s="2135"/>
      <c r="D484" s="2135"/>
      <c r="E484" s="2135"/>
      <c r="F484" s="2136"/>
      <c r="G484" s="2136"/>
      <c r="H484" s="2136"/>
    </row>
    <row r="485" spans="1:8" ht="15.75" customHeight="1">
      <c r="A485" s="2135"/>
      <c r="B485" s="2135"/>
      <c r="C485" s="2135"/>
      <c r="D485" s="2135"/>
      <c r="E485" s="2135"/>
      <c r="F485" s="2136"/>
      <c r="G485" s="2136"/>
      <c r="H485" s="2136"/>
    </row>
    <row r="486" spans="1:8" ht="15.75" customHeight="1">
      <c r="A486" s="2135"/>
      <c r="B486" s="2135"/>
      <c r="C486" s="2135"/>
      <c r="D486" s="2135"/>
      <c r="E486" s="2135"/>
      <c r="F486" s="2136"/>
      <c r="G486" s="2136"/>
      <c r="H486" s="2136"/>
    </row>
    <row r="487" spans="1:8" ht="15.75" customHeight="1">
      <c r="A487" s="2135"/>
      <c r="B487" s="2135"/>
      <c r="C487" s="2135"/>
      <c r="D487" s="2135"/>
      <c r="E487" s="2135"/>
      <c r="F487" s="2136"/>
      <c r="G487" s="2136"/>
      <c r="H487" s="2136"/>
    </row>
    <row r="488" spans="1:8" ht="15.75" customHeight="1">
      <c r="A488" s="2135"/>
      <c r="B488" s="2135"/>
      <c r="C488" s="2135"/>
      <c r="D488" s="2135"/>
      <c r="E488" s="2135"/>
      <c r="F488" s="2136"/>
      <c r="G488" s="2136"/>
      <c r="H488" s="2136"/>
    </row>
    <row r="489" spans="1:8" ht="15.75" customHeight="1">
      <c r="A489" s="2135"/>
      <c r="B489" s="2135"/>
      <c r="C489" s="2135"/>
      <c r="D489" s="2135"/>
      <c r="E489" s="2135"/>
      <c r="F489" s="2136"/>
      <c r="G489" s="2136"/>
      <c r="H489" s="2136"/>
    </row>
    <row r="490" spans="1:8" ht="15.75" customHeight="1">
      <c r="A490" s="2135"/>
      <c r="B490" s="2135"/>
      <c r="C490" s="2135"/>
      <c r="D490" s="2135"/>
      <c r="E490" s="2135"/>
      <c r="F490" s="2136"/>
      <c r="G490" s="2136"/>
      <c r="H490" s="2136"/>
    </row>
    <row r="491" spans="1:8" ht="15.75" customHeight="1">
      <c r="A491" s="2135"/>
      <c r="B491" s="2135"/>
      <c r="C491" s="2135"/>
      <c r="D491" s="2135"/>
      <c r="E491" s="2135"/>
      <c r="F491" s="2136"/>
      <c r="G491" s="2136"/>
      <c r="H491" s="2136"/>
    </row>
    <row r="492" spans="1:8" ht="15.75" customHeight="1">
      <c r="A492" s="2135"/>
      <c r="B492" s="2135"/>
      <c r="C492" s="2135"/>
      <c r="D492" s="2135"/>
      <c r="E492" s="2135"/>
      <c r="F492" s="2136"/>
      <c r="G492" s="2136"/>
      <c r="H492" s="2136"/>
    </row>
    <row r="493" spans="1:8" ht="15.75" customHeight="1">
      <c r="A493" s="2135"/>
      <c r="B493" s="2135"/>
      <c r="C493" s="2135"/>
      <c r="D493" s="2135"/>
      <c r="E493" s="2135"/>
      <c r="F493" s="2136"/>
      <c r="G493" s="2136"/>
      <c r="H493" s="2136"/>
    </row>
    <row r="494" spans="1:8" ht="15.75" customHeight="1">
      <c r="A494" s="2135"/>
      <c r="B494" s="2135"/>
      <c r="C494" s="2135"/>
      <c r="D494" s="2135"/>
      <c r="E494" s="2135"/>
      <c r="F494" s="2136"/>
      <c r="G494" s="2136"/>
      <c r="H494" s="2136"/>
    </row>
    <row r="495" spans="1:8" ht="15.75" customHeight="1">
      <c r="A495" s="2135"/>
      <c r="B495" s="2135"/>
      <c r="C495" s="2135"/>
      <c r="D495" s="2135"/>
      <c r="E495" s="2135"/>
      <c r="F495" s="2136"/>
      <c r="G495" s="2136"/>
      <c r="H495" s="2136"/>
    </row>
    <row r="496" spans="1:8" ht="15.75" customHeight="1">
      <c r="A496" s="2135"/>
      <c r="B496" s="2135"/>
      <c r="C496" s="2135"/>
      <c r="D496" s="2135"/>
      <c r="E496" s="2135"/>
      <c r="F496" s="2136"/>
      <c r="G496" s="2136"/>
      <c r="H496" s="2136"/>
    </row>
    <row r="497" spans="1:8" ht="15.75" customHeight="1">
      <c r="A497" s="2135"/>
      <c r="B497" s="2135"/>
      <c r="C497" s="2135"/>
      <c r="D497" s="2135"/>
      <c r="E497" s="2135"/>
      <c r="F497" s="2136"/>
      <c r="G497" s="2136"/>
      <c r="H497" s="2136"/>
    </row>
    <row r="498" spans="1:8" ht="15.75" customHeight="1">
      <c r="A498" s="2135"/>
      <c r="B498" s="2135"/>
      <c r="C498" s="2135"/>
      <c r="D498" s="2135"/>
      <c r="E498" s="2135"/>
      <c r="F498" s="2136"/>
      <c r="G498" s="2136"/>
      <c r="H498" s="2136"/>
    </row>
    <row r="499" spans="1:8" ht="15.75" customHeight="1">
      <c r="A499" s="2135"/>
      <c r="B499" s="2135"/>
      <c r="C499" s="2135"/>
      <c r="D499" s="2135"/>
      <c r="E499" s="2135"/>
      <c r="F499" s="2136"/>
      <c r="G499" s="2136"/>
      <c r="H499" s="2136"/>
    </row>
    <row r="500" spans="1:8" ht="15.75" customHeight="1">
      <c r="A500" s="2135"/>
      <c r="B500" s="2135"/>
      <c r="C500" s="2135"/>
      <c r="D500" s="2135"/>
      <c r="E500" s="2135"/>
      <c r="F500" s="2136"/>
      <c r="G500" s="2136"/>
      <c r="H500" s="2136"/>
    </row>
    <row r="501" spans="1:8" ht="15.75" customHeight="1">
      <c r="A501" s="2135"/>
      <c r="B501" s="2135"/>
      <c r="C501" s="2135"/>
      <c r="D501" s="2135"/>
      <c r="E501" s="2135"/>
      <c r="F501" s="2136"/>
      <c r="G501" s="2136"/>
      <c r="H501" s="2136"/>
    </row>
    <row r="502" spans="1:8" ht="15.75" customHeight="1">
      <c r="A502" s="2135"/>
      <c r="B502" s="2135"/>
      <c r="C502" s="2135"/>
      <c r="D502" s="2135"/>
      <c r="E502" s="2135"/>
      <c r="F502" s="2136"/>
      <c r="G502" s="2136"/>
      <c r="H502" s="2136"/>
    </row>
    <row r="503" spans="1:8" ht="15.75" customHeight="1">
      <c r="A503" s="2135"/>
      <c r="B503" s="2135"/>
      <c r="C503" s="2135"/>
      <c r="D503" s="2135"/>
      <c r="E503" s="2135"/>
      <c r="F503" s="2136"/>
      <c r="G503" s="2136"/>
      <c r="H503" s="2136"/>
    </row>
    <row r="504" spans="1:8" ht="15.75" customHeight="1">
      <c r="A504" s="2135"/>
      <c r="B504" s="2135"/>
      <c r="C504" s="2135"/>
      <c r="D504" s="2135"/>
      <c r="E504" s="2135"/>
      <c r="F504" s="2136"/>
      <c r="G504" s="2136"/>
      <c r="H504" s="2136"/>
    </row>
    <row r="505" spans="1:8" ht="15.75" customHeight="1">
      <c r="A505" s="2135"/>
      <c r="B505" s="2135"/>
      <c r="C505" s="2135"/>
      <c r="D505" s="2135"/>
      <c r="E505" s="2135"/>
      <c r="F505" s="2136"/>
      <c r="G505" s="2136"/>
      <c r="H505" s="2136"/>
    </row>
    <row r="506" spans="1:8" ht="15.75" customHeight="1">
      <c r="A506" s="2135"/>
      <c r="B506" s="2135"/>
      <c r="C506" s="2135"/>
      <c r="D506" s="2135"/>
      <c r="E506" s="2135"/>
      <c r="F506" s="2136"/>
      <c r="G506" s="2136"/>
      <c r="H506" s="2136"/>
    </row>
    <row r="507" spans="1:8" ht="15.75" customHeight="1">
      <c r="A507" s="2135"/>
      <c r="B507" s="2135"/>
      <c r="C507" s="2135"/>
      <c r="D507" s="2135"/>
      <c r="E507" s="2135"/>
      <c r="F507" s="2136"/>
      <c r="G507" s="2136"/>
      <c r="H507" s="2136"/>
    </row>
    <row r="508" spans="1:8" ht="15.75" customHeight="1">
      <c r="A508" s="2135"/>
      <c r="B508" s="2135"/>
      <c r="C508" s="2135"/>
      <c r="D508" s="2135"/>
      <c r="E508" s="2135"/>
      <c r="F508" s="2136"/>
      <c r="G508" s="2136"/>
      <c r="H508" s="2136"/>
    </row>
    <row r="509" spans="1:8" ht="15.75" customHeight="1">
      <c r="A509" s="2135"/>
      <c r="B509" s="2135"/>
      <c r="C509" s="2135"/>
      <c r="D509" s="2135"/>
      <c r="E509" s="2135"/>
      <c r="F509" s="2136"/>
      <c r="G509" s="2136"/>
      <c r="H509" s="2136"/>
    </row>
    <row r="510" spans="1:8" ht="15.75" customHeight="1">
      <c r="A510" s="2135"/>
      <c r="B510" s="2135"/>
      <c r="C510" s="2135"/>
      <c r="D510" s="2135"/>
      <c r="E510" s="2135"/>
      <c r="F510" s="2136"/>
      <c r="G510" s="2136"/>
      <c r="H510" s="2136"/>
    </row>
    <row r="511" spans="1:8" ht="15.75" customHeight="1">
      <c r="A511" s="2135"/>
      <c r="B511" s="2135"/>
      <c r="C511" s="2135"/>
      <c r="D511" s="2135"/>
      <c r="E511" s="2135"/>
      <c r="F511" s="2136"/>
      <c r="G511" s="2136"/>
      <c r="H511" s="2136"/>
    </row>
    <row r="512" spans="1:8" ht="15.75" customHeight="1">
      <c r="A512" s="2135"/>
      <c r="B512" s="2135"/>
      <c r="C512" s="2135"/>
      <c r="D512" s="2135"/>
      <c r="E512" s="2135"/>
      <c r="F512" s="2136"/>
      <c r="G512" s="2136"/>
      <c r="H512" s="2136"/>
    </row>
    <row r="513" spans="1:8" ht="15.75" customHeight="1">
      <c r="A513" s="2135"/>
      <c r="B513" s="2135"/>
      <c r="C513" s="2135"/>
      <c r="D513" s="2135"/>
      <c r="E513" s="2135"/>
      <c r="F513" s="2136"/>
      <c r="G513" s="2136"/>
      <c r="H513" s="2136"/>
    </row>
    <row r="514" spans="1:8" ht="15.75" customHeight="1">
      <c r="A514" s="2135"/>
      <c r="B514" s="2135"/>
      <c r="C514" s="2135"/>
      <c r="D514" s="2135"/>
      <c r="E514" s="2135"/>
      <c r="F514" s="2136"/>
      <c r="G514" s="2136"/>
      <c r="H514" s="2136"/>
    </row>
    <row r="515" spans="1:8" ht="15.75" customHeight="1">
      <c r="A515" s="2135"/>
      <c r="B515" s="2135"/>
      <c r="C515" s="2135"/>
      <c r="D515" s="2135"/>
      <c r="E515" s="2135"/>
      <c r="F515" s="2136"/>
      <c r="G515" s="2136"/>
      <c r="H515" s="2136"/>
    </row>
    <row r="516" spans="1:8" ht="15.75" customHeight="1">
      <c r="A516" s="2135"/>
      <c r="B516" s="2135"/>
      <c r="C516" s="2135"/>
      <c r="D516" s="2135"/>
      <c r="E516" s="2135"/>
      <c r="F516" s="2136"/>
      <c r="G516" s="2136"/>
      <c r="H516" s="2136"/>
    </row>
    <row r="517" spans="1:8" ht="15.75" customHeight="1">
      <c r="A517" s="2135"/>
      <c r="B517" s="2135"/>
      <c r="C517" s="2135"/>
      <c r="D517" s="2135"/>
      <c r="E517" s="2135"/>
      <c r="F517" s="2136"/>
      <c r="G517" s="2136"/>
      <c r="H517" s="2136"/>
    </row>
    <row r="518" spans="1:8" ht="15.75" customHeight="1">
      <c r="A518" s="2135"/>
      <c r="B518" s="2135"/>
      <c r="C518" s="2135"/>
      <c r="D518" s="2135"/>
      <c r="E518" s="2135"/>
      <c r="F518" s="2136"/>
      <c r="G518" s="2136"/>
      <c r="H518" s="2136"/>
    </row>
    <row r="519" spans="1:8" ht="15.75" customHeight="1">
      <c r="A519" s="2135"/>
      <c r="B519" s="2135"/>
      <c r="C519" s="2135"/>
      <c r="D519" s="2135"/>
      <c r="E519" s="2135"/>
      <c r="F519" s="2136"/>
      <c r="G519" s="2136"/>
      <c r="H519" s="2136"/>
    </row>
    <row r="520" spans="1:8" ht="15.75" customHeight="1">
      <c r="A520" s="2135"/>
      <c r="B520" s="2135"/>
      <c r="C520" s="2135"/>
      <c r="D520" s="2135"/>
      <c r="E520" s="2135"/>
      <c r="F520" s="2136"/>
      <c r="G520" s="2136"/>
      <c r="H520" s="2136"/>
    </row>
    <row r="521" spans="1:8" ht="15.75" customHeight="1">
      <c r="A521" s="2135"/>
      <c r="B521" s="2135"/>
      <c r="C521" s="2135"/>
      <c r="D521" s="2135"/>
      <c r="E521" s="2135"/>
      <c r="F521" s="2136"/>
      <c r="G521" s="2136"/>
      <c r="H521" s="2136"/>
    </row>
    <row r="522" spans="1:8" ht="15.75" customHeight="1">
      <c r="A522" s="2135"/>
      <c r="B522" s="2135"/>
      <c r="C522" s="2135"/>
      <c r="D522" s="2135"/>
      <c r="E522" s="2135"/>
      <c r="F522" s="2136"/>
      <c r="G522" s="2136"/>
      <c r="H522" s="2136"/>
    </row>
    <row r="523" spans="1:8" ht="15.75" customHeight="1">
      <c r="A523" s="2135"/>
      <c r="B523" s="2135"/>
      <c r="C523" s="2135"/>
      <c r="D523" s="2135"/>
      <c r="E523" s="2135"/>
      <c r="F523" s="2136"/>
      <c r="G523" s="2136"/>
      <c r="H523" s="2136"/>
    </row>
    <row r="524" spans="1:8" ht="15.75" customHeight="1">
      <c r="A524" s="2135"/>
      <c r="B524" s="2135"/>
      <c r="C524" s="2135"/>
      <c r="D524" s="2135"/>
      <c r="E524" s="2135"/>
      <c r="F524" s="2136"/>
      <c r="G524" s="2136"/>
      <c r="H524" s="2136"/>
    </row>
    <row r="525" spans="1:8" ht="15.75" customHeight="1">
      <c r="A525" s="2135"/>
      <c r="B525" s="2135"/>
      <c r="C525" s="2135"/>
      <c r="D525" s="2135"/>
      <c r="E525" s="2135"/>
      <c r="F525" s="2136"/>
      <c r="G525" s="2136"/>
      <c r="H525" s="2136"/>
    </row>
    <row r="526" spans="1:8" ht="15.75" customHeight="1">
      <c r="A526" s="2135"/>
      <c r="B526" s="2135"/>
      <c r="C526" s="2135"/>
      <c r="D526" s="2135"/>
      <c r="E526" s="2135"/>
      <c r="F526" s="2136"/>
      <c r="G526" s="2136"/>
      <c r="H526" s="2136"/>
    </row>
    <row r="527" spans="1:8" ht="15.75" customHeight="1">
      <c r="A527" s="2135"/>
      <c r="B527" s="2135"/>
      <c r="C527" s="2135"/>
      <c r="D527" s="2135"/>
      <c r="E527" s="2135"/>
      <c r="F527" s="2136"/>
      <c r="G527" s="2136"/>
      <c r="H527" s="2136"/>
    </row>
    <row r="528" spans="1:8" ht="15.75" customHeight="1">
      <c r="A528" s="2135"/>
      <c r="B528" s="2135"/>
      <c r="C528" s="2135"/>
      <c r="D528" s="2135"/>
      <c r="E528" s="2135"/>
      <c r="F528" s="2136"/>
      <c r="G528" s="2136"/>
      <c r="H528" s="2136"/>
    </row>
    <row r="529" spans="1:8" ht="15.75" customHeight="1">
      <c r="A529" s="2135"/>
      <c r="B529" s="2135"/>
      <c r="C529" s="2135"/>
      <c r="D529" s="2135"/>
      <c r="E529" s="2135"/>
      <c r="F529" s="2136"/>
      <c r="G529" s="2136"/>
      <c r="H529" s="2136"/>
    </row>
    <row r="530" spans="1:8" ht="15.75" customHeight="1">
      <c r="A530" s="2135"/>
      <c r="B530" s="2135"/>
      <c r="C530" s="2135"/>
      <c r="D530" s="2135"/>
      <c r="E530" s="2135"/>
      <c r="F530" s="2136"/>
      <c r="G530" s="2136"/>
      <c r="H530" s="2136"/>
    </row>
    <row r="531" spans="1:8" ht="15.75" customHeight="1">
      <c r="A531" s="2135"/>
      <c r="B531" s="2135"/>
      <c r="C531" s="2135"/>
      <c r="D531" s="2135"/>
      <c r="E531" s="2135"/>
      <c r="F531" s="2136"/>
      <c r="G531" s="2136"/>
      <c r="H531" s="2136"/>
    </row>
    <row r="532" spans="1:8" ht="15.75" customHeight="1">
      <c r="A532" s="2135"/>
      <c r="B532" s="2135"/>
      <c r="C532" s="2135"/>
      <c r="D532" s="2135"/>
      <c r="E532" s="2135"/>
      <c r="F532" s="2136"/>
      <c r="G532" s="2136"/>
      <c r="H532" s="2136"/>
    </row>
    <row r="533" spans="1:8" ht="15.75" customHeight="1">
      <c r="A533" s="2135"/>
      <c r="B533" s="2135"/>
      <c r="C533" s="2135"/>
      <c r="D533" s="2135"/>
      <c r="E533" s="2135"/>
      <c r="F533" s="2136"/>
      <c r="G533" s="2136"/>
      <c r="H533" s="2136"/>
    </row>
    <row r="534" spans="1:8" ht="15.75" customHeight="1">
      <c r="A534" s="2135"/>
      <c r="B534" s="2135"/>
      <c r="C534" s="2135"/>
      <c r="D534" s="2135"/>
      <c r="E534" s="2135"/>
      <c r="F534" s="2136"/>
      <c r="G534" s="2136"/>
      <c r="H534" s="2136"/>
    </row>
    <row r="535" spans="1:8" ht="15.75" customHeight="1">
      <c r="A535" s="2135"/>
      <c r="B535" s="2135"/>
      <c r="C535" s="2135"/>
      <c r="D535" s="2135"/>
      <c r="E535" s="2135"/>
      <c r="F535" s="2136"/>
      <c r="G535" s="2136"/>
      <c r="H535" s="2136"/>
    </row>
    <row r="536" spans="1:8" ht="15.75" customHeight="1">
      <c r="A536" s="2135"/>
      <c r="B536" s="2135"/>
      <c r="C536" s="2135"/>
      <c r="D536" s="2135"/>
      <c r="E536" s="2135"/>
      <c r="F536" s="2136"/>
      <c r="G536" s="2136"/>
      <c r="H536" s="2136"/>
    </row>
    <row r="537" spans="1:8" ht="15.75" customHeight="1">
      <c r="A537" s="2135"/>
      <c r="B537" s="2135"/>
      <c r="C537" s="2135"/>
      <c r="D537" s="2135"/>
      <c r="E537" s="2135"/>
      <c r="F537" s="2136"/>
      <c r="G537" s="2136"/>
      <c r="H537" s="2136"/>
    </row>
    <row r="538" spans="1:8" ht="15.75" customHeight="1">
      <c r="A538" s="2135"/>
      <c r="B538" s="2135"/>
      <c r="C538" s="2135"/>
      <c r="D538" s="2135"/>
      <c r="E538" s="2135"/>
      <c r="F538" s="2136"/>
      <c r="G538" s="2136"/>
      <c r="H538" s="2136"/>
    </row>
    <row r="539" spans="1:8" ht="15.75" customHeight="1">
      <c r="A539" s="2135"/>
      <c r="B539" s="2135"/>
      <c r="C539" s="2135"/>
      <c r="D539" s="2135"/>
      <c r="E539" s="2135"/>
      <c r="F539" s="2136"/>
      <c r="G539" s="2136"/>
      <c r="H539" s="2136"/>
    </row>
    <row r="540" spans="1:8" ht="15.75" customHeight="1">
      <c r="A540" s="2135"/>
      <c r="B540" s="2135"/>
      <c r="C540" s="2135"/>
      <c r="D540" s="2135"/>
      <c r="E540" s="2135"/>
      <c r="F540" s="2136"/>
      <c r="G540" s="2136"/>
      <c r="H540" s="2136"/>
    </row>
    <row r="541" spans="1:8" ht="15.75" customHeight="1">
      <c r="A541" s="2135"/>
      <c r="B541" s="2135"/>
      <c r="C541" s="2135"/>
      <c r="D541" s="2135"/>
      <c r="E541" s="2135"/>
      <c r="F541" s="2136"/>
      <c r="G541" s="2136"/>
      <c r="H541" s="2136"/>
    </row>
    <row r="542" spans="1:8" ht="15.75" customHeight="1">
      <c r="A542" s="2135"/>
      <c r="B542" s="2135"/>
      <c r="C542" s="2135"/>
      <c r="D542" s="2135"/>
      <c r="E542" s="2135"/>
      <c r="F542" s="2136"/>
      <c r="G542" s="2136"/>
      <c r="H542" s="2136"/>
    </row>
    <row r="543" spans="1:8" ht="15.75" customHeight="1">
      <c r="A543" s="2135"/>
      <c r="B543" s="2135"/>
      <c r="C543" s="2135"/>
      <c r="D543" s="2135"/>
      <c r="E543" s="2135"/>
      <c r="F543" s="2136"/>
      <c r="G543" s="2136"/>
      <c r="H543" s="2136"/>
    </row>
    <row r="544" spans="1:8" ht="15.75" customHeight="1">
      <c r="A544" s="2135"/>
      <c r="B544" s="2135"/>
      <c r="C544" s="2135"/>
      <c r="D544" s="2135"/>
      <c r="E544" s="2135"/>
      <c r="F544" s="2136"/>
      <c r="G544" s="2136"/>
      <c r="H544" s="2136"/>
    </row>
    <row r="545" spans="1:8" ht="15.75" customHeight="1">
      <c r="A545" s="2135"/>
      <c r="B545" s="2135"/>
      <c r="C545" s="2135"/>
      <c r="D545" s="2135"/>
      <c r="E545" s="2135"/>
      <c r="F545" s="2136"/>
      <c r="G545" s="2136"/>
      <c r="H545" s="2136"/>
    </row>
    <row r="546" spans="1:8" ht="15.75" customHeight="1">
      <c r="A546" s="2135"/>
      <c r="B546" s="2135"/>
      <c r="C546" s="2135"/>
      <c r="D546" s="2135"/>
      <c r="E546" s="2135"/>
      <c r="F546" s="2136"/>
      <c r="G546" s="2136"/>
      <c r="H546" s="2136"/>
    </row>
    <row r="547" spans="1:8" ht="15.75" customHeight="1">
      <c r="A547" s="2135"/>
      <c r="B547" s="2135"/>
      <c r="C547" s="2135"/>
      <c r="D547" s="2135"/>
      <c r="E547" s="2135"/>
      <c r="F547" s="2136"/>
      <c r="G547" s="2136"/>
      <c r="H547" s="2136"/>
    </row>
    <row r="548" spans="1:8" ht="15.75" customHeight="1">
      <c r="A548" s="2135"/>
      <c r="B548" s="2135"/>
      <c r="C548" s="2135"/>
      <c r="D548" s="2135"/>
      <c r="E548" s="2135"/>
      <c r="F548" s="2136"/>
      <c r="G548" s="2136"/>
      <c r="H548" s="2136"/>
    </row>
    <row r="549" spans="1:8" ht="15.75" customHeight="1">
      <c r="A549" s="2135"/>
      <c r="B549" s="2135"/>
      <c r="C549" s="2135"/>
      <c r="D549" s="2135"/>
      <c r="E549" s="2135"/>
      <c r="F549" s="2136"/>
      <c r="G549" s="2136"/>
      <c r="H549" s="2136"/>
    </row>
    <row r="550" spans="1:8" ht="15.75" customHeight="1">
      <c r="A550" s="2135"/>
      <c r="B550" s="2135"/>
      <c r="C550" s="2135"/>
      <c r="D550" s="2135"/>
      <c r="E550" s="2135"/>
      <c r="F550" s="2136"/>
      <c r="G550" s="2136"/>
      <c r="H550" s="2136"/>
    </row>
    <row r="551" spans="1:8" ht="15.75" customHeight="1">
      <c r="A551" s="2135"/>
      <c r="B551" s="2135"/>
      <c r="C551" s="2135"/>
      <c r="D551" s="2135"/>
      <c r="E551" s="2135"/>
      <c r="F551" s="2136"/>
      <c r="G551" s="2136"/>
      <c r="H551" s="2136"/>
    </row>
    <row r="552" spans="1:8" ht="15.75" customHeight="1">
      <c r="A552" s="2135"/>
      <c r="B552" s="2135"/>
      <c r="C552" s="2135"/>
      <c r="D552" s="2135"/>
      <c r="E552" s="2135"/>
      <c r="F552" s="2136"/>
      <c r="G552" s="2136"/>
      <c r="H552" s="2136"/>
    </row>
    <row r="553" spans="1:8" ht="15.75" customHeight="1">
      <c r="A553" s="2135"/>
      <c r="B553" s="2135"/>
      <c r="C553" s="2135"/>
      <c r="D553" s="2135"/>
      <c r="E553" s="2135"/>
      <c r="F553" s="2136"/>
      <c r="G553" s="2136"/>
      <c r="H553" s="2136"/>
    </row>
    <row r="554" spans="1:8" ht="15.75" customHeight="1">
      <c r="A554" s="2135"/>
      <c r="B554" s="2135"/>
      <c r="C554" s="2135"/>
      <c r="D554" s="2135"/>
      <c r="E554" s="2135"/>
      <c r="F554" s="2136"/>
      <c r="G554" s="2136"/>
      <c r="H554" s="2136"/>
    </row>
    <row r="555" spans="1:8" ht="15.75" customHeight="1">
      <c r="A555" s="2135"/>
      <c r="B555" s="2135"/>
      <c r="C555" s="2135"/>
      <c r="D555" s="2135"/>
      <c r="E555" s="2135"/>
      <c r="F555" s="2136"/>
      <c r="G555" s="2136"/>
      <c r="H555" s="2136"/>
    </row>
    <row r="556" spans="1:8" ht="15.75" customHeight="1">
      <c r="A556" s="2135"/>
      <c r="B556" s="2135"/>
      <c r="C556" s="2135"/>
      <c r="D556" s="2135"/>
      <c r="E556" s="2135"/>
      <c r="F556" s="2136"/>
      <c r="G556" s="2136"/>
      <c r="H556" s="2136"/>
    </row>
    <row r="557" spans="1:8" ht="15.75" customHeight="1">
      <c r="A557" s="2135"/>
      <c r="B557" s="2135"/>
      <c r="C557" s="2135"/>
      <c r="D557" s="2135"/>
      <c r="E557" s="2135"/>
      <c r="F557" s="2136"/>
      <c r="G557" s="2136"/>
      <c r="H557" s="2136"/>
    </row>
    <row r="558" spans="1:8" ht="15.75" customHeight="1"/>
    <row r="559" spans="1:8" ht="15.75" customHeight="1"/>
    <row r="560" spans="1:8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</sheetData>
  <pageMargins left="0.95" right="0.45" top="0.75" bottom="0.5" header="0.511811023622047" footer="0.511811023622047"/>
  <pageSetup paperSize="9" scale="8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45</vt:i4>
      </vt:variant>
      <vt:variant>
        <vt:lpstr>Named Ranges</vt:lpstr>
      </vt:variant>
      <vt:variant>
        <vt:i4>5</vt:i4>
      </vt:variant>
    </vt:vector>
  </HeadingPairs>
  <TitlesOfParts>
    <vt:vector size="50" baseType="lpstr">
      <vt:lpstr>Analisa 3</vt:lpstr>
      <vt:lpstr>Sheet1</vt:lpstr>
      <vt:lpstr>Resume</vt:lpstr>
      <vt:lpstr>Sub Resume</vt:lpstr>
      <vt:lpstr>1 Vol Tangga Pndrtn 15-15</vt:lpstr>
      <vt:lpstr>1 Vol Tmbtn Prhu 15-15</vt:lpstr>
      <vt:lpstr>RAB</vt:lpstr>
      <vt:lpstr>12. Vol Levelling</vt:lpstr>
      <vt:lpstr>Resume Analisa</vt:lpstr>
      <vt:lpstr>Vol Dock Kapal</vt:lpstr>
      <vt:lpstr>10. Vol Saluran+Jln</vt:lpstr>
      <vt:lpstr>4. Vol DPT</vt:lpstr>
      <vt:lpstr>13. LANTAI DOCKING</vt:lpstr>
      <vt:lpstr>5. Vol Pndrtn Ikan (4x5)</vt:lpstr>
      <vt:lpstr>6. Vol Gd Beku</vt:lpstr>
      <vt:lpstr>6. Vol Pabrik ES</vt:lpstr>
      <vt:lpstr>8. Vol Area Parkir</vt:lpstr>
      <vt:lpstr>7. Vol Kios 3x4</vt:lpstr>
      <vt:lpstr>9. Vol Cool Box G</vt:lpstr>
      <vt:lpstr>11. Vol Bengkel G</vt:lpstr>
      <vt:lpstr>10. Vol Kantor 6x6</vt:lpstr>
      <vt:lpstr>8. Vol Tangki</vt:lpstr>
      <vt:lpstr>9. Vol Penerangn</vt:lpstr>
      <vt:lpstr>13. Vol TPS</vt:lpstr>
      <vt:lpstr>14. Vol Genset</vt:lpstr>
      <vt:lpstr>11. Vol Landscape</vt:lpstr>
      <vt:lpstr>13. Vol Toilet G</vt:lpstr>
      <vt:lpstr>19. Vol Senkul R</vt:lpstr>
      <vt:lpstr>20. Vol PERBAIKAN G</vt:lpstr>
      <vt:lpstr>21. Vol Pemasaran G</vt:lpstr>
      <vt:lpstr>27. Vol Balai G</vt:lpstr>
      <vt:lpstr>22. Vol Dock Kapal G</vt:lpstr>
      <vt:lpstr>18. Vol Dock Kapal</vt:lpstr>
      <vt:lpstr>13. Vol IPAL</vt:lpstr>
      <vt:lpstr>III. Vol Tangga Pndrtn</vt:lpstr>
      <vt:lpstr>XV. Vol GAPURA</vt:lpstr>
      <vt:lpstr>XVI.Vol Docking</vt:lpstr>
      <vt:lpstr>XXI. Vol Gazebo</vt:lpstr>
      <vt:lpstr>XXII. Vol Musholla </vt:lpstr>
      <vt:lpstr>XXVI. Vol Pagar</vt:lpstr>
      <vt:lpstr>Vol Gerbang (REDESIGN)</vt:lpstr>
      <vt:lpstr>Vol Senkul 20x10</vt:lpstr>
      <vt:lpstr>XIV. Vol Pos Jaga Re </vt:lpstr>
      <vt:lpstr>ANALISA</vt:lpstr>
      <vt:lpstr>Bahan &amp; Upah</vt:lpstr>
      <vt:lpstr>ANALISA!Print_Area</vt:lpstr>
      <vt:lpstr>RAB!Print_Area</vt:lpstr>
      <vt:lpstr>Resume!Print_Area</vt:lpstr>
      <vt:lpstr>'Sub Resume'!Print_Area</vt:lpstr>
      <vt:lpstr>RAB!Print_Titles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Rani</dc:creator>
  <dc:description/>
  <cp:lastModifiedBy>Hery Setiawan</cp:lastModifiedBy>
  <cp:revision>0</cp:revision>
  <cp:lastPrinted>2026-09-09T09:00:58Z</cp:lastPrinted>
  <dcterms:created xsi:type="dcterms:W3CDTF">2017-01-19T02:27:41Z</dcterms:created>
  <dcterms:modified xsi:type="dcterms:W3CDTF">2026-09-12T14:00:04Z</dcterms:modified>
  <dc:language>en-US</dc:language>
</cp:coreProperties>
</file>